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Gregorian</t>
        </is>
      </c>
      <c r="B1" t="inlineStr">
        <is>
          <t>Lunar 0E</t>
        </is>
      </c>
      <c r="C1" t="inlineStr">
        <is>
          <t>Solar2Lunar</t>
        </is>
      </c>
    </row>
    <row r="2">
      <c r="A2" s="1" t="n">
        <v>1</v>
      </c>
      <c r="B2">
        <f>TEXT(1, "[$-0E0000]yyyy-mm-dd")</f>
        <v/>
      </c>
      <c r="C2" t="inlineStr">
        <is>
          <t>1899-12-01</t>
        </is>
      </c>
    </row>
    <row r="3">
      <c r="A3" s="1" t="n">
        <v>2</v>
      </c>
      <c r="B3">
        <f>TEXT(2, "[$-0E0000]yyyy-mm-dd")</f>
        <v/>
      </c>
      <c r="C3" t="inlineStr">
        <is>
          <t>1899-12-02</t>
        </is>
      </c>
    </row>
    <row r="4">
      <c r="A4" s="1" t="n">
        <v>3</v>
      </c>
      <c r="B4">
        <f>TEXT(3, "[$-0E0000]yyyy-mm-dd")</f>
        <v/>
      </c>
      <c r="C4" t="inlineStr">
        <is>
          <t>1899-12-03</t>
        </is>
      </c>
    </row>
    <row r="5">
      <c r="A5" s="1" t="n">
        <v>4</v>
      </c>
      <c r="B5">
        <f>TEXT(4, "[$-0E0000]yyyy-mm-dd")</f>
        <v/>
      </c>
      <c r="C5" t="inlineStr">
        <is>
          <t>1899-12-04</t>
        </is>
      </c>
    </row>
    <row r="6">
      <c r="A6" s="1" t="n">
        <v>5</v>
      </c>
      <c r="B6">
        <f>TEXT(5, "[$-0E0000]yyyy-mm-dd")</f>
        <v/>
      </c>
      <c r="C6" t="inlineStr">
        <is>
          <t>1899-12-05</t>
        </is>
      </c>
    </row>
    <row r="7">
      <c r="A7" s="1" t="n">
        <v>6</v>
      </c>
      <c r="B7">
        <f>TEXT(6, "[$-0E0000]yyyy-mm-dd")</f>
        <v/>
      </c>
      <c r="C7" t="inlineStr">
        <is>
          <t>1899-12-06</t>
        </is>
      </c>
    </row>
    <row r="8">
      <c r="A8" s="1" t="n">
        <v>7</v>
      </c>
      <c r="B8">
        <f>TEXT(7, "[$-0E0000]yyyy-mm-dd")</f>
        <v/>
      </c>
      <c r="C8" t="inlineStr">
        <is>
          <t>1899-12-07</t>
        </is>
      </c>
    </row>
    <row r="9">
      <c r="A9" s="1" t="n">
        <v>8</v>
      </c>
      <c r="B9">
        <f>TEXT(8, "[$-0E0000]yyyy-mm-dd")</f>
        <v/>
      </c>
      <c r="C9" t="inlineStr">
        <is>
          <t>1899-12-08</t>
        </is>
      </c>
    </row>
    <row r="10">
      <c r="A10" s="1" t="n">
        <v>9</v>
      </c>
      <c r="B10">
        <f>TEXT(9, "[$-0E0000]yyyy-mm-dd")</f>
        <v/>
      </c>
      <c r="C10" t="inlineStr">
        <is>
          <t>1899-12-09</t>
        </is>
      </c>
    </row>
    <row r="11">
      <c r="A11" s="1" t="n">
        <v>10</v>
      </c>
      <c r="B11">
        <f>TEXT(10, "[$-0E0000]yyyy-mm-dd")</f>
        <v/>
      </c>
      <c r="C11" t="inlineStr">
        <is>
          <t>1899-12-10</t>
        </is>
      </c>
    </row>
    <row r="12">
      <c r="A12" s="1" t="n">
        <v>11</v>
      </c>
      <c r="B12">
        <f>TEXT(11, "[$-0E0000]yyyy-mm-dd")</f>
        <v/>
      </c>
      <c r="C12" t="inlineStr">
        <is>
          <t>1899-12-11</t>
        </is>
      </c>
    </row>
    <row r="13">
      <c r="A13" s="1" t="n">
        <v>12</v>
      </c>
      <c r="B13">
        <f>TEXT(12, "[$-0E0000]yyyy-mm-dd")</f>
        <v/>
      </c>
      <c r="C13" t="inlineStr">
        <is>
          <t>1899-12-12</t>
        </is>
      </c>
    </row>
    <row r="14">
      <c r="A14" s="1" t="n">
        <v>13</v>
      </c>
      <c r="B14">
        <f>TEXT(13, "[$-0E0000]yyyy-mm-dd")</f>
        <v/>
      </c>
      <c r="C14" t="inlineStr">
        <is>
          <t>1899-12-13</t>
        </is>
      </c>
    </row>
    <row r="15">
      <c r="A15" s="1" t="n">
        <v>14</v>
      </c>
      <c r="B15">
        <f>TEXT(14, "[$-0E0000]yyyy-mm-dd")</f>
        <v/>
      </c>
      <c r="C15" t="inlineStr">
        <is>
          <t>1899-12-14</t>
        </is>
      </c>
    </row>
    <row r="16">
      <c r="A16" s="1" t="n">
        <v>15</v>
      </c>
      <c r="B16">
        <f>TEXT(15, "[$-0E0000]yyyy-mm-dd")</f>
        <v/>
      </c>
      <c r="C16" t="inlineStr">
        <is>
          <t>1899-12-15</t>
        </is>
      </c>
    </row>
    <row r="17">
      <c r="A17" s="1" t="n">
        <v>16</v>
      </c>
      <c r="B17">
        <f>TEXT(16, "[$-0E0000]yyyy-mm-dd")</f>
        <v/>
      </c>
      <c r="C17" t="inlineStr">
        <is>
          <t>1899-12-16</t>
        </is>
      </c>
    </row>
    <row r="18">
      <c r="A18" s="1" t="n">
        <v>17</v>
      </c>
      <c r="B18">
        <f>TEXT(17, "[$-0E0000]yyyy-mm-dd")</f>
        <v/>
      </c>
      <c r="C18" t="inlineStr">
        <is>
          <t>1899-12-17</t>
        </is>
      </c>
    </row>
    <row r="19">
      <c r="A19" s="1" t="n">
        <v>18</v>
      </c>
      <c r="B19">
        <f>TEXT(18, "[$-0E0000]yyyy-mm-dd")</f>
        <v/>
      </c>
      <c r="C19" t="inlineStr">
        <is>
          <t>1899-12-18</t>
        </is>
      </c>
    </row>
    <row r="20">
      <c r="A20" s="1" t="n">
        <v>19</v>
      </c>
      <c r="B20">
        <f>TEXT(19, "[$-0E0000]yyyy-mm-dd")</f>
        <v/>
      </c>
      <c r="C20" t="inlineStr">
        <is>
          <t>1899-12-19</t>
        </is>
      </c>
    </row>
    <row r="21">
      <c r="A21" s="1" t="n">
        <v>20</v>
      </c>
      <c r="B21">
        <f>TEXT(20, "[$-0E0000]yyyy-mm-dd")</f>
        <v/>
      </c>
      <c r="C21" t="inlineStr">
        <is>
          <t>1899-12-20</t>
        </is>
      </c>
    </row>
    <row r="22">
      <c r="A22" s="1" t="n">
        <v>21</v>
      </c>
      <c r="B22">
        <f>TEXT(21, "[$-0E0000]yyyy-mm-dd")</f>
        <v/>
      </c>
      <c r="C22" t="inlineStr">
        <is>
          <t>1899-12-21</t>
        </is>
      </c>
    </row>
    <row r="23">
      <c r="A23" s="1" t="n">
        <v>22</v>
      </c>
      <c r="B23">
        <f>TEXT(22, "[$-0E0000]yyyy-mm-dd")</f>
        <v/>
      </c>
      <c r="C23" t="inlineStr">
        <is>
          <t>1899-12-22</t>
        </is>
      </c>
    </row>
    <row r="24">
      <c r="A24" s="1" t="n">
        <v>23</v>
      </c>
      <c r="B24">
        <f>TEXT(23, "[$-0E0000]yyyy-mm-dd")</f>
        <v/>
      </c>
      <c r="C24" t="inlineStr">
        <is>
          <t>1899-12-23</t>
        </is>
      </c>
    </row>
    <row r="25">
      <c r="A25" s="1" t="n">
        <v>24</v>
      </c>
      <c r="B25">
        <f>TEXT(24, "[$-0E0000]yyyy-mm-dd")</f>
        <v/>
      </c>
      <c r="C25" t="inlineStr">
        <is>
          <t>1899-12-24</t>
        </is>
      </c>
    </row>
    <row r="26">
      <c r="A26" s="1" t="n">
        <v>25</v>
      </c>
      <c r="B26">
        <f>TEXT(25, "[$-0E0000]yyyy-mm-dd")</f>
        <v/>
      </c>
      <c r="C26" t="inlineStr">
        <is>
          <t>1899-12-25</t>
        </is>
      </c>
    </row>
    <row r="27">
      <c r="A27" s="1" t="n">
        <v>26</v>
      </c>
      <c r="B27">
        <f>TEXT(26, "[$-0E0000]yyyy-mm-dd")</f>
        <v/>
      </c>
      <c r="C27" t="inlineStr">
        <is>
          <t>1899-12-26</t>
        </is>
      </c>
    </row>
    <row r="28">
      <c r="A28" s="1" t="n">
        <v>27</v>
      </c>
      <c r="B28">
        <f>TEXT(27, "[$-0E0000]yyyy-mm-dd")</f>
        <v/>
      </c>
      <c r="C28" t="inlineStr">
        <is>
          <t>1899-12-27</t>
        </is>
      </c>
    </row>
    <row r="29">
      <c r="A29" s="1" t="n">
        <v>28</v>
      </c>
      <c r="B29">
        <f>TEXT(28, "[$-0E0000]yyyy-mm-dd")</f>
        <v/>
      </c>
      <c r="C29" t="inlineStr">
        <is>
          <t>1899-12-28</t>
        </is>
      </c>
    </row>
    <row r="30">
      <c r="A30" s="1" t="n">
        <v>29</v>
      </c>
      <c r="B30">
        <f>TEXT(29, "[$-0E0000]yyyy-mm-dd")</f>
        <v/>
      </c>
      <c r="C30" t="inlineStr">
        <is>
          <t>1899-12-29</t>
        </is>
      </c>
    </row>
    <row r="31">
      <c r="A31" s="1" t="n">
        <v>30</v>
      </c>
      <c r="B31">
        <f>TEXT(30, "[$-0E0000]yyyy-mm-dd")</f>
        <v/>
      </c>
      <c r="C31" t="inlineStr">
        <is>
          <t>1899-12-30</t>
        </is>
      </c>
    </row>
    <row r="32">
      <c r="A32" s="1" t="n">
        <v>31</v>
      </c>
      <c r="B32">
        <f>TEXT(31, "[$-0E0000]yyyy-mm-dd")</f>
        <v/>
      </c>
      <c r="C32" t="inlineStr">
        <is>
          <t>1900-01-01</t>
        </is>
      </c>
    </row>
    <row r="33">
      <c r="A33" s="1" t="n">
        <v>32</v>
      </c>
      <c r="B33">
        <f>TEXT(32, "[$-0E0000]yyyy-mm-dd")</f>
        <v/>
      </c>
      <c r="C33" t="inlineStr">
        <is>
          <t>1900-01-02</t>
        </is>
      </c>
    </row>
    <row r="34">
      <c r="A34" s="1" t="n">
        <v>33</v>
      </c>
      <c r="B34">
        <f>TEXT(33, "[$-0E0000]yyyy-mm-dd")</f>
        <v/>
      </c>
      <c r="C34" t="inlineStr">
        <is>
          <t>1900-01-03</t>
        </is>
      </c>
    </row>
    <row r="35">
      <c r="A35" s="1" t="n">
        <v>34</v>
      </c>
      <c r="B35">
        <f>TEXT(34, "[$-0E0000]yyyy-mm-dd")</f>
        <v/>
      </c>
      <c r="C35" t="inlineStr">
        <is>
          <t>1900-01-04</t>
        </is>
      </c>
    </row>
    <row r="36">
      <c r="A36" s="1" t="n">
        <v>35</v>
      </c>
      <c r="B36">
        <f>TEXT(35, "[$-0E0000]yyyy-mm-dd")</f>
        <v/>
      </c>
      <c r="C36" t="inlineStr">
        <is>
          <t>1900-01-05</t>
        </is>
      </c>
    </row>
    <row r="37">
      <c r="A37" s="1" t="n">
        <v>36</v>
      </c>
      <c r="B37">
        <f>TEXT(36, "[$-0E0000]yyyy-mm-dd")</f>
        <v/>
      </c>
      <c r="C37" t="inlineStr">
        <is>
          <t>1900-01-06</t>
        </is>
      </c>
    </row>
    <row r="38">
      <c r="A38" s="1" t="n">
        <v>37</v>
      </c>
      <c r="B38">
        <f>TEXT(37, "[$-0E0000]yyyy-mm-dd")</f>
        <v/>
      </c>
      <c r="C38" t="inlineStr">
        <is>
          <t>1900-01-07</t>
        </is>
      </c>
    </row>
    <row r="39">
      <c r="A39" s="1" t="n">
        <v>38</v>
      </c>
      <c r="B39">
        <f>TEXT(38, "[$-0E0000]yyyy-mm-dd")</f>
        <v/>
      </c>
      <c r="C39" t="inlineStr">
        <is>
          <t>1900-01-08</t>
        </is>
      </c>
    </row>
    <row r="40">
      <c r="A40" s="1" t="n">
        <v>39</v>
      </c>
      <c r="B40">
        <f>TEXT(39, "[$-0E0000]yyyy-mm-dd")</f>
        <v/>
      </c>
      <c r="C40" t="inlineStr">
        <is>
          <t>1900-01-09</t>
        </is>
      </c>
    </row>
    <row r="41">
      <c r="A41" s="1" t="n">
        <v>40</v>
      </c>
      <c r="B41">
        <f>TEXT(40, "[$-0E0000]yyyy-mm-dd")</f>
        <v/>
      </c>
      <c r="C41" t="inlineStr">
        <is>
          <t>1900-01-10</t>
        </is>
      </c>
    </row>
    <row r="42">
      <c r="A42" s="1" t="n">
        <v>41</v>
      </c>
      <c r="B42">
        <f>TEXT(41, "[$-0E0000]yyyy-mm-dd")</f>
        <v/>
      </c>
      <c r="C42" t="inlineStr">
        <is>
          <t>1900-01-11</t>
        </is>
      </c>
    </row>
    <row r="43">
      <c r="A43" s="1" t="n">
        <v>42</v>
      </c>
      <c r="B43">
        <f>TEXT(42, "[$-0E0000]yyyy-mm-dd")</f>
        <v/>
      </c>
      <c r="C43" t="inlineStr">
        <is>
          <t>1900-01-12</t>
        </is>
      </c>
    </row>
    <row r="44">
      <c r="A44" s="1" t="n">
        <v>43</v>
      </c>
      <c r="B44">
        <f>TEXT(43, "[$-0E0000]yyyy-mm-dd")</f>
        <v/>
      </c>
      <c r="C44" t="inlineStr">
        <is>
          <t>1900-01-13</t>
        </is>
      </c>
    </row>
    <row r="45">
      <c r="A45" s="1" t="n">
        <v>44</v>
      </c>
      <c r="B45">
        <f>TEXT(44, "[$-0E0000]yyyy-mm-dd")</f>
        <v/>
      </c>
      <c r="C45" t="inlineStr">
        <is>
          <t>1900-01-14</t>
        </is>
      </c>
    </row>
    <row r="46">
      <c r="A46" s="1" t="n">
        <v>45</v>
      </c>
      <c r="B46">
        <f>TEXT(45, "[$-0E0000]yyyy-mm-dd")</f>
        <v/>
      </c>
      <c r="C46" t="inlineStr">
        <is>
          <t>1900-01-15</t>
        </is>
      </c>
    </row>
    <row r="47">
      <c r="A47" s="1" t="n">
        <v>46</v>
      </c>
      <c r="B47">
        <f>TEXT(46, "[$-0E0000]yyyy-mm-dd")</f>
        <v/>
      </c>
      <c r="C47" t="inlineStr">
        <is>
          <t>1900-01-16</t>
        </is>
      </c>
    </row>
    <row r="48">
      <c r="A48" s="1" t="n">
        <v>47</v>
      </c>
      <c r="B48">
        <f>TEXT(47, "[$-0E0000]yyyy-mm-dd")</f>
        <v/>
      </c>
      <c r="C48" t="inlineStr">
        <is>
          <t>1900-01-17</t>
        </is>
      </c>
    </row>
    <row r="49">
      <c r="A49" s="1" t="n">
        <v>48</v>
      </c>
      <c r="B49">
        <f>TEXT(48, "[$-0E0000]yyyy-mm-dd")</f>
        <v/>
      </c>
      <c r="C49" t="inlineStr">
        <is>
          <t>1900-01-18</t>
        </is>
      </c>
    </row>
    <row r="50">
      <c r="A50" s="1" t="n">
        <v>49</v>
      </c>
      <c r="B50">
        <f>TEXT(49, "[$-0E0000]yyyy-mm-dd")</f>
        <v/>
      </c>
      <c r="C50" t="inlineStr">
        <is>
          <t>1900-01-19</t>
        </is>
      </c>
    </row>
    <row r="51">
      <c r="A51" s="1" t="n">
        <v>50</v>
      </c>
      <c r="B51">
        <f>TEXT(50, "[$-0E0000]yyyy-mm-dd")</f>
        <v/>
      </c>
      <c r="C51" t="inlineStr">
        <is>
          <t>1900-01-20</t>
        </is>
      </c>
    </row>
    <row r="52">
      <c r="A52" s="1" t="n">
        <v>51</v>
      </c>
      <c r="B52">
        <f>TEXT(51, "[$-0E0000]yyyy-mm-dd")</f>
        <v/>
      </c>
      <c r="C52" t="inlineStr">
        <is>
          <t>1900-01-21</t>
        </is>
      </c>
    </row>
    <row r="53">
      <c r="A53" s="1" t="n">
        <v>52</v>
      </c>
      <c r="B53">
        <f>TEXT(52, "[$-0E0000]yyyy-mm-dd")</f>
        <v/>
      </c>
      <c r="C53" t="inlineStr">
        <is>
          <t>1900-01-22</t>
        </is>
      </c>
    </row>
    <row r="54">
      <c r="A54" s="1" t="n">
        <v>53</v>
      </c>
      <c r="B54">
        <f>TEXT(53, "[$-0E0000]yyyy-mm-dd")</f>
        <v/>
      </c>
      <c r="C54" t="inlineStr">
        <is>
          <t>1900-01-23</t>
        </is>
      </c>
    </row>
    <row r="55">
      <c r="A55" s="1" t="n">
        <v>54</v>
      </c>
      <c r="B55">
        <f>TEXT(54, "[$-0E0000]yyyy-mm-dd")</f>
        <v/>
      </c>
      <c r="C55" t="inlineStr">
        <is>
          <t>1900-01-24</t>
        </is>
      </c>
    </row>
    <row r="56">
      <c r="A56" s="1" t="n">
        <v>55</v>
      </c>
      <c r="B56">
        <f>TEXT(55, "[$-0E0000]yyyy-mm-dd")</f>
        <v/>
      </c>
      <c r="C56" t="inlineStr">
        <is>
          <t>1900-01-25</t>
        </is>
      </c>
    </row>
    <row r="57">
      <c r="A57" s="1" t="n">
        <v>56</v>
      </c>
      <c r="B57">
        <f>TEXT(56, "[$-0E0000]yyyy-mm-dd")</f>
        <v/>
      </c>
      <c r="C57" t="inlineStr">
        <is>
          <t>1900-01-26</t>
        </is>
      </c>
    </row>
    <row r="58">
      <c r="A58" s="1" t="n">
        <v>57</v>
      </c>
      <c r="B58">
        <f>TEXT(57, "[$-0E0000]yyyy-mm-dd")</f>
        <v/>
      </c>
      <c r="C58" t="inlineStr">
        <is>
          <t>1900-01-27</t>
        </is>
      </c>
    </row>
    <row r="59">
      <c r="A59" s="1" t="n">
        <v>58</v>
      </c>
      <c r="B59">
        <f>TEXT(58, "[$-0E0000]yyyy-mm-dd")</f>
        <v/>
      </c>
      <c r="C59" t="inlineStr">
        <is>
          <t>1900-01-28</t>
        </is>
      </c>
    </row>
    <row r="60">
      <c r="A60" s="1" t="n">
        <v>59</v>
      </c>
      <c r="B60">
        <f>TEXT(59, "[$-0E0000]yyyy-mm-dd")</f>
        <v/>
      </c>
      <c r="C60" t="inlineStr">
        <is>
          <t>1900-01-29</t>
        </is>
      </c>
    </row>
    <row r="61">
      <c r="A61" s="1" t="n">
        <v>60</v>
      </c>
      <c r="B61">
        <f>TEXT(60, "[$-0E0000]yyyy-mm-dd")</f>
        <v/>
      </c>
      <c r="C61" t="inlineStr">
        <is>
          <t>1900-02-01</t>
        </is>
      </c>
    </row>
    <row r="62">
      <c r="A62" s="1" t="n">
        <v>61</v>
      </c>
      <c r="B62">
        <f>TEXT(61, "[$-0E0000]yyyy-mm-dd")</f>
        <v/>
      </c>
      <c r="C62" t="inlineStr">
        <is>
          <t>1900-02-02</t>
        </is>
      </c>
    </row>
    <row r="63">
      <c r="A63" s="1" t="n">
        <v>62</v>
      </c>
      <c r="B63">
        <f>TEXT(62, "[$-0E0000]yyyy-mm-dd")</f>
        <v/>
      </c>
      <c r="C63" t="inlineStr">
        <is>
          <t>1900-02-03</t>
        </is>
      </c>
    </row>
    <row r="64">
      <c r="A64" s="1" t="n">
        <v>63</v>
      </c>
      <c r="B64">
        <f>TEXT(63, "[$-0E0000]yyyy-mm-dd")</f>
        <v/>
      </c>
      <c r="C64" t="inlineStr">
        <is>
          <t>1900-02-04</t>
        </is>
      </c>
    </row>
    <row r="65">
      <c r="A65" s="1" t="n">
        <v>64</v>
      </c>
      <c r="B65">
        <f>TEXT(64, "[$-0E0000]yyyy-mm-dd")</f>
        <v/>
      </c>
      <c r="C65" t="inlineStr">
        <is>
          <t>1900-02-05</t>
        </is>
      </c>
    </row>
    <row r="66">
      <c r="A66" s="1" t="n">
        <v>65</v>
      </c>
      <c r="B66">
        <f>TEXT(65, "[$-0E0000]yyyy-mm-dd")</f>
        <v/>
      </c>
      <c r="C66" t="inlineStr">
        <is>
          <t>1900-02-06</t>
        </is>
      </c>
    </row>
    <row r="67">
      <c r="A67" s="1" t="n">
        <v>66</v>
      </c>
      <c r="B67">
        <f>TEXT(66, "[$-0E0000]yyyy-mm-dd")</f>
        <v/>
      </c>
      <c r="C67" t="inlineStr">
        <is>
          <t>1900-02-07</t>
        </is>
      </c>
    </row>
    <row r="68">
      <c r="A68" s="1" t="n">
        <v>67</v>
      </c>
      <c r="B68">
        <f>TEXT(67, "[$-0E0000]yyyy-mm-dd")</f>
        <v/>
      </c>
      <c r="C68" t="inlineStr">
        <is>
          <t>1900-02-08</t>
        </is>
      </c>
    </row>
    <row r="69">
      <c r="A69" s="1" t="n">
        <v>68</v>
      </c>
      <c r="B69">
        <f>TEXT(68, "[$-0E0000]yyyy-mm-dd")</f>
        <v/>
      </c>
      <c r="C69" t="inlineStr">
        <is>
          <t>1900-02-09</t>
        </is>
      </c>
    </row>
    <row r="70">
      <c r="A70" s="1" t="n">
        <v>69</v>
      </c>
      <c r="B70">
        <f>TEXT(69, "[$-0E0000]yyyy-mm-dd")</f>
        <v/>
      </c>
      <c r="C70" t="inlineStr">
        <is>
          <t>1900-02-10</t>
        </is>
      </c>
    </row>
    <row r="71">
      <c r="A71" s="1" t="n">
        <v>70</v>
      </c>
      <c r="B71">
        <f>TEXT(70, "[$-0E0000]yyyy-mm-dd")</f>
        <v/>
      </c>
      <c r="C71" t="inlineStr">
        <is>
          <t>1900-02-11</t>
        </is>
      </c>
    </row>
    <row r="72">
      <c r="A72" s="1" t="n">
        <v>71</v>
      </c>
      <c r="B72">
        <f>TEXT(71, "[$-0E0000]yyyy-mm-dd")</f>
        <v/>
      </c>
      <c r="C72" t="inlineStr">
        <is>
          <t>1900-02-12</t>
        </is>
      </c>
    </row>
    <row r="73">
      <c r="A73" s="1" t="n">
        <v>72</v>
      </c>
      <c r="B73">
        <f>TEXT(72, "[$-0E0000]yyyy-mm-dd")</f>
        <v/>
      </c>
      <c r="C73" t="inlineStr">
        <is>
          <t>1900-02-13</t>
        </is>
      </c>
    </row>
    <row r="74">
      <c r="A74" s="1" t="n">
        <v>73</v>
      </c>
      <c r="B74">
        <f>TEXT(73, "[$-0E0000]yyyy-mm-dd")</f>
        <v/>
      </c>
      <c r="C74" t="inlineStr">
        <is>
          <t>1900-02-14</t>
        </is>
      </c>
    </row>
    <row r="75">
      <c r="A75" s="1" t="n">
        <v>74</v>
      </c>
      <c r="B75">
        <f>TEXT(74, "[$-0E0000]yyyy-mm-dd")</f>
        <v/>
      </c>
      <c r="C75" t="inlineStr">
        <is>
          <t>1900-02-15</t>
        </is>
      </c>
    </row>
    <row r="76">
      <c r="A76" s="1" t="n">
        <v>75</v>
      </c>
      <c r="B76">
        <f>TEXT(75, "[$-0E0000]yyyy-mm-dd")</f>
        <v/>
      </c>
      <c r="C76" t="inlineStr">
        <is>
          <t>1900-02-16</t>
        </is>
      </c>
    </row>
    <row r="77">
      <c r="A77" s="1" t="n">
        <v>76</v>
      </c>
      <c r="B77">
        <f>TEXT(76, "[$-0E0000]yyyy-mm-dd")</f>
        <v/>
      </c>
      <c r="C77" t="inlineStr">
        <is>
          <t>1900-02-17</t>
        </is>
      </c>
    </row>
    <row r="78">
      <c r="A78" s="1" t="n">
        <v>77</v>
      </c>
      <c r="B78">
        <f>TEXT(77, "[$-0E0000]yyyy-mm-dd")</f>
        <v/>
      </c>
      <c r="C78" t="inlineStr">
        <is>
          <t>1900-02-18</t>
        </is>
      </c>
    </row>
    <row r="79">
      <c r="A79" s="1" t="n">
        <v>78</v>
      </c>
      <c r="B79">
        <f>TEXT(78, "[$-0E0000]yyyy-mm-dd")</f>
        <v/>
      </c>
      <c r="C79" t="inlineStr">
        <is>
          <t>1900-02-19</t>
        </is>
      </c>
    </row>
    <row r="80">
      <c r="A80" s="1" t="n">
        <v>79</v>
      </c>
      <c r="B80">
        <f>TEXT(79, "[$-0E0000]yyyy-mm-dd")</f>
        <v/>
      </c>
      <c r="C80" t="inlineStr">
        <is>
          <t>1900-02-20</t>
        </is>
      </c>
    </row>
    <row r="81">
      <c r="A81" s="1" t="n">
        <v>80</v>
      </c>
      <c r="B81">
        <f>TEXT(80, "[$-0E0000]yyyy-mm-dd")</f>
        <v/>
      </c>
      <c r="C81" t="inlineStr">
        <is>
          <t>1900-02-21</t>
        </is>
      </c>
    </row>
    <row r="82">
      <c r="A82" s="1" t="n">
        <v>81</v>
      </c>
      <c r="B82">
        <f>TEXT(81, "[$-0E0000]yyyy-mm-dd")</f>
        <v/>
      </c>
      <c r="C82" t="inlineStr">
        <is>
          <t>1900-02-22</t>
        </is>
      </c>
    </row>
    <row r="83">
      <c r="A83" s="1" t="n">
        <v>82</v>
      </c>
      <c r="B83">
        <f>TEXT(82, "[$-0E0000]yyyy-mm-dd")</f>
        <v/>
      </c>
      <c r="C83" t="inlineStr">
        <is>
          <t>1900-02-23</t>
        </is>
      </c>
    </row>
    <row r="84">
      <c r="A84" s="1" t="n">
        <v>83</v>
      </c>
      <c r="B84">
        <f>TEXT(83, "[$-0E0000]yyyy-mm-dd")</f>
        <v/>
      </c>
      <c r="C84" t="inlineStr">
        <is>
          <t>1900-02-24</t>
        </is>
      </c>
    </row>
    <row r="85">
      <c r="A85" s="1" t="n">
        <v>84</v>
      </c>
      <c r="B85">
        <f>TEXT(84, "[$-0E0000]yyyy-mm-dd")</f>
        <v/>
      </c>
      <c r="C85" t="inlineStr">
        <is>
          <t>1900-02-25</t>
        </is>
      </c>
    </row>
    <row r="86">
      <c r="A86" s="1" t="n">
        <v>85</v>
      </c>
      <c r="B86">
        <f>TEXT(85, "[$-0E0000]yyyy-mm-dd")</f>
        <v/>
      </c>
      <c r="C86" t="inlineStr">
        <is>
          <t>1900-02-26</t>
        </is>
      </c>
    </row>
    <row r="87">
      <c r="A87" s="1" t="n">
        <v>86</v>
      </c>
      <c r="B87">
        <f>TEXT(86, "[$-0E0000]yyyy-mm-dd")</f>
        <v/>
      </c>
      <c r="C87" t="inlineStr">
        <is>
          <t>1900-02-27</t>
        </is>
      </c>
    </row>
    <row r="88">
      <c r="A88" s="1" t="n">
        <v>87</v>
      </c>
      <c r="B88">
        <f>TEXT(87, "[$-0E0000]yyyy-mm-dd")</f>
        <v/>
      </c>
      <c r="C88" t="inlineStr">
        <is>
          <t>1900-02-28</t>
        </is>
      </c>
    </row>
    <row r="89">
      <c r="A89" s="1" t="n">
        <v>88</v>
      </c>
      <c r="B89">
        <f>TEXT(88, "[$-0E0000]yyyy-mm-dd")</f>
        <v/>
      </c>
      <c r="C89" t="inlineStr">
        <is>
          <t>1900-02-29</t>
        </is>
      </c>
    </row>
    <row r="90">
      <c r="A90" s="1" t="n">
        <v>89</v>
      </c>
      <c r="B90">
        <f>TEXT(89, "[$-0E0000]yyyy-mm-dd")</f>
        <v/>
      </c>
      <c r="C90" t="inlineStr">
        <is>
          <t>1900-02-30</t>
        </is>
      </c>
    </row>
    <row r="91">
      <c r="A91" s="1" t="n">
        <v>90</v>
      </c>
      <c r="B91">
        <f>TEXT(90, "[$-0E0000]yyyy-mm-dd")</f>
        <v/>
      </c>
      <c r="C91" t="inlineStr">
        <is>
          <t>1900-03-01</t>
        </is>
      </c>
    </row>
    <row r="92">
      <c r="A92" s="1" t="n">
        <v>91</v>
      </c>
      <c r="B92">
        <f>TEXT(91, "[$-0E0000]yyyy-mm-dd")</f>
        <v/>
      </c>
      <c r="C92" t="inlineStr">
        <is>
          <t>1900-03-02</t>
        </is>
      </c>
    </row>
    <row r="93">
      <c r="A93" s="1" t="n">
        <v>92</v>
      </c>
      <c r="B93">
        <f>TEXT(92, "[$-0E0000]yyyy-mm-dd")</f>
        <v/>
      </c>
      <c r="C93" t="inlineStr">
        <is>
          <t>1900-03-03</t>
        </is>
      </c>
    </row>
    <row r="94">
      <c r="A94" s="1" t="n">
        <v>93</v>
      </c>
      <c r="B94">
        <f>TEXT(93, "[$-0E0000]yyyy-mm-dd")</f>
        <v/>
      </c>
      <c r="C94" t="inlineStr">
        <is>
          <t>1900-03-04</t>
        </is>
      </c>
    </row>
    <row r="95">
      <c r="A95" s="1" t="n">
        <v>94</v>
      </c>
      <c r="B95">
        <f>TEXT(94, "[$-0E0000]yyyy-mm-dd")</f>
        <v/>
      </c>
      <c r="C95" t="inlineStr">
        <is>
          <t>1900-03-05</t>
        </is>
      </c>
    </row>
    <row r="96">
      <c r="A96" s="1" t="n">
        <v>95</v>
      </c>
      <c r="B96">
        <f>TEXT(95, "[$-0E0000]yyyy-mm-dd")</f>
        <v/>
      </c>
      <c r="C96" t="inlineStr">
        <is>
          <t>1900-03-06</t>
        </is>
      </c>
    </row>
    <row r="97">
      <c r="A97" s="1" t="n">
        <v>96</v>
      </c>
      <c r="B97">
        <f>TEXT(96, "[$-0E0000]yyyy-mm-dd")</f>
        <v/>
      </c>
      <c r="C97" t="inlineStr">
        <is>
          <t>1900-03-07</t>
        </is>
      </c>
    </row>
    <row r="98">
      <c r="A98" s="1" t="n">
        <v>97</v>
      </c>
      <c r="B98">
        <f>TEXT(97, "[$-0E0000]yyyy-mm-dd")</f>
        <v/>
      </c>
      <c r="C98" t="inlineStr">
        <is>
          <t>1900-03-08</t>
        </is>
      </c>
    </row>
    <row r="99">
      <c r="A99" s="1" t="n">
        <v>98</v>
      </c>
      <c r="B99">
        <f>TEXT(98, "[$-0E0000]yyyy-mm-dd")</f>
        <v/>
      </c>
      <c r="C99" t="inlineStr">
        <is>
          <t>1900-03-09</t>
        </is>
      </c>
    </row>
    <row r="100">
      <c r="A100" s="1" t="n">
        <v>99</v>
      </c>
      <c r="B100">
        <f>TEXT(99, "[$-0E0000]yyyy-mm-dd")</f>
        <v/>
      </c>
      <c r="C100" t="inlineStr">
        <is>
          <t>1900-03-10</t>
        </is>
      </c>
    </row>
    <row r="101">
      <c r="A101" s="1" t="n">
        <v>100</v>
      </c>
      <c r="B101">
        <f>TEXT(100, "[$-0E0000]yyyy-mm-dd")</f>
        <v/>
      </c>
      <c r="C101" t="inlineStr">
        <is>
          <t>1900-03-11</t>
        </is>
      </c>
    </row>
    <row r="102">
      <c r="A102" s="1" t="n">
        <v>101</v>
      </c>
      <c r="B102">
        <f>TEXT(101, "[$-0E0000]yyyy-mm-dd")</f>
        <v/>
      </c>
      <c r="C102" t="inlineStr">
        <is>
          <t>1900-03-12</t>
        </is>
      </c>
    </row>
    <row r="103">
      <c r="A103" s="1" t="n">
        <v>102</v>
      </c>
      <c r="B103">
        <f>TEXT(102, "[$-0E0000]yyyy-mm-dd")</f>
        <v/>
      </c>
      <c r="C103" t="inlineStr">
        <is>
          <t>1900-03-13</t>
        </is>
      </c>
    </row>
    <row r="104">
      <c r="A104" s="1" t="n">
        <v>103</v>
      </c>
      <c r="B104">
        <f>TEXT(103, "[$-0E0000]yyyy-mm-dd")</f>
        <v/>
      </c>
      <c r="C104" t="inlineStr">
        <is>
          <t>1900-03-14</t>
        </is>
      </c>
    </row>
    <row r="105">
      <c r="A105" s="1" t="n">
        <v>104</v>
      </c>
      <c r="B105">
        <f>TEXT(104, "[$-0E0000]yyyy-mm-dd")</f>
        <v/>
      </c>
      <c r="C105" t="inlineStr">
        <is>
          <t>1900-03-15</t>
        </is>
      </c>
    </row>
    <row r="106">
      <c r="A106" s="1" t="n">
        <v>105</v>
      </c>
      <c r="B106">
        <f>TEXT(105, "[$-0E0000]yyyy-mm-dd")</f>
        <v/>
      </c>
      <c r="C106" t="inlineStr">
        <is>
          <t>1900-03-16</t>
        </is>
      </c>
    </row>
    <row r="107">
      <c r="A107" s="1" t="n">
        <v>106</v>
      </c>
      <c r="B107">
        <f>TEXT(106, "[$-0E0000]yyyy-mm-dd")</f>
        <v/>
      </c>
      <c r="C107" t="inlineStr">
        <is>
          <t>1900-03-17</t>
        </is>
      </c>
    </row>
    <row r="108">
      <c r="A108" s="1" t="n">
        <v>107</v>
      </c>
      <c r="B108">
        <f>TEXT(107, "[$-0E0000]yyyy-mm-dd")</f>
        <v/>
      </c>
      <c r="C108" t="inlineStr">
        <is>
          <t>1900-03-18</t>
        </is>
      </c>
    </row>
    <row r="109">
      <c r="A109" s="1" t="n">
        <v>108</v>
      </c>
      <c r="B109">
        <f>TEXT(108, "[$-0E0000]yyyy-mm-dd")</f>
        <v/>
      </c>
      <c r="C109" t="inlineStr">
        <is>
          <t>1900-03-19</t>
        </is>
      </c>
    </row>
    <row r="110">
      <c r="A110" s="1" t="n">
        <v>109</v>
      </c>
      <c r="B110">
        <f>TEXT(109, "[$-0E0000]yyyy-mm-dd")</f>
        <v/>
      </c>
      <c r="C110" t="inlineStr">
        <is>
          <t>1900-03-20</t>
        </is>
      </c>
    </row>
    <row r="111">
      <c r="A111" s="1" t="n">
        <v>110</v>
      </c>
      <c r="B111">
        <f>TEXT(110, "[$-0E0000]yyyy-mm-dd")</f>
        <v/>
      </c>
      <c r="C111" t="inlineStr">
        <is>
          <t>1900-03-21</t>
        </is>
      </c>
    </row>
    <row r="112">
      <c r="A112" s="1" t="n">
        <v>111</v>
      </c>
      <c r="B112">
        <f>TEXT(111, "[$-0E0000]yyyy-mm-dd")</f>
        <v/>
      </c>
      <c r="C112" t="inlineStr">
        <is>
          <t>1900-03-22</t>
        </is>
      </c>
    </row>
    <row r="113">
      <c r="A113" s="1" t="n">
        <v>112</v>
      </c>
      <c r="B113">
        <f>TEXT(112, "[$-0E0000]yyyy-mm-dd")</f>
        <v/>
      </c>
      <c r="C113" t="inlineStr">
        <is>
          <t>1900-03-23</t>
        </is>
      </c>
    </row>
    <row r="114">
      <c r="A114" s="1" t="n">
        <v>113</v>
      </c>
      <c r="B114">
        <f>TEXT(113, "[$-0E0000]yyyy-mm-dd")</f>
        <v/>
      </c>
      <c r="C114" t="inlineStr">
        <is>
          <t>1900-03-24</t>
        </is>
      </c>
    </row>
    <row r="115">
      <c r="A115" s="1" t="n">
        <v>114</v>
      </c>
      <c r="B115">
        <f>TEXT(114, "[$-0E0000]yyyy-mm-dd")</f>
        <v/>
      </c>
      <c r="C115" t="inlineStr">
        <is>
          <t>1900-03-25</t>
        </is>
      </c>
    </row>
    <row r="116">
      <c r="A116" s="1" t="n">
        <v>115</v>
      </c>
      <c r="B116">
        <f>TEXT(115, "[$-0E0000]yyyy-mm-dd")</f>
        <v/>
      </c>
      <c r="C116" t="inlineStr">
        <is>
          <t>1900-03-26</t>
        </is>
      </c>
    </row>
    <row r="117">
      <c r="A117" s="1" t="n">
        <v>116</v>
      </c>
      <c r="B117">
        <f>TEXT(116, "[$-0E0000]yyyy-mm-dd")</f>
        <v/>
      </c>
      <c r="C117" t="inlineStr">
        <is>
          <t>1900-03-27</t>
        </is>
      </c>
    </row>
    <row r="118">
      <c r="A118" s="1" t="n">
        <v>117</v>
      </c>
      <c r="B118">
        <f>TEXT(117, "[$-0E0000]yyyy-mm-dd")</f>
        <v/>
      </c>
      <c r="C118" t="inlineStr">
        <is>
          <t>1900-03-28</t>
        </is>
      </c>
    </row>
    <row r="119">
      <c r="A119" s="1" t="n">
        <v>118</v>
      </c>
      <c r="B119">
        <f>TEXT(118, "[$-0E0000]yyyy-mm-dd")</f>
        <v/>
      </c>
      <c r="C119" t="inlineStr">
        <is>
          <t>1900-03-29</t>
        </is>
      </c>
    </row>
    <row r="120">
      <c r="A120" s="1" t="n">
        <v>119</v>
      </c>
      <c r="B120">
        <f>TEXT(119, "[$-0E0000]yyyy-mm-dd")</f>
        <v/>
      </c>
      <c r="C120" t="inlineStr">
        <is>
          <t>1900-04-01</t>
        </is>
      </c>
    </row>
    <row r="121">
      <c r="A121" s="1" t="n">
        <v>120</v>
      </c>
      <c r="B121">
        <f>TEXT(120, "[$-0E0000]yyyy-mm-dd")</f>
        <v/>
      </c>
      <c r="C121" t="inlineStr">
        <is>
          <t>1900-04-02</t>
        </is>
      </c>
    </row>
    <row r="122">
      <c r="A122" s="1" t="n">
        <v>121</v>
      </c>
      <c r="B122">
        <f>TEXT(121, "[$-0E0000]yyyy-mm-dd")</f>
        <v/>
      </c>
      <c r="C122" t="inlineStr">
        <is>
          <t>1900-04-03</t>
        </is>
      </c>
    </row>
    <row r="123">
      <c r="A123" s="1" t="n">
        <v>122</v>
      </c>
      <c r="B123">
        <f>TEXT(122, "[$-0E0000]yyyy-mm-dd")</f>
        <v/>
      </c>
      <c r="C123" t="inlineStr">
        <is>
          <t>1900-04-04</t>
        </is>
      </c>
    </row>
    <row r="124">
      <c r="A124" s="1" t="n">
        <v>123</v>
      </c>
      <c r="B124">
        <f>TEXT(123, "[$-0E0000]yyyy-mm-dd")</f>
        <v/>
      </c>
      <c r="C124" t="inlineStr">
        <is>
          <t>1900-04-05</t>
        </is>
      </c>
    </row>
    <row r="125">
      <c r="A125" s="1" t="n">
        <v>124</v>
      </c>
      <c r="B125">
        <f>TEXT(124, "[$-0E0000]yyyy-mm-dd")</f>
        <v/>
      </c>
      <c r="C125" t="inlineStr">
        <is>
          <t>1900-04-06</t>
        </is>
      </c>
    </row>
    <row r="126">
      <c r="A126" s="1" t="n">
        <v>125</v>
      </c>
      <c r="B126">
        <f>TEXT(125, "[$-0E0000]yyyy-mm-dd")</f>
        <v/>
      </c>
      <c r="C126" t="inlineStr">
        <is>
          <t>1900-04-07</t>
        </is>
      </c>
    </row>
    <row r="127">
      <c r="A127" s="1" t="n">
        <v>126</v>
      </c>
      <c r="B127">
        <f>TEXT(126, "[$-0E0000]yyyy-mm-dd")</f>
        <v/>
      </c>
      <c r="C127" t="inlineStr">
        <is>
          <t>1900-04-08</t>
        </is>
      </c>
    </row>
    <row r="128">
      <c r="A128" s="1" t="n">
        <v>127</v>
      </c>
      <c r="B128">
        <f>TEXT(127, "[$-0E0000]yyyy-mm-dd")</f>
        <v/>
      </c>
      <c r="C128" t="inlineStr">
        <is>
          <t>1900-04-09</t>
        </is>
      </c>
    </row>
    <row r="129">
      <c r="A129" s="1" t="n">
        <v>128</v>
      </c>
      <c r="B129">
        <f>TEXT(128, "[$-0E0000]yyyy-mm-dd")</f>
        <v/>
      </c>
      <c r="C129" t="inlineStr">
        <is>
          <t>1900-04-10</t>
        </is>
      </c>
    </row>
    <row r="130">
      <c r="A130" s="1" t="n">
        <v>129</v>
      </c>
      <c r="B130">
        <f>TEXT(129, "[$-0E0000]yyyy-mm-dd")</f>
        <v/>
      </c>
      <c r="C130" t="inlineStr">
        <is>
          <t>1900-04-11</t>
        </is>
      </c>
    </row>
    <row r="131">
      <c r="A131" s="1" t="n">
        <v>130</v>
      </c>
      <c r="B131">
        <f>TEXT(130, "[$-0E0000]yyyy-mm-dd")</f>
        <v/>
      </c>
      <c r="C131" t="inlineStr">
        <is>
          <t>1900-04-12</t>
        </is>
      </c>
    </row>
    <row r="132">
      <c r="A132" s="1" t="n">
        <v>131</v>
      </c>
      <c r="B132">
        <f>TEXT(131, "[$-0E0000]yyyy-mm-dd")</f>
        <v/>
      </c>
      <c r="C132" t="inlineStr">
        <is>
          <t>1900-04-13</t>
        </is>
      </c>
    </row>
    <row r="133">
      <c r="A133" s="1" t="n">
        <v>132</v>
      </c>
      <c r="B133">
        <f>TEXT(132, "[$-0E0000]yyyy-mm-dd")</f>
        <v/>
      </c>
      <c r="C133" t="inlineStr">
        <is>
          <t>1900-04-14</t>
        </is>
      </c>
    </row>
    <row r="134">
      <c r="A134" s="1" t="n">
        <v>133</v>
      </c>
      <c r="B134">
        <f>TEXT(133, "[$-0E0000]yyyy-mm-dd")</f>
        <v/>
      </c>
      <c r="C134" t="inlineStr">
        <is>
          <t>1900-04-15</t>
        </is>
      </c>
    </row>
    <row r="135">
      <c r="A135" s="1" t="n">
        <v>134</v>
      </c>
      <c r="B135">
        <f>TEXT(134, "[$-0E0000]yyyy-mm-dd")</f>
        <v/>
      </c>
      <c r="C135" t="inlineStr">
        <is>
          <t>1900-04-16</t>
        </is>
      </c>
    </row>
    <row r="136">
      <c r="A136" s="1" t="n">
        <v>135</v>
      </c>
      <c r="B136">
        <f>TEXT(135, "[$-0E0000]yyyy-mm-dd")</f>
        <v/>
      </c>
      <c r="C136" t="inlineStr">
        <is>
          <t>1900-04-17</t>
        </is>
      </c>
    </row>
    <row r="137">
      <c r="A137" s="1" t="n">
        <v>136</v>
      </c>
      <c r="B137">
        <f>TEXT(136, "[$-0E0000]yyyy-mm-dd")</f>
        <v/>
      </c>
      <c r="C137" t="inlineStr">
        <is>
          <t>1900-04-18</t>
        </is>
      </c>
    </row>
    <row r="138">
      <c r="A138" s="1" t="n">
        <v>137</v>
      </c>
      <c r="B138">
        <f>TEXT(137, "[$-0E0000]yyyy-mm-dd")</f>
        <v/>
      </c>
      <c r="C138" t="inlineStr">
        <is>
          <t>1900-04-19</t>
        </is>
      </c>
    </row>
    <row r="139">
      <c r="A139" s="1" t="n">
        <v>138</v>
      </c>
      <c r="B139">
        <f>TEXT(138, "[$-0E0000]yyyy-mm-dd")</f>
        <v/>
      </c>
      <c r="C139" t="inlineStr">
        <is>
          <t>1900-04-20</t>
        </is>
      </c>
    </row>
    <row r="140">
      <c r="A140" s="1" t="n">
        <v>139</v>
      </c>
      <c r="B140">
        <f>TEXT(139, "[$-0E0000]yyyy-mm-dd")</f>
        <v/>
      </c>
      <c r="C140" t="inlineStr">
        <is>
          <t>1900-04-21</t>
        </is>
      </c>
    </row>
    <row r="141">
      <c r="A141" s="1" t="n">
        <v>140</v>
      </c>
      <c r="B141">
        <f>TEXT(140, "[$-0E0000]yyyy-mm-dd")</f>
        <v/>
      </c>
      <c r="C141" t="inlineStr">
        <is>
          <t>1900-04-22</t>
        </is>
      </c>
    </row>
    <row r="142">
      <c r="A142" s="1" t="n">
        <v>141</v>
      </c>
      <c r="B142">
        <f>TEXT(141, "[$-0E0000]yyyy-mm-dd")</f>
        <v/>
      </c>
      <c r="C142" t="inlineStr">
        <is>
          <t>1900-04-23</t>
        </is>
      </c>
    </row>
    <row r="143">
      <c r="A143" s="1" t="n">
        <v>142</v>
      </c>
      <c r="B143">
        <f>TEXT(142, "[$-0E0000]yyyy-mm-dd")</f>
        <v/>
      </c>
      <c r="C143" t="inlineStr">
        <is>
          <t>1900-04-24</t>
        </is>
      </c>
    </row>
    <row r="144">
      <c r="A144" s="1" t="n">
        <v>143</v>
      </c>
      <c r="B144">
        <f>TEXT(143, "[$-0E0000]yyyy-mm-dd")</f>
        <v/>
      </c>
      <c r="C144" t="inlineStr">
        <is>
          <t>1900-04-25</t>
        </is>
      </c>
    </row>
    <row r="145">
      <c r="A145" s="1" t="n">
        <v>144</v>
      </c>
      <c r="B145">
        <f>TEXT(144, "[$-0E0000]yyyy-mm-dd")</f>
        <v/>
      </c>
      <c r="C145" t="inlineStr">
        <is>
          <t>1900-04-26</t>
        </is>
      </c>
    </row>
    <row r="146">
      <c r="A146" s="1" t="n">
        <v>145</v>
      </c>
      <c r="B146">
        <f>TEXT(145, "[$-0E0000]yyyy-mm-dd")</f>
        <v/>
      </c>
      <c r="C146" t="inlineStr">
        <is>
          <t>1900-04-27</t>
        </is>
      </c>
    </row>
    <row r="147">
      <c r="A147" s="1" t="n">
        <v>146</v>
      </c>
      <c r="B147">
        <f>TEXT(146, "[$-0E0000]yyyy-mm-dd")</f>
        <v/>
      </c>
      <c r="C147" t="inlineStr">
        <is>
          <t>1900-04-28</t>
        </is>
      </c>
    </row>
    <row r="148">
      <c r="A148" s="1" t="n">
        <v>147</v>
      </c>
      <c r="B148">
        <f>TEXT(147, "[$-0E0000]yyyy-mm-dd")</f>
        <v/>
      </c>
      <c r="C148" t="inlineStr">
        <is>
          <t>1900-04-29</t>
        </is>
      </c>
    </row>
    <row r="149">
      <c r="A149" s="1" t="n">
        <v>148</v>
      </c>
      <c r="B149">
        <f>TEXT(148, "[$-0E0000]yyyy-mm-dd")</f>
        <v/>
      </c>
      <c r="C149" t="inlineStr">
        <is>
          <t>1900-05-01</t>
        </is>
      </c>
    </row>
    <row r="150">
      <c r="A150" s="1" t="n">
        <v>149</v>
      </c>
      <c r="B150">
        <f>TEXT(149, "[$-0E0000]yyyy-mm-dd")</f>
        <v/>
      </c>
      <c r="C150" t="inlineStr">
        <is>
          <t>1900-05-02</t>
        </is>
      </c>
    </row>
    <row r="151">
      <c r="A151" s="1" t="n">
        <v>150</v>
      </c>
      <c r="B151">
        <f>TEXT(150, "[$-0E0000]yyyy-mm-dd")</f>
        <v/>
      </c>
      <c r="C151" t="inlineStr">
        <is>
          <t>1900-05-03</t>
        </is>
      </c>
    </row>
    <row r="152">
      <c r="A152" s="1" t="n">
        <v>151</v>
      </c>
      <c r="B152">
        <f>TEXT(151, "[$-0E0000]yyyy-mm-dd")</f>
        <v/>
      </c>
      <c r="C152" t="inlineStr">
        <is>
          <t>1900-05-04</t>
        </is>
      </c>
    </row>
    <row r="153">
      <c r="A153" s="1" t="n">
        <v>152</v>
      </c>
      <c r="B153">
        <f>TEXT(152, "[$-0E0000]yyyy-mm-dd")</f>
        <v/>
      </c>
      <c r="C153" t="inlineStr">
        <is>
          <t>1900-05-05</t>
        </is>
      </c>
    </row>
    <row r="154">
      <c r="A154" s="1" t="n">
        <v>153</v>
      </c>
      <c r="B154">
        <f>TEXT(153, "[$-0E0000]yyyy-mm-dd")</f>
        <v/>
      </c>
      <c r="C154" t="inlineStr">
        <is>
          <t>1900-05-06</t>
        </is>
      </c>
    </row>
    <row r="155">
      <c r="A155" s="1" t="n">
        <v>154</v>
      </c>
      <c r="B155">
        <f>TEXT(154, "[$-0E0000]yyyy-mm-dd")</f>
        <v/>
      </c>
      <c r="C155" t="inlineStr">
        <is>
          <t>1900-05-07</t>
        </is>
      </c>
    </row>
    <row r="156">
      <c r="A156" s="1" t="n">
        <v>155</v>
      </c>
      <c r="B156">
        <f>TEXT(155, "[$-0E0000]yyyy-mm-dd")</f>
        <v/>
      </c>
      <c r="C156" t="inlineStr">
        <is>
          <t>1900-05-08</t>
        </is>
      </c>
    </row>
    <row r="157">
      <c r="A157" s="1" t="n">
        <v>156</v>
      </c>
      <c r="B157">
        <f>TEXT(156, "[$-0E0000]yyyy-mm-dd")</f>
        <v/>
      </c>
      <c r="C157" t="inlineStr">
        <is>
          <t>1900-05-09</t>
        </is>
      </c>
    </row>
    <row r="158">
      <c r="A158" s="1" t="n">
        <v>157</v>
      </c>
      <c r="B158">
        <f>TEXT(157, "[$-0E0000]yyyy-mm-dd")</f>
        <v/>
      </c>
      <c r="C158" t="inlineStr">
        <is>
          <t>1900-05-10</t>
        </is>
      </c>
    </row>
    <row r="159">
      <c r="A159" s="1" t="n">
        <v>158</v>
      </c>
      <c r="B159">
        <f>TEXT(158, "[$-0E0000]yyyy-mm-dd")</f>
        <v/>
      </c>
      <c r="C159" t="inlineStr">
        <is>
          <t>1900-05-11</t>
        </is>
      </c>
    </row>
    <row r="160">
      <c r="A160" s="1" t="n">
        <v>159</v>
      </c>
      <c r="B160">
        <f>TEXT(159, "[$-0E0000]yyyy-mm-dd")</f>
        <v/>
      </c>
      <c r="C160" t="inlineStr">
        <is>
          <t>1900-05-12</t>
        </is>
      </c>
    </row>
    <row r="161">
      <c r="A161" s="1" t="n">
        <v>160</v>
      </c>
      <c r="B161">
        <f>TEXT(160, "[$-0E0000]yyyy-mm-dd")</f>
        <v/>
      </c>
      <c r="C161" t="inlineStr">
        <is>
          <t>1900-05-13</t>
        </is>
      </c>
    </row>
    <row r="162">
      <c r="A162" s="1" t="n">
        <v>161</v>
      </c>
      <c r="B162">
        <f>TEXT(161, "[$-0E0000]yyyy-mm-dd")</f>
        <v/>
      </c>
      <c r="C162" t="inlineStr">
        <is>
          <t>1900-05-14</t>
        </is>
      </c>
    </row>
    <row r="163">
      <c r="A163" s="1" t="n">
        <v>162</v>
      </c>
      <c r="B163">
        <f>TEXT(162, "[$-0E0000]yyyy-mm-dd")</f>
        <v/>
      </c>
      <c r="C163" t="inlineStr">
        <is>
          <t>1900-05-15</t>
        </is>
      </c>
    </row>
    <row r="164">
      <c r="A164" s="1" t="n">
        <v>163</v>
      </c>
      <c r="B164">
        <f>TEXT(163, "[$-0E0000]yyyy-mm-dd")</f>
        <v/>
      </c>
      <c r="C164" t="inlineStr">
        <is>
          <t>1900-05-16</t>
        </is>
      </c>
    </row>
    <row r="165">
      <c r="A165" s="1" t="n">
        <v>164</v>
      </c>
      <c r="B165">
        <f>TEXT(164, "[$-0E0000]yyyy-mm-dd")</f>
        <v/>
      </c>
      <c r="C165" t="inlineStr">
        <is>
          <t>1900-05-17</t>
        </is>
      </c>
    </row>
    <row r="166">
      <c r="A166" s="1" t="n">
        <v>165</v>
      </c>
      <c r="B166">
        <f>TEXT(165, "[$-0E0000]yyyy-mm-dd")</f>
        <v/>
      </c>
      <c r="C166" t="inlineStr">
        <is>
          <t>1900-05-18</t>
        </is>
      </c>
    </row>
    <row r="167">
      <c r="A167" s="1" t="n">
        <v>166</v>
      </c>
      <c r="B167">
        <f>TEXT(166, "[$-0E0000]yyyy-mm-dd")</f>
        <v/>
      </c>
      <c r="C167" t="inlineStr">
        <is>
          <t>1900-05-19</t>
        </is>
      </c>
    </row>
    <row r="168">
      <c r="A168" s="1" t="n">
        <v>167</v>
      </c>
      <c r="B168">
        <f>TEXT(167, "[$-0E0000]yyyy-mm-dd")</f>
        <v/>
      </c>
      <c r="C168" t="inlineStr">
        <is>
          <t>1900-05-20</t>
        </is>
      </c>
    </row>
    <row r="169">
      <c r="A169" s="1" t="n">
        <v>168</v>
      </c>
      <c r="B169">
        <f>TEXT(168, "[$-0E0000]yyyy-mm-dd")</f>
        <v/>
      </c>
      <c r="C169" t="inlineStr">
        <is>
          <t>1900-05-21</t>
        </is>
      </c>
    </row>
    <row r="170">
      <c r="A170" s="1" t="n">
        <v>169</v>
      </c>
      <c r="B170">
        <f>TEXT(169, "[$-0E0000]yyyy-mm-dd")</f>
        <v/>
      </c>
      <c r="C170" t="inlineStr">
        <is>
          <t>1900-05-22</t>
        </is>
      </c>
    </row>
    <row r="171">
      <c r="A171" s="1" t="n">
        <v>170</v>
      </c>
      <c r="B171">
        <f>TEXT(170, "[$-0E0000]yyyy-mm-dd")</f>
        <v/>
      </c>
      <c r="C171" t="inlineStr">
        <is>
          <t>1900-05-23</t>
        </is>
      </c>
    </row>
    <row r="172">
      <c r="A172" s="1" t="n">
        <v>171</v>
      </c>
      <c r="B172">
        <f>TEXT(171, "[$-0E0000]yyyy-mm-dd")</f>
        <v/>
      </c>
      <c r="C172" t="inlineStr">
        <is>
          <t>1900-05-24</t>
        </is>
      </c>
    </row>
    <row r="173">
      <c r="A173" s="1" t="n">
        <v>172</v>
      </c>
      <c r="B173">
        <f>TEXT(172, "[$-0E0000]yyyy-mm-dd")</f>
        <v/>
      </c>
      <c r="C173" t="inlineStr">
        <is>
          <t>1900-05-25</t>
        </is>
      </c>
    </row>
    <row r="174">
      <c r="A174" s="1" t="n">
        <v>173</v>
      </c>
      <c r="B174">
        <f>TEXT(173, "[$-0E0000]yyyy-mm-dd")</f>
        <v/>
      </c>
      <c r="C174" t="inlineStr">
        <is>
          <t>1900-05-26</t>
        </is>
      </c>
    </row>
    <row r="175">
      <c r="A175" s="1" t="n">
        <v>174</v>
      </c>
      <c r="B175">
        <f>TEXT(174, "[$-0E0000]yyyy-mm-dd")</f>
        <v/>
      </c>
      <c r="C175" t="inlineStr">
        <is>
          <t>1900-05-27</t>
        </is>
      </c>
    </row>
    <row r="176">
      <c r="A176" s="1" t="n">
        <v>175</v>
      </c>
      <c r="B176">
        <f>TEXT(175, "[$-0E0000]yyyy-mm-dd")</f>
        <v/>
      </c>
      <c r="C176" t="inlineStr">
        <is>
          <t>1900-05-28</t>
        </is>
      </c>
    </row>
    <row r="177">
      <c r="A177" s="1" t="n">
        <v>176</v>
      </c>
      <c r="B177">
        <f>TEXT(176, "[$-0E0000]yyyy-mm-dd")</f>
        <v/>
      </c>
      <c r="C177" t="inlineStr">
        <is>
          <t>1900-05-29</t>
        </is>
      </c>
    </row>
    <row r="178">
      <c r="A178" s="1" t="n">
        <v>177</v>
      </c>
      <c r="B178">
        <f>TEXT(177, "[$-0E0000]yyyy-mm-dd")</f>
        <v/>
      </c>
      <c r="C178" t="inlineStr">
        <is>
          <t>1900-05-30</t>
        </is>
      </c>
    </row>
    <row r="179">
      <c r="A179" s="1" t="n">
        <v>178</v>
      </c>
      <c r="B179">
        <f>TEXT(178, "[$-0E0000]yyyy-mm-dd")</f>
        <v/>
      </c>
      <c r="C179" t="inlineStr">
        <is>
          <t>1900-06-01</t>
        </is>
      </c>
    </row>
    <row r="180">
      <c r="A180" s="1" t="n">
        <v>179</v>
      </c>
      <c r="B180">
        <f>TEXT(179, "[$-0E0000]yyyy-mm-dd")</f>
        <v/>
      </c>
      <c r="C180" t="inlineStr">
        <is>
          <t>1900-06-02</t>
        </is>
      </c>
    </row>
    <row r="181">
      <c r="A181" s="1" t="n">
        <v>180</v>
      </c>
      <c r="B181">
        <f>TEXT(180, "[$-0E0000]yyyy-mm-dd")</f>
        <v/>
      </c>
      <c r="C181" t="inlineStr">
        <is>
          <t>1900-06-03</t>
        </is>
      </c>
    </row>
    <row r="182">
      <c r="A182" s="1" t="n">
        <v>181</v>
      </c>
      <c r="B182">
        <f>TEXT(181, "[$-0E0000]yyyy-mm-dd")</f>
        <v/>
      </c>
      <c r="C182" t="inlineStr">
        <is>
          <t>1900-06-04</t>
        </is>
      </c>
    </row>
    <row r="183">
      <c r="A183" s="1" t="n">
        <v>182</v>
      </c>
      <c r="B183">
        <f>TEXT(182, "[$-0E0000]yyyy-mm-dd")</f>
        <v/>
      </c>
      <c r="C183" t="inlineStr">
        <is>
          <t>1900-06-05</t>
        </is>
      </c>
    </row>
    <row r="184">
      <c r="A184" s="1" t="n">
        <v>183</v>
      </c>
      <c r="B184">
        <f>TEXT(183, "[$-0E0000]yyyy-mm-dd")</f>
        <v/>
      </c>
      <c r="C184" t="inlineStr">
        <is>
          <t>1900-06-06</t>
        </is>
      </c>
    </row>
    <row r="185">
      <c r="A185" s="1" t="n">
        <v>184</v>
      </c>
      <c r="B185">
        <f>TEXT(184, "[$-0E0000]yyyy-mm-dd")</f>
        <v/>
      </c>
      <c r="C185" t="inlineStr">
        <is>
          <t>1900-06-07</t>
        </is>
      </c>
    </row>
    <row r="186">
      <c r="A186" s="1" t="n">
        <v>185</v>
      </c>
      <c r="B186">
        <f>TEXT(185, "[$-0E0000]yyyy-mm-dd")</f>
        <v/>
      </c>
      <c r="C186" t="inlineStr">
        <is>
          <t>1900-06-08</t>
        </is>
      </c>
    </row>
    <row r="187">
      <c r="A187" s="1" t="n">
        <v>186</v>
      </c>
      <c r="B187">
        <f>TEXT(186, "[$-0E0000]yyyy-mm-dd")</f>
        <v/>
      </c>
      <c r="C187" t="inlineStr">
        <is>
          <t>1900-06-09</t>
        </is>
      </c>
    </row>
    <row r="188">
      <c r="A188" s="1" t="n">
        <v>187</v>
      </c>
      <c r="B188">
        <f>TEXT(187, "[$-0E0000]yyyy-mm-dd")</f>
        <v/>
      </c>
      <c r="C188" t="inlineStr">
        <is>
          <t>1900-06-10</t>
        </is>
      </c>
    </row>
    <row r="189">
      <c r="A189" s="1" t="n">
        <v>188</v>
      </c>
      <c r="B189">
        <f>TEXT(188, "[$-0E0000]yyyy-mm-dd")</f>
        <v/>
      </c>
      <c r="C189" t="inlineStr">
        <is>
          <t>1900-06-11</t>
        </is>
      </c>
    </row>
    <row r="190">
      <c r="A190" s="1" t="n">
        <v>189</v>
      </c>
      <c r="B190">
        <f>TEXT(189, "[$-0E0000]yyyy-mm-dd")</f>
        <v/>
      </c>
      <c r="C190" t="inlineStr">
        <is>
          <t>1900-06-12</t>
        </is>
      </c>
    </row>
    <row r="191">
      <c r="A191" s="1" t="n">
        <v>190</v>
      </c>
      <c r="B191">
        <f>TEXT(190, "[$-0E0000]yyyy-mm-dd")</f>
        <v/>
      </c>
      <c r="C191" t="inlineStr">
        <is>
          <t>1900-06-13</t>
        </is>
      </c>
    </row>
    <row r="192">
      <c r="A192" s="1" t="n">
        <v>191</v>
      </c>
      <c r="B192">
        <f>TEXT(191, "[$-0E0000]yyyy-mm-dd")</f>
        <v/>
      </c>
      <c r="C192" t="inlineStr">
        <is>
          <t>1900-06-14</t>
        </is>
      </c>
    </row>
    <row r="193">
      <c r="A193" s="1" t="n">
        <v>192</v>
      </c>
      <c r="B193">
        <f>TEXT(192, "[$-0E0000]yyyy-mm-dd")</f>
        <v/>
      </c>
      <c r="C193" t="inlineStr">
        <is>
          <t>1900-06-15</t>
        </is>
      </c>
    </row>
    <row r="194">
      <c r="A194" s="1" t="n">
        <v>193</v>
      </c>
      <c r="B194">
        <f>TEXT(193, "[$-0E0000]yyyy-mm-dd")</f>
        <v/>
      </c>
      <c r="C194" t="inlineStr">
        <is>
          <t>1900-06-16</t>
        </is>
      </c>
    </row>
    <row r="195">
      <c r="A195" s="1" t="n">
        <v>194</v>
      </c>
      <c r="B195">
        <f>TEXT(194, "[$-0E0000]yyyy-mm-dd")</f>
        <v/>
      </c>
      <c r="C195" t="inlineStr">
        <is>
          <t>1900-06-17</t>
        </is>
      </c>
    </row>
    <row r="196">
      <c r="A196" s="1" t="n">
        <v>195</v>
      </c>
      <c r="B196">
        <f>TEXT(195, "[$-0E0000]yyyy-mm-dd")</f>
        <v/>
      </c>
      <c r="C196" t="inlineStr">
        <is>
          <t>1900-06-18</t>
        </is>
      </c>
    </row>
    <row r="197">
      <c r="A197" s="1" t="n">
        <v>196</v>
      </c>
      <c r="B197">
        <f>TEXT(196, "[$-0E0000]yyyy-mm-dd")</f>
        <v/>
      </c>
      <c r="C197" t="inlineStr">
        <is>
          <t>1900-06-19</t>
        </is>
      </c>
    </row>
    <row r="198">
      <c r="A198" s="1" t="n">
        <v>197</v>
      </c>
      <c r="B198">
        <f>TEXT(197, "[$-0E0000]yyyy-mm-dd")</f>
        <v/>
      </c>
      <c r="C198" t="inlineStr">
        <is>
          <t>1900-06-20</t>
        </is>
      </c>
    </row>
    <row r="199">
      <c r="A199" s="1" t="n">
        <v>198</v>
      </c>
      <c r="B199">
        <f>TEXT(198, "[$-0E0000]yyyy-mm-dd")</f>
        <v/>
      </c>
      <c r="C199" t="inlineStr">
        <is>
          <t>1900-06-21</t>
        </is>
      </c>
    </row>
    <row r="200">
      <c r="A200" s="1" t="n">
        <v>199</v>
      </c>
      <c r="B200">
        <f>TEXT(199, "[$-0E0000]yyyy-mm-dd")</f>
        <v/>
      </c>
      <c r="C200" t="inlineStr">
        <is>
          <t>1900-06-22</t>
        </is>
      </c>
    </row>
    <row r="201">
      <c r="A201" s="1" t="n">
        <v>200</v>
      </c>
      <c r="B201">
        <f>TEXT(200, "[$-0E0000]yyyy-mm-dd")</f>
        <v/>
      </c>
      <c r="C201" t="inlineStr">
        <is>
          <t>1900-06-23</t>
        </is>
      </c>
    </row>
    <row r="202">
      <c r="A202" s="1" t="n">
        <v>201</v>
      </c>
      <c r="B202">
        <f>TEXT(201, "[$-0E0000]yyyy-mm-dd")</f>
        <v/>
      </c>
      <c r="C202" t="inlineStr">
        <is>
          <t>1900-06-24</t>
        </is>
      </c>
    </row>
    <row r="203">
      <c r="A203" s="1" t="n">
        <v>202</v>
      </c>
      <c r="B203">
        <f>TEXT(202, "[$-0E0000]yyyy-mm-dd")</f>
        <v/>
      </c>
      <c r="C203" t="inlineStr">
        <is>
          <t>1900-06-25</t>
        </is>
      </c>
    </row>
    <row r="204">
      <c r="A204" s="1" t="n">
        <v>203</v>
      </c>
      <c r="B204">
        <f>TEXT(203, "[$-0E0000]yyyy-mm-dd")</f>
        <v/>
      </c>
      <c r="C204" t="inlineStr">
        <is>
          <t>1900-06-26</t>
        </is>
      </c>
    </row>
    <row r="205">
      <c r="A205" s="1" t="n">
        <v>204</v>
      </c>
      <c r="B205">
        <f>TEXT(204, "[$-0E0000]yyyy-mm-dd")</f>
        <v/>
      </c>
      <c r="C205" t="inlineStr">
        <is>
          <t>1900-06-27</t>
        </is>
      </c>
    </row>
    <row r="206">
      <c r="A206" s="1" t="n">
        <v>205</v>
      </c>
      <c r="B206">
        <f>TEXT(205, "[$-0E0000]yyyy-mm-dd")</f>
        <v/>
      </c>
      <c r="C206" t="inlineStr">
        <is>
          <t>1900-06-28</t>
        </is>
      </c>
    </row>
    <row r="207">
      <c r="A207" s="1" t="n">
        <v>206</v>
      </c>
      <c r="B207">
        <f>TEXT(206, "[$-0E0000]yyyy-mm-dd")</f>
        <v/>
      </c>
      <c r="C207" t="inlineStr">
        <is>
          <t>1900-06-29</t>
        </is>
      </c>
    </row>
    <row r="208">
      <c r="A208" s="1" t="n">
        <v>207</v>
      </c>
      <c r="B208">
        <f>TEXT(207, "[$-0E0000]yyyy-mm-dd")</f>
        <v/>
      </c>
      <c r="C208" t="inlineStr">
        <is>
          <t>1900-07-01</t>
        </is>
      </c>
    </row>
    <row r="209">
      <c r="A209" s="1" t="n">
        <v>208</v>
      </c>
      <c r="B209">
        <f>TEXT(208, "[$-0E0000]yyyy-mm-dd")</f>
        <v/>
      </c>
      <c r="C209" t="inlineStr">
        <is>
          <t>1900-07-02</t>
        </is>
      </c>
    </row>
    <row r="210">
      <c r="A210" s="1" t="n">
        <v>209</v>
      </c>
      <c r="B210">
        <f>TEXT(209, "[$-0E0000]yyyy-mm-dd")</f>
        <v/>
      </c>
      <c r="C210" t="inlineStr">
        <is>
          <t>1900-07-03</t>
        </is>
      </c>
    </row>
    <row r="211">
      <c r="A211" s="1" t="n">
        <v>210</v>
      </c>
      <c r="B211">
        <f>TEXT(210, "[$-0E0000]yyyy-mm-dd")</f>
        <v/>
      </c>
      <c r="C211" t="inlineStr">
        <is>
          <t>1900-07-04</t>
        </is>
      </c>
    </row>
    <row r="212">
      <c r="A212" s="1" t="n">
        <v>211</v>
      </c>
      <c r="B212">
        <f>TEXT(211, "[$-0E0000]yyyy-mm-dd")</f>
        <v/>
      </c>
      <c r="C212" t="inlineStr">
        <is>
          <t>1900-07-05</t>
        </is>
      </c>
    </row>
    <row r="213">
      <c r="A213" s="1" t="n">
        <v>212</v>
      </c>
      <c r="B213">
        <f>TEXT(212, "[$-0E0000]yyyy-mm-dd")</f>
        <v/>
      </c>
      <c r="C213" t="inlineStr">
        <is>
          <t>1900-07-06</t>
        </is>
      </c>
    </row>
    <row r="214">
      <c r="A214" s="1" t="n">
        <v>213</v>
      </c>
      <c r="B214">
        <f>TEXT(213, "[$-0E0000]yyyy-mm-dd")</f>
        <v/>
      </c>
      <c r="C214" t="inlineStr">
        <is>
          <t>1900-07-07</t>
        </is>
      </c>
    </row>
    <row r="215">
      <c r="A215" s="1" t="n">
        <v>214</v>
      </c>
      <c r="B215">
        <f>TEXT(214, "[$-0E0000]yyyy-mm-dd")</f>
        <v/>
      </c>
      <c r="C215" t="inlineStr">
        <is>
          <t>1900-07-08</t>
        </is>
      </c>
    </row>
    <row r="216">
      <c r="A216" s="1" t="n">
        <v>215</v>
      </c>
      <c r="B216">
        <f>TEXT(215, "[$-0E0000]yyyy-mm-dd")</f>
        <v/>
      </c>
      <c r="C216" t="inlineStr">
        <is>
          <t>1900-07-09</t>
        </is>
      </c>
    </row>
    <row r="217">
      <c r="A217" s="1" t="n">
        <v>216</v>
      </c>
      <c r="B217">
        <f>TEXT(216, "[$-0E0000]yyyy-mm-dd")</f>
        <v/>
      </c>
      <c r="C217" t="inlineStr">
        <is>
          <t>1900-07-10</t>
        </is>
      </c>
    </row>
    <row r="218">
      <c r="A218" s="1" t="n">
        <v>217</v>
      </c>
      <c r="B218">
        <f>TEXT(217, "[$-0E0000]yyyy-mm-dd")</f>
        <v/>
      </c>
      <c r="C218" t="inlineStr">
        <is>
          <t>1900-07-11</t>
        </is>
      </c>
    </row>
    <row r="219">
      <c r="A219" s="1" t="n">
        <v>218</v>
      </c>
      <c r="B219">
        <f>TEXT(218, "[$-0E0000]yyyy-mm-dd")</f>
        <v/>
      </c>
      <c r="C219" t="inlineStr">
        <is>
          <t>1900-07-12</t>
        </is>
      </c>
    </row>
    <row r="220">
      <c r="A220" s="1" t="n">
        <v>219</v>
      </c>
      <c r="B220">
        <f>TEXT(219, "[$-0E0000]yyyy-mm-dd")</f>
        <v/>
      </c>
      <c r="C220" t="inlineStr">
        <is>
          <t>1900-07-13</t>
        </is>
      </c>
    </row>
    <row r="221">
      <c r="A221" s="1" t="n">
        <v>220</v>
      </c>
      <c r="B221">
        <f>TEXT(220, "[$-0E0000]yyyy-mm-dd")</f>
        <v/>
      </c>
      <c r="C221" t="inlineStr">
        <is>
          <t>1900-07-14</t>
        </is>
      </c>
    </row>
    <row r="222">
      <c r="A222" s="1" t="n">
        <v>221</v>
      </c>
      <c r="B222">
        <f>TEXT(221, "[$-0E0000]yyyy-mm-dd")</f>
        <v/>
      </c>
      <c r="C222" t="inlineStr">
        <is>
          <t>1900-07-15</t>
        </is>
      </c>
    </row>
    <row r="223">
      <c r="A223" s="1" t="n">
        <v>222</v>
      </c>
      <c r="B223">
        <f>TEXT(222, "[$-0E0000]yyyy-mm-dd")</f>
        <v/>
      </c>
      <c r="C223" t="inlineStr">
        <is>
          <t>1900-07-16</t>
        </is>
      </c>
    </row>
    <row r="224">
      <c r="A224" s="1" t="n">
        <v>223</v>
      </c>
      <c r="B224">
        <f>TEXT(223, "[$-0E0000]yyyy-mm-dd")</f>
        <v/>
      </c>
      <c r="C224" t="inlineStr">
        <is>
          <t>1900-07-17</t>
        </is>
      </c>
    </row>
    <row r="225">
      <c r="A225" s="1" t="n">
        <v>224</v>
      </c>
      <c r="B225">
        <f>TEXT(224, "[$-0E0000]yyyy-mm-dd")</f>
        <v/>
      </c>
      <c r="C225" t="inlineStr">
        <is>
          <t>1900-07-18</t>
        </is>
      </c>
    </row>
    <row r="226">
      <c r="A226" s="1" t="n">
        <v>225</v>
      </c>
      <c r="B226">
        <f>TEXT(225, "[$-0E0000]yyyy-mm-dd")</f>
        <v/>
      </c>
      <c r="C226" t="inlineStr">
        <is>
          <t>1900-07-19</t>
        </is>
      </c>
    </row>
    <row r="227">
      <c r="A227" s="1" t="n">
        <v>226</v>
      </c>
      <c r="B227">
        <f>TEXT(226, "[$-0E0000]yyyy-mm-dd")</f>
        <v/>
      </c>
      <c r="C227" t="inlineStr">
        <is>
          <t>1900-07-20</t>
        </is>
      </c>
    </row>
    <row r="228">
      <c r="A228" s="1" t="n">
        <v>227</v>
      </c>
      <c r="B228">
        <f>TEXT(227, "[$-0E0000]yyyy-mm-dd")</f>
        <v/>
      </c>
      <c r="C228" t="inlineStr">
        <is>
          <t>1900-07-21</t>
        </is>
      </c>
    </row>
    <row r="229">
      <c r="A229" s="1" t="n">
        <v>228</v>
      </c>
      <c r="B229">
        <f>TEXT(228, "[$-0E0000]yyyy-mm-dd")</f>
        <v/>
      </c>
      <c r="C229" t="inlineStr">
        <is>
          <t>1900-07-22</t>
        </is>
      </c>
    </row>
    <row r="230">
      <c r="A230" s="1" t="n">
        <v>229</v>
      </c>
      <c r="B230">
        <f>TEXT(229, "[$-0E0000]yyyy-mm-dd")</f>
        <v/>
      </c>
      <c r="C230" t="inlineStr">
        <is>
          <t>1900-07-23</t>
        </is>
      </c>
    </row>
    <row r="231">
      <c r="A231" s="1" t="n">
        <v>230</v>
      </c>
      <c r="B231">
        <f>TEXT(230, "[$-0E0000]yyyy-mm-dd")</f>
        <v/>
      </c>
      <c r="C231" t="inlineStr">
        <is>
          <t>1900-07-24</t>
        </is>
      </c>
    </row>
    <row r="232">
      <c r="A232" s="1" t="n">
        <v>231</v>
      </c>
      <c r="B232">
        <f>TEXT(231, "[$-0E0000]yyyy-mm-dd")</f>
        <v/>
      </c>
      <c r="C232" t="inlineStr">
        <is>
          <t>1900-07-25</t>
        </is>
      </c>
    </row>
    <row r="233">
      <c r="A233" s="1" t="n">
        <v>232</v>
      </c>
      <c r="B233">
        <f>TEXT(232, "[$-0E0000]yyyy-mm-dd")</f>
        <v/>
      </c>
      <c r="C233" t="inlineStr">
        <is>
          <t>1900-07-26</t>
        </is>
      </c>
    </row>
    <row r="234">
      <c r="A234" s="1" t="n">
        <v>233</v>
      </c>
      <c r="B234">
        <f>TEXT(233, "[$-0E0000]yyyy-mm-dd")</f>
        <v/>
      </c>
      <c r="C234" t="inlineStr">
        <is>
          <t>1900-07-27</t>
        </is>
      </c>
    </row>
    <row r="235">
      <c r="A235" s="1" t="n">
        <v>234</v>
      </c>
      <c r="B235">
        <f>TEXT(234, "[$-0E0000]yyyy-mm-dd")</f>
        <v/>
      </c>
      <c r="C235" t="inlineStr">
        <is>
          <t>1900-07-28</t>
        </is>
      </c>
    </row>
    <row r="236">
      <c r="A236" s="1" t="n">
        <v>235</v>
      </c>
      <c r="B236">
        <f>TEXT(235, "[$-0E0000]yyyy-mm-dd")</f>
        <v/>
      </c>
      <c r="C236" t="inlineStr">
        <is>
          <t>1900-07-29</t>
        </is>
      </c>
    </row>
    <row r="237">
      <c r="A237" s="1" t="n">
        <v>236</v>
      </c>
      <c r="B237">
        <f>TEXT(236, "[$-0E0000]yyyy-mm-dd")</f>
        <v/>
      </c>
      <c r="C237" t="inlineStr">
        <is>
          <t>1900-07-30</t>
        </is>
      </c>
    </row>
    <row r="238">
      <c r="A238" s="1" t="n">
        <v>237</v>
      </c>
      <c r="B238">
        <f>TEXT(237, "[$-0E0000]yyyy-mm-dd")</f>
        <v/>
      </c>
      <c r="C238" t="inlineStr">
        <is>
          <t>1900-08-01</t>
        </is>
      </c>
    </row>
    <row r="239">
      <c r="A239" s="1" t="n">
        <v>238</v>
      </c>
      <c r="B239">
        <f>TEXT(238, "[$-0E0000]yyyy-mm-dd")</f>
        <v/>
      </c>
      <c r="C239" t="inlineStr">
        <is>
          <t>1900-08-02</t>
        </is>
      </c>
    </row>
    <row r="240">
      <c r="A240" s="1" t="n">
        <v>239</v>
      </c>
      <c r="B240">
        <f>TEXT(239, "[$-0E0000]yyyy-mm-dd")</f>
        <v/>
      </c>
      <c r="C240" t="inlineStr">
        <is>
          <t>1900-08-03</t>
        </is>
      </c>
    </row>
    <row r="241">
      <c r="A241" s="1" t="n">
        <v>240</v>
      </c>
      <c r="B241">
        <f>TEXT(240, "[$-0E0000]yyyy-mm-dd")</f>
        <v/>
      </c>
      <c r="C241" t="inlineStr">
        <is>
          <t>1900-08-04</t>
        </is>
      </c>
    </row>
    <row r="242">
      <c r="A242" s="1" t="n">
        <v>241</v>
      </c>
      <c r="B242">
        <f>TEXT(241, "[$-0E0000]yyyy-mm-dd")</f>
        <v/>
      </c>
      <c r="C242" t="inlineStr">
        <is>
          <t>1900-08-05</t>
        </is>
      </c>
    </row>
    <row r="243">
      <c r="A243" s="1" t="n">
        <v>242</v>
      </c>
      <c r="B243">
        <f>TEXT(242, "[$-0E0000]yyyy-mm-dd")</f>
        <v/>
      </c>
      <c r="C243" t="inlineStr">
        <is>
          <t>1900-08-06</t>
        </is>
      </c>
    </row>
    <row r="244">
      <c r="A244" s="1" t="n">
        <v>243</v>
      </c>
      <c r="B244">
        <f>TEXT(243, "[$-0E0000]yyyy-mm-dd")</f>
        <v/>
      </c>
      <c r="C244" t="inlineStr">
        <is>
          <t>1900-08-07</t>
        </is>
      </c>
    </row>
    <row r="245">
      <c r="A245" s="1" t="n">
        <v>244</v>
      </c>
      <c r="B245">
        <f>TEXT(244, "[$-0E0000]yyyy-mm-dd")</f>
        <v/>
      </c>
      <c r="C245" t="inlineStr">
        <is>
          <t>1900-08-08</t>
        </is>
      </c>
    </row>
    <row r="246">
      <c r="A246" s="1" t="n">
        <v>245</v>
      </c>
      <c r="B246">
        <f>TEXT(245, "[$-0E0000]yyyy-mm-dd")</f>
        <v/>
      </c>
      <c r="C246" t="inlineStr">
        <is>
          <t>1900-08-09</t>
        </is>
      </c>
    </row>
    <row r="247">
      <c r="A247" s="1" t="n">
        <v>246</v>
      </c>
      <c r="B247">
        <f>TEXT(246, "[$-0E0000]yyyy-mm-dd")</f>
        <v/>
      </c>
      <c r="C247" t="inlineStr">
        <is>
          <t>1900-08-10</t>
        </is>
      </c>
    </row>
    <row r="248">
      <c r="A248" s="1" t="n">
        <v>247</v>
      </c>
      <c r="B248">
        <f>TEXT(247, "[$-0E0000]yyyy-mm-dd")</f>
        <v/>
      </c>
      <c r="C248" t="inlineStr">
        <is>
          <t>1900-08-11</t>
        </is>
      </c>
    </row>
    <row r="249">
      <c r="A249" s="1" t="n">
        <v>248</v>
      </c>
      <c r="B249">
        <f>TEXT(248, "[$-0E0000]yyyy-mm-dd")</f>
        <v/>
      </c>
      <c r="C249" t="inlineStr">
        <is>
          <t>1900-08-12</t>
        </is>
      </c>
    </row>
    <row r="250">
      <c r="A250" s="1" t="n">
        <v>249</v>
      </c>
      <c r="B250">
        <f>TEXT(249, "[$-0E0000]yyyy-mm-dd")</f>
        <v/>
      </c>
      <c r="C250" t="inlineStr">
        <is>
          <t>1900-08-13</t>
        </is>
      </c>
    </row>
    <row r="251">
      <c r="A251" s="1" t="n">
        <v>250</v>
      </c>
      <c r="B251">
        <f>TEXT(250, "[$-0E0000]yyyy-mm-dd")</f>
        <v/>
      </c>
      <c r="C251" t="inlineStr">
        <is>
          <t>1900-08-14</t>
        </is>
      </c>
    </row>
    <row r="252">
      <c r="A252" s="1" t="n">
        <v>251</v>
      </c>
      <c r="B252">
        <f>TEXT(251, "[$-0E0000]yyyy-mm-dd")</f>
        <v/>
      </c>
      <c r="C252" t="inlineStr">
        <is>
          <t>1900-08-15</t>
        </is>
      </c>
    </row>
    <row r="253">
      <c r="A253" s="1" t="n">
        <v>252</v>
      </c>
      <c r="B253">
        <f>TEXT(252, "[$-0E0000]yyyy-mm-dd")</f>
        <v/>
      </c>
      <c r="C253" t="inlineStr">
        <is>
          <t>1900-08-16</t>
        </is>
      </c>
    </row>
    <row r="254">
      <c r="A254" s="1" t="n">
        <v>253</v>
      </c>
      <c r="B254">
        <f>TEXT(253, "[$-0E0000]yyyy-mm-dd")</f>
        <v/>
      </c>
      <c r="C254" t="inlineStr">
        <is>
          <t>1900-08-17</t>
        </is>
      </c>
    </row>
    <row r="255">
      <c r="A255" s="1" t="n">
        <v>254</v>
      </c>
      <c r="B255">
        <f>TEXT(254, "[$-0E0000]yyyy-mm-dd")</f>
        <v/>
      </c>
      <c r="C255" t="inlineStr">
        <is>
          <t>1900-08-18</t>
        </is>
      </c>
    </row>
    <row r="256">
      <c r="A256" s="1" t="n">
        <v>255</v>
      </c>
      <c r="B256">
        <f>TEXT(255, "[$-0E0000]yyyy-mm-dd")</f>
        <v/>
      </c>
      <c r="C256" t="inlineStr">
        <is>
          <t>1900-08-19</t>
        </is>
      </c>
    </row>
    <row r="257">
      <c r="A257" s="1" t="n">
        <v>256</v>
      </c>
      <c r="B257">
        <f>TEXT(256, "[$-0E0000]yyyy-mm-dd")</f>
        <v/>
      </c>
      <c r="C257" t="inlineStr">
        <is>
          <t>1900-08-20</t>
        </is>
      </c>
    </row>
    <row r="258">
      <c r="A258" s="1" t="n">
        <v>257</v>
      </c>
      <c r="B258">
        <f>TEXT(257, "[$-0E0000]yyyy-mm-dd")</f>
        <v/>
      </c>
      <c r="C258" t="inlineStr">
        <is>
          <t>1900-08-21</t>
        </is>
      </c>
    </row>
    <row r="259">
      <c r="A259" s="1" t="n">
        <v>258</v>
      </c>
      <c r="B259">
        <f>TEXT(258, "[$-0E0000]yyyy-mm-dd")</f>
        <v/>
      </c>
      <c r="C259" t="inlineStr">
        <is>
          <t>1900-08-22</t>
        </is>
      </c>
    </row>
    <row r="260">
      <c r="A260" s="1" t="n">
        <v>259</v>
      </c>
      <c r="B260">
        <f>TEXT(259, "[$-0E0000]yyyy-mm-dd")</f>
        <v/>
      </c>
      <c r="C260" t="inlineStr">
        <is>
          <t>1900-08-23</t>
        </is>
      </c>
    </row>
    <row r="261">
      <c r="A261" s="1" t="n">
        <v>260</v>
      </c>
      <c r="B261">
        <f>TEXT(260, "[$-0E0000]yyyy-mm-dd")</f>
        <v/>
      </c>
      <c r="C261" t="inlineStr">
        <is>
          <t>1900-08-24</t>
        </is>
      </c>
    </row>
    <row r="262">
      <c r="A262" s="1" t="n">
        <v>261</v>
      </c>
      <c r="B262">
        <f>TEXT(261, "[$-0E0000]yyyy-mm-dd")</f>
        <v/>
      </c>
      <c r="C262" t="inlineStr">
        <is>
          <t>1900-08-25</t>
        </is>
      </c>
    </row>
    <row r="263">
      <c r="A263" s="1" t="n">
        <v>262</v>
      </c>
      <c r="B263">
        <f>TEXT(262, "[$-0E0000]yyyy-mm-dd")</f>
        <v/>
      </c>
      <c r="C263" t="inlineStr">
        <is>
          <t>1900-08-26</t>
        </is>
      </c>
    </row>
    <row r="264">
      <c r="A264" s="1" t="n">
        <v>263</v>
      </c>
      <c r="B264">
        <f>TEXT(263, "[$-0E0000]yyyy-mm-dd")</f>
        <v/>
      </c>
      <c r="C264" t="inlineStr">
        <is>
          <t>1900-08-27</t>
        </is>
      </c>
    </row>
    <row r="265">
      <c r="A265" s="1" t="n">
        <v>264</v>
      </c>
      <c r="B265">
        <f>TEXT(264, "[$-0E0000]yyyy-mm-dd")</f>
        <v/>
      </c>
      <c r="C265" t="inlineStr">
        <is>
          <t>1900-08-28</t>
        </is>
      </c>
    </row>
    <row r="266">
      <c r="A266" s="1" t="n">
        <v>265</v>
      </c>
      <c r="B266">
        <f>TEXT(265, "[$-0E0000]yyyy-mm-dd")</f>
        <v/>
      </c>
      <c r="C266" t="inlineStr">
        <is>
          <t>1900-08-29</t>
        </is>
      </c>
    </row>
    <row r="267">
      <c r="A267" s="1" t="n">
        <v>266</v>
      </c>
      <c r="B267">
        <f>TEXT(266, "[$-0E0000]yyyy-mm-dd")</f>
        <v/>
      </c>
      <c r="C267" t="inlineStr">
        <is>
          <t>1900-08-30</t>
        </is>
      </c>
    </row>
    <row r="268">
      <c r="A268" s="1" t="n">
        <v>267</v>
      </c>
      <c r="B268">
        <f>TEXT(267, "[$-0E0000]yyyy-mm-dd")</f>
        <v/>
      </c>
      <c r="C268" t="inlineStr">
        <is>
          <t>1900-08-01</t>
        </is>
      </c>
    </row>
    <row r="269">
      <c r="A269" s="1" t="n">
        <v>268</v>
      </c>
      <c r="B269">
        <f>TEXT(268, "[$-0E0000]yyyy-mm-dd")</f>
        <v/>
      </c>
      <c r="C269" t="inlineStr">
        <is>
          <t>1900-08-02</t>
        </is>
      </c>
    </row>
    <row r="270">
      <c r="A270" s="1" t="n">
        <v>269</v>
      </c>
      <c r="B270">
        <f>TEXT(269, "[$-0E0000]yyyy-mm-dd")</f>
        <v/>
      </c>
      <c r="C270" t="inlineStr">
        <is>
          <t>1900-08-03</t>
        </is>
      </c>
    </row>
    <row r="271">
      <c r="A271" s="1" t="n">
        <v>270</v>
      </c>
      <c r="B271">
        <f>TEXT(270, "[$-0E0000]yyyy-mm-dd")</f>
        <v/>
      </c>
      <c r="C271" t="inlineStr">
        <is>
          <t>1900-08-04</t>
        </is>
      </c>
    </row>
    <row r="272">
      <c r="A272" s="1" t="n">
        <v>271</v>
      </c>
      <c r="B272">
        <f>TEXT(271, "[$-0E0000]yyyy-mm-dd")</f>
        <v/>
      </c>
      <c r="C272" t="inlineStr">
        <is>
          <t>1900-08-05</t>
        </is>
      </c>
    </row>
    <row r="273">
      <c r="A273" s="1" t="n">
        <v>272</v>
      </c>
      <c r="B273">
        <f>TEXT(272, "[$-0E0000]yyyy-mm-dd")</f>
        <v/>
      </c>
      <c r="C273" t="inlineStr">
        <is>
          <t>1900-08-06</t>
        </is>
      </c>
    </row>
    <row r="274">
      <c r="A274" s="1" t="n">
        <v>273</v>
      </c>
      <c r="B274">
        <f>TEXT(273, "[$-0E0000]yyyy-mm-dd")</f>
        <v/>
      </c>
      <c r="C274" t="inlineStr">
        <is>
          <t>1900-08-07</t>
        </is>
      </c>
    </row>
    <row r="275">
      <c r="A275" s="1" t="n">
        <v>274</v>
      </c>
      <c r="B275">
        <f>TEXT(274, "[$-0E0000]yyyy-mm-dd")</f>
        <v/>
      </c>
      <c r="C275" t="inlineStr">
        <is>
          <t>1900-08-08</t>
        </is>
      </c>
    </row>
    <row r="276">
      <c r="A276" s="1" t="n">
        <v>275</v>
      </c>
      <c r="B276">
        <f>TEXT(275, "[$-0E0000]yyyy-mm-dd")</f>
        <v/>
      </c>
      <c r="C276" t="inlineStr">
        <is>
          <t>1900-08-09</t>
        </is>
      </c>
    </row>
    <row r="277">
      <c r="A277" s="1" t="n">
        <v>276</v>
      </c>
      <c r="B277">
        <f>TEXT(276, "[$-0E0000]yyyy-mm-dd")</f>
        <v/>
      </c>
      <c r="C277" t="inlineStr">
        <is>
          <t>1900-08-10</t>
        </is>
      </c>
    </row>
    <row r="278">
      <c r="A278" s="1" t="n">
        <v>277</v>
      </c>
      <c r="B278">
        <f>TEXT(277, "[$-0E0000]yyyy-mm-dd")</f>
        <v/>
      </c>
      <c r="C278" t="inlineStr">
        <is>
          <t>1900-08-11</t>
        </is>
      </c>
    </row>
    <row r="279">
      <c r="A279" s="1" t="n">
        <v>278</v>
      </c>
      <c r="B279">
        <f>TEXT(278, "[$-0E0000]yyyy-mm-dd")</f>
        <v/>
      </c>
      <c r="C279" t="inlineStr">
        <is>
          <t>1900-08-12</t>
        </is>
      </c>
    </row>
    <row r="280">
      <c r="A280" s="1" t="n">
        <v>279</v>
      </c>
      <c r="B280">
        <f>TEXT(279, "[$-0E0000]yyyy-mm-dd")</f>
        <v/>
      </c>
      <c r="C280" t="inlineStr">
        <is>
          <t>1900-08-13</t>
        </is>
      </c>
    </row>
    <row r="281">
      <c r="A281" s="1" t="n">
        <v>280</v>
      </c>
      <c r="B281">
        <f>TEXT(280, "[$-0E0000]yyyy-mm-dd")</f>
        <v/>
      </c>
      <c r="C281" t="inlineStr">
        <is>
          <t>1900-08-14</t>
        </is>
      </c>
    </row>
    <row r="282">
      <c r="A282" s="1" t="n">
        <v>281</v>
      </c>
      <c r="B282">
        <f>TEXT(281, "[$-0E0000]yyyy-mm-dd")</f>
        <v/>
      </c>
      <c r="C282" t="inlineStr">
        <is>
          <t>1900-08-15</t>
        </is>
      </c>
    </row>
    <row r="283">
      <c r="A283" s="1" t="n">
        <v>282</v>
      </c>
      <c r="B283">
        <f>TEXT(282, "[$-0E0000]yyyy-mm-dd")</f>
        <v/>
      </c>
      <c r="C283" t="inlineStr">
        <is>
          <t>1900-08-16</t>
        </is>
      </c>
    </row>
    <row r="284">
      <c r="A284" s="1" t="n">
        <v>283</v>
      </c>
      <c r="B284">
        <f>TEXT(283, "[$-0E0000]yyyy-mm-dd")</f>
        <v/>
      </c>
      <c r="C284" t="inlineStr">
        <is>
          <t>1900-08-17</t>
        </is>
      </c>
    </row>
    <row r="285">
      <c r="A285" s="1" t="n">
        <v>284</v>
      </c>
      <c r="B285">
        <f>TEXT(284, "[$-0E0000]yyyy-mm-dd")</f>
        <v/>
      </c>
      <c r="C285" t="inlineStr">
        <is>
          <t>1900-08-18</t>
        </is>
      </c>
    </row>
    <row r="286">
      <c r="A286" s="1" t="n">
        <v>285</v>
      </c>
      <c r="B286">
        <f>TEXT(285, "[$-0E0000]yyyy-mm-dd")</f>
        <v/>
      </c>
      <c r="C286" t="inlineStr">
        <is>
          <t>1900-08-19</t>
        </is>
      </c>
    </row>
    <row r="287">
      <c r="A287" s="1" t="n">
        <v>286</v>
      </c>
      <c r="B287">
        <f>TEXT(286, "[$-0E0000]yyyy-mm-dd")</f>
        <v/>
      </c>
      <c r="C287" t="inlineStr">
        <is>
          <t>1900-08-20</t>
        </is>
      </c>
    </row>
    <row r="288">
      <c r="A288" s="1" t="n">
        <v>287</v>
      </c>
      <c r="B288">
        <f>TEXT(287, "[$-0E0000]yyyy-mm-dd")</f>
        <v/>
      </c>
      <c r="C288" t="inlineStr">
        <is>
          <t>1900-08-21</t>
        </is>
      </c>
    </row>
    <row r="289">
      <c r="A289" s="1" t="n">
        <v>288</v>
      </c>
      <c r="B289">
        <f>TEXT(288, "[$-0E0000]yyyy-mm-dd")</f>
        <v/>
      </c>
      <c r="C289" t="inlineStr">
        <is>
          <t>1900-08-22</t>
        </is>
      </c>
    </row>
    <row r="290">
      <c r="A290" s="1" t="n">
        <v>289</v>
      </c>
      <c r="B290">
        <f>TEXT(289, "[$-0E0000]yyyy-mm-dd")</f>
        <v/>
      </c>
      <c r="C290" t="inlineStr">
        <is>
          <t>1900-08-23</t>
        </is>
      </c>
    </row>
    <row r="291">
      <c r="A291" s="1" t="n">
        <v>290</v>
      </c>
      <c r="B291">
        <f>TEXT(290, "[$-0E0000]yyyy-mm-dd")</f>
        <v/>
      </c>
      <c r="C291" t="inlineStr">
        <is>
          <t>1900-08-24</t>
        </is>
      </c>
    </row>
    <row r="292">
      <c r="A292" s="1" t="n">
        <v>291</v>
      </c>
      <c r="B292">
        <f>TEXT(291, "[$-0E0000]yyyy-mm-dd")</f>
        <v/>
      </c>
      <c r="C292" t="inlineStr">
        <is>
          <t>1900-08-25</t>
        </is>
      </c>
    </row>
    <row r="293">
      <c r="A293" s="1" t="n">
        <v>292</v>
      </c>
      <c r="B293">
        <f>TEXT(292, "[$-0E0000]yyyy-mm-dd")</f>
        <v/>
      </c>
      <c r="C293" t="inlineStr">
        <is>
          <t>1900-08-26</t>
        </is>
      </c>
    </row>
    <row r="294">
      <c r="A294" s="1" t="n">
        <v>293</v>
      </c>
      <c r="B294">
        <f>TEXT(293, "[$-0E0000]yyyy-mm-dd")</f>
        <v/>
      </c>
      <c r="C294" t="inlineStr">
        <is>
          <t>1900-08-27</t>
        </is>
      </c>
    </row>
    <row r="295">
      <c r="A295" s="1" t="n">
        <v>294</v>
      </c>
      <c r="B295">
        <f>TEXT(294, "[$-0E0000]yyyy-mm-dd")</f>
        <v/>
      </c>
      <c r="C295" t="inlineStr">
        <is>
          <t>1900-08-28</t>
        </is>
      </c>
    </row>
    <row r="296">
      <c r="A296" s="1" t="n">
        <v>295</v>
      </c>
      <c r="B296">
        <f>TEXT(295, "[$-0E0000]yyyy-mm-dd")</f>
        <v/>
      </c>
      <c r="C296" t="inlineStr">
        <is>
          <t>1900-08-29</t>
        </is>
      </c>
    </row>
    <row r="297">
      <c r="A297" s="1" t="n">
        <v>296</v>
      </c>
      <c r="B297">
        <f>TEXT(296, "[$-0E0000]yyyy-mm-dd")</f>
        <v/>
      </c>
      <c r="C297" t="inlineStr">
        <is>
          <t>1900-09-01</t>
        </is>
      </c>
    </row>
    <row r="298">
      <c r="A298" s="1" t="n">
        <v>297</v>
      </c>
      <c r="B298">
        <f>TEXT(297, "[$-0E0000]yyyy-mm-dd")</f>
        <v/>
      </c>
      <c r="C298" t="inlineStr">
        <is>
          <t>1900-09-02</t>
        </is>
      </c>
    </row>
    <row r="299">
      <c r="A299" s="1" t="n">
        <v>298</v>
      </c>
      <c r="B299">
        <f>TEXT(298, "[$-0E0000]yyyy-mm-dd")</f>
        <v/>
      </c>
      <c r="C299" t="inlineStr">
        <is>
          <t>1900-09-03</t>
        </is>
      </c>
    </row>
    <row r="300">
      <c r="A300" s="1" t="n">
        <v>299</v>
      </c>
      <c r="B300">
        <f>TEXT(299, "[$-0E0000]yyyy-mm-dd")</f>
        <v/>
      </c>
      <c r="C300" t="inlineStr">
        <is>
          <t>1900-09-04</t>
        </is>
      </c>
    </row>
    <row r="301">
      <c r="A301" s="1" t="n">
        <v>300</v>
      </c>
      <c r="B301">
        <f>TEXT(300, "[$-0E0000]yyyy-mm-dd")</f>
        <v/>
      </c>
      <c r="C301" t="inlineStr">
        <is>
          <t>1900-09-05</t>
        </is>
      </c>
    </row>
    <row r="302">
      <c r="A302" s="1" t="n">
        <v>301</v>
      </c>
      <c r="B302">
        <f>TEXT(301, "[$-0E0000]yyyy-mm-dd")</f>
        <v/>
      </c>
      <c r="C302" t="inlineStr">
        <is>
          <t>1900-09-06</t>
        </is>
      </c>
    </row>
    <row r="303">
      <c r="A303" s="1" t="n">
        <v>302</v>
      </c>
      <c r="B303">
        <f>TEXT(302, "[$-0E0000]yyyy-mm-dd")</f>
        <v/>
      </c>
      <c r="C303" t="inlineStr">
        <is>
          <t>1900-09-07</t>
        </is>
      </c>
    </row>
    <row r="304">
      <c r="A304" s="1" t="n">
        <v>303</v>
      </c>
      <c r="B304">
        <f>TEXT(303, "[$-0E0000]yyyy-mm-dd")</f>
        <v/>
      </c>
      <c r="C304" t="inlineStr">
        <is>
          <t>1900-09-08</t>
        </is>
      </c>
    </row>
    <row r="305">
      <c r="A305" s="1" t="n">
        <v>304</v>
      </c>
      <c r="B305">
        <f>TEXT(304, "[$-0E0000]yyyy-mm-dd")</f>
        <v/>
      </c>
      <c r="C305" t="inlineStr">
        <is>
          <t>1900-09-09</t>
        </is>
      </c>
    </row>
    <row r="306">
      <c r="A306" s="1" t="n">
        <v>305</v>
      </c>
      <c r="B306">
        <f>TEXT(305, "[$-0E0000]yyyy-mm-dd")</f>
        <v/>
      </c>
      <c r="C306" t="inlineStr">
        <is>
          <t>1900-09-10</t>
        </is>
      </c>
    </row>
    <row r="307">
      <c r="A307" s="1" t="n">
        <v>306</v>
      </c>
      <c r="B307">
        <f>TEXT(306, "[$-0E0000]yyyy-mm-dd")</f>
        <v/>
      </c>
      <c r="C307" t="inlineStr">
        <is>
          <t>1900-09-11</t>
        </is>
      </c>
    </row>
    <row r="308">
      <c r="A308" s="1" t="n">
        <v>307</v>
      </c>
      <c r="B308">
        <f>TEXT(307, "[$-0E0000]yyyy-mm-dd")</f>
        <v/>
      </c>
      <c r="C308" t="inlineStr">
        <is>
          <t>1900-09-12</t>
        </is>
      </c>
    </row>
    <row r="309">
      <c r="A309" s="1" t="n">
        <v>308</v>
      </c>
      <c r="B309">
        <f>TEXT(308, "[$-0E0000]yyyy-mm-dd")</f>
        <v/>
      </c>
      <c r="C309" t="inlineStr">
        <is>
          <t>1900-09-13</t>
        </is>
      </c>
    </row>
    <row r="310">
      <c r="A310" s="1" t="n">
        <v>309</v>
      </c>
      <c r="B310">
        <f>TEXT(309, "[$-0E0000]yyyy-mm-dd")</f>
        <v/>
      </c>
      <c r="C310" t="inlineStr">
        <is>
          <t>1900-09-14</t>
        </is>
      </c>
    </row>
    <row r="311">
      <c r="A311" s="1" t="n">
        <v>310</v>
      </c>
      <c r="B311">
        <f>TEXT(310, "[$-0E0000]yyyy-mm-dd")</f>
        <v/>
      </c>
      <c r="C311" t="inlineStr">
        <is>
          <t>1900-09-15</t>
        </is>
      </c>
    </row>
    <row r="312">
      <c r="A312" s="1" t="n">
        <v>311</v>
      </c>
      <c r="B312">
        <f>TEXT(311, "[$-0E0000]yyyy-mm-dd")</f>
        <v/>
      </c>
      <c r="C312" t="inlineStr">
        <is>
          <t>1900-09-16</t>
        </is>
      </c>
    </row>
    <row r="313">
      <c r="A313" s="1" t="n">
        <v>312</v>
      </c>
      <c r="B313">
        <f>TEXT(312, "[$-0E0000]yyyy-mm-dd")</f>
        <v/>
      </c>
      <c r="C313" t="inlineStr">
        <is>
          <t>1900-09-17</t>
        </is>
      </c>
    </row>
    <row r="314">
      <c r="A314" s="1" t="n">
        <v>313</v>
      </c>
      <c r="B314">
        <f>TEXT(313, "[$-0E0000]yyyy-mm-dd")</f>
        <v/>
      </c>
      <c r="C314" t="inlineStr">
        <is>
          <t>1900-09-18</t>
        </is>
      </c>
    </row>
    <row r="315">
      <c r="A315" s="1" t="n">
        <v>314</v>
      </c>
      <c r="B315">
        <f>TEXT(314, "[$-0E0000]yyyy-mm-dd")</f>
        <v/>
      </c>
      <c r="C315" t="inlineStr">
        <is>
          <t>1900-09-19</t>
        </is>
      </c>
    </row>
    <row r="316">
      <c r="A316" s="1" t="n">
        <v>315</v>
      </c>
      <c r="B316">
        <f>TEXT(315, "[$-0E0000]yyyy-mm-dd")</f>
        <v/>
      </c>
      <c r="C316" t="inlineStr">
        <is>
          <t>1900-09-20</t>
        </is>
      </c>
    </row>
    <row r="317">
      <c r="A317" s="1" t="n">
        <v>316</v>
      </c>
      <c r="B317">
        <f>TEXT(316, "[$-0E0000]yyyy-mm-dd")</f>
        <v/>
      </c>
      <c r="C317" t="inlineStr">
        <is>
          <t>1900-09-21</t>
        </is>
      </c>
    </row>
    <row r="318">
      <c r="A318" s="1" t="n">
        <v>317</v>
      </c>
      <c r="B318">
        <f>TEXT(317, "[$-0E0000]yyyy-mm-dd")</f>
        <v/>
      </c>
      <c r="C318" t="inlineStr">
        <is>
          <t>1900-09-22</t>
        </is>
      </c>
    </row>
    <row r="319">
      <c r="A319" s="1" t="n">
        <v>318</v>
      </c>
      <c r="B319">
        <f>TEXT(318, "[$-0E0000]yyyy-mm-dd")</f>
        <v/>
      </c>
      <c r="C319" t="inlineStr">
        <is>
          <t>1900-09-23</t>
        </is>
      </c>
    </row>
    <row r="320">
      <c r="A320" s="1" t="n">
        <v>319</v>
      </c>
      <c r="B320">
        <f>TEXT(319, "[$-0E0000]yyyy-mm-dd")</f>
        <v/>
      </c>
      <c r="C320" t="inlineStr">
        <is>
          <t>1900-09-24</t>
        </is>
      </c>
    </row>
    <row r="321">
      <c r="A321" s="1" t="n">
        <v>320</v>
      </c>
      <c r="B321">
        <f>TEXT(320, "[$-0E0000]yyyy-mm-dd")</f>
        <v/>
      </c>
      <c r="C321" t="inlineStr">
        <is>
          <t>1900-09-25</t>
        </is>
      </c>
    </row>
    <row r="322">
      <c r="A322" s="1" t="n">
        <v>321</v>
      </c>
      <c r="B322">
        <f>TEXT(321, "[$-0E0000]yyyy-mm-dd")</f>
        <v/>
      </c>
      <c r="C322" t="inlineStr">
        <is>
          <t>1900-09-26</t>
        </is>
      </c>
    </row>
    <row r="323">
      <c r="A323" s="1" t="n">
        <v>322</v>
      </c>
      <c r="B323">
        <f>TEXT(322, "[$-0E0000]yyyy-mm-dd")</f>
        <v/>
      </c>
      <c r="C323" t="inlineStr">
        <is>
          <t>1900-09-27</t>
        </is>
      </c>
    </row>
    <row r="324">
      <c r="A324" s="1" t="n">
        <v>323</v>
      </c>
      <c r="B324">
        <f>TEXT(323, "[$-0E0000]yyyy-mm-dd")</f>
        <v/>
      </c>
      <c r="C324" t="inlineStr">
        <is>
          <t>1900-09-28</t>
        </is>
      </c>
    </row>
    <row r="325">
      <c r="A325" s="1" t="n">
        <v>324</v>
      </c>
      <c r="B325">
        <f>TEXT(324, "[$-0E0000]yyyy-mm-dd")</f>
        <v/>
      </c>
      <c r="C325" t="inlineStr">
        <is>
          <t>1900-09-29</t>
        </is>
      </c>
    </row>
    <row r="326">
      <c r="A326" s="1" t="n">
        <v>325</v>
      </c>
      <c r="B326">
        <f>TEXT(325, "[$-0E0000]yyyy-mm-dd")</f>
        <v/>
      </c>
      <c r="C326" t="inlineStr">
        <is>
          <t>1900-09-30</t>
        </is>
      </c>
    </row>
    <row r="327">
      <c r="A327" s="1" t="n">
        <v>326</v>
      </c>
      <c r="B327">
        <f>TEXT(326, "[$-0E0000]yyyy-mm-dd")</f>
        <v/>
      </c>
      <c r="C327" t="inlineStr">
        <is>
          <t>1900-10-01</t>
        </is>
      </c>
    </row>
    <row r="328">
      <c r="A328" s="1" t="n">
        <v>327</v>
      </c>
      <c r="B328">
        <f>TEXT(327, "[$-0E0000]yyyy-mm-dd")</f>
        <v/>
      </c>
      <c r="C328" t="inlineStr">
        <is>
          <t>1900-10-02</t>
        </is>
      </c>
    </row>
    <row r="329">
      <c r="A329" s="1" t="n">
        <v>328</v>
      </c>
      <c r="B329">
        <f>TEXT(328, "[$-0E0000]yyyy-mm-dd")</f>
        <v/>
      </c>
      <c r="C329" t="inlineStr">
        <is>
          <t>1900-10-03</t>
        </is>
      </c>
    </row>
    <row r="330">
      <c r="A330" s="1" t="n">
        <v>329</v>
      </c>
      <c r="B330">
        <f>TEXT(329, "[$-0E0000]yyyy-mm-dd")</f>
        <v/>
      </c>
      <c r="C330" t="inlineStr">
        <is>
          <t>1900-10-04</t>
        </is>
      </c>
    </row>
    <row r="331">
      <c r="A331" s="1" t="n">
        <v>330</v>
      </c>
      <c r="B331">
        <f>TEXT(330, "[$-0E0000]yyyy-mm-dd")</f>
        <v/>
      </c>
      <c r="C331" t="inlineStr">
        <is>
          <t>1900-10-05</t>
        </is>
      </c>
    </row>
    <row r="332">
      <c r="A332" s="1" t="n">
        <v>331</v>
      </c>
      <c r="B332">
        <f>TEXT(331, "[$-0E0000]yyyy-mm-dd")</f>
        <v/>
      </c>
      <c r="C332" t="inlineStr">
        <is>
          <t>1900-10-06</t>
        </is>
      </c>
    </row>
    <row r="333">
      <c r="A333" s="1" t="n">
        <v>332</v>
      </c>
      <c r="B333">
        <f>TEXT(332, "[$-0E0000]yyyy-mm-dd")</f>
        <v/>
      </c>
      <c r="C333" t="inlineStr">
        <is>
          <t>1900-10-07</t>
        </is>
      </c>
    </row>
    <row r="334">
      <c r="A334" s="1" t="n">
        <v>333</v>
      </c>
      <c r="B334">
        <f>TEXT(333, "[$-0E0000]yyyy-mm-dd")</f>
        <v/>
      </c>
      <c r="C334" t="inlineStr">
        <is>
          <t>1900-10-08</t>
        </is>
      </c>
    </row>
    <row r="335">
      <c r="A335" s="1" t="n">
        <v>334</v>
      </c>
      <c r="B335">
        <f>TEXT(334, "[$-0E0000]yyyy-mm-dd")</f>
        <v/>
      </c>
      <c r="C335" t="inlineStr">
        <is>
          <t>1900-10-09</t>
        </is>
      </c>
    </row>
    <row r="336">
      <c r="A336" s="1" t="n">
        <v>335</v>
      </c>
      <c r="B336">
        <f>TEXT(335, "[$-0E0000]yyyy-mm-dd")</f>
        <v/>
      </c>
      <c r="C336" t="inlineStr">
        <is>
          <t>1900-10-10</t>
        </is>
      </c>
    </row>
    <row r="337">
      <c r="A337" s="1" t="n">
        <v>336</v>
      </c>
      <c r="B337">
        <f>TEXT(336, "[$-0E0000]yyyy-mm-dd")</f>
        <v/>
      </c>
      <c r="C337" t="inlineStr">
        <is>
          <t>1900-10-11</t>
        </is>
      </c>
    </row>
    <row r="338">
      <c r="A338" s="1" t="n">
        <v>337</v>
      </c>
      <c r="B338">
        <f>TEXT(337, "[$-0E0000]yyyy-mm-dd")</f>
        <v/>
      </c>
      <c r="C338" t="inlineStr">
        <is>
          <t>1900-10-12</t>
        </is>
      </c>
    </row>
    <row r="339">
      <c r="A339" s="1" t="n">
        <v>338</v>
      </c>
      <c r="B339">
        <f>TEXT(338, "[$-0E0000]yyyy-mm-dd")</f>
        <v/>
      </c>
      <c r="C339" t="inlineStr">
        <is>
          <t>1900-10-13</t>
        </is>
      </c>
    </row>
    <row r="340">
      <c r="A340" s="1" t="n">
        <v>339</v>
      </c>
      <c r="B340">
        <f>TEXT(339, "[$-0E0000]yyyy-mm-dd")</f>
        <v/>
      </c>
      <c r="C340" t="inlineStr">
        <is>
          <t>1900-10-14</t>
        </is>
      </c>
    </row>
    <row r="341">
      <c r="A341" s="1" t="n">
        <v>340</v>
      </c>
      <c r="B341">
        <f>TEXT(340, "[$-0E0000]yyyy-mm-dd")</f>
        <v/>
      </c>
      <c r="C341" t="inlineStr">
        <is>
          <t>1900-10-15</t>
        </is>
      </c>
    </row>
    <row r="342">
      <c r="A342" s="1" t="n">
        <v>341</v>
      </c>
      <c r="B342">
        <f>TEXT(341, "[$-0E0000]yyyy-mm-dd")</f>
        <v/>
      </c>
      <c r="C342" t="inlineStr">
        <is>
          <t>1900-10-16</t>
        </is>
      </c>
    </row>
    <row r="343">
      <c r="A343" s="1" t="n">
        <v>342</v>
      </c>
      <c r="B343">
        <f>TEXT(342, "[$-0E0000]yyyy-mm-dd")</f>
        <v/>
      </c>
      <c r="C343" t="inlineStr">
        <is>
          <t>1900-10-17</t>
        </is>
      </c>
    </row>
    <row r="344">
      <c r="A344" s="1" t="n">
        <v>343</v>
      </c>
      <c r="B344">
        <f>TEXT(343, "[$-0E0000]yyyy-mm-dd")</f>
        <v/>
      </c>
      <c r="C344" t="inlineStr">
        <is>
          <t>1900-10-18</t>
        </is>
      </c>
    </row>
    <row r="345">
      <c r="A345" s="1" t="n">
        <v>344</v>
      </c>
      <c r="B345">
        <f>TEXT(344, "[$-0E0000]yyyy-mm-dd")</f>
        <v/>
      </c>
      <c r="C345" t="inlineStr">
        <is>
          <t>1900-10-19</t>
        </is>
      </c>
    </row>
    <row r="346">
      <c r="A346" s="1" t="n">
        <v>345</v>
      </c>
      <c r="B346">
        <f>TEXT(345, "[$-0E0000]yyyy-mm-dd")</f>
        <v/>
      </c>
      <c r="C346" t="inlineStr">
        <is>
          <t>1900-10-20</t>
        </is>
      </c>
    </row>
    <row r="347">
      <c r="A347" s="1" t="n">
        <v>346</v>
      </c>
      <c r="B347">
        <f>TEXT(346, "[$-0E0000]yyyy-mm-dd")</f>
        <v/>
      </c>
      <c r="C347" t="inlineStr">
        <is>
          <t>1900-10-21</t>
        </is>
      </c>
    </row>
    <row r="348">
      <c r="A348" s="1" t="n">
        <v>347</v>
      </c>
      <c r="B348">
        <f>TEXT(347, "[$-0E0000]yyyy-mm-dd")</f>
        <v/>
      </c>
      <c r="C348" t="inlineStr">
        <is>
          <t>1900-10-22</t>
        </is>
      </c>
    </row>
    <row r="349">
      <c r="A349" s="1" t="n">
        <v>348</v>
      </c>
      <c r="B349">
        <f>TEXT(348, "[$-0E0000]yyyy-mm-dd")</f>
        <v/>
      </c>
      <c r="C349" t="inlineStr">
        <is>
          <t>1900-10-23</t>
        </is>
      </c>
    </row>
    <row r="350">
      <c r="A350" s="1" t="n">
        <v>349</v>
      </c>
      <c r="B350">
        <f>TEXT(349, "[$-0E0000]yyyy-mm-dd")</f>
        <v/>
      </c>
      <c r="C350" t="inlineStr">
        <is>
          <t>1900-10-24</t>
        </is>
      </c>
    </row>
    <row r="351">
      <c r="A351" s="1" t="n">
        <v>350</v>
      </c>
      <c r="B351">
        <f>TEXT(350, "[$-0E0000]yyyy-mm-dd")</f>
        <v/>
      </c>
      <c r="C351" t="inlineStr">
        <is>
          <t>1900-10-25</t>
        </is>
      </c>
    </row>
    <row r="352">
      <c r="A352" s="1" t="n">
        <v>351</v>
      </c>
      <c r="B352">
        <f>TEXT(351, "[$-0E0000]yyyy-mm-dd")</f>
        <v/>
      </c>
      <c r="C352" t="inlineStr">
        <is>
          <t>1900-10-26</t>
        </is>
      </c>
    </row>
    <row r="353">
      <c r="A353" s="1" t="n">
        <v>352</v>
      </c>
      <c r="B353">
        <f>TEXT(352, "[$-0E0000]yyyy-mm-dd")</f>
        <v/>
      </c>
      <c r="C353" t="inlineStr">
        <is>
          <t>1900-10-27</t>
        </is>
      </c>
    </row>
    <row r="354">
      <c r="A354" s="1" t="n">
        <v>353</v>
      </c>
      <c r="B354">
        <f>TEXT(353, "[$-0E0000]yyyy-mm-dd")</f>
        <v/>
      </c>
      <c r="C354" t="inlineStr">
        <is>
          <t>1900-10-28</t>
        </is>
      </c>
    </row>
    <row r="355">
      <c r="A355" s="1" t="n">
        <v>354</v>
      </c>
      <c r="B355">
        <f>TEXT(354, "[$-0E0000]yyyy-mm-dd")</f>
        <v/>
      </c>
      <c r="C355" t="inlineStr">
        <is>
          <t>1900-10-29</t>
        </is>
      </c>
    </row>
    <row r="356">
      <c r="A356" s="1" t="n">
        <v>355</v>
      </c>
      <c r="B356">
        <f>TEXT(355, "[$-0E0000]yyyy-mm-dd")</f>
        <v/>
      </c>
      <c r="C356" t="inlineStr">
        <is>
          <t>1900-10-30</t>
        </is>
      </c>
    </row>
    <row r="357">
      <c r="A357" s="1" t="n">
        <v>356</v>
      </c>
      <c r="B357">
        <f>TEXT(356, "[$-0E0000]yyyy-mm-dd")</f>
        <v/>
      </c>
      <c r="C357" t="inlineStr">
        <is>
          <t>1900-11-01</t>
        </is>
      </c>
    </row>
    <row r="358">
      <c r="A358" s="1" t="n">
        <v>357</v>
      </c>
      <c r="B358">
        <f>TEXT(357, "[$-0E0000]yyyy-mm-dd")</f>
        <v/>
      </c>
      <c r="C358" t="inlineStr">
        <is>
          <t>1900-11-02</t>
        </is>
      </c>
    </row>
    <row r="359">
      <c r="A359" s="1" t="n">
        <v>358</v>
      </c>
      <c r="B359">
        <f>TEXT(358, "[$-0E0000]yyyy-mm-dd")</f>
        <v/>
      </c>
      <c r="C359" t="inlineStr">
        <is>
          <t>1900-11-03</t>
        </is>
      </c>
    </row>
    <row r="360">
      <c r="A360" s="1" t="n">
        <v>359</v>
      </c>
      <c r="B360">
        <f>TEXT(359, "[$-0E0000]yyyy-mm-dd")</f>
        <v/>
      </c>
      <c r="C360" t="inlineStr">
        <is>
          <t>1900-11-04</t>
        </is>
      </c>
    </row>
    <row r="361">
      <c r="A361" s="1" t="n">
        <v>360</v>
      </c>
      <c r="B361">
        <f>TEXT(360, "[$-0E0000]yyyy-mm-dd")</f>
        <v/>
      </c>
      <c r="C361" t="inlineStr">
        <is>
          <t>1900-11-05</t>
        </is>
      </c>
    </row>
    <row r="362">
      <c r="A362" s="1" t="n">
        <v>361</v>
      </c>
      <c r="B362">
        <f>TEXT(361, "[$-0E0000]yyyy-mm-dd")</f>
        <v/>
      </c>
      <c r="C362" t="inlineStr">
        <is>
          <t>1900-11-06</t>
        </is>
      </c>
    </row>
    <row r="363">
      <c r="A363" s="1" t="n">
        <v>362</v>
      </c>
      <c r="B363">
        <f>TEXT(362, "[$-0E0000]yyyy-mm-dd")</f>
        <v/>
      </c>
      <c r="C363" t="inlineStr">
        <is>
          <t>1900-11-07</t>
        </is>
      </c>
    </row>
    <row r="364">
      <c r="A364" s="1" t="n">
        <v>363</v>
      </c>
      <c r="B364">
        <f>TEXT(363, "[$-0E0000]yyyy-mm-dd")</f>
        <v/>
      </c>
      <c r="C364" t="inlineStr">
        <is>
          <t>1900-11-08</t>
        </is>
      </c>
    </row>
    <row r="365">
      <c r="A365" s="1" t="n">
        <v>364</v>
      </c>
      <c r="B365">
        <f>TEXT(364, "[$-0E0000]yyyy-mm-dd")</f>
        <v/>
      </c>
      <c r="C365" t="inlineStr">
        <is>
          <t>1900-11-09</t>
        </is>
      </c>
    </row>
    <row r="366">
      <c r="A366" s="1" t="n">
        <v>365</v>
      </c>
      <c r="B366">
        <f>TEXT(365, "[$-0E0000]yyyy-mm-dd")</f>
        <v/>
      </c>
      <c r="C366" t="inlineStr">
        <is>
          <t>1900-11-10</t>
        </is>
      </c>
    </row>
    <row r="367">
      <c r="A367" s="1" t="n">
        <v>366</v>
      </c>
      <c r="B367">
        <f>TEXT(366, "[$-0E0000]yyyy-mm-dd")</f>
        <v/>
      </c>
      <c r="C367" t="inlineStr">
        <is>
          <t>1900-11-11</t>
        </is>
      </c>
    </row>
    <row r="368">
      <c r="A368" s="1" t="n">
        <v>367</v>
      </c>
      <c r="B368">
        <f>TEXT(367, "[$-0E0000]yyyy-mm-dd")</f>
        <v/>
      </c>
      <c r="C368" t="inlineStr">
        <is>
          <t>1900-11-12</t>
        </is>
      </c>
    </row>
    <row r="369">
      <c r="A369" s="1" t="n">
        <v>368</v>
      </c>
      <c r="B369">
        <f>TEXT(368, "[$-0E0000]yyyy-mm-dd")</f>
        <v/>
      </c>
      <c r="C369" t="inlineStr">
        <is>
          <t>1900-11-13</t>
        </is>
      </c>
    </row>
    <row r="370">
      <c r="A370" s="1" t="n">
        <v>369</v>
      </c>
      <c r="B370">
        <f>TEXT(369, "[$-0E0000]yyyy-mm-dd")</f>
        <v/>
      </c>
      <c r="C370" t="inlineStr">
        <is>
          <t>1900-11-14</t>
        </is>
      </c>
    </row>
    <row r="371">
      <c r="A371" s="1" t="n">
        <v>370</v>
      </c>
      <c r="B371">
        <f>TEXT(370, "[$-0E0000]yyyy-mm-dd")</f>
        <v/>
      </c>
      <c r="C371" t="inlineStr">
        <is>
          <t>1900-11-15</t>
        </is>
      </c>
    </row>
    <row r="372">
      <c r="A372" s="1" t="n">
        <v>371</v>
      </c>
      <c r="B372">
        <f>TEXT(371, "[$-0E0000]yyyy-mm-dd")</f>
        <v/>
      </c>
      <c r="C372" t="inlineStr">
        <is>
          <t>1900-11-16</t>
        </is>
      </c>
    </row>
    <row r="373">
      <c r="A373" s="1" t="n">
        <v>372</v>
      </c>
      <c r="B373">
        <f>TEXT(372, "[$-0E0000]yyyy-mm-dd")</f>
        <v/>
      </c>
      <c r="C373" t="inlineStr">
        <is>
          <t>1900-11-17</t>
        </is>
      </c>
    </row>
    <row r="374">
      <c r="A374" s="1" t="n">
        <v>373</v>
      </c>
      <c r="B374">
        <f>TEXT(373, "[$-0E0000]yyyy-mm-dd")</f>
        <v/>
      </c>
      <c r="C374" t="inlineStr">
        <is>
          <t>1900-11-18</t>
        </is>
      </c>
    </row>
    <row r="375">
      <c r="A375" s="1" t="n">
        <v>374</v>
      </c>
      <c r="B375">
        <f>TEXT(374, "[$-0E0000]yyyy-mm-dd")</f>
        <v/>
      </c>
      <c r="C375" t="inlineStr">
        <is>
          <t>1900-11-19</t>
        </is>
      </c>
    </row>
    <row r="376">
      <c r="A376" s="1" t="n">
        <v>375</v>
      </c>
      <c r="B376">
        <f>TEXT(375, "[$-0E0000]yyyy-mm-dd")</f>
        <v/>
      </c>
      <c r="C376" t="inlineStr">
        <is>
          <t>1900-11-20</t>
        </is>
      </c>
    </row>
    <row r="377">
      <c r="A377" s="1" t="n">
        <v>376</v>
      </c>
      <c r="B377">
        <f>TEXT(376, "[$-0E0000]yyyy-mm-dd")</f>
        <v/>
      </c>
      <c r="C377" t="inlineStr">
        <is>
          <t>1900-11-21</t>
        </is>
      </c>
    </row>
    <row r="378">
      <c r="A378" s="1" t="n">
        <v>377</v>
      </c>
      <c r="B378">
        <f>TEXT(377, "[$-0E0000]yyyy-mm-dd")</f>
        <v/>
      </c>
      <c r="C378" t="inlineStr">
        <is>
          <t>1900-11-22</t>
        </is>
      </c>
    </row>
    <row r="379">
      <c r="A379" s="1" t="n">
        <v>378</v>
      </c>
      <c r="B379">
        <f>TEXT(378, "[$-0E0000]yyyy-mm-dd")</f>
        <v/>
      </c>
      <c r="C379" t="inlineStr">
        <is>
          <t>1900-11-23</t>
        </is>
      </c>
    </row>
    <row r="380">
      <c r="A380" s="1" t="n">
        <v>379</v>
      </c>
      <c r="B380">
        <f>TEXT(379, "[$-0E0000]yyyy-mm-dd")</f>
        <v/>
      </c>
      <c r="C380" t="inlineStr">
        <is>
          <t>1900-11-24</t>
        </is>
      </c>
    </row>
    <row r="381">
      <c r="A381" s="1" t="n">
        <v>380</v>
      </c>
      <c r="B381">
        <f>TEXT(380, "[$-0E0000]yyyy-mm-dd")</f>
        <v/>
      </c>
      <c r="C381" t="inlineStr">
        <is>
          <t>1900-11-25</t>
        </is>
      </c>
    </row>
    <row r="382">
      <c r="A382" s="1" t="n">
        <v>381</v>
      </c>
      <c r="B382">
        <f>TEXT(381, "[$-0E0000]yyyy-mm-dd")</f>
        <v/>
      </c>
      <c r="C382" t="inlineStr">
        <is>
          <t>1900-11-26</t>
        </is>
      </c>
    </row>
    <row r="383">
      <c r="A383" s="1" t="n">
        <v>382</v>
      </c>
      <c r="B383">
        <f>TEXT(382, "[$-0E0000]yyyy-mm-dd")</f>
        <v/>
      </c>
      <c r="C383" t="inlineStr">
        <is>
          <t>1900-11-27</t>
        </is>
      </c>
    </row>
    <row r="384">
      <c r="A384" s="1" t="n">
        <v>383</v>
      </c>
      <c r="B384">
        <f>TEXT(383, "[$-0E0000]yyyy-mm-dd")</f>
        <v/>
      </c>
      <c r="C384" t="inlineStr">
        <is>
          <t>1900-11-28</t>
        </is>
      </c>
    </row>
    <row r="385">
      <c r="A385" s="1" t="n">
        <v>384</v>
      </c>
      <c r="B385">
        <f>TEXT(384, "[$-0E0000]yyyy-mm-dd")</f>
        <v/>
      </c>
      <c r="C385" t="inlineStr">
        <is>
          <t>1900-11-29</t>
        </is>
      </c>
    </row>
    <row r="386">
      <c r="A386" s="1" t="n">
        <v>385</v>
      </c>
      <c r="B386">
        <f>TEXT(385, "[$-0E0000]yyyy-mm-dd")</f>
        <v/>
      </c>
      <c r="C386" t="inlineStr">
        <is>
          <t>1900-12-01</t>
        </is>
      </c>
    </row>
    <row r="387">
      <c r="A387" s="1" t="n">
        <v>386</v>
      </c>
      <c r="B387">
        <f>TEXT(386, "[$-0E0000]yyyy-mm-dd")</f>
        <v/>
      </c>
      <c r="C387" t="inlineStr">
        <is>
          <t>1900-12-02</t>
        </is>
      </c>
    </row>
    <row r="388">
      <c r="A388" s="1" t="n">
        <v>387</v>
      </c>
      <c r="B388">
        <f>TEXT(387, "[$-0E0000]yyyy-mm-dd")</f>
        <v/>
      </c>
      <c r="C388" t="inlineStr">
        <is>
          <t>1900-12-03</t>
        </is>
      </c>
    </row>
    <row r="389">
      <c r="A389" s="1" t="n">
        <v>388</v>
      </c>
      <c r="B389">
        <f>TEXT(388, "[$-0E0000]yyyy-mm-dd")</f>
        <v/>
      </c>
      <c r="C389" t="inlineStr">
        <is>
          <t>1900-12-04</t>
        </is>
      </c>
    </row>
    <row r="390">
      <c r="A390" s="1" t="n">
        <v>389</v>
      </c>
      <c r="B390">
        <f>TEXT(389, "[$-0E0000]yyyy-mm-dd")</f>
        <v/>
      </c>
      <c r="C390" t="inlineStr">
        <is>
          <t>1900-12-05</t>
        </is>
      </c>
    </row>
    <row r="391">
      <c r="A391" s="1" t="n">
        <v>390</v>
      </c>
      <c r="B391">
        <f>TEXT(390, "[$-0E0000]yyyy-mm-dd")</f>
        <v/>
      </c>
      <c r="C391" t="inlineStr">
        <is>
          <t>1900-12-06</t>
        </is>
      </c>
    </row>
    <row r="392">
      <c r="A392" s="1" t="n">
        <v>391</v>
      </c>
      <c r="B392">
        <f>TEXT(391, "[$-0E0000]yyyy-mm-dd")</f>
        <v/>
      </c>
      <c r="C392" t="inlineStr">
        <is>
          <t>1900-12-07</t>
        </is>
      </c>
    </row>
    <row r="393">
      <c r="A393" s="1" t="n">
        <v>392</v>
      </c>
      <c r="B393">
        <f>TEXT(392, "[$-0E0000]yyyy-mm-dd")</f>
        <v/>
      </c>
      <c r="C393" t="inlineStr">
        <is>
          <t>1900-12-08</t>
        </is>
      </c>
    </row>
    <row r="394">
      <c r="A394" s="1" t="n">
        <v>393</v>
      </c>
      <c r="B394">
        <f>TEXT(393, "[$-0E0000]yyyy-mm-dd")</f>
        <v/>
      </c>
      <c r="C394" t="inlineStr">
        <is>
          <t>1900-12-09</t>
        </is>
      </c>
    </row>
    <row r="395">
      <c r="A395" s="1" t="n">
        <v>394</v>
      </c>
      <c r="B395">
        <f>TEXT(394, "[$-0E0000]yyyy-mm-dd")</f>
        <v/>
      </c>
      <c r="C395" t="inlineStr">
        <is>
          <t>1900-12-10</t>
        </is>
      </c>
    </row>
    <row r="396">
      <c r="A396" s="1" t="n">
        <v>395</v>
      </c>
      <c r="B396">
        <f>TEXT(395, "[$-0E0000]yyyy-mm-dd")</f>
        <v/>
      </c>
      <c r="C396" t="inlineStr">
        <is>
          <t>1900-12-11</t>
        </is>
      </c>
    </row>
    <row r="397">
      <c r="A397" s="1" t="n">
        <v>396</v>
      </c>
      <c r="B397">
        <f>TEXT(396, "[$-0E0000]yyyy-mm-dd")</f>
        <v/>
      </c>
      <c r="C397" t="inlineStr">
        <is>
          <t>1900-12-12</t>
        </is>
      </c>
    </row>
    <row r="398">
      <c r="A398" s="1" t="n">
        <v>397</v>
      </c>
      <c r="B398">
        <f>TEXT(397, "[$-0E0000]yyyy-mm-dd")</f>
        <v/>
      </c>
      <c r="C398" t="inlineStr">
        <is>
          <t>1900-12-13</t>
        </is>
      </c>
    </row>
    <row r="399">
      <c r="A399" s="1" t="n">
        <v>398</v>
      </c>
      <c r="B399">
        <f>TEXT(398, "[$-0E0000]yyyy-mm-dd")</f>
        <v/>
      </c>
      <c r="C399" t="inlineStr">
        <is>
          <t>1900-12-14</t>
        </is>
      </c>
    </row>
    <row r="400">
      <c r="A400" s="1" t="n">
        <v>399</v>
      </c>
      <c r="B400">
        <f>TEXT(399, "[$-0E0000]yyyy-mm-dd")</f>
        <v/>
      </c>
      <c r="C400" t="inlineStr">
        <is>
          <t>1900-12-15</t>
        </is>
      </c>
    </row>
    <row r="401">
      <c r="A401" s="1" t="n">
        <v>400</v>
      </c>
      <c r="B401">
        <f>TEXT(400, "[$-0E0000]yyyy-mm-dd")</f>
        <v/>
      </c>
      <c r="C401" t="inlineStr">
        <is>
          <t>1900-12-16</t>
        </is>
      </c>
    </row>
    <row r="402">
      <c r="A402" s="1" t="n">
        <v>401</v>
      </c>
      <c r="B402">
        <f>TEXT(401, "[$-0E0000]yyyy-mm-dd")</f>
        <v/>
      </c>
      <c r="C402" t="inlineStr">
        <is>
          <t>1900-12-17</t>
        </is>
      </c>
    </row>
    <row r="403">
      <c r="A403" s="1" t="n">
        <v>402</v>
      </c>
      <c r="B403">
        <f>TEXT(402, "[$-0E0000]yyyy-mm-dd")</f>
        <v/>
      </c>
      <c r="C403" t="inlineStr">
        <is>
          <t>1900-12-18</t>
        </is>
      </c>
    </row>
    <row r="404">
      <c r="A404" s="1" t="n">
        <v>403</v>
      </c>
      <c r="B404">
        <f>TEXT(403, "[$-0E0000]yyyy-mm-dd")</f>
        <v/>
      </c>
      <c r="C404" t="inlineStr">
        <is>
          <t>1900-12-19</t>
        </is>
      </c>
    </row>
    <row r="405">
      <c r="A405" s="1" t="n">
        <v>404</v>
      </c>
      <c r="B405">
        <f>TEXT(404, "[$-0E0000]yyyy-mm-dd")</f>
        <v/>
      </c>
      <c r="C405" t="inlineStr">
        <is>
          <t>1900-12-20</t>
        </is>
      </c>
    </row>
    <row r="406">
      <c r="A406" s="1" t="n">
        <v>405</v>
      </c>
      <c r="B406">
        <f>TEXT(405, "[$-0E0000]yyyy-mm-dd")</f>
        <v/>
      </c>
      <c r="C406" t="inlineStr">
        <is>
          <t>1900-12-21</t>
        </is>
      </c>
    </row>
    <row r="407">
      <c r="A407" s="1" t="n">
        <v>406</v>
      </c>
      <c r="B407">
        <f>TEXT(406, "[$-0E0000]yyyy-mm-dd")</f>
        <v/>
      </c>
      <c r="C407" t="inlineStr">
        <is>
          <t>1900-12-22</t>
        </is>
      </c>
    </row>
    <row r="408">
      <c r="A408" s="1" t="n">
        <v>407</v>
      </c>
      <c r="B408">
        <f>TEXT(407, "[$-0E0000]yyyy-mm-dd")</f>
        <v/>
      </c>
      <c r="C408" t="inlineStr">
        <is>
          <t>1900-12-23</t>
        </is>
      </c>
    </row>
    <row r="409">
      <c r="A409" s="1" t="n">
        <v>408</v>
      </c>
      <c r="B409">
        <f>TEXT(408, "[$-0E0000]yyyy-mm-dd")</f>
        <v/>
      </c>
      <c r="C409" t="inlineStr">
        <is>
          <t>1900-12-24</t>
        </is>
      </c>
    </row>
    <row r="410">
      <c r="A410" s="1" t="n">
        <v>409</v>
      </c>
      <c r="B410">
        <f>TEXT(409, "[$-0E0000]yyyy-mm-dd")</f>
        <v/>
      </c>
      <c r="C410" t="inlineStr">
        <is>
          <t>1900-12-25</t>
        </is>
      </c>
    </row>
    <row r="411">
      <c r="A411" s="1" t="n">
        <v>410</v>
      </c>
      <c r="B411">
        <f>TEXT(410, "[$-0E0000]yyyy-mm-dd")</f>
        <v/>
      </c>
      <c r="C411" t="inlineStr">
        <is>
          <t>1900-12-26</t>
        </is>
      </c>
    </row>
    <row r="412">
      <c r="A412" s="1" t="n">
        <v>411</v>
      </c>
      <c r="B412">
        <f>TEXT(411, "[$-0E0000]yyyy-mm-dd")</f>
        <v/>
      </c>
      <c r="C412" t="inlineStr">
        <is>
          <t>1900-12-27</t>
        </is>
      </c>
    </row>
    <row r="413">
      <c r="A413" s="1" t="n">
        <v>412</v>
      </c>
      <c r="B413">
        <f>TEXT(412, "[$-0E0000]yyyy-mm-dd")</f>
        <v/>
      </c>
      <c r="C413" t="inlineStr">
        <is>
          <t>1900-12-28</t>
        </is>
      </c>
    </row>
    <row r="414">
      <c r="A414" s="1" t="n">
        <v>413</v>
      </c>
      <c r="B414">
        <f>TEXT(413, "[$-0E0000]yyyy-mm-dd")</f>
        <v/>
      </c>
      <c r="C414" t="inlineStr">
        <is>
          <t>1900-12-29</t>
        </is>
      </c>
    </row>
    <row r="415">
      <c r="A415" s="1" t="n">
        <v>414</v>
      </c>
      <c r="B415">
        <f>TEXT(414, "[$-0E0000]yyyy-mm-dd")</f>
        <v/>
      </c>
      <c r="C415" t="inlineStr">
        <is>
          <t>1900-12-30</t>
        </is>
      </c>
    </row>
    <row r="416">
      <c r="A416" s="1" t="n">
        <v>415</v>
      </c>
      <c r="B416">
        <f>TEXT(415, "[$-0E0000]yyyy-mm-dd")</f>
        <v/>
      </c>
      <c r="C416" t="inlineStr">
        <is>
          <t>1901-01-01</t>
        </is>
      </c>
    </row>
    <row r="417">
      <c r="A417" s="1" t="n">
        <v>416</v>
      </c>
      <c r="B417">
        <f>TEXT(416, "[$-0E0000]yyyy-mm-dd")</f>
        <v/>
      </c>
      <c r="C417" t="inlineStr">
        <is>
          <t>1901-01-02</t>
        </is>
      </c>
    </row>
    <row r="418">
      <c r="A418" s="1" t="n">
        <v>417</v>
      </c>
      <c r="B418">
        <f>TEXT(417, "[$-0E0000]yyyy-mm-dd")</f>
        <v/>
      </c>
      <c r="C418" t="inlineStr">
        <is>
          <t>1901-01-03</t>
        </is>
      </c>
    </row>
    <row r="419">
      <c r="A419" s="1" t="n">
        <v>418</v>
      </c>
      <c r="B419">
        <f>TEXT(418, "[$-0E0000]yyyy-mm-dd")</f>
        <v/>
      </c>
      <c r="C419" t="inlineStr">
        <is>
          <t>1901-01-04</t>
        </is>
      </c>
    </row>
    <row r="420">
      <c r="A420" s="1" t="n">
        <v>419</v>
      </c>
      <c r="B420">
        <f>TEXT(419, "[$-0E0000]yyyy-mm-dd")</f>
        <v/>
      </c>
      <c r="C420" t="inlineStr">
        <is>
          <t>1901-01-05</t>
        </is>
      </c>
    </row>
    <row r="421">
      <c r="A421" s="1" t="n">
        <v>420</v>
      </c>
      <c r="B421">
        <f>TEXT(420, "[$-0E0000]yyyy-mm-dd")</f>
        <v/>
      </c>
      <c r="C421" t="inlineStr">
        <is>
          <t>1901-01-06</t>
        </is>
      </c>
    </row>
    <row r="422">
      <c r="A422" s="1" t="n">
        <v>421</v>
      </c>
      <c r="B422">
        <f>TEXT(421, "[$-0E0000]yyyy-mm-dd")</f>
        <v/>
      </c>
      <c r="C422" t="inlineStr">
        <is>
          <t>1901-01-07</t>
        </is>
      </c>
    </row>
    <row r="423">
      <c r="A423" s="1" t="n">
        <v>422</v>
      </c>
      <c r="B423">
        <f>TEXT(422, "[$-0E0000]yyyy-mm-dd")</f>
        <v/>
      </c>
      <c r="C423" t="inlineStr">
        <is>
          <t>1901-01-08</t>
        </is>
      </c>
    </row>
    <row r="424">
      <c r="A424" s="1" t="n">
        <v>423</v>
      </c>
      <c r="B424">
        <f>TEXT(423, "[$-0E0000]yyyy-mm-dd")</f>
        <v/>
      </c>
      <c r="C424" t="inlineStr">
        <is>
          <t>1901-01-09</t>
        </is>
      </c>
    </row>
    <row r="425">
      <c r="A425" s="1" t="n">
        <v>424</v>
      </c>
      <c r="B425">
        <f>TEXT(424, "[$-0E0000]yyyy-mm-dd")</f>
        <v/>
      </c>
      <c r="C425" t="inlineStr">
        <is>
          <t>1901-01-10</t>
        </is>
      </c>
    </row>
    <row r="426">
      <c r="A426" s="1" t="n">
        <v>425</v>
      </c>
      <c r="B426">
        <f>TEXT(425, "[$-0E0000]yyyy-mm-dd")</f>
        <v/>
      </c>
      <c r="C426" t="inlineStr">
        <is>
          <t>1901-01-11</t>
        </is>
      </c>
    </row>
    <row r="427">
      <c r="A427" s="1" t="n">
        <v>426</v>
      </c>
      <c r="B427">
        <f>TEXT(426, "[$-0E0000]yyyy-mm-dd")</f>
        <v/>
      </c>
      <c r="C427" t="inlineStr">
        <is>
          <t>1901-01-12</t>
        </is>
      </c>
    </row>
    <row r="428">
      <c r="A428" s="1" t="n">
        <v>427</v>
      </c>
      <c r="B428">
        <f>TEXT(427, "[$-0E0000]yyyy-mm-dd")</f>
        <v/>
      </c>
      <c r="C428" t="inlineStr">
        <is>
          <t>1901-01-13</t>
        </is>
      </c>
    </row>
    <row r="429">
      <c r="A429" s="1" t="n">
        <v>428</v>
      </c>
      <c r="B429">
        <f>TEXT(428, "[$-0E0000]yyyy-mm-dd")</f>
        <v/>
      </c>
      <c r="C429" t="inlineStr">
        <is>
          <t>1901-01-14</t>
        </is>
      </c>
    </row>
    <row r="430">
      <c r="A430" s="1" t="n">
        <v>429</v>
      </c>
      <c r="B430">
        <f>TEXT(429, "[$-0E0000]yyyy-mm-dd")</f>
        <v/>
      </c>
      <c r="C430" t="inlineStr">
        <is>
          <t>1901-01-15</t>
        </is>
      </c>
    </row>
    <row r="431">
      <c r="A431" s="1" t="n">
        <v>430</v>
      </c>
      <c r="B431">
        <f>TEXT(430, "[$-0E0000]yyyy-mm-dd")</f>
        <v/>
      </c>
      <c r="C431" t="inlineStr">
        <is>
          <t>1901-01-16</t>
        </is>
      </c>
    </row>
    <row r="432">
      <c r="A432" s="1" t="n">
        <v>431</v>
      </c>
      <c r="B432">
        <f>TEXT(431, "[$-0E0000]yyyy-mm-dd")</f>
        <v/>
      </c>
      <c r="C432" t="inlineStr">
        <is>
          <t>1901-01-17</t>
        </is>
      </c>
    </row>
    <row r="433">
      <c r="A433" s="1" t="n">
        <v>432</v>
      </c>
      <c r="B433">
        <f>TEXT(432, "[$-0E0000]yyyy-mm-dd")</f>
        <v/>
      </c>
      <c r="C433" t="inlineStr">
        <is>
          <t>1901-01-18</t>
        </is>
      </c>
    </row>
    <row r="434">
      <c r="A434" s="1" t="n">
        <v>433</v>
      </c>
      <c r="B434">
        <f>TEXT(433, "[$-0E0000]yyyy-mm-dd")</f>
        <v/>
      </c>
      <c r="C434" t="inlineStr">
        <is>
          <t>1901-01-19</t>
        </is>
      </c>
    </row>
    <row r="435">
      <c r="A435" s="1" t="n">
        <v>434</v>
      </c>
      <c r="B435">
        <f>TEXT(434, "[$-0E0000]yyyy-mm-dd")</f>
        <v/>
      </c>
      <c r="C435" t="inlineStr">
        <is>
          <t>1901-01-20</t>
        </is>
      </c>
    </row>
    <row r="436">
      <c r="A436" s="1" t="n">
        <v>435</v>
      </c>
      <c r="B436">
        <f>TEXT(435, "[$-0E0000]yyyy-mm-dd")</f>
        <v/>
      </c>
      <c r="C436" t="inlineStr">
        <is>
          <t>1901-01-21</t>
        </is>
      </c>
    </row>
    <row r="437">
      <c r="A437" s="1" t="n">
        <v>436</v>
      </c>
      <c r="B437">
        <f>TEXT(436, "[$-0E0000]yyyy-mm-dd")</f>
        <v/>
      </c>
      <c r="C437" t="inlineStr">
        <is>
          <t>1901-01-22</t>
        </is>
      </c>
    </row>
    <row r="438">
      <c r="A438" s="1" t="n">
        <v>437</v>
      </c>
      <c r="B438">
        <f>TEXT(437, "[$-0E0000]yyyy-mm-dd")</f>
        <v/>
      </c>
      <c r="C438" t="inlineStr">
        <is>
          <t>1901-01-23</t>
        </is>
      </c>
    </row>
    <row r="439">
      <c r="A439" s="1" t="n">
        <v>438</v>
      </c>
      <c r="B439">
        <f>TEXT(438, "[$-0E0000]yyyy-mm-dd")</f>
        <v/>
      </c>
      <c r="C439" t="inlineStr">
        <is>
          <t>1901-01-24</t>
        </is>
      </c>
    </row>
    <row r="440">
      <c r="A440" s="1" t="n">
        <v>439</v>
      </c>
      <c r="B440">
        <f>TEXT(439, "[$-0E0000]yyyy-mm-dd")</f>
        <v/>
      </c>
      <c r="C440" t="inlineStr">
        <is>
          <t>1901-01-25</t>
        </is>
      </c>
    </row>
    <row r="441">
      <c r="A441" s="1" t="n">
        <v>440</v>
      </c>
      <c r="B441">
        <f>TEXT(440, "[$-0E0000]yyyy-mm-dd")</f>
        <v/>
      </c>
      <c r="C441" t="inlineStr">
        <is>
          <t>1901-01-26</t>
        </is>
      </c>
    </row>
    <row r="442">
      <c r="A442" s="1" t="n">
        <v>441</v>
      </c>
      <c r="B442">
        <f>TEXT(441, "[$-0E0000]yyyy-mm-dd")</f>
        <v/>
      </c>
      <c r="C442" t="inlineStr">
        <is>
          <t>1901-01-27</t>
        </is>
      </c>
    </row>
    <row r="443">
      <c r="A443" s="1" t="n">
        <v>442</v>
      </c>
      <c r="B443">
        <f>TEXT(442, "[$-0E0000]yyyy-mm-dd")</f>
        <v/>
      </c>
      <c r="C443" t="inlineStr">
        <is>
          <t>1901-01-28</t>
        </is>
      </c>
    </row>
    <row r="444">
      <c r="A444" s="1" t="n">
        <v>443</v>
      </c>
      <c r="B444">
        <f>TEXT(443, "[$-0E0000]yyyy-mm-dd")</f>
        <v/>
      </c>
      <c r="C444" t="inlineStr">
        <is>
          <t>1901-01-29</t>
        </is>
      </c>
    </row>
    <row r="445">
      <c r="A445" s="1" t="n">
        <v>444</v>
      </c>
      <c r="B445">
        <f>TEXT(444, "[$-0E0000]yyyy-mm-dd")</f>
        <v/>
      </c>
      <c r="C445" t="inlineStr">
        <is>
          <t>1901-02-01</t>
        </is>
      </c>
    </row>
    <row r="446">
      <c r="A446" s="1" t="n">
        <v>445</v>
      </c>
      <c r="B446">
        <f>TEXT(445, "[$-0E0000]yyyy-mm-dd")</f>
        <v/>
      </c>
      <c r="C446" t="inlineStr">
        <is>
          <t>1901-02-02</t>
        </is>
      </c>
    </row>
    <row r="447">
      <c r="A447" s="1" t="n">
        <v>446</v>
      </c>
      <c r="B447">
        <f>TEXT(446, "[$-0E0000]yyyy-mm-dd")</f>
        <v/>
      </c>
      <c r="C447" t="inlineStr">
        <is>
          <t>1901-02-03</t>
        </is>
      </c>
    </row>
    <row r="448">
      <c r="A448" s="1" t="n">
        <v>447</v>
      </c>
      <c r="B448">
        <f>TEXT(447, "[$-0E0000]yyyy-mm-dd")</f>
        <v/>
      </c>
      <c r="C448" t="inlineStr">
        <is>
          <t>1901-02-04</t>
        </is>
      </c>
    </row>
    <row r="449">
      <c r="A449" s="1" t="n">
        <v>448</v>
      </c>
      <c r="B449">
        <f>TEXT(448, "[$-0E0000]yyyy-mm-dd")</f>
        <v/>
      </c>
      <c r="C449" t="inlineStr">
        <is>
          <t>1901-02-05</t>
        </is>
      </c>
    </row>
    <row r="450">
      <c r="A450" s="1" t="n">
        <v>449</v>
      </c>
      <c r="B450">
        <f>TEXT(449, "[$-0E0000]yyyy-mm-dd")</f>
        <v/>
      </c>
      <c r="C450" t="inlineStr">
        <is>
          <t>1901-02-06</t>
        </is>
      </c>
    </row>
    <row r="451">
      <c r="A451" s="1" t="n">
        <v>450</v>
      </c>
      <c r="B451">
        <f>TEXT(450, "[$-0E0000]yyyy-mm-dd")</f>
        <v/>
      </c>
      <c r="C451" t="inlineStr">
        <is>
          <t>1901-02-07</t>
        </is>
      </c>
    </row>
    <row r="452">
      <c r="A452" s="1" t="n">
        <v>451</v>
      </c>
      <c r="B452">
        <f>TEXT(451, "[$-0E0000]yyyy-mm-dd")</f>
        <v/>
      </c>
      <c r="C452" t="inlineStr">
        <is>
          <t>1901-02-08</t>
        </is>
      </c>
    </row>
    <row r="453">
      <c r="A453" s="1" t="n">
        <v>452</v>
      </c>
      <c r="B453">
        <f>TEXT(452, "[$-0E0000]yyyy-mm-dd")</f>
        <v/>
      </c>
      <c r="C453" t="inlineStr">
        <is>
          <t>1901-02-09</t>
        </is>
      </c>
    </row>
    <row r="454">
      <c r="A454" s="1" t="n">
        <v>453</v>
      </c>
      <c r="B454">
        <f>TEXT(453, "[$-0E0000]yyyy-mm-dd")</f>
        <v/>
      </c>
      <c r="C454" t="inlineStr">
        <is>
          <t>1901-02-10</t>
        </is>
      </c>
    </row>
    <row r="455">
      <c r="A455" s="1" t="n">
        <v>454</v>
      </c>
      <c r="B455">
        <f>TEXT(454, "[$-0E0000]yyyy-mm-dd")</f>
        <v/>
      </c>
      <c r="C455" t="inlineStr">
        <is>
          <t>1901-02-11</t>
        </is>
      </c>
    </row>
    <row r="456">
      <c r="A456" s="1" t="n">
        <v>455</v>
      </c>
      <c r="B456">
        <f>TEXT(455, "[$-0E0000]yyyy-mm-dd")</f>
        <v/>
      </c>
      <c r="C456" t="inlineStr">
        <is>
          <t>1901-02-12</t>
        </is>
      </c>
    </row>
    <row r="457">
      <c r="A457" s="1" t="n">
        <v>456</v>
      </c>
      <c r="B457">
        <f>TEXT(456, "[$-0E0000]yyyy-mm-dd")</f>
        <v/>
      </c>
      <c r="C457" t="inlineStr">
        <is>
          <t>1901-02-13</t>
        </is>
      </c>
    </row>
    <row r="458">
      <c r="A458" s="1" t="n">
        <v>457</v>
      </c>
      <c r="B458">
        <f>TEXT(457, "[$-0E0000]yyyy-mm-dd")</f>
        <v/>
      </c>
      <c r="C458" t="inlineStr">
        <is>
          <t>1901-02-14</t>
        </is>
      </c>
    </row>
    <row r="459">
      <c r="A459" s="1" t="n">
        <v>458</v>
      </c>
      <c r="B459">
        <f>TEXT(458, "[$-0E0000]yyyy-mm-dd")</f>
        <v/>
      </c>
      <c r="C459" t="inlineStr">
        <is>
          <t>1901-02-15</t>
        </is>
      </c>
    </row>
    <row r="460">
      <c r="A460" s="1" t="n">
        <v>459</v>
      </c>
      <c r="B460">
        <f>TEXT(459, "[$-0E0000]yyyy-mm-dd")</f>
        <v/>
      </c>
      <c r="C460" t="inlineStr">
        <is>
          <t>1901-02-16</t>
        </is>
      </c>
    </row>
    <row r="461">
      <c r="A461" s="1" t="n">
        <v>460</v>
      </c>
      <c r="B461">
        <f>TEXT(460, "[$-0E0000]yyyy-mm-dd")</f>
        <v/>
      </c>
      <c r="C461" t="inlineStr">
        <is>
          <t>1901-02-17</t>
        </is>
      </c>
    </row>
    <row r="462">
      <c r="A462" s="1" t="n">
        <v>461</v>
      </c>
      <c r="B462">
        <f>TEXT(461, "[$-0E0000]yyyy-mm-dd")</f>
        <v/>
      </c>
      <c r="C462" t="inlineStr">
        <is>
          <t>1901-02-18</t>
        </is>
      </c>
    </row>
    <row r="463">
      <c r="A463" s="1" t="n">
        <v>462</v>
      </c>
      <c r="B463">
        <f>TEXT(462, "[$-0E0000]yyyy-mm-dd")</f>
        <v/>
      </c>
      <c r="C463" t="inlineStr">
        <is>
          <t>1901-02-19</t>
        </is>
      </c>
    </row>
    <row r="464">
      <c r="A464" s="1" t="n">
        <v>463</v>
      </c>
      <c r="B464">
        <f>TEXT(463, "[$-0E0000]yyyy-mm-dd")</f>
        <v/>
      </c>
      <c r="C464" t="inlineStr">
        <is>
          <t>1901-02-20</t>
        </is>
      </c>
    </row>
    <row r="465">
      <c r="A465" s="1" t="n">
        <v>464</v>
      </c>
      <c r="B465">
        <f>TEXT(464, "[$-0E0000]yyyy-mm-dd")</f>
        <v/>
      </c>
      <c r="C465" t="inlineStr">
        <is>
          <t>1901-02-21</t>
        </is>
      </c>
    </row>
    <row r="466">
      <c r="A466" s="1" t="n">
        <v>465</v>
      </c>
      <c r="B466">
        <f>TEXT(465, "[$-0E0000]yyyy-mm-dd")</f>
        <v/>
      </c>
      <c r="C466" t="inlineStr">
        <is>
          <t>1901-02-22</t>
        </is>
      </c>
    </row>
    <row r="467">
      <c r="A467" s="1" t="n">
        <v>466</v>
      </c>
      <c r="B467">
        <f>TEXT(466, "[$-0E0000]yyyy-mm-dd")</f>
        <v/>
      </c>
      <c r="C467" t="inlineStr">
        <is>
          <t>1901-02-23</t>
        </is>
      </c>
    </row>
    <row r="468">
      <c r="A468" s="1" t="n">
        <v>467</v>
      </c>
      <c r="B468">
        <f>TEXT(467, "[$-0E0000]yyyy-mm-dd")</f>
        <v/>
      </c>
      <c r="C468" t="inlineStr">
        <is>
          <t>1901-02-24</t>
        </is>
      </c>
    </row>
    <row r="469">
      <c r="A469" s="1" t="n">
        <v>468</v>
      </c>
      <c r="B469">
        <f>TEXT(468, "[$-0E0000]yyyy-mm-dd")</f>
        <v/>
      </c>
      <c r="C469" t="inlineStr">
        <is>
          <t>1901-02-25</t>
        </is>
      </c>
    </row>
    <row r="470">
      <c r="A470" s="1" t="n">
        <v>469</v>
      </c>
      <c r="B470">
        <f>TEXT(469, "[$-0E0000]yyyy-mm-dd")</f>
        <v/>
      </c>
      <c r="C470" t="inlineStr">
        <is>
          <t>1901-02-26</t>
        </is>
      </c>
    </row>
    <row r="471">
      <c r="A471" s="1" t="n">
        <v>470</v>
      </c>
      <c r="B471">
        <f>TEXT(470, "[$-0E0000]yyyy-mm-dd")</f>
        <v/>
      </c>
      <c r="C471" t="inlineStr">
        <is>
          <t>1901-02-27</t>
        </is>
      </c>
    </row>
    <row r="472">
      <c r="A472" s="1" t="n">
        <v>471</v>
      </c>
      <c r="B472">
        <f>TEXT(471, "[$-0E0000]yyyy-mm-dd")</f>
        <v/>
      </c>
      <c r="C472" t="inlineStr">
        <is>
          <t>1901-02-28</t>
        </is>
      </c>
    </row>
    <row r="473">
      <c r="A473" s="1" t="n">
        <v>472</v>
      </c>
      <c r="B473">
        <f>TEXT(472, "[$-0E0000]yyyy-mm-dd")</f>
        <v/>
      </c>
      <c r="C473" t="inlineStr">
        <is>
          <t>1901-02-29</t>
        </is>
      </c>
    </row>
    <row r="474">
      <c r="A474" s="1" t="n">
        <v>473</v>
      </c>
      <c r="B474">
        <f>TEXT(473, "[$-0E0000]yyyy-mm-dd")</f>
        <v/>
      </c>
      <c r="C474" t="inlineStr">
        <is>
          <t>1901-02-30</t>
        </is>
      </c>
    </row>
    <row r="475">
      <c r="A475" s="1" t="n">
        <v>474</v>
      </c>
      <c r="B475">
        <f>TEXT(474, "[$-0E0000]yyyy-mm-dd")</f>
        <v/>
      </c>
      <c r="C475" t="inlineStr">
        <is>
          <t>1901-03-01</t>
        </is>
      </c>
    </row>
    <row r="476">
      <c r="A476" s="1" t="n">
        <v>475</v>
      </c>
      <c r="B476">
        <f>TEXT(475, "[$-0E0000]yyyy-mm-dd")</f>
        <v/>
      </c>
      <c r="C476" t="inlineStr">
        <is>
          <t>1901-03-02</t>
        </is>
      </c>
    </row>
    <row r="477">
      <c r="A477" s="1" t="n">
        <v>476</v>
      </c>
      <c r="B477">
        <f>TEXT(476, "[$-0E0000]yyyy-mm-dd")</f>
        <v/>
      </c>
      <c r="C477" t="inlineStr">
        <is>
          <t>1901-03-03</t>
        </is>
      </c>
    </row>
    <row r="478">
      <c r="A478" s="1" t="n">
        <v>477</v>
      </c>
      <c r="B478">
        <f>TEXT(477, "[$-0E0000]yyyy-mm-dd")</f>
        <v/>
      </c>
      <c r="C478" t="inlineStr">
        <is>
          <t>1901-03-04</t>
        </is>
      </c>
    </row>
    <row r="479">
      <c r="A479" s="1" t="n">
        <v>478</v>
      </c>
      <c r="B479">
        <f>TEXT(478, "[$-0E0000]yyyy-mm-dd")</f>
        <v/>
      </c>
      <c r="C479" t="inlineStr">
        <is>
          <t>1901-03-05</t>
        </is>
      </c>
    </row>
    <row r="480">
      <c r="A480" s="1" t="n">
        <v>479</v>
      </c>
      <c r="B480">
        <f>TEXT(479, "[$-0E0000]yyyy-mm-dd")</f>
        <v/>
      </c>
      <c r="C480" t="inlineStr">
        <is>
          <t>1901-03-06</t>
        </is>
      </c>
    </row>
    <row r="481">
      <c r="A481" s="1" t="n">
        <v>480</v>
      </c>
      <c r="B481">
        <f>TEXT(480, "[$-0E0000]yyyy-mm-dd")</f>
        <v/>
      </c>
      <c r="C481" t="inlineStr">
        <is>
          <t>1901-03-07</t>
        </is>
      </c>
    </row>
    <row r="482">
      <c r="A482" s="1" t="n">
        <v>481</v>
      </c>
      <c r="B482">
        <f>TEXT(481, "[$-0E0000]yyyy-mm-dd")</f>
        <v/>
      </c>
      <c r="C482" t="inlineStr">
        <is>
          <t>1901-03-08</t>
        </is>
      </c>
    </row>
    <row r="483">
      <c r="A483" s="1" t="n">
        <v>482</v>
      </c>
      <c r="B483">
        <f>TEXT(482, "[$-0E0000]yyyy-mm-dd")</f>
        <v/>
      </c>
      <c r="C483" t="inlineStr">
        <is>
          <t>1901-03-09</t>
        </is>
      </c>
    </row>
    <row r="484">
      <c r="A484" s="1" t="n">
        <v>483</v>
      </c>
      <c r="B484">
        <f>TEXT(483, "[$-0E0000]yyyy-mm-dd")</f>
        <v/>
      </c>
      <c r="C484" t="inlineStr">
        <is>
          <t>1901-03-10</t>
        </is>
      </c>
    </row>
    <row r="485">
      <c r="A485" s="1" t="n">
        <v>484</v>
      </c>
      <c r="B485">
        <f>TEXT(484, "[$-0E0000]yyyy-mm-dd")</f>
        <v/>
      </c>
      <c r="C485" t="inlineStr">
        <is>
          <t>1901-03-11</t>
        </is>
      </c>
    </row>
    <row r="486">
      <c r="A486" s="1" t="n">
        <v>485</v>
      </c>
      <c r="B486">
        <f>TEXT(485, "[$-0E0000]yyyy-mm-dd")</f>
        <v/>
      </c>
      <c r="C486" t="inlineStr">
        <is>
          <t>1901-03-12</t>
        </is>
      </c>
    </row>
    <row r="487">
      <c r="A487" s="1" t="n">
        <v>486</v>
      </c>
      <c r="B487">
        <f>TEXT(486, "[$-0E0000]yyyy-mm-dd")</f>
        <v/>
      </c>
      <c r="C487" t="inlineStr">
        <is>
          <t>1901-03-13</t>
        </is>
      </c>
    </row>
    <row r="488">
      <c r="A488" s="1" t="n">
        <v>487</v>
      </c>
      <c r="B488">
        <f>TEXT(487, "[$-0E0000]yyyy-mm-dd")</f>
        <v/>
      </c>
      <c r="C488" t="inlineStr">
        <is>
          <t>1901-03-14</t>
        </is>
      </c>
    </row>
    <row r="489">
      <c r="A489" s="1" t="n">
        <v>488</v>
      </c>
      <c r="B489">
        <f>TEXT(488, "[$-0E0000]yyyy-mm-dd")</f>
        <v/>
      </c>
      <c r="C489" t="inlineStr">
        <is>
          <t>1901-03-15</t>
        </is>
      </c>
    </row>
    <row r="490">
      <c r="A490" s="1" t="n">
        <v>489</v>
      </c>
      <c r="B490">
        <f>TEXT(489, "[$-0E0000]yyyy-mm-dd")</f>
        <v/>
      </c>
      <c r="C490" t="inlineStr">
        <is>
          <t>1901-03-16</t>
        </is>
      </c>
    </row>
    <row r="491">
      <c r="A491" s="1" t="n">
        <v>490</v>
      </c>
      <c r="B491">
        <f>TEXT(490, "[$-0E0000]yyyy-mm-dd")</f>
        <v/>
      </c>
      <c r="C491" t="inlineStr">
        <is>
          <t>1901-03-17</t>
        </is>
      </c>
    </row>
    <row r="492">
      <c r="A492" s="1" t="n">
        <v>491</v>
      </c>
      <c r="B492">
        <f>TEXT(491, "[$-0E0000]yyyy-mm-dd")</f>
        <v/>
      </c>
      <c r="C492" t="inlineStr">
        <is>
          <t>1901-03-18</t>
        </is>
      </c>
    </row>
    <row r="493">
      <c r="A493" s="1" t="n">
        <v>492</v>
      </c>
      <c r="B493">
        <f>TEXT(492, "[$-0E0000]yyyy-mm-dd")</f>
        <v/>
      </c>
      <c r="C493" t="inlineStr">
        <is>
          <t>1901-03-19</t>
        </is>
      </c>
    </row>
    <row r="494">
      <c r="A494" s="1" t="n">
        <v>493</v>
      </c>
      <c r="B494">
        <f>TEXT(493, "[$-0E0000]yyyy-mm-dd")</f>
        <v/>
      </c>
      <c r="C494" t="inlineStr">
        <is>
          <t>1901-03-20</t>
        </is>
      </c>
    </row>
    <row r="495">
      <c r="A495" s="1" t="n">
        <v>494</v>
      </c>
      <c r="B495">
        <f>TEXT(494, "[$-0E0000]yyyy-mm-dd")</f>
        <v/>
      </c>
      <c r="C495" t="inlineStr">
        <is>
          <t>1901-03-21</t>
        </is>
      </c>
    </row>
    <row r="496">
      <c r="A496" s="1" t="n">
        <v>495</v>
      </c>
      <c r="B496">
        <f>TEXT(495, "[$-0E0000]yyyy-mm-dd")</f>
        <v/>
      </c>
      <c r="C496" t="inlineStr">
        <is>
          <t>1901-03-22</t>
        </is>
      </c>
    </row>
    <row r="497">
      <c r="A497" s="1" t="n">
        <v>496</v>
      </c>
      <c r="B497">
        <f>TEXT(496, "[$-0E0000]yyyy-mm-dd")</f>
        <v/>
      </c>
      <c r="C497" t="inlineStr">
        <is>
          <t>1901-03-23</t>
        </is>
      </c>
    </row>
    <row r="498">
      <c r="A498" s="1" t="n">
        <v>497</v>
      </c>
      <c r="B498">
        <f>TEXT(497, "[$-0E0000]yyyy-mm-dd")</f>
        <v/>
      </c>
      <c r="C498" t="inlineStr">
        <is>
          <t>1901-03-24</t>
        </is>
      </c>
    </row>
    <row r="499">
      <c r="A499" s="1" t="n">
        <v>498</v>
      </c>
      <c r="B499">
        <f>TEXT(498, "[$-0E0000]yyyy-mm-dd")</f>
        <v/>
      </c>
      <c r="C499" t="inlineStr">
        <is>
          <t>1901-03-25</t>
        </is>
      </c>
    </row>
    <row r="500">
      <c r="A500" s="1" t="n">
        <v>499</v>
      </c>
      <c r="B500">
        <f>TEXT(499, "[$-0E0000]yyyy-mm-dd")</f>
        <v/>
      </c>
      <c r="C500" t="inlineStr">
        <is>
          <t>1901-03-26</t>
        </is>
      </c>
    </row>
    <row r="501">
      <c r="A501" s="1" t="n">
        <v>500</v>
      </c>
      <c r="B501">
        <f>TEXT(500, "[$-0E0000]yyyy-mm-dd")</f>
        <v/>
      </c>
      <c r="C501" t="inlineStr">
        <is>
          <t>1901-03-27</t>
        </is>
      </c>
    </row>
    <row r="502">
      <c r="A502" s="1" t="n">
        <v>501</v>
      </c>
      <c r="B502">
        <f>TEXT(501, "[$-0E0000]yyyy-mm-dd")</f>
        <v/>
      </c>
      <c r="C502" t="inlineStr">
        <is>
          <t>1901-03-28</t>
        </is>
      </c>
    </row>
    <row r="503">
      <c r="A503" s="1" t="n">
        <v>502</v>
      </c>
      <c r="B503">
        <f>TEXT(502, "[$-0E0000]yyyy-mm-dd")</f>
        <v/>
      </c>
      <c r="C503" t="inlineStr">
        <is>
          <t>1901-03-29</t>
        </is>
      </c>
    </row>
    <row r="504">
      <c r="A504" s="1" t="n">
        <v>503</v>
      </c>
      <c r="B504">
        <f>TEXT(503, "[$-0E0000]yyyy-mm-dd")</f>
        <v/>
      </c>
      <c r="C504" t="inlineStr">
        <is>
          <t>1901-04-01</t>
        </is>
      </c>
    </row>
    <row r="505">
      <c r="A505" s="1" t="n">
        <v>504</v>
      </c>
      <c r="B505">
        <f>TEXT(504, "[$-0E0000]yyyy-mm-dd")</f>
        <v/>
      </c>
      <c r="C505" t="inlineStr">
        <is>
          <t>1901-04-02</t>
        </is>
      </c>
    </row>
    <row r="506">
      <c r="A506" s="1" t="n">
        <v>505</v>
      </c>
      <c r="B506">
        <f>TEXT(505, "[$-0E0000]yyyy-mm-dd")</f>
        <v/>
      </c>
      <c r="C506" t="inlineStr">
        <is>
          <t>1901-04-03</t>
        </is>
      </c>
    </row>
    <row r="507">
      <c r="A507" s="1" t="n">
        <v>506</v>
      </c>
      <c r="B507">
        <f>TEXT(506, "[$-0E0000]yyyy-mm-dd")</f>
        <v/>
      </c>
      <c r="C507" t="inlineStr">
        <is>
          <t>1901-04-04</t>
        </is>
      </c>
    </row>
    <row r="508">
      <c r="A508" s="1" t="n">
        <v>507</v>
      </c>
      <c r="B508">
        <f>TEXT(507, "[$-0E0000]yyyy-mm-dd")</f>
        <v/>
      </c>
      <c r="C508" t="inlineStr">
        <is>
          <t>1901-04-05</t>
        </is>
      </c>
    </row>
    <row r="509">
      <c r="A509" s="1" t="n">
        <v>508</v>
      </c>
      <c r="B509">
        <f>TEXT(508, "[$-0E0000]yyyy-mm-dd")</f>
        <v/>
      </c>
      <c r="C509" t="inlineStr">
        <is>
          <t>1901-04-06</t>
        </is>
      </c>
    </row>
    <row r="510">
      <c r="A510" s="1" t="n">
        <v>509</v>
      </c>
      <c r="B510">
        <f>TEXT(509, "[$-0E0000]yyyy-mm-dd")</f>
        <v/>
      </c>
      <c r="C510" t="inlineStr">
        <is>
          <t>1901-04-07</t>
        </is>
      </c>
    </row>
    <row r="511">
      <c r="A511" s="1" t="n">
        <v>510</v>
      </c>
      <c r="B511">
        <f>TEXT(510, "[$-0E0000]yyyy-mm-dd")</f>
        <v/>
      </c>
      <c r="C511" t="inlineStr">
        <is>
          <t>1901-04-08</t>
        </is>
      </c>
    </row>
    <row r="512">
      <c r="A512" s="1" t="n">
        <v>511</v>
      </c>
      <c r="B512">
        <f>TEXT(511, "[$-0E0000]yyyy-mm-dd")</f>
        <v/>
      </c>
      <c r="C512" t="inlineStr">
        <is>
          <t>1901-04-09</t>
        </is>
      </c>
    </row>
    <row r="513">
      <c r="A513" s="1" t="n">
        <v>512</v>
      </c>
      <c r="B513">
        <f>TEXT(512, "[$-0E0000]yyyy-mm-dd")</f>
        <v/>
      </c>
      <c r="C513" t="inlineStr">
        <is>
          <t>1901-04-10</t>
        </is>
      </c>
    </row>
    <row r="514">
      <c r="A514" s="1" t="n">
        <v>513</v>
      </c>
      <c r="B514">
        <f>TEXT(513, "[$-0E0000]yyyy-mm-dd")</f>
        <v/>
      </c>
      <c r="C514" t="inlineStr">
        <is>
          <t>1901-04-11</t>
        </is>
      </c>
    </row>
    <row r="515">
      <c r="A515" s="1" t="n">
        <v>514</v>
      </c>
      <c r="B515">
        <f>TEXT(514, "[$-0E0000]yyyy-mm-dd")</f>
        <v/>
      </c>
      <c r="C515" t="inlineStr">
        <is>
          <t>1901-04-12</t>
        </is>
      </c>
    </row>
    <row r="516">
      <c r="A516" s="1" t="n">
        <v>515</v>
      </c>
      <c r="B516">
        <f>TEXT(515, "[$-0E0000]yyyy-mm-dd")</f>
        <v/>
      </c>
      <c r="C516" t="inlineStr">
        <is>
          <t>1901-04-13</t>
        </is>
      </c>
    </row>
    <row r="517">
      <c r="A517" s="1" t="n">
        <v>516</v>
      </c>
      <c r="B517">
        <f>TEXT(516, "[$-0E0000]yyyy-mm-dd")</f>
        <v/>
      </c>
      <c r="C517" t="inlineStr">
        <is>
          <t>1901-04-14</t>
        </is>
      </c>
    </row>
    <row r="518">
      <c r="A518" s="1" t="n">
        <v>517</v>
      </c>
      <c r="B518">
        <f>TEXT(517, "[$-0E0000]yyyy-mm-dd")</f>
        <v/>
      </c>
      <c r="C518" t="inlineStr">
        <is>
          <t>1901-04-15</t>
        </is>
      </c>
    </row>
    <row r="519">
      <c r="A519" s="1" t="n">
        <v>518</v>
      </c>
      <c r="B519">
        <f>TEXT(518, "[$-0E0000]yyyy-mm-dd")</f>
        <v/>
      </c>
      <c r="C519" t="inlineStr">
        <is>
          <t>1901-04-16</t>
        </is>
      </c>
    </row>
    <row r="520">
      <c r="A520" s="1" t="n">
        <v>519</v>
      </c>
      <c r="B520">
        <f>TEXT(519, "[$-0E0000]yyyy-mm-dd")</f>
        <v/>
      </c>
      <c r="C520" t="inlineStr">
        <is>
          <t>1901-04-17</t>
        </is>
      </c>
    </row>
    <row r="521">
      <c r="A521" s="1" t="n">
        <v>520</v>
      </c>
      <c r="B521">
        <f>TEXT(520, "[$-0E0000]yyyy-mm-dd")</f>
        <v/>
      </c>
      <c r="C521" t="inlineStr">
        <is>
          <t>1901-04-18</t>
        </is>
      </c>
    </row>
    <row r="522">
      <c r="A522" s="1" t="n">
        <v>521</v>
      </c>
      <c r="B522">
        <f>TEXT(521, "[$-0E0000]yyyy-mm-dd")</f>
        <v/>
      </c>
      <c r="C522" t="inlineStr">
        <is>
          <t>1901-04-19</t>
        </is>
      </c>
    </row>
    <row r="523">
      <c r="A523" s="1" t="n">
        <v>522</v>
      </c>
      <c r="B523">
        <f>TEXT(522, "[$-0E0000]yyyy-mm-dd")</f>
        <v/>
      </c>
      <c r="C523" t="inlineStr">
        <is>
          <t>1901-04-20</t>
        </is>
      </c>
    </row>
    <row r="524">
      <c r="A524" s="1" t="n">
        <v>523</v>
      </c>
      <c r="B524">
        <f>TEXT(523, "[$-0E0000]yyyy-mm-dd")</f>
        <v/>
      </c>
      <c r="C524" t="inlineStr">
        <is>
          <t>1901-04-21</t>
        </is>
      </c>
    </row>
    <row r="525">
      <c r="A525" s="1" t="n">
        <v>524</v>
      </c>
      <c r="B525">
        <f>TEXT(524, "[$-0E0000]yyyy-mm-dd")</f>
        <v/>
      </c>
      <c r="C525" t="inlineStr">
        <is>
          <t>1901-04-22</t>
        </is>
      </c>
    </row>
    <row r="526">
      <c r="A526" s="1" t="n">
        <v>525</v>
      </c>
      <c r="B526">
        <f>TEXT(525, "[$-0E0000]yyyy-mm-dd")</f>
        <v/>
      </c>
      <c r="C526" t="inlineStr">
        <is>
          <t>1901-04-23</t>
        </is>
      </c>
    </row>
    <row r="527">
      <c r="A527" s="1" t="n">
        <v>526</v>
      </c>
      <c r="B527">
        <f>TEXT(526, "[$-0E0000]yyyy-mm-dd")</f>
        <v/>
      </c>
      <c r="C527" t="inlineStr">
        <is>
          <t>1901-04-24</t>
        </is>
      </c>
    </row>
    <row r="528">
      <c r="A528" s="1" t="n">
        <v>527</v>
      </c>
      <c r="B528">
        <f>TEXT(527, "[$-0E0000]yyyy-mm-dd")</f>
        <v/>
      </c>
      <c r="C528" t="inlineStr">
        <is>
          <t>1901-04-25</t>
        </is>
      </c>
    </row>
    <row r="529">
      <c r="A529" s="1" t="n">
        <v>528</v>
      </c>
      <c r="B529">
        <f>TEXT(528, "[$-0E0000]yyyy-mm-dd")</f>
        <v/>
      </c>
      <c r="C529" t="inlineStr">
        <is>
          <t>1901-04-26</t>
        </is>
      </c>
    </row>
    <row r="530">
      <c r="A530" s="1" t="n">
        <v>529</v>
      </c>
      <c r="B530">
        <f>TEXT(529, "[$-0E0000]yyyy-mm-dd")</f>
        <v/>
      </c>
      <c r="C530" t="inlineStr">
        <is>
          <t>1901-04-27</t>
        </is>
      </c>
    </row>
    <row r="531">
      <c r="A531" s="1" t="n">
        <v>530</v>
      </c>
      <c r="B531">
        <f>TEXT(530, "[$-0E0000]yyyy-mm-dd")</f>
        <v/>
      </c>
      <c r="C531" t="inlineStr">
        <is>
          <t>1901-04-28</t>
        </is>
      </c>
    </row>
    <row r="532">
      <c r="A532" s="1" t="n">
        <v>531</v>
      </c>
      <c r="B532">
        <f>TEXT(531, "[$-0E0000]yyyy-mm-dd")</f>
        <v/>
      </c>
      <c r="C532" t="inlineStr">
        <is>
          <t>1901-04-29</t>
        </is>
      </c>
    </row>
    <row r="533">
      <c r="A533" s="1" t="n">
        <v>532</v>
      </c>
      <c r="B533">
        <f>TEXT(532, "[$-0E0000]yyyy-mm-dd")</f>
        <v/>
      </c>
      <c r="C533" t="inlineStr">
        <is>
          <t>1901-05-01</t>
        </is>
      </c>
    </row>
    <row r="534">
      <c r="A534" s="1" t="n">
        <v>533</v>
      </c>
      <c r="B534">
        <f>TEXT(533, "[$-0E0000]yyyy-mm-dd")</f>
        <v/>
      </c>
      <c r="C534" t="inlineStr">
        <is>
          <t>1901-05-02</t>
        </is>
      </c>
    </row>
    <row r="535">
      <c r="A535" s="1" t="n">
        <v>534</v>
      </c>
      <c r="B535">
        <f>TEXT(534, "[$-0E0000]yyyy-mm-dd")</f>
        <v/>
      </c>
      <c r="C535" t="inlineStr">
        <is>
          <t>1901-05-03</t>
        </is>
      </c>
    </row>
    <row r="536">
      <c r="A536" s="1" t="n">
        <v>535</v>
      </c>
      <c r="B536">
        <f>TEXT(535, "[$-0E0000]yyyy-mm-dd")</f>
        <v/>
      </c>
      <c r="C536" t="inlineStr">
        <is>
          <t>1901-05-04</t>
        </is>
      </c>
    </row>
    <row r="537">
      <c r="A537" s="1" t="n">
        <v>536</v>
      </c>
      <c r="B537">
        <f>TEXT(536, "[$-0E0000]yyyy-mm-dd")</f>
        <v/>
      </c>
      <c r="C537" t="inlineStr">
        <is>
          <t>1901-05-05</t>
        </is>
      </c>
    </row>
    <row r="538">
      <c r="A538" s="1" t="n">
        <v>537</v>
      </c>
      <c r="B538">
        <f>TEXT(537, "[$-0E0000]yyyy-mm-dd")</f>
        <v/>
      </c>
      <c r="C538" t="inlineStr">
        <is>
          <t>1901-05-06</t>
        </is>
      </c>
    </row>
    <row r="539">
      <c r="A539" s="1" t="n">
        <v>538</v>
      </c>
      <c r="B539">
        <f>TEXT(538, "[$-0E0000]yyyy-mm-dd")</f>
        <v/>
      </c>
      <c r="C539" t="inlineStr">
        <is>
          <t>1901-05-07</t>
        </is>
      </c>
    </row>
    <row r="540">
      <c r="A540" s="1" t="n">
        <v>539</v>
      </c>
      <c r="B540">
        <f>TEXT(539, "[$-0E0000]yyyy-mm-dd")</f>
        <v/>
      </c>
      <c r="C540" t="inlineStr">
        <is>
          <t>1901-05-08</t>
        </is>
      </c>
    </row>
    <row r="541">
      <c r="A541" s="1" t="n">
        <v>540</v>
      </c>
      <c r="B541">
        <f>TEXT(540, "[$-0E0000]yyyy-mm-dd")</f>
        <v/>
      </c>
      <c r="C541" t="inlineStr">
        <is>
          <t>1901-05-09</t>
        </is>
      </c>
    </row>
    <row r="542">
      <c r="A542" s="1" t="n">
        <v>541</v>
      </c>
      <c r="B542">
        <f>TEXT(541, "[$-0E0000]yyyy-mm-dd")</f>
        <v/>
      </c>
      <c r="C542" t="inlineStr">
        <is>
          <t>1901-05-10</t>
        </is>
      </c>
    </row>
    <row r="543">
      <c r="A543" s="1" t="n">
        <v>542</v>
      </c>
      <c r="B543">
        <f>TEXT(542, "[$-0E0000]yyyy-mm-dd")</f>
        <v/>
      </c>
      <c r="C543" t="inlineStr">
        <is>
          <t>1901-05-11</t>
        </is>
      </c>
    </row>
    <row r="544">
      <c r="A544" s="1" t="n">
        <v>543</v>
      </c>
      <c r="B544">
        <f>TEXT(543, "[$-0E0000]yyyy-mm-dd")</f>
        <v/>
      </c>
      <c r="C544" t="inlineStr">
        <is>
          <t>1901-05-12</t>
        </is>
      </c>
    </row>
    <row r="545">
      <c r="A545" s="1" t="n">
        <v>544</v>
      </c>
      <c r="B545">
        <f>TEXT(544, "[$-0E0000]yyyy-mm-dd")</f>
        <v/>
      </c>
      <c r="C545" t="inlineStr">
        <is>
          <t>1901-05-13</t>
        </is>
      </c>
    </row>
    <row r="546">
      <c r="A546" s="1" t="n">
        <v>545</v>
      </c>
      <c r="B546">
        <f>TEXT(545, "[$-0E0000]yyyy-mm-dd")</f>
        <v/>
      </c>
      <c r="C546" t="inlineStr">
        <is>
          <t>1901-05-14</t>
        </is>
      </c>
    </row>
    <row r="547">
      <c r="A547" s="1" t="n">
        <v>546</v>
      </c>
      <c r="B547">
        <f>TEXT(546, "[$-0E0000]yyyy-mm-dd")</f>
        <v/>
      </c>
      <c r="C547" t="inlineStr">
        <is>
          <t>1901-05-15</t>
        </is>
      </c>
    </row>
    <row r="548">
      <c r="A548" s="1" t="n">
        <v>547</v>
      </c>
      <c r="B548">
        <f>TEXT(547, "[$-0E0000]yyyy-mm-dd")</f>
        <v/>
      </c>
      <c r="C548" t="inlineStr">
        <is>
          <t>1901-05-16</t>
        </is>
      </c>
    </row>
    <row r="549">
      <c r="A549" s="1" t="n">
        <v>548</v>
      </c>
      <c r="B549">
        <f>TEXT(548, "[$-0E0000]yyyy-mm-dd")</f>
        <v/>
      </c>
      <c r="C549" t="inlineStr">
        <is>
          <t>1901-05-17</t>
        </is>
      </c>
    </row>
    <row r="550">
      <c r="A550" s="1" t="n">
        <v>549</v>
      </c>
      <c r="B550">
        <f>TEXT(549, "[$-0E0000]yyyy-mm-dd")</f>
        <v/>
      </c>
      <c r="C550" t="inlineStr">
        <is>
          <t>1901-05-18</t>
        </is>
      </c>
    </row>
    <row r="551">
      <c r="A551" s="1" t="n">
        <v>550</v>
      </c>
      <c r="B551">
        <f>TEXT(550, "[$-0E0000]yyyy-mm-dd")</f>
        <v/>
      </c>
      <c r="C551" t="inlineStr">
        <is>
          <t>1901-05-19</t>
        </is>
      </c>
    </row>
    <row r="552">
      <c r="A552" s="1" t="n">
        <v>551</v>
      </c>
      <c r="B552">
        <f>TEXT(551, "[$-0E0000]yyyy-mm-dd")</f>
        <v/>
      </c>
      <c r="C552" t="inlineStr">
        <is>
          <t>1901-05-20</t>
        </is>
      </c>
    </row>
    <row r="553">
      <c r="A553" s="1" t="n">
        <v>552</v>
      </c>
      <c r="B553">
        <f>TEXT(552, "[$-0E0000]yyyy-mm-dd")</f>
        <v/>
      </c>
      <c r="C553" t="inlineStr">
        <is>
          <t>1901-05-21</t>
        </is>
      </c>
    </row>
    <row r="554">
      <c r="A554" s="1" t="n">
        <v>553</v>
      </c>
      <c r="B554">
        <f>TEXT(553, "[$-0E0000]yyyy-mm-dd")</f>
        <v/>
      </c>
      <c r="C554" t="inlineStr">
        <is>
          <t>1901-05-22</t>
        </is>
      </c>
    </row>
    <row r="555">
      <c r="A555" s="1" t="n">
        <v>554</v>
      </c>
      <c r="B555">
        <f>TEXT(554, "[$-0E0000]yyyy-mm-dd")</f>
        <v/>
      </c>
      <c r="C555" t="inlineStr">
        <is>
          <t>1901-05-23</t>
        </is>
      </c>
    </row>
    <row r="556">
      <c r="A556" s="1" t="n">
        <v>555</v>
      </c>
      <c r="B556">
        <f>TEXT(555, "[$-0E0000]yyyy-mm-dd")</f>
        <v/>
      </c>
      <c r="C556" t="inlineStr">
        <is>
          <t>1901-05-24</t>
        </is>
      </c>
    </row>
    <row r="557">
      <c r="A557" s="1" t="n">
        <v>556</v>
      </c>
      <c r="B557">
        <f>TEXT(556, "[$-0E0000]yyyy-mm-dd")</f>
        <v/>
      </c>
      <c r="C557" t="inlineStr">
        <is>
          <t>1901-05-25</t>
        </is>
      </c>
    </row>
    <row r="558">
      <c r="A558" s="1" t="n">
        <v>557</v>
      </c>
      <c r="B558">
        <f>TEXT(557, "[$-0E0000]yyyy-mm-dd")</f>
        <v/>
      </c>
      <c r="C558" t="inlineStr">
        <is>
          <t>1901-05-26</t>
        </is>
      </c>
    </row>
    <row r="559">
      <c r="A559" s="1" t="n">
        <v>558</v>
      </c>
      <c r="B559">
        <f>TEXT(558, "[$-0E0000]yyyy-mm-dd")</f>
        <v/>
      </c>
      <c r="C559" t="inlineStr">
        <is>
          <t>1901-05-27</t>
        </is>
      </c>
    </row>
    <row r="560">
      <c r="A560" s="1" t="n">
        <v>559</v>
      </c>
      <c r="B560">
        <f>TEXT(559, "[$-0E0000]yyyy-mm-dd")</f>
        <v/>
      </c>
      <c r="C560" t="inlineStr">
        <is>
          <t>1901-05-28</t>
        </is>
      </c>
    </row>
    <row r="561">
      <c r="A561" s="1" t="n">
        <v>560</v>
      </c>
      <c r="B561">
        <f>TEXT(560, "[$-0E0000]yyyy-mm-dd")</f>
        <v/>
      </c>
      <c r="C561" t="inlineStr">
        <is>
          <t>1901-05-29</t>
        </is>
      </c>
    </row>
    <row r="562">
      <c r="A562" s="1" t="n">
        <v>561</v>
      </c>
      <c r="B562">
        <f>TEXT(561, "[$-0E0000]yyyy-mm-dd")</f>
        <v/>
      </c>
      <c r="C562" t="inlineStr">
        <is>
          <t>1901-05-30</t>
        </is>
      </c>
    </row>
    <row r="563">
      <c r="A563" s="1" t="n">
        <v>562</v>
      </c>
      <c r="B563">
        <f>TEXT(562, "[$-0E0000]yyyy-mm-dd")</f>
        <v/>
      </c>
      <c r="C563" t="inlineStr">
        <is>
          <t>1901-06-01</t>
        </is>
      </c>
    </row>
    <row r="564">
      <c r="A564" s="1" t="n">
        <v>563</v>
      </c>
      <c r="B564">
        <f>TEXT(563, "[$-0E0000]yyyy-mm-dd")</f>
        <v/>
      </c>
      <c r="C564" t="inlineStr">
        <is>
          <t>1901-06-02</t>
        </is>
      </c>
    </row>
    <row r="565">
      <c r="A565" s="1" t="n">
        <v>564</v>
      </c>
      <c r="B565">
        <f>TEXT(564, "[$-0E0000]yyyy-mm-dd")</f>
        <v/>
      </c>
      <c r="C565" t="inlineStr">
        <is>
          <t>1901-06-03</t>
        </is>
      </c>
    </row>
    <row r="566">
      <c r="A566" s="1" t="n">
        <v>565</v>
      </c>
      <c r="B566">
        <f>TEXT(565, "[$-0E0000]yyyy-mm-dd")</f>
        <v/>
      </c>
      <c r="C566" t="inlineStr">
        <is>
          <t>1901-06-04</t>
        </is>
      </c>
    </row>
    <row r="567">
      <c r="A567" s="1" t="n">
        <v>566</v>
      </c>
      <c r="B567">
        <f>TEXT(566, "[$-0E0000]yyyy-mm-dd")</f>
        <v/>
      </c>
      <c r="C567" t="inlineStr">
        <is>
          <t>1901-06-05</t>
        </is>
      </c>
    </row>
    <row r="568">
      <c r="A568" s="1" t="n">
        <v>567</v>
      </c>
      <c r="B568">
        <f>TEXT(567, "[$-0E0000]yyyy-mm-dd")</f>
        <v/>
      </c>
      <c r="C568" t="inlineStr">
        <is>
          <t>1901-06-06</t>
        </is>
      </c>
    </row>
    <row r="569">
      <c r="A569" s="1" t="n">
        <v>568</v>
      </c>
      <c r="B569">
        <f>TEXT(568, "[$-0E0000]yyyy-mm-dd")</f>
        <v/>
      </c>
      <c r="C569" t="inlineStr">
        <is>
          <t>1901-06-07</t>
        </is>
      </c>
    </row>
    <row r="570">
      <c r="A570" s="1" t="n">
        <v>569</v>
      </c>
      <c r="B570">
        <f>TEXT(569, "[$-0E0000]yyyy-mm-dd")</f>
        <v/>
      </c>
      <c r="C570" t="inlineStr">
        <is>
          <t>1901-06-08</t>
        </is>
      </c>
    </row>
    <row r="571">
      <c r="A571" s="1" t="n">
        <v>570</v>
      </c>
      <c r="B571">
        <f>TEXT(570, "[$-0E0000]yyyy-mm-dd")</f>
        <v/>
      </c>
      <c r="C571" t="inlineStr">
        <is>
          <t>1901-06-09</t>
        </is>
      </c>
    </row>
    <row r="572">
      <c r="A572" s="1" t="n">
        <v>571</v>
      </c>
      <c r="B572">
        <f>TEXT(571, "[$-0E0000]yyyy-mm-dd")</f>
        <v/>
      </c>
      <c r="C572" t="inlineStr">
        <is>
          <t>1901-06-10</t>
        </is>
      </c>
    </row>
    <row r="573">
      <c r="A573" s="1" t="n">
        <v>572</v>
      </c>
      <c r="B573">
        <f>TEXT(572, "[$-0E0000]yyyy-mm-dd")</f>
        <v/>
      </c>
      <c r="C573" t="inlineStr">
        <is>
          <t>1901-06-11</t>
        </is>
      </c>
    </row>
    <row r="574">
      <c r="A574" s="1" t="n">
        <v>573</v>
      </c>
      <c r="B574">
        <f>TEXT(573, "[$-0E0000]yyyy-mm-dd")</f>
        <v/>
      </c>
      <c r="C574" t="inlineStr">
        <is>
          <t>1901-06-12</t>
        </is>
      </c>
    </row>
    <row r="575">
      <c r="A575" s="1" t="n">
        <v>574</v>
      </c>
      <c r="B575">
        <f>TEXT(574, "[$-0E0000]yyyy-mm-dd")</f>
        <v/>
      </c>
      <c r="C575" t="inlineStr">
        <is>
          <t>1901-06-13</t>
        </is>
      </c>
    </row>
    <row r="576">
      <c r="A576" s="1" t="n">
        <v>575</v>
      </c>
      <c r="B576">
        <f>TEXT(575, "[$-0E0000]yyyy-mm-dd")</f>
        <v/>
      </c>
      <c r="C576" t="inlineStr">
        <is>
          <t>1901-06-14</t>
        </is>
      </c>
    </row>
    <row r="577">
      <c r="A577" s="1" t="n">
        <v>576</v>
      </c>
      <c r="B577">
        <f>TEXT(576, "[$-0E0000]yyyy-mm-dd")</f>
        <v/>
      </c>
      <c r="C577" t="inlineStr">
        <is>
          <t>1901-06-15</t>
        </is>
      </c>
    </row>
    <row r="578">
      <c r="A578" s="1" t="n">
        <v>577</v>
      </c>
      <c r="B578">
        <f>TEXT(577, "[$-0E0000]yyyy-mm-dd")</f>
        <v/>
      </c>
      <c r="C578" t="inlineStr">
        <is>
          <t>1901-06-16</t>
        </is>
      </c>
    </row>
    <row r="579">
      <c r="A579" s="1" t="n">
        <v>578</v>
      </c>
      <c r="B579">
        <f>TEXT(578, "[$-0E0000]yyyy-mm-dd")</f>
        <v/>
      </c>
      <c r="C579" t="inlineStr">
        <is>
          <t>1901-06-17</t>
        </is>
      </c>
    </row>
    <row r="580">
      <c r="A580" s="1" t="n">
        <v>579</v>
      </c>
      <c r="B580">
        <f>TEXT(579, "[$-0E0000]yyyy-mm-dd")</f>
        <v/>
      </c>
      <c r="C580" t="inlineStr">
        <is>
          <t>1901-06-18</t>
        </is>
      </c>
    </row>
    <row r="581">
      <c r="A581" s="1" t="n">
        <v>580</v>
      </c>
      <c r="B581">
        <f>TEXT(580, "[$-0E0000]yyyy-mm-dd")</f>
        <v/>
      </c>
      <c r="C581" t="inlineStr">
        <is>
          <t>1901-06-19</t>
        </is>
      </c>
    </row>
    <row r="582">
      <c r="A582" s="1" t="n">
        <v>581</v>
      </c>
      <c r="B582">
        <f>TEXT(581, "[$-0E0000]yyyy-mm-dd")</f>
        <v/>
      </c>
      <c r="C582" t="inlineStr">
        <is>
          <t>1901-06-20</t>
        </is>
      </c>
    </row>
    <row r="583">
      <c r="A583" s="1" t="n">
        <v>582</v>
      </c>
      <c r="B583">
        <f>TEXT(582, "[$-0E0000]yyyy-mm-dd")</f>
        <v/>
      </c>
      <c r="C583" t="inlineStr">
        <is>
          <t>1901-06-21</t>
        </is>
      </c>
    </row>
    <row r="584">
      <c r="A584" s="1" t="n">
        <v>583</v>
      </c>
      <c r="B584">
        <f>TEXT(583, "[$-0E0000]yyyy-mm-dd")</f>
        <v/>
      </c>
      <c r="C584" t="inlineStr">
        <is>
          <t>1901-06-22</t>
        </is>
      </c>
    </row>
    <row r="585">
      <c r="A585" s="1" t="n">
        <v>584</v>
      </c>
      <c r="B585">
        <f>TEXT(584, "[$-0E0000]yyyy-mm-dd")</f>
        <v/>
      </c>
      <c r="C585" t="inlineStr">
        <is>
          <t>1901-06-23</t>
        </is>
      </c>
    </row>
    <row r="586">
      <c r="A586" s="1" t="n">
        <v>585</v>
      </c>
      <c r="B586">
        <f>TEXT(585, "[$-0E0000]yyyy-mm-dd")</f>
        <v/>
      </c>
      <c r="C586" t="inlineStr">
        <is>
          <t>1901-06-24</t>
        </is>
      </c>
    </row>
    <row r="587">
      <c r="A587" s="1" t="n">
        <v>586</v>
      </c>
      <c r="B587">
        <f>TEXT(586, "[$-0E0000]yyyy-mm-dd")</f>
        <v/>
      </c>
      <c r="C587" t="inlineStr">
        <is>
          <t>1901-06-25</t>
        </is>
      </c>
    </row>
    <row r="588">
      <c r="A588" s="1" t="n">
        <v>587</v>
      </c>
      <c r="B588">
        <f>TEXT(587, "[$-0E0000]yyyy-mm-dd")</f>
        <v/>
      </c>
      <c r="C588" t="inlineStr">
        <is>
          <t>1901-06-26</t>
        </is>
      </c>
    </row>
    <row r="589">
      <c r="A589" s="1" t="n">
        <v>588</v>
      </c>
      <c r="B589">
        <f>TEXT(588, "[$-0E0000]yyyy-mm-dd")</f>
        <v/>
      </c>
      <c r="C589" t="inlineStr">
        <is>
          <t>1901-06-27</t>
        </is>
      </c>
    </row>
    <row r="590">
      <c r="A590" s="1" t="n">
        <v>589</v>
      </c>
      <c r="B590">
        <f>TEXT(589, "[$-0E0000]yyyy-mm-dd")</f>
        <v/>
      </c>
      <c r="C590" t="inlineStr">
        <is>
          <t>1901-06-28</t>
        </is>
      </c>
    </row>
    <row r="591">
      <c r="A591" s="1" t="n">
        <v>590</v>
      </c>
      <c r="B591">
        <f>TEXT(590, "[$-0E0000]yyyy-mm-dd")</f>
        <v/>
      </c>
      <c r="C591" t="inlineStr">
        <is>
          <t>1901-06-29</t>
        </is>
      </c>
    </row>
    <row r="592">
      <c r="A592" s="1" t="n">
        <v>591</v>
      </c>
      <c r="B592">
        <f>TEXT(591, "[$-0E0000]yyyy-mm-dd")</f>
        <v/>
      </c>
      <c r="C592" t="inlineStr">
        <is>
          <t>1901-07-01</t>
        </is>
      </c>
    </row>
    <row r="593">
      <c r="A593" s="1" t="n">
        <v>592</v>
      </c>
      <c r="B593">
        <f>TEXT(592, "[$-0E0000]yyyy-mm-dd")</f>
        <v/>
      </c>
      <c r="C593" t="inlineStr">
        <is>
          <t>1901-07-02</t>
        </is>
      </c>
    </row>
    <row r="594">
      <c r="A594" s="1" t="n">
        <v>593</v>
      </c>
      <c r="B594">
        <f>TEXT(593, "[$-0E0000]yyyy-mm-dd")</f>
        <v/>
      </c>
      <c r="C594" t="inlineStr">
        <is>
          <t>1901-07-03</t>
        </is>
      </c>
    </row>
    <row r="595">
      <c r="A595" s="1" t="n">
        <v>594</v>
      </c>
      <c r="B595">
        <f>TEXT(594, "[$-0E0000]yyyy-mm-dd")</f>
        <v/>
      </c>
      <c r="C595" t="inlineStr">
        <is>
          <t>1901-07-04</t>
        </is>
      </c>
    </row>
    <row r="596">
      <c r="A596" s="1" t="n">
        <v>595</v>
      </c>
      <c r="B596">
        <f>TEXT(595, "[$-0E0000]yyyy-mm-dd")</f>
        <v/>
      </c>
      <c r="C596" t="inlineStr">
        <is>
          <t>1901-07-05</t>
        </is>
      </c>
    </row>
    <row r="597">
      <c r="A597" s="1" t="n">
        <v>596</v>
      </c>
      <c r="B597">
        <f>TEXT(596, "[$-0E0000]yyyy-mm-dd")</f>
        <v/>
      </c>
      <c r="C597" t="inlineStr">
        <is>
          <t>1901-07-06</t>
        </is>
      </c>
    </row>
    <row r="598">
      <c r="A598" s="1" t="n">
        <v>597</v>
      </c>
      <c r="B598">
        <f>TEXT(597, "[$-0E0000]yyyy-mm-dd")</f>
        <v/>
      </c>
      <c r="C598" t="inlineStr">
        <is>
          <t>1901-07-07</t>
        </is>
      </c>
    </row>
    <row r="599">
      <c r="A599" s="1" t="n">
        <v>598</v>
      </c>
      <c r="B599">
        <f>TEXT(598, "[$-0E0000]yyyy-mm-dd")</f>
        <v/>
      </c>
      <c r="C599" t="inlineStr">
        <is>
          <t>1901-07-08</t>
        </is>
      </c>
    </row>
    <row r="600">
      <c r="A600" s="1" t="n">
        <v>599</v>
      </c>
      <c r="B600">
        <f>TEXT(599, "[$-0E0000]yyyy-mm-dd")</f>
        <v/>
      </c>
      <c r="C600" t="inlineStr">
        <is>
          <t>1901-07-09</t>
        </is>
      </c>
    </row>
    <row r="601">
      <c r="A601" s="1" t="n">
        <v>600</v>
      </c>
      <c r="B601">
        <f>TEXT(600, "[$-0E0000]yyyy-mm-dd")</f>
        <v/>
      </c>
      <c r="C601" t="inlineStr">
        <is>
          <t>1901-07-10</t>
        </is>
      </c>
    </row>
    <row r="602">
      <c r="A602" s="1" t="n">
        <v>601</v>
      </c>
      <c r="B602">
        <f>TEXT(601, "[$-0E0000]yyyy-mm-dd")</f>
        <v/>
      </c>
      <c r="C602" t="inlineStr">
        <is>
          <t>1901-07-11</t>
        </is>
      </c>
    </row>
    <row r="603">
      <c r="A603" s="1" t="n">
        <v>602</v>
      </c>
      <c r="B603">
        <f>TEXT(602, "[$-0E0000]yyyy-mm-dd")</f>
        <v/>
      </c>
      <c r="C603" t="inlineStr">
        <is>
          <t>1901-07-12</t>
        </is>
      </c>
    </row>
    <row r="604">
      <c r="A604" s="1" t="n">
        <v>603</v>
      </c>
      <c r="B604">
        <f>TEXT(603, "[$-0E0000]yyyy-mm-dd")</f>
        <v/>
      </c>
      <c r="C604" t="inlineStr">
        <is>
          <t>1901-07-13</t>
        </is>
      </c>
    </row>
    <row r="605">
      <c r="A605" s="1" t="n">
        <v>604</v>
      </c>
      <c r="B605">
        <f>TEXT(604, "[$-0E0000]yyyy-mm-dd")</f>
        <v/>
      </c>
      <c r="C605" t="inlineStr">
        <is>
          <t>1901-07-14</t>
        </is>
      </c>
    </row>
    <row r="606">
      <c r="A606" s="1" t="n">
        <v>605</v>
      </c>
      <c r="B606">
        <f>TEXT(605, "[$-0E0000]yyyy-mm-dd")</f>
        <v/>
      </c>
      <c r="C606" t="inlineStr">
        <is>
          <t>1901-07-15</t>
        </is>
      </c>
    </row>
    <row r="607">
      <c r="A607" s="1" t="n">
        <v>606</v>
      </c>
      <c r="B607">
        <f>TEXT(606, "[$-0E0000]yyyy-mm-dd")</f>
        <v/>
      </c>
      <c r="C607" t="inlineStr">
        <is>
          <t>1901-07-16</t>
        </is>
      </c>
    </row>
    <row r="608">
      <c r="A608" s="1" t="n">
        <v>607</v>
      </c>
      <c r="B608">
        <f>TEXT(607, "[$-0E0000]yyyy-mm-dd")</f>
        <v/>
      </c>
      <c r="C608" t="inlineStr">
        <is>
          <t>1901-07-17</t>
        </is>
      </c>
    </row>
    <row r="609">
      <c r="A609" s="1" t="n">
        <v>608</v>
      </c>
      <c r="B609">
        <f>TEXT(608, "[$-0E0000]yyyy-mm-dd")</f>
        <v/>
      </c>
      <c r="C609" t="inlineStr">
        <is>
          <t>1901-07-18</t>
        </is>
      </c>
    </row>
    <row r="610">
      <c r="A610" s="1" t="n">
        <v>609</v>
      </c>
      <c r="B610">
        <f>TEXT(609, "[$-0E0000]yyyy-mm-dd")</f>
        <v/>
      </c>
      <c r="C610" t="inlineStr">
        <is>
          <t>1901-07-19</t>
        </is>
      </c>
    </row>
    <row r="611">
      <c r="A611" s="1" t="n">
        <v>610</v>
      </c>
      <c r="B611">
        <f>TEXT(610, "[$-0E0000]yyyy-mm-dd")</f>
        <v/>
      </c>
      <c r="C611" t="inlineStr">
        <is>
          <t>1901-07-20</t>
        </is>
      </c>
    </row>
    <row r="612">
      <c r="A612" s="1" t="n">
        <v>611</v>
      </c>
      <c r="B612">
        <f>TEXT(611, "[$-0E0000]yyyy-mm-dd")</f>
        <v/>
      </c>
      <c r="C612" t="inlineStr">
        <is>
          <t>1901-07-21</t>
        </is>
      </c>
    </row>
    <row r="613">
      <c r="A613" s="1" t="n">
        <v>612</v>
      </c>
      <c r="B613">
        <f>TEXT(612, "[$-0E0000]yyyy-mm-dd")</f>
        <v/>
      </c>
      <c r="C613" t="inlineStr">
        <is>
          <t>1901-07-22</t>
        </is>
      </c>
    </row>
    <row r="614">
      <c r="A614" s="1" t="n">
        <v>613</v>
      </c>
      <c r="B614">
        <f>TEXT(613, "[$-0E0000]yyyy-mm-dd")</f>
        <v/>
      </c>
      <c r="C614" t="inlineStr">
        <is>
          <t>1901-07-23</t>
        </is>
      </c>
    </row>
    <row r="615">
      <c r="A615" s="1" t="n">
        <v>614</v>
      </c>
      <c r="B615">
        <f>TEXT(614, "[$-0E0000]yyyy-mm-dd")</f>
        <v/>
      </c>
      <c r="C615" t="inlineStr">
        <is>
          <t>1901-07-24</t>
        </is>
      </c>
    </row>
    <row r="616">
      <c r="A616" s="1" t="n">
        <v>615</v>
      </c>
      <c r="B616">
        <f>TEXT(615, "[$-0E0000]yyyy-mm-dd")</f>
        <v/>
      </c>
      <c r="C616" t="inlineStr">
        <is>
          <t>1901-07-25</t>
        </is>
      </c>
    </row>
    <row r="617">
      <c r="A617" s="1" t="n">
        <v>616</v>
      </c>
      <c r="B617">
        <f>TEXT(616, "[$-0E0000]yyyy-mm-dd")</f>
        <v/>
      </c>
      <c r="C617" t="inlineStr">
        <is>
          <t>1901-07-26</t>
        </is>
      </c>
    </row>
    <row r="618">
      <c r="A618" s="1" t="n">
        <v>617</v>
      </c>
      <c r="B618">
        <f>TEXT(617, "[$-0E0000]yyyy-mm-dd")</f>
        <v/>
      </c>
      <c r="C618" t="inlineStr">
        <is>
          <t>1901-07-27</t>
        </is>
      </c>
    </row>
    <row r="619">
      <c r="A619" s="1" t="n">
        <v>618</v>
      </c>
      <c r="B619">
        <f>TEXT(618, "[$-0E0000]yyyy-mm-dd")</f>
        <v/>
      </c>
      <c r="C619" t="inlineStr">
        <is>
          <t>1901-07-28</t>
        </is>
      </c>
    </row>
    <row r="620">
      <c r="A620" s="1" t="n">
        <v>619</v>
      </c>
      <c r="B620">
        <f>TEXT(619, "[$-0E0000]yyyy-mm-dd")</f>
        <v/>
      </c>
      <c r="C620" t="inlineStr">
        <is>
          <t>1901-07-29</t>
        </is>
      </c>
    </row>
    <row r="621">
      <c r="A621" s="1" t="n">
        <v>620</v>
      </c>
      <c r="B621">
        <f>TEXT(620, "[$-0E0000]yyyy-mm-dd")</f>
        <v/>
      </c>
      <c r="C621" t="inlineStr">
        <is>
          <t>1901-07-30</t>
        </is>
      </c>
    </row>
    <row r="622">
      <c r="A622" s="1" t="n">
        <v>621</v>
      </c>
      <c r="B622">
        <f>TEXT(621, "[$-0E0000]yyyy-mm-dd")</f>
        <v/>
      </c>
      <c r="C622" t="inlineStr">
        <is>
          <t>1901-08-01</t>
        </is>
      </c>
    </row>
    <row r="623">
      <c r="A623" s="1" t="n">
        <v>622</v>
      </c>
      <c r="B623">
        <f>TEXT(622, "[$-0E0000]yyyy-mm-dd")</f>
        <v/>
      </c>
      <c r="C623" t="inlineStr">
        <is>
          <t>1901-08-02</t>
        </is>
      </c>
    </row>
    <row r="624">
      <c r="A624" s="1" t="n">
        <v>623</v>
      </c>
      <c r="B624">
        <f>TEXT(623, "[$-0E0000]yyyy-mm-dd")</f>
        <v/>
      </c>
      <c r="C624" t="inlineStr">
        <is>
          <t>1901-08-03</t>
        </is>
      </c>
    </row>
    <row r="625">
      <c r="A625" s="1" t="n">
        <v>624</v>
      </c>
      <c r="B625">
        <f>TEXT(624, "[$-0E0000]yyyy-mm-dd")</f>
        <v/>
      </c>
      <c r="C625" t="inlineStr">
        <is>
          <t>1901-08-04</t>
        </is>
      </c>
    </row>
    <row r="626">
      <c r="A626" s="1" t="n">
        <v>625</v>
      </c>
      <c r="B626">
        <f>TEXT(625, "[$-0E0000]yyyy-mm-dd")</f>
        <v/>
      </c>
      <c r="C626" t="inlineStr">
        <is>
          <t>1901-08-05</t>
        </is>
      </c>
    </row>
    <row r="627">
      <c r="A627" s="1" t="n">
        <v>626</v>
      </c>
      <c r="B627">
        <f>TEXT(626, "[$-0E0000]yyyy-mm-dd")</f>
        <v/>
      </c>
      <c r="C627" t="inlineStr">
        <is>
          <t>1901-08-06</t>
        </is>
      </c>
    </row>
    <row r="628">
      <c r="A628" s="1" t="n">
        <v>627</v>
      </c>
      <c r="B628">
        <f>TEXT(627, "[$-0E0000]yyyy-mm-dd")</f>
        <v/>
      </c>
      <c r="C628" t="inlineStr">
        <is>
          <t>1901-08-07</t>
        </is>
      </c>
    </row>
    <row r="629">
      <c r="A629" s="1" t="n">
        <v>628</v>
      </c>
      <c r="B629">
        <f>TEXT(628, "[$-0E0000]yyyy-mm-dd")</f>
        <v/>
      </c>
      <c r="C629" t="inlineStr">
        <is>
          <t>1901-08-08</t>
        </is>
      </c>
    </row>
    <row r="630">
      <c r="A630" s="1" t="n">
        <v>629</v>
      </c>
      <c r="B630">
        <f>TEXT(629, "[$-0E0000]yyyy-mm-dd")</f>
        <v/>
      </c>
      <c r="C630" t="inlineStr">
        <is>
          <t>1901-08-09</t>
        </is>
      </c>
    </row>
    <row r="631">
      <c r="A631" s="1" t="n">
        <v>630</v>
      </c>
      <c r="B631">
        <f>TEXT(630, "[$-0E0000]yyyy-mm-dd")</f>
        <v/>
      </c>
      <c r="C631" t="inlineStr">
        <is>
          <t>1901-08-10</t>
        </is>
      </c>
    </row>
    <row r="632">
      <c r="A632" s="1" t="n">
        <v>631</v>
      </c>
      <c r="B632">
        <f>TEXT(631, "[$-0E0000]yyyy-mm-dd")</f>
        <v/>
      </c>
      <c r="C632" t="inlineStr">
        <is>
          <t>1901-08-11</t>
        </is>
      </c>
    </row>
    <row r="633">
      <c r="A633" s="1" t="n">
        <v>632</v>
      </c>
      <c r="B633">
        <f>TEXT(632, "[$-0E0000]yyyy-mm-dd")</f>
        <v/>
      </c>
      <c r="C633" t="inlineStr">
        <is>
          <t>1901-08-12</t>
        </is>
      </c>
    </row>
    <row r="634">
      <c r="A634" s="1" t="n">
        <v>633</v>
      </c>
      <c r="B634">
        <f>TEXT(633, "[$-0E0000]yyyy-mm-dd")</f>
        <v/>
      </c>
      <c r="C634" t="inlineStr">
        <is>
          <t>1901-08-13</t>
        </is>
      </c>
    </row>
    <row r="635">
      <c r="A635" s="1" t="n">
        <v>634</v>
      </c>
      <c r="B635">
        <f>TEXT(634, "[$-0E0000]yyyy-mm-dd")</f>
        <v/>
      </c>
      <c r="C635" t="inlineStr">
        <is>
          <t>1901-08-14</t>
        </is>
      </c>
    </row>
    <row r="636">
      <c r="A636" s="1" t="n">
        <v>635</v>
      </c>
      <c r="B636">
        <f>TEXT(635, "[$-0E0000]yyyy-mm-dd")</f>
        <v/>
      </c>
      <c r="C636" t="inlineStr">
        <is>
          <t>1901-08-15</t>
        </is>
      </c>
    </row>
    <row r="637">
      <c r="A637" s="1" t="n">
        <v>636</v>
      </c>
      <c r="B637">
        <f>TEXT(636, "[$-0E0000]yyyy-mm-dd")</f>
        <v/>
      </c>
      <c r="C637" t="inlineStr">
        <is>
          <t>1901-08-16</t>
        </is>
      </c>
    </row>
    <row r="638">
      <c r="A638" s="1" t="n">
        <v>637</v>
      </c>
      <c r="B638">
        <f>TEXT(637, "[$-0E0000]yyyy-mm-dd")</f>
        <v/>
      </c>
      <c r="C638" t="inlineStr">
        <is>
          <t>1901-08-17</t>
        </is>
      </c>
    </row>
    <row r="639">
      <c r="A639" s="1" t="n">
        <v>638</v>
      </c>
      <c r="B639">
        <f>TEXT(638, "[$-0E0000]yyyy-mm-dd")</f>
        <v/>
      </c>
      <c r="C639" t="inlineStr">
        <is>
          <t>1901-08-18</t>
        </is>
      </c>
    </row>
    <row r="640">
      <c r="A640" s="1" t="n">
        <v>639</v>
      </c>
      <c r="B640">
        <f>TEXT(639, "[$-0E0000]yyyy-mm-dd")</f>
        <v/>
      </c>
      <c r="C640" t="inlineStr">
        <is>
          <t>1901-08-19</t>
        </is>
      </c>
    </row>
    <row r="641">
      <c r="A641" s="1" t="n">
        <v>640</v>
      </c>
      <c r="B641">
        <f>TEXT(640, "[$-0E0000]yyyy-mm-dd")</f>
        <v/>
      </c>
      <c r="C641" t="inlineStr">
        <is>
          <t>1901-08-20</t>
        </is>
      </c>
    </row>
    <row r="642">
      <c r="A642" s="1" t="n">
        <v>641</v>
      </c>
      <c r="B642">
        <f>TEXT(641, "[$-0E0000]yyyy-mm-dd")</f>
        <v/>
      </c>
      <c r="C642" t="inlineStr">
        <is>
          <t>1901-08-21</t>
        </is>
      </c>
    </row>
    <row r="643">
      <c r="A643" s="1" t="n">
        <v>642</v>
      </c>
      <c r="B643">
        <f>TEXT(642, "[$-0E0000]yyyy-mm-dd")</f>
        <v/>
      </c>
      <c r="C643" t="inlineStr">
        <is>
          <t>1901-08-22</t>
        </is>
      </c>
    </row>
    <row r="644">
      <c r="A644" s="1" t="n">
        <v>643</v>
      </c>
      <c r="B644">
        <f>TEXT(643, "[$-0E0000]yyyy-mm-dd")</f>
        <v/>
      </c>
      <c r="C644" t="inlineStr">
        <is>
          <t>1901-08-23</t>
        </is>
      </c>
    </row>
    <row r="645">
      <c r="A645" s="1" t="n">
        <v>644</v>
      </c>
      <c r="B645">
        <f>TEXT(644, "[$-0E0000]yyyy-mm-dd")</f>
        <v/>
      </c>
      <c r="C645" t="inlineStr">
        <is>
          <t>1901-08-24</t>
        </is>
      </c>
    </row>
    <row r="646">
      <c r="A646" s="1" t="n">
        <v>645</v>
      </c>
      <c r="B646">
        <f>TEXT(645, "[$-0E0000]yyyy-mm-dd")</f>
        <v/>
      </c>
      <c r="C646" t="inlineStr">
        <is>
          <t>1901-08-25</t>
        </is>
      </c>
    </row>
    <row r="647">
      <c r="A647" s="1" t="n">
        <v>646</v>
      </c>
      <c r="B647">
        <f>TEXT(646, "[$-0E0000]yyyy-mm-dd")</f>
        <v/>
      </c>
      <c r="C647" t="inlineStr">
        <is>
          <t>1901-08-26</t>
        </is>
      </c>
    </row>
    <row r="648">
      <c r="A648" s="1" t="n">
        <v>647</v>
      </c>
      <c r="B648">
        <f>TEXT(647, "[$-0E0000]yyyy-mm-dd")</f>
        <v/>
      </c>
      <c r="C648" t="inlineStr">
        <is>
          <t>1901-08-27</t>
        </is>
      </c>
    </row>
    <row r="649">
      <c r="A649" s="1" t="n">
        <v>648</v>
      </c>
      <c r="B649">
        <f>TEXT(648, "[$-0E0000]yyyy-mm-dd")</f>
        <v/>
      </c>
      <c r="C649" t="inlineStr">
        <is>
          <t>1901-08-28</t>
        </is>
      </c>
    </row>
    <row r="650">
      <c r="A650" s="1" t="n">
        <v>649</v>
      </c>
      <c r="B650">
        <f>TEXT(649, "[$-0E0000]yyyy-mm-dd")</f>
        <v/>
      </c>
      <c r="C650" t="inlineStr">
        <is>
          <t>1901-08-29</t>
        </is>
      </c>
    </row>
    <row r="651">
      <c r="A651" s="1" t="n">
        <v>650</v>
      </c>
      <c r="B651">
        <f>TEXT(650, "[$-0E0000]yyyy-mm-dd")</f>
        <v/>
      </c>
      <c r="C651" t="inlineStr">
        <is>
          <t>1901-09-01</t>
        </is>
      </c>
    </row>
    <row r="652">
      <c r="A652" s="1" t="n">
        <v>651</v>
      </c>
      <c r="B652">
        <f>TEXT(651, "[$-0E0000]yyyy-mm-dd")</f>
        <v/>
      </c>
      <c r="C652" t="inlineStr">
        <is>
          <t>1901-09-02</t>
        </is>
      </c>
    </row>
    <row r="653">
      <c r="A653" s="1" t="n">
        <v>652</v>
      </c>
      <c r="B653">
        <f>TEXT(652, "[$-0E0000]yyyy-mm-dd")</f>
        <v/>
      </c>
      <c r="C653" t="inlineStr">
        <is>
          <t>1901-09-03</t>
        </is>
      </c>
    </row>
    <row r="654">
      <c r="A654" s="1" t="n">
        <v>653</v>
      </c>
      <c r="B654">
        <f>TEXT(653, "[$-0E0000]yyyy-mm-dd")</f>
        <v/>
      </c>
      <c r="C654" t="inlineStr">
        <is>
          <t>1901-09-04</t>
        </is>
      </c>
    </row>
    <row r="655">
      <c r="A655" s="1" t="n">
        <v>654</v>
      </c>
      <c r="B655">
        <f>TEXT(654, "[$-0E0000]yyyy-mm-dd")</f>
        <v/>
      </c>
      <c r="C655" t="inlineStr">
        <is>
          <t>1901-09-05</t>
        </is>
      </c>
    </row>
    <row r="656">
      <c r="A656" s="1" t="n">
        <v>655</v>
      </c>
      <c r="B656">
        <f>TEXT(655, "[$-0E0000]yyyy-mm-dd")</f>
        <v/>
      </c>
      <c r="C656" t="inlineStr">
        <is>
          <t>1901-09-06</t>
        </is>
      </c>
    </row>
    <row r="657">
      <c r="A657" s="1" t="n">
        <v>656</v>
      </c>
      <c r="B657">
        <f>TEXT(656, "[$-0E0000]yyyy-mm-dd")</f>
        <v/>
      </c>
      <c r="C657" t="inlineStr">
        <is>
          <t>1901-09-07</t>
        </is>
      </c>
    </row>
    <row r="658">
      <c r="A658" s="1" t="n">
        <v>657</v>
      </c>
      <c r="B658">
        <f>TEXT(657, "[$-0E0000]yyyy-mm-dd")</f>
        <v/>
      </c>
      <c r="C658" t="inlineStr">
        <is>
          <t>1901-09-08</t>
        </is>
      </c>
    </row>
    <row r="659">
      <c r="A659" s="1" t="n">
        <v>658</v>
      </c>
      <c r="B659">
        <f>TEXT(658, "[$-0E0000]yyyy-mm-dd")</f>
        <v/>
      </c>
      <c r="C659" t="inlineStr">
        <is>
          <t>1901-09-09</t>
        </is>
      </c>
    </row>
    <row r="660">
      <c r="A660" s="1" t="n">
        <v>659</v>
      </c>
      <c r="B660">
        <f>TEXT(659, "[$-0E0000]yyyy-mm-dd")</f>
        <v/>
      </c>
      <c r="C660" t="inlineStr">
        <is>
          <t>1901-09-10</t>
        </is>
      </c>
    </row>
    <row r="661">
      <c r="A661" s="1" t="n">
        <v>660</v>
      </c>
      <c r="B661">
        <f>TEXT(660, "[$-0E0000]yyyy-mm-dd")</f>
        <v/>
      </c>
      <c r="C661" t="inlineStr">
        <is>
          <t>1901-09-11</t>
        </is>
      </c>
    </row>
    <row r="662">
      <c r="A662" s="1" t="n">
        <v>661</v>
      </c>
      <c r="B662">
        <f>TEXT(661, "[$-0E0000]yyyy-mm-dd")</f>
        <v/>
      </c>
      <c r="C662" t="inlineStr">
        <is>
          <t>1901-09-12</t>
        </is>
      </c>
    </row>
    <row r="663">
      <c r="A663" s="1" t="n">
        <v>662</v>
      </c>
      <c r="B663">
        <f>TEXT(662, "[$-0E0000]yyyy-mm-dd")</f>
        <v/>
      </c>
      <c r="C663" t="inlineStr">
        <is>
          <t>1901-09-13</t>
        </is>
      </c>
    </row>
    <row r="664">
      <c r="A664" s="1" t="n">
        <v>663</v>
      </c>
      <c r="B664">
        <f>TEXT(663, "[$-0E0000]yyyy-mm-dd")</f>
        <v/>
      </c>
      <c r="C664" t="inlineStr">
        <is>
          <t>1901-09-14</t>
        </is>
      </c>
    </row>
    <row r="665">
      <c r="A665" s="1" t="n">
        <v>664</v>
      </c>
      <c r="B665">
        <f>TEXT(664, "[$-0E0000]yyyy-mm-dd")</f>
        <v/>
      </c>
      <c r="C665" t="inlineStr">
        <is>
          <t>1901-09-15</t>
        </is>
      </c>
    </row>
    <row r="666">
      <c r="A666" s="1" t="n">
        <v>665</v>
      </c>
      <c r="B666">
        <f>TEXT(665, "[$-0E0000]yyyy-mm-dd")</f>
        <v/>
      </c>
      <c r="C666" t="inlineStr">
        <is>
          <t>1901-09-16</t>
        </is>
      </c>
    </row>
    <row r="667">
      <c r="A667" s="1" t="n">
        <v>666</v>
      </c>
      <c r="B667">
        <f>TEXT(666, "[$-0E0000]yyyy-mm-dd")</f>
        <v/>
      </c>
      <c r="C667" t="inlineStr">
        <is>
          <t>1901-09-17</t>
        </is>
      </c>
    </row>
    <row r="668">
      <c r="A668" s="1" t="n">
        <v>667</v>
      </c>
      <c r="B668">
        <f>TEXT(667, "[$-0E0000]yyyy-mm-dd")</f>
        <v/>
      </c>
      <c r="C668" t="inlineStr">
        <is>
          <t>1901-09-18</t>
        </is>
      </c>
    </row>
    <row r="669">
      <c r="A669" s="1" t="n">
        <v>668</v>
      </c>
      <c r="B669">
        <f>TEXT(668, "[$-0E0000]yyyy-mm-dd")</f>
        <v/>
      </c>
      <c r="C669" t="inlineStr">
        <is>
          <t>1901-09-19</t>
        </is>
      </c>
    </row>
    <row r="670">
      <c r="A670" s="1" t="n">
        <v>669</v>
      </c>
      <c r="B670">
        <f>TEXT(669, "[$-0E0000]yyyy-mm-dd")</f>
        <v/>
      </c>
      <c r="C670" t="inlineStr">
        <is>
          <t>1901-09-20</t>
        </is>
      </c>
    </row>
    <row r="671">
      <c r="A671" s="1" t="n">
        <v>670</v>
      </c>
      <c r="B671">
        <f>TEXT(670, "[$-0E0000]yyyy-mm-dd")</f>
        <v/>
      </c>
      <c r="C671" t="inlineStr">
        <is>
          <t>1901-09-21</t>
        </is>
      </c>
    </row>
    <row r="672">
      <c r="A672" s="1" t="n">
        <v>671</v>
      </c>
      <c r="B672">
        <f>TEXT(671, "[$-0E0000]yyyy-mm-dd")</f>
        <v/>
      </c>
      <c r="C672" t="inlineStr">
        <is>
          <t>1901-09-22</t>
        </is>
      </c>
    </row>
    <row r="673">
      <c r="A673" s="1" t="n">
        <v>672</v>
      </c>
      <c r="B673">
        <f>TEXT(672, "[$-0E0000]yyyy-mm-dd")</f>
        <v/>
      </c>
      <c r="C673" t="inlineStr">
        <is>
          <t>1901-09-23</t>
        </is>
      </c>
    </row>
    <row r="674">
      <c r="A674" s="1" t="n">
        <v>673</v>
      </c>
      <c r="B674">
        <f>TEXT(673, "[$-0E0000]yyyy-mm-dd")</f>
        <v/>
      </c>
      <c r="C674" t="inlineStr">
        <is>
          <t>1901-09-24</t>
        </is>
      </c>
    </row>
    <row r="675">
      <c r="A675" s="1" t="n">
        <v>674</v>
      </c>
      <c r="B675">
        <f>TEXT(674, "[$-0E0000]yyyy-mm-dd")</f>
        <v/>
      </c>
      <c r="C675" t="inlineStr">
        <is>
          <t>1901-09-25</t>
        </is>
      </c>
    </row>
    <row r="676">
      <c r="A676" s="1" t="n">
        <v>675</v>
      </c>
      <c r="B676">
        <f>TEXT(675, "[$-0E0000]yyyy-mm-dd")</f>
        <v/>
      </c>
      <c r="C676" t="inlineStr">
        <is>
          <t>1901-09-26</t>
        </is>
      </c>
    </row>
    <row r="677">
      <c r="A677" s="1" t="n">
        <v>676</v>
      </c>
      <c r="B677">
        <f>TEXT(676, "[$-0E0000]yyyy-mm-dd")</f>
        <v/>
      </c>
      <c r="C677" t="inlineStr">
        <is>
          <t>1901-09-27</t>
        </is>
      </c>
    </row>
    <row r="678">
      <c r="A678" s="1" t="n">
        <v>677</v>
      </c>
      <c r="B678">
        <f>TEXT(677, "[$-0E0000]yyyy-mm-dd")</f>
        <v/>
      </c>
      <c r="C678" t="inlineStr">
        <is>
          <t>1901-09-28</t>
        </is>
      </c>
    </row>
    <row r="679">
      <c r="A679" s="1" t="n">
        <v>678</v>
      </c>
      <c r="B679">
        <f>TEXT(678, "[$-0E0000]yyyy-mm-dd")</f>
        <v/>
      </c>
      <c r="C679" t="inlineStr">
        <is>
          <t>1901-09-29</t>
        </is>
      </c>
    </row>
    <row r="680">
      <c r="A680" s="1" t="n">
        <v>679</v>
      </c>
      <c r="B680">
        <f>TEXT(679, "[$-0E0000]yyyy-mm-dd")</f>
        <v/>
      </c>
      <c r="C680" t="inlineStr">
        <is>
          <t>1901-09-30</t>
        </is>
      </c>
    </row>
    <row r="681">
      <c r="A681" s="1" t="n">
        <v>680</v>
      </c>
      <c r="B681">
        <f>TEXT(680, "[$-0E0000]yyyy-mm-dd")</f>
        <v/>
      </c>
      <c r="C681" t="inlineStr">
        <is>
          <t>1901-10-01</t>
        </is>
      </c>
    </row>
    <row r="682">
      <c r="A682" s="1" t="n">
        <v>681</v>
      </c>
      <c r="B682">
        <f>TEXT(681, "[$-0E0000]yyyy-mm-dd")</f>
        <v/>
      </c>
      <c r="C682" t="inlineStr">
        <is>
          <t>1901-10-02</t>
        </is>
      </c>
    </row>
    <row r="683">
      <c r="A683" s="1" t="n">
        <v>682</v>
      </c>
      <c r="B683">
        <f>TEXT(682, "[$-0E0000]yyyy-mm-dd")</f>
        <v/>
      </c>
      <c r="C683" t="inlineStr">
        <is>
          <t>1901-10-03</t>
        </is>
      </c>
    </row>
    <row r="684">
      <c r="A684" s="1" t="n">
        <v>683</v>
      </c>
      <c r="B684">
        <f>TEXT(683, "[$-0E0000]yyyy-mm-dd")</f>
        <v/>
      </c>
      <c r="C684" t="inlineStr">
        <is>
          <t>1901-10-04</t>
        </is>
      </c>
    </row>
    <row r="685">
      <c r="A685" s="1" t="n">
        <v>684</v>
      </c>
      <c r="B685">
        <f>TEXT(684, "[$-0E0000]yyyy-mm-dd")</f>
        <v/>
      </c>
      <c r="C685" t="inlineStr">
        <is>
          <t>1901-10-05</t>
        </is>
      </c>
    </row>
    <row r="686">
      <c r="A686" s="1" t="n">
        <v>685</v>
      </c>
      <c r="B686">
        <f>TEXT(685, "[$-0E0000]yyyy-mm-dd")</f>
        <v/>
      </c>
      <c r="C686" t="inlineStr">
        <is>
          <t>1901-10-06</t>
        </is>
      </c>
    </row>
    <row r="687">
      <c r="A687" s="1" t="n">
        <v>686</v>
      </c>
      <c r="B687">
        <f>TEXT(686, "[$-0E0000]yyyy-mm-dd")</f>
        <v/>
      </c>
      <c r="C687" t="inlineStr">
        <is>
          <t>1901-10-07</t>
        </is>
      </c>
    </row>
    <row r="688">
      <c r="A688" s="1" t="n">
        <v>687</v>
      </c>
      <c r="B688">
        <f>TEXT(687, "[$-0E0000]yyyy-mm-dd")</f>
        <v/>
      </c>
      <c r="C688" t="inlineStr">
        <is>
          <t>1901-10-08</t>
        </is>
      </c>
    </row>
    <row r="689">
      <c r="A689" s="1" t="n">
        <v>688</v>
      </c>
      <c r="B689">
        <f>TEXT(688, "[$-0E0000]yyyy-mm-dd")</f>
        <v/>
      </c>
      <c r="C689" t="inlineStr">
        <is>
          <t>1901-10-09</t>
        </is>
      </c>
    </row>
    <row r="690">
      <c r="A690" s="1" t="n">
        <v>689</v>
      </c>
      <c r="B690">
        <f>TEXT(689, "[$-0E0000]yyyy-mm-dd")</f>
        <v/>
      </c>
      <c r="C690" t="inlineStr">
        <is>
          <t>1901-10-10</t>
        </is>
      </c>
    </row>
    <row r="691">
      <c r="A691" s="1" t="n">
        <v>690</v>
      </c>
      <c r="B691">
        <f>TEXT(690, "[$-0E0000]yyyy-mm-dd")</f>
        <v/>
      </c>
      <c r="C691" t="inlineStr">
        <is>
          <t>1901-10-11</t>
        </is>
      </c>
    </row>
    <row r="692">
      <c r="A692" s="1" t="n">
        <v>691</v>
      </c>
      <c r="B692">
        <f>TEXT(691, "[$-0E0000]yyyy-mm-dd")</f>
        <v/>
      </c>
      <c r="C692" t="inlineStr">
        <is>
          <t>1901-10-12</t>
        </is>
      </c>
    </row>
    <row r="693">
      <c r="A693" s="1" t="n">
        <v>692</v>
      </c>
      <c r="B693">
        <f>TEXT(692, "[$-0E0000]yyyy-mm-dd")</f>
        <v/>
      </c>
      <c r="C693" t="inlineStr">
        <is>
          <t>1901-10-13</t>
        </is>
      </c>
    </row>
    <row r="694">
      <c r="A694" s="1" t="n">
        <v>693</v>
      </c>
      <c r="B694">
        <f>TEXT(693, "[$-0E0000]yyyy-mm-dd")</f>
        <v/>
      </c>
      <c r="C694" t="inlineStr">
        <is>
          <t>1901-10-14</t>
        </is>
      </c>
    </row>
    <row r="695">
      <c r="A695" s="1" t="n">
        <v>694</v>
      </c>
      <c r="B695">
        <f>TEXT(694, "[$-0E0000]yyyy-mm-dd")</f>
        <v/>
      </c>
      <c r="C695" t="inlineStr">
        <is>
          <t>1901-10-15</t>
        </is>
      </c>
    </row>
    <row r="696">
      <c r="A696" s="1" t="n">
        <v>695</v>
      </c>
      <c r="B696">
        <f>TEXT(695, "[$-0E0000]yyyy-mm-dd")</f>
        <v/>
      </c>
      <c r="C696" t="inlineStr">
        <is>
          <t>1901-10-16</t>
        </is>
      </c>
    </row>
    <row r="697">
      <c r="A697" s="1" t="n">
        <v>696</v>
      </c>
      <c r="B697">
        <f>TEXT(696, "[$-0E0000]yyyy-mm-dd")</f>
        <v/>
      </c>
      <c r="C697" t="inlineStr">
        <is>
          <t>1901-10-17</t>
        </is>
      </c>
    </row>
    <row r="698">
      <c r="A698" s="1" t="n">
        <v>697</v>
      </c>
      <c r="B698">
        <f>TEXT(697, "[$-0E0000]yyyy-mm-dd")</f>
        <v/>
      </c>
      <c r="C698" t="inlineStr">
        <is>
          <t>1901-10-18</t>
        </is>
      </c>
    </row>
    <row r="699">
      <c r="A699" s="1" t="n">
        <v>698</v>
      </c>
      <c r="B699">
        <f>TEXT(698, "[$-0E0000]yyyy-mm-dd")</f>
        <v/>
      </c>
      <c r="C699" t="inlineStr">
        <is>
          <t>1901-10-19</t>
        </is>
      </c>
    </row>
    <row r="700">
      <c r="A700" s="1" t="n">
        <v>699</v>
      </c>
      <c r="B700">
        <f>TEXT(699, "[$-0E0000]yyyy-mm-dd")</f>
        <v/>
      </c>
      <c r="C700" t="inlineStr">
        <is>
          <t>1901-10-20</t>
        </is>
      </c>
    </row>
    <row r="701">
      <c r="A701" s="1" t="n">
        <v>700</v>
      </c>
      <c r="B701">
        <f>TEXT(700, "[$-0E0000]yyyy-mm-dd")</f>
        <v/>
      </c>
      <c r="C701" t="inlineStr">
        <is>
          <t>1901-10-21</t>
        </is>
      </c>
    </row>
    <row r="702">
      <c r="A702" s="1" t="n">
        <v>701</v>
      </c>
      <c r="B702">
        <f>TEXT(701, "[$-0E0000]yyyy-mm-dd")</f>
        <v/>
      </c>
      <c r="C702" t="inlineStr">
        <is>
          <t>1901-10-22</t>
        </is>
      </c>
    </row>
    <row r="703">
      <c r="A703" s="1" t="n">
        <v>702</v>
      </c>
      <c r="B703">
        <f>TEXT(702, "[$-0E0000]yyyy-mm-dd")</f>
        <v/>
      </c>
      <c r="C703" t="inlineStr">
        <is>
          <t>1901-10-23</t>
        </is>
      </c>
    </row>
    <row r="704">
      <c r="A704" s="1" t="n">
        <v>703</v>
      </c>
      <c r="B704">
        <f>TEXT(703, "[$-0E0000]yyyy-mm-dd")</f>
        <v/>
      </c>
      <c r="C704" t="inlineStr">
        <is>
          <t>1901-10-24</t>
        </is>
      </c>
    </row>
    <row r="705">
      <c r="A705" s="1" t="n">
        <v>704</v>
      </c>
      <c r="B705">
        <f>TEXT(704, "[$-0E0000]yyyy-mm-dd")</f>
        <v/>
      </c>
      <c r="C705" t="inlineStr">
        <is>
          <t>1901-10-25</t>
        </is>
      </c>
    </row>
    <row r="706">
      <c r="A706" s="1" t="n">
        <v>705</v>
      </c>
      <c r="B706">
        <f>TEXT(705, "[$-0E0000]yyyy-mm-dd")</f>
        <v/>
      </c>
      <c r="C706" t="inlineStr">
        <is>
          <t>1901-10-26</t>
        </is>
      </c>
    </row>
    <row r="707">
      <c r="A707" s="1" t="n">
        <v>706</v>
      </c>
      <c r="B707">
        <f>TEXT(706, "[$-0E0000]yyyy-mm-dd")</f>
        <v/>
      </c>
      <c r="C707" t="inlineStr">
        <is>
          <t>1901-10-27</t>
        </is>
      </c>
    </row>
    <row r="708">
      <c r="A708" s="1" t="n">
        <v>707</v>
      </c>
      <c r="B708">
        <f>TEXT(707, "[$-0E0000]yyyy-mm-dd")</f>
        <v/>
      </c>
      <c r="C708" t="inlineStr">
        <is>
          <t>1901-10-28</t>
        </is>
      </c>
    </row>
    <row r="709">
      <c r="A709" s="1" t="n">
        <v>708</v>
      </c>
      <c r="B709">
        <f>TEXT(708, "[$-0E0000]yyyy-mm-dd")</f>
        <v/>
      </c>
      <c r="C709" t="inlineStr">
        <is>
          <t>1901-10-29</t>
        </is>
      </c>
    </row>
    <row r="710">
      <c r="A710" s="1" t="n">
        <v>709</v>
      </c>
      <c r="B710">
        <f>TEXT(709, "[$-0E0000]yyyy-mm-dd")</f>
        <v/>
      </c>
      <c r="C710" t="inlineStr">
        <is>
          <t>1901-10-30</t>
        </is>
      </c>
    </row>
    <row r="711">
      <c r="A711" s="1" t="n">
        <v>710</v>
      </c>
      <c r="B711">
        <f>TEXT(710, "[$-0E0000]yyyy-mm-dd")</f>
        <v/>
      </c>
      <c r="C711" t="inlineStr">
        <is>
          <t>1901-11-01</t>
        </is>
      </c>
    </row>
    <row r="712">
      <c r="A712" s="1" t="n">
        <v>711</v>
      </c>
      <c r="B712">
        <f>TEXT(711, "[$-0E0000]yyyy-mm-dd")</f>
        <v/>
      </c>
      <c r="C712" t="inlineStr">
        <is>
          <t>1901-11-02</t>
        </is>
      </c>
    </row>
    <row r="713">
      <c r="A713" s="1" t="n">
        <v>712</v>
      </c>
      <c r="B713">
        <f>TEXT(712, "[$-0E0000]yyyy-mm-dd")</f>
        <v/>
      </c>
      <c r="C713" t="inlineStr">
        <is>
          <t>1901-11-03</t>
        </is>
      </c>
    </row>
    <row r="714">
      <c r="A714" s="1" t="n">
        <v>713</v>
      </c>
      <c r="B714">
        <f>TEXT(713, "[$-0E0000]yyyy-mm-dd")</f>
        <v/>
      </c>
      <c r="C714" t="inlineStr">
        <is>
          <t>1901-11-04</t>
        </is>
      </c>
    </row>
    <row r="715">
      <c r="A715" s="1" t="n">
        <v>714</v>
      </c>
      <c r="B715">
        <f>TEXT(714, "[$-0E0000]yyyy-mm-dd")</f>
        <v/>
      </c>
      <c r="C715" t="inlineStr">
        <is>
          <t>1901-11-05</t>
        </is>
      </c>
    </row>
    <row r="716">
      <c r="A716" s="1" t="n">
        <v>715</v>
      </c>
      <c r="B716">
        <f>TEXT(715, "[$-0E0000]yyyy-mm-dd")</f>
        <v/>
      </c>
      <c r="C716" t="inlineStr">
        <is>
          <t>1901-11-06</t>
        </is>
      </c>
    </row>
    <row r="717">
      <c r="A717" s="1" t="n">
        <v>716</v>
      </c>
      <c r="B717">
        <f>TEXT(716, "[$-0E0000]yyyy-mm-dd")</f>
        <v/>
      </c>
      <c r="C717" t="inlineStr">
        <is>
          <t>1901-11-07</t>
        </is>
      </c>
    </row>
    <row r="718">
      <c r="A718" s="1" t="n">
        <v>717</v>
      </c>
      <c r="B718">
        <f>TEXT(717, "[$-0E0000]yyyy-mm-dd")</f>
        <v/>
      </c>
      <c r="C718" t="inlineStr">
        <is>
          <t>1901-11-08</t>
        </is>
      </c>
    </row>
    <row r="719">
      <c r="A719" s="1" t="n">
        <v>718</v>
      </c>
      <c r="B719">
        <f>TEXT(718, "[$-0E0000]yyyy-mm-dd")</f>
        <v/>
      </c>
      <c r="C719" t="inlineStr">
        <is>
          <t>1901-11-09</t>
        </is>
      </c>
    </row>
    <row r="720">
      <c r="A720" s="1" t="n">
        <v>719</v>
      </c>
      <c r="B720">
        <f>TEXT(719, "[$-0E0000]yyyy-mm-dd")</f>
        <v/>
      </c>
      <c r="C720" t="inlineStr">
        <is>
          <t>1901-11-10</t>
        </is>
      </c>
    </row>
    <row r="721">
      <c r="A721" s="1" t="n">
        <v>720</v>
      </c>
      <c r="B721">
        <f>TEXT(720, "[$-0E0000]yyyy-mm-dd")</f>
        <v/>
      </c>
      <c r="C721" t="inlineStr">
        <is>
          <t>1901-11-11</t>
        </is>
      </c>
    </row>
    <row r="722">
      <c r="A722" s="1" t="n">
        <v>721</v>
      </c>
      <c r="B722">
        <f>TEXT(721, "[$-0E0000]yyyy-mm-dd")</f>
        <v/>
      </c>
      <c r="C722" t="inlineStr">
        <is>
          <t>1901-11-12</t>
        </is>
      </c>
    </row>
    <row r="723">
      <c r="A723" s="1" t="n">
        <v>722</v>
      </c>
      <c r="B723">
        <f>TEXT(722, "[$-0E0000]yyyy-mm-dd")</f>
        <v/>
      </c>
      <c r="C723" t="inlineStr">
        <is>
          <t>1901-11-13</t>
        </is>
      </c>
    </row>
    <row r="724">
      <c r="A724" s="1" t="n">
        <v>723</v>
      </c>
      <c r="B724">
        <f>TEXT(723, "[$-0E0000]yyyy-mm-dd")</f>
        <v/>
      </c>
      <c r="C724" t="inlineStr">
        <is>
          <t>1901-11-14</t>
        </is>
      </c>
    </row>
    <row r="725">
      <c r="A725" s="1" t="n">
        <v>724</v>
      </c>
      <c r="B725">
        <f>TEXT(724, "[$-0E0000]yyyy-mm-dd")</f>
        <v/>
      </c>
      <c r="C725" t="inlineStr">
        <is>
          <t>1901-11-15</t>
        </is>
      </c>
    </row>
    <row r="726">
      <c r="A726" s="1" t="n">
        <v>725</v>
      </c>
      <c r="B726">
        <f>TEXT(725, "[$-0E0000]yyyy-mm-dd")</f>
        <v/>
      </c>
      <c r="C726" t="inlineStr">
        <is>
          <t>1901-11-16</t>
        </is>
      </c>
    </row>
    <row r="727">
      <c r="A727" s="1" t="n">
        <v>726</v>
      </c>
      <c r="B727">
        <f>TEXT(726, "[$-0E0000]yyyy-mm-dd")</f>
        <v/>
      </c>
      <c r="C727" t="inlineStr">
        <is>
          <t>1901-11-17</t>
        </is>
      </c>
    </row>
    <row r="728">
      <c r="A728" s="1" t="n">
        <v>727</v>
      </c>
      <c r="B728">
        <f>TEXT(727, "[$-0E0000]yyyy-mm-dd")</f>
        <v/>
      </c>
      <c r="C728" t="inlineStr">
        <is>
          <t>1901-11-18</t>
        </is>
      </c>
    </row>
    <row r="729">
      <c r="A729" s="1" t="n">
        <v>728</v>
      </c>
      <c r="B729">
        <f>TEXT(728, "[$-0E0000]yyyy-mm-dd")</f>
        <v/>
      </c>
      <c r="C729" t="inlineStr">
        <is>
          <t>1901-11-19</t>
        </is>
      </c>
    </row>
    <row r="730">
      <c r="A730" s="1" t="n">
        <v>729</v>
      </c>
      <c r="B730">
        <f>TEXT(729, "[$-0E0000]yyyy-mm-dd")</f>
        <v/>
      </c>
      <c r="C730" t="inlineStr">
        <is>
          <t>1901-11-20</t>
        </is>
      </c>
    </row>
    <row r="731">
      <c r="A731" s="1" t="n">
        <v>730</v>
      </c>
      <c r="B731">
        <f>TEXT(730, "[$-0E0000]yyyy-mm-dd")</f>
        <v/>
      </c>
      <c r="C731" t="inlineStr">
        <is>
          <t>1901-11-21</t>
        </is>
      </c>
    </row>
    <row r="732">
      <c r="A732" s="1" t="n">
        <v>731</v>
      </c>
      <c r="B732">
        <f>TEXT(731, "[$-0E0000]yyyy-mm-dd")</f>
        <v/>
      </c>
      <c r="C732" t="inlineStr">
        <is>
          <t>1901-11-22</t>
        </is>
      </c>
    </row>
    <row r="733">
      <c r="A733" s="1" t="n">
        <v>732</v>
      </c>
      <c r="B733">
        <f>TEXT(732, "[$-0E0000]yyyy-mm-dd")</f>
        <v/>
      </c>
      <c r="C733" t="inlineStr">
        <is>
          <t>1901-11-23</t>
        </is>
      </c>
    </row>
    <row r="734">
      <c r="A734" s="1" t="n">
        <v>733</v>
      </c>
      <c r="B734">
        <f>TEXT(733, "[$-0E0000]yyyy-mm-dd")</f>
        <v/>
      </c>
      <c r="C734" t="inlineStr">
        <is>
          <t>1901-11-24</t>
        </is>
      </c>
    </row>
    <row r="735">
      <c r="A735" s="1" t="n">
        <v>734</v>
      </c>
      <c r="B735">
        <f>TEXT(734, "[$-0E0000]yyyy-mm-dd")</f>
        <v/>
      </c>
      <c r="C735" t="inlineStr">
        <is>
          <t>1901-11-25</t>
        </is>
      </c>
    </row>
    <row r="736">
      <c r="A736" s="1" t="n">
        <v>735</v>
      </c>
      <c r="B736">
        <f>TEXT(735, "[$-0E0000]yyyy-mm-dd")</f>
        <v/>
      </c>
      <c r="C736" t="inlineStr">
        <is>
          <t>1901-11-26</t>
        </is>
      </c>
    </row>
    <row r="737">
      <c r="A737" s="1" t="n">
        <v>736</v>
      </c>
      <c r="B737">
        <f>TEXT(736, "[$-0E0000]yyyy-mm-dd")</f>
        <v/>
      </c>
      <c r="C737" t="inlineStr">
        <is>
          <t>1901-11-27</t>
        </is>
      </c>
    </row>
    <row r="738">
      <c r="A738" s="1" t="n">
        <v>737</v>
      </c>
      <c r="B738">
        <f>TEXT(737, "[$-0E0000]yyyy-mm-dd")</f>
        <v/>
      </c>
      <c r="C738" t="inlineStr">
        <is>
          <t>1901-11-28</t>
        </is>
      </c>
    </row>
    <row r="739">
      <c r="A739" s="1" t="n">
        <v>738</v>
      </c>
      <c r="B739">
        <f>TEXT(738, "[$-0E0000]yyyy-mm-dd")</f>
        <v/>
      </c>
      <c r="C739" t="inlineStr">
        <is>
          <t>1901-11-29</t>
        </is>
      </c>
    </row>
    <row r="740">
      <c r="A740" s="1" t="n">
        <v>739</v>
      </c>
      <c r="B740">
        <f>TEXT(739, "[$-0E0000]yyyy-mm-dd")</f>
        <v/>
      </c>
      <c r="C740" t="inlineStr">
        <is>
          <t>1901-11-30</t>
        </is>
      </c>
    </row>
    <row r="741">
      <c r="A741" s="1" t="n">
        <v>740</v>
      </c>
      <c r="B741">
        <f>TEXT(740, "[$-0E0000]yyyy-mm-dd")</f>
        <v/>
      </c>
      <c r="C741" t="inlineStr">
        <is>
          <t>1901-12-01</t>
        </is>
      </c>
    </row>
    <row r="742">
      <c r="A742" s="1" t="n">
        <v>741</v>
      </c>
      <c r="B742">
        <f>TEXT(741, "[$-0E0000]yyyy-mm-dd")</f>
        <v/>
      </c>
      <c r="C742" t="inlineStr">
        <is>
          <t>1901-12-02</t>
        </is>
      </c>
    </row>
    <row r="743">
      <c r="A743" s="1" t="n">
        <v>742</v>
      </c>
      <c r="B743">
        <f>TEXT(742, "[$-0E0000]yyyy-mm-dd")</f>
        <v/>
      </c>
      <c r="C743" t="inlineStr">
        <is>
          <t>1901-12-03</t>
        </is>
      </c>
    </row>
    <row r="744">
      <c r="A744" s="1" t="n">
        <v>743</v>
      </c>
      <c r="B744">
        <f>TEXT(743, "[$-0E0000]yyyy-mm-dd")</f>
        <v/>
      </c>
      <c r="C744" t="inlineStr">
        <is>
          <t>1901-12-04</t>
        </is>
      </c>
    </row>
    <row r="745">
      <c r="A745" s="1" t="n">
        <v>744</v>
      </c>
      <c r="B745">
        <f>TEXT(744, "[$-0E0000]yyyy-mm-dd")</f>
        <v/>
      </c>
      <c r="C745" t="inlineStr">
        <is>
          <t>1901-12-05</t>
        </is>
      </c>
    </row>
    <row r="746">
      <c r="A746" s="1" t="n">
        <v>745</v>
      </c>
      <c r="B746">
        <f>TEXT(745, "[$-0E0000]yyyy-mm-dd")</f>
        <v/>
      </c>
      <c r="C746" t="inlineStr">
        <is>
          <t>1901-12-06</t>
        </is>
      </c>
    </row>
    <row r="747">
      <c r="A747" s="1" t="n">
        <v>746</v>
      </c>
      <c r="B747">
        <f>TEXT(746, "[$-0E0000]yyyy-mm-dd")</f>
        <v/>
      </c>
      <c r="C747" t="inlineStr">
        <is>
          <t>1901-12-07</t>
        </is>
      </c>
    </row>
    <row r="748">
      <c r="A748" s="1" t="n">
        <v>747</v>
      </c>
      <c r="B748">
        <f>TEXT(747, "[$-0E0000]yyyy-mm-dd")</f>
        <v/>
      </c>
      <c r="C748" t="inlineStr">
        <is>
          <t>1901-12-08</t>
        </is>
      </c>
    </row>
    <row r="749">
      <c r="A749" s="1" t="n">
        <v>748</v>
      </c>
      <c r="B749">
        <f>TEXT(748, "[$-0E0000]yyyy-mm-dd")</f>
        <v/>
      </c>
      <c r="C749" t="inlineStr">
        <is>
          <t>1901-12-09</t>
        </is>
      </c>
    </row>
    <row r="750">
      <c r="A750" s="1" t="n">
        <v>749</v>
      </c>
      <c r="B750">
        <f>TEXT(749, "[$-0E0000]yyyy-mm-dd")</f>
        <v/>
      </c>
      <c r="C750" t="inlineStr">
        <is>
          <t>1901-12-10</t>
        </is>
      </c>
    </row>
    <row r="751">
      <c r="A751" s="1" t="n">
        <v>750</v>
      </c>
      <c r="B751">
        <f>TEXT(750, "[$-0E0000]yyyy-mm-dd")</f>
        <v/>
      </c>
      <c r="C751" t="inlineStr">
        <is>
          <t>1901-12-11</t>
        </is>
      </c>
    </row>
    <row r="752">
      <c r="A752" s="1" t="n">
        <v>751</v>
      </c>
      <c r="B752">
        <f>TEXT(751, "[$-0E0000]yyyy-mm-dd")</f>
        <v/>
      </c>
      <c r="C752" t="inlineStr">
        <is>
          <t>1901-12-12</t>
        </is>
      </c>
    </row>
    <row r="753">
      <c r="A753" s="1" t="n">
        <v>752</v>
      </c>
      <c r="B753">
        <f>TEXT(752, "[$-0E0000]yyyy-mm-dd")</f>
        <v/>
      </c>
      <c r="C753" t="inlineStr">
        <is>
          <t>1901-12-13</t>
        </is>
      </c>
    </row>
    <row r="754">
      <c r="A754" s="1" t="n">
        <v>753</v>
      </c>
      <c r="B754">
        <f>TEXT(753, "[$-0E0000]yyyy-mm-dd")</f>
        <v/>
      </c>
      <c r="C754" t="inlineStr">
        <is>
          <t>1901-12-14</t>
        </is>
      </c>
    </row>
    <row r="755">
      <c r="A755" s="1" t="n">
        <v>754</v>
      </c>
      <c r="B755">
        <f>TEXT(754, "[$-0E0000]yyyy-mm-dd")</f>
        <v/>
      </c>
      <c r="C755" t="inlineStr">
        <is>
          <t>1901-12-15</t>
        </is>
      </c>
    </row>
    <row r="756">
      <c r="A756" s="1" t="n">
        <v>755</v>
      </c>
      <c r="B756">
        <f>TEXT(755, "[$-0E0000]yyyy-mm-dd")</f>
        <v/>
      </c>
      <c r="C756" t="inlineStr">
        <is>
          <t>1901-12-16</t>
        </is>
      </c>
    </row>
    <row r="757">
      <c r="A757" s="1" t="n">
        <v>756</v>
      </c>
      <c r="B757">
        <f>TEXT(756, "[$-0E0000]yyyy-mm-dd")</f>
        <v/>
      </c>
      <c r="C757" t="inlineStr">
        <is>
          <t>1901-12-17</t>
        </is>
      </c>
    </row>
    <row r="758">
      <c r="A758" s="1" t="n">
        <v>757</v>
      </c>
      <c r="B758">
        <f>TEXT(757, "[$-0E0000]yyyy-mm-dd")</f>
        <v/>
      </c>
      <c r="C758" t="inlineStr">
        <is>
          <t>1901-12-18</t>
        </is>
      </c>
    </row>
    <row r="759">
      <c r="A759" s="1" t="n">
        <v>758</v>
      </c>
      <c r="B759">
        <f>TEXT(758, "[$-0E0000]yyyy-mm-dd")</f>
        <v/>
      </c>
      <c r="C759" t="inlineStr">
        <is>
          <t>1901-12-19</t>
        </is>
      </c>
    </row>
    <row r="760">
      <c r="A760" s="1" t="n">
        <v>759</v>
      </c>
      <c r="B760">
        <f>TEXT(759, "[$-0E0000]yyyy-mm-dd")</f>
        <v/>
      </c>
      <c r="C760" t="inlineStr">
        <is>
          <t>1901-12-20</t>
        </is>
      </c>
    </row>
    <row r="761">
      <c r="A761" s="1" t="n">
        <v>760</v>
      </c>
      <c r="B761">
        <f>TEXT(760, "[$-0E0000]yyyy-mm-dd")</f>
        <v/>
      </c>
      <c r="C761" t="inlineStr">
        <is>
          <t>1901-12-21</t>
        </is>
      </c>
    </row>
    <row r="762">
      <c r="A762" s="1" t="n">
        <v>761</v>
      </c>
      <c r="B762">
        <f>TEXT(761, "[$-0E0000]yyyy-mm-dd")</f>
        <v/>
      </c>
      <c r="C762" t="inlineStr">
        <is>
          <t>1901-12-22</t>
        </is>
      </c>
    </row>
    <row r="763">
      <c r="A763" s="1" t="n">
        <v>762</v>
      </c>
      <c r="B763">
        <f>TEXT(762, "[$-0E0000]yyyy-mm-dd")</f>
        <v/>
      </c>
      <c r="C763" t="inlineStr">
        <is>
          <t>1901-12-23</t>
        </is>
      </c>
    </row>
    <row r="764">
      <c r="A764" s="1" t="n">
        <v>763</v>
      </c>
      <c r="B764">
        <f>TEXT(763, "[$-0E0000]yyyy-mm-dd")</f>
        <v/>
      </c>
      <c r="C764" t="inlineStr">
        <is>
          <t>1901-12-24</t>
        </is>
      </c>
    </row>
    <row r="765">
      <c r="A765" s="1" t="n">
        <v>764</v>
      </c>
      <c r="B765">
        <f>TEXT(764, "[$-0E0000]yyyy-mm-dd")</f>
        <v/>
      </c>
      <c r="C765" t="inlineStr">
        <is>
          <t>1901-12-25</t>
        </is>
      </c>
    </row>
    <row r="766">
      <c r="A766" s="1" t="n">
        <v>765</v>
      </c>
      <c r="B766">
        <f>TEXT(765, "[$-0E0000]yyyy-mm-dd")</f>
        <v/>
      </c>
      <c r="C766" t="inlineStr">
        <is>
          <t>1901-12-26</t>
        </is>
      </c>
    </row>
    <row r="767">
      <c r="A767" s="1" t="n">
        <v>766</v>
      </c>
      <c r="B767">
        <f>TEXT(766, "[$-0E0000]yyyy-mm-dd")</f>
        <v/>
      </c>
      <c r="C767" t="inlineStr">
        <is>
          <t>1901-12-27</t>
        </is>
      </c>
    </row>
    <row r="768">
      <c r="A768" s="1" t="n">
        <v>767</v>
      </c>
      <c r="B768">
        <f>TEXT(767, "[$-0E0000]yyyy-mm-dd")</f>
        <v/>
      </c>
      <c r="C768" t="inlineStr">
        <is>
          <t>1901-12-28</t>
        </is>
      </c>
    </row>
    <row r="769">
      <c r="A769" s="1" t="n">
        <v>768</v>
      </c>
      <c r="B769">
        <f>TEXT(768, "[$-0E0000]yyyy-mm-dd")</f>
        <v/>
      </c>
      <c r="C769" t="inlineStr">
        <is>
          <t>1901-12-29</t>
        </is>
      </c>
    </row>
    <row r="770">
      <c r="A770" s="1" t="n">
        <v>769</v>
      </c>
      <c r="B770">
        <f>TEXT(769, "[$-0E0000]yyyy-mm-dd")</f>
        <v/>
      </c>
      <c r="C770" t="inlineStr">
        <is>
          <t>1902-01-01</t>
        </is>
      </c>
    </row>
    <row r="771">
      <c r="A771" s="1" t="n">
        <v>770</v>
      </c>
      <c r="B771">
        <f>TEXT(770, "[$-0E0000]yyyy-mm-dd")</f>
        <v/>
      </c>
      <c r="C771" t="inlineStr">
        <is>
          <t>1902-01-02</t>
        </is>
      </c>
    </row>
    <row r="772">
      <c r="A772" s="1" t="n">
        <v>771</v>
      </c>
      <c r="B772">
        <f>TEXT(771, "[$-0E0000]yyyy-mm-dd")</f>
        <v/>
      </c>
      <c r="C772" t="inlineStr">
        <is>
          <t>1902-01-03</t>
        </is>
      </c>
    </row>
    <row r="773">
      <c r="A773" s="1" t="n">
        <v>772</v>
      </c>
      <c r="B773">
        <f>TEXT(772, "[$-0E0000]yyyy-mm-dd")</f>
        <v/>
      </c>
      <c r="C773" t="inlineStr">
        <is>
          <t>1902-01-04</t>
        </is>
      </c>
    </row>
    <row r="774">
      <c r="A774" s="1" t="n">
        <v>773</v>
      </c>
      <c r="B774">
        <f>TEXT(773, "[$-0E0000]yyyy-mm-dd")</f>
        <v/>
      </c>
      <c r="C774" t="inlineStr">
        <is>
          <t>1902-01-05</t>
        </is>
      </c>
    </row>
    <row r="775">
      <c r="A775" s="1" t="n">
        <v>774</v>
      </c>
      <c r="B775">
        <f>TEXT(774, "[$-0E0000]yyyy-mm-dd")</f>
        <v/>
      </c>
      <c r="C775" t="inlineStr">
        <is>
          <t>1902-01-06</t>
        </is>
      </c>
    </row>
    <row r="776">
      <c r="A776" s="1" t="n">
        <v>775</v>
      </c>
      <c r="B776">
        <f>TEXT(775, "[$-0E0000]yyyy-mm-dd")</f>
        <v/>
      </c>
      <c r="C776" t="inlineStr">
        <is>
          <t>1902-01-07</t>
        </is>
      </c>
    </row>
    <row r="777">
      <c r="A777" s="1" t="n">
        <v>776</v>
      </c>
      <c r="B777">
        <f>TEXT(776, "[$-0E0000]yyyy-mm-dd")</f>
        <v/>
      </c>
      <c r="C777" t="inlineStr">
        <is>
          <t>1902-01-08</t>
        </is>
      </c>
    </row>
    <row r="778">
      <c r="A778" s="1" t="n">
        <v>777</v>
      </c>
      <c r="B778">
        <f>TEXT(777, "[$-0E0000]yyyy-mm-dd")</f>
        <v/>
      </c>
      <c r="C778" t="inlineStr">
        <is>
          <t>1902-01-09</t>
        </is>
      </c>
    </row>
    <row r="779">
      <c r="A779" s="1" t="n">
        <v>778</v>
      </c>
      <c r="B779">
        <f>TEXT(778, "[$-0E0000]yyyy-mm-dd")</f>
        <v/>
      </c>
      <c r="C779" t="inlineStr">
        <is>
          <t>1902-01-10</t>
        </is>
      </c>
    </row>
    <row r="780">
      <c r="A780" s="1" t="n">
        <v>779</v>
      </c>
      <c r="B780">
        <f>TEXT(779, "[$-0E0000]yyyy-mm-dd")</f>
        <v/>
      </c>
      <c r="C780" t="inlineStr">
        <is>
          <t>1902-01-11</t>
        </is>
      </c>
    </row>
    <row r="781">
      <c r="A781" s="1" t="n">
        <v>780</v>
      </c>
      <c r="B781">
        <f>TEXT(780, "[$-0E0000]yyyy-mm-dd")</f>
        <v/>
      </c>
      <c r="C781" t="inlineStr">
        <is>
          <t>1902-01-12</t>
        </is>
      </c>
    </row>
    <row r="782">
      <c r="A782" s="1" t="n">
        <v>781</v>
      </c>
      <c r="B782">
        <f>TEXT(781, "[$-0E0000]yyyy-mm-dd")</f>
        <v/>
      </c>
      <c r="C782" t="inlineStr">
        <is>
          <t>1902-01-13</t>
        </is>
      </c>
    </row>
    <row r="783">
      <c r="A783" s="1" t="n">
        <v>782</v>
      </c>
      <c r="B783">
        <f>TEXT(782, "[$-0E0000]yyyy-mm-dd")</f>
        <v/>
      </c>
      <c r="C783" t="inlineStr">
        <is>
          <t>1902-01-14</t>
        </is>
      </c>
    </row>
    <row r="784">
      <c r="A784" s="1" t="n">
        <v>783</v>
      </c>
      <c r="B784">
        <f>TEXT(783, "[$-0E0000]yyyy-mm-dd")</f>
        <v/>
      </c>
      <c r="C784" t="inlineStr">
        <is>
          <t>1902-01-15</t>
        </is>
      </c>
    </row>
    <row r="785">
      <c r="A785" s="1" t="n">
        <v>784</v>
      </c>
      <c r="B785">
        <f>TEXT(784, "[$-0E0000]yyyy-mm-dd")</f>
        <v/>
      </c>
      <c r="C785" t="inlineStr">
        <is>
          <t>1902-01-16</t>
        </is>
      </c>
    </row>
    <row r="786">
      <c r="A786" s="1" t="n">
        <v>785</v>
      </c>
      <c r="B786">
        <f>TEXT(785, "[$-0E0000]yyyy-mm-dd")</f>
        <v/>
      </c>
      <c r="C786" t="inlineStr">
        <is>
          <t>1902-01-17</t>
        </is>
      </c>
    </row>
    <row r="787">
      <c r="A787" s="1" t="n">
        <v>786</v>
      </c>
      <c r="B787">
        <f>TEXT(786, "[$-0E0000]yyyy-mm-dd")</f>
        <v/>
      </c>
      <c r="C787" t="inlineStr">
        <is>
          <t>1902-01-18</t>
        </is>
      </c>
    </row>
    <row r="788">
      <c r="A788" s="1" t="n">
        <v>787</v>
      </c>
      <c r="B788">
        <f>TEXT(787, "[$-0E0000]yyyy-mm-dd")</f>
        <v/>
      </c>
      <c r="C788" t="inlineStr">
        <is>
          <t>1902-01-19</t>
        </is>
      </c>
    </row>
    <row r="789">
      <c r="A789" s="1" t="n">
        <v>788</v>
      </c>
      <c r="B789">
        <f>TEXT(788, "[$-0E0000]yyyy-mm-dd")</f>
        <v/>
      </c>
      <c r="C789" t="inlineStr">
        <is>
          <t>1902-01-20</t>
        </is>
      </c>
    </row>
    <row r="790">
      <c r="A790" s="1" t="n">
        <v>789</v>
      </c>
      <c r="B790">
        <f>TEXT(789, "[$-0E0000]yyyy-mm-dd")</f>
        <v/>
      </c>
      <c r="C790" t="inlineStr">
        <is>
          <t>1902-01-21</t>
        </is>
      </c>
    </row>
    <row r="791">
      <c r="A791" s="1" t="n">
        <v>790</v>
      </c>
      <c r="B791">
        <f>TEXT(790, "[$-0E0000]yyyy-mm-dd")</f>
        <v/>
      </c>
      <c r="C791" t="inlineStr">
        <is>
          <t>1902-01-22</t>
        </is>
      </c>
    </row>
    <row r="792">
      <c r="A792" s="1" t="n">
        <v>791</v>
      </c>
      <c r="B792">
        <f>TEXT(791, "[$-0E0000]yyyy-mm-dd")</f>
        <v/>
      </c>
      <c r="C792" t="inlineStr">
        <is>
          <t>1902-01-23</t>
        </is>
      </c>
    </row>
    <row r="793">
      <c r="A793" s="1" t="n">
        <v>792</v>
      </c>
      <c r="B793">
        <f>TEXT(792, "[$-0E0000]yyyy-mm-dd")</f>
        <v/>
      </c>
      <c r="C793" t="inlineStr">
        <is>
          <t>1902-01-24</t>
        </is>
      </c>
    </row>
    <row r="794">
      <c r="A794" s="1" t="n">
        <v>793</v>
      </c>
      <c r="B794">
        <f>TEXT(793, "[$-0E0000]yyyy-mm-dd")</f>
        <v/>
      </c>
      <c r="C794" t="inlineStr">
        <is>
          <t>1902-01-25</t>
        </is>
      </c>
    </row>
    <row r="795">
      <c r="A795" s="1" t="n">
        <v>794</v>
      </c>
      <c r="B795">
        <f>TEXT(794, "[$-0E0000]yyyy-mm-dd")</f>
        <v/>
      </c>
      <c r="C795" t="inlineStr">
        <is>
          <t>1902-01-26</t>
        </is>
      </c>
    </row>
    <row r="796">
      <c r="A796" s="1" t="n">
        <v>795</v>
      </c>
      <c r="B796">
        <f>TEXT(795, "[$-0E0000]yyyy-mm-dd")</f>
        <v/>
      </c>
      <c r="C796" t="inlineStr">
        <is>
          <t>1902-01-27</t>
        </is>
      </c>
    </row>
    <row r="797">
      <c r="A797" s="1" t="n">
        <v>796</v>
      </c>
      <c r="B797">
        <f>TEXT(796, "[$-0E0000]yyyy-mm-dd")</f>
        <v/>
      </c>
      <c r="C797" t="inlineStr">
        <is>
          <t>1902-01-28</t>
        </is>
      </c>
    </row>
    <row r="798">
      <c r="A798" s="1" t="n">
        <v>797</v>
      </c>
      <c r="B798">
        <f>TEXT(797, "[$-0E0000]yyyy-mm-dd")</f>
        <v/>
      </c>
      <c r="C798" t="inlineStr">
        <is>
          <t>1902-01-29</t>
        </is>
      </c>
    </row>
    <row r="799">
      <c r="A799" s="1" t="n">
        <v>798</v>
      </c>
      <c r="B799">
        <f>TEXT(798, "[$-0E0000]yyyy-mm-dd")</f>
        <v/>
      </c>
      <c r="C799" t="inlineStr">
        <is>
          <t>1902-01-30</t>
        </is>
      </c>
    </row>
    <row r="800">
      <c r="A800" s="1" t="n">
        <v>799</v>
      </c>
      <c r="B800">
        <f>TEXT(799, "[$-0E0000]yyyy-mm-dd")</f>
        <v/>
      </c>
      <c r="C800" t="inlineStr">
        <is>
          <t>1902-02-01</t>
        </is>
      </c>
    </row>
    <row r="801">
      <c r="A801" s="1" t="n">
        <v>800</v>
      </c>
      <c r="B801">
        <f>TEXT(800, "[$-0E0000]yyyy-mm-dd")</f>
        <v/>
      </c>
      <c r="C801" t="inlineStr">
        <is>
          <t>1902-02-02</t>
        </is>
      </c>
    </row>
    <row r="802">
      <c r="A802" s="1" t="n">
        <v>801</v>
      </c>
      <c r="B802">
        <f>TEXT(801, "[$-0E0000]yyyy-mm-dd")</f>
        <v/>
      </c>
      <c r="C802" t="inlineStr">
        <is>
          <t>1902-02-03</t>
        </is>
      </c>
    </row>
    <row r="803">
      <c r="A803" s="1" t="n">
        <v>802</v>
      </c>
      <c r="B803">
        <f>TEXT(802, "[$-0E0000]yyyy-mm-dd")</f>
        <v/>
      </c>
      <c r="C803" t="inlineStr">
        <is>
          <t>1902-02-04</t>
        </is>
      </c>
    </row>
    <row r="804">
      <c r="A804" s="1" t="n">
        <v>803</v>
      </c>
      <c r="B804">
        <f>TEXT(803, "[$-0E0000]yyyy-mm-dd")</f>
        <v/>
      </c>
      <c r="C804" t="inlineStr">
        <is>
          <t>1902-02-05</t>
        </is>
      </c>
    </row>
    <row r="805">
      <c r="A805" s="1" t="n">
        <v>804</v>
      </c>
      <c r="B805">
        <f>TEXT(804, "[$-0E0000]yyyy-mm-dd")</f>
        <v/>
      </c>
      <c r="C805" t="inlineStr">
        <is>
          <t>1902-02-06</t>
        </is>
      </c>
    </row>
    <row r="806">
      <c r="A806" s="1" t="n">
        <v>805</v>
      </c>
      <c r="B806">
        <f>TEXT(805, "[$-0E0000]yyyy-mm-dd")</f>
        <v/>
      </c>
      <c r="C806" t="inlineStr">
        <is>
          <t>1902-02-07</t>
        </is>
      </c>
    </row>
    <row r="807">
      <c r="A807" s="1" t="n">
        <v>806</v>
      </c>
      <c r="B807">
        <f>TEXT(806, "[$-0E0000]yyyy-mm-dd")</f>
        <v/>
      </c>
      <c r="C807" t="inlineStr">
        <is>
          <t>1902-02-08</t>
        </is>
      </c>
    </row>
    <row r="808">
      <c r="A808" s="1" t="n">
        <v>807</v>
      </c>
      <c r="B808">
        <f>TEXT(807, "[$-0E0000]yyyy-mm-dd")</f>
        <v/>
      </c>
      <c r="C808" t="inlineStr">
        <is>
          <t>1902-02-09</t>
        </is>
      </c>
    </row>
    <row r="809">
      <c r="A809" s="1" t="n">
        <v>808</v>
      </c>
      <c r="B809">
        <f>TEXT(808, "[$-0E0000]yyyy-mm-dd")</f>
        <v/>
      </c>
      <c r="C809" t="inlineStr">
        <is>
          <t>1902-02-10</t>
        </is>
      </c>
    </row>
    <row r="810">
      <c r="A810" s="1" t="n">
        <v>809</v>
      </c>
      <c r="B810">
        <f>TEXT(809, "[$-0E0000]yyyy-mm-dd")</f>
        <v/>
      </c>
      <c r="C810" t="inlineStr">
        <is>
          <t>1902-02-11</t>
        </is>
      </c>
    </row>
    <row r="811">
      <c r="A811" s="1" t="n">
        <v>810</v>
      </c>
      <c r="B811">
        <f>TEXT(810, "[$-0E0000]yyyy-mm-dd")</f>
        <v/>
      </c>
      <c r="C811" t="inlineStr">
        <is>
          <t>1902-02-12</t>
        </is>
      </c>
    </row>
    <row r="812">
      <c r="A812" s="1" t="n">
        <v>811</v>
      </c>
      <c r="B812">
        <f>TEXT(811, "[$-0E0000]yyyy-mm-dd")</f>
        <v/>
      </c>
      <c r="C812" t="inlineStr">
        <is>
          <t>1902-02-13</t>
        </is>
      </c>
    </row>
    <row r="813">
      <c r="A813" s="1" t="n">
        <v>812</v>
      </c>
      <c r="B813">
        <f>TEXT(812, "[$-0E0000]yyyy-mm-dd")</f>
        <v/>
      </c>
      <c r="C813" t="inlineStr">
        <is>
          <t>1902-02-14</t>
        </is>
      </c>
    </row>
    <row r="814">
      <c r="A814" s="1" t="n">
        <v>813</v>
      </c>
      <c r="B814">
        <f>TEXT(813, "[$-0E0000]yyyy-mm-dd")</f>
        <v/>
      </c>
      <c r="C814" t="inlineStr">
        <is>
          <t>1902-02-15</t>
        </is>
      </c>
    </row>
    <row r="815">
      <c r="A815" s="1" t="n">
        <v>814</v>
      </c>
      <c r="B815">
        <f>TEXT(814, "[$-0E0000]yyyy-mm-dd")</f>
        <v/>
      </c>
      <c r="C815" t="inlineStr">
        <is>
          <t>1902-02-16</t>
        </is>
      </c>
    </row>
    <row r="816">
      <c r="A816" s="1" t="n">
        <v>815</v>
      </c>
      <c r="B816">
        <f>TEXT(815, "[$-0E0000]yyyy-mm-dd")</f>
        <v/>
      </c>
      <c r="C816" t="inlineStr">
        <is>
          <t>1902-02-17</t>
        </is>
      </c>
    </row>
    <row r="817">
      <c r="A817" s="1" t="n">
        <v>816</v>
      </c>
      <c r="B817">
        <f>TEXT(816, "[$-0E0000]yyyy-mm-dd")</f>
        <v/>
      </c>
      <c r="C817" t="inlineStr">
        <is>
          <t>1902-02-18</t>
        </is>
      </c>
    </row>
    <row r="818">
      <c r="A818" s="1" t="n">
        <v>817</v>
      </c>
      <c r="B818">
        <f>TEXT(817, "[$-0E0000]yyyy-mm-dd")</f>
        <v/>
      </c>
      <c r="C818" t="inlineStr">
        <is>
          <t>1902-02-19</t>
        </is>
      </c>
    </row>
    <row r="819">
      <c r="A819" s="1" t="n">
        <v>818</v>
      </c>
      <c r="B819">
        <f>TEXT(818, "[$-0E0000]yyyy-mm-dd")</f>
        <v/>
      </c>
      <c r="C819" t="inlineStr">
        <is>
          <t>1902-02-20</t>
        </is>
      </c>
    </row>
    <row r="820">
      <c r="A820" s="1" t="n">
        <v>819</v>
      </c>
      <c r="B820">
        <f>TEXT(819, "[$-0E0000]yyyy-mm-dd")</f>
        <v/>
      </c>
      <c r="C820" t="inlineStr">
        <is>
          <t>1902-02-21</t>
        </is>
      </c>
    </row>
    <row r="821">
      <c r="A821" s="1" t="n">
        <v>820</v>
      </c>
      <c r="B821">
        <f>TEXT(820, "[$-0E0000]yyyy-mm-dd")</f>
        <v/>
      </c>
      <c r="C821" t="inlineStr">
        <is>
          <t>1902-02-22</t>
        </is>
      </c>
    </row>
    <row r="822">
      <c r="A822" s="1" t="n">
        <v>821</v>
      </c>
      <c r="B822">
        <f>TEXT(821, "[$-0E0000]yyyy-mm-dd")</f>
        <v/>
      </c>
      <c r="C822" t="inlineStr">
        <is>
          <t>1902-02-23</t>
        </is>
      </c>
    </row>
    <row r="823">
      <c r="A823" s="1" t="n">
        <v>822</v>
      </c>
      <c r="B823">
        <f>TEXT(822, "[$-0E0000]yyyy-mm-dd")</f>
        <v/>
      </c>
      <c r="C823" t="inlineStr">
        <is>
          <t>1902-02-24</t>
        </is>
      </c>
    </row>
    <row r="824">
      <c r="A824" s="1" t="n">
        <v>823</v>
      </c>
      <c r="B824">
        <f>TEXT(823, "[$-0E0000]yyyy-mm-dd")</f>
        <v/>
      </c>
      <c r="C824" t="inlineStr">
        <is>
          <t>1902-02-25</t>
        </is>
      </c>
    </row>
    <row r="825">
      <c r="A825" s="1" t="n">
        <v>824</v>
      </c>
      <c r="B825">
        <f>TEXT(824, "[$-0E0000]yyyy-mm-dd")</f>
        <v/>
      </c>
      <c r="C825" t="inlineStr">
        <is>
          <t>1902-02-26</t>
        </is>
      </c>
    </row>
    <row r="826">
      <c r="A826" s="1" t="n">
        <v>825</v>
      </c>
      <c r="B826">
        <f>TEXT(825, "[$-0E0000]yyyy-mm-dd")</f>
        <v/>
      </c>
      <c r="C826" t="inlineStr">
        <is>
          <t>1902-02-27</t>
        </is>
      </c>
    </row>
    <row r="827">
      <c r="A827" s="1" t="n">
        <v>826</v>
      </c>
      <c r="B827">
        <f>TEXT(826, "[$-0E0000]yyyy-mm-dd")</f>
        <v/>
      </c>
      <c r="C827" t="inlineStr">
        <is>
          <t>1902-02-28</t>
        </is>
      </c>
    </row>
    <row r="828">
      <c r="A828" s="1" t="n">
        <v>827</v>
      </c>
      <c r="B828">
        <f>TEXT(827, "[$-0E0000]yyyy-mm-dd")</f>
        <v/>
      </c>
      <c r="C828" t="inlineStr">
        <is>
          <t>1902-02-29</t>
        </is>
      </c>
    </row>
    <row r="829">
      <c r="A829" s="1" t="n">
        <v>828</v>
      </c>
      <c r="B829">
        <f>TEXT(828, "[$-0E0000]yyyy-mm-dd")</f>
        <v/>
      </c>
      <c r="C829" t="inlineStr">
        <is>
          <t>1902-03-01</t>
        </is>
      </c>
    </row>
    <row r="830">
      <c r="A830" s="1" t="n">
        <v>829</v>
      </c>
      <c r="B830">
        <f>TEXT(829, "[$-0E0000]yyyy-mm-dd")</f>
        <v/>
      </c>
      <c r="C830" t="inlineStr">
        <is>
          <t>1902-03-02</t>
        </is>
      </c>
    </row>
    <row r="831">
      <c r="A831" s="1" t="n">
        <v>830</v>
      </c>
      <c r="B831">
        <f>TEXT(830, "[$-0E0000]yyyy-mm-dd")</f>
        <v/>
      </c>
      <c r="C831" t="inlineStr">
        <is>
          <t>1902-03-03</t>
        </is>
      </c>
    </row>
    <row r="832">
      <c r="A832" s="1" t="n">
        <v>831</v>
      </c>
      <c r="B832">
        <f>TEXT(831, "[$-0E0000]yyyy-mm-dd")</f>
        <v/>
      </c>
      <c r="C832" t="inlineStr">
        <is>
          <t>1902-03-04</t>
        </is>
      </c>
    </row>
    <row r="833">
      <c r="A833" s="1" t="n">
        <v>832</v>
      </c>
      <c r="B833">
        <f>TEXT(832, "[$-0E0000]yyyy-mm-dd")</f>
        <v/>
      </c>
      <c r="C833" t="inlineStr">
        <is>
          <t>1902-03-05</t>
        </is>
      </c>
    </row>
    <row r="834">
      <c r="A834" s="1" t="n">
        <v>833</v>
      </c>
      <c r="B834">
        <f>TEXT(833, "[$-0E0000]yyyy-mm-dd")</f>
        <v/>
      </c>
      <c r="C834" t="inlineStr">
        <is>
          <t>1902-03-06</t>
        </is>
      </c>
    </row>
    <row r="835">
      <c r="A835" s="1" t="n">
        <v>834</v>
      </c>
      <c r="B835">
        <f>TEXT(834, "[$-0E0000]yyyy-mm-dd")</f>
        <v/>
      </c>
      <c r="C835" t="inlineStr">
        <is>
          <t>1902-03-07</t>
        </is>
      </c>
    </row>
    <row r="836">
      <c r="A836" s="1" t="n">
        <v>835</v>
      </c>
      <c r="B836">
        <f>TEXT(835, "[$-0E0000]yyyy-mm-dd")</f>
        <v/>
      </c>
      <c r="C836" t="inlineStr">
        <is>
          <t>1902-03-08</t>
        </is>
      </c>
    </row>
    <row r="837">
      <c r="A837" s="1" t="n">
        <v>836</v>
      </c>
      <c r="B837">
        <f>TEXT(836, "[$-0E0000]yyyy-mm-dd")</f>
        <v/>
      </c>
      <c r="C837" t="inlineStr">
        <is>
          <t>1902-03-09</t>
        </is>
      </c>
    </row>
    <row r="838">
      <c r="A838" s="1" t="n">
        <v>837</v>
      </c>
      <c r="B838">
        <f>TEXT(837, "[$-0E0000]yyyy-mm-dd")</f>
        <v/>
      </c>
      <c r="C838" t="inlineStr">
        <is>
          <t>1902-03-10</t>
        </is>
      </c>
    </row>
    <row r="839">
      <c r="A839" s="1" t="n">
        <v>838</v>
      </c>
      <c r="B839">
        <f>TEXT(838, "[$-0E0000]yyyy-mm-dd")</f>
        <v/>
      </c>
      <c r="C839" t="inlineStr">
        <is>
          <t>1902-03-11</t>
        </is>
      </c>
    </row>
    <row r="840">
      <c r="A840" s="1" t="n">
        <v>839</v>
      </c>
      <c r="B840">
        <f>TEXT(839, "[$-0E0000]yyyy-mm-dd")</f>
        <v/>
      </c>
      <c r="C840" t="inlineStr">
        <is>
          <t>1902-03-12</t>
        </is>
      </c>
    </row>
    <row r="841">
      <c r="A841" s="1" t="n">
        <v>840</v>
      </c>
      <c r="B841">
        <f>TEXT(840, "[$-0E0000]yyyy-mm-dd")</f>
        <v/>
      </c>
      <c r="C841" t="inlineStr">
        <is>
          <t>1902-03-13</t>
        </is>
      </c>
    </row>
    <row r="842">
      <c r="A842" s="1" t="n">
        <v>841</v>
      </c>
      <c r="B842">
        <f>TEXT(841, "[$-0E0000]yyyy-mm-dd")</f>
        <v/>
      </c>
      <c r="C842" t="inlineStr">
        <is>
          <t>1902-03-14</t>
        </is>
      </c>
    </row>
    <row r="843">
      <c r="A843" s="1" t="n">
        <v>842</v>
      </c>
      <c r="B843">
        <f>TEXT(842, "[$-0E0000]yyyy-mm-dd")</f>
        <v/>
      </c>
      <c r="C843" t="inlineStr">
        <is>
          <t>1902-03-15</t>
        </is>
      </c>
    </row>
    <row r="844">
      <c r="A844" s="1" t="n">
        <v>843</v>
      </c>
      <c r="B844">
        <f>TEXT(843, "[$-0E0000]yyyy-mm-dd")</f>
        <v/>
      </c>
      <c r="C844" t="inlineStr">
        <is>
          <t>1902-03-16</t>
        </is>
      </c>
    </row>
    <row r="845">
      <c r="A845" s="1" t="n">
        <v>844</v>
      </c>
      <c r="B845">
        <f>TEXT(844, "[$-0E0000]yyyy-mm-dd")</f>
        <v/>
      </c>
      <c r="C845" t="inlineStr">
        <is>
          <t>1902-03-17</t>
        </is>
      </c>
    </row>
    <row r="846">
      <c r="A846" s="1" t="n">
        <v>845</v>
      </c>
      <c r="B846">
        <f>TEXT(845, "[$-0E0000]yyyy-mm-dd")</f>
        <v/>
      </c>
      <c r="C846" t="inlineStr">
        <is>
          <t>1902-03-18</t>
        </is>
      </c>
    </row>
    <row r="847">
      <c r="A847" s="1" t="n">
        <v>846</v>
      </c>
      <c r="B847">
        <f>TEXT(846, "[$-0E0000]yyyy-mm-dd")</f>
        <v/>
      </c>
      <c r="C847" t="inlineStr">
        <is>
          <t>1902-03-19</t>
        </is>
      </c>
    </row>
    <row r="848">
      <c r="A848" s="1" t="n">
        <v>847</v>
      </c>
      <c r="B848">
        <f>TEXT(847, "[$-0E0000]yyyy-mm-dd")</f>
        <v/>
      </c>
      <c r="C848" t="inlineStr">
        <is>
          <t>1902-03-20</t>
        </is>
      </c>
    </row>
    <row r="849">
      <c r="A849" s="1" t="n">
        <v>848</v>
      </c>
      <c r="B849">
        <f>TEXT(848, "[$-0E0000]yyyy-mm-dd")</f>
        <v/>
      </c>
      <c r="C849" t="inlineStr">
        <is>
          <t>1902-03-21</t>
        </is>
      </c>
    </row>
    <row r="850">
      <c r="A850" s="1" t="n">
        <v>849</v>
      </c>
      <c r="B850">
        <f>TEXT(849, "[$-0E0000]yyyy-mm-dd")</f>
        <v/>
      </c>
      <c r="C850" t="inlineStr">
        <is>
          <t>1902-03-22</t>
        </is>
      </c>
    </row>
    <row r="851">
      <c r="A851" s="1" t="n">
        <v>850</v>
      </c>
      <c r="B851">
        <f>TEXT(850, "[$-0E0000]yyyy-mm-dd")</f>
        <v/>
      </c>
      <c r="C851" t="inlineStr">
        <is>
          <t>1902-03-23</t>
        </is>
      </c>
    </row>
    <row r="852">
      <c r="A852" s="1" t="n">
        <v>851</v>
      </c>
      <c r="B852">
        <f>TEXT(851, "[$-0E0000]yyyy-mm-dd")</f>
        <v/>
      </c>
      <c r="C852" t="inlineStr">
        <is>
          <t>1902-03-24</t>
        </is>
      </c>
    </row>
    <row r="853">
      <c r="A853" s="1" t="n">
        <v>852</v>
      </c>
      <c r="B853">
        <f>TEXT(852, "[$-0E0000]yyyy-mm-dd")</f>
        <v/>
      </c>
      <c r="C853" t="inlineStr">
        <is>
          <t>1902-03-25</t>
        </is>
      </c>
    </row>
    <row r="854">
      <c r="A854" s="1" t="n">
        <v>853</v>
      </c>
      <c r="B854">
        <f>TEXT(853, "[$-0E0000]yyyy-mm-dd")</f>
        <v/>
      </c>
      <c r="C854" t="inlineStr">
        <is>
          <t>1902-03-26</t>
        </is>
      </c>
    </row>
    <row r="855">
      <c r="A855" s="1" t="n">
        <v>854</v>
      </c>
      <c r="B855">
        <f>TEXT(854, "[$-0E0000]yyyy-mm-dd")</f>
        <v/>
      </c>
      <c r="C855" t="inlineStr">
        <is>
          <t>1902-03-27</t>
        </is>
      </c>
    </row>
    <row r="856">
      <c r="A856" s="1" t="n">
        <v>855</v>
      </c>
      <c r="B856">
        <f>TEXT(855, "[$-0E0000]yyyy-mm-dd")</f>
        <v/>
      </c>
      <c r="C856" t="inlineStr">
        <is>
          <t>1902-03-28</t>
        </is>
      </c>
    </row>
    <row r="857">
      <c r="A857" s="1" t="n">
        <v>856</v>
      </c>
      <c r="B857">
        <f>TEXT(856, "[$-0E0000]yyyy-mm-dd")</f>
        <v/>
      </c>
      <c r="C857" t="inlineStr">
        <is>
          <t>1902-03-29</t>
        </is>
      </c>
    </row>
    <row r="858">
      <c r="A858" s="1" t="n">
        <v>857</v>
      </c>
      <c r="B858">
        <f>TEXT(857, "[$-0E0000]yyyy-mm-dd")</f>
        <v/>
      </c>
      <c r="C858" t="inlineStr">
        <is>
          <t>1902-03-30</t>
        </is>
      </c>
    </row>
    <row r="859">
      <c r="A859" s="1" t="n">
        <v>858</v>
      </c>
      <c r="B859">
        <f>TEXT(858, "[$-0E0000]yyyy-mm-dd")</f>
        <v/>
      </c>
      <c r="C859" t="inlineStr">
        <is>
          <t>1902-04-01</t>
        </is>
      </c>
    </row>
    <row r="860">
      <c r="A860" s="1" t="n">
        <v>859</v>
      </c>
      <c r="B860">
        <f>TEXT(859, "[$-0E0000]yyyy-mm-dd")</f>
        <v/>
      </c>
      <c r="C860" t="inlineStr">
        <is>
          <t>1902-04-02</t>
        </is>
      </c>
    </row>
    <row r="861">
      <c r="A861" s="1" t="n">
        <v>860</v>
      </c>
      <c r="B861">
        <f>TEXT(860, "[$-0E0000]yyyy-mm-dd")</f>
        <v/>
      </c>
      <c r="C861" t="inlineStr">
        <is>
          <t>1902-04-03</t>
        </is>
      </c>
    </row>
    <row r="862">
      <c r="A862" s="1" t="n">
        <v>861</v>
      </c>
      <c r="B862">
        <f>TEXT(861, "[$-0E0000]yyyy-mm-dd")</f>
        <v/>
      </c>
      <c r="C862" t="inlineStr">
        <is>
          <t>1902-04-04</t>
        </is>
      </c>
    </row>
    <row r="863">
      <c r="A863" s="1" t="n">
        <v>862</v>
      </c>
      <c r="B863">
        <f>TEXT(862, "[$-0E0000]yyyy-mm-dd")</f>
        <v/>
      </c>
      <c r="C863" t="inlineStr">
        <is>
          <t>1902-04-05</t>
        </is>
      </c>
    </row>
    <row r="864">
      <c r="A864" s="1" t="n">
        <v>863</v>
      </c>
      <c r="B864">
        <f>TEXT(863, "[$-0E0000]yyyy-mm-dd")</f>
        <v/>
      </c>
      <c r="C864" t="inlineStr">
        <is>
          <t>1902-04-06</t>
        </is>
      </c>
    </row>
    <row r="865">
      <c r="A865" s="1" t="n">
        <v>864</v>
      </c>
      <c r="B865">
        <f>TEXT(864, "[$-0E0000]yyyy-mm-dd")</f>
        <v/>
      </c>
      <c r="C865" t="inlineStr">
        <is>
          <t>1902-04-07</t>
        </is>
      </c>
    </row>
    <row r="866">
      <c r="A866" s="1" t="n">
        <v>865</v>
      </c>
      <c r="B866">
        <f>TEXT(865, "[$-0E0000]yyyy-mm-dd")</f>
        <v/>
      </c>
      <c r="C866" t="inlineStr">
        <is>
          <t>1902-04-08</t>
        </is>
      </c>
    </row>
    <row r="867">
      <c r="A867" s="1" t="n">
        <v>866</v>
      </c>
      <c r="B867">
        <f>TEXT(866, "[$-0E0000]yyyy-mm-dd")</f>
        <v/>
      </c>
      <c r="C867" t="inlineStr">
        <is>
          <t>1902-04-09</t>
        </is>
      </c>
    </row>
    <row r="868">
      <c r="A868" s="1" t="n">
        <v>867</v>
      </c>
      <c r="B868">
        <f>TEXT(867, "[$-0E0000]yyyy-mm-dd")</f>
        <v/>
      </c>
      <c r="C868" t="inlineStr">
        <is>
          <t>1902-04-10</t>
        </is>
      </c>
    </row>
    <row r="869">
      <c r="A869" s="1" t="n">
        <v>868</v>
      </c>
      <c r="B869">
        <f>TEXT(868, "[$-0E0000]yyyy-mm-dd")</f>
        <v/>
      </c>
      <c r="C869" t="inlineStr">
        <is>
          <t>1902-04-11</t>
        </is>
      </c>
    </row>
    <row r="870">
      <c r="A870" s="1" t="n">
        <v>869</v>
      </c>
      <c r="B870">
        <f>TEXT(869, "[$-0E0000]yyyy-mm-dd")</f>
        <v/>
      </c>
      <c r="C870" t="inlineStr">
        <is>
          <t>1902-04-12</t>
        </is>
      </c>
    </row>
    <row r="871">
      <c r="A871" s="1" t="n">
        <v>870</v>
      </c>
      <c r="B871">
        <f>TEXT(870, "[$-0E0000]yyyy-mm-dd")</f>
        <v/>
      </c>
      <c r="C871" t="inlineStr">
        <is>
          <t>1902-04-13</t>
        </is>
      </c>
    </row>
    <row r="872">
      <c r="A872" s="1" t="n">
        <v>871</v>
      </c>
      <c r="B872">
        <f>TEXT(871, "[$-0E0000]yyyy-mm-dd")</f>
        <v/>
      </c>
      <c r="C872" t="inlineStr">
        <is>
          <t>1902-04-14</t>
        </is>
      </c>
    </row>
    <row r="873">
      <c r="A873" s="1" t="n">
        <v>872</v>
      </c>
      <c r="B873">
        <f>TEXT(872, "[$-0E0000]yyyy-mm-dd")</f>
        <v/>
      </c>
      <c r="C873" t="inlineStr">
        <is>
          <t>1902-04-15</t>
        </is>
      </c>
    </row>
    <row r="874">
      <c r="A874" s="1" t="n">
        <v>873</v>
      </c>
      <c r="B874">
        <f>TEXT(873, "[$-0E0000]yyyy-mm-dd")</f>
        <v/>
      </c>
      <c r="C874" t="inlineStr">
        <is>
          <t>1902-04-16</t>
        </is>
      </c>
    </row>
    <row r="875">
      <c r="A875" s="1" t="n">
        <v>874</v>
      </c>
      <c r="B875">
        <f>TEXT(874, "[$-0E0000]yyyy-mm-dd")</f>
        <v/>
      </c>
      <c r="C875" t="inlineStr">
        <is>
          <t>1902-04-17</t>
        </is>
      </c>
    </row>
    <row r="876">
      <c r="A876" s="1" t="n">
        <v>875</v>
      </c>
      <c r="B876">
        <f>TEXT(875, "[$-0E0000]yyyy-mm-dd")</f>
        <v/>
      </c>
      <c r="C876" t="inlineStr">
        <is>
          <t>1902-04-18</t>
        </is>
      </c>
    </row>
    <row r="877">
      <c r="A877" s="1" t="n">
        <v>876</v>
      </c>
      <c r="B877">
        <f>TEXT(876, "[$-0E0000]yyyy-mm-dd")</f>
        <v/>
      </c>
      <c r="C877" t="inlineStr">
        <is>
          <t>1902-04-19</t>
        </is>
      </c>
    </row>
    <row r="878">
      <c r="A878" s="1" t="n">
        <v>877</v>
      </c>
      <c r="B878">
        <f>TEXT(877, "[$-0E0000]yyyy-mm-dd")</f>
        <v/>
      </c>
      <c r="C878" t="inlineStr">
        <is>
          <t>1902-04-20</t>
        </is>
      </c>
    </row>
    <row r="879">
      <c r="A879" s="1" t="n">
        <v>878</v>
      </c>
      <c r="B879">
        <f>TEXT(878, "[$-0E0000]yyyy-mm-dd")</f>
        <v/>
      </c>
      <c r="C879" t="inlineStr">
        <is>
          <t>1902-04-21</t>
        </is>
      </c>
    </row>
    <row r="880">
      <c r="A880" s="1" t="n">
        <v>879</v>
      </c>
      <c r="B880">
        <f>TEXT(879, "[$-0E0000]yyyy-mm-dd")</f>
        <v/>
      </c>
      <c r="C880" t="inlineStr">
        <is>
          <t>1902-04-22</t>
        </is>
      </c>
    </row>
    <row r="881">
      <c r="A881" s="1" t="n">
        <v>880</v>
      </c>
      <c r="B881">
        <f>TEXT(880, "[$-0E0000]yyyy-mm-dd")</f>
        <v/>
      </c>
      <c r="C881" t="inlineStr">
        <is>
          <t>1902-04-23</t>
        </is>
      </c>
    </row>
    <row r="882">
      <c r="A882" s="1" t="n">
        <v>881</v>
      </c>
      <c r="B882">
        <f>TEXT(881, "[$-0E0000]yyyy-mm-dd")</f>
        <v/>
      </c>
      <c r="C882" t="inlineStr">
        <is>
          <t>1902-04-24</t>
        </is>
      </c>
    </row>
    <row r="883">
      <c r="A883" s="1" t="n">
        <v>882</v>
      </c>
      <c r="B883">
        <f>TEXT(882, "[$-0E0000]yyyy-mm-dd")</f>
        <v/>
      </c>
      <c r="C883" t="inlineStr">
        <is>
          <t>1902-04-25</t>
        </is>
      </c>
    </row>
    <row r="884">
      <c r="A884" s="1" t="n">
        <v>883</v>
      </c>
      <c r="B884">
        <f>TEXT(883, "[$-0E0000]yyyy-mm-dd")</f>
        <v/>
      </c>
      <c r="C884" t="inlineStr">
        <is>
          <t>1902-04-26</t>
        </is>
      </c>
    </row>
    <row r="885">
      <c r="A885" s="1" t="n">
        <v>884</v>
      </c>
      <c r="B885">
        <f>TEXT(884, "[$-0E0000]yyyy-mm-dd")</f>
        <v/>
      </c>
      <c r="C885" t="inlineStr">
        <is>
          <t>1902-04-27</t>
        </is>
      </c>
    </row>
    <row r="886">
      <c r="A886" s="1" t="n">
        <v>885</v>
      </c>
      <c r="B886">
        <f>TEXT(885, "[$-0E0000]yyyy-mm-dd")</f>
        <v/>
      </c>
      <c r="C886" t="inlineStr">
        <is>
          <t>1902-04-28</t>
        </is>
      </c>
    </row>
    <row r="887">
      <c r="A887" s="1" t="n">
        <v>886</v>
      </c>
      <c r="B887">
        <f>TEXT(886, "[$-0E0000]yyyy-mm-dd")</f>
        <v/>
      </c>
      <c r="C887" t="inlineStr">
        <is>
          <t>1902-04-29</t>
        </is>
      </c>
    </row>
    <row r="888">
      <c r="A888" s="1" t="n">
        <v>887</v>
      </c>
      <c r="B888">
        <f>TEXT(887, "[$-0E0000]yyyy-mm-dd")</f>
        <v/>
      </c>
      <c r="C888" t="inlineStr">
        <is>
          <t>1902-05-01</t>
        </is>
      </c>
    </row>
    <row r="889">
      <c r="A889" s="1" t="n">
        <v>888</v>
      </c>
      <c r="B889">
        <f>TEXT(888, "[$-0E0000]yyyy-mm-dd")</f>
        <v/>
      </c>
      <c r="C889" t="inlineStr">
        <is>
          <t>1902-05-02</t>
        </is>
      </c>
    </row>
    <row r="890">
      <c r="A890" s="1" t="n">
        <v>889</v>
      </c>
      <c r="B890">
        <f>TEXT(889, "[$-0E0000]yyyy-mm-dd")</f>
        <v/>
      </c>
      <c r="C890" t="inlineStr">
        <is>
          <t>1902-05-03</t>
        </is>
      </c>
    </row>
    <row r="891">
      <c r="A891" s="1" t="n">
        <v>890</v>
      </c>
      <c r="B891">
        <f>TEXT(890, "[$-0E0000]yyyy-mm-dd")</f>
        <v/>
      </c>
      <c r="C891" t="inlineStr">
        <is>
          <t>1902-05-04</t>
        </is>
      </c>
    </row>
    <row r="892">
      <c r="A892" s="1" t="n">
        <v>891</v>
      </c>
      <c r="B892">
        <f>TEXT(891, "[$-0E0000]yyyy-mm-dd")</f>
        <v/>
      </c>
      <c r="C892" t="inlineStr">
        <is>
          <t>1902-05-05</t>
        </is>
      </c>
    </row>
    <row r="893">
      <c r="A893" s="1" t="n">
        <v>892</v>
      </c>
      <c r="B893">
        <f>TEXT(892, "[$-0E0000]yyyy-mm-dd")</f>
        <v/>
      </c>
      <c r="C893" t="inlineStr">
        <is>
          <t>1902-05-06</t>
        </is>
      </c>
    </row>
    <row r="894">
      <c r="A894" s="1" t="n">
        <v>893</v>
      </c>
      <c r="B894">
        <f>TEXT(893, "[$-0E0000]yyyy-mm-dd")</f>
        <v/>
      </c>
      <c r="C894" t="inlineStr">
        <is>
          <t>1902-05-07</t>
        </is>
      </c>
    </row>
    <row r="895">
      <c r="A895" s="1" t="n">
        <v>894</v>
      </c>
      <c r="B895">
        <f>TEXT(894, "[$-0E0000]yyyy-mm-dd")</f>
        <v/>
      </c>
      <c r="C895" t="inlineStr">
        <is>
          <t>1902-05-08</t>
        </is>
      </c>
    </row>
    <row r="896">
      <c r="A896" s="1" t="n">
        <v>895</v>
      </c>
      <c r="B896">
        <f>TEXT(895, "[$-0E0000]yyyy-mm-dd")</f>
        <v/>
      </c>
      <c r="C896" t="inlineStr">
        <is>
          <t>1902-05-09</t>
        </is>
      </c>
    </row>
    <row r="897">
      <c r="A897" s="1" t="n">
        <v>896</v>
      </c>
      <c r="B897">
        <f>TEXT(896, "[$-0E0000]yyyy-mm-dd")</f>
        <v/>
      </c>
      <c r="C897" t="inlineStr">
        <is>
          <t>1902-05-10</t>
        </is>
      </c>
    </row>
    <row r="898">
      <c r="A898" s="1" t="n">
        <v>897</v>
      </c>
      <c r="B898">
        <f>TEXT(897, "[$-0E0000]yyyy-mm-dd")</f>
        <v/>
      </c>
      <c r="C898" t="inlineStr">
        <is>
          <t>1902-05-11</t>
        </is>
      </c>
    </row>
    <row r="899">
      <c r="A899" s="1" t="n">
        <v>898</v>
      </c>
      <c r="B899">
        <f>TEXT(898, "[$-0E0000]yyyy-mm-dd")</f>
        <v/>
      </c>
      <c r="C899" t="inlineStr">
        <is>
          <t>1902-05-12</t>
        </is>
      </c>
    </row>
    <row r="900">
      <c r="A900" s="1" t="n">
        <v>899</v>
      </c>
      <c r="B900">
        <f>TEXT(899, "[$-0E0000]yyyy-mm-dd")</f>
        <v/>
      </c>
      <c r="C900" t="inlineStr">
        <is>
          <t>1902-05-13</t>
        </is>
      </c>
    </row>
    <row r="901">
      <c r="A901" s="1" t="n">
        <v>900</v>
      </c>
      <c r="B901">
        <f>TEXT(900, "[$-0E0000]yyyy-mm-dd")</f>
        <v/>
      </c>
      <c r="C901" t="inlineStr">
        <is>
          <t>1902-05-14</t>
        </is>
      </c>
    </row>
    <row r="902">
      <c r="A902" s="1" t="n">
        <v>901</v>
      </c>
      <c r="B902">
        <f>TEXT(901, "[$-0E0000]yyyy-mm-dd")</f>
        <v/>
      </c>
      <c r="C902" t="inlineStr">
        <is>
          <t>1902-05-15</t>
        </is>
      </c>
    </row>
    <row r="903">
      <c r="A903" s="1" t="n">
        <v>902</v>
      </c>
      <c r="B903">
        <f>TEXT(902, "[$-0E0000]yyyy-mm-dd")</f>
        <v/>
      </c>
      <c r="C903" t="inlineStr">
        <is>
          <t>1902-05-16</t>
        </is>
      </c>
    </row>
    <row r="904">
      <c r="A904" s="1" t="n">
        <v>903</v>
      </c>
      <c r="B904">
        <f>TEXT(903, "[$-0E0000]yyyy-mm-dd")</f>
        <v/>
      </c>
      <c r="C904" t="inlineStr">
        <is>
          <t>1902-05-17</t>
        </is>
      </c>
    </row>
    <row r="905">
      <c r="A905" s="1" t="n">
        <v>904</v>
      </c>
      <c r="B905">
        <f>TEXT(904, "[$-0E0000]yyyy-mm-dd")</f>
        <v/>
      </c>
      <c r="C905" t="inlineStr">
        <is>
          <t>1902-05-18</t>
        </is>
      </c>
    </row>
    <row r="906">
      <c r="A906" s="1" t="n">
        <v>905</v>
      </c>
      <c r="B906">
        <f>TEXT(905, "[$-0E0000]yyyy-mm-dd")</f>
        <v/>
      </c>
      <c r="C906" t="inlineStr">
        <is>
          <t>1902-05-19</t>
        </is>
      </c>
    </row>
    <row r="907">
      <c r="A907" s="1" t="n">
        <v>906</v>
      </c>
      <c r="B907">
        <f>TEXT(906, "[$-0E0000]yyyy-mm-dd")</f>
        <v/>
      </c>
      <c r="C907" t="inlineStr">
        <is>
          <t>1902-05-20</t>
        </is>
      </c>
    </row>
    <row r="908">
      <c r="A908" s="1" t="n">
        <v>907</v>
      </c>
      <c r="B908">
        <f>TEXT(907, "[$-0E0000]yyyy-mm-dd")</f>
        <v/>
      </c>
      <c r="C908" t="inlineStr">
        <is>
          <t>1902-05-21</t>
        </is>
      </c>
    </row>
    <row r="909">
      <c r="A909" s="1" t="n">
        <v>908</v>
      </c>
      <c r="B909">
        <f>TEXT(908, "[$-0E0000]yyyy-mm-dd")</f>
        <v/>
      </c>
      <c r="C909" t="inlineStr">
        <is>
          <t>1902-05-22</t>
        </is>
      </c>
    </row>
    <row r="910">
      <c r="A910" s="1" t="n">
        <v>909</v>
      </c>
      <c r="B910">
        <f>TEXT(909, "[$-0E0000]yyyy-mm-dd")</f>
        <v/>
      </c>
      <c r="C910" t="inlineStr">
        <is>
          <t>1902-05-23</t>
        </is>
      </c>
    </row>
    <row r="911">
      <c r="A911" s="1" t="n">
        <v>910</v>
      </c>
      <c r="B911">
        <f>TEXT(910, "[$-0E0000]yyyy-mm-dd")</f>
        <v/>
      </c>
      <c r="C911" t="inlineStr">
        <is>
          <t>1902-05-24</t>
        </is>
      </c>
    </row>
    <row r="912">
      <c r="A912" s="1" t="n">
        <v>911</v>
      </c>
      <c r="B912">
        <f>TEXT(911, "[$-0E0000]yyyy-mm-dd")</f>
        <v/>
      </c>
      <c r="C912" t="inlineStr">
        <is>
          <t>1902-05-25</t>
        </is>
      </c>
    </row>
    <row r="913">
      <c r="A913" s="1" t="n">
        <v>912</v>
      </c>
      <c r="B913">
        <f>TEXT(912, "[$-0E0000]yyyy-mm-dd")</f>
        <v/>
      </c>
      <c r="C913" t="inlineStr">
        <is>
          <t>1902-05-26</t>
        </is>
      </c>
    </row>
    <row r="914">
      <c r="A914" s="1" t="n">
        <v>913</v>
      </c>
      <c r="B914">
        <f>TEXT(913, "[$-0E0000]yyyy-mm-dd")</f>
        <v/>
      </c>
      <c r="C914" t="inlineStr">
        <is>
          <t>1902-05-27</t>
        </is>
      </c>
    </row>
    <row r="915">
      <c r="A915" s="1" t="n">
        <v>914</v>
      </c>
      <c r="B915">
        <f>TEXT(914, "[$-0E0000]yyyy-mm-dd")</f>
        <v/>
      </c>
      <c r="C915" t="inlineStr">
        <is>
          <t>1902-05-28</t>
        </is>
      </c>
    </row>
    <row r="916">
      <c r="A916" s="1" t="n">
        <v>915</v>
      </c>
      <c r="B916">
        <f>TEXT(915, "[$-0E0000]yyyy-mm-dd")</f>
        <v/>
      </c>
      <c r="C916" t="inlineStr">
        <is>
          <t>1902-05-29</t>
        </is>
      </c>
    </row>
    <row r="917">
      <c r="A917" s="1" t="n">
        <v>916</v>
      </c>
      <c r="B917">
        <f>TEXT(916, "[$-0E0000]yyyy-mm-dd")</f>
        <v/>
      </c>
      <c r="C917" t="inlineStr">
        <is>
          <t>1902-06-01</t>
        </is>
      </c>
    </row>
    <row r="918">
      <c r="A918" s="1" t="n">
        <v>917</v>
      </c>
      <c r="B918">
        <f>TEXT(917, "[$-0E0000]yyyy-mm-dd")</f>
        <v/>
      </c>
      <c r="C918" t="inlineStr">
        <is>
          <t>1902-06-02</t>
        </is>
      </c>
    </row>
    <row r="919">
      <c r="A919" s="1" t="n">
        <v>918</v>
      </c>
      <c r="B919">
        <f>TEXT(918, "[$-0E0000]yyyy-mm-dd")</f>
        <v/>
      </c>
      <c r="C919" t="inlineStr">
        <is>
          <t>1902-06-03</t>
        </is>
      </c>
    </row>
    <row r="920">
      <c r="A920" s="1" t="n">
        <v>919</v>
      </c>
      <c r="B920">
        <f>TEXT(919, "[$-0E0000]yyyy-mm-dd")</f>
        <v/>
      </c>
      <c r="C920" t="inlineStr">
        <is>
          <t>1902-06-04</t>
        </is>
      </c>
    </row>
    <row r="921">
      <c r="A921" s="1" t="n">
        <v>920</v>
      </c>
      <c r="B921">
        <f>TEXT(920, "[$-0E0000]yyyy-mm-dd")</f>
        <v/>
      </c>
      <c r="C921" t="inlineStr">
        <is>
          <t>1902-06-05</t>
        </is>
      </c>
    </row>
    <row r="922">
      <c r="A922" s="1" t="n">
        <v>921</v>
      </c>
      <c r="B922">
        <f>TEXT(921, "[$-0E0000]yyyy-mm-dd")</f>
        <v/>
      </c>
      <c r="C922" t="inlineStr">
        <is>
          <t>1902-06-06</t>
        </is>
      </c>
    </row>
    <row r="923">
      <c r="A923" s="1" t="n">
        <v>922</v>
      </c>
      <c r="B923">
        <f>TEXT(922, "[$-0E0000]yyyy-mm-dd")</f>
        <v/>
      </c>
      <c r="C923" t="inlineStr">
        <is>
          <t>1902-06-07</t>
        </is>
      </c>
    </row>
    <row r="924">
      <c r="A924" s="1" t="n">
        <v>923</v>
      </c>
      <c r="B924">
        <f>TEXT(923, "[$-0E0000]yyyy-mm-dd")</f>
        <v/>
      </c>
      <c r="C924" t="inlineStr">
        <is>
          <t>1902-06-08</t>
        </is>
      </c>
    </row>
    <row r="925">
      <c r="A925" s="1" t="n">
        <v>924</v>
      </c>
      <c r="B925">
        <f>TEXT(924, "[$-0E0000]yyyy-mm-dd")</f>
        <v/>
      </c>
      <c r="C925" t="inlineStr">
        <is>
          <t>1902-06-09</t>
        </is>
      </c>
    </row>
    <row r="926">
      <c r="A926" s="1" t="n">
        <v>925</v>
      </c>
      <c r="B926">
        <f>TEXT(925, "[$-0E0000]yyyy-mm-dd")</f>
        <v/>
      </c>
      <c r="C926" t="inlineStr">
        <is>
          <t>1902-06-10</t>
        </is>
      </c>
    </row>
    <row r="927">
      <c r="A927" s="1" t="n">
        <v>926</v>
      </c>
      <c r="B927">
        <f>TEXT(926, "[$-0E0000]yyyy-mm-dd")</f>
        <v/>
      </c>
      <c r="C927" t="inlineStr">
        <is>
          <t>1902-06-11</t>
        </is>
      </c>
    </row>
    <row r="928">
      <c r="A928" s="1" t="n">
        <v>927</v>
      </c>
      <c r="B928">
        <f>TEXT(927, "[$-0E0000]yyyy-mm-dd")</f>
        <v/>
      </c>
      <c r="C928" t="inlineStr">
        <is>
          <t>1902-06-12</t>
        </is>
      </c>
    </row>
    <row r="929">
      <c r="A929" s="1" t="n">
        <v>928</v>
      </c>
      <c r="B929">
        <f>TEXT(928, "[$-0E0000]yyyy-mm-dd")</f>
        <v/>
      </c>
      <c r="C929" t="inlineStr">
        <is>
          <t>1902-06-13</t>
        </is>
      </c>
    </row>
    <row r="930">
      <c r="A930" s="1" t="n">
        <v>929</v>
      </c>
      <c r="B930">
        <f>TEXT(929, "[$-0E0000]yyyy-mm-dd")</f>
        <v/>
      </c>
      <c r="C930" t="inlineStr">
        <is>
          <t>1902-06-14</t>
        </is>
      </c>
    </row>
    <row r="931">
      <c r="A931" s="1" t="n">
        <v>930</v>
      </c>
      <c r="B931">
        <f>TEXT(930, "[$-0E0000]yyyy-mm-dd")</f>
        <v/>
      </c>
      <c r="C931" t="inlineStr">
        <is>
          <t>1902-06-15</t>
        </is>
      </c>
    </row>
    <row r="932">
      <c r="A932" s="1" t="n">
        <v>931</v>
      </c>
      <c r="B932">
        <f>TEXT(931, "[$-0E0000]yyyy-mm-dd")</f>
        <v/>
      </c>
      <c r="C932" t="inlineStr">
        <is>
          <t>1902-06-16</t>
        </is>
      </c>
    </row>
    <row r="933">
      <c r="A933" s="1" t="n">
        <v>932</v>
      </c>
      <c r="B933">
        <f>TEXT(932, "[$-0E0000]yyyy-mm-dd")</f>
        <v/>
      </c>
      <c r="C933" t="inlineStr">
        <is>
          <t>1902-06-17</t>
        </is>
      </c>
    </row>
    <row r="934">
      <c r="A934" s="1" t="n">
        <v>933</v>
      </c>
      <c r="B934">
        <f>TEXT(933, "[$-0E0000]yyyy-mm-dd")</f>
        <v/>
      </c>
      <c r="C934" t="inlineStr">
        <is>
          <t>1902-06-18</t>
        </is>
      </c>
    </row>
    <row r="935">
      <c r="A935" s="1" t="n">
        <v>934</v>
      </c>
      <c r="B935">
        <f>TEXT(934, "[$-0E0000]yyyy-mm-dd")</f>
        <v/>
      </c>
      <c r="C935" t="inlineStr">
        <is>
          <t>1902-06-19</t>
        </is>
      </c>
    </row>
    <row r="936">
      <c r="A936" s="1" t="n">
        <v>935</v>
      </c>
      <c r="B936">
        <f>TEXT(935, "[$-0E0000]yyyy-mm-dd")</f>
        <v/>
      </c>
      <c r="C936" t="inlineStr">
        <is>
          <t>1902-06-20</t>
        </is>
      </c>
    </row>
    <row r="937">
      <c r="A937" s="1" t="n">
        <v>936</v>
      </c>
      <c r="B937">
        <f>TEXT(936, "[$-0E0000]yyyy-mm-dd")</f>
        <v/>
      </c>
      <c r="C937" t="inlineStr">
        <is>
          <t>1902-06-21</t>
        </is>
      </c>
    </row>
    <row r="938">
      <c r="A938" s="1" t="n">
        <v>937</v>
      </c>
      <c r="B938">
        <f>TEXT(937, "[$-0E0000]yyyy-mm-dd")</f>
        <v/>
      </c>
      <c r="C938" t="inlineStr">
        <is>
          <t>1902-06-22</t>
        </is>
      </c>
    </row>
    <row r="939">
      <c r="A939" s="1" t="n">
        <v>938</v>
      </c>
      <c r="B939">
        <f>TEXT(938, "[$-0E0000]yyyy-mm-dd")</f>
        <v/>
      </c>
      <c r="C939" t="inlineStr">
        <is>
          <t>1902-06-23</t>
        </is>
      </c>
    </row>
    <row r="940">
      <c r="A940" s="1" t="n">
        <v>939</v>
      </c>
      <c r="B940">
        <f>TEXT(939, "[$-0E0000]yyyy-mm-dd")</f>
        <v/>
      </c>
      <c r="C940" t="inlineStr">
        <is>
          <t>1902-06-24</t>
        </is>
      </c>
    </row>
    <row r="941">
      <c r="A941" s="1" t="n">
        <v>940</v>
      </c>
      <c r="B941">
        <f>TEXT(940, "[$-0E0000]yyyy-mm-dd")</f>
        <v/>
      </c>
      <c r="C941" t="inlineStr">
        <is>
          <t>1902-06-25</t>
        </is>
      </c>
    </row>
    <row r="942">
      <c r="A942" s="1" t="n">
        <v>941</v>
      </c>
      <c r="B942">
        <f>TEXT(941, "[$-0E0000]yyyy-mm-dd")</f>
        <v/>
      </c>
      <c r="C942" t="inlineStr">
        <is>
          <t>1902-06-26</t>
        </is>
      </c>
    </row>
    <row r="943">
      <c r="A943" s="1" t="n">
        <v>942</v>
      </c>
      <c r="B943">
        <f>TEXT(942, "[$-0E0000]yyyy-mm-dd")</f>
        <v/>
      </c>
      <c r="C943" t="inlineStr">
        <is>
          <t>1902-06-27</t>
        </is>
      </c>
    </row>
    <row r="944">
      <c r="A944" s="1" t="n">
        <v>943</v>
      </c>
      <c r="B944">
        <f>TEXT(943, "[$-0E0000]yyyy-mm-dd")</f>
        <v/>
      </c>
      <c r="C944" t="inlineStr">
        <is>
          <t>1902-06-28</t>
        </is>
      </c>
    </row>
    <row r="945">
      <c r="A945" s="1" t="n">
        <v>944</v>
      </c>
      <c r="B945">
        <f>TEXT(944, "[$-0E0000]yyyy-mm-dd")</f>
        <v/>
      </c>
      <c r="C945" t="inlineStr">
        <is>
          <t>1902-06-29</t>
        </is>
      </c>
    </row>
    <row r="946">
      <c r="A946" s="1" t="n">
        <v>945</v>
      </c>
      <c r="B946">
        <f>TEXT(945, "[$-0E0000]yyyy-mm-dd")</f>
        <v/>
      </c>
      <c r="C946" t="inlineStr">
        <is>
          <t>1902-06-30</t>
        </is>
      </c>
    </row>
    <row r="947">
      <c r="A947" s="1" t="n">
        <v>946</v>
      </c>
      <c r="B947">
        <f>TEXT(946, "[$-0E0000]yyyy-mm-dd")</f>
        <v/>
      </c>
      <c r="C947" t="inlineStr">
        <is>
          <t>1902-07-01</t>
        </is>
      </c>
    </row>
    <row r="948">
      <c r="A948" s="1" t="n">
        <v>947</v>
      </c>
      <c r="B948">
        <f>TEXT(947, "[$-0E0000]yyyy-mm-dd")</f>
        <v/>
      </c>
      <c r="C948" t="inlineStr">
        <is>
          <t>1902-07-02</t>
        </is>
      </c>
    </row>
    <row r="949">
      <c r="A949" s="1" t="n">
        <v>948</v>
      </c>
      <c r="B949">
        <f>TEXT(948, "[$-0E0000]yyyy-mm-dd")</f>
        <v/>
      </c>
      <c r="C949" t="inlineStr">
        <is>
          <t>1902-07-03</t>
        </is>
      </c>
    </row>
    <row r="950">
      <c r="A950" s="1" t="n">
        <v>949</v>
      </c>
      <c r="B950">
        <f>TEXT(949, "[$-0E0000]yyyy-mm-dd")</f>
        <v/>
      </c>
      <c r="C950" t="inlineStr">
        <is>
          <t>1902-07-04</t>
        </is>
      </c>
    </row>
    <row r="951">
      <c r="A951" s="1" t="n">
        <v>950</v>
      </c>
      <c r="B951">
        <f>TEXT(950, "[$-0E0000]yyyy-mm-dd")</f>
        <v/>
      </c>
      <c r="C951" t="inlineStr">
        <is>
          <t>1902-07-05</t>
        </is>
      </c>
    </row>
    <row r="952">
      <c r="A952" s="1" t="n">
        <v>951</v>
      </c>
      <c r="B952">
        <f>TEXT(951, "[$-0E0000]yyyy-mm-dd")</f>
        <v/>
      </c>
      <c r="C952" t="inlineStr">
        <is>
          <t>1902-07-06</t>
        </is>
      </c>
    </row>
    <row r="953">
      <c r="A953" s="1" t="n">
        <v>952</v>
      </c>
      <c r="B953">
        <f>TEXT(952, "[$-0E0000]yyyy-mm-dd")</f>
        <v/>
      </c>
      <c r="C953" t="inlineStr">
        <is>
          <t>1902-07-07</t>
        </is>
      </c>
    </row>
    <row r="954">
      <c r="A954" s="1" t="n">
        <v>953</v>
      </c>
      <c r="B954">
        <f>TEXT(953, "[$-0E0000]yyyy-mm-dd")</f>
        <v/>
      </c>
      <c r="C954" t="inlineStr">
        <is>
          <t>1902-07-08</t>
        </is>
      </c>
    </row>
    <row r="955">
      <c r="A955" s="1" t="n">
        <v>954</v>
      </c>
      <c r="B955">
        <f>TEXT(954, "[$-0E0000]yyyy-mm-dd")</f>
        <v/>
      </c>
      <c r="C955" t="inlineStr">
        <is>
          <t>1902-07-09</t>
        </is>
      </c>
    </row>
    <row r="956">
      <c r="A956" s="1" t="n">
        <v>955</v>
      </c>
      <c r="B956">
        <f>TEXT(955, "[$-0E0000]yyyy-mm-dd")</f>
        <v/>
      </c>
      <c r="C956" t="inlineStr">
        <is>
          <t>1902-07-10</t>
        </is>
      </c>
    </row>
    <row r="957">
      <c r="A957" s="1" t="n">
        <v>956</v>
      </c>
      <c r="B957">
        <f>TEXT(956, "[$-0E0000]yyyy-mm-dd")</f>
        <v/>
      </c>
      <c r="C957" t="inlineStr">
        <is>
          <t>1902-07-11</t>
        </is>
      </c>
    </row>
    <row r="958">
      <c r="A958" s="1" t="n">
        <v>957</v>
      </c>
      <c r="B958">
        <f>TEXT(957, "[$-0E0000]yyyy-mm-dd")</f>
        <v/>
      </c>
      <c r="C958" t="inlineStr">
        <is>
          <t>1902-07-12</t>
        </is>
      </c>
    </row>
    <row r="959">
      <c r="A959" s="1" t="n">
        <v>958</v>
      </c>
      <c r="B959">
        <f>TEXT(958, "[$-0E0000]yyyy-mm-dd")</f>
        <v/>
      </c>
      <c r="C959" t="inlineStr">
        <is>
          <t>1902-07-13</t>
        </is>
      </c>
    </row>
    <row r="960">
      <c r="A960" s="1" t="n">
        <v>959</v>
      </c>
      <c r="B960">
        <f>TEXT(959, "[$-0E0000]yyyy-mm-dd")</f>
        <v/>
      </c>
      <c r="C960" t="inlineStr">
        <is>
          <t>1902-07-14</t>
        </is>
      </c>
    </row>
    <row r="961">
      <c r="A961" s="1" t="n">
        <v>960</v>
      </c>
      <c r="B961">
        <f>TEXT(960, "[$-0E0000]yyyy-mm-dd")</f>
        <v/>
      </c>
      <c r="C961" t="inlineStr">
        <is>
          <t>1902-07-15</t>
        </is>
      </c>
    </row>
    <row r="962">
      <c r="A962" s="1" t="n">
        <v>961</v>
      </c>
      <c r="B962">
        <f>TEXT(961, "[$-0E0000]yyyy-mm-dd")</f>
        <v/>
      </c>
      <c r="C962" t="inlineStr">
        <is>
          <t>1902-07-16</t>
        </is>
      </c>
    </row>
    <row r="963">
      <c r="A963" s="1" t="n">
        <v>962</v>
      </c>
      <c r="B963">
        <f>TEXT(962, "[$-0E0000]yyyy-mm-dd")</f>
        <v/>
      </c>
      <c r="C963" t="inlineStr">
        <is>
          <t>1902-07-17</t>
        </is>
      </c>
    </row>
    <row r="964">
      <c r="A964" s="1" t="n">
        <v>963</v>
      </c>
      <c r="B964">
        <f>TEXT(963, "[$-0E0000]yyyy-mm-dd")</f>
        <v/>
      </c>
      <c r="C964" t="inlineStr">
        <is>
          <t>1902-07-18</t>
        </is>
      </c>
    </row>
    <row r="965">
      <c r="A965" s="1" t="n">
        <v>964</v>
      </c>
      <c r="B965">
        <f>TEXT(964, "[$-0E0000]yyyy-mm-dd")</f>
        <v/>
      </c>
      <c r="C965" t="inlineStr">
        <is>
          <t>1902-07-19</t>
        </is>
      </c>
    </row>
    <row r="966">
      <c r="A966" s="1" t="n">
        <v>965</v>
      </c>
      <c r="B966">
        <f>TEXT(965, "[$-0E0000]yyyy-mm-dd")</f>
        <v/>
      </c>
      <c r="C966" t="inlineStr">
        <is>
          <t>1902-07-20</t>
        </is>
      </c>
    </row>
    <row r="967">
      <c r="A967" s="1" t="n">
        <v>966</v>
      </c>
      <c r="B967">
        <f>TEXT(966, "[$-0E0000]yyyy-mm-dd")</f>
        <v/>
      </c>
      <c r="C967" t="inlineStr">
        <is>
          <t>1902-07-21</t>
        </is>
      </c>
    </row>
    <row r="968">
      <c r="A968" s="1" t="n">
        <v>967</v>
      </c>
      <c r="B968">
        <f>TEXT(967, "[$-0E0000]yyyy-mm-dd")</f>
        <v/>
      </c>
      <c r="C968" t="inlineStr">
        <is>
          <t>1902-07-22</t>
        </is>
      </c>
    </row>
    <row r="969">
      <c r="A969" s="1" t="n">
        <v>968</v>
      </c>
      <c r="B969">
        <f>TEXT(968, "[$-0E0000]yyyy-mm-dd")</f>
        <v/>
      </c>
      <c r="C969" t="inlineStr">
        <is>
          <t>1902-07-23</t>
        </is>
      </c>
    </row>
    <row r="970">
      <c r="A970" s="1" t="n">
        <v>969</v>
      </c>
      <c r="B970">
        <f>TEXT(969, "[$-0E0000]yyyy-mm-dd")</f>
        <v/>
      </c>
      <c r="C970" t="inlineStr">
        <is>
          <t>1902-07-24</t>
        </is>
      </c>
    </row>
    <row r="971">
      <c r="A971" s="1" t="n">
        <v>970</v>
      </c>
      <c r="B971">
        <f>TEXT(970, "[$-0E0000]yyyy-mm-dd")</f>
        <v/>
      </c>
      <c r="C971" t="inlineStr">
        <is>
          <t>1902-07-25</t>
        </is>
      </c>
    </row>
    <row r="972">
      <c r="A972" s="1" t="n">
        <v>971</v>
      </c>
      <c r="B972">
        <f>TEXT(971, "[$-0E0000]yyyy-mm-dd")</f>
        <v/>
      </c>
      <c r="C972" t="inlineStr">
        <is>
          <t>1902-07-26</t>
        </is>
      </c>
    </row>
    <row r="973">
      <c r="A973" s="1" t="n">
        <v>972</v>
      </c>
      <c r="B973">
        <f>TEXT(972, "[$-0E0000]yyyy-mm-dd")</f>
        <v/>
      </c>
      <c r="C973" t="inlineStr">
        <is>
          <t>1902-07-27</t>
        </is>
      </c>
    </row>
    <row r="974">
      <c r="A974" s="1" t="n">
        <v>973</v>
      </c>
      <c r="B974">
        <f>TEXT(973, "[$-0E0000]yyyy-mm-dd")</f>
        <v/>
      </c>
      <c r="C974" t="inlineStr">
        <is>
          <t>1902-07-28</t>
        </is>
      </c>
    </row>
    <row r="975">
      <c r="A975" s="1" t="n">
        <v>974</v>
      </c>
      <c r="B975">
        <f>TEXT(974, "[$-0E0000]yyyy-mm-dd")</f>
        <v/>
      </c>
      <c r="C975" t="inlineStr">
        <is>
          <t>1902-07-29</t>
        </is>
      </c>
    </row>
    <row r="976">
      <c r="A976" s="1" t="n">
        <v>975</v>
      </c>
      <c r="B976">
        <f>TEXT(975, "[$-0E0000]yyyy-mm-dd")</f>
        <v/>
      </c>
      <c r="C976" t="inlineStr">
        <is>
          <t>1902-08-01</t>
        </is>
      </c>
    </row>
    <row r="977">
      <c r="A977" s="1" t="n">
        <v>976</v>
      </c>
      <c r="B977">
        <f>TEXT(976, "[$-0E0000]yyyy-mm-dd")</f>
        <v/>
      </c>
      <c r="C977" t="inlineStr">
        <is>
          <t>1902-08-02</t>
        </is>
      </c>
    </row>
    <row r="978">
      <c r="A978" s="1" t="n">
        <v>977</v>
      </c>
      <c r="B978">
        <f>TEXT(977, "[$-0E0000]yyyy-mm-dd")</f>
        <v/>
      </c>
      <c r="C978" t="inlineStr">
        <is>
          <t>1902-08-03</t>
        </is>
      </c>
    </row>
    <row r="979">
      <c r="A979" s="1" t="n">
        <v>978</v>
      </c>
      <c r="B979">
        <f>TEXT(978, "[$-0E0000]yyyy-mm-dd")</f>
        <v/>
      </c>
      <c r="C979" t="inlineStr">
        <is>
          <t>1902-08-04</t>
        </is>
      </c>
    </row>
    <row r="980">
      <c r="A980" s="1" t="n">
        <v>979</v>
      </c>
      <c r="B980">
        <f>TEXT(979, "[$-0E0000]yyyy-mm-dd")</f>
        <v/>
      </c>
      <c r="C980" t="inlineStr">
        <is>
          <t>1902-08-05</t>
        </is>
      </c>
    </row>
    <row r="981">
      <c r="A981" s="1" t="n">
        <v>980</v>
      </c>
      <c r="B981">
        <f>TEXT(980, "[$-0E0000]yyyy-mm-dd")</f>
        <v/>
      </c>
      <c r="C981" t="inlineStr">
        <is>
          <t>1902-08-06</t>
        </is>
      </c>
    </row>
    <row r="982">
      <c r="A982" s="1" t="n">
        <v>981</v>
      </c>
      <c r="B982">
        <f>TEXT(981, "[$-0E0000]yyyy-mm-dd")</f>
        <v/>
      </c>
      <c r="C982" t="inlineStr">
        <is>
          <t>1902-08-07</t>
        </is>
      </c>
    </row>
    <row r="983">
      <c r="A983" s="1" t="n">
        <v>982</v>
      </c>
      <c r="B983">
        <f>TEXT(982, "[$-0E0000]yyyy-mm-dd")</f>
        <v/>
      </c>
      <c r="C983" t="inlineStr">
        <is>
          <t>1902-08-08</t>
        </is>
      </c>
    </row>
    <row r="984">
      <c r="A984" s="1" t="n">
        <v>983</v>
      </c>
      <c r="B984">
        <f>TEXT(983, "[$-0E0000]yyyy-mm-dd")</f>
        <v/>
      </c>
      <c r="C984" t="inlineStr">
        <is>
          <t>1902-08-09</t>
        </is>
      </c>
    </row>
    <row r="985">
      <c r="A985" s="1" t="n">
        <v>984</v>
      </c>
      <c r="B985">
        <f>TEXT(984, "[$-0E0000]yyyy-mm-dd")</f>
        <v/>
      </c>
      <c r="C985" t="inlineStr">
        <is>
          <t>1902-08-10</t>
        </is>
      </c>
    </row>
    <row r="986">
      <c r="A986" s="1" t="n">
        <v>985</v>
      </c>
      <c r="B986">
        <f>TEXT(985, "[$-0E0000]yyyy-mm-dd")</f>
        <v/>
      </c>
      <c r="C986" t="inlineStr">
        <is>
          <t>1902-08-11</t>
        </is>
      </c>
    </row>
    <row r="987">
      <c r="A987" s="1" t="n">
        <v>986</v>
      </c>
      <c r="B987">
        <f>TEXT(986, "[$-0E0000]yyyy-mm-dd")</f>
        <v/>
      </c>
      <c r="C987" t="inlineStr">
        <is>
          <t>1902-08-12</t>
        </is>
      </c>
    </row>
    <row r="988">
      <c r="A988" s="1" t="n">
        <v>987</v>
      </c>
      <c r="B988">
        <f>TEXT(987, "[$-0E0000]yyyy-mm-dd")</f>
        <v/>
      </c>
      <c r="C988" t="inlineStr">
        <is>
          <t>1902-08-13</t>
        </is>
      </c>
    </row>
    <row r="989">
      <c r="A989" s="1" t="n">
        <v>988</v>
      </c>
      <c r="B989">
        <f>TEXT(988, "[$-0E0000]yyyy-mm-dd")</f>
        <v/>
      </c>
      <c r="C989" t="inlineStr">
        <is>
          <t>1902-08-14</t>
        </is>
      </c>
    </row>
    <row r="990">
      <c r="A990" s="1" t="n">
        <v>989</v>
      </c>
      <c r="B990">
        <f>TEXT(989, "[$-0E0000]yyyy-mm-dd")</f>
        <v/>
      </c>
      <c r="C990" t="inlineStr">
        <is>
          <t>1902-08-15</t>
        </is>
      </c>
    </row>
    <row r="991">
      <c r="A991" s="1" t="n">
        <v>990</v>
      </c>
      <c r="B991">
        <f>TEXT(990, "[$-0E0000]yyyy-mm-dd")</f>
        <v/>
      </c>
      <c r="C991" t="inlineStr">
        <is>
          <t>1902-08-16</t>
        </is>
      </c>
    </row>
    <row r="992">
      <c r="A992" s="1" t="n">
        <v>991</v>
      </c>
      <c r="B992">
        <f>TEXT(991, "[$-0E0000]yyyy-mm-dd")</f>
        <v/>
      </c>
      <c r="C992" t="inlineStr">
        <is>
          <t>1902-08-17</t>
        </is>
      </c>
    </row>
    <row r="993">
      <c r="A993" s="1" t="n">
        <v>992</v>
      </c>
      <c r="B993">
        <f>TEXT(992, "[$-0E0000]yyyy-mm-dd")</f>
        <v/>
      </c>
      <c r="C993" t="inlineStr">
        <is>
          <t>1902-08-18</t>
        </is>
      </c>
    </row>
    <row r="994">
      <c r="A994" s="1" t="n">
        <v>993</v>
      </c>
      <c r="B994">
        <f>TEXT(993, "[$-0E0000]yyyy-mm-dd")</f>
        <v/>
      </c>
      <c r="C994" t="inlineStr">
        <is>
          <t>1902-08-19</t>
        </is>
      </c>
    </row>
    <row r="995">
      <c r="A995" s="1" t="n">
        <v>994</v>
      </c>
      <c r="B995">
        <f>TEXT(994, "[$-0E0000]yyyy-mm-dd")</f>
        <v/>
      </c>
      <c r="C995" t="inlineStr">
        <is>
          <t>1902-08-20</t>
        </is>
      </c>
    </row>
    <row r="996">
      <c r="A996" s="1" t="n">
        <v>995</v>
      </c>
      <c r="B996">
        <f>TEXT(995, "[$-0E0000]yyyy-mm-dd")</f>
        <v/>
      </c>
      <c r="C996" t="inlineStr">
        <is>
          <t>1902-08-21</t>
        </is>
      </c>
    </row>
    <row r="997">
      <c r="A997" s="1" t="n">
        <v>996</v>
      </c>
      <c r="B997">
        <f>TEXT(996, "[$-0E0000]yyyy-mm-dd")</f>
        <v/>
      </c>
      <c r="C997" t="inlineStr">
        <is>
          <t>1902-08-22</t>
        </is>
      </c>
    </row>
    <row r="998">
      <c r="A998" s="1" t="n">
        <v>997</v>
      </c>
      <c r="B998">
        <f>TEXT(997, "[$-0E0000]yyyy-mm-dd")</f>
        <v/>
      </c>
      <c r="C998" t="inlineStr">
        <is>
          <t>1902-08-23</t>
        </is>
      </c>
    </row>
    <row r="999">
      <c r="A999" s="1" t="n">
        <v>998</v>
      </c>
      <c r="B999">
        <f>TEXT(998, "[$-0E0000]yyyy-mm-dd")</f>
        <v/>
      </c>
      <c r="C999" t="inlineStr">
        <is>
          <t>1902-08-24</t>
        </is>
      </c>
    </row>
    <row r="1000">
      <c r="A1000" s="1" t="n">
        <v>999</v>
      </c>
      <c r="B1000">
        <f>TEXT(999, "[$-0E0000]yyyy-mm-dd")</f>
        <v/>
      </c>
      <c r="C1000" t="inlineStr">
        <is>
          <t>1902-08-25</t>
        </is>
      </c>
    </row>
    <row r="1001">
      <c r="A1001" s="1" t="n">
        <v>1000</v>
      </c>
      <c r="B1001">
        <f>TEXT(1000, "[$-0E0000]yyyy-mm-dd")</f>
        <v/>
      </c>
      <c r="C1001" t="inlineStr">
        <is>
          <t>1902-08-26</t>
        </is>
      </c>
    </row>
    <row r="1002">
      <c r="A1002" s="1" t="n">
        <v>1001</v>
      </c>
      <c r="B1002">
        <f>TEXT(1001, "[$-0E0000]yyyy-mm-dd")</f>
        <v/>
      </c>
      <c r="C1002" t="inlineStr">
        <is>
          <t>1902-08-27</t>
        </is>
      </c>
    </row>
    <row r="1003">
      <c r="A1003" s="1" t="n">
        <v>1002</v>
      </c>
      <c r="B1003">
        <f>TEXT(1002, "[$-0E0000]yyyy-mm-dd")</f>
        <v/>
      </c>
      <c r="C1003" t="inlineStr">
        <is>
          <t>1902-08-28</t>
        </is>
      </c>
    </row>
    <row r="1004">
      <c r="A1004" s="1" t="n">
        <v>1003</v>
      </c>
      <c r="B1004">
        <f>TEXT(1003, "[$-0E0000]yyyy-mm-dd")</f>
        <v/>
      </c>
      <c r="C1004" t="inlineStr">
        <is>
          <t>1902-08-29</t>
        </is>
      </c>
    </row>
    <row r="1005">
      <c r="A1005" s="1" t="n">
        <v>1004</v>
      </c>
      <c r="B1005">
        <f>TEXT(1004, "[$-0E0000]yyyy-mm-dd")</f>
        <v/>
      </c>
      <c r="C1005" t="inlineStr">
        <is>
          <t>1902-08-30</t>
        </is>
      </c>
    </row>
    <row r="1006">
      <c r="A1006" s="1" t="n">
        <v>1005</v>
      </c>
      <c r="B1006">
        <f>TEXT(1005, "[$-0E0000]yyyy-mm-dd")</f>
        <v/>
      </c>
      <c r="C1006" t="inlineStr">
        <is>
          <t>1902-09-01</t>
        </is>
      </c>
    </row>
    <row r="1007">
      <c r="A1007" s="1" t="n">
        <v>1006</v>
      </c>
      <c r="B1007">
        <f>TEXT(1006, "[$-0E0000]yyyy-mm-dd")</f>
        <v/>
      </c>
      <c r="C1007" t="inlineStr">
        <is>
          <t>1902-09-02</t>
        </is>
      </c>
    </row>
    <row r="1008">
      <c r="A1008" s="1" t="n">
        <v>1007</v>
      </c>
      <c r="B1008">
        <f>TEXT(1007, "[$-0E0000]yyyy-mm-dd")</f>
        <v/>
      </c>
      <c r="C1008" t="inlineStr">
        <is>
          <t>1902-09-03</t>
        </is>
      </c>
    </row>
    <row r="1009">
      <c r="A1009" s="1" t="n">
        <v>1008</v>
      </c>
      <c r="B1009">
        <f>TEXT(1008, "[$-0E0000]yyyy-mm-dd")</f>
        <v/>
      </c>
      <c r="C1009" t="inlineStr">
        <is>
          <t>1902-09-04</t>
        </is>
      </c>
    </row>
    <row r="1010">
      <c r="A1010" s="1" t="n">
        <v>1009</v>
      </c>
      <c r="B1010">
        <f>TEXT(1009, "[$-0E0000]yyyy-mm-dd")</f>
        <v/>
      </c>
      <c r="C1010" t="inlineStr">
        <is>
          <t>1902-09-05</t>
        </is>
      </c>
    </row>
    <row r="1011">
      <c r="A1011" s="1" t="n">
        <v>1010</v>
      </c>
      <c r="B1011">
        <f>TEXT(1010, "[$-0E0000]yyyy-mm-dd")</f>
        <v/>
      </c>
      <c r="C1011" t="inlineStr">
        <is>
          <t>1902-09-06</t>
        </is>
      </c>
    </row>
    <row r="1012">
      <c r="A1012" s="1" t="n">
        <v>1011</v>
      </c>
      <c r="B1012">
        <f>TEXT(1011, "[$-0E0000]yyyy-mm-dd")</f>
        <v/>
      </c>
      <c r="C1012" t="inlineStr">
        <is>
          <t>1902-09-07</t>
        </is>
      </c>
    </row>
    <row r="1013">
      <c r="A1013" s="1" t="n">
        <v>1012</v>
      </c>
      <c r="B1013">
        <f>TEXT(1012, "[$-0E0000]yyyy-mm-dd")</f>
        <v/>
      </c>
      <c r="C1013" t="inlineStr">
        <is>
          <t>1902-09-08</t>
        </is>
      </c>
    </row>
    <row r="1014">
      <c r="A1014" s="1" t="n">
        <v>1013</v>
      </c>
      <c r="B1014">
        <f>TEXT(1013, "[$-0E0000]yyyy-mm-dd")</f>
        <v/>
      </c>
      <c r="C1014" t="inlineStr">
        <is>
          <t>1902-09-09</t>
        </is>
      </c>
    </row>
    <row r="1015">
      <c r="A1015" s="1" t="n">
        <v>1014</v>
      </c>
      <c r="B1015">
        <f>TEXT(1014, "[$-0E0000]yyyy-mm-dd")</f>
        <v/>
      </c>
      <c r="C1015" t="inlineStr">
        <is>
          <t>1902-09-10</t>
        </is>
      </c>
    </row>
    <row r="1016">
      <c r="A1016" s="1" t="n">
        <v>1015</v>
      </c>
      <c r="B1016">
        <f>TEXT(1015, "[$-0E0000]yyyy-mm-dd")</f>
        <v/>
      </c>
      <c r="C1016" t="inlineStr">
        <is>
          <t>1902-09-11</t>
        </is>
      </c>
    </row>
    <row r="1017">
      <c r="A1017" s="1" t="n">
        <v>1016</v>
      </c>
      <c r="B1017">
        <f>TEXT(1016, "[$-0E0000]yyyy-mm-dd")</f>
        <v/>
      </c>
      <c r="C1017" t="inlineStr">
        <is>
          <t>1902-09-12</t>
        </is>
      </c>
    </row>
    <row r="1018">
      <c r="A1018" s="1" t="n">
        <v>1017</v>
      </c>
      <c r="B1018">
        <f>TEXT(1017, "[$-0E0000]yyyy-mm-dd")</f>
        <v/>
      </c>
      <c r="C1018" t="inlineStr">
        <is>
          <t>1902-09-13</t>
        </is>
      </c>
    </row>
    <row r="1019">
      <c r="A1019" s="1" t="n">
        <v>1018</v>
      </c>
      <c r="B1019">
        <f>TEXT(1018, "[$-0E0000]yyyy-mm-dd")</f>
        <v/>
      </c>
      <c r="C1019" t="inlineStr">
        <is>
          <t>1902-09-14</t>
        </is>
      </c>
    </row>
    <row r="1020">
      <c r="A1020" s="1" t="n">
        <v>1019</v>
      </c>
      <c r="B1020">
        <f>TEXT(1019, "[$-0E0000]yyyy-mm-dd")</f>
        <v/>
      </c>
      <c r="C1020" t="inlineStr">
        <is>
          <t>1902-09-15</t>
        </is>
      </c>
    </row>
    <row r="1021">
      <c r="A1021" s="1" t="n">
        <v>1020</v>
      </c>
      <c r="B1021">
        <f>TEXT(1020, "[$-0E0000]yyyy-mm-dd")</f>
        <v/>
      </c>
      <c r="C1021" t="inlineStr">
        <is>
          <t>1902-09-16</t>
        </is>
      </c>
    </row>
    <row r="1022">
      <c r="A1022" s="1" t="n">
        <v>1021</v>
      </c>
      <c r="B1022">
        <f>TEXT(1021, "[$-0E0000]yyyy-mm-dd")</f>
        <v/>
      </c>
      <c r="C1022" t="inlineStr">
        <is>
          <t>1902-09-17</t>
        </is>
      </c>
    </row>
    <row r="1023">
      <c r="A1023" s="1" t="n">
        <v>1022</v>
      </c>
      <c r="B1023">
        <f>TEXT(1022, "[$-0E0000]yyyy-mm-dd")</f>
        <v/>
      </c>
      <c r="C1023" t="inlineStr">
        <is>
          <t>1902-09-18</t>
        </is>
      </c>
    </row>
    <row r="1024">
      <c r="A1024" s="1" t="n">
        <v>1023</v>
      </c>
      <c r="B1024">
        <f>TEXT(1023, "[$-0E0000]yyyy-mm-dd")</f>
        <v/>
      </c>
      <c r="C1024" t="inlineStr">
        <is>
          <t>1902-09-19</t>
        </is>
      </c>
    </row>
    <row r="1025">
      <c r="A1025" s="1" t="n">
        <v>1024</v>
      </c>
      <c r="B1025">
        <f>TEXT(1024, "[$-0E0000]yyyy-mm-dd")</f>
        <v/>
      </c>
      <c r="C1025" t="inlineStr">
        <is>
          <t>1902-09-20</t>
        </is>
      </c>
    </row>
    <row r="1026">
      <c r="A1026" s="1" t="n">
        <v>1025</v>
      </c>
      <c r="B1026">
        <f>TEXT(1025, "[$-0E0000]yyyy-mm-dd")</f>
        <v/>
      </c>
      <c r="C1026" t="inlineStr">
        <is>
          <t>1902-09-21</t>
        </is>
      </c>
    </row>
    <row r="1027">
      <c r="A1027" s="1" t="n">
        <v>1026</v>
      </c>
      <c r="B1027">
        <f>TEXT(1026, "[$-0E0000]yyyy-mm-dd")</f>
        <v/>
      </c>
      <c r="C1027" t="inlineStr">
        <is>
          <t>1902-09-22</t>
        </is>
      </c>
    </row>
    <row r="1028">
      <c r="A1028" s="1" t="n">
        <v>1027</v>
      </c>
      <c r="B1028">
        <f>TEXT(1027, "[$-0E0000]yyyy-mm-dd")</f>
        <v/>
      </c>
      <c r="C1028" t="inlineStr">
        <is>
          <t>1902-09-23</t>
        </is>
      </c>
    </row>
    <row r="1029">
      <c r="A1029" s="1" t="n">
        <v>1028</v>
      </c>
      <c r="B1029">
        <f>TEXT(1028, "[$-0E0000]yyyy-mm-dd")</f>
        <v/>
      </c>
      <c r="C1029" t="inlineStr">
        <is>
          <t>1902-09-24</t>
        </is>
      </c>
    </row>
    <row r="1030">
      <c r="A1030" s="1" t="n">
        <v>1029</v>
      </c>
      <c r="B1030">
        <f>TEXT(1029, "[$-0E0000]yyyy-mm-dd")</f>
        <v/>
      </c>
      <c r="C1030" t="inlineStr">
        <is>
          <t>1902-09-25</t>
        </is>
      </c>
    </row>
    <row r="1031">
      <c r="A1031" s="1" t="n">
        <v>1030</v>
      </c>
      <c r="B1031">
        <f>TEXT(1030, "[$-0E0000]yyyy-mm-dd")</f>
        <v/>
      </c>
      <c r="C1031" t="inlineStr">
        <is>
          <t>1902-09-26</t>
        </is>
      </c>
    </row>
    <row r="1032">
      <c r="A1032" s="1" t="n">
        <v>1031</v>
      </c>
      <c r="B1032">
        <f>TEXT(1031, "[$-0E0000]yyyy-mm-dd")</f>
        <v/>
      </c>
      <c r="C1032" t="inlineStr">
        <is>
          <t>1902-09-27</t>
        </is>
      </c>
    </row>
    <row r="1033">
      <c r="A1033" s="1" t="n">
        <v>1032</v>
      </c>
      <c r="B1033">
        <f>TEXT(1032, "[$-0E0000]yyyy-mm-dd")</f>
        <v/>
      </c>
      <c r="C1033" t="inlineStr">
        <is>
          <t>1902-09-28</t>
        </is>
      </c>
    </row>
    <row r="1034">
      <c r="A1034" s="1" t="n">
        <v>1033</v>
      </c>
      <c r="B1034">
        <f>TEXT(1033, "[$-0E0000]yyyy-mm-dd")</f>
        <v/>
      </c>
      <c r="C1034" t="inlineStr">
        <is>
          <t>1902-09-29</t>
        </is>
      </c>
    </row>
    <row r="1035">
      <c r="A1035" s="1" t="n">
        <v>1034</v>
      </c>
      <c r="B1035">
        <f>TEXT(1034, "[$-0E0000]yyyy-mm-dd")</f>
        <v/>
      </c>
      <c r="C1035" t="inlineStr">
        <is>
          <t>1902-10-01</t>
        </is>
      </c>
    </row>
    <row r="1036">
      <c r="A1036" s="1" t="n">
        <v>1035</v>
      </c>
      <c r="B1036">
        <f>TEXT(1035, "[$-0E0000]yyyy-mm-dd")</f>
        <v/>
      </c>
      <c r="C1036" t="inlineStr">
        <is>
          <t>1902-10-02</t>
        </is>
      </c>
    </row>
    <row r="1037">
      <c r="A1037" s="1" t="n">
        <v>1036</v>
      </c>
      <c r="B1037">
        <f>TEXT(1036, "[$-0E0000]yyyy-mm-dd")</f>
        <v/>
      </c>
      <c r="C1037" t="inlineStr">
        <is>
          <t>1902-10-03</t>
        </is>
      </c>
    </row>
    <row r="1038">
      <c r="A1038" s="1" t="n">
        <v>1037</v>
      </c>
      <c r="B1038">
        <f>TEXT(1037, "[$-0E0000]yyyy-mm-dd")</f>
        <v/>
      </c>
      <c r="C1038" t="inlineStr">
        <is>
          <t>1902-10-04</t>
        </is>
      </c>
    </row>
    <row r="1039">
      <c r="A1039" s="1" t="n">
        <v>1038</v>
      </c>
      <c r="B1039">
        <f>TEXT(1038, "[$-0E0000]yyyy-mm-dd")</f>
        <v/>
      </c>
      <c r="C1039" t="inlineStr">
        <is>
          <t>1902-10-05</t>
        </is>
      </c>
    </row>
    <row r="1040">
      <c r="A1040" s="1" t="n">
        <v>1039</v>
      </c>
      <c r="B1040">
        <f>TEXT(1039, "[$-0E0000]yyyy-mm-dd")</f>
        <v/>
      </c>
      <c r="C1040" t="inlineStr">
        <is>
          <t>1902-10-06</t>
        </is>
      </c>
    </row>
    <row r="1041">
      <c r="A1041" s="1" t="n">
        <v>1040</v>
      </c>
      <c r="B1041">
        <f>TEXT(1040, "[$-0E0000]yyyy-mm-dd")</f>
        <v/>
      </c>
      <c r="C1041" t="inlineStr">
        <is>
          <t>1902-10-07</t>
        </is>
      </c>
    </row>
    <row r="1042">
      <c r="A1042" s="1" t="n">
        <v>1041</v>
      </c>
      <c r="B1042">
        <f>TEXT(1041, "[$-0E0000]yyyy-mm-dd")</f>
        <v/>
      </c>
      <c r="C1042" t="inlineStr">
        <is>
          <t>1902-10-08</t>
        </is>
      </c>
    </row>
    <row r="1043">
      <c r="A1043" s="1" t="n">
        <v>1042</v>
      </c>
      <c r="B1043">
        <f>TEXT(1042, "[$-0E0000]yyyy-mm-dd")</f>
        <v/>
      </c>
      <c r="C1043" t="inlineStr">
        <is>
          <t>1902-10-09</t>
        </is>
      </c>
    </row>
    <row r="1044">
      <c r="A1044" s="1" t="n">
        <v>1043</v>
      </c>
      <c r="B1044">
        <f>TEXT(1043, "[$-0E0000]yyyy-mm-dd")</f>
        <v/>
      </c>
      <c r="C1044" t="inlineStr">
        <is>
          <t>1902-10-10</t>
        </is>
      </c>
    </row>
    <row r="1045">
      <c r="A1045" s="1" t="n">
        <v>1044</v>
      </c>
      <c r="B1045">
        <f>TEXT(1044, "[$-0E0000]yyyy-mm-dd")</f>
        <v/>
      </c>
      <c r="C1045" t="inlineStr">
        <is>
          <t>1902-10-11</t>
        </is>
      </c>
    </row>
    <row r="1046">
      <c r="A1046" s="1" t="n">
        <v>1045</v>
      </c>
      <c r="B1046">
        <f>TEXT(1045, "[$-0E0000]yyyy-mm-dd")</f>
        <v/>
      </c>
      <c r="C1046" t="inlineStr">
        <is>
          <t>1902-10-12</t>
        </is>
      </c>
    </row>
    <row r="1047">
      <c r="A1047" s="1" t="n">
        <v>1046</v>
      </c>
      <c r="B1047">
        <f>TEXT(1046, "[$-0E0000]yyyy-mm-dd")</f>
        <v/>
      </c>
      <c r="C1047" t="inlineStr">
        <is>
          <t>1902-10-13</t>
        </is>
      </c>
    </row>
    <row r="1048">
      <c r="A1048" s="1" t="n">
        <v>1047</v>
      </c>
      <c r="B1048">
        <f>TEXT(1047, "[$-0E0000]yyyy-mm-dd")</f>
        <v/>
      </c>
      <c r="C1048" t="inlineStr">
        <is>
          <t>1902-10-14</t>
        </is>
      </c>
    </row>
    <row r="1049">
      <c r="A1049" s="1" t="n">
        <v>1048</v>
      </c>
      <c r="B1049">
        <f>TEXT(1048, "[$-0E0000]yyyy-mm-dd")</f>
        <v/>
      </c>
      <c r="C1049" t="inlineStr">
        <is>
          <t>1902-10-15</t>
        </is>
      </c>
    </row>
    <row r="1050">
      <c r="A1050" s="1" t="n">
        <v>1049</v>
      </c>
      <c r="B1050">
        <f>TEXT(1049, "[$-0E0000]yyyy-mm-dd")</f>
        <v/>
      </c>
      <c r="C1050" t="inlineStr">
        <is>
          <t>1902-10-16</t>
        </is>
      </c>
    </row>
    <row r="1051">
      <c r="A1051" s="1" t="n">
        <v>1050</v>
      </c>
      <c r="B1051">
        <f>TEXT(1050, "[$-0E0000]yyyy-mm-dd")</f>
        <v/>
      </c>
      <c r="C1051" t="inlineStr">
        <is>
          <t>1902-10-17</t>
        </is>
      </c>
    </row>
    <row r="1052">
      <c r="A1052" s="1" t="n">
        <v>1051</v>
      </c>
      <c r="B1052">
        <f>TEXT(1051, "[$-0E0000]yyyy-mm-dd")</f>
        <v/>
      </c>
      <c r="C1052" t="inlineStr">
        <is>
          <t>1902-10-18</t>
        </is>
      </c>
    </row>
    <row r="1053">
      <c r="A1053" s="1" t="n">
        <v>1052</v>
      </c>
      <c r="B1053">
        <f>TEXT(1052, "[$-0E0000]yyyy-mm-dd")</f>
        <v/>
      </c>
      <c r="C1053" t="inlineStr">
        <is>
          <t>1902-10-19</t>
        </is>
      </c>
    </row>
    <row r="1054">
      <c r="A1054" s="1" t="n">
        <v>1053</v>
      </c>
      <c r="B1054">
        <f>TEXT(1053, "[$-0E0000]yyyy-mm-dd")</f>
        <v/>
      </c>
      <c r="C1054" t="inlineStr">
        <is>
          <t>1902-10-20</t>
        </is>
      </c>
    </row>
    <row r="1055">
      <c r="A1055" s="1" t="n">
        <v>1054</v>
      </c>
      <c r="B1055">
        <f>TEXT(1054, "[$-0E0000]yyyy-mm-dd")</f>
        <v/>
      </c>
      <c r="C1055" t="inlineStr">
        <is>
          <t>1902-10-21</t>
        </is>
      </c>
    </row>
    <row r="1056">
      <c r="A1056" s="1" t="n">
        <v>1055</v>
      </c>
      <c r="B1056">
        <f>TEXT(1055, "[$-0E0000]yyyy-mm-dd")</f>
        <v/>
      </c>
      <c r="C1056" t="inlineStr">
        <is>
          <t>1902-10-22</t>
        </is>
      </c>
    </row>
    <row r="1057">
      <c r="A1057" s="1" t="n">
        <v>1056</v>
      </c>
      <c r="B1057">
        <f>TEXT(1056, "[$-0E0000]yyyy-mm-dd")</f>
        <v/>
      </c>
      <c r="C1057" t="inlineStr">
        <is>
          <t>1902-10-23</t>
        </is>
      </c>
    </row>
    <row r="1058">
      <c r="A1058" s="1" t="n">
        <v>1057</v>
      </c>
      <c r="B1058">
        <f>TEXT(1057, "[$-0E0000]yyyy-mm-dd")</f>
        <v/>
      </c>
      <c r="C1058" t="inlineStr">
        <is>
          <t>1902-10-24</t>
        </is>
      </c>
    </row>
    <row r="1059">
      <c r="A1059" s="1" t="n">
        <v>1058</v>
      </c>
      <c r="B1059">
        <f>TEXT(1058, "[$-0E0000]yyyy-mm-dd")</f>
        <v/>
      </c>
      <c r="C1059" t="inlineStr">
        <is>
          <t>1902-10-25</t>
        </is>
      </c>
    </row>
    <row r="1060">
      <c r="A1060" s="1" t="n">
        <v>1059</v>
      </c>
      <c r="B1060">
        <f>TEXT(1059, "[$-0E0000]yyyy-mm-dd")</f>
        <v/>
      </c>
      <c r="C1060" t="inlineStr">
        <is>
          <t>1902-10-26</t>
        </is>
      </c>
    </row>
    <row r="1061">
      <c r="A1061" s="1" t="n">
        <v>1060</v>
      </c>
      <c r="B1061">
        <f>TEXT(1060, "[$-0E0000]yyyy-mm-dd")</f>
        <v/>
      </c>
      <c r="C1061" t="inlineStr">
        <is>
          <t>1902-10-27</t>
        </is>
      </c>
    </row>
    <row r="1062">
      <c r="A1062" s="1" t="n">
        <v>1061</v>
      </c>
      <c r="B1062">
        <f>TEXT(1061, "[$-0E0000]yyyy-mm-dd")</f>
        <v/>
      </c>
      <c r="C1062" t="inlineStr">
        <is>
          <t>1902-10-28</t>
        </is>
      </c>
    </row>
    <row r="1063">
      <c r="A1063" s="1" t="n">
        <v>1062</v>
      </c>
      <c r="B1063">
        <f>TEXT(1062, "[$-0E0000]yyyy-mm-dd")</f>
        <v/>
      </c>
      <c r="C1063" t="inlineStr">
        <is>
          <t>1902-10-29</t>
        </is>
      </c>
    </row>
    <row r="1064">
      <c r="A1064" s="1" t="n">
        <v>1063</v>
      </c>
      <c r="B1064">
        <f>TEXT(1063, "[$-0E0000]yyyy-mm-dd")</f>
        <v/>
      </c>
      <c r="C1064" t="inlineStr">
        <is>
          <t>1902-10-30</t>
        </is>
      </c>
    </row>
    <row r="1065">
      <c r="A1065" s="1" t="n">
        <v>1064</v>
      </c>
      <c r="B1065">
        <f>TEXT(1064, "[$-0E0000]yyyy-mm-dd")</f>
        <v/>
      </c>
      <c r="C1065" t="inlineStr">
        <is>
          <t>1902-11-01</t>
        </is>
      </c>
    </row>
    <row r="1066">
      <c r="A1066" s="1" t="n">
        <v>1065</v>
      </c>
      <c r="B1066">
        <f>TEXT(1065, "[$-0E0000]yyyy-mm-dd")</f>
        <v/>
      </c>
      <c r="C1066" t="inlineStr">
        <is>
          <t>1902-11-02</t>
        </is>
      </c>
    </row>
    <row r="1067">
      <c r="A1067" s="1" t="n">
        <v>1066</v>
      </c>
      <c r="B1067">
        <f>TEXT(1066, "[$-0E0000]yyyy-mm-dd")</f>
        <v/>
      </c>
      <c r="C1067" t="inlineStr">
        <is>
          <t>1902-11-03</t>
        </is>
      </c>
    </row>
    <row r="1068">
      <c r="A1068" s="1" t="n">
        <v>1067</v>
      </c>
      <c r="B1068">
        <f>TEXT(1067, "[$-0E0000]yyyy-mm-dd")</f>
        <v/>
      </c>
      <c r="C1068" t="inlineStr">
        <is>
          <t>1902-11-04</t>
        </is>
      </c>
    </row>
    <row r="1069">
      <c r="A1069" s="1" t="n">
        <v>1068</v>
      </c>
      <c r="B1069">
        <f>TEXT(1068, "[$-0E0000]yyyy-mm-dd")</f>
        <v/>
      </c>
      <c r="C1069" t="inlineStr">
        <is>
          <t>1902-11-05</t>
        </is>
      </c>
    </row>
    <row r="1070">
      <c r="A1070" s="1" t="n">
        <v>1069</v>
      </c>
      <c r="B1070">
        <f>TEXT(1069, "[$-0E0000]yyyy-mm-dd")</f>
        <v/>
      </c>
      <c r="C1070" t="inlineStr">
        <is>
          <t>1902-11-06</t>
        </is>
      </c>
    </row>
    <row r="1071">
      <c r="A1071" s="1" t="n">
        <v>1070</v>
      </c>
      <c r="B1071">
        <f>TEXT(1070, "[$-0E0000]yyyy-mm-dd")</f>
        <v/>
      </c>
      <c r="C1071" t="inlineStr">
        <is>
          <t>1902-11-07</t>
        </is>
      </c>
    </row>
    <row r="1072">
      <c r="A1072" s="1" t="n">
        <v>1071</v>
      </c>
      <c r="B1072">
        <f>TEXT(1071, "[$-0E0000]yyyy-mm-dd")</f>
        <v/>
      </c>
      <c r="C1072" t="inlineStr">
        <is>
          <t>1902-11-08</t>
        </is>
      </c>
    </row>
    <row r="1073">
      <c r="A1073" s="1" t="n">
        <v>1072</v>
      </c>
      <c r="B1073">
        <f>TEXT(1072, "[$-0E0000]yyyy-mm-dd")</f>
        <v/>
      </c>
      <c r="C1073" t="inlineStr">
        <is>
          <t>1902-11-09</t>
        </is>
      </c>
    </row>
    <row r="1074">
      <c r="A1074" s="1" t="n">
        <v>1073</v>
      </c>
      <c r="B1074">
        <f>TEXT(1073, "[$-0E0000]yyyy-mm-dd")</f>
        <v/>
      </c>
      <c r="C1074" t="inlineStr">
        <is>
          <t>1902-11-10</t>
        </is>
      </c>
    </row>
    <row r="1075">
      <c r="A1075" s="1" t="n">
        <v>1074</v>
      </c>
      <c r="B1075">
        <f>TEXT(1074, "[$-0E0000]yyyy-mm-dd")</f>
        <v/>
      </c>
      <c r="C1075" t="inlineStr">
        <is>
          <t>1902-11-11</t>
        </is>
      </c>
    </row>
    <row r="1076">
      <c r="A1076" s="1" t="n">
        <v>1075</v>
      </c>
      <c r="B1076">
        <f>TEXT(1075, "[$-0E0000]yyyy-mm-dd")</f>
        <v/>
      </c>
      <c r="C1076" t="inlineStr">
        <is>
          <t>1902-11-12</t>
        </is>
      </c>
    </row>
    <row r="1077">
      <c r="A1077" s="1" t="n">
        <v>1076</v>
      </c>
      <c r="B1077">
        <f>TEXT(1076, "[$-0E0000]yyyy-mm-dd")</f>
        <v/>
      </c>
      <c r="C1077" t="inlineStr">
        <is>
          <t>1902-11-13</t>
        </is>
      </c>
    </row>
    <row r="1078">
      <c r="A1078" s="1" t="n">
        <v>1077</v>
      </c>
      <c r="B1078">
        <f>TEXT(1077, "[$-0E0000]yyyy-mm-dd")</f>
        <v/>
      </c>
      <c r="C1078" t="inlineStr">
        <is>
          <t>1902-11-14</t>
        </is>
      </c>
    </row>
    <row r="1079">
      <c r="A1079" s="1" t="n">
        <v>1078</v>
      </c>
      <c r="B1079">
        <f>TEXT(1078, "[$-0E0000]yyyy-mm-dd")</f>
        <v/>
      </c>
      <c r="C1079" t="inlineStr">
        <is>
          <t>1902-11-15</t>
        </is>
      </c>
    </row>
    <row r="1080">
      <c r="A1080" s="1" t="n">
        <v>1079</v>
      </c>
      <c r="B1080">
        <f>TEXT(1079, "[$-0E0000]yyyy-mm-dd")</f>
        <v/>
      </c>
      <c r="C1080" t="inlineStr">
        <is>
          <t>1902-11-16</t>
        </is>
      </c>
    </row>
    <row r="1081">
      <c r="A1081" s="1" t="n">
        <v>1080</v>
      </c>
      <c r="B1081">
        <f>TEXT(1080, "[$-0E0000]yyyy-mm-dd")</f>
        <v/>
      </c>
      <c r="C1081" t="inlineStr">
        <is>
          <t>1902-11-17</t>
        </is>
      </c>
    </row>
    <row r="1082">
      <c r="A1082" s="1" t="n">
        <v>1081</v>
      </c>
      <c r="B1082">
        <f>TEXT(1081, "[$-0E0000]yyyy-mm-dd")</f>
        <v/>
      </c>
      <c r="C1082" t="inlineStr">
        <is>
          <t>1902-11-18</t>
        </is>
      </c>
    </row>
    <row r="1083">
      <c r="A1083" s="1" t="n">
        <v>1082</v>
      </c>
      <c r="B1083">
        <f>TEXT(1082, "[$-0E0000]yyyy-mm-dd")</f>
        <v/>
      </c>
      <c r="C1083" t="inlineStr">
        <is>
          <t>1902-11-19</t>
        </is>
      </c>
    </row>
    <row r="1084">
      <c r="A1084" s="1" t="n">
        <v>1083</v>
      </c>
      <c r="B1084">
        <f>TEXT(1083, "[$-0E0000]yyyy-mm-dd")</f>
        <v/>
      </c>
      <c r="C1084" t="inlineStr">
        <is>
          <t>1902-11-20</t>
        </is>
      </c>
    </row>
    <row r="1085">
      <c r="A1085" s="1" t="n">
        <v>1084</v>
      </c>
      <c r="B1085">
        <f>TEXT(1084, "[$-0E0000]yyyy-mm-dd")</f>
        <v/>
      </c>
      <c r="C1085" t="inlineStr">
        <is>
          <t>1902-11-21</t>
        </is>
      </c>
    </row>
    <row r="1086">
      <c r="A1086" s="1" t="n">
        <v>1085</v>
      </c>
      <c r="B1086">
        <f>TEXT(1085, "[$-0E0000]yyyy-mm-dd")</f>
        <v/>
      </c>
      <c r="C1086" t="inlineStr">
        <is>
          <t>1902-11-22</t>
        </is>
      </c>
    </row>
    <row r="1087">
      <c r="A1087" s="1" t="n">
        <v>1086</v>
      </c>
      <c r="B1087">
        <f>TEXT(1086, "[$-0E0000]yyyy-mm-dd")</f>
        <v/>
      </c>
      <c r="C1087" t="inlineStr">
        <is>
          <t>1902-11-23</t>
        </is>
      </c>
    </row>
    <row r="1088">
      <c r="A1088" s="1" t="n">
        <v>1087</v>
      </c>
      <c r="B1088">
        <f>TEXT(1087, "[$-0E0000]yyyy-mm-dd")</f>
        <v/>
      </c>
      <c r="C1088" t="inlineStr">
        <is>
          <t>1902-11-24</t>
        </is>
      </c>
    </row>
    <row r="1089">
      <c r="A1089" s="1" t="n">
        <v>1088</v>
      </c>
      <c r="B1089">
        <f>TEXT(1088, "[$-0E0000]yyyy-mm-dd")</f>
        <v/>
      </c>
      <c r="C1089" t="inlineStr">
        <is>
          <t>1902-11-25</t>
        </is>
      </c>
    </row>
    <row r="1090">
      <c r="A1090" s="1" t="n">
        <v>1089</v>
      </c>
      <c r="B1090">
        <f>TEXT(1089, "[$-0E0000]yyyy-mm-dd")</f>
        <v/>
      </c>
      <c r="C1090" t="inlineStr">
        <is>
          <t>1902-11-26</t>
        </is>
      </c>
    </row>
    <row r="1091">
      <c r="A1091" s="1" t="n">
        <v>1090</v>
      </c>
      <c r="B1091">
        <f>TEXT(1090, "[$-0E0000]yyyy-mm-dd")</f>
        <v/>
      </c>
      <c r="C1091" t="inlineStr">
        <is>
          <t>1902-11-27</t>
        </is>
      </c>
    </row>
    <row r="1092">
      <c r="A1092" s="1" t="n">
        <v>1091</v>
      </c>
      <c r="B1092">
        <f>TEXT(1091, "[$-0E0000]yyyy-mm-dd")</f>
        <v/>
      </c>
      <c r="C1092" t="inlineStr">
        <is>
          <t>1902-11-28</t>
        </is>
      </c>
    </row>
    <row r="1093">
      <c r="A1093" s="1" t="n">
        <v>1092</v>
      </c>
      <c r="B1093">
        <f>TEXT(1092, "[$-0E0000]yyyy-mm-dd")</f>
        <v/>
      </c>
      <c r="C1093" t="inlineStr">
        <is>
          <t>1902-11-29</t>
        </is>
      </c>
    </row>
    <row r="1094">
      <c r="A1094" s="1" t="n">
        <v>1093</v>
      </c>
      <c r="B1094">
        <f>TEXT(1093, "[$-0E0000]yyyy-mm-dd")</f>
        <v/>
      </c>
      <c r="C1094" t="inlineStr">
        <is>
          <t>1902-11-30</t>
        </is>
      </c>
    </row>
    <row r="1095">
      <c r="A1095" s="1" t="n">
        <v>1094</v>
      </c>
      <c r="B1095">
        <f>TEXT(1094, "[$-0E0000]yyyy-mm-dd")</f>
        <v/>
      </c>
      <c r="C1095" t="inlineStr">
        <is>
          <t>1902-12-01</t>
        </is>
      </c>
    </row>
    <row r="1096">
      <c r="A1096" s="1" t="n">
        <v>1095</v>
      </c>
      <c r="B1096">
        <f>TEXT(1095, "[$-0E0000]yyyy-mm-dd")</f>
        <v/>
      </c>
      <c r="C1096" t="inlineStr">
        <is>
          <t>1902-12-02</t>
        </is>
      </c>
    </row>
    <row r="1097">
      <c r="A1097" s="1" t="n">
        <v>1096</v>
      </c>
      <c r="B1097">
        <f>TEXT(1096, "[$-0E0000]yyyy-mm-dd")</f>
        <v/>
      </c>
      <c r="C1097" t="inlineStr">
        <is>
          <t>1902-12-03</t>
        </is>
      </c>
    </row>
    <row r="1098">
      <c r="A1098" s="1" t="n">
        <v>1097</v>
      </c>
      <c r="B1098">
        <f>TEXT(1097, "[$-0E0000]yyyy-mm-dd")</f>
        <v/>
      </c>
      <c r="C1098" t="inlineStr">
        <is>
          <t>1902-12-04</t>
        </is>
      </c>
    </row>
    <row r="1099">
      <c r="A1099" s="1" t="n">
        <v>1098</v>
      </c>
      <c r="B1099">
        <f>TEXT(1098, "[$-0E0000]yyyy-mm-dd")</f>
        <v/>
      </c>
      <c r="C1099" t="inlineStr">
        <is>
          <t>1902-12-05</t>
        </is>
      </c>
    </row>
    <row r="1100">
      <c r="A1100" s="1" t="n">
        <v>1099</v>
      </c>
      <c r="B1100">
        <f>TEXT(1099, "[$-0E0000]yyyy-mm-dd")</f>
        <v/>
      </c>
      <c r="C1100" t="inlineStr">
        <is>
          <t>1902-12-06</t>
        </is>
      </c>
    </row>
    <row r="1101">
      <c r="A1101" s="1" t="n">
        <v>1100</v>
      </c>
      <c r="B1101">
        <f>TEXT(1100, "[$-0E0000]yyyy-mm-dd")</f>
        <v/>
      </c>
      <c r="C1101" t="inlineStr">
        <is>
          <t>1902-12-07</t>
        </is>
      </c>
    </row>
    <row r="1102">
      <c r="A1102" s="1" t="n">
        <v>1101</v>
      </c>
      <c r="B1102">
        <f>TEXT(1101, "[$-0E0000]yyyy-mm-dd")</f>
        <v/>
      </c>
      <c r="C1102" t="inlineStr">
        <is>
          <t>1902-12-08</t>
        </is>
      </c>
    </row>
    <row r="1103">
      <c r="A1103" s="1" t="n">
        <v>1102</v>
      </c>
      <c r="B1103">
        <f>TEXT(1102, "[$-0E0000]yyyy-mm-dd")</f>
        <v/>
      </c>
      <c r="C1103" t="inlineStr">
        <is>
          <t>1902-12-09</t>
        </is>
      </c>
    </row>
    <row r="1104">
      <c r="A1104" s="1" t="n">
        <v>1103</v>
      </c>
      <c r="B1104">
        <f>TEXT(1103, "[$-0E0000]yyyy-mm-dd")</f>
        <v/>
      </c>
      <c r="C1104" t="inlineStr">
        <is>
          <t>1902-12-10</t>
        </is>
      </c>
    </row>
    <row r="1105">
      <c r="A1105" s="1" t="n">
        <v>1104</v>
      </c>
      <c r="B1105">
        <f>TEXT(1104, "[$-0E0000]yyyy-mm-dd")</f>
        <v/>
      </c>
      <c r="C1105" t="inlineStr">
        <is>
          <t>1902-12-11</t>
        </is>
      </c>
    </row>
    <row r="1106">
      <c r="A1106" s="1" t="n">
        <v>1105</v>
      </c>
      <c r="B1106">
        <f>TEXT(1105, "[$-0E0000]yyyy-mm-dd")</f>
        <v/>
      </c>
      <c r="C1106" t="inlineStr">
        <is>
          <t>1902-12-12</t>
        </is>
      </c>
    </row>
    <row r="1107">
      <c r="A1107" s="1" t="n">
        <v>1106</v>
      </c>
      <c r="B1107">
        <f>TEXT(1106, "[$-0E0000]yyyy-mm-dd")</f>
        <v/>
      </c>
      <c r="C1107" t="inlineStr">
        <is>
          <t>1902-12-13</t>
        </is>
      </c>
    </row>
    <row r="1108">
      <c r="A1108" s="1" t="n">
        <v>1107</v>
      </c>
      <c r="B1108">
        <f>TEXT(1107, "[$-0E0000]yyyy-mm-dd")</f>
        <v/>
      </c>
      <c r="C1108" t="inlineStr">
        <is>
          <t>1902-12-14</t>
        </is>
      </c>
    </row>
    <row r="1109">
      <c r="A1109" s="1" t="n">
        <v>1108</v>
      </c>
      <c r="B1109">
        <f>TEXT(1108, "[$-0E0000]yyyy-mm-dd")</f>
        <v/>
      </c>
      <c r="C1109" t="inlineStr">
        <is>
          <t>1902-12-15</t>
        </is>
      </c>
    </row>
    <row r="1110">
      <c r="A1110" s="1" t="n">
        <v>1109</v>
      </c>
      <c r="B1110">
        <f>TEXT(1109, "[$-0E0000]yyyy-mm-dd")</f>
        <v/>
      </c>
      <c r="C1110" t="inlineStr">
        <is>
          <t>1902-12-16</t>
        </is>
      </c>
    </row>
    <row r="1111">
      <c r="A1111" s="1" t="n">
        <v>1110</v>
      </c>
      <c r="B1111">
        <f>TEXT(1110, "[$-0E0000]yyyy-mm-dd")</f>
        <v/>
      </c>
      <c r="C1111" t="inlineStr">
        <is>
          <t>1902-12-17</t>
        </is>
      </c>
    </row>
    <row r="1112">
      <c r="A1112" s="1" t="n">
        <v>1111</v>
      </c>
      <c r="B1112">
        <f>TEXT(1111, "[$-0E0000]yyyy-mm-dd")</f>
        <v/>
      </c>
      <c r="C1112" t="inlineStr">
        <is>
          <t>1902-12-18</t>
        </is>
      </c>
    </row>
    <row r="1113">
      <c r="A1113" s="1" t="n">
        <v>1112</v>
      </c>
      <c r="B1113">
        <f>TEXT(1112, "[$-0E0000]yyyy-mm-dd")</f>
        <v/>
      </c>
      <c r="C1113" t="inlineStr">
        <is>
          <t>1902-12-19</t>
        </is>
      </c>
    </row>
    <row r="1114">
      <c r="A1114" s="1" t="n">
        <v>1113</v>
      </c>
      <c r="B1114">
        <f>TEXT(1113, "[$-0E0000]yyyy-mm-dd")</f>
        <v/>
      </c>
      <c r="C1114" t="inlineStr">
        <is>
          <t>1902-12-20</t>
        </is>
      </c>
    </row>
    <row r="1115">
      <c r="A1115" s="1" t="n">
        <v>1114</v>
      </c>
      <c r="B1115">
        <f>TEXT(1114, "[$-0E0000]yyyy-mm-dd")</f>
        <v/>
      </c>
      <c r="C1115" t="inlineStr">
        <is>
          <t>1902-12-21</t>
        </is>
      </c>
    </row>
    <row r="1116">
      <c r="A1116" s="1" t="n">
        <v>1115</v>
      </c>
      <c r="B1116">
        <f>TEXT(1115, "[$-0E0000]yyyy-mm-dd")</f>
        <v/>
      </c>
      <c r="C1116" t="inlineStr">
        <is>
          <t>1902-12-22</t>
        </is>
      </c>
    </row>
    <row r="1117">
      <c r="A1117" s="1" t="n">
        <v>1116</v>
      </c>
      <c r="B1117">
        <f>TEXT(1116, "[$-0E0000]yyyy-mm-dd")</f>
        <v/>
      </c>
      <c r="C1117" t="inlineStr">
        <is>
          <t>1902-12-23</t>
        </is>
      </c>
    </row>
    <row r="1118">
      <c r="A1118" s="1" t="n">
        <v>1117</v>
      </c>
      <c r="B1118">
        <f>TEXT(1117, "[$-0E0000]yyyy-mm-dd")</f>
        <v/>
      </c>
      <c r="C1118" t="inlineStr">
        <is>
          <t>1902-12-24</t>
        </is>
      </c>
    </row>
    <row r="1119">
      <c r="A1119" s="1" t="n">
        <v>1118</v>
      </c>
      <c r="B1119">
        <f>TEXT(1118, "[$-0E0000]yyyy-mm-dd")</f>
        <v/>
      </c>
      <c r="C1119" t="inlineStr">
        <is>
          <t>1902-12-25</t>
        </is>
      </c>
    </row>
    <row r="1120">
      <c r="A1120" s="1" t="n">
        <v>1119</v>
      </c>
      <c r="B1120">
        <f>TEXT(1119, "[$-0E0000]yyyy-mm-dd")</f>
        <v/>
      </c>
      <c r="C1120" t="inlineStr">
        <is>
          <t>1902-12-26</t>
        </is>
      </c>
    </row>
    <row r="1121">
      <c r="A1121" s="1" t="n">
        <v>1120</v>
      </c>
      <c r="B1121">
        <f>TEXT(1120, "[$-0E0000]yyyy-mm-dd")</f>
        <v/>
      </c>
      <c r="C1121" t="inlineStr">
        <is>
          <t>1902-12-27</t>
        </is>
      </c>
    </row>
    <row r="1122">
      <c r="A1122" s="1" t="n">
        <v>1121</v>
      </c>
      <c r="B1122">
        <f>TEXT(1121, "[$-0E0000]yyyy-mm-dd")</f>
        <v/>
      </c>
      <c r="C1122" t="inlineStr">
        <is>
          <t>1902-12-28</t>
        </is>
      </c>
    </row>
    <row r="1123">
      <c r="A1123" s="1" t="n">
        <v>1122</v>
      </c>
      <c r="B1123">
        <f>TEXT(1122, "[$-0E0000]yyyy-mm-dd")</f>
        <v/>
      </c>
      <c r="C1123" t="inlineStr">
        <is>
          <t>1902-12-29</t>
        </is>
      </c>
    </row>
    <row r="1124">
      <c r="A1124" s="1" t="n">
        <v>1123</v>
      </c>
      <c r="B1124">
        <f>TEXT(1123, "[$-0E0000]yyyy-mm-dd")</f>
        <v/>
      </c>
      <c r="C1124" t="inlineStr">
        <is>
          <t>1902-12-30</t>
        </is>
      </c>
    </row>
    <row r="1125">
      <c r="A1125" s="1" t="n">
        <v>1124</v>
      </c>
      <c r="B1125">
        <f>TEXT(1124, "[$-0E0000]yyyy-mm-dd")</f>
        <v/>
      </c>
      <c r="C1125" t="inlineStr">
        <is>
          <t>1903-01-01</t>
        </is>
      </c>
    </row>
    <row r="1126">
      <c r="A1126" s="1" t="n">
        <v>1125</v>
      </c>
      <c r="B1126">
        <f>TEXT(1125, "[$-0E0000]yyyy-mm-dd")</f>
        <v/>
      </c>
      <c r="C1126" t="inlineStr">
        <is>
          <t>1903-01-02</t>
        </is>
      </c>
    </row>
    <row r="1127">
      <c r="A1127" s="1" t="n">
        <v>1126</v>
      </c>
      <c r="B1127">
        <f>TEXT(1126, "[$-0E0000]yyyy-mm-dd")</f>
        <v/>
      </c>
      <c r="C1127" t="inlineStr">
        <is>
          <t>1903-01-03</t>
        </is>
      </c>
    </row>
    <row r="1128">
      <c r="A1128" s="1" t="n">
        <v>1127</v>
      </c>
      <c r="B1128">
        <f>TEXT(1127, "[$-0E0000]yyyy-mm-dd")</f>
        <v/>
      </c>
      <c r="C1128" t="inlineStr">
        <is>
          <t>1903-01-04</t>
        </is>
      </c>
    </row>
    <row r="1129">
      <c r="A1129" s="1" t="n">
        <v>1128</v>
      </c>
      <c r="B1129">
        <f>TEXT(1128, "[$-0E0000]yyyy-mm-dd")</f>
        <v/>
      </c>
      <c r="C1129" t="inlineStr">
        <is>
          <t>1903-01-05</t>
        </is>
      </c>
    </row>
    <row r="1130">
      <c r="A1130" s="1" t="n">
        <v>1129</v>
      </c>
      <c r="B1130">
        <f>TEXT(1129, "[$-0E0000]yyyy-mm-dd")</f>
        <v/>
      </c>
      <c r="C1130" t="inlineStr">
        <is>
          <t>1903-01-06</t>
        </is>
      </c>
    </row>
    <row r="1131">
      <c r="A1131" s="1" t="n">
        <v>1130</v>
      </c>
      <c r="B1131">
        <f>TEXT(1130, "[$-0E0000]yyyy-mm-dd")</f>
        <v/>
      </c>
      <c r="C1131" t="inlineStr">
        <is>
          <t>1903-01-07</t>
        </is>
      </c>
    </row>
    <row r="1132">
      <c r="A1132" s="1" t="n">
        <v>1131</v>
      </c>
      <c r="B1132">
        <f>TEXT(1131, "[$-0E0000]yyyy-mm-dd")</f>
        <v/>
      </c>
      <c r="C1132" t="inlineStr">
        <is>
          <t>1903-01-08</t>
        </is>
      </c>
    </row>
    <row r="1133">
      <c r="A1133" s="1" t="n">
        <v>1132</v>
      </c>
      <c r="B1133">
        <f>TEXT(1132, "[$-0E0000]yyyy-mm-dd")</f>
        <v/>
      </c>
      <c r="C1133" t="inlineStr">
        <is>
          <t>1903-01-09</t>
        </is>
      </c>
    </row>
    <row r="1134">
      <c r="A1134" s="1" t="n">
        <v>1133</v>
      </c>
      <c r="B1134">
        <f>TEXT(1133, "[$-0E0000]yyyy-mm-dd")</f>
        <v/>
      </c>
      <c r="C1134" t="inlineStr">
        <is>
          <t>1903-01-10</t>
        </is>
      </c>
    </row>
    <row r="1135">
      <c r="A1135" s="1" t="n">
        <v>1134</v>
      </c>
      <c r="B1135">
        <f>TEXT(1134, "[$-0E0000]yyyy-mm-dd")</f>
        <v/>
      </c>
      <c r="C1135" t="inlineStr">
        <is>
          <t>1903-01-11</t>
        </is>
      </c>
    </row>
    <row r="1136">
      <c r="A1136" s="1" t="n">
        <v>1135</v>
      </c>
      <c r="B1136">
        <f>TEXT(1135, "[$-0E0000]yyyy-mm-dd")</f>
        <v/>
      </c>
      <c r="C1136" t="inlineStr">
        <is>
          <t>1903-01-12</t>
        </is>
      </c>
    </row>
    <row r="1137">
      <c r="A1137" s="1" t="n">
        <v>1136</v>
      </c>
      <c r="B1137">
        <f>TEXT(1136, "[$-0E0000]yyyy-mm-dd")</f>
        <v/>
      </c>
      <c r="C1137" t="inlineStr">
        <is>
          <t>1903-01-13</t>
        </is>
      </c>
    </row>
    <row r="1138">
      <c r="A1138" s="1" t="n">
        <v>1137</v>
      </c>
      <c r="B1138">
        <f>TEXT(1137, "[$-0E0000]yyyy-mm-dd")</f>
        <v/>
      </c>
      <c r="C1138" t="inlineStr">
        <is>
          <t>1903-01-14</t>
        </is>
      </c>
    </row>
    <row r="1139">
      <c r="A1139" s="1" t="n">
        <v>1138</v>
      </c>
      <c r="B1139">
        <f>TEXT(1138, "[$-0E0000]yyyy-mm-dd")</f>
        <v/>
      </c>
      <c r="C1139" t="inlineStr">
        <is>
          <t>1903-01-15</t>
        </is>
      </c>
    </row>
    <row r="1140">
      <c r="A1140" s="1" t="n">
        <v>1139</v>
      </c>
      <c r="B1140">
        <f>TEXT(1139, "[$-0E0000]yyyy-mm-dd")</f>
        <v/>
      </c>
      <c r="C1140" t="inlineStr">
        <is>
          <t>1903-01-16</t>
        </is>
      </c>
    </row>
    <row r="1141">
      <c r="A1141" s="1" t="n">
        <v>1140</v>
      </c>
      <c r="B1141">
        <f>TEXT(1140, "[$-0E0000]yyyy-mm-dd")</f>
        <v/>
      </c>
      <c r="C1141" t="inlineStr">
        <is>
          <t>1903-01-17</t>
        </is>
      </c>
    </row>
    <row r="1142">
      <c r="A1142" s="1" t="n">
        <v>1141</v>
      </c>
      <c r="B1142">
        <f>TEXT(1141, "[$-0E0000]yyyy-mm-dd")</f>
        <v/>
      </c>
      <c r="C1142" t="inlineStr">
        <is>
          <t>1903-01-18</t>
        </is>
      </c>
    </row>
    <row r="1143">
      <c r="A1143" s="1" t="n">
        <v>1142</v>
      </c>
      <c r="B1143">
        <f>TEXT(1142, "[$-0E0000]yyyy-mm-dd")</f>
        <v/>
      </c>
      <c r="C1143" t="inlineStr">
        <is>
          <t>1903-01-19</t>
        </is>
      </c>
    </row>
    <row r="1144">
      <c r="A1144" s="1" t="n">
        <v>1143</v>
      </c>
      <c r="B1144">
        <f>TEXT(1143, "[$-0E0000]yyyy-mm-dd")</f>
        <v/>
      </c>
      <c r="C1144" t="inlineStr">
        <is>
          <t>1903-01-20</t>
        </is>
      </c>
    </row>
    <row r="1145">
      <c r="A1145" s="1" t="n">
        <v>1144</v>
      </c>
      <c r="B1145">
        <f>TEXT(1144, "[$-0E0000]yyyy-mm-dd")</f>
        <v/>
      </c>
      <c r="C1145" t="inlineStr">
        <is>
          <t>1903-01-21</t>
        </is>
      </c>
    </row>
    <row r="1146">
      <c r="A1146" s="1" t="n">
        <v>1145</v>
      </c>
      <c r="B1146">
        <f>TEXT(1145, "[$-0E0000]yyyy-mm-dd")</f>
        <v/>
      </c>
      <c r="C1146" t="inlineStr">
        <is>
          <t>1903-01-22</t>
        </is>
      </c>
    </row>
    <row r="1147">
      <c r="A1147" s="1" t="n">
        <v>1146</v>
      </c>
      <c r="B1147">
        <f>TEXT(1146, "[$-0E0000]yyyy-mm-dd")</f>
        <v/>
      </c>
      <c r="C1147" t="inlineStr">
        <is>
          <t>1903-01-23</t>
        </is>
      </c>
    </row>
    <row r="1148">
      <c r="A1148" s="1" t="n">
        <v>1147</v>
      </c>
      <c r="B1148">
        <f>TEXT(1147, "[$-0E0000]yyyy-mm-dd")</f>
        <v/>
      </c>
      <c r="C1148" t="inlineStr">
        <is>
          <t>1903-01-24</t>
        </is>
      </c>
    </row>
    <row r="1149">
      <c r="A1149" s="1" t="n">
        <v>1148</v>
      </c>
      <c r="B1149">
        <f>TEXT(1148, "[$-0E0000]yyyy-mm-dd")</f>
        <v/>
      </c>
      <c r="C1149" t="inlineStr">
        <is>
          <t>1903-01-25</t>
        </is>
      </c>
    </row>
    <row r="1150">
      <c r="A1150" s="1" t="n">
        <v>1149</v>
      </c>
      <c r="B1150">
        <f>TEXT(1149, "[$-0E0000]yyyy-mm-dd")</f>
        <v/>
      </c>
      <c r="C1150" t="inlineStr">
        <is>
          <t>1903-01-26</t>
        </is>
      </c>
    </row>
    <row r="1151">
      <c r="A1151" s="1" t="n">
        <v>1150</v>
      </c>
      <c r="B1151">
        <f>TEXT(1150, "[$-0E0000]yyyy-mm-dd")</f>
        <v/>
      </c>
      <c r="C1151" t="inlineStr">
        <is>
          <t>1903-01-27</t>
        </is>
      </c>
    </row>
    <row r="1152">
      <c r="A1152" s="1" t="n">
        <v>1151</v>
      </c>
      <c r="B1152">
        <f>TEXT(1151, "[$-0E0000]yyyy-mm-dd")</f>
        <v/>
      </c>
      <c r="C1152" t="inlineStr">
        <is>
          <t>1903-01-28</t>
        </is>
      </c>
    </row>
    <row r="1153">
      <c r="A1153" s="1" t="n">
        <v>1152</v>
      </c>
      <c r="B1153">
        <f>TEXT(1152, "[$-0E0000]yyyy-mm-dd")</f>
        <v/>
      </c>
      <c r="C1153" t="inlineStr">
        <is>
          <t>1903-01-29</t>
        </is>
      </c>
    </row>
    <row r="1154">
      <c r="A1154" s="1" t="n">
        <v>1153</v>
      </c>
      <c r="B1154">
        <f>TEXT(1153, "[$-0E0000]yyyy-mm-dd")</f>
        <v/>
      </c>
      <c r="C1154" t="inlineStr">
        <is>
          <t>1903-02-01</t>
        </is>
      </c>
    </row>
    <row r="1155">
      <c r="A1155" s="1" t="n">
        <v>1154</v>
      </c>
      <c r="B1155">
        <f>TEXT(1154, "[$-0E0000]yyyy-mm-dd")</f>
        <v/>
      </c>
      <c r="C1155" t="inlineStr">
        <is>
          <t>1903-02-02</t>
        </is>
      </c>
    </row>
    <row r="1156">
      <c r="A1156" s="1" t="n">
        <v>1155</v>
      </c>
      <c r="B1156">
        <f>TEXT(1155, "[$-0E0000]yyyy-mm-dd")</f>
        <v/>
      </c>
      <c r="C1156" t="inlineStr">
        <is>
          <t>1903-02-03</t>
        </is>
      </c>
    </row>
    <row r="1157">
      <c r="A1157" s="1" t="n">
        <v>1156</v>
      </c>
      <c r="B1157">
        <f>TEXT(1156, "[$-0E0000]yyyy-mm-dd")</f>
        <v/>
      </c>
      <c r="C1157" t="inlineStr">
        <is>
          <t>1903-02-04</t>
        </is>
      </c>
    </row>
    <row r="1158">
      <c r="A1158" s="1" t="n">
        <v>1157</v>
      </c>
      <c r="B1158">
        <f>TEXT(1157, "[$-0E0000]yyyy-mm-dd")</f>
        <v/>
      </c>
      <c r="C1158" t="inlineStr">
        <is>
          <t>1903-02-05</t>
        </is>
      </c>
    </row>
    <row r="1159">
      <c r="A1159" s="1" t="n">
        <v>1158</v>
      </c>
      <c r="B1159">
        <f>TEXT(1158, "[$-0E0000]yyyy-mm-dd")</f>
        <v/>
      </c>
      <c r="C1159" t="inlineStr">
        <is>
          <t>1903-02-06</t>
        </is>
      </c>
    </row>
    <row r="1160">
      <c r="A1160" s="1" t="n">
        <v>1159</v>
      </c>
      <c r="B1160">
        <f>TEXT(1159, "[$-0E0000]yyyy-mm-dd")</f>
        <v/>
      </c>
      <c r="C1160" t="inlineStr">
        <is>
          <t>1903-02-07</t>
        </is>
      </c>
    </row>
    <row r="1161">
      <c r="A1161" s="1" t="n">
        <v>1160</v>
      </c>
      <c r="B1161">
        <f>TEXT(1160, "[$-0E0000]yyyy-mm-dd")</f>
        <v/>
      </c>
      <c r="C1161" t="inlineStr">
        <is>
          <t>1903-02-08</t>
        </is>
      </c>
    </row>
    <row r="1162">
      <c r="A1162" s="1" t="n">
        <v>1161</v>
      </c>
      <c r="B1162">
        <f>TEXT(1161, "[$-0E0000]yyyy-mm-dd")</f>
        <v/>
      </c>
      <c r="C1162" t="inlineStr">
        <is>
          <t>1903-02-09</t>
        </is>
      </c>
    </row>
    <row r="1163">
      <c r="A1163" s="1" t="n">
        <v>1162</v>
      </c>
      <c r="B1163">
        <f>TEXT(1162, "[$-0E0000]yyyy-mm-dd")</f>
        <v/>
      </c>
      <c r="C1163" t="inlineStr">
        <is>
          <t>1903-02-10</t>
        </is>
      </c>
    </row>
    <row r="1164">
      <c r="A1164" s="1" t="n">
        <v>1163</v>
      </c>
      <c r="B1164">
        <f>TEXT(1163, "[$-0E0000]yyyy-mm-dd")</f>
        <v/>
      </c>
      <c r="C1164" t="inlineStr">
        <is>
          <t>1903-02-11</t>
        </is>
      </c>
    </row>
    <row r="1165">
      <c r="A1165" s="1" t="n">
        <v>1164</v>
      </c>
      <c r="B1165">
        <f>TEXT(1164, "[$-0E0000]yyyy-mm-dd")</f>
        <v/>
      </c>
      <c r="C1165" t="inlineStr">
        <is>
          <t>1903-02-12</t>
        </is>
      </c>
    </row>
    <row r="1166">
      <c r="A1166" s="1" t="n">
        <v>1165</v>
      </c>
      <c r="B1166">
        <f>TEXT(1165, "[$-0E0000]yyyy-mm-dd")</f>
        <v/>
      </c>
      <c r="C1166" t="inlineStr">
        <is>
          <t>1903-02-13</t>
        </is>
      </c>
    </row>
    <row r="1167">
      <c r="A1167" s="1" t="n">
        <v>1166</v>
      </c>
      <c r="B1167">
        <f>TEXT(1166, "[$-0E0000]yyyy-mm-dd")</f>
        <v/>
      </c>
      <c r="C1167" t="inlineStr">
        <is>
          <t>1903-02-14</t>
        </is>
      </c>
    </row>
    <row r="1168">
      <c r="A1168" s="1" t="n">
        <v>1167</v>
      </c>
      <c r="B1168">
        <f>TEXT(1167, "[$-0E0000]yyyy-mm-dd")</f>
        <v/>
      </c>
      <c r="C1168" t="inlineStr">
        <is>
          <t>1903-02-15</t>
        </is>
      </c>
    </row>
    <row r="1169">
      <c r="A1169" s="1" t="n">
        <v>1168</v>
      </c>
      <c r="B1169">
        <f>TEXT(1168, "[$-0E0000]yyyy-mm-dd")</f>
        <v/>
      </c>
      <c r="C1169" t="inlineStr">
        <is>
          <t>1903-02-16</t>
        </is>
      </c>
    </row>
    <row r="1170">
      <c r="A1170" s="1" t="n">
        <v>1169</v>
      </c>
      <c r="B1170">
        <f>TEXT(1169, "[$-0E0000]yyyy-mm-dd")</f>
        <v/>
      </c>
      <c r="C1170" t="inlineStr">
        <is>
          <t>1903-02-17</t>
        </is>
      </c>
    </row>
    <row r="1171">
      <c r="A1171" s="1" t="n">
        <v>1170</v>
      </c>
      <c r="B1171">
        <f>TEXT(1170, "[$-0E0000]yyyy-mm-dd")</f>
        <v/>
      </c>
      <c r="C1171" t="inlineStr">
        <is>
          <t>1903-02-18</t>
        </is>
      </c>
    </row>
    <row r="1172">
      <c r="A1172" s="1" t="n">
        <v>1171</v>
      </c>
      <c r="B1172">
        <f>TEXT(1171, "[$-0E0000]yyyy-mm-dd")</f>
        <v/>
      </c>
      <c r="C1172" t="inlineStr">
        <is>
          <t>1903-02-19</t>
        </is>
      </c>
    </row>
    <row r="1173">
      <c r="A1173" s="1" t="n">
        <v>1172</v>
      </c>
      <c r="B1173">
        <f>TEXT(1172, "[$-0E0000]yyyy-mm-dd")</f>
        <v/>
      </c>
      <c r="C1173" t="inlineStr">
        <is>
          <t>1903-02-20</t>
        </is>
      </c>
    </row>
    <row r="1174">
      <c r="A1174" s="1" t="n">
        <v>1173</v>
      </c>
      <c r="B1174">
        <f>TEXT(1173, "[$-0E0000]yyyy-mm-dd")</f>
        <v/>
      </c>
      <c r="C1174" t="inlineStr">
        <is>
          <t>1903-02-21</t>
        </is>
      </c>
    </row>
    <row r="1175">
      <c r="A1175" s="1" t="n">
        <v>1174</v>
      </c>
      <c r="B1175">
        <f>TEXT(1174, "[$-0E0000]yyyy-mm-dd")</f>
        <v/>
      </c>
      <c r="C1175" t="inlineStr">
        <is>
          <t>1903-02-22</t>
        </is>
      </c>
    </row>
    <row r="1176">
      <c r="A1176" s="1" t="n">
        <v>1175</v>
      </c>
      <c r="B1176">
        <f>TEXT(1175, "[$-0E0000]yyyy-mm-dd")</f>
        <v/>
      </c>
      <c r="C1176" t="inlineStr">
        <is>
          <t>1903-02-23</t>
        </is>
      </c>
    </row>
    <row r="1177">
      <c r="A1177" s="1" t="n">
        <v>1176</v>
      </c>
      <c r="B1177">
        <f>TEXT(1176, "[$-0E0000]yyyy-mm-dd")</f>
        <v/>
      </c>
      <c r="C1177" t="inlineStr">
        <is>
          <t>1903-02-24</t>
        </is>
      </c>
    </row>
    <row r="1178">
      <c r="A1178" s="1" t="n">
        <v>1177</v>
      </c>
      <c r="B1178">
        <f>TEXT(1177, "[$-0E0000]yyyy-mm-dd")</f>
        <v/>
      </c>
      <c r="C1178" t="inlineStr">
        <is>
          <t>1903-02-25</t>
        </is>
      </c>
    </row>
    <row r="1179">
      <c r="A1179" s="1" t="n">
        <v>1178</v>
      </c>
      <c r="B1179">
        <f>TEXT(1178, "[$-0E0000]yyyy-mm-dd")</f>
        <v/>
      </c>
      <c r="C1179" t="inlineStr">
        <is>
          <t>1903-02-26</t>
        </is>
      </c>
    </row>
    <row r="1180">
      <c r="A1180" s="1" t="n">
        <v>1179</v>
      </c>
      <c r="B1180">
        <f>TEXT(1179, "[$-0E0000]yyyy-mm-dd")</f>
        <v/>
      </c>
      <c r="C1180" t="inlineStr">
        <is>
          <t>1903-02-27</t>
        </is>
      </c>
    </row>
    <row r="1181">
      <c r="A1181" s="1" t="n">
        <v>1180</v>
      </c>
      <c r="B1181">
        <f>TEXT(1180, "[$-0E0000]yyyy-mm-dd")</f>
        <v/>
      </c>
      <c r="C1181" t="inlineStr">
        <is>
          <t>1903-02-28</t>
        </is>
      </c>
    </row>
    <row r="1182">
      <c r="A1182" s="1" t="n">
        <v>1181</v>
      </c>
      <c r="B1182">
        <f>TEXT(1181, "[$-0E0000]yyyy-mm-dd")</f>
        <v/>
      </c>
      <c r="C1182" t="inlineStr">
        <is>
          <t>1903-02-29</t>
        </is>
      </c>
    </row>
    <row r="1183">
      <c r="A1183" s="1" t="n">
        <v>1182</v>
      </c>
      <c r="B1183">
        <f>TEXT(1182, "[$-0E0000]yyyy-mm-dd")</f>
        <v/>
      </c>
      <c r="C1183" t="inlineStr">
        <is>
          <t>1903-02-30</t>
        </is>
      </c>
    </row>
    <row r="1184">
      <c r="A1184" s="1" t="n">
        <v>1183</v>
      </c>
      <c r="B1184">
        <f>TEXT(1183, "[$-0E0000]yyyy-mm-dd")</f>
        <v/>
      </c>
      <c r="C1184" t="inlineStr">
        <is>
          <t>1903-03-01</t>
        </is>
      </c>
    </row>
    <row r="1185">
      <c r="A1185" s="1" t="n">
        <v>1184</v>
      </c>
      <c r="B1185">
        <f>TEXT(1184, "[$-0E0000]yyyy-mm-dd")</f>
        <v/>
      </c>
      <c r="C1185" t="inlineStr">
        <is>
          <t>1903-03-02</t>
        </is>
      </c>
    </row>
    <row r="1186">
      <c r="A1186" s="1" t="n">
        <v>1185</v>
      </c>
      <c r="B1186">
        <f>TEXT(1185, "[$-0E0000]yyyy-mm-dd")</f>
        <v/>
      </c>
      <c r="C1186" t="inlineStr">
        <is>
          <t>1903-03-03</t>
        </is>
      </c>
    </row>
    <row r="1187">
      <c r="A1187" s="1" t="n">
        <v>1186</v>
      </c>
      <c r="B1187">
        <f>TEXT(1186, "[$-0E0000]yyyy-mm-dd")</f>
        <v/>
      </c>
      <c r="C1187" t="inlineStr">
        <is>
          <t>1903-03-04</t>
        </is>
      </c>
    </row>
    <row r="1188">
      <c r="A1188" s="1" t="n">
        <v>1187</v>
      </c>
      <c r="B1188">
        <f>TEXT(1187, "[$-0E0000]yyyy-mm-dd")</f>
        <v/>
      </c>
      <c r="C1188" t="inlineStr">
        <is>
          <t>1903-03-05</t>
        </is>
      </c>
    </row>
    <row r="1189">
      <c r="A1189" s="1" t="n">
        <v>1188</v>
      </c>
      <c r="B1189">
        <f>TEXT(1188, "[$-0E0000]yyyy-mm-dd")</f>
        <v/>
      </c>
      <c r="C1189" t="inlineStr">
        <is>
          <t>1903-03-06</t>
        </is>
      </c>
    </row>
    <row r="1190">
      <c r="A1190" s="1" t="n">
        <v>1189</v>
      </c>
      <c r="B1190">
        <f>TEXT(1189, "[$-0E0000]yyyy-mm-dd")</f>
        <v/>
      </c>
      <c r="C1190" t="inlineStr">
        <is>
          <t>1903-03-07</t>
        </is>
      </c>
    </row>
    <row r="1191">
      <c r="A1191" s="1" t="n">
        <v>1190</v>
      </c>
      <c r="B1191">
        <f>TEXT(1190, "[$-0E0000]yyyy-mm-dd")</f>
        <v/>
      </c>
      <c r="C1191" t="inlineStr">
        <is>
          <t>1903-03-08</t>
        </is>
      </c>
    </row>
    <row r="1192">
      <c r="A1192" s="1" t="n">
        <v>1191</v>
      </c>
      <c r="B1192">
        <f>TEXT(1191, "[$-0E0000]yyyy-mm-dd")</f>
        <v/>
      </c>
      <c r="C1192" t="inlineStr">
        <is>
          <t>1903-03-09</t>
        </is>
      </c>
    </row>
    <row r="1193">
      <c r="A1193" s="1" t="n">
        <v>1192</v>
      </c>
      <c r="B1193">
        <f>TEXT(1192, "[$-0E0000]yyyy-mm-dd")</f>
        <v/>
      </c>
      <c r="C1193" t="inlineStr">
        <is>
          <t>1903-03-10</t>
        </is>
      </c>
    </row>
    <row r="1194">
      <c r="A1194" s="1" t="n">
        <v>1193</v>
      </c>
      <c r="B1194">
        <f>TEXT(1193, "[$-0E0000]yyyy-mm-dd")</f>
        <v/>
      </c>
      <c r="C1194" t="inlineStr">
        <is>
          <t>1903-03-11</t>
        </is>
      </c>
    </row>
    <row r="1195">
      <c r="A1195" s="1" t="n">
        <v>1194</v>
      </c>
      <c r="B1195">
        <f>TEXT(1194, "[$-0E0000]yyyy-mm-dd")</f>
        <v/>
      </c>
      <c r="C1195" t="inlineStr">
        <is>
          <t>1903-03-12</t>
        </is>
      </c>
    </row>
    <row r="1196">
      <c r="A1196" s="1" t="n">
        <v>1195</v>
      </c>
      <c r="B1196">
        <f>TEXT(1195, "[$-0E0000]yyyy-mm-dd")</f>
        <v/>
      </c>
      <c r="C1196" t="inlineStr">
        <is>
          <t>1903-03-13</t>
        </is>
      </c>
    </row>
    <row r="1197">
      <c r="A1197" s="1" t="n">
        <v>1196</v>
      </c>
      <c r="B1197">
        <f>TEXT(1196, "[$-0E0000]yyyy-mm-dd")</f>
        <v/>
      </c>
      <c r="C1197" t="inlineStr">
        <is>
          <t>1903-03-14</t>
        </is>
      </c>
    </row>
    <row r="1198">
      <c r="A1198" s="1" t="n">
        <v>1197</v>
      </c>
      <c r="B1198">
        <f>TEXT(1197, "[$-0E0000]yyyy-mm-dd")</f>
        <v/>
      </c>
      <c r="C1198" t="inlineStr">
        <is>
          <t>1903-03-15</t>
        </is>
      </c>
    </row>
    <row r="1199">
      <c r="A1199" s="1" t="n">
        <v>1198</v>
      </c>
      <c r="B1199">
        <f>TEXT(1198, "[$-0E0000]yyyy-mm-dd")</f>
        <v/>
      </c>
      <c r="C1199" t="inlineStr">
        <is>
          <t>1903-03-16</t>
        </is>
      </c>
    </row>
    <row r="1200">
      <c r="A1200" s="1" t="n">
        <v>1199</v>
      </c>
      <c r="B1200">
        <f>TEXT(1199, "[$-0E0000]yyyy-mm-dd")</f>
        <v/>
      </c>
      <c r="C1200" t="inlineStr">
        <is>
          <t>1903-03-17</t>
        </is>
      </c>
    </row>
    <row r="1201">
      <c r="A1201" s="1" t="n">
        <v>1200</v>
      </c>
      <c r="B1201">
        <f>TEXT(1200, "[$-0E0000]yyyy-mm-dd")</f>
        <v/>
      </c>
      <c r="C1201" t="inlineStr">
        <is>
          <t>1903-03-18</t>
        </is>
      </c>
    </row>
    <row r="1202">
      <c r="A1202" s="1" t="n">
        <v>1201</v>
      </c>
      <c r="B1202">
        <f>TEXT(1201, "[$-0E0000]yyyy-mm-dd")</f>
        <v/>
      </c>
      <c r="C1202" t="inlineStr">
        <is>
          <t>1903-03-19</t>
        </is>
      </c>
    </row>
    <row r="1203">
      <c r="A1203" s="1" t="n">
        <v>1202</v>
      </c>
      <c r="B1203">
        <f>TEXT(1202, "[$-0E0000]yyyy-mm-dd")</f>
        <v/>
      </c>
      <c r="C1203" t="inlineStr">
        <is>
          <t>1903-03-20</t>
        </is>
      </c>
    </row>
    <row r="1204">
      <c r="A1204" s="1" t="n">
        <v>1203</v>
      </c>
      <c r="B1204">
        <f>TEXT(1203, "[$-0E0000]yyyy-mm-dd")</f>
        <v/>
      </c>
      <c r="C1204" t="inlineStr">
        <is>
          <t>1903-03-21</t>
        </is>
      </c>
    </row>
    <row r="1205">
      <c r="A1205" s="1" t="n">
        <v>1204</v>
      </c>
      <c r="B1205">
        <f>TEXT(1204, "[$-0E0000]yyyy-mm-dd")</f>
        <v/>
      </c>
      <c r="C1205" t="inlineStr">
        <is>
          <t>1903-03-22</t>
        </is>
      </c>
    </row>
    <row r="1206">
      <c r="A1206" s="1" t="n">
        <v>1205</v>
      </c>
      <c r="B1206">
        <f>TEXT(1205, "[$-0E0000]yyyy-mm-dd")</f>
        <v/>
      </c>
      <c r="C1206" t="inlineStr">
        <is>
          <t>1903-03-23</t>
        </is>
      </c>
    </row>
    <row r="1207">
      <c r="A1207" s="1" t="n">
        <v>1206</v>
      </c>
      <c r="B1207">
        <f>TEXT(1206, "[$-0E0000]yyyy-mm-dd")</f>
        <v/>
      </c>
      <c r="C1207" t="inlineStr">
        <is>
          <t>1903-03-24</t>
        </is>
      </c>
    </row>
    <row r="1208">
      <c r="A1208" s="1" t="n">
        <v>1207</v>
      </c>
      <c r="B1208">
        <f>TEXT(1207, "[$-0E0000]yyyy-mm-dd")</f>
        <v/>
      </c>
      <c r="C1208" t="inlineStr">
        <is>
          <t>1903-03-25</t>
        </is>
      </c>
    </row>
    <row r="1209">
      <c r="A1209" s="1" t="n">
        <v>1208</v>
      </c>
      <c r="B1209">
        <f>TEXT(1208, "[$-0E0000]yyyy-mm-dd")</f>
        <v/>
      </c>
      <c r="C1209" t="inlineStr">
        <is>
          <t>1903-03-26</t>
        </is>
      </c>
    </row>
    <row r="1210">
      <c r="A1210" s="1" t="n">
        <v>1209</v>
      </c>
      <c r="B1210">
        <f>TEXT(1209, "[$-0E0000]yyyy-mm-dd")</f>
        <v/>
      </c>
      <c r="C1210" t="inlineStr">
        <is>
          <t>1903-03-27</t>
        </is>
      </c>
    </row>
    <row r="1211">
      <c r="A1211" s="1" t="n">
        <v>1210</v>
      </c>
      <c r="B1211">
        <f>TEXT(1210, "[$-0E0000]yyyy-mm-dd")</f>
        <v/>
      </c>
      <c r="C1211" t="inlineStr">
        <is>
          <t>1903-03-28</t>
        </is>
      </c>
    </row>
    <row r="1212">
      <c r="A1212" s="1" t="n">
        <v>1211</v>
      </c>
      <c r="B1212">
        <f>TEXT(1211, "[$-0E0000]yyyy-mm-dd")</f>
        <v/>
      </c>
      <c r="C1212" t="inlineStr">
        <is>
          <t>1903-03-29</t>
        </is>
      </c>
    </row>
    <row r="1213">
      <c r="A1213" s="1" t="n">
        <v>1212</v>
      </c>
      <c r="B1213">
        <f>TEXT(1212, "[$-0E0000]yyyy-mm-dd")</f>
        <v/>
      </c>
      <c r="C1213" t="inlineStr">
        <is>
          <t>1903-04-01</t>
        </is>
      </c>
    </row>
    <row r="1214">
      <c r="A1214" s="1" t="n">
        <v>1213</v>
      </c>
      <c r="B1214">
        <f>TEXT(1213, "[$-0E0000]yyyy-mm-dd")</f>
        <v/>
      </c>
      <c r="C1214" t="inlineStr">
        <is>
          <t>1903-04-02</t>
        </is>
      </c>
    </row>
    <row r="1215">
      <c r="A1215" s="1" t="n">
        <v>1214</v>
      </c>
      <c r="B1215">
        <f>TEXT(1214, "[$-0E0000]yyyy-mm-dd")</f>
        <v/>
      </c>
      <c r="C1215" t="inlineStr">
        <is>
          <t>1903-04-03</t>
        </is>
      </c>
    </row>
    <row r="1216">
      <c r="A1216" s="1" t="n">
        <v>1215</v>
      </c>
      <c r="B1216">
        <f>TEXT(1215, "[$-0E0000]yyyy-mm-dd")</f>
        <v/>
      </c>
      <c r="C1216" t="inlineStr">
        <is>
          <t>1903-04-04</t>
        </is>
      </c>
    </row>
    <row r="1217">
      <c r="A1217" s="1" t="n">
        <v>1216</v>
      </c>
      <c r="B1217">
        <f>TEXT(1216, "[$-0E0000]yyyy-mm-dd")</f>
        <v/>
      </c>
      <c r="C1217" t="inlineStr">
        <is>
          <t>1903-04-05</t>
        </is>
      </c>
    </row>
    <row r="1218">
      <c r="A1218" s="1" t="n">
        <v>1217</v>
      </c>
      <c r="B1218">
        <f>TEXT(1217, "[$-0E0000]yyyy-mm-dd")</f>
        <v/>
      </c>
      <c r="C1218" t="inlineStr">
        <is>
          <t>1903-04-06</t>
        </is>
      </c>
    </row>
    <row r="1219">
      <c r="A1219" s="1" t="n">
        <v>1218</v>
      </c>
      <c r="B1219">
        <f>TEXT(1218, "[$-0E0000]yyyy-mm-dd")</f>
        <v/>
      </c>
      <c r="C1219" t="inlineStr">
        <is>
          <t>1903-04-07</t>
        </is>
      </c>
    </row>
    <row r="1220">
      <c r="A1220" s="1" t="n">
        <v>1219</v>
      </c>
      <c r="B1220">
        <f>TEXT(1219, "[$-0E0000]yyyy-mm-dd")</f>
        <v/>
      </c>
      <c r="C1220" t="inlineStr">
        <is>
          <t>1903-04-08</t>
        </is>
      </c>
    </row>
    <row r="1221">
      <c r="A1221" s="1" t="n">
        <v>1220</v>
      </c>
      <c r="B1221">
        <f>TEXT(1220, "[$-0E0000]yyyy-mm-dd")</f>
        <v/>
      </c>
      <c r="C1221" t="inlineStr">
        <is>
          <t>1903-04-09</t>
        </is>
      </c>
    </row>
    <row r="1222">
      <c r="A1222" s="1" t="n">
        <v>1221</v>
      </c>
      <c r="B1222">
        <f>TEXT(1221, "[$-0E0000]yyyy-mm-dd")</f>
        <v/>
      </c>
      <c r="C1222" t="inlineStr">
        <is>
          <t>1903-04-10</t>
        </is>
      </c>
    </row>
    <row r="1223">
      <c r="A1223" s="1" t="n">
        <v>1222</v>
      </c>
      <c r="B1223">
        <f>TEXT(1222, "[$-0E0000]yyyy-mm-dd")</f>
        <v/>
      </c>
      <c r="C1223" t="inlineStr">
        <is>
          <t>1903-04-11</t>
        </is>
      </c>
    </row>
    <row r="1224">
      <c r="A1224" s="1" t="n">
        <v>1223</v>
      </c>
      <c r="B1224">
        <f>TEXT(1223, "[$-0E0000]yyyy-mm-dd")</f>
        <v/>
      </c>
      <c r="C1224" t="inlineStr">
        <is>
          <t>1903-04-12</t>
        </is>
      </c>
    </row>
    <row r="1225">
      <c r="A1225" s="1" t="n">
        <v>1224</v>
      </c>
      <c r="B1225">
        <f>TEXT(1224, "[$-0E0000]yyyy-mm-dd")</f>
        <v/>
      </c>
      <c r="C1225" t="inlineStr">
        <is>
          <t>1903-04-13</t>
        </is>
      </c>
    </row>
    <row r="1226">
      <c r="A1226" s="1" t="n">
        <v>1225</v>
      </c>
      <c r="B1226">
        <f>TEXT(1225, "[$-0E0000]yyyy-mm-dd")</f>
        <v/>
      </c>
      <c r="C1226" t="inlineStr">
        <is>
          <t>1903-04-14</t>
        </is>
      </c>
    </row>
    <row r="1227">
      <c r="A1227" s="1" t="n">
        <v>1226</v>
      </c>
      <c r="B1227">
        <f>TEXT(1226, "[$-0E0000]yyyy-mm-dd")</f>
        <v/>
      </c>
      <c r="C1227" t="inlineStr">
        <is>
          <t>1903-04-15</t>
        </is>
      </c>
    </row>
    <row r="1228">
      <c r="A1228" s="1" t="n">
        <v>1227</v>
      </c>
      <c r="B1228">
        <f>TEXT(1227, "[$-0E0000]yyyy-mm-dd")</f>
        <v/>
      </c>
      <c r="C1228" t="inlineStr">
        <is>
          <t>1903-04-16</t>
        </is>
      </c>
    </row>
    <row r="1229">
      <c r="A1229" s="1" t="n">
        <v>1228</v>
      </c>
      <c r="B1229">
        <f>TEXT(1228, "[$-0E0000]yyyy-mm-dd")</f>
        <v/>
      </c>
      <c r="C1229" t="inlineStr">
        <is>
          <t>1903-04-17</t>
        </is>
      </c>
    </row>
    <row r="1230">
      <c r="A1230" s="1" t="n">
        <v>1229</v>
      </c>
      <c r="B1230">
        <f>TEXT(1229, "[$-0E0000]yyyy-mm-dd")</f>
        <v/>
      </c>
      <c r="C1230" t="inlineStr">
        <is>
          <t>1903-04-18</t>
        </is>
      </c>
    </row>
    <row r="1231">
      <c r="A1231" s="1" t="n">
        <v>1230</v>
      </c>
      <c r="B1231">
        <f>TEXT(1230, "[$-0E0000]yyyy-mm-dd")</f>
        <v/>
      </c>
      <c r="C1231" t="inlineStr">
        <is>
          <t>1903-04-19</t>
        </is>
      </c>
    </row>
    <row r="1232">
      <c r="A1232" s="1" t="n">
        <v>1231</v>
      </c>
      <c r="B1232">
        <f>TEXT(1231, "[$-0E0000]yyyy-mm-dd")</f>
        <v/>
      </c>
      <c r="C1232" t="inlineStr">
        <is>
          <t>1903-04-20</t>
        </is>
      </c>
    </row>
    <row r="1233">
      <c r="A1233" s="1" t="n">
        <v>1232</v>
      </c>
      <c r="B1233">
        <f>TEXT(1232, "[$-0E0000]yyyy-mm-dd")</f>
        <v/>
      </c>
      <c r="C1233" t="inlineStr">
        <is>
          <t>1903-04-21</t>
        </is>
      </c>
    </row>
    <row r="1234">
      <c r="A1234" s="1" t="n">
        <v>1233</v>
      </c>
      <c r="B1234">
        <f>TEXT(1233, "[$-0E0000]yyyy-mm-dd")</f>
        <v/>
      </c>
      <c r="C1234" t="inlineStr">
        <is>
          <t>1903-04-22</t>
        </is>
      </c>
    </row>
    <row r="1235">
      <c r="A1235" s="1" t="n">
        <v>1234</v>
      </c>
      <c r="B1235">
        <f>TEXT(1234, "[$-0E0000]yyyy-mm-dd")</f>
        <v/>
      </c>
      <c r="C1235" t="inlineStr">
        <is>
          <t>1903-04-23</t>
        </is>
      </c>
    </row>
    <row r="1236">
      <c r="A1236" s="1" t="n">
        <v>1235</v>
      </c>
      <c r="B1236">
        <f>TEXT(1235, "[$-0E0000]yyyy-mm-dd")</f>
        <v/>
      </c>
      <c r="C1236" t="inlineStr">
        <is>
          <t>1903-04-24</t>
        </is>
      </c>
    </row>
    <row r="1237">
      <c r="A1237" s="1" t="n">
        <v>1236</v>
      </c>
      <c r="B1237">
        <f>TEXT(1236, "[$-0E0000]yyyy-mm-dd")</f>
        <v/>
      </c>
      <c r="C1237" t="inlineStr">
        <is>
          <t>1903-04-25</t>
        </is>
      </c>
    </row>
    <row r="1238">
      <c r="A1238" s="1" t="n">
        <v>1237</v>
      </c>
      <c r="B1238">
        <f>TEXT(1237, "[$-0E0000]yyyy-mm-dd")</f>
        <v/>
      </c>
      <c r="C1238" t="inlineStr">
        <is>
          <t>1903-04-26</t>
        </is>
      </c>
    </row>
    <row r="1239">
      <c r="A1239" s="1" t="n">
        <v>1238</v>
      </c>
      <c r="B1239">
        <f>TEXT(1238, "[$-0E0000]yyyy-mm-dd")</f>
        <v/>
      </c>
      <c r="C1239" t="inlineStr">
        <is>
          <t>1903-04-27</t>
        </is>
      </c>
    </row>
    <row r="1240">
      <c r="A1240" s="1" t="n">
        <v>1239</v>
      </c>
      <c r="B1240">
        <f>TEXT(1239, "[$-0E0000]yyyy-mm-dd")</f>
        <v/>
      </c>
      <c r="C1240" t="inlineStr">
        <is>
          <t>1903-04-28</t>
        </is>
      </c>
    </row>
    <row r="1241">
      <c r="A1241" s="1" t="n">
        <v>1240</v>
      </c>
      <c r="B1241">
        <f>TEXT(1240, "[$-0E0000]yyyy-mm-dd")</f>
        <v/>
      </c>
      <c r="C1241" t="inlineStr">
        <is>
          <t>1903-04-29</t>
        </is>
      </c>
    </row>
    <row r="1242">
      <c r="A1242" s="1" t="n">
        <v>1241</v>
      </c>
      <c r="B1242">
        <f>TEXT(1241, "[$-0E0000]yyyy-mm-dd")</f>
        <v/>
      </c>
      <c r="C1242" t="inlineStr">
        <is>
          <t>1903-04-30</t>
        </is>
      </c>
    </row>
    <row r="1243">
      <c r="A1243" s="1" t="n">
        <v>1242</v>
      </c>
      <c r="B1243">
        <f>TEXT(1242, "[$-0E0000]yyyy-mm-dd")</f>
        <v/>
      </c>
      <c r="C1243" t="inlineStr">
        <is>
          <t>1903-05-01</t>
        </is>
      </c>
    </row>
    <row r="1244">
      <c r="A1244" s="1" t="n">
        <v>1243</v>
      </c>
      <c r="B1244">
        <f>TEXT(1243, "[$-0E0000]yyyy-mm-dd")</f>
        <v/>
      </c>
      <c r="C1244" t="inlineStr">
        <is>
          <t>1903-05-02</t>
        </is>
      </c>
    </row>
    <row r="1245">
      <c r="A1245" s="1" t="n">
        <v>1244</v>
      </c>
      <c r="B1245">
        <f>TEXT(1244, "[$-0E0000]yyyy-mm-dd")</f>
        <v/>
      </c>
      <c r="C1245" t="inlineStr">
        <is>
          <t>1903-05-03</t>
        </is>
      </c>
    </row>
    <row r="1246">
      <c r="A1246" s="1" t="n">
        <v>1245</v>
      </c>
      <c r="B1246">
        <f>TEXT(1245, "[$-0E0000]yyyy-mm-dd")</f>
        <v/>
      </c>
      <c r="C1246" t="inlineStr">
        <is>
          <t>1903-05-04</t>
        </is>
      </c>
    </row>
    <row r="1247">
      <c r="A1247" s="1" t="n">
        <v>1246</v>
      </c>
      <c r="B1247">
        <f>TEXT(1246, "[$-0E0000]yyyy-mm-dd")</f>
        <v/>
      </c>
      <c r="C1247" t="inlineStr">
        <is>
          <t>1903-05-05</t>
        </is>
      </c>
    </row>
    <row r="1248">
      <c r="A1248" s="1" t="n">
        <v>1247</v>
      </c>
      <c r="B1248">
        <f>TEXT(1247, "[$-0E0000]yyyy-mm-dd")</f>
        <v/>
      </c>
      <c r="C1248" t="inlineStr">
        <is>
          <t>1903-05-06</t>
        </is>
      </c>
    </row>
    <row r="1249">
      <c r="A1249" s="1" t="n">
        <v>1248</v>
      </c>
      <c r="B1249">
        <f>TEXT(1248, "[$-0E0000]yyyy-mm-dd")</f>
        <v/>
      </c>
      <c r="C1249" t="inlineStr">
        <is>
          <t>1903-05-07</t>
        </is>
      </c>
    </row>
    <row r="1250">
      <c r="A1250" s="1" t="n">
        <v>1249</v>
      </c>
      <c r="B1250">
        <f>TEXT(1249, "[$-0E0000]yyyy-mm-dd")</f>
        <v/>
      </c>
      <c r="C1250" t="inlineStr">
        <is>
          <t>1903-05-08</t>
        </is>
      </c>
    </row>
    <row r="1251">
      <c r="A1251" s="1" t="n">
        <v>1250</v>
      </c>
      <c r="B1251">
        <f>TEXT(1250, "[$-0E0000]yyyy-mm-dd")</f>
        <v/>
      </c>
      <c r="C1251" t="inlineStr">
        <is>
          <t>1903-05-09</t>
        </is>
      </c>
    </row>
    <row r="1252">
      <c r="A1252" s="1" t="n">
        <v>1251</v>
      </c>
      <c r="B1252">
        <f>TEXT(1251, "[$-0E0000]yyyy-mm-dd")</f>
        <v/>
      </c>
      <c r="C1252" t="inlineStr">
        <is>
          <t>1903-05-10</t>
        </is>
      </c>
    </row>
    <row r="1253">
      <c r="A1253" s="1" t="n">
        <v>1252</v>
      </c>
      <c r="B1253">
        <f>TEXT(1252, "[$-0E0000]yyyy-mm-dd")</f>
        <v/>
      </c>
      <c r="C1253" t="inlineStr">
        <is>
          <t>1903-05-11</t>
        </is>
      </c>
    </row>
    <row r="1254">
      <c r="A1254" s="1" t="n">
        <v>1253</v>
      </c>
      <c r="B1254">
        <f>TEXT(1253, "[$-0E0000]yyyy-mm-dd")</f>
        <v/>
      </c>
      <c r="C1254" t="inlineStr">
        <is>
          <t>1903-05-12</t>
        </is>
      </c>
    </row>
    <row r="1255">
      <c r="A1255" s="1" t="n">
        <v>1254</v>
      </c>
      <c r="B1255">
        <f>TEXT(1254, "[$-0E0000]yyyy-mm-dd")</f>
        <v/>
      </c>
      <c r="C1255" t="inlineStr">
        <is>
          <t>1903-05-13</t>
        </is>
      </c>
    </row>
    <row r="1256">
      <c r="A1256" s="1" t="n">
        <v>1255</v>
      </c>
      <c r="B1256">
        <f>TEXT(1255, "[$-0E0000]yyyy-mm-dd")</f>
        <v/>
      </c>
      <c r="C1256" t="inlineStr">
        <is>
          <t>1903-05-14</t>
        </is>
      </c>
    </row>
    <row r="1257">
      <c r="A1257" s="1" t="n">
        <v>1256</v>
      </c>
      <c r="B1257">
        <f>TEXT(1256, "[$-0E0000]yyyy-mm-dd")</f>
        <v/>
      </c>
      <c r="C1257" t="inlineStr">
        <is>
          <t>1903-05-15</t>
        </is>
      </c>
    </row>
    <row r="1258">
      <c r="A1258" s="1" t="n">
        <v>1257</v>
      </c>
      <c r="B1258">
        <f>TEXT(1257, "[$-0E0000]yyyy-mm-dd")</f>
        <v/>
      </c>
      <c r="C1258" t="inlineStr">
        <is>
          <t>1903-05-16</t>
        </is>
      </c>
    </row>
    <row r="1259">
      <c r="A1259" s="1" t="n">
        <v>1258</v>
      </c>
      <c r="B1259">
        <f>TEXT(1258, "[$-0E0000]yyyy-mm-dd")</f>
        <v/>
      </c>
      <c r="C1259" t="inlineStr">
        <is>
          <t>1903-05-17</t>
        </is>
      </c>
    </row>
    <row r="1260">
      <c r="A1260" s="1" t="n">
        <v>1259</v>
      </c>
      <c r="B1260">
        <f>TEXT(1259, "[$-0E0000]yyyy-mm-dd")</f>
        <v/>
      </c>
      <c r="C1260" t="inlineStr">
        <is>
          <t>1903-05-18</t>
        </is>
      </c>
    </row>
    <row r="1261">
      <c r="A1261" s="1" t="n">
        <v>1260</v>
      </c>
      <c r="B1261">
        <f>TEXT(1260, "[$-0E0000]yyyy-mm-dd")</f>
        <v/>
      </c>
      <c r="C1261" t="inlineStr">
        <is>
          <t>1903-05-19</t>
        </is>
      </c>
    </row>
    <row r="1262">
      <c r="A1262" s="1" t="n">
        <v>1261</v>
      </c>
      <c r="B1262">
        <f>TEXT(1261, "[$-0E0000]yyyy-mm-dd")</f>
        <v/>
      </c>
      <c r="C1262" t="inlineStr">
        <is>
          <t>1903-05-20</t>
        </is>
      </c>
    </row>
    <row r="1263">
      <c r="A1263" s="1" t="n">
        <v>1262</v>
      </c>
      <c r="B1263">
        <f>TEXT(1262, "[$-0E0000]yyyy-mm-dd")</f>
        <v/>
      </c>
      <c r="C1263" t="inlineStr">
        <is>
          <t>1903-05-21</t>
        </is>
      </c>
    </row>
    <row r="1264">
      <c r="A1264" s="1" t="n">
        <v>1263</v>
      </c>
      <c r="B1264">
        <f>TEXT(1263, "[$-0E0000]yyyy-mm-dd")</f>
        <v/>
      </c>
      <c r="C1264" t="inlineStr">
        <is>
          <t>1903-05-22</t>
        </is>
      </c>
    </row>
    <row r="1265">
      <c r="A1265" s="1" t="n">
        <v>1264</v>
      </c>
      <c r="B1265">
        <f>TEXT(1264, "[$-0E0000]yyyy-mm-dd")</f>
        <v/>
      </c>
      <c r="C1265" t="inlineStr">
        <is>
          <t>1903-05-23</t>
        </is>
      </c>
    </row>
    <row r="1266">
      <c r="A1266" s="1" t="n">
        <v>1265</v>
      </c>
      <c r="B1266">
        <f>TEXT(1265, "[$-0E0000]yyyy-mm-dd")</f>
        <v/>
      </c>
      <c r="C1266" t="inlineStr">
        <is>
          <t>1903-05-24</t>
        </is>
      </c>
    </row>
    <row r="1267">
      <c r="A1267" s="1" t="n">
        <v>1266</v>
      </c>
      <c r="B1267">
        <f>TEXT(1266, "[$-0E0000]yyyy-mm-dd")</f>
        <v/>
      </c>
      <c r="C1267" t="inlineStr">
        <is>
          <t>1903-05-25</t>
        </is>
      </c>
    </row>
    <row r="1268">
      <c r="A1268" s="1" t="n">
        <v>1267</v>
      </c>
      <c r="B1268">
        <f>TEXT(1267, "[$-0E0000]yyyy-mm-dd")</f>
        <v/>
      </c>
      <c r="C1268" t="inlineStr">
        <is>
          <t>1903-05-26</t>
        </is>
      </c>
    </row>
    <row r="1269">
      <c r="A1269" s="1" t="n">
        <v>1268</v>
      </c>
      <c r="B1269">
        <f>TEXT(1268, "[$-0E0000]yyyy-mm-dd")</f>
        <v/>
      </c>
      <c r="C1269" t="inlineStr">
        <is>
          <t>1903-05-27</t>
        </is>
      </c>
    </row>
    <row r="1270">
      <c r="A1270" s="1" t="n">
        <v>1269</v>
      </c>
      <c r="B1270">
        <f>TEXT(1269, "[$-0E0000]yyyy-mm-dd")</f>
        <v/>
      </c>
      <c r="C1270" t="inlineStr">
        <is>
          <t>1903-05-28</t>
        </is>
      </c>
    </row>
    <row r="1271">
      <c r="A1271" s="1" t="n">
        <v>1270</v>
      </c>
      <c r="B1271">
        <f>TEXT(1270, "[$-0E0000]yyyy-mm-dd")</f>
        <v/>
      </c>
      <c r="C1271" t="inlineStr">
        <is>
          <t>1903-05-29</t>
        </is>
      </c>
    </row>
    <row r="1272">
      <c r="A1272" s="1" t="n">
        <v>1271</v>
      </c>
      <c r="B1272">
        <f>TEXT(1271, "[$-0E0000]yyyy-mm-dd")</f>
        <v/>
      </c>
      <c r="C1272" t="inlineStr">
        <is>
          <t>1903-05-01</t>
        </is>
      </c>
    </row>
    <row r="1273">
      <c r="A1273" s="1" t="n">
        <v>1272</v>
      </c>
      <c r="B1273">
        <f>TEXT(1272, "[$-0E0000]yyyy-mm-dd")</f>
        <v/>
      </c>
      <c r="C1273" t="inlineStr">
        <is>
          <t>1903-05-02</t>
        </is>
      </c>
    </row>
    <row r="1274">
      <c r="A1274" s="1" t="n">
        <v>1273</v>
      </c>
      <c r="B1274">
        <f>TEXT(1273, "[$-0E0000]yyyy-mm-dd")</f>
        <v/>
      </c>
      <c r="C1274" t="inlineStr">
        <is>
          <t>1903-05-03</t>
        </is>
      </c>
    </row>
    <row r="1275">
      <c r="A1275" s="1" t="n">
        <v>1274</v>
      </c>
      <c r="B1275">
        <f>TEXT(1274, "[$-0E0000]yyyy-mm-dd")</f>
        <v/>
      </c>
      <c r="C1275" t="inlineStr">
        <is>
          <t>1903-05-04</t>
        </is>
      </c>
    </row>
    <row r="1276">
      <c r="A1276" s="1" t="n">
        <v>1275</v>
      </c>
      <c r="B1276">
        <f>TEXT(1275, "[$-0E0000]yyyy-mm-dd")</f>
        <v/>
      </c>
      <c r="C1276" t="inlineStr">
        <is>
          <t>1903-05-05</t>
        </is>
      </c>
    </row>
    <row r="1277">
      <c r="A1277" s="1" t="n">
        <v>1276</v>
      </c>
      <c r="B1277">
        <f>TEXT(1276, "[$-0E0000]yyyy-mm-dd")</f>
        <v/>
      </c>
      <c r="C1277" t="inlineStr">
        <is>
          <t>1903-05-06</t>
        </is>
      </c>
    </row>
    <row r="1278">
      <c r="A1278" s="1" t="n">
        <v>1277</v>
      </c>
      <c r="B1278">
        <f>TEXT(1277, "[$-0E0000]yyyy-mm-dd")</f>
        <v/>
      </c>
      <c r="C1278" t="inlineStr">
        <is>
          <t>1903-05-07</t>
        </is>
      </c>
    </row>
    <row r="1279">
      <c r="A1279" s="1" t="n">
        <v>1278</v>
      </c>
      <c r="B1279">
        <f>TEXT(1278, "[$-0E0000]yyyy-mm-dd")</f>
        <v/>
      </c>
      <c r="C1279" t="inlineStr">
        <is>
          <t>1903-05-08</t>
        </is>
      </c>
    </row>
    <row r="1280">
      <c r="A1280" s="1" t="n">
        <v>1279</v>
      </c>
      <c r="B1280">
        <f>TEXT(1279, "[$-0E0000]yyyy-mm-dd")</f>
        <v/>
      </c>
      <c r="C1280" t="inlineStr">
        <is>
          <t>1903-05-09</t>
        </is>
      </c>
    </row>
    <row r="1281">
      <c r="A1281" s="1" t="n">
        <v>1280</v>
      </c>
      <c r="B1281">
        <f>TEXT(1280, "[$-0E0000]yyyy-mm-dd")</f>
        <v/>
      </c>
      <c r="C1281" t="inlineStr">
        <is>
          <t>1903-05-10</t>
        </is>
      </c>
    </row>
    <row r="1282">
      <c r="A1282" s="1" t="n">
        <v>1281</v>
      </c>
      <c r="B1282">
        <f>TEXT(1281, "[$-0E0000]yyyy-mm-dd")</f>
        <v/>
      </c>
      <c r="C1282" t="inlineStr">
        <is>
          <t>1903-05-11</t>
        </is>
      </c>
    </row>
    <row r="1283">
      <c r="A1283" s="1" t="n">
        <v>1282</v>
      </c>
      <c r="B1283">
        <f>TEXT(1282, "[$-0E0000]yyyy-mm-dd")</f>
        <v/>
      </c>
      <c r="C1283" t="inlineStr">
        <is>
          <t>1903-05-12</t>
        </is>
      </c>
    </row>
    <row r="1284">
      <c r="A1284" s="1" t="n">
        <v>1283</v>
      </c>
      <c r="B1284">
        <f>TEXT(1283, "[$-0E0000]yyyy-mm-dd")</f>
        <v/>
      </c>
      <c r="C1284" t="inlineStr">
        <is>
          <t>1903-05-13</t>
        </is>
      </c>
    </row>
    <row r="1285">
      <c r="A1285" s="1" t="n">
        <v>1284</v>
      </c>
      <c r="B1285">
        <f>TEXT(1284, "[$-0E0000]yyyy-mm-dd")</f>
        <v/>
      </c>
      <c r="C1285" t="inlineStr">
        <is>
          <t>1903-05-14</t>
        </is>
      </c>
    </row>
    <row r="1286">
      <c r="A1286" s="1" t="n">
        <v>1285</v>
      </c>
      <c r="B1286">
        <f>TEXT(1285, "[$-0E0000]yyyy-mm-dd")</f>
        <v/>
      </c>
      <c r="C1286" t="inlineStr">
        <is>
          <t>1903-05-15</t>
        </is>
      </c>
    </row>
    <row r="1287">
      <c r="A1287" s="1" t="n">
        <v>1286</v>
      </c>
      <c r="B1287">
        <f>TEXT(1286, "[$-0E0000]yyyy-mm-dd")</f>
        <v/>
      </c>
      <c r="C1287" t="inlineStr">
        <is>
          <t>1903-05-16</t>
        </is>
      </c>
    </row>
    <row r="1288">
      <c r="A1288" s="1" t="n">
        <v>1287</v>
      </c>
      <c r="B1288">
        <f>TEXT(1287, "[$-0E0000]yyyy-mm-dd")</f>
        <v/>
      </c>
      <c r="C1288" t="inlineStr">
        <is>
          <t>1903-05-17</t>
        </is>
      </c>
    </row>
    <row r="1289">
      <c r="A1289" s="1" t="n">
        <v>1288</v>
      </c>
      <c r="B1289">
        <f>TEXT(1288, "[$-0E0000]yyyy-mm-dd")</f>
        <v/>
      </c>
      <c r="C1289" t="inlineStr">
        <is>
          <t>1903-05-18</t>
        </is>
      </c>
    </row>
    <row r="1290">
      <c r="A1290" s="1" t="n">
        <v>1289</v>
      </c>
      <c r="B1290">
        <f>TEXT(1289, "[$-0E0000]yyyy-mm-dd")</f>
        <v/>
      </c>
      <c r="C1290" t="inlineStr">
        <is>
          <t>1903-05-19</t>
        </is>
      </c>
    </row>
    <row r="1291">
      <c r="A1291" s="1" t="n">
        <v>1290</v>
      </c>
      <c r="B1291">
        <f>TEXT(1290, "[$-0E0000]yyyy-mm-dd")</f>
        <v/>
      </c>
      <c r="C1291" t="inlineStr">
        <is>
          <t>1903-05-20</t>
        </is>
      </c>
    </row>
    <row r="1292">
      <c r="A1292" s="1" t="n">
        <v>1291</v>
      </c>
      <c r="B1292">
        <f>TEXT(1291, "[$-0E0000]yyyy-mm-dd")</f>
        <v/>
      </c>
      <c r="C1292" t="inlineStr">
        <is>
          <t>1903-05-21</t>
        </is>
      </c>
    </row>
    <row r="1293">
      <c r="A1293" s="1" t="n">
        <v>1292</v>
      </c>
      <c r="B1293">
        <f>TEXT(1292, "[$-0E0000]yyyy-mm-dd")</f>
        <v/>
      </c>
      <c r="C1293" t="inlineStr">
        <is>
          <t>1903-05-22</t>
        </is>
      </c>
    </row>
    <row r="1294">
      <c r="A1294" s="1" t="n">
        <v>1293</v>
      </c>
      <c r="B1294">
        <f>TEXT(1293, "[$-0E0000]yyyy-mm-dd")</f>
        <v/>
      </c>
      <c r="C1294" t="inlineStr">
        <is>
          <t>1903-05-23</t>
        </is>
      </c>
    </row>
    <row r="1295">
      <c r="A1295" s="1" t="n">
        <v>1294</v>
      </c>
      <c r="B1295">
        <f>TEXT(1294, "[$-0E0000]yyyy-mm-dd")</f>
        <v/>
      </c>
      <c r="C1295" t="inlineStr">
        <is>
          <t>1903-05-24</t>
        </is>
      </c>
    </row>
    <row r="1296">
      <c r="A1296" s="1" t="n">
        <v>1295</v>
      </c>
      <c r="B1296">
        <f>TEXT(1295, "[$-0E0000]yyyy-mm-dd")</f>
        <v/>
      </c>
      <c r="C1296" t="inlineStr">
        <is>
          <t>1903-05-25</t>
        </is>
      </c>
    </row>
    <row r="1297">
      <c r="A1297" s="1" t="n">
        <v>1296</v>
      </c>
      <c r="B1297">
        <f>TEXT(1296, "[$-0E0000]yyyy-mm-dd")</f>
        <v/>
      </c>
      <c r="C1297" t="inlineStr">
        <is>
          <t>1903-05-26</t>
        </is>
      </c>
    </row>
    <row r="1298">
      <c r="A1298" s="1" t="n">
        <v>1297</v>
      </c>
      <c r="B1298">
        <f>TEXT(1297, "[$-0E0000]yyyy-mm-dd")</f>
        <v/>
      </c>
      <c r="C1298" t="inlineStr">
        <is>
          <t>1903-05-27</t>
        </is>
      </c>
    </row>
    <row r="1299">
      <c r="A1299" s="1" t="n">
        <v>1298</v>
      </c>
      <c r="B1299">
        <f>TEXT(1298, "[$-0E0000]yyyy-mm-dd")</f>
        <v/>
      </c>
      <c r="C1299" t="inlineStr">
        <is>
          <t>1903-05-28</t>
        </is>
      </c>
    </row>
    <row r="1300">
      <c r="A1300" s="1" t="n">
        <v>1299</v>
      </c>
      <c r="B1300">
        <f>TEXT(1299, "[$-0E0000]yyyy-mm-dd")</f>
        <v/>
      </c>
      <c r="C1300" t="inlineStr">
        <is>
          <t>1903-05-29</t>
        </is>
      </c>
    </row>
    <row r="1301">
      <c r="A1301" s="1" t="n">
        <v>1300</v>
      </c>
      <c r="B1301">
        <f>TEXT(1300, "[$-0E0000]yyyy-mm-dd")</f>
        <v/>
      </c>
      <c r="C1301" t="inlineStr">
        <is>
          <t>1903-06-01</t>
        </is>
      </c>
    </row>
    <row r="1302">
      <c r="A1302" s="1" t="n">
        <v>1301</v>
      </c>
      <c r="B1302">
        <f>TEXT(1301, "[$-0E0000]yyyy-mm-dd")</f>
        <v/>
      </c>
      <c r="C1302" t="inlineStr">
        <is>
          <t>1903-06-02</t>
        </is>
      </c>
    </row>
    <row r="1303">
      <c r="A1303" s="1" t="n">
        <v>1302</v>
      </c>
      <c r="B1303">
        <f>TEXT(1302, "[$-0E0000]yyyy-mm-dd")</f>
        <v/>
      </c>
      <c r="C1303" t="inlineStr">
        <is>
          <t>1903-06-03</t>
        </is>
      </c>
    </row>
    <row r="1304">
      <c r="A1304" s="1" t="n">
        <v>1303</v>
      </c>
      <c r="B1304">
        <f>TEXT(1303, "[$-0E0000]yyyy-mm-dd")</f>
        <v/>
      </c>
      <c r="C1304" t="inlineStr">
        <is>
          <t>1903-06-04</t>
        </is>
      </c>
    </row>
    <row r="1305">
      <c r="A1305" s="1" t="n">
        <v>1304</v>
      </c>
      <c r="B1305">
        <f>TEXT(1304, "[$-0E0000]yyyy-mm-dd")</f>
        <v/>
      </c>
      <c r="C1305" t="inlineStr">
        <is>
          <t>1903-06-05</t>
        </is>
      </c>
    </row>
    <row r="1306">
      <c r="A1306" s="1" t="n">
        <v>1305</v>
      </c>
      <c r="B1306">
        <f>TEXT(1305, "[$-0E0000]yyyy-mm-dd")</f>
        <v/>
      </c>
      <c r="C1306" t="inlineStr">
        <is>
          <t>1903-06-06</t>
        </is>
      </c>
    </row>
    <row r="1307">
      <c r="A1307" s="1" t="n">
        <v>1306</v>
      </c>
      <c r="B1307">
        <f>TEXT(1306, "[$-0E0000]yyyy-mm-dd")</f>
        <v/>
      </c>
      <c r="C1307" t="inlineStr">
        <is>
          <t>1903-06-07</t>
        </is>
      </c>
    </row>
    <row r="1308">
      <c r="A1308" s="1" t="n">
        <v>1307</v>
      </c>
      <c r="B1308">
        <f>TEXT(1307, "[$-0E0000]yyyy-mm-dd")</f>
        <v/>
      </c>
      <c r="C1308" t="inlineStr">
        <is>
          <t>1903-06-08</t>
        </is>
      </c>
    </row>
    <row r="1309">
      <c r="A1309" s="1" t="n">
        <v>1308</v>
      </c>
      <c r="B1309">
        <f>TEXT(1308, "[$-0E0000]yyyy-mm-dd")</f>
        <v/>
      </c>
      <c r="C1309" t="inlineStr">
        <is>
          <t>1903-06-09</t>
        </is>
      </c>
    </row>
    <row r="1310">
      <c r="A1310" s="1" t="n">
        <v>1309</v>
      </c>
      <c r="B1310">
        <f>TEXT(1309, "[$-0E0000]yyyy-mm-dd")</f>
        <v/>
      </c>
      <c r="C1310" t="inlineStr">
        <is>
          <t>1903-06-10</t>
        </is>
      </c>
    </row>
    <row r="1311">
      <c r="A1311" s="1" t="n">
        <v>1310</v>
      </c>
      <c r="B1311">
        <f>TEXT(1310, "[$-0E0000]yyyy-mm-dd")</f>
        <v/>
      </c>
      <c r="C1311" t="inlineStr">
        <is>
          <t>1903-06-11</t>
        </is>
      </c>
    </row>
    <row r="1312">
      <c r="A1312" s="1" t="n">
        <v>1311</v>
      </c>
      <c r="B1312">
        <f>TEXT(1311, "[$-0E0000]yyyy-mm-dd")</f>
        <v/>
      </c>
      <c r="C1312" t="inlineStr">
        <is>
          <t>1903-06-12</t>
        </is>
      </c>
    </row>
    <row r="1313">
      <c r="A1313" s="1" t="n">
        <v>1312</v>
      </c>
      <c r="B1313">
        <f>TEXT(1312, "[$-0E0000]yyyy-mm-dd")</f>
        <v/>
      </c>
      <c r="C1313" t="inlineStr">
        <is>
          <t>1903-06-13</t>
        </is>
      </c>
    </row>
    <row r="1314">
      <c r="A1314" s="1" t="n">
        <v>1313</v>
      </c>
      <c r="B1314">
        <f>TEXT(1313, "[$-0E0000]yyyy-mm-dd")</f>
        <v/>
      </c>
      <c r="C1314" t="inlineStr">
        <is>
          <t>1903-06-14</t>
        </is>
      </c>
    </row>
    <row r="1315">
      <c r="A1315" s="1" t="n">
        <v>1314</v>
      </c>
      <c r="B1315">
        <f>TEXT(1314, "[$-0E0000]yyyy-mm-dd")</f>
        <v/>
      </c>
      <c r="C1315" t="inlineStr">
        <is>
          <t>1903-06-15</t>
        </is>
      </c>
    </row>
    <row r="1316">
      <c r="A1316" s="1" t="n">
        <v>1315</v>
      </c>
      <c r="B1316">
        <f>TEXT(1315, "[$-0E0000]yyyy-mm-dd")</f>
        <v/>
      </c>
      <c r="C1316" t="inlineStr">
        <is>
          <t>1903-06-16</t>
        </is>
      </c>
    </row>
    <row r="1317">
      <c r="A1317" s="1" t="n">
        <v>1316</v>
      </c>
      <c r="B1317">
        <f>TEXT(1316, "[$-0E0000]yyyy-mm-dd")</f>
        <v/>
      </c>
      <c r="C1317" t="inlineStr">
        <is>
          <t>1903-06-17</t>
        </is>
      </c>
    </row>
    <row r="1318">
      <c r="A1318" s="1" t="n">
        <v>1317</v>
      </c>
      <c r="B1318">
        <f>TEXT(1317, "[$-0E0000]yyyy-mm-dd")</f>
        <v/>
      </c>
      <c r="C1318" t="inlineStr">
        <is>
          <t>1903-06-18</t>
        </is>
      </c>
    </row>
    <row r="1319">
      <c r="A1319" s="1" t="n">
        <v>1318</v>
      </c>
      <c r="B1319">
        <f>TEXT(1318, "[$-0E0000]yyyy-mm-dd")</f>
        <v/>
      </c>
      <c r="C1319" t="inlineStr">
        <is>
          <t>1903-06-19</t>
        </is>
      </c>
    </row>
    <row r="1320">
      <c r="A1320" s="1" t="n">
        <v>1319</v>
      </c>
      <c r="B1320">
        <f>TEXT(1319, "[$-0E0000]yyyy-mm-dd")</f>
        <v/>
      </c>
      <c r="C1320" t="inlineStr">
        <is>
          <t>1903-06-20</t>
        </is>
      </c>
    </row>
    <row r="1321">
      <c r="A1321" s="1" t="n">
        <v>1320</v>
      </c>
      <c r="B1321">
        <f>TEXT(1320, "[$-0E0000]yyyy-mm-dd")</f>
        <v/>
      </c>
      <c r="C1321" t="inlineStr">
        <is>
          <t>1903-06-21</t>
        </is>
      </c>
    </row>
    <row r="1322">
      <c r="A1322" s="1" t="n">
        <v>1321</v>
      </c>
      <c r="B1322">
        <f>TEXT(1321, "[$-0E0000]yyyy-mm-dd")</f>
        <v/>
      </c>
      <c r="C1322" t="inlineStr">
        <is>
          <t>1903-06-22</t>
        </is>
      </c>
    </row>
    <row r="1323">
      <c r="A1323" s="1" t="n">
        <v>1322</v>
      </c>
      <c r="B1323">
        <f>TEXT(1322, "[$-0E0000]yyyy-mm-dd")</f>
        <v/>
      </c>
      <c r="C1323" t="inlineStr">
        <is>
          <t>1903-06-23</t>
        </is>
      </c>
    </row>
    <row r="1324">
      <c r="A1324" s="1" t="n">
        <v>1323</v>
      </c>
      <c r="B1324">
        <f>TEXT(1323, "[$-0E0000]yyyy-mm-dd")</f>
        <v/>
      </c>
      <c r="C1324" t="inlineStr">
        <is>
          <t>1903-06-24</t>
        </is>
      </c>
    </row>
    <row r="1325">
      <c r="A1325" s="1" t="n">
        <v>1324</v>
      </c>
      <c r="B1325">
        <f>TEXT(1324, "[$-0E0000]yyyy-mm-dd")</f>
        <v/>
      </c>
      <c r="C1325" t="inlineStr">
        <is>
          <t>1903-06-25</t>
        </is>
      </c>
    </row>
    <row r="1326">
      <c r="A1326" s="1" t="n">
        <v>1325</v>
      </c>
      <c r="B1326">
        <f>TEXT(1325, "[$-0E0000]yyyy-mm-dd")</f>
        <v/>
      </c>
      <c r="C1326" t="inlineStr">
        <is>
          <t>1903-06-26</t>
        </is>
      </c>
    </row>
    <row r="1327">
      <c r="A1327" s="1" t="n">
        <v>1326</v>
      </c>
      <c r="B1327">
        <f>TEXT(1326, "[$-0E0000]yyyy-mm-dd")</f>
        <v/>
      </c>
      <c r="C1327" t="inlineStr">
        <is>
          <t>1903-06-27</t>
        </is>
      </c>
    </row>
    <row r="1328">
      <c r="A1328" s="1" t="n">
        <v>1327</v>
      </c>
      <c r="B1328">
        <f>TEXT(1327, "[$-0E0000]yyyy-mm-dd")</f>
        <v/>
      </c>
      <c r="C1328" t="inlineStr">
        <is>
          <t>1903-06-28</t>
        </is>
      </c>
    </row>
    <row r="1329">
      <c r="A1329" s="1" t="n">
        <v>1328</v>
      </c>
      <c r="B1329">
        <f>TEXT(1328, "[$-0E0000]yyyy-mm-dd")</f>
        <v/>
      </c>
      <c r="C1329" t="inlineStr">
        <is>
          <t>1903-06-29</t>
        </is>
      </c>
    </row>
    <row r="1330">
      <c r="A1330" s="1" t="n">
        <v>1329</v>
      </c>
      <c r="B1330">
        <f>TEXT(1329, "[$-0E0000]yyyy-mm-dd")</f>
        <v/>
      </c>
      <c r="C1330" t="inlineStr">
        <is>
          <t>1903-06-30</t>
        </is>
      </c>
    </row>
    <row r="1331">
      <c r="A1331" s="1" t="n">
        <v>1330</v>
      </c>
      <c r="B1331">
        <f>TEXT(1330, "[$-0E0000]yyyy-mm-dd")</f>
        <v/>
      </c>
      <c r="C1331" t="inlineStr">
        <is>
          <t>1903-07-01</t>
        </is>
      </c>
    </row>
    <row r="1332">
      <c r="A1332" s="1" t="n">
        <v>1331</v>
      </c>
      <c r="B1332">
        <f>TEXT(1331, "[$-0E0000]yyyy-mm-dd")</f>
        <v/>
      </c>
      <c r="C1332" t="inlineStr">
        <is>
          <t>1903-07-02</t>
        </is>
      </c>
    </row>
    <row r="1333">
      <c r="A1333" s="1" t="n">
        <v>1332</v>
      </c>
      <c r="B1333">
        <f>TEXT(1332, "[$-0E0000]yyyy-mm-dd")</f>
        <v/>
      </c>
      <c r="C1333" t="inlineStr">
        <is>
          <t>1903-07-03</t>
        </is>
      </c>
    </row>
    <row r="1334">
      <c r="A1334" s="1" t="n">
        <v>1333</v>
      </c>
      <c r="B1334">
        <f>TEXT(1333, "[$-0E0000]yyyy-mm-dd")</f>
        <v/>
      </c>
      <c r="C1334" t="inlineStr">
        <is>
          <t>1903-07-04</t>
        </is>
      </c>
    </row>
    <row r="1335">
      <c r="A1335" s="1" t="n">
        <v>1334</v>
      </c>
      <c r="B1335">
        <f>TEXT(1334, "[$-0E0000]yyyy-mm-dd")</f>
        <v/>
      </c>
      <c r="C1335" t="inlineStr">
        <is>
          <t>1903-07-05</t>
        </is>
      </c>
    </row>
    <row r="1336">
      <c r="A1336" s="1" t="n">
        <v>1335</v>
      </c>
      <c r="B1336">
        <f>TEXT(1335, "[$-0E0000]yyyy-mm-dd")</f>
        <v/>
      </c>
      <c r="C1336" t="inlineStr">
        <is>
          <t>1903-07-06</t>
        </is>
      </c>
    </row>
    <row r="1337">
      <c r="A1337" s="1" t="n">
        <v>1336</v>
      </c>
      <c r="B1337">
        <f>TEXT(1336, "[$-0E0000]yyyy-mm-dd")</f>
        <v/>
      </c>
      <c r="C1337" t="inlineStr">
        <is>
          <t>1903-07-07</t>
        </is>
      </c>
    </row>
    <row r="1338">
      <c r="A1338" s="1" t="n">
        <v>1337</v>
      </c>
      <c r="B1338">
        <f>TEXT(1337, "[$-0E0000]yyyy-mm-dd")</f>
        <v/>
      </c>
      <c r="C1338" t="inlineStr">
        <is>
          <t>1903-07-08</t>
        </is>
      </c>
    </row>
    <row r="1339">
      <c r="A1339" s="1" t="n">
        <v>1338</v>
      </c>
      <c r="B1339">
        <f>TEXT(1338, "[$-0E0000]yyyy-mm-dd")</f>
        <v/>
      </c>
      <c r="C1339" t="inlineStr">
        <is>
          <t>1903-07-09</t>
        </is>
      </c>
    </row>
    <row r="1340">
      <c r="A1340" s="1" t="n">
        <v>1339</v>
      </c>
      <c r="B1340">
        <f>TEXT(1339, "[$-0E0000]yyyy-mm-dd")</f>
        <v/>
      </c>
      <c r="C1340" t="inlineStr">
        <is>
          <t>1903-07-10</t>
        </is>
      </c>
    </row>
    <row r="1341">
      <c r="A1341" s="1" t="n">
        <v>1340</v>
      </c>
      <c r="B1341">
        <f>TEXT(1340, "[$-0E0000]yyyy-mm-dd")</f>
        <v/>
      </c>
      <c r="C1341" t="inlineStr">
        <is>
          <t>1903-07-11</t>
        </is>
      </c>
    </row>
    <row r="1342">
      <c r="A1342" s="1" t="n">
        <v>1341</v>
      </c>
      <c r="B1342">
        <f>TEXT(1341, "[$-0E0000]yyyy-mm-dd")</f>
        <v/>
      </c>
      <c r="C1342" t="inlineStr">
        <is>
          <t>1903-07-12</t>
        </is>
      </c>
    </row>
    <row r="1343">
      <c r="A1343" s="1" t="n">
        <v>1342</v>
      </c>
      <c r="B1343">
        <f>TEXT(1342, "[$-0E0000]yyyy-mm-dd")</f>
        <v/>
      </c>
      <c r="C1343" t="inlineStr">
        <is>
          <t>1903-07-13</t>
        </is>
      </c>
    </row>
    <row r="1344">
      <c r="A1344" s="1" t="n">
        <v>1343</v>
      </c>
      <c r="B1344">
        <f>TEXT(1343, "[$-0E0000]yyyy-mm-dd")</f>
        <v/>
      </c>
      <c r="C1344" t="inlineStr">
        <is>
          <t>1903-07-14</t>
        </is>
      </c>
    </row>
    <row r="1345">
      <c r="A1345" s="1" t="n">
        <v>1344</v>
      </c>
      <c r="B1345">
        <f>TEXT(1344, "[$-0E0000]yyyy-mm-dd")</f>
        <v/>
      </c>
      <c r="C1345" t="inlineStr">
        <is>
          <t>1903-07-15</t>
        </is>
      </c>
    </row>
    <row r="1346">
      <c r="A1346" s="1" t="n">
        <v>1345</v>
      </c>
      <c r="B1346">
        <f>TEXT(1345, "[$-0E0000]yyyy-mm-dd")</f>
        <v/>
      </c>
      <c r="C1346" t="inlineStr">
        <is>
          <t>1903-07-16</t>
        </is>
      </c>
    </row>
    <row r="1347">
      <c r="A1347" s="1" t="n">
        <v>1346</v>
      </c>
      <c r="B1347">
        <f>TEXT(1346, "[$-0E0000]yyyy-mm-dd")</f>
        <v/>
      </c>
      <c r="C1347" t="inlineStr">
        <is>
          <t>1903-07-17</t>
        </is>
      </c>
    </row>
    <row r="1348">
      <c r="A1348" s="1" t="n">
        <v>1347</v>
      </c>
      <c r="B1348">
        <f>TEXT(1347, "[$-0E0000]yyyy-mm-dd")</f>
        <v/>
      </c>
      <c r="C1348" t="inlineStr">
        <is>
          <t>1903-07-18</t>
        </is>
      </c>
    </row>
    <row r="1349">
      <c r="A1349" s="1" t="n">
        <v>1348</v>
      </c>
      <c r="B1349">
        <f>TEXT(1348, "[$-0E0000]yyyy-mm-dd")</f>
        <v/>
      </c>
      <c r="C1349" t="inlineStr">
        <is>
          <t>1903-07-19</t>
        </is>
      </c>
    </row>
    <row r="1350">
      <c r="A1350" s="1" t="n">
        <v>1349</v>
      </c>
      <c r="B1350">
        <f>TEXT(1349, "[$-0E0000]yyyy-mm-dd")</f>
        <v/>
      </c>
      <c r="C1350" t="inlineStr">
        <is>
          <t>1903-07-20</t>
        </is>
      </c>
    </row>
    <row r="1351">
      <c r="A1351" s="1" t="n">
        <v>1350</v>
      </c>
      <c r="B1351">
        <f>TEXT(1350, "[$-0E0000]yyyy-mm-dd")</f>
        <v/>
      </c>
      <c r="C1351" t="inlineStr">
        <is>
          <t>1903-07-21</t>
        </is>
      </c>
    </row>
    <row r="1352">
      <c r="A1352" s="1" t="n">
        <v>1351</v>
      </c>
      <c r="B1352">
        <f>TEXT(1351, "[$-0E0000]yyyy-mm-dd")</f>
        <v/>
      </c>
      <c r="C1352" t="inlineStr">
        <is>
          <t>1903-07-22</t>
        </is>
      </c>
    </row>
    <row r="1353">
      <c r="A1353" s="1" t="n">
        <v>1352</v>
      </c>
      <c r="B1353">
        <f>TEXT(1352, "[$-0E0000]yyyy-mm-dd")</f>
        <v/>
      </c>
      <c r="C1353" t="inlineStr">
        <is>
          <t>1903-07-23</t>
        </is>
      </c>
    </row>
    <row r="1354">
      <c r="A1354" s="1" t="n">
        <v>1353</v>
      </c>
      <c r="B1354">
        <f>TEXT(1353, "[$-0E0000]yyyy-mm-dd")</f>
        <v/>
      </c>
      <c r="C1354" t="inlineStr">
        <is>
          <t>1903-07-24</t>
        </is>
      </c>
    </row>
    <row r="1355">
      <c r="A1355" s="1" t="n">
        <v>1354</v>
      </c>
      <c r="B1355">
        <f>TEXT(1354, "[$-0E0000]yyyy-mm-dd")</f>
        <v/>
      </c>
      <c r="C1355" t="inlineStr">
        <is>
          <t>1903-07-25</t>
        </is>
      </c>
    </row>
    <row r="1356">
      <c r="A1356" s="1" t="n">
        <v>1355</v>
      </c>
      <c r="B1356">
        <f>TEXT(1355, "[$-0E0000]yyyy-mm-dd")</f>
        <v/>
      </c>
      <c r="C1356" t="inlineStr">
        <is>
          <t>1903-07-26</t>
        </is>
      </c>
    </row>
    <row r="1357">
      <c r="A1357" s="1" t="n">
        <v>1356</v>
      </c>
      <c r="B1357">
        <f>TEXT(1356, "[$-0E0000]yyyy-mm-dd")</f>
        <v/>
      </c>
      <c r="C1357" t="inlineStr">
        <is>
          <t>1903-07-27</t>
        </is>
      </c>
    </row>
    <row r="1358">
      <c r="A1358" s="1" t="n">
        <v>1357</v>
      </c>
      <c r="B1358">
        <f>TEXT(1357, "[$-0E0000]yyyy-mm-dd")</f>
        <v/>
      </c>
      <c r="C1358" t="inlineStr">
        <is>
          <t>1903-07-28</t>
        </is>
      </c>
    </row>
    <row r="1359">
      <c r="A1359" s="1" t="n">
        <v>1358</v>
      </c>
      <c r="B1359">
        <f>TEXT(1358, "[$-0E0000]yyyy-mm-dd")</f>
        <v/>
      </c>
      <c r="C1359" t="inlineStr">
        <is>
          <t>1903-07-29</t>
        </is>
      </c>
    </row>
    <row r="1360">
      <c r="A1360" s="1" t="n">
        <v>1359</v>
      </c>
      <c r="B1360">
        <f>TEXT(1359, "[$-0E0000]yyyy-mm-dd")</f>
        <v/>
      </c>
      <c r="C1360" t="inlineStr">
        <is>
          <t>1903-08-01</t>
        </is>
      </c>
    </row>
    <row r="1361">
      <c r="A1361" s="1" t="n">
        <v>1360</v>
      </c>
      <c r="B1361">
        <f>TEXT(1360, "[$-0E0000]yyyy-mm-dd")</f>
        <v/>
      </c>
      <c r="C1361" t="inlineStr">
        <is>
          <t>1903-08-02</t>
        </is>
      </c>
    </row>
    <row r="1362">
      <c r="A1362" s="1" t="n">
        <v>1361</v>
      </c>
      <c r="B1362">
        <f>TEXT(1361, "[$-0E0000]yyyy-mm-dd")</f>
        <v/>
      </c>
      <c r="C1362" t="inlineStr">
        <is>
          <t>1903-08-03</t>
        </is>
      </c>
    </row>
    <row r="1363">
      <c r="A1363" s="1" t="n">
        <v>1362</v>
      </c>
      <c r="B1363">
        <f>TEXT(1362, "[$-0E0000]yyyy-mm-dd")</f>
        <v/>
      </c>
      <c r="C1363" t="inlineStr">
        <is>
          <t>1903-08-04</t>
        </is>
      </c>
    </row>
    <row r="1364">
      <c r="A1364" s="1" t="n">
        <v>1363</v>
      </c>
      <c r="B1364">
        <f>TEXT(1363, "[$-0E0000]yyyy-mm-dd")</f>
        <v/>
      </c>
      <c r="C1364" t="inlineStr">
        <is>
          <t>1903-08-05</t>
        </is>
      </c>
    </row>
    <row r="1365">
      <c r="A1365" s="1" t="n">
        <v>1364</v>
      </c>
      <c r="B1365">
        <f>TEXT(1364, "[$-0E0000]yyyy-mm-dd")</f>
        <v/>
      </c>
      <c r="C1365" t="inlineStr">
        <is>
          <t>1903-08-06</t>
        </is>
      </c>
    </row>
    <row r="1366">
      <c r="A1366" s="1" t="n">
        <v>1365</v>
      </c>
      <c r="B1366">
        <f>TEXT(1365, "[$-0E0000]yyyy-mm-dd")</f>
        <v/>
      </c>
      <c r="C1366" t="inlineStr">
        <is>
          <t>1903-08-07</t>
        </is>
      </c>
    </row>
    <row r="1367">
      <c r="A1367" s="1" t="n">
        <v>1366</v>
      </c>
      <c r="B1367">
        <f>TEXT(1366, "[$-0E0000]yyyy-mm-dd")</f>
        <v/>
      </c>
      <c r="C1367" t="inlineStr">
        <is>
          <t>1903-08-08</t>
        </is>
      </c>
    </row>
    <row r="1368">
      <c r="A1368" s="1" t="n">
        <v>1367</v>
      </c>
      <c r="B1368">
        <f>TEXT(1367, "[$-0E0000]yyyy-mm-dd")</f>
        <v/>
      </c>
      <c r="C1368" t="inlineStr">
        <is>
          <t>1903-08-09</t>
        </is>
      </c>
    </row>
    <row r="1369">
      <c r="A1369" s="1" t="n">
        <v>1368</v>
      </c>
      <c r="B1369">
        <f>TEXT(1368, "[$-0E0000]yyyy-mm-dd")</f>
        <v/>
      </c>
      <c r="C1369" t="inlineStr">
        <is>
          <t>1903-08-10</t>
        </is>
      </c>
    </row>
    <row r="1370">
      <c r="A1370" s="1" t="n">
        <v>1369</v>
      </c>
      <c r="B1370">
        <f>TEXT(1369, "[$-0E0000]yyyy-mm-dd")</f>
        <v/>
      </c>
      <c r="C1370" t="inlineStr">
        <is>
          <t>1903-08-11</t>
        </is>
      </c>
    </row>
    <row r="1371">
      <c r="A1371" s="1" t="n">
        <v>1370</v>
      </c>
      <c r="B1371">
        <f>TEXT(1370, "[$-0E0000]yyyy-mm-dd")</f>
        <v/>
      </c>
      <c r="C1371" t="inlineStr">
        <is>
          <t>1903-08-12</t>
        </is>
      </c>
    </row>
    <row r="1372">
      <c r="A1372" s="1" t="n">
        <v>1371</v>
      </c>
      <c r="B1372">
        <f>TEXT(1371, "[$-0E0000]yyyy-mm-dd")</f>
        <v/>
      </c>
      <c r="C1372" t="inlineStr">
        <is>
          <t>1903-08-13</t>
        </is>
      </c>
    </row>
    <row r="1373">
      <c r="A1373" s="1" t="n">
        <v>1372</v>
      </c>
      <c r="B1373">
        <f>TEXT(1372, "[$-0E0000]yyyy-mm-dd")</f>
        <v/>
      </c>
      <c r="C1373" t="inlineStr">
        <is>
          <t>1903-08-14</t>
        </is>
      </c>
    </row>
    <row r="1374">
      <c r="A1374" s="1" t="n">
        <v>1373</v>
      </c>
      <c r="B1374">
        <f>TEXT(1373, "[$-0E0000]yyyy-mm-dd")</f>
        <v/>
      </c>
      <c r="C1374" t="inlineStr">
        <is>
          <t>1903-08-15</t>
        </is>
      </c>
    </row>
    <row r="1375">
      <c r="A1375" s="1" t="n">
        <v>1374</v>
      </c>
      <c r="B1375">
        <f>TEXT(1374, "[$-0E0000]yyyy-mm-dd")</f>
        <v/>
      </c>
      <c r="C1375" t="inlineStr">
        <is>
          <t>1903-08-16</t>
        </is>
      </c>
    </row>
    <row r="1376">
      <c r="A1376" s="1" t="n">
        <v>1375</v>
      </c>
      <c r="B1376">
        <f>TEXT(1375, "[$-0E0000]yyyy-mm-dd")</f>
        <v/>
      </c>
      <c r="C1376" t="inlineStr">
        <is>
          <t>1903-08-17</t>
        </is>
      </c>
    </row>
    <row r="1377">
      <c r="A1377" s="1" t="n">
        <v>1376</v>
      </c>
      <c r="B1377">
        <f>TEXT(1376, "[$-0E0000]yyyy-mm-dd")</f>
        <v/>
      </c>
      <c r="C1377" t="inlineStr">
        <is>
          <t>1903-08-18</t>
        </is>
      </c>
    </row>
    <row r="1378">
      <c r="A1378" s="1" t="n">
        <v>1377</v>
      </c>
      <c r="B1378">
        <f>TEXT(1377, "[$-0E0000]yyyy-mm-dd")</f>
        <v/>
      </c>
      <c r="C1378" t="inlineStr">
        <is>
          <t>1903-08-19</t>
        </is>
      </c>
    </row>
    <row r="1379">
      <c r="A1379" s="1" t="n">
        <v>1378</v>
      </c>
      <c r="B1379">
        <f>TEXT(1378, "[$-0E0000]yyyy-mm-dd")</f>
        <v/>
      </c>
      <c r="C1379" t="inlineStr">
        <is>
          <t>1903-08-20</t>
        </is>
      </c>
    </row>
    <row r="1380">
      <c r="A1380" s="1" t="n">
        <v>1379</v>
      </c>
      <c r="B1380">
        <f>TEXT(1379, "[$-0E0000]yyyy-mm-dd")</f>
        <v/>
      </c>
      <c r="C1380" t="inlineStr">
        <is>
          <t>1903-08-21</t>
        </is>
      </c>
    </row>
    <row r="1381">
      <c r="A1381" s="1" t="n">
        <v>1380</v>
      </c>
      <c r="B1381">
        <f>TEXT(1380, "[$-0E0000]yyyy-mm-dd")</f>
        <v/>
      </c>
      <c r="C1381" t="inlineStr">
        <is>
          <t>1903-08-22</t>
        </is>
      </c>
    </row>
    <row r="1382">
      <c r="A1382" s="1" t="n">
        <v>1381</v>
      </c>
      <c r="B1382">
        <f>TEXT(1381, "[$-0E0000]yyyy-mm-dd")</f>
        <v/>
      </c>
      <c r="C1382" t="inlineStr">
        <is>
          <t>1903-08-23</t>
        </is>
      </c>
    </row>
    <row r="1383">
      <c r="A1383" s="1" t="n">
        <v>1382</v>
      </c>
      <c r="B1383">
        <f>TEXT(1382, "[$-0E0000]yyyy-mm-dd")</f>
        <v/>
      </c>
      <c r="C1383" t="inlineStr">
        <is>
          <t>1903-08-24</t>
        </is>
      </c>
    </row>
    <row r="1384">
      <c r="A1384" s="1" t="n">
        <v>1383</v>
      </c>
      <c r="B1384">
        <f>TEXT(1383, "[$-0E0000]yyyy-mm-dd")</f>
        <v/>
      </c>
      <c r="C1384" t="inlineStr">
        <is>
          <t>1903-08-25</t>
        </is>
      </c>
    </row>
    <row r="1385">
      <c r="A1385" s="1" t="n">
        <v>1384</v>
      </c>
      <c r="B1385">
        <f>TEXT(1384, "[$-0E0000]yyyy-mm-dd")</f>
        <v/>
      </c>
      <c r="C1385" t="inlineStr">
        <is>
          <t>1903-08-26</t>
        </is>
      </c>
    </row>
    <row r="1386">
      <c r="A1386" s="1" t="n">
        <v>1385</v>
      </c>
      <c r="B1386">
        <f>TEXT(1385, "[$-0E0000]yyyy-mm-dd")</f>
        <v/>
      </c>
      <c r="C1386" t="inlineStr">
        <is>
          <t>1903-08-27</t>
        </is>
      </c>
    </row>
    <row r="1387">
      <c r="A1387" s="1" t="n">
        <v>1386</v>
      </c>
      <c r="B1387">
        <f>TEXT(1386, "[$-0E0000]yyyy-mm-dd")</f>
        <v/>
      </c>
      <c r="C1387" t="inlineStr">
        <is>
          <t>1903-08-28</t>
        </is>
      </c>
    </row>
    <row r="1388">
      <c r="A1388" s="1" t="n">
        <v>1387</v>
      </c>
      <c r="B1388">
        <f>TEXT(1387, "[$-0E0000]yyyy-mm-dd")</f>
        <v/>
      </c>
      <c r="C1388" t="inlineStr">
        <is>
          <t>1903-08-29</t>
        </is>
      </c>
    </row>
    <row r="1389">
      <c r="A1389" s="1" t="n">
        <v>1388</v>
      </c>
      <c r="B1389">
        <f>TEXT(1388, "[$-0E0000]yyyy-mm-dd")</f>
        <v/>
      </c>
      <c r="C1389" t="inlineStr">
        <is>
          <t>1903-09-01</t>
        </is>
      </c>
    </row>
    <row r="1390">
      <c r="A1390" s="1" t="n">
        <v>1389</v>
      </c>
      <c r="B1390">
        <f>TEXT(1389, "[$-0E0000]yyyy-mm-dd")</f>
        <v/>
      </c>
      <c r="C1390" t="inlineStr">
        <is>
          <t>1903-09-02</t>
        </is>
      </c>
    </row>
    <row r="1391">
      <c r="A1391" s="1" t="n">
        <v>1390</v>
      </c>
      <c r="B1391">
        <f>TEXT(1390, "[$-0E0000]yyyy-mm-dd")</f>
        <v/>
      </c>
      <c r="C1391" t="inlineStr">
        <is>
          <t>1903-09-03</t>
        </is>
      </c>
    </row>
    <row r="1392">
      <c r="A1392" s="1" t="n">
        <v>1391</v>
      </c>
      <c r="B1392">
        <f>TEXT(1391, "[$-0E0000]yyyy-mm-dd")</f>
        <v/>
      </c>
      <c r="C1392" t="inlineStr">
        <is>
          <t>1903-09-04</t>
        </is>
      </c>
    </row>
    <row r="1393">
      <c r="A1393" s="1" t="n">
        <v>1392</v>
      </c>
      <c r="B1393">
        <f>TEXT(1392, "[$-0E0000]yyyy-mm-dd")</f>
        <v/>
      </c>
      <c r="C1393" t="inlineStr">
        <is>
          <t>1903-09-05</t>
        </is>
      </c>
    </row>
    <row r="1394">
      <c r="A1394" s="1" t="n">
        <v>1393</v>
      </c>
      <c r="B1394">
        <f>TEXT(1393, "[$-0E0000]yyyy-mm-dd")</f>
        <v/>
      </c>
      <c r="C1394" t="inlineStr">
        <is>
          <t>1903-09-06</t>
        </is>
      </c>
    </row>
    <row r="1395">
      <c r="A1395" s="1" t="n">
        <v>1394</v>
      </c>
      <c r="B1395">
        <f>TEXT(1394, "[$-0E0000]yyyy-mm-dd")</f>
        <v/>
      </c>
      <c r="C1395" t="inlineStr">
        <is>
          <t>1903-09-07</t>
        </is>
      </c>
    </row>
    <row r="1396">
      <c r="A1396" s="1" t="n">
        <v>1395</v>
      </c>
      <c r="B1396">
        <f>TEXT(1395, "[$-0E0000]yyyy-mm-dd")</f>
        <v/>
      </c>
      <c r="C1396" t="inlineStr">
        <is>
          <t>1903-09-08</t>
        </is>
      </c>
    </row>
    <row r="1397">
      <c r="A1397" s="1" t="n">
        <v>1396</v>
      </c>
      <c r="B1397">
        <f>TEXT(1396, "[$-0E0000]yyyy-mm-dd")</f>
        <v/>
      </c>
      <c r="C1397" t="inlineStr">
        <is>
          <t>1903-09-09</t>
        </is>
      </c>
    </row>
    <row r="1398">
      <c r="A1398" s="1" t="n">
        <v>1397</v>
      </c>
      <c r="B1398">
        <f>TEXT(1397, "[$-0E0000]yyyy-mm-dd")</f>
        <v/>
      </c>
      <c r="C1398" t="inlineStr">
        <is>
          <t>1903-09-10</t>
        </is>
      </c>
    </row>
    <row r="1399">
      <c r="A1399" s="1" t="n">
        <v>1398</v>
      </c>
      <c r="B1399">
        <f>TEXT(1398, "[$-0E0000]yyyy-mm-dd")</f>
        <v/>
      </c>
      <c r="C1399" t="inlineStr">
        <is>
          <t>1903-09-11</t>
        </is>
      </c>
    </row>
    <row r="1400">
      <c r="A1400" s="1" t="n">
        <v>1399</v>
      </c>
      <c r="B1400">
        <f>TEXT(1399, "[$-0E0000]yyyy-mm-dd")</f>
        <v/>
      </c>
      <c r="C1400" t="inlineStr">
        <is>
          <t>1903-09-12</t>
        </is>
      </c>
    </row>
    <row r="1401">
      <c r="A1401" s="1" t="n">
        <v>1400</v>
      </c>
      <c r="B1401">
        <f>TEXT(1400, "[$-0E0000]yyyy-mm-dd")</f>
        <v/>
      </c>
      <c r="C1401" t="inlineStr">
        <is>
          <t>1903-09-13</t>
        </is>
      </c>
    </row>
    <row r="1402">
      <c r="A1402" s="1" t="n">
        <v>1401</v>
      </c>
      <c r="B1402">
        <f>TEXT(1401, "[$-0E0000]yyyy-mm-dd")</f>
        <v/>
      </c>
      <c r="C1402" t="inlineStr">
        <is>
          <t>1903-09-14</t>
        </is>
      </c>
    </row>
    <row r="1403">
      <c r="A1403" s="1" t="n">
        <v>1402</v>
      </c>
      <c r="B1403">
        <f>TEXT(1402, "[$-0E0000]yyyy-mm-dd")</f>
        <v/>
      </c>
      <c r="C1403" t="inlineStr">
        <is>
          <t>1903-09-15</t>
        </is>
      </c>
    </row>
    <row r="1404">
      <c r="A1404" s="1" t="n">
        <v>1403</v>
      </c>
      <c r="B1404">
        <f>TEXT(1403, "[$-0E0000]yyyy-mm-dd")</f>
        <v/>
      </c>
      <c r="C1404" t="inlineStr">
        <is>
          <t>1903-09-16</t>
        </is>
      </c>
    </row>
    <row r="1405">
      <c r="A1405" s="1" t="n">
        <v>1404</v>
      </c>
      <c r="B1405">
        <f>TEXT(1404, "[$-0E0000]yyyy-mm-dd")</f>
        <v/>
      </c>
      <c r="C1405" t="inlineStr">
        <is>
          <t>1903-09-17</t>
        </is>
      </c>
    </row>
    <row r="1406">
      <c r="A1406" s="1" t="n">
        <v>1405</v>
      </c>
      <c r="B1406">
        <f>TEXT(1405, "[$-0E0000]yyyy-mm-dd")</f>
        <v/>
      </c>
      <c r="C1406" t="inlineStr">
        <is>
          <t>1903-09-18</t>
        </is>
      </c>
    </row>
    <row r="1407">
      <c r="A1407" s="1" t="n">
        <v>1406</v>
      </c>
      <c r="B1407">
        <f>TEXT(1406, "[$-0E0000]yyyy-mm-dd")</f>
        <v/>
      </c>
      <c r="C1407" t="inlineStr">
        <is>
          <t>1903-09-19</t>
        </is>
      </c>
    </row>
    <row r="1408">
      <c r="A1408" s="1" t="n">
        <v>1407</v>
      </c>
      <c r="B1408">
        <f>TEXT(1407, "[$-0E0000]yyyy-mm-dd")</f>
        <v/>
      </c>
      <c r="C1408" t="inlineStr">
        <is>
          <t>1903-09-20</t>
        </is>
      </c>
    </row>
    <row r="1409">
      <c r="A1409" s="1" t="n">
        <v>1408</v>
      </c>
      <c r="B1409">
        <f>TEXT(1408, "[$-0E0000]yyyy-mm-dd")</f>
        <v/>
      </c>
      <c r="C1409" t="inlineStr">
        <is>
          <t>1903-09-21</t>
        </is>
      </c>
    </row>
    <row r="1410">
      <c r="A1410" s="1" t="n">
        <v>1409</v>
      </c>
      <c r="B1410">
        <f>TEXT(1409, "[$-0E0000]yyyy-mm-dd")</f>
        <v/>
      </c>
      <c r="C1410" t="inlineStr">
        <is>
          <t>1903-09-22</t>
        </is>
      </c>
    </row>
    <row r="1411">
      <c r="A1411" s="1" t="n">
        <v>1410</v>
      </c>
      <c r="B1411">
        <f>TEXT(1410, "[$-0E0000]yyyy-mm-dd")</f>
        <v/>
      </c>
      <c r="C1411" t="inlineStr">
        <is>
          <t>1903-09-23</t>
        </is>
      </c>
    </row>
    <row r="1412">
      <c r="A1412" s="1" t="n">
        <v>1411</v>
      </c>
      <c r="B1412">
        <f>TEXT(1411, "[$-0E0000]yyyy-mm-dd")</f>
        <v/>
      </c>
      <c r="C1412" t="inlineStr">
        <is>
          <t>1903-09-24</t>
        </is>
      </c>
    </row>
    <row r="1413">
      <c r="A1413" s="1" t="n">
        <v>1412</v>
      </c>
      <c r="B1413">
        <f>TEXT(1412, "[$-0E0000]yyyy-mm-dd")</f>
        <v/>
      </c>
      <c r="C1413" t="inlineStr">
        <is>
          <t>1903-09-25</t>
        </is>
      </c>
    </row>
    <row r="1414">
      <c r="A1414" s="1" t="n">
        <v>1413</v>
      </c>
      <c r="B1414">
        <f>TEXT(1413, "[$-0E0000]yyyy-mm-dd")</f>
        <v/>
      </c>
      <c r="C1414" t="inlineStr">
        <is>
          <t>1903-09-26</t>
        </is>
      </c>
    </row>
    <row r="1415">
      <c r="A1415" s="1" t="n">
        <v>1414</v>
      </c>
      <c r="B1415">
        <f>TEXT(1414, "[$-0E0000]yyyy-mm-dd")</f>
        <v/>
      </c>
      <c r="C1415" t="inlineStr">
        <is>
          <t>1903-09-27</t>
        </is>
      </c>
    </row>
    <row r="1416">
      <c r="A1416" s="1" t="n">
        <v>1415</v>
      </c>
      <c r="B1416">
        <f>TEXT(1415, "[$-0E0000]yyyy-mm-dd")</f>
        <v/>
      </c>
      <c r="C1416" t="inlineStr">
        <is>
          <t>1903-09-28</t>
        </is>
      </c>
    </row>
    <row r="1417">
      <c r="A1417" s="1" t="n">
        <v>1416</v>
      </c>
      <c r="B1417">
        <f>TEXT(1416, "[$-0E0000]yyyy-mm-dd")</f>
        <v/>
      </c>
      <c r="C1417" t="inlineStr">
        <is>
          <t>1903-09-29</t>
        </is>
      </c>
    </row>
    <row r="1418">
      <c r="A1418" s="1" t="n">
        <v>1417</v>
      </c>
      <c r="B1418">
        <f>TEXT(1417, "[$-0E0000]yyyy-mm-dd")</f>
        <v/>
      </c>
      <c r="C1418" t="inlineStr">
        <is>
          <t>1903-09-30</t>
        </is>
      </c>
    </row>
    <row r="1419">
      <c r="A1419" s="1" t="n">
        <v>1418</v>
      </c>
      <c r="B1419">
        <f>TEXT(1418, "[$-0E0000]yyyy-mm-dd")</f>
        <v/>
      </c>
      <c r="C1419" t="inlineStr">
        <is>
          <t>1903-10-01</t>
        </is>
      </c>
    </row>
    <row r="1420">
      <c r="A1420" s="1" t="n">
        <v>1419</v>
      </c>
      <c r="B1420">
        <f>TEXT(1419, "[$-0E0000]yyyy-mm-dd")</f>
        <v/>
      </c>
      <c r="C1420" t="inlineStr">
        <is>
          <t>1903-10-02</t>
        </is>
      </c>
    </row>
    <row r="1421">
      <c r="A1421" s="1" t="n">
        <v>1420</v>
      </c>
      <c r="B1421">
        <f>TEXT(1420, "[$-0E0000]yyyy-mm-dd")</f>
        <v/>
      </c>
      <c r="C1421" t="inlineStr">
        <is>
          <t>1903-10-03</t>
        </is>
      </c>
    </row>
    <row r="1422">
      <c r="A1422" s="1" t="n">
        <v>1421</v>
      </c>
      <c r="B1422">
        <f>TEXT(1421, "[$-0E0000]yyyy-mm-dd")</f>
        <v/>
      </c>
      <c r="C1422" t="inlineStr">
        <is>
          <t>1903-10-04</t>
        </is>
      </c>
    </row>
    <row r="1423">
      <c r="A1423" s="1" t="n">
        <v>1422</v>
      </c>
      <c r="B1423">
        <f>TEXT(1422, "[$-0E0000]yyyy-mm-dd")</f>
        <v/>
      </c>
      <c r="C1423" t="inlineStr">
        <is>
          <t>1903-10-05</t>
        </is>
      </c>
    </row>
    <row r="1424">
      <c r="A1424" s="1" t="n">
        <v>1423</v>
      </c>
      <c r="B1424">
        <f>TEXT(1423, "[$-0E0000]yyyy-mm-dd")</f>
        <v/>
      </c>
      <c r="C1424" t="inlineStr">
        <is>
          <t>1903-10-06</t>
        </is>
      </c>
    </row>
    <row r="1425">
      <c r="A1425" s="1" t="n">
        <v>1424</v>
      </c>
      <c r="B1425">
        <f>TEXT(1424, "[$-0E0000]yyyy-mm-dd")</f>
        <v/>
      </c>
      <c r="C1425" t="inlineStr">
        <is>
          <t>1903-10-07</t>
        </is>
      </c>
    </row>
    <row r="1426">
      <c r="A1426" s="1" t="n">
        <v>1425</v>
      </c>
      <c r="B1426">
        <f>TEXT(1425, "[$-0E0000]yyyy-mm-dd")</f>
        <v/>
      </c>
      <c r="C1426" t="inlineStr">
        <is>
          <t>1903-10-08</t>
        </is>
      </c>
    </row>
    <row r="1427">
      <c r="A1427" s="1" t="n">
        <v>1426</v>
      </c>
      <c r="B1427">
        <f>TEXT(1426, "[$-0E0000]yyyy-mm-dd")</f>
        <v/>
      </c>
      <c r="C1427" t="inlineStr">
        <is>
          <t>1903-10-09</t>
        </is>
      </c>
    </row>
    <row r="1428">
      <c r="A1428" s="1" t="n">
        <v>1427</v>
      </c>
      <c r="B1428">
        <f>TEXT(1427, "[$-0E0000]yyyy-mm-dd")</f>
        <v/>
      </c>
      <c r="C1428" t="inlineStr">
        <is>
          <t>1903-10-10</t>
        </is>
      </c>
    </row>
    <row r="1429">
      <c r="A1429" s="1" t="n">
        <v>1428</v>
      </c>
      <c r="B1429">
        <f>TEXT(1428, "[$-0E0000]yyyy-mm-dd")</f>
        <v/>
      </c>
      <c r="C1429" t="inlineStr">
        <is>
          <t>1903-10-11</t>
        </is>
      </c>
    </row>
    <row r="1430">
      <c r="A1430" s="1" t="n">
        <v>1429</v>
      </c>
      <c r="B1430">
        <f>TEXT(1429, "[$-0E0000]yyyy-mm-dd")</f>
        <v/>
      </c>
      <c r="C1430" t="inlineStr">
        <is>
          <t>1903-10-12</t>
        </is>
      </c>
    </row>
    <row r="1431">
      <c r="A1431" s="1" t="n">
        <v>1430</v>
      </c>
      <c r="B1431">
        <f>TEXT(1430, "[$-0E0000]yyyy-mm-dd")</f>
        <v/>
      </c>
      <c r="C1431" t="inlineStr">
        <is>
          <t>1903-10-13</t>
        </is>
      </c>
    </row>
    <row r="1432">
      <c r="A1432" s="1" t="n">
        <v>1431</v>
      </c>
      <c r="B1432">
        <f>TEXT(1431, "[$-0E0000]yyyy-mm-dd")</f>
        <v/>
      </c>
      <c r="C1432" t="inlineStr">
        <is>
          <t>1903-10-14</t>
        </is>
      </c>
    </row>
    <row r="1433">
      <c r="A1433" s="1" t="n">
        <v>1432</v>
      </c>
      <c r="B1433">
        <f>TEXT(1432, "[$-0E0000]yyyy-mm-dd")</f>
        <v/>
      </c>
      <c r="C1433" t="inlineStr">
        <is>
          <t>1903-10-15</t>
        </is>
      </c>
    </row>
    <row r="1434">
      <c r="A1434" s="1" t="n">
        <v>1433</v>
      </c>
      <c r="B1434">
        <f>TEXT(1433, "[$-0E0000]yyyy-mm-dd")</f>
        <v/>
      </c>
      <c r="C1434" t="inlineStr">
        <is>
          <t>1903-10-16</t>
        </is>
      </c>
    </row>
    <row r="1435">
      <c r="A1435" s="1" t="n">
        <v>1434</v>
      </c>
      <c r="B1435">
        <f>TEXT(1434, "[$-0E0000]yyyy-mm-dd")</f>
        <v/>
      </c>
      <c r="C1435" t="inlineStr">
        <is>
          <t>1903-10-17</t>
        </is>
      </c>
    </row>
    <row r="1436">
      <c r="A1436" s="1" t="n">
        <v>1435</v>
      </c>
      <c r="B1436">
        <f>TEXT(1435, "[$-0E0000]yyyy-mm-dd")</f>
        <v/>
      </c>
      <c r="C1436" t="inlineStr">
        <is>
          <t>1903-10-18</t>
        </is>
      </c>
    </row>
    <row r="1437">
      <c r="A1437" s="1" t="n">
        <v>1436</v>
      </c>
      <c r="B1437">
        <f>TEXT(1436, "[$-0E0000]yyyy-mm-dd")</f>
        <v/>
      </c>
      <c r="C1437" t="inlineStr">
        <is>
          <t>1903-10-19</t>
        </is>
      </c>
    </row>
    <row r="1438">
      <c r="A1438" s="1" t="n">
        <v>1437</v>
      </c>
      <c r="B1438">
        <f>TEXT(1437, "[$-0E0000]yyyy-mm-dd")</f>
        <v/>
      </c>
      <c r="C1438" t="inlineStr">
        <is>
          <t>1903-10-20</t>
        </is>
      </c>
    </row>
    <row r="1439">
      <c r="A1439" s="1" t="n">
        <v>1438</v>
      </c>
      <c r="B1439">
        <f>TEXT(1438, "[$-0E0000]yyyy-mm-dd")</f>
        <v/>
      </c>
      <c r="C1439" t="inlineStr">
        <is>
          <t>1903-10-21</t>
        </is>
      </c>
    </row>
    <row r="1440">
      <c r="A1440" s="1" t="n">
        <v>1439</v>
      </c>
      <c r="B1440">
        <f>TEXT(1439, "[$-0E0000]yyyy-mm-dd")</f>
        <v/>
      </c>
      <c r="C1440" t="inlineStr">
        <is>
          <t>1903-10-22</t>
        </is>
      </c>
    </row>
    <row r="1441">
      <c r="A1441" s="1" t="n">
        <v>1440</v>
      </c>
      <c r="B1441">
        <f>TEXT(1440, "[$-0E0000]yyyy-mm-dd")</f>
        <v/>
      </c>
      <c r="C1441" t="inlineStr">
        <is>
          <t>1903-10-23</t>
        </is>
      </c>
    </row>
    <row r="1442">
      <c r="A1442" s="1" t="n">
        <v>1441</v>
      </c>
      <c r="B1442">
        <f>TEXT(1441, "[$-0E0000]yyyy-mm-dd")</f>
        <v/>
      </c>
      <c r="C1442" t="inlineStr">
        <is>
          <t>1903-10-24</t>
        </is>
      </c>
    </row>
    <row r="1443">
      <c r="A1443" s="1" t="n">
        <v>1442</v>
      </c>
      <c r="B1443">
        <f>TEXT(1442, "[$-0E0000]yyyy-mm-dd")</f>
        <v/>
      </c>
      <c r="C1443" t="inlineStr">
        <is>
          <t>1903-10-25</t>
        </is>
      </c>
    </row>
    <row r="1444">
      <c r="A1444" s="1" t="n">
        <v>1443</v>
      </c>
      <c r="B1444">
        <f>TEXT(1443, "[$-0E0000]yyyy-mm-dd")</f>
        <v/>
      </c>
      <c r="C1444" t="inlineStr">
        <is>
          <t>1903-10-26</t>
        </is>
      </c>
    </row>
    <row r="1445">
      <c r="A1445" s="1" t="n">
        <v>1444</v>
      </c>
      <c r="B1445">
        <f>TEXT(1444, "[$-0E0000]yyyy-mm-dd")</f>
        <v/>
      </c>
      <c r="C1445" t="inlineStr">
        <is>
          <t>1903-10-27</t>
        </is>
      </c>
    </row>
    <row r="1446">
      <c r="A1446" s="1" t="n">
        <v>1445</v>
      </c>
      <c r="B1446">
        <f>TEXT(1445, "[$-0E0000]yyyy-mm-dd")</f>
        <v/>
      </c>
      <c r="C1446" t="inlineStr">
        <is>
          <t>1903-10-28</t>
        </is>
      </c>
    </row>
    <row r="1447">
      <c r="A1447" s="1" t="n">
        <v>1446</v>
      </c>
      <c r="B1447">
        <f>TEXT(1446, "[$-0E0000]yyyy-mm-dd")</f>
        <v/>
      </c>
      <c r="C1447" t="inlineStr">
        <is>
          <t>1903-10-29</t>
        </is>
      </c>
    </row>
    <row r="1448">
      <c r="A1448" s="1" t="n">
        <v>1447</v>
      </c>
      <c r="B1448">
        <f>TEXT(1447, "[$-0E0000]yyyy-mm-dd")</f>
        <v/>
      </c>
      <c r="C1448" t="inlineStr">
        <is>
          <t>1903-10-30</t>
        </is>
      </c>
    </row>
    <row r="1449">
      <c r="A1449" s="1" t="n">
        <v>1448</v>
      </c>
      <c r="B1449">
        <f>TEXT(1448, "[$-0E0000]yyyy-mm-dd")</f>
        <v/>
      </c>
      <c r="C1449" t="inlineStr">
        <is>
          <t>1903-11-01</t>
        </is>
      </c>
    </row>
    <row r="1450">
      <c r="A1450" s="1" t="n">
        <v>1449</v>
      </c>
      <c r="B1450">
        <f>TEXT(1449, "[$-0E0000]yyyy-mm-dd")</f>
        <v/>
      </c>
      <c r="C1450" t="inlineStr">
        <is>
          <t>1903-11-02</t>
        </is>
      </c>
    </row>
    <row r="1451">
      <c r="A1451" s="1" t="n">
        <v>1450</v>
      </c>
      <c r="B1451">
        <f>TEXT(1450, "[$-0E0000]yyyy-mm-dd")</f>
        <v/>
      </c>
      <c r="C1451" t="inlineStr">
        <is>
          <t>1903-11-03</t>
        </is>
      </c>
    </row>
    <row r="1452">
      <c r="A1452" s="1" t="n">
        <v>1451</v>
      </c>
      <c r="B1452">
        <f>TEXT(1451, "[$-0E0000]yyyy-mm-dd")</f>
        <v/>
      </c>
      <c r="C1452" t="inlineStr">
        <is>
          <t>1903-11-04</t>
        </is>
      </c>
    </row>
    <row r="1453">
      <c r="A1453" s="1" t="n">
        <v>1452</v>
      </c>
      <c r="B1453">
        <f>TEXT(1452, "[$-0E0000]yyyy-mm-dd")</f>
        <v/>
      </c>
      <c r="C1453" t="inlineStr">
        <is>
          <t>1903-11-05</t>
        </is>
      </c>
    </row>
    <row r="1454">
      <c r="A1454" s="1" t="n">
        <v>1453</v>
      </c>
      <c r="B1454">
        <f>TEXT(1453, "[$-0E0000]yyyy-mm-dd")</f>
        <v/>
      </c>
      <c r="C1454" t="inlineStr">
        <is>
          <t>1903-11-06</t>
        </is>
      </c>
    </row>
    <row r="1455">
      <c r="A1455" s="1" t="n">
        <v>1454</v>
      </c>
      <c r="B1455">
        <f>TEXT(1454, "[$-0E0000]yyyy-mm-dd")</f>
        <v/>
      </c>
      <c r="C1455" t="inlineStr">
        <is>
          <t>1903-11-07</t>
        </is>
      </c>
    </row>
    <row r="1456">
      <c r="A1456" s="1" t="n">
        <v>1455</v>
      </c>
      <c r="B1456">
        <f>TEXT(1455, "[$-0E0000]yyyy-mm-dd")</f>
        <v/>
      </c>
      <c r="C1456" t="inlineStr">
        <is>
          <t>1903-11-08</t>
        </is>
      </c>
    </row>
    <row r="1457">
      <c r="A1457" s="1" t="n">
        <v>1456</v>
      </c>
      <c r="B1457">
        <f>TEXT(1456, "[$-0E0000]yyyy-mm-dd")</f>
        <v/>
      </c>
      <c r="C1457" t="inlineStr">
        <is>
          <t>1903-11-09</t>
        </is>
      </c>
    </row>
    <row r="1458">
      <c r="A1458" s="1" t="n">
        <v>1457</v>
      </c>
      <c r="B1458">
        <f>TEXT(1457, "[$-0E0000]yyyy-mm-dd")</f>
        <v/>
      </c>
      <c r="C1458" t="inlineStr">
        <is>
          <t>1903-11-10</t>
        </is>
      </c>
    </row>
    <row r="1459">
      <c r="A1459" s="1" t="n">
        <v>1458</v>
      </c>
      <c r="B1459">
        <f>TEXT(1458, "[$-0E0000]yyyy-mm-dd")</f>
        <v/>
      </c>
      <c r="C1459" t="inlineStr">
        <is>
          <t>1903-11-11</t>
        </is>
      </c>
    </row>
    <row r="1460">
      <c r="A1460" s="1" t="n">
        <v>1459</v>
      </c>
      <c r="B1460">
        <f>TEXT(1459, "[$-0E0000]yyyy-mm-dd")</f>
        <v/>
      </c>
      <c r="C1460" t="inlineStr">
        <is>
          <t>1903-11-12</t>
        </is>
      </c>
    </row>
    <row r="1461">
      <c r="A1461" s="1" t="n">
        <v>1460</v>
      </c>
      <c r="B1461">
        <f>TEXT(1460, "[$-0E0000]yyyy-mm-dd")</f>
        <v/>
      </c>
      <c r="C1461" t="inlineStr">
        <is>
          <t>1903-11-13</t>
        </is>
      </c>
    </row>
    <row r="1462">
      <c r="A1462" s="1" t="n">
        <v>1461</v>
      </c>
      <c r="B1462">
        <f>TEXT(1461, "[$-0E0000]yyyy-mm-dd")</f>
        <v/>
      </c>
      <c r="C1462" t="inlineStr">
        <is>
          <t>1903-11-14</t>
        </is>
      </c>
    </row>
    <row r="1463">
      <c r="A1463" s="1" t="n">
        <v>1462</v>
      </c>
      <c r="B1463">
        <f>TEXT(1462, "[$-0E0000]yyyy-mm-dd")</f>
        <v/>
      </c>
      <c r="C1463" t="inlineStr">
        <is>
          <t>1903-11-15</t>
        </is>
      </c>
    </row>
    <row r="1464">
      <c r="A1464" s="1" t="n">
        <v>1463</v>
      </c>
      <c r="B1464">
        <f>TEXT(1463, "[$-0E0000]yyyy-mm-dd")</f>
        <v/>
      </c>
      <c r="C1464" t="inlineStr">
        <is>
          <t>1903-11-16</t>
        </is>
      </c>
    </row>
    <row r="1465">
      <c r="A1465" s="1" t="n">
        <v>1464</v>
      </c>
      <c r="B1465">
        <f>TEXT(1464, "[$-0E0000]yyyy-mm-dd")</f>
        <v/>
      </c>
      <c r="C1465" t="inlineStr">
        <is>
          <t>1903-11-17</t>
        </is>
      </c>
    </row>
    <row r="1466">
      <c r="A1466" s="1" t="n">
        <v>1465</v>
      </c>
      <c r="B1466">
        <f>TEXT(1465, "[$-0E0000]yyyy-mm-dd")</f>
        <v/>
      </c>
      <c r="C1466" t="inlineStr">
        <is>
          <t>1903-11-18</t>
        </is>
      </c>
    </row>
    <row r="1467">
      <c r="A1467" s="1" t="n">
        <v>1466</v>
      </c>
      <c r="B1467">
        <f>TEXT(1466, "[$-0E0000]yyyy-mm-dd")</f>
        <v/>
      </c>
      <c r="C1467" t="inlineStr">
        <is>
          <t>1903-11-19</t>
        </is>
      </c>
    </row>
    <row r="1468">
      <c r="A1468" s="1" t="n">
        <v>1467</v>
      </c>
      <c r="B1468">
        <f>TEXT(1467, "[$-0E0000]yyyy-mm-dd")</f>
        <v/>
      </c>
      <c r="C1468" t="inlineStr">
        <is>
          <t>1903-11-20</t>
        </is>
      </c>
    </row>
    <row r="1469">
      <c r="A1469" s="1" t="n">
        <v>1468</v>
      </c>
      <c r="B1469">
        <f>TEXT(1468, "[$-0E0000]yyyy-mm-dd")</f>
        <v/>
      </c>
      <c r="C1469" t="inlineStr">
        <is>
          <t>1903-11-21</t>
        </is>
      </c>
    </row>
    <row r="1470">
      <c r="A1470" s="1" t="n">
        <v>1469</v>
      </c>
      <c r="B1470">
        <f>TEXT(1469, "[$-0E0000]yyyy-mm-dd")</f>
        <v/>
      </c>
      <c r="C1470" t="inlineStr">
        <is>
          <t>1903-11-22</t>
        </is>
      </c>
    </row>
    <row r="1471">
      <c r="A1471" s="1" t="n">
        <v>1470</v>
      </c>
      <c r="B1471">
        <f>TEXT(1470, "[$-0E0000]yyyy-mm-dd")</f>
        <v/>
      </c>
      <c r="C1471" t="inlineStr">
        <is>
          <t>1903-11-23</t>
        </is>
      </c>
    </row>
    <row r="1472">
      <c r="A1472" s="1" t="n">
        <v>1471</v>
      </c>
      <c r="B1472">
        <f>TEXT(1471, "[$-0E0000]yyyy-mm-dd")</f>
        <v/>
      </c>
      <c r="C1472" t="inlineStr">
        <is>
          <t>1903-11-24</t>
        </is>
      </c>
    </row>
    <row r="1473">
      <c r="A1473" s="1" t="n">
        <v>1472</v>
      </c>
      <c r="B1473">
        <f>TEXT(1472, "[$-0E0000]yyyy-mm-dd")</f>
        <v/>
      </c>
      <c r="C1473" t="inlineStr">
        <is>
          <t>1903-11-25</t>
        </is>
      </c>
    </row>
    <row r="1474">
      <c r="A1474" s="1" t="n">
        <v>1473</v>
      </c>
      <c r="B1474">
        <f>TEXT(1473, "[$-0E0000]yyyy-mm-dd")</f>
        <v/>
      </c>
      <c r="C1474" t="inlineStr">
        <is>
          <t>1903-11-26</t>
        </is>
      </c>
    </row>
    <row r="1475">
      <c r="A1475" s="1" t="n">
        <v>1474</v>
      </c>
      <c r="B1475">
        <f>TEXT(1474, "[$-0E0000]yyyy-mm-dd")</f>
        <v/>
      </c>
      <c r="C1475" t="inlineStr">
        <is>
          <t>1903-11-27</t>
        </is>
      </c>
    </row>
    <row r="1476">
      <c r="A1476" s="1" t="n">
        <v>1475</v>
      </c>
      <c r="B1476">
        <f>TEXT(1475, "[$-0E0000]yyyy-mm-dd")</f>
        <v/>
      </c>
      <c r="C1476" t="inlineStr">
        <is>
          <t>1903-11-28</t>
        </is>
      </c>
    </row>
    <row r="1477">
      <c r="A1477" s="1" t="n">
        <v>1476</v>
      </c>
      <c r="B1477">
        <f>TEXT(1476, "[$-0E0000]yyyy-mm-dd")</f>
        <v/>
      </c>
      <c r="C1477" t="inlineStr">
        <is>
          <t>1903-11-29</t>
        </is>
      </c>
    </row>
    <row r="1478">
      <c r="A1478" s="1" t="n">
        <v>1477</v>
      </c>
      <c r="B1478">
        <f>TEXT(1477, "[$-0E0000]yyyy-mm-dd")</f>
        <v/>
      </c>
      <c r="C1478" t="inlineStr">
        <is>
          <t>1903-12-01</t>
        </is>
      </c>
    </row>
    <row r="1479">
      <c r="A1479" s="1" t="n">
        <v>1478</v>
      </c>
      <c r="B1479">
        <f>TEXT(1478, "[$-0E0000]yyyy-mm-dd")</f>
        <v/>
      </c>
      <c r="C1479" t="inlineStr">
        <is>
          <t>1903-12-02</t>
        </is>
      </c>
    </row>
    <row r="1480">
      <c r="A1480" s="1" t="n">
        <v>1479</v>
      </c>
      <c r="B1480">
        <f>TEXT(1479, "[$-0E0000]yyyy-mm-dd")</f>
        <v/>
      </c>
      <c r="C1480" t="inlineStr">
        <is>
          <t>1903-12-03</t>
        </is>
      </c>
    </row>
    <row r="1481">
      <c r="A1481" s="1" t="n">
        <v>1480</v>
      </c>
      <c r="B1481">
        <f>TEXT(1480, "[$-0E0000]yyyy-mm-dd")</f>
        <v/>
      </c>
      <c r="C1481" t="inlineStr">
        <is>
          <t>1903-12-04</t>
        </is>
      </c>
    </row>
    <row r="1482">
      <c r="A1482" s="1" t="n">
        <v>1481</v>
      </c>
      <c r="B1482">
        <f>TEXT(1481, "[$-0E0000]yyyy-mm-dd")</f>
        <v/>
      </c>
      <c r="C1482" t="inlineStr">
        <is>
          <t>1903-12-05</t>
        </is>
      </c>
    </row>
    <row r="1483">
      <c r="A1483" s="1" t="n">
        <v>1482</v>
      </c>
      <c r="B1483">
        <f>TEXT(1482, "[$-0E0000]yyyy-mm-dd")</f>
        <v/>
      </c>
      <c r="C1483" t="inlineStr">
        <is>
          <t>1903-12-06</t>
        </is>
      </c>
    </row>
    <row r="1484">
      <c r="A1484" s="1" t="n">
        <v>1483</v>
      </c>
      <c r="B1484">
        <f>TEXT(1483, "[$-0E0000]yyyy-mm-dd")</f>
        <v/>
      </c>
      <c r="C1484" t="inlineStr">
        <is>
          <t>1903-12-07</t>
        </is>
      </c>
    </row>
    <row r="1485">
      <c r="A1485" s="1" t="n">
        <v>1484</v>
      </c>
      <c r="B1485">
        <f>TEXT(1484, "[$-0E0000]yyyy-mm-dd")</f>
        <v/>
      </c>
      <c r="C1485" t="inlineStr">
        <is>
          <t>1903-12-08</t>
        </is>
      </c>
    </row>
    <row r="1486">
      <c r="A1486" s="1" t="n">
        <v>1485</v>
      </c>
      <c r="B1486">
        <f>TEXT(1485, "[$-0E0000]yyyy-mm-dd")</f>
        <v/>
      </c>
      <c r="C1486" t="inlineStr">
        <is>
          <t>1903-12-09</t>
        </is>
      </c>
    </row>
    <row r="1487">
      <c r="A1487" s="1" t="n">
        <v>1486</v>
      </c>
      <c r="B1487">
        <f>TEXT(1486, "[$-0E0000]yyyy-mm-dd")</f>
        <v/>
      </c>
      <c r="C1487" t="inlineStr">
        <is>
          <t>1903-12-10</t>
        </is>
      </c>
    </row>
    <row r="1488">
      <c r="A1488" s="1" t="n">
        <v>1487</v>
      </c>
      <c r="B1488">
        <f>TEXT(1487, "[$-0E0000]yyyy-mm-dd")</f>
        <v/>
      </c>
      <c r="C1488" t="inlineStr">
        <is>
          <t>1903-12-11</t>
        </is>
      </c>
    </row>
    <row r="1489">
      <c r="A1489" s="1" t="n">
        <v>1488</v>
      </c>
      <c r="B1489">
        <f>TEXT(1488, "[$-0E0000]yyyy-mm-dd")</f>
        <v/>
      </c>
      <c r="C1489" t="inlineStr">
        <is>
          <t>1903-12-12</t>
        </is>
      </c>
    </row>
    <row r="1490">
      <c r="A1490" s="1" t="n">
        <v>1489</v>
      </c>
      <c r="B1490">
        <f>TEXT(1489, "[$-0E0000]yyyy-mm-dd")</f>
        <v/>
      </c>
      <c r="C1490" t="inlineStr">
        <is>
          <t>1903-12-13</t>
        </is>
      </c>
    </row>
    <row r="1491">
      <c r="A1491" s="1" t="n">
        <v>1490</v>
      </c>
      <c r="B1491">
        <f>TEXT(1490, "[$-0E0000]yyyy-mm-dd")</f>
        <v/>
      </c>
      <c r="C1491" t="inlineStr">
        <is>
          <t>1903-12-14</t>
        </is>
      </c>
    </row>
    <row r="1492">
      <c r="A1492" s="1" t="n">
        <v>1491</v>
      </c>
      <c r="B1492">
        <f>TEXT(1491, "[$-0E0000]yyyy-mm-dd")</f>
        <v/>
      </c>
      <c r="C1492" t="inlineStr">
        <is>
          <t>1903-12-15</t>
        </is>
      </c>
    </row>
    <row r="1493">
      <c r="A1493" s="1" t="n">
        <v>1492</v>
      </c>
      <c r="B1493">
        <f>TEXT(1492, "[$-0E0000]yyyy-mm-dd")</f>
        <v/>
      </c>
      <c r="C1493" t="inlineStr">
        <is>
          <t>1903-12-16</t>
        </is>
      </c>
    </row>
    <row r="1494">
      <c r="A1494" s="1" t="n">
        <v>1493</v>
      </c>
      <c r="B1494">
        <f>TEXT(1493, "[$-0E0000]yyyy-mm-dd")</f>
        <v/>
      </c>
      <c r="C1494" t="inlineStr">
        <is>
          <t>1903-12-17</t>
        </is>
      </c>
    </row>
    <row r="1495">
      <c r="A1495" s="1" t="n">
        <v>1494</v>
      </c>
      <c r="B1495">
        <f>TEXT(1494, "[$-0E0000]yyyy-mm-dd")</f>
        <v/>
      </c>
      <c r="C1495" t="inlineStr">
        <is>
          <t>1903-12-18</t>
        </is>
      </c>
    </row>
    <row r="1496">
      <c r="A1496" s="1" t="n">
        <v>1495</v>
      </c>
      <c r="B1496">
        <f>TEXT(1495, "[$-0E0000]yyyy-mm-dd")</f>
        <v/>
      </c>
      <c r="C1496" t="inlineStr">
        <is>
          <t>1903-12-19</t>
        </is>
      </c>
    </row>
    <row r="1497">
      <c r="A1497" s="1" t="n">
        <v>1496</v>
      </c>
      <c r="B1497">
        <f>TEXT(1496, "[$-0E0000]yyyy-mm-dd")</f>
        <v/>
      </c>
      <c r="C1497" t="inlineStr">
        <is>
          <t>1903-12-20</t>
        </is>
      </c>
    </row>
    <row r="1498">
      <c r="A1498" s="1" t="n">
        <v>1497</v>
      </c>
      <c r="B1498">
        <f>TEXT(1497, "[$-0E0000]yyyy-mm-dd")</f>
        <v/>
      </c>
      <c r="C1498" t="inlineStr">
        <is>
          <t>1903-12-21</t>
        </is>
      </c>
    </row>
    <row r="1499">
      <c r="A1499" s="1" t="n">
        <v>1498</v>
      </c>
      <c r="B1499">
        <f>TEXT(1498, "[$-0E0000]yyyy-mm-dd")</f>
        <v/>
      </c>
      <c r="C1499" t="inlineStr">
        <is>
          <t>1903-12-22</t>
        </is>
      </c>
    </row>
    <row r="1500">
      <c r="A1500" s="1" t="n">
        <v>1499</v>
      </c>
      <c r="B1500">
        <f>TEXT(1499, "[$-0E0000]yyyy-mm-dd")</f>
        <v/>
      </c>
      <c r="C1500" t="inlineStr">
        <is>
          <t>1903-12-23</t>
        </is>
      </c>
    </row>
    <row r="1501">
      <c r="A1501" s="1" t="n">
        <v>1500</v>
      </c>
      <c r="B1501">
        <f>TEXT(1500, "[$-0E0000]yyyy-mm-dd")</f>
        <v/>
      </c>
      <c r="C1501" t="inlineStr">
        <is>
          <t>1903-12-24</t>
        </is>
      </c>
    </row>
    <row r="1502">
      <c r="A1502" s="1" t="n">
        <v>1501</v>
      </c>
      <c r="B1502">
        <f>TEXT(1501, "[$-0E0000]yyyy-mm-dd")</f>
        <v/>
      </c>
      <c r="C1502" t="inlineStr">
        <is>
          <t>1903-12-25</t>
        </is>
      </c>
    </row>
    <row r="1503">
      <c r="A1503" s="1" t="n">
        <v>1502</v>
      </c>
      <c r="B1503">
        <f>TEXT(1502, "[$-0E0000]yyyy-mm-dd")</f>
        <v/>
      </c>
      <c r="C1503" t="inlineStr">
        <is>
          <t>1903-12-26</t>
        </is>
      </c>
    </row>
    <row r="1504">
      <c r="A1504" s="1" t="n">
        <v>1503</v>
      </c>
      <c r="B1504">
        <f>TEXT(1503, "[$-0E0000]yyyy-mm-dd")</f>
        <v/>
      </c>
      <c r="C1504" t="inlineStr">
        <is>
          <t>1903-12-27</t>
        </is>
      </c>
    </row>
    <row r="1505">
      <c r="A1505" s="1" t="n">
        <v>1504</v>
      </c>
      <c r="B1505">
        <f>TEXT(1504, "[$-0E0000]yyyy-mm-dd")</f>
        <v/>
      </c>
      <c r="C1505" t="inlineStr">
        <is>
          <t>1903-12-28</t>
        </is>
      </c>
    </row>
    <row r="1506">
      <c r="A1506" s="1" t="n">
        <v>1505</v>
      </c>
      <c r="B1506">
        <f>TEXT(1505, "[$-0E0000]yyyy-mm-dd")</f>
        <v/>
      </c>
      <c r="C1506" t="inlineStr">
        <is>
          <t>1903-12-29</t>
        </is>
      </c>
    </row>
    <row r="1507">
      <c r="A1507" s="1" t="n">
        <v>1506</v>
      </c>
      <c r="B1507">
        <f>TEXT(1506, "[$-0E0000]yyyy-mm-dd")</f>
        <v/>
      </c>
      <c r="C1507" t="inlineStr">
        <is>
          <t>1903-12-30</t>
        </is>
      </c>
    </row>
    <row r="1508">
      <c r="A1508" s="1" t="n">
        <v>1507</v>
      </c>
      <c r="B1508">
        <f>TEXT(1507, "[$-0E0000]yyyy-mm-dd")</f>
        <v/>
      </c>
      <c r="C1508" t="inlineStr">
        <is>
          <t>1904-01-01</t>
        </is>
      </c>
    </row>
    <row r="1509">
      <c r="A1509" s="1" t="n">
        <v>1508</v>
      </c>
      <c r="B1509">
        <f>TEXT(1508, "[$-0E0000]yyyy-mm-dd")</f>
        <v/>
      </c>
      <c r="C1509" t="inlineStr">
        <is>
          <t>1904-01-02</t>
        </is>
      </c>
    </row>
    <row r="1510">
      <c r="A1510" s="1" t="n">
        <v>1509</v>
      </c>
      <c r="B1510">
        <f>TEXT(1509, "[$-0E0000]yyyy-mm-dd")</f>
        <v/>
      </c>
      <c r="C1510" t="inlineStr">
        <is>
          <t>1904-01-03</t>
        </is>
      </c>
    </row>
    <row r="1511">
      <c r="A1511" s="1" t="n">
        <v>1510</v>
      </c>
      <c r="B1511">
        <f>TEXT(1510, "[$-0E0000]yyyy-mm-dd")</f>
        <v/>
      </c>
      <c r="C1511" t="inlineStr">
        <is>
          <t>1904-01-04</t>
        </is>
      </c>
    </row>
    <row r="1512">
      <c r="A1512" s="1" t="n">
        <v>1511</v>
      </c>
      <c r="B1512">
        <f>TEXT(1511, "[$-0E0000]yyyy-mm-dd")</f>
        <v/>
      </c>
      <c r="C1512" t="inlineStr">
        <is>
          <t>1904-01-05</t>
        </is>
      </c>
    </row>
    <row r="1513">
      <c r="A1513" s="1" t="n">
        <v>1512</v>
      </c>
      <c r="B1513">
        <f>TEXT(1512, "[$-0E0000]yyyy-mm-dd")</f>
        <v/>
      </c>
      <c r="C1513" t="inlineStr">
        <is>
          <t>1904-01-06</t>
        </is>
      </c>
    </row>
    <row r="1514">
      <c r="A1514" s="1" t="n">
        <v>1513</v>
      </c>
      <c r="B1514">
        <f>TEXT(1513, "[$-0E0000]yyyy-mm-dd")</f>
        <v/>
      </c>
      <c r="C1514" t="inlineStr">
        <is>
          <t>1904-01-07</t>
        </is>
      </c>
    </row>
    <row r="1515">
      <c r="A1515" s="1" t="n">
        <v>1514</v>
      </c>
      <c r="B1515">
        <f>TEXT(1514, "[$-0E0000]yyyy-mm-dd")</f>
        <v/>
      </c>
      <c r="C1515" t="inlineStr">
        <is>
          <t>1904-01-08</t>
        </is>
      </c>
    </row>
    <row r="1516">
      <c r="A1516" s="1" t="n">
        <v>1515</v>
      </c>
      <c r="B1516">
        <f>TEXT(1515, "[$-0E0000]yyyy-mm-dd")</f>
        <v/>
      </c>
      <c r="C1516" t="inlineStr">
        <is>
          <t>1904-01-09</t>
        </is>
      </c>
    </row>
    <row r="1517">
      <c r="A1517" s="1" t="n">
        <v>1516</v>
      </c>
      <c r="B1517">
        <f>TEXT(1516, "[$-0E0000]yyyy-mm-dd")</f>
        <v/>
      </c>
      <c r="C1517" t="inlineStr">
        <is>
          <t>1904-01-10</t>
        </is>
      </c>
    </row>
    <row r="1518">
      <c r="A1518" s="1" t="n">
        <v>1517</v>
      </c>
      <c r="B1518">
        <f>TEXT(1517, "[$-0E0000]yyyy-mm-dd")</f>
        <v/>
      </c>
      <c r="C1518" t="inlineStr">
        <is>
          <t>1904-01-11</t>
        </is>
      </c>
    </row>
    <row r="1519">
      <c r="A1519" s="1" t="n">
        <v>1518</v>
      </c>
      <c r="B1519">
        <f>TEXT(1518, "[$-0E0000]yyyy-mm-dd")</f>
        <v/>
      </c>
      <c r="C1519" t="inlineStr">
        <is>
          <t>1904-01-12</t>
        </is>
      </c>
    </row>
    <row r="1520">
      <c r="A1520" s="1" t="n">
        <v>1519</v>
      </c>
      <c r="B1520">
        <f>TEXT(1519, "[$-0E0000]yyyy-mm-dd")</f>
        <v/>
      </c>
      <c r="C1520" t="inlineStr">
        <is>
          <t>1904-01-13</t>
        </is>
      </c>
    </row>
    <row r="1521">
      <c r="A1521" s="1" t="n">
        <v>1520</v>
      </c>
      <c r="B1521">
        <f>TEXT(1520, "[$-0E0000]yyyy-mm-dd")</f>
        <v/>
      </c>
      <c r="C1521" t="inlineStr">
        <is>
          <t>1904-01-14</t>
        </is>
      </c>
    </row>
    <row r="1522">
      <c r="A1522" s="1" t="n">
        <v>1521</v>
      </c>
      <c r="B1522">
        <f>TEXT(1521, "[$-0E0000]yyyy-mm-dd")</f>
        <v/>
      </c>
      <c r="C1522" t="inlineStr">
        <is>
          <t>1904-01-15</t>
        </is>
      </c>
    </row>
    <row r="1523">
      <c r="A1523" s="1" t="n">
        <v>1522</v>
      </c>
      <c r="B1523">
        <f>TEXT(1522, "[$-0E0000]yyyy-mm-dd")</f>
        <v/>
      </c>
      <c r="C1523" t="inlineStr">
        <is>
          <t>1904-01-16</t>
        </is>
      </c>
    </row>
    <row r="1524">
      <c r="A1524" s="1" t="n">
        <v>1523</v>
      </c>
      <c r="B1524">
        <f>TEXT(1523, "[$-0E0000]yyyy-mm-dd")</f>
        <v/>
      </c>
      <c r="C1524" t="inlineStr">
        <is>
          <t>1904-01-17</t>
        </is>
      </c>
    </row>
    <row r="1525">
      <c r="A1525" s="1" t="n">
        <v>1524</v>
      </c>
      <c r="B1525">
        <f>TEXT(1524, "[$-0E0000]yyyy-mm-dd")</f>
        <v/>
      </c>
      <c r="C1525" t="inlineStr">
        <is>
          <t>1904-01-18</t>
        </is>
      </c>
    </row>
    <row r="1526">
      <c r="A1526" s="1" t="n">
        <v>1525</v>
      </c>
      <c r="B1526">
        <f>TEXT(1525, "[$-0E0000]yyyy-mm-dd")</f>
        <v/>
      </c>
      <c r="C1526" t="inlineStr">
        <is>
          <t>1904-01-19</t>
        </is>
      </c>
    </row>
    <row r="1527">
      <c r="A1527" s="1" t="n">
        <v>1526</v>
      </c>
      <c r="B1527">
        <f>TEXT(1526, "[$-0E0000]yyyy-mm-dd")</f>
        <v/>
      </c>
      <c r="C1527" t="inlineStr">
        <is>
          <t>1904-01-20</t>
        </is>
      </c>
    </row>
    <row r="1528">
      <c r="A1528" s="1" t="n">
        <v>1527</v>
      </c>
      <c r="B1528">
        <f>TEXT(1527, "[$-0E0000]yyyy-mm-dd")</f>
        <v/>
      </c>
      <c r="C1528" t="inlineStr">
        <is>
          <t>1904-01-21</t>
        </is>
      </c>
    </row>
    <row r="1529">
      <c r="A1529" s="1" t="n">
        <v>1528</v>
      </c>
      <c r="B1529">
        <f>TEXT(1528, "[$-0E0000]yyyy-mm-dd")</f>
        <v/>
      </c>
      <c r="C1529" t="inlineStr">
        <is>
          <t>1904-01-22</t>
        </is>
      </c>
    </row>
    <row r="1530">
      <c r="A1530" s="1" t="n">
        <v>1529</v>
      </c>
      <c r="B1530">
        <f>TEXT(1529, "[$-0E0000]yyyy-mm-dd")</f>
        <v/>
      </c>
      <c r="C1530" t="inlineStr">
        <is>
          <t>1904-01-23</t>
        </is>
      </c>
    </row>
    <row r="1531">
      <c r="A1531" s="1" t="n">
        <v>1530</v>
      </c>
      <c r="B1531">
        <f>TEXT(1530, "[$-0E0000]yyyy-mm-dd")</f>
        <v/>
      </c>
      <c r="C1531" t="inlineStr">
        <is>
          <t>1904-01-24</t>
        </is>
      </c>
    </row>
    <row r="1532">
      <c r="A1532" s="1" t="n">
        <v>1531</v>
      </c>
      <c r="B1532">
        <f>TEXT(1531, "[$-0E0000]yyyy-mm-dd")</f>
        <v/>
      </c>
      <c r="C1532" t="inlineStr">
        <is>
          <t>1904-01-25</t>
        </is>
      </c>
    </row>
    <row r="1533">
      <c r="A1533" s="1" t="n">
        <v>1532</v>
      </c>
      <c r="B1533">
        <f>TEXT(1532, "[$-0E0000]yyyy-mm-dd")</f>
        <v/>
      </c>
      <c r="C1533" t="inlineStr">
        <is>
          <t>1904-01-26</t>
        </is>
      </c>
    </row>
    <row r="1534">
      <c r="A1534" s="1" t="n">
        <v>1533</v>
      </c>
      <c r="B1534">
        <f>TEXT(1533, "[$-0E0000]yyyy-mm-dd")</f>
        <v/>
      </c>
      <c r="C1534" t="inlineStr">
        <is>
          <t>1904-01-27</t>
        </is>
      </c>
    </row>
    <row r="1535">
      <c r="A1535" s="1" t="n">
        <v>1534</v>
      </c>
      <c r="B1535">
        <f>TEXT(1534, "[$-0E0000]yyyy-mm-dd")</f>
        <v/>
      </c>
      <c r="C1535" t="inlineStr">
        <is>
          <t>1904-01-28</t>
        </is>
      </c>
    </row>
    <row r="1536">
      <c r="A1536" s="1" t="n">
        <v>1535</v>
      </c>
      <c r="B1536">
        <f>TEXT(1535, "[$-0E0000]yyyy-mm-dd")</f>
        <v/>
      </c>
      <c r="C1536" t="inlineStr">
        <is>
          <t>1904-01-29</t>
        </is>
      </c>
    </row>
    <row r="1537">
      <c r="A1537" s="1" t="n">
        <v>1536</v>
      </c>
      <c r="B1537">
        <f>TEXT(1536, "[$-0E0000]yyyy-mm-dd")</f>
        <v/>
      </c>
      <c r="C1537" t="inlineStr">
        <is>
          <t>1904-01-30</t>
        </is>
      </c>
    </row>
    <row r="1538">
      <c r="A1538" s="1" t="n">
        <v>1537</v>
      </c>
      <c r="B1538">
        <f>TEXT(1537, "[$-0E0000]yyyy-mm-dd")</f>
        <v/>
      </c>
      <c r="C1538" t="inlineStr">
        <is>
          <t>1904-02-01</t>
        </is>
      </c>
    </row>
    <row r="1539">
      <c r="A1539" s="1" t="n">
        <v>1538</v>
      </c>
      <c r="B1539">
        <f>TEXT(1538, "[$-0E0000]yyyy-mm-dd")</f>
        <v/>
      </c>
      <c r="C1539" t="inlineStr">
        <is>
          <t>1904-02-02</t>
        </is>
      </c>
    </row>
    <row r="1540">
      <c r="A1540" s="1" t="n">
        <v>1539</v>
      </c>
      <c r="B1540">
        <f>TEXT(1539, "[$-0E0000]yyyy-mm-dd")</f>
        <v/>
      </c>
      <c r="C1540" t="inlineStr">
        <is>
          <t>1904-02-03</t>
        </is>
      </c>
    </row>
    <row r="1541">
      <c r="A1541" s="1" t="n">
        <v>1540</v>
      </c>
      <c r="B1541">
        <f>TEXT(1540, "[$-0E0000]yyyy-mm-dd")</f>
        <v/>
      </c>
      <c r="C1541" t="inlineStr">
        <is>
          <t>1904-02-04</t>
        </is>
      </c>
    </row>
    <row r="1542">
      <c r="A1542" s="1" t="n">
        <v>1541</v>
      </c>
      <c r="B1542">
        <f>TEXT(1541, "[$-0E0000]yyyy-mm-dd")</f>
        <v/>
      </c>
      <c r="C1542" t="inlineStr">
        <is>
          <t>1904-02-05</t>
        </is>
      </c>
    </row>
    <row r="1543">
      <c r="A1543" s="1" t="n">
        <v>1542</v>
      </c>
      <c r="B1543">
        <f>TEXT(1542, "[$-0E0000]yyyy-mm-dd")</f>
        <v/>
      </c>
      <c r="C1543" t="inlineStr">
        <is>
          <t>1904-02-06</t>
        </is>
      </c>
    </row>
    <row r="1544">
      <c r="A1544" s="1" t="n">
        <v>1543</v>
      </c>
      <c r="B1544">
        <f>TEXT(1543, "[$-0E0000]yyyy-mm-dd")</f>
        <v/>
      </c>
      <c r="C1544" t="inlineStr">
        <is>
          <t>1904-02-07</t>
        </is>
      </c>
    </row>
    <row r="1545">
      <c r="A1545" s="1" t="n">
        <v>1544</v>
      </c>
      <c r="B1545">
        <f>TEXT(1544, "[$-0E0000]yyyy-mm-dd")</f>
        <v/>
      </c>
      <c r="C1545" t="inlineStr">
        <is>
          <t>1904-02-08</t>
        </is>
      </c>
    </row>
    <row r="1546">
      <c r="A1546" s="1" t="n">
        <v>1545</v>
      </c>
      <c r="B1546">
        <f>TEXT(1545, "[$-0E0000]yyyy-mm-dd")</f>
        <v/>
      </c>
      <c r="C1546" t="inlineStr">
        <is>
          <t>1904-02-09</t>
        </is>
      </c>
    </row>
    <row r="1547">
      <c r="A1547" s="1" t="n">
        <v>1546</v>
      </c>
      <c r="B1547">
        <f>TEXT(1546, "[$-0E0000]yyyy-mm-dd")</f>
        <v/>
      </c>
      <c r="C1547" t="inlineStr">
        <is>
          <t>1904-02-10</t>
        </is>
      </c>
    </row>
    <row r="1548">
      <c r="A1548" s="1" t="n">
        <v>1547</v>
      </c>
      <c r="B1548">
        <f>TEXT(1547, "[$-0E0000]yyyy-mm-dd")</f>
        <v/>
      </c>
      <c r="C1548" t="inlineStr">
        <is>
          <t>1904-02-11</t>
        </is>
      </c>
    </row>
    <row r="1549">
      <c r="A1549" s="1" t="n">
        <v>1548</v>
      </c>
      <c r="B1549">
        <f>TEXT(1548, "[$-0E0000]yyyy-mm-dd")</f>
        <v/>
      </c>
      <c r="C1549" t="inlineStr">
        <is>
          <t>1904-02-12</t>
        </is>
      </c>
    </row>
    <row r="1550">
      <c r="A1550" s="1" t="n">
        <v>1549</v>
      </c>
      <c r="B1550">
        <f>TEXT(1549, "[$-0E0000]yyyy-mm-dd")</f>
        <v/>
      </c>
      <c r="C1550" t="inlineStr">
        <is>
          <t>1904-02-13</t>
        </is>
      </c>
    </row>
    <row r="1551">
      <c r="A1551" s="1" t="n">
        <v>1550</v>
      </c>
      <c r="B1551">
        <f>TEXT(1550, "[$-0E0000]yyyy-mm-dd")</f>
        <v/>
      </c>
      <c r="C1551" t="inlineStr">
        <is>
          <t>1904-02-14</t>
        </is>
      </c>
    </row>
    <row r="1552">
      <c r="A1552" s="1" t="n">
        <v>1551</v>
      </c>
      <c r="B1552">
        <f>TEXT(1551, "[$-0E0000]yyyy-mm-dd")</f>
        <v/>
      </c>
      <c r="C1552" t="inlineStr">
        <is>
          <t>1904-02-15</t>
        </is>
      </c>
    </row>
    <row r="1553">
      <c r="A1553" s="1" t="n">
        <v>1552</v>
      </c>
      <c r="B1553">
        <f>TEXT(1552, "[$-0E0000]yyyy-mm-dd")</f>
        <v/>
      </c>
      <c r="C1553" t="inlineStr">
        <is>
          <t>1904-02-16</t>
        </is>
      </c>
    </row>
    <row r="1554">
      <c r="A1554" s="1" t="n">
        <v>1553</v>
      </c>
      <c r="B1554">
        <f>TEXT(1553, "[$-0E0000]yyyy-mm-dd")</f>
        <v/>
      </c>
      <c r="C1554" t="inlineStr">
        <is>
          <t>1904-02-17</t>
        </is>
      </c>
    </row>
    <row r="1555">
      <c r="A1555" s="1" t="n">
        <v>1554</v>
      </c>
      <c r="B1555">
        <f>TEXT(1554, "[$-0E0000]yyyy-mm-dd")</f>
        <v/>
      </c>
      <c r="C1555" t="inlineStr">
        <is>
          <t>1904-02-18</t>
        </is>
      </c>
    </row>
    <row r="1556">
      <c r="A1556" s="1" t="n">
        <v>1555</v>
      </c>
      <c r="B1556">
        <f>TEXT(1555, "[$-0E0000]yyyy-mm-dd")</f>
        <v/>
      </c>
      <c r="C1556" t="inlineStr">
        <is>
          <t>1904-02-19</t>
        </is>
      </c>
    </row>
    <row r="1557">
      <c r="A1557" s="1" t="n">
        <v>1556</v>
      </c>
      <c r="B1557">
        <f>TEXT(1556, "[$-0E0000]yyyy-mm-dd")</f>
        <v/>
      </c>
      <c r="C1557" t="inlineStr">
        <is>
          <t>1904-02-20</t>
        </is>
      </c>
    </row>
    <row r="1558">
      <c r="A1558" s="1" t="n">
        <v>1557</v>
      </c>
      <c r="B1558">
        <f>TEXT(1557, "[$-0E0000]yyyy-mm-dd")</f>
        <v/>
      </c>
      <c r="C1558" t="inlineStr">
        <is>
          <t>1904-02-21</t>
        </is>
      </c>
    </row>
    <row r="1559">
      <c r="A1559" s="1" t="n">
        <v>1558</v>
      </c>
      <c r="B1559">
        <f>TEXT(1558, "[$-0E0000]yyyy-mm-dd")</f>
        <v/>
      </c>
      <c r="C1559" t="inlineStr">
        <is>
          <t>1904-02-22</t>
        </is>
      </c>
    </row>
    <row r="1560">
      <c r="A1560" s="1" t="n">
        <v>1559</v>
      </c>
      <c r="B1560">
        <f>TEXT(1559, "[$-0E0000]yyyy-mm-dd")</f>
        <v/>
      </c>
      <c r="C1560" t="inlineStr">
        <is>
          <t>1904-02-23</t>
        </is>
      </c>
    </row>
    <row r="1561">
      <c r="A1561" s="1" t="n">
        <v>1560</v>
      </c>
      <c r="B1561">
        <f>TEXT(1560, "[$-0E0000]yyyy-mm-dd")</f>
        <v/>
      </c>
      <c r="C1561" t="inlineStr">
        <is>
          <t>1904-02-24</t>
        </is>
      </c>
    </row>
    <row r="1562">
      <c r="A1562" s="1" t="n">
        <v>1561</v>
      </c>
      <c r="B1562">
        <f>TEXT(1561, "[$-0E0000]yyyy-mm-dd")</f>
        <v/>
      </c>
      <c r="C1562" t="inlineStr">
        <is>
          <t>1904-02-25</t>
        </is>
      </c>
    </row>
    <row r="1563">
      <c r="A1563" s="1" t="n">
        <v>1562</v>
      </c>
      <c r="B1563">
        <f>TEXT(1562, "[$-0E0000]yyyy-mm-dd")</f>
        <v/>
      </c>
      <c r="C1563" t="inlineStr">
        <is>
          <t>1904-02-26</t>
        </is>
      </c>
    </row>
    <row r="1564">
      <c r="A1564" s="1" t="n">
        <v>1563</v>
      </c>
      <c r="B1564">
        <f>TEXT(1563, "[$-0E0000]yyyy-mm-dd")</f>
        <v/>
      </c>
      <c r="C1564" t="inlineStr">
        <is>
          <t>1904-02-27</t>
        </is>
      </c>
    </row>
    <row r="1565">
      <c r="A1565" s="1" t="n">
        <v>1564</v>
      </c>
      <c r="B1565">
        <f>TEXT(1564, "[$-0E0000]yyyy-mm-dd")</f>
        <v/>
      </c>
      <c r="C1565" t="inlineStr">
        <is>
          <t>1904-02-28</t>
        </is>
      </c>
    </row>
    <row r="1566">
      <c r="A1566" s="1" t="n">
        <v>1565</v>
      </c>
      <c r="B1566">
        <f>TEXT(1565, "[$-0E0000]yyyy-mm-dd")</f>
        <v/>
      </c>
      <c r="C1566" t="inlineStr">
        <is>
          <t>1904-02-29</t>
        </is>
      </c>
    </row>
    <row r="1567">
      <c r="A1567" s="1" t="n">
        <v>1566</v>
      </c>
      <c r="B1567">
        <f>TEXT(1566, "[$-0E0000]yyyy-mm-dd")</f>
        <v/>
      </c>
      <c r="C1567" t="inlineStr">
        <is>
          <t>1904-02-30</t>
        </is>
      </c>
    </row>
    <row r="1568">
      <c r="A1568" s="1" t="n">
        <v>1567</v>
      </c>
      <c r="B1568">
        <f>TEXT(1567, "[$-0E0000]yyyy-mm-dd")</f>
        <v/>
      </c>
      <c r="C1568" t="inlineStr">
        <is>
          <t>1904-03-01</t>
        </is>
      </c>
    </row>
    <row r="1569">
      <c r="A1569" s="1" t="n">
        <v>1568</v>
      </c>
      <c r="B1569">
        <f>TEXT(1568, "[$-0E0000]yyyy-mm-dd")</f>
        <v/>
      </c>
      <c r="C1569" t="inlineStr">
        <is>
          <t>1904-03-02</t>
        </is>
      </c>
    </row>
    <row r="1570">
      <c r="A1570" s="1" t="n">
        <v>1569</v>
      </c>
      <c r="B1570">
        <f>TEXT(1569, "[$-0E0000]yyyy-mm-dd")</f>
        <v/>
      </c>
      <c r="C1570" t="inlineStr">
        <is>
          <t>1904-03-03</t>
        </is>
      </c>
    </row>
    <row r="1571">
      <c r="A1571" s="1" t="n">
        <v>1570</v>
      </c>
      <c r="B1571">
        <f>TEXT(1570, "[$-0E0000]yyyy-mm-dd")</f>
        <v/>
      </c>
      <c r="C1571" t="inlineStr">
        <is>
          <t>1904-03-04</t>
        </is>
      </c>
    </row>
    <row r="1572">
      <c r="A1572" s="1" t="n">
        <v>1571</v>
      </c>
      <c r="B1572">
        <f>TEXT(1571, "[$-0E0000]yyyy-mm-dd")</f>
        <v/>
      </c>
      <c r="C1572" t="inlineStr">
        <is>
          <t>1904-03-05</t>
        </is>
      </c>
    </row>
    <row r="1573">
      <c r="A1573" s="1" t="n">
        <v>1572</v>
      </c>
      <c r="B1573">
        <f>TEXT(1572, "[$-0E0000]yyyy-mm-dd")</f>
        <v/>
      </c>
      <c r="C1573" t="inlineStr">
        <is>
          <t>1904-03-06</t>
        </is>
      </c>
    </row>
    <row r="1574">
      <c r="A1574" s="1" t="n">
        <v>1573</v>
      </c>
      <c r="B1574">
        <f>TEXT(1573, "[$-0E0000]yyyy-mm-dd")</f>
        <v/>
      </c>
      <c r="C1574" t="inlineStr">
        <is>
          <t>1904-03-07</t>
        </is>
      </c>
    </row>
    <row r="1575">
      <c r="A1575" s="1" t="n">
        <v>1574</v>
      </c>
      <c r="B1575">
        <f>TEXT(1574, "[$-0E0000]yyyy-mm-dd")</f>
        <v/>
      </c>
      <c r="C1575" t="inlineStr">
        <is>
          <t>1904-03-08</t>
        </is>
      </c>
    </row>
    <row r="1576">
      <c r="A1576" s="1" t="n">
        <v>1575</v>
      </c>
      <c r="B1576">
        <f>TEXT(1575, "[$-0E0000]yyyy-mm-dd")</f>
        <v/>
      </c>
      <c r="C1576" t="inlineStr">
        <is>
          <t>1904-03-09</t>
        </is>
      </c>
    </row>
    <row r="1577">
      <c r="A1577" s="1" t="n">
        <v>1576</v>
      </c>
      <c r="B1577">
        <f>TEXT(1576, "[$-0E0000]yyyy-mm-dd")</f>
        <v/>
      </c>
      <c r="C1577" t="inlineStr">
        <is>
          <t>1904-03-10</t>
        </is>
      </c>
    </row>
    <row r="1578">
      <c r="A1578" s="1" t="n">
        <v>1577</v>
      </c>
      <c r="B1578">
        <f>TEXT(1577, "[$-0E0000]yyyy-mm-dd")</f>
        <v/>
      </c>
      <c r="C1578" t="inlineStr">
        <is>
          <t>1904-03-11</t>
        </is>
      </c>
    </row>
    <row r="1579">
      <c r="A1579" s="1" t="n">
        <v>1578</v>
      </c>
      <c r="B1579">
        <f>TEXT(1578, "[$-0E0000]yyyy-mm-dd")</f>
        <v/>
      </c>
      <c r="C1579" t="inlineStr">
        <is>
          <t>1904-03-12</t>
        </is>
      </c>
    </row>
    <row r="1580">
      <c r="A1580" s="1" t="n">
        <v>1579</v>
      </c>
      <c r="B1580">
        <f>TEXT(1579, "[$-0E0000]yyyy-mm-dd")</f>
        <v/>
      </c>
      <c r="C1580" t="inlineStr">
        <is>
          <t>1904-03-13</t>
        </is>
      </c>
    </row>
    <row r="1581">
      <c r="A1581" s="1" t="n">
        <v>1580</v>
      </c>
      <c r="B1581">
        <f>TEXT(1580, "[$-0E0000]yyyy-mm-dd")</f>
        <v/>
      </c>
      <c r="C1581" t="inlineStr">
        <is>
          <t>1904-03-14</t>
        </is>
      </c>
    </row>
    <row r="1582">
      <c r="A1582" s="1" t="n">
        <v>1581</v>
      </c>
      <c r="B1582">
        <f>TEXT(1581, "[$-0E0000]yyyy-mm-dd")</f>
        <v/>
      </c>
      <c r="C1582" t="inlineStr">
        <is>
          <t>1904-03-15</t>
        </is>
      </c>
    </row>
    <row r="1583">
      <c r="A1583" s="1" t="n">
        <v>1582</v>
      </c>
      <c r="B1583">
        <f>TEXT(1582, "[$-0E0000]yyyy-mm-dd")</f>
        <v/>
      </c>
      <c r="C1583" t="inlineStr">
        <is>
          <t>1904-03-16</t>
        </is>
      </c>
    </row>
    <row r="1584">
      <c r="A1584" s="1" t="n">
        <v>1583</v>
      </c>
      <c r="B1584">
        <f>TEXT(1583, "[$-0E0000]yyyy-mm-dd")</f>
        <v/>
      </c>
      <c r="C1584" t="inlineStr">
        <is>
          <t>1904-03-17</t>
        </is>
      </c>
    </row>
    <row r="1585">
      <c r="A1585" s="1" t="n">
        <v>1584</v>
      </c>
      <c r="B1585">
        <f>TEXT(1584, "[$-0E0000]yyyy-mm-dd")</f>
        <v/>
      </c>
      <c r="C1585" t="inlineStr">
        <is>
          <t>1904-03-18</t>
        </is>
      </c>
    </row>
    <row r="1586">
      <c r="A1586" s="1" t="n">
        <v>1585</v>
      </c>
      <c r="B1586">
        <f>TEXT(1585, "[$-0E0000]yyyy-mm-dd")</f>
        <v/>
      </c>
      <c r="C1586" t="inlineStr">
        <is>
          <t>1904-03-19</t>
        </is>
      </c>
    </row>
    <row r="1587">
      <c r="A1587" s="1" t="n">
        <v>1586</v>
      </c>
      <c r="B1587">
        <f>TEXT(1586, "[$-0E0000]yyyy-mm-dd")</f>
        <v/>
      </c>
      <c r="C1587" t="inlineStr">
        <is>
          <t>1904-03-20</t>
        </is>
      </c>
    </row>
    <row r="1588">
      <c r="A1588" s="1" t="n">
        <v>1587</v>
      </c>
      <c r="B1588">
        <f>TEXT(1587, "[$-0E0000]yyyy-mm-dd")</f>
        <v/>
      </c>
      <c r="C1588" t="inlineStr">
        <is>
          <t>1904-03-21</t>
        </is>
      </c>
    </row>
    <row r="1589">
      <c r="A1589" s="1" t="n">
        <v>1588</v>
      </c>
      <c r="B1589">
        <f>TEXT(1588, "[$-0E0000]yyyy-mm-dd")</f>
        <v/>
      </c>
      <c r="C1589" t="inlineStr">
        <is>
          <t>1904-03-22</t>
        </is>
      </c>
    </row>
    <row r="1590">
      <c r="A1590" s="1" t="n">
        <v>1589</v>
      </c>
      <c r="B1590">
        <f>TEXT(1589, "[$-0E0000]yyyy-mm-dd")</f>
        <v/>
      </c>
      <c r="C1590" t="inlineStr">
        <is>
          <t>1904-03-23</t>
        </is>
      </c>
    </row>
    <row r="1591">
      <c r="A1591" s="1" t="n">
        <v>1590</v>
      </c>
      <c r="B1591">
        <f>TEXT(1590, "[$-0E0000]yyyy-mm-dd")</f>
        <v/>
      </c>
      <c r="C1591" t="inlineStr">
        <is>
          <t>1904-03-24</t>
        </is>
      </c>
    </row>
    <row r="1592">
      <c r="A1592" s="1" t="n">
        <v>1591</v>
      </c>
      <c r="B1592">
        <f>TEXT(1591, "[$-0E0000]yyyy-mm-dd")</f>
        <v/>
      </c>
      <c r="C1592" t="inlineStr">
        <is>
          <t>1904-03-25</t>
        </is>
      </c>
    </row>
    <row r="1593">
      <c r="A1593" s="1" t="n">
        <v>1592</v>
      </c>
      <c r="B1593">
        <f>TEXT(1592, "[$-0E0000]yyyy-mm-dd")</f>
        <v/>
      </c>
      <c r="C1593" t="inlineStr">
        <is>
          <t>1904-03-26</t>
        </is>
      </c>
    </row>
    <row r="1594">
      <c r="A1594" s="1" t="n">
        <v>1593</v>
      </c>
      <c r="B1594">
        <f>TEXT(1593, "[$-0E0000]yyyy-mm-dd")</f>
        <v/>
      </c>
      <c r="C1594" t="inlineStr">
        <is>
          <t>1904-03-27</t>
        </is>
      </c>
    </row>
    <row r="1595">
      <c r="A1595" s="1" t="n">
        <v>1594</v>
      </c>
      <c r="B1595">
        <f>TEXT(1594, "[$-0E0000]yyyy-mm-dd")</f>
        <v/>
      </c>
      <c r="C1595" t="inlineStr">
        <is>
          <t>1904-03-28</t>
        </is>
      </c>
    </row>
    <row r="1596">
      <c r="A1596" s="1" t="n">
        <v>1595</v>
      </c>
      <c r="B1596">
        <f>TEXT(1595, "[$-0E0000]yyyy-mm-dd")</f>
        <v/>
      </c>
      <c r="C1596" t="inlineStr">
        <is>
          <t>1904-03-29</t>
        </is>
      </c>
    </row>
    <row r="1597">
      <c r="A1597" s="1" t="n">
        <v>1596</v>
      </c>
      <c r="B1597">
        <f>TEXT(1596, "[$-0E0000]yyyy-mm-dd")</f>
        <v/>
      </c>
      <c r="C1597" t="inlineStr">
        <is>
          <t>1904-04-01</t>
        </is>
      </c>
    </row>
    <row r="1598">
      <c r="A1598" s="1" t="n">
        <v>1597</v>
      </c>
      <c r="B1598">
        <f>TEXT(1597, "[$-0E0000]yyyy-mm-dd")</f>
        <v/>
      </c>
      <c r="C1598" t="inlineStr">
        <is>
          <t>1904-04-02</t>
        </is>
      </c>
    </row>
    <row r="1599">
      <c r="A1599" s="1" t="n">
        <v>1598</v>
      </c>
      <c r="B1599">
        <f>TEXT(1598, "[$-0E0000]yyyy-mm-dd")</f>
        <v/>
      </c>
      <c r="C1599" t="inlineStr">
        <is>
          <t>1904-04-03</t>
        </is>
      </c>
    </row>
    <row r="1600">
      <c r="A1600" s="1" t="n">
        <v>1599</v>
      </c>
      <c r="B1600">
        <f>TEXT(1599, "[$-0E0000]yyyy-mm-dd")</f>
        <v/>
      </c>
      <c r="C1600" t="inlineStr">
        <is>
          <t>1904-04-04</t>
        </is>
      </c>
    </row>
    <row r="1601">
      <c r="A1601" s="1" t="n">
        <v>1600</v>
      </c>
      <c r="B1601">
        <f>TEXT(1600, "[$-0E0000]yyyy-mm-dd")</f>
        <v/>
      </c>
      <c r="C1601" t="inlineStr">
        <is>
          <t>1904-04-05</t>
        </is>
      </c>
    </row>
    <row r="1602">
      <c r="A1602" s="1" t="n">
        <v>1601</v>
      </c>
      <c r="B1602">
        <f>TEXT(1601, "[$-0E0000]yyyy-mm-dd")</f>
        <v/>
      </c>
      <c r="C1602" t="inlineStr">
        <is>
          <t>1904-04-06</t>
        </is>
      </c>
    </row>
    <row r="1603">
      <c r="A1603" s="1" t="n">
        <v>1602</v>
      </c>
      <c r="B1603">
        <f>TEXT(1602, "[$-0E0000]yyyy-mm-dd")</f>
        <v/>
      </c>
      <c r="C1603" t="inlineStr">
        <is>
          <t>1904-04-07</t>
        </is>
      </c>
    </row>
    <row r="1604">
      <c r="A1604" s="1" t="n">
        <v>1603</v>
      </c>
      <c r="B1604">
        <f>TEXT(1603, "[$-0E0000]yyyy-mm-dd")</f>
        <v/>
      </c>
      <c r="C1604" t="inlineStr">
        <is>
          <t>1904-04-08</t>
        </is>
      </c>
    </row>
    <row r="1605">
      <c r="A1605" s="1" t="n">
        <v>1604</v>
      </c>
      <c r="B1605">
        <f>TEXT(1604, "[$-0E0000]yyyy-mm-dd")</f>
        <v/>
      </c>
      <c r="C1605" t="inlineStr">
        <is>
          <t>1904-04-09</t>
        </is>
      </c>
    </row>
    <row r="1606">
      <c r="A1606" s="1" t="n">
        <v>1605</v>
      </c>
      <c r="B1606">
        <f>TEXT(1605, "[$-0E0000]yyyy-mm-dd")</f>
        <v/>
      </c>
      <c r="C1606" t="inlineStr">
        <is>
          <t>1904-04-10</t>
        </is>
      </c>
    </row>
    <row r="1607">
      <c r="A1607" s="1" t="n">
        <v>1606</v>
      </c>
      <c r="B1607">
        <f>TEXT(1606, "[$-0E0000]yyyy-mm-dd")</f>
        <v/>
      </c>
      <c r="C1607" t="inlineStr">
        <is>
          <t>1904-04-11</t>
        </is>
      </c>
    </row>
    <row r="1608">
      <c r="A1608" s="1" t="n">
        <v>1607</v>
      </c>
      <c r="B1608">
        <f>TEXT(1607, "[$-0E0000]yyyy-mm-dd")</f>
        <v/>
      </c>
      <c r="C1608" t="inlineStr">
        <is>
          <t>1904-04-12</t>
        </is>
      </c>
    </row>
    <row r="1609">
      <c r="A1609" s="1" t="n">
        <v>1608</v>
      </c>
      <c r="B1609">
        <f>TEXT(1608, "[$-0E0000]yyyy-mm-dd")</f>
        <v/>
      </c>
      <c r="C1609" t="inlineStr">
        <is>
          <t>1904-04-13</t>
        </is>
      </c>
    </row>
    <row r="1610">
      <c r="A1610" s="1" t="n">
        <v>1609</v>
      </c>
      <c r="B1610">
        <f>TEXT(1609, "[$-0E0000]yyyy-mm-dd")</f>
        <v/>
      </c>
      <c r="C1610" t="inlineStr">
        <is>
          <t>1904-04-14</t>
        </is>
      </c>
    </row>
    <row r="1611">
      <c r="A1611" s="1" t="n">
        <v>1610</v>
      </c>
      <c r="B1611">
        <f>TEXT(1610, "[$-0E0000]yyyy-mm-dd")</f>
        <v/>
      </c>
      <c r="C1611" t="inlineStr">
        <is>
          <t>1904-04-15</t>
        </is>
      </c>
    </row>
    <row r="1612">
      <c r="A1612" s="1" t="n">
        <v>1611</v>
      </c>
      <c r="B1612">
        <f>TEXT(1611, "[$-0E0000]yyyy-mm-dd")</f>
        <v/>
      </c>
      <c r="C1612" t="inlineStr">
        <is>
          <t>1904-04-16</t>
        </is>
      </c>
    </row>
    <row r="1613">
      <c r="A1613" s="1" t="n">
        <v>1612</v>
      </c>
      <c r="B1613">
        <f>TEXT(1612, "[$-0E0000]yyyy-mm-dd")</f>
        <v/>
      </c>
      <c r="C1613" t="inlineStr">
        <is>
          <t>1904-04-17</t>
        </is>
      </c>
    </row>
    <row r="1614">
      <c r="A1614" s="1" t="n">
        <v>1613</v>
      </c>
      <c r="B1614">
        <f>TEXT(1613, "[$-0E0000]yyyy-mm-dd")</f>
        <v/>
      </c>
      <c r="C1614" t="inlineStr">
        <is>
          <t>1904-04-18</t>
        </is>
      </c>
    </row>
    <row r="1615">
      <c r="A1615" s="1" t="n">
        <v>1614</v>
      </c>
      <c r="B1615">
        <f>TEXT(1614, "[$-0E0000]yyyy-mm-dd")</f>
        <v/>
      </c>
      <c r="C1615" t="inlineStr">
        <is>
          <t>1904-04-19</t>
        </is>
      </c>
    </row>
    <row r="1616">
      <c r="A1616" s="1" t="n">
        <v>1615</v>
      </c>
      <c r="B1616">
        <f>TEXT(1615, "[$-0E0000]yyyy-mm-dd")</f>
        <v/>
      </c>
      <c r="C1616" t="inlineStr">
        <is>
          <t>1904-04-20</t>
        </is>
      </c>
    </row>
    <row r="1617">
      <c r="A1617" s="1" t="n">
        <v>1616</v>
      </c>
      <c r="B1617">
        <f>TEXT(1616, "[$-0E0000]yyyy-mm-dd")</f>
        <v/>
      </c>
      <c r="C1617" t="inlineStr">
        <is>
          <t>1904-04-21</t>
        </is>
      </c>
    </row>
    <row r="1618">
      <c r="A1618" s="1" t="n">
        <v>1617</v>
      </c>
      <c r="B1618">
        <f>TEXT(1617, "[$-0E0000]yyyy-mm-dd")</f>
        <v/>
      </c>
      <c r="C1618" t="inlineStr">
        <is>
          <t>1904-04-22</t>
        </is>
      </c>
    </row>
    <row r="1619">
      <c r="A1619" s="1" t="n">
        <v>1618</v>
      </c>
      <c r="B1619">
        <f>TEXT(1618, "[$-0E0000]yyyy-mm-dd")</f>
        <v/>
      </c>
      <c r="C1619" t="inlineStr">
        <is>
          <t>1904-04-23</t>
        </is>
      </c>
    </row>
    <row r="1620">
      <c r="A1620" s="1" t="n">
        <v>1619</v>
      </c>
      <c r="B1620">
        <f>TEXT(1619, "[$-0E0000]yyyy-mm-dd")</f>
        <v/>
      </c>
      <c r="C1620" t="inlineStr">
        <is>
          <t>1904-04-24</t>
        </is>
      </c>
    </row>
    <row r="1621">
      <c r="A1621" s="1" t="n">
        <v>1620</v>
      </c>
      <c r="B1621">
        <f>TEXT(1620, "[$-0E0000]yyyy-mm-dd")</f>
        <v/>
      </c>
      <c r="C1621" t="inlineStr">
        <is>
          <t>1904-04-25</t>
        </is>
      </c>
    </row>
    <row r="1622">
      <c r="A1622" s="1" t="n">
        <v>1621</v>
      </c>
      <c r="B1622">
        <f>TEXT(1621, "[$-0E0000]yyyy-mm-dd")</f>
        <v/>
      </c>
      <c r="C1622" t="inlineStr">
        <is>
          <t>1904-04-26</t>
        </is>
      </c>
    </row>
    <row r="1623">
      <c r="A1623" s="1" t="n">
        <v>1622</v>
      </c>
      <c r="B1623">
        <f>TEXT(1622, "[$-0E0000]yyyy-mm-dd")</f>
        <v/>
      </c>
      <c r="C1623" t="inlineStr">
        <is>
          <t>1904-04-27</t>
        </is>
      </c>
    </row>
    <row r="1624">
      <c r="A1624" s="1" t="n">
        <v>1623</v>
      </c>
      <c r="B1624">
        <f>TEXT(1623, "[$-0E0000]yyyy-mm-dd")</f>
        <v/>
      </c>
      <c r="C1624" t="inlineStr">
        <is>
          <t>1904-04-28</t>
        </is>
      </c>
    </row>
    <row r="1625">
      <c r="A1625" s="1" t="n">
        <v>1624</v>
      </c>
      <c r="B1625">
        <f>TEXT(1624, "[$-0E0000]yyyy-mm-dd")</f>
        <v/>
      </c>
      <c r="C1625" t="inlineStr">
        <is>
          <t>1904-04-29</t>
        </is>
      </c>
    </row>
    <row r="1626">
      <c r="A1626" s="1" t="n">
        <v>1625</v>
      </c>
      <c r="B1626">
        <f>TEXT(1625, "[$-0E0000]yyyy-mm-dd")</f>
        <v/>
      </c>
      <c r="C1626" t="inlineStr">
        <is>
          <t>1904-04-30</t>
        </is>
      </c>
    </row>
    <row r="1627">
      <c r="A1627" s="1" t="n">
        <v>1626</v>
      </c>
      <c r="B1627">
        <f>TEXT(1626, "[$-0E0000]yyyy-mm-dd")</f>
        <v/>
      </c>
      <c r="C1627" t="inlineStr">
        <is>
          <t>1904-05-01</t>
        </is>
      </c>
    </row>
    <row r="1628">
      <c r="A1628" s="1" t="n">
        <v>1627</v>
      </c>
      <c r="B1628">
        <f>TEXT(1627, "[$-0E0000]yyyy-mm-dd")</f>
        <v/>
      </c>
      <c r="C1628" t="inlineStr">
        <is>
          <t>1904-05-02</t>
        </is>
      </c>
    </row>
    <row r="1629">
      <c r="A1629" s="1" t="n">
        <v>1628</v>
      </c>
      <c r="B1629">
        <f>TEXT(1628, "[$-0E0000]yyyy-mm-dd")</f>
        <v/>
      </c>
      <c r="C1629" t="inlineStr">
        <is>
          <t>1904-05-03</t>
        </is>
      </c>
    </row>
    <row r="1630">
      <c r="A1630" s="1" t="n">
        <v>1629</v>
      </c>
      <c r="B1630">
        <f>TEXT(1629, "[$-0E0000]yyyy-mm-dd")</f>
        <v/>
      </c>
      <c r="C1630" t="inlineStr">
        <is>
          <t>1904-05-04</t>
        </is>
      </c>
    </row>
    <row r="1631">
      <c r="A1631" s="1" t="n">
        <v>1630</v>
      </c>
      <c r="B1631">
        <f>TEXT(1630, "[$-0E0000]yyyy-mm-dd")</f>
        <v/>
      </c>
      <c r="C1631" t="inlineStr">
        <is>
          <t>1904-05-05</t>
        </is>
      </c>
    </row>
    <row r="1632">
      <c r="A1632" s="1" t="n">
        <v>1631</v>
      </c>
      <c r="B1632">
        <f>TEXT(1631, "[$-0E0000]yyyy-mm-dd")</f>
        <v/>
      </c>
      <c r="C1632" t="inlineStr">
        <is>
          <t>1904-05-06</t>
        </is>
      </c>
    </row>
    <row r="1633">
      <c r="A1633" s="1" t="n">
        <v>1632</v>
      </c>
      <c r="B1633">
        <f>TEXT(1632, "[$-0E0000]yyyy-mm-dd")</f>
        <v/>
      </c>
      <c r="C1633" t="inlineStr">
        <is>
          <t>1904-05-07</t>
        </is>
      </c>
    </row>
    <row r="1634">
      <c r="A1634" s="1" t="n">
        <v>1633</v>
      </c>
      <c r="B1634">
        <f>TEXT(1633, "[$-0E0000]yyyy-mm-dd")</f>
        <v/>
      </c>
      <c r="C1634" t="inlineStr">
        <is>
          <t>1904-05-08</t>
        </is>
      </c>
    </row>
    <row r="1635">
      <c r="A1635" s="1" t="n">
        <v>1634</v>
      </c>
      <c r="B1635">
        <f>TEXT(1634, "[$-0E0000]yyyy-mm-dd")</f>
        <v/>
      </c>
      <c r="C1635" t="inlineStr">
        <is>
          <t>1904-05-09</t>
        </is>
      </c>
    </row>
    <row r="1636">
      <c r="A1636" s="1" t="n">
        <v>1635</v>
      </c>
      <c r="B1636">
        <f>TEXT(1635, "[$-0E0000]yyyy-mm-dd")</f>
        <v/>
      </c>
      <c r="C1636" t="inlineStr">
        <is>
          <t>1904-05-10</t>
        </is>
      </c>
    </row>
    <row r="1637">
      <c r="A1637" s="1" t="n">
        <v>1636</v>
      </c>
      <c r="B1637">
        <f>TEXT(1636, "[$-0E0000]yyyy-mm-dd")</f>
        <v/>
      </c>
      <c r="C1637" t="inlineStr">
        <is>
          <t>1904-05-11</t>
        </is>
      </c>
    </row>
    <row r="1638">
      <c r="A1638" s="1" t="n">
        <v>1637</v>
      </c>
      <c r="B1638">
        <f>TEXT(1637, "[$-0E0000]yyyy-mm-dd")</f>
        <v/>
      </c>
      <c r="C1638" t="inlineStr">
        <is>
          <t>1904-05-12</t>
        </is>
      </c>
    </row>
    <row r="1639">
      <c r="A1639" s="1" t="n">
        <v>1638</v>
      </c>
      <c r="B1639">
        <f>TEXT(1638, "[$-0E0000]yyyy-mm-dd")</f>
        <v/>
      </c>
      <c r="C1639" t="inlineStr">
        <is>
          <t>1904-05-13</t>
        </is>
      </c>
    </row>
    <row r="1640">
      <c r="A1640" s="1" t="n">
        <v>1639</v>
      </c>
      <c r="B1640">
        <f>TEXT(1639, "[$-0E0000]yyyy-mm-dd")</f>
        <v/>
      </c>
      <c r="C1640" t="inlineStr">
        <is>
          <t>1904-05-14</t>
        </is>
      </c>
    </row>
    <row r="1641">
      <c r="A1641" s="1" t="n">
        <v>1640</v>
      </c>
      <c r="B1641">
        <f>TEXT(1640, "[$-0E0000]yyyy-mm-dd")</f>
        <v/>
      </c>
      <c r="C1641" t="inlineStr">
        <is>
          <t>1904-05-15</t>
        </is>
      </c>
    </row>
    <row r="1642">
      <c r="A1642" s="1" t="n">
        <v>1641</v>
      </c>
      <c r="B1642">
        <f>TEXT(1641, "[$-0E0000]yyyy-mm-dd")</f>
        <v/>
      </c>
      <c r="C1642" t="inlineStr">
        <is>
          <t>1904-05-16</t>
        </is>
      </c>
    </row>
    <row r="1643">
      <c r="A1643" s="1" t="n">
        <v>1642</v>
      </c>
      <c r="B1643">
        <f>TEXT(1642, "[$-0E0000]yyyy-mm-dd")</f>
        <v/>
      </c>
      <c r="C1643" t="inlineStr">
        <is>
          <t>1904-05-17</t>
        </is>
      </c>
    </row>
    <row r="1644">
      <c r="A1644" s="1" t="n">
        <v>1643</v>
      </c>
      <c r="B1644">
        <f>TEXT(1643, "[$-0E0000]yyyy-mm-dd")</f>
        <v/>
      </c>
      <c r="C1644" t="inlineStr">
        <is>
          <t>1904-05-18</t>
        </is>
      </c>
    </row>
    <row r="1645">
      <c r="A1645" s="1" t="n">
        <v>1644</v>
      </c>
      <c r="B1645">
        <f>TEXT(1644, "[$-0E0000]yyyy-mm-dd")</f>
        <v/>
      </c>
      <c r="C1645" t="inlineStr">
        <is>
          <t>1904-05-19</t>
        </is>
      </c>
    </row>
    <row r="1646">
      <c r="A1646" s="1" t="n">
        <v>1645</v>
      </c>
      <c r="B1646">
        <f>TEXT(1645, "[$-0E0000]yyyy-mm-dd")</f>
        <v/>
      </c>
      <c r="C1646" t="inlineStr">
        <is>
          <t>1904-05-20</t>
        </is>
      </c>
    </row>
    <row r="1647">
      <c r="A1647" s="1" t="n">
        <v>1646</v>
      </c>
      <c r="B1647">
        <f>TEXT(1646, "[$-0E0000]yyyy-mm-dd")</f>
        <v/>
      </c>
      <c r="C1647" t="inlineStr">
        <is>
          <t>1904-05-21</t>
        </is>
      </c>
    </row>
    <row r="1648">
      <c r="A1648" s="1" t="n">
        <v>1647</v>
      </c>
      <c r="B1648">
        <f>TEXT(1647, "[$-0E0000]yyyy-mm-dd")</f>
        <v/>
      </c>
      <c r="C1648" t="inlineStr">
        <is>
          <t>1904-05-22</t>
        </is>
      </c>
    </row>
    <row r="1649">
      <c r="A1649" s="1" t="n">
        <v>1648</v>
      </c>
      <c r="B1649">
        <f>TEXT(1648, "[$-0E0000]yyyy-mm-dd")</f>
        <v/>
      </c>
      <c r="C1649" t="inlineStr">
        <is>
          <t>1904-05-23</t>
        </is>
      </c>
    </row>
    <row r="1650">
      <c r="A1650" s="1" t="n">
        <v>1649</v>
      </c>
      <c r="B1650">
        <f>TEXT(1649, "[$-0E0000]yyyy-mm-dd")</f>
        <v/>
      </c>
      <c r="C1650" t="inlineStr">
        <is>
          <t>1904-05-24</t>
        </is>
      </c>
    </row>
    <row r="1651">
      <c r="A1651" s="1" t="n">
        <v>1650</v>
      </c>
      <c r="B1651">
        <f>TEXT(1650, "[$-0E0000]yyyy-mm-dd")</f>
        <v/>
      </c>
      <c r="C1651" t="inlineStr">
        <is>
          <t>1904-05-25</t>
        </is>
      </c>
    </row>
    <row r="1652">
      <c r="A1652" s="1" t="n">
        <v>1651</v>
      </c>
      <c r="B1652">
        <f>TEXT(1651, "[$-0E0000]yyyy-mm-dd")</f>
        <v/>
      </c>
      <c r="C1652" t="inlineStr">
        <is>
          <t>1904-05-26</t>
        </is>
      </c>
    </row>
    <row r="1653">
      <c r="A1653" s="1" t="n">
        <v>1652</v>
      </c>
      <c r="B1653">
        <f>TEXT(1652, "[$-0E0000]yyyy-mm-dd")</f>
        <v/>
      </c>
      <c r="C1653" t="inlineStr">
        <is>
          <t>1904-05-27</t>
        </is>
      </c>
    </row>
    <row r="1654">
      <c r="A1654" s="1" t="n">
        <v>1653</v>
      </c>
      <c r="B1654">
        <f>TEXT(1653, "[$-0E0000]yyyy-mm-dd")</f>
        <v/>
      </c>
      <c r="C1654" t="inlineStr">
        <is>
          <t>1904-05-28</t>
        </is>
      </c>
    </row>
    <row r="1655">
      <c r="A1655" s="1" t="n">
        <v>1654</v>
      </c>
      <c r="B1655">
        <f>TEXT(1654, "[$-0E0000]yyyy-mm-dd")</f>
        <v/>
      </c>
      <c r="C1655" t="inlineStr">
        <is>
          <t>1904-05-29</t>
        </is>
      </c>
    </row>
    <row r="1656">
      <c r="A1656" s="1" t="n">
        <v>1655</v>
      </c>
      <c r="B1656">
        <f>TEXT(1655, "[$-0E0000]yyyy-mm-dd")</f>
        <v/>
      </c>
      <c r="C1656" t="inlineStr">
        <is>
          <t>1904-06-01</t>
        </is>
      </c>
    </row>
    <row r="1657">
      <c r="A1657" s="1" t="n">
        <v>1656</v>
      </c>
      <c r="B1657">
        <f>TEXT(1656, "[$-0E0000]yyyy-mm-dd")</f>
        <v/>
      </c>
      <c r="C1657" t="inlineStr">
        <is>
          <t>1904-06-02</t>
        </is>
      </c>
    </row>
    <row r="1658">
      <c r="A1658" s="1" t="n">
        <v>1657</v>
      </c>
      <c r="B1658">
        <f>TEXT(1657, "[$-0E0000]yyyy-mm-dd")</f>
        <v/>
      </c>
      <c r="C1658" t="inlineStr">
        <is>
          <t>1904-06-03</t>
        </is>
      </c>
    </row>
    <row r="1659">
      <c r="A1659" s="1" t="n">
        <v>1658</v>
      </c>
      <c r="B1659">
        <f>TEXT(1658, "[$-0E0000]yyyy-mm-dd")</f>
        <v/>
      </c>
      <c r="C1659" t="inlineStr">
        <is>
          <t>1904-06-04</t>
        </is>
      </c>
    </row>
    <row r="1660">
      <c r="A1660" s="1" t="n">
        <v>1659</v>
      </c>
      <c r="B1660">
        <f>TEXT(1659, "[$-0E0000]yyyy-mm-dd")</f>
        <v/>
      </c>
      <c r="C1660" t="inlineStr">
        <is>
          <t>1904-06-05</t>
        </is>
      </c>
    </row>
    <row r="1661">
      <c r="A1661" s="1" t="n">
        <v>1660</v>
      </c>
      <c r="B1661">
        <f>TEXT(1660, "[$-0E0000]yyyy-mm-dd")</f>
        <v/>
      </c>
      <c r="C1661" t="inlineStr">
        <is>
          <t>1904-06-06</t>
        </is>
      </c>
    </row>
    <row r="1662">
      <c r="A1662" s="1" t="n">
        <v>1661</v>
      </c>
      <c r="B1662">
        <f>TEXT(1661, "[$-0E0000]yyyy-mm-dd")</f>
        <v/>
      </c>
      <c r="C1662" t="inlineStr">
        <is>
          <t>1904-06-07</t>
        </is>
      </c>
    </row>
    <row r="1663">
      <c r="A1663" s="1" t="n">
        <v>1662</v>
      </c>
      <c r="B1663">
        <f>TEXT(1662, "[$-0E0000]yyyy-mm-dd")</f>
        <v/>
      </c>
      <c r="C1663" t="inlineStr">
        <is>
          <t>1904-06-08</t>
        </is>
      </c>
    </row>
    <row r="1664">
      <c r="A1664" s="1" t="n">
        <v>1663</v>
      </c>
      <c r="B1664">
        <f>TEXT(1663, "[$-0E0000]yyyy-mm-dd")</f>
        <v/>
      </c>
      <c r="C1664" t="inlineStr">
        <is>
          <t>1904-06-09</t>
        </is>
      </c>
    </row>
    <row r="1665">
      <c r="A1665" s="1" t="n">
        <v>1664</v>
      </c>
      <c r="B1665">
        <f>TEXT(1664, "[$-0E0000]yyyy-mm-dd")</f>
        <v/>
      </c>
      <c r="C1665" t="inlineStr">
        <is>
          <t>1904-06-10</t>
        </is>
      </c>
    </row>
    <row r="1666">
      <c r="A1666" s="1" t="n">
        <v>1665</v>
      </c>
      <c r="B1666">
        <f>TEXT(1665, "[$-0E0000]yyyy-mm-dd")</f>
        <v/>
      </c>
      <c r="C1666" t="inlineStr">
        <is>
          <t>1904-06-11</t>
        </is>
      </c>
    </row>
    <row r="1667">
      <c r="A1667" s="1" t="n">
        <v>1666</v>
      </c>
      <c r="B1667">
        <f>TEXT(1666, "[$-0E0000]yyyy-mm-dd")</f>
        <v/>
      </c>
      <c r="C1667" t="inlineStr">
        <is>
          <t>1904-06-12</t>
        </is>
      </c>
    </row>
    <row r="1668">
      <c r="A1668" s="1" t="n">
        <v>1667</v>
      </c>
      <c r="B1668">
        <f>TEXT(1667, "[$-0E0000]yyyy-mm-dd")</f>
        <v/>
      </c>
      <c r="C1668" t="inlineStr">
        <is>
          <t>1904-06-13</t>
        </is>
      </c>
    </row>
    <row r="1669">
      <c r="A1669" s="1" t="n">
        <v>1668</v>
      </c>
      <c r="B1669">
        <f>TEXT(1668, "[$-0E0000]yyyy-mm-dd")</f>
        <v/>
      </c>
      <c r="C1669" t="inlineStr">
        <is>
          <t>1904-06-14</t>
        </is>
      </c>
    </row>
    <row r="1670">
      <c r="A1670" s="1" t="n">
        <v>1669</v>
      </c>
      <c r="B1670">
        <f>TEXT(1669, "[$-0E0000]yyyy-mm-dd")</f>
        <v/>
      </c>
      <c r="C1670" t="inlineStr">
        <is>
          <t>1904-06-15</t>
        </is>
      </c>
    </row>
    <row r="1671">
      <c r="A1671" s="1" t="n">
        <v>1670</v>
      </c>
      <c r="B1671">
        <f>TEXT(1670, "[$-0E0000]yyyy-mm-dd")</f>
        <v/>
      </c>
      <c r="C1671" t="inlineStr">
        <is>
          <t>1904-06-16</t>
        </is>
      </c>
    </row>
    <row r="1672">
      <c r="A1672" s="1" t="n">
        <v>1671</v>
      </c>
      <c r="B1672">
        <f>TEXT(1671, "[$-0E0000]yyyy-mm-dd")</f>
        <v/>
      </c>
      <c r="C1672" t="inlineStr">
        <is>
          <t>1904-06-17</t>
        </is>
      </c>
    </row>
    <row r="1673">
      <c r="A1673" s="1" t="n">
        <v>1672</v>
      </c>
      <c r="B1673">
        <f>TEXT(1672, "[$-0E0000]yyyy-mm-dd")</f>
        <v/>
      </c>
      <c r="C1673" t="inlineStr">
        <is>
          <t>1904-06-18</t>
        </is>
      </c>
    </row>
    <row r="1674">
      <c r="A1674" s="1" t="n">
        <v>1673</v>
      </c>
      <c r="B1674">
        <f>TEXT(1673, "[$-0E0000]yyyy-mm-dd")</f>
        <v/>
      </c>
      <c r="C1674" t="inlineStr">
        <is>
          <t>1904-06-19</t>
        </is>
      </c>
    </row>
    <row r="1675">
      <c r="A1675" s="1" t="n">
        <v>1674</v>
      </c>
      <c r="B1675">
        <f>TEXT(1674, "[$-0E0000]yyyy-mm-dd")</f>
        <v/>
      </c>
      <c r="C1675" t="inlineStr">
        <is>
          <t>1904-06-20</t>
        </is>
      </c>
    </row>
    <row r="1676">
      <c r="A1676" s="1" t="n">
        <v>1675</v>
      </c>
      <c r="B1676">
        <f>TEXT(1675, "[$-0E0000]yyyy-mm-dd")</f>
        <v/>
      </c>
      <c r="C1676" t="inlineStr">
        <is>
          <t>1904-06-21</t>
        </is>
      </c>
    </row>
    <row r="1677">
      <c r="A1677" s="1" t="n">
        <v>1676</v>
      </c>
      <c r="B1677">
        <f>TEXT(1676, "[$-0E0000]yyyy-mm-dd")</f>
        <v/>
      </c>
      <c r="C1677" t="inlineStr">
        <is>
          <t>1904-06-22</t>
        </is>
      </c>
    </row>
    <row r="1678">
      <c r="A1678" s="1" t="n">
        <v>1677</v>
      </c>
      <c r="B1678">
        <f>TEXT(1677, "[$-0E0000]yyyy-mm-dd")</f>
        <v/>
      </c>
      <c r="C1678" t="inlineStr">
        <is>
          <t>1904-06-23</t>
        </is>
      </c>
    </row>
    <row r="1679">
      <c r="A1679" s="1" t="n">
        <v>1678</v>
      </c>
      <c r="B1679">
        <f>TEXT(1678, "[$-0E0000]yyyy-mm-dd")</f>
        <v/>
      </c>
      <c r="C1679" t="inlineStr">
        <is>
          <t>1904-06-24</t>
        </is>
      </c>
    </row>
    <row r="1680">
      <c r="A1680" s="1" t="n">
        <v>1679</v>
      </c>
      <c r="B1680">
        <f>TEXT(1679, "[$-0E0000]yyyy-mm-dd")</f>
        <v/>
      </c>
      <c r="C1680" t="inlineStr">
        <is>
          <t>1904-06-25</t>
        </is>
      </c>
    </row>
    <row r="1681">
      <c r="A1681" s="1" t="n">
        <v>1680</v>
      </c>
      <c r="B1681">
        <f>TEXT(1680, "[$-0E0000]yyyy-mm-dd")</f>
        <v/>
      </c>
      <c r="C1681" t="inlineStr">
        <is>
          <t>1904-06-26</t>
        </is>
      </c>
    </row>
    <row r="1682">
      <c r="A1682" s="1" t="n">
        <v>1681</v>
      </c>
      <c r="B1682">
        <f>TEXT(1681, "[$-0E0000]yyyy-mm-dd")</f>
        <v/>
      </c>
      <c r="C1682" t="inlineStr">
        <is>
          <t>1904-06-27</t>
        </is>
      </c>
    </row>
    <row r="1683">
      <c r="A1683" s="1" t="n">
        <v>1682</v>
      </c>
      <c r="B1683">
        <f>TEXT(1682, "[$-0E0000]yyyy-mm-dd")</f>
        <v/>
      </c>
      <c r="C1683" t="inlineStr">
        <is>
          <t>1904-06-28</t>
        </is>
      </c>
    </row>
    <row r="1684">
      <c r="A1684" s="1" t="n">
        <v>1683</v>
      </c>
      <c r="B1684">
        <f>TEXT(1683, "[$-0E0000]yyyy-mm-dd")</f>
        <v/>
      </c>
      <c r="C1684" t="inlineStr">
        <is>
          <t>1904-06-29</t>
        </is>
      </c>
    </row>
    <row r="1685">
      <c r="A1685" s="1" t="n">
        <v>1684</v>
      </c>
      <c r="B1685">
        <f>TEXT(1684, "[$-0E0000]yyyy-mm-dd")</f>
        <v/>
      </c>
      <c r="C1685" t="inlineStr">
        <is>
          <t>1904-07-01</t>
        </is>
      </c>
    </row>
    <row r="1686">
      <c r="A1686" s="1" t="n">
        <v>1685</v>
      </c>
      <c r="B1686">
        <f>TEXT(1685, "[$-0E0000]yyyy-mm-dd")</f>
        <v/>
      </c>
      <c r="C1686" t="inlineStr">
        <is>
          <t>1904-07-02</t>
        </is>
      </c>
    </row>
    <row r="1687">
      <c r="A1687" s="1" t="n">
        <v>1686</v>
      </c>
      <c r="B1687">
        <f>TEXT(1686, "[$-0E0000]yyyy-mm-dd")</f>
        <v/>
      </c>
      <c r="C1687" t="inlineStr">
        <is>
          <t>1904-07-03</t>
        </is>
      </c>
    </row>
    <row r="1688">
      <c r="A1688" s="1" t="n">
        <v>1687</v>
      </c>
      <c r="B1688">
        <f>TEXT(1687, "[$-0E0000]yyyy-mm-dd")</f>
        <v/>
      </c>
      <c r="C1688" t="inlineStr">
        <is>
          <t>1904-07-04</t>
        </is>
      </c>
    </row>
    <row r="1689">
      <c r="A1689" s="1" t="n">
        <v>1688</v>
      </c>
      <c r="B1689">
        <f>TEXT(1688, "[$-0E0000]yyyy-mm-dd")</f>
        <v/>
      </c>
      <c r="C1689" t="inlineStr">
        <is>
          <t>1904-07-05</t>
        </is>
      </c>
    </row>
    <row r="1690">
      <c r="A1690" s="1" t="n">
        <v>1689</v>
      </c>
      <c r="B1690">
        <f>TEXT(1689, "[$-0E0000]yyyy-mm-dd")</f>
        <v/>
      </c>
      <c r="C1690" t="inlineStr">
        <is>
          <t>1904-07-06</t>
        </is>
      </c>
    </row>
    <row r="1691">
      <c r="A1691" s="1" t="n">
        <v>1690</v>
      </c>
      <c r="B1691">
        <f>TEXT(1690, "[$-0E0000]yyyy-mm-dd")</f>
        <v/>
      </c>
      <c r="C1691" t="inlineStr">
        <is>
          <t>1904-07-07</t>
        </is>
      </c>
    </row>
    <row r="1692">
      <c r="A1692" s="1" t="n">
        <v>1691</v>
      </c>
      <c r="B1692">
        <f>TEXT(1691, "[$-0E0000]yyyy-mm-dd")</f>
        <v/>
      </c>
      <c r="C1692" t="inlineStr">
        <is>
          <t>1904-07-08</t>
        </is>
      </c>
    </row>
    <row r="1693">
      <c r="A1693" s="1" t="n">
        <v>1692</v>
      </c>
      <c r="B1693">
        <f>TEXT(1692, "[$-0E0000]yyyy-mm-dd")</f>
        <v/>
      </c>
      <c r="C1693" t="inlineStr">
        <is>
          <t>1904-07-09</t>
        </is>
      </c>
    </row>
    <row r="1694">
      <c r="A1694" s="1" t="n">
        <v>1693</v>
      </c>
      <c r="B1694">
        <f>TEXT(1693, "[$-0E0000]yyyy-mm-dd")</f>
        <v/>
      </c>
      <c r="C1694" t="inlineStr">
        <is>
          <t>1904-07-10</t>
        </is>
      </c>
    </row>
    <row r="1695">
      <c r="A1695" s="1" t="n">
        <v>1694</v>
      </c>
      <c r="B1695">
        <f>TEXT(1694, "[$-0E0000]yyyy-mm-dd")</f>
        <v/>
      </c>
      <c r="C1695" t="inlineStr">
        <is>
          <t>1904-07-11</t>
        </is>
      </c>
    </row>
    <row r="1696">
      <c r="A1696" s="1" t="n">
        <v>1695</v>
      </c>
      <c r="B1696">
        <f>TEXT(1695, "[$-0E0000]yyyy-mm-dd")</f>
        <v/>
      </c>
      <c r="C1696" t="inlineStr">
        <is>
          <t>1904-07-12</t>
        </is>
      </c>
    </row>
    <row r="1697">
      <c r="A1697" s="1" t="n">
        <v>1696</v>
      </c>
      <c r="B1697">
        <f>TEXT(1696, "[$-0E0000]yyyy-mm-dd")</f>
        <v/>
      </c>
      <c r="C1697" t="inlineStr">
        <is>
          <t>1904-07-13</t>
        </is>
      </c>
    </row>
    <row r="1698">
      <c r="A1698" s="1" t="n">
        <v>1697</v>
      </c>
      <c r="B1698">
        <f>TEXT(1697, "[$-0E0000]yyyy-mm-dd")</f>
        <v/>
      </c>
      <c r="C1698" t="inlineStr">
        <is>
          <t>1904-07-14</t>
        </is>
      </c>
    </row>
    <row r="1699">
      <c r="A1699" s="1" t="n">
        <v>1698</v>
      </c>
      <c r="B1699">
        <f>TEXT(1698, "[$-0E0000]yyyy-mm-dd")</f>
        <v/>
      </c>
      <c r="C1699" t="inlineStr">
        <is>
          <t>1904-07-15</t>
        </is>
      </c>
    </row>
    <row r="1700">
      <c r="A1700" s="1" t="n">
        <v>1699</v>
      </c>
      <c r="B1700">
        <f>TEXT(1699, "[$-0E0000]yyyy-mm-dd")</f>
        <v/>
      </c>
      <c r="C1700" t="inlineStr">
        <is>
          <t>1904-07-16</t>
        </is>
      </c>
    </row>
    <row r="1701">
      <c r="A1701" s="1" t="n">
        <v>1700</v>
      </c>
      <c r="B1701">
        <f>TEXT(1700, "[$-0E0000]yyyy-mm-dd")</f>
        <v/>
      </c>
      <c r="C1701" t="inlineStr">
        <is>
          <t>1904-07-17</t>
        </is>
      </c>
    </row>
    <row r="1702">
      <c r="A1702" s="1" t="n">
        <v>1701</v>
      </c>
      <c r="B1702">
        <f>TEXT(1701, "[$-0E0000]yyyy-mm-dd")</f>
        <v/>
      </c>
      <c r="C1702" t="inlineStr">
        <is>
          <t>1904-07-18</t>
        </is>
      </c>
    </row>
    <row r="1703">
      <c r="A1703" s="1" t="n">
        <v>1702</v>
      </c>
      <c r="B1703">
        <f>TEXT(1702, "[$-0E0000]yyyy-mm-dd")</f>
        <v/>
      </c>
      <c r="C1703" t="inlineStr">
        <is>
          <t>1904-07-19</t>
        </is>
      </c>
    </row>
    <row r="1704">
      <c r="A1704" s="1" t="n">
        <v>1703</v>
      </c>
      <c r="B1704">
        <f>TEXT(1703, "[$-0E0000]yyyy-mm-dd")</f>
        <v/>
      </c>
      <c r="C1704" t="inlineStr">
        <is>
          <t>1904-07-20</t>
        </is>
      </c>
    </row>
    <row r="1705">
      <c r="A1705" s="1" t="n">
        <v>1704</v>
      </c>
      <c r="B1705">
        <f>TEXT(1704, "[$-0E0000]yyyy-mm-dd")</f>
        <v/>
      </c>
      <c r="C1705" t="inlineStr">
        <is>
          <t>1904-07-21</t>
        </is>
      </c>
    </row>
    <row r="1706">
      <c r="A1706" s="1" t="n">
        <v>1705</v>
      </c>
      <c r="B1706">
        <f>TEXT(1705, "[$-0E0000]yyyy-mm-dd")</f>
        <v/>
      </c>
      <c r="C1706" t="inlineStr">
        <is>
          <t>1904-07-22</t>
        </is>
      </c>
    </row>
    <row r="1707">
      <c r="A1707" s="1" t="n">
        <v>1706</v>
      </c>
      <c r="B1707">
        <f>TEXT(1706, "[$-0E0000]yyyy-mm-dd")</f>
        <v/>
      </c>
      <c r="C1707" t="inlineStr">
        <is>
          <t>1904-07-23</t>
        </is>
      </c>
    </row>
    <row r="1708">
      <c r="A1708" s="1" t="n">
        <v>1707</v>
      </c>
      <c r="B1708">
        <f>TEXT(1707, "[$-0E0000]yyyy-mm-dd")</f>
        <v/>
      </c>
      <c r="C1708" t="inlineStr">
        <is>
          <t>1904-07-24</t>
        </is>
      </c>
    </row>
    <row r="1709">
      <c r="A1709" s="1" t="n">
        <v>1708</v>
      </c>
      <c r="B1709">
        <f>TEXT(1708, "[$-0E0000]yyyy-mm-dd")</f>
        <v/>
      </c>
      <c r="C1709" t="inlineStr">
        <is>
          <t>1904-07-25</t>
        </is>
      </c>
    </row>
    <row r="1710">
      <c r="A1710" s="1" t="n">
        <v>1709</v>
      </c>
      <c r="B1710">
        <f>TEXT(1709, "[$-0E0000]yyyy-mm-dd")</f>
        <v/>
      </c>
      <c r="C1710" t="inlineStr">
        <is>
          <t>1904-07-26</t>
        </is>
      </c>
    </row>
    <row r="1711">
      <c r="A1711" s="1" t="n">
        <v>1710</v>
      </c>
      <c r="B1711">
        <f>TEXT(1710, "[$-0E0000]yyyy-mm-dd")</f>
        <v/>
      </c>
      <c r="C1711" t="inlineStr">
        <is>
          <t>1904-07-27</t>
        </is>
      </c>
    </row>
    <row r="1712">
      <c r="A1712" s="1" t="n">
        <v>1711</v>
      </c>
      <c r="B1712">
        <f>TEXT(1711, "[$-0E0000]yyyy-mm-dd")</f>
        <v/>
      </c>
      <c r="C1712" t="inlineStr">
        <is>
          <t>1904-07-28</t>
        </is>
      </c>
    </row>
    <row r="1713">
      <c r="A1713" s="1" t="n">
        <v>1712</v>
      </c>
      <c r="B1713">
        <f>TEXT(1712, "[$-0E0000]yyyy-mm-dd")</f>
        <v/>
      </c>
      <c r="C1713" t="inlineStr">
        <is>
          <t>1904-07-29</t>
        </is>
      </c>
    </row>
    <row r="1714">
      <c r="A1714" s="1" t="n">
        <v>1713</v>
      </c>
      <c r="B1714">
        <f>TEXT(1713, "[$-0E0000]yyyy-mm-dd")</f>
        <v/>
      </c>
      <c r="C1714" t="inlineStr">
        <is>
          <t>1904-07-30</t>
        </is>
      </c>
    </row>
    <row r="1715">
      <c r="A1715" s="1" t="n">
        <v>1714</v>
      </c>
      <c r="B1715">
        <f>TEXT(1714, "[$-0E0000]yyyy-mm-dd")</f>
        <v/>
      </c>
      <c r="C1715" t="inlineStr">
        <is>
          <t>1904-08-01</t>
        </is>
      </c>
    </row>
    <row r="1716">
      <c r="A1716" s="1" t="n">
        <v>1715</v>
      </c>
      <c r="B1716">
        <f>TEXT(1715, "[$-0E0000]yyyy-mm-dd")</f>
        <v/>
      </c>
      <c r="C1716" t="inlineStr">
        <is>
          <t>1904-08-02</t>
        </is>
      </c>
    </row>
    <row r="1717">
      <c r="A1717" s="1" t="n">
        <v>1716</v>
      </c>
      <c r="B1717">
        <f>TEXT(1716, "[$-0E0000]yyyy-mm-dd")</f>
        <v/>
      </c>
      <c r="C1717" t="inlineStr">
        <is>
          <t>1904-08-03</t>
        </is>
      </c>
    </row>
    <row r="1718">
      <c r="A1718" s="1" t="n">
        <v>1717</v>
      </c>
      <c r="B1718">
        <f>TEXT(1717, "[$-0E0000]yyyy-mm-dd")</f>
        <v/>
      </c>
      <c r="C1718" t="inlineStr">
        <is>
          <t>1904-08-04</t>
        </is>
      </c>
    </row>
    <row r="1719">
      <c r="A1719" s="1" t="n">
        <v>1718</v>
      </c>
      <c r="B1719">
        <f>TEXT(1718, "[$-0E0000]yyyy-mm-dd")</f>
        <v/>
      </c>
      <c r="C1719" t="inlineStr">
        <is>
          <t>1904-08-05</t>
        </is>
      </c>
    </row>
    <row r="1720">
      <c r="A1720" s="1" t="n">
        <v>1719</v>
      </c>
      <c r="B1720">
        <f>TEXT(1719, "[$-0E0000]yyyy-mm-dd")</f>
        <v/>
      </c>
      <c r="C1720" t="inlineStr">
        <is>
          <t>1904-08-06</t>
        </is>
      </c>
    </row>
    <row r="1721">
      <c r="A1721" s="1" t="n">
        <v>1720</v>
      </c>
      <c r="B1721">
        <f>TEXT(1720, "[$-0E0000]yyyy-mm-dd")</f>
        <v/>
      </c>
      <c r="C1721" t="inlineStr">
        <is>
          <t>1904-08-07</t>
        </is>
      </c>
    </row>
    <row r="1722">
      <c r="A1722" s="1" t="n">
        <v>1721</v>
      </c>
      <c r="B1722">
        <f>TEXT(1721, "[$-0E0000]yyyy-mm-dd")</f>
        <v/>
      </c>
      <c r="C1722" t="inlineStr">
        <is>
          <t>1904-08-08</t>
        </is>
      </c>
    </row>
    <row r="1723">
      <c r="A1723" s="1" t="n">
        <v>1722</v>
      </c>
      <c r="B1723">
        <f>TEXT(1722, "[$-0E0000]yyyy-mm-dd")</f>
        <v/>
      </c>
      <c r="C1723" t="inlineStr">
        <is>
          <t>1904-08-09</t>
        </is>
      </c>
    </row>
    <row r="1724">
      <c r="A1724" s="1" t="n">
        <v>1723</v>
      </c>
      <c r="B1724">
        <f>TEXT(1723, "[$-0E0000]yyyy-mm-dd")</f>
        <v/>
      </c>
      <c r="C1724" t="inlineStr">
        <is>
          <t>1904-08-10</t>
        </is>
      </c>
    </row>
    <row r="1725">
      <c r="A1725" s="1" t="n">
        <v>1724</v>
      </c>
      <c r="B1725">
        <f>TEXT(1724, "[$-0E0000]yyyy-mm-dd")</f>
        <v/>
      </c>
      <c r="C1725" t="inlineStr">
        <is>
          <t>1904-08-11</t>
        </is>
      </c>
    </row>
    <row r="1726">
      <c r="A1726" s="1" t="n">
        <v>1725</v>
      </c>
      <c r="B1726">
        <f>TEXT(1725, "[$-0E0000]yyyy-mm-dd")</f>
        <v/>
      </c>
      <c r="C1726" t="inlineStr">
        <is>
          <t>1904-08-12</t>
        </is>
      </c>
    </row>
    <row r="1727">
      <c r="A1727" s="1" t="n">
        <v>1726</v>
      </c>
      <c r="B1727">
        <f>TEXT(1726, "[$-0E0000]yyyy-mm-dd")</f>
        <v/>
      </c>
      <c r="C1727" t="inlineStr">
        <is>
          <t>1904-08-13</t>
        </is>
      </c>
    </row>
    <row r="1728">
      <c r="A1728" s="1" t="n">
        <v>1727</v>
      </c>
      <c r="B1728">
        <f>TEXT(1727, "[$-0E0000]yyyy-mm-dd")</f>
        <v/>
      </c>
      <c r="C1728" t="inlineStr">
        <is>
          <t>1904-08-14</t>
        </is>
      </c>
    </row>
    <row r="1729">
      <c r="A1729" s="1" t="n">
        <v>1728</v>
      </c>
      <c r="B1729">
        <f>TEXT(1728, "[$-0E0000]yyyy-mm-dd")</f>
        <v/>
      </c>
      <c r="C1729" t="inlineStr">
        <is>
          <t>1904-08-15</t>
        </is>
      </c>
    </row>
    <row r="1730">
      <c r="A1730" s="1" t="n">
        <v>1729</v>
      </c>
      <c r="B1730">
        <f>TEXT(1729, "[$-0E0000]yyyy-mm-dd")</f>
        <v/>
      </c>
      <c r="C1730" t="inlineStr">
        <is>
          <t>1904-08-16</t>
        </is>
      </c>
    </row>
    <row r="1731">
      <c r="A1731" s="1" t="n">
        <v>1730</v>
      </c>
      <c r="B1731">
        <f>TEXT(1730, "[$-0E0000]yyyy-mm-dd")</f>
        <v/>
      </c>
      <c r="C1731" t="inlineStr">
        <is>
          <t>1904-08-17</t>
        </is>
      </c>
    </row>
    <row r="1732">
      <c r="A1732" s="1" t="n">
        <v>1731</v>
      </c>
      <c r="B1732">
        <f>TEXT(1731, "[$-0E0000]yyyy-mm-dd")</f>
        <v/>
      </c>
      <c r="C1732" t="inlineStr">
        <is>
          <t>1904-08-18</t>
        </is>
      </c>
    </row>
    <row r="1733">
      <c r="A1733" s="1" t="n">
        <v>1732</v>
      </c>
      <c r="B1733">
        <f>TEXT(1732, "[$-0E0000]yyyy-mm-dd")</f>
        <v/>
      </c>
      <c r="C1733" t="inlineStr">
        <is>
          <t>1904-08-19</t>
        </is>
      </c>
    </row>
    <row r="1734">
      <c r="A1734" s="1" t="n">
        <v>1733</v>
      </c>
      <c r="B1734">
        <f>TEXT(1733, "[$-0E0000]yyyy-mm-dd")</f>
        <v/>
      </c>
      <c r="C1734" t="inlineStr">
        <is>
          <t>1904-08-20</t>
        </is>
      </c>
    </row>
    <row r="1735">
      <c r="A1735" s="1" t="n">
        <v>1734</v>
      </c>
      <c r="B1735">
        <f>TEXT(1734, "[$-0E0000]yyyy-mm-dd")</f>
        <v/>
      </c>
      <c r="C1735" t="inlineStr">
        <is>
          <t>1904-08-21</t>
        </is>
      </c>
    </row>
    <row r="1736">
      <c r="A1736" s="1" t="n">
        <v>1735</v>
      </c>
      <c r="B1736">
        <f>TEXT(1735, "[$-0E0000]yyyy-mm-dd")</f>
        <v/>
      </c>
      <c r="C1736" t="inlineStr">
        <is>
          <t>1904-08-22</t>
        </is>
      </c>
    </row>
    <row r="1737">
      <c r="A1737" s="1" t="n">
        <v>1736</v>
      </c>
      <c r="B1737">
        <f>TEXT(1736, "[$-0E0000]yyyy-mm-dd")</f>
        <v/>
      </c>
      <c r="C1737" t="inlineStr">
        <is>
          <t>1904-08-23</t>
        </is>
      </c>
    </row>
    <row r="1738">
      <c r="A1738" s="1" t="n">
        <v>1737</v>
      </c>
      <c r="B1738">
        <f>TEXT(1737, "[$-0E0000]yyyy-mm-dd")</f>
        <v/>
      </c>
      <c r="C1738" t="inlineStr">
        <is>
          <t>1904-08-24</t>
        </is>
      </c>
    </row>
    <row r="1739">
      <c r="A1739" s="1" t="n">
        <v>1738</v>
      </c>
      <c r="B1739">
        <f>TEXT(1738, "[$-0E0000]yyyy-mm-dd")</f>
        <v/>
      </c>
      <c r="C1739" t="inlineStr">
        <is>
          <t>1904-08-25</t>
        </is>
      </c>
    </row>
    <row r="1740">
      <c r="A1740" s="1" t="n">
        <v>1739</v>
      </c>
      <c r="B1740">
        <f>TEXT(1739, "[$-0E0000]yyyy-mm-dd")</f>
        <v/>
      </c>
      <c r="C1740" t="inlineStr">
        <is>
          <t>1904-08-26</t>
        </is>
      </c>
    </row>
    <row r="1741">
      <c r="A1741" s="1" t="n">
        <v>1740</v>
      </c>
      <c r="B1741">
        <f>TEXT(1740, "[$-0E0000]yyyy-mm-dd")</f>
        <v/>
      </c>
      <c r="C1741" t="inlineStr">
        <is>
          <t>1904-08-27</t>
        </is>
      </c>
    </row>
    <row r="1742">
      <c r="A1742" s="1" t="n">
        <v>1741</v>
      </c>
      <c r="B1742">
        <f>TEXT(1741, "[$-0E0000]yyyy-mm-dd")</f>
        <v/>
      </c>
      <c r="C1742" t="inlineStr">
        <is>
          <t>1904-08-28</t>
        </is>
      </c>
    </row>
    <row r="1743">
      <c r="A1743" s="1" t="n">
        <v>1742</v>
      </c>
      <c r="B1743">
        <f>TEXT(1742, "[$-0E0000]yyyy-mm-dd")</f>
        <v/>
      </c>
      <c r="C1743" t="inlineStr">
        <is>
          <t>1904-08-29</t>
        </is>
      </c>
    </row>
    <row r="1744">
      <c r="A1744" s="1" t="n">
        <v>1743</v>
      </c>
      <c r="B1744">
        <f>TEXT(1743, "[$-0E0000]yyyy-mm-dd")</f>
        <v/>
      </c>
      <c r="C1744" t="inlineStr">
        <is>
          <t>1904-09-01</t>
        </is>
      </c>
    </row>
    <row r="1745">
      <c r="A1745" s="1" t="n">
        <v>1744</v>
      </c>
      <c r="B1745">
        <f>TEXT(1744, "[$-0E0000]yyyy-mm-dd")</f>
        <v/>
      </c>
      <c r="C1745" t="inlineStr">
        <is>
          <t>1904-09-02</t>
        </is>
      </c>
    </row>
    <row r="1746">
      <c r="A1746" s="1" t="n">
        <v>1745</v>
      </c>
      <c r="B1746">
        <f>TEXT(1745, "[$-0E0000]yyyy-mm-dd")</f>
        <v/>
      </c>
      <c r="C1746" t="inlineStr">
        <is>
          <t>1904-09-03</t>
        </is>
      </c>
    </row>
    <row r="1747">
      <c r="A1747" s="1" t="n">
        <v>1746</v>
      </c>
      <c r="B1747">
        <f>TEXT(1746, "[$-0E0000]yyyy-mm-dd")</f>
        <v/>
      </c>
      <c r="C1747" t="inlineStr">
        <is>
          <t>1904-09-04</t>
        </is>
      </c>
    </row>
    <row r="1748">
      <c r="A1748" s="1" t="n">
        <v>1747</v>
      </c>
      <c r="B1748">
        <f>TEXT(1747, "[$-0E0000]yyyy-mm-dd")</f>
        <v/>
      </c>
      <c r="C1748" t="inlineStr">
        <is>
          <t>1904-09-05</t>
        </is>
      </c>
    </row>
    <row r="1749">
      <c r="A1749" s="1" t="n">
        <v>1748</v>
      </c>
      <c r="B1749">
        <f>TEXT(1748, "[$-0E0000]yyyy-mm-dd")</f>
        <v/>
      </c>
      <c r="C1749" t="inlineStr">
        <is>
          <t>1904-09-06</t>
        </is>
      </c>
    </row>
    <row r="1750">
      <c r="A1750" s="1" t="n">
        <v>1749</v>
      </c>
      <c r="B1750">
        <f>TEXT(1749, "[$-0E0000]yyyy-mm-dd")</f>
        <v/>
      </c>
      <c r="C1750" t="inlineStr">
        <is>
          <t>1904-09-07</t>
        </is>
      </c>
    </row>
    <row r="1751">
      <c r="A1751" s="1" t="n">
        <v>1750</v>
      </c>
      <c r="B1751">
        <f>TEXT(1750, "[$-0E0000]yyyy-mm-dd")</f>
        <v/>
      </c>
      <c r="C1751" t="inlineStr">
        <is>
          <t>1904-09-08</t>
        </is>
      </c>
    </row>
    <row r="1752">
      <c r="A1752" s="1" t="n">
        <v>1751</v>
      </c>
      <c r="B1752">
        <f>TEXT(1751, "[$-0E0000]yyyy-mm-dd")</f>
        <v/>
      </c>
      <c r="C1752" t="inlineStr">
        <is>
          <t>1904-09-09</t>
        </is>
      </c>
    </row>
    <row r="1753">
      <c r="A1753" s="1" t="n">
        <v>1752</v>
      </c>
      <c r="B1753">
        <f>TEXT(1752, "[$-0E0000]yyyy-mm-dd")</f>
        <v/>
      </c>
      <c r="C1753" t="inlineStr">
        <is>
          <t>1904-09-10</t>
        </is>
      </c>
    </row>
    <row r="1754">
      <c r="A1754" s="1" t="n">
        <v>1753</v>
      </c>
      <c r="B1754">
        <f>TEXT(1753, "[$-0E0000]yyyy-mm-dd")</f>
        <v/>
      </c>
      <c r="C1754" t="inlineStr">
        <is>
          <t>1904-09-11</t>
        </is>
      </c>
    </row>
    <row r="1755">
      <c r="A1755" s="1" t="n">
        <v>1754</v>
      </c>
      <c r="B1755">
        <f>TEXT(1754, "[$-0E0000]yyyy-mm-dd")</f>
        <v/>
      </c>
      <c r="C1755" t="inlineStr">
        <is>
          <t>1904-09-12</t>
        </is>
      </c>
    </row>
    <row r="1756">
      <c r="A1756" s="1" t="n">
        <v>1755</v>
      </c>
      <c r="B1756">
        <f>TEXT(1755, "[$-0E0000]yyyy-mm-dd")</f>
        <v/>
      </c>
      <c r="C1756" t="inlineStr">
        <is>
          <t>1904-09-13</t>
        </is>
      </c>
    </row>
    <row r="1757">
      <c r="A1757" s="1" t="n">
        <v>1756</v>
      </c>
      <c r="B1757">
        <f>TEXT(1756, "[$-0E0000]yyyy-mm-dd")</f>
        <v/>
      </c>
      <c r="C1757" t="inlineStr">
        <is>
          <t>1904-09-14</t>
        </is>
      </c>
    </row>
    <row r="1758">
      <c r="A1758" s="1" t="n">
        <v>1757</v>
      </c>
      <c r="B1758">
        <f>TEXT(1757, "[$-0E0000]yyyy-mm-dd")</f>
        <v/>
      </c>
      <c r="C1758" t="inlineStr">
        <is>
          <t>1904-09-15</t>
        </is>
      </c>
    </row>
    <row r="1759">
      <c r="A1759" s="1" t="n">
        <v>1758</v>
      </c>
      <c r="B1759">
        <f>TEXT(1758, "[$-0E0000]yyyy-mm-dd")</f>
        <v/>
      </c>
      <c r="C1759" t="inlineStr">
        <is>
          <t>1904-09-16</t>
        </is>
      </c>
    </row>
    <row r="1760">
      <c r="A1760" s="1" t="n">
        <v>1759</v>
      </c>
      <c r="B1760">
        <f>TEXT(1759, "[$-0E0000]yyyy-mm-dd")</f>
        <v/>
      </c>
      <c r="C1760" t="inlineStr">
        <is>
          <t>1904-09-17</t>
        </is>
      </c>
    </row>
    <row r="1761">
      <c r="A1761" s="1" t="n">
        <v>1760</v>
      </c>
      <c r="B1761">
        <f>TEXT(1760, "[$-0E0000]yyyy-mm-dd")</f>
        <v/>
      </c>
      <c r="C1761" t="inlineStr">
        <is>
          <t>1904-09-18</t>
        </is>
      </c>
    </row>
    <row r="1762">
      <c r="A1762" s="1" t="n">
        <v>1761</v>
      </c>
      <c r="B1762">
        <f>TEXT(1761, "[$-0E0000]yyyy-mm-dd")</f>
        <v/>
      </c>
      <c r="C1762" t="inlineStr">
        <is>
          <t>1904-09-19</t>
        </is>
      </c>
    </row>
    <row r="1763">
      <c r="A1763" s="1" t="n">
        <v>1762</v>
      </c>
      <c r="B1763">
        <f>TEXT(1762, "[$-0E0000]yyyy-mm-dd")</f>
        <v/>
      </c>
      <c r="C1763" t="inlineStr">
        <is>
          <t>1904-09-20</t>
        </is>
      </c>
    </row>
    <row r="1764">
      <c r="A1764" s="1" t="n">
        <v>1763</v>
      </c>
      <c r="B1764">
        <f>TEXT(1763, "[$-0E0000]yyyy-mm-dd")</f>
        <v/>
      </c>
      <c r="C1764" t="inlineStr">
        <is>
          <t>1904-09-21</t>
        </is>
      </c>
    </row>
    <row r="1765">
      <c r="A1765" s="1" t="n">
        <v>1764</v>
      </c>
      <c r="B1765">
        <f>TEXT(1764, "[$-0E0000]yyyy-mm-dd")</f>
        <v/>
      </c>
      <c r="C1765" t="inlineStr">
        <is>
          <t>1904-09-22</t>
        </is>
      </c>
    </row>
    <row r="1766">
      <c r="A1766" s="1" t="n">
        <v>1765</v>
      </c>
      <c r="B1766">
        <f>TEXT(1765, "[$-0E0000]yyyy-mm-dd")</f>
        <v/>
      </c>
      <c r="C1766" t="inlineStr">
        <is>
          <t>1904-09-23</t>
        </is>
      </c>
    </row>
    <row r="1767">
      <c r="A1767" s="1" t="n">
        <v>1766</v>
      </c>
      <c r="B1767">
        <f>TEXT(1766, "[$-0E0000]yyyy-mm-dd")</f>
        <v/>
      </c>
      <c r="C1767" t="inlineStr">
        <is>
          <t>1904-09-24</t>
        </is>
      </c>
    </row>
    <row r="1768">
      <c r="A1768" s="1" t="n">
        <v>1767</v>
      </c>
      <c r="B1768">
        <f>TEXT(1767, "[$-0E0000]yyyy-mm-dd")</f>
        <v/>
      </c>
      <c r="C1768" t="inlineStr">
        <is>
          <t>1904-09-25</t>
        </is>
      </c>
    </row>
    <row r="1769">
      <c r="A1769" s="1" t="n">
        <v>1768</v>
      </c>
      <c r="B1769">
        <f>TEXT(1768, "[$-0E0000]yyyy-mm-dd")</f>
        <v/>
      </c>
      <c r="C1769" t="inlineStr">
        <is>
          <t>1904-09-26</t>
        </is>
      </c>
    </row>
    <row r="1770">
      <c r="A1770" s="1" t="n">
        <v>1769</v>
      </c>
      <c r="B1770">
        <f>TEXT(1769, "[$-0E0000]yyyy-mm-dd")</f>
        <v/>
      </c>
      <c r="C1770" t="inlineStr">
        <is>
          <t>1904-09-27</t>
        </is>
      </c>
    </row>
    <row r="1771">
      <c r="A1771" s="1" t="n">
        <v>1770</v>
      </c>
      <c r="B1771">
        <f>TEXT(1770, "[$-0E0000]yyyy-mm-dd")</f>
        <v/>
      </c>
      <c r="C1771" t="inlineStr">
        <is>
          <t>1904-09-28</t>
        </is>
      </c>
    </row>
    <row r="1772">
      <c r="A1772" s="1" t="n">
        <v>1771</v>
      </c>
      <c r="B1772">
        <f>TEXT(1771, "[$-0E0000]yyyy-mm-dd")</f>
        <v/>
      </c>
      <c r="C1772" t="inlineStr">
        <is>
          <t>1904-09-29</t>
        </is>
      </c>
    </row>
    <row r="1773">
      <c r="A1773" s="1" t="n">
        <v>1772</v>
      </c>
      <c r="B1773">
        <f>TEXT(1772, "[$-0E0000]yyyy-mm-dd")</f>
        <v/>
      </c>
      <c r="C1773" t="inlineStr">
        <is>
          <t>1904-10-01</t>
        </is>
      </c>
    </row>
    <row r="1774">
      <c r="A1774" s="1" t="n">
        <v>1773</v>
      </c>
      <c r="B1774">
        <f>TEXT(1773, "[$-0E0000]yyyy-mm-dd")</f>
        <v/>
      </c>
      <c r="C1774" t="inlineStr">
        <is>
          <t>1904-10-02</t>
        </is>
      </c>
    </row>
    <row r="1775">
      <c r="A1775" s="1" t="n">
        <v>1774</v>
      </c>
      <c r="B1775">
        <f>TEXT(1774, "[$-0E0000]yyyy-mm-dd")</f>
        <v/>
      </c>
      <c r="C1775" t="inlineStr">
        <is>
          <t>1904-10-03</t>
        </is>
      </c>
    </row>
    <row r="1776">
      <c r="A1776" s="1" t="n">
        <v>1775</v>
      </c>
      <c r="B1776">
        <f>TEXT(1775, "[$-0E0000]yyyy-mm-dd")</f>
        <v/>
      </c>
      <c r="C1776" t="inlineStr">
        <is>
          <t>1904-10-04</t>
        </is>
      </c>
    </row>
    <row r="1777">
      <c r="A1777" s="1" t="n">
        <v>1776</v>
      </c>
      <c r="B1777">
        <f>TEXT(1776, "[$-0E0000]yyyy-mm-dd")</f>
        <v/>
      </c>
      <c r="C1777" t="inlineStr">
        <is>
          <t>1904-10-05</t>
        </is>
      </c>
    </row>
    <row r="1778">
      <c r="A1778" s="1" t="n">
        <v>1777</v>
      </c>
      <c r="B1778">
        <f>TEXT(1777, "[$-0E0000]yyyy-mm-dd")</f>
        <v/>
      </c>
      <c r="C1778" t="inlineStr">
        <is>
          <t>1904-10-06</t>
        </is>
      </c>
    </row>
    <row r="1779">
      <c r="A1779" s="1" t="n">
        <v>1778</v>
      </c>
      <c r="B1779">
        <f>TEXT(1778, "[$-0E0000]yyyy-mm-dd")</f>
        <v/>
      </c>
      <c r="C1779" t="inlineStr">
        <is>
          <t>1904-10-07</t>
        </is>
      </c>
    </row>
    <row r="1780">
      <c r="A1780" s="1" t="n">
        <v>1779</v>
      </c>
      <c r="B1780">
        <f>TEXT(1779, "[$-0E0000]yyyy-mm-dd")</f>
        <v/>
      </c>
      <c r="C1780" t="inlineStr">
        <is>
          <t>1904-10-08</t>
        </is>
      </c>
    </row>
    <row r="1781">
      <c r="A1781" s="1" t="n">
        <v>1780</v>
      </c>
      <c r="B1781">
        <f>TEXT(1780, "[$-0E0000]yyyy-mm-dd")</f>
        <v/>
      </c>
      <c r="C1781" t="inlineStr">
        <is>
          <t>1904-10-09</t>
        </is>
      </c>
    </row>
    <row r="1782">
      <c r="A1782" s="1" t="n">
        <v>1781</v>
      </c>
      <c r="B1782">
        <f>TEXT(1781, "[$-0E0000]yyyy-mm-dd")</f>
        <v/>
      </c>
      <c r="C1782" t="inlineStr">
        <is>
          <t>1904-10-10</t>
        </is>
      </c>
    </row>
    <row r="1783">
      <c r="A1783" s="1" t="n">
        <v>1782</v>
      </c>
      <c r="B1783">
        <f>TEXT(1782, "[$-0E0000]yyyy-mm-dd")</f>
        <v/>
      </c>
      <c r="C1783" t="inlineStr">
        <is>
          <t>1904-10-11</t>
        </is>
      </c>
    </row>
    <row r="1784">
      <c r="A1784" s="1" t="n">
        <v>1783</v>
      </c>
      <c r="B1784">
        <f>TEXT(1783, "[$-0E0000]yyyy-mm-dd")</f>
        <v/>
      </c>
      <c r="C1784" t="inlineStr">
        <is>
          <t>1904-10-12</t>
        </is>
      </c>
    </row>
    <row r="1785">
      <c r="A1785" s="1" t="n">
        <v>1784</v>
      </c>
      <c r="B1785">
        <f>TEXT(1784, "[$-0E0000]yyyy-mm-dd")</f>
        <v/>
      </c>
      <c r="C1785" t="inlineStr">
        <is>
          <t>1904-10-13</t>
        </is>
      </c>
    </row>
    <row r="1786">
      <c r="A1786" s="1" t="n">
        <v>1785</v>
      </c>
      <c r="B1786">
        <f>TEXT(1785, "[$-0E0000]yyyy-mm-dd")</f>
        <v/>
      </c>
      <c r="C1786" t="inlineStr">
        <is>
          <t>1904-10-14</t>
        </is>
      </c>
    </row>
    <row r="1787">
      <c r="A1787" s="1" t="n">
        <v>1786</v>
      </c>
      <c r="B1787">
        <f>TEXT(1786, "[$-0E0000]yyyy-mm-dd")</f>
        <v/>
      </c>
      <c r="C1787" t="inlineStr">
        <is>
          <t>1904-10-15</t>
        </is>
      </c>
    </row>
    <row r="1788">
      <c r="A1788" s="1" t="n">
        <v>1787</v>
      </c>
      <c r="B1788">
        <f>TEXT(1787, "[$-0E0000]yyyy-mm-dd")</f>
        <v/>
      </c>
      <c r="C1788" t="inlineStr">
        <is>
          <t>1904-10-16</t>
        </is>
      </c>
    </row>
    <row r="1789">
      <c r="A1789" s="1" t="n">
        <v>1788</v>
      </c>
      <c r="B1789">
        <f>TEXT(1788, "[$-0E0000]yyyy-mm-dd")</f>
        <v/>
      </c>
      <c r="C1789" t="inlineStr">
        <is>
          <t>1904-10-17</t>
        </is>
      </c>
    </row>
    <row r="1790">
      <c r="A1790" s="1" t="n">
        <v>1789</v>
      </c>
      <c r="B1790">
        <f>TEXT(1789, "[$-0E0000]yyyy-mm-dd")</f>
        <v/>
      </c>
      <c r="C1790" t="inlineStr">
        <is>
          <t>1904-10-18</t>
        </is>
      </c>
    </row>
    <row r="1791">
      <c r="A1791" s="1" t="n">
        <v>1790</v>
      </c>
      <c r="B1791">
        <f>TEXT(1790, "[$-0E0000]yyyy-mm-dd")</f>
        <v/>
      </c>
      <c r="C1791" t="inlineStr">
        <is>
          <t>1904-10-19</t>
        </is>
      </c>
    </row>
    <row r="1792">
      <c r="A1792" s="1" t="n">
        <v>1791</v>
      </c>
      <c r="B1792">
        <f>TEXT(1791, "[$-0E0000]yyyy-mm-dd")</f>
        <v/>
      </c>
      <c r="C1792" t="inlineStr">
        <is>
          <t>1904-10-20</t>
        </is>
      </c>
    </row>
    <row r="1793">
      <c r="A1793" s="1" t="n">
        <v>1792</v>
      </c>
      <c r="B1793">
        <f>TEXT(1792, "[$-0E0000]yyyy-mm-dd")</f>
        <v/>
      </c>
      <c r="C1793" t="inlineStr">
        <is>
          <t>1904-10-21</t>
        </is>
      </c>
    </row>
    <row r="1794">
      <c r="A1794" s="1" t="n">
        <v>1793</v>
      </c>
      <c r="B1794">
        <f>TEXT(1793, "[$-0E0000]yyyy-mm-dd")</f>
        <v/>
      </c>
      <c r="C1794" t="inlineStr">
        <is>
          <t>1904-10-22</t>
        </is>
      </c>
    </row>
    <row r="1795">
      <c r="A1795" s="1" t="n">
        <v>1794</v>
      </c>
      <c r="B1795">
        <f>TEXT(1794, "[$-0E0000]yyyy-mm-dd")</f>
        <v/>
      </c>
      <c r="C1795" t="inlineStr">
        <is>
          <t>1904-10-23</t>
        </is>
      </c>
    </row>
    <row r="1796">
      <c r="A1796" s="1" t="n">
        <v>1795</v>
      </c>
      <c r="B1796">
        <f>TEXT(1795, "[$-0E0000]yyyy-mm-dd")</f>
        <v/>
      </c>
      <c r="C1796" t="inlineStr">
        <is>
          <t>1904-10-24</t>
        </is>
      </c>
    </row>
    <row r="1797">
      <c r="A1797" s="1" t="n">
        <v>1796</v>
      </c>
      <c r="B1797">
        <f>TEXT(1796, "[$-0E0000]yyyy-mm-dd")</f>
        <v/>
      </c>
      <c r="C1797" t="inlineStr">
        <is>
          <t>1904-10-25</t>
        </is>
      </c>
    </row>
    <row r="1798">
      <c r="A1798" s="1" t="n">
        <v>1797</v>
      </c>
      <c r="B1798">
        <f>TEXT(1797, "[$-0E0000]yyyy-mm-dd")</f>
        <v/>
      </c>
      <c r="C1798" t="inlineStr">
        <is>
          <t>1904-10-26</t>
        </is>
      </c>
    </row>
    <row r="1799">
      <c r="A1799" s="1" t="n">
        <v>1798</v>
      </c>
      <c r="B1799">
        <f>TEXT(1798, "[$-0E0000]yyyy-mm-dd")</f>
        <v/>
      </c>
      <c r="C1799" t="inlineStr">
        <is>
          <t>1904-10-27</t>
        </is>
      </c>
    </row>
    <row r="1800">
      <c r="A1800" s="1" t="n">
        <v>1799</v>
      </c>
      <c r="B1800">
        <f>TEXT(1799, "[$-0E0000]yyyy-mm-dd")</f>
        <v/>
      </c>
      <c r="C1800" t="inlineStr">
        <is>
          <t>1904-10-28</t>
        </is>
      </c>
    </row>
    <row r="1801">
      <c r="A1801" s="1" t="n">
        <v>1800</v>
      </c>
      <c r="B1801">
        <f>TEXT(1800, "[$-0E0000]yyyy-mm-dd")</f>
        <v/>
      </c>
      <c r="C1801" t="inlineStr">
        <is>
          <t>1904-10-29</t>
        </is>
      </c>
    </row>
    <row r="1802">
      <c r="A1802" s="1" t="n">
        <v>1801</v>
      </c>
      <c r="B1802">
        <f>TEXT(1801, "[$-0E0000]yyyy-mm-dd")</f>
        <v/>
      </c>
      <c r="C1802" t="inlineStr">
        <is>
          <t>1904-10-30</t>
        </is>
      </c>
    </row>
    <row r="1803">
      <c r="A1803" s="1" t="n">
        <v>1802</v>
      </c>
      <c r="B1803">
        <f>TEXT(1802, "[$-0E0000]yyyy-mm-dd")</f>
        <v/>
      </c>
      <c r="C1803" t="inlineStr">
        <is>
          <t>1904-11-01</t>
        </is>
      </c>
    </row>
    <row r="1804">
      <c r="A1804" s="1" t="n">
        <v>1803</v>
      </c>
      <c r="B1804">
        <f>TEXT(1803, "[$-0E0000]yyyy-mm-dd")</f>
        <v/>
      </c>
      <c r="C1804" t="inlineStr">
        <is>
          <t>1904-11-02</t>
        </is>
      </c>
    </row>
    <row r="1805">
      <c r="A1805" s="1" t="n">
        <v>1804</v>
      </c>
      <c r="B1805">
        <f>TEXT(1804, "[$-0E0000]yyyy-mm-dd")</f>
        <v/>
      </c>
      <c r="C1805" t="inlineStr">
        <is>
          <t>1904-11-03</t>
        </is>
      </c>
    </row>
    <row r="1806">
      <c r="A1806" s="1" t="n">
        <v>1805</v>
      </c>
      <c r="B1806">
        <f>TEXT(1805, "[$-0E0000]yyyy-mm-dd")</f>
        <v/>
      </c>
      <c r="C1806" t="inlineStr">
        <is>
          <t>1904-11-04</t>
        </is>
      </c>
    </row>
    <row r="1807">
      <c r="A1807" s="1" t="n">
        <v>1806</v>
      </c>
      <c r="B1807">
        <f>TEXT(1806, "[$-0E0000]yyyy-mm-dd")</f>
        <v/>
      </c>
      <c r="C1807" t="inlineStr">
        <is>
          <t>1904-11-05</t>
        </is>
      </c>
    </row>
    <row r="1808">
      <c r="A1808" s="1" t="n">
        <v>1807</v>
      </c>
      <c r="B1808">
        <f>TEXT(1807, "[$-0E0000]yyyy-mm-dd")</f>
        <v/>
      </c>
      <c r="C1808" t="inlineStr">
        <is>
          <t>1904-11-06</t>
        </is>
      </c>
    </row>
    <row r="1809">
      <c r="A1809" s="1" t="n">
        <v>1808</v>
      </c>
      <c r="B1809">
        <f>TEXT(1808, "[$-0E0000]yyyy-mm-dd")</f>
        <v/>
      </c>
      <c r="C1809" t="inlineStr">
        <is>
          <t>1904-11-07</t>
        </is>
      </c>
    </row>
    <row r="1810">
      <c r="A1810" s="1" t="n">
        <v>1809</v>
      </c>
      <c r="B1810">
        <f>TEXT(1809, "[$-0E0000]yyyy-mm-dd")</f>
        <v/>
      </c>
      <c r="C1810" t="inlineStr">
        <is>
          <t>1904-11-08</t>
        </is>
      </c>
    </row>
    <row r="1811">
      <c r="A1811" s="1" t="n">
        <v>1810</v>
      </c>
      <c r="B1811">
        <f>TEXT(1810, "[$-0E0000]yyyy-mm-dd")</f>
        <v/>
      </c>
      <c r="C1811" t="inlineStr">
        <is>
          <t>1904-11-09</t>
        </is>
      </c>
    </row>
    <row r="1812">
      <c r="A1812" s="1" t="n">
        <v>1811</v>
      </c>
      <c r="B1812">
        <f>TEXT(1811, "[$-0E0000]yyyy-mm-dd")</f>
        <v/>
      </c>
      <c r="C1812" t="inlineStr">
        <is>
          <t>1904-11-10</t>
        </is>
      </c>
    </row>
    <row r="1813">
      <c r="A1813" s="1" t="n">
        <v>1812</v>
      </c>
      <c r="B1813">
        <f>TEXT(1812, "[$-0E0000]yyyy-mm-dd")</f>
        <v/>
      </c>
      <c r="C1813" t="inlineStr">
        <is>
          <t>1904-11-11</t>
        </is>
      </c>
    </row>
    <row r="1814">
      <c r="A1814" s="1" t="n">
        <v>1813</v>
      </c>
      <c r="B1814">
        <f>TEXT(1813, "[$-0E0000]yyyy-mm-dd")</f>
        <v/>
      </c>
      <c r="C1814" t="inlineStr">
        <is>
          <t>1904-11-12</t>
        </is>
      </c>
    </row>
    <row r="1815">
      <c r="A1815" s="1" t="n">
        <v>1814</v>
      </c>
      <c r="B1815">
        <f>TEXT(1814, "[$-0E0000]yyyy-mm-dd")</f>
        <v/>
      </c>
      <c r="C1815" t="inlineStr">
        <is>
          <t>1904-11-13</t>
        </is>
      </c>
    </row>
    <row r="1816">
      <c r="A1816" s="1" t="n">
        <v>1815</v>
      </c>
      <c r="B1816">
        <f>TEXT(1815, "[$-0E0000]yyyy-mm-dd")</f>
        <v/>
      </c>
      <c r="C1816" t="inlineStr">
        <is>
          <t>1904-11-14</t>
        </is>
      </c>
    </row>
    <row r="1817">
      <c r="A1817" s="1" t="n">
        <v>1816</v>
      </c>
      <c r="B1817">
        <f>TEXT(1816, "[$-0E0000]yyyy-mm-dd")</f>
        <v/>
      </c>
      <c r="C1817" t="inlineStr">
        <is>
          <t>1904-11-15</t>
        </is>
      </c>
    </row>
    <row r="1818">
      <c r="A1818" s="1" t="n">
        <v>1817</v>
      </c>
      <c r="B1818">
        <f>TEXT(1817, "[$-0E0000]yyyy-mm-dd")</f>
        <v/>
      </c>
      <c r="C1818" t="inlineStr">
        <is>
          <t>1904-11-16</t>
        </is>
      </c>
    </row>
    <row r="1819">
      <c r="A1819" s="1" t="n">
        <v>1818</v>
      </c>
      <c r="B1819">
        <f>TEXT(1818, "[$-0E0000]yyyy-mm-dd")</f>
        <v/>
      </c>
      <c r="C1819" t="inlineStr">
        <is>
          <t>1904-11-17</t>
        </is>
      </c>
    </row>
    <row r="1820">
      <c r="A1820" s="1" t="n">
        <v>1819</v>
      </c>
      <c r="B1820">
        <f>TEXT(1819, "[$-0E0000]yyyy-mm-dd")</f>
        <v/>
      </c>
      <c r="C1820" t="inlineStr">
        <is>
          <t>1904-11-18</t>
        </is>
      </c>
    </row>
    <row r="1821">
      <c r="A1821" s="1" t="n">
        <v>1820</v>
      </c>
      <c r="B1821">
        <f>TEXT(1820, "[$-0E0000]yyyy-mm-dd")</f>
        <v/>
      </c>
      <c r="C1821" t="inlineStr">
        <is>
          <t>1904-11-19</t>
        </is>
      </c>
    </row>
    <row r="1822">
      <c r="A1822" s="1" t="n">
        <v>1821</v>
      </c>
      <c r="B1822">
        <f>TEXT(1821, "[$-0E0000]yyyy-mm-dd")</f>
        <v/>
      </c>
      <c r="C1822" t="inlineStr">
        <is>
          <t>1904-11-20</t>
        </is>
      </c>
    </row>
    <row r="1823">
      <c r="A1823" s="1" t="n">
        <v>1822</v>
      </c>
      <c r="B1823">
        <f>TEXT(1822, "[$-0E0000]yyyy-mm-dd")</f>
        <v/>
      </c>
      <c r="C1823" t="inlineStr">
        <is>
          <t>1904-11-21</t>
        </is>
      </c>
    </row>
    <row r="1824">
      <c r="A1824" s="1" t="n">
        <v>1823</v>
      </c>
      <c r="B1824">
        <f>TEXT(1823, "[$-0E0000]yyyy-mm-dd")</f>
        <v/>
      </c>
      <c r="C1824" t="inlineStr">
        <is>
          <t>1904-11-22</t>
        </is>
      </c>
    </row>
    <row r="1825">
      <c r="A1825" s="1" t="n">
        <v>1824</v>
      </c>
      <c r="B1825">
        <f>TEXT(1824, "[$-0E0000]yyyy-mm-dd")</f>
        <v/>
      </c>
      <c r="C1825" t="inlineStr">
        <is>
          <t>1904-11-23</t>
        </is>
      </c>
    </row>
    <row r="1826">
      <c r="A1826" s="1" t="n">
        <v>1825</v>
      </c>
      <c r="B1826">
        <f>TEXT(1825, "[$-0E0000]yyyy-mm-dd")</f>
        <v/>
      </c>
      <c r="C1826" t="inlineStr">
        <is>
          <t>1904-11-24</t>
        </is>
      </c>
    </row>
    <row r="1827">
      <c r="A1827" s="1" t="n">
        <v>1826</v>
      </c>
      <c r="B1827">
        <f>TEXT(1826, "[$-0E0000]yyyy-mm-dd")</f>
        <v/>
      </c>
      <c r="C1827" t="inlineStr">
        <is>
          <t>1904-11-25</t>
        </is>
      </c>
    </row>
    <row r="1828">
      <c r="A1828" s="1" t="n">
        <v>1827</v>
      </c>
      <c r="B1828">
        <f>TEXT(1827, "[$-0E0000]yyyy-mm-dd")</f>
        <v/>
      </c>
      <c r="C1828" t="inlineStr">
        <is>
          <t>1904-11-26</t>
        </is>
      </c>
    </row>
    <row r="1829">
      <c r="A1829" s="1" t="n">
        <v>1828</v>
      </c>
      <c r="B1829">
        <f>TEXT(1828, "[$-0E0000]yyyy-mm-dd")</f>
        <v/>
      </c>
      <c r="C1829" t="inlineStr">
        <is>
          <t>1904-11-27</t>
        </is>
      </c>
    </row>
    <row r="1830">
      <c r="A1830" s="1" t="n">
        <v>1829</v>
      </c>
      <c r="B1830">
        <f>TEXT(1829, "[$-0E0000]yyyy-mm-dd")</f>
        <v/>
      </c>
      <c r="C1830" t="inlineStr">
        <is>
          <t>1904-11-28</t>
        </is>
      </c>
    </row>
    <row r="1831">
      <c r="A1831" s="1" t="n">
        <v>1830</v>
      </c>
      <c r="B1831">
        <f>TEXT(1830, "[$-0E0000]yyyy-mm-dd")</f>
        <v/>
      </c>
      <c r="C1831" t="inlineStr">
        <is>
          <t>1904-11-29</t>
        </is>
      </c>
    </row>
    <row r="1832">
      <c r="A1832" s="1" t="n">
        <v>1831</v>
      </c>
      <c r="B1832">
        <f>TEXT(1831, "[$-0E0000]yyyy-mm-dd")</f>
        <v/>
      </c>
      <c r="C1832" t="inlineStr">
        <is>
          <t>1904-11-30</t>
        </is>
      </c>
    </row>
    <row r="1833">
      <c r="A1833" s="1" t="n">
        <v>1832</v>
      </c>
      <c r="B1833">
        <f>TEXT(1832, "[$-0E0000]yyyy-mm-dd")</f>
        <v/>
      </c>
      <c r="C1833" t="inlineStr">
        <is>
          <t>1904-12-01</t>
        </is>
      </c>
    </row>
    <row r="1834">
      <c r="A1834" s="1" t="n">
        <v>1833</v>
      </c>
      <c r="B1834">
        <f>TEXT(1833, "[$-0E0000]yyyy-mm-dd")</f>
        <v/>
      </c>
      <c r="C1834" t="inlineStr">
        <is>
          <t>1904-12-02</t>
        </is>
      </c>
    </row>
    <row r="1835">
      <c r="A1835" s="1" t="n">
        <v>1834</v>
      </c>
      <c r="B1835">
        <f>TEXT(1834, "[$-0E0000]yyyy-mm-dd")</f>
        <v/>
      </c>
      <c r="C1835" t="inlineStr">
        <is>
          <t>1904-12-03</t>
        </is>
      </c>
    </row>
    <row r="1836">
      <c r="A1836" s="1" t="n">
        <v>1835</v>
      </c>
      <c r="B1836">
        <f>TEXT(1835, "[$-0E0000]yyyy-mm-dd")</f>
        <v/>
      </c>
      <c r="C1836" t="inlineStr">
        <is>
          <t>1904-12-04</t>
        </is>
      </c>
    </row>
    <row r="1837">
      <c r="A1837" s="1" t="n">
        <v>1836</v>
      </c>
      <c r="B1837">
        <f>TEXT(1836, "[$-0E0000]yyyy-mm-dd")</f>
        <v/>
      </c>
      <c r="C1837" t="inlineStr">
        <is>
          <t>1904-12-05</t>
        </is>
      </c>
    </row>
    <row r="1838">
      <c r="A1838" s="1" t="n">
        <v>1837</v>
      </c>
      <c r="B1838">
        <f>TEXT(1837, "[$-0E0000]yyyy-mm-dd")</f>
        <v/>
      </c>
      <c r="C1838" t="inlineStr">
        <is>
          <t>1904-12-06</t>
        </is>
      </c>
    </row>
    <row r="1839">
      <c r="A1839" s="1" t="n">
        <v>1838</v>
      </c>
      <c r="B1839">
        <f>TEXT(1838, "[$-0E0000]yyyy-mm-dd")</f>
        <v/>
      </c>
      <c r="C1839" t="inlineStr">
        <is>
          <t>1904-12-07</t>
        </is>
      </c>
    </row>
    <row r="1840">
      <c r="A1840" s="1" t="n">
        <v>1839</v>
      </c>
      <c r="B1840">
        <f>TEXT(1839, "[$-0E0000]yyyy-mm-dd")</f>
        <v/>
      </c>
      <c r="C1840" t="inlineStr">
        <is>
          <t>1904-12-08</t>
        </is>
      </c>
    </row>
    <row r="1841">
      <c r="A1841" s="1" t="n">
        <v>1840</v>
      </c>
      <c r="B1841">
        <f>TEXT(1840, "[$-0E0000]yyyy-mm-dd")</f>
        <v/>
      </c>
      <c r="C1841" t="inlineStr">
        <is>
          <t>1904-12-09</t>
        </is>
      </c>
    </row>
    <row r="1842">
      <c r="A1842" s="1" t="n">
        <v>1841</v>
      </c>
      <c r="B1842">
        <f>TEXT(1841, "[$-0E0000]yyyy-mm-dd")</f>
        <v/>
      </c>
      <c r="C1842" t="inlineStr">
        <is>
          <t>1904-12-10</t>
        </is>
      </c>
    </row>
    <row r="1843">
      <c r="A1843" s="1" t="n">
        <v>1842</v>
      </c>
      <c r="B1843">
        <f>TEXT(1842, "[$-0E0000]yyyy-mm-dd")</f>
        <v/>
      </c>
      <c r="C1843" t="inlineStr">
        <is>
          <t>1904-12-11</t>
        </is>
      </c>
    </row>
    <row r="1844">
      <c r="A1844" s="1" t="n">
        <v>1843</v>
      </c>
      <c r="B1844">
        <f>TEXT(1843, "[$-0E0000]yyyy-mm-dd")</f>
        <v/>
      </c>
      <c r="C1844" t="inlineStr">
        <is>
          <t>1904-12-12</t>
        </is>
      </c>
    </row>
    <row r="1845">
      <c r="A1845" s="1" t="n">
        <v>1844</v>
      </c>
      <c r="B1845">
        <f>TEXT(1844, "[$-0E0000]yyyy-mm-dd")</f>
        <v/>
      </c>
      <c r="C1845" t="inlineStr">
        <is>
          <t>1904-12-13</t>
        </is>
      </c>
    </row>
    <row r="1846">
      <c r="A1846" s="1" t="n">
        <v>1845</v>
      </c>
      <c r="B1846">
        <f>TEXT(1845, "[$-0E0000]yyyy-mm-dd")</f>
        <v/>
      </c>
      <c r="C1846" t="inlineStr">
        <is>
          <t>1904-12-14</t>
        </is>
      </c>
    </row>
    <row r="1847">
      <c r="A1847" s="1" t="n">
        <v>1846</v>
      </c>
      <c r="B1847">
        <f>TEXT(1846, "[$-0E0000]yyyy-mm-dd")</f>
        <v/>
      </c>
      <c r="C1847" t="inlineStr">
        <is>
          <t>1904-12-15</t>
        </is>
      </c>
    </row>
    <row r="1848">
      <c r="A1848" s="1" t="n">
        <v>1847</v>
      </c>
      <c r="B1848">
        <f>TEXT(1847, "[$-0E0000]yyyy-mm-dd")</f>
        <v/>
      </c>
      <c r="C1848" t="inlineStr">
        <is>
          <t>1904-12-16</t>
        </is>
      </c>
    </row>
    <row r="1849">
      <c r="A1849" s="1" t="n">
        <v>1848</v>
      </c>
      <c r="B1849">
        <f>TEXT(1848, "[$-0E0000]yyyy-mm-dd")</f>
        <v/>
      </c>
      <c r="C1849" t="inlineStr">
        <is>
          <t>1904-12-17</t>
        </is>
      </c>
    </row>
    <row r="1850">
      <c r="A1850" s="1" t="n">
        <v>1849</v>
      </c>
      <c r="B1850">
        <f>TEXT(1849, "[$-0E0000]yyyy-mm-dd")</f>
        <v/>
      </c>
      <c r="C1850" t="inlineStr">
        <is>
          <t>1904-12-18</t>
        </is>
      </c>
    </row>
    <row r="1851">
      <c r="A1851" s="1" t="n">
        <v>1850</v>
      </c>
      <c r="B1851">
        <f>TEXT(1850, "[$-0E0000]yyyy-mm-dd")</f>
        <v/>
      </c>
      <c r="C1851" t="inlineStr">
        <is>
          <t>1904-12-19</t>
        </is>
      </c>
    </row>
    <row r="1852">
      <c r="A1852" s="1" t="n">
        <v>1851</v>
      </c>
      <c r="B1852">
        <f>TEXT(1851, "[$-0E0000]yyyy-mm-dd")</f>
        <v/>
      </c>
      <c r="C1852" t="inlineStr">
        <is>
          <t>1904-12-20</t>
        </is>
      </c>
    </row>
    <row r="1853">
      <c r="A1853" s="1" t="n">
        <v>1852</v>
      </c>
      <c r="B1853">
        <f>TEXT(1852, "[$-0E0000]yyyy-mm-dd")</f>
        <v/>
      </c>
      <c r="C1853" t="inlineStr">
        <is>
          <t>1904-12-21</t>
        </is>
      </c>
    </row>
    <row r="1854">
      <c r="A1854" s="1" t="n">
        <v>1853</v>
      </c>
      <c r="B1854">
        <f>TEXT(1853, "[$-0E0000]yyyy-mm-dd")</f>
        <v/>
      </c>
      <c r="C1854" t="inlineStr">
        <is>
          <t>1904-12-22</t>
        </is>
      </c>
    </row>
    <row r="1855">
      <c r="A1855" s="1" t="n">
        <v>1854</v>
      </c>
      <c r="B1855">
        <f>TEXT(1854, "[$-0E0000]yyyy-mm-dd")</f>
        <v/>
      </c>
      <c r="C1855" t="inlineStr">
        <is>
          <t>1904-12-23</t>
        </is>
      </c>
    </row>
    <row r="1856">
      <c r="A1856" s="1" t="n">
        <v>1855</v>
      </c>
      <c r="B1856">
        <f>TEXT(1855, "[$-0E0000]yyyy-mm-dd")</f>
        <v/>
      </c>
      <c r="C1856" t="inlineStr">
        <is>
          <t>1904-12-24</t>
        </is>
      </c>
    </row>
    <row r="1857">
      <c r="A1857" s="1" t="n">
        <v>1856</v>
      </c>
      <c r="B1857">
        <f>TEXT(1856, "[$-0E0000]yyyy-mm-dd")</f>
        <v/>
      </c>
      <c r="C1857" t="inlineStr">
        <is>
          <t>1904-12-25</t>
        </is>
      </c>
    </row>
    <row r="1858">
      <c r="A1858" s="1" t="n">
        <v>1857</v>
      </c>
      <c r="B1858">
        <f>TEXT(1857, "[$-0E0000]yyyy-mm-dd")</f>
        <v/>
      </c>
      <c r="C1858" t="inlineStr">
        <is>
          <t>1904-12-26</t>
        </is>
      </c>
    </row>
    <row r="1859">
      <c r="A1859" s="1" t="n">
        <v>1858</v>
      </c>
      <c r="B1859">
        <f>TEXT(1858, "[$-0E0000]yyyy-mm-dd")</f>
        <v/>
      </c>
      <c r="C1859" t="inlineStr">
        <is>
          <t>1904-12-27</t>
        </is>
      </c>
    </row>
    <row r="1860">
      <c r="A1860" s="1" t="n">
        <v>1859</v>
      </c>
      <c r="B1860">
        <f>TEXT(1859, "[$-0E0000]yyyy-mm-dd")</f>
        <v/>
      </c>
      <c r="C1860" t="inlineStr">
        <is>
          <t>1904-12-28</t>
        </is>
      </c>
    </row>
    <row r="1861">
      <c r="A1861" s="1" t="n">
        <v>1860</v>
      </c>
      <c r="B1861">
        <f>TEXT(1860, "[$-0E0000]yyyy-mm-dd")</f>
        <v/>
      </c>
      <c r="C1861" t="inlineStr">
        <is>
          <t>1904-12-29</t>
        </is>
      </c>
    </row>
    <row r="1862">
      <c r="A1862" s="1" t="n">
        <v>1861</v>
      </c>
      <c r="B1862">
        <f>TEXT(1861, "[$-0E0000]yyyy-mm-dd")</f>
        <v/>
      </c>
      <c r="C1862" t="inlineStr">
        <is>
          <t>1905-01-01</t>
        </is>
      </c>
    </row>
    <row r="1863">
      <c r="A1863" s="1" t="n">
        <v>1862</v>
      </c>
      <c r="B1863">
        <f>TEXT(1862, "[$-0E0000]yyyy-mm-dd")</f>
        <v/>
      </c>
      <c r="C1863" t="inlineStr">
        <is>
          <t>1905-01-02</t>
        </is>
      </c>
    </row>
    <row r="1864">
      <c r="A1864" s="1" t="n">
        <v>1863</v>
      </c>
      <c r="B1864">
        <f>TEXT(1863, "[$-0E0000]yyyy-mm-dd")</f>
        <v/>
      </c>
      <c r="C1864" t="inlineStr">
        <is>
          <t>1905-01-03</t>
        </is>
      </c>
    </row>
    <row r="1865">
      <c r="A1865" s="1" t="n">
        <v>1864</v>
      </c>
      <c r="B1865">
        <f>TEXT(1864, "[$-0E0000]yyyy-mm-dd")</f>
        <v/>
      </c>
      <c r="C1865" t="inlineStr">
        <is>
          <t>1905-01-04</t>
        </is>
      </c>
    </row>
    <row r="1866">
      <c r="A1866" s="1" t="n">
        <v>1865</v>
      </c>
      <c r="B1866">
        <f>TEXT(1865, "[$-0E0000]yyyy-mm-dd")</f>
        <v/>
      </c>
      <c r="C1866" t="inlineStr">
        <is>
          <t>1905-01-05</t>
        </is>
      </c>
    </row>
    <row r="1867">
      <c r="A1867" s="1" t="n">
        <v>1866</v>
      </c>
      <c r="B1867">
        <f>TEXT(1866, "[$-0E0000]yyyy-mm-dd")</f>
        <v/>
      </c>
      <c r="C1867" t="inlineStr">
        <is>
          <t>1905-01-06</t>
        </is>
      </c>
    </row>
    <row r="1868">
      <c r="A1868" s="1" t="n">
        <v>1867</v>
      </c>
      <c r="B1868">
        <f>TEXT(1867, "[$-0E0000]yyyy-mm-dd")</f>
        <v/>
      </c>
      <c r="C1868" t="inlineStr">
        <is>
          <t>1905-01-07</t>
        </is>
      </c>
    </row>
    <row r="1869">
      <c r="A1869" s="1" t="n">
        <v>1868</v>
      </c>
      <c r="B1869">
        <f>TEXT(1868, "[$-0E0000]yyyy-mm-dd")</f>
        <v/>
      </c>
      <c r="C1869" t="inlineStr">
        <is>
          <t>1905-01-08</t>
        </is>
      </c>
    </row>
    <row r="1870">
      <c r="A1870" s="1" t="n">
        <v>1869</v>
      </c>
      <c r="B1870">
        <f>TEXT(1869, "[$-0E0000]yyyy-mm-dd")</f>
        <v/>
      </c>
      <c r="C1870" t="inlineStr">
        <is>
          <t>1905-01-09</t>
        </is>
      </c>
    </row>
    <row r="1871">
      <c r="A1871" s="1" t="n">
        <v>1870</v>
      </c>
      <c r="B1871">
        <f>TEXT(1870, "[$-0E0000]yyyy-mm-dd")</f>
        <v/>
      </c>
      <c r="C1871" t="inlineStr">
        <is>
          <t>1905-01-10</t>
        </is>
      </c>
    </row>
    <row r="1872">
      <c r="A1872" s="1" t="n">
        <v>1871</v>
      </c>
      <c r="B1872">
        <f>TEXT(1871, "[$-0E0000]yyyy-mm-dd")</f>
        <v/>
      </c>
      <c r="C1872" t="inlineStr">
        <is>
          <t>1905-01-11</t>
        </is>
      </c>
    </row>
    <row r="1873">
      <c r="A1873" s="1" t="n">
        <v>1872</v>
      </c>
      <c r="B1873">
        <f>TEXT(1872, "[$-0E0000]yyyy-mm-dd")</f>
        <v/>
      </c>
      <c r="C1873" t="inlineStr">
        <is>
          <t>1905-01-12</t>
        </is>
      </c>
    </row>
    <row r="1874">
      <c r="A1874" s="1" t="n">
        <v>1873</v>
      </c>
      <c r="B1874">
        <f>TEXT(1873, "[$-0E0000]yyyy-mm-dd")</f>
        <v/>
      </c>
      <c r="C1874" t="inlineStr">
        <is>
          <t>1905-01-13</t>
        </is>
      </c>
    </row>
    <row r="1875">
      <c r="A1875" s="1" t="n">
        <v>1874</v>
      </c>
      <c r="B1875">
        <f>TEXT(1874, "[$-0E0000]yyyy-mm-dd")</f>
        <v/>
      </c>
      <c r="C1875" t="inlineStr">
        <is>
          <t>1905-01-14</t>
        </is>
      </c>
    </row>
    <row r="1876">
      <c r="A1876" s="1" t="n">
        <v>1875</v>
      </c>
      <c r="B1876">
        <f>TEXT(1875, "[$-0E0000]yyyy-mm-dd")</f>
        <v/>
      </c>
      <c r="C1876" t="inlineStr">
        <is>
          <t>1905-01-15</t>
        </is>
      </c>
    </row>
    <row r="1877">
      <c r="A1877" s="1" t="n">
        <v>1876</v>
      </c>
      <c r="B1877">
        <f>TEXT(1876, "[$-0E0000]yyyy-mm-dd")</f>
        <v/>
      </c>
      <c r="C1877" t="inlineStr">
        <is>
          <t>1905-01-16</t>
        </is>
      </c>
    </row>
    <row r="1878">
      <c r="A1878" s="1" t="n">
        <v>1877</v>
      </c>
      <c r="B1878">
        <f>TEXT(1877, "[$-0E0000]yyyy-mm-dd")</f>
        <v/>
      </c>
      <c r="C1878" t="inlineStr">
        <is>
          <t>1905-01-17</t>
        </is>
      </c>
    </row>
    <row r="1879">
      <c r="A1879" s="1" t="n">
        <v>1878</v>
      </c>
      <c r="B1879">
        <f>TEXT(1878, "[$-0E0000]yyyy-mm-dd")</f>
        <v/>
      </c>
      <c r="C1879" t="inlineStr">
        <is>
          <t>1905-01-18</t>
        </is>
      </c>
    </row>
    <row r="1880">
      <c r="A1880" s="1" t="n">
        <v>1879</v>
      </c>
      <c r="B1880">
        <f>TEXT(1879, "[$-0E0000]yyyy-mm-dd")</f>
        <v/>
      </c>
      <c r="C1880" t="inlineStr">
        <is>
          <t>1905-01-19</t>
        </is>
      </c>
    </row>
    <row r="1881">
      <c r="A1881" s="1" t="n">
        <v>1880</v>
      </c>
      <c r="B1881">
        <f>TEXT(1880, "[$-0E0000]yyyy-mm-dd")</f>
        <v/>
      </c>
      <c r="C1881" t="inlineStr">
        <is>
          <t>1905-01-20</t>
        </is>
      </c>
    </row>
    <row r="1882">
      <c r="A1882" s="1" t="n">
        <v>1881</v>
      </c>
      <c r="B1882">
        <f>TEXT(1881, "[$-0E0000]yyyy-mm-dd")</f>
        <v/>
      </c>
      <c r="C1882" t="inlineStr">
        <is>
          <t>1905-01-21</t>
        </is>
      </c>
    </row>
    <row r="1883">
      <c r="A1883" s="1" t="n">
        <v>1882</v>
      </c>
      <c r="B1883">
        <f>TEXT(1882, "[$-0E0000]yyyy-mm-dd")</f>
        <v/>
      </c>
      <c r="C1883" t="inlineStr">
        <is>
          <t>1905-01-22</t>
        </is>
      </c>
    </row>
    <row r="1884">
      <c r="A1884" s="1" t="n">
        <v>1883</v>
      </c>
      <c r="B1884">
        <f>TEXT(1883, "[$-0E0000]yyyy-mm-dd")</f>
        <v/>
      </c>
      <c r="C1884" t="inlineStr">
        <is>
          <t>1905-01-23</t>
        </is>
      </c>
    </row>
    <row r="1885">
      <c r="A1885" s="1" t="n">
        <v>1884</v>
      </c>
      <c r="B1885">
        <f>TEXT(1884, "[$-0E0000]yyyy-mm-dd")</f>
        <v/>
      </c>
      <c r="C1885" t="inlineStr">
        <is>
          <t>1905-01-24</t>
        </is>
      </c>
    </row>
    <row r="1886">
      <c r="A1886" s="1" t="n">
        <v>1885</v>
      </c>
      <c r="B1886">
        <f>TEXT(1885, "[$-0E0000]yyyy-mm-dd")</f>
        <v/>
      </c>
      <c r="C1886" t="inlineStr">
        <is>
          <t>1905-01-25</t>
        </is>
      </c>
    </row>
    <row r="1887">
      <c r="A1887" s="1" t="n">
        <v>1886</v>
      </c>
      <c r="B1887">
        <f>TEXT(1886, "[$-0E0000]yyyy-mm-dd")</f>
        <v/>
      </c>
      <c r="C1887" t="inlineStr">
        <is>
          <t>1905-01-26</t>
        </is>
      </c>
    </row>
    <row r="1888">
      <c r="A1888" s="1" t="n">
        <v>1887</v>
      </c>
      <c r="B1888">
        <f>TEXT(1887, "[$-0E0000]yyyy-mm-dd")</f>
        <v/>
      </c>
      <c r="C1888" t="inlineStr">
        <is>
          <t>1905-01-27</t>
        </is>
      </c>
    </row>
    <row r="1889">
      <c r="A1889" s="1" t="n">
        <v>1888</v>
      </c>
      <c r="B1889">
        <f>TEXT(1888, "[$-0E0000]yyyy-mm-dd")</f>
        <v/>
      </c>
      <c r="C1889" t="inlineStr">
        <is>
          <t>1905-01-28</t>
        </is>
      </c>
    </row>
    <row r="1890">
      <c r="A1890" s="1" t="n">
        <v>1889</v>
      </c>
      <c r="B1890">
        <f>TEXT(1889, "[$-0E0000]yyyy-mm-dd")</f>
        <v/>
      </c>
      <c r="C1890" t="inlineStr">
        <is>
          <t>1905-01-29</t>
        </is>
      </c>
    </row>
    <row r="1891">
      <c r="A1891" s="1" t="n">
        <v>1890</v>
      </c>
      <c r="B1891">
        <f>TEXT(1890, "[$-0E0000]yyyy-mm-dd")</f>
        <v/>
      </c>
      <c r="C1891" t="inlineStr">
        <is>
          <t>1905-01-30</t>
        </is>
      </c>
    </row>
    <row r="1892">
      <c r="A1892" s="1" t="n">
        <v>1891</v>
      </c>
      <c r="B1892">
        <f>TEXT(1891, "[$-0E0000]yyyy-mm-dd")</f>
        <v/>
      </c>
      <c r="C1892" t="inlineStr">
        <is>
          <t>1905-02-01</t>
        </is>
      </c>
    </row>
    <row r="1893">
      <c r="A1893" s="1" t="n">
        <v>1892</v>
      </c>
      <c r="B1893">
        <f>TEXT(1892, "[$-0E0000]yyyy-mm-dd")</f>
        <v/>
      </c>
      <c r="C1893" t="inlineStr">
        <is>
          <t>1905-02-02</t>
        </is>
      </c>
    </row>
    <row r="1894">
      <c r="A1894" s="1" t="n">
        <v>1893</v>
      </c>
      <c r="B1894">
        <f>TEXT(1893, "[$-0E0000]yyyy-mm-dd")</f>
        <v/>
      </c>
      <c r="C1894" t="inlineStr">
        <is>
          <t>1905-02-03</t>
        </is>
      </c>
    </row>
    <row r="1895">
      <c r="A1895" s="1" t="n">
        <v>1894</v>
      </c>
      <c r="B1895">
        <f>TEXT(1894, "[$-0E0000]yyyy-mm-dd")</f>
        <v/>
      </c>
      <c r="C1895" t="inlineStr">
        <is>
          <t>1905-02-04</t>
        </is>
      </c>
    </row>
    <row r="1896">
      <c r="A1896" s="1" t="n">
        <v>1895</v>
      </c>
      <c r="B1896">
        <f>TEXT(1895, "[$-0E0000]yyyy-mm-dd")</f>
        <v/>
      </c>
      <c r="C1896" t="inlineStr">
        <is>
          <t>1905-02-05</t>
        </is>
      </c>
    </row>
    <row r="1897">
      <c r="A1897" s="1" t="n">
        <v>1896</v>
      </c>
      <c r="B1897">
        <f>TEXT(1896, "[$-0E0000]yyyy-mm-dd")</f>
        <v/>
      </c>
      <c r="C1897" t="inlineStr">
        <is>
          <t>1905-02-06</t>
        </is>
      </c>
    </row>
    <row r="1898">
      <c r="A1898" s="1" t="n">
        <v>1897</v>
      </c>
      <c r="B1898">
        <f>TEXT(1897, "[$-0E0000]yyyy-mm-dd")</f>
        <v/>
      </c>
      <c r="C1898" t="inlineStr">
        <is>
          <t>1905-02-07</t>
        </is>
      </c>
    </row>
    <row r="1899">
      <c r="A1899" s="1" t="n">
        <v>1898</v>
      </c>
      <c r="B1899">
        <f>TEXT(1898, "[$-0E0000]yyyy-mm-dd")</f>
        <v/>
      </c>
      <c r="C1899" t="inlineStr">
        <is>
          <t>1905-02-08</t>
        </is>
      </c>
    </row>
    <row r="1900">
      <c r="A1900" s="1" t="n">
        <v>1899</v>
      </c>
      <c r="B1900">
        <f>TEXT(1899, "[$-0E0000]yyyy-mm-dd")</f>
        <v/>
      </c>
      <c r="C1900" t="inlineStr">
        <is>
          <t>1905-02-09</t>
        </is>
      </c>
    </row>
    <row r="1901">
      <c r="A1901" s="1" t="n">
        <v>1900</v>
      </c>
      <c r="B1901">
        <f>TEXT(1900, "[$-0E0000]yyyy-mm-dd")</f>
        <v/>
      </c>
      <c r="C1901" t="inlineStr">
        <is>
          <t>1905-02-10</t>
        </is>
      </c>
    </row>
    <row r="1902">
      <c r="A1902" s="1" t="n">
        <v>1901</v>
      </c>
      <c r="B1902">
        <f>TEXT(1901, "[$-0E0000]yyyy-mm-dd")</f>
        <v/>
      </c>
      <c r="C1902" t="inlineStr">
        <is>
          <t>1905-02-11</t>
        </is>
      </c>
    </row>
    <row r="1903">
      <c r="A1903" s="1" t="n">
        <v>1902</v>
      </c>
      <c r="B1903">
        <f>TEXT(1902, "[$-0E0000]yyyy-mm-dd")</f>
        <v/>
      </c>
      <c r="C1903" t="inlineStr">
        <is>
          <t>1905-02-12</t>
        </is>
      </c>
    </row>
    <row r="1904">
      <c r="A1904" s="1" t="n">
        <v>1903</v>
      </c>
      <c r="B1904">
        <f>TEXT(1903, "[$-0E0000]yyyy-mm-dd")</f>
        <v/>
      </c>
      <c r="C1904" t="inlineStr">
        <is>
          <t>1905-02-13</t>
        </is>
      </c>
    </row>
    <row r="1905">
      <c r="A1905" s="1" t="n">
        <v>1904</v>
      </c>
      <c r="B1905">
        <f>TEXT(1904, "[$-0E0000]yyyy-mm-dd")</f>
        <v/>
      </c>
      <c r="C1905" t="inlineStr">
        <is>
          <t>1905-02-14</t>
        </is>
      </c>
    </row>
    <row r="1906">
      <c r="A1906" s="1" t="n">
        <v>1905</v>
      </c>
      <c r="B1906">
        <f>TEXT(1905, "[$-0E0000]yyyy-mm-dd")</f>
        <v/>
      </c>
      <c r="C1906" t="inlineStr">
        <is>
          <t>1905-02-15</t>
        </is>
      </c>
    </row>
    <row r="1907">
      <c r="A1907" s="1" t="n">
        <v>1906</v>
      </c>
      <c r="B1907">
        <f>TEXT(1906, "[$-0E0000]yyyy-mm-dd")</f>
        <v/>
      </c>
      <c r="C1907" t="inlineStr">
        <is>
          <t>1905-02-16</t>
        </is>
      </c>
    </row>
    <row r="1908">
      <c r="A1908" s="1" t="n">
        <v>1907</v>
      </c>
      <c r="B1908">
        <f>TEXT(1907, "[$-0E0000]yyyy-mm-dd")</f>
        <v/>
      </c>
      <c r="C1908" t="inlineStr">
        <is>
          <t>1905-02-17</t>
        </is>
      </c>
    </row>
    <row r="1909">
      <c r="A1909" s="1" t="n">
        <v>1908</v>
      </c>
      <c r="B1909">
        <f>TEXT(1908, "[$-0E0000]yyyy-mm-dd")</f>
        <v/>
      </c>
      <c r="C1909" t="inlineStr">
        <is>
          <t>1905-02-18</t>
        </is>
      </c>
    </row>
    <row r="1910">
      <c r="A1910" s="1" t="n">
        <v>1909</v>
      </c>
      <c r="B1910">
        <f>TEXT(1909, "[$-0E0000]yyyy-mm-dd")</f>
        <v/>
      </c>
      <c r="C1910" t="inlineStr">
        <is>
          <t>1905-02-19</t>
        </is>
      </c>
    </row>
    <row r="1911">
      <c r="A1911" s="1" t="n">
        <v>1910</v>
      </c>
      <c r="B1911">
        <f>TEXT(1910, "[$-0E0000]yyyy-mm-dd")</f>
        <v/>
      </c>
      <c r="C1911" t="inlineStr">
        <is>
          <t>1905-02-20</t>
        </is>
      </c>
    </row>
    <row r="1912">
      <c r="A1912" s="1" t="n">
        <v>1911</v>
      </c>
      <c r="B1912">
        <f>TEXT(1911, "[$-0E0000]yyyy-mm-dd")</f>
        <v/>
      </c>
      <c r="C1912" t="inlineStr">
        <is>
          <t>1905-02-21</t>
        </is>
      </c>
    </row>
    <row r="1913">
      <c r="A1913" s="1" t="n">
        <v>1912</v>
      </c>
      <c r="B1913">
        <f>TEXT(1912, "[$-0E0000]yyyy-mm-dd")</f>
        <v/>
      </c>
      <c r="C1913" t="inlineStr">
        <is>
          <t>1905-02-22</t>
        </is>
      </c>
    </row>
    <row r="1914">
      <c r="A1914" s="1" t="n">
        <v>1913</v>
      </c>
      <c r="B1914">
        <f>TEXT(1913, "[$-0E0000]yyyy-mm-dd")</f>
        <v/>
      </c>
      <c r="C1914" t="inlineStr">
        <is>
          <t>1905-02-23</t>
        </is>
      </c>
    </row>
    <row r="1915">
      <c r="A1915" s="1" t="n">
        <v>1914</v>
      </c>
      <c r="B1915">
        <f>TEXT(1914, "[$-0E0000]yyyy-mm-dd")</f>
        <v/>
      </c>
      <c r="C1915" t="inlineStr">
        <is>
          <t>1905-02-24</t>
        </is>
      </c>
    </row>
    <row r="1916">
      <c r="A1916" s="1" t="n">
        <v>1915</v>
      </c>
      <c r="B1916">
        <f>TEXT(1915, "[$-0E0000]yyyy-mm-dd")</f>
        <v/>
      </c>
      <c r="C1916" t="inlineStr">
        <is>
          <t>1905-02-25</t>
        </is>
      </c>
    </row>
    <row r="1917">
      <c r="A1917" s="1" t="n">
        <v>1916</v>
      </c>
      <c r="B1917">
        <f>TEXT(1916, "[$-0E0000]yyyy-mm-dd")</f>
        <v/>
      </c>
      <c r="C1917" t="inlineStr">
        <is>
          <t>1905-02-26</t>
        </is>
      </c>
    </row>
    <row r="1918">
      <c r="A1918" s="1" t="n">
        <v>1917</v>
      </c>
      <c r="B1918">
        <f>TEXT(1917, "[$-0E0000]yyyy-mm-dd")</f>
        <v/>
      </c>
      <c r="C1918" t="inlineStr">
        <is>
          <t>1905-02-27</t>
        </is>
      </c>
    </row>
    <row r="1919">
      <c r="A1919" s="1" t="n">
        <v>1918</v>
      </c>
      <c r="B1919">
        <f>TEXT(1918, "[$-0E0000]yyyy-mm-dd")</f>
        <v/>
      </c>
      <c r="C1919" t="inlineStr">
        <is>
          <t>1905-02-28</t>
        </is>
      </c>
    </row>
    <row r="1920">
      <c r="A1920" s="1" t="n">
        <v>1919</v>
      </c>
      <c r="B1920">
        <f>TEXT(1919, "[$-0E0000]yyyy-mm-dd")</f>
        <v/>
      </c>
      <c r="C1920" t="inlineStr">
        <is>
          <t>1905-02-29</t>
        </is>
      </c>
    </row>
    <row r="1921">
      <c r="A1921" s="1" t="n">
        <v>1920</v>
      </c>
      <c r="B1921">
        <f>TEXT(1920, "[$-0E0000]yyyy-mm-dd")</f>
        <v/>
      </c>
      <c r="C1921" t="inlineStr">
        <is>
          <t>1905-02-30</t>
        </is>
      </c>
    </row>
    <row r="1922">
      <c r="A1922" s="1" t="n">
        <v>1921</v>
      </c>
      <c r="B1922">
        <f>TEXT(1921, "[$-0E0000]yyyy-mm-dd")</f>
        <v/>
      </c>
      <c r="C1922" t="inlineStr">
        <is>
          <t>1905-03-01</t>
        </is>
      </c>
    </row>
    <row r="1923">
      <c r="A1923" s="1" t="n">
        <v>1922</v>
      </c>
      <c r="B1923">
        <f>TEXT(1922, "[$-0E0000]yyyy-mm-dd")</f>
        <v/>
      </c>
      <c r="C1923" t="inlineStr">
        <is>
          <t>1905-03-02</t>
        </is>
      </c>
    </row>
    <row r="1924">
      <c r="A1924" s="1" t="n">
        <v>1923</v>
      </c>
      <c r="B1924">
        <f>TEXT(1923, "[$-0E0000]yyyy-mm-dd")</f>
        <v/>
      </c>
      <c r="C1924" t="inlineStr">
        <is>
          <t>1905-03-03</t>
        </is>
      </c>
    </row>
    <row r="1925">
      <c r="A1925" s="1" t="n">
        <v>1924</v>
      </c>
      <c r="B1925">
        <f>TEXT(1924, "[$-0E0000]yyyy-mm-dd")</f>
        <v/>
      </c>
      <c r="C1925" t="inlineStr">
        <is>
          <t>1905-03-04</t>
        </is>
      </c>
    </row>
    <row r="1926">
      <c r="A1926" s="1" t="n">
        <v>1925</v>
      </c>
      <c r="B1926">
        <f>TEXT(1925, "[$-0E0000]yyyy-mm-dd")</f>
        <v/>
      </c>
      <c r="C1926" t="inlineStr">
        <is>
          <t>1905-03-05</t>
        </is>
      </c>
    </row>
    <row r="1927">
      <c r="A1927" s="1" t="n">
        <v>1926</v>
      </c>
      <c r="B1927">
        <f>TEXT(1926, "[$-0E0000]yyyy-mm-dd")</f>
        <v/>
      </c>
      <c r="C1927" t="inlineStr">
        <is>
          <t>1905-03-06</t>
        </is>
      </c>
    </row>
    <row r="1928">
      <c r="A1928" s="1" t="n">
        <v>1927</v>
      </c>
      <c r="B1928">
        <f>TEXT(1927, "[$-0E0000]yyyy-mm-dd")</f>
        <v/>
      </c>
      <c r="C1928" t="inlineStr">
        <is>
          <t>1905-03-07</t>
        </is>
      </c>
    </row>
    <row r="1929">
      <c r="A1929" s="1" t="n">
        <v>1928</v>
      </c>
      <c r="B1929">
        <f>TEXT(1928, "[$-0E0000]yyyy-mm-dd")</f>
        <v/>
      </c>
      <c r="C1929" t="inlineStr">
        <is>
          <t>1905-03-08</t>
        </is>
      </c>
    </row>
    <row r="1930">
      <c r="A1930" s="1" t="n">
        <v>1929</v>
      </c>
      <c r="B1930">
        <f>TEXT(1929, "[$-0E0000]yyyy-mm-dd")</f>
        <v/>
      </c>
      <c r="C1930" t="inlineStr">
        <is>
          <t>1905-03-09</t>
        </is>
      </c>
    </row>
    <row r="1931">
      <c r="A1931" s="1" t="n">
        <v>1930</v>
      </c>
      <c r="B1931">
        <f>TEXT(1930, "[$-0E0000]yyyy-mm-dd")</f>
        <v/>
      </c>
      <c r="C1931" t="inlineStr">
        <is>
          <t>1905-03-10</t>
        </is>
      </c>
    </row>
    <row r="1932">
      <c r="A1932" s="1" t="n">
        <v>1931</v>
      </c>
      <c r="B1932">
        <f>TEXT(1931, "[$-0E0000]yyyy-mm-dd")</f>
        <v/>
      </c>
      <c r="C1932" t="inlineStr">
        <is>
          <t>1905-03-11</t>
        </is>
      </c>
    </row>
    <row r="1933">
      <c r="A1933" s="1" t="n">
        <v>1932</v>
      </c>
      <c r="B1933">
        <f>TEXT(1932, "[$-0E0000]yyyy-mm-dd")</f>
        <v/>
      </c>
      <c r="C1933" t="inlineStr">
        <is>
          <t>1905-03-12</t>
        </is>
      </c>
    </row>
    <row r="1934">
      <c r="A1934" s="1" t="n">
        <v>1933</v>
      </c>
      <c r="B1934">
        <f>TEXT(1933, "[$-0E0000]yyyy-mm-dd")</f>
        <v/>
      </c>
      <c r="C1934" t="inlineStr">
        <is>
          <t>1905-03-13</t>
        </is>
      </c>
    </row>
    <row r="1935">
      <c r="A1935" s="1" t="n">
        <v>1934</v>
      </c>
      <c r="B1935">
        <f>TEXT(1934, "[$-0E0000]yyyy-mm-dd")</f>
        <v/>
      </c>
      <c r="C1935" t="inlineStr">
        <is>
          <t>1905-03-14</t>
        </is>
      </c>
    </row>
    <row r="1936">
      <c r="A1936" s="1" t="n">
        <v>1935</v>
      </c>
      <c r="B1936">
        <f>TEXT(1935, "[$-0E0000]yyyy-mm-dd")</f>
        <v/>
      </c>
      <c r="C1936" t="inlineStr">
        <is>
          <t>1905-03-15</t>
        </is>
      </c>
    </row>
    <row r="1937">
      <c r="A1937" s="1" t="n">
        <v>1936</v>
      </c>
      <c r="B1937">
        <f>TEXT(1936, "[$-0E0000]yyyy-mm-dd")</f>
        <v/>
      </c>
      <c r="C1937" t="inlineStr">
        <is>
          <t>1905-03-16</t>
        </is>
      </c>
    </row>
    <row r="1938">
      <c r="A1938" s="1" t="n">
        <v>1937</v>
      </c>
      <c r="B1938">
        <f>TEXT(1937, "[$-0E0000]yyyy-mm-dd")</f>
        <v/>
      </c>
      <c r="C1938" t="inlineStr">
        <is>
          <t>1905-03-17</t>
        </is>
      </c>
    </row>
    <row r="1939">
      <c r="A1939" s="1" t="n">
        <v>1938</v>
      </c>
      <c r="B1939">
        <f>TEXT(1938, "[$-0E0000]yyyy-mm-dd")</f>
        <v/>
      </c>
      <c r="C1939" t="inlineStr">
        <is>
          <t>1905-03-18</t>
        </is>
      </c>
    </row>
    <row r="1940">
      <c r="A1940" s="1" t="n">
        <v>1939</v>
      </c>
      <c r="B1940">
        <f>TEXT(1939, "[$-0E0000]yyyy-mm-dd")</f>
        <v/>
      </c>
      <c r="C1940" t="inlineStr">
        <is>
          <t>1905-03-19</t>
        </is>
      </c>
    </row>
    <row r="1941">
      <c r="A1941" s="1" t="n">
        <v>1940</v>
      </c>
      <c r="B1941">
        <f>TEXT(1940, "[$-0E0000]yyyy-mm-dd")</f>
        <v/>
      </c>
      <c r="C1941" t="inlineStr">
        <is>
          <t>1905-03-20</t>
        </is>
      </c>
    </row>
    <row r="1942">
      <c r="A1942" s="1" t="n">
        <v>1941</v>
      </c>
      <c r="B1942">
        <f>TEXT(1941, "[$-0E0000]yyyy-mm-dd")</f>
        <v/>
      </c>
      <c r="C1942" t="inlineStr">
        <is>
          <t>1905-03-21</t>
        </is>
      </c>
    </row>
    <row r="1943">
      <c r="A1943" s="1" t="n">
        <v>1942</v>
      </c>
      <c r="B1943">
        <f>TEXT(1942, "[$-0E0000]yyyy-mm-dd")</f>
        <v/>
      </c>
      <c r="C1943" t="inlineStr">
        <is>
          <t>1905-03-22</t>
        </is>
      </c>
    </row>
    <row r="1944">
      <c r="A1944" s="1" t="n">
        <v>1943</v>
      </c>
      <c r="B1944">
        <f>TEXT(1943, "[$-0E0000]yyyy-mm-dd")</f>
        <v/>
      </c>
      <c r="C1944" t="inlineStr">
        <is>
          <t>1905-03-23</t>
        </is>
      </c>
    </row>
    <row r="1945">
      <c r="A1945" s="1" t="n">
        <v>1944</v>
      </c>
      <c r="B1945">
        <f>TEXT(1944, "[$-0E0000]yyyy-mm-dd")</f>
        <v/>
      </c>
      <c r="C1945" t="inlineStr">
        <is>
          <t>1905-03-24</t>
        </is>
      </c>
    </row>
    <row r="1946">
      <c r="A1946" s="1" t="n">
        <v>1945</v>
      </c>
      <c r="B1946">
        <f>TEXT(1945, "[$-0E0000]yyyy-mm-dd")</f>
        <v/>
      </c>
      <c r="C1946" t="inlineStr">
        <is>
          <t>1905-03-25</t>
        </is>
      </c>
    </row>
    <row r="1947">
      <c r="A1947" s="1" t="n">
        <v>1946</v>
      </c>
      <c r="B1947">
        <f>TEXT(1946, "[$-0E0000]yyyy-mm-dd")</f>
        <v/>
      </c>
      <c r="C1947" t="inlineStr">
        <is>
          <t>1905-03-26</t>
        </is>
      </c>
    </row>
    <row r="1948">
      <c r="A1948" s="1" t="n">
        <v>1947</v>
      </c>
      <c r="B1948">
        <f>TEXT(1947, "[$-0E0000]yyyy-mm-dd")</f>
        <v/>
      </c>
      <c r="C1948" t="inlineStr">
        <is>
          <t>1905-03-27</t>
        </is>
      </c>
    </row>
    <row r="1949">
      <c r="A1949" s="1" t="n">
        <v>1948</v>
      </c>
      <c r="B1949">
        <f>TEXT(1948, "[$-0E0000]yyyy-mm-dd")</f>
        <v/>
      </c>
      <c r="C1949" t="inlineStr">
        <is>
          <t>1905-03-28</t>
        </is>
      </c>
    </row>
    <row r="1950">
      <c r="A1950" s="1" t="n">
        <v>1949</v>
      </c>
      <c r="B1950">
        <f>TEXT(1949, "[$-0E0000]yyyy-mm-dd")</f>
        <v/>
      </c>
      <c r="C1950" t="inlineStr">
        <is>
          <t>1905-03-29</t>
        </is>
      </c>
    </row>
    <row r="1951">
      <c r="A1951" s="1" t="n">
        <v>1950</v>
      </c>
      <c r="B1951">
        <f>TEXT(1950, "[$-0E0000]yyyy-mm-dd")</f>
        <v/>
      </c>
      <c r="C1951" t="inlineStr">
        <is>
          <t>1905-04-01</t>
        </is>
      </c>
    </row>
    <row r="1952">
      <c r="A1952" s="1" t="n">
        <v>1951</v>
      </c>
      <c r="B1952">
        <f>TEXT(1951, "[$-0E0000]yyyy-mm-dd")</f>
        <v/>
      </c>
      <c r="C1952" t="inlineStr">
        <is>
          <t>1905-04-02</t>
        </is>
      </c>
    </row>
    <row r="1953">
      <c r="A1953" s="1" t="n">
        <v>1952</v>
      </c>
      <c r="B1953">
        <f>TEXT(1952, "[$-0E0000]yyyy-mm-dd")</f>
        <v/>
      </c>
      <c r="C1953" t="inlineStr">
        <is>
          <t>1905-04-03</t>
        </is>
      </c>
    </row>
    <row r="1954">
      <c r="A1954" s="1" t="n">
        <v>1953</v>
      </c>
      <c r="B1954">
        <f>TEXT(1953, "[$-0E0000]yyyy-mm-dd")</f>
        <v/>
      </c>
      <c r="C1954" t="inlineStr">
        <is>
          <t>1905-04-04</t>
        </is>
      </c>
    </row>
    <row r="1955">
      <c r="A1955" s="1" t="n">
        <v>1954</v>
      </c>
      <c r="B1955">
        <f>TEXT(1954, "[$-0E0000]yyyy-mm-dd")</f>
        <v/>
      </c>
      <c r="C1955" t="inlineStr">
        <is>
          <t>1905-04-05</t>
        </is>
      </c>
    </row>
    <row r="1956">
      <c r="A1956" s="1" t="n">
        <v>1955</v>
      </c>
      <c r="B1956">
        <f>TEXT(1955, "[$-0E0000]yyyy-mm-dd")</f>
        <v/>
      </c>
      <c r="C1956" t="inlineStr">
        <is>
          <t>1905-04-06</t>
        </is>
      </c>
    </row>
    <row r="1957">
      <c r="A1957" s="1" t="n">
        <v>1956</v>
      </c>
      <c r="B1957">
        <f>TEXT(1956, "[$-0E0000]yyyy-mm-dd")</f>
        <v/>
      </c>
      <c r="C1957" t="inlineStr">
        <is>
          <t>1905-04-07</t>
        </is>
      </c>
    </row>
    <row r="1958">
      <c r="A1958" s="1" t="n">
        <v>1957</v>
      </c>
      <c r="B1958">
        <f>TEXT(1957, "[$-0E0000]yyyy-mm-dd")</f>
        <v/>
      </c>
      <c r="C1958" t="inlineStr">
        <is>
          <t>1905-04-08</t>
        </is>
      </c>
    </row>
    <row r="1959">
      <c r="A1959" s="1" t="n">
        <v>1958</v>
      </c>
      <c r="B1959">
        <f>TEXT(1958, "[$-0E0000]yyyy-mm-dd")</f>
        <v/>
      </c>
      <c r="C1959" t="inlineStr">
        <is>
          <t>1905-04-09</t>
        </is>
      </c>
    </row>
    <row r="1960">
      <c r="A1960" s="1" t="n">
        <v>1959</v>
      </c>
      <c r="B1960">
        <f>TEXT(1959, "[$-0E0000]yyyy-mm-dd")</f>
        <v/>
      </c>
      <c r="C1960" t="inlineStr">
        <is>
          <t>1905-04-10</t>
        </is>
      </c>
    </row>
    <row r="1961">
      <c r="A1961" s="1" t="n">
        <v>1960</v>
      </c>
      <c r="B1961">
        <f>TEXT(1960, "[$-0E0000]yyyy-mm-dd")</f>
        <v/>
      </c>
      <c r="C1961" t="inlineStr">
        <is>
          <t>1905-04-11</t>
        </is>
      </c>
    </row>
    <row r="1962">
      <c r="A1962" s="1" t="n">
        <v>1961</v>
      </c>
      <c r="B1962">
        <f>TEXT(1961, "[$-0E0000]yyyy-mm-dd")</f>
        <v/>
      </c>
      <c r="C1962" t="inlineStr">
        <is>
          <t>1905-04-12</t>
        </is>
      </c>
    </row>
    <row r="1963">
      <c r="A1963" s="1" t="n">
        <v>1962</v>
      </c>
      <c r="B1963">
        <f>TEXT(1962, "[$-0E0000]yyyy-mm-dd")</f>
        <v/>
      </c>
      <c r="C1963" t="inlineStr">
        <is>
          <t>1905-04-13</t>
        </is>
      </c>
    </row>
    <row r="1964">
      <c r="A1964" s="1" t="n">
        <v>1963</v>
      </c>
      <c r="B1964">
        <f>TEXT(1963, "[$-0E0000]yyyy-mm-dd")</f>
        <v/>
      </c>
      <c r="C1964" t="inlineStr">
        <is>
          <t>1905-04-14</t>
        </is>
      </c>
    </row>
    <row r="1965">
      <c r="A1965" s="1" t="n">
        <v>1964</v>
      </c>
      <c r="B1965">
        <f>TEXT(1964, "[$-0E0000]yyyy-mm-dd")</f>
        <v/>
      </c>
      <c r="C1965" t="inlineStr">
        <is>
          <t>1905-04-15</t>
        </is>
      </c>
    </row>
    <row r="1966">
      <c r="A1966" s="1" t="n">
        <v>1965</v>
      </c>
      <c r="B1966">
        <f>TEXT(1965, "[$-0E0000]yyyy-mm-dd")</f>
        <v/>
      </c>
      <c r="C1966" t="inlineStr">
        <is>
          <t>1905-04-16</t>
        </is>
      </c>
    </row>
    <row r="1967">
      <c r="A1967" s="1" t="n">
        <v>1966</v>
      </c>
      <c r="B1967">
        <f>TEXT(1966, "[$-0E0000]yyyy-mm-dd")</f>
        <v/>
      </c>
      <c r="C1967" t="inlineStr">
        <is>
          <t>1905-04-17</t>
        </is>
      </c>
    </row>
    <row r="1968">
      <c r="A1968" s="1" t="n">
        <v>1967</v>
      </c>
      <c r="B1968">
        <f>TEXT(1967, "[$-0E0000]yyyy-mm-dd")</f>
        <v/>
      </c>
      <c r="C1968" t="inlineStr">
        <is>
          <t>1905-04-18</t>
        </is>
      </c>
    </row>
    <row r="1969">
      <c r="A1969" s="1" t="n">
        <v>1968</v>
      </c>
      <c r="B1969">
        <f>TEXT(1968, "[$-0E0000]yyyy-mm-dd")</f>
        <v/>
      </c>
      <c r="C1969" t="inlineStr">
        <is>
          <t>1905-04-19</t>
        </is>
      </c>
    </row>
    <row r="1970">
      <c r="A1970" s="1" t="n">
        <v>1969</v>
      </c>
      <c r="B1970">
        <f>TEXT(1969, "[$-0E0000]yyyy-mm-dd")</f>
        <v/>
      </c>
      <c r="C1970" t="inlineStr">
        <is>
          <t>1905-04-20</t>
        </is>
      </c>
    </row>
    <row r="1971">
      <c r="A1971" s="1" t="n">
        <v>1970</v>
      </c>
      <c r="B1971">
        <f>TEXT(1970, "[$-0E0000]yyyy-mm-dd")</f>
        <v/>
      </c>
      <c r="C1971" t="inlineStr">
        <is>
          <t>1905-04-21</t>
        </is>
      </c>
    </row>
    <row r="1972">
      <c r="A1972" s="1" t="n">
        <v>1971</v>
      </c>
      <c r="B1972">
        <f>TEXT(1971, "[$-0E0000]yyyy-mm-dd")</f>
        <v/>
      </c>
      <c r="C1972" t="inlineStr">
        <is>
          <t>1905-04-22</t>
        </is>
      </c>
    </row>
    <row r="1973">
      <c r="A1973" s="1" t="n">
        <v>1972</v>
      </c>
      <c r="B1973">
        <f>TEXT(1972, "[$-0E0000]yyyy-mm-dd")</f>
        <v/>
      </c>
      <c r="C1973" t="inlineStr">
        <is>
          <t>1905-04-23</t>
        </is>
      </c>
    </row>
    <row r="1974">
      <c r="A1974" s="1" t="n">
        <v>1973</v>
      </c>
      <c r="B1974">
        <f>TEXT(1973, "[$-0E0000]yyyy-mm-dd")</f>
        <v/>
      </c>
      <c r="C1974" t="inlineStr">
        <is>
          <t>1905-04-24</t>
        </is>
      </c>
    </row>
    <row r="1975">
      <c r="A1975" s="1" t="n">
        <v>1974</v>
      </c>
      <c r="B1975">
        <f>TEXT(1974, "[$-0E0000]yyyy-mm-dd")</f>
        <v/>
      </c>
      <c r="C1975" t="inlineStr">
        <is>
          <t>1905-04-25</t>
        </is>
      </c>
    </row>
    <row r="1976">
      <c r="A1976" s="1" t="n">
        <v>1975</v>
      </c>
      <c r="B1976">
        <f>TEXT(1975, "[$-0E0000]yyyy-mm-dd")</f>
        <v/>
      </c>
      <c r="C1976" t="inlineStr">
        <is>
          <t>1905-04-26</t>
        </is>
      </c>
    </row>
    <row r="1977">
      <c r="A1977" s="1" t="n">
        <v>1976</v>
      </c>
      <c r="B1977">
        <f>TEXT(1976, "[$-0E0000]yyyy-mm-dd")</f>
        <v/>
      </c>
      <c r="C1977" t="inlineStr">
        <is>
          <t>1905-04-27</t>
        </is>
      </c>
    </row>
    <row r="1978">
      <c r="A1978" s="1" t="n">
        <v>1977</v>
      </c>
      <c r="B1978">
        <f>TEXT(1977, "[$-0E0000]yyyy-mm-dd")</f>
        <v/>
      </c>
      <c r="C1978" t="inlineStr">
        <is>
          <t>1905-04-28</t>
        </is>
      </c>
    </row>
    <row r="1979">
      <c r="A1979" s="1" t="n">
        <v>1978</v>
      </c>
      <c r="B1979">
        <f>TEXT(1978, "[$-0E0000]yyyy-mm-dd")</f>
        <v/>
      </c>
      <c r="C1979" t="inlineStr">
        <is>
          <t>1905-04-29</t>
        </is>
      </c>
    </row>
    <row r="1980">
      <c r="A1980" s="1" t="n">
        <v>1979</v>
      </c>
      <c r="B1980">
        <f>TEXT(1979, "[$-0E0000]yyyy-mm-dd")</f>
        <v/>
      </c>
      <c r="C1980" t="inlineStr">
        <is>
          <t>1905-04-30</t>
        </is>
      </c>
    </row>
    <row r="1981">
      <c r="A1981" s="1" t="n">
        <v>1980</v>
      </c>
      <c r="B1981">
        <f>TEXT(1980, "[$-0E0000]yyyy-mm-dd")</f>
        <v/>
      </c>
      <c r="C1981" t="inlineStr">
        <is>
          <t>1905-05-01</t>
        </is>
      </c>
    </row>
    <row r="1982">
      <c r="A1982" s="1" t="n">
        <v>1981</v>
      </c>
      <c r="B1982">
        <f>TEXT(1981, "[$-0E0000]yyyy-mm-dd")</f>
        <v/>
      </c>
      <c r="C1982" t="inlineStr">
        <is>
          <t>1905-05-02</t>
        </is>
      </c>
    </row>
    <row r="1983">
      <c r="A1983" s="1" t="n">
        <v>1982</v>
      </c>
      <c r="B1983">
        <f>TEXT(1982, "[$-0E0000]yyyy-mm-dd")</f>
        <v/>
      </c>
      <c r="C1983" t="inlineStr">
        <is>
          <t>1905-05-03</t>
        </is>
      </c>
    </row>
    <row r="1984">
      <c r="A1984" s="1" t="n">
        <v>1983</v>
      </c>
      <c r="B1984">
        <f>TEXT(1983, "[$-0E0000]yyyy-mm-dd")</f>
        <v/>
      </c>
      <c r="C1984" t="inlineStr">
        <is>
          <t>1905-05-04</t>
        </is>
      </c>
    </row>
    <row r="1985">
      <c r="A1985" s="1" t="n">
        <v>1984</v>
      </c>
      <c r="B1985">
        <f>TEXT(1984, "[$-0E0000]yyyy-mm-dd")</f>
        <v/>
      </c>
      <c r="C1985" t="inlineStr">
        <is>
          <t>1905-05-05</t>
        </is>
      </c>
    </row>
    <row r="1986">
      <c r="A1986" s="1" t="n">
        <v>1985</v>
      </c>
      <c r="B1986">
        <f>TEXT(1985, "[$-0E0000]yyyy-mm-dd")</f>
        <v/>
      </c>
      <c r="C1986" t="inlineStr">
        <is>
          <t>1905-05-06</t>
        </is>
      </c>
    </row>
    <row r="1987">
      <c r="A1987" s="1" t="n">
        <v>1986</v>
      </c>
      <c r="B1987">
        <f>TEXT(1986, "[$-0E0000]yyyy-mm-dd")</f>
        <v/>
      </c>
      <c r="C1987" t="inlineStr">
        <is>
          <t>1905-05-07</t>
        </is>
      </c>
    </row>
    <row r="1988">
      <c r="A1988" s="1" t="n">
        <v>1987</v>
      </c>
      <c r="B1988">
        <f>TEXT(1987, "[$-0E0000]yyyy-mm-dd")</f>
        <v/>
      </c>
      <c r="C1988" t="inlineStr">
        <is>
          <t>1905-05-08</t>
        </is>
      </c>
    </row>
    <row r="1989">
      <c r="A1989" s="1" t="n">
        <v>1988</v>
      </c>
      <c r="B1989">
        <f>TEXT(1988, "[$-0E0000]yyyy-mm-dd")</f>
        <v/>
      </c>
      <c r="C1989" t="inlineStr">
        <is>
          <t>1905-05-09</t>
        </is>
      </c>
    </row>
    <row r="1990">
      <c r="A1990" s="1" t="n">
        <v>1989</v>
      </c>
      <c r="B1990">
        <f>TEXT(1989, "[$-0E0000]yyyy-mm-dd")</f>
        <v/>
      </c>
      <c r="C1990" t="inlineStr">
        <is>
          <t>1905-05-10</t>
        </is>
      </c>
    </row>
    <row r="1991">
      <c r="A1991" s="1" t="n">
        <v>1990</v>
      </c>
      <c r="B1991">
        <f>TEXT(1990, "[$-0E0000]yyyy-mm-dd")</f>
        <v/>
      </c>
      <c r="C1991" t="inlineStr">
        <is>
          <t>1905-05-11</t>
        </is>
      </c>
    </row>
    <row r="1992">
      <c r="A1992" s="1" t="n">
        <v>1991</v>
      </c>
      <c r="B1992">
        <f>TEXT(1991, "[$-0E0000]yyyy-mm-dd")</f>
        <v/>
      </c>
      <c r="C1992" t="inlineStr">
        <is>
          <t>1905-05-12</t>
        </is>
      </c>
    </row>
    <row r="1993">
      <c r="A1993" s="1" t="n">
        <v>1992</v>
      </c>
      <c r="B1993">
        <f>TEXT(1992, "[$-0E0000]yyyy-mm-dd")</f>
        <v/>
      </c>
      <c r="C1993" t="inlineStr">
        <is>
          <t>1905-05-13</t>
        </is>
      </c>
    </row>
    <row r="1994">
      <c r="A1994" s="1" t="n">
        <v>1993</v>
      </c>
      <c r="B1994">
        <f>TEXT(1993, "[$-0E0000]yyyy-mm-dd")</f>
        <v/>
      </c>
      <c r="C1994" t="inlineStr">
        <is>
          <t>1905-05-14</t>
        </is>
      </c>
    </row>
    <row r="1995">
      <c r="A1995" s="1" t="n">
        <v>1994</v>
      </c>
      <c r="B1995">
        <f>TEXT(1994, "[$-0E0000]yyyy-mm-dd")</f>
        <v/>
      </c>
      <c r="C1995" t="inlineStr">
        <is>
          <t>1905-05-15</t>
        </is>
      </c>
    </row>
    <row r="1996">
      <c r="A1996" s="1" t="n">
        <v>1995</v>
      </c>
      <c r="B1996">
        <f>TEXT(1995, "[$-0E0000]yyyy-mm-dd")</f>
        <v/>
      </c>
      <c r="C1996" t="inlineStr">
        <is>
          <t>1905-05-16</t>
        </is>
      </c>
    </row>
    <row r="1997">
      <c r="A1997" s="1" t="n">
        <v>1996</v>
      </c>
      <c r="B1997">
        <f>TEXT(1996, "[$-0E0000]yyyy-mm-dd")</f>
        <v/>
      </c>
      <c r="C1997" t="inlineStr">
        <is>
          <t>1905-05-17</t>
        </is>
      </c>
    </row>
    <row r="1998">
      <c r="A1998" s="1" t="n">
        <v>1997</v>
      </c>
      <c r="B1998">
        <f>TEXT(1997, "[$-0E0000]yyyy-mm-dd")</f>
        <v/>
      </c>
      <c r="C1998" t="inlineStr">
        <is>
          <t>1905-05-18</t>
        </is>
      </c>
    </row>
    <row r="1999">
      <c r="A1999" s="1" t="n">
        <v>1998</v>
      </c>
      <c r="B1999">
        <f>TEXT(1998, "[$-0E0000]yyyy-mm-dd")</f>
        <v/>
      </c>
      <c r="C1999" t="inlineStr">
        <is>
          <t>1905-05-19</t>
        </is>
      </c>
    </row>
    <row r="2000">
      <c r="A2000" s="1" t="n">
        <v>1999</v>
      </c>
      <c r="B2000">
        <f>TEXT(1999, "[$-0E0000]yyyy-mm-dd")</f>
        <v/>
      </c>
      <c r="C2000" t="inlineStr">
        <is>
          <t>1905-05-20</t>
        </is>
      </c>
    </row>
    <row r="2001">
      <c r="A2001" s="1" t="n">
        <v>2000</v>
      </c>
      <c r="B2001">
        <f>TEXT(2000, "[$-0E0000]yyyy-mm-dd")</f>
        <v/>
      </c>
      <c r="C2001" t="inlineStr">
        <is>
          <t>1905-05-21</t>
        </is>
      </c>
    </row>
    <row r="2002">
      <c r="A2002" s="1" t="n">
        <v>2001</v>
      </c>
      <c r="B2002">
        <f>TEXT(2001, "[$-0E0000]yyyy-mm-dd")</f>
        <v/>
      </c>
      <c r="C2002" t="inlineStr">
        <is>
          <t>1905-05-22</t>
        </is>
      </c>
    </row>
    <row r="2003">
      <c r="A2003" s="1" t="n">
        <v>2002</v>
      </c>
      <c r="B2003">
        <f>TEXT(2002, "[$-0E0000]yyyy-mm-dd")</f>
        <v/>
      </c>
      <c r="C2003" t="inlineStr">
        <is>
          <t>1905-05-23</t>
        </is>
      </c>
    </row>
    <row r="2004">
      <c r="A2004" s="1" t="n">
        <v>2003</v>
      </c>
      <c r="B2004">
        <f>TEXT(2003, "[$-0E0000]yyyy-mm-dd")</f>
        <v/>
      </c>
      <c r="C2004" t="inlineStr">
        <is>
          <t>1905-05-24</t>
        </is>
      </c>
    </row>
    <row r="2005">
      <c r="A2005" s="1" t="n">
        <v>2004</v>
      </c>
      <c r="B2005">
        <f>TEXT(2004, "[$-0E0000]yyyy-mm-dd")</f>
        <v/>
      </c>
      <c r="C2005" t="inlineStr">
        <is>
          <t>1905-05-25</t>
        </is>
      </c>
    </row>
    <row r="2006">
      <c r="A2006" s="1" t="n">
        <v>2005</v>
      </c>
      <c r="B2006">
        <f>TEXT(2005, "[$-0E0000]yyyy-mm-dd")</f>
        <v/>
      </c>
      <c r="C2006" t="inlineStr">
        <is>
          <t>1905-05-26</t>
        </is>
      </c>
    </row>
    <row r="2007">
      <c r="A2007" s="1" t="n">
        <v>2006</v>
      </c>
      <c r="B2007">
        <f>TEXT(2006, "[$-0E0000]yyyy-mm-dd")</f>
        <v/>
      </c>
      <c r="C2007" t="inlineStr">
        <is>
          <t>1905-05-27</t>
        </is>
      </c>
    </row>
    <row r="2008">
      <c r="A2008" s="1" t="n">
        <v>2007</v>
      </c>
      <c r="B2008">
        <f>TEXT(2007, "[$-0E0000]yyyy-mm-dd")</f>
        <v/>
      </c>
      <c r="C2008" t="inlineStr">
        <is>
          <t>1905-05-28</t>
        </is>
      </c>
    </row>
    <row r="2009">
      <c r="A2009" s="1" t="n">
        <v>2008</v>
      </c>
      <c r="B2009">
        <f>TEXT(2008, "[$-0E0000]yyyy-mm-dd")</f>
        <v/>
      </c>
      <c r="C2009" t="inlineStr">
        <is>
          <t>1905-05-29</t>
        </is>
      </c>
    </row>
    <row r="2010">
      <c r="A2010" s="1" t="n">
        <v>2009</v>
      </c>
      <c r="B2010">
        <f>TEXT(2009, "[$-0E0000]yyyy-mm-dd")</f>
        <v/>
      </c>
      <c r="C2010" t="inlineStr">
        <is>
          <t>1905-05-30</t>
        </is>
      </c>
    </row>
    <row r="2011">
      <c r="A2011" s="1" t="n">
        <v>2010</v>
      </c>
      <c r="B2011">
        <f>TEXT(2010, "[$-0E0000]yyyy-mm-dd")</f>
        <v/>
      </c>
      <c r="C2011" t="inlineStr">
        <is>
          <t>1905-06-01</t>
        </is>
      </c>
    </row>
    <row r="2012">
      <c r="A2012" s="1" t="n">
        <v>2011</v>
      </c>
      <c r="B2012">
        <f>TEXT(2011, "[$-0E0000]yyyy-mm-dd")</f>
        <v/>
      </c>
      <c r="C2012" t="inlineStr">
        <is>
          <t>1905-06-02</t>
        </is>
      </c>
    </row>
    <row r="2013">
      <c r="A2013" s="1" t="n">
        <v>2012</v>
      </c>
      <c r="B2013">
        <f>TEXT(2012, "[$-0E0000]yyyy-mm-dd")</f>
        <v/>
      </c>
      <c r="C2013" t="inlineStr">
        <is>
          <t>1905-06-03</t>
        </is>
      </c>
    </row>
    <row r="2014">
      <c r="A2014" s="1" t="n">
        <v>2013</v>
      </c>
      <c r="B2014">
        <f>TEXT(2013, "[$-0E0000]yyyy-mm-dd")</f>
        <v/>
      </c>
      <c r="C2014" t="inlineStr">
        <is>
          <t>1905-06-04</t>
        </is>
      </c>
    </row>
    <row r="2015">
      <c r="A2015" s="1" t="n">
        <v>2014</v>
      </c>
      <c r="B2015">
        <f>TEXT(2014, "[$-0E0000]yyyy-mm-dd")</f>
        <v/>
      </c>
      <c r="C2015" t="inlineStr">
        <is>
          <t>1905-06-05</t>
        </is>
      </c>
    </row>
    <row r="2016">
      <c r="A2016" s="1" t="n">
        <v>2015</v>
      </c>
      <c r="B2016">
        <f>TEXT(2015, "[$-0E0000]yyyy-mm-dd")</f>
        <v/>
      </c>
      <c r="C2016" t="inlineStr">
        <is>
          <t>1905-06-06</t>
        </is>
      </c>
    </row>
    <row r="2017">
      <c r="A2017" s="1" t="n">
        <v>2016</v>
      </c>
      <c r="B2017">
        <f>TEXT(2016, "[$-0E0000]yyyy-mm-dd")</f>
        <v/>
      </c>
      <c r="C2017" t="inlineStr">
        <is>
          <t>1905-06-07</t>
        </is>
      </c>
    </row>
    <row r="2018">
      <c r="A2018" s="1" t="n">
        <v>2017</v>
      </c>
      <c r="B2018">
        <f>TEXT(2017, "[$-0E0000]yyyy-mm-dd")</f>
        <v/>
      </c>
      <c r="C2018" t="inlineStr">
        <is>
          <t>1905-06-08</t>
        </is>
      </c>
    </row>
    <row r="2019">
      <c r="A2019" s="1" t="n">
        <v>2018</v>
      </c>
      <c r="B2019">
        <f>TEXT(2018, "[$-0E0000]yyyy-mm-dd")</f>
        <v/>
      </c>
      <c r="C2019" t="inlineStr">
        <is>
          <t>1905-06-09</t>
        </is>
      </c>
    </row>
    <row r="2020">
      <c r="A2020" s="1" t="n">
        <v>2019</v>
      </c>
      <c r="B2020">
        <f>TEXT(2019, "[$-0E0000]yyyy-mm-dd")</f>
        <v/>
      </c>
      <c r="C2020" t="inlineStr">
        <is>
          <t>1905-06-10</t>
        </is>
      </c>
    </row>
    <row r="2021">
      <c r="A2021" s="1" t="n">
        <v>2020</v>
      </c>
      <c r="B2021">
        <f>TEXT(2020, "[$-0E0000]yyyy-mm-dd")</f>
        <v/>
      </c>
      <c r="C2021" t="inlineStr">
        <is>
          <t>1905-06-11</t>
        </is>
      </c>
    </row>
    <row r="2022">
      <c r="A2022" s="1" t="n">
        <v>2021</v>
      </c>
      <c r="B2022">
        <f>TEXT(2021, "[$-0E0000]yyyy-mm-dd")</f>
        <v/>
      </c>
      <c r="C2022" t="inlineStr">
        <is>
          <t>1905-06-12</t>
        </is>
      </c>
    </row>
    <row r="2023">
      <c r="A2023" s="1" t="n">
        <v>2022</v>
      </c>
      <c r="B2023">
        <f>TEXT(2022, "[$-0E0000]yyyy-mm-dd")</f>
        <v/>
      </c>
      <c r="C2023" t="inlineStr">
        <is>
          <t>1905-06-13</t>
        </is>
      </c>
    </row>
    <row r="2024">
      <c r="A2024" s="1" t="n">
        <v>2023</v>
      </c>
      <c r="B2024">
        <f>TEXT(2023, "[$-0E0000]yyyy-mm-dd")</f>
        <v/>
      </c>
      <c r="C2024" t="inlineStr">
        <is>
          <t>1905-06-14</t>
        </is>
      </c>
    </row>
    <row r="2025">
      <c r="A2025" s="1" t="n">
        <v>2024</v>
      </c>
      <c r="B2025">
        <f>TEXT(2024, "[$-0E0000]yyyy-mm-dd")</f>
        <v/>
      </c>
      <c r="C2025" t="inlineStr">
        <is>
          <t>1905-06-15</t>
        </is>
      </c>
    </row>
    <row r="2026">
      <c r="A2026" s="1" t="n">
        <v>2025</v>
      </c>
      <c r="B2026">
        <f>TEXT(2025, "[$-0E0000]yyyy-mm-dd")</f>
        <v/>
      </c>
      <c r="C2026" t="inlineStr">
        <is>
          <t>1905-06-16</t>
        </is>
      </c>
    </row>
    <row r="2027">
      <c r="A2027" s="1" t="n">
        <v>2026</v>
      </c>
      <c r="B2027">
        <f>TEXT(2026, "[$-0E0000]yyyy-mm-dd")</f>
        <v/>
      </c>
      <c r="C2027" t="inlineStr">
        <is>
          <t>1905-06-17</t>
        </is>
      </c>
    </row>
    <row r="2028">
      <c r="A2028" s="1" t="n">
        <v>2027</v>
      </c>
      <c r="B2028">
        <f>TEXT(2027, "[$-0E0000]yyyy-mm-dd")</f>
        <v/>
      </c>
      <c r="C2028" t="inlineStr">
        <is>
          <t>1905-06-18</t>
        </is>
      </c>
    </row>
    <row r="2029">
      <c r="A2029" s="1" t="n">
        <v>2028</v>
      </c>
      <c r="B2029">
        <f>TEXT(2028, "[$-0E0000]yyyy-mm-dd")</f>
        <v/>
      </c>
      <c r="C2029" t="inlineStr">
        <is>
          <t>1905-06-19</t>
        </is>
      </c>
    </row>
    <row r="2030">
      <c r="A2030" s="1" t="n">
        <v>2029</v>
      </c>
      <c r="B2030">
        <f>TEXT(2029, "[$-0E0000]yyyy-mm-dd")</f>
        <v/>
      </c>
      <c r="C2030" t="inlineStr">
        <is>
          <t>1905-06-20</t>
        </is>
      </c>
    </row>
    <row r="2031">
      <c r="A2031" s="1" t="n">
        <v>2030</v>
      </c>
      <c r="B2031">
        <f>TEXT(2030, "[$-0E0000]yyyy-mm-dd")</f>
        <v/>
      </c>
      <c r="C2031" t="inlineStr">
        <is>
          <t>1905-06-21</t>
        </is>
      </c>
    </row>
    <row r="2032">
      <c r="A2032" s="1" t="n">
        <v>2031</v>
      </c>
      <c r="B2032">
        <f>TEXT(2031, "[$-0E0000]yyyy-mm-dd")</f>
        <v/>
      </c>
      <c r="C2032" t="inlineStr">
        <is>
          <t>1905-06-22</t>
        </is>
      </c>
    </row>
    <row r="2033">
      <c r="A2033" s="1" t="n">
        <v>2032</v>
      </c>
      <c r="B2033">
        <f>TEXT(2032, "[$-0E0000]yyyy-mm-dd")</f>
        <v/>
      </c>
      <c r="C2033" t="inlineStr">
        <is>
          <t>1905-06-23</t>
        </is>
      </c>
    </row>
    <row r="2034">
      <c r="A2034" s="1" t="n">
        <v>2033</v>
      </c>
      <c r="B2034">
        <f>TEXT(2033, "[$-0E0000]yyyy-mm-dd")</f>
        <v/>
      </c>
      <c r="C2034" t="inlineStr">
        <is>
          <t>1905-06-24</t>
        </is>
      </c>
    </row>
    <row r="2035">
      <c r="A2035" s="1" t="n">
        <v>2034</v>
      </c>
      <c r="B2035">
        <f>TEXT(2034, "[$-0E0000]yyyy-mm-dd")</f>
        <v/>
      </c>
      <c r="C2035" t="inlineStr">
        <is>
          <t>1905-06-25</t>
        </is>
      </c>
    </row>
    <row r="2036">
      <c r="A2036" s="1" t="n">
        <v>2035</v>
      </c>
      <c r="B2036">
        <f>TEXT(2035, "[$-0E0000]yyyy-mm-dd")</f>
        <v/>
      </c>
      <c r="C2036" t="inlineStr">
        <is>
          <t>1905-06-26</t>
        </is>
      </c>
    </row>
    <row r="2037">
      <c r="A2037" s="1" t="n">
        <v>2036</v>
      </c>
      <c r="B2037">
        <f>TEXT(2036, "[$-0E0000]yyyy-mm-dd")</f>
        <v/>
      </c>
      <c r="C2037" t="inlineStr">
        <is>
          <t>1905-06-27</t>
        </is>
      </c>
    </row>
    <row r="2038">
      <c r="A2038" s="1" t="n">
        <v>2037</v>
      </c>
      <c r="B2038">
        <f>TEXT(2037, "[$-0E0000]yyyy-mm-dd")</f>
        <v/>
      </c>
      <c r="C2038" t="inlineStr">
        <is>
          <t>1905-06-28</t>
        </is>
      </c>
    </row>
    <row r="2039">
      <c r="A2039" s="1" t="n">
        <v>2038</v>
      </c>
      <c r="B2039">
        <f>TEXT(2038, "[$-0E0000]yyyy-mm-dd")</f>
        <v/>
      </c>
      <c r="C2039" t="inlineStr">
        <is>
          <t>1905-06-29</t>
        </is>
      </c>
    </row>
    <row r="2040">
      <c r="A2040" s="1" t="n">
        <v>2039</v>
      </c>
      <c r="B2040">
        <f>TEXT(2039, "[$-0E0000]yyyy-mm-dd")</f>
        <v/>
      </c>
      <c r="C2040" t="inlineStr">
        <is>
          <t>1905-07-01</t>
        </is>
      </c>
    </row>
    <row r="2041">
      <c r="A2041" s="1" t="n">
        <v>2040</v>
      </c>
      <c r="B2041">
        <f>TEXT(2040, "[$-0E0000]yyyy-mm-dd")</f>
        <v/>
      </c>
      <c r="C2041" t="inlineStr">
        <is>
          <t>1905-07-02</t>
        </is>
      </c>
    </row>
    <row r="2042">
      <c r="A2042" s="1" t="n">
        <v>2041</v>
      </c>
      <c r="B2042">
        <f>TEXT(2041, "[$-0E0000]yyyy-mm-dd")</f>
        <v/>
      </c>
      <c r="C2042" t="inlineStr">
        <is>
          <t>1905-07-03</t>
        </is>
      </c>
    </row>
    <row r="2043">
      <c r="A2043" s="1" t="n">
        <v>2042</v>
      </c>
      <c r="B2043">
        <f>TEXT(2042, "[$-0E0000]yyyy-mm-dd")</f>
        <v/>
      </c>
      <c r="C2043" t="inlineStr">
        <is>
          <t>1905-07-04</t>
        </is>
      </c>
    </row>
    <row r="2044">
      <c r="A2044" s="1" t="n">
        <v>2043</v>
      </c>
      <c r="B2044">
        <f>TEXT(2043, "[$-0E0000]yyyy-mm-dd")</f>
        <v/>
      </c>
      <c r="C2044" t="inlineStr">
        <is>
          <t>1905-07-05</t>
        </is>
      </c>
    </row>
    <row r="2045">
      <c r="A2045" s="1" t="n">
        <v>2044</v>
      </c>
      <c r="B2045">
        <f>TEXT(2044, "[$-0E0000]yyyy-mm-dd")</f>
        <v/>
      </c>
      <c r="C2045" t="inlineStr">
        <is>
          <t>1905-07-06</t>
        </is>
      </c>
    </row>
    <row r="2046">
      <c r="A2046" s="1" t="n">
        <v>2045</v>
      </c>
      <c r="B2046">
        <f>TEXT(2045, "[$-0E0000]yyyy-mm-dd")</f>
        <v/>
      </c>
      <c r="C2046" t="inlineStr">
        <is>
          <t>1905-07-07</t>
        </is>
      </c>
    </row>
    <row r="2047">
      <c r="A2047" s="1" t="n">
        <v>2046</v>
      </c>
      <c r="B2047">
        <f>TEXT(2046, "[$-0E0000]yyyy-mm-dd")</f>
        <v/>
      </c>
      <c r="C2047" t="inlineStr">
        <is>
          <t>1905-07-08</t>
        </is>
      </c>
    </row>
    <row r="2048">
      <c r="A2048" s="1" t="n">
        <v>2047</v>
      </c>
      <c r="B2048">
        <f>TEXT(2047, "[$-0E0000]yyyy-mm-dd")</f>
        <v/>
      </c>
      <c r="C2048" t="inlineStr">
        <is>
          <t>1905-07-09</t>
        </is>
      </c>
    </row>
    <row r="2049">
      <c r="A2049" s="1" t="n">
        <v>2048</v>
      </c>
      <c r="B2049">
        <f>TEXT(2048, "[$-0E0000]yyyy-mm-dd")</f>
        <v/>
      </c>
      <c r="C2049" t="inlineStr">
        <is>
          <t>1905-07-10</t>
        </is>
      </c>
    </row>
    <row r="2050">
      <c r="A2050" s="1" t="n">
        <v>2049</v>
      </c>
      <c r="B2050">
        <f>TEXT(2049, "[$-0E0000]yyyy-mm-dd")</f>
        <v/>
      </c>
      <c r="C2050" t="inlineStr">
        <is>
          <t>1905-07-11</t>
        </is>
      </c>
    </row>
    <row r="2051">
      <c r="A2051" s="1" t="n">
        <v>2050</v>
      </c>
      <c r="B2051">
        <f>TEXT(2050, "[$-0E0000]yyyy-mm-dd")</f>
        <v/>
      </c>
      <c r="C2051" t="inlineStr">
        <is>
          <t>1905-07-12</t>
        </is>
      </c>
    </row>
    <row r="2052">
      <c r="A2052" s="1" t="n">
        <v>2051</v>
      </c>
      <c r="B2052">
        <f>TEXT(2051, "[$-0E0000]yyyy-mm-dd")</f>
        <v/>
      </c>
      <c r="C2052" t="inlineStr">
        <is>
          <t>1905-07-13</t>
        </is>
      </c>
    </row>
    <row r="2053">
      <c r="A2053" s="1" t="n">
        <v>2052</v>
      </c>
      <c r="B2053">
        <f>TEXT(2052, "[$-0E0000]yyyy-mm-dd")</f>
        <v/>
      </c>
      <c r="C2053" t="inlineStr">
        <is>
          <t>1905-07-14</t>
        </is>
      </c>
    </row>
    <row r="2054">
      <c r="A2054" s="1" t="n">
        <v>2053</v>
      </c>
      <c r="B2054">
        <f>TEXT(2053, "[$-0E0000]yyyy-mm-dd")</f>
        <v/>
      </c>
      <c r="C2054" t="inlineStr">
        <is>
          <t>1905-07-15</t>
        </is>
      </c>
    </row>
    <row r="2055">
      <c r="A2055" s="1" t="n">
        <v>2054</v>
      </c>
      <c r="B2055">
        <f>TEXT(2054, "[$-0E0000]yyyy-mm-dd")</f>
        <v/>
      </c>
      <c r="C2055" t="inlineStr">
        <is>
          <t>1905-07-16</t>
        </is>
      </c>
    </row>
    <row r="2056">
      <c r="A2056" s="1" t="n">
        <v>2055</v>
      </c>
      <c r="B2056">
        <f>TEXT(2055, "[$-0E0000]yyyy-mm-dd")</f>
        <v/>
      </c>
      <c r="C2056" t="inlineStr">
        <is>
          <t>1905-07-17</t>
        </is>
      </c>
    </row>
    <row r="2057">
      <c r="A2057" s="1" t="n">
        <v>2056</v>
      </c>
      <c r="B2057">
        <f>TEXT(2056, "[$-0E0000]yyyy-mm-dd")</f>
        <v/>
      </c>
      <c r="C2057" t="inlineStr">
        <is>
          <t>1905-07-18</t>
        </is>
      </c>
    </row>
    <row r="2058">
      <c r="A2058" s="1" t="n">
        <v>2057</v>
      </c>
      <c r="B2058">
        <f>TEXT(2057, "[$-0E0000]yyyy-mm-dd")</f>
        <v/>
      </c>
      <c r="C2058" t="inlineStr">
        <is>
          <t>1905-07-19</t>
        </is>
      </c>
    </row>
    <row r="2059">
      <c r="A2059" s="1" t="n">
        <v>2058</v>
      </c>
      <c r="B2059">
        <f>TEXT(2058, "[$-0E0000]yyyy-mm-dd")</f>
        <v/>
      </c>
      <c r="C2059" t="inlineStr">
        <is>
          <t>1905-07-20</t>
        </is>
      </c>
    </row>
    <row r="2060">
      <c r="A2060" s="1" t="n">
        <v>2059</v>
      </c>
      <c r="B2060">
        <f>TEXT(2059, "[$-0E0000]yyyy-mm-dd")</f>
        <v/>
      </c>
      <c r="C2060" t="inlineStr">
        <is>
          <t>1905-07-21</t>
        </is>
      </c>
    </row>
    <row r="2061">
      <c r="A2061" s="1" t="n">
        <v>2060</v>
      </c>
      <c r="B2061">
        <f>TEXT(2060, "[$-0E0000]yyyy-mm-dd")</f>
        <v/>
      </c>
      <c r="C2061" t="inlineStr">
        <is>
          <t>1905-07-22</t>
        </is>
      </c>
    </row>
    <row r="2062">
      <c r="A2062" s="1" t="n">
        <v>2061</v>
      </c>
      <c r="B2062">
        <f>TEXT(2061, "[$-0E0000]yyyy-mm-dd")</f>
        <v/>
      </c>
      <c r="C2062" t="inlineStr">
        <is>
          <t>1905-07-23</t>
        </is>
      </c>
    </row>
    <row r="2063">
      <c r="A2063" s="1" t="n">
        <v>2062</v>
      </c>
      <c r="B2063">
        <f>TEXT(2062, "[$-0E0000]yyyy-mm-dd")</f>
        <v/>
      </c>
      <c r="C2063" t="inlineStr">
        <is>
          <t>1905-07-24</t>
        </is>
      </c>
    </row>
    <row r="2064">
      <c r="A2064" s="1" t="n">
        <v>2063</v>
      </c>
      <c r="B2064">
        <f>TEXT(2063, "[$-0E0000]yyyy-mm-dd")</f>
        <v/>
      </c>
      <c r="C2064" t="inlineStr">
        <is>
          <t>1905-07-25</t>
        </is>
      </c>
    </row>
    <row r="2065">
      <c r="A2065" s="1" t="n">
        <v>2064</v>
      </c>
      <c r="B2065">
        <f>TEXT(2064, "[$-0E0000]yyyy-mm-dd")</f>
        <v/>
      </c>
      <c r="C2065" t="inlineStr">
        <is>
          <t>1905-07-26</t>
        </is>
      </c>
    </row>
    <row r="2066">
      <c r="A2066" s="1" t="n">
        <v>2065</v>
      </c>
      <c r="B2066">
        <f>TEXT(2065, "[$-0E0000]yyyy-mm-dd")</f>
        <v/>
      </c>
      <c r="C2066" t="inlineStr">
        <is>
          <t>1905-07-27</t>
        </is>
      </c>
    </row>
    <row r="2067">
      <c r="A2067" s="1" t="n">
        <v>2066</v>
      </c>
      <c r="B2067">
        <f>TEXT(2066, "[$-0E0000]yyyy-mm-dd")</f>
        <v/>
      </c>
      <c r="C2067" t="inlineStr">
        <is>
          <t>1905-07-28</t>
        </is>
      </c>
    </row>
    <row r="2068">
      <c r="A2068" s="1" t="n">
        <v>2067</v>
      </c>
      <c r="B2068">
        <f>TEXT(2067, "[$-0E0000]yyyy-mm-dd")</f>
        <v/>
      </c>
      <c r="C2068" t="inlineStr">
        <is>
          <t>1905-07-29</t>
        </is>
      </c>
    </row>
    <row r="2069">
      <c r="A2069" s="1" t="n">
        <v>2068</v>
      </c>
      <c r="B2069">
        <f>TEXT(2068, "[$-0E0000]yyyy-mm-dd")</f>
        <v/>
      </c>
      <c r="C2069" t="inlineStr">
        <is>
          <t>1905-08-01</t>
        </is>
      </c>
    </row>
    <row r="2070">
      <c r="A2070" s="1" t="n">
        <v>2069</v>
      </c>
      <c r="B2070">
        <f>TEXT(2069, "[$-0E0000]yyyy-mm-dd")</f>
        <v/>
      </c>
      <c r="C2070" t="inlineStr">
        <is>
          <t>1905-08-02</t>
        </is>
      </c>
    </row>
    <row r="2071">
      <c r="A2071" s="1" t="n">
        <v>2070</v>
      </c>
      <c r="B2071">
        <f>TEXT(2070, "[$-0E0000]yyyy-mm-dd")</f>
        <v/>
      </c>
      <c r="C2071" t="inlineStr">
        <is>
          <t>1905-08-03</t>
        </is>
      </c>
    </row>
    <row r="2072">
      <c r="A2072" s="1" t="n">
        <v>2071</v>
      </c>
      <c r="B2072">
        <f>TEXT(2071, "[$-0E0000]yyyy-mm-dd")</f>
        <v/>
      </c>
      <c r="C2072" t="inlineStr">
        <is>
          <t>1905-08-04</t>
        </is>
      </c>
    </row>
    <row r="2073">
      <c r="A2073" s="1" t="n">
        <v>2072</v>
      </c>
      <c r="B2073">
        <f>TEXT(2072, "[$-0E0000]yyyy-mm-dd")</f>
        <v/>
      </c>
      <c r="C2073" t="inlineStr">
        <is>
          <t>1905-08-05</t>
        </is>
      </c>
    </row>
    <row r="2074">
      <c r="A2074" s="1" t="n">
        <v>2073</v>
      </c>
      <c r="B2074">
        <f>TEXT(2073, "[$-0E0000]yyyy-mm-dd")</f>
        <v/>
      </c>
      <c r="C2074" t="inlineStr">
        <is>
          <t>1905-08-06</t>
        </is>
      </c>
    </row>
    <row r="2075">
      <c r="A2075" s="1" t="n">
        <v>2074</v>
      </c>
      <c r="B2075">
        <f>TEXT(2074, "[$-0E0000]yyyy-mm-dd")</f>
        <v/>
      </c>
      <c r="C2075" t="inlineStr">
        <is>
          <t>1905-08-07</t>
        </is>
      </c>
    </row>
    <row r="2076">
      <c r="A2076" s="1" t="n">
        <v>2075</v>
      </c>
      <c r="B2076">
        <f>TEXT(2075, "[$-0E0000]yyyy-mm-dd")</f>
        <v/>
      </c>
      <c r="C2076" t="inlineStr">
        <is>
          <t>1905-08-08</t>
        </is>
      </c>
    </row>
    <row r="2077">
      <c r="A2077" s="1" t="n">
        <v>2076</v>
      </c>
      <c r="B2077">
        <f>TEXT(2076, "[$-0E0000]yyyy-mm-dd")</f>
        <v/>
      </c>
      <c r="C2077" t="inlineStr">
        <is>
          <t>1905-08-09</t>
        </is>
      </c>
    </row>
    <row r="2078">
      <c r="A2078" s="1" t="n">
        <v>2077</v>
      </c>
      <c r="B2078">
        <f>TEXT(2077, "[$-0E0000]yyyy-mm-dd")</f>
        <v/>
      </c>
      <c r="C2078" t="inlineStr">
        <is>
          <t>1905-08-10</t>
        </is>
      </c>
    </row>
    <row r="2079">
      <c r="A2079" s="1" t="n">
        <v>2078</v>
      </c>
      <c r="B2079">
        <f>TEXT(2078, "[$-0E0000]yyyy-mm-dd")</f>
        <v/>
      </c>
      <c r="C2079" t="inlineStr">
        <is>
          <t>1905-08-11</t>
        </is>
      </c>
    </row>
    <row r="2080">
      <c r="A2080" s="1" t="n">
        <v>2079</v>
      </c>
      <c r="B2080">
        <f>TEXT(2079, "[$-0E0000]yyyy-mm-dd")</f>
        <v/>
      </c>
      <c r="C2080" t="inlineStr">
        <is>
          <t>1905-08-12</t>
        </is>
      </c>
    </row>
    <row r="2081">
      <c r="A2081" s="1" t="n">
        <v>2080</v>
      </c>
      <c r="B2081">
        <f>TEXT(2080, "[$-0E0000]yyyy-mm-dd")</f>
        <v/>
      </c>
      <c r="C2081" t="inlineStr">
        <is>
          <t>1905-08-13</t>
        </is>
      </c>
    </row>
    <row r="2082">
      <c r="A2082" s="1" t="n">
        <v>2081</v>
      </c>
      <c r="B2082">
        <f>TEXT(2081, "[$-0E0000]yyyy-mm-dd")</f>
        <v/>
      </c>
      <c r="C2082" t="inlineStr">
        <is>
          <t>1905-08-14</t>
        </is>
      </c>
    </row>
    <row r="2083">
      <c r="A2083" s="1" t="n">
        <v>2082</v>
      </c>
      <c r="B2083">
        <f>TEXT(2082, "[$-0E0000]yyyy-mm-dd")</f>
        <v/>
      </c>
      <c r="C2083" t="inlineStr">
        <is>
          <t>1905-08-15</t>
        </is>
      </c>
    </row>
    <row r="2084">
      <c r="A2084" s="1" t="n">
        <v>2083</v>
      </c>
      <c r="B2084">
        <f>TEXT(2083, "[$-0E0000]yyyy-mm-dd")</f>
        <v/>
      </c>
      <c r="C2084" t="inlineStr">
        <is>
          <t>1905-08-16</t>
        </is>
      </c>
    </row>
    <row r="2085">
      <c r="A2085" s="1" t="n">
        <v>2084</v>
      </c>
      <c r="B2085">
        <f>TEXT(2084, "[$-0E0000]yyyy-mm-dd")</f>
        <v/>
      </c>
      <c r="C2085" t="inlineStr">
        <is>
          <t>1905-08-17</t>
        </is>
      </c>
    </row>
    <row r="2086">
      <c r="A2086" s="1" t="n">
        <v>2085</v>
      </c>
      <c r="B2086">
        <f>TEXT(2085, "[$-0E0000]yyyy-mm-dd")</f>
        <v/>
      </c>
      <c r="C2086" t="inlineStr">
        <is>
          <t>1905-08-18</t>
        </is>
      </c>
    </row>
    <row r="2087">
      <c r="A2087" s="1" t="n">
        <v>2086</v>
      </c>
      <c r="B2087">
        <f>TEXT(2086, "[$-0E0000]yyyy-mm-dd")</f>
        <v/>
      </c>
      <c r="C2087" t="inlineStr">
        <is>
          <t>1905-08-19</t>
        </is>
      </c>
    </row>
    <row r="2088">
      <c r="A2088" s="1" t="n">
        <v>2087</v>
      </c>
      <c r="B2088">
        <f>TEXT(2087, "[$-0E0000]yyyy-mm-dd")</f>
        <v/>
      </c>
      <c r="C2088" t="inlineStr">
        <is>
          <t>1905-08-20</t>
        </is>
      </c>
    </row>
    <row r="2089">
      <c r="A2089" s="1" t="n">
        <v>2088</v>
      </c>
      <c r="B2089">
        <f>TEXT(2088, "[$-0E0000]yyyy-mm-dd")</f>
        <v/>
      </c>
      <c r="C2089" t="inlineStr">
        <is>
          <t>1905-08-21</t>
        </is>
      </c>
    </row>
    <row r="2090">
      <c r="A2090" s="1" t="n">
        <v>2089</v>
      </c>
      <c r="B2090">
        <f>TEXT(2089, "[$-0E0000]yyyy-mm-dd")</f>
        <v/>
      </c>
      <c r="C2090" t="inlineStr">
        <is>
          <t>1905-08-22</t>
        </is>
      </c>
    </row>
    <row r="2091">
      <c r="A2091" s="1" t="n">
        <v>2090</v>
      </c>
      <c r="B2091">
        <f>TEXT(2090, "[$-0E0000]yyyy-mm-dd")</f>
        <v/>
      </c>
      <c r="C2091" t="inlineStr">
        <is>
          <t>1905-08-23</t>
        </is>
      </c>
    </row>
    <row r="2092">
      <c r="A2092" s="1" t="n">
        <v>2091</v>
      </c>
      <c r="B2092">
        <f>TEXT(2091, "[$-0E0000]yyyy-mm-dd")</f>
        <v/>
      </c>
      <c r="C2092" t="inlineStr">
        <is>
          <t>1905-08-24</t>
        </is>
      </c>
    </row>
    <row r="2093">
      <c r="A2093" s="1" t="n">
        <v>2092</v>
      </c>
      <c r="B2093">
        <f>TEXT(2092, "[$-0E0000]yyyy-mm-dd")</f>
        <v/>
      </c>
      <c r="C2093" t="inlineStr">
        <is>
          <t>1905-08-25</t>
        </is>
      </c>
    </row>
    <row r="2094">
      <c r="A2094" s="1" t="n">
        <v>2093</v>
      </c>
      <c r="B2094">
        <f>TEXT(2093, "[$-0E0000]yyyy-mm-dd")</f>
        <v/>
      </c>
      <c r="C2094" t="inlineStr">
        <is>
          <t>1905-08-26</t>
        </is>
      </c>
    </row>
    <row r="2095">
      <c r="A2095" s="1" t="n">
        <v>2094</v>
      </c>
      <c r="B2095">
        <f>TEXT(2094, "[$-0E0000]yyyy-mm-dd")</f>
        <v/>
      </c>
      <c r="C2095" t="inlineStr">
        <is>
          <t>1905-08-27</t>
        </is>
      </c>
    </row>
    <row r="2096">
      <c r="A2096" s="1" t="n">
        <v>2095</v>
      </c>
      <c r="B2096">
        <f>TEXT(2095, "[$-0E0000]yyyy-mm-dd")</f>
        <v/>
      </c>
      <c r="C2096" t="inlineStr">
        <is>
          <t>1905-08-28</t>
        </is>
      </c>
    </row>
    <row r="2097">
      <c r="A2097" s="1" t="n">
        <v>2096</v>
      </c>
      <c r="B2097">
        <f>TEXT(2096, "[$-0E0000]yyyy-mm-dd")</f>
        <v/>
      </c>
      <c r="C2097" t="inlineStr">
        <is>
          <t>1905-08-29</t>
        </is>
      </c>
    </row>
    <row r="2098">
      <c r="A2098" s="1" t="n">
        <v>2097</v>
      </c>
      <c r="B2098">
        <f>TEXT(2097, "[$-0E0000]yyyy-mm-dd")</f>
        <v/>
      </c>
      <c r="C2098" t="inlineStr">
        <is>
          <t>1905-08-30</t>
        </is>
      </c>
    </row>
    <row r="2099">
      <c r="A2099" s="1" t="n">
        <v>2098</v>
      </c>
      <c r="B2099">
        <f>TEXT(2098, "[$-0E0000]yyyy-mm-dd")</f>
        <v/>
      </c>
      <c r="C2099" t="inlineStr">
        <is>
          <t>1905-09-01</t>
        </is>
      </c>
    </row>
    <row r="2100">
      <c r="A2100" s="1" t="n">
        <v>2099</v>
      </c>
      <c r="B2100">
        <f>TEXT(2099, "[$-0E0000]yyyy-mm-dd")</f>
        <v/>
      </c>
      <c r="C2100" t="inlineStr">
        <is>
          <t>1905-09-02</t>
        </is>
      </c>
    </row>
    <row r="2101">
      <c r="A2101" s="1" t="n">
        <v>2100</v>
      </c>
      <c r="B2101">
        <f>TEXT(2100, "[$-0E0000]yyyy-mm-dd")</f>
        <v/>
      </c>
      <c r="C2101" t="inlineStr">
        <is>
          <t>1905-09-03</t>
        </is>
      </c>
    </row>
    <row r="2102">
      <c r="A2102" s="1" t="n">
        <v>2101</v>
      </c>
      <c r="B2102">
        <f>TEXT(2101, "[$-0E0000]yyyy-mm-dd")</f>
        <v/>
      </c>
      <c r="C2102" t="inlineStr">
        <is>
          <t>1905-09-04</t>
        </is>
      </c>
    </row>
    <row r="2103">
      <c r="A2103" s="1" t="n">
        <v>2102</v>
      </c>
      <c r="B2103">
        <f>TEXT(2102, "[$-0E0000]yyyy-mm-dd")</f>
        <v/>
      </c>
      <c r="C2103" t="inlineStr">
        <is>
          <t>1905-09-05</t>
        </is>
      </c>
    </row>
    <row r="2104">
      <c r="A2104" s="1" t="n">
        <v>2103</v>
      </c>
      <c r="B2104">
        <f>TEXT(2103, "[$-0E0000]yyyy-mm-dd")</f>
        <v/>
      </c>
      <c r="C2104" t="inlineStr">
        <is>
          <t>1905-09-06</t>
        </is>
      </c>
    </row>
    <row r="2105">
      <c r="A2105" s="1" t="n">
        <v>2104</v>
      </c>
      <c r="B2105">
        <f>TEXT(2104, "[$-0E0000]yyyy-mm-dd")</f>
        <v/>
      </c>
      <c r="C2105" t="inlineStr">
        <is>
          <t>1905-09-07</t>
        </is>
      </c>
    </row>
    <row r="2106">
      <c r="A2106" s="1" t="n">
        <v>2105</v>
      </c>
      <c r="B2106">
        <f>TEXT(2105, "[$-0E0000]yyyy-mm-dd")</f>
        <v/>
      </c>
      <c r="C2106" t="inlineStr">
        <is>
          <t>1905-09-08</t>
        </is>
      </c>
    </row>
    <row r="2107">
      <c r="A2107" s="1" t="n">
        <v>2106</v>
      </c>
      <c r="B2107">
        <f>TEXT(2106, "[$-0E0000]yyyy-mm-dd")</f>
        <v/>
      </c>
      <c r="C2107" t="inlineStr">
        <is>
          <t>1905-09-09</t>
        </is>
      </c>
    </row>
    <row r="2108">
      <c r="A2108" s="1" t="n">
        <v>2107</v>
      </c>
      <c r="B2108">
        <f>TEXT(2107, "[$-0E0000]yyyy-mm-dd")</f>
        <v/>
      </c>
      <c r="C2108" t="inlineStr">
        <is>
          <t>1905-09-10</t>
        </is>
      </c>
    </row>
    <row r="2109">
      <c r="A2109" s="1" t="n">
        <v>2108</v>
      </c>
      <c r="B2109">
        <f>TEXT(2108, "[$-0E0000]yyyy-mm-dd")</f>
        <v/>
      </c>
      <c r="C2109" t="inlineStr">
        <is>
          <t>1905-09-11</t>
        </is>
      </c>
    </row>
    <row r="2110">
      <c r="A2110" s="1" t="n">
        <v>2109</v>
      </c>
      <c r="B2110">
        <f>TEXT(2109, "[$-0E0000]yyyy-mm-dd")</f>
        <v/>
      </c>
      <c r="C2110" t="inlineStr">
        <is>
          <t>1905-09-12</t>
        </is>
      </c>
    </row>
    <row r="2111">
      <c r="A2111" s="1" t="n">
        <v>2110</v>
      </c>
      <c r="B2111">
        <f>TEXT(2110, "[$-0E0000]yyyy-mm-dd")</f>
        <v/>
      </c>
      <c r="C2111" t="inlineStr">
        <is>
          <t>1905-09-13</t>
        </is>
      </c>
    </row>
    <row r="2112">
      <c r="A2112" s="1" t="n">
        <v>2111</v>
      </c>
      <c r="B2112">
        <f>TEXT(2111, "[$-0E0000]yyyy-mm-dd")</f>
        <v/>
      </c>
      <c r="C2112" t="inlineStr">
        <is>
          <t>1905-09-14</t>
        </is>
      </c>
    </row>
    <row r="2113">
      <c r="A2113" s="1" t="n">
        <v>2112</v>
      </c>
      <c r="B2113">
        <f>TEXT(2112, "[$-0E0000]yyyy-mm-dd")</f>
        <v/>
      </c>
      <c r="C2113" t="inlineStr">
        <is>
          <t>1905-09-15</t>
        </is>
      </c>
    </row>
    <row r="2114">
      <c r="A2114" s="1" t="n">
        <v>2113</v>
      </c>
      <c r="B2114">
        <f>TEXT(2113, "[$-0E0000]yyyy-mm-dd")</f>
        <v/>
      </c>
      <c r="C2114" t="inlineStr">
        <is>
          <t>1905-09-16</t>
        </is>
      </c>
    </row>
    <row r="2115">
      <c r="A2115" s="1" t="n">
        <v>2114</v>
      </c>
      <c r="B2115">
        <f>TEXT(2114, "[$-0E0000]yyyy-mm-dd")</f>
        <v/>
      </c>
      <c r="C2115" t="inlineStr">
        <is>
          <t>1905-09-17</t>
        </is>
      </c>
    </row>
    <row r="2116">
      <c r="A2116" s="1" t="n">
        <v>2115</v>
      </c>
      <c r="B2116">
        <f>TEXT(2115, "[$-0E0000]yyyy-mm-dd")</f>
        <v/>
      </c>
      <c r="C2116" t="inlineStr">
        <is>
          <t>1905-09-18</t>
        </is>
      </c>
    </row>
    <row r="2117">
      <c r="A2117" s="1" t="n">
        <v>2116</v>
      </c>
      <c r="B2117">
        <f>TEXT(2116, "[$-0E0000]yyyy-mm-dd")</f>
        <v/>
      </c>
      <c r="C2117" t="inlineStr">
        <is>
          <t>1905-09-19</t>
        </is>
      </c>
    </row>
    <row r="2118">
      <c r="A2118" s="1" t="n">
        <v>2117</v>
      </c>
      <c r="B2118">
        <f>TEXT(2117, "[$-0E0000]yyyy-mm-dd")</f>
        <v/>
      </c>
      <c r="C2118" t="inlineStr">
        <is>
          <t>1905-09-20</t>
        </is>
      </c>
    </row>
    <row r="2119">
      <c r="A2119" s="1" t="n">
        <v>2118</v>
      </c>
      <c r="B2119">
        <f>TEXT(2118, "[$-0E0000]yyyy-mm-dd")</f>
        <v/>
      </c>
      <c r="C2119" t="inlineStr">
        <is>
          <t>1905-09-21</t>
        </is>
      </c>
    </row>
    <row r="2120">
      <c r="A2120" s="1" t="n">
        <v>2119</v>
      </c>
      <c r="B2120">
        <f>TEXT(2119, "[$-0E0000]yyyy-mm-dd")</f>
        <v/>
      </c>
      <c r="C2120" t="inlineStr">
        <is>
          <t>1905-09-22</t>
        </is>
      </c>
    </row>
    <row r="2121">
      <c r="A2121" s="1" t="n">
        <v>2120</v>
      </c>
      <c r="B2121">
        <f>TEXT(2120, "[$-0E0000]yyyy-mm-dd")</f>
        <v/>
      </c>
      <c r="C2121" t="inlineStr">
        <is>
          <t>1905-09-23</t>
        </is>
      </c>
    </row>
    <row r="2122">
      <c r="A2122" s="1" t="n">
        <v>2121</v>
      </c>
      <c r="B2122">
        <f>TEXT(2121, "[$-0E0000]yyyy-mm-dd")</f>
        <v/>
      </c>
      <c r="C2122" t="inlineStr">
        <is>
          <t>1905-09-24</t>
        </is>
      </c>
    </row>
    <row r="2123">
      <c r="A2123" s="1" t="n">
        <v>2122</v>
      </c>
      <c r="B2123">
        <f>TEXT(2122, "[$-0E0000]yyyy-mm-dd")</f>
        <v/>
      </c>
      <c r="C2123" t="inlineStr">
        <is>
          <t>1905-09-25</t>
        </is>
      </c>
    </row>
    <row r="2124">
      <c r="A2124" s="1" t="n">
        <v>2123</v>
      </c>
      <c r="B2124">
        <f>TEXT(2123, "[$-0E0000]yyyy-mm-dd")</f>
        <v/>
      </c>
      <c r="C2124" t="inlineStr">
        <is>
          <t>1905-09-26</t>
        </is>
      </c>
    </row>
    <row r="2125">
      <c r="A2125" s="1" t="n">
        <v>2124</v>
      </c>
      <c r="B2125">
        <f>TEXT(2124, "[$-0E0000]yyyy-mm-dd")</f>
        <v/>
      </c>
      <c r="C2125" t="inlineStr">
        <is>
          <t>1905-09-27</t>
        </is>
      </c>
    </row>
    <row r="2126">
      <c r="A2126" s="1" t="n">
        <v>2125</v>
      </c>
      <c r="B2126">
        <f>TEXT(2125, "[$-0E0000]yyyy-mm-dd")</f>
        <v/>
      </c>
      <c r="C2126" t="inlineStr">
        <is>
          <t>1905-09-28</t>
        </is>
      </c>
    </row>
    <row r="2127">
      <c r="A2127" s="1" t="n">
        <v>2126</v>
      </c>
      <c r="B2127">
        <f>TEXT(2126, "[$-0E0000]yyyy-mm-dd")</f>
        <v/>
      </c>
      <c r="C2127" t="inlineStr">
        <is>
          <t>1905-09-29</t>
        </is>
      </c>
    </row>
    <row r="2128">
      <c r="A2128" s="1" t="n">
        <v>2127</v>
      </c>
      <c r="B2128">
        <f>TEXT(2127, "[$-0E0000]yyyy-mm-dd")</f>
        <v/>
      </c>
      <c r="C2128" t="inlineStr">
        <is>
          <t>1905-10-01</t>
        </is>
      </c>
    </row>
    <row r="2129">
      <c r="A2129" s="1" t="n">
        <v>2128</v>
      </c>
      <c r="B2129">
        <f>TEXT(2128, "[$-0E0000]yyyy-mm-dd")</f>
        <v/>
      </c>
      <c r="C2129" t="inlineStr">
        <is>
          <t>1905-10-02</t>
        </is>
      </c>
    </row>
    <row r="2130">
      <c r="A2130" s="1" t="n">
        <v>2129</v>
      </c>
      <c r="B2130">
        <f>TEXT(2129, "[$-0E0000]yyyy-mm-dd")</f>
        <v/>
      </c>
      <c r="C2130" t="inlineStr">
        <is>
          <t>1905-10-03</t>
        </is>
      </c>
    </row>
    <row r="2131">
      <c r="A2131" s="1" t="n">
        <v>2130</v>
      </c>
      <c r="B2131">
        <f>TEXT(2130, "[$-0E0000]yyyy-mm-dd")</f>
        <v/>
      </c>
      <c r="C2131" t="inlineStr">
        <is>
          <t>1905-10-04</t>
        </is>
      </c>
    </row>
    <row r="2132">
      <c r="A2132" s="1" t="n">
        <v>2131</v>
      </c>
      <c r="B2132">
        <f>TEXT(2131, "[$-0E0000]yyyy-mm-dd")</f>
        <v/>
      </c>
      <c r="C2132" t="inlineStr">
        <is>
          <t>1905-10-05</t>
        </is>
      </c>
    </row>
    <row r="2133">
      <c r="A2133" s="1" t="n">
        <v>2132</v>
      </c>
      <c r="B2133">
        <f>TEXT(2132, "[$-0E0000]yyyy-mm-dd")</f>
        <v/>
      </c>
      <c r="C2133" t="inlineStr">
        <is>
          <t>1905-10-06</t>
        </is>
      </c>
    </row>
    <row r="2134">
      <c r="A2134" s="1" t="n">
        <v>2133</v>
      </c>
      <c r="B2134">
        <f>TEXT(2133, "[$-0E0000]yyyy-mm-dd")</f>
        <v/>
      </c>
      <c r="C2134" t="inlineStr">
        <is>
          <t>1905-10-07</t>
        </is>
      </c>
    </row>
    <row r="2135">
      <c r="A2135" s="1" t="n">
        <v>2134</v>
      </c>
      <c r="B2135">
        <f>TEXT(2134, "[$-0E0000]yyyy-mm-dd")</f>
        <v/>
      </c>
      <c r="C2135" t="inlineStr">
        <is>
          <t>1905-10-08</t>
        </is>
      </c>
    </row>
    <row r="2136">
      <c r="A2136" s="1" t="n">
        <v>2135</v>
      </c>
      <c r="B2136">
        <f>TEXT(2135, "[$-0E0000]yyyy-mm-dd")</f>
        <v/>
      </c>
      <c r="C2136" t="inlineStr">
        <is>
          <t>1905-10-09</t>
        </is>
      </c>
    </row>
    <row r="2137">
      <c r="A2137" s="1" t="n">
        <v>2136</v>
      </c>
      <c r="B2137">
        <f>TEXT(2136, "[$-0E0000]yyyy-mm-dd")</f>
        <v/>
      </c>
      <c r="C2137" t="inlineStr">
        <is>
          <t>1905-10-10</t>
        </is>
      </c>
    </row>
    <row r="2138">
      <c r="A2138" s="1" t="n">
        <v>2137</v>
      </c>
      <c r="B2138">
        <f>TEXT(2137, "[$-0E0000]yyyy-mm-dd")</f>
        <v/>
      </c>
      <c r="C2138" t="inlineStr">
        <is>
          <t>1905-10-11</t>
        </is>
      </c>
    </row>
    <row r="2139">
      <c r="A2139" s="1" t="n">
        <v>2138</v>
      </c>
      <c r="B2139">
        <f>TEXT(2138, "[$-0E0000]yyyy-mm-dd")</f>
        <v/>
      </c>
      <c r="C2139" t="inlineStr">
        <is>
          <t>1905-10-12</t>
        </is>
      </c>
    </row>
    <row r="2140">
      <c r="A2140" s="1" t="n">
        <v>2139</v>
      </c>
      <c r="B2140">
        <f>TEXT(2139, "[$-0E0000]yyyy-mm-dd")</f>
        <v/>
      </c>
      <c r="C2140" t="inlineStr">
        <is>
          <t>1905-10-13</t>
        </is>
      </c>
    </row>
    <row r="2141">
      <c r="A2141" s="1" t="n">
        <v>2140</v>
      </c>
      <c r="B2141">
        <f>TEXT(2140, "[$-0E0000]yyyy-mm-dd")</f>
        <v/>
      </c>
      <c r="C2141" t="inlineStr">
        <is>
          <t>1905-10-14</t>
        </is>
      </c>
    </row>
    <row r="2142">
      <c r="A2142" s="1" t="n">
        <v>2141</v>
      </c>
      <c r="B2142">
        <f>TEXT(2141, "[$-0E0000]yyyy-mm-dd")</f>
        <v/>
      </c>
      <c r="C2142" t="inlineStr">
        <is>
          <t>1905-10-15</t>
        </is>
      </c>
    </row>
    <row r="2143">
      <c r="A2143" s="1" t="n">
        <v>2142</v>
      </c>
      <c r="B2143">
        <f>TEXT(2142, "[$-0E0000]yyyy-mm-dd")</f>
        <v/>
      </c>
      <c r="C2143" t="inlineStr">
        <is>
          <t>1905-10-16</t>
        </is>
      </c>
    </row>
    <row r="2144">
      <c r="A2144" s="1" t="n">
        <v>2143</v>
      </c>
      <c r="B2144">
        <f>TEXT(2143, "[$-0E0000]yyyy-mm-dd")</f>
        <v/>
      </c>
      <c r="C2144" t="inlineStr">
        <is>
          <t>1905-10-17</t>
        </is>
      </c>
    </row>
    <row r="2145">
      <c r="A2145" s="1" t="n">
        <v>2144</v>
      </c>
      <c r="B2145">
        <f>TEXT(2144, "[$-0E0000]yyyy-mm-dd")</f>
        <v/>
      </c>
      <c r="C2145" t="inlineStr">
        <is>
          <t>1905-10-18</t>
        </is>
      </c>
    </row>
    <row r="2146">
      <c r="A2146" s="1" t="n">
        <v>2145</v>
      </c>
      <c r="B2146">
        <f>TEXT(2145, "[$-0E0000]yyyy-mm-dd")</f>
        <v/>
      </c>
      <c r="C2146" t="inlineStr">
        <is>
          <t>1905-10-19</t>
        </is>
      </c>
    </row>
    <row r="2147">
      <c r="A2147" s="1" t="n">
        <v>2146</v>
      </c>
      <c r="B2147">
        <f>TEXT(2146, "[$-0E0000]yyyy-mm-dd")</f>
        <v/>
      </c>
      <c r="C2147" t="inlineStr">
        <is>
          <t>1905-10-20</t>
        </is>
      </c>
    </row>
    <row r="2148">
      <c r="A2148" s="1" t="n">
        <v>2147</v>
      </c>
      <c r="B2148">
        <f>TEXT(2147, "[$-0E0000]yyyy-mm-dd")</f>
        <v/>
      </c>
      <c r="C2148" t="inlineStr">
        <is>
          <t>1905-10-21</t>
        </is>
      </c>
    </row>
    <row r="2149">
      <c r="A2149" s="1" t="n">
        <v>2148</v>
      </c>
      <c r="B2149">
        <f>TEXT(2148, "[$-0E0000]yyyy-mm-dd")</f>
        <v/>
      </c>
      <c r="C2149" t="inlineStr">
        <is>
          <t>1905-10-22</t>
        </is>
      </c>
    </row>
    <row r="2150">
      <c r="A2150" s="1" t="n">
        <v>2149</v>
      </c>
      <c r="B2150">
        <f>TEXT(2149, "[$-0E0000]yyyy-mm-dd")</f>
        <v/>
      </c>
      <c r="C2150" t="inlineStr">
        <is>
          <t>1905-10-23</t>
        </is>
      </c>
    </row>
    <row r="2151">
      <c r="A2151" s="1" t="n">
        <v>2150</v>
      </c>
      <c r="B2151">
        <f>TEXT(2150, "[$-0E0000]yyyy-mm-dd")</f>
        <v/>
      </c>
      <c r="C2151" t="inlineStr">
        <is>
          <t>1905-10-24</t>
        </is>
      </c>
    </row>
    <row r="2152">
      <c r="A2152" s="1" t="n">
        <v>2151</v>
      </c>
      <c r="B2152">
        <f>TEXT(2151, "[$-0E0000]yyyy-mm-dd")</f>
        <v/>
      </c>
      <c r="C2152" t="inlineStr">
        <is>
          <t>1905-10-25</t>
        </is>
      </c>
    </row>
    <row r="2153">
      <c r="A2153" s="1" t="n">
        <v>2152</v>
      </c>
      <c r="B2153">
        <f>TEXT(2152, "[$-0E0000]yyyy-mm-dd")</f>
        <v/>
      </c>
      <c r="C2153" t="inlineStr">
        <is>
          <t>1905-10-26</t>
        </is>
      </c>
    </row>
    <row r="2154">
      <c r="A2154" s="1" t="n">
        <v>2153</v>
      </c>
      <c r="B2154">
        <f>TEXT(2153, "[$-0E0000]yyyy-mm-dd")</f>
        <v/>
      </c>
      <c r="C2154" t="inlineStr">
        <is>
          <t>1905-10-27</t>
        </is>
      </c>
    </row>
    <row r="2155">
      <c r="A2155" s="1" t="n">
        <v>2154</v>
      </c>
      <c r="B2155">
        <f>TEXT(2154, "[$-0E0000]yyyy-mm-dd")</f>
        <v/>
      </c>
      <c r="C2155" t="inlineStr">
        <is>
          <t>1905-10-28</t>
        </is>
      </c>
    </row>
    <row r="2156">
      <c r="A2156" s="1" t="n">
        <v>2155</v>
      </c>
      <c r="B2156">
        <f>TEXT(2155, "[$-0E0000]yyyy-mm-dd")</f>
        <v/>
      </c>
      <c r="C2156" t="inlineStr">
        <is>
          <t>1905-10-29</t>
        </is>
      </c>
    </row>
    <row r="2157">
      <c r="A2157" s="1" t="n">
        <v>2156</v>
      </c>
      <c r="B2157">
        <f>TEXT(2156, "[$-0E0000]yyyy-mm-dd")</f>
        <v/>
      </c>
      <c r="C2157" t="inlineStr">
        <is>
          <t>1905-10-30</t>
        </is>
      </c>
    </row>
    <row r="2158">
      <c r="A2158" s="1" t="n">
        <v>2157</v>
      </c>
      <c r="B2158">
        <f>TEXT(2157, "[$-0E0000]yyyy-mm-dd")</f>
        <v/>
      </c>
      <c r="C2158" t="inlineStr">
        <is>
          <t>1905-11-01</t>
        </is>
      </c>
    </row>
    <row r="2159">
      <c r="A2159" s="1" t="n">
        <v>2158</v>
      </c>
      <c r="B2159">
        <f>TEXT(2158, "[$-0E0000]yyyy-mm-dd")</f>
        <v/>
      </c>
      <c r="C2159" t="inlineStr">
        <is>
          <t>1905-11-02</t>
        </is>
      </c>
    </row>
    <row r="2160">
      <c r="A2160" s="1" t="n">
        <v>2159</v>
      </c>
      <c r="B2160">
        <f>TEXT(2159, "[$-0E0000]yyyy-mm-dd")</f>
        <v/>
      </c>
      <c r="C2160" t="inlineStr">
        <is>
          <t>1905-11-03</t>
        </is>
      </c>
    </row>
    <row r="2161">
      <c r="A2161" s="1" t="n">
        <v>2160</v>
      </c>
      <c r="B2161">
        <f>TEXT(2160, "[$-0E0000]yyyy-mm-dd")</f>
        <v/>
      </c>
      <c r="C2161" t="inlineStr">
        <is>
          <t>1905-11-04</t>
        </is>
      </c>
    </row>
    <row r="2162">
      <c r="A2162" s="1" t="n">
        <v>2161</v>
      </c>
      <c r="B2162">
        <f>TEXT(2161, "[$-0E0000]yyyy-mm-dd")</f>
        <v/>
      </c>
      <c r="C2162" t="inlineStr">
        <is>
          <t>1905-11-05</t>
        </is>
      </c>
    </row>
    <row r="2163">
      <c r="A2163" s="1" t="n">
        <v>2162</v>
      </c>
      <c r="B2163">
        <f>TEXT(2162, "[$-0E0000]yyyy-mm-dd")</f>
        <v/>
      </c>
      <c r="C2163" t="inlineStr">
        <is>
          <t>1905-11-06</t>
        </is>
      </c>
    </row>
    <row r="2164">
      <c r="A2164" s="1" t="n">
        <v>2163</v>
      </c>
      <c r="B2164">
        <f>TEXT(2163, "[$-0E0000]yyyy-mm-dd")</f>
        <v/>
      </c>
      <c r="C2164" t="inlineStr">
        <is>
          <t>1905-11-07</t>
        </is>
      </c>
    </row>
    <row r="2165">
      <c r="A2165" s="1" t="n">
        <v>2164</v>
      </c>
      <c r="B2165">
        <f>TEXT(2164, "[$-0E0000]yyyy-mm-dd")</f>
        <v/>
      </c>
      <c r="C2165" t="inlineStr">
        <is>
          <t>1905-11-08</t>
        </is>
      </c>
    </row>
    <row r="2166">
      <c r="A2166" s="1" t="n">
        <v>2165</v>
      </c>
      <c r="B2166">
        <f>TEXT(2165, "[$-0E0000]yyyy-mm-dd")</f>
        <v/>
      </c>
      <c r="C2166" t="inlineStr">
        <is>
          <t>1905-11-09</t>
        </is>
      </c>
    </row>
    <row r="2167">
      <c r="A2167" s="1" t="n">
        <v>2166</v>
      </c>
      <c r="B2167">
        <f>TEXT(2166, "[$-0E0000]yyyy-mm-dd")</f>
        <v/>
      </c>
      <c r="C2167" t="inlineStr">
        <is>
          <t>1905-11-10</t>
        </is>
      </c>
    </row>
    <row r="2168">
      <c r="A2168" s="1" t="n">
        <v>2167</v>
      </c>
      <c r="B2168">
        <f>TEXT(2167, "[$-0E0000]yyyy-mm-dd")</f>
        <v/>
      </c>
      <c r="C2168" t="inlineStr">
        <is>
          <t>1905-11-11</t>
        </is>
      </c>
    </row>
    <row r="2169">
      <c r="A2169" s="1" t="n">
        <v>2168</v>
      </c>
      <c r="B2169">
        <f>TEXT(2168, "[$-0E0000]yyyy-mm-dd")</f>
        <v/>
      </c>
      <c r="C2169" t="inlineStr">
        <is>
          <t>1905-11-12</t>
        </is>
      </c>
    </row>
    <row r="2170">
      <c r="A2170" s="1" t="n">
        <v>2169</v>
      </c>
      <c r="B2170">
        <f>TEXT(2169, "[$-0E0000]yyyy-mm-dd")</f>
        <v/>
      </c>
      <c r="C2170" t="inlineStr">
        <is>
          <t>1905-11-13</t>
        </is>
      </c>
    </row>
    <row r="2171">
      <c r="A2171" s="1" t="n">
        <v>2170</v>
      </c>
      <c r="B2171">
        <f>TEXT(2170, "[$-0E0000]yyyy-mm-dd")</f>
        <v/>
      </c>
      <c r="C2171" t="inlineStr">
        <is>
          <t>1905-11-14</t>
        </is>
      </c>
    </row>
    <row r="2172">
      <c r="A2172" s="1" t="n">
        <v>2171</v>
      </c>
      <c r="B2172">
        <f>TEXT(2171, "[$-0E0000]yyyy-mm-dd")</f>
        <v/>
      </c>
      <c r="C2172" t="inlineStr">
        <is>
          <t>1905-11-15</t>
        </is>
      </c>
    </row>
    <row r="2173">
      <c r="A2173" s="1" t="n">
        <v>2172</v>
      </c>
      <c r="B2173">
        <f>TEXT(2172, "[$-0E0000]yyyy-mm-dd")</f>
        <v/>
      </c>
      <c r="C2173" t="inlineStr">
        <is>
          <t>1905-11-16</t>
        </is>
      </c>
    </row>
    <row r="2174">
      <c r="A2174" s="1" t="n">
        <v>2173</v>
      </c>
      <c r="B2174">
        <f>TEXT(2173, "[$-0E0000]yyyy-mm-dd")</f>
        <v/>
      </c>
      <c r="C2174" t="inlineStr">
        <is>
          <t>1905-11-17</t>
        </is>
      </c>
    </row>
    <row r="2175">
      <c r="A2175" s="1" t="n">
        <v>2174</v>
      </c>
      <c r="B2175">
        <f>TEXT(2174, "[$-0E0000]yyyy-mm-dd")</f>
        <v/>
      </c>
      <c r="C2175" t="inlineStr">
        <is>
          <t>1905-11-18</t>
        </is>
      </c>
    </row>
    <row r="2176">
      <c r="A2176" s="1" t="n">
        <v>2175</v>
      </c>
      <c r="B2176">
        <f>TEXT(2175, "[$-0E0000]yyyy-mm-dd")</f>
        <v/>
      </c>
      <c r="C2176" t="inlineStr">
        <is>
          <t>1905-11-19</t>
        </is>
      </c>
    </row>
    <row r="2177">
      <c r="A2177" s="1" t="n">
        <v>2176</v>
      </c>
      <c r="B2177">
        <f>TEXT(2176, "[$-0E0000]yyyy-mm-dd")</f>
        <v/>
      </c>
      <c r="C2177" t="inlineStr">
        <is>
          <t>1905-11-20</t>
        </is>
      </c>
    </row>
    <row r="2178">
      <c r="A2178" s="1" t="n">
        <v>2177</v>
      </c>
      <c r="B2178">
        <f>TEXT(2177, "[$-0E0000]yyyy-mm-dd")</f>
        <v/>
      </c>
      <c r="C2178" t="inlineStr">
        <is>
          <t>1905-11-21</t>
        </is>
      </c>
    </row>
    <row r="2179">
      <c r="A2179" s="1" t="n">
        <v>2178</v>
      </c>
      <c r="B2179">
        <f>TEXT(2178, "[$-0E0000]yyyy-mm-dd")</f>
        <v/>
      </c>
      <c r="C2179" t="inlineStr">
        <is>
          <t>1905-11-22</t>
        </is>
      </c>
    </row>
    <row r="2180">
      <c r="A2180" s="1" t="n">
        <v>2179</v>
      </c>
      <c r="B2180">
        <f>TEXT(2179, "[$-0E0000]yyyy-mm-dd")</f>
        <v/>
      </c>
      <c r="C2180" t="inlineStr">
        <is>
          <t>1905-11-23</t>
        </is>
      </c>
    </row>
    <row r="2181">
      <c r="A2181" s="1" t="n">
        <v>2180</v>
      </c>
      <c r="B2181">
        <f>TEXT(2180, "[$-0E0000]yyyy-mm-dd")</f>
        <v/>
      </c>
      <c r="C2181" t="inlineStr">
        <is>
          <t>1905-11-24</t>
        </is>
      </c>
    </row>
    <row r="2182">
      <c r="A2182" s="1" t="n">
        <v>2181</v>
      </c>
      <c r="B2182">
        <f>TEXT(2181, "[$-0E0000]yyyy-mm-dd")</f>
        <v/>
      </c>
      <c r="C2182" t="inlineStr">
        <is>
          <t>1905-11-25</t>
        </is>
      </c>
    </row>
    <row r="2183">
      <c r="A2183" s="1" t="n">
        <v>2182</v>
      </c>
      <c r="B2183">
        <f>TEXT(2182, "[$-0E0000]yyyy-mm-dd")</f>
        <v/>
      </c>
      <c r="C2183" t="inlineStr">
        <is>
          <t>1905-11-26</t>
        </is>
      </c>
    </row>
    <row r="2184">
      <c r="A2184" s="1" t="n">
        <v>2183</v>
      </c>
      <c r="B2184">
        <f>TEXT(2183, "[$-0E0000]yyyy-mm-dd")</f>
        <v/>
      </c>
      <c r="C2184" t="inlineStr">
        <is>
          <t>1905-11-27</t>
        </is>
      </c>
    </row>
    <row r="2185">
      <c r="A2185" s="1" t="n">
        <v>2184</v>
      </c>
      <c r="B2185">
        <f>TEXT(2184, "[$-0E0000]yyyy-mm-dd")</f>
        <v/>
      </c>
      <c r="C2185" t="inlineStr">
        <is>
          <t>1905-11-28</t>
        </is>
      </c>
    </row>
    <row r="2186">
      <c r="A2186" s="1" t="n">
        <v>2185</v>
      </c>
      <c r="B2186">
        <f>TEXT(2185, "[$-0E0000]yyyy-mm-dd")</f>
        <v/>
      </c>
      <c r="C2186" t="inlineStr">
        <is>
          <t>1905-11-29</t>
        </is>
      </c>
    </row>
    <row r="2187">
      <c r="A2187" s="1" t="n">
        <v>2186</v>
      </c>
      <c r="B2187">
        <f>TEXT(2186, "[$-0E0000]yyyy-mm-dd")</f>
        <v/>
      </c>
      <c r="C2187" t="inlineStr">
        <is>
          <t>1905-12-01</t>
        </is>
      </c>
    </row>
    <row r="2188">
      <c r="A2188" s="1" t="n">
        <v>2187</v>
      </c>
      <c r="B2188">
        <f>TEXT(2187, "[$-0E0000]yyyy-mm-dd")</f>
        <v/>
      </c>
      <c r="C2188" t="inlineStr">
        <is>
          <t>1905-12-02</t>
        </is>
      </c>
    </row>
    <row r="2189">
      <c r="A2189" s="1" t="n">
        <v>2188</v>
      </c>
      <c r="B2189">
        <f>TEXT(2188, "[$-0E0000]yyyy-mm-dd")</f>
        <v/>
      </c>
      <c r="C2189" t="inlineStr">
        <is>
          <t>1905-12-03</t>
        </is>
      </c>
    </row>
    <row r="2190">
      <c r="A2190" s="1" t="n">
        <v>2189</v>
      </c>
      <c r="B2190">
        <f>TEXT(2189, "[$-0E0000]yyyy-mm-dd")</f>
        <v/>
      </c>
      <c r="C2190" t="inlineStr">
        <is>
          <t>1905-12-04</t>
        </is>
      </c>
    </row>
    <row r="2191">
      <c r="A2191" s="1" t="n">
        <v>2190</v>
      </c>
      <c r="B2191">
        <f>TEXT(2190, "[$-0E0000]yyyy-mm-dd")</f>
        <v/>
      </c>
      <c r="C2191" t="inlineStr">
        <is>
          <t>1905-12-05</t>
        </is>
      </c>
    </row>
    <row r="2192">
      <c r="A2192" s="1" t="n">
        <v>2191</v>
      </c>
      <c r="B2192">
        <f>TEXT(2191, "[$-0E0000]yyyy-mm-dd")</f>
        <v/>
      </c>
      <c r="C2192" t="inlineStr">
        <is>
          <t>1905-12-06</t>
        </is>
      </c>
    </row>
    <row r="2193">
      <c r="A2193" s="1" t="n">
        <v>2192</v>
      </c>
      <c r="B2193">
        <f>TEXT(2192, "[$-0E0000]yyyy-mm-dd")</f>
        <v/>
      </c>
      <c r="C2193" t="inlineStr">
        <is>
          <t>1905-12-07</t>
        </is>
      </c>
    </row>
    <row r="2194">
      <c r="A2194" s="1" t="n">
        <v>2193</v>
      </c>
      <c r="B2194">
        <f>TEXT(2193, "[$-0E0000]yyyy-mm-dd")</f>
        <v/>
      </c>
      <c r="C2194" t="inlineStr">
        <is>
          <t>1905-12-08</t>
        </is>
      </c>
    </row>
    <row r="2195">
      <c r="A2195" s="1" t="n">
        <v>2194</v>
      </c>
      <c r="B2195">
        <f>TEXT(2194, "[$-0E0000]yyyy-mm-dd")</f>
        <v/>
      </c>
      <c r="C2195" t="inlineStr">
        <is>
          <t>1905-12-09</t>
        </is>
      </c>
    </row>
    <row r="2196">
      <c r="A2196" s="1" t="n">
        <v>2195</v>
      </c>
      <c r="B2196">
        <f>TEXT(2195, "[$-0E0000]yyyy-mm-dd")</f>
        <v/>
      </c>
      <c r="C2196" t="inlineStr">
        <is>
          <t>1905-12-10</t>
        </is>
      </c>
    </row>
    <row r="2197">
      <c r="A2197" s="1" t="n">
        <v>2196</v>
      </c>
      <c r="B2197">
        <f>TEXT(2196, "[$-0E0000]yyyy-mm-dd")</f>
        <v/>
      </c>
      <c r="C2197" t="inlineStr">
        <is>
          <t>1905-12-11</t>
        </is>
      </c>
    </row>
    <row r="2198">
      <c r="A2198" s="1" t="n">
        <v>2197</v>
      </c>
      <c r="B2198">
        <f>TEXT(2197, "[$-0E0000]yyyy-mm-dd")</f>
        <v/>
      </c>
      <c r="C2198" t="inlineStr">
        <is>
          <t>1905-12-12</t>
        </is>
      </c>
    </row>
    <row r="2199">
      <c r="A2199" s="1" t="n">
        <v>2198</v>
      </c>
      <c r="B2199">
        <f>TEXT(2198, "[$-0E0000]yyyy-mm-dd")</f>
        <v/>
      </c>
      <c r="C2199" t="inlineStr">
        <is>
          <t>1905-12-13</t>
        </is>
      </c>
    </row>
    <row r="2200">
      <c r="A2200" s="1" t="n">
        <v>2199</v>
      </c>
      <c r="B2200">
        <f>TEXT(2199, "[$-0E0000]yyyy-mm-dd")</f>
        <v/>
      </c>
      <c r="C2200" t="inlineStr">
        <is>
          <t>1905-12-14</t>
        </is>
      </c>
    </row>
    <row r="2201">
      <c r="A2201" s="1" t="n">
        <v>2200</v>
      </c>
      <c r="B2201">
        <f>TEXT(2200, "[$-0E0000]yyyy-mm-dd")</f>
        <v/>
      </c>
      <c r="C2201" t="inlineStr">
        <is>
          <t>1905-12-15</t>
        </is>
      </c>
    </row>
    <row r="2202">
      <c r="A2202" s="1" t="n">
        <v>2201</v>
      </c>
      <c r="B2202">
        <f>TEXT(2201, "[$-0E0000]yyyy-mm-dd")</f>
        <v/>
      </c>
      <c r="C2202" t="inlineStr">
        <is>
          <t>1905-12-16</t>
        </is>
      </c>
    </row>
    <row r="2203">
      <c r="A2203" s="1" t="n">
        <v>2202</v>
      </c>
      <c r="B2203">
        <f>TEXT(2202, "[$-0E0000]yyyy-mm-dd")</f>
        <v/>
      </c>
      <c r="C2203" t="inlineStr">
        <is>
          <t>1905-12-17</t>
        </is>
      </c>
    </row>
    <row r="2204">
      <c r="A2204" s="1" t="n">
        <v>2203</v>
      </c>
      <c r="B2204">
        <f>TEXT(2203, "[$-0E0000]yyyy-mm-dd")</f>
        <v/>
      </c>
      <c r="C2204" t="inlineStr">
        <is>
          <t>1905-12-18</t>
        </is>
      </c>
    </row>
    <row r="2205">
      <c r="A2205" s="1" t="n">
        <v>2204</v>
      </c>
      <c r="B2205">
        <f>TEXT(2204, "[$-0E0000]yyyy-mm-dd")</f>
        <v/>
      </c>
      <c r="C2205" t="inlineStr">
        <is>
          <t>1905-12-19</t>
        </is>
      </c>
    </row>
    <row r="2206">
      <c r="A2206" s="1" t="n">
        <v>2205</v>
      </c>
      <c r="B2206">
        <f>TEXT(2205, "[$-0E0000]yyyy-mm-dd")</f>
        <v/>
      </c>
      <c r="C2206" t="inlineStr">
        <is>
          <t>1905-12-20</t>
        </is>
      </c>
    </row>
    <row r="2207">
      <c r="A2207" s="1" t="n">
        <v>2206</v>
      </c>
      <c r="B2207">
        <f>TEXT(2206, "[$-0E0000]yyyy-mm-dd")</f>
        <v/>
      </c>
      <c r="C2207" t="inlineStr">
        <is>
          <t>1905-12-21</t>
        </is>
      </c>
    </row>
    <row r="2208">
      <c r="A2208" s="1" t="n">
        <v>2207</v>
      </c>
      <c r="B2208">
        <f>TEXT(2207, "[$-0E0000]yyyy-mm-dd")</f>
        <v/>
      </c>
      <c r="C2208" t="inlineStr">
        <is>
          <t>1905-12-22</t>
        </is>
      </c>
    </row>
    <row r="2209">
      <c r="A2209" s="1" t="n">
        <v>2208</v>
      </c>
      <c r="B2209">
        <f>TEXT(2208, "[$-0E0000]yyyy-mm-dd")</f>
        <v/>
      </c>
      <c r="C2209" t="inlineStr">
        <is>
          <t>1905-12-23</t>
        </is>
      </c>
    </row>
    <row r="2210">
      <c r="A2210" s="1" t="n">
        <v>2209</v>
      </c>
      <c r="B2210">
        <f>TEXT(2209, "[$-0E0000]yyyy-mm-dd")</f>
        <v/>
      </c>
      <c r="C2210" t="inlineStr">
        <is>
          <t>1905-12-24</t>
        </is>
      </c>
    </row>
    <row r="2211">
      <c r="A2211" s="1" t="n">
        <v>2210</v>
      </c>
      <c r="B2211">
        <f>TEXT(2210, "[$-0E0000]yyyy-mm-dd")</f>
        <v/>
      </c>
      <c r="C2211" t="inlineStr">
        <is>
          <t>1905-12-25</t>
        </is>
      </c>
    </row>
    <row r="2212">
      <c r="A2212" s="1" t="n">
        <v>2211</v>
      </c>
      <c r="B2212">
        <f>TEXT(2211, "[$-0E0000]yyyy-mm-dd")</f>
        <v/>
      </c>
      <c r="C2212" t="inlineStr">
        <is>
          <t>1905-12-26</t>
        </is>
      </c>
    </row>
    <row r="2213">
      <c r="A2213" s="1" t="n">
        <v>2212</v>
      </c>
      <c r="B2213">
        <f>TEXT(2212, "[$-0E0000]yyyy-mm-dd")</f>
        <v/>
      </c>
      <c r="C2213" t="inlineStr">
        <is>
          <t>1905-12-27</t>
        </is>
      </c>
    </row>
    <row r="2214">
      <c r="A2214" s="1" t="n">
        <v>2213</v>
      </c>
      <c r="B2214">
        <f>TEXT(2213, "[$-0E0000]yyyy-mm-dd")</f>
        <v/>
      </c>
      <c r="C2214" t="inlineStr">
        <is>
          <t>1905-12-28</t>
        </is>
      </c>
    </row>
    <row r="2215">
      <c r="A2215" s="1" t="n">
        <v>2214</v>
      </c>
      <c r="B2215">
        <f>TEXT(2214, "[$-0E0000]yyyy-mm-dd")</f>
        <v/>
      </c>
      <c r="C2215" t="inlineStr">
        <is>
          <t>1905-12-29</t>
        </is>
      </c>
    </row>
    <row r="2216">
      <c r="A2216" s="1" t="n">
        <v>2215</v>
      </c>
      <c r="B2216">
        <f>TEXT(2215, "[$-0E0000]yyyy-mm-dd")</f>
        <v/>
      </c>
      <c r="C2216" t="inlineStr">
        <is>
          <t>1905-12-30</t>
        </is>
      </c>
    </row>
    <row r="2217">
      <c r="A2217" s="1" t="n">
        <v>2216</v>
      </c>
      <c r="B2217">
        <f>TEXT(2216, "[$-0E0000]yyyy-mm-dd")</f>
        <v/>
      </c>
      <c r="C2217" t="inlineStr">
        <is>
          <t>1906-01-01</t>
        </is>
      </c>
    </row>
    <row r="2218">
      <c r="A2218" s="1" t="n">
        <v>2217</v>
      </c>
      <c r="B2218">
        <f>TEXT(2217, "[$-0E0000]yyyy-mm-dd")</f>
        <v/>
      </c>
      <c r="C2218" t="inlineStr">
        <is>
          <t>1906-01-02</t>
        </is>
      </c>
    </row>
    <row r="2219">
      <c r="A2219" s="1" t="n">
        <v>2218</v>
      </c>
      <c r="B2219">
        <f>TEXT(2218, "[$-0E0000]yyyy-mm-dd")</f>
        <v/>
      </c>
      <c r="C2219" t="inlineStr">
        <is>
          <t>1906-01-03</t>
        </is>
      </c>
    </row>
    <row r="2220">
      <c r="A2220" s="1" t="n">
        <v>2219</v>
      </c>
      <c r="B2220">
        <f>TEXT(2219, "[$-0E0000]yyyy-mm-dd")</f>
        <v/>
      </c>
      <c r="C2220" t="inlineStr">
        <is>
          <t>1906-01-04</t>
        </is>
      </c>
    </row>
    <row r="2221">
      <c r="A2221" s="1" t="n">
        <v>2220</v>
      </c>
      <c r="B2221">
        <f>TEXT(2220, "[$-0E0000]yyyy-mm-dd")</f>
        <v/>
      </c>
      <c r="C2221" t="inlineStr">
        <is>
          <t>1906-01-05</t>
        </is>
      </c>
    </row>
    <row r="2222">
      <c r="A2222" s="1" t="n">
        <v>2221</v>
      </c>
      <c r="B2222">
        <f>TEXT(2221, "[$-0E0000]yyyy-mm-dd")</f>
        <v/>
      </c>
      <c r="C2222" t="inlineStr">
        <is>
          <t>1906-01-06</t>
        </is>
      </c>
    </row>
    <row r="2223">
      <c r="A2223" s="1" t="n">
        <v>2222</v>
      </c>
      <c r="B2223">
        <f>TEXT(2222, "[$-0E0000]yyyy-mm-dd")</f>
        <v/>
      </c>
      <c r="C2223" t="inlineStr">
        <is>
          <t>1906-01-07</t>
        </is>
      </c>
    </row>
    <row r="2224">
      <c r="A2224" s="1" t="n">
        <v>2223</v>
      </c>
      <c r="B2224">
        <f>TEXT(2223, "[$-0E0000]yyyy-mm-dd")</f>
        <v/>
      </c>
      <c r="C2224" t="inlineStr">
        <is>
          <t>1906-01-08</t>
        </is>
      </c>
    </row>
    <row r="2225">
      <c r="A2225" s="1" t="n">
        <v>2224</v>
      </c>
      <c r="B2225">
        <f>TEXT(2224, "[$-0E0000]yyyy-mm-dd")</f>
        <v/>
      </c>
      <c r="C2225" t="inlineStr">
        <is>
          <t>1906-01-09</t>
        </is>
      </c>
    </row>
    <row r="2226">
      <c r="A2226" s="1" t="n">
        <v>2225</v>
      </c>
      <c r="B2226">
        <f>TEXT(2225, "[$-0E0000]yyyy-mm-dd")</f>
        <v/>
      </c>
      <c r="C2226" t="inlineStr">
        <is>
          <t>1906-01-10</t>
        </is>
      </c>
    </row>
    <row r="2227">
      <c r="A2227" s="1" t="n">
        <v>2226</v>
      </c>
      <c r="B2227">
        <f>TEXT(2226, "[$-0E0000]yyyy-mm-dd")</f>
        <v/>
      </c>
      <c r="C2227" t="inlineStr">
        <is>
          <t>1906-01-11</t>
        </is>
      </c>
    </row>
    <row r="2228">
      <c r="A2228" s="1" t="n">
        <v>2227</v>
      </c>
      <c r="B2228">
        <f>TEXT(2227, "[$-0E0000]yyyy-mm-dd")</f>
        <v/>
      </c>
      <c r="C2228" t="inlineStr">
        <is>
          <t>1906-01-12</t>
        </is>
      </c>
    </row>
    <row r="2229">
      <c r="A2229" s="1" t="n">
        <v>2228</v>
      </c>
      <c r="B2229">
        <f>TEXT(2228, "[$-0E0000]yyyy-mm-dd")</f>
        <v/>
      </c>
      <c r="C2229" t="inlineStr">
        <is>
          <t>1906-01-13</t>
        </is>
      </c>
    </row>
    <row r="2230">
      <c r="A2230" s="1" t="n">
        <v>2229</v>
      </c>
      <c r="B2230">
        <f>TEXT(2229, "[$-0E0000]yyyy-mm-dd")</f>
        <v/>
      </c>
      <c r="C2230" t="inlineStr">
        <is>
          <t>1906-01-14</t>
        </is>
      </c>
    </row>
    <row r="2231">
      <c r="A2231" s="1" t="n">
        <v>2230</v>
      </c>
      <c r="B2231">
        <f>TEXT(2230, "[$-0E0000]yyyy-mm-dd")</f>
        <v/>
      </c>
      <c r="C2231" t="inlineStr">
        <is>
          <t>1906-01-15</t>
        </is>
      </c>
    </row>
    <row r="2232">
      <c r="A2232" s="1" t="n">
        <v>2231</v>
      </c>
      <c r="B2232">
        <f>TEXT(2231, "[$-0E0000]yyyy-mm-dd")</f>
        <v/>
      </c>
      <c r="C2232" t="inlineStr">
        <is>
          <t>1906-01-16</t>
        </is>
      </c>
    </row>
    <row r="2233">
      <c r="A2233" s="1" t="n">
        <v>2232</v>
      </c>
      <c r="B2233">
        <f>TEXT(2232, "[$-0E0000]yyyy-mm-dd")</f>
        <v/>
      </c>
      <c r="C2233" t="inlineStr">
        <is>
          <t>1906-01-17</t>
        </is>
      </c>
    </row>
    <row r="2234">
      <c r="A2234" s="1" t="n">
        <v>2233</v>
      </c>
      <c r="B2234">
        <f>TEXT(2233, "[$-0E0000]yyyy-mm-dd")</f>
        <v/>
      </c>
      <c r="C2234" t="inlineStr">
        <is>
          <t>1906-01-18</t>
        </is>
      </c>
    </row>
    <row r="2235">
      <c r="A2235" s="1" t="n">
        <v>2234</v>
      </c>
      <c r="B2235">
        <f>TEXT(2234, "[$-0E0000]yyyy-mm-dd")</f>
        <v/>
      </c>
      <c r="C2235" t="inlineStr">
        <is>
          <t>1906-01-19</t>
        </is>
      </c>
    </row>
    <row r="2236">
      <c r="A2236" s="1" t="n">
        <v>2235</v>
      </c>
      <c r="B2236">
        <f>TEXT(2235, "[$-0E0000]yyyy-mm-dd")</f>
        <v/>
      </c>
      <c r="C2236" t="inlineStr">
        <is>
          <t>1906-01-20</t>
        </is>
      </c>
    </row>
    <row r="2237">
      <c r="A2237" s="1" t="n">
        <v>2236</v>
      </c>
      <c r="B2237">
        <f>TEXT(2236, "[$-0E0000]yyyy-mm-dd")</f>
        <v/>
      </c>
      <c r="C2237" t="inlineStr">
        <is>
          <t>1906-01-21</t>
        </is>
      </c>
    </row>
    <row r="2238">
      <c r="A2238" s="1" t="n">
        <v>2237</v>
      </c>
      <c r="B2238">
        <f>TEXT(2237, "[$-0E0000]yyyy-mm-dd")</f>
        <v/>
      </c>
      <c r="C2238" t="inlineStr">
        <is>
          <t>1906-01-22</t>
        </is>
      </c>
    </row>
    <row r="2239">
      <c r="A2239" s="1" t="n">
        <v>2238</v>
      </c>
      <c r="B2239">
        <f>TEXT(2238, "[$-0E0000]yyyy-mm-dd")</f>
        <v/>
      </c>
      <c r="C2239" t="inlineStr">
        <is>
          <t>1906-01-23</t>
        </is>
      </c>
    </row>
    <row r="2240">
      <c r="A2240" s="1" t="n">
        <v>2239</v>
      </c>
      <c r="B2240">
        <f>TEXT(2239, "[$-0E0000]yyyy-mm-dd")</f>
        <v/>
      </c>
      <c r="C2240" t="inlineStr">
        <is>
          <t>1906-01-24</t>
        </is>
      </c>
    </row>
    <row r="2241">
      <c r="A2241" s="1" t="n">
        <v>2240</v>
      </c>
      <c r="B2241">
        <f>TEXT(2240, "[$-0E0000]yyyy-mm-dd")</f>
        <v/>
      </c>
      <c r="C2241" t="inlineStr">
        <is>
          <t>1906-01-25</t>
        </is>
      </c>
    </row>
    <row r="2242">
      <c r="A2242" s="1" t="n">
        <v>2241</v>
      </c>
      <c r="B2242">
        <f>TEXT(2241, "[$-0E0000]yyyy-mm-dd")</f>
        <v/>
      </c>
      <c r="C2242" t="inlineStr">
        <is>
          <t>1906-01-26</t>
        </is>
      </c>
    </row>
    <row r="2243">
      <c r="A2243" s="1" t="n">
        <v>2242</v>
      </c>
      <c r="B2243">
        <f>TEXT(2242, "[$-0E0000]yyyy-mm-dd")</f>
        <v/>
      </c>
      <c r="C2243" t="inlineStr">
        <is>
          <t>1906-01-27</t>
        </is>
      </c>
    </row>
    <row r="2244">
      <c r="A2244" s="1" t="n">
        <v>2243</v>
      </c>
      <c r="B2244">
        <f>TEXT(2243, "[$-0E0000]yyyy-mm-dd")</f>
        <v/>
      </c>
      <c r="C2244" t="inlineStr">
        <is>
          <t>1906-01-28</t>
        </is>
      </c>
    </row>
    <row r="2245">
      <c r="A2245" s="1" t="n">
        <v>2244</v>
      </c>
      <c r="B2245">
        <f>TEXT(2244, "[$-0E0000]yyyy-mm-dd")</f>
        <v/>
      </c>
      <c r="C2245" t="inlineStr">
        <is>
          <t>1906-01-29</t>
        </is>
      </c>
    </row>
    <row r="2246">
      <c r="A2246" s="1" t="n">
        <v>2245</v>
      </c>
      <c r="B2246">
        <f>TEXT(2245, "[$-0E0000]yyyy-mm-dd")</f>
        <v/>
      </c>
      <c r="C2246" t="inlineStr">
        <is>
          <t>1906-02-01</t>
        </is>
      </c>
    </row>
    <row r="2247">
      <c r="A2247" s="1" t="n">
        <v>2246</v>
      </c>
      <c r="B2247">
        <f>TEXT(2246, "[$-0E0000]yyyy-mm-dd")</f>
        <v/>
      </c>
      <c r="C2247" t="inlineStr">
        <is>
          <t>1906-02-02</t>
        </is>
      </c>
    </row>
    <row r="2248">
      <c r="A2248" s="1" t="n">
        <v>2247</v>
      </c>
      <c r="B2248">
        <f>TEXT(2247, "[$-0E0000]yyyy-mm-dd")</f>
        <v/>
      </c>
      <c r="C2248" t="inlineStr">
        <is>
          <t>1906-02-03</t>
        </is>
      </c>
    </row>
    <row r="2249">
      <c r="A2249" s="1" t="n">
        <v>2248</v>
      </c>
      <c r="B2249">
        <f>TEXT(2248, "[$-0E0000]yyyy-mm-dd")</f>
        <v/>
      </c>
      <c r="C2249" t="inlineStr">
        <is>
          <t>1906-02-04</t>
        </is>
      </c>
    </row>
    <row r="2250">
      <c r="A2250" s="1" t="n">
        <v>2249</v>
      </c>
      <c r="B2250">
        <f>TEXT(2249, "[$-0E0000]yyyy-mm-dd")</f>
        <v/>
      </c>
      <c r="C2250" t="inlineStr">
        <is>
          <t>1906-02-05</t>
        </is>
      </c>
    </row>
    <row r="2251">
      <c r="A2251" s="1" t="n">
        <v>2250</v>
      </c>
      <c r="B2251">
        <f>TEXT(2250, "[$-0E0000]yyyy-mm-dd")</f>
        <v/>
      </c>
      <c r="C2251" t="inlineStr">
        <is>
          <t>1906-02-06</t>
        </is>
      </c>
    </row>
    <row r="2252">
      <c r="A2252" s="1" t="n">
        <v>2251</v>
      </c>
      <c r="B2252">
        <f>TEXT(2251, "[$-0E0000]yyyy-mm-dd")</f>
        <v/>
      </c>
      <c r="C2252" t="inlineStr">
        <is>
          <t>1906-02-07</t>
        </is>
      </c>
    </row>
    <row r="2253">
      <c r="A2253" s="1" t="n">
        <v>2252</v>
      </c>
      <c r="B2253">
        <f>TEXT(2252, "[$-0E0000]yyyy-mm-dd")</f>
        <v/>
      </c>
      <c r="C2253" t="inlineStr">
        <is>
          <t>1906-02-08</t>
        </is>
      </c>
    </row>
    <row r="2254">
      <c r="A2254" s="1" t="n">
        <v>2253</v>
      </c>
      <c r="B2254">
        <f>TEXT(2253, "[$-0E0000]yyyy-mm-dd")</f>
        <v/>
      </c>
      <c r="C2254" t="inlineStr">
        <is>
          <t>1906-02-09</t>
        </is>
      </c>
    </row>
    <row r="2255">
      <c r="A2255" s="1" t="n">
        <v>2254</v>
      </c>
      <c r="B2255">
        <f>TEXT(2254, "[$-0E0000]yyyy-mm-dd")</f>
        <v/>
      </c>
      <c r="C2255" t="inlineStr">
        <is>
          <t>1906-02-10</t>
        </is>
      </c>
    </row>
    <row r="2256">
      <c r="A2256" s="1" t="n">
        <v>2255</v>
      </c>
      <c r="B2256">
        <f>TEXT(2255, "[$-0E0000]yyyy-mm-dd")</f>
        <v/>
      </c>
      <c r="C2256" t="inlineStr">
        <is>
          <t>1906-02-11</t>
        </is>
      </c>
    </row>
    <row r="2257">
      <c r="A2257" s="1" t="n">
        <v>2256</v>
      </c>
      <c r="B2257">
        <f>TEXT(2256, "[$-0E0000]yyyy-mm-dd")</f>
        <v/>
      </c>
      <c r="C2257" t="inlineStr">
        <is>
          <t>1906-02-12</t>
        </is>
      </c>
    </row>
    <row r="2258">
      <c r="A2258" s="1" t="n">
        <v>2257</v>
      </c>
      <c r="B2258">
        <f>TEXT(2257, "[$-0E0000]yyyy-mm-dd")</f>
        <v/>
      </c>
      <c r="C2258" t="inlineStr">
        <is>
          <t>1906-02-13</t>
        </is>
      </c>
    </row>
    <row r="2259">
      <c r="A2259" s="1" t="n">
        <v>2258</v>
      </c>
      <c r="B2259">
        <f>TEXT(2258, "[$-0E0000]yyyy-mm-dd")</f>
        <v/>
      </c>
      <c r="C2259" t="inlineStr">
        <is>
          <t>1906-02-14</t>
        </is>
      </c>
    </row>
    <row r="2260">
      <c r="A2260" s="1" t="n">
        <v>2259</v>
      </c>
      <c r="B2260">
        <f>TEXT(2259, "[$-0E0000]yyyy-mm-dd")</f>
        <v/>
      </c>
      <c r="C2260" t="inlineStr">
        <is>
          <t>1906-02-15</t>
        </is>
      </c>
    </row>
    <row r="2261">
      <c r="A2261" s="1" t="n">
        <v>2260</v>
      </c>
      <c r="B2261">
        <f>TEXT(2260, "[$-0E0000]yyyy-mm-dd")</f>
        <v/>
      </c>
      <c r="C2261" t="inlineStr">
        <is>
          <t>1906-02-16</t>
        </is>
      </c>
    </row>
    <row r="2262">
      <c r="A2262" s="1" t="n">
        <v>2261</v>
      </c>
      <c r="B2262">
        <f>TEXT(2261, "[$-0E0000]yyyy-mm-dd")</f>
        <v/>
      </c>
      <c r="C2262" t="inlineStr">
        <is>
          <t>1906-02-17</t>
        </is>
      </c>
    </row>
    <row r="2263">
      <c r="A2263" s="1" t="n">
        <v>2262</v>
      </c>
      <c r="B2263">
        <f>TEXT(2262, "[$-0E0000]yyyy-mm-dd")</f>
        <v/>
      </c>
      <c r="C2263" t="inlineStr">
        <is>
          <t>1906-02-18</t>
        </is>
      </c>
    </row>
    <row r="2264">
      <c r="A2264" s="1" t="n">
        <v>2263</v>
      </c>
      <c r="B2264">
        <f>TEXT(2263, "[$-0E0000]yyyy-mm-dd")</f>
        <v/>
      </c>
      <c r="C2264" t="inlineStr">
        <is>
          <t>1906-02-19</t>
        </is>
      </c>
    </row>
    <row r="2265">
      <c r="A2265" s="1" t="n">
        <v>2264</v>
      </c>
      <c r="B2265">
        <f>TEXT(2264, "[$-0E0000]yyyy-mm-dd")</f>
        <v/>
      </c>
      <c r="C2265" t="inlineStr">
        <is>
          <t>1906-02-20</t>
        </is>
      </c>
    </row>
    <row r="2266">
      <c r="A2266" s="1" t="n">
        <v>2265</v>
      </c>
      <c r="B2266">
        <f>TEXT(2265, "[$-0E0000]yyyy-mm-dd")</f>
        <v/>
      </c>
      <c r="C2266" t="inlineStr">
        <is>
          <t>1906-02-21</t>
        </is>
      </c>
    </row>
    <row r="2267">
      <c r="A2267" s="1" t="n">
        <v>2266</v>
      </c>
      <c r="B2267">
        <f>TEXT(2266, "[$-0E0000]yyyy-mm-dd")</f>
        <v/>
      </c>
      <c r="C2267" t="inlineStr">
        <is>
          <t>1906-02-22</t>
        </is>
      </c>
    </row>
    <row r="2268">
      <c r="A2268" s="1" t="n">
        <v>2267</v>
      </c>
      <c r="B2268">
        <f>TEXT(2267, "[$-0E0000]yyyy-mm-dd")</f>
        <v/>
      </c>
      <c r="C2268" t="inlineStr">
        <is>
          <t>1906-02-23</t>
        </is>
      </c>
    </row>
    <row r="2269">
      <c r="A2269" s="1" t="n">
        <v>2268</v>
      </c>
      <c r="B2269">
        <f>TEXT(2268, "[$-0E0000]yyyy-mm-dd")</f>
        <v/>
      </c>
      <c r="C2269" t="inlineStr">
        <is>
          <t>1906-02-24</t>
        </is>
      </c>
    </row>
    <row r="2270">
      <c r="A2270" s="1" t="n">
        <v>2269</v>
      </c>
      <c r="B2270">
        <f>TEXT(2269, "[$-0E0000]yyyy-mm-dd")</f>
        <v/>
      </c>
      <c r="C2270" t="inlineStr">
        <is>
          <t>1906-02-25</t>
        </is>
      </c>
    </row>
    <row r="2271">
      <c r="A2271" s="1" t="n">
        <v>2270</v>
      </c>
      <c r="B2271">
        <f>TEXT(2270, "[$-0E0000]yyyy-mm-dd")</f>
        <v/>
      </c>
      <c r="C2271" t="inlineStr">
        <is>
          <t>1906-02-26</t>
        </is>
      </c>
    </row>
    <row r="2272">
      <c r="A2272" s="1" t="n">
        <v>2271</v>
      </c>
      <c r="B2272">
        <f>TEXT(2271, "[$-0E0000]yyyy-mm-dd")</f>
        <v/>
      </c>
      <c r="C2272" t="inlineStr">
        <is>
          <t>1906-02-27</t>
        </is>
      </c>
    </row>
    <row r="2273">
      <c r="A2273" s="1" t="n">
        <v>2272</v>
      </c>
      <c r="B2273">
        <f>TEXT(2272, "[$-0E0000]yyyy-mm-dd")</f>
        <v/>
      </c>
      <c r="C2273" t="inlineStr">
        <is>
          <t>1906-02-28</t>
        </is>
      </c>
    </row>
    <row r="2274">
      <c r="A2274" s="1" t="n">
        <v>2273</v>
      </c>
      <c r="B2274">
        <f>TEXT(2273, "[$-0E0000]yyyy-mm-dd")</f>
        <v/>
      </c>
      <c r="C2274" t="inlineStr">
        <is>
          <t>1906-02-29</t>
        </is>
      </c>
    </row>
    <row r="2275">
      <c r="A2275" s="1" t="n">
        <v>2274</v>
      </c>
      <c r="B2275">
        <f>TEXT(2274, "[$-0E0000]yyyy-mm-dd")</f>
        <v/>
      </c>
      <c r="C2275" t="inlineStr">
        <is>
          <t>1906-02-30</t>
        </is>
      </c>
    </row>
    <row r="2276">
      <c r="A2276" s="1" t="n">
        <v>2275</v>
      </c>
      <c r="B2276">
        <f>TEXT(2275, "[$-0E0000]yyyy-mm-dd")</f>
        <v/>
      </c>
      <c r="C2276" t="inlineStr">
        <is>
          <t>1906-03-01</t>
        </is>
      </c>
    </row>
    <row r="2277">
      <c r="A2277" s="1" t="n">
        <v>2276</v>
      </c>
      <c r="B2277">
        <f>TEXT(2276, "[$-0E0000]yyyy-mm-dd")</f>
        <v/>
      </c>
      <c r="C2277" t="inlineStr">
        <is>
          <t>1906-03-02</t>
        </is>
      </c>
    </row>
    <row r="2278">
      <c r="A2278" s="1" t="n">
        <v>2277</v>
      </c>
      <c r="B2278">
        <f>TEXT(2277, "[$-0E0000]yyyy-mm-dd")</f>
        <v/>
      </c>
      <c r="C2278" t="inlineStr">
        <is>
          <t>1906-03-03</t>
        </is>
      </c>
    </row>
    <row r="2279">
      <c r="A2279" s="1" t="n">
        <v>2278</v>
      </c>
      <c r="B2279">
        <f>TEXT(2278, "[$-0E0000]yyyy-mm-dd")</f>
        <v/>
      </c>
      <c r="C2279" t="inlineStr">
        <is>
          <t>1906-03-04</t>
        </is>
      </c>
    </row>
    <row r="2280">
      <c r="A2280" s="1" t="n">
        <v>2279</v>
      </c>
      <c r="B2280">
        <f>TEXT(2279, "[$-0E0000]yyyy-mm-dd")</f>
        <v/>
      </c>
      <c r="C2280" t="inlineStr">
        <is>
          <t>1906-03-05</t>
        </is>
      </c>
    </row>
    <row r="2281">
      <c r="A2281" s="1" t="n">
        <v>2280</v>
      </c>
      <c r="B2281">
        <f>TEXT(2280, "[$-0E0000]yyyy-mm-dd")</f>
        <v/>
      </c>
      <c r="C2281" t="inlineStr">
        <is>
          <t>1906-03-06</t>
        </is>
      </c>
    </row>
    <row r="2282">
      <c r="A2282" s="1" t="n">
        <v>2281</v>
      </c>
      <c r="B2282">
        <f>TEXT(2281, "[$-0E0000]yyyy-mm-dd")</f>
        <v/>
      </c>
      <c r="C2282" t="inlineStr">
        <is>
          <t>1906-03-07</t>
        </is>
      </c>
    </row>
    <row r="2283">
      <c r="A2283" s="1" t="n">
        <v>2282</v>
      </c>
      <c r="B2283">
        <f>TEXT(2282, "[$-0E0000]yyyy-mm-dd")</f>
        <v/>
      </c>
      <c r="C2283" t="inlineStr">
        <is>
          <t>1906-03-08</t>
        </is>
      </c>
    </row>
    <row r="2284">
      <c r="A2284" s="1" t="n">
        <v>2283</v>
      </c>
      <c r="B2284">
        <f>TEXT(2283, "[$-0E0000]yyyy-mm-dd")</f>
        <v/>
      </c>
      <c r="C2284" t="inlineStr">
        <is>
          <t>1906-03-09</t>
        </is>
      </c>
    </row>
    <row r="2285">
      <c r="A2285" s="1" t="n">
        <v>2284</v>
      </c>
      <c r="B2285">
        <f>TEXT(2284, "[$-0E0000]yyyy-mm-dd")</f>
        <v/>
      </c>
      <c r="C2285" t="inlineStr">
        <is>
          <t>1906-03-10</t>
        </is>
      </c>
    </row>
    <row r="2286">
      <c r="A2286" s="1" t="n">
        <v>2285</v>
      </c>
      <c r="B2286">
        <f>TEXT(2285, "[$-0E0000]yyyy-mm-dd")</f>
        <v/>
      </c>
      <c r="C2286" t="inlineStr">
        <is>
          <t>1906-03-11</t>
        </is>
      </c>
    </row>
    <row r="2287">
      <c r="A2287" s="1" t="n">
        <v>2286</v>
      </c>
      <c r="B2287">
        <f>TEXT(2286, "[$-0E0000]yyyy-mm-dd")</f>
        <v/>
      </c>
      <c r="C2287" t="inlineStr">
        <is>
          <t>1906-03-12</t>
        </is>
      </c>
    </row>
    <row r="2288">
      <c r="A2288" s="1" t="n">
        <v>2287</v>
      </c>
      <c r="B2288">
        <f>TEXT(2287, "[$-0E0000]yyyy-mm-dd")</f>
        <v/>
      </c>
      <c r="C2288" t="inlineStr">
        <is>
          <t>1906-03-13</t>
        </is>
      </c>
    </row>
    <row r="2289">
      <c r="A2289" s="1" t="n">
        <v>2288</v>
      </c>
      <c r="B2289">
        <f>TEXT(2288, "[$-0E0000]yyyy-mm-dd")</f>
        <v/>
      </c>
      <c r="C2289" t="inlineStr">
        <is>
          <t>1906-03-14</t>
        </is>
      </c>
    </row>
    <row r="2290">
      <c r="A2290" s="1" t="n">
        <v>2289</v>
      </c>
      <c r="B2290">
        <f>TEXT(2289, "[$-0E0000]yyyy-mm-dd")</f>
        <v/>
      </c>
      <c r="C2290" t="inlineStr">
        <is>
          <t>1906-03-15</t>
        </is>
      </c>
    </row>
    <row r="2291">
      <c r="A2291" s="1" t="n">
        <v>2290</v>
      </c>
      <c r="B2291">
        <f>TEXT(2290, "[$-0E0000]yyyy-mm-dd")</f>
        <v/>
      </c>
      <c r="C2291" t="inlineStr">
        <is>
          <t>1906-03-16</t>
        </is>
      </c>
    </row>
    <row r="2292">
      <c r="A2292" s="1" t="n">
        <v>2291</v>
      </c>
      <c r="B2292">
        <f>TEXT(2291, "[$-0E0000]yyyy-mm-dd")</f>
        <v/>
      </c>
      <c r="C2292" t="inlineStr">
        <is>
          <t>1906-03-17</t>
        </is>
      </c>
    </row>
    <row r="2293">
      <c r="A2293" s="1" t="n">
        <v>2292</v>
      </c>
      <c r="B2293">
        <f>TEXT(2292, "[$-0E0000]yyyy-mm-dd")</f>
        <v/>
      </c>
      <c r="C2293" t="inlineStr">
        <is>
          <t>1906-03-18</t>
        </is>
      </c>
    </row>
    <row r="2294">
      <c r="A2294" s="1" t="n">
        <v>2293</v>
      </c>
      <c r="B2294">
        <f>TEXT(2293, "[$-0E0000]yyyy-mm-dd")</f>
        <v/>
      </c>
      <c r="C2294" t="inlineStr">
        <is>
          <t>1906-03-19</t>
        </is>
      </c>
    </row>
    <row r="2295">
      <c r="A2295" s="1" t="n">
        <v>2294</v>
      </c>
      <c r="B2295">
        <f>TEXT(2294, "[$-0E0000]yyyy-mm-dd")</f>
        <v/>
      </c>
      <c r="C2295" t="inlineStr">
        <is>
          <t>1906-03-20</t>
        </is>
      </c>
    </row>
    <row r="2296">
      <c r="A2296" s="1" t="n">
        <v>2295</v>
      </c>
      <c r="B2296">
        <f>TEXT(2295, "[$-0E0000]yyyy-mm-dd")</f>
        <v/>
      </c>
      <c r="C2296" t="inlineStr">
        <is>
          <t>1906-03-21</t>
        </is>
      </c>
    </row>
    <row r="2297">
      <c r="A2297" s="1" t="n">
        <v>2296</v>
      </c>
      <c r="B2297">
        <f>TEXT(2296, "[$-0E0000]yyyy-mm-dd")</f>
        <v/>
      </c>
      <c r="C2297" t="inlineStr">
        <is>
          <t>1906-03-22</t>
        </is>
      </c>
    </row>
    <row r="2298">
      <c r="A2298" s="1" t="n">
        <v>2297</v>
      </c>
      <c r="B2298">
        <f>TEXT(2297, "[$-0E0000]yyyy-mm-dd")</f>
        <v/>
      </c>
      <c r="C2298" t="inlineStr">
        <is>
          <t>1906-03-23</t>
        </is>
      </c>
    </row>
    <row r="2299">
      <c r="A2299" s="1" t="n">
        <v>2298</v>
      </c>
      <c r="B2299">
        <f>TEXT(2298, "[$-0E0000]yyyy-mm-dd")</f>
        <v/>
      </c>
      <c r="C2299" t="inlineStr">
        <is>
          <t>1906-03-24</t>
        </is>
      </c>
    </row>
    <row r="2300">
      <c r="A2300" s="1" t="n">
        <v>2299</v>
      </c>
      <c r="B2300">
        <f>TEXT(2299, "[$-0E0000]yyyy-mm-dd")</f>
        <v/>
      </c>
      <c r="C2300" t="inlineStr">
        <is>
          <t>1906-03-25</t>
        </is>
      </c>
    </row>
    <row r="2301">
      <c r="A2301" s="1" t="n">
        <v>2300</v>
      </c>
      <c r="B2301">
        <f>TEXT(2300, "[$-0E0000]yyyy-mm-dd")</f>
        <v/>
      </c>
      <c r="C2301" t="inlineStr">
        <is>
          <t>1906-03-26</t>
        </is>
      </c>
    </row>
    <row r="2302">
      <c r="A2302" s="1" t="n">
        <v>2301</v>
      </c>
      <c r="B2302">
        <f>TEXT(2301, "[$-0E0000]yyyy-mm-dd")</f>
        <v/>
      </c>
      <c r="C2302" t="inlineStr">
        <is>
          <t>1906-03-27</t>
        </is>
      </c>
    </row>
    <row r="2303">
      <c r="A2303" s="1" t="n">
        <v>2302</v>
      </c>
      <c r="B2303">
        <f>TEXT(2302, "[$-0E0000]yyyy-mm-dd")</f>
        <v/>
      </c>
      <c r="C2303" t="inlineStr">
        <is>
          <t>1906-03-28</t>
        </is>
      </c>
    </row>
    <row r="2304">
      <c r="A2304" s="1" t="n">
        <v>2303</v>
      </c>
      <c r="B2304">
        <f>TEXT(2303, "[$-0E0000]yyyy-mm-dd")</f>
        <v/>
      </c>
      <c r="C2304" t="inlineStr">
        <is>
          <t>1906-03-29</t>
        </is>
      </c>
    </row>
    <row r="2305">
      <c r="A2305" s="1" t="n">
        <v>2304</v>
      </c>
      <c r="B2305">
        <f>TEXT(2304, "[$-0E0000]yyyy-mm-dd")</f>
        <v/>
      </c>
      <c r="C2305" t="inlineStr">
        <is>
          <t>1906-03-30</t>
        </is>
      </c>
    </row>
    <row r="2306">
      <c r="A2306" s="1" t="n">
        <v>2305</v>
      </c>
      <c r="B2306">
        <f>TEXT(2305, "[$-0E0000]yyyy-mm-dd")</f>
        <v/>
      </c>
      <c r="C2306" t="inlineStr">
        <is>
          <t>1906-04-01</t>
        </is>
      </c>
    </row>
    <row r="2307">
      <c r="A2307" s="1" t="n">
        <v>2306</v>
      </c>
      <c r="B2307">
        <f>TEXT(2306, "[$-0E0000]yyyy-mm-dd")</f>
        <v/>
      </c>
      <c r="C2307" t="inlineStr">
        <is>
          <t>1906-04-02</t>
        </is>
      </c>
    </row>
    <row r="2308">
      <c r="A2308" s="1" t="n">
        <v>2307</v>
      </c>
      <c r="B2308">
        <f>TEXT(2307, "[$-0E0000]yyyy-mm-dd")</f>
        <v/>
      </c>
      <c r="C2308" t="inlineStr">
        <is>
          <t>1906-04-03</t>
        </is>
      </c>
    </row>
    <row r="2309">
      <c r="A2309" s="1" t="n">
        <v>2308</v>
      </c>
      <c r="B2309">
        <f>TEXT(2308, "[$-0E0000]yyyy-mm-dd")</f>
        <v/>
      </c>
      <c r="C2309" t="inlineStr">
        <is>
          <t>1906-04-04</t>
        </is>
      </c>
    </row>
    <row r="2310">
      <c r="A2310" s="1" t="n">
        <v>2309</v>
      </c>
      <c r="B2310">
        <f>TEXT(2309, "[$-0E0000]yyyy-mm-dd")</f>
        <v/>
      </c>
      <c r="C2310" t="inlineStr">
        <is>
          <t>1906-04-05</t>
        </is>
      </c>
    </row>
    <row r="2311">
      <c r="A2311" s="1" t="n">
        <v>2310</v>
      </c>
      <c r="B2311">
        <f>TEXT(2310, "[$-0E0000]yyyy-mm-dd")</f>
        <v/>
      </c>
      <c r="C2311" t="inlineStr">
        <is>
          <t>1906-04-06</t>
        </is>
      </c>
    </row>
    <row r="2312">
      <c r="A2312" s="1" t="n">
        <v>2311</v>
      </c>
      <c r="B2312">
        <f>TEXT(2311, "[$-0E0000]yyyy-mm-dd")</f>
        <v/>
      </c>
      <c r="C2312" t="inlineStr">
        <is>
          <t>1906-04-07</t>
        </is>
      </c>
    </row>
    <row r="2313">
      <c r="A2313" s="1" t="n">
        <v>2312</v>
      </c>
      <c r="B2313">
        <f>TEXT(2312, "[$-0E0000]yyyy-mm-dd")</f>
        <v/>
      </c>
      <c r="C2313" t="inlineStr">
        <is>
          <t>1906-04-08</t>
        </is>
      </c>
    </row>
    <row r="2314">
      <c r="A2314" s="1" t="n">
        <v>2313</v>
      </c>
      <c r="B2314">
        <f>TEXT(2313, "[$-0E0000]yyyy-mm-dd")</f>
        <v/>
      </c>
      <c r="C2314" t="inlineStr">
        <is>
          <t>1906-04-09</t>
        </is>
      </c>
    </row>
    <row r="2315">
      <c r="A2315" s="1" t="n">
        <v>2314</v>
      </c>
      <c r="B2315">
        <f>TEXT(2314, "[$-0E0000]yyyy-mm-dd")</f>
        <v/>
      </c>
      <c r="C2315" t="inlineStr">
        <is>
          <t>1906-04-10</t>
        </is>
      </c>
    </row>
    <row r="2316">
      <c r="A2316" s="1" t="n">
        <v>2315</v>
      </c>
      <c r="B2316">
        <f>TEXT(2315, "[$-0E0000]yyyy-mm-dd")</f>
        <v/>
      </c>
      <c r="C2316" t="inlineStr">
        <is>
          <t>1906-04-11</t>
        </is>
      </c>
    </row>
    <row r="2317">
      <c r="A2317" s="1" t="n">
        <v>2316</v>
      </c>
      <c r="B2317">
        <f>TEXT(2316, "[$-0E0000]yyyy-mm-dd")</f>
        <v/>
      </c>
      <c r="C2317" t="inlineStr">
        <is>
          <t>1906-04-12</t>
        </is>
      </c>
    </row>
    <row r="2318">
      <c r="A2318" s="1" t="n">
        <v>2317</v>
      </c>
      <c r="B2318">
        <f>TEXT(2317, "[$-0E0000]yyyy-mm-dd")</f>
        <v/>
      </c>
      <c r="C2318" t="inlineStr">
        <is>
          <t>1906-04-13</t>
        </is>
      </c>
    </row>
    <row r="2319">
      <c r="A2319" s="1" t="n">
        <v>2318</v>
      </c>
      <c r="B2319">
        <f>TEXT(2318, "[$-0E0000]yyyy-mm-dd")</f>
        <v/>
      </c>
      <c r="C2319" t="inlineStr">
        <is>
          <t>1906-04-14</t>
        </is>
      </c>
    </row>
    <row r="2320">
      <c r="A2320" s="1" t="n">
        <v>2319</v>
      </c>
      <c r="B2320">
        <f>TEXT(2319, "[$-0E0000]yyyy-mm-dd")</f>
        <v/>
      </c>
      <c r="C2320" t="inlineStr">
        <is>
          <t>1906-04-15</t>
        </is>
      </c>
    </row>
    <row r="2321">
      <c r="A2321" s="1" t="n">
        <v>2320</v>
      </c>
      <c r="B2321">
        <f>TEXT(2320, "[$-0E0000]yyyy-mm-dd")</f>
        <v/>
      </c>
      <c r="C2321" t="inlineStr">
        <is>
          <t>1906-04-16</t>
        </is>
      </c>
    </row>
    <row r="2322">
      <c r="A2322" s="1" t="n">
        <v>2321</v>
      </c>
      <c r="B2322">
        <f>TEXT(2321, "[$-0E0000]yyyy-mm-dd")</f>
        <v/>
      </c>
      <c r="C2322" t="inlineStr">
        <is>
          <t>1906-04-17</t>
        </is>
      </c>
    </row>
    <row r="2323">
      <c r="A2323" s="1" t="n">
        <v>2322</v>
      </c>
      <c r="B2323">
        <f>TEXT(2322, "[$-0E0000]yyyy-mm-dd")</f>
        <v/>
      </c>
      <c r="C2323" t="inlineStr">
        <is>
          <t>1906-04-18</t>
        </is>
      </c>
    </row>
    <row r="2324">
      <c r="A2324" s="1" t="n">
        <v>2323</v>
      </c>
      <c r="B2324">
        <f>TEXT(2323, "[$-0E0000]yyyy-mm-dd")</f>
        <v/>
      </c>
      <c r="C2324" t="inlineStr">
        <is>
          <t>1906-04-19</t>
        </is>
      </c>
    </row>
    <row r="2325">
      <c r="A2325" s="1" t="n">
        <v>2324</v>
      </c>
      <c r="B2325">
        <f>TEXT(2324, "[$-0E0000]yyyy-mm-dd")</f>
        <v/>
      </c>
      <c r="C2325" t="inlineStr">
        <is>
          <t>1906-04-20</t>
        </is>
      </c>
    </row>
    <row r="2326">
      <c r="A2326" s="1" t="n">
        <v>2325</v>
      </c>
      <c r="B2326">
        <f>TEXT(2325, "[$-0E0000]yyyy-mm-dd")</f>
        <v/>
      </c>
      <c r="C2326" t="inlineStr">
        <is>
          <t>1906-04-21</t>
        </is>
      </c>
    </row>
    <row r="2327">
      <c r="A2327" s="1" t="n">
        <v>2326</v>
      </c>
      <c r="B2327">
        <f>TEXT(2326, "[$-0E0000]yyyy-mm-dd")</f>
        <v/>
      </c>
      <c r="C2327" t="inlineStr">
        <is>
          <t>1906-04-22</t>
        </is>
      </c>
    </row>
    <row r="2328">
      <c r="A2328" s="1" t="n">
        <v>2327</v>
      </c>
      <c r="B2328">
        <f>TEXT(2327, "[$-0E0000]yyyy-mm-dd")</f>
        <v/>
      </c>
      <c r="C2328" t="inlineStr">
        <is>
          <t>1906-04-23</t>
        </is>
      </c>
    </row>
    <row r="2329">
      <c r="A2329" s="1" t="n">
        <v>2328</v>
      </c>
      <c r="B2329">
        <f>TEXT(2328, "[$-0E0000]yyyy-mm-dd")</f>
        <v/>
      </c>
      <c r="C2329" t="inlineStr">
        <is>
          <t>1906-04-24</t>
        </is>
      </c>
    </row>
    <row r="2330">
      <c r="A2330" s="1" t="n">
        <v>2329</v>
      </c>
      <c r="B2330">
        <f>TEXT(2329, "[$-0E0000]yyyy-mm-dd")</f>
        <v/>
      </c>
      <c r="C2330" t="inlineStr">
        <is>
          <t>1906-04-25</t>
        </is>
      </c>
    </row>
    <row r="2331">
      <c r="A2331" s="1" t="n">
        <v>2330</v>
      </c>
      <c r="B2331">
        <f>TEXT(2330, "[$-0E0000]yyyy-mm-dd")</f>
        <v/>
      </c>
      <c r="C2331" t="inlineStr">
        <is>
          <t>1906-04-26</t>
        </is>
      </c>
    </row>
    <row r="2332">
      <c r="A2332" s="1" t="n">
        <v>2331</v>
      </c>
      <c r="B2332">
        <f>TEXT(2331, "[$-0E0000]yyyy-mm-dd")</f>
        <v/>
      </c>
      <c r="C2332" t="inlineStr">
        <is>
          <t>1906-04-27</t>
        </is>
      </c>
    </row>
    <row r="2333">
      <c r="A2333" s="1" t="n">
        <v>2332</v>
      </c>
      <c r="B2333">
        <f>TEXT(2332, "[$-0E0000]yyyy-mm-dd")</f>
        <v/>
      </c>
      <c r="C2333" t="inlineStr">
        <is>
          <t>1906-04-28</t>
        </is>
      </c>
    </row>
    <row r="2334">
      <c r="A2334" s="1" t="n">
        <v>2333</v>
      </c>
      <c r="B2334">
        <f>TEXT(2333, "[$-0E0000]yyyy-mm-dd")</f>
        <v/>
      </c>
      <c r="C2334" t="inlineStr">
        <is>
          <t>1906-04-29</t>
        </is>
      </c>
    </row>
    <row r="2335">
      <c r="A2335" s="1" t="n">
        <v>2334</v>
      </c>
      <c r="B2335">
        <f>TEXT(2334, "[$-0E0000]yyyy-mm-dd")</f>
        <v/>
      </c>
      <c r="C2335" t="inlineStr">
        <is>
          <t>1906-04-01</t>
        </is>
      </c>
    </row>
    <row r="2336">
      <c r="A2336" s="1" t="n">
        <v>2335</v>
      </c>
      <c r="B2336">
        <f>TEXT(2335, "[$-0E0000]yyyy-mm-dd")</f>
        <v/>
      </c>
      <c r="C2336" t="inlineStr">
        <is>
          <t>1906-04-02</t>
        </is>
      </c>
    </row>
    <row r="2337">
      <c r="A2337" s="1" t="n">
        <v>2336</v>
      </c>
      <c r="B2337">
        <f>TEXT(2336, "[$-0E0000]yyyy-mm-dd")</f>
        <v/>
      </c>
      <c r="C2337" t="inlineStr">
        <is>
          <t>1906-04-03</t>
        </is>
      </c>
    </row>
    <row r="2338">
      <c r="A2338" s="1" t="n">
        <v>2337</v>
      </c>
      <c r="B2338">
        <f>TEXT(2337, "[$-0E0000]yyyy-mm-dd")</f>
        <v/>
      </c>
      <c r="C2338" t="inlineStr">
        <is>
          <t>1906-04-04</t>
        </is>
      </c>
    </row>
    <row r="2339">
      <c r="A2339" s="1" t="n">
        <v>2338</v>
      </c>
      <c r="B2339">
        <f>TEXT(2338, "[$-0E0000]yyyy-mm-dd")</f>
        <v/>
      </c>
      <c r="C2339" t="inlineStr">
        <is>
          <t>1906-04-05</t>
        </is>
      </c>
    </row>
    <row r="2340">
      <c r="A2340" s="1" t="n">
        <v>2339</v>
      </c>
      <c r="B2340">
        <f>TEXT(2339, "[$-0E0000]yyyy-mm-dd")</f>
        <v/>
      </c>
      <c r="C2340" t="inlineStr">
        <is>
          <t>1906-04-06</t>
        </is>
      </c>
    </row>
    <row r="2341">
      <c r="A2341" s="1" t="n">
        <v>2340</v>
      </c>
      <c r="B2341">
        <f>TEXT(2340, "[$-0E0000]yyyy-mm-dd")</f>
        <v/>
      </c>
      <c r="C2341" t="inlineStr">
        <is>
          <t>1906-04-07</t>
        </is>
      </c>
    </row>
    <row r="2342">
      <c r="A2342" s="1" t="n">
        <v>2341</v>
      </c>
      <c r="B2342">
        <f>TEXT(2341, "[$-0E0000]yyyy-mm-dd")</f>
        <v/>
      </c>
      <c r="C2342" t="inlineStr">
        <is>
          <t>1906-04-08</t>
        </is>
      </c>
    </row>
    <row r="2343">
      <c r="A2343" s="1" t="n">
        <v>2342</v>
      </c>
      <c r="B2343">
        <f>TEXT(2342, "[$-0E0000]yyyy-mm-dd")</f>
        <v/>
      </c>
      <c r="C2343" t="inlineStr">
        <is>
          <t>1906-04-09</t>
        </is>
      </c>
    </row>
    <row r="2344">
      <c r="A2344" s="1" t="n">
        <v>2343</v>
      </c>
      <c r="B2344">
        <f>TEXT(2343, "[$-0E0000]yyyy-mm-dd")</f>
        <v/>
      </c>
      <c r="C2344" t="inlineStr">
        <is>
          <t>1906-04-10</t>
        </is>
      </c>
    </row>
    <row r="2345">
      <c r="A2345" s="1" t="n">
        <v>2344</v>
      </c>
      <c r="B2345">
        <f>TEXT(2344, "[$-0E0000]yyyy-mm-dd")</f>
        <v/>
      </c>
      <c r="C2345" t="inlineStr">
        <is>
          <t>1906-04-11</t>
        </is>
      </c>
    </row>
    <row r="2346">
      <c r="A2346" s="1" t="n">
        <v>2345</v>
      </c>
      <c r="B2346">
        <f>TEXT(2345, "[$-0E0000]yyyy-mm-dd")</f>
        <v/>
      </c>
      <c r="C2346" t="inlineStr">
        <is>
          <t>1906-04-12</t>
        </is>
      </c>
    </row>
    <row r="2347">
      <c r="A2347" s="1" t="n">
        <v>2346</v>
      </c>
      <c r="B2347">
        <f>TEXT(2346, "[$-0E0000]yyyy-mm-dd")</f>
        <v/>
      </c>
      <c r="C2347" t="inlineStr">
        <is>
          <t>1906-04-13</t>
        </is>
      </c>
    </row>
    <row r="2348">
      <c r="A2348" s="1" t="n">
        <v>2347</v>
      </c>
      <c r="B2348">
        <f>TEXT(2347, "[$-0E0000]yyyy-mm-dd")</f>
        <v/>
      </c>
      <c r="C2348" t="inlineStr">
        <is>
          <t>1906-04-14</t>
        </is>
      </c>
    </row>
    <row r="2349">
      <c r="A2349" s="1" t="n">
        <v>2348</v>
      </c>
      <c r="B2349">
        <f>TEXT(2348, "[$-0E0000]yyyy-mm-dd")</f>
        <v/>
      </c>
      <c r="C2349" t="inlineStr">
        <is>
          <t>1906-04-15</t>
        </is>
      </c>
    </row>
    <row r="2350">
      <c r="A2350" s="1" t="n">
        <v>2349</v>
      </c>
      <c r="B2350">
        <f>TEXT(2349, "[$-0E0000]yyyy-mm-dd")</f>
        <v/>
      </c>
      <c r="C2350" t="inlineStr">
        <is>
          <t>1906-04-16</t>
        </is>
      </c>
    </row>
    <row r="2351">
      <c r="A2351" s="1" t="n">
        <v>2350</v>
      </c>
      <c r="B2351">
        <f>TEXT(2350, "[$-0E0000]yyyy-mm-dd")</f>
        <v/>
      </c>
      <c r="C2351" t="inlineStr">
        <is>
          <t>1906-04-17</t>
        </is>
      </c>
    </row>
    <row r="2352">
      <c r="A2352" s="1" t="n">
        <v>2351</v>
      </c>
      <c r="B2352">
        <f>TEXT(2351, "[$-0E0000]yyyy-mm-dd")</f>
        <v/>
      </c>
      <c r="C2352" t="inlineStr">
        <is>
          <t>1906-04-18</t>
        </is>
      </c>
    </row>
    <row r="2353">
      <c r="A2353" s="1" t="n">
        <v>2352</v>
      </c>
      <c r="B2353">
        <f>TEXT(2352, "[$-0E0000]yyyy-mm-dd")</f>
        <v/>
      </c>
      <c r="C2353" t="inlineStr">
        <is>
          <t>1906-04-19</t>
        </is>
      </c>
    </row>
    <row r="2354">
      <c r="A2354" s="1" t="n">
        <v>2353</v>
      </c>
      <c r="B2354">
        <f>TEXT(2353, "[$-0E0000]yyyy-mm-dd")</f>
        <v/>
      </c>
      <c r="C2354" t="inlineStr">
        <is>
          <t>1906-04-20</t>
        </is>
      </c>
    </row>
    <row r="2355">
      <c r="A2355" s="1" t="n">
        <v>2354</v>
      </c>
      <c r="B2355">
        <f>TEXT(2354, "[$-0E0000]yyyy-mm-dd")</f>
        <v/>
      </c>
      <c r="C2355" t="inlineStr">
        <is>
          <t>1906-04-21</t>
        </is>
      </c>
    </row>
    <row r="2356">
      <c r="A2356" s="1" t="n">
        <v>2355</v>
      </c>
      <c r="B2356">
        <f>TEXT(2355, "[$-0E0000]yyyy-mm-dd")</f>
        <v/>
      </c>
      <c r="C2356" t="inlineStr">
        <is>
          <t>1906-04-22</t>
        </is>
      </c>
    </row>
    <row r="2357">
      <c r="A2357" s="1" t="n">
        <v>2356</v>
      </c>
      <c r="B2357">
        <f>TEXT(2356, "[$-0E0000]yyyy-mm-dd")</f>
        <v/>
      </c>
      <c r="C2357" t="inlineStr">
        <is>
          <t>1906-04-23</t>
        </is>
      </c>
    </row>
    <row r="2358">
      <c r="A2358" s="1" t="n">
        <v>2357</v>
      </c>
      <c r="B2358">
        <f>TEXT(2357, "[$-0E0000]yyyy-mm-dd")</f>
        <v/>
      </c>
      <c r="C2358" t="inlineStr">
        <is>
          <t>1906-04-24</t>
        </is>
      </c>
    </row>
    <row r="2359">
      <c r="A2359" s="1" t="n">
        <v>2358</v>
      </c>
      <c r="B2359">
        <f>TEXT(2358, "[$-0E0000]yyyy-mm-dd")</f>
        <v/>
      </c>
      <c r="C2359" t="inlineStr">
        <is>
          <t>1906-04-25</t>
        </is>
      </c>
    </row>
    <row r="2360">
      <c r="A2360" s="1" t="n">
        <v>2359</v>
      </c>
      <c r="B2360">
        <f>TEXT(2359, "[$-0E0000]yyyy-mm-dd")</f>
        <v/>
      </c>
      <c r="C2360" t="inlineStr">
        <is>
          <t>1906-04-26</t>
        </is>
      </c>
    </row>
    <row r="2361">
      <c r="A2361" s="1" t="n">
        <v>2360</v>
      </c>
      <c r="B2361">
        <f>TEXT(2360, "[$-0E0000]yyyy-mm-dd")</f>
        <v/>
      </c>
      <c r="C2361" t="inlineStr">
        <is>
          <t>1906-04-27</t>
        </is>
      </c>
    </row>
    <row r="2362">
      <c r="A2362" s="1" t="n">
        <v>2361</v>
      </c>
      <c r="B2362">
        <f>TEXT(2361, "[$-0E0000]yyyy-mm-dd")</f>
        <v/>
      </c>
      <c r="C2362" t="inlineStr">
        <is>
          <t>1906-04-28</t>
        </is>
      </c>
    </row>
    <row r="2363">
      <c r="A2363" s="1" t="n">
        <v>2362</v>
      </c>
      <c r="B2363">
        <f>TEXT(2362, "[$-0E0000]yyyy-mm-dd")</f>
        <v/>
      </c>
      <c r="C2363" t="inlineStr">
        <is>
          <t>1906-04-29</t>
        </is>
      </c>
    </row>
    <row r="2364">
      <c r="A2364" s="1" t="n">
        <v>2363</v>
      </c>
      <c r="B2364">
        <f>TEXT(2363, "[$-0E0000]yyyy-mm-dd")</f>
        <v/>
      </c>
      <c r="C2364" t="inlineStr">
        <is>
          <t>1906-04-30</t>
        </is>
      </c>
    </row>
    <row r="2365">
      <c r="A2365" s="1" t="n">
        <v>2364</v>
      </c>
      <c r="B2365">
        <f>TEXT(2364, "[$-0E0000]yyyy-mm-dd")</f>
        <v/>
      </c>
      <c r="C2365" t="inlineStr">
        <is>
          <t>1906-05-01</t>
        </is>
      </c>
    </row>
    <row r="2366">
      <c r="A2366" s="1" t="n">
        <v>2365</v>
      </c>
      <c r="B2366">
        <f>TEXT(2365, "[$-0E0000]yyyy-mm-dd")</f>
        <v/>
      </c>
      <c r="C2366" t="inlineStr">
        <is>
          <t>1906-05-02</t>
        </is>
      </c>
    </row>
    <row r="2367">
      <c r="A2367" s="1" t="n">
        <v>2366</v>
      </c>
      <c r="B2367">
        <f>TEXT(2366, "[$-0E0000]yyyy-mm-dd")</f>
        <v/>
      </c>
      <c r="C2367" t="inlineStr">
        <is>
          <t>1906-05-03</t>
        </is>
      </c>
    </row>
    <row r="2368">
      <c r="A2368" s="1" t="n">
        <v>2367</v>
      </c>
      <c r="B2368">
        <f>TEXT(2367, "[$-0E0000]yyyy-mm-dd")</f>
        <v/>
      </c>
      <c r="C2368" t="inlineStr">
        <is>
          <t>1906-05-04</t>
        </is>
      </c>
    </row>
    <row r="2369">
      <c r="A2369" s="1" t="n">
        <v>2368</v>
      </c>
      <c r="B2369">
        <f>TEXT(2368, "[$-0E0000]yyyy-mm-dd")</f>
        <v/>
      </c>
      <c r="C2369" t="inlineStr">
        <is>
          <t>1906-05-05</t>
        </is>
      </c>
    </row>
    <row r="2370">
      <c r="A2370" s="1" t="n">
        <v>2369</v>
      </c>
      <c r="B2370">
        <f>TEXT(2369, "[$-0E0000]yyyy-mm-dd")</f>
        <v/>
      </c>
      <c r="C2370" t="inlineStr">
        <is>
          <t>1906-05-06</t>
        </is>
      </c>
    </row>
    <row r="2371">
      <c r="A2371" s="1" t="n">
        <v>2370</v>
      </c>
      <c r="B2371">
        <f>TEXT(2370, "[$-0E0000]yyyy-mm-dd")</f>
        <v/>
      </c>
      <c r="C2371" t="inlineStr">
        <is>
          <t>1906-05-07</t>
        </is>
      </c>
    </row>
    <row r="2372">
      <c r="A2372" s="1" t="n">
        <v>2371</v>
      </c>
      <c r="B2372">
        <f>TEXT(2371, "[$-0E0000]yyyy-mm-dd")</f>
        <v/>
      </c>
      <c r="C2372" t="inlineStr">
        <is>
          <t>1906-05-08</t>
        </is>
      </c>
    </row>
    <row r="2373">
      <c r="A2373" s="1" t="n">
        <v>2372</v>
      </c>
      <c r="B2373">
        <f>TEXT(2372, "[$-0E0000]yyyy-mm-dd")</f>
        <v/>
      </c>
      <c r="C2373" t="inlineStr">
        <is>
          <t>1906-05-09</t>
        </is>
      </c>
    </row>
    <row r="2374">
      <c r="A2374" s="1" t="n">
        <v>2373</v>
      </c>
      <c r="B2374">
        <f>TEXT(2373, "[$-0E0000]yyyy-mm-dd")</f>
        <v/>
      </c>
      <c r="C2374" t="inlineStr">
        <is>
          <t>1906-05-10</t>
        </is>
      </c>
    </row>
    <row r="2375">
      <c r="A2375" s="1" t="n">
        <v>2374</v>
      </c>
      <c r="B2375">
        <f>TEXT(2374, "[$-0E0000]yyyy-mm-dd")</f>
        <v/>
      </c>
      <c r="C2375" t="inlineStr">
        <is>
          <t>1906-05-11</t>
        </is>
      </c>
    </row>
    <row r="2376">
      <c r="A2376" s="1" t="n">
        <v>2375</v>
      </c>
      <c r="B2376">
        <f>TEXT(2375, "[$-0E0000]yyyy-mm-dd")</f>
        <v/>
      </c>
      <c r="C2376" t="inlineStr">
        <is>
          <t>1906-05-12</t>
        </is>
      </c>
    </row>
    <row r="2377">
      <c r="A2377" s="1" t="n">
        <v>2376</v>
      </c>
      <c r="B2377">
        <f>TEXT(2376, "[$-0E0000]yyyy-mm-dd")</f>
        <v/>
      </c>
      <c r="C2377" t="inlineStr">
        <is>
          <t>1906-05-13</t>
        </is>
      </c>
    </row>
    <row r="2378">
      <c r="A2378" s="1" t="n">
        <v>2377</v>
      </c>
      <c r="B2378">
        <f>TEXT(2377, "[$-0E0000]yyyy-mm-dd")</f>
        <v/>
      </c>
      <c r="C2378" t="inlineStr">
        <is>
          <t>1906-05-14</t>
        </is>
      </c>
    </row>
    <row r="2379">
      <c r="A2379" s="1" t="n">
        <v>2378</v>
      </c>
      <c r="B2379">
        <f>TEXT(2378, "[$-0E0000]yyyy-mm-dd")</f>
        <v/>
      </c>
      <c r="C2379" t="inlineStr">
        <is>
          <t>1906-05-15</t>
        </is>
      </c>
    </row>
    <row r="2380">
      <c r="A2380" s="1" t="n">
        <v>2379</v>
      </c>
      <c r="B2380">
        <f>TEXT(2379, "[$-0E0000]yyyy-mm-dd")</f>
        <v/>
      </c>
      <c r="C2380" t="inlineStr">
        <is>
          <t>1906-05-16</t>
        </is>
      </c>
    </row>
    <row r="2381">
      <c r="A2381" s="1" t="n">
        <v>2380</v>
      </c>
      <c r="B2381">
        <f>TEXT(2380, "[$-0E0000]yyyy-mm-dd")</f>
        <v/>
      </c>
      <c r="C2381" t="inlineStr">
        <is>
          <t>1906-05-17</t>
        </is>
      </c>
    </row>
    <row r="2382">
      <c r="A2382" s="1" t="n">
        <v>2381</v>
      </c>
      <c r="B2382">
        <f>TEXT(2381, "[$-0E0000]yyyy-mm-dd")</f>
        <v/>
      </c>
      <c r="C2382" t="inlineStr">
        <is>
          <t>1906-05-18</t>
        </is>
      </c>
    </row>
    <row r="2383">
      <c r="A2383" s="1" t="n">
        <v>2382</v>
      </c>
      <c r="B2383">
        <f>TEXT(2382, "[$-0E0000]yyyy-mm-dd")</f>
        <v/>
      </c>
      <c r="C2383" t="inlineStr">
        <is>
          <t>1906-05-19</t>
        </is>
      </c>
    </row>
    <row r="2384">
      <c r="A2384" s="1" t="n">
        <v>2383</v>
      </c>
      <c r="B2384">
        <f>TEXT(2383, "[$-0E0000]yyyy-mm-dd")</f>
        <v/>
      </c>
      <c r="C2384" t="inlineStr">
        <is>
          <t>1906-05-20</t>
        </is>
      </c>
    </row>
    <row r="2385">
      <c r="A2385" s="1" t="n">
        <v>2384</v>
      </c>
      <c r="B2385">
        <f>TEXT(2384, "[$-0E0000]yyyy-mm-dd")</f>
        <v/>
      </c>
      <c r="C2385" t="inlineStr">
        <is>
          <t>1906-05-21</t>
        </is>
      </c>
    </row>
    <row r="2386">
      <c r="A2386" s="1" t="n">
        <v>2385</v>
      </c>
      <c r="B2386">
        <f>TEXT(2385, "[$-0E0000]yyyy-mm-dd")</f>
        <v/>
      </c>
      <c r="C2386" t="inlineStr">
        <is>
          <t>1906-05-22</t>
        </is>
      </c>
    </row>
    <row r="2387">
      <c r="A2387" s="1" t="n">
        <v>2386</v>
      </c>
      <c r="B2387">
        <f>TEXT(2386, "[$-0E0000]yyyy-mm-dd")</f>
        <v/>
      </c>
      <c r="C2387" t="inlineStr">
        <is>
          <t>1906-05-23</t>
        </is>
      </c>
    </row>
    <row r="2388">
      <c r="A2388" s="1" t="n">
        <v>2387</v>
      </c>
      <c r="B2388">
        <f>TEXT(2387, "[$-0E0000]yyyy-mm-dd")</f>
        <v/>
      </c>
      <c r="C2388" t="inlineStr">
        <is>
          <t>1906-05-24</t>
        </is>
      </c>
    </row>
    <row r="2389">
      <c r="A2389" s="1" t="n">
        <v>2388</v>
      </c>
      <c r="B2389">
        <f>TEXT(2388, "[$-0E0000]yyyy-mm-dd")</f>
        <v/>
      </c>
      <c r="C2389" t="inlineStr">
        <is>
          <t>1906-05-25</t>
        </is>
      </c>
    </row>
    <row r="2390">
      <c r="A2390" s="1" t="n">
        <v>2389</v>
      </c>
      <c r="B2390">
        <f>TEXT(2389, "[$-0E0000]yyyy-mm-dd")</f>
        <v/>
      </c>
      <c r="C2390" t="inlineStr">
        <is>
          <t>1906-05-26</t>
        </is>
      </c>
    </row>
    <row r="2391">
      <c r="A2391" s="1" t="n">
        <v>2390</v>
      </c>
      <c r="B2391">
        <f>TEXT(2390, "[$-0E0000]yyyy-mm-dd")</f>
        <v/>
      </c>
      <c r="C2391" t="inlineStr">
        <is>
          <t>1906-05-27</t>
        </is>
      </c>
    </row>
    <row r="2392">
      <c r="A2392" s="1" t="n">
        <v>2391</v>
      </c>
      <c r="B2392">
        <f>TEXT(2391, "[$-0E0000]yyyy-mm-dd")</f>
        <v/>
      </c>
      <c r="C2392" t="inlineStr">
        <is>
          <t>1906-05-28</t>
        </is>
      </c>
    </row>
    <row r="2393">
      <c r="A2393" s="1" t="n">
        <v>2392</v>
      </c>
      <c r="B2393">
        <f>TEXT(2392, "[$-0E0000]yyyy-mm-dd")</f>
        <v/>
      </c>
      <c r="C2393" t="inlineStr">
        <is>
          <t>1906-05-29</t>
        </is>
      </c>
    </row>
    <row r="2394">
      <c r="A2394" s="1" t="n">
        <v>2393</v>
      </c>
      <c r="B2394">
        <f>TEXT(2393, "[$-0E0000]yyyy-mm-dd")</f>
        <v/>
      </c>
      <c r="C2394" t="inlineStr">
        <is>
          <t>1906-06-01</t>
        </is>
      </c>
    </row>
    <row r="2395">
      <c r="A2395" s="1" t="n">
        <v>2394</v>
      </c>
      <c r="B2395">
        <f>TEXT(2394, "[$-0E0000]yyyy-mm-dd")</f>
        <v/>
      </c>
      <c r="C2395" t="inlineStr">
        <is>
          <t>1906-06-02</t>
        </is>
      </c>
    </row>
    <row r="2396">
      <c r="A2396" s="1" t="n">
        <v>2395</v>
      </c>
      <c r="B2396">
        <f>TEXT(2395, "[$-0E0000]yyyy-mm-dd")</f>
        <v/>
      </c>
      <c r="C2396" t="inlineStr">
        <is>
          <t>1906-06-03</t>
        </is>
      </c>
    </row>
    <row r="2397">
      <c r="A2397" s="1" t="n">
        <v>2396</v>
      </c>
      <c r="B2397">
        <f>TEXT(2396, "[$-0E0000]yyyy-mm-dd")</f>
        <v/>
      </c>
      <c r="C2397" t="inlineStr">
        <is>
          <t>1906-06-04</t>
        </is>
      </c>
    </row>
    <row r="2398">
      <c r="A2398" s="1" t="n">
        <v>2397</v>
      </c>
      <c r="B2398">
        <f>TEXT(2397, "[$-0E0000]yyyy-mm-dd")</f>
        <v/>
      </c>
      <c r="C2398" t="inlineStr">
        <is>
          <t>1906-06-05</t>
        </is>
      </c>
    </row>
    <row r="2399">
      <c r="A2399" s="1" t="n">
        <v>2398</v>
      </c>
      <c r="B2399">
        <f>TEXT(2398, "[$-0E0000]yyyy-mm-dd")</f>
        <v/>
      </c>
      <c r="C2399" t="inlineStr">
        <is>
          <t>1906-06-06</t>
        </is>
      </c>
    </row>
    <row r="2400">
      <c r="A2400" s="1" t="n">
        <v>2399</v>
      </c>
      <c r="B2400">
        <f>TEXT(2399, "[$-0E0000]yyyy-mm-dd")</f>
        <v/>
      </c>
      <c r="C2400" t="inlineStr">
        <is>
          <t>1906-06-07</t>
        </is>
      </c>
    </row>
    <row r="2401">
      <c r="A2401" s="1" t="n">
        <v>2400</v>
      </c>
      <c r="B2401">
        <f>TEXT(2400, "[$-0E0000]yyyy-mm-dd")</f>
        <v/>
      </c>
      <c r="C2401" t="inlineStr">
        <is>
          <t>1906-06-08</t>
        </is>
      </c>
    </row>
    <row r="2402">
      <c r="A2402" s="1" t="n">
        <v>2401</v>
      </c>
      <c r="B2402">
        <f>TEXT(2401, "[$-0E0000]yyyy-mm-dd")</f>
        <v/>
      </c>
      <c r="C2402" t="inlineStr">
        <is>
          <t>1906-06-09</t>
        </is>
      </c>
    </row>
    <row r="2403">
      <c r="A2403" s="1" t="n">
        <v>2402</v>
      </c>
      <c r="B2403">
        <f>TEXT(2402, "[$-0E0000]yyyy-mm-dd")</f>
        <v/>
      </c>
      <c r="C2403" t="inlineStr">
        <is>
          <t>1906-06-10</t>
        </is>
      </c>
    </row>
    <row r="2404">
      <c r="A2404" s="1" t="n">
        <v>2403</v>
      </c>
      <c r="B2404">
        <f>TEXT(2403, "[$-0E0000]yyyy-mm-dd")</f>
        <v/>
      </c>
      <c r="C2404" t="inlineStr">
        <is>
          <t>1906-06-11</t>
        </is>
      </c>
    </row>
    <row r="2405">
      <c r="A2405" s="1" t="n">
        <v>2404</v>
      </c>
      <c r="B2405">
        <f>TEXT(2404, "[$-0E0000]yyyy-mm-dd")</f>
        <v/>
      </c>
      <c r="C2405" t="inlineStr">
        <is>
          <t>1906-06-12</t>
        </is>
      </c>
    </row>
    <row r="2406">
      <c r="A2406" s="1" t="n">
        <v>2405</v>
      </c>
      <c r="B2406">
        <f>TEXT(2405, "[$-0E0000]yyyy-mm-dd")</f>
        <v/>
      </c>
      <c r="C2406" t="inlineStr">
        <is>
          <t>1906-06-13</t>
        </is>
      </c>
    </row>
    <row r="2407">
      <c r="A2407" s="1" t="n">
        <v>2406</v>
      </c>
      <c r="B2407">
        <f>TEXT(2406, "[$-0E0000]yyyy-mm-dd")</f>
        <v/>
      </c>
      <c r="C2407" t="inlineStr">
        <is>
          <t>1906-06-14</t>
        </is>
      </c>
    </row>
    <row r="2408">
      <c r="A2408" s="1" t="n">
        <v>2407</v>
      </c>
      <c r="B2408">
        <f>TEXT(2407, "[$-0E0000]yyyy-mm-dd")</f>
        <v/>
      </c>
      <c r="C2408" t="inlineStr">
        <is>
          <t>1906-06-15</t>
        </is>
      </c>
    </row>
    <row r="2409">
      <c r="A2409" s="1" t="n">
        <v>2408</v>
      </c>
      <c r="B2409">
        <f>TEXT(2408, "[$-0E0000]yyyy-mm-dd")</f>
        <v/>
      </c>
      <c r="C2409" t="inlineStr">
        <is>
          <t>1906-06-16</t>
        </is>
      </c>
    </row>
    <row r="2410">
      <c r="A2410" s="1" t="n">
        <v>2409</v>
      </c>
      <c r="B2410">
        <f>TEXT(2409, "[$-0E0000]yyyy-mm-dd")</f>
        <v/>
      </c>
      <c r="C2410" t="inlineStr">
        <is>
          <t>1906-06-17</t>
        </is>
      </c>
    </row>
    <row r="2411">
      <c r="A2411" s="1" t="n">
        <v>2410</v>
      </c>
      <c r="B2411">
        <f>TEXT(2410, "[$-0E0000]yyyy-mm-dd")</f>
        <v/>
      </c>
      <c r="C2411" t="inlineStr">
        <is>
          <t>1906-06-18</t>
        </is>
      </c>
    </row>
    <row r="2412">
      <c r="A2412" s="1" t="n">
        <v>2411</v>
      </c>
      <c r="B2412">
        <f>TEXT(2411, "[$-0E0000]yyyy-mm-dd")</f>
        <v/>
      </c>
      <c r="C2412" t="inlineStr">
        <is>
          <t>1906-06-19</t>
        </is>
      </c>
    </row>
    <row r="2413">
      <c r="A2413" s="1" t="n">
        <v>2412</v>
      </c>
      <c r="B2413">
        <f>TEXT(2412, "[$-0E0000]yyyy-mm-dd")</f>
        <v/>
      </c>
      <c r="C2413" t="inlineStr">
        <is>
          <t>1906-06-20</t>
        </is>
      </c>
    </row>
    <row r="2414">
      <c r="A2414" s="1" t="n">
        <v>2413</v>
      </c>
      <c r="B2414">
        <f>TEXT(2413, "[$-0E0000]yyyy-mm-dd")</f>
        <v/>
      </c>
      <c r="C2414" t="inlineStr">
        <is>
          <t>1906-06-21</t>
        </is>
      </c>
    </row>
    <row r="2415">
      <c r="A2415" s="1" t="n">
        <v>2414</v>
      </c>
      <c r="B2415">
        <f>TEXT(2414, "[$-0E0000]yyyy-mm-dd")</f>
        <v/>
      </c>
      <c r="C2415" t="inlineStr">
        <is>
          <t>1906-06-22</t>
        </is>
      </c>
    </row>
    <row r="2416">
      <c r="A2416" s="1" t="n">
        <v>2415</v>
      </c>
      <c r="B2416">
        <f>TEXT(2415, "[$-0E0000]yyyy-mm-dd")</f>
        <v/>
      </c>
      <c r="C2416" t="inlineStr">
        <is>
          <t>1906-06-23</t>
        </is>
      </c>
    </row>
    <row r="2417">
      <c r="A2417" s="1" t="n">
        <v>2416</v>
      </c>
      <c r="B2417">
        <f>TEXT(2416, "[$-0E0000]yyyy-mm-dd")</f>
        <v/>
      </c>
      <c r="C2417" t="inlineStr">
        <is>
          <t>1906-06-24</t>
        </is>
      </c>
    </row>
    <row r="2418">
      <c r="A2418" s="1" t="n">
        <v>2417</v>
      </c>
      <c r="B2418">
        <f>TEXT(2417, "[$-0E0000]yyyy-mm-dd")</f>
        <v/>
      </c>
      <c r="C2418" t="inlineStr">
        <is>
          <t>1906-06-25</t>
        </is>
      </c>
    </row>
    <row r="2419">
      <c r="A2419" s="1" t="n">
        <v>2418</v>
      </c>
      <c r="B2419">
        <f>TEXT(2418, "[$-0E0000]yyyy-mm-dd")</f>
        <v/>
      </c>
      <c r="C2419" t="inlineStr">
        <is>
          <t>1906-06-26</t>
        </is>
      </c>
    </row>
    <row r="2420">
      <c r="A2420" s="1" t="n">
        <v>2419</v>
      </c>
      <c r="B2420">
        <f>TEXT(2419, "[$-0E0000]yyyy-mm-dd")</f>
        <v/>
      </c>
      <c r="C2420" t="inlineStr">
        <is>
          <t>1906-06-27</t>
        </is>
      </c>
    </row>
    <row r="2421">
      <c r="A2421" s="1" t="n">
        <v>2420</v>
      </c>
      <c r="B2421">
        <f>TEXT(2420, "[$-0E0000]yyyy-mm-dd")</f>
        <v/>
      </c>
      <c r="C2421" t="inlineStr">
        <is>
          <t>1906-06-28</t>
        </is>
      </c>
    </row>
    <row r="2422">
      <c r="A2422" s="1" t="n">
        <v>2421</v>
      </c>
      <c r="B2422">
        <f>TEXT(2421, "[$-0E0000]yyyy-mm-dd")</f>
        <v/>
      </c>
      <c r="C2422" t="inlineStr">
        <is>
          <t>1906-06-29</t>
        </is>
      </c>
    </row>
    <row r="2423">
      <c r="A2423" s="1" t="n">
        <v>2422</v>
      </c>
      <c r="B2423">
        <f>TEXT(2422, "[$-0E0000]yyyy-mm-dd")</f>
        <v/>
      </c>
      <c r="C2423" t="inlineStr">
        <is>
          <t>1906-06-30</t>
        </is>
      </c>
    </row>
    <row r="2424">
      <c r="A2424" s="1" t="n">
        <v>2423</v>
      </c>
      <c r="B2424">
        <f>TEXT(2423, "[$-0E0000]yyyy-mm-dd")</f>
        <v/>
      </c>
      <c r="C2424" t="inlineStr">
        <is>
          <t>1906-07-01</t>
        </is>
      </c>
    </row>
    <row r="2425">
      <c r="A2425" s="1" t="n">
        <v>2424</v>
      </c>
      <c r="B2425">
        <f>TEXT(2424, "[$-0E0000]yyyy-mm-dd")</f>
        <v/>
      </c>
      <c r="C2425" t="inlineStr">
        <is>
          <t>1906-07-02</t>
        </is>
      </c>
    </row>
    <row r="2426">
      <c r="A2426" s="1" t="n">
        <v>2425</v>
      </c>
      <c r="B2426">
        <f>TEXT(2425, "[$-0E0000]yyyy-mm-dd")</f>
        <v/>
      </c>
      <c r="C2426" t="inlineStr">
        <is>
          <t>1906-07-03</t>
        </is>
      </c>
    </row>
    <row r="2427">
      <c r="A2427" s="1" t="n">
        <v>2426</v>
      </c>
      <c r="B2427">
        <f>TEXT(2426, "[$-0E0000]yyyy-mm-dd")</f>
        <v/>
      </c>
      <c r="C2427" t="inlineStr">
        <is>
          <t>1906-07-04</t>
        </is>
      </c>
    </row>
    <row r="2428">
      <c r="A2428" s="1" t="n">
        <v>2427</v>
      </c>
      <c r="B2428">
        <f>TEXT(2427, "[$-0E0000]yyyy-mm-dd")</f>
        <v/>
      </c>
      <c r="C2428" t="inlineStr">
        <is>
          <t>1906-07-05</t>
        </is>
      </c>
    </row>
    <row r="2429">
      <c r="A2429" s="1" t="n">
        <v>2428</v>
      </c>
      <c r="B2429">
        <f>TEXT(2428, "[$-0E0000]yyyy-mm-dd")</f>
        <v/>
      </c>
      <c r="C2429" t="inlineStr">
        <is>
          <t>1906-07-06</t>
        </is>
      </c>
    </row>
    <row r="2430">
      <c r="A2430" s="1" t="n">
        <v>2429</v>
      </c>
      <c r="B2430">
        <f>TEXT(2429, "[$-0E0000]yyyy-mm-dd")</f>
        <v/>
      </c>
      <c r="C2430" t="inlineStr">
        <is>
          <t>1906-07-07</t>
        </is>
      </c>
    </row>
    <row r="2431">
      <c r="A2431" s="1" t="n">
        <v>2430</v>
      </c>
      <c r="B2431">
        <f>TEXT(2430, "[$-0E0000]yyyy-mm-dd")</f>
        <v/>
      </c>
      <c r="C2431" t="inlineStr">
        <is>
          <t>1906-07-08</t>
        </is>
      </c>
    </row>
    <row r="2432">
      <c r="A2432" s="1" t="n">
        <v>2431</v>
      </c>
      <c r="B2432">
        <f>TEXT(2431, "[$-0E0000]yyyy-mm-dd")</f>
        <v/>
      </c>
      <c r="C2432" t="inlineStr">
        <is>
          <t>1906-07-09</t>
        </is>
      </c>
    </row>
    <row r="2433">
      <c r="A2433" s="1" t="n">
        <v>2432</v>
      </c>
      <c r="B2433">
        <f>TEXT(2432, "[$-0E0000]yyyy-mm-dd")</f>
        <v/>
      </c>
      <c r="C2433" t="inlineStr">
        <is>
          <t>1906-07-10</t>
        </is>
      </c>
    </row>
    <row r="2434">
      <c r="A2434" s="1" t="n">
        <v>2433</v>
      </c>
      <c r="B2434">
        <f>TEXT(2433, "[$-0E0000]yyyy-mm-dd")</f>
        <v/>
      </c>
      <c r="C2434" t="inlineStr">
        <is>
          <t>1906-07-11</t>
        </is>
      </c>
    </row>
    <row r="2435">
      <c r="A2435" s="1" t="n">
        <v>2434</v>
      </c>
      <c r="B2435">
        <f>TEXT(2434, "[$-0E0000]yyyy-mm-dd")</f>
        <v/>
      </c>
      <c r="C2435" t="inlineStr">
        <is>
          <t>1906-07-12</t>
        </is>
      </c>
    </row>
    <row r="2436">
      <c r="A2436" s="1" t="n">
        <v>2435</v>
      </c>
      <c r="B2436">
        <f>TEXT(2435, "[$-0E0000]yyyy-mm-dd")</f>
        <v/>
      </c>
      <c r="C2436" t="inlineStr">
        <is>
          <t>1906-07-13</t>
        </is>
      </c>
    </row>
    <row r="2437">
      <c r="A2437" s="1" t="n">
        <v>2436</v>
      </c>
      <c r="B2437">
        <f>TEXT(2436, "[$-0E0000]yyyy-mm-dd")</f>
        <v/>
      </c>
      <c r="C2437" t="inlineStr">
        <is>
          <t>1906-07-14</t>
        </is>
      </c>
    </row>
    <row r="2438">
      <c r="A2438" s="1" t="n">
        <v>2437</v>
      </c>
      <c r="B2438">
        <f>TEXT(2437, "[$-0E0000]yyyy-mm-dd")</f>
        <v/>
      </c>
      <c r="C2438" t="inlineStr">
        <is>
          <t>1906-07-15</t>
        </is>
      </c>
    </row>
    <row r="2439">
      <c r="A2439" s="1" t="n">
        <v>2438</v>
      </c>
      <c r="B2439">
        <f>TEXT(2438, "[$-0E0000]yyyy-mm-dd")</f>
        <v/>
      </c>
      <c r="C2439" t="inlineStr">
        <is>
          <t>1906-07-16</t>
        </is>
      </c>
    </row>
    <row r="2440">
      <c r="A2440" s="1" t="n">
        <v>2439</v>
      </c>
      <c r="B2440">
        <f>TEXT(2439, "[$-0E0000]yyyy-mm-dd")</f>
        <v/>
      </c>
      <c r="C2440" t="inlineStr">
        <is>
          <t>1906-07-17</t>
        </is>
      </c>
    </row>
    <row r="2441">
      <c r="A2441" s="1" t="n">
        <v>2440</v>
      </c>
      <c r="B2441">
        <f>TEXT(2440, "[$-0E0000]yyyy-mm-dd")</f>
        <v/>
      </c>
      <c r="C2441" t="inlineStr">
        <is>
          <t>1906-07-18</t>
        </is>
      </c>
    </row>
    <row r="2442">
      <c r="A2442" s="1" t="n">
        <v>2441</v>
      </c>
      <c r="B2442">
        <f>TEXT(2441, "[$-0E0000]yyyy-mm-dd")</f>
        <v/>
      </c>
      <c r="C2442" t="inlineStr">
        <is>
          <t>1906-07-19</t>
        </is>
      </c>
    </row>
    <row r="2443">
      <c r="A2443" s="1" t="n">
        <v>2442</v>
      </c>
      <c r="B2443">
        <f>TEXT(2442, "[$-0E0000]yyyy-mm-dd")</f>
        <v/>
      </c>
      <c r="C2443" t="inlineStr">
        <is>
          <t>1906-07-20</t>
        </is>
      </c>
    </row>
    <row r="2444">
      <c r="A2444" s="1" t="n">
        <v>2443</v>
      </c>
      <c r="B2444">
        <f>TEXT(2443, "[$-0E0000]yyyy-mm-dd")</f>
        <v/>
      </c>
      <c r="C2444" t="inlineStr">
        <is>
          <t>1906-07-21</t>
        </is>
      </c>
    </row>
    <row r="2445">
      <c r="A2445" s="1" t="n">
        <v>2444</v>
      </c>
      <c r="B2445">
        <f>TEXT(2444, "[$-0E0000]yyyy-mm-dd")</f>
        <v/>
      </c>
      <c r="C2445" t="inlineStr">
        <is>
          <t>1906-07-22</t>
        </is>
      </c>
    </row>
    <row r="2446">
      <c r="A2446" s="1" t="n">
        <v>2445</v>
      </c>
      <c r="B2446">
        <f>TEXT(2445, "[$-0E0000]yyyy-mm-dd")</f>
        <v/>
      </c>
      <c r="C2446" t="inlineStr">
        <is>
          <t>1906-07-23</t>
        </is>
      </c>
    </row>
    <row r="2447">
      <c r="A2447" s="1" t="n">
        <v>2446</v>
      </c>
      <c r="B2447">
        <f>TEXT(2446, "[$-0E0000]yyyy-mm-dd")</f>
        <v/>
      </c>
      <c r="C2447" t="inlineStr">
        <is>
          <t>1906-07-24</t>
        </is>
      </c>
    </row>
    <row r="2448">
      <c r="A2448" s="1" t="n">
        <v>2447</v>
      </c>
      <c r="B2448">
        <f>TEXT(2447, "[$-0E0000]yyyy-mm-dd")</f>
        <v/>
      </c>
      <c r="C2448" t="inlineStr">
        <is>
          <t>1906-07-25</t>
        </is>
      </c>
    </row>
    <row r="2449">
      <c r="A2449" s="1" t="n">
        <v>2448</v>
      </c>
      <c r="B2449">
        <f>TEXT(2448, "[$-0E0000]yyyy-mm-dd")</f>
        <v/>
      </c>
      <c r="C2449" t="inlineStr">
        <is>
          <t>1906-07-26</t>
        </is>
      </c>
    </row>
    <row r="2450">
      <c r="A2450" s="1" t="n">
        <v>2449</v>
      </c>
      <c r="B2450">
        <f>TEXT(2449, "[$-0E0000]yyyy-mm-dd")</f>
        <v/>
      </c>
      <c r="C2450" t="inlineStr">
        <is>
          <t>1906-07-27</t>
        </is>
      </c>
    </row>
    <row r="2451">
      <c r="A2451" s="1" t="n">
        <v>2450</v>
      </c>
      <c r="B2451">
        <f>TEXT(2450, "[$-0E0000]yyyy-mm-dd")</f>
        <v/>
      </c>
      <c r="C2451" t="inlineStr">
        <is>
          <t>1906-07-28</t>
        </is>
      </c>
    </row>
    <row r="2452">
      <c r="A2452" s="1" t="n">
        <v>2451</v>
      </c>
      <c r="B2452">
        <f>TEXT(2451, "[$-0E0000]yyyy-mm-dd")</f>
        <v/>
      </c>
      <c r="C2452" t="inlineStr">
        <is>
          <t>1906-07-29</t>
        </is>
      </c>
    </row>
    <row r="2453">
      <c r="A2453" s="1" t="n">
        <v>2452</v>
      </c>
      <c r="B2453">
        <f>TEXT(2452, "[$-0E0000]yyyy-mm-dd")</f>
        <v/>
      </c>
      <c r="C2453" t="inlineStr">
        <is>
          <t>1906-08-01</t>
        </is>
      </c>
    </row>
    <row r="2454">
      <c r="A2454" s="1" t="n">
        <v>2453</v>
      </c>
      <c r="B2454">
        <f>TEXT(2453, "[$-0E0000]yyyy-mm-dd")</f>
        <v/>
      </c>
      <c r="C2454" t="inlineStr">
        <is>
          <t>1906-08-02</t>
        </is>
      </c>
    </row>
    <row r="2455">
      <c r="A2455" s="1" t="n">
        <v>2454</v>
      </c>
      <c r="B2455">
        <f>TEXT(2454, "[$-0E0000]yyyy-mm-dd")</f>
        <v/>
      </c>
      <c r="C2455" t="inlineStr">
        <is>
          <t>1906-08-03</t>
        </is>
      </c>
    </row>
    <row r="2456">
      <c r="A2456" s="1" t="n">
        <v>2455</v>
      </c>
      <c r="B2456">
        <f>TEXT(2455, "[$-0E0000]yyyy-mm-dd")</f>
        <v/>
      </c>
      <c r="C2456" t="inlineStr">
        <is>
          <t>1906-08-04</t>
        </is>
      </c>
    </row>
    <row r="2457">
      <c r="A2457" s="1" t="n">
        <v>2456</v>
      </c>
      <c r="B2457">
        <f>TEXT(2456, "[$-0E0000]yyyy-mm-dd")</f>
        <v/>
      </c>
      <c r="C2457" t="inlineStr">
        <is>
          <t>1906-08-05</t>
        </is>
      </c>
    </row>
    <row r="2458">
      <c r="A2458" s="1" t="n">
        <v>2457</v>
      </c>
      <c r="B2458">
        <f>TEXT(2457, "[$-0E0000]yyyy-mm-dd")</f>
        <v/>
      </c>
      <c r="C2458" t="inlineStr">
        <is>
          <t>1906-08-06</t>
        </is>
      </c>
    </row>
    <row r="2459">
      <c r="A2459" s="1" t="n">
        <v>2458</v>
      </c>
      <c r="B2459">
        <f>TEXT(2458, "[$-0E0000]yyyy-mm-dd")</f>
        <v/>
      </c>
      <c r="C2459" t="inlineStr">
        <is>
          <t>1906-08-07</t>
        </is>
      </c>
    </row>
    <row r="2460">
      <c r="A2460" s="1" t="n">
        <v>2459</v>
      </c>
      <c r="B2460">
        <f>TEXT(2459, "[$-0E0000]yyyy-mm-dd")</f>
        <v/>
      </c>
      <c r="C2460" t="inlineStr">
        <is>
          <t>1906-08-08</t>
        </is>
      </c>
    </row>
    <row r="2461">
      <c r="A2461" s="1" t="n">
        <v>2460</v>
      </c>
      <c r="B2461">
        <f>TEXT(2460, "[$-0E0000]yyyy-mm-dd")</f>
        <v/>
      </c>
      <c r="C2461" t="inlineStr">
        <is>
          <t>1906-08-09</t>
        </is>
      </c>
    </row>
    <row r="2462">
      <c r="A2462" s="1" t="n">
        <v>2461</v>
      </c>
      <c r="B2462">
        <f>TEXT(2461, "[$-0E0000]yyyy-mm-dd")</f>
        <v/>
      </c>
      <c r="C2462" t="inlineStr">
        <is>
          <t>1906-08-10</t>
        </is>
      </c>
    </row>
    <row r="2463">
      <c r="A2463" s="1" t="n">
        <v>2462</v>
      </c>
      <c r="B2463">
        <f>TEXT(2462, "[$-0E0000]yyyy-mm-dd")</f>
        <v/>
      </c>
      <c r="C2463" t="inlineStr">
        <is>
          <t>1906-08-11</t>
        </is>
      </c>
    </row>
    <row r="2464">
      <c r="A2464" s="1" t="n">
        <v>2463</v>
      </c>
      <c r="B2464">
        <f>TEXT(2463, "[$-0E0000]yyyy-mm-dd")</f>
        <v/>
      </c>
      <c r="C2464" t="inlineStr">
        <is>
          <t>1906-08-12</t>
        </is>
      </c>
    </row>
    <row r="2465">
      <c r="A2465" s="1" t="n">
        <v>2464</v>
      </c>
      <c r="B2465">
        <f>TEXT(2464, "[$-0E0000]yyyy-mm-dd")</f>
        <v/>
      </c>
      <c r="C2465" t="inlineStr">
        <is>
          <t>1906-08-13</t>
        </is>
      </c>
    </row>
    <row r="2466">
      <c r="A2466" s="1" t="n">
        <v>2465</v>
      </c>
      <c r="B2466">
        <f>TEXT(2465, "[$-0E0000]yyyy-mm-dd")</f>
        <v/>
      </c>
      <c r="C2466" t="inlineStr">
        <is>
          <t>1906-08-14</t>
        </is>
      </c>
    </row>
    <row r="2467">
      <c r="A2467" s="1" t="n">
        <v>2466</v>
      </c>
      <c r="B2467">
        <f>TEXT(2466, "[$-0E0000]yyyy-mm-dd")</f>
        <v/>
      </c>
      <c r="C2467" t="inlineStr">
        <is>
          <t>1906-08-15</t>
        </is>
      </c>
    </row>
    <row r="2468">
      <c r="A2468" s="1" t="n">
        <v>2467</v>
      </c>
      <c r="B2468">
        <f>TEXT(2467, "[$-0E0000]yyyy-mm-dd")</f>
        <v/>
      </c>
      <c r="C2468" t="inlineStr">
        <is>
          <t>1906-08-16</t>
        </is>
      </c>
    </row>
    <row r="2469">
      <c r="A2469" s="1" t="n">
        <v>2468</v>
      </c>
      <c r="B2469">
        <f>TEXT(2468, "[$-0E0000]yyyy-mm-dd")</f>
        <v/>
      </c>
      <c r="C2469" t="inlineStr">
        <is>
          <t>1906-08-17</t>
        </is>
      </c>
    </row>
    <row r="2470">
      <c r="A2470" s="1" t="n">
        <v>2469</v>
      </c>
      <c r="B2470">
        <f>TEXT(2469, "[$-0E0000]yyyy-mm-dd")</f>
        <v/>
      </c>
      <c r="C2470" t="inlineStr">
        <is>
          <t>1906-08-18</t>
        </is>
      </c>
    </row>
    <row r="2471">
      <c r="A2471" s="1" t="n">
        <v>2470</v>
      </c>
      <c r="B2471">
        <f>TEXT(2470, "[$-0E0000]yyyy-mm-dd")</f>
        <v/>
      </c>
      <c r="C2471" t="inlineStr">
        <is>
          <t>1906-08-19</t>
        </is>
      </c>
    </row>
    <row r="2472">
      <c r="A2472" s="1" t="n">
        <v>2471</v>
      </c>
      <c r="B2472">
        <f>TEXT(2471, "[$-0E0000]yyyy-mm-dd")</f>
        <v/>
      </c>
      <c r="C2472" t="inlineStr">
        <is>
          <t>1906-08-20</t>
        </is>
      </c>
    </row>
    <row r="2473">
      <c r="A2473" s="1" t="n">
        <v>2472</v>
      </c>
      <c r="B2473">
        <f>TEXT(2472, "[$-0E0000]yyyy-mm-dd")</f>
        <v/>
      </c>
      <c r="C2473" t="inlineStr">
        <is>
          <t>1906-08-21</t>
        </is>
      </c>
    </row>
    <row r="2474">
      <c r="A2474" s="1" t="n">
        <v>2473</v>
      </c>
      <c r="B2474">
        <f>TEXT(2473, "[$-0E0000]yyyy-mm-dd")</f>
        <v/>
      </c>
      <c r="C2474" t="inlineStr">
        <is>
          <t>1906-08-22</t>
        </is>
      </c>
    </row>
    <row r="2475">
      <c r="A2475" s="1" t="n">
        <v>2474</v>
      </c>
      <c r="B2475">
        <f>TEXT(2474, "[$-0E0000]yyyy-mm-dd")</f>
        <v/>
      </c>
      <c r="C2475" t="inlineStr">
        <is>
          <t>1906-08-23</t>
        </is>
      </c>
    </row>
    <row r="2476">
      <c r="A2476" s="1" t="n">
        <v>2475</v>
      </c>
      <c r="B2476">
        <f>TEXT(2475, "[$-0E0000]yyyy-mm-dd")</f>
        <v/>
      </c>
      <c r="C2476" t="inlineStr">
        <is>
          <t>1906-08-24</t>
        </is>
      </c>
    </row>
    <row r="2477">
      <c r="A2477" s="1" t="n">
        <v>2476</v>
      </c>
      <c r="B2477">
        <f>TEXT(2476, "[$-0E0000]yyyy-mm-dd")</f>
        <v/>
      </c>
      <c r="C2477" t="inlineStr">
        <is>
          <t>1906-08-25</t>
        </is>
      </c>
    </row>
    <row r="2478">
      <c r="A2478" s="1" t="n">
        <v>2477</v>
      </c>
      <c r="B2478">
        <f>TEXT(2477, "[$-0E0000]yyyy-mm-dd")</f>
        <v/>
      </c>
      <c r="C2478" t="inlineStr">
        <is>
          <t>1906-08-26</t>
        </is>
      </c>
    </row>
    <row r="2479">
      <c r="A2479" s="1" t="n">
        <v>2478</v>
      </c>
      <c r="B2479">
        <f>TEXT(2478, "[$-0E0000]yyyy-mm-dd")</f>
        <v/>
      </c>
      <c r="C2479" t="inlineStr">
        <is>
          <t>1906-08-27</t>
        </is>
      </c>
    </row>
    <row r="2480">
      <c r="A2480" s="1" t="n">
        <v>2479</v>
      </c>
      <c r="B2480">
        <f>TEXT(2479, "[$-0E0000]yyyy-mm-dd")</f>
        <v/>
      </c>
      <c r="C2480" t="inlineStr">
        <is>
          <t>1906-08-28</t>
        </is>
      </c>
    </row>
    <row r="2481">
      <c r="A2481" s="1" t="n">
        <v>2480</v>
      </c>
      <c r="B2481">
        <f>TEXT(2480, "[$-0E0000]yyyy-mm-dd")</f>
        <v/>
      </c>
      <c r="C2481" t="inlineStr">
        <is>
          <t>1906-08-29</t>
        </is>
      </c>
    </row>
    <row r="2482">
      <c r="A2482" s="1" t="n">
        <v>2481</v>
      </c>
      <c r="B2482">
        <f>TEXT(2481, "[$-0E0000]yyyy-mm-dd")</f>
        <v/>
      </c>
      <c r="C2482" t="inlineStr">
        <is>
          <t>1906-08-30</t>
        </is>
      </c>
    </row>
    <row r="2483">
      <c r="A2483" s="1" t="n">
        <v>2482</v>
      </c>
      <c r="B2483">
        <f>TEXT(2482, "[$-0E0000]yyyy-mm-dd")</f>
        <v/>
      </c>
      <c r="C2483" t="inlineStr">
        <is>
          <t>1906-09-01</t>
        </is>
      </c>
    </row>
    <row r="2484">
      <c r="A2484" s="1" t="n">
        <v>2483</v>
      </c>
      <c r="B2484">
        <f>TEXT(2483, "[$-0E0000]yyyy-mm-dd")</f>
        <v/>
      </c>
      <c r="C2484" t="inlineStr">
        <is>
          <t>1906-09-02</t>
        </is>
      </c>
    </row>
    <row r="2485">
      <c r="A2485" s="1" t="n">
        <v>2484</v>
      </c>
      <c r="B2485">
        <f>TEXT(2484, "[$-0E0000]yyyy-mm-dd")</f>
        <v/>
      </c>
      <c r="C2485" t="inlineStr">
        <is>
          <t>1906-09-03</t>
        </is>
      </c>
    </row>
    <row r="2486">
      <c r="A2486" s="1" t="n">
        <v>2485</v>
      </c>
      <c r="B2486">
        <f>TEXT(2485, "[$-0E0000]yyyy-mm-dd")</f>
        <v/>
      </c>
      <c r="C2486" t="inlineStr">
        <is>
          <t>1906-09-04</t>
        </is>
      </c>
    </row>
    <row r="2487">
      <c r="A2487" s="1" t="n">
        <v>2486</v>
      </c>
      <c r="B2487">
        <f>TEXT(2486, "[$-0E0000]yyyy-mm-dd")</f>
        <v/>
      </c>
      <c r="C2487" t="inlineStr">
        <is>
          <t>1906-09-05</t>
        </is>
      </c>
    </row>
    <row r="2488">
      <c r="A2488" s="1" t="n">
        <v>2487</v>
      </c>
      <c r="B2488">
        <f>TEXT(2487, "[$-0E0000]yyyy-mm-dd")</f>
        <v/>
      </c>
      <c r="C2488" t="inlineStr">
        <is>
          <t>1906-09-06</t>
        </is>
      </c>
    </row>
    <row r="2489">
      <c r="A2489" s="1" t="n">
        <v>2488</v>
      </c>
      <c r="B2489">
        <f>TEXT(2488, "[$-0E0000]yyyy-mm-dd")</f>
        <v/>
      </c>
      <c r="C2489" t="inlineStr">
        <is>
          <t>1906-09-07</t>
        </is>
      </c>
    </row>
    <row r="2490">
      <c r="A2490" s="1" t="n">
        <v>2489</v>
      </c>
      <c r="B2490">
        <f>TEXT(2489, "[$-0E0000]yyyy-mm-dd")</f>
        <v/>
      </c>
      <c r="C2490" t="inlineStr">
        <is>
          <t>1906-09-08</t>
        </is>
      </c>
    </row>
    <row r="2491">
      <c r="A2491" s="1" t="n">
        <v>2490</v>
      </c>
      <c r="B2491">
        <f>TEXT(2490, "[$-0E0000]yyyy-mm-dd")</f>
        <v/>
      </c>
      <c r="C2491" t="inlineStr">
        <is>
          <t>1906-09-09</t>
        </is>
      </c>
    </row>
    <row r="2492">
      <c r="A2492" s="1" t="n">
        <v>2491</v>
      </c>
      <c r="B2492">
        <f>TEXT(2491, "[$-0E0000]yyyy-mm-dd")</f>
        <v/>
      </c>
      <c r="C2492" t="inlineStr">
        <is>
          <t>1906-09-10</t>
        </is>
      </c>
    </row>
    <row r="2493">
      <c r="A2493" s="1" t="n">
        <v>2492</v>
      </c>
      <c r="B2493">
        <f>TEXT(2492, "[$-0E0000]yyyy-mm-dd")</f>
        <v/>
      </c>
      <c r="C2493" t="inlineStr">
        <is>
          <t>1906-09-11</t>
        </is>
      </c>
    </row>
    <row r="2494">
      <c r="A2494" s="1" t="n">
        <v>2493</v>
      </c>
      <c r="B2494">
        <f>TEXT(2493, "[$-0E0000]yyyy-mm-dd")</f>
        <v/>
      </c>
      <c r="C2494" t="inlineStr">
        <is>
          <t>1906-09-12</t>
        </is>
      </c>
    </row>
    <row r="2495">
      <c r="A2495" s="1" t="n">
        <v>2494</v>
      </c>
      <c r="B2495">
        <f>TEXT(2494, "[$-0E0000]yyyy-mm-dd")</f>
        <v/>
      </c>
      <c r="C2495" t="inlineStr">
        <is>
          <t>1906-09-13</t>
        </is>
      </c>
    </row>
    <row r="2496">
      <c r="A2496" s="1" t="n">
        <v>2495</v>
      </c>
      <c r="B2496">
        <f>TEXT(2495, "[$-0E0000]yyyy-mm-dd")</f>
        <v/>
      </c>
      <c r="C2496" t="inlineStr">
        <is>
          <t>1906-09-14</t>
        </is>
      </c>
    </row>
    <row r="2497">
      <c r="A2497" s="1" t="n">
        <v>2496</v>
      </c>
      <c r="B2497">
        <f>TEXT(2496, "[$-0E0000]yyyy-mm-dd")</f>
        <v/>
      </c>
      <c r="C2497" t="inlineStr">
        <is>
          <t>1906-09-15</t>
        </is>
      </c>
    </row>
    <row r="2498">
      <c r="A2498" s="1" t="n">
        <v>2497</v>
      </c>
      <c r="B2498">
        <f>TEXT(2497, "[$-0E0000]yyyy-mm-dd")</f>
        <v/>
      </c>
      <c r="C2498" t="inlineStr">
        <is>
          <t>1906-09-16</t>
        </is>
      </c>
    </row>
    <row r="2499">
      <c r="A2499" s="1" t="n">
        <v>2498</v>
      </c>
      <c r="B2499">
        <f>TEXT(2498, "[$-0E0000]yyyy-mm-dd")</f>
        <v/>
      </c>
      <c r="C2499" t="inlineStr">
        <is>
          <t>1906-09-17</t>
        </is>
      </c>
    </row>
    <row r="2500">
      <c r="A2500" s="1" t="n">
        <v>2499</v>
      </c>
      <c r="B2500">
        <f>TEXT(2499, "[$-0E0000]yyyy-mm-dd")</f>
        <v/>
      </c>
      <c r="C2500" t="inlineStr">
        <is>
          <t>1906-09-18</t>
        </is>
      </c>
    </row>
    <row r="2501">
      <c r="A2501" s="1" t="n">
        <v>2500</v>
      </c>
      <c r="B2501">
        <f>TEXT(2500, "[$-0E0000]yyyy-mm-dd")</f>
        <v/>
      </c>
      <c r="C2501" t="inlineStr">
        <is>
          <t>1906-09-19</t>
        </is>
      </c>
    </row>
    <row r="2502">
      <c r="A2502" s="1" t="n">
        <v>2501</v>
      </c>
      <c r="B2502">
        <f>TEXT(2501, "[$-0E0000]yyyy-mm-dd")</f>
        <v/>
      </c>
      <c r="C2502" t="inlineStr">
        <is>
          <t>1906-09-20</t>
        </is>
      </c>
    </row>
    <row r="2503">
      <c r="A2503" s="1" t="n">
        <v>2502</v>
      </c>
      <c r="B2503">
        <f>TEXT(2502, "[$-0E0000]yyyy-mm-dd")</f>
        <v/>
      </c>
      <c r="C2503" t="inlineStr">
        <is>
          <t>1906-09-21</t>
        </is>
      </c>
    </row>
    <row r="2504">
      <c r="A2504" s="1" t="n">
        <v>2503</v>
      </c>
      <c r="B2504">
        <f>TEXT(2503, "[$-0E0000]yyyy-mm-dd")</f>
        <v/>
      </c>
      <c r="C2504" t="inlineStr">
        <is>
          <t>1906-09-22</t>
        </is>
      </c>
    </row>
    <row r="2505">
      <c r="A2505" s="1" t="n">
        <v>2504</v>
      </c>
      <c r="B2505">
        <f>TEXT(2504, "[$-0E0000]yyyy-mm-dd")</f>
        <v/>
      </c>
      <c r="C2505" t="inlineStr">
        <is>
          <t>1906-09-23</t>
        </is>
      </c>
    </row>
    <row r="2506">
      <c r="A2506" s="1" t="n">
        <v>2505</v>
      </c>
      <c r="B2506">
        <f>TEXT(2505, "[$-0E0000]yyyy-mm-dd")</f>
        <v/>
      </c>
      <c r="C2506" t="inlineStr">
        <is>
          <t>1906-09-24</t>
        </is>
      </c>
    </row>
    <row r="2507">
      <c r="A2507" s="1" t="n">
        <v>2506</v>
      </c>
      <c r="B2507">
        <f>TEXT(2506, "[$-0E0000]yyyy-mm-dd")</f>
        <v/>
      </c>
      <c r="C2507" t="inlineStr">
        <is>
          <t>1906-09-25</t>
        </is>
      </c>
    </row>
    <row r="2508">
      <c r="A2508" s="1" t="n">
        <v>2507</v>
      </c>
      <c r="B2508">
        <f>TEXT(2507, "[$-0E0000]yyyy-mm-dd")</f>
        <v/>
      </c>
      <c r="C2508" t="inlineStr">
        <is>
          <t>1906-09-26</t>
        </is>
      </c>
    </row>
    <row r="2509">
      <c r="A2509" s="1" t="n">
        <v>2508</v>
      </c>
      <c r="B2509">
        <f>TEXT(2508, "[$-0E0000]yyyy-mm-dd")</f>
        <v/>
      </c>
      <c r="C2509" t="inlineStr">
        <is>
          <t>1906-09-27</t>
        </is>
      </c>
    </row>
    <row r="2510">
      <c r="A2510" s="1" t="n">
        <v>2509</v>
      </c>
      <c r="B2510">
        <f>TEXT(2509, "[$-0E0000]yyyy-mm-dd")</f>
        <v/>
      </c>
      <c r="C2510" t="inlineStr">
        <is>
          <t>1906-09-28</t>
        </is>
      </c>
    </row>
    <row r="2511">
      <c r="A2511" s="1" t="n">
        <v>2510</v>
      </c>
      <c r="B2511">
        <f>TEXT(2510, "[$-0E0000]yyyy-mm-dd")</f>
        <v/>
      </c>
      <c r="C2511" t="inlineStr">
        <is>
          <t>1906-09-29</t>
        </is>
      </c>
    </row>
    <row r="2512">
      <c r="A2512" s="1" t="n">
        <v>2511</v>
      </c>
      <c r="B2512">
        <f>TEXT(2511, "[$-0E0000]yyyy-mm-dd")</f>
        <v/>
      </c>
      <c r="C2512" t="inlineStr">
        <is>
          <t>1906-10-01</t>
        </is>
      </c>
    </row>
    <row r="2513">
      <c r="A2513" s="1" t="n">
        <v>2512</v>
      </c>
      <c r="B2513">
        <f>TEXT(2512, "[$-0E0000]yyyy-mm-dd")</f>
        <v/>
      </c>
      <c r="C2513" t="inlineStr">
        <is>
          <t>1906-10-02</t>
        </is>
      </c>
    </row>
    <row r="2514">
      <c r="A2514" s="1" t="n">
        <v>2513</v>
      </c>
      <c r="B2514">
        <f>TEXT(2513, "[$-0E0000]yyyy-mm-dd")</f>
        <v/>
      </c>
      <c r="C2514" t="inlineStr">
        <is>
          <t>1906-10-03</t>
        </is>
      </c>
    </row>
    <row r="2515">
      <c r="A2515" s="1" t="n">
        <v>2514</v>
      </c>
      <c r="B2515">
        <f>TEXT(2514, "[$-0E0000]yyyy-mm-dd")</f>
        <v/>
      </c>
      <c r="C2515" t="inlineStr">
        <is>
          <t>1906-10-04</t>
        </is>
      </c>
    </row>
    <row r="2516">
      <c r="A2516" s="1" t="n">
        <v>2515</v>
      </c>
      <c r="B2516">
        <f>TEXT(2515, "[$-0E0000]yyyy-mm-dd")</f>
        <v/>
      </c>
      <c r="C2516" t="inlineStr">
        <is>
          <t>1906-10-05</t>
        </is>
      </c>
    </row>
    <row r="2517">
      <c r="A2517" s="1" t="n">
        <v>2516</v>
      </c>
      <c r="B2517">
        <f>TEXT(2516, "[$-0E0000]yyyy-mm-dd")</f>
        <v/>
      </c>
      <c r="C2517" t="inlineStr">
        <is>
          <t>1906-10-06</t>
        </is>
      </c>
    </row>
    <row r="2518">
      <c r="A2518" s="1" t="n">
        <v>2517</v>
      </c>
      <c r="B2518">
        <f>TEXT(2517, "[$-0E0000]yyyy-mm-dd")</f>
        <v/>
      </c>
      <c r="C2518" t="inlineStr">
        <is>
          <t>1906-10-07</t>
        </is>
      </c>
    </row>
    <row r="2519">
      <c r="A2519" s="1" t="n">
        <v>2518</v>
      </c>
      <c r="B2519">
        <f>TEXT(2518, "[$-0E0000]yyyy-mm-dd")</f>
        <v/>
      </c>
      <c r="C2519" t="inlineStr">
        <is>
          <t>1906-10-08</t>
        </is>
      </c>
    </row>
    <row r="2520">
      <c r="A2520" s="1" t="n">
        <v>2519</v>
      </c>
      <c r="B2520">
        <f>TEXT(2519, "[$-0E0000]yyyy-mm-dd")</f>
        <v/>
      </c>
      <c r="C2520" t="inlineStr">
        <is>
          <t>1906-10-09</t>
        </is>
      </c>
    </row>
    <row r="2521">
      <c r="A2521" s="1" t="n">
        <v>2520</v>
      </c>
      <c r="B2521">
        <f>TEXT(2520, "[$-0E0000]yyyy-mm-dd")</f>
        <v/>
      </c>
      <c r="C2521" t="inlineStr">
        <is>
          <t>1906-10-10</t>
        </is>
      </c>
    </row>
    <row r="2522">
      <c r="A2522" s="1" t="n">
        <v>2521</v>
      </c>
      <c r="B2522">
        <f>TEXT(2521, "[$-0E0000]yyyy-mm-dd")</f>
        <v/>
      </c>
      <c r="C2522" t="inlineStr">
        <is>
          <t>1906-10-11</t>
        </is>
      </c>
    </row>
    <row r="2523">
      <c r="A2523" s="1" t="n">
        <v>2522</v>
      </c>
      <c r="B2523">
        <f>TEXT(2522, "[$-0E0000]yyyy-mm-dd")</f>
        <v/>
      </c>
      <c r="C2523" t="inlineStr">
        <is>
          <t>1906-10-12</t>
        </is>
      </c>
    </row>
    <row r="2524">
      <c r="A2524" s="1" t="n">
        <v>2523</v>
      </c>
      <c r="B2524">
        <f>TEXT(2523, "[$-0E0000]yyyy-mm-dd")</f>
        <v/>
      </c>
      <c r="C2524" t="inlineStr">
        <is>
          <t>1906-10-13</t>
        </is>
      </c>
    </row>
    <row r="2525">
      <c r="A2525" s="1" t="n">
        <v>2524</v>
      </c>
      <c r="B2525">
        <f>TEXT(2524, "[$-0E0000]yyyy-mm-dd")</f>
        <v/>
      </c>
      <c r="C2525" t="inlineStr">
        <is>
          <t>1906-10-14</t>
        </is>
      </c>
    </row>
    <row r="2526">
      <c r="A2526" s="1" t="n">
        <v>2525</v>
      </c>
      <c r="B2526">
        <f>TEXT(2525, "[$-0E0000]yyyy-mm-dd")</f>
        <v/>
      </c>
      <c r="C2526" t="inlineStr">
        <is>
          <t>1906-10-15</t>
        </is>
      </c>
    </row>
    <row r="2527">
      <c r="A2527" s="1" t="n">
        <v>2526</v>
      </c>
      <c r="B2527">
        <f>TEXT(2526, "[$-0E0000]yyyy-mm-dd")</f>
        <v/>
      </c>
      <c r="C2527" t="inlineStr">
        <is>
          <t>1906-10-16</t>
        </is>
      </c>
    </row>
    <row r="2528">
      <c r="A2528" s="1" t="n">
        <v>2527</v>
      </c>
      <c r="B2528">
        <f>TEXT(2527, "[$-0E0000]yyyy-mm-dd")</f>
        <v/>
      </c>
      <c r="C2528" t="inlineStr">
        <is>
          <t>1906-10-17</t>
        </is>
      </c>
    </row>
    <row r="2529">
      <c r="A2529" s="1" t="n">
        <v>2528</v>
      </c>
      <c r="B2529">
        <f>TEXT(2528, "[$-0E0000]yyyy-mm-dd")</f>
        <v/>
      </c>
      <c r="C2529" t="inlineStr">
        <is>
          <t>1906-10-18</t>
        </is>
      </c>
    </row>
    <row r="2530">
      <c r="A2530" s="1" t="n">
        <v>2529</v>
      </c>
      <c r="B2530">
        <f>TEXT(2529, "[$-0E0000]yyyy-mm-dd")</f>
        <v/>
      </c>
      <c r="C2530" t="inlineStr">
        <is>
          <t>1906-10-19</t>
        </is>
      </c>
    </row>
    <row r="2531">
      <c r="A2531" s="1" t="n">
        <v>2530</v>
      </c>
      <c r="B2531">
        <f>TEXT(2530, "[$-0E0000]yyyy-mm-dd")</f>
        <v/>
      </c>
      <c r="C2531" t="inlineStr">
        <is>
          <t>1906-10-20</t>
        </is>
      </c>
    </row>
    <row r="2532">
      <c r="A2532" s="1" t="n">
        <v>2531</v>
      </c>
      <c r="B2532">
        <f>TEXT(2531, "[$-0E0000]yyyy-mm-dd")</f>
        <v/>
      </c>
      <c r="C2532" t="inlineStr">
        <is>
          <t>1906-10-21</t>
        </is>
      </c>
    </row>
    <row r="2533">
      <c r="A2533" s="1" t="n">
        <v>2532</v>
      </c>
      <c r="B2533">
        <f>TEXT(2532, "[$-0E0000]yyyy-mm-dd")</f>
        <v/>
      </c>
      <c r="C2533" t="inlineStr">
        <is>
          <t>1906-10-22</t>
        </is>
      </c>
    </row>
    <row r="2534">
      <c r="A2534" s="1" t="n">
        <v>2533</v>
      </c>
      <c r="B2534">
        <f>TEXT(2533, "[$-0E0000]yyyy-mm-dd")</f>
        <v/>
      </c>
      <c r="C2534" t="inlineStr">
        <is>
          <t>1906-10-23</t>
        </is>
      </c>
    </row>
    <row r="2535">
      <c r="A2535" s="1" t="n">
        <v>2534</v>
      </c>
      <c r="B2535">
        <f>TEXT(2534, "[$-0E0000]yyyy-mm-dd")</f>
        <v/>
      </c>
      <c r="C2535" t="inlineStr">
        <is>
          <t>1906-10-24</t>
        </is>
      </c>
    </row>
    <row r="2536">
      <c r="A2536" s="1" t="n">
        <v>2535</v>
      </c>
      <c r="B2536">
        <f>TEXT(2535, "[$-0E0000]yyyy-mm-dd")</f>
        <v/>
      </c>
      <c r="C2536" t="inlineStr">
        <is>
          <t>1906-10-25</t>
        </is>
      </c>
    </row>
    <row r="2537">
      <c r="A2537" s="1" t="n">
        <v>2536</v>
      </c>
      <c r="B2537">
        <f>TEXT(2536, "[$-0E0000]yyyy-mm-dd")</f>
        <v/>
      </c>
      <c r="C2537" t="inlineStr">
        <is>
          <t>1906-10-26</t>
        </is>
      </c>
    </row>
    <row r="2538">
      <c r="A2538" s="1" t="n">
        <v>2537</v>
      </c>
      <c r="B2538">
        <f>TEXT(2537, "[$-0E0000]yyyy-mm-dd")</f>
        <v/>
      </c>
      <c r="C2538" t="inlineStr">
        <is>
          <t>1906-10-27</t>
        </is>
      </c>
    </row>
    <row r="2539">
      <c r="A2539" s="1" t="n">
        <v>2538</v>
      </c>
      <c r="B2539">
        <f>TEXT(2538, "[$-0E0000]yyyy-mm-dd")</f>
        <v/>
      </c>
      <c r="C2539" t="inlineStr">
        <is>
          <t>1906-10-28</t>
        </is>
      </c>
    </row>
    <row r="2540">
      <c r="A2540" s="1" t="n">
        <v>2539</v>
      </c>
      <c r="B2540">
        <f>TEXT(2539, "[$-0E0000]yyyy-mm-dd")</f>
        <v/>
      </c>
      <c r="C2540" t="inlineStr">
        <is>
          <t>1906-10-29</t>
        </is>
      </c>
    </row>
    <row r="2541">
      <c r="A2541" s="1" t="n">
        <v>2540</v>
      </c>
      <c r="B2541">
        <f>TEXT(2540, "[$-0E0000]yyyy-mm-dd")</f>
        <v/>
      </c>
      <c r="C2541" t="inlineStr">
        <is>
          <t>1906-10-30</t>
        </is>
      </c>
    </row>
    <row r="2542">
      <c r="A2542" s="1" t="n">
        <v>2541</v>
      </c>
      <c r="B2542">
        <f>TEXT(2541, "[$-0E0000]yyyy-mm-dd")</f>
        <v/>
      </c>
      <c r="C2542" t="inlineStr">
        <is>
          <t>1906-11-01</t>
        </is>
      </c>
    </row>
    <row r="2543">
      <c r="A2543" s="1" t="n">
        <v>2542</v>
      </c>
      <c r="B2543">
        <f>TEXT(2542, "[$-0E0000]yyyy-mm-dd")</f>
        <v/>
      </c>
      <c r="C2543" t="inlineStr">
        <is>
          <t>1906-11-02</t>
        </is>
      </c>
    </row>
    <row r="2544">
      <c r="A2544" s="1" t="n">
        <v>2543</v>
      </c>
      <c r="B2544">
        <f>TEXT(2543, "[$-0E0000]yyyy-mm-dd")</f>
        <v/>
      </c>
      <c r="C2544" t="inlineStr">
        <is>
          <t>1906-11-03</t>
        </is>
      </c>
    </row>
    <row r="2545">
      <c r="A2545" s="1" t="n">
        <v>2544</v>
      </c>
      <c r="B2545">
        <f>TEXT(2544, "[$-0E0000]yyyy-mm-dd")</f>
        <v/>
      </c>
      <c r="C2545" t="inlineStr">
        <is>
          <t>1906-11-04</t>
        </is>
      </c>
    </row>
    <row r="2546">
      <c r="A2546" s="1" t="n">
        <v>2545</v>
      </c>
      <c r="B2546">
        <f>TEXT(2545, "[$-0E0000]yyyy-mm-dd")</f>
        <v/>
      </c>
      <c r="C2546" t="inlineStr">
        <is>
          <t>1906-11-05</t>
        </is>
      </c>
    </row>
    <row r="2547">
      <c r="A2547" s="1" t="n">
        <v>2546</v>
      </c>
      <c r="B2547">
        <f>TEXT(2546, "[$-0E0000]yyyy-mm-dd")</f>
        <v/>
      </c>
      <c r="C2547" t="inlineStr">
        <is>
          <t>1906-11-06</t>
        </is>
      </c>
    </row>
    <row r="2548">
      <c r="A2548" s="1" t="n">
        <v>2547</v>
      </c>
      <c r="B2548">
        <f>TEXT(2547, "[$-0E0000]yyyy-mm-dd")</f>
        <v/>
      </c>
      <c r="C2548" t="inlineStr">
        <is>
          <t>1906-11-07</t>
        </is>
      </c>
    </row>
    <row r="2549">
      <c r="A2549" s="1" t="n">
        <v>2548</v>
      </c>
      <c r="B2549">
        <f>TEXT(2548, "[$-0E0000]yyyy-mm-dd")</f>
        <v/>
      </c>
      <c r="C2549" t="inlineStr">
        <is>
          <t>1906-11-08</t>
        </is>
      </c>
    </row>
    <row r="2550">
      <c r="A2550" s="1" t="n">
        <v>2549</v>
      </c>
      <c r="B2550">
        <f>TEXT(2549, "[$-0E0000]yyyy-mm-dd")</f>
        <v/>
      </c>
      <c r="C2550" t="inlineStr">
        <is>
          <t>1906-11-09</t>
        </is>
      </c>
    </row>
    <row r="2551">
      <c r="A2551" s="1" t="n">
        <v>2550</v>
      </c>
      <c r="B2551">
        <f>TEXT(2550, "[$-0E0000]yyyy-mm-dd")</f>
        <v/>
      </c>
      <c r="C2551" t="inlineStr">
        <is>
          <t>1906-11-10</t>
        </is>
      </c>
    </row>
    <row r="2552">
      <c r="A2552" s="1" t="n">
        <v>2551</v>
      </c>
      <c r="B2552">
        <f>TEXT(2551, "[$-0E0000]yyyy-mm-dd")</f>
        <v/>
      </c>
      <c r="C2552" t="inlineStr">
        <is>
          <t>1906-11-11</t>
        </is>
      </c>
    </row>
    <row r="2553">
      <c r="A2553" s="1" t="n">
        <v>2552</v>
      </c>
      <c r="B2553">
        <f>TEXT(2552, "[$-0E0000]yyyy-mm-dd")</f>
        <v/>
      </c>
      <c r="C2553" t="inlineStr">
        <is>
          <t>1906-11-12</t>
        </is>
      </c>
    </row>
    <row r="2554">
      <c r="A2554" s="1" t="n">
        <v>2553</v>
      </c>
      <c r="B2554">
        <f>TEXT(2553, "[$-0E0000]yyyy-mm-dd")</f>
        <v/>
      </c>
      <c r="C2554" t="inlineStr">
        <is>
          <t>1906-11-13</t>
        </is>
      </c>
    </row>
    <row r="2555">
      <c r="A2555" s="1" t="n">
        <v>2554</v>
      </c>
      <c r="B2555">
        <f>TEXT(2554, "[$-0E0000]yyyy-mm-dd")</f>
        <v/>
      </c>
      <c r="C2555" t="inlineStr">
        <is>
          <t>1906-11-14</t>
        </is>
      </c>
    </row>
    <row r="2556">
      <c r="A2556" s="1" t="n">
        <v>2555</v>
      </c>
      <c r="B2556">
        <f>TEXT(2555, "[$-0E0000]yyyy-mm-dd")</f>
        <v/>
      </c>
      <c r="C2556" t="inlineStr">
        <is>
          <t>1906-11-15</t>
        </is>
      </c>
    </row>
    <row r="2557">
      <c r="A2557" s="1" t="n">
        <v>2556</v>
      </c>
      <c r="B2557">
        <f>TEXT(2556, "[$-0E0000]yyyy-mm-dd")</f>
        <v/>
      </c>
      <c r="C2557" t="inlineStr">
        <is>
          <t>1906-11-16</t>
        </is>
      </c>
    </row>
    <row r="2558">
      <c r="A2558" s="1" t="n">
        <v>2557</v>
      </c>
      <c r="B2558">
        <f>TEXT(2557, "[$-0E0000]yyyy-mm-dd")</f>
        <v/>
      </c>
      <c r="C2558" t="inlineStr">
        <is>
          <t>1906-11-17</t>
        </is>
      </c>
    </row>
    <row r="2559">
      <c r="A2559" s="1" t="n">
        <v>2558</v>
      </c>
      <c r="B2559">
        <f>TEXT(2558, "[$-0E0000]yyyy-mm-dd")</f>
        <v/>
      </c>
      <c r="C2559" t="inlineStr">
        <is>
          <t>1906-11-18</t>
        </is>
      </c>
    </row>
    <row r="2560">
      <c r="A2560" s="1" t="n">
        <v>2559</v>
      </c>
      <c r="B2560">
        <f>TEXT(2559, "[$-0E0000]yyyy-mm-dd")</f>
        <v/>
      </c>
      <c r="C2560" t="inlineStr">
        <is>
          <t>1906-11-19</t>
        </is>
      </c>
    </row>
    <row r="2561">
      <c r="A2561" s="1" t="n">
        <v>2560</v>
      </c>
      <c r="B2561">
        <f>TEXT(2560, "[$-0E0000]yyyy-mm-dd")</f>
        <v/>
      </c>
      <c r="C2561" t="inlineStr">
        <is>
          <t>1906-11-20</t>
        </is>
      </c>
    </row>
    <row r="2562">
      <c r="A2562" s="1" t="n">
        <v>2561</v>
      </c>
      <c r="B2562">
        <f>TEXT(2561, "[$-0E0000]yyyy-mm-dd")</f>
        <v/>
      </c>
      <c r="C2562" t="inlineStr">
        <is>
          <t>1906-11-21</t>
        </is>
      </c>
    </row>
    <row r="2563">
      <c r="A2563" s="1" t="n">
        <v>2562</v>
      </c>
      <c r="B2563">
        <f>TEXT(2562, "[$-0E0000]yyyy-mm-dd")</f>
        <v/>
      </c>
      <c r="C2563" t="inlineStr">
        <is>
          <t>1906-11-22</t>
        </is>
      </c>
    </row>
    <row r="2564">
      <c r="A2564" s="1" t="n">
        <v>2563</v>
      </c>
      <c r="B2564">
        <f>TEXT(2563, "[$-0E0000]yyyy-mm-dd")</f>
        <v/>
      </c>
      <c r="C2564" t="inlineStr">
        <is>
          <t>1906-11-23</t>
        </is>
      </c>
    </row>
    <row r="2565">
      <c r="A2565" s="1" t="n">
        <v>2564</v>
      </c>
      <c r="B2565">
        <f>TEXT(2564, "[$-0E0000]yyyy-mm-dd")</f>
        <v/>
      </c>
      <c r="C2565" t="inlineStr">
        <is>
          <t>1906-11-24</t>
        </is>
      </c>
    </row>
    <row r="2566">
      <c r="A2566" s="1" t="n">
        <v>2565</v>
      </c>
      <c r="B2566">
        <f>TEXT(2565, "[$-0E0000]yyyy-mm-dd")</f>
        <v/>
      </c>
      <c r="C2566" t="inlineStr">
        <is>
          <t>1906-11-25</t>
        </is>
      </c>
    </row>
    <row r="2567">
      <c r="A2567" s="1" t="n">
        <v>2566</v>
      </c>
      <c r="B2567">
        <f>TEXT(2566, "[$-0E0000]yyyy-mm-dd")</f>
        <v/>
      </c>
      <c r="C2567" t="inlineStr">
        <is>
          <t>1906-11-26</t>
        </is>
      </c>
    </row>
    <row r="2568">
      <c r="A2568" s="1" t="n">
        <v>2567</v>
      </c>
      <c r="B2568">
        <f>TEXT(2567, "[$-0E0000]yyyy-mm-dd")</f>
        <v/>
      </c>
      <c r="C2568" t="inlineStr">
        <is>
          <t>1906-11-27</t>
        </is>
      </c>
    </row>
    <row r="2569">
      <c r="A2569" s="1" t="n">
        <v>2568</v>
      </c>
      <c r="B2569">
        <f>TEXT(2568, "[$-0E0000]yyyy-mm-dd")</f>
        <v/>
      </c>
      <c r="C2569" t="inlineStr">
        <is>
          <t>1906-11-28</t>
        </is>
      </c>
    </row>
    <row r="2570">
      <c r="A2570" s="1" t="n">
        <v>2569</v>
      </c>
      <c r="B2570">
        <f>TEXT(2569, "[$-0E0000]yyyy-mm-dd")</f>
        <v/>
      </c>
      <c r="C2570" t="inlineStr">
        <is>
          <t>1906-11-29</t>
        </is>
      </c>
    </row>
    <row r="2571">
      <c r="A2571" s="1" t="n">
        <v>2570</v>
      </c>
      <c r="B2571">
        <f>TEXT(2570, "[$-0E0000]yyyy-mm-dd")</f>
        <v/>
      </c>
      <c r="C2571" t="inlineStr">
        <is>
          <t>1906-12-01</t>
        </is>
      </c>
    </row>
    <row r="2572">
      <c r="A2572" s="1" t="n">
        <v>2571</v>
      </c>
      <c r="B2572">
        <f>TEXT(2571, "[$-0E0000]yyyy-mm-dd")</f>
        <v/>
      </c>
      <c r="C2572" t="inlineStr">
        <is>
          <t>1906-12-02</t>
        </is>
      </c>
    </row>
    <row r="2573">
      <c r="A2573" s="1" t="n">
        <v>2572</v>
      </c>
      <c r="B2573">
        <f>TEXT(2572, "[$-0E0000]yyyy-mm-dd")</f>
        <v/>
      </c>
      <c r="C2573" t="inlineStr">
        <is>
          <t>1906-12-03</t>
        </is>
      </c>
    </row>
    <row r="2574">
      <c r="A2574" s="1" t="n">
        <v>2573</v>
      </c>
      <c r="B2574">
        <f>TEXT(2573, "[$-0E0000]yyyy-mm-dd")</f>
        <v/>
      </c>
      <c r="C2574" t="inlineStr">
        <is>
          <t>1906-12-04</t>
        </is>
      </c>
    </row>
    <row r="2575">
      <c r="A2575" s="1" t="n">
        <v>2574</v>
      </c>
      <c r="B2575">
        <f>TEXT(2574, "[$-0E0000]yyyy-mm-dd")</f>
        <v/>
      </c>
      <c r="C2575" t="inlineStr">
        <is>
          <t>1906-12-05</t>
        </is>
      </c>
    </row>
    <row r="2576">
      <c r="A2576" s="1" t="n">
        <v>2575</v>
      </c>
      <c r="B2576">
        <f>TEXT(2575, "[$-0E0000]yyyy-mm-dd")</f>
        <v/>
      </c>
      <c r="C2576" t="inlineStr">
        <is>
          <t>1906-12-06</t>
        </is>
      </c>
    </row>
    <row r="2577">
      <c r="A2577" s="1" t="n">
        <v>2576</v>
      </c>
      <c r="B2577">
        <f>TEXT(2576, "[$-0E0000]yyyy-mm-dd")</f>
        <v/>
      </c>
      <c r="C2577" t="inlineStr">
        <is>
          <t>1906-12-07</t>
        </is>
      </c>
    </row>
    <row r="2578">
      <c r="A2578" s="1" t="n">
        <v>2577</v>
      </c>
      <c r="B2578">
        <f>TEXT(2577, "[$-0E0000]yyyy-mm-dd")</f>
        <v/>
      </c>
      <c r="C2578" t="inlineStr">
        <is>
          <t>1906-12-08</t>
        </is>
      </c>
    </row>
    <row r="2579">
      <c r="A2579" s="1" t="n">
        <v>2578</v>
      </c>
      <c r="B2579">
        <f>TEXT(2578, "[$-0E0000]yyyy-mm-dd")</f>
        <v/>
      </c>
      <c r="C2579" t="inlineStr">
        <is>
          <t>1906-12-09</t>
        </is>
      </c>
    </row>
    <row r="2580">
      <c r="A2580" s="1" t="n">
        <v>2579</v>
      </c>
      <c r="B2580">
        <f>TEXT(2579, "[$-0E0000]yyyy-mm-dd")</f>
        <v/>
      </c>
      <c r="C2580" t="inlineStr">
        <is>
          <t>1906-12-10</t>
        </is>
      </c>
    </row>
    <row r="2581">
      <c r="A2581" s="1" t="n">
        <v>2580</v>
      </c>
      <c r="B2581">
        <f>TEXT(2580, "[$-0E0000]yyyy-mm-dd")</f>
        <v/>
      </c>
      <c r="C2581" t="inlineStr">
        <is>
          <t>1906-12-11</t>
        </is>
      </c>
    </row>
    <row r="2582">
      <c r="A2582" s="1" t="n">
        <v>2581</v>
      </c>
      <c r="B2582">
        <f>TEXT(2581, "[$-0E0000]yyyy-mm-dd")</f>
        <v/>
      </c>
      <c r="C2582" t="inlineStr">
        <is>
          <t>1906-12-12</t>
        </is>
      </c>
    </row>
    <row r="2583">
      <c r="A2583" s="1" t="n">
        <v>2582</v>
      </c>
      <c r="B2583">
        <f>TEXT(2582, "[$-0E0000]yyyy-mm-dd")</f>
        <v/>
      </c>
      <c r="C2583" t="inlineStr">
        <is>
          <t>1906-12-13</t>
        </is>
      </c>
    </row>
    <row r="2584">
      <c r="A2584" s="1" t="n">
        <v>2583</v>
      </c>
      <c r="B2584">
        <f>TEXT(2583, "[$-0E0000]yyyy-mm-dd")</f>
        <v/>
      </c>
      <c r="C2584" t="inlineStr">
        <is>
          <t>1906-12-14</t>
        </is>
      </c>
    </row>
    <row r="2585">
      <c r="A2585" s="1" t="n">
        <v>2584</v>
      </c>
      <c r="B2585">
        <f>TEXT(2584, "[$-0E0000]yyyy-mm-dd")</f>
        <v/>
      </c>
      <c r="C2585" t="inlineStr">
        <is>
          <t>1906-12-15</t>
        </is>
      </c>
    </row>
    <row r="2586">
      <c r="A2586" s="1" t="n">
        <v>2585</v>
      </c>
      <c r="B2586">
        <f>TEXT(2585, "[$-0E0000]yyyy-mm-dd")</f>
        <v/>
      </c>
      <c r="C2586" t="inlineStr">
        <is>
          <t>1906-12-16</t>
        </is>
      </c>
    </row>
    <row r="2587">
      <c r="A2587" s="1" t="n">
        <v>2586</v>
      </c>
      <c r="B2587">
        <f>TEXT(2586, "[$-0E0000]yyyy-mm-dd")</f>
        <v/>
      </c>
      <c r="C2587" t="inlineStr">
        <is>
          <t>1906-12-17</t>
        </is>
      </c>
    </row>
    <row r="2588">
      <c r="A2588" s="1" t="n">
        <v>2587</v>
      </c>
      <c r="B2588">
        <f>TEXT(2587, "[$-0E0000]yyyy-mm-dd")</f>
        <v/>
      </c>
      <c r="C2588" t="inlineStr">
        <is>
          <t>1906-12-18</t>
        </is>
      </c>
    </row>
    <row r="2589">
      <c r="A2589" s="1" t="n">
        <v>2588</v>
      </c>
      <c r="B2589">
        <f>TEXT(2588, "[$-0E0000]yyyy-mm-dd")</f>
        <v/>
      </c>
      <c r="C2589" t="inlineStr">
        <is>
          <t>1906-12-19</t>
        </is>
      </c>
    </row>
    <row r="2590">
      <c r="A2590" s="1" t="n">
        <v>2589</v>
      </c>
      <c r="B2590">
        <f>TEXT(2589, "[$-0E0000]yyyy-mm-dd")</f>
        <v/>
      </c>
      <c r="C2590" t="inlineStr">
        <is>
          <t>1906-12-20</t>
        </is>
      </c>
    </row>
    <row r="2591">
      <c r="A2591" s="1" t="n">
        <v>2590</v>
      </c>
      <c r="B2591">
        <f>TEXT(2590, "[$-0E0000]yyyy-mm-dd")</f>
        <v/>
      </c>
      <c r="C2591" t="inlineStr">
        <is>
          <t>1906-12-21</t>
        </is>
      </c>
    </row>
    <row r="2592">
      <c r="A2592" s="1" t="n">
        <v>2591</v>
      </c>
      <c r="B2592">
        <f>TEXT(2591, "[$-0E0000]yyyy-mm-dd")</f>
        <v/>
      </c>
      <c r="C2592" t="inlineStr">
        <is>
          <t>1906-12-22</t>
        </is>
      </c>
    </row>
    <row r="2593">
      <c r="A2593" s="1" t="n">
        <v>2592</v>
      </c>
      <c r="B2593">
        <f>TEXT(2592, "[$-0E0000]yyyy-mm-dd")</f>
        <v/>
      </c>
      <c r="C2593" t="inlineStr">
        <is>
          <t>1906-12-23</t>
        </is>
      </c>
    </row>
    <row r="2594">
      <c r="A2594" s="1" t="n">
        <v>2593</v>
      </c>
      <c r="B2594">
        <f>TEXT(2593, "[$-0E0000]yyyy-mm-dd")</f>
        <v/>
      </c>
      <c r="C2594" t="inlineStr">
        <is>
          <t>1906-12-24</t>
        </is>
      </c>
    </row>
    <row r="2595">
      <c r="A2595" s="1" t="n">
        <v>2594</v>
      </c>
      <c r="B2595">
        <f>TEXT(2594, "[$-0E0000]yyyy-mm-dd")</f>
        <v/>
      </c>
      <c r="C2595" t="inlineStr">
        <is>
          <t>1906-12-25</t>
        </is>
      </c>
    </row>
    <row r="2596">
      <c r="A2596" s="1" t="n">
        <v>2595</v>
      </c>
      <c r="B2596">
        <f>TEXT(2595, "[$-0E0000]yyyy-mm-dd")</f>
        <v/>
      </c>
      <c r="C2596" t="inlineStr">
        <is>
          <t>1906-12-26</t>
        </is>
      </c>
    </row>
    <row r="2597">
      <c r="A2597" s="1" t="n">
        <v>2596</v>
      </c>
      <c r="B2597">
        <f>TEXT(2596, "[$-0E0000]yyyy-mm-dd")</f>
        <v/>
      </c>
      <c r="C2597" t="inlineStr">
        <is>
          <t>1906-12-27</t>
        </is>
      </c>
    </row>
    <row r="2598">
      <c r="A2598" s="1" t="n">
        <v>2597</v>
      </c>
      <c r="B2598">
        <f>TEXT(2597, "[$-0E0000]yyyy-mm-dd")</f>
        <v/>
      </c>
      <c r="C2598" t="inlineStr">
        <is>
          <t>1906-12-28</t>
        </is>
      </c>
    </row>
    <row r="2599">
      <c r="A2599" s="1" t="n">
        <v>2598</v>
      </c>
      <c r="B2599">
        <f>TEXT(2598, "[$-0E0000]yyyy-mm-dd")</f>
        <v/>
      </c>
      <c r="C2599" t="inlineStr">
        <is>
          <t>1906-12-29</t>
        </is>
      </c>
    </row>
    <row r="2600">
      <c r="A2600" s="1" t="n">
        <v>2599</v>
      </c>
      <c r="B2600">
        <f>TEXT(2599, "[$-0E0000]yyyy-mm-dd")</f>
        <v/>
      </c>
      <c r="C2600" t="inlineStr">
        <is>
          <t>1906-12-30</t>
        </is>
      </c>
    </row>
    <row r="2601">
      <c r="A2601" s="1" t="n">
        <v>2600</v>
      </c>
      <c r="B2601">
        <f>TEXT(2600, "[$-0E0000]yyyy-mm-dd")</f>
        <v/>
      </c>
      <c r="C2601" t="inlineStr">
        <is>
          <t>1907-01-01</t>
        </is>
      </c>
    </row>
    <row r="2602">
      <c r="A2602" s="1" t="n">
        <v>2601</v>
      </c>
      <c r="B2602">
        <f>TEXT(2601, "[$-0E0000]yyyy-mm-dd")</f>
        <v/>
      </c>
      <c r="C2602" t="inlineStr">
        <is>
          <t>1907-01-02</t>
        </is>
      </c>
    </row>
    <row r="2603">
      <c r="A2603" s="1" t="n">
        <v>2602</v>
      </c>
      <c r="B2603">
        <f>TEXT(2602, "[$-0E0000]yyyy-mm-dd")</f>
        <v/>
      </c>
      <c r="C2603" t="inlineStr">
        <is>
          <t>1907-01-03</t>
        </is>
      </c>
    </row>
    <row r="2604">
      <c r="A2604" s="1" t="n">
        <v>2603</v>
      </c>
      <c r="B2604">
        <f>TEXT(2603, "[$-0E0000]yyyy-mm-dd")</f>
        <v/>
      </c>
      <c r="C2604" t="inlineStr">
        <is>
          <t>1907-01-04</t>
        </is>
      </c>
    </row>
    <row r="2605">
      <c r="A2605" s="1" t="n">
        <v>2604</v>
      </c>
      <c r="B2605">
        <f>TEXT(2604, "[$-0E0000]yyyy-mm-dd")</f>
        <v/>
      </c>
      <c r="C2605" t="inlineStr">
        <is>
          <t>1907-01-05</t>
        </is>
      </c>
    </row>
    <row r="2606">
      <c r="A2606" s="1" t="n">
        <v>2605</v>
      </c>
      <c r="B2606">
        <f>TEXT(2605, "[$-0E0000]yyyy-mm-dd")</f>
        <v/>
      </c>
      <c r="C2606" t="inlineStr">
        <is>
          <t>1907-01-06</t>
        </is>
      </c>
    </row>
    <row r="2607">
      <c r="A2607" s="1" t="n">
        <v>2606</v>
      </c>
      <c r="B2607">
        <f>TEXT(2606, "[$-0E0000]yyyy-mm-dd")</f>
        <v/>
      </c>
      <c r="C2607" t="inlineStr">
        <is>
          <t>1907-01-07</t>
        </is>
      </c>
    </row>
    <row r="2608">
      <c r="A2608" s="1" t="n">
        <v>2607</v>
      </c>
      <c r="B2608">
        <f>TEXT(2607, "[$-0E0000]yyyy-mm-dd")</f>
        <v/>
      </c>
      <c r="C2608" t="inlineStr">
        <is>
          <t>1907-01-08</t>
        </is>
      </c>
    </row>
    <row r="2609">
      <c r="A2609" s="1" t="n">
        <v>2608</v>
      </c>
      <c r="B2609">
        <f>TEXT(2608, "[$-0E0000]yyyy-mm-dd")</f>
        <v/>
      </c>
      <c r="C2609" t="inlineStr">
        <is>
          <t>1907-01-09</t>
        </is>
      </c>
    </row>
    <row r="2610">
      <c r="A2610" s="1" t="n">
        <v>2609</v>
      </c>
      <c r="B2610">
        <f>TEXT(2609, "[$-0E0000]yyyy-mm-dd")</f>
        <v/>
      </c>
      <c r="C2610" t="inlineStr">
        <is>
          <t>1907-01-10</t>
        </is>
      </c>
    </row>
    <row r="2611">
      <c r="A2611" s="1" t="n">
        <v>2610</v>
      </c>
      <c r="B2611">
        <f>TEXT(2610, "[$-0E0000]yyyy-mm-dd")</f>
        <v/>
      </c>
      <c r="C2611" t="inlineStr">
        <is>
          <t>1907-01-11</t>
        </is>
      </c>
    </row>
    <row r="2612">
      <c r="A2612" s="1" t="n">
        <v>2611</v>
      </c>
      <c r="B2612">
        <f>TEXT(2611, "[$-0E0000]yyyy-mm-dd")</f>
        <v/>
      </c>
      <c r="C2612" t="inlineStr">
        <is>
          <t>1907-01-12</t>
        </is>
      </c>
    </row>
    <row r="2613">
      <c r="A2613" s="1" t="n">
        <v>2612</v>
      </c>
      <c r="B2613">
        <f>TEXT(2612, "[$-0E0000]yyyy-mm-dd")</f>
        <v/>
      </c>
      <c r="C2613" t="inlineStr">
        <is>
          <t>1907-01-13</t>
        </is>
      </c>
    </row>
    <row r="2614">
      <c r="A2614" s="1" t="n">
        <v>2613</v>
      </c>
      <c r="B2614">
        <f>TEXT(2613, "[$-0E0000]yyyy-mm-dd")</f>
        <v/>
      </c>
      <c r="C2614" t="inlineStr">
        <is>
          <t>1907-01-14</t>
        </is>
      </c>
    </row>
    <row r="2615">
      <c r="A2615" s="1" t="n">
        <v>2614</v>
      </c>
      <c r="B2615">
        <f>TEXT(2614, "[$-0E0000]yyyy-mm-dd")</f>
        <v/>
      </c>
      <c r="C2615" t="inlineStr">
        <is>
          <t>1907-01-15</t>
        </is>
      </c>
    </row>
    <row r="2616">
      <c r="A2616" s="1" t="n">
        <v>2615</v>
      </c>
      <c r="B2616">
        <f>TEXT(2615, "[$-0E0000]yyyy-mm-dd")</f>
        <v/>
      </c>
      <c r="C2616" t="inlineStr">
        <is>
          <t>1907-01-16</t>
        </is>
      </c>
    </row>
    <row r="2617">
      <c r="A2617" s="1" t="n">
        <v>2616</v>
      </c>
      <c r="B2617">
        <f>TEXT(2616, "[$-0E0000]yyyy-mm-dd")</f>
        <v/>
      </c>
      <c r="C2617" t="inlineStr">
        <is>
          <t>1907-01-17</t>
        </is>
      </c>
    </row>
    <row r="2618">
      <c r="A2618" s="1" t="n">
        <v>2617</v>
      </c>
      <c r="B2618">
        <f>TEXT(2617, "[$-0E0000]yyyy-mm-dd")</f>
        <v/>
      </c>
      <c r="C2618" t="inlineStr">
        <is>
          <t>1907-01-18</t>
        </is>
      </c>
    </row>
    <row r="2619">
      <c r="A2619" s="1" t="n">
        <v>2618</v>
      </c>
      <c r="B2619">
        <f>TEXT(2618, "[$-0E0000]yyyy-mm-dd")</f>
        <v/>
      </c>
      <c r="C2619" t="inlineStr">
        <is>
          <t>1907-01-19</t>
        </is>
      </c>
    </row>
    <row r="2620">
      <c r="A2620" s="1" t="n">
        <v>2619</v>
      </c>
      <c r="B2620">
        <f>TEXT(2619, "[$-0E0000]yyyy-mm-dd")</f>
        <v/>
      </c>
      <c r="C2620" t="inlineStr">
        <is>
          <t>1907-01-20</t>
        </is>
      </c>
    </row>
    <row r="2621">
      <c r="A2621" s="1" t="n">
        <v>2620</v>
      </c>
      <c r="B2621">
        <f>TEXT(2620, "[$-0E0000]yyyy-mm-dd")</f>
        <v/>
      </c>
      <c r="C2621" t="inlineStr">
        <is>
          <t>1907-01-21</t>
        </is>
      </c>
    </row>
    <row r="2622">
      <c r="A2622" s="1" t="n">
        <v>2621</v>
      </c>
      <c r="B2622">
        <f>TEXT(2621, "[$-0E0000]yyyy-mm-dd")</f>
        <v/>
      </c>
      <c r="C2622" t="inlineStr">
        <is>
          <t>1907-01-22</t>
        </is>
      </c>
    </row>
    <row r="2623">
      <c r="A2623" s="1" t="n">
        <v>2622</v>
      </c>
      <c r="B2623">
        <f>TEXT(2622, "[$-0E0000]yyyy-mm-dd")</f>
        <v/>
      </c>
      <c r="C2623" t="inlineStr">
        <is>
          <t>1907-01-23</t>
        </is>
      </c>
    </row>
    <row r="2624">
      <c r="A2624" s="1" t="n">
        <v>2623</v>
      </c>
      <c r="B2624">
        <f>TEXT(2623, "[$-0E0000]yyyy-mm-dd")</f>
        <v/>
      </c>
      <c r="C2624" t="inlineStr">
        <is>
          <t>1907-01-24</t>
        </is>
      </c>
    </row>
    <row r="2625">
      <c r="A2625" s="1" t="n">
        <v>2624</v>
      </c>
      <c r="B2625">
        <f>TEXT(2624, "[$-0E0000]yyyy-mm-dd")</f>
        <v/>
      </c>
      <c r="C2625" t="inlineStr">
        <is>
          <t>1907-01-25</t>
        </is>
      </c>
    </row>
    <row r="2626">
      <c r="A2626" s="1" t="n">
        <v>2625</v>
      </c>
      <c r="B2626">
        <f>TEXT(2625, "[$-0E0000]yyyy-mm-dd")</f>
        <v/>
      </c>
      <c r="C2626" t="inlineStr">
        <is>
          <t>1907-01-26</t>
        </is>
      </c>
    </row>
    <row r="2627">
      <c r="A2627" s="1" t="n">
        <v>2626</v>
      </c>
      <c r="B2627">
        <f>TEXT(2626, "[$-0E0000]yyyy-mm-dd")</f>
        <v/>
      </c>
      <c r="C2627" t="inlineStr">
        <is>
          <t>1907-01-27</t>
        </is>
      </c>
    </row>
    <row r="2628">
      <c r="A2628" s="1" t="n">
        <v>2627</v>
      </c>
      <c r="B2628">
        <f>TEXT(2627, "[$-0E0000]yyyy-mm-dd")</f>
        <v/>
      </c>
      <c r="C2628" t="inlineStr">
        <is>
          <t>1907-01-28</t>
        </is>
      </c>
    </row>
    <row r="2629">
      <c r="A2629" s="1" t="n">
        <v>2628</v>
      </c>
      <c r="B2629">
        <f>TEXT(2628, "[$-0E0000]yyyy-mm-dd")</f>
        <v/>
      </c>
      <c r="C2629" t="inlineStr">
        <is>
          <t>1907-01-29</t>
        </is>
      </c>
    </row>
    <row r="2630">
      <c r="A2630" s="1" t="n">
        <v>2629</v>
      </c>
      <c r="B2630">
        <f>TEXT(2629, "[$-0E0000]yyyy-mm-dd")</f>
        <v/>
      </c>
      <c r="C2630" t="inlineStr">
        <is>
          <t>1907-02-01</t>
        </is>
      </c>
    </row>
    <row r="2631">
      <c r="A2631" s="1" t="n">
        <v>2630</v>
      </c>
      <c r="B2631">
        <f>TEXT(2630, "[$-0E0000]yyyy-mm-dd")</f>
        <v/>
      </c>
      <c r="C2631" t="inlineStr">
        <is>
          <t>1907-02-02</t>
        </is>
      </c>
    </row>
    <row r="2632">
      <c r="A2632" s="1" t="n">
        <v>2631</v>
      </c>
      <c r="B2632">
        <f>TEXT(2631, "[$-0E0000]yyyy-mm-dd")</f>
        <v/>
      </c>
      <c r="C2632" t="inlineStr">
        <is>
          <t>1907-02-03</t>
        </is>
      </c>
    </row>
    <row r="2633">
      <c r="A2633" s="1" t="n">
        <v>2632</v>
      </c>
      <c r="B2633">
        <f>TEXT(2632, "[$-0E0000]yyyy-mm-dd")</f>
        <v/>
      </c>
      <c r="C2633" t="inlineStr">
        <is>
          <t>1907-02-04</t>
        </is>
      </c>
    </row>
    <row r="2634">
      <c r="A2634" s="1" t="n">
        <v>2633</v>
      </c>
      <c r="B2634">
        <f>TEXT(2633, "[$-0E0000]yyyy-mm-dd")</f>
        <v/>
      </c>
      <c r="C2634" t="inlineStr">
        <is>
          <t>1907-02-05</t>
        </is>
      </c>
    </row>
    <row r="2635">
      <c r="A2635" s="1" t="n">
        <v>2634</v>
      </c>
      <c r="B2635">
        <f>TEXT(2634, "[$-0E0000]yyyy-mm-dd")</f>
        <v/>
      </c>
      <c r="C2635" t="inlineStr">
        <is>
          <t>1907-02-06</t>
        </is>
      </c>
    </row>
    <row r="2636">
      <c r="A2636" s="1" t="n">
        <v>2635</v>
      </c>
      <c r="B2636">
        <f>TEXT(2635, "[$-0E0000]yyyy-mm-dd")</f>
        <v/>
      </c>
      <c r="C2636" t="inlineStr">
        <is>
          <t>1907-02-07</t>
        </is>
      </c>
    </row>
    <row r="2637">
      <c r="A2637" s="1" t="n">
        <v>2636</v>
      </c>
      <c r="B2637">
        <f>TEXT(2636, "[$-0E0000]yyyy-mm-dd")</f>
        <v/>
      </c>
      <c r="C2637" t="inlineStr">
        <is>
          <t>1907-02-08</t>
        </is>
      </c>
    </row>
    <row r="2638">
      <c r="A2638" s="1" t="n">
        <v>2637</v>
      </c>
      <c r="B2638">
        <f>TEXT(2637, "[$-0E0000]yyyy-mm-dd")</f>
        <v/>
      </c>
      <c r="C2638" t="inlineStr">
        <is>
          <t>1907-02-09</t>
        </is>
      </c>
    </row>
    <row r="2639">
      <c r="A2639" s="1" t="n">
        <v>2638</v>
      </c>
      <c r="B2639">
        <f>TEXT(2638, "[$-0E0000]yyyy-mm-dd")</f>
        <v/>
      </c>
      <c r="C2639" t="inlineStr">
        <is>
          <t>1907-02-10</t>
        </is>
      </c>
    </row>
    <row r="2640">
      <c r="A2640" s="1" t="n">
        <v>2639</v>
      </c>
      <c r="B2640">
        <f>TEXT(2639, "[$-0E0000]yyyy-mm-dd")</f>
        <v/>
      </c>
      <c r="C2640" t="inlineStr">
        <is>
          <t>1907-02-11</t>
        </is>
      </c>
    </row>
    <row r="2641">
      <c r="A2641" s="1" t="n">
        <v>2640</v>
      </c>
      <c r="B2641">
        <f>TEXT(2640, "[$-0E0000]yyyy-mm-dd")</f>
        <v/>
      </c>
      <c r="C2641" t="inlineStr">
        <is>
          <t>1907-02-12</t>
        </is>
      </c>
    </row>
    <row r="2642">
      <c r="A2642" s="1" t="n">
        <v>2641</v>
      </c>
      <c r="B2642">
        <f>TEXT(2641, "[$-0E0000]yyyy-mm-dd")</f>
        <v/>
      </c>
      <c r="C2642" t="inlineStr">
        <is>
          <t>1907-02-13</t>
        </is>
      </c>
    </row>
    <row r="2643">
      <c r="A2643" s="1" t="n">
        <v>2642</v>
      </c>
      <c r="B2643">
        <f>TEXT(2642, "[$-0E0000]yyyy-mm-dd")</f>
        <v/>
      </c>
      <c r="C2643" t="inlineStr">
        <is>
          <t>1907-02-14</t>
        </is>
      </c>
    </row>
    <row r="2644">
      <c r="A2644" s="1" t="n">
        <v>2643</v>
      </c>
      <c r="B2644">
        <f>TEXT(2643, "[$-0E0000]yyyy-mm-dd")</f>
        <v/>
      </c>
      <c r="C2644" t="inlineStr">
        <is>
          <t>1907-02-15</t>
        </is>
      </c>
    </row>
    <row r="2645">
      <c r="A2645" s="1" t="n">
        <v>2644</v>
      </c>
      <c r="B2645">
        <f>TEXT(2644, "[$-0E0000]yyyy-mm-dd")</f>
        <v/>
      </c>
      <c r="C2645" t="inlineStr">
        <is>
          <t>1907-02-16</t>
        </is>
      </c>
    </row>
    <row r="2646">
      <c r="A2646" s="1" t="n">
        <v>2645</v>
      </c>
      <c r="B2646">
        <f>TEXT(2645, "[$-0E0000]yyyy-mm-dd")</f>
        <v/>
      </c>
      <c r="C2646" t="inlineStr">
        <is>
          <t>1907-02-17</t>
        </is>
      </c>
    </row>
    <row r="2647">
      <c r="A2647" s="1" t="n">
        <v>2646</v>
      </c>
      <c r="B2647">
        <f>TEXT(2646, "[$-0E0000]yyyy-mm-dd")</f>
        <v/>
      </c>
      <c r="C2647" t="inlineStr">
        <is>
          <t>1907-02-18</t>
        </is>
      </c>
    </row>
    <row r="2648">
      <c r="A2648" s="1" t="n">
        <v>2647</v>
      </c>
      <c r="B2648">
        <f>TEXT(2647, "[$-0E0000]yyyy-mm-dd")</f>
        <v/>
      </c>
      <c r="C2648" t="inlineStr">
        <is>
          <t>1907-02-19</t>
        </is>
      </c>
    </row>
    <row r="2649">
      <c r="A2649" s="1" t="n">
        <v>2648</v>
      </c>
      <c r="B2649">
        <f>TEXT(2648, "[$-0E0000]yyyy-mm-dd")</f>
        <v/>
      </c>
      <c r="C2649" t="inlineStr">
        <is>
          <t>1907-02-20</t>
        </is>
      </c>
    </row>
    <row r="2650">
      <c r="A2650" s="1" t="n">
        <v>2649</v>
      </c>
      <c r="B2650">
        <f>TEXT(2649, "[$-0E0000]yyyy-mm-dd")</f>
        <v/>
      </c>
      <c r="C2650" t="inlineStr">
        <is>
          <t>1907-02-21</t>
        </is>
      </c>
    </row>
    <row r="2651">
      <c r="A2651" s="1" t="n">
        <v>2650</v>
      </c>
      <c r="B2651">
        <f>TEXT(2650, "[$-0E0000]yyyy-mm-dd")</f>
        <v/>
      </c>
      <c r="C2651" t="inlineStr">
        <is>
          <t>1907-02-22</t>
        </is>
      </c>
    </row>
    <row r="2652">
      <c r="A2652" s="1" t="n">
        <v>2651</v>
      </c>
      <c r="B2652">
        <f>TEXT(2651, "[$-0E0000]yyyy-mm-dd")</f>
        <v/>
      </c>
      <c r="C2652" t="inlineStr">
        <is>
          <t>1907-02-23</t>
        </is>
      </c>
    </row>
    <row r="2653">
      <c r="A2653" s="1" t="n">
        <v>2652</v>
      </c>
      <c r="B2653">
        <f>TEXT(2652, "[$-0E0000]yyyy-mm-dd")</f>
        <v/>
      </c>
      <c r="C2653" t="inlineStr">
        <is>
          <t>1907-02-24</t>
        </is>
      </c>
    </row>
    <row r="2654">
      <c r="A2654" s="1" t="n">
        <v>2653</v>
      </c>
      <c r="B2654">
        <f>TEXT(2653, "[$-0E0000]yyyy-mm-dd")</f>
        <v/>
      </c>
      <c r="C2654" t="inlineStr">
        <is>
          <t>1907-02-25</t>
        </is>
      </c>
    </row>
    <row r="2655">
      <c r="A2655" s="1" t="n">
        <v>2654</v>
      </c>
      <c r="B2655">
        <f>TEXT(2654, "[$-0E0000]yyyy-mm-dd")</f>
        <v/>
      </c>
      <c r="C2655" t="inlineStr">
        <is>
          <t>1907-02-26</t>
        </is>
      </c>
    </row>
    <row r="2656">
      <c r="A2656" s="1" t="n">
        <v>2655</v>
      </c>
      <c r="B2656">
        <f>TEXT(2655, "[$-0E0000]yyyy-mm-dd")</f>
        <v/>
      </c>
      <c r="C2656" t="inlineStr">
        <is>
          <t>1907-02-27</t>
        </is>
      </c>
    </row>
    <row r="2657">
      <c r="A2657" s="1" t="n">
        <v>2656</v>
      </c>
      <c r="B2657">
        <f>TEXT(2656, "[$-0E0000]yyyy-mm-dd")</f>
        <v/>
      </c>
      <c r="C2657" t="inlineStr">
        <is>
          <t>1907-02-28</t>
        </is>
      </c>
    </row>
    <row r="2658">
      <c r="A2658" s="1" t="n">
        <v>2657</v>
      </c>
      <c r="B2658">
        <f>TEXT(2657, "[$-0E0000]yyyy-mm-dd")</f>
        <v/>
      </c>
      <c r="C2658" t="inlineStr">
        <is>
          <t>1907-02-29</t>
        </is>
      </c>
    </row>
    <row r="2659">
      <c r="A2659" s="1" t="n">
        <v>2658</v>
      </c>
      <c r="B2659">
        <f>TEXT(2658, "[$-0E0000]yyyy-mm-dd")</f>
        <v/>
      </c>
      <c r="C2659" t="inlineStr">
        <is>
          <t>1907-02-30</t>
        </is>
      </c>
    </row>
    <row r="2660">
      <c r="A2660" s="1" t="n">
        <v>2659</v>
      </c>
      <c r="B2660">
        <f>TEXT(2659, "[$-0E0000]yyyy-mm-dd")</f>
        <v/>
      </c>
      <c r="C2660" t="inlineStr">
        <is>
          <t>1907-03-01</t>
        </is>
      </c>
    </row>
    <row r="2661">
      <c r="A2661" s="1" t="n">
        <v>2660</v>
      </c>
      <c r="B2661">
        <f>TEXT(2660, "[$-0E0000]yyyy-mm-dd")</f>
        <v/>
      </c>
      <c r="C2661" t="inlineStr">
        <is>
          <t>1907-03-02</t>
        </is>
      </c>
    </row>
    <row r="2662">
      <c r="A2662" s="1" t="n">
        <v>2661</v>
      </c>
      <c r="B2662">
        <f>TEXT(2661, "[$-0E0000]yyyy-mm-dd")</f>
        <v/>
      </c>
      <c r="C2662" t="inlineStr">
        <is>
          <t>1907-03-03</t>
        </is>
      </c>
    </row>
    <row r="2663">
      <c r="A2663" s="1" t="n">
        <v>2662</v>
      </c>
      <c r="B2663">
        <f>TEXT(2662, "[$-0E0000]yyyy-mm-dd")</f>
        <v/>
      </c>
      <c r="C2663" t="inlineStr">
        <is>
          <t>1907-03-04</t>
        </is>
      </c>
    </row>
    <row r="2664">
      <c r="A2664" s="1" t="n">
        <v>2663</v>
      </c>
      <c r="B2664">
        <f>TEXT(2663, "[$-0E0000]yyyy-mm-dd")</f>
        <v/>
      </c>
      <c r="C2664" t="inlineStr">
        <is>
          <t>1907-03-05</t>
        </is>
      </c>
    </row>
    <row r="2665">
      <c r="A2665" s="1" t="n">
        <v>2664</v>
      </c>
      <c r="B2665">
        <f>TEXT(2664, "[$-0E0000]yyyy-mm-dd")</f>
        <v/>
      </c>
      <c r="C2665" t="inlineStr">
        <is>
          <t>1907-03-06</t>
        </is>
      </c>
    </row>
    <row r="2666">
      <c r="A2666" s="1" t="n">
        <v>2665</v>
      </c>
      <c r="B2666">
        <f>TEXT(2665, "[$-0E0000]yyyy-mm-dd")</f>
        <v/>
      </c>
      <c r="C2666" t="inlineStr">
        <is>
          <t>1907-03-07</t>
        </is>
      </c>
    </row>
    <row r="2667">
      <c r="A2667" s="1" t="n">
        <v>2666</v>
      </c>
      <c r="B2667">
        <f>TEXT(2666, "[$-0E0000]yyyy-mm-dd")</f>
        <v/>
      </c>
      <c r="C2667" t="inlineStr">
        <is>
          <t>1907-03-08</t>
        </is>
      </c>
    </row>
    <row r="2668">
      <c r="A2668" s="1" t="n">
        <v>2667</v>
      </c>
      <c r="B2668">
        <f>TEXT(2667, "[$-0E0000]yyyy-mm-dd")</f>
        <v/>
      </c>
      <c r="C2668" t="inlineStr">
        <is>
          <t>1907-03-09</t>
        </is>
      </c>
    </row>
    <row r="2669">
      <c r="A2669" s="1" t="n">
        <v>2668</v>
      </c>
      <c r="B2669">
        <f>TEXT(2668, "[$-0E0000]yyyy-mm-dd")</f>
        <v/>
      </c>
      <c r="C2669" t="inlineStr">
        <is>
          <t>1907-03-10</t>
        </is>
      </c>
    </row>
    <row r="2670">
      <c r="A2670" s="1" t="n">
        <v>2669</v>
      </c>
      <c r="B2670">
        <f>TEXT(2669, "[$-0E0000]yyyy-mm-dd")</f>
        <v/>
      </c>
      <c r="C2670" t="inlineStr">
        <is>
          <t>1907-03-11</t>
        </is>
      </c>
    </row>
    <row r="2671">
      <c r="A2671" s="1" t="n">
        <v>2670</v>
      </c>
      <c r="B2671">
        <f>TEXT(2670, "[$-0E0000]yyyy-mm-dd")</f>
        <v/>
      </c>
      <c r="C2671" t="inlineStr">
        <is>
          <t>1907-03-12</t>
        </is>
      </c>
    </row>
    <row r="2672">
      <c r="A2672" s="1" t="n">
        <v>2671</v>
      </c>
      <c r="B2672">
        <f>TEXT(2671, "[$-0E0000]yyyy-mm-dd")</f>
        <v/>
      </c>
      <c r="C2672" t="inlineStr">
        <is>
          <t>1907-03-13</t>
        </is>
      </c>
    </row>
    <row r="2673">
      <c r="A2673" s="1" t="n">
        <v>2672</v>
      </c>
      <c r="B2673">
        <f>TEXT(2672, "[$-0E0000]yyyy-mm-dd")</f>
        <v/>
      </c>
      <c r="C2673" t="inlineStr">
        <is>
          <t>1907-03-14</t>
        </is>
      </c>
    </row>
    <row r="2674">
      <c r="A2674" s="1" t="n">
        <v>2673</v>
      </c>
      <c r="B2674">
        <f>TEXT(2673, "[$-0E0000]yyyy-mm-dd")</f>
        <v/>
      </c>
      <c r="C2674" t="inlineStr">
        <is>
          <t>1907-03-15</t>
        </is>
      </c>
    </row>
    <row r="2675">
      <c r="A2675" s="1" t="n">
        <v>2674</v>
      </c>
      <c r="B2675">
        <f>TEXT(2674, "[$-0E0000]yyyy-mm-dd")</f>
        <v/>
      </c>
      <c r="C2675" t="inlineStr">
        <is>
          <t>1907-03-16</t>
        </is>
      </c>
    </row>
    <row r="2676">
      <c r="A2676" s="1" t="n">
        <v>2675</v>
      </c>
      <c r="B2676">
        <f>TEXT(2675, "[$-0E0000]yyyy-mm-dd")</f>
        <v/>
      </c>
      <c r="C2676" t="inlineStr">
        <is>
          <t>1907-03-17</t>
        </is>
      </c>
    </row>
    <row r="2677">
      <c r="A2677" s="1" t="n">
        <v>2676</v>
      </c>
      <c r="B2677">
        <f>TEXT(2676, "[$-0E0000]yyyy-mm-dd")</f>
        <v/>
      </c>
      <c r="C2677" t="inlineStr">
        <is>
          <t>1907-03-18</t>
        </is>
      </c>
    </row>
    <row r="2678">
      <c r="A2678" s="1" t="n">
        <v>2677</v>
      </c>
      <c r="B2678">
        <f>TEXT(2677, "[$-0E0000]yyyy-mm-dd")</f>
        <v/>
      </c>
      <c r="C2678" t="inlineStr">
        <is>
          <t>1907-03-19</t>
        </is>
      </c>
    </row>
    <row r="2679">
      <c r="A2679" s="1" t="n">
        <v>2678</v>
      </c>
      <c r="B2679">
        <f>TEXT(2678, "[$-0E0000]yyyy-mm-dd")</f>
        <v/>
      </c>
      <c r="C2679" t="inlineStr">
        <is>
          <t>1907-03-20</t>
        </is>
      </c>
    </row>
    <row r="2680">
      <c r="A2680" s="1" t="n">
        <v>2679</v>
      </c>
      <c r="B2680">
        <f>TEXT(2679, "[$-0E0000]yyyy-mm-dd")</f>
        <v/>
      </c>
      <c r="C2680" t="inlineStr">
        <is>
          <t>1907-03-21</t>
        </is>
      </c>
    </row>
    <row r="2681">
      <c r="A2681" s="1" t="n">
        <v>2680</v>
      </c>
      <c r="B2681">
        <f>TEXT(2680, "[$-0E0000]yyyy-mm-dd")</f>
        <v/>
      </c>
      <c r="C2681" t="inlineStr">
        <is>
          <t>1907-03-22</t>
        </is>
      </c>
    </row>
    <row r="2682">
      <c r="A2682" s="1" t="n">
        <v>2681</v>
      </c>
      <c r="B2682">
        <f>TEXT(2681, "[$-0E0000]yyyy-mm-dd")</f>
        <v/>
      </c>
      <c r="C2682" t="inlineStr">
        <is>
          <t>1907-03-23</t>
        </is>
      </c>
    </row>
    <row r="2683">
      <c r="A2683" s="1" t="n">
        <v>2682</v>
      </c>
      <c r="B2683">
        <f>TEXT(2682, "[$-0E0000]yyyy-mm-dd")</f>
        <v/>
      </c>
      <c r="C2683" t="inlineStr">
        <is>
          <t>1907-03-24</t>
        </is>
      </c>
    </row>
    <row r="2684">
      <c r="A2684" s="1" t="n">
        <v>2683</v>
      </c>
      <c r="B2684">
        <f>TEXT(2683, "[$-0E0000]yyyy-mm-dd")</f>
        <v/>
      </c>
      <c r="C2684" t="inlineStr">
        <is>
          <t>1907-03-25</t>
        </is>
      </c>
    </row>
    <row r="2685">
      <c r="A2685" s="1" t="n">
        <v>2684</v>
      </c>
      <c r="B2685">
        <f>TEXT(2684, "[$-0E0000]yyyy-mm-dd")</f>
        <v/>
      </c>
      <c r="C2685" t="inlineStr">
        <is>
          <t>1907-03-26</t>
        </is>
      </c>
    </row>
    <row r="2686">
      <c r="A2686" s="1" t="n">
        <v>2685</v>
      </c>
      <c r="B2686">
        <f>TEXT(2685, "[$-0E0000]yyyy-mm-dd")</f>
        <v/>
      </c>
      <c r="C2686" t="inlineStr">
        <is>
          <t>1907-03-27</t>
        </is>
      </c>
    </row>
    <row r="2687">
      <c r="A2687" s="1" t="n">
        <v>2686</v>
      </c>
      <c r="B2687">
        <f>TEXT(2686, "[$-0E0000]yyyy-mm-dd")</f>
        <v/>
      </c>
      <c r="C2687" t="inlineStr">
        <is>
          <t>1907-03-28</t>
        </is>
      </c>
    </row>
    <row r="2688">
      <c r="A2688" s="1" t="n">
        <v>2687</v>
      </c>
      <c r="B2688">
        <f>TEXT(2687, "[$-0E0000]yyyy-mm-dd")</f>
        <v/>
      </c>
      <c r="C2688" t="inlineStr">
        <is>
          <t>1907-03-29</t>
        </is>
      </c>
    </row>
    <row r="2689">
      <c r="A2689" s="1" t="n">
        <v>2688</v>
      </c>
      <c r="B2689">
        <f>TEXT(2688, "[$-0E0000]yyyy-mm-dd")</f>
        <v/>
      </c>
      <c r="C2689" t="inlineStr">
        <is>
          <t>1907-04-01</t>
        </is>
      </c>
    </row>
    <row r="2690">
      <c r="A2690" s="1" t="n">
        <v>2689</v>
      </c>
      <c r="B2690">
        <f>TEXT(2689, "[$-0E0000]yyyy-mm-dd")</f>
        <v/>
      </c>
      <c r="C2690" t="inlineStr">
        <is>
          <t>1907-04-02</t>
        </is>
      </c>
    </row>
    <row r="2691">
      <c r="A2691" s="1" t="n">
        <v>2690</v>
      </c>
      <c r="B2691">
        <f>TEXT(2690, "[$-0E0000]yyyy-mm-dd")</f>
        <v/>
      </c>
      <c r="C2691" t="inlineStr">
        <is>
          <t>1907-04-03</t>
        </is>
      </c>
    </row>
    <row r="2692">
      <c r="A2692" s="1" t="n">
        <v>2691</v>
      </c>
      <c r="B2692">
        <f>TEXT(2691, "[$-0E0000]yyyy-mm-dd")</f>
        <v/>
      </c>
      <c r="C2692" t="inlineStr">
        <is>
          <t>1907-04-04</t>
        </is>
      </c>
    </row>
    <row r="2693">
      <c r="A2693" s="1" t="n">
        <v>2692</v>
      </c>
      <c r="B2693">
        <f>TEXT(2692, "[$-0E0000]yyyy-mm-dd")</f>
        <v/>
      </c>
      <c r="C2693" t="inlineStr">
        <is>
          <t>1907-04-05</t>
        </is>
      </c>
    </row>
    <row r="2694">
      <c r="A2694" s="1" t="n">
        <v>2693</v>
      </c>
      <c r="B2694">
        <f>TEXT(2693, "[$-0E0000]yyyy-mm-dd")</f>
        <v/>
      </c>
      <c r="C2694" t="inlineStr">
        <is>
          <t>1907-04-06</t>
        </is>
      </c>
    </row>
    <row r="2695">
      <c r="A2695" s="1" t="n">
        <v>2694</v>
      </c>
      <c r="B2695">
        <f>TEXT(2694, "[$-0E0000]yyyy-mm-dd")</f>
        <v/>
      </c>
      <c r="C2695" t="inlineStr">
        <is>
          <t>1907-04-07</t>
        </is>
      </c>
    </row>
    <row r="2696">
      <c r="A2696" s="1" t="n">
        <v>2695</v>
      </c>
      <c r="B2696">
        <f>TEXT(2695, "[$-0E0000]yyyy-mm-dd")</f>
        <v/>
      </c>
      <c r="C2696" t="inlineStr">
        <is>
          <t>1907-04-08</t>
        </is>
      </c>
    </row>
    <row r="2697">
      <c r="A2697" s="1" t="n">
        <v>2696</v>
      </c>
      <c r="B2697">
        <f>TEXT(2696, "[$-0E0000]yyyy-mm-dd")</f>
        <v/>
      </c>
      <c r="C2697" t="inlineStr">
        <is>
          <t>1907-04-09</t>
        </is>
      </c>
    </row>
    <row r="2698">
      <c r="A2698" s="1" t="n">
        <v>2697</v>
      </c>
      <c r="B2698">
        <f>TEXT(2697, "[$-0E0000]yyyy-mm-dd")</f>
        <v/>
      </c>
      <c r="C2698" t="inlineStr">
        <is>
          <t>1907-04-10</t>
        </is>
      </c>
    </row>
    <row r="2699">
      <c r="A2699" s="1" t="n">
        <v>2698</v>
      </c>
      <c r="B2699">
        <f>TEXT(2698, "[$-0E0000]yyyy-mm-dd")</f>
        <v/>
      </c>
      <c r="C2699" t="inlineStr">
        <is>
          <t>1907-04-11</t>
        </is>
      </c>
    </row>
    <row r="2700">
      <c r="A2700" s="1" t="n">
        <v>2699</v>
      </c>
      <c r="B2700">
        <f>TEXT(2699, "[$-0E0000]yyyy-mm-dd")</f>
        <v/>
      </c>
      <c r="C2700" t="inlineStr">
        <is>
          <t>1907-04-12</t>
        </is>
      </c>
    </row>
    <row r="2701">
      <c r="A2701" s="1" t="n">
        <v>2700</v>
      </c>
      <c r="B2701">
        <f>TEXT(2700, "[$-0E0000]yyyy-mm-dd")</f>
        <v/>
      </c>
      <c r="C2701" t="inlineStr">
        <is>
          <t>1907-04-13</t>
        </is>
      </c>
    </row>
    <row r="2702">
      <c r="A2702" s="1" t="n">
        <v>2701</v>
      </c>
      <c r="B2702">
        <f>TEXT(2701, "[$-0E0000]yyyy-mm-dd")</f>
        <v/>
      </c>
      <c r="C2702" t="inlineStr">
        <is>
          <t>1907-04-14</t>
        </is>
      </c>
    </row>
    <row r="2703">
      <c r="A2703" s="1" t="n">
        <v>2702</v>
      </c>
      <c r="B2703">
        <f>TEXT(2702, "[$-0E0000]yyyy-mm-dd")</f>
        <v/>
      </c>
      <c r="C2703" t="inlineStr">
        <is>
          <t>1907-04-15</t>
        </is>
      </c>
    </row>
    <row r="2704">
      <c r="A2704" s="1" t="n">
        <v>2703</v>
      </c>
      <c r="B2704">
        <f>TEXT(2703, "[$-0E0000]yyyy-mm-dd")</f>
        <v/>
      </c>
      <c r="C2704" t="inlineStr">
        <is>
          <t>1907-04-16</t>
        </is>
      </c>
    </row>
    <row r="2705">
      <c r="A2705" s="1" t="n">
        <v>2704</v>
      </c>
      <c r="B2705">
        <f>TEXT(2704, "[$-0E0000]yyyy-mm-dd")</f>
        <v/>
      </c>
      <c r="C2705" t="inlineStr">
        <is>
          <t>1907-04-17</t>
        </is>
      </c>
    </row>
    <row r="2706">
      <c r="A2706" s="1" t="n">
        <v>2705</v>
      </c>
      <c r="B2706">
        <f>TEXT(2705, "[$-0E0000]yyyy-mm-dd")</f>
        <v/>
      </c>
      <c r="C2706" t="inlineStr">
        <is>
          <t>1907-04-18</t>
        </is>
      </c>
    </row>
    <row r="2707">
      <c r="A2707" s="1" t="n">
        <v>2706</v>
      </c>
      <c r="B2707">
        <f>TEXT(2706, "[$-0E0000]yyyy-mm-dd")</f>
        <v/>
      </c>
      <c r="C2707" t="inlineStr">
        <is>
          <t>1907-04-19</t>
        </is>
      </c>
    </row>
    <row r="2708">
      <c r="A2708" s="1" t="n">
        <v>2707</v>
      </c>
      <c r="B2708">
        <f>TEXT(2707, "[$-0E0000]yyyy-mm-dd")</f>
        <v/>
      </c>
      <c r="C2708" t="inlineStr">
        <is>
          <t>1907-04-20</t>
        </is>
      </c>
    </row>
    <row r="2709">
      <c r="A2709" s="1" t="n">
        <v>2708</v>
      </c>
      <c r="B2709">
        <f>TEXT(2708, "[$-0E0000]yyyy-mm-dd")</f>
        <v/>
      </c>
      <c r="C2709" t="inlineStr">
        <is>
          <t>1907-04-21</t>
        </is>
      </c>
    </row>
    <row r="2710">
      <c r="A2710" s="1" t="n">
        <v>2709</v>
      </c>
      <c r="B2710">
        <f>TEXT(2709, "[$-0E0000]yyyy-mm-dd")</f>
        <v/>
      </c>
      <c r="C2710" t="inlineStr">
        <is>
          <t>1907-04-22</t>
        </is>
      </c>
    </row>
    <row r="2711">
      <c r="A2711" s="1" t="n">
        <v>2710</v>
      </c>
      <c r="B2711">
        <f>TEXT(2710, "[$-0E0000]yyyy-mm-dd")</f>
        <v/>
      </c>
      <c r="C2711" t="inlineStr">
        <is>
          <t>1907-04-23</t>
        </is>
      </c>
    </row>
    <row r="2712">
      <c r="A2712" s="1" t="n">
        <v>2711</v>
      </c>
      <c r="B2712">
        <f>TEXT(2711, "[$-0E0000]yyyy-mm-dd")</f>
        <v/>
      </c>
      <c r="C2712" t="inlineStr">
        <is>
          <t>1907-04-24</t>
        </is>
      </c>
    </row>
    <row r="2713">
      <c r="A2713" s="1" t="n">
        <v>2712</v>
      </c>
      <c r="B2713">
        <f>TEXT(2712, "[$-0E0000]yyyy-mm-dd")</f>
        <v/>
      </c>
      <c r="C2713" t="inlineStr">
        <is>
          <t>1907-04-25</t>
        </is>
      </c>
    </row>
    <row r="2714">
      <c r="A2714" s="1" t="n">
        <v>2713</v>
      </c>
      <c r="B2714">
        <f>TEXT(2713, "[$-0E0000]yyyy-mm-dd")</f>
        <v/>
      </c>
      <c r="C2714" t="inlineStr">
        <is>
          <t>1907-04-26</t>
        </is>
      </c>
    </row>
    <row r="2715">
      <c r="A2715" s="1" t="n">
        <v>2714</v>
      </c>
      <c r="B2715">
        <f>TEXT(2714, "[$-0E0000]yyyy-mm-dd")</f>
        <v/>
      </c>
      <c r="C2715" t="inlineStr">
        <is>
          <t>1907-04-27</t>
        </is>
      </c>
    </row>
    <row r="2716">
      <c r="A2716" s="1" t="n">
        <v>2715</v>
      </c>
      <c r="B2716">
        <f>TEXT(2715, "[$-0E0000]yyyy-mm-dd")</f>
        <v/>
      </c>
      <c r="C2716" t="inlineStr">
        <is>
          <t>1907-04-28</t>
        </is>
      </c>
    </row>
    <row r="2717">
      <c r="A2717" s="1" t="n">
        <v>2716</v>
      </c>
      <c r="B2717">
        <f>TEXT(2716, "[$-0E0000]yyyy-mm-dd")</f>
        <v/>
      </c>
      <c r="C2717" t="inlineStr">
        <is>
          <t>1907-04-29</t>
        </is>
      </c>
    </row>
    <row r="2718">
      <c r="A2718" s="1" t="n">
        <v>2717</v>
      </c>
      <c r="B2718">
        <f>TEXT(2717, "[$-0E0000]yyyy-mm-dd")</f>
        <v/>
      </c>
      <c r="C2718" t="inlineStr">
        <is>
          <t>1907-04-30</t>
        </is>
      </c>
    </row>
    <row r="2719">
      <c r="A2719" s="1" t="n">
        <v>2718</v>
      </c>
      <c r="B2719">
        <f>TEXT(2718, "[$-0E0000]yyyy-mm-dd")</f>
        <v/>
      </c>
      <c r="C2719" t="inlineStr">
        <is>
          <t>1907-05-01</t>
        </is>
      </c>
    </row>
    <row r="2720">
      <c r="A2720" s="1" t="n">
        <v>2719</v>
      </c>
      <c r="B2720">
        <f>TEXT(2719, "[$-0E0000]yyyy-mm-dd")</f>
        <v/>
      </c>
      <c r="C2720" t="inlineStr">
        <is>
          <t>1907-05-02</t>
        </is>
      </c>
    </row>
    <row r="2721">
      <c r="A2721" s="1" t="n">
        <v>2720</v>
      </c>
      <c r="B2721">
        <f>TEXT(2720, "[$-0E0000]yyyy-mm-dd")</f>
        <v/>
      </c>
      <c r="C2721" t="inlineStr">
        <is>
          <t>1907-05-03</t>
        </is>
      </c>
    </row>
    <row r="2722">
      <c r="A2722" s="1" t="n">
        <v>2721</v>
      </c>
      <c r="B2722">
        <f>TEXT(2721, "[$-0E0000]yyyy-mm-dd")</f>
        <v/>
      </c>
      <c r="C2722" t="inlineStr">
        <is>
          <t>1907-05-04</t>
        </is>
      </c>
    </row>
    <row r="2723">
      <c r="A2723" s="1" t="n">
        <v>2722</v>
      </c>
      <c r="B2723">
        <f>TEXT(2722, "[$-0E0000]yyyy-mm-dd")</f>
        <v/>
      </c>
      <c r="C2723" t="inlineStr">
        <is>
          <t>1907-05-05</t>
        </is>
      </c>
    </row>
    <row r="2724">
      <c r="A2724" s="1" t="n">
        <v>2723</v>
      </c>
      <c r="B2724">
        <f>TEXT(2723, "[$-0E0000]yyyy-mm-dd")</f>
        <v/>
      </c>
      <c r="C2724" t="inlineStr">
        <is>
          <t>1907-05-06</t>
        </is>
      </c>
    </row>
    <row r="2725">
      <c r="A2725" s="1" t="n">
        <v>2724</v>
      </c>
      <c r="B2725">
        <f>TEXT(2724, "[$-0E0000]yyyy-mm-dd")</f>
        <v/>
      </c>
      <c r="C2725" t="inlineStr">
        <is>
          <t>1907-05-07</t>
        </is>
      </c>
    </row>
    <row r="2726">
      <c r="A2726" s="1" t="n">
        <v>2725</v>
      </c>
      <c r="B2726">
        <f>TEXT(2725, "[$-0E0000]yyyy-mm-dd")</f>
        <v/>
      </c>
      <c r="C2726" t="inlineStr">
        <is>
          <t>1907-05-08</t>
        </is>
      </c>
    </row>
    <row r="2727">
      <c r="A2727" s="1" t="n">
        <v>2726</v>
      </c>
      <c r="B2727">
        <f>TEXT(2726, "[$-0E0000]yyyy-mm-dd")</f>
        <v/>
      </c>
      <c r="C2727" t="inlineStr">
        <is>
          <t>1907-05-09</t>
        </is>
      </c>
    </row>
    <row r="2728">
      <c r="A2728" s="1" t="n">
        <v>2727</v>
      </c>
      <c r="B2728">
        <f>TEXT(2727, "[$-0E0000]yyyy-mm-dd")</f>
        <v/>
      </c>
      <c r="C2728" t="inlineStr">
        <is>
          <t>1907-05-10</t>
        </is>
      </c>
    </row>
    <row r="2729">
      <c r="A2729" s="1" t="n">
        <v>2728</v>
      </c>
      <c r="B2729">
        <f>TEXT(2728, "[$-0E0000]yyyy-mm-dd")</f>
        <v/>
      </c>
      <c r="C2729" t="inlineStr">
        <is>
          <t>1907-05-11</t>
        </is>
      </c>
    </row>
    <row r="2730">
      <c r="A2730" s="1" t="n">
        <v>2729</v>
      </c>
      <c r="B2730">
        <f>TEXT(2729, "[$-0E0000]yyyy-mm-dd")</f>
        <v/>
      </c>
      <c r="C2730" t="inlineStr">
        <is>
          <t>1907-05-12</t>
        </is>
      </c>
    </row>
    <row r="2731">
      <c r="A2731" s="1" t="n">
        <v>2730</v>
      </c>
      <c r="B2731">
        <f>TEXT(2730, "[$-0E0000]yyyy-mm-dd")</f>
        <v/>
      </c>
      <c r="C2731" t="inlineStr">
        <is>
          <t>1907-05-13</t>
        </is>
      </c>
    </row>
    <row r="2732">
      <c r="A2732" s="1" t="n">
        <v>2731</v>
      </c>
      <c r="B2732">
        <f>TEXT(2731, "[$-0E0000]yyyy-mm-dd")</f>
        <v/>
      </c>
      <c r="C2732" t="inlineStr">
        <is>
          <t>1907-05-14</t>
        </is>
      </c>
    </row>
    <row r="2733">
      <c r="A2733" s="1" t="n">
        <v>2732</v>
      </c>
      <c r="B2733">
        <f>TEXT(2732, "[$-0E0000]yyyy-mm-dd")</f>
        <v/>
      </c>
      <c r="C2733" t="inlineStr">
        <is>
          <t>1907-05-15</t>
        </is>
      </c>
    </row>
    <row r="2734">
      <c r="A2734" s="1" t="n">
        <v>2733</v>
      </c>
      <c r="B2734">
        <f>TEXT(2733, "[$-0E0000]yyyy-mm-dd")</f>
        <v/>
      </c>
      <c r="C2734" t="inlineStr">
        <is>
          <t>1907-05-16</t>
        </is>
      </c>
    </row>
    <row r="2735">
      <c r="A2735" s="1" t="n">
        <v>2734</v>
      </c>
      <c r="B2735">
        <f>TEXT(2734, "[$-0E0000]yyyy-mm-dd")</f>
        <v/>
      </c>
      <c r="C2735" t="inlineStr">
        <is>
          <t>1907-05-17</t>
        </is>
      </c>
    </row>
    <row r="2736">
      <c r="A2736" s="1" t="n">
        <v>2735</v>
      </c>
      <c r="B2736">
        <f>TEXT(2735, "[$-0E0000]yyyy-mm-dd")</f>
        <v/>
      </c>
      <c r="C2736" t="inlineStr">
        <is>
          <t>1907-05-18</t>
        </is>
      </c>
    </row>
    <row r="2737">
      <c r="A2737" s="1" t="n">
        <v>2736</v>
      </c>
      <c r="B2737">
        <f>TEXT(2736, "[$-0E0000]yyyy-mm-dd")</f>
        <v/>
      </c>
      <c r="C2737" t="inlineStr">
        <is>
          <t>1907-05-19</t>
        </is>
      </c>
    </row>
    <row r="2738">
      <c r="A2738" s="1" t="n">
        <v>2737</v>
      </c>
      <c r="B2738">
        <f>TEXT(2737, "[$-0E0000]yyyy-mm-dd")</f>
        <v/>
      </c>
      <c r="C2738" t="inlineStr">
        <is>
          <t>1907-05-20</t>
        </is>
      </c>
    </row>
    <row r="2739">
      <c r="A2739" s="1" t="n">
        <v>2738</v>
      </c>
      <c r="B2739">
        <f>TEXT(2738, "[$-0E0000]yyyy-mm-dd")</f>
        <v/>
      </c>
      <c r="C2739" t="inlineStr">
        <is>
          <t>1907-05-21</t>
        </is>
      </c>
    </row>
    <row r="2740">
      <c r="A2740" s="1" t="n">
        <v>2739</v>
      </c>
      <c r="B2740">
        <f>TEXT(2739, "[$-0E0000]yyyy-mm-dd")</f>
        <v/>
      </c>
      <c r="C2740" t="inlineStr">
        <is>
          <t>1907-05-22</t>
        </is>
      </c>
    </row>
    <row r="2741">
      <c r="A2741" s="1" t="n">
        <v>2740</v>
      </c>
      <c r="B2741">
        <f>TEXT(2740, "[$-0E0000]yyyy-mm-dd")</f>
        <v/>
      </c>
      <c r="C2741" t="inlineStr">
        <is>
          <t>1907-05-23</t>
        </is>
      </c>
    </row>
    <row r="2742">
      <c r="A2742" s="1" t="n">
        <v>2741</v>
      </c>
      <c r="B2742">
        <f>TEXT(2741, "[$-0E0000]yyyy-mm-dd")</f>
        <v/>
      </c>
      <c r="C2742" t="inlineStr">
        <is>
          <t>1907-05-24</t>
        </is>
      </c>
    </row>
    <row r="2743">
      <c r="A2743" s="1" t="n">
        <v>2742</v>
      </c>
      <c r="B2743">
        <f>TEXT(2742, "[$-0E0000]yyyy-mm-dd")</f>
        <v/>
      </c>
      <c r="C2743" t="inlineStr">
        <is>
          <t>1907-05-25</t>
        </is>
      </c>
    </row>
    <row r="2744">
      <c r="A2744" s="1" t="n">
        <v>2743</v>
      </c>
      <c r="B2744">
        <f>TEXT(2743, "[$-0E0000]yyyy-mm-dd")</f>
        <v/>
      </c>
      <c r="C2744" t="inlineStr">
        <is>
          <t>1907-05-26</t>
        </is>
      </c>
    </row>
    <row r="2745">
      <c r="A2745" s="1" t="n">
        <v>2744</v>
      </c>
      <c r="B2745">
        <f>TEXT(2744, "[$-0E0000]yyyy-mm-dd")</f>
        <v/>
      </c>
      <c r="C2745" t="inlineStr">
        <is>
          <t>1907-05-27</t>
        </is>
      </c>
    </row>
    <row r="2746">
      <c r="A2746" s="1" t="n">
        <v>2745</v>
      </c>
      <c r="B2746">
        <f>TEXT(2745, "[$-0E0000]yyyy-mm-dd")</f>
        <v/>
      </c>
      <c r="C2746" t="inlineStr">
        <is>
          <t>1907-05-28</t>
        </is>
      </c>
    </row>
    <row r="2747">
      <c r="A2747" s="1" t="n">
        <v>2746</v>
      </c>
      <c r="B2747">
        <f>TEXT(2746, "[$-0E0000]yyyy-mm-dd")</f>
        <v/>
      </c>
      <c r="C2747" t="inlineStr">
        <is>
          <t>1907-05-29</t>
        </is>
      </c>
    </row>
    <row r="2748">
      <c r="A2748" s="1" t="n">
        <v>2747</v>
      </c>
      <c r="B2748">
        <f>TEXT(2747, "[$-0E0000]yyyy-mm-dd")</f>
        <v/>
      </c>
      <c r="C2748" t="inlineStr">
        <is>
          <t>1907-06-01</t>
        </is>
      </c>
    </row>
    <row r="2749">
      <c r="A2749" s="1" t="n">
        <v>2748</v>
      </c>
      <c r="B2749">
        <f>TEXT(2748, "[$-0E0000]yyyy-mm-dd")</f>
        <v/>
      </c>
      <c r="C2749" t="inlineStr">
        <is>
          <t>1907-06-02</t>
        </is>
      </c>
    </row>
    <row r="2750">
      <c r="A2750" s="1" t="n">
        <v>2749</v>
      </c>
      <c r="B2750">
        <f>TEXT(2749, "[$-0E0000]yyyy-mm-dd")</f>
        <v/>
      </c>
      <c r="C2750" t="inlineStr">
        <is>
          <t>1907-06-03</t>
        </is>
      </c>
    </row>
    <row r="2751">
      <c r="A2751" s="1" t="n">
        <v>2750</v>
      </c>
      <c r="B2751">
        <f>TEXT(2750, "[$-0E0000]yyyy-mm-dd")</f>
        <v/>
      </c>
      <c r="C2751" t="inlineStr">
        <is>
          <t>1907-06-04</t>
        </is>
      </c>
    </row>
    <row r="2752">
      <c r="A2752" s="1" t="n">
        <v>2751</v>
      </c>
      <c r="B2752">
        <f>TEXT(2751, "[$-0E0000]yyyy-mm-dd")</f>
        <v/>
      </c>
      <c r="C2752" t="inlineStr">
        <is>
          <t>1907-06-05</t>
        </is>
      </c>
    </row>
    <row r="2753">
      <c r="A2753" s="1" t="n">
        <v>2752</v>
      </c>
      <c r="B2753">
        <f>TEXT(2752, "[$-0E0000]yyyy-mm-dd")</f>
        <v/>
      </c>
      <c r="C2753" t="inlineStr">
        <is>
          <t>1907-06-06</t>
        </is>
      </c>
    </row>
    <row r="2754">
      <c r="A2754" s="1" t="n">
        <v>2753</v>
      </c>
      <c r="B2754">
        <f>TEXT(2753, "[$-0E0000]yyyy-mm-dd")</f>
        <v/>
      </c>
      <c r="C2754" t="inlineStr">
        <is>
          <t>1907-06-07</t>
        </is>
      </c>
    </row>
    <row r="2755">
      <c r="A2755" s="1" t="n">
        <v>2754</v>
      </c>
      <c r="B2755">
        <f>TEXT(2754, "[$-0E0000]yyyy-mm-dd")</f>
        <v/>
      </c>
      <c r="C2755" t="inlineStr">
        <is>
          <t>1907-06-08</t>
        </is>
      </c>
    </row>
    <row r="2756">
      <c r="A2756" s="1" t="n">
        <v>2755</v>
      </c>
      <c r="B2756">
        <f>TEXT(2755, "[$-0E0000]yyyy-mm-dd")</f>
        <v/>
      </c>
      <c r="C2756" t="inlineStr">
        <is>
          <t>1907-06-09</t>
        </is>
      </c>
    </row>
    <row r="2757">
      <c r="A2757" s="1" t="n">
        <v>2756</v>
      </c>
      <c r="B2757">
        <f>TEXT(2756, "[$-0E0000]yyyy-mm-dd")</f>
        <v/>
      </c>
      <c r="C2757" t="inlineStr">
        <is>
          <t>1907-06-10</t>
        </is>
      </c>
    </row>
    <row r="2758">
      <c r="A2758" s="1" t="n">
        <v>2757</v>
      </c>
      <c r="B2758">
        <f>TEXT(2757, "[$-0E0000]yyyy-mm-dd")</f>
        <v/>
      </c>
      <c r="C2758" t="inlineStr">
        <is>
          <t>1907-06-11</t>
        </is>
      </c>
    </row>
    <row r="2759">
      <c r="A2759" s="1" t="n">
        <v>2758</v>
      </c>
      <c r="B2759">
        <f>TEXT(2758, "[$-0E0000]yyyy-mm-dd")</f>
        <v/>
      </c>
      <c r="C2759" t="inlineStr">
        <is>
          <t>1907-06-12</t>
        </is>
      </c>
    </row>
    <row r="2760">
      <c r="A2760" s="1" t="n">
        <v>2759</v>
      </c>
      <c r="B2760">
        <f>TEXT(2759, "[$-0E0000]yyyy-mm-dd")</f>
        <v/>
      </c>
      <c r="C2760" t="inlineStr">
        <is>
          <t>1907-06-13</t>
        </is>
      </c>
    </row>
    <row r="2761">
      <c r="A2761" s="1" t="n">
        <v>2760</v>
      </c>
      <c r="B2761">
        <f>TEXT(2760, "[$-0E0000]yyyy-mm-dd")</f>
        <v/>
      </c>
      <c r="C2761" t="inlineStr">
        <is>
          <t>1907-06-14</t>
        </is>
      </c>
    </row>
    <row r="2762">
      <c r="A2762" s="1" t="n">
        <v>2761</v>
      </c>
      <c r="B2762">
        <f>TEXT(2761, "[$-0E0000]yyyy-mm-dd")</f>
        <v/>
      </c>
      <c r="C2762" t="inlineStr">
        <is>
          <t>1907-06-15</t>
        </is>
      </c>
    </row>
    <row r="2763">
      <c r="A2763" s="1" t="n">
        <v>2762</v>
      </c>
      <c r="B2763">
        <f>TEXT(2762, "[$-0E0000]yyyy-mm-dd")</f>
        <v/>
      </c>
      <c r="C2763" t="inlineStr">
        <is>
          <t>1907-06-16</t>
        </is>
      </c>
    </row>
    <row r="2764">
      <c r="A2764" s="1" t="n">
        <v>2763</v>
      </c>
      <c r="B2764">
        <f>TEXT(2763, "[$-0E0000]yyyy-mm-dd")</f>
        <v/>
      </c>
      <c r="C2764" t="inlineStr">
        <is>
          <t>1907-06-17</t>
        </is>
      </c>
    </row>
    <row r="2765">
      <c r="A2765" s="1" t="n">
        <v>2764</v>
      </c>
      <c r="B2765">
        <f>TEXT(2764, "[$-0E0000]yyyy-mm-dd")</f>
        <v/>
      </c>
      <c r="C2765" t="inlineStr">
        <is>
          <t>1907-06-18</t>
        </is>
      </c>
    </row>
    <row r="2766">
      <c r="A2766" s="1" t="n">
        <v>2765</v>
      </c>
      <c r="B2766">
        <f>TEXT(2765, "[$-0E0000]yyyy-mm-dd")</f>
        <v/>
      </c>
      <c r="C2766" t="inlineStr">
        <is>
          <t>1907-06-19</t>
        </is>
      </c>
    </row>
    <row r="2767">
      <c r="A2767" s="1" t="n">
        <v>2766</v>
      </c>
      <c r="B2767">
        <f>TEXT(2766, "[$-0E0000]yyyy-mm-dd")</f>
        <v/>
      </c>
      <c r="C2767" t="inlineStr">
        <is>
          <t>1907-06-20</t>
        </is>
      </c>
    </row>
    <row r="2768">
      <c r="A2768" s="1" t="n">
        <v>2767</v>
      </c>
      <c r="B2768">
        <f>TEXT(2767, "[$-0E0000]yyyy-mm-dd")</f>
        <v/>
      </c>
      <c r="C2768" t="inlineStr">
        <is>
          <t>1907-06-21</t>
        </is>
      </c>
    </row>
    <row r="2769">
      <c r="A2769" s="1" t="n">
        <v>2768</v>
      </c>
      <c r="B2769">
        <f>TEXT(2768, "[$-0E0000]yyyy-mm-dd")</f>
        <v/>
      </c>
      <c r="C2769" t="inlineStr">
        <is>
          <t>1907-06-22</t>
        </is>
      </c>
    </row>
    <row r="2770">
      <c r="A2770" s="1" t="n">
        <v>2769</v>
      </c>
      <c r="B2770">
        <f>TEXT(2769, "[$-0E0000]yyyy-mm-dd")</f>
        <v/>
      </c>
      <c r="C2770" t="inlineStr">
        <is>
          <t>1907-06-23</t>
        </is>
      </c>
    </row>
    <row r="2771">
      <c r="A2771" s="1" t="n">
        <v>2770</v>
      </c>
      <c r="B2771">
        <f>TEXT(2770, "[$-0E0000]yyyy-mm-dd")</f>
        <v/>
      </c>
      <c r="C2771" t="inlineStr">
        <is>
          <t>1907-06-24</t>
        </is>
      </c>
    </row>
    <row r="2772">
      <c r="A2772" s="1" t="n">
        <v>2771</v>
      </c>
      <c r="B2772">
        <f>TEXT(2771, "[$-0E0000]yyyy-mm-dd")</f>
        <v/>
      </c>
      <c r="C2772" t="inlineStr">
        <is>
          <t>1907-06-25</t>
        </is>
      </c>
    </row>
    <row r="2773">
      <c r="A2773" s="1" t="n">
        <v>2772</v>
      </c>
      <c r="B2773">
        <f>TEXT(2772, "[$-0E0000]yyyy-mm-dd")</f>
        <v/>
      </c>
      <c r="C2773" t="inlineStr">
        <is>
          <t>1907-06-26</t>
        </is>
      </c>
    </row>
    <row r="2774">
      <c r="A2774" s="1" t="n">
        <v>2773</v>
      </c>
      <c r="B2774">
        <f>TEXT(2773, "[$-0E0000]yyyy-mm-dd")</f>
        <v/>
      </c>
      <c r="C2774" t="inlineStr">
        <is>
          <t>1907-06-27</t>
        </is>
      </c>
    </row>
    <row r="2775">
      <c r="A2775" s="1" t="n">
        <v>2774</v>
      </c>
      <c r="B2775">
        <f>TEXT(2774, "[$-0E0000]yyyy-mm-dd")</f>
        <v/>
      </c>
      <c r="C2775" t="inlineStr">
        <is>
          <t>1907-06-28</t>
        </is>
      </c>
    </row>
    <row r="2776">
      <c r="A2776" s="1" t="n">
        <v>2775</v>
      </c>
      <c r="B2776">
        <f>TEXT(2775, "[$-0E0000]yyyy-mm-dd")</f>
        <v/>
      </c>
      <c r="C2776" t="inlineStr">
        <is>
          <t>1907-06-29</t>
        </is>
      </c>
    </row>
    <row r="2777">
      <c r="A2777" s="1" t="n">
        <v>2776</v>
      </c>
      <c r="B2777">
        <f>TEXT(2776, "[$-0E0000]yyyy-mm-dd")</f>
        <v/>
      </c>
      <c r="C2777" t="inlineStr">
        <is>
          <t>1907-06-30</t>
        </is>
      </c>
    </row>
    <row r="2778">
      <c r="A2778" s="1" t="n">
        <v>2777</v>
      </c>
      <c r="B2778">
        <f>TEXT(2777, "[$-0E0000]yyyy-mm-dd")</f>
        <v/>
      </c>
      <c r="C2778" t="inlineStr">
        <is>
          <t>1907-07-01</t>
        </is>
      </c>
    </row>
    <row r="2779">
      <c r="A2779" s="1" t="n">
        <v>2778</v>
      </c>
      <c r="B2779">
        <f>TEXT(2778, "[$-0E0000]yyyy-mm-dd")</f>
        <v/>
      </c>
      <c r="C2779" t="inlineStr">
        <is>
          <t>1907-07-02</t>
        </is>
      </c>
    </row>
    <row r="2780">
      <c r="A2780" s="1" t="n">
        <v>2779</v>
      </c>
      <c r="B2780">
        <f>TEXT(2779, "[$-0E0000]yyyy-mm-dd")</f>
        <v/>
      </c>
      <c r="C2780" t="inlineStr">
        <is>
          <t>1907-07-03</t>
        </is>
      </c>
    </row>
    <row r="2781">
      <c r="A2781" s="1" t="n">
        <v>2780</v>
      </c>
      <c r="B2781">
        <f>TEXT(2780, "[$-0E0000]yyyy-mm-dd")</f>
        <v/>
      </c>
      <c r="C2781" t="inlineStr">
        <is>
          <t>1907-07-04</t>
        </is>
      </c>
    </row>
    <row r="2782">
      <c r="A2782" s="1" t="n">
        <v>2781</v>
      </c>
      <c r="B2782">
        <f>TEXT(2781, "[$-0E0000]yyyy-mm-dd")</f>
        <v/>
      </c>
      <c r="C2782" t="inlineStr">
        <is>
          <t>1907-07-05</t>
        </is>
      </c>
    </row>
    <row r="2783">
      <c r="A2783" s="1" t="n">
        <v>2782</v>
      </c>
      <c r="B2783">
        <f>TEXT(2782, "[$-0E0000]yyyy-mm-dd")</f>
        <v/>
      </c>
      <c r="C2783" t="inlineStr">
        <is>
          <t>1907-07-06</t>
        </is>
      </c>
    </row>
    <row r="2784">
      <c r="A2784" s="1" t="n">
        <v>2783</v>
      </c>
      <c r="B2784">
        <f>TEXT(2783, "[$-0E0000]yyyy-mm-dd")</f>
        <v/>
      </c>
      <c r="C2784" t="inlineStr">
        <is>
          <t>1907-07-07</t>
        </is>
      </c>
    </row>
    <row r="2785">
      <c r="A2785" s="1" t="n">
        <v>2784</v>
      </c>
      <c r="B2785">
        <f>TEXT(2784, "[$-0E0000]yyyy-mm-dd")</f>
        <v/>
      </c>
      <c r="C2785" t="inlineStr">
        <is>
          <t>1907-07-08</t>
        </is>
      </c>
    </row>
    <row r="2786">
      <c r="A2786" s="1" t="n">
        <v>2785</v>
      </c>
      <c r="B2786">
        <f>TEXT(2785, "[$-0E0000]yyyy-mm-dd")</f>
        <v/>
      </c>
      <c r="C2786" t="inlineStr">
        <is>
          <t>1907-07-09</t>
        </is>
      </c>
    </row>
    <row r="2787">
      <c r="A2787" s="1" t="n">
        <v>2786</v>
      </c>
      <c r="B2787">
        <f>TEXT(2786, "[$-0E0000]yyyy-mm-dd")</f>
        <v/>
      </c>
      <c r="C2787" t="inlineStr">
        <is>
          <t>1907-07-10</t>
        </is>
      </c>
    </row>
    <row r="2788">
      <c r="A2788" s="1" t="n">
        <v>2787</v>
      </c>
      <c r="B2788">
        <f>TEXT(2787, "[$-0E0000]yyyy-mm-dd")</f>
        <v/>
      </c>
      <c r="C2788" t="inlineStr">
        <is>
          <t>1907-07-11</t>
        </is>
      </c>
    </row>
    <row r="2789">
      <c r="A2789" s="1" t="n">
        <v>2788</v>
      </c>
      <c r="B2789">
        <f>TEXT(2788, "[$-0E0000]yyyy-mm-dd")</f>
        <v/>
      </c>
      <c r="C2789" t="inlineStr">
        <is>
          <t>1907-07-12</t>
        </is>
      </c>
    </row>
    <row r="2790">
      <c r="A2790" s="1" t="n">
        <v>2789</v>
      </c>
      <c r="B2790">
        <f>TEXT(2789, "[$-0E0000]yyyy-mm-dd")</f>
        <v/>
      </c>
      <c r="C2790" t="inlineStr">
        <is>
          <t>1907-07-13</t>
        </is>
      </c>
    </row>
    <row r="2791">
      <c r="A2791" s="1" t="n">
        <v>2790</v>
      </c>
      <c r="B2791">
        <f>TEXT(2790, "[$-0E0000]yyyy-mm-dd")</f>
        <v/>
      </c>
      <c r="C2791" t="inlineStr">
        <is>
          <t>1907-07-14</t>
        </is>
      </c>
    </row>
    <row r="2792">
      <c r="A2792" s="1" t="n">
        <v>2791</v>
      </c>
      <c r="B2792">
        <f>TEXT(2791, "[$-0E0000]yyyy-mm-dd")</f>
        <v/>
      </c>
      <c r="C2792" t="inlineStr">
        <is>
          <t>1907-07-15</t>
        </is>
      </c>
    </row>
    <row r="2793">
      <c r="A2793" s="1" t="n">
        <v>2792</v>
      </c>
      <c r="B2793">
        <f>TEXT(2792, "[$-0E0000]yyyy-mm-dd")</f>
        <v/>
      </c>
      <c r="C2793" t="inlineStr">
        <is>
          <t>1907-07-16</t>
        </is>
      </c>
    </row>
    <row r="2794">
      <c r="A2794" s="1" t="n">
        <v>2793</v>
      </c>
      <c r="B2794">
        <f>TEXT(2793, "[$-0E0000]yyyy-mm-dd")</f>
        <v/>
      </c>
      <c r="C2794" t="inlineStr">
        <is>
          <t>1907-07-17</t>
        </is>
      </c>
    </row>
    <row r="2795">
      <c r="A2795" s="1" t="n">
        <v>2794</v>
      </c>
      <c r="B2795">
        <f>TEXT(2794, "[$-0E0000]yyyy-mm-dd")</f>
        <v/>
      </c>
      <c r="C2795" t="inlineStr">
        <is>
          <t>1907-07-18</t>
        </is>
      </c>
    </row>
    <row r="2796">
      <c r="A2796" s="1" t="n">
        <v>2795</v>
      </c>
      <c r="B2796">
        <f>TEXT(2795, "[$-0E0000]yyyy-mm-dd")</f>
        <v/>
      </c>
      <c r="C2796" t="inlineStr">
        <is>
          <t>1907-07-19</t>
        </is>
      </c>
    </row>
    <row r="2797">
      <c r="A2797" s="1" t="n">
        <v>2796</v>
      </c>
      <c r="B2797">
        <f>TEXT(2796, "[$-0E0000]yyyy-mm-dd")</f>
        <v/>
      </c>
      <c r="C2797" t="inlineStr">
        <is>
          <t>1907-07-20</t>
        </is>
      </c>
    </row>
    <row r="2798">
      <c r="A2798" s="1" t="n">
        <v>2797</v>
      </c>
      <c r="B2798">
        <f>TEXT(2797, "[$-0E0000]yyyy-mm-dd")</f>
        <v/>
      </c>
      <c r="C2798" t="inlineStr">
        <is>
          <t>1907-07-21</t>
        </is>
      </c>
    </row>
    <row r="2799">
      <c r="A2799" s="1" t="n">
        <v>2798</v>
      </c>
      <c r="B2799">
        <f>TEXT(2798, "[$-0E0000]yyyy-mm-dd")</f>
        <v/>
      </c>
      <c r="C2799" t="inlineStr">
        <is>
          <t>1907-07-22</t>
        </is>
      </c>
    </row>
    <row r="2800">
      <c r="A2800" s="1" t="n">
        <v>2799</v>
      </c>
      <c r="B2800">
        <f>TEXT(2799, "[$-0E0000]yyyy-mm-dd")</f>
        <v/>
      </c>
      <c r="C2800" t="inlineStr">
        <is>
          <t>1907-07-23</t>
        </is>
      </c>
    </row>
    <row r="2801">
      <c r="A2801" s="1" t="n">
        <v>2800</v>
      </c>
      <c r="B2801">
        <f>TEXT(2800, "[$-0E0000]yyyy-mm-dd")</f>
        <v/>
      </c>
      <c r="C2801" t="inlineStr">
        <is>
          <t>1907-07-24</t>
        </is>
      </c>
    </row>
    <row r="2802">
      <c r="A2802" s="1" t="n">
        <v>2801</v>
      </c>
      <c r="B2802">
        <f>TEXT(2801, "[$-0E0000]yyyy-mm-dd")</f>
        <v/>
      </c>
      <c r="C2802" t="inlineStr">
        <is>
          <t>1907-07-25</t>
        </is>
      </c>
    </row>
    <row r="2803">
      <c r="A2803" s="1" t="n">
        <v>2802</v>
      </c>
      <c r="B2803">
        <f>TEXT(2802, "[$-0E0000]yyyy-mm-dd")</f>
        <v/>
      </c>
      <c r="C2803" t="inlineStr">
        <is>
          <t>1907-07-26</t>
        </is>
      </c>
    </row>
    <row r="2804">
      <c r="A2804" s="1" t="n">
        <v>2803</v>
      </c>
      <c r="B2804">
        <f>TEXT(2803, "[$-0E0000]yyyy-mm-dd")</f>
        <v/>
      </c>
      <c r="C2804" t="inlineStr">
        <is>
          <t>1907-07-27</t>
        </is>
      </c>
    </row>
    <row r="2805">
      <c r="A2805" s="1" t="n">
        <v>2804</v>
      </c>
      <c r="B2805">
        <f>TEXT(2804, "[$-0E0000]yyyy-mm-dd")</f>
        <v/>
      </c>
      <c r="C2805" t="inlineStr">
        <is>
          <t>1907-07-28</t>
        </is>
      </c>
    </row>
    <row r="2806">
      <c r="A2806" s="1" t="n">
        <v>2805</v>
      </c>
      <c r="B2806">
        <f>TEXT(2805, "[$-0E0000]yyyy-mm-dd")</f>
        <v/>
      </c>
      <c r="C2806" t="inlineStr">
        <is>
          <t>1907-07-29</t>
        </is>
      </c>
    </row>
    <row r="2807">
      <c r="A2807" s="1" t="n">
        <v>2806</v>
      </c>
      <c r="B2807">
        <f>TEXT(2806, "[$-0E0000]yyyy-mm-dd")</f>
        <v/>
      </c>
      <c r="C2807" t="inlineStr">
        <is>
          <t>1907-07-30</t>
        </is>
      </c>
    </row>
    <row r="2808">
      <c r="A2808" s="1" t="n">
        <v>2807</v>
      </c>
      <c r="B2808">
        <f>TEXT(2807, "[$-0E0000]yyyy-mm-dd")</f>
        <v/>
      </c>
      <c r="C2808" t="inlineStr">
        <is>
          <t>1907-08-01</t>
        </is>
      </c>
    </row>
    <row r="2809">
      <c r="A2809" s="1" t="n">
        <v>2808</v>
      </c>
      <c r="B2809">
        <f>TEXT(2808, "[$-0E0000]yyyy-mm-dd")</f>
        <v/>
      </c>
      <c r="C2809" t="inlineStr">
        <is>
          <t>1907-08-02</t>
        </is>
      </c>
    </row>
    <row r="2810">
      <c r="A2810" s="1" t="n">
        <v>2809</v>
      </c>
      <c r="B2810">
        <f>TEXT(2809, "[$-0E0000]yyyy-mm-dd")</f>
        <v/>
      </c>
      <c r="C2810" t="inlineStr">
        <is>
          <t>1907-08-03</t>
        </is>
      </c>
    </row>
    <row r="2811">
      <c r="A2811" s="1" t="n">
        <v>2810</v>
      </c>
      <c r="B2811">
        <f>TEXT(2810, "[$-0E0000]yyyy-mm-dd")</f>
        <v/>
      </c>
      <c r="C2811" t="inlineStr">
        <is>
          <t>1907-08-04</t>
        </is>
      </c>
    </row>
    <row r="2812">
      <c r="A2812" s="1" t="n">
        <v>2811</v>
      </c>
      <c r="B2812">
        <f>TEXT(2811, "[$-0E0000]yyyy-mm-dd")</f>
        <v/>
      </c>
      <c r="C2812" t="inlineStr">
        <is>
          <t>1907-08-05</t>
        </is>
      </c>
    </row>
    <row r="2813">
      <c r="A2813" s="1" t="n">
        <v>2812</v>
      </c>
      <c r="B2813">
        <f>TEXT(2812, "[$-0E0000]yyyy-mm-dd")</f>
        <v/>
      </c>
      <c r="C2813" t="inlineStr">
        <is>
          <t>1907-08-06</t>
        </is>
      </c>
    </row>
    <row r="2814">
      <c r="A2814" s="1" t="n">
        <v>2813</v>
      </c>
      <c r="B2814">
        <f>TEXT(2813, "[$-0E0000]yyyy-mm-dd")</f>
        <v/>
      </c>
      <c r="C2814" t="inlineStr">
        <is>
          <t>1907-08-07</t>
        </is>
      </c>
    </row>
    <row r="2815">
      <c r="A2815" s="1" t="n">
        <v>2814</v>
      </c>
      <c r="B2815">
        <f>TEXT(2814, "[$-0E0000]yyyy-mm-dd")</f>
        <v/>
      </c>
      <c r="C2815" t="inlineStr">
        <is>
          <t>1907-08-08</t>
        </is>
      </c>
    </row>
    <row r="2816">
      <c r="A2816" s="1" t="n">
        <v>2815</v>
      </c>
      <c r="B2816">
        <f>TEXT(2815, "[$-0E0000]yyyy-mm-dd")</f>
        <v/>
      </c>
      <c r="C2816" t="inlineStr">
        <is>
          <t>1907-08-09</t>
        </is>
      </c>
    </row>
    <row r="2817">
      <c r="A2817" s="1" t="n">
        <v>2816</v>
      </c>
      <c r="B2817">
        <f>TEXT(2816, "[$-0E0000]yyyy-mm-dd")</f>
        <v/>
      </c>
      <c r="C2817" t="inlineStr">
        <is>
          <t>1907-08-10</t>
        </is>
      </c>
    </row>
    <row r="2818">
      <c r="A2818" s="1" t="n">
        <v>2817</v>
      </c>
      <c r="B2818">
        <f>TEXT(2817, "[$-0E0000]yyyy-mm-dd")</f>
        <v/>
      </c>
      <c r="C2818" t="inlineStr">
        <is>
          <t>1907-08-11</t>
        </is>
      </c>
    </row>
    <row r="2819">
      <c r="A2819" s="1" t="n">
        <v>2818</v>
      </c>
      <c r="B2819">
        <f>TEXT(2818, "[$-0E0000]yyyy-mm-dd")</f>
        <v/>
      </c>
      <c r="C2819" t="inlineStr">
        <is>
          <t>1907-08-12</t>
        </is>
      </c>
    </row>
    <row r="2820">
      <c r="A2820" s="1" t="n">
        <v>2819</v>
      </c>
      <c r="B2820">
        <f>TEXT(2819, "[$-0E0000]yyyy-mm-dd")</f>
        <v/>
      </c>
      <c r="C2820" t="inlineStr">
        <is>
          <t>1907-08-13</t>
        </is>
      </c>
    </row>
    <row r="2821">
      <c r="A2821" s="1" t="n">
        <v>2820</v>
      </c>
      <c r="B2821">
        <f>TEXT(2820, "[$-0E0000]yyyy-mm-dd")</f>
        <v/>
      </c>
      <c r="C2821" t="inlineStr">
        <is>
          <t>1907-08-14</t>
        </is>
      </c>
    </row>
    <row r="2822">
      <c r="A2822" s="1" t="n">
        <v>2821</v>
      </c>
      <c r="B2822">
        <f>TEXT(2821, "[$-0E0000]yyyy-mm-dd")</f>
        <v/>
      </c>
      <c r="C2822" t="inlineStr">
        <is>
          <t>1907-08-15</t>
        </is>
      </c>
    </row>
    <row r="2823">
      <c r="A2823" s="1" t="n">
        <v>2822</v>
      </c>
      <c r="B2823">
        <f>TEXT(2822, "[$-0E0000]yyyy-mm-dd")</f>
        <v/>
      </c>
      <c r="C2823" t="inlineStr">
        <is>
          <t>1907-08-16</t>
        </is>
      </c>
    </row>
    <row r="2824">
      <c r="A2824" s="1" t="n">
        <v>2823</v>
      </c>
      <c r="B2824">
        <f>TEXT(2823, "[$-0E0000]yyyy-mm-dd")</f>
        <v/>
      </c>
      <c r="C2824" t="inlineStr">
        <is>
          <t>1907-08-17</t>
        </is>
      </c>
    </row>
    <row r="2825">
      <c r="A2825" s="1" t="n">
        <v>2824</v>
      </c>
      <c r="B2825">
        <f>TEXT(2824, "[$-0E0000]yyyy-mm-dd")</f>
        <v/>
      </c>
      <c r="C2825" t="inlineStr">
        <is>
          <t>1907-08-18</t>
        </is>
      </c>
    </row>
    <row r="2826">
      <c r="A2826" s="1" t="n">
        <v>2825</v>
      </c>
      <c r="B2826">
        <f>TEXT(2825, "[$-0E0000]yyyy-mm-dd")</f>
        <v/>
      </c>
      <c r="C2826" t="inlineStr">
        <is>
          <t>1907-08-19</t>
        </is>
      </c>
    </row>
    <row r="2827">
      <c r="A2827" s="1" t="n">
        <v>2826</v>
      </c>
      <c r="B2827">
        <f>TEXT(2826, "[$-0E0000]yyyy-mm-dd")</f>
        <v/>
      </c>
      <c r="C2827" t="inlineStr">
        <is>
          <t>1907-08-20</t>
        </is>
      </c>
    </row>
    <row r="2828">
      <c r="A2828" s="1" t="n">
        <v>2827</v>
      </c>
      <c r="B2828">
        <f>TEXT(2827, "[$-0E0000]yyyy-mm-dd")</f>
        <v/>
      </c>
      <c r="C2828" t="inlineStr">
        <is>
          <t>1907-08-21</t>
        </is>
      </c>
    </row>
    <row r="2829">
      <c r="A2829" s="1" t="n">
        <v>2828</v>
      </c>
      <c r="B2829">
        <f>TEXT(2828, "[$-0E0000]yyyy-mm-dd")</f>
        <v/>
      </c>
      <c r="C2829" t="inlineStr">
        <is>
          <t>1907-08-22</t>
        </is>
      </c>
    </row>
    <row r="2830">
      <c r="A2830" s="1" t="n">
        <v>2829</v>
      </c>
      <c r="B2830">
        <f>TEXT(2829, "[$-0E0000]yyyy-mm-dd")</f>
        <v/>
      </c>
      <c r="C2830" t="inlineStr">
        <is>
          <t>1907-08-23</t>
        </is>
      </c>
    </row>
    <row r="2831">
      <c r="A2831" s="1" t="n">
        <v>2830</v>
      </c>
      <c r="B2831">
        <f>TEXT(2830, "[$-0E0000]yyyy-mm-dd")</f>
        <v/>
      </c>
      <c r="C2831" t="inlineStr">
        <is>
          <t>1907-08-24</t>
        </is>
      </c>
    </row>
    <row r="2832">
      <c r="A2832" s="1" t="n">
        <v>2831</v>
      </c>
      <c r="B2832">
        <f>TEXT(2831, "[$-0E0000]yyyy-mm-dd")</f>
        <v/>
      </c>
      <c r="C2832" t="inlineStr">
        <is>
          <t>1907-08-25</t>
        </is>
      </c>
    </row>
    <row r="2833">
      <c r="A2833" s="1" t="n">
        <v>2832</v>
      </c>
      <c r="B2833">
        <f>TEXT(2832, "[$-0E0000]yyyy-mm-dd")</f>
        <v/>
      </c>
      <c r="C2833" t="inlineStr">
        <is>
          <t>1907-08-26</t>
        </is>
      </c>
    </row>
    <row r="2834">
      <c r="A2834" s="1" t="n">
        <v>2833</v>
      </c>
      <c r="B2834">
        <f>TEXT(2833, "[$-0E0000]yyyy-mm-dd")</f>
        <v/>
      </c>
      <c r="C2834" t="inlineStr">
        <is>
          <t>1907-08-27</t>
        </is>
      </c>
    </row>
    <row r="2835">
      <c r="A2835" s="1" t="n">
        <v>2834</v>
      </c>
      <c r="B2835">
        <f>TEXT(2834, "[$-0E0000]yyyy-mm-dd")</f>
        <v/>
      </c>
      <c r="C2835" t="inlineStr">
        <is>
          <t>1907-08-28</t>
        </is>
      </c>
    </row>
    <row r="2836">
      <c r="A2836" s="1" t="n">
        <v>2835</v>
      </c>
      <c r="B2836">
        <f>TEXT(2835, "[$-0E0000]yyyy-mm-dd")</f>
        <v/>
      </c>
      <c r="C2836" t="inlineStr">
        <is>
          <t>1907-08-29</t>
        </is>
      </c>
    </row>
    <row r="2837">
      <c r="A2837" s="1" t="n">
        <v>2836</v>
      </c>
      <c r="B2837">
        <f>TEXT(2836, "[$-0E0000]yyyy-mm-dd")</f>
        <v/>
      </c>
      <c r="C2837" t="inlineStr">
        <is>
          <t>1907-09-01</t>
        </is>
      </c>
    </row>
    <row r="2838">
      <c r="A2838" s="1" t="n">
        <v>2837</v>
      </c>
      <c r="B2838">
        <f>TEXT(2837, "[$-0E0000]yyyy-mm-dd")</f>
        <v/>
      </c>
      <c r="C2838" t="inlineStr">
        <is>
          <t>1907-09-02</t>
        </is>
      </c>
    </row>
    <row r="2839">
      <c r="A2839" s="1" t="n">
        <v>2838</v>
      </c>
      <c r="B2839">
        <f>TEXT(2838, "[$-0E0000]yyyy-mm-dd")</f>
        <v/>
      </c>
      <c r="C2839" t="inlineStr">
        <is>
          <t>1907-09-03</t>
        </is>
      </c>
    </row>
    <row r="2840">
      <c r="A2840" s="1" t="n">
        <v>2839</v>
      </c>
      <c r="B2840">
        <f>TEXT(2839, "[$-0E0000]yyyy-mm-dd")</f>
        <v/>
      </c>
      <c r="C2840" t="inlineStr">
        <is>
          <t>1907-09-04</t>
        </is>
      </c>
    </row>
    <row r="2841">
      <c r="A2841" s="1" t="n">
        <v>2840</v>
      </c>
      <c r="B2841">
        <f>TEXT(2840, "[$-0E0000]yyyy-mm-dd")</f>
        <v/>
      </c>
      <c r="C2841" t="inlineStr">
        <is>
          <t>1907-09-05</t>
        </is>
      </c>
    </row>
    <row r="2842">
      <c r="A2842" s="1" t="n">
        <v>2841</v>
      </c>
      <c r="B2842">
        <f>TEXT(2841, "[$-0E0000]yyyy-mm-dd")</f>
        <v/>
      </c>
      <c r="C2842" t="inlineStr">
        <is>
          <t>1907-09-06</t>
        </is>
      </c>
    </row>
    <row r="2843">
      <c r="A2843" s="1" t="n">
        <v>2842</v>
      </c>
      <c r="B2843">
        <f>TEXT(2842, "[$-0E0000]yyyy-mm-dd")</f>
        <v/>
      </c>
      <c r="C2843" t="inlineStr">
        <is>
          <t>1907-09-07</t>
        </is>
      </c>
    </row>
    <row r="2844">
      <c r="A2844" s="1" t="n">
        <v>2843</v>
      </c>
      <c r="B2844">
        <f>TEXT(2843, "[$-0E0000]yyyy-mm-dd")</f>
        <v/>
      </c>
      <c r="C2844" t="inlineStr">
        <is>
          <t>1907-09-08</t>
        </is>
      </c>
    </row>
    <row r="2845">
      <c r="A2845" s="1" t="n">
        <v>2844</v>
      </c>
      <c r="B2845">
        <f>TEXT(2844, "[$-0E0000]yyyy-mm-dd")</f>
        <v/>
      </c>
      <c r="C2845" t="inlineStr">
        <is>
          <t>1907-09-09</t>
        </is>
      </c>
    </row>
    <row r="2846">
      <c r="A2846" s="1" t="n">
        <v>2845</v>
      </c>
      <c r="B2846">
        <f>TEXT(2845, "[$-0E0000]yyyy-mm-dd")</f>
        <v/>
      </c>
      <c r="C2846" t="inlineStr">
        <is>
          <t>1907-09-10</t>
        </is>
      </c>
    </row>
    <row r="2847">
      <c r="A2847" s="1" t="n">
        <v>2846</v>
      </c>
      <c r="B2847">
        <f>TEXT(2846, "[$-0E0000]yyyy-mm-dd")</f>
        <v/>
      </c>
      <c r="C2847" t="inlineStr">
        <is>
          <t>1907-09-11</t>
        </is>
      </c>
    </row>
    <row r="2848">
      <c r="A2848" s="1" t="n">
        <v>2847</v>
      </c>
      <c r="B2848">
        <f>TEXT(2847, "[$-0E0000]yyyy-mm-dd")</f>
        <v/>
      </c>
      <c r="C2848" t="inlineStr">
        <is>
          <t>1907-09-12</t>
        </is>
      </c>
    </row>
    <row r="2849">
      <c r="A2849" s="1" t="n">
        <v>2848</v>
      </c>
      <c r="B2849">
        <f>TEXT(2848, "[$-0E0000]yyyy-mm-dd")</f>
        <v/>
      </c>
      <c r="C2849" t="inlineStr">
        <is>
          <t>1907-09-13</t>
        </is>
      </c>
    </row>
    <row r="2850">
      <c r="A2850" s="1" t="n">
        <v>2849</v>
      </c>
      <c r="B2850">
        <f>TEXT(2849, "[$-0E0000]yyyy-mm-dd")</f>
        <v/>
      </c>
      <c r="C2850" t="inlineStr">
        <is>
          <t>1907-09-14</t>
        </is>
      </c>
    </row>
    <row r="2851">
      <c r="A2851" s="1" t="n">
        <v>2850</v>
      </c>
      <c r="B2851">
        <f>TEXT(2850, "[$-0E0000]yyyy-mm-dd")</f>
        <v/>
      </c>
      <c r="C2851" t="inlineStr">
        <is>
          <t>1907-09-15</t>
        </is>
      </c>
    </row>
    <row r="2852">
      <c r="A2852" s="1" t="n">
        <v>2851</v>
      </c>
      <c r="B2852">
        <f>TEXT(2851, "[$-0E0000]yyyy-mm-dd")</f>
        <v/>
      </c>
      <c r="C2852" t="inlineStr">
        <is>
          <t>1907-09-16</t>
        </is>
      </c>
    </row>
    <row r="2853">
      <c r="A2853" s="1" t="n">
        <v>2852</v>
      </c>
      <c r="B2853">
        <f>TEXT(2852, "[$-0E0000]yyyy-mm-dd")</f>
        <v/>
      </c>
      <c r="C2853" t="inlineStr">
        <is>
          <t>1907-09-17</t>
        </is>
      </c>
    </row>
    <row r="2854">
      <c r="A2854" s="1" t="n">
        <v>2853</v>
      </c>
      <c r="B2854">
        <f>TEXT(2853, "[$-0E0000]yyyy-mm-dd")</f>
        <v/>
      </c>
      <c r="C2854" t="inlineStr">
        <is>
          <t>1907-09-18</t>
        </is>
      </c>
    </row>
    <row r="2855">
      <c r="A2855" s="1" t="n">
        <v>2854</v>
      </c>
      <c r="B2855">
        <f>TEXT(2854, "[$-0E0000]yyyy-mm-dd")</f>
        <v/>
      </c>
      <c r="C2855" t="inlineStr">
        <is>
          <t>1907-09-19</t>
        </is>
      </c>
    </row>
    <row r="2856">
      <c r="A2856" s="1" t="n">
        <v>2855</v>
      </c>
      <c r="B2856">
        <f>TEXT(2855, "[$-0E0000]yyyy-mm-dd")</f>
        <v/>
      </c>
      <c r="C2856" t="inlineStr">
        <is>
          <t>1907-09-20</t>
        </is>
      </c>
    </row>
    <row r="2857">
      <c r="A2857" s="1" t="n">
        <v>2856</v>
      </c>
      <c r="B2857">
        <f>TEXT(2856, "[$-0E0000]yyyy-mm-dd")</f>
        <v/>
      </c>
      <c r="C2857" t="inlineStr">
        <is>
          <t>1907-09-21</t>
        </is>
      </c>
    </row>
    <row r="2858">
      <c r="A2858" s="1" t="n">
        <v>2857</v>
      </c>
      <c r="B2858">
        <f>TEXT(2857, "[$-0E0000]yyyy-mm-dd")</f>
        <v/>
      </c>
      <c r="C2858" t="inlineStr">
        <is>
          <t>1907-09-22</t>
        </is>
      </c>
    </row>
    <row r="2859">
      <c r="A2859" s="1" t="n">
        <v>2858</v>
      </c>
      <c r="B2859">
        <f>TEXT(2858, "[$-0E0000]yyyy-mm-dd")</f>
        <v/>
      </c>
      <c r="C2859" t="inlineStr">
        <is>
          <t>1907-09-23</t>
        </is>
      </c>
    </row>
    <row r="2860">
      <c r="A2860" s="1" t="n">
        <v>2859</v>
      </c>
      <c r="B2860">
        <f>TEXT(2859, "[$-0E0000]yyyy-mm-dd")</f>
        <v/>
      </c>
      <c r="C2860" t="inlineStr">
        <is>
          <t>1907-09-24</t>
        </is>
      </c>
    </row>
    <row r="2861">
      <c r="A2861" s="1" t="n">
        <v>2860</v>
      </c>
      <c r="B2861">
        <f>TEXT(2860, "[$-0E0000]yyyy-mm-dd")</f>
        <v/>
      </c>
      <c r="C2861" t="inlineStr">
        <is>
          <t>1907-09-25</t>
        </is>
      </c>
    </row>
    <row r="2862">
      <c r="A2862" s="1" t="n">
        <v>2861</v>
      </c>
      <c r="B2862">
        <f>TEXT(2861, "[$-0E0000]yyyy-mm-dd")</f>
        <v/>
      </c>
      <c r="C2862" t="inlineStr">
        <is>
          <t>1907-09-26</t>
        </is>
      </c>
    </row>
    <row r="2863">
      <c r="A2863" s="1" t="n">
        <v>2862</v>
      </c>
      <c r="B2863">
        <f>TEXT(2862, "[$-0E0000]yyyy-mm-dd")</f>
        <v/>
      </c>
      <c r="C2863" t="inlineStr">
        <is>
          <t>1907-09-27</t>
        </is>
      </c>
    </row>
    <row r="2864">
      <c r="A2864" s="1" t="n">
        <v>2863</v>
      </c>
      <c r="B2864">
        <f>TEXT(2863, "[$-0E0000]yyyy-mm-dd")</f>
        <v/>
      </c>
      <c r="C2864" t="inlineStr">
        <is>
          <t>1907-09-28</t>
        </is>
      </c>
    </row>
    <row r="2865">
      <c r="A2865" s="1" t="n">
        <v>2864</v>
      </c>
      <c r="B2865">
        <f>TEXT(2864, "[$-0E0000]yyyy-mm-dd")</f>
        <v/>
      </c>
      <c r="C2865" t="inlineStr">
        <is>
          <t>1907-09-29</t>
        </is>
      </c>
    </row>
    <row r="2866">
      <c r="A2866" s="1" t="n">
        <v>2865</v>
      </c>
      <c r="B2866">
        <f>TEXT(2865, "[$-0E0000]yyyy-mm-dd")</f>
        <v/>
      </c>
      <c r="C2866" t="inlineStr">
        <is>
          <t>1907-09-30</t>
        </is>
      </c>
    </row>
    <row r="2867">
      <c r="A2867" s="1" t="n">
        <v>2866</v>
      </c>
      <c r="B2867">
        <f>TEXT(2866, "[$-0E0000]yyyy-mm-dd")</f>
        <v/>
      </c>
      <c r="C2867" t="inlineStr">
        <is>
          <t>1907-10-01</t>
        </is>
      </c>
    </row>
    <row r="2868">
      <c r="A2868" s="1" t="n">
        <v>2867</v>
      </c>
      <c r="B2868">
        <f>TEXT(2867, "[$-0E0000]yyyy-mm-dd")</f>
        <v/>
      </c>
      <c r="C2868" t="inlineStr">
        <is>
          <t>1907-10-02</t>
        </is>
      </c>
    </row>
    <row r="2869">
      <c r="A2869" s="1" t="n">
        <v>2868</v>
      </c>
      <c r="B2869">
        <f>TEXT(2868, "[$-0E0000]yyyy-mm-dd")</f>
        <v/>
      </c>
      <c r="C2869" t="inlineStr">
        <is>
          <t>1907-10-03</t>
        </is>
      </c>
    </row>
    <row r="2870">
      <c r="A2870" s="1" t="n">
        <v>2869</v>
      </c>
      <c r="B2870">
        <f>TEXT(2869, "[$-0E0000]yyyy-mm-dd")</f>
        <v/>
      </c>
      <c r="C2870" t="inlineStr">
        <is>
          <t>1907-10-04</t>
        </is>
      </c>
    </row>
    <row r="2871">
      <c r="A2871" s="1" t="n">
        <v>2870</v>
      </c>
      <c r="B2871">
        <f>TEXT(2870, "[$-0E0000]yyyy-mm-dd")</f>
        <v/>
      </c>
      <c r="C2871" t="inlineStr">
        <is>
          <t>1907-10-05</t>
        </is>
      </c>
    </row>
    <row r="2872">
      <c r="A2872" s="1" t="n">
        <v>2871</v>
      </c>
      <c r="B2872">
        <f>TEXT(2871, "[$-0E0000]yyyy-mm-dd")</f>
        <v/>
      </c>
      <c r="C2872" t="inlineStr">
        <is>
          <t>1907-10-06</t>
        </is>
      </c>
    </row>
    <row r="2873">
      <c r="A2873" s="1" t="n">
        <v>2872</v>
      </c>
      <c r="B2873">
        <f>TEXT(2872, "[$-0E0000]yyyy-mm-dd")</f>
        <v/>
      </c>
      <c r="C2873" t="inlineStr">
        <is>
          <t>1907-10-07</t>
        </is>
      </c>
    </row>
    <row r="2874">
      <c r="A2874" s="1" t="n">
        <v>2873</v>
      </c>
      <c r="B2874">
        <f>TEXT(2873, "[$-0E0000]yyyy-mm-dd")</f>
        <v/>
      </c>
      <c r="C2874" t="inlineStr">
        <is>
          <t>1907-10-08</t>
        </is>
      </c>
    </row>
    <row r="2875">
      <c r="A2875" s="1" t="n">
        <v>2874</v>
      </c>
      <c r="B2875">
        <f>TEXT(2874, "[$-0E0000]yyyy-mm-dd")</f>
        <v/>
      </c>
      <c r="C2875" t="inlineStr">
        <is>
          <t>1907-10-09</t>
        </is>
      </c>
    </row>
    <row r="2876">
      <c r="A2876" s="1" t="n">
        <v>2875</v>
      </c>
      <c r="B2876">
        <f>TEXT(2875, "[$-0E0000]yyyy-mm-dd")</f>
        <v/>
      </c>
      <c r="C2876" t="inlineStr">
        <is>
          <t>1907-10-10</t>
        </is>
      </c>
    </row>
    <row r="2877">
      <c r="A2877" s="1" t="n">
        <v>2876</v>
      </c>
      <c r="B2877">
        <f>TEXT(2876, "[$-0E0000]yyyy-mm-dd")</f>
        <v/>
      </c>
      <c r="C2877" t="inlineStr">
        <is>
          <t>1907-10-11</t>
        </is>
      </c>
    </row>
    <row r="2878">
      <c r="A2878" s="1" t="n">
        <v>2877</v>
      </c>
      <c r="B2878">
        <f>TEXT(2877, "[$-0E0000]yyyy-mm-dd")</f>
        <v/>
      </c>
      <c r="C2878" t="inlineStr">
        <is>
          <t>1907-10-12</t>
        </is>
      </c>
    </row>
    <row r="2879">
      <c r="A2879" s="1" t="n">
        <v>2878</v>
      </c>
      <c r="B2879">
        <f>TEXT(2878, "[$-0E0000]yyyy-mm-dd")</f>
        <v/>
      </c>
      <c r="C2879" t="inlineStr">
        <is>
          <t>1907-10-13</t>
        </is>
      </c>
    </row>
    <row r="2880">
      <c r="A2880" s="1" t="n">
        <v>2879</v>
      </c>
      <c r="B2880">
        <f>TEXT(2879, "[$-0E0000]yyyy-mm-dd")</f>
        <v/>
      </c>
      <c r="C2880" t="inlineStr">
        <is>
          <t>1907-10-14</t>
        </is>
      </c>
    </row>
    <row r="2881">
      <c r="A2881" s="1" t="n">
        <v>2880</v>
      </c>
      <c r="B2881">
        <f>TEXT(2880, "[$-0E0000]yyyy-mm-dd")</f>
        <v/>
      </c>
      <c r="C2881" t="inlineStr">
        <is>
          <t>1907-10-15</t>
        </is>
      </c>
    </row>
    <row r="2882">
      <c r="A2882" s="1" t="n">
        <v>2881</v>
      </c>
      <c r="B2882">
        <f>TEXT(2881, "[$-0E0000]yyyy-mm-dd")</f>
        <v/>
      </c>
      <c r="C2882" t="inlineStr">
        <is>
          <t>1907-10-16</t>
        </is>
      </c>
    </row>
    <row r="2883">
      <c r="A2883" s="1" t="n">
        <v>2882</v>
      </c>
      <c r="B2883">
        <f>TEXT(2882, "[$-0E0000]yyyy-mm-dd")</f>
        <v/>
      </c>
      <c r="C2883" t="inlineStr">
        <is>
          <t>1907-10-17</t>
        </is>
      </c>
    </row>
    <row r="2884">
      <c r="A2884" s="1" t="n">
        <v>2883</v>
      </c>
      <c r="B2884">
        <f>TEXT(2883, "[$-0E0000]yyyy-mm-dd")</f>
        <v/>
      </c>
      <c r="C2884" t="inlineStr">
        <is>
          <t>1907-10-18</t>
        </is>
      </c>
    </row>
    <row r="2885">
      <c r="A2885" s="1" t="n">
        <v>2884</v>
      </c>
      <c r="B2885">
        <f>TEXT(2884, "[$-0E0000]yyyy-mm-dd")</f>
        <v/>
      </c>
      <c r="C2885" t="inlineStr">
        <is>
          <t>1907-10-19</t>
        </is>
      </c>
    </row>
    <row r="2886">
      <c r="A2886" s="1" t="n">
        <v>2885</v>
      </c>
      <c r="B2886">
        <f>TEXT(2885, "[$-0E0000]yyyy-mm-dd")</f>
        <v/>
      </c>
      <c r="C2886" t="inlineStr">
        <is>
          <t>1907-10-20</t>
        </is>
      </c>
    </row>
    <row r="2887">
      <c r="A2887" s="1" t="n">
        <v>2886</v>
      </c>
      <c r="B2887">
        <f>TEXT(2886, "[$-0E0000]yyyy-mm-dd")</f>
        <v/>
      </c>
      <c r="C2887" t="inlineStr">
        <is>
          <t>1907-10-21</t>
        </is>
      </c>
    </row>
    <row r="2888">
      <c r="A2888" s="1" t="n">
        <v>2887</v>
      </c>
      <c r="B2888">
        <f>TEXT(2887, "[$-0E0000]yyyy-mm-dd")</f>
        <v/>
      </c>
      <c r="C2888" t="inlineStr">
        <is>
          <t>1907-10-22</t>
        </is>
      </c>
    </row>
    <row r="2889">
      <c r="A2889" s="1" t="n">
        <v>2888</v>
      </c>
      <c r="B2889">
        <f>TEXT(2888, "[$-0E0000]yyyy-mm-dd")</f>
        <v/>
      </c>
      <c r="C2889" t="inlineStr">
        <is>
          <t>1907-10-23</t>
        </is>
      </c>
    </row>
    <row r="2890">
      <c r="A2890" s="1" t="n">
        <v>2889</v>
      </c>
      <c r="B2890">
        <f>TEXT(2889, "[$-0E0000]yyyy-mm-dd")</f>
        <v/>
      </c>
      <c r="C2890" t="inlineStr">
        <is>
          <t>1907-10-24</t>
        </is>
      </c>
    </row>
    <row r="2891">
      <c r="A2891" s="1" t="n">
        <v>2890</v>
      </c>
      <c r="B2891">
        <f>TEXT(2890, "[$-0E0000]yyyy-mm-dd")</f>
        <v/>
      </c>
      <c r="C2891" t="inlineStr">
        <is>
          <t>1907-10-25</t>
        </is>
      </c>
    </row>
    <row r="2892">
      <c r="A2892" s="1" t="n">
        <v>2891</v>
      </c>
      <c r="B2892">
        <f>TEXT(2891, "[$-0E0000]yyyy-mm-dd")</f>
        <v/>
      </c>
      <c r="C2892" t="inlineStr">
        <is>
          <t>1907-10-26</t>
        </is>
      </c>
    </row>
    <row r="2893">
      <c r="A2893" s="1" t="n">
        <v>2892</v>
      </c>
      <c r="B2893">
        <f>TEXT(2892, "[$-0E0000]yyyy-mm-dd")</f>
        <v/>
      </c>
      <c r="C2893" t="inlineStr">
        <is>
          <t>1907-10-27</t>
        </is>
      </c>
    </row>
    <row r="2894">
      <c r="A2894" s="1" t="n">
        <v>2893</v>
      </c>
      <c r="B2894">
        <f>TEXT(2893, "[$-0E0000]yyyy-mm-dd")</f>
        <v/>
      </c>
      <c r="C2894" t="inlineStr">
        <is>
          <t>1907-10-28</t>
        </is>
      </c>
    </row>
    <row r="2895">
      <c r="A2895" s="1" t="n">
        <v>2894</v>
      </c>
      <c r="B2895">
        <f>TEXT(2894, "[$-0E0000]yyyy-mm-dd")</f>
        <v/>
      </c>
      <c r="C2895" t="inlineStr">
        <is>
          <t>1907-10-29</t>
        </is>
      </c>
    </row>
    <row r="2896">
      <c r="A2896" s="1" t="n">
        <v>2895</v>
      </c>
      <c r="B2896">
        <f>TEXT(2895, "[$-0E0000]yyyy-mm-dd")</f>
        <v/>
      </c>
      <c r="C2896" t="inlineStr">
        <is>
          <t>1907-11-01</t>
        </is>
      </c>
    </row>
    <row r="2897">
      <c r="A2897" s="1" t="n">
        <v>2896</v>
      </c>
      <c r="B2897">
        <f>TEXT(2896, "[$-0E0000]yyyy-mm-dd")</f>
        <v/>
      </c>
      <c r="C2897" t="inlineStr">
        <is>
          <t>1907-11-02</t>
        </is>
      </c>
    </row>
    <row r="2898">
      <c r="A2898" s="1" t="n">
        <v>2897</v>
      </c>
      <c r="B2898">
        <f>TEXT(2897, "[$-0E0000]yyyy-mm-dd")</f>
        <v/>
      </c>
      <c r="C2898" t="inlineStr">
        <is>
          <t>1907-11-03</t>
        </is>
      </c>
    </row>
    <row r="2899">
      <c r="A2899" s="1" t="n">
        <v>2898</v>
      </c>
      <c r="B2899">
        <f>TEXT(2898, "[$-0E0000]yyyy-mm-dd")</f>
        <v/>
      </c>
      <c r="C2899" t="inlineStr">
        <is>
          <t>1907-11-04</t>
        </is>
      </c>
    </row>
    <row r="2900">
      <c r="A2900" s="1" t="n">
        <v>2899</v>
      </c>
      <c r="B2900">
        <f>TEXT(2899, "[$-0E0000]yyyy-mm-dd")</f>
        <v/>
      </c>
      <c r="C2900" t="inlineStr">
        <is>
          <t>1907-11-05</t>
        </is>
      </c>
    </row>
    <row r="2901">
      <c r="A2901" s="1" t="n">
        <v>2900</v>
      </c>
      <c r="B2901">
        <f>TEXT(2900, "[$-0E0000]yyyy-mm-dd")</f>
        <v/>
      </c>
      <c r="C2901" t="inlineStr">
        <is>
          <t>1907-11-06</t>
        </is>
      </c>
    </row>
    <row r="2902">
      <c r="A2902" s="1" t="n">
        <v>2901</v>
      </c>
      <c r="B2902">
        <f>TEXT(2901, "[$-0E0000]yyyy-mm-dd")</f>
        <v/>
      </c>
      <c r="C2902" t="inlineStr">
        <is>
          <t>1907-11-07</t>
        </is>
      </c>
    </row>
    <row r="2903">
      <c r="A2903" s="1" t="n">
        <v>2902</v>
      </c>
      <c r="B2903">
        <f>TEXT(2902, "[$-0E0000]yyyy-mm-dd")</f>
        <v/>
      </c>
      <c r="C2903" t="inlineStr">
        <is>
          <t>1907-11-08</t>
        </is>
      </c>
    </row>
    <row r="2904">
      <c r="A2904" s="1" t="n">
        <v>2903</v>
      </c>
      <c r="B2904">
        <f>TEXT(2903, "[$-0E0000]yyyy-mm-dd")</f>
        <v/>
      </c>
      <c r="C2904" t="inlineStr">
        <is>
          <t>1907-11-09</t>
        </is>
      </c>
    </row>
    <row r="2905">
      <c r="A2905" s="1" t="n">
        <v>2904</v>
      </c>
      <c r="B2905">
        <f>TEXT(2904, "[$-0E0000]yyyy-mm-dd")</f>
        <v/>
      </c>
      <c r="C2905" t="inlineStr">
        <is>
          <t>1907-11-10</t>
        </is>
      </c>
    </row>
    <row r="2906">
      <c r="A2906" s="1" t="n">
        <v>2905</v>
      </c>
      <c r="B2906">
        <f>TEXT(2905, "[$-0E0000]yyyy-mm-dd")</f>
        <v/>
      </c>
      <c r="C2906" t="inlineStr">
        <is>
          <t>1907-11-11</t>
        </is>
      </c>
    </row>
    <row r="2907">
      <c r="A2907" s="1" t="n">
        <v>2906</v>
      </c>
      <c r="B2907">
        <f>TEXT(2906, "[$-0E0000]yyyy-mm-dd")</f>
        <v/>
      </c>
      <c r="C2907" t="inlineStr">
        <is>
          <t>1907-11-12</t>
        </is>
      </c>
    </row>
    <row r="2908">
      <c r="A2908" s="1" t="n">
        <v>2907</v>
      </c>
      <c r="B2908">
        <f>TEXT(2907, "[$-0E0000]yyyy-mm-dd")</f>
        <v/>
      </c>
      <c r="C2908" t="inlineStr">
        <is>
          <t>1907-11-13</t>
        </is>
      </c>
    </row>
    <row r="2909">
      <c r="A2909" s="1" t="n">
        <v>2908</v>
      </c>
      <c r="B2909">
        <f>TEXT(2908, "[$-0E0000]yyyy-mm-dd")</f>
        <v/>
      </c>
      <c r="C2909" t="inlineStr">
        <is>
          <t>1907-11-14</t>
        </is>
      </c>
    </row>
    <row r="2910">
      <c r="A2910" s="1" t="n">
        <v>2909</v>
      </c>
      <c r="B2910">
        <f>TEXT(2909, "[$-0E0000]yyyy-mm-dd")</f>
        <v/>
      </c>
      <c r="C2910" t="inlineStr">
        <is>
          <t>1907-11-15</t>
        </is>
      </c>
    </row>
    <row r="2911">
      <c r="A2911" s="1" t="n">
        <v>2910</v>
      </c>
      <c r="B2911">
        <f>TEXT(2910, "[$-0E0000]yyyy-mm-dd")</f>
        <v/>
      </c>
      <c r="C2911" t="inlineStr">
        <is>
          <t>1907-11-16</t>
        </is>
      </c>
    </row>
    <row r="2912">
      <c r="A2912" s="1" t="n">
        <v>2911</v>
      </c>
      <c r="B2912">
        <f>TEXT(2911, "[$-0E0000]yyyy-mm-dd")</f>
        <v/>
      </c>
      <c r="C2912" t="inlineStr">
        <is>
          <t>1907-11-17</t>
        </is>
      </c>
    </row>
    <row r="2913">
      <c r="A2913" s="1" t="n">
        <v>2912</v>
      </c>
      <c r="B2913">
        <f>TEXT(2912, "[$-0E0000]yyyy-mm-dd")</f>
        <v/>
      </c>
      <c r="C2913" t="inlineStr">
        <is>
          <t>1907-11-18</t>
        </is>
      </c>
    </row>
    <row r="2914">
      <c r="A2914" s="1" t="n">
        <v>2913</v>
      </c>
      <c r="B2914">
        <f>TEXT(2913, "[$-0E0000]yyyy-mm-dd")</f>
        <v/>
      </c>
      <c r="C2914" t="inlineStr">
        <is>
          <t>1907-11-19</t>
        </is>
      </c>
    </row>
    <row r="2915">
      <c r="A2915" s="1" t="n">
        <v>2914</v>
      </c>
      <c r="B2915">
        <f>TEXT(2914, "[$-0E0000]yyyy-mm-dd")</f>
        <v/>
      </c>
      <c r="C2915" t="inlineStr">
        <is>
          <t>1907-11-20</t>
        </is>
      </c>
    </row>
    <row r="2916">
      <c r="A2916" s="1" t="n">
        <v>2915</v>
      </c>
      <c r="B2916">
        <f>TEXT(2915, "[$-0E0000]yyyy-mm-dd")</f>
        <v/>
      </c>
      <c r="C2916" t="inlineStr">
        <is>
          <t>1907-11-21</t>
        </is>
      </c>
    </row>
    <row r="2917">
      <c r="A2917" s="1" t="n">
        <v>2916</v>
      </c>
      <c r="B2917">
        <f>TEXT(2916, "[$-0E0000]yyyy-mm-dd")</f>
        <v/>
      </c>
      <c r="C2917" t="inlineStr">
        <is>
          <t>1907-11-22</t>
        </is>
      </c>
    </row>
    <row r="2918">
      <c r="A2918" s="1" t="n">
        <v>2917</v>
      </c>
      <c r="B2918">
        <f>TEXT(2917, "[$-0E0000]yyyy-mm-dd")</f>
        <v/>
      </c>
      <c r="C2918" t="inlineStr">
        <is>
          <t>1907-11-23</t>
        </is>
      </c>
    </row>
    <row r="2919">
      <c r="A2919" s="1" t="n">
        <v>2918</v>
      </c>
      <c r="B2919">
        <f>TEXT(2918, "[$-0E0000]yyyy-mm-dd")</f>
        <v/>
      </c>
      <c r="C2919" t="inlineStr">
        <is>
          <t>1907-11-24</t>
        </is>
      </c>
    </row>
    <row r="2920">
      <c r="A2920" s="1" t="n">
        <v>2919</v>
      </c>
      <c r="B2920">
        <f>TEXT(2919, "[$-0E0000]yyyy-mm-dd")</f>
        <v/>
      </c>
      <c r="C2920" t="inlineStr">
        <is>
          <t>1907-11-25</t>
        </is>
      </c>
    </row>
    <row r="2921">
      <c r="A2921" s="1" t="n">
        <v>2920</v>
      </c>
      <c r="B2921">
        <f>TEXT(2920, "[$-0E0000]yyyy-mm-dd")</f>
        <v/>
      </c>
      <c r="C2921" t="inlineStr">
        <is>
          <t>1907-11-26</t>
        </is>
      </c>
    </row>
    <row r="2922">
      <c r="A2922" s="1" t="n">
        <v>2921</v>
      </c>
      <c r="B2922">
        <f>TEXT(2921, "[$-0E0000]yyyy-mm-dd")</f>
        <v/>
      </c>
      <c r="C2922" t="inlineStr">
        <is>
          <t>1907-11-27</t>
        </is>
      </c>
    </row>
    <row r="2923">
      <c r="A2923" s="1" t="n">
        <v>2922</v>
      </c>
      <c r="B2923">
        <f>TEXT(2922, "[$-0E0000]yyyy-mm-dd")</f>
        <v/>
      </c>
      <c r="C2923" t="inlineStr">
        <is>
          <t>1907-11-28</t>
        </is>
      </c>
    </row>
    <row r="2924">
      <c r="A2924" s="1" t="n">
        <v>2923</v>
      </c>
      <c r="B2924">
        <f>TEXT(2923, "[$-0E0000]yyyy-mm-dd")</f>
        <v/>
      </c>
      <c r="C2924" t="inlineStr">
        <is>
          <t>1907-11-29</t>
        </is>
      </c>
    </row>
    <row r="2925">
      <c r="A2925" s="1" t="n">
        <v>2924</v>
      </c>
      <c r="B2925">
        <f>TEXT(2924, "[$-0E0000]yyyy-mm-dd")</f>
        <v/>
      </c>
      <c r="C2925" t="inlineStr">
        <is>
          <t>1907-11-30</t>
        </is>
      </c>
    </row>
    <row r="2926">
      <c r="A2926" s="1" t="n">
        <v>2925</v>
      </c>
      <c r="B2926">
        <f>TEXT(2925, "[$-0E0000]yyyy-mm-dd")</f>
        <v/>
      </c>
      <c r="C2926" t="inlineStr">
        <is>
          <t>1907-12-01</t>
        </is>
      </c>
    </row>
    <row r="2927">
      <c r="A2927" s="1" t="n">
        <v>2926</v>
      </c>
      <c r="B2927">
        <f>TEXT(2926, "[$-0E0000]yyyy-mm-dd")</f>
        <v/>
      </c>
      <c r="C2927" t="inlineStr">
        <is>
          <t>1907-12-02</t>
        </is>
      </c>
    </row>
    <row r="2928">
      <c r="A2928" s="1" t="n">
        <v>2927</v>
      </c>
      <c r="B2928">
        <f>TEXT(2927, "[$-0E0000]yyyy-mm-dd")</f>
        <v/>
      </c>
      <c r="C2928" t="inlineStr">
        <is>
          <t>1907-12-03</t>
        </is>
      </c>
    </row>
    <row r="2929">
      <c r="A2929" s="1" t="n">
        <v>2928</v>
      </c>
      <c r="B2929">
        <f>TEXT(2928, "[$-0E0000]yyyy-mm-dd")</f>
        <v/>
      </c>
      <c r="C2929" t="inlineStr">
        <is>
          <t>1907-12-04</t>
        </is>
      </c>
    </row>
    <row r="2930">
      <c r="A2930" s="1" t="n">
        <v>2929</v>
      </c>
      <c r="B2930">
        <f>TEXT(2929, "[$-0E0000]yyyy-mm-dd")</f>
        <v/>
      </c>
      <c r="C2930" t="inlineStr">
        <is>
          <t>1907-12-05</t>
        </is>
      </c>
    </row>
    <row r="2931">
      <c r="A2931" s="1" t="n">
        <v>2930</v>
      </c>
      <c r="B2931">
        <f>TEXT(2930, "[$-0E0000]yyyy-mm-dd")</f>
        <v/>
      </c>
      <c r="C2931" t="inlineStr">
        <is>
          <t>1907-12-06</t>
        </is>
      </c>
    </row>
    <row r="2932">
      <c r="A2932" s="1" t="n">
        <v>2931</v>
      </c>
      <c r="B2932">
        <f>TEXT(2931, "[$-0E0000]yyyy-mm-dd")</f>
        <v/>
      </c>
      <c r="C2932" t="inlineStr">
        <is>
          <t>1907-12-07</t>
        </is>
      </c>
    </row>
    <row r="2933">
      <c r="A2933" s="1" t="n">
        <v>2932</v>
      </c>
      <c r="B2933">
        <f>TEXT(2932, "[$-0E0000]yyyy-mm-dd")</f>
        <v/>
      </c>
      <c r="C2933" t="inlineStr">
        <is>
          <t>1907-12-08</t>
        </is>
      </c>
    </row>
    <row r="2934">
      <c r="A2934" s="1" t="n">
        <v>2933</v>
      </c>
      <c r="B2934">
        <f>TEXT(2933, "[$-0E0000]yyyy-mm-dd")</f>
        <v/>
      </c>
      <c r="C2934" t="inlineStr">
        <is>
          <t>1907-12-09</t>
        </is>
      </c>
    </row>
    <row r="2935">
      <c r="A2935" s="1" t="n">
        <v>2934</v>
      </c>
      <c r="B2935">
        <f>TEXT(2934, "[$-0E0000]yyyy-mm-dd")</f>
        <v/>
      </c>
      <c r="C2935" t="inlineStr">
        <is>
          <t>1907-12-10</t>
        </is>
      </c>
    </row>
    <row r="2936">
      <c r="A2936" s="1" t="n">
        <v>2935</v>
      </c>
      <c r="B2936">
        <f>TEXT(2935, "[$-0E0000]yyyy-mm-dd")</f>
        <v/>
      </c>
      <c r="C2936" t="inlineStr">
        <is>
          <t>1907-12-11</t>
        </is>
      </c>
    </row>
    <row r="2937">
      <c r="A2937" s="1" t="n">
        <v>2936</v>
      </c>
      <c r="B2937">
        <f>TEXT(2936, "[$-0E0000]yyyy-mm-dd")</f>
        <v/>
      </c>
      <c r="C2937" t="inlineStr">
        <is>
          <t>1907-12-12</t>
        </is>
      </c>
    </row>
    <row r="2938">
      <c r="A2938" s="1" t="n">
        <v>2937</v>
      </c>
      <c r="B2938">
        <f>TEXT(2937, "[$-0E0000]yyyy-mm-dd")</f>
        <v/>
      </c>
      <c r="C2938" t="inlineStr">
        <is>
          <t>1907-12-13</t>
        </is>
      </c>
    </row>
    <row r="2939">
      <c r="A2939" s="1" t="n">
        <v>2938</v>
      </c>
      <c r="B2939">
        <f>TEXT(2938, "[$-0E0000]yyyy-mm-dd")</f>
        <v/>
      </c>
      <c r="C2939" t="inlineStr">
        <is>
          <t>1907-12-14</t>
        </is>
      </c>
    </row>
    <row r="2940">
      <c r="A2940" s="1" t="n">
        <v>2939</v>
      </c>
      <c r="B2940">
        <f>TEXT(2939, "[$-0E0000]yyyy-mm-dd")</f>
        <v/>
      </c>
      <c r="C2940" t="inlineStr">
        <is>
          <t>1907-12-15</t>
        </is>
      </c>
    </row>
    <row r="2941">
      <c r="A2941" s="1" t="n">
        <v>2940</v>
      </c>
      <c r="B2941">
        <f>TEXT(2940, "[$-0E0000]yyyy-mm-dd")</f>
        <v/>
      </c>
      <c r="C2941" t="inlineStr">
        <is>
          <t>1907-12-16</t>
        </is>
      </c>
    </row>
    <row r="2942">
      <c r="A2942" s="1" t="n">
        <v>2941</v>
      </c>
      <c r="B2942">
        <f>TEXT(2941, "[$-0E0000]yyyy-mm-dd")</f>
        <v/>
      </c>
      <c r="C2942" t="inlineStr">
        <is>
          <t>1907-12-17</t>
        </is>
      </c>
    </row>
    <row r="2943">
      <c r="A2943" s="1" t="n">
        <v>2942</v>
      </c>
      <c r="B2943">
        <f>TEXT(2942, "[$-0E0000]yyyy-mm-dd")</f>
        <v/>
      </c>
      <c r="C2943" t="inlineStr">
        <is>
          <t>1907-12-18</t>
        </is>
      </c>
    </row>
    <row r="2944">
      <c r="A2944" s="1" t="n">
        <v>2943</v>
      </c>
      <c r="B2944">
        <f>TEXT(2943, "[$-0E0000]yyyy-mm-dd")</f>
        <v/>
      </c>
      <c r="C2944" t="inlineStr">
        <is>
          <t>1907-12-19</t>
        </is>
      </c>
    </row>
    <row r="2945">
      <c r="A2945" s="1" t="n">
        <v>2944</v>
      </c>
      <c r="B2945">
        <f>TEXT(2944, "[$-0E0000]yyyy-mm-dd")</f>
        <v/>
      </c>
      <c r="C2945" t="inlineStr">
        <is>
          <t>1907-12-20</t>
        </is>
      </c>
    </row>
    <row r="2946">
      <c r="A2946" s="1" t="n">
        <v>2945</v>
      </c>
      <c r="B2946">
        <f>TEXT(2945, "[$-0E0000]yyyy-mm-dd")</f>
        <v/>
      </c>
      <c r="C2946" t="inlineStr">
        <is>
          <t>1907-12-21</t>
        </is>
      </c>
    </row>
    <row r="2947">
      <c r="A2947" s="1" t="n">
        <v>2946</v>
      </c>
      <c r="B2947">
        <f>TEXT(2946, "[$-0E0000]yyyy-mm-dd")</f>
        <v/>
      </c>
      <c r="C2947" t="inlineStr">
        <is>
          <t>1907-12-22</t>
        </is>
      </c>
    </row>
    <row r="2948">
      <c r="A2948" s="1" t="n">
        <v>2947</v>
      </c>
      <c r="B2948">
        <f>TEXT(2947, "[$-0E0000]yyyy-mm-dd")</f>
        <v/>
      </c>
      <c r="C2948" t="inlineStr">
        <is>
          <t>1907-12-23</t>
        </is>
      </c>
    </row>
    <row r="2949">
      <c r="A2949" s="1" t="n">
        <v>2948</v>
      </c>
      <c r="B2949">
        <f>TEXT(2948, "[$-0E0000]yyyy-mm-dd")</f>
        <v/>
      </c>
      <c r="C2949" t="inlineStr">
        <is>
          <t>1907-12-24</t>
        </is>
      </c>
    </row>
    <row r="2950">
      <c r="A2950" s="1" t="n">
        <v>2949</v>
      </c>
      <c r="B2950">
        <f>TEXT(2949, "[$-0E0000]yyyy-mm-dd")</f>
        <v/>
      </c>
      <c r="C2950" t="inlineStr">
        <is>
          <t>1907-12-25</t>
        </is>
      </c>
    </row>
    <row r="2951">
      <c r="A2951" s="1" t="n">
        <v>2950</v>
      </c>
      <c r="B2951">
        <f>TEXT(2950, "[$-0E0000]yyyy-mm-dd")</f>
        <v/>
      </c>
      <c r="C2951" t="inlineStr">
        <is>
          <t>1907-12-26</t>
        </is>
      </c>
    </row>
    <row r="2952">
      <c r="A2952" s="1" t="n">
        <v>2951</v>
      </c>
      <c r="B2952">
        <f>TEXT(2951, "[$-0E0000]yyyy-mm-dd")</f>
        <v/>
      </c>
      <c r="C2952" t="inlineStr">
        <is>
          <t>1907-12-27</t>
        </is>
      </c>
    </row>
    <row r="2953">
      <c r="A2953" s="1" t="n">
        <v>2952</v>
      </c>
      <c r="B2953">
        <f>TEXT(2952, "[$-0E0000]yyyy-mm-dd")</f>
        <v/>
      </c>
      <c r="C2953" t="inlineStr">
        <is>
          <t>1907-12-28</t>
        </is>
      </c>
    </row>
    <row r="2954">
      <c r="A2954" s="1" t="n">
        <v>2953</v>
      </c>
      <c r="B2954">
        <f>TEXT(2953, "[$-0E0000]yyyy-mm-dd")</f>
        <v/>
      </c>
      <c r="C2954" t="inlineStr">
        <is>
          <t>1907-12-29</t>
        </is>
      </c>
    </row>
    <row r="2955">
      <c r="A2955" s="1" t="n">
        <v>2954</v>
      </c>
      <c r="B2955">
        <f>TEXT(2954, "[$-0E0000]yyyy-mm-dd")</f>
        <v/>
      </c>
      <c r="C2955" t="inlineStr">
        <is>
          <t>1908-01-01</t>
        </is>
      </c>
    </row>
    <row r="2956">
      <c r="A2956" s="1" t="n">
        <v>2955</v>
      </c>
      <c r="B2956">
        <f>TEXT(2955, "[$-0E0000]yyyy-mm-dd")</f>
        <v/>
      </c>
      <c r="C2956" t="inlineStr">
        <is>
          <t>1908-01-02</t>
        </is>
      </c>
    </row>
    <row r="2957">
      <c r="A2957" s="1" t="n">
        <v>2956</v>
      </c>
      <c r="B2957">
        <f>TEXT(2956, "[$-0E0000]yyyy-mm-dd")</f>
        <v/>
      </c>
      <c r="C2957" t="inlineStr">
        <is>
          <t>1908-01-03</t>
        </is>
      </c>
    </row>
    <row r="2958">
      <c r="A2958" s="1" t="n">
        <v>2957</v>
      </c>
      <c r="B2958">
        <f>TEXT(2957, "[$-0E0000]yyyy-mm-dd")</f>
        <v/>
      </c>
      <c r="C2958" t="inlineStr">
        <is>
          <t>1908-01-04</t>
        </is>
      </c>
    </row>
    <row r="2959">
      <c r="A2959" s="1" t="n">
        <v>2958</v>
      </c>
      <c r="B2959">
        <f>TEXT(2958, "[$-0E0000]yyyy-mm-dd")</f>
        <v/>
      </c>
      <c r="C2959" t="inlineStr">
        <is>
          <t>1908-01-05</t>
        </is>
      </c>
    </row>
    <row r="2960">
      <c r="A2960" s="1" t="n">
        <v>2959</v>
      </c>
      <c r="B2960">
        <f>TEXT(2959, "[$-0E0000]yyyy-mm-dd")</f>
        <v/>
      </c>
      <c r="C2960" t="inlineStr">
        <is>
          <t>1908-01-06</t>
        </is>
      </c>
    </row>
    <row r="2961">
      <c r="A2961" s="1" t="n">
        <v>2960</v>
      </c>
      <c r="B2961">
        <f>TEXT(2960, "[$-0E0000]yyyy-mm-dd")</f>
        <v/>
      </c>
      <c r="C2961" t="inlineStr">
        <is>
          <t>1908-01-07</t>
        </is>
      </c>
    </row>
    <row r="2962">
      <c r="A2962" s="1" t="n">
        <v>2961</v>
      </c>
      <c r="B2962">
        <f>TEXT(2961, "[$-0E0000]yyyy-mm-dd")</f>
        <v/>
      </c>
      <c r="C2962" t="inlineStr">
        <is>
          <t>1908-01-08</t>
        </is>
      </c>
    </row>
    <row r="2963">
      <c r="A2963" s="1" t="n">
        <v>2962</v>
      </c>
      <c r="B2963">
        <f>TEXT(2962, "[$-0E0000]yyyy-mm-dd")</f>
        <v/>
      </c>
      <c r="C2963" t="inlineStr">
        <is>
          <t>1908-01-09</t>
        </is>
      </c>
    </row>
    <row r="2964">
      <c r="A2964" s="1" t="n">
        <v>2963</v>
      </c>
      <c r="B2964">
        <f>TEXT(2963, "[$-0E0000]yyyy-mm-dd")</f>
        <v/>
      </c>
      <c r="C2964" t="inlineStr">
        <is>
          <t>1908-01-10</t>
        </is>
      </c>
    </row>
    <row r="2965">
      <c r="A2965" s="1" t="n">
        <v>2964</v>
      </c>
      <c r="B2965">
        <f>TEXT(2964, "[$-0E0000]yyyy-mm-dd")</f>
        <v/>
      </c>
      <c r="C2965" t="inlineStr">
        <is>
          <t>1908-01-11</t>
        </is>
      </c>
    </row>
    <row r="2966">
      <c r="A2966" s="1" t="n">
        <v>2965</v>
      </c>
      <c r="B2966">
        <f>TEXT(2965, "[$-0E0000]yyyy-mm-dd")</f>
        <v/>
      </c>
      <c r="C2966" t="inlineStr">
        <is>
          <t>1908-01-12</t>
        </is>
      </c>
    </row>
    <row r="2967">
      <c r="A2967" s="1" t="n">
        <v>2966</v>
      </c>
      <c r="B2967">
        <f>TEXT(2966, "[$-0E0000]yyyy-mm-dd")</f>
        <v/>
      </c>
      <c r="C2967" t="inlineStr">
        <is>
          <t>1908-01-13</t>
        </is>
      </c>
    </row>
    <row r="2968">
      <c r="A2968" s="1" t="n">
        <v>2967</v>
      </c>
      <c r="B2968">
        <f>TEXT(2967, "[$-0E0000]yyyy-mm-dd")</f>
        <v/>
      </c>
      <c r="C2968" t="inlineStr">
        <is>
          <t>1908-01-14</t>
        </is>
      </c>
    </row>
    <row r="2969">
      <c r="A2969" s="1" t="n">
        <v>2968</v>
      </c>
      <c r="B2969">
        <f>TEXT(2968, "[$-0E0000]yyyy-mm-dd")</f>
        <v/>
      </c>
      <c r="C2969" t="inlineStr">
        <is>
          <t>1908-01-15</t>
        </is>
      </c>
    </row>
    <row r="2970">
      <c r="A2970" s="1" t="n">
        <v>2969</v>
      </c>
      <c r="B2970">
        <f>TEXT(2969, "[$-0E0000]yyyy-mm-dd")</f>
        <v/>
      </c>
      <c r="C2970" t="inlineStr">
        <is>
          <t>1908-01-16</t>
        </is>
      </c>
    </row>
    <row r="2971">
      <c r="A2971" s="1" t="n">
        <v>2970</v>
      </c>
      <c r="B2971">
        <f>TEXT(2970, "[$-0E0000]yyyy-mm-dd")</f>
        <v/>
      </c>
      <c r="C2971" t="inlineStr">
        <is>
          <t>1908-01-17</t>
        </is>
      </c>
    </row>
    <row r="2972">
      <c r="A2972" s="1" t="n">
        <v>2971</v>
      </c>
      <c r="B2972">
        <f>TEXT(2971, "[$-0E0000]yyyy-mm-dd")</f>
        <v/>
      </c>
      <c r="C2972" t="inlineStr">
        <is>
          <t>1908-01-18</t>
        </is>
      </c>
    </row>
    <row r="2973">
      <c r="A2973" s="1" t="n">
        <v>2972</v>
      </c>
      <c r="B2973">
        <f>TEXT(2972, "[$-0E0000]yyyy-mm-dd")</f>
        <v/>
      </c>
      <c r="C2973" t="inlineStr">
        <is>
          <t>1908-01-19</t>
        </is>
      </c>
    </row>
    <row r="2974">
      <c r="A2974" s="1" t="n">
        <v>2973</v>
      </c>
      <c r="B2974">
        <f>TEXT(2973, "[$-0E0000]yyyy-mm-dd")</f>
        <v/>
      </c>
      <c r="C2974" t="inlineStr">
        <is>
          <t>1908-01-20</t>
        </is>
      </c>
    </row>
    <row r="2975">
      <c r="A2975" s="1" t="n">
        <v>2974</v>
      </c>
      <c r="B2975">
        <f>TEXT(2974, "[$-0E0000]yyyy-mm-dd")</f>
        <v/>
      </c>
      <c r="C2975" t="inlineStr">
        <is>
          <t>1908-01-21</t>
        </is>
      </c>
    </row>
    <row r="2976">
      <c r="A2976" s="1" t="n">
        <v>2975</v>
      </c>
      <c r="B2976">
        <f>TEXT(2975, "[$-0E0000]yyyy-mm-dd")</f>
        <v/>
      </c>
      <c r="C2976" t="inlineStr">
        <is>
          <t>1908-01-22</t>
        </is>
      </c>
    </row>
    <row r="2977">
      <c r="A2977" s="1" t="n">
        <v>2976</v>
      </c>
      <c r="B2977">
        <f>TEXT(2976, "[$-0E0000]yyyy-mm-dd")</f>
        <v/>
      </c>
      <c r="C2977" t="inlineStr">
        <is>
          <t>1908-01-23</t>
        </is>
      </c>
    </row>
    <row r="2978">
      <c r="A2978" s="1" t="n">
        <v>2977</v>
      </c>
      <c r="B2978">
        <f>TEXT(2977, "[$-0E0000]yyyy-mm-dd")</f>
        <v/>
      </c>
      <c r="C2978" t="inlineStr">
        <is>
          <t>1908-01-24</t>
        </is>
      </c>
    </row>
    <row r="2979">
      <c r="A2979" s="1" t="n">
        <v>2978</v>
      </c>
      <c r="B2979">
        <f>TEXT(2978, "[$-0E0000]yyyy-mm-dd")</f>
        <v/>
      </c>
      <c r="C2979" t="inlineStr">
        <is>
          <t>1908-01-25</t>
        </is>
      </c>
    </row>
    <row r="2980">
      <c r="A2980" s="1" t="n">
        <v>2979</v>
      </c>
      <c r="B2980">
        <f>TEXT(2979, "[$-0E0000]yyyy-mm-dd")</f>
        <v/>
      </c>
      <c r="C2980" t="inlineStr">
        <is>
          <t>1908-01-26</t>
        </is>
      </c>
    </row>
    <row r="2981">
      <c r="A2981" s="1" t="n">
        <v>2980</v>
      </c>
      <c r="B2981">
        <f>TEXT(2980, "[$-0E0000]yyyy-mm-dd")</f>
        <v/>
      </c>
      <c r="C2981" t="inlineStr">
        <is>
          <t>1908-01-27</t>
        </is>
      </c>
    </row>
    <row r="2982">
      <c r="A2982" s="1" t="n">
        <v>2981</v>
      </c>
      <c r="B2982">
        <f>TEXT(2981, "[$-0E0000]yyyy-mm-dd")</f>
        <v/>
      </c>
      <c r="C2982" t="inlineStr">
        <is>
          <t>1908-01-28</t>
        </is>
      </c>
    </row>
    <row r="2983">
      <c r="A2983" s="1" t="n">
        <v>2982</v>
      </c>
      <c r="B2983">
        <f>TEXT(2982, "[$-0E0000]yyyy-mm-dd")</f>
        <v/>
      </c>
      <c r="C2983" t="inlineStr">
        <is>
          <t>1908-01-29</t>
        </is>
      </c>
    </row>
    <row r="2984">
      <c r="A2984" s="1" t="n">
        <v>2983</v>
      </c>
      <c r="B2984">
        <f>TEXT(2983, "[$-0E0000]yyyy-mm-dd")</f>
        <v/>
      </c>
      <c r="C2984" t="inlineStr">
        <is>
          <t>1908-01-30</t>
        </is>
      </c>
    </row>
    <row r="2985">
      <c r="A2985" s="1" t="n">
        <v>2984</v>
      </c>
      <c r="B2985">
        <f>TEXT(2984, "[$-0E0000]yyyy-mm-dd")</f>
        <v/>
      </c>
      <c r="C2985" t="inlineStr">
        <is>
          <t>1908-02-01</t>
        </is>
      </c>
    </row>
    <row r="2986">
      <c r="A2986" s="1" t="n">
        <v>2985</v>
      </c>
      <c r="B2986">
        <f>TEXT(2985, "[$-0E0000]yyyy-mm-dd")</f>
        <v/>
      </c>
      <c r="C2986" t="inlineStr">
        <is>
          <t>1908-02-02</t>
        </is>
      </c>
    </row>
    <row r="2987">
      <c r="A2987" s="1" t="n">
        <v>2986</v>
      </c>
      <c r="B2987">
        <f>TEXT(2986, "[$-0E0000]yyyy-mm-dd")</f>
        <v/>
      </c>
      <c r="C2987" t="inlineStr">
        <is>
          <t>1908-02-03</t>
        </is>
      </c>
    </row>
    <row r="2988">
      <c r="A2988" s="1" t="n">
        <v>2987</v>
      </c>
      <c r="B2988">
        <f>TEXT(2987, "[$-0E0000]yyyy-mm-dd")</f>
        <v/>
      </c>
      <c r="C2988" t="inlineStr">
        <is>
          <t>1908-02-04</t>
        </is>
      </c>
    </row>
    <row r="2989">
      <c r="A2989" s="1" t="n">
        <v>2988</v>
      </c>
      <c r="B2989">
        <f>TEXT(2988, "[$-0E0000]yyyy-mm-dd")</f>
        <v/>
      </c>
      <c r="C2989" t="inlineStr">
        <is>
          <t>1908-02-05</t>
        </is>
      </c>
    </row>
    <row r="2990">
      <c r="A2990" s="1" t="n">
        <v>2989</v>
      </c>
      <c r="B2990">
        <f>TEXT(2989, "[$-0E0000]yyyy-mm-dd")</f>
        <v/>
      </c>
      <c r="C2990" t="inlineStr">
        <is>
          <t>1908-02-06</t>
        </is>
      </c>
    </row>
    <row r="2991">
      <c r="A2991" s="1" t="n">
        <v>2990</v>
      </c>
      <c r="B2991">
        <f>TEXT(2990, "[$-0E0000]yyyy-mm-dd")</f>
        <v/>
      </c>
      <c r="C2991" t="inlineStr">
        <is>
          <t>1908-02-07</t>
        </is>
      </c>
    </row>
    <row r="2992">
      <c r="A2992" s="1" t="n">
        <v>2991</v>
      </c>
      <c r="B2992">
        <f>TEXT(2991, "[$-0E0000]yyyy-mm-dd")</f>
        <v/>
      </c>
      <c r="C2992" t="inlineStr">
        <is>
          <t>1908-02-08</t>
        </is>
      </c>
    </row>
    <row r="2993">
      <c r="A2993" s="1" t="n">
        <v>2992</v>
      </c>
      <c r="B2993">
        <f>TEXT(2992, "[$-0E0000]yyyy-mm-dd")</f>
        <v/>
      </c>
      <c r="C2993" t="inlineStr">
        <is>
          <t>1908-02-09</t>
        </is>
      </c>
    </row>
    <row r="2994">
      <c r="A2994" s="1" t="n">
        <v>2993</v>
      </c>
      <c r="B2994">
        <f>TEXT(2993, "[$-0E0000]yyyy-mm-dd")</f>
        <v/>
      </c>
      <c r="C2994" t="inlineStr">
        <is>
          <t>1908-02-10</t>
        </is>
      </c>
    </row>
    <row r="2995">
      <c r="A2995" s="1" t="n">
        <v>2994</v>
      </c>
      <c r="B2995">
        <f>TEXT(2994, "[$-0E0000]yyyy-mm-dd")</f>
        <v/>
      </c>
      <c r="C2995" t="inlineStr">
        <is>
          <t>1908-02-11</t>
        </is>
      </c>
    </row>
    <row r="2996">
      <c r="A2996" s="1" t="n">
        <v>2995</v>
      </c>
      <c r="B2996">
        <f>TEXT(2995, "[$-0E0000]yyyy-mm-dd")</f>
        <v/>
      </c>
      <c r="C2996" t="inlineStr">
        <is>
          <t>1908-02-12</t>
        </is>
      </c>
    </row>
    <row r="2997">
      <c r="A2997" s="1" t="n">
        <v>2996</v>
      </c>
      <c r="B2997">
        <f>TEXT(2996, "[$-0E0000]yyyy-mm-dd")</f>
        <v/>
      </c>
      <c r="C2997" t="inlineStr">
        <is>
          <t>1908-02-13</t>
        </is>
      </c>
    </row>
    <row r="2998">
      <c r="A2998" s="1" t="n">
        <v>2997</v>
      </c>
      <c r="B2998">
        <f>TEXT(2997, "[$-0E0000]yyyy-mm-dd")</f>
        <v/>
      </c>
      <c r="C2998" t="inlineStr">
        <is>
          <t>1908-02-14</t>
        </is>
      </c>
    </row>
    <row r="2999">
      <c r="A2999" s="1" t="n">
        <v>2998</v>
      </c>
      <c r="B2999">
        <f>TEXT(2998, "[$-0E0000]yyyy-mm-dd")</f>
        <v/>
      </c>
      <c r="C2999" t="inlineStr">
        <is>
          <t>1908-02-15</t>
        </is>
      </c>
    </row>
    <row r="3000">
      <c r="A3000" s="1" t="n">
        <v>2999</v>
      </c>
      <c r="B3000">
        <f>TEXT(2999, "[$-0E0000]yyyy-mm-dd")</f>
        <v/>
      </c>
      <c r="C3000" t="inlineStr">
        <is>
          <t>1908-02-16</t>
        </is>
      </c>
    </row>
    <row r="3001">
      <c r="A3001" s="1" t="n">
        <v>3000</v>
      </c>
      <c r="B3001">
        <f>TEXT(3000, "[$-0E0000]yyyy-mm-dd")</f>
        <v/>
      </c>
      <c r="C3001" t="inlineStr">
        <is>
          <t>1908-02-17</t>
        </is>
      </c>
    </row>
    <row r="3002">
      <c r="A3002" s="1" t="n">
        <v>3001</v>
      </c>
      <c r="B3002">
        <f>TEXT(3001, "[$-0E0000]yyyy-mm-dd")</f>
        <v/>
      </c>
      <c r="C3002" t="inlineStr">
        <is>
          <t>1908-02-18</t>
        </is>
      </c>
    </row>
    <row r="3003">
      <c r="A3003" s="1" t="n">
        <v>3002</v>
      </c>
      <c r="B3003">
        <f>TEXT(3002, "[$-0E0000]yyyy-mm-dd")</f>
        <v/>
      </c>
      <c r="C3003" t="inlineStr">
        <is>
          <t>1908-02-19</t>
        </is>
      </c>
    </row>
    <row r="3004">
      <c r="A3004" s="1" t="n">
        <v>3003</v>
      </c>
      <c r="B3004">
        <f>TEXT(3003, "[$-0E0000]yyyy-mm-dd")</f>
        <v/>
      </c>
      <c r="C3004" t="inlineStr">
        <is>
          <t>1908-02-20</t>
        </is>
      </c>
    </row>
    <row r="3005">
      <c r="A3005" s="1" t="n">
        <v>3004</v>
      </c>
      <c r="B3005">
        <f>TEXT(3004, "[$-0E0000]yyyy-mm-dd")</f>
        <v/>
      </c>
      <c r="C3005" t="inlineStr">
        <is>
          <t>1908-02-21</t>
        </is>
      </c>
    </row>
    <row r="3006">
      <c r="A3006" s="1" t="n">
        <v>3005</v>
      </c>
      <c r="B3006">
        <f>TEXT(3005, "[$-0E0000]yyyy-mm-dd")</f>
        <v/>
      </c>
      <c r="C3006" t="inlineStr">
        <is>
          <t>1908-02-22</t>
        </is>
      </c>
    </row>
    <row r="3007">
      <c r="A3007" s="1" t="n">
        <v>3006</v>
      </c>
      <c r="B3007">
        <f>TEXT(3006, "[$-0E0000]yyyy-mm-dd")</f>
        <v/>
      </c>
      <c r="C3007" t="inlineStr">
        <is>
          <t>1908-02-23</t>
        </is>
      </c>
    </row>
    <row r="3008">
      <c r="A3008" s="1" t="n">
        <v>3007</v>
      </c>
      <c r="B3008">
        <f>TEXT(3007, "[$-0E0000]yyyy-mm-dd")</f>
        <v/>
      </c>
      <c r="C3008" t="inlineStr">
        <is>
          <t>1908-02-24</t>
        </is>
      </c>
    </row>
    <row r="3009">
      <c r="A3009" s="1" t="n">
        <v>3008</v>
      </c>
      <c r="B3009">
        <f>TEXT(3008, "[$-0E0000]yyyy-mm-dd")</f>
        <v/>
      </c>
      <c r="C3009" t="inlineStr">
        <is>
          <t>1908-02-25</t>
        </is>
      </c>
    </row>
    <row r="3010">
      <c r="A3010" s="1" t="n">
        <v>3009</v>
      </c>
      <c r="B3010">
        <f>TEXT(3009, "[$-0E0000]yyyy-mm-dd")</f>
        <v/>
      </c>
      <c r="C3010" t="inlineStr">
        <is>
          <t>1908-02-26</t>
        </is>
      </c>
    </row>
    <row r="3011">
      <c r="A3011" s="1" t="n">
        <v>3010</v>
      </c>
      <c r="B3011">
        <f>TEXT(3010, "[$-0E0000]yyyy-mm-dd")</f>
        <v/>
      </c>
      <c r="C3011" t="inlineStr">
        <is>
          <t>1908-02-27</t>
        </is>
      </c>
    </row>
    <row r="3012">
      <c r="A3012" s="1" t="n">
        <v>3011</v>
      </c>
      <c r="B3012">
        <f>TEXT(3011, "[$-0E0000]yyyy-mm-dd")</f>
        <v/>
      </c>
      <c r="C3012" t="inlineStr">
        <is>
          <t>1908-02-28</t>
        </is>
      </c>
    </row>
    <row r="3013">
      <c r="A3013" s="1" t="n">
        <v>3012</v>
      </c>
      <c r="B3013">
        <f>TEXT(3012, "[$-0E0000]yyyy-mm-dd")</f>
        <v/>
      </c>
      <c r="C3013" t="inlineStr">
        <is>
          <t>1908-02-29</t>
        </is>
      </c>
    </row>
    <row r="3014">
      <c r="A3014" s="1" t="n">
        <v>3013</v>
      </c>
      <c r="B3014">
        <f>TEXT(3013, "[$-0E0000]yyyy-mm-dd")</f>
        <v/>
      </c>
      <c r="C3014" t="inlineStr">
        <is>
          <t>1908-03-01</t>
        </is>
      </c>
    </row>
    <row r="3015">
      <c r="A3015" s="1" t="n">
        <v>3014</v>
      </c>
      <c r="B3015">
        <f>TEXT(3014, "[$-0E0000]yyyy-mm-dd")</f>
        <v/>
      </c>
      <c r="C3015" t="inlineStr">
        <is>
          <t>1908-03-02</t>
        </is>
      </c>
    </row>
    <row r="3016">
      <c r="A3016" s="1" t="n">
        <v>3015</v>
      </c>
      <c r="B3016">
        <f>TEXT(3015, "[$-0E0000]yyyy-mm-dd")</f>
        <v/>
      </c>
      <c r="C3016" t="inlineStr">
        <is>
          <t>1908-03-03</t>
        </is>
      </c>
    </row>
    <row r="3017">
      <c r="A3017" s="1" t="n">
        <v>3016</v>
      </c>
      <c r="B3017">
        <f>TEXT(3016, "[$-0E0000]yyyy-mm-dd")</f>
        <v/>
      </c>
      <c r="C3017" t="inlineStr">
        <is>
          <t>1908-03-04</t>
        </is>
      </c>
    </row>
    <row r="3018">
      <c r="A3018" s="1" t="n">
        <v>3017</v>
      </c>
      <c r="B3018">
        <f>TEXT(3017, "[$-0E0000]yyyy-mm-dd")</f>
        <v/>
      </c>
      <c r="C3018" t="inlineStr">
        <is>
          <t>1908-03-05</t>
        </is>
      </c>
    </row>
    <row r="3019">
      <c r="A3019" s="1" t="n">
        <v>3018</v>
      </c>
      <c r="B3019">
        <f>TEXT(3018, "[$-0E0000]yyyy-mm-dd")</f>
        <v/>
      </c>
      <c r="C3019" t="inlineStr">
        <is>
          <t>1908-03-06</t>
        </is>
      </c>
    </row>
    <row r="3020">
      <c r="A3020" s="1" t="n">
        <v>3019</v>
      </c>
      <c r="B3020">
        <f>TEXT(3019, "[$-0E0000]yyyy-mm-dd")</f>
        <v/>
      </c>
      <c r="C3020" t="inlineStr">
        <is>
          <t>1908-03-07</t>
        </is>
      </c>
    </row>
    <row r="3021">
      <c r="A3021" s="1" t="n">
        <v>3020</v>
      </c>
      <c r="B3021">
        <f>TEXT(3020, "[$-0E0000]yyyy-mm-dd")</f>
        <v/>
      </c>
      <c r="C3021" t="inlineStr">
        <is>
          <t>1908-03-08</t>
        </is>
      </c>
    </row>
    <row r="3022">
      <c r="A3022" s="1" t="n">
        <v>3021</v>
      </c>
      <c r="B3022">
        <f>TEXT(3021, "[$-0E0000]yyyy-mm-dd")</f>
        <v/>
      </c>
      <c r="C3022" t="inlineStr">
        <is>
          <t>1908-03-09</t>
        </is>
      </c>
    </row>
    <row r="3023">
      <c r="A3023" s="1" t="n">
        <v>3022</v>
      </c>
      <c r="B3023">
        <f>TEXT(3022, "[$-0E0000]yyyy-mm-dd")</f>
        <v/>
      </c>
      <c r="C3023" t="inlineStr">
        <is>
          <t>1908-03-10</t>
        </is>
      </c>
    </row>
    <row r="3024">
      <c r="A3024" s="1" t="n">
        <v>3023</v>
      </c>
      <c r="B3024">
        <f>TEXT(3023, "[$-0E0000]yyyy-mm-dd")</f>
        <v/>
      </c>
      <c r="C3024" t="inlineStr">
        <is>
          <t>1908-03-11</t>
        </is>
      </c>
    </row>
    <row r="3025">
      <c r="A3025" s="1" t="n">
        <v>3024</v>
      </c>
      <c r="B3025">
        <f>TEXT(3024, "[$-0E0000]yyyy-mm-dd")</f>
        <v/>
      </c>
      <c r="C3025" t="inlineStr">
        <is>
          <t>1908-03-12</t>
        </is>
      </c>
    </row>
    <row r="3026">
      <c r="A3026" s="1" t="n">
        <v>3025</v>
      </c>
      <c r="B3026">
        <f>TEXT(3025, "[$-0E0000]yyyy-mm-dd")</f>
        <v/>
      </c>
      <c r="C3026" t="inlineStr">
        <is>
          <t>1908-03-13</t>
        </is>
      </c>
    </row>
    <row r="3027">
      <c r="A3027" s="1" t="n">
        <v>3026</v>
      </c>
      <c r="B3027">
        <f>TEXT(3026, "[$-0E0000]yyyy-mm-dd")</f>
        <v/>
      </c>
      <c r="C3027" t="inlineStr">
        <is>
          <t>1908-03-14</t>
        </is>
      </c>
    </row>
    <row r="3028">
      <c r="A3028" s="1" t="n">
        <v>3027</v>
      </c>
      <c r="B3028">
        <f>TEXT(3027, "[$-0E0000]yyyy-mm-dd")</f>
        <v/>
      </c>
      <c r="C3028" t="inlineStr">
        <is>
          <t>1908-03-15</t>
        </is>
      </c>
    </row>
    <row r="3029">
      <c r="A3029" s="1" t="n">
        <v>3028</v>
      </c>
      <c r="B3029">
        <f>TEXT(3028, "[$-0E0000]yyyy-mm-dd")</f>
        <v/>
      </c>
      <c r="C3029" t="inlineStr">
        <is>
          <t>1908-03-16</t>
        </is>
      </c>
    </row>
    <row r="3030">
      <c r="A3030" s="1" t="n">
        <v>3029</v>
      </c>
      <c r="B3030">
        <f>TEXT(3029, "[$-0E0000]yyyy-mm-dd")</f>
        <v/>
      </c>
      <c r="C3030" t="inlineStr">
        <is>
          <t>1908-03-17</t>
        </is>
      </c>
    </row>
    <row r="3031">
      <c r="A3031" s="1" t="n">
        <v>3030</v>
      </c>
      <c r="B3031">
        <f>TEXT(3030, "[$-0E0000]yyyy-mm-dd")</f>
        <v/>
      </c>
      <c r="C3031" t="inlineStr">
        <is>
          <t>1908-03-18</t>
        </is>
      </c>
    </row>
    <row r="3032">
      <c r="A3032" s="1" t="n">
        <v>3031</v>
      </c>
      <c r="B3032">
        <f>TEXT(3031, "[$-0E0000]yyyy-mm-dd")</f>
        <v/>
      </c>
      <c r="C3032" t="inlineStr">
        <is>
          <t>1908-03-19</t>
        </is>
      </c>
    </row>
    <row r="3033">
      <c r="A3033" s="1" t="n">
        <v>3032</v>
      </c>
      <c r="B3033">
        <f>TEXT(3032, "[$-0E0000]yyyy-mm-dd")</f>
        <v/>
      </c>
      <c r="C3033" t="inlineStr">
        <is>
          <t>1908-03-20</t>
        </is>
      </c>
    </row>
    <row r="3034">
      <c r="A3034" s="1" t="n">
        <v>3033</v>
      </c>
      <c r="B3034">
        <f>TEXT(3033, "[$-0E0000]yyyy-mm-dd")</f>
        <v/>
      </c>
      <c r="C3034" t="inlineStr">
        <is>
          <t>1908-03-21</t>
        </is>
      </c>
    </row>
    <row r="3035">
      <c r="A3035" s="1" t="n">
        <v>3034</v>
      </c>
      <c r="B3035">
        <f>TEXT(3034, "[$-0E0000]yyyy-mm-dd")</f>
        <v/>
      </c>
      <c r="C3035" t="inlineStr">
        <is>
          <t>1908-03-22</t>
        </is>
      </c>
    </row>
    <row r="3036">
      <c r="A3036" s="1" t="n">
        <v>3035</v>
      </c>
      <c r="B3036">
        <f>TEXT(3035, "[$-0E0000]yyyy-mm-dd")</f>
        <v/>
      </c>
      <c r="C3036" t="inlineStr">
        <is>
          <t>1908-03-23</t>
        </is>
      </c>
    </row>
    <row r="3037">
      <c r="A3037" s="1" t="n">
        <v>3036</v>
      </c>
      <c r="B3037">
        <f>TEXT(3036, "[$-0E0000]yyyy-mm-dd")</f>
        <v/>
      </c>
      <c r="C3037" t="inlineStr">
        <is>
          <t>1908-03-24</t>
        </is>
      </c>
    </row>
    <row r="3038">
      <c r="A3038" s="1" t="n">
        <v>3037</v>
      </c>
      <c r="B3038">
        <f>TEXT(3037, "[$-0E0000]yyyy-mm-dd")</f>
        <v/>
      </c>
      <c r="C3038" t="inlineStr">
        <is>
          <t>1908-03-25</t>
        </is>
      </c>
    </row>
    <row r="3039">
      <c r="A3039" s="1" t="n">
        <v>3038</v>
      </c>
      <c r="B3039">
        <f>TEXT(3038, "[$-0E0000]yyyy-mm-dd")</f>
        <v/>
      </c>
      <c r="C3039" t="inlineStr">
        <is>
          <t>1908-03-26</t>
        </is>
      </c>
    </row>
    <row r="3040">
      <c r="A3040" s="1" t="n">
        <v>3039</v>
      </c>
      <c r="B3040">
        <f>TEXT(3039, "[$-0E0000]yyyy-mm-dd")</f>
        <v/>
      </c>
      <c r="C3040" t="inlineStr">
        <is>
          <t>1908-03-27</t>
        </is>
      </c>
    </row>
    <row r="3041">
      <c r="A3041" s="1" t="n">
        <v>3040</v>
      </c>
      <c r="B3041">
        <f>TEXT(3040, "[$-0E0000]yyyy-mm-dd")</f>
        <v/>
      </c>
      <c r="C3041" t="inlineStr">
        <is>
          <t>1908-03-28</t>
        </is>
      </c>
    </row>
    <row r="3042">
      <c r="A3042" s="1" t="n">
        <v>3041</v>
      </c>
      <c r="B3042">
        <f>TEXT(3041, "[$-0E0000]yyyy-mm-dd")</f>
        <v/>
      </c>
      <c r="C3042" t="inlineStr">
        <is>
          <t>1908-03-29</t>
        </is>
      </c>
    </row>
    <row r="3043">
      <c r="A3043" s="1" t="n">
        <v>3042</v>
      </c>
      <c r="B3043">
        <f>TEXT(3042, "[$-0E0000]yyyy-mm-dd")</f>
        <v/>
      </c>
      <c r="C3043" t="inlineStr">
        <is>
          <t>1908-04-01</t>
        </is>
      </c>
    </row>
    <row r="3044">
      <c r="A3044" s="1" t="n">
        <v>3043</v>
      </c>
      <c r="B3044">
        <f>TEXT(3043, "[$-0E0000]yyyy-mm-dd")</f>
        <v/>
      </c>
      <c r="C3044" t="inlineStr">
        <is>
          <t>1908-04-02</t>
        </is>
      </c>
    </row>
    <row r="3045">
      <c r="A3045" s="1" t="n">
        <v>3044</v>
      </c>
      <c r="B3045">
        <f>TEXT(3044, "[$-0E0000]yyyy-mm-dd")</f>
        <v/>
      </c>
      <c r="C3045" t="inlineStr">
        <is>
          <t>1908-04-03</t>
        </is>
      </c>
    </row>
    <row r="3046">
      <c r="A3046" s="1" t="n">
        <v>3045</v>
      </c>
      <c r="B3046">
        <f>TEXT(3045, "[$-0E0000]yyyy-mm-dd")</f>
        <v/>
      </c>
      <c r="C3046" t="inlineStr">
        <is>
          <t>1908-04-04</t>
        </is>
      </c>
    </row>
    <row r="3047">
      <c r="A3047" s="1" t="n">
        <v>3046</v>
      </c>
      <c r="B3047">
        <f>TEXT(3046, "[$-0E0000]yyyy-mm-dd")</f>
        <v/>
      </c>
      <c r="C3047" t="inlineStr">
        <is>
          <t>1908-04-05</t>
        </is>
      </c>
    </row>
    <row r="3048">
      <c r="A3048" s="1" t="n">
        <v>3047</v>
      </c>
      <c r="B3048">
        <f>TEXT(3047, "[$-0E0000]yyyy-mm-dd")</f>
        <v/>
      </c>
      <c r="C3048" t="inlineStr">
        <is>
          <t>1908-04-06</t>
        </is>
      </c>
    </row>
    <row r="3049">
      <c r="A3049" s="1" t="n">
        <v>3048</v>
      </c>
      <c r="B3049">
        <f>TEXT(3048, "[$-0E0000]yyyy-mm-dd")</f>
        <v/>
      </c>
      <c r="C3049" t="inlineStr">
        <is>
          <t>1908-04-07</t>
        </is>
      </c>
    </row>
    <row r="3050">
      <c r="A3050" s="1" t="n">
        <v>3049</v>
      </c>
      <c r="B3050">
        <f>TEXT(3049, "[$-0E0000]yyyy-mm-dd")</f>
        <v/>
      </c>
      <c r="C3050" t="inlineStr">
        <is>
          <t>1908-04-08</t>
        </is>
      </c>
    </row>
    <row r="3051">
      <c r="A3051" s="1" t="n">
        <v>3050</v>
      </c>
      <c r="B3051">
        <f>TEXT(3050, "[$-0E0000]yyyy-mm-dd")</f>
        <v/>
      </c>
      <c r="C3051" t="inlineStr">
        <is>
          <t>1908-04-09</t>
        </is>
      </c>
    </row>
    <row r="3052">
      <c r="A3052" s="1" t="n">
        <v>3051</v>
      </c>
      <c r="B3052">
        <f>TEXT(3051, "[$-0E0000]yyyy-mm-dd")</f>
        <v/>
      </c>
      <c r="C3052" t="inlineStr">
        <is>
          <t>1908-04-10</t>
        </is>
      </c>
    </row>
    <row r="3053">
      <c r="A3053" s="1" t="n">
        <v>3052</v>
      </c>
      <c r="B3053">
        <f>TEXT(3052, "[$-0E0000]yyyy-mm-dd")</f>
        <v/>
      </c>
      <c r="C3053" t="inlineStr">
        <is>
          <t>1908-04-11</t>
        </is>
      </c>
    </row>
    <row r="3054">
      <c r="A3054" s="1" t="n">
        <v>3053</v>
      </c>
      <c r="B3054">
        <f>TEXT(3053, "[$-0E0000]yyyy-mm-dd")</f>
        <v/>
      </c>
      <c r="C3054" t="inlineStr">
        <is>
          <t>1908-04-12</t>
        </is>
      </c>
    </row>
    <row r="3055">
      <c r="A3055" s="1" t="n">
        <v>3054</v>
      </c>
      <c r="B3055">
        <f>TEXT(3054, "[$-0E0000]yyyy-mm-dd")</f>
        <v/>
      </c>
      <c r="C3055" t="inlineStr">
        <is>
          <t>1908-04-13</t>
        </is>
      </c>
    </row>
    <row r="3056">
      <c r="A3056" s="1" t="n">
        <v>3055</v>
      </c>
      <c r="B3056">
        <f>TEXT(3055, "[$-0E0000]yyyy-mm-dd")</f>
        <v/>
      </c>
      <c r="C3056" t="inlineStr">
        <is>
          <t>1908-04-14</t>
        </is>
      </c>
    </row>
    <row r="3057">
      <c r="A3057" s="1" t="n">
        <v>3056</v>
      </c>
      <c r="B3057">
        <f>TEXT(3056, "[$-0E0000]yyyy-mm-dd")</f>
        <v/>
      </c>
      <c r="C3057" t="inlineStr">
        <is>
          <t>1908-04-15</t>
        </is>
      </c>
    </row>
    <row r="3058">
      <c r="A3058" s="1" t="n">
        <v>3057</v>
      </c>
      <c r="B3058">
        <f>TEXT(3057, "[$-0E0000]yyyy-mm-dd")</f>
        <v/>
      </c>
      <c r="C3058" t="inlineStr">
        <is>
          <t>1908-04-16</t>
        </is>
      </c>
    </row>
    <row r="3059">
      <c r="A3059" s="1" t="n">
        <v>3058</v>
      </c>
      <c r="B3059">
        <f>TEXT(3058, "[$-0E0000]yyyy-mm-dd")</f>
        <v/>
      </c>
      <c r="C3059" t="inlineStr">
        <is>
          <t>1908-04-17</t>
        </is>
      </c>
    </row>
    <row r="3060">
      <c r="A3060" s="1" t="n">
        <v>3059</v>
      </c>
      <c r="B3060">
        <f>TEXT(3059, "[$-0E0000]yyyy-mm-dd")</f>
        <v/>
      </c>
      <c r="C3060" t="inlineStr">
        <is>
          <t>1908-04-18</t>
        </is>
      </c>
    </row>
    <row r="3061">
      <c r="A3061" s="1" t="n">
        <v>3060</v>
      </c>
      <c r="B3061">
        <f>TEXT(3060, "[$-0E0000]yyyy-mm-dd")</f>
        <v/>
      </c>
      <c r="C3061" t="inlineStr">
        <is>
          <t>1908-04-19</t>
        </is>
      </c>
    </row>
    <row r="3062">
      <c r="A3062" s="1" t="n">
        <v>3061</v>
      </c>
      <c r="B3062">
        <f>TEXT(3061, "[$-0E0000]yyyy-mm-dd")</f>
        <v/>
      </c>
      <c r="C3062" t="inlineStr">
        <is>
          <t>1908-04-20</t>
        </is>
      </c>
    </row>
    <row r="3063">
      <c r="A3063" s="1" t="n">
        <v>3062</v>
      </c>
      <c r="B3063">
        <f>TEXT(3062, "[$-0E0000]yyyy-mm-dd")</f>
        <v/>
      </c>
      <c r="C3063" t="inlineStr">
        <is>
          <t>1908-04-21</t>
        </is>
      </c>
    </row>
    <row r="3064">
      <c r="A3064" s="1" t="n">
        <v>3063</v>
      </c>
      <c r="B3064">
        <f>TEXT(3063, "[$-0E0000]yyyy-mm-dd")</f>
        <v/>
      </c>
      <c r="C3064" t="inlineStr">
        <is>
          <t>1908-04-22</t>
        </is>
      </c>
    </row>
    <row r="3065">
      <c r="A3065" s="1" t="n">
        <v>3064</v>
      </c>
      <c r="B3065">
        <f>TEXT(3064, "[$-0E0000]yyyy-mm-dd")</f>
        <v/>
      </c>
      <c r="C3065" t="inlineStr">
        <is>
          <t>1908-04-23</t>
        </is>
      </c>
    </row>
    <row r="3066">
      <c r="A3066" s="1" t="n">
        <v>3065</v>
      </c>
      <c r="B3066">
        <f>TEXT(3065, "[$-0E0000]yyyy-mm-dd")</f>
        <v/>
      </c>
      <c r="C3066" t="inlineStr">
        <is>
          <t>1908-04-24</t>
        </is>
      </c>
    </row>
    <row r="3067">
      <c r="A3067" s="1" t="n">
        <v>3066</v>
      </c>
      <c r="B3067">
        <f>TEXT(3066, "[$-0E0000]yyyy-mm-dd")</f>
        <v/>
      </c>
      <c r="C3067" t="inlineStr">
        <is>
          <t>1908-04-25</t>
        </is>
      </c>
    </row>
    <row r="3068">
      <c r="A3068" s="1" t="n">
        <v>3067</v>
      </c>
      <c r="B3068">
        <f>TEXT(3067, "[$-0E0000]yyyy-mm-dd")</f>
        <v/>
      </c>
      <c r="C3068" t="inlineStr">
        <is>
          <t>1908-04-26</t>
        </is>
      </c>
    </row>
    <row r="3069">
      <c r="A3069" s="1" t="n">
        <v>3068</v>
      </c>
      <c r="B3069">
        <f>TEXT(3068, "[$-0E0000]yyyy-mm-dd")</f>
        <v/>
      </c>
      <c r="C3069" t="inlineStr">
        <is>
          <t>1908-04-27</t>
        </is>
      </c>
    </row>
    <row r="3070">
      <c r="A3070" s="1" t="n">
        <v>3069</v>
      </c>
      <c r="B3070">
        <f>TEXT(3069, "[$-0E0000]yyyy-mm-dd")</f>
        <v/>
      </c>
      <c r="C3070" t="inlineStr">
        <is>
          <t>1908-04-28</t>
        </is>
      </c>
    </row>
    <row r="3071">
      <c r="A3071" s="1" t="n">
        <v>3070</v>
      </c>
      <c r="B3071">
        <f>TEXT(3070, "[$-0E0000]yyyy-mm-dd")</f>
        <v/>
      </c>
      <c r="C3071" t="inlineStr">
        <is>
          <t>1908-04-29</t>
        </is>
      </c>
    </row>
    <row r="3072">
      <c r="A3072" s="1" t="n">
        <v>3071</v>
      </c>
      <c r="B3072">
        <f>TEXT(3071, "[$-0E0000]yyyy-mm-dd")</f>
        <v/>
      </c>
      <c r="C3072" t="inlineStr">
        <is>
          <t>1908-04-30</t>
        </is>
      </c>
    </row>
    <row r="3073">
      <c r="A3073" s="1" t="n">
        <v>3072</v>
      </c>
      <c r="B3073">
        <f>TEXT(3072, "[$-0E0000]yyyy-mm-dd")</f>
        <v/>
      </c>
      <c r="C3073" t="inlineStr">
        <is>
          <t>1908-05-01</t>
        </is>
      </c>
    </row>
    <row r="3074">
      <c r="A3074" s="1" t="n">
        <v>3073</v>
      </c>
      <c r="B3074">
        <f>TEXT(3073, "[$-0E0000]yyyy-mm-dd")</f>
        <v/>
      </c>
      <c r="C3074" t="inlineStr">
        <is>
          <t>1908-05-02</t>
        </is>
      </c>
    </row>
    <row r="3075">
      <c r="A3075" s="1" t="n">
        <v>3074</v>
      </c>
      <c r="B3075">
        <f>TEXT(3074, "[$-0E0000]yyyy-mm-dd")</f>
        <v/>
      </c>
      <c r="C3075" t="inlineStr">
        <is>
          <t>1908-05-03</t>
        </is>
      </c>
    </row>
    <row r="3076">
      <c r="A3076" s="1" t="n">
        <v>3075</v>
      </c>
      <c r="B3076">
        <f>TEXT(3075, "[$-0E0000]yyyy-mm-dd")</f>
        <v/>
      </c>
      <c r="C3076" t="inlineStr">
        <is>
          <t>1908-05-04</t>
        </is>
      </c>
    </row>
    <row r="3077">
      <c r="A3077" s="1" t="n">
        <v>3076</v>
      </c>
      <c r="B3077">
        <f>TEXT(3076, "[$-0E0000]yyyy-mm-dd")</f>
        <v/>
      </c>
      <c r="C3077" t="inlineStr">
        <is>
          <t>1908-05-05</t>
        </is>
      </c>
    </row>
    <row r="3078">
      <c r="A3078" s="1" t="n">
        <v>3077</v>
      </c>
      <c r="B3078">
        <f>TEXT(3077, "[$-0E0000]yyyy-mm-dd")</f>
        <v/>
      </c>
      <c r="C3078" t="inlineStr">
        <is>
          <t>1908-05-06</t>
        </is>
      </c>
    </row>
    <row r="3079">
      <c r="A3079" s="1" t="n">
        <v>3078</v>
      </c>
      <c r="B3079">
        <f>TEXT(3078, "[$-0E0000]yyyy-mm-dd")</f>
        <v/>
      </c>
      <c r="C3079" t="inlineStr">
        <is>
          <t>1908-05-07</t>
        </is>
      </c>
    </row>
    <row r="3080">
      <c r="A3080" s="1" t="n">
        <v>3079</v>
      </c>
      <c r="B3080">
        <f>TEXT(3079, "[$-0E0000]yyyy-mm-dd")</f>
        <v/>
      </c>
      <c r="C3080" t="inlineStr">
        <is>
          <t>1908-05-08</t>
        </is>
      </c>
    </row>
    <row r="3081">
      <c r="A3081" s="1" t="n">
        <v>3080</v>
      </c>
      <c r="B3081">
        <f>TEXT(3080, "[$-0E0000]yyyy-mm-dd")</f>
        <v/>
      </c>
      <c r="C3081" t="inlineStr">
        <is>
          <t>1908-05-09</t>
        </is>
      </c>
    </row>
    <row r="3082">
      <c r="A3082" s="1" t="n">
        <v>3081</v>
      </c>
      <c r="B3082">
        <f>TEXT(3081, "[$-0E0000]yyyy-mm-dd")</f>
        <v/>
      </c>
      <c r="C3082" t="inlineStr">
        <is>
          <t>1908-05-10</t>
        </is>
      </c>
    </row>
    <row r="3083">
      <c r="A3083" s="1" t="n">
        <v>3082</v>
      </c>
      <c r="B3083">
        <f>TEXT(3082, "[$-0E0000]yyyy-mm-dd")</f>
        <v/>
      </c>
      <c r="C3083" t="inlineStr">
        <is>
          <t>1908-05-11</t>
        </is>
      </c>
    </row>
    <row r="3084">
      <c r="A3084" s="1" t="n">
        <v>3083</v>
      </c>
      <c r="B3084">
        <f>TEXT(3083, "[$-0E0000]yyyy-mm-dd")</f>
        <v/>
      </c>
      <c r="C3084" t="inlineStr">
        <is>
          <t>1908-05-12</t>
        </is>
      </c>
    </row>
    <row r="3085">
      <c r="A3085" s="1" t="n">
        <v>3084</v>
      </c>
      <c r="B3085">
        <f>TEXT(3084, "[$-0E0000]yyyy-mm-dd")</f>
        <v/>
      </c>
      <c r="C3085" t="inlineStr">
        <is>
          <t>1908-05-13</t>
        </is>
      </c>
    </row>
    <row r="3086">
      <c r="A3086" s="1" t="n">
        <v>3085</v>
      </c>
      <c r="B3086">
        <f>TEXT(3085, "[$-0E0000]yyyy-mm-dd")</f>
        <v/>
      </c>
      <c r="C3086" t="inlineStr">
        <is>
          <t>1908-05-14</t>
        </is>
      </c>
    </row>
    <row r="3087">
      <c r="A3087" s="1" t="n">
        <v>3086</v>
      </c>
      <c r="B3087">
        <f>TEXT(3086, "[$-0E0000]yyyy-mm-dd")</f>
        <v/>
      </c>
      <c r="C3087" t="inlineStr">
        <is>
          <t>1908-05-15</t>
        </is>
      </c>
    </row>
    <row r="3088">
      <c r="A3088" s="1" t="n">
        <v>3087</v>
      </c>
      <c r="B3088">
        <f>TEXT(3087, "[$-0E0000]yyyy-mm-dd")</f>
        <v/>
      </c>
      <c r="C3088" t="inlineStr">
        <is>
          <t>1908-05-16</t>
        </is>
      </c>
    </row>
    <row r="3089">
      <c r="A3089" s="1" t="n">
        <v>3088</v>
      </c>
      <c r="B3089">
        <f>TEXT(3088, "[$-0E0000]yyyy-mm-dd")</f>
        <v/>
      </c>
      <c r="C3089" t="inlineStr">
        <is>
          <t>1908-05-17</t>
        </is>
      </c>
    </row>
    <row r="3090">
      <c r="A3090" s="1" t="n">
        <v>3089</v>
      </c>
      <c r="B3090">
        <f>TEXT(3089, "[$-0E0000]yyyy-mm-dd")</f>
        <v/>
      </c>
      <c r="C3090" t="inlineStr">
        <is>
          <t>1908-05-18</t>
        </is>
      </c>
    </row>
    <row r="3091">
      <c r="A3091" s="1" t="n">
        <v>3090</v>
      </c>
      <c r="B3091">
        <f>TEXT(3090, "[$-0E0000]yyyy-mm-dd")</f>
        <v/>
      </c>
      <c r="C3091" t="inlineStr">
        <is>
          <t>1908-05-19</t>
        </is>
      </c>
    </row>
    <row r="3092">
      <c r="A3092" s="1" t="n">
        <v>3091</v>
      </c>
      <c r="B3092">
        <f>TEXT(3091, "[$-0E0000]yyyy-mm-dd")</f>
        <v/>
      </c>
      <c r="C3092" t="inlineStr">
        <is>
          <t>1908-05-20</t>
        </is>
      </c>
    </row>
    <row r="3093">
      <c r="A3093" s="1" t="n">
        <v>3092</v>
      </c>
      <c r="B3093">
        <f>TEXT(3092, "[$-0E0000]yyyy-mm-dd")</f>
        <v/>
      </c>
      <c r="C3093" t="inlineStr">
        <is>
          <t>1908-05-21</t>
        </is>
      </c>
    </row>
    <row r="3094">
      <c r="A3094" s="1" t="n">
        <v>3093</v>
      </c>
      <c r="B3094">
        <f>TEXT(3093, "[$-0E0000]yyyy-mm-dd")</f>
        <v/>
      </c>
      <c r="C3094" t="inlineStr">
        <is>
          <t>1908-05-22</t>
        </is>
      </c>
    </row>
    <row r="3095">
      <c r="A3095" s="1" t="n">
        <v>3094</v>
      </c>
      <c r="B3095">
        <f>TEXT(3094, "[$-0E0000]yyyy-mm-dd")</f>
        <v/>
      </c>
      <c r="C3095" t="inlineStr">
        <is>
          <t>1908-05-23</t>
        </is>
      </c>
    </row>
    <row r="3096">
      <c r="A3096" s="1" t="n">
        <v>3095</v>
      </c>
      <c r="B3096">
        <f>TEXT(3095, "[$-0E0000]yyyy-mm-dd")</f>
        <v/>
      </c>
      <c r="C3096" t="inlineStr">
        <is>
          <t>1908-05-24</t>
        </is>
      </c>
    </row>
    <row r="3097">
      <c r="A3097" s="1" t="n">
        <v>3096</v>
      </c>
      <c r="B3097">
        <f>TEXT(3096, "[$-0E0000]yyyy-mm-dd")</f>
        <v/>
      </c>
      <c r="C3097" t="inlineStr">
        <is>
          <t>1908-05-25</t>
        </is>
      </c>
    </row>
    <row r="3098">
      <c r="A3098" s="1" t="n">
        <v>3097</v>
      </c>
      <c r="B3098">
        <f>TEXT(3097, "[$-0E0000]yyyy-mm-dd")</f>
        <v/>
      </c>
      <c r="C3098" t="inlineStr">
        <is>
          <t>1908-05-26</t>
        </is>
      </c>
    </row>
    <row r="3099">
      <c r="A3099" s="1" t="n">
        <v>3098</v>
      </c>
      <c r="B3099">
        <f>TEXT(3098, "[$-0E0000]yyyy-mm-dd")</f>
        <v/>
      </c>
      <c r="C3099" t="inlineStr">
        <is>
          <t>1908-05-27</t>
        </is>
      </c>
    </row>
    <row r="3100">
      <c r="A3100" s="1" t="n">
        <v>3099</v>
      </c>
      <c r="B3100">
        <f>TEXT(3099, "[$-0E0000]yyyy-mm-dd")</f>
        <v/>
      </c>
      <c r="C3100" t="inlineStr">
        <is>
          <t>1908-05-28</t>
        </is>
      </c>
    </row>
    <row r="3101">
      <c r="A3101" s="1" t="n">
        <v>3100</v>
      </c>
      <c r="B3101">
        <f>TEXT(3100, "[$-0E0000]yyyy-mm-dd")</f>
        <v/>
      </c>
      <c r="C3101" t="inlineStr">
        <is>
          <t>1908-05-29</t>
        </is>
      </c>
    </row>
    <row r="3102">
      <c r="A3102" s="1" t="n">
        <v>3101</v>
      </c>
      <c r="B3102">
        <f>TEXT(3101, "[$-0E0000]yyyy-mm-dd")</f>
        <v/>
      </c>
      <c r="C3102" t="inlineStr">
        <is>
          <t>1908-05-30</t>
        </is>
      </c>
    </row>
    <row r="3103">
      <c r="A3103" s="1" t="n">
        <v>3102</v>
      </c>
      <c r="B3103">
        <f>TEXT(3102, "[$-0E0000]yyyy-mm-dd")</f>
        <v/>
      </c>
      <c r="C3103" t="inlineStr">
        <is>
          <t>1908-06-01</t>
        </is>
      </c>
    </row>
    <row r="3104">
      <c r="A3104" s="1" t="n">
        <v>3103</v>
      </c>
      <c r="B3104">
        <f>TEXT(3103, "[$-0E0000]yyyy-mm-dd")</f>
        <v/>
      </c>
      <c r="C3104" t="inlineStr">
        <is>
          <t>1908-06-02</t>
        </is>
      </c>
    </row>
    <row r="3105">
      <c r="A3105" s="1" t="n">
        <v>3104</v>
      </c>
      <c r="B3105">
        <f>TEXT(3104, "[$-0E0000]yyyy-mm-dd")</f>
        <v/>
      </c>
      <c r="C3105" t="inlineStr">
        <is>
          <t>1908-06-03</t>
        </is>
      </c>
    </row>
    <row r="3106">
      <c r="A3106" s="1" t="n">
        <v>3105</v>
      </c>
      <c r="B3106">
        <f>TEXT(3105, "[$-0E0000]yyyy-mm-dd")</f>
        <v/>
      </c>
      <c r="C3106" t="inlineStr">
        <is>
          <t>1908-06-04</t>
        </is>
      </c>
    </row>
    <row r="3107">
      <c r="A3107" s="1" t="n">
        <v>3106</v>
      </c>
      <c r="B3107">
        <f>TEXT(3106, "[$-0E0000]yyyy-mm-dd")</f>
        <v/>
      </c>
      <c r="C3107" t="inlineStr">
        <is>
          <t>1908-06-05</t>
        </is>
      </c>
    </row>
    <row r="3108">
      <c r="A3108" s="1" t="n">
        <v>3107</v>
      </c>
      <c r="B3108">
        <f>TEXT(3107, "[$-0E0000]yyyy-mm-dd")</f>
        <v/>
      </c>
      <c r="C3108" t="inlineStr">
        <is>
          <t>1908-06-06</t>
        </is>
      </c>
    </row>
    <row r="3109">
      <c r="A3109" s="1" t="n">
        <v>3108</v>
      </c>
      <c r="B3109">
        <f>TEXT(3108, "[$-0E0000]yyyy-mm-dd")</f>
        <v/>
      </c>
      <c r="C3109" t="inlineStr">
        <is>
          <t>1908-06-07</t>
        </is>
      </c>
    </row>
    <row r="3110">
      <c r="A3110" s="1" t="n">
        <v>3109</v>
      </c>
      <c r="B3110">
        <f>TEXT(3109, "[$-0E0000]yyyy-mm-dd")</f>
        <v/>
      </c>
      <c r="C3110" t="inlineStr">
        <is>
          <t>1908-06-08</t>
        </is>
      </c>
    </row>
    <row r="3111">
      <c r="A3111" s="1" t="n">
        <v>3110</v>
      </c>
      <c r="B3111">
        <f>TEXT(3110, "[$-0E0000]yyyy-mm-dd")</f>
        <v/>
      </c>
      <c r="C3111" t="inlineStr">
        <is>
          <t>1908-06-09</t>
        </is>
      </c>
    </row>
    <row r="3112">
      <c r="A3112" s="1" t="n">
        <v>3111</v>
      </c>
      <c r="B3112">
        <f>TEXT(3111, "[$-0E0000]yyyy-mm-dd")</f>
        <v/>
      </c>
      <c r="C3112" t="inlineStr">
        <is>
          <t>1908-06-10</t>
        </is>
      </c>
    </row>
    <row r="3113">
      <c r="A3113" s="1" t="n">
        <v>3112</v>
      </c>
      <c r="B3113">
        <f>TEXT(3112, "[$-0E0000]yyyy-mm-dd")</f>
        <v/>
      </c>
      <c r="C3113" t="inlineStr">
        <is>
          <t>1908-06-11</t>
        </is>
      </c>
    </row>
    <row r="3114">
      <c r="A3114" s="1" t="n">
        <v>3113</v>
      </c>
      <c r="B3114">
        <f>TEXT(3113, "[$-0E0000]yyyy-mm-dd")</f>
        <v/>
      </c>
      <c r="C3114" t="inlineStr">
        <is>
          <t>1908-06-12</t>
        </is>
      </c>
    </row>
    <row r="3115">
      <c r="A3115" s="1" t="n">
        <v>3114</v>
      </c>
      <c r="B3115">
        <f>TEXT(3114, "[$-0E0000]yyyy-mm-dd")</f>
        <v/>
      </c>
      <c r="C3115" t="inlineStr">
        <is>
          <t>1908-06-13</t>
        </is>
      </c>
    </row>
    <row r="3116">
      <c r="A3116" s="1" t="n">
        <v>3115</v>
      </c>
      <c r="B3116">
        <f>TEXT(3115, "[$-0E0000]yyyy-mm-dd")</f>
        <v/>
      </c>
      <c r="C3116" t="inlineStr">
        <is>
          <t>1908-06-14</t>
        </is>
      </c>
    </row>
    <row r="3117">
      <c r="A3117" s="1" t="n">
        <v>3116</v>
      </c>
      <c r="B3117">
        <f>TEXT(3116, "[$-0E0000]yyyy-mm-dd")</f>
        <v/>
      </c>
      <c r="C3117" t="inlineStr">
        <is>
          <t>1908-06-15</t>
        </is>
      </c>
    </row>
    <row r="3118">
      <c r="A3118" s="1" t="n">
        <v>3117</v>
      </c>
      <c r="B3118">
        <f>TEXT(3117, "[$-0E0000]yyyy-mm-dd")</f>
        <v/>
      </c>
      <c r="C3118" t="inlineStr">
        <is>
          <t>1908-06-16</t>
        </is>
      </c>
    </row>
    <row r="3119">
      <c r="A3119" s="1" t="n">
        <v>3118</v>
      </c>
      <c r="B3119">
        <f>TEXT(3118, "[$-0E0000]yyyy-mm-dd")</f>
        <v/>
      </c>
      <c r="C3119" t="inlineStr">
        <is>
          <t>1908-06-17</t>
        </is>
      </c>
    </row>
    <row r="3120">
      <c r="A3120" s="1" t="n">
        <v>3119</v>
      </c>
      <c r="B3120">
        <f>TEXT(3119, "[$-0E0000]yyyy-mm-dd")</f>
        <v/>
      </c>
      <c r="C3120" t="inlineStr">
        <is>
          <t>1908-06-18</t>
        </is>
      </c>
    </row>
    <row r="3121">
      <c r="A3121" s="1" t="n">
        <v>3120</v>
      </c>
      <c r="B3121">
        <f>TEXT(3120, "[$-0E0000]yyyy-mm-dd")</f>
        <v/>
      </c>
      <c r="C3121" t="inlineStr">
        <is>
          <t>1908-06-19</t>
        </is>
      </c>
    </row>
    <row r="3122">
      <c r="A3122" s="1" t="n">
        <v>3121</v>
      </c>
      <c r="B3122">
        <f>TEXT(3121, "[$-0E0000]yyyy-mm-dd")</f>
        <v/>
      </c>
      <c r="C3122" t="inlineStr">
        <is>
          <t>1908-06-20</t>
        </is>
      </c>
    </row>
    <row r="3123">
      <c r="A3123" s="1" t="n">
        <v>3122</v>
      </c>
      <c r="B3123">
        <f>TEXT(3122, "[$-0E0000]yyyy-mm-dd")</f>
        <v/>
      </c>
      <c r="C3123" t="inlineStr">
        <is>
          <t>1908-06-21</t>
        </is>
      </c>
    </row>
    <row r="3124">
      <c r="A3124" s="1" t="n">
        <v>3123</v>
      </c>
      <c r="B3124">
        <f>TEXT(3123, "[$-0E0000]yyyy-mm-dd")</f>
        <v/>
      </c>
      <c r="C3124" t="inlineStr">
        <is>
          <t>1908-06-22</t>
        </is>
      </c>
    </row>
    <row r="3125">
      <c r="A3125" s="1" t="n">
        <v>3124</v>
      </c>
      <c r="B3125">
        <f>TEXT(3124, "[$-0E0000]yyyy-mm-dd")</f>
        <v/>
      </c>
      <c r="C3125" t="inlineStr">
        <is>
          <t>1908-06-23</t>
        </is>
      </c>
    </row>
    <row r="3126">
      <c r="A3126" s="1" t="n">
        <v>3125</v>
      </c>
      <c r="B3126">
        <f>TEXT(3125, "[$-0E0000]yyyy-mm-dd")</f>
        <v/>
      </c>
      <c r="C3126" t="inlineStr">
        <is>
          <t>1908-06-24</t>
        </is>
      </c>
    </row>
    <row r="3127">
      <c r="A3127" s="1" t="n">
        <v>3126</v>
      </c>
      <c r="B3127">
        <f>TEXT(3126, "[$-0E0000]yyyy-mm-dd")</f>
        <v/>
      </c>
      <c r="C3127" t="inlineStr">
        <is>
          <t>1908-06-25</t>
        </is>
      </c>
    </row>
    <row r="3128">
      <c r="A3128" s="1" t="n">
        <v>3127</v>
      </c>
      <c r="B3128">
        <f>TEXT(3127, "[$-0E0000]yyyy-mm-dd")</f>
        <v/>
      </c>
      <c r="C3128" t="inlineStr">
        <is>
          <t>1908-06-26</t>
        </is>
      </c>
    </row>
    <row r="3129">
      <c r="A3129" s="1" t="n">
        <v>3128</v>
      </c>
      <c r="B3129">
        <f>TEXT(3128, "[$-0E0000]yyyy-mm-dd")</f>
        <v/>
      </c>
      <c r="C3129" t="inlineStr">
        <is>
          <t>1908-06-27</t>
        </is>
      </c>
    </row>
    <row r="3130">
      <c r="A3130" s="1" t="n">
        <v>3129</v>
      </c>
      <c r="B3130">
        <f>TEXT(3129, "[$-0E0000]yyyy-mm-dd")</f>
        <v/>
      </c>
      <c r="C3130" t="inlineStr">
        <is>
          <t>1908-06-28</t>
        </is>
      </c>
    </row>
    <row r="3131">
      <c r="A3131" s="1" t="n">
        <v>3130</v>
      </c>
      <c r="B3131">
        <f>TEXT(3130, "[$-0E0000]yyyy-mm-dd")</f>
        <v/>
      </c>
      <c r="C3131" t="inlineStr">
        <is>
          <t>1908-06-29</t>
        </is>
      </c>
    </row>
    <row r="3132">
      <c r="A3132" s="1" t="n">
        <v>3131</v>
      </c>
      <c r="B3132">
        <f>TEXT(3131, "[$-0E0000]yyyy-mm-dd")</f>
        <v/>
      </c>
      <c r="C3132" t="inlineStr">
        <is>
          <t>1908-07-01</t>
        </is>
      </c>
    </row>
    <row r="3133">
      <c r="A3133" s="1" t="n">
        <v>3132</v>
      </c>
      <c r="B3133">
        <f>TEXT(3132, "[$-0E0000]yyyy-mm-dd")</f>
        <v/>
      </c>
      <c r="C3133" t="inlineStr">
        <is>
          <t>1908-07-02</t>
        </is>
      </c>
    </row>
    <row r="3134">
      <c r="A3134" s="1" t="n">
        <v>3133</v>
      </c>
      <c r="B3134">
        <f>TEXT(3133, "[$-0E0000]yyyy-mm-dd")</f>
        <v/>
      </c>
      <c r="C3134" t="inlineStr">
        <is>
          <t>1908-07-03</t>
        </is>
      </c>
    </row>
    <row r="3135">
      <c r="A3135" s="1" t="n">
        <v>3134</v>
      </c>
      <c r="B3135">
        <f>TEXT(3134, "[$-0E0000]yyyy-mm-dd")</f>
        <v/>
      </c>
      <c r="C3135" t="inlineStr">
        <is>
          <t>1908-07-04</t>
        </is>
      </c>
    </row>
    <row r="3136">
      <c r="A3136" s="1" t="n">
        <v>3135</v>
      </c>
      <c r="B3136">
        <f>TEXT(3135, "[$-0E0000]yyyy-mm-dd")</f>
        <v/>
      </c>
      <c r="C3136" t="inlineStr">
        <is>
          <t>1908-07-05</t>
        </is>
      </c>
    </row>
    <row r="3137">
      <c r="A3137" s="1" t="n">
        <v>3136</v>
      </c>
      <c r="B3137">
        <f>TEXT(3136, "[$-0E0000]yyyy-mm-dd")</f>
        <v/>
      </c>
      <c r="C3137" t="inlineStr">
        <is>
          <t>1908-07-06</t>
        </is>
      </c>
    </row>
    <row r="3138">
      <c r="A3138" s="1" t="n">
        <v>3137</v>
      </c>
      <c r="B3138">
        <f>TEXT(3137, "[$-0E0000]yyyy-mm-dd")</f>
        <v/>
      </c>
      <c r="C3138" t="inlineStr">
        <is>
          <t>1908-07-07</t>
        </is>
      </c>
    </row>
    <row r="3139">
      <c r="A3139" s="1" t="n">
        <v>3138</v>
      </c>
      <c r="B3139">
        <f>TEXT(3138, "[$-0E0000]yyyy-mm-dd")</f>
        <v/>
      </c>
      <c r="C3139" t="inlineStr">
        <is>
          <t>1908-07-08</t>
        </is>
      </c>
    </row>
    <row r="3140">
      <c r="A3140" s="1" t="n">
        <v>3139</v>
      </c>
      <c r="B3140">
        <f>TEXT(3139, "[$-0E0000]yyyy-mm-dd")</f>
        <v/>
      </c>
      <c r="C3140" t="inlineStr">
        <is>
          <t>1908-07-09</t>
        </is>
      </c>
    </row>
    <row r="3141">
      <c r="A3141" s="1" t="n">
        <v>3140</v>
      </c>
      <c r="B3141">
        <f>TEXT(3140, "[$-0E0000]yyyy-mm-dd")</f>
        <v/>
      </c>
      <c r="C3141" t="inlineStr">
        <is>
          <t>1908-07-10</t>
        </is>
      </c>
    </row>
    <row r="3142">
      <c r="A3142" s="1" t="n">
        <v>3141</v>
      </c>
      <c r="B3142">
        <f>TEXT(3141, "[$-0E0000]yyyy-mm-dd")</f>
        <v/>
      </c>
      <c r="C3142" t="inlineStr">
        <is>
          <t>1908-07-11</t>
        </is>
      </c>
    </row>
    <row r="3143">
      <c r="A3143" s="1" t="n">
        <v>3142</v>
      </c>
      <c r="B3143">
        <f>TEXT(3142, "[$-0E0000]yyyy-mm-dd")</f>
        <v/>
      </c>
      <c r="C3143" t="inlineStr">
        <is>
          <t>1908-07-12</t>
        </is>
      </c>
    </row>
    <row r="3144">
      <c r="A3144" s="1" t="n">
        <v>3143</v>
      </c>
      <c r="B3144">
        <f>TEXT(3143, "[$-0E0000]yyyy-mm-dd")</f>
        <v/>
      </c>
      <c r="C3144" t="inlineStr">
        <is>
          <t>1908-07-13</t>
        </is>
      </c>
    </row>
    <row r="3145">
      <c r="A3145" s="1" t="n">
        <v>3144</v>
      </c>
      <c r="B3145">
        <f>TEXT(3144, "[$-0E0000]yyyy-mm-dd")</f>
        <v/>
      </c>
      <c r="C3145" t="inlineStr">
        <is>
          <t>1908-07-14</t>
        </is>
      </c>
    </row>
    <row r="3146">
      <c r="A3146" s="1" t="n">
        <v>3145</v>
      </c>
      <c r="B3146">
        <f>TEXT(3145, "[$-0E0000]yyyy-mm-dd")</f>
        <v/>
      </c>
      <c r="C3146" t="inlineStr">
        <is>
          <t>1908-07-15</t>
        </is>
      </c>
    </row>
    <row r="3147">
      <c r="A3147" s="1" t="n">
        <v>3146</v>
      </c>
      <c r="B3147">
        <f>TEXT(3146, "[$-0E0000]yyyy-mm-dd")</f>
        <v/>
      </c>
      <c r="C3147" t="inlineStr">
        <is>
          <t>1908-07-16</t>
        </is>
      </c>
    </row>
    <row r="3148">
      <c r="A3148" s="1" t="n">
        <v>3147</v>
      </c>
      <c r="B3148">
        <f>TEXT(3147, "[$-0E0000]yyyy-mm-dd")</f>
        <v/>
      </c>
      <c r="C3148" t="inlineStr">
        <is>
          <t>1908-07-17</t>
        </is>
      </c>
    </row>
    <row r="3149">
      <c r="A3149" s="1" t="n">
        <v>3148</v>
      </c>
      <c r="B3149">
        <f>TEXT(3148, "[$-0E0000]yyyy-mm-dd")</f>
        <v/>
      </c>
      <c r="C3149" t="inlineStr">
        <is>
          <t>1908-07-18</t>
        </is>
      </c>
    </row>
    <row r="3150">
      <c r="A3150" s="1" t="n">
        <v>3149</v>
      </c>
      <c r="B3150">
        <f>TEXT(3149, "[$-0E0000]yyyy-mm-dd")</f>
        <v/>
      </c>
      <c r="C3150" t="inlineStr">
        <is>
          <t>1908-07-19</t>
        </is>
      </c>
    </row>
    <row r="3151">
      <c r="A3151" s="1" t="n">
        <v>3150</v>
      </c>
      <c r="B3151">
        <f>TEXT(3150, "[$-0E0000]yyyy-mm-dd")</f>
        <v/>
      </c>
      <c r="C3151" t="inlineStr">
        <is>
          <t>1908-07-20</t>
        </is>
      </c>
    </row>
    <row r="3152">
      <c r="A3152" s="1" t="n">
        <v>3151</v>
      </c>
      <c r="B3152">
        <f>TEXT(3151, "[$-0E0000]yyyy-mm-dd")</f>
        <v/>
      </c>
      <c r="C3152" t="inlineStr">
        <is>
          <t>1908-07-21</t>
        </is>
      </c>
    </row>
    <row r="3153">
      <c r="A3153" s="1" t="n">
        <v>3152</v>
      </c>
      <c r="B3153">
        <f>TEXT(3152, "[$-0E0000]yyyy-mm-dd")</f>
        <v/>
      </c>
      <c r="C3153" t="inlineStr">
        <is>
          <t>1908-07-22</t>
        </is>
      </c>
    </row>
    <row r="3154">
      <c r="A3154" s="1" t="n">
        <v>3153</v>
      </c>
      <c r="B3154">
        <f>TEXT(3153, "[$-0E0000]yyyy-mm-dd")</f>
        <v/>
      </c>
      <c r="C3154" t="inlineStr">
        <is>
          <t>1908-07-23</t>
        </is>
      </c>
    </row>
    <row r="3155">
      <c r="A3155" s="1" t="n">
        <v>3154</v>
      </c>
      <c r="B3155">
        <f>TEXT(3154, "[$-0E0000]yyyy-mm-dd")</f>
        <v/>
      </c>
      <c r="C3155" t="inlineStr">
        <is>
          <t>1908-07-24</t>
        </is>
      </c>
    </row>
    <row r="3156">
      <c r="A3156" s="1" t="n">
        <v>3155</v>
      </c>
      <c r="B3156">
        <f>TEXT(3155, "[$-0E0000]yyyy-mm-dd")</f>
        <v/>
      </c>
      <c r="C3156" t="inlineStr">
        <is>
          <t>1908-07-25</t>
        </is>
      </c>
    </row>
    <row r="3157">
      <c r="A3157" s="1" t="n">
        <v>3156</v>
      </c>
      <c r="B3157">
        <f>TEXT(3156, "[$-0E0000]yyyy-mm-dd")</f>
        <v/>
      </c>
      <c r="C3157" t="inlineStr">
        <is>
          <t>1908-07-26</t>
        </is>
      </c>
    </row>
    <row r="3158">
      <c r="A3158" s="1" t="n">
        <v>3157</v>
      </c>
      <c r="B3158">
        <f>TEXT(3157, "[$-0E0000]yyyy-mm-dd")</f>
        <v/>
      </c>
      <c r="C3158" t="inlineStr">
        <is>
          <t>1908-07-27</t>
        </is>
      </c>
    </row>
    <row r="3159">
      <c r="A3159" s="1" t="n">
        <v>3158</v>
      </c>
      <c r="B3159">
        <f>TEXT(3158, "[$-0E0000]yyyy-mm-dd")</f>
        <v/>
      </c>
      <c r="C3159" t="inlineStr">
        <is>
          <t>1908-07-28</t>
        </is>
      </c>
    </row>
    <row r="3160">
      <c r="A3160" s="1" t="n">
        <v>3159</v>
      </c>
      <c r="B3160">
        <f>TEXT(3159, "[$-0E0000]yyyy-mm-dd")</f>
        <v/>
      </c>
      <c r="C3160" t="inlineStr">
        <is>
          <t>1908-07-29</t>
        </is>
      </c>
    </row>
    <row r="3161">
      <c r="A3161" s="1" t="n">
        <v>3160</v>
      </c>
      <c r="B3161">
        <f>TEXT(3160, "[$-0E0000]yyyy-mm-dd")</f>
        <v/>
      </c>
      <c r="C3161" t="inlineStr">
        <is>
          <t>1908-07-30</t>
        </is>
      </c>
    </row>
    <row r="3162">
      <c r="A3162" s="1" t="n">
        <v>3161</v>
      </c>
      <c r="B3162">
        <f>TEXT(3161, "[$-0E0000]yyyy-mm-dd")</f>
        <v/>
      </c>
      <c r="C3162" t="inlineStr">
        <is>
          <t>1908-08-01</t>
        </is>
      </c>
    </row>
    <row r="3163">
      <c r="A3163" s="1" t="n">
        <v>3162</v>
      </c>
      <c r="B3163">
        <f>TEXT(3162, "[$-0E0000]yyyy-mm-dd")</f>
        <v/>
      </c>
      <c r="C3163" t="inlineStr">
        <is>
          <t>1908-08-02</t>
        </is>
      </c>
    </row>
    <row r="3164">
      <c r="A3164" s="1" t="n">
        <v>3163</v>
      </c>
      <c r="B3164">
        <f>TEXT(3163, "[$-0E0000]yyyy-mm-dd")</f>
        <v/>
      </c>
      <c r="C3164" t="inlineStr">
        <is>
          <t>1908-08-03</t>
        </is>
      </c>
    </row>
    <row r="3165">
      <c r="A3165" s="1" t="n">
        <v>3164</v>
      </c>
      <c r="B3165">
        <f>TEXT(3164, "[$-0E0000]yyyy-mm-dd")</f>
        <v/>
      </c>
      <c r="C3165" t="inlineStr">
        <is>
          <t>1908-08-04</t>
        </is>
      </c>
    </row>
    <row r="3166">
      <c r="A3166" s="1" t="n">
        <v>3165</v>
      </c>
      <c r="B3166">
        <f>TEXT(3165, "[$-0E0000]yyyy-mm-dd")</f>
        <v/>
      </c>
      <c r="C3166" t="inlineStr">
        <is>
          <t>1908-08-05</t>
        </is>
      </c>
    </row>
    <row r="3167">
      <c r="A3167" s="1" t="n">
        <v>3166</v>
      </c>
      <c r="B3167">
        <f>TEXT(3166, "[$-0E0000]yyyy-mm-dd")</f>
        <v/>
      </c>
      <c r="C3167" t="inlineStr">
        <is>
          <t>1908-08-06</t>
        </is>
      </c>
    </row>
    <row r="3168">
      <c r="A3168" s="1" t="n">
        <v>3167</v>
      </c>
      <c r="B3168">
        <f>TEXT(3167, "[$-0E0000]yyyy-mm-dd")</f>
        <v/>
      </c>
      <c r="C3168" t="inlineStr">
        <is>
          <t>1908-08-07</t>
        </is>
      </c>
    </row>
    <row r="3169">
      <c r="A3169" s="1" t="n">
        <v>3168</v>
      </c>
      <c r="B3169">
        <f>TEXT(3168, "[$-0E0000]yyyy-mm-dd")</f>
        <v/>
      </c>
      <c r="C3169" t="inlineStr">
        <is>
          <t>1908-08-08</t>
        </is>
      </c>
    </row>
    <row r="3170">
      <c r="A3170" s="1" t="n">
        <v>3169</v>
      </c>
      <c r="B3170">
        <f>TEXT(3169, "[$-0E0000]yyyy-mm-dd")</f>
        <v/>
      </c>
      <c r="C3170" t="inlineStr">
        <is>
          <t>1908-08-09</t>
        </is>
      </c>
    </row>
    <row r="3171">
      <c r="A3171" s="1" t="n">
        <v>3170</v>
      </c>
      <c r="B3171">
        <f>TEXT(3170, "[$-0E0000]yyyy-mm-dd")</f>
        <v/>
      </c>
      <c r="C3171" t="inlineStr">
        <is>
          <t>1908-08-10</t>
        </is>
      </c>
    </row>
    <row r="3172">
      <c r="A3172" s="1" t="n">
        <v>3171</v>
      </c>
      <c r="B3172">
        <f>TEXT(3171, "[$-0E0000]yyyy-mm-dd")</f>
        <v/>
      </c>
      <c r="C3172" t="inlineStr">
        <is>
          <t>1908-08-11</t>
        </is>
      </c>
    </row>
    <row r="3173">
      <c r="A3173" s="1" t="n">
        <v>3172</v>
      </c>
      <c r="B3173">
        <f>TEXT(3172, "[$-0E0000]yyyy-mm-dd")</f>
        <v/>
      </c>
      <c r="C3173" t="inlineStr">
        <is>
          <t>1908-08-12</t>
        </is>
      </c>
    </row>
    <row r="3174">
      <c r="A3174" s="1" t="n">
        <v>3173</v>
      </c>
      <c r="B3174">
        <f>TEXT(3173, "[$-0E0000]yyyy-mm-dd")</f>
        <v/>
      </c>
      <c r="C3174" t="inlineStr">
        <is>
          <t>1908-08-13</t>
        </is>
      </c>
    </row>
    <row r="3175">
      <c r="A3175" s="1" t="n">
        <v>3174</v>
      </c>
      <c r="B3175">
        <f>TEXT(3174, "[$-0E0000]yyyy-mm-dd")</f>
        <v/>
      </c>
      <c r="C3175" t="inlineStr">
        <is>
          <t>1908-08-14</t>
        </is>
      </c>
    </row>
    <row r="3176">
      <c r="A3176" s="1" t="n">
        <v>3175</v>
      </c>
      <c r="B3176">
        <f>TEXT(3175, "[$-0E0000]yyyy-mm-dd")</f>
        <v/>
      </c>
      <c r="C3176" t="inlineStr">
        <is>
          <t>1908-08-15</t>
        </is>
      </c>
    </row>
    <row r="3177">
      <c r="A3177" s="1" t="n">
        <v>3176</v>
      </c>
      <c r="B3177">
        <f>TEXT(3176, "[$-0E0000]yyyy-mm-dd")</f>
        <v/>
      </c>
      <c r="C3177" t="inlineStr">
        <is>
          <t>1908-08-16</t>
        </is>
      </c>
    </row>
    <row r="3178">
      <c r="A3178" s="1" t="n">
        <v>3177</v>
      </c>
      <c r="B3178">
        <f>TEXT(3177, "[$-0E0000]yyyy-mm-dd")</f>
        <v/>
      </c>
      <c r="C3178" t="inlineStr">
        <is>
          <t>1908-08-17</t>
        </is>
      </c>
    </row>
    <row r="3179">
      <c r="A3179" s="1" t="n">
        <v>3178</v>
      </c>
      <c r="B3179">
        <f>TEXT(3178, "[$-0E0000]yyyy-mm-dd")</f>
        <v/>
      </c>
      <c r="C3179" t="inlineStr">
        <is>
          <t>1908-08-18</t>
        </is>
      </c>
    </row>
    <row r="3180">
      <c r="A3180" s="1" t="n">
        <v>3179</v>
      </c>
      <c r="B3180">
        <f>TEXT(3179, "[$-0E0000]yyyy-mm-dd")</f>
        <v/>
      </c>
      <c r="C3180" t="inlineStr">
        <is>
          <t>1908-08-19</t>
        </is>
      </c>
    </row>
    <row r="3181">
      <c r="A3181" s="1" t="n">
        <v>3180</v>
      </c>
      <c r="B3181">
        <f>TEXT(3180, "[$-0E0000]yyyy-mm-dd")</f>
        <v/>
      </c>
      <c r="C3181" t="inlineStr">
        <is>
          <t>1908-08-20</t>
        </is>
      </c>
    </row>
    <row r="3182">
      <c r="A3182" s="1" t="n">
        <v>3181</v>
      </c>
      <c r="B3182">
        <f>TEXT(3181, "[$-0E0000]yyyy-mm-dd")</f>
        <v/>
      </c>
      <c r="C3182" t="inlineStr">
        <is>
          <t>1908-08-21</t>
        </is>
      </c>
    </row>
    <row r="3183">
      <c r="A3183" s="1" t="n">
        <v>3182</v>
      </c>
      <c r="B3183">
        <f>TEXT(3182, "[$-0E0000]yyyy-mm-dd")</f>
        <v/>
      </c>
      <c r="C3183" t="inlineStr">
        <is>
          <t>1908-08-22</t>
        </is>
      </c>
    </row>
    <row r="3184">
      <c r="A3184" s="1" t="n">
        <v>3183</v>
      </c>
      <c r="B3184">
        <f>TEXT(3183, "[$-0E0000]yyyy-mm-dd")</f>
        <v/>
      </c>
      <c r="C3184" t="inlineStr">
        <is>
          <t>1908-08-23</t>
        </is>
      </c>
    </row>
    <row r="3185">
      <c r="A3185" s="1" t="n">
        <v>3184</v>
      </c>
      <c r="B3185">
        <f>TEXT(3184, "[$-0E0000]yyyy-mm-dd")</f>
        <v/>
      </c>
      <c r="C3185" t="inlineStr">
        <is>
          <t>1908-08-24</t>
        </is>
      </c>
    </row>
    <row r="3186">
      <c r="A3186" s="1" t="n">
        <v>3185</v>
      </c>
      <c r="B3186">
        <f>TEXT(3185, "[$-0E0000]yyyy-mm-dd")</f>
        <v/>
      </c>
      <c r="C3186" t="inlineStr">
        <is>
          <t>1908-08-25</t>
        </is>
      </c>
    </row>
    <row r="3187">
      <c r="A3187" s="1" t="n">
        <v>3186</v>
      </c>
      <c r="B3187">
        <f>TEXT(3186, "[$-0E0000]yyyy-mm-dd")</f>
        <v/>
      </c>
      <c r="C3187" t="inlineStr">
        <is>
          <t>1908-08-26</t>
        </is>
      </c>
    </row>
    <row r="3188">
      <c r="A3188" s="1" t="n">
        <v>3187</v>
      </c>
      <c r="B3188">
        <f>TEXT(3187, "[$-0E0000]yyyy-mm-dd")</f>
        <v/>
      </c>
      <c r="C3188" t="inlineStr">
        <is>
          <t>1908-08-27</t>
        </is>
      </c>
    </row>
    <row r="3189">
      <c r="A3189" s="1" t="n">
        <v>3188</v>
      </c>
      <c r="B3189">
        <f>TEXT(3188, "[$-0E0000]yyyy-mm-dd")</f>
        <v/>
      </c>
      <c r="C3189" t="inlineStr">
        <is>
          <t>1908-08-28</t>
        </is>
      </c>
    </row>
    <row r="3190">
      <c r="A3190" s="1" t="n">
        <v>3189</v>
      </c>
      <c r="B3190">
        <f>TEXT(3189, "[$-0E0000]yyyy-mm-dd")</f>
        <v/>
      </c>
      <c r="C3190" t="inlineStr">
        <is>
          <t>1908-08-29</t>
        </is>
      </c>
    </row>
    <row r="3191">
      <c r="A3191" s="1" t="n">
        <v>3190</v>
      </c>
      <c r="B3191">
        <f>TEXT(3190, "[$-0E0000]yyyy-mm-dd")</f>
        <v/>
      </c>
      <c r="C3191" t="inlineStr">
        <is>
          <t>1908-09-01</t>
        </is>
      </c>
    </row>
    <row r="3192">
      <c r="A3192" s="1" t="n">
        <v>3191</v>
      </c>
      <c r="B3192">
        <f>TEXT(3191, "[$-0E0000]yyyy-mm-dd")</f>
        <v/>
      </c>
      <c r="C3192" t="inlineStr">
        <is>
          <t>1908-09-02</t>
        </is>
      </c>
    </row>
    <row r="3193">
      <c r="A3193" s="1" t="n">
        <v>3192</v>
      </c>
      <c r="B3193">
        <f>TEXT(3192, "[$-0E0000]yyyy-mm-dd")</f>
        <v/>
      </c>
      <c r="C3193" t="inlineStr">
        <is>
          <t>1908-09-03</t>
        </is>
      </c>
    </row>
    <row r="3194">
      <c r="A3194" s="1" t="n">
        <v>3193</v>
      </c>
      <c r="B3194">
        <f>TEXT(3193, "[$-0E0000]yyyy-mm-dd")</f>
        <v/>
      </c>
      <c r="C3194" t="inlineStr">
        <is>
          <t>1908-09-04</t>
        </is>
      </c>
    </row>
    <row r="3195">
      <c r="A3195" s="1" t="n">
        <v>3194</v>
      </c>
      <c r="B3195">
        <f>TEXT(3194, "[$-0E0000]yyyy-mm-dd")</f>
        <v/>
      </c>
      <c r="C3195" t="inlineStr">
        <is>
          <t>1908-09-05</t>
        </is>
      </c>
    </row>
    <row r="3196">
      <c r="A3196" s="1" t="n">
        <v>3195</v>
      </c>
      <c r="B3196">
        <f>TEXT(3195, "[$-0E0000]yyyy-mm-dd")</f>
        <v/>
      </c>
      <c r="C3196" t="inlineStr">
        <is>
          <t>1908-09-06</t>
        </is>
      </c>
    </row>
    <row r="3197">
      <c r="A3197" s="1" t="n">
        <v>3196</v>
      </c>
      <c r="B3197">
        <f>TEXT(3196, "[$-0E0000]yyyy-mm-dd")</f>
        <v/>
      </c>
      <c r="C3197" t="inlineStr">
        <is>
          <t>1908-09-07</t>
        </is>
      </c>
    </row>
    <row r="3198">
      <c r="A3198" s="1" t="n">
        <v>3197</v>
      </c>
      <c r="B3198">
        <f>TEXT(3197, "[$-0E0000]yyyy-mm-dd")</f>
        <v/>
      </c>
      <c r="C3198" t="inlineStr">
        <is>
          <t>1908-09-08</t>
        </is>
      </c>
    </row>
    <row r="3199">
      <c r="A3199" s="1" t="n">
        <v>3198</v>
      </c>
      <c r="B3199">
        <f>TEXT(3198, "[$-0E0000]yyyy-mm-dd")</f>
        <v/>
      </c>
      <c r="C3199" t="inlineStr">
        <is>
          <t>1908-09-09</t>
        </is>
      </c>
    </row>
    <row r="3200">
      <c r="A3200" s="1" t="n">
        <v>3199</v>
      </c>
      <c r="B3200">
        <f>TEXT(3199, "[$-0E0000]yyyy-mm-dd")</f>
        <v/>
      </c>
      <c r="C3200" t="inlineStr">
        <is>
          <t>1908-09-10</t>
        </is>
      </c>
    </row>
    <row r="3201">
      <c r="A3201" s="1" t="n">
        <v>3200</v>
      </c>
      <c r="B3201">
        <f>TEXT(3200, "[$-0E0000]yyyy-mm-dd")</f>
        <v/>
      </c>
      <c r="C3201" t="inlineStr">
        <is>
          <t>1908-09-11</t>
        </is>
      </c>
    </row>
    <row r="3202">
      <c r="A3202" s="1" t="n">
        <v>3201</v>
      </c>
      <c r="B3202">
        <f>TEXT(3201, "[$-0E0000]yyyy-mm-dd")</f>
        <v/>
      </c>
      <c r="C3202" t="inlineStr">
        <is>
          <t>1908-09-12</t>
        </is>
      </c>
    </row>
    <row r="3203">
      <c r="A3203" s="1" t="n">
        <v>3202</v>
      </c>
      <c r="B3203">
        <f>TEXT(3202, "[$-0E0000]yyyy-mm-dd")</f>
        <v/>
      </c>
      <c r="C3203" t="inlineStr">
        <is>
          <t>1908-09-13</t>
        </is>
      </c>
    </row>
    <row r="3204">
      <c r="A3204" s="1" t="n">
        <v>3203</v>
      </c>
      <c r="B3204">
        <f>TEXT(3203, "[$-0E0000]yyyy-mm-dd")</f>
        <v/>
      </c>
      <c r="C3204" t="inlineStr">
        <is>
          <t>1908-09-14</t>
        </is>
      </c>
    </row>
    <row r="3205">
      <c r="A3205" s="1" t="n">
        <v>3204</v>
      </c>
      <c r="B3205">
        <f>TEXT(3204, "[$-0E0000]yyyy-mm-dd")</f>
        <v/>
      </c>
      <c r="C3205" t="inlineStr">
        <is>
          <t>1908-09-15</t>
        </is>
      </c>
    </row>
    <row r="3206">
      <c r="A3206" s="1" t="n">
        <v>3205</v>
      </c>
      <c r="B3206">
        <f>TEXT(3205, "[$-0E0000]yyyy-mm-dd")</f>
        <v/>
      </c>
      <c r="C3206" t="inlineStr">
        <is>
          <t>1908-09-16</t>
        </is>
      </c>
    </row>
    <row r="3207">
      <c r="A3207" s="1" t="n">
        <v>3206</v>
      </c>
      <c r="B3207">
        <f>TEXT(3206, "[$-0E0000]yyyy-mm-dd")</f>
        <v/>
      </c>
      <c r="C3207" t="inlineStr">
        <is>
          <t>1908-09-17</t>
        </is>
      </c>
    </row>
    <row r="3208">
      <c r="A3208" s="1" t="n">
        <v>3207</v>
      </c>
      <c r="B3208">
        <f>TEXT(3207, "[$-0E0000]yyyy-mm-dd")</f>
        <v/>
      </c>
      <c r="C3208" t="inlineStr">
        <is>
          <t>1908-09-18</t>
        </is>
      </c>
    </row>
    <row r="3209">
      <c r="A3209" s="1" t="n">
        <v>3208</v>
      </c>
      <c r="B3209">
        <f>TEXT(3208, "[$-0E0000]yyyy-mm-dd")</f>
        <v/>
      </c>
      <c r="C3209" t="inlineStr">
        <is>
          <t>1908-09-19</t>
        </is>
      </c>
    </row>
    <row r="3210">
      <c r="A3210" s="1" t="n">
        <v>3209</v>
      </c>
      <c r="B3210">
        <f>TEXT(3209, "[$-0E0000]yyyy-mm-dd")</f>
        <v/>
      </c>
      <c r="C3210" t="inlineStr">
        <is>
          <t>1908-09-20</t>
        </is>
      </c>
    </row>
    <row r="3211">
      <c r="A3211" s="1" t="n">
        <v>3210</v>
      </c>
      <c r="B3211">
        <f>TEXT(3210, "[$-0E0000]yyyy-mm-dd")</f>
        <v/>
      </c>
      <c r="C3211" t="inlineStr">
        <is>
          <t>1908-09-21</t>
        </is>
      </c>
    </row>
    <row r="3212">
      <c r="A3212" s="1" t="n">
        <v>3211</v>
      </c>
      <c r="B3212">
        <f>TEXT(3211, "[$-0E0000]yyyy-mm-dd")</f>
        <v/>
      </c>
      <c r="C3212" t="inlineStr">
        <is>
          <t>1908-09-22</t>
        </is>
      </c>
    </row>
    <row r="3213">
      <c r="A3213" s="1" t="n">
        <v>3212</v>
      </c>
      <c r="B3213">
        <f>TEXT(3212, "[$-0E0000]yyyy-mm-dd")</f>
        <v/>
      </c>
      <c r="C3213" t="inlineStr">
        <is>
          <t>1908-09-23</t>
        </is>
      </c>
    </row>
    <row r="3214">
      <c r="A3214" s="1" t="n">
        <v>3213</v>
      </c>
      <c r="B3214">
        <f>TEXT(3213, "[$-0E0000]yyyy-mm-dd")</f>
        <v/>
      </c>
      <c r="C3214" t="inlineStr">
        <is>
          <t>1908-09-24</t>
        </is>
      </c>
    </row>
    <row r="3215">
      <c r="A3215" s="1" t="n">
        <v>3214</v>
      </c>
      <c r="B3215">
        <f>TEXT(3214, "[$-0E0000]yyyy-mm-dd")</f>
        <v/>
      </c>
      <c r="C3215" t="inlineStr">
        <is>
          <t>1908-09-25</t>
        </is>
      </c>
    </row>
    <row r="3216">
      <c r="A3216" s="1" t="n">
        <v>3215</v>
      </c>
      <c r="B3216">
        <f>TEXT(3215, "[$-0E0000]yyyy-mm-dd")</f>
        <v/>
      </c>
      <c r="C3216" t="inlineStr">
        <is>
          <t>1908-09-26</t>
        </is>
      </c>
    </row>
    <row r="3217">
      <c r="A3217" s="1" t="n">
        <v>3216</v>
      </c>
      <c r="B3217">
        <f>TEXT(3216, "[$-0E0000]yyyy-mm-dd")</f>
        <v/>
      </c>
      <c r="C3217" t="inlineStr">
        <is>
          <t>1908-09-27</t>
        </is>
      </c>
    </row>
    <row r="3218">
      <c r="A3218" s="1" t="n">
        <v>3217</v>
      </c>
      <c r="B3218">
        <f>TEXT(3217, "[$-0E0000]yyyy-mm-dd")</f>
        <v/>
      </c>
      <c r="C3218" t="inlineStr">
        <is>
          <t>1908-09-28</t>
        </is>
      </c>
    </row>
    <row r="3219">
      <c r="A3219" s="1" t="n">
        <v>3218</v>
      </c>
      <c r="B3219">
        <f>TEXT(3218, "[$-0E0000]yyyy-mm-dd")</f>
        <v/>
      </c>
      <c r="C3219" t="inlineStr">
        <is>
          <t>1908-09-29</t>
        </is>
      </c>
    </row>
    <row r="3220">
      <c r="A3220" s="1" t="n">
        <v>3219</v>
      </c>
      <c r="B3220">
        <f>TEXT(3219, "[$-0E0000]yyyy-mm-dd")</f>
        <v/>
      </c>
      <c r="C3220" t="inlineStr">
        <is>
          <t>1908-09-30</t>
        </is>
      </c>
    </row>
    <row r="3221">
      <c r="A3221" s="1" t="n">
        <v>3220</v>
      </c>
      <c r="B3221">
        <f>TEXT(3220, "[$-0E0000]yyyy-mm-dd")</f>
        <v/>
      </c>
      <c r="C3221" t="inlineStr">
        <is>
          <t>1908-10-01</t>
        </is>
      </c>
    </row>
    <row r="3222">
      <c r="A3222" s="1" t="n">
        <v>3221</v>
      </c>
      <c r="B3222">
        <f>TEXT(3221, "[$-0E0000]yyyy-mm-dd")</f>
        <v/>
      </c>
      <c r="C3222" t="inlineStr">
        <is>
          <t>1908-10-02</t>
        </is>
      </c>
    </row>
    <row r="3223">
      <c r="A3223" s="1" t="n">
        <v>3222</v>
      </c>
      <c r="B3223">
        <f>TEXT(3222, "[$-0E0000]yyyy-mm-dd")</f>
        <v/>
      </c>
      <c r="C3223" t="inlineStr">
        <is>
          <t>1908-10-03</t>
        </is>
      </c>
    </row>
    <row r="3224">
      <c r="A3224" s="1" t="n">
        <v>3223</v>
      </c>
      <c r="B3224">
        <f>TEXT(3223, "[$-0E0000]yyyy-mm-dd")</f>
        <v/>
      </c>
      <c r="C3224" t="inlineStr">
        <is>
          <t>1908-10-04</t>
        </is>
      </c>
    </row>
    <row r="3225">
      <c r="A3225" s="1" t="n">
        <v>3224</v>
      </c>
      <c r="B3225">
        <f>TEXT(3224, "[$-0E0000]yyyy-mm-dd")</f>
        <v/>
      </c>
      <c r="C3225" t="inlineStr">
        <is>
          <t>1908-10-05</t>
        </is>
      </c>
    </row>
    <row r="3226">
      <c r="A3226" s="1" t="n">
        <v>3225</v>
      </c>
      <c r="B3226">
        <f>TEXT(3225, "[$-0E0000]yyyy-mm-dd")</f>
        <v/>
      </c>
      <c r="C3226" t="inlineStr">
        <is>
          <t>1908-10-06</t>
        </is>
      </c>
    </row>
    <row r="3227">
      <c r="A3227" s="1" t="n">
        <v>3226</v>
      </c>
      <c r="B3227">
        <f>TEXT(3226, "[$-0E0000]yyyy-mm-dd")</f>
        <v/>
      </c>
      <c r="C3227" t="inlineStr">
        <is>
          <t>1908-10-07</t>
        </is>
      </c>
    </row>
    <row r="3228">
      <c r="A3228" s="1" t="n">
        <v>3227</v>
      </c>
      <c r="B3228">
        <f>TEXT(3227, "[$-0E0000]yyyy-mm-dd")</f>
        <v/>
      </c>
      <c r="C3228" t="inlineStr">
        <is>
          <t>1908-10-08</t>
        </is>
      </c>
    </row>
    <row r="3229">
      <c r="A3229" s="1" t="n">
        <v>3228</v>
      </c>
      <c r="B3229">
        <f>TEXT(3228, "[$-0E0000]yyyy-mm-dd")</f>
        <v/>
      </c>
      <c r="C3229" t="inlineStr">
        <is>
          <t>1908-10-09</t>
        </is>
      </c>
    </row>
    <row r="3230">
      <c r="A3230" s="1" t="n">
        <v>3229</v>
      </c>
      <c r="B3230">
        <f>TEXT(3229, "[$-0E0000]yyyy-mm-dd")</f>
        <v/>
      </c>
      <c r="C3230" t="inlineStr">
        <is>
          <t>1908-10-10</t>
        </is>
      </c>
    </row>
    <row r="3231">
      <c r="A3231" s="1" t="n">
        <v>3230</v>
      </c>
      <c r="B3231">
        <f>TEXT(3230, "[$-0E0000]yyyy-mm-dd")</f>
        <v/>
      </c>
      <c r="C3231" t="inlineStr">
        <is>
          <t>1908-10-11</t>
        </is>
      </c>
    </row>
    <row r="3232">
      <c r="A3232" s="1" t="n">
        <v>3231</v>
      </c>
      <c r="B3232">
        <f>TEXT(3231, "[$-0E0000]yyyy-mm-dd")</f>
        <v/>
      </c>
      <c r="C3232" t="inlineStr">
        <is>
          <t>1908-10-12</t>
        </is>
      </c>
    </row>
    <row r="3233">
      <c r="A3233" s="1" t="n">
        <v>3232</v>
      </c>
      <c r="B3233">
        <f>TEXT(3232, "[$-0E0000]yyyy-mm-dd")</f>
        <v/>
      </c>
      <c r="C3233" t="inlineStr">
        <is>
          <t>1908-10-13</t>
        </is>
      </c>
    </row>
    <row r="3234">
      <c r="A3234" s="1" t="n">
        <v>3233</v>
      </c>
      <c r="B3234">
        <f>TEXT(3233, "[$-0E0000]yyyy-mm-dd")</f>
        <v/>
      </c>
      <c r="C3234" t="inlineStr">
        <is>
          <t>1908-10-14</t>
        </is>
      </c>
    </row>
    <row r="3235">
      <c r="A3235" s="1" t="n">
        <v>3234</v>
      </c>
      <c r="B3235">
        <f>TEXT(3234, "[$-0E0000]yyyy-mm-dd")</f>
        <v/>
      </c>
      <c r="C3235" t="inlineStr">
        <is>
          <t>1908-10-15</t>
        </is>
      </c>
    </row>
    <row r="3236">
      <c r="A3236" s="1" t="n">
        <v>3235</v>
      </c>
      <c r="B3236">
        <f>TEXT(3235, "[$-0E0000]yyyy-mm-dd")</f>
        <v/>
      </c>
      <c r="C3236" t="inlineStr">
        <is>
          <t>1908-10-16</t>
        </is>
      </c>
    </row>
    <row r="3237">
      <c r="A3237" s="1" t="n">
        <v>3236</v>
      </c>
      <c r="B3237">
        <f>TEXT(3236, "[$-0E0000]yyyy-mm-dd")</f>
        <v/>
      </c>
      <c r="C3237" t="inlineStr">
        <is>
          <t>1908-10-17</t>
        </is>
      </c>
    </row>
    <row r="3238">
      <c r="A3238" s="1" t="n">
        <v>3237</v>
      </c>
      <c r="B3238">
        <f>TEXT(3237, "[$-0E0000]yyyy-mm-dd")</f>
        <v/>
      </c>
      <c r="C3238" t="inlineStr">
        <is>
          <t>1908-10-18</t>
        </is>
      </c>
    </row>
    <row r="3239">
      <c r="A3239" s="1" t="n">
        <v>3238</v>
      </c>
      <c r="B3239">
        <f>TEXT(3238, "[$-0E0000]yyyy-mm-dd")</f>
        <v/>
      </c>
      <c r="C3239" t="inlineStr">
        <is>
          <t>1908-10-19</t>
        </is>
      </c>
    </row>
    <row r="3240">
      <c r="A3240" s="1" t="n">
        <v>3239</v>
      </c>
      <c r="B3240">
        <f>TEXT(3239, "[$-0E0000]yyyy-mm-dd")</f>
        <v/>
      </c>
      <c r="C3240" t="inlineStr">
        <is>
          <t>1908-10-20</t>
        </is>
      </c>
    </row>
    <row r="3241">
      <c r="A3241" s="1" t="n">
        <v>3240</v>
      </c>
      <c r="B3241">
        <f>TEXT(3240, "[$-0E0000]yyyy-mm-dd")</f>
        <v/>
      </c>
      <c r="C3241" t="inlineStr">
        <is>
          <t>1908-10-21</t>
        </is>
      </c>
    </row>
    <row r="3242">
      <c r="A3242" s="1" t="n">
        <v>3241</v>
      </c>
      <c r="B3242">
        <f>TEXT(3241, "[$-0E0000]yyyy-mm-dd")</f>
        <v/>
      </c>
      <c r="C3242" t="inlineStr">
        <is>
          <t>1908-10-22</t>
        </is>
      </c>
    </row>
    <row r="3243">
      <c r="A3243" s="1" t="n">
        <v>3242</v>
      </c>
      <c r="B3243">
        <f>TEXT(3242, "[$-0E0000]yyyy-mm-dd")</f>
        <v/>
      </c>
      <c r="C3243" t="inlineStr">
        <is>
          <t>1908-10-23</t>
        </is>
      </c>
    </row>
    <row r="3244">
      <c r="A3244" s="1" t="n">
        <v>3243</v>
      </c>
      <c r="B3244">
        <f>TEXT(3243, "[$-0E0000]yyyy-mm-dd")</f>
        <v/>
      </c>
      <c r="C3244" t="inlineStr">
        <is>
          <t>1908-10-24</t>
        </is>
      </c>
    </row>
    <row r="3245">
      <c r="A3245" s="1" t="n">
        <v>3244</v>
      </c>
      <c r="B3245">
        <f>TEXT(3244, "[$-0E0000]yyyy-mm-dd")</f>
        <v/>
      </c>
      <c r="C3245" t="inlineStr">
        <is>
          <t>1908-10-25</t>
        </is>
      </c>
    </row>
    <row r="3246">
      <c r="A3246" s="1" t="n">
        <v>3245</v>
      </c>
      <c r="B3246">
        <f>TEXT(3245, "[$-0E0000]yyyy-mm-dd")</f>
        <v/>
      </c>
      <c r="C3246" t="inlineStr">
        <is>
          <t>1908-10-26</t>
        </is>
      </c>
    </row>
    <row r="3247">
      <c r="A3247" s="1" t="n">
        <v>3246</v>
      </c>
      <c r="B3247">
        <f>TEXT(3246, "[$-0E0000]yyyy-mm-dd")</f>
        <v/>
      </c>
      <c r="C3247" t="inlineStr">
        <is>
          <t>1908-10-27</t>
        </is>
      </c>
    </row>
    <row r="3248">
      <c r="A3248" s="1" t="n">
        <v>3247</v>
      </c>
      <c r="B3248">
        <f>TEXT(3247, "[$-0E0000]yyyy-mm-dd")</f>
        <v/>
      </c>
      <c r="C3248" t="inlineStr">
        <is>
          <t>1908-10-28</t>
        </is>
      </c>
    </row>
    <row r="3249">
      <c r="A3249" s="1" t="n">
        <v>3248</v>
      </c>
      <c r="B3249">
        <f>TEXT(3248, "[$-0E0000]yyyy-mm-dd")</f>
        <v/>
      </c>
      <c r="C3249" t="inlineStr">
        <is>
          <t>1908-10-29</t>
        </is>
      </c>
    </row>
    <row r="3250">
      <c r="A3250" s="1" t="n">
        <v>3249</v>
      </c>
      <c r="B3250">
        <f>TEXT(3249, "[$-0E0000]yyyy-mm-dd")</f>
        <v/>
      </c>
      <c r="C3250" t="inlineStr">
        <is>
          <t>1908-10-30</t>
        </is>
      </c>
    </row>
    <row r="3251">
      <c r="A3251" s="1" t="n">
        <v>3250</v>
      </c>
      <c r="B3251">
        <f>TEXT(3250, "[$-0E0000]yyyy-mm-dd")</f>
        <v/>
      </c>
      <c r="C3251" t="inlineStr">
        <is>
          <t>1908-11-01</t>
        </is>
      </c>
    </row>
    <row r="3252">
      <c r="A3252" s="1" t="n">
        <v>3251</v>
      </c>
      <c r="B3252">
        <f>TEXT(3251, "[$-0E0000]yyyy-mm-dd")</f>
        <v/>
      </c>
      <c r="C3252" t="inlineStr">
        <is>
          <t>1908-11-02</t>
        </is>
      </c>
    </row>
    <row r="3253">
      <c r="A3253" s="1" t="n">
        <v>3252</v>
      </c>
      <c r="B3253">
        <f>TEXT(3252, "[$-0E0000]yyyy-mm-dd")</f>
        <v/>
      </c>
      <c r="C3253" t="inlineStr">
        <is>
          <t>1908-11-03</t>
        </is>
      </c>
    </row>
    <row r="3254">
      <c r="A3254" s="1" t="n">
        <v>3253</v>
      </c>
      <c r="B3254">
        <f>TEXT(3253, "[$-0E0000]yyyy-mm-dd")</f>
        <v/>
      </c>
      <c r="C3254" t="inlineStr">
        <is>
          <t>1908-11-04</t>
        </is>
      </c>
    </row>
    <row r="3255">
      <c r="A3255" s="1" t="n">
        <v>3254</v>
      </c>
      <c r="B3255">
        <f>TEXT(3254, "[$-0E0000]yyyy-mm-dd")</f>
        <v/>
      </c>
      <c r="C3255" t="inlineStr">
        <is>
          <t>1908-11-05</t>
        </is>
      </c>
    </row>
    <row r="3256">
      <c r="A3256" s="1" t="n">
        <v>3255</v>
      </c>
      <c r="B3256">
        <f>TEXT(3255, "[$-0E0000]yyyy-mm-dd")</f>
        <v/>
      </c>
      <c r="C3256" t="inlineStr">
        <is>
          <t>1908-11-06</t>
        </is>
      </c>
    </row>
    <row r="3257">
      <c r="A3257" s="1" t="n">
        <v>3256</v>
      </c>
      <c r="B3257">
        <f>TEXT(3256, "[$-0E0000]yyyy-mm-dd")</f>
        <v/>
      </c>
      <c r="C3257" t="inlineStr">
        <is>
          <t>1908-11-07</t>
        </is>
      </c>
    </row>
    <row r="3258">
      <c r="A3258" s="1" t="n">
        <v>3257</v>
      </c>
      <c r="B3258">
        <f>TEXT(3257, "[$-0E0000]yyyy-mm-dd")</f>
        <v/>
      </c>
      <c r="C3258" t="inlineStr">
        <is>
          <t>1908-11-08</t>
        </is>
      </c>
    </row>
    <row r="3259">
      <c r="A3259" s="1" t="n">
        <v>3258</v>
      </c>
      <c r="B3259">
        <f>TEXT(3258, "[$-0E0000]yyyy-mm-dd")</f>
        <v/>
      </c>
      <c r="C3259" t="inlineStr">
        <is>
          <t>1908-11-09</t>
        </is>
      </c>
    </row>
    <row r="3260">
      <c r="A3260" s="1" t="n">
        <v>3259</v>
      </c>
      <c r="B3260">
        <f>TEXT(3259, "[$-0E0000]yyyy-mm-dd")</f>
        <v/>
      </c>
      <c r="C3260" t="inlineStr">
        <is>
          <t>1908-11-10</t>
        </is>
      </c>
    </row>
    <row r="3261">
      <c r="A3261" s="1" t="n">
        <v>3260</v>
      </c>
      <c r="B3261">
        <f>TEXT(3260, "[$-0E0000]yyyy-mm-dd")</f>
        <v/>
      </c>
      <c r="C3261" t="inlineStr">
        <is>
          <t>1908-11-11</t>
        </is>
      </c>
    </row>
    <row r="3262">
      <c r="A3262" s="1" t="n">
        <v>3261</v>
      </c>
      <c r="B3262">
        <f>TEXT(3261, "[$-0E0000]yyyy-mm-dd")</f>
        <v/>
      </c>
      <c r="C3262" t="inlineStr">
        <is>
          <t>1908-11-12</t>
        </is>
      </c>
    </row>
    <row r="3263">
      <c r="A3263" s="1" t="n">
        <v>3262</v>
      </c>
      <c r="B3263">
        <f>TEXT(3262, "[$-0E0000]yyyy-mm-dd")</f>
        <v/>
      </c>
      <c r="C3263" t="inlineStr">
        <is>
          <t>1908-11-13</t>
        </is>
      </c>
    </row>
    <row r="3264">
      <c r="A3264" s="1" t="n">
        <v>3263</v>
      </c>
      <c r="B3264">
        <f>TEXT(3263, "[$-0E0000]yyyy-mm-dd")</f>
        <v/>
      </c>
      <c r="C3264" t="inlineStr">
        <is>
          <t>1908-11-14</t>
        </is>
      </c>
    </row>
    <row r="3265">
      <c r="A3265" s="1" t="n">
        <v>3264</v>
      </c>
      <c r="B3265">
        <f>TEXT(3264, "[$-0E0000]yyyy-mm-dd")</f>
        <v/>
      </c>
      <c r="C3265" t="inlineStr">
        <is>
          <t>1908-11-15</t>
        </is>
      </c>
    </row>
    <row r="3266">
      <c r="A3266" s="1" t="n">
        <v>3265</v>
      </c>
      <c r="B3266">
        <f>TEXT(3265, "[$-0E0000]yyyy-mm-dd")</f>
        <v/>
      </c>
      <c r="C3266" t="inlineStr">
        <is>
          <t>1908-11-16</t>
        </is>
      </c>
    </row>
    <row r="3267">
      <c r="A3267" s="1" t="n">
        <v>3266</v>
      </c>
      <c r="B3267">
        <f>TEXT(3266, "[$-0E0000]yyyy-mm-dd")</f>
        <v/>
      </c>
      <c r="C3267" t="inlineStr">
        <is>
          <t>1908-11-17</t>
        </is>
      </c>
    </row>
    <row r="3268">
      <c r="A3268" s="1" t="n">
        <v>3267</v>
      </c>
      <c r="B3268">
        <f>TEXT(3267, "[$-0E0000]yyyy-mm-dd")</f>
        <v/>
      </c>
      <c r="C3268" t="inlineStr">
        <is>
          <t>1908-11-18</t>
        </is>
      </c>
    </row>
    <row r="3269">
      <c r="A3269" s="1" t="n">
        <v>3268</v>
      </c>
      <c r="B3269">
        <f>TEXT(3268, "[$-0E0000]yyyy-mm-dd")</f>
        <v/>
      </c>
      <c r="C3269" t="inlineStr">
        <is>
          <t>1908-11-19</t>
        </is>
      </c>
    </row>
    <row r="3270">
      <c r="A3270" s="1" t="n">
        <v>3269</v>
      </c>
      <c r="B3270">
        <f>TEXT(3269, "[$-0E0000]yyyy-mm-dd")</f>
        <v/>
      </c>
      <c r="C3270" t="inlineStr">
        <is>
          <t>1908-11-20</t>
        </is>
      </c>
    </row>
    <row r="3271">
      <c r="A3271" s="1" t="n">
        <v>3270</v>
      </c>
      <c r="B3271">
        <f>TEXT(3270, "[$-0E0000]yyyy-mm-dd")</f>
        <v/>
      </c>
      <c r="C3271" t="inlineStr">
        <is>
          <t>1908-11-21</t>
        </is>
      </c>
    </row>
    <row r="3272">
      <c r="A3272" s="1" t="n">
        <v>3271</v>
      </c>
      <c r="B3272">
        <f>TEXT(3271, "[$-0E0000]yyyy-mm-dd")</f>
        <v/>
      </c>
      <c r="C3272" t="inlineStr">
        <is>
          <t>1908-11-22</t>
        </is>
      </c>
    </row>
    <row r="3273">
      <c r="A3273" s="1" t="n">
        <v>3272</v>
      </c>
      <c r="B3273">
        <f>TEXT(3272, "[$-0E0000]yyyy-mm-dd")</f>
        <v/>
      </c>
      <c r="C3273" t="inlineStr">
        <is>
          <t>1908-11-23</t>
        </is>
      </c>
    </row>
    <row r="3274">
      <c r="A3274" s="1" t="n">
        <v>3273</v>
      </c>
      <c r="B3274">
        <f>TEXT(3273, "[$-0E0000]yyyy-mm-dd")</f>
        <v/>
      </c>
      <c r="C3274" t="inlineStr">
        <is>
          <t>1908-11-24</t>
        </is>
      </c>
    </row>
    <row r="3275">
      <c r="A3275" s="1" t="n">
        <v>3274</v>
      </c>
      <c r="B3275">
        <f>TEXT(3274, "[$-0E0000]yyyy-mm-dd")</f>
        <v/>
      </c>
      <c r="C3275" t="inlineStr">
        <is>
          <t>1908-11-25</t>
        </is>
      </c>
    </row>
    <row r="3276">
      <c r="A3276" s="1" t="n">
        <v>3275</v>
      </c>
      <c r="B3276">
        <f>TEXT(3275, "[$-0E0000]yyyy-mm-dd")</f>
        <v/>
      </c>
      <c r="C3276" t="inlineStr">
        <is>
          <t>1908-11-26</t>
        </is>
      </c>
    </row>
    <row r="3277">
      <c r="A3277" s="1" t="n">
        <v>3276</v>
      </c>
      <c r="B3277">
        <f>TEXT(3276, "[$-0E0000]yyyy-mm-dd")</f>
        <v/>
      </c>
      <c r="C3277" t="inlineStr">
        <is>
          <t>1908-11-27</t>
        </is>
      </c>
    </row>
    <row r="3278">
      <c r="A3278" s="1" t="n">
        <v>3277</v>
      </c>
      <c r="B3278">
        <f>TEXT(3277, "[$-0E0000]yyyy-mm-dd")</f>
        <v/>
      </c>
      <c r="C3278" t="inlineStr">
        <is>
          <t>1908-11-28</t>
        </is>
      </c>
    </row>
    <row r="3279">
      <c r="A3279" s="1" t="n">
        <v>3278</v>
      </c>
      <c r="B3279">
        <f>TEXT(3278, "[$-0E0000]yyyy-mm-dd")</f>
        <v/>
      </c>
      <c r="C3279" t="inlineStr">
        <is>
          <t>1908-11-29</t>
        </is>
      </c>
    </row>
    <row r="3280">
      <c r="A3280" s="1" t="n">
        <v>3279</v>
      </c>
      <c r="B3280">
        <f>TEXT(3279, "[$-0E0000]yyyy-mm-dd")</f>
        <v/>
      </c>
      <c r="C3280" t="inlineStr">
        <is>
          <t>1908-12-01</t>
        </is>
      </c>
    </row>
    <row r="3281">
      <c r="A3281" s="1" t="n">
        <v>3280</v>
      </c>
      <c r="B3281">
        <f>TEXT(3280, "[$-0E0000]yyyy-mm-dd")</f>
        <v/>
      </c>
      <c r="C3281" t="inlineStr">
        <is>
          <t>1908-12-02</t>
        </is>
      </c>
    </row>
    <row r="3282">
      <c r="A3282" s="1" t="n">
        <v>3281</v>
      </c>
      <c r="B3282">
        <f>TEXT(3281, "[$-0E0000]yyyy-mm-dd")</f>
        <v/>
      </c>
      <c r="C3282" t="inlineStr">
        <is>
          <t>1908-12-03</t>
        </is>
      </c>
    </row>
    <row r="3283">
      <c r="A3283" s="1" t="n">
        <v>3282</v>
      </c>
      <c r="B3283">
        <f>TEXT(3282, "[$-0E0000]yyyy-mm-dd")</f>
        <v/>
      </c>
      <c r="C3283" t="inlineStr">
        <is>
          <t>1908-12-04</t>
        </is>
      </c>
    </row>
    <row r="3284">
      <c r="A3284" s="1" t="n">
        <v>3283</v>
      </c>
      <c r="B3284">
        <f>TEXT(3283, "[$-0E0000]yyyy-mm-dd")</f>
        <v/>
      </c>
      <c r="C3284" t="inlineStr">
        <is>
          <t>1908-12-05</t>
        </is>
      </c>
    </row>
    <row r="3285">
      <c r="A3285" s="1" t="n">
        <v>3284</v>
      </c>
      <c r="B3285">
        <f>TEXT(3284, "[$-0E0000]yyyy-mm-dd")</f>
        <v/>
      </c>
      <c r="C3285" t="inlineStr">
        <is>
          <t>1908-12-06</t>
        </is>
      </c>
    </row>
    <row r="3286">
      <c r="A3286" s="1" t="n">
        <v>3285</v>
      </c>
      <c r="B3286">
        <f>TEXT(3285, "[$-0E0000]yyyy-mm-dd")</f>
        <v/>
      </c>
      <c r="C3286" t="inlineStr">
        <is>
          <t>1908-12-07</t>
        </is>
      </c>
    </row>
    <row r="3287">
      <c r="A3287" s="1" t="n">
        <v>3286</v>
      </c>
      <c r="B3287">
        <f>TEXT(3286, "[$-0E0000]yyyy-mm-dd")</f>
        <v/>
      </c>
      <c r="C3287" t="inlineStr">
        <is>
          <t>1908-12-08</t>
        </is>
      </c>
    </row>
    <row r="3288">
      <c r="A3288" s="1" t="n">
        <v>3287</v>
      </c>
      <c r="B3288">
        <f>TEXT(3287, "[$-0E0000]yyyy-mm-dd")</f>
        <v/>
      </c>
      <c r="C3288" t="inlineStr">
        <is>
          <t>1908-12-09</t>
        </is>
      </c>
    </row>
    <row r="3289">
      <c r="A3289" s="1" t="n">
        <v>3288</v>
      </c>
      <c r="B3289">
        <f>TEXT(3288, "[$-0E0000]yyyy-mm-dd")</f>
        <v/>
      </c>
      <c r="C3289" t="inlineStr">
        <is>
          <t>1908-12-10</t>
        </is>
      </c>
    </row>
    <row r="3290">
      <c r="A3290" s="1" t="n">
        <v>3289</v>
      </c>
      <c r="B3290">
        <f>TEXT(3289, "[$-0E0000]yyyy-mm-dd")</f>
        <v/>
      </c>
      <c r="C3290" t="inlineStr">
        <is>
          <t>1908-12-11</t>
        </is>
      </c>
    </row>
    <row r="3291">
      <c r="A3291" s="1" t="n">
        <v>3290</v>
      </c>
      <c r="B3291">
        <f>TEXT(3290, "[$-0E0000]yyyy-mm-dd")</f>
        <v/>
      </c>
      <c r="C3291" t="inlineStr">
        <is>
          <t>1908-12-12</t>
        </is>
      </c>
    </row>
    <row r="3292">
      <c r="A3292" s="1" t="n">
        <v>3291</v>
      </c>
      <c r="B3292">
        <f>TEXT(3291, "[$-0E0000]yyyy-mm-dd")</f>
        <v/>
      </c>
      <c r="C3292" t="inlineStr">
        <is>
          <t>1908-12-13</t>
        </is>
      </c>
    </row>
    <row r="3293">
      <c r="A3293" s="1" t="n">
        <v>3292</v>
      </c>
      <c r="B3293">
        <f>TEXT(3292, "[$-0E0000]yyyy-mm-dd")</f>
        <v/>
      </c>
      <c r="C3293" t="inlineStr">
        <is>
          <t>1908-12-14</t>
        </is>
      </c>
    </row>
    <row r="3294">
      <c r="A3294" s="1" t="n">
        <v>3293</v>
      </c>
      <c r="B3294">
        <f>TEXT(3293, "[$-0E0000]yyyy-mm-dd")</f>
        <v/>
      </c>
      <c r="C3294" t="inlineStr">
        <is>
          <t>1908-12-15</t>
        </is>
      </c>
    </row>
    <row r="3295">
      <c r="A3295" s="1" t="n">
        <v>3294</v>
      </c>
      <c r="B3295">
        <f>TEXT(3294, "[$-0E0000]yyyy-mm-dd")</f>
        <v/>
      </c>
      <c r="C3295" t="inlineStr">
        <is>
          <t>1908-12-16</t>
        </is>
      </c>
    </row>
    <row r="3296">
      <c r="A3296" s="1" t="n">
        <v>3295</v>
      </c>
      <c r="B3296">
        <f>TEXT(3295, "[$-0E0000]yyyy-mm-dd")</f>
        <v/>
      </c>
      <c r="C3296" t="inlineStr">
        <is>
          <t>1908-12-17</t>
        </is>
      </c>
    </row>
    <row r="3297">
      <c r="A3297" s="1" t="n">
        <v>3296</v>
      </c>
      <c r="B3297">
        <f>TEXT(3296, "[$-0E0000]yyyy-mm-dd")</f>
        <v/>
      </c>
      <c r="C3297" t="inlineStr">
        <is>
          <t>1908-12-18</t>
        </is>
      </c>
    </row>
    <row r="3298">
      <c r="A3298" s="1" t="n">
        <v>3297</v>
      </c>
      <c r="B3298">
        <f>TEXT(3297, "[$-0E0000]yyyy-mm-dd")</f>
        <v/>
      </c>
      <c r="C3298" t="inlineStr">
        <is>
          <t>1908-12-19</t>
        </is>
      </c>
    </row>
    <row r="3299">
      <c r="A3299" s="1" t="n">
        <v>3298</v>
      </c>
      <c r="B3299">
        <f>TEXT(3298, "[$-0E0000]yyyy-mm-dd")</f>
        <v/>
      </c>
      <c r="C3299" t="inlineStr">
        <is>
          <t>1908-12-20</t>
        </is>
      </c>
    </row>
    <row r="3300">
      <c r="A3300" s="1" t="n">
        <v>3299</v>
      </c>
      <c r="B3300">
        <f>TEXT(3299, "[$-0E0000]yyyy-mm-dd")</f>
        <v/>
      </c>
      <c r="C3300" t="inlineStr">
        <is>
          <t>1908-12-21</t>
        </is>
      </c>
    </row>
    <row r="3301">
      <c r="A3301" s="1" t="n">
        <v>3300</v>
      </c>
      <c r="B3301">
        <f>TEXT(3300, "[$-0E0000]yyyy-mm-dd")</f>
        <v/>
      </c>
      <c r="C3301" t="inlineStr">
        <is>
          <t>1908-12-22</t>
        </is>
      </c>
    </row>
    <row r="3302">
      <c r="A3302" s="1" t="n">
        <v>3301</v>
      </c>
      <c r="B3302">
        <f>TEXT(3301, "[$-0E0000]yyyy-mm-dd")</f>
        <v/>
      </c>
      <c r="C3302" t="inlineStr">
        <is>
          <t>1908-12-23</t>
        </is>
      </c>
    </row>
    <row r="3303">
      <c r="A3303" s="1" t="n">
        <v>3302</v>
      </c>
      <c r="B3303">
        <f>TEXT(3302, "[$-0E0000]yyyy-mm-dd")</f>
        <v/>
      </c>
      <c r="C3303" t="inlineStr">
        <is>
          <t>1908-12-24</t>
        </is>
      </c>
    </row>
    <row r="3304">
      <c r="A3304" s="1" t="n">
        <v>3303</v>
      </c>
      <c r="B3304">
        <f>TEXT(3303, "[$-0E0000]yyyy-mm-dd")</f>
        <v/>
      </c>
      <c r="C3304" t="inlineStr">
        <is>
          <t>1908-12-25</t>
        </is>
      </c>
    </row>
    <row r="3305">
      <c r="A3305" s="1" t="n">
        <v>3304</v>
      </c>
      <c r="B3305">
        <f>TEXT(3304, "[$-0E0000]yyyy-mm-dd")</f>
        <v/>
      </c>
      <c r="C3305" t="inlineStr">
        <is>
          <t>1908-12-26</t>
        </is>
      </c>
    </row>
    <row r="3306">
      <c r="A3306" s="1" t="n">
        <v>3305</v>
      </c>
      <c r="B3306">
        <f>TEXT(3305, "[$-0E0000]yyyy-mm-dd")</f>
        <v/>
      </c>
      <c r="C3306" t="inlineStr">
        <is>
          <t>1908-12-27</t>
        </is>
      </c>
    </row>
    <row r="3307">
      <c r="A3307" s="1" t="n">
        <v>3306</v>
      </c>
      <c r="B3307">
        <f>TEXT(3306, "[$-0E0000]yyyy-mm-dd")</f>
        <v/>
      </c>
      <c r="C3307" t="inlineStr">
        <is>
          <t>1908-12-28</t>
        </is>
      </c>
    </row>
    <row r="3308">
      <c r="A3308" s="1" t="n">
        <v>3307</v>
      </c>
      <c r="B3308">
        <f>TEXT(3307, "[$-0E0000]yyyy-mm-dd")</f>
        <v/>
      </c>
      <c r="C3308" t="inlineStr">
        <is>
          <t>1908-12-29</t>
        </is>
      </c>
    </row>
    <row r="3309">
      <c r="A3309" s="1" t="n">
        <v>3308</v>
      </c>
      <c r="B3309">
        <f>TEXT(3308, "[$-0E0000]yyyy-mm-dd")</f>
        <v/>
      </c>
      <c r="C3309" t="inlineStr">
        <is>
          <t>1908-12-30</t>
        </is>
      </c>
    </row>
    <row r="3310">
      <c r="A3310" s="1" t="n">
        <v>3309</v>
      </c>
      <c r="B3310">
        <f>TEXT(3309, "[$-0E0000]yyyy-mm-dd")</f>
        <v/>
      </c>
      <c r="C3310" t="inlineStr">
        <is>
          <t>1909-01-01</t>
        </is>
      </c>
    </row>
    <row r="3311">
      <c r="A3311" s="1" t="n">
        <v>3310</v>
      </c>
      <c r="B3311">
        <f>TEXT(3310, "[$-0E0000]yyyy-mm-dd")</f>
        <v/>
      </c>
      <c r="C3311" t="inlineStr">
        <is>
          <t>1909-01-02</t>
        </is>
      </c>
    </row>
    <row r="3312">
      <c r="A3312" s="1" t="n">
        <v>3311</v>
      </c>
      <c r="B3312">
        <f>TEXT(3311, "[$-0E0000]yyyy-mm-dd")</f>
        <v/>
      </c>
      <c r="C3312" t="inlineStr">
        <is>
          <t>1909-01-03</t>
        </is>
      </c>
    </row>
    <row r="3313">
      <c r="A3313" s="1" t="n">
        <v>3312</v>
      </c>
      <c r="B3313">
        <f>TEXT(3312, "[$-0E0000]yyyy-mm-dd")</f>
        <v/>
      </c>
      <c r="C3313" t="inlineStr">
        <is>
          <t>1909-01-04</t>
        </is>
      </c>
    </row>
    <row r="3314">
      <c r="A3314" s="1" t="n">
        <v>3313</v>
      </c>
      <c r="B3314">
        <f>TEXT(3313, "[$-0E0000]yyyy-mm-dd")</f>
        <v/>
      </c>
      <c r="C3314" t="inlineStr">
        <is>
          <t>1909-01-05</t>
        </is>
      </c>
    </row>
    <row r="3315">
      <c r="A3315" s="1" t="n">
        <v>3314</v>
      </c>
      <c r="B3315">
        <f>TEXT(3314, "[$-0E0000]yyyy-mm-dd")</f>
        <v/>
      </c>
      <c r="C3315" t="inlineStr">
        <is>
          <t>1909-01-06</t>
        </is>
      </c>
    </row>
    <row r="3316">
      <c r="A3316" s="1" t="n">
        <v>3315</v>
      </c>
      <c r="B3316">
        <f>TEXT(3315, "[$-0E0000]yyyy-mm-dd")</f>
        <v/>
      </c>
      <c r="C3316" t="inlineStr">
        <is>
          <t>1909-01-07</t>
        </is>
      </c>
    </row>
    <row r="3317">
      <c r="A3317" s="1" t="n">
        <v>3316</v>
      </c>
      <c r="B3317">
        <f>TEXT(3316, "[$-0E0000]yyyy-mm-dd")</f>
        <v/>
      </c>
      <c r="C3317" t="inlineStr">
        <is>
          <t>1909-01-08</t>
        </is>
      </c>
    </row>
    <row r="3318">
      <c r="A3318" s="1" t="n">
        <v>3317</v>
      </c>
      <c r="B3318">
        <f>TEXT(3317, "[$-0E0000]yyyy-mm-dd")</f>
        <v/>
      </c>
      <c r="C3318" t="inlineStr">
        <is>
          <t>1909-01-09</t>
        </is>
      </c>
    </row>
    <row r="3319">
      <c r="A3319" s="1" t="n">
        <v>3318</v>
      </c>
      <c r="B3319">
        <f>TEXT(3318, "[$-0E0000]yyyy-mm-dd")</f>
        <v/>
      </c>
      <c r="C3319" t="inlineStr">
        <is>
          <t>1909-01-10</t>
        </is>
      </c>
    </row>
    <row r="3320">
      <c r="A3320" s="1" t="n">
        <v>3319</v>
      </c>
      <c r="B3320">
        <f>TEXT(3319, "[$-0E0000]yyyy-mm-dd")</f>
        <v/>
      </c>
      <c r="C3320" t="inlineStr">
        <is>
          <t>1909-01-11</t>
        </is>
      </c>
    </row>
    <row r="3321">
      <c r="A3321" s="1" t="n">
        <v>3320</v>
      </c>
      <c r="B3321">
        <f>TEXT(3320, "[$-0E0000]yyyy-mm-dd")</f>
        <v/>
      </c>
      <c r="C3321" t="inlineStr">
        <is>
          <t>1909-01-12</t>
        </is>
      </c>
    </row>
    <row r="3322">
      <c r="A3322" s="1" t="n">
        <v>3321</v>
      </c>
      <c r="B3322">
        <f>TEXT(3321, "[$-0E0000]yyyy-mm-dd")</f>
        <v/>
      </c>
      <c r="C3322" t="inlineStr">
        <is>
          <t>1909-01-13</t>
        </is>
      </c>
    </row>
    <row r="3323">
      <c r="A3323" s="1" t="n">
        <v>3322</v>
      </c>
      <c r="B3323">
        <f>TEXT(3322, "[$-0E0000]yyyy-mm-dd")</f>
        <v/>
      </c>
      <c r="C3323" t="inlineStr">
        <is>
          <t>1909-01-14</t>
        </is>
      </c>
    </row>
    <row r="3324">
      <c r="A3324" s="1" t="n">
        <v>3323</v>
      </c>
      <c r="B3324">
        <f>TEXT(3323, "[$-0E0000]yyyy-mm-dd")</f>
        <v/>
      </c>
      <c r="C3324" t="inlineStr">
        <is>
          <t>1909-01-15</t>
        </is>
      </c>
    </row>
    <row r="3325">
      <c r="A3325" s="1" t="n">
        <v>3324</v>
      </c>
      <c r="B3325">
        <f>TEXT(3324, "[$-0E0000]yyyy-mm-dd")</f>
        <v/>
      </c>
      <c r="C3325" t="inlineStr">
        <is>
          <t>1909-01-16</t>
        </is>
      </c>
    </row>
    <row r="3326">
      <c r="A3326" s="1" t="n">
        <v>3325</v>
      </c>
      <c r="B3326">
        <f>TEXT(3325, "[$-0E0000]yyyy-mm-dd")</f>
        <v/>
      </c>
      <c r="C3326" t="inlineStr">
        <is>
          <t>1909-01-17</t>
        </is>
      </c>
    </row>
    <row r="3327">
      <c r="A3327" s="1" t="n">
        <v>3326</v>
      </c>
      <c r="B3327">
        <f>TEXT(3326, "[$-0E0000]yyyy-mm-dd")</f>
        <v/>
      </c>
      <c r="C3327" t="inlineStr">
        <is>
          <t>1909-01-18</t>
        </is>
      </c>
    </row>
    <row r="3328">
      <c r="A3328" s="1" t="n">
        <v>3327</v>
      </c>
      <c r="B3328">
        <f>TEXT(3327, "[$-0E0000]yyyy-mm-dd")</f>
        <v/>
      </c>
      <c r="C3328" t="inlineStr">
        <is>
          <t>1909-01-19</t>
        </is>
      </c>
    </row>
    <row r="3329">
      <c r="A3329" s="1" t="n">
        <v>3328</v>
      </c>
      <c r="B3329">
        <f>TEXT(3328, "[$-0E0000]yyyy-mm-dd")</f>
        <v/>
      </c>
      <c r="C3329" t="inlineStr">
        <is>
          <t>1909-01-20</t>
        </is>
      </c>
    </row>
    <row r="3330">
      <c r="A3330" s="1" t="n">
        <v>3329</v>
      </c>
      <c r="B3330">
        <f>TEXT(3329, "[$-0E0000]yyyy-mm-dd")</f>
        <v/>
      </c>
      <c r="C3330" t="inlineStr">
        <is>
          <t>1909-01-21</t>
        </is>
      </c>
    </row>
    <row r="3331">
      <c r="A3331" s="1" t="n">
        <v>3330</v>
      </c>
      <c r="B3331">
        <f>TEXT(3330, "[$-0E0000]yyyy-mm-dd")</f>
        <v/>
      </c>
      <c r="C3331" t="inlineStr">
        <is>
          <t>1909-01-22</t>
        </is>
      </c>
    </row>
    <row r="3332">
      <c r="A3332" s="1" t="n">
        <v>3331</v>
      </c>
      <c r="B3332">
        <f>TEXT(3331, "[$-0E0000]yyyy-mm-dd")</f>
        <v/>
      </c>
      <c r="C3332" t="inlineStr">
        <is>
          <t>1909-01-23</t>
        </is>
      </c>
    </row>
    <row r="3333">
      <c r="A3333" s="1" t="n">
        <v>3332</v>
      </c>
      <c r="B3333">
        <f>TEXT(3332, "[$-0E0000]yyyy-mm-dd")</f>
        <v/>
      </c>
      <c r="C3333" t="inlineStr">
        <is>
          <t>1909-01-24</t>
        </is>
      </c>
    </row>
    <row r="3334">
      <c r="A3334" s="1" t="n">
        <v>3333</v>
      </c>
      <c r="B3334">
        <f>TEXT(3333, "[$-0E0000]yyyy-mm-dd")</f>
        <v/>
      </c>
      <c r="C3334" t="inlineStr">
        <is>
          <t>1909-01-25</t>
        </is>
      </c>
    </row>
    <row r="3335">
      <c r="A3335" s="1" t="n">
        <v>3334</v>
      </c>
      <c r="B3335">
        <f>TEXT(3334, "[$-0E0000]yyyy-mm-dd")</f>
        <v/>
      </c>
      <c r="C3335" t="inlineStr">
        <is>
          <t>1909-01-26</t>
        </is>
      </c>
    </row>
    <row r="3336">
      <c r="A3336" s="1" t="n">
        <v>3335</v>
      </c>
      <c r="B3336">
        <f>TEXT(3335, "[$-0E0000]yyyy-mm-dd")</f>
        <v/>
      </c>
      <c r="C3336" t="inlineStr">
        <is>
          <t>1909-01-27</t>
        </is>
      </c>
    </row>
    <row r="3337">
      <c r="A3337" s="1" t="n">
        <v>3336</v>
      </c>
      <c r="B3337">
        <f>TEXT(3336, "[$-0E0000]yyyy-mm-dd")</f>
        <v/>
      </c>
      <c r="C3337" t="inlineStr">
        <is>
          <t>1909-01-28</t>
        </is>
      </c>
    </row>
    <row r="3338">
      <c r="A3338" s="1" t="n">
        <v>3337</v>
      </c>
      <c r="B3338">
        <f>TEXT(3337, "[$-0E0000]yyyy-mm-dd")</f>
        <v/>
      </c>
      <c r="C3338" t="inlineStr">
        <is>
          <t>1909-01-29</t>
        </is>
      </c>
    </row>
    <row r="3339">
      <c r="A3339" s="1" t="n">
        <v>3338</v>
      </c>
      <c r="B3339">
        <f>TEXT(3338, "[$-0E0000]yyyy-mm-dd")</f>
        <v/>
      </c>
      <c r="C3339" t="inlineStr">
        <is>
          <t>1909-02-01</t>
        </is>
      </c>
    </row>
    <row r="3340">
      <c r="A3340" s="1" t="n">
        <v>3339</v>
      </c>
      <c r="B3340">
        <f>TEXT(3339, "[$-0E0000]yyyy-mm-dd")</f>
        <v/>
      </c>
      <c r="C3340" t="inlineStr">
        <is>
          <t>1909-02-02</t>
        </is>
      </c>
    </row>
    <row r="3341">
      <c r="A3341" s="1" t="n">
        <v>3340</v>
      </c>
      <c r="B3341">
        <f>TEXT(3340, "[$-0E0000]yyyy-mm-dd")</f>
        <v/>
      </c>
      <c r="C3341" t="inlineStr">
        <is>
          <t>1909-02-03</t>
        </is>
      </c>
    </row>
    <row r="3342">
      <c r="A3342" s="1" t="n">
        <v>3341</v>
      </c>
      <c r="B3342">
        <f>TEXT(3341, "[$-0E0000]yyyy-mm-dd")</f>
        <v/>
      </c>
      <c r="C3342" t="inlineStr">
        <is>
          <t>1909-02-04</t>
        </is>
      </c>
    </row>
    <row r="3343">
      <c r="A3343" s="1" t="n">
        <v>3342</v>
      </c>
      <c r="B3343">
        <f>TEXT(3342, "[$-0E0000]yyyy-mm-dd")</f>
        <v/>
      </c>
      <c r="C3343" t="inlineStr">
        <is>
          <t>1909-02-05</t>
        </is>
      </c>
    </row>
    <row r="3344">
      <c r="A3344" s="1" t="n">
        <v>3343</v>
      </c>
      <c r="B3344">
        <f>TEXT(3343, "[$-0E0000]yyyy-mm-dd")</f>
        <v/>
      </c>
      <c r="C3344" t="inlineStr">
        <is>
          <t>1909-02-06</t>
        </is>
      </c>
    </row>
    <row r="3345">
      <c r="A3345" s="1" t="n">
        <v>3344</v>
      </c>
      <c r="B3345">
        <f>TEXT(3344, "[$-0E0000]yyyy-mm-dd")</f>
        <v/>
      </c>
      <c r="C3345" t="inlineStr">
        <is>
          <t>1909-02-07</t>
        </is>
      </c>
    </row>
    <row r="3346">
      <c r="A3346" s="1" t="n">
        <v>3345</v>
      </c>
      <c r="B3346">
        <f>TEXT(3345, "[$-0E0000]yyyy-mm-dd")</f>
        <v/>
      </c>
      <c r="C3346" t="inlineStr">
        <is>
          <t>1909-02-08</t>
        </is>
      </c>
    </row>
    <row r="3347">
      <c r="A3347" s="1" t="n">
        <v>3346</v>
      </c>
      <c r="B3347">
        <f>TEXT(3346, "[$-0E0000]yyyy-mm-dd")</f>
        <v/>
      </c>
      <c r="C3347" t="inlineStr">
        <is>
          <t>1909-02-09</t>
        </is>
      </c>
    </row>
    <row r="3348">
      <c r="A3348" s="1" t="n">
        <v>3347</v>
      </c>
      <c r="B3348">
        <f>TEXT(3347, "[$-0E0000]yyyy-mm-dd")</f>
        <v/>
      </c>
      <c r="C3348" t="inlineStr">
        <is>
          <t>1909-02-10</t>
        </is>
      </c>
    </row>
    <row r="3349">
      <c r="A3349" s="1" t="n">
        <v>3348</v>
      </c>
      <c r="B3349">
        <f>TEXT(3348, "[$-0E0000]yyyy-mm-dd")</f>
        <v/>
      </c>
      <c r="C3349" t="inlineStr">
        <is>
          <t>1909-02-11</t>
        </is>
      </c>
    </row>
    <row r="3350">
      <c r="A3350" s="1" t="n">
        <v>3349</v>
      </c>
      <c r="B3350">
        <f>TEXT(3349, "[$-0E0000]yyyy-mm-dd")</f>
        <v/>
      </c>
      <c r="C3350" t="inlineStr">
        <is>
          <t>1909-02-12</t>
        </is>
      </c>
    </row>
    <row r="3351">
      <c r="A3351" s="1" t="n">
        <v>3350</v>
      </c>
      <c r="B3351">
        <f>TEXT(3350, "[$-0E0000]yyyy-mm-dd")</f>
        <v/>
      </c>
      <c r="C3351" t="inlineStr">
        <is>
          <t>1909-02-13</t>
        </is>
      </c>
    </row>
    <row r="3352">
      <c r="A3352" s="1" t="n">
        <v>3351</v>
      </c>
      <c r="B3352">
        <f>TEXT(3351, "[$-0E0000]yyyy-mm-dd")</f>
        <v/>
      </c>
      <c r="C3352" t="inlineStr">
        <is>
          <t>1909-02-14</t>
        </is>
      </c>
    </row>
    <row r="3353">
      <c r="A3353" s="1" t="n">
        <v>3352</v>
      </c>
      <c r="B3353">
        <f>TEXT(3352, "[$-0E0000]yyyy-mm-dd")</f>
        <v/>
      </c>
      <c r="C3353" t="inlineStr">
        <is>
          <t>1909-02-15</t>
        </is>
      </c>
    </row>
    <row r="3354">
      <c r="A3354" s="1" t="n">
        <v>3353</v>
      </c>
      <c r="B3354">
        <f>TEXT(3353, "[$-0E0000]yyyy-mm-dd")</f>
        <v/>
      </c>
      <c r="C3354" t="inlineStr">
        <is>
          <t>1909-02-16</t>
        </is>
      </c>
    </row>
    <row r="3355">
      <c r="A3355" s="1" t="n">
        <v>3354</v>
      </c>
      <c r="B3355">
        <f>TEXT(3354, "[$-0E0000]yyyy-mm-dd")</f>
        <v/>
      </c>
      <c r="C3355" t="inlineStr">
        <is>
          <t>1909-02-17</t>
        </is>
      </c>
    </row>
    <row r="3356">
      <c r="A3356" s="1" t="n">
        <v>3355</v>
      </c>
      <c r="B3356">
        <f>TEXT(3355, "[$-0E0000]yyyy-mm-dd")</f>
        <v/>
      </c>
      <c r="C3356" t="inlineStr">
        <is>
          <t>1909-02-18</t>
        </is>
      </c>
    </row>
    <row r="3357">
      <c r="A3357" s="1" t="n">
        <v>3356</v>
      </c>
      <c r="B3357">
        <f>TEXT(3356, "[$-0E0000]yyyy-mm-dd")</f>
        <v/>
      </c>
      <c r="C3357" t="inlineStr">
        <is>
          <t>1909-02-19</t>
        </is>
      </c>
    </row>
    <row r="3358">
      <c r="A3358" s="1" t="n">
        <v>3357</v>
      </c>
      <c r="B3358">
        <f>TEXT(3357, "[$-0E0000]yyyy-mm-dd")</f>
        <v/>
      </c>
      <c r="C3358" t="inlineStr">
        <is>
          <t>1909-02-20</t>
        </is>
      </c>
    </row>
    <row r="3359">
      <c r="A3359" s="1" t="n">
        <v>3358</v>
      </c>
      <c r="B3359">
        <f>TEXT(3358, "[$-0E0000]yyyy-mm-dd")</f>
        <v/>
      </c>
      <c r="C3359" t="inlineStr">
        <is>
          <t>1909-02-21</t>
        </is>
      </c>
    </row>
    <row r="3360">
      <c r="A3360" s="1" t="n">
        <v>3359</v>
      </c>
      <c r="B3360">
        <f>TEXT(3359, "[$-0E0000]yyyy-mm-dd")</f>
        <v/>
      </c>
      <c r="C3360" t="inlineStr">
        <is>
          <t>1909-02-22</t>
        </is>
      </c>
    </row>
    <row r="3361">
      <c r="A3361" s="1" t="n">
        <v>3360</v>
      </c>
      <c r="B3361">
        <f>TEXT(3360, "[$-0E0000]yyyy-mm-dd")</f>
        <v/>
      </c>
      <c r="C3361" t="inlineStr">
        <is>
          <t>1909-02-23</t>
        </is>
      </c>
    </row>
    <row r="3362">
      <c r="A3362" s="1" t="n">
        <v>3361</v>
      </c>
      <c r="B3362">
        <f>TEXT(3361, "[$-0E0000]yyyy-mm-dd")</f>
        <v/>
      </c>
      <c r="C3362" t="inlineStr">
        <is>
          <t>1909-02-24</t>
        </is>
      </c>
    </row>
    <row r="3363">
      <c r="A3363" s="1" t="n">
        <v>3362</v>
      </c>
      <c r="B3363">
        <f>TEXT(3362, "[$-0E0000]yyyy-mm-dd")</f>
        <v/>
      </c>
      <c r="C3363" t="inlineStr">
        <is>
          <t>1909-02-25</t>
        </is>
      </c>
    </row>
    <row r="3364">
      <c r="A3364" s="1" t="n">
        <v>3363</v>
      </c>
      <c r="B3364">
        <f>TEXT(3363, "[$-0E0000]yyyy-mm-dd")</f>
        <v/>
      </c>
      <c r="C3364" t="inlineStr">
        <is>
          <t>1909-02-26</t>
        </is>
      </c>
    </row>
    <row r="3365">
      <c r="A3365" s="1" t="n">
        <v>3364</v>
      </c>
      <c r="B3365">
        <f>TEXT(3364, "[$-0E0000]yyyy-mm-dd")</f>
        <v/>
      </c>
      <c r="C3365" t="inlineStr">
        <is>
          <t>1909-02-27</t>
        </is>
      </c>
    </row>
    <row r="3366">
      <c r="A3366" s="1" t="n">
        <v>3365</v>
      </c>
      <c r="B3366">
        <f>TEXT(3365, "[$-0E0000]yyyy-mm-dd")</f>
        <v/>
      </c>
      <c r="C3366" t="inlineStr">
        <is>
          <t>1909-02-28</t>
        </is>
      </c>
    </row>
    <row r="3367">
      <c r="A3367" s="1" t="n">
        <v>3366</v>
      </c>
      <c r="B3367">
        <f>TEXT(3366, "[$-0E0000]yyyy-mm-dd")</f>
        <v/>
      </c>
      <c r="C3367" t="inlineStr">
        <is>
          <t>1909-02-29</t>
        </is>
      </c>
    </row>
    <row r="3368">
      <c r="A3368" s="1" t="n">
        <v>3367</v>
      </c>
      <c r="B3368">
        <f>TEXT(3367, "[$-0E0000]yyyy-mm-dd")</f>
        <v/>
      </c>
      <c r="C3368" t="inlineStr">
        <is>
          <t>1909-02-30</t>
        </is>
      </c>
    </row>
    <row r="3369">
      <c r="A3369" s="1" t="n">
        <v>3368</v>
      </c>
      <c r="B3369">
        <f>TEXT(3368, "[$-0E0000]yyyy-mm-dd")</f>
        <v/>
      </c>
      <c r="C3369" t="inlineStr">
        <is>
          <t>1909-02-01</t>
        </is>
      </c>
    </row>
    <row r="3370">
      <c r="A3370" s="1" t="n">
        <v>3369</v>
      </c>
      <c r="B3370">
        <f>TEXT(3369, "[$-0E0000]yyyy-mm-dd")</f>
        <v/>
      </c>
      <c r="C3370" t="inlineStr">
        <is>
          <t>1909-02-02</t>
        </is>
      </c>
    </row>
    <row r="3371">
      <c r="A3371" s="1" t="n">
        <v>3370</v>
      </c>
      <c r="B3371">
        <f>TEXT(3370, "[$-0E0000]yyyy-mm-dd")</f>
        <v/>
      </c>
      <c r="C3371" t="inlineStr">
        <is>
          <t>1909-02-03</t>
        </is>
      </c>
    </row>
    <row r="3372">
      <c r="A3372" s="1" t="n">
        <v>3371</v>
      </c>
      <c r="B3372">
        <f>TEXT(3371, "[$-0E0000]yyyy-mm-dd")</f>
        <v/>
      </c>
      <c r="C3372" t="inlineStr">
        <is>
          <t>1909-02-04</t>
        </is>
      </c>
    </row>
    <row r="3373">
      <c r="A3373" s="1" t="n">
        <v>3372</v>
      </c>
      <c r="B3373">
        <f>TEXT(3372, "[$-0E0000]yyyy-mm-dd")</f>
        <v/>
      </c>
      <c r="C3373" t="inlineStr">
        <is>
          <t>1909-02-05</t>
        </is>
      </c>
    </row>
    <row r="3374">
      <c r="A3374" s="1" t="n">
        <v>3373</v>
      </c>
      <c r="B3374">
        <f>TEXT(3373, "[$-0E0000]yyyy-mm-dd")</f>
        <v/>
      </c>
      <c r="C3374" t="inlineStr">
        <is>
          <t>1909-02-06</t>
        </is>
      </c>
    </row>
    <row r="3375">
      <c r="A3375" s="1" t="n">
        <v>3374</v>
      </c>
      <c r="B3375">
        <f>TEXT(3374, "[$-0E0000]yyyy-mm-dd")</f>
        <v/>
      </c>
      <c r="C3375" t="inlineStr">
        <is>
          <t>1909-02-07</t>
        </is>
      </c>
    </row>
    <row r="3376">
      <c r="A3376" s="1" t="n">
        <v>3375</v>
      </c>
      <c r="B3376">
        <f>TEXT(3375, "[$-0E0000]yyyy-mm-dd")</f>
        <v/>
      </c>
      <c r="C3376" t="inlineStr">
        <is>
          <t>1909-02-08</t>
        </is>
      </c>
    </row>
    <row r="3377">
      <c r="A3377" s="1" t="n">
        <v>3376</v>
      </c>
      <c r="B3377">
        <f>TEXT(3376, "[$-0E0000]yyyy-mm-dd")</f>
        <v/>
      </c>
      <c r="C3377" t="inlineStr">
        <is>
          <t>1909-02-09</t>
        </is>
      </c>
    </row>
    <row r="3378">
      <c r="A3378" s="1" t="n">
        <v>3377</v>
      </c>
      <c r="B3378">
        <f>TEXT(3377, "[$-0E0000]yyyy-mm-dd")</f>
        <v/>
      </c>
      <c r="C3378" t="inlineStr">
        <is>
          <t>1909-02-10</t>
        </is>
      </c>
    </row>
    <row r="3379">
      <c r="A3379" s="1" t="n">
        <v>3378</v>
      </c>
      <c r="B3379">
        <f>TEXT(3378, "[$-0E0000]yyyy-mm-dd")</f>
        <v/>
      </c>
      <c r="C3379" t="inlineStr">
        <is>
          <t>1909-02-11</t>
        </is>
      </c>
    </row>
    <row r="3380">
      <c r="A3380" s="1" t="n">
        <v>3379</v>
      </c>
      <c r="B3380">
        <f>TEXT(3379, "[$-0E0000]yyyy-mm-dd")</f>
        <v/>
      </c>
      <c r="C3380" t="inlineStr">
        <is>
          <t>1909-02-12</t>
        </is>
      </c>
    </row>
    <row r="3381">
      <c r="A3381" s="1" t="n">
        <v>3380</v>
      </c>
      <c r="B3381">
        <f>TEXT(3380, "[$-0E0000]yyyy-mm-dd")</f>
        <v/>
      </c>
      <c r="C3381" t="inlineStr">
        <is>
          <t>1909-02-13</t>
        </is>
      </c>
    </row>
    <row r="3382">
      <c r="A3382" s="1" t="n">
        <v>3381</v>
      </c>
      <c r="B3382">
        <f>TEXT(3381, "[$-0E0000]yyyy-mm-dd")</f>
        <v/>
      </c>
      <c r="C3382" t="inlineStr">
        <is>
          <t>1909-02-14</t>
        </is>
      </c>
    </row>
    <row r="3383">
      <c r="A3383" s="1" t="n">
        <v>3382</v>
      </c>
      <c r="B3383">
        <f>TEXT(3382, "[$-0E0000]yyyy-mm-dd")</f>
        <v/>
      </c>
      <c r="C3383" t="inlineStr">
        <is>
          <t>1909-02-15</t>
        </is>
      </c>
    </row>
    <row r="3384">
      <c r="A3384" s="1" t="n">
        <v>3383</v>
      </c>
      <c r="B3384">
        <f>TEXT(3383, "[$-0E0000]yyyy-mm-dd")</f>
        <v/>
      </c>
      <c r="C3384" t="inlineStr">
        <is>
          <t>1909-02-16</t>
        </is>
      </c>
    </row>
    <row r="3385">
      <c r="A3385" s="1" t="n">
        <v>3384</v>
      </c>
      <c r="B3385">
        <f>TEXT(3384, "[$-0E0000]yyyy-mm-dd")</f>
        <v/>
      </c>
      <c r="C3385" t="inlineStr">
        <is>
          <t>1909-02-17</t>
        </is>
      </c>
    </row>
    <row r="3386">
      <c r="A3386" s="1" t="n">
        <v>3385</v>
      </c>
      <c r="B3386">
        <f>TEXT(3385, "[$-0E0000]yyyy-mm-dd")</f>
        <v/>
      </c>
      <c r="C3386" t="inlineStr">
        <is>
          <t>1909-02-18</t>
        </is>
      </c>
    </row>
    <row r="3387">
      <c r="A3387" s="1" t="n">
        <v>3386</v>
      </c>
      <c r="B3387">
        <f>TEXT(3386, "[$-0E0000]yyyy-mm-dd")</f>
        <v/>
      </c>
      <c r="C3387" t="inlineStr">
        <is>
          <t>1909-02-19</t>
        </is>
      </c>
    </row>
    <row r="3388">
      <c r="A3388" s="1" t="n">
        <v>3387</v>
      </c>
      <c r="B3388">
        <f>TEXT(3387, "[$-0E0000]yyyy-mm-dd")</f>
        <v/>
      </c>
      <c r="C3388" t="inlineStr">
        <is>
          <t>1909-02-20</t>
        </is>
      </c>
    </row>
    <row r="3389">
      <c r="A3389" s="1" t="n">
        <v>3388</v>
      </c>
      <c r="B3389">
        <f>TEXT(3388, "[$-0E0000]yyyy-mm-dd")</f>
        <v/>
      </c>
      <c r="C3389" t="inlineStr">
        <is>
          <t>1909-02-21</t>
        </is>
      </c>
    </row>
    <row r="3390">
      <c r="A3390" s="1" t="n">
        <v>3389</v>
      </c>
      <c r="B3390">
        <f>TEXT(3389, "[$-0E0000]yyyy-mm-dd")</f>
        <v/>
      </c>
      <c r="C3390" t="inlineStr">
        <is>
          <t>1909-02-22</t>
        </is>
      </c>
    </row>
    <row r="3391">
      <c r="A3391" s="1" t="n">
        <v>3390</v>
      </c>
      <c r="B3391">
        <f>TEXT(3390, "[$-0E0000]yyyy-mm-dd")</f>
        <v/>
      </c>
      <c r="C3391" t="inlineStr">
        <is>
          <t>1909-02-23</t>
        </is>
      </c>
    </row>
    <row r="3392">
      <c r="A3392" s="1" t="n">
        <v>3391</v>
      </c>
      <c r="B3392">
        <f>TEXT(3391, "[$-0E0000]yyyy-mm-dd")</f>
        <v/>
      </c>
      <c r="C3392" t="inlineStr">
        <is>
          <t>1909-02-24</t>
        </is>
      </c>
    </row>
    <row r="3393">
      <c r="A3393" s="1" t="n">
        <v>3392</v>
      </c>
      <c r="B3393">
        <f>TEXT(3392, "[$-0E0000]yyyy-mm-dd")</f>
        <v/>
      </c>
      <c r="C3393" t="inlineStr">
        <is>
          <t>1909-02-25</t>
        </is>
      </c>
    </row>
    <row r="3394">
      <c r="A3394" s="1" t="n">
        <v>3393</v>
      </c>
      <c r="B3394">
        <f>TEXT(3393, "[$-0E0000]yyyy-mm-dd")</f>
        <v/>
      </c>
      <c r="C3394" t="inlineStr">
        <is>
          <t>1909-02-26</t>
        </is>
      </c>
    </row>
    <row r="3395">
      <c r="A3395" s="1" t="n">
        <v>3394</v>
      </c>
      <c r="B3395">
        <f>TEXT(3394, "[$-0E0000]yyyy-mm-dd")</f>
        <v/>
      </c>
      <c r="C3395" t="inlineStr">
        <is>
          <t>1909-02-27</t>
        </is>
      </c>
    </row>
    <row r="3396">
      <c r="A3396" s="1" t="n">
        <v>3395</v>
      </c>
      <c r="B3396">
        <f>TEXT(3395, "[$-0E0000]yyyy-mm-dd")</f>
        <v/>
      </c>
      <c r="C3396" t="inlineStr">
        <is>
          <t>1909-02-28</t>
        </is>
      </c>
    </row>
    <row r="3397">
      <c r="A3397" s="1" t="n">
        <v>3396</v>
      </c>
      <c r="B3397">
        <f>TEXT(3396, "[$-0E0000]yyyy-mm-dd")</f>
        <v/>
      </c>
      <c r="C3397" t="inlineStr">
        <is>
          <t>1909-02-29</t>
        </is>
      </c>
    </row>
    <row r="3398">
      <c r="A3398" s="1" t="n">
        <v>3397</v>
      </c>
      <c r="B3398">
        <f>TEXT(3397, "[$-0E0000]yyyy-mm-dd")</f>
        <v/>
      </c>
      <c r="C3398" t="inlineStr">
        <is>
          <t>1909-03-01</t>
        </is>
      </c>
    </row>
    <row r="3399">
      <c r="A3399" s="1" t="n">
        <v>3398</v>
      </c>
      <c r="B3399">
        <f>TEXT(3398, "[$-0E0000]yyyy-mm-dd")</f>
        <v/>
      </c>
      <c r="C3399" t="inlineStr">
        <is>
          <t>1909-03-02</t>
        </is>
      </c>
    </row>
    <row r="3400">
      <c r="A3400" s="1" t="n">
        <v>3399</v>
      </c>
      <c r="B3400">
        <f>TEXT(3399, "[$-0E0000]yyyy-mm-dd")</f>
        <v/>
      </c>
      <c r="C3400" t="inlineStr">
        <is>
          <t>1909-03-03</t>
        </is>
      </c>
    </row>
    <row r="3401">
      <c r="A3401" s="1" t="n">
        <v>3400</v>
      </c>
      <c r="B3401">
        <f>TEXT(3400, "[$-0E0000]yyyy-mm-dd")</f>
        <v/>
      </c>
      <c r="C3401" t="inlineStr">
        <is>
          <t>1909-03-04</t>
        </is>
      </c>
    </row>
    <row r="3402">
      <c r="A3402" s="1" t="n">
        <v>3401</v>
      </c>
      <c r="B3402">
        <f>TEXT(3401, "[$-0E0000]yyyy-mm-dd")</f>
        <v/>
      </c>
      <c r="C3402" t="inlineStr">
        <is>
          <t>1909-03-05</t>
        </is>
      </c>
    </row>
    <row r="3403">
      <c r="A3403" s="1" t="n">
        <v>3402</v>
      </c>
      <c r="B3403">
        <f>TEXT(3402, "[$-0E0000]yyyy-mm-dd")</f>
        <v/>
      </c>
      <c r="C3403" t="inlineStr">
        <is>
          <t>1909-03-06</t>
        </is>
      </c>
    </row>
    <row r="3404">
      <c r="A3404" s="1" t="n">
        <v>3403</v>
      </c>
      <c r="B3404">
        <f>TEXT(3403, "[$-0E0000]yyyy-mm-dd")</f>
        <v/>
      </c>
      <c r="C3404" t="inlineStr">
        <is>
          <t>1909-03-07</t>
        </is>
      </c>
    </row>
    <row r="3405">
      <c r="A3405" s="1" t="n">
        <v>3404</v>
      </c>
      <c r="B3405">
        <f>TEXT(3404, "[$-0E0000]yyyy-mm-dd")</f>
        <v/>
      </c>
      <c r="C3405" t="inlineStr">
        <is>
          <t>1909-03-08</t>
        </is>
      </c>
    </row>
    <row r="3406">
      <c r="A3406" s="1" t="n">
        <v>3405</v>
      </c>
      <c r="B3406">
        <f>TEXT(3405, "[$-0E0000]yyyy-mm-dd")</f>
        <v/>
      </c>
      <c r="C3406" t="inlineStr">
        <is>
          <t>1909-03-09</t>
        </is>
      </c>
    </row>
    <row r="3407">
      <c r="A3407" s="1" t="n">
        <v>3406</v>
      </c>
      <c r="B3407">
        <f>TEXT(3406, "[$-0E0000]yyyy-mm-dd")</f>
        <v/>
      </c>
      <c r="C3407" t="inlineStr">
        <is>
          <t>1909-03-10</t>
        </is>
      </c>
    </row>
    <row r="3408">
      <c r="A3408" s="1" t="n">
        <v>3407</v>
      </c>
      <c r="B3408">
        <f>TEXT(3407, "[$-0E0000]yyyy-mm-dd")</f>
        <v/>
      </c>
      <c r="C3408" t="inlineStr">
        <is>
          <t>1909-03-11</t>
        </is>
      </c>
    </row>
    <row r="3409">
      <c r="A3409" s="1" t="n">
        <v>3408</v>
      </c>
      <c r="B3409">
        <f>TEXT(3408, "[$-0E0000]yyyy-mm-dd")</f>
        <v/>
      </c>
      <c r="C3409" t="inlineStr">
        <is>
          <t>1909-03-12</t>
        </is>
      </c>
    </row>
    <row r="3410">
      <c r="A3410" s="1" t="n">
        <v>3409</v>
      </c>
      <c r="B3410">
        <f>TEXT(3409, "[$-0E0000]yyyy-mm-dd")</f>
        <v/>
      </c>
      <c r="C3410" t="inlineStr">
        <is>
          <t>1909-03-13</t>
        </is>
      </c>
    </row>
    <row r="3411">
      <c r="A3411" s="1" t="n">
        <v>3410</v>
      </c>
      <c r="B3411">
        <f>TEXT(3410, "[$-0E0000]yyyy-mm-dd")</f>
        <v/>
      </c>
      <c r="C3411" t="inlineStr">
        <is>
          <t>1909-03-14</t>
        </is>
      </c>
    </row>
    <row r="3412">
      <c r="A3412" s="1" t="n">
        <v>3411</v>
      </c>
      <c r="B3412">
        <f>TEXT(3411, "[$-0E0000]yyyy-mm-dd")</f>
        <v/>
      </c>
      <c r="C3412" t="inlineStr">
        <is>
          <t>1909-03-15</t>
        </is>
      </c>
    </row>
    <row r="3413">
      <c r="A3413" s="1" t="n">
        <v>3412</v>
      </c>
      <c r="B3413">
        <f>TEXT(3412, "[$-0E0000]yyyy-mm-dd")</f>
        <v/>
      </c>
      <c r="C3413" t="inlineStr">
        <is>
          <t>1909-03-16</t>
        </is>
      </c>
    </row>
    <row r="3414">
      <c r="A3414" s="1" t="n">
        <v>3413</v>
      </c>
      <c r="B3414">
        <f>TEXT(3413, "[$-0E0000]yyyy-mm-dd")</f>
        <v/>
      </c>
      <c r="C3414" t="inlineStr">
        <is>
          <t>1909-03-17</t>
        </is>
      </c>
    </row>
    <row r="3415">
      <c r="A3415" s="1" t="n">
        <v>3414</v>
      </c>
      <c r="B3415">
        <f>TEXT(3414, "[$-0E0000]yyyy-mm-dd")</f>
        <v/>
      </c>
      <c r="C3415" t="inlineStr">
        <is>
          <t>1909-03-18</t>
        </is>
      </c>
    </row>
    <row r="3416">
      <c r="A3416" s="1" t="n">
        <v>3415</v>
      </c>
      <c r="B3416">
        <f>TEXT(3415, "[$-0E0000]yyyy-mm-dd")</f>
        <v/>
      </c>
      <c r="C3416" t="inlineStr">
        <is>
          <t>1909-03-19</t>
        </is>
      </c>
    </row>
    <row r="3417">
      <c r="A3417" s="1" t="n">
        <v>3416</v>
      </c>
      <c r="B3417">
        <f>TEXT(3416, "[$-0E0000]yyyy-mm-dd")</f>
        <v/>
      </c>
      <c r="C3417" t="inlineStr">
        <is>
          <t>1909-03-20</t>
        </is>
      </c>
    </row>
    <row r="3418">
      <c r="A3418" s="1" t="n">
        <v>3417</v>
      </c>
      <c r="B3418">
        <f>TEXT(3417, "[$-0E0000]yyyy-mm-dd")</f>
        <v/>
      </c>
      <c r="C3418" t="inlineStr">
        <is>
          <t>1909-03-21</t>
        </is>
      </c>
    </row>
    <row r="3419">
      <c r="A3419" s="1" t="n">
        <v>3418</v>
      </c>
      <c r="B3419">
        <f>TEXT(3418, "[$-0E0000]yyyy-mm-dd")</f>
        <v/>
      </c>
      <c r="C3419" t="inlineStr">
        <is>
          <t>1909-03-22</t>
        </is>
      </c>
    </row>
    <row r="3420">
      <c r="A3420" s="1" t="n">
        <v>3419</v>
      </c>
      <c r="B3420">
        <f>TEXT(3419, "[$-0E0000]yyyy-mm-dd")</f>
        <v/>
      </c>
      <c r="C3420" t="inlineStr">
        <is>
          <t>1909-03-23</t>
        </is>
      </c>
    </row>
    <row r="3421">
      <c r="A3421" s="1" t="n">
        <v>3420</v>
      </c>
      <c r="B3421">
        <f>TEXT(3420, "[$-0E0000]yyyy-mm-dd")</f>
        <v/>
      </c>
      <c r="C3421" t="inlineStr">
        <is>
          <t>1909-03-24</t>
        </is>
      </c>
    </row>
    <row r="3422">
      <c r="A3422" s="1" t="n">
        <v>3421</v>
      </c>
      <c r="B3422">
        <f>TEXT(3421, "[$-0E0000]yyyy-mm-dd")</f>
        <v/>
      </c>
      <c r="C3422" t="inlineStr">
        <is>
          <t>1909-03-25</t>
        </is>
      </c>
    </row>
    <row r="3423">
      <c r="A3423" s="1" t="n">
        <v>3422</v>
      </c>
      <c r="B3423">
        <f>TEXT(3422, "[$-0E0000]yyyy-mm-dd")</f>
        <v/>
      </c>
      <c r="C3423" t="inlineStr">
        <is>
          <t>1909-03-26</t>
        </is>
      </c>
    </row>
    <row r="3424">
      <c r="A3424" s="1" t="n">
        <v>3423</v>
      </c>
      <c r="B3424">
        <f>TEXT(3423, "[$-0E0000]yyyy-mm-dd")</f>
        <v/>
      </c>
      <c r="C3424" t="inlineStr">
        <is>
          <t>1909-03-27</t>
        </is>
      </c>
    </row>
    <row r="3425">
      <c r="A3425" s="1" t="n">
        <v>3424</v>
      </c>
      <c r="B3425">
        <f>TEXT(3424, "[$-0E0000]yyyy-mm-dd")</f>
        <v/>
      </c>
      <c r="C3425" t="inlineStr">
        <is>
          <t>1909-03-28</t>
        </is>
      </c>
    </row>
    <row r="3426">
      <c r="A3426" s="1" t="n">
        <v>3425</v>
      </c>
      <c r="B3426">
        <f>TEXT(3425, "[$-0E0000]yyyy-mm-dd")</f>
        <v/>
      </c>
      <c r="C3426" t="inlineStr">
        <is>
          <t>1909-03-29</t>
        </is>
      </c>
    </row>
    <row r="3427">
      <c r="A3427" s="1" t="n">
        <v>3426</v>
      </c>
      <c r="B3427">
        <f>TEXT(3426, "[$-0E0000]yyyy-mm-dd")</f>
        <v/>
      </c>
      <c r="C3427" t="inlineStr">
        <is>
          <t>1909-04-01</t>
        </is>
      </c>
    </row>
    <row r="3428">
      <c r="A3428" s="1" t="n">
        <v>3427</v>
      </c>
      <c r="B3428">
        <f>TEXT(3427, "[$-0E0000]yyyy-mm-dd")</f>
        <v/>
      </c>
      <c r="C3428" t="inlineStr">
        <is>
          <t>1909-04-02</t>
        </is>
      </c>
    </row>
    <row r="3429">
      <c r="A3429" s="1" t="n">
        <v>3428</v>
      </c>
      <c r="B3429">
        <f>TEXT(3428, "[$-0E0000]yyyy-mm-dd")</f>
        <v/>
      </c>
      <c r="C3429" t="inlineStr">
        <is>
          <t>1909-04-03</t>
        </is>
      </c>
    </row>
    <row r="3430">
      <c r="A3430" s="1" t="n">
        <v>3429</v>
      </c>
      <c r="B3430">
        <f>TEXT(3429, "[$-0E0000]yyyy-mm-dd")</f>
        <v/>
      </c>
      <c r="C3430" t="inlineStr">
        <is>
          <t>1909-04-04</t>
        </is>
      </c>
    </row>
    <row r="3431">
      <c r="A3431" s="1" t="n">
        <v>3430</v>
      </c>
      <c r="B3431">
        <f>TEXT(3430, "[$-0E0000]yyyy-mm-dd")</f>
        <v/>
      </c>
      <c r="C3431" t="inlineStr">
        <is>
          <t>1909-04-05</t>
        </is>
      </c>
    </row>
    <row r="3432">
      <c r="A3432" s="1" t="n">
        <v>3431</v>
      </c>
      <c r="B3432">
        <f>TEXT(3431, "[$-0E0000]yyyy-mm-dd")</f>
        <v/>
      </c>
      <c r="C3432" t="inlineStr">
        <is>
          <t>1909-04-06</t>
        </is>
      </c>
    </row>
    <row r="3433">
      <c r="A3433" s="1" t="n">
        <v>3432</v>
      </c>
      <c r="B3433">
        <f>TEXT(3432, "[$-0E0000]yyyy-mm-dd")</f>
        <v/>
      </c>
      <c r="C3433" t="inlineStr">
        <is>
          <t>1909-04-07</t>
        </is>
      </c>
    </row>
    <row r="3434">
      <c r="A3434" s="1" t="n">
        <v>3433</v>
      </c>
      <c r="B3434">
        <f>TEXT(3433, "[$-0E0000]yyyy-mm-dd")</f>
        <v/>
      </c>
      <c r="C3434" t="inlineStr">
        <is>
          <t>1909-04-08</t>
        </is>
      </c>
    </row>
    <row r="3435">
      <c r="A3435" s="1" t="n">
        <v>3434</v>
      </c>
      <c r="B3435">
        <f>TEXT(3434, "[$-0E0000]yyyy-mm-dd")</f>
        <v/>
      </c>
      <c r="C3435" t="inlineStr">
        <is>
          <t>1909-04-09</t>
        </is>
      </c>
    </row>
    <row r="3436">
      <c r="A3436" s="1" t="n">
        <v>3435</v>
      </c>
      <c r="B3436">
        <f>TEXT(3435, "[$-0E0000]yyyy-mm-dd")</f>
        <v/>
      </c>
      <c r="C3436" t="inlineStr">
        <is>
          <t>1909-04-10</t>
        </is>
      </c>
    </row>
    <row r="3437">
      <c r="A3437" s="1" t="n">
        <v>3436</v>
      </c>
      <c r="B3437">
        <f>TEXT(3436, "[$-0E0000]yyyy-mm-dd")</f>
        <v/>
      </c>
      <c r="C3437" t="inlineStr">
        <is>
          <t>1909-04-11</t>
        </is>
      </c>
    </row>
    <row r="3438">
      <c r="A3438" s="1" t="n">
        <v>3437</v>
      </c>
      <c r="B3438">
        <f>TEXT(3437, "[$-0E0000]yyyy-mm-dd")</f>
        <v/>
      </c>
      <c r="C3438" t="inlineStr">
        <is>
          <t>1909-04-12</t>
        </is>
      </c>
    </row>
    <row r="3439">
      <c r="A3439" s="1" t="n">
        <v>3438</v>
      </c>
      <c r="B3439">
        <f>TEXT(3438, "[$-0E0000]yyyy-mm-dd")</f>
        <v/>
      </c>
      <c r="C3439" t="inlineStr">
        <is>
          <t>1909-04-13</t>
        </is>
      </c>
    </row>
    <row r="3440">
      <c r="A3440" s="1" t="n">
        <v>3439</v>
      </c>
      <c r="B3440">
        <f>TEXT(3439, "[$-0E0000]yyyy-mm-dd")</f>
        <v/>
      </c>
      <c r="C3440" t="inlineStr">
        <is>
          <t>1909-04-14</t>
        </is>
      </c>
    </row>
    <row r="3441">
      <c r="A3441" s="1" t="n">
        <v>3440</v>
      </c>
      <c r="B3441">
        <f>TEXT(3440, "[$-0E0000]yyyy-mm-dd")</f>
        <v/>
      </c>
      <c r="C3441" t="inlineStr">
        <is>
          <t>1909-04-15</t>
        </is>
      </c>
    </row>
    <row r="3442">
      <c r="A3442" s="1" t="n">
        <v>3441</v>
      </c>
      <c r="B3442">
        <f>TEXT(3441, "[$-0E0000]yyyy-mm-dd")</f>
        <v/>
      </c>
      <c r="C3442" t="inlineStr">
        <is>
          <t>1909-04-16</t>
        </is>
      </c>
    </row>
    <row r="3443">
      <c r="A3443" s="1" t="n">
        <v>3442</v>
      </c>
      <c r="B3443">
        <f>TEXT(3442, "[$-0E0000]yyyy-mm-dd")</f>
        <v/>
      </c>
      <c r="C3443" t="inlineStr">
        <is>
          <t>1909-04-17</t>
        </is>
      </c>
    </row>
    <row r="3444">
      <c r="A3444" s="1" t="n">
        <v>3443</v>
      </c>
      <c r="B3444">
        <f>TEXT(3443, "[$-0E0000]yyyy-mm-dd")</f>
        <v/>
      </c>
      <c r="C3444" t="inlineStr">
        <is>
          <t>1909-04-18</t>
        </is>
      </c>
    </row>
    <row r="3445">
      <c r="A3445" s="1" t="n">
        <v>3444</v>
      </c>
      <c r="B3445">
        <f>TEXT(3444, "[$-0E0000]yyyy-mm-dd")</f>
        <v/>
      </c>
      <c r="C3445" t="inlineStr">
        <is>
          <t>1909-04-19</t>
        </is>
      </c>
    </row>
    <row r="3446">
      <c r="A3446" s="1" t="n">
        <v>3445</v>
      </c>
      <c r="B3446">
        <f>TEXT(3445, "[$-0E0000]yyyy-mm-dd")</f>
        <v/>
      </c>
      <c r="C3446" t="inlineStr">
        <is>
          <t>1909-04-20</t>
        </is>
      </c>
    </row>
    <row r="3447">
      <c r="A3447" s="1" t="n">
        <v>3446</v>
      </c>
      <c r="B3447">
        <f>TEXT(3446, "[$-0E0000]yyyy-mm-dd")</f>
        <v/>
      </c>
      <c r="C3447" t="inlineStr">
        <is>
          <t>1909-04-21</t>
        </is>
      </c>
    </row>
    <row r="3448">
      <c r="A3448" s="1" t="n">
        <v>3447</v>
      </c>
      <c r="B3448">
        <f>TEXT(3447, "[$-0E0000]yyyy-mm-dd")</f>
        <v/>
      </c>
      <c r="C3448" t="inlineStr">
        <is>
          <t>1909-04-22</t>
        </is>
      </c>
    </row>
    <row r="3449">
      <c r="A3449" s="1" t="n">
        <v>3448</v>
      </c>
      <c r="B3449">
        <f>TEXT(3448, "[$-0E0000]yyyy-mm-dd")</f>
        <v/>
      </c>
      <c r="C3449" t="inlineStr">
        <is>
          <t>1909-04-23</t>
        </is>
      </c>
    </row>
    <row r="3450">
      <c r="A3450" s="1" t="n">
        <v>3449</v>
      </c>
      <c r="B3450">
        <f>TEXT(3449, "[$-0E0000]yyyy-mm-dd")</f>
        <v/>
      </c>
      <c r="C3450" t="inlineStr">
        <is>
          <t>1909-04-24</t>
        </is>
      </c>
    </row>
    <row r="3451">
      <c r="A3451" s="1" t="n">
        <v>3450</v>
      </c>
      <c r="B3451">
        <f>TEXT(3450, "[$-0E0000]yyyy-mm-dd")</f>
        <v/>
      </c>
      <c r="C3451" t="inlineStr">
        <is>
          <t>1909-04-25</t>
        </is>
      </c>
    </row>
    <row r="3452">
      <c r="A3452" s="1" t="n">
        <v>3451</v>
      </c>
      <c r="B3452">
        <f>TEXT(3451, "[$-0E0000]yyyy-mm-dd")</f>
        <v/>
      </c>
      <c r="C3452" t="inlineStr">
        <is>
          <t>1909-04-26</t>
        </is>
      </c>
    </row>
    <row r="3453">
      <c r="A3453" s="1" t="n">
        <v>3452</v>
      </c>
      <c r="B3453">
        <f>TEXT(3452, "[$-0E0000]yyyy-mm-dd")</f>
        <v/>
      </c>
      <c r="C3453" t="inlineStr">
        <is>
          <t>1909-04-27</t>
        </is>
      </c>
    </row>
    <row r="3454">
      <c r="A3454" s="1" t="n">
        <v>3453</v>
      </c>
      <c r="B3454">
        <f>TEXT(3453, "[$-0E0000]yyyy-mm-dd")</f>
        <v/>
      </c>
      <c r="C3454" t="inlineStr">
        <is>
          <t>1909-04-28</t>
        </is>
      </c>
    </row>
    <row r="3455">
      <c r="A3455" s="1" t="n">
        <v>3454</v>
      </c>
      <c r="B3455">
        <f>TEXT(3454, "[$-0E0000]yyyy-mm-dd")</f>
        <v/>
      </c>
      <c r="C3455" t="inlineStr">
        <is>
          <t>1909-04-29</t>
        </is>
      </c>
    </row>
    <row r="3456">
      <c r="A3456" s="1" t="n">
        <v>3455</v>
      </c>
      <c r="B3456">
        <f>TEXT(3455, "[$-0E0000]yyyy-mm-dd")</f>
        <v/>
      </c>
      <c r="C3456" t="inlineStr">
        <is>
          <t>1909-04-30</t>
        </is>
      </c>
    </row>
    <row r="3457">
      <c r="A3457" s="1" t="n">
        <v>3456</v>
      </c>
      <c r="B3457">
        <f>TEXT(3456, "[$-0E0000]yyyy-mm-dd")</f>
        <v/>
      </c>
      <c r="C3457" t="inlineStr">
        <is>
          <t>1909-05-01</t>
        </is>
      </c>
    </row>
    <row r="3458">
      <c r="A3458" s="1" t="n">
        <v>3457</v>
      </c>
      <c r="B3458">
        <f>TEXT(3457, "[$-0E0000]yyyy-mm-dd")</f>
        <v/>
      </c>
      <c r="C3458" t="inlineStr">
        <is>
          <t>1909-05-02</t>
        </is>
      </c>
    </row>
    <row r="3459">
      <c r="A3459" s="1" t="n">
        <v>3458</v>
      </c>
      <c r="B3459">
        <f>TEXT(3458, "[$-0E0000]yyyy-mm-dd")</f>
        <v/>
      </c>
      <c r="C3459" t="inlineStr">
        <is>
          <t>1909-05-03</t>
        </is>
      </c>
    </row>
    <row r="3460">
      <c r="A3460" s="1" t="n">
        <v>3459</v>
      </c>
      <c r="B3460">
        <f>TEXT(3459, "[$-0E0000]yyyy-mm-dd")</f>
        <v/>
      </c>
      <c r="C3460" t="inlineStr">
        <is>
          <t>1909-05-04</t>
        </is>
      </c>
    </row>
    <row r="3461">
      <c r="A3461" s="1" t="n">
        <v>3460</v>
      </c>
      <c r="B3461">
        <f>TEXT(3460, "[$-0E0000]yyyy-mm-dd")</f>
        <v/>
      </c>
      <c r="C3461" t="inlineStr">
        <is>
          <t>1909-05-05</t>
        </is>
      </c>
    </row>
    <row r="3462">
      <c r="A3462" s="1" t="n">
        <v>3461</v>
      </c>
      <c r="B3462">
        <f>TEXT(3461, "[$-0E0000]yyyy-mm-dd")</f>
        <v/>
      </c>
      <c r="C3462" t="inlineStr">
        <is>
          <t>1909-05-06</t>
        </is>
      </c>
    </row>
    <row r="3463">
      <c r="A3463" s="1" t="n">
        <v>3462</v>
      </c>
      <c r="B3463">
        <f>TEXT(3462, "[$-0E0000]yyyy-mm-dd")</f>
        <v/>
      </c>
      <c r="C3463" t="inlineStr">
        <is>
          <t>1909-05-07</t>
        </is>
      </c>
    </row>
    <row r="3464">
      <c r="A3464" s="1" t="n">
        <v>3463</v>
      </c>
      <c r="B3464">
        <f>TEXT(3463, "[$-0E0000]yyyy-mm-dd")</f>
        <v/>
      </c>
      <c r="C3464" t="inlineStr">
        <is>
          <t>1909-05-08</t>
        </is>
      </c>
    </row>
    <row r="3465">
      <c r="A3465" s="1" t="n">
        <v>3464</v>
      </c>
      <c r="B3465">
        <f>TEXT(3464, "[$-0E0000]yyyy-mm-dd")</f>
        <v/>
      </c>
      <c r="C3465" t="inlineStr">
        <is>
          <t>1909-05-09</t>
        </is>
      </c>
    </row>
    <row r="3466">
      <c r="A3466" s="1" t="n">
        <v>3465</v>
      </c>
      <c r="B3466">
        <f>TEXT(3465, "[$-0E0000]yyyy-mm-dd")</f>
        <v/>
      </c>
      <c r="C3466" t="inlineStr">
        <is>
          <t>1909-05-10</t>
        </is>
      </c>
    </row>
    <row r="3467">
      <c r="A3467" s="1" t="n">
        <v>3466</v>
      </c>
      <c r="B3467">
        <f>TEXT(3466, "[$-0E0000]yyyy-mm-dd")</f>
        <v/>
      </c>
      <c r="C3467" t="inlineStr">
        <is>
          <t>1909-05-11</t>
        </is>
      </c>
    </row>
    <row r="3468">
      <c r="A3468" s="1" t="n">
        <v>3467</v>
      </c>
      <c r="B3468">
        <f>TEXT(3467, "[$-0E0000]yyyy-mm-dd")</f>
        <v/>
      </c>
      <c r="C3468" t="inlineStr">
        <is>
          <t>1909-05-12</t>
        </is>
      </c>
    </row>
    <row r="3469">
      <c r="A3469" s="1" t="n">
        <v>3468</v>
      </c>
      <c r="B3469">
        <f>TEXT(3468, "[$-0E0000]yyyy-mm-dd")</f>
        <v/>
      </c>
      <c r="C3469" t="inlineStr">
        <is>
          <t>1909-05-13</t>
        </is>
      </c>
    </row>
    <row r="3470">
      <c r="A3470" s="1" t="n">
        <v>3469</v>
      </c>
      <c r="B3470">
        <f>TEXT(3469, "[$-0E0000]yyyy-mm-dd")</f>
        <v/>
      </c>
      <c r="C3470" t="inlineStr">
        <is>
          <t>1909-05-14</t>
        </is>
      </c>
    </row>
    <row r="3471">
      <c r="A3471" s="1" t="n">
        <v>3470</v>
      </c>
      <c r="B3471">
        <f>TEXT(3470, "[$-0E0000]yyyy-mm-dd")</f>
        <v/>
      </c>
      <c r="C3471" t="inlineStr">
        <is>
          <t>1909-05-15</t>
        </is>
      </c>
    </row>
    <row r="3472">
      <c r="A3472" s="1" t="n">
        <v>3471</v>
      </c>
      <c r="B3472">
        <f>TEXT(3471, "[$-0E0000]yyyy-mm-dd")</f>
        <v/>
      </c>
      <c r="C3472" t="inlineStr">
        <is>
          <t>1909-05-16</t>
        </is>
      </c>
    </row>
    <row r="3473">
      <c r="A3473" s="1" t="n">
        <v>3472</v>
      </c>
      <c r="B3473">
        <f>TEXT(3472, "[$-0E0000]yyyy-mm-dd")</f>
        <v/>
      </c>
      <c r="C3473" t="inlineStr">
        <is>
          <t>1909-05-17</t>
        </is>
      </c>
    </row>
    <row r="3474">
      <c r="A3474" s="1" t="n">
        <v>3473</v>
      </c>
      <c r="B3474">
        <f>TEXT(3473, "[$-0E0000]yyyy-mm-dd")</f>
        <v/>
      </c>
      <c r="C3474" t="inlineStr">
        <is>
          <t>1909-05-18</t>
        </is>
      </c>
    </row>
    <row r="3475">
      <c r="A3475" s="1" t="n">
        <v>3474</v>
      </c>
      <c r="B3475">
        <f>TEXT(3474, "[$-0E0000]yyyy-mm-dd")</f>
        <v/>
      </c>
      <c r="C3475" t="inlineStr">
        <is>
          <t>1909-05-19</t>
        </is>
      </c>
    </row>
    <row r="3476">
      <c r="A3476" s="1" t="n">
        <v>3475</v>
      </c>
      <c r="B3476">
        <f>TEXT(3475, "[$-0E0000]yyyy-mm-dd")</f>
        <v/>
      </c>
      <c r="C3476" t="inlineStr">
        <is>
          <t>1909-05-20</t>
        </is>
      </c>
    </row>
    <row r="3477">
      <c r="A3477" s="1" t="n">
        <v>3476</v>
      </c>
      <c r="B3477">
        <f>TEXT(3476, "[$-0E0000]yyyy-mm-dd")</f>
        <v/>
      </c>
      <c r="C3477" t="inlineStr">
        <is>
          <t>1909-05-21</t>
        </is>
      </c>
    </row>
    <row r="3478">
      <c r="A3478" s="1" t="n">
        <v>3477</v>
      </c>
      <c r="B3478">
        <f>TEXT(3477, "[$-0E0000]yyyy-mm-dd")</f>
        <v/>
      </c>
      <c r="C3478" t="inlineStr">
        <is>
          <t>1909-05-22</t>
        </is>
      </c>
    </row>
    <row r="3479">
      <c r="A3479" s="1" t="n">
        <v>3478</v>
      </c>
      <c r="B3479">
        <f>TEXT(3478, "[$-0E0000]yyyy-mm-dd")</f>
        <v/>
      </c>
      <c r="C3479" t="inlineStr">
        <is>
          <t>1909-05-23</t>
        </is>
      </c>
    </row>
    <row r="3480">
      <c r="A3480" s="1" t="n">
        <v>3479</v>
      </c>
      <c r="B3480">
        <f>TEXT(3479, "[$-0E0000]yyyy-mm-dd")</f>
        <v/>
      </c>
      <c r="C3480" t="inlineStr">
        <is>
          <t>1909-05-24</t>
        </is>
      </c>
    </row>
    <row r="3481">
      <c r="A3481" s="1" t="n">
        <v>3480</v>
      </c>
      <c r="B3481">
        <f>TEXT(3480, "[$-0E0000]yyyy-mm-dd")</f>
        <v/>
      </c>
      <c r="C3481" t="inlineStr">
        <is>
          <t>1909-05-25</t>
        </is>
      </c>
    </row>
    <row r="3482">
      <c r="A3482" s="1" t="n">
        <v>3481</v>
      </c>
      <c r="B3482">
        <f>TEXT(3481, "[$-0E0000]yyyy-mm-dd")</f>
        <v/>
      </c>
      <c r="C3482" t="inlineStr">
        <is>
          <t>1909-05-26</t>
        </is>
      </c>
    </row>
    <row r="3483">
      <c r="A3483" s="1" t="n">
        <v>3482</v>
      </c>
      <c r="B3483">
        <f>TEXT(3482, "[$-0E0000]yyyy-mm-dd")</f>
        <v/>
      </c>
      <c r="C3483" t="inlineStr">
        <is>
          <t>1909-05-27</t>
        </is>
      </c>
    </row>
    <row r="3484">
      <c r="A3484" s="1" t="n">
        <v>3483</v>
      </c>
      <c r="B3484">
        <f>TEXT(3483, "[$-0E0000]yyyy-mm-dd")</f>
        <v/>
      </c>
      <c r="C3484" t="inlineStr">
        <is>
          <t>1909-05-28</t>
        </is>
      </c>
    </row>
    <row r="3485">
      <c r="A3485" s="1" t="n">
        <v>3484</v>
      </c>
      <c r="B3485">
        <f>TEXT(3484, "[$-0E0000]yyyy-mm-dd")</f>
        <v/>
      </c>
      <c r="C3485" t="inlineStr">
        <is>
          <t>1909-05-29</t>
        </is>
      </c>
    </row>
    <row r="3486">
      <c r="A3486" s="1" t="n">
        <v>3485</v>
      </c>
      <c r="B3486">
        <f>TEXT(3485, "[$-0E0000]yyyy-mm-dd")</f>
        <v/>
      </c>
      <c r="C3486" t="inlineStr">
        <is>
          <t>1909-06-01</t>
        </is>
      </c>
    </row>
    <row r="3487">
      <c r="A3487" s="1" t="n">
        <v>3486</v>
      </c>
      <c r="B3487">
        <f>TEXT(3486, "[$-0E0000]yyyy-mm-dd")</f>
        <v/>
      </c>
      <c r="C3487" t="inlineStr">
        <is>
          <t>1909-06-02</t>
        </is>
      </c>
    </row>
    <row r="3488">
      <c r="A3488" s="1" t="n">
        <v>3487</v>
      </c>
      <c r="B3488">
        <f>TEXT(3487, "[$-0E0000]yyyy-mm-dd")</f>
        <v/>
      </c>
      <c r="C3488" t="inlineStr">
        <is>
          <t>1909-06-03</t>
        </is>
      </c>
    </row>
    <row r="3489">
      <c r="A3489" s="1" t="n">
        <v>3488</v>
      </c>
      <c r="B3489">
        <f>TEXT(3488, "[$-0E0000]yyyy-mm-dd")</f>
        <v/>
      </c>
      <c r="C3489" t="inlineStr">
        <is>
          <t>1909-06-04</t>
        </is>
      </c>
    </row>
    <row r="3490">
      <c r="A3490" s="1" t="n">
        <v>3489</v>
      </c>
      <c r="B3490">
        <f>TEXT(3489, "[$-0E0000]yyyy-mm-dd")</f>
        <v/>
      </c>
      <c r="C3490" t="inlineStr">
        <is>
          <t>1909-06-05</t>
        </is>
      </c>
    </row>
    <row r="3491">
      <c r="A3491" s="1" t="n">
        <v>3490</v>
      </c>
      <c r="B3491">
        <f>TEXT(3490, "[$-0E0000]yyyy-mm-dd")</f>
        <v/>
      </c>
      <c r="C3491" t="inlineStr">
        <is>
          <t>1909-06-06</t>
        </is>
      </c>
    </row>
    <row r="3492">
      <c r="A3492" s="1" t="n">
        <v>3491</v>
      </c>
      <c r="B3492">
        <f>TEXT(3491, "[$-0E0000]yyyy-mm-dd")</f>
        <v/>
      </c>
      <c r="C3492" t="inlineStr">
        <is>
          <t>1909-06-07</t>
        </is>
      </c>
    </row>
    <row r="3493">
      <c r="A3493" s="1" t="n">
        <v>3492</v>
      </c>
      <c r="B3493">
        <f>TEXT(3492, "[$-0E0000]yyyy-mm-dd")</f>
        <v/>
      </c>
      <c r="C3493" t="inlineStr">
        <is>
          <t>1909-06-08</t>
        </is>
      </c>
    </row>
    <row r="3494">
      <c r="A3494" s="1" t="n">
        <v>3493</v>
      </c>
      <c r="B3494">
        <f>TEXT(3493, "[$-0E0000]yyyy-mm-dd")</f>
        <v/>
      </c>
      <c r="C3494" t="inlineStr">
        <is>
          <t>1909-06-09</t>
        </is>
      </c>
    </row>
    <row r="3495">
      <c r="A3495" s="1" t="n">
        <v>3494</v>
      </c>
      <c r="B3495">
        <f>TEXT(3494, "[$-0E0000]yyyy-mm-dd")</f>
        <v/>
      </c>
      <c r="C3495" t="inlineStr">
        <is>
          <t>1909-06-10</t>
        </is>
      </c>
    </row>
    <row r="3496">
      <c r="A3496" s="1" t="n">
        <v>3495</v>
      </c>
      <c r="B3496">
        <f>TEXT(3495, "[$-0E0000]yyyy-mm-dd")</f>
        <v/>
      </c>
      <c r="C3496" t="inlineStr">
        <is>
          <t>1909-06-11</t>
        </is>
      </c>
    </row>
    <row r="3497">
      <c r="A3497" s="1" t="n">
        <v>3496</v>
      </c>
      <c r="B3497">
        <f>TEXT(3496, "[$-0E0000]yyyy-mm-dd")</f>
        <v/>
      </c>
      <c r="C3497" t="inlineStr">
        <is>
          <t>1909-06-12</t>
        </is>
      </c>
    </row>
    <row r="3498">
      <c r="A3498" s="1" t="n">
        <v>3497</v>
      </c>
      <c r="B3498">
        <f>TEXT(3497, "[$-0E0000]yyyy-mm-dd")</f>
        <v/>
      </c>
      <c r="C3498" t="inlineStr">
        <is>
          <t>1909-06-13</t>
        </is>
      </c>
    </row>
    <row r="3499">
      <c r="A3499" s="1" t="n">
        <v>3498</v>
      </c>
      <c r="B3499">
        <f>TEXT(3498, "[$-0E0000]yyyy-mm-dd")</f>
        <v/>
      </c>
      <c r="C3499" t="inlineStr">
        <is>
          <t>1909-06-14</t>
        </is>
      </c>
    </row>
    <row r="3500">
      <c r="A3500" s="1" t="n">
        <v>3499</v>
      </c>
      <c r="B3500">
        <f>TEXT(3499, "[$-0E0000]yyyy-mm-dd")</f>
        <v/>
      </c>
      <c r="C3500" t="inlineStr">
        <is>
          <t>1909-06-15</t>
        </is>
      </c>
    </row>
    <row r="3501">
      <c r="A3501" s="1" t="n">
        <v>3500</v>
      </c>
      <c r="B3501">
        <f>TEXT(3500, "[$-0E0000]yyyy-mm-dd")</f>
        <v/>
      </c>
      <c r="C3501" t="inlineStr">
        <is>
          <t>1909-06-16</t>
        </is>
      </c>
    </row>
    <row r="3502">
      <c r="A3502" s="1" t="n">
        <v>3501</v>
      </c>
      <c r="B3502">
        <f>TEXT(3501, "[$-0E0000]yyyy-mm-dd")</f>
        <v/>
      </c>
      <c r="C3502" t="inlineStr">
        <is>
          <t>1909-06-17</t>
        </is>
      </c>
    </row>
    <row r="3503">
      <c r="A3503" s="1" t="n">
        <v>3502</v>
      </c>
      <c r="B3503">
        <f>TEXT(3502, "[$-0E0000]yyyy-mm-dd")</f>
        <v/>
      </c>
      <c r="C3503" t="inlineStr">
        <is>
          <t>1909-06-18</t>
        </is>
      </c>
    </row>
    <row r="3504">
      <c r="A3504" s="1" t="n">
        <v>3503</v>
      </c>
      <c r="B3504">
        <f>TEXT(3503, "[$-0E0000]yyyy-mm-dd")</f>
        <v/>
      </c>
      <c r="C3504" t="inlineStr">
        <is>
          <t>1909-06-19</t>
        </is>
      </c>
    </row>
    <row r="3505">
      <c r="A3505" s="1" t="n">
        <v>3504</v>
      </c>
      <c r="B3505">
        <f>TEXT(3504, "[$-0E0000]yyyy-mm-dd")</f>
        <v/>
      </c>
      <c r="C3505" t="inlineStr">
        <is>
          <t>1909-06-20</t>
        </is>
      </c>
    </row>
    <row r="3506">
      <c r="A3506" s="1" t="n">
        <v>3505</v>
      </c>
      <c r="B3506">
        <f>TEXT(3505, "[$-0E0000]yyyy-mm-dd")</f>
        <v/>
      </c>
      <c r="C3506" t="inlineStr">
        <is>
          <t>1909-06-21</t>
        </is>
      </c>
    </row>
    <row r="3507">
      <c r="A3507" s="1" t="n">
        <v>3506</v>
      </c>
      <c r="B3507">
        <f>TEXT(3506, "[$-0E0000]yyyy-mm-dd")</f>
        <v/>
      </c>
      <c r="C3507" t="inlineStr">
        <is>
          <t>1909-06-22</t>
        </is>
      </c>
    </row>
    <row r="3508">
      <c r="A3508" s="1" t="n">
        <v>3507</v>
      </c>
      <c r="B3508">
        <f>TEXT(3507, "[$-0E0000]yyyy-mm-dd")</f>
        <v/>
      </c>
      <c r="C3508" t="inlineStr">
        <is>
          <t>1909-06-23</t>
        </is>
      </c>
    </row>
    <row r="3509">
      <c r="A3509" s="1" t="n">
        <v>3508</v>
      </c>
      <c r="B3509">
        <f>TEXT(3508, "[$-0E0000]yyyy-mm-dd")</f>
        <v/>
      </c>
      <c r="C3509" t="inlineStr">
        <is>
          <t>1909-06-24</t>
        </is>
      </c>
    </row>
    <row r="3510">
      <c r="A3510" s="1" t="n">
        <v>3509</v>
      </c>
      <c r="B3510">
        <f>TEXT(3509, "[$-0E0000]yyyy-mm-dd")</f>
        <v/>
      </c>
      <c r="C3510" t="inlineStr">
        <is>
          <t>1909-06-25</t>
        </is>
      </c>
    </row>
    <row r="3511">
      <c r="A3511" s="1" t="n">
        <v>3510</v>
      </c>
      <c r="B3511">
        <f>TEXT(3510, "[$-0E0000]yyyy-mm-dd")</f>
        <v/>
      </c>
      <c r="C3511" t="inlineStr">
        <is>
          <t>1909-06-26</t>
        </is>
      </c>
    </row>
    <row r="3512">
      <c r="A3512" s="1" t="n">
        <v>3511</v>
      </c>
      <c r="B3512">
        <f>TEXT(3511, "[$-0E0000]yyyy-mm-dd")</f>
        <v/>
      </c>
      <c r="C3512" t="inlineStr">
        <is>
          <t>1909-06-27</t>
        </is>
      </c>
    </row>
    <row r="3513">
      <c r="A3513" s="1" t="n">
        <v>3512</v>
      </c>
      <c r="B3513">
        <f>TEXT(3512, "[$-0E0000]yyyy-mm-dd")</f>
        <v/>
      </c>
      <c r="C3513" t="inlineStr">
        <is>
          <t>1909-06-28</t>
        </is>
      </c>
    </row>
    <row r="3514">
      <c r="A3514" s="1" t="n">
        <v>3513</v>
      </c>
      <c r="B3514">
        <f>TEXT(3513, "[$-0E0000]yyyy-mm-dd")</f>
        <v/>
      </c>
      <c r="C3514" t="inlineStr">
        <is>
          <t>1909-06-29</t>
        </is>
      </c>
    </row>
    <row r="3515">
      <c r="A3515" s="1" t="n">
        <v>3514</v>
      </c>
      <c r="B3515">
        <f>TEXT(3514, "[$-0E0000]yyyy-mm-dd")</f>
        <v/>
      </c>
      <c r="C3515" t="inlineStr">
        <is>
          <t>1909-06-30</t>
        </is>
      </c>
    </row>
    <row r="3516">
      <c r="A3516" s="1" t="n">
        <v>3515</v>
      </c>
      <c r="B3516">
        <f>TEXT(3515, "[$-0E0000]yyyy-mm-dd")</f>
        <v/>
      </c>
      <c r="C3516" t="inlineStr">
        <is>
          <t>1909-07-01</t>
        </is>
      </c>
    </row>
    <row r="3517">
      <c r="A3517" s="1" t="n">
        <v>3516</v>
      </c>
      <c r="B3517">
        <f>TEXT(3516, "[$-0E0000]yyyy-mm-dd")</f>
        <v/>
      </c>
      <c r="C3517" t="inlineStr">
        <is>
          <t>1909-07-02</t>
        </is>
      </c>
    </row>
    <row r="3518">
      <c r="A3518" s="1" t="n">
        <v>3517</v>
      </c>
      <c r="B3518">
        <f>TEXT(3517, "[$-0E0000]yyyy-mm-dd")</f>
        <v/>
      </c>
      <c r="C3518" t="inlineStr">
        <is>
          <t>1909-07-03</t>
        </is>
      </c>
    </row>
    <row r="3519">
      <c r="A3519" s="1" t="n">
        <v>3518</v>
      </c>
      <c r="B3519">
        <f>TEXT(3518, "[$-0E0000]yyyy-mm-dd")</f>
        <v/>
      </c>
      <c r="C3519" t="inlineStr">
        <is>
          <t>1909-07-04</t>
        </is>
      </c>
    </row>
    <row r="3520">
      <c r="A3520" s="1" t="n">
        <v>3519</v>
      </c>
      <c r="B3520">
        <f>TEXT(3519, "[$-0E0000]yyyy-mm-dd")</f>
        <v/>
      </c>
      <c r="C3520" t="inlineStr">
        <is>
          <t>1909-07-05</t>
        </is>
      </c>
    </row>
    <row r="3521">
      <c r="A3521" s="1" t="n">
        <v>3520</v>
      </c>
      <c r="B3521">
        <f>TEXT(3520, "[$-0E0000]yyyy-mm-dd")</f>
        <v/>
      </c>
      <c r="C3521" t="inlineStr">
        <is>
          <t>1909-07-06</t>
        </is>
      </c>
    </row>
    <row r="3522">
      <c r="A3522" s="1" t="n">
        <v>3521</v>
      </c>
      <c r="B3522">
        <f>TEXT(3521, "[$-0E0000]yyyy-mm-dd")</f>
        <v/>
      </c>
      <c r="C3522" t="inlineStr">
        <is>
          <t>1909-07-07</t>
        </is>
      </c>
    </row>
    <row r="3523">
      <c r="A3523" s="1" t="n">
        <v>3522</v>
      </c>
      <c r="B3523">
        <f>TEXT(3522, "[$-0E0000]yyyy-mm-dd")</f>
        <v/>
      </c>
      <c r="C3523" t="inlineStr">
        <is>
          <t>1909-07-08</t>
        </is>
      </c>
    </row>
    <row r="3524">
      <c r="A3524" s="1" t="n">
        <v>3523</v>
      </c>
      <c r="B3524">
        <f>TEXT(3523, "[$-0E0000]yyyy-mm-dd")</f>
        <v/>
      </c>
      <c r="C3524" t="inlineStr">
        <is>
          <t>1909-07-09</t>
        </is>
      </c>
    </row>
    <row r="3525">
      <c r="A3525" s="1" t="n">
        <v>3524</v>
      </c>
      <c r="B3525">
        <f>TEXT(3524, "[$-0E0000]yyyy-mm-dd")</f>
        <v/>
      </c>
      <c r="C3525" t="inlineStr">
        <is>
          <t>1909-07-10</t>
        </is>
      </c>
    </row>
    <row r="3526">
      <c r="A3526" s="1" t="n">
        <v>3525</v>
      </c>
      <c r="B3526">
        <f>TEXT(3525, "[$-0E0000]yyyy-mm-dd")</f>
        <v/>
      </c>
      <c r="C3526" t="inlineStr">
        <is>
          <t>1909-07-11</t>
        </is>
      </c>
    </row>
    <row r="3527">
      <c r="A3527" s="1" t="n">
        <v>3526</v>
      </c>
      <c r="B3527">
        <f>TEXT(3526, "[$-0E0000]yyyy-mm-dd")</f>
        <v/>
      </c>
      <c r="C3527" t="inlineStr">
        <is>
          <t>1909-07-12</t>
        </is>
      </c>
    </row>
    <row r="3528">
      <c r="A3528" s="1" t="n">
        <v>3527</v>
      </c>
      <c r="B3528">
        <f>TEXT(3527, "[$-0E0000]yyyy-mm-dd")</f>
        <v/>
      </c>
      <c r="C3528" t="inlineStr">
        <is>
          <t>1909-07-13</t>
        </is>
      </c>
    </row>
    <row r="3529">
      <c r="A3529" s="1" t="n">
        <v>3528</v>
      </c>
      <c r="B3529">
        <f>TEXT(3528, "[$-0E0000]yyyy-mm-dd")</f>
        <v/>
      </c>
      <c r="C3529" t="inlineStr">
        <is>
          <t>1909-07-14</t>
        </is>
      </c>
    </row>
    <row r="3530">
      <c r="A3530" s="1" t="n">
        <v>3529</v>
      </c>
      <c r="B3530">
        <f>TEXT(3529, "[$-0E0000]yyyy-mm-dd")</f>
        <v/>
      </c>
      <c r="C3530" t="inlineStr">
        <is>
          <t>1909-07-15</t>
        </is>
      </c>
    </row>
    <row r="3531">
      <c r="A3531" s="1" t="n">
        <v>3530</v>
      </c>
      <c r="B3531">
        <f>TEXT(3530, "[$-0E0000]yyyy-mm-dd")</f>
        <v/>
      </c>
      <c r="C3531" t="inlineStr">
        <is>
          <t>1909-07-16</t>
        </is>
      </c>
    </row>
    <row r="3532">
      <c r="A3532" s="1" t="n">
        <v>3531</v>
      </c>
      <c r="B3532">
        <f>TEXT(3531, "[$-0E0000]yyyy-mm-dd")</f>
        <v/>
      </c>
      <c r="C3532" t="inlineStr">
        <is>
          <t>1909-07-17</t>
        </is>
      </c>
    </row>
    <row r="3533">
      <c r="A3533" s="1" t="n">
        <v>3532</v>
      </c>
      <c r="B3533">
        <f>TEXT(3532, "[$-0E0000]yyyy-mm-dd")</f>
        <v/>
      </c>
      <c r="C3533" t="inlineStr">
        <is>
          <t>1909-07-18</t>
        </is>
      </c>
    </row>
    <row r="3534">
      <c r="A3534" s="1" t="n">
        <v>3533</v>
      </c>
      <c r="B3534">
        <f>TEXT(3533, "[$-0E0000]yyyy-mm-dd")</f>
        <v/>
      </c>
      <c r="C3534" t="inlineStr">
        <is>
          <t>1909-07-19</t>
        </is>
      </c>
    </row>
    <row r="3535">
      <c r="A3535" s="1" t="n">
        <v>3534</v>
      </c>
      <c r="B3535">
        <f>TEXT(3534, "[$-0E0000]yyyy-mm-dd")</f>
        <v/>
      </c>
      <c r="C3535" t="inlineStr">
        <is>
          <t>1909-07-20</t>
        </is>
      </c>
    </row>
    <row r="3536">
      <c r="A3536" s="1" t="n">
        <v>3535</v>
      </c>
      <c r="B3536">
        <f>TEXT(3535, "[$-0E0000]yyyy-mm-dd")</f>
        <v/>
      </c>
      <c r="C3536" t="inlineStr">
        <is>
          <t>1909-07-21</t>
        </is>
      </c>
    </row>
    <row r="3537">
      <c r="A3537" s="1" t="n">
        <v>3536</v>
      </c>
      <c r="B3537">
        <f>TEXT(3536, "[$-0E0000]yyyy-mm-dd")</f>
        <v/>
      </c>
      <c r="C3537" t="inlineStr">
        <is>
          <t>1909-07-22</t>
        </is>
      </c>
    </row>
    <row r="3538">
      <c r="A3538" s="1" t="n">
        <v>3537</v>
      </c>
      <c r="B3538">
        <f>TEXT(3537, "[$-0E0000]yyyy-mm-dd")</f>
        <v/>
      </c>
      <c r="C3538" t="inlineStr">
        <is>
          <t>1909-07-23</t>
        </is>
      </c>
    </row>
    <row r="3539">
      <c r="A3539" s="1" t="n">
        <v>3538</v>
      </c>
      <c r="B3539">
        <f>TEXT(3538, "[$-0E0000]yyyy-mm-dd")</f>
        <v/>
      </c>
      <c r="C3539" t="inlineStr">
        <is>
          <t>1909-07-24</t>
        </is>
      </c>
    </row>
    <row r="3540">
      <c r="A3540" s="1" t="n">
        <v>3539</v>
      </c>
      <c r="B3540">
        <f>TEXT(3539, "[$-0E0000]yyyy-mm-dd")</f>
        <v/>
      </c>
      <c r="C3540" t="inlineStr">
        <is>
          <t>1909-07-25</t>
        </is>
      </c>
    </row>
    <row r="3541">
      <c r="A3541" s="1" t="n">
        <v>3540</v>
      </c>
      <c r="B3541">
        <f>TEXT(3540, "[$-0E0000]yyyy-mm-dd")</f>
        <v/>
      </c>
      <c r="C3541" t="inlineStr">
        <is>
          <t>1909-07-26</t>
        </is>
      </c>
    </row>
    <row r="3542">
      <c r="A3542" s="1" t="n">
        <v>3541</v>
      </c>
      <c r="B3542">
        <f>TEXT(3541, "[$-0E0000]yyyy-mm-dd")</f>
        <v/>
      </c>
      <c r="C3542" t="inlineStr">
        <is>
          <t>1909-07-27</t>
        </is>
      </c>
    </row>
    <row r="3543">
      <c r="A3543" s="1" t="n">
        <v>3542</v>
      </c>
      <c r="B3543">
        <f>TEXT(3542, "[$-0E0000]yyyy-mm-dd")</f>
        <v/>
      </c>
      <c r="C3543" t="inlineStr">
        <is>
          <t>1909-07-28</t>
        </is>
      </c>
    </row>
    <row r="3544">
      <c r="A3544" s="1" t="n">
        <v>3543</v>
      </c>
      <c r="B3544">
        <f>TEXT(3543, "[$-0E0000]yyyy-mm-dd")</f>
        <v/>
      </c>
      <c r="C3544" t="inlineStr">
        <is>
          <t>1909-07-29</t>
        </is>
      </c>
    </row>
    <row r="3545">
      <c r="A3545" s="1" t="n">
        <v>3544</v>
      </c>
      <c r="B3545">
        <f>TEXT(3544, "[$-0E0000]yyyy-mm-dd")</f>
        <v/>
      </c>
      <c r="C3545" t="inlineStr">
        <is>
          <t>1909-08-01</t>
        </is>
      </c>
    </row>
    <row r="3546">
      <c r="A3546" s="1" t="n">
        <v>3545</v>
      </c>
      <c r="B3546">
        <f>TEXT(3545, "[$-0E0000]yyyy-mm-dd")</f>
        <v/>
      </c>
      <c r="C3546" t="inlineStr">
        <is>
          <t>1909-08-02</t>
        </is>
      </c>
    </row>
    <row r="3547">
      <c r="A3547" s="1" t="n">
        <v>3546</v>
      </c>
      <c r="B3547">
        <f>TEXT(3546, "[$-0E0000]yyyy-mm-dd")</f>
        <v/>
      </c>
      <c r="C3547" t="inlineStr">
        <is>
          <t>1909-08-03</t>
        </is>
      </c>
    </row>
    <row r="3548">
      <c r="A3548" s="1" t="n">
        <v>3547</v>
      </c>
      <c r="B3548">
        <f>TEXT(3547, "[$-0E0000]yyyy-mm-dd")</f>
        <v/>
      </c>
      <c r="C3548" t="inlineStr">
        <is>
          <t>1909-08-04</t>
        </is>
      </c>
    </row>
    <row r="3549">
      <c r="A3549" s="1" t="n">
        <v>3548</v>
      </c>
      <c r="B3549">
        <f>TEXT(3548, "[$-0E0000]yyyy-mm-dd")</f>
        <v/>
      </c>
      <c r="C3549" t="inlineStr">
        <is>
          <t>1909-08-05</t>
        </is>
      </c>
    </row>
    <row r="3550">
      <c r="A3550" s="1" t="n">
        <v>3549</v>
      </c>
      <c r="B3550">
        <f>TEXT(3549, "[$-0E0000]yyyy-mm-dd")</f>
        <v/>
      </c>
      <c r="C3550" t="inlineStr">
        <is>
          <t>1909-08-06</t>
        </is>
      </c>
    </row>
    <row r="3551">
      <c r="A3551" s="1" t="n">
        <v>3550</v>
      </c>
      <c r="B3551">
        <f>TEXT(3550, "[$-0E0000]yyyy-mm-dd")</f>
        <v/>
      </c>
      <c r="C3551" t="inlineStr">
        <is>
          <t>1909-08-07</t>
        </is>
      </c>
    </row>
    <row r="3552">
      <c r="A3552" s="1" t="n">
        <v>3551</v>
      </c>
      <c r="B3552">
        <f>TEXT(3551, "[$-0E0000]yyyy-mm-dd")</f>
        <v/>
      </c>
      <c r="C3552" t="inlineStr">
        <is>
          <t>1909-08-08</t>
        </is>
      </c>
    </row>
    <row r="3553">
      <c r="A3553" s="1" t="n">
        <v>3552</v>
      </c>
      <c r="B3553">
        <f>TEXT(3552, "[$-0E0000]yyyy-mm-dd")</f>
        <v/>
      </c>
      <c r="C3553" t="inlineStr">
        <is>
          <t>1909-08-09</t>
        </is>
      </c>
    </row>
    <row r="3554">
      <c r="A3554" s="1" t="n">
        <v>3553</v>
      </c>
      <c r="B3554">
        <f>TEXT(3553, "[$-0E0000]yyyy-mm-dd")</f>
        <v/>
      </c>
      <c r="C3554" t="inlineStr">
        <is>
          <t>1909-08-10</t>
        </is>
      </c>
    </row>
    <row r="3555">
      <c r="A3555" s="1" t="n">
        <v>3554</v>
      </c>
      <c r="B3555">
        <f>TEXT(3554, "[$-0E0000]yyyy-mm-dd")</f>
        <v/>
      </c>
      <c r="C3555" t="inlineStr">
        <is>
          <t>1909-08-11</t>
        </is>
      </c>
    </row>
    <row r="3556">
      <c r="A3556" s="1" t="n">
        <v>3555</v>
      </c>
      <c r="B3556">
        <f>TEXT(3555, "[$-0E0000]yyyy-mm-dd")</f>
        <v/>
      </c>
      <c r="C3556" t="inlineStr">
        <is>
          <t>1909-08-12</t>
        </is>
      </c>
    </row>
    <row r="3557">
      <c r="A3557" s="1" t="n">
        <v>3556</v>
      </c>
      <c r="B3557">
        <f>TEXT(3556, "[$-0E0000]yyyy-mm-dd")</f>
        <v/>
      </c>
      <c r="C3557" t="inlineStr">
        <is>
          <t>1909-08-13</t>
        </is>
      </c>
    </row>
    <row r="3558">
      <c r="A3558" s="1" t="n">
        <v>3557</v>
      </c>
      <c r="B3558">
        <f>TEXT(3557, "[$-0E0000]yyyy-mm-dd")</f>
        <v/>
      </c>
      <c r="C3558" t="inlineStr">
        <is>
          <t>1909-08-14</t>
        </is>
      </c>
    </row>
    <row r="3559">
      <c r="A3559" s="1" t="n">
        <v>3558</v>
      </c>
      <c r="B3559">
        <f>TEXT(3558, "[$-0E0000]yyyy-mm-dd")</f>
        <v/>
      </c>
      <c r="C3559" t="inlineStr">
        <is>
          <t>1909-08-15</t>
        </is>
      </c>
    </row>
    <row r="3560">
      <c r="A3560" s="1" t="n">
        <v>3559</v>
      </c>
      <c r="B3560">
        <f>TEXT(3559, "[$-0E0000]yyyy-mm-dd")</f>
        <v/>
      </c>
      <c r="C3560" t="inlineStr">
        <is>
          <t>1909-08-16</t>
        </is>
      </c>
    </row>
    <row r="3561">
      <c r="A3561" s="1" t="n">
        <v>3560</v>
      </c>
      <c r="B3561">
        <f>TEXT(3560, "[$-0E0000]yyyy-mm-dd")</f>
        <v/>
      </c>
      <c r="C3561" t="inlineStr">
        <is>
          <t>1909-08-17</t>
        </is>
      </c>
    </row>
    <row r="3562">
      <c r="A3562" s="1" t="n">
        <v>3561</v>
      </c>
      <c r="B3562">
        <f>TEXT(3561, "[$-0E0000]yyyy-mm-dd")</f>
        <v/>
      </c>
      <c r="C3562" t="inlineStr">
        <is>
          <t>1909-08-18</t>
        </is>
      </c>
    </row>
    <row r="3563">
      <c r="A3563" s="1" t="n">
        <v>3562</v>
      </c>
      <c r="B3563">
        <f>TEXT(3562, "[$-0E0000]yyyy-mm-dd")</f>
        <v/>
      </c>
      <c r="C3563" t="inlineStr">
        <is>
          <t>1909-08-19</t>
        </is>
      </c>
    </row>
    <row r="3564">
      <c r="A3564" s="1" t="n">
        <v>3563</v>
      </c>
      <c r="B3564">
        <f>TEXT(3563, "[$-0E0000]yyyy-mm-dd")</f>
        <v/>
      </c>
      <c r="C3564" t="inlineStr">
        <is>
          <t>1909-08-20</t>
        </is>
      </c>
    </row>
    <row r="3565">
      <c r="A3565" s="1" t="n">
        <v>3564</v>
      </c>
      <c r="B3565">
        <f>TEXT(3564, "[$-0E0000]yyyy-mm-dd")</f>
        <v/>
      </c>
      <c r="C3565" t="inlineStr">
        <is>
          <t>1909-08-21</t>
        </is>
      </c>
    </row>
    <row r="3566">
      <c r="A3566" s="1" t="n">
        <v>3565</v>
      </c>
      <c r="B3566">
        <f>TEXT(3565, "[$-0E0000]yyyy-mm-dd")</f>
        <v/>
      </c>
      <c r="C3566" t="inlineStr">
        <is>
          <t>1909-08-22</t>
        </is>
      </c>
    </row>
    <row r="3567">
      <c r="A3567" s="1" t="n">
        <v>3566</v>
      </c>
      <c r="B3567">
        <f>TEXT(3566, "[$-0E0000]yyyy-mm-dd")</f>
        <v/>
      </c>
      <c r="C3567" t="inlineStr">
        <is>
          <t>1909-08-23</t>
        </is>
      </c>
    </row>
    <row r="3568">
      <c r="A3568" s="1" t="n">
        <v>3567</v>
      </c>
      <c r="B3568">
        <f>TEXT(3567, "[$-0E0000]yyyy-mm-dd")</f>
        <v/>
      </c>
      <c r="C3568" t="inlineStr">
        <is>
          <t>1909-08-24</t>
        </is>
      </c>
    </row>
    <row r="3569">
      <c r="A3569" s="1" t="n">
        <v>3568</v>
      </c>
      <c r="B3569">
        <f>TEXT(3568, "[$-0E0000]yyyy-mm-dd")</f>
        <v/>
      </c>
      <c r="C3569" t="inlineStr">
        <is>
          <t>1909-08-25</t>
        </is>
      </c>
    </row>
    <row r="3570">
      <c r="A3570" s="1" t="n">
        <v>3569</v>
      </c>
      <c r="B3570">
        <f>TEXT(3569, "[$-0E0000]yyyy-mm-dd")</f>
        <v/>
      </c>
      <c r="C3570" t="inlineStr">
        <is>
          <t>1909-08-26</t>
        </is>
      </c>
    </row>
    <row r="3571">
      <c r="A3571" s="1" t="n">
        <v>3570</v>
      </c>
      <c r="B3571">
        <f>TEXT(3570, "[$-0E0000]yyyy-mm-dd")</f>
        <v/>
      </c>
      <c r="C3571" t="inlineStr">
        <is>
          <t>1909-08-27</t>
        </is>
      </c>
    </row>
    <row r="3572">
      <c r="A3572" s="1" t="n">
        <v>3571</v>
      </c>
      <c r="B3572">
        <f>TEXT(3571, "[$-0E0000]yyyy-mm-dd")</f>
        <v/>
      </c>
      <c r="C3572" t="inlineStr">
        <is>
          <t>1909-08-28</t>
        </is>
      </c>
    </row>
    <row r="3573">
      <c r="A3573" s="1" t="n">
        <v>3572</v>
      </c>
      <c r="B3573">
        <f>TEXT(3572, "[$-0E0000]yyyy-mm-dd")</f>
        <v/>
      </c>
      <c r="C3573" t="inlineStr">
        <is>
          <t>1909-08-29</t>
        </is>
      </c>
    </row>
    <row r="3574">
      <c r="A3574" s="1" t="n">
        <v>3573</v>
      </c>
      <c r="B3574">
        <f>TEXT(3573, "[$-0E0000]yyyy-mm-dd")</f>
        <v/>
      </c>
      <c r="C3574" t="inlineStr">
        <is>
          <t>1909-08-30</t>
        </is>
      </c>
    </row>
    <row r="3575">
      <c r="A3575" s="1" t="n">
        <v>3574</v>
      </c>
      <c r="B3575">
        <f>TEXT(3574, "[$-0E0000]yyyy-mm-dd")</f>
        <v/>
      </c>
      <c r="C3575" t="inlineStr">
        <is>
          <t>1909-09-01</t>
        </is>
      </c>
    </row>
    <row r="3576">
      <c r="A3576" s="1" t="n">
        <v>3575</v>
      </c>
      <c r="B3576">
        <f>TEXT(3575, "[$-0E0000]yyyy-mm-dd")</f>
        <v/>
      </c>
      <c r="C3576" t="inlineStr">
        <is>
          <t>1909-09-02</t>
        </is>
      </c>
    </row>
    <row r="3577">
      <c r="A3577" s="1" t="n">
        <v>3576</v>
      </c>
      <c r="B3577">
        <f>TEXT(3576, "[$-0E0000]yyyy-mm-dd")</f>
        <v/>
      </c>
      <c r="C3577" t="inlineStr">
        <is>
          <t>1909-09-03</t>
        </is>
      </c>
    </row>
    <row r="3578">
      <c r="A3578" s="1" t="n">
        <v>3577</v>
      </c>
      <c r="B3578">
        <f>TEXT(3577, "[$-0E0000]yyyy-mm-dd")</f>
        <v/>
      </c>
      <c r="C3578" t="inlineStr">
        <is>
          <t>1909-09-04</t>
        </is>
      </c>
    </row>
    <row r="3579">
      <c r="A3579" s="1" t="n">
        <v>3578</v>
      </c>
      <c r="B3579">
        <f>TEXT(3578, "[$-0E0000]yyyy-mm-dd")</f>
        <v/>
      </c>
      <c r="C3579" t="inlineStr">
        <is>
          <t>1909-09-05</t>
        </is>
      </c>
    </row>
    <row r="3580">
      <c r="A3580" s="1" t="n">
        <v>3579</v>
      </c>
      <c r="B3580">
        <f>TEXT(3579, "[$-0E0000]yyyy-mm-dd")</f>
        <v/>
      </c>
      <c r="C3580" t="inlineStr">
        <is>
          <t>1909-09-06</t>
        </is>
      </c>
    </row>
    <row r="3581">
      <c r="A3581" s="1" t="n">
        <v>3580</v>
      </c>
      <c r="B3581">
        <f>TEXT(3580, "[$-0E0000]yyyy-mm-dd")</f>
        <v/>
      </c>
      <c r="C3581" t="inlineStr">
        <is>
          <t>1909-09-07</t>
        </is>
      </c>
    </row>
    <row r="3582">
      <c r="A3582" s="1" t="n">
        <v>3581</v>
      </c>
      <c r="B3582">
        <f>TEXT(3581, "[$-0E0000]yyyy-mm-dd")</f>
        <v/>
      </c>
      <c r="C3582" t="inlineStr">
        <is>
          <t>1909-09-08</t>
        </is>
      </c>
    </row>
    <row r="3583">
      <c r="A3583" s="1" t="n">
        <v>3582</v>
      </c>
      <c r="B3583">
        <f>TEXT(3582, "[$-0E0000]yyyy-mm-dd")</f>
        <v/>
      </c>
      <c r="C3583" t="inlineStr">
        <is>
          <t>1909-09-09</t>
        </is>
      </c>
    </row>
    <row r="3584">
      <c r="A3584" s="1" t="n">
        <v>3583</v>
      </c>
      <c r="B3584">
        <f>TEXT(3583, "[$-0E0000]yyyy-mm-dd")</f>
        <v/>
      </c>
      <c r="C3584" t="inlineStr">
        <is>
          <t>1909-09-10</t>
        </is>
      </c>
    </row>
    <row r="3585">
      <c r="A3585" s="1" t="n">
        <v>3584</v>
      </c>
      <c r="B3585">
        <f>TEXT(3584, "[$-0E0000]yyyy-mm-dd")</f>
        <v/>
      </c>
      <c r="C3585" t="inlineStr">
        <is>
          <t>1909-09-11</t>
        </is>
      </c>
    </row>
    <row r="3586">
      <c r="A3586" s="1" t="n">
        <v>3585</v>
      </c>
      <c r="B3586">
        <f>TEXT(3585, "[$-0E0000]yyyy-mm-dd")</f>
        <v/>
      </c>
      <c r="C3586" t="inlineStr">
        <is>
          <t>1909-09-12</t>
        </is>
      </c>
    </row>
    <row r="3587">
      <c r="A3587" s="1" t="n">
        <v>3586</v>
      </c>
      <c r="B3587">
        <f>TEXT(3586, "[$-0E0000]yyyy-mm-dd")</f>
        <v/>
      </c>
      <c r="C3587" t="inlineStr">
        <is>
          <t>1909-09-13</t>
        </is>
      </c>
    </row>
    <row r="3588">
      <c r="A3588" s="1" t="n">
        <v>3587</v>
      </c>
      <c r="B3588">
        <f>TEXT(3587, "[$-0E0000]yyyy-mm-dd")</f>
        <v/>
      </c>
      <c r="C3588" t="inlineStr">
        <is>
          <t>1909-09-14</t>
        </is>
      </c>
    </row>
    <row r="3589">
      <c r="A3589" s="1" t="n">
        <v>3588</v>
      </c>
      <c r="B3589">
        <f>TEXT(3588, "[$-0E0000]yyyy-mm-dd")</f>
        <v/>
      </c>
      <c r="C3589" t="inlineStr">
        <is>
          <t>1909-09-15</t>
        </is>
      </c>
    </row>
    <row r="3590">
      <c r="A3590" s="1" t="n">
        <v>3589</v>
      </c>
      <c r="B3590">
        <f>TEXT(3589, "[$-0E0000]yyyy-mm-dd")</f>
        <v/>
      </c>
      <c r="C3590" t="inlineStr">
        <is>
          <t>1909-09-16</t>
        </is>
      </c>
    </row>
    <row r="3591">
      <c r="A3591" s="1" t="n">
        <v>3590</v>
      </c>
      <c r="B3591">
        <f>TEXT(3590, "[$-0E0000]yyyy-mm-dd")</f>
        <v/>
      </c>
      <c r="C3591" t="inlineStr">
        <is>
          <t>1909-09-17</t>
        </is>
      </c>
    </row>
    <row r="3592">
      <c r="A3592" s="1" t="n">
        <v>3591</v>
      </c>
      <c r="B3592">
        <f>TEXT(3591, "[$-0E0000]yyyy-mm-dd")</f>
        <v/>
      </c>
      <c r="C3592" t="inlineStr">
        <is>
          <t>1909-09-18</t>
        </is>
      </c>
    </row>
    <row r="3593">
      <c r="A3593" s="1" t="n">
        <v>3592</v>
      </c>
      <c r="B3593">
        <f>TEXT(3592, "[$-0E0000]yyyy-mm-dd")</f>
        <v/>
      </c>
      <c r="C3593" t="inlineStr">
        <is>
          <t>1909-09-19</t>
        </is>
      </c>
    </row>
    <row r="3594">
      <c r="A3594" s="1" t="n">
        <v>3593</v>
      </c>
      <c r="B3594">
        <f>TEXT(3593, "[$-0E0000]yyyy-mm-dd")</f>
        <v/>
      </c>
      <c r="C3594" t="inlineStr">
        <is>
          <t>1909-09-20</t>
        </is>
      </c>
    </row>
    <row r="3595">
      <c r="A3595" s="1" t="n">
        <v>3594</v>
      </c>
      <c r="B3595">
        <f>TEXT(3594, "[$-0E0000]yyyy-mm-dd")</f>
        <v/>
      </c>
      <c r="C3595" t="inlineStr">
        <is>
          <t>1909-09-21</t>
        </is>
      </c>
    </row>
    <row r="3596">
      <c r="A3596" s="1" t="n">
        <v>3595</v>
      </c>
      <c r="B3596">
        <f>TEXT(3595, "[$-0E0000]yyyy-mm-dd")</f>
        <v/>
      </c>
      <c r="C3596" t="inlineStr">
        <is>
          <t>1909-09-22</t>
        </is>
      </c>
    </row>
    <row r="3597">
      <c r="A3597" s="1" t="n">
        <v>3596</v>
      </c>
      <c r="B3597">
        <f>TEXT(3596, "[$-0E0000]yyyy-mm-dd")</f>
        <v/>
      </c>
      <c r="C3597" t="inlineStr">
        <is>
          <t>1909-09-23</t>
        </is>
      </c>
    </row>
    <row r="3598">
      <c r="A3598" s="1" t="n">
        <v>3597</v>
      </c>
      <c r="B3598">
        <f>TEXT(3597, "[$-0E0000]yyyy-mm-dd")</f>
        <v/>
      </c>
      <c r="C3598" t="inlineStr">
        <is>
          <t>1909-09-24</t>
        </is>
      </c>
    </row>
    <row r="3599">
      <c r="A3599" s="1" t="n">
        <v>3598</v>
      </c>
      <c r="B3599">
        <f>TEXT(3598, "[$-0E0000]yyyy-mm-dd")</f>
        <v/>
      </c>
      <c r="C3599" t="inlineStr">
        <is>
          <t>1909-09-25</t>
        </is>
      </c>
    </row>
    <row r="3600">
      <c r="A3600" s="1" t="n">
        <v>3599</v>
      </c>
      <c r="B3600">
        <f>TEXT(3599, "[$-0E0000]yyyy-mm-dd")</f>
        <v/>
      </c>
      <c r="C3600" t="inlineStr">
        <is>
          <t>1909-09-26</t>
        </is>
      </c>
    </row>
    <row r="3601">
      <c r="A3601" s="1" t="n">
        <v>3600</v>
      </c>
      <c r="B3601">
        <f>TEXT(3600, "[$-0E0000]yyyy-mm-dd")</f>
        <v/>
      </c>
      <c r="C3601" t="inlineStr">
        <is>
          <t>1909-09-27</t>
        </is>
      </c>
    </row>
    <row r="3602">
      <c r="A3602" s="1" t="n">
        <v>3601</v>
      </c>
      <c r="B3602">
        <f>TEXT(3601, "[$-0E0000]yyyy-mm-dd")</f>
        <v/>
      </c>
      <c r="C3602" t="inlineStr">
        <is>
          <t>1909-09-28</t>
        </is>
      </c>
    </row>
    <row r="3603">
      <c r="A3603" s="1" t="n">
        <v>3602</v>
      </c>
      <c r="B3603">
        <f>TEXT(3602, "[$-0E0000]yyyy-mm-dd")</f>
        <v/>
      </c>
      <c r="C3603" t="inlineStr">
        <is>
          <t>1909-09-29</t>
        </is>
      </c>
    </row>
    <row r="3604">
      <c r="A3604" s="1" t="n">
        <v>3603</v>
      </c>
      <c r="B3604">
        <f>TEXT(3603, "[$-0E0000]yyyy-mm-dd")</f>
        <v/>
      </c>
      <c r="C3604" t="inlineStr">
        <is>
          <t>1909-09-30</t>
        </is>
      </c>
    </row>
    <row r="3605">
      <c r="A3605" s="1" t="n">
        <v>3604</v>
      </c>
      <c r="B3605">
        <f>TEXT(3604, "[$-0E0000]yyyy-mm-dd")</f>
        <v/>
      </c>
      <c r="C3605" t="inlineStr">
        <is>
          <t>1909-10-01</t>
        </is>
      </c>
    </row>
    <row r="3606">
      <c r="A3606" s="1" t="n">
        <v>3605</v>
      </c>
      <c r="B3606">
        <f>TEXT(3605, "[$-0E0000]yyyy-mm-dd")</f>
        <v/>
      </c>
      <c r="C3606" t="inlineStr">
        <is>
          <t>1909-10-02</t>
        </is>
      </c>
    </row>
    <row r="3607">
      <c r="A3607" s="1" t="n">
        <v>3606</v>
      </c>
      <c r="B3607">
        <f>TEXT(3606, "[$-0E0000]yyyy-mm-dd")</f>
        <v/>
      </c>
      <c r="C3607" t="inlineStr">
        <is>
          <t>1909-10-03</t>
        </is>
      </c>
    </row>
    <row r="3608">
      <c r="A3608" s="1" t="n">
        <v>3607</v>
      </c>
      <c r="B3608">
        <f>TEXT(3607, "[$-0E0000]yyyy-mm-dd")</f>
        <v/>
      </c>
      <c r="C3608" t="inlineStr">
        <is>
          <t>1909-10-04</t>
        </is>
      </c>
    </row>
    <row r="3609">
      <c r="A3609" s="1" t="n">
        <v>3608</v>
      </c>
      <c r="B3609">
        <f>TEXT(3608, "[$-0E0000]yyyy-mm-dd")</f>
        <v/>
      </c>
      <c r="C3609" t="inlineStr">
        <is>
          <t>1909-10-05</t>
        </is>
      </c>
    </row>
    <row r="3610">
      <c r="A3610" s="1" t="n">
        <v>3609</v>
      </c>
      <c r="B3610">
        <f>TEXT(3609, "[$-0E0000]yyyy-mm-dd")</f>
        <v/>
      </c>
      <c r="C3610" t="inlineStr">
        <is>
          <t>1909-10-06</t>
        </is>
      </c>
    </row>
    <row r="3611">
      <c r="A3611" s="1" t="n">
        <v>3610</v>
      </c>
      <c r="B3611">
        <f>TEXT(3610, "[$-0E0000]yyyy-mm-dd")</f>
        <v/>
      </c>
      <c r="C3611" t="inlineStr">
        <is>
          <t>1909-10-07</t>
        </is>
      </c>
    </row>
    <row r="3612">
      <c r="A3612" s="1" t="n">
        <v>3611</v>
      </c>
      <c r="B3612">
        <f>TEXT(3611, "[$-0E0000]yyyy-mm-dd")</f>
        <v/>
      </c>
      <c r="C3612" t="inlineStr">
        <is>
          <t>1909-10-08</t>
        </is>
      </c>
    </row>
    <row r="3613">
      <c r="A3613" s="1" t="n">
        <v>3612</v>
      </c>
      <c r="B3613">
        <f>TEXT(3612, "[$-0E0000]yyyy-mm-dd")</f>
        <v/>
      </c>
      <c r="C3613" t="inlineStr">
        <is>
          <t>1909-10-09</t>
        </is>
      </c>
    </row>
    <row r="3614">
      <c r="A3614" s="1" t="n">
        <v>3613</v>
      </c>
      <c r="B3614">
        <f>TEXT(3613, "[$-0E0000]yyyy-mm-dd")</f>
        <v/>
      </c>
      <c r="C3614" t="inlineStr">
        <is>
          <t>1909-10-10</t>
        </is>
      </c>
    </row>
    <row r="3615">
      <c r="A3615" s="1" t="n">
        <v>3614</v>
      </c>
      <c r="B3615">
        <f>TEXT(3614, "[$-0E0000]yyyy-mm-dd")</f>
        <v/>
      </c>
      <c r="C3615" t="inlineStr">
        <is>
          <t>1909-10-11</t>
        </is>
      </c>
    </row>
    <row r="3616">
      <c r="A3616" s="1" t="n">
        <v>3615</v>
      </c>
      <c r="B3616">
        <f>TEXT(3615, "[$-0E0000]yyyy-mm-dd")</f>
        <v/>
      </c>
      <c r="C3616" t="inlineStr">
        <is>
          <t>1909-10-12</t>
        </is>
      </c>
    </row>
    <row r="3617">
      <c r="A3617" s="1" t="n">
        <v>3616</v>
      </c>
      <c r="B3617">
        <f>TEXT(3616, "[$-0E0000]yyyy-mm-dd")</f>
        <v/>
      </c>
      <c r="C3617" t="inlineStr">
        <is>
          <t>1909-10-13</t>
        </is>
      </c>
    </row>
    <row r="3618">
      <c r="A3618" s="1" t="n">
        <v>3617</v>
      </c>
      <c r="B3618">
        <f>TEXT(3617, "[$-0E0000]yyyy-mm-dd")</f>
        <v/>
      </c>
      <c r="C3618" t="inlineStr">
        <is>
          <t>1909-10-14</t>
        </is>
      </c>
    </row>
    <row r="3619">
      <c r="A3619" s="1" t="n">
        <v>3618</v>
      </c>
      <c r="B3619">
        <f>TEXT(3618, "[$-0E0000]yyyy-mm-dd")</f>
        <v/>
      </c>
      <c r="C3619" t="inlineStr">
        <is>
          <t>1909-10-15</t>
        </is>
      </c>
    </row>
    <row r="3620">
      <c r="A3620" s="1" t="n">
        <v>3619</v>
      </c>
      <c r="B3620">
        <f>TEXT(3619, "[$-0E0000]yyyy-mm-dd")</f>
        <v/>
      </c>
      <c r="C3620" t="inlineStr">
        <is>
          <t>1909-10-16</t>
        </is>
      </c>
    </row>
    <row r="3621">
      <c r="A3621" s="1" t="n">
        <v>3620</v>
      </c>
      <c r="B3621">
        <f>TEXT(3620, "[$-0E0000]yyyy-mm-dd")</f>
        <v/>
      </c>
      <c r="C3621" t="inlineStr">
        <is>
          <t>1909-10-17</t>
        </is>
      </c>
    </row>
    <row r="3622">
      <c r="A3622" s="1" t="n">
        <v>3621</v>
      </c>
      <c r="B3622">
        <f>TEXT(3621, "[$-0E0000]yyyy-mm-dd")</f>
        <v/>
      </c>
      <c r="C3622" t="inlineStr">
        <is>
          <t>1909-10-18</t>
        </is>
      </c>
    </row>
    <row r="3623">
      <c r="A3623" s="1" t="n">
        <v>3622</v>
      </c>
      <c r="B3623">
        <f>TEXT(3622, "[$-0E0000]yyyy-mm-dd")</f>
        <v/>
      </c>
      <c r="C3623" t="inlineStr">
        <is>
          <t>1909-10-19</t>
        </is>
      </c>
    </row>
    <row r="3624">
      <c r="A3624" s="1" t="n">
        <v>3623</v>
      </c>
      <c r="B3624">
        <f>TEXT(3623, "[$-0E0000]yyyy-mm-dd")</f>
        <v/>
      </c>
      <c r="C3624" t="inlineStr">
        <is>
          <t>1909-10-20</t>
        </is>
      </c>
    </row>
    <row r="3625">
      <c r="A3625" s="1" t="n">
        <v>3624</v>
      </c>
      <c r="B3625">
        <f>TEXT(3624, "[$-0E0000]yyyy-mm-dd")</f>
        <v/>
      </c>
      <c r="C3625" t="inlineStr">
        <is>
          <t>1909-10-21</t>
        </is>
      </c>
    </row>
    <row r="3626">
      <c r="A3626" s="1" t="n">
        <v>3625</v>
      </c>
      <c r="B3626">
        <f>TEXT(3625, "[$-0E0000]yyyy-mm-dd")</f>
        <v/>
      </c>
      <c r="C3626" t="inlineStr">
        <is>
          <t>1909-10-22</t>
        </is>
      </c>
    </row>
    <row r="3627">
      <c r="A3627" s="1" t="n">
        <v>3626</v>
      </c>
      <c r="B3627">
        <f>TEXT(3626, "[$-0E0000]yyyy-mm-dd")</f>
        <v/>
      </c>
      <c r="C3627" t="inlineStr">
        <is>
          <t>1909-10-23</t>
        </is>
      </c>
    </row>
    <row r="3628">
      <c r="A3628" s="1" t="n">
        <v>3627</v>
      </c>
      <c r="B3628">
        <f>TEXT(3627, "[$-0E0000]yyyy-mm-dd")</f>
        <v/>
      </c>
      <c r="C3628" t="inlineStr">
        <is>
          <t>1909-10-24</t>
        </is>
      </c>
    </row>
    <row r="3629">
      <c r="A3629" s="1" t="n">
        <v>3628</v>
      </c>
      <c r="B3629">
        <f>TEXT(3628, "[$-0E0000]yyyy-mm-dd")</f>
        <v/>
      </c>
      <c r="C3629" t="inlineStr">
        <is>
          <t>1909-10-25</t>
        </is>
      </c>
    </row>
    <row r="3630">
      <c r="A3630" s="1" t="n">
        <v>3629</v>
      </c>
      <c r="B3630">
        <f>TEXT(3629, "[$-0E0000]yyyy-mm-dd")</f>
        <v/>
      </c>
      <c r="C3630" t="inlineStr">
        <is>
          <t>1909-10-26</t>
        </is>
      </c>
    </row>
    <row r="3631">
      <c r="A3631" s="1" t="n">
        <v>3630</v>
      </c>
      <c r="B3631">
        <f>TEXT(3630, "[$-0E0000]yyyy-mm-dd")</f>
        <v/>
      </c>
      <c r="C3631" t="inlineStr">
        <is>
          <t>1909-10-27</t>
        </is>
      </c>
    </row>
    <row r="3632">
      <c r="A3632" s="1" t="n">
        <v>3631</v>
      </c>
      <c r="B3632">
        <f>TEXT(3631, "[$-0E0000]yyyy-mm-dd")</f>
        <v/>
      </c>
      <c r="C3632" t="inlineStr">
        <is>
          <t>1909-10-28</t>
        </is>
      </c>
    </row>
    <row r="3633">
      <c r="A3633" s="1" t="n">
        <v>3632</v>
      </c>
      <c r="B3633">
        <f>TEXT(3632, "[$-0E0000]yyyy-mm-dd")</f>
        <v/>
      </c>
      <c r="C3633" t="inlineStr">
        <is>
          <t>1909-10-29</t>
        </is>
      </c>
    </row>
    <row r="3634">
      <c r="A3634" s="1" t="n">
        <v>3633</v>
      </c>
      <c r="B3634">
        <f>TEXT(3633, "[$-0E0000]yyyy-mm-dd")</f>
        <v/>
      </c>
      <c r="C3634" t="inlineStr">
        <is>
          <t>1909-10-30</t>
        </is>
      </c>
    </row>
    <row r="3635">
      <c r="A3635" s="1" t="n">
        <v>3634</v>
      </c>
      <c r="B3635">
        <f>TEXT(3634, "[$-0E0000]yyyy-mm-dd")</f>
        <v/>
      </c>
      <c r="C3635" t="inlineStr">
        <is>
          <t>1909-11-01</t>
        </is>
      </c>
    </row>
    <row r="3636">
      <c r="A3636" s="1" t="n">
        <v>3635</v>
      </c>
      <c r="B3636">
        <f>TEXT(3635, "[$-0E0000]yyyy-mm-dd")</f>
        <v/>
      </c>
      <c r="C3636" t="inlineStr">
        <is>
          <t>1909-11-02</t>
        </is>
      </c>
    </row>
    <row r="3637">
      <c r="A3637" s="1" t="n">
        <v>3636</v>
      </c>
      <c r="B3637">
        <f>TEXT(3636, "[$-0E0000]yyyy-mm-dd")</f>
        <v/>
      </c>
      <c r="C3637" t="inlineStr">
        <is>
          <t>1909-11-03</t>
        </is>
      </c>
    </row>
    <row r="3638">
      <c r="A3638" s="1" t="n">
        <v>3637</v>
      </c>
      <c r="B3638">
        <f>TEXT(3637, "[$-0E0000]yyyy-mm-dd")</f>
        <v/>
      </c>
      <c r="C3638" t="inlineStr">
        <is>
          <t>1909-11-04</t>
        </is>
      </c>
    </row>
    <row r="3639">
      <c r="A3639" s="1" t="n">
        <v>3638</v>
      </c>
      <c r="B3639">
        <f>TEXT(3638, "[$-0E0000]yyyy-mm-dd")</f>
        <v/>
      </c>
      <c r="C3639" t="inlineStr">
        <is>
          <t>1909-11-05</t>
        </is>
      </c>
    </row>
    <row r="3640">
      <c r="A3640" s="1" t="n">
        <v>3639</v>
      </c>
      <c r="B3640">
        <f>TEXT(3639, "[$-0E0000]yyyy-mm-dd")</f>
        <v/>
      </c>
      <c r="C3640" t="inlineStr">
        <is>
          <t>1909-11-06</t>
        </is>
      </c>
    </row>
    <row r="3641">
      <c r="A3641" s="1" t="n">
        <v>3640</v>
      </c>
      <c r="B3641">
        <f>TEXT(3640, "[$-0E0000]yyyy-mm-dd")</f>
        <v/>
      </c>
      <c r="C3641" t="inlineStr">
        <is>
          <t>1909-11-07</t>
        </is>
      </c>
    </row>
    <row r="3642">
      <c r="A3642" s="1" t="n">
        <v>3641</v>
      </c>
      <c r="B3642">
        <f>TEXT(3641, "[$-0E0000]yyyy-mm-dd")</f>
        <v/>
      </c>
      <c r="C3642" t="inlineStr">
        <is>
          <t>1909-11-08</t>
        </is>
      </c>
    </row>
    <row r="3643">
      <c r="A3643" s="1" t="n">
        <v>3642</v>
      </c>
      <c r="B3643">
        <f>TEXT(3642, "[$-0E0000]yyyy-mm-dd")</f>
        <v/>
      </c>
      <c r="C3643" t="inlineStr">
        <is>
          <t>1909-11-09</t>
        </is>
      </c>
    </row>
    <row r="3644">
      <c r="A3644" s="1" t="n">
        <v>3643</v>
      </c>
      <c r="B3644">
        <f>TEXT(3643, "[$-0E0000]yyyy-mm-dd")</f>
        <v/>
      </c>
      <c r="C3644" t="inlineStr">
        <is>
          <t>1909-11-10</t>
        </is>
      </c>
    </row>
    <row r="3645">
      <c r="A3645" s="1" t="n">
        <v>3644</v>
      </c>
      <c r="B3645">
        <f>TEXT(3644, "[$-0E0000]yyyy-mm-dd")</f>
        <v/>
      </c>
      <c r="C3645" t="inlineStr">
        <is>
          <t>1909-11-11</t>
        </is>
      </c>
    </row>
    <row r="3646">
      <c r="A3646" s="1" t="n">
        <v>3645</v>
      </c>
      <c r="B3646">
        <f>TEXT(3645, "[$-0E0000]yyyy-mm-dd")</f>
        <v/>
      </c>
      <c r="C3646" t="inlineStr">
        <is>
          <t>1909-11-12</t>
        </is>
      </c>
    </row>
    <row r="3647">
      <c r="A3647" s="1" t="n">
        <v>3646</v>
      </c>
      <c r="B3647">
        <f>TEXT(3646, "[$-0E0000]yyyy-mm-dd")</f>
        <v/>
      </c>
      <c r="C3647" t="inlineStr">
        <is>
          <t>1909-11-13</t>
        </is>
      </c>
    </row>
    <row r="3648">
      <c r="A3648" s="1" t="n">
        <v>3647</v>
      </c>
      <c r="B3648">
        <f>TEXT(3647, "[$-0E0000]yyyy-mm-dd")</f>
        <v/>
      </c>
      <c r="C3648" t="inlineStr">
        <is>
          <t>1909-11-14</t>
        </is>
      </c>
    </row>
    <row r="3649">
      <c r="A3649" s="1" t="n">
        <v>3648</v>
      </c>
      <c r="B3649">
        <f>TEXT(3648, "[$-0E0000]yyyy-mm-dd")</f>
        <v/>
      </c>
      <c r="C3649" t="inlineStr">
        <is>
          <t>1909-11-15</t>
        </is>
      </c>
    </row>
    <row r="3650">
      <c r="A3650" s="1" t="n">
        <v>3649</v>
      </c>
      <c r="B3650">
        <f>TEXT(3649, "[$-0E0000]yyyy-mm-dd")</f>
        <v/>
      </c>
      <c r="C3650" t="inlineStr">
        <is>
          <t>1909-11-16</t>
        </is>
      </c>
    </row>
    <row r="3651">
      <c r="A3651" s="1" t="n">
        <v>3650</v>
      </c>
      <c r="B3651">
        <f>TEXT(3650, "[$-0E0000]yyyy-mm-dd")</f>
        <v/>
      </c>
      <c r="C3651" t="inlineStr">
        <is>
          <t>1909-11-17</t>
        </is>
      </c>
    </row>
    <row r="3652">
      <c r="A3652" s="1" t="n">
        <v>3651</v>
      </c>
      <c r="B3652">
        <f>TEXT(3651, "[$-0E0000]yyyy-mm-dd")</f>
        <v/>
      </c>
      <c r="C3652" t="inlineStr">
        <is>
          <t>1909-11-18</t>
        </is>
      </c>
    </row>
    <row r="3653">
      <c r="A3653" s="1" t="n">
        <v>3652</v>
      </c>
      <c r="B3653">
        <f>TEXT(3652, "[$-0E0000]yyyy-mm-dd")</f>
        <v/>
      </c>
      <c r="C3653" t="inlineStr">
        <is>
          <t>1909-11-19</t>
        </is>
      </c>
    </row>
    <row r="3654">
      <c r="A3654" s="1" t="n">
        <v>3653</v>
      </c>
      <c r="B3654">
        <f>TEXT(3653, "[$-0E0000]yyyy-mm-dd")</f>
        <v/>
      </c>
      <c r="C3654" t="inlineStr">
        <is>
          <t>1909-11-20</t>
        </is>
      </c>
    </row>
    <row r="3655">
      <c r="A3655" s="1" t="n">
        <v>3654</v>
      </c>
      <c r="B3655">
        <f>TEXT(3654, "[$-0E0000]yyyy-mm-dd")</f>
        <v/>
      </c>
      <c r="C3655" t="inlineStr">
        <is>
          <t>1909-11-21</t>
        </is>
      </c>
    </row>
    <row r="3656">
      <c r="A3656" s="1" t="n">
        <v>3655</v>
      </c>
      <c r="B3656">
        <f>TEXT(3655, "[$-0E0000]yyyy-mm-dd")</f>
        <v/>
      </c>
      <c r="C3656" t="inlineStr">
        <is>
          <t>1909-11-22</t>
        </is>
      </c>
    </row>
    <row r="3657">
      <c r="A3657" s="1" t="n">
        <v>3656</v>
      </c>
      <c r="B3657">
        <f>TEXT(3656, "[$-0E0000]yyyy-mm-dd")</f>
        <v/>
      </c>
      <c r="C3657" t="inlineStr">
        <is>
          <t>1909-11-23</t>
        </is>
      </c>
    </row>
    <row r="3658">
      <c r="A3658" s="1" t="n">
        <v>3657</v>
      </c>
      <c r="B3658">
        <f>TEXT(3657, "[$-0E0000]yyyy-mm-dd")</f>
        <v/>
      </c>
      <c r="C3658" t="inlineStr">
        <is>
          <t>1909-11-24</t>
        </is>
      </c>
    </row>
    <row r="3659">
      <c r="A3659" s="1" t="n">
        <v>3658</v>
      </c>
      <c r="B3659">
        <f>TEXT(3658, "[$-0E0000]yyyy-mm-dd")</f>
        <v/>
      </c>
      <c r="C3659" t="inlineStr">
        <is>
          <t>1909-11-25</t>
        </is>
      </c>
    </row>
    <row r="3660">
      <c r="A3660" s="1" t="n">
        <v>3659</v>
      </c>
      <c r="B3660">
        <f>TEXT(3659, "[$-0E0000]yyyy-mm-dd")</f>
        <v/>
      </c>
      <c r="C3660" t="inlineStr">
        <is>
          <t>1909-11-26</t>
        </is>
      </c>
    </row>
    <row r="3661">
      <c r="A3661" s="1" t="n">
        <v>3660</v>
      </c>
      <c r="B3661">
        <f>TEXT(3660, "[$-0E0000]yyyy-mm-dd")</f>
        <v/>
      </c>
      <c r="C3661" t="inlineStr">
        <is>
          <t>1909-11-27</t>
        </is>
      </c>
    </row>
    <row r="3662">
      <c r="A3662" s="1" t="n">
        <v>3661</v>
      </c>
      <c r="B3662">
        <f>TEXT(3661, "[$-0E0000]yyyy-mm-dd")</f>
        <v/>
      </c>
      <c r="C3662" t="inlineStr">
        <is>
          <t>1909-11-28</t>
        </is>
      </c>
    </row>
    <row r="3663">
      <c r="A3663" s="1" t="n">
        <v>3662</v>
      </c>
      <c r="B3663">
        <f>TEXT(3662, "[$-0E0000]yyyy-mm-dd")</f>
        <v/>
      </c>
      <c r="C3663" t="inlineStr">
        <is>
          <t>1909-11-29</t>
        </is>
      </c>
    </row>
    <row r="3664">
      <c r="A3664" s="1" t="n">
        <v>3663</v>
      </c>
      <c r="B3664">
        <f>TEXT(3663, "[$-0E0000]yyyy-mm-dd")</f>
        <v/>
      </c>
      <c r="C3664" t="inlineStr">
        <is>
          <t>1909-12-01</t>
        </is>
      </c>
    </row>
    <row r="3665">
      <c r="A3665" s="1" t="n">
        <v>3664</v>
      </c>
      <c r="B3665">
        <f>TEXT(3664, "[$-0E0000]yyyy-mm-dd")</f>
        <v/>
      </c>
      <c r="C3665" t="inlineStr">
        <is>
          <t>1909-12-02</t>
        </is>
      </c>
    </row>
    <row r="3666">
      <c r="A3666" s="1" t="n">
        <v>3665</v>
      </c>
      <c r="B3666">
        <f>TEXT(3665, "[$-0E0000]yyyy-mm-dd")</f>
        <v/>
      </c>
      <c r="C3666" t="inlineStr">
        <is>
          <t>1909-12-03</t>
        </is>
      </c>
    </row>
    <row r="3667">
      <c r="A3667" s="1" t="n">
        <v>3666</v>
      </c>
      <c r="B3667">
        <f>TEXT(3666, "[$-0E0000]yyyy-mm-dd")</f>
        <v/>
      </c>
      <c r="C3667" t="inlineStr">
        <is>
          <t>1909-12-04</t>
        </is>
      </c>
    </row>
    <row r="3668">
      <c r="A3668" s="1" t="n">
        <v>3667</v>
      </c>
      <c r="B3668">
        <f>TEXT(3667, "[$-0E0000]yyyy-mm-dd")</f>
        <v/>
      </c>
      <c r="C3668" t="inlineStr">
        <is>
          <t>1909-12-05</t>
        </is>
      </c>
    </row>
    <row r="3669">
      <c r="A3669" s="1" t="n">
        <v>3668</v>
      </c>
      <c r="B3669">
        <f>TEXT(3668, "[$-0E0000]yyyy-mm-dd")</f>
        <v/>
      </c>
      <c r="C3669" t="inlineStr">
        <is>
          <t>1909-12-06</t>
        </is>
      </c>
    </row>
    <row r="3670">
      <c r="A3670" s="1" t="n">
        <v>3669</v>
      </c>
      <c r="B3670">
        <f>TEXT(3669, "[$-0E0000]yyyy-mm-dd")</f>
        <v/>
      </c>
      <c r="C3670" t="inlineStr">
        <is>
          <t>1909-12-07</t>
        </is>
      </c>
    </row>
    <row r="3671">
      <c r="A3671" s="1" t="n">
        <v>3670</v>
      </c>
      <c r="B3671">
        <f>TEXT(3670, "[$-0E0000]yyyy-mm-dd")</f>
        <v/>
      </c>
      <c r="C3671" t="inlineStr">
        <is>
          <t>1909-12-08</t>
        </is>
      </c>
    </row>
    <row r="3672">
      <c r="A3672" s="1" t="n">
        <v>3671</v>
      </c>
      <c r="B3672">
        <f>TEXT(3671, "[$-0E0000]yyyy-mm-dd")</f>
        <v/>
      </c>
      <c r="C3672" t="inlineStr">
        <is>
          <t>1909-12-09</t>
        </is>
      </c>
    </row>
    <row r="3673">
      <c r="A3673" s="1" t="n">
        <v>3672</v>
      </c>
      <c r="B3673">
        <f>TEXT(3672, "[$-0E0000]yyyy-mm-dd")</f>
        <v/>
      </c>
      <c r="C3673" t="inlineStr">
        <is>
          <t>1909-12-10</t>
        </is>
      </c>
    </row>
    <row r="3674">
      <c r="A3674" s="1" t="n">
        <v>3673</v>
      </c>
      <c r="B3674">
        <f>TEXT(3673, "[$-0E0000]yyyy-mm-dd")</f>
        <v/>
      </c>
      <c r="C3674" t="inlineStr">
        <is>
          <t>1909-12-11</t>
        </is>
      </c>
    </row>
    <row r="3675">
      <c r="A3675" s="1" t="n">
        <v>3674</v>
      </c>
      <c r="B3675">
        <f>TEXT(3674, "[$-0E0000]yyyy-mm-dd")</f>
        <v/>
      </c>
      <c r="C3675" t="inlineStr">
        <is>
          <t>1909-12-12</t>
        </is>
      </c>
    </row>
    <row r="3676">
      <c r="A3676" s="1" t="n">
        <v>3675</v>
      </c>
      <c r="B3676">
        <f>TEXT(3675, "[$-0E0000]yyyy-mm-dd")</f>
        <v/>
      </c>
      <c r="C3676" t="inlineStr">
        <is>
          <t>1909-12-13</t>
        </is>
      </c>
    </row>
    <row r="3677">
      <c r="A3677" s="1" t="n">
        <v>3676</v>
      </c>
      <c r="B3677">
        <f>TEXT(3676, "[$-0E0000]yyyy-mm-dd")</f>
        <v/>
      </c>
      <c r="C3677" t="inlineStr">
        <is>
          <t>1909-12-14</t>
        </is>
      </c>
    </row>
    <row r="3678">
      <c r="A3678" s="1" t="n">
        <v>3677</v>
      </c>
      <c r="B3678">
        <f>TEXT(3677, "[$-0E0000]yyyy-mm-dd")</f>
        <v/>
      </c>
      <c r="C3678" t="inlineStr">
        <is>
          <t>1909-12-15</t>
        </is>
      </c>
    </row>
    <row r="3679">
      <c r="A3679" s="1" t="n">
        <v>3678</v>
      </c>
      <c r="B3679">
        <f>TEXT(3678, "[$-0E0000]yyyy-mm-dd")</f>
        <v/>
      </c>
      <c r="C3679" t="inlineStr">
        <is>
          <t>1909-12-16</t>
        </is>
      </c>
    </row>
    <row r="3680">
      <c r="A3680" s="1" t="n">
        <v>3679</v>
      </c>
      <c r="B3680">
        <f>TEXT(3679, "[$-0E0000]yyyy-mm-dd")</f>
        <v/>
      </c>
      <c r="C3680" t="inlineStr">
        <is>
          <t>1909-12-17</t>
        </is>
      </c>
    </row>
    <row r="3681">
      <c r="A3681" s="1" t="n">
        <v>3680</v>
      </c>
      <c r="B3681">
        <f>TEXT(3680, "[$-0E0000]yyyy-mm-dd")</f>
        <v/>
      </c>
      <c r="C3681" t="inlineStr">
        <is>
          <t>1909-12-18</t>
        </is>
      </c>
    </row>
    <row r="3682">
      <c r="A3682" s="1" t="n">
        <v>3681</v>
      </c>
      <c r="B3682">
        <f>TEXT(3681, "[$-0E0000]yyyy-mm-dd")</f>
        <v/>
      </c>
      <c r="C3682" t="inlineStr">
        <is>
          <t>1909-12-19</t>
        </is>
      </c>
    </row>
    <row r="3683">
      <c r="A3683" s="1" t="n">
        <v>3682</v>
      </c>
      <c r="B3683">
        <f>TEXT(3682, "[$-0E0000]yyyy-mm-dd")</f>
        <v/>
      </c>
      <c r="C3683" t="inlineStr">
        <is>
          <t>1909-12-20</t>
        </is>
      </c>
    </row>
    <row r="3684">
      <c r="A3684" s="1" t="n">
        <v>3683</v>
      </c>
      <c r="B3684">
        <f>TEXT(3683, "[$-0E0000]yyyy-mm-dd")</f>
        <v/>
      </c>
      <c r="C3684" t="inlineStr">
        <is>
          <t>1909-12-21</t>
        </is>
      </c>
    </row>
    <row r="3685">
      <c r="A3685" s="1" t="n">
        <v>3684</v>
      </c>
      <c r="B3685">
        <f>TEXT(3684, "[$-0E0000]yyyy-mm-dd")</f>
        <v/>
      </c>
      <c r="C3685" t="inlineStr">
        <is>
          <t>1909-12-22</t>
        </is>
      </c>
    </row>
    <row r="3686">
      <c r="A3686" s="1" t="n">
        <v>3685</v>
      </c>
      <c r="B3686">
        <f>TEXT(3685, "[$-0E0000]yyyy-mm-dd")</f>
        <v/>
      </c>
      <c r="C3686" t="inlineStr">
        <is>
          <t>1909-12-23</t>
        </is>
      </c>
    </row>
    <row r="3687">
      <c r="A3687" s="1" t="n">
        <v>3686</v>
      </c>
      <c r="B3687">
        <f>TEXT(3686, "[$-0E0000]yyyy-mm-dd")</f>
        <v/>
      </c>
      <c r="C3687" t="inlineStr">
        <is>
          <t>1909-12-24</t>
        </is>
      </c>
    </row>
    <row r="3688">
      <c r="A3688" s="1" t="n">
        <v>3687</v>
      </c>
      <c r="B3688">
        <f>TEXT(3687, "[$-0E0000]yyyy-mm-dd")</f>
        <v/>
      </c>
      <c r="C3688" t="inlineStr">
        <is>
          <t>1909-12-25</t>
        </is>
      </c>
    </row>
    <row r="3689">
      <c r="A3689" s="1" t="n">
        <v>3688</v>
      </c>
      <c r="B3689">
        <f>TEXT(3688, "[$-0E0000]yyyy-mm-dd")</f>
        <v/>
      </c>
      <c r="C3689" t="inlineStr">
        <is>
          <t>1909-12-26</t>
        </is>
      </c>
    </row>
    <row r="3690">
      <c r="A3690" s="1" t="n">
        <v>3689</v>
      </c>
      <c r="B3690">
        <f>TEXT(3689, "[$-0E0000]yyyy-mm-dd")</f>
        <v/>
      </c>
      <c r="C3690" t="inlineStr">
        <is>
          <t>1909-12-27</t>
        </is>
      </c>
    </row>
    <row r="3691">
      <c r="A3691" s="1" t="n">
        <v>3690</v>
      </c>
      <c r="B3691">
        <f>TEXT(3690, "[$-0E0000]yyyy-mm-dd")</f>
        <v/>
      </c>
      <c r="C3691" t="inlineStr">
        <is>
          <t>1909-12-28</t>
        </is>
      </c>
    </row>
    <row r="3692">
      <c r="A3692" s="1" t="n">
        <v>3691</v>
      </c>
      <c r="B3692">
        <f>TEXT(3691, "[$-0E0000]yyyy-mm-dd")</f>
        <v/>
      </c>
      <c r="C3692" t="inlineStr">
        <is>
          <t>1909-12-29</t>
        </is>
      </c>
    </row>
    <row r="3693">
      <c r="A3693" s="1" t="n">
        <v>3692</v>
      </c>
      <c r="B3693">
        <f>TEXT(3692, "[$-0E0000]yyyy-mm-dd")</f>
        <v/>
      </c>
      <c r="C3693" t="inlineStr">
        <is>
          <t>1909-12-30</t>
        </is>
      </c>
    </row>
    <row r="3694">
      <c r="A3694" s="1" t="n">
        <v>3693</v>
      </c>
      <c r="B3694">
        <f>TEXT(3693, "[$-0E0000]yyyy-mm-dd")</f>
        <v/>
      </c>
      <c r="C3694" t="inlineStr">
        <is>
          <t>1910-01-01</t>
        </is>
      </c>
    </row>
    <row r="3695">
      <c r="A3695" s="1" t="n">
        <v>3694</v>
      </c>
      <c r="B3695">
        <f>TEXT(3694, "[$-0E0000]yyyy-mm-dd")</f>
        <v/>
      </c>
      <c r="C3695" t="inlineStr">
        <is>
          <t>1910-01-02</t>
        </is>
      </c>
    </row>
    <row r="3696">
      <c r="A3696" s="1" t="n">
        <v>3695</v>
      </c>
      <c r="B3696">
        <f>TEXT(3695, "[$-0E0000]yyyy-mm-dd")</f>
        <v/>
      </c>
      <c r="C3696" t="inlineStr">
        <is>
          <t>1910-01-03</t>
        </is>
      </c>
    </row>
    <row r="3697">
      <c r="A3697" s="1" t="n">
        <v>3696</v>
      </c>
      <c r="B3697">
        <f>TEXT(3696, "[$-0E0000]yyyy-mm-dd")</f>
        <v/>
      </c>
      <c r="C3697" t="inlineStr">
        <is>
          <t>1910-01-04</t>
        </is>
      </c>
    </row>
    <row r="3698">
      <c r="A3698" s="1" t="n">
        <v>3697</v>
      </c>
      <c r="B3698">
        <f>TEXT(3697, "[$-0E0000]yyyy-mm-dd")</f>
        <v/>
      </c>
      <c r="C3698" t="inlineStr">
        <is>
          <t>1910-01-05</t>
        </is>
      </c>
    </row>
    <row r="3699">
      <c r="A3699" s="1" t="n">
        <v>3698</v>
      </c>
      <c r="B3699">
        <f>TEXT(3698, "[$-0E0000]yyyy-mm-dd")</f>
        <v/>
      </c>
      <c r="C3699" t="inlineStr">
        <is>
          <t>1910-01-06</t>
        </is>
      </c>
    </row>
    <row r="3700">
      <c r="A3700" s="1" t="n">
        <v>3699</v>
      </c>
      <c r="B3700">
        <f>TEXT(3699, "[$-0E0000]yyyy-mm-dd")</f>
        <v/>
      </c>
      <c r="C3700" t="inlineStr">
        <is>
          <t>1910-01-07</t>
        </is>
      </c>
    </row>
    <row r="3701">
      <c r="A3701" s="1" t="n">
        <v>3700</v>
      </c>
      <c r="B3701">
        <f>TEXT(3700, "[$-0E0000]yyyy-mm-dd")</f>
        <v/>
      </c>
      <c r="C3701" t="inlineStr">
        <is>
          <t>1910-01-08</t>
        </is>
      </c>
    </row>
    <row r="3702">
      <c r="A3702" s="1" t="n">
        <v>3701</v>
      </c>
      <c r="B3702">
        <f>TEXT(3701, "[$-0E0000]yyyy-mm-dd")</f>
        <v/>
      </c>
      <c r="C3702" t="inlineStr">
        <is>
          <t>1910-01-09</t>
        </is>
      </c>
    </row>
    <row r="3703">
      <c r="A3703" s="1" t="n">
        <v>3702</v>
      </c>
      <c r="B3703">
        <f>TEXT(3702, "[$-0E0000]yyyy-mm-dd")</f>
        <v/>
      </c>
      <c r="C3703" t="inlineStr">
        <is>
          <t>1910-01-10</t>
        </is>
      </c>
    </row>
    <row r="3704">
      <c r="A3704" s="1" t="n">
        <v>3703</v>
      </c>
      <c r="B3704">
        <f>TEXT(3703, "[$-0E0000]yyyy-mm-dd")</f>
        <v/>
      </c>
      <c r="C3704" t="inlineStr">
        <is>
          <t>1910-01-11</t>
        </is>
      </c>
    </row>
    <row r="3705">
      <c r="A3705" s="1" t="n">
        <v>3704</v>
      </c>
      <c r="B3705">
        <f>TEXT(3704, "[$-0E0000]yyyy-mm-dd")</f>
        <v/>
      </c>
      <c r="C3705" t="inlineStr">
        <is>
          <t>1910-01-12</t>
        </is>
      </c>
    </row>
    <row r="3706">
      <c r="A3706" s="1" t="n">
        <v>3705</v>
      </c>
      <c r="B3706">
        <f>TEXT(3705, "[$-0E0000]yyyy-mm-dd")</f>
        <v/>
      </c>
      <c r="C3706" t="inlineStr">
        <is>
          <t>1910-01-13</t>
        </is>
      </c>
    </row>
    <row r="3707">
      <c r="A3707" s="1" t="n">
        <v>3706</v>
      </c>
      <c r="B3707">
        <f>TEXT(3706, "[$-0E0000]yyyy-mm-dd")</f>
        <v/>
      </c>
      <c r="C3707" t="inlineStr">
        <is>
          <t>1910-01-14</t>
        </is>
      </c>
    </row>
    <row r="3708">
      <c r="A3708" s="1" t="n">
        <v>3707</v>
      </c>
      <c r="B3708">
        <f>TEXT(3707, "[$-0E0000]yyyy-mm-dd")</f>
        <v/>
      </c>
      <c r="C3708" t="inlineStr">
        <is>
          <t>1910-01-15</t>
        </is>
      </c>
    </row>
    <row r="3709">
      <c r="A3709" s="1" t="n">
        <v>3708</v>
      </c>
      <c r="B3709">
        <f>TEXT(3708, "[$-0E0000]yyyy-mm-dd")</f>
        <v/>
      </c>
      <c r="C3709" t="inlineStr">
        <is>
          <t>1910-01-16</t>
        </is>
      </c>
    </row>
    <row r="3710">
      <c r="A3710" s="1" t="n">
        <v>3709</v>
      </c>
      <c r="B3710">
        <f>TEXT(3709, "[$-0E0000]yyyy-mm-dd")</f>
        <v/>
      </c>
      <c r="C3710" t="inlineStr">
        <is>
          <t>1910-01-17</t>
        </is>
      </c>
    </row>
    <row r="3711">
      <c r="A3711" s="1" t="n">
        <v>3710</v>
      </c>
      <c r="B3711">
        <f>TEXT(3710, "[$-0E0000]yyyy-mm-dd")</f>
        <v/>
      </c>
      <c r="C3711" t="inlineStr">
        <is>
          <t>1910-01-18</t>
        </is>
      </c>
    </row>
    <row r="3712">
      <c r="A3712" s="1" t="n">
        <v>3711</v>
      </c>
      <c r="B3712">
        <f>TEXT(3711, "[$-0E0000]yyyy-mm-dd")</f>
        <v/>
      </c>
      <c r="C3712" t="inlineStr">
        <is>
          <t>1910-01-19</t>
        </is>
      </c>
    </row>
    <row r="3713">
      <c r="A3713" s="1" t="n">
        <v>3712</v>
      </c>
      <c r="B3713">
        <f>TEXT(3712, "[$-0E0000]yyyy-mm-dd")</f>
        <v/>
      </c>
      <c r="C3713" t="inlineStr">
        <is>
          <t>1910-01-20</t>
        </is>
      </c>
    </row>
    <row r="3714">
      <c r="A3714" s="1" t="n">
        <v>3713</v>
      </c>
      <c r="B3714">
        <f>TEXT(3713, "[$-0E0000]yyyy-mm-dd")</f>
        <v/>
      </c>
      <c r="C3714" t="inlineStr">
        <is>
          <t>1910-01-21</t>
        </is>
      </c>
    </row>
    <row r="3715">
      <c r="A3715" s="1" t="n">
        <v>3714</v>
      </c>
      <c r="B3715">
        <f>TEXT(3714, "[$-0E0000]yyyy-mm-dd")</f>
        <v/>
      </c>
      <c r="C3715" t="inlineStr">
        <is>
          <t>1910-01-22</t>
        </is>
      </c>
    </row>
    <row r="3716">
      <c r="A3716" s="1" t="n">
        <v>3715</v>
      </c>
      <c r="B3716">
        <f>TEXT(3715, "[$-0E0000]yyyy-mm-dd")</f>
        <v/>
      </c>
      <c r="C3716" t="inlineStr">
        <is>
          <t>1910-01-23</t>
        </is>
      </c>
    </row>
    <row r="3717">
      <c r="A3717" s="1" t="n">
        <v>3716</v>
      </c>
      <c r="B3717">
        <f>TEXT(3716, "[$-0E0000]yyyy-mm-dd")</f>
        <v/>
      </c>
      <c r="C3717" t="inlineStr">
        <is>
          <t>1910-01-24</t>
        </is>
      </c>
    </row>
    <row r="3718">
      <c r="A3718" s="1" t="n">
        <v>3717</v>
      </c>
      <c r="B3718">
        <f>TEXT(3717, "[$-0E0000]yyyy-mm-dd")</f>
        <v/>
      </c>
      <c r="C3718" t="inlineStr">
        <is>
          <t>1910-01-25</t>
        </is>
      </c>
    </row>
    <row r="3719">
      <c r="A3719" s="1" t="n">
        <v>3718</v>
      </c>
      <c r="B3719">
        <f>TEXT(3718, "[$-0E0000]yyyy-mm-dd")</f>
        <v/>
      </c>
      <c r="C3719" t="inlineStr">
        <is>
          <t>1910-01-26</t>
        </is>
      </c>
    </row>
    <row r="3720">
      <c r="A3720" s="1" t="n">
        <v>3719</v>
      </c>
      <c r="B3720">
        <f>TEXT(3719, "[$-0E0000]yyyy-mm-dd")</f>
        <v/>
      </c>
      <c r="C3720" t="inlineStr">
        <is>
          <t>1910-01-27</t>
        </is>
      </c>
    </row>
    <row r="3721">
      <c r="A3721" s="1" t="n">
        <v>3720</v>
      </c>
      <c r="B3721">
        <f>TEXT(3720, "[$-0E0000]yyyy-mm-dd")</f>
        <v/>
      </c>
      <c r="C3721" t="inlineStr">
        <is>
          <t>1910-01-28</t>
        </is>
      </c>
    </row>
    <row r="3722">
      <c r="A3722" s="1" t="n">
        <v>3721</v>
      </c>
      <c r="B3722">
        <f>TEXT(3721, "[$-0E0000]yyyy-mm-dd")</f>
        <v/>
      </c>
      <c r="C3722" t="inlineStr">
        <is>
          <t>1910-01-29</t>
        </is>
      </c>
    </row>
    <row r="3723">
      <c r="A3723" s="1" t="n">
        <v>3722</v>
      </c>
      <c r="B3723">
        <f>TEXT(3722, "[$-0E0000]yyyy-mm-dd")</f>
        <v/>
      </c>
      <c r="C3723" t="inlineStr">
        <is>
          <t>1910-02-01</t>
        </is>
      </c>
    </row>
    <row r="3724">
      <c r="A3724" s="1" t="n">
        <v>3723</v>
      </c>
      <c r="B3724">
        <f>TEXT(3723, "[$-0E0000]yyyy-mm-dd")</f>
        <v/>
      </c>
      <c r="C3724" t="inlineStr">
        <is>
          <t>1910-02-02</t>
        </is>
      </c>
    </row>
    <row r="3725">
      <c r="A3725" s="1" t="n">
        <v>3724</v>
      </c>
      <c r="B3725">
        <f>TEXT(3724, "[$-0E0000]yyyy-mm-dd")</f>
        <v/>
      </c>
      <c r="C3725" t="inlineStr">
        <is>
          <t>1910-02-03</t>
        </is>
      </c>
    </row>
    <row r="3726">
      <c r="A3726" s="1" t="n">
        <v>3725</v>
      </c>
      <c r="B3726">
        <f>TEXT(3725, "[$-0E0000]yyyy-mm-dd")</f>
        <v/>
      </c>
      <c r="C3726" t="inlineStr">
        <is>
          <t>1910-02-04</t>
        </is>
      </c>
    </row>
    <row r="3727">
      <c r="A3727" s="1" t="n">
        <v>3726</v>
      </c>
      <c r="B3727">
        <f>TEXT(3726, "[$-0E0000]yyyy-mm-dd")</f>
        <v/>
      </c>
      <c r="C3727" t="inlineStr">
        <is>
          <t>1910-02-05</t>
        </is>
      </c>
    </row>
    <row r="3728">
      <c r="A3728" s="1" t="n">
        <v>3727</v>
      </c>
      <c r="B3728">
        <f>TEXT(3727, "[$-0E0000]yyyy-mm-dd")</f>
        <v/>
      </c>
      <c r="C3728" t="inlineStr">
        <is>
          <t>1910-02-06</t>
        </is>
      </c>
    </row>
    <row r="3729">
      <c r="A3729" s="1" t="n">
        <v>3728</v>
      </c>
      <c r="B3729">
        <f>TEXT(3728, "[$-0E0000]yyyy-mm-dd")</f>
        <v/>
      </c>
      <c r="C3729" t="inlineStr">
        <is>
          <t>1910-02-07</t>
        </is>
      </c>
    </row>
    <row r="3730">
      <c r="A3730" s="1" t="n">
        <v>3729</v>
      </c>
      <c r="B3730">
        <f>TEXT(3729, "[$-0E0000]yyyy-mm-dd")</f>
        <v/>
      </c>
      <c r="C3730" t="inlineStr">
        <is>
          <t>1910-02-08</t>
        </is>
      </c>
    </row>
    <row r="3731">
      <c r="A3731" s="1" t="n">
        <v>3730</v>
      </c>
      <c r="B3731">
        <f>TEXT(3730, "[$-0E0000]yyyy-mm-dd")</f>
        <v/>
      </c>
      <c r="C3731" t="inlineStr">
        <is>
          <t>1910-02-09</t>
        </is>
      </c>
    </row>
    <row r="3732">
      <c r="A3732" s="1" t="n">
        <v>3731</v>
      </c>
      <c r="B3732">
        <f>TEXT(3731, "[$-0E0000]yyyy-mm-dd")</f>
        <v/>
      </c>
      <c r="C3732" t="inlineStr">
        <is>
          <t>1910-02-10</t>
        </is>
      </c>
    </row>
    <row r="3733">
      <c r="A3733" s="1" t="n">
        <v>3732</v>
      </c>
      <c r="B3733">
        <f>TEXT(3732, "[$-0E0000]yyyy-mm-dd")</f>
        <v/>
      </c>
      <c r="C3733" t="inlineStr">
        <is>
          <t>1910-02-11</t>
        </is>
      </c>
    </row>
    <row r="3734">
      <c r="A3734" s="1" t="n">
        <v>3733</v>
      </c>
      <c r="B3734">
        <f>TEXT(3733, "[$-0E0000]yyyy-mm-dd")</f>
        <v/>
      </c>
      <c r="C3734" t="inlineStr">
        <is>
          <t>1910-02-12</t>
        </is>
      </c>
    </row>
    <row r="3735">
      <c r="A3735" s="1" t="n">
        <v>3734</v>
      </c>
      <c r="B3735">
        <f>TEXT(3734, "[$-0E0000]yyyy-mm-dd")</f>
        <v/>
      </c>
      <c r="C3735" t="inlineStr">
        <is>
          <t>1910-02-13</t>
        </is>
      </c>
    </row>
    <row r="3736">
      <c r="A3736" s="1" t="n">
        <v>3735</v>
      </c>
      <c r="B3736">
        <f>TEXT(3735, "[$-0E0000]yyyy-mm-dd")</f>
        <v/>
      </c>
      <c r="C3736" t="inlineStr">
        <is>
          <t>1910-02-14</t>
        </is>
      </c>
    </row>
    <row r="3737">
      <c r="A3737" s="1" t="n">
        <v>3736</v>
      </c>
      <c r="B3737">
        <f>TEXT(3736, "[$-0E0000]yyyy-mm-dd")</f>
        <v/>
      </c>
      <c r="C3737" t="inlineStr">
        <is>
          <t>1910-02-15</t>
        </is>
      </c>
    </row>
    <row r="3738">
      <c r="A3738" s="1" t="n">
        <v>3737</v>
      </c>
      <c r="B3738">
        <f>TEXT(3737, "[$-0E0000]yyyy-mm-dd")</f>
        <v/>
      </c>
      <c r="C3738" t="inlineStr">
        <is>
          <t>1910-02-16</t>
        </is>
      </c>
    </row>
    <row r="3739">
      <c r="A3739" s="1" t="n">
        <v>3738</v>
      </c>
      <c r="B3739">
        <f>TEXT(3738, "[$-0E0000]yyyy-mm-dd")</f>
        <v/>
      </c>
      <c r="C3739" t="inlineStr">
        <is>
          <t>1910-02-17</t>
        </is>
      </c>
    </row>
    <row r="3740">
      <c r="A3740" s="1" t="n">
        <v>3739</v>
      </c>
      <c r="B3740">
        <f>TEXT(3739, "[$-0E0000]yyyy-mm-dd")</f>
        <v/>
      </c>
      <c r="C3740" t="inlineStr">
        <is>
          <t>1910-02-18</t>
        </is>
      </c>
    </row>
    <row r="3741">
      <c r="A3741" s="1" t="n">
        <v>3740</v>
      </c>
      <c r="B3741">
        <f>TEXT(3740, "[$-0E0000]yyyy-mm-dd")</f>
        <v/>
      </c>
      <c r="C3741" t="inlineStr">
        <is>
          <t>1910-02-19</t>
        </is>
      </c>
    </row>
    <row r="3742">
      <c r="A3742" s="1" t="n">
        <v>3741</v>
      </c>
      <c r="B3742">
        <f>TEXT(3741, "[$-0E0000]yyyy-mm-dd")</f>
        <v/>
      </c>
      <c r="C3742" t="inlineStr">
        <is>
          <t>1910-02-20</t>
        </is>
      </c>
    </row>
    <row r="3743">
      <c r="A3743" s="1" t="n">
        <v>3742</v>
      </c>
      <c r="B3743">
        <f>TEXT(3742, "[$-0E0000]yyyy-mm-dd")</f>
        <v/>
      </c>
      <c r="C3743" t="inlineStr">
        <is>
          <t>1910-02-21</t>
        </is>
      </c>
    </row>
    <row r="3744">
      <c r="A3744" s="1" t="n">
        <v>3743</v>
      </c>
      <c r="B3744">
        <f>TEXT(3743, "[$-0E0000]yyyy-mm-dd")</f>
        <v/>
      </c>
      <c r="C3744" t="inlineStr">
        <is>
          <t>1910-02-22</t>
        </is>
      </c>
    </row>
    <row r="3745">
      <c r="A3745" s="1" t="n">
        <v>3744</v>
      </c>
      <c r="B3745">
        <f>TEXT(3744, "[$-0E0000]yyyy-mm-dd")</f>
        <v/>
      </c>
      <c r="C3745" t="inlineStr">
        <is>
          <t>1910-02-23</t>
        </is>
      </c>
    </row>
    <row r="3746">
      <c r="A3746" s="1" t="n">
        <v>3745</v>
      </c>
      <c r="B3746">
        <f>TEXT(3745, "[$-0E0000]yyyy-mm-dd")</f>
        <v/>
      </c>
      <c r="C3746" t="inlineStr">
        <is>
          <t>1910-02-24</t>
        </is>
      </c>
    </row>
    <row r="3747">
      <c r="A3747" s="1" t="n">
        <v>3746</v>
      </c>
      <c r="B3747">
        <f>TEXT(3746, "[$-0E0000]yyyy-mm-dd")</f>
        <v/>
      </c>
      <c r="C3747" t="inlineStr">
        <is>
          <t>1910-02-25</t>
        </is>
      </c>
    </row>
    <row r="3748">
      <c r="A3748" s="1" t="n">
        <v>3747</v>
      </c>
      <c r="B3748">
        <f>TEXT(3747, "[$-0E0000]yyyy-mm-dd")</f>
        <v/>
      </c>
      <c r="C3748" t="inlineStr">
        <is>
          <t>1910-02-26</t>
        </is>
      </c>
    </row>
    <row r="3749">
      <c r="A3749" s="1" t="n">
        <v>3748</v>
      </c>
      <c r="B3749">
        <f>TEXT(3748, "[$-0E0000]yyyy-mm-dd")</f>
        <v/>
      </c>
      <c r="C3749" t="inlineStr">
        <is>
          <t>1910-02-27</t>
        </is>
      </c>
    </row>
    <row r="3750">
      <c r="A3750" s="1" t="n">
        <v>3749</v>
      </c>
      <c r="B3750">
        <f>TEXT(3749, "[$-0E0000]yyyy-mm-dd")</f>
        <v/>
      </c>
      <c r="C3750" t="inlineStr">
        <is>
          <t>1910-02-28</t>
        </is>
      </c>
    </row>
    <row r="3751">
      <c r="A3751" s="1" t="n">
        <v>3750</v>
      </c>
      <c r="B3751">
        <f>TEXT(3750, "[$-0E0000]yyyy-mm-dd")</f>
        <v/>
      </c>
      <c r="C3751" t="inlineStr">
        <is>
          <t>1910-02-29</t>
        </is>
      </c>
    </row>
    <row r="3752">
      <c r="A3752" s="1" t="n">
        <v>3751</v>
      </c>
      <c r="B3752">
        <f>TEXT(3751, "[$-0E0000]yyyy-mm-dd")</f>
        <v/>
      </c>
      <c r="C3752" t="inlineStr">
        <is>
          <t>1910-02-30</t>
        </is>
      </c>
    </row>
    <row r="3753">
      <c r="A3753" s="1" t="n">
        <v>3752</v>
      </c>
      <c r="B3753">
        <f>TEXT(3752, "[$-0E0000]yyyy-mm-dd")</f>
        <v/>
      </c>
      <c r="C3753" t="inlineStr">
        <is>
          <t>1910-03-01</t>
        </is>
      </c>
    </row>
    <row r="3754">
      <c r="A3754" s="1" t="n">
        <v>3753</v>
      </c>
      <c r="B3754">
        <f>TEXT(3753, "[$-0E0000]yyyy-mm-dd")</f>
        <v/>
      </c>
      <c r="C3754" t="inlineStr">
        <is>
          <t>1910-03-02</t>
        </is>
      </c>
    </row>
    <row r="3755">
      <c r="A3755" s="1" t="n">
        <v>3754</v>
      </c>
      <c r="B3755">
        <f>TEXT(3754, "[$-0E0000]yyyy-mm-dd")</f>
        <v/>
      </c>
      <c r="C3755" t="inlineStr">
        <is>
          <t>1910-03-03</t>
        </is>
      </c>
    </row>
    <row r="3756">
      <c r="A3756" s="1" t="n">
        <v>3755</v>
      </c>
      <c r="B3756">
        <f>TEXT(3755, "[$-0E0000]yyyy-mm-dd")</f>
        <v/>
      </c>
      <c r="C3756" t="inlineStr">
        <is>
          <t>1910-03-04</t>
        </is>
      </c>
    </row>
    <row r="3757">
      <c r="A3757" s="1" t="n">
        <v>3756</v>
      </c>
      <c r="B3757">
        <f>TEXT(3756, "[$-0E0000]yyyy-mm-dd")</f>
        <v/>
      </c>
      <c r="C3757" t="inlineStr">
        <is>
          <t>1910-03-05</t>
        </is>
      </c>
    </row>
    <row r="3758">
      <c r="A3758" s="1" t="n">
        <v>3757</v>
      </c>
      <c r="B3758">
        <f>TEXT(3757, "[$-0E0000]yyyy-mm-dd")</f>
        <v/>
      </c>
      <c r="C3758" t="inlineStr">
        <is>
          <t>1910-03-06</t>
        </is>
      </c>
    </row>
    <row r="3759">
      <c r="A3759" s="1" t="n">
        <v>3758</v>
      </c>
      <c r="B3759">
        <f>TEXT(3758, "[$-0E0000]yyyy-mm-dd")</f>
        <v/>
      </c>
      <c r="C3759" t="inlineStr">
        <is>
          <t>1910-03-07</t>
        </is>
      </c>
    </row>
    <row r="3760">
      <c r="A3760" s="1" t="n">
        <v>3759</v>
      </c>
      <c r="B3760">
        <f>TEXT(3759, "[$-0E0000]yyyy-mm-dd")</f>
        <v/>
      </c>
      <c r="C3760" t="inlineStr">
        <is>
          <t>1910-03-08</t>
        </is>
      </c>
    </row>
    <row r="3761">
      <c r="A3761" s="1" t="n">
        <v>3760</v>
      </c>
      <c r="B3761">
        <f>TEXT(3760, "[$-0E0000]yyyy-mm-dd")</f>
        <v/>
      </c>
      <c r="C3761" t="inlineStr">
        <is>
          <t>1910-03-09</t>
        </is>
      </c>
    </row>
    <row r="3762">
      <c r="A3762" s="1" t="n">
        <v>3761</v>
      </c>
      <c r="B3762">
        <f>TEXT(3761, "[$-0E0000]yyyy-mm-dd")</f>
        <v/>
      </c>
      <c r="C3762" t="inlineStr">
        <is>
          <t>1910-03-10</t>
        </is>
      </c>
    </row>
    <row r="3763">
      <c r="A3763" s="1" t="n">
        <v>3762</v>
      </c>
      <c r="B3763">
        <f>TEXT(3762, "[$-0E0000]yyyy-mm-dd")</f>
        <v/>
      </c>
      <c r="C3763" t="inlineStr">
        <is>
          <t>1910-03-11</t>
        </is>
      </c>
    </row>
    <row r="3764">
      <c r="A3764" s="1" t="n">
        <v>3763</v>
      </c>
      <c r="B3764">
        <f>TEXT(3763, "[$-0E0000]yyyy-mm-dd")</f>
        <v/>
      </c>
      <c r="C3764" t="inlineStr">
        <is>
          <t>1910-03-12</t>
        </is>
      </c>
    </row>
    <row r="3765">
      <c r="A3765" s="1" t="n">
        <v>3764</v>
      </c>
      <c r="B3765">
        <f>TEXT(3764, "[$-0E0000]yyyy-mm-dd")</f>
        <v/>
      </c>
      <c r="C3765" t="inlineStr">
        <is>
          <t>1910-03-13</t>
        </is>
      </c>
    </row>
    <row r="3766">
      <c r="A3766" s="1" t="n">
        <v>3765</v>
      </c>
      <c r="B3766">
        <f>TEXT(3765, "[$-0E0000]yyyy-mm-dd")</f>
        <v/>
      </c>
      <c r="C3766" t="inlineStr">
        <is>
          <t>1910-03-14</t>
        </is>
      </c>
    </row>
    <row r="3767">
      <c r="A3767" s="1" t="n">
        <v>3766</v>
      </c>
      <c r="B3767">
        <f>TEXT(3766, "[$-0E0000]yyyy-mm-dd")</f>
        <v/>
      </c>
      <c r="C3767" t="inlineStr">
        <is>
          <t>1910-03-15</t>
        </is>
      </c>
    </row>
    <row r="3768">
      <c r="A3768" s="1" t="n">
        <v>3767</v>
      </c>
      <c r="B3768">
        <f>TEXT(3767, "[$-0E0000]yyyy-mm-dd")</f>
        <v/>
      </c>
      <c r="C3768" t="inlineStr">
        <is>
          <t>1910-03-16</t>
        </is>
      </c>
    </row>
    <row r="3769">
      <c r="A3769" s="1" t="n">
        <v>3768</v>
      </c>
      <c r="B3769">
        <f>TEXT(3768, "[$-0E0000]yyyy-mm-dd")</f>
        <v/>
      </c>
      <c r="C3769" t="inlineStr">
        <is>
          <t>1910-03-17</t>
        </is>
      </c>
    </row>
    <row r="3770">
      <c r="A3770" s="1" t="n">
        <v>3769</v>
      </c>
      <c r="B3770">
        <f>TEXT(3769, "[$-0E0000]yyyy-mm-dd")</f>
        <v/>
      </c>
      <c r="C3770" t="inlineStr">
        <is>
          <t>1910-03-18</t>
        </is>
      </c>
    </row>
    <row r="3771">
      <c r="A3771" s="1" t="n">
        <v>3770</v>
      </c>
      <c r="B3771">
        <f>TEXT(3770, "[$-0E0000]yyyy-mm-dd")</f>
        <v/>
      </c>
      <c r="C3771" t="inlineStr">
        <is>
          <t>1910-03-19</t>
        </is>
      </c>
    </row>
    <row r="3772">
      <c r="A3772" s="1" t="n">
        <v>3771</v>
      </c>
      <c r="B3772">
        <f>TEXT(3771, "[$-0E0000]yyyy-mm-dd")</f>
        <v/>
      </c>
      <c r="C3772" t="inlineStr">
        <is>
          <t>1910-03-20</t>
        </is>
      </c>
    </row>
    <row r="3773">
      <c r="A3773" s="1" t="n">
        <v>3772</v>
      </c>
      <c r="B3773">
        <f>TEXT(3772, "[$-0E0000]yyyy-mm-dd")</f>
        <v/>
      </c>
      <c r="C3773" t="inlineStr">
        <is>
          <t>1910-03-21</t>
        </is>
      </c>
    </row>
    <row r="3774">
      <c r="A3774" s="1" t="n">
        <v>3773</v>
      </c>
      <c r="B3774">
        <f>TEXT(3773, "[$-0E0000]yyyy-mm-dd")</f>
        <v/>
      </c>
      <c r="C3774" t="inlineStr">
        <is>
          <t>1910-03-22</t>
        </is>
      </c>
    </row>
    <row r="3775">
      <c r="A3775" s="1" t="n">
        <v>3774</v>
      </c>
      <c r="B3775">
        <f>TEXT(3774, "[$-0E0000]yyyy-mm-dd")</f>
        <v/>
      </c>
      <c r="C3775" t="inlineStr">
        <is>
          <t>1910-03-23</t>
        </is>
      </c>
    </row>
    <row r="3776">
      <c r="A3776" s="1" t="n">
        <v>3775</v>
      </c>
      <c r="B3776">
        <f>TEXT(3775, "[$-0E0000]yyyy-mm-dd")</f>
        <v/>
      </c>
      <c r="C3776" t="inlineStr">
        <is>
          <t>1910-03-24</t>
        </is>
      </c>
    </row>
    <row r="3777">
      <c r="A3777" s="1" t="n">
        <v>3776</v>
      </c>
      <c r="B3777">
        <f>TEXT(3776, "[$-0E0000]yyyy-mm-dd")</f>
        <v/>
      </c>
      <c r="C3777" t="inlineStr">
        <is>
          <t>1910-03-25</t>
        </is>
      </c>
    </row>
    <row r="3778">
      <c r="A3778" s="1" t="n">
        <v>3777</v>
      </c>
      <c r="B3778">
        <f>TEXT(3777, "[$-0E0000]yyyy-mm-dd")</f>
        <v/>
      </c>
      <c r="C3778" t="inlineStr">
        <is>
          <t>1910-03-26</t>
        </is>
      </c>
    </row>
    <row r="3779">
      <c r="A3779" s="1" t="n">
        <v>3778</v>
      </c>
      <c r="B3779">
        <f>TEXT(3778, "[$-0E0000]yyyy-mm-dd")</f>
        <v/>
      </c>
      <c r="C3779" t="inlineStr">
        <is>
          <t>1910-03-27</t>
        </is>
      </c>
    </row>
    <row r="3780">
      <c r="A3780" s="1" t="n">
        <v>3779</v>
      </c>
      <c r="B3780">
        <f>TEXT(3779, "[$-0E0000]yyyy-mm-dd")</f>
        <v/>
      </c>
      <c r="C3780" t="inlineStr">
        <is>
          <t>1910-03-28</t>
        </is>
      </c>
    </row>
    <row r="3781">
      <c r="A3781" s="1" t="n">
        <v>3780</v>
      </c>
      <c r="B3781">
        <f>TEXT(3780, "[$-0E0000]yyyy-mm-dd")</f>
        <v/>
      </c>
      <c r="C3781" t="inlineStr">
        <is>
          <t>1910-03-29</t>
        </is>
      </c>
    </row>
    <row r="3782">
      <c r="A3782" s="1" t="n">
        <v>3781</v>
      </c>
      <c r="B3782">
        <f>TEXT(3781, "[$-0E0000]yyyy-mm-dd")</f>
        <v/>
      </c>
      <c r="C3782" t="inlineStr">
        <is>
          <t>1910-04-01</t>
        </is>
      </c>
    </row>
    <row r="3783">
      <c r="A3783" s="1" t="n">
        <v>3782</v>
      </c>
      <c r="B3783">
        <f>TEXT(3782, "[$-0E0000]yyyy-mm-dd")</f>
        <v/>
      </c>
      <c r="C3783" t="inlineStr">
        <is>
          <t>1910-04-02</t>
        </is>
      </c>
    </row>
    <row r="3784">
      <c r="A3784" s="1" t="n">
        <v>3783</v>
      </c>
      <c r="B3784">
        <f>TEXT(3783, "[$-0E0000]yyyy-mm-dd")</f>
        <v/>
      </c>
      <c r="C3784" t="inlineStr">
        <is>
          <t>1910-04-03</t>
        </is>
      </c>
    </row>
    <row r="3785">
      <c r="A3785" s="1" t="n">
        <v>3784</v>
      </c>
      <c r="B3785">
        <f>TEXT(3784, "[$-0E0000]yyyy-mm-dd")</f>
        <v/>
      </c>
      <c r="C3785" t="inlineStr">
        <is>
          <t>1910-04-04</t>
        </is>
      </c>
    </row>
    <row r="3786">
      <c r="A3786" s="1" t="n">
        <v>3785</v>
      </c>
      <c r="B3786">
        <f>TEXT(3785, "[$-0E0000]yyyy-mm-dd")</f>
        <v/>
      </c>
      <c r="C3786" t="inlineStr">
        <is>
          <t>1910-04-05</t>
        </is>
      </c>
    </row>
    <row r="3787">
      <c r="A3787" s="1" t="n">
        <v>3786</v>
      </c>
      <c r="B3787">
        <f>TEXT(3786, "[$-0E0000]yyyy-mm-dd")</f>
        <v/>
      </c>
      <c r="C3787" t="inlineStr">
        <is>
          <t>1910-04-06</t>
        </is>
      </c>
    </row>
    <row r="3788">
      <c r="A3788" s="1" t="n">
        <v>3787</v>
      </c>
      <c r="B3788">
        <f>TEXT(3787, "[$-0E0000]yyyy-mm-dd")</f>
        <v/>
      </c>
      <c r="C3788" t="inlineStr">
        <is>
          <t>1910-04-07</t>
        </is>
      </c>
    </row>
    <row r="3789">
      <c r="A3789" s="1" t="n">
        <v>3788</v>
      </c>
      <c r="B3789">
        <f>TEXT(3788, "[$-0E0000]yyyy-mm-dd")</f>
        <v/>
      </c>
      <c r="C3789" t="inlineStr">
        <is>
          <t>1910-04-08</t>
        </is>
      </c>
    </row>
    <row r="3790">
      <c r="A3790" s="1" t="n">
        <v>3789</v>
      </c>
      <c r="B3790">
        <f>TEXT(3789, "[$-0E0000]yyyy-mm-dd")</f>
        <v/>
      </c>
      <c r="C3790" t="inlineStr">
        <is>
          <t>1910-04-09</t>
        </is>
      </c>
    </row>
    <row r="3791">
      <c r="A3791" s="1" t="n">
        <v>3790</v>
      </c>
      <c r="B3791">
        <f>TEXT(3790, "[$-0E0000]yyyy-mm-dd")</f>
        <v/>
      </c>
      <c r="C3791" t="inlineStr">
        <is>
          <t>1910-04-10</t>
        </is>
      </c>
    </row>
    <row r="3792">
      <c r="A3792" s="1" t="n">
        <v>3791</v>
      </c>
      <c r="B3792">
        <f>TEXT(3791, "[$-0E0000]yyyy-mm-dd")</f>
        <v/>
      </c>
      <c r="C3792" t="inlineStr">
        <is>
          <t>1910-04-11</t>
        </is>
      </c>
    </row>
    <row r="3793">
      <c r="A3793" s="1" t="n">
        <v>3792</v>
      </c>
      <c r="B3793">
        <f>TEXT(3792, "[$-0E0000]yyyy-mm-dd")</f>
        <v/>
      </c>
      <c r="C3793" t="inlineStr">
        <is>
          <t>1910-04-12</t>
        </is>
      </c>
    </row>
    <row r="3794">
      <c r="A3794" s="1" t="n">
        <v>3793</v>
      </c>
      <c r="B3794">
        <f>TEXT(3793, "[$-0E0000]yyyy-mm-dd")</f>
        <v/>
      </c>
      <c r="C3794" t="inlineStr">
        <is>
          <t>1910-04-13</t>
        </is>
      </c>
    </row>
    <row r="3795">
      <c r="A3795" s="1" t="n">
        <v>3794</v>
      </c>
      <c r="B3795">
        <f>TEXT(3794, "[$-0E0000]yyyy-mm-dd")</f>
        <v/>
      </c>
      <c r="C3795" t="inlineStr">
        <is>
          <t>1910-04-14</t>
        </is>
      </c>
    </row>
    <row r="3796">
      <c r="A3796" s="1" t="n">
        <v>3795</v>
      </c>
      <c r="B3796">
        <f>TEXT(3795, "[$-0E0000]yyyy-mm-dd")</f>
        <v/>
      </c>
      <c r="C3796" t="inlineStr">
        <is>
          <t>1910-04-15</t>
        </is>
      </c>
    </row>
    <row r="3797">
      <c r="A3797" s="1" t="n">
        <v>3796</v>
      </c>
      <c r="B3797">
        <f>TEXT(3796, "[$-0E0000]yyyy-mm-dd")</f>
        <v/>
      </c>
      <c r="C3797" t="inlineStr">
        <is>
          <t>1910-04-16</t>
        </is>
      </c>
    </row>
    <row r="3798">
      <c r="A3798" s="1" t="n">
        <v>3797</v>
      </c>
      <c r="B3798">
        <f>TEXT(3797, "[$-0E0000]yyyy-mm-dd")</f>
        <v/>
      </c>
      <c r="C3798" t="inlineStr">
        <is>
          <t>1910-04-17</t>
        </is>
      </c>
    </row>
    <row r="3799">
      <c r="A3799" s="1" t="n">
        <v>3798</v>
      </c>
      <c r="B3799">
        <f>TEXT(3798, "[$-0E0000]yyyy-mm-dd")</f>
        <v/>
      </c>
      <c r="C3799" t="inlineStr">
        <is>
          <t>1910-04-18</t>
        </is>
      </c>
    </row>
    <row r="3800">
      <c r="A3800" s="1" t="n">
        <v>3799</v>
      </c>
      <c r="B3800">
        <f>TEXT(3799, "[$-0E0000]yyyy-mm-dd")</f>
        <v/>
      </c>
      <c r="C3800" t="inlineStr">
        <is>
          <t>1910-04-19</t>
        </is>
      </c>
    </row>
    <row r="3801">
      <c r="A3801" s="1" t="n">
        <v>3800</v>
      </c>
      <c r="B3801">
        <f>TEXT(3800, "[$-0E0000]yyyy-mm-dd")</f>
        <v/>
      </c>
      <c r="C3801" t="inlineStr">
        <is>
          <t>1910-04-20</t>
        </is>
      </c>
    </row>
    <row r="3802">
      <c r="A3802" s="1" t="n">
        <v>3801</v>
      </c>
      <c r="B3802">
        <f>TEXT(3801, "[$-0E0000]yyyy-mm-dd")</f>
        <v/>
      </c>
      <c r="C3802" t="inlineStr">
        <is>
          <t>1910-04-21</t>
        </is>
      </c>
    </row>
    <row r="3803">
      <c r="A3803" s="1" t="n">
        <v>3802</v>
      </c>
      <c r="B3803">
        <f>TEXT(3802, "[$-0E0000]yyyy-mm-dd")</f>
        <v/>
      </c>
      <c r="C3803" t="inlineStr">
        <is>
          <t>1910-04-22</t>
        </is>
      </c>
    </row>
    <row r="3804">
      <c r="A3804" s="1" t="n">
        <v>3803</v>
      </c>
      <c r="B3804">
        <f>TEXT(3803, "[$-0E0000]yyyy-mm-dd")</f>
        <v/>
      </c>
      <c r="C3804" t="inlineStr">
        <is>
          <t>1910-04-23</t>
        </is>
      </c>
    </row>
    <row r="3805">
      <c r="A3805" s="1" t="n">
        <v>3804</v>
      </c>
      <c r="B3805">
        <f>TEXT(3804, "[$-0E0000]yyyy-mm-dd")</f>
        <v/>
      </c>
      <c r="C3805" t="inlineStr">
        <is>
          <t>1910-04-24</t>
        </is>
      </c>
    </row>
    <row r="3806">
      <c r="A3806" s="1" t="n">
        <v>3805</v>
      </c>
      <c r="B3806">
        <f>TEXT(3805, "[$-0E0000]yyyy-mm-dd")</f>
        <v/>
      </c>
      <c r="C3806" t="inlineStr">
        <is>
          <t>1910-04-25</t>
        </is>
      </c>
    </row>
    <row r="3807">
      <c r="A3807" s="1" t="n">
        <v>3806</v>
      </c>
      <c r="B3807">
        <f>TEXT(3806, "[$-0E0000]yyyy-mm-dd")</f>
        <v/>
      </c>
      <c r="C3807" t="inlineStr">
        <is>
          <t>1910-04-26</t>
        </is>
      </c>
    </row>
    <row r="3808">
      <c r="A3808" s="1" t="n">
        <v>3807</v>
      </c>
      <c r="B3808">
        <f>TEXT(3807, "[$-0E0000]yyyy-mm-dd")</f>
        <v/>
      </c>
      <c r="C3808" t="inlineStr">
        <is>
          <t>1910-04-27</t>
        </is>
      </c>
    </row>
    <row r="3809">
      <c r="A3809" s="1" t="n">
        <v>3808</v>
      </c>
      <c r="B3809">
        <f>TEXT(3808, "[$-0E0000]yyyy-mm-dd")</f>
        <v/>
      </c>
      <c r="C3809" t="inlineStr">
        <is>
          <t>1910-04-28</t>
        </is>
      </c>
    </row>
    <row r="3810">
      <c r="A3810" s="1" t="n">
        <v>3809</v>
      </c>
      <c r="B3810">
        <f>TEXT(3809, "[$-0E0000]yyyy-mm-dd")</f>
        <v/>
      </c>
      <c r="C3810" t="inlineStr">
        <is>
          <t>1910-04-29</t>
        </is>
      </c>
    </row>
    <row r="3811">
      <c r="A3811" s="1" t="n">
        <v>3810</v>
      </c>
      <c r="B3811">
        <f>TEXT(3810, "[$-0E0000]yyyy-mm-dd")</f>
        <v/>
      </c>
      <c r="C3811" t="inlineStr">
        <is>
          <t>1910-05-01</t>
        </is>
      </c>
    </row>
    <row r="3812">
      <c r="A3812" s="1" t="n">
        <v>3811</v>
      </c>
      <c r="B3812">
        <f>TEXT(3811, "[$-0E0000]yyyy-mm-dd")</f>
        <v/>
      </c>
      <c r="C3812" t="inlineStr">
        <is>
          <t>1910-05-02</t>
        </is>
      </c>
    </row>
    <row r="3813">
      <c r="A3813" s="1" t="n">
        <v>3812</v>
      </c>
      <c r="B3813">
        <f>TEXT(3812, "[$-0E0000]yyyy-mm-dd")</f>
        <v/>
      </c>
      <c r="C3813" t="inlineStr">
        <is>
          <t>1910-05-03</t>
        </is>
      </c>
    </row>
    <row r="3814">
      <c r="A3814" s="1" t="n">
        <v>3813</v>
      </c>
      <c r="B3814">
        <f>TEXT(3813, "[$-0E0000]yyyy-mm-dd")</f>
        <v/>
      </c>
      <c r="C3814" t="inlineStr">
        <is>
          <t>1910-05-04</t>
        </is>
      </c>
    </row>
    <row r="3815">
      <c r="A3815" s="1" t="n">
        <v>3814</v>
      </c>
      <c r="B3815">
        <f>TEXT(3814, "[$-0E0000]yyyy-mm-dd")</f>
        <v/>
      </c>
      <c r="C3815" t="inlineStr">
        <is>
          <t>1910-05-05</t>
        </is>
      </c>
    </row>
    <row r="3816">
      <c r="A3816" s="1" t="n">
        <v>3815</v>
      </c>
      <c r="B3816">
        <f>TEXT(3815, "[$-0E0000]yyyy-mm-dd")</f>
        <v/>
      </c>
      <c r="C3816" t="inlineStr">
        <is>
          <t>1910-05-06</t>
        </is>
      </c>
    </row>
    <row r="3817">
      <c r="A3817" s="1" t="n">
        <v>3816</v>
      </c>
      <c r="B3817">
        <f>TEXT(3816, "[$-0E0000]yyyy-mm-dd")</f>
        <v/>
      </c>
      <c r="C3817" t="inlineStr">
        <is>
          <t>1910-05-07</t>
        </is>
      </c>
    </row>
    <row r="3818">
      <c r="A3818" s="1" t="n">
        <v>3817</v>
      </c>
      <c r="B3818">
        <f>TEXT(3817, "[$-0E0000]yyyy-mm-dd")</f>
        <v/>
      </c>
      <c r="C3818" t="inlineStr">
        <is>
          <t>1910-05-08</t>
        </is>
      </c>
    </row>
    <row r="3819">
      <c r="A3819" s="1" t="n">
        <v>3818</v>
      </c>
      <c r="B3819">
        <f>TEXT(3818, "[$-0E0000]yyyy-mm-dd")</f>
        <v/>
      </c>
      <c r="C3819" t="inlineStr">
        <is>
          <t>1910-05-09</t>
        </is>
      </c>
    </row>
    <row r="3820">
      <c r="A3820" s="1" t="n">
        <v>3819</v>
      </c>
      <c r="B3820">
        <f>TEXT(3819, "[$-0E0000]yyyy-mm-dd")</f>
        <v/>
      </c>
      <c r="C3820" t="inlineStr">
        <is>
          <t>1910-05-10</t>
        </is>
      </c>
    </row>
    <row r="3821">
      <c r="A3821" s="1" t="n">
        <v>3820</v>
      </c>
      <c r="B3821">
        <f>TEXT(3820, "[$-0E0000]yyyy-mm-dd")</f>
        <v/>
      </c>
      <c r="C3821" t="inlineStr">
        <is>
          <t>1910-05-11</t>
        </is>
      </c>
    </row>
    <row r="3822">
      <c r="A3822" s="1" t="n">
        <v>3821</v>
      </c>
      <c r="B3822">
        <f>TEXT(3821, "[$-0E0000]yyyy-mm-dd")</f>
        <v/>
      </c>
      <c r="C3822" t="inlineStr">
        <is>
          <t>1910-05-12</t>
        </is>
      </c>
    </row>
    <row r="3823">
      <c r="A3823" s="1" t="n">
        <v>3822</v>
      </c>
      <c r="B3823">
        <f>TEXT(3822, "[$-0E0000]yyyy-mm-dd")</f>
        <v/>
      </c>
      <c r="C3823" t="inlineStr">
        <is>
          <t>1910-05-13</t>
        </is>
      </c>
    </row>
    <row r="3824">
      <c r="A3824" s="1" t="n">
        <v>3823</v>
      </c>
      <c r="B3824">
        <f>TEXT(3823, "[$-0E0000]yyyy-mm-dd")</f>
        <v/>
      </c>
      <c r="C3824" t="inlineStr">
        <is>
          <t>1910-05-14</t>
        </is>
      </c>
    </row>
    <row r="3825">
      <c r="A3825" s="1" t="n">
        <v>3824</v>
      </c>
      <c r="B3825">
        <f>TEXT(3824, "[$-0E0000]yyyy-mm-dd")</f>
        <v/>
      </c>
      <c r="C3825" t="inlineStr">
        <is>
          <t>1910-05-15</t>
        </is>
      </c>
    </row>
    <row r="3826">
      <c r="A3826" s="1" t="n">
        <v>3825</v>
      </c>
      <c r="B3826">
        <f>TEXT(3825, "[$-0E0000]yyyy-mm-dd")</f>
        <v/>
      </c>
      <c r="C3826" t="inlineStr">
        <is>
          <t>1910-05-16</t>
        </is>
      </c>
    </row>
    <row r="3827">
      <c r="A3827" s="1" t="n">
        <v>3826</v>
      </c>
      <c r="B3827">
        <f>TEXT(3826, "[$-0E0000]yyyy-mm-dd")</f>
        <v/>
      </c>
      <c r="C3827" t="inlineStr">
        <is>
          <t>1910-05-17</t>
        </is>
      </c>
    </row>
    <row r="3828">
      <c r="A3828" s="1" t="n">
        <v>3827</v>
      </c>
      <c r="B3828">
        <f>TEXT(3827, "[$-0E0000]yyyy-mm-dd")</f>
        <v/>
      </c>
      <c r="C3828" t="inlineStr">
        <is>
          <t>1910-05-18</t>
        </is>
      </c>
    </row>
    <row r="3829">
      <c r="A3829" s="1" t="n">
        <v>3828</v>
      </c>
      <c r="B3829">
        <f>TEXT(3828, "[$-0E0000]yyyy-mm-dd")</f>
        <v/>
      </c>
      <c r="C3829" t="inlineStr">
        <is>
          <t>1910-05-19</t>
        </is>
      </c>
    </row>
    <row r="3830">
      <c r="A3830" s="1" t="n">
        <v>3829</v>
      </c>
      <c r="B3830">
        <f>TEXT(3829, "[$-0E0000]yyyy-mm-dd")</f>
        <v/>
      </c>
      <c r="C3830" t="inlineStr">
        <is>
          <t>1910-05-20</t>
        </is>
      </c>
    </row>
    <row r="3831">
      <c r="A3831" s="1" t="n">
        <v>3830</v>
      </c>
      <c r="B3831">
        <f>TEXT(3830, "[$-0E0000]yyyy-mm-dd")</f>
        <v/>
      </c>
      <c r="C3831" t="inlineStr">
        <is>
          <t>1910-05-21</t>
        </is>
      </c>
    </row>
    <row r="3832">
      <c r="A3832" s="1" t="n">
        <v>3831</v>
      </c>
      <c r="B3832">
        <f>TEXT(3831, "[$-0E0000]yyyy-mm-dd")</f>
        <v/>
      </c>
      <c r="C3832" t="inlineStr">
        <is>
          <t>1910-05-22</t>
        </is>
      </c>
    </row>
    <row r="3833">
      <c r="A3833" s="1" t="n">
        <v>3832</v>
      </c>
      <c r="B3833">
        <f>TEXT(3832, "[$-0E0000]yyyy-mm-dd")</f>
        <v/>
      </c>
      <c r="C3833" t="inlineStr">
        <is>
          <t>1910-05-23</t>
        </is>
      </c>
    </row>
    <row r="3834">
      <c r="A3834" s="1" t="n">
        <v>3833</v>
      </c>
      <c r="B3834">
        <f>TEXT(3833, "[$-0E0000]yyyy-mm-dd")</f>
        <v/>
      </c>
      <c r="C3834" t="inlineStr">
        <is>
          <t>1910-05-24</t>
        </is>
      </c>
    </row>
    <row r="3835">
      <c r="A3835" s="1" t="n">
        <v>3834</v>
      </c>
      <c r="B3835">
        <f>TEXT(3834, "[$-0E0000]yyyy-mm-dd")</f>
        <v/>
      </c>
      <c r="C3835" t="inlineStr">
        <is>
          <t>1910-05-25</t>
        </is>
      </c>
    </row>
    <row r="3836">
      <c r="A3836" s="1" t="n">
        <v>3835</v>
      </c>
      <c r="B3836">
        <f>TEXT(3835, "[$-0E0000]yyyy-mm-dd")</f>
        <v/>
      </c>
      <c r="C3836" t="inlineStr">
        <is>
          <t>1910-05-26</t>
        </is>
      </c>
    </row>
    <row r="3837">
      <c r="A3837" s="1" t="n">
        <v>3836</v>
      </c>
      <c r="B3837">
        <f>TEXT(3836, "[$-0E0000]yyyy-mm-dd")</f>
        <v/>
      </c>
      <c r="C3837" t="inlineStr">
        <is>
          <t>1910-05-27</t>
        </is>
      </c>
    </row>
    <row r="3838">
      <c r="A3838" s="1" t="n">
        <v>3837</v>
      </c>
      <c r="B3838">
        <f>TEXT(3837, "[$-0E0000]yyyy-mm-dd")</f>
        <v/>
      </c>
      <c r="C3838" t="inlineStr">
        <is>
          <t>1910-05-28</t>
        </is>
      </c>
    </row>
    <row r="3839">
      <c r="A3839" s="1" t="n">
        <v>3838</v>
      </c>
      <c r="B3839">
        <f>TEXT(3838, "[$-0E0000]yyyy-mm-dd")</f>
        <v/>
      </c>
      <c r="C3839" t="inlineStr">
        <is>
          <t>1910-05-29</t>
        </is>
      </c>
    </row>
    <row r="3840">
      <c r="A3840" s="1" t="n">
        <v>3839</v>
      </c>
      <c r="B3840">
        <f>TEXT(3839, "[$-0E0000]yyyy-mm-dd")</f>
        <v/>
      </c>
      <c r="C3840" t="inlineStr">
        <is>
          <t>1910-05-30</t>
        </is>
      </c>
    </row>
    <row r="3841">
      <c r="A3841" s="1" t="n">
        <v>3840</v>
      </c>
      <c r="B3841">
        <f>TEXT(3840, "[$-0E0000]yyyy-mm-dd")</f>
        <v/>
      </c>
      <c r="C3841" t="inlineStr">
        <is>
          <t>1910-06-01</t>
        </is>
      </c>
    </row>
    <row r="3842">
      <c r="A3842" s="1" t="n">
        <v>3841</v>
      </c>
      <c r="B3842">
        <f>TEXT(3841, "[$-0E0000]yyyy-mm-dd")</f>
        <v/>
      </c>
      <c r="C3842" t="inlineStr">
        <is>
          <t>1910-06-02</t>
        </is>
      </c>
    </row>
    <row r="3843">
      <c r="A3843" s="1" t="n">
        <v>3842</v>
      </c>
      <c r="B3843">
        <f>TEXT(3842, "[$-0E0000]yyyy-mm-dd")</f>
        <v/>
      </c>
      <c r="C3843" t="inlineStr">
        <is>
          <t>1910-06-03</t>
        </is>
      </c>
    </row>
    <row r="3844">
      <c r="A3844" s="1" t="n">
        <v>3843</v>
      </c>
      <c r="B3844">
        <f>TEXT(3843, "[$-0E0000]yyyy-mm-dd")</f>
        <v/>
      </c>
      <c r="C3844" t="inlineStr">
        <is>
          <t>1910-06-04</t>
        </is>
      </c>
    </row>
    <row r="3845">
      <c r="A3845" s="1" t="n">
        <v>3844</v>
      </c>
      <c r="B3845">
        <f>TEXT(3844, "[$-0E0000]yyyy-mm-dd")</f>
        <v/>
      </c>
      <c r="C3845" t="inlineStr">
        <is>
          <t>1910-06-05</t>
        </is>
      </c>
    </row>
    <row r="3846">
      <c r="A3846" s="1" t="n">
        <v>3845</v>
      </c>
      <c r="B3846">
        <f>TEXT(3845, "[$-0E0000]yyyy-mm-dd")</f>
        <v/>
      </c>
      <c r="C3846" t="inlineStr">
        <is>
          <t>1910-06-06</t>
        </is>
      </c>
    </row>
    <row r="3847">
      <c r="A3847" s="1" t="n">
        <v>3846</v>
      </c>
      <c r="B3847">
        <f>TEXT(3846, "[$-0E0000]yyyy-mm-dd")</f>
        <v/>
      </c>
      <c r="C3847" t="inlineStr">
        <is>
          <t>1910-06-07</t>
        </is>
      </c>
    </row>
    <row r="3848">
      <c r="A3848" s="1" t="n">
        <v>3847</v>
      </c>
      <c r="B3848">
        <f>TEXT(3847, "[$-0E0000]yyyy-mm-dd")</f>
        <v/>
      </c>
      <c r="C3848" t="inlineStr">
        <is>
          <t>1910-06-08</t>
        </is>
      </c>
    </row>
    <row r="3849">
      <c r="A3849" s="1" t="n">
        <v>3848</v>
      </c>
      <c r="B3849">
        <f>TEXT(3848, "[$-0E0000]yyyy-mm-dd")</f>
        <v/>
      </c>
      <c r="C3849" t="inlineStr">
        <is>
          <t>1910-06-09</t>
        </is>
      </c>
    </row>
    <row r="3850">
      <c r="A3850" s="1" t="n">
        <v>3849</v>
      </c>
      <c r="B3850">
        <f>TEXT(3849, "[$-0E0000]yyyy-mm-dd")</f>
        <v/>
      </c>
      <c r="C3850" t="inlineStr">
        <is>
          <t>1910-06-10</t>
        </is>
      </c>
    </row>
    <row r="3851">
      <c r="A3851" s="1" t="n">
        <v>3850</v>
      </c>
      <c r="B3851">
        <f>TEXT(3850, "[$-0E0000]yyyy-mm-dd")</f>
        <v/>
      </c>
      <c r="C3851" t="inlineStr">
        <is>
          <t>1910-06-11</t>
        </is>
      </c>
    </row>
    <row r="3852">
      <c r="A3852" s="1" t="n">
        <v>3851</v>
      </c>
      <c r="B3852">
        <f>TEXT(3851, "[$-0E0000]yyyy-mm-dd")</f>
        <v/>
      </c>
      <c r="C3852" t="inlineStr">
        <is>
          <t>1910-06-12</t>
        </is>
      </c>
    </row>
    <row r="3853">
      <c r="A3853" s="1" t="n">
        <v>3852</v>
      </c>
      <c r="B3853">
        <f>TEXT(3852, "[$-0E0000]yyyy-mm-dd")</f>
        <v/>
      </c>
      <c r="C3853" t="inlineStr">
        <is>
          <t>1910-06-13</t>
        </is>
      </c>
    </row>
    <row r="3854">
      <c r="A3854" s="1" t="n">
        <v>3853</v>
      </c>
      <c r="B3854">
        <f>TEXT(3853, "[$-0E0000]yyyy-mm-dd")</f>
        <v/>
      </c>
      <c r="C3854" t="inlineStr">
        <is>
          <t>1910-06-14</t>
        </is>
      </c>
    </row>
    <row r="3855">
      <c r="A3855" s="1" t="n">
        <v>3854</v>
      </c>
      <c r="B3855">
        <f>TEXT(3854, "[$-0E0000]yyyy-mm-dd")</f>
        <v/>
      </c>
      <c r="C3855" t="inlineStr">
        <is>
          <t>1910-06-15</t>
        </is>
      </c>
    </row>
    <row r="3856">
      <c r="A3856" s="1" t="n">
        <v>3855</v>
      </c>
      <c r="B3856">
        <f>TEXT(3855, "[$-0E0000]yyyy-mm-dd")</f>
        <v/>
      </c>
      <c r="C3856" t="inlineStr">
        <is>
          <t>1910-06-16</t>
        </is>
      </c>
    </row>
    <row r="3857">
      <c r="A3857" s="1" t="n">
        <v>3856</v>
      </c>
      <c r="B3857">
        <f>TEXT(3856, "[$-0E0000]yyyy-mm-dd")</f>
        <v/>
      </c>
      <c r="C3857" t="inlineStr">
        <is>
          <t>1910-06-17</t>
        </is>
      </c>
    </row>
    <row r="3858">
      <c r="A3858" s="1" t="n">
        <v>3857</v>
      </c>
      <c r="B3858">
        <f>TEXT(3857, "[$-0E0000]yyyy-mm-dd")</f>
        <v/>
      </c>
      <c r="C3858" t="inlineStr">
        <is>
          <t>1910-06-18</t>
        </is>
      </c>
    </row>
    <row r="3859">
      <c r="A3859" s="1" t="n">
        <v>3858</v>
      </c>
      <c r="B3859">
        <f>TEXT(3858, "[$-0E0000]yyyy-mm-dd")</f>
        <v/>
      </c>
      <c r="C3859" t="inlineStr">
        <is>
          <t>1910-06-19</t>
        </is>
      </c>
    </row>
    <row r="3860">
      <c r="A3860" s="1" t="n">
        <v>3859</v>
      </c>
      <c r="B3860">
        <f>TEXT(3859, "[$-0E0000]yyyy-mm-dd")</f>
        <v/>
      </c>
      <c r="C3860" t="inlineStr">
        <is>
          <t>1910-06-20</t>
        </is>
      </c>
    </row>
    <row r="3861">
      <c r="A3861" s="1" t="n">
        <v>3860</v>
      </c>
      <c r="B3861">
        <f>TEXT(3860, "[$-0E0000]yyyy-mm-dd")</f>
        <v/>
      </c>
      <c r="C3861" t="inlineStr">
        <is>
          <t>1910-06-21</t>
        </is>
      </c>
    </row>
    <row r="3862">
      <c r="A3862" s="1" t="n">
        <v>3861</v>
      </c>
      <c r="B3862">
        <f>TEXT(3861, "[$-0E0000]yyyy-mm-dd")</f>
        <v/>
      </c>
      <c r="C3862" t="inlineStr">
        <is>
          <t>1910-06-22</t>
        </is>
      </c>
    </row>
    <row r="3863">
      <c r="A3863" s="1" t="n">
        <v>3862</v>
      </c>
      <c r="B3863">
        <f>TEXT(3862, "[$-0E0000]yyyy-mm-dd")</f>
        <v/>
      </c>
      <c r="C3863" t="inlineStr">
        <is>
          <t>1910-06-23</t>
        </is>
      </c>
    </row>
    <row r="3864">
      <c r="A3864" s="1" t="n">
        <v>3863</v>
      </c>
      <c r="B3864">
        <f>TEXT(3863, "[$-0E0000]yyyy-mm-dd")</f>
        <v/>
      </c>
      <c r="C3864" t="inlineStr">
        <is>
          <t>1910-06-24</t>
        </is>
      </c>
    </row>
    <row r="3865">
      <c r="A3865" s="1" t="n">
        <v>3864</v>
      </c>
      <c r="B3865">
        <f>TEXT(3864, "[$-0E0000]yyyy-mm-dd")</f>
        <v/>
      </c>
      <c r="C3865" t="inlineStr">
        <is>
          <t>1910-06-25</t>
        </is>
      </c>
    </row>
    <row r="3866">
      <c r="A3866" s="1" t="n">
        <v>3865</v>
      </c>
      <c r="B3866">
        <f>TEXT(3865, "[$-0E0000]yyyy-mm-dd")</f>
        <v/>
      </c>
      <c r="C3866" t="inlineStr">
        <is>
          <t>1910-06-26</t>
        </is>
      </c>
    </row>
    <row r="3867">
      <c r="A3867" s="1" t="n">
        <v>3866</v>
      </c>
      <c r="B3867">
        <f>TEXT(3866, "[$-0E0000]yyyy-mm-dd")</f>
        <v/>
      </c>
      <c r="C3867" t="inlineStr">
        <is>
          <t>1910-06-27</t>
        </is>
      </c>
    </row>
    <row r="3868">
      <c r="A3868" s="1" t="n">
        <v>3867</v>
      </c>
      <c r="B3868">
        <f>TEXT(3867, "[$-0E0000]yyyy-mm-dd")</f>
        <v/>
      </c>
      <c r="C3868" t="inlineStr">
        <is>
          <t>1910-06-28</t>
        </is>
      </c>
    </row>
    <row r="3869">
      <c r="A3869" s="1" t="n">
        <v>3868</v>
      </c>
      <c r="B3869">
        <f>TEXT(3868, "[$-0E0000]yyyy-mm-dd")</f>
        <v/>
      </c>
      <c r="C3869" t="inlineStr">
        <is>
          <t>1910-06-29</t>
        </is>
      </c>
    </row>
    <row r="3870">
      <c r="A3870" s="1" t="n">
        <v>3869</v>
      </c>
      <c r="B3870">
        <f>TEXT(3869, "[$-0E0000]yyyy-mm-dd")</f>
        <v/>
      </c>
      <c r="C3870" t="inlineStr">
        <is>
          <t>1910-07-01</t>
        </is>
      </c>
    </row>
    <row r="3871">
      <c r="A3871" s="1" t="n">
        <v>3870</v>
      </c>
      <c r="B3871">
        <f>TEXT(3870, "[$-0E0000]yyyy-mm-dd")</f>
        <v/>
      </c>
      <c r="C3871" t="inlineStr">
        <is>
          <t>1910-07-02</t>
        </is>
      </c>
    </row>
    <row r="3872">
      <c r="A3872" s="1" t="n">
        <v>3871</v>
      </c>
      <c r="B3872">
        <f>TEXT(3871, "[$-0E0000]yyyy-mm-dd")</f>
        <v/>
      </c>
      <c r="C3872" t="inlineStr">
        <is>
          <t>1910-07-03</t>
        </is>
      </c>
    </row>
    <row r="3873">
      <c r="A3873" s="1" t="n">
        <v>3872</v>
      </c>
      <c r="B3873">
        <f>TEXT(3872, "[$-0E0000]yyyy-mm-dd")</f>
        <v/>
      </c>
      <c r="C3873" t="inlineStr">
        <is>
          <t>1910-07-04</t>
        </is>
      </c>
    </row>
    <row r="3874">
      <c r="A3874" s="1" t="n">
        <v>3873</v>
      </c>
      <c r="B3874">
        <f>TEXT(3873, "[$-0E0000]yyyy-mm-dd")</f>
        <v/>
      </c>
      <c r="C3874" t="inlineStr">
        <is>
          <t>1910-07-05</t>
        </is>
      </c>
    </row>
    <row r="3875">
      <c r="A3875" s="1" t="n">
        <v>3874</v>
      </c>
      <c r="B3875">
        <f>TEXT(3874, "[$-0E0000]yyyy-mm-dd")</f>
        <v/>
      </c>
      <c r="C3875" t="inlineStr">
        <is>
          <t>1910-07-06</t>
        </is>
      </c>
    </row>
    <row r="3876">
      <c r="A3876" s="1" t="n">
        <v>3875</v>
      </c>
      <c r="B3876">
        <f>TEXT(3875, "[$-0E0000]yyyy-mm-dd")</f>
        <v/>
      </c>
      <c r="C3876" t="inlineStr">
        <is>
          <t>1910-07-07</t>
        </is>
      </c>
    </row>
    <row r="3877">
      <c r="A3877" s="1" t="n">
        <v>3876</v>
      </c>
      <c r="B3877">
        <f>TEXT(3876, "[$-0E0000]yyyy-mm-dd")</f>
        <v/>
      </c>
      <c r="C3877" t="inlineStr">
        <is>
          <t>1910-07-08</t>
        </is>
      </c>
    </row>
    <row r="3878">
      <c r="A3878" s="1" t="n">
        <v>3877</v>
      </c>
      <c r="B3878">
        <f>TEXT(3877, "[$-0E0000]yyyy-mm-dd")</f>
        <v/>
      </c>
      <c r="C3878" t="inlineStr">
        <is>
          <t>1910-07-09</t>
        </is>
      </c>
    </row>
    <row r="3879">
      <c r="A3879" s="1" t="n">
        <v>3878</v>
      </c>
      <c r="B3879">
        <f>TEXT(3878, "[$-0E0000]yyyy-mm-dd")</f>
        <v/>
      </c>
      <c r="C3879" t="inlineStr">
        <is>
          <t>1910-07-10</t>
        </is>
      </c>
    </row>
    <row r="3880">
      <c r="A3880" s="1" t="n">
        <v>3879</v>
      </c>
      <c r="B3880">
        <f>TEXT(3879, "[$-0E0000]yyyy-mm-dd")</f>
        <v/>
      </c>
      <c r="C3880" t="inlineStr">
        <is>
          <t>1910-07-11</t>
        </is>
      </c>
    </row>
    <row r="3881">
      <c r="A3881" s="1" t="n">
        <v>3880</v>
      </c>
      <c r="B3881">
        <f>TEXT(3880, "[$-0E0000]yyyy-mm-dd")</f>
        <v/>
      </c>
      <c r="C3881" t="inlineStr">
        <is>
          <t>1910-07-12</t>
        </is>
      </c>
    </row>
    <row r="3882">
      <c r="A3882" s="1" t="n">
        <v>3881</v>
      </c>
      <c r="B3882">
        <f>TEXT(3881, "[$-0E0000]yyyy-mm-dd")</f>
        <v/>
      </c>
      <c r="C3882" t="inlineStr">
        <is>
          <t>1910-07-13</t>
        </is>
      </c>
    </row>
    <row r="3883">
      <c r="A3883" s="1" t="n">
        <v>3882</v>
      </c>
      <c r="B3883">
        <f>TEXT(3882, "[$-0E0000]yyyy-mm-dd")</f>
        <v/>
      </c>
      <c r="C3883" t="inlineStr">
        <is>
          <t>1910-07-14</t>
        </is>
      </c>
    </row>
    <row r="3884">
      <c r="A3884" s="1" t="n">
        <v>3883</v>
      </c>
      <c r="B3884">
        <f>TEXT(3883, "[$-0E0000]yyyy-mm-dd")</f>
        <v/>
      </c>
      <c r="C3884" t="inlineStr">
        <is>
          <t>1910-07-15</t>
        </is>
      </c>
    </row>
    <row r="3885">
      <c r="A3885" s="1" t="n">
        <v>3884</v>
      </c>
      <c r="B3885">
        <f>TEXT(3884, "[$-0E0000]yyyy-mm-dd")</f>
        <v/>
      </c>
      <c r="C3885" t="inlineStr">
        <is>
          <t>1910-07-16</t>
        </is>
      </c>
    </row>
    <row r="3886">
      <c r="A3886" s="1" t="n">
        <v>3885</v>
      </c>
      <c r="B3886">
        <f>TEXT(3885, "[$-0E0000]yyyy-mm-dd")</f>
        <v/>
      </c>
      <c r="C3886" t="inlineStr">
        <is>
          <t>1910-07-17</t>
        </is>
      </c>
    </row>
    <row r="3887">
      <c r="A3887" s="1" t="n">
        <v>3886</v>
      </c>
      <c r="B3887">
        <f>TEXT(3886, "[$-0E0000]yyyy-mm-dd")</f>
        <v/>
      </c>
      <c r="C3887" t="inlineStr">
        <is>
          <t>1910-07-18</t>
        </is>
      </c>
    </row>
    <row r="3888">
      <c r="A3888" s="1" t="n">
        <v>3887</v>
      </c>
      <c r="B3888">
        <f>TEXT(3887, "[$-0E0000]yyyy-mm-dd")</f>
        <v/>
      </c>
      <c r="C3888" t="inlineStr">
        <is>
          <t>1910-07-19</t>
        </is>
      </c>
    </row>
    <row r="3889">
      <c r="A3889" s="1" t="n">
        <v>3888</v>
      </c>
      <c r="B3889">
        <f>TEXT(3888, "[$-0E0000]yyyy-mm-dd")</f>
        <v/>
      </c>
      <c r="C3889" t="inlineStr">
        <is>
          <t>1910-07-20</t>
        </is>
      </c>
    </row>
    <row r="3890">
      <c r="A3890" s="1" t="n">
        <v>3889</v>
      </c>
      <c r="B3890">
        <f>TEXT(3889, "[$-0E0000]yyyy-mm-dd")</f>
        <v/>
      </c>
      <c r="C3890" t="inlineStr">
        <is>
          <t>1910-07-21</t>
        </is>
      </c>
    </row>
    <row r="3891">
      <c r="A3891" s="1" t="n">
        <v>3890</v>
      </c>
      <c r="B3891">
        <f>TEXT(3890, "[$-0E0000]yyyy-mm-dd")</f>
        <v/>
      </c>
      <c r="C3891" t="inlineStr">
        <is>
          <t>1910-07-22</t>
        </is>
      </c>
    </row>
    <row r="3892">
      <c r="A3892" s="1" t="n">
        <v>3891</v>
      </c>
      <c r="B3892">
        <f>TEXT(3891, "[$-0E0000]yyyy-mm-dd")</f>
        <v/>
      </c>
      <c r="C3892" t="inlineStr">
        <is>
          <t>1910-07-23</t>
        </is>
      </c>
    </row>
    <row r="3893">
      <c r="A3893" s="1" t="n">
        <v>3892</v>
      </c>
      <c r="B3893">
        <f>TEXT(3892, "[$-0E0000]yyyy-mm-dd")</f>
        <v/>
      </c>
      <c r="C3893" t="inlineStr">
        <is>
          <t>1910-07-24</t>
        </is>
      </c>
    </row>
    <row r="3894">
      <c r="A3894" s="1" t="n">
        <v>3893</v>
      </c>
      <c r="B3894">
        <f>TEXT(3893, "[$-0E0000]yyyy-mm-dd")</f>
        <v/>
      </c>
      <c r="C3894" t="inlineStr">
        <is>
          <t>1910-07-25</t>
        </is>
      </c>
    </row>
    <row r="3895">
      <c r="A3895" s="1" t="n">
        <v>3894</v>
      </c>
      <c r="B3895">
        <f>TEXT(3894, "[$-0E0000]yyyy-mm-dd")</f>
        <v/>
      </c>
      <c r="C3895" t="inlineStr">
        <is>
          <t>1910-07-26</t>
        </is>
      </c>
    </row>
    <row r="3896">
      <c r="A3896" s="1" t="n">
        <v>3895</v>
      </c>
      <c r="B3896">
        <f>TEXT(3895, "[$-0E0000]yyyy-mm-dd")</f>
        <v/>
      </c>
      <c r="C3896" t="inlineStr">
        <is>
          <t>1910-07-27</t>
        </is>
      </c>
    </row>
    <row r="3897">
      <c r="A3897" s="1" t="n">
        <v>3896</v>
      </c>
      <c r="B3897">
        <f>TEXT(3896, "[$-0E0000]yyyy-mm-dd")</f>
        <v/>
      </c>
      <c r="C3897" t="inlineStr">
        <is>
          <t>1910-07-28</t>
        </is>
      </c>
    </row>
    <row r="3898">
      <c r="A3898" s="1" t="n">
        <v>3897</v>
      </c>
      <c r="B3898">
        <f>TEXT(3897, "[$-0E0000]yyyy-mm-dd")</f>
        <v/>
      </c>
      <c r="C3898" t="inlineStr">
        <is>
          <t>1910-07-29</t>
        </is>
      </c>
    </row>
    <row r="3899">
      <c r="A3899" s="1" t="n">
        <v>3898</v>
      </c>
      <c r="B3899">
        <f>TEXT(3898, "[$-0E0000]yyyy-mm-dd")</f>
        <v/>
      </c>
      <c r="C3899" t="inlineStr">
        <is>
          <t>1910-07-30</t>
        </is>
      </c>
    </row>
    <row r="3900">
      <c r="A3900" s="1" t="n">
        <v>3899</v>
      </c>
      <c r="B3900">
        <f>TEXT(3899, "[$-0E0000]yyyy-mm-dd")</f>
        <v/>
      </c>
      <c r="C3900" t="inlineStr">
        <is>
          <t>1910-08-01</t>
        </is>
      </c>
    </row>
    <row r="3901">
      <c r="A3901" s="1" t="n">
        <v>3900</v>
      </c>
      <c r="B3901">
        <f>TEXT(3900, "[$-0E0000]yyyy-mm-dd")</f>
        <v/>
      </c>
      <c r="C3901" t="inlineStr">
        <is>
          <t>1910-08-02</t>
        </is>
      </c>
    </row>
    <row r="3902">
      <c r="A3902" s="1" t="n">
        <v>3901</v>
      </c>
      <c r="B3902">
        <f>TEXT(3901, "[$-0E0000]yyyy-mm-dd")</f>
        <v/>
      </c>
      <c r="C3902" t="inlineStr">
        <is>
          <t>1910-08-03</t>
        </is>
      </c>
    </row>
    <row r="3903">
      <c r="A3903" s="1" t="n">
        <v>3902</v>
      </c>
      <c r="B3903">
        <f>TEXT(3902, "[$-0E0000]yyyy-mm-dd")</f>
        <v/>
      </c>
      <c r="C3903" t="inlineStr">
        <is>
          <t>1910-08-04</t>
        </is>
      </c>
    </row>
    <row r="3904">
      <c r="A3904" s="1" t="n">
        <v>3903</v>
      </c>
      <c r="B3904">
        <f>TEXT(3903, "[$-0E0000]yyyy-mm-dd")</f>
        <v/>
      </c>
      <c r="C3904" t="inlineStr">
        <is>
          <t>1910-08-05</t>
        </is>
      </c>
    </row>
    <row r="3905">
      <c r="A3905" s="1" t="n">
        <v>3904</v>
      </c>
      <c r="B3905">
        <f>TEXT(3904, "[$-0E0000]yyyy-mm-dd")</f>
        <v/>
      </c>
      <c r="C3905" t="inlineStr">
        <is>
          <t>1910-08-06</t>
        </is>
      </c>
    </row>
    <row r="3906">
      <c r="A3906" s="1" t="n">
        <v>3905</v>
      </c>
      <c r="B3906">
        <f>TEXT(3905, "[$-0E0000]yyyy-mm-dd")</f>
        <v/>
      </c>
      <c r="C3906" t="inlineStr">
        <is>
          <t>1910-08-07</t>
        </is>
      </c>
    </row>
    <row r="3907">
      <c r="A3907" s="1" t="n">
        <v>3906</v>
      </c>
      <c r="B3907">
        <f>TEXT(3906, "[$-0E0000]yyyy-mm-dd")</f>
        <v/>
      </c>
      <c r="C3907" t="inlineStr">
        <is>
          <t>1910-08-08</t>
        </is>
      </c>
    </row>
    <row r="3908">
      <c r="A3908" s="1" t="n">
        <v>3907</v>
      </c>
      <c r="B3908">
        <f>TEXT(3907, "[$-0E0000]yyyy-mm-dd")</f>
        <v/>
      </c>
      <c r="C3908" t="inlineStr">
        <is>
          <t>1910-08-09</t>
        </is>
      </c>
    </row>
    <row r="3909">
      <c r="A3909" s="1" t="n">
        <v>3908</v>
      </c>
      <c r="B3909">
        <f>TEXT(3908, "[$-0E0000]yyyy-mm-dd")</f>
        <v/>
      </c>
      <c r="C3909" t="inlineStr">
        <is>
          <t>1910-08-10</t>
        </is>
      </c>
    </row>
    <row r="3910">
      <c r="A3910" s="1" t="n">
        <v>3909</v>
      </c>
      <c r="B3910">
        <f>TEXT(3909, "[$-0E0000]yyyy-mm-dd")</f>
        <v/>
      </c>
      <c r="C3910" t="inlineStr">
        <is>
          <t>1910-08-11</t>
        </is>
      </c>
    </row>
    <row r="3911">
      <c r="A3911" s="1" t="n">
        <v>3910</v>
      </c>
      <c r="B3911">
        <f>TEXT(3910, "[$-0E0000]yyyy-mm-dd")</f>
        <v/>
      </c>
      <c r="C3911" t="inlineStr">
        <is>
          <t>1910-08-12</t>
        </is>
      </c>
    </row>
    <row r="3912">
      <c r="A3912" s="1" t="n">
        <v>3911</v>
      </c>
      <c r="B3912">
        <f>TEXT(3911, "[$-0E0000]yyyy-mm-dd")</f>
        <v/>
      </c>
      <c r="C3912" t="inlineStr">
        <is>
          <t>1910-08-13</t>
        </is>
      </c>
    </row>
    <row r="3913">
      <c r="A3913" s="1" t="n">
        <v>3912</v>
      </c>
      <c r="B3913">
        <f>TEXT(3912, "[$-0E0000]yyyy-mm-dd")</f>
        <v/>
      </c>
      <c r="C3913" t="inlineStr">
        <is>
          <t>1910-08-14</t>
        </is>
      </c>
    </row>
    <row r="3914">
      <c r="A3914" s="1" t="n">
        <v>3913</v>
      </c>
      <c r="B3914">
        <f>TEXT(3913, "[$-0E0000]yyyy-mm-dd")</f>
        <v/>
      </c>
      <c r="C3914" t="inlineStr">
        <is>
          <t>1910-08-15</t>
        </is>
      </c>
    </row>
    <row r="3915">
      <c r="A3915" s="1" t="n">
        <v>3914</v>
      </c>
      <c r="B3915">
        <f>TEXT(3914, "[$-0E0000]yyyy-mm-dd")</f>
        <v/>
      </c>
      <c r="C3915" t="inlineStr">
        <is>
          <t>1910-08-16</t>
        </is>
      </c>
    </row>
    <row r="3916">
      <c r="A3916" s="1" t="n">
        <v>3915</v>
      </c>
      <c r="B3916">
        <f>TEXT(3915, "[$-0E0000]yyyy-mm-dd")</f>
        <v/>
      </c>
      <c r="C3916" t="inlineStr">
        <is>
          <t>1910-08-17</t>
        </is>
      </c>
    </row>
    <row r="3917">
      <c r="A3917" s="1" t="n">
        <v>3916</v>
      </c>
      <c r="B3917">
        <f>TEXT(3916, "[$-0E0000]yyyy-mm-dd")</f>
        <v/>
      </c>
      <c r="C3917" t="inlineStr">
        <is>
          <t>1910-08-18</t>
        </is>
      </c>
    </row>
    <row r="3918">
      <c r="A3918" s="1" t="n">
        <v>3917</v>
      </c>
      <c r="B3918">
        <f>TEXT(3917, "[$-0E0000]yyyy-mm-dd")</f>
        <v/>
      </c>
      <c r="C3918" t="inlineStr">
        <is>
          <t>1910-08-19</t>
        </is>
      </c>
    </row>
    <row r="3919">
      <c r="A3919" s="1" t="n">
        <v>3918</v>
      </c>
      <c r="B3919">
        <f>TEXT(3918, "[$-0E0000]yyyy-mm-dd")</f>
        <v/>
      </c>
      <c r="C3919" t="inlineStr">
        <is>
          <t>1910-08-20</t>
        </is>
      </c>
    </row>
    <row r="3920">
      <c r="A3920" s="1" t="n">
        <v>3919</v>
      </c>
      <c r="B3920">
        <f>TEXT(3919, "[$-0E0000]yyyy-mm-dd")</f>
        <v/>
      </c>
      <c r="C3920" t="inlineStr">
        <is>
          <t>1910-08-21</t>
        </is>
      </c>
    </row>
    <row r="3921">
      <c r="A3921" s="1" t="n">
        <v>3920</v>
      </c>
      <c r="B3921">
        <f>TEXT(3920, "[$-0E0000]yyyy-mm-dd")</f>
        <v/>
      </c>
      <c r="C3921" t="inlineStr">
        <is>
          <t>1910-08-22</t>
        </is>
      </c>
    </row>
    <row r="3922">
      <c r="A3922" s="1" t="n">
        <v>3921</v>
      </c>
      <c r="B3922">
        <f>TEXT(3921, "[$-0E0000]yyyy-mm-dd")</f>
        <v/>
      </c>
      <c r="C3922" t="inlineStr">
        <is>
          <t>1910-08-23</t>
        </is>
      </c>
    </row>
    <row r="3923">
      <c r="A3923" s="1" t="n">
        <v>3922</v>
      </c>
      <c r="B3923">
        <f>TEXT(3922, "[$-0E0000]yyyy-mm-dd")</f>
        <v/>
      </c>
      <c r="C3923" t="inlineStr">
        <is>
          <t>1910-08-24</t>
        </is>
      </c>
    </row>
    <row r="3924">
      <c r="A3924" s="1" t="n">
        <v>3923</v>
      </c>
      <c r="B3924">
        <f>TEXT(3923, "[$-0E0000]yyyy-mm-dd")</f>
        <v/>
      </c>
      <c r="C3924" t="inlineStr">
        <is>
          <t>1910-08-25</t>
        </is>
      </c>
    </row>
    <row r="3925">
      <c r="A3925" s="1" t="n">
        <v>3924</v>
      </c>
      <c r="B3925">
        <f>TEXT(3924, "[$-0E0000]yyyy-mm-dd")</f>
        <v/>
      </c>
      <c r="C3925" t="inlineStr">
        <is>
          <t>1910-08-26</t>
        </is>
      </c>
    </row>
    <row r="3926">
      <c r="A3926" s="1" t="n">
        <v>3925</v>
      </c>
      <c r="B3926">
        <f>TEXT(3925, "[$-0E0000]yyyy-mm-dd")</f>
        <v/>
      </c>
      <c r="C3926" t="inlineStr">
        <is>
          <t>1910-08-27</t>
        </is>
      </c>
    </row>
    <row r="3927">
      <c r="A3927" s="1" t="n">
        <v>3926</v>
      </c>
      <c r="B3927">
        <f>TEXT(3926, "[$-0E0000]yyyy-mm-dd")</f>
        <v/>
      </c>
      <c r="C3927" t="inlineStr">
        <is>
          <t>1910-08-28</t>
        </is>
      </c>
    </row>
    <row r="3928">
      <c r="A3928" s="1" t="n">
        <v>3927</v>
      </c>
      <c r="B3928">
        <f>TEXT(3927, "[$-0E0000]yyyy-mm-dd")</f>
        <v/>
      </c>
      <c r="C3928" t="inlineStr">
        <is>
          <t>1910-08-29</t>
        </is>
      </c>
    </row>
    <row r="3929">
      <c r="A3929" s="1" t="n">
        <v>3928</v>
      </c>
      <c r="B3929">
        <f>TEXT(3928, "[$-0E0000]yyyy-mm-dd")</f>
        <v/>
      </c>
      <c r="C3929" t="inlineStr">
        <is>
          <t>1910-09-01</t>
        </is>
      </c>
    </row>
    <row r="3930">
      <c r="A3930" s="1" t="n">
        <v>3929</v>
      </c>
      <c r="B3930">
        <f>TEXT(3929, "[$-0E0000]yyyy-mm-dd")</f>
        <v/>
      </c>
      <c r="C3930" t="inlineStr">
        <is>
          <t>1910-09-02</t>
        </is>
      </c>
    </row>
    <row r="3931">
      <c r="A3931" s="1" t="n">
        <v>3930</v>
      </c>
      <c r="B3931">
        <f>TEXT(3930, "[$-0E0000]yyyy-mm-dd")</f>
        <v/>
      </c>
      <c r="C3931" t="inlineStr">
        <is>
          <t>1910-09-03</t>
        </is>
      </c>
    </row>
    <row r="3932">
      <c r="A3932" s="1" t="n">
        <v>3931</v>
      </c>
      <c r="B3932">
        <f>TEXT(3931, "[$-0E0000]yyyy-mm-dd")</f>
        <v/>
      </c>
      <c r="C3932" t="inlineStr">
        <is>
          <t>1910-09-04</t>
        </is>
      </c>
    </row>
    <row r="3933">
      <c r="A3933" s="1" t="n">
        <v>3932</v>
      </c>
      <c r="B3933">
        <f>TEXT(3932, "[$-0E0000]yyyy-mm-dd")</f>
        <v/>
      </c>
      <c r="C3933" t="inlineStr">
        <is>
          <t>1910-09-05</t>
        </is>
      </c>
    </row>
    <row r="3934">
      <c r="A3934" s="1" t="n">
        <v>3933</v>
      </c>
      <c r="B3934">
        <f>TEXT(3933, "[$-0E0000]yyyy-mm-dd")</f>
        <v/>
      </c>
      <c r="C3934" t="inlineStr">
        <is>
          <t>1910-09-06</t>
        </is>
      </c>
    </row>
    <row r="3935">
      <c r="A3935" s="1" t="n">
        <v>3934</v>
      </c>
      <c r="B3935">
        <f>TEXT(3934, "[$-0E0000]yyyy-mm-dd")</f>
        <v/>
      </c>
      <c r="C3935" t="inlineStr">
        <is>
          <t>1910-09-07</t>
        </is>
      </c>
    </row>
    <row r="3936">
      <c r="A3936" s="1" t="n">
        <v>3935</v>
      </c>
      <c r="B3936">
        <f>TEXT(3935, "[$-0E0000]yyyy-mm-dd")</f>
        <v/>
      </c>
      <c r="C3936" t="inlineStr">
        <is>
          <t>1910-09-08</t>
        </is>
      </c>
    </row>
    <row r="3937">
      <c r="A3937" s="1" t="n">
        <v>3936</v>
      </c>
      <c r="B3937">
        <f>TEXT(3936, "[$-0E0000]yyyy-mm-dd")</f>
        <v/>
      </c>
      <c r="C3937" t="inlineStr">
        <is>
          <t>1910-09-09</t>
        </is>
      </c>
    </row>
    <row r="3938">
      <c r="A3938" s="1" t="n">
        <v>3937</v>
      </c>
      <c r="B3938">
        <f>TEXT(3937, "[$-0E0000]yyyy-mm-dd")</f>
        <v/>
      </c>
      <c r="C3938" t="inlineStr">
        <is>
          <t>1910-09-10</t>
        </is>
      </c>
    </row>
    <row r="3939">
      <c r="A3939" s="1" t="n">
        <v>3938</v>
      </c>
      <c r="B3939">
        <f>TEXT(3938, "[$-0E0000]yyyy-mm-dd")</f>
        <v/>
      </c>
      <c r="C3939" t="inlineStr">
        <is>
          <t>1910-09-11</t>
        </is>
      </c>
    </row>
    <row r="3940">
      <c r="A3940" s="1" t="n">
        <v>3939</v>
      </c>
      <c r="B3940">
        <f>TEXT(3939, "[$-0E0000]yyyy-mm-dd")</f>
        <v/>
      </c>
      <c r="C3940" t="inlineStr">
        <is>
          <t>1910-09-12</t>
        </is>
      </c>
    </row>
    <row r="3941">
      <c r="A3941" s="1" t="n">
        <v>3940</v>
      </c>
      <c r="B3941">
        <f>TEXT(3940, "[$-0E0000]yyyy-mm-dd")</f>
        <v/>
      </c>
      <c r="C3941" t="inlineStr">
        <is>
          <t>1910-09-13</t>
        </is>
      </c>
    </row>
    <row r="3942">
      <c r="A3942" s="1" t="n">
        <v>3941</v>
      </c>
      <c r="B3942">
        <f>TEXT(3941, "[$-0E0000]yyyy-mm-dd")</f>
        <v/>
      </c>
      <c r="C3942" t="inlineStr">
        <is>
          <t>1910-09-14</t>
        </is>
      </c>
    </row>
    <row r="3943">
      <c r="A3943" s="1" t="n">
        <v>3942</v>
      </c>
      <c r="B3943">
        <f>TEXT(3942, "[$-0E0000]yyyy-mm-dd")</f>
        <v/>
      </c>
      <c r="C3943" t="inlineStr">
        <is>
          <t>1910-09-15</t>
        </is>
      </c>
    </row>
    <row r="3944">
      <c r="A3944" s="1" t="n">
        <v>3943</v>
      </c>
      <c r="B3944">
        <f>TEXT(3943, "[$-0E0000]yyyy-mm-dd")</f>
        <v/>
      </c>
      <c r="C3944" t="inlineStr">
        <is>
          <t>1910-09-16</t>
        </is>
      </c>
    </row>
    <row r="3945">
      <c r="A3945" s="1" t="n">
        <v>3944</v>
      </c>
      <c r="B3945">
        <f>TEXT(3944, "[$-0E0000]yyyy-mm-dd")</f>
        <v/>
      </c>
      <c r="C3945" t="inlineStr">
        <is>
          <t>1910-09-17</t>
        </is>
      </c>
    </row>
    <row r="3946">
      <c r="A3946" s="1" t="n">
        <v>3945</v>
      </c>
      <c r="B3946">
        <f>TEXT(3945, "[$-0E0000]yyyy-mm-dd")</f>
        <v/>
      </c>
      <c r="C3946" t="inlineStr">
        <is>
          <t>1910-09-18</t>
        </is>
      </c>
    </row>
    <row r="3947">
      <c r="A3947" s="1" t="n">
        <v>3946</v>
      </c>
      <c r="B3947">
        <f>TEXT(3946, "[$-0E0000]yyyy-mm-dd")</f>
        <v/>
      </c>
      <c r="C3947" t="inlineStr">
        <is>
          <t>1910-09-19</t>
        </is>
      </c>
    </row>
    <row r="3948">
      <c r="A3948" s="1" t="n">
        <v>3947</v>
      </c>
      <c r="B3948">
        <f>TEXT(3947, "[$-0E0000]yyyy-mm-dd")</f>
        <v/>
      </c>
      <c r="C3948" t="inlineStr">
        <is>
          <t>1910-09-20</t>
        </is>
      </c>
    </row>
    <row r="3949">
      <c r="A3949" s="1" t="n">
        <v>3948</v>
      </c>
      <c r="B3949">
        <f>TEXT(3948, "[$-0E0000]yyyy-mm-dd")</f>
        <v/>
      </c>
      <c r="C3949" t="inlineStr">
        <is>
          <t>1910-09-21</t>
        </is>
      </c>
    </row>
    <row r="3950">
      <c r="A3950" s="1" t="n">
        <v>3949</v>
      </c>
      <c r="B3950">
        <f>TEXT(3949, "[$-0E0000]yyyy-mm-dd")</f>
        <v/>
      </c>
      <c r="C3950" t="inlineStr">
        <is>
          <t>1910-09-22</t>
        </is>
      </c>
    </row>
    <row r="3951">
      <c r="A3951" s="1" t="n">
        <v>3950</v>
      </c>
      <c r="B3951">
        <f>TEXT(3950, "[$-0E0000]yyyy-mm-dd")</f>
        <v/>
      </c>
      <c r="C3951" t="inlineStr">
        <is>
          <t>1910-09-23</t>
        </is>
      </c>
    </row>
    <row r="3952">
      <c r="A3952" s="1" t="n">
        <v>3951</v>
      </c>
      <c r="B3952">
        <f>TEXT(3951, "[$-0E0000]yyyy-mm-dd")</f>
        <v/>
      </c>
      <c r="C3952" t="inlineStr">
        <is>
          <t>1910-09-24</t>
        </is>
      </c>
    </row>
    <row r="3953">
      <c r="A3953" s="1" t="n">
        <v>3952</v>
      </c>
      <c r="B3953">
        <f>TEXT(3952, "[$-0E0000]yyyy-mm-dd")</f>
        <v/>
      </c>
      <c r="C3953" t="inlineStr">
        <is>
          <t>1910-09-25</t>
        </is>
      </c>
    </row>
    <row r="3954">
      <c r="A3954" s="1" t="n">
        <v>3953</v>
      </c>
      <c r="B3954">
        <f>TEXT(3953, "[$-0E0000]yyyy-mm-dd")</f>
        <v/>
      </c>
      <c r="C3954" t="inlineStr">
        <is>
          <t>1910-09-26</t>
        </is>
      </c>
    </row>
    <row r="3955">
      <c r="A3955" s="1" t="n">
        <v>3954</v>
      </c>
      <c r="B3955">
        <f>TEXT(3954, "[$-0E0000]yyyy-mm-dd")</f>
        <v/>
      </c>
      <c r="C3955" t="inlineStr">
        <is>
          <t>1910-09-27</t>
        </is>
      </c>
    </row>
    <row r="3956">
      <c r="A3956" s="1" t="n">
        <v>3955</v>
      </c>
      <c r="B3956">
        <f>TEXT(3955, "[$-0E0000]yyyy-mm-dd")</f>
        <v/>
      </c>
      <c r="C3956" t="inlineStr">
        <is>
          <t>1910-09-28</t>
        </is>
      </c>
    </row>
    <row r="3957">
      <c r="A3957" s="1" t="n">
        <v>3956</v>
      </c>
      <c r="B3957">
        <f>TEXT(3956, "[$-0E0000]yyyy-mm-dd")</f>
        <v/>
      </c>
      <c r="C3957" t="inlineStr">
        <is>
          <t>1910-09-29</t>
        </is>
      </c>
    </row>
    <row r="3958">
      <c r="A3958" s="1" t="n">
        <v>3957</v>
      </c>
      <c r="B3958">
        <f>TEXT(3957, "[$-0E0000]yyyy-mm-dd")</f>
        <v/>
      </c>
      <c r="C3958" t="inlineStr">
        <is>
          <t>1910-09-30</t>
        </is>
      </c>
    </row>
    <row r="3959">
      <c r="A3959" s="1" t="n">
        <v>3958</v>
      </c>
      <c r="B3959">
        <f>TEXT(3958, "[$-0E0000]yyyy-mm-dd")</f>
        <v/>
      </c>
      <c r="C3959" t="inlineStr">
        <is>
          <t>1910-10-01</t>
        </is>
      </c>
    </row>
    <row r="3960">
      <c r="A3960" s="1" t="n">
        <v>3959</v>
      </c>
      <c r="B3960">
        <f>TEXT(3959, "[$-0E0000]yyyy-mm-dd")</f>
        <v/>
      </c>
      <c r="C3960" t="inlineStr">
        <is>
          <t>1910-10-02</t>
        </is>
      </c>
    </row>
    <row r="3961">
      <c r="A3961" s="1" t="n">
        <v>3960</v>
      </c>
      <c r="B3961">
        <f>TEXT(3960, "[$-0E0000]yyyy-mm-dd")</f>
        <v/>
      </c>
      <c r="C3961" t="inlineStr">
        <is>
          <t>1910-10-03</t>
        </is>
      </c>
    </row>
    <row r="3962">
      <c r="A3962" s="1" t="n">
        <v>3961</v>
      </c>
      <c r="B3962">
        <f>TEXT(3961, "[$-0E0000]yyyy-mm-dd")</f>
        <v/>
      </c>
      <c r="C3962" t="inlineStr">
        <is>
          <t>1910-10-04</t>
        </is>
      </c>
    </row>
    <row r="3963">
      <c r="A3963" s="1" t="n">
        <v>3962</v>
      </c>
      <c r="B3963">
        <f>TEXT(3962, "[$-0E0000]yyyy-mm-dd")</f>
        <v/>
      </c>
      <c r="C3963" t="inlineStr">
        <is>
          <t>1910-10-05</t>
        </is>
      </c>
    </row>
    <row r="3964">
      <c r="A3964" s="1" t="n">
        <v>3963</v>
      </c>
      <c r="B3964">
        <f>TEXT(3963, "[$-0E0000]yyyy-mm-dd")</f>
        <v/>
      </c>
      <c r="C3964" t="inlineStr">
        <is>
          <t>1910-10-06</t>
        </is>
      </c>
    </row>
    <row r="3965">
      <c r="A3965" s="1" t="n">
        <v>3964</v>
      </c>
      <c r="B3965">
        <f>TEXT(3964, "[$-0E0000]yyyy-mm-dd")</f>
        <v/>
      </c>
      <c r="C3965" t="inlineStr">
        <is>
          <t>1910-10-07</t>
        </is>
      </c>
    </row>
    <row r="3966">
      <c r="A3966" s="1" t="n">
        <v>3965</v>
      </c>
      <c r="B3966">
        <f>TEXT(3965, "[$-0E0000]yyyy-mm-dd")</f>
        <v/>
      </c>
      <c r="C3966" t="inlineStr">
        <is>
          <t>1910-10-08</t>
        </is>
      </c>
    </row>
    <row r="3967">
      <c r="A3967" s="1" t="n">
        <v>3966</v>
      </c>
      <c r="B3967">
        <f>TEXT(3966, "[$-0E0000]yyyy-mm-dd")</f>
        <v/>
      </c>
      <c r="C3967" t="inlineStr">
        <is>
          <t>1910-10-09</t>
        </is>
      </c>
    </row>
    <row r="3968">
      <c r="A3968" s="1" t="n">
        <v>3967</v>
      </c>
      <c r="B3968">
        <f>TEXT(3967, "[$-0E0000]yyyy-mm-dd")</f>
        <v/>
      </c>
      <c r="C3968" t="inlineStr">
        <is>
          <t>1910-10-10</t>
        </is>
      </c>
    </row>
    <row r="3969">
      <c r="A3969" s="1" t="n">
        <v>3968</v>
      </c>
      <c r="B3969">
        <f>TEXT(3968, "[$-0E0000]yyyy-mm-dd")</f>
        <v/>
      </c>
      <c r="C3969" t="inlineStr">
        <is>
          <t>1910-10-11</t>
        </is>
      </c>
    </row>
    <row r="3970">
      <c r="A3970" s="1" t="n">
        <v>3969</v>
      </c>
      <c r="B3970">
        <f>TEXT(3969, "[$-0E0000]yyyy-mm-dd")</f>
        <v/>
      </c>
      <c r="C3970" t="inlineStr">
        <is>
          <t>1910-10-12</t>
        </is>
      </c>
    </row>
    <row r="3971">
      <c r="A3971" s="1" t="n">
        <v>3970</v>
      </c>
      <c r="B3971">
        <f>TEXT(3970, "[$-0E0000]yyyy-mm-dd")</f>
        <v/>
      </c>
      <c r="C3971" t="inlineStr">
        <is>
          <t>1910-10-13</t>
        </is>
      </c>
    </row>
    <row r="3972">
      <c r="A3972" s="1" t="n">
        <v>3971</v>
      </c>
      <c r="B3972">
        <f>TEXT(3971, "[$-0E0000]yyyy-mm-dd")</f>
        <v/>
      </c>
      <c r="C3972" t="inlineStr">
        <is>
          <t>1910-10-14</t>
        </is>
      </c>
    </row>
    <row r="3973">
      <c r="A3973" s="1" t="n">
        <v>3972</v>
      </c>
      <c r="B3973">
        <f>TEXT(3972, "[$-0E0000]yyyy-mm-dd")</f>
        <v/>
      </c>
      <c r="C3973" t="inlineStr">
        <is>
          <t>1910-10-15</t>
        </is>
      </c>
    </row>
    <row r="3974">
      <c r="A3974" s="1" t="n">
        <v>3973</v>
      </c>
      <c r="B3974">
        <f>TEXT(3973, "[$-0E0000]yyyy-mm-dd")</f>
        <v/>
      </c>
      <c r="C3974" t="inlineStr">
        <is>
          <t>1910-10-16</t>
        </is>
      </c>
    </row>
    <row r="3975">
      <c r="A3975" s="1" t="n">
        <v>3974</v>
      </c>
      <c r="B3975">
        <f>TEXT(3974, "[$-0E0000]yyyy-mm-dd")</f>
        <v/>
      </c>
      <c r="C3975" t="inlineStr">
        <is>
          <t>1910-10-17</t>
        </is>
      </c>
    </row>
    <row r="3976">
      <c r="A3976" s="1" t="n">
        <v>3975</v>
      </c>
      <c r="B3976">
        <f>TEXT(3975, "[$-0E0000]yyyy-mm-dd")</f>
        <v/>
      </c>
      <c r="C3976" t="inlineStr">
        <is>
          <t>1910-10-18</t>
        </is>
      </c>
    </row>
    <row r="3977">
      <c r="A3977" s="1" t="n">
        <v>3976</v>
      </c>
      <c r="B3977">
        <f>TEXT(3976, "[$-0E0000]yyyy-mm-dd")</f>
        <v/>
      </c>
      <c r="C3977" t="inlineStr">
        <is>
          <t>1910-10-19</t>
        </is>
      </c>
    </row>
    <row r="3978">
      <c r="A3978" s="1" t="n">
        <v>3977</v>
      </c>
      <c r="B3978">
        <f>TEXT(3977, "[$-0E0000]yyyy-mm-dd")</f>
        <v/>
      </c>
      <c r="C3978" t="inlineStr">
        <is>
          <t>1910-10-20</t>
        </is>
      </c>
    </row>
    <row r="3979">
      <c r="A3979" s="1" t="n">
        <v>3978</v>
      </c>
      <c r="B3979">
        <f>TEXT(3978, "[$-0E0000]yyyy-mm-dd")</f>
        <v/>
      </c>
      <c r="C3979" t="inlineStr">
        <is>
          <t>1910-10-21</t>
        </is>
      </c>
    </row>
    <row r="3980">
      <c r="A3980" s="1" t="n">
        <v>3979</v>
      </c>
      <c r="B3980">
        <f>TEXT(3979, "[$-0E0000]yyyy-mm-dd")</f>
        <v/>
      </c>
      <c r="C3980" t="inlineStr">
        <is>
          <t>1910-10-22</t>
        </is>
      </c>
    </row>
    <row r="3981">
      <c r="A3981" s="1" t="n">
        <v>3980</v>
      </c>
      <c r="B3981">
        <f>TEXT(3980, "[$-0E0000]yyyy-mm-dd")</f>
        <v/>
      </c>
      <c r="C3981" t="inlineStr">
        <is>
          <t>1910-10-23</t>
        </is>
      </c>
    </row>
    <row r="3982">
      <c r="A3982" s="1" t="n">
        <v>3981</v>
      </c>
      <c r="B3982">
        <f>TEXT(3981, "[$-0E0000]yyyy-mm-dd")</f>
        <v/>
      </c>
      <c r="C3982" t="inlineStr">
        <is>
          <t>1910-10-24</t>
        </is>
      </c>
    </row>
    <row r="3983">
      <c r="A3983" s="1" t="n">
        <v>3982</v>
      </c>
      <c r="B3983">
        <f>TEXT(3982, "[$-0E0000]yyyy-mm-dd")</f>
        <v/>
      </c>
      <c r="C3983" t="inlineStr">
        <is>
          <t>1910-10-25</t>
        </is>
      </c>
    </row>
    <row r="3984">
      <c r="A3984" s="1" t="n">
        <v>3983</v>
      </c>
      <c r="B3984">
        <f>TEXT(3983, "[$-0E0000]yyyy-mm-dd")</f>
        <v/>
      </c>
      <c r="C3984" t="inlineStr">
        <is>
          <t>1910-10-26</t>
        </is>
      </c>
    </row>
    <row r="3985">
      <c r="A3985" s="1" t="n">
        <v>3984</v>
      </c>
      <c r="B3985">
        <f>TEXT(3984, "[$-0E0000]yyyy-mm-dd")</f>
        <v/>
      </c>
      <c r="C3985" t="inlineStr">
        <is>
          <t>1910-10-27</t>
        </is>
      </c>
    </row>
    <row r="3986">
      <c r="A3986" s="1" t="n">
        <v>3985</v>
      </c>
      <c r="B3986">
        <f>TEXT(3985, "[$-0E0000]yyyy-mm-dd")</f>
        <v/>
      </c>
      <c r="C3986" t="inlineStr">
        <is>
          <t>1910-10-28</t>
        </is>
      </c>
    </row>
    <row r="3987">
      <c r="A3987" s="1" t="n">
        <v>3986</v>
      </c>
      <c r="B3987">
        <f>TEXT(3986, "[$-0E0000]yyyy-mm-dd")</f>
        <v/>
      </c>
      <c r="C3987" t="inlineStr">
        <is>
          <t>1910-10-29</t>
        </is>
      </c>
    </row>
    <row r="3988">
      <c r="A3988" s="1" t="n">
        <v>3987</v>
      </c>
      <c r="B3988">
        <f>TEXT(3987, "[$-0E0000]yyyy-mm-dd")</f>
        <v/>
      </c>
      <c r="C3988" t="inlineStr">
        <is>
          <t>1910-10-30</t>
        </is>
      </c>
    </row>
    <row r="3989">
      <c r="A3989" s="1" t="n">
        <v>3988</v>
      </c>
      <c r="B3989">
        <f>TEXT(3988, "[$-0E0000]yyyy-mm-dd")</f>
        <v/>
      </c>
      <c r="C3989" t="inlineStr">
        <is>
          <t>1910-11-01</t>
        </is>
      </c>
    </row>
    <row r="3990">
      <c r="A3990" s="1" t="n">
        <v>3989</v>
      </c>
      <c r="B3990">
        <f>TEXT(3989, "[$-0E0000]yyyy-mm-dd")</f>
        <v/>
      </c>
      <c r="C3990" t="inlineStr">
        <is>
          <t>1910-11-02</t>
        </is>
      </c>
    </row>
    <row r="3991">
      <c r="A3991" s="1" t="n">
        <v>3990</v>
      </c>
      <c r="B3991">
        <f>TEXT(3990, "[$-0E0000]yyyy-mm-dd")</f>
        <v/>
      </c>
      <c r="C3991" t="inlineStr">
        <is>
          <t>1910-11-03</t>
        </is>
      </c>
    </row>
    <row r="3992">
      <c r="A3992" s="1" t="n">
        <v>3991</v>
      </c>
      <c r="B3992">
        <f>TEXT(3991, "[$-0E0000]yyyy-mm-dd")</f>
        <v/>
      </c>
      <c r="C3992" t="inlineStr">
        <is>
          <t>1910-11-04</t>
        </is>
      </c>
    </row>
    <row r="3993">
      <c r="A3993" s="1" t="n">
        <v>3992</v>
      </c>
      <c r="B3993">
        <f>TEXT(3992, "[$-0E0000]yyyy-mm-dd")</f>
        <v/>
      </c>
      <c r="C3993" t="inlineStr">
        <is>
          <t>1910-11-05</t>
        </is>
      </c>
    </row>
    <row r="3994">
      <c r="A3994" s="1" t="n">
        <v>3993</v>
      </c>
      <c r="B3994">
        <f>TEXT(3993, "[$-0E0000]yyyy-mm-dd")</f>
        <v/>
      </c>
      <c r="C3994" t="inlineStr">
        <is>
          <t>1910-11-06</t>
        </is>
      </c>
    </row>
    <row r="3995">
      <c r="A3995" s="1" t="n">
        <v>3994</v>
      </c>
      <c r="B3995">
        <f>TEXT(3994, "[$-0E0000]yyyy-mm-dd")</f>
        <v/>
      </c>
      <c r="C3995" t="inlineStr">
        <is>
          <t>1910-11-07</t>
        </is>
      </c>
    </row>
    <row r="3996">
      <c r="A3996" s="1" t="n">
        <v>3995</v>
      </c>
      <c r="B3996">
        <f>TEXT(3995, "[$-0E0000]yyyy-mm-dd")</f>
        <v/>
      </c>
      <c r="C3996" t="inlineStr">
        <is>
          <t>1910-11-08</t>
        </is>
      </c>
    </row>
    <row r="3997">
      <c r="A3997" s="1" t="n">
        <v>3996</v>
      </c>
      <c r="B3997">
        <f>TEXT(3996, "[$-0E0000]yyyy-mm-dd")</f>
        <v/>
      </c>
      <c r="C3997" t="inlineStr">
        <is>
          <t>1910-11-09</t>
        </is>
      </c>
    </row>
    <row r="3998">
      <c r="A3998" s="1" t="n">
        <v>3997</v>
      </c>
      <c r="B3998">
        <f>TEXT(3997, "[$-0E0000]yyyy-mm-dd")</f>
        <v/>
      </c>
      <c r="C3998" t="inlineStr">
        <is>
          <t>1910-11-10</t>
        </is>
      </c>
    </row>
    <row r="3999">
      <c r="A3999" s="1" t="n">
        <v>3998</v>
      </c>
      <c r="B3999">
        <f>TEXT(3998, "[$-0E0000]yyyy-mm-dd")</f>
        <v/>
      </c>
      <c r="C3999" t="inlineStr">
        <is>
          <t>1910-11-11</t>
        </is>
      </c>
    </row>
    <row r="4000">
      <c r="A4000" s="1" t="n">
        <v>3999</v>
      </c>
      <c r="B4000">
        <f>TEXT(3999, "[$-0E0000]yyyy-mm-dd")</f>
        <v/>
      </c>
      <c r="C4000" t="inlineStr">
        <is>
          <t>1910-11-12</t>
        </is>
      </c>
    </row>
    <row r="4001">
      <c r="A4001" s="1" t="n">
        <v>4000</v>
      </c>
      <c r="B4001">
        <f>TEXT(4000, "[$-0E0000]yyyy-mm-dd")</f>
        <v/>
      </c>
      <c r="C4001" t="inlineStr">
        <is>
          <t>1910-11-13</t>
        </is>
      </c>
    </row>
    <row r="4002">
      <c r="A4002" s="1" t="n">
        <v>4001</v>
      </c>
      <c r="B4002">
        <f>TEXT(4001, "[$-0E0000]yyyy-mm-dd")</f>
        <v/>
      </c>
      <c r="C4002" t="inlineStr">
        <is>
          <t>1910-11-14</t>
        </is>
      </c>
    </row>
    <row r="4003">
      <c r="A4003" s="1" t="n">
        <v>4002</v>
      </c>
      <c r="B4003">
        <f>TEXT(4002, "[$-0E0000]yyyy-mm-dd")</f>
        <v/>
      </c>
      <c r="C4003" t="inlineStr">
        <is>
          <t>1910-11-15</t>
        </is>
      </c>
    </row>
    <row r="4004">
      <c r="A4004" s="1" t="n">
        <v>4003</v>
      </c>
      <c r="B4004">
        <f>TEXT(4003, "[$-0E0000]yyyy-mm-dd")</f>
        <v/>
      </c>
      <c r="C4004" t="inlineStr">
        <is>
          <t>1910-11-16</t>
        </is>
      </c>
    </row>
    <row r="4005">
      <c r="A4005" s="1" t="n">
        <v>4004</v>
      </c>
      <c r="B4005">
        <f>TEXT(4004, "[$-0E0000]yyyy-mm-dd")</f>
        <v/>
      </c>
      <c r="C4005" t="inlineStr">
        <is>
          <t>1910-11-17</t>
        </is>
      </c>
    </row>
    <row r="4006">
      <c r="A4006" s="1" t="n">
        <v>4005</v>
      </c>
      <c r="B4006">
        <f>TEXT(4005, "[$-0E0000]yyyy-mm-dd")</f>
        <v/>
      </c>
      <c r="C4006" t="inlineStr">
        <is>
          <t>1910-11-18</t>
        </is>
      </c>
    </row>
    <row r="4007">
      <c r="A4007" s="1" t="n">
        <v>4006</v>
      </c>
      <c r="B4007">
        <f>TEXT(4006, "[$-0E0000]yyyy-mm-dd")</f>
        <v/>
      </c>
      <c r="C4007" t="inlineStr">
        <is>
          <t>1910-11-19</t>
        </is>
      </c>
    </row>
    <row r="4008">
      <c r="A4008" s="1" t="n">
        <v>4007</v>
      </c>
      <c r="B4008">
        <f>TEXT(4007, "[$-0E0000]yyyy-mm-dd")</f>
        <v/>
      </c>
      <c r="C4008" t="inlineStr">
        <is>
          <t>1910-11-20</t>
        </is>
      </c>
    </row>
    <row r="4009">
      <c r="A4009" s="1" t="n">
        <v>4008</v>
      </c>
      <c r="B4009">
        <f>TEXT(4008, "[$-0E0000]yyyy-mm-dd")</f>
        <v/>
      </c>
      <c r="C4009" t="inlineStr">
        <is>
          <t>1910-11-21</t>
        </is>
      </c>
    </row>
    <row r="4010">
      <c r="A4010" s="1" t="n">
        <v>4009</v>
      </c>
      <c r="B4010">
        <f>TEXT(4009, "[$-0E0000]yyyy-mm-dd")</f>
        <v/>
      </c>
      <c r="C4010" t="inlineStr">
        <is>
          <t>1910-11-22</t>
        </is>
      </c>
    </row>
    <row r="4011">
      <c r="A4011" s="1" t="n">
        <v>4010</v>
      </c>
      <c r="B4011">
        <f>TEXT(4010, "[$-0E0000]yyyy-mm-dd")</f>
        <v/>
      </c>
      <c r="C4011" t="inlineStr">
        <is>
          <t>1910-11-23</t>
        </is>
      </c>
    </row>
    <row r="4012">
      <c r="A4012" s="1" t="n">
        <v>4011</v>
      </c>
      <c r="B4012">
        <f>TEXT(4011, "[$-0E0000]yyyy-mm-dd")</f>
        <v/>
      </c>
      <c r="C4012" t="inlineStr">
        <is>
          <t>1910-11-24</t>
        </is>
      </c>
    </row>
    <row r="4013">
      <c r="A4013" s="1" t="n">
        <v>4012</v>
      </c>
      <c r="B4013">
        <f>TEXT(4012, "[$-0E0000]yyyy-mm-dd")</f>
        <v/>
      </c>
      <c r="C4013" t="inlineStr">
        <is>
          <t>1910-11-25</t>
        </is>
      </c>
    </row>
    <row r="4014">
      <c r="A4014" s="1" t="n">
        <v>4013</v>
      </c>
      <c r="B4014">
        <f>TEXT(4013, "[$-0E0000]yyyy-mm-dd")</f>
        <v/>
      </c>
      <c r="C4014" t="inlineStr">
        <is>
          <t>1910-11-26</t>
        </is>
      </c>
    </row>
    <row r="4015">
      <c r="A4015" s="1" t="n">
        <v>4014</v>
      </c>
      <c r="B4015">
        <f>TEXT(4014, "[$-0E0000]yyyy-mm-dd")</f>
        <v/>
      </c>
      <c r="C4015" t="inlineStr">
        <is>
          <t>1910-11-27</t>
        </is>
      </c>
    </row>
    <row r="4016">
      <c r="A4016" s="1" t="n">
        <v>4015</v>
      </c>
      <c r="B4016">
        <f>TEXT(4015, "[$-0E0000]yyyy-mm-dd")</f>
        <v/>
      </c>
      <c r="C4016" t="inlineStr">
        <is>
          <t>1910-11-28</t>
        </is>
      </c>
    </row>
    <row r="4017">
      <c r="A4017" s="1" t="n">
        <v>4016</v>
      </c>
      <c r="B4017">
        <f>TEXT(4016, "[$-0E0000]yyyy-mm-dd")</f>
        <v/>
      </c>
      <c r="C4017" t="inlineStr">
        <is>
          <t>1910-11-29</t>
        </is>
      </c>
    </row>
    <row r="4018">
      <c r="A4018" s="1" t="n">
        <v>4017</v>
      </c>
      <c r="B4018">
        <f>TEXT(4017, "[$-0E0000]yyyy-mm-dd")</f>
        <v/>
      </c>
      <c r="C4018" t="inlineStr">
        <is>
          <t>1910-11-30</t>
        </is>
      </c>
    </row>
    <row r="4019">
      <c r="A4019" s="1" t="n">
        <v>4018</v>
      </c>
      <c r="B4019">
        <f>TEXT(4018, "[$-0E0000]yyyy-mm-dd")</f>
        <v/>
      </c>
      <c r="C4019" t="inlineStr">
        <is>
          <t>1910-12-01</t>
        </is>
      </c>
    </row>
    <row r="4020">
      <c r="A4020" s="1" t="n">
        <v>4019</v>
      </c>
      <c r="B4020">
        <f>TEXT(4019, "[$-0E0000]yyyy-mm-dd")</f>
        <v/>
      </c>
      <c r="C4020" t="inlineStr">
        <is>
          <t>1910-12-02</t>
        </is>
      </c>
    </row>
    <row r="4021">
      <c r="A4021" s="1" t="n">
        <v>4020</v>
      </c>
      <c r="B4021">
        <f>TEXT(4020, "[$-0E0000]yyyy-mm-dd")</f>
        <v/>
      </c>
      <c r="C4021" t="inlineStr">
        <is>
          <t>1910-12-03</t>
        </is>
      </c>
    </row>
    <row r="4022">
      <c r="A4022" s="1" t="n">
        <v>4021</v>
      </c>
      <c r="B4022">
        <f>TEXT(4021, "[$-0E0000]yyyy-mm-dd")</f>
        <v/>
      </c>
      <c r="C4022" t="inlineStr">
        <is>
          <t>1910-12-04</t>
        </is>
      </c>
    </row>
    <row r="4023">
      <c r="A4023" s="1" t="n">
        <v>4022</v>
      </c>
      <c r="B4023">
        <f>TEXT(4022, "[$-0E0000]yyyy-mm-dd")</f>
        <v/>
      </c>
      <c r="C4023" t="inlineStr">
        <is>
          <t>1910-12-05</t>
        </is>
      </c>
    </row>
    <row r="4024">
      <c r="A4024" s="1" t="n">
        <v>4023</v>
      </c>
      <c r="B4024">
        <f>TEXT(4023, "[$-0E0000]yyyy-mm-dd")</f>
        <v/>
      </c>
      <c r="C4024" t="inlineStr">
        <is>
          <t>1910-12-06</t>
        </is>
      </c>
    </row>
    <row r="4025">
      <c r="A4025" s="1" t="n">
        <v>4024</v>
      </c>
      <c r="B4025">
        <f>TEXT(4024, "[$-0E0000]yyyy-mm-dd")</f>
        <v/>
      </c>
      <c r="C4025" t="inlineStr">
        <is>
          <t>1910-12-07</t>
        </is>
      </c>
    </row>
    <row r="4026">
      <c r="A4026" s="1" t="n">
        <v>4025</v>
      </c>
      <c r="B4026">
        <f>TEXT(4025, "[$-0E0000]yyyy-mm-dd")</f>
        <v/>
      </c>
      <c r="C4026" t="inlineStr">
        <is>
          <t>1910-12-08</t>
        </is>
      </c>
    </row>
    <row r="4027">
      <c r="A4027" s="1" t="n">
        <v>4026</v>
      </c>
      <c r="B4027">
        <f>TEXT(4026, "[$-0E0000]yyyy-mm-dd")</f>
        <v/>
      </c>
      <c r="C4027" t="inlineStr">
        <is>
          <t>1910-12-09</t>
        </is>
      </c>
    </row>
    <row r="4028">
      <c r="A4028" s="1" t="n">
        <v>4027</v>
      </c>
      <c r="B4028">
        <f>TEXT(4027, "[$-0E0000]yyyy-mm-dd")</f>
        <v/>
      </c>
      <c r="C4028" t="inlineStr">
        <is>
          <t>1910-12-10</t>
        </is>
      </c>
    </row>
    <row r="4029">
      <c r="A4029" s="1" t="n">
        <v>4028</v>
      </c>
      <c r="B4029">
        <f>TEXT(4028, "[$-0E0000]yyyy-mm-dd")</f>
        <v/>
      </c>
      <c r="C4029" t="inlineStr">
        <is>
          <t>1910-12-11</t>
        </is>
      </c>
    </row>
    <row r="4030">
      <c r="A4030" s="1" t="n">
        <v>4029</v>
      </c>
      <c r="B4030">
        <f>TEXT(4029, "[$-0E0000]yyyy-mm-dd")</f>
        <v/>
      </c>
      <c r="C4030" t="inlineStr">
        <is>
          <t>1910-12-12</t>
        </is>
      </c>
    </row>
    <row r="4031">
      <c r="A4031" s="1" t="n">
        <v>4030</v>
      </c>
      <c r="B4031">
        <f>TEXT(4030, "[$-0E0000]yyyy-mm-dd")</f>
        <v/>
      </c>
      <c r="C4031" t="inlineStr">
        <is>
          <t>1910-12-13</t>
        </is>
      </c>
    </row>
    <row r="4032">
      <c r="A4032" s="1" t="n">
        <v>4031</v>
      </c>
      <c r="B4032">
        <f>TEXT(4031, "[$-0E0000]yyyy-mm-dd")</f>
        <v/>
      </c>
      <c r="C4032" t="inlineStr">
        <is>
          <t>1910-12-14</t>
        </is>
      </c>
    </row>
    <row r="4033">
      <c r="A4033" s="1" t="n">
        <v>4032</v>
      </c>
      <c r="B4033">
        <f>TEXT(4032, "[$-0E0000]yyyy-mm-dd")</f>
        <v/>
      </c>
      <c r="C4033" t="inlineStr">
        <is>
          <t>1910-12-15</t>
        </is>
      </c>
    </row>
    <row r="4034">
      <c r="A4034" s="1" t="n">
        <v>4033</v>
      </c>
      <c r="B4034">
        <f>TEXT(4033, "[$-0E0000]yyyy-mm-dd")</f>
        <v/>
      </c>
      <c r="C4034" t="inlineStr">
        <is>
          <t>1910-12-16</t>
        </is>
      </c>
    </row>
    <row r="4035">
      <c r="A4035" s="1" t="n">
        <v>4034</v>
      </c>
      <c r="B4035">
        <f>TEXT(4034, "[$-0E0000]yyyy-mm-dd")</f>
        <v/>
      </c>
      <c r="C4035" t="inlineStr">
        <is>
          <t>1910-12-17</t>
        </is>
      </c>
    </row>
    <row r="4036">
      <c r="A4036" s="1" t="n">
        <v>4035</v>
      </c>
      <c r="B4036">
        <f>TEXT(4035, "[$-0E0000]yyyy-mm-dd")</f>
        <v/>
      </c>
      <c r="C4036" t="inlineStr">
        <is>
          <t>1910-12-18</t>
        </is>
      </c>
    </row>
    <row r="4037">
      <c r="A4037" s="1" t="n">
        <v>4036</v>
      </c>
      <c r="B4037">
        <f>TEXT(4036, "[$-0E0000]yyyy-mm-dd")</f>
        <v/>
      </c>
      <c r="C4037" t="inlineStr">
        <is>
          <t>1910-12-19</t>
        </is>
      </c>
    </row>
    <row r="4038">
      <c r="A4038" s="1" t="n">
        <v>4037</v>
      </c>
      <c r="B4038">
        <f>TEXT(4037, "[$-0E0000]yyyy-mm-dd")</f>
        <v/>
      </c>
      <c r="C4038" t="inlineStr">
        <is>
          <t>1910-12-20</t>
        </is>
      </c>
    </row>
    <row r="4039">
      <c r="A4039" s="1" t="n">
        <v>4038</v>
      </c>
      <c r="B4039">
        <f>TEXT(4038, "[$-0E0000]yyyy-mm-dd")</f>
        <v/>
      </c>
      <c r="C4039" t="inlineStr">
        <is>
          <t>1910-12-21</t>
        </is>
      </c>
    </row>
    <row r="4040">
      <c r="A4040" s="1" t="n">
        <v>4039</v>
      </c>
      <c r="B4040">
        <f>TEXT(4039, "[$-0E0000]yyyy-mm-dd")</f>
        <v/>
      </c>
      <c r="C4040" t="inlineStr">
        <is>
          <t>1910-12-22</t>
        </is>
      </c>
    </row>
    <row r="4041">
      <c r="A4041" s="1" t="n">
        <v>4040</v>
      </c>
      <c r="B4041">
        <f>TEXT(4040, "[$-0E0000]yyyy-mm-dd")</f>
        <v/>
      </c>
      <c r="C4041" t="inlineStr">
        <is>
          <t>1910-12-23</t>
        </is>
      </c>
    </row>
    <row r="4042">
      <c r="A4042" s="1" t="n">
        <v>4041</v>
      </c>
      <c r="B4042">
        <f>TEXT(4041, "[$-0E0000]yyyy-mm-dd")</f>
        <v/>
      </c>
      <c r="C4042" t="inlineStr">
        <is>
          <t>1910-12-24</t>
        </is>
      </c>
    </row>
    <row r="4043">
      <c r="A4043" s="1" t="n">
        <v>4042</v>
      </c>
      <c r="B4043">
        <f>TEXT(4042, "[$-0E0000]yyyy-mm-dd")</f>
        <v/>
      </c>
      <c r="C4043" t="inlineStr">
        <is>
          <t>1910-12-25</t>
        </is>
      </c>
    </row>
    <row r="4044">
      <c r="A4044" s="1" t="n">
        <v>4043</v>
      </c>
      <c r="B4044">
        <f>TEXT(4043, "[$-0E0000]yyyy-mm-dd")</f>
        <v/>
      </c>
      <c r="C4044" t="inlineStr">
        <is>
          <t>1910-12-26</t>
        </is>
      </c>
    </row>
    <row r="4045">
      <c r="A4045" s="1" t="n">
        <v>4044</v>
      </c>
      <c r="B4045">
        <f>TEXT(4044, "[$-0E0000]yyyy-mm-dd")</f>
        <v/>
      </c>
      <c r="C4045" t="inlineStr">
        <is>
          <t>1910-12-27</t>
        </is>
      </c>
    </row>
    <row r="4046">
      <c r="A4046" s="1" t="n">
        <v>4045</v>
      </c>
      <c r="B4046">
        <f>TEXT(4045, "[$-0E0000]yyyy-mm-dd")</f>
        <v/>
      </c>
      <c r="C4046" t="inlineStr">
        <is>
          <t>1910-12-28</t>
        </is>
      </c>
    </row>
    <row r="4047">
      <c r="A4047" s="1" t="n">
        <v>4046</v>
      </c>
      <c r="B4047">
        <f>TEXT(4046, "[$-0E0000]yyyy-mm-dd")</f>
        <v/>
      </c>
      <c r="C4047" t="inlineStr">
        <is>
          <t>1910-12-29</t>
        </is>
      </c>
    </row>
    <row r="4048">
      <c r="A4048" s="1" t="n">
        <v>4047</v>
      </c>
      <c r="B4048">
        <f>TEXT(4047, "[$-0E0000]yyyy-mm-dd")</f>
        <v/>
      </c>
      <c r="C4048" t="inlineStr">
        <is>
          <t>1911-01-01</t>
        </is>
      </c>
    </row>
    <row r="4049">
      <c r="A4049" s="1" t="n">
        <v>4048</v>
      </c>
      <c r="B4049">
        <f>TEXT(4048, "[$-0E0000]yyyy-mm-dd")</f>
        <v/>
      </c>
      <c r="C4049" t="inlineStr">
        <is>
          <t>1911-01-02</t>
        </is>
      </c>
    </row>
    <row r="4050">
      <c r="A4050" s="1" t="n">
        <v>4049</v>
      </c>
      <c r="B4050">
        <f>TEXT(4049, "[$-0E0000]yyyy-mm-dd")</f>
        <v/>
      </c>
      <c r="C4050" t="inlineStr">
        <is>
          <t>1911-01-03</t>
        </is>
      </c>
    </row>
    <row r="4051">
      <c r="A4051" s="1" t="n">
        <v>4050</v>
      </c>
      <c r="B4051">
        <f>TEXT(4050, "[$-0E0000]yyyy-mm-dd")</f>
        <v/>
      </c>
      <c r="C4051" t="inlineStr">
        <is>
          <t>1911-01-04</t>
        </is>
      </c>
    </row>
    <row r="4052">
      <c r="A4052" s="1" t="n">
        <v>4051</v>
      </c>
      <c r="B4052">
        <f>TEXT(4051, "[$-0E0000]yyyy-mm-dd")</f>
        <v/>
      </c>
      <c r="C4052" t="inlineStr">
        <is>
          <t>1911-01-05</t>
        </is>
      </c>
    </row>
    <row r="4053">
      <c r="A4053" s="1" t="n">
        <v>4052</v>
      </c>
      <c r="B4053">
        <f>TEXT(4052, "[$-0E0000]yyyy-mm-dd")</f>
        <v/>
      </c>
      <c r="C4053" t="inlineStr">
        <is>
          <t>1911-01-06</t>
        </is>
      </c>
    </row>
    <row r="4054">
      <c r="A4054" s="1" t="n">
        <v>4053</v>
      </c>
      <c r="B4054">
        <f>TEXT(4053, "[$-0E0000]yyyy-mm-dd")</f>
        <v/>
      </c>
      <c r="C4054" t="inlineStr">
        <is>
          <t>1911-01-07</t>
        </is>
      </c>
    </row>
    <row r="4055">
      <c r="A4055" s="1" t="n">
        <v>4054</v>
      </c>
      <c r="B4055">
        <f>TEXT(4054, "[$-0E0000]yyyy-mm-dd")</f>
        <v/>
      </c>
      <c r="C4055" t="inlineStr">
        <is>
          <t>1911-01-08</t>
        </is>
      </c>
    </row>
    <row r="4056">
      <c r="A4056" s="1" t="n">
        <v>4055</v>
      </c>
      <c r="B4056">
        <f>TEXT(4055, "[$-0E0000]yyyy-mm-dd")</f>
        <v/>
      </c>
      <c r="C4056" t="inlineStr">
        <is>
          <t>1911-01-09</t>
        </is>
      </c>
    </row>
    <row r="4057">
      <c r="A4057" s="1" t="n">
        <v>4056</v>
      </c>
      <c r="B4057">
        <f>TEXT(4056, "[$-0E0000]yyyy-mm-dd")</f>
        <v/>
      </c>
      <c r="C4057" t="inlineStr">
        <is>
          <t>1911-01-10</t>
        </is>
      </c>
    </row>
    <row r="4058">
      <c r="A4058" s="1" t="n">
        <v>4057</v>
      </c>
      <c r="B4058">
        <f>TEXT(4057, "[$-0E0000]yyyy-mm-dd")</f>
        <v/>
      </c>
      <c r="C4058" t="inlineStr">
        <is>
          <t>1911-01-11</t>
        </is>
      </c>
    </row>
    <row r="4059">
      <c r="A4059" s="1" t="n">
        <v>4058</v>
      </c>
      <c r="B4059">
        <f>TEXT(4058, "[$-0E0000]yyyy-mm-dd")</f>
        <v/>
      </c>
      <c r="C4059" t="inlineStr">
        <is>
          <t>1911-01-12</t>
        </is>
      </c>
    </row>
    <row r="4060">
      <c r="A4060" s="1" t="n">
        <v>4059</v>
      </c>
      <c r="B4060">
        <f>TEXT(4059, "[$-0E0000]yyyy-mm-dd")</f>
        <v/>
      </c>
      <c r="C4060" t="inlineStr">
        <is>
          <t>1911-01-13</t>
        </is>
      </c>
    </row>
    <row r="4061">
      <c r="A4061" s="1" t="n">
        <v>4060</v>
      </c>
      <c r="B4061">
        <f>TEXT(4060, "[$-0E0000]yyyy-mm-dd")</f>
        <v/>
      </c>
      <c r="C4061" t="inlineStr">
        <is>
          <t>1911-01-14</t>
        </is>
      </c>
    </row>
    <row r="4062">
      <c r="A4062" s="1" t="n">
        <v>4061</v>
      </c>
      <c r="B4062">
        <f>TEXT(4061, "[$-0E0000]yyyy-mm-dd")</f>
        <v/>
      </c>
      <c r="C4062" t="inlineStr">
        <is>
          <t>1911-01-15</t>
        </is>
      </c>
    </row>
    <row r="4063">
      <c r="A4063" s="1" t="n">
        <v>4062</v>
      </c>
      <c r="B4063">
        <f>TEXT(4062, "[$-0E0000]yyyy-mm-dd")</f>
        <v/>
      </c>
      <c r="C4063" t="inlineStr">
        <is>
          <t>1911-01-16</t>
        </is>
      </c>
    </row>
    <row r="4064">
      <c r="A4064" s="1" t="n">
        <v>4063</v>
      </c>
      <c r="B4064">
        <f>TEXT(4063, "[$-0E0000]yyyy-mm-dd")</f>
        <v/>
      </c>
      <c r="C4064" t="inlineStr">
        <is>
          <t>1911-01-17</t>
        </is>
      </c>
    </row>
    <row r="4065">
      <c r="A4065" s="1" t="n">
        <v>4064</v>
      </c>
      <c r="B4065">
        <f>TEXT(4064, "[$-0E0000]yyyy-mm-dd")</f>
        <v/>
      </c>
      <c r="C4065" t="inlineStr">
        <is>
          <t>1911-01-18</t>
        </is>
      </c>
    </row>
    <row r="4066">
      <c r="A4066" s="1" t="n">
        <v>4065</v>
      </c>
      <c r="B4066">
        <f>TEXT(4065, "[$-0E0000]yyyy-mm-dd")</f>
        <v/>
      </c>
      <c r="C4066" t="inlineStr">
        <is>
          <t>1911-01-19</t>
        </is>
      </c>
    </row>
    <row r="4067">
      <c r="A4067" s="1" t="n">
        <v>4066</v>
      </c>
      <c r="B4067">
        <f>TEXT(4066, "[$-0E0000]yyyy-mm-dd")</f>
        <v/>
      </c>
      <c r="C4067" t="inlineStr">
        <is>
          <t>1911-01-20</t>
        </is>
      </c>
    </row>
    <row r="4068">
      <c r="A4068" s="1" t="n">
        <v>4067</v>
      </c>
      <c r="B4068">
        <f>TEXT(4067, "[$-0E0000]yyyy-mm-dd")</f>
        <v/>
      </c>
      <c r="C4068" t="inlineStr">
        <is>
          <t>1911-01-21</t>
        </is>
      </c>
    </row>
    <row r="4069">
      <c r="A4069" s="1" t="n">
        <v>4068</v>
      </c>
      <c r="B4069">
        <f>TEXT(4068, "[$-0E0000]yyyy-mm-dd")</f>
        <v/>
      </c>
      <c r="C4069" t="inlineStr">
        <is>
          <t>1911-01-22</t>
        </is>
      </c>
    </row>
    <row r="4070">
      <c r="A4070" s="1" t="n">
        <v>4069</v>
      </c>
      <c r="B4070">
        <f>TEXT(4069, "[$-0E0000]yyyy-mm-dd")</f>
        <v/>
      </c>
      <c r="C4070" t="inlineStr">
        <is>
          <t>1911-01-23</t>
        </is>
      </c>
    </row>
    <row r="4071">
      <c r="A4071" s="1" t="n">
        <v>4070</v>
      </c>
      <c r="B4071">
        <f>TEXT(4070, "[$-0E0000]yyyy-mm-dd")</f>
        <v/>
      </c>
      <c r="C4071" t="inlineStr">
        <is>
          <t>1911-01-24</t>
        </is>
      </c>
    </row>
    <row r="4072">
      <c r="A4072" s="1" t="n">
        <v>4071</v>
      </c>
      <c r="B4072">
        <f>TEXT(4071, "[$-0E0000]yyyy-mm-dd")</f>
        <v/>
      </c>
      <c r="C4072" t="inlineStr">
        <is>
          <t>1911-01-25</t>
        </is>
      </c>
    </row>
    <row r="4073">
      <c r="A4073" s="1" t="n">
        <v>4072</v>
      </c>
      <c r="B4073">
        <f>TEXT(4072, "[$-0E0000]yyyy-mm-dd")</f>
        <v/>
      </c>
      <c r="C4073" t="inlineStr">
        <is>
          <t>1911-01-26</t>
        </is>
      </c>
    </row>
    <row r="4074">
      <c r="A4074" s="1" t="n">
        <v>4073</v>
      </c>
      <c r="B4074">
        <f>TEXT(4073, "[$-0E0000]yyyy-mm-dd")</f>
        <v/>
      </c>
      <c r="C4074" t="inlineStr">
        <is>
          <t>1911-01-27</t>
        </is>
      </c>
    </row>
    <row r="4075">
      <c r="A4075" s="1" t="n">
        <v>4074</v>
      </c>
      <c r="B4075">
        <f>TEXT(4074, "[$-0E0000]yyyy-mm-dd")</f>
        <v/>
      </c>
      <c r="C4075" t="inlineStr">
        <is>
          <t>1911-01-28</t>
        </is>
      </c>
    </row>
    <row r="4076">
      <c r="A4076" s="1" t="n">
        <v>4075</v>
      </c>
      <c r="B4076">
        <f>TEXT(4075, "[$-0E0000]yyyy-mm-dd")</f>
        <v/>
      </c>
      <c r="C4076" t="inlineStr">
        <is>
          <t>1911-01-29</t>
        </is>
      </c>
    </row>
    <row r="4077">
      <c r="A4077" s="1" t="n">
        <v>4076</v>
      </c>
      <c r="B4077">
        <f>TEXT(4076, "[$-0E0000]yyyy-mm-dd")</f>
        <v/>
      </c>
      <c r="C4077" t="inlineStr">
        <is>
          <t>1911-01-30</t>
        </is>
      </c>
    </row>
    <row r="4078">
      <c r="A4078" s="1" t="n">
        <v>4077</v>
      </c>
      <c r="B4078">
        <f>TEXT(4077, "[$-0E0000]yyyy-mm-dd")</f>
        <v/>
      </c>
      <c r="C4078" t="inlineStr">
        <is>
          <t>1911-02-01</t>
        </is>
      </c>
    </row>
    <row r="4079">
      <c r="A4079" s="1" t="n">
        <v>4078</v>
      </c>
      <c r="B4079">
        <f>TEXT(4078, "[$-0E0000]yyyy-mm-dd")</f>
        <v/>
      </c>
      <c r="C4079" t="inlineStr">
        <is>
          <t>1911-02-02</t>
        </is>
      </c>
    </row>
    <row r="4080">
      <c r="A4080" s="1" t="n">
        <v>4079</v>
      </c>
      <c r="B4080">
        <f>TEXT(4079, "[$-0E0000]yyyy-mm-dd")</f>
        <v/>
      </c>
      <c r="C4080" t="inlineStr">
        <is>
          <t>1911-02-03</t>
        </is>
      </c>
    </row>
    <row r="4081">
      <c r="A4081" s="1" t="n">
        <v>4080</v>
      </c>
      <c r="B4081">
        <f>TEXT(4080, "[$-0E0000]yyyy-mm-dd")</f>
        <v/>
      </c>
      <c r="C4081" t="inlineStr">
        <is>
          <t>1911-02-04</t>
        </is>
      </c>
    </row>
    <row r="4082">
      <c r="A4082" s="1" t="n">
        <v>4081</v>
      </c>
      <c r="B4082">
        <f>TEXT(4081, "[$-0E0000]yyyy-mm-dd")</f>
        <v/>
      </c>
      <c r="C4082" t="inlineStr">
        <is>
          <t>1911-02-05</t>
        </is>
      </c>
    </row>
    <row r="4083">
      <c r="A4083" s="1" t="n">
        <v>4082</v>
      </c>
      <c r="B4083">
        <f>TEXT(4082, "[$-0E0000]yyyy-mm-dd")</f>
        <v/>
      </c>
      <c r="C4083" t="inlineStr">
        <is>
          <t>1911-02-06</t>
        </is>
      </c>
    </row>
    <row r="4084">
      <c r="A4084" s="1" t="n">
        <v>4083</v>
      </c>
      <c r="B4084">
        <f>TEXT(4083, "[$-0E0000]yyyy-mm-dd")</f>
        <v/>
      </c>
      <c r="C4084" t="inlineStr">
        <is>
          <t>1911-02-07</t>
        </is>
      </c>
    </row>
    <row r="4085">
      <c r="A4085" s="1" t="n">
        <v>4084</v>
      </c>
      <c r="B4085">
        <f>TEXT(4084, "[$-0E0000]yyyy-mm-dd")</f>
        <v/>
      </c>
      <c r="C4085" t="inlineStr">
        <is>
          <t>1911-02-08</t>
        </is>
      </c>
    </row>
    <row r="4086">
      <c r="A4086" s="1" t="n">
        <v>4085</v>
      </c>
      <c r="B4086">
        <f>TEXT(4085, "[$-0E0000]yyyy-mm-dd")</f>
        <v/>
      </c>
      <c r="C4086" t="inlineStr">
        <is>
          <t>1911-02-09</t>
        </is>
      </c>
    </row>
    <row r="4087">
      <c r="A4087" s="1" t="n">
        <v>4086</v>
      </c>
      <c r="B4087">
        <f>TEXT(4086, "[$-0E0000]yyyy-mm-dd")</f>
        <v/>
      </c>
      <c r="C4087" t="inlineStr">
        <is>
          <t>1911-02-10</t>
        </is>
      </c>
    </row>
    <row r="4088">
      <c r="A4088" s="1" t="n">
        <v>4087</v>
      </c>
      <c r="B4088">
        <f>TEXT(4087, "[$-0E0000]yyyy-mm-dd")</f>
        <v/>
      </c>
      <c r="C4088" t="inlineStr">
        <is>
          <t>1911-02-11</t>
        </is>
      </c>
    </row>
    <row r="4089">
      <c r="A4089" s="1" t="n">
        <v>4088</v>
      </c>
      <c r="B4089">
        <f>TEXT(4088, "[$-0E0000]yyyy-mm-dd")</f>
        <v/>
      </c>
      <c r="C4089" t="inlineStr">
        <is>
          <t>1911-02-12</t>
        </is>
      </c>
    </row>
    <row r="4090">
      <c r="A4090" s="1" t="n">
        <v>4089</v>
      </c>
      <c r="B4090">
        <f>TEXT(4089, "[$-0E0000]yyyy-mm-dd")</f>
        <v/>
      </c>
      <c r="C4090" t="inlineStr">
        <is>
          <t>1911-02-13</t>
        </is>
      </c>
    </row>
    <row r="4091">
      <c r="A4091" s="1" t="n">
        <v>4090</v>
      </c>
      <c r="B4091">
        <f>TEXT(4090, "[$-0E0000]yyyy-mm-dd")</f>
        <v/>
      </c>
      <c r="C4091" t="inlineStr">
        <is>
          <t>1911-02-14</t>
        </is>
      </c>
    </row>
    <row r="4092">
      <c r="A4092" s="1" t="n">
        <v>4091</v>
      </c>
      <c r="B4092">
        <f>TEXT(4091, "[$-0E0000]yyyy-mm-dd")</f>
        <v/>
      </c>
      <c r="C4092" t="inlineStr">
        <is>
          <t>1911-02-15</t>
        </is>
      </c>
    </row>
    <row r="4093">
      <c r="A4093" s="1" t="n">
        <v>4092</v>
      </c>
      <c r="B4093">
        <f>TEXT(4092, "[$-0E0000]yyyy-mm-dd")</f>
        <v/>
      </c>
      <c r="C4093" t="inlineStr">
        <is>
          <t>1911-02-16</t>
        </is>
      </c>
    </row>
    <row r="4094">
      <c r="A4094" s="1" t="n">
        <v>4093</v>
      </c>
      <c r="B4094">
        <f>TEXT(4093, "[$-0E0000]yyyy-mm-dd")</f>
        <v/>
      </c>
      <c r="C4094" t="inlineStr">
        <is>
          <t>1911-02-17</t>
        </is>
      </c>
    </row>
    <row r="4095">
      <c r="A4095" s="1" t="n">
        <v>4094</v>
      </c>
      <c r="B4095">
        <f>TEXT(4094, "[$-0E0000]yyyy-mm-dd")</f>
        <v/>
      </c>
      <c r="C4095" t="inlineStr">
        <is>
          <t>1911-02-18</t>
        </is>
      </c>
    </row>
    <row r="4096">
      <c r="A4096" s="1" t="n">
        <v>4095</v>
      </c>
      <c r="B4096">
        <f>TEXT(4095, "[$-0E0000]yyyy-mm-dd")</f>
        <v/>
      </c>
      <c r="C4096" t="inlineStr">
        <is>
          <t>1911-02-19</t>
        </is>
      </c>
    </row>
    <row r="4097">
      <c r="A4097" s="1" t="n">
        <v>4096</v>
      </c>
      <c r="B4097">
        <f>TEXT(4096, "[$-0E0000]yyyy-mm-dd")</f>
        <v/>
      </c>
      <c r="C4097" t="inlineStr">
        <is>
          <t>1911-02-20</t>
        </is>
      </c>
    </row>
    <row r="4098">
      <c r="A4098" s="1" t="n">
        <v>4097</v>
      </c>
      <c r="B4098">
        <f>TEXT(4097, "[$-0E0000]yyyy-mm-dd")</f>
        <v/>
      </c>
      <c r="C4098" t="inlineStr">
        <is>
          <t>1911-02-21</t>
        </is>
      </c>
    </row>
    <row r="4099">
      <c r="A4099" s="1" t="n">
        <v>4098</v>
      </c>
      <c r="B4099">
        <f>TEXT(4098, "[$-0E0000]yyyy-mm-dd")</f>
        <v/>
      </c>
      <c r="C4099" t="inlineStr">
        <is>
          <t>1911-02-22</t>
        </is>
      </c>
    </row>
    <row r="4100">
      <c r="A4100" s="1" t="n">
        <v>4099</v>
      </c>
      <c r="B4100">
        <f>TEXT(4099, "[$-0E0000]yyyy-mm-dd")</f>
        <v/>
      </c>
      <c r="C4100" t="inlineStr">
        <is>
          <t>1911-02-23</t>
        </is>
      </c>
    </row>
    <row r="4101">
      <c r="A4101" s="1" t="n">
        <v>4100</v>
      </c>
      <c r="B4101">
        <f>TEXT(4100, "[$-0E0000]yyyy-mm-dd")</f>
        <v/>
      </c>
      <c r="C4101" t="inlineStr">
        <is>
          <t>1911-02-24</t>
        </is>
      </c>
    </row>
    <row r="4102">
      <c r="A4102" s="1" t="n">
        <v>4101</v>
      </c>
      <c r="B4102">
        <f>TEXT(4101, "[$-0E0000]yyyy-mm-dd")</f>
        <v/>
      </c>
      <c r="C4102" t="inlineStr">
        <is>
          <t>1911-02-25</t>
        </is>
      </c>
    </row>
    <row r="4103">
      <c r="A4103" s="1" t="n">
        <v>4102</v>
      </c>
      <c r="B4103">
        <f>TEXT(4102, "[$-0E0000]yyyy-mm-dd")</f>
        <v/>
      </c>
      <c r="C4103" t="inlineStr">
        <is>
          <t>1911-02-26</t>
        </is>
      </c>
    </row>
    <row r="4104">
      <c r="A4104" s="1" t="n">
        <v>4103</v>
      </c>
      <c r="B4104">
        <f>TEXT(4103, "[$-0E0000]yyyy-mm-dd")</f>
        <v/>
      </c>
      <c r="C4104" t="inlineStr">
        <is>
          <t>1911-02-27</t>
        </is>
      </c>
    </row>
    <row r="4105">
      <c r="A4105" s="1" t="n">
        <v>4104</v>
      </c>
      <c r="B4105">
        <f>TEXT(4104, "[$-0E0000]yyyy-mm-dd")</f>
        <v/>
      </c>
      <c r="C4105" t="inlineStr">
        <is>
          <t>1911-02-28</t>
        </is>
      </c>
    </row>
    <row r="4106">
      <c r="A4106" s="1" t="n">
        <v>4105</v>
      </c>
      <c r="B4106">
        <f>TEXT(4105, "[$-0E0000]yyyy-mm-dd")</f>
        <v/>
      </c>
      <c r="C4106" t="inlineStr">
        <is>
          <t>1911-02-29</t>
        </is>
      </c>
    </row>
    <row r="4107">
      <c r="A4107" s="1" t="n">
        <v>4106</v>
      </c>
      <c r="B4107">
        <f>TEXT(4106, "[$-0E0000]yyyy-mm-dd")</f>
        <v/>
      </c>
      <c r="C4107" t="inlineStr">
        <is>
          <t>1911-03-01</t>
        </is>
      </c>
    </row>
    <row r="4108">
      <c r="A4108" s="1" t="n">
        <v>4107</v>
      </c>
      <c r="B4108">
        <f>TEXT(4107, "[$-0E0000]yyyy-mm-dd")</f>
        <v/>
      </c>
      <c r="C4108" t="inlineStr">
        <is>
          <t>1911-03-02</t>
        </is>
      </c>
    </row>
    <row r="4109">
      <c r="A4109" s="1" t="n">
        <v>4108</v>
      </c>
      <c r="B4109">
        <f>TEXT(4108, "[$-0E0000]yyyy-mm-dd")</f>
        <v/>
      </c>
      <c r="C4109" t="inlineStr">
        <is>
          <t>1911-03-03</t>
        </is>
      </c>
    </row>
    <row r="4110">
      <c r="A4110" s="1" t="n">
        <v>4109</v>
      </c>
      <c r="B4110">
        <f>TEXT(4109, "[$-0E0000]yyyy-mm-dd")</f>
        <v/>
      </c>
      <c r="C4110" t="inlineStr">
        <is>
          <t>1911-03-04</t>
        </is>
      </c>
    </row>
    <row r="4111">
      <c r="A4111" s="1" t="n">
        <v>4110</v>
      </c>
      <c r="B4111">
        <f>TEXT(4110, "[$-0E0000]yyyy-mm-dd")</f>
        <v/>
      </c>
      <c r="C4111" t="inlineStr">
        <is>
          <t>1911-03-05</t>
        </is>
      </c>
    </row>
    <row r="4112">
      <c r="A4112" s="1" t="n">
        <v>4111</v>
      </c>
      <c r="B4112">
        <f>TEXT(4111, "[$-0E0000]yyyy-mm-dd")</f>
        <v/>
      </c>
      <c r="C4112" t="inlineStr">
        <is>
          <t>1911-03-06</t>
        </is>
      </c>
    </row>
    <row r="4113">
      <c r="A4113" s="1" t="n">
        <v>4112</v>
      </c>
      <c r="B4113">
        <f>TEXT(4112, "[$-0E0000]yyyy-mm-dd")</f>
        <v/>
      </c>
      <c r="C4113" t="inlineStr">
        <is>
          <t>1911-03-07</t>
        </is>
      </c>
    </row>
    <row r="4114">
      <c r="A4114" s="1" t="n">
        <v>4113</v>
      </c>
      <c r="B4114">
        <f>TEXT(4113, "[$-0E0000]yyyy-mm-dd")</f>
        <v/>
      </c>
      <c r="C4114" t="inlineStr">
        <is>
          <t>1911-03-08</t>
        </is>
      </c>
    </row>
    <row r="4115">
      <c r="A4115" s="1" t="n">
        <v>4114</v>
      </c>
      <c r="B4115">
        <f>TEXT(4114, "[$-0E0000]yyyy-mm-dd")</f>
        <v/>
      </c>
      <c r="C4115" t="inlineStr">
        <is>
          <t>1911-03-09</t>
        </is>
      </c>
    </row>
    <row r="4116">
      <c r="A4116" s="1" t="n">
        <v>4115</v>
      </c>
      <c r="B4116">
        <f>TEXT(4115, "[$-0E0000]yyyy-mm-dd")</f>
        <v/>
      </c>
      <c r="C4116" t="inlineStr">
        <is>
          <t>1911-03-10</t>
        </is>
      </c>
    </row>
    <row r="4117">
      <c r="A4117" s="1" t="n">
        <v>4116</v>
      </c>
      <c r="B4117">
        <f>TEXT(4116, "[$-0E0000]yyyy-mm-dd")</f>
        <v/>
      </c>
      <c r="C4117" t="inlineStr">
        <is>
          <t>1911-03-11</t>
        </is>
      </c>
    </row>
    <row r="4118">
      <c r="A4118" s="1" t="n">
        <v>4117</v>
      </c>
      <c r="B4118">
        <f>TEXT(4117, "[$-0E0000]yyyy-mm-dd")</f>
        <v/>
      </c>
      <c r="C4118" t="inlineStr">
        <is>
          <t>1911-03-12</t>
        </is>
      </c>
    </row>
    <row r="4119">
      <c r="A4119" s="1" t="n">
        <v>4118</v>
      </c>
      <c r="B4119">
        <f>TEXT(4118, "[$-0E0000]yyyy-mm-dd")</f>
        <v/>
      </c>
      <c r="C4119" t="inlineStr">
        <is>
          <t>1911-03-13</t>
        </is>
      </c>
    </row>
    <row r="4120">
      <c r="A4120" s="1" t="n">
        <v>4119</v>
      </c>
      <c r="B4120">
        <f>TEXT(4119, "[$-0E0000]yyyy-mm-dd")</f>
        <v/>
      </c>
      <c r="C4120" t="inlineStr">
        <is>
          <t>1911-03-14</t>
        </is>
      </c>
    </row>
    <row r="4121">
      <c r="A4121" s="1" t="n">
        <v>4120</v>
      </c>
      <c r="B4121">
        <f>TEXT(4120, "[$-0E0000]yyyy-mm-dd")</f>
        <v/>
      </c>
      <c r="C4121" t="inlineStr">
        <is>
          <t>1911-03-15</t>
        </is>
      </c>
    </row>
    <row r="4122">
      <c r="A4122" s="1" t="n">
        <v>4121</v>
      </c>
      <c r="B4122">
        <f>TEXT(4121, "[$-0E0000]yyyy-mm-dd")</f>
        <v/>
      </c>
      <c r="C4122" t="inlineStr">
        <is>
          <t>1911-03-16</t>
        </is>
      </c>
    </row>
    <row r="4123">
      <c r="A4123" s="1" t="n">
        <v>4122</v>
      </c>
      <c r="B4123">
        <f>TEXT(4122, "[$-0E0000]yyyy-mm-dd")</f>
        <v/>
      </c>
      <c r="C4123" t="inlineStr">
        <is>
          <t>1911-03-17</t>
        </is>
      </c>
    </row>
    <row r="4124">
      <c r="A4124" s="1" t="n">
        <v>4123</v>
      </c>
      <c r="B4124">
        <f>TEXT(4123, "[$-0E0000]yyyy-mm-dd")</f>
        <v/>
      </c>
      <c r="C4124" t="inlineStr">
        <is>
          <t>1911-03-18</t>
        </is>
      </c>
    </row>
    <row r="4125">
      <c r="A4125" s="1" t="n">
        <v>4124</v>
      </c>
      <c r="B4125">
        <f>TEXT(4124, "[$-0E0000]yyyy-mm-dd")</f>
        <v/>
      </c>
      <c r="C4125" t="inlineStr">
        <is>
          <t>1911-03-19</t>
        </is>
      </c>
    </row>
    <row r="4126">
      <c r="A4126" s="1" t="n">
        <v>4125</v>
      </c>
      <c r="B4126">
        <f>TEXT(4125, "[$-0E0000]yyyy-mm-dd")</f>
        <v/>
      </c>
      <c r="C4126" t="inlineStr">
        <is>
          <t>1911-03-20</t>
        </is>
      </c>
    </row>
    <row r="4127">
      <c r="A4127" s="1" t="n">
        <v>4126</v>
      </c>
      <c r="B4127">
        <f>TEXT(4126, "[$-0E0000]yyyy-mm-dd")</f>
        <v/>
      </c>
      <c r="C4127" t="inlineStr">
        <is>
          <t>1911-03-21</t>
        </is>
      </c>
    </row>
    <row r="4128">
      <c r="A4128" s="1" t="n">
        <v>4127</v>
      </c>
      <c r="B4128">
        <f>TEXT(4127, "[$-0E0000]yyyy-mm-dd")</f>
        <v/>
      </c>
      <c r="C4128" t="inlineStr">
        <is>
          <t>1911-03-22</t>
        </is>
      </c>
    </row>
    <row r="4129">
      <c r="A4129" s="1" t="n">
        <v>4128</v>
      </c>
      <c r="B4129">
        <f>TEXT(4128, "[$-0E0000]yyyy-mm-dd")</f>
        <v/>
      </c>
      <c r="C4129" t="inlineStr">
        <is>
          <t>1911-03-23</t>
        </is>
      </c>
    </row>
    <row r="4130">
      <c r="A4130" s="1" t="n">
        <v>4129</v>
      </c>
      <c r="B4130">
        <f>TEXT(4129, "[$-0E0000]yyyy-mm-dd")</f>
        <v/>
      </c>
      <c r="C4130" t="inlineStr">
        <is>
          <t>1911-03-24</t>
        </is>
      </c>
    </row>
    <row r="4131">
      <c r="A4131" s="1" t="n">
        <v>4130</v>
      </c>
      <c r="B4131">
        <f>TEXT(4130, "[$-0E0000]yyyy-mm-dd")</f>
        <v/>
      </c>
      <c r="C4131" t="inlineStr">
        <is>
          <t>1911-03-25</t>
        </is>
      </c>
    </row>
    <row r="4132">
      <c r="A4132" s="1" t="n">
        <v>4131</v>
      </c>
      <c r="B4132">
        <f>TEXT(4131, "[$-0E0000]yyyy-mm-dd")</f>
        <v/>
      </c>
      <c r="C4132" t="inlineStr">
        <is>
          <t>1911-03-26</t>
        </is>
      </c>
    </row>
    <row r="4133">
      <c r="A4133" s="1" t="n">
        <v>4132</v>
      </c>
      <c r="B4133">
        <f>TEXT(4132, "[$-0E0000]yyyy-mm-dd")</f>
        <v/>
      </c>
      <c r="C4133" t="inlineStr">
        <is>
          <t>1911-03-27</t>
        </is>
      </c>
    </row>
    <row r="4134">
      <c r="A4134" s="1" t="n">
        <v>4133</v>
      </c>
      <c r="B4134">
        <f>TEXT(4133, "[$-0E0000]yyyy-mm-dd")</f>
        <v/>
      </c>
      <c r="C4134" t="inlineStr">
        <is>
          <t>1911-03-28</t>
        </is>
      </c>
    </row>
    <row r="4135">
      <c r="A4135" s="1" t="n">
        <v>4134</v>
      </c>
      <c r="B4135">
        <f>TEXT(4134, "[$-0E0000]yyyy-mm-dd")</f>
        <v/>
      </c>
      <c r="C4135" t="inlineStr">
        <is>
          <t>1911-03-29</t>
        </is>
      </c>
    </row>
    <row r="4136">
      <c r="A4136" s="1" t="n">
        <v>4135</v>
      </c>
      <c r="B4136">
        <f>TEXT(4135, "[$-0E0000]yyyy-mm-dd")</f>
        <v/>
      </c>
      <c r="C4136" t="inlineStr">
        <is>
          <t>1911-03-30</t>
        </is>
      </c>
    </row>
    <row r="4137">
      <c r="A4137" s="1" t="n">
        <v>4136</v>
      </c>
      <c r="B4137">
        <f>TEXT(4136, "[$-0E0000]yyyy-mm-dd")</f>
        <v/>
      </c>
      <c r="C4137" t="inlineStr">
        <is>
          <t>1911-04-01</t>
        </is>
      </c>
    </row>
    <row r="4138">
      <c r="A4138" s="1" t="n">
        <v>4137</v>
      </c>
      <c r="B4138">
        <f>TEXT(4137, "[$-0E0000]yyyy-mm-dd")</f>
        <v/>
      </c>
      <c r="C4138" t="inlineStr">
        <is>
          <t>1911-04-02</t>
        </is>
      </c>
    </row>
    <row r="4139">
      <c r="A4139" s="1" t="n">
        <v>4138</v>
      </c>
      <c r="B4139">
        <f>TEXT(4138, "[$-0E0000]yyyy-mm-dd")</f>
        <v/>
      </c>
      <c r="C4139" t="inlineStr">
        <is>
          <t>1911-04-03</t>
        </is>
      </c>
    </row>
    <row r="4140">
      <c r="A4140" s="1" t="n">
        <v>4139</v>
      </c>
      <c r="B4140">
        <f>TEXT(4139, "[$-0E0000]yyyy-mm-dd")</f>
        <v/>
      </c>
      <c r="C4140" t="inlineStr">
        <is>
          <t>1911-04-04</t>
        </is>
      </c>
    </row>
    <row r="4141">
      <c r="A4141" s="1" t="n">
        <v>4140</v>
      </c>
      <c r="B4141">
        <f>TEXT(4140, "[$-0E0000]yyyy-mm-dd")</f>
        <v/>
      </c>
      <c r="C4141" t="inlineStr">
        <is>
          <t>1911-04-05</t>
        </is>
      </c>
    </row>
    <row r="4142">
      <c r="A4142" s="1" t="n">
        <v>4141</v>
      </c>
      <c r="B4142">
        <f>TEXT(4141, "[$-0E0000]yyyy-mm-dd")</f>
        <v/>
      </c>
      <c r="C4142" t="inlineStr">
        <is>
          <t>1911-04-06</t>
        </is>
      </c>
    </row>
    <row r="4143">
      <c r="A4143" s="1" t="n">
        <v>4142</v>
      </c>
      <c r="B4143">
        <f>TEXT(4142, "[$-0E0000]yyyy-mm-dd")</f>
        <v/>
      </c>
      <c r="C4143" t="inlineStr">
        <is>
          <t>1911-04-07</t>
        </is>
      </c>
    </row>
    <row r="4144">
      <c r="A4144" s="1" t="n">
        <v>4143</v>
      </c>
      <c r="B4144">
        <f>TEXT(4143, "[$-0E0000]yyyy-mm-dd")</f>
        <v/>
      </c>
      <c r="C4144" t="inlineStr">
        <is>
          <t>1911-04-08</t>
        </is>
      </c>
    </row>
    <row r="4145">
      <c r="A4145" s="1" t="n">
        <v>4144</v>
      </c>
      <c r="B4145">
        <f>TEXT(4144, "[$-0E0000]yyyy-mm-dd")</f>
        <v/>
      </c>
      <c r="C4145" t="inlineStr">
        <is>
          <t>1911-04-09</t>
        </is>
      </c>
    </row>
    <row r="4146">
      <c r="A4146" s="1" t="n">
        <v>4145</v>
      </c>
      <c r="B4146">
        <f>TEXT(4145, "[$-0E0000]yyyy-mm-dd")</f>
        <v/>
      </c>
      <c r="C4146" t="inlineStr">
        <is>
          <t>1911-04-10</t>
        </is>
      </c>
    </row>
    <row r="4147">
      <c r="A4147" s="1" t="n">
        <v>4146</v>
      </c>
      <c r="B4147">
        <f>TEXT(4146, "[$-0E0000]yyyy-mm-dd")</f>
        <v/>
      </c>
      <c r="C4147" t="inlineStr">
        <is>
          <t>1911-04-11</t>
        </is>
      </c>
    </row>
    <row r="4148">
      <c r="A4148" s="1" t="n">
        <v>4147</v>
      </c>
      <c r="B4148">
        <f>TEXT(4147, "[$-0E0000]yyyy-mm-dd")</f>
        <v/>
      </c>
      <c r="C4148" t="inlineStr">
        <is>
          <t>1911-04-12</t>
        </is>
      </c>
    </row>
    <row r="4149">
      <c r="A4149" s="1" t="n">
        <v>4148</v>
      </c>
      <c r="B4149">
        <f>TEXT(4148, "[$-0E0000]yyyy-mm-dd")</f>
        <v/>
      </c>
      <c r="C4149" t="inlineStr">
        <is>
          <t>1911-04-13</t>
        </is>
      </c>
    </row>
    <row r="4150">
      <c r="A4150" s="1" t="n">
        <v>4149</v>
      </c>
      <c r="B4150">
        <f>TEXT(4149, "[$-0E0000]yyyy-mm-dd")</f>
        <v/>
      </c>
      <c r="C4150" t="inlineStr">
        <is>
          <t>1911-04-14</t>
        </is>
      </c>
    </row>
    <row r="4151">
      <c r="A4151" s="1" t="n">
        <v>4150</v>
      </c>
      <c r="B4151">
        <f>TEXT(4150, "[$-0E0000]yyyy-mm-dd")</f>
        <v/>
      </c>
      <c r="C4151" t="inlineStr">
        <is>
          <t>1911-04-15</t>
        </is>
      </c>
    </row>
    <row r="4152">
      <c r="A4152" s="1" t="n">
        <v>4151</v>
      </c>
      <c r="B4152">
        <f>TEXT(4151, "[$-0E0000]yyyy-mm-dd")</f>
        <v/>
      </c>
      <c r="C4152" t="inlineStr">
        <is>
          <t>1911-04-16</t>
        </is>
      </c>
    </row>
    <row r="4153">
      <c r="A4153" s="1" t="n">
        <v>4152</v>
      </c>
      <c r="B4153">
        <f>TEXT(4152, "[$-0E0000]yyyy-mm-dd")</f>
        <v/>
      </c>
      <c r="C4153" t="inlineStr">
        <is>
          <t>1911-04-17</t>
        </is>
      </c>
    </row>
    <row r="4154">
      <c r="A4154" s="1" t="n">
        <v>4153</v>
      </c>
      <c r="B4154">
        <f>TEXT(4153, "[$-0E0000]yyyy-mm-dd")</f>
        <v/>
      </c>
      <c r="C4154" t="inlineStr">
        <is>
          <t>1911-04-18</t>
        </is>
      </c>
    </row>
    <row r="4155">
      <c r="A4155" s="1" t="n">
        <v>4154</v>
      </c>
      <c r="B4155">
        <f>TEXT(4154, "[$-0E0000]yyyy-mm-dd")</f>
        <v/>
      </c>
      <c r="C4155" t="inlineStr">
        <is>
          <t>1911-04-19</t>
        </is>
      </c>
    </row>
    <row r="4156">
      <c r="A4156" s="1" t="n">
        <v>4155</v>
      </c>
      <c r="B4156">
        <f>TEXT(4155, "[$-0E0000]yyyy-mm-dd")</f>
        <v/>
      </c>
      <c r="C4156" t="inlineStr">
        <is>
          <t>1911-04-20</t>
        </is>
      </c>
    </row>
    <row r="4157">
      <c r="A4157" s="1" t="n">
        <v>4156</v>
      </c>
      <c r="B4157">
        <f>TEXT(4156, "[$-0E0000]yyyy-mm-dd")</f>
        <v/>
      </c>
      <c r="C4157" t="inlineStr">
        <is>
          <t>1911-04-21</t>
        </is>
      </c>
    </row>
    <row r="4158">
      <c r="A4158" s="1" t="n">
        <v>4157</v>
      </c>
      <c r="B4158">
        <f>TEXT(4157, "[$-0E0000]yyyy-mm-dd")</f>
        <v/>
      </c>
      <c r="C4158" t="inlineStr">
        <is>
          <t>1911-04-22</t>
        </is>
      </c>
    </row>
    <row r="4159">
      <c r="A4159" s="1" t="n">
        <v>4158</v>
      </c>
      <c r="B4159">
        <f>TEXT(4158, "[$-0E0000]yyyy-mm-dd")</f>
        <v/>
      </c>
      <c r="C4159" t="inlineStr">
        <is>
          <t>1911-04-23</t>
        </is>
      </c>
    </row>
    <row r="4160">
      <c r="A4160" s="1" t="n">
        <v>4159</v>
      </c>
      <c r="B4160">
        <f>TEXT(4159, "[$-0E0000]yyyy-mm-dd")</f>
        <v/>
      </c>
      <c r="C4160" t="inlineStr">
        <is>
          <t>1911-04-24</t>
        </is>
      </c>
    </row>
    <row r="4161">
      <c r="A4161" s="1" t="n">
        <v>4160</v>
      </c>
      <c r="B4161">
        <f>TEXT(4160, "[$-0E0000]yyyy-mm-dd")</f>
        <v/>
      </c>
      <c r="C4161" t="inlineStr">
        <is>
          <t>1911-04-25</t>
        </is>
      </c>
    </row>
    <row r="4162">
      <c r="A4162" s="1" t="n">
        <v>4161</v>
      </c>
      <c r="B4162">
        <f>TEXT(4161, "[$-0E0000]yyyy-mm-dd")</f>
        <v/>
      </c>
      <c r="C4162" t="inlineStr">
        <is>
          <t>1911-04-26</t>
        </is>
      </c>
    </row>
    <row r="4163">
      <c r="A4163" s="1" t="n">
        <v>4162</v>
      </c>
      <c r="B4163">
        <f>TEXT(4162, "[$-0E0000]yyyy-mm-dd")</f>
        <v/>
      </c>
      <c r="C4163" t="inlineStr">
        <is>
          <t>1911-04-27</t>
        </is>
      </c>
    </row>
    <row r="4164">
      <c r="A4164" s="1" t="n">
        <v>4163</v>
      </c>
      <c r="B4164">
        <f>TEXT(4163, "[$-0E0000]yyyy-mm-dd")</f>
        <v/>
      </c>
      <c r="C4164" t="inlineStr">
        <is>
          <t>1911-04-28</t>
        </is>
      </c>
    </row>
    <row r="4165">
      <c r="A4165" s="1" t="n">
        <v>4164</v>
      </c>
      <c r="B4165">
        <f>TEXT(4164, "[$-0E0000]yyyy-mm-dd")</f>
        <v/>
      </c>
      <c r="C4165" t="inlineStr">
        <is>
          <t>1911-04-29</t>
        </is>
      </c>
    </row>
    <row r="4166">
      <c r="A4166" s="1" t="n">
        <v>4165</v>
      </c>
      <c r="B4166">
        <f>TEXT(4165, "[$-0E0000]yyyy-mm-dd")</f>
        <v/>
      </c>
      <c r="C4166" t="inlineStr">
        <is>
          <t>1911-05-01</t>
        </is>
      </c>
    </row>
    <row r="4167">
      <c r="A4167" s="1" t="n">
        <v>4166</v>
      </c>
      <c r="B4167">
        <f>TEXT(4166, "[$-0E0000]yyyy-mm-dd")</f>
        <v/>
      </c>
      <c r="C4167" t="inlineStr">
        <is>
          <t>1911-05-02</t>
        </is>
      </c>
    </row>
    <row r="4168">
      <c r="A4168" s="1" t="n">
        <v>4167</v>
      </c>
      <c r="B4168">
        <f>TEXT(4167, "[$-0E0000]yyyy-mm-dd")</f>
        <v/>
      </c>
      <c r="C4168" t="inlineStr">
        <is>
          <t>1911-05-03</t>
        </is>
      </c>
    </row>
    <row r="4169">
      <c r="A4169" s="1" t="n">
        <v>4168</v>
      </c>
      <c r="B4169">
        <f>TEXT(4168, "[$-0E0000]yyyy-mm-dd")</f>
        <v/>
      </c>
      <c r="C4169" t="inlineStr">
        <is>
          <t>1911-05-04</t>
        </is>
      </c>
    </row>
    <row r="4170">
      <c r="A4170" s="1" t="n">
        <v>4169</v>
      </c>
      <c r="B4170">
        <f>TEXT(4169, "[$-0E0000]yyyy-mm-dd")</f>
        <v/>
      </c>
      <c r="C4170" t="inlineStr">
        <is>
          <t>1911-05-05</t>
        </is>
      </c>
    </row>
    <row r="4171">
      <c r="A4171" s="1" t="n">
        <v>4170</v>
      </c>
      <c r="B4171">
        <f>TEXT(4170, "[$-0E0000]yyyy-mm-dd")</f>
        <v/>
      </c>
      <c r="C4171" t="inlineStr">
        <is>
          <t>1911-05-06</t>
        </is>
      </c>
    </row>
    <row r="4172">
      <c r="A4172" s="1" t="n">
        <v>4171</v>
      </c>
      <c r="B4172">
        <f>TEXT(4171, "[$-0E0000]yyyy-mm-dd")</f>
        <v/>
      </c>
      <c r="C4172" t="inlineStr">
        <is>
          <t>1911-05-07</t>
        </is>
      </c>
    </row>
    <row r="4173">
      <c r="A4173" s="1" t="n">
        <v>4172</v>
      </c>
      <c r="B4173">
        <f>TEXT(4172, "[$-0E0000]yyyy-mm-dd")</f>
        <v/>
      </c>
      <c r="C4173" t="inlineStr">
        <is>
          <t>1911-05-08</t>
        </is>
      </c>
    </row>
    <row r="4174">
      <c r="A4174" s="1" t="n">
        <v>4173</v>
      </c>
      <c r="B4174">
        <f>TEXT(4173, "[$-0E0000]yyyy-mm-dd")</f>
        <v/>
      </c>
      <c r="C4174" t="inlineStr">
        <is>
          <t>1911-05-09</t>
        </is>
      </c>
    </row>
    <row r="4175">
      <c r="A4175" s="1" t="n">
        <v>4174</v>
      </c>
      <c r="B4175">
        <f>TEXT(4174, "[$-0E0000]yyyy-mm-dd")</f>
        <v/>
      </c>
      <c r="C4175" t="inlineStr">
        <is>
          <t>1911-05-10</t>
        </is>
      </c>
    </row>
    <row r="4176">
      <c r="A4176" s="1" t="n">
        <v>4175</v>
      </c>
      <c r="B4176">
        <f>TEXT(4175, "[$-0E0000]yyyy-mm-dd")</f>
        <v/>
      </c>
      <c r="C4176" t="inlineStr">
        <is>
          <t>1911-05-11</t>
        </is>
      </c>
    </row>
    <row r="4177">
      <c r="A4177" s="1" t="n">
        <v>4176</v>
      </c>
      <c r="B4177">
        <f>TEXT(4176, "[$-0E0000]yyyy-mm-dd")</f>
        <v/>
      </c>
      <c r="C4177" t="inlineStr">
        <is>
          <t>1911-05-12</t>
        </is>
      </c>
    </row>
    <row r="4178">
      <c r="A4178" s="1" t="n">
        <v>4177</v>
      </c>
      <c r="B4178">
        <f>TEXT(4177, "[$-0E0000]yyyy-mm-dd")</f>
        <v/>
      </c>
      <c r="C4178" t="inlineStr">
        <is>
          <t>1911-05-13</t>
        </is>
      </c>
    </row>
    <row r="4179">
      <c r="A4179" s="1" t="n">
        <v>4178</v>
      </c>
      <c r="B4179">
        <f>TEXT(4178, "[$-0E0000]yyyy-mm-dd")</f>
        <v/>
      </c>
      <c r="C4179" t="inlineStr">
        <is>
          <t>1911-05-14</t>
        </is>
      </c>
    </row>
    <row r="4180">
      <c r="A4180" s="1" t="n">
        <v>4179</v>
      </c>
      <c r="B4180">
        <f>TEXT(4179, "[$-0E0000]yyyy-mm-dd")</f>
        <v/>
      </c>
      <c r="C4180" t="inlineStr">
        <is>
          <t>1911-05-15</t>
        </is>
      </c>
    </row>
    <row r="4181">
      <c r="A4181" s="1" t="n">
        <v>4180</v>
      </c>
      <c r="B4181">
        <f>TEXT(4180, "[$-0E0000]yyyy-mm-dd")</f>
        <v/>
      </c>
      <c r="C4181" t="inlineStr">
        <is>
          <t>1911-05-16</t>
        </is>
      </c>
    </row>
    <row r="4182">
      <c r="A4182" s="1" t="n">
        <v>4181</v>
      </c>
      <c r="B4182">
        <f>TEXT(4181, "[$-0E0000]yyyy-mm-dd")</f>
        <v/>
      </c>
      <c r="C4182" t="inlineStr">
        <is>
          <t>1911-05-17</t>
        </is>
      </c>
    </row>
    <row r="4183">
      <c r="A4183" s="1" t="n">
        <v>4182</v>
      </c>
      <c r="B4183">
        <f>TEXT(4182, "[$-0E0000]yyyy-mm-dd")</f>
        <v/>
      </c>
      <c r="C4183" t="inlineStr">
        <is>
          <t>1911-05-18</t>
        </is>
      </c>
    </row>
    <row r="4184">
      <c r="A4184" s="1" t="n">
        <v>4183</v>
      </c>
      <c r="B4184">
        <f>TEXT(4183, "[$-0E0000]yyyy-mm-dd")</f>
        <v/>
      </c>
      <c r="C4184" t="inlineStr">
        <is>
          <t>1911-05-19</t>
        </is>
      </c>
    </row>
    <row r="4185">
      <c r="A4185" s="1" t="n">
        <v>4184</v>
      </c>
      <c r="B4185">
        <f>TEXT(4184, "[$-0E0000]yyyy-mm-dd")</f>
        <v/>
      </c>
      <c r="C4185" t="inlineStr">
        <is>
          <t>1911-05-20</t>
        </is>
      </c>
    </row>
    <row r="4186">
      <c r="A4186" s="1" t="n">
        <v>4185</v>
      </c>
      <c r="B4186">
        <f>TEXT(4185, "[$-0E0000]yyyy-mm-dd")</f>
        <v/>
      </c>
      <c r="C4186" t="inlineStr">
        <is>
          <t>1911-05-21</t>
        </is>
      </c>
    </row>
    <row r="4187">
      <c r="A4187" s="1" t="n">
        <v>4186</v>
      </c>
      <c r="B4187">
        <f>TEXT(4186, "[$-0E0000]yyyy-mm-dd")</f>
        <v/>
      </c>
      <c r="C4187" t="inlineStr">
        <is>
          <t>1911-05-22</t>
        </is>
      </c>
    </row>
    <row r="4188">
      <c r="A4188" s="1" t="n">
        <v>4187</v>
      </c>
      <c r="B4188">
        <f>TEXT(4187, "[$-0E0000]yyyy-mm-dd")</f>
        <v/>
      </c>
      <c r="C4188" t="inlineStr">
        <is>
          <t>1911-05-23</t>
        </is>
      </c>
    </row>
    <row r="4189">
      <c r="A4189" s="1" t="n">
        <v>4188</v>
      </c>
      <c r="B4189">
        <f>TEXT(4188, "[$-0E0000]yyyy-mm-dd")</f>
        <v/>
      </c>
      <c r="C4189" t="inlineStr">
        <is>
          <t>1911-05-24</t>
        </is>
      </c>
    </row>
    <row r="4190">
      <c r="A4190" s="1" t="n">
        <v>4189</v>
      </c>
      <c r="B4190">
        <f>TEXT(4189, "[$-0E0000]yyyy-mm-dd")</f>
        <v/>
      </c>
      <c r="C4190" t="inlineStr">
        <is>
          <t>1911-05-25</t>
        </is>
      </c>
    </row>
    <row r="4191">
      <c r="A4191" s="1" t="n">
        <v>4190</v>
      </c>
      <c r="B4191">
        <f>TEXT(4190, "[$-0E0000]yyyy-mm-dd")</f>
        <v/>
      </c>
      <c r="C4191" t="inlineStr">
        <is>
          <t>1911-05-26</t>
        </is>
      </c>
    </row>
    <row r="4192">
      <c r="A4192" s="1" t="n">
        <v>4191</v>
      </c>
      <c r="B4192">
        <f>TEXT(4191, "[$-0E0000]yyyy-mm-dd")</f>
        <v/>
      </c>
      <c r="C4192" t="inlineStr">
        <is>
          <t>1911-05-27</t>
        </is>
      </c>
    </row>
    <row r="4193">
      <c r="A4193" s="1" t="n">
        <v>4192</v>
      </c>
      <c r="B4193">
        <f>TEXT(4192, "[$-0E0000]yyyy-mm-dd")</f>
        <v/>
      </c>
      <c r="C4193" t="inlineStr">
        <is>
          <t>1911-05-28</t>
        </is>
      </c>
    </row>
    <row r="4194">
      <c r="A4194" s="1" t="n">
        <v>4193</v>
      </c>
      <c r="B4194">
        <f>TEXT(4193, "[$-0E0000]yyyy-mm-dd")</f>
        <v/>
      </c>
      <c r="C4194" t="inlineStr">
        <is>
          <t>1911-05-29</t>
        </is>
      </c>
    </row>
    <row r="4195">
      <c r="A4195" s="1" t="n">
        <v>4194</v>
      </c>
      <c r="B4195">
        <f>TEXT(4194, "[$-0E0000]yyyy-mm-dd")</f>
        <v/>
      </c>
      <c r="C4195" t="inlineStr">
        <is>
          <t>1911-06-01</t>
        </is>
      </c>
    </row>
    <row r="4196">
      <c r="A4196" s="1" t="n">
        <v>4195</v>
      </c>
      <c r="B4196">
        <f>TEXT(4195, "[$-0E0000]yyyy-mm-dd")</f>
        <v/>
      </c>
      <c r="C4196" t="inlineStr">
        <is>
          <t>1911-06-02</t>
        </is>
      </c>
    </row>
    <row r="4197">
      <c r="A4197" s="1" t="n">
        <v>4196</v>
      </c>
      <c r="B4197">
        <f>TEXT(4196, "[$-0E0000]yyyy-mm-dd")</f>
        <v/>
      </c>
      <c r="C4197" t="inlineStr">
        <is>
          <t>1911-06-03</t>
        </is>
      </c>
    </row>
    <row r="4198">
      <c r="A4198" s="1" t="n">
        <v>4197</v>
      </c>
      <c r="B4198">
        <f>TEXT(4197, "[$-0E0000]yyyy-mm-dd")</f>
        <v/>
      </c>
      <c r="C4198" t="inlineStr">
        <is>
          <t>1911-06-04</t>
        </is>
      </c>
    </row>
    <row r="4199">
      <c r="A4199" s="1" t="n">
        <v>4198</v>
      </c>
      <c r="B4199">
        <f>TEXT(4198, "[$-0E0000]yyyy-mm-dd")</f>
        <v/>
      </c>
      <c r="C4199" t="inlineStr">
        <is>
          <t>1911-06-05</t>
        </is>
      </c>
    </row>
    <row r="4200">
      <c r="A4200" s="1" t="n">
        <v>4199</v>
      </c>
      <c r="B4200">
        <f>TEXT(4199, "[$-0E0000]yyyy-mm-dd")</f>
        <v/>
      </c>
      <c r="C4200" t="inlineStr">
        <is>
          <t>1911-06-06</t>
        </is>
      </c>
    </row>
    <row r="4201">
      <c r="A4201" s="1" t="n">
        <v>4200</v>
      </c>
      <c r="B4201">
        <f>TEXT(4200, "[$-0E0000]yyyy-mm-dd")</f>
        <v/>
      </c>
      <c r="C4201" t="inlineStr">
        <is>
          <t>1911-06-07</t>
        </is>
      </c>
    </row>
    <row r="4202">
      <c r="A4202" s="1" t="n">
        <v>4201</v>
      </c>
      <c r="B4202">
        <f>TEXT(4201, "[$-0E0000]yyyy-mm-dd")</f>
        <v/>
      </c>
      <c r="C4202" t="inlineStr">
        <is>
          <t>1911-06-08</t>
        </is>
      </c>
    </row>
    <row r="4203">
      <c r="A4203" s="1" t="n">
        <v>4202</v>
      </c>
      <c r="B4203">
        <f>TEXT(4202, "[$-0E0000]yyyy-mm-dd")</f>
        <v/>
      </c>
      <c r="C4203" t="inlineStr">
        <is>
          <t>1911-06-09</t>
        </is>
      </c>
    </row>
    <row r="4204">
      <c r="A4204" s="1" t="n">
        <v>4203</v>
      </c>
      <c r="B4204">
        <f>TEXT(4203, "[$-0E0000]yyyy-mm-dd")</f>
        <v/>
      </c>
      <c r="C4204" t="inlineStr">
        <is>
          <t>1911-06-10</t>
        </is>
      </c>
    </row>
    <row r="4205">
      <c r="A4205" s="1" t="n">
        <v>4204</v>
      </c>
      <c r="B4205">
        <f>TEXT(4204, "[$-0E0000]yyyy-mm-dd")</f>
        <v/>
      </c>
      <c r="C4205" t="inlineStr">
        <is>
          <t>1911-06-11</t>
        </is>
      </c>
    </row>
    <row r="4206">
      <c r="A4206" s="1" t="n">
        <v>4205</v>
      </c>
      <c r="B4206">
        <f>TEXT(4205, "[$-0E0000]yyyy-mm-dd")</f>
        <v/>
      </c>
      <c r="C4206" t="inlineStr">
        <is>
          <t>1911-06-12</t>
        </is>
      </c>
    </row>
    <row r="4207">
      <c r="A4207" s="1" t="n">
        <v>4206</v>
      </c>
      <c r="B4207">
        <f>TEXT(4206, "[$-0E0000]yyyy-mm-dd")</f>
        <v/>
      </c>
      <c r="C4207" t="inlineStr">
        <is>
          <t>1911-06-13</t>
        </is>
      </c>
    </row>
    <row r="4208">
      <c r="A4208" s="1" t="n">
        <v>4207</v>
      </c>
      <c r="B4208">
        <f>TEXT(4207, "[$-0E0000]yyyy-mm-dd")</f>
        <v/>
      </c>
      <c r="C4208" t="inlineStr">
        <is>
          <t>1911-06-14</t>
        </is>
      </c>
    </row>
    <row r="4209">
      <c r="A4209" s="1" t="n">
        <v>4208</v>
      </c>
      <c r="B4209">
        <f>TEXT(4208, "[$-0E0000]yyyy-mm-dd")</f>
        <v/>
      </c>
      <c r="C4209" t="inlineStr">
        <is>
          <t>1911-06-15</t>
        </is>
      </c>
    </row>
    <row r="4210">
      <c r="A4210" s="1" t="n">
        <v>4209</v>
      </c>
      <c r="B4210">
        <f>TEXT(4209, "[$-0E0000]yyyy-mm-dd")</f>
        <v/>
      </c>
      <c r="C4210" t="inlineStr">
        <is>
          <t>1911-06-16</t>
        </is>
      </c>
    </row>
    <row r="4211">
      <c r="A4211" s="1" t="n">
        <v>4210</v>
      </c>
      <c r="B4211">
        <f>TEXT(4210, "[$-0E0000]yyyy-mm-dd")</f>
        <v/>
      </c>
      <c r="C4211" t="inlineStr">
        <is>
          <t>1911-06-17</t>
        </is>
      </c>
    </row>
    <row r="4212">
      <c r="A4212" s="1" t="n">
        <v>4211</v>
      </c>
      <c r="B4212">
        <f>TEXT(4211, "[$-0E0000]yyyy-mm-dd")</f>
        <v/>
      </c>
      <c r="C4212" t="inlineStr">
        <is>
          <t>1911-06-18</t>
        </is>
      </c>
    </row>
    <row r="4213">
      <c r="A4213" s="1" t="n">
        <v>4212</v>
      </c>
      <c r="B4213">
        <f>TEXT(4212, "[$-0E0000]yyyy-mm-dd")</f>
        <v/>
      </c>
      <c r="C4213" t="inlineStr">
        <is>
          <t>1911-06-19</t>
        </is>
      </c>
    </row>
    <row r="4214">
      <c r="A4214" s="1" t="n">
        <v>4213</v>
      </c>
      <c r="B4214">
        <f>TEXT(4213, "[$-0E0000]yyyy-mm-dd")</f>
        <v/>
      </c>
      <c r="C4214" t="inlineStr">
        <is>
          <t>1911-06-20</t>
        </is>
      </c>
    </row>
    <row r="4215">
      <c r="A4215" s="1" t="n">
        <v>4214</v>
      </c>
      <c r="B4215">
        <f>TEXT(4214, "[$-0E0000]yyyy-mm-dd")</f>
        <v/>
      </c>
      <c r="C4215" t="inlineStr">
        <is>
          <t>1911-06-21</t>
        </is>
      </c>
    </row>
    <row r="4216">
      <c r="A4216" s="1" t="n">
        <v>4215</v>
      </c>
      <c r="B4216">
        <f>TEXT(4215, "[$-0E0000]yyyy-mm-dd")</f>
        <v/>
      </c>
      <c r="C4216" t="inlineStr">
        <is>
          <t>1911-06-22</t>
        </is>
      </c>
    </row>
    <row r="4217">
      <c r="A4217" s="1" t="n">
        <v>4216</v>
      </c>
      <c r="B4217">
        <f>TEXT(4216, "[$-0E0000]yyyy-mm-dd")</f>
        <v/>
      </c>
      <c r="C4217" t="inlineStr">
        <is>
          <t>1911-06-23</t>
        </is>
      </c>
    </row>
    <row r="4218">
      <c r="A4218" s="1" t="n">
        <v>4217</v>
      </c>
      <c r="B4218">
        <f>TEXT(4217, "[$-0E0000]yyyy-mm-dd")</f>
        <v/>
      </c>
      <c r="C4218" t="inlineStr">
        <is>
          <t>1911-06-24</t>
        </is>
      </c>
    </row>
    <row r="4219">
      <c r="A4219" s="1" t="n">
        <v>4218</v>
      </c>
      <c r="B4219">
        <f>TEXT(4218, "[$-0E0000]yyyy-mm-dd")</f>
        <v/>
      </c>
      <c r="C4219" t="inlineStr">
        <is>
          <t>1911-06-25</t>
        </is>
      </c>
    </row>
    <row r="4220">
      <c r="A4220" s="1" t="n">
        <v>4219</v>
      </c>
      <c r="B4220">
        <f>TEXT(4219, "[$-0E0000]yyyy-mm-dd")</f>
        <v/>
      </c>
      <c r="C4220" t="inlineStr">
        <is>
          <t>1911-06-26</t>
        </is>
      </c>
    </row>
    <row r="4221">
      <c r="A4221" s="1" t="n">
        <v>4220</v>
      </c>
      <c r="B4221">
        <f>TEXT(4220, "[$-0E0000]yyyy-mm-dd")</f>
        <v/>
      </c>
      <c r="C4221" t="inlineStr">
        <is>
          <t>1911-06-27</t>
        </is>
      </c>
    </row>
    <row r="4222">
      <c r="A4222" s="1" t="n">
        <v>4221</v>
      </c>
      <c r="B4222">
        <f>TEXT(4221, "[$-0E0000]yyyy-mm-dd")</f>
        <v/>
      </c>
      <c r="C4222" t="inlineStr">
        <is>
          <t>1911-06-28</t>
        </is>
      </c>
    </row>
    <row r="4223">
      <c r="A4223" s="1" t="n">
        <v>4222</v>
      </c>
      <c r="B4223">
        <f>TEXT(4222, "[$-0E0000]yyyy-mm-dd")</f>
        <v/>
      </c>
      <c r="C4223" t="inlineStr">
        <is>
          <t>1911-06-29</t>
        </is>
      </c>
    </row>
    <row r="4224">
      <c r="A4224" s="1" t="n">
        <v>4223</v>
      </c>
      <c r="B4224">
        <f>TEXT(4223, "[$-0E0000]yyyy-mm-dd")</f>
        <v/>
      </c>
      <c r="C4224" t="inlineStr">
        <is>
          <t>1911-06-30</t>
        </is>
      </c>
    </row>
    <row r="4225">
      <c r="A4225" s="1" t="n">
        <v>4224</v>
      </c>
      <c r="B4225">
        <f>TEXT(4224, "[$-0E0000]yyyy-mm-dd")</f>
        <v/>
      </c>
      <c r="C4225" t="inlineStr">
        <is>
          <t>1911-06-01</t>
        </is>
      </c>
    </row>
    <row r="4226">
      <c r="A4226" s="1" t="n">
        <v>4225</v>
      </c>
      <c r="B4226">
        <f>TEXT(4225, "[$-0E0000]yyyy-mm-dd")</f>
        <v/>
      </c>
      <c r="C4226" t="inlineStr">
        <is>
          <t>1911-06-02</t>
        </is>
      </c>
    </row>
    <row r="4227">
      <c r="A4227" s="1" t="n">
        <v>4226</v>
      </c>
      <c r="B4227">
        <f>TEXT(4226, "[$-0E0000]yyyy-mm-dd")</f>
        <v/>
      </c>
      <c r="C4227" t="inlineStr">
        <is>
          <t>1911-06-03</t>
        </is>
      </c>
    </row>
    <row r="4228">
      <c r="A4228" s="1" t="n">
        <v>4227</v>
      </c>
      <c r="B4228">
        <f>TEXT(4227, "[$-0E0000]yyyy-mm-dd")</f>
        <v/>
      </c>
      <c r="C4228" t="inlineStr">
        <is>
          <t>1911-06-04</t>
        </is>
      </c>
    </row>
    <row r="4229">
      <c r="A4229" s="1" t="n">
        <v>4228</v>
      </c>
      <c r="B4229">
        <f>TEXT(4228, "[$-0E0000]yyyy-mm-dd")</f>
        <v/>
      </c>
      <c r="C4229" t="inlineStr">
        <is>
          <t>1911-06-05</t>
        </is>
      </c>
    </row>
    <row r="4230">
      <c r="A4230" s="1" t="n">
        <v>4229</v>
      </c>
      <c r="B4230">
        <f>TEXT(4229, "[$-0E0000]yyyy-mm-dd")</f>
        <v/>
      </c>
      <c r="C4230" t="inlineStr">
        <is>
          <t>1911-06-06</t>
        </is>
      </c>
    </row>
    <row r="4231">
      <c r="A4231" s="1" t="n">
        <v>4230</v>
      </c>
      <c r="B4231">
        <f>TEXT(4230, "[$-0E0000]yyyy-mm-dd")</f>
        <v/>
      </c>
      <c r="C4231" t="inlineStr">
        <is>
          <t>1911-06-07</t>
        </is>
      </c>
    </row>
    <row r="4232">
      <c r="A4232" s="1" t="n">
        <v>4231</v>
      </c>
      <c r="B4232">
        <f>TEXT(4231, "[$-0E0000]yyyy-mm-dd")</f>
        <v/>
      </c>
      <c r="C4232" t="inlineStr">
        <is>
          <t>1911-06-08</t>
        </is>
      </c>
    </row>
    <row r="4233">
      <c r="A4233" s="1" t="n">
        <v>4232</v>
      </c>
      <c r="B4233">
        <f>TEXT(4232, "[$-0E0000]yyyy-mm-dd")</f>
        <v/>
      </c>
      <c r="C4233" t="inlineStr">
        <is>
          <t>1911-06-09</t>
        </is>
      </c>
    </row>
    <row r="4234">
      <c r="A4234" s="1" t="n">
        <v>4233</v>
      </c>
      <c r="B4234">
        <f>TEXT(4233, "[$-0E0000]yyyy-mm-dd")</f>
        <v/>
      </c>
      <c r="C4234" t="inlineStr">
        <is>
          <t>1911-06-10</t>
        </is>
      </c>
    </row>
    <row r="4235">
      <c r="A4235" s="1" t="n">
        <v>4234</v>
      </c>
      <c r="B4235">
        <f>TEXT(4234, "[$-0E0000]yyyy-mm-dd")</f>
        <v/>
      </c>
      <c r="C4235" t="inlineStr">
        <is>
          <t>1911-06-11</t>
        </is>
      </c>
    </row>
    <row r="4236">
      <c r="A4236" s="1" t="n">
        <v>4235</v>
      </c>
      <c r="B4236">
        <f>TEXT(4235, "[$-0E0000]yyyy-mm-dd")</f>
        <v/>
      </c>
      <c r="C4236" t="inlineStr">
        <is>
          <t>1911-06-12</t>
        </is>
      </c>
    </row>
    <row r="4237">
      <c r="A4237" s="1" t="n">
        <v>4236</v>
      </c>
      <c r="B4237">
        <f>TEXT(4236, "[$-0E0000]yyyy-mm-dd")</f>
        <v/>
      </c>
      <c r="C4237" t="inlineStr">
        <is>
          <t>1911-06-13</t>
        </is>
      </c>
    </row>
    <row r="4238">
      <c r="A4238" s="1" t="n">
        <v>4237</v>
      </c>
      <c r="B4238">
        <f>TEXT(4237, "[$-0E0000]yyyy-mm-dd")</f>
        <v/>
      </c>
      <c r="C4238" t="inlineStr">
        <is>
          <t>1911-06-14</t>
        </is>
      </c>
    </row>
    <row r="4239">
      <c r="A4239" s="1" t="n">
        <v>4238</v>
      </c>
      <c r="B4239">
        <f>TEXT(4238, "[$-0E0000]yyyy-mm-dd")</f>
        <v/>
      </c>
      <c r="C4239" t="inlineStr">
        <is>
          <t>1911-06-15</t>
        </is>
      </c>
    </row>
    <row r="4240">
      <c r="A4240" s="1" t="n">
        <v>4239</v>
      </c>
      <c r="B4240">
        <f>TEXT(4239, "[$-0E0000]yyyy-mm-dd")</f>
        <v/>
      </c>
      <c r="C4240" t="inlineStr">
        <is>
          <t>1911-06-16</t>
        </is>
      </c>
    </row>
    <row r="4241">
      <c r="A4241" s="1" t="n">
        <v>4240</v>
      </c>
      <c r="B4241">
        <f>TEXT(4240, "[$-0E0000]yyyy-mm-dd")</f>
        <v/>
      </c>
      <c r="C4241" t="inlineStr">
        <is>
          <t>1911-06-17</t>
        </is>
      </c>
    </row>
    <row r="4242">
      <c r="A4242" s="1" t="n">
        <v>4241</v>
      </c>
      <c r="B4242">
        <f>TEXT(4241, "[$-0E0000]yyyy-mm-dd")</f>
        <v/>
      </c>
      <c r="C4242" t="inlineStr">
        <is>
          <t>1911-06-18</t>
        </is>
      </c>
    </row>
    <row r="4243">
      <c r="A4243" s="1" t="n">
        <v>4242</v>
      </c>
      <c r="B4243">
        <f>TEXT(4242, "[$-0E0000]yyyy-mm-dd")</f>
        <v/>
      </c>
      <c r="C4243" t="inlineStr">
        <is>
          <t>1911-06-19</t>
        </is>
      </c>
    </row>
    <row r="4244">
      <c r="A4244" s="1" t="n">
        <v>4243</v>
      </c>
      <c r="B4244">
        <f>TEXT(4243, "[$-0E0000]yyyy-mm-dd")</f>
        <v/>
      </c>
      <c r="C4244" t="inlineStr">
        <is>
          <t>1911-06-20</t>
        </is>
      </c>
    </row>
    <row r="4245">
      <c r="A4245" s="1" t="n">
        <v>4244</v>
      </c>
      <c r="B4245">
        <f>TEXT(4244, "[$-0E0000]yyyy-mm-dd")</f>
        <v/>
      </c>
      <c r="C4245" t="inlineStr">
        <is>
          <t>1911-06-21</t>
        </is>
      </c>
    </row>
    <row r="4246">
      <c r="A4246" s="1" t="n">
        <v>4245</v>
      </c>
      <c r="B4246">
        <f>TEXT(4245, "[$-0E0000]yyyy-mm-dd")</f>
        <v/>
      </c>
      <c r="C4246" t="inlineStr">
        <is>
          <t>1911-06-22</t>
        </is>
      </c>
    </row>
    <row r="4247">
      <c r="A4247" s="1" t="n">
        <v>4246</v>
      </c>
      <c r="B4247">
        <f>TEXT(4246, "[$-0E0000]yyyy-mm-dd")</f>
        <v/>
      </c>
      <c r="C4247" t="inlineStr">
        <is>
          <t>1911-06-23</t>
        </is>
      </c>
    </row>
    <row r="4248">
      <c r="A4248" s="1" t="n">
        <v>4247</v>
      </c>
      <c r="B4248">
        <f>TEXT(4247, "[$-0E0000]yyyy-mm-dd")</f>
        <v/>
      </c>
      <c r="C4248" t="inlineStr">
        <is>
          <t>1911-06-24</t>
        </is>
      </c>
    </row>
    <row r="4249">
      <c r="A4249" s="1" t="n">
        <v>4248</v>
      </c>
      <c r="B4249">
        <f>TEXT(4248, "[$-0E0000]yyyy-mm-dd")</f>
        <v/>
      </c>
      <c r="C4249" t="inlineStr">
        <is>
          <t>1911-06-25</t>
        </is>
      </c>
    </row>
    <row r="4250">
      <c r="A4250" s="1" t="n">
        <v>4249</v>
      </c>
      <c r="B4250">
        <f>TEXT(4249, "[$-0E0000]yyyy-mm-dd")</f>
        <v/>
      </c>
      <c r="C4250" t="inlineStr">
        <is>
          <t>1911-06-26</t>
        </is>
      </c>
    </row>
    <row r="4251">
      <c r="A4251" s="1" t="n">
        <v>4250</v>
      </c>
      <c r="B4251">
        <f>TEXT(4250, "[$-0E0000]yyyy-mm-dd")</f>
        <v/>
      </c>
      <c r="C4251" t="inlineStr">
        <is>
          <t>1911-06-27</t>
        </is>
      </c>
    </row>
    <row r="4252">
      <c r="A4252" s="1" t="n">
        <v>4251</v>
      </c>
      <c r="B4252">
        <f>TEXT(4251, "[$-0E0000]yyyy-mm-dd")</f>
        <v/>
      </c>
      <c r="C4252" t="inlineStr">
        <is>
          <t>1911-06-28</t>
        </is>
      </c>
    </row>
    <row r="4253">
      <c r="A4253" s="1" t="n">
        <v>4252</v>
      </c>
      <c r="B4253">
        <f>TEXT(4252, "[$-0E0000]yyyy-mm-dd")</f>
        <v/>
      </c>
      <c r="C4253" t="inlineStr">
        <is>
          <t>1911-06-29</t>
        </is>
      </c>
    </row>
    <row r="4254">
      <c r="A4254" s="1" t="n">
        <v>4253</v>
      </c>
      <c r="B4254">
        <f>TEXT(4253, "[$-0E0000]yyyy-mm-dd")</f>
        <v/>
      </c>
      <c r="C4254" t="inlineStr">
        <is>
          <t>1911-07-01</t>
        </is>
      </c>
    </row>
    <row r="4255">
      <c r="A4255" s="1" t="n">
        <v>4254</v>
      </c>
      <c r="B4255">
        <f>TEXT(4254, "[$-0E0000]yyyy-mm-dd")</f>
        <v/>
      </c>
      <c r="C4255" t="inlineStr">
        <is>
          <t>1911-07-02</t>
        </is>
      </c>
    </row>
    <row r="4256">
      <c r="A4256" s="1" t="n">
        <v>4255</v>
      </c>
      <c r="B4256">
        <f>TEXT(4255, "[$-0E0000]yyyy-mm-dd")</f>
        <v/>
      </c>
      <c r="C4256" t="inlineStr">
        <is>
          <t>1911-07-03</t>
        </is>
      </c>
    </row>
    <row r="4257">
      <c r="A4257" s="1" t="n">
        <v>4256</v>
      </c>
      <c r="B4257">
        <f>TEXT(4256, "[$-0E0000]yyyy-mm-dd")</f>
        <v/>
      </c>
      <c r="C4257" t="inlineStr">
        <is>
          <t>1911-07-04</t>
        </is>
      </c>
    </row>
    <row r="4258">
      <c r="A4258" s="1" t="n">
        <v>4257</v>
      </c>
      <c r="B4258">
        <f>TEXT(4257, "[$-0E0000]yyyy-mm-dd")</f>
        <v/>
      </c>
      <c r="C4258" t="inlineStr">
        <is>
          <t>1911-07-05</t>
        </is>
      </c>
    </row>
    <row r="4259">
      <c r="A4259" s="1" t="n">
        <v>4258</v>
      </c>
      <c r="B4259">
        <f>TEXT(4258, "[$-0E0000]yyyy-mm-dd")</f>
        <v/>
      </c>
      <c r="C4259" t="inlineStr">
        <is>
          <t>1911-07-06</t>
        </is>
      </c>
    </row>
    <row r="4260">
      <c r="A4260" s="1" t="n">
        <v>4259</v>
      </c>
      <c r="B4260">
        <f>TEXT(4259, "[$-0E0000]yyyy-mm-dd")</f>
        <v/>
      </c>
      <c r="C4260" t="inlineStr">
        <is>
          <t>1911-07-07</t>
        </is>
      </c>
    </row>
    <row r="4261">
      <c r="A4261" s="1" t="n">
        <v>4260</v>
      </c>
      <c r="B4261">
        <f>TEXT(4260, "[$-0E0000]yyyy-mm-dd")</f>
        <v/>
      </c>
      <c r="C4261" t="inlineStr">
        <is>
          <t>1911-07-08</t>
        </is>
      </c>
    </row>
    <row r="4262">
      <c r="A4262" s="1" t="n">
        <v>4261</v>
      </c>
      <c r="B4262">
        <f>TEXT(4261, "[$-0E0000]yyyy-mm-dd")</f>
        <v/>
      </c>
      <c r="C4262" t="inlineStr">
        <is>
          <t>1911-07-09</t>
        </is>
      </c>
    </row>
    <row r="4263">
      <c r="A4263" s="1" t="n">
        <v>4262</v>
      </c>
      <c r="B4263">
        <f>TEXT(4262, "[$-0E0000]yyyy-mm-dd")</f>
        <v/>
      </c>
      <c r="C4263" t="inlineStr">
        <is>
          <t>1911-07-10</t>
        </is>
      </c>
    </row>
    <row r="4264">
      <c r="A4264" s="1" t="n">
        <v>4263</v>
      </c>
      <c r="B4264">
        <f>TEXT(4263, "[$-0E0000]yyyy-mm-dd")</f>
        <v/>
      </c>
      <c r="C4264" t="inlineStr">
        <is>
          <t>1911-07-11</t>
        </is>
      </c>
    </row>
    <row r="4265">
      <c r="A4265" s="1" t="n">
        <v>4264</v>
      </c>
      <c r="B4265">
        <f>TEXT(4264, "[$-0E0000]yyyy-mm-dd")</f>
        <v/>
      </c>
      <c r="C4265" t="inlineStr">
        <is>
          <t>1911-07-12</t>
        </is>
      </c>
    </row>
    <row r="4266">
      <c r="A4266" s="1" t="n">
        <v>4265</v>
      </c>
      <c r="B4266">
        <f>TEXT(4265, "[$-0E0000]yyyy-mm-dd")</f>
        <v/>
      </c>
      <c r="C4266" t="inlineStr">
        <is>
          <t>1911-07-13</t>
        </is>
      </c>
    </row>
    <row r="4267">
      <c r="A4267" s="1" t="n">
        <v>4266</v>
      </c>
      <c r="B4267">
        <f>TEXT(4266, "[$-0E0000]yyyy-mm-dd")</f>
        <v/>
      </c>
      <c r="C4267" t="inlineStr">
        <is>
          <t>1911-07-14</t>
        </is>
      </c>
    </row>
    <row r="4268">
      <c r="A4268" s="1" t="n">
        <v>4267</v>
      </c>
      <c r="B4268">
        <f>TEXT(4267, "[$-0E0000]yyyy-mm-dd")</f>
        <v/>
      </c>
      <c r="C4268" t="inlineStr">
        <is>
          <t>1911-07-15</t>
        </is>
      </c>
    </row>
    <row r="4269">
      <c r="A4269" s="1" t="n">
        <v>4268</v>
      </c>
      <c r="B4269">
        <f>TEXT(4268, "[$-0E0000]yyyy-mm-dd")</f>
        <v/>
      </c>
      <c r="C4269" t="inlineStr">
        <is>
          <t>1911-07-16</t>
        </is>
      </c>
    </row>
    <row r="4270">
      <c r="A4270" s="1" t="n">
        <v>4269</v>
      </c>
      <c r="B4270">
        <f>TEXT(4269, "[$-0E0000]yyyy-mm-dd")</f>
        <v/>
      </c>
      <c r="C4270" t="inlineStr">
        <is>
          <t>1911-07-17</t>
        </is>
      </c>
    </row>
    <row r="4271">
      <c r="A4271" s="1" t="n">
        <v>4270</v>
      </c>
      <c r="B4271">
        <f>TEXT(4270, "[$-0E0000]yyyy-mm-dd")</f>
        <v/>
      </c>
      <c r="C4271" t="inlineStr">
        <is>
          <t>1911-07-18</t>
        </is>
      </c>
    </row>
    <row r="4272">
      <c r="A4272" s="1" t="n">
        <v>4271</v>
      </c>
      <c r="B4272">
        <f>TEXT(4271, "[$-0E0000]yyyy-mm-dd")</f>
        <v/>
      </c>
      <c r="C4272" t="inlineStr">
        <is>
          <t>1911-07-19</t>
        </is>
      </c>
    </row>
    <row r="4273">
      <c r="A4273" s="1" t="n">
        <v>4272</v>
      </c>
      <c r="B4273">
        <f>TEXT(4272, "[$-0E0000]yyyy-mm-dd")</f>
        <v/>
      </c>
      <c r="C4273" t="inlineStr">
        <is>
          <t>1911-07-20</t>
        </is>
      </c>
    </row>
    <row r="4274">
      <c r="A4274" s="1" t="n">
        <v>4273</v>
      </c>
      <c r="B4274">
        <f>TEXT(4273, "[$-0E0000]yyyy-mm-dd")</f>
        <v/>
      </c>
      <c r="C4274" t="inlineStr">
        <is>
          <t>1911-07-21</t>
        </is>
      </c>
    </row>
    <row r="4275">
      <c r="A4275" s="1" t="n">
        <v>4274</v>
      </c>
      <c r="B4275">
        <f>TEXT(4274, "[$-0E0000]yyyy-mm-dd")</f>
        <v/>
      </c>
      <c r="C4275" t="inlineStr">
        <is>
          <t>1911-07-22</t>
        </is>
      </c>
    </row>
    <row r="4276">
      <c r="A4276" s="1" t="n">
        <v>4275</v>
      </c>
      <c r="B4276">
        <f>TEXT(4275, "[$-0E0000]yyyy-mm-dd")</f>
        <v/>
      </c>
      <c r="C4276" t="inlineStr">
        <is>
          <t>1911-07-23</t>
        </is>
      </c>
    </row>
    <row r="4277">
      <c r="A4277" s="1" t="n">
        <v>4276</v>
      </c>
      <c r="B4277">
        <f>TEXT(4276, "[$-0E0000]yyyy-mm-dd")</f>
        <v/>
      </c>
      <c r="C4277" t="inlineStr">
        <is>
          <t>1911-07-24</t>
        </is>
      </c>
    </row>
    <row r="4278">
      <c r="A4278" s="1" t="n">
        <v>4277</v>
      </c>
      <c r="B4278">
        <f>TEXT(4277, "[$-0E0000]yyyy-mm-dd")</f>
        <v/>
      </c>
      <c r="C4278" t="inlineStr">
        <is>
          <t>1911-07-25</t>
        </is>
      </c>
    </row>
    <row r="4279">
      <c r="A4279" s="1" t="n">
        <v>4278</v>
      </c>
      <c r="B4279">
        <f>TEXT(4278, "[$-0E0000]yyyy-mm-dd")</f>
        <v/>
      </c>
      <c r="C4279" t="inlineStr">
        <is>
          <t>1911-07-26</t>
        </is>
      </c>
    </row>
    <row r="4280">
      <c r="A4280" s="1" t="n">
        <v>4279</v>
      </c>
      <c r="B4280">
        <f>TEXT(4279, "[$-0E0000]yyyy-mm-dd")</f>
        <v/>
      </c>
      <c r="C4280" t="inlineStr">
        <is>
          <t>1911-07-27</t>
        </is>
      </c>
    </row>
    <row r="4281">
      <c r="A4281" s="1" t="n">
        <v>4280</v>
      </c>
      <c r="B4281">
        <f>TEXT(4280, "[$-0E0000]yyyy-mm-dd")</f>
        <v/>
      </c>
      <c r="C4281" t="inlineStr">
        <is>
          <t>1911-07-28</t>
        </is>
      </c>
    </row>
    <row r="4282">
      <c r="A4282" s="1" t="n">
        <v>4281</v>
      </c>
      <c r="B4282">
        <f>TEXT(4281, "[$-0E0000]yyyy-mm-dd")</f>
        <v/>
      </c>
      <c r="C4282" t="inlineStr">
        <is>
          <t>1911-07-29</t>
        </is>
      </c>
    </row>
    <row r="4283">
      <c r="A4283" s="1" t="n">
        <v>4282</v>
      </c>
      <c r="B4283">
        <f>TEXT(4282, "[$-0E0000]yyyy-mm-dd")</f>
        <v/>
      </c>
      <c r="C4283" t="inlineStr">
        <is>
          <t>1911-08-01</t>
        </is>
      </c>
    </row>
    <row r="4284">
      <c r="A4284" s="1" t="n">
        <v>4283</v>
      </c>
      <c r="B4284">
        <f>TEXT(4283, "[$-0E0000]yyyy-mm-dd")</f>
        <v/>
      </c>
      <c r="C4284" t="inlineStr">
        <is>
          <t>1911-08-02</t>
        </is>
      </c>
    </row>
    <row r="4285">
      <c r="A4285" s="1" t="n">
        <v>4284</v>
      </c>
      <c r="B4285">
        <f>TEXT(4284, "[$-0E0000]yyyy-mm-dd")</f>
        <v/>
      </c>
      <c r="C4285" t="inlineStr">
        <is>
          <t>1911-08-03</t>
        </is>
      </c>
    </row>
    <row r="4286">
      <c r="A4286" s="1" t="n">
        <v>4285</v>
      </c>
      <c r="B4286">
        <f>TEXT(4285, "[$-0E0000]yyyy-mm-dd")</f>
        <v/>
      </c>
      <c r="C4286" t="inlineStr">
        <is>
          <t>1911-08-04</t>
        </is>
      </c>
    </row>
    <row r="4287">
      <c r="A4287" s="1" t="n">
        <v>4286</v>
      </c>
      <c r="B4287">
        <f>TEXT(4286, "[$-0E0000]yyyy-mm-dd")</f>
        <v/>
      </c>
      <c r="C4287" t="inlineStr">
        <is>
          <t>1911-08-05</t>
        </is>
      </c>
    </row>
    <row r="4288">
      <c r="A4288" s="1" t="n">
        <v>4287</v>
      </c>
      <c r="B4288">
        <f>TEXT(4287, "[$-0E0000]yyyy-mm-dd")</f>
        <v/>
      </c>
      <c r="C4288" t="inlineStr">
        <is>
          <t>1911-08-06</t>
        </is>
      </c>
    </row>
    <row r="4289">
      <c r="A4289" s="1" t="n">
        <v>4288</v>
      </c>
      <c r="B4289">
        <f>TEXT(4288, "[$-0E0000]yyyy-mm-dd")</f>
        <v/>
      </c>
      <c r="C4289" t="inlineStr">
        <is>
          <t>1911-08-07</t>
        </is>
      </c>
    </row>
    <row r="4290">
      <c r="A4290" s="1" t="n">
        <v>4289</v>
      </c>
      <c r="B4290">
        <f>TEXT(4289, "[$-0E0000]yyyy-mm-dd")</f>
        <v/>
      </c>
      <c r="C4290" t="inlineStr">
        <is>
          <t>1911-08-08</t>
        </is>
      </c>
    </row>
    <row r="4291">
      <c r="A4291" s="1" t="n">
        <v>4290</v>
      </c>
      <c r="B4291">
        <f>TEXT(4290, "[$-0E0000]yyyy-mm-dd")</f>
        <v/>
      </c>
      <c r="C4291" t="inlineStr">
        <is>
          <t>1911-08-09</t>
        </is>
      </c>
    </row>
    <row r="4292">
      <c r="A4292" s="1" t="n">
        <v>4291</v>
      </c>
      <c r="B4292">
        <f>TEXT(4291, "[$-0E0000]yyyy-mm-dd")</f>
        <v/>
      </c>
      <c r="C4292" t="inlineStr">
        <is>
          <t>1911-08-10</t>
        </is>
      </c>
    </row>
    <row r="4293">
      <c r="A4293" s="1" t="n">
        <v>4292</v>
      </c>
      <c r="B4293">
        <f>TEXT(4292, "[$-0E0000]yyyy-mm-dd")</f>
        <v/>
      </c>
      <c r="C4293" t="inlineStr">
        <is>
          <t>1911-08-11</t>
        </is>
      </c>
    </row>
    <row r="4294">
      <c r="A4294" s="1" t="n">
        <v>4293</v>
      </c>
      <c r="B4294">
        <f>TEXT(4293, "[$-0E0000]yyyy-mm-dd")</f>
        <v/>
      </c>
      <c r="C4294" t="inlineStr">
        <is>
          <t>1911-08-12</t>
        </is>
      </c>
    </row>
    <row r="4295">
      <c r="A4295" s="1" t="n">
        <v>4294</v>
      </c>
      <c r="B4295">
        <f>TEXT(4294, "[$-0E0000]yyyy-mm-dd")</f>
        <v/>
      </c>
      <c r="C4295" t="inlineStr">
        <is>
          <t>1911-08-13</t>
        </is>
      </c>
    </row>
    <row r="4296">
      <c r="A4296" s="1" t="n">
        <v>4295</v>
      </c>
      <c r="B4296">
        <f>TEXT(4295, "[$-0E0000]yyyy-mm-dd")</f>
        <v/>
      </c>
      <c r="C4296" t="inlineStr">
        <is>
          <t>1911-08-14</t>
        </is>
      </c>
    </row>
    <row r="4297">
      <c r="A4297" s="1" t="n">
        <v>4296</v>
      </c>
      <c r="B4297">
        <f>TEXT(4296, "[$-0E0000]yyyy-mm-dd")</f>
        <v/>
      </c>
      <c r="C4297" t="inlineStr">
        <is>
          <t>1911-08-15</t>
        </is>
      </c>
    </row>
    <row r="4298">
      <c r="A4298" s="1" t="n">
        <v>4297</v>
      </c>
      <c r="B4298">
        <f>TEXT(4297, "[$-0E0000]yyyy-mm-dd")</f>
        <v/>
      </c>
      <c r="C4298" t="inlineStr">
        <is>
          <t>1911-08-16</t>
        </is>
      </c>
    </row>
    <row r="4299">
      <c r="A4299" s="1" t="n">
        <v>4298</v>
      </c>
      <c r="B4299">
        <f>TEXT(4298, "[$-0E0000]yyyy-mm-dd")</f>
        <v/>
      </c>
      <c r="C4299" t="inlineStr">
        <is>
          <t>1911-08-17</t>
        </is>
      </c>
    </row>
    <row r="4300">
      <c r="A4300" s="1" t="n">
        <v>4299</v>
      </c>
      <c r="B4300">
        <f>TEXT(4299, "[$-0E0000]yyyy-mm-dd")</f>
        <v/>
      </c>
      <c r="C4300" t="inlineStr">
        <is>
          <t>1911-08-18</t>
        </is>
      </c>
    </row>
    <row r="4301">
      <c r="A4301" s="1" t="n">
        <v>4300</v>
      </c>
      <c r="B4301">
        <f>TEXT(4300, "[$-0E0000]yyyy-mm-dd")</f>
        <v/>
      </c>
      <c r="C4301" t="inlineStr">
        <is>
          <t>1911-08-19</t>
        </is>
      </c>
    </row>
    <row r="4302">
      <c r="A4302" s="1" t="n">
        <v>4301</v>
      </c>
      <c r="B4302">
        <f>TEXT(4301, "[$-0E0000]yyyy-mm-dd")</f>
        <v/>
      </c>
      <c r="C4302" t="inlineStr">
        <is>
          <t>1911-08-20</t>
        </is>
      </c>
    </row>
    <row r="4303">
      <c r="A4303" s="1" t="n">
        <v>4302</v>
      </c>
      <c r="B4303">
        <f>TEXT(4302, "[$-0E0000]yyyy-mm-dd")</f>
        <v/>
      </c>
      <c r="C4303" t="inlineStr">
        <is>
          <t>1911-08-21</t>
        </is>
      </c>
    </row>
    <row r="4304">
      <c r="A4304" s="1" t="n">
        <v>4303</v>
      </c>
      <c r="B4304">
        <f>TEXT(4303, "[$-0E0000]yyyy-mm-dd")</f>
        <v/>
      </c>
      <c r="C4304" t="inlineStr">
        <is>
          <t>1911-08-22</t>
        </is>
      </c>
    </row>
    <row r="4305">
      <c r="A4305" s="1" t="n">
        <v>4304</v>
      </c>
      <c r="B4305">
        <f>TEXT(4304, "[$-0E0000]yyyy-mm-dd")</f>
        <v/>
      </c>
      <c r="C4305" t="inlineStr">
        <is>
          <t>1911-08-23</t>
        </is>
      </c>
    </row>
    <row r="4306">
      <c r="A4306" s="1" t="n">
        <v>4305</v>
      </c>
      <c r="B4306">
        <f>TEXT(4305, "[$-0E0000]yyyy-mm-dd")</f>
        <v/>
      </c>
      <c r="C4306" t="inlineStr">
        <is>
          <t>1911-08-24</t>
        </is>
      </c>
    </row>
    <row r="4307">
      <c r="A4307" s="1" t="n">
        <v>4306</v>
      </c>
      <c r="B4307">
        <f>TEXT(4306, "[$-0E0000]yyyy-mm-dd")</f>
        <v/>
      </c>
      <c r="C4307" t="inlineStr">
        <is>
          <t>1911-08-25</t>
        </is>
      </c>
    </row>
    <row r="4308">
      <c r="A4308" s="1" t="n">
        <v>4307</v>
      </c>
      <c r="B4308">
        <f>TEXT(4307, "[$-0E0000]yyyy-mm-dd")</f>
        <v/>
      </c>
      <c r="C4308" t="inlineStr">
        <is>
          <t>1911-08-26</t>
        </is>
      </c>
    </row>
    <row r="4309">
      <c r="A4309" s="1" t="n">
        <v>4308</v>
      </c>
      <c r="B4309">
        <f>TEXT(4308, "[$-0E0000]yyyy-mm-dd")</f>
        <v/>
      </c>
      <c r="C4309" t="inlineStr">
        <is>
          <t>1911-08-27</t>
        </is>
      </c>
    </row>
    <row r="4310">
      <c r="A4310" s="1" t="n">
        <v>4309</v>
      </c>
      <c r="B4310">
        <f>TEXT(4309, "[$-0E0000]yyyy-mm-dd")</f>
        <v/>
      </c>
      <c r="C4310" t="inlineStr">
        <is>
          <t>1911-08-28</t>
        </is>
      </c>
    </row>
    <row r="4311">
      <c r="A4311" s="1" t="n">
        <v>4310</v>
      </c>
      <c r="B4311">
        <f>TEXT(4310, "[$-0E0000]yyyy-mm-dd")</f>
        <v/>
      </c>
      <c r="C4311" t="inlineStr">
        <is>
          <t>1911-08-29</t>
        </is>
      </c>
    </row>
    <row r="4312">
      <c r="A4312" s="1" t="n">
        <v>4311</v>
      </c>
      <c r="B4312">
        <f>TEXT(4311, "[$-0E0000]yyyy-mm-dd")</f>
        <v/>
      </c>
      <c r="C4312" t="inlineStr">
        <is>
          <t>1911-08-30</t>
        </is>
      </c>
    </row>
    <row r="4313">
      <c r="A4313" s="1" t="n">
        <v>4312</v>
      </c>
      <c r="B4313">
        <f>TEXT(4312, "[$-0E0000]yyyy-mm-dd")</f>
        <v/>
      </c>
      <c r="C4313" t="inlineStr">
        <is>
          <t>1911-09-01</t>
        </is>
      </c>
    </row>
    <row r="4314">
      <c r="A4314" s="1" t="n">
        <v>4313</v>
      </c>
      <c r="B4314">
        <f>TEXT(4313, "[$-0E0000]yyyy-mm-dd")</f>
        <v/>
      </c>
      <c r="C4314" t="inlineStr">
        <is>
          <t>1911-09-02</t>
        </is>
      </c>
    </row>
    <row r="4315">
      <c r="A4315" s="1" t="n">
        <v>4314</v>
      </c>
      <c r="B4315">
        <f>TEXT(4314, "[$-0E0000]yyyy-mm-dd")</f>
        <v/>
      </c>
      <c r="C4315" t="inlineStr">
        <is>
          <t>1911-09-03</t>
        </is>
      </c>
    </row>
    <row r="4316">
      <c r="A4316" s="1" t="n">
        <v>4315</v>
      </c>
      <c r="B4316">
        <f>TEXT(4315, "[$-0E0000]yyyy-mm-dd")</f>
        <v/>
      </c>
      <c r="C4316" t="inlineStr">
        <is>
          <t>1911-09-04</t>
        </is>
      </c>
    </row>
    <row r="4317">
      <c r="A4317" s="1" t="n">
        <v>4316</v>
      </c>
      <c r="B4317">
        <f>TEXT(4316, "[$-0E0000]yyyy-mm-dd")</f>
        <v/>
      </c>
      <c r="C4317" t="inlineStr">
        <is>
          <t>1911-09-05</t>
        </is>
      </c>
    </row>
    <row r="4318">
      <c r="A4318" s="1" t="n">
        <v>4317</v>
      </c>
      <c r="B4318">
        <f>TEXT(4317, "[$-0E0000]yyyy-mm-dd")</f>
        <v/>
      </c>
      <c r="C4318" t="inlineStr">
        <is>
          <t>1911-09-06</t>
        </is>
      </c>
    </row>
    <row r="4319">
      <c r="A4319" s="1" t="n">
        <v>4318</v>
      </c>
      <c r="B4319">
        <f>TEXT(4318, "[$-0E0000]yyyy-mm-dd")</f>
        <v/>
      </c>
      <c r="C4319" t="inlineStr">
        <is>
          <t>1911-09-07</t>
        </is>
      </c>
    </row>
    <row r="4320">
      <c r="A4320" s="1" t="n">
        <v>4319</v>
      </c>
      <c r="B4320">
        <f>TEXT(4319, "[$-0E0000]yyyy-mm-dd")</f>
        <v/>
      </c>
      <c r="C4320" t="inlineStr">
        <is>
          <t>1911-09-08</t>
        </is>
      </c>
    </row>
    <row r="4321">
      <c r="A4321" s="1" t="n">
        <v>4320</v>
      </c>
      <c r="B4321">
        <f>TEXT(4320, "[$-0E0000]yyyy-mm-dd")</f>
        <v/>
      </c>
      <c r="C4321" t="inlineStr">
        <is>
          <t>1911-09-09</t>
        </is>
      </c>
    </row>
    <row r="4322">
      <c r="A4322" s="1" t="n">
        <v>4321</v>
      </c>
      <c r="B4322">
        <f>TEXT(4321, "[$-0E0000]yyyy-mm-dd")</f>
        <v/>
      </c>
      <c r="C4322" t="inlineStr">
        <is>
          <t>1911-09-10</t>
        </is>
      </c>
    </row>
    <row r="4323">
      <c r="A4323" s="1" t="n">
        <v>4322</v>
      </c>
      <c r="B4323">
        <f>TEXT(4322, "[$-0E0000]yyyy-mm-dd")</f>
        <v/>
      </c>
      <c r="C4323" t="inlineStr">
        <is>
          <t>1911-09-11</t>
        </is>
      </c>
    </row>
    <row r="4324">
      <c r="A4324" s="1" t="n">
        <v>4323</v>
      </c>
      <c r="B4324">
        <f>TEXT(4323, "[$-0E0000]yyyy-mm-dd")</f>
        <v/>
      </c>
      <c r="C4324" t="inlineStr">
        <is>
          <t>1911-09-12</t>
        </is>
      </c>
    </row>
    <row r="4325">
      <c r="A4325" s="1" t="n">
        <v>4324</v>
      </c>
      <c r="B4325">
        <f>TEXT(4324, "[$-0E0000]yyyy-mm-dd")</f>
        <v/>
      </c>
      <c r="C4325" t="inlineStr">
        <is>
          <t>1911-09-13</t>
        </is>
      </c>
    </row>
    <row r="4326">
      <c r="A4326" s="1" t="n">
        <v>4325</v>
      </c>
      <c r="B4326">
        <f>TEXT(4325, "[$-0E0000]yyyy-mm-dd")</f>
        <v/>
      </c>
      <c r="C4326" t="inlineStr">
        <is>
          <t>1911-09-14</t>
        </is>
      </c>
    </row>
    <row r="4327">
      <c r="A4327" s="1" t="n">
        <v>4326</v>
      </c>
      <c r="B4327">
        <f>TEXT(4326, "[$-0E0000]yyyy-mm-dd")</f>
        <v/>
      </c>
      <c r="C4327" t="inlineStr">
        <is>
          <t>1911-09-15</t>
        </is>
      </c>
    </row>
    <row r="4328">
      <c r="A4328" s="1" t="n">
        <v>4327</v>
      </c>
      <c r="B4328">
        <f>TEXT(4327, "[$-0E0000]yyyy-mm-dd")</f>
        <v/>
      </c>
      <c r="C4328" t="inlineStr">
        <is>
          <t>1911-09-16</t>
        </is>
      </c>
    </row>
    <row r="4329">
      <c r="A4329" s="1" t="n">
        <v>4328</v>
      </c>
      <c r="B4329">
        <f>TEXT(4328, "[$-0E0000]yyyy-mm-dd")</f>
        <v/>
      </c>
      <c r="C4329" t="inlineStr">
        <is>
          <t>1911-09-17</t>
        </is>
      </c>
    </row>
    <row r="4330">
      <c r="A4330" s="1" t="n">
        <v>4329</v>
      </c>
      <c r="B4330">
        <f>TEXT(4329, "[$-0E0000]yyyy-mm-dd")</f>
        <v/>
      </c>
      <c r="C4330" t="inlineStr">
        <is>
          <t>1911-09-18</t>
        </is>
      </c>
    </row>
    <row r="4331">
      <c r="A4331" s="1" t="n">
        <v>4330</v>
      </c>
      <c r="B4331">
        <f>TEXT(4330, "[$-0E0000]yyyy-mm-dd")</f>
        <v/>
      </c>
      <c r="C4331" t="inlineStr">
        <is>
          <t>1911-09-19</t>
        </is>
      </c>
    </row>
    <row r="4332">
      <c r="A4332" s="1" t="n">
        <v>4331</v>
      </c>
      <c r="B4332">
        <f>TEXT(4331, "[$-0E0000]yyyy-mm-dd")</f>
        <v/>
      </c>
      <c r="C4332" t="inlineStr">
        <is>
          <t>1911-09-20</t>
        </is>
      </c>
    </row>
    <row r="4333">
      <c r="A4333" s="1" t="n">
        <v>4332</v>
      </c>
      <c r="B4333">
        <f>TEXT(4332, "[$-0E0000]yyyy-mm-dd")</f>
        <v/>
      </c>
      <c r="C4333" t="inlineStr">
        <is>
          <t>1911-09-21</t>
        </is>
      </c>
    </row>
    <row r="4334">
      <c r="A4334" s="1" t="n">
        <v>4333</v>
      </c>
      <c r="B4334">
        <f>TEXT(4333, "[$-0E0000]yyyy-mm-dd")</f>
        <v/>
      </c>
      <c r="C4334" t="inlineStr">
        <is>
          <t>1911-09-22</t>
        </is>
      </c>
    </row>
    <row r="4335">
      <c r="A4335" s="1" t="n">
        <v>4334</v>
      </c>
      <c r="B4335">
        <f>TEXT(4334, "[$-0E0000]yyyy-mm-dd")</f>
        <v/>
      </c>
      <c r="C4335" t="inlineStr">
        <is>
          <t>1911-09-23</t>
        </is>
      </c>
    </row>
    <row r="4336">
      <c r="A4336" s="1" t="n">
        <v>4335</v>
      </c>
      <c r="B4336">
        <f>TEXT(4335, "[$-0E0000]yyyy-mm-dd")</f>
        <v/>
      </c>
      <c r="C4336" t="inlineStr">
        <is>
          <t>1911-09-24</t>
        </is>
      </c>
    </row>
    <row r="4337">
      <c r="A4337" s="1" t="n">
        <v>4336</v>
      </c>
      <c r="B4337">
        <f>TEXT(4336, "[$-0E0000]yyyy-mm-dd")</f>
        <v/>
      </c>
      <c r="C4337" t="inlineStr">
        <is>
          <t>1911-09-25</t>
        </is>
      </c>
    </row>
    <row r="4338">
      <c r="A4338" s="1" t="n">
        <v>4337</v>
      </c>
      <c r="B4338">
        <f>TEXT(4337, "[$-0E0000]yyyy-mm-dd")</f>
        <v/>
      </c>
      <c r="C4338" t="inlineStr">
        <is>
          <t>1911-09-26</t>
        </is>
      </c>
    </row>
    <row r="4339">
      <c r="A4339" s="1" t="n">
        <v>4338</v>
      </c>
      <c r="B4339">
        <f>TEXT(4338, "[$-0E0000]yyyy-mm-dd")</f>
        <v/>
      </c>
      <c r="C4339" t="inlineStr">
        <is>
          <t>1911-09-27</t>
        </is>
      </c>
    </row>
    <row r="4340">
      <c r="A4340" s="1" t="n">
        <v>4339</v>
      </c>
      <c r="B4340">
        <f>TEXT(4339, "[$-0E0000]yyyy-mm-dd")</f>
        <v/>
      </c>
      <c r="C4340" t="inlineStr">
        <is>
          <t>1911-09-28</t>
        </is>
      </c>
    </row>
    <row r="4341">
      <c r="A4341" s="1" t="n">
        <v>4340</v>
      </c>
      <c r="B4341">
        <f>TEXT(4340, "[$-0E0000]yyyy-mm-dd")</f>
        <v/>
      </c>
      <c r="C4341" t="inlineStr">
        <is>
          <t>1911-09-29</t>
        </is>
      </c>
    </row>
    <row r="4342">
      <c r="A4342" s="1" t="n">
        <v>4341</v>
      </c>
      <c r="B4342">
        <f>TEXT(4341, "[$-0E0000]yyyy-mm-dd")</f>
        <v/>
      </c>
      <c r="C4342" t="inlineStr">
        <is>
          <t>1911-09-30</t>
        </is>
      </c>
    </row>
    <row r="4343">
      <c r="A4343" s="1" t="n">
        <v>4342</v>
      </c>
      <c r="B4343">
        <f>TEXT(4342, "[$-0E0000]yyyy-mm-dd")</f>
        <v/>
      </c>
      <c r="C4343" t="inlineStr">
        <is>
          <t>1911-10-01</t>
        </is>
      </c>
    </row>
    <row r="4344">
      <c r="A4344" s="1" t="n">
        <v>4343</v>
      </c>
      <c r="B4344">
        <f>TEXT(4343, "[$-0E0000]yyyy-mm-dd")</f>
        <v/>
      </c>
      <c r="C4344" t="inlineStr">
        <is>
          <t>1911-10-02</t>
        </is>
      </c>
    </row>
    <row r="4345">
      <c r="A4345" s="1" t="n">
        <v>4344</v>
      </c>
      <c r="B4345">
        <f>TEXT(4344, "[$-0E0000]yyyy-mm-dd")</f>
        <v/>
      </c>
      <c r="C4345" t="inlineStr">
        <is>
          <t>1911-10-03</t>
        </is>
      </c>
    </row>
    <row r="4346">
      <c r="A4346" s="1" t="n">
        <v>4345</v>
      </c>
      <c r="B4346">
        <f>TEXT(4345, "[$-0E0000]yyyy-mm-dd")</f>
        <v/>
      </c>
      <c r="C4346" t="inlineStr">
        <is>
          <t>1911-10-04</t>
        </is>
      </c>
    </row>
    <row r="4347">
      <c r="A4347" s="1" t="n">
        <v>4346</v>
      </c>
      <c r="B4347">
        <f>TEXT(4346, "[$-0E0000]yyyy-mm-dd")</f>
        <v/>
      </c>
      <c r="C4347" t="inlineStr">
        <is>
          <t>1911-10-05</t>
        </is>
      </c>
    </row>
    <row r="4348">
      <c r="A4348" s="1" t="n">
        <v>4347</v>
      </c>
      <c r="B4348">
        <f>TEXT(4347, "[$-0E0000]yyyy-mm-dd")</f>
        <v/>
      </c>
      <c r="C4348" t="inlineStr">
        <is>
          <t>1911-10-06</t>
        </is>
      </c>
    </row>
    <row r="4349">
      <c r="A4349" s="1" t="n">
        <v>4348</v>
      </c>
      <c r="B4349">
        <f>TEXT(4348, "[$-0E0000]yyyy-mm-dd")</f>
        <v/>
      </c>
      <c r="C4349" t="inlineStr">
        <is>
          <t>1911-10-07</t>
        </is>
      </c>
    </row>
    <row r="4350">
      <c r="A4350" s="1" t="n">
        <v>4349</v>
      </c>
      <c r="B4350">
        <f>TEXT(4349, "[$-0E0000]yyyy-mm-dd")</f>
        <v/>
      </c>
      <c r="C4350" t="inlineStr">
        <is>
          <t>1911-10-08</t>
        </is>
      </c>
    </row>
    <row r="4351">
      <c r="A4351" s="1" t="n">
        <v>4350</v>
      </c>
      <c r="B4351">
        <f>TEXT(4350, "[$-0E0000]yyyy-mm-dd")</f>
        <v/>
      </c>
      <c r="C4351" t="inlineStr">
        <is>
          <t>1911-10-09</t>
        </is>
      </c>
    </row>
    <row r="4352">
      <c r="A4352" s="1" t="n">
        <v>4351</v>
      </c>
      <c r="B4352">
        <f>TEXT(4351, "[$-0E0000]yyyy-mm-dd")</f>
        <v/>
      </c>
      <c r="C4352" t="inlineStr">
        <is>
          <t>1911-10-10</t>
        </is>
      </c>
    </row>
    <row r="4353">
      <c r="A4353" s="1" t="n">
        <v>4352</v>
      </c>
      <c r="B4353">
        <f>TEXT(4352, "[$-0E0000]yyyy-mm-dd")</f>
        <v/>
      </c>
      <c r="C4353" t="inlineStr">
        <is>
          <t>1911-10-11</t>
        </is>
      </c>
    </row>
    <row r="4354">
      <c r="A4354" s="1" t="n">
        <v>4353</v>
      </c>
      <c r="B4354">
        <f>TEXT(4353, "[$-0E0000]yyyy-mm-dd")</f>
        <v/>
      </c>
      <c r="C4354" t="inlineStr">
        <is>
          <t>1911-10-12</t>
        </is>
      </c>
    </row>
    <row r="4355">
      <c r="A4355" s="1" t="n">
        <v>4354</v>
      </c>
      <c r="B4355">
        <f>TEXT(4354, "[$-0E0000]yyyy-mm-dd")</f>
        <v/>
      </c>
      <c r="C4355" t="inlineStr">
        <is>
          <t>1911-10-13</t>
        </is>
      </c>
    </row>
    <row r="4356">
      <c r="A4356" s="1" t="n">
        <v>4355</v>
      </c>
      <c r="B4356">
        <f>TEXT(4355, "[$-0E0000]yyyy-mm-dd")</f>
        <v/>
      </c>
      <c r="C4356" t="inlineStr">
        <is>
          <t>1911-10-14</t>
        </is>
      </c>
    </row>
    <row r="4357">
      <c r="A4357" s="1" t="n">
        <v>4356</v>
      </c>
      <c r="B4357">
        <f>TEXT(4356, "[$-0E0000]yyyy-mm-dd")</f>
        <v/>
      </c>
      <c r="C4357" t="inlineStr">
        <is>
          <t>1911-10-15</t>
        </is>
      </c>
    </row>
    <row r="4358">
      <c r="A4358" s="1" t="n">
        <v>4357</v>
      </c>
      <c r="B4358">
        <f>TEXT(4357, "[$-0E0000]yyyy-mm-dd")</f>
        <v/>
      </c>
      <c r="C4358" t="inlineStr">
        <is>
          <t>1911-10-16</t>
        </is>
      </c>
    </row>
    <row r="4359">
      <c r="A4359" s="1" t="n">
        <v>4358</v>
      </c>
      <c r="B4359">
        <f>TEXT(4358, "[$-0E0000]yyyy-mm-dd")</f>
        <v/>
      </c>
      <c r="C4359" t="inlineStr">
        <is>
          <t>1911-10-17</t>
        </is>
      </c>
    </row>
    <row r="4360">
      <c r="A4360" s="1" t="n">
        <v>4359</v>
      </c>
      <c r="B4360">
        <f>TEXT(4359, "[$-0E0000]yyyy-mm-dd")</f>
        <v/>
      </c>
      <c r="C4360" t="inlineStr">
        <is>
          <t>1911-10-18</t>
        </is>
      </c>
    </row>
    <row r="4361">
      <c r="A4361" s="1" t="n">
        <v>4360</v>
      </c>
      <c r="B4361">
        <f>TEXT(4360, "[$-0E0000]yyyy-mm-dd")</f>
        <v/>
      </c>
      <c r="C4361" t="inlineStr">
        <is>
          <t>1911-10-19</t>
        </is>
      </c>
    </row>
    <row r="4362">
      <c r="A4362" s="1" t="n">
        <v>4361</v>
      </c>
      <c r="B4362">
        <f>TEXT(4361, "[$-0E0000]yyyy-mm-dd")</f>
        <v/>
      </c>
      <c r="C4362" t="inlineStr">
        <is>
          <t>1911-10-20</t>
        </is>
      </c>
    </row>
    <row r="4363">
      <c r="A4363" s="1" t="n">
        <v>4362</v>
      </c>
      <c r="B4363">
        <f>TEXT(4362, "[$-0E0000]yyyy-mm-dd")</f>
        <v/>
      </c>
      <c r="C4363" t="inlineStr">
        <is>
          <t>1911-10-21</t>
        </is>
      </c>
    </row>
    <row r="4364">
      <c r="A4364" s="1" t="n">
        <v>4363</v>
      </c>
      <c r="B4364">
        <f>TEXT(4363, "[$-0E0000]yyyy-mm-dd")</f>
        <v/>
      </c>
      <c r="C4364" t="inlineStr">
        <is>
          <t>1911-10-22</t>
        </is>
      </c>
    </row>
    <row r="4365">
      <c r="A4365" s="1" t="n">
        <v>4364</v>
      </c>
      <c r="B4365">
        <f>TEXT(4364, "[$-0E0000]yyyy-mm-dd")</f>
        <v/>
      </c>
      <c r="C4365" t="inlineStr">
        <is>
          <t>1911-10-23</t>
        </is>
      </c>
    </row>
    <row r="4366">
      <c r="A4366" s="1" t="n">
        <v>4365</v>
      </c>
      <c r="B4366">
        <f>TEXT(4365, "[$-0E0000]yyyy-mm-dd")</f>
        <v/>
      </c>
      <c r="C4366" t="inlineStr">
        <is>
          <t>1911-10-24</t>
        </is>
      </c>
    </row>
    <row r="4367">
      <c r="A4367" s="1" t="n">
        <v>4366</v>
      </c>
      <c r="B4367">
        <f>TEXT(4366, "[$-0E0000]yyyy-mm-dd")</f>
        <v/>
      </c>
      <c r="C4367" t="inlineStr">
        <is>
          <t>1911-10-25</t>
        </is>
      </c>
    </row>
    <row r="4368">
      <c r="A4368" s="1" t="n">
        <v>4367</v>
      </c>
      <c r="B4368">
        <f>TEXT(4367, "[$-0E0000]yyyy-mm-dd")</f>
        <v/>
      </c>
      <c r="C4368" t="inlineStr">
        <is>
          <t>1911-10-26</t>
        </is>
      </c>
    </row>
    <row r="4369">
      <c r="A4369" s="1" t="n">
        <v>4368</v>
      </c>
      <c r="B4369">
        <f>TEXT(4368, "[$-0E0000]yyyy-mm-dd")</f>
        <v/>
      </c>
      <c r="C4369" t="inlineStr">
        <is>
          <t>1911-10-27</t>
        </is>
      </c>
    </row>
    <row r="4370">
      <c r="A4370" s="1" t="n">
        <v>4369</v>
      </c>
      <c r="B4370">
        <f>TEXT(4369, "[$-0E0000]yyyy-mm-dd")</f>
        <v/>
      </c>
      <c r="C4370" t="inlineStr">
        <is>
          <t>1911-10-28</t>
        </is>
      </c>
    </row>
    <row r="4371">
      <c r="A4371" s="1" t="n">
        <v>4370</v>
      </c>
      <c r="B4371">
        <f>TEXT(4370, "[$-0E0000]yyyy-mm-dd")</f>
        <v/>
      </c>
      <c r="C4371" t="inlineStr">
        <is>
          <t>1911-10-29</t>
        </is>
      </c>
    </row>
    <row r="4372">
      <c r="A4372" s="1" t="n">
        <v>4371</v>
      </c>
      <c r="B4372">
        <f>TEXT(4371, "[$-0E0000]yyyy-mm-dd")</f>
        <v/>
      </c>
      <c r="C4372" t="inlineStr">
        <is>
          <t>1911-11-01</t>
        </is>
      </c>
    </row>
    <row r="4373">
      <c r="A4373" s="1" t="n">
        <v>4372</v>
      </c>
      <c r="B4373">
        <f>TEXT(4372, "[$-0E0000]yyyy-mm-dd")</f>
        <v/>
      </c>
      <c r="C4373" t="inlineStr">
        <is>
          <t>1911-11-02</t>
        </is>
      </c>
    </row>
    <row r="4374">
      <c r="A4374" s="1" t="n">
        <v>4373</v>
      </c>
      <c r="B4374">
        <f>TEXT(4373, "[$-0E0000]yyyy-mm-dd")</f>
        <v/>
      </c>
      <c r="C4374" t="inlineStr">
        <is>
          <t>1911-11-03</t>
        </is>
      </c>
    </row>
    <row r="4375">
      <c r="A4375" s="1" t="n">
        <v>4374</v>
      </c>
      <c r="B4375">
        <f>TEXT(4374, "[$-0E0000]yyyy-mm-dd")</f>
        <v/>
      </c>
      <c r="C4375" t="inlineStr">
        <is>
          <t>1911-11-04</t>
        </is>
      </c>
    </row>
    <row r="4376">
      <c r="A4376" s="1" t="n">
        <v>4375</v>
      </c>
      <c r="B4376">
        <f>TEXT(4375, "[$-0E0000]yyyy-mm-dd")</f>
        <v/>
      </c>
      <c r="C4376" t="inlineStr">
        <is>
          <t>1911-11-05</t>
        </is>
      </c>
    </row>
    <row r="4377">
      <c r="A4377" s="1" t="n">
        <v>4376</v>
      </c>
      <c r="B4377">
        <f>TEXT(4376, "[$-0E0000]yyyy-mm-dd")</f>
        <v/>
      </c>
      <c r="C4377" t="inlineStr">
        <is>
          <t>1911-11-06</t>
        </is>
      </c>
    </row>
    <row r="4378">
      <c r="A4378" s="1" t="n">
        <v>4377</v>
      </c>
      <c r="B4378">
        <f>TEXT(4377, "[$-0E0000]yyyy-mm-dd")</f>
        <v/>
      </c>
      <c r="C4378" t="inlineStr">
        <is>
          <t>1911-11-07</t>
        </is>
      </c>
    </row>
    <row r="4379">
      <c r="A4379" s="1" t="n">
        <v>4378</v>
      </c>
      <c r="B4379">
        <f>TEXT(4378, "[$-0E0000]yyyy-mm-dd")</f>
        <v/>
      </c>
      <c r="C4379" t="inlineStr">
        <is>
          <t>1911-11-08</t>
        </is>
      </c>
    </row>
    <row r="4380">
      <c r="A4380" s="1" t="n">
        <v>4379</v>
      </c>
      <c r="B4380">
        <f>TEXT(4379, "[$-0E0000]yyyy-mm-dd")</f>
        <v/>
      </c>
      <c r="C4380" t="inlineStr">
        <is>
          <t>1911-11-09</t>
        </is>
      </c>
    </row>
    <row r="4381">
      <c r="A4381" s="1" t="n">
        <v>4380</v>
      </c>
      <c r="B4381">
        <f>TEXT(4380, "[$-0E0000]yyyy-mm-dd")</f>
        <v/>
      </c>
      <c r="C4381" t="inlineStr">
        <is>
          <t>1911-11-10</t>
        </is>
      </c>
    </row>
    <row r="4382">
      <c r="A4382" s="1" t="n">
        <v>4381</v>
      </c>
      <c r="B4382">
        <f>TEXT(4381, "[$-0E0000]yyyy-mm-dd")</f>
        <v/>
      </c>
      <c r="C4382" t="inlineStr">
        <is>
          <t>1911-11-11</t>
        </is>
      </c>
    </row>
    <row r="4383">
      <c r="A4383" s="1" t="n">
        <v>4382</v>
      </c>
      <c r="B4383">
        <f>TEXT(4382, "[$-0E0000]yyyy-mm-dd")</f>
        <v/>
      </c>
      <c r="C4383" t="inlineStr">
        <is>
          <t>1911-11-12</t>
        </is>
      </c>
    </row>
    <row r="4384">
      <c r="A4384" s="1" t="n">
        <v>4383</v>
      </c>
      <c r="B4384">
        <f>TEXT(4383, "[$-0E0000]yyyy-mm-dd")</f>
        <v/>
      </c>
      <c r="C4384" t="inlineStr">
        <is>
          <t>1911-11-13</t>
        </is>
      </c>
    </row>
    <row r="4385">
      <c r="A4385" s="1" t="n">
        <v>4384</v>
      </c>
      <c r="B4385">
        <f>TEXT(4384, "[$-0E0000]yyyy-mm-dd")</f>
        <v/>
      </c>
      <c r="C4385" t="inlineStr">
        <is>
          <t>1911-11-14</t>
        </is>
      </c>
    </row>
    <row r="4386">
      <c r="A4386" s="1" t="n">
        <v>4385</v>
      </c>
      <c r="B4386">
        <f>TEXT(4385, "[$-0E0000]yyyy-mm-dd")</f>
        <v/>
      </c>
      <c r="C4386" t="inlineStr">
        <is>
          <t>1911-11-15</t>
        </is>
      </c>
    </row>
    <row r="4387">
      <c r="A4387" s="1" t="n">
        <v>4386</v>
      </c>
      <c r="B4387">
        <f>TEXT(4386, "[$-0E0000]yyyy-mm-dd")</f>
        <v/>
      </c>
      <c r="C4387" t="inlineStr">
        <is>
          <t>1911-11-16</t>
        </is>
      </c>
    </row>
    <row r="4388">
      <c r="A4388" s="1" t="n">
        <v>4387</v>
      </c>
      <c r="B4388">
        <f>TEXT(4387, "[$-0E0000]yyyy-mm-dd")</f>
        <v/>
      </c>
      <c r="C4388" t="inlineStr">
        <is>
          <t>1911-11-17</t>
        </is>
      </c>
    </row>
    <row r="4389">
      <c r="A4389" s="1" t="n">
        <v>4388</v>
      </c>
      <c r="B4389">
        <f>TEXT(4388, "[$-0E0000]yyyy-mm-dd")</f>
        <v/>
      </c>
      <c r="C4389" t="inlineStr">
        <is>
          <t>1911-11-18</t>
        </is>
      </c>
    </row>
    <row r="4390">
      <c r="A4390" s="1" t="n">
        <v>4389</v>
      </c>
      <c r="B4390">
        <f>TEXT(4389, "[$-0E0000]yyyy-mm-dd")</f>
        <v/>
      </c>
      <c r="C4390" t="inlineStr">
        <is>
          <t>1911-11-19</t>
        </is>
      </c>
    </row>
    <row r="4391">
      <c r="A4391" s="1" t="n">
        <v>4390</v>
      </c>
      <c r="B4391">
        <f>TEXT(4390, "[$-0E0000]yyyy-mm-dd")</f>
        <v/>
      </c>
      <c r="C4391" t="inlineStr">
        <is>
          <t>1911-11-20</t>
        </is>
      </c>
    </row>
    <row r="4392">
      <c r="A4392" s="1" t="n">
        <v>4391</v>
      </c>
      <c r="B4392">
        <f>TEXT(4391, "[$-0E0000]yyyy-mm-dd")</f>
        <v/>
      </c>
      <c r="C4392" t="inlineStr">
        <is>
          <t>1911-11-21</t>
        </is>
      </c>
    </row>
    <row r="4393">
      <c r="A4393" s="1" t="n">
        <v>4392</v>
      </c>
      <c r="B4393">
        <f>TEXT(4392, "[$-0E0000]yyyy-mm-dd")</f>
        <v/>
      </c>
      <c r="C4393" t="inlineStr">
        <is>
          <t>1911-11-22</t>
        </is>
      </c>
    </row>
    <row r="4394">
      <c r="A4394" s="1" t="n">
        <v>4393</v>
      </c>
      <c r="B4394">
        <f>TEXT(4393, "[$-0E0000]yyyy-mm-dd")</f>
        <v/>
      </c>
      <c r="C4394" t="inlineStr">
        <is>
          <t>1911-11-23</t>
        </is>
      </c>
    </row>
    <row r="4395">
      <c r="A4395" s="1" t="n">
        <v>4394</v>
      </c>
      <c r="B4395">
        <f>TEXT(4394, "[$-0E0000]yyyy-mm-dd")</f>
        <v/>
      </c>
      <c r="C4395" t="inlineStr">
        <is>
          <t>1911-11-24</t>
        </is>
      </c>
    </row>
    <row r="4396">
      <c r="A4396" s="1" t="n">
        <v>4395</v>
      </c>
      <c r="B4396">
        <f>TEXT(4395, "[$-0E0000]yyyy-mm-dd")</f>
        <v/>
      </c>
      <c r="C4396" t="inlineStr">
        <is>
          <t>1911-11-25</t>
        </is>
      </c>
    </row>
    <row r="4397">
      <c r="A4397" s="1" t="n">
        <v>4396</v>
      </c>
      <c r="B4397">
        <f>TEXT(4396, "[$-0E0000]yyyy-mm-dd")</f>
        <v/>
      </c>
      <c r="C4397" t="inlineStr">
        <is>
          <t>1911-11-26</t>
        </is>
      </c>
    </row>
    <row r="4398">
      <c r="A4398" s="1" t="n">
        <v>4397</v>
      </c>
      <c r="B4398">
        <f>TEXT(4397, "[$-0E0000]yyyy-mm-dd")</f>
        <v/>
      </c>
      <c r="C4398" t="inlineStr">
        <is>
          <t>1911-11-27</t>
        </is>
      </c>
    </row>
    <row r="4399">
      <c r="A4399" s="1" t="n">
        <v>4398</v>
      </c>
      <c r="B4399">
        <f>TEXT(4398, "[$-0E0000]yyyy-mm-dd")</f>
        <v/>
      </c>
      <c r="C4399" t="inlineStr">
        <is>
          <t>1911-11-28</t>
        </is>
      </c>
    </row>
    <row r="4400">
      <c r="A4400" s="1" t="n">
        <v>4399</v>
      </c>
      <c r="B4400">
        <f>TEXT(4399, "[$-0E0000]yyyy-mm-dd")</f>
        <v/>
      </c>
      <c r="C4400" t="inlineStr">
        <is>
          <t>1911-11-29</t>
        </is>
      </c>
    </row>
    <row r="4401">
      <c r="A4401" s="1" t="n">
        <v>4400</v>
      </c>
      <c r="B4401">
        <f>TEXT(4400, "[$-0E0000]yyyy-mm-dd")</f>
        <v/>
      </c>
      <c r="C4401" t="inlineStr">
        <is>
          <t>1911-11-30</t>
        </is>
      </c>
    </row>
    <row r="4402">
      <c r="A4402" s="1" t="n">
        <v>4401</v>
      </c>
      <c r="B4402">
        <f>TEXT(4401, "[$-0E0000]yyyy-mm-dd")</f>
        <v/>
      </c>
      <c r="C4402" t="inlineStr">
        <is>
          <t>1911-12-01</t>
        </is>
      </c>
    </row>
    <row r="4403">
      <c r="A4403" s="1" t="n">
        <v>4402</v>
      </c>
      <c r="B4403">
        <f>TEXT(4402, "[$-0E0000]yyyy-mm-dd")</f>
        <v/>
      </c>
      <c r="C4403" t="inlineStr">
        <is>
          <t>1911-12-02</t>
        </is>
      </c>
    </row>
    <row r="4404">
      <c r="A4404" s="1" t="n">
        <v>4403</v>
      </c>
      <c r="B4404">
        <f>TEXT(4403, "[$-0E0000]yyyy-mm-dd")</f>
        <v/>
      </c>
      <c r="C4404" t="inlineStr">
        <is>
          <t>1911-12-03</t>
        </is>
      </c>
    </row>
    <row r="4405">
      <c r="A4405" s="1" t="n">
        <v>4404</v>
      </c>
      <c r="B4405">
        <f>TEXT(4404, "[$-0E0000]yyyy-mm-dd")</f>
        <v/>
      </c>
      <c r="C4405" t="inlineStr">
        <is>
          <t>1911-12-04</t>
        </is>
      </c>
    </row>
    <row r="4406">
      <c r="A4406" s="1" t="n">
        <v>4405</v>
      </c>
      <c r="B4406">
        <f>TEXT(4405, "[$-0E0000]yyyy-mm-dd")</f>
        <v/>
      </c>
      <c r="C4406" t="inlineStr">
        <is>
          <t>1911-12-05</t>
        </is>
      </c>
    </row>
    <row r="4407">
      <c r="A4407" s="1" t="n">
        <v>4406</v>
      </c>
      <c r="B4407">
        <f>TEXT(4406, "[$-0E0000]yyyy-mm-dd")</f>
        <v/>
      </c>
      <c r="C4407" t="inlineStr">
        <is>
          <t>1911-12-06</t>
        </is>
      </c>
    </row>
    <row r="4408">
      <c r="A4408" s="1" t="n">
        <v>4407</v>
      </c>
      <c r="B4408">
        <f>TEXT(4407, "[$-0E0000]yyyy-mm-dd")</f>
        <v/>
      </c>
      <c r="C4408" t="inlineStr">
        <is>
          <t>1911-12-07</t>
        </is>
      </c>
    </row>
    <row r="4409">
      <c r="A4409" s="1" t="n">
        <v>4408</v>
      </c>
      <c r="B4409">
        <f>TEXT(4408, "[$-0E0000]yyyy-mm-dd")</f>
        <v/>
      </c>
      <c r="C4409" t="inlineStr">
        <is>
          <t>1911-12-08</t>
        </is>
      </c>
    </row>
    <row r="4410">
      <c r="A4410" s="1" t="n">
        <v>4409</v>
      </c>
      <c r="B4410">
        <f>TEXT(4409, "[$-0E0000]yyyy-mm-dd")</f>
        <v/>
      </c>
      <c r="C4410" t="inlineStr">
        <is>
          <t>1911-12-09</t>
        </is>
      </c>
    </row>
    <row r="4411">
      <c r="A4411" s="1" t="n">
        <v>4410</v>
      </c>
      <c r="B4411">
        <f>TEXT(4410, "[$-0E0000]yyyy-mm-dd")</f>
        <v/>
      </c>
      <c r="C4411" t="inlineStr">
        <is>
          <t>1911-12-10</t>
        </is>
      </c>
    </row>
    <row r="4412">
      <c r="A4412" s="1" t="n">
        <v>4411</v>
      </c>
      <c r="B4412">
        <f>TEXT(4411, "[$-0E0000]yyyy-mm-dd")</f>
        <v/>
      </c>
      <c r="C4412" t="inlineStr">
        <is>
          <t>1911-12-11</t>
        </is>
      </c>
    </row>
    <row r="4413">
      <c r="A4413" s="1" t="n">
        <v>4412</v>
      </c>
      <c r="B4413">
        <f>TEXT(4412, "[$-0E0000]yyyy-mm-dd")</f>
        <v/>
      </c>
      <c r="C4413" t="inlineStr">
        <is>
          <t>1911-12-12</t>
        </is>
      </c>
    </row>
    <row r="4414">
      <c r="A4414" s="1" t="n">
        <v>4413</v>
      </c>
      <c r="B4414">
        <f>TEXT(4413, "[$-0E0000]yyyy-mm-dd")</f>
        <v/>
      </c>
      <c r="C4414" t="inlineStr">
        <is>
          <t>1911-12-13</t>
        </is>
      </c>
    </row>
    <row r="4415">
      <c r="A4415" s="1" t="n">
        <v>4414</v>
      </c>
      <c r="B4415">
        <f>TEXT(4414, "[$-0E0000]yyyy-mm-dd")</f>
        <v/>
      </c>
      <c r="C4415" t="inlineStr">
        <is>
          <t>1911-12-14</t>
        </is>
      </c>
    </row>
    <row r="4416">
      <c r="A4416" s="1" t="n">
        <v>4415</v>
      </c>
      <c r="B4416">
        <f>TEXT(4415, "[$-0E0000]yyyy-mm-dd")</f>
        <v/>
      </c>
      <c r="C4416" t="inlineStr">
        <is>
          <t>1911-12-15</t>
        </is>
      </c>
    </row>
    <row r="4417">
      <c r="A4417" s="1" t="n">
        <v>4416</v>
      </c>
      <c r="B4417">
        <f>TEXT(4416, "[$-0E0000]yyyy-mm-dd")</f>
        <v/>
      </c>
      <c r="C4417" t="inlineStr">
        <is>
          <t>1911-12-16</t>
        </is>
      </c>
    </row>
    <row r="4418">
      <c r="A4418" s="1" t="n">
        <v>4417</v>
      </c>
      <c r="B4418">
        <f>TEXT(4417, "[$-0E0000]yyyy-mm-dd")</f>
        <v/>
      </c>
      <c r="C4418" t="inlineStr">
        <is>
          <t>1911-12-17</t>
        </is>
      </c>
    </row>
    <row r="4419">
      <c r="A4419" s="1" t="n">
        <v>4418</v>
      </c>
      <c r="B4419">
        <f>TEXT(4418, "[$-0E0000]yyyy-mm-dd")</f>
        <v/>
      </c>
      <c r="C4419" t="inlineStr">
        <is>
          <t>1911-12-18</t>
        </is>
      </c>
    </row>
    <row r="4420">
      <c r="A4420" s="1" t="n">
        <v>4419</v>
      </c>
      <c r="B4420">
        <f>TEXT(4419, "[$-0E0000]yyyy-mm-dd")</f>
        <v/>
      </c>
      <c r="C4420" t="inlineStr">
        <is>
          <t>1911-12-19</t>
        </is>
      </c>
    </row>
    <row r="4421">
      <c r="A4421" s="1" t="n">
        <v>4420</v>
      </c>
      <c r="B4421">
        <f>TEXT(4420, "[$-0E0000]yyyy-mm-dd")</f>
        <v/>
      </c>
      <c r="C4421" t="inlineStr">
        <is>
          <t>1911-12-20</t>
        </is>
      </c>
    </row>
    <row r="4422">
      <c r="A4422" s="1" t="n">
        <v>4421</v>
      </c>
      <c r="B4422">
        <f>TEXT(4421, "[$-0E0000]yyyy-mm-dd")</f>
        <v/>
      </c>
      <c r="C4422" t="inlineStr">
        <is>
          <t>1911-12-21</t>
        </is>
      </c>
    </row>
    <row r="4423">
      <c r="A4423" s="1" t="n">
        <v>4422</v>
      </c>
      <c r="B4423">
        <f>TEXT(4422, "[$-0E0000]yyyy-mm-dd")</f>
        <v/>
      </c>
      <c r="C4423" t="inlineStr">
        <is>
          <t>1911-12-22</t>
        </is>
      </c>
    </row>
    <row r="4424">
      <c r="A4424" s="1" t="n">
        <v>4423</v>
      </c>
      <c r="B4424">
        <f>TEXT(4423, "[$-0E0000]yyyy-mm-dd")</f>
        <v/>
      </c>
      <c r="C4424" t="inlineStr">
        <is>
          <t>1911-12-23</t>
        </is>
      </c>
    </row>
    <row r="4425">
      <c r="A4425" s="1" t="n">
        <v>4424</v>
      </c>
      <c r="B4425">
        <f>TEXT(4424, "[$-0E0000]yyyy-mm-dd")</f>
        <v/>
      </c>
      <c r="C4425" t="inlineStr">
        <is>
          <t>1911-12-24</t>
        </is>
      </c>
    </row>
    <row r="4426">
      <c r="A4426" s="1" t="n">
        <v>4425</v>
      </c>
      <c r="B4426">
        <f>TEXT(4425, "[$-0E0000]yyyy-mm-dd")</f>
        <v/>
      </c>
      <c r="C4426" t="inlineStr">
        <is>
          <t>1911-12-25</t>
        </is>
      </c>
    </row>
    <row r="4427">
      <c r="A4427" s="1" t="n">
        <v>4426</v>
      </c>
      <c r="B4427">
        <f>TEXT(4426, "[$-0E0000]yyyy-mm-dd")</f>
        <v/>
      </c>
      <c r="C4427" t="inlineStr">
        <is>
          <t>1911-12-26</t>
        </is>
      </c>
    </row>
    <row r="4428">
      <c r="A4428" s="1" t="n">
        <v>4427</v>
      </c>
      <c r="B4428">
        <f>TEXT(4427, "[$-0E0000]yyyy-mm-dd")</f>
        <v/>
      </c>
      <c r="C4428" t="inlineStr">
        <is>
          <t>1911-12-27</t>
        </is>
      </c>
    </row>
    <row r="4429">
      <c r="A4429" s="1" t="n">
        <v>4428</v>
      </c>
      <c r="B4429">
        <f>TEXT(4428, "[$-0E0000]yyyy-mm-dd")</f>
        <v/>
      </c>
      <c r="C4429" t="inlineStr">
        <is>
          <t>1911-12-28</t>
        </is>
      </c>
    </row>
    <row r="4430">
      <c r="A4430" s="1" t="n">
        <v>4429</v>
      </c>
      <c r="B4430">
        <f>TEXT(4429, "[$-0E0000]yyyy-mm-dd")</f>
        <v/>
      </c>
      <c r="C4430" t="inlineStr">
        <is>
          <t>1911-12-29</t>
        </is>
      </c>
    </row>
    <row r="4431">
      <c r="A4431" s="1" t="n">
        <v>4430</v>
      </c>
      <c r="B4431">
        <f>TEXT(4430, "[$-0E0000]yyyy-mm-dd")</f>
        <v/>
      </c>
      <c r="C4431" t="inlineStr">
        <is>
          <t>1911-12-30</t>
        </is>
      </c>
    </row>
    <row r="4432">
      <c r="A4432" s="1" t="n">
        <v>4431</v>
      </c>
      <c r="B4432">
        <f>TEXT(4431, "[$-0E0000]yyyy-mm-dd")</f>
        <v/>
      </c>
      <c r="C4432" t="inlineStr">
        <is>
          <t>1912-01-01</t>
        </is>
      </c>
    </row>
    <row r="4433">
      <c r="A4433" s="1" t="n">
        <v>4432</v>
      </c>
      <c r="B4433">
        <f>TEXT(4432, "[$-0E0000]yyyy-mm-dd")</f>
        <v/>
      </c>
      <c r="C4433" t="inlineStr">
        <is>
          <t>1912-01-02</t>
        </is>
      </c>
    </row>
    <row r="4434">
      <c r="A4434" s="1" t="n">
        <v>4433</v>
      </c>
      <c r="B4434">
        <f>TEXT(4433, "[$-0E0000]yyyy-mm-dd")</f>
        <v/>
      </c>
      <c r="C4434" t="inlineStr">
        <is>
          <t>1912-01-03</t>
        </is>
      </c>
    </row>
    <row r="4435">
      <c r="A4435" s="1" t="n">
        <v>4434</v>
      </c>
      <c r="B4435">
        <f>TEXT(4434, "[$-0E0000]yyyy-mm-dd")</f>
        <v/>
      </c>
      <c r="C4435" t="inlineStr">
        <is>
          <t>1912-01-04</t>
        </is>
      </c>
    </row>
    <row r="4436">
      <c r="A4436" s="1" t="n">
        <v>4435</v>
      </c>
      <c r="B4436">
        <f>TEXT(4435, "[$-0E0000]yyyy-mm-dd")</f>
        <v/>
      </c>
      <c r="C4436" t="inlineStr">
        <is>
          <t>1912-01-05</t>
        </is>
      </c>
    </row>
    <row r="4437">
      <c r="A4437" s="1" t="n">
        <v>4436</v>
      </c>
      <c r="B4437">
        <f>TEXT(4436, "[$-0E0000]yyyy-mm-dd")</f>
        <v/>
      </c>
      <c r="C4437" t="inlineStr">
        <is>
          <t>1912-01-06</t>
        </is>
      </c>
    </row>
    <row r="4438">
      <c r="A4438" s="1" t="n">
        <v>4437</v>
      </c>
      <c r="B4438">
        <f>TEXT(4437, "[$-0E0000]yyyy-mm-dd")</f>
        <v/>
      </c>
      <c r="C4438" t="inlineStr">
        <is>
          <t>1912-01-07</t>
        </is>
      </c>
    </row>
    <row r="4439">
      <c r="A4439" s="1" t="n">
        <v>4438</v>
      </c>
      <c r="B4439">
        <f>TEXT(4438, "[$-0E0000]yyyy-mm-dd")</f>
        <v/>
      </c>
      <c r="C4439" t="inlineStr">
        <is>
          <t>1912-01-08</t>
        </is>
      </c>
    </row>
    <row r="4440">
      <c r="A4440" s="1" t="n">
        <v>4439</v>
      </c>
      <c r="B4440">
        <f>TEXT(4439, "[$-0E0000]yyyy-mm-dd")</f>
        <v/>
      </c>
      <c r="C4440" t="inlineStr">
        <is>
          <t>1912-01-09</t>
        </is>
      </c>
    </row>
    <row r="4441">
      <c r="A4441" s="1" t="n">
        <v>4440</v>
      </c>
      <c r="B4441">
        <f>TEXT(4440, "[$-0E0000]yyyy-mm-dd")</f>
        <v/>
      </c>
      <c r="C4441" t="inlineStr">
        <is>
          <t>1912-01-10</t>
        </is>
      </c>
    </row>
    <row r="4442">
      <c r="A4442" s="1" t="n">
        <v>4441</v>
      </c>
      <c r="B4442">
        <f>TEXT(4441, "[$-0E0000]yyyy-mm-dd")</f>
        <v/>
      </c>
      <c r="C4442" t="inlineStr">
        <is>
          <t>1912-01-11</t>
        </is>
      </c>
    </row>
    <row r="4443">
      <c r="A4443" s="1" t="n">
        <v>4442</v>
      </c>
      <c r="B4443">
        <f>TEXT(4442, "[$-0E0000]yyyy-mm-dd")</f>
        <v/>
      </c>
      <c r="C4443" t="inlineStr">
        <is>
          <t>1912-01-12</t>
        </is>
      </c>
    </row>
    <row r="4444">
      <c r="A4444" s="1" t="n">
        <v>4443</v>
      </c>
      <c r="B4444">
        <f>TEXT(4443, "[$-0E0000]yyyy-mm-dd")</f>
        <v/>
      </c>
      <c r="C4444" t="inlineStr">
        <is>
          <t>1912-01-13</t>
        </is>
      </c>
    </row>
    <row r="4445">
      <c r="A4445" s="1" t="n">
        <v>4444</v>
      </c>
      <c r="B4445">
        <f>TEXT(4444, "[$-0E0000]yyyy-mm-dd")</f>
        <v/>
      </c>
      <c r="C4445" t="inlineStr">
        <is>
          <t>1912-01-14</t>
        </is>
      </c>
    </row>
    <row r="4446">
      <c r="A4446" s="1" t="n">
        <v>4445</v>
      </c>
      <c r="B4446">
        <f>TEXT(4445, "[$-0E0000]yyyy-mm-dd")</f>
        <v/>
      </c>
      <c r="C4446" t="inlineStr">
        <is>
          <t>1912-01-15</t>
        </is>
      </c>
    </row>
    <row r="4447">
      <c r="A4447" s="1" t="n">
        <v>4446</v>
      </c>
      <c r="B4447">
        <f>TEXT(4446, "[$-0E0000]yyyy-mm-dd")</f>
        <v/>
      </c>
      <c r="C4447" t="inlineStr">
        <is>
          <t>1912-01-16</t>
        </is>
      </c>
    </row>
    <row r="4448">
      <c r="A4448" s="1" t="n">
        <v>4447</v>
      </c>
      <c r="B4448">
        <f>TEXT(4447, "[$-0E0000]yyyy-mm-dd")</f>
        <v/>
      </c>
      <c r="C4448" t="inlineStr">
        <is>
          <t>1912-01-17</t>
        </is>
      </c>
    </row>
    <row r="4449">
      <c r="A4449" s="1" t="n">
        <v>4448</v>
      </c>
      <c r="B4449">
        <f>TEXT(4448, "[$-0E0000]yyyy-mm-dd")</f>
        <v/>
      </c>
      <c r="C4449" t="inlineStr">
        <is>
          <t>1912-01-18</t>
        </is>
      </c>
    </row>
    <row r="4450">
      <c r="A4450" s="1" t="n">
        <v>4449</v>
      </c>
      <c r="B4450">
        <f>TEXT(4449, "[$-0E0000]yyyy-mm-dd")</f>
        <v/>
      </c>
      <c r="C4450" t="inlineStr">
        <is>
          <t>1912-01-19</t>
        </is>
      </c>
    </row>
    <row r="4451">
      <c r="A4451" s="1" t="n">
        <v>4450</v>
      </c>
      <c r="B4451">
        <f>TEXT(4450, "[$-0E0000]yyyy-mm-dd")</f>
        <v/>
      </c>
      <c r="C4451" t="inlineStr">
        <is>
          <t>1912-01-20</t>
        </is>
      </c>
    </row>
    <row r="4452">
      <c r="A4452" s="1" t="n">
        <v>4451</v>
      </c>
      <c r="B4452">
        <f>TEXT(4451, "[$-0E0000]yyyy-mm-dd")</f>
        <v/>
      </c>
      <c r="C4452" t="inlineStr">
        <is>
          <t>1912-01-21</t>
        </is>
      </c>
    </row>
    <row r="4453">
      <c r="A4453" s="1" t="n">
        <v>4452</v>
      </c>
      <c r="B4453">
        <f>TEXT(4452, "[$-0E0000]yyyy-mm-dd")</f>
        <v/>
      </c>
      <c r="C4453" t="inlineStr">
        <is>
          <t>1912-01-22</t>
        </is>
      </c>
    </row>
    <row r="4454">
      <c r="A4454" s="1" t="n">
        <v>4453</v>
      </c>
      <c r="B4454">
        <f>TEXT(4453, "[$-0E0000]yyyy-mm-dd")</f>
        <v/>
      </c>
      <c r="C4454" t="inlineStr">
        <is>
          <t>1912-01-23</t>
        </is>
      </c>
    </row>
    <row r="4455">
      <c r="A4455" s="1" t="n">
        <v>4454</v>
      </c>
      <c r="B4455">
        <f>TEXT(4454, "[$-0E0000]yyyy-mm-dd")</f>
        <v/>
      </c>
      <c r="C4455" t="inlineStr">
        <is>
          <t>1912-01-24</t>
        </is>
      </c>
    </row>
    <row r="4456">
      <c r="A4456" s="1" t="n">
        <v>4455</v>
      </c>
      <c r="B4456">
        <f>TEXT(4455, "[$-0E0000]yyyy-mm-dd")</f>
        <v/>
      </c>
      <c r="C4456" t="inlineStr">
        <is>
          <t>1912-01-25</t>
        </is>
      </c>
    </row>
    <row r="4457">
      <c r="A4457" s="1" t="n">
        <v>4456</v>
      </c>
      <c r="B4457">
        <f>TEXT(4456, "[$-0E0000]yyyy-mm-dd")</f>
        <v/>
      </c>
      <c r="C4457" t="inlineStr">
        <is>
          <t>1912-01-26</t>
        </is>
      </c>
    </row>
    <row r="4458">
      <c r="A4458" s="1" t="n">
        <v>4457</v>
      </c>
      <c r="B4458">
        <f>TEXT(4457, "[$-0E0000]yyyy-mm-dd")</f>
        <v/>
      </c>
      <c r="C4458" t="inlineStr">
        <is>
          <t>1912-01-27</t>
        </is>
      </c>
    </row>
    <row r="4459">
      <c r="A4459" s="1" t="n">
        <v>4458</v>
      </c>
      <c r="B4459">
        <f>TEXT(4458, "[$-0E0000]yyyy-mm-dd")</f>
        <v/>
      </c>
      <c r="C4459" t="inlineStr">
        <is>
          <t>1912-01-28</t>
        </is>
      </c>
    </row>
    <row r="4460">
      <c r="A4460" s="1" t="n">
        <v>4459</v>
      </c>
      <c r="B4460">
        <f>TEXT(4459, "[$-0E0000]yyyy-mm-dd")</f>
        <v/>
      </c>
      <c r="C4460" t="inlineStr">
        <is>
          <t>1912-01-29</t>
        </is>
      </c>
    </row>
    <row r="4461">
      <c r="A4461" s="1" t="n">
        <v>4460</v>
      </c>
      <c r="B4461">
        <f>TEXT(4460, "[$-0E0000]yyyy-mm-dd")</f>
        <v/>
      </c>
      <c r="C4461" t="inlineStr">
        <is>
          <t>1912-01-30</t>
        </is>
      </c>
    </row>
    <row r="4462">
      <c r="A4462" s="1" t="n">
        <v>4461</v>
      </c>
      <c r="B4462">
        <f>TEXT(4461, "[$-0E0000]yyyy-mm-dd")</f>
        <v/>
      </c>
      <c r="C4462" t="inlineStr">
        <is>
          <t>1912-02-01</t>
        </is>
      </c>
    </row>
    <row r="4463">
      <c r="A4463" s="1" t="n">
        <v>4462</v>
      </c>
      <c r="B4463">
        <f>TEXT(4462, "[$-0E0000]yyyy-mm-dd")</f>
        <v/>
      </c>
      <c r="C4463" t="inlineStr">
        <is>
          <t>1912-02-02</t>
        </is>
      </c>
    </row>
    <row r="4464">
      <c r="A4464" s="1" t="n">
        <v>4463</v>
      </c>
      <c r="B4464">
        <f>TEXT(4463, "[$-0E0000]yyyy-mm-dd")</f>
        <v/>
      </c>
      <c r="C4464" t="inlineStr">
        <is>
          <t>1912-02-03</t>
        </is>
      </c>
    </row>
    <row r="4465">
      <c r="A4465" s="1" t="n">
        <v>4464</v>
      </c>
      <c r="B4465">
        <f>TEXT(4464, "[$-0E0000]yyyy-mm-dd")</f>
        <v/>
      </c>
      <c r="C4465" t="inlineStr">
        <is>
          <t>1912-02-04</t>
        </is>
      </c>
    </row>
    <row r="4466">
      <c r="A4466" s="1" t="n">
        <v>4465</v>
      </c>
      <c r="B4466">
        <f>TEXT(4465, "[$-0E0000]yyyy-mm-dd")</f>
        <v/>
      </c>
      <c r="C4466" t="inlineStr">
        <is>
          <t>1912-02-05</t>
        </is>
      </c>
    </row>
    <row r="4467">
      <c r="A4467" s="1" t="n">
        <v>4466</v>
      </c>
      <c r="B4467">
        <f>TEXT(4466, "[$-0E0000]yyyy-mm-dd")</f>
        <v/>
      </c>
      <c r="C4467" t="inlineStr">
        <is>
          <t>1912-02-06</t>
        </is>
      </c>
    </row>
    <row r="4468">
      <c r="A4468" s="1" t="n">
        <v>4467</v>
      </c>
      <c r="B4468">
        <f>TEXT(4467, "[$-0E0000]yyyy-mm-dd")</f>
        <v/>
      </c>
      <c r="C4468" t="inlineStr">
        <is>
          <t>1912-02-07</t>
        </is>
      </c>
    </row>
    <row r="4469">
      <c r="A4469" s="1" t="n">
        <v>4468</v>
      </c>
      <c r="B4469">
        <f>TEXT(4468, "[$-0E0000]yyyy-mm-dd")</f>
        <v/>
      </c>
      <c r="C4469" t="inlineStr">
        <is>
          <t>1912-02-08</t>
        </is>
      </c>
    </row>
    <row r="4470">
      <c r="A4470" s="1" t="n">
        <v>4469</v>
      </c>
      <c r="B4470">
        <f>TEXT(4469, "[$-0E0000]yyyy-mm-dd")</f>
        <v/>
      </c>
      <c r="C4470" t="inlineStr">
        <is>
          <t>1912-02-09</t>
        </is>
      </c>
    </row>
    <row r="4471">
      <c r="A4471" s="1" t="n">
        <v>4470</v>
      </c>
      <c r="B4471">
        <f>TEXT(4470, "[$-0E0000]yyyy-mm-dd")</f>
        <v/>
      </c>
      <c r="C4471" t="inlineStr">
        <is>
          <t>1912-02-10</t>
        </is>
      </c>
    </row>
    <row r="4472">
      <c r="A4472" s="1" t="n">
        <v>4471</v>
      </c>
      <c r="B4472">
        <f>TEXT(4471, "[$-0E0000]yyyy-mm-dd")</f>
        <v/>
      </c>
      <c r="C4472" t="inlineStr">
        <is>
          <t>1912-02-11</t>
        </is>
      </c>
    </row>
    <row r="4473">
      <c r="A4473" s="1" t="n">
        <v>4472</v>
      </c>
      <c r="B4473">
        <f>TEXT(4472, "[$-0E0000]yyyy-mm-dd")</f>
        <v/>
      </c>
      <c r="C4473" t="inlineStr">
        <is>
          <t>1912-02-12</t>
        </is>
      </c>
    </row>
    <row r="4474">
      <c r="A4474" s="1" t="n">
        <v>4473</v>
      </c>
      <c r="B4474">
        <f>TEXT(4473, "[$-0E0000]yyyy-mm-dd")</f>
        <v/>
      </c>
      <c r="C4474" t="inlineStr">
        <is>
          <t>1912-02-13</t>
        </is>
      </c>
    </row>
    <row r="4475">
      <c r="A4475" s="1" t="n">
        <v>4474</v>
      </c>
      <c r="B4475">
        <f>TEXT(4474, "[$-0E0000]yyyy-mm-dd")</f>
        <v/>
      </c>
      <c r="C4475" t="inlineStr">
        <is>
          <t>1912-02-14</t>
        </is>
      </c>
    </row>
    <row r="4476">
      <c r="A4476" s="1" t="n">
        <v>4475</v>
      </c>
      <c r="B4476">
        <f>TEXT(4475, "[$-0E0000]yyyy-mm-dd")</f>
        <v/>
      </c>
      <c r="C4476" t="inlineStr">
        <is>
          <t>1912-02-15</t>
        </is>
      </c>
    </row>
    <row r="4477">
      <c r="A4477" s="1" t="n">
        <v>4476</v>
      </c>
      <c r="B4477">
        <f>TEXT(4476, "[$-0E0000]yyyy-mm-dd")</f>
        <v/>
      </c>
      <c r="C4477" t="inlineStr">
        <is>
          <t>1912-02-16</t>
        </is>
      </c>
    </row>
    <row r="4478">
      <c r="A4478" s="1" t="n">
        <v>4477</v>
      </c>
      <c r="B4478">
        <f>TEXT(4477, "[$-0E0000]yyyy-mm-dd")</f>
        <v/>
      </c>
      <c r="C4478" t="inlineStr">
        <is>
          <t>1912-02-17</t>
        </is>
      </c>
    </row>
    <row r="4479">
      <c r="A4479" s="1" t="n">
        <v>4478</v>
      </c>
      <c r="B4479">
        <f>TEXT(4478, "[$-0E0000]yyyy-mm-dd")</f>
        <v/>
      </c>
      <c r="C4479" t="inlineStr">
        <is>
          <t>1912-02-18</t>
        </is>
      </c>
    </row>
    <row r="4480">
      <c r="A4480" s="1" t="n">
        <v>4479</v>
      </c>
      <c r="B4480">
        <f>TEXT(4479, "[$-0E0000]yyyy-mm-dd")</f>
        <v/>
      </c>
      <c r="C4480" t="inlineStr">
        <is>
          <t>1912-02-19</t>
        </is>
      </c>
    </row>
    <row r="4481">
      <c r="A4481" s="1" t="n">
        <v>4480</v>
      </c>
      <c r="B4481">
        <f>TEXT(4480, "[$-0E0000]yyyy-mm-dd")</f>
        <v/>
      </c>
      <c r="C4481" t="inlineStr">
        <is>
          <t>1912-02-20</t>
        </is>
      </c>
    </row>
    <row r="4482">
      <c r="A4482" s="1" t="n">
        <v>4481</v>
      </c>
      <c r="B4482">
        <f>TEXT(4481, "[$-0E0000]yyyy-mm-dd")</f>
        <v/>
      </c>
      <c r="C4482" t="inlineStr">
        <is>
          <t>1912-02-21</t>
        </is>
      </c>
    </row>
    <row r="4483">
      <c r="A4483" s="1" t="n">
        <v>4482</v>
      </c>
      <c r="B4483">
        <f>TEXT(4482, "[$-0E0000]yyyy-mm-dd")</f>
        <v/>
      </c>
      <c r="C4483" t="inlineStr">
        <is>
          <t>1912-02-22</t>
        </is>
      </c>
    </row>
    <row r="4484">
      <c r="A4484" s="1" t="n">
        <v>4483</v>
      </c>
      <c r="B4484">
        <f>TEXT(4483, "[$-0E0000]yyyy-mm-dd")</f>
        <v/>
      </c>
      <c r="C4484" t="inlineStr">
        <is>
          <t>1912-02-23</t>
        </is>
      </c>
    </row>
    <row r="4485">
      <c r="A4485" s="1" t="n">
        <v>4484</v>
      </c>
      <c r="B4485">
        <f>TEXT(4484, "[$-0E0000]yyyy-mm-dd")</f>
        <v/>
      </c>
      <c r="C4485" t="inlineStr">
        <is>
          <t>1912-02-24</t>
        </is>
      </c>
    </row>
    <row r="4486">
      <c r="A4486" s="1" t="n">
        <v>4485</v>
      </c>
      <c r="B4486">
        <f>TEXT(4485, "[$-0E0000]yyyy-mm-dd")</f>
        <v/>
      </c>
      <c r="C4486" t="inlineStr">
        <is>
          <t>1912-02-25</t>
        </is>
      </c>
    </row>
    <row r="4487">
      <c r="A4487" s="1" t="n">
        <v>4486</v>
      </c>
      <c r="B4487">
        <f>TEXT(4486, "[$-0E0000]yyyy-mm-dd")</f>
        <v/>
      </c>
      <c r="C4487" t="inlineStr">
        <is>
          <t>1912-02-26</t>
        </is>
      </c>
    </row>
    <row r="4488">
      <c r="A4488" s="1" t="n">
        <v>4487</v>
      </c>
      <c r="B4488">
        <f>TEXT(4487, "[$-0E0000]yyyy-mm-dd")</f>
        <v/>
      </c>
      <c r="C4488" t="inlineStr">
        <is>
          <t>1912-02-27</t>
        </is>
      </c>
    </row>
    <row r="4489">
      <c r="A4489" s="1" t="n">
        <v>4488</v>
      </c>
      <c r="B4489">
        <f>TEXT(4488, "[$-0E0000]yyyy-mm-dd")</f>
        <v/>
      </c>
      <c r="C4489" t="inlineStr">
        <is>
          <t>1912-02-28</t>
        </is>
      </c>
    </row>
    <row r="4490">
      <c r="A4490" s="1" t="n">
        <v>4489</v>
      </c>
      <c r="B4490">
        <f>TEXT(4489, "[$-0E0000]yyyy-mm-dd")</f>
        <v/>
      </c>
      <c r="C4490" t="inlineStr">
        <is>
          <t>1912-02-29</t>
        </is>
      </c>
    </row>
    <row r="4491">
      <c r="A4491" s="1" t="n">
        <v>4490</v>
      </c>
      <c r="B4491">
        <f>TEXT(4490, "[$-0E0000]yyyy-mm-dd")</f>
        <v/>
      </c>
      <c r="C4491" t="inlineStr">
        <is>
          <t>1912-03-01</t>
        </is>
      </c>
    </row>
    <row r="4492">
      <c r="A4492" s="1" t="n">
        <v>4491</v>
      </c>
      <c r="B4492">
        <f>TEXT(4491, "[$-0E0000]yyyy-mm-dd")</f>
        <v/>
      </c>
      <c r="C4492" t="inlineStr">
        <is>
          <t>1912-03-02</t>
        </is>
      </c>
    </row>
    <row r="4493">
      <c r="A4493" s="1" t="n">
        <v>4492</v>
      </c>
      <c r="B4493">
        <f>TEXT(4492, "[$-0E0000]yyyy-mm-dd")</f>
        <v/>
      </c>
      <c r="C4493" t="inlineStr">
        <is>
          <t>1912-03-03</t>
        </is>
      </c>
    </row>
    <row r="4494">
      <c r="A4494" s="1" t="n">
        <v>4493</v>
      </c>
      <c r="B4494">
        <f>TEXT(4493, "[$-0E0000]yyyy-mm-dd")</f>
        <v/>
      </c>
      <c r="C4494" t="inlineStr">
        <is>
          <t>1912-03-04</t>
        </is>
      </c>
    </row>
    <row r="4495">
      <c r="A4495" s="1" t="n">
        <v>4494</v>
      </c>
      <c r="B4495">
        <f>TEXT(4494, "[$-0E0000]yyyy-mm-dd")</f>
        <v/>
      </c>
      <c r="C4495" t="inlineStr">
        <is>
          <t>1912-03-05</t>
        </is>
      </c>
    </row>
    <row r="4496">
      <c r="A4496" s="1" t="n">
        <v>4495</v>
      </c>
      <c r="B4496">
        <f>TEXT(4495, "[$-0E0000]yyyy-mm-dd")</f>
        <v/>
      </c>
      <c r="C4496" t="inlineStr">
        <is>
          <t>1912-03-06</t>
        </is>
      </c>
    </row>
    <row r="4497">
      <c r="A4497" s="1" t="n">
        <v>4496</v>
      </c>
      <c r="B4497">
        <f>TEXT(4496, "[$-0E0000]yyyy-mm-dd")</f>
        <v/>
      </c>
      <c r="C4497" t="inlineStr">
        <is>
          <t>1912-03-07</t>
        </is>
      </c>
    </row>
    <row r="4498">
      <c r="A4498" s="1" t="n">
        <v>4497</v>
      </c>
      <c r="B4498">
        <f>TEXT(4497, "[$-0E0000]yyyy-mm-dd")</f>
        <v/>
      </c>
      <c r="C4498" t="inlineStr">
        <is>
          <t>1912-03-08</t>
        </is>
      </c>
    </row>
    <row r="4499">
      <c r="A4499" s="1" t="n">
        <v>4498</v>
      </c>
      <c r="B4499">
        <f>TEXT(4498, "[$-0E0000]yyyy-mm-dd")</f>
        <v/>
      </c>
      <c r="C4499" t="inlineStr">
        <is>
          <t>1912-03-09</t>
        </is>
      </c>
    </row>
    <row r="4500">
      <c r="A4500" s="1" t="n">
        <v>4499</v>
      </c>
      <c r="B4500">
        <f>TEXT(4499, "[$-0E0000]yyyy-mm-dd")</f>
        <v/>
      </c>
      <c r="C4500" t="inlineStr">
        <is>
          <t>1912-03-10</t>
        </is>
      </c>
    </row>
    <row r="4501">
      <c r="A4501" s="1" t="n">
        <v>4500</v>
      </c>
      <c r="B4501">
        <f>TEXT(4500, "[$-0E0000]yyyy-mm-dd")</f>
        <v/>
      </c>
      <c r="C4501" t="inlineStr">
        <is>
          <t>1912-03-11</t>
        </is>
      </c>
    </row>
    <row r="4502">
      <c r="A4502" s="1" t="n">
        <v>4501</v>
      </c>
      <c r="B4502">
        <f>TEXT(4501, "[$-0E0000]yyyy-mm-dd")</f>
        <v/>
      </c>
      <c r="C4502" t="inlineStr">
        <is>
          <t>1912-03-12</t>
        </is>
      </c>
    </row>
    <row r="4503">
      <c r="A4503" s="1" t="n">
        <v>4502</v>
      </c>
      <c r="B4503">
        <f>TEXT(4502, "[$-0E0000]yyyy-mm-dd")</f>
        <v/>
      </c>
      <c r="C4503" t="inlineStr">
        <is>
          <t>1912-03-13</t>
        </is>
      </c>
    </row>
    <row r="4504">
      <c r="A4504" s="1" t="n">
        <v>4503</v>
      </c>
      <c r="B4504">
        <f>TEXT(4503, "[$-0E0000]yyyy-mm-dd")</f>
        <v/>
      </c>
      <c r="C4504" t="inlineStr">
        <is>
          <t>1912-03-14</t>
        </is>
      </c>
    </row>
    <row r="4505">
      <c r="A4505" s="1" t="n">
        <v>4504</v>
      </c>
      <c r="B4505">
        <f>TEXT(4504, "[$-0E0000]yyyy-mm-dd")</f>
        <v/>
      </c>
      <c r="C4505" t="inlineStr">
        <is>
          <t>1912-03-15</t>
        </is>
      </c>
    </row>
    <row r="4506">
      <c r="A4506" s="1" t="n">
        <v>4505</v>
      </c>
      <c r="B4506">
        <f>TEXT(4505, "[$-0E0000]yyyy-mm-dd")</f>
        <v/>
      </c>
      <c r="C4506" t="inlineStr">
        <is>
          <t>1912-03-16</t>
        </is>
      </c>
    </row>
    <row r="4507">
      <c r="A4507" s="1" t="n">
        <v>4506</v>
      </c>
      <c r="B4507">
        <f>TEXT(4506, "[$-0E0000]yyyy-mm-dd")</f>
        <v/>
      </c>
      <c r="C4507" t="inlineStr">
        <is>
          <t>1912-03-17</t>
        </is>
      </c>
    </row>
    <row r="4508">
      <c r="A4508" s="1" t="n">
        <v>4507</v>
      </c>
      <c r="B4508">
        <f>TEXT(4507, "[$-0E0000]yyyy-mm-dd")</f>
        <v/>
      </c>
      <c r="C4508" t="inlineStr">
        <is>
          <t>1912-03-18</t>
        </is>
      </c>
    </row>
    <row r="4509">
      <c r="A4509" s="1" t="n">
        <v>4508</v>
      </c>
      <c r="B4509">
        <f>TEXT(4508, "[$-0E0000]yyyy-mm-dd")</f>
        <v/>
      </c>
      <c r="C4509" t="inlineStr">
        <is>
          <t>1912-03-19</t>
        </is>
      </c>
    </row>
    <row r="4510">
      <c r="A4510" s="1" t="n">
        <v>4509</v>
      </c>
      <c r="B4510">
        <f>TEXT(4509, "[$-0E0000]yyyy-mm-dd")</f>
        <v/>
      </c>
      <c r="C4510" t="inlineStr">
        <is>
          <t>1912-03-20</t>
        </is>
      </c>
    </row>
    <row r="4511">
      <c r="A4511" s="1" t="n">
        <v>4510</v>
      </c>
      <c r="B4511">
        <f>TEXT(4510, "[$-0E0000]yyyy-mm-dd")</f>
        <v/>
      </c>
      <c r="C4511" t="inlineStr">
        <is>
          <t>1912-03-21</t>
        </is>
      </c>
    </row>
    <row r="4512">
      <c r="A4512" s="1" t="n">
        <v>4511</v>
      </c>
      <c r="B4512">
        <f>TEXT(4511, "[$-0E0000]yyyy-mm-dd")</f>
        <v/>
      </c>
      <c r="C4512" t="inlineStr">
        <is>
          <t>1912-03-22</t>
        </is>
      </c>
    </row>
    <row r="4513">
      <c r="A4513" s="1" t="n">
        <v>4512</v>
      </c>
      <c r="B4513">
        <f>TEXT(4512, "[$-0E0000]yyyy-mm-dd")</f>
        <v/>
      </c>
      <c r="C4513" t="inlineStr">
        <is>
          <t>1912-03-23</t>
        </is>
      </c>
    </row>
    <row r="4514">
      <c r="A4514" s="1" t="n">
        <v>4513</v>
      </c>
      <c r="B4514">
        <f>TEXT(4513, "[$-0E0000]yyyy-mm-dd")</f>
        <v/>
      </c>
      <c r="C4514" t="inlineStr">
        <is>
          <t>1912-03-24</t>
        </is>
      </c>
    </row>
    <row r="4515">
      <c r="A4515" s="1" t="n">
        <v>4514</v>
      </c>
      <c r="B4515">
        <f>TEXT(4514, "[$-0E0000]yyyy-mm-dd")</f>
        <v/>
      </c>
      <c r="C4515" t="inlineStr">
        <is>
          <t>1912-03-25</t>
        </is>
      </c>
    </row>
    <row r="4516">
      <c r="A4516" s="1" t="n">
        <v>4515</v>
      </c>
      <c r="B4516">
        <f>TEXT(4515, "[$-0E0000]yyyy-mm-dd")</f>
        <v/>
      </c>
      <c r="C4516" t="inlineStr">
        <is>
          <t>1912-03-26</t>
        </is>
      </c>
    </row>
    <row r="4517">
      <c r="A4517" s="1" t="n">
        <v>4516</v>
      </c>
      <c r="B4517">
        <f>TEXT(4516, "[$-0E0000]yyyy-mm-dd")</f>
        <v/>
      </c>
      <c r="C4517" t="inlineStr">
        <is>
          <t>1912-03-27</t>
        </is>
      </c>
    </row>
    <row r="4518">
      <c r="A4518" s="1" t="n">
        <v>4517</v>
      </c>
      <c r="B4518">
        <f>TEXT(4517, "[$-0E0000]yyyy-mm-dd")</f>
        <v/>
      </c>
      <c r="C4518" t="inlineStr">
        <is>
          <t>1912-03-28</t>
        </is>
      </c>
    </row>
    <row r="4519">
      <c r="A4519" s="1" t="n">
        <v>4518</v>
      </c>
      <c r="B4519">
        <f>TEXT(4518, "[$-0E0000]yyyy-mm-dd")</f>
        <v/>
      </c>
      <c r="C4519" t="inlineStr">
        <is>
          <t>1912-03-29</t>
        </is>
      </c>
    </row>
    <row r="4520">
      <c r="A4520" s="1" t="n">
        <v>4519</v>
      </c>
      <c r="B4520">
        <f>TEXT(4519, "[$-0E0000]yyyy-mm-dd")</f>
        <v/>
      </c>
      <c r="C4520" t="inlineStr">
        <is>
          <t>1912-03-30</t>
        </is>
      </c>
    </row>
    <row r="4521">
      <c r="A4521" s="1" t="n">
        <v>4520</v>
      </c>
      <c r="B4521">
        <f>TEXT(4520, "[$-0E0000]yyyy-mm-dd")</f>
        <v/>
      </c>
      <c r="C4521" t="inlineStr">
        <is>
          <t>1912-04-01</t>
        </is>
      </c>
    </row>
    <row r="4522">
      <c r="A4522" s="1" t="n">
        <v>4521</v>
      </c>
      <c r="B4522">
        <f>TEXT(4521, "[$-0E0000]yyyy-mm-dd")</f>
        <v/>
      </c>
      <c r="C4522" t="inlineStr">
        <is>
          <t>1912-04-02</t>
        </is>
      </c>
    </row>
    <row r="4523">
      <c r="A4523" s="1" t="n">
        <v>4522</v>
      </c>
      <c r="B4523">
        <f>TEXT(4522, "[$-0E0000]yyyy-mm-dd")</f>
        <v/>
      </c>
      <c r="C4523" t="inlineStr">
        <is>
          <t>1912-04-03</t>
        </is>
      </c>
    </row>
    <row r="4524">
      <c r="A4524" s="1" t="n">
        <v>4523</v>
      </c>
      <c r="B4524">
        <f>TEXT(4523, "[$-0E0000]yyyy-mm-dd")</f>
        <v/>
      </c>
      <c r="C4524" t="inlineStr">
        <is>
          <t>1912-04-04</t>
        </is>
      </c>
    </row>
    <row r="4525">
      <c r="A4525" s="1" t="n">
        <v>4524</v>
      </c>
      <c r="B4525">
        <f>TEXT(4524, "[$-0E0000]yyyy-mm-dd")</f>
        <v/>
      </c>
      <c r="C4525" t="inlineStr">
        <is>
          <t>1912-04-05</t>
        </is>
      </c>
    </row>
    <row r="4526">
      <c r="A4526" s="1" t="n">
        <v>4525</v>
      </c>
      <c r="B4526">
        <f>TEXT(4525, "[$-0E0000]yyyy-mm-dd")</f>
        <v/>
      </c>
      <c r="C4526" t="inlineStr">
        <is>
          <t>1912-04-06</t>
        </is>
      </c>
    </row>
    <row r="4527">
      <c r="A4527" s="1" t="n">
        <v>4526</v>
      </c>
      <c r="B4527">
        <f>TEXT(4526, "[$-0E0000]yyyy-mm-dd")</f>
        <v/>
      </c>
      <c r="C4527" t="inlineStr">
        <is>
          <t>1912-04-07</t>
        </is>
      </c>
    </row>
    <row r="4528">
      <c r="A4528" s="1" t="n">
        <v>4527</v>
      </c>
      <c r="B4528">
        <f>TEXT(4527, "[$-0E0000]yyyy-mm-dd")</f>
        <v/>
      </c>
      <c r="C4528" t="inlineStr">
        <is>
          <t>1912-04-08</t>
        </is>
      </c>
    </row>
    <row r="4529">
      <c r="A4529" s="1" t="n">
        <v>4528</v>
      </c>
      <c r="B4529">
        <f>TEXT(4528, "[$-0E0000]yyyy-mm-dd")</f>
        <v/>
      </c>
      <c r="C4529" t="inlineStr">
        <is>
          <t>1912-04-09</t>
        </is>
      </c>
    </row>
    <row r="4530">
      <c r="A4530" s="1" t="n">
        <v>4529</v>
      </c>
      <c r="B4530">
        <f>TEXT(4529, "[$-0E0000]yyyy-mm-dd")</f>
        <v/>
      </c>
      <c r="C4530" t="inlineStr">
        <is>
          <t>1912-04-10</t>
        </is>
      </c>
    </row>
    <row r="4531">
      <c r="A4531" s="1" t="n">
        <v>4530</v>
      </c>
      <c r="B4531">
        <f>TEXT(4530, "[$-0E0000]yyyy-mm-dd")</f>
        <v/>
      </c>
      <c r="C4531" t="inlineStr">
        <is>
          <t>1912-04-11</t>
        </is>
      </c>
    </row>
    <row r="4532">
      <c r="A4532" s="1" t="n">
        <v>4531</v>
      </c>
      <c r="B4532">
        <f>TEXT(4531, "[$-0E0000]yyyy-mm-dd")</f>
        <v/>
      </c>
      <c r="C4532" t="inlineStr">
        <is>
          <t>1912-04-12</t>
        </is>
      </c>
    </row>
    <row r="4533">
      <c r="A4533" s="1" t="n">
        <v>4532</v>
      </c>
      <c r="B4533">
        <f>TEXT(4532, "[$-0E0000]yyyy-mm-dd")</f>
        <v/>
      </c>
      <c r="C4533" t="inlineStr">
        <is>
          <t>1912-04-13</t>
        </is>
      </c>
    </row>
    <row r="4534">
      <c r="A4534" s="1" t="n">
        <v>4533</v>
      </c>
      <c r="B4534">
        <f>TEXT(4533, "[$-0E0000]yyyy-mm-dd")</f>
        <v/>
      </c>
      <c r="C4534" t="inlineStr">
        <is>
          <t>1912-04-14</t>
        </is>
      </c>
    </row>
    <row r="4535">
      <c r="A4535" s="1" t="n">
        <v>4534</v>
      </c>
      <c r="B4535">
        <f>TEXT(4534, "[$-0E0000]yyyy-mm-dd")</f>
        <v/>
      </c>
      <c r="C4535" t="inlineStr">
        <is>
          <t>1912-04-15</t>
        </is>
      </c>
    </row>
    <row r="4536">
      <c r="A4536" s="1" t="n">
        <v>4535</v>
      </c>
      <c r="B4536">
        <f>TEXT(4535, "[$-0E0000]yyyy-mm-dd")</f>
        <v/>
      </c>
      <c r="C4536" t="inlineStr">
        <is>
          <t>1912-04-16</t>
        </is>
      </c>
    </row>
    <row r="4537">
      <c r="A4537" s="1" t="n">
        <v>4536</v>
      </c>
      <c r="B4537">
        <f>TEXT(4536, "[$-0E0000]yyyy-mm-dd")</f>
        <v/>
      </c>
      <c r="C4537" t="inlineStr">
        <is>
          <t>1912-04-17</t>
        </is>
      </c>
    </row>
    <row r="4538">
      <c r="A4538" s="1" t="n">
        <v>4537</v>
      </c>
      <c r="B4538">
        <f>TEXT(4537, "[$-0E0000]yyyy-mm-dd")</f>
        <v/>
      </c>
      <c r="C4538" t="inlineStr">
        <is>
          <t>1912-04-18</t>
        </is>
      </c>
    </row>
    <row r="4539">
      <c r="A4539" s="1" t="n">
        <v>4538</v>
      </c>
      <c r="B4539">
        <f>TEXT(4538, "[$-0E0000]yyyy-mm-dd")</f>
        <v/>
      </c>
      <c r="C4539" t="inlineStr">
        <is>
          <t>1912-04-19</t>
        </is>
      </c>
    </row>
    <row r="4540">
      <c r="A4540" s="1" t="n">
        <v>4539</v>
      </c>
      <c r="B4540">
        <f>TEXT(4539, "[$-0E0000]yyyy-mm-dd")</f>
        <v/>
      </c>
      <c r="C4540" t="inlineStr">
        <is>
          <t>1912-04-20</t>
        </is>
      </c>
    </row>
    <row r="4541">
      <c r="A4541" s="1" t="n">
        <v>4540</v>
      </c>
      <c r="B4541">
        <f>TEXT(4540, "[$-0E0000]yyyy-mm-dd")</f>
        <v/>
      </c>
      <c r="C4541" t="inlineStr">
        <is>
          <t>1912-04-21</t>
        </is>
      </c>
    </row>
    <row r="4542">
      <c r="A4542" s="1" t="n">
        <v>4541</v>
      </c>
      <c r="B4542">
        <f>TEXT(4541, "[$-0E0000]yyyy-mm-dd")</f>
        <v/>
      </c>
      <c r="C4542" t="inlineStr">
        <is>
          <t>1912-04-22</t>
        </is>
      </c>
    </row>
    <row r="4543">
      <c r="A4543" s="1" t="n">
        <v>4542</v>
      </c>
      <c r="B4543">
        <f>TEXT(4542, "[$-0E0000]yyyy-mm-dd")</f>
        <v/>
      </c>
      <c r="C4543" t="inlineStr">
        <is>
          <t>1912-04-23</t>
        </is>
      </c>
    </row>
    <row r="4544">
      <c r="A4544" s="1" t="n">
        <v>4543</v>
      </c>
      <c r="B4544">
        <f>TEXT(4543, "[$-0E0000]yyyy-mm-dd")</f>
        <v/>
      </c>
      <c r="C4544" t="inlineStr">
        <is>
          <t>1912-04-24</t>
        </is>
      </c>
    </row>
    <row r="4545">
      <c r="A4545" s="1" t="n">
        <v>4544</v>
      </c>
      <c r="B4545">
        <f>TEXT(4544, "[$-0E0000]yyyy-mm-dd")</f>
        <v/>
      </c>
      <c r="C4545" t="inlineStr">
        <is>
          <t>1912-04-25</t>
        </is>
      </c>
    </row>
    <row r="4546">
      <c r="A4546" s="1" t="n">
        <v>4545</v>
      </c>
      <c r="B4546">
        <f>TEXT(4545, "[$-0E0000]yyyy-mm-dd")</f>
        <v/>
      </c>
      <c r="C4546" t="inlineStr">
        <is>
          <t>1912-04-26</t>
        </is>
      </c>
    </row>
    <row r="4547">
      <c r="A4547" s="1" t="n">
        <v>4546</v>
      </c>
      <c r="B4547">
        <f>TEXT(4546, "[$-0E0000]yyyy-mm-dd")</f>
        <v/>
      </c>
      <c r="C4547" t="inlineStr">
        <is>
          <t>1912-04-27</t>
        </is>
      </c>
    </row>
    <row r="4548">
      <c r="A4548" s="1" t="n">
        <v>4547</v>
      </c>
      <c r="B4548">
        <f>TEXT(4547, "[$-0E0000]yyyy-mm-dd")</f>
        <v/>
      </c>
      <c r="C4548" t="inlineStr">
        <is>
          <t>1912-04-28</t>
        </is>
      </c>
    </row>
    <row r="4549">
      <c r="A4549" s="1" t="n">
        <v>4548</v>
      </c>
      <c r="B4549">
        <f>TEXT(4548, "[$-0E0000]yyyy-mm-dd")</f>
        <v/>
      </c>
      <c r="C4549" t="inlineStr">
        <is>
          <t>1912-04-29</t>
        </is>
      </c>
    </row>
    <row r="4550">
      <c r="A4550" s="1" t="n">
        <v>4549</v>
      </c>
      <c r="B4550">
        <f>TEXT(4549, "[$-0E0000]yyyy-mm-dd")</f>
        <v/>
      </c>
      <c r="C4550" t="inlineStr">
        <is>
          <t>1912-05-01</t>
        </is>
      </c>
    </row>
    <row r="4551">
      <c r="A4551" s="1" t="n">
        <v>4550</v>
      </c>
      <c r="B4551">
        <f>TEXT(4550, "[$-0E0000]yyyy-mm-dd")</f>
        <v/>
      </c>
      <c r="C4551" t="inlineStr">
        <is>
          <t>1912-05-02</t>
        </is>
      </c>
    </row>
    <row r="4552">
      <c r="A4552" s="1" t="n">
        <v>4551</v>
      </c>
      <c r="B4552">
        <f>TEXT(4551, "[$-0E0000]yyyy-mm-dd")</f>
        <v/>
      </c>
      <c r="C4552" t="inlineStr">
        <is>
          <t>1912-05-03</t>
        </is>
      </c>
    </row>
    <row r="4553">
      <c r="A4553" s="1" t="n">
        <v>4552</v>
      </c>
      <c r="B4553">
        <f>TEXT(4552, "[$-0E0000]yyyy-mm-dd")</f>
        <v/>
      </c>
      <c r="C4553" t="inlineStr">
        <is>
          <t>1912-05-04</t>
        </is>
      </c>
    </row>
    <row r="4554">
      <c r="A4554" s="1" t="n">
        <v>4553</v>
      </c>
      <c r="B4554">
        <f>TEXT(4553, "[$-0E0000]yyyy-mm-dd")</f>
        <v/>
      </c>
      <c r="C4554" t="inlineStr">
        <is>
          <t>1912-05-05</t>
        </is>
      </c>
    </row>
    <row r="4555">
      <c r="A4555" s="1" t="n">
        <v>4554</v>
      </c>
      <c r="B4555">
        <f>TEXT(4554, "[$-0E0000]yyyy-mm-dd")</f>
        <v/>
      </c>
      <c r="C4555" t="inlineStr">
        <is>
          <t>1912-05-06</t>
        </is>
      </c>
    </row>
    <row r="4556">
      <c r="A4556" s="1" t="n">
        <v>4555</v>
      </c>
      <c r="B4556">
        <f>TEXT(4555, "[$-0E0000]yyyy-mm-dd")</f>
        <v/>
      </c>
      <c r="C4556" t="inlineStr">
        <is>
          <t>1912-05-07</t>
        </is>
      </c>
    </row>
    <row r="4557">
      <c r="A4557" s="1" t="n">
        <v>4556</v>
      </c>
      <c r="B4557">
        <f>TEXT(4556, "[$-0E0000]yyyy-mm-dd")</f>
        <v/>
      </c>
      <c r="C4557" t="inlineStr">
        <is>
          <t>1912-05-08</t>
        </is>
      </c>
    </row>
    <row r="4558">
      <c r="A4558" s="1" t="n">
        <v>4557</v>
      </c>
      <c r="B4558">
        <f>TEXT(4557, "[$-0E0000]yyyy-mm-dd")</f>
        <v/>
      </c>
      <c r="C4558" t="inlineStr">
        <is>
          <t>1912-05-09</t>
        </is>
      </c>
    </row>
    <row r="4559">
      <c r="A4559" s="1" t="n">
        <v>4558</v>
      </c>
      <c r="B4559">
        <f>TEXT(4558, "[$-0E0000]yyyy-mm-dd")</f>
        <v/>
      </c>
      <c r="C4559" t="inlineStr">
        <is>
          <t>1912-05-10</t>
        </is>
      </c>
    </row>
    <row r="4560">
      <c r="A4560" s="1" t="n">
        <v>4559</v>
      </c>
      <c r="B4560">
        <f>TEXT(4559, "[$-0E0000]yyyy-mm-dd")</f>
        <v/>
      </c>
      <c r="C4560" t="inlineStr">
        <is>
          <t>1912-05-11</t>
        </is>
      </c>
    </row>
    <row r="4561">
      <c r="A4561" s="1" t="n">
        <v>4560</v>
      </c>
      <c r="B4561">
        <f>TEXT(4560, "[$-0E0000]yyyy-mm-dd")</f>
        <v/>
      </c>
      <c r="C4561" t="inlineStr">
        <is>
          <t>1912-05-12</t>
        </is>
      </c>
    </row>
    <row r="4562">
      <c r="A4562" s="1" t="n">
        <v>4561</v>
      </c>
      <c r="B4562">
        <f>TEXT(4561, "[$-0E0000]yyyy-mm-dd")</f>
        <v/>
      </c>
      <c r="C4562" t="inlineStr">
        <is>
          <t>1912-05-13</t>
        </is>
      </c>
    </row>
    <row r="4563">
      <c r="A4563" s="1" t="n">
        <v>4562</v>
      </c>
      <c r="B4563">
        <f>TEXT(4562, "[$-0E0000]yyyy-mm-dd")</f>
        <v/>
      </c>
      <c r="C4563" t="inlineStr">
        <is>
          <t>1912-05-14</t>
        </is>
      </c>
    </row>
    <row r="4564">
      <c r="A4564" s="1" t="n">
        <v>4563</v>
      </c>
      <c r="B4564">
        <f>TEXT(4563, "[$-0E0000]yyyy-mm-dd")</f>
        <v/>
      </c>
      <c r="C4564" t="inlineStr">
        <is>
          <t>1912-05-15</t>
        </is>
      </c>
    </row>
    <row r="4565">
      <c r="A4565" s="1" t="n">
        <v>4564</v>
      </c>
      <c r="B4565">
        <f>TEXT(4564, "[$-0E0000]yyyy-mm-dd")</f>
        <v/>
      </c>
      <c r="C4565" t="inlineStr">
        <is>
          <t>1912-05-16</t>
        </is>
      </c>
    </row>
    <row r="4566">
      <c r="A4566" s="1" t="n">
        <v>4565</v>
      </c>
      <c r="B4566">
        <f>TEXT(4565, "[$-0E0000]yyyy-mm-dd")</f>
        <v/>
      </c>
      <c r="C4566" t="inlineStr">
        <is>
          <t>1912-05-17</t>
        </is>
      </c>
    </row>
    <row r="4567">
      <c r="A4567" s="1" t="n">
        <v>4566</v>
      </c>
      <c r="B4567">
        <f>TEXT(4566, "[$-0E0000]yyyy-mm-dd")</f>
        <v/>
      </c>
      <c r="C4567" t="inlineStr">
        <is>
          <t>1912-05-18</t>
        </is>
      </c>
    </row>
    <row r="4568">
      <c r="A4568" s="1" t="n">
        <v>4567</v>
      </c>
      <c r="B4568">
        <f>TEXT(4567, "[$-0E0000]yyyy-mm-dd")</f>
        <v/>
      </c>
      <c r="C4568" t="inlineStr">
        <is>
          <t>1912-05-19</t>
        </is>
      </c>
    </row>
    <row r="4569">
      <c r="A4569" s="1" t="n">
        <v>4568</v>
      </c>
      <c r="B4569">
        <f>TEXT(4568, "[$-0E0000]yyyy-mm-dd")</f>
        <v/>
      </c>
      <c r="C4569" t="inlineStr">
        <is>
          <t>1912-05-20</t>
        </is>
      </c>
    </row>
    <row r="4570">
      <c r="A4570" s="1" t="n">
        <v>4569</v>
      </c>
      <c r="B4570">
        <f>TEXT(4569, "[$-0E0000]yyyy-mm-dd")</f>
        <v/>
      </c>
      <c r="C4570" t="inlineStr">
        <is>
          <t>1912-05-21</t>
        </is>
      </c>
    </row>
    <row r="4571">
      <c r="A4571" s="1" t="n">
        <v>4570</v>
      </c>
      <c r="B4571">
        <f>TEXT(4570, "[$-0E0000]yyyy-mm-dd")</f>
        <v/>
      </c>
      <c r="C4571" t="inlineStr">
        <is>
          <t>1912-05-22</t>
        </is>
      </c>
    </row>
    <row r="4572">
      <c r="A4572" s="1" t="n">
        <v>4571</v>
      </c>
      <c r="B4572">
        <f>TEXT(4571, "[$-0E0000]yyyy-mm-dd")</f>
        <v/>
      </c>
      <c r="C4572" t="inlineStr">
        <is>
          <t>1912-05-23</t>
        </is>
      </c>
    </row>
    <row r="4573">
      <c r="A4573" s="1" t="n">
        <v>4572</v>
      </c>
      <c r="B4573">
        <f>TEXT(4572, "[$-0E0000]yyyy-mm-dd")</f>
        <v/>
      </c>
      <c r="C4573" t="inlineStr">
        <is>
          <t>1912-05-24</t>
        </is>
      </c>
    </row>
    <row r="4574">
      <c r="A4574" s="1" t="n">
        <v>4573</v>
      </c>
      <c r="B4574">
        <f>TEXT(4573, "[$-0E0000]yyyy-mm-dd")</f>
        <v/>
      </c>
      <c r="C4574" t="inlineStr">
        <is>
          <t>1912-05-25</t>
        </is>
      </c>
    </row>
    <row r="4575">
      <c r="A4575" s="1" t="n">
        <v>4574</v>
      </c>
      <c r="B4575">
        <f>TEXT(4574, "[$-0E0000]yyyy-mm-dd")</f>
        <v/>
      </c>
      <c r="C4575" t="inlineStr">
        <is>
          <t>1912-05-26</t>
        </is>
      </c>
    </row>
    <row r="4576">
      <c r="A4576" s="1" t="n">
        <v>4575</v>
      </c>
      <c r="B4576">
        <f>TEXT(4575, "[$-0E0000]yyyy-mm-dd")</f>
        <v/>
      </c>
      <c r="C4576" t="inlineStr">
        <is>
          <t>1912-05-27</t>
        </is>
      </c>
    </row>
    <row r="4577">
      <c r="A4577" s="1" t="n">
        <v>4576</v>
      </c>
      <c r="B4577">
        <f>TEXT(4576, "[$-0E0000]yyyy-mm-dd")</f>
        <v/>
      </c>
      <c r="C4577" t="inlineStr">
        <is>
          <t>1912-05-28</t>
        </is>
      </c>
    </row>
    <row r="4578">
      <c r="A4578" s="1" t="n">
        <v>4577</v>
      </c>
      <c r="B4578">
        <f>TEXT(4577, "[$-0E0000]yyyy-mm-dd")</f>
        <v/>
      </c>
      <c r="C4578" t="inlineStr">
        <is>
          <t>1912-05-29</t>
        </is>
      </c>
    </row>
    <row r="4579">
      <c r="A4579" s="1" t="n">
        <v>4578</v>
      </c>
      <c r="B4579">
        <f>TEXT(4578, "[$-0E0000]yyyy-mm-dd")</f>
        <v/>
      </c>
      <c r="C4579" t="inlineStr">
        <is>
          <t>1912-06-01</t>
        </is>
      </c>
    </row>
    <row r="4580">
      <c r="A4580" s="1" t="n">
        <v>4579</v>
      </c>
      <c r="B4580">
        <f>TEXT(4579, "[$-0E0000]yyyy-mm-dd")</f>
        <v/>
      </c>
      <c r="C4580" t="inlineStr">
        <is>
          <t>1912-06-02</t>
        </is>
      </c>
    </row>
    <row r="4581">
      <c r="A4581" s="1" t="n">
        <v>4580</v>
      </c>
      <c r="B4581">
        <f>TEXT(4580, "[$-0E0000]yyyy-mm-dd")</f>
        <v/>
      </c>
      <c r="C4581" t="inlineStr">
        <is>
          <t>1912-06-03</t>
        </is>
      </c>
    </row>
    <row r="4582">
      <c r="A4582" s="1" t="n">
        <v>4581</v>
      </c>
      <c r="B4582">
        <f>TEXT(4581, "[$-0E0000]yyyy-mm-dd")</f>
        <v/>
      </c>
      <c r="C4582" t="inlineStr">
        <is>
          <t>1912-06-04</t>
        </is>
      </c>
    </row>
    <row r="4583">
      <c r="A4583" s="1" t="n">
        <v>4582</v>
      </c>
      <c r="B4583">
        <f>TEXT(4582, "[$-0E0000]yyyy-mm-dd")</f>
        <v/>
      </c>
      <c r="C4583" t="inlineStr">
        <is>
          <t>1912-06-05</t>
        </is>
      </c>
    </row>
    <row r="4584">
      <c r="A4584" s="1" t="n">
        <v>4583</v>
      </c>
      <c r="B4584">
        <f>TEXT(4583, "[$-0E0000]yyyy-mm-dd")</f>
        <v/>
      </c>
      <c r="C4584" t="inlineStr">
        <is>
          <t>1912-06-06</t>
        </is>
      </c>
    </row>
    <row r="4585">
      <c r="A4585" s="1" t="n">
        <v>4584</v>
      </c>
      <c r="B4585">
        <f>TEXT(4584, "[$-0E0000]yyyy-mm-dd")</f>
        <v/>
      </c>
      <c r="C4585" t="inlineStr">
        <is>
          <t>1912-06-07</t>
        </is>
      </c>
    </row>
    <row r="4586">
      <c r="A4586" s="1" t="n">
        <v>4585</v>
      </c>
      <c r="B4586">
        <f>TEXT(4585, "[$-0E0000]yyyy-mm-dd")</f>
        <v/>
      </c>
      <c r="C4586" t="inlineStr">
        <is>
          <t>1912-06-08</t>
        </is>
      </c>
    </row>
    <row r="4587">
      <c r="A4587" s="1" t="n">
        <v>4586</v>
      </c>
      <c r="B4587">
        <f>TEXT(4586, "[$-0E0000]yyyy-mm-dd")</f>
        <v/>
      </c>
      <c r="C4587" t="inlineStr">
        <is>
          <t>1912-06-09</t>
        </is>
      </c>
    </row>
    <row r="4588">
      <c r="A4588" s="1" t="n">
        <v>4587</v>
      </c>
      <c r="B4588">
        <f>TEXT(4587, "[$-0E0000]yyyy-mm-dd")</f>
        <v/>
      </c>
      <c r="C4588" t="inlineStr">
        <is>
          <t>1912-06-10</t>
        </is>
      </c>
    </row>
    <row r="4589">
      <c r="A4589" s="1" t="n">
        <v>4588</v>
      </c>
      <c r="B4589">
        <f>TEXT(4588, "[$-0E0000]yyyy-mm-dd")</f>
        <v/>
      </c>
      <c r="C4589" t="inlineStr">
        <is>
          <t>1912-06-11</t>
        </is>
      </c>
    </row>
    <row r="4590">
      <c r="A4590" s="1" t="n">
        <v>4589</v>
      </c>
      <c r="B4590">
        <f>TEXT(4589, "[$-0E0000]yyyy-mm-dd")</f>
        <v/>
      </c>
      <c r="C4590" t="inlineStr">
        <is>
          <t>1912-06-12</t>
        </is>
      </c>
    </row>
    <row r="4591">
      <c r="A4591" s="1" t="n">
        <v>4590</v>
      </c>
      <c r="B4591">
        <f>TEXT(4590, "[$-0E0000]yyyy-mm-dd")</f>
        <v/>
      </c>
      <c r="C4591" t="inlineStr">
        <is>
          <t>1912-06-13</t>
        </is>
      </c>
    </row>
    <row r="4592">
      <c r="A4592" s="1" t="n">
        <v>4591</v>
      </c>
      <c r="B4592">
        <f>TEXT(4591, "[$-0E0000]yyyy-mm-dd")</f>
        <v/>
      </c>
      <c r="C4592" t="inlineStr">
        <is>
          <t>1912-06-14</t>
        </is>
      </c>
    </row>
    <row r="4593">
      <c r="A4593" s="1" t="n">
        <v>4592</v>
      </c>
      <c r="B4593">
        <f>TEXT(4592, "[$-0E0000]yyyy-mm-dd")</f>
        <v/>
      </c>
      <c r="C4593" t="inlineStr">
        <is>
          <t>1912-06-15</t>
        </is>
      </c>
    </row>
    <row r="4594">
      <c r="A4594" s="1" t="n">
        <v>4593</v>
      </c>
      <c r="B4594">
        <f>TEXT(4593, "[$-0E0000]yyyy-mm-dd")</f>
        <v/>
      </c>
      <c r="C4594" t="inlineStr">
        <is>
          <t>1912-06-16</t>
        </is>
      </c>
    </row>
    <row r="4595">
      <c r="A4595" s="1" t="n">
        <v>4594</v>
      </c>
      <c r="B4595">
        <f>TEXT(4594, "[$-0E0000]yyyy-mm-dd")</f>
        <v/>
      </c>
      <c r="C4595" t="inlineStr">
        <is>
          <t>1912-06-17</t>
        </is>
      </c>
    </row>
    <row r="4596">
      <c r="A4596" s="1" t="n">
        <v>4595</v>
      </c>
      <c r="B4596">
        <f>TEXT(4595, "[$-0E0000]yyyy-mm-dd")</f>
        <v/>
      </c>
      <c r="C4596" t="inlineStr">
        <is>
          <t>1912-06-18</t>
        </is>
      </c>
    </row>
    <row r="4597">
      <c r="A4597" s="1" t="n">
        <v>4596</v>
      </c>
      <c r="B4597">
        <f>TEXT(4596, "[$-0E0000]yyyy-mm-dd")</f>
        <v/>
      </c>
      <c r="C4597" t="inlineStr">
        <is>
          <t>1912-06-19</t>
        </is>
      </c>
    </row>
    <row r="4598">
      <c r="A4598" s="1" t="n">
        <v>4597</v>
      </c>
      <c r="B4598">
        <f>TEXT(4597, "[$-0E0000]yyyy-mm-dd")</f>
        <v/>
      </c>
      <c r="C4598" t="inlineStr">
        <is>
          <t>1912-06-20</t>
        </is>
      </c>
    </row>
    <row r="4599">
      <c r="A4599" s="1" t="n">
        <v>4598</v>
      </c>
      <c r="B4599">
        <f>TEXT(4598, "[$-0E0000]yyyy-mm-dd")</f>
        <v/>
      </c>
      <c r="C4599" t="inlineStr">
        <is>
          <t>1912-06-21</t>
        </is>
      </c>
    </row>
    <row r="4600">
      <c r="A4600" s="1" t="n">
        <v>4599</v>
      </c>
      <c r="B4600">
        <f>TEXT(4599, "[$-0E0000]yyyy-mm-dd")</f>
        <v/>
      </c>
      <c r="C4600" t="inlineStr">
        <is>
          <t>1912-06-22</t>
        </is>
      </c>
    </row>
    <row r="4601">
      <c r="A4601" s="1" t="n">
        <v>4600</v>
      </c>
      <c r="B4601">
        <f>TEXT(4600, "[$-0E0000]yyyy-mm-dd")</f>
        <v/>
      </c>
      <c r="C4601" t="inlineStr">
        <is>
          <t>1912-06-23</t>
        </is>
      </c>
    </row>
    <row r="4602">
      <c r="A4602" s="1" t="n">
        <v>4601</v>
      </c>
      <c r="B4602">
        <f>TEXT(4601, "[$-0E0000]yyyy-mm-dd")</f>
        <v/>
      </c>
      <c r="C4602" t="inlineStr">
        <is>
          <t>1912-06-24</t>
        </is>
      </c>
    </row>
    <row r="4603">
      <c r="A4603" s="1" t="n">
        <v>4602</v>
      </c>
      <c r="B4603">
        <f>TEXT(4602, "[$-0E0000]yyyy-mm-dd")</f>
        <v/>
      </c>
      <c r="C4603" t="inlineStr">
        <is>
          <t>1912-06-25</t>
        </is>
      </c>
    </row>
    <row r="4604">
      <c r="A4604" s="1" t="n">
        <v>4603</v>
      </c>
      <c r="B4604">
        <f>TEXT(4603, "[$-0E0000]yyyy-mm-dd")</f>
        <v/>
      </c>
      <c r="C4604" t="inlineStr">
        <is>
          <t>1912-06-26</t>
        </is>
      </c>
    </row>
    <row r="4605">
      <c r="A4605" s="1" t="n">
        <v>4604</v>
      </c>
      <c r="B4605">
        <f>TEXT(4604, "[$-0E0000]yyyy-mm-dd")</f>
        <v/>
      </c>
      <c r="C4605" t="inlineStr">
        <is>
          <t>1912-06-27</t>
        </is>
      </c>
    </row>
    <row r="4606">
      <c r="A4606" s="1" t="n">
        <v>4605</v>
      </c>
      <c r="B4606">
        <f>TEXT(4605, "[$-0E0000]yyyy-mm-dd")</f>
        <v/>
      </c>
      <c r="C4606" t="inlineStr">
        <is>
          <t>1912-06-28</t>
        </is>
      </c>
    </row>
    <row r="4607">
      <c r="A4607" s="1" t="n">
        <v>4606</v>
      </c>
      <c r="B4607">
        <f>TEXT(4606, "[$-0E0000]yyyy-mm-dd")</f>
        <v/>
      </c>
      <c r="C4607" t="inlineStr">
        <is>
          <t>1912-06-29</t>
        </is>
      </c>
    </row>
    <row r="4608">
      <c r="A4608" s="1" t="n">
        <v>4607</v>
      </c>
      <c r="B4608">
        <f>TEXT(4607, "[$-0E0000]yyyy-mm-dd")</f>
        <v/>
      </c>
      <c r="C4608" t="inlineStr">
        <is>
          <t>1912-06-30</t>
        </is>
      </c>
    </row>
    <row r="4609">
      <c r="A4609" s="1" t="n">
        <v>4608</v>
      </c>
      <c r="B4609">
        <f>TEXT(4608, "[$-0E0000]yyyy-mm-dd")</f>
        <v/>
      </c>
      <c r="C4609" t="inlineStr">
        <is>
          <t>1912-07-01</t>
        </is>
      </c>
    </row>
    <row r="4610">
      <c r="A4610" s="1" t="n">
        <v>4609</v>
      </c>
      <c r="B4610">
        <f>TEXT(4609, "[$-0E0000]yyyy-mm-dd")</f>
        <v/>
      </c>
      <c r="C4610" t="inlineStr">
        <is>
          <t>1912-07-02</t>
        </is>
      </c>
    </row>
    <row r="4611">
      <c r="A4611" s="1" t="n">
        <v>4610</v>
      </c>
      <c r="B4611">
        <f>TEXT(4610, "[$-0E0000]yyyy-mm-dd")</f>
        <v/>
      </c>
      <c r="C4611" t="inlineStr">
        <is>
          <t>1912-07-03</t>
        </is>
      </c>
    </row>
    <row r="4612">
      <c r="A4612" s="1" t="n">
        <v>4611</v>
      </c>
      <c r="B4612">
        <f>TEXT(4611, "[$-0E0000]yyyy-mm-dd")</f>
        <v/>
      </c>
      <c r="C4612" t="inlineStr">
        <is>
          <t>1912-07-04</t>
        </is>
      </c>
    </row>
    <row r="4613">
      <c r="A4613" s="1" t="n">
        <v>4612</v>
      </c>
      <c r="B4613">
        <f>TEXT(4612, "[$-0E0000]yyyy-mm-dd")</f>
        <v/>
      </c>
      <c r="C4613" t="inlineStr">
        <is>
          <t>1912-07-05</t>
        </is>
      </c>
    </row>
    <row r="4614">
      <c r="A4614" s="1" t="n">
        <v>4613</v>
      </c>
      <c r="B4614">
        <f>TEXT(4613, "[$-0E0000]yyyy-mm-dd")</f>
        <v/>
      </c>
      <c r="C4614" t="inlineStr">
        <is>
          <t>1912-07-06</t>
        </is>
      </c>
    </row>
    <row r="4615">
      <c r="A4615" s="1" t="n">
        <v>4614</v>
      </c>
      <c r="B4615">
        <f>TEXT(4614, "[$-0E0000]yyyy-mm-dd")</f>
        <v/>
      </c>
      <c r="C4615" t="inlineStr">
        <is>
          <t>1912-07-07</t>
        </is>
      </c>
    </row>
    <row r="4616">
      <c r="A4616" s="1" t="n">
        <v>4615</v>
      </c>
      <c r="B4616">
        <f>TEXT(4615, "[$-0E0000]yyyy-mm-dd")</f>
        <v/>
      </c>
      <c r="C4616" t="inlineStr">
        <is>
          <t>1912-07-08</t>
        </is>
      </c>
    </row>
    <row r="4617">
      <c r="A4617" s="1" t="n">
        <v>4616</v>
      </c>
      <c r="B4617">
        <f>TEXT(4616, "[$-0E0000]yyyy-mm-dd")</f>
        <v/>
      </c>
      <c r="C4617" t="inlineStr">
        <is>
          <t>1912-07-09</t>
        </is>
      </c>
    </row>
    <row r="4618">
      <c r="A4618" s="1" t="n">
        <v>4617</v>
      </c>
      <c r="B4618">
        <f>TEXT(4617, "[$-0E0000]yyyy-mm-dd")</f>
        <v/>
      </c>
      <c r="C4618" t="inlineStr">
        <is>
          <t>1912-07-10</t>
        </is>
      </c>
    </row>
    <row r="4619">
      <c r="A4619" s="1" t="n">
        <v>4618</v>
      </c>
      <c r="B4619">
        <f>TEXT(4618, "[$-0E0000]yyyy-mm-dd")</f>
        <v/>
      </c>
      <c r="C4619" t="inlineStr">
        <is>
          <t>1912-07-11</t>
        </is>
      </c>
    </row>
    <row r="4620">
      <c r="A4620" s="1" t="n">
        <v>4619</v>
      </c>
      <c r="B4620">
        <f>TEXT(4619, "[$-0E0000]yyyy-mm-dd")</f>
        <v/>
      </c>
      <c r="C4620" t="inlineStr">
        <is>
          <t>1912-07-12</t>
        </is>
      </c>
    </row>
    <row r="4621">
      <c r="A4621" s="1" t="n">
        <v>4620</v>
      </c>
      <c r="B4621">
        <f>TEXT(4620, "[$-0E0000]yyyy-mm-dd")</f>
        <v/>
      </c>
      <c r="C4621" t="inlineStr">
        <is>
          <t>1912-07-13</t>
        </is>
      </c>
    </row>
    <row r="4622">
      <c r="A4622" s="1" t="n">
        <v>4621</v>
      </c>
      <c r="B4622">
        <f>TEXT(4621, "[$-0E0000]yyyy-mm-dd")</f>
        <v/>
      </c>
      <c r="C4622" t="inlineStr">
        <is>
          <t>1912-07-14</t>
        </is>
      </c>
    </row>
    <row r="4623">
      <c r="A4623" s="1" t="n">
        <v>4622</v>
      </c>
      <c r="B4623">
        <f>TEXT(4622, "[$-0E0000]yyyy-mm-dd")</f>
        <v/>
      </c>
      <c r="C4623" t="inlineStr">
        <is>
          <t>1912-07-15</t>
        </is>
      </c>
    </row>
    <row r="4624">
      <c r="A4624" s="1" t="n">
        <v>4623</v>
      </c>
      <c r="B4624">
        <f>TEXT(4623, "[$-0E0000]yyyy-mm-dd")</f>
        <v/>
      </c>
      <c r="C4624" t="inlineStr">
        <is>
          <t>1912-07-16</t>
        </is>
      </c>
    </row>
    <row r="4625">
      <c r="A4625" s="1" t="n">
        <v>4624</v>
      </c>
      <c r="B4625">
        <f>TEXT(4624, "[$-0E0000]yyyy-mm-dd")</f>
        <v/>
      </c>
      <c r="C4625" t="inlineStr">
        <is>
          <t>1912-07-17</t>
        </is>
      </c>
    </row>
    <row r="4626">
      <c r="A4626" s="1" t="n">
        <v>4625</v>
      </c>
      <c r="B4626">
        <f>TEXT(4625, "[$-0E0000]yyyy-mm-dd")</f>
        <v/>
      </c>
      <c r="C4626" t="inlineStr">
        <is>
          <t>1912-07-18</t>
        </is>
      </c>
    </row>
    <row r="4627">
      <c r="A4627" s="1" t="n">
        <v>4626</v>
      </c>
      <c r="B4627">
        <f>TEXT(4626, "[$-0E0000]yyyy-mm-dd")</f>
        <v/>
      </c>
      <c r="C4627" t="inlineStr">
        <is>
          <t>1912-07-19</t>
        </is>
      </c>
    </row>
    <row r="4628">
      <c r="A4628" s="1" t="n">
        <v>4627</v>
      </c>
      <c r="B4628">
        <f>TEXT(4627, "[$-0E0000]yyyy-mm-dd")</f>
        <v/>
      </c>
      <c r="C4628" t="inlineStr">
        <is>
          <t>1912-07-20</t>
        </is>
      </c>
    </row>
    <row r="4629">
      <c r="A4629" s="1" t="n">
        <v>4628</v>
      </c>
      <c r="B4629">
        <f>TEXT(4628, "[$-0E0000]yyyy-mm-dd")</f>
        <v/>
      </c>
      <c r="C4629" t="inlineStr">
        <is>
          <t>1912-07-21</t>
        </is>
      </c>
    </row>
    <row r="4630">
      <c r="A4630" s="1" t="n">
        <v>4629</v>
      </c>
      <c r="B4630">
        <f>TEXT(4629, "[$-0E0000]yyyy-mm-dd")</f>
        <v/>
      </c>
      <c r="C4630" t="inlineStr">
        <is>
          <t>1912-07-22</t>
        </is>
      </c>
    </row>
    <row r="4631">
      <c r="A4631" s="1" t="n">
        <v>4630</v>
      </c>
      <c r="B4631">
        <f>TEXT(4630, "[$-0E0000]yyyy-mm-dd")</f>
        <v/>
      </c>
      <c r="C4631" t="inlineStr">
        <is>
          <t>1912-07-23</t>
        </is>
      </c>
    </row>
    <row r="4632">
      <c r="A4632" s="1" t="n">
        <v>4631</v>
      </c>
      <c r="B4632">
        <f>TEXT(4631, "[$-0E0000]yyyy-mm-dd")</f>
        <v/>
      </c>
      <c r="C4632" t="inlineStr">
        <is>
          <t>1912-07-24</t>
        </is>
      </c>
    </row>
    <row r="4633">
      <c r="A4633" s="1" t="n">
        <v>4632</v>
      </c>
      <c r="B4633">
        <f>TEXT(4632, "[$-0E0000]yyyy-mm-dd")</f>
        <v/>
      </c>
      <c r="C4633" t="inlineStr">
        <is>
          <t>1912-07-25</t>
        </is>
      </c>
    </row>
    <row r="4634">
      <c r="A4634" s="1" t="n">
        <v>4633</v>
      </c>
      <c r="B4634">
        <f>TEXT(4633, "[$-0E0000]yyyy-mm-dd")</f>
        <v/>
      </c>
      <c r="C4634" t="inlineStr">
        <is>
          <t>1912-07-26</t>
        </is>
      </c>
    </row>
    <row r="4635">
      <c r="A4635" s="1" t="n">
        <v>4634</v>
      </c>
      <c r="B4635">
        <f>TEXT(4634, "[$-0E0000]yyyy-mm-dd")</f>
        <v/>
      </c>
      <c r="C4635" t="inlineStr">
        <is>
          <t>1912-07-27</t>
        </is>
      </c>
    </row>
    <row r="4636">
      <c r="A4636" s="1" t="n">
        <v>4635</v>
      </c>
      <c r="B4636">
        <f>TEXT(4635, "[$-0E0000]yyyy-mm-dd")</f>
        <v/>
      </c>
      <c r="C4636" t="inlineStr">
        <is>
          <t>1912-07-28</t>
        </is>
      </c>
    </row>
    <row r="4637">
      <c r="A4637" s="1" t="n">
        <v>4636</v>
      </c>
      <c r="B4637">
        <f>TEXT(4636, "[$-0E0000]yyyy-mm-dd")</f>
        <v/>
      </c>
      <c r="C4637" t="inlineStr">
        <is>
          <t>1912-07-29</t>
        </is>
      </c>
    </row>
    <row r="4638">
      <c r="A4638" s="1" t="n">
        <v>4637</v>
      </c>
      <c r="B4638">
        <f>TEXT(4637, "[$-0E0000]yyyy-mm-dd")</f>
        <v/>
      </c>
      <c r="C4638" t="inlineStr">
        <is>
          <t>1912-08-01</t>
        </is>
      </c>
    </row>
    <row r="4639">
      <c r="A4639" s="1" t="n">
        <v>4638</v>
      </c>
      <c r="B4639">
        <f>TEXT(4638, "[$-0E0000]yyyy-mm-dd")</f>
        <v/>
      </c>
      <c r="C4639" t="inlineStr">
        <is>
          <t>1912-08-02</t>
        </is>
      </c>
    </row>
    <row r="4640">
      <c r="A4640" s="1" t="n">
        <v>4639</v>
      </c>
      <c r="B4640">
        <f>TEXT(4639, "[$-0E0000]yyyy-mm-dd")</f>
        <v/>
      </c>
      <c r="C4640" t="inlineStr">
        <is>
          <t>1912-08-03</t>
        </is>
      </c>
    </row>
    <row r="4641">
      <c r="A4641" s="1" t="n">
        <v>4640</v>
      </c>
      <c r="B4641">
        <f>TEXT(4640, "[$-0E0000]yyyy-mm-dd")</f>
        <v/>
      </c>
      <c r="C4641" t="inlineStr">
        <is>
          <t>1912-08-04</t>
        </is>
      </c>
    </row>
    <row r="4642">
      <c r="A4642" s="1" t="n">
        <v>4641</v>
      </c>
      <c r="B4642">
        <f>TEXT(4641, "[$-0E0000]yyyy-mm-dd")</f>
        <v/>
      </c>
      <c r="C4642" t="inlineStr">
        <is>
          <t>1912-08-05</t>
        </is>
      </c>
    </row>
    <row r="4643">
      <c r="A4643" s="1" t="n">
        <v>4642</v>
      </c>
      <c r="B4643">
        <f>TEXT(4642, "[$-0E0000]yyyy-mm-dd")</f>
        <v/>
      </c>
      <c r="C4643" t="inlineStr">
        <is>
          <t>1912-08-06</t>
        </is>
      </c>
    </row>
    <row r="4644">
      <c r="A4644" s="1" t="n">
        <v>4643</v>
      </c>
      <c r="B4644">
        <f>TEXT(4643, "[$-0E0000]yyyy-mm-dd")</f>
        <v/>
      </c>
      <c r="C4644" t="inlineStr">
        <is>
          <t>1912-08-07</t>
        </is>
      </c>
    </row>
    <row r="4645">
      <c r="A4645" s="1" t="n">
        <v>4644</v>
      </c>
      <c r="B4645">
        <f>TEXT(4644, "[$-0E0000]yyyy-mm-dd")</f>
        <v/>
      </c>
      <c r="C4645" t="inlineStr">
        <is>
          <t>1912-08-08</t>
        </is>
      </c>
    </row>
    <row r="4646">
      <c r="A4646" s="1" t="n">
        <v>4645</v>
      </c>
      <c r="B4646">
        <f>TEXT(4645, "[$-0E0000]yyyy-mm-dd")</f>
        <v/>
      </c>
      <c r="C4646" t="inlineStr">
        <is>
          <t>1912-08-09</t>
        </is>
      </c>
    </row>
    <row r="4647">
      <c r="A4647" s="1" t="n">
        <v>4646</v>
      </c>
      <c r="B4647">
        <f>TEXT(4646, "[$-0E0000]yyyy-mm-dd")</f>
        <v/>
      </c>
      <c r="C4647" t="inlineStr">
        <is>
          <t>1912-08-10</t>
        </is>
      </c>
    </row>
    <row r="4648">
      <c r="A4648" s="1" t="n">
        <v>4647</v>
      </c>
      <c r="B4648">
        <f>TEXT(4647, "[$-0E0000]yyyy-mm-dd")</f>
        <v/>
      </c>
      <c r="C4648" t="inlineStr">
        <is>
          <t>1912-08-11</t>
        </is>
      </c>
    </row>
    <row r="4649">
      <c r="A4649" s="1" t="n">
        <v>4648</v>
      </c>
      <c r="B4649">
        <f>TEXT(4648, "[$-0E0000]yyyy-mm-dd")</f>
        <v/>
      </c>
      <c r="C4649" t="inlineStr">
        <is>
          <t>1912-08-12</t>
        </is>
      </c>
    </row>
    <row r="4650">
      <c r="A4650" s="1" t="n">
        <v>4649</v>
      </c>
      <c r="B4650">
        <f>TEXT(4649, "[$-0E0000]yyyy-mm-dd")</f>
        <v/>
      </c>
      <c r="C4650" t="inlineStr">
        <is>
          <t>1912-08-13</t>
        </is>
      </c>
    </row>
    <row r="4651">
      <c r="A4651" s="1" t="n">
        <v>4650</v>
      </c>
      <c r="B4651">
        <f>TEXT(4650, "[$-0E0000]yyyy-mm-dd")</f>
        <v/>
      </c>
      <c r="C4651" t="inlineStr">
        <is>
          <t>1912-08-14</t>
        </is>
      </c>
    </row>
    <row r="4652">
      <c r="A4652" s="1" t="n">
        <v>4651</v>
      </c>
      <c r="B4652">
        <f>TEXT(4651, "[$-0E0000]yyyy-mm-dd")</f>
        <v/>
      </c>
      <c r="C4652" t="inlineStr">
        <is>
          <t>1912-08-15</t>
        </is>
      </c>
    </row>
    <row r="4653">
      <c r="A4653" s="1" t="n">
        <v>4652</v>
      </c>
      <c r="B4653">
        <f>TEXT(4652, "[$-0E0000]yyyy-mm-dd")</f>
        <v/>
      </c>
      <c r="C4653" t="inlineStr">
        <is>
          <t>1912-08-16</t>
        </is>
      </c>
    </row>
    <row r="4654">
      <c r="A4654" s="1" t="n">
        <v>4653</v>
      </c>
      <c r="B4654">
        <f>TEXT(4653, "[$-0E0000]yyyy-mm-dd")</f>
        <v/>
      </c>
      <c r="C4654" t="inlineStr">
        <is>
          <t>1912-08-17</t>
        </is>
      </c>
    </row>
    <row r="4655">
      <c r="A4655" s="1" t="n">
        <v>4654</v>
      </c>
      <c r="B4655">
        <f>TEXT(4654, "[$-0E0000]yyyy-mm-dd")</f>
        <v/>
      </c>
      <c r="C4655" t="inlineStr">
        <is>
          <t>1912-08-18</t>
        </is>
      </c>
    </row>
    <row r="4656">
      <c r="A4656" s="1" t="n">
        <v>4655</v>
      </c>
      <c r="B4656">
        <f>TEXT(4655, "[$-0E0000]yyyy-mm-dd")</f>
        <v/>
      </c>
      <c r="C4656" t="inlineStr">
        <is>
          <t>1912-08-19</t>
        </is>
      </c>
    </row>
    <row r="4657">
      <c r="A4657" s="1" t="n">
        <v>4656</v>
      </c>
      <c r="B4657">
        <f>TEXT(4656, "[$-0E0000]yyyy-mm-dd")</f>
        <v/>
      </c>
      <c r="C4657" t="inlineStr">
        <is>
          <t>1912-08-20</t>
        </is>
      </c>
    </row>
    <row r="4658">
      <c r="A4658" s="1" t="n">
        <v>4657</v>
      </c>
      <c r="B4658">
        <f>TEXT(4657, "[$-0E0000]yyyy-mm-dd")</f>
        <v/>
      </c>
      <c r="C4658" t="inlineStr">
        <is>
          <t>1912-08-21</t>
        </is>
      </c>
    </row>
    <row r="4659">
      <c r="A4659" s="1" t="n">
        <v>4658</v>
      </c>
      <c r="B4659">
        <f>TEXT(4658, "[$-0E0000]yyyy-mm-dd")</f>
        <v/>
      </c>
      <c r="C4659" t="inlineStr">
        <is>
          <t>1912-08-22</t>
        </is>
      </c>
    </row>
    <row r="4660">
      <c r="A4660" s="1" t="n">
        <v>4659</v>
      </c>
      <c r="B4660">
        <f>TEXT(4659, "[$-0E0000]yyyy-mm-dd")</f>
        <v/>
      </c>
      <c r="C4660" t="inlineStr">
        <is>
          <t>1912-08-23</t>
        </is>
      </c>
    </row>
    <row r="4661">
      <c r="A4661" s="1" t="n">
        <v>4660</v>
      </c>
      <c r="B4661">
        <f>TEXT(4660, "[$-0E0000]yyyy-mm-dd")</f>
        <v/>
      </c>
      <c r="C4661" t="inlineStr">
        <is>
          <t>1912-08-24</t>
        </is>
      </c>
    </row>
    <row r="4662">
      <c r="A4662" s="1" t="n">
        <v>4661</v>
      </c>
      <c r="B4662">
        <f>TEXT(4661, "[$-0E0000]yyyy-mm-dd")</f>
        <v/>
      </c>
      <c r="C4662" t="inlineStr">
        <is>
          <t>1912-08-25</t>
        </is>
      </c>
    </row>
    <row r="4663">
      <c r="A4663" s="1" t="n">
        <v>4662</v>
      </c>
      <c r="B4663">
        <f>TEXT(4662, "[$-0E0000]yyyy-mm-dd")</f>
        <v/>
      </c>
      <c r="C4663" t="inlineStr">
        <is>
          <t>1912-08-26</t>
        </is>
      </c>
    </row>
    <row r="4664">
      <c r="A4664" s="1" t="n">
        <v>4663</v>
      </c>
      <c r="B4664">
        <f>TEXT(4663, "[$-0E0000]yyyy-mm-dd")</f>
        <v/>
      </c>
      <c r="C4664" t="inlineStr">
        <is>
          <t>1912-08-27</t>
        </is>
      </c>
    </row>
    <row r="4665">
      <c r="A4665" s="1" t="n">
        <v>4664</v>
      </c>
      <c r="B4665">
        <f>TEXT(4664, "[$-0E0000]yyyy-mm-dd")</f>
        <v/>
      </c>
      <c r="C4665" t="inlineStr">
        <is>
          <t>1912-08-28</t>
        </is>
      </c>
    </row>
    <row r="4666">
      <c r="A4666" s="1" t="n">
        <v>4665</v>
      </c>
      <c r="B4666">
        <f>TEXT(4665, "[$-0E0000]yyyy-mm-dd")</f>
        <v/>
      </c>
      <c r="C4666" t="inlineStr">
        <is>
          <t>1912-08-29</t>
        </is>
      </c>
    </row>
    <row r="4667">
      <c r="A4667" s="1" t="n">
        <v>4666</v>
      </c>
      <c r="B4667">
        <f>TEXT(4666, "[$-0E0000]yyyy-mm-dd")</f>
        <v/>
      </c>
      <c r="C4667" t="inlineStr">
        <is>
          <t>1912-09-01</t>
        </is>
      </c>
    </row>
    <row r="4668">
      <c r="A4668" s="1" t="n">
        <v>4667</v>
      </c>
      <c r="B4668">
        <f>TEXT(4667, "[$-0E0000]yyyy-mm-dd")</f>
        <v/>
      </c>
      <c r="C4668" t="inlineStr">
        <is>
          <t>1912-09-02</t>
        </is>
      </c>
    </row>
    <row r="4669">
      <c r="A4669" s="1" t="n">
        <v>4668</v>
      </c>
      <c r="B4669">
        <f>TEXT(4668, "[$-0E0000]yyyy-mm-dd")</f>
        <v/>
      </c>
      <c r="C4669" t="inlineStr">
        <is>
          <t>1912-09-03</t>
        </is>
      </c>
    </row>
    <row r="4670">
      <c r="A4670" s="1" t="n">
        <v>4669</v>
      </c>
      <c r="B4670">
        <f>TEXT(4669, "[$-0E0000]yyyy-mm-dd")</f>
        <v/>
      </c>
      <c r="C4670" t="inlineStr">
        <is>
          <t>1912-09-04</t>
        </is>
      </c>
    </row>
    <row r="4671">
      <c r="A4671" s="1" t="n">
        <v>4670</v>
      </c>
      <c r="B4671">
        <f>TEXT(4670, "[$-0E0000]yyyy-mm-dd")</f>
        <v/>
      </c>
      <c r="C4671" t="inlineStr">
        <is>
          <t>1912-09-05</t>
        </is>
      </c>
    </row>
    <row r="4672">
      <c r="A4672" s="1" t="n">
        <v>4671</v>
      </c>
      <c r="B4672">
        <f>TEXT(4671, "[$-0E0000]yyyy-mm-dd")</f>
        <v/>
      </c>
      <c r="C4672" t="inlineStr">
        <is>
          <t>1912-09-06</t>
        </is>
      </c>
    </row>
    <row r="4673">
      <c r="A4673" s="1" t="n">
        <v>4672</v>
      </c>
      <c r="B4673">
        <f>TEXT(4672, "[$-0E0000]yyyy-mm-dd")</f>
        <v/>
      </c>
      <c r="C4673" t="inlineStr">
        <is>
          <t>1912-09-07</t>
        </is>
      </c>
    </row>
    <row r="4674">
      <c r="A4674" s="1" t="n">
        <v>4673</v>
      </c>
      <c r="B4674">
        <f>TEXT(4673, "[$-0E0000]yyyy-mm-dd")</f>
        <v/>
      </c>
      <c r="C4674" t="inlineStr">
        <is>
          <t>1912-09-08</t>
        </is>
      </c>
    </row>
    <row r="4675">
      <c r="A4675" s="1" t="n">
        <v>4674</v>
      </c>
      <c r="B4675">
        <f>TEXT(4674, "[$-0E0000]yyyy-mm-dd")</f>
        <v/>
      </c>
      <c r="C4675" t="inlineStr">
        <is>
          <t>1912-09-09</t>
        </is>
      </c>
    </row>
    <row r="4676">
      <c r="A4676" s="1" t="n">
        <v>4675</v>
      </c>
      <c r="B4676">
        <f>TEXT(4675, "[$-0E0000]yyyy-mm-dd")</f>
        <v/>
      </c>
      <c r="C4676" t="inlineStr">
        <is>
          <t>1912-09-10</t>
        </is>
      </c>
    </row>
    <row r="4677">
      <c r="A4677" s="1" t="n">
        <v>4676</v>
      </c>
      <c r="B4677">
        <f>TEXT(4676, "[$-0E0000]yyyy-mm-dd")</f>
        <v/>
      </c>
      <c r="C4677" t="inlineStr">
        <is>
          <t>1912-09-11</t>
        </is>
      </c>
    </row>
    <row r="4678">
      <c r="A4678" s="1" t="n">
        <v>4677</v>
      </c>
      <c r="B4678">
        <f>TEXT(4677, "[$-0E0000]yyyy-mm-dd")</f>
        <v/>
      </c>
      <c r="C4678" t="inlineStr">
        <is>
          <t>1912-09-12</t>
        </is>
      </c>
    </row>
    <row r="4679">
      <c r="A4679" s="1" t="n">
        <v>4678</v>
      </c>
      <c r="B4679">
        <f>TEXT(4678, "[$-0E0000]yyyy-mm-dd")</f>
        <v/>
      </c>
      <c r="C4679" t="inlineStr">
        <is>
          <t>1912-09-13</t>
        </is>
      </c>
    </row>
    <row r="4680">
      <c r="A4680" s="1" t="n">
        <v>4679</v>
      </c>
      <c r="B4680">
        <f>TEXT(4679, "[$-0E0000]yyyy-mm-dd")</f>
        <v/>
      </c>
      <c r="C4680" t="inlineStr">
        <is>
          <t>1912-09-14</t>
        </is>
      </c>
    </row>
    <row r="4681">
      <c r="A4681" s="1" t="n">
        <v>4680</v>
      </c>
      <c r="B4681">
        <f>TEXT(4680, "[$-0E0000]yyyy-mm-dd")</f>
        <v/>
      </c>
      <c r="C4681" t="inlineStr">
        <is>
          <t>1912-09-15</t>
        </is>
      </c>
    </row>
    <row r="4682">
      <c r="A4682" s="1" t="n">
        <v>4681</v>
      </c>
      <c r="B4682">
        <f>TEXT(4681, "[$-0E0000]yyyy-mm-dd")</f>
        <v/>
      </c>
      <c r="C4682" t="inlineStr">
        <is>
          <t>1912-09-16</t>
        </is>
      </c>
    </row>
    <row r="4683">
      <c r="A4683" s="1" t="n">
        <v>4682</v>
      </c>
      <c r="B4683">
        <f>TEXT(4682, "[$-0E0000]yyyy-mm-dd")</f>
        <v/>
      </c>
      <c r="C4683" t="inlineStr">
        <is>
          <t>1912-09-17</t>
        </is>
      </c>
    </row>
    <row r="4684">
      <c r="A4684" s="1" t="n">
        <v>4683</v>
      </c>
      <c r="B4684">
        <f>TEXT(4683, "[$-0E0000]yyyy-mm-dd")</f>
        <v/>
      </c>
      <c r="C4684" t="inlineStr">
        <is>
          <t>1912-09-18</t>
        </is>
      </c>
    </row>
    <row r="4685">
      <c r="A4685" s="1" t="n">
        <v>4684</v>
      </c>
      <c r="B4685">
        <f>TEXT(4684, "[$-0E0000]yyyy-mm-dd")</f>
        <v/>
      </c>
      <c r="C4685" t="inlineStr">
        <is>
          <t>1912-09-19</t>
        </is>
      </c>
    </row>
    <row r="4686">
      <c r="A4686" s="1" t="n">
        <v>4685</v>
      </c>
      <c r="B4686">
        <f>TEXT(4685, "[$-0E0000]yyyy-mm-dd")</f>
        <v/>
      </c>
      <c r="C4686" t="inlineStr">
        <is>
          <t>1912-09-20</t>
        </is>
      </c>
    </row>
    <row r="4687">
      <c r="A4687" s="1" t="n">
        <v>4686</v>
      </c>
      <c r="B4687">
        <f>TEXT(4686, "[$-0E0000]yyyy-mm-dd")</f>
        <v/>
      </c>
      <c r="C4687" t="inlineStr">
        <is>
          <t>1912-09-21</t>
        </is>
      </c>
    </row>
    <row r="4688">
      <c r="A4688" s="1" t="n">
        <v>4687</v>
      </c>
      <c r="B4688">
        <f>TEXT(4687, "[$-0E0000]yyyy-mm-dd")</f>
        <v/>
      </c>
      <c r="C4688" t="inlineStr">
        <is>
          <t>1912-09-22</t>
        </is>
      </c>
    </row>
    <row r="4689">
      <c r="A4689" s="1" t="n">
        <v>4688</v>
      </c>
      <c r="B4689">
        <f>TEXT(4688, "[$-0E0000]yyyy-mm-dd")</f>
        <v/>
      </c>
      <c r="C4689" t="inlineStr">
        <is>
          <t>1912-09-23</t>
        </is>
      </c>
    </row>
    <row r="4690">
      <c r="A4690" s="1" t="n">
        <v>4689</v>
      </c>
      <c r="B4690">
        <f>TEXT(4689, "[$-0E0000]yyyy-mm-dd")</f>
        <v/>
      </c>
      <c r="C4690" t="inlineStr">
        <is>
          <t>1912-09-24</t>
        </is>
      </c>
    </row>
    <row r="4691">
      <c r="A4691" s="1" t="n">
        <v>4690</v>
      </c>
      <c r="B4691">
        <f>TEXT(4690, "[$-0E0000]yyyy-mm-dd")</f>
        <v/>
      </c>
      <c r="C4691" t="inlineStr">
        <is>
          <t>1912-09-25</t>
        </is>
      </c>
    </row>
    <row r="4692">
      <c r="A4692" s="1" t="n">
        <v>4691</v>
      </c>
      <c r="B4692">
        <f>TEXT(4691, "[$-0E0000]yyyy-mm-dd")</f>
        <v/>
      </c>
      <c r="C4692" t="inlineStr">
        <is>
          <t>1912-09-26</t>
        </is>
      </c>
    </row>
    <row r="4693">
      <c r="A4693" s="1" t="n">
        <v>4692</v>
      </c>
      <c r="B4693">
        <f>TEXT(4692, "[$-0E0000]yyyy-mm-dd")</f>
        <v/>
      </c>
      <c r="C4693" t="inlineStr">
        <is>
          <t>1912-09-27</t>
        </is>
      </c>
    </row>
    <row r="4694">
      <c r="A4694" s="1" t="n">
        <v>4693</v>
      </c>
      <c r="B4694">
        <f>TEXT(4693, "[$-0E0000]yyyy-mm-dd")</f>
        <v/>
      </c>
      <c r="C4694" t="inlineStr">
        <is>
          <t>1912-09-28</t>
        </is>
      </c>
    </row>
    <row r="4695">
      <c r="A4695" s="1" t="n">
        <v>4694</v>
      </c>
      <c r="B4695">
        <f>TEXT(4694, "[$-0E0000]yyyy-mm-dd")</f>
        <v/>
      </c>
      <c r="C4695" t="inlineStr">
        <is>
          <t>1912-09-29</t>
        </is>
      </c>
    </row>
    <row r="4696">
      <c r="A4696" s="1" t="n">
        <v>4695</v>
      </c>
      <c r="B4696">
        <f>TEXT(4695, "[$-0E0000]yyyy-mm-dd")</f>
        <v/>
      </c>
      <c r="C4696" t="inlineStr">
        <is>
          <t>1912-09-30</t>
        </is>
      </c>
    </row>
    <row r="4697">
      <c r="A4697" s="1" t="n">
        <v>4696</v>
      </c>
      <c r="B4697">
        <f>TEXT(4696, "[$-0E0000]yyyy-mm-dd")</f>
        <v/>
      </c>
      <c r="C4697" t="inlineStr">
        <is>
          <t>1912-10-01</t>
        </is>
      </c>
    </row>
    <row r="4698">
      <c r="A4698" s="1" t="n">
        <v>4697</v>
      </c>
      <c r="B4698">
        <f>TEXT(4697, "[$-0E0000]yyyy-mm-dd")</f>
        <v/>
      </c>
      <c r="C4698" t="inlineStr">
        <is>
          <t>1912-10-02</t>
        </is>
      </c>
    </row>
    <row r="4699">
      <c r="A4699" s="1" t="n">
        <v>4698</v>
      </c>
      <c r="B4699">
        <f>TEXT(4698, "[$-0E0000]yyyy-mm-dd")</f>
        <v/>
      </c>
      <c r="C4699" t="inlineStr">
        <is>
          <t>1912-10-03</t>
        </is>
      </c>
    </row>
    <row r="4700">
      <c r="A4700" s="1" t="n">
        <v>4699</v>
      </c>
      <c r="B4700">
        <f>TEXT(4699, "[$-0E0000]yyyy-mm-dd")</f>
        <v/>
      </c>
      <c r="C4700" t="inlineStr">
        <is>
          <t>1912-10-04</t>
        </is>
      </c>
    </row>
    <row r="4701">
      <c r="A4701" s="1" t="n">
        <v>4700</v>
      </c>
      <c r="B4701">
        <f>TEXT(4700, "[$-0E0000]yyyy-mm-dd")</f>
        <v/>
      </c>
      <c r="C4701" t="inlineStr">
        <is>
          <t>1912-10-05</t>
        </is>
      </c>
    </row>
    <row r="4702">
      <c r="A4702" s="1" t="n">
        <v>4701</v>
      </c>
      <c r="B4702">
        <f>TEXT(4701, "[$-0E0000]yyyy-mm-dd")</f>
        <v/>
      </c>
      <c r="C4702" t="inlineStr">
        <is>
          <t>1912-10-06</t>
        </is>
      </c>
    </row>
    <row r="4703">
      <c r="A4703" s="1" t="n">
        <v>4702</v>
      </c>
      <c r="B4703">
        <f>TEXT(4702, "[$-0E0000]yyyy-mm-dd")</f>
        <v/>
      </c>
      <c r="C4703" t="inlineStr">
        <is>
          <t>1912-10-07</t>
        </is>
      </c>
    </row>
    <row r="4704">
      <c r="A4704" s="1" t="n">
        <v>4703</v>
      </c>
      <c r="B4704">
        <f>TEXT(4703, "[$-0E0000]yyyy-mm-dd")</f>
        <v/>
      </c>
      <c r="C4704" t="inlineStr">
        <is>
          <t>1912-10-08</t>
        </is>
      </c>
    </row>
    <row r="4705">
      <c r="A4705" s="1" t="n">
        <v>4704</v>
      </c>
      <c r="B4705">
        <f>TEXT(4704, "[$-0E0000]yyyy-mm-dd")</f>
        <v/>
      </c>
      <c r="C4705" t="inlineStr">
        <is>
          <t>1912-10-09</t>
        </is>
      </c>
    </row>
    <row r="4706">
      <c r="A4706" s="1" t="n">
        <v>4705</v>
      </c>
      <c r="B4706">
        <f>TEXT(4705, "[$-0E0000]yyyy-mm-dd")</f>
        <v/>
      </c>
      <c r="C4706" t="inlineStr">
        <is>
          <t>1912-10-10</t>
        </is>
      </c>
    </row>
    <row r="4707">
      <c r="A4707" s="1" t="n">
        <v>4706</v>
      </c>
      <c r="B4707">
        <f>TEXT(4706, "[$-0E0000]yyyy-mm-dd")</f>
        <v/>
      </c>
      <c r="C4707" t="inlineStr">
        <is>
          <t>1912-10-11</t>
        </is>
      </c>
    </row>
    <row r="4708">
      <c r="A4708" s="1" t="n">
        <v>4707</v>
      </c>
      <c r="B4708">
        <f>TEXT(4707, "[$-0E0000]yyyy-mm-dd")</f>
        <v/>
      </c>
      <c r="C4708" t="inlineStr">
        <is>
          <t>1912-10-12</t>
        </is>
      </c>
    </row>
    <row r="4709">
      <c r="A4709" s="1" t="n">
        <v>4708</v>
      </c>
      <c r="B4709">
        <f>TEXT(4708, "[$-0E0000]yyyy-mm-dd")</f>
        <v/>
      </c>
      <c r="C4709" t="inlineStr">
        <is>
          <t>1912-10-13</t>
        </is>
      </c>
    </row>
    <row r="4710">
      <c r="A4710" s="1" t="n">
        <v>4709</v>
      </c>
      <c r="B4710">
        <f>TEXT(4709, "[$-0E0000]yyyy-mm-dd")</f>
        <v/>
      </c>
      <c r="C4710" t="inlineStr">
        <is>
          <t>1912-10-14</t>
        </is>
      </c>
    </row>
    <row r="4711">
      <c r="A4711" s="1" t="n">
        <v>4710</v>
      </c>
      <c r="B4711">
        <f>TEXT(4710, "[$-0E0000]yyyy-mm-dd")</f>
        <v/>
      </c>
      <c r="C4711" t="inlineStr">
        <is>
          <t>1912-10-15</t>
        </is>
      </c>
    </row>
    <row r="4712">
      <c r="A4712" s="1" t="n">
        <v>4711</v>
      </c>
      <c r="B4712">
        <f>TEXT(4711, "[$-0E0000]yyyy-mm-dd")</f>
        <v/>
      </c>
      <c r="C4712" t="inlineStr">
        <is>
          <t>1912-10-16</t>
        </is>
      </c>
    </row>
    <row r="4713">
      <c r="A4713" s="1" t="n">
        <v>4712</v>
      </c>
      <c r="B4713">
        <f>TEXT(4712, "[$-0E0000]yyyy-mm-dd")</f>
        <v/>
      </c>
      <c r="C4713" t="inlineStr">
        <is>
          <t>1912-10-17</t>
        </is>
      </c>
    </row>
    <row r="4714">
      <c r="A4714" s="1" t="n">
        <v>4713</v>
      </c>
      <c r="B4714">
        <f>TEXT(4713, "[$-0E0000]yyyy-mm-dd")</f>
        <v/>
      </c>
      <c r="C4714" t="inlineStr">
        <is>
          <t>1912-10-18</t>
        </is>
      </c>
    </row>
    <row r="4715">
      <c r="A4715" s="1" t="n">
        <v>4714</v>
      </c>
      <c r="B4715">
        <f>TEXT(4714, "[$-0E0000]yyyy-mm-dd")</f>
        <v/>
      </c>
      <c r="C4715" t="inlineStr">
        <is>
          <t>1912-10-19</t>
        </is>
      </c>
    </row>
    <row r="4716">
      <c r="A4716" s="1" t="n">
        <v>4715</v>
      </c>
      <c r="B4716">
        <f>TEXT(4715, "[$-0E0000]yyyy-mm-dd")</f>
        <v/>
      </c>
      <c r="C4716" t="inlineStr">
        <is>
          <t>1912-10-20</t>
        </is>
      </c>
    </row>
    <row r="4717">
      <c r="A4717" s="1" t="n">
        <v>4716</v>
      </c>
      <c r="B4717">
        <f>TEXT(4716, "[$-0E0000]yyyy-mm-dd")</f>
        <v/>
      </c>
      <c r="C4717" t="inlineStr">
        <is>
          <t>1912-10-21</t>
        </is>
      </c>
    </row>
    <row r="4718">
      <c r="A4718" s="1" t="n">
        <v>4717</v>
      </c>
      <c r="B4718">
        <f>TEXT(4717, "[$-0E0000]yyyy-mm-dd")</f>
        <v/>
      </c>
      <c r="C4718" t="inlineStr">
        <is>
          <t>1912-10-22</t>
        </is>
      </c>
    </row>
    <row r="4719">
      <c r="A4719" s="1" t="n">
        <v>4718</v>
      </c>
      <c r="B4719">
        <f>TEXT(4718, "[$-0E0000]yyyy-mm-dd")</f>
        <v/>
      </c>
      <c r="C4719" t="inlineStr">
        <is>
          <t>1912-10-23</t>
        </is>
      </c>
    </row>
    <row r="4720">
      <c r="A4720" s="1" t="n">
        <v>4719</v>
      </c>
      <c r="B4720">
        <f>TEXT(4719, "[$-0E0000]yyyy-mm-dd")</f>
        <v/>
      </c>
      <c r="C4720" t="inlineStr">
        <is>
          <t>1912-10-24</t>
        </is>
      </c>
    </row>
    <row r="4721">
      <c r="A4721" s="1" t="n">
        <v>4720</v>
      </c>
      <c r="B4721">
        <f>TEXT(4720, "[$-0E0000]yyyy-mm-dd")</f>
        <v/>
      </c>
      <c r="C4721" t="inlineStr">
        <is>
          <t>1912-10-25</t>
        </is>
      </c>
    </row>
    <row r="4722">
      <c r="A4722" s="1" t="n">
        <v>4721</v>
      </c>
      <c r="B4722">
        <f>TEXT(4721, "[$-0E0000]yyyy-mm-dd")</f>
        <v/>
      </c>
      <c r="C4722" t="inlineStr">
        <is>
          <t>1912-10-26</t>
        </is>
      </c>
    </row>
    <row r="4723">
      <c r="A4723" s="1" t="n">
        <v>4722</v>
      </c>
      <c r="B4723">
        <f>TEXT(4722, "[$-0E0000]yyyy-mm-dd")</f>
        <v/>
      </c>
      <c r="C4723" t="inlineStr">
        <is>
          <t>1912-10-27</t>
        </is>
      </c>
    </row>
    <row r="4724">
      <c r="A4724" s="1" t="n">
        <v>4723</v>
      </c>
      <c r="B4724">
        <f>TEXT(4723, "[$-0E0000]yyyy-mm-dd")</f>
        <v/>
      </c>
      <c r="C4724" t="inlineStr">
        <is>
          <t>1912-10-28</t>
        </is>
      </c>
    </row>
    <row r="4725">
      <c r="A4725" s="1" t="n">
        <v>4724</v>
      </c>
      <c r="B4725">
        <f>TEXT(4724, "[$-0E0000]yyyy-mm-dd")</f>
        <v/>
      </c>
      <c r="C4725" t="inlineStr">
        <is>
          <t>1912-10-29</t>
        </is>
      </c>
    </row>
    <row r="4726">
      <c r="A4726" s="1" t="n">
        <v>4725</v>
      </c>
      <c r="B4726">
        <f>TEXT(4725, "[$-0E0000]yyyy-mm-dd")</f>
        <v/>
      </c>
      <c r="C4726" t="inlineStr">
        <is>
          <t>1912-10-30</t>
        </is>
      </c>
    </row>
    <row r="4727">
      <c r="A4727" s="1" t="n">
        <v>4726</v>
      </c>
      <c r="B4727">
        <f>TEXT(4726, "[$-0E0000]yyyy-mm-dd")</f>
        <v/>
      </c>
      <c r="C4727" t="inlineStr">
        <is>
          <t>1912-11-01</t>
        </is>
      </c>
    </row>
    <row r="4728">
      <c r="A4728" s="1" t="n">
        <v>4727</v>
      </c>
      <c r="B4728">
        <f>TEXT(4727, "[$-0E0000]yyyy-mm-dd")</f>
        <v/>
      </c>
      <c r="C4728" t="inlineStr">
        <is>
          <t>1912-11-02</t>
        </is>
      </c>
    </row>
    <row r="4729">
      <c r="A4729" s="1" t="n">
        <v>4728</v>
      </c>
      <c r="B4729">
        <f>TEXT(4728, "[$-0E0000]yyyy-mm-dd")</f>
        <v/>
      </c>
      <c r="C4729" t="inlineStr">
        <is>
          <t>1912-11-03</t>
        </is>
      </c>
    </row>
    <row r="4730">
      <c r="A4730" s="1" t="n">
        <v>4729</v>
      </c>
      <c r="B4730">
        <f>TEXT(4729, "[$-0E0000]yyyy-mm-dd")</f>
        <v/>
      </c>
      <c r="C4730" t="inlineStr">
        <is>
          <t>1912-11-04</t>
        </is>
      </c>
    </row>
    <row r="4731">
      <c r="A4731" s="1" t="n">
        <v>4730</v>
      </c>
      <c r="B4731">
        <f>TEXT(4730, "[$-0E0000]yyyy-mm-dd")</f>
        <v/>
      </c>
      <c r="C4731" t="inlineStr">
        <is>
          <t>1912-11-05</t>
        </is>
      </c>
    </row>
    <row r="4732">
      <c r="A4732" s="1" t="n">
        <v>4731</v>
      </c>
      <c r="B4732">
        <f>TEXT(4731, "[$-0E0000]yyyy-mm-dd")</f>
        <v/>
      </c>
      <c r="C4732" t="inlineStr">
        <is>
          <t>1912-11-06</t>
        </is>
      </c>
    </row>
    <row r="4733">
      <c r="A4733" s="1" t="n">
        <v>4732</v>
      </c>
      <c r="B4733">
        <f>TEXT(4732, "[$-0E0000]yyyy-mm-dd")</f>
        <v/>
      </c>
      <c r="C4733" t="inlineStr">
        <is>
          <t>1912-11-07</t>
        </is>
      </c>
    </row>
    <row r="4734">
      <c r="A4734" s="1" t="n">
        <v>4733</v>
      </c>
      <c r="B4734">
        <f>TEXT(4733, "[$-0E0000]yyyy-mm-dd")</f>
        <v/>
      </c>
      <c r="C4734" t="inlineStr">
        <is>
          <t>1912-11-08</t>
        </is>
      </c>
    </row>
    <row r="4735">
      <c r="A4735" s="1" t="n">
        <v>4734</v>
      </c>
      <c r="B4735">
        <f>TEXT(4734, "[$-0E0000]yyyy-mm-dd")</f>
        <v/>
      </c>
      <c r="C4735" t="inlineStr">
        <is>
          <t>1912-11-09</t>
        </is>
      </c>
    </row>
    <row r="4736">
      <c r="A4736" s="1" t="n">
        <v>4735</v>
      </c>
      <c r="B4736">
        <f>TEXT(4735, "[$-0E0000]yyyy-mm-dd")</f>
        <v/>
      </c>
      <c r="C4736" t="inlineStr">
        <is>
          <t>1912-11-10</t>
        </is>
      </c>
    </row>
    <row r="4737">
      <c r="A4737" s="1" t="n">
        <v>4736</v>
      </c>
      <c r="B4737">
        <f>TEXT(4736, "[$-0E0000]yyyy-mm-dd")</f>
        <v/>
      </c>
      <c r="C4737" t="inlineStr">
        <is>
          <t>1912-11-11</t>
        </is>
      </c>
    </row>
    <row r="4738">
      <c r="A4738" s="1" t="n">
        <v>4737</v>
      </c>
      <c r="B4738">
        <f>TEXT(4737, "[$-0E0000]yyyy-mm-dd")</f>
        <v/>
      </c>
      <c r="C4738" t="inlineStr">
        <is>
          <t>1912-11-12</t>
        </is>
      </c>
    </row>
    <row r="4739">
      <c r="A4739" s="1" t="n">
        <v>4738</v>
      </c>
      <c r="B4739">
        <f>TEXT(4738, "[$-0E0000]yyyy-mm-dd")</f>
        <v/>
      </c>
      <c r="C4739" t="inlineStr">
        <is>
          <t>1912-11-13</t>
        </is>
      </c>
    </row>
    <row r="4740">
      <c r="A4740" s="1" t="n">
        <v>4739</v>
      </c>
      <c r="B4740">
        <f>TEXT(4739, "[$-0E0000]yyyy-mm-dd")</f>
        <v/>
      </c>
      <c r="C4740" t="inlineStr">
        <is>
          <t>1912-11-14</t>
        </is>
      </c>
    </row>
    <row r="4741">
      <c r="A4741" s="1" t="n">
        <v>4740</v>
      </c>
      <c r="B4741">
        <f>TEXT(4740, "[$-0E0000]yyyy-mm-dd")</f>
        <v/>
      </c>
      <c r="C4741" t="inlineStr">
        <is>
          <t>1912-11-15</t>
        </is>
      </c>
    </row>
    <row r="4742">
      <c r="A4742" s="1" t="n">
        <v>4741</v>
      </c>
      <c r="B4742">
        <f>TEXT(4741, "[$-0E0000]yyyy-mm-dd")</f>
        <v/>
      </c>
      <c r="C4742" t="inlineStr">
        <is>
          <t>1912-11-16</t>
        </is>
      </c>
    </row>
    <row r="4743">
      <c r="A4743" s="1" t="n">
        <v>4742</v>
      </c>
      <c r="B4743">
        <f>TEXT(4742, "[$-0E0000]yyyy-mm-dd")</f>
        <v/>
      </c>
      <c r="C4743" t="inlineStr">
        <is>
          <t>1912-11-17</t>
        </is>
      </c>
    </row>
    <row r="4744">
      <c r="A4744" s="1" t="n">
        <v>4743</v>
      </c>
      <c r="B4744">
        <f>TEXT(4743, "[$-0E0000]yyyy-mm-dd")</f>
        <v/>
      </c>
      <c r="C4744" t="inlineStr">
        <is>
          <t>1912-11-18</t>
        </is>
      </c>
    </row>
    <row r="4745">
      <c r="A4745" s="1" t="n">
        <v>4744</v>
      </c>
      <c r="B4745">
        <f>TEXT(4744, "[$-0E0000]yyyy-mm-dd")</f>
        <v/>
      </c>
      <c r="C4745" t="inlineStr">
        <is>
          <t>1912-11-19</t>
        </is>
      </c>
    </row>
    <row r="4746">
      <c r="A4746" s="1" t="n">
        <v>4745</v>
      </c>
      <c r="B4746">
        <f>TEXT(4745, "[$-0E0000]yyyy-mm-dd")</f>
        <v/>
      </c>
      <c r="C4746" t="inlineStr">
        <is>
          <t>1912-11-20</t>
        </is>
      </c>
    </row>
    <row r="4747">
      <c r="A4747" s="1" t="n">
        <v>4746</v>
      </c>
      <c r="B4747">
        <f>TEXT(4746, "[$-0E0000]yyyy-mm-dd")</f>
        <v/>
      </c>
      <c r="C4747" t="inlineStr">
        <is>
          <t>1912-11-21</t>
        </is>
      </c>
    </row>
    <row r="4748">
      <c r="A4748" s="1" t="n">
        <v>4747</v>
      </c>
      <c r="B4748">
        <f>TEXT(4747, "[$-0E0000]yyyy-mm-dd")</f>
        <v/>
      </c>
      <c r="C4748" t="inlineStr">
        <is>
          <t>1912-11-22</t>
        </is>
      </c>
    </row>
    <row r="4749">
      <c r="A4749" s="1" t="n">
        <v>4748</v>
      </c>
      <c r="B4749">
        <f>TEXT(4748, "[$-0E0000]yyyy-mm-dd")</f>
        <v/>
      </c>
      <c r="C4749" t="inlineStr">
        <is>
          <t>1912-11-23</t>
        </is>
      </c>
    </row>
    <row r="4750">
      <c r="A4750" s="1" t="n">
        <v>4749</v>
      </c>
      <c r="B4750">
        <f>TEXT(4749, "[$-0E0000]yyyy-mm-dd")</f>
        <v/>
      </c>
      <c r="C4750" t="inlineStr">
        <is>
          <t>1912-11-24</t>
        </is>
      </c>
    </row>
    <row r="4751">
      <c r="A4751" s="1" t="n">
        <v>4750</v>
      </c>
      <c r="B4751">
        <f>TEXT(4750, "[$-0E0000]yyyy-mm-dd")</f>
        <v/>
      </c>
      <c r="C4751" t="inlineStr">
        <is>
          <t>1912-11-25</t>
        </is>
      </c>
    </row>
    <row r="4752">
      <c r="A4752" s="1" t="n">
        <v>4751</v>
      </c>
      <c r="B4752">
        <f>TEXT(4751, "[$-0E0000]yyyy-mm-dd")</f>
        <v/>
      </c>
      <c r="C4752" t="inlineStr">
        <is>
          <t>1912-11-26</t>
        </is>
      </c>
    </row>
    <row r="4753">
      <c r="A4753" s="1" t="n">
        <v>4752</v>
      </c>
      <c r="B4753">
        <f>TEXT(4752, "[$-0E0000]yyyy-mm-dd")</f>
        <v/>
      </c>
      <c r="C4753" t="inlineStr">
        <is>
          <t>1912-11-27</t>
        </is>
      </c>
    </row>
    <row r="4754">
      <c r="A4754" s="1" t="n">
        <v>4753</v>
      </c>
      <c r="B4754">
        <f>TEXT(4753, "[$-0E0000]yyyy-mm-dd")</f>
        <v/>
      </c>
      <c r="C4754" t="inlineStr">
        <is>
          <t>1912-11-28</t>
        </is>
      </c>
    </row>
    <row r="4755">
      <c r="A4755" s="1" t="n">
        <v>4754</v>
      </c>
      <c r="B4755">
        <f>TEXT(4754, "[$-0E0000]yyyy-mm-dd")</f>
        <v/>
      </c>
      <c r="C4755" t="inlineStr">
        <is>
          <t>1912-11-29</t>
        </is>
      </c>
    </row>
    <row r="4756">
      <c r="A4756" s="1" t="n">
        <v>4755</v>
      </c>
      <c r="B4756">
        <f>TEXT(4755, "[$-0E0000]yyyy-mm-dd")</f>
        <v/>
      </c>
      <c r="C4756" t="inlineStr">
        <is>
          <t>1912-12-01</t>
        </is>
      </c>
    </row>
    <row r="4757">
      <c r="A4757" s="1" t="n">
        <v>4756</v>
      </c>
      <c r="B4757">
        <f>TEXT(4756, "[$-0E0000]yyyy-mm-dd")</f>
        <v/>
      </c>
      <c r="C4757" t="inlineStr">
        <is>
          <t>1912-12-02</t>
        </is>
      </c>
    </row>
    <row r="4758">
      <c r="A4758" s="1" t="n">
        <v>4757</v>
      </c>
      <c r="B4758">
        <f>TEXT(4757, "[$-0E0000]yyyy-mm-dd")</f>
        <v/>
      </c>
      <c r="C4758" t="inlineStr">
        <is>
          <t>1912-12-03</t>
        </is>
      </c>
    </row>
    <row r="4759">
      <c r="A4759" s="1" t="n">
        <v>4758</v>
      </c>
      <c r="B4759">
        <f>TEXT(4758, "[$-0E0000]yyyy-mm-dd")</f>
        <v/>
      </c>
      <c r="C4759" t="inlineStr">
        <is>
          <t>1912-12-04</t>
        </is>
      </c>
    </row>
    <row r="4760">
      <c r="A4760" s="1" t="n">
        <v>4759</v>
      </c>
      <c r="B4760">
        <f>TEXT(4759, "[$-0E0000]yyyy-mm-dd")</f>
        <v/>
      </c>
      <c r="C4760" t="inlineStr">
        <is>
          <t>1912-12-05</t>
        </is>
      </c>
    </row>
    <row r="4761">
      <c r="A4761" s="1" t="n">
        <v>4760</v>
      </c>
      <c r="B4761">
        <f>TEXT(4760, "[$-0E0000]yyyy-mm-dd")</f>
        <v/>
      </c>
      <c r="C4761" t="inlineStr">
        <is>
          <t>1912-12-06</t>
        </is>
      </c>
    </row>
    <row r="4762">
      <c r="A4762" s="1" t="n">
        <v>4761</v>
      </c>
      <c r="B4762">
        <f>TEXT(4761, "[$-0E0000]yyyy-mm-dd")</f>
        <v/>
      </c>
      <c r="C4762" t="inlineStr">
        <is>
          <t>1912-12-07</t>
        </is>
      </c>
    </row>
    <row r="4763">
      <c r="A4763" s="1" t="n">
        <v>4762</v>
      </c>
      <c r="B4763">
        <f>TEXT(4762, "[$-0E0000]yyyy-mm-dd")</f>
        <v/>
      </c>
      <c r="C4763" t="inlineStr">
        <is>
          <t>1912-12-08</t>
        </is>
      </c>
    </row>
    <row r="4764">
      <c r="A4764" s="1" t="n">
        <v>4763</v>
      </c>
      <c r="B4764">
        <f>TEXT(4763, "[$-0E0000]yyyy-mm-dd")</f>
        <v/>
      </c>
      <c r="C4764" t="inlineStr">
        <is>
          <t>1912-12-09</t>
        </is>
      </c>
    </row>
    <row r="4765">
      <c r="A4765" s="1" t="n">
        <v>4764</v>
      </c>
      <c r="B4765">
        <f>TEXT(4764, "[$-0E0000]yyyy-mm-dd")</f>
        <v/>
      </c>
      <c r="C4765" t="inlineStr">
        <is>
          <t>1912-12-10</t>
        </is>
      </c>
    </row>
    <row r="4766">
      <c r="A4766" s="1" t="n">
        <v>4765</v>
      </c>
      <c r="B4766">
        <f>TEXT(4765, "[$-0E0000]yyyy-mm-dd")</f>
        <v/>
      </c>
      <c r="C4766" t="inlineStr">
        <is>
          <t>1912-12-11</t>
        </is>
      </c>
    </row>
    <row r="4767">
      <c r="A4767" s="1" t="n">
        <v>4766</v>
      </c>
      <c r="B4767">
        <f>TEXT(4766, "[$-0E0000]yyyy-mm-dd")</f>
        <v/>
      </c>
      <c r="C4767" t="inlineStr">
        <is>
          <t>1912-12-12</t>
        </is>
      </c>
    </row>
    <row r="4768">
      <c r="A4768" s="1" t="n">
        <v>4767</v>
      </c>
      <c r="B4768">
        <f>TEXT(4767, "[$-0E0000]yyyy-mm-dd")</f>
        <v/>
      </c>
      <c r="C4768" t="inlineStr">
        <is>
          <t>1912-12-13</t>
        </is>
      </c>
    </row>
    <row r="4769">
      <c r="A4769" s="1" t="n">
        <v>4768</v>
      </c>
      <c r="B4769">
        <f>TEXT(4768, "[$-0E0000]yyyy-mm-dd")</f>
        <v/>
      </c>
      <c r="C4769" t="inlineStr">
        <is>
          <t>1912-12-14</t>
        </is>
      </c>
    </row>
    <row r="4770">
      <c r="A4770" s="1" t="n">
        <v>4769</v>
      </c>
      <c r="B4770">
        <f>TEXT(4769, "[$-0E0000]yyyy-mm-dd")</f>
        <v/>
      </c>
      <c r="C4770" t="inlineStr">
        <is>
          <t>1912-12-15</t>
        </is>
      </c>
    </row>
    <row r="4771">
      <c r="A4771" s="1" t="n">
        <v>4770</v>
      </c>
      <c r="B4771">
        <f>TEXT(4770, "[$-0E0000]yyyy-mm-dd")</f>
        <v/>
      </c>
      <c r="C4771" t="inlineStr">
        <is>
          <t>1912-12-16</t>
        </is>
      </c>
    </row>
    <row r="4772">
      <c r="A4772" s="1" t="n">
        <v>4771</v>
      </c>
      <c r="B4772">
        <f>TEXT(4771, "[$-0E0000]yyyy-mm-dd")</f>
        <v/>
      </c>
      <c r="C4772" t="inlineStr">
        <is>
          <t>1912-12-17</t>
        </is>
      </c>
    </row>
    <row r="4773">
      <c r="A4773" s="1" t="n">
        <v>4772</v>
      </c>
      <c r="B4773">
        <f>TEXT(4772, "[$-0E0000]yyyy-mm-dd")</f>
        <v/>
      </c>
      <c r="C4773" t="inlineStr">
        <is>
          <t>1912-12-18</t>
        </is>
      </c>
    </row>
    <row r="4774">
      <c r="A4774" s="1" t="n">
        <v>4773</v>
      </c>
      <c r="B4774">
        <f>TEXT(4773, "[$-0E0000]yyyy-mm-dd")</f>
        <v/>
      </c>
      <c r="C4774" t="inlineStr">
        <is>
          <t>1912-12-19</t>
        </is>
      </c>
    </row>
    <row r="4775">
      <c r="A4775" s="1" t="n">
        <v>4774</v>
      </c>
      <c r="B4775">
        <f>TEXT(4774, "[$-0E0000]yyyy-mm-dd")</f>
        <v/>
      </c>
      <c r="C4775" t="inlineStr">
        <is>
          <t>1912-12-20</t>
        </is>
      </c>
    </row>
    <row r="4776">
      <c r="A4776" s="1" t="n">
        <v>4775</v>
      </c>
      <c r="B4776">
        <f>TEXT(4775, "[$-0E0000]yyyy-mm-dd")</f>
        <v/>
      </c>
      <c r="C4776" t="inlineStr">
        <is>
          <t>1912-12-21</t>
        </is>
      </c>
    </row>
    <row r="4777">
      <c r="A4777" s="1" t="n">
        <v>4776</v>
      </c>
      <c r="B4777">
        <f>TEXT(4776, "[$-0E0000]yyyy-mm-dd")</f>
        <v/>
      </c>
      <c r="C4777" t="inlineStr">
        <is>
          <t>1912-12-22</t>
        </is>
      </c>
    </row>
    <row r="4778">
      <c r="A4778" s="1" t="n">
        <v>4777</v>
      </c>
      <c r="B4778">
        <f>TEXT(4777, "[$-0E0000]yyyy-mm-dd")</f>
        <v/>
      </c>
      <c r="C4778" t="inlineStr">
        <is>
          <t>1912-12-23</t>
        </is>
      </c>
    </row>
    <row r="4779">
      <c r="A4779" s="1" t="n">
        <v>4778</v>
      </c>
      <c r="B4779">
        <f>TEXT(4778, "[$-0E0000]yyyy-mm-dd")</f>
        <v/>
      </c>
      <c r="C4779" t="inlineStr">
        <is>
          <t>1912-12-24</t>
        </is>
      </c>
    </row>
    <row r="4780">
      <c r="A4780" s="1" t="n">
        <v>4779</v>
      </c>
      <c r="B4780">
        <f>TEXT(4779, "[$-0E0000]yyyy-mm-dd")</f>
        <v/>
      </c>
      <c r="C4780" t="inlineStr">
        <is>
          <t>1912-12-25</t>
        </is>
      </c>
    </row>
    <row r="4781">
      <c r="A4781" s="1" t="n">
        <v>4780</v>
      </c>
      <c r="B4781">
        <f>TEXT(4780, "[$-0E0000]yyyy-mm-dd")</f>
        <v/>
      </c>
      <c r="C4781" t="inlineStr">
        <is>
          <t>1912-12-26</t>
        </is>
      </c>
    </row>
    <row r="4782">
      <c r="A4782" s="1" t="n">
        <v>4781</v>
      </c>
      <c r="B4782">
        <f>TEXT(4781, "[$-0E0000]yyyy-mm-dd")</f>
        <v/>
      </c>
      <c r="C4782" t="inlineStr">
        <is>
          <t>1912-12-27</t>
        </is>
      </c>
    </row>
    <row r="4783">
      <c r="A4783" s="1" t="n">
        <v>4782</v>
      </c>
      <c r="B4783">
        <f>TEXT(4782, "[$-0E0000]yyyy-mm-dd")</f>
        <v/>
      </c>
      <c r="C4783" t="inlineStr">
        <is>
          <t>1912-12-28</t>
        </is>
      </c>
    </row>
    <row r="4784">
      <c r="A4784" s="1" t="n">
        <v>4783</v>
      </c>
      <c r="B4784">
        <f>TEXT(4783, "[$-0E0000]yyyy-mm-dd")</f>
        <v/>
      </c>
      <c r="C4784" t="inlineStr">
        <is>
          <t>1912-12-29</t>
        </is>
      </c>
    </row>
    <row r="4785">
      <c r="A4785" s="1" t="n">
        <v>4784</v>
      </c>
      <c r="B4785">
        <f>TEXT(4784, "[$-0E0000]yyyy-mm-dd")</f>
        <v/>
      </c>
      <c r="C4785" t="inlineStr">
        <is>
          <t>1912-12-30</t>
        </is>
      </c>
    </row>
    <row r="4786">
      <c r="A4786" s="1" t="n">
        <v>4785</v>
      </c>
      <c r="B4786">
        <f>TEXT(4785, "[$-0E0000]yyyy-mm-dd")</f>
        <v/>
      </c>
      <c r="C4786" t="inlineStr">
        <is>
          <t>1913-01-01</t>
        </is>
      </c>
    </row>
    <row r="4787">
      <c r="A4787" s="1" t="n">
        <v>4786</v>
      </c>
      <c r="B4787">
        <f>TEXT(4786, "[$-0E0000]yyyy-mm-dd")</f>
        <v/>
      </c>
      <c r="C4787" t="inlineStr">
        <is>
          <t>1913-01-02</t>
        </is>
      </c>
    </row>
    <row r="4788">
      <c r="A4788" s="1" t="n">
        <v>4787</v>
      </c>
      <c r="B4788">
        <f>TEXT(4787, "[$-0E0000]yyyy-mm-dd")</f>
        <v/>
      </c>
      <c r="C4788" t="inlineStr">
        <is>
          <t>1913-01-03</t>
        </is>
      </c>
    </row>
    <row r="4789">
      <c r="A4789" s="1" t="n">
        <v>4788</v>
      </c>
      <c r="B4789">
        <f>TEXT(4788, "[$-0E0000]yyyy-mm-dd")</f>
        <v/>
      </c>
      <c r="C4789" t="inlineStr">
        <is>
          <t>1913-01-04</t>
        </is>
      </c>
    </row>
    <row r="4790">
      <c r="A4790" s="1" t="n">
        <v>4789</v>
      </c>
      <c r="B4790">
        <f>TEXT(4789, "[$-0E0000]yyyy-mm-dd")</f>
        <v/>
      </c>
      <c r="C4790" t="inlineStr">
        <is>
          <t>1913-01-05</t>
        </is>
      </c>
    </row>
    <row r="4791">
      <c r="A4791" s="1" t="n">
        <v>4790</v>
      </c>
      <c r="B4791">
        <f>TEXT(4790, "[$-0E0000]yyyy-mm-dd")</f>
        <v/>
      </c>
      <c r="C4791" t="inlineStr">
        <is>
          <t>1913-01-06</t>
        </is>
      </c>
    </row>
    <row r="4792">
      <c r="A4792" s="1" t="n">
        <v>4791</v>
      </c>
      <c r="B4792">
        <f>TEXT(4791, "[$-0E0000]yyyy-mm-dd")</f>
        <v/>
      </c>
      <c r="C4792" t="inlineStr">
        <is>
          <t>1913-01-07</t>
        </is>
      </c>
    </row>
    <row r="4793">
      <c r="A4793" s="1" t="n">
        <v>4792</v>
      </c>
      <c r="B4793">
        <f>TEXT(4792, "[$-0E0000]yyyy-mm-dd")</f>
        <v/>
      </c>
      <c r="C4793" t="inlineStr">
        <is>
          <t>1913-01-08</t>
        </is>
      </c>
    </row>
    <row r="4794">
      <c r="A4794" s="1" t="n">
        <v>4793</v>
      </c>
      <c r="B4794">
        <f>TEXT(4793, "[$-0E0000]yyyy-mm-dd")</f>
        <v/>
      </c>
      <c r="C4794" t="inlineStr">
        <is>
          <t>1913-01-09</t>
        </is>
      </c>
    </row>
    <row r="4795">
      <c r="A4795" s="1" t="n">
        <v>4794</v>
      </c>
      <c r="B4795">
        <f>TEXT(4794, "[$-0E0000]yyyy-mm-dd")</f>
        <v/>
      </c>
      <c r="C4795" t="inlineStr">
        <is>
          <t>1913-01-10</t>
        </is>
      </c>
    </row>
    <row r="4796">
      <c r="A4796" s="1" t="n">
        <v>4795</v>
      </c>
      <c r="B4796">
        <f>TEXT(4795, "[$-0E0000]yyyy-mm-dd")</f>
        <v/>
      </c>
      <c r="C4796" t="inlineStr">
        <is>
          <t>1913-01-11</t>
        </is>
      </c>
    </row>
    <row r="4797">
      <c r="A4797" s="1" t="n">
        <v>4796</v>
      </c>
      <c r="B4797">
        <f>TEXT(4796, "[$-0E0000]yyyy-mm-dd")</f>
        <v/>
      </c>
      <c r="C4797" t="inlineStr">
        <is>
          <t>1913-01-12</t>
        </is>
      </c>
    </row>
    <row r="4798">
      <c r="A4798" s="1" t="n">
        <v>4797</v>
      </c>
      <c r="B4798">
        <f>TEXT(4797, "[$-0E0000]yyyy-mm-dd")</f>
        <v/>
      </c>
      <c r="C4798" t="inlineStr">
        <is>
          <t>1913-01-13</t>
        </is>
      </c>
    </row>
    <row r="4799">
      <c r="A4799" s="1" t="n">
        <v>4798</v>
      </c>
      <c r="B4799">
        <f>TEXT(4798, "[$-0E0000]yyyy-mm-dd")</f>
        <v/>
      </c>
      <c r="C4799" t="inlineStr">
        <is>
          <t>1913-01-14</t>
        </is>
      </c>
    </row>
    <row r="4800">
      <c r="A4800" s="1" t="n">
        <v>4799</v>
      </c>
      <c r="B4800">
        <f>TEXT(4799, "[$-0E0000]yyyy-mm-dd")</f>
        <v/>
      </c>
      <c r="C4800" t="inlineStr">
        <is>
          <t>1913-01-15</t>
        </is>
      </c>
    </row>
    <row r="4801">
      <c r="A4801" s="1" t="n">
        <v>4800</v>
      </c>
      <c r="B4801">
        <f>TEXT(4800, "[$-0E0000]yyyy-mm-dd")</f>
        <v/>
      </c>
      <c r="C4801" t="inlineStr">
        <is>
          <t>1913-01-16</t>
        </is>
      </c>
    </row>
    <row r="4802">
      <c r="A4802" s="1" t="n">
        <v>4801</v>
      </c>
      <c r="B4802">
        <f>TEXT(4801, "[$-0E0000]yyyy-mm-dd")</f>
        <v/>
      </c>
      <c r="C4802" t="inlineStr">
        <is>
          <t>1913-01-17</t>
        </is>
      </c>
    </row>
    <row r="4803">
      <c r="A4803" s="1" t="n">
        <v>4802</v>
      </c>
      <c r="B4803">
        <f>TEXT(4802, "[$-0E0000]yyyy-mm-dd")</f>
        <v/>
      </c>
      <c r="C4803" t="inlineStr">
        <is>
          <t>1913-01-18</t>
        </is>
      </c>
    </row>
    <row r="4804">
      <c r="A4804" s="1" t="n">
        <v>4803</v>
      </c>
      <c r="B4804">
        <f>TEXT(4803, "[$-0E0000]yyyy-mm-dd")</f>
        <v/>
      </c>
      <c r="C4804" t="inlineStr">
        <is>
          <t>1913-01-19</t>
        </is>
      </c>
    </row>
    <row r="4805">
      <c r="A4805" s="1" t="n">
        <v>4804</v>
      </c>
      <c r="B4805">
        <f>TEXT(4804, "[$-0E0000]yyyy-mm-dd")</f>
        <v/>
      </c>
      <c r="C4805" t="inlineStr">
        <is>
          <t>1913-01-20</t>
        </is>
      </c>
    </row>
    <row r="4806">
      <c r="A4806" s="1" t="n">
        <v>4805</v>
      </c>
      <c r="B4806">
        <f>TEXT(4805, "[$-0E0000]yyyy-mm-dd")</f>
        <v/>
      </c>
      <c r="C4806" t="inlineStr">
        <is>
          <t>1913-01-21</t>
        </is>
      </c>
    </row>
    <row r="4807">
      <c r="A4807" s="1" t="n">
        <v>4806</v>
      </c>
      <c r="B4807">
        <f>TEXT(4806, "[$-0E0000]yyyy-mm-dd")</f>
        <v/>
      </c>
      <c r="C4807" t="inlineStr">
        <is>
          <t>1913-01-22</t>
        </is>
      </c>
    </row>
    <row r="4808">
      <c r="A4808" s="1" t="n">
        <v>4807</v>
      </c>
      <c r="B4808">
        <f>TEXT(4807, "[$-0E0000]yyyy-mm-dd")</f>
        <v/>
      </c>
      <c r="C4808" t="inlineStr">
        <is>
          <t>1913-01-23</t>
        </is>
      </c>
    </row>
    <row r="4809">
      <c r="A4809" s="1" t="n">
        <v>4808</v>
      </c>
      <c r="B4809">
        <f>TEXT(4808, "[$-0E0000]yyyy-mm-dd")</f>
        <v/>
      </c>
      <c r="C4809" t="inlineStr">
        <is>
          <t>1913-01-24</t>
        </is>
      </c>
    </row>
    <row r="4810">
      <c r="A4810" s="1" t="n">
        <v>4809</v>
      </c>
      <c r="B4810">
        <f>TEXT(4809, "[$-0E0000]yyyy-mm-dd")</f>
        <v/>
      </c>
      <c r="C4810" t="inlineStr">
        <is>
          <t>1913-01-25</t>
        </is>
      </c>
    </row>
    <row r="4811">
      <c r="A4811" s="1" t="n">
        <v>4810</v>
      </c>
      <c r="B4811">
        <f>TEXT(4810, "[$-0E0000]yyyy-mm-dd")</f>
        <v/>
      </c>
      <c r="C4811" t="inlineStr">
        <is>
          <t>1913-01-26</t>
        </is>
      </c>
    </row>
    <row r="4812">
      <c r="A4812" s="1" t="n">
        <v>4811</v>
      </c>
      <c r="B4812">
        <f>TEXT(4811, "[$-0E0000]yyyy-mm-dd")</f>
        <v/>
      </c>
      <c r="C4812" t="inlineStr">
        <is>
          <t>1913-01-27</t>
        </is>
      </c>
    </row>
    <row r="4813">
      <c r="A4813" s="1" t="n">
        <v>4812</v>
      </c>
      <c r="B4813">
        <f>TEXT(4812, "[$-0E0000]yyyy-mm-dd")</f>
        <v/>
      </c>
      <c r="C4813" t="inlineStr">
        <is>
          <t>1913-01-28</t>
        </is>
      </c>
    </row>
    <row r="4814">
      <c r="A4814" s="1" t="n">
        <v>4813</v>
      </c>
      <c r="B4814">
        <f>TEXT(4813, "[$-0E0000]yyyy-mm-dd")</f>
        <v/>
      </c>
      <c r="C4814" t="inlineStr">
        <is>
          <t>1913-01-29</t>
        </is>
      </c>
    </row>
    <row r="4815">
      <c r="A4815" s="1" t="n">
        <v>4814</v>
      </c>
      <c r="B4815">
        <f>TEXT(4814, "[$-0E0000]yyyy-mm-dd")</f>
        <v/>
      </c>
      <c r="C4815" t="inlineStr">
        <is>
          <t>1913-01-30</t>
        </is>
      </c>
    </row>
    <row r="4816">
      <c r="A4816" s="1" t="n">
        <v>4815</v>
      </c>
      <c r="B4816">
        <f>TEXT(4815, "[$-0E0000]yyyy-mm-dd")</f>
        <v/>
      </c>
      <c r="C4816" t="inlineStr">
        <is>
          <t>1913-02-01</t>
        </is>
      </c>
    </row>
    <row r="4817">
      <c r="A4817" s="1" t="n">
        <v>4816</v>
      </c>
      <c r="B4817">
        <f>TEXT(4816, "[$-0E0000]yyyy-mm-dd")</f>
        <v/>
      </c>
      <c r="C4817" t="inlineStr">
        <is>
          <t>1913-02-02</t>
        </is>
      </c>
    </row>
    <row r="4818">
      <c r="A4818" s="1" t="n">
        <v>4817</v>
      </c>
      <c r="B4818">
        <f>TEXT(4817, "[$-0E0000]yyyy-mm-dd")</f>
        <v/>
      </c>
      <c r="C4818" t="inlineStr">
        <is>
          <t>1913-02-03</t>
        </is>
      </c>
    </row>
    <row r="4819">
      <c r="A4819" s="1" t="n">
        <v>4818</v>
      </c>
      <c r="B4819">
        <f>TEXT(4818, "[$-0E0000]yyyy-mm-dd")</f>
        <v/>
      </c>
      <c r="C4819" t="inlineStr">
        <is>
          <t>1913-02-04</t>
        </is>
      </c>
    </row>
    <row r="4820">
      <c r="A4820" s="1" t="n">
        <v>4819</v>
      </c>
      <c r="B4820">
        <f>TEXT(4819, "[$-0E0000]yyyy-mm-dd")</f>
        <v/>
      </c>
      <c r="C4820" t="inlineStr">
        <is>
          <t>1913-02-05</t>
        </is>
      </c>
    </row>
    <row r="4821">
      <c r="A4821" s="1" t="n">
        <v>4820</v>
      </c>
      <c r="B4821">
        <f>TEXT(4820, "[$-0E0000]yyyy-mm-dd")</f>
        <v/>
      </c>
      <c r="C4821" t="inlineStr">
        <is>
          <t>1913-02-06</t>
        </is>
      </c>
    </row>
    <row r="4822">
      <c r="A4822" s="1" t="n">
        <v>4821</v>
      </c>
      <c r="B4822">
        <f>TEXT(4821, "[$-0E0000]yyyy-mm-dd")</f>
        <v/>
      </c>
      <c r="C4822" t="inlineStr">
        <is>
          <t>1913-02-07</t>
        </is>
      </c>
    </row>
    <row r="4823">
      <c r="A4823" s="1" t="n">
        <v>4822</v>
      </c>
      <c r="B4823">
        <f>TEXT(4822, "[$-0E0000]yyyy-mm-dd")</f>
        <v/>
      </c>
      <c r="C4823" t="inlineStr">
        <is>
          <t>1913-02-08</t>
        </is>
      </c>
    </row>
    <row r="4824">
      <c r="A4824" s="1" t="n">
        <v>4823</v>
      </c>
      <c r="B4824">
        <f>TEXT(4823, "[$-0E0000]yyyy-mm-dd")</f>
        <v/>
      </c>
      <c r="C4824" t="inlineStr">
        <is>
          <t>1913-02-09</t>
        </is>
      </c>
    </row>
    <row r="4825">
      <c r="A4825" s="1" t="n">
        <v>4824</v>
      </c>
      <c r="B4825">
        <f>TEXT(4824, "[$-0E0000]yyyy-mm-dd")</f>
        <v/>
      </c>
      <c r="C4825" t="inlineStr">
        <is>
          <t>1913-02-10</t>
        </is>
      </c>
    </row>
    <row r="4826">
      <c r="A4826" s="1" t="n">
        <v>4825</v>
      </c>
      <c r="B4826">
        <f>TEXT(4825, "[$-0E0000]yyyy-mm-dd")</f>
        <v/>
      </c>
      <c r="C4826" t="inlineStr">
        <is>
          <t>1913-02-11</t>
        </is>
      </c>
    </row>
    <row r="4827">
      <c r="A4827" s="1" t="n">
        <v>4826</v>
      </c>
      <c r="B4827">
        <f>TEXT(4826, "[$-0E0000]yyyy-mm-dd")</f>
        <v/>
      </c>
      <c r="C4827" t="inlineStr">
        <is>
          <t>1913-02-12</t>
        </is>
      </c>
    </row>
    <row r="4828">
      <c r="A4828" s="1" t="n">
        <v>4827</v>
      </c>
      <c r="B4828">
        <f>TEXT(4827, "[$-0E0000]yyyy-mm-dd")</f>
        <v/>
      </c>
      <c r="C4828" t="inlineStr">
        <is>
          <t>1913-02-13</t>
        </is>
      </c>
    </row>
    <row r="4829">
      <c r="A4829" s="1" t="n">
        <v>4828</v>
      </c>
      <c r="B4829">
        <f>TEXT(4828, "[$-0E0000]yyyy-mm-dd")</f>
        <v/>
      </c>
      <c r="C4829" t="inlineStr">
        <is>
          <t>1913-02-14</t>
        </is>
      </c>
    </row>
    <row r="4830">
      <c r="A4830" s="1" t="n">
        <v>4829</v>
      </c>
      <c r="B4830">
        <f>TEXT(4829, "[$-0E0000]yyyy-mm-dd")</f>
        <v/>
      </c>
      <c r="C4830" t="inlineStr">
        <is>
          <t>1913-02-15</t>
        </is>
      </c>
    </row>
    <row r="4831">
      <c r="A4831" s="1" t="n">
        <v>4830</v>
      </c>
      <c r="B4831">
        <f>TEXT(4830, "[$-0E0000]yyyy-mm-dd")</f>
        <v/>
      </c>
      <c r="C4831" t="inlineStr">
        <is>
          <t>1913-02-16</t>
        </is>
      </c>
    </row>
    <row r="4832">
      <c r="A4832" s="1" t="n">
        <v>4831</v>
      </c>
      <c r="B4832">
        <f>TEXT(4831, "[$-0E0000]yyyy-mm-dd")</f>
        <v/>
      </c>
      <c r="C4832" t="inlineStr">
        <is>
          <t>1913-02-17</t>
        </is>
      </c>
    </row>
    <row r="4833">
      <c r="A4833" s="1" t="n">
        <v>4832</v>
      </c>
      <c r="B4833">
        <f>TEXT(4832, "[$-0E0000]yyyy-mm-dd")</f>
        <v/>
      </c>
      <c r="C4833" t="inlineStr">
        <is>
          <t>1913-02-18</t>
        </is>
      </c>
    </row>
    <row r="4834">
      <c r="A4834" s="1" t="n">
        <v>4833</v>
      </c>
      <c r="B4834">
        <f>TEXT(4833, "[$-0E0000]yyyy-mm-dd")</f>
        <v/>
      </c>
      <c r="C4834" t="inlineStr">
        <is>
          <t>1913-02-19</t>
        </is>
      </c>
    </row>
    <row r="4835">
      <c r="A4835" s="1" t="n">
        <v>4834</v>
      </c>
      <c r="B4835">
        <f>TEXT(4834, "[$-0E0000]yyyy-mm-dd")</f>
        <v/>
      </c>
      <c r="C4835" t="inlineStr">
        <is>
          <t>1913-02-20</t>
        </is>
      </c>
    </row>
    <row r="4836">
      <c r="A4836" s="1" t="n">
        <v>4835</v>
      </c>
      <c r="B4836">
        <f>TEXT(4835, "[$-0E0000]yyyy-mm-dd")</f>
        <v/>
      </c>
      <c r="C4836" t="inlineStr">
        <is>
          <t>1913-02-21</t>
        </is>
      </c>
    </row>
    <row r="4837">
      <c r="A4837" s="1" t="n">
        <v>4836</v>
      </c>
      <c r="B4837">
        <f>TEXT(4836, "[$-0E0000]yyyy-mm-dd")</f>
        <v/>
      </c>
      <c r="C4837" t="inlineStr">
        <is>
          <t>1913-02-22</t>
        </is>
      </c>
    </row>
    <row r="4838">
      <c r="A4838" s="1" t="n">
        <v>4837</v>
      </c>
      <c r="B4838">
        <f>TEXT(4837, "[$-0E0000]yyyy-mm-dd")</f>
        <v/>
      </c>
      <c r="C4838" t="inlineStr">
        <is>
          <t>1913-02-23</t>
        </is>
      </c>
    </row>
    <row r="4839">
      <c r="A4839" s="1" t="n">
        <v>4838</v>
      </c>
      <c r="B4839">
        <f>TEXT(4838, "[$-0E0000]yyyy-mm-dd")</f>
        <v/>
      </c>
      <c r="C4839" t="inlineStr">
        <is>
          <t>1913-02-24</t>
        </is>
      </c>
    </row>
    <row r="4840">
      <c r="A4840" s="1" t="n">
        <v>4839</v>
      </c>
      <c r="B4840">
        <f>TEXT(4839, "[$-0E0000]yyyy-mm-dd")</f>
        <v/>
      </c>
      <c r="C4840" t="inlineStr">
        <is>
          <t>1913-02-25</t>
        </is>
      </c>
    </row>
    <row r="4841">
      <c r="A4841" s="1" t="n">
        <v>4840</v>
      </c>
      <c r="B4841">
        <f>TEXT(4840, "[$-0E0000]yyyy-mm-dd")</f>
        <v/>
      </c>
      <c r="C4841" t="inlineStr">
        <is>
          <t>1913-02-26</t>
        </is>
      </c>
    </row>
    <row r="4842">
      <c r="A4842" s="1" t="n">
        <v>4841</v>
      </c>
      <c r="B4842">
        <f>TEXT(4841, "[$-0E0000]yyyy-mm-dd")</f>
        <v/>
      </c>
      <c r="C4842" t="inlineStr">
        <is>
          <t>1913-02-27</t>
        </is>
      </c>
    </row>
    <row r="4843">
      <c r="A4843" s="1" t="n">
        <v>4842</v>
      </c>
      <c r="B4843">
        <f>TEXT(4842, "[$-0E0000]yyyy-mm-dd")</f>
        <v/>
      </c>
      <c r="C4843" t="inlineStr">
        <is>
          <t>1913-02-28</t>
        </is>
      </c>
    </row>
    <row r="4844">
      <c r="A4844" s="1" t="n">
        <v>4843</v>
      </c>
      <c r="B4844">
        <f>TEXT(4843, "[$-0E0000]yyyy-mm-dd")</f>
        <v/>
      </c>
      <c r="C4844" t="inlineStr">
        <is>
          <t>1913-02-29</t>
        </is>
      </c>
    </row>
    <row r="4845">
      <c r="A4845" s="1" t="n">
        <v>4844</v>
      </c>
      <c r="B4845">
        <f>TEXT(4844, "[$-0E0000]yyyy-mm-dd")</f>
        <v/>
      </c>
      <c r="C4845" t="inlineStr">
        <is>
          <t>1913-02-30</t>
        </is>
      </c>
    </row>
    <row r="4846">
      <c r="A4846" s="1" t="n">
        <v>4845</v>
      </c>
      <c r="B4846">
        <f>TEXT(4845, "[$-0E0000]yyyy-mm-dd")</f>
        <v/>
      </c>
      <c r="C4846" t="inlineStr">
        <is>
          <t>1913-03-01</t>
        </is>
      </c>
    </row>
    <row r="4847">
      <c r="A4847" s="1" t="n">
        <v>4846</v>
      </c>
      <c r="B4847">
        <f>TEXT(4846, "[$-0E0000]yyyy-mm-dd")</f>
        <v/>
      </c>
      <c r="C4847" t="inlineStr">
        <is>
          <t>1913-03-02</t>
        </is>
      </c>
    </row>
    <row r="4848">
      <c r="A4848" s="1" t="n">
        <v>4847</v>
      </c>
      <c r="B4848">
        <f>TEXT(4847, "[$-0E0000]yyyy-mm-dd")</f>
        <v/>
      </c>
      <c r="C4848" t="inlineStr">
        <is>
          <t>1913-03-03</t>
        </is>
      </c>
    </row>
    <row r="4849">
      <c r="A4849" s="1" t="n">
        <v>4848</v>
      </c>
      <c r="B4849">
        <f>TEXT(4848, "[$-0E0000]yyyy-mm-dd")</f>
        <v/>
      </c>
      <c r="C4849" t="inlineStr">
        <is>
          <t>1913-03-04</t>
        </is>
      </c>
    </row>
    <row r="4850">
      <c r="A4850" s="1" t="n">
        <v>4849</v>
      </c>
      <c r="B4850">
        <f>TEXT(4849, "[$-0E0000]yyyy-mm-dd")</f>
        <v/>
      </c>
      <c r="C4850" t="inlineStr">
        <is>
          <t>1913-03-05</t>
        </is>
      </c>
    </row>
    <row r="4851">
      <c r="A4851" s="1" t="n">
        <v>4850</v>
      </c>
      <c r="B4851">
        <f>TEXT(4850, "[$-0E0000]yyyy-mm-dd")</f>
        <v/>
      </c>
      <c r="C4851" t="inlineStr">
        <is>
          <t>1913-03-06</t>
        </is>
      </c>
    </row>
    <row r="4852">
      <c r="A4852" s="1" t="n">
        <v>4851</v>
      </c>
      <c r="B4852">
        <f>TEXT(4851, "[$-0E0000]yyyy-mm-dd")</f>
        <v/>
      </c>
      <c r="C4852" t="inlineStr">
        <is>
          <t>1913-03-07</t>
        </is>
      </c>
    </row>
    <row r="4853">
      <c r="A4853" s="1" t="n">
        <v>4852</v>
      </c>
      <c r="B4853">
        <f>TEXT(4852, "[$-0E0000]yyyy-mm-dd")</f>
        <v/>
      </c>
      <c r="C4853" t="inlineStr">
        <is>
          <t>1913-03-08</t>
        </is>
      </c>
    </row>
    <row r="4854">
      <c r="A4854" s="1" t="n">
        <v>4853</v>
      </c>
      <c r="B4854">
        <f>TEXT(4853, "[$-0E0000]yyyy-mm-dd")</f>
        <v/>
      </c>
      <c r="C4854" t="inlineStr">
        <is>
          <t>1913-03-09</t>
        </is>
      </c>
    </row>
    <row r="4855">
      <c r="A4855" s="1" t="n">
        <v>4854</v>
      </c>
      <c r="B4855">
        <f>TEXT(4854, "[$-0E0000]yyyy-mm-dd")</f>
        <v/>
      </c>
      <c r="C4855" t="inlineStr">
        <is>
          <t>1913-03-10</t>
        </is>
      </c>
    </row>
    <row r="4856">
      <c r="A4856" s="1" t="n">
        <v>4855</v>
      </c>
      <c r="B4856">
        <f>TEXT(4855, "[$-0E0000]yyyy-mm-dd")</f>
        <v/>
      </c>
      <c r="C4856" t="inlineStr">
        <is>
          <t>1913-03-11</t>
        </is>
      </c>
    </row>
    <row r="4857">
      <c r="A4857" s="1" t="n">
        <v>4856</v>
      </c>
      <c r="B4857">
        <f>TEXT(4856, "[$-0E0000]yyyy-mm-dd")</f>
        <v/>
      </c>
      <c r="C4857" t="inlineStr">
        <is>
          <t>1913-03-12</t>
        </is>
      </c>
    </row>
    <row r="4858">
      <c r="A4858" s="1" t="n">
        <v>4857</v>
      </c>
      <c r="B4858">
        <f>TEXT(4857, "[$-0E0000]yyyy-mm-dd")</f>
        <v/>
      </c>
      <c r="C4858" t="inlineStr">
        <is>
          <t>1913-03-13</t>
        </is>
      </c>
    </row>
    <row r="4859">
      <c r="A4859" s="1" t="n">
        <v>4858</v>
      </c>
      <c r="B4859">
        <f>TEXT(4858, "[$-0E0000]yyyy-mm-dd")</f>
        <v/>
      </c>
      <c r="C4859" t="inlineStr">
        <is>
          <t>1913-03-14</t>
        </is>
      </c>
    </row>
    <row r="4860">
      <c r="A4860" s="1" t="n">
        <v>4859</v>
      </c>
      <c r="B4860">
        <f>TEXT(4859, "[$-0E0000]yyyy-mm-dd")</f>
        <v/>
      </c>
      <c r="C4860" t="inlineStr">
        <is>
          <t>1913-03-15</t>
        </is>
      </c>
    </row>
    <row r="4861">
      <c r="A4861" s="1" t="n">
        <v>4860</v>
      </c>
      <c r="B4861">
        <f>TEXT(4860, "[$-0E0000]yyyy-mm-dd")</f>
        <v/>
      </c>
      <c r="C4861" t="inlineStr">
        <is>
          <t>1913-03-16</t>
        </is>
      </c>
    </row>
    <row r="4862">
      <c r="A4862" s="1" t="n">
        <v>4861</v>
      </c>
      <c r="B4862">
        <f>TEXT(4861, "[$-0E0000]yyyy-mm-dd")</f>
        <v/>
      </c>
      <c r="C4862" t="inlineStr">
        <is>
          <t>1913-03-17</t>
        </is>
      </c>
    </row>
    <row r="4863">
      <c r="A4863" s="1" t="n">
        <v>4862</v>
      </c>
      <c r="B4863">
        <f>TEXT(4862, "[$-0E0000]yyyy-mm-dd")</f>
        <v/>
      </c>
      <c r="C4863" t="inlineStr">
        <is>
          <t>1913-03-18</t>
        </is>
      </c>
    </row>
    <row r="4864">
      <c r="A4864" s="1" t="n">
        <v>4863</v>
      </c>
      <c r="B4864">
        <f>TEXT(4863, "[$-0E0000]yyyy-mm-dd")</f>
        <v/>
      </c>
      <c r="C4864" t="inlineStr">
        <is>
          <t>1913-03-19</t>
        </is>
      </c>
    </row>
    <row r="4865">
      <c r="A4865" s="1" t="n">
        <v>4864</v>
      </c>
      <c r="B4865">
        <f>TEXT(4864, "[$-0E0000]yyyy-mm-dd")</f>
        <v/>
      </c>
      <c r="C4865" t="inlineStr">
        <is>
          <t>1913-03-20</t>
        </is>
      </c>
    </row>
    <row r="4866">
      <c r="A4866" s="1" t="n">
        <v>4865</v>
      </c>
      <c r="B4866">
        <f>TEXT(4865, "[$-0E0000]yyyy-mm-dd")</f>
        <v/>
      </c>
      <c r="C4866" t="inlineStr">
        <is>
          <t>1913-03-21</t>
        </is>
      </c>
    </row>
    <row r="4867">
      <c r="A4867" s="1" t="n">
        <v>4866</v>
      </c>
      <c r="B4867">
        <f>TEXT(4866, "[$-0E0000]yyyy-mm-dd")</f>
        <v/>
      </c>
      <c r="C4867" t="inlineStr">
        <is>
          <t>1913-03-22</t>
        </is>
      </c>
    </row>
    <row r="4868">
      <c r="A4868" s="1" t="n">
        <v>4867</v>
      </c>
      <c r="B4868">
        <f>TEXT(4867, "[$-0E0000]yyyy-mm-dd")</f>
        <v/>
      </c>
      <c r="C4868" t="inlineStr">
        <is>
          <t>1913-03-23</t>
        </is>
      </c>
    </row>
    <row r="4869">
      <c r="A4869" s="1" t="n">
        <v>4868</v>
      </c>
      <c r="B4869">
        <f>TEXT(4868, "[$-0E0000]yyyy-mm-dd")</f>
        <v/>
      </c>
      <c r="C4869" t="inlineStr">
        <is>
          <t>1913-03-24</t>
        </is>
      </c>
    </row>
    <row r="4870">
      <c r="A4870" s="1" t="n">
        <v>4869</v>
      </c>
      <c r="B4870">
        <f>TEXT(4869, "[$-0E0000]yyyy-mm-dd")</f>
        <v/>
      </c>
      <c r="C4870" t="inlineStr">
        <is>
          <t>1913-03-25</t>
        </is>
      </c>
    </row>
    <row r="4871">
      <c r="A4871" s="1" t="n">
        <v>4870</v>
      </c>
      <c r="B4871">
        <f>TEXT(4870, "[$-0E0000]yyyy-mm-dd")</f>
        <v/>
      </c>
      <c r="C4871" t="inlineStr">
        <is>
          <t>1913-03-26</t>
        </is>
      </c>
    </row>
    <row r="4872">
      <c r="A4872" s="1" t="n">
        <v>4871</v>
      </c>
      <c r="B4872">
        <f>TEXT(4871, "[$-0E0000]yyyy-mm-dd")</f>
        <v/>
      </c>
      <c r="C4872" t="inlineStr">
        <is>
          <t>1913-03-27</t>
        </is>
      </c>
    </row>
    <row r="4873">
      <c r="A4873" s="1" t="n">
        <v>4872</v>
      </c>
      <c r="B4873">
        <f>TEXT(4872, "[$-0E0000]yyyy-mm-dd")</f>
        <v/>
      </c>
      <c r="C4873" t="inlineStr">
        <is>
          <t>1913-03-28</t>
        </is>
      </c>
    </row>
    <row r="4874">
      <c r="A4874" s="1" t="n">
        <v>4873</v>
      </c>
      <c r="B4874">
        <f>TEXT(4873, "[$-0E0000]yyyy-mm-dd")</f>
        <v/>
      </c>
      <c r="C4874" t="inlineStr">
        <is>
          <t>1913-03-29</t>
        </is>
      </c>
    </row>
    <row r="4875">
      <c r="A4875" s="1" t="n">
        <v>4874</v>
      </c>
      <c r="B4875">
        <f>TEXT(4874, "[$-0E0000]yyyy-mm-dd")</f>
        <v/>
      </c>
      <c r="C4875" t="inlineStr">
        <is>
          <t>1913-04-01</t>
        </is>
      </c>
    </row>
    <row r="4876">
      <c r="A4876" s="1" t="n">
        <v>4875</v>
      </c>
      <c r="B4876">
        <f>TEXT(4875, "[$-0E0000]yyyy-mm-dd")</f>
        <v/>
      </c>
      <c r="C4876" t="inlineStr">
        <is>
          <t>1913-04-02</t>
        </is>
      </c>
    </row>
    <row r="4877">
      <c r="A4877" s="1" t="n">
        <v>4876</v>
      </c>
      <c r="B4877">
        <f>TEXT(4876, "[$-0E0000]yyyy-mm-dd")</f>
        <v/>
      </c>
      <c r="C4877" t="inlineStr">
        <is>
          <t>1913-04-03</t>
        </is>
      </c>
    </row>
    <row r="4878">
      <c r="A4878" s="1" t="n">
        <v>4877</v>
      </c>
      <c r="B4878">
        <f>TEXT(4877, "[$-0E0000]yyyy-mm-dd")</f>
        <v/>
      </c>
      <c r="C4878" t="inlineStr">
        <is>
          <t>1913-04-04</t>
        </is>
      </c>
    </row>
    <row r="4879">
      <c r="A4879" s="1" t="n">
        <v>4878</v>
      </c>
      <c r="B4879">
        <f>TEXT(4878, "[$-0E0000]yyyy-mm-dd")</f>
        <v/>
      </c>
      <c r="C4879" t="inlineStr">
        <is>
          <t>1913-04-05</t>
        </is>
      </c>
    </row>
    <row r="4880">
      <c r="A4880" s="1" t="n">
        <v>4879</v>
      </c>
      <c r="B4880">
        <f>TEXT(4879, "[$-0E0000]yyyy-mm-dd")</f>
        <v/>
      </c>
      <c r="C4880" t="inlineStr">
        <is>
          <t>1913-04-06</t>
        </is>
      </c>
    </row>
    <row r="4881">
      <c r="A4881" s="1" t="n">
        <v>4880</v>
      </c>
      <c r="B4881">
        <f>TEXT(4880, "[$-0E0000]yyyy-mm-dd")</f>
        <v/>
      </c>
      <c r="C4881" t="inlineStr">
        <is>
          <t>1913-04-07</t>
        </is>
      </c>
    </row>
    <row r="4882">
      <c r="A4882" s="1" t="n">
        <v>4881</v>
      </c>
      <c r="B4882">
        <f>TEXT(4881, "[$-0E0000]yyyy-mm-dd")</f>
        <v/>
      </c>
      <c r="C4882" t="inlineStr">
        <is>
          <t>1913-04-08</t>
        </is>
      </c>
    </row>
    <row r="4883">
      <c r="A4883" s="1" t="n">
        <v>4882</v>
      </c>
      <c r="B4883">
        <f>TEXT(4882, "[$-0E0000]yyyy-mm-dd")</f>
        <v/>
      </c>
      <c r="C4883" t="inlineStr">
        <is>
          <t>1913-04-09</t>
        </is>
      </c>
    </row>
    <row r="4884">
      <c r="A4884" s="1" t="n">
        <v>4883</v>
      </c>
      <c r="B4884">
        <f>TEXT(4883, "[$-0E0000]yyyy-mm-dd")</f>
        <v/>
      </c>
      <c r="C4884" t="inlineStr">
        <is>
          <t>1913-04-10</t>
        </is>
      </c>
    </row>
    <row r="4885">
      <c r="A4885" s="1" t="n">
        <v>4884</v>
      </c>
      <c r="B4885">
        <f>TEXT(4884, "[$-0E0000]yyyy-mm-dd")</f>
        <v/>
      </c>
      <c r="C4885" t="inlineStr">
        <is>
          <t>1913-04-11</t>
        </is>
      </c>
    </row>
    <row r="4886">
      <c r="A4886" s="1" t="n">
        <v>4885</v>
      </c>
      <c r="B4886">
        <f>TEXT(4885, "[$-0E0000]yyyy-mm-dd")</f>
        <v/>
      </c>
      <c r="C4886" t="inlineStr">
        <is>
          <t>1913-04-12</t>
        </is>
      </c>
    </row>
    <row r="4887">
      <c r="A4887" s="1" t="n">
        <v>4886</v>
      </c>
      <c r="B4887">
        <f>TEXT(4886, "[$-0E0000]yyyy-mm-dd")</f>
        <v/>
      </c>
      <c r="C4887" t="inlineStr">
        <is>
          <t>1913-04-13</t>
        </is>
      </c>
    </row>
    <row r="4888">
      <c r="A4888" s="1" t="n">
        <v>4887</v>
      </c>
      <c r="B4888">
        <f>TEXT(4887, "[$-0E0000]yyyy-mm-dd")</f>
        <v/>
      </c>
      <c r="C4888" t="inlineStr">
        <is>
          <t>1913-04-14</t>
        </is>
      </c>
    </row>
    <row r="4889">
      <c r="A4889" s="1" t="n">
        <v>4888</v>
      </c>
      <c r="B4889">
        <f>TEXT(4888, "[$-0E0000]yyyy-mm-dd")</f>
        <v/>
      </c>
      <c r="C4889" t="inlineStr">
        <is>
          <t>1913-04-15</t>
        </is>
      </c>
    </row>
    <row r="4890">
      <c r="A4890" s="1" t="n">
        <v>4889</v>
      </c>
      <c r="B4890">
        <f>TEXT(4889, "[$-0E0000]yyyy-mm-dd")</f>
        <v/>
      </c>
      <c r="C4890" t="inlineStr">
        <is>
          <t>1913-04-16</t>
        </is>
      </c>
    </row>
    <row r="4891">
      <c r="A4891" s="1" t="n">
        <v>4890</v>
      </c>
      <c r="B4891">
        <f>TEXT(4890, "[$-0E0000]yyyy-mm-dd")</f>
        <v/>
      </c>
      <c r="C4891" t="inlineStr">
        <is>
          <t>1913-04-17</t>
        </is>
      </c>
    </row>
    <row r="4892">
      <c r="A4892" s="1" t="n">
        <v>4891</v>
      </c>
      <c r="B4892">
        <f>TEXT(4891, "[$-0E0000]yyyy-mm-dd")</f>
        <v/>
      </c>
      <c r="C4892" t="inlineStr">
        <is>
          <t>1913-04-18</t>
        </is>
      </c>
    </row>
    <row r="4893">
      <c r="A4893" s="1" t="n">
        <v>4892</v>
      </c>
      <c r="B4893">
        <f>TEXT(4892, "[$-0E0000]yyyy-mm-dd")</f>
        <v/>
      </c>
      <c r="C4893" t="inlineStr">
        <is>
          <t>1913-04-19</t>
        </is>
      </c>
    </row>
    <row r="4894">
      <c r="A4894" s="1" t="n">
        <v>4893</v>
      </c>
      <c r="B4894">
        <f>TEXT(4893, "[$-0E0000]yyyy-mm-dd")</f>
        <v/>
      </c>
      <c r="C4894" t="inlineStr">
        <is>
          <t>1913-04-20</t>
        </is>
      </c>
    </row>
    <row r="4895">
      <c r="A4895" s="1" t="n">
        <v>4894</v>
      </c>
      <c r="B4895">
        <f>TEXT(4894, "[$-0E0000]yyyy-mm-dd")</f>
        <v/>
      </c>
      <c r="C4895" t="inlineStr">
        <is>
          <t>1913-04-21</t>
        </is>
      </c>
    </row>
    <row r="4896">
      <c r="A4896" s="1" t="n">
        <v>4895</v>
      </c>
      <c r="B4896">
        <f>TEXT(4895, "[$-0E0000]yyyy-mm-dd")</f>
        <v/>
      </c>
      <c r="C4896" t="inlineStr">
        <is>
          <t>1913-04-22</t>
        </is>
      </c>
    </row>
    <row r="4897">
      <c r="A4897" s="1" t="n">
        <v>4896</v>
      </c>
      <c r="B4897">
        <f>TEXT(4896, "[$-0E0000]yyyy-mm-dd")</f>
        <v/>
      </c>
      <c r="C4897" t="inlineStr">
        <is>
          <t>1913-04-23</t>
        </is>
      </c>
    </row>
    <row r="4898">
      <c r="A4898" s="1" t="n">
        <v>4897</v>
      </c>
      <c r="B4898">
        <f>TEXT(4897, "[$-0E0000]yyyy-mm-dd")</f>
        <v/>
      </c>
      <c r="C4898" t="inlineStr">
        <is>
          <t>1913-04-24</t>
        </is>
      </c>
    </row>
    <row r="4899">
      <c r="A4899" s="1" t="n">
        <v>4898</v>
      </c>
      <c r="B4899">
        <f>TEXT(4898, "[$-0E0000]yyyy-mm-dd")</f>
        <v/>
      </c>
      <c r="C4899" t="inlineStr">
        <is>
          <t>1913-04-25</t>
        </is>
      </c>
    </row>
    <row r="4900">
      <c r="A4900" s="1" t="n">
        <v>4899</v>
      </c>
      <c r="B4900">
        <f>TEXT(4899, "[$-0E0000]yyyy-mm-dd")</f>
        <v/>
      </c>
      <c r="C4900" t="inlineStr">
        <is>
          <t>1913-04-26</t>
        </is>
      </c>
    </row>
    <row r="4901">
      <c r="A4901" s="1" t="n">
        <v>4900</v>
      </c>
      <c r="B4901">
        <f>TEXT(4900, "[$-0E0000]yyyy-mm-dd")</f>
        <v/>
      </c>
      <c r="C4901" t="inlineStr">
        <is>
          <t>1913-04-27</t>
        </is>
      </c>
    </row>
    <row r="4902">
      <c r="A4902" s="1" t="n">
        <v>4901</v>
      </c>
      <c r="B4902">
        <f>TEXT(4901, "[$-0E0000]yyyy-mm-dd")</f>
        <v/>
      </c>
      <c r="C4902" t="inlineStr">
        <is>
          <t>1913-04-28</t>
        </is>
      </c>
    </row>
    <row r="4903">
      <c r="A4903" s="1" t="n">
        <v>4902</v>
      </c>
      <c r="B4903">
        <f>TEXT(4902, "[$-0E0000]yyyy-mm-dd")</f>
        <v/>
      </c>
      <c r="C4903" t="inlineStr">
        <is>
          <t>1913-04-29</t>
        </is>
      </c>
    </row>
    <row r="4904">
      <c r="A4904" s="1" t="n">
        <v>4903</v>
      </c>
      <c r="B4904">
        <f>TEXT(4903, "[$-0E0000]yyyy-mm-dd")</f>
        <v/>
      </c>
      <c r="C4904" t="inlineStr">
        <is>
          <t>1913-04-30</t>
        </is>
      </c>
    </row>
    <row r="4905">
      <c r="A4905" s="1" t="n">
        <v>4904</v>
      </c>
      <c r="B4905">
        <f>TEXT(4904, "[$-0E0000]yyyy-mm-dd")</f>
        <v/>
      </c>
      <c r="C4905" t="inlineStr">
        <is>
          <t>1913-05-01</t>
        </is>
      </c>
    </row>
    <row r="4906">
      <c r="A4906" s="1" t="n">
        <v>4905</v>
      </c>
      <c r="B4906">
        <f>TEXT(4905, "[$-0E0000]yyyy-mm-dd")</f>
        <v/>
      </c>
      <c r="C4906" t="inlineStr">
        <is>
          <t>1913-05-02</t>
        </is>
      </c>
    </row>
    <row r="4907">
      <c r="A4907" s="1" t="n">
        <v>4906</v>
      </c>
      <c r="B4907">
        <f>TEXT(4906, "[$-0E0000]yyyy-mm-dd")</f>
        <v/>
      </c>
      <c r="C4907" t="inlineStr">
        <is>
          <t>1913-05-03</t>
        </is>
      </c>
    </row>
    <row r="4908">
      <c r="A4908" s="1" t="n">
        <v>4907</v>
      </c>
      <c r="B4908">
        <f>TEXT(4907, "[$-0E0000]yyyy-mm-dd")</f>
        <v/>
      </c>
      <c r="C4908" t="inlineStr">
        <is>
          <t>1913-05-04</t>
        </is>
      </c>
    </row>
    <row r="4909">
      <c r="A4909" s="1" t="n">
        <v>4908</v>
      </c>
      <c r="B4909">
        <f>TEXT(4908, "[$-0E0000]yyyy-mm-dd")</f>
        <v/>
      </c>
      <c r="C4909" t="inlineStr">
        <is>
          <t>1913-05-05</t>
        </is>
      </c>
    </row>
    <row r="4910">
      <c r="A4910" s="1" t="n">
        <v>4909</v>
      </c>
      <c r="B4910">
        <f>TEXT(4909, "[$-0E0000]yyyy-mm-dd")</f>
        <v/>
      </c>
      <c r="C4910" t="inlineStr">
        <is>
          <t>1913-05-06</t>
        </is>
      </c>
    </row>
    <row r="4911">
      <c r="A4911" s="1" t="n">
        <v>4910</v>
      </c>
      <c r="B4911">
        <f>TEXT(4910, "[$-0E0000]yyyy-mm-dd")</f>
        <v/>
      </c>
      <c r="C4911" t="inlineStr">
        <is>
          <t>1913-05-07</t>
        </is>
      </c>
    </row>
    <row r="4912">
      <c r="A4912" s="1" t="n">
        <v>4911</v>
      </c>
      <c r="B4912">
        <f>TEXT(4911, "[$-0E0000]yyyy-mm-dd")</f>
        <v/>
      </c>
      <c r="C4912" t="inlineStr">
        <is>
          <t>1913-05-08</t>
        </is>
      </c>
    </row>
    <row r="4913">
      <c r="A4913" s="1" t="n">
        <v>4912</v>
      </c>
      <c r="B4913">
        <f>TEXT(4912, "[$-0E0000]yyyy-mm-dd")</f>
        <v/>
      </c>
      <c r="C4913" t="inlineStr">
        <is>
          <t>1913-05-09</t>
        </is>
      </c>
    </row>
    <row r="4914">
      <c r="A4914" s="1" t="n">
        <v>4913</v>
      </c>
      <c r="B4914">
        <f>TEXT(4913, "[$-0E0000]yyyy-mm-dd")</f>
        <v/>
      </c>
      <c r="C4914" t="inlineStr">
        <is>
          <t>1913-05-10</t>
        </is>
      </c>
    </row>
    <row r="4915">
      <c r="A4915" s="1" t="n">
        <v>4914</v>
      </c>
      <c r="B4915">
        <f>TEXT(4914, "[$-0E0000]yyyy-mm-dd")</f>
        <v/>
      </c>
      <c r="C4915" t="inlineStr">
        <is>
          <t>1913-05-11</t>
        </is>
      </c>
    </row>
    <row r="4916">
      <c r="A4916" s="1" t="n">
        <v>4915</v>
      </c>
      <c r="B4916">
        <f>TEXT(4915, "[$-0E0000]yyyy-mm-dd")</f>
        <v/>
      </c>
      <c r="C4916" t="inlineStr">
        <is>
          <t>1913-05-12</t>
        </is>
      </c>
    </row>
    <row r="4917">
      <c r="A4917" s="1" t="n">
        <v>4916</v>
      </c>
      <c r="B4917">
        <f>TEXT(4916, "[$-0E0000]yyyy-mm-dd")</f>
        <v/>
      </c>
      <c r="C4917" t="inlineStr">
        <is>
          <t>1913-05-13</t>
        </is>
      </c>
    </row>
    <row r="4918">
      <c r="A4918" s="1" t="n">
        <v>4917</v>
      </c>
      <c r="B4918">
        <f>TEXT(4917, "[$-0E0000]yyyy-mm-dd")</f>
        <v/>
      </c>
      <c r="C4918" t="inlineStr">
        <is>
          <t>1913-05-14</t>
        </is>
      </c>
    </row>
    <row r="4919">
      <c r="A4919" s="1" t="n">
        <v>4918</v>
      </c>
      <c r="B4919">
        <f>TEXT(4918, "[$-0E0000]yyyy-mm-dd")</f>
        <v/>
      </c>
      <c r="C4919" t="inlineStr">
        <is>
          <t>1913-05-15</t>
        </is>
      </c>
    </row>
    <row r="4920">
      <c r="A4920" s="1" t="n">
        <v>4919</v>
      </c>
      <c r="B4920">
        <f>TEXT(4919, "[$-0E0000]yyyy-mm-dd")</f>
        <v/>
      </c>
      <c r="C4920" t="inlineStr">
        <is>
          <t>1913-05-16</t>
        </is>
      </c>
    </row>
    <row r="4921">
      <c r="A4921" s="1" t="n">
        <v>4920</v>
      </c>
      <c r="B4921">
        <f>TEXT(4920, "[$-0E0000]yyyy-mm-dd")</f>
        <v/>
      </c>
      <c r="C4921" t="inlineStr">
        <is>
          <t>1913-05-17</t>
        </is>
      </c>
    </row>
    <row r="4922">
      <c r="A4922" s="1" t="n">
        <v>4921</v>
      </c>
      <c r="B4922">
        <f>TEXT(4921, "[$-0E0000]yyyy-mm-dd")</f>
        <v/>
      </c>
      <c r="C4922" t="inlineStr">
        <is>
          <t>1913-05-18</t>
        </is>
      </c>
    </row>
    <row r="4923">
      <c r="A4923" s="1" t="n">
        <v>4922</v>
      </c>
      <c r="B4923">
        <f>TEXT(4922, "[$-0E0000]yyyy-mm-dd")</f>
        <v/>
      </c>
      <c r="C4923" t="inlineStr">
        <is>
          <t>1913-05-19</t>
        </is>
      </c>
    </row>
    <row r="4924">
      <c r="A4924" s="1" t="n">
        <v>4923</v>
      </c>
      <c r="B4924">
        <f>TEXT(4923, "[$-0E0000]yyyy-mm-dd")</f>
        <v/>
      </c>
      <c r="C4924" t="inlineStr">
        <is>
          <t>1913-05-20</t>
        </is>
      </c>
    </row>
    <row r="4925">
      <c r="A4925" s="1" t="n">
        <v>4924</v>
      </c>
      <c r="B4925">
        <f>TEXT(4924, "[$-0E0000]yyyy-mm-dd")</f>
        <v/>
      </c>
      <c r="C4925" t="inlineStr">
        <is>
          <t>1913-05-21</t>
        </is>
      </c>
    </row>
    <row r="4926">
      <c r="A4926" s="1" t="n">
        <v>4925</v>
      </c>
      <c r="B4926">
        <f>TEXT(4925, "[$-0E0000]yyyy-mm-dd")</f>
        <v/>
      </c>
      <c r="C4926" t="inlineStr">
        <is>
          <t>1913-05-22</t>
        </is>
      </c>
    </row>
    <row r="4927">
      <c r="A4927" s="1" t="n">
        <v>4926</v>
      </c>
      <c r="B4927">
        <f>TEXT(4926, "[$-0E0000]yyyy-mm-dd")</f>
        <v/>
      </c>
      <c r="C4927" t="inlineStr">
        <is>
          <t>1913-05-23</t>
        </is>
      </c>
    </row>
    <row r="4928">
      <c r="A4928" s="1" t="n">
        <v>4927</v>
      </c>
      <c r="B4928">
        <f>TEXT(4927, "[$-0E0000]yyyy-mm-dd")</f>
        <v/>
      </c>
      <c r="C4928" t="inlineStr">
        <is>
          <t>1913-05-24</t>
        </is>
      </c>
    </row>
    <row r="4929">
      <c r="A4929" s="1" t="n">
        <v>4928</v>
      </c>
      <c r="B4929">
        <f>TEXT(4928, "[$-0E0000]yyyy-mm-dd")</f>
        <v/>
      </c>
      <c r="C4929" t="inlineStr">
        <is>
          <t>1913-05-25</t>
        </is>
      </c>
    </row>
    <row r="4930">
      <c r="A4930" s="1" t="n">
        <v>4929</v>
      </c>
      <c r="B4930">
        <f>TEXT(4929, "[$-0E0000]yyyy-mm-dd")</f>
        <v/>
      </c>
      <c r="C4930" t="inlineStr">
        <is>
          <t>1913-05-26</t>
        </is>
      </c>
    </row>
    <row r="4931">
      <c r="A4931" s="1" t="n">
        <v>4930</v>
      </c>
      <c r="B4931">
        <f>TEXT(4930, "[$-0E0000]yyyy-mm-dd")</f>
        <v/>
      </c>
      <c r="C4931" t="inlineStr">
        <is>
          <t>1913-05-27</t>
        </is>
      </c>
    </row>
    <row r="4932">
      <c r="A4932" s="1" t="n">
        <v>4931</v>
      </c>
      <c r="B4932">
        <f>TEXT(4931, "[$-0E0000]yyyy-mm-dd")</f>
        <v/>
      </c>
      <c r="C4932" t="inlineStr">
        <is>
          <t>1913-05-28</t>
        </is>
      </c>
    </row>
    <row r="4933">
      <c r="A4933" s="1" t="n">
        <v>4932</v>
      </c>
      <c r="B4933">
        <f>TEXT(4932, "[$-0E0000]yyyy-mm-dd")</f>
        <v/>
      </c>
      <c r="C4933" t="inlineStr">
        <is>
          <t>1913-05-29</t>
        </is>
      </c>
    </row>
    <row r="4934">
      <c r="A4934" s="1" t="n">
        <v>4933</v>
      </c>
      <c r="B4934">
        <f>TEXT(4933, "[$-0E0000]yyyy-mm-dd")</f>
        <v/>
      </c>
      <c r="C4934" t="inlineStr">
        <is>
          <t>1913-06-01</t>
        </is>
      </c>
    </row>
    <row r="4935">
      <c r="A4935" s="1" t="n">
        <v>4934</v>
      </c>
      <c r="B4935">
        <f>TEXT(4934, "[$-0E0000]yyyy-mm-dd")</f>
        <v/>
      </c>
      <c r="C4935" t="inlineStr">
        <is>
          <t>1913-06-02</t>
        </is>
      </c>
    </row>
    <row r="4936">
      <c r="A4936" s="1" t="n">
        <v>4935</v>
      </c>
      <c r="B4936">
        <f>TEXT(4935, "[$-0E0000]yyyy-mm-dd")</f>
        <v/>
      </c>
      <c r="C4936" t="inlineStr">
        <is>
          <t>1913-06-03</t>
        </is>
      </c>
    </row>
    <row r="4937">
      <c r="A4937" s="1" t="n">
        <v>4936</v>
      </c>
      <c r="B4937">
        <f>TEXT(4936, "[$-0E0000]yyyy-mm-dd")</f>
        <v/>
      </c>
      <c r="C4937" t="inlineStr">
        <is>
          <t>1913-06-04</t>
        </is>
      </c>
    </row>
    <row r="4938">
      <c r="A4938" s="1" t="n">
        <v>4937</v>
      </c>
      <c r="B4938">
        <f>TEXT(4937, "[$-0E0000]yyyy-mm-dd")</f>
        <v/>
      </c>
      <c r="C4938" t="inlineStr">
        <is>
          <t>1913-06-05</t>
        </is>
      </c>
    </row>
    <row r="4939">
      <c r="A4939" s="1" t="n">
        <v>4938</v>
      </c>
      <c r="B4939">
        <f>TEXT(4938, "[$-0E0000]yyyy-mm-dd")</f>
        <v/>
      </c>
      <c r="C4939" t="inlineStr">
        <is>
          <t>1913-06-06</t>
        </is>
      </c>
    </row>
    <row r="4940">
      <c r="A4940" s="1" t="n">
        <v>4939</v>
      </c>
      <c r="B4940">
        <f>TEXT(4939, "[$-0E0000]yyyy-mm-dd")</f>
        <v/>
      </c>
      <c r="C4940" t="inlineStr">
        <is>
          <t>1913-06-07</t>
        </is>
      </c>
    </row>
    <row r="4941">
      <c r="A4941" s="1" t="n">
        <v>4940</v>
      </c>
      <c r="B4941">
        <f>TEXT(4940, "[$-0E0000]yyyy-mm-dd")</f>
        <v/>
      </c>
      <c r="C4941" t="inlineStr">
        <is>
          <t>1913-06-08</t>
        </is>
      </c>
    </row>
    <row r="4942">
      <c r="A4942" s="1" t="n">
        <v>4941</v>
      </c>
      <c r="B4942">
        <f>TEXT(4941, "[$-0E0000]yyyy-mm-dd")</f>
        <v/>
      </c>
      <c r="C4942" t="inlineStr">
        <is>
          <t>1913-06-09</t>
        </is>
      </c>
    </row>
    <row r="4943">
      <c r="A4943" s="1" t="n">
        <v>4942</v>
      </c>
      <c r="B4943">
        <f>TEXT(4942, "[$-0E0000]yyyy-mm-dd")</f>
        <v/>
      </c>
      <c r="C4943" t="inlineStr">
        <is>
          <t>1913-06-10</t>
        </is>
      </c>
    </row>
    <row r="4944">
      <c r="A4944" s="1" t="n">
        <v>4943</v>
      </c>
      <c r="B4944">
        <f>TEXT(4943, "[$-0E0000]yyyy-mm-dd")</f>
        <v/>
      </c>
      <c r="C4944" t="inlineStr">
        <is>
          <t>1913-06-11</t>
        </is>
      </c>
    </row>
    <row r="4945">
      <c r="A4945" s="1" t="n">
        <v>4944</v>
      </c>
      <c r="B4945">
        <f>TEXT(4944, "[$-0E0000]yyyy-mm-dd")</f>
        <v/>
      </c>
      <c r="C4945" t="inlineStr">
        <is>
          <t>1913-06-12</t>
        </is>
      </c>
    </row>
    <row r="4946">
      <c r="A4946" s="1" t="n">
        <v>4945</v>
      </c>
      <c r="B4946">
        <f>TEXT(4945, "[$-0E0000]yyyy-mm-dd")</f>
        <v/>
      </c>
      <c r="C4946" t="inlineStr">
        <is>
          <t>1913-06-13</t>
        </is>
      </c>
    </row>
    <row r="4947">
      <c r="A4947" s="1" t="n">
        <v>4946</v>
      </c>
      <c r="B4947">
        <f>TEXT(4946, "[$-0E0000]yyyy-mm-dd")</f>
        <v/>
      </c>
      <c r="C4947" t="inlineStr">
        <is>
          <t>1913-06-14</t>
        </is>
      </c>
    </row>
    <row r="4948">
      <c r="A4948" s="1" t="n">
        <v>4947</v>
      </c>
      <c r="B4948">
        <f>TEXT(4947, "[$-0E0000]yyyy-mm-dd")</f>
        <v/>
      </c>
      <c r="C4948" t="inlineStr">
        <is>
          <t>1913-06-15</t>
        </is>
      </c>
    </row>
    <row r="4949">
      <c r="A4949" s="1" t="n">
        <v>4948</v>
      </c>
      <c r="B4949">
        <f>TEXT(4948, "[$-0E0000]yyyy-mm-dd")</f>
        <v/>
      </c>
      <c r="C4949" t="inlineStr">
        <is>
          <t>1913-06-16</t>
        </is>
      </c>
    </row>
    <row r="4950">
      <c r="A4950" s="1" t="n">
        <v>4949</v>
      </c>
      <c r="B4950">
        <f>TEXT(4949, "[$-0E0000]yyyy-mm-dd")</f>
        <v/>
      </c>
      <c r="C4950" t="inlineStr">
        <is>
          <t>1913-06-17</t>
        </is>
      </c>
    </row>
    <row r="4951">
      <c r="A4951" s="1" t="n">
        <v>4950</v>
      </c>
      <c r="B4951">
        <f>TEXT(4950, "[$-0E0000]yyyy-mm-dd")</f>
        <v/>
      </c>
      <c r="C4951" t="inlineStr">
        <is>
          <t>1913-06-18</t>
        </is>
      </c>
    </row>
    <row r="4952">
      <c r="A4952" s="1" t="n">
        <v>4951</v>
      </c>
      <c r="B4952">
        <f>TEXT(4951, "[$-0E0000]yyyy-mm-dd")</f>
        <v/>
      </c>
      <c r="C4952" t="inlineStr">
        <is>
          <t>1913-06-19</t>
        </is>
      </c>
    </row>
    <row r="4953">
      <c r="A4953" s="1" t="n">
        <v>4952</v>
      </c>
      <c r="B4953">
        <f>TEXT(4952, "[$-0E0000]yyyy-mm-dd")</f>
        <v/>
      </c>
      <c r="C4953" t="inlineStr">
        <is>
          <t>1913-06-20</t>
        </is>
      </c>
    </row>
    <row r="4954">
      <c r="A4954" s="1" t="n">
        <v>4953</v>
      </c>
      <c r="B4954">
        <f>TEXT(4953, "[$-0E0000]yyyy-mm-dd")</f>
        <v/>
      </c>
      <c r="C4954" t="inlineStr">
        <is>
          <t>1913-06-21</t>
        </is>
      </c>
    </row>
    <row r="4955">
      <c r="A4955" s="1" t="n">
        <v>4954</v>
      </c>
      <c r="B4955">
        <f>TEXT(4954, "[$-0E0000]yyyy-mm-dd")</f>
        <v/>
      </c>
      <c r="C4955" t="inlineStr">
        <is>
          <t>1913-06-22</t>
        </is>
      </c>
    </row>
    <row r="4956">
      <c r="A4956" s="1" t="n">
        <v>4955</v>
      </c>
      <c r="B4956">
        <f>TEXT(4955, "[$-0E0000]yyyy-mm-dd")</f>
        <v/>
      </c>
      <c r="C4956" t="inlineStr">
        <is>
          <t>1913-06-23</t>
        </is>
      </c>
    </row>
    <row r="4957">
      <c r="A4957" s="1" t="n">
        <v>4956</v>
      </c>
      <c r="B4957">
        <f>TEXT(4956, "[$-0E0000]yyyy-mm-dd")</f>
        <v/>
      </c>
      <c r="C4957" t="inlineStr">
        <is>
          <t>1913-06-24</t>
        </is>
      </c>
    </row>
    <row r="4958">
      <c r="A4958" s="1" t="n">
        <v>4957</v>
      </c>
      <c r="B4958">
        <f>TEXT(4957, "[$-0E0000]yyyy-mm-dd")</f>
        <v/>
      </c>
      <c r="C4958" t="inlineStr">
        <is>
          <t>1913-06-25</t>
        </is>
      </c>
    </row>
    <row r="4959">
      <c r="A4959" s="1" t="n">
        <v>4958</v>
      </c>
      <c r="B4959">
        <f>TEXT(4958, "[$-0E0000]yyyy-mm-dd")</f>
        <v/>
      </c>
      <c r="C4959" t="inlineStr">
        <is>
          <t>1913-06-26</t>
        </is>
      </c>
    </row>
    <row r="4960">
      <c r="A4960" s="1" t="n">
        <v>4959</v>
      </c>
      <c r="B4960">
        <f>TEXT(4959, "[$-0E0000]yyyy-mm-dd")</f>
        <v/>
      </c>
      <c r="C4960" t="inlineStr">
        <is>
          <t>1913-06-27</t>
        </is>
      </c>
    </row>
    <row r="4961">
      <c r="A4961" s="1" t="n">
        <v>4960</v>
      </c>
      <c r="B4961">
        <f>TEXT(4960, "[$-0E0000]yyyy-mm-dd")</f>
        <v/>
      </c>
      <c r="C4961" t="inlineStr">
        <is>
          <t>1913-06-28</t>
        </is>
      </c>
    </row>
    <row r="4962">
      <c r="A4962" s="1" t="n">
        <v>4961</v>
      </c>
      <c r="B4962">
        <f>TEXT(4961, "[$-0E0000]yyyy-mm-dd")</f>
        <v/>
      </c>
      <c r="C4962" t="inlineStr">
        <is>
          <t>1913-06-29</t>
        </is>
      </c>
    </row>
    <row r="4963">
      <c r="A4963" s="1" t="n">
        <v>4962</v>
      </c>
      <c r="B4963">
        <f>TEXT(4962, "[$-0E0000]yyyy-mm-dd")</f>
        <v/>
      </c>
      <c r="C4963" t="inlineStr">
        <is>
          <t>1913-07-01</t>
        </is>
      </c>
    </row>
    <row r="4964">
      <c r="A4964" s="1" t="n">
        <v>4963</v>
      </c>
      <c r="B4964">
        <f>TEXT(4963, "[$-0E0000]yyyy-mm-dd")</f>
        <v/>
      </c>
      <c r="C4964" t="inlineStr">
        <is>
          <t>1913-07-02</t>
        </is>
      </c>
    </row>
    <row r="4965">
      <c r="A4965" s="1" t="n">
        <v>4964</v>
      </c>
      <c r="B4965">
        <f>TEXT(4964, "[$-0E0000]yyyy-mm-dd")</f>
        <v/>
      </c>
      <c r="C4965" t="inlineStr">
        <is>
          <t>1913-07-03</t>
        </is>
      </c>
    </row>
    <row r="4966">
      <c r="A4966" s="1" t="n">
        <v>4965</v>
      </c>
      <c r="B4966">
        <f>TEXT(4965, "[$-0E0000]yyyy-mm-dd")</f>
        <v/>
      </c>
      <c r="C4966" t="inlineStr">
        <is>
          <t>1913-07-04</t>
        </is>
      </c>
    </row>
    <row r="4967">
      <c r="A4967" s="1" t="n">
        <v>4966</v>
      </c>
      <c r="B4967">
        <f>TEXT(4966, "[$-0E0000]yyyy-mm-dd")</f>
        <v/>
      </c>
      <c r="C4967" t="inlineStr">
        <is>
          <t>1913-07-05</t>
        </is>
      </c>
    </row>
    <row r="4968">
      <c r="A4968" s="1" t="n">
        <v>4967</v>
      </c>
      <c r="B4968">
        <f>TEXT(4967, "[$-0E0000]yyyy-mm-dd")</f>
        <v/>
      </c>
      <c r="C4968" t="inlineStr">
        <is>
          <t>1913-07-06</t>
        </is>
      </c>
    </row>
    <row r="4969">
      <c r="A4969" s="1" t="n">
        <v>4968</v>
      </c>
      <c r="B4969">
        <f>TEXT(4968, "[$-0E0000]yyyy-mm-dd")</f>
        <v/>
      </c>
      <c r="C4969" t="inlineStr">
        <is>
          <t>1913-07-07</t>
        </is>
      </c>
    </row>
    <row r="4970">
      <c r="A4970" s="1" t="n">
        <v>4969</v>
      </c>
      <c r="B4970">
        <f>TEXT(4969, "[$-0E0000]yyyy-mm-dd")</f>
        <v/>
      </c>
      <c r="C4970" t="inlineStr">
        <is>
          <t>1913-07-08</t>
        </is>
      </c>
    </row>
    <row r="4971">
      <c r="A4971" s="1" t="n">
        <v>4970</v>
      </c>
      <c r="B4971">
        <f>TEXT(4970, "[$-0E0000]yyyy-mm-dd")</f>
        <v/>
      </c>
      <c r="C4971" t="inlineStr">
        <is>
          <t>1913-07-09</t>
        </is>
      </c>
    </row>
    <row r="4972">
      <c r="A4972" s="1" t="n">
        <v>4971</v>
      </c>
      <c r="B4972">
        <f>TEXT(4971, "[$-0E0000]yyyy-mm-dd")</f>
        <v/>
      </c>
      <c r="C4972" t="inlineStr">
        <is>
          <t>1913-07-10</t>
        </is>
      </c>
    </row>
    <row r="4973">
      <c r="A4973" s="1" t="n">
        <v>4972</v>
      </c>
      <c r="B4973">
        <f>TEXT(4972, "[$-0E0000]yyyy-mm-dd")</f>
        <v/>
      </c>
      <c r="C4973" t="inlineStr">
        <is>
          <t>1913-07-11</t>
        </is>
      </c>
    </row>
    <row r="4974">
      <c r="A4974" s="1" t="n">
        <v>4973</v>
      </c>
      <c r="B4974">
        <f>TEXT(4973, "[$-0E0000]yyyy-mm-dd")</f>
        <v/>
      </c>
      <c r="C4974" t="inlineStr">
        <is>
          <t>1913-07-12</t>
        </is>
      </c>
    </row>
    <row r="4975">
      <c r="A4975" s="1" t="n">
        <v>4974</v>
      </c>
      <c r="B4975">
        <f>TEXT(4974, "[$-0E0000]yyyy-mm-dd")</f>
        <v/>
      </c>
      <c r="C4975" t="inlineStr">
        <is>
          <t>1913-07-13</t>
        </is>
      </c>
    </row>
    <row r="4976">
      <c r="A4976" s="1" t="n">
        <v>4975</v>
      </c>
      <c r="B4976">
        <f>TEXT(4975, "[$-0E0000]yyyy-mm-dd")</f>
        <v/>
      </c>
      <c r="C4976" t="inlineStr">
        <is>
          <t>1913-07-14</t>
        </is>
      </c>
    </row>
    <row r="4977">
      <c r="A4977" s="1" t="n">
        <v>4976</v>
      </c>
      <c r="B4977">
        <f>TEXT(4976, "[$-0E0000]yyyy-mm-dd")</f>
        <v/>
      </c>
      <c r="C4977" t="inlineStr">
        <is>
          <t>1913-07-15</t>
        </is>
      </c>
    </row>
    <row r="4978">
      <c r="A4978" s="1" t="n">
        <v>4977</v>
      </c>
      <c r="B4978">
        <f>TEXT(4977, "[$-0E0000]yyyy-mm-dd")</f>
        <v/>
      </c>
      <c r="C4978" t="inlineStr">
        <is>
          <t>1913-07-16</t>
        </is>
      </c>
    </row>
    <row r="4979">
      <c r="A4979" s="1" t="n">
        <v>4978</v>
      </c>
      <c r="B4979">
        <f>TEXT(4978, "[$-0E0000]yyyy-mm-dd")</f>
        <v/>
      </c>
      <c r="C4979" t="inlineStr">
        <is>
          <t>1913-07-17</t>
        </is>
      </c>
    </row>
    <row r="4980">
      <c r="A4980" s="1" t="n">
        <v>4979</v>
      </c>
      <c r="B4980">
        <f>TEXT(4979, "[$-0E0000]yyyy-mm-dd")</f>
        <v/>
      </c>
      <c r="C4980" t="inlineStr">
        <is>
          <t>1913-07-18</t>
        </is>
      </c>
    </row>
    <row r="4981">
      <c r="A4981" s="1" t="n">
        <v>4980</v>
      </c>
      <c r="B4981">
        <f>TEXT(4980, "[$-0E0000]yyyy-mm-dd")</f>
        <v/>
      </c>
      <c r="C4981" t="inlineStr">
        <is>
          <t>1913-07-19</t>
        </is>
      </c>
    </row>
    <row r="4982">
      <c r="A4982" s="1" t="n">
        <v>4981</v>
      </c>
      <c r="B4982">
        <f>TEXT(4981, "[$-0E0000]yyyy-mm-dd")</f>
        <v/>
      </c>
      <c r="C4982" t="inlineStr">
        <is>
          <t>1913-07-20</t>
        </is>
      </c>
    </row>
    <row r="4983">
      <c r="A4983" s="1" t="n">
        <v>4982</v>
      </c>
      <c r="B4983">
        <f>TEXT(4982, "[$-0E0000]yyyy-mm-dd")</f>
        <v/>
      </c>
      <c r="C4983" t="inlineStr">
        <is>
          <t>1913-07-21</t>
        </is>
      </c>
    </row>
    <row r="4984">
      <c r="A4984" s="1" t="n">
        <v>4983</v>
      </c>
      <c r="B4984">
        <f>TEXT(4983, "[$-0E0000]yyyy-mm-dd")</f>
        <v/>
      </c>
      <c r="C4984" t="inlineStr">
        <is>
          <t>1913-07-22</t>
        </is>
      </c>
    </row>
    <row r="4985">
      <c r="A4985" s="1" t="n">
        <v>4984</v>
      </c>
      <c r="B4985">
        <f>TEXT(4984, "[$-0E0000]yyyy-mm-dd")</f>
        <v/>
      </c>
      <c r="C4985" t="inlineStr">
        <is>
          <t>1913-07-23</t>
        </is>
      </c>
    </row>
    <row r="4986">
      <c r="A4986" s="1" t="n">
        <v>4985</v>
      </c>
      <c r="B4986">
        <f>TEXT(4985, "[$-0E0000]yyyy-mm-dd")</f>
        <v/>
      </c>
      <c r="C4986" t="inlineStr">
        <is>
          <t>1913-07-24</t>
        </is>
      </c>
    </row>
    <row r="4987">
      <c r="A4987" s="1" t="n">
        <v>4986</v>
      </c>
      <c r="B4987">
        <f>TEXT(4986, "[$-0E0000]yyyy-mm-dd")</f>
        <v/>
      </c>
      <c r="C4987" t="inlineStr">
        <is>
          <t>1913-07-25</t>
        </is>
      </c>
    </row>
    <row r="4988">
      <c r="A4988" s="1" t="n">
        <v>4987</v>
      </c>
      <c r="B4988">
        <f>TEXT(4987, "[$-0E0000]yyyy-mm-dd")</f>
        <v/>
      </c>
      <c r="C4988" t="inlineStr">
        <is>
          <t>1913-07-26</t>
        </is>
      </c>
    </row>
    <row r="4989">
      <c r="A4989" s="1" t="n">
        <v>4988</v>
      </c>
      <c r="B4989">
        <f>TEXT(4988, "[$-0E0000]yyyy-mm-dd")</f>
        <v/>
      </c>
      <c r="C4989" t="inlineStr">
        <is>
          <t>1913-07-27</t>
        </is>
      </c>
    </row>
    <row r="4990">
      <c r="A4990" s="1" t="n">
        <v>4989</v>
      </c>
      <c r="B4990">
        <f>TEXT(4989, "[$-0E0000]yyyy-mm-dd")</f>
        <v/>
      </c>
      <c r="C4990" t="inlineStr">
        <is>
          <t>1913-07-28</t>
        </is>
      </c>
    </row>
    <row r="4991">
      <c r="A4991" s="1" t="n">
        <v>4990</v>
      </c>
      <c r="B4991">
        <f>TEXT(4990, "[$-0E0000]yyyy-mm-dd")</f>
        <v/>
      </c>
      <c r="C4991" t="inlineStr">
        <is>
          <t>1913-07-29</t>
        </is>
      </c>
    </row>
    <row r="4992">
      <c r="A4992" s="1" t="n">
        <v>4991</v>
      </c>
      <c r="B4992">
        <f>TEXT(4991, "[$-0E0000]yyyy-mm-dd")</f>
        <v/>
      </c>
      <c r="C4992" t="inlineStr">
        <is>
          <t>1913-07-30</t>
        </is>
      </c>
    </row>
    <row r="4993">
      <c r="A4993" s="1" t="n">
        <v>4992</v>
      </c>
      <c r="B4993">
        <f>TEXT(4992, "[$-0E0000]yyyy-mm-dd")</f>
        <v/>
      </c>
      <c r="C4993" t="inlineStr">
        <is>
          <t>1913-08-01</t>
        </is>
      </c>
    </row>
    <row r="4994">
      <c r="A4994" s="1" t="n">
        <v>4993</v>
      </c>
      <c r="B4994">
        <f>TEXT(4993, "[$-0E0000]yyyy-mm-dd")</f>
        <v/>
      </c>
      <c r="C4994" t="inlineStr">
        <is>
          <t>1913-08-02</t>
        </is>
      </c>
    </row>
    <row r="4995">
      <c r="A4995" s="1" t="n">
        <v>4994</v>
      </c>
      <c r="B4995">
        <f>TEXT(4994, "[$-0E0000]yyyy-mm-dd")</f>
        <v/>
      </c>
      <c r="C4995" t="inlineStr">
        <is>
          <t>1913-08-03</t>
        </is>
      </c>
    </row>
    <row r="4996">
      <c r="A4996" s="1" t="n">
        <v>4995</v>
      </c>
      <c r="B4996">
        <f>TEXT(4995, "[$-0E0000]yyyy-mm-dd")</f>
        <v/>
      </c>
      <c r="C4996" t="inlineStr">
        <is>
          <t>1913-08-04</t>
        </is>
      </c>
    </row>
    <row r="4997">
      <c r="A4997" s="1" t="n">
        <v>4996</v>
      </c>
      <c r="B4997">
        <f>TEXT(4996, "[$-0E0000]yyyy-mm-dd")</f>
        <v/>
      </c>
      <c r="C4997" t="inlineStr">
        <is>
          <t>1913-08-05</t>
        </is>
      </c>
    </row>
    <row r="4998">
      <c r="A4998" s="1" t="n">
        <v>4997</v>
      </c>
      <c r="B4998">
        <f>TEXT(4997, "[$-0E0000]yyyy-mm-dd")</f>
        <v/>
      </c>
      <c r="C4998" t="inlineStr">
        <is>
          <t>1913-08-06</t>
        </is>
      </c>
    </row>
    <row r="4999">
      <c r="A4999" s="1" t="n">
        <v>4998</v>
      </c>
      <c r="B4999">
        <f>TEXT(4998, "[$-0E0000]yyyy-mm-dd")</f>
        <v/>
      </c>
      <c r="C4999" t="inlineStr">
        <is>
          <t>1913-08-07</t>
        </is>
      </c>
    </row>
    <row r="5000">
      <c r="A5000" s="1" t="n">
        <v>4999</v>
      </c>
      <c r="B5000">
        <f>TEXT(4999, "[$-0E0000]yyyy-mm-dd")</f>
        <v/>
      </c>
      <c r="C5000" t="inlineStr">
        <is>
          <t>1913-08-08</t>
        </is>
      </c>
    </row>
    <row r="5001">
      <c r="A5001" s="1" t="n">
        <v>5000</v>
      </c>
      <c r="B5001">
        <f>TEXT(5000, "[$-0E0000]yyyy-mm-dd")</f>
        <v/>
      </c>
      <c r="C5001" t="inlineStr">
        <is>
          <t>1913-08-09</t>
        </is>
      </c>
    </row>
    <row r="5002">
      <c r="A5002" s="1" t="n">
        <v>5001</v>
      </c>
      <c r="B5002">
        <f>TEXT(5001, "[$-0E0000]yyyy-mm-dd")</f>
        <v/>
      </c>
      <c r="C5002" t="inlineStr">
        <is>
          <t>1913-08-10</t>
        </is>
      </c>
    </row>
    <row r="5003">
      <c r="A5003" s="1" t="n">
        <v>5002</v>
      </c>
      <c r="B5003">
        <f>TEXT(5002, "[$-0E0000]yyyy-mm-dd")</f>
        <v/>
      </c>
      <c r="C5003" t="inlineStr">
        <is>
          <t>1913-08-11</t>
        </is>
      </c>
    </row>
    <row r="5004">
      <c r="A5004" s="1" t="n">
        <v>5003</v>
      </c>
      <c r="B5004">
        <f>TEXT(5003, "[$-0E0000]yyyy-mm-dd")</f>
        <v/>
      </c>
      <c r="C5004" t="inlineStr">
        <is>
          <t>1913-08-12</t>
        </is>
      </c>
    </row>
    <row r="5005">
      <c r="A5005" s="1" t="n">
        <v>5004</v>
      </c>
      <c r="B5005">
        <f>TEXT(5004, "[$-0E0000]yyyy-mm-dd")</f>
        <v/>
      </c>
      <c r="C5005" t="inlineStr">
        <is>
          <t>1913-08-13</t>
        </is>
      </c>
    </row>
    <row r="5006">
      <c r="A5006" s="1" t="n">
        <v>5005</v>
      </c>
      <c r="B5006">
        <f>TEXT(5005, "[$-0E0000]yyyy-mm-dd")</f>
        <v/>
      </c>
      <c r="C5006" t="inlineStr">
        <is>
          <t>1913-08-14</t>
        </is>
      </c>
    </row>
    <row r="5007">
      <c r="A5007" s="1" t="n">
        <v>5006</v>
      </c>
      <c r="B5007">
        <f>TEXT(5006, "[$-0E0000]yyyy-mm-dd")</f>
        <v/>
      </c>
      <c r="C5007" t="inlineStr">
        <is>
          <t>1913-08-15</t>
        </is>
      </c>
    </row>
    <row r="5008">
      <c r="A5008" s="1" t="n">
        <v>5007</v>
      </c>
      <c r="B5008">
        <f>TEXT(5007, "[$-0E0000]yyyy-mm-dd")</f>
        <v/>
      </c>
      <c r="C5008" t="inlineStr">
        <is>
          <t>1913-08-16</t>
        </is>
      </c>
    </row>
    <row r="5009">
      <c r="A5009" s="1" t="n">
        <v>5008</v>
      </c>
      <c r="B5009">
        <f>TEXT(5008, "[$-0E0000]yyyy-mm-dd")</f>
        <v/>
      </c>
      <c r="C5009" t="inlineStr">
        <is>
          <t>1913-08-17</t>
        </is>
      </c>
    </row>
    <row r="5010">
      <c r="A5010" s="1" t="n">
        <v>5009</v>
      </c>
      <c r="B5010">
        <f>TEXT(5009, "[$-0E0000]yyyy-mm-dd")</f>
        <v/>
      </c>
      <c r="C5010" t="inlineStr">
        <is>
          <t>1913-08-18</t>
        </is>
      </c>
    </row>
    <row r="5011">
      <c r="A5011" s="1" t="n">
        <v>5010</v>
      </c>
      <c r="B5011">
        <f>TEXT(5010, "[$-0E0000]yyyy-mm-dd")</f>
        <v/>
      </c>
      <c r="C5011" t="inlineStr">
        <is>
          <t>1913-08-19</t>
        </is>
      </c>
    </row>
    <row r="5012">
      <c r="A5012" s="1" t="n">
        <v>5011</v>
      </c>
      <c r="B5012">
        <f>TEXT(5011, "[$-0E0000]yyyy-mm-dd")</f>
        <v/>
      </c>
      <c r="C5012" t="inlineStr">
        <is>
          <t>1913-08-20</t>
        </is>
      </c>
    </row>
    <row r="5013">
      <c r="A5013" s="1" t="n">
        <v>5012</v>
      </c>
      <c r="B5013">
        <f>TEXT(5012, "[$-0E0000]yyyy-mm-dd")</f>
        <v/>
      </c>
      <c r="C5013" t="inlineStr">
        <is>
          <t>1913-08-21</t>
        </is>
      </c>
    </row>
    <row r="5014">
      <c r="A5014" s="1" t="n">
        <v>5013</v>
      </c>
      <c r="B5014">
        <f>TEXT(5013, "[$-0E0000]yyyy-mm-dd")</f>
        <v/>
      </c>
      <c r="C5014" t="inlineStr">
        <is>
          <t>1913-08-22</t>
        </is>
      </c>
    </row>
    <row r="5015">
      <c r="A5015" s="1" t="n">
        <v>5014</v>
      </c>
      <c r="B5015">
        <f>TEXT(5014, "[$-0E0000]yyyy-mm-dd")</f>
        <v/>
      </c>
      <c r="C5015" t="inlineStr">
        <is>
          <t>1913-08-23</t>
        </is>
      </c>
    </row>
    <row r="5016">
      <c r="A5016" s="1" t="n">
        <v>5015</v>
      </c>
      <c r="B5016">
        <f>TEXT(5015, "[$-0E0000]yyyy-mm-dd")</f>
        <v/>
      </c>
      <c r="C5016" t="inlineStr">
        <is>
          <t>1913-08-24</t>
        </is>
      </c>
    </row>
    <row r="5017">
      <c r="A5017" s="1" t="n">
        <v>5016</v>
      </c>
      <c r="B5017">
        <f>TEXT(5016, "[$-0E0000]yyyy-mm-dd")</f>
        <v/>
      </c>
      <c r="C5017" t="inlineStr">
        <is>
          <t>1913-08-25</t>
        </is>
      </c>
    </row>
    <row r="5018">
      <c r="A5018" s="1" t="n">
        <v>5017</v>
      </c>
      <c r="B5018">
        <f>TEXT(5017, "[$-0E0000]yyyy-mm-dd")</f>
        <v/>
      </c>
      <c r="C5018" t="inlineStr">
        <is>
          <t>1913-08-26</t>
        </is>
      </c>
    </row>
    <row r="5019">
      <c r="A5019" s="1" t="n">
        <v>5018</v>
      </c>
      <c r="B5019">
        <f>TEXT(5018, "[$-0E0000]yyyy-mm-dd")</f>
        <v/>
      </c>
      <c r="C5019" t="inlineStr">
        <is>
          <t>1913-08-27</t>
        </is>
      </c>
    </row>
    <row r="5020">
      <c r="A5020" s="1" t="n">
        <v>5019</v>
      </c>
      <c r="B5020">
        <f>TEXT(5019, "[$-0E0000]yyyy-mm-dd")</f>
        <v/>
      </c>
      <c r="C5020" t="inlineStr">
        <is>
          <t>1913-08-28</t>
        </is>
      </c>
    </row>
    <row r="5021">
      <c r="A5021" s="1" t="n">
        <v>5020</v>
      </c>
      <c r="B5021">
        <f>TEXT(5020, "[$-0E0000]yyyy-mm-dd")</f>
        <v/>
      </c>
      <c r="C5021" t="inlineStr">
        <is>
          <t>1913-08-29</t>
        </is>
      </c>
    </row>
    <row r="5022">
      <c r="A5022" s="1" t="n">
        <v>5021</v>
      </c>
      <c r="B5022">
        <f>TEXT(5021, "[$-0E0000]yyyy-mm-dd")</f>
        <v/>
      </c>
      <c r="C5022" t="inlineStr">
        <is>
          <t>1913-09-01</t>
        </is>
      </c>
    </row>
    <row r="5023">
      <c r="A5023" s="1" t="n">
        <v>5022</v>
      </c>
      <c r="B5023">
        <f>TEXT(5022, "[$-0E0000]yyyy-mm-dd")</f>
        <v/>
      </c>
      <c r="C5023" t="inlineStr">
        <is>
          <t>1913-09-02</t>
        </is>
      </c>
    </row>
    <row r="5024">
      <c r="A5024" s="1" t="n">
        <v>5023</v>
      </c>
      <c r="B5024">
        <f>TEXT(5023, "[$-0E0000]yyyy-mm-dd")</f>
        <v/>
      </c>
      <c r="C5024" t="inlineStr">
        <is>
          <t>1913-09-03</t>
        </is>
      </c>
    </row>
    <row r="5025">
      <c r="A5025" s="1" t="n">
        <v>5024</v>
      </c>
      <c r="B5025">
        <f>TEXT(5024, "[$-0E0000]yyyy-mm-dd")</f>
        <v/>
      </c>
      <c r="C5025" t="inlineStr">
        <is>
          <t>1913-09-04</t>
        </is>
      </c>
    </row>
    <row r="5026">
      <c r="A5026" s="1" t="n">
        <v>5025</v>
      </c>
      <c r="B5026">
        <f>TEXT(5025, "[$-0E0000]yyyy-mm-dd")</f>
        <v/>
      </c>
      <c r="C5026" t="inlineStr">
        <is>
          <t>1913-09-05</t>
        </is>
      </c>
    </row>
    <row r="5027">
      <c r="A5027" s="1" t="n">
        <v>5026</v>
      </c>
      <c r="B5027">
        <f>TEXT(5026, "[$-0E0000]yyyy-mm-dd")</f>
        <v/>
      </c>
      <c r="C5027" t="inlineStr">
        <is>
          <t>1913-09-06</t>
        </is>
      </c>
    </row>
    <row r="5028">
      <c r="A5028" s="1" t="n">
        <v>5027</v>
      </c>
      <c r="B5028">
        <f>TEXT(5027, "[$-0E0000]yyyy-mm-dd")</f>
        <v/>
      </c>
      <c r="C5028" t="inlineStr">
        <is>
          <t>1913-09-07</t>
        </is>
      </c>
    </row>
    <row r="5029">
      <c r="A5029" s="1" t="n">
        <v>5028</v>
      </c>
      <c r="B5029">
        <f>TEXT(5028, "[$-0E0000]yyyy-mm-dd")</f>
        <v/>
      </c>
      <c r="C5029" t="inlineStr">
        <is>
          <t>1913-09-08</t>
        </is>
      </c>
    </row>
    <row r="5030">
      <c r="A5030" s="1" t="n">
        <v>5029</v>
      </c>
      <c r="B5030">
        <f>TEXT(5029, "[$-0E0000]yyyy-mm-dd")</f>
        <v/>
      </c>
      <c r="C5030" t="inlineStr">
        <is>
          <t>1913-09-09</t>
        </is>
      </c>
    </row>
    <row r="5031">
      <c r="A5031" s="1" t="n">
        <v>5030</v>
      </c>
      <c r="B5031">
        <f>TEXT(5030, "[$-0E0000]yyyy-mm-dd")</f>
        <v/>
      </c>
      <c r="C5031" t="inlineStr">
        <is>
          <t>1913-09-10</t>
        </is>
      </c>
    </row>
    <row r="5032">
      <c r="A5032" s="1" t="n">
        <v>5031</v>
      </c>
      <c r="B5032">
        <f>TEXT(5031, "[$-0E0000]yyyy-mm-dd")</f>
        <v/>
      </c>
      <c r="C5032" t="inlineStr">
        <is>
          <t>1913-09-11</t>
        </is>
      </c>
    </row>
    <row r="5033">
      <c r="A5033" s="1" t="n">
        <v>5032</v>
      </c>
      <c r="B5033">
        <f>TEXT(5032, "[$-0E0000]yyyy-mm-dd")</f>
        <v/>
      </c>
      <c r="C5033" t="inlineStr">
        <is>
          <t>1913-09-12</t>
        </is>
      </c>
    </row>
    <row r="5034">
      <c r="A5034" s="1" t="n">
        <v>5033</v>
      </c>
      <c r="B5034">
        <f>TEXT(5033, "[$-0E0000]yyyy-mm-dd")</f>
        <v/>
      </c>
      <c r="C5034" t="inlineStr">
        <is>
          <t>1913-09-13</t>
        </is>
      </c>
    </row>
    <row r="5035">
      <c r="A5035" s="1" t="n">
        <v>5034</v>
      </c>
      <c r="B5035">
        <f>TEXT(5034, "[$-0E0000]yyyy-mm-dd")</f>
        <v/>
      </c>
      <c r="C5035" t="inlineStr">
        <is>
          <t>1913-09-14</t>
        </is>
      </c>
    </row>
    <row r="5036">
      <c r="A5036" s="1" t="n">
        <v>5035</v>
      </c>
      <c r="B5036">
        <f>TEXT(5035, "[$-0E0000]yyyy-mm-dd")</f>
        <v/>
      </c>
      <c r="C5036" t="inlineStr">
        <is>
          <t>1913-09-15</t>
        </is>
      </c>
    </row>
    <row r="5037">
      <c r="A5037" s="1" t="n">
        <v>5036</v>
      </c>
      <c r="B5037">
        <f>TEXT(5036, "[$-0E0000]yyyy-mm-dd")</f>
        <v/>
      </c>
      <c r="C5037" t="inlineStr">
        <is>
          <t>1913-09-16</t>
        </is>
      </c>
    </row>
    <row r="5038">
      <c r="A5038" s="1" t="n">
        <v>5037</v>
      </c>
      <c r="B5038">
        <f>TEXT(5037, "[$-0E0000]yyyy-mm-dd")</f>
        <v/>
      </c>
      <c r="C5038" t="inlineStr">
        <is>
          <t>1913-09-17</t>
        </is>
      </c>
    </row>
    <row r="5039">
      <c r="A5039" s="1" t="n">
        <v>5038</v>
      </c>
      <c r="B5039">
        <f>TEXT(5038, "[$-0E0000]yyyy-mm-dd")</f>
        <v/>
      </c>
      <c r="C5039" t="inlineStr">
        <is>
          <t>1913-09-18</t>
        </is>
      </c>
    </row>
    <row r="5040">
      <c r="A5040" s="1" t="n">
        <v>5039</v>
      </c>
      <c r="B5040">
        <f>TEXT(5039, "[$-0E0000]yyyy-mm-dd")</f>
        <v/>
      </c>
      <c r="C5040" t="inlineStr">
        <is>
          <t>1913-09-19</t>
        </is>
      </c>
    </row>
    <row r="5041">
      <c r="A5041" s="1" t="n">
        <v>5040</v>
      </c>
      <c r="B5041">
        <f>TEXT(5040, "[$-0E0000]yyyy-mm-dd")</f>
        <v/>
      </c>
      <c r="C5041" t="inlineStr">
        <is>
          <t>1913-09-20</t>
        </is>
      </c>
    </row>
    <row r="5042">
      <c r="A5042" s="1" t="n">
        <v>5041</v>
      </c>
      <c r="B5042">
        <f>TEXT(5041, "[$-0E0000]yyyy-mm-dd")</f>
        <v/>
      </c>
      <c r="C5042" t="inlineStr">
        <is>
          <t>1913-09-21</t>
        </is>
      </c>
    </row>
    <row r="5043">
      <c r="A5043" s="1" t="n">
        <v>5042</v>
      </c>
      <c r="B5043">
        <f>TEXT(5042, "[$-0E0000]yyyy-mm-dd")</f>
        <v/>
      </c>
      <c r="C5043" t="inlineStr">
        <is>
          <t>1913-09-22</t>
        </is>
      </c>
    </row>
    <row r="5044">
      <c r="A5044" s="1" t="n">
        <v>5043</v>
      </c>
      <c r="B5044">
        <f>TEXT(5043, "[$-0E0000]yyyy-mm-dd")</f>
        <v/>
      </c>
      <c r="C5044" t="inlineStr">
        <is>
          <t>1913-09-23</t>
        </is>
      </c>
    </row>
    <row r="5045">
      <c r="A5045" s="1" t="n">
        <v>5044</v>
      </c>
      <c r="B5045">
        <f>TEXT(5044, "[$-0E0000]yyyy-mm-dd")</f>
        <v/>
      </c>
      <c r="C5045" t="inlineStr">
        <is>
          <t>1913-09-24</t>
        </is>
      </c>
    </row>
    <row r="5046">
      <c r="A5046" s="1" t="n">
        <v>5045</v>
      </c>
      <c r="B5046">
        <f>TEXT(5045, "[$-0E0000]yyyy-mm-dd")</f>
        <v/>
      </c>
      <c r="C5046" t="inlineStr">
        <is>
          <t>1913-09-25</t>
        </is>
      </c>
    </row>
    <row r="5047">
      <c r="A5047" s="1" t="n">
        <v>5046</v>
      </c>
      <c r="B5047">
        <f>TEXT(5046, "[$-0E0000]yyyy-mm-dd")</f>
        <v/>
      </c>
      <c r="C5047" t="inlineStr">
        <is>
          <t>1913-09-26</t>
        </is>
      </c>
    </row>
    <row r="5048">
      <c r="A5048" s="1" t="n">
        <v>5047</v>
      </c>
      <c r="B5048">
        <f>TEXT(5047, "[$-0E0000]yyyy-mm-dd")</f>
        <v/>
      </c>
      <c r="C5048" t="inlineStr">
        <is>
          <t>1913-09-27</t>
        </is>
      </c>
    </row>
    <row r="5049">
      <c r="A5049" s="1" t="n">
        <v>5048</v>
      </c>
      <c r="B5049">
        <f>TEXT(5048, "[$-0E0000]yyyy-mm-dd")</f>
        <v/>
      </c>
      <c r="C5049" t="inlineStr">
        <is>
          <t>1913-09-28</t>
        </is>
      </c>
    </row>
    <row r="5050">
      <c r="A5050" s="1" t="n">
        <v>5049</v>
      </c>
      <c r="B5050">
        <f>TEXT(5049, "[$-0E0000]yyyy-mm-dd")</f>
        <v/>
      </c>
      <c r="C5050" t="inlineStr">
        <is>
          <t>1913-09-29</t>
        </is>
      </c>
    </row>
    <row r="5051">
      <c r="A5051" s="1" t="n">
        <v>5050</v>
      </c>
      <c r="B5051">
        <f>TEXT(5050, "[$-0E0000]yyyy-mm-dd")</f>
        <v/>
      </c>
      <c r="C5051" t="inlineStr">
        <is>
          <t>1913-10-01</t>
        </is>
      </c>
    </row>
    <row r="5052">
      <c r="A5052" s="1" t="n">
        <v>5051</v>
      </c>
      <c r="B5052">
        <f>TEXT(5051, "[$-0E0000]yyyy-mm-dd")</f>
        <v/>
      </c>
      <c r="C5052" t="inlineStr">
        <is>
          <t>1913-10-02</t>
        </is>
      </c>
    </row>
    <row r="5053">
      <c r="A5053" s="1" t="n">
        <v>5052</v>
      </c>
      <c r="B5053">
        <f>TEXT(5052, "[$-0E0000]yyyy-mm-dd")</f>
        <v/>
      </c>
      <c r="C5053" t="inlineStr">
        <is>
          <t>1913-10-03</t>
        </is>
      </c>
    </row>
    <row r="5054">
      <c r="A5054" s="1" t="n">
        <v>5053</v>
      </c>
      <c r="B5054">
        <f>TEXT(5053, "[$-0E0000]yyyy-mm-dd")</f>
        <v/>
      </c>
      <c r="C5054" t="inlineStr">
        <is>
          <t>1913-10-04</t>
        </is>
      </c>
    </row>
    <row r="5055">
      <c r="A5055" s="1" t="n">
        <v>5054</v>
      </c>
      <c r="B5055">
        <f>TEXT(5054, "[$-0E0000]yyyy-mm-dd")</f>
        <v/>
      </c>
      <c r="C5055" t="inlineStr">
        <is>
          <t>1913-10-05</t>
        </is>
      </c>
    </row>
    <row r="5056">
      <c r="A5056" s="1" t="n">
        <v>5055</v>
      </c>
      <c r="B5056">
        <f>TEXT(5055, "[$-0E0000]yyyy-mm-dd")</f>
        <v/>
      </c>
      <c r="C5056" t="inlineStr">
        <is>
          <t>1913-10-06</t>
        </is>
      </c>
    </row>
    <row r="5057">
      <c r="A5057" s="1" t="n">
        <v>5056</v>
      </c>
      <c r="B5057">
        <f>TEXT(5056, "[$-0E0000]yyyy-mm-dd")</f>
        <v/>
      </c>
      <c r="C5057" t="inlineStr">
        <is>
          <t>1913-10-07</t>
        </is>
      </c>
    </row>
    <row r="5058">
      <c r="A5058" s="1" t="n">
        <v>5057</v>
      </c>
      <c r="B5058">
        <f>TEXT(5057, "[$-0E0000]yyyy-mm-dd")</f>
        <v/>
      </c>
      <c r="C5058" t="inlineStr">
        <is>
          <t>1913-10-08</t>
        </is>
      </c>
    </row>
    <row r="5059">
      <c r="A5059" s="1" t="n">
        <v>5058</v>
      </c>
      <c r="B5059">
        <f>TEXT(5058, "[$-0E0000]yyyy-mm-dd")</f>
        <v/>
      </c>
      <c r="C5059" t="inlineStr">
        <is>
          <t>1913-10-09</t>
        </is>
      </c>
    </row>
    <row r="5060">
      <c r="A5060" s="1" t="n">
        <v>5059</v>
      </c>
      <c r="B5060">
        <f>TEXT(5059, "[$-0E0000]yyyy-mm-dd")</f>
        <v/>
      </c>
      <c r="C5060" t="inlineStr">
        <is>
          <t>1913-10-10</t>
        </is>
      </c>
    </row>
    <row r="5061">
      <c r="A5061" s="1" t="n">
        <v>5060</v>
      </c>
      <c r="B5061">
        <f>TEXT(5060, "[$-0E0000]yyyy-mm-dd")</f>
        <v/>
      </c>
      <c r="C5061" t="inlineStr">
        <is>
          <t>1913-10-11</t>
        </is>
      </c>
    </row>
    <row r="5062">
      <c r="A5062" s="1" t="n">
        <v>5061</v>
      </c>
      <c r="B5062">
        <f>TEXT(5061, "[$-0E0000]yyyy-mm-dd")</f>
        <v/>
      </c>
      <c r="C5062" t="inlineStr">
        <is>
          <t>1913-10-12</t>
        </is>
      </c>
    </row>
    <row r="5063">
      <c r="A5063" s="1" t="n">
        <v>5062</v>
      </c>
      <c r="B5063">
        <f>TEXT(5062, "[$-0E0000]yyyy-mm-dd")</f>
        <v/>
      </c>
      <c r="C5063" t="inlineStr">
        <is>
          <t>1913-10-13</t>
        </is>
      </c>
    </row>
    <row r="5064">
      <c r="A5064" s="1" t="n">
        <v>5063</v>
      </c>
      <c r="B5064">
        <f>TEXT(5063, "[$-0E0000]yyyy-mm-dd")</f>
        <v/>
      </c>
      <c r="C5064" t="inlineStr">
        <is>
          <t>1913-10-14</t>
        </is>
      </c>
    </row>
    <row r="5065">
      <c r="A5065" s="1" t="n">
        <v>5064</v>
      </c>
      <c r="B5065">
        <f>TEXT(5064, "[$-0E0000]yyyy-mm-dd")</f>
        <v/>
      </c>
      <c r="C5065" t="inlineStr">
        <is>
          <t>1913-10-15</t>
        </is>
      </c>
    </row>
    <row r="5066">
      <c r="A5066" s="1" t="n">
        <v>5065</v>
      </c>
      <c r="B5066">
        <f>TEXT(5065, "[$-0E0000]yyyy-mm-dd")</f>
        <v/>
      </c>
      <c r="C5066" t="inlineStr">
        <is>
          <t>1913-10-16</t>
        </is>
      </c>
    </row>
    <row r="5067">
      <c r="A5067" s="1" t="n">
        <v>5066</v>
      </c>
      <c r="B5067">
        <f>TEXT(5066, "[$-0E0000]yyyy-mm-dd")</f>
        <v/>
      </c>
      <c r="C5067" t="inlineStr">
        <is>
          <t>1913-10-17</t>
        </is>
      </c>
    </row>
    <row r="5068">
      <c r="A5068" s="1" t="n">
        <v>5067</v>
      </c>
      <c r="B5068">
        <f>TEXT(5067, "[$-0E0000]yyyy-mm-dd")</f>
        <v/>
      </c>
      <c r="C5068" t="inlineStr">
        <is>
          <t>1913-10-18</t>
        </is>
      </c>
    </row>
    <row r="5069">
      <c r="A5069" s="1" t="n">
        <v>5068</v>
      </c>
      <c r="B5069">
        <f>TEXT(5068, "[$-0E0000]yyyy-mm-dd")</f>
        <v/>
      </c>
      <c r="C5069" t="inlineStr">
        <is>
          <t>1913-10-19</t>
        </is>
      </c>
    </row>
    <row r="5070">
      <c r="A5070" s="1" t="n">
        <v>5069</v>
      </c>
      <c r="B5070">
        <f>TEXT(5069, "[$-0E0000]yyyy-mm-dd")</f>
        <v/>
      </c>
      <c r="C5070" t="inlineStr">
        <is>
          <t>1913-10-20</t>
        </is>
      </c>
    </row>
    <row r="5071">
      <c r="A5071" s="1" t="n">
        <v>5070</v>
      </c>
      <c r="B5071">
        <f>TEXT(5070, "[$-0E0000]yyyy-mm-dd")</f>
        <v/>
      </c>
      <c r="C5071" t="inlineStr">
        <is>
          <t>1913-10-21</t>
        </is>
      </c>
    </row>
    <row r="5072">
      <c r="A5072" s="1" t="n">
        <v>5071</v>
      </c>
      <c r="B5072">
        <f>TEXT(5071, "[$-0E0000]yyyy-mm-dd")</f>
        <v/>
      </c>
      <c r="C5072" t="inlineStr">
        <is>
          <t>1913-10-22</t>
        </is>
      </c>
    </row>
    <row r="5073">
      <c r="A5073" s="1" t="n">
        <v>5072</v>
      </c>
      <c r="B5073">
        <f>TEXT(5072, "[$-0E0000]yyyy-mm-dd")</f>
        <v/>
      </c>
      <c r="C5073" t="inlineStr">
        <is>
          <t>1913-10-23</t>
        </is>
      </c>
    </row>
    <row r="5074">
      <c r="A5074" s="1" t="n">
        <v>5073</v>
      </c>
      <c r="B5074">
        <f>TEXT(5073, "[$-0E0000]yyyy-mm-dd")</f>
        <v/>
      </c>
      <c r="C5074" t="inlineStr">
        <is>
          <t>1913-10-24</t>
        </is>
      </c>
    </row>
    <row r="5075">
      <c r="A5075" s="1" t="n">
        <v>5074</v>
      </c>
      <c r="B5075">
        <f>TEXT(5074, "[$-0E0000]yyyy-mm-dd")</f>
        <v/>
      </c>
      <c r="C5075" t="inlineStr">
        <is>
          <t>1913-10-25</t>
        </is>
      </c>
    </row>
    <row r="5076">
      <c r="A5076" s="1" t="n">
        <v>5075</v>
      </c>
      <c r="B5076">
        <f>TEXT(5075, "[$-0E0000]yyyy-mm-dd")</f>
        <v/>
      </c>
      <c r="C5076" t="inlineStr">
        <is>
          <t>1913-10-26</t>
        </is>
      </c>
    </row>
    <row r="5077">
      <c r="A5077" s="1" t="n">
        <v>5076</v>
      </c>
      <c r="B5077">
        <f>TEXT(5076, "[$-0E0000]yyyy-mm-dd")</f>
        <v/>
      </c>
      <c r="C5077" t="inlineStr">
        <is>
          <t>1913-10-27</t>
        </is>
      </c>
    </row>
    <row r="5078">
      <c r="A5078" s="1" t="n">
        <v>5077</v>
      </c>
      <c r="B5078">
        <f>TEXT(5077, "[$-0E0000]yyyy-mm-dd")</f>
        <v/>
      </c>
      <c r="C5078" t="inlineStr">
        <is>
          <t>1913-10-28</t>
        </is>
      </c>
    </row>
    <row r="5079">
      <c r="A5079" s="1" t="n">
        <v>5078</v>
      </c>
      <c r="B5079">
        <f>TEXT(5078, "[$-0E0000]yyyy-mm-dd")</f>
        <v/>
      </c>
      <c r="C5079" t="inlineStr">
        <is>
          <t>1913-10-29</t>
        </is>
      </c>
    </row>
    <row r="5080">
      <c r="A5080" s="1" t="n">
        <v>5079</v>
      </c>
      <c r="B5080">
        <f>TEXT(5079, "[$-0E0000]yyyy-mm-dd")</f>
        <v/>
      </c>
      <c r="C5080" t="inlineStr">
        <is>
          <t>1913-10-30</t>
        </is>
      </c>
    </row>
    <row r="5081">
      <c r="A5081" s="1" t="n">
        <v>5080</v>
      </c>
      <c r="B5081">
        <f>TEXT(5080, "[$-0E0000]yyyy-mm-dd")</f>
        <v/>
      </c>
      <c r="C5081" t="inlineStr">
        <is>
          <t>1913-11-01</t>
        </is>
      </c>
    </row>
    <row r="5082">
      <c r="A5082" s="1" t="n">
        <v>5081</v>
      </c>
      <c r="B5082">
        <f>TEXT(5081, "[$-0E0000]yyyy-mm-dd")</f>
        <v/>
      </c>
      <c r="C5082" t="inlineStr">
        <is>
          <t>1913-11-02</t>
        </is>
      </c>
    </row>
    <row r="5083">
      <c r="A5083" s="1" t="n">
        <v>5082</v>
      </c>
      <c r="B5083">
        <f>TEXT(5082, "[$-0E0000]yyyy-mm-dd")</f>
        <v/>
      </c>
      <c r="C5083" t="inlineStr">
        <is>
          <t>1913-11-03</t>
        </is>
      </c>
    </row>
    <row r="5084">
      <c r="A5084" s="1" t="n">
        <v>5083</v>
      </c>
      <c r="B5084">
        <f>TEXT(5083, "[$-0E0000]yyyy-mm-dd")</f>
        <v/>
      </c>
      <c r="C5084" t="inlineStr">
        <is>
          <t>1913-11-04</t>
        </is>
      </c>
    </row>
    <row r="5085">
      <c r="A5085" s="1" t="n">
        <v>5084</v>
      </c>
      <c r="B5085">
        <f>TEXT(5084, "[$-0E0000]yyyy-mm-dd")</f>
        <v/>
      </c>
      <c r="C5085" t="inlineStr">
        <is>
          <t>1913-11-05</t>
        </is>
      </c>
    </row>
    <row r="5086">
      <c r="A5086" s="1" t="n">
        <v>5085</v>
      </c>
      <c r="B5086">
        <f>TEXT(5085, "[$-0E0000]yyyy-mm-dd")</f>
        <v/>
      </c>
      <c r="C5086" t="inlineStr">
        <is>
          <t>1913-11-06</t>
        </is>
      </c>
    </row>
    <row r="5087">
      <c r="A5087" s="1" t="n">
        <v>5086</v>
      </c>
      <c r="B5087">
        <f>TEXT(5086, "[$-0E0000]yyyy-mm-dd")</f>
        <v/>
      </c>
      <c r="C5087" t="inlineStr">
        <is>
          <t>1913-11-07</t>
        </is>
      </c>
    </row>
    <row r="5088">
      <c r="A5088" s="1" t="n">
        <v>5087</v>
      </c>
      <c r="B5088">
        <f>TEXT(5087, "[$-0E0000]yyyy-mm-dd")</f>
        <v/>
      </c>
      <c r="C5088" t="inlineStr">
        <is>
          <t>1913-11-08</t>
        </is>
      </c>
    </row>
    <row r="5089">
      <c r="A5089" s="1" t="n">
        <v>5088</v>
      </c>
      <c r="B5089">
        <f>TEXT(5088, "[$-0E0000]yyyy-mm-dd")</f>
        <v/>
      </c>
      <c r="C5089" t="inlineStr">
        <is>
          <t>1913-11-09</t>
        </is>
      </c>
    </row>
    <row r="5090">
      <c r="A5090" s="1" t="n">
        <v>5089</v>
      </c>
      <c r="B5090">
        <f>TEXT(5089, "[$-0E0000]yyyy-mm-dd")</f>
        <v/>
      </c>
      <c r="C5090" t="inlineStr">
        <is>
          <t>1913-11-10</t>
        </is>
      </c>
    </row>
    <row r="5091">
      <c r="A5091" s="1" t="n">
        <v>5090</v>
      </c>
      <c r="B5091">
        <f>TEXT(5090, "[$-0E0000]yyyy-mm-dd")</f>
        <v/>
      </c>
      <c r="C5091" t="inlineStr">
        <is>
          <t>1913-11-11</t>
        </is>
      </c>
    </row>
    <row r="5092">
      <c r="A5092" s="1" t="n">
        <v>5091</v>
      </c>
      <c r="B5092">
        <f>TEXT(5091, "[$-0E0000]yyyy-mm-dd")</f>
        <v/>
      </c>
      <c r="C5092" t="inlineStr">
        <is>
          <t>1913-11-12</t>
        </is>
      </c>
    </row>
    <row r="5093">
      <c r="A5093" s="1" t="n">
        <v>5092</v>
      </c>
      <c r="B5093">
        <f>TEXT(5092, "[$-0E0000]yyyy-mm-dd")</f>
        <v/>
      </c>
      <c r="C5093" t="inlineStr">
        <is>
          <t>1913-11-13</t>
        </is>
      </c>
    </row>
    <row r="5094">
      <c r="A5094" s="1" t="n">
        <v>5093</v>
      </c>
      <c r="B5094">
        <f>TEXT(5093, "[$-0E0000]yyyy-mm-dd")</f>
        <v/>
      </c>
      <c r="C5094" t="inlineStr">
        <is>
          <t>1913-11-14</t>
        </is>
      </c>
    </row>
    <row r="5095">
      <c r="A5095" s="1" t="n">
        <v>5094</v>
      </c>
      <c r="B5095">
        <f>TEXT(5094, "[$-0E0000]yyyy-mm-dd")</f>
        <v/>
      </c>
      <c r="C5095" t="inlineStr">
        <is>
          <t>1913-11-15</t>
        </is>
      </c>
    </row>
    <row r="5096">
      <c r="A5096" s="1" t="n">
        <v>5095</v>
      </c>
      <c r="B5096">
        <f>TEXT(5095, "[$-0E0000]yyyy-mm-dd")</f>
        <v/>
      </c>
      <c r="C5096" t="inlineStr">
        <is>
          <t>1913-11-16</t>
        </is>
      </c>
    </row>
    <row r="5097">
      <c r="A5097" s="1" t="n">
        <v>5096</v>
      </c>
      <c r="B5097">
        <f>TEXT(5096, "[$-0E0000]yyyy-mm-dd")</f>
        <v/>
      </c>
      <c r="C5097" t="inlineStr">
        <is>
          <t>1913-11-17</t>
        </is>
      </c>
    </row>
    <row r="5098">
      <c r="A5098" s="1" t="n">
        <v>5097</v>
      </c>
      <c r="B5098">
        <f>TEXT(5097, "[$-0E0000]yyyy-mm-dd")</f>
        <v/>
      </c>
      <c r="C5098" t="inlineStr">
        <is>
          <t>1913-11-18</t>
        </is>
      </c>
    </row>
    <row r="5099">
      <c r="A5099" s="1" t="n">
        <v>5098</v>
      </c>
      <c r="B5099">
        <f>TEXT(5098, "[$-0E0000]yyyy-mm-dd")</f>
        <v/>
      </c>
      <c r="C5099" t="inlineStr">
        <is>
          <t>1913-11-19</t>
        </is>
      </c>
    </row>
    <row r="5100">
      <c r="A5100" s="1" t="n">
        <v>5099</v>
      </c>
      <c r="B5100">
        <f>TEXT(5099, "[$-0E0000]yyyy-mm-dd")</f>
        <v/>
      </c>
      <c r="C5100" t="inlineStr">
        <is>
          <t>1913-11-20</t>
        </is>
      </c>
    </row>
    <row r="5101">
      <c r="A5101" s="1" t="n">
        <v>5100</v>
      </c>
      <c r="B5101">
        <f>TEXT(5100, "[$-0E0000]yyyy-mm-dd")</f>
        <v/>
      </c>
      <c r="C5101" t="inlineStr">
        <is>
          <t>1913-11-21</t>
        </is>
      </c>
    </row>
    <row r="5102">
      <c r="A5102" s="1" t="n">
        <v>5101</v>
      </c>
      <c r="B5102">
        <f>TEXT(5101, "[$-0E0000]yyyy-mm-dd")</f>
        <v/>
      </c>
      <c r="C5102" t="inlineStr">
        <is>
          <t>1913-11-22</t>
        </is>
      </c>
    </row>
    <row r="5103">
      <c r="A5103" s="1" t="n">
        <v>5102</v>
      </c>
      <c r="B5103">
        <f>TEXT(5102, "[$-0E0000]yyyy-mm-dd")</f>
        <v/>
      </c>
      <c r="C5103" t="inlineStr">
        <is>
          <t>1913-11-23</t>
        </is>
      </c>
    </row>
    <row r="5104">
      <c r="A5104" s="1" t="n">
        <v>5103</v>
      </c>
      <c r="B5104">
        <f>TEXT(5103, "[$-0E0000]yyyy-mm-dd")</f>
        <v/>
      </c>
      <c r="C5104" t="inlineStr">
        <is>
          <t>1913-11-24</t>
        </is>
      </c>
    </row>
    <row r="5105">
      <c r="A5105" s="1" t="n">
        <v>5104</v>
      </c>
      <c r="B5105">
        <f>TEXT(5104, "[$-0E0000]yyyy-mm-dd")</f>
        <v/>
      </c>
      <c r="C5105" t="inlineStr">
        <is>
          <t>1913-11-25</t>
        </is>
      </c>
    </row>
    <row r="5106">
      <c r="A5106" s="1" t="n">
        <v>5105</v>
      </c>
      <c r="B5106">
        <f>TEXT(5105, "[$-0E0000]yyyy-mm-dd")</f>
        <v/>
      </c>
      <c r="C5106" t="inlineStr">
        <is>
          <t>1913-11-26</t>
        </is>
      </c>
    </row>
    <row r="5107">
      <c r="A5107" s="1" t="n">
        <v>5106</v>
      </c>
      <c r="B5107">
        <f>TEXT(5106, "[$-0E0000]yyyy-mm-dd")</f>
        <v/>
      </c>
      <c r="C5107" t="inlineStr">
        <is>
          <t>1913-11-27</t>
        </is>
      </c>
    </row>
    <row r="5108">
      <c r="A5108" s="1" t="n">
        <v>5107</v>
      </c>
      <c r="B5108">
        <f>TEXT(5107, "[$-0E0000]yyyy-mm-dd")</f>
        <v/>
      </c>
      <c r="C5108" t="inlineStr">
        <is>
          <t>1913-11-28</t>
        </is>
      </c>
    </row>
    <row r="5109">
      <c r="A5109" s="1" t="n">
        <v>5108</v>
      </c>
      <c r="B5109">
        <f>TEXT(5108, "[$-0E0000]yyyy-mm-dd")</f>
        <v/>
      </c>
      <c r="C5109" t="inlineStr">
        <is>
          <t>1913-11-29</t>
        </is>
      </c>
    </row>
    <row r="5110">
      <c r="A5110" s="1" t="n">
        <v>5109</v>
      </c>
      <c r="B5110">
        <f>TEXT(5109, "[$-0E0000]yyyy-mm-dd")</f>
        <v/>
      </c>
      <c r="C5110" t="inlineStr">
        <is>
          <t>1913-12-01</t>
        </is>
      </c>
    </row>
    <row r="5111">
      <c r="A5111" s="1" t="n">
        <v>5110</v>
      </c>
      <c r="B5111">
        <f>TEXT(5110, "[$-0E0000]yyyy-mm-dd")</f>
        <v/>
      </c>
      <c r="C5111" t="inlineStr">
        <is>
          <t>1913-12-02</t>
        </is>
      </c>
    </row>
    <row r="5112">
      <c r="A5112" s="1" t="n">
        <v>5111</v>
      </c>
      <c r="B5112">
        <f>TEXT(5111, "[$-0E0000]yyyy-mm-dd")</f>
        <v/>
      </c>
      <c r="C5112" t="inlineStr">
        <is>
          <t>1913-12-03</t>
        </is>
      </c>
    </row>
    <row r="5113">
      <c r="A5113" s="1" t="n">
        <v>5112</v>
      </c>
      <c r="B5113">
        <f>TEXT(5112, "[$-0E0000]yyyy-mm-dd")</f>
        <v/>
      </c>
      <c r="C5113" t="inlineStr">
        <is>
          <t>1913-12-04</t>
        </is>
      </c>
    </row>
    <row r="5114">
      <c r="A5114" s="1" t="n">
        <v>5113</v>
      </c>
      <c r="B5114">
        <f>TEXT(5113, "[$-0E0000]yyyy-mm-dd")</f>
        <v/>
      </c>
      <c r="C5114" t="inlineStr">
        <is>
          <t>1913-12-05</t>
        </is>
      </c>
    </row>
    <row r="5115">
      <c r="A5115" s="1" t="n">
        <v>5114</v>
      </c>
      <c r="B5115">
        <f>TEXT(5114, "[$-0E0000]yyyy-mm-dd")</f>
        <v/>
      </c>
      <c r="C5115" t="inlineStr">
        <is>
          <t>1913-12-06</t>
        </is>
      </c>
    </row>
    <row r="5116">
      <c r="A5116" s="1" t="n">
        <v>5115</v>
      </c>
      <c r="B5116">
        <f>TEXT(5115, "[$-0E0000]yyyy-mm-dd")</f>
        <v/>
      </c>
      <c r="C5116" t="inlineStr">
        <is>
          <t>1913-12-07</t>
        </is>
      </c>
    </row>
    <row r="5117">
      <c r="A5117" s="1" t="n">
        <v>5116</v>
      </c>
      <c r="B5117">
        <f>TEXT(5116, "[$-0E0000]yyyy-mm-dd")</f>
        <v/>
      </c>
      <c r="C5117" t="inlineStr">
        <is>
          <t>1913-12-08</t>
        </is>
      </c>
    </row>
    <row r="5118">
      <c r="A5118" s="1" t="n">
        <v>5117</v>
      </c>
      <c r="B5118">
        <f>TEXT(5117, "[$-0E0000]yyyy-mm-dd")</f>
        <v/>
      </c>
      <c r="C5118" t="inlineStr">
        <is>
          <t>1913-12-09</t>
        </is>
      </c>
    </row>
    <row r="5119">
      <c r="A5119" s="1" t="n">
        <v>5118</v>
      </c>
      <c r="B5119">
        <f>TEXT(5118, "[$-0E0000]yyyy-mm-dd")</f>
        <v/>
      </c>
      <c r="C5119" t="inlineStr">
        <is>
          <t>1913-12-10</t>
        </is>
      </c>
    </row>
    <row r="5120">
      <c r="A5120" s="1" t="n">
        <v>5119</v>
      </c>
      <c r="B5120">
        <f>TEXT(5119, "[$-0E0000]yyyy-mm-dd")</f>
        <v/>
      </c>
      <c r="C5120" t="inlineStr">
        <is>
          <t>1913-12-11</t>
        </is>
      </c>
    </row>
    <row r="5121">
      <c r="A5121" s="1" t="n">
        <v>5120</v>
      </c>
      <c r="B5121">
        <f>TEXT(5120, "[$-0E0000]yyyy-mm-dd")</f>
        <v/>
      </c>
      <c r="C5121" t="inlineStr">
        <is>
          <t>1913-12-12</t>
        </is>
      </c>
    </row>
    <row r="5122">
      <c r="A5122" s="1" t="n">
        <v>5121</v>
      </c>
      <c r="B5122">
        <f>TEXT(5121, "[$-0E0000]yyyy-mm-dd")</f>
        <v/>
      </c>
      <c r="C5122" t="inlineStr">
        <is>
          <t>1913-12-13</t>
        </is>
      </c>
    </row>
    <row r="5123">
      <c r="A5123" s="1" t="n">
        <v>5122</v>
      </c>
      <c r="B5123">
        <f>TEXT(5122, "[$-0E0000]yyyy-mm-dd")</f>
        <v/>
      </c>
      <c r="C5123" t="inlineStr">
        <is>
          <t>1913-12-14</t>
        </is>
      </c>
    </row>
    <row r="5124">
      <c r="A5124" s="1" t="n">
        <v>5123</v>
      </c>
      <c r="B5124">
        <f>TEXT(5123, "[$-0E0000]yyyy-mm-dd")</f>
        <v/>
      </c>
      <c r="C5124" t="inlineStr">
        <is>
          <t>1913-12-15</t>
        </is>
      </c>
    </row>
    <row r="5125">
      <c r="A5125" s="1" t="n">
        <v>5124</v>
      </c>
      <c r="B5125">
        <f>TEXT(5124, "[$-0E0000]yyyy-mm-dd")</f>
        <v/>
      </c>
      <c r="C5125" t="inlineStr">
        <is>
          <t>1913-12-16</t>
        </is>
      </c>
    </row>
    <row r="5126">
      <c r="A5126" s="1" t="n">
        <v>5125</v>
      </c>
      <c r="B5126">
        <f>TEXT(5125, "[$-0E0000]yyyy-mm-dd")</f>
        <v/>
      </c>
      <c r="C5126" t="inlineStr">
        <is>
          <t>1913-12-17</t>
        </is>
      </c>
    </row>
    <row r="5127">
      <c r="A5127" s="1" t="n">
        <v>5126</v>
      </c>
      <c r="B5127">
        <f>TEXT(5126, "[$-0E0000]yyyy-mm-dd")</f>
        <v/>
      </c>
      <c r="C5127" t="inlineStr">
        <is>
          <t>1913-12-18</t>
        </is>
      </c>
    </row>
    <row r="5128">
      <c r="A5128" s="1" t="n">
        <v>5127</v>
      </c>
      <c r="B5128">
        <f>TEXT(5127, "[$-0E0000]yyyy-mm-dd")</f>
        <v/>
      </c>
      <c r="C5128" t="inlineStr">
        <is>
          <t>1913-12-19</t>
        </is>
      </c>
    </row>
    <row r="5129">
      <c r="A5129" s="1" t="n">
        <v>5128</v>
      </c>
      <c r="B5129">
        <f>TEXT(5128, "[$-0E0000]yyyy-mm-dd")</f>
        <v/>
      </c>
      <c r="C5129" t="inlineStr">
        <is>
          <t>1913-12-20</t>
        </is>
      </c>
    </row>
    <row r="5130">
      <c r="A5130" s="1" t="n">
        <v>5129</v>
      </c>
      <c r="B5130">
        <f>TEXT(5129, "[$-0E0000]yyyy-mm-dd")</f>
        <v/>
      </c>
      <c r="C5130" t="inlineStr">
        <is>
          <t>1913-12-21</t>
        </is>
      </c>
    </row>
    <row r="5131">
      <c r="A5131" s="1" t="n">
        <v>5130</v>
      </c>
      <c r="B5131">
        <f>TEXT(5130, "[$-0E0000]yyyy-mm-dd")</f>
        <v/>
      </c>
      <c r="C5131" t="inlineStr">
        <is>
          <t>1913-12-22</t>
        </is>
      </c>
    </row>
    <row r="5132">
      <c r="A5132" s="1" t="n">
        <v>5131</v>
      </c>
      <c r="B5132">
        <f>TEXT(5131, "[$-0E0000]yyyy-mm-dd")</f>
        <v/>
      </c>
      <c r="C5132" t="inlineStr">
        <is>
          <t>1913-12-23</t>
        </is>
      </c>
    </row>
    <row r="5133">
      <c r="A5133" s="1" t="n">
        <v>5132</v>
      </c>
      <c r="B5133">
        <f>TEXT(5132, "[$-0E0000]yyyy-mm-dd")</f>
        <v/>
      </c>
      <c r="C5133" t="inlineStr">
        <is>
          <t>1913-12-24</t>
        </is>
      </c>
    </row>
    <row r="5134">
      <c r="A5134" s="1" t="n">
        <v>5133</v>
      </c>
      <c r="B5134">
        <f>TEXT(5133, "[$-0E0000]yyyy-mm-dd")</f>
        <v/>
      </c>
      <c r="C5134" t="inlineStr">
        <is>
          <t>1913-12-25</t>
        </is>
      </c>
    </row>
    <row r="5135">
      <c r="A5135" s="1" t="n">
        <v>5134</v>
      </c>
      <c r="B5135">
        <f>TEXT(5134, "[$-0E0000]yyyy-mm-dd")</f>
        <v/>
      </c>
      <c r="C5135" t="inlineStr">
        <is>
          <t>1913-12-26</t>
        </is>
      </c>
    </row>
    <row r="5136">
      <c r="A5136" s="1" t="n">
        <v>5135</v>
      </c>
      <c r="B5136">
        <f>TEXT(5135, "[$-0E0000]yyyy-mm-dd")</f>
        <v/>
      </c>
      <c r="C5136" t="inlineStr">
        <is>
          <t>1913-12-27</t>
        </is>
      </c>
    </row>
    <row r="5137">
      <c r="A5137" s="1" t="n">
        <v>5136</v>
      </c>
      <c r="B5137">
        <f>TEXT(5136, "[$-0E0000]yyyy-mm-dd")</f>
        <v/>
      </c>
      <c r="C5137" t="inlineStr">
        <is>
          <t>1913-12-28</t>
        </is>
      </c>
    </row>
    <row r="5138">
      <c r="A5138" s="1" t="n">
        <v>5137</v>
      </c>
      <c r="B5138">
        <f>TEXT(5137, "[$-0E0000]yyyy-mm-dd")</f>
        <v/>
      </c>
      <c r="C5138" t="inlineStr">
        <is>
          <t>1913-12-29</t>
        </is>
      </c>
    </row>
    <row r="5139">
      <c r="A5139" s="1" t="n">
        <v>5138</v>
      </c>
      <c r="B5139">
        <f>TEXT(5138, "[$-0E0000]yyyy-mm-dd")</f>
        <v/>
      </c>
      <c r="C5139" t="inlineStr">
        <is>
          <t>1913-12-30</t>
        </is>
      </c>
    </row>
    <row r="5140">
      <c r="A5140" s="1" t="n">
        <v>5139</v>
      </c>
      <c r="B5140">
        <f>TEXT(5139, "[$-0E0000]yyyy-mm-dd")</f>
        <v/>
      </c>
      <c r="C5140" t="inlineStr">
        <is>
          <t>1914-01-01</t>
        </is>
      </c>
    </row>
    <row r="5141">
      <c r="A5141" s="1" t="n">
        <v>5140</v>
      </c>
      <c r="B5141">
        <f>TEXT(5140, "[$-0E0000]yyyy-mm-dd")</f>
        <v/>
      </c>
      <c r="C5141" t="inlineStr">
        <is>
          <t>1914-01-02</t>
        </is>
      </c>
    </row>
    <row r="5142">
      <c r="A5142" s="1" t="n">
        <v>5141</v>
      </c>
      <c r="B5142">
        <f>TEXT(5141, "[$-0E0000]yyyy-mm-dd")</f>
        <v/>
      </c>
      <c r="C5142" t="inlineStr">
        <is>
          <t>1914-01-03</t>
        </is>
      </c>
    </row>
    <row r="5143">
      <c r="A5143" s="1" t="n">
        <v>5142</v>
      </c>
      <c r="B5143">
        <f>TEXT(5142, "[$-0E0000]yyyy-mm-dd")</f>
        <v/>
      </c>
      <c r="C5143" t="inlineStr">
        <is>
          <t>1914-01-04</t>
        </is>
      </c>
    </row>
    <row r="5144">
      <c r="A5144" s="1" t="n">
        <v>5143</v>
      </c>
      <c r="B5144">
        <f>TEXT(5143, "[$-0E0000]yyyy-mm-dd")</f>
        <v/>
      </c>
      <c r="C5144" t="inlineStr">
        <is>
          <t>1914-01-05</t>
        </is>
      </c>
    </row>
    <row r="5145">
      <c r="A5145" s="1" t="n">
        <v>5144</v>
      </c>
      <c r="B5145">
        <f>TEXT(5144, "[$-0E0000]yyyy-mm-dd")</f>
        <v/>
      </c>
      <c r="C5145" t="inlineStr">
        <is>
          <t>1914-01-06</t>
        </is>
      </c>
    </row>
    <row r="5146">
      <c r="A5146" s="1" t="n">
        <v>5145</v>
      </c>
      <c r="B5146">
        <f>TEXT(5145, "[$-0E0000]yyyy-mm-dd")</f>
        <v/>
      </c>
      <c r="C5146" t="inlineStr">
        <is>
          <t>1914-01-07</t>
        </is>
      </c>
    </row>
    <row r="5147">
      <c r="A5147" s="1" t="n">
        <v>5146</v>
      </c>
      <c r="B5147">
        <f>TEXT(5146, "[$-0E0000]yyyy-mm-dd")</f>
        <v/>
      </c>
      <c r="C5147" t="inlineStr">
        <is>
          <t>1914-01-08</t>
        </is>
      </c>
    </row>
    <row r="5148">
      <c r="A5148" s="1" t="n">
        <v>5147</v>
      </c>
      <c r="B5148">
        <f>TEXT(5147, "[$-0E0000]yyyy-mm-dd")</f>
        <v/>
      </c>
      <c r="C5148" t="inlineStr">
        <is>
          <t>1914-01-09</t>
        </is>
      </c>
    </row>
    <row r="5149">
      <c r="A5149" s="1" t="n">
        <v>5148</v>
      </c>
      <c r="B5149">
        <f>TEXT(5148, "[$-0E0000]yyyy-mm-dd")</f>
        <v/>
      </c>
      <c r="C5149" t="inlineStr">
        <is>
          <t>1914-01-10</t>
        </is>
      </c>
    </row>
    <row r="5150">
      <c r="A5150" s="1" t="n">
        <v>5149</v>
      </c>
      <c r="B5150">
        <f>TEXT(5149, "[$-0E0000]yyyy-mm-dd")</f>
        <v/>
      </c>
      <c r="C5150" t="inlineStr">
        <is>
          <t>1914-01-11</t>
        </is>
      </c>
    </row>
    <row r="5151">
      <c r="A5151" s="1" t="n">
        <v>5150</v>
      </c>
      <c r="B5151">
        <f>TEXT(5150, "[$-0E0000]yyyy-mm-dd")</f>
        <v/>
      </c>
      <c r="C5151" t="inlineStr">
        <is>
          <t>1914-01-12</t>
        </is>
      </c>
    </row>
    <row r="5152">
      <c r="A5152" s="1" t="n">
        <v>5151</v>
      </c>
      <c r="B5152">
        <f>TEXT(5151, "[$-0E0000]yyyy-mm-dd")</f>
        <v/>
      </c>
      <c r="C5152" t="inlineStr">
        <is>
          <t>1914-01-13</t>
        </is>
      </c>
    </row>
    <row r="5153">
      <c r="A5153" s="1" t="n">
        <v>5152</v>
      </c>
      <c r="B5153">
        <f>TEXT(5152, "[$-0E0000]yyyy-mm-dd")</f>
        <v/>
      </c>
      <c r="C5153" t="inlineStr">
        <is>
          <t>1914-01-14</t>
        </is>
      </c>
    </row>
    <row r="5154">
      <c r="A5154" s="1" t="n">
        <v>5153</v>
      </c>
      <c r="B5154">
        <f>TEXT(5153, "[$-0E0000]yyyy-mm-dd")</f>
        <v/>
      </c>
      <c r="C5154" t="inlineStr">
        <is>
          <t>1914-01-15</t>
        </is>
      </c>
    </row>
    <row r="5155">
      <c r="A5155" s="1" t="n">
        <v>5154</v>
      </c>
      <c r="B5155">
        <f>TEXT(5154, "[$-0E0000]yyyy-mm-dd")</f>
        <v/>
      </c>
      <c r="C5155" t="inlineStr">
        <is>
          <t>1914-01-16</t>
        </is>
      </c>
    </row>
    <row r="5156">
      <c r="A5156" s="1" t="n">
        <v>5155</v>
      </c>
      <c r="B5156">
        <f>TEXT(5155, "[$-0E0000]yyyy-mm-dd")</f>
        <v/>
      </c>
      <c r="C5156" t="inlineStr">
        <is>
          <t>1914-01-17</t>
        </is>
      </c>
    </row>
    <row r="5157">
      <c r="A5157" s="1" t="n">
        <v>5156</v>
      </c>
      <c r="B5157">
        <f>TEXT(5156, "[$-0E0000]yyyy-mm-dd")</f>
        <v/>
      </c>
      <c r="C5157" t="inlineStr">
        <is>
          <t>1914-01-18</t>
        </is>
      </c>
    </row>
    <row r="5158">
      <c r="A5158" s="1" t="n">
        <v>5157</v>
      </c>
      <c r="B5158">
        <f>TEXT(5157, "[$-0E0000]yyyy-mm-dd")</f>
        <v/>
      </c>
      <c r="C5158" t="inlineStr">
        <is>
          <t>1914-01-19</t>
        </is>
      </c>
    </row>
    <row r="5159">
      <c r="A5159" s="1" t="n">
        <v>5158</v>
      </c>
      <c r="B5159">
        <f>TEXT(5158, "[$-0E0000]yyyy-mm-dd")</f>
        <v/>
      </c>
      <c r="C5159" t="inlineStr">
        <is>
          <t>1914-01-20</t>
        </is>
      </c>
    </row>
    <row r="5160">
      <c r="A5160" s="1" t="n">
        <v>5159</v>
      </c>
      <c r="B5160">
        <f>TEXT(5159, "[$-0E0000]yyyy-mm-dd")</f>
        <v/>
      </c>
      <c r="C5160" t="inlineStr">
        <is>
          <t>1914-01-21</t>
        </is>
      </c>
    </row>
    <row r="5161">
      <c r="A5161" s="1" t="n">
        <v>5160</v>
      </c>
      <c r="B5161">
        <f>TEXT(5160, "[$-0E0000]yyyy-mm-dd")</f>
        <v/>
      </c>
      <c r="C5161" t="inlineStr">
        <is>
          <t>1914-01-22</t>
        </is>
      </c>
    </row>
    <row r="5162">
      <c r="A5162" s="1" t="n">
        <v>5161</v>
      </c>
      <c r="B5162">
        <f>TEXT(5161, "[$-0E0000]yyyy-mm-dd")</f>
        <v/>
      </c>
      <c r="C5162" t="inlineStr">
        <is>
          <t>1914-01-23</t>
        </is>
      </c>
    </row>
    <row r="5163">
      <c r="A5163" s="1" t="n">
        <v>5162</v>
      </c>
      <c r="B5163">
        <f>TEXT(5162, "[$-0E0000]yyyy-mm-dd")</f>
        <v/>
      </c>
      <c r="C5163" t="inlineStr">
        <is>
          <t>1914-01-24</t>
        </is>
      </c>
    </row>
    <row r="5164">
      <c r="A5164" s="1" t="n">
        <v>5163</v>
      </c>
      <c r="B5164">
        <f>TEXT(5163, "[$-0E0000]yyyy-mm-dd")</f>
        <v/>
      </c>
      <c r="C5164" t="inlineStr">
        <is>
          <t>1914-01-25</t>
        </is>
      </c>
    </row>
    <row r="5165">
      <c r="A5165" s="1" t="n">
        <v>5164</v>
      </c>
      <c r="B5165">
        <f>TEXT(5164, "[$-0E0000]yyyy-mm-dd")</f>
        <v/>
      </c>
      <c r="C5165" t="inlineStr">
        <is>
          <t>1914-01-26</t>
        </is>
      </c>
    </row>
    <row r="5166">
      <c r="A5166" s="1" t="n">
        <v>5165</v>
      </c>
      <c r="B5166">
        <f>TEXT(5165, "[$-0E0000]yyyy-mm-dd")</f>
        <v/>
      </c>
      <c r="C5166" t="inlineStr">
        <is>
          <t>1914-01-27</t>
        </is>
      </c>
    </row>
    <row r="5167">
      <c r="A5167" s="1" t="n">
        <v>5166</v>
      </c>
      <c r="B5167">
        <f>TEXT(5166, "[$-0E0000]yyyy-mm-dd")</f>
        <v/>
      </c>
      <c r="C5167" t="inlineStr">
        <is>
          <t>1914-01-28</t>
        </is>
      </c>
    </row>
    <row r="5168">
      <c r="A5168" s="1" t="n">
        <v>5167</v>
      </c>
      <c r="B5168">
        <f>TEXT(5167, "[$-0E0000]yyyy-mm-dd")</f>
        <v/>
      </c>
      <c r="C5168" t="inlineStr">
        <is>
          <t>1914-01-29</t>
        </is>
      </c>
    </row>
    <row r="5169">
      <c r="A5169" s="1" t="n">
        <v>5168</v>
      </c>
      <c r="B5169">
        <f>TEXT(5168, "[$-0E0000]yyyy-mm-dd")</f>
        <v/>
      </c>
      <c r="C5169" t="inlineStr">
        <is>
          <t>1914-01-30</t>
        </is>
      </c>
    </row>
    <row r="5170">
      <c r="A5170" s="1" t="n">
        <v>5169</v>
      </c>
      <c r="B5170">
        <f>TEXT(5169, "[$-0E0000]yyyy-mm-dd")</f>
        <v/>
      </c>
      <c r="C5170" t="inlineStr">
        <is>
          <t>1914-02-01</t>
        </is>
      </c>
    </row>
    <row r="5171">
      <c r="A5171" s="1" t="n">
        <v>5170</v>
      </c>
      <c r="B5171">
        <f>TEXT(5170, "[$-0E0000]yyyy-mm-dd")</f>
        <v/>
      </c>
      <c r="C5171" t="inlineStr">
        <is>
          <t>1914-02-02</t>
        </is>
      </c>
    </row>
    <row r="5172">
      <c r="A5172" s="1" t="n">
        <v>5171</v>
      </c>
      <c r="B5172">
        <f>TEXT(5171, "[$-0E0000]yyyy-mm-dd")</f>
        <v/>
      </c>
      <c r="C5172" t="inlineStr">
        <is>
          <t>1914-02-03</t>
        </is>
      </c>
    </row>
    <row r="5173">
      <c r="A5173" s="1" t="n">
        <v>5172</v>
      </c>
      <c r="B5173">
        <f>TEXT(5172, "[$-0E0000]yyyy-mm-dd")</f>
        <v/>
      </c>
      <c r="C5173" t="inlineStr">
        <is>
          <t>1914-02-04</t>
        </is>
      </c>
    </row>
    <row r="5174">
      <c r="A5174" s="1" t="n">
        <v>5173</v>
      </c>
      <c r="B5174">
        <f>TEXT(5173, "[$-0E0000]yyyy-mm-dd")</f>
        <v/>
      </c>
      <c r="C5174" t="inlineStr">
        <is>
          <t>1914-02-05</t>
        </is>
      </c>
    </row>
    <row r="5175">
      <c r="A5175" s="1" t="n">
        <v>5174</v>
      </c>
      <c r="B5175">
        <f>TEXT(5174, "[$-0E0000]yyyy-mm-dd")</f>
        <v/>
      </c>
      <c r="C5175" t="inlineStr">
        <is>
          <t>1914-02-06</t>
        </is>
      </c>
    </row>
    <row r="5176">
      <c r="A5176" s="1" t="n">
        <v>5175</v>
      </c>
      <c r="B5176">
        <f>TEXT(5175, "[$-0E0000]yyyy-mm-dd")</f>
        <v/>
      </c>
      <c r="C5176" t="inlineStr">
        <is>
          <t>1914-02-07</t>
        </is>
      </c>
    </row>
    <row r="5177">
      <c r="A5177" s="1" t="n">
        <v>5176</v>
      </c>
      <c r="B5177">
        <f>TEXT(5176, "[$-0E0000]yyyy-mm-dd")</f>
        <v/>
      </c>
      <c r="C5177" t="inlineStr">
        <is>
          <t>1914-02-08</t>
        </is>
      </c>
    </row>
    <row r="5178">
      <c r="A5178" s="1" t="n">
        <v>5177</v>
      </c>
      <c r="B5178">
        <f>TEXT(5177, "[$-0E0000]yyyy-mm-dd")</f>
        <v/>
      </c>
      <c r="C5178" t="inlineStr">
        <is>
          <t>1914-02-09</t>
        </is>
      </c>
    </row>
    <row r="5179">
      <c r="A5179" s="1" t="n">
        <v>5178</v>
      </c>
      <c r="B5179">
        <f>TEXT(5178, "[$-0E0000]yyyy-mm-dd")</f>
        <v/>
      </c>
      <c r="C5179" t="inlineStr">
        <is>
          <t>1914-02-10</t>
        </is>
      </c>
    </row>
    <row r="5180">
      <c r="A5180" s="1" t="n">
        <v>5179</v>
      </c>
      <c r="B5180">
        <f>TEXT(5179, "[$-0E0000]yyyy-mm-dd")</f>
        <v/>
      </c>
      <c r="C5180" t="inlineStr">
        <is>
          <t>1914-02-11</t>
        </is>
      </c>
    </row>
    <row r="5181">
      <c r="A5181" s="1" t="n">
        <v>5180</v>
      </c>
      <c r="B5181">
        <f>TEXT(5180, "[$-0E0000]yyyy-mm-dd")</f>
        <v/>
      </c>
      <c r="C5181" t="inlineStr">
        <is>
          <t>1914-02-12</t>
        </is>
      </c>
    </row>
    <row r="5182">
      <c r="A5182" s="1" t="n">
        <v>5181</v>
      </c>
      <c r="B5182">
        <f>TEXT(5181, "[$-0E0000]yyyy-mm-dd")</f>
        <v/>
      </c>
      <c r="C5182" t="inlineStr">
        <is>
          <t>1914-02-13</t>
        </is>
      </c>
    </row>
    <row r="5183">
      <c r="A5183" s="1" t="n">
        <v>5182</v>
      </c>
      <c r="B5183">
        <f>TEXT(5182, "[$-0E0000]yyyy-mm-dd")</f>
        <v/>
      </c>
      <c r="C5183" t="inlineStr">
        <is>
          <t>1914-02-14</t>
        </is>
      </c>
    </row>
    <row r="5184">
      <c r="A5184" s="1" t="n">
        <v>5183</v>
      </c>
      <c r="B5184">
        <f>TEXT(5183, "[$-0E0000]yyyy-mm-dd")</f>
        <v/>
      </c>
      <c r="C5184" t="inlineStr">
        <is>
          <t>1914-02-15</t>
        </is>
      </c>
    </row>
    <row r="5185">
      <c r="A5185" s="1" t="n">
        <v>5184</v>
      </c>
      <c r="B5185">
        <f>TEXT(5184, "[$-0E0000]yyyy-mm-dd")</f>
        <v/>
      </c>
      <c r="C5185" t="inlineStr">
        <is>
          <t>1914-02-16</t>
        </is>
      </c>
    </row>
    <row r="5186">
      <c r="A5186" s="1" t="n">
        <v>5185</v>
      </c>
      <c r="B5186">
        <f>TEXT(5185, "[$-0E0000]yyyy-mm-dd")</f>
        <v/>
      </c>
      <c r="C5186" t="inlineStr">
        <is>
          <t>1914-02-17</t>
        </is>
      </c>
    </row>
    <row r="5187">
      <c r="A5187" s="1" t="n">
        <v>5186</v>
      </c>
      <c r="B5187">
        <f>TEXT(5186, "[$-0E0000]yyyy-mm-dd")</f>
        <v/>
      </c>
      <c r="C5187" t="inlineStr">
        <is>
          <t>1914-02-18</t>
        </is>
      </c>
    </row>
    <row r="5188">
      <c r="A5188" s="1" t="n">
        <v>5187</v>
      </c>
      <c r="B5188">
        <f>TEXT(5187, "[$-0E0000]yyyy-mm-dd")</f>
        <v/>
      </c>
      <c r="C5188" t="inlineStr">
        <is>
          <t>1914-02-19</t>
        </is>
      </c>
    </row>
    <row r="5189">
      <c r="A5189" s="1" t="n">
        <v>5188</v>
      </c>
      <c r="B5189">
        <f>TEXT(5188, "[$-0E0000]yyyy-mm-dd")</f>
        <v/>
      </c>
      <c r="C5189" t="inlineStr">
        <is>
          <t>1914-02-20</t>
        </is>
      </c>
    </row>
    <row r="5190">
      <c r="A5190" s="1" t="n">
        <v>5189</v>
      </c>
      <c r="B5190">
        <f>TEXT(5189, "[$-0E0000]yyyy-mm-dd")</f>
        <v/>
      </c>
      <c r="C5190" t="inlineStr">
        <is>
          <t>1914-02-21</t>
        </is>
      </c>
    </row>
    <row r="5191">
      <c r="A5191" s="1" t="n">
        <v>5190</v>
      </c>
      <c r="B5191">
        <f>TEXT(5190, "[$-0E0000]yyyy-mm-dd")</f>
        <v/>
      </c>
      <c r="C5191" t="inlineStr">
        <is>
          <t>1914-02-22</t>
        </is>
      </c>
    </row>
    <row r="5192">
      <c r="A5192" s="1" t="n">
        <v>5191</v>
      </c>
      <c r="B5192">
        <f>TEXT(5191, "[$-0E0000]yyyy-mm-dd")</f>
        <v/>
      </c>
      <c r="C5192" t="inlineStr">
        <is>
          <t>1914-02-23</t>
        </is>
      </c>
    </row>
    <row r="5193">
      <c r="A5193" s="1" t="n">
        <v>5192</v>
      </c>
      <c r="B5193">
        <f>TEXT(5192, "[$-0E0000]yyyy-mm-dd")</f>
        <v/>
      </c>
      <c r="C5193" t="inlineStr">
        <is>
          <t>1914-02-24</t>
        </is>
      </c>
    </row>
    <row r="5194">
      <c r="A5194" s="1" t="n">
        <v>5193</v>
      </c>
      <c r="B5194">
        <f>TEXT(5193, "[$-0E0000]yyyy-mm-dd")</f>
        <v/>
      </c>
      <c r="C5194" t="inlineStr">
        <is>
          <t>1914-02-25</t>
        </is>
      </c>
    </row>
    <row r="5195">
      <c r="A5195" s="1" t="n">
        <v>5194</v>
      </c>
      <c r="B5195">
        <f>TEXT(5194, "[$-0E0000]yyyy-mm-dd")</f>
        <v/>
      </c>
      <c r="C5195" t="inlineStr">
        <is>
          <t>1914-02-26</t>
        </is>
      </c>
    </row>
    <row r="5196">
      <c r="A5196" s="1" t="n">
        <v>5195</v>
      </c>
      <c r="B5196">
        <f>TEXT(5195, "[$-0E0000]yyyy-mm-dd")</f>
        <v/>
      </c>
      <c r="C5196" t="inlineStr">
        <is>
          <t>1914-02-27</t>
        </is>
      </c>
    </row>
    <row r="5197">
      <c r="A5197" s="1" t="n">
        <v>5196</v>
      </c>
      <c r="B5197">
        <f>TEXT(5196, "[$-0E0000]yyyy-mm-dd")</f>
        <v/>
      </c>
      <c r="C5197" t="inlineStr">
        <is>
          <t>1914-02-28</t>
        </is>
      </c>
    </row>
    <row r="5198">
      <c r="A5198" s="1" t="n">
        <v>5197</v>
      </c>
      <c r="B5198">
        <f>TEXT(5197, "[$-0E0000]yyyy-mm-dd")</f>
        <v/>
      </c>
      <c r="C5198" t="inlineStr">
        <is>
          <t>1914-02-29</t>
        </is>
      </c>
    </row>
    <row r="5199">
      <c r="A5199" s="1" t="n">
        <v>5198</v>
      </c>
      <c r="B5199">
        <f>TEXT(5198, "[$-0E0000]yyyy-mm-dd")</f>
        <v/>
      </c>
      <c r="C5199" t="inlineStr">
        <is>
          <t>1914-02-30</t>
        </is>
      </c>
    </row>
    <row r="5200">
      <c r="A5200" s="1" t="n">
        <v>5199</v>
      </c>
      <c r="B5200">
        <f>TEXT(5199, "[$-0E0000]yyyy-mm-dd")</f>
        <v/>
      </c>
      <c r="C5200" t="inlineStr">
        <is>
          <t>1914-03-01</t>
        </is>
      </c>
    </row>
    <row r="5201">
      <c r="A5201" s="1" t="n">
        <v>5200</v>
      </c>
      <c r="B5201">
        <f>TEXT(5200, "[$-0E0000]yyyy-mm-dd")</f>
        <v/>
      </c>
      <c r="C5201" t="inlineStr">
        <is>
          <t>1914-03-02</t>
        </is>
      </c>
    </row>
    <row r="5202">
      <c r="A5202" s="1" t="n">
        <v>5201</v>
      </c>
      <c r="B5202">
        <f>TEXT(5201, "[$-0E0000]yyyy-mm-dd")</f>
        <v/>
      </c>
      <c r="C5202" t="inlineStr">
        <is>
          <t>1914-03-03</t>
        </is>
      </c>
    </row>
    <row r="5203">
      <c r="A5203" s="1" t="n">
        <v>5202</v>
      </c>
      <c r="B5203">
        <f>TEXT(5202, "[$-0E0000]yyyy-mm-dd")</f>
        <v/>
      </c>
      <c r="C5203" t="inlineStr">
        <is>
          <t>1914-03-04</t>
        </is>
      </c>
    </row>
    <row r="5204">
      <c r="A5204" s="1" t="n">
        <v>5203</v>
      </c>
      <c r="B5204">
        <f>TEXT(5203, "[$-0E0000]yyyy-mm-dd")</f>
        <v/>
      </c>
      <c r="C5204" t="inlineStr">
        <is>
          <t>1914-03-05</t>
        </is>
      </c>
    </row>
    <row r="5205">
      <c r="A5205" s="1" t="n">
        <v>5204</v>
      </c>
      <c r="B5205">
        <f>TEXT(5204, "[$-0E0000]yyyy-mm-dd")</f>
        <v/>
      </c>
      <c r="C5205" t="inlineStr">
        <is>
          <t>1914-03-06</t>
        </is>
      </c>
    </row>
    <row r="5206">
      <c r="A5206" s="1" t="n">
        <v>5205</v>
      </c>
      <c r="B5206">
        <f>TEXT(5205, "[$-0E0000]yyyy-mm-dd")</f>
        <v/>
      </c>
      <c r="C5206" t="inlineStr">
        <is>
          <t>1914-03-07</t>
        </is>
      </c>
    </row>
    <row r="5207">
      <c r="A5207" s="1" t="n">
        <v>5206</v>
      </c>
      <c r="B5207">
        <f>TEXT(5206, "[$-0E0000]yyyy-mm-dd")</f>
        <v/>
      </c>
      <c r="C5207" t="inlineStr">
        <is>
          <t>1914-03-08</t>
        </is>
      </c>
    </row>
    <row r="5208">
      <c r="A5208" s="1" t="n">
        <v>5207</v>
      </c>
      <c r="B5208">
        <f>TEXT(5207, "[$-0E0000]yyyy-mm-dd")</f>
        <v/>
      </c>
      <c r="C5208" t="inlineStr">
        <is>
          <t>1914-03-09</t>
        </is>
      </c>
    </row>
    <row r="5209">
      <c r="A5209" s="1" t="n">
        <v>5208</v>
      </c>
      <c r="B5209">
        <f>TEXT(5208, "[$-0E0000]yyyy-mm-dd")</f>
        <v/>
      </c>
      <c r="C5209" t="inlineStr">
        <is>
          <t>1914-03-10</t>
        </is>
      </c>
    </row>
    <row r="5210">
      <c r="A5210" s="1" t="n">
        <v>5209</v>
      </c>
      <c r="B5210">
        <f>TEXT(5209, "[$-0E0000]yyyy-mm-dd")</f>
        <v/>
      </c>
      <c r="C5210" t="inlineStr">
        <is>
          <t>1914-03-11</t>
        </is>
      </c>
    </row>
    <row r="5211">
      <c r="A5211" s="1" t="n">
        <v>5210</v>
      </c>
      <c r="B5211">
        <f>TEXT(5210, "[$-0E0000]yyyy-mm-dd")</f>
        <v/>
      </c>
      <c r="C5211" t="inlineStr">
        <is>
          <t>1914-03-12</t>
        </is>
      </c>
    </row>
    <row r="5212">
      <c r="A5212" s="1" t="n">
        <v>5211</v>
      </c>
      <c r="B5212">
        <f>TEXT(5211, "[$-0E0000]yyyy-mm-dd")</f>
        <v/>
      </c>
      <c r="C5212" t="inlineStr">
        <is>
          <t>1914-03-13</t>
        </is>
      </c>
    </row>
    <row r="5213">
      <c r="A5213" s="1" t="n">
        <v>5212</v>
      </c>
      <c r="B5213">
        <f>TEXT(5212, "[$-0E0000]yyyy-mm-dd")</f>
        <v/>
      </c>
      <c r="C5213" t="inlineStr">
        <is>
          <t>1914-03-14</t>
        </is>
      </c>
    </row>
    <row r="5214">
      <c r="A5214" s="1" t="n">
        <v>5213</v>
      </c>
      <c r="B5214">
        <f>TEXT(5213, "[$-0E0000]yyyy-mm-dd")</f>
        <v/>
      </c>
      <c r="C5214" t="inlineStr">
        <is>
          <t>1914-03-15</t>
        </is>
      </c>
    </row>
    <row r="5215">
      <c r="A5215" s="1" t="n">
        <v>5214</v>
      </c>
      <c r="B5215">
        <f>TEXT(5214, "[$-0E0000]yyyy-mm-dd")</f>
        <v/>
      </c>
      <c r="C5215" t="inlineStr">
        <is>
          <t>1914-03-16</t>
        </is>
      </c>
    </row>
    <row r="5216">
      <c r="A5216" s="1" t="n">
        <v>5215</v>
      </c>
      <c r="B5216">
        <f>TEXT(5215, "[$-0E0000]yyyy-mm-dd")</f>
        <v/>
      </c>
      <c r="C5216" t="inlineStr">
        <is>
          <t>1914-03-17</t>
        </is>
      </c>
    </row>
    <row r="5217">
      <c r="A5217" s="1" t="n">
        <v>5216</v>
      </c>
      <c r="B5217">
        <f>TEXT(5216, "[$-0E0000]yyyy-mm-dd")</f>
        <v/>
      </c>
      <c r="C5217" t="inlineStr">
        <is>
          <t>1914-03-18</t>
        </is>
      </c>
    </row>
    <row r="5218">
      <c r="A5218" s="1" t="n">
        <v>5217</v>
      </c>
      <c r="B5218">
        <f>TEXT(5217, "[$-0E0000]yyyy-mm-dd")</f>
        <v/>
      </c>
      <c r="C5218" t="inlineStr">
        <is>
          <t>1914-03-19</t>
        </is>
      </c>
    </row>
    <row r="5219">
      <c r="A5219" s="1" t="n">
        <v>5218</v>
      </c>
      <c r="B5219">
        <f>TEXT(5218, "[$-0E0000]yyyy-mm-dd")</f>
        <v/>
      </c>
      <c r="C5219" t="inlineStr">
        <is>
          <t>1914-03-20</t>
        </is>
      </c>
    </row>
    <row r="5220">
      <c r="A5220" s="1" t="n">
        <v>5219</v>
      </c>
      <c r="B5220">
        <f>TEXT(5219, "[$-0E0000]yyyy-mm-dd")</f>
        <v/>
      </c>
      <c r="C5220" t="inlineStr">
        <is>
          <t>1914-03-21</t>
        </is>
      </c>
    </row>
    <row r="5221">
      <c r="A5221" s="1" t="n">
        <v>5220</v>
      </c>
      <c r="B5221">
        <f>TEXT(5220, "[$-0E0000]yyyy-mm-dd")</f>
        <v/>
      </c>
      <c r="C5221" t="inlineStr">
        <is>
          <t>1914-03-22</t>
        </is>
      </c>
    </row>
    <row r="5222">
      <c r="A5222" s="1" t="n">
        <v>5221</v>
      </c>
      <c r="B5222">
        <f>TEXT(5221, "[$-0E0000]yyyy-mm-dd")</f>
        <v/>
      </c>
      <c r="C5222" t="inlineStr">
        <is>
          <t>1914-03-23</t>
        </is>
      </c>
    </row>
    <row r="5223">
      <c r="A5223" s="1" t="n">
        <v>5222</v>
      </c>
      <c r="B5223">
        <f>TEXT(5222, "[$-0E0000]yyyy-mm-dd")</f>
        <v/>
      </c>
      <c r="C5223" t="inlineStr">
        <is>
          <t>1914-03-24</t>
        </is>
      </c>
    </row>
    <row r="5224">
      <c r="A5224" s="1" t="n">
        <v>5223</v>
      </c>
      <c r="B5224">
        <f>TEXT(5223, "[$-0E0000]yyyy-mm-dd")</f>
        <v/>
      </c>
      <c r="C5224" t="inlineStr">
        <is>
          <t>1914-03-25</t>
        </is>
      </c>
    </row>
    <row r="5225">
      <c r="A5225" s="1" t="n">
        <v>5224</v>
      </c>
      <c r="B5225">
        <f>TEXT(5224, "[$-0E0000]yyyy-mm-dd")</f>
        <v/>
      </c>
      <c r="C5225" t="inlineStr">
        <is>
          <t>1914-03-26</t>
        </is>
      </c>
    </row>
    <row r="5226">
      <c r="A5226" s="1" t="n">
        <v>5225</v>
      </c>
      <c r="B5226">
        <f>TEXT(5225, "[$-0E0000]yyyy-mm-dd")</f>
        <v/>
      </c>
      <c r="C5226" t="inlineStr">
        <is>
          <t>1914-03-27</t>
        </is>
      </c>
    </row>
    <row r="5227">
      <c r="A5227" s="1" t="n">
        <v>5226</v>
      </c>
      <c r="B5227">
        <f>TEXT(5226, "[$-0E0000]yyyy-mm-dd")</f>
        <v/>
      </c>
      <c r="C5227" t="inlineStr">
        <is>
          <t>1914-03-28</t>
        </is>
      </c>
    </row>
    <row r="5228">
      <c r="A5228" s="1" t="n">
        <v>5227</v>
      </c>
      <c r="B5228">
        <f>TEXT(5227, "[$-0E0000]yyyy-mm-dd")</f>
        <v/>
      </c>
      <c r="C5228" t="inlineStr">
        <is>
          <t>1914-03-29</t>
        </is>
      </c>
    </row>
    <row r="5229">
      <c r="A5229" s="1" t="n">
        <v>5228</v>
      </c>
      <c r="B5229">
        <f>TEXT(5228, "[$-0E0000]yyyy-mm-dd")</f>
        <v/>
      </c>
      <c r="C5229" t="inlineStr">
        <is>
          <t>1914-04-01</t>
        </is>
      </c>
    </row>
    <row r="5230">
      <c r="A5230" s="1" t="n">
        <v>5229</v>
      </c>
      <c r="B5230">
        <f>TEXT(5229, "[$-0E0000]yyyy-mm-dd")</f>
        <v/>
      </c>
      <c r="C5230" t="inlineStr">
        <is>
          <t>1914-04-02</t>
        </is>
      </c>
    </row>
    <row r="5231">
      <c r="A5231" s="1" t="n">
        <v>5230</v>
      </c>
      <c r="B5231">
        <f>TEXT(5230, "[$-0E0000]yyyy-mm-dd")</f>
        <v/>
      </c>
      <c r="C5231" t="inlineStr">
        <is>
          <t>1914-04-03</t>
        </is>
      </c>
    </row>
    <row r="5232">
      <c r="A5232" s="1" t="n">
        <v>5231</v>
      </c>
      <c r="B5232">
        <f>TEXT(5231, "[$-0E0000]yyyy-mm-dd")</f>
        <v/>
      </c>
      <c r="C5232" t="inlineStr">
        <is>
          <t>1914-04-04</t>
        </is>
      </c>
    </row>
    <row r="5233">
      <c r="A5233" s="1" t="n">
        <v>5232</v>
      </c>
      <c r="B5233">
        <f>TEXT(5232, "[$-0E0000]yyyy-mm-dd")</f>
        <v/>
      </c>
      <c r="C5233" t="inlineStr">
        <is>
          <t>1914-04-05</t>
        </is>
      </c>
    </row>
    <row r="5234">
      <c r="A5234" s="1" t="n">
        <v>5233</v>
      </c>
      <c r="B5234">
        <f>TEXT(5233, "[$-0E0000]yyyy-mm-dd")</f>
        <v/>
      </c>
      <c r="C5234" t="inlineStr">
        <is>
          <t>1914-04-06</t>
        </is>
      </c>
    </row>
    <row r="5235">
      <c r="A5235" s="1" t="n">
        <v>5234</v>
      </c>
      <c r="B5235">
        <f>TEXT(5234, "[$-0E0000]yyyy-mm-dd")</f>
        <v/>
      </c>
      <c r="C5235" t="inlineStr">
        <is>
          <t>1914-04-07</t>
        </is>
      </c>
    </row>
    <row r="5236">
      <c r="A5236" s="1" t="n">
        <v>5235</v>
      </c>
      <c r="B5236">
        <f>TEXT(5235, "[$-0E0000]yyyy-mm-dd")</f>
        <v/>
      </c>
      <c r="C5236" t="inlineStr">
        <is>
          <t>1914-04-08</t>
        </is>
      </c>
    </row>
    <row r="5237">
      <c r="A5237" s="1" t="n">
        <v>5236</v>
      </c>
      <c r="B5237">
        <f>TEXT(5236, "[$-0E0000]yyyy-mm-dd")</f>
        <v/>
      </c>
      <c r="C5237" t="inlineStr">
        <is>
          <t>1914-04-09</t>
        </is>
      </c>
    </row>
    <row r="5238">
      <c r="A5238" s="1" t="n">
        <v>5237</v>
      </c>
      <c r="B5238">
        <f>TEXT(5237, "[$-0E0000]yyyy-mm-dd")</f>
        <v/>
      </c>
      <c r="C5238" t="inlineStr">
        <is>
          <t>1914-04-10</t>
        </is>
      </c>
    </row>
    <row r="5239">
      <c r="A5239" s="1" t="n">
        <v>5238</v>
      </c>
      <c r="B5239">
        <f>TEXT(5238, "[$-0E0000]yyyy-mm-dd")</f>
        <v/>
      </c>
      <c r="C5239" t="inlineStr">
        <is>
          <t>1914-04-11</t>
        </is>
      </c>
    </row>
    <row r="5240">
      <c r="A5240" s="1" t="n">
        <v>5239</v>
      </c>
      <c r="B5240">
        <f>TEXT(5239, "[$-0E0000]yyyy-mm-dd")</f>
        <v/>
      </c>
      <c r="C5240" t="inlineStr">
        <is>
          <t>1914-04-12</t>
        </is>
      </c>
    </row>
    <row r="5241">
      <c r="A5241" s="1" t="n">
        <v>5240</v>
      </c>
      <c r="B5241">
        <f>TEXT(5240, "[$-0E0000]yyyy-mm-dd")</f>
        <v/>
      </c>
      <c r="C5241" t="inlineStr">
        <is>
          <t>1914-04-13</t>
        </is>
      </c>
    </row>
    <row r="5242">
      <c r="A5242" s="1" t="n">
        <v>5241</v>
      </c>
      <c r="B5242">
        <f>TEXT(5241, "[$-0E0000]yyyy-mm-dd")</f>
        <v/>
      </c>
      <c r="C5242" t="inlineStr">
        <is>
          <t>1914-04-14</t>
        </is>
      </c>
    </row>
    <row r="5243">
      <c r="A5243" s="1" t="n">
        <v>5242</v>
      </c>
      <c r="B5243">
        <f>TEXT(5242, "[$-0E0000]yyyy-mm-dd")</f>
        <v/>
      </c>
      <c r="C5243" t="inlineStr">
        <is>
          <t>1914-04-15</t>
        </is>
      </c>
    </row>
    <row r="5244">
      <c r="A5244" s="1" t="n">
        <v>5243</v>
      </c>
      <c r="B5244">
        <f>TEXT(5243, "[$-0E0000]yyyy-mm-dd")</f>
        <v/>
      </c>
      <c r="C5244" t="inlineStr">
        <is>
          <t>1914-04-16</t>
        </is>
      </c>
    </row>
    <row r="5245">
      <c r="A5245" s="1" t="n">
        <v>5244</v>
      </c>
      <c r="B5245">
        <f>TEXT(5244, "[$-0E0000]yyyy-mm-dd")</f>
        <v/>
      </c>
      <c r="C5245" t="inlineStr">
        <is>
          <t>1914-04-17</t>
        </is>
      </c>
    </row>
    <row r="5246">
      <c r="A5246" s="1" t="n">
        <v>5245</v>
      </c>
      <c r="B5246">
        <f>TEXT(5245, "[$-0E0000]yyyy-mm-dd")</f>
        <v/>
      </c>
      <c r="C5246" t="inlineStr">
        <is>
          <t>1914-04-18</t>
        </is>
      </c>
    </row>
    <row r="5247">
      <c r="A5247" s="1" t="n">
        <v>5246</v>
      </c>
      <c r="B5247">
        <f>TEXT(5246, "[$-0E0000]yyyy-mm-dd")</f>
        <v/>
      </c>
      <c r="C5247" t="inlineStr">
        <is>
          <t>1914-04-19</t>
        </is>
      </c>
    </row>
    <row r="5248">
      <c r="A5248" s="1" t="n">
        <v>5247</v>
      </c>
      <c r="B5248">
        <f>TEXT(5247, "[$-0E0000]yyyy-mm-dd")</f>
        <v/>
      </c>
      <c r="C5248" t="inlineStr">
        <is>
          <t>1914-04-20</t>
        </is>
      </c>
    </row>
    <row r="5249">
      <c r="A5249" s="1" t="n">
        <v>5248</v>
      </c>
      <c r="B5249">
        <f>TEXT(5248, "[$-0E0000]yyyy-mm-dd")</f>
        <v/>
      </c>
      <c r="C5249" t="inlineStr">
        <is>
          <t>1914-04-21</t>
        </is>
      </c>
    </row>
    <row r="5250">
      <c r="A5250" s="1" t="n">
        <v>5249</v>
      </c>
      <c r="B5250">
        <f>TEXT(5249, "[$-0E0000]yyyy-mm-dd")</f>
        <v/>
      </c>
      <c r="C5250" t="inlineStr">
        <is>
          <t>1914-04-22</t>
        </is>
      </c>
    </row>
    <row r="5251">
      <c r="A5251" s="1" t="n">
        <v>5250</v>
      </c>
      <c r="B5251">
        <f>TEXT(5250, "[$-0E0000]yyyy-mm-dd")</f>
        <v/>
      </c>
      <c r="C5251" t="inlineStr">
        <is>
          <t>1914-04-23</t>
        </is>
      </c>
    </row>
    <row r="5252">
      <c r="A5252" s="1" t="n">
        <v>5251</v>
      </c>
      <c r="B5252">
        <f>TEXT(5251, "[$-0E0000]yyyy-mm-dd")</f>
        <v/>
      </c>
      <c r="C5252" t="inlineStr">
        <is>
          <t>1914-04-24</t>
        </is>
      </c>
    </row>
    <row r="5253">
      <c r="A5253" s="1" t="n">
        <v>5252</v>
      </c>
      <c r="B5253">
        <f>TEXT(5252, "[$-0E0000]yyyy-mm-dd")</f>
        <v/>
      </c>
      <c r="C5253" t="inlineStr">
        <is>
          <t>1914-04-25</t>
        </is>
      </c>
    </row>
    <row r="5254">
      <c r="A5254" s="1" t="n">
        <v>5253</v>
      </c>
      <c r="B5254">
        <f>TEXT(5253, "[$-0E0000]yyyy-mm-dd")</f>
        <v/>
      </c>
      <c r="C5254" t="inlineStr">
        <is>
          <t>1914-04-26</t>
        </is>
      </c>
    </row>
    <row r="5255">
      <c r="A5255" s="1" t="n">
        <v>5254</v>
      </c>
      <c r="B5255">
        <f>TEXT(5254, "[$-0E0000]yyyy-mm-dd")</f>
        <v/>
      </c>
      <c r="C5255" t="inlineStr">
        <is>
          <t>1914-04-27</t>
        </is>
      </c>
    </row>
    <row r="5256">
      <c r="A5256" s="1" t="n">
        <v>5255</v>
      </c>
      <c r="B5256">
        <f>TEXT(5255, "[$-0E0000]yyyy-mm-dd")</f>
        <v/>
      </c>
      <c r="C5256" t="inlineStr">
        <is>
          <t>1914-04-28</t>
        </is>
      </c>
    </row>
    <row r="5257">
      <c r="A5257" s="1" t="n">
        <v>5256</v>
      </c>
      <c r="B5257">
        <f>TEXT(5256, "[$-0E0000]yyyy-mm-dd")</f>
        <v/>
      </c>
      <c r="C5257" t="inlineStr">
        <is>
          <t>1914-04-29</t>
        </is>
      </c>
    </row>
    <row r="5258">
      <c r="A5258" s="1" t="n">
        <v>5257</v>
      </c>
      <c r="B5258">
        <f>TEXT(5257, "[$-0E0000]yyyy-mm-dd")</f>
        <v/>
      </c>
      <c r="C5258" t="inlineStr">
        <is>
          <t>1914-04-30</t>
        </is>
      </c>
    </row>
    <row r="5259">
      <c r="A5259" s="1" t="n">
        <v>5258</v>
      </c>
      <c r="B5259">
        <f>TEXT(5258, "[$-0E0000]yyyy-mm-dd")</f>
        <v/>
      </c>
      <c r="C5259" t="inlineStr">
        <is>
          <t>1914-05-01</t>
        </is>
      </c>
    </row>
    <row r="5260">
      <c r="A5260" s="1" t="n">
        <v>5259</v>
      </c>
      <c r="B5260">
        <f>TEXT(5259, "[$-0E0000]yyyy-mm-dd")</f>
        <v/>
      </c>
      <c r="C5260" t="inlineStr">
        <is>
          <t>1914-05-02</t>
        </is>
      </c>
    </row>
    <row r="5261">
      <c r="A5261" s="1" t="n">
        <v>5260</v>
      </c>
      <c r="B5261">
        <f>TEXT(5260, "[$-0E0000]yyyy-mm-dd")</f>
        <v/>
      </c>
      <c r="C5261" t="inlineStr">
        <is>
          <t>1914-05-03</t>
        </is>
      </c>
    </row>
    <row r="5262">
      <c r="A5262" s="1" t="n">
        <v>5261</v>
      </c>
      <c r="B5262">
        <f>TEXT(5261, "[$-0E0000]yyyy-mm-dd")</f>
        <v/>
      </c>
      <c r="C5262" t="inlineStr">
        <is>
          <t>1914-05-04</t>
        </is>
      </c>
    </row>
    <row r="5263">
      <c r="A5263" s="1" t="n">
        <v>5262</v>
      </c>
      <c r="B5263">
        <f>TEXT(5262, "[$-0E0000]yyyy-mm-dd")</f>
        <v/>
      </c>
      <c r="C5263" t="inlineStr">
        <is>
          <t>1914-05-05</t>
        </is>
      </c>
    </row>
    <row r="5264">
      <c r="A5264" s="1" t="n">
        <v>5263</v>
      </c>
      <c r="B5264">
        <f>TEXT(5263, "[$-0E0000]yyyy-mm-dd")</f>
        <v/>
      </c>
      <c r="C5264" t="inlineStr">
        <is>
          <t>1914-05-06</t>
        </is>
      </c>
    </row>
    <row r="5265">
      <c r="A5265" s="1" t="n">
        <v>5264</v>
      </c>
      <c r="B5265">
        <f>TEXT(5264, "[$-0E0000]yyyy-mm-dd")</f>
        <v/>
      </c>
      <c r="C5265" t="inlineStr">
        <is>
          <t>1914-05-07</t>
        </is>
      </c>
    </row>
    <row r="5266">
      <c r="A5266" s="1" t="n">
        <v>5265</v>
      </c>
      <c r="B5266">
        <f>TEXT(5265, "[$-0E0000]yyyy-mm-dd")</f>
        <v/>
      </c>
      <c r="C5266" t="inlineStr">
        <is>
          <t>1914-05-08</t>
        </is>
      </c>
    </row>
    <row r="5267">
      <c r="A5267" s="1" t="n">
        <v>5266</v>
      </c>
      <c r="B5267">
        <f>TEXT(5266, "[$-0E0000]yyyy-mm-dd")</f>
        <v/>
      </c>
      <c r="C5267" t="inlineStr">
        <is>
          <t>1914-05-09</t>
        </is>
      </c>
    </row>
    <row r="5268">
      <c r="A5268" s="1" t="n">
        <v>5267</v>
      </c>
      <c r="B5268">
        <f>TEXT(5267, "[$-0E0000]yyyy-mm-dd")</f>
        <v/>
      </c>
      <c r="C5268" t="inlineStr">
        <is>
          <t>1914-05-10</t>
        </is>
      </c>
    </row>
    <row r="5269">
      <c r="A5269" s="1" t="n">
        <v>5268</v>
      </c>
      <c r="B5269">
        <f>TEXT(5268, "[$-0E0000]yyyy-mm-dd")</f>
        <v/>
      </c>
      <c r="C5269" t="inlineStr">
        <is>
          <t>1914-05-11</t>
        </is>
      </c>
    </row>
    <row r="5270">
      <c r="A5270" s="1" t="n">
        <v>5269</v>
      </c>
      <c r="B5270">
        <f>TEXT(5269, "[$-0E0000]yyyy-mm-dd")</f>
        <v/>
      </c>
      <c r="C5270" t="inlineStr">
        <is>
          <t>1914-05-12</t>
        </is>
      </c>
    </row>
    <row r="5271">
      <c r="A5271" s="1" t="n">
        <v>5270</v>
      </c>
      <c r="B5271">
        <f>TEXT(5270, "[$-0E0000]yyyy-mm-dd")</f>
        <v/>
      </c>
      <c r="C5271" t="inlineStr">
        <is>
          <t>1914-05-13</t>
        </is>
      </c>
    </row>
    <row r="5272">
      <c r="A5272" s="1" t="n">
        <v>5271</v>
      </c>
      <c r="B5272">
        <f>TEXT(5271, "[$-0E0000]yyyy-mm-dd")</f>
        <v/>
      </c>
      <c r="C5272" t="inlineStr">
        <is>
          <t>1914-05-14</t>
        </is>
      </c>
    </row>
    <row r="5273">
      <c r="A5273" s="1" t="n">
        <v>5272</v>
      </c>
      <c r="B5273">
        <f>TEXT(5272, "[$-0E0000]yyyy-mm-dd")</f>
        <v/>
      </c>
      <c r="C5273" t="inlineStr">
        <is>
          <t>1914-05-15</t>
        </is>
      </c>
    </row>
    <row r="5274">
      <c r="A5274" s="1" t="n">
        <v>5273</v>
      </c>
      <c r="B5274">
        <f>TEXT(5273, "[$-0E0000]yyyy-mm-dd")</f>
        <v/>
      </c>
      <c r="C5274" t="inlineStr">
        <is>
          <t>1914-05-16</t>
        </is>
      </c>
    </row>
    <row r="5275">
      <c r="A5275" s="1" t="n">
        <v>5274</v>
      </c>
      <c r="B5275">
        <f>TEXT(5274, "[$-0E0000]yyyy-mm-dd")</f>
        <v/>
      </c>
      <c r="C5275" t="inlineStr">
        <is>
          <t>1914-05-17</t>
        </is>
      </c>
    </row>
    <row r="5276">
      <c r="A5276" s="1" t="n">
        <v>5275</v>
      </c>
      <c r="B5276">
        <f>TEXT(5275, "[$-0E0000]yyyy-mm-dd")</f>
        <v/>
      </c>
      <c r="C5276" t="inlineStr">
        <is>
          <t>1914-05-18</t>
        </is>
      </c>
    </row>
    <row r="5277">
      <c r="A5277" s="1" t="n">
        <v>5276</v>
      </c>
      <c r="B5277">
        <f>TEXT(5276, "[$-0E0000]yyyy-mm-dd")</f>
        <v/>
      </c>
      <c r="C5277" t="inlineStr">
        <is>
          <t>1914-05-19</t>
        </is>
      </c>
    </row>
    <row r="5278">
      <c r="A5278" s="1" t="n">
        <v>5277</v>
      </c>
      <c r="B5278">
        <f>TEXT(5277, "[$-0E0000]yyyy-mm-dd")</f>
        <v/>
      </c>
      <c r="C5278" t="inlineStr">
        <is>
          <t>1914-05-20</t>
        </is>
      </c>
    </row>
    <row r="5279">
      <c r="A5279" s="1" t="n">
        <v>5278</v>
      </c>
      <c r="B5279">
        <f>TEXT(5278, "[$-0E0000]yyyy-mm-dd")</f>
        <v/>
      </c>
      <c r="C5279" t="inlineStr">
        <is>
          <t>1914-05-21</t>
        </is>
      </c>
    </row>
    <row r="5280">
      <c r="A5280" s="1" t="n">
        <v>5279</v>
      </c>
      <c r="B5280">
        <f>TEXT(5279, "[$-0E0000]yyyy-mm-dd")</f>
        <v/>
      </c>
      <c r="C5280" t="inlineStr">
        <is>
          <t>1914-05-22</t>
        </is>
      </c>
    </row>
    <row r="5281">
      <c r="A5281" s="1" t="n">
        <v>5280</v>
      </c>
      <c r="B5281">
        <f>TEXT(5280, "[$-0E0000]yyyy-mm-dd")</f>
        <v/>
      </c>
      <c r="C5281" t="inlineStr">
        <is>
          <t>1914-05-23</t>
        </is>
      </c>
    </row>
    <row r="5282">
      <c r="A5282" s="1" t="n">
        <v>5281</v>
      </c>
      <c r="B5282">
        <f>TEXT(5281, "[$-0E0000]yyyy-mm-dd")</f>
        <v/>
      </c>
      <c r="C5282" t="inlineStr">
        <is>
          <t>1914-05-24</t>
        </is>
      </c>
    </row>
    <row r="5283">
      <c r="A5283" s="1" t="n">
        <v>5282</v>
      </c>
      <c r="B5283">
        <f>TEXT(5282, "[$-0E0000]yyyy-mm-dd")</f>
        <v/>
      </c>
      <c r="C5283" t="inlineStr">
        <is>
          <t>1914-05-25</t>
        </is>
      </c>
    </row>
    <row r="5284">
      <c r="A5284" s="1" t="n">
        <v>5283</v>
      </c>
      <c r="B5284">
        <f>TEXT(5283, "[$-0E0000]yyyy-mm-dd")</f>
        <v/>
      </c>
      <c r="C5284" t="inlineStr">
        <is>
          <t>1914-05-26</t>
        </is>
      </c>
    </row>
    <row r="5285">
      <c r="A5285" s="1" t="n">
        <v>5284</v>
      </c>
      <c r="B5285">
        <f>TEXT(5284, "[$-0E0000]yyyy-mm-dd")</f>
        <v/>
      </c>
      <c r="C5285" t="inlineStr">
        <is>
          <t>1914-05-27</t>
        </is>
      </c>
    </row>
    <row r="5286">
      <c r="A5286" s="1" t="n">
        <v>5285</v>
      </c>
      <c r="B5286">
        <f>TEXT(5285, "[$-0E0000]yyyy-mm-dd")</f>
        <v/>
      </c>
      <c r="C5286" t="inlineStr">
        <is>
          <t>1914-05-28</t>
        </is>
      </c>
    </row>
    <row r="5287">
      <c r="A5287" s="1" t="n">
        <v>5286</v>
      </c>
      <c r="B5287">
        <f>TEXT(5286, "[$-0E0000]yyyy-mm-dd")</f>
        <v/>
      </c>
      <c r="C5287" t="inlineStr">
        <is>
          <t>1914-05-29</t>
        </is>
      </c>
    </row>
    <row r="5288">
      <c r="A5288" s="1" t="n">
        <v>5287</v>
      </c>
      <c r="B5288">
        <f>TEXT(5287, "[$-0E0000]yyyy-mm-dd")</f>
        <v/>
      </c>
      <c r="C5288" t="inlineStr">
        <is>
          <t>1914-05-01</t>
        </is>
      </c>
    </row>
    <row r="5289">
      <c r="A5289" s="1" t="n">
        <v>5288</v>
      </c>
      <c r="B5289">
        <f>TEXT(5288, "[$-0E0000]yyyy-mm-dd")</f>
        <v/>
      </c>
      <c r="C5289" t="inlineStr">
        <is>
          <t>1914-05-02</t>
        </is>
      </c>
    </row>
    <row r="5290">
      <c r="A5290" s="1" t="n">
        <v>5289</v>
      </c>
      <c r="B5290">
        <f>TEXT(5289, "[$-0E0000]yyyy-mm-dd")</f>
        <v/>
      </c>
      <c r="C5290" t="inlineStr">
        <is>
          <t>1914-05-03</t>
        </is>
      </c>
    </row>
    <row r="5291">
      <c r="A5291" s="1" t="n">
        <v>5290</v>
      </c>
      <c r="B5291">
        <f>TEXT(5290, "[$-0E0000]yyyy-mm-dd")</f>
        <v/>
      </c>
      <c r="C5291" t="inlineStr">
        <is>
          <t>1914-05-04</t>
        </is>
      </c>
    </row>
    <row r="5292">
      <c r="A5292" s="1" t="n">
        <v>5291</v>
      </c>
      <c r="B5292">
        <f>TEXT(5291, "[$-0E0000]yyyy-mm-dd")</f>
        <v/>
      </c>
      <c r="C5292" t="inlineStr">
        <is>
          <t>1914-05-05</t>
        </is>
      </c>
    </row>
    <row r="5293">
      <c r="A5293" s="1" t="n">
        <v>5292</v>
      </c>
      <c r="B5293">
        <f>TEXT(5292, "[$-0E0000]yyyy-mm-dd")</f>
        <v/>
      </c>
      <c r="C5293" t="inlineStr">
        <is>
          <t>1914-05-06</t>
        </is>
      </c>
    </row>
    <row r="5294">
      <c r="A5294" s="1" t="n">
        <v>5293</v>
      </c>
      <c r="B5294">
        <f>TEXT(5293, "[$-0E0000]yyyy-mm-dd")</f>
        <v/>
      </c>
      <c r="C5294" t="inlineStr">
        <is>
          <t>1914-05-07</t>
        </is>
      </c>
    </row>
    <row r="5295">
      <c r="A5295" s="1" t="n">
        <v>5294</v>
      </c>
      <c r="B5295">
        <f>TEXT(5294, "[$-0E0000]yyyy-mm-dd")</f>
        <v/>
      </c>
      <c r="C5295" t="inlineStr">
        <is>
          <t>1914-05-08</t>
        </is>
      </c>
    </row>
    <row r="5296">
      <c r="A5296" s="1" t="n">
        <v>5295</v>
      </c>
      <c r="B5296">
        <f>TEXT(5295, "[$-0E0000]yyyy-mm-dd")</f>
        <v/>
      </c>
      <c r="C5296" t="inlineStr">
        <is>
          <t>1914-05-09</t>
        </is>
      </c>
    </row>
    <row r="5297">
      <c r="A5297" s="1" t="n">
        <v>5296</v>
      </c>
      <c r="B5297">
        <f>TEXT(5296, "[$-0E0000]yyyy-mm-dd")</f>
        <v/>
      </c>
      <c r="C5297" t="inlineStr">
        <is>
          <t>1914-05-10</t>
        </is>
      </c>
    </row>
    <row r="5298">
      <c r="A5298" s="1" t="n">
        <v>5297</v>
      </c>
      <c r="B5298">
        <f>TEXT(5297, "[$-0E0000]yyyy-mm-dd")</f>
        <v/>
      </c>
      <c r="C5298" t="inlineStr">
        <is>
          <t>1914-05-11</t>
        </is>
      </c>
    </row>
    <row r="5299">
      <c r="A5299" s="1" t="n">
        <v>5298</v>
      </c>
      <c r="B5299">
        <f>TEXT(5298, "[$-0E0000]yyyy-mm-dd")</f>
        <v/>
      </c>
      <c r="C5299" t="inlineStr">
        <is>
          <t>1914-05-12</t>
        </is>
      </c>
    </row>
    <row r="5300">
      <c r="A5300" s="1" t="n">
        <v>5299</v>
      </c>
      <c r="B5300">
        <f>TEXT(5299, "[$-0E0000]yyyy-mm-dd")</f>
        <v/>
      </c>
      <c r="C5300" t="inlineStr">
        <is>
          <t>1914-05-13</t>
        </is>
      </c>
    </row>
    <row r="5301">
      <c r="A5301" s="1" t="n">
        <v>5300</v>
      </c>
      <c r="B5301">
        <f>TEXT(5300, "[$-0E0000]yyyy-mm-dd")</f>
        <v/>
      </c>
      <c r="C5301" t="inlineStr">
        <is>
          <t>1914-05-14</t>
        </is>
      </c>
    </row>
    <row r="5302">
      <c r="A5302" s="1" t="n">
        <v>5301</v>
      </c>
      <c r="B5302">
        <f>TEXT(5301, "[$-0E0000]yyyy-mm-dd")</f>
        <v/>
      </c>
      <c r="C5302" t="inlineStr">
        <is>
          <t>1914-05-15</t>
        </is>
      </c>
    </row>
    <row r="5303">
      <c r="A5303" s="1" t="n">
        <v>5302</v>
      </c>
      <c r="B5303">
        <f>TEXT(5302, "[$-0E0000]yyyy-mm-dd")</f>
        <v/>
      </c>
      <c r="C5303" t="inlineStr">
        <is>
          <t>1914-05-16</t>
        </is>
      </c>
    </row>
    <row r="5304">
      <c r="A5304" s="1" t="n">
        <v>5303</v>
      </c>
      <c r="B5304">
        <f>TEXT(5303, "[$-0E0000]yyyy-mm-dd")</f>
        <v/>
      </c>
      <c r="C5304" t="inlineStr">
        <is>
          <t>1914-05-17</t>
        </is>
      </c>
    </row>
    <row r="5305">
      <c r="A5305" s="1" t="n">
        <v>5304</v>
      </c>
      <c r="B5305">
        <f>TEXT(5304, "[$-0E0000]yyyy-mm-dd")</f>
        <v/>
      </c>
      <c r="C5305" t="inlineStr">
        <is>
          <t>1914-05-18</t>
        </is>
      </c>
    </row>
    <row r="5306">
      <c r="A5306" s="1" t="n">
        <v>5305</v>
      </c>
      <c r="B5306">
        <f>TEXT(5305, "[$-0E0000]yyyy-mm-dd")</f>
        <v/>
      </c>
      <c r="C5306" t="inlineStr">
        <is>
          <t>1914-05-19</t>
        </is>
      </c>
    </row>
    <row r="5307">
      <c r="A5307" s="1" t="n">
        <v>5306</v>
      </c>
      <c r="B5307">
        <f>TEXT(5306, "[$-0E0000]yyyy-mm-dd")</f>
        <v/>
      </c>
      <c r="C5307" t="inlineStr">
        <is>
          <t>1914-05-20</t>
        </is>
      </c>
    </row>
    <row r="5308">
      <c r="A5308" s="1" t="n">
        <v>5307</v>
      </c>
      <c r="B5308">
        <f>TEXT(5307, "[$-0E0000]yyyy-mm-dd")</f>
        <v/>
      </c>
      <c r="C5308" t="inlineStr">
        <is>
          <t>1914-05-21</t>
        </is>
      </c>
    </row>
    <row r="5309">
      <c r="A5309" s="1" t="n">
        <v>5308</v>
      </c>
      <c r="B5309">
        <f>TEXT(5308, "[$-0E0000]yyyy-mm-dd")</f>
        <v/>
      </c>
      <c r="C5309" t="inlineStr">
        <is>
          <t>1914-05-22</t>
        </is>
      </c>
    </row>
    <row r="5310">
      <c r="A5310" s="1" t="n">
        <v>5309</v>
      </c>
      <c r="B5310">
        <f>TEXT(5309, "[$-0E0000]yyyy-mm-dd")</f>
        <v/>
      </c>
      <c r="C5310" t="inlineStr">
        <is>
          <t>1914-05-23</t>
        </is>
      </c>
    </row>
    <row r="5311">
      <c r="A5311" s="1" t="n">
        <v>5310</v>
      </c>
      <c r="B5311">
        <f>TEXT(5310, "[$-0E0000]yyyy-mm-dd")</f>
        <v/>
      </c>
      <c r="C5311" t="inlineStr">
        <is>
          <t>1914-05-24</t>
        </is>
      </c>
    </row>
    <row r="5312">
      <c r="A5312" s="1" t="n">
        <v>5311</v>
      </c>
      <c r="B5312">
        <f>TEXT(5311, "[$-0E0000]yyyy-mm-dd")</f>
        <v/>
      </c>
      <c r="C5312" t="inlineStr">
        <is>
          <t>1914-05-25</t>
        </is>
      </c>
    </row>
    <row r="5313">
      <c r="A5313" s="1" t="n">
        <v>5312</v>
      </c>
      <c r="B5313">
        <f>TEXT(5312, "[$-0E0000]yyyy-mm-dd")</f>
        <v/>
      </c>
      <c r="C5313" t="inlineStr">
        <is>
          <t>1914-05-26</t>
        </is>
      </c>
    </row>
    <row r="5314">
      <c r="A5314" s="1" t="n">
        <v>5313</v>
      </c>
      <c r="B5314">
        <f>TEXT(5313, "[$-0E0000]yyyy-mm-dd")</f>
        <v/>
      </c>
      <c r="C5314" t="inlineStr">
        <is>
          <t>1914-05-27</t>
        </is>
      </c>
    </row>
    <row r="5315">
      <c r="A5315" s="1" t="n">
        <v>5314</v>
      </c>
      <c r="B5315">
        <f>TEXT(5314, "[$-0E0000]yyyy-mm-dd")</f>
        <v/>
      </c>
      <c r="C5315" t="inlineStr">
        <is>
          <t>1914-05-28</t>
        </is>
      </c>
    </row>
    <row r="5316">
      <c r="A5316" s="1" t="n">
        <v>5315</v>
      </c>
      <c r="B5316">
        <f>TEXT(5315, "[$-0E0000]yyyy-mm-dd")</f>
        <v/>
      </c>
      <c r="C5316" t="inlineStr">
        <is>
          <t>1914-05-29</t>
        </is>
      </c>
    </row>
    <row r="5317">
      <c r="A5317" s="1" t="n">
        <v>5316</v>
      </c>
      <c r="B5317">
        <f>TEXT(5316, "[$-0E0000]yyyy-mm-dd")</f>
        <v/>
      </c>
      <c r="C5317" t="inlineStr">
        <is>
          <t>1914-05-30</t>
        </is>
      </c>
    </row>
    <row r="5318">
      <c r="A5318" s="1" t="n">
        <v>5317</v>
      </c>
      <c r="B5318">
        <f>TEXT(5317, "[$-0E0000]yyyy-mm-dd")</f>
        <v/>
      </c>
      <c r="C5318" t="inlineStr">
        <is>
          <t>1914-06-01</t>
        </is>
      </c>
    </row>
    <row r="5319">
      <c r="A5319" s="1" t="n">
        <v>5318</v>
      </c>
      <c r="B5319">
        <f>TEXT(5318, "[$-0E0000]yyyy-mm-dd")</f>
        <v/>
      </c>
      <c r="C5319" t="inlineStr">
        <is>
          <t>1914-06-02</t>
        </is>
      </c>
    </row>
    <row r="5320">
      <c r="A5320" s="1" t="n">
        <v>5319</v>
      </c>
      <c r="B5320">
        <f>TEXT(5319, "[$-0E0000]yyyy-mm-dd")</f>
        <v/>
      </c>
      <c r="C5320" t="inlineStr">
        <is>
          <t>1914-06-03</t>
        </is>
      </c>
    </row>
    <row r="5321">
      <c r="A5321" s="1" t="n">
        <v>5320</v>
      </c>
      <c r="B5321">
        <f>TEXT(5320, "[$-0E0000]yyyy-mm-dd")</f>
        <v/>
      </c>
      <c r="C5321" t="inlineStr">
        <is>
          <t>1914-06-04</t>
        </is>
      </c>
    </row>
    <row r="5322">
      <c r="A5322" s="1" t="n">
        <v>5321</v>
      </c>
      <c r="B5322">
        <f>TEXT(5321, "[$-0E0000]yyyy-mm-dd")</f>
        <v/>
      </c>
      <c r="C5322" t="inlineStr">
        <is>
          <t>1914-06-05</t>
        </is>
      </c>
    </row>
    <row r="5323">
      <c r="A5323" s="1" t="n">
        <v>5322</v>
      </c>
      <c r="B5323">
        <f>TEXT(5322, "[$-0E0000]yyyy-mm-dd")</f>
        <v/>
      </c>
      <c r="C5323" t="inlineStr">
        <is>
          <t>1914-06-06</t>
        </is>
      </c>
    </row>
    <row r="5324">
      <c r="A5324" s="1" t="n">
        <v>5323</v>
      </c>
      <c r="B5324">
        <f>TEXT(5323, "[$-0E0000]yyyy-mm-dd")</f>
        <v/>
      </c>
      <c r="C5324" t="inlineStr">
        <is>
          <t>1914-06-07</t>
        </is>
      </c>
    </row>
    <row r="5325">
      <c r="A5325" s="1" t="n">
        <v>5324</v>
      </c>
      <c r="B5325">
        <f>TEXT(5324, "[$-0E0000]yyyy-mm-dd")</f>
        <v/>
      </c>
      <c r="C5325" t="inlineStr">
        <is>
          <t>1914-06-08</t>
        </is>
      </c>
    </row>
    <row r="5326">
      <c r="A5326" s="1" t="n">
        <v>5325</v>
      </c>
      <c r="B5326">
        <f>TEXT(5325, "[$-0E0000]yyyy-mm-dd")</f>
        <v/>
      </c>
      <c r="C5326" t="inlineStr">
        <is>
          <t>1914-06-09</t>
        </is>
      </c>
    </row>
    <row r="5327">
      <c r="A5327" s="1" t="n">
        <v>5326</v>
      </c>
      <c r="B5327">
        <f>TEXT(5326, "[$-0E0000]yyyy-mm-dd")</f>
        <v/>
      </c>
      <c r="C5327" t="inlineStr">
        <is>
          <t>1914-06-10</t>
        </is>
      </c>
    </row>
    <row r="5328">
      <c r="A5328" s="1" t="n">
        <v>5327</v>
      </c>
      <c r="B5328">
        <f>TEXT(5327, "[$-0E0000]yyyy-mm-dd")</f>
        <v/>
      </c>
      <c r="C5328" t="inlineStr">
        <is>
          <t>1914-06-11</t>
        </is>
      </c>
    </row>
    <row r="5329">
      <c r="A5329" s="1" t="n">
        <v>5328</v>
      </c>
      <c r="B5329">
        <f>TEXT(5328, "[$-0E0000]yyyy-mm-dd")</f>
        <v/>
      </c>
      <c r="C5329" t="inlineStr">
        <is>
          <t>1914-06-12</t>
        </is>
      </c>
    </row>
    <row r="5330">
      <c r="A5330" s="1" t="n">
        <v>5329</v>
      </c>
      <c r="B5330">
        <f>TEXT(5329, "[$-0E0000]yyyy-mm-dd")</f>
        <v/>
      </c>
      <c r="C5330" t="inlineStr">
        <is>
          <t>1914-06-13</t>
        </is>
      </c>
    </row>
    <row r="5331">
      <c r="A5331" s="1" t="n">
        <v>5330</v>
      </c>
      <c r="B5331">
        <f>TEXT(5330, "[$-0E0000]yyyy-mm-dd")</f>
        <v/>
      </c>
      <c r="C5331" t="inlineStr">
        <is>
          <t>1914-06-14</t>
        </is>
      </c>
    </row>
    <row r="5332">
      <c r="A5332" s="1" t="n">
        <v>5331</v>
      </c>
      <c r="B5332">
        <f>TEXT(5331, "[$-0E0000]yyyy-mm-dd")</f>
        <v/>
      </c>
      <c r="C5332" t="inlineStr">
        <is>
          <t>1914-06-15</t>
        </is>
      </c>
    </row>
    <row r="5333">
      <c r="A5333" s="1" t="n">
        <v>5332</v>
      </c>
      <c r="B5333">
        <f>TEXT(5332, "[$-0E0000]yyyy-mm-dd")</f>
        <v/>
      </c>
      <c r="C5333" t="inlineStr">
        <is>
          <t>1914-06-16</t>
        </is>
      </c>
    </row>
    <row r="5334">
      <c r="A5334" s="1" t="n">
        <v>5333</v>
      </c>
      <c r="B5334">
        <f>TEXT(5333, "[$-0E0000]yyyy-mm-dd")</f>
        <v/>
      </c>
      <c r="C5334" t="inlineStr">
        <is>
          <t>1914-06-17</t>
        </is>
      </c>
    </row>
    <row r="5335">
      <c r="A5335" s="1" t="n">
        <v>5334</v>
      </c>
      <c r="B5335">
        <f>TEXT(5334, "[$-0E0000]yyyy-mm-dd")</f>
        <v/>
      </c>
      <c r="C5335" t="inlineStr">
        <is>
          <t>1914-06-18</t>
        </is>
      </c>
    </row>
    <row r="5336">
      <c r="A5336" s="1" t="n">
        <v>5335</v>
      </c>
      <c r="B5336">
        <f>TEXT(5335, "[$-0E0000]yyyy-mm-dd")</f>
        <v/>
      </c>
      <c r="C5336" t="inlineStr">
        <is>
          <t>1914-06-19</t>
        </is>
      </c>
    </row>
    <row r="5337">
      <c r="A5337" s="1" t="n">
        <v>5336</v>
      </c>
      <c r="B5337">
        <f>TEXT(5336, "[$-0E0000]yyyy-mm-dd")</f>
        <v/>
      </c>
      <c r="C5337" t="inlineStr">
        <is>
          <t>1914-06-20</t>
        </is>
      </c>
    </row>
    <row r="5338">
      <c r="A5338" s="1" t="n">
        <v>5337</v>
      </c>
      <c r="B5338">
        <f>TEXT(5337, "[$-0E0000]yyyy-mm-dd")</f>
        <v/>
      </c>
      <c r="C5338" t="inlineStr">
        <is>
          <t>1914-06-21</t>
        </is>
      </c>
    </row>
    <row r="5339">
      <c r="A5339" s="1" t="n">
        <v>5338</v>
      </c>
      <c r="B5339">
        <f>TEXT(5338, "[$-0E0000]yyyy-mm-dd")</f>
        <v/>
      </c>
      <c r="C5339" t="inlineStr">
        <is>
          <t>1914-06-22</t>
        </is>
      </c>
    </row>
    <row r="5340">
      <c r="A5340" s="1" t="n">
        <v>5339</v>
      </c>
      <c r="B5340">
        <f>TEXT(5339, "[$-0E0000]yyyy-mm-dd")</f>
        <v/>
      </c>
      <c r="C5340" t="inlineStr">
        <is>
          <t>1914-06-23</t>
        </is>
      </c>
    </row>
    <row r="5341">
      <c r="A5341" s="1" t="n">
        <v>5340</v>
      </c>
      <c r="B5341">
        <f>TEXT(5340, "[$-0E0000]yyyy-mm-dd")</f>
        <v/>
      </c>
      <c r="C5341" t="inlineStr">
        <is>
          <t>1914-06-24</t>
        </is>
      </c>
    </row>
    <row r="5342">
      <c r="A5342" s="1" t="n">
        <v>5341</v>
      </c>
      <c r="B5342">
        <f>TEXT(5341, "[$-0E0000]yyyy-mm-dd")</f>
        <v/>
      </c>
      <c r="C5342" t="inlineStr">
        <is>
          <t>1914-06-25</t>
        </is>
      </c>
    </row>
    <row r="5343">
      <c r="A5343" s="1" t="n">
        <v>5342</v>
      </c>
      <c r="B5343">
        <f>TEXT(5342, "[$-0E0000]yyyy-mm-dd")</f>
        <v/>
      </c>
      <c r="C5343" t="inlineStr">
        <is>
          <t>1914-06-26</t>
        </is>
      </c>
    </row>
    <row r="5344">
      <c r="A5344" s="1" t="n">
        <v>5343</v>
      </c>
      <c r="B5344">
        <f>TEXT(5343, "[$-0E0000]yyyy-mm-dd")</f>
        <v/>
      </c>
      <c r="C5344" t="inlineStr">
        <is>
          <t>1914-06-27</t>
        </is>
      </c>
    </row>
    <row r="5345">
      <c r="A5345" s="1" t="n">
        <v>5344</v>
      </c>
      <c r="B5345">
        <f>TEXT(5344, "[$-0E0000]yyyy-mm-dd")</f>
        <v/>
      </c>
      <c r="C5345" t="inlineStr">
        <is>
          <t>1914-06-28</t>
        </is>
      </c>
    </row>
    <row r="5346">
      <c r="A5346" s="1" t="n">
        <v>5345</v>
      </c>
      <c r="B5346">
        <f>TEXT(5345, "[$-0E0000]yyyy-mm-dd")</f>
        <v/>
      </c>
      <c r="C5346" t="inlineStr">
        <is>
          <t>1914-06-29</t>
        </is>
      </c>
    </row>
    <row r="5347">
      <c r="A5347" s="1" t="n">
        <v>5346</v>
      </c>
      <c r="B5347">
        <f>TEXT(5346, "[$-0E0000]yyyy-mm-dd")</f>
        <v/>
      </c>
      <c r="C5347" t="inlineStr">
        <is>
          <t>1914-07-01</t>
        </is>
      </c>
    </row>
    <row r="5348">
      <c r="A5348" s="1" t="n">
        <v>5347</v>
      </c>
      <c r="B5348">
        <f>TEXT(5347, "[$-0E0000]yyyy-mm-dd")</f>
        <v/>
      </c>
      <c r="C5348" t="inlineStr">
        <is>
          <t>1914-07-02</t>
        </is>
      </c>
    </row>
    <row r="5349">
      <c r="A5349" s="1" t="n">
        <v>5348</v>
      </c>
      <c r="B5349">
        <f>TEXT(5348, "[$-0E0000]yyyy-mm-dd")</f>
        <v/>
      </c>
      <c r="C5349" t="inlineStr">
        <is>
          <t>1914-07-03</t>
        </is>
      </c>
    </row>
    <row r="5350">
      <c r="A5350" s="1" t="n">
        <v>5349</v>
      </c>
      <c r="B5350">
        <f>TEXT(5349, "[$-0E0000]yyyy-mm-dd")</f>
        <v/>
      </c>
      <c r="C5350" t="inlineStr">
        <is>
          <t>1914-07-04</t>
        </is>
      </c>
    </row>
    <row r="5351">
      <c r="A5351" s="1" t="n">
        <v>5350</v>
      </c>
      <c r="B5351">
        <f>TEXT(5350, "[$-0E0000]yyyy-mm-dd")</f>
        <v/>
      </c>
      <c r="C5351" t="inlineStr">
        <is>
          <t>1914-07-05</t>
        </is>
      </c>
    </row>
    <row r="5352">
      <c r="A5352" s="1" t="n">
        <v>5351</v>
      </c>
      <c r="B5352">
        <f>TEXT(5351, "[$-0E0000]yyyy-mm-dd")</f>
        <v/>
      </c>
      <c r="C5352" t="inlineStr">
        <is>
          <t>1914-07-06</t>
        </is>
      </c>
    </row>
    <row r="5353">
      <c r="A5353" s="1" t="n">
        <v>5352</v>
      </c>
      <c r="B5353">
        <f>TEXT(5352, "[$-0E0000]yyyy-mm-dd")</f>
        <v/>
      </c>
      <c r="C5353" t="inlineStr">
        <is>
          <t>1914-07-07</t>
        </is>
      </c>
    </row>
    <row r="5354">
      <c r="A5354" s="1" t="n">
        <v>5353</v>
      </c>
      <c r="B5354">
        <f>TEXT(5353, "[$-0E0000]yyyy-mm-dd")</f>
        <v/>
      </c>
      <c r="C5354" t="inlineStr">
        <is>
          <t>1914-07-08</t>
        </is>
      </c>
    </row>
    <row r="5355">
      <c r="A5355" s="1" t="n">
        <v>5354</v>
      </c>
      <c r="B5355">
        <f>TEXT(5354, "[$-0E0000]yyyy-mm-dd")</f>
        <v/>
      </c>
      <c r="C5355" t="inlineStr">
        <is>
          <t>1914-07-09</t>
        </is>
      </c>
    </row>
    <row r="5356">
      <c r="A5356" s="1" t="n">
        <v>5355</v>
      </c>
      <c r="B5356">
        <f>TEXT(5355, "[$-0E0000]yyyy-mm-dd")</f>
        <v/>
      </c>
      <c r="C5356" t="inlineStr">
        <is>
          <t>1914-07-10</t>
        </is>
      </c>
    </row>
    <row r="5357">
      <c r="A5357" s="1" t="n">
        <v>5356</v>
      </c>
      <c r="B5357">
        <f>TEXT(5356, "[$-0E0000]yyyy-mm-dd")</f>
        <v/>
      </c>
      <c r="C5357" t="inlineStr">
        <is>
          <t>1914-07-11</t>
        </is>
      </c>
    </row>
    <row r="5358">
      <c r="A5358" s="1" t="n">
        <v>5357</v>
      </c>
      <c r="B5358">
        <f>TEXT(5357, "[$-0E0000]yyyy-mm-dd")</f>
        <v/>
      </c>
      <c r="C5358" t="inlineStr">
        <is>
          <t>1914-07-12</t>
        </is>
      </c>
    </row>
    <row r="5359">
      <c r="A5359" s="1" t="n">
        <v>5358</v>
      </c>
      <c r="B5359">
        <f>TEXT(5358, "[$-0E0000]yyyy-mm-dd")</f>
        <v/>
      </c>
      <c r="C5359" t="inlineStr">
        <is>
          <t>1914-07-13</t>
        </is>
      </c>
    </row>
    <row r="5360">
      <c r="A5360" s="1" t="n">
        <v>5359</v>
      </c>
      <c r="B5360">
        <f>TEXT(5359, "[$-0E0000]yyyy-mm-dd")</f>
        <v/>
      </c>
      <c r="C5360" t="inlineStr">
        <is>
          <t>1914-07-14</t>
        </is>
      </c>
    </row>
    <row r="5361">
      <c r="A5361" s="1" t="n">
        <v>5360</v>
      </c>
      <c r="B5361">
        <f>TEXT(5360, "[$-0E0000]yyyy-mm-dd")</f>
        <v/>
      </c>
      <c r="C5361" t="inlineStr">
        <is>
          <t>1914-07-15</t>
        </is>
      </c>
    </row>
    <row r="5362">
      <c r="A5362" s="1" t="n">
        <v>5361</v>
      </c>
      <c r="B5362">
        <f>TEXT(5361, "[$-0E0000]yyyy-mm-dd")</f>
        <v/>
      </c>
      <c r="C5362" t="inlineStr">
        <is>
          <t>1914-07-16</t>
        </is>
      </c>
    </row>
    <row r="5363">
      <c r="A5363" s="1" t="n">
        <v>5362</v>
      </c>
      <c r="B5363">
        <f>TEXT(5362, "[$-0E0000]yyyy-mm-dd")</f>
        <v/>
      </c>
      <c r="C5363" t="inlineStr">
        <is>
          <t>1914-07-17</t>
        </is>
      </c>
    </row>
    <row r="5364">
      <c r="A5364" s="1" t="n">
        <v>5363</v>
      </c>
      <c r="B5364">
        <f>TEXT(5363, "[$-0E0000]yyyy-mm-dd")</f>
        <v/>
      </c>
      <c r="C5364" t="inlineStr">
        <is>
          <t>1914-07-18</t>
        </is>
      </c>
    </row>
    <row r="5365">
      <c r="A5365" s="1" t="n">
        <v>5364</v>
      </c>
      <c r="B5365">
        <f>TEXT(5364, "[$-0E0000]yyyy-mm-dd")</f>
        <v/>
      </c>
      <c r="C5365" t="inlineStr">
        <is>
          <t>1914-07-19</t>
        </is>
      </c>
    </row>
    <row r="5366">
      <c r="A5366" s="1" t="n">
        <v>5365</v>
      </c>
      <c r="B5366">
        <f>TEXT(5365, "[$-0E0000]yyyy-mm-dd")</f>
        <v/>
      </c>
      <c r="C5366" t="inlineStr">
        <is>
          <t>1914-07-20</t>
        </is>
      </c>
    </row>
    <row r="5367">
      <c r="A5367" s="1" t="n">
        <v>5366</v>
      </c>
      <c r="B5367">
        <f>TEXT(5366, "[$-0E0000]yyyy-mm-dd")</f>
        <v/>
      </c>
      <c r="C5367" t="inlineStr">
        <is>
          <t>1914-07-21</t>
        </is>
      </c>
    </row>
    <row r="5368">
      <c r="A5368" s="1" t="n">
        <v>5367</v>
      </c>
      <c r="B5368">
        <f>TEXT(5367, "[$-0E0000]yyyy-mm-dd")</f>
        <v/>
      </c>
      <c r="C5368" t="inlineStr">
        <is>
          <t>1914-07-22</t>
        </is>
      </c>
    </row>
    <row r="5369">
      <c r="A5369" s="1" t="n">
        <v>5368</v>
      </c>
      <c r="B5369">
        <f>TEXT(5368, "[$-0E0000]yyyy-mm-dd")</f>
        <v/>
      </c>
      <c r="C5369" t="inlineStr">
        <is>
          <t>1914-07-23</t>
        </is>
      </c>
    </row>
    <row r="5370">
      <c r="A5370" s="1" t="n">
        <v>5369</v>
      </c>
      <c r="B5370">
        <f>TEXT(5369, "[$-0E0000]yyyy-mm-dd")</f>
        <v/>
      </c>
      <c r="C5370" t="inlineStr">
        <is>
          <t>1914-07-24</t>
        </is>
      </c>
    </row>
    <row r="5371">
      <c r="A5371" s="1" t="n">
        <v>5370</v>
      </c>
      <c r="B5371">
        <f>TEXT(5370, "[$-0E0000]yyyy-mm-dd")</f>
        <v/>
      </c>
      <c r="C5371" t="inlineStr">
        <is>
          <t>1914-07-25</t>
        </is>
      </c>
    </row>
    <row r="5372">
      <c r="A5372" s="1" t="n">
        <v>5371</v>
      </c>
      <c r="B5372">
        <f>TEXT(5371, "[$-0E0000]yyyy-mm-dd")</f>
        <v/>
      </c>
      <c r="C5372" t="inlineStr">
        <is>
          <t>1914-07-26</t>
        </is>
      </c>
    </row>
    <row r="5373">
      <c r="A5373" s="1" t="n">
        <v>5372</v>
      </c>
      <c r="B5373">
        <f>TEXT(5372, "[$-0E0000]yyyy-mm-dd")</f>
        <v/>
      </c>
      <c r="C5373" t="inlineStr">
        <is>
          <t>1914-07-27</t>
        </is>
      </c>
    </row>
    <row r="5374">
      <c r="A5374" s="1" t="n">
        <v>5373</v>
      </c>
      <c r="B5374">
        <f>TEXT(5373, "[$-0E0000]yyyy-mm-dd")</f>
        <v/>
      </c>
      <c r="C5374" t="inlineStr">
        <is>
          <t>1914-07-28</t>
        </is>
      </c>
    </row>
    <row r="5375">
      <c r="A5375" s="1" t="n">
        <v>5374</v>
      </c>
      <c r="B5375">
        <f>TEXT(5374, "[$-0E0000]yyyy-mm-dd")</f>
        <v/>
      </c>
      <c r="C5375" t="inlineStr">
        <is>
          <t>1914-07-29</t>
        </is>
      </c>
    </row>
    <row r="5376">
      <c r="A5376" s="1" t="n">
        <v>5375</v>
      </c>
      <c r="B5376">
        <f>TEXT(5375, "[$-0E0000]yyyy-mm-dd")</f>
        <v/>
      </c>
      <c r="C5376" t="inlineStr">
        <is>
          <t>1914-07-30</t>
        </is>
      </c>
    </row>
    <row r="5377">
      <c r="A5377" s="1" t="n">
        <v>5376</v>
      </c>
      <c r="B5377">
        <f>TEXT(5376, "[$-0E0000]yyyy-mm-dd")</f>
        <v/>
      </c>
      <c r="C5377" t="inlineStr">
        <is>
          <t>1914-08-01</t>
        </is>
      </c>
    </row>
    <row r="5378">
      <c r="A5378" s="1" t="n">
        <v>5377</v>
      </c>
      <c r="B5378">
        <f>TEXT(5377, "[$-0E0000]yyyy-mm-dd")</f>
        <v/>
      </c>
      <c r="C5378" t="inlineStr">
        <is>
          <t>1914-08-02</t>
        </is>
      </c>
    </row>
    <row r="5379">
      <c r="A5379" s="1" t="n">
        <v>5378</v>
      </c>
      <c r="B5379">
        <f>TEXT(5378, "[$-0E0000]yyyy-mm-dd")</f>
        <v/>
      </c>
      <c r="C5379" t="inlineStr">
        <is>
          <t>1914-08-03</t>
        </is>
      </c>
    </row>
    <row r="5380">
      <c r="A5380" s="1" t="n">
        <v>5379</v>
      </c>
      <c r="B5380">
        <f>TEXT(5379, "[$-0E0000]yyyy-mm-dd")</f>
        <v/>
      </c>
      <c r="C5380" t="inlineStr">
        <is>
          <t>1914-08-04</t>
        </is>
      </c>
    </row>
    <row r="5381">
      <c r="A5381" s="1" t="n">
        <v>5380</v>
      </c>
      <c r="B5381">
        <f>TEXT(5380, "[$-0E0000]yyyy-mm-dd")</f>
        <v/>
      </c>
      <c r="C5381" t="inlineStr">
        <is>
          <t>1914-08-05</t>
        </is>
      </c>
    </row>
    <row r="5382">
      <c r="A5382" s="1" t="n">
        <v>5381</v>
      </c>
      <c r="B5382">
        <f>TEXT(5381, "[$-0E0000]yyyy-mm-dd")</f>
        <v/>
      </c>
      <c r="C5382" t="inlineStr">
        <is>
          <t>1914-08-06</t>
        </is>
      </c>
    </row>
    <row r="5383">
      <c r="A5383" s="1" t="n">
        <v>5382</v>
      </c>
      <c r="B5383">
        <f>TEXT(5382, "[$-0E0000]yyyy-mm-dd")</f>
        <v/>
      </c>
      <c r="C5383" t="inlineStr">
        <is>
          <t>1914-08-07</t>
        </is>
      </c>
    </row>
    <row r="5384">
      <c r="A5384" s="1" t="n">
        <v>5383</v>
      </c>
      <c r="B5384">
        <f>TEXT(5383, "[$-0E0000]yyyy-mm-dd")</f>
        <v/>
      </c>
      <c r="C5384" t="inlineStr">
        <is>
          <t>1914-08-08</t>
        </is>
      </c>
    </row>
    <row r="5385">
      <c r="A5385" s="1" t="n">
        <v>5384</v>
      </c>
      <c r="B5385">
        <f>TEXT(5384, "[$-0E0000]yyyy-mm-dd")</f>
        <v/>
      </c>
      <c r="C5385" t="inlineStr">
        <is>
          <t>1914-08-09</t>
        </is>
      </c>
    </row>
    <row r="5386">
      <c r="A5386" s="1" t="n">
        <v>5385</v>
      </c>
      <c r="B5386">
        <f>TEXT(5385, "[$-0E0000]yyyy-mm-dd")</f>
        <v/>
      </c>
      <c r="C5386" t="inlineStr">
        <is>
          <t>1914-08-10</t>
        </is>
      </c>
    </row>
    <row r="5387">
      <c r="A5387" s="1" t="n">
        <v>5386</v>
      </c>
      <c r="B5387">
        <f>TEXT(5386, "[$-0E0000]yyyy-mm-dd")</f>
        <v/>
      </c>
      <c r="C5387" t="inlineStr">
        <is>
          <t>1914-08-11</t>
        </is>
      </c>
    </row>
    <row r="5388">
      <c r="A5388" s="1" t="n">
        <v>5387</v>
      </c>
      <c r="B5388">
        <f>TEXT(5387, "[$-0E0000]yyyy-mm-dd")</f>
        <v/>
      </c>
      <c r="C5388" t="inlineStr">
        <is>
          <t>1914-08-12</t>
        </is>
      </c>
    </row>
    <row r="5389">
      <c r="A5389" s="1" t="n">
        <v>5388</v>
      </c>
      <c r="B5389">
        <f>TEXT(5388, "[$-0E0000]yyyy-mm-dd")</f>
        <v/>
      </c>
      <c r="C5389" t="inlineStr">
        <is>
          <t>1914-08-13</t>
        </is>
      </c>
    </row>
    <row r="5390">
      <c r="A5390" s="1" t="n">
        <v>5389</v>
      </c>
      <c r="B5390">
        <f>TEXT(5389, "[$-0E0000]yyyy-mm-dd")</f>
        <v/>
      </c>
      <c r="C5390" t="inlineStr">
        <is>
          <t>1914-08-14</t>
        </is>
      </c>
    </row>
    <row r="5391">
      <c r="A5391" s="1" t="n">
        <v>5390</v>
      </c>
      <c r="B5391">
        <f>TEXT(5390, "[$-0E0000]yyyy-mm-dd")</f>
        <v/>
      </c>
      <c r="C5391" t="inlineStr">
        <is>
          <t>1914-08-15</t>
        </is>
      </c>
    </row>
    <row r="5392">
      <c r="A5392" s="1" t="n">
        <v>5391</v>
      </c>
      <c r="B5392">
        <f>TEXT(5391, "[$-0E0000]yyyy-mm-dd")</f>
        <v/>
      </c>
      <c r="C5392" t="inlineStr">
        <is>
          <t>1914-08-16</t>
        </is>
      </c>
    </row>
    <row r="5393">
      <c r="A5393" s="1" t="n">
        <v>5392</v>
      </c>
      <c r="B5393">
        <f>TEXT(5392, "[$-0E0000]yyyy-mm-dd")</f>
        <v/>
      </c>
      <c r="C5393" t="inlineStr">
        <is>
          <t>1914-08-17</t>
        </is>
      </c>
    </row>
    <row r="5394">
      <c r="A5394" s="1" t="n">
        <v>5393</v>
      </c>
      <c r="B5394">
        <f>TEXT(5393, "[$-0E0000]yyyy-mm-dd")</f>
        <v/>
      </c>
      <c r="C5394" t="inlineStr">
        <is>
          <t>1914-08-18</t>
        </is>
      </c>
    </row>
    <row r="5395">
      <c r="A5395" s="1" t="n">
        <v>5394</v>
      </c>
      <c r="B5395">
        <f>TEXT(5394, "[$-0E0000]yyyy-mm-dd")</f>
        <v/>
      </c>
      <c r="C5395" t="inlineStr">
        <is>
          <t>1914-08-19</t>
        </is>
      </c>
    </row>
    <row r="5396">
      <c r="A5396" s="1" t="n">
        <v>5395</v>
      </c>
      <c r="B5396">
        <f>TEXT(5395, "[$-0E0000]yyyy-mm-dd")</f>
        <v/>
      </c>
      <c r="C5396" t="inlineStr">
        <is>
          <t>1914-08-20</t>
        </is>
      </c>
    </row>
    <row r="5397">
      <c r="A5397" s="1" t="n">
        <v>5396</v>
      </c>
      <c r="B5397">
        <f>TEXT(5396, "[$-0E0000]yyyy-mm-dd")</f>
        <v/>
      </c>
      <c r="C5397" t="inlineStr">
        <is>
          <t>1914-08-21</t>
        </is>
      </c>
    </row>
    <row r="5398">
      <c r="A5398" s="1" t="n">
        <v>5397</v>
      </c>
      <c r="B5398">
        <f>TEXT(5397, "[$-0E0000]yyyy-mm-dd")</f>
        <v/>
      </c>
      <c r="C5398" t="inlineStr">
        <is>
          <t>1914-08-22</t>
        </is>
      </c>
    </row>
    <row r="5399">
      <c r="A5399" s="1" t="n">
        <v>5398</v>
      </c>
      <c r="B5399">
        <f>TEXT(5398, "[$-0E0000]yyyy-mm-dd")</f>
        <v/>
      </c>
      <c r="C5399" t="inlineStr">
        <is>
          <t>1914-08-23</t>
        </is>
      </c>
    </row>
    <row r="5400">
      <c r="A5400" s="1" t="n">
        <v>5399</v>
      </c>
      <c r="B5400">
        <f>TEXT(5399, "[$-0E0000]yyyy-mm-dd")</f>
        <v/>
      </c>
      <c r="C5400" t="inlineStr">
        <is>
          <t>1914-08-24</t>
        </is>
      </c>
    </row>
    <row r="5401">
      <c r="A5401" s="1" t="n">
        <v>5400</v>
      </c>
      <c r="B5401">
        <f>TEXT(5400, "[$-0E0000]yyyy-mm-dd")</f>
        <v/>
      </c>
      <c r="C5401" t="inlineStr">
        <is>
          <t>1914-08-25</t>
        </is>
      </c>
    </row>
    <row r="5402">
      <c r="A5402" s="1" t="n">
        <v>5401</v>
      </c>
      <c r="B5402">
        <f>TEXT(5401, "[$-0E0000]yyyy-mm-dd")</f>
        <v/>
      </c>
      <c r="C5402" t="inlineStr">
        <is>
          <t>1914-08-26</t>
        </is>
      </c>
    </row>
    <row r="5403">
      <c r="A5403" s="1" t="n">
        <v>5402</v>
      </c>
      <c r="B5403">
        <f>TEXT(5402, "[$-0E0000]yyyy-mm-dd")</f>
        <v/>
      </c>
      <c r="C5403" t="inlineStr">
        <is>
          <t>1914-08-27</t>
        </is>
      </c>
    </row>
    <row r="5404">
      <c r="A5404" s="1" t="n">
        <v>5403</v>
      </c>
      <c r="B5404">
        <f>TEXT(5403, "[$-0E0000]yyyy-mm-dd")</f>
        <v/>
      </c>
      <c r="C5404" t="inlineStr">
        <is>
          <t>1914-08-28</t>
        </is>
      </c>
    </row>
    <row r="5405">
      <c r="A5405" s="1" t="n">
        <v>5404</v>
      </c>
      <c r="B5405">
        <f>TEXT(5404, "[$-0E0000]yyyy-mm-dd")</f>
        <v/>
      </c>
      <c r="C5405" t="inlineStr">
        <is>
          <t>1914-08-29</t>
        </is>
      </c>
    </row>
    <row r="5406">
      <c r="A5406" s="1" t="n">
        <v>5405</v>
      </c>
      <c r="B5406">
        <f>TEXT(5405, "[$-0E0000]yyyy-mm-dd")</f>
        <v/>
      </c>
      <c r="C5406" t="inlineStr">
        <is>
          <t>1914-09-01</t>
        </is>
      </c>
    </row>
    <row r="5407">
      <c r="A5407" s="1" t="n">
        <v>5406</v>
      </c>
      <c r="B5407">
        <f>TEXT(5406, "[$-0E0000]yyyy-mm-dd")</f>
        <v/>
      </c>
      <c r="C5407" t="inlineStr">
        <is>
          <t>1914-09-02</t>
        </is>
      </c>
    </row>
    <row r="5408">
      <c r="A5408" s="1" t="n">
        <v>5407</v>
      </c>
      <c r="B5408">
        <f>TEXT(5407, "[$-0E0000]yyyy-mm-dd")</f>
        <v/>
      </c>
      <c r="C5408" t="inlineStr">
        <is>
          <t>1914-09-03</t>
        </is>
      </c>
    </row>
    <row r="5409">
      <c r="A5409" s="1" t="n">
        <v>5408</v>
      </c>
      <c r="B5409">
        <f>TEXT(5408, "[$-0E0000]yyyy-mm-dd")</f>
        <v/>
      </c>
      <c r="C5409" t="inlineStr">
        <is>
          <t>1914-09-04</t>
        </is>
      </c>
    </row>
    <row r="5410">
      <c r="A5410" s="1" t="n">
        <v>5409</v>
      </c>
      <c r="B5410">
        <f>TEXT(5409, "[$-0E0000]yyyy-mm-dd")</f>
        <v/>
      </c>
      <c r="C5410" t="inlineStr">
        <is>
          <t>1914-09-05</t>
        </is>
      </c>
    </row>
    <row r="5411">
      <c r="A5411" s="1" t="n">
        <v>5410</v>
      </c>
      <c r="B5411">
        <f>TEXT(5410, "[$-0E0000]yyyy-mm-dd")</f>
        <v/>
      </c>
      <c r="C5411" t="inlineStr">
        <is>
          <t>1914-09-06</t>
        </is>
      </c>
    </row>
    <row r="5412">
      <c r="A5412" s="1" t="n">
        <v>5411</v>
      </c>
      <c r="B5412">
        <f>TEXT(5411, "[$-0E0000]yyyy-mm-dd")</f>
        <v/>
      </c>
      <c r="C5412" t="inlineStr">
        <is>
          <t>1914-09-07</t>
        </is>
      </c>
    </row>
    <row r="5413">
      <c r="A5413" s="1" t="n">
        <v>5412</v>
      </c>
      <c r="B5413">
        <f>TEXT(5412, "[$-0E0000]yyyy-mm-dd")</f>
        <v/>
      </c>
      <c r="C5413" t="inlineStr">
        <is>
          <t>1914-09-08</t>
        </is>
      </c>
    </row>
    <row r="5414">
      <c r="A5414" s="1" t="n">
        <v>5413</v>
      </c>
      <c r="B5414">
        <f>TEXT(5413, "[$-0E0000]yyyy-mm-dd")</f>
        <v/>
      </c>
      <c r="C5414" t="inlineStr">
        <is>
          <t>1914-09-09</t>
        </is>
      </c>
    </row>
    <row r="5415">
      <c r="A5415" s="1" t="n">
        <v>5414</v>
      </c>
      <c r="B5415">
        <f>TEXT(5414, "[$-0E0000]yyyy-mm-dd")</f>
        <v/>
      </c>
      <c r="C5415" t="inlineStr">
        <is>
          <t>1914-09-10</t>
        </is>
      </c>
    </row>
    <row r="5416">
      <c r="A5416" s="1" t="n">
        <v>5415</v>
      </c>
      <c r="B5416">
        <f>TEXT(5415, "[$-0E0000]yyyy-mm-dd")</f>
        <v/>
      </c>
      <c r="C5416" t="inlineStr">
        <is>
          <t>1914-09-11</t>
        </is>
      </c>
    </row>
    <row r="5417">
      <c r="A5417" s="1" t="n">
        <v>5416</v>
      </c>
      <c r="B5417">
        <f>TEXT(5416, "[$-0E0000]yyyy-mm-dd")</f>
        <v/>
      </c>
      <c r="C5417" t="inlineStr">
        <is>
          <t>1914-09-12</t>
        </is>
      </c>
    </row>
    <row r="5418">
      <c r="A5418" s="1" t="n">
        <v>5417</v>
      </c>
      <c r="B5418">
        <f>TEXT(5417, "[$-0E0000]yyyy-mm-dd")</f>
        <v/>
      </c>
      <c r="C5418" t="inlineStr">
        <is>
          <t>1914-09-13</t>
        </is>
      </c>
    </row>
    <row r="5419">
      <c r="A5419" s="1" t="n">
        <v>5418</v>
      </c>
      <c r="B5419">
        <f>TEXT(5418, "[$-0E0000]yyyy-mm-dd")</f>
        <v/>
      </c>
      <c r="C5419" t="inlineStr">
        <is>
          <t>1914-09-14</t>
        </is>
      </c>
    </row>
    <row r="5420">
      <c r="A5420" s="1" t="n">
        <v>5419</v>
      </c>
      <c r="B5420">
        <f>TEXT(5419, "[$-0E0000]yyyy-mm-dd")</f>
        <v/>
      </c>
      <c r="C5420" t="inlineStr">
        <is>
          <t>1914-09-15</t>
        </is>
      </c>
    </row>
    <row r="5421">
      <c r="A5421" s="1" t="n">
        <v>5420</v>
      </c>
      <c r="B5421">
        <f>TEXT(5420, "[$-0E0000]yyyy-mm-dd")</f>
        <v/>
      </c>
      <c r="C5421" t="inlineStr">
        <is>
          <t>1914-09-16</t>
        </is>
      </c>
    </row>
    <row r="5422">
      <c r="A5422" s="1" t="n">
        <v>5421</v>
      </c>
      <c r="B5422">
        <f>TEXT(5421, "[$-0E0000]yyyy-mm-dd")</f>
        <v/>
      </c>
      <c r="C5422" t="inlineStr">
        <is>
          <t>1914-09-17</t>
        </is>
      </c>
    </row>
    <row r="5423">
      <c r="A5423" s="1" t="n">
        <v>5422</v>
      </c>
      <c r="B5423">
        <f>TEXT(5422, "[$-0E0000]yyyy-mm-dd")</f>
        <v/>
      </c>
      <c r="C5423" t="inlineStr">
        <is>
          <t>1914-09-18</t>
        </is>
      </c>
    </row>
    <row r="5424">
      <c r="A5424" s="1" t="n">
        <v>5423</v>
      </c>
      <c r="B5424">
        <f>TEXT(5423, "[$-0E0000]yyyy-mm-dd")</f>
        <v/>
      </c>
      <c r="C5424" t="inlineStr">
        <is>
          <t>1914-09-19</t>
        </is>
      </c>
    </row>
    <row r="5425">
      <c r="A5425" s="1" t="n">
        <v>5424</v>
      </c>
      <c r="B5425">
        <f>TEXT(5424, "[$-0E0000]yyyy-mm-dd")</f>
        <v/>
      </c>
      <c r="C5425" t="inlineStr">
        <is>
          <t>1914-09-20</t>
        </is>
      </c>
    </row>
    <row r="5426">
      <c r="A5426" s="1" t="n">
        <v>5425</v>
      </c>
      <c r="B5426">
        <f>TEXT(5425, "[$-0E0000]yyyy-mm-dd")</f>
        <v/>
      </c>
      <c r="C5426" t="inlineStr">
        <is>
          <t>1914-09-21</t>
        </is>
      </c>
    </row>
    <row r="5427">
      <c r="A5427" s="1" t="n">
        <v>5426</v>
      </c>
      <c r="B5427">
        <f>TEXT(5426, "[$-0E0000]yyyy-mm-dd")</f>
        <v/>
      </c>
      <c r="C5427" t="inlineStr">
        <is>
          <t>1914-09-22</t>
        </is>
      </c>
    </row>
    <row r="5428">
      <c r="A5428" s="1" t="n">
        <v>5427</v>
      </c>
      <c r="B5428">
        <f>TEXT(5427, "[$-0E0000]yyyy-mm-dd")</f>
        <v/>
      </c>
      <c r="C5428" t="inlineStr">
        <is>
          <t>1914-09-23</t>
        </is>
      </c>
    </row>
    <row r="5429">
      <c r="A5429" s="1" t="n">
        <v>5428</v>
      </c>
      <c r="B5429">
        <f>TEXT(5428, "[$-0E0000]yyyy-mm-dd")</f>
        <v/>
      </c>
      <c r="C5429" t="inlineStr">
        <is>
          <t>1914-09-24</t>
        </is>
      </c>
    </row>
    <row r="5430">
      <c r="A5430" s="1" t="n">
        <v>5429</v>
      </c>
      <c r="B5430">
        <f>TEXT(5429, "[$-0E0000]yyyy-mm-dd")</f>
        <v/>
      </c>
      <c r="C5430" t="inlineStr">
        <is>
          <t>1914-09-25</t>
        </is>
      </c>
    </row>
    <row r="5431">
      <c r="A5431" s="1" t="n">
        <v>5430</v>
      </c>
      <c r="B5431">
        <f>TEXT(5430, "[$-0E0000]yyyy-mm-dd")</f>
        <v/>
      </c>
      <c r="C5431" t="inlineStr">
        <is>
          <t>1914-09-26</t>
        </is>
      </c>
    </row>
    <row r="5432">
      <c r="A5432" s="1" t="n">
        <v>5431</v>
      </c>
      <c r="B5432">
        <f>TEXT(5431, "[$-0E0000]yyyy-mm-dd")</f>
        <v/>
      </c>
      <c r="C5432" t="inlineStr">
        <is>
          <t>1914-09-27</t>
        </is>
      </c>
    </row>
    <row r="5433">
      <c r="A5433" s="1" t="n">
        <v>5432</v>
      </c>
      <c r="B5433">
        <f>TEXT(5432, "[$-0E0000]yyyy-mm-dd")</f>
        <v/>
      </c>
      <c r="C5433" t="inlineStr">
        <is>
          <t>1914-09-28</t>
        </is>
      </c>
    </row>
    <row r="5434">
      <c r="A5434" s="1" t="n">
        <v>5433</v>
      </c>
      <c r="B5434">
        <f>TEXT(5433, "[$-0E0000]yyyy-mm-dd")</f>
        <v/>
      </c>
      <c r="C5434" t="inlineStr">
        <is>
          <t>1914-09-29</t>
        </is>
      </c>
    </row>
    <row r="5435">
      <c r="A5435" s="1" t="n">
        <v>5434</v>
      </c>
      <c r="B5435">
        <f>TEXT(5434, "[$-0E0000]yyyy-mm-dd")</f>
        <v/>
      </c>
      <c r="C5435" t="inlineStr">
        <is>
          <t>1914-10-01</t>
        </is>
      </c>
    </row>
    <row r="5436">
      <c r="A5436" s="1" t="n">
        <v>5435</v>
      </c>
      <c r="B5436">
        <f>TEXT(5435, "[$-0E0000]yyyy-mm-dd")</f>
        <v/>
      </c>
      <c r="C5436" t="inlineStr">
        <is>
          <t>1914-10-02</t>
        </is>
      </c>
    </row>
    <row r="5437">
      <c r="A5437" s="1" t="n">
        <v>5436</v>
      </c>
      <c r="B5437">
        <f>TEXT(5436, "[$-0E0000]yyyy-mm-dd")</f>
        <v/>
      </c>
      <c r="C5437" t="inlineStr">
        <is>
          <t>1914-10-03</t>
        </is>
      </c>
    </row>
    <row r="5438">
      <c r="A5438" s="1" t="n">
        <v>5437</v>
      </c>
      <c r="B5438">
        <f>TEXT(5437, "[$-0E0000]yyyy-mm-dd")</f>
        <v/>
      </c>
      <c r="C5438" t="inlineStr">
        <is>
          <t>1914-10-04</t>
        </is>
      </c>
    </row>
    <row r="5439">
      <c r="A5439" s="1" t="n">
        <v>5438</v>
      </c>
      <c r="B5439">
        <f>TEXT(5438, "[$-0E0000]yyyy-mm-dd")</f>
        <v/>
      </c>
      <c r="C5439" t="inlineStr">
        <is>
          <t>1914-10-05</t>
        </is>
      </c>
    </row>
    <row r="5440">
      <c r="A5440" s="1" t="n">
        <v>5439</v>
      </c>
      <c r="B5440">
        <f>TEXT(5439, "[$-0E0000]yyyy-mm-dd")</f>
        <v/>
      </c>
      <c r="C5440" t="inlineStr">
        <is>
          <t>1914-10-06</t>
        </is>
      </c>
    </row>
    <row r="5441">
      <c r="A5441" s="1" t="n">
        <v>5440</v>
      </c>
      <c r="B5441">
        <f>TEXT(5440, "[$-0E0000]yyyy-mm-dd")</f>
        <v/>
      </c>
      <c r="C5441" t="inlineStr">
        <is>
          <t>1914-10-07</t>
        </is>
      </c>
    </row>
    <row r="5442">
      <c r="A5442" s="1" t="n">
        <v>5441</v>
      </c>
      <c r="B5442">
        <f>TEXT(5441, "[$-0E0000]yyyy-mm-dd")</f>
        <v/>
      </c>
      <c r="C5442" t="inlineStr">
        <is>
          <t>1914-10-08</t>
        </is>
      </c>
    </row>
    <row r="5443">
      <c r="A5443" s="1" t="n">
        <v>5442</v>
      </c>
      <c r="B5443">
        <f>TEXT(5442, "[$-0E0000]yyyy-mm-dd")</f>
        <v/>
      </c>
      <c r="C5443" t="inlineStr">
        <is>
          <t>1914-10-09</t>
        </is>
      </c>
    </row>
    <row r="5444">
      <c r="A5444" s="1" t="n">
        <v>5443</v>
      </c>
      <c r="B5444">
        <f>TEXT(5443, "[$-0E0000]yyyy-mm-dd")</f>
        <v/>
      </c>
      <c r="C5444" t="inlineStr">
        <is>
          <t>1914-10-10</t>
        </is>
      </c>
    </row>
    <row r="5445">
      <c r="A5445" s="1" t="n">
        <v>5444</v>
      </c>
      <c r="B5445">
        <f>TEXT(5444, "[$-0E0000]yyyy-mm-dd")</f>
        <v/>
      </c>
      <c r="C5445" t="inlineStr">
        <is>
          <t>1914-10-11</t>
        </is>
      </c>
    </row>
    <row r="5446">
      <c r="A5446" s="1" t="n">
        <v>5445</v>
      </c>
      <c r="B5446">
        <f>TEXT(5445, "[$-0E0000]yyyy-mm-dd")</f>
        <v/>
      </c>
      <c r="C5446" t="inlineStr">
        <is>
          <t>1914-10-12</t>
        </is>
      </c>
    </row>
    <row r="5447">
      <c r="A5447" s="1" t="n">
        <v>5446</v>
      </c>
      <c r="B5447">
        <f>TEXT(5446, "[$-0E0000]yyyy-mm-dd")</f>
        <v/>
      </c>
      <c r="C5447" t="inlineStr">
        <is>
          <t>1914-10-13</t>
        </is>
      </c>
    </row>
    <row r="5448">
      <c r="A5448" s="1" t="n">
        <v>5447</v>
      </c>
      <c r="B5448">
        <f>TEXT(5447, "[$-0E0000]yyyy-mm-dd")</f>
        <v/>
      </c>
      <c r="C5448" t="inlineStr">
        <is>
          <t>1914-10-14</t>
        </is>
      </c>
    </row>
    <row r="5449">
      <c r="A5449" s="1" t="n">
        <v>5448</v>
      </c>
      <c r="B5449">
        <f>TEXT(5448, "[$-0E0000]yyyy-mm-dd")</f>
        <v/>
      </c>
      <c r="C5449" t="inlineStr">
        <is>
          <t>1914-10-15</t>
        </is>
      </c>
    </row>
    <row r="5450">
      <c r="A5450" s="1" t="n">
        <v>5449</v>
      </c>
      <c r="B5450">
        <f>TEXT(5449, "[$-0E0000]yyyy-mm-dd")</f>
        <v/>
      </c>
      <c r="C5450" t="inlineStr">
        <is>
          <t>1914-10-16</t>
        </is>
      </c>
    </row>
    <row r="5451">
      <c r="A5451" s="1" t="n">
        <v>5450</v>
      </c>
      <c r="B5451">
        <f>TEXT(5450, "[$-0E0000]yyyy-mm-dd")</f>
        <v/>
      </c>
      <c r="C5451" t="inlineStr">
        <is>
          <t>1914-10-17</t>
        </is>
      </c>
    </row>
    <row r="5452">
      <c r="A5452" s="1" t="n">
        <v>5451</v>
      </c>
      <c r="B5452">
        <f>TEXT(5451, "[$-0E0000]yyyy-mm-dd")</f>
        <v/>
      </c>
      <c r="C5452" t="inlineStr">
        <is>
          <t>1914-10-18</t>
        </is>
      </c>
    </row>
    <row r="5453">
      <c r="A5453" s="1" t="n">
        <v>5452</v>
      </c>
      <c r="B5453">
        <f>TEXT(5452, "[$-0E0000]yyyy-mm-dd")</f>
        <v/>
      </c>
      <c r="C5453" t="inlineStr">
        <is>
          <t>1914-10-19</t>
        </is>
      </c>
    </row>
    <row r="5454">
      <c r="A5454" s="1" t="n">
        <v>5453</v>
      </c>
      <c r="B5454">
        <f>TEXT(5453, "[$-0E0000]yyyy-mm-dd")</f>
        <v/>
      </c>
      <c r="C5454" t="inlineStr">
        <is>
          <t>1914-10-20</t>
        </is>
      </c>
    </row>
    <row r="5455">
      <c r="A5455" s="1" t="n">
        <v>5454</v>
      </c>
      <c r="B5455">
        <f>TEXT(5454, "[$-0E0000]yyyy-mm-dd")</f>
        <v/>
      </c>
      <c r="C5455" t="inlineStr">
        <is>
          <t>1914-10-21</t>
        </is>
      </c>
    </row>
    <row r="5456">
      <c r="A5456" s="1" t="n">
        <v>5455</v>
      </c>
      <c r="B5456">
        <f>TEXT(5455, "[$-0E0000]yyyy-mm-dd")</f>
        <v/>
      </c>
      <c r="C5456" t="inlineStr">
        <is>
          <t>1914-10-22</t>
        </is>
      </c>
    </row>
    <row r="5457">
      <c r="A5457" s="1" t="n">
        <v>5456</v>
      </c>
      <c r="B5457">
        <f>TEXT(5456, "[$-0E0000]yyyy-mm-dd")</f>
        <v/>
      </c>
      <c r="C5457" t="inlineStr">
        <is>
          <t>1914-10-23</t>
        </is>
      </c>
    </row>
    <row r="5458">
      <c r="A5458" s="1" t="n">
        <v>5457</v>
      </c>
      <c r="B5458">
        <f>TEXT(5457, "[$-0E0000]yyyy-mm-dd")</f>
        <v/>
      </c>
      <c r="C5458" t="inlineStr">
        <is>
          <t>1914-10-24</t>
        </is>
      </c>
    </row>
    <row r="5459">
      <c r="A5459" s="1" t="n">
        <v>5458</v>
      </c>
      <c r="B5459">
        <f>TEXT(5458, "[$-0E0000]yyyy-mm-dd")</f>
        <v/>
      </c>
      <c r="C5459" t="inlineStr">
        <is>
          <t>1914-10-25</t>
        </is>
      </c>
    </row>
    <row r="5460">
      <c r="A5460" s="1" t="n">
        <v>5459</v>
      </c>
      <c r="B5460">
        <f>TEXT(5459, "[$-0E0000]yyyy-mm-dd")</f>
        <v/>
      </c>
      <c r="C5460" t="inlineStr">
        <is>
          <t>1914-10-26</t>
        </is>
      </c>
    </row>
    <row r="5461">
      <c r="A5461" s="1" t="n">
        <v>5460</v>
      </c>
      <c r="B5461">
        <f>TEXT(5460, "[$-0E0000]yyyy-mm-dd")</f>
        <v/>
      </c>
      <c r="C5461" t="inlineStr">
        <is>
          <t>1914-10-27</t>
        </is>
      </c>
    </row>
    <row r="5462">
      <c r="A5462" s="1" t="n">
        <v>5461</v>
      </c>
      <c r="B5462">
        <f>TEXT(5461, "[$-0E0000]yyyy-mm-dd")</f>
        <v/>
      </c>
      <c r="C5462" t="inlineStr">
        <is>
          <t>1914-10-28</t>
        </is>
      </c>
    </row>
    <row r="5463">
      <c r="A5463" s="1" t="n">
        <v>5462</v>
      </c>
      <c r="B5463">
        <f>TEXT(5462, "[$-0E0000]yyyy-mm-dd")</f>
        <v/>
      </c>
      <c r="C5463" t="inlineStr">
        <is>
          <t>1914-10-29</t>
        </is>
      </c>
    </row>
    <row r="5464">
      <c r="A5464" s="1" t="n">
        <v>5463</v>
      </c>
      <c r="B5464">
        <f>TEXT(5463, "[$-0E0000]yyyy-mm-dd")</f>
        <v/>
      </c>
      <c r="C5464" t="inlineStr">
        <is>
          <t>1914-10-30</t>
        </is>
      </c>
    </row>
    <row r="5465">
      <c r="A5465" s="1" t="n">
        <v>5464</v>
      </c>
      <c r="B5465">
        <f>TEXT(5464, "[$-0E0000]yyyy-mm-dd")</f>
        <v/>
      </c>
      <c r="C5465" t="inlineStr">
        <is>
          <t>1914-11-01</t>
        </is>
      </c>
    </row>
    <row r="5466">
      <c r="A5466" s="1" t="n">
        <v>5465</v>
      </c>
      <c r="B5466">
        <f>TEXT(5465, "[$-0E0000]yyyy-mm-dd")</f>
        <v/>
      </c>
      <c r="C5466" t="inlineStr">
        <is>
          <t>1914-11-02</t>
        </is>
      </c>
    </row>
    <row r="5467">
      <c r="A5467" s="1" t="n">
        <v>5466</v>
      </c>
      <c r="B5467">
        <f>TEXT(5466, "[$-0E0000]yyyy-mm-dd")</f>
        <v/>
      </c>
      <c r="C5467" t="inlineStr">
        <is>
          <t>1914-11-03</t>
        </is>
      </c>
    </row>
    <row r="5468">
      <c r="A5468" s="1" t="n">
        <v>5467</v>
      </c>
      <c r="B5468">
        <f>TEXT(5467, "[$-0E0000]yyyy-mm-dd")</f>
        <v/>
      </c>
      <c r="C5468" t="inlineStr">
        <is>
          <t>1914-11-04</t>
        </is>
      </c>
    </row>
    <row r="5469">
      <c r="A5469" s="1" t="n">
        <v>5468</v>
      </c>
      <c r="B5469">
        <f>TEXT(5468, "[$-0E0000]yyyy-mm-dd")</f>
        <v/>
      </c>
      <c r="C5469" t="inlineStr">
        <is>
          <t>1914-11-05</t>
        </is>
      </c>
    </row>
    <row r="5470">
      <c r="A5470" s="1" t="n">
        <v>5469</v>
      </c>
      <c r="B5470">
        <f>TEXT(5469, "[$-0E0000]yyyy-mm-dd")</f>
        <v/>
      </c>
      <c r="C5470" t="inlineStr">
        <is>
          <t>1914-11-06</t>
        </is>
      </c>
    </row>
    <row r="5471">
      <c r="A5471" s="1" t="n">
        <v>5470</v>
      </c>
      <c r="B5471">
        <f>TEXT(5470, "[$-0E0000]yyyy-mm-dd")</f>
        <v/>
      </c>
      <c r="C5471" t="inlineStr">
        <is>
          <t>1914-11-07</t>
        </is>
      </c>
    </row>
    <row r="5472">
      <c r="A5472" s="1" t="n">
        <v>5471</v>
      </c>
      <c r="B5472">
        <f>TEXT(5471, "[$-0E0000]yyyy-mm-dd")</f>
        <v/>
      </c>
      <c r="C5472" t="inlineStr">
        <is>
          <t>1914-11-08</t>
        </is>
      </c>
    </row>
    <row r="5473">
      <c r="A5473" s="1" t="n">
        <v>5472</v>
      </c>
      <c r="B5473">
        <f>TEXT(5472, "[$-0E0000]yyyy-mm-dd")</f>
        <v/>
      </c>
      <c r="C5473" t="inlineStr">
        <is>
          <t>1914-11-09</t>
        </is>
      </c>
    </row>
    <row r="5474">
      <c r="A5474" s="1" t="n">
        <v>5473</v>
      </c>
      <c r="B5474">
        <f>TEXT(5473, "[$-0E0000]yyyy-mm-dd")</f>
        <v/>
      </c>
      <c r="C5474" t="inlineStr">
        <is>
          <t>1914-11-10</t>
        </is>
      </c>
    </row>
    <row r="5475">
      <c r="A5475" s="1" t="n">
        <v>5474</v>
      </c>
      <c r="B5475">
        <f>TEXT(5474, "[$-0E0000]yyyy-mm-dd")</f>
        <v/>
      </c>
      <c r="C5475" t="inlineStr">
        <is>
          <t>1914-11-11</t>
        </is>
      </c>
    </row>
    <row r="5476">
      <c r="A5476" s="1" t="n">
        <v>5475</v>
      </c>
      <c r="B5476">
        <f>TEXT(5475, "[$-0E0000]yyyy-mm-dd")</f>
        <v/>
      </c>
      <c r="C5476" t="inlineStr">
        <is>
          <t>1914-11-12</t>
        </is>
      </c>
    </row>
    <row r="5477">
      <c r="A5477" s="1" t="n">
        <v>5476</v>
      </c>
      <c r="B5477">
        <f>TEXT(5476, "[$-0E0000]yyyy-mm-dd")</f>
        <v/>
      </c>
      <c r="C5477" t="inlineStr">
        <is>
          <t>1914-11-13</t>
        </is>
      </c>
    </row>
    <row r="5478">
      <c r="A5478" s="1" t="n">
        <v>5477</v>
      </c>
      <c r="B5478">
        <f>TEXT(5477, "[$-0E0000]yyyy-mm-dd")</f>
        <v/>
      </c>
      <c r="C5478" t="inlineStr">
        <is>
          <t>1914-11-14</t>
        </is>
      </c>
    </row>
    <row r="5479">
      <c r="A5479" s="1" t="n">
        <v>5478</v>
      </c>
      <c r="B5479">
        <f>TEXT(5478, "[$-0E0000]yyyy-mm-dd")</f>
        <v/>
      </c>
      <c r="C5479" t="inlineStr">
        <is>
          <t>1914-11-15</t>
        </is>
      </c>
    </row>
    <row r="5480">
      <c r="A5480" s="1" t="n">
        <v>5479</v>
      </c>
      <c r="B5480">
        <f>TEXT(5479, "[$-0E0000]yyyy-mm-dd")</f>
        <v/>
      </c>
      <c r="C5480" t="inlineStr">
        <is>
          <t>1914-11-16</t>
        </is>
      </c>
    </row>
    <row r="5481">
      <c r="A5481" s="1" t="n">
        <v>5480</v>
      </c>
      <c r="B5481">
        <f>TEXT(5480, "[$-0E0000]yyyy-mm-dd")</f>
        <v/>
      </c>
      <c r="C5481" t="inlineStr">
        <is>
          <t>1914-11-17</t>
        </is>
      </c>
    </row>
    <row r="5482">
      <c r="A5482" s="1" t="n">
        <v>5481</v>
      </c>
      <c r="B5482">
        <f>TEXT(5481, "[$-0E0000]yyyy-mm-dd")</f>
        <v/>
      </c>
      <c r="C5482" t="inlineStr">
        <is>
          <t>1914-11-18</t>
        </is>
      </c>
    </row>
    <row r="5483">
      <c r="A5483" s="1" t="n">
        <v>5482</v>
      </c>
      <c r="B5483">
        <f>TEXT(5482, "[$-0E0000]yyyy-mm-dd")</f>
        <v/>
      </c>
      <c r="C5483" t="inlineStr">
        <is>
          <t>1914-11-19</t>
        </is>
      </c>
    </row>
    <row r="5484">
      <c r="A5484" s="1" t="n">
        <v>5483</v>
      </c>
      <c r="B5484">
        <f>TEXT(5483, "[$-0E0000]yyyy-mm-dd")</f>
        <v/>
      </c>
      <c r="C5484" t="inlineStr">
        <is>
          <t>1914-11-20</t>
        </is>
      </c>
    </row>
    <row r="5485">
      <c r="A5485" s="1" t="n">
        <v>5484</v>
      </c>
      <c r="B5485">
        <f>TEXT(5484, "[$-0E0000]yyyy-mm-dd")</f>
        <v/>
      </c>
      <c r="C5485" t="inlineStr">
        <is>
          <t>1914-11-21</t>
        </is>
      </c>
    </row>
    <row r="5486">
      <c r="A5486" s="1" t="n">
        <v>5485</v>
      </c>
      <c r="B5486">
        <f>TEXT(5485, "[$-0E0000]yyyy-mm-dd")</f>
        <v/>
      </c>
      <c r="C5486" t="inlineStr">
        <is>
          <t>1914-11-22</t>
        </is>
      </c>
    </row>
    <row r="5487">
      <c r="A5487" s="1" t="n">
        <v>5486</v>
      </c>
      <c r="B5487">
        <f>TEXT(5486, "[$-0E0000]yyyy-mm-dd")</f>
        <v/>
      </c>
      <c r="C5487" t="inlineStr">
        <is>
          <t>1914-11-23</t>
        </is>
      </c>
    </row>
    <row r="5488">
      <c r="A5488" s="1" t="n">
        <v>5487</v>
      </c>
      <c r="B5488">
        <f>TEXT(5487, "[$-0E0000]yyyy-mm-dd")</f>
        <v/>
      </c>
      <c r="C5488" t="inlineStr">
        <is>
          <t>1914-11-24</t>
        </is>
      </c>
    </row>
    <row r="5489">
      <c r="A5489" s="1" t="n">
        <v>5488</v>
      </c>
      <c r="B5489">
        <f>TEXT(5488, "[$-0E0000]yyyy-mm-dd")</f>
        <v/>
      </c>
      <c r="C5489" t="inlineStr">
        <is>
          <t>1914-11-25</t>
        </is>
      </c>
    </row>
    <row r="5490">
      <c r="A5490" s="1" t="n">
        <v>5489</v>
      </c>
      <c r="B5490">
        <f>TEXT(5489, "[$-0E0000]yyyy-mm-dd")</f>
        <v/>
      </c>
      <c r="C5490" t="inlineStr">
        <is>
          <t>1914-11-26</t>
        </is>
      </c>
    </row>
    <row r="5491">
      <c r="A5491" s="1" t="n">
        <v>5490</v>
      </c>
      <c r="B5491">
        <f>TEXT(5490, "[$-0E0000]yyyy-mm-dd")</f>
        <v/>
      </c>
      <c r="C5491" t="inlineStr">
        <is>
          <t>1914-11-27</t>
        </is>
      </c>
    </row>
    <row r="5492">
      <c r="A5492" s="1" t="n">
        <v>5491</v>
      </c>
      <c r="B5492">
        <f>TEXT(5491, "[$-0E0000]yyyy-mm-dd")</f>
        <v/>
      </c>
      <c r="C5492" t="inlineStr">
        <is>
          <t>1914-11-28</t>
        </is>
      </c>
    </row>
    <row r="5493">
      <c r="A5493" s="1" t="n">
        <v>5492</v>
      </c>
      <c r="B5493">
        <f>TEXT(5492, "[$-0E0000]yyyy-mm-dd")</f>
        <v/>
      </c>
      <c r="C5493" t="inlineStr">
        <is>
          <t>1914-11-29</t>
        </is>
      </c>
    </row>
    <row r="5494">
      <c r="A5494" s="1" t="n">
        <v>5493</v>
      </c>
      <c r="B5494">
        <f>TEXT(5493, "[$-0E0000]yyyy-mm-dd")</f>
        <v/>
      </c>
      <c r="C5494" t="inlineStr">
        <is>
          <t>1914-12-01</t>
        </is>
      </c>
    </row>
    <row r="5495">
      <c r="A5495" s="1" t="n">
        <v>5494</v>
      </c>
      <c r="B5495">
        <f>TEXT(5494, "[$-0E0000]yyyy-mm-dd")</f>
        <v/>
      </c>
      <c r="C5495" t="inlineStr">
        <is>
          <t>1914-12-02</t>
        </is>
      </c>
    </row>
    <row r="5496">
      <c r="A5496" s="1" t="n">
        <v>5495</v>
      </c>
      <c r="B5496">
        <f>TEXT(5495, "[$-0E0000]yyyy-mm-dd")</f>
        <v/>
      </c>
      <c r="C5496" t="inlineStr">
        <is>
          <t>1914-12-03</t>
        </is>
      </c>
    </row>
    <row r="5497">
      <c r="A5497" s="1" t="n">
        <v>5496</v>
      </c>
      <c r="B5497">
        <f>TEXT(5496, "[$-0E0000]yyyy-mm-dd")</f>
        <v/>
      </c>
      <c r="C5497" t="inlineStr">
        <is>
          <t>1914-12-04</t>
        </is>
      </c>
    </row>
    <row r="5498">
      <c r="A5498" s="1" t="n">
        <v>5497</v>
      </c>
      <c r="B5498">
        <f>TEXT(5497, "[$-0E0000]yyyy-mm-dd")</f>
        <v/>
      </c>
      <c r="C5498" t="inlineStr">
        <is>
          <t>1914-12-05</t>
        </is>
      </c>
    </row>
    <row r="5499">
      <c r="A5499" s="1" t="n">
        <v>5498</v>
      </c>
      <c r="B5499">
        <f>TEXT(5498, "[$-0E0000]yyyy-mm-dd")</f>
        <v/>
      </c>
      <c r="C5499" t="inlineStr">
        <is>
          <t>1914-12-06</t>
        </is>
      </c>
    </row>
    <row r="5500">
      <c r="A5500" s="1" t="n">
        <v>5499</v>
      </c>
      <c r="B5500">
        <f>TEXT(5499, "[$-0E0000]yyyy-mm-dd")</f>
        <v/>
      </c>
      <c r="C5500" t="inlineStr">
        <is>
          <t>1914-12-07</t>
        </is>
      </c>
    </row>
    <row r="5501">
      <c r="A5501" s="1" t="n">
        <v>5500</v>
      </c>
      <c r="B5501">
        <f>TEXT(5500, "[$-0E0000]yyyy-mm-dd")</f>
        <v/>
      </c>
      <c r="C5501" t="inlineStr">
        <is>
          <t>1914-12-08</t>
        </is>
      </c>
    </row>
    <row r="5502">
      <c r="A5502" s="1" t="n">
        <v>5501</v>
      </c>
      <c r="B5502">
        <f>TEXT(5501, "[$-0E0000]yyyy-mm-dd")</f>
        <v/>
      </c>
      <c r="C5502" t="inlineStr">
        <is>
          <t>1914-12-09</t>
        </is>
      </c>
    </row>
    <row r="5503">
      <c r="A5503" s="1" t="n">
        <v>5502</v>
      </c>
      <c r="B5503">
        <f>TEXT(5502, "[$-0E0000]yyyy-mm-dd")</f>
        <v/>
      </c>
      <c r="C5503" t="inlineStr">
        <is>
          <t>1914-12-10</t>
        </is>
      </c>
    </row>
    <row r="5504">
      <c r="A5504" s="1" t="n">
        <v>5503</v>
      </c>
      <c r="B5504">
        <f>TEXT(5503, "[$-0E0000]yyyy-mm-dd")</f>
        <v/>
      </c>
      <c r="C5504" t="inlineStr">
        <is>
          <t>1914-12-11</t>
        </is>
      </c>
    </row>
    <row r="5505">
      <c r="A5505" s="1" t="n">
        <v>5504</v>
      </c>
      <c r="B5505">
        <f>TEXT(5504, "[$-0E0000]yyyy-mm-dd")</f>
        <v/>
      </c>
      <c r="C5505" t="inlineStr">
        <is>
          <t>1914-12-12</t>
        </is>
      </c>
    </row>
    <row r="5506">
      <c r="A5506" s="1" t="n">
        <v>5505</v>
      </c>
      <c r="B5506">
        <f>TEXT(5505, "[$-0E0000]yyyy-mm-dd")</f>
        <v/>
      </c>
      <c r="C5506" t="inlineStr">
        <is>
          <t>1914-12-13</t>
        </is>
      </c>
    </row>
    <row r="5507">
      <c r="A5507" s="1" t="n">
        <v>5506</v>
      </c>
      <c r="B5507">
        <f>TEXT(5506, "[$-0E0000]yyyy-mm-dd")</f>
        <v/>
      </c>
      <c r="C5507" t="inlineStr">
        <is>
          <t>1914-12-14</t>
        </is>
      </c>
    </row>
    <row r="5508">
      <c r="A5508" s="1" t="n">
        <v>5507</v>
      </c>
      <c r="B5508">
        <f>TEXT(5507, "[$-0E0000]yyyy-mm-dd")</f>
        <v/>
      </c>
      <c r="C5508" t="inlineStr">
        <is>
          <t>1914-12-15</t>
        </is>
      </c>
    </row>
    <row r="5509">
      <c r="A5509" s="1" t="n">
        <v>5508</v>
      </c>
      <c r="B5509">
        <f>TEXT(5508, "[$-0E0000]yyyy-mm-dd")</f>
        <v/>
      </c>
      <c r="C5509" t="inlineStr">
        <is>
          <t>1914-12-16</t>
        </is>
      </c>
    </row>
    <row r="5510">
      <c r="A5510" s="1" t="n">
        <v>5509</v>
      </c>
      <c r="B5510">
        <f>TEXT(5509, "[$-0E0000]yyyy-mm-dd")</f>
        <v/>
      </c>
      <c r="C5510" t="inlineStr">
        <is>
          <t>1914-12-17</t>
        </is>
      </c>
    </row>
    <row r="5511">
      <c r="A5511" s="1" t="n">
        <v>5510</v>
      </c>
      <c r="B5511">
        <f>TEXT(5510, "[$-0E0000]yyyy-mm-dd")</f>
        <v/>
      </c>
      <c r="C5511" t="inlineStr">
        <is>
          <t>1914-12-18</t>
        </is>
      </c>
    </row>
    <row r="5512">
      <c r="A5512" s="1" t="n">
        <v>5511</v>
      </c>
      <c r="B5512">
        <f>TEXT(5511, "[$-0E0000]yyyy-mm-dd")</f>
        <v/>
      </c>
      <c r="C5512" t="inlineStr">
        <is>
          <t>1914-12-19</t>
        </is>
      </c>
    </row>
    <row r="5513">
      <c r="A5513" s="1" t="n">
        <v>5512</v>
      </c>
      <c r="B5513">
        <f>TEXT(5512, "[$-0E0000]yyyy-mm-dd")</f>
        <v/>
      </c>
      <c r="C5513" t="inlineStr">
        <is>
          <t>1914-12-20</t>
        </is>
      </c>
    </row>
    <row r="5514">
      <c r="A5514" s="1" t="n">
        <v>5513</v>
      </c>
      <c r="B5514">
        <f>TEXT(5513, "[$-0E0000]yyyy-mm-dd")</f>
        <v/>
      </c>
      <c r="C5514" t="inlineStr">
        <is>
          <t>1914-12-21</t>
        </is>
      </c>
    </row>
    <row r="5515">
      <c r="A5515" s="1" t="n">
        <v>5514</v>
      </c>
      <c r="B5515">
        <f>TEXT(5514, "[$-0E0000]yyyy-mm-dd")</f>
        <v/>
      </c>
      <c r="C5515" t="inlineStr">
        <is>
          <t>1914-12-22</t>
        </is>
      </c>
    </row>
    <row r="5516">
      <c r="A5516" s="1" t="n">
        <v>5515</v>
      </c>
      <c r="B5516">
        <f>TEXT(5515, "[$-0E0000]yyyy-mm-dd")</f>
        <v/>
      </c>
      <c r="C5516" t="inlineStr">
        <is>
          <t>1914-12-23</t>
        </is>
      </c>
    </row>
    <row r="5517">
      <c r="A5517" s="1" t="n">
        <v>5516</v>
      </c>
      <c r="B5517">
        <f>TEXT(5516, "[$-0E0000]yyyy-mm-dd")</f>
        <v/>
      </c>
      <c r="C5517" t="inlineStr">
        <is>
          <t>1914-12-24</t>
        </is>
      </c>
    </row>
    <row r="5518">
      <c r="A5518" s="1" t="n">
        <v>5517</v>
      </c>
      <c r="B5518">
        <f>TEXT(5517, "[$-0E0000]yyyy-mm-dd")</f>
        <v/>
      </c>
      <c r="C5518" t="inlineStr">
        <is>
          <t>1914-12-25</t>
        </is>
      </c>
    </row>
    <row r="5519">
      <c r="A5519" s="1" t="n">
        <v>5518</v>
      </c>
      <c r="B5519">
        <f>TEXT(5518, "[$-0E0000]yyyy-mm-dd")</f>
        <v/>
      </c>
      <c r="C5519" t="inlineStr">
        <is>
          <t>1914-12-26</t>
        </is>
      </c>
    </row>
    <row r="5520">
      <c r="A5520" s="1" t="n">
        <v>5519</v>
      </c>
      <c r="B5520">
        <f>TEXT(5519, "[$-0E0000]yyyy-mm-dd")</f>
        <v/>
      </c>
      <c r="C5520" t="inlineStr">
        <is>
          <t>1914-12-27</t>
        </is>
      </c>
    </row>
    <row r="5521">
      <c r="A5521" s="1" t="n">
        <v>5520</v>
      </c>
      <c r="B5521">
        <f>TEXT(5520, "[$-0E0000]yyyy-mm-dd")</f>
        <v/>
      </c>
      <c r="C5521" t="inlineStr">
        <is>
          <t>1914-12-28</t>
        </is>
      </c>
    </row>
    <row r="5522">
      <c r="A5522" s="1" t="n">
        <v>5521</v>
      </c>
      <c r="B5522">
        <f>TEXT(5521, "[$-0E0000]yyyy-mm-dd")</f>
        <v/>
      </c>
      <c r="C5522" t="inlineStr">
        <is>
          <t>1914-12-29</t>
        </is>
      </c>
    </row>
    <row r="5523">
      <c r="A5523" s="1" t="n">
        <v>5522</v>
      </c>
      <c r="B5523">
        <f>TEXT(5522, "[$-0E0000]yyyy-mm-dd")</f>
        <v/>
      </c>
      <c r="C5523" t="inlineStr">
        <is>
          <t>1914-12-30</t>
        </is>
      </c>
    </row>
    <row r="5524">
      <c r="A5524" s="1" t="n">
        <v>5523</v>
      </c>
      <c r="B5524">
        <f>TEXT(5523, "[$-0E0000]yyyy-mm-dd")</f>
        <v/>
      </c>
      <c r="C5524" t="inlineStr">
        <is>
          <t>1915-01-01</t>
        </is>
      </c>
    </row>
    <row r="5525">
      <c r="A5525" s="1" t="n">
        <v>5524</v>
      </c>
      <c r="B5525">
        <f>TEXT(5524, "[$-0E0000]yyyy-mm-dd")</f>
        <v/>
      </c>
      <c r="C5525" t="inlineStr">
        <is>
          <t>1915-01-02</t>
        </is>
      </c>
    </row>
    <row r="5526">
      <c r="A5526" s="1" t="n">
        <v>5525</v>
      </c>
      <c r="B5526">
        <f>TEXT(5525, "[$-0E0000]yyyy-mm-dd")</f>
        <v/>
      </c>
      <c r="C5526" t="inlineStr">
        <is>
          <t>1915-01-03</t>
        </is>
      </c>
    </row>
    <row r="5527">
      <c r="A5527" s="1" t="n">
        <v>5526</v>
      </c>
      <c r="B5527">
        <f>TEXT(5526, "[$-0E0000]yyyy-mm-dd")</f>
        <v/>
      </c>
      <c r="C5527" t="inlineStr">
        <is>
          <t>1915-01-04</t>
        </is>
      </c>
    </row>
    <row r="5528">
      <c r="A5528" s="1" t="n">
        <v>5527</v>
      </c>
      <c r="B5528">
        <f>TEXT(5527, "[$-0E0000]yyyy-mm-dd")</f>
        <v/>
      </c>
      <c r="C5528" t="inlineStr">
        <is>
          <t>1915-01-05</t>
        </is>
      </c>
    </row>
    <row r="5529">
      <c r="A5529" s="1" t="n">
        <v>5528</v>
      </c>
      <c r="B5529">
        <f>TEXT(5528, "[$-0E0000]yyyy-mm-dd")</f>
        <v/>
      </c>
      <c r="C5529" t="inlineStr">
        <is>
          <t>1915-01-06</t>
        </is>
      </c>
    </row>
    <row r="5530">
      <c r="A5530" s="1" t="n">
        <v>5529</v>
      </c>
      <c r="B5530">
        <f>TEXT(5529, "[$-0E0000]yyyy-mm-dd")</f>
        <v/>
      </c>
      <c r="C5530" t="inlineStr">
        <is>
          <t>1915-01-07</t>
        </is>
      </c>
    </row>
    <row r="5531">
      <c r="A5531" s="1" t="n">
        <v>5530</v>
      </c>
      <c r="B5531">
        <f>TEXT(5530, "[$-0E0000]yyyy-mm-dd")</f>
        <v/>
      </c>
      <c r="C5531" t="inlineStr">
        <is>
          <t>1915-01-08</t>
        </is>
      </c>
    </row>
    <row r="5532">
      <c r="A5532" s="1" t="n">
        <v>5531</v>
      </c>
      <c r="B5532">
        <f>TEXT(5531, "[$-0E0000]yyyy-mm-dd")</f>
        <v/>
      </c>
      <c r="C5532" t="inlineStr">
        <is>
          <t>1915-01-09</t>
        </is>
      </c>
    </row>
    <row r="5533">
      <c r="A5533" s="1" t="n">
        <v>5532</v>
      </c>
      <c r="B5533">
        <f>TEXT(5532, "[$-0E0000]yyyy-mm-dd")</f>
        <v/>
      </c>
      <c r="C5533" t="inlineStr">
        <is>
          <t>1915-01-10</t>
        </is>
      </c>
    </row>
    <row r="5534">
      <c r="A5534" s="1" t="n">
        <v>5533</v>
      </c>
      <c r="B5534">
        <f>TEXT(5533, "[$-0E0000]yyyy-mm-dd")</f>
        <v/>
      </c>
      <c r="C5534" t="inlineStr">
        <is>
          <t>1915-01-11</t>
        </is>
      </c>
    </row>
    <row r="5535">
      <c r="A5535" s="1" t="n">
        <v>5534</v>
      </c>
      <c r="B5535">
        <f>TEXT(5534, "[$-0E0000]yyyy-mm-dd")</f>
        <v/>
      </c>
      <c r="C5535" t="inlineStr">
        <is>
          <t>1915-01-12</t>
        </is>
      </c>
    </row>
    <row r="5536">
      <c r="A5536" s="1" t="n">
        <v>5535</v>
      </c>
      <c r="B5536">
        <f>TEXT(5535, "[$-0E0000]yyyy-mm-dd")</f>
        <v/>
      </c>
      <c r="C5536" t="inlineStr">
        <is>
          <t>1915-01-13</t>
        </is>
      </c>
    </row>
    <row r="5537">
      <c r="A5537" s="1" t="n">
        <v>5536</v>
      </c>
      <c r="B5537">
        <f>TEXT(5536, "[$-0E0000]yyyy-mm-dd")</f>
        <v/>
      </c>
      <c r="C5537" t="inlineStr">
        <is>
          <t>1915-01-14</t>
        </is>
      </c>
    </row>
    <row r="5538">
      <c r="A5538" s="1" t="n">
        <v>5537</v>
      </c>
      <c r="B5538">
        <f>TEXT(5537, "[$-0E0000]yyyy-mm-dd")</f>
        <v/>
      </c>
      <c r="C5538" t="inlineStr">
        <is>
          <t>1915-01-15</t>
        </is>
      </c>
    </row>
    <row r="5539">
      <c r="A5539" s="1" t="n">
        <v>5538</v>
      </c>
      <c r="B5539">
        <f>TEXT(5538, "[$-0E0000]yyyy-mm-dd")</f>
        <v/>
      </c>
      <c r="C5539" t="inlineStr">
        <is>
          <t>1915-01-16</t>
        </is>
      </c>
    </row>
    <row r="5540">
      <c r="A5540" s="1" t="n">
        <v>5539</v>
      </c>
      <c r="B5540">
        <f>TEXT(5539, "[$-0E0000]yyyy-mm-dd")</f>
        <v/>
      </c>
      <c r="C5540" t="inlineStr">
        <is>
          <t>1915-01-17</t>
        </is>
      </c>
    </row>
    <row r="5541">
      <c r="A5541" s="1" t="n">
        <v>5540</v>
      </c>
      <c r="B5541">
        <f>TEXT(5540, "[$-0E0000]yyyy-mm-dd")</f>
        <v/>
      </c>
      <c r="C5541" t="inlineStr">
        <is>
          <t>1915-01-18</t>
        </is>
      </c>
    </row>
    <row r="5542">
      <c r="A5542" s="1" t="n">
        <v>5541</v>
      </c>
      <c r="B5542">
        <f>TEXT(5541, "[$-0E0000]yyyy-mm-dd")</f>
        <v/>
      </c>
      <c r="C5542" t="inlineStr">
        <is>
          <t>1915-01-19</t>
        </is>
      </c>
    </row>
    <row r="5543">
      <c r="A5543" s="1" t="n">
        <v>5542</v>
      </c>
      <c r="B5543">
        <f>TEXT(5542, "[$-0E0000]yyyy-mm-dd")</f>
        <v/>
      </c>
      <c r="C5543" t="inlineStr">
        <is>
          <t>1915-01-20</t>
        </is>
      </c>
    </row>
    <row r="5544">
      <c r="A5544" s="1" t="n">
        <v>5543</v>
      </c>
      <c r="B5544">
        <f>TEXT(5543, "[$-0E0000]yyyy-mm-dd")</f>
        <v/>
      </c>
      <c r="C5544" t="inlineStr">
        <is>
          <t>1915-01-21</t>
        </is>
      </c>
    </row>
    <row r="5545">
      <c r="A5545" s="1" t="n">
        <v>5544</v>
      </c>
      <c r="B5545">
        <f>TEXT(5544, "[$-0E0000]yyyy-mm-dd")</f>
        <v/>
      </c>
      <c r="C5545" t="inlineStr">
        <is>
          <t>1915-01-22</t>
        </is>
      </c>
    </row>
    <row r="5546">
      <c r="A5546" s="1" t="n">
        <v>5545</v>
      </c>
      <c r="B5546">
        <f>TEXT(5545, "[$-0E0000]yyyy-mm-dd")</f>
        <v/>
      </c>
      <c r="C5546" t="inlineStr">
        <is>
          <t>1915-01-23</t>
        </is>
      </c>
    </row>
    <row r="5547">
      <c r="A5547" s="1" t="n">
        <v>5546</v>
      </c>
      <c r="B5547">
        <f>TEXT(5546, "[$-0E0000]yyyy-mm-dd")</f>
        <v/>
      </c>
      <c r="C5547" t="inlineStr">
        <is>
          <t>1915-01-24</t>
        </is>
      </c>
    </row>
    <row r="5548">
      <c r="A5548" s="1" t="n">
        <v>5547</v>
      </c>
      <c r="B5548">
        <f>TEXT(5547, "[$-0E0000]yyyy-mm-dd")</f>
        <v/>
      </c>
      <c r="C5548" t="inlineStr">
        <is>
          <t>1915-01-25</t>
        </is>
      </c>
    </row>
    <row r="5549">
      <c r="A5549" s="1" t="n">
        <v>5548</v>
      </c>
      <c r="B5549">
        <f>TEXT(5548, "[$-0E0000]yyyy-mm-dd")</f>
        <v/>
      </c>
      <c r="C5549" t="inlineStr">
        <is>
          <t>1915-01-26</t>
        </is>
      </c>
    </row>
    <row r="5550">
      <c r="A5550" s="1" t="n">
        <v>5549</v>
      </c>
      <c r="B5550">
        <f>TEXT(5549, "[$-0E0000]yyyy-mm-dd")</f>
        <v/>
      </c>
      <c r="C5550" t="inlineStr">
        <is>
          <t>1915-01-27</t>
        </is>
      </c>
    </row>
    <row r="5551">
      <c r="A5551" s="1" t="n">
        <v>5550</v>
      </c>
      <c r="B5551">
        <f>TEXT(5550, "[$-0E0000]yyyy-mm-dd")</f>
        <v/>
      </c>
      <c r="C5551" t="inlineStr">
        <is>
          <t>1915-01-28</t>
        </is>
      </c>
    </row>
    <row r="5552">
      <c r="A5552" s="1" t="n">
        <v>5551</v>
      </c>
      <c r="B5552">
        <f>TEXT(5551, "[$-0E0000]yyyy-mm-dd")</f>
        <v/>
      </c>
      <c r="C5552" t="inlineStr">
        <is>
          <t>1915-01-29</t>
        </is>
      </c>
    </row>
    <row r="5553">
      <c r="A5553" s="1" t="n">
        <v>5552</v>
      </c>
      <c r="B5553">
        <f>TEXT(5552, "[$-0E0000]yyyy-mm-dd")</f>
        <v/>
      </c>
      <c r="C5553" t="inlineStr">
        <is>
          <t>1915-01-30</t>
        </is>
      </c>
    </row>
    <row r="5554">
      <c r="A5554" s="1" t="n">
        <v>5553</v>
      </c>
      <c r="B5554">
        <f>TEXT(5553, "[$-0E0000]yyyy-mm-dd")</f>
        <v/>
      </c>
      <c r="C5554" t="inlineStr">
        <is>
          <t>1915-02-01</t>
        </is>
      </c>
    </row>
    <row r="5555">
      <c r="A5555" s="1" t="n">
        <v>5554</v>
      </c>
      <c r="B5555">
        <f>TEXT(5554, "[$-0E0000]yyyy-mm-dd")</f>
        <v/>
      </c>
      <c r="C5555" t="inlineStr">
        <is>
          <t>1915-02-02</t>
        </is>
      </c>
    </row>
    <row r="5556">
      <c r="A5556" s="1" t="n">
        <v>5555</v>
      </c>
      <c r="B5556">
        <f>TEXT(5555, "[$-0E0000]yyyy-mm-dd")</f>
        <v/>
      </c>
      <c r="C5556" t="inlineStr">
        <is>
          <t>1915-02-03</t>
        </is>
      </c>
    </row>
    <row r="5557">
      <c r="A5557" s="1" t="n">
        <v>5556</v>
      </c>
      <c r="B5557">
        <f>TEXT(5556, "[$-0E0000]yyyy-mm-dd")</f>
        <v/>
      </c>
      <c r="C5557" t="inlineStr">
        <is>
          <t>1915-02-04</t>
        </is>
      </c>
    </row>
    <row r="5558">
      <c r="A5558" s="1" t="n">
        <v>5557</v>
      </c>
      <c r="B5558">
        <f>TEXT(5557, "[$-0E0000]yyyy-mm-dd")</f>
        <v/>
      </c>
      <c r="C5558" t="inlineStr">
        <is>
          <t>1915-02-05</t>
        </is>
      </c>
    </row>
    <row r="5559">
      <c r="A5559" s="1" t="n">
        <v>5558</v>
      </c>
      <c r="B5559">
        <f>TEXT(5558, "[$-0E0000]yyyy-mm-dd")</f>
        <v/>
      </c>
      <c r="C5559" t="inlineStr">
        <is>
          <t>1915-02-06</t>
        </is>
      </c>
    </row>
    <row r="5560">
      <c r="A5560" s="1" t="n">
        <v>5559</v>
      </c>
      <c r="B5560">
        <f>TEXT(5559, "[$-0E0000]yyyy-mm-dd")</f>
        <v/>
      </c>
      <c r="C5560" t="inlineStr">
        <is>
          <t>1915-02-07</t>
        </is>
      </c>
    </row>
    <row r="5561">
      <c r="A5561" s="1" t="n">
        <v>5560</v>
      </c>
      <c r="B5561">
        <f>TEXT(5560, "[$-0E0000]yyyy-mm-dd")</f>
        <v/>
      </c>
      <c r="C5561" t="inlineStr">
        <is>
          <t>1915-02-08</t>
        </is>
      </c>
    </row>
    <row r="5562">
      <c r="A5562" s="1" t="n">
        <v>5561</v>
      </c>
      <c r="B5562">
        <f>TEXT(5561, "[$-0E0000]yyyy-mm-dd")</f>
        <v/>
      </c>
      <c r="C5562" t="inlineStr">
        <is>
          <t>1915-02-09</t>
        </is>
      </c>
    </row>
    <row r="5563">
      <c r="A5563" s="1" t="n">
        <v>5562</v>
      </c>
      <c r="B5563">
        <f>TEXT(5562, "[$-0E0000]yyyy-mm-dd")</f>
        <v/>
      </c>
      <c r="C5563" t="inlineStr">
        <is>
          <t>1915-02-10</t>
        </is>
      </c>
    </row>
    <row r="5564">
      <c r="A5564" s="1" t="n">
        <v>5563</v>
      </c>
      <c r="B5564">
        <f>TEXT(5563, "[$-0E0000]yyyy-mm-dd")</f>
        <v/>
      </c>
      <c r="C5564" t="inlineStr">
        <is>
          <t>1915-02-11</t>
        </is>
      </c>
    </row>
    <row r="5565">
      <c r="A5565" s="1" t="n">
        <v>5564</v>
      </c>
      <c r="B5565">
        <f>TEXT(5564, "[$-0E0000]yyyy-mm-dd")</f>
        <v/>
      </c>
      <c r="C5565" t="inlineStr">
        <is>
          <t>1915-02-12</t>
        </is>
      </c>
    </row>
    <row r="5566">
      <c r="A5566" s="1" t="n">
        <v>5565</v>
      </c>
      <c r="B5566">
        <f>TEXT(5565, "[$-0E0000]yyyy-mm-dd")</f>
        <v/>
      </c>
      <c r="C5566" t="inlineStr">
        <is>
          <t>1915-02-13</t>
        </is>
      </c>
    </row>
    <row r="5567">
      <c r="A5567" s="1" t="n">
        <v>5566</v>
      </c>
      <c r="B5567">
        <f>TEXT(5566, "[$-0E0000]yyyy-mm-dd")</f>
        <v/>
      </c>
      <c r="C5567" t="inlineStr">
        <is>
          <t>1915-02-14</t>
        </is>
      </c>
    </row>
    <row r="5568">
      <c r="A5568" s="1" t="n">
        <v>5567</v>
      </c>
      <c r="B5568">
        <f>TEXT(5567, "[$-0E0000]yyyy-mm-dd")</f>
        <v/>
      </c>
      <c r="C5568" t="inlineStr">
        <is>
          <t>1915-02-15</t>
        </is>
      </c>
    </row>
    <row r="5569">
      <c r="A5569" s="1" t="n">
        <v>5568</v>
      </c>
      <c r="B5569">
        <f>TEXT(5568, "[$-0E0000]yyyy-mm-dd")</f>
        <v/>
      </c>
      <c r="C5569" t="inlineStr">
        <is>
          <t>1915-02-16</t>
        </is>
      </c>
    </row>
    <row r="5570">
      <c r="A5570" s="1" t="n">
        <v>5569</v>
      </c>
      <c r="B5570">
        <f>TEXT(5569, "[$-0E0000]yyyy-mm-dd")</f>
        <v/>
      </c>
      <c r="C5570" t="inlineStr">
        <is>
          <t>1915-02-17</t>
        </is>
      </c>
    </row>
    <row r="5571">
      <c r="A5571" s="1" t="n">
        <v>5570</v>
      </c>
      <c r="B5571">
        <f>TEXT(5570, "[$-0E0000]yyyy-mm-dd")</f>
        <v/>
      </c>
      <c r="C5571" t="inlineStr">
        <is>
          <t>1915-02-18</t>
        </is>
      </c>
    </row>
    <row r="5572">
      <c r="A5572" s="1" t="n">
        <v>5571</v>
      </c>
      <c r="B5572">
        <f>TEXT(5571, "[$-0E0000]yyyy-mm-dd")</f>
        <v/>
      </c>
      <c r="C5572" t="inlineStr">
        <is>
          <t>1915-02-19</t>
        </is>
      </c>
    </row>
    <row r="5573">
      <c r="A5573" s="1" t="n">
        <v>5572</v>
      </c>
      <c r="B5573">
        <f>TEXT(5572, "[$-0E0000]yyyy-mm-dd")</f>
        <v/>
      </c>
      <c r="C5573" t="inlineStr">
        <is>
          <t>1915-02-20</t>
        </is>
      </c>
    </row>
    <row r="5574">
      <c r="A5574" s="1" t="n">
        <v>5573</v>
      </c>
      <c r="B5574">
        <f>TEXT(5573, "[$-0E0000]yyyy-mm-dd")</f>
        <v/>
      </c>
      <c r="C5574" t="inlineStr">
        <is>
          <t>1915-02-21</t>
        </is>
      </c>
    </row>
    <row r="5575">
      <c r="A5575" s="1" t="n">
        <v>5574</v>
      </c>
      <c r="B5575">
        <f>TEXT(5574, "[$-0E0000]yyyy-mm-dd")</f>
        <v/>
      </c>
      <c r="C5575" t="inlineStr">
        <is>
          <t>1915-02-22</t>
        </is>
      </c>
    </row>
    <row r="5576">
      <c r="A5576" s="1" t="n">
        <v>5575</v>
      </c>
      <c r="B5576">
        <f>TEXT(5575, "[$-0E0000]yyyy-mm-dd")</f>
        <v/>
      </c>
      <c r="C5576" t="inlineStr">
        <is>
          <t>1915-02-23</t>
        </is>
      </c>
    </row>
    <row r="5577">
      <c r="A5577" s="1" t="n">
        <v>5576</v>
      </c>
      <c r="B5577">
        <f>TEXT(5576, "[$-0E0000]yyyy-mm-dd")</f>
        <v/>
      </c>
      <c r="C5577" t="inlineStr">
        <is>
          <t>1915-02-24</t>
        </is>
      </c>
    </row>
    <row r="5578">
      <c r="A5578" s="1" t="n">
        <v>5577</v>
      </c>
      <c r="B5578">
        <f>TEXT(5577, "[$-0E0000]yyyy-mm-dd")</f>
        <v/>
      </c>
      <c r="C5578" t="inlineStr">
        <is>
          <t>1915-02-25</t>
        </is>
      </c>
    </row>
    <row r="5579">
      <c r="A5579" s="1" t="n">
        <v>5578</v>
      </c>
      <c r="B5579">
        <f>TEXT(5578, "[$-0E0000]yyyy-mm-dd")</f>
        <v/>
      </c>
      <c r="C5579" t="inlineStr">
        <is>
          <t>1915-02-26</t>
        </is>
      </c>
    </row>
    <row r="5580">
      <c r="A5580" s="1" t="n">
        <v>5579</v>
      </c>
      <c r="B5580">
        <f>TEXT(5579, "[$-0E0000]yyyy-mm-dd")</f>
        <v/>
      </c>
      <c r="C5580" t="inlineStr">
        <is>
          <t>1915-02-27</t>
        </is>
      </c>
    </row>
    <row r="5581">
      <c r="A5581" s="1" t="n">
        <v>5580</v>
      </c>
      <c r="B5581">
        <f>TEXT(5580, "[$-0E0000]yyyy-mm-dd")</f>
        <v/>
      </c>
      <c r="C5581" t="inlineStr">
        <is>
          <t>1915-02-28</t>
        </is>
      </c>
    </row>
    <row r="5582">
      <c r="A5582" s="1" t="n">
        <v>5581</v>
      </c>
      <c r="B5582">
        <f>TEXT(5581, "[$-0E0000]yyyy-mm-dd")</f>
        <v/>
      </c>
      <c r="C5582" t="inlineStr">
        <is>
          <t>1915-02-29</t>
        </is>
      </c>
    </row>
    <row r="5583">
      <c r="A5583" s="1" t="n">
        <v>5582</v>
      </c>
      <c r="B5583">
        <f>TEXT(5582, "[$-0E0000]yyyy-mm-dd")</f>
        <v/>
      </c>
      <c r="C5583" t="inlineStr">
        <is>
          <t>1915-03-01</t>
        </is>
      </c>
    </row>
    <row r="5584">
      <c r="A5584" s="1" t="n">
        <v>5583</v>
      </c>
      <c r="B5584">
        <f>TEXT(5583, "[$-0E0000]yyyy-mm-dd")</f>
        <v/>
      </c>
      <c r="C5584" t="inlineStr">
        <is>
          <t>1915-03-02</t>
        </is>
      </c>
    </row>
    <row r="5585">
      <c r="A5585" s="1" t="n">
        <v>5584</v>
      </c>
      <c r="B5585">
        <f>TEXT(5584, "[$-0E0000]yyyy-mm-dd")</f>
        <v/>
      </c>
      <c r="C5585" t="inlineStr">
        <is>
          <t>1915-03-03</t>
        </is>
      </c>
    </row>
    <row r="5586">
      <c r="A5586" s="1" t="n">
        <v>5585</v>
      </c>
      <c r="B5586">
        <f>TEXT(5585, "[$-0E0000]yyyy-mm-dd")</f>
        <v/>
      </c>
      <c r="C5586" t="inlineStr">
        <is>
          <t>1915-03-04</t>
        </is>
      </c>
    </row>
    <row r="5587">
      <c r="A5587" s="1" t="n">
        <v>5586</v>
      </c>
      <c r="B5587">
        <f>TEXT(5586, "[$-0E0000]yyyy-mm-dd")</f>
        <v/>
      </c>
      <c r="C5587" t="inlineStr">
        <is>
          <t>1915-03-05</t>
        </is>
      </c>
    </row>
    <row r="5588">
      <c r="A5588" s="1" t="n">
        <v>5587</v>
      </c>
      <c r="B5588">
        <f>TEXT(5587, "[$-0E0000]yyyy-mm-dd")</f>
        <v/>
      </c>
      <c r="C5588" t="inlineStr">
        <is>
          <t>1915-03-06</t>
        </is>
      </c>
    </row>
    <row r="5589">
      <c r="A5589" s="1" t="n">
        <v>5588</v>
      </c>
      <c r="B5589">
        <f>TEXT(5588, "[$-0E0000]yyyy-mm-dd")</f>
        <v/>
      </c>
      <c r="C5589" t="inlineStr">
        <is>
          <t>1915-03-07</t>
        </is>
      </c>
    </row>
    <row r="5590">
      <c r="A5590" s="1" t="n">
        <v>5589</v>
      </c>
      <c r="B5590">
        <f>TEXT(5589, "[$-0E0000]yyyy-mm-dd")</f>
        <v/>
      </c>
      <c r="C5590" t="inlineStr">
        <is>
          <t>1915-03-08</t>
        </is>
      </c>
    </row>
    <row r="5591">
      <c r="A5591" s="1" t="n">
        <v>5590</v>
      </c>
      <c r="B5591">
        <f>TEXT(5590, "[$-0E0000]yyyy-mm-dd")</f>
        <v/>
      </c>
      <c r="C5591" t="inlineStr">
        <is>
          <t>1915-03-09</t>
        </is>
      </c>
    </row>
    <row r="5592">
      <c r="A5592" s="1" t="n">
        <v>5591</v>
      </c>
      <c r="B5592">
        <f>TEXT(5591, "[$-0E0000]yyyy-mm-dd")</f>
        <v/>
      </c>
      <c r="C5592" t="inlineStr">
        <is>
          <t>1915-03-10</t>
        </is>
      </c>
    </row>
    <row r="5593">
      <c r="A5593" s="1" t="n">
        <v>5592</v>
      </c>
      <c r="B5593">
        <f>TEXT(5592, "[$-0E0000]yyyy-mm-dd")</f>
        <v/>
      </c>
      <c r="C5593" t="inlineStr">
        <is>
          <t>1915-03-11</t>
        </is>
      </c>
    </row>
    <row r="5594">
      <c r="A5594" s="1" t="n">
        <v>5593</v>
      </c>
      <c r="B5594">
        <f>TEXT(5593, "[$-0E0000]yyyy-mm-dd")</f>
        <v/>
      </c>
      <c r="C5594" t="inlineStr">
        <is>
          <t>1915-03-12</t>
        </is>
      </c>
    </row>
    <row r="5595">
      <c r="A5595" s="1" t="n">
        <v>5594</v>
      </c>
      <c r="B5595">
        <f>TEXT(5594, "[$-0E0000]yyyy-mm-dd")</f>
        <v/>
      </c>
      <c r="C5595" t="inlineStr">
        <is>
          <t>1915-03-13</t>
        </is>
      </c>
    </row>
    <row r="5596">
      <c r="A5596" s="1" t="n">
        <v>5595</v>
      </c>
      <c r="B5596">
        <f>TEXT(5595, "[$-0E0000]yyyy-mm-dd")</f>
        <v/>
      </c>
      <c r="C5596" t="inlineStr">
        <is>
          <t>1915-03-14</t>
        </is>
      </c>
    </row>
    <row r="5597">
      <c r="A5597" s="1" t="n">
        <v>5596</v>
      </c>
      <c r="B5597">
        <f>TEXT(5596, "[$-0E0000]yyyy-mm-dd")</f>
        <v/>
      </c>
      <c r="C5597" t="inlineStr">
        <is>
          <t>1915-03-15</t>
        </is>
      </c>
    </row>
    <row r="5598">
      <c r="A5598" s="1" t="n">
        <v>5597</v>
      </c>
      <c r="B5598">
        <f>TEXT(5597, "[$-0E0000]yyyy-mm-dd")</f>
        <v/>
      </c>
      <c r="C5598" t="inlineStr">
        <is>
          <t>1915-03-16</t>
        </is>
      </c>
    </row>
    <row r="5599">
      <c r="A5599" s="1" t="n">
        <v>5598</v>
      </c>
      <c r="B5599">
        <f>TEXT(5598, "[$-0E0000]yyyy-mm-dd")</f>
        <v/>
      </c>
      <c r="C5599" t="inlineStr">
        <is>
          <t>1915-03-17</t>
        </is>
      </c>
    </row>
    <row r="5600">
      <c r="A5600" s="1" t="n">
        <v>5599</v>
      </c>
      <c r="B5600">
        <f>TEXT(5599, "[$-0E0000]yyyy-mm-dd")</f>
        <v/>
      </c>
      <c r="C5600" t="inlineStr">
        <is>
          <t>1915-03-18</t>
        </is>
      </c>
    </row>
    <row r="5601">
      <c r="A5601" s="1" t="n">
        <v>5600</v>
      </c>
      <c r="B5601">
        <f>TEXT(5600, "[$-0E0000]yyyy-mm-dd")</f>
        <v/>
      </c>
      <c r="C5601" t="inlineStr">
        <is>
          <t>1915-03-19</t>
        </is>
      </c>
    </row>
    <row r="5602">
      <c r="A5602" s="1" t="n">
        <v>5601</v>
      </c>
      <c r="B5602">
        <f>TEXT(5601, "[$-0E0000]yyyy-mm-dd")</f>
        <v/>
      </c>
      <c r="C5602" t="inlineStr">
        <is>
          <t>1915-03-20</t>
        </is>
      </c>
    </row>
    <row r="5603">
      <c r="A5603" s="1" t="n">
        <v>5602</v>
      </c>
      <c r="B5603">
        <f>TEXT(5602, "[$-0E0000]yyyy-mm-dd")</f>
        <v/>
      </c>
      <c r="C5603" t="inlineStr">
        <is>
          <t>1915-03-21</t>
        </is>
      </c>
    </row>
    <row r="5604">
      <c r="A5604" s="1" t="n">
        <v>5603</v>
      </c>
      <c r="B5604">
        <f>TEXT(5603, "[$-0E0000]yyyy-mm-dd")</f>
        <v/>
      </c>
      <c r="C5604" t="inlineStr">
        <is>
          <t>1915-03-22</t>
        </is>
      </c>
    </row>
    <row r="5605">
      <c r="A5605" s="1" t="n">
        <v>5604</v>
      </c>
      <c r="B5605">
        <f>TEXT(5604, "[$-0E0000]yyyy-mm-dd")</f>
        <v/>
      </c>
      <c r="C5605" t="inlineStr">
        <is>
          <t>1915-03-23</t>
        </is>
      </c>
    </row>
    <row r="5606">
      <c r="A5606" s="1" t="n">
        <v>5605</v>
      </c>
      <c r="B5606">
        <f>TEXT(5605, "[$-0E0000]yyyy-mm-dd")</f>
        <v/>
      </c>
      <c r="C5606" t="inlineStr">
        <is>
          <t>1915-03-24</t>
        </is>
      </c>
    </row>
    <row r="5607">
      <c r="A5607" s="1" t="n">
        <v>5606</v>
      </c>
      <c r="B5607">
        <f>TEXT(5606, "[$-0E0000]yyyy-mm-dd")</f>
        <v/>
      </c>
      <c r="C5607" t="inlineStr">
        <is>
          <t>1915-03-25</t>
        </is>
      </c>
    </row>
    <row r="5608">
      <c r="A5608" s="1" t="n">
        <v>5607</v>
      </c>
      <c r="B5608">
        <f>TEXT(5607, "[$-0E0000]yyyy-mm-dd")</f>
        <v/>
      </c>
      <c r="C5608" t="inlineStr">
        <is>
          <t>1915-03-26</t>
        </is>
      </c>
    </row>
    <row r="5609">
      <c r="A5609" s="1" t="n">
        <v>5608</v>
      </c>
      <c r="B5609">
        <f>TEXT(5608, "[$-0E0000]yyyy-mm-dd")</f>
        <v/>
      </c>
      <c r="C5609" t="inlineStr">
        <is>
          <t>1915-03-27</t>
        </is>
      </c>
    </row>
    <row r="5610">
      <c r="A5610" s="1" t="n">
        <v>5609</v>
      </c>
      <c r="B5610">
        <f>TEXT(5609, "[$-0E0000]yyyy-mm-dd")</f>
        <v/>
      </c>
      <c r="C5610" t="inlineStr">
        <is>
          <t>1915-03-28</t>
        </is>
      </c>
    </row>
    <row r="5611">
      <c r="A5611" s="1" t="n">
        <v>5610</v>
      </c>
      <c r="B5611">
        <f>TEXT(5610, "[$-0E0000]yyyy-mm-dd")</f>
        <v/>
      </c>
      <c r="C5611" t="inlineStr">
        <is>
          <t>1915-03-29</t>
        </is>
      </c>
    </row>
    <row r="5612">
      <c r="A5612" s="1" t="n">
        <v>5611</v>
      </c>
      <c r="B5612">
        <f>TEXT(5611, "[$-0E0000]yyyy-mm-dd")</f>
        <v/>
      </c>
      <c r="C5612" t="inlineStr">
        <is>
          <t>1915-03-30</t>
        </is>
      </c>
    </row>
    <row r="5613">
      <c r="A5613" s="1" t="n">
        <v>5612</v>
      </c>
      <c r="B5613">
        <f>TEXT(5612, "[$-0E0000]yyyy-mm-dd")</f>
        <v/>
      </c>
      <c r="C5613" t="inlineStr">
        <is>
          <t>1915-04-01</t>
        </is>
      </c>
    </row>
    <row r="5614">
      <c r="A5614" s="1" t="n">
        <v>5613</v>
      </c>
      <c r="B5614">
        <f>TEXT(5613, "[$-0E0000]yyyy-mm-dd")</f>
        <v/>
      </c>
      <c r="C5614" t="inlineStr">
        <is>
          <t>1915-04-02</t>
        </is>
      </c>
    </row>
    <row r="5615">
      <c r="A5615" s="1" t="n">
        <v>5614</v>
      </c>
      <c r="B5615">
        <f>TEXT(5614, "[$-0E0000]yyyy-mm-dd")</f>
        <v/>
      </c>
      <c r="C5615" t="inlineStr">
        <is>
          <t>1915-04-03</t>
        </is>
      </c>
    </row>
    <row r="5616">
      <c r="A5616" s="1" t="n">
        <v>5615</v>
      </c>
      <c r="B5616">
        <f>TEXT(5615, "[$-0E0000]yyyy-mm-dd")</f>
        <v/>
      </c>
      <c r="C5616" t="inlineStr">
        <is>
          <t>1915-04-04</t>
        </is>
      </c>
    </row>
    <row r="5617">
      <c r="A5617" s="1" t="n">
        <v>5616</v>
      </c>
      <c r="B5617">
        <f>TEXT(5616, "[$-0E0000]yyyy-mm-dd")</f>
        <v/>
      </c>
      <c r="C5617" t="inlineStr">
        <is>
          <t>1915-04-05</t>
        </is>
      </c>
    </row>
    <row r="5618">
      <c r="A5618" s="1" t="n">
        <v>5617</v>
      </c>
      <c r="B5618">
        <f>TEXT(5617, "[$-0E0000]yyyy-mm-dd")</f>
        <v/>
      </c>
      <c r="C5618" t="inlineStr">
        <is>
          <t>1915-04-06</t>
        </is>
      </c>
    </row>
    <row r="5619">
      <c r="A5619" s="1" t="n">
        <v>5618</v>
      </c>
      <c r="B5619">
        <f>TEXT(5618, "[$-0E0000]yyyy-mm-dd")</f>
        <v/>
      </c>
      <c r="C5619" t="inlineStr">
        <is>
          <t>1915-04-07</t>
        </is>
      </c>
    </row>
    <row r="5620">
      <c r="A5620" s="1" t="n">
        <v>5619</v>
      </c>
      <c r="B5620">
        <f>TEXT(5619, "[$-0E0000]yyyy-mm-dd")</f>
        <v/>
      </c>
      <c r="C5620" t="inlineStr">
        <is>
          <t>1915-04-08</t>
        </is>
      </c>
    </row>
    <row r="5621">
      <c r="A5621" s="1" t="n">
        <v>5620</v>
      </c>
      <c r="B5621">
        <f>TEXT(5620, "[$-0E0000]yyyy-mm-dd")</f>
        <v/>
      </c>
      <c r="C5621" t="inlineStr">
        <is>
          <t>1915-04-09</t>
        </is>
      </c>
    </row>
    <row r="5622">
      <c r="A5622" s="1" t="n">
        <v>5621</v>
      </c>
      <c r="B5622">
        <f>TEXT(5621, "[$-0E0000]yyyy-mm-dd")</f>
        <v/>
      </c>
      <c r="C5622" t="inlineStr">
        <is>
          <t>1915-04-10</t>
        </is>
      </c>
    </row>
    <row r="5623">
      <c r="A5623" s="1" t="n">
        <v>5622</v>
      </c>
      <c r="B5623">
        <f>TEXT(5622, "[$-0E0000]yyyy-mm-dd")</f>
        <v/>
      </c>
      <c r="C5623" t="inlineStr">
        <is>
          <t>1915-04-11</t>
        </is>
      </c>
    </row>
    <row r="5624">
      <c r="A5624" s="1" t="n">
        <v>5623</v>
      </c>
      <c r="B5624">
        <f>TEXT(5623, "[$-0E0000]yyyy-mm-dd")</f>
        <v/>
      </c>
      <c r="C5624" t="inlineStr">
        <is>
          <t>1915-04-12</t>
        </is>
      </c>
    </row>
    <row r="5625">
      <c r="A5625" s="1" t="n">
        <v>5624</v>
      </c>
      <c r="B5625">
        <f>TEXT(5624, "[$-0E0000]yyyy-mm-dd")</f>
        <v/>
      </c>
      <c r="C5625" t="inlineStr">
        <is>
          <t>1915-04-13</t>
        </is>
      </c>
    </row>
    <row r="5626">
      <c r="A5626" s="1" t="n">
        <v>5625</v>
      </c>
      <c r="B5626">
        <f>TEXT(5625, "[$-0E0000]yyyy-mm-dd")</f>
        <v/>
      </c>
      <c r="C5626" t="inlineStr">
        <is>
          <t>1915-04-14</t>
        </is>
      </c>
    </row>
    <row r="5627">
      <c r="A5627" s="1" t="n">
        <v>5626</v>
      </c>
      <c r="B5627">
        <f>TEXT(5626, "[$-0E0000]yyyy-mm-dd")</f>
        <v/>
      </c>
      <c r="C5627" t="inlineStr">
        <is>
          <t>1915-04-15</t>
        </is>
      </c>
    </row>
    <row r="5628">
      <c r="A5628" s="1" t="n">
        <v>5627</v>
      </c>
      <c r="B5628">
        <f>TEXT(5627, "[$-0E0000]yyyy-mm-dd")</f>
        <v/>
      </c>
      <c r="C5628" t="inlineStr">
        <is>
          <t>1915-04-16</t>
        </is>
      </c>
    </row>
    <row r="5629">
      <c r="A5629" s="1" t="n">
        <v>5628</v>
      </c>
      <c r="B5629">
        <f>TEXT(5628, "[$-0E0000]yyyy-mm-dd")</f>
        <v/>
      </c>
      <c r="C5629" t="inlineStr">
        <is>
          <t>1915-04-17</t>
        </is>
      </c>
    </row>
    <row r="5630">
      <c r="A5630" s="1" t="n">
        <v>5629</v>
      </c>
      <c r="B5630">
        <f>TEXT(5629, "[$-0E0000]yyyy-mm-dd")</f>
        <v/>
      </c>
      <c r="C5630" t="inlineStr">
        <is>
          <t>1915-04-18</t>
        </is>
      </c>
    </row>
    <row r="5631">
      <c r="A5631" s="1" t="n">
        <v>5630</v>
      </c>
      <c r="B5631">
        <f>TEXT(5630, "[$-0E0000]yyyy-mm-dd")</f>
        <v/>
      </c>
      <c r="C5631" t="inlineStr">
        <is>
          <t>1915-04-19</t>
        </is>
      </c>
    </row>
    <row r="5632">
      <c r="A5632" s="1" t="n">
        <v>5631</v>
      </c>
      <c r="B5632">
        <f>TEXT(5631, "[$-0E0000]yyyy-mm-dd")</f>
        <v/>
      </c>
      <c r="C5632" t="inlineStr">
        <is>
          <t>1915-04-20</t>
        </is>
      </c>
    </row>
    <row r="5633">
      <c r="A5633" s="1" t="n">
        <v>5632</v>
      </c>
      <c r="B5633">
        <f>TEXT(5632, "[$-0E0000]yyyy-mm-dd")</f>
        <v/>
      </c>
      <c r="C5633" t="inlineStr">
        <is>
          <t>1915-04-21</t>
        </is>
      </c>
    </row>
    <row r="5634">
      <c r="A5634" s="1" t="n">
        <v>5633</v>
      </c>
      <c r="B5634">
        <f>TEXT(5633, "[$-0E0000]yyyy-mm-dd")</f>
        <v/>
      </c>
      <c r="C5634" t="inlineStr">
        <is>
          <t>1915-04-22</t>
        </is>
      </c>
    </row>
    <row r="5635">
      <c r="A5635" s="1" t="n">
        <v>5634</v>
      </c>
      <c r="B5635">
        <f>TEXT(5634, "[$-0E0000]yyyy-mm-dd")</f>
        <v/>
      </c>
      <c r="C5635" t="inlineStr">
        <is>
          <t>1915-04-23</t>
        </is>
      </c>
    </row>
    <row r="5636">
      <c r="A5636" s="1" t="n">
        <v>5635</v>
      </c>
      <c r="B5636">
        <f>TEXT(5635, "[$-0E0000]yyyy-mm-dd")</f>
        <v/>
      </c>
      <c r="C5636" t="inlineStr">
        <is>
          <t>1915-04-24</t>
        </is>
      </c>
    </row>
    <row r="5637">
      <c r="A5637" s="1" t="n">
        <v>5636</v>
      </c>
      <c r="B5637">
        <f>TEXT(5636, "[$-0E0000]yyyy-mm-dd")</f>
        <v/>
      </c>
      <c r="C5637" t="inlineStr">
        <is>
          <t>1915-04-25</t>
        </is>
      </c>
    </row>
    <row r="5638">
      <c r="A5638" s="1" t="n">
        <v>5637</v>
      </c>
      <c r="B5638">
        <f>TEXT(5637, "[$-0E0000]yyyy-mm-dd")</f>
        <v/>
      </c>
      <c r="C5638" t="inlineStr">
        <is>
          <t>1915-04-26</t>
        </is>
      </c>
    </row>
    <row r="5639">
      <c r="A5639" s="1" t="n">
        <v>5638</v>
      </c>
      <c r="B5639">
        <f>TEXT(5638, "[$-0E0000]yyyy-mm-dd")</f>
        <v/>
      </c>
      <c r="C5639" t="inlineStr">
        <is>
          <t>1915-04-27</t>
        </is>
      </c>
    </row>
    <row r="5640">
      <c r="A5640" s="1" t="n">
        <v>5639</v>
      </c>
      <c r="B5640">
        <f>TEXT(5639, "[$-0E0000]yyyy-mm-dd")</f>
        <v/>
      </c>
      <c r="C5640" t="inlineStr">
        <is>
          <t>1915-04-28</t>
        </is>
      </c>
    </row>
    <row r="5641">
      <c r="A5641" s="1" t="n">
        <v>5640</v>
      </c>
      <c r="B5641">
        <f>TEXT(5640, "[$-0E0000]yyyy-mm-dd")</f>
        <v/>
      </c>
      <c r="C5641" t="inlineStr">
        <is>
          <t>1915-04-29</t>
        </is>
      </c>
    </row>
    <row r="5642">
      <c r="A5642" s="1" t="n">
        <v>5641</v>
      </c>
      <c r="B5642">
        <f>TEXT(5641, "[$-0E0000]yyyy-mm-dd")</f>
        <v/>
      </c>
      <c r="C5642" t="inlineStr">
        <is>
          <t>1915-04-30</t>
        </is>
      </c>
    </row>
    <row r="5643">
      <c r="A5643" s="1" t="n">
        <v>5642</v>
      </c>
      <c r="B5643">
        <f>TEXT(5642, "[$-0E0000]yyyy-mm-dd")</f>
        <v/>
      </c>
      <c r="C5643" t="inlineStr">
        <is>
          <t>1915-05-01</t>
        </is>
      </c>
    </row>
    <row r="5644">
      <c r="A5644" s="1" t="n">
        <v>5643</v>
      </c>
      <c r="B5644">
        <f>TEXT(5643, "[$-0E0000]yyyy-mm-dd")</f>
        <v/>
      </c>
      <c r="C5644" t="inlineStr">
        <is>
          <t>1915-05-02</t>
        </is>
      </c>
    </row>
    <row r="5645">
      <c r="A5645" s="1" t="n">
        <v>5644</v>
      </c>
      <c r="B5645">
        <f>TEXT(5644, "[$-0E0000]yyyy-mm-dd")</f>
        <v/>
      </c>
      <c r="C5645" t="inlineStr">
        <is>
          <t>1915-05-03</t>
        </is>
      </c>
    </row>
    <row r="5646">
      <c r="A5646" s="1" t="n">
        <v>5645</v>
      </c>
      <c r="B5646">
        <f>TEXT(5645, "[$-0E0000]yyyy-mm-dd")</f>
        <v/>
      </c>
      <c r="C5646" t="inlineStr">
        <is>
          <t>1915-05-04</t>
        </is>
      </c>
    </row>
    <row r="5647">
      <c r="A5647" s="1" t="n">
        <v>5646</v>
      </c>
      <c r="B5647">
        <f>TEXT(5646, "[$-0E0000]yyyy-mm-dd")</f>
        <v/>
      </c>
      <c r="C5647" t="inlineStr">
        <is>
          <t>1915-05-05</t>
        </is>
      </c>
    </row>
    <row r="5648">
      <c r="A5648" s="1" t="n">
        <v>5647</v>
      </c>
      <c r="B5648">
        <f>TEXT(5647, "[$-0E0000]yyyy-mm-dd")</f>
        <v/>
      </c>
      <c r="C5648" t="inlineStr">
        <is>
          <t>1915-05-06</t>
        </is>
      </c>
    </row>
    <row r="5649">
      <c r="A5649" s="1" t="n">
        <v>5648</v>
      </c>
      <c r="B5649">
        <f>TEXT(5648, "[$-0E0000]yyyy-mm-dd")</f>
        <v/>
      </c>
      <c r="C5649" t="inlineStr">
        <is>
          <t>1915-05-07</t>
        </is>
      </c>
    </row>
    <row r="5650">
      <c r="A5650" s="1" t="n">
        <v>5649</v>
      </c>
      <c r="B5650">
        <f>TEXT(5649, "[$-0E0000]yyyy-mm-dd")</f>
        <v/>
      </c>
      <c r="C5650" t="inlineStr">
        <is>
          <t>1915-05-08</t>
        </is>
      </c>
    </row>
    <row r="5651">
      <c r="A5651" s="1" t="n">
        <v>5650</v>
      </c>
      <c r="B5651">
        <f>TEXT(5650, "[$-0E0000]yyyy-mm-dd")</f>
        <v/>
      </c>
      <c r="C5651" t="inlineStr">
        <is>
          <t>1915-05-09</t>
        </is>
      </c>
    </row>
    <row r="5652">
      <c r="A5652" s="1" t="n">
        <v>5651</v>
      </c>
      <c r="B5652">
        <f>TEXT(5651, "[$-0E0000]yyyy-mm-dd")</f>
        <v/>
      </c>
      <c r="C5652" t="inlineStr">
        <is>
          <t>1915-05-10</t>
        </is>
      </c>
    </row>
    <row r="5653">
      <c r="A5653" s="1" t="n">
        <v>5652</v>
      </c>
      <c r="B5653">
        <f>TEXT(5652, "[$-0E0000]yyyy-mm-dd")</f>
        <v/>
      </c>
      <c r="C5653" t="inlineStr">
        <is>
          <t>1915-05-11</t>
        </is>
      </c>
    </row>
    <row r="5654">
      <c r="A5654" s="1" t="n">
        <v>5653</v>
      </c>
      <c r="B5654">
        <f>TEXT(5653, "[$-0E0000]yyyy-mm-dd")</f>
        <v/>
      </c>
      <c r="C5654" t="inlineStr">
        <is>
          <t>1915-05-12</t>
        </is>
      </c>
    </row>
    <row r="5655">
      <c r="A5655" s="1" t="n">
        <v>5654</v>
      </c>
      <c r="B5655">
        <f>TEXT(5654, "[$-0E0000]yyyy-mm-dd")</f>
        <v/>
      </c>
      <c r="C5655" t="inlineStr">
        <is>
          <t>1915-05-13</t>
        </is>
      </c>
    </row>
    <row r="5656">
      <c r="A5656" s="1" t="n">
        <v>5655</v>
      </c>
      <c r="B5656">
        <f>TEXT(5655, "[$-0E0000]yyyy-mm-dd")</f>
        <v/>
      </c>
      <c r="C5656" t="inlineStr">
        <is>
          <t>1915-05-14</t>
        </is>
      </c>
    </row>
    <row r="5657">
      <c r="A5657" s="1" t="n">
        <v>5656</v>
      </c>
      <c r="B5657">
        <f>TEXT(5656, "[$-0E0000]yyyy-mm-dd")</f>
        <v/>
      </c>
      <c r="C5657" t="inlineStr">
        <is>
          <t>1915-05-15</t>
        </is>
      </c>
    </row>
    <row r="5658">
      <c r="A5658" s="1" t="n">
        <v>5657</v>
      </c>
      <c r="B5658">
        <f>TEXT(5657, "[$-0E0000]yyyy-mm-dd")</f>
        <v/>
      </c>
      <c r="C5658" t="inlineStr">
        <is>
          <t>1915-05-16</t>
        </is>
      </c>
    </row>
    <row r="5659">
      <c r="A5659" s="1" t="n">
        <v>5658</v>
      </c>
      <c r="B5659">
        <f>TEXT(5658, "[$-0E0000]yyyy-mm-dd")</f>
        <v/>
      </c>
      <c r="C5659" t="inlineStr">
        <is>
          <t>1915-05-17</t>
        </is>
      </c>
    </row>
    <row r="5660">
      <c r="A5660" s="1" t="n">
        <v>5659</v>
      </c>
      <c r="B5660">
        <f>TEXT(5659, "[$-0E0000]yyyy-mm-dd")</f>
        <v/>
      </c>
      <c r="C5660" t="inlineStr">
        <is>
          <t>1915-05-18</t>
        </is>
      </c>
    </row>
    <row r="5661">
      <c r="A5661" s="1" t="n">
        <v>5660</v>
      </c>
      <c r="B5661">
        <f>TEXT(5660, "[$-0E0000]yyyy-mm-dd")</f>
        <v/>
      </c>
      <c r="C5661" t="inlineStr">
        <is>
          <t>1915-05-19</t>
        </is>
      </c>
    </row>
    <row r="5662">
      <c r="A5662" s="1" t="n">
        <v>5661</v>
      </c>
      <c r="B5662">
        <f>TEXT(5661, "[$-0E0000]yyyy-mm-dd")</f>
        <v/>
      </c>
      <c r="C5662" t="inlineStr">
        <is>
          <t>1915-05-20</t>
        </is>
      </c>
    </row>
    <row r="5663">
      <c r="A5663" s="1" t="n">
        <v>5662</v>
      </c>
      <c r="B5663">
        <f>TEXT(5662, "[$-0E0000]yyyy-mm-dd")</f>
        <v/>
      </c>
      <c r="C5663" t="inlineStr">
        <is>
          <t>1915-05-21</t>
        </is>
      </c>
    </row>
    <row r="5664">
      <c r="A5664" s="1" t="n">
        <v>5663</v>
      </c>
      <c r="B5664">
        <f>TEXT(5663, "[$-0E0000]yyyy-mm-dd")</f>
        <v/>
      </c>
      <c r="C5664" t="inlineStr">
        <is>
          <t>1915-05-22</t>
        </is>
      </c>
    </row>
    <row r="5665">
      <c r="A5665" s="1" t="n">
        <v>5664</v>
      </c>
      <c r="B5665">
        <f>TEXT(5664, "[$-0E0000]yyyy-mm-dd")</f>
        <v/>
      </c>
      <c r="C5665" t="inlineStr">
        <is>
          <t>1915-05-23</t>
        </is>
      </c>
    </row>
    <row r="5666">
      <c r="A5666" s="1" t="n">
        <v>5665</v>
      </c>
      <c r="B5666">
        <f>TEXT(5665, "[$-0E0000]yyyy-mm-dd")</f>
        <v/>
      </c>
      <c r="C5666" t="inlineStr">
        <is>
          <t>1915-05-24</t>
        </is>
      </c>
    </row>
    <row r="5667">
      <c r="A5667" s="1" t="n">
        <v>5666</v>
      </c>
      <c r="B5667">
        <f>TEXT(5666, "[$-0E0000]yyyy-mm-dd")</f>
        <v/>
      </c>
      <c r="C5667" t="inlineStr">
        <is>
          <t>1915-05-25</t>
        </is>
      </c>
    </row>
    <row r="5668">
      <c r="A5668" s="1" t="n">
        <v>5667</v>
      </c>
      <c r="B5668">
        <f>TEXT(5667, "[$-0E0000]yyyy-mm-dd")</f>
        <v/>
      </c>
      <c r="C5668" t="inlineStr">
        <is>
          <t>1915-05-26</t>
        </is>
      </c>
    </row>
    <row r="5669">
      <c r="A5669" s="1" t="n">
        <v>5668</v>
      </c>
      <c r="B5669">
        <f>TEXT(5668, "[$-0E0000]yyyy-mm-dd")</f>
        <v/>
      </c>
      <c r="C5669" t="inlineStr">
        <is>
          <t>1915-05-27</t>
        </is>
      </c>
    </row>
    <row r="5670">
      <c r="A5670" s="1" t="n">
        <v>5669</v>
      </c>
      <c r="B5670">
        <f>TEXT(5669, "[$-0E0000]yyyy-mm-dd")</f>
        <v/>
      </c>
      <c r="C5670" t="inlineStr">
        <is>
          <t>1915-05-28</t>
        </is>
      </c>
    </row>
    <row r="5671">
      <c r="A5671" s="1" t="n">
        <v>5670</v>
      </c>
      <c r="B5671">
        <f>TEXT(5670, "[$-0E0000]yyyy-mm-dd")</f>
        <v/>
      </c>
      <c r="C5671" t="inlineStr">
        <is>
          <t>1915-05-29</t>
        </is>
      </c>
    </row>
    <row r="5672">
      <c r="A5672" s="1" t="n">
        <v>5671</v>
      </c>
      <c r="B5672">
        <f>TEXT(5671, "[$-0E0000]yyyy-mm-dd")</f>
        <v/>
      </c>
      <c r="C5672" t="inlineStr">
        <is>
          <t>1915-06-01</t>
        </is>
      </c>
    </row>
    <row r="5673">
      <c r="A5673" s="1" t="n">
        <v>5672</v>
      </c>
      <c r="B5673">
        <f>TEXT(5672, "[$-0E0000]yyyy-mm-dd")</f>
        <v/>
      </c>
      <c r="C5673" t="inlineStr">
        <is>
          <t>1915-06-02</t>
        </is>
      </c>
    </row>
    <row r="5674">
      <c r="A5674" s="1" t="n">
        <v>5673</v>
      </c>
      <c r="B5674">
        <f>TEXT(5673, "[$-0E0000]yyyy-mm-dd")</f>
        <v/>
      </c>
      <c r="C5674" t="inlineStr">
        <is>
          <t>1915-06-03</t>
        </is>
      </c>
    </row>
    <row r="5675">
      <c r="A5675" s="1" t="n">
        <v>5674</v>
      </c>
      <c r="B5675">
        <f>TEXT(5674, "[$-0E0000]yyyy-mm-dd")</f>
        <v/>
      </c>
      <c r="C5675" t="inlineStr">
        <is>
          <t>1915-06-04</t>
        </is>
      </c>
    </row>
    <row r="5676">
      <c r="A5676" s="1" t="n">
        <v>5675</v>
      </c>
      <c r="B5676">
        <f>TEXT(5675, "[$-0E0000]yyyy-mm-dd")</f>
        <v/>
      </c>
      <c r="C5676" t="inlineStr">
        <is>
          <t>1915-06-05</t>
        </is>
      </c>
    </row>
    <row r="5677">
      <c r="A5677" s="1" t="n">
        <v>5676</v>
      </c>
      <c r="B5677">
        <f>TEXT(5676, "[$-0E0000]yyyy-mm-dd")</f>
        <v/>
      </c>
      <c r="C5677" t="inlineStr">
        <is>
          <t>1915-06-06</t>
        </is>
      </c>
    </row>
    <row r="5678">
      <c r="A5678" s="1" t="n">
        <v>5677</v>
      </c>
      <c r="B5678">
        <f>TEXT(5677, "[$-0E0000]yyyy-mm-dd")</f>
        <v/>
      </c>
      <c r="C5678" t="inlineStr">
        <is>
          <t>1915-06-07</t>
        </is>
      </c>
    </row>
    <row r="5679">
      <c r="A5679" s="1" t="n">
        <v>5678</v>
      </c>
      <c r="B5679">
        <f>TEXT(5678, "[$-0E0000]yyyy-mm-dd")</f>
        <v/>
      </c>
      <c r="C5679" t="inlineStr">
        <is>
          <t>1915-06-08</t>
        </is>
      </c>
    </row>
    <row r="5680">
      <c r="A5680" s="1" t="n">
        <v>5679</v>
      </c>
      <c r="B5680">
        <f>TEXT(5679, "[$-0E0000]yyyy-mm-dd")</f>
        <v/>
      </c>
      <c r="C5680" t="inlineStr">
        <is>
          <t>1915-06-09</t>
        </is>
      </c>
    </row>
    <row r="5681">
      <c r="A5681" s="1" t="n">
        <v>5680</v>
      </c>
      <c r="B5681">
        <f>TEXT(5680, "[$-0E0000]yyyy-mm-dd")</f>
        <v/>
      </c>
      <c r="C5681" t="inlineStr">
        <is>
          <t>1915-06-10</t>
        </is>
      </c>
    </row>
    <row r="5682">
      <c r="A5682" s="1" t="n">
        <v>5681</v>
      </c>
      <c r="B5682">
        <f>TEXT(5681, "[$-0E0000]yyyy-mm-dd")</f>
        <v/>
      </c>
      <c r="C5682" t="inlineStr">
        <is>
          <t>1915-06-11</t>
        </is>
      </c>
    </row>
    <row r="5683">
      <c r="A5683" s="1" t="n">
        <v>5682</v>
      </c>
      <c r="B5683">
        <f>TEXT(5682, "[$-0E0000]yyyy-mm-dd")</f>
        <v/>
      </c>
      <c r="C5683" t="inlineStr">
        <is>
          <t>1915-06-12</t>
        </is>
      </c>
    </row>
    <row r="5684">
      <c r="A5684" s="1" t="n">
        <v>5683</v>
      </c>
      <c r="B5684">
        <f>TEXT(5683, "[$-0E0000]yyyy-mm-dd")</f>
        <v/>
      </c>
      <c r="C5684" t="inlineStr">
        <is>
          <t>1915-06-13</t>
        </is>
      </c>
    </row>
    <row r="5685">
      <c r="A5685" s="1" t="n">
        <v>5684</v>
      </c>
      <c r="B5685">
        <f>TEXT(5684, "[$-0E0000]yyyy-mm-dd")</f>
        <v/>
      </c>
      <c r="C5685" t="inlineStr">
        <is>
          <t>1915-06-14</t>
        </is>
      </c>
    </row>
    <row r="5686">
      <c r="A5686" s="1" t="n">
        <v>5685</v>
      </c>
      <c r="B5686">
        <f>TEXT(5685, "[$-0E0000]yyyy-mm-dd")</f>
        <v/>
      </c>
      <c r="C5686" t="inlineStr">
        <is>
          <t>1915-06-15</t>
        </is>
      </c>
    </row>
    <row r="5687">
      <c r="A5687" s="1" t="n">
        <v>5686</v>
      </c>
      <c r="B5687">
        <f>TEXT(5686, "[$-0E0000]yyyy-mm-dd")</f>
        <v/>
      </c>
      <c r="C5687" t="inlineStr">
        <is>
          <t>1915-06-16</t>
        </is>
      </c>
    </row>
    <row r="5688">
      <c r="A5688" s="1" t="n">
        <v>5687</v>
      </c>
      <c r="B5688">
        <f>TEXT(5687, "[$-0E0000]yyyy-mm-dd")</f>
        <v/>
      </c>
      <c r="C5688" t="inlineStr">
        <is>
          <t>1915-06-17</t>
        </is>
      </c>
    </row>
    <row r="5689">
      <c r="A5689" s="1" t="n">
        <v>5688</v>
      </c>
      <c r="B5689">
        <f>TEXT(5688, "[$-0E0000]yyyy-mm-dd")</f>
        <v/>
      </c>
      <c r="C5689" t="inlineStr">
        <is>
          <t>1915-06-18</t>
        </is>
      </c>
    </row>
    <row r="5690">
      <c r="A5690" s="1" t="n">
        <v>5689</v>
      </c>
      <c r="B5690">
        <f>TEXT(5689, "[$-0E0000]yyyy-mm-dd")</f>
        <v/>
      </c>
      <c r="C5690" t="inlineStr">
        <is>
          <t>1915-06-19</t>
        </is>
      </c>
    </row>
    <row r="5691">
      <c r="A5691" s="1" t="n">
        <v>5690</v>
      </c>
      <c r="B5691">
        <f>TEXT(5690, "[$-0E0000]yyyy-mm-dd")</f>
        <v/>
      </c>
      <c r="C5691" t="inlineStr">
        <is>
          <t>1915-06-20</t>
        </is>
      </c>
    </row>
    <row r="5692">
      <c r="A5692" s="1" t="n">
        <v>5691</v>
      </c>
      <c r="B5692">
        <f>TEXT(5691, "[$-0E0000]yyyy-mm-dd")</f>
        <v/>
      </c>
      <c r="C5692" t="inlineStr">
        <is>
          <t>1915-06-21</t>
        </is>
      </c>
    </row>
    <row r="5693">
      <c r="A5693" s="1" t="n">
        <v>5692</v>
      </c>
      <c r="B5693">
        <f>TEXT(5692, "[$-0E0000]yyyy-mm-dd")</f>
        <v/>
      </c>
      <c r="C5693" t="inlineStr">
        <is>
          <t>1915-06-22</t>
        </is>
      </c>
    </row>
    <row r="5694">
      <c r="A5694" s="1" t="n">
        <v>5693</v>
      </c>
      <c r="B5694">
        <f>TEXT(5693, "[$-0E0000]yyyy-mm-dd")</f>
        <v/>
      </c>
      <c r="C5694" t="inlineStr">
        <is>
          <t>1915-06-23</t>
        </is>
      </c>
    </row>
    <row r="5695">
      <c r="A5695" s="1" t="n">
        <v>5694</v>
      </c>
      <c r="B5695">
        <f>TEXT(5694, "[$-0E0000]yyyy-mm-dd")</f>
        <v/>
      </c>
      <c r="C5695" t="inlineStr">
        <is>
          <t>1915-06-24</t>
        </is>
      </c>
    </row>
    <row r="5696">
      <c r="A5696" s="1" t="n">
        <v>5695</v>
      </c>
      <c r="B5696">
        <f>TEXT(5695, "[$-0E0000]yyyy-mm-dd")</f>
        <v/>
      </c>
      <c r="C5696" t="inlineStr">
        <is>
          <t>1915-06-25</t>
        </is>
      </c>
    </row>
    <row r="5697">
      <c r="A5697" s="1" t="n">
        <v>5696</v>
      </c>
      <c r="B5697">
        <f>TEXT(5696, "[$-0E0000]yyyy-mm-dd")</f>
        <v/>
      </c>
      <c r="C5697" t="inlineStr">
        <is>
          <t>1915-06-26</t>
        </is>
      </c>
    </row>
    <row r="5698">
      <c r="A5698" s="1" t="n">
        <v>5697</v>
      </c>
      <c r="B5698">
        <f>TEXT(5697, "[$-0E0000]yyyy-mm-dd")</f>
        <v/>
      </c>
      <c r="C5698" t="inlineStr">
        <is>
          <t>1915-06-27</t>
        </is>
      </c>
    </row>
    <row r="5699">
      <c r="A5699" s="1" t="n">
        <v>5698</v>
      </c>
      <c r="B5699">
        <f>TEXT(5698, "[$-0E0000]yyyy-mm-dd")</f>
        <v/>
      </c>
      <c r="C5699" t="inlineStr">
        <is>
          <t>1915-06-28</t>
        </is>
      </c>
    </row>
    <row r="5700">
      <c r="A5700" s="1" t="n">
        <v>5699</v>
      </c>
      <c r="B5700">
        <f>TEXT(5699, "[$-0E0000]yyyy-mm-dd")</f>
        <v/>
      </c>
      <c r="C5700" t="inlineStr">
        <is>
          <t>1915-06-29</t>
        </is>
      </c>
    </row>
    <row r="5701">
      <c r="A5701" s="1" t="n">
        <v>5700</v>
      </c>
      <c r="B5701">
        <f>TEXT(5700, "[$-0E0000]yyyy-mm-dd")</f>
        <v/>
      </c>
      <c r="C5701" t="inlineStr">
        <is>
          <t>1915-06-30</t>
        </is>
      </c>
    </row>
    <row r="5702">
      <c r="A5702" s="1" t="n">
        <v>5701</v>
      </c>
      <c r="B5702">
        <f>TEXT(5701, "[$-0E0000]yyyy-mm-dd")</f>
        <v/>
      </c>
      <c r="C5702" t="inlineStr">
        <is>
          <t>1915-07-01</t>
        </is>
      </c>
    </row>
    <row r="5703">
      <c r="A5703" s="1" t="n">
        <v>5702</v>
      </c>
      <c r="B5703">
        <f>TEXT(5702, "[$-0E0000]yyyy-mm-dd")</f>
        <v/>
      </c>
      <c r="C5703" t="inlineStr">
        <is>
          <t>1915-07-02</t>
        </is>
      </c>
    </row>
    <row r="5704">
      <c r="A5704" s="1" t="n">
        <v>5703</v>
      </c>
      <c r="B5704">
        <f>TEXT(5703, "[$-0E0000]yyyy-mm-dd")</f>
        <v/>
      </c>
      <c r="C5704" t="inlineStr">
        <is>
          <t>1915-07-03</t>
        </is>
      </c>
    </row>
    <row r="5705">
      <c r="A5705" s="1" t="n">
        <v>5704</v>
      </c>
      <c r="B5705">
        <f>TEXT(5704, "[$-0E0000]yyyy-mm-dd")</f>
        <v/>
      </c>
      <c r="C5705" t="inlineStr">
        <is>
          <t>1915-07-04</t>
        </is>
      </c>
    </row>
    <row r="5706">
      <c r="A5706" s="1" t="n">
        <v>5705</v>
      </c>
      <c r="B5706">
        <f>TEXT(5705, "[$-0E0000]yyyy-mm-dd")</f>
        <v/>
      </c>
      <c r="C5706" t="inlineStr">
        <is>
          <t>1915-07-05</t>
        </is>
      </c>
    </row>
    <row r="5707">
      <c r="A5707" s="1" t="n">
        <v>5706</v>
      </c>
      <c r="B5707">
        <f>TEXT(5706, "[$-0E0000]yyyy-mm-dd")</f>
        <v/>
      </c>
      <c r="C5707" t="inlineStr">
        <is>
          <t>1915-07-06</t>
        </is>
      </c>
    </row>
    <row r="5708">
      <c r="A5708" s="1" t="n">
        <v>5707</v>
      </c>
      <c r="B5708">
        <f>TEXT(5707, "[$-0E0000]yyyy-mm-dd")</f>
        <v/>
      </c>
      <c r="C5708" t="inlineStr">
        <is>
          <t>1915-07-07</t>
        </is>
      </c>
    </row>
    <row r="5709">
      <c r="A5709" s="1" t="n">
        <v>5708</v>
      </c>
      <c r="B5709">
        <f>TEXT(5708, "[$-0E0000]yyyy-mm-dd")</f>
        <v/>
      </c>
      <c r="C5709" t="inlineStr">
        <is>
          <t>1915-07-08</t>
        </is>
      </c>
    </row>
    <row r="5710">
      <c r="A5710" s="1" t="n">
        <v>5709</v>
      </c>
      <c r="B5710">
        <f>TEXT(5709, "[$-0E0000]yyyy-mm-dd")</f>
        <v/>
      </c>
      <c r="C5710" t="inlineStr">
        <is>
          <t>1915-07-09</t>
        </is>
      </c>
    </row>
    <row r="5711">
      <c r="A5711" s="1" t="n">
        <v>5710</v>
      </c>
      <c r="B5711">
        <f>TEXT(5710, "[$-0E0000]yyyy-mm-dd")</f>
        <v/>
      </c>
      <c r="C5711" t="inlineStr">
        <is>
          <t>1915-07-10</t>
        </is>
      </c>
    </row>
    <row r="5712">
      <c r="A5712" s="1" t="n">
        <v>5711</v>
      </c>
      <c r="B5712">
        <f>TEXT(5711, "[$-0E0000]yyyy-mm-dd")</f>
        <v/>
      </c>
      <c r="C5712" t="inlineStr">
        <is>
          <t>1915-07-11</t>
        </is>
      </c>
    </row>
    <row r="5713">
      <c r="A5713" s="1" t="n">
        <v>5712</v>
      </c>
      <c r="B5713">
        <f>TEXT(5712, "[$-0E0000]yyyy-mm-dd")</f>
        <v/>
      </c>
      <c r="C5713" t="inlineStr">
        <is>
          <t>1915-07-12</t>
        </is>
      </c>
    </row>
    <row r="5714">
      <c r="A5714" s="1" t="n">
        <v>5713</v>
      </c>
      <c r="B5714">
        <f>TEXT(5713, "[$-0E0000]yyyy-mm-dd")</f>
        <v/>
      </c>
      <c r="C5714" t="inlineStr">
        <is>
          <t>1915-07-13</t>
        </is>
      </c>
    </row>
    <row r="5715">
      <c r="A5715" s="1" t="n">
        <v>5714</v>
      </c>
      <c r="B5715">
        <f>TEXT(5714, "[$-0E0000]yyyy-mm-dd")</f>
        <v/>
      </c>
      <c r="C5715" t="inlineStr">
        <is>
          <t>1915-07-14</t>
        </is>
      </c>
    </row>
    <row r="5716">
      <c r="A5716" s="1" t="n">
        <v>5715</v>
      </c>
      <c r="B5716">
        <f>TEXT(5715, "[$-0E0000]yyyy-mm-dd")</f>
        <v/>
      </c>
      <c r="C5716" t="inlineStr">
        <is>
          <t>1915-07-15</t>
        </is>
      </c>
    </row>
    <row r="5717">
      <c r="A5717" s="1" t="n">
        <v>5716</v>
      </c>
      <c r="B5717">
        <f>TEXT(5716, "[$-0E0000]yyyy-mm-dd")</f>
        <v/>
      </c>
      <c r="C5717" t="inlineStr">
        <is>
          <t>1915-07-16</t>
        </is>
      </c>
    </row>
    <row r="5718">
      <c r="A5718" s="1" t="n">
        <v>5717</v>
      </c>
      <c r="B5718">
        <f>TEXT(5717, "[$-0E0000]yyyy-mm-dd")</f>
        <v/>
      </c>
      <c r="C5718" t="inlineStr">
        <is>
          <t>1915-07-17</t>
        </is>
      </c>
    </row>
    <row r="5719">
      <c r="A5719" s="1" t="n">
        <v>5718</v>
      </c>
      <c r="B5719">
        <f>TEXT(5718, "[$-0E0000]yyyy-mm-dd")</f>
        <v/>
      </c>
      <c r="C5719" t="inlineStr">
        <is>
          <t>1915-07-18</t>
        </is>
      </c>
    </row>
    <row r="5720">
      <c r="A5720" s="1" t="n">
        <v>5719</v>
      </c>
      <c r="B5720">
        <f>TEXT(5719, "[$-0E0000]yyyy-mm-dd")</f>
        <v/>
      </c>
      <c r="C5720" t="inlineStr">
        <is>
          <t>1915-07-19</t>
        </is>
      </c>
    </row>
    <row r="5721">
      <c r="A5721" s="1" t="n">
        <v>5720</v>
      </c>
      <c r="B5721">
        <f>TEXT(5720, "[$-0E0000]yyyy-mm-dd")</f>
        <v/>
      </c>
      <c r="C5721" t="inlineStr">
        <is>
          <t>1915-07-20</t>
        </is>
      </c>
    </row>
    <row r="5722">
      <c r="A5722" s="1" t="n">
        <v>5721</v>
      </c>
      <c r="B5722">
        <f>TEXT(5721, "[$-0E0000]yyyy-mm-dd")</f>
        <v/>
      </c>
      <c r="C5722" t="inlineStr">
        <is>
          <t>1915-07-21</t>
        </is>
      </c>
    </row>
    <row r="5723">
      <c r="A5723" s="1" t="n">
        <v>5722</v>
      </c>
      <c r="B5723">
        <f>TEXT(5722, "[$-0E0000]yyyy-mm-dd")</f>
        <v/>
      </c>
      <c r="C5723" t="inlineStr">
        <is>
          <t>1915-07-22</t>
        </is>
      </c>
    </row>
    <row r="5724">
      <c r="A5724" s="1" t="n">
        <v>5723</v>
      </c>
      <c r="B5724">
        <f>TEXT(5723, "[$-0E0000]yyyy-mm-dd")</f>
        <v/>
      </c>
      <c r="C5724" t="inlineStr">
        <is>
          <t>1915-07-23</t>
        </is>
      </c>
    </row>
    <row r="5725">
      <c r="A5725" s="1" t="n">
        <v>5724</v>
      </c>
      <c r="B5725">
        <f>TEXT(5724, "[$-0E0000]yyyy-mm-dd")</f>
        <v/>
      </c>
      <c r="C5725" t="inlineStr">
        <is>
          <t>1915-07-24</t>
        </is>
      </c>
    </row>
    <row r="5726">
      <c r="A5726" s="1" t="n">
        <v>5725</v>
      </c>
      <c r="B5726">
        <f>TEXT(5725, "[$-0E0000]yyyy-mm-dd")</f>
        <v/>
      </c>
      <c r="C5726" t="inlineStr">
        <is>
          <t>1915-07-25</t>
        </is>
      </c>
    </row>
    <row r="5727">
      <c r="A5727" s="1" t="n">
        <v>5726</v>
      </c>
      <c r="B5727">
        <f>TEXT(5726, "[$-0E0000]yyyy-mm-dd")</f>
        <v/>
      </c>
      <c r="C5727" t="inlineStr">
        <is>
          <t>1915-07-26</t>
        </is>
      </c>
    </row>
    <row r="5728">
      <c r="A5728" s="1" t="n">
        <v>5727</v>
      </c>
      <c r="B5728">
        <f>TEXT(5727, "[$-0E0000]yyyy-mm-dd")</f>
        <v/>
      </c>
      <c r="C5728" t="inlineStr">
        <is>
          <t>1915-07-27</t>
        </is>
      </c>
    </row>
    <row r="5729">
      <c r="A5729" s="1" t="n">
        <v>5728</v>
      </c>
      <c r="B5729">
        <f>TEXT(5728, "[$-0E0000]yyyy-mm-dd")</f>
        <v/>
      </c>
      <c r="C5729" t="inlineStr">
        <is>
          <t>1915-07-28</t>
        </is>
      </c>
    </row>
    <row r="5730">
      <c r="A5730" s="1" t="n">
        <v>5729</v>
      </c>
      <c r="B5730">
        <f>TEXT(5729, "[$-0E0000]yyyy-mm-dd")</f>
        <v/>
      </c>
      <c r="C5730" t="inlineStr">
        <is>
          <t>1915-07-29</t>
        </is>
      </c>
    </row>
    <row r="5731">
      <c r="A5731" s="1" t="n">
        <v>5730</v>
      </c>
      <c r="B5731">
        <f>TEXT(5730, "[$-0E0000]yyyy-mm-dd")</f>
        <v/>
      </c>
      <c r="C5731" t="inlineStr">
        <is>
          <t>1915-08-01</t>
        </is>
      </c>
    </row>
    <row r="5732">
      <c r="A5732" s="1" t="n">
        <v>5731</v>
      </c>
      <c r="B5732">
        <f>TEXT(5731, "[$-0E0000]yyyy-mm-dd")</f>
        <v/>
      </c>
      <c r="C5732" t="inlineStr">
        <is>
          <t>1915-08-02</t>
        </is>
      </c>
    </row>
    <row r="5733">
      <c r="A5733" s="1" t="n">
        <v>5732</v>
      </c>
      <c r="B5733">
        <f>TEXT(5732, "[$-0E0000]yyyy-mm-dd")</f>
        <v/>
      </c>
      <c r="C5733" t="inlineStr">
        <is>
          <t>1915-08-03</t>
        </is>
      </c>
    </row>
    <row r="5734">
      <c r="A5734" s="1" t="n">
        <v>5733</v>
      </c>
      <c r="B5734">
        <f>TEXT(5733, "[$-0E0000]yyyy-mm-dd")</f>
        <v/>
      </c>
      <c r="C5734" t="inlineStr">
        <is>
          <t>1915-08-04</t>
        </is>
      </c>
    </row>
    <row r="5735">
      <c r="A5735" s="1" t="n">
        <v>5734</v>
      </c>
      <c r="B5735">
        <f>TEXT(5734, "[$-0E0000]yyyy-mm-dd")</f>
        <v/>
      </c>
      <c r="C5735" t="inlineStr">
        <is>
          <t>1915-08-05</t>
        </is>
      </c>
    </row>
    <row r="5736">
      <c r="A5736" s="1" t="n">
        <v>5735</v>
      </c>
      <c r="B5736">
        <f>TEXT(5735, "[$-0E0000]yyyy-mm-dd")</f>
        <v/>
      </c>
      <c r="C5736" t="inlineStr">
        <is>
          <t>1915-08-06</t>
        </is>
      </c>
    </row>
    <row r="5737">
      <c r="A5737" s="1" t="n">
        <v>5736</v>
      </c>
      <c r="B5737">
        <f>TEXT(5736, "[$-0E0000]yyyy-mm-dd")</f>
        <v/>
      </c>
      <c r="C5737" t="inlineStr">
        <is>
          <t>1915-08-07</t>
        </is>
      </c>
    </row>
    <row r="5738">
      <c r="A5738" s="1" t="n">
        <v>5737</v>
      </c>
      <c r="B5738">
        <f>TEXT(5737, "[$-0E0000]yyyy-mm-dd")</f>
        <v/>
      </c>
      <c r="C5738" t="inlineStr">
        <is>
          <t>1915-08-08</t>
        </is>
      </c>
    </row>
    <row r="5739">
      <c r="A5739" s="1" t="n">
        <v>5738</v>
      </c>
      <c r="B5739">
        <f>TEXT(5738, "[$-0E0000]yyyy-mm-dd")</f>
        <v/>
      </c>
      <c r="C5739" t="inlineStr">
        <is>
          <t>1915-08-09</t>
        </is>
      </c>
    </row>
    <row r="5740">
      <c r="A5740" s="1" t="n">
        <v>5739</v>
      </c>
      <c r="B5740">
        <f>TEXT(5739, "[$-0E0000]yyyy-mm-dd")</f>
        <v/>
      </c>
      <c r="C5740" t="inlineStr">
        <is>
          <t>1915-08-10</t>
        </is>
      </c>
    </row>
    <row r="5741">
      <c r="A5741" s="1" t="n">
        <v>5740</v>
      </c>
      <c r="B5741">
        <f>TEXT(5740, "[$-0E0000]yyyy-mm-dd")</f>
        <v/>
      </c>
      <c r="C5741" t="inlineStr">
        <is>
          <t>1915-08-11</t>
        </is>
      </c>
    </row>
    <row r="5742">
      <c r="A5742" s="1" t="n">
        <v>5741</v>
      </c>
      <c r="B5742">
        <f>TEXT(5741, "[$-0E0000]yyyy-mm-dd")</f>
        <v/>
      </c>
      <c r="C5742" t="inlineStr">
        <is>
          <t>1915-08-12</t>
        </is>
      </c>
    </row>
    <row r="5743">
      <c r="A5743" s="1" t="n">
        <v>5742</v>
      </c>
      <c r="B5743">
        <f>TEXT(5742, "[$-0E0000]yyyy-mm-dd")</f>
        <v/>
      </c>
      <c r="C5743" t="inlineStr">
        <is>
          <t>1915-08-13</t>
        </is>
      </c>
    </row>
    <row r="5744">
      <c r="A5744" s="1" t="n">
        <v>5743</v>
      </c>
      <c r="B5744">
        <f>TEXT(5743, "[$-0E0000]yyyy-mm-dd")</f>
        <v/>
      </c>
      <c r="C5744" t="inlineStr">
        <is>
          <t>1915-08-14</t>
        </is>
      </c>
    </row>
    <row r="5745">
      <c r="A5745" s="1" t="n">
        <v>5744</v>
      </c>
      <c r="B5745">
        <f>TEXT(5744, "[$-0E0000]yyyy-mm-dd")</f>
        <v/>
      </c>
      <c r="C5745" t="inlineStr">
        <is>
          <t>1915-08-15</t>
        </is>
      </c>
    </row>
    <row r="5746">
      <c r="A5746" s="1" t="n">
        <v>5745</v>
      </c>
      <c r="B5746">
        <f>TEXT(5745, "[$-0E0000]yyyy-mm-dd")</f>
        <v/>
      </c>
      <c r="C5746" t="inlineStr">
        <is>
          <t>1915-08-16</t>
        </is>
      </c>
    </row>
    <row r="5747">
      <c r="A5747" s="1" t="n">
        <v>5746</v>
      </c>
      <c r="B5747">
        <f>TEXT(5746, "[$-0E0000]yyyy-mm-dd")</f>
        <v/>
      </c>
      <c r="C5747" t="inlineStr">
        <is>
          <t>1915-08-17</t>
        </is>
      </c>
    </row>
    <row r="5748">
      <c r="A5748" s="1" t="n">
        <v>5747</v>
      </c>
      <c r="B5748">
        <f>TEXT(5747, "[$-0E0000]yyyy-mm-dd")</f>
        <v/>
      </c>
      <c r="C5748" t="inlineStr">
        <is>
          <t>1915-08-18</t>
        </is>
      </c>
    </row>
    <row r="5749">
      <c r="A5749" s="1" t="n">
        <v>5748</v>
      </c>
      <c r="B5749">
        <f>TEXT(5748, "[$-0E0000]yyyy-mm-dd")</f>
        <v/>
      </c>
      <c r="C5749" t="inlineStr">
        <is>
          <t>1915-08-19</t>
        </is>
      </c>
    </row>
    <row r="5750">
      <c r="A5750" s="1" t="n">
        <v>5749</v>
      </c>
      <c r="B5750">
        <f>TEXT(5749, "[$-0E0000]yyyy-mm-dd")</f>
        <v/>
      </c>
      <c r="C5750" t="inlineStr">
        <is>
          <t>1915-08-20</t>
        </is>
      </c>
    </row>
    <row r="5751">
      <c r="A5751" s="1" t="n">
        <v>5750</v>
      </c>
      <c r="B5751">
        <f>TEXT(5750, "[$-0E0000]yyyy-mm-dd")</f>
        <v/>
      </c>
      <c r="C5751" t="inlineStr">
        <is>
          <t>1915-08-21</t>
        </is>
      </c>
    </row>
    <row r="5752">
      <c r="A5752" s="1" t="n">
        <v>5751</v>
      </c>
      <c r="B5752">
        <f>TEXT(5751, "[$-0E0000]yyyy-mm-dd")</f>
        <v/>
      </c>
      <c r="C5752" t="inlineStr">
        <is>
          <t>1915-08-22</t>
        </is>
      </c>
    </row>
    <row r="5753">
      <c r="A5753" s="1" t="n">
        <v>5752</v>
      </c>
      <c r="B5753">
        <f>TEXT(5752, "[$-0E0000]yyyy-mm-dd")</f>
        <v/>
      </c>
      <c r="C5753" t="inlineStr">
        <is>
          <t>1915-08-23</t>
        </is>
      </c>
    </row>
    <row r="5754">
      <c r="A5754" s="1" t="n">
        <v>5753</v>
      </c>
      <c r="B5754">
        <f>TEXT(5753, "[$-0E0000]yyyy-mm-dd")</f>
        <v/>
      </c>
      <c r="C5754" t="inlineStr">
        <is>
          <t>1915-08-24</t>
        </is>
      </c>
    </row>
    <row r="5755">
      <c r="A5755" s="1" t="n">
        <v>5754</v>
      </c>
      <c r="B5755">
        <f>TEXT(5754, "[$-0E0000]yyyy-mm-dd")</f>
        <v/>
      </c>
      <c r="C5755" t="inlineStr">
        <is>
          <t>1915-08-25</t>
        </is>
      </c>
    </row>
    <row r="5756">
      <c r="A5756" s="1" t="n">
        <v>5755</v>
      </c>
      <c r="B5756">
        <f>TEXT(5755, "[$-0E0000]yyyy-mm-dd")</f>
        <v/>
      </c>
      <c r="C5756" t="inlineStr">
        <is>
          <t>1915-08-26</t>
        </is>
      </c>
    </row>
    <row r="5757">
      <c r="A5757" s="1" t="n">
        <v>5756</v>
      </c>
      <c r="B5757">
        <f>TEXT(5756, "[$-0E0000]yyyy-mm-dd")</f>
        <v/>
      </c>
      <c r="C5757" t="inlineStr">
        <is>
          <t>1915-08-27</t>
        </is>
      </c>
    </row>
    <row r="5758">
      <c r="A5758" s="1" t="n">
        <v>5757</v>
      </c>
      <c r="B5758">
        <f>TEXT(5757, "[$-0E0000]yyyy-mm-dd")</f>
        <v/>
      </c>
      <c r="C5758" t="inlineStr">
        <is>
          <t>1915-08-28</t>
        </is>
      </c>
    </row>
    <row r="5759">
      <c r="A5759" s="1" t="n">
        <v>5758</v>
      </c>
      <c r="B5759">
        <f>TEXT(5758, "[$-0E0000]yyyy-mm-dd")</f>
        <v/>
      </c>
      <c r="C5759" t="inlineStr">
        <is>
          <t>1915-08-29</t>
        </is>
      </c>
    </row>
    <row r="5760">
      <c r="A5760" s="1" t="n">
        <v>5759</v>
      </c>
      <c r="B5760">
        <f>TEXT(5759, "[$-0E0000]yyyy-mm-dd")</f>
        <v/>
      </c>
      <c r="C5760" t="inlineStr">
        <is>
          <t>1915-08-30</t>
        </is>
      </c>
    </row>
    <row r="5761">
      <c r="A5761" s="1" t="n">
        <v>5760</v>
      </c>
      <c r="B5761">
        <f>TEXT(5760, "[$-0E0000]yyyy-mm-dd")</f>
        <v/>
      </c>
      <c r="C5761" t="inlineStr">
        <is>
          <t>1915-09-01</t>
        </is>
      </c>
    </row>
    <row r="5762">
      <c r="A5762" s="1" t="n">
        <v>5761</v>
      </c>
      <c r="B5762">
        <f>TEXT(5761, "[$-0E0000]yyyy-mm-dd")</f>
        <v/>
      </c>
      <c r="C5762" t="inlineStr">
        <is>
          <t>1915-09-02</t>
        </is>
      </c>
    </row>
    <row r="5763">
      <c r="A5763" s="1" t="n">
        <v>5762</v>
      </c>
      <c r="B5763">
        <f>TEXT(5762, "[$-0E0000]yyyy-mm-dd")</f>
        <v/>
      </c>
      <c r="C5763" t="inlineStr">
        <is>
          <t>1915-09-03</t>
        </is>
      </c>
    </row>
    <row r="5764">
      <c r="A5764" s="1" t="n">
        <v>5763</v>
      </c>
      <c r="B5764">
        <f>TEXT(5763, "[$-0E0000]yyyy-mm-dd")</f>
        <v/>
      </c>
      <c r="C5764" t="inlineStr">
        <is>
          <t>1915-09-04</t>
        </is>
      </c>
    </row>
    <row r="5765">
      <c r="A5765" s="1" t="n">
        <v>5764</v>
      </c>
      <c r="B5765">
        <f>TEXT(5764, "[$-0E0000]yyyy-mm-dd")</f>
        <v/>
      </c>
      <c r="C5765" t="inlineStr">
        <is>
          <t>1915-09-05</t>
        </is>
      </c>
    </row>
    <row r="5766">
      <c r="A5766" s="1" t="n">
        <v>5765</v>
      </c>
      <c r="B5766">
        <f>TEXT(5765, "[$-0E0000]yyyy-mm-dd")</f>
        <v/>
      </c>
      <c r="C5766" t="inlineStr">
        <is>
          <t>1915-09-06</t>
        </is>
      </c>
    </row>
    <row r="5767">
      <c r="A5767" s="1" t="n">
        <v>5766</v>
      </c>
      <c r="B5767">
        <f>TEXT(5766, "[$-0E0000]yyyy-mm-dd")</f>
        <v/>
      </c>
      <c r="C5767" t="inlineStr">
        <is>
          <t>1915-09-07</t>
        </is>
      </c>
    </row>
    <row r="5768">
      <c r="A5768" s="1" t="n">
        <v>5767</v>
      </c>
      <c r="B5768">
        <f>TEXT(5767, "[$-0E0000]yyyy-mm-dd")</f>
        <v/>
      </c>
      <c r="C5768" t="inlineStr">
        <is>
          <t>1915-09-08</t>
        </is>
      </c>
    </row>
    <row r="5769">
      <c r="A5769" s="1" t="n">
        <v>5768</v>
      </c>
      <c r="B5769">
        <f>TEXT(5768, "[$-0E0000]yyyy-mm-dd")</f>
        <v/>
      </c>
      <c r="C5769" t="inlineStr">
        <is>
          <t>1915-09-09</t>
        </is>
      </c>
    </row>
    <row r="5770">
      <c r="A5770" s="1" t="n">
        <v>5769</v>
      </c>
      <c r="B5770">
        <f>TEXT(5769, "[$-0E0000]yyyy-mm-dd")</f>
        <v/>
      </c>
      <c r="C5770" t="inlineStr">
        <is>
          <t>1915-09-10</t>
        </is>
      </c>
    </row>
    <row r="5771">
      <c r="A5771" s="1" t="n">
        <v>5770</v>
      </c>
      <c r="B5771">
        <f>TEXT(5770, "[$-0E0000]yyyy-mm-dd")</f>
        <v/>
      </c>
      <c r="C5771" t="inlineStr">
        <is>
          <t>1915-09-11</t>
        </is>
      </c>
    </row>
    <row r="5772">
      <c r="A5772" s="1" t="n">
        <v>5771</v>
      </c>
      <c r="B5772">
        <f>TEXT(5771, "[$-0E0000]yyyy-mm-dd")</f>
        <v/>
      </c>
      <c r="C5772" t="inlineStr">
        <is>
          <t>1915-09-12</t>
        </is>
      </c>
    </row>
    <row r="5773">
      <c r="A5773" s="1" t="n">
        <v>5772</v>
      </c>
      <c r="B5773">
        <f>TEXT(5772, "[$-0E0000]yyyy-mm-dd")</f>
        <v/>
      </c>
      <c r="C5773" t="inlineStr">
        <is>
          <t>1915-09-13</t>
        </is>
      </c>
    </row>
    <row r="5774">
      <c r="A5774" s="1" t="n">
        <v>5773</v>
      </c>
      <c r="B5774">
        <f>TEXT(5773, "[$-0E0000]yyyy-mm-dd")</f>
        <v/>
      </c>
      <c r="C5774" t="inlineStr">
        <is>
          <t>1915-09-14</t>
        </is>
      </c>
    </row>
    <row r="5775">
      <c r="A5775" s="1" t="n">
        <v>5774</v>
      </c>
      <c r="B5775">
        <f>TEXT(5774, "[$-0E0000]yyyy-mm-dd")</f>
        <v/>
      </c>
      <c r="C5775" t="inlineStr">
        <is>
          <t>1915-09-15</t>
        </is>
      </c>
    </row>
    <row r="5776">
      <c r="A5776" s="1" t="n">
        <v>5775</v>
      </c>
      <c r="B5776">
        <f>TEXT(5775, "[$-0E0000]yyyy-mm-dd")</f>
        <v/>
      </c>
      <c r="C5776" t="inlineStr">
        <is>
          <t>1915-09-16</t>
        </is>
      </c>
    </row>
    <row r="5777">
      <c r="A5777" s="1" t="n">
        <v>5776</v>
      </c>
      <c r="B5777">
        <f>TEXT(5776, "[$-0E0000]yyyy-mm-dd")</f>
        <v/>
      </c>
      <c r="C5777" t="inlineStr">
        <is>
          <t>1915-09-17</t>
        </is>
      </c>
    </row>
    <row r="5778">
      <c r="A5778" s="1" t="n">
        <v>5777</v>
      </c>
      <c r="B5778">
        <f>TEXT(5777, "[$-0E0000]yyyy-mm-dd")</f>
        <v/>
      </c>
      <c r="C5778" t="inlineStr">
        <is>
          <t>1915-09-18</t>
        </is>
      </c>
    </row>
    <row r="5779">
      <c r="A5779" s="1" t="n">
        <v>5778</v>
      </c>
      <c r="B5779">
        <f>TEXT(5778, "[$-0E0000]yyyy-mm-dd")</f>
        <v/>
      </c>
      <c r="C5779" t="inlineStr">
        <is>
          <t>1915-09-19</t>
        </is>
      </c>
    </row>
    <row r="5780">
      <c r="A5780" s="1" t="n">
        <v>5779</v>
      </c>
      <c r="B5780">
        <f>TEXT(5779, "[$-0E0000]yyyy-mm-dd")</f>
        <v/>
      </c>
      <c r="C5780" t="inlineStr">
        <is>
          <t>1915-09-20</t>
        </is>
      </c>
    </row>
    <row r="5781">
      <c r="A5781" s="1" t="n">
        <v>5780</v>
      </c>
      <c r="B5781">
        <f>TEXT(5780, "[$-0E0000]yyyy-mm-dd")</f>
        <v/>
      </c>
      <c r="C5781" t="inlineStr">
        <is>
          <t>1915-09-21</t>
        </is>
      </c>
    </row>
    <row r="5782">
      <c r="A5782" s="1" t="n">
        <v>5781</v>
      </c>
      <c r="B5782">
        <f>TEXT(5781, "[$-0E0000]yyyy-mm-dd")</f>
        <v/>
      </c>
      <c r="C5782" t="inlineStr">
        <is>
          <t>1915-09-22</t>
        </is>
      </c>
    </row>
    <row r="5783">
      <c r="A5783" s="1" t="n">
        <v>5782</v>
      </c>
      <c r="B5783">
        <f>TEXT(5782, "[$-0E0000]yyyy-mm-dd")</f>
        <v/>
      </c>
      <c r="C5783" t="inlineStr">
        <is>
          <t>1915-09-23</t>
        </is>
      </c>
    </row>
    <row r="5784">
      <c r="A5784" s="1" t="n">
        <v>5783</v>
      </c>
      <c r="B5784">
        <f>TEXT(5783, "[$-0E0000]yyyy-mm-dd")</f>
        <v/>
      </c>
      <c r="C5784" t="inlineStr">
        <is>
          <t>1915-09-24</t>
        </is>
      </c>
    </row>
    <row r="5785">
      <c r="A5785" s="1" t="n">
        <v>5784</v>
      </c>
      <c r="B5785">
        <f>TEXT(5784, "[$-0E0000]yyyy-mm-dd")</f>
        <v/>
      </c>
      <c r="C5785" t="inlineStr">
        <is>
          <t>1915-09-25</t>
        </is>
      </c>
    </row>
    <row r="5786">
      <c r="A5786" s="1" t="n">
        <v>5785</v>
      </c>
      <c r="B5786">
        <f>TEXT(5785, "[$-0E0000]yyyy-mm-dd")</f>
        <v/>
      </c>
      <c r="C5786" t="inlineStr">
        <is>
          <t>1915-09-26</t>
        </is>
      </c>
    </row>
    <row r="5787">
      <c r="A5787" s="1" t="n">
        <v>5786</v>
      </c>
      <c r="B5787">
        <f>TEXT(5786, "[$-0E0000]yyyy-mm-dd")</f>
        <v/>
      </c>
      <c r="C5787" t="inlineStr">
        <is>
          <t>1915-09-27</t>
        </is>
      </c>
    </row>
    <row r="5788">
      <c r="A5788" s="1" t="n">
        <v>5787</v>
      </c>
      <c r="B5788">
        <f>TEXT(5787, "[$-0E0000]yyyy-mm-dd")</f>
        <v/>
      </c>
      <c r="C5788" t="inlineStr">
        <is>
          <t>1915-09-28</t>
        </is>
      </c>
    </row>
    <row r="5789">
      <c r="A5789" s="1" t="n">
        <v>5788</v>
      </c>
      <c r="B5789">
        <f>TEXT(5788, "[$-0E0000]yyyy-mm-dd")</f>
        <v/>
      </c>
      <c r="C5789" t="inlineStr">
        <is>
          <t>1915-09-29</t>
        </is>
      </c>
    </row>
    <row r="5790">
      <c r="A5790" s="1" t="n">
        <v>5789</v>
      </c>
      <c r="B5790">
        <f>TEXT(5789, "[$-0E0000]yyyy-mm-dd")</f>
        <v/>
      </c>
      <c r="C5790" t="inlineStr">
        <is>
          <t>1915-10-01</t>
        </is>
      </c>
    </row>
    <row r="5791">
      <c r="A5791" s="1" t="n">
        <v>5790</v>
      </c>
      <c r="B5791">
        <f>TEXT(5790, "[$-0E0000]yyyy-mm-dd")</f>
        <v/>
      </c>
      <c r="C5791" t="inlineStr">
        <is>
          <t>1915-10-02</t>
        </is>
      </c>
    </row>
    <row r="5792">
      <c r="A5792" s="1" t="n">
        <v>5791</v>
      </c>
      <c r="B5792">
        <f>TEXT(5791, "[$-0E0000]yyyy-mm-dd")</f>
        <v/>
      </c>
      <c r="C5792" t="inlineStr">
        <is>
          <t>1915-10-03</t>
        </is>
      </c>
    </row>
    <row r="5793">
      <c r="A5793" s="1" t="n">
        <v>5792</v>
      </c>
      <c r="B5793">
        <f>TEXT(5792, "[$-0E0000]yyyy-mm-dd")</f>
        <v/>
      </c>
      <c r="C5793" t="inlineStr">
        <is>
          <t>1915-10-04</t>
        </is>
      </c>
    </row>
    <row r="5794">
      <c r="A5794" s="1" t="n">
        <v>5793</v>
      </c>
      <c r="B5794">
        <f>TEXT(5793, "[$-0E0000]yyyy-mm-dd")</f>
        <v/>
      </c>
      <c r="C5794" t="inlineStr">
        <is>
          <t>1915-10-05</t>
        </is>
      </c>
    </row>
    <row r="5795">
      <c r="A5795" s="1" t="n">
        <v>5794</v>
      </c>
      <c r="B5795">
        <f>TEXT(5794, "[$-0E0000]yyyy-mm-dd")</f>
        <v/>
      </c>
      <c r="C5795" t="inlineStr">
        <is>
          <t>1915-10-06</t>
        </is>
      </c>
    </row>
    <row r="5796">
      <c r="A5796" s="1" t="n">
        <v>5795</v>
      </c>
      <c r="B5796">
        <f>TEXT(5795, "[$-0E0000]yyyy-mm-dd")</f>
        <v/>
      </c>
      <c r="C5796" t="inlineStr">
        <is>
          <t>1915-10-07</t>
        </is>
      </c>
    </row>
    <row r="5797">
      <c r="A5797" s="1" t="n">
        <v>5796</v>
      </c>
      <c r="B5797">
        <f>TEXT(5796, "[$-0E0000]yyyy-mm-dd")</f>
        <v/>
      </c>
      <c r="C5797" t="inlineStr">
        <is>
          <t>1915-10-08</t>
        </is>
      </c>
    </row>
    <row r="5798">
      <c r="A5798" s="1" t="n">
        <v>5797</v>
      </c>
      <c r="B5798">
        <f>TEXT(5797, "[$-0E0000]yyyy-mm-dd")</f>
        <v/>
      </c>
      <c r="C5798" t="inlineStr">
        <is>
          <t>1915-10-09</t>
        </is>
      </c>
    </row>
    <row r="5799">
      <c r="A5799" s="1" t="n">
        <v>5798</v>
      </c>
      <c r="B5799">
        <f>TEXT(5798, "[$-0E0000]yyyy-mm-dd")</f>
        <v/>
      </c>
      <c r="C5799" t="inlineStr">
        <is>
          <t>1915-10-10</t>
        </is>
      </c>
    </row>
    <row r="5800">
      <c r="A5800" s="1" t="n">
        <v>5799</v>
      </c>
      <c r="B5800">
        <f>TEXT(5799, "[$-0E0000]yyyy-mm-dd")</f>
        <v/>
      </c>
      <c r="C5800" t="inlineStr">
        <is>
          <t>1915-10-11</t>
        </is>
      </c>
    </row>
    <row r="5801">
      <c r="A5801" s="1" t="n">
        <v>5800</v>
      </c>
      <c r="B5801">
        <f>TEXT(5800, "[$-0E0000]yyyy-mm-dd")</f>
        <v/>
      </c>
      <c r="C5801" t="inlineStr">
        <is>
          <t>1915-10-12</t>
        </is>
      </c>
    </row>
    <row r="5802">
      <c r="A5802" s="1" t="n">
        <v>5801</v>
      </c>
      <c r="B5802">
        <f>TEXT(5801, "[$-0E0000]yyyy-mm-dd")</f>
        <v/>
      </c>
      <c r="C5802" t="inlineStr">
        <is>
          <t>1915-10-13</t>
        </is>
      </c>
    </row>
    <row r="5803">
      <c r="A5803" s="1" t="n">
        <v>5802</v>
      </c>
      <c r="B5803">
        <f>TEXT(5802, "[$-0E0000]yyyy-mm-dd")</f>
        <v/>
      </c>
      <c r="C5803" t="inlineStr">
        <is>
          <t>1915-10-14</t>
        </is>
      </c>
    </row>
    <row r="5804">
      <c r="A5804" s="1" t="n">
        <v>5803</v>
      </c>
      <c r="B5804">
        <f>TEXT(5803, "[$-0E0000]yyyy-mm-dd")</f>
        <v/>
      </c>
      <c r="C5804" t="inlineStr">
        <is>
          <t>1915-10-15</t>
        </is>
      </c>
    </row>
    <row r="5805">
      <c r="A5805" s="1" t="n">
        <v>5804</v>
      </c>
      <c r="B5805">
        <f>TEXT(5804, "[$-0E0000]yyyy-mm-dd")</f>
        <v/>
      </c>
      <c r="C5805" t="inlineStr">
        <is>
          <t>1915-10-16</t>
        </is>
      </c>
    </row>
    <row r="5806">
      <c r="A5806" s="1" t="n">
        <v>5805</v>
      </c>
      <c r="B5806">
        <f>TEXT(5805, "[$-0E0000]yyyy-mm-dd")</f>
        <v/>
      </c>
      <c r="C5806" t="inlineStr">
        <is>
          <t>1915-10-17</t>
        </is>
      </c>
    </row>
    <row r="5807">
      <c r="A5807" s="1" t="n">
        <v>5806</v>
      </c>
      <c r="B5807">
        <f>TEXT(5806, "[$-0E0000]yyyy-mm-dd")</f>
        <v/>
      </c>
      <c r="C5807" t="inlineStr">
        <is>
          <t>1915-10-18</t>
        </is>
      </c>
    </row>
    <row r="5808">
      <c r="A5808" s="1" t="n">
        <v>5807</v>
      </c>
      <c r="B5808">
        <f>TEXT(5807, "[$-0E0000]yyyy-mm-dd")</f>
        <v/>
      </c>
      <c r="C5808" t="inlineStr">
        <is>
          <t>1915-10-19</t>
        </is>
      </c>
    </row>
    <row r="5809">
      <c r="A5809" s="1" t="n">
        <v>5808</v>
      </c>
      <c r="B5809">
        <f>TEXT(5808, "[$-0E0000]yyyy-mm-dd")</f>
        <v/>
      </c>
      <c r="C5809" t="inlineStr">
        <is>
          <t>1915-10-20</t>
        </is>
      </c>
    </row>
    <row r="5810">
      <c r="A5810" s="1" t="n">
        <v>5809</v>
      </c>
      <c r="B5810">
        <f>TEXT(5809, "[$-0E0000]yyyy-mm-dd")</f>
        <v/>
      </c>
      <c r="C5810" t="inlineStr">
        <is>
          <t>1915-10-21</t>
        </is>
      </c>
    </row>
    <row r="5811">
      <c r="A5811" s="1" t="n">
        <v>5810</v>
      </c>
      <c r="B5811">
        <f>TEXT(5810, "[$-0E0000]yyyy-mm-dd")</f>
        <v/>
      </c>
      <c r="C5811" t="inlineStr">
        <is>
          <t>1915-10-22</t>
        </is>
      </c>
    </row>
    <row r="5812">
      <c r="A5812" s="1" t="n">
        <v>5811</v>
      </c>
      <c r="B5812">
        <f>TEXT(5811, "[$-0E0000]yyyy-mm-dd")</f>
        <v/>
      </c>
      <c r="C5812" t="inlineStr">
        <is>
          <t>1915-10-23</t>
        </is>
      </c>
    </row>
    <row r="5813">
      <c r="A5813" s="1" t="n">
        <v>5812</v>
      </c>
      <c r="B5813">
        <f>TEXT(5812, "[$-0E0000]yyyy-mm-dd")</f>
        <v/>
      </c>
      <c r="C5813" t="inlineStr">
        <is>
          <t>1915-10-24</t>
        </is>
      </c>
    </row>
    <row r="5814">
      <c r="A5814" s="1" t="n">
        <v>5813</v>
      </c>
      <c r="B5814">
        <f>TEXT(5813, "[$-0E0000]yyyy-mm-dd")</f>
        <v/>
      </c>
      <c r="C5814" t="inlineStr">
        <is>
          <t>1915-10-25</t>
        </is>
      </c>
    </row>
    <row r="5815">
      <c r="A5815" s="1" t="n">
        <v>5814</v>
      </c>
      <c r="B5815">
        <f>TEXT(5814, "[$-0E0000]yyyy-mm-dd")</f>
        <v/>
      </c>
      <c r="C5815" t="inlineStr">
        <is>
          <t>1915-10-26</t>
        </is>
      </c>
    </row>
    <row r="5816">
      <c r="A5816" s="1" t="n">
        <v>5815</v>
      </c>
      <c r="B5816">
        <f>TEXT(5815, "[$-0E0000]yyyy-mm-dd")</f>
        <v/>
      </c>
      <c r="C5816" t="inlineStr">
        <is>
          <t>1915-10-27</t>
        </is>
      </c>
    </row>
    <row r="5817">
      <c r="A5817" s="1" t="n">
        <v>5816</v>
      </c>
      <c r="B5817">
        <f>TEXT(5816, "[$-0E0000]yyyy-mm-dd")</f>
        <v/>
      </c>
      <c r="C5817" t="inlineStr">
        <is>
          <t>1915-10-28</t>
        </is>
      </c>
    </row>
    <row r="5818">
      <c r="A5818" s="1" t="n">
        <v>5817</v>
      </c>
      <c r="B5818">
        <f>TEXT(5817, "[$-0E0000]yyyy-mm-dd")</f>
        <v/>
      </c>
      <c r="C5818" t="inlineStr">
        <is>
          <t>1915-10-29</t>
        </is>
      </c>
    </row>
    <row r="5819">
      <c r="A5819" s="1" t="n">
        <v>5818</v>
      </c>
      <c r="B5819">
        <f>TEXT(5818, "[$-0E0000]yyyy-mm-dd")</f>
        <v/>
      </c>
      <c r="C5819" t="inlineStr">
        <is>
          <t>1915-10-30</t>
        </is>
      </c>
    </row>
    <row r="5820">
      <c r="A5820" s="1" t="n">
        <v>5819</v>
      </c>
      <c r="B5820">
        <f>TEXT(5819, "[$-0E0000]yyyy-mm-dd")</f>
        <v/>
      </c>
      <c r="C5820" t="inlineStr">
        <is>
          <t>1915-11-01</t>
        </is>
      </c>
    </row>
    <row r="5821">
      <c r="A5821" s="1" t="n">
        <v>5820</v>
      </c>
      <c r="B5821">
        <f>TEXT(5820, "[$-0E0000]yyyy-mm-dd")</f>
        <v/>
      </c>
      <c r="C5821" t="inlineStr">
        <is>
          <t>1915-11-02</t>
        </is>
      </c>
    </row>
    <row r="5822">
      <c r="A5822" s="1" t="n">
        <v>5821</v>
      </c>
      <c r="B5822">
        <f>TEXT(5821, "[$-0E0000]yyyy-mm-dd")</f>
        <v/>
      </c>
      <c r="C5822" t="inlineStr">
        <is>
          <t>1915-11-03</t>
        </is>
      </c>
    </row>
    <row r="5823">
      <c r="A5823" s="1" t="n">
        <v>5822</v>
      </c>
      <c r="B5823">
        <f>TEXT(5822, "[$-0E0000]yyyy-mm-dd")</f>
        <v/>
      </c>
      <c r="C5823" t="inlineStr">
        <is>
          <t>1915-11-04</t>
        </is>
      </c>
    </row>
    <row r="5824">
      <c r="A5824" s="1" t="n">
        <v>5823</v>
      </c>
      <c r="B5824">
        <f>TEXT(5823, "[$-0E0000]yyyy-mm-dd")</f>
        <v/>
      </c>
      <c r="C5824" t="inlineStr">
        <is>
          <t>1915-11-05</t>
        </is>
      </c>
    </row>
    <row r="5825">
      <c r="A5825" s="1" t="n">
        <v>5824</v>
      </c>
      <c r="B5825">
        <f>TEXT(5824, "[$-0E0000]yyyy-mm-dd")</f>
        <v/>
      </c>
      <c r="C5825" t="inlineStr">
        <is>
          <t>1915-11-06</t>
        </is>
      </c>
    </row>
    <row r="5826">
      <c r="A5826" s="1" t="n">
        <v>5825</v>
      </c>
      <c r="B5826">
        <f>TEXT(5825, "[$-0E0000]yyyy-mm-dd")</f>
        <v/>
      </c>
      <c r="C5826" t="inlineStr">
        <is>
          <t>1915-11-07</t>
        </is>
      </c>
    </row>
    <row r="5827">
      <c r="A5827" s="1" t="n">
        <v>5826</v>
      </c>
      <c r="B5827">
        <f>TEXT(5826, "[$-0E0000]yyyy-mm-dd")</f>
        <v/>
      </c>
      <c r="C5827" t="inlineStr">
        <is>
          <t>1915-11-08</t>
        </is>
      </c>
    </row>
    <row r="5828">
      <c r="A5828" s="1" t="n">
        <v>5827</v>
      </c>
      <c r="B5828">
        <f>TEXT(5827, "[$-0E0000]yyyy-mm-dd")</f>
        <v/>
      </c>
      <c r="C5828" t="inlineStr">
        <is>
          <t>1915-11-09</t>
        </is>
      </c>
    </row>
    <row r="5829">
      <c r="A5829" s="1" t="n">
        <v>5828</v>
      </c>
      <c r="B5829">
        <f>TEXT(5828, "[$-0E0000]yyyy-mm-dd")</f>
        <v/>
      </c>
      <c r="C5829" t="inlineStr">
        <is>
          <t>1915-11-10</t>
        </is>
      </c>
    </row>
    <row r="5830">
      <c r="A5830" s="1" t="n">
        <v>5829</v>
      </c>
      <c r="B5830">
        <f>TEXT(5829, "[$-0E0000]yyyy-mm-dd")</f>
        <v/>
      </c>
      <c r="C5830" t="inlineStr">
        <is>
          <t>1915-11-11</t>
        </is>
      </c>
    </row>
    <row r="5831">
      <c r="A5831" s="1" t="n">
        <v>5830</v>
      </c>
      <c r="B5831">
        <f>TEXT(5830, "[$-0E0000]yyyy-mm-dd")</f>
        <v/>
      </c>
      <c r="C5831" t="inlineStr">
        <is>
          <t>1915-11-12</t>
        </is>
      </c>
    </row>
    <row r="5832">
      <c r="A5832" s="1" t="n">
        <v>5831</v>
      </c>
      <c r="B5832">
        <f>TEXT(5831, "[$-0E0000]yyyy-mm-dd")</f>
        <v/>
      </c>
      <c r="C5832" t="inlineStr">
        <is>
          <t>1915-11-13</t>
        </is>
      </c>
    </row>
    <row r="5833">
      <c r="A5833" s="1" t="n">
        <v>5832</v>
      </c>
      <c r="B5833">
        <f>TEXT(5832, "[$-0E0000]yyyy-mm-dd")</f>
        <v/>
      </c>
      <c r="C5833" t="inlineStr">
        <is>
          <t>1915-11-14</t>
        </is>
      </c>
    </row>
    <row r="5834">
      <c r="A5834" s="1" t="n">
        <v>5833</v>
      </c>
      <c r="B5834">
        <f>TEXT(5833, "[$-0E0000]yyyy-mm-dd")</f>
        <v/>
      </c>
      <c r="C5834" t="inlineStr">
        <is>
          <t>1915-11-15</t>
        </is>
      </c>
    </row>
    <row r="5835">
      <c r="A5835" s="1" t="n">
        <v>5834</v>
      </c>
      <c r="B5835">
        <f>TEXT(5834, "[$-0E0000]yyyy-mm-dd")</f>
        <v/>
      </c>
      <c r="C5835" t="inlineStr">
        <is>
          <t>1915-11-16</t>
        </is>
      </c>
    </row>
    <row r="5836">
      <c r="A5836" s="1" t="n">
        <v>5835</v>
      </c>
      <c r="B5836">
        <f>TEXT(5835, "[$-0E0000]yyyy-mm-dd")</f>
        <v/>
      </c>
      <c r="C5836" t="inlineStr">
        <is>
          <t>1915-11-17</t>
        </is>
      </c>
    </row>
    <row r="5837">
      <c r="A5837" s="1" t="n">
        <v>5836</v>
      </c>
      <c r="B5837">
        <f>TEXT(5836, "[$-0E0000]yyyy-mm-dd")</f>
        <v/>
      </c>
      <c r="C5837" t="inlineStr">
        <is>
          <t>1915-11-18</t>
        </is>
      </c>
    </row>
    <row r="5838">
      <c r="A5838" s="1" t="n">
        <v>5837</v>
      </c>
      <c r="B5838">
        <f>TEXT(5837, "[$-0E0000]yyyy-mm-dd")</f>
        <v/>
      </c>
      <c r="C5838" t="inlineStr">
        <is>
          <t>1915-11-19</t>
        </is>
      </c>
    </row>
    <row r="5839">
      <c r="A5839" s="1" t="n">
        <v>5838</v>
      </c>
      <c r="B5839">
        <f>TEXT(5838, "[$-0E0000]yyyy-mm-dd")</f>
        <v/>
      </c>
      <c r="C5839" t="inlineStr">
        <is>
          <t>1915-11-20</t>
        </is>
      </c>
    </row>
    <row r="5840">
      <c r="A5840" s="1" t="n">
        <v>5839</v>
      </c>
      <c r="B5840">
        <f>TEXT(5839, "[$-0E0000]yyyy-mm-dd")</f>
        <v/>
      </c>
      <c r="C5840" t="inlineStr">
        <is>
          <t>1915-11-21</t>
        </is>
      </c>
    </row>
    <row r="5841">
      <c r="A5841" s="1" t="n">
        <v>5840</v>
      </c>
      <c r="B5841">
        <f>TEXT(5840, "[$-0E0000]yyyy-mm-dd")</f>
        <v/>
      </c>
      <c r="C5841" t="inlineStr">
        <is>
          <t>1915-11-22</t>
        </is>
      </c>
    </row>
    <row r="5842">
      <c r="A5842" s="1" t="n">
        <v>5841</v>
      </c>
      <c r="B5842">
        <f>TEXT(5841, "[$-0E0000]yyyy-mm-dd")</f>
        <v/>
      </c>
      <c r="C5842" t="inlineStr">
        <is>
          <t>1915-11-23</t>
        </is>
      </c>
    </row>
    <row r="5843">
      <c r="A5843" s="1" t="n">
        <v>5842</v>
      </c>
      <c r="B5843">
        <f>TEXT(5842, "[$-0E0000]yyyy-mm-dd")</f>
        <v/>
      </c>
      <c r="C5843" t="inlineStr">
        <is>
          <t>1915-11-24</t>
        </is>
      </c>
    </row>
    <row r="5844">
      <c r="A5844" s="1" t="n">
        <v>5843</v>
      </c>
      <c r="B5844">
        <f>TEXT(5843, "[$-0E0000]yyyy-mm-dd")</f>
        <v/>
      </c>
      <c r="C5844" t="inlineStr">
        <is>
          <t>1915-11-25</t>
        </is>
      </c>
    </row>
    <row r="5845">
      <c r="A5845" s="1" t="n">
        <v>5844</v>
      </c>
      <c r="B5845">
        <f>TEXT(5844, "[$-0E0000]yyyy-mm-dd")</f>
        <v/>
      </c>
      <c r="C5845" t="inlineStr">
        <is>
          <t>1915-11-26</t>
        </is>
      </c>
    </row>
    <row r="5846">
      <c r="A5846" s="1" t="n">
        <v>5845</v>
      </c>
      <c r="B5846">
        <f>TEXT(5845, "[$-0E0000]yyyy-mm-dd")</f>
        <v/>
      </c>
      <c r="C5846" t="inlineStr">
        <is>
          <t>1915-11-27</t>
        </is>
      </c>
    </row>
    <row r="5847">
      <c r="A5847" s="1" t="n">
        <v>5846</v>
      </c>
      <c r="B5847">
        <f>TEXT(5846, "[$-0E0000]yyyy-mm-dd")</f>
        <v/>
      </c>
      <c r="C5847" t="inlineStr">
        <is>
          <t>1915-11-28</t>
        </is>
      </c>
    </row>
    <row r="5848">
      <c r="A5848" s="1" t="n">
        <v>5847</v>
      </c>
      <c r="B5848">
        <f>TEXT(5847, "[$-0E0000]yyyy-mm-dd")</f>
        <v/>
      </c>
      <c r="C5848" t="inlineStr">
        <is>
          <t>1915-11-29</t>
        </is>
      </c>
    </row>
    <row r="5849">
      <c r="A5849" s="1" t="n">
        <v>5848</v>
      </c>
      <c r="B5849">
        <f>TEXT(5848, "[$-0E0000]yyyy-mm-dd")</f>
        <v/>
      </c>
      <c r="C5849" t="inlineStr">
        <is>
          <t>1915-12-01</t>
        </is>
      </c>
    </row>
    <row r="5850">
      <c r="A5850" s="1" t="n">
        <v>5849</v>
      </c>
      <c r="B5850">
        <f>TEXT(5849, "[$-0E0000]yyyy-mm-dd")</f>
        <v/>
      </c>
      <c r="C5850" t="inlineStr">
        <is>
          <t>1915-12-02</t>
        </is>
      </c>
    </row>
    <row r="5851">
      <c r="A5851" s="1" t="n">
        <v>5850</v>
      </c>
      <c r="B5851">
        <f>TEXT(5850, "[$-0E0000]yyyy-mm-dd")</f>
        <v/>
      </c>
      <c r="C5851" t="inlineStr">
        <is>
          <t>1915-12-03</t>
        </is>
      </c>
    </row>
    <row r="5852">
      <c r="A5852" s="1" t="n">
        <v>5851</v>
      </c>
      <c r="B5852">
        <f>TEXT(5851, "[$-0E0000]yyyy-mm-dd")</f>
        <v/>
      </c>
      <c r="C5852" t="inlineStr">
        <is>
          <t>1915-12-04</t>
        </is>
      </c>
    </row>
    <row r="5853">
      <c r="A5853" s="1" t="n">
        <v>5852</v>
      </c>
      <c r="B5853">
        <f>TEXT(5852, "[$-0E0000]yyyy-mm-dd")</f>
        <v/>
      </c>
      <c r="C5853" t="inlineStr">
        <is>
          <t>1915-12-05</t>
        </is>
      </c>
    </row>
    <row r="5854">
      <c r="A5854" s="1" t="n">
        <v>5853</v>
      </c>
      <c r="B5854">
        <f>TEXT(5853, "[$-0E0000]yyyy-mm-dd")</f>
        <v/>
      </c>
      <c r="C5854" t="inlineStr">
        <is>
          <t>1915-12-06</t>
        </is>
      </c>
    </row>
    <row r="5855">
      <c r="A5855" s="1" t="n">
        <v>5854</v>
      </c>
      <c r="B5855">
        <f>TEXT(5854, "[$-0E0000]yyyy-mm-dd")</f>
        <v/>
      </c>
      <c r="C5855" t="inlineStr">
        <is>
          <t>1915-12-07</t>
        </is>
      </c>
    </row>
    <row r="5856">
      <c r="A5856" s="1" t="n">
        <v>5855</v>
      </c>
      <c r="B5856">
        <f>TEXT(5855, "[$-0E0000]yyyy-mm-dd")</f>
        <v/>
      </c>
      <c r="C5856" t="inlineStr">
        <is>
          <t>1915-12-08</t>
        </is>
      </c>
    </row>
    <row r="5857">
      <c r="A5857" s="1" t="n">
        <v>5856</v>
      </c>
      <c r="B5857">
        <f>TEXT(5856, "[$-0E0000]yyyy-mm-dd")</f>
        <v/>
      </c>
      <c r="C5857" t="inlineStr">
        <is>
          <t>1915-12-09</t>
        </is>
      </c>
    </row>
    <row r="5858">
      <c r="A5858" s="1" t="n">
        <v>5857</v>
      </c>
      <c r="B5858">
        <f>TEXT(5857, "[$-0E0000]yyyy-mm-dd")</f>
        <v/>
      </c>
      <c r="C5858" t="inlineStr">
        <is>
          <t>1915-12-10</t>
        </is>
      </c>
    </row>
    <row r="5859">
      <c r="A5859" s="1" t="n">
        <v>5858</v>
      </c>
      <c r="B5859">
        <f>TEXT(5858, "[$-0E0000]yyyy-mm-dd")</f>
        <v/>
      </c>
      <c r="C5859" t="inlineStr">
        <is>
          <t>1915-12-11</t>
        </is>
      </c>
    </row>
    <row r="5860">
      <c r="A5860" s="1" t="n">
        <v>5859</v>
      </c>
      <c r="B5860">
        <f>TEXT(5859, "[$-0E0000]yyyy-mm-dd")</f>
        <v/>
      </c>
      <c r="C5860" t="inlineStr">
        <is>
          <t>1915-12-12</t>
        </is>
      </c>
    </row>
    <row r="5861">
      <c r="A5861" s="1" t="n">
        <v>5860</v>
      </c>
      <c r="B5861">
        <f>TEXT(5860, "[$-0E0000]yyyy-mm-dd")</f>
        <v/>
      </c>
      <c r="C5861" t="inlineStr">
        <is>
          <t>1915-12-13</t>
        </is>
      </c>
    </row>
    <row r="5862">
      <c r="A5862" s="1" t="n">
        <v>5861</v>
      </c>
      <c r="B5862">
        <f>TEXT(5861, "[$-0E0000]yyyy-mm-dd")</f>
        <v/>
      </c>
      <c r="C5862" t="inlineStr">
        <is>
          <t>1915-12-14</t>
        </is>
      </c>
    </row>
    <row r="5863">
      <c r="A5863" s="1" t="n">
        <v>5862</v>
      </c>
      <c r="B5863">
        <f>TEXT(5862, "[$-0E0000]yyyy-mm-dd")</f>
        <v/>
      </c>
      <c r="C5863" t="inlineStr">
        <is>
          <t>1915-12-15</t>
        </is>
      </c>
    </row>
    <row r="5864">
      <c r="A5864" s="1" t="n">
        <v>5863</v>
      </c>
      <c r="B5864">
        <f>TEXT(5863, "[$-0E0000]yyyy-mm-dd")</f>
        <v/>
      </c>
      <c r="C5864" t="inlineStr">
        <is>
          <t>1915-12-16</t>
        </is>
      </c>
    </row>
    <row r="5865">
      <c r="A5865" s="1" t="n">
        <v>5864</v>
      </c>
      <c r="B5865">
        <f>TEXT(5864, "[$-0E0000]yyyy-mm-dd")</f>
        <v/>
      </c>
      <c r="C5865" t="inlineStr">
        <is>
          <t>1915-12-17</t>
        </is>
      </c>
    </row>
    <row r="5866">
      <c r="A5866" s="1" t="n">
        <v>5865</v>
      </c>
      <c r="B5866">
        <f>TEXT(5865, "[$-0E0000]yyyy-mm-dd")</f>
        <v/>
      </c>
      <c r="C5866" t="inlineStr">
        <is>
          <t>1915-12-18</t>
        </is>
      </c>
    </row>
    <row r="5867">
      <c r="A5867" s="1" t="n">
        <v>5866</v>
      </c>
      <c r="B5867">
        <f>TEXT(5866, "[$-0E0000]yyyy-mm-dd")</f>
        <v/>
      </c>
      <c r="C5867" t="inlineStr">
        <is>
          <t>1915-12-19</t>
        </is>
      </c>
    </row>
    <row r="5868">
      <c r="A5868" s="1" t="n">
        <v>5867</v>
      </c>
      <c r="B5868">
        <f>TEXT(5867, "[$-0E0000]yyyy-mm-dd")</f>
        <v/>
      </c>
      <c r="C5868" t="inlineStr">
        <is>
          <t>1915-12-20</t>
        </is>
      </c>
    </row>
    <row r="5869">
      <c r="A5869" s="1" t="n">
        <v>5868</v>
      </c>
      <c r="B5869">
        <f>TEXT(5868, "[$-0E0000]yyyy-mm-dd")</f>
        <v/>
      </c>
      <c r="C5869" t="inlineStr">
        <is>
          <t>1915-12-21</t>
        </is>
      </c>
    </row>
    <row r="5870">
      <c r="A5870" s="1" t="n">
        <v>5869</v>
      </c>
      <c r="B5870">
        <f>TEXT(5869, "[$-0E0000]yyyy-mm-dd")</f>
        <v/>
      </c>
      <c r="C5870" t="inlineStr">
        <is>
          <t>1915-12-22</t>
        </is>
      </c>
    </row>
    <row r="5871">
      <c r="A5871" s="1" t="n">
        <v>5870</v>
      </c>
      <c r="B5871">
        <f>TEXT(5870, "[$-0E0000]yyyy-mm-dd")</f>
        <v/>
      </c>
      <c r="C5871" t="inlineStr">
        <is>
          <t>1915-12-23</t>
        </is>
      </c>
    </row>
    <row r="5872">
      <c r="A5872" s="1" t="n">
        <v>5871</v>
      </c>
      <c r="B5872">
        <f>TEXT(5871, "[$-0E0000]yyyy-mm-dd")</f>
        <v/>
      </c>
      <c r="C5872" t="inlineStr">
        <is>
          <t>1915-12-24</t>
        </is>
      </c>
    </row>
    <row r="5873">
      <c r="A5873" s="1" t="n">
        <v>5872</v>
      </c>
      <c r="B5873">
        <f>TEXT(5872, "[$-0E0000]yyyy-mm-dd")</f>
        <v/>
      </c>
      <c r="C5873" t="inlineStr">
        <is>
          <t>1915-12-25</t>
        </is>
      </c>
    </row>
    <row r="5874">
      <c r="A5874" s="1" t="n">
        <v>5873</v>
      </c>
      <c r="B5874">
        <f>TEXT(5873, "[$-0E0000]yyyy-mm-dd")</f>
        <v/>
      </c>
      <c r="C5874" t="inlineStr">
        <is>
          <t>1915-12-26</t>
        </is>
      </c>
    </row>
    <row r="5875">
      <c r="A5875" s="1" t="n">
        <v>5874</v>
      </c>
      <c r="B5875">
        <f>TEXT(5874, "[$-0E0000]yyyy-mm-dd")</f>
        <v/>
      </c>
      <c r="C5875" t="inlineStr">
        <is>
          <t>1915-12-27</t>
        </is>
      </c>
    </row>
    <row r="5876">
      <c r="A5876" s="1" t="n">
        <v>5875</v>
      </c>
      <c r="B5876">
        <f>TEXT(5875, "[$-0E0000]yyyy-mm-dd")</f>
        <v/>
      </c>
      <c r="C5876" t="inlineStr">
        <is>
          <t>1915-12-28</t>
        </is>
      </c>
    </row>
    <row r="5877">
      <c r="A5877" s="1" t="n">
        <v>5876</v>
      </c>
      <c r="B5877">
        <f>TEXT(5876, "[$-0E0000]yyyy-mm-dd")</f>
        <v/>
      </c>
      <c r="C5877" t="inlineStr">
        <is>
          <t>1915-12-29</t>
        </is>
      </c>
    </row>
    <row r="5878">
      <c r="A5878" s="1" t="n">
        <v>5877</v>
      </c>
      <c r="B5878">
        <f>TEXT(5877, "[$-0E0000]yyyy-mm-dd")</f>
        <v/>
      </c>
      <c r="C5878" t="inlineStr">
        <is>
          <t>1916-01-01</t>
        </is>
      </c>
    </row>
    <row r="5879">
      <c r="A5879" s="1" t="n">
        <v>5878</v>
      </c>
      <c r="B5879">
        <f>TEXT(5878, "[$-0E0000]yyyy-mm-dd")</f>
        <v/>
      </c>
      <c r="C5879" t="inlineStr">
        <is>
          <t>1916-01-02</t>
        </is>
      </c>
    </row>
    <row r="5880">
      <c r="A5880" s="1" t="n">
        <v>5879</v>
      </c>
      <c r="B5880">
        <f>TEXT(5879, "[$-0E0000]yyyy-mm-dd")</f>
        <v/>
      </c>
      <c r="C5880" t="inlineStr">
        <is>
          <t>1916-01-03</t>
        </is>
      </c>
    </row>
    <row r="5881">
      <c r="A5881" s="1" t="n">
        <v>5880</v>
      </c>
      <c r="B5881">
        <f>TEXT(5880, "[$-0E0000]yyyy-mm-dd")</f>
        <v/>
      </c>
      <c r="C5881" t="inlineStr">
        <is>
          <t>1916-01-04</t>
        </is>
      </c>
    </row>
    <row r="5882">
      <c r="A5882" s="1" t="n">
        <v>5881</v>
      </c>
      <c r="B5882">
        <f>TEXT(5881, "[$-0E0000]yyyy-mm-dd")</f>
        <v/>
      </c>
      <c r="C5882" t="inlineStr">
        <is>
          <t>1916-01-05</t>
        </is>
      </c>
    </row>
    <row r="5883">
      <c r="A5883" s="1" t="n">
        <v>5882</v>
      </c>
      <c r="B5883">
        <f>TEXT(5882, "[$-0E0000]yyyy-mm-dd")</f>
        <v/>
      </c>
      <c r="C5883" t="inlineStr">
        <is>
          <t>1916-01-06</t>
        </is>
      </c>
    </row>
    <row r="5884">
      <c r="A5884" s="1" t="n">
        <v>5883</v>
      </c>
      <c r="B5884">
        <f>TEXT(5883, "[$-0E0000]yyyy-mm-dd")</f>
        <v/>
      </c>
      <c r="C5884" t="inlineStr">
        <is>
          <t>1916-01-07</t>
        </is>
      </c>
    </row>
    <row r="5885">
      <c r="A5885" s="1" t="n">
        <v>5884</v>
      </c>
      <c r="B5885">
        <f>TEXT(5884, "[$-0E0000]yyyy-mm-dd")</f>
        <v/>
      </c>
      <c r="C5885" t="inlineStr">
        <is>
          <t>1916-01-08</t>
        </is>
      </c>
    </row>
    <row r="5886">
      <c r="A5886" s="1" t="n">
        <v>5885</v>
      </c>
      <c r="B5886">
        <f>TEXT(5885, "[$-0E0000]yyyy-mm-dd")</f>
        <v/>
      </c>
      <c r="C5886" t="inlineStr">
        <is>
          <t>1916-01-09</t>
        </is>
      </c>
    </row>
    <row r="5887">
      <c r="A5887" s="1" t="n">
        <v>5886</v>
      </c>
      <c r="B5887">
        <f>TEXT(5886, "[$-0E0000]yyyy-mm-dd")</f>
        <v/>
      </c>
      <c r="C5887" t="inlineStr">
        <is>
          <t>1916-01-10</t>
        </is>
      </c>
    </row>
    <row r="5888">
      <c r="A5888" s="1" t="n">
        <v>5887</v>
      </c>
      <c r="B5888">
        <f>TEXT(5887, "[$-0E0000]yyyy-mm-dd")</f>
        <v/>
      </c>
      <c r="C5888" t="inlineStr">
        <is>
          <t>1916-01-11</t>
        </is>
      </c>
    </row>
    <row r="5889">
      <c r="A5889" s="1" t="n">
        <v>5888</v>
      </c>
      <c r="B5889">
        <f>TEXT(5888, "[$-0E0000]yyyy-mm-dd")</f>
        <v/>
      </c>
      <c r="C5889" t="inlineStr">
        <is>
          <t>1916-01-12</t>
        </is>
      </c>
    </row>
    <row r="5890">
      <c r="A5890" s="1" t="n">
        <v>5889</v>
      </c>
      <c r="B5890">
        <f>TEXT(5889, "[$-0E0000]yyyy-mm-dd")</f>
        <v/>
      </c>
      <c r="C5890" t="inlineStr">
        <is>
          <t>1916-01-13</t>
        </is>
      </c>
    </row>
    <row r="5891">
      <c r="A5891" s="1" t="n">
        <v>5890</v>
      </c>
      <c r="B5891">
        <f>TEXT(5890, "[$-0E0000]yyyy-mm-dd")</f>
        <v/>
      </c>
      <c r="C5891" t="inlineStr">
        <is>
          <t>1916-01-14</t>
        </is>
      </c>
    </row>
    <row r="5892">
      <c r="A5892" s="1" t="n">
        <v>5891</v>
      </c>
      <c r="B5892">
        <f>TEXT(5891, "[$-0E0000]yyyy-mm-dd")</f>
        <v/>
      </c>
      <c r="C5892" t="inlineStr">
        <is>
          <t>1916-01-15</t>
        </is>
      </c>
    </row>
    <row r="5893">
      <c r="A5893" s="1" t="n">
        <v>5892</v>
      </c>
      <c r="B5893">
        <f>TEXT(5892, "[$-0E0000]yyyy-mm-dd")</f>
        <v/>
      </c>
      <c r="C5893" t="inlineStr">
        <is>
          <t>1916-01-16</t>
        </is>
      </c>
    </row>
    <row r="5894">
      <c r="A5894" s="1" t="n">
        <v>5893</v>
      </c>
      <c r="B5894">
        <f>TEXT(5893, "[$-0E0000]yyyy-mm-dd")</f>
        <v/>
      </c>
      <c r="C5894" t="inlineStr">
        <is>
          <t>1916-01-17</t>
        </is>
      </c>
    </row>
    <row r="5895">
      <c r="A5895" s="1" t="n">
        <v>5894</v>
      </c>
      <c r="B5895">
        <f>TEXT(5894, "[$-0E0000]yyyy-mm-dd")</f>
        <v/>
      </c>
      <c r="C5895" t="inlineStr">
        <is>
          <t>1916-01-18</t>
        </is>
      </c>
    </row>
    <row r="5896">
      <c r="A5896" s="1" t="n">
        <v>5895</v>
      </c>
      <c r="B5896">
        <f>TEXT(5895, "[$-0E0000]yyyy-mm-dd")</f>
        <v/>
      </c>
      <c r="C5896" t="inlineStr">
        <is>
          <t>1916-01-19</t>
        </is>
      </c>
    </row>
    <row r="5897">
      <c r="A5897" s="1" t="n">
        <v>5896</v>
      </c>
      <c r="B5897">
        <f>TEXT(5896, "[$-0E0000]yyyy-mm-dd")</f>
        <v/>
      </c>
      <c r="C5897" t="inlineStr">
        <is>
          <t>1916-01-20</t>
        </is>
      </c>
    </row>
    <row r="5898">
      <c r="A5898" s="1" t="n">
        <v>5897</v>
      </c>
      <c r="B5898">
        <f>TEXT(5897, "[$-0E0000]yyyy-mm-dd")</f>
        <v/>
      </c>
      <c r="C5898" t="inlineStr">
        <is>
          <t>1916-01-21</t>
        </is>
      </c>
    </row>
    <row r="5899">
      <c r="A5899" s="1" t="n">
        <v>5898</v>
      </c>
      <c r="B5899">
        <f>TEXT(5898, "[$-0E0000]yyyy-mm-dd")</f>
        <v/>
      </c>
      <c r="C5899" t="inlineStr">
        <is>
          <t>1916-01-22</t>
        </is>
      </c>
    </row>
    <row r="5900">
      <c r="A5900" s="1" t="n">
        <v>5899</v>
      </c>
      <c r="B5900">
        <f>TEXT(5899, "[$-0E0000]yyyy-mm-dd")</f>
        <v/>
      </c>
      <c r="C5900" t="inlineStr">
        <is>
          <t>1916-01-23</t>
        </is>
      </c>
    </row>
    <row r="5901">
      <c r="A5901" s="1" t="n">
        <v>5900</v>
      </c>
      <c r="B5901">
        <f>TEXT(5900, "[$-0E0000]yyyy-mm-dd")</f>
        <v/>
      </c>
      <c r="C5901" t="inlineStr">
        <is>
          <t>1916-01-24</t>
        </is>
      </c>
    </row>
    <row r="5902">
      <c r="A5902" s="1" t="n">
        <v>5901</v>
      </c>
      <c r="B5902">
        <f>TEXT(5901, "[$-0E0000]yyyy-mm-dd")</f>
        <v/>
      </c>
      <c r="C5902" t="inlineStr">
        <is>
          <t>1916-01-25</t>
        </is>
      </c>
    </row>
    <row r="5903">
      <c r="A5903" s="1" t="n">
        <v>5902</v>
      </c>
      <c r="B5903">
        <f>TEXT(5902, "[$-0E0000]yyyy-mm-dd")</f>
        <v/>
      </c>
      <c r="C5903" t="inlineStr">
        <is>
          <t>1916-01-26</t>
        </is>
      </c>
    </row>
    <row r="5904">
      <c r="A5904" s="1" t="n">
        <v>5903</v>
      </c>
      <c r="B5904">
        <f>TEXT(5903, "[$-0E0000]yyyy-mm-dd")</f>
        <v/>
      </c>
      <c r="C5904" t="inlineStr">
        <is>
          <t>1916-01-27</t>
        </is>
      </c>
    </row>
    <row r="5905">
      <c r="A5905" s="1" t="n">
        <v>5904</v>
      </c>
      <c r="B5905">
        <f>TEXT(5904, "[$-0E0000]yyyy-mm-dd")</f>
        <v/>
      </c>
      <c r="C5905" t="inlineStr">
        <is>
          <t>1916-01-28</t>
        </is>
      </c>
    </row>
    <row r="5906">
      <c r="A5906" s="1" t="n">
        <v>5905</v>
      </c>
      <c r="B5906">
        <f>TEXT(5905, "[$-0E0000]yyyy-mm-dd")</f>
        <v/>
      </c>
      <c r="C5906" t="inlineStr">
        <is>
          <t>1916-01-29</t>
        </is>
      </c>
    </row>
    <row r="5907">
      <c r="A5907" s="1" t="n">
        <v>5906</v>
      </c>
      <c r="B5907">
        <f>TEXT(5906, "[$-0E0000]yyyy-mm-dd")</f>
        <v/>
      </c>
      <c r="C5907" t="inlineStr">
        <is>
          <t>1916-01-30</t>
        </is>
      </c>
    </row>
    <row r="5908">
      <c r="A5908" s="1" t="n">
        <v>5907</v>
      </c>
      <c r="B5908">
        <f>TEXT(5907, "[$-0E0000]yyyy-mm-dd")</f>
        <v/>
      </c>
      <c r="C5908" t="inlineStr">
        <is>
          <t>1916-02-01</t>
        </is>
      </c>
    </row>
    <row r="5909">
      <c r="A5909" s="1" t="n">
        <v>5908</v>
      </c>
      <c r="B5909">
        <f>TEXT(5908, "[$-0E0000]yyyy-mm-dd")</f>
        <v/>
      </c>
      <c r="C5909" t="inlineStr">
        <is>
          <t>1916-02-02</t>
        </is>
      </c>
    </row>
    <row r="5910">
      <c r="A5910" s="1" t="n">
        <v>5909</v>
      </c>
      <c r="B5910">
        <f>TEXT(5909, "[$-0E0000]yyyy-mm-dd")</f>
        <v/>
      </c>
      <c r="C5910" t="inlineStr">
        <is>
          <t>1916-02-03</t>
        </is>
      </c>
    </row>
    <row r="5911">
      <c r="A5911" s="1" t="n">
        <v>5910</v>
      </c>
      <c r="B5911">
        <f>TEXT(5910, "[$-0E0000]yyyy-mm-dd")</f>
        <v/>
      </c>
      <c r="C5911" t="inlineStr">
        <is>
          <t>1916-02-04</t>
        </is>
      </c>
    </row>
    <row r="5912">
      <c r="A5912" s="1" t="n">
        <v>5911</v>
      </c>
      <c r="B5912">
        <f>TEXT(5911, "[$-0E0000]yyyy-mm-dd")</f>
        <v/>
      </c>
      <c r="C5912" t="inlineStr">
        <is>
          <t>1916-02-05</t>
        </is>
      </c>
    </row>
    <row r="5913">
      <c r="A5913" s="1" t="n">
        <v>5912</v>
      </c>
      <c r="B5913">
        <f>TEXT(5912, "[$-0E0000]yyyy-mm-dd")</f>
        <v/>
      </c>
      <c r="C5913" t="inlineStr">
        <is>
          <t>1916-02-06</t>
        </is>
      </c>
    </row>
    <row r="5914">
      <c r="A5914" s="1" t="n">
        <v>5913</v>
      </c>
      <c r="B5914">
        <f>TEXT(5913, "[$-0E0000]yyyy-mm-dd")</f>
        <v/>
      </c>
      <c r="C5914" t="inlineStr">
        <is>
          <t>1916-02-07</t>
        </is>
      </c>
    </row>
    <row r="5915">
      <c r="A5915" s="1" t="n">
        <v>5914</v>
      </c>
      <c r="B5915">
        <f>TEXT(5914, "[$-0E0000]yyyy-mm-dd")</f>
        <v/>
      </c>
      <c r="C5915" t="inlineStr">
        <is>
          <t>1916-02-08</t>
        </is>
      </c>
    </row>
    <row r="5916">
      <c r="A5916" s="1" t="n">
        <v>5915</v>
      </c>
      <c r="B5916">
        <f>TEXT(5915, "[$-0E0000]yyyy-mm-dd")</f>
        <v/>
      </c>
      <c r="C5916" t="inlineStr">
        <is>
          <t>1916-02-09</t>
        </is>
      </c>
    </row>
    <row r="5917">
      <c r="A5917" s="1" t="n">
        <v>5916</v>
      </c>
      <c r="B5917">
        <f>TEXT(5916, "[$-0E0000]yyyy-mm-dd")</f>
        <v/>
      </c>
      <c r="C5917" t="inlineStr">
        <is>
          <t>1916-02-10</t>
        </is>
      </c>
    </row>
    <row r="5918">
      <c r="A5918" s="1" t="n">
        <v>5917</v>
      </c>
      <c r="B5918">
        <f>TEXT(5917, "[$-0E0000]yyyy-mm-dd")</f>
        <v/>
      </c>
      <c r="C5918" t="inlineStr">
        <is>
          <t>1916-02-11</t>
        </is>
      </c>
    </row>
    <row r="5919">
      <c r="A5919" s="1" t="n">
        <v>5918</v>
      </c>
      <c r="B5919">
        <f>TEXT(5918, "[$-0E0000]yyyy-mm-dd")</f>
        <v/>
      </c>
      <c r="C5919" t="inlineStr">
        <is>
          <t>1916-02-12</t>
        </is>
      </c>
    </row>
    <row r="5920">
      <c r="A5920" s="1" t="n">
        <v>5919</v>
      </c>
      <c r="B5920">
        <f>TEXT(5919, "[$-0E0000]yyyy-mm-dd")</f>
        <v/>
      </c>
      <c r="C5920" t="inlineStr">
        <is>
          <t>1916-02-13</t>
        </is>
      </c>
    </row>
    <row r="5921">
      <c r="A5921" s="1" t="n">
        <v>5920</v>
      </c>
      <c r="B5921">
        <f>TEXT(5920, "[$-0E0000]yyyy-mm-dd")</f>
        <v/>
      </c>
      <c r="C5921" t="inlineStr">
        <is>
          <t>1916-02-14</t>
        </is>
      </c>
    </row>
    <row r="5922">
      <c r="A5922" s="1" t="n">
        <v>5921</v>
      </c>
      <c r="B5922">
        <f>TEXT(5921, "[$-0E0000]yyyy-mm-dd")</f>
        <v/>
      </c>
      <c r="C5922" t="inlineStr">
        <is>
          <t>1916-02-15</t>
        </is>
      </c>
    </row>
    <row r="5923">
      <c r="A5923" s="1" t="n">
        <v>5922</v>
      </c>
      <c r="B5923">
        <f>TEXT(5922, "[$-0E0000]yyyy-mm-dd")</f>
        <v/>
      </c>
      <c r="C5923" t="inlineStr">
        <is>
          <t>1916-02-16</t>
        </is>
      </c>
    </row>
    <row r="5924">
      <c r="A5924" s="1" t="n">
        <v>5923</v>
      </c>
      <c r="B5924">
        <f>TEXT(5923, "[$-0E0000]yyyy-mm-dd")</f>
        <v/>
      </c>
      <c r="C5924" t="inlineStr">
        <is>
          <t>1916-02-17</t>
        </is>
      </c>
    </row>
    <row r="5925">
      <c r="A5925" s="1" t="n">
        <v>5924</v>
      </c>
      <c r="B5925">
        <f>TEXT(5924, "[$-0E0000]yyyy-mm-dd")</f>
        <v/>
      </c>
      <c r="C5925" t="inlineStr">
        <is>
          <t>1916-02-18</t>
        </is>
      </c>
    </row>
    <row r="5926">
      <c r="A5926" s="1" t="n">
        <v>5925</v>
      </c>
      <c r="B5926">
        <f>TEXT(5925, "[$-0E0000]yyyy-mm-dd")</f>
        <v/>
      </c>
      <c r="C5926" t="inlineStr">
        <is>
          <t>1916-02-19</t>
        </is>
      </c>
    </row>
    <row r="5927">
      <c r="A5927" s="1" t="n">
        <v>5926</v>
      </c>
      <c r="B5927">
        <f>TEXT(5926, "[$-0E0000]yyyy-mm-dd")</f>
        <v/>
      </c>
      <c r="C5927" t="inlineStr">
        <is>
          <t>1916-02-20</t>
        </is>
      </c>
    </row>
    <row r="5928">
      <c r="A5928" s="1" t="n">
        <v>5927</v>
      </c>
      <c r="B5928">
        <f>TEXT(5927, "[$-0E0000]yyyy-mm-dd")</f>
        <v/>
      </c>
      <c r="C5928" t="inlineStr">
        <is>
          <t>1916-02-21</t>
        </is>
      </c>
    </row>
    <row r="5929">
      <c r="A5929" s="1" t="n">
        <v>5928</v>
      </c>
      <c r="B5929">
        <f>TEXT(5928, "[$-0E0000]yyyy-mm-dd")</f>
        <v/>
      </c>
      <c r="C5929" t="inlineStr">
        <is>
          <t>1916-02-22</t>
        </is>
      </c>
    </row>
    <row r="5930">
      <c r="A5930" s="1" t="n">
        <v>5929</v>
      </c>
      <c r="B5930">
        <f>TEXT(5929, "[$-0E0000]yyyy-mm-dd")</f>
        <v/>
      </c>
      <c r="C5930" t="inlineStr">
        <is>
          <t>1916-02-23</t>
        </is>
      </c>
    </row>
    <row r="5931">
      <c r="A5931" s="1" t="n">
        <v>5930</v>
      </c>
      <c r="B5931">
        <f>TEXT(5930, "[$-0E0000]yyyy-mm-dd")</f>
        <v/>
      </c>
      <c r="C5931" t="inlineStr">
        <is>
          <t>1916-02-24</t>
        </is>
      </c>
    </row>
    <row r="5932">
      <c r="A5932" s="1" t="n">
        <v>5931</v>
      </c>
      <c r="B5932">
        <f>TEXT(5931, "[$-0E0000]yyyy-mm-dd")</f>
        <v/>
      </c>
      <c r="C5932" t="inlineStr">
        <is>
          <t>1916-02-25</t>
        </is>
      </c>
    </row>
    <row r="5933">
      <c r="A5933" s="1" t="n">
        <v>5932</v>
      </c>
      <c r="B5933">
        <f>TEXT(5932, "[$-0E0000]yyyy-mm-dd")</f>
        <v/>
      </c>
      <c r="C5933" t="inlineStr">
        <is>
          <t>1916-02-26</t>
        </is>
      </c>
    </row>
    <row r="5934">
      <c r="A5934" s="1" t="n">
        <v>5933</v>
      </c>
      <c r="B5934">
        <f>TEXT(5933, "[$-0E0000]yyyy-mm-dd")</f>
        <v/>
      </c>
      <c r="C5934" t="inlineStr">
        <is>
          <t>1916-02-27</t>
        </is>
      </c>
    </row>
    <row r="5935">
      <c r="A5935" s="1" t="n">
        <v>5934</v>
      </c>
      <c r="B5935">
        <f>TEXT(5934, "[$-0E0000]yyyy-mm-dd")</f>
        <v/>
      </c>
      <c r="C5935" t="inlineStr">
        <is>
          <t>1916-02-28</t>
        </is>
      </c>
    </row>
    <row r="5936">
      <c r="A5936" s="1" t="n">
        <v>5935</v>
      </c>
      <c r="B5936">
        <f>TEXT(5935, "[$-0E0000]yyyy-mm-dd")</f>
        <v/>
      </c>
      <c r="C5936" t="inlineStr">
        <is>
          <t>1916-02-29</t>
        </is>
      </c>
    </row>
    <row r="5937">
      <c r="A5937" s="1" t="n">
        <v>5936</v>
      </c>
      <c r="B5937">
        <f>TEXT(5936, "[$-0E0000]yyyy-mm-dd")</f>
        <v/>
      </c>
      <c r="C5937" t="inlineStr">
        <is>
          <t>1916-02-30</t>
        </is>
      </c>
    </row>
    <row r="5938">
      <c r="A5938" s="1" t="n">
        <v>5937</v>
      </c>
      <c r="B5938">
        <f>TEXT(5937, "[$-0E0000]yyyy-mm-dd")</f>
        <v/>
      </c>
      <c r="C5938" t="inlineStr">
        <is>
          <t>1916-03-01</t>
        </is>
      </c>
    </row>
    <row r="5939">
      <c r="A5939" s="1" t="n">
        <v>5938</v>
      </c>
      <c r="B5939">
        <f>TEXT(5938, "[$-0E0000]yyyy-mm-dd")</f>
        <v/>
      </c>
      <c r="C5939" t="inlineStr">
        <is>
          <t>1916-03-02</t>
        </is>
      </c>
    </row>
    <row r="5940">
      <c r="A5940" s="1" t="n">
        <v>5939</v>
      </c>
      <c r="B5940">
        <f>TEXT(5939, "[$-0E0000]yyyy-mm-dd")</f>
        <v/>
      </c>
      <c r="C5940" t="inlineStr">
        <is>
          <t>1916-03-03</t>
        </is>
      </c>
    </row>
    <row r="5941">
      <c r="A5941" s="1" t="n">
        <v>5940</v>
      </c>
      <c r="B5941">
        <f>TEXT(5940, "[$-0E0000]yyyy-mm-dd")</f>
        <v/>
      </c>
      <c r="C5941" t="inlineStr">
        <is>
          <t>1916-03-04</t>
        </is>
      </c>
    </row>
    <row r="5942">
      <c r="A5942" s="1" t="n">
        <v>5941</v>
      </c>
      <c r="B5942">
        <f>TEXT(5941, "[$-0E0000]yyyy-mm-dd")</f>
        <v/>
      </c>
      <c r="C5942" t="inlineStr">
        <is>
          <t>1916-03-05</t>
        </is>
      </c>
    </row>
    <row r="5943">
      <c r="A5943" s="1" t="n">
        <v>5942</v>
      </c>
      <c r="B5943">
        <f>TEXT(5942, "[$-0E0000]yyyy-mm-dd")</f>
        <v/>
      </c>
      <c r="C5943" t="inlineStr">
        <is>
          <t>1916-03-06</t>
        </is>
      </c>
    </row>
    <row r="5944">
      <c r="A5944" s="1" t="n">
        <v>5943</v>
      </c>
      <c r="B5944">
        <f>TEXT(5943, "[$-0E0000]yyyy-mm-dd")</f>
        <v/>
      </c>
      <c r="C5944" t="inlineStr">
        <is>
          <t>1916-03-07</t>
        </is>
      </c>
    </row>
    <row r="5945">
      <c r="A5945" s="1" t="n">
        <v>5944</v>
      </c>
      <c r="B5945">
        <f>TEXT(5944, "[$-0E0000]yyyy-mm-dd")</f>
        <v/>
      </c>
      <c r="C5945" t="inlineStr">
        <is>
          <t>1916-03-08</t>
        </is>
      </c>
    </row>
    <row r="5946">
      <c r="A5946" s="1" t="n">
        <v>5945</v>
      </c>
      <c r="B5946">
        <f>TEXT(5945, "[$-0E0000]yyyy-mm-dd")</f>
        <v/>
      </c>
      <c r="C5946" t="inlineStr">
        <is>
          <t>1916-03-09</t>
        </is>
      </c>
    </row>
    <row r="5947">
      <c r="A5947" s="1" t="n">
        <v>5946</v>
      </c>
      <c r="B5947">
        <f>TEXT(5946, "[$-0E0000]yyyy-mm-dd")</f>
        <v/>
      </c>
      <c r="C5947" t="inlineStr">
        <is>
          <t>1916-03-10</t>
        </is>
      </c>
    </row>
    <row r="5948">
      <c r="A5948" s="1" t="n">
        <v>5947</v>
      </c>
      <c r="B5948">
        <f>TEXT(5947, "[$-0E0000]yyyy-mm-dd")</f>
        <v/>
      </c>
      <c r="C5948" t="inlineStr">
        <is>
          <t>1916-03-11</t>
        </is>
      </c>
    </row>
    <row r="5949">
      <c r="A5949" s="1" t="n">
        <v>5948</v>
      </c>
      <c r="B5949">
        <f>TEXT(5948, "[$-0E0000]yyyy-mm-dd")</f>
        <v/>
      </c>
      <c r="C5949" t="inlineStr">
        <is>
          <t>1916-03-12</t>
        </is>
      </c>
    </row>
    <row r="5950">
      <c r="A5950" s="1" t="n">
        <v>5949</v>
      </c>
      <c r="B5950">
        <f>TEXT(5949, "[$-0E0000]yyyy-mm-dd")</f>
        <v/>
      </c>
      <c r="C5950" t="inlineStr">
        <is>
          <t>1916-03-13</t>
        </is>
      </c>
    </row>
    <row r="5951">
      <c r="A5951" s="1" t="n">
        <v>5950</v>
      </c>
      <c r="B5951">
        <f>TEXT(5950, "[$-0E0000]yyyy-mm-dd")</f>
        <v/>
      </c>
      <c r="C5951" t="inlineStr">
        <is>
          <t>1916-03-14</t>
        </is>
      </c>
    </row>
    <row r="5952">
      <c r="A5952" s="1" t="n">
        <v>5951</v>
      </c>
      <c r="B5952">
        <f>TEXT(5951, "[$-0E0000]yyyy-mm-dd")</f>
        <v/>
      </c>
      <c r="C5952" t="inlineStr">
        <is>
          <t>1916-03-15</t>
        </is>
      </c>
    </row>
    <row r="5953">
      <c r="A5953" s="1" t="n">
        <v>5952</v>
      </c>
      <c r="B5953">
        <f>TEXT(5952, "[$-0E0000]yyyy-mm-dd")</f>
        <v/>
      </c>
      <c r="C5953" t="inlineStr">
        <is>
          <t>1916-03-16</t>
        </is>
      </c>
    </row>
    <row r="5954">
      <c r="A5954" s="1" t="n">
        <v>5953</v>
      </c>
      <c r="B5954">
        <f>TEXT(5953, "[$-0E0000]yyyy-mm-dd")</f>
        <v/>
      </c>
      <c r="C5954" t="inlineStr">
        <is>
          <t>1916-03-17</t>
        </is>
      </c>
    </row>
    <row r="5955">
      <c r="A5955" s="1" t="n">
        <v>5954</v>
      </c>
      <c r="B5955">
        <f>TEXT(5954, "[$-0E0000]yyyy-mm-dd")</f>
        <v/>
      </c>
      <c r="C5955" t="inlineStr">
        <is>
          <t>1916-03-18</t>
        </is>
      </c>
    </row>
    <row r="5956">
      <c r="A5956" s="1" t="n">
        <v>5955</v>
      </c>
      <c r="B5956">
        <f>TEXT(5955, "[$-0E0000]yyyy-mm-dd")</f>
        <v/>
      </c>
      <c r="C5956" t="inlineStr">
        <is>
          <t>1916-03-19</t>
        </is>
      </c>
    </row>
    <row r="5957">
      <c r="A5957" s="1" t="n">
        <v>5956</v>
      </c>
      <c r="B5957">
        <f>TEXT(5956, "[$-0E0000]yyyy-mm-dd")</f>
        <v/>
      </c>
      <c r="C5957" t="inlineStr">
        <is>
          <t>1916-03-20</t>
        </is>
      </c>
    </row>
    <row r="5958">
      <c r="A5958" s="1" t="n">
        <v>5957</v>
      </c>
      <c r="B5958">
        <f>TEXT(5957, "[$-0E0000]yyyy-mm-dd")</f>
        <v/>
      </c>
      <c r="C5958" t="inlineStr">
        <is>
          <t>1916-03-21</t>
        </is>
      </c>
    </row>
    <row r="5959">
      <c r="A5959" s="1" t="n">
        <v>5958</v>
      </c>
      <c r="B5959">
        <f>TEXT(5958, "[$-0E0000]yyyy-mm-dd")</f>
        <v/>
      </c>
      <c r="C5959" t="inlineStr">
        <is>
          <t>1916-03-22</t>
        </is>
      </c>
    </row>
    <row r="5960">
      <c r="A5960" s="1" t="n">
        <v>5959</v>
      </c>
      <c r="B5960">
        <f>TEXT(5959, "[$-0E0000]yyyy-mm-dd")</f>
        <v/>
      </c>
      <c r="C5960" t="inlineStr">
        <is>
          <t>1916-03-23</t>
        </is>
      </c>
    </row>
    <row r="5961">
      <c r="A5961" s="1" t="n">
        <v>5960</v>
      </c>
      <c r="B5961">
        <f>TEXT(5960, "[$-0E0000]yyyy-mm-dd")</f>
        <v/>
      </c>
      <c r="C5961" t="inlineStr">
        <is>
          <t>1916-03-24</t>
        </is>
      </c>
    </row>
    <row r="5962">
      <c r="A5962" s="1" t="n">
        <v>5961</v>
      </c>
      <c r="B5962">
        <f>TEXT(5961, "[$-0E0000]yyyy-mm-dd")</f>
        <v/>
      </c>
      <c r="C5962" t="inlineStr">
        <is>
          <t>1916-03-25</t>
        </is>
      </c>
    </row>
    <row r="5963">
      <c r="A5963" s="1" t="n">
        <v>5962</v>
      </c>
      <c r="B5963">
        <f>TEXT(5962, "[$-0E0000]yyyy-mm-dd")</f>
        <v/>
      </c>
      <c r="C5963" t="inlineStr">
        <is>
          <t>1916-03-26</t>
        </is>
      </c>
    </row>
    <row r="5964">
      <c r="A5964" s="1" t="n">
        <v>5963</v>
      </c>
      <c r="B5964">
        <f>TEXT(5963, "[$-0E0000]yyyy-mm-dd")</f>
        <v/>
      </c>
      <c r="C5964" t="inlineStr">
        <is>
          <t>1916-03-27</t>
        </is>
      </c>
    </row>
    <row r="5965">
      <c r="A5965" s="1" t="n">
        <v>5964</v>
      </c>
      <c r="B5965">
        <f>TEXT(5964, "[$-0E0000]yyyy-mm-dd")</f>
        <v/>
      </c>
      <c r="C5965" t="inlineStr">
        <is>
          <t>1916-03-28</t>
        </is>
      </c>
    </row>
    <row r="5966">
      <c r="A5966" s="1" t="n">
        <v>5965</v>
      </c>
      <c r="B5966">
        <f>TEXT(5965, "[$-0E0000]yyyy-mm-dd")</f>
        <v/>
      </c>
      <c r="C5966" t="inlineStr">
        <is>
          <t>1916-03-29</t>
        </is>
      </c>
    </row>
    <row r="5967">
      <c r="A5967" s="1" t="n">
        <v>5966</v>
      </c>
      <c r="B5967">
        <f>TEXT(5966, "[$-0E0000]yyyy-mm-dd")</f>
        <v/>
      </c>
      <c r="C5967" t="inlineStr">
        <is>
          <t>1916-04-01</t>
        </is>
      </c>
    </row>
    <row r="5968">
      <c r="A5968" s="1" t="n">
        <v>5967</v>
      </c>
      <c r="B5968">
        <f>TEXT(5967, "[$-0E0000]yyyy-mm-dd")</f>
        <v/>
      </c>
      <c r="C5968" t="inlineStr">
        <is>
          <t>1916-04-02</t>
        </is>
      </c>
    </row>
    <row r="5969">
      <c r="A5969" s="1" t="n">
        <v>5968</v>
      </c>
      <c r="B5969">
        <f>TEXT(5968, "[$-0E0000]yyyy-mm-dd")</f>
        <v/>
      </c>
      <c r="C5969" t="inlineStr">
        <is>
          <t>1916-04-03</t>
        </is>
      </c>
    </row>
    <row r="5970">
      <c r="A5970" s="1" t="n">
        <v>5969</v>
      </c>
      <c r="B5970">
        <f>TEXT(5969, "[$-0E0000]yyyy-mm-dd")</f>
        <v/>
      </c>
      <c r="C5970" t="inlineStr">
        <is>
          <t>1916-04-04</t>
        </is>
      </c>
    </row>
    <row r="5971">
      <c r="A5971" s="1" t="n">
        <v>5970</v>
      </c>
      <c r="B5971">
        <f>TEXT(5970, "[$-0E0000]yyyy-mm-dd")</f>
        <v/>
      </c>
      <c r="C5971" t="inlineStr">
        <is>
          <t>1916-04-05</t>
        </is>
      </c>
    </row>
    <row r="5972">
      <c r="A5972" s="1" t="n">
        <v>5971</v>
      </c>
      <c r="B5972">
        <f>TEXT(5971, "[$-0E0000]yyyy-mm-dd")</f>
        <v/>
      </c>
      <c r="C5972" t="inlineStr">
        <is>
          <t>1916-04-06</t>
        </is>
      </c>
    </row>
    <row r="5973">
      <c r="A5973" s="1" t="n">
        <v>5972</v>
      </c>
      <c r="B5973">
        <f>TEXT(5972, "[$-0E0000]yyyy-mm-dd")</f>
        <v/>
      </c>
      <c r="C5973" t="inlineStr">
        <is>
          <t>1916-04-07</t>
        </is>
      </c>
    </row>
    <row r="5974">
      <c r="A5974" s="1" t="n">
        <v>5973</v>
      </c>
      <c r="B5974">
        <f>TEXT(5973, "[$-0E0000]yyyy-mm-dd")</f>
        <v/>
      </c>
      <c r="C5974" t="inlineStr">
        <is>
          <t>1916-04-08</t>
        </is>
      </c>
    </row>
    <row r="5975">
      <c r="A5975" s="1" t="n">
        <v>5974</v>
      </c>
      <c r="B5975">
        <f>TEXT(5974, "[$-0E0000]yyyy-mm-dd")</f>
        <v/>
      </c>
      <c r="C5975" t="inlineStr">
        <is>
          <t>1916-04-09</t>
        </is>
      </c>
    </row>
    <row r="5976">
      <c r="A5976" s="1" t="n">
        <v>5975</v>
      </c>
      <c r="B5976">
        <f>TEXT(5975, "[$-0E0000]yyyy-mm-dd")</f>
        <v/>
      </c>
      <c r="C5976" t="inlineStr">
        <is>
          <t>1916-04-10</t>
        </is>
      </c>
    </row>
    <row r="5977">
      <c r="A5977" s="1" t="n">
        <v>5976</v>
      </c>
      <c r="B5977">
        <f>TEXT(5976, "[$-0E0000]yyyy-mm-dd")</f>
        <v/>
      </c>
      <c r="C5977" t="inlineStr">
        <is>
          <t>1916-04-11</t>
        </is>
      </c>
    </row>
    <row r="5978">
      <c r="A5978" s="1" t="n">
        <v>5977</v>
      </c>
      <c r="B5978">
        <f>TEXT(5977, "[$-0E0000]yyyy-mm-dd")</f>
        <v/>
      </c>
      <c r="C5978" t="inlineStr">
        <is>
          <t>1916-04-12</t>
        </is>
      </c>
    </row>
    <row r="5979">
      <c r="A5979" s="1" t="n">
        <v>5978</v>
      </c>
      <c r="B5979">
        <f>TEXT(5978, "[$-0E0000]yyyy-mm-dd")</f>
        <v/>
      </c>
      <c r="C5979" t="inlineStr">
        <is>
          <t>1916-04-13</t>
        </is>
      </c>
    </row>
    <row r="5980">
      <c r="A5980" s="1" t="n">
        <v>5979</v>
      </c>
      <c r="B5980">
        <f>TEXT(5979, "[$-0E0000]yyyy-mm-dd")</f>
        <v/>
      </c>
      <c r="C5980" t="inlineStr">
        <is>
          <t>1916-04-14</t>
        </is>
      </c>
    </row>
    <row r="5981">
      <c r="A5981" s="1" t="n">
        <v>5980</v>
      </c>
      <c r="B5981">
        <f>TEXT(5980, "[$-0E0000]yyyy-mm-dd")</f>
        <v/>
      </c>
      <c r="C5981" t="inlineStr">
        <is>
          <t>1916-04-15</t>
        </is>
      </c>
    </row>
    <row r="5982">
      <c r="A5982" s="1" t="n">
        <v>5981</v>
      </c>
      <c r="B5982">
        <f>TEXT(5981, "[$-0E0000]yyyy-mm-dd")</f>
        <v/>
      </c>
      <c r="C5982" t="inlineStr">
        <is>
          <t>1916-04-16</t>
        </is>
      </c>
    </row>
    <row r="5983">
      <c r="A5983" s="1" t="n">
        <v>5982</v>
      </c>
      <c r="B5983">
        <f>TEXT(5982, "[$-0E0000]yyyy-mm-dd")</f>
        <v/>
      </c>
      <c r="C5983" t="inlineStr">
        <is>
          <t>1916-04-17</t>
        </is>
      </c>
    </row>
    <row r="5984">
      <c r="A5984" s="1" t="n">
        <v>5983</v>
      </c>
      <c r="B5984">
        <f>TEXT(5983, "[$-0E0000]yyyy-mm-dd")</f>
        <v/>
      </c>
      <c r="C5984" t="inlineStr">
        <is>
          <t>1916-04-18</t>
        </is>
      </c>
    </row>
    <row r="5985">
      <c r="A5985" s="1" t="n">
        <v>5984</v>
      </c>
      <c r="B5985">
        <f>TEXT(5984, "[$-0E0000]yyyy-mm-dd")</f>
        <v/>
      </c>
      <c r="C5985" t="inlineStr">
        <is>
          <t>1916-04-19</t>
        </is>
      </c>
    </row>
    <row r="5986">
      <c r="A5986" s="1" t="n">
        <v>5985</v>
      </c>
      <c r="B5986">
        <f>TEXT(5985, "[$-0E0000]yyyy-mm-dd")</f>
        <v/>
      </c>
      <c r="C5986" t="inlineStr">
        <is>
          <t>1916-04-20</t>
        </is>
      </c>
    </row>
    <row r="5987">
      <c r="A5987" s="1" t="n">
        <v>5986</v>
      </c>
      <c r="B5987">
        <f>TEXT(5986, "[$-0E0000]yyyy-mm-dd")</f>
        <v/>
      </c>
      <c r="C5987" t="inlineStr">
        <is>
          <t>1916-04-21</t>
        </is>
      </c>
    </row>
    <row r="5988">
      <c r="A5988" s="1" t="n">
        <v>5987</v>
      </c>
      <c r="B5988">
        <f>TEXT(5987, "[$-0E0000]yyyy-mm-dd")</f>
        <v/>
      </c>
      <c r="C5988" t="inlineStr">
        <is>
          <t>1916-04-22</t>
        </is>
      </c>
    </row>
    <row r="5989">
      <c r="A5989" s="1" t="n">
        <v>5988</v>
      </c>
      <c r="B5989">
        <f>TEXT(5988, "[$-0E0000]yyyy-mm-dd")</f>
        <v/>
      </c>
      <c r="C5989" t="inlineStr">
        <is>
          <t>1916-04-23</t>
        </is>
      </c>
    </row>
    <row r="5990">
      <c r="A5990" s="1" t="n">
        <v>5989</v>
      </c>
      <c r="B5990">
        <f>TEXT(5989, "[$-0E0000]yyyy-mm-dd")</f>
        <v/>
      </c>
      <c r="C5990" t="inlineStr">
        <is>
          <t>1916-04-24</t>
        </is>
      </c>
    </row>
    <row r="5991">
      <c r="A5991" s="1" t="n">
        <v>5990</v>
      </c>
      <c r="B5991">
        <f>TEXT(5990, "[$-0E0000]yyyy-mm-dd")</f>
        <v/>
      </c>
      <c r="C5991" t="inlineStr">
        <is>
          <t>1916-04-25</t>
        </is>
      </c>
    </row>
    <row r="5992">
      <c r="A5992" s="1" t="n">
        <v>5991</v>
      </c>
      <c r="B5992">
        <f>TEXT(5991, "[$-0E0000]yyyy-mm-dd")</f>
        <v/>
      </c>
      <c r="C5992" t="inlineStr">
        <is>
          <t>1916-04-26</t>
        </is>
      </c>
    </row>
    <row r="5993">
      <c r="A5993" s="1" t="n">
        <v>5992</v>
      </c>
      <c r="B5993">
        <f>TEXT(5992, "[$-0E0000]yyyy-mm-dd")</f>
        <v/>
      </c>
      <c r="C5993" t="inlineStr">
        <is>
          <t>1916-04-27</t>
        </is>
      </c>
    </row>
    <row r="5994">
      <c r="A5994" s="1" t="n">
        <v>5993</v>
      </c>
      <c r="B5994">
        <f>TEXT(5993, "[$-0E0000]yyyy-mm-dd")</f>
        <v/>
      </c>
      <c r="C5994" t="inlineStr">
        <is>
          <t>1916-04-28</t>
        </is>
      </c>
    </row>
    <row r="5995">
      <c r="A5995" s="1" t="n">
        <v>5994</v>
      </c>
      <c r="B5995">
        <f>TEXT(5994, "[$-0E0000]yyyy-mm-dd")</f>
        <v/>
      </c>
      <c r="C5995" t="inlineStr">
        <is>
          <t>1916-04-29</t>
        </is>
      </c>
    </row>
    <row r="5996">
      <c r="A5996" s="1" t="n">
        <v>5995</v>
      </c>
      <c r="B5996">
        <f>TEXT(5995, "[$-0E0000]yyyy-mm-dd")</f>
        <v/>
      </c>
      <c r="C5996" t="inlineStr">
        <is>
          <t>1916-04-30</t>
        </is>
      </c>
    </row>
    <row r="5997">
      <c r="A5997" s="1" t="n">
        <v>5996</v>
      </c>
      <c r="B5997">
        <f>TEXT(5996, "[$-0E0000]yyyy-mm-dd")</f>
        <v/>
      </c>
      <c r="C5997" t="inlineStr">
        <is>
          <t>1916-05-01</t>
        </is>
      </c>
    </row>
    <row r="5998">
      <c r="A5998" s="1" t="n">
        <v>5997</v>
      </c>
      <c r="B5998">
        <f>TEXT(5997, "[$-0E0000]yyyy-mm-dd")</f>
        <v/>
      </c>
      <c r="C5998" t="inlineStr">
        <is>
          <t>1916-05-02</t>
        </is>
      </c>
    </row>
    <row r="5999">
      <c r="A5999" s="1" t="n">
        <v>5998</v>
      </c>
      <c r="B5999">
        <f>TEXT(5998, "[$-0E0000]yyyy-mm-dd")</f>
        <v/>
      </c>
      <c r="C5999" t="inlineStr">
        <is>
          <t>1916-05-03</t>
        </is>
      </c>
    </row>
    <row r="6000">
      <c r="A6000" s="1" t="n">
        <v>5999</v>
      </c>
      <c r="B6000">
        <f>TEXT(5999, "[$-0E0000]yyyy-mm-dd")</f>
        <v/>
      </c>
      <c r="C6000" t="inlineStr">
        <is>
          <t>1916-05-04</t>
        </is>
      </c>
    </row>
    <row r="6001">
      <c r="A6001" s="1" t="n">
        <v>6000</v>
      </c>
      <c r="B6001">
        <f>TEXT(6000, "[$-0E0000]yyyy-mm-dd")</f>
        <v/>
      </c>
      <c r="C6001" t="inlineStr">
        <is>
          <t>1916-05-05</t>
        </is>
      </c>
    </row>
    <row r="6002">
      <c r="A6002" s="1" t="n">
        <v>6001</v>
      </c>
      <c r="B6002">
        <f>TEXT(6001, "[$-0E0000]yyyy-mm-dd")</f>
        <v/>
      </c>
      <c r="C6002" t="inlineStr">
        <is>
          <t>1916-05-06</t>
        </is>
      </c>
    </row>
    <row r="6003">
      <c r="A6003" s="1" t="n">
        <v>6002</v>
      </c>
      <c r="B6003">
        <f>TEXT(6002, "[$-0E0000]yyyy-mm-dd")</f>
        <v/>
      </c>
      <c r="C6003" t="inlineStr">
        <is>
          <t>1916-05-07</t>
        </is>
      </c>
    </row>
    <row r="6004">
      <c r="A6004" s="1" t="n">
        <v>6003</v>
      </c>
      <c r="B6004">
        <f>TEXT(6003, "[$-0E0000]yyyy-mm-dd")</f>
        <v/>
      </c>
      <c r="C6004" t="inlineStr">
        <is>
          <t>1916-05-08</t>
        </is>
      </c>
    </row>
    <row r="6005">
      <c r="A6005" s="1" t="n">
        <v>6004</v>
      </c>
      <c r="B6005">
        <f>TEXT(6004, "[$-0E0000]yyyy-mm-dd")</f>
        <v/>
      </c>
      <c r="C6005" t="inlineStr">
        <is>
          <t>1916-05-09</t>
        </is>
      </c>
    </row>
    <row r="6006">
      <c r="A6006" s="1" t="n">
        <v>6005</v>
      </c>
      <c r="B6006">
        <f>TEXT(6005, "[$-0E0000]yyyy-mm-dd")</f>
        <v/>
      </c>
      <c r="C6006" t="inlineStr">
        <is>
          <t>1916-05-10</t>
        </is>
      </c>
    </row>
    <row r="6007">
      <c r="A6007" s="1" t="n">
        <v>6006</v>
      </c>
      <c r="B6007">
        <f>TEXT(6006, "[$-0E0000]yyyy-mm-dd")</f>
        <v/>
      </c>
      <c r="C6007" t="inlineStr">
        <is>
          <t>1916-05-11</t>
        </is>
      </c>
    </row>
    <row r="6008">
      <c r="A6008" s="1" t="n">
        <v>6007</v>
      </c>
      <c r="B6008">
        <f>TEXT(6007, "[$-0E0000]yyyy-mm-dd")</f>
        <v/>
      </c>
      <c r="C6008" t="inlineStr">
        <is>
          <t>1916-05-12</t>
        </is>
      </c>
    </row>
    <row r="6009">
      <c r="A6009" s="1" t="n">
        <v>6008</v>
      </c>
      <c r="B6009">
        <f>TEXT(6008, "[$-0E0000]yyyy-mm-dd")</f>
        <v/>
      </c>
      <c r="C6009" t="inlineStr">
        <is>
          <t>1916-05-13</t>
        </is>
      </c>
    </row>
    <row r="6010">
      <c r="A6010" s="1" t="n">
        <v>6009</v>
      </c>
      <c r="B6010">
        <f>TEXT(6009, "[$-0E0000]yyyy-mm-dd")</f>
        <v/>
      </c>
      <c r="C6010" t="inlineStr">
        <is>
          <t>1916-05-14</t>
        </is>
      </c>
    </row>
    <row r="6011">
      <c r="A6011" s="1" t="n">
        <v>6010</v>
      </c>
      <c r="B6011">
        <f>TEXT(6010, "[$-0E0000]yyyy-mm-dd")</f>
        <v/>
      </c>
      <c r="C6011" t="inlineStr">
        <is>
          <t>1916-05-15</t>
        </is>
      </c>
    </row>
    <row r="6012">
      <c r="A6012" s="1" t="n">
        <v>6011</v>
      </c>
      <c r="B6012">
        <f>TEXT(6011, "[$-0E0000]yyyy-mm-dd")</f>
        <v/>
      </c>
      <c r="C6012" t="inlineStr">
        <is>
          <t>1916-05-16</t>
        </is>
      </c>
    </row>
    <row r="6013">
      <c r="A6013" s="1" t="n">
        <v>6012</v>
      </c>
      <c r="B6013">
        <f>TEXT(6012, "[$-0E0000]yyyy-mm-dd")</f>
        <v/>
      </c>
      <c r="C6013" t="inlineStr">
        <is>
          <t>1916-05-17</t>
        </is>
      </c>
    </row>
    <row r="6014">
      <c r="A6014" s="1" t="n">
        <v>6013</v>
      </c>
      <c r="B6014">
        <f>TEXT(6013, "[$-0E0000]yyyy-mm-dd")</f>
        <v/>
      </c>
      <c r="C6014" t="inlineStr">
        <is>
          <t>1916-05-18</t>
        </is>
      </c>
    </row>
    <row r="6015">
      <c r="A6015" s="1" t="n">
        <v>6014</v>
      </c>
      <c r="B6015">
        <f>TEXT(6014, "[$-0E0000]yyyy-mm-dd")</f>
        <v/>
      </c>
      <c r="C6015" t="inlineStr">
        <is>
          <t>1916-05-19</t>
        </is>
      </c>
    </row>
    <row r="6016">
      <c r="A6016" s="1" t="n">
        <v>6015</v>
      </c>
      <c r="B6016">
        <f>TEXT(6015, "[$-0E0000]yyyy-mm-dd")</f>
        <v/>
      </c>
      <c r="C6016" t="inlineStr">
        <is>
          <t>1916-05-20</t>
        </is>
      </c>
    </row>
    <row r="6017">
      <c r="A6017" s="1" t="n">
        <v>6016</v>
      </c>
      <c r="B6017">
        <f>TEXT(6016, "[$-0E0000]yyyy-mm-dd")</f>
        <v/>
      </c>
      <c r="C6017" t="inlineStr">
        <is>
          <t>1916-05-21</t>
        </is>
      </c>
    </row>
    <row r="6018">
      <c r="A6018" s="1" t="n">
        <v>6017</v>
      </c>
      <c r="B6018">
        <f>TEXT(6017, "[$-0E0000]yyyy-mm-dd")</f>
        <v/>
      </c>
      <c r="C6018" t="inlineStr">
        <is>
          <t>1916-05-22</t>
        </is>
      </c>
    </row>
    <row r="6019">
      <c r="A6019" s="1" t="n">
        <v>6018</v>
      </c>
      <c r="B6019">
        <f>TEXT(6018, "[$-0E0000]yyyy-mm-dd")</f>
        <v/>
      </c>
      <c r="C6019" t="inlineStr">
        <is>
          <t>1916-05-23</t>
        </is>
      </c>
    </row>
    <row r="6020">
      <c r="A6020" s="1" t="n">
        <v>6019</v>
      </c>
      <c r="B6020">
        <f>TEXT(6019, "[$-0E0000]yyyy-mm-dd")</f>
        <v/>
      </c>
      <c r="C6020" t="inlineStr">
        <is>
          <t>1916-05-24</t>
        </is>
      </c>
    </row>
    <row r="6021">
      <c r="A6021" s="1" t="n">
        <v>6020</v>
      </c>
      <c r="B6021">
        <f>TEXT(6020, "[$-0E0000]yyyy-mm-dd")</f>
        <v/>
      </c>
      <c r="C6021" t="inlineStr">
        <is>
          <t>1916-05-25</t>
        </is>
      </c>
    </row>
    <row r="6022">
      <c r="A6022" s="1" t="n">
        <v>6021</v>
      </c>
      <c r="B6022">
        <f>TEXT(6021, "[$-0E0000]yyyy-mm-dd")</f>
        <v/>
      </c>
      <c r="C6022" t="inlineStr">
        <is>
          <t>1916-05-26</t>
        </is>
      </c>
    </row>
    <row r="6023">
      <c r="A6023" s="1" t="n">
        <v>6022</v>
      </c>
      <c r="B6023">
        <f>TEXT(6022, "[$-0E0000]yyyy-mm-dd")</f>
        <v/>
      </c>
      <c r="C6023" t="inlineStr">
        <is>
          <t>1916-05-27</t>
        </is>
      </c>
    </row>
    <row r="6024">
      <c r="A6024" s="1" t="n">
        <v>6023</v>
      </c>
      <c r="B6024">
        <f>TEXT(6023, "[$-0E0000]yyyy-mm-dd")</f>
        <v/>
      </c>
      <c r="C6024" t="inlineStr">
        <is>
          <t>1916-05-28</t>
        </is>
      </c>
    </row>
    <row r="6025">
      <c r="A6025" s="1" t="n">
        <v>6024</v>
      </c>
      <c r="B6025">
        <f>TEXT(6024, "[$-0E0000]yyyy-mm-dd")</f>
        <v/>
      </c>
      <c r="C6025" t="inlineStr">
        <is>
          <t>1916-05-29</t>
        </is>
      </c>
    </row>
    <row r="6026">
      <c r="A6026" s="1" t="n">
        <v>6025</v>
      </c>
      <c r="B6026">
        <f>TEXT(6025, "[$-0E0000]yyyy-mm-dd")</f>
        <v/>
      </c>
      <c r="C6026" t="inlineStr">
        <is>
          <t>1916-06-01</t>
        </is>
      </c>
    </row>
    <row r="6027">
      <c r="A6027" s="1" t="n">
        <v>6026</v>
      </c>
      <c r="B6027">
        <f>TEXT(6026, "[$-0E0000]yyyy-mm-dd")</f>
        <v/>
      </c>
      <c r="C6027" t="inlineStr">
        <is>
          <t>1916-06-02</t>
        </is>
      </c>
    </row>
    <row r="6028">
      <c r="A6028" s="1" t="n">
        <v>6027</v>
      </c>
      <c r="B6028">
        <f>TEXT(6027, "[$-0E0000]yyyy-mm-dd")</f>
        <v/>
      </c>
      <c r="C6028" t="inlineStr">
        <is>
          <t>1916-06-03</t>
        </is>
      </c>
    </row>
    <row r="6029">
      <c r="A6029" s="1" t="n">
        <v>6028</v>
      </c>
      <c r="B6029">
        <f>TEXT(6028, "[$-0E0000]yyyy-mm-dd")</f>
        <v/>
      </c>
      <c r="C6029" t="inlineStr">
        <is>
          <t>1916-06-04</t>
        </is>
      </c>
    </row>
    <row r="6030">
      <c r="A6030" s="1" t="n">
        <v>6029</v>
      </c>
      <c r="B6030">
        <f>TEXT(6029, "[$-0E0000]yyyy-mm-dd")</f>
        <v/>
      </c>
      <c r="C6030" t="inlineStr">
        <is>
          <t>1916-06-05</t>
        </is>
      </c>
    </row>
    <row r="6031">
      <c r="A6031" s="1" t="n">
        <v>6030</v>
      </c>
      <c r="B6031">
        <f>TEXT(6030, "[$-0E0000]yyyy-mm-dd")</f>
        <v/>
      </c>
      <c r="C6031" t="inlineStr">
        <is>
          <t>1916-06-06</t>
        </is>
      </c>
    </row>
    <row r="6032">
      <c r="A6032" s="1" t="n">
        <v>6031</v>
      </c>
      <c r="B6032">
        <f>TEXT(6031, "[$-0E0000]yyyy-mm-dd")</f>
        <v/>
      </c>
      <c r="C6032" t="inlineStr">
        <is>
          <t>1916-06-07</t>
        </is>
      </c>
    </row>
    <row r="6033">
      <c r="A6033" s="1" t="n">
        <v>6032</v>
      </c>
      <c r="B6033">
        <f>TEXT(6032, "[$-0E0000]yyyy-mm-dd")</f>
        <v/>
      </c>
      <c r="C6033" t="inlineStr">
        <is>
          <t>1916-06-08</t>
        </is>
      </c>
    </row>
    <row r="6034">
      <c r="A6034" s="1" t="n">
        <v>6033</v>
      </c>
      <c r="B6034">
        <f>TEXT(6033, "[$-0E0000]yyyy-mm-dd")</f>
        <v/>
      </c>
      <c r="C6034" t="inlineStr">
        <is>
          <t>1916-06-09</t>
        </is>
      </c>
    </row>
    <row r="6035">
      <c r="A6035" s="1" t="n">
        <v>6034</v>
      </c>
      <c r="B6035">
        <f>TEXT(6034, "[$-0E0000]yyyy-mm-dd")</f>
        <v/>
      </c>
      <c r="C6035" t="inlineStr">
        <is>
          <t>1916-06-10</t>
        </is>
      </c>
    </row>
    <row r="6036">
      <c r="A6036" s="1" t="n">
        <v>6035</v>
      </c>
      <c r="B6036">
        <f>TEXT(6035, "[$-0E0000]yyyy-mm-dd")</f>
        <v/>
      </c>
      <c r="C6036" t="inlineStr">
        <is>
          <t>1916-06-11</t>
        </is>
      </c>
    </row>
    <row r="6037">
      <c r="A6037" s="1" t="n">
        <v>6036</v>
      </c>
      <c r="B6037">
        <f>TEXT(6036, "[$-0E0000]yyyy-mm-dd")</f>
        <v/>
      </c>
      <c r="C6037" t="inlineStr">
        <is>
          <t>1916-06-12</t>
        </is>
      </c>
    </row>
    <row r="6038">
      <c r="A6038" s="1" t="n">
        <v>6037</v>
      </c>
      <c r="B6038">
        <f>TEXT(6037, "[$-0E0000]yyyy-mm-dd")</f>
        <v/>
      </c>
      <c r="C6038" t="inlineStr">
        <is>
          <t>1916-06-13</t>
        </is>
      </c>
    </row>
    <row r="6039">
      <c r="A6039" s="1" t="n">
        <v>6038</v>
      </c>
      <c r="B6039">
        <f>TEXT(6038, "[$-0E0000]yyyy-mm-dd")</f>
        <v/>
      </c>
      <c r="C6039" t="inlineStr">
        <is>
          <t>1916-06-14</t>
        </is>
      </c>
    </row>
    <row r="6040">
      <c r="A6040" s="1" t="n">
        <v>6039</v>
      </c>
      <c r="B6040">
        <f>TEXT(6039, "[$-0E0000]yyyy-mm-dd")</f>
        <v/>
      </c>
      <c r="C6040" t="inlineStr">
        <is>
          <t>1916-06-15</t>
        </is>
      </c>
    </row>
    <row r="6041">
      <c r="A6041" s="1" t="n">
        <v>6040</v>
      </c>
      <c r="B6041">
        <f>TEXT(6040, "[$-0E0000]yyyy-mm-dd")</f>
        <v/>
      </c>
      <c r="C6041" t="inlineStr">
        <is>
          <t>1916-06-16</t>
        </is>
      </c>
    </row>
    <row r="6042">
      <c r="A6042" s="1" t="n">
        <v>6041</v>
      </c>
      <c r="B6042">
        <f>TEXT(6041, "[$-0E0000]yyyy-mm-dd")</f>
        <v/>
      </c>
      <c r="C6042" t="inlineStr">
        <is>
          <t>1916-06-17</t>
        </is>
      </c>
    </row>
    <row r="6043">
      <c r="A6043" s="1" t="n">
        <v>6042</v>
      </c>
      <c r="B6043">
        <f>TEXT(6042, "[$-0E0000]yyyy-mm-dd")</f>
        <v/>
      </c>
      <c r="C6043" t="inlineStr">
        <is>
          <t>1916-06-18</t>
        </is>
      </c>
    </row>
    <row r="6044">
      <c r="A6044" s="1" t="n">
        <v>6043</v>
      </c>
      <c r="B6044">
        <f>TEXT(6043, "[$-0E0000]yyyy-mm-dd")</f>
        <v/>
      </c>
      <c r="C6044" t="inlineStr">
        <is>
          <t>1916-06-19</t>
        </is>
      </c>
    </row>
    <row r="6045">
      <c r="A6045" s="1" t="n">
        <v>6044</v>
      </c>
      <c r="B6045">
        <f>TEXT(6044, "[$-0E0000]yyyy-mm-dd")</f>
        <v/>
      </c>
      <c r="C6045" t="inlineStr">
        <is>
          <t>1916-06-20</t>
        </is>
      </c>
    </row>
    <row r="6046">
      <c r="A6046" s="1" t="n">
        <v>6045</v>
      </c>
      <c r="B6046">
        <f>TEXT(6045, "[$-0E0000]yyyy-mm-dd")</f>
        <v/>
      </c>
      <c r="C6046" t="inlineStr">
        <is>
          <t>1916-06-21</t>
        </is>
      </c>
    </row>
    <row r="6047">
      <c r="A6047" s="1" t="n">
        <v>6046</v>
      </c>
      <c r="B6047">
        <f>TEXT(6046, "[$-0E0000]yyyy-mm-dd")</f>
        <v/>
      </c>
      <c r="C6047" t="inlineStr">
        <is>
          <t>1916-06-22</t>
        </is>
      </c>
    </row>
    <row r="6048">
      <c r="A6048" s="1" t="n">
        <v>6047</v>
      </c>
      <c r="B6048">
        <f>TEXT(6047, "[$-0E0000]yyyy-mm-dd")</f>
        <v/>
      </c>
      <c r="C6048" t="inlineStr">
        <is>
          <t>1916-06-23</t>
        </is>
      </c>
    </row>
    <row r="6049">
      <c r="A6049" s="1" t="n">
        <v>6048</v>
      </c>
      <c r="B6049">
        <f>TEXT(6048, "[$-0E0000]yyyy-mm-dd")</f>
        <v/>
      </c>
      <c r="C6049" t="inlineStr">
        <is>
          <t>1916-06-24</t>
        </is>
      </c>
    </row>
    <row r="6050">
      <c r="A6050" s="1" t="n">
        <v>6049</v>
      </c>
      <c r="B6050">
        <f>TEXT(6049, "[$-0E0000]yyyy-mm-dd")</f>
        <v/>
      </c>
      <c r="C6050" t="inlineStr">
        <is>
          <t>1916-06-25</t>
        </is>
      </c>
    </row>
    <row r="6051">
      <c r="A6051" s="1" t="n">
        <v>6050</v>
      </c>
      <c r="B6051">
        <f>TEXT(6050, "[$-0E0000]yyyy-mm-dd")</f>
        <v/>
      </c>
      <c r="C6051" t="inlineStr">
        <is>
          <t>1916-06-26</t>
        </is>
      </c>
    </row>
    <row r="6052">
      <c r="A6052" s="1" t="n">
        <v>6051</v>
      </c>
      <c r="B6052">
        <f>TEXT(6051, "[$-0E0000]yyyy-mm-dd")</f>
        <v/>
      </c>
      <c r="C6052" t="inlineStr">
        <is>
          <t>1916-06-27</t>
        </is>
      </c>
    </row>
    <row r="6053">
      <c r="A6053" s="1" t="n">
        <v>6052</v>
      </c>
      <c r="B6053">
        <f>TEXT(6052, "[$-0E0000]yyyy-mm-dd")</f>
        <v/>
      </c>
      <c r="C6053" t="inlineStr">
        <is>
          <t>1916-06-28</t>
        </is>
      </c>
    </row>
    <row r="6054">
      <c r="A6054" s="1" t="n">
        <v>6053</v>
      </c>
      <c r="B6054">
        <f>TEXT(6053, "[$-0E0000]yyyy-mm-dd")</f>
        <v/>
      </c>
      <c r="C6054" t="inlineStr">
        <is>
          <t>1916-06-29</t>
        </is>
      </c>
    </row>
    <row r="6055">
      <c r="A6055" s="1" t="n">
        <v>6054</v>
      </c>
      <c r="B6055">
        <f>TEXT(6054, "[$-0E0000]yyyy-mm-dd")</f>
        <v/>
      </c>
      <c r="C6055" t="inlineStr">
        <is>
          <t>1916-06-30</t>
        </is>
      </c>
    </row>
    <row r="6056">
      <c r="A6056" s="1" t="n">
        <v>6055</v>
      </c>
      <c r="B6056">
        <f>TEXT(6055, "[$-0E0000]yyyy-mm-dd")</f>
        <v/>
      </c>
      <c r="C6056" t="inlineStr">
        <is>
          <t>1916-07-01</t>
        </is>
      </c>
    </row>
    <row r="6057">
      <c r="A6057" s="1" t="n">
        <v>6056</v>
      </c>
      <c r="B6057">
        <f>TEXT(6056, "[$-0E0000]yyyy-mm-dd")</f>
        <v/>
      </c>
      <c r="C6057" t="inlineStr">
        <is>
          <t>1916-07-02</t>
        </is>
      </c>
    </row>
    <row r="6058">
      <c r="A6058" s="1" t="n">
        <v>6057</v>
      </c>
      <c r="B6058">
        <f>TEXT(6057, "[$-0E0000]yyyy-mm-dd")</f>
        <v/>
      </c>
      <c r="C6058" t="inlineStr">
        <is>
          <t>1916-07-03</t>
        </is>
      </c>
    </row>
    <row r="6059">
      <c r="A6059" s="1" t="n">
        <v>6058</v>
      </c>
      <c r="B6059">
        <f>TEXT(6058, "[$-0E0000]yyyy-mm-dd")</f>
        <v/>
      </c>
      <c r="C6059" t="inlineStr">
        <is>
          <t>1916-07-04</t>
        </is>
      </c>
    </row>
    <row r="6060">
      <c r="A6060" s="1" t="n">
        <v>6059</v>
      </c>
      <c r="B6060">
        <f>TEXT(6059, "[$-0E0000]yyyy-mm-dd")</f>
        <v/>
      </c>
      <c r="C6060" t="inlineStr">
        <is>
          <t>1916-07-05</t>
        </is>
      </c>
    </row>
    <row r="6061">
      <c r="A6061" s="1" t="n">
        <v>6060</v>
      </c>
      <c r="B6061">
        <f>TEXT(6060, "[$-0E0000]yyyy-mm-dd")</f>
        <v/>
      </c>
      <c r="C6061" t="inlineStr">
        <is>
          <t>1916-07-06</t>
        </is>
      </c>
    </row>
    <row r="6062">
      <c r="A6062" s="1" t="n">
        <v>6061</v>
      </c>
      <c r="B6062">
        <f>TEXT(6061, "[$-0E0000]yyyy-mm-dd")</f>
        <v/>
      </c>
      <c r="C6062" t="inlineStr">
        <is>
          <t>1916-07-07</t>
        </is>
      </c>
    </row>
    <row r="6063">
      <c r="A6063" s="1" t="n">
        <v>6062</v>
      </c>
      <c r="B6063">
        <f>TEXT(6062, "[$-0E0000]yyyy-mm-dd")</f>
        <v/>
      </c>
      <c r="C6063" t="inlineStr">
        <is>
          <t>1916-07-08</t>
        </is>
      </c>
    </row>
    <row r="6064">
      <c r="A6064" s="1" t="n">
        <v>6063</v>
      </c>
      <c r="B6064">
        <f>TEXT(6063, "[$-0E0000]yyyy-mm-dd")</f>
        <v/>
      </c>
      <c r="C6064" t="inlineStr">
        <is>
          <t>1916-07-09</t>
        </is>
      </c>
    </row>
    <row r="6065">
      <c r="A6065" s="1" t="n">
        <v>6064</v>
      </c>
      <c r="B6065">
        <f>TEXT(6064, "[$-0E0000]yyyy-mm-dd")</f>
        <v/>
      </c>
      <c r="C6065" t="inlineStr">
        <is>
          <t>1916-07-10</t>
        </is>
      </c>
    </row>
    <row r="6066">
      <c r="A6066" s="1" t="n">
        <v>6065</v>
      </c>
      <c r="B6066">
        <f>TEXT(6065, "[$-0E0000]yyyy-mm-dd")</f>
        <v/>
      </c>
      <c r="C6066" t="inlineStr">
        <is>
          <t>1916-07-11</t>
        </is>
      </c>
    </row>
    <row r="6067">
      <c r="A6067" s="1" t="n">
        <v>6066</v>
      </c>
      <c r="B6067">
        <f>TEXT(6066, "[$-0E0000]yyyy-mm-dd")</f>
        <v/>
      </c>
      <c r="C6067" t="inlineStr">
        <is>
          <t>1916-07-12</t>
        </is>
      </c>
    </row>
    <row r="6068">
      <c r="A6068" s="1" t="n">
        <v>6067</v>
      </c>
      <c r="B6068">
        <f>TEXT(6067, "[$-0E0000]yyyy-mm-dd")</f>
        <v/>
      </c>
      <c r="C6068" t="inlineStr">
        <is>
          <t>1916-07-13</t>
        </is>
      </c>
    </row>
    <row r="6069">
      <c r="A6069" s="1" t="n">
        <v>6068</v>
      </c>
      <c r="B6069">
        <f>TEXT(6068, "[$-0E0000]yyyy-mm-dd")</f>
        <v/>
      </c>
      <c r="C6069" t="inlineStr">
        <is>
          <t>1916-07-14</t>
        </is>
      </c>
    </row>
    <row r="6070">
      <c r="A6070" s="1" t="n">
        <v>6069</v>
      </c>
      <c r="B6070">
        <f>TEXT(6069, "[$-0E0000]yyyy-mm-dd")</f>
        <v/>
      </c>
      <c r="C6070" t="inlineStr">
        <is>
          <t>1916-07-15</t>
        </is>
      </c>
    </row>
    <row r="6071">
      <c r="A6071" s="1" t="n">
        <v>6070</v>
      </c>
      <c r="B6071">
        <f>TEXT(6070, "[$-0E0000]yyyy-mm-dd")</f>
        <v/>
      </c>
      <c r="C6071" t="inlineStr">
        <is>
          <t>1916-07-16</t>
        </is>
      </c>
    </row>
    <row r="6072">
      <c r="A6072" s="1" t="n">
        <v>6071</v>
      </c>
      <c r="B6072">
        <f>TEXT(6071, "[$-0E0000]yyyy-mm-dd")</f>
        <v/>
      </c>
      <c r="C6072" t="inlineStr">
        <is>
          <t>1916-07-17</t>
        </is>
      </c>
    </row>
    <row r="6073">
      <c r="A6073" s="1" t="n">
        <v>6072</v>
      </c>
      <c r="B6073">
        <f>TEXT(6072, "[$-0E0000]yyyy-mm-dd")</f>
        <v/>
      </c>
      <c r="C6073" t="inlineStr">
        <is>
          <t>1916-07-18</t>
        </is>
      </c>
    </row>
    <row r="6074">
      <c r="A6074" s="1" t="n">
        <v>6073</v>
      </c>
      <c r="B6074">
        <f>TEXT(6073, "[$-0E0000]yyyy-mm-dd")</f>
        <v/>
      </c>
      <c r="C6074" t="inlineStr">
        <is>
          <t>1916-07-19</t>
        </is>
      </c>
    </row>
    <row r="6075">
      <c r="A6075" s="1" t="n">
        <v>6074</v>
      </c>
      <c r="B6075">
        <f>TEXT(6074, "[$-0E0000]yyyy-mm-dd")</f>
        <v/>
      </c>
      <c r="C6075" t="inlineStr">
        <is>
          <t>1916-07-20</t>
        </is>
      </c>
    </row>
    <row r="6076">
      <c r="A6076" s="1" t="n">
        <v>6075</v>
      </c>
      <c r="B6076">
        <f>TEXT(6075, "[$-0E0000]yyyy-mm-dd")</f>
        <v/>
      </c>
      <c r="C6076" t="inlineStr">
        <is>
          <t>1916-07-21</t>
        </is>
      </c>
    </row>
    <row r="6077">
      <c r="A6077" s="1" t="n">
        <v>6076</v>
      </c>
      <c r="B6077">
        <f>TEXT(6076, "[$-0E0000]yyyy-mm-dd")</f>
        <v/>
      </c>
      <c r="C6077" t="inlineStr">
        <is>
          <t>1916-07-22</t>
        </is>
      </c>
    </row>
    <row r="6078">
      <c r="A6078" s="1" t="n">
        <v>6077</v>
      </c>
      <c r="B6078">
        <f>TEXT(6077, "[$-0E0000]yyyy-mm-dd")</f>
        <v/>
      </c>
      <c r="C6078" t="inlineStr">
        <is>
          <t>1916-07-23</t>
        </is>
      </c>
    </row>
    <row r="6079">
      <c r="A6079" s="1" t="n">
        <v>6078</v>
      </c>
      <c r="B6079">
        <f>TEXT(6078, "[$-0E0000]yyyy-mm-dd")</f>
        <v/>
      </c>
      <c r="C6079" t="inlineStr">
        <is>
          <t>1916-07-24</t>
        </is>
      </c>
    </row>
    <row r="6080">
      <c r="A6080" s="1" t="n">
        <v>6079</v>
      </c>
      <c r="B6080">
        <f>TEXT(6079, "[$-0E0000]yyyy-mm-dd")</f>
        <v/>
      </c>
      <c r="C6080" t="inlineStr">
        <is>
          <t>1916-07-25</t>
        </is>
      </c>
    </row>
    <row r="6081">
      <c r="A6081" s="1" t="n">
        <v>6080</v>
      </c>
      <c r="B6081">
        <f>TEXT(6080, "[$-0E0000]yyyy-mm-dd")</f>
        <v/>
      </c>
      <c r="C6081" t="inlineStr">
        <is>
          <t>1916-07-26</t>
        </is>
      </c>
    </row>
    <row r="6082">
      <c r="A6082" s="1" t="n">
        <v>6081</v>
      </c>
      <c r="B6082">
        <f>TEXT(6081, "[$-0E0000]yyyy-mm-dd")</f>
        <v/>
      </c>
      <c r="C6082" t="inlineStr">
        <is>
          <t>1916-07-27</t>
        </is>
      </c>
    </row>
    <row r="6083">
      <c r="A6083" s="1" t="n">
        <v>6082</v>
      </c>
      <c r="B6083">
        <f>TEXT(6082, "[$-0E0000]yyyy-mm-dd")</f>
        <v/>
      </c>
      <c r="C6083" t="inlineStr">
        <is>
          <t>1916-07-28</t>
        </is>
      </c>
    </row>
    <row r="6084">
      <c r="A6084" s="1" t="n">
        <v>6083</v>
      </c>
      <c r="B6084">
        <f>TEXT(6083, "[$-0E0000]yyyy-mm-dd")</f>
        <v/>
      </c>
      <c r="C6084" t="inlineStr">
        <is>
          <t>1916-07-29</t>
        </is>
      </c>
    </row>
    <row r="6085">
      <c r="A6085" s="1" t="n">
        <v>6084</v>
      </c>
      <c r="B6085">
        <f>TEXT(6084, "[$-0E0000]yyyy-mm-dd")</f>
        <v/>
      </c>
      <c r="C6085" t="inlineStr">
        <is>
          <t>1916-07-30</t>
        </is>
      </c>
    </row>
    <row r="6086">
      <c r="A6086" s="1" t="n">
        <v>6085</v>
      </c>
      <c r="B6086">
        <f>TEXT(6085, "[$-0E0000]yyyy-mm-dd")</f>
        <v/>
      </c>
      <c r="C6086" t="inlineStr">
        <is>
          <t>1916-08-01</t>
        </is>
      </c>
    </row>
    <row r="6087">
      <c r="A6087" s="1" t="n">
        <v>6086</v>
      </c>
      <c r="B6087">
        <f>TEXT(6086, "[$-0E0000]yyyy-mm-dd")</f>
        <v/>
      </c>
      <c r="C6087" t="inlineStr">
        <is>
          <t>1916-08-02</t>
        </is>
      </c>
    </row>
    <row r="6088">
      <c r="A6088" s="1" t="n">
        <v>6087</v>
      </c>
      <c r="B6088">
        <f>TEXT(6087, "[$-0E0000]yyyy-mm-dd")</f>
        <v/>
      </c>
      <c r="C6088" t="inlineStr">
        <is>
          <t>1916-08-03</t>
        </is>
      </c>
    </row>
    <row r="6089">
      <c r="A6089" s="1" t="n">
        <v>6088</v>
      </c>
      <c r="B6089">
        <f>TEXT(6088, "[$-0E0000]yyyy-mm-dd")</f>
        <v/>
      </c>
      <c r="C6089" t="inlineStr">
        <is>
          <t>1916-08-04</t>
        </is>
      </c>
    </row>
    <row r="6090">
      <c r="A6090" s="1" t="n">
        <v>6089</v>
      </c>
      <c r="B6090">
        <f>TEXT(6089, "[$-0E0000]yyyy-mm-dd")</f>
        <v/>
      </c>
      <c r="C6090" t="inlineStr">
        <is>
          <t>1916-08-05</t>
        </is>
      </c>
    </row>
    <row r="6091">
      <c r="A6091" s="1" t="n">
        <v>6090</v>
      </c>
      <c r="B6091">
        <f>TEXT(6090, "[$-0E0000]yyyy-mm-dd")</f>
        <v/>
      </c>
      <c r="C6091" t="inlineStr">
        <is>
          <t>1916-08-06</t>
        </is>
      </c>
    </row>
    <row r="6092">
      <c r="A6092" s="1" t="n">
        <v>6091</v>
      </c>
      <c r="B6092">
        <f>TEXT(6091, "[$-0E0000]yyyy-mm-dd")</f>
        <v/>
      </c>
      <c r="C6092" t="inlineStr">
        <is>
          <t>1916-08-07</t>
        </is>
      </c>
    </row>
    <row r="6093">
      <c r="A6093" s="1" t="n">
        <v>6092</v>
      </c>
      <c r="B6093">
        <f>TEXT(6092, "[$-0E0000]yyyy-mm-dd")</f>
        <v/>
      </c>
      <c r="C6093" t="inlineStr">
        <is>
          <t>1916-08-08</t>
        </is>
      </c>
    </row>
    <row r="6094">
      <c r="A6094" s="1" t="n">
        <v>6093</v>
      </c>
      <c r="B6094">
        <f>TEXT(6093, "[$-0E0000]yyyy-mm-dd")</f>
        <v/>
      </c>
      <c r="C6094" t="inlineStr">
        <is>
          <t>1916-08-09</t>
        </is>
      </c>
    </row>
    <row r="6095">
      <c r="A6095" s="1" t="n">
        <v>6094</v>
      </c>
      <c r="B6095">
        <f>TEXT(6094, "[$-0E0000]yyyy-mm-dd")</f>
        <v/>
      </c>
      <c r="C6095" t="inlineStr">
        <is>
          <t>1916-08-10</t>
        </is>
      </c>
    </row>
    <row r="6096">
      <c r="A6096" s="1" t="n">
        <v>6095</v>
      </c>
      <c r="B6096">
        <f>TEXT(6095, "[$-0E0000]yyyy-mm-dd")</f>
        <v/>
      </c>
      <c r="C6096" t="inlineStr">
        <is>
          <t>1916-08-11</t>
        </is>
      </c>
    </row>
    <row r="6097">
      <c r="A6097" s="1" t="n">
        <v>6096</v>
      </c>
      <c r="B6097">
        <f>TEXT(6096, "[$-0E0000]yyyy-mm-dd")</f>
        <v/>
      </c>
      <c r="C6097" t="inlineStr">
        <is>
          <t>1916-08-12</t>
        </is>
      </c>
    </row>
    <row r="6098">
      <c r="A6098" s="1" t="n">
        <v>6097</v>
      </c>
      <c r="B6098">
        <f>TEXT(6097, "[$-0E0000]yyyy-mm-dd")</f>
        <v/>
      </c>
      <c r="C6098" t="inlineStr">
        <is>
          <t>1916-08-13</t>
        </is>
      </c>
    </row>
    <row r="6099">
      <c r="A6099" s="1" t="n">
        <v>6098</v>
      </c>
      <c r="B6099">
        <f>TEXT(6098, "[$-0E0000]yyyy-mm-dd")</f>
        <v/>
      </c>
      <c r="C6099" t="inlineStr">
        <is>
          <t>1916-08-14</t>
        </is>
      </c>
    </row>
    <row r="6100">
      <c r="A6100" s="1" t="n">
        <v>6099</v>
      </c>
      <c r="B6100">
        <f>TEXT(6099, "[$-0E0000]yyyy-mm-dd")</f>
        <v/>
      </c>
      <c r="C6100" t="inlineStr">
        <is>
          <t>1916-08-15</t>
        </is>
      </c>
    </row>
    <row r="6101">
      <c r="A6101" s="1" t="n">
        <v>6100</v>
      </c>
      <c r="B6101">
        <f>TEXT(6100, "[$-0E0000]yyyy-mm-dd")</f>
        <v/>
      </c>
      <c r="C6101" t="inlineStr">
        <is>
          <t>1916-08-16</t>
        </is>
      </c>
    </row>
    <row r="6102">
      <c r="A6102" s="1" t="n">
        <v>6101</v>
      </c>
      <c r="B6102">
        <f>TEXT(6101, "[$-0E0000]yyyy-mm-dd")</f>
        <v/>
      </c>
      <c r="C6102" t="inlineStr">
        <is>
          <t>1916-08-17</t>
        </is>
      </c>
    </row>
    <row r="6103">
      <c r="A6103" s="1" t="n">
        <v>6102</v>
      </c>
      <c r="B6103">
        <f>TEXT(6102, "[$-0E0000]yyyy-mm-dd")</f>
        <v/>
      </c>
      <c r="C6103" t="inlineStr">
        <is>
          <t>1916-08-18</t>
        </is>
      </c>
    </row>
    <row r="6104">
      <c r="A6104" s="1" t="n">
        <v>6103</v>
      </c>
      <c r="B6104">
        <f>TEXT(6103, "[$-0E0000]yyyy-mm-dd")</f>
        <v/>
      </c>
      <c r="C6104" t="inlineStr">
        <is>
          <t>1916-08-19</t>
        </is>
      </c>
    </row>
    <row r="6105">
      <c r="A6105" s="1" t="n">
        <v>6104</v>
      </c>
      <c r="B6105">
        <f>TEXT(6104, "[$-0E0000]yyyy-mm-dd")</f>
        <v/>
      </c>
      <c r="C6105" t="inlineStr">
        <is>
          <t>1916-08-20</t>
        </is>
      </c>
    </row>
    <row r="6106">
      <c r="A6106" s="1" t="n">
        <v>6105</v>
      </c>
      <c r="B6106">
        <f>TEXT(6105, "[$-0E0000]yyyy-mm-dd")</f>
        <v/>
      </c>
      <c r="C6106" t="inlineStr">
        <is>
          <t>1916-08-21</t>
        </is>
      </c>
    </row>
    <row r="6107">
      <c r="A6107" s="1" t="n">
        <v>6106</v>
      </c>
      <c r="B6107">
        <f>TEXT(6106, "[$-0E0000]yyyy-mm-dd")</f>
        <v/>
      </c>
      <c r="C6107" t="inlineStr">
        <is>
          <t>1916-08-22</t>
        </is>
      </c>
    </row>
    <row r="6108">
      <c r="A6108" s="1" t="n">
        <v>6107</v>
      </c>
      <c r="B6108">
        <f>TEXT(6107, "[$-0E0000]yyyy-mm-dd")</f>
        <v/>
      </c>
      <c r="C6108" t="inlineStr">
        <is>
          <t>1916-08-23</t>
        </is>
      </c>
    </row>
    <row r="6109">
      <c r="A6109" s="1" t="n">
        <v>6108</v>
      </c>
      <c r="B6109">
        <f>TEXT(6108, "[$-0E0000]yyyy-mm-dd")</f>
        <v/>
      </c>
      <c r="C6109" t="inlineStr">
        <is>
          <t>1916-08-24</t>
        </is>
      </c>
    </row>
    <row r="6110">
      <c r="A6110" s="1" t="n">
        <v>6109</v>
      </c>
      <c r="B6110">
        <f>TEXT(6109, "[$-0E0000]yyyy-mm-dd")</f>
        <v/>
      </c>
      <c r="C6110" t="inlineStr">
        <is>
          <t>1916-08-25</t>
        </is>
      </c>
    </row>
    <row r="6111">
      <c r="A6111" s="1" t="n">
        <v>6110</v>
      </c>
      <c r="B6111">
        <f>TEXT(6110, "[$-0E0000]yyyy-mm-dd")</f>
        <v/>
      </c>
      <c r="C6111" t="inlineStr">
        <is>
          <t>1916-08-26</t>
        </is>
      </c>
    </row>
    <row r="6112">
      <c r="A6112" s="1" t="n">
        <v>6111</v>
      </c>
      <c r="B6112">
        <f>TEXT(6111, "[$-0E0000]yyyy-mm-dd")</f>
        <v/>
      </c>
      <c r="C6112" t="inlineStr">
        <is>
          <t>1916-08-27</t>
        </is>
      </c>
    </row>
    <row r="6113">
      <c r="A6113" s="1" t="n">
        <v>6112</v>
      </c>
      <c r="B6113">
        <f>TEXT(6112, "[$-0E0000]yyyy-mm-dd")</f>
        <v/>
      </c>
      <c r="C6113" t="inlineStr">
        <is>
          <t>1916-08-28</t>
        </is>
      </c>
    </row>
    <row r="6114">
      <c r="A6114" s="1" t="n">
        <v>6113</v>
      </c>
      <c r="B6114">
        <f>TEXT(6113, "[$-0E0000]yyyy-mm-dd")</f>
        <v/>
      </c>
      <c r="C6114" t="inlineStr">
        <is>
          <t>1916-08-29</t>
        </is>
      </c>
    </row>
    <row r="6115">
      <c r="A6115" s="1" t="n">
        <v>6114</v>
      </c>
      <c r="B6115">
        <f>TEXT(6114, "[$-0E0000]yyyy-mm-dd")</f>
        <v/>
      </c>
      <c r="C6115" t="inlineStr">
        <is>
          <t>1916-09-01</t>
        </is>
      </c>
    </row>
    <row r="6116">
      <c r="A6116" s="1" t="n">
        <v>6115</v>
      </c>
      <c r="B6116">
        <f>TEXT(6115, "[$-0E0000]yyyy-mm-dd")</f>
        <v/>
      </c>
      <c r="C6116" t="inlineStr">
        <is>
          <t>1916-09-02</t>
        </is>
      </c>
    </row>
    <row r="6117">
      <c r="A6117" s="1" t="n">
        <v>6116</v>
      </c>
      <c r="B6117">
        <f>TEXT(6116, "[$-0E0000]yyyy-mm-dd")</f>
        <v/>
      </c>
      <c r="C6117" t="inlineStr">
        <is>
          <t>1916-09-03</t>
        </is>
      </c>
    </row>
    <row r="6118">
      <c r="A6118" s="1" t="n">
        <v>6117</v>
      </c>
      <c r="B6118">
        <f>TEXT(6117, "[$-0E0000]yyyy-mm-dd")</f>
        <v/>
      </c>
      <c r="C6118" t="inlineStr">
        <is>
          <t>1916-09-04</t>
        </is>
      </c>
    </row>
    <row r="6119">
      <c r="A6119" s="1" t="n">
        <v>6118</v>
      </c>
      <c r="B6119">
        <f>TEXT(6118, "[$-0E0000]yyyy-mm-dd")</f>
        <v/>
      </c>
      <c r="C6119" t="inlineStr">
        <is>
          <t>1916-09-05</t>
        </is>
      </c>
    </row>
    <row r="6120">
      <c r="A6120" s="1" t="n">
        <v>6119</v>
      </c>
      <c r="B6120">
        <f>TEXT(6119, "[$-0E0000]yyyy-mm-dd")</f>
        <v/>
      </c>
      <c r="C6120" t="inlineStr">
        <is>
          <t>1916-09-06</t>
        </is>
      </c>
    </row>
    <row r="6121">
      <c r="A6121" s="1" t="n">
        <v>6120</v>
      </c>
      <c r="B6121">
        <f>TEXT(6120, "[$-0E0000]yyyy-mm-dd")</f>
        <v/>
      </c>
      <c r="C6121" t="inlineStr">
        <is>
          <t>1916-09-07</t>
        </is>
      </c>
    </row>
    <row r="6122">
      <c r="A6122" s="1" t="n">
        <v>6121</v>
      </c>
      <c r="B6122">
        <f>TEXT(6121, "[$-0E0000]yyyy-mm-dd")</f>
        <v/>
      </c>
      <c r="C6122" t="inlineStr">
        <is>
          <t>1916-09-08</t>
        </is>
      </c>
    </row>
    <row r="6123">
      <c r="A6123" s="1" t="n">
        <v>6122</v>
      </c>
      <c r="B6123">
        <f>TEXT(6122, "[$-0E0000]yyyy-mm-dd")</f>
        <v/>
      </c>
      <c r="C6123" t="inlineStr">
        <is>
          <t>1916-09-09</t>
        </is>
      </c>
    </row>
    <row r="6124">
      <c r="A6124" s="1" t="n">
        <v>6123</v>
      </c>
      <c r="B6124">
        <f>TEXT(6123, "[$-0E0000]yyyy-mm-dd")</f>
        <v/>
      </c>
      <c r="C6124" t="inlineStr">
        <is>
          <t>1916-09-10</t>
        </is>
      </c>
    </row>
    <row r="6125">
      <c r="A6125" s="1" t="n">
        <v>6124</v>
      </c>
      <c r="B6125">
        <f>TEXT(6124, "[$-0E0000]yyyy-mm-dd")</f>
        <v/>
      </c>
      <c r="C6125" t="inlineStr">
        <is>
          <t>1916-09-11</t>
        </is>
      </c>
    </row>
    <row r="6126">
      <c r="A6126" s="1" t="n">
        <v>6125</v>
      </c>
      <c r="B6126">
        <f>TEXT(6125, "[$-0E0000]yyyy-mm-dd")</f>
        <v/>
      </c>
      <c r="C6126" t="inlineStr">
        <is>
          <t>1916-09-12</t>
        </is>
      </c>
    </row>
    <row r="6127">
      <c r="A6127" s="1" t="n">
        <v>6126</v>
      </c>
      <c r="B6127">
        <f>TEXT(6126, "[$-0E0000]yyyy-mm-dd")</f>
        <v/>
      </c>
      <c r="C6127" t="inlineStr">
        <is>
          <t>1916-09-13</t>
        </is>
      </c>
    </row>
    <row r="6128">
      <c r="A6128" s="1" t="n">
        <v>6127</v>
      </c>
      <c r="B6128">
        <f>TEXT(6127, "[$-0E0000]yyyy-mm-dd")</f>
        <v/>
      </c>
      <c r="C6128" t="inlineStr">
        <is>
          <t>1916-09-14</t>
        </is>
      </c>
    </row>
    <row r="6129">
      <c r="A6129" s="1" t="n">
        <v>6128</v>
      </c>
      <c r="B6129">
        <f>TEXT(6128, "[$-0E0000]yyyy-mm-dd")</f>
        <v/>
      </c>
      <c r="C6129" t="inlineStr">
        <is>
          <t>1916-09-15</t>
        </is>
      </c>
    </row>
    <row r="6130">
      <c r="A6130" s="1" t="n">
        <v>6129</v>
      </c>
      <c r="B6130">
        <f>TEXT(6129, "[$-0E0000]yyyy-mm-dd")</f>
        <v/>
      </c>
      <c r="C6130" t="inlineStr">
        <is>
          <t>1916-09-16</t>
        </is>
      </c>
    </row>
    <row r="6131">
      <c r="A6131" s="1" t="n">
        <v>6130</v>
      </c>
      <c r="B6131">
        <f>TEXT(6130, "[$-0E0000]yyyy-mm-dd")</f>
        <v/>
      </c>
      <c r="C6131" t="inlineStr">
        <is>
          <t>1916-09-17</t>
        </is>
      </c>
    </row>
    <row r="6132">
      <c r="A6132" s="1" t="n">
        <v>6131</v>
      </c>
      <c r="B6132">
        <f>TEXT(6131, "[$-0E0000]yyyy-mm-dd")</f>
        <v/>
      </c>
      <c r="C6132" t="inlineStr">
        <is>
          <t>1916-09-18</t>
        </is>
      </c>
    </row>
    <row r="6133">
      <c r="A6133" s="1" t="n">
        <v>6132</v>
      </c>
      <c r="B6133">
        <f>TEXT(6132, "[$-0E0000]yyyy-mm-dd")</f>
        <v/>
      </c>
      <c r="C6133" t="inlineStr">
        <is>
          <t>1916-09-19</t>
        </is>
      </c>
    </row>
    <row r="6134">
      <c r="A6134" s="1" t="n">
        <v>6133</v>
      </c>
      <c r="B6134">
        <f>TEXT(6133, "[$-0E0000]yyyy-mm-dd")</f>
        <v/>
      </c>
      <c r="C6134" t="inlineStr">
        <is>
          <t>1916-09-20</t>
        </is>
      </c>
    </row>
    <row r="6135">
      <c r="A6135" s="1" t="n">
        <v>6134</v>
      </c>
      <c r="B6135">
        <f>TEXT(6134, "[$-0E0000]yyyy-mm-dd")</f>
        <v/>
      </c>
      <c r="C6135" t="inlineStr">
        <is>
          <t>1916-09-21</t>
        </is>
      </c>
    </row>
    <row r="6136">
      <c r="A6136" s="1" t="n">
        <v>6135</v>
      </c>
      <c r="B6136">
        <f>TEXT(6135, "[$-0E0000]yyyy-mm-dd")</f>
        <v/>
      </c>
      <c r="C6136" t="inlineStr">
        <is>
          <t>1916-09-22</t>
        </is>
      </c>
    </row>
    <row r="6137">
      <c r="A6137" s="1" t="n">
        <v>6136</v>
      </c>
      <c r="B6137">
        <f>TEXT(6136, "[$-0E0000]yyyy-mm-dd")</f>
        <v/>
      </c>
      <c r="C6137" t="inlineStr">
        <is>
          <t>1916-09-23</t>
        </is>
      </c>
    </row>
    <row r="6138">
      <c r="A6138" s="1" t="n">
        <v>6137</v>
      </c>
      <c r="B6138">
        <f>TEXT(6137, "[$-0E0000]yyyy-mm-dd")</f>
        <v/>
      </c>
      <c r="C6138" t="inlineStr">
        <is>
          <t>1916-09-24</t>
        </is>
      </c>
    </row>
    <row r="6139">
      <c r="A6139" s="1" t="n">
        <v>6138</v>
      </c>
      <c r="B6139">
        <f>TEXT(6138, "[$-0E0000]yyyy-mm-dd")</f>
        <v/>
      </c>
      <c r="C6139" t="inlineStr">
        <is>
          <t>1916-09-25</t>
        </is>
      </c>
    </row>
    <row r="6140">
      <c r="A6140" s="1" t="n">
        <v>6139</v>
      </c>
      <c r="B6140">
        <f>TEXT(6139, "[$-0E0000]yyyy-mm-dd")</f>
        <v/>
      </c>
      <c r="C6140" t="inlineStr">
        <is>
          <t>1916-09-26</t>
        </is>
      </c>
    </row>
    <row r="6141">
      <c r="A6141" s="1" t="n">
        <v>6140</v>
      </c>
      <c r="B6141">
        <f>TEXT(6140, "[$-0E0000]yyyy-mm-dd")</f>
        <v/>
      </c>
      <c r="C6141" t="inlineStr">
        <is>
          <t>1916-09-27</t>
        </is>
      </c>
    </row>
    <row r="6142">
      <c r="A6142" s="1" t="n">
        <v>6141</v>
      </c>
      <c r="B6142">
        <f>TEXT(6141, "[$-0E0000]yyyy-mm-dd")</f>
        <v/>
      </c>
      <c r="C6142" t="inlineStr">
        <is>
          <t>1916-09-28</t>
        </is>
      </c>
    </row>
    <row r="6143">
      <c r="A6143" s="1" t="n">
        <v>6142</v>
      </c>
      <c r="B6143">
        <f>TEXT(6142, "[$-0E0000]yyyy-mm-dd")</f>
        <v/>
      </c>
      <c r="C6143" t="inlineStr">
        <is>
          <t>1916-09-29</t>
        </is>
      </c>
    </row>
    <row r="6144">
      <c r="A6144" s="1" t="n">
        <v>6143</v>
      </c>
      <c r="B6144">
        <f>TEXT(6143, "[$-0E0000]yyyy-mm-dd")</f>
        <v/>
      </c>
      <c r="C6144" t="inlineStr">
        <is>
          <t>1916-09-30</t>
        </is>
      </c>
    </row>
    <row r="6145">
      <c r="A6145" s="1" t="n">
        <v>6144</v>
      </c>
      <c r="B6145">
        <f>TEXT(6144, "[$-0E0000]yyyy-mm-dd")</f>
        <v/>
      </c>
      <c r="C6145" t="inlineStr">
        <is>
          <t>1916-10-01</t>
        </is>
      </c>
    </row>
    <row r="6146">
      <c r="A6146" s="1" t="n">
        <v>6145</v>
      </c>
      <c r="B6146">
        <f>TEXT(6145, "[$-0E0000]yyyy-mm-dd")</f>
        <v/>
      </c>
      <c r="C6146" t="inlineStr">
        <is>
          <t>1916-10-02</t>
        </is>
      </c>
    </row>
    <row r="6147">
      <c r="A6147" s="1" t="n">
        <v>6146</v>
      </c>
      <c r="B6147">
        <f>TEXT(6146, "[$-0E0000]yyyy-mm-dd")</f>
        <v/>
      </c>
      <c r="C6147" t="inlineStr">
        <is>
          <t>1916-10-03</t>
        </is>
      </c>
    </row>
    <row r="6148">
      <c r="A6148" s="1" t="n">
        <v>6147</v>
      </c>
      <c r="B6148">
        <f>TEXT(6147, "[$-0E0000]yyyy-mm-dd")</f>
        <v/>
      </c>
      <c r="C6148" t="inlineStr">
        <is>
          <t>1916-10-04</t>
        </is>
      </c>
    </row>
    <row r="6149">
      <c r="A6149" s="1" t="n">
        <v>6148</v>
      </c>
      <c r="B6149">
        <f>TEXT(6148, "[$-0E0000]yyyy-mm-dd")</f>
        <v/>
      </c>
      <c r="C6149" t="inlineStr">
        <is>
          <t>1916-10-05</t>
        </is>
      </c>
    </row>
    <row r="6150">
      <c r="A6150" s="1" t="n">
        <v>6149</v>
      </c>
      <c r="B6150">
        <f>TEXT(6149, "[$-0E0000]yyyy-mm-dd")</f>
        <v/>
      </c>
      <c r="C6150" t="inlineStr">
        <is>
          <t>1916-10-06</t>
        </is>
      </c>
    </row>
    <row r="6151">
      <c r="A6151" s="1" t="n">
        <v>6150</v>
      </c>
      <c r="B6151">
        <f>TEXT(6150, "[$-0E0000]yyyy-mm-dd")</f>
        <v/>
      </c>
      <c r="C6151" t="inlineStr">
        <is>
          <t>1916-10-07</t>
        </is>
      </c>
    </row>
    <row r="6152">
      <c r="A6152" s="1" t="n">
        <v>6151</v>
      </c>
      <c r="B6152">
        <f>TEXT(6151, "[$-0E0000]yyyy-mm-dd")</f>
        <v/>
      </c>
      <c r="C6152" t="inlineStr">
        <is>
          <t>1916-10-08</t>
        </is>
      </c>
    </row>
    <row r="6153">
      <c r="A6153" s="1" t="n">
        <v>6152</v>
      </c>
      <c r="B6153">
        <f>TEXT(6152, "[$-0E0000]yyyy-mm-dd")</f>
        <v/>
      </c>
      <c r="C6153" t="inlineStr">
        <is>
          <t>1916-10-09</t>
        </is>
      </c>
    </row>
    <row r="6154">
      <c r="A6154" s="1" t="n">
        <v>6153</v>
      </c>
      <c r="B6154">
        <f>TEXT(6153, "[$-0E0000]yyyy-mm-dd")</f>
        <v/>
      </c>
      <c r="C6154" t="inlineStr">
        <is>
          <t>1916-10-10</t>
        </is>
      </c>
    </row>
    <row r="6155">
      <c r="A6155" s="1" t="n">
        <v>6154</v>
      </c>
      <c r="B6155">
        <f>TEXT(6154, "[$-0E0000]yyyy-mm-dd")</f>
        <v/>
      </c>
      <c r="C6155" t="inlineStr">
        <is>
          <t>1916-10-11</t>
        </is>
      </c>
    </row>
    <row r="6156">
      <c r="A6156" s="1" t="n">
        <v>6155</v>
      </c>
      <c r="B6156">
        <f>TEXT(6155, "[$-0E0000]yyyy-mm-dd")</f>
        <v/>
      </c>
      <c r="C6156" t="inlineStr">
        <is>
          <t>1916-10-12</t>
        </is>
      </c>
    </row>
    <row r="6157">
      <c r="A6157" s="1" t="n">
        <v>6156</v>
      </c>
      <c r="B6157">
        <f>TEXT(6156, "[$-0E0000]yyyy-mm-dd")</f>
        <v/>
      </c>
      <c r="C6157" t="inlineStr">
        <is>
          <t>1916-10-13</t>
        </is>
      </c>
    </row>
    <row r="6158">
      <c r="A6158" s="1" t="n">
        <v>6157</v>
      </c>
      <c r="B6158">
        <f>TEXT(6157, "[$-0E0000]yyyy-mm-dd")</f>
        <v/>
      </c>
      <c r="C6158" t="inlineStr">
        <is>
          <t>1916-10-14</t>
        </is>
      </c>
    </row>
    <row r="6159">
      <c r="A6159" s="1" t="n">
        <v>6158</v>
      </c>
      <c r="B6159">
        <f>TEXT(6158, "[$-0E0000]yyyy-mm-dd")</f>
        <v/>
      </c>
      <c r="C6159" t="inlineStr">
        <is>
          <t>1916-10-15</t>
        </is>
      </c>
    </row>
    <row r="6160">
      <c r="A6160" s="1" t="n">
        <v>6159</v>
      </c>
      <c r="B6160">
        <f>TEXT(6159, "[$-0E0000]yyyy-mm-dd")</f>
        <v/>
      </c>
      <c r="C6160" t="inlineStr">
        <is>
          <t>1916-10-16</t>
        </is>
      </c>
    </row>
    <row r="6161">
      <c r="A6161" s="1" t="n">
        <v>6160</v>
      </c>
      <c r="B6161">
        <f>TEXT(6160, "[$-0E0000]yyyy-mm-dd")</f>
        <v/>
      </c>
      <c r="C6161" t="inlineStr">
        <is>
          <t>1916-10-17</t>
        </is>
      </c>
    </row>
    <row r="6162">
      <c r="A6162" s="1" t="n">
        <v>6161</v>
      </c>
      <c r="B6162">
        <f>TEXT(6161, "[$-0E0000]yyyy-mm-dd")</f>
        <v/>
      </c>
      <c r="C6162" t="inlineStr">
        <is>
          <t>1916-10-18</t>
        </is>
      </c>
    </row>
    <row r="6163">
      <c r="A6163" s="1" t="n">
        <v>6162</v>
      </c>
      <c r="B6163">
        <f>TEXT(6162, "[$-0E0000]yyyy-mm-dd")</f>
        <v/>
      </c>
      <c r="C6163" t="inlineStr">
        <is>
          <t>1916-10-19</t>
        </is>
      </c>
    </row>
    <row r="6164">
      <c r="A6164" s="1" t="n">
        <v>6163</v>
      </c>
      <c r="B6164">
        <f>TEXT(6163, "[$-0E0000]yyyy-mm-dd")</f>
        <v/>
      </c>
      <c r="C6164" t="inlineStr">
        <is>
          <t>1916-10-20</t>
        </is>
      </c>
    </row>
    <row r="6165">
      <c r="A6165" s="1" t="n">
        <v>6164</v>
      </c>
      <c r="B6165">
        <f>TEXT(6164, "[$-0E0000]yyyy-mm-dd")</f>
        <v/>
      </c>
      <c r="C6165" t="inlineStr">
        <is>
          <t>1916-10-21</t>
        </is>
      </c>
    </row>
    <row r="6166">
      <c r="A6166" s="1" t="n">
        <v>6165</v>
      </c>
      <c r="B6166">
        <f>TEXT(6165, "[$-0E0000]yyyy-mm-dd")</f>
        <v/>
      </c>
      <c r="C6166" t="inlineStr">
        <is>
          <t>1916-10-22</t>
        </is>
      </c>
    </row>
    <row r="6167">
      <c r="A6167" s="1" t="n">
        <v>6166</v>
      </c>
      <c r="B6167">
        <f>TEXT(6166, "[$-0E0000]yyyy-mm-dd")</f>
        <v/>
      </c>
      <c r="C6167" t="inlineStr">
        <is>
          <t>1916-10-23</t>
        </is>
      </c>
    </row>
    <row r="6168">
      <c r="A6168" s="1" t="n">
        <v>6167</v>
      </c>
      <c r="B6168">
        <f>TEXT(6167, "[$-0E0000]yyyy-mm-dd")</f>
        <v/>
      </c>
      <c r="C6168" t="inlineStr">
        <is>
          <t>1916-10-24</t>
        </is>
      </c>
    </row>
    <row r="6169">
      <c r="A6169" s="1" t="n">
        <v>6168</v>
      </c>
      <c r="B6169">
        <f>TEXT(6168, "[$-0E0000]yyyy-mm-dd")</f>
        <v/>
      </c>
      <c r="C6169" t="inlineStr">
        <is>
          <t>1916-10-25</t>
        </is>
      </c>
    </row>
    <row r="6170">
      <c r="A6170" s="1" t="n">
        <v>6169</v>
      </c>
      <c r="B6170">
        <f>TEXT(6169, "[$-0E0000]yyyy-mm-dd")</f>
        <v/>
      </c>
      <c r="C6170" t="inlineStr">
        <is>
          <t>1916-10-26</t>
        </is>
      </c>
    </row>
    <row r="6171">
      <c r="A6171" s="1" t="n">
        <v>6170</v>
      </c>
      <c r="B6171">
        <f>TEXT(6170, "[$-0E0000]yyyy-mm-dd")</f>
        <v/>
      </c>
      <c r="C6171" t="inlineStr">
        <is>
          <t>1916-10-27</t>
        </is>
      </c>
    </row>
    <row r="6172">
      <c r="A6172" s="1" t="n">
        <v>6171</v>
      </c>
      <c r="B6172">
        <f>TEXT(6171, "[$-0E0000]yyyy-mm-dd")</f>
        <v/>
      </c>
      <c r="C6172" t="inlineStr">
        <is>
          <t>1916-10-28</t>
        </is>
      </c>
    </row>
    <row r="6173">
      <c r="A6173" s="1" t="n">
        <v>6172</v>
      </c>
      <c r="B6173">
        <f>TEXT(6172, "[$-0E0000]yyyy-mm-dd")</f>
        <v/>
      </c>
      <c r="C6173" t="inlineStr">
        <is>
          <t>1916-10-29</t>
        </is>
      </c>
    </row>
    <row r="6174">
      <c r="A6174" s="1" t="n">
        <v>6173</v>
      </c>
      <c r="B6174">
        <f>TEXT(6173, "[$-0E0000]yyyy-mm-dd")</f>
        <v/>
      </c>
      <c r="C6174" t="inlineStr">
        <is>
          <t>1916-11-01</t>
        </is>
      </c>
    </row>
    <row r="6175">
      <c r="A6175" s="1" t="n">
        <v>6174</v>
      </c>
      <c r="B6175">
        <f>TEXT(6174, "[$-0E0000]yyyy-mm-dd")</f>
        <v/>
      </c>
      <c r="C6175" t="inlineStr">
        <is>
          <t>1916-11-02</t>
        </is>
      </c>
    </row>
    <row r="6176">
      <c r="A6176" s="1" t="n">
        <v>6175</v>
      </c>
      <c r="B6176">
        <f>TEXT(6175, "[$-0E0000]yyyy-mm-dd")</f>
        <v/>
      </c>
      <c r="C6176" t="inlineStr">
        <is>
          <t>1916-11-03</t>
        </is>
      </c>
    </row>
    <row r="6177">
      <c r="A6177" s="1" t="n">
        <v>6176</v>
      </c>
      <c r="B6177">
        <f>TEXT(6176, "[$-0E0000]yyyy-mm-dd")</f>
        <v/>
      </c>
      <c r="C6177" t="inlineStr">
        <is>
          <t>1916-11-04</t>
        </is>
      </c>
    </row>
    <row r="6178">
      <c r="A6178" s="1" t="n">
        <v>6177</v>
      </c>
      <c r="B6178">
        <f>TEXT(6177, "[$-0E0000]yyyy-mm-dd")</f>
        <v/>
      </c>
      <c r="C6178" t="inlineStr">
        <is>
          <t>1916-11-05</t>
        </is>
      </c>
    </row>
    <row r="6179">
      <c r="A6179" s="1" t="n">
        <v>6178</v>
      </c>
      <c r="B6179">
        <f>TEXT(6178, "[$-0E0000]yyyy-mm-dd")</f>
        <v/>
      </c>
      <c r="C6179" t="inlineStr">
        <is>
          <t>1916-11-06</t>
        </is>
      </c>
    </row>
    <row r="6180">
      <c r="A6180" s="1" t="n">
        <v>6179</v>
      </c>
      <c r="B6180">
        <f>TEXT(6179, "[$-0E0000]yyyy-mm-dd")</f>
        <v/>
      </c>
      <c r="C6180" t="inlineStr">
        <is>
          <t>1916-11-07</t>
        </is>
      </c>
    </row>
    <row r="6181">
      <c r="A6181" s="1" t="n">
        <v>6180</v>
      </c>
      <c r="B6181">
        <f>TEXT(6180, "[$-0E0000]yyyy-mm-dd")</f>
        <v/>
      </c>
      <c r="C6181" t="inlineStr">
        <is>
          <t>1916-11-08</t>
        </is>
      </c>
    </row>
    <row r="6182">
      <c r="A6182" s="1" t="n">
        <v>6181</v>
      </c>
      <c r="B6182">
        <f>TEXT(6181, "[$-0E0000]yyyy-mm-dd")</f>
        <v/>
      </c>
      <c r="C6182" t="inlineStr">
        <is>
          <t>1916-11-09</t>
        </is>
      </c>
    </row>
    <row r="6183">
      <c r="A6183" s="1" t="n">
        <v>6182</v>
      </c>
      <c r="B6183">
        <f>TEXT(6182, "[$-0E0000]yyyy-mm-dd")</f>
        <v/>
      </c>
      <c r="C6183" t="inlineStr">
        <is>
          <t>1916-11-10</t>
        </is>
      </c>
    </row>
    <row r="6184">
      <c r="A6184" s="1" t="n">
        <v>6183</v>
      </c>
      <c r="B6184">
        <f>TEXT(6183, "[$-0E0000]yyyy-mm-dd")</f>
        <v/>
      </c>
      <c r="C6184" t="inlineStr">
        <is>
          <t>1916-11-11</t>
        </is>
      </c>
    </row>
    <row r="6185">
      <c r="A6185" s="1" t="n">
        <v>6184</v>
      </c>
      <c r="B6185">
        <f>TEXT(6184, "[$-0E0000]yyyy-mm-dd")</f>
        <v/>
      </c>
      <c r="C6185" t="inlineStr">
        <is>
          <t>1916-11-12</t>
        </is>
      </c>
    </row>
    <row r="6186">
      <c r="A6186" s="1" t="n">
        <v>6185</v>
      </c>
      <c r="B6186">
        <f>TEXT(6185, "[$-0E0000]yyyy-mm-dd")</f>
        <v/>
      </c>
      <c r="C6186" t="inlineStr">
        <is>
          <t>1916-11-13</t>
        </is>
      </c>
    </row>
    <row r="6187">
      <c r="A6187" s="1" t="n">
        <v>6186</v>
      </c>
      <c r="B6187">
        <f>TEXT(6186, "[$-0E0000]yyyy-mm-dd")</f>
        <v/>
      </c>
      <c r="C6187" t="inlineStr">
        <is>
          <t>1916-11-14</t>
        </is>
      </c>
    </row>
    <row r="6188">
      <c r="A6188" s="1" t="n">
        <v>6187</v>
      </c>
      <c r="B6188">
        <f>TEXT(6187, "[$-0E0000]yyyy-mm-dd")</f>
        <v/>
      </c>
      <c r="C6188" t="inlineStr">
        <is>
          <t>1916-11-15</t>
        </is>
      </c>
    </row>
    <row r="6189">
      <c r="A6189" s="1" t="n">
        <v>6188</v>
      </c>
      <c r="B6189">
        <f>TEXT(6188, "[$-0E0000]yyyy-mm-dd")</f>
        <v/>
      </c>
      <c r="C6189" t="inlineStr">
        <is>
          <t>1916-11-16</t>
        </is>
      </c>
    </row>
    <row r="6190">
      <c r="A6190" s="1" t="n">
        <v>6189</v>
      </c>
      <c r="B6190">
        <f>TEXT(6189, "[$-0E0000]yyyy-mm-dd")</f>
        <v/>
      </c>
      <c r="C6190" t="inlineStr">
        <is>
          <t>1916-11-17</t>
        </is>
      </c>
    </row>
    <row r="6191">
      <c r="A6191" s="1" t="n">
        <v>6190</v>
      </c>
      <c r="B6191">
        <f>TEXT(6190, "[$-0E0000]yyyy-mm-dd")</f>
        <v/>
      </c>
      <c r="C6191" t="inlineStr">
        <is>
          <t>1916-11-18</t>
        </is>
      </c>
    </row>
    <row r="6192">
      <c r="A6192" s="1" t="n">
        <v>6191</v>
      </c>
      <c r="B6192">
        <f>TEXT(6191, "[$-0E0000]yyyy-mm-dd")</f>
        <v/>
      </c>
      <c r="C6192" t="inlineStr">
        <is>
          <t>1916-11-19</t>
        </is>
      </c>
    </row>
    <row r="6193">
      <c r="A6193" s="1" t="n">
        <v>6192</v>
      </c>
      <c r="B6193">
        <f>TEXT(6192, "[$-0E0000]yyyy-mm-dd")</f>
        <v/>
      </c>
      <c r="C6193" t="inlineStr">
        <is>
          <t>1916-11-20</t>
        </is>
      </c>
    </row>
    <row r="6194">
      <c r="A6194" s="1" t="n">
        <v>6193</v>
      </c>
      <c r="B6194">
        <f>TEXT(6193, "[$-0E0000]yyyy-mm-dd")</f>
        <v/>
      </c>
      <c r="C6194" t="inlineStr">
        <is>
          <t>1916-11-21</t>
        </is>
      </c>
    </row>
    <row r="6195">
      <c r="A6195" s="1" t="n">
        <v>6194</v>
      </c>
      <c r="B6195">
        <f>TEXT(6194, "[$-0E0000]yyyy-mm-dd")</f>
        <v/>
      </c>
      <c r="C6195" t="inlineStr">
        <is>
          <t>1916-11-22</t>
        </is>
      </c>
    </row>
    <row r="6196">
      <c r="A6196" s="1" t="n">
        <v>6195</v>
      </c>
      <c r="B6196">
        <f>TEXT(6195, "[$-0E0000]yyyy-mm-dd")</f>
        <v/>
      </c>
      <c r="C6196" t="inlineStr">
        <is>
          <t>1916-11-23</t>
        </is>
      </c>
    </row>
    <row r="6197">
      <c r="A6197" s="1" t="n">
        <v>6196</v>
      </c>
      <c r="B6197">
        <f>TEXT(6196, "[$-0E0000]yyyy-mm-dd")</f>
        <v/>
      </c>
      <c r="C6197" t="inlineStr">
        <is>
          <t>1916-11-24</t>
        </is>
      </c>
    </row>
    <row r="6198">
      <c r="A6198" s="1" t="n">
        <v>6197</v>
      </c>
      <c r="B6198">
        <f>TEXT(6197, "[$-0E0000]yyyy-mm-dd")</f>
        <v/>
      </c>
      <c r="C6198" t="inlineStr">
        <is>
          <t>1916-11-25</t>
        </is>
      </c>
    </row>
    <row r="6199">
      <c r="A6199" s="1" t="n">
        <v>6198</v>
      </c>
      <c r="B6199">
        <f>TEXT(6198, "[$-0E0000]yyyy-mm-dd")</f>
        <v/>
      </c>
      <c r="C6199" t="inlineStr">
        <is>
          <t>1916-11-26</t>
        </is>
      </c>
    </row>
    <row r="6200">
      <c r="A6200" s="1" t="n">
        <v>6199</v>
      </c>
      <c r="B6200">
        <f>TEXT(6199, "[$-0E0000]yyyy-mm-dd")</f>
        <v/>
      </c>
      <c r="C6200" t="inlineStr">
        <is>
          <t>1916-11-27</t>
        </is>
      </c>
    </row>
    <row r="6201">
      <c r="A6201" s="1" t="n">
        <v>6200</v>
      </c>
      <c r="B6201">
        <f>TEXT(6200, "[$-0E0000]yyyy-mm-dd")</f>
        <v/>
      </c>
      <c r="C6201" t="inlineStr">
        <is>
          <t>1916-11-28</t>
        </is>
      </c>
    </row>
    <row r="6202">
      <c r="A6202" s="1" t="n">
        <v>6201</v>
      </c>
      <c r="B6202">
        <f>TEXT(6201, "[$-0E0000]yyyy-mm-dd")</f>
        <v/>
      </c>
      <c r="C6202" t="inlineStr">
        <is>
          <t>1916-11-29</t>
        </is>
      </c>
    </row>
    <row r="6203">
      <c r="A6203" s="1" t="n">
        <v>6202</v>
      </c>
      <c r="B6203">
        <f>TEXT(6202, "[$-0E0000]yyyy-mm-dd")</f>
        <v/>
      </c>
      <c r="C6203" t="inlineStr">
        <is>
          <t>1916-11-30</t>
        </is>
      </c>
    </row>
    <row r="6204">
      <c r="A6204" s="1" t="n">
        <v>6203</v>
      </c>
      <c r="B6204">
        <f>TEXT(6203, "[$-0E0000]yyyy-mm-dd")</f>
        <v/>
      </c>
      <c r="C6204" t="inlineStr">
        <is>
          <t>1916-12-01</t>
        </is>
      </c>
    </row>
    <row r="6205">
      <c r="A6205" s="1" t="n">
        <v>6204</v>
      </c>
      <c r="B6205">
        <f>TEXT(6204, "[$-0E0000]yyyy-mm-dd")</f>
        <v/>
      </c>
      <c r="C6205" t="inlineStr">
        <is>
          <t>1916-12-02</t>
        </is>
      </c>
    </row>
    <row r="6206">
      <c r="A6206" s="1" t="n">
        <v>6205</v>
      </c>
      <c r="B6206">
        <f>TEXT(6205, "[$-0E0000]yyyy-mm-dd")</f>
        <v/>
      </c>
      <c r="C6206" t="inlineStr">
        <is>
          <t>1916-12-03</t>
        </is>
      </c>
    </row>
    <row r="6207">
      <c r="A6207" s="1" t="n">
        <v>6206</v>
      </c>
      <c r="B6207">
        <f>TEXT(6206, "[$-0E0000]yyyy-mm-dd")</f>
        <v/>
      </c>
      <c r="C6207" t="inlineStr">
        <is>
          <t>1916-12-04</t>
        </is>
      </c>
    </row>
    <row r="6208">
      <c r="A6208" s="1" t="n">
        <v>6207</v>
      </c>
      <c r="B6208">
        <f>TEXT(6207, "[$-0E0000]yyyy-mm-dd")</f>
        <v/>
      </c>
      <c r="C6208" t="inlineStr">
        <is>
          <t>1916-12-05</t>
        </is>
      </c>
    </row>
    <row r="6209">
      <c r="A6209" s="1" t="n">
        <v>6208</v>
      </c>
      <c r="B6209">
        <f>TEXT(6208, "[$-0E0000]yyyy-mm-dd")</f>
        <v/>
      </c>
      <c r="C6209" t="inlineStr">
        <is>
          <t>1916-12-06</t>
        </is>
      </c>
    </row>
    <row r="6210">
      <c r="A6210" s="1" t="n">
        <v>6209</v>
      </c>
      <c r="B6210">
        <f>TEXT(6209, "[$-0E0000]yyyy-mm-dd")</f>
        <v/>
      </c>
      <c r="C6210" t="inlineStr">
        <is>
          <t>1916-12-07</t>
        </is>
      </c>
    </row>
    <row r="6211">
      <c r="A6211" s="1" t="n">
        <v>6210</v>
      </c>
      <c r="B6211">
        <f>TEXT(6210, "[$-0E0000]yyyy-mm-dd")</f>
        <v/>
      </c>
      <c r="C6211" t="inlineStr">
        <is>
          <t>1916-12-08</t>
        </is>
      </c>
    </row>
    <row r="6212">
      <c r="A6212" s="1" t="n">
        <v>6211</v>
      </c>
      <c r="B6212">
        <f>TEXT(6211, "[$-0E0000]yyyy-mm-dd")</f>
        <v/>
      </c>
      <c r="C6212" t="inlineStr">
        <is>
          <t>1916-12-09</t>
        </is>
      </c>
    </row>
    <row r="6213">
      <c r="A6213" s="1" t="n">
        <v>6212</v>
      </c>
      <c r="B6213">
        <f>TEXT(6212, "[$-0E0000]yyyy-mm-dd")</f>
        <v/>
      </c>
      <c r="C6213" t="inlineStr">
        <is>
          <t>1916-12-10</t>
        </is>
      </c>
    </row>
    <row r="6214">
      <c r="A6214" s="1" t="n">
        <v>6213</v>
      </c>
      <c r="B6214">
        <f>TEXT(6213, "[$-0E0000]yyyy-mm-dd")</f>
        <v/>
      </c>
      <c r="C6214" t="inlineStr">
        <is>
          <t>1916-12-11</t>
        </is>
      </c>
    </row>
    <row r="6215">
      <c r="A6215" s="1" t="n">
        <v>6214</v>
      </c>
      <c r="B6215">
        <f>TEXT(6214, "[$-0E0000]yyyy-mm-dd")</f>
        <v/>
      </c>
      <c r="C6215" t="inlineStr">
        <is>
          <t>1916-12-12</t>
        </is>
      </c>
    </row>
    <row r="6216">
      <c r="A6216" s="1" t="n">
        <v>6215</v>
      </c>
      <c r="B6216">
        <f>TEXT(6215, "[$-0E0000]yyyy-mm-dd")</f>
        <v/>
      </c>
      <c r="C6216" t="inlineStr">
        <is>
          <t>1916-12-13</t>
        </is>
      </c>
    </row>
    <row r="6217">
      <c r="A6217" s="1" t="n">
        <v>6216</v>
      </c>
      <c r="B6217">
        <f>TEXT(6216, "[$-0E0000]yyyy-mm-dd")</f>
        <v/>
      </c>
      <c r="C6217" t="inlineStr">
        <is>
          <t>1916-12-14</t>
        </is>
      </c>
    </row>
    <row r="6218">
      <c r="A6218" s="1" t="n">
        <v>6217</v>
      </c>
      <c r="B6218">
        <f>TEXT(6217, "[$-0E0000]yyyy-mm-dd")</f>
        <v/>
      </c>
      <c r="C6218" t="inlineStr">
        <is>
          <t>1916-12-15</t>
        </is>
      </c>
    </row>
    <row r="6219">
      <c r="A6219" s="1" t="n">
        <v>6218</v>
      </c>
      <c r="B6219">
        <f>TEXT(6218, "[$-0E0000]yyyy-mm-dd")</f>
        <v/>
      </c>
      <c r="C6219" t="inlineStr">
        <is>
          <t>1916-12-16</t>
        </is>
      </c>
    </row>
    <row r="6220">
      <c r="A6220" s="1" t="n">
        <v>6219</v>
      </c>
      <c r="B6220">
        <f>TEXT(6219, "[$-0E0000]yyyy-mm-dd")</f>
        <v/>
      </c>
      <c r="C6220" t="inlineStr">
        <is>
          <t>1916-12-17</t>
        </is>
      </c>
    </row>
    <row r="6221">
      <c r="A6221" s="1" t="n">
        <v>6220</v>
      </c>
      <c r="B6221">
        <f>TEXT(6220, "[$-0E0000]yyyy-mm-dd")</f>
        <v/>
      </c>
      <c r="C6221" t="inlineStr">
        <is>
          <t>1916-12-18</t>
        </is>
      </c>
    </row>
    <row r="6222">
      <c r="A6222" s="1" t="n">
        <v>6221</v>
      </c>
      <c r="B6222">
        <f>TEXT(6221, "[$-0E0000]yyyy-mm-dd")</f>
        <v/>
      </c>
      <c r="C6222" t="inlineStr">
        <is>
          <t>1916-12-19</t>
        </is>
      </c>
    </row>
    <row r="6223">
      <c r="A6223" s="1" t="n">
        <v>6222</v>
      </c>
      <c r="B6223">
        <f>TEXT(6222, "[$-0E0000]yyyy-mm-dd")</f>
        <v/>
      </c>
      <c r="C6223" t="inlineStr">
        <is>
          <t>1916-12-20</t>
        </is>
      </c>
    </row>
    <row r="6224">
      <c r="A6224" s="1" t="n">
        <v>6223</v>
      </c>
      <c r="B6224">
        <f>TEXT(6223, "[$-0E0000]yyyy-mm-dd")</f>
        <v/>
      </c>
      <c r="C6224" t="inlineStr">
        <is>
          <t>1916-12-21</t>
        </is>
      </c>
    </row>
    <row r="6225">
      <c r="A6225" s="1" t="n">
        <v>6224</v>
      </c>
      <c r="B6225">
        <f>TEXT(6224, "[$-0E0000]yyyy-mm-dd")</f>
        <v/>
      </c>
      <c r="C6225" t="inlineStr">
        <is>
          <t>1916-12-22</t>
        </is>
      </c>
    </row>
    <row r="6226">
      <c r="A6226" s="1" t="n">
        <v>6225</v>
      </c>
      <c r="B6226">
        <f>TEXT(6225, "[$-0E0000]yyyy-mm-dd")</f>
        <v/>
      </c>
      <c r="C6226" t="inlineStr">
        <is>
          <t>1916-12-23</t>
        </is>
      </c>
    </row>
    <row r="6227">
      <c r="A6227" s="1" t="n">
        <v>6226</v>
      </c>
      <c r="B6227">
        <f>TEXT(6226, "[$-0E0000]yyyy-mm-dd")</f>
        <v/>
      </c>
      <c r="C6227" t="inlineStr">
        <is>
          <t>1916-12-24</t>
        </is>
      </c>
    </row>
    <row r="6228">
      <c r="A6228" s="1" t="n">
        <v>6227</v>
      </c>
      <c r="B6228">
        <f>TEXT(6227, "[$-0E0000]yyyy-mm-dd")</f>
        <v/>
      </c>
      <c r="C6228" t="inlineStr">
        <is>
          <t>1916-12-25</t>
        </is>
      </c>
    </row>
    <row r="6229">
      <c r="A6229" s="1" t="n">
        <v>6228</v>
      </c>
      <c r="B6229">
        <f>TEXT(6228, "[$-0E0000]yyyy-mm-dd")</f>
        <v/>
      </c>
      <c r="C6229" t="inlineStr">
        <is>
          <t>1916-12-26</t>
        </is>
      </c>
    </row>
    <row r="6230">
      <c r="A6230" s="1" t="n">
        <v>6229</v>
      </c>
      <c r="B6230">
        <f>TEXT(6229, "[$-0E0000]yyyy-mm-dd")</f>
        <v/>
      </c>
      <c r="C6230" t="inlineStr">
        <is>
          <t>1916-12-27</t>
        </is>
      </c>
    </row>
    <row r="6231">
      <c r="A6231" s="1" t="n">
        <v>6230</v>
      </c>
      <c r="B6231">
        <f>TEXT(6230, "[$-0E0000]yyyy-mm-dd")</f>
        <v/>
      </c>
      <c r="C6231" t="inlineStr">
        <is>
          <t>1916-12-28</t>
        </is>
      </c>
    </row>
    <row r="6232">
      <c r="A6232" s="1" t="n">
        <v>6231</v>
      </c>
      <c r="B6232">
        <f>TEXT(6231, "[$-0E0000]yyyy-mm-dd")</f>
        <v/>
      </c>
      <c r="C6232" t="inlineStr">
        <is>
          <t>1916-12-29</t>
        </is>
      </c>
    </row>
    <row r="6233">
      <c r="A6233" s="1" t="n">
        <v>6232</v>
      </c>
      <c r="B6233">
        <f>TEXT(6232, "[$-0E0000]yyyy-mm-dd")</f>
        <v/>
      </c>
      <c r="C6233" t="inlineStr">
        <is>
          <t>1917-01-01</t>
        </is>
      </c>
    </row>
    <row r="6234">
      <c r="A6234" s="1" t="n">
        <v>6233</v>
      </c>
      <c r="B6234">
        <f>TEXT(6233, "[$-0E0000]yyyy-mm-dd")</f>
        <v/>
      </c>
      <c r="C6234" t="inlineStr">
        <is>
          <t>1917-01-02</t>
        </is>
      </c>
    </row>
    <row r="6235">
      <c r="A6235" s="1" t="n">
        <v>6234</v>
      </c>
      <c r="B6235">
        <f>TEXT(6234, "[$-0E0000]yyyy-mm-dd")</f>
        <v/>
      </c>
      <c r="C6235" t="inlineStr">
        <is>
          <t>1917-01-03</t>
        </is>
      </c>
    </row>
    <row r="6236">
      <c r="A6236" s="1" t="n">
        <v>6235</v>
      </c>
      <c r="B6236">
        <f>TEXT(6235, "[$-0E0000]yyyy-mm-dd")</f>
        <v/>
      </c>
      <c r="C6236" t="inlineStr">
        <is>
          <t>1917-01-04</t>
        </is>
      </c>
    </row>
    <row r="6237">
      <c r="A6237" s="1" t="n">
        <v>6236</v>
      </c>
      <c r="B6237">
        <f>TEXT(6236, "[$-0E0000]yyyy-mm-dd")</f>
        <v/>
      </c>
      <c r="C6237" t="inlineStr">
        <is>
          <t>1917-01-05</t>
        </is>
      </c>
    </row>
    <row r="6238">
      <c r="A6238" s="1" t="n">
        <v>6237</v>
      </c>
      <c r="B6238">
        <f>TEXT(6237, "[$-0E0000]yyyy-mm-dd")</f>
        <v/>
      </c>
      <c r="C6238" t="inlineStr">
        <is>
          <t>1917-01-06</t>
        </is>
      </c>
    </row>
    <row r="6239">
      <c r="A6239" s="1" t="n">
        <v>6238</v>
      </c>
      <c r="B6239">
        <f>TEXT(6238, "[$-0E0000]yyyy-mm-dd")</f>
        <v/>
      </c>
      <c r="C6239" t="inlineStr">
        <is>
          <t>1917-01-07</t>
        </is>
      </c>
    </row>
    <row r="6240">
      <c r="A6240" s="1" t="n">
        <v>6239</v>
      </c>
      <c r="B6240">
        <f>TEXT(6239, "[$-0E0000]yyyy-mm-dd")</f>
        <v/>
      </c>
      <c r="C6240" t="inlineStr">
        <is>
          <t>1917-01-08</t>
        </is>
      </c>
    </row>
    <row r="6241">
      <c r="A6241" s="1" t="n">
        <v>6240</v>
      </c>
      <c r="B6241">
        <f>TEXT(6240, "[$-0E0000]yyyy-mm-dd")</f>
        <v/>
      </c>
      <c r="C6241" t="inlineStr">
        <is>
          <t>1917-01-09</t>
        </is>
      </c>
    </row>
    <row r="6242">
      <c r="A6242" s="1" t="n">
        <v>6241</v>
      </c>
      <c r="B6242">
        <f>TEXT(6241, "[$-0E0000]yyyy-mm-dd")</f>
        <v/>
      </c>
      <c r="C6242" t="inlineStr">
        <is>
          <t>1917-01-10</t>
        </is>
      </c>
    </row>
    <row r="6243">
      <c r="A6243" s="1" t="n">
        <v>6242</v>
      </c>
      <c r="B6243">
        <f>TEXT(6242, "[$-0E0000]yyyy-mm-dd")</f>
        <v/>
      </c>
      <c r="C6243" t="inlineStr">
        <is>
          <t>1917-01-11</t>
        </is>
      </c>
    </row>
    <row r="6244">
      <c r="A6244" s="1" t="n">
        <v>6243</v>
      </c>
      <c r="B6244">
        <f>TEXT(6243, "[$-0E0000]yyyy-mm-dd")</f>
        <v/>
      </c>
      <c r="C6244" t="inlineStr">
        <is>
          <t>1917-01-12</t>
        </is>
      </c>
    </row>
    <row r="6245">
      <c r="A6245" s="1" t="n">
        <v>6244</v>
      </c>
      <c r="B6245">
        <f>TEXT(6244, "[$-0E0000]yyyy-mm-dd")</f>
        <v/>
      </c>
      <c r="C6245" t="inlineStr">
        <is>
          <t>1917-01-13</t>
        </is>
      </c>
    </row>
    <row r="6246">
      <c r="A6246" s="1" t="n">
        <v>6245</v>
      </c>
      <c r="B6246">
        <f>TEXT(6245, "[$-0E0000]yyyy-mm-dd")</f>
        <v/>
      </c>
      <c r="C6246" t="inlineStr">
        <is>
          <t>1917-01-14</t>
        </is>
      </c>
    </row>
    <row r="6247">
      <c r="A6247" s="1" t="n">
        <v>6246</v>
      </c>
      <c r="B6247">
        <f>TEXT(6246, "[$-0E0000]yyyy-mm-dd")</f>
        <v/>
      </c>
      <c r="C6247" t="inlineStr">
        <is>
          <t>1917-01-15</t>
        </is>
      </c>
    </row>
    <row r="6248">
      <c r="A6248" s="1" t="n">
        <v>6247</v>
      </c>
      <c r="B6248">
        <f>TEXT(6247, "[$-0E0000]yyyy-mm-dd")</f>
        <v/>
      </c>
      <c r="C6248" t="inlineStr">
        <is>
          <t>1917-01-16</t>
        </is>
      </c>
    </row>
    <row r="6249">
      <c r="A6249" s="1" t="n">
        <v>6248</v>
      </c>
      <c r="B6249">
        <f>TEXT(6248, "[$-0E0000]yyyy-mm-dd")</f>
        <v/>
      </c>
      <c r="C6249" t="inlineStr">
        <is>
          <t>1917-01-17</t>
        </is>
      </c>
    </row>
    <row r="6250">
      <c r="A6250" s="1" t="n">
        <v>6249</v>
      </c>
      <c r="B6250">
        <f>TEXT(6249, "[$-0E0000]yyyy-mm-dd")</f>
        <v/>
      </c>
      <c r="C6250" t="inlineStr">
        <is>
          <t>1917-01-18</t>
        </is>
      </c>
    </row>
    <row r="6251">
      <c r="A6251" s="1" t="n">
        <v>6250</v>
      </c>
      <c r="B6251">
        <f>TEXT(6250, "[$-0E0000]yyyy-mm-dd")</f>
        <v/>
      </c>
      <c r="C6251" t="inlineStr">
        <is>
          <t>1917-01-19</t>
        </is>
      </c>
    </row>
    <row r="6252">
      <c r="A6252" s="1" t="n">
        <v>6251</v>
      </c>
      <c r="B6252">
        <f>TEXT(6251, "[$-0E0000]yyyy-mm-dd")</f>
        <v/>
      </c>
      <c r="C6252" t="inlineStr">
        <is>
          <t>1917-01-20</t>
        </is>
      </c>
    </row>
    <row r="6253">
      <c r="A6253" s="1" t="n">
        <v>6252</v>
      </c>
      <c r="B6253">
        <f>TEXT(6252, "[$-0E0000]yyyy-mm-dd")</f>
        <v/>
      </c>
      <c r="C6253" t="inlineStr">
        <is>
          <t>1917-01-21</t>
        </is>
      </c>
    </row>
    <row r="6254">
      <c r="A6254" s="1" t="n">
        <v>6253</v>
      </c>
      <c r="B6254">
        <f>TEXT(6253, "[$-0E0000]yyyy-mm-dd")</f>
        <v/>
      </c>
      <c r="C6254" t="inlineStr">
        <is>
          <t>1917-01-22</t>
        </is>
      </c>
    </row>
    <row r="6255">
      <c r="A6255" s="1" t="n">
        <v>6254</v>
      </c>
      <c r="B6255">
        <f>TEXT(6254, "[$-0E0000]yyyy-mm-dd")</f>
        <v/>
      </c>
      <c r="C6255" t="inlineStr">
        <is>
          <t>1917-01-23</t>
        </is>
      </c>
    </row>
    <row r="6256">
      <c r="A6256" s="1" t="n">
        <v>6255</v>
      </c>
      <c r="B6256">
        <f>TEXT(6255, "[$-0E0000]yyyy-mm-dd")</f>
        <v/>
      </c>
      <c r="C6256" t="inlineStr">
        <is>
          <t>1917-01-24</t>
        </is>
      </c>
    </row>
    <row r="6257">
      <c r="A6257" s="1" t="n">
        <v>6256</v>
      </c>
      <c r="B6257">
        <f>TEXT(6256, "[$-0E0000]yyyy-mm-dd")</f>
        <v/>
      </c>
      <c r="C6257" t="inlineStr">
        <is>
          <t>1917-01-25</t>
        </is>
      </c>
    </row>
    <row r="6258">
      <c r="A6258" s="1" t="n">
        <v>6257</v>
      </c>
      <c r="B6258">
        <f>TEXT(6257, "[$-0E0000]yyyy-mm-dd")</f>
        <v/>
      </c>
      <c r="C6258" t="inlineStr">
        <is>
          <t>1917-01-26</t>
        </is>
      </c>
    </row>
    <row r="6259">
      <c r="A6259" s="1" t="n">
        <v>6258</v>
      </c>
      <c r="B6259">
        <f>TEXT(6258, "[$-0E0000]yyyy-mm-dd")</f>
        <v/>
      </c>
      <c r="C6259" t="inlineStr">
        <is>
          <t>1917-01-27</t>
        </is>
      </c>
    </row>
    <row r="6260">
      <c r="A6260" s="1" t="n">
        <v>6259</v>
      </c>
      <c r="B6260">
        <f>TEXT(6259, "[$-0E0000]yyyy-mm-dd")</f>
        <v/>
      </c>
      <c r="C6260" t="inlineStr">
        <is>
          <t>1917-01-28</t>
        </is>
      </c>
    </row>
    <row r="6261">
      <c r="A6261" s="1" t="n">
        <v>6260</v>
      </c>
      <c r="B6261">
        <f>TEXT(6260, "[$-0E0000]yyyy-mm-dd")</f>
        <v/>
      </c>
      <c r="C6261" t="inlineStr">
        <is>
          <t>1917-01-29</t>
        </is>
      </c>
    </row>
    <row r="6262">
      <c r="A6262" s="1" t="n">
        <v>6261</v>
      </c>
      <c r="B6262">
        <f>TEXT(6261, "[$-0E0000]yyyy-mm-dd")</f>
        <v/>
      </c>
      <c r="C6262" t="inlineStr">
        <is>
          <t>1917-01-30</t>
        </is>
      </c>
    </row>
    <row r="6263">
      <c r="A6263" s="1" t="n">
        <v>6262</v>
      </c>
      <c r="B6263">
        <f>TEXT(6262, "[$-0E0000]yyyy-mm-dd")</f>
        <v/>
      </c>
      <c r="C6263" t="inlineStr">
        <is>
          <t>1917-02-01</t>
        </is>
      </c>
    </row>
    <row r="6264">
      <c r="A6264" s="1" t="n">
        <v>6263</v>
      </c>
      <c r="B6264">
        <f>TEXT(6263, "[$-0E0000]yyyy-mm-dd")</f>
        <v/>
      </c>
      <c r="C6264" t="inlineStr">
        <is>
          <t>1917-02-02</t>
        </is>
      </c>
    </row>
    <row r="6265">
      <c r="A6265" s="1" t="n">
        <v>6264</v>
      </c>
      <c r="B6265">
        <f>TEXT(6264, "[$-0E0000]yyyy-mm-dd")</f>
        <v/>
      </c>
      <c r="C6265" t="inlineStr">
        <is>
          <t>1917-02-03</t>
        </is>
      </c>
    </row>
    <row r="6266">
      <c r="A6266" s="1" t="n">
        <v>6265</v>
      </c>
      <c r="B6266">
        <f>TEXT(6265, "[$-0E0000]yyyy-mm-dd")</f>
        <v/>
      </c>
      <c r="C6266" t="inlineStr">
        <is>
          <t>1917-02-04</t>
        </is>
      </c>
    </row>
    <row r="6267">
      <c r="A6267" s="1" t="n">
        <v>6266</v>
      </c>
      <c r="B6267">
        <f>TEXT(6266, "[$-0E0000]yyyy-mm-dd")</f>
        <v/>
      </c>
      <c r="C6267" t="inlineStr">
        <is>
          <t>1917-02-05</t>
        </is>
      </c>
    </row>
    <row r="6268">
      <c r="A6268" s="1" t="n">
        <v>6267</v>
      </c>
      <c r="B6268">
        <f>TEXT(6267, "[$-0E0000]yyyy-mm-dd")</f>
        <v/>
      </c>
      <c r="C6268" t="inlineStr">
        <is>
          <t>1917-02-06</t>
        </is>
      </c>
    </row>
    <row r="6269">
      <c r="A6269" s="1" t="n">
        <v>6268</v>
      </c>
      <c r="B6269">
        <f>TEXT(6268, "[$-0E0000]yyyy-mm-dd")</f>
        <v/>
      </c>
      <c r="C6269" t="inlineStr">
        <is>
          <t>1917-02-07</t>
        </is>
      </c>
    </row>
    <row r="6270">
      <c r="A6270" s="1" t="n">
        <v>6269</v>
      </c>
      <c r="B6270">
        <f>TEXT(6269, "[$-0E0000]yyyy-mm-dd")</f>
        <v/>
      </c>
      <c r="C6270" t="inlineStr">
        <is>
          <t>1917-02-08</t>
        </is>
      </c>
    </row>
    <row r="6271">
      <c r="A6271" s="1" t="n">
        <v>6270</v>
      </c>
      <c r="B6271">
        <f>TEXT(6270, "[$-0E0000]yyyy-mm-dd")</f>
        <v/>
      </c>
      <c r="C6271" t="inlineStr">
        <is>
          <t>1917-02-09</t>
        </is>
      </c>
    </row>
    <row r="6272">
      <c r="A6272" s="1" t="n">
        <v>6271</v>
      </c>
      <c r="B6272">
        <f>TEXT(6271, "[$-0E0000]yyyy-mm-dd")</f>
        <v/>
      </c>
      <c r="C6272" t="inlineStr">
        <is>
          <t>1917-02-10</t>
        </is>
      </c>
    </row>
    <row r="6273">
      <c r="A6273" s="1" t="n">
        <v>6272</v>
      </c>
      <c r="B6273">
        <f>TEXT(6272, "[$-0E0000]yyyy-mm-dd")</f>
        <v/>
      </c>
      <c r="C6273" t="inlineStr">
        <is>
          <t>1917-02-11</t>
        </is>
      </c>
    </row>
    <row r="6274">
      <c r="A6274" s="1" t="n">
        <v>6273</v>
      </c>
      <c r="B6274">
        <f>TEXT(6273, "[$-0E0000]yyyy-mm-dd")</f>
        <v/>
      </c>
      <c r="C6274" t="inlineStr">
        <is>
          <t>1917-02-12</t>
        </is>
      </c>
    </row>
    <row r="6275">
      <c r="A6275" s="1" t="n">
        <v>6274</v>
      </c>
      <c r="B6275">
        <f>TEXT(6274, "[$-0E0000]yyyy-mm-dd")</f>
        <v/>
      </c>
      <c r="C6275" t="inlineStr">
        <is>
          <t>1917-02-13</t>
        </is>
      </c>
    </row>
    <row r="6276">
      <c r="A6276" s="1" t="n">
        <v>6275</v>
      </c>
      <c r="B6276">
        <f>TEXT(6275, "[$-0E0000]yyyy-mm-dd")</f>
        <v/>
      </c>
      <c r="C6276" t="inlineStr">
        <is>
          <t>1917-02-14</t>
        </is>
      </c>
    </row>
    <row r="6277">
      <c r="A6277" s="1" t="n">
        <v>6276</v>
      </c>
      <c r="B6277">
        <f>TEXT(6276, "[$-0E0000]yyyy-mm-dd")</f>
        <v/>
      </c>
      <c r="C6277" t="inlineStr">
        <is>
          <t>1917-02-15</t>
        </is>
      </c>
    </row>
    <row r="6278">
      <c r="A6278" s="1" t="n">
        <v>6277</v>
      </c>
      <c r="B6278">
        <f>TEXT(6277, "[$-0E0000]yyyy-mm-dd")</f>
        <v/>
      </c>
      <c r="C6278" t="inlineStr">
        <is>
          <t>1917-02-16</t>
        </is>
      </c>
    </row>
    <row r="6279">
      <c r="A6279" s="1" t="n">
        <v>6278</v>
      </c>
      <c r="B6279">
        <f>TEXT(6278, "[$-0E0000]yyyy-mm-dd")</f>
        <v/>
      </c>
      <c r="C6279" t="inlineStr">
        <is>
          <t>1917-02-17</t>
        </is>
      </c>
    </row>
    <row r="6280">
      <c r="A6280" s="1" t="n">
        <v>6279</v>
      </c>
      <c r="B6280">
        <f>TEXT(6279, "[$-0E0000]yyyy-mm-dd")</f>
        <v/>
      </c>
      <c r="C6280" t="inlineStr">
        <is>
          <t>1917-02-18</t>
        </is>
      </c>
    </row>
    <row r="6281">
      <c r="A6281" s="1" t="n">
        <v>6280</v>
      </c>
      <c r="B6281">
        <f>TEXT(6280, "[$-0E0000]yyyy-mm-dd")</f>
        <v/>
      </c>
      <c r="C6281" t="inlineStr">
        <is>
          <t>1917-02-19</t>
        </is>
      </c>
    </row>
    <row r="6282">
      <c r="A6282" s="1" t="n">
        <v>6281</v>
      </c>
      <c r="B6282">
        <f>TEXT(6281, "[$-0E0000]yyyy-mm-dd")</f>
        <v/>
      </c>
      <c r="C6282" t="inlineStr">
        <is>
          <t>1917-02-20</t>
        </is>
      </c>
    </row>
    <row r="6283">
      <c r="A6283" s="1" t="n">
        <v>6282</v>
      </c>
      <c r="B6283">
        <f>TEXT(6282, "[$-0E0000]yyyy-mm-dd")</f>
        <v/>
      </c>
      <c r="C6283" t="inlineStr">
        <is>
          <t>1917-02-21</t>
        </is>
      </c>
    </row>
    <row r="6284">
      <c r="A6284" s="1" t="n">
        <v>6283</v>
      </c>
      <c r="B6284">
        <f>TEXT(6283, "[$-0E0000]yyyy-mm-dd")</f>
        <v/>
      </c>
      <c r="C6284" t="inlineStr">
        <is>
          <t>1917-02-22</t>
        </is>
      </c>
    </row>
    <row r="6285">
      <c r="A6285" s="1" t="n">
        <v>6284</v>
      </c>
      <c r="B6285">
        <f>TEXT(6284, "[$-0E0000]yyyy-mm-dd")</f>
        <v/>
      </c>
      <c r="C6285" t="inlineStr">
        <is>
          <t>1917-02-23</t>
        </is>
      </c>
    </row>
    <row r="6286">
      <c r="A6286" s="1" t="n">
        <v>6285</v>
      </c>
      <c r="B6286">
        <f>TEXT(6285, "[$-0E0000]yyyy-mm-dd")</f>
        <v/>
      </c>
      <c r="C6286" t="inlineStr">
        <is>
          <t>1917-02-24</t>
        </is>
      </c>
    </row>
    <row r="6287">
      <c r="A6287" s="1" t="n">
        <v>6286</v>
      </c>
      <c r="B6287">
        <f>TEXT(6286, "[$-0E0000]yyyy-mm-dd")</f>
        <v/>
      </c>
      <c r="C6287" t="inlineStr">
        <is>
          <t>1917-02-25</t>
        </is>
      </c>
    </row>
    <row r="6288">
      <c r="A6288" s="1" t="n">
        <v>6287</v>
      </c>
      <c r="B6288">
        <f>TEXT(6287, "[$-0E0000]yyyy-mm-dd")</f>
        <v/>
      </c>
      <c r="C6288" t="inlineStr">
        <is>
          <t>1917-02-26</t>
        </is>
      </c>
    </row>
    <row r="6289">
      <c r="A6289" s="1" t="n">
        <v>6288</v>
      </c>
      <c r="B6289">
        <f>TEXT(6288, "[$-0E0000]yyyy-mm-dd")</f>
        <v/>
      </c>
      <c r="C6289" t="inlineStr">
        <is>
          <t>1917-02-27</t>
        </is>
      </c>
    </row>
    <row r="6290">
      <c r="A6290" s="1" t="n">
        <v>6289</v>
      </c>
      <c r="B6290">
        <f>TEXT(6289, "[$-0E0000]yyyy-mm-dd")</f>
        <v/>
      </c>
      <c r="C6290" t="inlineStr">
        <is>
          <t>1917-02-28</t>
        </is>
      </c>
    </row>
    <row r="6291">
      <c r="A6291" s="1" t="n">
        <v>6290</v>
      </c>
      <c r="B6291">
        <f>TEXT(6290, "[$-0E0000]yyyy-mm-dd")</f>
        <v/>
      </c>
      <c r="C6291" t="inlineStr">
        <is>
          <t>1917-02-29</t>
        </is>
      </c>
    </row>
    <row r="6292">
      <c r="A6292" s="1" t="n">
        <v>6291</v>
      </c>
      <c r="B6292">
        <f>TEXT(6291, "[$-0E0000]yyyy-mm-dd")</f>
        <v/>
      </c>
      <c r="C6292" t="inlineStr">
        <is>
          <t>1917-02-01</t>
        </is>
      </c>
    </row>
    <row r="6293">
      <c r="A6293" s="1" t="n">
        <v>6292</v>
      </c>
      <c r="B6293">
        <f>TEXT(6292, "[$-0E0000]yyyy-mm-dd")</f>
        <v/>
      </c>
      <c r="C6293" t="inlineStr">
        <is>
          <t>1917-02-02</t>
        </is>
      </c>
    </row>
    <row r="6294">
      <c r="A6294" s="1" t="n">
        <v>6293</v>
      </c>
      <c r="B6294">
        <f>TEXT(6293, "[$-0E0000]yyyy-mm-dd")</f>
        <v/>
      </c>
      <c r="C6294" t="inlineStr">
        <is>
          <t>1917-02-03</t>
        </is>
      </c>
    </row>
    <row r="6295">
      <c r="A6295" s="1" t="n">
        <v>6294</v>
      </c>
      <c r="B6295">
        <f>TEXT(6294, "[$-0E0000]yyyy-mm-dd")</f>
        <v/>
      </c>
      <c r="C6295" t="inlineStr">
        <is>
          <t>1917-02-04</t>
        </is>
      </c>
    </row>
    <row r="6296">
      <c r="A6296" s="1" t="n">
        <v>6295</v>
      </c>
      <c r="B6296">
        <f>TEXT(6295, "[$-0E0000]yyyy-mm-dd")</f>
        <v/>
      </c>
      <c r="C6296" t="inlineStr">
        <is>
          <t>1917-02-05</t>
        </is>
      </c>
    </row>
    <row r="6297">
      <c r="A6297" s="1" t="n">
        <v>6296</v>
      </c>
      <c r="B6297">
        <f>TEXT(6296, "[$-0E0000]yyyy-mm-dd")</f>
        <v/>
      </c>
      <c r="C6297" t="inlineStr">
        <is>
          <t>1917-02-06</t>
        </is>
      </c>
    </row>
    <row r="6298">
      <c r="A6298" s="1" t="n">
        <v>6297</v>
      </c>
      <c r="B6298">
        <f>TEXT(6297, "[$-0E0000]yyyy-mm-dd")</f>
        <v/>
      </c>
      <c r="C6298" t="inlineStr">
        <is>
          <t>1917-02-07</t>
        </is>
      </c>
    </row>
    <row r="6299">
      <c r="A6299" s="1" t="n">
        <v>6298</v>
      </c>
      <c r="B6299">
        <f>TEXT(6298, "[$-0E0000]yyyy-mm-dd")</f>
        <v/>
      </c>
      <c r="C6299" t="inlineStr">
        <is>
          <t>1917-02-08</t>
        </is>
      </c>
    </row>
    <row r="6300">
      <c r="A6300" s="1" t="n">
        <v>6299</v>
      </c>
      <c r="B6300">
        <f>TEXT(6299, "[$-0E0000]yyyy-mm-dd")</f>
        <v/>
      </c>
      <c r="C6300" t="inlineStr">
        <is>
          <t>1917-02-09</t>
        </is>
      </c>
    </row>
    <row r="6301">
      <c r="A6301" s="1" t="n">
        <v>6300</v>
      </c>
      <c r="B6301">
        <f>TEXT(6300, "[$-0E0000]yyyy-mm-dd")</f>
        <v/>
      </c>
      <c r="C6301" t="inlineStr">
        <is>
          <t>1917-02-10</t>
        </is>
      </c>
    </row>
    <row r="6302">
      <c r="A6302" s="1" t="n">
        <v>6301</v>
      </c>
      <c r="B6302">
        <f>TEXT(6301, "[$-0E0000]yyyy-mm-dd")</f>
        <v/>
      </c>
      <c r="C6302" t="inlineStr">
        <is>
          <t>1917-02-11</t>
        </is>
      </c>
    </row>
    <row r="6303">
      <c r="A6303" s="1" t="n">
        <v>6302</v>
      </c>
      <c r="B6303">
        <f>TEXT(6302, "[$-0E0000]yyyy-mm-dd")</f>
        <v/>
      </c>
      <c r="C6303" t="inlineStr">
        <is>
          <t>1917-02-12</t>
        </is>
      </c>
    </row>
    <row r="6304">
      <c r="A6304" s="1" t="n">
        <v>6303</v>
      </c>
      <c r="B6304">
        <f>TEXT(6303, "[$-0E0000]yyyy-mm-dd")</f>
        <v/>
      </c>
      <c r="C6304" t="inlineStr">
        <is>
          <t>1917-02-13</t>
        </is>
      </c>
    </row>
    <row r="6305">
      <c r="A6305" s="1" t="n">
        <v>6304</v>
      </c>
      <c r="B6305">
        <f>TEXT(6304, "[$-0E0000]yyyy-mm-dd")</f>
        <v/>
      </c>
      <c r="C6305" t="inlineStr">
        <is>
          <t>1917-02-14</t>
        </is>
      </c>
    </row>
    <row r="6306">
      <c r="A6306" s="1" t="n">
        <v>6305</v>
      </c>
      <c r="B6306">
        <f>TEXT(6305, "[$-0E0000]yyyy-mm-dd")</f>
        <v/>
      </c>
      <c r="C6306" t="inlineStr">
        <is>
          <t>1917-02-15</t>
        </is>
      </c>
    </row>
    <row r="6307">
      <c r="A6307" s="1" t="n">
        <v>6306</v>
      </c>
      <c r="B6307">
        <f>TEXT(6306, "[$-0E0000]yyyy-mm-dd")</f>
        <v/>
      </c>
      <c r="C6307" t="inlineStr">
        <is>
          <t>1917-02-16</t>
        </is>
      </c>
    </row>
    <row r="6308">
      <c r="A6308" s="1" t="n">
        <v>6307</v>
      </c>
      <c r="B6308">
        <f>TEXT(6307, "[$-0E0000]yyyy-mm-dd")</f>
        <v/>
      </c>
      <c r="C6308" t="inlineStr">
        <is>
          <t>1917-02-17</t>
        </is>
      </c>
    </row>
    <row r="6309">
      <c r="A6309" s="1" t="n">
        <v>6308</v>
      </c>
      <c r="B6309">
        <f>TEXT(6308, "[$-0E0000]yyyy-mm-dd")</f>
        <v/>
      </c>
      <c r="C6309" t="inlineStr">
        <is>
          <t>1917-02-18</t>
        </is>
      </c>
    </row>
    <row r="6310">
      <c r="A6310" s="1" t="n">
        <v>6309</v>
      </c>
      <c r="B6310">
        <f>TEXT(6309, "[$-0E0000]yyyy-mm-dd")</f>
        <v/>
      </c>
      <c r="C6310" t="inlineStr">
        <is>
          <t>1917-02-19</t>
        </is>
      </c>
    </row>
    <row r="6311">
      <c r="A6311" s="1" t="n">
        <v>6310</v>
      </c>
      <c r="B6311">
        <f>TEXT(6310, "[$-0E0000]yyyy-mm-dd")</f>
        <v/>
      </c>
      <c r="C6311" t="inlineStr">
        <is>
          <t>1917-02-20</t>
        </is>
      </c>
    </row>
    <row r="6312">
      <c r="A6312" s="1" t="n">
        <v>6311</v>
      </c>
      <c r="B6312">
        <f>TEXT(6311, "[$-0E0000]yyyy-mm-dd")</f>
        <v/>
      </c>
      <c r="C6312" t="inlineStr">
        <is>
          <t>1917-02-21</t>
        </is>
      </c>
    </row>
    <row r="6313">
      <c r="A6313" s="1" t="n">
        <v>6312</v>
      </c>
      <c r="B6313">
        <f>TEXT(6312, "[$-0E0000]yyyy-mm-dd")</f>
        <v/>
      </c>
      <c r="C6313" t="inlineStr">
        <is>
          <t>1917-02-22</t>
        </is>
      </c>
    </row>
    <row r="6314">
      <c r="A6314" s="1" t="n">
        <v>6313</v>
      </c>
      <c r="B6314">
        <f>TEXT(6313, "[$-0E0000]yyyy-mm-dd")</f>
        <v/>
      </c>
      <c r="C6314" t="inlineStr">
        <is>
          <t>1917-02-23</t>
        </is>
      </c>
    </row>
    <row r="6315">
      <c r="A6315" s="1" t="n">
        <v>6314</v>
      </c>
      <c r="B6315">
        <f>TEXT(6314, "[$-0E0000]yyyy-mm-dd")</f>
        <v/>
      </c>
      <c r="C6315" t="inlineStr">
        <is>
          <t>1917-02-24</t>
        </is>
      </c>
    </row>
    <row r="6316">
      <c r="A6316" s="1" t="n">
        <v>6315</v>
      </c>
      <c r="B6316">
        <f>TEXT(6315, "[$-0E0000]yyyy-mm-dd")</f>
        <v/>
      </c>
      <c r="C6316" t="inlineStr">
        <is>
          <t>1917-02-25</t>
        </is>
      </c>
    </row>
    <row r="6317">
      <c r="A6317" s="1" t="n">
        <v>6316</v>
      </c>
      <c r="B6317">
        <f>TEXT(6316, "[$-0E0000]yyyy-mm-dd")</f>
        <v/>
      </c>
      <c r="C6317" t="inlineStr">
        <is>
          <t>1917-02-26</t>
        </is>
      </c>
    </row>
    <row r="6318">
      <c r="A6318" s="1" t="n">
        <v>6317</v>
      </c>
      <c r="B6318">
        <f>TEXT(6317, "[$-0E0000]yyyy-mm-dd")</f>
        <v/>
      </c>
      <c r="C6318" t="inlineStr">
        <is>
          <t>1917-02-27</t>
        </is>
      </c>
    </row>
    <row r="6319">
      <c r="A6319" s="1" t="n">
        <v>6318</v>
      </c>
      <c r="B6319">
        <f>TEXT(6318, "[$-0E0000]yyyy-mm-dd")</f>
        <v/>
      </c>
      <c r="C6319" t="inlineStr">
        <is>
          <t>1917-02-28</t>
        </is>
      </c>
    </row>
    <row r="6320">
      <c r="A6320" s="1" t="n">
        <v>6319</v>
      </c>
      <c r="B6320">
        <f>TEXT(6319, "[$-0E0000]yyyy-mm-dd")</f>
        <v/>
      </c>
      <c r="C6320" t="inlineStr">
        <is>
          <t>1917-02-29</t>
        </is>
      </c>
    </row>
    <row r="6321">
      <c r="A6321" s="1" t="n">
        <v>6320</v>
      </c>
      <c r="B6321">
        <f>TEXT(6320, "[$-0E0000]yyyy-mm-dd")</f>
        <v/>
      </c>
      <c r="C6321" t="inlineStr">
        <is>
          <t>1917-03-01</t>
        </is>
      </c>
    </row>
    <row r="6322">
      <c r="A6322" s="1" t="n">
        <v>6321</v>
      </c>
      <c r="B6322">
        <f>TEXT(6321, "[$-0E0000]yyyy-mm-dd")</f>
        <v/>
      </c>
      <c r="C6322" t="inlineStr">
        <is>
          <t>1917-03-02</t>
        </is>
      </c>
    </row>
    <row r="6323">
      <c r="A6323" s="1" t="n">
        <v>6322</v>
      </c>
      <c r="B6323">
        <f>TEXT(6322, "[$-0E0000]yyyy-mm-dd")</f>
        <v/>
      </c>
      <c r="C6323" t="inlineStr">
        <is>
          <t>1917-03-03</t>
        </is>
      </c>
    </row>
    <row r="6324">
      <c r="A6324" s="1" t="n">
        <v>6323</v>
      </c>
      <c r="B6324">
        <f>TEXT(6323, "[$-0E0000]yyyy-mm-dd")</f>
        <v/>
      </c>
      <c r="C6324" t="inlineStr">
        <is>
          <t>1917-03-04</t>
        </is>
      </c>
    </row>
    <row r="6325">
      <c r="A6325" s="1" t="n">
        <v>6324</v>
      </c>
      <c r="B6325">
        <f>TEXT(6324, "[$-0E0000]yyyy-mm-dd")</f>
        <v/>
      </c>
      <c r="C6325" t="inlineStr">
        <is>
          <t>1917-03-05</t>
        </is>
      </c>
    </row>
    <row r="6326">
      <c r="A6326" s="1" t="n">
        <v>6325</v>
      </c>
      <c r="B6326">
        <f>TEXT(6325, "[$-0E0000]yyyy-mm-dd")</f>
        <v/>
      </c>
      <c r="C6326" t="inlineStr">
        <is>
          <t>1917-03-06</t>
        </is>
      </c>
    </row>
    <row r="6327">
      <c r="A6327" s="1" t="n">
        <v>6326</v>
      </c>
      <c r="B6327">
        <f>TEXT(6326, "[$-0E0000]yyyy-mm-dd")</f>
        <v/>
      </c>
      <c r="C6327" t="inlineStr">
        <is>
          <t>1917-03-07</t>
        </is>
      </c>
    </row>
    <row r="6328">
      <c r="A6328" s="1" t="n">
        <v>6327</v>
      </c>
      <c r="B6328">
        <f>TEXT(6327, "[$-0E0000]yyyy-mm-dd")</f>
        <v/>
      </c>
      <c r="C6328" t="inlineStr">
        <is>
          <t>1917-03-08</t>
        </is>
      </c>
    </row>
    <row r="6329">
      <c r="A6329" s="1" t="n">
        <v>6328</v>
      </c>
      <c r="B6329">
        <f>TEXT(6328, "[$-0E0000]yyyy-mm-dd")</f>
        <v/>
      </c>
      <c r="C6329" t="inlineStr">
        <is>
          <t>1917-03-09</t>
        </is>
      </c>
    </row>
    <row r="6330">
      <c r="A6330" s="1" t="n">
        <v>6329</v>
      </c>
      <c r="B6330">
        <f>TEXT(6329, "[$-0E0000]yyyy-mm-dd")</f>
        <v/>
      </c>
      <c r="C6330" t="inlineStr">
        <is>
          <t>1917-03-10</t>
        </is>
      </c>
    </row>
    <row r="6331">
      <c r="A6331" s="1" t="n">
        <v>6330</v>
      </c>
      <c r="B6331">
        <f>TEXT(6330, "[$-0E0000]yyyy-mm-dd")</f>
        <v/>
      </c>
      <c r="C6331" t="inlineStr">
        <is>
          <t>1917-03-11</t>
        </is>
      </c>
    </row>
    <row r="6332">
      <c r="A6332" s="1" t="n">
        <v>6331</v>
      </c>
      <c r="B6332">
        <f>TEXT(6331, "[$-0E0000]yyyy-mm-dd")</f>
        <v/>
      </c>
      <c r="C6332" t="inlineStr">
        <is>
          <t>1917-03-12</t>
        </is>
      </c>
    </row>
    <row r="6333">
      <c r="A6333" s="1" t="n">
        <v>6332</v>
      </c>
      <c r="B6333">
        <f>TEXT(6332, "[$-0E0000]yyyy-mm-dd")</f>
        <v/>
      </c>
      <c r="C6333" t="inlineStr">
        <is>
          <t>1917-03-13</t>
        </is>
      </c>
    </row>
    <row r="6334">
      <c r="A6334" s="1" t="n">
        <v>6333</v>
      </c>
      <c r="B6334">
        <f>TEXT(6333, "[$-0E0000]yyyy-mm-dd")</f>
        <v/>
      </c>
      <c r="C6334" t="inlineStr">
        <is>
          <t>1917-03-14</t>
        </is>
      </c>
    </row>
    <row r="6335">
      <c r="A6335" s="1" t="n">
        <v>6334</v>
      </c>
      <c r="B6335">
        <f>TEXT(6334, "[$-0E0000]yyyy-mm-dd")</f>
        <v/>
      </c>
      <c r="C6335" t="inlineStr">
        <is>
          <t>1917-03-15</t>
        </is>
      </c>
    </row>
    <row r="6336">
      <c r="A6336" s="1" t="n">
        <v>6335</v>
      </c>
      <c r="B6336">
        <f>TEXT(6335, "[$-0E0000]yyyy-mm-dd")</f>
        <v/>
      </c>
      <c r="C6336" t="inlineStr">
        <is>
          <t>1917-03-16</t>
        </is>
      </c>
    </row>
    <row r="6337">
      <c r="A6337" s="1" t="n">
        <v>6336</v>
      </c>
      <c r="B6337">
        <f>TEXT(6336, "[$-0E0000]yyyy-mm-dd")</f>
        <v/>
      </c>
      <c r="C6337" t="inlineStr">
        <is>
          <t>1917-03-17</t>
        </is>
      </c>
    </row>
    <row r="6338">
      <c r="A6338" s="1" t="n">
        <v>6337</v>
      </c>
      <c r="B6338">
        <f>TEXT(6337, "[$-0E0000]yyyy-mm-dd")</f>
        <v/>
      </c>
      <c r="C6338" t="inlineStr">
        <is>
          <t>1917-03-18</t>
        </is>
      </c>
    </row>
    <row r="6339">
      <c r="A6339" s="1" t="n">
        <v>6338</v>
      </c>
      <c r="B6339">
        <f>TEXT(6338, "[$-0E0000]yyyy-mm-dd")</f>
        <v/>
      </c>
      <c r="C6339" t="inlineStr">
        <is>
          <t>1917-03-19</t>
        </is>
      </c>
    </row>
    <row r="6340">
      <c r="A6340" s="1" t="n">
        <v>6339</v>
      </c>
      <c r="B6340">
        <f>TEXT(6339, "[$-0E0000]yyyy-mm-dd")</f>
        <v/>
      </c>
      <c r="C6340" t="inlineStr">
        <is>
          <t>1917-03-20</t>
        </is>
      </c>
    </row>
    <row r="6341">
      <c r="A6341" s="1" t="n">
        <v>6340</v>
      </c>
      <c r="B6341">
        <f>TEXT(6340, "[$-0E0000]yyyy-mm-dd")</f>
        <v/>
      </c>
      <c r="C6341" t="inlineStr">
        <is>
          <t>1917-03-21</t>
        </is>
      </c>
    </row>
    <row r="6342">
      <c r="A6342" s="1" t="n">
        <v>6341</v>
      </c>
      <c r="B6342">
        <f>TEXT(6341, "[$-0E0000]yyyy-mm-dd")</f>
        <v/>
      </c>
      <c r="C6342" t="inlineStr">
        <is>
          <t>1917-03-22</t>
        </is>
      </c>
    </row>
    <row r="6343">
      <c r="A6343" s="1" t="n">
        <v>6342</v>
      </c>
      <c r="B6343">
        <f>TEXT(6342, "[$-0E0000]yyyy-mm-dd")</f>
        <v/>
      </c>
      <c r="C6343" t="inlineStr">
        <is>
          <t>1917-03-23</t>
        </is>
      </c>
    </row>
    <row r="6344">
      <c r="A6344" s="1" t="n">
        <v>6343</v>
      </c>
      <c r="B6344">
        <f>TEXT(6343, "[$-0E0000]yyyy-mm-dd")</f>
        <v/>
      </c>
      <c r="C6344" t="inlineStr">
        <is>
          <t>1917-03-24</t>
        </is>
      </c>
    </row>
    <row r="6345">
      <c r="A6345" s="1" t="n">
        <v>6344</v>
      </c>
      <c r="B6345">
        <f>TEXT(6344, "[$-0E0000]yyyy-mm-dd")</f>
        <v/>
      </c>
      <c r="C6345" t="inlineStr">
        <is>
          <t>1917-03-25</t>
        </is>
      </c>
    </row>
    <row r="6346">
      <c r="A6346" s="1" t="n">
        <v>6345</v>
      </c>
      <c r="B6346">
        <f>TEXT(6345, "[$-0E0000]yyyy-mm-dd")</f>
        <v/>
      </c>
      <c r="C6346" t="inlineStr">
        <is>
          <t>1917-03-26</t>
        </is>
      </c>
    </row>
    <row r="6347">
      <c r="A6347" s="1" t="n">
        <v>6346</v>
      </c>
      <c r="B6347">
        <f>TEXT(6346, "[$-0E0000]yyyy-mm-dd")</f>
        <v/>
      </c>
      <c r="C6347" t="inlineStr">
        <is>
          <t>1917-03-27</t>
        </is>
      </c>
    </row>
    <row r="6348">
      <c r="A6348" s="1" t="n">
        <v>6347</v>
      </c>
      <c r="B6348">
        <f>TEXT(6347, "[$-0E0000]yyyy-mm-dd")</f>
        <v/>
      </c>
      <c r="C6348" t="inlineStr">
        <is>
          <t>1917-03-28</t>
        </is>
      </c>
    </row>
    <row r="6349">
      <c r="A6349" s="1" t="n">
        <v>6348</v>
      </c>
      <c r="B6349">
        <f>TEXT(6348, "[$-0E0000]yyyy-mm-dd")</f>
        <v/>
      </c>
      <c r="C6349" t="inlineStr">
        <is>
          <t>1917-03-29</t>
        </is>
      </c>
    </row>
    <row r="6350">
      <c r="A6350" s="1" t="n">
        <v>6349</v>
      </c>
      <c r="B6350">
        <f>TEXT(6349, "[$-0E0000]yyyy-mm-dd")</f>
        <v/>
      </c>
      <c r="C6350" t="inlineStr">
        <is>
          <t>1917-03-30</t>
        </is>
      </c>
    </row>
    <row r="6351">
      <c r="A6351" s="1" t="n">
        <v>6350</v>
      </c>
      <c r="B6351">
        <f>TEXT(6350, "[$-0E0000]yyyy-mm-dd")</f>
        <v/>
      </c>
      <c r="C6351" t="inlineStr">
        <is>
          <t>1917-04-01</t>
        </is>
      </c>
    </row>
    <row r="6352">
      <c r="A6352" s="1" t="n">
        <v>6351</v>
      </c>
      <c r="B6352">
        <f>TEXT(6351, "[$-0E0000]yyyy-mm-dd")</f>
        <v/>
      </c>
      <c r="C6352" t="inlineStr">
        <is>
          <t>1917-04-02</t>
        </is>
      </c>
    </row>
    <row r="6353">
      <c r="A6353" s="1" t="n">
        <v>6352</v>
      </c>
      <c r="B6353">
        <f>TEXT(6352, "[$-0E0000]yyyy-mm-dd")</f>
        <v/>
      </c>
      <c r="C6353" t="inlineStr">
        <is>
          <t>1917-04-03</t>
        </is>
      </c>
    </row>
    <row r="6354">
      <c r="A6354" s="1" t="n">
        <v>6353</v>
      </c>
      <c r="B6354">
        <f>TEXT(6353, "[$-0E0000]yyyy-mm-dd")</f>
        <v/>
      </c>
      <c r="C6354" t="inlineStr">
        <is>
          <t>1917-04-04</t>
        </is>
      </c>
    </row>
    <row r="6355">
      <c r="A6355" s="1" t="n">
        <v>6354</v>
      </c>
      <c r="B6355">
        <f>TEXT(6354, "[$-0E0000]yyyy-mm-dd")</f>
        <v/>
      </c>
      <c r="C6355" t="inlineStr">
        <is>
          <t>1917-04-05</t>
        </is>
      </c>
    </row>
    <row r="6356">
      <c r="A6356" s="1" t="n">
        <v>6355</v>
      </c>
      <c r="B6356">
        <f>TEXT(6355, "[$-0E0000]yyyy-mm-dd")</f>
        <v/>
      </c>
      <c r="C6356" t="inlineStr">
        <is>
          <t>1917-04-06</t>
        </is>
      </c>
    </row>
    <row r="6357">
      <c r="A6357" s="1" t="n">
        <v>6356</v>
      </c>
      <c r="B6357">
        <f>TEXT(6356, "[$-0E0000]yyyy-mm-dd")</f>
        <v/>
      </c>
      <c r="C6357" t="inlineStr">
        <is>
          <t>1917-04-07</t>
        </is>
      </c>
    </row>
    <row r="6358">
      <c r="A6358" s="1" t="n">
        <v>6357</v>
      </c>
      <c r="B6358">
        <f>TEXT(6357, "[$-0E0000]yyyy-mm-dd")</f>
        <v/>
      </c>
      <c r="C6358" t="inlineStr">
        <is>
          <t>1917-04-08</t>
        </is>
      </c>
    </row>
    <row r="6359">
      <c r="A6359" s="1" t="n">
        <v>6358</v>
      </c>
      <c r="B6359">
        <f>TEXT(6358, "[$-0E0000]yyyy-mm-dd")</f>
        <v/>
      </c>
      <c r="C6359" t="inlineStr">
        <is>
          <t>1917-04-09</t>
        </is>
      </c>
    </row>
    <row r="6360">
      <c r="A6360" s="1" t="n">
        <v>6359</v>
      </c>
      <c r="B6360">
        <f>TEXT(6359, "[$-0E0000]yyyy-mm-dd")</f>
        <v/>
      </c>
      <c r="C6360" t="inlineStr">
        <is>
          <t>1917-04-10</t>
        </is>
      </c>
    </row>
    <row r="6361">
      <c r="A6361" s="1" t="n">
        <v>6360</v>
      </c>
      <c r="B6361">
        <f>TEXT(6360, "[$-0E0000]yyyy-mm-dd")</f>
        <v/>
      </c>
      <c r="C6361" t="inlineStr">
        <is>
          <t>1917-04-11</t>
        </is>
      </c>
    </row>
    <row r="6362">
      <c r="A6362" s="1" t="n">
        <v>6361</v>
      </c>
      <c r="B6362">
        <f>TEXT(6361, "[$-0E0000]yyyy-mm-dd")</f>
        <v/>
      </c>
      <c r="C6362" t="inlineStr">
        <is>
          <t>1917-04-12</t>
        </is>
      </c>
    </row>
    <row r="6363">
      <c r="A6363" s="1" t="n">
        <v>6362</v>
      </c>
      <c r="B6363">
        <f>TEXT(6362, "[$-0E0000]yyyy-mm-dd")</f>
        <v/>
      </c>
      <c r="C6363" t="inlineStr">
        <is>
          <t>1917-04-13</t>
        </is>
      </c>
    </row>
    <row r="6364">
      <c r="A6364" s="1" t="n">
        <v>6363</v>
      </c>
      <c r="B6364">
        <f>TEXT(6363, "[$-0E0000]yyyy-mm-dd")</f>
        <v/>
      </c>
      <c r="C6364" t="inlineStr">
        <is>
          <t>1917-04-14</t>
        </is>
      </c>
    </row>
    <row r="6365">
      <c r="A6365" s="1" t="n">
        <v>6364</v>
      </c>
      <c r="B6365">
        <f>TEXT(6364, "[$-0E0000]yyyy-mm-dd")</f>
        <v/>
      </c>
      <c r="C6365" t="inlineStr">
        <is>
          <t>1917-04-15</t>
        </is>
      </c>
    </row>
    <row r="6366">
      <c r="A6366" s="1" t="n">
        <v>6365</v>
      </c>
      <c r="B6366">
        <f>TEXT(6365, "[$-0E0000]yyyy-mm-dd")</f>
        <v/>
      </c>
      <c r="C6366" t="inlineStr">
        <is>
          <t>1917-04-16</t>
        </is>
      </c>
    </row>
    <row r="6367">
      <c r="A6367" s="1" t="n">
        <v>6366</v>
      </c>
      <c r="B6367">
        <f>TEXT(6366, "[$-0E0000]yyyy-mm-dd")</f>
        <v/>
      </c>
      <c r="C6367" t="inlineStr">
        <is>
          <t>1917-04-17</t>
        </is>
      </c>
    </row>
    <row r="6368">
      <c r="A6368" s="1" t="n">
        <v>6367</v>
      </c>
      <c r="B6368">
        <f>TEXT(6367, "[$-0E0000]yyyy-mm-dd")</f>
        <v/>
      </c>
      <c r="C6368" t="inlineStr">
        <is>
          <t>1917-04-18</t>
        </is>
      </c>
    </row>
    <row r="6369">
      <c r="A6369" s="1" t="n">
        <v>6368</v>
      </c>
      <c r="B6369">
        <f>TEXT(6368, "[$-0E0000]yyyy-mm-dd")</f>
        <v/>
      </c>
      <c r="C6369" t="inlineStr">
        <is>
          <t>1917-04-19</t>
        </is>
      </c>
    </row>
    <row r="6370">
      <c r="A6370" s="1" t="n">
        <v>6369</v>
      </c>
      <c r="B6370">
        <f>TEXT(6369, "[$-0E0000]yyyy-mm-dd")</f>
        <v/>
      </c>
      <c r="C6370" t="inlineStr">
        <is>
          <t>1917-04-20</t>
        </is>
      </c>
    </row>
    <row r="6371">
      <c r="A6371" s="1" t="n">
        <v>6370</v>
      </c>
      <c r="B6371">
        <f>TEXT(6370, "[$-0E0000]yyyy-mm-dd")</f>
        <v/>
      </c>
      <c r="C6371" t="inlineStr">
        <is>
          <t>1917-04-21</t>
        </is>
      </c>
    </row>
    <row r="6372">
      <c r="A6372" s="1" t="n">
        <v>6371</v>
      </c>
      <c r="B6372">
        <f>TEXT(6371, "[$-0E0000]yyyy-mm-dd")</f>
        <v/>
      </c>
      <c r="C6372" t="inlineStr">
        <is>
          <t>1917-04-22</t>
        </is>
      </c>
    </row>
    <row r="6373">
      <c r="A6373" s="1" t="n">
        <v>6372</v>
      </c>
      <c r="B6373">
        <f>TEXT(6372, "[$-0E0000]yyyy-mm-dd")</f>
        <v/>
      </c>
      <c r="C6373" t="inlineStr">
        <is>
          <t>1917-04-23</t>
        </is>
      </c>
    </row>
    <row r="6374">
      <c r="A6374" s="1" t="n">
        <v>6373</v>
      </c>
      <c r="B6374">
        <f>TEXT(6373, "[$-0E0000]yyyy-mm-dd")</f>
        <v/>
      </c>
      <c r="C6374" t="inlineStr">
        <is>
          <t>1917-04-24</t>
        </is>
      </c>
    </row>
    <row r="6375">
      <c r="A6375" s="1" t="n">
        <v>6374</v>
      </c>
      <c r="B6375">
        <f>TEXT(6374, "[$-0E0000]yyyy-mm-dd")</f>
        <v/>
      </c>
      <c r="C6375" t="inlineStr">
        <is>
          <t>1917-04-25</t>
        </is>
      </c>
    </row>
    <row r="6376">
      <c r="A6376" s="1" t="n">
        <v>6375</v>
      </c>
      <c r="B6376">
        <f>TEXT(6375, "[$-0E0000]yyyy-mm-dd")</f>
        <v/>
      </c>
      <c r="C6376" t="inlineStr">
        <is>
          <t>1917-04-26</t>
        </is>
      </c>
    </row>
    <row r="6377">
      <c r="A6377" s="1" t="n">
        <v>6376</v>
      </c>
      <c r="B6377">
        <f>TEXT(6376, "[$-0E0000]yyyy-mm-dd")</f>
        <v/>
      </c>
      <c r="C6377" t="inlineStr">
        <is>
          <t>1917-04-27</t>
        </is>
      </c>
    </row>
    <row r="6378">
      <c r="A6378" s="1" t="n">
        <v>6377</v>
      </c>
      <c r="B6378">
        <f>TEXT(6377, "[$-0E0000]yyyy-mm-dd")</f>
        <v/>
      </c>
      <c r="C6378" t="inlineStr">
        <is>
          <t>1917-04-28</t>
        </is>
      </c>
    </row>
    <row r="6379">
      <c r="A6379" s="1" t="n">
        <v>6378</v>
      </c>
      <c r="B6379">
        <f>TEXT(6378, "[$-0E0000]yyyy-mm-dd")</f>
        <v/>
      </c>
      <c r="C6379" t="inlineStr">
        <is>
          <t>1917-04-29</t>
        </is>
      </c>
    </row>
    <row r="6380">
      <c r="A6380" s="1" t="n">
        <v>6379</v>
      </c>
      <c r="B6380">
        <f>TEXT(6379, "[$-0E0000]yyyy-mm-dd")</f>
        <v/>
      </c>
      <c r="C6380" t="inlineStr">
        <is>
          <t>1917-05-01</t>
        </is>
      </c>
    </row>
    <row r="6381">
      <c r="A6381" s="1" t="n">
        <v>6380</v>
      </c>
      <c r="B6381">
        <f>TEXT(6380, "[$-0E0000]yyyy-mm-dd")</f>
        <v/>
      </c>
      <c r="C6381" t="inlineStr">
        <is>
          <t>1917-05-02</t>
        </is>
      </c>
    </row>
    <row r="6382">
      <c r="A6382" s="1" t="n">
        <v>6381</v>
      </c>
      <c r="B6382">
        <f>TEXT(6381, "[$-0E0000]yyyy-mm-dd")</f>
        <v/>
      </c>
      <c r="C6382" t="inlineStr">
        <is>
          <t>1917-05-03</t>
        </is>
      </c>
    </row>
    <row r="6383">
      <c r="A6383" s="1" t="n">
        <v>6382</v>
      </c>
      <c r="B6383">
        <f>TEXT(6382, "[$-0E0000]yyyy-mm-dd")</f>
        <v/>
      </c>
      <c r="C6383" t="inlineStr">
        <is>
          <t>1917-05-04</t>
        </is>
      </c>
    </row>
    <row r="6384">
      <c r="A6384" s="1" t="n">
        <v>6383</v>
      </c>
      <c r="B6384">
        <f>TEXT(6383, "[$-0E0000]yyyy-mm-dd")</f>
        <v/>
      </c>
      <c r="C6384" t="inlineStr">
        <is>
          <t>1917-05-05</t>
        </is>
      </c>
    </row>
    <row r="6385">
      <c r="A6385" s="1" t="n">
        <v>6384</v>
      </c>
      <c r="B6385">
        <f>TEXT(6384, "[$-0E0000]yyyy-mm-dd")</f>
        <v/>
      </c>
      <c r="C6385" t="inlineStr">
        <is>
          <t>1917-05-06</t>
        </is>
      </c>
    </row>
    <row r="6386">
      <c r="A6386" s="1" t="n">
        <v>6385</v>
      </c>
      <c r="B6386">
        <f>TEXT(6385, "[$-0E0000]yyyy-mm-dd")</f>
        <v/>
      </c>
      <c r="C6386" t="inlineStr">
        <is>
          <t>1917-05-07</t>
        </is>
      </c>
    </row>
    <row r="6387">
      <c r="A6387" s="1" t="n">
        <v>6386</v>
      </c>
      <c r="B6387">
        <f>TEXT(6386, "[$-0E0000]yyyy-mm-dd")</f>
        <v/>
      </c>
      <c r="C6387" t="inlineStr">
        <is>
          <t>1917-05-08</t>
        </is>
      </c>
    </row>
    <row r="6388">
      <c r="A6388" s="1" t="n">
        <v>6387</v>
      </c>
      <c r="B6388">
        <f>TEXT(6387, "[$-0E0000]yyyy-mm-dd")</f>
        <v/>
      </c>
      <c r="C6388" t="inlineStr">
        <is>
          <t>1917-05-09</t>
        </is>
      </c>
    </row>
    <row r="6389">
      <c r="A6389" s="1" t="n">
        <v>6388</v>
      </c>
      <c r="B6389">
        <f>TEXT(6388, "[$-0E0000]yyyy-mm-dd")</f>
        <v/>
      </c>
      <c r="C6389" t="inlineStr">
        <is>
          <t>1917-05-10</t>
        </is>
      </c>
    </row>
    <row r="6390">
      <c r="A6390" s="1" t="n">
        <v>6389</v>
      </c>
      <c r="B6390">
        <f>TEXT(6389, "[$-0E0000]yyyy-mm-dd")</f>
        <v/>
      </c>
      <c r="C6390" t="inlineStr">
        <is>
          <t>1917-05-11</t>
        </is>
      </c>
    </row>
    <row r="6391">
      <c r="A6391" s="1" t="n">
        <v>6390</v>
      </c>
      <c r="B6391">
        <f>TEXT(6390, "[$-0E0000]yyyy-mm-dd")</f>
        <v/>
      </c>
      <c r="C6391" t="inlineStr">
        <is>
          <t>1917-05-12</t>
        </is>
      </c>
    </row>
    <row r="6392">
      <c r="A6392" s="1" t="n">
        <v>6391</v>
      </c>
      <c r="B6392">
        <f>TEXT(6391, "[$-0E0000]yyyy-mm-dd")</f>
        <v/>
      </c>
      <c r="C6392" t="inlineStr">
        <is>
          <t>1917-05-13</t>
        </is>
      </c>
    </row>
    <row r="6393">
      <c r="A6393" s="1" t="n">
        <v>6392</v>
      </c>
      <c r="B6393">
        <f>TEXT(6392, "[$-0E0000]yyyy-mm-dd")</f>
        <v/>
      </c>
      <c r="C6393" t="inlineStr">
        <is>
          <t>1917-05-14</t>
        </is>
      </c>
    </row>
    <row r="6394">
      <c r="A6394" s="1" t="n">
        <v>6393</v>
      </c>
      <c r="B6394">
        <f>TEXT(6393, "[$-0E0000]yyyy-mm-dd")</f>
        <v/>
      </c>
      <c r="C6394" t="inlineStr">
        <is>
          <t>1917-05-15</t>
        </is>
      </c>
    </row>
    <row r="6395">
      <c r="A6395" s="1" t="n">
        <v>6394</v>
      </c>
      <c r="B6395">
        <f>TEXT(6394, "[$-0E0000]yyyy-mm-dd")</f>
        <v/>
      </c>
      <c r="C6395" t="inlineStr">
        <is>
          <t>1917-05-16</t>
        </is>
      </c>
    </row>
    <row r="6396">
      <c r="A6396" s="1" t="n">
        <v>6395</v>
      </c>
      <c r="B6396">
        <f>TEXT(6395, "[$-0E0000]yyyy-mm-dd")</f>
        <v/>
      </c>
      <c r="C6396" t="inlineStr">
        <is>
          <t>1917-05-17</t>
        </is>
      </c>
    </row>
    <row r="6397">
      <c r="A6397" s="1" t="n">
        <v>6396</v>
      </c>
      <c r="B6397">
        <f>TEXT(6396, "[$-0E0000]yyyy-mm-dd")</f>
        <v/>
      </c>
      <c r="C6397" t="inlineStr">
        <is>
          <t>1917-05-18</t>
        </is>
      </c>
    </row>
    <row r="6398">
      <c r="A6398" s="1" t="n">
        <v>6397</v>
      </c>
      <c r="B6398">
        <f>TEXT(6397, "[$-0E0000]yyyy-mm-dd")</f>
        <v/>
      </c>
      <c r="C6398" t="inlineStr">
        <is>
          <t>1917-05-19</t>
        </is>
      </c>
    </row>
    <row r="6399">
      <c r="A6399" s="1" t="n">
        <v>6398</v>
      </c>
      <c r="B6399">
        <f>TEXT(6398, "[$-0E0000]yyyy-mm-dd")</f>
        <v/>
      </c>
      <c r="C6399" t="inlineStr">
        <is>
          <t>1917-05-20</t>
        </is>
      </c>
    </row>
    <row r="6400">
      <c r="A6400" s="1" t="n">
        <v>6399</v>
      </c>
      <c r="B6400">
        <f>TEXT(6399, "[$-0E0000]yyyy-mm-dd")</f>
        <v/>
      </c>
      <c r="C6400" t="inlineStr">
        <is>
          <t>1917-05-21</t>
        </is>
      </c>
    </row>
    <row r="6401">
      <c r="A6401" s="1" t="n">
        <v>6400</v>
      </c>
      <c r="B6401">
        <f>TEXT(6400, "[$-0E0000]yyyy-mm-dd")</f>
        <v/>
      </c>
      <c r="C6401" t="inlineStr">
        <is>
          <t>1917-05-22</t>
        </is>
      </c>
    </row>
    <row r="6402">
      <c r="A6402" s="1" t="n">
        <v>6401</v>
      </c>
      <c r="B6402">
        <f>TEXT(6401, "[$-0E0000]yyyy-mm-dd")</f>
        <v/>
      </c>
      <c r="C6402" t="inlineStr">
        <is>
          <t>1917-05-23</t>
        </is>
      </c>
    </row>
    <row r="6403">
      <c r="A6403" s="1" t="n">
        <v>6402</v>
      </c>
      <c r="B6403">
        <f>TEXT(6402, "[$-0E0000]yyyy-mm-dd")</f>
        <v/>
      </c>
      <c r="C6403" t="inlineStr">
        <is>
          <t>1917-05-24</t>
        </is>
      </c>
    </row>
    <row r="6404">
      <c r="A6404" s="1" t="n">
        <v>6403</v>
      </c>
      <c r="B6404">
        <f>TEXT(6403, "[$-0E0000]yyyy-mm-dd")</f>
        <v/>
      </c>
      <c r="C6404" t="inlineStr">
        <is>
          <t>1917-05-25</t>
        </is>
      </c>
    </row>
    <row r="6405">
      <c r="A6405" s="1" t="n">
        <v>6404</v>
      </c>
      <c r="B6405">
        <f>TEXT(6404, "[$-0E0000]yyyy-mm-dd")</f>
        <v/>
      </c>
      <c r="C6405" t="inlineStr">
        <is>
          <t>1917-05-26</t>
        </is>
      </c>
    </row>
    <row r="6406">
      <c r="A6406" s="1" t="n">
        <v>6405</v>
      </c>
      <c r="B6406">
        <f>TEXT(6405, "[$-0E0000]yyyy-mm-dd")</f>
        <v/>
      </c>
      <c r="C6406" t="inlineStr">
        <is>
          <t>1917-05-27</t>
        </is>
      </c>
    </row>
    <row r="6407">
      <c r="A6407" s="1" t="n">
        <v>6406</v>
      </c>
      <c r="B6407">
        <f>TEXT(6406, "[$-0E0000]yyyy-mm-dd")</f>
        <v/>
      </c>
      <c r="C6407" t="inlineStr">
        <is>
          <t>1917-05-28</t>
        </is>
      </c>
    </row>
    <row r="6408">
      <c r="A6408" s="1" t="n">
        <v>6407</v>
      </c>
      <c r="B6408">
        <f>TEXT(6407, "[$-0E0000]yyyy-mm-dd")</f>
        <v/>
      </c>
      <c r="C6408" t="inlineStr">
        <is>
          <t>1917-05-29</t>
        </is>
      </c>
    </row>
    <row r="6409">
      <c r="A6409" s="1" t="n">
        <v>6408</v>
      </c>
      <c r="B6409">
        <f>TEXT(6408, "[$-0E0000]yyyy-mm-dd")</f>
        <v/>
      </c>
      <c r="C6409" t="inlineStr">
        <is>
          <t>1917-05-30</t>
        </is>
      </c>
    </row>
    <row r="6410">
      <c r="A6410" s="1" t="n">
        <v>6409</v>
      </c>
      <c r="B6410">
        <f>TEXT(6409, "[$-0E0000]yyyy-mm-dd")</f>
        <v/>
      </c>
      <c r="C6410" t="inlineStr">
        <is>
          <t>1917-06-01</t>
        </is>
      </c>
    </row>
    <row r="6411">
      <c r="A6411" s="1" t="n">
        <v>6410</v>
      </c>
      <c r="B6411">
        <f>TEXT(6410, "[$-0E0000]yyyy-mm-dd")</f>
        <v/>
      </c>
      <c r="C6411" t="inlineStr">
        <is>
          <t>1917-06-02</t>
        </is>
      </c>
    </row>
    <row r="6412">
      <c r="A6412" s="1" t="n">
        <v>6411</v>
      </c>
      <c r="B6412">
        <f>TEXT(6411, "[$-0E0000]yyyy-mm-dd")</f>
        <v/>
      </c>
      <c r="C6412" t="inlineStr">
        <is>
          <t>1917-06-03</t>
        </is>
      </c>
    </row>
    <row r="6413">
      <c r="A6413" s="1" t="n">
        <v>6412</v>
      </c>
      <c r="B6413">
        <f>TEXT(6412, "[$-0E0000]yyyy-mm-dd")</f>
        <v/>
      </c>
      <c r="C6413" t="inlineStr">
        <is>
          <t>1917-06-04</t>
        </is>
      </c>
    </row>
    <row r="6414">
      <c r="A6414" s="1" t="n">
        <v>6413</v>
      </c>
      <c r="B6414">
        <f>TEXT(6413, "[$-0E0000]yyyy-mm-dd")</f>
        <v/>
      </c>
      <c r="C6414" t="inlineStr">
        <is>
          <t>1917-06-05</t>
        </is>
      </c>
    </row>
    <row r="6415">
      <c r="A6415" s="1" t="n">
        <v>6414</v>
      </c>
      <c r="B6415">
        <f>TEXT(6414, "[$-0E0000]yyyy-mm-dd")</f>
        <v/>
      </c>
      <c r="C6415" t="inlineStr">
        <is>
          <t>1917-06-06</t>
        </is>
      </c>
    </row>
    <row r="6416">
      <c r="A6416" s="1" t="n">
        <v>6415</v>
      </c>
      <c r="B6416">
        <f>TEXT(6415, "[$-0E0000]yyyy-mm-dd")</f>
        <v/>
      </c>
      <c r="C6416" t="inlineStr">
        <is>
          <t>1917-06-07</t>
        </is>
      </c>
    </row>
    <row r="6417">
      <c r="A6417" s="1" t="n">
        <v>6416</v>
      </c>
      <c r="B6417">
        <f>TEXT(6416, "[$-0E0000]yyyy-mm-dd")</f>
        <v/>
      </c>
      <c r="C6417" t="inlineStr">
        <is>
          <t>1917-06-08</t>
        </is>
      </c>
    </row>
    <row r="6418">
      <c r="A6418" s="1" t="n">
        <v>6417</v>
      </c>
      <c r="B6418">
        <f>TEXT(6417, "[$-0E0000]yyyy-mm-dd")</f>
        <v/>
      </c>
      <c r="C6418" t="inlineStr">
        <is>
          <t>1917-06-09</t>
        </is>
      </c>
    </row>
    <row r="6419">
      <c r="A6419" s="1" t="n">
        <v>6418</v>
      </c>
      <c r="B6419">
        <f>TEXT(6418, "[$-0E0000]yyyy-mm-dd")</f>
        <v/>
      </c>
      <c r="C6419" t="inlineStr">
        <is>
          <t>1917-06-10</t>
        </is>
      </c>
    </row>
    <row r="6420">
      <c r="A6420" s="1" t="n">
        <v>6419</v>
      </c>
      <c r="B6420">
        <f>TEXT(6419, "[$-0E0000]yyyy-mm-dd")</f>
        <v/>
      </c>
      <c r="C6420" t="inlineStr">
        <is>
          <t>1917-06-11</t>
        </is>
      </c>
    </row>
    <row r="6421">
      <c r="A6421" s="1" t="n">
        <v>6420</v>
      </c>
      <c r="B6421">
        <f>TEXT(6420, "[$-0E0000]yyyy-mm-dd")</f>
        <v/>
      </c>
      <c r="C6421" t="inlineStr">
        <is>
          <t>1917-06-12</t>
        </is>
      </c>
    </row>
    <row r="6422">
      <c r="A6422" s="1" t="n">
        <v>6421</v>
      </c>
      <c r="B6422">
        <f>TEXT(6421, "[$-0E0000]yyyy-mm-dd")</f>
        <v/>
      </c>
      <c r="C6422" t="inlineStr">
        <is>
          <t>1917-06-13</t>
        </is>
      </c>
    </row>
    <row r="6423">
      <c r="A6423" s="1" t="n">
        <v>6422</v>
      </c>
      <c r="B6423">
        <f>TEXT(6422, "[$-0E0000]yyyy-mm-dd")</f>
        <v/>
      </c>
      <c r="C6423" t="inlineStr">
        <is>
          <t>1917-06-14</t>
        </is>
      </c>
    </row>
    <row r="6424">
      <c r="A6424" s="1" t="n">
        <v>6423</v>
      </c>
      <c r="B6424">
        <f>TEXT(6423, "[$-0E0000]yyyy-mm-dd")</f>
        <v/>
      </c>
      <c r="C6424" t="inlineStr">
        <is>
          <t>1917-06-15</t>
        </is>
      </c>
    </row>
    <row r="6425">
      <c r="A6425" s="1" t="n">
        <v>6424</v>
      </c>
      <c r="B6425">
        <f>TEXT(6424, "[$-0E0000]yyyy-mm-dd")</f>
        <v/>
      </c>
      <c r="C6425" t="inlineStr">
        <is>
          <t>1917-06-16</t>
        </is>
      </c>
    </row>
    <row r="6426">
      <c r="A6426" s="1" t="n">
        <v>6425</v>
      </c>
      <c r="B6426">
        <f>TEXT(6425, "[$-0E0000]yyyy-mm-dd")</f>
        <v/>
      </c>
      <c r="C6426" t="inlineStr">
        <is>
          <t>1917-06-17</t>
        </is>
      </c>
    </row>
    <row r="6427">
      <c r="A6427" s="1" t="n">
        <v>6426</v>
      </c>
      <c r="B6427">
        <f>TEXT(6426, "[$-0E0000]yyyy-mm-dd")</f>
        <v/>
      </c>
      <c r="C6427" t="inlineStr">
        <is>
          <t>1917-06-18</t>
        </is>
      </c>
    </row>
    <row r="6428">
      <c r="A6428" s="1" t="n">
        <v>6427</v>
      </c>
      <c r="B6428">
        <f>TEXT(6427, "[$-0E0000]yyyy-mm-dd")</f>
        <v/>
      </c>
      <c r="C6428" t="inlineStr">
        <is>
          <t>1917-06-19</t>
        </is>
      </c>
    </row>
    <row r="6429">
      <c r="A6429" s="1" t="n">
        <v>6428</v>
      </c>
      <c r="B6429">
        <f>TEXT(6428, "[$-0E0000]yyyy-mm-dd")</f>
        <v/>
      </c>
      <c r="C6429" t="inlineStr">
        <is>
          <t>1917-06-20</t>
        </is>
      </c>
    </row>
    <row r="6430">
      <c r="A6430" s="1" t="n">
        <v>6429</v>
      </c>
      <c r="B6430">
        <f>TEXT(6429, "[$-0E0000]yyyy-mm-dd")</f>
        <v/>
      </c>
      <c r="C6430" t="inlineStr">
        <is>
          <t>1917-06-21</t>
        </is>
      </c>
    </row>
    <row r="6431">
      <c r="A6431" s="1" t="n">
        <v>6430</v>
      </c>
      <c r="B6431">
        <f>TEXT(6430, "[$-0E0000]yyyy-mm-dd")</f>
        <v/>
      </c>
      <c r="C6431" t="inlineStr">
        <is>
          <t>1917-06-22</t>
        </is>
      </c>
    </row>
    <row r="6432">
      <c r="A6432" s="1" t="n">
        <v>6431</v>
      </c>
      <c r="B6432">
        <f>TEXT(6431, "[$-0E0000]yyyy-mm-dd")</f>
        <v/>
      </c>
      <c r="C6432" t="inlineStr">
        <is>
          <t>1917-06-23</t>
        </is>
      </c>
    </row>
    <row r="6433">
      <c r="A6433" s="1" t="n">
        <v>6432</v>
      </c>
      <c r="B6433">
        <f>TEXT(6432, "[$-0E0000]yyyy-mm-dd")</f>
        <v/>
      </c>
      <c r="C6433" t="inlineStr">
        <is>
          <t>1917-06-24</t>
        </is>
      </c>
    </row>
    <row r="6434">
      <c r="A6434" s="1" t="n">
        <v>6433</v>
      </c>
      <c r="B6434">
        <f>TEXT(6433, "[$-0E0000]yyyy-mm-dd")</f>
        <v/>
      </c>
      <c r="C6434" t="inlineStr">
        <is>
          <t>1917-06-25</t>
        </is>
      </c>
    </row>
    <row r="6435">
      <c r="A6435" s="1" t="n">
        <v>6434</v>
      </c>
      <c r="B6435">
        <f>TEXT(6434, "[$-0E0000]yyyy-mm-dd")</f>
        <v/>
      </c>
      <c r="C6435" t="inlineStr">
        <is>
          <t>1917-06-26</t>
        </is>
      </c>
    </row>
    <row r="6436">
      <c r="A6436" s="1" t="n">
        <v>6435</v>
      </c>
      <c r="B6436">
        <f>TEXT(6435, "[$-0E0000]yyyy-mm-dd")</f>
        <v/>
      </c>
      <c r="C6436" t="inlineStr">
        <is>
          <t>1917-06-27</t>
        </is>
      </c>
    </row>
    <row r="6437">
      <c r="A6437" s="1" t="n">
        <v>6436</v>
      </c>
      <c r="B6437">
        <f>TEXT(6436, "[$-0E0000]yyyy-mm-dd")</f>
        <v/>
      </c>
      <c r="C6437" t="inlineStr">
        <is>
          <t>1917-06-28</t>
        </is>
      </c>
    </row>
    <row r="6438">
      <c r="A6438" s="1" t="n">
        <v>6437</v>
      </c>
      <c r="B6438">
        <f>TEXT(6437, "[$-0E0000]yyyy-mm-dd")</f>
        <v/>
      </c>
      <c r="C6438" t="inlineStr">
        <is>
          <t>1917-06-29</t>
        </is>
      </c>
    </row>
    <row r="6439">
      <c r="A6439" s="1" t="n">
        <v>6438</v>
      </c>
      <c r="B6439">
        <f>TEXT(6438, "[$-0E0000]yyyy-mm-dd")</f>
        <v/>
      </c>
      <c r="C6439" t="inlineStr">
        <is>
          <t>1917-06-30</t>
        </is>
      </c>
    </row>
    <row r="6440">
      <c r="A6440" s="1" t="n">
        <v>6439</v>
      </c>
      <c r="B6440">
        <f>TEXT(6439, "[$-0E0000]yyyy-mm-dd")</f>
        <v/>
      </c>
      <c r="C6440" t="inlineStr">
        <is>
          <t>1917-07-01</t>
        </is>
      </c>
    </row>
    <row r="6441">
      <c r="A6441" s="1" t="n">
        <v>6440</v>
      </c>
      <c r="B6441">
        <f>TEXT(6440, "[$-0E0000]yyyy-mm-dd")</f>
        <v/>
      </c>
      <c r="C6441" t="inlineStr">
        <is>
          <t>1917-07-02</t>
        </is>
      </c>
    </row>
    <row r="6442">
      <c r="A6442" s="1" t="n">
        <v>6441</v>
      </c>
      <c r="B6442">
        <f>TEXT(6441, "[$-0E0000]yyyy-mm-dd")</f>
        <v/>
      </c>
      <c r="C6442" t="inlineStr">
        <is>
          <t>1917-07-03</t>
        </is>
      </c>
    </row>
    <row r="6443">
      <c r="A6443" s="1" t="n">
        <v>6442</v>
      </c>
      <c r="B6443">
        <f>TEXT(6442, "[$-0E0000]yyyy-mm-dd")</f>
        <v/>
      </c>
      <c r="C6443" t="inlineStr">
        <is>
          <t>1917-07-04</t>
        </is>
      </c>
    </row>
    <row r="6444">
      <c r="A6444" s="1" t="n">
        <v>6443</v>
      </c>
      <c r="B6444">
        <f>TEXT(6443, "[$-0E0000]yyyy-mm-dd")</f>
        <v/>
      </c>
      <c r="C6444" t="inlineStr">
        <is>
          <t>1917-07-05</t>
        </is>
      </c>
    </row>
    <row r="6445">
      <c r="A6445" s="1" t="n">
        <v>6444</v>
      </c>
      <c r="B6445">
        <f>TEXT(6444, "[$-0E0000]yyyy-mm-dd")</f>
        <v/>
      </c>
      <c r="C6445" t="inlineStr">
        <is>
          <t>1917-07-06</t>
        </is>
      </c>
    </row>
    <row r="6446">
      <c r="A6446" s="1" t="n">
        <v>6445</v>
      </c>
      <c r="B6446">
        <f>TEXT(6445, "[$-0E0000]yyyy-mm-dd")</f>
        <v/>
      </c>
      <c r="C6446" t="inlineStr">
        <is>
          <t>1917-07-07</t>
        </is>
      </c>
    </row>
    <row r="6447">
      <c r="A6447" s="1" t="n">
        <v>6446</v>
      </c>
      <c r="B6447">
        <f>TEXT(6446, "[$-0E0000]yyyy-mm-dd")</f>
        <v/>
      </c>
      <c r="C6447" t="inlineStr">
        <is>
          <t>1917-07-08</t>
        </is>
      </c>
    </row>
    <row r="6448">
      <c r="A6448" s="1" t="n">
        <v>6447</v>
      </c>
      <c r="B6448">
        <f>TEXT(6447, "[$-0E0000]yyyy-mm-dd")</f>
        <v/>
      </c>
      <c r="C6448" t="inlineStr">
        <is>
          <t>1917-07-09</t>
        </is>
      </c>
    </row>
    <row r="6449">
      <c r="A6449" s="1" t="n">
        <v>6448</v>
      </c>
      <c r="B6449">
        <f>TEXT(6448, "[$-0E0000]yyyy-mm-dd")</f>
        <v/>
      </c>
      <c r="C6449" t="inlineStr">
        <is>
          <t>1917-07-10</t>
        </is>
      </c>
    </row>
    <row r="6450">
      <c r="A6450" s="1" t="n">
        <v>6449</v>
      </c>
      <c r="B6450">
        <f>TEXT(6449, "[$-0E0000]yyyy-mm-dd")</f>
        <v/>
      </c>
      <c r="C6450" t="inlineStr">
        <is>
          <t>1917-07-11</t>
        </is>
      </c>
    </row>
    <row r="6451">
      <c r="A6451" s="1" t="n">
        <v>6450</v>
      </c>
      <c r="B6451">
        <f>TEXT(6450, "[$-0E0000]yyyy-mm-dd")</f>
        <v/>
      </c>
      <c r="C6451" t="inlineStr">
        <is>
          <t>1917-07-12</t>
        </is>
      </c>
    </row>
    <row r="6452">
      <c r="A6452" s="1" t="n">
        <v>6451</v>
      </c>
      <c r="B6452">
        <f>TEXT(6451, "[$-0E0000]yyyy-mm-dd")</f>
        <v/>
      </c>
      <c r="C6452" t="inlineStr">
        <is>
          <t>1917-07-13</t>
        </is>
      </c>
    </row>
    <row r="6453">
      <c r="A6453" s="1" t="n">
        <v>6452</v>
      </c>
      <c r="B6453">
        <f>TEXT(6452, "[$-0E0000]yyyy-mm-dd")</f>
        <v/>
      </c>
      <c r="C6453" t="inlineStr">
        <is>
          <t>1917-07-14</t>
        </is>
      </c>
    </row>
    <row r="6454">
      <c r="A6454" s="1" t="n">
        <v>6453</v>
      </c>
      <c r="B6454">
        <f>TEXT(6453, "[$-0E0000]yyyy-mm-dd")</f>
        <v/>
      </c>
      <c r="C6454" t="inlineStr">
        <is>
          <t>1917-07-15</t>
        </is>
      </c>
    </row>
    <row r="6455">
      <c r="A6455" s="1" t="n">
        <v>6454</v>
      </c>
      <c r="B6455">
        <f>TEXT(6454, "[$-0E0000]yyyy-mm-dd")</f>
        <v/>
      </c>
      <c r="C6455" t="inlineStr">
        <is>
          <t>1917-07-16</t>
        </is>
      </c>
    </row>
    <row r="6456">
      <c r="A6456" s="1" t="n">
        <v>6455</v>
      </c>
      <c r="B6456">
        <f>TEXT(6455, "[$-0E0000]yyyy-mm-dd")</f>
        <v/>
      </c>
      <c r="C6456" t="inlineStr">
        <is>
          <t>1917-07-17</t>
        </is>
      </c>
    </row>
    <row r="6457">
      <c r="A6457" s="1" t="n">
        <v>6456</v>
      </c>
      <c r="B6457">
        <f>TEXT(6456, "[$-0E0000]yyyy-mm-dd")</f>
        <v/>
      </c>
      <c r="C6457" t="inlineStr">
        <is>
          <t>1917-07-18</t>
        </is>
      </c>
    </row>
    <row r="6458">
      <c r="A6458" s="1" t="n">
        <v>6457</v>
      </c>
      <c r="B6458">
        <f>TEXT(6457, "[$-0E0000]yyyy-mm-dd")</f>
        <v/>
      </c>
      <c r="C6458" t="inlineStr">
        <is>
          <t>1917-07-19</t>
        </is>
      </c>
    </row>
    <row r="6459">
      <c r="A6459" s="1" t="n">
        <v>6458</v>
      </c>
      <c r="B6459">
        <f>TEXT(6458, "[$-0E0000]yyyy-mm-dd")</f>
        <v/>
      </c>
      <c r="C6459" t="inlineStr">
        <is>
          <t>1917-07-20</t>
        </is>
      </c>
    </row>
    <row r="6460">
      <c r="A6460" s="1" t="n">
        <v>6459</v>
      </c>
      <c r="B6460">
        <f>TEXT(6459, "[$-0E0000]yyyy-mm-dd")</f>
        <v/>
      </c>
      <c r="C6460" t="inlineStr">
        <is>
          <t>1917-07-21</t>
        </is>
      </c>
    </row>
    <row r="6461">
      <c r="A6461" s="1" t="n">
        <v>6460</v>
      </c>
      <c r="B6461">
        <f>TEXT(6460, "[$-0E0000]yyyy-mm-dd")</f>
        <v/>
      </c>
      <c r="C6461" t="inlineStr">
        <is>
          <t>1917-07-22</t>
        </is>
      </c>
    </row>
    <row r="6462">
      <c r="A6462" s="1" t="n">
        <v>6461</v>
      </c>
      <c r="B6462">
        <f>TEXT(6461, "[$-0E0000]yyyy-mm-dd")</f>
        <v/>
      </c>
      <c r="C6462" t="inlineStr">
        <is>
          <t>1917-07-23</t>
        </is>
      </c>
    </row>
    <row r="6463">
      <c r="A6463" s="1" t="n">
        <v>6462</v>
      </c>
      <c r="B6463">
        <f>TEXT(6462, "[$-0E0000]yyyy-mm-dd")</f>
        <v/>
      </c>
      <c r="C6463" t="inlineStr">
        <is>
          <t>1917-07-24</t>
        </is>
      </c>
    </row>
    <row r="6464">
      <c r="A6464" s="1" t="n">
        <v>6463</v>
      </c>
      <c r="B6464">
        <f>TEXT(6463, "[$-0E0000]yyyy-mm-dd")</f>
        <v/>
      </c>
      <c r="C6464" t="inlineStr">
        <is>
          <t>1917-07-25</t>
        </is>
      </c>
    </row>
    <row r="6465">
      <c r="A6465" s="1" t="n">
        <v>6464</v>
      </c>
      <c r="B6465">
        <f>TEXT(6464, "[$-0E0000]yyyy-mm-dd")</f>
        <v/>
      </c>
      <c r="C6465" t="inlineStr">
        <is>
          <t>1917-07-26</t>
        </is>
      </c>
    </row>
    <row r="6466">
      <c r="A6466" s="1" t="n">
        <v>6465</v>
      </c>
      <c r="B6466">
        <f>TEXT(6465, "[$-0E0000]yyyy-mm-dd")</f>
        <v/>
      </c>
      <c r="C6466" t="inlineStr">
        <is>
          <t>1917-07-27</t>
        </is>
      </c>
    </row>
    <row r="6467">
      <c r="A6467" s="1" t="n">
        <v>6466</v>
      </c>
      <c r="B6467">
        <f>TEXT(6466, "[$-0E0000]yyyy-mm-dd")</f>
        <v/>
      </c>
      <c r="C6467" t="inlineStr">
        <is>
          <t>1917-07-28</t>
        </is>
      </c>
    </row>
    <row r="6468">
      <c r="A6468" s="1" t="n">
        <v>6467</v>
      </c>
      <c r="B6468">
        <f>TEXT(6467, "[$-0E0000]yyyy-mm-dd")</f>
        <v/>
      </c>
      <c r="C6468" t="inlineStr">
        <is>
          <t>1917-07-29</t>
        </is>
      </c>
    </row>
    <row r="6469">
      <c r="A6469" s="1" t="n">
        <v>6468</v>
      </c>
      <c r="B6469">
        <f>TEXT(6468, "[$-0E0000]yyyy-mm-dd")</f>
        <v/>
      </c>
      <c r="C6469" t="inlineStr">
        <is>
          <t>1917-08-01</t>
        </is>
      </c>
    </row>
    <row r="6470">
      <c r="A6470" s="1" t="n">
        <v>6469</v>
      </c>
      <c r="B6470">
        <f>TEXT(6469, "[$-0E0000]yyyy-mm-dd")</f>
        <v/>
      </c>
      <c r="C6470" t="inlineStr">
        <is>
          <t>1917-08-02</t>
        </is>
      </c>
    </row>
    <row r="6471">
      <c r="A6471" s="1" t="n">
        <v>6470</v>
      </c>
      <c r="B6471">
        <f>TEXT(6470, "[$-0E0000]yyyy-mm-dd")</f>
        <v/>
      </c>
      <c r="C6471" t="inlineStr">
        <is>
          <t>1917-08-03</t>
        </is>
      </c>
    </row>
    <row r="6472">
      <c r="A6472" s="1" t="n">
        <v>6471</v>
      </c>
      <c r="B6472">
        <f>TEXT(6471, "[$-0E0000]yyyy-mm-dd")</f>
        <v/>
      </c>
      <c r="C6472" t="inlineStr">
        <is>
          <t>1917-08-04</t>
        </is>
      </c>
    </row>
    <row r="6473">
      <c r="A6473" s="1" t="n">
        <v>6472</v>
      </c>
      <c r="B6473">
        <f>TEXT(6472, "[$-0E0000]yyyy-mm-dd")</f>
        <v/>
      </c>
      <c r="C6473" t="inlineStr">
        <is>
          <t>1917-08-05</t>
        </is>
      </c>
    </row>
    <row r="6474">
      <c r="A6474" s="1" t="n">
        <v>6473</v>
      </c>
      <c r="B6474">
        <f>TEXT(6473, "[$-0E0000]yyyy-mm-dd")</f>
        <v/>
      </c>
      <c r="C6474" t="inlineStr">
        <is>
          <t>1917-08-06</t>
        </is>
      </c>
    </row>
    <row r="6475">
      <c r="A6475" s="1" t="n">
        <v>6474</v>
      </c>
      <c r="B6475">
        <f>TEXT(6474, "[$-0E0000]yyyy-mm-dd")</f>
        <v/>
      </c>
      <c r="C6475" t="inlineStr">
        <is>
          <t>1917-08-07</t>
        </is>
      </c>
    </row>
    <row r="6476">
      <c r="A6476" s="1" t="n">
        <v>6475</v>
      </c>
      <c r="B6476">
        <f>TEXT(6475, "[$-0E0000]yyyy-mm-dd")</f>
        <v/>
      </c>
      <c r="C6476" t="inlineStr">
        <is>
          <t>1917-08-08</t>
        </is>
      </c>
    </row>
    <row r="6477">
      <c r="A6477" s="1" t="n">
        <v>6476</v>
      </c>
      <c r="B6477">
        <f>TEXT(6476, "[$-0E0000]yyyy-mm-dd")</f>
        <v/>
      </c>
      <c r="C6477" t="inlineStr">
        <is>
          <t>1917-08-09</t>
        </is>
      </c>
    </row>
    <row r="6478">
      <c r="A6478" s="1" t="n">
        <v>6477</v>
      </c>
      <c r="B6478">
        <f>TEXT(6477, "[$-0E0000]yyyy-mm-dd")</f>
        <v/>
      </c>
      <c r="C6478" t="inlineStr">
        <is>
          <t>1917-08-10</t>
        </is>
      </c>
    </row>
    <row r="6479">
      <c r="A6479" s="1" t="n">
        <v>6478</v>
      </c>
      <c r="B6479">
        <f>TEXT(6478, "[$-0E0000]yyyy-mm-dd")</f>
        <v/>
      </c>
      <c r="C6479" t="inlineStr">
        <is>
          <t>1917-08-11</t>
        </is>
      </c>
    </row>
    <row r="6480">
      <c r="A6480" s="1" t="n">
        <v>6479</v>
      </c>
      <c r="B6480">
        <f>TEXT(6479, "[$-0E0000]yyyy-mm-dd")</f>
        <v/>
      </c>
      <c r="C6480" t="inlineStr">
        <is>
          <t>1917-08-12</t>
        </is>
      </c>
    </row>
    <row r="6481">
      <c r="A6481" s="1" t="n">
        <v>6480</v>
      </c>
      <c r="B6481">
        <f>TEXT(6480, "[$-0E0000]yyyy-mm-dd")</f>
        <v/>
      </c>
      <c r="C6481" t="inlineStr">
        <is>
          <t>1917-08-13</t>
        </is>
      </c>
    </row>
    <row r="6482">
      <c r="A6482" s="1" t="n">
        <v>6481</v>
      </c>
      <c r="B6482">
        <f>TEXT(6481, "[$-0E0000]yyyy-mm-dd")</f>
        <v/>
      </c>
      <c r="C6482" t="inlineStr">
        <is>
          <t>1917-08-14</t>
        </is>
      </c>
    </row>
    <row r="6483">
      <c r="A6483" s="1" t="n">
        <v>6482</v>
      </c>
      <c r="B6483">
        <f>TEXT(6482, "[$-0E0000]yyyy-mm-dd")</f>
        <v/>
      </c>
      <c r="C6483" t="inlineStr">
        <is>
          <t>1917-08-15</t>
        </is>
      </c>
    </row>
    <row r="6484">
      <c r="A6484" s="1" t="n">
        <v>6483</v>
      </c>
      <c r="B6484">
        <f>TEXT(6483, "[$-0E0000]yyyy-mm-dd")</f>
        <v/>
      </c>
      <c r="C6484" t="inlineStr">
        <is>
          <t>1917-08-16</t>
        </is>
      </c>
    </row>
    <row r="6485">
      <c r="A6485" s="1" t="n">
        <v>6484</v>
      </c>
      <c r="B6485">
        <f>TEXT(6484, "[$-0E0000]yyyy-mm-dd")</f>
        <v/>
      </c>
      <c r="C6485" t="inlineStr">
        <is>
          <t>1917-08-17</t>
        </is>
      </c>
    </row>
    <row r="6486">
      <c r="A6486" s="1" t="n">
        <v>6485</v>
      </c>
      <c r="B6486">
        <f>TEXT(6485, "[$-0E0000]yyyy-mm-dd")</f>
        <v/>
      </c>
      <c r="C6486" t="inlineStr">
        <is>
          <t>1917-08-18</t>
        </is>
      </c>
    </row>
    <row r="6487">
      <c r="A6487" s="1" t="n">
        <v>6486</v>
      </c>
      <c r="B6487">
        <f>TEXT(6486, "[$-0E0000]yyyy-mm-dd")</f>
        <v/>
      </c>
      <c r="C6487" t="inlineStr">
        <is>
          <t>1917-08-19</t>
        </is>
      </c>
    </row>
    <row r="6488">
      <c r="A6488" s="1" t="n">
        <v>6487</v>
      </c>
      <c r="B6488">
        <f>TEXT(6487, "[$-0E0000]yyyy-mm-dd")</f>
        <v/>
      </c>
      <c r="C6488" t="inlineStr">
        <is>
          <t>1917-08-20</t>
        </is>
      </c>
    </row>
    <row r="6489">
      <c r="A6489" s="1" t="n">
        <v>6488</v>
      </c>
      <c r="B6489">
        <f>TEXT(6488, "[$-0E0000]yyyy-mm-dd")</f>
        <v/>
      </c>
      <c r="C6489" t="inlineStr">
        <is>
          <t>1917-08-21</t>
        </is>
      </c>
    </row>
    <row r="6490">
      <c r="A6490" s="1" t="n">
        <v>6489</v>
      </c>
      <c r="B6490">
        <f>TEXT(6489, "[$-0E0000]yyyy-mm-dd")</f>
        <v/>
      </c>
      <c r="C6490" t="inlineStr">
        <is>
          <t>1917-08-22</t>
        </is>
      </c>
    </row>
    <row r="6491">
      <c r="A6491" s="1" t="n">
        <v>6490</v>
      </c>
      <c r="B6491">
        <f>TEXT(6490, "[$-0E0000]yyyy-mm-dd")</f>
        <v/>
      </c>
      <c r="C6491" t="inlineStr">
        <is>
          <t>1917-08-23</t>
        </is>
      </c>
    </row>
    <row r="6492">
      <c r="A6492" s="1" t="n">
        <v>6491</v>
      </c>
      <c r="B6492">
        <f>TEXT(6491, "[$-0E0000]yyyy-mm-dd")</f>
        <v/>
      </c>
      <c r="C6492" t="inlineStr">
        <is>
          <t>1917-08-24</t>
        </is>
      </c>
    </row>
    <row r="6493">
      <c r="A6493" s="1" t="n">
        <v>6492</v>
      </c>
      <c r="B6493">
        <f>TEXT(6492, "[$-0E0000]yyyy-mm-dd")</f>
        <v/>
      </c>
      <c r="C6493" t="inlineStr">
        <is>
          <t>1917-08-25</t>
        </is>
      </c>
    </row>
    <row r="6494">
      <c r="A6494" s="1" t="n">
        <v>6493</v>
      </c>
      <c r="B6494">
        <f>TEXT(6493, "[$-0E0000]yyyy-mm-dd")</f>
        <v/>
      </c>
      <c r="C6494" t="inlineStr">
        <is>
          <t>1917-08-26</t>
        </is>
      </c>
    </row>
    <row r="6495">
      <c r="A6495" s="1" t="n">
        <v>6494</v>
      </c>
      <c r="B6495">
        <f>TEXT(6494, "[$-0E0000]yyyy-mm-dd")</f>
        <v/>
      </c>
      <c r="C6495" t="inlineStr">
        <is>
          <t>1917-08-27</t>
        </is>
      </c>
    </row>
    <row r="6496">
      <c r="A6496" s="1" t="n">
        <v>6495</v>
      </c>
      <c r="B6496">
        <f>TEXT(6495, "[$-0E0000]yyyy-mm-dd")</f>
        <v/>
      </c>
      <c r="C6496" t="inlineStr">
        <is>
          <t>1917-08-28</t>
        </is>
      </c>
    </row>
    <row r="6497">
      <c r="A6497" s="1" t="n">
        <v>6496</v>
      </c>
      <c r="B6497">
        <f>TEXT(6496, "[$-0E0000]yyyy-mm-dd")</f>
        <v/>
      </c>
      <c r="C6497" t="inlineStr">
        <is>
          <t>1917-08-29</t>
        </is>
      </c>
    </row>
    <row r="6498">
      <c r="A6498" s="1" t="n">
        <v>6497</v>
      </c>
      <c r="B6498">
        <f>TEXT(6497, "[$-0E0000]yyyy-mm-dd")</f>
        <v/>
      </c>
      <c r="C6498" t="inlineStr">
        <is>
          <t>1917-08-30</t>
        </is>
      </c>
    </row>
    <row r="6499">
      <c r="A6499" s="1" t="n">
        <v>6498</v>
      </c>
      <c r="B6499">
        <f>TEXT(6498, "[$-0E0000]yyyy-mm-dd")</f>
        <v/>
      </c>
      <c r="C6499" t="inlineStr">
        <is>
          <t>1917-09-01</t>
        </is>
      </c>
    </row>
    <row r="6500">
      <c r="A6500" s="1" t="n">
        <v>6499</v>
      </c>
      <c r="B6500">
        <f>TEXT(6499, "[$-0E0000]yyyy-mm-dd")</f>
        <v/>
      </c>
      <c r="C6500" t="inlineStr">
        <is>
          <t>1917-09-02</t>
        </is>
      </c>
    </row>
    <row r="6501">
      <c r="A6501" s="1" t="n">
        <v>6500</v>
      </c>
      <c r="B6501">
        <f>TEXT(6500, "[$-0E0000]yyyy-mm-dd")</f>
        <v/>
      </c>
      <c r="C6501" t="inlineStr">
        <is>
          <t>1917-09-03</t>
        </is>
      </c>
    </row>
    <row r="6502">
      <c r="A6502" s="1" t="n">
        <v>6501</v>
      </c>
      <c r="B6502">
        <f>TEXT(6501, "[$-0E0000]yyyy-mm-dd")</f>
        <v/>
      </c>
      <c r="C6502" t="inlineStr">
        <is>
          <t>1917-09-04</t>
        </is>
      </c>
    </row>
    <row r="6503">
      <c r="A6503" s="1" t="n">
        <v>6502</v>
      </c>
      <c r="B6503">
        <f>TEXT(6502, "[$-0E0000]yyyy-mm-dd")</f>
        <v/>
      </c>
      <c r="C6503" t="inlineStr">
        <is>
          <t>1917-09-05</t>
        </is>
      </c>
    </row>
    <row r="6504">
      <c r="A6504" s="1" t="n">
        <v>6503</v>
      </c>
      <c r="B6504">
        <f>TEXT(6503, "[$-0E0000]yyyy-mm-dd")</f>
        <v/>
      </c>
      <c r="C6504" t="inlineStr">
        <is>
          <t>1917-09-06</t>
        </is>
      </c>
    </row>
    <row r="6505">
      <c r="A6505" s="1" t="n">
        <v>6504</v>
      </c>
      <c r="B6505">
        <f>TEXT(6504, "[$-0E0000]yyyy-mm-dd")</f>
        <v/>
      </c>
      <c r="C6505" t="inlineStr">
        <is>
          <t>1917-09-07</t>
        </is>
      </c>
    </row>
    <row r="6506">
      <c r="A6506" s="1" t="n">
        <v>6505</v>
      </c>
      <c r="B6506">
        <f>TEXT(6505, "[$-0E0000]yyyy-mm-dd")</f>
        <v/>
      </c>
      <c r="C6506" t="inlineStr">
        <is>
          <t>1917-09-08</t>
        </is>
      </c>
    </row>
    <row r="6507">
      <c r="A6507" s="1" t="n">
        <v>6506</v>
      </c>
      <c r="B6507">
        <f>TEXT(6506, "[$-0E0000]yyyy-mm-dd")</f>
        <v/>
      </c>
      <c r="C6507" t="inlineStr">
        <is>
          <t>1917-09-09</t>
        </is>
      </c>
    </row>
    <row r="6508">
      <c r="A6508" s="1" t="n">
        <v>6507</v>
      </c>
      <c r="B6508">
        <f>TEXT(6507, "[$-0E0000]yyyy-mm-dd")</f>
        <v/>
      </c>
      <c r="C6508" t="inlineStr">
        <is>
          <t>1917-09-10</t>
        </is>
      </c>
    </row>
    <row r="6509">
      <c r="A6509" s="1" t="n">
        <v>6508</v>
      </c>
      <c r="B6509">
        <f>TEXT(6508, "[$-0E0000]yyyy-mm-dd")</f>
        <v/>
      </c>
      <c r="C6509" t="inlineStr">
        <is>
          <t>1917-09-11</t>
        </is>
      </c>
    </row>
    <row r="6510">
      <c r="A6510" s="1" t="n">
        <v>6509</v>
      </c>
      <c r="B6510">
        <f>TEXT(6509, "[$-0E0000]yyyy-mm-dd")</f>
        <v/>
      </c>
      <c r="C6510" t="inlineStr">
        <is>
          <t>1917-09-12</t>
        </is>
      </c>
    </row>
    <row r="6511">
      <c r="A6511" s="1" t="n">
        <v>6510</v>
      </c>
      <c r="B6511">
        <f>TEXT(6510, "[$-0E0000]yyyy-mm-dd")</f>
        <v/>
      </c>
      <c r="C6511" t="inlineStr">
        <is>
          <t>1917-09-13</t>
        </is>
      </c>
    </row>
    <row r="6512">
      <c r="A6512" s="1" t="n">
        <v>6511</v>
      </c>
      <c r="B6512">
        <f>TEXT(6511, "[$-0E0000]yyyy-mm-dd")</f>
        <v/>
      </c>
      <c r="C6512" t="inlineStr">
        <is>
          <t>1917-09-14</t>
        </is>
      </c>
    </row>
    <row r="6513">
      <c r="A6513" s="1" t="n">
        <v>6512</v>
      </c>
      <c r="B6513">
        <f>TEXT(6512, "[$-0E0000]yyyy-mm-dd")</f>
        <v/>
      </c>
      <c r="C6513" t="inlineStr">
        <is>
          <t>1917-09-15</t>
        </is>
      </c>
    </row>
    <row r="6514">
      <c r="A6514" s="1" t="n">
        <v>6513</v>
      </c>
      <c r="B6514">
        <f>TEXT(6513, "[$-0E0000]yyyy-mm-dd")</f>
        <v/>
      </c>
      <c r="C6514" t="inlineStr">
        <is>
          <t>1917-09-16</t>
        </is>
      </c>
    </row>
    <row r="6515">
      <c r="A6515" s="1" t="n">
        <v>6514</v>
      </c>
      <c r="B6515">
        <f>TEXT(6514, "[$-0E0000]yyyy-mm-dd")</f>
        <v/>
      </c>
      <c r="C6515" t="inlineStr">
        <is>
          <t>1917-09-17</t>
        </is>
      </c>
    </row>
    <row r="6516">
      <c r="A6516" s="1" t="n">
        <v>6515</v>
      </c>
      <c r="B6516">
        <f>TEXT(6515, "[$-0E0000]yyyy-mm-dd")</f>
        <v/>
      </c>
      <c r="C6516" t="inlineStr">
        <is>
          <t>1917-09-18</t>
        </is>
      </c>
    </row>
    <row r="6517">
      <c r="A6517" s="1" t="n">
        <v>6516</v>
      </c>
      <c r="B6517">
        <f>TEXT(6516, "[$-0E0000]yyyy-mm-dd")</f>
        <v/>
      </c>
      <c r="C6517" t="inlineStr">
        <is>
          <t>1917-09-19</t>
        </is>
      </c>
    </row>
    <row r="6518">
      <c r="A6518" s="1" t="n">
        <v>6517</v>
      </c>
      <c r="B6518">
        <f>TEXT(6517, "[$-0E0000]yyyy-mm-dd")</f>
        <v/>
      </c>
      <c r="C6518" t="inlineStr">
        <is>
          <t>1917-09-20</t>
        </is>
      </c>
    </row>
    <row r="6519">
      <c r="A6519" s="1" t="n">
        <v>6518</v>
      </c>
      <c r="B6519">
        <f>TEXT(6518, "[$-0E0000]yyyy-mm-dd")</f>
        <v/>
      </c>
      <c r="C6519" t="inlineStr">
        <is>
          <t>1917-09-21</t>
        </is>
      </c>
    </row>
    <row r="6520">
      <c r="A6520" s="1" t="n">
        <v>6519</v>
      </c>
      <c r="B6520">
        <f>TEXT(6519, "[$-0E0000]yyyy-mm-dd")</f>
        <v/>
      </c>
      <c r="C6520" t="inlineStr">
        <is>
          <t>1917-09-22</t>
        </is>
      </c>
    </row>
    <row r="6521">
      <c r="A6521" s="1" t="n">
        <v>6520</v>
      </c>
      <c r="B6521">
        <f>TEXT(6520, "[$-0E0000]yyyy-mm-dd")</f>
        <v/>
      </c>
      <c r="C6521" t="inlineStr">
        <is>
          <t>1917-09-23</t>
        </is>
      </c>
    </row>
    <row r="6522">
      <c r="A6522" s="1" t="n">
        <v>6521</v>
      </c>
      <c r="B6522">
        <f>TEXT(6521, "[$-0E0000]yyyy-mm-dd")</f>
        <v/>
      </c>
      <c r="C6522" t="inlineStr">
        <is>
          <t>1917-09-24</t>
        </is>
      </c>
    </row>
    <row r="6523">
      <c r="A6523" s="1" t="n">
        <v>6522</v>
      </c>
      <c r="B6523">
        <f>TEXT(6522, "[$-0E0000]yyyy-mm-dd")</f>
        <v/>
      </c>
      <c r="C6523" t="inlineStr">
        <is>
          <t>1917-09-25</t>
        </is>
      </c>
    </row>
    <row r="6524">
      <c r="A6524" s="1" t="n">
        <v>6523</v>
      </c>
      <c r="B6524">
        <f>TEXT(6523, "[$-0E0000]yyyy-mm-dd")</f>
        <v/>
      </c>
      <c r="C6524" t="inlineStr">
        <is>
          <t>1917-09-26</t>
        </is>
      </c>
    </row>
    <row r="6525">
      <c r="A6525" s="1" t="n">
        <v>6524</v>
      </c>
      <c r="B6525">
        <f>TEXT(6524, "[$-0E0000]yyyy-mm-dd")</f>
        <v/>
      </c>
      <c r="C6525" t="inlineStr">
        <is>
          <t>1917-09-27</t>
        </is>
      </c>
    </row>
    <row r="6526">
      <c r="A6526" s="1" t="n">
        <v>6525</v>
      </c>
      <c r="B6526">
        <f>TEXT(6525, "[$-0E0000]yyyy-mm-dd")</f>
        <v/>
      </c>
      <c r="C6526" t="inlineStr">
        <is>
          <t>1917-09-28</t>
        </is>
      </c>
    </row>
    <row r="6527">
      <c r="A6527" s="1" t="n">
        <v>6526</v>
      </c>
      <c r="B6527">
        <f>TEXT(6526, "[$-0E0000]yyyy-mm-dd")</f>
        <v/>
      </c>
      <c r="C6527" t="inlineStr">
        <is>
          <t>1917-09-29</t>
        </is>
      </c>
    </row>
    <row r="6528">
      <c r="A6528" s="1" t="n">
        <v>6527</v>
      </c>
      <c r="B6528">
        <f>TEXT(6527, "[$-0E0000]yyyy-mm-dd")</f>
        <v/>
      </c>
      <c r="C6528" t="inlineStr">
        <is>
          <t>1917-09-30</t>
        </is>
      </c>
    </row>
    <row r="6529">
      <c r="A6529" s="1" t="n">
        <v>6528</v>
      </c>
      <c r="B6529">
        <f>TEXT(6528, "[$-0E0000]yyyy-mm-dd")</f>
        <v/>
      </c>
      <c r="C6529" t="inlineStr">
        <is>
          <t>1917-10-01</t>
        </is>
      </c>
    </row>
    <row r="6530">
      <c r="A6530" s="1" t="n">
        <v>6529</v>
      </c>
      <c r="B6530">
        <f>TEXT(6529, "[$-0E0000]yyyy-mm-dd")</f>
        <v/>
      </c>
      <c r="C6530" t="inlineStr">
        <is>
          <t>1917-10-02</t>
        </is>
      </c>
    </row>
    <row r="6531">
      <c r="A6531" s="1" t="n">
        <v>6530</v>
      </c>
      <c r="B6531">
        <f>TEXT(6530, "[$-0E0000]yyyy-mm-dd")</f>
        <v/>
      </c>
      <c r="C6531" t="inlineStr">
        <is>
          <t>1917-10-03</t>
        </is>
      </c>
    </row>
    <row r="6532">
      <c r="A6532" s="1" t="n">
        <v>6531</v>
      </c>
      <c r="B6532">
        <f>TEXT(6531, "[$-0E0000]yyyy-mm-dd")</f>
        <v/>
      </c>
      <c r="C6532" t="inlineStr">
        <is>
          <t>1917-10-04</t>
        </is>
      </c>
    </row>
    <row r="6533">
      <c r="A6533" s="1" t="n">
        <v>6532</v>
      </c>
      <c r="B6533">
        <f>TEXT(6532, "[$-0E0000]yyyy-mm-dd")</f>
        <v/>
      </c>
      <c r="C6533" t="inlineStr">
        <is>
          <t>1917-10-05</t>
        </is>
      </c>
    </row>
    <row r="6534">
      <c r="A6534" s="1" t="n">
        <v>6533</v>
      </c>
      <c r="B6534">
        <f>TEXT(6533, "[$-0E0000]yyyy-mm-dd")</f>
        <v/>
      </c>
      <c r="C6534" t="inlineStr">
        <is>
          <t>1917-10-06</t>
        </is>
      </c>
    </row>
    <row r="6535">
      <c r="A6535" s="1" t="n">
        <v>6534</v>
      </c>
      <c r="B6535">
        <f>TEXT(6534, "[$-0E0000]yyyy-mm-dd")</f>
        <v/>
      </c>
      <c r="C6535" t="inlineStr">
        <is>
          <t>1917-10-07</t>
        </is>
      </c>
    </row>
    <row r="6536">
      <c r="A6536" s="1" t="n">
        <v>6535</v>
      </c>
      <c r="B6536">
        <f>TEXT(6535, "[$-0E0000]yyyy-mm-dd")</f>
        <v/>
      </c>
      <c r="C6536" t="inlineStr">
        <is>
          <t>1917-10-08</t>
        </is>
      </c>
    </row>
    <row r="6537">
      <c r="A6537" s="1" t="n">
        <v>6536</v>
      </c>
      <c r="B6537">
        <f>TEXT(6536, "[$-0E0000]yyyy-mm-dd")</f>
        <v/>
      </c>
      <c r="C6537" t="inlineStr">
        <is>
          <t>1917-10-09</t>
        </is>
      </c>
    </row>
    <row r="6538">
      <c r="A6538" s="1" t="n">
        <v>6537</v>
      </c>
      <c r="B6538">
        <f>TEXT(6537, "[$-0E0000]yyyy-mm-dd")</f>
        <v/>
      </c>
      <c r="C6538" t="inlineStr">
        <is>
          <t>1917-10-10</t>
        </is>
      </c>
    </row>
    <row r="6539">
      <c r="A6539" s="1" t="n">
        <v>6538</v>
      </c>
      <c r="B6539">
        <f>TEXT(6538, "[$-0E0000]yyyy-mm-dd")</f>
        <v/>
      </c>
      <c r="C6539" t="inlineStr">
        <is>
          <t>1917-10-11</t>
        </is>
      </c>
    </row>
    <row r="6540">
      <c r="A6540" s="1" t="n">
        <v>6539</v>
      </c>
      <c r="B6540">
        <f>TEXT(6539, "[$-0E0000]yyyy-mm-dd")</f>
        <v/>
      </c>
      <c r="C6540" t="inlineStr">
        <is>
          <t>1917-10-12</t>
        </is>
      </c>
    </row>
    <row r="6541">
      <c r="A6541" s="1" t="n">
        <v>6540</v>
      </c>
      <c r="B6541">
        <f>TEXT(6540, "[$-0E0000]yyyy-mm-dd")</f>
        <v/>
      </c>
      <c r="C6541" t="inlineStr">
        <is>
          <t>1917-10-13</t>
        </is>
      </c>
    </row>
    <row r="6542">
      <c r="A6542" s="1" t="n">
        <v>6541</v>
      </c>
      <c r="B6542">
        <f>TEXT(6541, "[$-0E0000]yyyy-mm-dd")</f>
        <v/>
      </c>
      <c r="C6542" t="inlineStr">
        <is>
          <t>1917-10-14</t>
        </is>
      </c>
    </row>
    <row r="6543">
      <c r="A6543" s="1" t="n">
        <v>6542</v>
      </c>
      <c r="B6543">
        <f>TEXT(6542, "[$-0E0000]yyyy-mm-dd")</f>
        <v/>
      </c>
      <c r="C6543" t="inlineStr">
        <is>
          <t>1917-10-15</t>
        </is>
      </c>
    </row>
    <row r="6544">
      <c r="A6544" s="1" t="n">
        <v>6543</v>
      </c>
      <c r="B6544">
        <f>TEXT(6543, "[$-0E0000]yyyy-mm-dd")</f>
        <v/>
      </c>
      <c r="C6544" t="inlineStr">
        <is>
          <t>1917-10-16</t>
        </is>
      </c>
    </row>
    <row r="6545">
      <c r="A6545" s="1" t="n">
        <v>6544</v>
      </c>
      <c r="B6545">
        <f>TEXT(6544, "[$-0E0000]yyyy-mm-dd")</f>
        <v/>
      </c>
      <c r="C6545" t="inlineStr">
        <is>
          <t>1917-10-17</t>
        </is>
      </c>
    </row>
    <row r="6546">
      <c r="A6546" s="1" t="n">
        <v>6545</v>
      </c>
      <c r="B6546">
        <f>TEXT(6545, "[$-0E0000]yyyy-mm-dd")</f>
        <v/>
      </c>
      <c r="C6546" t="inlineStr">
        <is>
          <t>1917-10-18</t>
        </is>
      </c>
    </row>
    <row r="6547">
      <c r="A6547" s="1" t="n">
        <v>6546</v>
      </c>
      <c r="B6547">
        <f>TEXT(6546, "[$-0E0000]yyyy-mm-dd")</f>
        <v/>
      </c>
      <c r="C6547" t="inlineStr">
        <is>
          <t>1917-10-19</t>
        </is>
      </c>
    </row>
    <row r="6548">
      <c r="A6548" s="1" t="n">
        <v>6547</v>
      </c>
      <c r="B6548">
        <f>TEXT(6547, "[$-0E0000]yyyy-mm-dd")</f>
        <v/>
      </c>
      <c r="C6548" t="inlineStr">
        <is>
          <t>1917-10-20</t>
        </is>
      </c>
    </row>
    <row r="6549">
      <c r="A6549" s="1" t="n">
        <v>6548</v>
      </c>
      <c r="B6549">
        <f>TEXT(6548, "[$-0E0000]yyyy-mm-dd")</f>
        <v/>
      </c>
      <c r="C6549" t="inlineStr">
        <is>
          <t>1917-10-21</t>
        </is>
      </c>
    </row>
    <row r="6550">
      <c r="A6550" s="1" t="n">
        <v>6549</v>
      </c>
      <c r="B6550">
        <f>TEXT(6549, "[$-0E0000]yyyy-mm-dd")</f>
        <v/>
      </c>
      <c r="C6550" t="inlineStr">
        <is>
          <t>1917-10-22</t>
        </is>
      </c>
    </row>
    <row r="6551">
      <c r="A6551" s="1" t="n">
        <v>6550</v>
      </c>
      <c r="B6551">
        <f>TEXT(6550, "[$-0E0000]yyyy-mm-dd")</f>
        <v/>
      </c>
      <c r="C6551" t="inlineStr">
        <is>
          <t>1917-10-23</t>
        </is>
      </c>
    </row>
    <row r="6552">
      <c r="A6552" s="1" t="n">
        <v>6551</v>
      </c>
      <c r="B6552">
        <f>TEXT(6551, "[$-0E0000]yyyy-mm-dd")</f>
        <v/>
      </c>
      <c r="C6552" t="inlineStr">
        <is>
          <t>1917-10-24</t>
        </is>
      </c>
    </row>
    <row r="6553">
      <c r="A6553" s="1" t="n">
        <v>6552</v>
      </c>
      <c r="B6553">
        <f>TEXT(6552, "[$-0E0000]yyyy-mm-dd")</f>
        <v/>
      </c>
      <c r="C6553" t="inlineStr">
        <is>
          <t>1917-10-25</t>
        </is>
      </c>
    </row>
    <row r="6554">
      <c r="A6554" s="1" t="n">
        <v>6553</v>
      </c>
      <c r="B6554">
        <f>TEXT(6553, "[$-0E0000]yyyy-mm-dd")</f>
        <v/>
      </c>
      <c r="C6554" t="inlineStr">
        <is>
          <t>1917-10-26</t>
        </is>
      </c>
    </row>
    <row r="6555">
      <c r="A6555" s="1" t="n">
        <v>6554</v>
      </c>
      <c r="B6555">
        <f>TEXT(6554, "[$-0E0000]yyyy-mm-dd")</f>
        <v/>
      </c>
      <c r="C6555" t="inlineStr">
        <is>
          <t>1917-10-27</t>
        </is>
      </c>
    </row>
    <row r="6556">
      <c r="A6556" s="1" t="n">
        <v>6555</v>
      </c>
      <c r="B6556">
        <f>TEXT(6555, "[$-0E0000]yyyy-mm-dd")</f>
        <v/>
      </c>
      <c r="C6556" t="inlineStr">
        <is>
          <t>1917-10-28</t>
        </is>
      </c>
    </row>
    <row r="6557">
      <c r="A6557" s="1" t="n">
        <v>6556</v>
      </c>
      <c r="B6557">
        <f>TEXT(6556, "[$-0E0000]yyyy-mm-dd")</f>
        <v/>
      </c>
      <c r="C6557" t="inlineStr">
        <is>
          <t>1917-10-29</t>
        </is>
      </c>
    </row>
    <row r="6558">
      <c r="A6558" s="1" t="n">
        <v>6557</v>
      </c>
      <c r="B6558">
        <f>TEXT(6557, "[$-0E0000]yyyy-mm-dd")</f>
        <v/>
      </c>
      <c r="C6558" t="inlineStr">
        <is>
          <t>1917-11-01</t>
        </is>
      </c>
    </row>
    <row r="6559">
      <c r="A6559" s="1" t="n">
        <v>6558</v>
      </c>
      <c r="B6559">
        <f>TEXT(6558, "[$-0E0000]yyyy-mm-dd")</f>
        <v/>
      </c>
      <c r="C6559" t="inlineStr">
        <is>
          <t>1917-11-02</t>
        </is>
      </c>
    </row>
    <row r="6560">
      <c r="A6560" s="1" t="n">
        <v>6559</v>
      </c>
      <c r="B6560">
        <f>TEXT(6559, "[$-0E0000]yyyy-mm-dd")</f>
        <v/>
      </c>
      <c r="C6560" t="inlineStr">
        <is>
          <t>1917-11-03</t>
        </is>
      </c>
    </row>
    <row r="6561">
      <c r="A6561" s="1" t="n">
        <v>6560</v>
      </c>
      <c r="B6561">
        <f>TEXT(6560, "[$-0E0000]yyyy-mm-dd")</f>
        <v/>
      </c>
      <c r="C6561" t="inlineStr">
        <is>
          <t>1917-11-04</t>
        </is>
      </c>
    </row>
    <row r="6562">
      <c r="A6562" s="1" t="n">
        <v>6561</v>
      </c>
      <c r="B6562">
        <f>TEXT(6561, "[$-0E0000]yyyy-mm-dd")</f>
        <v/>
      </c>
      <c r="C6562" t="inlineStr">
        <is>
          <t>1917-11-05</t>
        </is>
      </c>
    </row>
    <row r="6563">
      <c r="A6563" s="1" t="n">
        <v>6562</v>
      </c>
      <c r="B6563">
        <f>TEXT(6562, "[$-0E0000]yyyy-mm-dd")</f>
        <v/>
      </c>
      <c r="C6563" t="inlineStr">
        <is>
          <t>1917-11-06</t>
        </is>
      </c>
    </row>
    <row r="6564">
      <c r="A6564" s="1" t="n">
        <v>6563</v>
      </c>
      <c r="B6564">
        <f>TEXT(6563, "[$-0E0000]yyyy-mm-dd")</f>
        <v/>
      </c>
      <c r="C6564" t="inlineStr">
        <is>
          <t>1917-11-07</t>
        </is>
      </c>
    </row>
    <row r="6565">
      <c r="A6565" s="1" t="n">
        <v>6564</v>
      </c>
      <c r="B6565">
        <f>TEXT(6564, "[$-0E0000]yyyy-mm-dd")</f>
        <v/>
      </c>
      <c r="C6565" t="inlineStr">
        <is>
          <t>1917-11-08</t>
        </is>
      </c>
    </row>
    <row r="6566">
      <c r="A6566" s="1" t="n">
        <v>6565</v>
      </c>
      <c r="B6566">
        <f>TEXT(6565, "[$-0E0000]yyyy-mm-dd")</f>
        <v/>
      </c>
      <c r="C6566" t="inlineStr">
        <is>
          <t>1917-11-09</t>
        </is>
      </c>
    </row>
    <row r="6567">
      <c r="A6567" s="1" t="n">
        <v>6566</v>
      </c>
      <c r="B6567">
        <f>TEXT(6566, "[$-0E0000]yyyy-mm-dd")</f>
        <v/>
      </c>
      <c r="C6567" t="inlineStr">
        <is>
          <t>1917-11-10</t>
        </is>
      </c>
    </row>
    <row r="6568">
      <c r="A6568" s="1" t="n">
        <v>6567</v>
      </c>
      <c r="B6568">
        <f>TEXT(6567, "[$-0E0000]yyyy-mm-dd")</f>
        <v/>
      </c>
      <c r="C6568" t="inlineStr">
        <is>
          <t>1917-11-11</t>
        </is>
      </c>
    </row>
    <row r="6569">
      <c r="A6569" s="1" t="n">
        <v>6568</v>
      </c>
      <c r="B6569">
        <f>TEXT(6568, "[$-0E0000]yyyy-mm-dd")</f>
        <v/>
      </c>
      <c r="C6569" t="inlineStr">
        <is>
          <t>1917-11-12</t>
        </is>
      </c>
    </row>
    <row r="6570">
      <c r="A6570" s="1" t="n">
        <v>6569</v>
      </c>
      <c r="B6570">
        <f>TEXT(6569, "[$-0E0000]yyyy-mm-dd")</f>
        <v/>
      </c>
      <c r="C6570" t="inlineStr">
        <is>
          <t>1917-11-13</t>
        </is>
      </c>
    </row>
    <row r="6571">
      <c r="A6571" s="1" t="n">
        <v>6570</v>
      </c>
      <c r="B6571">
        <f>TEXT(6570, "[$-0E0000]yyyy-mm-dd")</f>
        <v/>
      </c>
      <c r="C6571" t="inlineStr">
        <is>
          <t>1917-11-14</t>
        </is>
      </c>
    </row>
    <row r="6572">
      <c r="A6572" s="1" t="n">
        <v>6571</v>
      </c>
      <c r="B6572">
        <f>TEXT(6571, "[$-0E0000]yyyy-mm-dd")</f>
        <v/>
      </c>
      <c r="C6572" t="inlineStr">
        <is>
          <t>1917-11-15</t>
        </is>
      </c>
    </row>
    <row r="6573">
      <c r="A6573" s="1" t="n">
        <v>6572</v>
      </c>
      <c r="B6573">
        <f>TEXT(6572, "[$-0E0000]yyyy-mm-dd")</f>
        <v/>
      </c>
      <c r="C6573" t="inlineStr">
        <is>
          <t>1917-11-16</t>
        </is>
      </c>
    </row>
    <row r="6574">
      <c r="A6574" s="1" t="n">
        <v>6573</v>
      </c>
      <c r="B6574">
        <f>TEXT(6573, "[$-0E0000]yyyy-mm-dd")</f>
        <v/>
      </c>
      <c r="C6574" t="inlineStr">
        <is>
          <t>1917-11-17</t>
        </is>
      </c>
    </row>
    <row r="6575">
      <c r="A6575" s="1" t="n">
        <v>6574</v>
      </c>
      <c r="B6575">
        <f>TEXT(6574, "[$-0E0000]yyyy-mm-dd")</f>
        <v/>
      </c>
      <c r="C6575" t="inlineStr">
        <is>
          <t>1917-11-18</t>
        </is>
      </c>
    </row>
    <row r="6576">
      <c r="A6576" s="1" t="n">
        <v>6575</v>
      </c>
      <c r="B6576">
        <f>TEXT(6575, "[$-0E0000]yyyy-mm-dd")</f>
        <v/>
      </c>
      <c r="C6576" t="inlineStr">
        <is>
          <t>1917-11-19</t>
        </is>
      </c>
    </row>
    <row r="6577">
      <c r="A6577" s="1" t="n">
        <v>6576</v>
      </c>
      <c r="B6577">
        <f>TEXT(6576, "[$-0E0000]yyyy-mm-dd")</f>
        <v/>
      </c>
      <c r="C6577" t="inlineStr">
        <is>
          <t>1917-11-20</t>
        </is>
      </c>
    </row>
    <row r="6578">
      <c r="A6578" s="1" t="n">
        <v>6577</v>
      </c>
      <c r="B6578">
        <f>TEXT(6577, "[$-0E0000]yyyy-mm-dd")</f>
        <v/>
      </c>
      <c r="C6578" t="inlineStr">
        <is>
          <t>1917-11-21</t>
        </is>
      </c>
    </row>
    <row r="6579">
      <c r="A6579" s="1" t="n">
        <v>6578</v>
      </c>
      <c r="B6579">
        <f>TEXT(6578, "[$-0E0000]yyyy-mm-dd")</f>
        <v/>
      </c>
      <c r="C6579" t="inlineStr">
        <is>
          <t>1917-11-22</t>
        </is>
      </c>
    </row>
    <row r="6580">
      <c r="A6580" s="1" t="n">
        <v>6579</v>
      </c>
      <c r="B6580">
        <f>TEXT(6579, "[$-0E0000]yyyy-mm-dd")</f>
        <v/>
      </c>
      <c r="C6580" t="inlineStr">
        <is>
          <t>1917-11-23</t>
        </is>
      </c>
    </row>
    <row r="6581">
      <c r="A6581" s="1" t="n">
        <v>6580</v>
      </c>
      <c r="B6581">
        <f>TEXT(6580, "[$-0E0000]yyyy-mm-dd")</f>
        <v/>
      </c>
      <c r="C6581" t="inlineStr">
        <is>
          <t>1917-11-24</t>
        </is>
      </c>
    </row>
    <row r="6582">
      <c r="A6582" s="1" t="n">
        <v>6581</v>
      </c>
      <c r="B6582">
        <f>TEXT(6581, "[$-0E0000]yyyy-mm-dd")</f>
        <v/>
      </c>
      <c r="C6582" t="inlineStr">
        <is>
          <t>1917-11-25</t>
        </is>
      </c>
    </row>
    <row r="6583">
      <c r="A6583" s="1" t="n">
        <v>6582</v>
      </c>
      <c r="B6583">
        <f>TEXT(6582, "[$-0E0000]yyyy-mm-dd")</f>
        <v/>
      </c>
      <c r="C6583" t="inlineStr">
        <is>
          <t>1917-11-26</t>
        </is>
      </c>
    </row>
    <row r="6584">
      <c r="A6584" s="1" t="n">
        <v>6583</v>
      </c>
      <c r="B6584">
        <f>TEXT(6583, "[$-0E0000]yyyy-mm-dd")</f>
        <v/>
      </c>
      <c r="C6584" t="inlineStr">
        <is>
          <t>1917-11-27</t>
        </is>
      </c>
    </row>
    <row r="6585">
      <c r="A6585" s="1" t="n">
        <v>6584</v>
      </c>
      <c r="B6585">
        <f>TEXT(6584, "[$-0E0000]yyyy-mm-dd")</f>
        <v/>
      </c>
      <c r="C6585" t="inlineStr">
        <is>
          <t>1917-11-28</t>
        </is>
      </c>
    </row>
    <row r="6586">
      <c r="A6586" s="1" t="n">
        <v>6585</v>
      </c>
      <c r="B6586">
        <f>TEXT(6585, "[$-0E0000]yyyy-mm-dd")</f>
        <v/>
      </c>
      <c r="C6586" t="inlineStr">
        <is>
          <t>1917-11-29</t>
        </is>
      </c>
    </row>
    <row r="6587">
      <c r="A6587" s="1" t="n">
        <v>6586</v>
      </c>
      <c r="B6587">
        <f>TEXT(6586, "[$-0E0000]yyyy-mm-dd")</f>
        <v/>
      </c>
      <c r="C6587" t="inlineStr">
        <is>
          <t>1917-11-30</t>
        </is>
      </c>
    </row>
    <row r="6588">
      <c r="A6588" s="1" t="n">
        <v>6587</v>
      </c>
      <c r="B6588">
        <f>TEXT(6587, "[$-0E0000]yyyy-mm-dd")</f>
        <v/>
      </c>
      <c r="C6588" t="inlineStr">
        <is>
          <t>1917-12-01</t>
        </is>
      </c>
    </row>
    <row r="6589">
      <c r="A6589" s="1" t="n">
        <v>6588</v>
      </c>
      <c r="B6589">
        <f>TEXT(6588, "[$-0E0000]yyyy-mm-dd")</f>
        <v/>
      </c>
      <c r="C6589" t="inlineStr">
        <is>
          <t>1917-12-02</t>
        </is>
      </c>
    </row>
    <row r="6590">
      <c r="A6590" s="1" t="n">
        <v>6589</v>
      </c>
      <c r="B6590">
        <f>TEXT(6589, "[$-0E0000]yyyy-mm-dd")</f>
        <v/>
      </c>
      <c r="C6590" t="inlineStr">
        <is>
          <t>1917-12-03</t>
        </is>
      </c>
    </row>
    <row r="6591">
      <c r="A6591" s="1" t="n">
        <v>6590</v>
      </c>
      <c r="B6591">
        <f>TEXT(6590, "[$-0E0000]yyyy-mm-dd")</f>
        <v/>
      </c>
      <c r="C6591" t="inlineStr">
        <is>
          <t>1917-12-04</t>
        </is>
      </c>
    </row>
    <row r="6592">
      <c r="A6592" s="1" t="n">
        <v>6591</v>
      </c>
      <c r="B6592">
        <f>TEXT(6591, "[$-0E0000]yyyy-mm-dd")</f>
        <v/>
      </c>
      <c r="C6592" t="inlineStr">
        <is>
          <t>1917-12-05</t>
        </is>
      </c>
    </row>
    <row r="6593">
      <c r="A6593" s="1" t="n">
        <v>6592</v>
      </c>
      <c r="B6593">
        <f>TEXT(6592, "[$-0E0000]yyyy-mm-dd")</f>
        <v/>
      </c>
      <c r="C6593" t="inlineStr">
        <is>
          <t>1917-12-06</t>
        </is>
      </c>
    </row>
    <row r="6594">
      <c r="A6594" s="1" t="n">
        <v>6593</v>
      </c>
      <c r="B6594">
        <f>TEXT(6593, "[$-0E0000]yyyy-mm-dd")</f>
        <v/>
      </c>
      <c r="C6594" t="inlineStr">
        <is>
          <t>1917-12-07</t>
        </is>
      </c>
    </row>
    <row r="6595">
      <c r="A6595" s="1" t="n">
        <v>6594</v>
      </c>
      <c r="B6595">
        <f>TEXT(6594, "[$-0E0000]yyyy-mm-dd")</f>
        <v/>
      </c>
      <c r="C6595" t="inlineStr">
        <is>
          <t>1917-12-08</t>
        </is>
      </c>
    </row>
    <row r="6596">
      <c r="A6596" s="1" t="n">
        <v>6595</v>
      </c>
      <c r="B6596">
        <f>TEXT(6595, "[$-0E0000]yyyy-mm-dd")</f>
        <v/>
      </c>
      <c r="C6596" t="inlineStr">
        <is>
          <t>1917-12-09</t>
        </is>
      </c>
    </row>
    <row r="6597">
      <c r="A6597" s="1" t="n">
        <v>6596</v>
      </c>
      <c r="B6597">
        <f>TEXT(6596, "[$-0E0000]yyyy-mm-dd")</f>
        <v/>
      </c>
      <c r="C6597" t="inlineStr">
        <is>
          <t>1917-12-10</t>
        </is>
      </c>
    </row>
    <row r="6598">
      <c r="A6598" s="1" t="n">
        <v>6597</v>
      </c>
      <c r="B6598">
        <f>TEXT(6597, "[$-0E0000]yyyy-mm-dd")</f>
        <v/>
      </c>
      <c r="C6598" t="inlineStr">
        <is>
          <t>1917-12-11</t>
        </is>
      </c>
    </row>
    <row r="6599">
      <c r="A6599" s="1" t="n">
        <v>6598</v>
      </c>
      <c r="B6599">
        <f>TEXT(6598, "[$-0E0000]yyyy-mm-dd")</f>
        <v/>
      </c>
      <c r="C6599" t="inlineStr">
        <is>
          <t>1917-12-12</t>
        </is>
      </c>
    </row>
    <row r="6600">
      <c r="A6600" s="1" t="n">
        <v>6599</v>
      </c>
      <c r="B6600">
        <f>TEXT(6599, "[$-0E0000]yyyy-mm-dd")</f>
        <v/>
      </c>
      <c r="C6600" t="inlineStr">
        <is>
          <t>1917-12-13</t>
        </is>
      </c>
    </row>
    <row r="6601">
      <c r="A6601" s="1" t="n">
        <v>6600</v>
      </c>
      <c r="B6601">
        <f>TEXT(6600, "[$-0E0000]yyyy-mm-dd")</f>
        <v/>
      </c>
      <c r="C6601" t="inlineStr">
        <is>
          <t>1917-12-14</t>
        </is>
      </c>
    </row>
    <row r="6602">
      <c r="A6602" s="1" t="n">
        <v>6601</v>
      </c>
      <c r="B6602">
        <f>TEXT(6601, "[$-0E0000]yyyy-mm-dd")</f>
        <v/>
      </c>
      <c r="C6602" t="inlineStr">
        <is>
          <t>1917-12-15</t>
        </is>
      </c>
    </row>
    <row r="6603">
      <c r="A6603" s="1" t="n">
        <v>6602</v>
      </c>
      <c r="B6603">
        <f>TEXT(6602, "[$-0E0000]yyyy-mm-dd")</f>
        <v/>
      </c>
      <c r="C6603" t="inlineStr">
        <is>
          <t>1917-12-16</t>
        </is>
      </c>
    </row>
    <row r="6604">
      <c r="A6604" s="1" t="n">
        <v>6603</v>
      </c>
      <c r="B6604">
        <f>TEXT(6603, "[$-0E0000]yyyy-mm-dd")</f>
        <v/>
      </c>
      <c r="C6604" t="inlineStr">
        <is>
          <t>1917-12-17</t>
        </is>
      </c>
    </row>
    <row r="6605">
      <c r="A6605" s="1" t="n">
        <v>6604</v>
      </c>
      <c r="B6605">
        <f>TEXT(6604, "[$-0E0000]yyyy-mm-dd")</f>
        <v/>
      </c>
      <c r="C6605" t="inlineStr">
        <is>
          <t>1917-12-18</t>
        </is>
      </c>
    </row>
    <row r="6606">
      <c r="A6606" s="1" t="n">
        <v>6605</v>
      </c>
      <c r="B6606">
        <f>TEXT(6605, "[$-0E0000]yyyy-mm-dd")</f>
        <v/>
      </c>
      <c r="C6606" t="inlineStr">
        <is>
          <t>1917-12-19</t>
        </is>
      </c>
    </row>
    <row r="6607">
      <c r="A6607" s="1" t="n">
        <v>6606</v>
      </c>
      <c r="B6607">
        <f>TEXT(6606, "[$-0E0000]yyyy-mm-dd")</f>
        <v/>
      </c>
      <c r="C6607" t="inlineStr">
        <is>
          <t>1917-12-20</t>
        </is>
      </c>
    </row>
    <row r="6608">
      <c r="A6608" s="1" t="n">
        <v>6607</v>
      </c>
      <c r="B6608">
        <f>TEXT(6607, "[$-0E0000]yyyy-mm-dd")</f>
        <v/>
      </c>
      <c r="C6608" t="inlineStr">
        <is>
          <t>1917-12-21</t>
        </is>
      </c>
    </row>
    <row r="6609">
      <c r="A6609" s="1" t="n">
        <v>6608</v>
      </c>
      <c r="B6609">
        <f>TEXT(6608, "[$-0E0000]yyyy-mm-dd")</f>
        <v/>
      </c>
      <c r="C6609" t="inlineStr">
        <is>
          <t>1917-12-22</t>
        </is>
      </c>
    </row>
    <row r="6610">
      <c r="A6610" s="1" t="n">
        <v>6609</v>
      </c>
      <c r="B6610">
        <f>TEXT(6609, "[$-0E0000]yyyy-mm-dd")</f>
        <v/>
      </c>
      <c r="C6610" t="inlineStr">
        <is>
          <t>1917-12-23</t>
        </is>
      </c>
    </row>
    <row r="6611">
      <c r="A6611" s="1" t="n">
        <v>6610</v>
      </c>
      <c r="B6611">
        <f>TEXT(6610, "[$-0E0000]yyyy-mm-dd")</f>
        <v/>
      </c>
      <c r="C6611" t="inlineStr">
        <is>
          <t>1917-12-24</t>
        </is>
      </c>
    </row>
    <row r="6612">
      <c r="A6612" s="1" t="n">
        <v>6611</v>
      </c>
      <c r="B6612">
        <f>TEXT(6611, "[$-0E0000]yyyy-mm-dd")</f>
        <v/>
      </c>
      <c r="C6612" t="inlineStr">
        <is>
          <t>1917-12-25</t>
        </is>
      </c>
    </row>
    <row r="6613">
      <c r="A6613" s="1" t="n">
        <v>6612</v>
      </c>
      <c r="B6613">
        <f>TEXT(6612, "[$-0E0000]yyyy-mm-dd")</f>
        <v/>
      </c>
      <c r="C6613" t="inlineStr">
        <is>
          <t>1917-12-26</t>
        </is>
      </c>
    </row>
    <row r="6614">
      <c r="A6614" s="1" t="n">
        <v>6613</v>
      </c>
      <c r="B6614">
        <f>TEXT(6613, "[$-0E0000]yyyy-mm-dd")</f>
        <v/>
      </c>
      <c r="C6614" t="inlineStr">
        <is>
          <t>1917-12-27</t>
        </is>
      </c>
    </row>
    <row r="6615">
      <c r="A6615" s="1" t="n">
        <v>6614</v>
      </c>
      <c r="B6615">
        <f>TEXT(6614, "[$-0E0000]yyyy-mm-dd")</f>
        <v/>
      </c>
      <c r="C6615" t="inlineStr">
        <is>
          <t>1917-12-28</t>
        </is>
      </c>
    </row>
    <row r="6616">
      <c r="A6616" s="1" t="n">
        <v>6615</v>
      </c>
      <c r="B6616">
        <f>TEXT(6615, "[$-0E0000]yyyy-mm-dd")</f>
        <v/>
      </c>
      <c r="C6616" t="inlineStr">
        <is>
          <t>1917-12-29</t>
        </is>
      </c>
    </row>
    <row r="6617">
      <c r="A6617" s="1" t="n">
        <v>6616</v>
      </c>
      <c r="B6617">
        <f>TEXT(6616, "[$-0E0000]yyyy-mm-dd")</f>
        <v/>
      </c>
      <c r="C6617" t="inlineStr">
        <is>
          <t>1918-01-01</t>
        </is>
      </c>
    </row>
    <row r="6618">
      <c r="A6618" s="1" t="n">
        <v>6617</v>
      </c>
      <c r="B6618">
        <f>TEXT(6617, "[$-0E0000]yyyy-mm-dd")</f>
        <v/>
      </c>
      <c r="C6618" t="inlineStr">
        <is>
          <t>1918-01-02</t>
        </is>
      </c>
    </row>
    <row r="6619">
      <c r="A6619" s="1" t="n">
        <v>6618</v>
      </c>
      <c r="B6619">
        <f>TEXT(6618, "[$-0E0000]yyyy-mm-dd")</f>
        <v/>
      </c>
      <c r="C6619" t="inlineStr">
        <is>
          <t>1918-01-03</t>
        </is>
      </c>
    </row>
    <row r="6620">
      <c r="A6620" s="1" t="n">
        <v>6619</v>
      </c>
      <c r="B6620">
        <f>TEXT(6619, "[$-0E0000]yyyy-mm-dd")</f>
        <v/>
      </c>
      <c r="C6620" t="inlineStr">
        <is>
          <t>1918-01-04</t>
        </is>
      </c>
    </row>
    <row r="6621">
      <c r="A6621" s="1" t="n">
        <v>6620</v>
      </c>
      <c r="B6621">
        <f>TEXT(6620, "[$-0E0000]yyyy-mm-dd")</f>
        <v/>
      </c>
      <c r="C6621" t="inlineStr">
        <is>
          <t>1918-01-05</t>
        </is>
      </c>
    </row>
    <row r="6622">
      <c r="A6622" s="1" t="n">
        <v>6621</v>
      </c>
      <c r="B6622">
        <f>TEXT(6621, "[$-0E0000]yyyy-mm-dd")</f>
        <v/>
      </c>
      <c r="C6622" t="inlineStr">
        <is>
          <t>1918-01-06</t>
        </is>
      </c>
    </row>
    <row r="6623">
      <c r="A6623" s="1" t="n">
        <v>6622</v>
      </c>
      <c r="B6623">
        <f>TEXT(6622, "[$-0E0000]yyyy-mm-dd")</f>
        <v/>
      </c>
      <c r="C6623" t="inlineStr">
        <is>
          <t>1918-01-07</t>
        </is>
      </c>
    </row>
    <row r="6624">
      <c r="A6624" s="1" t="n">
        <v>6623</v>
      </c>
      <c r="B6624">
        <f>TEXT(6623, "[$-0E0000]yyyy-mm-dd")</f>
        <v/>
      </c>
      <c r="C6624" t="inlineStr">
        <is>
          <t>1918-01-08</t>
        </is>
      </c>
    </row>
    <row r="6625">
      <c r="A6625" s="1" t="n">
        <v>6624</v>
      </c>
      <c r="B6625">
        <f>TEXT(6624, "[$-0E0000]yyyy-mm-dd")</f>
        <v/>
      </c>
      <c r="C6625" t="inlineStr">
        <is>
          <t>1918-01-09</t>
        </is>
      </c>
    </row>
    <row r="6626">
      <c r="A6626" s="1" t="n">
        <v>6625</v>
      </c>
      <c r="B6626">
        <f>TEXT(6625, "[$-0E0000]yyyy-mm-dd")</f>
        <v/>
      </c>
      <c r="C6626" t="inlineStr">
        <is>
          <t>1918-01-10</t>
        </is>
      </c>
    </row>
    <row r="6627">
      <c r="A6627" s="1" t="n">
        <v>6626</v>
      </c>
      <c r="B6627">
        <f>TEXT(6626, "[$-0E0000]yyyy-mm-dd")</f>
        <v/>
      </c>
      <c r="C6627" t="inlineStr">
        <is>
          <t>1918-01-11</t>
        </is>
      </c>
    </row>
    <row r="6628">
      <c r="A6628" s="1" t="n">
        <v>6627</v>
      </c>
      <c r="B6628">
        <f>TEXT(6627, "[$-0E0000]yyyy-mm-dd")</f>
        <v/>
      </c>
      <c r="C6628" t="inlineStr">
        <is>
          <t>1918-01-12</t>
        </is>
      </c>
    </row>
    <row r="6629">
      <c r="A6629" s="1" t="n">
        <v>6628</v>
      </c>
      <c r="B6629">
        <f>TEXT(6628, "[$-0E0000]yyyy-mm-dd")</f>
        <v/>
      </c>
      <c r="C6629" t="inlineStr">
        <is>
          <t>1918-01-13</t>
        </is>
      </c>
    </row>
    <row r="6630">
      <c r="A6630" s="1" t="n">
        <v>6629</v>
      </c>
      <c r="B6630">
        <f>TEXT(6629, "[$-0E0000]yyyy-mm-dd")</f>
        <v/>
      </c>
      <c r="C6630" t="inlineStr">
        <is>
          <t>1918-01-14</t>
        </is>
      </c>
    </row>
    <row r="6631">
      <c r="A6631" s="1" t="n">
        <v>6630</v>
      </c>
      <c r="B6631">
        <f>TEXT(6630, "[$-0E0000]yyyy-mm-dd")</f>
        <v/>
      </c>
      <c r="C6631" t="inlineStr">
        <is>
          <t>1918-01-15</t>
        </is>
      </c>
    </row>
    <row r="6632">
      <c r="A6632" s="1" t="n">
        <v>6631</v>
      </c>
      <c r="B6632">
        <f>TEXT(6631, "[$-0E0000]yyyy-mm-dd")</f>
        <v/>
      </c>
      <c r="C6632" t="inlineStr">
        <is>
          <t>1918-01-16</t>
        </is>
      </c>
    </row>
    <row r="6633">
      <c r="A6633" s="1" t="n">
        <v>6632</v>
      </c>
      <c r="B6633">
        <f>TEXT(6632, "[$-0E0000]yyyy-mm-dd")</f>
        <v/>
      </c>
      <c r="C6633" t="inlineStr">
        <is>
          <t>1918-01-17</t>
        </is>
      </c>
    </row>
    <row r="6634">
      <c r="A6634" s="1" t="n">
        <v>6633</v>
      </c>
      <c r="B6634">
        <f>TEXT(6633, "[$-0E0000]yyyy-mm-dd")</f>
        <v/>
      </c>
      <c r="C6634" t="inlineStr">
        <is>
          <t>1918-01-18</t>
        </is>
      </c>
    </row>
    <row r="6635">
      <c r="A6635" s="1" t="n">
        <v>6634</v>
      </c>
      <c r="B6635">
        <f>TEXT(6634, "[$-0E0000]yyyy-mm-dd")</f>
        <v/>
      </c>
      <c r="C6635" t="inlineStr">
        <is>
          <t>1918-01-19</t>
        </is>
      </c>
    </row>
    <row r="6636">
      <c r="A6636" s="1" t="n">
        <v>6635</v>
      </c>
      <c r="B6636">
        <f>TEXT(6635, "[$-0E0000]yyyy-mm-dd")</f>
        <v/>
      </c>
      <c r="C6636" t="inlineStr">
        <is>
          <t>1918-01-20</t>
        </is>
      </c>
    </row>
    <row r="6637">
      <c r="A6637" s="1" t="n">
        <v>6636</v>
      </c>
      <c r="B6637">
        <f>TEXT(6636, "[$-0E0000]yyyy-mm-dd")</f>
        <v/>
      </c>
      <c r="C6637" t="inlineStr">
        <is>
          <t>1918-01-21</t>
        </is>
      </c>
    </row>
    <row r="6638">
      <c r="A6638" s="1" t="n">
        <v>6637</v>
      </c>
      <c r="B6638">
        <f>TEXT(6637, "[$-0E0000]yyyy-mm-dd")</f>
        <v/>
      </c>
      <c r="C6638" t="inlineStr">
        <is>
          <t>1918-01-22</t>
        </is>
      </c>
    </row>
    <row r="6639">
      <c r="A6639" s="1" t="n">
        <v>6638</v>
      </c>
      <c r="B6639">
        <f>TEXT(6638, "[$-0E0000]yyyy-mm-dd")</f>
        <v/>
      </c>
      <c r="C6639" t="inlineStr">
        <is>
          <t>1918-01-23</t>
        </is>
      </c>
    </row>
    <row r="6640">
      <c r="A6640" s="1" t="n">
        <v>6639</v>
      </c>
      <c r="B6640">
        <f>TEXT(6639, "[$-0E0000]yyyy-mm-dd")</f>
        <v/>
      </c>
      <c r="C6640" t="inlineStr">
        <is>
          <t>1918-01-24</t>
        </is>
      </c>
    </row>
    <row r="6641">
      <c r="A6641" s="1" t="n">
        <v>6640</v>
      </c>
      <c r="B6641">
        <f>TEXT(6640, "[$-0E0000]yyyy-mm-dd")</f>
        <v/>
      </c>
      <c r="C6641" t="inlineStr">
        <is>
          <t>1918-01-25</t>
        </is>
      </c>
    </row>
    <row r="6642">
      <c r="A6642" s="1" t="n">
        <v>6641</v>
      </c>
      <c r="B6642">
        <f>TEXT(6641, "[$-0E0000]yyyy-mm-dd")</f>
        <v/>
      </c>
      <c r="C6642" t="inlineStr">
        <is>
          <t>1918-01-26</t>
        </is>
      </c>
    </row>
    <row r="6643">
      <c r="A6643" s="1" t="n">
        <v>6642</v>
      </c>
      <c r="B6643">
        <f>TEXT(6642, "[$-0E0000]yyyy-mm-dd")</f>
        <v/>
      </c>
      <c r="C6643" t="inlineStr">
        <is>
          <t>1918-01-27</t>
        </is>
      </c>
    </row>
    <row r="6644">
      <c r="A6644" s="1" t="n">
        <v>6643</v>
      </c>
      <c r="B6644">
        <f>TEXT(6643, "[$-0E0000]yyyy-mm-dd")</f>
        <v/>
      </c>
      <c r="C6644" t="inlineStr">
        <is>
          <t>1918-01-28</t>
        </is>
      </c>
    </row>
    <row r="6645">
      <c r="A6645" s="1" t="n">
        <v>6644</v>
      </c>
      <c r="B6645">
        <f>TEXT(6644, "[$-0E0000]yyyy-mm-dd")</f>
        <v/>
      </c>
      <c r="C6645" t="inlineStr">
        <is>
          <t>1918-01-29</t>
        </is>
      </c>
    </row>
    <row r="6646">
      <c r="A6646" s="1" t="n">
        <v>6645</v>
      </c>
      <c r="B6646">
        <f>TEXT(6645, "[$-0E0000]yyyy-mm-dd")</f>
        <v/>
      </c>
      <c r="C6646" t="inlineStr">
        <is>
          <t>1918-01-30</t>
        </is>
      </c>
    </row>
    <row r="6647">
      <c r="A6647" s="1" t="n">
        <v>6646</v>
      </c>
      <c r="B6647">
        <f>TEXT(6646, "[$-0E0000]yyyy-mm-dd")</f>
        <v/>
      </c>
      <c r="C6647" t="inlineStr">
        <is>
          <t>1918-02-01</t>
        </is>
      </c>
    </row>
    <row r="6648">
      <c r="A6648" s="1" t="n">
        <v>6647</v>
      </c>
      <c r="B6648">
        <f>TEXT(6647, "[$-0E0000]yyyy-mm-dd")</f>
        <v/>
      </c>
      <c r="C6648" t="inlineStr">
        <is>
          <t>1918-02-02</t>
        </is>
      </c>
    </row>
    <row r="6649">
      <c r="A6649" s="1" t="n">
        <v>6648</v>
      </c>
      <c r="B6649">
        <f>TEXT(6648, "[$-0E0000]yyyy-mm-dd")</f>
        <v/>
      </c>
      <c r="C6649" t="inlineStr">
        <is>
          <t>1918-02-03</t>
        </is>
      </c>
    </row>
    <row r="6650">
      <c r="A6650" s="1" t="n">
        <v>6649</v>
      </c>
      <c r="B6650">
        <f>TEXT(6649, "[$-0E0000]yyyy-mm-dd")</f>
        <v/>
      </c>
      <c r="C6650" t="inlineStr">
        <is>
          <t>1918-02-04</t>
        </is>
      </c>
    </row>
    <row r="6651">
      <c r="A6651" s="1" t="n">
        <v>6650</v>
      </c>
      <c r="B6651">
        <f>TEXT(6650, "[$-0E0000]yyyy-mm-dd")</f>
        <v/>
      </c>
      <c r="C6651" t="inlineStr">
        <is>
          <t>1918-02-05</t>
        </is>
      </c>
    </row>
    <row r="6652">
      <c r="A6652" s="1" t="n">
        <v>6651</v>
      </c>
      <c r="B6652">
        <f>TEXT(6651, "[$-0E0000]yyyy-mm-dd")</f>
        <v/>
      </c>
      <c r="C6652" t="inlineStr">
        <is>
          <t>1918-02-06</t>
        </is>
      </c>
    </row>
    <row r="6653">
      <c r="A6653" s="1" t="n">
        <v>6652</v>
      </c>
      <c r="B6653">
        <f>TEXT(6652, "[$-0E0000]yyyy-mm-dd")</f>
        <v/>
      </c>
      <c r="C6653" t="inlineStr">
        <is>
          <t>1918-02-07</t>
        </is>
      </c>
    </row>
    <row r="6654">
      <c r="A6654" s="1" t="n">
        <v>6653</v>
      </c>
      <c r="B6654">
        <f>TEXT(6653, "[$-0E0000]yyyy-mm-dd")</f>
        <v/>
      </c>
      <c r="C6654" t="inlineStr">
        <is>
          <t>1918-02-08</t>
        </is>
      </c>
    </row>
    <row r="6655">
      <c r="A6655" s="1" t="n">
        <v>6654</v>
      </c>
      <c r="B6655">
        <f>TEXT(6654, "[$-0E0000]yyyy-mm-dd")</f>
        <v/>
      </c>
      <c r="C6655" t="inlineStr">
        <is>
          <t>1918-02-09</t>
        </is>
      </c>
    </row>
    <row r="6656">
      <c r="A6656" s="1" t="n">
        <v>6655</v>
      </c>
      <c r="B6656">
        <f>TEXT(6655, "[$-0E0000]yyyy-mm-dd")</f>
        <v/>
      </c>
      <c r="C6656" t="inlineStr">
        <is>
          <t>1918-02-10</t>
        </is>
      </c>
    </row>
    <row r="6657">
      <c r="A6657" s="1" t="n">
        <v>6656</v>
      </c>
      <c r="B6657">
        <f>TEXT(6656, "[$-0E0000]yyyy-mm-dd")</f>
        <v/>
      </c>
      <c r="C6657" t="inlineStr">
        <is>
          <t>1918-02-11</t>
        </is>
      </c>
    </row>
    <row r="6658">
      <c r="A6658" s="1" t="n">
        <v>6657</v>
      </c>
      <c r="B6658">
        <f>TEXT(6657, "[$-0E0000]yyyy-mm-dd")</f>
        <v/>
      </c>
      <c r="C6658" t="inlineStr">
        <is>
          <t>1918-02-12</t>
        </is>
      </c>
    </row>
    <row r="6659">
      <c r="A6659" s="1" t="n">
        <v>6658</v>
      </c>
      <c r="B6659">
        <f>TEXT(6658, "[$-0E0000]yyyy-mm-dd")</f>
        <v/>
      </c>
      <c r="C6659" t="inlineStr">
        <is>
          <t>1918-02-13</t>
        </is>
      </c>
    </row>
    <row r="6660">
      <c r="A6660" s="1" t="n">
        <v>6659</v>
      </c>
      <c r="B6660">
        <f>TEXT(6659, "[$-0E0000]yyyy-mm-dd")</f>
        <v/>
      </c>
      <c r="C6660" t="inlineStr">
        <is>
          <t>1918-02-14</t>
        </is>
      </c>
    </row>
    <row r="6661">
      <c r="A6661" s="1" t="n">
        <v>6660</v>
      </c>
      <c r="B6661">
        <f>TEXT(6660, "[$-0E0000]yyyy-mm-dd")</f>
        <v/>
      </c>
      <c r="C6661" t="inlineStr">
        <is>
          <t>1918-02-15</t>
        </is>
      </c>
    </row>
    <row r="6662">
      <c r="A6662" s="1" t="n">
        <v>6661</v>
      </c>
      <c r="B6662">
        <f>TEXT(6661, "[$-0E0000]yyyy-mm-dd")</f>
        <v/>
      </c>
      <c r="C6662" t="inlineStr">
        <is>
          <t>1918-02-16</t>
        </is>
      </c>
    </row>
    <row r="6663">
      <c r="A6663" s="1" t="n">
        <v>6662</v>
      </c>
      <c r="B6663">
        <f>TEXT(6662, "[$-0E0000]yyyy-mm-dd")</f>
        <v/>
      </c>
      <c r="C6663" t="inlineStr">
        <is>
          <t>1918-02-17</t>
        </is>
      </c>
    </row>
    <row r="6664">
      <c r="A6664" s="1" t="n">
        <v>6663</v>
      </c>
      <c r="B6664">
        <f>TEXT(6663, "[$-0E0000]yyyy-mm-dd")</f>
        <v/>
      </c>
      <c r="C6664" t="inlineStr">
        <is>
          <t>1918-02-18</t>
        </is>
      </c>
    </row>
    <row r="6665">
      <c r="A6665" s="1" t="n">
        <v>6664</v>
      </c>
      <c r="B6665">
        <f>TEXT(6664, "[$-0E0000]yyyy-mm-dd")</f>
        <v/>
      </c>
      <c r="C6665" t="inlineStr">
        <is>
          <t>1918-02-19</t>
        </is>
      </c>
    </row>
    <row r="6666">
      <c r="A6666" s="1" t="n">
        <v>6665</v>
      </c>
      <c r="B6666">
        <f>TEXT(6665, "[$-0E0000]yyyy-mm-dd")</f>
        <v/>
      </c>
      <c r="C6666" t="inlineStr">
        <is>
          <t>1918-02-20</t>
        </is>
      </c>
    </row>
    <row r="6667">
      <c r="A6667" s="1" t="n">
        <v>6666</v>
      </c>
      <c r="B6667">
        <f>TEXT(6666, "[$-0E0000]yyyy-mm-dd")</f>
        <v/>
      </c>
      <c r="C6667" t="inlineStr">
        <is>
          <t>1918-02-21</t>
        </is>
      </c>
    </row>
    <row r="6668">
      <c r="A6668" s="1" t="n">
        <v>6667</v>
      </c>
      <c r="B6668">
        <f>TEXT(6667, "[$-0E0000]yyyy-mm-dd")</f>
        <v/>
      </c>
      <c r="C6668" t="inlineStr">
        <is>
          <t>1918-02-22</t>
        </is>
      </c>
    </row>
    <row r="6669">
      <c r="A6669" s="1" t="n">
        <v>6668</v>
      </c>
      <c r="B6669">
        <f>TEXT(6668, "[$-0E0000]yyyy-mm-dd")</f>
        <v/>
      </c>
      <c r="C6669" t="inlineStr">
        <is>
          <t>1918-02-23</t>
        </is>
      </c>
    </row>
    <row r="6670">
      <c r="A6670" s="1" t="n">
        <v>6669</v>
      </c>
      <c r="B6670">
        <f>TEXT(6669, "[$-0E0000]yyyy-mm-dd")</f>
        <v/>
      </c>
      <c r="C6670" t="inlineStr">
        <is>
          <t>1918-02-24</t>
        </is>
      </c>
    </row>
    <row r="6671">
      <c r="A6671" s="1" t="n">
        <v>6670</v>
      </c>
      <c r="B6671">
        <f>TEXT(6670, "[$-0E0000]yyyy-mm-dd")</f>
        <v/>
      </c>
      <c r="C6671" t="inlineStr">
        <is>
          <t>1918-02-25</t>
        </is>
      </c>
    </row>
    <row r="6672">
      <c r="A6672" s="1" t="n">
        <v>6671</v>
      </c>
      <c r="B6672">
        <f>TEXT(6671, "[$-0E0000]yyyy-mm-dd")</f>
        <v/>
      </c>
      <c r="C6672" t="inlineStr">
        <is>
          <t>1918-02-26</t>
        </is>
      </c>
    </row>
    <row r="6673">
      <c r="A6673" s="1" t="n">
        <v>6672</v>
      </c>
      <c r="B6673">
        <f>TEXT(6672, "[$-0E0000]yyyy-mm-dd")</f>
        <v/>
      </c>
      <c r="C6673" t="inlineStr">
        <is>
          <t>1918-02-27</t>
        </is>
      </c>
    </row>
    <row r="6674">
      <c r="A6674" s="1" t="n">
        <v>6673</v>
      </c>
      <c r="B6674">
        <f>TEXT(6673, "[$-0E0000]yyyy-mm-dd")</f>
        <v/>
      </c>
      <c r="C6674" t="inlineStr">
        <is>
          <t>1918-02-28</t>
        </is>
      </c>
    </row>
    <row r="6675">
      <c r="A6675" s="1" t="n">
        <v>6674</v>
      </c>
      <c r="B6675">
        <f>TEXT(6674, "[$-0E0000]yyyy-mm-dd")</f>
        <v/>
      </c>
      <c r="C6675" t="inlineStr">
        <is>
          <t>1918-02-29</t>
        </is>
      </c>
    </row>
    <row r="6676">
      <c r="A6676" s="1" t="n">
        <v>6675</v>
      </c>
      <c r="B6676">
        <f>TEXT(6675, "[$-0E0000]yyyy-mm-dd")</f>
        <v/>
      </c>
      <c r="C6676" t="inlineStr">
        <is>
          <t>1918-03-01</t>
        </is>
      </c>
    </row>
    <row r="6677">
      <c r="A6677" s="1" t="n">
        <v>6676</v>
      </c>
      <c r="B6677">
        <f>TEXT(6676, "[$-0E0000]yyyy-mm-dd")</f>
        <v/>
      </c>
      <c r="C6677" t="inlineStr">
        <is>
          <t>1918-03-02</t>
        </is>
      </c>
    </row>
    <row r="6678">
      <c r="A6678" s="1" t="n">
        <v>6677</v>
      </c>
      <c r="B6678">
        <f>TEXT(6677, "[$-0E0000]yyyy-mm-dd")</f>
        <v/>
      </c>
      <c r="C6678" t="inlineStr">
        <is>
          <t>1918-03-03</t>
        </is>
      </c>
    </row>
    <row r="6679">
      <c r="A6679" s="1" t="n">
        <v>6678</v>
      </c>
      <c r="B6679">
        <f>TEXT(6678, "[$-0E0000]yyyy-mm-dd")</f>
        <v/>
      </c>
      <c r="C6679" t="inlineStr">
        <is>
          <t>1918-03-04</t>
        </is>
      </c>
    </row>
    <row r="6680">
      <c r="A6680" s="1" t="n">
        <v>6679</v>
      </c>
      <c r="B6680">
        <f>TEXT(6679, "[$-0E0000]yyyy-mm-dd")</f>
        <v/>
      </c>
      <c r="C6680" t="inlineStr">
        <is>
          <t>1918-03-05</t>
        </is>
      </c>
    </row>
    <row r="6681">
      <c r="A6681" s="1" t="n">
        <v>6680</v>
      </c>
      <c r="B6681">
        <f>TEXT(6680, "[$-0E0000]yyyy-mm-dd")</f>
        <v/>
      </c>
      <c r="C6681" t="inlineStr">
        <is>
          <t>1918-03-06</t>
        </is>
      </c>
    </row>
    <row r="6682">
      <c r="A6682" s="1" t="n">
        <v>6681</v>
      </c>
      <c r="B6682">
        <f>TEXT(6681, "[$-0E0000]yyyy-mm-dd")</f>
        <v/>
      </c>
      <c r="C6682" t="inlineStr">
        <is>
          <t>1918-03-07</t>
        </is>
      </c>
    </row>
    <row r="6683">
      <c r="A6683" s="1" t="n">
        <v>6682</v>
      </c>
      <c r="B6683">
        <f>TEXT(6682, "[$-0E0000]yyyy-mm-dd")</f>
        <v/>
      </c>
      <c r="C6683" t="inlineStr">
        <is>
          <t>1918-03-08</t>
        </is>
      </c>
    </row>
    <row r="6684">
      <c r="A6684" s="1" t="n">
        <v>6683</v>
      </c>
      <c r="B6684">
        <f>TEXT(6683, "[$-0E0000]yyyy-mm-dd")</f>
        <v/>
      </c>
      <c r="C6684" t="inlineStr">
        <is>
          <t>1918-03-09</t>
        </is>
      </c>
    </row>
    <row r="6685">
      <c r="A6685" s="1" t="n">
        <v>6684</v>
      </c>
      <c r="B6685">
        <f>TEXT(6684, "[$-0E0000]yyyy-mm-dd")</f>
        <v/>
      </c>
      <c r="C6685" t="inlineStr">
        <is>
          <t>1918-03-10</t>
        </is>
      </c>
    </row>
    <row r="6686">
      <c r="A6686" s="1" t="n">
        <v>6685</v>
      </c>
      <c r="B6686">
        <f>TEXT(6685, "[$-0E0000]yyyy-mm-dd")</f>
        <v/>
      </c>
      <c r="C6686" t="inlineStr">
        <is>
          <t>1918-03-11</t>
        </is>
      </c>
    </row>
    <row r="6687">
      <c r="A6687" s="1" t="n">
        <v>6686</v>
      </c>
      <c r="B6687">
        <f>TEXT(6686, "[$-0E0000]yyyy-mm-dd")</f>
        <v/>
      </c>
      <c r="C6687" t="inlineStr">
        <is>
          <t>1918-03-12</t>
        </is>
      </c>
    </row>
    <row r="6688">
      <c r="A6688" s="1" t="n">
        <v>6687</v>
      </c>
      <c r="B6688">
        <f>TEXT(6687, "[$-0E0000]yyyy-mm-dd")</f>
        <v/>
      </c>
      <c r="C6688" t="inlineStr">
        <is>
          <t>1918-03-13</t>
        </is>
      </c>
    </row>
    <row r="6689">
      <c r="A6689" s="1" t="n">
        <v>6688</v>
      </c>
      <c r="B6689">
        <f>TEXT(6688, "[$-0E0000]yyyy-mm-dd")</f>
        <v/>
      </c>
      <c r="C6689" t="inlineStr">
        <is>
          <t>1918-03-14</t>
        </is>
      </c>
    </row>
    <row r="6690">
      <c r="A6690" s="1" t="n">
        <v>6689</v>
      </c>
      <c r="B6690">
        <f>TEXT(6689, "[$-0E0000]yyyy-mm-dd")</f>
        <v/>
      </c>
      <c r="C6690" t="inlineStr">
        <is>
          <t>1918-03-15</t>
        </is>
      </c>
    </row>
    <row r="6691">
      <c r="A6691" s="1" t="n">
        <v>6690</v>
      </c>
      <c r="B6691">
        <f>TEXT(6690, "[$-0E0000]yyyy-mm-dd")</f>
        <v/>
      </c>
      <c r="C6691" t="inlineStr">
        <is>
          <t>1918-03-16</t>
        </is>
      </c>
    </row>
    <row r="6692">
      <c r="A6692" s="1" t="n">
        <v>6691</v>
      </c>
      <c r="B6692">
        <f>TEXT(6691, "[$-0E0000]yyyy-mm-dd")</f>
        <v/>
      </c>
      <c r="C6692" t="inlineStr">
        <is>
          <t>1918-03-17</t>
        </is>
      </c>
    </row>
    <row r="6693">
      <c r="A6693" s="1" t="n">
        <v>6692</v>
      </c>
      <c r="B6693">
        <f>TEXT(6692, "[$-0E0000]yyyy-mm-dd")</f>
        <v/>
      </c>
      <c r="C6693" t="inlineStr">
        <is>
          <t>1918-03-18</t>
        </is>
      </c>
    </row>
    <row r="6694">
      <c r="A6694" s="1" t="n">
        <v>6693</v>
      </c>
      <c r="B6694">
        <f>TEXT(6693, "[$-0E0000]yyyy-mm-dd")</f>
        <v/>
      </c>
      <c r="C6694" t="inlineStr">
        <is>
          <t>1918-03-19</t>
        </is>
      </c>
    </row>
    <row r="6695">
      <c r="A6695" s="1" t="n">
        <v>6694</v>
      </c>
      <c r="B6695">
        <f>TEXT(6694, "[$-0E0000]yyyy-mm-dd")</f>
        <v/>
      </c>
      <c r="C6695" t="inlineStr">
        <is>
          <t>1918-03-20</t>
        </is>
      </c>
    </row>
    <row r="6696">
      <c r="A6696" s="1" t="n">
        <v>6695</v>
      </c>
      <c r="B6696">
        <f>TEXT(6695, "[$-0E0000]yyyy-mm-dd")</f>
        <v/>
      </c>
      <c r="C6696" t="inlineStr">
        <is>
          <t>1918-03-21</t>
        </is>
      </c>
    </row>
    <row r="6697">
      <c r="A6697" s="1" t="n">
        <v>6696</v>
      </c>
      <c r="B6697">
        <f>TEXT(6696, "[$-0E0000]yyyy-mm-dd")</f>
        <v/>
      </c>
      <c r="C6697" t="inlineStr">
        <is>
          <t>1918-03-22</t>
        </is>
      </c>
    </row>
    <row r="6698">
      <c r="A6698" s="1" t="n">
        <v>6697</v>
      </c>
      <c r="B6698">
        <f>TEXT(6697, "[$-0E0000]yyyy-mm-dd")</f>
        <v/>
      </c>
      <c r="C6698" t="inlineStr">
        <is>
          <t>1918-03-23</t>
        </is>
      </c>
    </row>
    <row r="6699">
      <c r="A6699" s="1" t="n">
        <v>6698</v>
      </c>
      <c r="B6699">
        <f>TEXT(6698, "[$-0E0000]yyyy-mm-dd")</f>
        <v/>
      </c>
      <c r="C6699" t="inlineStr">
        <is>
          <t>1918-03-24</t>
        </is>
      </c>
    </row>
    <row r="6700">
      <c r="A6700" s="1" t="n">
        <v>6699</v>
      </c>
      <c r="B6700">
        <f>TEXT(6699, "[$-0E0000]yyyy-mm-dd")</f>
        <v/>
      </c>
      <c r="C6700" t="inlineStr">
        <is>
          <t>1918-03-25</t>
        </is>
      </c>
    </row>
    <row r="6701">
      <c r="A6701" s="1" t="n">
        <v>6700</v>
      </c>
      <c r="B6701">
        <f>TEXT(6700, "[$-0E0000]yyyy-mm-dd")</f>
        <v/>
      </c>
      <c r="C6701" t="inlineStr">
        <is>
          <t>1918-03-26</t>
        </is>
      </c>
    </row>
    <row r="6702">
      <c r="A6702" s="1" t="n">
        <v>6701</v>
      </c>
      <c r="B6702">
        <f>TEXT(6701, "[$-0E0000]yyyy-mm-dd")</f>
        <v/>
      </c>
      <c r="C6702" t="inlineStr">
        <is>
          <t>1918-03-27</t>
        </is>
      </c>
    </row>
    <row r="6703">
      <c r="A6703" s="1" t="n">
        <v>6702</v>
      </c>
      <c r="B6703">
        <f>TEXT(6702, "[$-0E0000]yyyy-mm-dd")</f>
        <v/>
      </c>
      <c r="C6703" t="inlineStr">
        <is>
          <t>1918-03-28</t>
        </is>
      </c>
    </row>
    <row r="6704">
      <c r="A6704" s="1" t="n">
        <v>6703</v>
      </c>
      <c r="B6704">
        <f>TEXT(6703, "[$-0E0000]yyyy-mm-dd")</f>
        <v/>
      </c>
      <c r="C6704" t="inlineStr">
        <is>
          <t>1918-03-29</t>
        </is>
      </c>
    </row>
    <row r="6705">
      <c r="A6705" s="1" t="n">
        <v>6704</v>
      </c>
      <c r="B6705">
        <f>TEXT(6704, "[$-0E0000]yyyy-mm-dd")</f>
        <v/>
      </c>
      <c r="C6705" t="inlineStr">
        <is>
          <t>1918-04-01</t>
        </is>
      </c>
    </row>
    <row r="6706">
      <c r="A6706" s="1" t="n">
        <v>6705</v>
      </c>
      <c r="B6706">
        <f>TEXT(6705, "[$-0E0000]yyyy-mm-dd")</f>
        <v/>
      </c>
      <c r="C6706" t="inlineStr">
        <is>
          <t>1918-04-02</t>
        </is>
      </c>
    </row>
    <row r="6707">
      <c r="A6707" s="1" t="n">
        <v>6706</v>
      </c>
      <c r="B6707">
        <f>TEXT(6706, "[$-0E0000]yyyy-mm-dd")</f>
        <v/>
      </c>
      <c r="C6707" t="inlineStr">
        <is>
          <t>1918-04-03</t>
        </is>
      </c>
    </row>
    <row r="6708">
      <c r="A6708" s="1" t="n">
        <v>6707</v>
      </c>
      <c r="B6708">
        <f>TEXT(6707, "[$-0E0000]yyyy-mm-dd")</f>
        <v/>
      </c>
      <c r="C6708" t="inlineStr">
        <is>
          <t>1918-04-04</t>
        </is>
      </c>
    </row>
    <row r="6709">
      <c r="A6709" s="1" t="n">
        <v>6708</v>
      </c>
      <c r="B6709">
        <f>TEXT(6708, "[$-0E0000]yyyy-mm-dd")</f>
        <v/>
      </c>
      <c r="C6709" t="inlineStr">
        <is>
          <t>1918-04-05</t>
        </is>
      </c>
    </row>
    <row r="6710">
      <c r="A6710" s="1" t="n">
        <v>6709</v>
      </c>
      <c r="B6710">
        <f>TEXT(6709, "[$-0E0000]yyyy-mm-dd")</f>
        <v/>
      </c>
      <c r="C6710" t="inlineStr">
        <is>
          <t>1918-04-06</t>
        </is>
      </c>
    </row>
    <row r="6711">
      <c r="A6711" s="1" t="n">
        <v>6710</v>
      </c>
      <c r="B6711">
        <f>TEXT(6710, "[$-0E0000]yyyy-mm-dd")</f>
        <v/>
      </c>
      <c r="C6711" t="inlineStr">
        <is>
          <t>1918-04-07</t>
        </is>
      </c>
    </row>
    <row r="6712">
      <c r="A6712" s="1" t="n">
        <v>6711</v>
      </c>
      <c r="B6712">
        <f>TEXT(6711, "[$-0E0000]yyyy-mm-dd")</f>
        <v/>
      </c>
      <c r="C6712" t="inlineStr">
        <is>
          <t>1918-04-08</t>
        </is>
      </c>
    </row>
    <row r="6713">
      <c r="A6713" s="1" t="n">
        <v>6712</v>
      </c>
      <c r="B6713">
        <f>TEXT(6712, "[$-0E0000]yyyy-mm-dd")</f>
        <v/>
      </c>
      <c r="C6713" t="inlineStr">
        <is>
          <t>1918-04-09</t>
        </is>
      </c>
    </row>
    <row r="6714">
      <c r="A6714" s="1" t="n">
        <v>6713</v>
      </c>
      <c r="B6714">
        <f>TEXT(6713, "[$-0E0000]yyyy-mm-dd")</f>
        <v/>
      </c>
      <c r="C6714" t="inlineStr">
        <is>
          <t>1918-04-10</t>
        </is>
      </c>
    </row>
    <row r="6715">
      <c r="A6715" s="1" t="n">
        <v>6714</v>
      </c>
      <c r="B6715">
        <f>TEXT(6714, "[$-0E0000]yyyy-mm-dd")</f>
        <v/>
      </c>
      <c r="C6715" t="inlineStr">
        <is>
          <t>1918-04-11</t>
        </is>
      </c>
    </row>
    <row r="6716">
      <c r="A6716" s="1" t="n">
        <v>6715</v>
      </c>
      <c r="B6716">
        <f>TEXT(6715, "[$-0E0000]yyyy-mm-dd")</f>
        <v/>
      </c>
      <c r="C6716" t="inlineStr">
        <is>
          <t>1918-04-12</t>
        </is>
      </c>
    </row>
    <row r="6717">
      <c r="A6717" s="1" t="n">
        <v>6716</v>
      </c>
      <c r="B6717">
        <f>TEXT(6716, "[$-0E0000]yyyy-mm-dd")</f>
        <v/>
      </c>
      <c r="C6717" t="inlineStr">
        <is>
          <t>1918-04-13</t>
        </is>
      </c>
    </row>
    <row r="6718">
      <c r="A6718" s="1" t="n">
        <v>6717</v>
      </c>
      <c r="B6718">
        <f>TEXT(6717, "[$-0E0000]yyyy-mm-dd")</f>
        <v/>
      </c>
      <c r="C6718" t="inlineStr">
        <is>
          <t>1918-04-14</t>
        </is>
      </c>
    </row>
    <row r="6719">
      <c r="A6719" s="1" t="n">
        <v>6718</v>
      </c>
      <c r="B6719">
        <f>TEXT(6718, "[$-0E0000]yyyy-mm-dd")</f>
        <v/>
      </c>
      <c r="C6719" t="inlineStr">
        <is>
          <t>1918-04-15</t>
        </is>
      </c>
    </row>
    <row r="6720">
      <c r="A6720" s="1" t="n">
        <v>6719</v>
      </c>
      <c r="B6720">
        <f>TEXT(6719, "[$-0E0000]yyyy-mm-dd")</f>
        <v/>
      </c>
      <c r="C6720" t="inlineStr">
        <is>
          <t>1918-04-16</t>
        </is>
      </c>
    </row>
    <row r="6721">
      <c r="A6721" s="1" t="n">
        <v>6720</v>
      </c>
      <c r="B6721">
        <f>TEXT(6720, "[$-0E0000]yyyy-mm-dd")</f>
        <v/>
      </c>
      <c r="C6721" t="inlineStr">
        <is>
          <t>1918-04-17</t>
        </is>
      </c>
    </row>
    <row r="6722">
      <c r="A6722" s="1" t="n">
        <v>6721</v>
      </c>
      <c r="B6722">
        <f>TEXT(6721, "[$-0E0000]yyyy-mm-dd")</f>
        <v/>
      </c>
      <c r="C6722" t="inlineStr">
        <is>
          <t>1918-04-18</t>
        </is>
      </c>
    </row>
    <row r="6723">
      <c r="A6723" s="1" t="n">
        <v>6722</v>
      </c>
      <c r="B6723">
        <f>TEXT(6722, "[$-0E0000]yyyy-mm-dd")</f>
        <v/>
      </c>
      <c r="C6723" t="inlineStr">
        <is>
          <t>1918-04-19</t>
        </is>
      </c>
    </row>
    <row r="6724">
      <c r="A6724" s="1" t="n">
        <v>6723</v>
      </c>
      <c r="B6724">
        <f>TEXT(6723, "[$-0E0000]yyyy-mm-dd")</f>
        <v/>
      </c>
      <c r="C6724" t="inlineStr">
        <is>
          <t>1918-04-20</t>
        </is>
      </c>
    </row>
    <row r="6725">
      <c r="A6725" s="1" t="n">
        <v>6724</v>
      </c>
      <c r="B6725">
        <f>TEXT(6724, "[$-0E0000]yyyy-mm-dd")</f>
        <v/>
      </c>
      <c r="C6725" t="inlineStr">
        <is>
          <t>1918-04-21</t>
        </is>
      </c>
    </row>
    <row r="6726">
      <c r="A6726" s="1" t="n">
        <v>6725</v>
      </c>
      <c r="B6726">
        <f>TEXT(6725, "[$-0E0000]yyyy-mm-dd")</f>
        <v/>
      </c>
      <c r="C6726" t="inlineStr">
        <is>
          <t>1918-04-22</t>
        </is>
      </c>
    </row>
    <row r="6727">
      <c r="A6727" s="1" t="n">
        <v>6726</v>
      </c>
      <c r="B6727">
        <f>TEXT(6726, "[$-0E0000]yyyy-mm-dd")</f>
        <v/>
      </c>
      <c r="C6727" t="inlineStr">
        <is>
          <t>1918-04-23</t>
        </is>
      </c>
    </row>
    <row r="6728">
      <c r="A6728" s="1" t="n">
        <v>6727</v>
      </c>
      <c r="B6728">
        <f>TEXT(6727, "[$-0E0000]yyyy-mm-dd")</f>
        <v/>
      </c>
      <c r="C6728" t="inlineStr">
        <is>
          <t>1918-04-24</t>
        </is>
      </c>
    </row>
    <row r="6729">
      <c r="A6729" s="1" t="n">
        <v>6728</v>
      </c>
      <c r="B6729">
        <f>TEXT(6728, "[$-0E0000]yyyy-mm-dd")</f>
        <v/>
      </c>
      <c r="C6729" t="inlineStr">
        <is>
          <t>1918-04-25</t>
        </is>
      </c>
    </row>
    <row r="6730">
      <c r="A6730" s="1" t="n">
        <v>6729</v>
      </c>
      <c r="B6730">
        <f>TEXT(6729, "[$-0E0000]yyyy-mm-dd")</f>
        <v/>
      </c>
      <c r="C6730" t="inlineStr">
        <is>
          <t>1918-04-26</t>
        </is>
      </c>
    </row>
    <row r="6731">
      <c r="A6731" s="1" t="n">
        <v>6730</v>
      </c>
      <c r="B6731">
        <f>TEXT(6730, "[$-0E0000]yyyy-mm-dd")</f>
        <v/>
      </c>
      <c r="C6731" t="inlineStr">
        <is>
          <t>1918-04-27</t>
        </is>
      </c>
    </row>
    <row r="6732">
      <c r="A6732" s="1" t="n">
        <v>6731</v>
      </c>
      <c r="B6732">
        <f>TEXT(6731, "[$-0E0000]yyyy-mm-dd")</f>
        <v/>
      </c>
      <c r="C6732" t="inlineStr">
        <is>
          <t>1918-04-28</t>
        </is>
      </c>
    </row>
    <row r="6733">
      <c r="A6733" s="1" t="n">
        <v>6732</v>
      </c>
      <c r="B6733">
        <f>TEXT(6732, "[$-0E0000]yyyy-mm-dd")</f>
        <v/>
      </c>
      <c r="C6733" t="inlineStr">
        <is>
          <t>1918-04-29</t>
        </is>
      </c>
    </row>
    <row r="6734">
      <c r="A6734" s="1" t="n">
        <v>6733</v>
      </c>
      <c r="B6734">
        <f>TEXT(6733, "[$-0E0000]yyyy-mm-dd")</f>
        <v/>
      </c>
      <c r="C6734" t="inlineStr">
        <is>
          <t>1918-04-30</t>
        </is>
      </c>
    </row>
    <row r="6735">
      <c r="A6735" s="1" t="n">
        <v>6734</v>
      </c>
      <c r="B6735">
        <f>TEXT(6734, "[$-0E0000]yyyy-mm-dd")</f>
        <v/>
      </c>
      <c r="C6735" t="inlineStr">
        <is>
          <t>1918-05-01</t>
        </is>
      </c>
    </row>
    <row r="6736">
      <c r="A6736" s="1" t="n">
        <v>6735</v>
      </c>
      <c r="B6736">
        <f>TEXT(6735, "[$-0E0000]yyyy-mm-dd")</f>
        <v/>
      </c>
      <c r="C6736" t="inlineStr">
        <is>
          <t>1918-05-02</t>
        </is>
      </c>
    </row>
    <row r="6737">
      <c r="A6737" s="1" t="n">
        <v>6736</v>
      </c>
      <c r="B6737">
        <f>TEXT(6736, "[$-0E0000]yyyy-mm-dd")</f>
        <v/>
      </c>
      <c r="C6737" t="inlineStr">
        <is>
          <t>1918-05-03</t>
        </is>
      </c>
    </row>
    <row r="6738">
      <c r="A6738" s="1" t="n">
        <v>6737</v>
      </c>
      <c r="B6738">
        <f>TEXT(6737, "[$-0E0000]yyyy-mm-dd")</f>
        <v/>
      </c>
      <c r="C6738" t="inlineStr">
        <is>
          <t>1918-05-04</t>
        </is>
      </c>
    </row>
    <row r="6739">
      <c r="A6739" s="1" t="n">
        <v>6738</v>
      </c>
      <c r="B6739">
        <f>TEXT(6738, "[$-0E0000]yyyy-mm-dd")</f>
        <v/>
      </c>
      <c r="C6739" t="inlineStr">
        <is>
          <t>1918-05-05</t>
        </is>
      </c>
    </row>
    <row r="6740">
      <c r="A6740" s="1" t="n">
        <v>6739</v>
      </c>
      <c r="B6740">
        <f>TEXT(6739, "[$-0E0000]yyyy-mm-dd")</f>
        <v/>
      </c>
      <c r="C6740" t="inlineStr">
        <is>
          <t>1918-05-06</t>
        </is>
      </c>
    </row>
    <row r="6741">
      <c r="A6741" s="1" t="n">
        <v>6740</v>
      </c>
      <c r="B6741">
        <f>TEXT(6740, "[$-0E0000]yyyy-mm-dd")</f>
        <v/>
      </c>
      <c r="C6741" t="inlineStr">
        <is>
          <t>1918-05-07</t>
        </is>
      </c>
    </row>
    <row r="6742">
      <c r="A6742" s="1" t="n">
        <v>6741</v>
      </c>
      <c r="B6742">
        <f>TEXT(6741, "[$-0E0000]yyyy-mm-dd")</f>
        <v/>
      </c>
      <c r="C6742" t="inlineStr">
        <is>
          <t>1918-05-08</t>
        </is>
      </c>
    </row>
    <row r="6743">
      <c r="A6743" s="1" t="n">
        <v>6742</v>
      </c>
      <c r="B6743">
        <f>TEXT(6742, "[$-0E0000]yyyy-mm-dd")</f>
        <v/>
      </c>
      <c r="C6743" t="inlineStr">
        <is>
          <t>1918-05-09</t>
        </is>
      </c>
    </row>
    <row r="6744">
      <c r="A6744" s="1" t="n">
        <v>6743</v>
      </c>
      <c r="B6744">
        <f>TEXT(6743, "[$-0E0000]yyyy-mm-dd")</f>
        <v/>
      </c>
      <c r="C6744" t="inlineStr">
        <is>
          <t>1918-05-10</t>
        </is>
      </c>
    </row>
    <row r="6745">
      <c r="A6745" s="1" t="n">
        <v>6744</v>
      </c>
      <c r="B6745">
        <f>TEXT(6744, "[$-0E0000]yyyy-mm-dd")</f>
        <v/>
      </c>
      <c r="C6745" t="inlineStr">
        <is>
          <t>1918-05-11</t>
        </is>
      </c>
    </row>
    <row r="6746">
      <c r="A6746" s="1" t="n">
        <v>6745</v>
      </c>
      <c r="B6746">
        <f>TEXT(6745, "[$-0E0000]yyyy-mm-dd")</f>
        <v/>
      </c>
      <c r="C6746" t="inlineStr">
        <is>
          <t>1918-05-12</t>
        </is>
      </c>
    </row>
    <row r="6747">
      <c r="A6747" s="1" t="n">
        <v>6746</v>
      </c>
      <c r="B6747">
        <f>TEXT(6746, "[$-0E0000]yyyy-mm-dd")</f>
        <v/>
      </c>
      <c r="C6747" t="inlineStr">
        <is>
          <t>1918-05-13</t>
        </is>
      </c>
    </row>
    <row r="6748">
      <c r="A6748" s="1" t="n">
        <v>6747</v>
      </c>
      <c r="B6748">
        <f>TEXT(6747, "[$-0E0000]yyyy-mm-dd")</f>
        <v/>
      </c>
      <c r="C6748" t="inlineStr">
        <is>
          <t>1918-05-14</t>
        </is>
      </c>
    </row>
    <row r="6749">
      <c r="A6749" s="1" t="n">
        <v>6748</v>
      </c>
      <c r="B6749">
        <f>TEXT(6748, "[$-0E0000]yyyy-mm-dd")</f>
        <v/>
      </c>
      <c r="C6749" t="inlineStr">
        <is>
          <t>1918-05-15</t>
        </is>
      </c>
    </row>
    <row r="6750">
      <c r="A6750" s="1" t="n">
        <v>6749</v>
      </c>
      <c r="B6750">
        <f>TEXT(6749, "[$-0E0000]yyyy-mm-dd")</f>
        <v/>
      </c>
      <c r="C6750" t="inlineStr">
        <is>
          <t>1918-05-16</t>
        </is>
      </c>
    </row>
    <row r="6751">
      <c r="A6751" s="1" t="n">
        <v>6750</v>
      </c>
      <c r="B6751">
        <f>TEXT(6750, "[$-0E0000]yyyy-mm-dd")</f>
        <v/>
      </c>
      <c r="C6751" t="inlineStr">
        <is>
          <t>1918-05-17</t>
        </is>
      </c>
    </row>
    <row r="6752">
      <c r="A6752" s="1" t="n">
        <v>6751</v>
      </c>
      <c r="B6752">
        <f>TEXT(6751, "[$-0E0000]yyyy-mm-dd")</f>
        <v/>
      </c>
      <c r="C6752" t="inlineStr">
        <is>
          <t>1918-05-18</t>
        </is>
      </c>
    </row>
    <row r="6753">
      <c r="A6753" s="1" t="n">
        <v>6752</v>
      </c>
      <c r="B6753">
        <f>TEXT(6752, "[$-0E0000]yyyy-mm-dd")</f>
        <v/>
      </c>
      <c r="C6753" t="inlineStr">
        <is>
          <t>1918-05-19</t>
        </is>
      </c>
    </row>
    <row r="6754">
      <c r="A6754" s="1" t="n">
        <v>6753</v>
      </c>
      <c r="B6754">
        <f>TEXT(6753, "[$-0E0000]yyyy-mm-dd")</f>
        <v/>
      </c>
      <c r="C6754" t="inlineStr">
        <is>
          <t>1918-05-20</t>
        </is>
      </c>
    </row>
    <row r="6755">
      <c r="A6755" s="1" t="n">
        <v>6754</v>
      </c>
      <c r="B6755">
        <f>TEXT(6754, "[$-0E0000]yyyy-mm-dd")</f>
        <v/>
      </c>
      <c r="C6755" t="inlineStr">
        <is>
          <t>1918-05-21</t>
        </is>
      </c>
    </row>
    <row r="6756">
      <c r="A6756" s="1" t="n">
        <v>6755</v>
      </c>
      <c r="B6756">
        <f>TEXT(6755, "[$-0E0000]yyyy-mm-dd")</f>
        <v/>
      </c>
      <c r="C6756" t="inlineStr">
        <is>
          <t>1918-05-22</t>
        </is>
      </c>
    </row>
    <row r="6757">
      <c r="A6757" s="1" t="n">
        <v>6756</v>
      </c>
      <c r="B6757">
        <f>TEXT(6756, "[$-0E0000]yyyy-mm-dd")</f>
        <v/>
      </c>
      <c r="C6757" t="inlineStr">
        <is>
          <t>1918-05-23</t>
        </is>
      </c>
    </row>
    <row r="6758">
      <c r="A6758" s="1" t="n">
        <v>6757</v>
      </c>
      <c r="B6758">
        <f>TEXT(6757, "[$-0E0000]yyyy-mm-dd")</f>
        <v/>
      </c>
      <c r="C6758" t="inlineStr">
        <is>
          <t>1918-05-24</t>
        </is>
      </c>
    </row>
    <row r="6759">
      <c r="A6759" s="1" t="n">
        <v>6758</v>
      </c>
      <c r="B6759">
        <f>TEXT(6758, "[$-0E0000]yyyy-mm-dd")</f>
        <v/>
      </c>
      <c r="C6759" t="inlineStr">
        <is>
          <t>1918-05-25</t>
        </is>
      </c>
    </row>
    <row r="6760">
      <c r="A6760" s="1" t="n">
        <v>6759</v>
      </c>
      <c r="B6760">
        <f>TEXT(6759, "[$-0E0000]yyyy-mm-dd")</f>
        <v/>
      </c>
      <c r="C6760" t="inlineStr">
        <is>
          <t>1918-05-26</t>
        </is>
      </c>
    </row>
    <row r="6761">
      <c r="A6761" s="1" t="n">
        <v>6760</v>
      </c>
      <c r="B6761">
        <f>TEXT(6760, "[$-0E0000]yyyy-mm-dd")</f>
        <v/>
      </c>
      <c r="C6761" t="inlineStr">
        <is>
          <t>1918-05-27</t>
        </is>
      </c>
    </row>
    <row r="6762">
      <c r="A6762" s="1" t="n">
        <v>6761</v>
      </c>
      <c r="B6762">
        <f>TEXT(6761, "[$-0E0000]yyyy-mm-dd")</f>
        <v/>
      </c>
      <c r="C6762" t="inlineStr">
        <is>
          <t>1918-05-28</t>
        </is>
      </c>
    </row>
    <row r="6763">
      <c r="A6763" s="1" t="n">
        <v>6762</v>
      </c>
      <c r="B6763">
        <f>TEXT(6762, "[$-0E0000]yyyy-mm-dd")</f>
        <v/>
      </c>
      <c r="C6763" t="inlineStr">
        <is>
          <t>1918-05-29</t>
        </is>
      </c>
    </row>
    <row r="6764">
      <c r="A6764" s="1" t="n">
        <v>6763</v>
      </c>
      <c r="B6764">
        <f>TEXT(6763, "[$-0E0000]yyyy-mm-dd")</f>
        <v/>
      </c>
      <c r="C6764" t="inlineStr">
        <is>
          <t>1918-06-01</t>
        </is>
      </c>
    </row>
    <row r="6765">
      <c r="A6765" s="1" t="n">
        <v>6764</v>
      </c>
      <c r="B6765">
        <f>TEXT(6764, "[$-0E0000]yyyy-mm-dd")</f>
        <v/>
      </c>
      <c r="C6765" t="inlineStr">
        <is>
          <t>1918-06-02</t>
        </is>
      </c>
    </row>
    <row r="6766">
      <c r="A6766" s="1" t="n">
        <v>6765</v>
      </c>
      <c r="B6766">
        <f>TEXT(6765, "[$-0E0000]yyyy-mm-dd")</f>
        <v/>
      </c>
      <c r="C6766" t="inlineStr">
        <is>
          <t>1918-06-03</t>
        </is>
      </c>
    </row>
    <row r="6767">
      <c r="A6767" s="1" t="n">
        <v>6766</v>
      </c>
      <c r="B6767">
        <f>TEXT(6766, "[$-0E0000]yyyy-mm-dd")</f>
        <v/>
      </c>
      <c r="C6767" t="inlineStr">
        <is>
          <t>1918-06-04</t>
        </is>
      </c>
    </row>
    <row r="6768">
      <c r="A6768" s="1" t="n">
        <v>6767</v>
      </c>
      <c r="B6768">
        <f>TEXT(6767, "[$-0E0000]yyyy-mm-dd")</f>
        <v/>
      </c>
      <c r="C6768" t="inlineStr">
        <is>
          <t>1918-06-05</t>
        </is>
      </c>
    </row>
    <row r="6769">
      <c r="A6769" s="1" t="n">
        <v>6768</v>
      </c>
      <c r="B6769">
        <f>TEXT(6768, "[$-0E0000]yyyy-mm-dd")</f>
        <v/>
      </c>
      <c r="C6769" t="inlineStr">
        <is>
          <t>1918-06-06</t>
        </is>
      </c>
    </row>
    <row r="6770">
      <c r="A6770" s="1" t="n">
        <v>6769</v>
      </c>
      <c r="B6770">
        <f>TEXT(6769, "[$-0E0000]yyyy-mm-dd")</f>
        <v/>
      </c>
      <c r="C6770" t="inlineStr">
        <is>
          <t>1918-06-07</t>
        </is>
      </c>
    </row>
    <row r="6771">
      <c r="A6771" s="1" t="n">
        <v>6770</v>
      </c>
      <c r="B6771">
        <f>TEXT(6770, "[$-0E0000]yyyy-mm-dd")</f>
        <v/>
      </c>
      <c r="C6771" t="inlineStr">
        <is>
          <t>1918-06-08</t>
        </is>
      </c>
    </row>
    <row r="6772">
      <c r="A6772" s="1" t="n">
        <v>6771</v>
      </c>
      <c r="B6772">
        <f>TEXT(6771, "[$-0E0000]yyyy-mm-dd")</f>
        <v/>
      </c>
      <c r="C6772" t="inlineStr">
        <is>
          <t>1918-06-09</t>
        </is>
      </c>
    </row>
    <row r="6773">
      <c r="A6773" s="1" t="n">
        <v>6772</v>
      </c>
      <c r="B6773">
        <f>TEXT(6772, "[$-0E0000]yyyy-mm-dd")</f>
        <v/>
      </c>
      <c r="C6773" t="inlineStr">
        <is>
          <t>1918-06-10</t>
        </is>
      </c>
    </row>
    <row r="6774">
      <c r="A6774" s="1" t="n">
        <v>6773</v>
      </c>
      <c r="B6774">
        <f>TEXT(6773, "[$-0E0000]yyyy-mm-dd")</f>
        <v/>
      </c>
      <c r="C6774" t="inlineStr">
        <is>
          <t>1918-06-11</t>
        </is>
      </c>
    </row>
    <row r="6775">
      <c r="A6775" s="1" t="n">
        <v>6774</v>
      </c>
      <c r="B6775">
        <f>TEXT(6774, "[$-0E0000]yyyy-mm-dd")</f>
        <v/>
      </c>
      <c r="C6775" t="inlineStr">
        <is>
          <t>1918-06-12</t>
        </is>
      </c>
    </row>
    <row r="6776">
      <c r="A6776" s="1" t="n">
        <v>6775</v>
      </c>
      <c r="B6776">
        <f>TEXT(6775, "[$-0E0000]yyyy-mm-dd")</f>
        <v/>
      </c>
      <c r="C6776" t="inlineStr">
        <is>
          <t>1918-06-13</t>
        </is>
      </c>
    </row>
    <row r="6777">
      <c r="A6777" s="1" t="n">
        <v>6776</v>
      </c>
      <c r="B6777">
        <f>TEXT(6776, "[$-0E0000]yyyy-mm-dd")</f>
        <v/>
      </c>
      <c r="C6777" t="inlineStr">
        <is>
          <t>1918-06-14</t>
        </is>
      </c>
    </row>
    <row r="6778">
      <c r="A6778" s="1" t="n">
        <v>6777</v>
      </c>
      <c r="B6778">
        <f>TEXT(6777, "[$-0E0000]yyyy-mm-dd")</f>
        <v/>
      </c>
      <c r="C6778" t="inlineStr">
        <is>
          <t>1918-06-15</t>
        </is>
      </c>
    </row>
    <row r="6779">
      <c r="A6779" s="1" t="n">
        <v>6778</v>
      </c>
      <c r="B6779">
        <f>TEXT(6778, "[$-0E0000]yyyy-mm-dd")</f>
        <v/>
      </c>
      <c r="C6779" t="inlineStr">
        <is>
          <t>1918-06-16</t>
        </is>
      </c>
    </row>
    <row r="6780">
      <c r="A6780" s="1" t="n">
        <v>6779</v>
      </c>
      <c r="B6780">
        <f>TEXT(6779, "[$-0E0000]yyyy-mm-dd")</f>
        <v/>
      </c>
      <c r="C6780" t="inlineStr">
        <is>
          <t>1918-06-17</t>
        </is>
      </c>
    </row>
    <row r="6781">
      <c r="A6781" s="1" t="n">
        <v>6780</v>
      </c>
      <c r="B6781">
        <f>TEXT(6780, "[$-0E0000]yyyy-mm-dd")</f>
        <v/>
      </c>
      <c r="C6781" t="inlineStr">
        <is>
          <t>1918-06-18</t>
        </is>
      </c>
    </row>
    <row r="6782">
      <c r="A6782" s="1" t="n">
        <v>6781</v>
      </c>
      <c r="B6782">
        <f>TEXT(6781, "[$-0E0000]yyyy-mm-dd")</f>
        <v/>
      </c>
      <c r="C6782" t="inlineStr">
        <is>
          <t>1918-06-19</t>
        </is>
      </c>
    </row>
    <row r="6783">
      <c r="A6783" s="1" t="n">
        <v>6782</v>
      </c>
      <c r="B6783">
        <f>TEXT(6782, "[$-0E0000]yyyy-mm-dd")</f>
        <v/>
      </c>
      <c r="C6783" t="inlineStr">
        <is>
          <t>1918-06-20</t>
        </is>
      </c>
    </row>
    <row r="6784">
      <c r="A6784" s="1" t="n">
        <v>6783</v>
      </c>
      <c r="B6784">
        <f>TEXT(6783, "[$-0E0000]yyyy-mm-dd")</f>
        <v/>
      </c>
      <c r="C6784" t="inlineStr">
        <is>
          <t>1918-06-21</t>
        </is>
      </c>
    </row>
    <row r="6785">
      <c r="A6785" s="1" t="n">
        <v>6784</v>
      </c>
      <c r="B6785">
        <f>TEXT(6784, "[$-0E0000]yyyy-mm-dd")</f>
        <v/>
      </c>
      <c r="C6785" t="inlineStr">
        <is>
          <t>1918-06-22</t>
        </is>
      </c>
    </row>
    <row r="6786">
      <c r="A6786" s="1" t="n">
        <v>6785</v>
      </c>
      <c r="B6786">
        <f>TEXT(6785, "[$-0E0000]yyyy-mm-dd")</f>
        <v/>
      </c>
      <c r="C6786" t="inlineStr">
        <is>
          <t>1918-06-23</t>
        </is>
      </c>
    </row>
    <row r="6787">
      <c r="A6787" s="1" t="n">
        <v>6786</v>
      </c>
      <c r="B6787">
        <f>TEXT(6786, "[$-0E0000]yyyy-mm-dd")</f>
        <v/>
      </c>
      <c r="C6787" t="inlineStr">
        <is>
          <t>1918-06-24</t>
        </is>
      </c>
    </row>
    <row r="6788">
      <c r="A6788" s="1" t="n">
        <v>6787</v>
      </c>
      <c r="B6788">
        <f>TEXT(6787, "[$-0E0000]yyyy-mm-dd")</f>
        <v/>
      </c>
      <c r="C6788" t="inlineStr">
        <is>
          <t>1918-06-25</t>
        </is>
      </c>
    </row>
    <row r="6789">
      <c r="A6789" s="1" t="n">
        <v>6788</v>
      </c>
      <c r="B6789">
        <f>TEXT(6788, "[$-0E0000]yyyy-mm-dd")</f>
        <v/>
      </c>
      <c r="C6789" t="inlineStr">
        <is>
          <t>1918-06-26</t>
        </is>
      </c>
    </row>
    <row r="6790">
      <c r="A6790" s="1" t="n">
        <v>6789</v>
      </c>
      <c r="B6790">
        <f>TEXT(6789, "[$-0E0000]yyyy-mm-dd")</f>
        <v/>
      </c>
      <c r="C6790" t="inlineStr">
        <is>
          <t>1918-06-27</t>
        </is>
      </c>
    </row>
    <row r="6791">
      <c r="A6791" s="1" t="n">
        <v>6790</v>
      </c>
      <c r="B6791">
        <f>TEXT(6790, "[$-0E0000]yyyy-mm-dd")</f>
        <v/>
      </c>
      <c r="C6791" t="inlineStr">
        <is>
          <t>1918-06-28</t>
        </is>
      </c>
    </row>
    <row r="6792">
      <c r="A6792" s="1" t="n">
        <v>6791</v>
      </c>
      <c r="B6792">
        <f>TEXT(6791, "[$-0E0000]yyyy-mm-dd")</f>
        <v/>
      </c>
      <c r="C6792" t="inlineStr">
        <is>
          <t>1918-06-29</t>
        </is>
      </c>
    </row>
    <row r="6793">
      <c r="A6793" s="1" t="n">
        <v>6792</v>
      </c>
      <c r="B6793">
        <f>TEXT(6792, "[$-0E0000]yyyy-mm-dd")</f>
        <v/>
      </c>
      <c r="C6793" t="inlineStr">
        <is>
          <t>1918-06-30</t>
        </is>
      </c>
    </row>
    <row r="6794">
      <c r="A6794" s="1" t="n">
        <v>6793</v>
      </c>
      <c r="B6794">
        <f>TEXT(6793, "[$-0E0000]yyyy-mm-dd")</f>
        <v/>
      </c>
      <c r="C6794" t="inlineStr">
        <is>
          <t>1918-07-01</t>
        </is>
      </c>
    </row>
    <row r="6795">
      <c r="A6795" s="1" t="n">
        <v>6794</v>
      </c>
      <c r="B6795">
        <f>TEXT(6794, "[$-0E0000]yyyy-mm-dd")</f>
        <v/>
      </c>
      <c r="C6795" t="inlineStr">
        <is>
          <t>1918-07-02</t>
        </is>
      </c>
    </row>
    <row r="6796">
      <c r="A6796" s="1" t="n">
        <v>6795</v>
      </c>
      <c r="B6796">
        <f>TEXT(6795, "[$-0E0000]yyyy-mm-dd")</f>
        <v/>
      </c>
      <c r="C6796" t="inlineStr">
        <is>
          <t>1918-07-03</t>
        </is>
      </c>
    </row>
    <row r="6797">
      <c r="A6797" s="1" t="n">
        <v>6796</v>
      </c>
      <c r="B6797">
        <f>TEXT(6796, "[$-0E0000]yyyy-mm-dd")</f>
        <v/>
      </c>
      <c r="C6797" t="inlineStr">
        <is>
          <t>1918-07-04</t>
        </is>
      </c>
    </row>
    <row r="6798">
      <c r="A6798" s="1" t="n">
        <v>6797</v>
      </c>
      <c r="B6798">
        <f>TEXT(6797, "[$-0E0000]yyyy-mm-dd")</f>
        <v/>
      </c>
      <c r="C6798" t="inlineStr">
        <is>
          <t>1918-07-05</t>
        </is>
      </c>
    </row>
    <row r="6799">
      <c r="A6799" s="1" t="n">
        <v>6798</v>
      </c>
      <c r="B6799">
        <f>TEXT(6798, "[$-0E0000]yyyy-mm-dd")</f>
        <v/>
      </c>
      <c r="C6799" t="inlineStr">
        <is>
          <t>1918-07-06</t>
        </is>
      </c>
    </row>
    <row r="6800">
      <c r="A6800" s="1" t="n">
        <v>6799</v>
      </c>
      <c r="B6800">
        <f>TEXT(6799, "[$-0E0000]yyyy-mm-dd")</f>
        <v/>
      </c>
      <c r="C6800" t="inlineStr">
        <is>
          <t>1918-07-07</t>
        </is>
      </c>
    </row>
    <row r="6801">
      <c r="A6801" s="1" t="n">
        <v>6800</v>
      </c>
      <c r="B6801">
        <f>TEXT(6800, "[$-0E0000]yyyy-mm-dd")</f>
        <v/>
      </c>
      <c r="C6801" t="inlineStr">
        <is>
          <t>1918-07-08</t>
        </is>
      </c>
    </row>
    <row r="6802">
      <c r="A6802" s="1" t="n">
        <v>6801</v>
      </c>
      <c r="B6802">
        <f>TEXT(6801, "[$-0E0000]yyyy-mm-dd")</f>
        <v/>
      </c>
      <c r="C6802" t="inlineStr">
        <is>
          <t>1918-07-09</t>
        </is>
      </c>
    </row>
    <row r="6803">
      <c r="A6803" s="1" t="n">
        <v>6802</v>
      </c>
      <c r="B6803">
        <f>TEXT(6802, "[$-0E0000]yyyy-mm-dd")</f>
        <v/>
      </c>
      <c r="C6803" t="inlineStr">
        <is>
          <t>1918-07-10</t>
        </is>
      </c>
    </row>
    <row r="6804">
      <c r="A6804" s="1" t="n">
        <v>6803</v>
      </c>
      <c r="B6804">
        <f>TEXT(6803, "[$-0E0000]yyyy-mm-dd")</f>
        <v/>
      </c>
      <c r="C6804" t="inlineStr">
        <is>
          <t>1918-07-11</t>
        </is>
      </c>
    </row>
    <row r="6805">
      <c r="A6805" s="1" t="n">
        <v>6804</v>
      </c>
      <c r="B6805">
        <f>TEXT(6804, "[$-0E0000]yyyy-mm-dd")</f>
        <v/>
      </c>
      <c r="C6805" t="inlineStr">
        <is>
          <t>1918-07-12</t>
        </is>
      </c>
    </row>
    <row r="6806">
      <c r="A6806" s="1" t="n">
        <v>6805</v>
      </c>
      <c r="B6806">
        <f>TEXT(6805, "[$-0E0000]yyyy-mm-dd")</f>
        <v/>
      </c>
      <c r="C6806" t="inlineStr">
        <is>
          <t>1918-07-13</t>
        </is>
      </c>
    </row>
    <row r="6807">
      <c r="A6807" s="1" t="n">
        <v>6806</v>
      </c>
      <c r="B6807">
        <f>TEXT(6806, "[$-0E0000]yyyy-mm-dd")</f>
        <v/>
      </c>
      <c r="C6807" t="inlineStr">
        <is>
          <t>1918-07-14</t>
        </is>
      </c>
    </row>
    <row r="6808">
      <c r="A6808" s="1" t="n">
        <v>6807</v>
      </c>
      <c r="B6808">
        <f>TEXT(6807, "[$-0E0000]yyyy-mm-dd")</f>
        <v/>
      </c>
      <c r="C6808" t="inlineStr">
        <is>
          <t>1918-07-15</t>
        </is>
      </c>
    </row>
    <row r="6809">
      <c r="A6809" s="1" t="n">
        <v>6808</v>
      </c>
      <c r="B6809">
        <f>TEXT(6808, "[$-0E0000]yyyy-mm-dd")</f>
        <v/>
      </c>
      <c r="C6809" t="inlineStr">
        <is>
          <t>1918-07-16</t>
        </is>
      </c>
    </row>
    <row r="6810">
      <c r="A6810" s="1" t="n">
        <v>6809</v>
      </c>
      <c r="B6810">
        <f>TEXT(6809, "[$-0E0000]yyyy-mm-dd")</f>
        <v/>
      </c>
      <c r="C6810" t="inlineStr">
        <is>
          <t>1918-07-17</t>
        </is>
      </c>
    </row>
    <row r="6811">
      <c r="A6811" s="1" t="n">
        <v>6810</v>
      </c>
      <c r="B6811">
        <f>TEXT(6810, "[$-0E0000]yyyy-mm-dd")</f>
        <v/>
      </c>
      <c r="C6811" t="inlineStr">
        <is>
          <t>1918-07-18</t>
        </is>
      </c>
    </row>
    <row r="6812">
      <c r="A6812" s="1" t="n">
        <v>6811</v>
      </c>
      <c r="B6812">
        <f>TEXT(6811, "[$-0E0000]yyyy-mm-dd")</f>
        <v/>
      </c>
      <c r="C6812" t="inlineStr">
        <is>
          <t>1918-07-19</t>
        </is>
      </c>
    </row>
    <row r="6813">
      <c r="A6813" s="1" t="n">
        <v>6812</v>
      </c>
      <c r="B6813">
        <f>TEXT(6812, "[$-0E0000]yyyy-mm-dd")</f>
        <v/>
      </c>
      <c r="C6813" t="inlineStr">
        <is>
          <t>1918-07-20</t>
        </is>
      </c>
    </row>
    <row r="6814">
      <c r="A6814" s="1" t="n">
        <v>6813</v>
      </c>
      <c r="B6814">
        <f>TEXT(6813, "[$-0E0000]yyyy-mm-dd")</f>
        <v/>
      </c>
      <c r="C6814" t="inlineStr">
        <is>
          <t>1918-07-21</t>
        </is>
      </c>
    </row>
    <row r="6815">
      <c r="A6815" s="1" t="n">
        <v>6814</v>
      </c>
      <c r="B6815">
        <f>TEXT(6814, "[$-0E0000]yyyy-mm-dd")</f>
        <v/>
      </c>
      <c r="C6815" t="inlineStr">
        <is>
          <t>1918-07-22</t>
        </is>
      </c>
    </row>
    <row r="6816">
      <c r="A6816" s="1" t="n">
        <v>6815</v>
      </c>
      <c r="B6816">
        <f>TEXT(6815, "[$-0E0000]yyyy-mm-dd")</f>
        <v/>
      </c>
      <c r="C6816" t="inlineStr">
        <is>
          <t>1918-07-23</t>
        </is>
      </c>
    </row>
    <row r="6817">
      <c r="A6817" s="1" t="n">
        <v>6816</v>
      </c>
      <c r="B6817">
        <f>TEXT(6816, "[$-0E0000]yyyy-mm-dd")</f>
        <v/>
      </c>
      <c r="C6817" t="inlineStr">
        <is>
          <t>1918-07-24</t>
        </is>
      </c>
    </row>
    <row r="6818">
      <c r="A6818" s="1" t="n">
        <v>6817</v>
      </c>
      <c r="B6818">
        <f>TEXT(6817, "[$-0E0000]yyyy-mm-dd")</f>
        <v/>
      </c>
      <c r="C6818" t="inlineStr">
        <is>
          <t>1918-07-25</t>
        </is>
      </c>
    </row>
    <row r="6819">
      <c r="A6819" s="1" t="n">
        <v>6818</v>
      </c>
      <c r="B6819">
        <f>TEXT(6818, "[$-0E0000]yyyy-mm-dd")</f>
        <v/>
      </c>
      <c r="C6819" t="inlineStr">
        <is>
          <t>1918-07-26</t>
        </is>
      </c>
    </row>
    <row r="6820">
      <c r="A6820" s="1" t="n">
        <v>6819</v>
      </c>
      <c r="B6820">
        <f>TEXT(6819, "[$-0E0000]yyyy-mm-dd")</f>
        <v/>
      </c>
      <c r="C6820" t="inlineStr">
        <is>
          <t>1918-07-27</t>
        </is>
      </c>
    </row>
    <row r="6821">
      <c r="A6821" s="1" t="n">
        <v>6820</v>
      </c>
      <c r="B6821">
        <f>TEXT(6820, "[$-0E0000]yyyy-mm-dd")</f>
        <v/>
      </c>
      <c r="C6821" t="inlineStr">
        <is>
          <t>1918-07-28</t>
        </is>
      </c>
    </row>
    <row r="6822">
      <c r="A6822" s="1" t="n">
        <v>6821</v>
      </c>
      <c r="B6822">
        <f>TEXT(6821, "[$-0E0000]yyyy-mm-dd")</f>
        <v/>
      </c>
      <c r="C6822" t="inlineStr">
        <is>
          <t>1918-07-29</t>
        </is>
      </c>
    </row>
    <row r="6823">
      <c r="A6823" s="1" t="n">
        <v>6822</v>
      </c>
      <c r="B6823">
        <f>TEXT(6822, "[$-0E0000]yyyy-mm-dd")</f>
        <v/>
      </c>
      <c r="C6823" t="inlineStr">
        <is>
          <t>1918-08-01</t>
        </is>
      </c>
    </row>
    <row r="6824">
      <c r="A6824" s="1" t="n">
        <v>6823</v>
      </c>
      <c r="B6824">
        <f>TEXT(6823, "[$-0E0000]yyyy-mm-dd")</f>
        <v/>
      </c>
      <c r="C6824" t="inlineStr">
        <is>
          <t>1918-08-02</t>
        </is>
      </c>
    </row>
    <row r="6825">
      <c r="A6825" s="1" t="n">
        <v>6824</v>
      </c>
      <c r="B6825">
        <f>TEXT(6824, "[$-0E0000]yyyy-mm-dd")</f>
        <v/>
      </c>
      <c r="C6825" t="inlineStr">
        <is>
          <t>1918-08-03</t>
        </is>
      </c>
    </row>
    <row r="6826">
      <c r="A6826" s="1" t="n">
        <v>6825</v>
      </c>
      <c r="B6826">
        <f>TEXT(6825, "[$-0E0000]yyyy-mm-dd")</f>
        <v/>
      </c>
      <c r="C6826" t="inlineStr">
        <is>
          <t>1918-08-04</t>
        </is>
      </c>
    </row>
    <row r="6827">
      <c r="A6827" s="1" t="n">
        <v>6826</v>
      </c>
      <c r="B6827">
        <f>TEXT(6826, "[$-0E0000]yyyy-mm-dd")</f>
        <v/>
      </c>
      <c r="C6827" t="inlineStr">
        <is>
          <t>1918-08-05</t>
        </is>
      </c>
    </row>
    <row r="6828">
      <c r="A6828" s="1" t="n">
        <v>6827</v>
      </c>
      <c r="B6828">
        <f>TEXT(6827, "[$-0E0000]yyyy-mm-dd")</f>
        <v/>
      </c>
      <c r="C6828" t="inlineStr">
        <is>
          <t>1918-08-06</t>
        </is>
      </c>
    </row>
    <row r="6829">
      <c r="A6829" s="1" t="n">
        <v>6828</v>
      </c>
      <c r="B6829">
        <f>TEXT(6828, "[$-0E0000]yyyy-mm-dd")</f>
        <v/>
      </c>
      <c r="C6829" t="inlineStr">
        <is>
          <t>1918-08-07</t>
        </is>
      </c>
    </row>
    <row r="6830">
      <c r="A6830" s="1" t="n">
        <v>6829</v>
      </c>
      <c r="B6830">
        <f>TEXT(6829, "[$-0E0000]yyyy-mm-dd")</f>
        <v/>
      </c>
      <c r="C6830" t="inlineStr">
        <is>
          <t>1918-08-08</t>
        </is>
      </c>
    </row>
    <row r="6831">
      <c r="A6831" s="1" t="n">
        <v>6830</v>
      </c>
      <c r="B6831">
        <f>TEXT(6830, "[$-0E0000]yyyy-mm-dd")</f>
        <v/>
      </c>
      <c r="C6831" t="inlineStr">
        <is>
          <t>1918-08-09</t>
        </is>
      </c>
    </row>
    <row r="6832">
      <c r="A6832" s="1" t="n">
        <v>6831</v>
      </c>
      <c r="B6832">
        <f>TEXT(6831, "[$-0E0000]yyyy-mm-dd")</f>
        <v/>
      </c>
      <c r="C6832" t="inlineStr">
        <is>
          <t>1918-08-10</t>
        </is>
      </c>
    </row>
    <row r="6833">
      <c r="A6833" s="1" t="n">
        <v>6832</v>
      </c>
      <c r="B6833">
        <f>TEXT(6832, "[$-0E0000]yyyy-mm-dd")</f>
        <v/>
      </c>
      <c r="C6833" t="inlineStr">
        <is>
          <t>1918-08-11</t>
        </is>
      </c>
    </row>
    <row r="6834">
      <c r="A6834" s="1" t="n">
        <v>6833</v>
      </c>
      <c r="B6834">
        <f>TEXT(6833, "[$-0E0000]yyyy-mm-dd")</f>
        <v/>
      </c>
      <c r="C6834" t="inlineStr">
        <is>
          <t>1918-08-12</t>
        </is>
      </c>
    </row>
    <row r="6835">
      <c r="A6835" s="1" t="n">
        <v>6834</v>
      </c>
      <c r="B6835">
        <f>TEXT(6834, "[$-0E0000]yyyy-mm-dd")</f>
        <v/>
      </c>
      <c r="C6835" t="inlineStr">
        <is>
          <t>1918-08-13</t>
        </is>
      </c>
    </row>
    <row r="6836">
      <c r="A6836" s="1" t="n">
        <v>6835</v>
      </c>
      <c r="B6836">
        <f>TEXT(6835, "[$-0E0000]yyyy-mm-dd")</f>
        <v/>
      </c>
      <c r="C6836" t="inlineStr">
        <is>
          <t>1918-08-14</t>
        </is>
      </c>
    </row>
    <row r="6837">
      <c r="A6837" s="1" t="n">
        <v>6836</v>
      </c>
      <c r="B6837">
        <f>TEXT(6836, "[$-0E0000]yyyy-mm-dd")</f>
        <v/>
      </c>
      <c r="C6837" t="inlineStr">
        <is>
          <t>1918-08-15</t>
        </is>
      </c>
    </row>
    <row r="6838">
      <c r="A6838" s="1" t="n">
        <v>6837</v>
      </c>
      <c r="B6838">
        <f>TEXT(6837, "[$-0E0000]yyyy-mm-dd")</f>
        <v/>
      </c>
      <c r="C6838" t="inlineStr">
        <is>
          <t>1918-08-16</t>
        </is>
      </c>
    </row>
    <row r="6839">
      <c r="A6839" s="1" t="n">
        <v>6838</v>
      </c>
      <c r="B6839">
        <f>TEXT(6838, "[$-0E0000]yyyy-mm-dd")</f>
        <v/>
      </c>
      <c r="C6839" t="inlineStr">
        <is>
          <t>1918-08-17</t>
        </is>
      </c>
    </row>
    <row r="6840">
      <c r="A6840" s="1" t="n">
        <v>6839</v>
      </c>
      <c r="B6840">
        <f>TEXT(6839, "[$-0E0000]yyyy-mm-dd")</f>
        <v/>
      </c>
      <c r="C6840" t="inlineStr">
        <is>
          <t>1918-08-18</t>
        </is>
      </c>
    </row>
    <row r="6841">
      <c r="A6841" s="1" t="n">
        <v>6840</v>
      </c>
      <c r="B6841">
        <f>TEXT(6840, "[$-0E0000]yyyy-mm-dd")</f>
        <v/>
      </c>
      <c r="C6841" t="inlineStr">
        <is>
          <t>1918-08-19</t>
        </is>
      </c>
    </row>
    <row r="6842">
      <c r="A6842" s="1" t="n">
        <v>6841</v>
      </c>
      <c r="B6842">
        <f>TEXT(6841, "[$-0E0000]yyyy-mm-dd")</f>
        <v/>
      </c>
      <c r="C6842" t="inlineStr">
        <is>
          <t>1918-08-20</t>
        </is>
      </c>
    </row>
    <row r="6843">
      <c r="A6843" s="1" t="n">
        <v>6842</v>
      </c>
      <c r="B6843">
        <f>TEXT(6842, "[$-0E0000]yyyy-mm-dd")</f>
        <v/>
      </c>
      <c r="C6843" t="inlineStr">
        <is>
          <t>1918-08-21</t>
        </is>
      </c>
    </row>
    <row r="6844">
      <c r="A6844" s="1" t="n">
        <v>6843</v>
      </c>
      <c r="B6844">
        <f>TEXT(6843, "[$-0E0000]yyyy-mm-dd")</f>
        <v/>
      </c>
      <c r="C6844" t="inlineStr">
        <is>
          <t>1918-08-22</t>
        </is>
      </c>
    </row>
    <row r="6845">
      <c r="A6845" s="1" t="n">
        <v>6844</v>
      </c>
      <c r="B6845">
        <f>TEXT(6844, "[$-0E0000]yyyy-mm-dd")</f>
        <v/>
      </c>
      <c r="C6845" t="inlineStr">
        <is>
          <t>1918-08-23</t>
        </is>
      </c>
    </row>
    <row r="6846">
      <c r="A6846" s="1" t="n">
        <v>6845</v>
      </c>
      <c r="B6846">
        <f>TEXT(6845, "[$-0E0000]yyyy-mm-dd")</f>
        <v/>
      </c>
      <c r="C6846" t="inlineStr">
        <is>
          <t>1918-08-24</t>
        </is>
      </c>
    </row>
    <row r="6847">
      <c r="A6847" s="1" t="n">
        <v>6846</v>
      </c>
      <c r="B6847">
        <f>TEXT(6846, "[$-0E0000]yyyy-mm-dd")</f>
        <v/>
      </c>
      <c r="C6847" t="inlineStr">
        <is>
          <t>1918-08-25</t>
        </is>
      </c>
    </row>
    <row r="6848">
      <c r="A6848" s="1" t="n">
        <v>6847</v>
      </c>
      <c r="B6848">
        <f>TEXT(6847, "[$-0E0000]yyyy-mm-dd")</f>
        <v/>
      </c>
      <c r="C6848" t="inlineStr">
        <is>
          <t>1918-08-26</t>
        </is>
      </c>
    </row>
    <row r="6849">
      <c r="A6849" s="1" t="n">
        <v>6848</v>
      </c>
      <c r="B6849">
        <f>TEXT(6848, "[$-0E0000]yyyy-mm-dd")</f>
        <v/>
      </c>
      <c r="C6849" t="inlineStr">
        <is>
          <t>1918-08-27</t>
        </is>
      </c>
    </row>
    <row r="6850">
      <c r="A6850" s="1" t="n">
        <v>6849</v>
      </c>
      <c r="B6850">
        <f>TEXT(6849, "[$-0E0000]yyyy-mm-dd")</f>
        <v/>
      </c>
      <c r="C6850" t="inlineStr">
        <is>
          <t>1918-08-28</t>
        </is>
      </c>
    </row>
    <row r="6851">
      <c r="A6851" s="1" t="n">
        <v>6850</v>
      </c>
      <c r="B6851">
        <f>TEXT(6850, "[$-0E0000]yyyy-mm-dd")</f>
        <v/>
      </c>
      <c r="C6851" t="inlineStr">
        <is>
          <t>1918-08-29</t>
        </is>
      </c>
    </row>
    <row r="6852">
      <c r="A6852" s="1" t="n">
        <v>6851</v>
      </c>
      <c r="B6852">
        <f>TEXT(6851, "[$-0E0000]yyyy-mm-dd")</f>
        <v/>
      </c>
      <c r="C6852" t="inlineStr">
        <is>
          <t>1918-08-30</t>
        </is>
      </c>
    </row>
    <row r="6853">
      <c r="A6853" s="1" t="n">
        <v>6852</v>
      </c>
      <c r="B6853">
        <f>TEXT(6852, "[$-0E0000]yyyy-mm-dd")</f>
        <v/>
      </c>
      <c r="C6853" t="inlineStr">
        <is>
          <t>1918-09-01</t>
        </is>
      </c>
    </row>
    <row r="6854">
      <c r="A6854" s="1" t="n">
        <v>6853</v>
      </c>
      <c r="B6854">
        <f>TEXT(6853, "[$-0E0000]yyyy-mm-dd")</f>
        <v/>
      </c>
      <c r="C6854" t="inlineStr">
        <is>
          <t>1918-09-02</t>
        </is>
      </c>
    </row>
    <row r="6855">
      <c r="A6855" s="1" t="n">
        <v>6854</v>
      </c>
      <c r="B6855">
        <f>TEXT(6854, "[$-0E0000]yyyy-mm-dd")</f>
        <v/>
      </c>
      <c r="C6855" t="inlineStr">
        <is>
          <t>1918-09-03</t>
        </is>
      </c>
    </row>
    <row r="6856">
      <c r="A6856" s="1" t="n">
        <v>6855</v>
      </c>
      <c r="B6856">
        <f>TEXT(6855, "[$-0E0000]yyyy-mm-dd")</f>
        <v/>
      </c>
      <c r="C6856" t="inlineStr">
        <is>
          <t>1918-09-04</t>
        </is>
      </c>
    </row>
    <row r="6857">
      <c r="A6857" s="1" t="n">
        <v>6856</v>
      </c>
      <c r="B6857">
        <f>TEXT(6856, "[$-0E0000]yyyy-mm-dd")</f>
        <v/>
      </c>
      <c r="C6857" t="inlineStr">
        <is>
          <t>1918-09-05</t>
        </is>
      </c>
    </row>
    <row r="6858">
      <c r="A6858" s="1" t="n">
        <v>6857</v>
      </c>
      <c r="B6858">
        <f>TEXT(6857, "[$-0E0000]yyyy-mm-dd")</f>
        <v/>
      </c>
      <c r="C6858" t="inlineStr">
        <is>
          <t>1918-09-06</t>
        </is>
      </c>
    </row>
    <row r="6859">
      <c r="A6859" s="1" t="n">
        <v>6858</v>
      </c>
      <c r="B6859">
        <f>TEXT(6858, "[$-0E0000]yyyy-mm-dd")</f>
        <v/>
      </c>
      <c r="C6859" t="inlineStr">
        <is>
          <t>1918-09-07</t>
        </is>
      </c>
    </row>
    <row r="6860">
      <c r="A6860" s="1" t="n">
        <v>6859</v>
      </c>
      <c r="B6860">
        <f>TEXT(6859, "[$-0E0000]yyyy-mm-dd")</f>
        <v/>
      </c>
      <c r="C6860" t="inlineStr">
        <is>
          <t>1918-09-08</t>
        </is>
      </c>
    </row>
    <row r="6861">
      <c r="A6861" s="1" t="n">
        <v>6860</v>
      </c>
      <c r="B6861">
        <f>TEXT(6860, "[$-0E0000]yyyy-mm-dd")</f>
        <v/>
      </c>
      <c r="C6861" t="inlineStr">
        <is>
          <t>1918-09-09</t>
        </is>
      </c>
    </row>
    <row r="6862">
      <c r="A6862" s="1" t="n">
        <v>6861</v>
      </c>
      <c r="B6862">
        <f>TEXT(6861, "[$-0E0000]yyyy-mm-dd")</f>
        <v/>
      </c>
      <c r="C6862" t="inlineStr">
        <is>
          <t>1918-09-10</t>
        </is>
      </c>
    </row>
    <row r="6863">
      <c r="A6863" s="1" t="n">
        <v>6862</v>
      </c>
      <c r="B6863">
        <f>TEXT(6862, "[$-0E0000]yyyy-mm-dd")</f>
        <v/>
      </c>
      <c r="C6863" t="inlineStr">
        <is>
          <t>1918-09-11</t>
        </is>
      </c>
    </row>
    <row r="6864">
      <c r="A6864" s="1" t="n">
        <v>6863</v>
      </c>
      <c r="B6864">
        <f>TEXT(6863, "[$-0E0000]yyyy-mm-dd")</f>
        <v/>
      </c>
      <c r="C6864" t="inlineStr">
        <is>
          <t>1918-09-12</t>
        </is>
      </c>
    </row>
    <row r="6865">
      <c r="A6865" s="1" t="n">
        <v>6864</v>
      </c>
      <c r="B6865">
        <f>TEXT(6864, "[$-0E0000]yyyy-mm-dd")</f>
        <v/>
      </c>
      <c r="C6865" t="inlineStr">
        <is>
          <t>1918-09-13</t>
        </is>
      </c>
    </row>
    <row r="6866">
      <c r="A6866" s="1" t="n">
        <v>6865</v>
      </c>
      <c r="B6866">
        <f>TEXT(6865, "[$-0E0000]yyyy-mm-dd")</f>
        <v/>
      </c>
      <c r="C6866" t="inlineStr">
        <is>
          <t>1918-09-14</t>
        </is>
      </c>
    </row>
    <row r="6867">
      <c r="A6867" s="1" t="n">
        <v>6866</v>
      </c>
      <c r="B6867">
        <f>TEXT(6866, "[$-0E0000]yyyy-mm-dd")</f>
        <v/>
      </c>
      <c r="C6867" t="inlineStr">
        <is>
          <t>1918-09-15</t>
        </is>
      </c>
    </row>
    <row r="6868">
      <c r="A6868" s="1" t="n">
        <v>6867</v>
      </c>
      <c r="B6868">
        <f>TEXT(6867, "[$-0E0000]yyyy-mm-dd")</f>
        <v/>
      </c>
      <c r="C6868" t="inlineStr">
        <is>
          <t>1918-09-16</t>
        </is>
      </c>
    </row>
    <row r="6869">
      <c r="A6869" s="1" t="n">
        <v>6868</v>
      </c>
      <c r="B6869">
        <f>TEXT(6868, "[$-0E0000]yyyy-mm-dd")</f>
        <v/>
      </c>
      <c r="C6869" t="inlineStr">
        <is>
          <t>1918-09-17</t>
        </is>
      </c>
    </row>
    <row r="6870">
      <c r="A6870" s="1" t="n">
        <v>6869</v>
      </c>
      <c r="B6870">
        <f>TEXT(6869, "[$-0E0000]yyyy-mm-dd")</f>
        <v/>
      </c>
      <c r="C6870" t="inlineStr">
        <is>
          <t>1918-09-18</t>
        </is>
      </c>
    </row>
    <row r="6871">
      <c r="A6871" s="1" t="n">
        <v>6870</v>
      </c>
      <c r="B6871">
        <f>TEXT(6870, "[$-0E0000]yyyy-mm-dd")</f>
        <v/>
      </c>
      <c r="C6871" t="inlineStr">
        <is>
          <t>1918-09-19</t>
        </is>
      </c>
    </row>
    <row r="6872">
      <c r="A6872" s="1" t="n">
        <v>6871</v>
      </c>
      <c r="B6872">
        <f>TEXT(6871, "[$-0E0000]yyyy-mm-dd")</f>
        <v/>
      </c>
      <c r="C6872" t="inlineStr">
        <is>
          <t>1918-09-20</t>
        </is>
      </c>
    </row>
    <row r="6873">
      <c r="A6873" s="1" t="n">
        <v>6872</v>
      </c>
      <c r="B6873">
        <f>TEXT(6872, "[$-0E0000]yyyy-mm-dd")</f>
        <v/>
      </c>
      <c r="C6873" t="inlineStr">
        <is>
          <t>1918-09-21</t>
        </is>
      </c>
    </row>
    <row r="6874">
      <c r="A6874" s="1" t="n">
        <v>6873</v>
      </c>
      <c r="B6874">
        <f>TEXT(6873, "[$-0E0000]yyyy-mm-dd")</f>
        <v/>
      </c>
      <c r="C6874" t="inlineStr">
        <is>
          <t>1918-09-22</t>
        </is>
      </c>
    </row>
    <row r="6875">
      <c r="A6875" s="1" t="n">
        <v>6874</v>
      </c>
      <c r="B6875">
        <f>TEXT(6874, "[$-0E0000]yyyy-mm-dd")</f>
        <v/>
      </c>
      <c r="C6875" t="inlineStr">
        <is>
          <t>1918-09-23</t>
        </is>
      </c>
    </row>
    <row r="6876">
      <c r="A6876" s="1" t="n">
        <v>6875</v>
      </c>
      <c r="B6876">
        <f>TEXT(6875, "[$-0E0000]yyyy-mm-dd")</f>
        <v/>
      </c>
      <c r="C6876" t="inlineStr">
        <is>
          <t>1918-09-24</t>
        </is>
      </c>
    </row>
    <row r="6877">
      <c r="A6877" s="1" t="n">
        <v>6876</v>
      </c>
      <c r="B6877">
        <f>TEXT(6876, "[$-0E0000]yyyy-mm-dd")</f>
        <v/>
      </c>
      <c r="C6877" t="inlineStr">
        <is>
          <t>1918-09-25</t>
        </is>
      </c>
    </row>
    <row r="6878">
      <c r="A6878" s="1" t="n">
        <v>6877</v>
      </c>
      <c r="B6878">
        <f>TEXT(6877, "[$-0E0000]yyyy-mm-dd")</f>
        <v/>
      </c>
      <c r="C6878" t="inlineStr">
        <is>
          <t>1918-09-26</t>
        </is>
      </c>
    </row>
    <row r="6879">
      <c r="A6879" s="1" t="n">
        <v>6878</v>
      </c>
      <c r="B6879">
        <f>TEXT(6878, "[$-0E0000]yyyy-mm-dd")</f>
        <v/>
      </c>
      <c r="C6879" t="inlineStr">
        <is>
          <t>1918-09-27</t>
        </is>
      </c>
    </row>
    <row r="6880">
      <c r="A6880" s="1" t="n">
        <v>6879</v>
      </c>
      <c r="B6880">
        <f>TEXT(6879, "[$-0E0000]yyyy-mm-dd")</f>
        <v/>
      </c>
      <c r="C6880" t="inlineStr">
        <is>
          <t>1918-09-28</t>
        </is>
      </c>
    </row>
    <row r="6881">
      <c r="A6881" s="1" t="n">
        <v>6880</v>
      </c>
      <c r="B6881">
        <f>TEXT(6880, "[$-0E0000]yyyy-mm-dd")</f>
        <v/>
      </c>
      <c r="C6881" t="inlineStr">
        <is>
          <t>1918-09-29</t>
        </is>
      </c>
    </row>
    <row r="6882">
      <c r="A6882" s="1" t="n">
        <v>6881</v>
      </c>
      <c r="B6882">
        <f>TEXT(6881, "[$-0E0000]yyyy-mm-dd")</f>
        <v/>
      </c>
      <c r="C6882" t="inlineStr">
        <is>
          <t>1918-09-30</t>
        </is>
      </c>
    </row>
    <row r="6883">
      <c r="A6883" s="1" t="n">
        <v>6882</v>
      </c>
      <c r="B6883">
        <f>TEXT(6882, "[$-0E0000]yyyy-mm-dd")</f>
        <v/>
      </c>
      <c r="C6883" t="inlineStr">
        <is>
          <t>1918-10-01</t>
        </is>
      </c>
    </row>
    <row r="6884">
      <c r="A6884" s="1" t="n">
        <v>6883</v>
      </c>
      <c r="B6884">
        <f>TEXT(6883, "[$-0E0000]yyyy-mm-dd")</f>
        <v/>
      </c>
      <c r="C6884" t="inlineStr">
        <is>
          <t>1918-10-02</t>
        </is>
      </c>
    </row>
    <row r="6885">
      <c r="A6885" s="1" t="n">
        <v>6884</v>
      </c>
      <c r="B6885">
        <f>TEXT(6884, "[$-0E0000]yyyy-mm-dd")</f>
        <v/>
      </c>
      <c r="C6885" t="inlineStr">
        <is>
          <t>1918-10-03</t>
        </is>
      </c>
    </row>
    <row r="6886">
      <c r="A6886" s="1" t="n">
        <v>6885</v>
      </c>
      <c r="B6886">
        <f>TEXT(6885, "[$-0E0000]yyyy-mm-dd")</f>
        <v/>
      </c>
      <c r="C6886" t="inlineStr">
        <is>
          <t>1918-10-04</t>
        </is>
      </c>
    </row>
    <row r="6887">
      <c r="A6887" s="1" t="n">
        <v>6886</v>
      </c>
      <c r="B6887">
        <f>TEXT(6886, "[$-0E0000]yyyy-mm-dd")</f>
        <v/>
      </c>
      <c r="C6887" t="inlineStr">
        <is>
          <t>1918-10-05</t>
        </is>
      </c>
    </row>
    <row r="6888">
      <c r="A6888" s="1" t="n">
        <v>6887</v>
      </c>
      <c r="B6888">
        <f>TEXT(6887, "[$-0E0000]yyyy-mm-dd")</f>
        <v/>
      </c>
      <c r="C6888" t="inlineStr">
        <is>
          <t>1918-10-06</t>
        </is>
      </c>
    </row>
    <row r="6889">
      <c r="A6889" s="1" t="n">
        <v>6888</v>
      </c>
      <c r="B6889">
        <f>TEXT(6888, "[$-0E0000]yyyy-mm-dd")</f>
        <v/>
      </c>
      <c r="C6889" t="inlineStr">
        <is>
          <t>1918-10-07</t>
        </is>
      </c>
    </row>
    <row r="6890">
      <c r="A6890" s="1" t="n">
        <v>6889</v>
      </c>
      <c r="B6890">
        <f>TEXT(6889, "[$-0E0000]yyyy-mm-dd")</f>
        <v/>
      </c>
      <c r="C6890" t="inlineStr">
        <is>
          <t>1918-10-08</t>
        </is>
      </c>
    </row>
    <row r="6891">
      <c r="A6891" s="1" t="n">
        <v>6890</v>
      </c>
      <c r="B6891">
        <f>TEXT(6890, "[$-0E0000]yyyy-mm-dd")</f>
        <v/>
      </c>
      <c r="C6891" t="inlineStr">
        <is>
          <t>1918-10-09</t>
        </is>
      </c>
    </row>
    <row r="6892">
      <c r="A6892" s="1" t="n">
        <v>6891</v>
      </c>
      <c r="B6892">
        <f>TEXT(6891, "[$-0E0000]yyyy-mm-dd")</f>
        <v/>
      </c>
      <c r="C6892" t="inlineStr">
        <is>
          <t>1918-10-10</t>
        </is>
      </c>
    </row>
    <row r="6893">
      <c r="A6893" s="1" t="n">
        <v>6892</v>
      </c>
      <c r="B6893">
        <f>TEXT(6892, "[$-0E0000]yyyy-mm-dd")</f>
        <v/>
      </c>
      <c r="C6893" t="inlineStr">
        <is>
          <t>1918-10-11</t>
        </is>
      </c>
    </row>
    <row r="6894">
      <c r="A6894" s="1" t="n">
        <v>6893</v>
      </c>
      <c r="B6894">
        <f>TEXT(6893, "[$-0E0000]yyyy-mm-dd")</f>
        <v/>
      </c>
      <c r="C6894" t="inlineStr">
        <is>
          <t>1918-10-12</t>
        </is>
      </c>
    </row>
    <row r="6895">
      <c r="A6895" s="1" t="n">
        <v>6894</v>
      </c>
      <c r="B6895">
        <f>TEXT(6894, "[$-0E0000]yyyy-mm-dd")</f>
        <v/>
      </c>
      <c r="C6895" t="inlineStr">
        <is>
          <t>1918-10-13</t>
        </is>
      </c>
    </row>
    <row r="6896">
      <c r="A6896" s="1" t="n">
        <v>6895</v>
      </c>
      <c r="B6896">
        <f>TEXT(6895, "[$-0E0000]yyyy-mm-dd")</f>
        <v/>
      </c>
      <c r="C6896" t="inlineStr">
        <is>
          <t>1918-10-14</t>
        </is>
      </c>
    </row>
    <row r="6897">
      <c r="A6897" s="1" t="n">
        <v>6896</v>
      </c>
      <c r="B6897">
        <f>TEXT(6896, "[$-0E0000]yyyy-mm-dd")</f>
        <v/>
      </c>
      <c r="C6897" t="inlineStr">
        <is>
          <t>1918-10-15</t>
        </is>
      </c>
    </row>
    <row r="6898">
      <c r="A6898" s="1" t="n">
        <v>6897</v>
      </c>
      <c r="B6898">
        <f>TEXT(6897, "[$-0E0000]yyyy-mm-dd")</f>
        <v/>
      </c>
      <c r="C6898" t="inlineStr">
        <is>
          <t>1918-10-16</t>
        </is>
      </c>
    </row>
    <row r="6899">
      <c r="A6899" s="1" t="n">
        <v>6898</v>
      </c>
      <c r="B6899">
        <f>TEXT(6898, "[$-0E0000]yyyy-mm-dd")</f>
        <v/>
      </c>
      <c r="C6899" t="inlineStr">
        <is>
          <t>1918-10-17</t>
        </is>
      </c>
    </row>
    <row r="6900">
      <c r="A6900" s="1" t="n">
        <v>6899</v>
      </c>
      <c r="B6900">
        <f>TEXT(6899, "[$-0E0000]yyyy-mm-dd")</f>
        <v/>
      </c>
      <c r="C6900" t="inlineStr">
        <is>
          <t>1918-10-18</t>
        </is>
      </c>
    </row>
    <row r="6901">
      <c r="A6901" s="1" t="n">
        <v>6900</v>
      </c>
      <c r="B6901">
        <f>TEXT(6900, "[$-0E0000]yyyy-mm-dd")</f>
        <v/>
      </c>
      <c r="C6901" t="inlineStr">
        <is>
          <t>1918-10-19</t>
        </is>
      </c>
    </row>
    <row r="6902">
      <c r="A6902" s="1" t="n">
        <v>6901</v>
      </c>
      <c r="B6902">
        <f>TEXT(6901, "[$-0E0000]yyyy-mm-dd")</f>
        <v/>
      </c>
      <c r="C6902" t="inlineStr">
        <is>
          <t>1918-10-20</t>
        </is>
      </c>
    </row>
    <row r="6903">
      <c r="A6903" s="1" t="n">
        <v>6902</v>
      </c>
      <c r="B6903">
        <f>TEXT(6902, "[$-0E0000]yyyy-mm-dd")</f>
        <v/>
      </c>
      <c r="C6903" t="inlineStr">
        <is>
          <t>1918-10-21</t>
        </is>
      </c>
    </row>
    <row r="6904">
      <c r="A6904" s="1" t="n">
        <v>6903</v>
      </c>
      <c r="B6904">
        <f>TEXT(6903, "[$-0E0000]yyyy-mm-dd")</f>
        <v/>
      </c>
      <c r="C6904" t="inlineStr">
        <is>
          <t>1918-10-22</t>
        </is>
      </c>
    </row>
    <row r="6905">
      <c r="A6905" s="1" t="n">
        <v>6904</v>
      </c>
      <c r="B6905">
        <f>TEXT(6904, "[$-0E0000]yyyy-mm-dd")</f>
        <v/>
      </c>
      <c r="C6905" t="inlineStr">
        <is>
          <t>1918-10-23</t>
        </is>
      </c>
    </row>
    <row r="6906">
      <c r="A6906" s="1" t="n">
        <v>6905</v>
      </c>
      <c r="B6906">
        <f>TEXT(6905, "[$-0E0000]yyyy-mm-dd")</f>
        <v/>
      </c>
      <c r="C6906" t="inlineStr">
        <is>
          <t>1918-10-24</t>
        </is>
      </c>
    </row>
    <row r="6907">
      <c r="A6907" s="1" t="n">
        <v>6906</v>
      </c>
      <c r="B6907">
        <f>TEXT(6906, "[$-0E0000]yyyy-mm-dd")</f>
        <v/>
      </c>
      <c r="C6907" t="inlineStr">
        <is>
          <t>1918-10-25</t>
        </is>
      </c>
    </row>
    <row r="6908">
      <c r="A6908" s="1" t="n">
        <v>6907</v>
      </c>
      <c r="B6908">
        <f>TEXT(6907, "[$-0E0000]yyyy-mm-dd")</f>
        <v/>
      </c>
      <c r="C6908" t="inlineStr">
        <is>
          <t>1918-10-26</t>
        </is>
      </c>
    </row>
    <row r="6909">
      <c r="A6909" s="1" t="n">
        <v>6908</v>
      </c>
      <c r="B6909">
        <f>TEXT(6908, "[$-0E0000]yyyy-mm-dd")</f>
        <v/>
      </c>
      <c r="C6909" t="inlineStr">
        <is>
          <t>1918-10-27</t>
        </is>
      </c>
    </row>
    <row r="6910">
      <c r="A6910" s="1" t="n">
        <v>6909</v>
      </c>
      <c r="B6910">
        <f>TEXT(6909, "[$-0E0000]yyyy-mm-dd")</f>
        <v/>
      </c>
      <c r="C6910" t="inlineStr">
        <is>
          <t>1918-10-28</t>
        </is>
      </c>
    </row>
    <row r="6911">
      <c r="A6911" s="1" t="n">
        <v>6910</v>
      </c>
      <c r="B6911">
        <f>TEXT(6910, "[$-0E0000]yyyy-mm-dd")</f>
        <v/>
      </c>
      <c r="C6911" t="inlineStr">
        <is>
          <t>1918-10-29</t>
        </is>
      </c>
    </row>
    <row r="6912">
      <c r="A6912" s="1" t="n">
        <v>6911</v>
      </c>
      <c r="B6912">
        <f>TEXT(6911, "[$-0E0000]yyyy-mm-dd")</f>
        <v/>
      </c>
      <c r="C6912" t="inlineStr">
        <is>
          <t>1918-11-01</t>
        </is>
      </c>
    </row>
    <row r="6913">
      <c r="A6913" s="1" t="n">
        <v>6912</v>
      </c>
      <c r="B6913">
        <f>TEXT(6912, "[$-0E0000]yyyy-mm-dd")</f>
        <v/>
      </c>
      <c r="C6913" t="inlineStr">
        <is>
          <t>1918-11-02</t>
        </is>
      </c>
    </row>
    <row r="6914">
      <c r="A6914" s="1" t="n">
        <v>6913</v>
      </c>
      <c r="B6914">
        <f>TEXT(6913, "[$-0E0000]yyyy-mm-dd")</f>
        <v/>
      </c>
      <c r="C6914" t="inlineStr">
        <is>
          <t>1918-11-03</t>
        </is>
      </c>
    </row>
    <row r="6915">
      <c r="A6915" s="1" t="n">
        <v>6914</v>
      </c>
      <c r="B6915">
        <f>TEXT(6914, "[$-0E0000]yyyy-mm-dd")</f>
        <v/>
      </c>
      <c r="C6915" t="inlineStr">
        <is>
          <t>1918-11-04</t>
        </is>
      </c>
    </row>
    <row r="6916">
      <c r="A6916" s="1" t="n">
        <v>6915</v>
      </c>
      <c r="B6916">
        <f>TEXT(6915, "[$-0E0000]yyyy-mm-dd")</f>
        <v/>
      </c>
      <c r="C6916" t="inlineStr">
        <is>
          <t>1918-11-05</t>
        </is>
      </c>
    </row>
    <row r="6917">
      <c r="A6917" s="1" t="n">
        <v>6916</v>
      </c>
      <c r="B6917">
        <f>TEXT(6916, "[$-0E0000]yyyy-mm-dd")</f>
        <v/>
      </c>
      <c r="C6917" t="inlineStr">
        <is>
          <t>1918-11-06</t>
        </is>
      </c>
    </row>
    <row r="6918">
      <c r="A6918" s="1" t="n">
        <v>6917</v>
      </c>
      <c r="B6918">
        <f>TEXT(6917, "[$-0E0000]yyyy-mm-dd")</f>
        <v/>
      </c>
      <c r="C6918" t="inlineStr">
        <is>
          <t>1918-11-07</t>
        </is>
      </c>
    </row>
    <row r="6919">
      <c r="A6919" s="1" t="n">
        <v>6918</v>
      </c>
      <c r="B6919">
        <f>TEXT(6918, "[$-0E0000]yyyy-mm-dd")</f>
        <v/>
      </c>
      <c r="C6919" t="inlineStr">
        <is>
          <t>1918-11-08</t>
        </is>
      </c>
    </row>
    <row r="6920">
      <c r="A6920" s="1" t="n">
        <v>6919</v>
      </c>
      <c r="B6920">
        <f>TEXT(6919, "[$-0E0000]yyyy-mm-dd")</f>
        <v/>
      </c>
      <c r="C6920" t="inlineStr">
        <is>
          <t>1918-11-09</t>
        </is>
      </c>
    </row>
    <row r="6921">
      <c r="A6921" s="1" t="n">
        <v>6920</v>
      </c>
      <c r="B6921">
        <f>TEXT(6920, "[$-0E0000]yyyy-mm-dd")</f>
        <v/>
      </c>
      <c r="C6921" t="inlineStr">
        <is>
          <t>1918-11-10</t>
        </is>
      </c>
    </row>
    <row r="6922">
      <c r="A6922" s="1" t="n">
        <v>6921</v>
      </c>
      <c r="B6922">
        <f>TEXT(6921, "[$-0E0000]yyyy-mm-dd")</f>
        <v/>
      </c>
      <c r="C6922" t="inlineStr">
        <is>
          <t>1918-11-11</t>
        </is>
      </c>
    </row>
    <row r="6923">
      <c r="A6923" s="1" t="n">
        <v>6922</v>
      </c>
      <c r="B6923">
        <f>TEXT(6922, "[$-0E0000]yyyy-mm-dd")</f>
        <v/>
      </c>
      <c r="C6923" t="inlineStr">
        <is>
          <t>1918-11-12</t>
        </is>
      </c>
    </row>
    <row r="6924">
      <c r="A6924" s="1" t="n">
        <v>6923</v>
      </c>
      <c r="B6924">
        <f>TEXT(6923, "[$-0E0000]yyyy-mm-dd")</f>
        <v/>
      </c>
      <c r="C6924" t="inlineStr">
        <is>
          <t>1918-11-13</t>
        </is>
      </c>
    </row>
    <row r="6925">
      <c r="A6925" s="1" t="n">
        <v>6924</v>
      </c>
      <c r="B6925">
        <f>TEXT(6924, "[$-0E0000]yyyy-mm-dd")</f>
        <v/>
      </c>
      <c r="C6925" t="inlineStr">
        <is>
          <t>1918-11-14</t>
        </is>
      </c>
    </row>
    <row r="6926">
      <c r="A6926" s="1" t="n">
        <v>6925</v>
      </c>
      <c r="B6926">
        <f>TEXT(6925, "[$-0E0000]yyyy-mm-dd")</f>
        <v/>
      </c>
      <c r="C6926" t="inlineStr">
        <is>
          <t>1918-11-15</t>
        </is>
      </c>
    </row>
    <row r="6927">
      <c r="A6927" s="1" t="n">
        <v>6926</v>
      </c>
      <c r="B6927">
        <f>TEXT(6926, "[$-0E0000]yyyy-mm-dd")</f>
        <v/>
      </c>
      <c r="C6927" t="inlineStr">
        <is>
          <t>1918-11-16</t>
        </is>
      </c>
    </row>
    <row r="6928">
      <c r="A6928" s="1" t="n">
        <v>6927</v>
      </c>
      <c r="B6928">
        <f>TEXT(6927, "[$-0E0000]yyyy-mm-dd")</f>
        <v/>
      </c>
      <c r="C6928" t="inlineStr">
        <is>
          <t>1918-11-17</t>
        </is>
      </c>
    </row>
    <row r="6929">
      <c r="A6929" s="1" t="n">
        <v>6928</v>
      </c>
      <c r="B6929">
        <f>TEXT(6928, "[$-0E0000]yyyy-mm-dd")</f>
        <v/>
      </c>
      <c r="C6929" t="inlineStr">
        <is>
          <t>1918-11-18</t>
        </is>
      </c>
    </row>
    <row r="6930">
      <c r="A6930" s="1" t="n">
        <v>6929</v>
      </c>
      <c r="B6930">
        <f>TEXT(6929, "[$-0E0000]yyyy-mm-dd")</f>
        <v/>
      </c>
      <c r="C6930" t="inlineStr">
        <is>
          <t>1918-11-19</t>
        </is>
      </c>
    </row>
    <row r="6931">
      <c r="A6931" s="1" t="n">
        <v>6930</v>
      </c>
      <c r="B6931">
        <f>TEXT(6930, "[$-0E0000]yyyy-mm-dd")</f>
        <v/>
      </c>
      <c r="C6931" t="inlineStr">
        <is>
          <t>1918-11-20</t>
        </is>
      </c>
    </row>
    <row r="6932">
      <c r="A6932" s="1" t="n">
        <v>6931</v>
      </c>
      <c r="B6932">
        <f>TEXT(6931, "[$-0E0000]yyyy-mm-dd")</f>
        <v/>
      </c>
      <c r="C6932" t="inlineStr">
        <is>
          <t>1918-11-21</t>
        </is>
      </c>
    </row>
    <row r="6933">
      <c r="A6933" s="1" t="n">
        <v>6932</v>
      </c>
      <c r="B6933">
        <f>TEXT(6932, "[$-0E0000]yyyy-mm-dd")</f>
        <v/>
      </c>
      <c r="C6933" t="inlineStr">
        <is>
          <t>1918-11-22</t>
        </is>
      </c>
    </row>
    <row r="6934">
      <c r="A6934" s="1" t="n">
        <v>6933</v>
      </c>
      <c r="B6934">
        <f>TEXT(6933, "[$-0E0000]yyyy-mm-dd")</f>
        <v/>
      </c>
      <c r="C6934" t="inlineStr">
        <is>
          <t>1918-11-23</t>
        </is>
      </c>
    </row>
    <row r="6935">
      <c r="A6935" s="1" t="n">
        <v>6934</v>
      </c>
      <c r="B6935">
        <f>TEXT(6934, "[$-0E0000]yyyy-mm-dd")</f>
        <v/>
      </c>
      <c r="C6935" t="inlineStr">
        <is>
          <t>1918-11-24</t>
        </is>
      </c>
    </row>
    <row r="6936">
      <c r="A6936" s="1" t="n">
        <v>6935</v>
      </c>
      <c r="B6936">
        <f>TEXT(6935, "[$-0E0000]yyyy-mm-dd")</f>
        <v/>
      </c>
      <c r="C6936" t="inlineStr">
        <is>
          <t>1918-11-25</t>
        </is>
      </c>
    </row>
    <row r="6937">
      <c r="A6937" s="1" t="n">
        <v>6936</v>
      </c>
      <c r="B6937">
        <f>TEXT(6936, "[$-0E0000]yyyy-mm-dd")</f>
        <v/>
      </c>
      <c r="C6937" t="inlineStr">
        <is>
          <t>1918-11-26</t>
        </is>
      </c>
    </row>
    <row r="6938">
      <c r="A6938" s="1" t="n">
        <v>6937</v>
      </c>
      <c r="B6938">
        <f>TEXT(6937, "[$-0E0000]yyyy-mm-dd")</f>
        <v/>
      </c>
      <c r="C6938" t="inlineStr">
        <is>
          <t>1918-11-27</t>
        </is>
      </c>
    </row>
    <row r="6939">
      <c r="A6939" s="1" t="n">
        <v>6938</v>
      </c>
      <c r="B6939">
        <f>TEXT(6938, "[$-0E0000]yyyy-mm-dd")</f>
        <v/>
      </c>
      <c r="C6939" t="inlineStr">
        <is>
          <t>1918-11-28</t>
        </is>
      </c>
    </row>
    <row r="6940">
      <c r="A6940" s="1" t="n">
        <v>6939</v>
      </c>
      <c r="B6940">
        <f>TEXT(6939, "[$-0E0000]yyyy-mm-dd")</f>
        <v/>
      </c>
      <c r="C6940" t="inlineStr">
        <is>
          <t>1918-11-29</t>
        </is>
      </c>
    </row>
    <row r="6941">
      <c r="A6941" s="1" t="n">
        <v>6940</v>
      </c>
      <c r="B6941">
        <f>TEXT(6940, "[$-0E0000]yyyy-mm-dd")</f>
        <v/>
      </c>
      <c r="C6941" t="inlineStr">
        <is>
          <t>1918-11-30</t>
        </is>
      </c>
    </row>
    <row r="6942">
      <c r="A6942" s="1" t="n">
        <v>6941</v>
      </c>
      <c r="B6942">
        <f>TEXT(6941, "[$-0E0000]yyyy-mm-dd")</f>
        <v/>
      </c>
      <c r="C6942" t="inlineStr">
        <is>
          <t>1918-12-01</t>
        </is>
      </c>
    </row>
    <row r="6943">
      <c r="A6943" s="1" t="n">
        <v>6942</v>
      </c>
      <c r="B6943">
        <f>TEXT(6942, "[$-0E0000]yyyy-mm-dd")</f>
        <v/>
      </c>
      <c r="C6943" t="inlineStr">
        <is>
          <t>1918-12-02</t>
        </is>
      </c>
    </row>
    <row r="6944">
      <c r="A6944" s="1" t="n">
        <v>6943</v>
      </c>
      <c r="B6944">
        <f>TEXT(6943, "[$-0E0000]yyyy-mm-dd")</f>
        <v/>
      </c>
      <c r="C6944" t="inlineStr">
        <is>
          <t>1918-12-03</t>
        </is>
      </c>
    </row>
    <row r="6945">
      <c r="A6945" s="1" t="n">
        <v>6944</v>
      </c>
      <c r="B6945">
        <f>TEXT(6944, "[$-0E0000]yyyy-mm-dd")</f>
        <v/>
      </c>
      <c r="C6945" t="inlineStr">
        <is>
          <t>1918-12-04</t>
        </is>
      </c>
    </row>
    <row r="6946">
      <c r="A6946" s="1" t="n">
        <v>6945</v>
      </c>
      <c r="B6946">
        <f>TEXT(6945, "[$-0E0000]yyyy-mm-dd")</f>
        <v/>
      </c>
      <c r="C6946" t="inlineStr">
        <is>
          <t>1918-12-05</t>
        </is>
      </c>
    </row>
    <row r="6947">
      <c r="A6947" s="1" t="n">
        <v>6946</v>
      </c>
      <c r="B6947">
        <f>TEXT(6946, "[$-0E0000]yyyy-mm-dd")</f>
        <v/>
      </c>
      <c r="C6947" t="inlineStr">
        <is>
          <t>1918-12-06</t>
        </is>
      </c>
    </row>
    <row r="6948">
      <c r="A6948" s="1" t="n">
        <v>6947</v>
      </c>
      <c r="B6948">
        <f>TEXT(6947, "[$-0E0000]yyyy-mm-dd")</f>
        <v/>
      </c>
      <c r="C6948" t="inlineStr">
        <is>
          <t>1918-12-07</t>
        </is>
      </c>
    </row>
    <row r="6949">
      <c r="A6949" s="1" t="n">
        <v>6948</v>
      </c>
      <c r="B6949">
        <f>TEXT(6948, "[$-0E0000]yyyy-mm-dd")</f>
        <v/>
      </c>
      <c r="C6949" t="inlineStr">
        <is>
          <t>1918-12-08</t>
        </is>
      </c>
    </row>
    <row r="6950">
      <c r="A6950" s="1" t="n">
        <v>6949</v>
      </c>
      <c r="B6950">
        <f>TEXT(6949, "[$-0E0000]yyyy-mm-dd")</f>
        <v/>
      </c>
      <c r="C6950" t="inlineStr">
        <is>
          <t>1918-12-09</t>
        </is>
      </c>
    </row>
    <row r="6951">
      <c r="A6951" s="1" t="n">
        <v>6950</v>
      </c>
      <c r="B6951">
        <f>TEXT(6950, "[$-0E0000]yyyy-mm-dd")</f>
        <v/>
      </c>
      <c r="C6951" t="inlineStr">
        <is>
          <t>1918-12-10</t>
        </is>
      </c>
    </row>
    <row r="6952">
      <c r="A6952" s="1" t="n">
        <v>6951</v>
      </c>
      <c r="B6952">
        <f>TEXT(6951, "[$-0E0000]yyyy-mm-dd")</f>
        <v/>
      </c>
      <c r="C6952" t="inlineStr">
        <is>
          <t>1918-12-11</t>
        </is>
      </c>
    </row>
    <row r="6953">
      <c r="A6953" s="1" t="n">
        <v>6952</v>
      </c>
      <c r="B6953">
        <f>TEXT(6952, "[$-0E0000]yyyy-mm-dd")</f>
        <v/>
      </c>
      <c r="C6953" t="inlineStr">
        <is>
          <t>1918-12-12</t>
        </is>
      </c>
    </row>
    <row r="6954">
      <c r="A6954" s="1" t="n">
        <v>6953</v>
      </c>
      <c r="B6954">
        <f>TEXT(6953, "[$-0E0000]yyyy-mm-dd")</f>
        <v/>
      </c>
      <c r="C6954" t="inlineStr">
        <is>
          <t>1918-12-13</t>
        </is>
      </c>
    </row>
    <row r="6955">
      <c r="A6955" s="1" t="n">
        <v>6954</v>
      </c>
      <c r="B6955">
        <f>TEXT(6954, "[$-0E0000]yyyy-mm-dd")</f>
        <v/>
      </c>
      <c r="C6955" t="inlineStr">
        <is>
          <t>1918-12-14</t>
        </is>
      </c>
    </row>
    <row r="6956">
      <c r="A6956" s="1" t="n">
        <v>6955</v>
      </c>
      <c r="B6956">
        <f>TEXT(6955, "[$-0E0000]yyyy-mm-dd")</f>
        <v/>
      </c>
      <c r="C6956" t="inlineStr">
        <is>
          <t>1918-12-15</t>
        </is>
      </c>
    </row>
    <row r="6957">
      <c r="A6957" s="1" t="n">
        <v>6956</v>
      </c>
      <c r="B6957">
        <f>TEXT(6956, "[$-0E0000]yyyy-mm-dd")</f>
        <v/>
      </c>
      <c r="C6957" t="inlineStr">
        <is>
          <t>1918-12-16</t>
        </is>
      </c>
    </row>
    <row r="6958">
      <c r="A6958" s="1" t="n">
        <v>6957</v>
      </c>
      <c r="B6958">
        <f>TEXT(6957, "[$-0E0000]yyyy-mm-dd")</f>
        <v/>
      </c>
      <c r="C6958" t="inlineStr">
        <is>
          <t>1918-12-17</t>
        </is>
      </c>
    </row>
    <row r="6959">
      <c r="A6959" s="1" t="n">
        <v>6958</v>
      </c>
      <c r="B6959">
        <f>TEXT(6958, "[$-0E0000]yyyy-mm-dd")</f>
        <v/>
      </c>
      <c r="C6959" t="inlineStr">
        <is>
          <t>1918-12-18</t>
        </is>
      </c>
    </row>
    <row r="6960">
      <c r="A6960" s="1" t="n">
        <v>6959</v>
      </c>
      <c r="B6960">
        <f>TEXT(6959, "[$-0E0000]yyyy-mm-dd")</f>
        <v/>
      </c>
      <c r="C6960" t="inlineStr">
        <is>
          <t>1918-12-19</t>
        </is>
      </c>
    </row>
    <row r="6961">
      <c r="A6961" s="1" t="n">
        <v>6960</v>
      </c>
      <c r="B6961">
        <f>TEXT(6960, "[$-0E0000]yyyy-mm-dd")</f>
        <v/>
      </c>
      <c r="C6961" t="inlineStr">
        <is>
          <t>1918-12-20</t>
        </is>
      </c>
    </row>
    <row r="6962">
      <c r="A6962" s="1" t="n">
        <v>6961</v>
      </c>
      <c r="B6962">
        <f>TEXT(6961, "[$-0E0000]yyyy-mm-dd")</f>
        <v/>
      </c>
      <c r="C6962" t="inlineStr">
        <is>
          <t>1918-12-21</t>
        </is>
      </c>
    </row>
    <row r="6963">
      <c r="A6963" s="1" t="n">
        <v>6962</v>
      </c>
      <c r="B6963">
        <f>TEXT(6962, "[$-0E0000]yyyy-mm-dd")</f>
        <v/>
      </c>
      <c r="C6963" t="inlineStr">
        <is>
          <t>1918-12-22</t>
        </is>
      </c>
    </row>
    <row r="6964">
      <c r="A6964" s="1" t="n">
        <v>6963</v>
      </c>
      <c r="B6964">
        <f>TEXT(6963, "[$-0E0000]yyyy-mm-dd")</f>
        <v/>
      </c>
      <c r="C6964" t="inlineStr">
        <is>
          <t>1918-12-23</t>
        </is>
      </c>
    </row>
    <row r="6965">
      <c r="A6965" s="1" t="n">
        <v>6964</v>
      </c>
      <c r="B6965">
        <f>TEXT(6964, "[$-0E0000]yyyy-mm-dd")</f>
        <v/>
      </c>
      <c r="C6965" t="inlineStr">
        <is>
          <t>1918-12-24</t>
        </is>
      </c>
    </row>
    <row r="6966">
      <c r="A6966" s="1" t="n">
        <v>6965</v>
      </c>
      <c r="B6966">
        <f>TEXT(6965, "[$-0E0000]yyyy-mm-dd")</f>
        <v/>
      </c>
      <c r="C6966" t="inlineStr">
        <is>
          <t>1918-12-25</t>
        </is>
      </c>
    </row>
    <row r="6967">
      <c r="A6967" s="1" t="n">
        <v>6966</v>
      </c>
      <c r="B6967">
        <f>TEXT(6966, "[$-0E0000]yyyy-mm-dd")</f>
        <v/>
      </c>
      <c r="C6967" t="inlineStr">
        <is>
          <t>1918-12-26</t>
        </is>
      </c>
    </row>
    <row r="6968">
      <c r="A6968" s="1" t="n">
        <v>6967</v>
      </c>
      <c r="B6968">
        <f>TEXT(6967, "[$-0E0000]yyyy-mm-dd")</f>
        <v/>
      </c>
      <c r="C6968" t="inlineStr">
        <is>
          <t>1918-12-27</t>
        </is>
      </c>
    </row>
    <row r="6969">
      <c r="A6969" s="1" t="n">
        <v>6968</v>
      </c>
      <c r="B6969">
        <f>TEXT(6968, "[$-0E0000]yyyy-mm-dd")</f>
        <v/>
      </c>
      <c r="C6969" t="inlineStr">
        <is>
          <t>1918-12-28</t>
        </is>
      </c>
    </row>
    <row r="6970">
      <c r="A6970" s="1" t="n">
        <v>6969</v>
      </c>
      <c r="B6970">
        <f>TEXT(6969, "[$-0E0000]yyyy-mm-dd")</f>
        <v/>
      </c>
      <c r="C6970" t="inlineStr">
        <is>
          <t>1918-12-29</t>
        </is>
      </c>
    </row>
    <row r="6971">
      <c r="A6971" s="1" t="n">
        <v>6970</v>
      </c>
      <c r="B6971">
        <f>TEXT(6970, "[$-0E0000]yyyy-mm-dd")</f>
        <v/>
      </c>
      <c r="C6971" t="inlineStr">
        <is>
          <t>1918-12-30</t>
        </is>
      </c>
    </row>
    <row r="6972">
      <c r="A6972" s="1" t="n">
        <v>6971</v>
      </c>
      <c r="B6972">
        <f>TEXT(6971, "[$-0E0000]yyyy-mm-dd")</f>
        <v/>
      </c>
      <c r="C6972" t="inlineStr">
        <is>
          <t>1919-01-01</t>
        </is>
      </c>
    </row>
    <row r="6973">
      <c r="A6973" s="1" t="n">
        <v>6972</v>
      </c>
      <c r="B6973">
        <f>TEXT(6972, "[$-0E0000]yyyy-mm-dd")</f>
        <v/>
      </c>
      <c r="C6973" t="inlineStr">
        <is>
          <t>1919-01-02</t>
        </is>
      </c>
    </row>
    <row r="6974">
      <c r="A6974" s="1" t="n">
        <v>6973</v>
      </c>
      <c r="B6974">
        <f>TEXT(6973, "[$-0E0000]yyyy-mm-dd")</f>
        <v/>
      </c>
      <c r="C6974" t="inlineStr">
        <is>
          <t>1919-01-03</t>
        </is>
      </c>
    </row>
    <row r="6975">
      <c r="A6975" s="1" t="n">
        <v>6974</v>
      </c>
      <c r="B6975">
        <f>TEXT(6974, "[$-0E0000]yyyy-mm-dd")</f>
        <v/>
      </c>
      <c r="C6975" t="inlineStr">
        <is>
          <t>1919-01-04</t>
        </is>
      </c>
    </row>
    <row r="6976">
      <c r="A6976" s="1" t="n">
        <v>6975</v>
      </c>
      <c r="B6976">
        <f>TEXT(6975, "[$-0E0000]yyyy-mm-dd")</f>
        <v/>
      </c>
      <c r="C6976" t="inlineStr">
        <is>
          <t>1919-01-05</t>
        </is>
      </c>
    </row>
    <row r="6977">
      <c r="A6977" s="1" t="n">
        <v>6976</v>
      </c>
      <c r="B6977">
        <f>TEXT(6976, "[$-0E0000]yyyy-mm-dd")</f>
        <v/>
      </c>
      <c r="C6977" t="inlineStr">
        <is>
          <t>1919-01-06</t>
        </is>
      </c>
    </row>
    <row r="6978">
      <c r="A6978" s="1" t="n">
        <v>6977</v>
      </c>
      <c r="B6978">
        <f>TEXT(6977, "[$-0E0000]yyyy-mm-dd")</f>
        <v/>
      </c>
      <c r="C6978" t="inlineStr">
        <is>
          <t>1919-01-07</t>
        </is>
      </c>
    </row>
    <row r="6979">
      <c r="A6979" s="1" t="n">
        <v>6978</v>
      </c>
      <c r="B6979">
        <f>TEXT(6978, "[$-0E0000]yyyy-mm-dd")</f>
        <v/>
      </c>
      <c r="C6979" t="inlineStr">
        <is>
          <t>1919-01-08</t>
        </is>
      </c>
    </row>
    <row r="6980">
      <c r="A6980" s="1" t="n">
        <v>6979</v>
      </c>
      <c r="B6980">
        <f>TEXT(6979, "[$-0E0000]yyyy-mm-dd")</f>
        <v/>
      </c>
      <c r="C6980" t="inlineStr">
        <is>
          <t>1919-01-09</t>
        </is>
      </c>
    </row>
    <row r="6981">
      <c r="A6981" s="1" t="n">
        <v>6980</v>
      </c>
      <c r="B6981">
        <f>TEXT(6980, "[$-0E0000]yyyy-mm-dd")</f>
        <v/>
      </c>
      <c r="C6981" t="inlineStr">
        <is>
          <t>1919-01-10</t>
        </is>
      </c>
    </row>
    <row r="6982">
      <c r="A6982" s="1" t="n">
        <v>6981</v>
      </c>
      <c r="B6982">
        <f>TEXT(6981, "[$-0E0000]yyyy-mm-dd")</f>
        <v/>
      </c>
      <c r="C6982" t="inlineStr">
        <is>
          <t>1919-01-11</t>
        </is>
      </c>
    </row>
    <row r="6983">
      <c r="A6983" s="1" t="n">
        <v>6982</v>
      </c>
      <c r="B6983">
        <f>TEXT(6982, "[$-0E0000]yyyy-mm-dd")</f>
        <v/>
      </c>
      <c r="C6983" t="inlineStr">
        <is>
          <t>1919-01-12</t>
        </is>
      </c>
    </row>
    <row r="6984">
      <c r="A6984" s="1" t="n">
        <v>6983</v>
      </c>
      <c r="B6984">
        <f>TEXT(6983, "[$-0E0000]yyyy-mm-dd")</f>
        <v/>
      </c>
      <c r="C6984" t="inlineStr">
        <is>
          <t>1919-01-13</t>
        </is>
      </c>
    </row>
    <row r="6985">
      <c r="A6985" s="1" t="n">
        <v>6984</v>
      </c>
      <c r="B6985">
        <f>TEXT(6984, "[$-0E0000]yyyy-mm-dd")</f>
        <v/>
      </c>
      <c r="C6985" t="inlineStr">
        <is>
          <t>1919-01-14</t>
        </is>
      </c>
    </row>
    <row r="6986">
      <c r="A6986" s="1" t="n">
        <v>6985</v>
      </c>
      <c r="B6986">
        <f>TEXT(6985, "[$-0E0000]yyyy-mm-dd")</f>
        <v/>
      </c>
      <c r="C6986" t="inlineStr">
        <is>
          <t>1919-01-15</t>
        </is>
      </c>
    </row>
    <row r="6987">
      <c r="A6987" s="1" t="n">
        <v>6986</v>
      </c>
      <c r="B6987">
        <f>TEXT(6986, "[$-0E0000]yyyy-mm-dd")</f>
        <v/>
      </c>
      <c r="C6987" t="inlineStr">
        <is>
          <t>1919-01-16</t>
        </is>
      </c>
    </row>
    <row r="6988">
      <c r="A6988" s="1" t="n">
        <v>6987</v>
      </c>
      <c r="B6988">
        <f>TEXT(6987, "[$-0E0000]yyyy-mm-dd")</f>
        <v/>
      </c>
      <c r="C6988" t="inlineStr">
        <is>
          <t>1919-01-17</t>
        </is>
      </c>
    </row>
    <row r="6989">
      <c r="A6989" s="1" t="n">
        <v>6988</v>
      </c>
      <c r="B6989">
        <f>TEXT(6988, "[$-0E0000]yyyy-mm-dd")</f>
        <v/>
      </c>
      <c r="C6989" t="inlineStr">
        <is>
          <t>1919-01-18</t>
        </is>
      </c>
    </row>
    <row r="6990">
      <c r="A6990" s="1" t="n">
        <v>6989</v>
      </c>
      <c r="B6990">
        <f>TEXT(6989, "[$-0E0000]yyyy-mm-dd")</f>
        <v/>
      </c>
      <c r="C6990" t="inlineStr">
        <is>
          <t>1919-01-19</t>
        </is>
      </c>
    </row>
    <row r="6991">
      <c r="A6991" s="1" t="n">
        <v>6990</v>
      </c>
      <c r="B6991">
        <f>TEXT(6990, "[$-0E0000]yyyy-mm-dd")</f>
        <v/>
      </c>
      <c r="C6991" t="inlineStr">
        <is>
          <t>1919-01-20</t>
        </is>
      </c>
    </row>
    <row r="6992">
      <c r="A6992" s="1" t="n">
        <v>6991</v>
      </c>
      <c r="B6992">
        <f>TEXT(6991, "[$-0E0000]yyyy-mm-dd")</f>
        <v/>
      </c>
      <c r="C6992" t="inlineStr">
        <is>
          <t>1919-01-21</t>
        </is>
      </c>
    </row>
    <row r="6993">
      <c r="A6993" s="1" t="n">
        <v>6992</v>
      </c>
      <c r="B6993">
        <f>TEXT(6992, "[$-0E0000]yyyy-mm-dd")</f>
        <v/>
      </c>
      <c r="C6993" t="inlineStr">
        <is>
          <t>1919-01-22</t>
        </is>
      </c>
    </row>
    <row r="6994">
      <c r="A6994" s="1" t="n">
        <v>6993</v>
      </c>
      <c r="B6994">
        <f>TEXT(6993, "[$-0E0000]yyyy-mm-dd")</f>
        <v/>
      </c>
      <c r="C6994" t="inlineStr">
        <is>
          <t>1919-01-23</t>
        </is>
      </c>
    </row>
    <row r="6995">
      <c r="A6995" s="1" t="n">
        <v>6994</v>
      </c>
      <c r="B6995">
        <f>TEXT(6994, "[$-0E0000]yyyy-mm-dd")</f>
        <v/>
      </c>
      <c r="C6995" t="inlineStr">
        <is>
          <t>1919-01-24</t>
        </is>
      </c>
    </row>
    <row r="6996">
      <c r="A6996" s="1" t="n">
        <v>6995</v>
      </c>
      <c r="B6996">
        <f>TEXT(6995, "[$-0E0000]yyyy-mm-dd")</f>
        <v/>
      </c>
      <c r="C6996" t="inlineStr">
        <is>
          <t>1919-01-25</t>
        </is>
      </c>
    </row>
    <row r="6997">
      <c r="A6997" s="1" t="n">
        <v>6996</v>
      </c>
      <c r="B6997">
        <f>TEXT(6996, "[$-0E0000]yyyy-mm-dd")</f>
        <v/>
      </c>
      <c r="C6997" t="inlineStr">
        <is>
          <t>1919-01-26</t>
        </is>
      </c>
    </row>
    <row r="6998">
      <c r="A6998" s="1" t="n">
        <v>6997</v>
      </c>
      <c r="B6998">
        <f>TEXT(6997, "[$-0E0000]yyyy-mm-dd")</f>
        <v/>
      </c>
      <c r="C6998" t="inlineStr">
        <is>
          <t>1919-01-27</t>
        </is>
      </c>
    </row>
    <row r="6999">
      <c r="A6999" s="1" t="n">
        <v>6998</v>
      </c>
      <c r="B6999">
        <f>TEXT(6998, "[$-0E0000]yyyy-mm-dd")</f>
        <v/>
      </c>
      <c r="C6999" t="inlineStr">
        <is>
          <t>1919-01-28</t>
        </is>
      </c>
    </row>
    <row r="7000">
      <c r="A7000" s="1" t="n">
        <v>6999</v>
      </c>
      <c r="B7000">
        <f>TEXT(6999, "[$-0E0000]yyyy-mm-dd")</f>
        <v/>
      </c>
      <c r="C7000" t="inlineStr">
        <is>
          <t>1919-01-29</t>
        </is>
      </c>
    </row>
    <row r="7001">
      <c r="A7001" s="1" t="n">
        <v>7000</v>
      </c>
      <c r="B7001">
        <f>TEXT(7000, "[$-0E0000]yyyy-mm-dd")</f>
        <v/>
      </c>
      <c r="C7001" t="inlineStr">
        <is>
          <t>1919-02-01</t>
        </is>
      </c>
    </row>
    <row r="7002">
      <c r="A7002" s="1" t="n">
        <v>7001</v>
      </c>
      <c r="B7002">
        <f>TEXT(7001, "[$-0E0000]yyyy-mm-dd")</f>
        <v/>
      </c>
      <c r="C7002" t="inlineStr">
        <is>
          <t>1919-02-02</t>
        </is>
      </c>
    </row>
    <row r="7003">
      <c r="A7003" s="1" t="n">
        <v>7002</v>
      </c>
      <c r="B7003">
        <f>TEXT(7002, "[$-0E0000]yyyy-mm-dd")</f>
        <v/>
      </c>
      <c r="C7003" t="inlineStr">
        <is>
          <t>1919-02-03</t>
        </is>
      </c>
    </row>
    <row r="7004">
      <c r="A7004" s="1" t="n">
        <v>7003</v>
      </c>
      <c r="B7004">
        <f>TEXT(7003, "[$-0E0000]yyyy-mm-dd")</f>
        <v/>
      </c>
      <c r="C7004" t="inlineStr">
        <is>
          <t>1919-02-04</t>
        </is>
      </c>
    </row>
    <row r="7005">
      <c r="A7005" s="1" t="n">
        <v>7004</v>
      </c>
      <c r="B7005">
        <f>TEXT(7004, "[$-0E0000]yyyy-mm-dd")</f>
        <v/>
      </c>
      <c r="C7005" t="inlineStr">
        <is>
          <t>1919-02-05</t>
        </is>
      </c>
    </row>
    <row r="7006">
      <c r="A7006" s="1" t="n">
        <v>7005</v>
      </c>
      <c r="B7006">
        <f>TEXT(7005, "[$-0E0000]yyyy-mm-dd")</f>
        <v/>
      </c>
      <c r="C7006" t="inlineStr">
        <is>
          <t>1919-02-06</t>
        </is>
      </c>
    </row>
    <row r="7007">
      <c r="A7007" s="1" t="n">
        <v>7006</v>
      </c>
      <c r="B7007">
        <f>TEXT(7006, "[$-0E0000]yyyy-mm-dd")</f>
        <v/>
      </c>
      <c r="C7007" t="inlineStr">
        <is>
          <t>1919-02-07</t>
        </is>
      </c>
    </row>
    <row r="7008">
      <c r="A7008" s="1" t="n">
        <v>7007</v>
      </c>
      <c r="B7008">
        <f>TEXT(7007, "[$-0E0000]yyyy-mm-dd")</f>
        <v/>
      </c>
      <c r="C7008" t="inlineStr">
        <is>
          <t>1919-02-08</t>
        </is>
      </c>
    </row>
    <row r="7009">
      <c r="A7009" s="1" t="n">
        <v>7008</v>
      </c>
      <c r="B7009">
        <f>TEXT(7008, "[$-0E0000]yyyy-mm-dd")</f>
        <v/>
      </c>
      <c r="C7009" t="inlineStr">
        <is>
          <t>1919-02-09</t>
        </is>
      </c>
    </row>
    <row r="7010">
      <c r="A7010" s="1" t="n">
        <v>7009</v>
      </c>
      <c r="B7010">
        <f>TEXT(7009, "[$-0E0000]yyyy-mm-dd")</f>
        <v/>
      </c>
      <c r="C7010" t="inlineStr">
        <is>
          <t>1919-02-10</t>
        </is>
      </c>
    </row>
    <row r="7011">
      <c r="A7011" s="1" t="n">
        <v>7010</v>
      </c>
      <c r="B7011">
        <f>TEXT(7010, "[$-0E0000]yyyy-mm-dd")</f>
        <v/>
      </c>
      <c r="C7011" t="inlineStr">
        <is>
          <t>1919-02-11</t>
        </is>
      </c>
    </row>
    <row r="7012">
      <c r="A7012" s="1" t="n">
        <v>7011</v>
      </c>
      <c r="B7012">
        <f>TEXT(7011, "[$-0E0000]yyyy-mm-dd")</f>
        <v/>
      </c>
      <c r="C7012" t="inlineStr">
        <is>
          <t>1919-02-12</t>
        </is>
      </c>
    </row>
    <row r="7013">
      <c r="A7013" s="1" t="n">
        <v>7012</v>
      </c>
      <c r="B7013">
        <f>TEXT(7012, "[$-0E0000]yyyy-mm-dd")</f>
        <v/>
      </c>
      <c r="C7013" t="inlineStr">
        <is>
          <t>1919-02-13</t>
        </is>
      </c>
    </row>
    <row r="7014">
      <c r="A7014" s="1" t="n">
        <v>7013</v>
      </c>
      <c r="B7014">
        <f>TEXT(7013, "[$-0E0000]yyyy-mm-dd")</f>
        <v/>
      </c>
      <c r="C7014" t="inlineStr">
        <is>
          <t>1919-02-14</t>
        </is>
      </c>
    </row>
    <row r="7015">
      <c r="A7015" s="1" t="n">
        <v>7014</v>
      </c>
      <c r="B7015">
        <f>TEXT(7014, "[$-0E0000]yyyy-mm-dd")</f>
        <v/>
      </c>
      <c r="C7015" t="inlineStr">
        <is>
          <t>1919-02-15</t>
        </is>
      </c>
    </row>
    <row r="7016">
      <c r="A7016" s="1" t="n">
        <v>7015</v>
      </c>
      <c r="B7016">
        <f>TEXT(7015, "[$-0E0000]yyyy-mm-dd")</f>
        <v/>
      </c>
      <c r="C7016" t="inlineStr">
        <is>
          <t>1919-02-16</t>
        </is>
      </c>
    </row>
    <row r="7017">
      <c r="A7017" s="1" t="n">
        <v>7016</v>
      </c>
      <c r="B7017">
        <f>TEXT(7016, "[$-0E0000]yyyy-mm-dd")</f>
        <v/>
      </c>
      <c r="C7017" t="inlineStr">
        <is>
          <t>1919-02-17</t>
        </is>
      </c>
    </row>
    <row r="7018">
      <c r="A7018" s="1" t="n">
        <v>7017</v>
      </c>
      <c r="B7018">
        <f>TEXT(7017, "[$-0E0000]yyyy-mm-dd")</f>
        <v/>
      </c>
      <c r="C7018" t="inlineStr">
        <is>
          <t>1919-02-18</t>
        </is>
      </c>
    </row>
    <row r="7019">
      <c r="A7019" s="1" t="n">
        <v>7018</v>
      </c>
      <c r="B7019">
        <f>TEXT(7018, "[$-0E0000]yyyy-mm-dd")</f>
        <v/>
      </c>
      <c r="C7019" t="inlineStr">
        <is>
          <t>1919-02-19</t>
        </is>
      </c>
    </row>
    <row r="7020">
      <c r="A7020" s="1" t="n">
        <v>7019</v>
      </c>
      <c r="B7020">
        <f>TEXT(7019, "[$-0E0000]yyyy-mm-dd")</f>
        <v/>
      </c>
      <c r="C7020" t="inlineStr">
        <is>
          <t>1919-02-20</t>
        </is>
      </c>
    </row>
    <row r="7021">
      <c r="A7021" s="1" t="n">
        <v>7020</v>
      </c>
      <c r="B7021">
        <f>TEXT(7020, "[$-0E0000]yyyy-mm-dd")</f>
        <v/>
      </c>
      <c r="C7021" t="inlineStr">
        <is>
          <t>1919-02-21</t>
        </is>
      </c>
    </row>
    <row r="7022">
      <c r="A7022" s="1" t="n">
        <v>7021</v>
      </c>
      <c r="B7022">
        <f>TEXT(7021, "[$-0E0000]yyyy-mm-dd")</f>
        <v/>
      </c>
      <c r="C7022" t="inlineStr">
        <is>
          <t>1919-02-22</t>
        </is>
      </c>
    </row>
    <row r="7023">
      <c r="A7023" s="1" t="n">
        <v>7022</v>
      </c>
      <c r="B7023">
        <f>TEXT(7022, "[$-0E0000]yyyy-mm-dd")</f>
        <v/>
      </c>
      <c r="C7023" t="inlineStr">
        <is>
          <t>1919-02-23</t>
        </is>
      </c>
    </row>
    <row r="7024">
      <c r="A7024" s="1" t="n">
        <v>7023</v>
      </c>
      <c r="B7024">
        <f>TEXT(7023, "[$-0E0000]yyyy-mm-dd")</f>
        <v/>
      </c>
      <c r="C7024" t="inlineStr">
        <is>
          <t>1919-02-24</t>
        </is>
      </c>
    </row>
    <row r="7025">
      <c r="A7025" s="1" t="n">
        <v>7024</v>
      </c>
      <c r="B7025">
        <f>TEXT(7024, "[$-0E0000]yyyy-mm-dd")</f>
        <v/>
      </c>
      <c r="C7025" t="inlineStr">
        <is>
          <t>1919-02-25</t>
        </is>
      </c>
    </row>
    <row r="7026">
      <c r="A7026" s="1" t="n">
        <v>7025</v>
      </c>
      <c r="B7026">
        <f>TEXT(7025, "[$-0E0000]yyyy-mm-dd")</f>
        <v/>
      </c>
      <c r="C7026" t="inlineStr">
        <is>
          <t>1919-02-26</t>
        </is>
      </c>
    </row>
    <row r="7027">
      <c r="A7027" s="1" t="n">
        <v>7026</v>
      </c>
      <c r="B7027">
        <f>TEXT(7026, "[$-0E0000]yyyy-mm-dd")</f>
        <v/>
      </c>
      <c r="C7027" t="inlineStr">
        <is>
          <t>1919-02-27</t>
        </is>
      </c>
    </row>
    <row r="7028">
      <c r="A7028" s="1" t="n">
        <v>7027</v>
      </c>
      <c r="B7028">
        <f>TEXT(7027, "[$-0E0000]yyyy-mm-dd")</f>
        <v/>
      </c>
      <c r="C7028" t="inlineStr">
        <is>
          <t>1919-02-28</t>
        </is>
      </c>
    </row>
    <row r="7029">
      <c r="A7029" s="1" t="n">
        <v>7028</v>
      </c>
      <c r="B7029">
        <f>TEXT(7028, "[$-0E0000]yyyy-mm-dd")</f>
        <v/>
      </c>
      <c r="C7029" t="inlineStr">
        <is>
          <t>1919-02-29</t>
        </is>
      </c>
    </row>
    <row r="7030">
      <c r="A7030" s="1" t="n">
        <v>7029</v>
      </c>
      <c r="B7030">
        <f>TEXT(7029, "[$-0E0000]yyyy-mm-dd")</f>
        <v/>
      </c>
      <c r="C7030" t="inlineStr">
        <is>
          <t>1919-02-30</t>
        </is>
      </c>
    </row>
    <row r="7031">
      <c r="A7031" s="1" t="n">
        <v>7030</v>
      </c>
      <c r="B7031">
        <f>TEXT(7030, "[$-0E0000]yyyy-mm-dd")</f>
        <v/>
      </c>
      <c r="C7031" t="inlineStr">
        <is>
          <t>1919-03-01</t>
        </is>
      </c>
    </row>
    <row r="7032">
      <c r="A7032" s="1" t="n">
        <v>7031</v>
      </c>
      <c r="B7032">
        <f>TEXT(7031, "[$-0E0000]yyyy-mm-dd")</f>
        <v/>
      </c>
      <c r="C7032" t="inlineStr">
        <is>
          <t>1919-03-02</t>
        </is>
      </c>
    </row>
    <row r="7033">
      <c r="A7033" s="1" t="n">
        <v>7032</v>
      </c>
      <c r="B7033">
        <f>TEXT(7032, "[$-0E0000]yyyy-mm-dd")</f>
        <v/>
      </c>
      <c r="C7033" t="inlineStr">
        <is>
          <t>1919-03-03</t>
        </is>
      </c>
    </row>
    <row r="7034">
      <c r="A7034" s="1" t="n">
        <v>7033</v>
      </c>
      <c r="B7034">
        <f>TEXT(7033, "[$-0E0000]yyyy-mm-dd")</f>
        <v/>
      </c>
      <c r="C7034" t="inlineStr">
        <is>
          <t>1919-03-04</t>
        </is>
      </c>
    </row>
    <row r="7035">
      <c r="A7035" s="1" t="n">
        <v>7034</v>
      </c>
      <c r="B7035">
        <f>TEXT(7034, "[$-0E0000]yyyy-mm-dd")</f>
        <v/>
      </c>
      <c r="C7035" t="inlineStr">
        <is>
          <t>1919-03-05</t>
        </is>
      </c>
    </row>
    <row r="7036">
      <c r="A7036" s="1" t="n">
        <v>7035</v>
      </c>
      <c r="B7036">
        <f>TEXT(7035, "[$-0E0000]yyyy-mm-dd")</f>
        <v/>
      </c>
      <c r="C7036" t="inlineStr">
        <is>
          <t>1919-03-06</t>
        </is>
      </c>
    </row>
    <row r="7037">
      <c r="A7037" s="1" t="n">
        <v>7036</v>
      </c>
      <c r="B7037">
        <f>TEXT(7036, "[$-0E0000]yyyy-mm-dd")</f>
        <v/>
      </c>
      <c r="C7037" t="inlineStr">
        <is>
          <t>1919-03-07</t>
        </is>
      </c>
    </row>
    <row r="7038">
      <c r="A7038" s="1" t="n">
        <v>7037</v>
      </c>
      <c r="B7038">
        <f>TEXT(7037, "[$-0E0000]yyyy-mm-dd")</f>
        <v/>
      </c>
      <c r="C7038" t="inlineStr">
        <is>
          <t>1919-03-08</t>
        </is>
      </c>
    </row>
    <row r="7039">
      <c r="A7039" s="1" t="n">
        <v>7038</v>
      </c>
      <c r="B7039">
        <f>TEXT(7038, "[$-0E0000]yyyy-mm-dd")</f>
        <v/>
      </c>
      <c r="C7039" t="inlineStr">
        <is>
          <t>1919-03-09</t>
        </is>
      </c>
    </row>
    <row r="7040">
      <c r="A7040" s="1" t="n">
        <v>7039</v>
      </c>
      <c r="B7040">
        <f>TEXT(7039, "[$-0E0000]yyyy-mm-dd")</f>
        <v/>
      </c>
      <c r="C7040" t="inlineStr">
        <is>
          <t>1919-03-10</t>
        </is>
      </c>
    </row>
    <row r="7041">
      <c r="A7041" s="1" t="n">
        <v>7040</v>
      </c>
      <c r="B7041">
        <f>TEXT(7040, "[$-0E0000]yyyy-mm-dd")</f>
        <v/>
      </c>
      <c r="C7041" t="inlineStr">
        <is>
          <t>1919-03-11</t>
        </is>
      </c>
    </row>
    <row r="7042">
      <c r="A7042" s="1" t="n">
        <v>7041</v>
      </c>
      <c r="B7042">
        <f>TEXT(7041, "[$-0E0000]yyyy-mm-dd")</f>
        <v/>
      </c>
      <c r="C7042" t="inlineStr">
        <is>
          <t>1919-03-12</t>
        </is>
      </c>
    </row>
    <row r="7043">
      <c r="A7043" s="1" t="n">
        <v>7042</v>
      </c>
      <c r="B7043">
        <f>TEXT(7042, "[$-0E0000]yyyy-mm-dd")</f>
        <v/>
      </c>
      <c r="C7043" t="inlineStr">
        <is>
          <t>1919-03-13</t>
        </is>
      </c>
    </row>
    <row r="7044">
      <c r="A7044" s="1" t="n">
        <v>7043</v>
      </c>
      <c r="B7044">
        <f>TEXT(7043, "[$-0E0000]yyyy-mm-dd")</f>
        <v/>
      </c>
      <c r="C7044" t="inlineStr">
        <is>
          <t>1919-03-14</t>
        </is>
      </c>
    </row>
    <row r="7045">
      <c r="A7045" s="1" t="n">
        <v>7044</v>
      </c>
      <c r="B7045">
        <f>TEXT(7044, "[$-0E0000]yyyy-mm-dd")</f>
        <v/>
      </c>
      <c r="C7045" t="inlineStr">
        <is>
          <t>1919-03-15</t>
        </is>
      </c>
    </row>
    <row r="7046">
      <c r="A7046" s="1" t="n">
        <v>7045</v>
      </c>
      <c r="B7046">
        <f>TEXT(7045, "[$-0E0000]yyyy-mm-dd")</f>
        <v/>
      </c>
      <c r="C7046" t="inlineStr">
        <is>
          <t>1919-03-16</t>
        </is>
      </c>
    </row>
    <row r="7047">
      <c r="A7047" s="1" t="n">
        <v>7046</v>
      </c>
      <c r="B7047">
        <f>TEXT(7046, "[$-0E0000]yyyy-mm-dd")</f>
        <v/>
      </c>
      <c r="C7047" t="inlineStr">
        <is>
          <t>1919-03-17</t>
        </is>
      </c>
    </row>
    <row r="7048">
      <c r="A7048" s="1" t="n">
        <v>7047</v>
      </c>
      <c r="B7048">
        <f>TEXT(7047, "[$-0E0000]yyyy-mm-dd")</f>
        <v/>
      </c>
      <c r="C7048" t="inlineStr">
        <is>
          <t>1919-03-18</t>
        </is>
      </c>
    </row>
    <row r="7049">
      <c r="A7049" s="1" t="n">
        <v>7048</v>
      </c>
      <c r="B7049">
        <f>TEXT(7048, "[$-0E0000]yyyy-mm-dd")</f>
        <v/>
      </c>
      <c r="C7049" t="inlineStr">
        <is>
          <t>1919-03-19</t>
        </is>
      </c>
    </row>
    <row r="7050">
      <c r="A7050" s="1" t="n">
        <v>7049</v>
      </c>
      <c r="B7050">
        <f>TEXT(7049, "[$-0E0000]yyyy-mm-dd")</f>
        <v/>
      </c>
      <c r="C7050" t="inlineStr">
        <is>
          <t>1919-03-20</t>
        </is>
      </c>
    </row>
    <row r="7051">
      <c r="A7051" s="1" t="n">
        <v>7050</v>
      </c>
      <c r="B7051">
        <f>TEXT(7050, "[$-0E0000]yyyy-mm-dd")</f>
        <v/>
      </c>
      <c r="C7051" t="inlineStr">
        <is>
          <t>1919-03-21</t>
        </is>
      </c>
    </row>
    <row r="7052">
      <c r="A7052" s="1" t="n">
        <v>7051</v>
      </c>
      <c r="B7052">
        <f>TEXT(7051, "[$-0E0000]yyyy-mm-dd")</f>
        <v/>
      </c>
      <c r="C7052" t="inlineStr">
        <is>
          <t>1919-03-22</t>
        </is>
      </c>
    </row>
    <row r="7053">
      <c r="A7053" s="1" t="n">
        <v>7052</v>
      </c>
      <c r="B7053">
        <f>TEXT(7052, "[$-0E0000]yyyy-mm-dd")</f>
        <v/>
      </c>
      <c r="C7053" t="inlineStr">
        <is>
          <t>1919-03-23</t>
        </is>
      </c>
    </row>
    <row r="7054">
      <c r="A7054" s="1" t="n">
        <v>7053</v>
      </c>
      <c r="B7054">
        <f>TEXT(7053, "[$-0E0000]yyyy-mm-dd")</f>
        <v/>
      </c>
      <c r="C7054" t="inlineStr">
        <is>
          <t>1919-03-24</t>
        </is>
      </c>
    </row>
    <row r="7055">
      <c r="A7055" s="1" t="n">
        <v>7054</v>
      </c>
      <c r="B7055">
        <f>TEXT(7054, "[$-0E0000]yyyy-mm-dd")</f>
        <v/>
      </c>
      <c r="C7055" t="inlineStr">
        <is>
          <t>1919-03-25</t>
        </is>
      </c>
    </row>
    <row r="7056">
      <c r="A7056" s="1" t="n">
        <v>7055</v>
      </c>
      <c r="B7056">
        <f>TEXT(7055, "[$-0E0000]yyyy-mm-dd")</f>
        <v/>
      </c>
      <c r="C7056" t="inlineStr">
        <is>
          <t>1919-03-26</t>
        </is>
      </c>
    </row>
    <row r="7057">
      <c r="A7057" s="1" t="n">
        <v>7056</v>
      </c>
      <c r="B7057">
        <f>TEXT(7056, "[$-0E0000]yyyy-mm-dd")</f>
        <v/>
      </c>
      <c r="C7057" t="inlineStr">
        <is>
          <t>1919-03-27</t>
        </is>
      </c>
    </row>
    <row r="7058">
      <c r="A7058" s="1" t="n">
        <v>7057</v>
      </c>
      <c r="B7058">
        <f>TEXT(7057, "[$-0E0000]yyyy-mm-dd")</f>
        <v/>
      </c>
      <c r="C7058" t="inlineStr">
        <is>
          <t>1919-03-28</t>
        </is>
      </c>
    </row>
    <row r="7059">
      <c r="A7059" s="1" t="n">
        <v>7058</v>
      </c>
      <c r="B7059">
        <f>TEXT(7058, "[$-0E0000]yyyy-mm-dd")</f>
        <v/>
      </c>
      <c r="C7059" t="inlineStr">
        <is>
          <t>1919-03-29</t>
        </is>
      </c>
    </row>
    <row r="7060">
      <c r="A7060" s="1" t="n">
        <v>7059</v>
      </c>
      <c r="B7060">
        <f>TEXT(7059, "[$-0E0000]yyyy-mm-dd")</f>
        <v/>
      </c>
      <c r="C7060" t="inlineStr">
        <is>
          <t>1919-04-01</t>
        </is>
      </c>
    </row>
    <row r="7061">
      <c r="A7061" s="1" t="n">
        <v>7060</v>
      </c>
      <c r="B7061">
        <f>TEXT(7060, "[$-0E0000]yyyy-mm-dd")</f>
        <v/>
      </c>
      <c r="C7061" t="inlineStr">
        <is>
          <t>1919-04-02</t>
        </is>
      </c>
    </row>
    <row r="7062">
      <c r="A7062" s="1" t="n">
        <v>7061</v>
      </c>
      <c r="B7062">
        <f>TEXT(7061, "[$-0E0000]yyyy-mm-dd")</f>
        <v/>
      </c>
      <c r="C7062" t="inlineStr">
        <is>
          <t>1919-04-03</t>
        </is>
      </c>
    </row>
    <row r="7063">
      <c r="A7063" s="1" t="n">
        <v>7062</v>
      </c>
      <c r="B7063">
        <f>TEXT(7062, "[$-0E0000]yyyy-mm-dd")</f>
        <v/>
      </c>
      <c r="C7063" t="inlineStr">
        <is>
          <t>1919-04-04</t>
        </is>
      </c>
    </row>
    <row r="7064">
      <c r="A7064" s="1" t="n">
        <v>7063</v>
      </c>
      <c r="B7064">
        <f>TEXT(7063, "[$-0E0000]yyyy-mm-dd")</f>
        <v/>
      </c>
      <c r="C7064" t="inlineStr">
        <is>
          <t>1919-04-05</t>
        </is>
      </c>
    </row>
    <row r="7065">
      <c r="A7065" s="1" t="n">
        <v>7064</v>
      </c>
      <c r="B7065">
        <f>TEXT(7064, "[$-0E0000]yyyy-mm-dd")</f>
        <v/>
      </c>
      <c r="C7065" t="inlineStr">
        <is>
          <t>1919-04-06</t>
        </is>
      </c>
    </row>
    <row r="7066">
      <c r="A7066" s="1" t="n">
        <v>7065</v>
      </c>
      <c r="B7066">
        <f>TEXT(7065, "[$-0E0000]yyyy-mm-dd")</f>
        <v/>
      </c>
      <c r="C7066" t="inlineStr">
        <is>
          <t>1919-04-07</t>
        </is>
      </c>
    </row>
    <row r="7067">
      <c r="A7067" s="1" t="n">
        <v>7066</v>
      </c>
      <c r="B7067">
        <f>TEXT(7066, "[$-0E0000]yyyy-mm-dd")</f>
        <v/>
      </c>
      <c r="C7067" t="inlineStr">
        <is>
          <t>1919-04-08</t>
        </is>
      </c>
    </row>
    <row r="7068">
      <c r="A7068" s="1" t="n">
        <v>7067</v>
      </c>
      <c r="B7068">
        <f>TEXT(7067, "[$-0E0000]yyyy-mm-dd")</f>
        <v/>
      </c>
      <c r="C7068" t="inlineStr">
        <is>
          <t>1919-04-09</t>
        </is>
      </c>
    </row>
    <row r="7069">
      <c r="A7069" s="1" t="n">
        <v>7068</v>
      </c>
      <c r="B7069">
        <f>TEXT(7068, "[$-0E0000]yyyy-mm-dd")</f>
        <v/>
      </c>
      <c r="C7069" t="inlineStr">
        <is>
          <t>1919-04-10</t>
        </is>
      </c>
    </row>
    <row r="7070">
      <c r="A7070" s="1" t="n">
        <v>7069</v>
      </c>
      <c r="B7070">
        <f>TEXT(7069, "[$-0E0000]yyyy-mm-dd")</f>
        <v/>
      </c>
      <c r="C7070" t="inlineStr">
        <is>
          <t>1919-04-11</t>
        </is>
      </c>
    </row>
    <row r="7071">
      <c r="A7071" s="1" t="n">
        <v>7070</v>
      </c>
      <c r="B7071">
        <f>TEXT(7070, "[$-0E0000]yyyy-mm-dd")</f>
        <v/>
      </c>
      <c r="C7071" t="inlineStr">
        <is>
          <t>1919-04-12</t>
        </is>
      </c>
    </row>
    <row r="7072">
      <c r="A7072" s="1" t="n">
        <v>7071</v>
      </c>
      <c r="B7072">
        <f>TEXT(7071, "[$-0E0000]yyyy-mm-dd")</f>
        <v/>
      </c>
      <c r="C7072" t="inlineStr">
        <is>
          <t>1919-04-13</t>
        </is>
      </c>
    </row>
    <row r="7073">
      <c r="A7073" s="1" t="n">
        <v>7072</v>
      </c>
      <c r="B7073">
        <f>TEXT(7072, "[$-0E0000]yyyy-mm-dd")</f>
        <v/>
      </c>
      <c r="C7073" t="inlineStr">
        <is>
          <t>1919-04-14</t>
        </is>
      </c>
    </row>
    <row r="7074">
      <c r="A7074" s="1" t="n">
        <v>7073</v>
      </c>
      <c r="B7074">
        <f>TEXT(7073, "[$-0E0000]yyyy-mm-dd")</f>
        <v/>
      </c>
      <c r="C7074" t="inlineStr">
        <is>
          <t>1919-04-15</t>
        </is>
      </c>
    </row>
    <row r="7075">
      <c r="A7075" s="1" t="n">
        <v>7074</v>
      </c>
      <c r="B7075">
        <f>TEXT(7074, "[$-0E0000]yyyy-mm-dd")</f>
        <v/>
      </c>
      <c r="C7075" t="inlineStr">
        <is>
          <t>1919-04-16</t>
        </is>
      </c>
    </row>
    <row r="7076">
      <c r="A7076" s="1" t="n">
        <v>7075</v>
      </c>
      <c r="B7076">
        <f>TEXT(7075, "[$-0E0000]yyyy-mm-dd")</f>
        <v/>
      </c>
      <c r="C7076" t="inlineStr">
        <is>
          <t>1919-04-17</t>
        </is>
      </c>
    </row>
    <row r="7077">
      <c r="A7077" s="1" t="n">
        <v>7076</v>
      </c>
      <c r="B7077">
        <f>TEXT(7076, "[$-0E0000]yyyy-mm-dd")</f>
        <v/>
      </c>
      <c r="C7077" t="inlineStr">
        <is>
          <t>1919-04-18</t>
        </is>
      </c>
    </row>
    <row r="7078">
      <c r="A7078" s="1" t="n">
        <v>7077</v>
      </c>
      <c r="B7078">
        <f>TEXT(7077, "[$-0E0000]yyyy-mm-dd")</f>
        <v/>
      </c>
      <c r="C7078" t="inlineStr">
        <is>
          <t>1919-04-19</t>
        </is>
      </c>
    </row>
    <row r="7079">
      <c r="A7079" s="1" t="n">
        <v>7078</v>
      </c>
      <c r="B7079">
        <f>TEXT(7078, "[$-0E0000]yyyy-mm-dd")</f>
        <v/>
      </c>
      <c r="C7079" t="inlineStr">
        <is>
          <t>1919-04-20</t>
        </is>
      </c>
    </row>
    <row r="7080">
      <c r="A7080" s="1" t="n">
        <v>7079</v>
      </c>
      <c r="B7080">
        <f>TEXT(7079, "[$-0E0000]yyyy-mm-dd")</f>
        <v/>
      </c>
      <c r="C7080" t="inlineStr">
        <is>
          <t>1919-04-21</t>
        </is>
      </c>
    </row>
    <row r="7081">
      <c r="A7081" s="1" t="n">
        <v>7080</v>
      </c>
      <c r="B7081">
        <f>TEXT(7080, "[$-0E0000]yyyy-mm-dd")</f>
        <v/>
      </c>
      <c r="C7081" t="inlineStr">
        <is>
          <t>1919-04-22</t>
        </is>
      </c>
    </row>
    <row r="7082">
      <c r="A7082" s="1" t="n">
        <v>7081</v>
      </c>
      <c r="B7082">
        <f>TEXT(7081, "[$-0E0000]yyyy-mm-dd")</f>
        <v/>
      </c>
      <c r="C7082" t="inlineStr">
        <is>
          <t>1919-04-23</t>
        </is>
      </c>
    </row>
    <row r="7083">
      <c r="A7083" s="1" t="n">
        <v>7082</v>
      </c>
      <c r="B7083">
        <f>TEXT(7082, "[$-0E0000]yyyy-mm-dd")</f>
        <v/>
      </c>
      <c r="C7083" t="inlineStr">
        <is>
          <t>1919-04-24</t>
        </is>
      </c>
    </row>
    <row r="7084">
      <c r="A7084" s="1" t="n">
        <v>7083</v>
      </c>
      <c r="B7084">
        <f>TEXT(7083, "[$-0E0000]yyyy-mm-dd")</f>
        <v/>
      </c>
      <c r="C7084" t="inlineStr">
        <is>
          <t>1919-04-25</t>
        </is>
      </c>
    </row>
    <row r="7085">
      <c r="A7085" s="1" t="n">
        <v>7084</v>
      </c>
      <c r="B7085">
        <f>TEXT(7084, "[$-0E0000]yyyy-mm-dd")</f>
        <v/>
      </c>
      <c r="C7085" t="inlineStr">
        <is>
          <t>1919-04-26</t>
        </is>
      </c>
    </row>
    <row r="7086">
      <c r="A7086" s="1" t="n">
        <v>7085</v>
      </c>
      <c r="B7086">
        <f>TEXT(7085, "[$-0E0000]yyyy-mm-dd")</f>
        <v/>
      </c>
      <c r="C7086" t="inlineStr">
        <is>
          <t>1919-04-27</t>
        </is>
      </c>
    </row>
    <row r="7087">
      <c r="A7087" s="1" t="n">
        <v>7086</v>
      </c>
      <c r="B7087">
        <f>TEXT(7086, "[$-0E0000]yyyy-mm-dd")</f>
        <v/>
      </c>
      <c r="C7087" t="inlineStr">
        <is>
          <t>1919-04-28</t>
        </is>
      </c>
    </row>
    <row r="7088">
      <c r="A7088" s="1" t="n">
        <v>7087</v>
      </c>
      <c r="B7088">
        <f>TEXT(7087, "[$-0E0000]yyyy-mm-dd")</f>
        <v/>
      </c>
      <c r="C7088" t="inlineStr">
        <is>
          <t>1919-04-29</t>
        </is>
      </c>
    </row>
    <row r="7089">
      <c r="A7089" s="1" t="n">
        <v>7088</v>
      </c>
      <c r="B7089">
        <f>TEXT(7088, "[$-0E0000]yyyy-mm-dd")</f>
        <v/>
      </c>
      <c r="C7089" t="inlineStr">
        <is>
          <t>1919-05-01</t>
        </is>
      </c>
    </row>
    <row r="7090">
      <c r="A7090" s="1" t="n">
        <v>7089</v>
      </c>
      <c r="B7090">
        <f>TEXT(7089, "[$-0E0000]yyyy-mm-dd")</f>
        <v/>
      </c>
      <c r="C7090" t="inlineStr">
        <is>
          <t>1919-05-02</t>
        </is>
      </c>
    </row>
    <row r="7091">
      <c r="A7091" s="1" t="n">
        <v>7090</v>
      </c>
      <c r="B7091">
        <f>TEXT(7090, "[$-0E0000]yyyy-mm-dd")</f>
        <v/>
      </c>
      <c r="C7091" t="inlineStr">
        <is>
          <t>1919-05-03</t>
        </is>
      </c>
    </row>
    <row r="7092">
      <c r="A7092" s="1" t="n">
        <v>7091</v>
      </c>
      <c r="B7092">
        <f>TEXT(7091, "[$-0E0000]yyyy-mm-dd")</f>
        <v/>
      </c>
      <c r="C7092" t="inlineStr">
        <is>
          <t>1919-05-04</t>
        </is>
      </c>
    </row>
    <row r="7093">
      <c r="A7093" s="1" t="n">
        <v>7092</v>
      </c>
      <c r="B7093">
        <f>TEXT(7092, "[$-0E0000]yyyy-mm-dd")</f>
        <v/>
      </c>
      <c r="C7093" t="inlineStr">
        <is>
          <t>1919-05-05</t>
        </is>
      </c>
    </row>
    <row r="7094">
      <c r="A7094" s="1" t="n">
        <v>7093</v>
      </c>
      <c r="B7094">
        <f>TEXT(7093, "[$-0E0000]yyyy-mm-dd")</f>
        <v/>
      </c>
      <c r="C7094" t="inlineStr">
        <is>
          <t>1919-05-06</t>
        </is>
      </c>
    </row>
    <row r="7095">
      <c r="A7095" s="1" t="n">
        <v>7094</v>
      </c>
      <c r="B7095">
        <f>TEXT(7094, "[$-0E0000]yyyy-mm-dd")</f>
        <v/>
      </c>
      <c r="C7095" t="inlineStr">
        <is>
          <t>1919-05-07</t>
        </is>
      </c>
    </row>
    <row r="7096">
      <c r="A7096" s="1" t="n">
        <v>7095</v>
      </c>
      <c r="B7096">
        <f>TEXT(7095, "[$-0E0000]yyyy-mm-dd")</f>
        <v/>
      </c>
      <c r="C7096" t="inlineStr">
        <is>
          <t>1919-05-08</t>
        </is>
      </c>
    </row>
    <row r="7097">
      <c r="A7097" s="1" t="n">
        <v>7096</v>
      </c>
      <c r="B7097">
        <f>TEXT(7096, "[$-0E0000]yyyy-mm-dd")</f>
        <v/>
      </c>
      <c r="C7097" t="inlineStr">
        <is>
          <t>1919-05-09</t>
        </is>
      </c>
    </row>
    <row r="7098">
      <c r="A7098" s="1" t="n">
        <v>7097</v>
      </c>
      <c r="B7098">
        <f>TEXT(7097, "[$-0E0000]yyyy-mm-dd")</f>
        <v/>
      </c>
      <c r="C7098" t="inlineStr">
        <is>
          <t>1919-05-10</t>
        </is>
      </c>
    </row>
    <row r="7099">
      <c r="A7099" s="1" t="n">
        <v>7098</v>
      </c>
      <c r="B7099">
        <f>TEXT(7098, "[$-0E0000]yyyy-mm-dd")</f>
        <v/>
      </c>
      <c r="C7099" t="inlineStr">
        <is>
          <t>1919-05-11</t>
        </is>
      </c>
    </row>
    <row r="7100">
      <c r="A7100" s="1" t="n">
        <v>7099</v>
      </c>
      <c r="B7100">
        <f>TEXT(7099, "[$-0E0000]yyyy-mm-dd")</f>
        <v/>
      </c>
      <c r="C7100" t="inlineStr">
        <is>
          <t>1919-05-12</t>
        </is>
      </c>
    </row>
    <row r="7101">
      <c r="A7101" s="1" t="n">
        <v>7100</v>
      </c>
      <c r="B7101">
        <f>TEXT(7100, "[$-0E0000]yyyy-mm-dd")</f>
        <v/>
      </c>
      <c r="C7101" t="inlineStr">
        <is>
          <t>1919-05-13</t>
        </is>
      </c>
    </row>
    <row r="7102">
      <c r="A7102" s="1" t="n">
        <v>7101</v>
      </c>
      <c r="B7102">
        <f>TEXT(7101, "[$-0E0000]yyyy-mm-dd")</f>
        <v/>
      </c>
      <c r="C7102" t="inlineStr">
        <is>
          <t>1919-05-14</t>
        </is>
      </c>
    </row>
    <row r="7103">
      <c r="A7103" s="1" t="n">
        <v>7102</v>
      </c>
      <c r="B7103">
        <f>TEXT(7102, "[$-0E0000]yyyy-mm-dd")</f>
        <v/>
      </c>
      <c r="C7103" t="inlineStr">
        <is>
          <t>1919-05-15</t>
        </is>
      </c>
    </row>
    <row r="7104">
      <c r="A7104" s="1" t="n">
        <v>7103</v>
      </c>
      <c r="B7104">
        <f>TEXT(7103, "[$-0E0000]yyyy-mm-dd")</f>
        <v/>
      </c>
      <c r="C7104" t="inlineStr">
        <is>
          <t>1919-05-16</t>
        </is>
      </c>
    </row>
    <row r="7105">
      <c r="A7105" s="1" t="n">
        <v>7104</v>
      </c>
      <c r="B7105">
        <f>TEXT(7104, "[$-0E0000]yyyy-mm-dd")</f>
        <v/>
      </c>
      <c r="C7105" t="inlineStr">
        <is>
          <t>1919-05-17</t>
        </is>
      </c>
    </row>
    <row r="7106">
      <c r="A7106" s="1" t="n">
        <v>7105</v>
      </c>
      <c r="B7106">
        <f>TEXT(7105, "[$-0E0000]yyyy-mm-dd")</f>
        <v/>
      </c>
      <c r="C7106" t="inlineStr">
        <is>
          <t>1919-05-18</t>
        </is>
      </c>
    </row>
    <row r="7107">
      <c r="A7107" s="1" t="n">
        <v>7106</v>
      </c>
      <c r="B7107">
        <f>TEXT(7106, "[$-0E0000]yyyy-mm-dd")</f>
        <v/>
      </c>
      <c r="C7107" t="inlineStr">
        <is>
          <t>1919-05-19</t>
        </is>
      </c>
    </row>
    <row r="7108">
      <c r="A7108" s="1" t="n">
        <v>7107</v>
      </c>
      <c r="B7108">
        <f>TEXT(7107, "[$-0E0000]yyyy-mm-dd")</f>
        <v/>
      </c>
      <c r="C7108" t="inlineStr">
        <is>
          <t>1919-05-20</t>
        </is>
      </c>
    </row>
    <row r="7109">
      <c r="A7109" s="1" t="n">
        <v>7108</v>
      </c>
      <c r="B7109">
        <f>TEXT(7108, "[$-0E0000]yyyy-mm-dd")</f>
        <v/>
      </c>
      <c r="C7109" t="inlineStr">
        <is>
          <t>1919-05-21</t>
        </is>
      </c>
    </row>
    <row r="7110">
      <c r="A7110" s="1" t="n">
        <v>7109</v>
      </c>
      <c r="B7110">
        <f>TEXT(7109, "[$-0E0000]yyyy-mm-dd")</f>
        <v/>
      </c>
      <c r="C7110" t="inlineStr">
        <is>
          <t>1919-05-22</t>
        </is>
      </c>
    </row>
    <row r="7111">
      <c r="A7111" s="1" t="n">
        <v>7110</v>
      </c>
      <c r="B7111">
        <f>TEXT(7110, "[$-0E0000]yyyy-mm-dd")</f>
        <v/>
      </c>
      <c r="C7111" t="inlineStr">
        <is>
          <t>1919-05-23</t>
        </is>
      </c>
    </row>
    <row r="7112">
      <c r="A7112" s="1" t="n">
        <v>7111</v>
      </c>
      <c r="B7112">
        <f>TEXT(7111, "[$-0E0000]yyyy-mm-dd")</f>
        <v/>
      </c>
      <c r="C7112" t="inlineStr">
        <is>
          <t>1919-05-24</t>
        </is>
      </c>
    </row>
    <row r="7113">
      <c r="A7113" s="1" t="n">
        <v>7112</v>
      </c>
      <c r="B7113">
        <f>TEXT(7112, "[$-0E0000]yyyy-mm-dd")</f>
        <v/>
      </c>
      <c r="C7113" t="inlineStr">
        <is>
          <t>1919-05-25</t>
        </is>
      </c>
    </row>
    <row r="7114">
      <c r="A7114" s="1" t="n">
        <v>7113</v>
      </c>
      <c r="B7114">
        <f>TEXT(7113, "[$-0E0000]yyyy-mm-dd")</f>
        <v/>
      </c>
      <c r="C7114" t="inlineStr">
        <is>
          <t>1919-05-26</t>
        </is>
      </c>
    </row>
    <row r="7115">
      <c r="A7115" s="1" t="n">
        <v>7114</v>
      </c>
      <c r="B7115">
        <f>TEXT(7114, "[$-0E0000]yyyy-mm-dd")</f>
        <v/>
      </c>
      <c r="C7115" t="inlineStr">
        <is>
          <t>1919-05-27</t>
        </is>
      </c>
    </row>
    <row r="7116">
      <c r="A7116" s="1" t="n">
        <v>7115</v>
      </c>
      <c r="B7116">
        <f>TEXT(7115, "[$-0E0000]yyyy-mm-dd")</f>
        <v/>
      </c>
      <c r="C7116" t="inlineStr">
        <is>
          <t>1919-05-28</t>
        </is>
      </c>
    </row>
    <row r="7117">
      <c r="A7117" s="1" t="n">
        <v>7116</v>
      </c>
      <c r="B7117">
        <f>TEXT(7116, "[$-0E0000]yyyy-mm-dd")</f>
        <v/>
      </c>
      <c r="C7117" t="inlineStr">
        <is>
          <t>1919-05-29</t>
        </is>
      </c>
    </row>
    <row r="7118">
      <c r="A7118" s="1" t="n">
        <v>7117</v>
      </c>
      <c r="B7118">
        <f>TEXT(7117, "[$-0E0000]yyyy-mm-dd")</f>
        <v/>
      </c>
      <c r="C7118" t="inlineStr">
        <is>
          <t>1919-05-30</t>
        </is>
      </c>
    </row>
    <row r="7119">
      <c r="A7119" s="1" t="n">
        <v>7118</v>
      </c>
      <c r="B7119">
        <f>TEXT(7118, "[$-0E0000]yyyy-mm-dd")</f>
        <v/>
      </c>
      <c r="C7119" t="inlineStr">
        <is>
          <t>1919-06-01</t>
        </is>
      </c>
    </row>
    <row r="7120">
      <c r="A7120" s="1" t="n">
        <v>7119</v>
      </c>
      <c r="B7120">
        <f>TEXT(7119, "[$-0E0000]yyyy-mm-dd")</f>
        <v/>
      </c>
      <c r="C7120" t="inlineStr">
        <is>
          <t>1919-06-02</t>
        </is>
      </c>
    </row>
    <row r="7121">
      <c r="A7121" s="1" t="n">
        <v>7120</v>
      </c>
      <c r="B7121">
        <f>TEXT(7120, "[$-0E0000]yyyy-mm-dd")</f>
        <v/>
      </c>
      <c r="C7121" t="inlineStr">
        <is>
          <t>1919-06-03</t>
        </is>
      </c>
    </row>
    <row r="7122">
      <c r="A7122" s="1" t="n">
        <v>7121</v>
      </c>
      <c r="B7122">
        <f>TEXT(7121, "[$-0E0000]yyyy-mm-dd")</f>
        <v/>
      </c>
      <c r="C7122" t="inlineStr">
        <is>
          <t>1919-06-04</t>
        </is>
      </c>
    </row>
    <row r="7123">
      <c r="A7123" s="1" t="n">
        <v>7122</v>
      </c>
      <c r="B7123">
        <f>TEXT(7122, "[$-0E0000]yyyy-mm-dd")</f>
        <v/>
      </c>
      <c r="C7123" t="inlineStr">
        <is>
          <t>1919-06-05</t>
        </is>
      </c>
    </row>
    <row r="7124">
      <c r="A7124" s="1" t="n">
        <v>7123</v>
      </c>
      <c r="B7124">
        <f>TEXT(7123, "[$-0E0000]yyyy-mm-dd")</f>
        <v/>
      </c>
      <c r="C7124" t="inlineStr">
        <is>
          <t>1919-06-06</t>
        </is>
      </c>
    </row>
    <row r="7125">
      <c r="A7125" s="1" t="n">
        <v>7124</v>
      </c>
      <c r="B7125">
        <f>TEXT(7124, "[$-0E0000]yyyy-mm-dd")</f>
        <v/>
      </c>
      <c r="C7125" t="inlineStr">
        <is>
          <t>1919-06-07</t>
        </is>
      </c>
    </row>
    <row r="7126">
      <c r="A7126" s="1" t="n">
        <v>7125</v>
      </c>
      <c r="B7126">
        <f>TEXT(7125, "[$-0E0000]yyyy-mm-dd")</f>
        <v/>
      </c>
      <c r="C7126" t="inlineStr">
        <is>
          <t>1919-06-08</t>
        </is>
      </c>
    </row>
    <row r="7127">
      <c r="A7127" s="1" t="n">
        <v>7126</v>
      </c>
      <c r="B7127">
        <f>TEXT(7126, "[$-0E0000]yyyy-mm-dd")</f>
        <v/>
      </c>
      <c r="C7127" t="inlineStr">
        <is>
          <t>1919-06-09</t>
        </is>
      </c>
    </row>
    <row r="7128">
      <c r="A7128" s="1" t="n">
        <v>7127</v>
      </c>
      <c r="B7128">
        <f>TEXT(7127, "[$-0E0000]yyyy-mm-dd")</f>
        <v/>
      </c>
      <c r="C7128" t="inlineStr">
        <is>
          <t>1919-06-10</t>
        </is>
      </c>
    </row>
    <row r="7129">
      <c r="A7129" s="1" t="n">
        <v>7128</v>
      </c>
      <c r="B7129">
        <f>TEXT(7128, "[$-0E0000]yyyy-mm-dd")</f>
        <v/>
      </c>
      <c r="C7129" t="inlineStr">
        <is>
          <t>1919-06-11</t>
        </is>
      </c>
    </row>
    <row r="7130">
      <c r="A7130" s="1" t="n">
        <v>7129</v>
      </c>
      <c r="B7130">
        <f>TEXT(7129, "[$-0E0000]yyyy-mm-dd")</f>
        <v/>
      </c>
      <c r="C7130" t="inlineStr">
        <is>
          <t>1919-06-12</t>
        </is>
      </c>
    </row>
    <row r="7131">
      <c r="A7131" s="1" t="n">
        <v>7130</v>
      </c>
      <c r="B7131">
        <f>TEXT(7130, "[$-0E0000]yyyy-mm-dd")</f>
        <v/>
      </c>
      <c r="C7131" t="inlineStr">
        <is>
          <t>1919-06-13</t>
        </is>
      </c>
    </row>
    <row r="7132">
      <c r="A7132" s="1" t="n">
        <v>7131</v>
      </c>
      <c r="B7132">
        <f>TEXT(7131, "[$-0E0000]yyyy-mm-dd")</f>
        <v/>
      </c>
      <c r="C7132" t="inlineStr">
        <is>
          <t>1919-06-14</t>
        </is>
      </c>
    </row>
    <row r="7133">
      <c r="A7133" s="1" t="n">
        <v>7132</v>
      </c>
      <c r="B7133">
        <f>TEXT(7132, "[$-0E0000]yyyy-mm-dd")</f>
        <v/>
      </c>
      <c r="C7133" t="inlineStr">
        <is>
          <t>1919-06-15</t>
        </is>
      </c>
    </row>
    <row r="7134">
      <c r="A7134" s="1" t="n">
        <v>7133</v>
      </c>
      <c r="B7134">
        <f>TEXT(7133, "[$-0E0000]yyyy-mm-dd")</f>
        <v/>
      </c>
      <c r="C7134" t="inlineStr">
        <is>
          <t>1919-06-16</t>
        </is>
      </c>
    </row>
    <row r="7135">
      <c r="A7135" s="1" t="n">
        <v>7134</v>
      </c>
      <c r="B7135">
        <f>TEXT(7134, "[$-0E0000]yyyy-mm-dd")</f>
        <v/>
      </c>
      <c r="C7135" t="inlineStr">
        <is>
          <t>1919-06-17</t>
        </is>
      </c>
    </row>
    <row r="7136">
      <c r="A7136" s="1" t="n">
        <v>7135</v>
      </c>
      <c r="B7136">
        <f>TEXT(7135, "[$-0E0000]yyyy-mm-dd")</f>
        <v/>
      </c>
      <c r="C7136" t="inlineStr">
        <is>
          <t>1919-06-18</t>
        </is>
      </c>
    </row>
    <row r="7137">
      <c r="A7137" s="1" t="n">
        <v>7136</v>
      </c>
      <c r="B7137">
        <f>TEXT(7136, "[$-0E0000]yyyy-mm-dd")</f>
        <v/>
      </c>
      <c r="C7137" t="inlineStr">
        <is>
          <t>1919-06-19</t>
        </is>
      </c>
    </row>
    <row r="7138">
      <c r="A7138" s="1" t="n">
        <v>7137</v>
      </c>
      <c r="B7138">
        <f>TEXT(7137, "[$-0E0000]yyyy-mm-dd")</f>
        <v/>
      </c>
      <c r="C7138" t="inlineStr">
        <is>
          <t>1919-06-20</t>
        </is>
      </c>
    </row>
    <row r="7139">
      <c r="A7139" s="1" t="n">
        <v>7138</v>
      </c>
      <c r="B7139">
        <f>TEXT(7138, "[$-0E0000]yyyy-mm-dd")</f>
        <v/>
      </c>
      <c r="C7139" t="inlineStr">
        <is>
          <t>1919-06-21</t>
        </is>
      </c>
    </row>
    <row r="7140">
      <c r="A7140" s="1" t="n">
        <v>7139</v>
      </c>
      <c r="B7140">
        <f>TEXT(7139, "[$-0E0000]yyyy-mm-dd")</f>
        <v/>
      </c>
      <c r="C7140" t="inlineStr">
        <is>
          <t>1919-06-22</t>
        </is>
      </c>
    </row>
    <row r="7141">
      <c r="A7141" s="1" t="n">
        <v>7140</v>
      </c>
      <c r="B7141">
        <f>TEXT(7140, "[$-0E0000]yyyy-mm-dd")</f>
        <v/>
      </c>
      <c r="C7141" t="inlineStr">
        <is>
          <t>1919-06-23</t>
        </is>
      </c>
    </row>
    <row r="7142">
      <c r="A7142" s="1" t="n">
        <v>7141</v>
      </c>
      <c r="B7142">
        <f>TEXT(7141, "[$-0E0000]yyyy-mm-dd")</f>
        <v/>
      </c>
      <c r="C7142" t="inlineStr">
        <is>
          <t>1919-06-24</t>
        </is>
      </c>
    </row>
    <row r="7143">
      <c r="A7143" s="1" t="n">
        <v>7142</v>
      </c>
      <c r="B7143">
        <f>TEXT(7142, "[$-0E0000]yyyy-mm-dd")</f>
        <v/>
      </c>
      <c r="C7143" t="inlineStr">
        <is>
          <t>1919-06-25</t>
        </is>
      </c>
    </row>
    <row r="7144">
      <c r="A7144" s="1" t="n">
        <v>7143</v>
      </c>
      <c r="B7144">
        <f>TEXT(7143, "[$-0E0000]yyyy-mm-dd")</f>
        <v/>
      </c>
      <c r="C7144" t="inlineStr">
        <is>
          <t>1919-06-26</t>
        </is>
      </c>
    </row>
    <row r="7145">
      <c r="A7145" s="1" t="n">
        <v>7144</v>
      </c>
      <c r="B7145">
        <f>TEXT(7144, "[$-0E0000]yyyy-mm-dd")</f>
        <v/>
      </c>
      <c r="C7145" t="inlineStr">
        <is>
          <t>1919-06-27</t>
        </is>
      </c>
    </row>
    <row r="7146">
      <c r="A7146" s="1" t="n">
        <v>7145</v>
      </c>
      <c r="B7146">
        <f>TEXT(7145, "[$-0E0000]yyyy-mm-dd")</f>
        <v/>
      </c>
      <c r="C7146" t="inlineStr">
        <is>
          <t>1919-06-28</t>
        </is>
      </c>
    </row>
    <row r="7147">
      <c r="A7147" s="1" t="n">
        <v>7146</v>
      </c>
      <c r="B7147">
        <f>TEXT(7146, "[$-0E0000]yyyy-mm-dd")</f>
        <v/>
      </c>
      <c r="C7147" t="inlineStr">
        <is>
          <t>1919-06-29</t>
        </is>
      </c>
    </row>
    <row r="7148">
      <c r="A7148" s="1" t="n">
        <v>7147</v>
      </c>
      <c r="B7148">
        <f>TEXT(7147, "[$-0E0000]yyyy-mm-dd")</f>
        <v/>
      </c>
      <c r="C7148" t="inlineStr">
        <is>
          <t>1919-07-01</t>
        </is>
      </c>
    </row>
    <row r="7149">
      <c r="A7149" s="1" t="n">
        <v>7148</v>
      </c>
      <c r="B7149">
        <f>TEXT(7148, "[$-0E0000]yyyy-mm-dd")</f>
        <v/>
      </c>
      <c r="C7149" t="inlineStr">
        <is>
          <t>1919-07-02</t>
        </is>
      </c>
    </row>
    <row r="7150">
      <c r="A7150" s="1" t="n">
        <v>7149</v>
      </c>
      <c r="B7150">
        <f>TEXT(7149, "[$-0E0000]yyyy-mm-dd")</f>
        <v/>
      </c>
      <c r="C7150" t="inlineStr">
        <is>
          <t>1919-07-03</t>
        </is>
      </c>
    </row>
    <row r="7151">
      <c r="A7151" s="1" t="n">
        <v>7150</v>
      </c>
      <c r="B7151">
        <f>TEXT(7150, "[$-0E0000]yyyy-mm-dd")</f>
        <v/>
      </c>
      <c r="C7151" t="inlineStr">
        <is>
          <t>1919-07-04</t>
        </is>
      </c>
    </row>
    <row r="7152">
      <c r="A7152" s="1" t="n">
        <v>7151</v>
      </c>
      <c r="B7152">
        <f>TEXT(7151, "[$-0E0000]yyyy-mm-dd")</f>
        <v/>
      </c>
      <c r="C7152" t="inlineStr">
        <is>
          <t>1919-07-05</t>
        </is>
      </c>
    </row>
    <row r="7153">
      <c r="A7153" s="1" t="n">
        <v>7152</v>
      </c>
      <c r="B7153">
        <f>TEXT(7152, "[$-0E0000]yyyy-mm-dd")</f>
        <v/>
      </c>
      <c r="C7153" t="inlineStr">
        <is>
          <t>1919-07-06</t>
        </is>
      </c>
    </row>
    <row r="7154">
      <c r="A7154" s="1" t="n">
        <v>7153</v>
      </c>
      <c r="B7154">
        <f>TEXT(7153, "[$-0E0000]yyyy-mm-dd")</f>
        <v/>
      </c>
      <c r="C7154" t="inlineStr">
        <is>
          <t>1919-07-07</t>
        </is>
      </c>
    </row>
    <row r="7155">
      <c r="A7155" s="1" t="n">
        <v>7154</v>
      </c>
      <c r="B7155">
        <f>TEXT(7154, "[$-0E0000]yyyy-mm-dd")</f>
        <v/>
      </c>
      <c r="C7155" t="inlineStr">
        <is>
          <t>1919-07-08</t>
        </is>
      </c>
    </row>
    <row r="7156">
      <c r="A7156" s="1" t="n">
        <v>7155</v>
      </c>
      <c r="B7156">
        <f>TEXT(7155, "[$-0E0000]yyyy-mm-dd")</f>
        <v/>
      </c>
      <c r="C7156" t="inlineStr">
        <is>
          <t>1919-07-09</t>
        </is>
      </c>
    </row>
    <row r="7157">
      <c r="A7157" s="1" t="n">
        <v>7156</v>
      </c>
      <c r="B7157">
        <f>TEXT(7156, "[$-0E0000]yyyy-mm-dd")</f>
        <v/>
      </c>
      <c r="C7157" t="inlineStr">
        <is>
          <t>1919-07-10</t>
        </is>
      </c>
    </row>
    <row r="7158">
      <c r="A7158" s="1" t="n">
        <v>7157</v>
      </c>
      <c r="B7158">
        <f>TEXT(7157, "[$-0E0000]yyyy-mm-dd")</f>
        <v/>
      </c>
      <c r="C7158" t="inlineStr">
        <is>
          <t>1919-07-11</t>
        </is>
      </c>
    </row>
    <row r="7159">
      <c r="A7159" s="1" t="n">
        <v>7158</v>
      </c>
      <c r="B7159">
        <f>TEXT(7158, "[$-0E0000]yyyy-mm-dd")</f>
        <v/>
      </c>
      <c r="C7159" t="inlineStr">
        <is>
          <t>1919-07-12</t>
        </is>
      </c>
    </row>
    <row r="7160">
      <c r="A7160" s="1" t="n">
        <v>7159</v>
      </c>
      <c r="B7160">
        <f>TEXT(7159, "[$-0E0000]yyyy-mm-dd")</f>
        <v/>
      </c>
      <c r="C7160" t="inlineStr">
        <is>
          <t>1919-07-13</t>
        </is>
      </c>
    </row>
    <row r="7161">
      <c r="A7161" s="1" t="n">
        <v>7160</v>
      </c>
      <c r="B7161">
        <f>TEXT(7160, "[$-0E0000]yyyy-mm-dd")</f>
        <v/>
      </c>
      <c r="C7161" t="inlineStr">
        <is>
          <t>1919-07-14</t>
        </is>
      </c>
    </row>
    <row r="7162">
      <c r="A7162" s="1" t="n">
        <v>7161</v>
      </c>
      <c r="B7162">
        <f>TEXT(7161, "[$-0E0000]yyyy-mm-dd")</f>
        <v/>
      </c>
      <c r="C7162" t="inlineStr">
        <is>
          <t>1919-07-15</t>
        </is>
      </c>
    </row>
    <row r="7163">
      <c r="A7163" s="1" t="n">
        <v>7162</v>
      </c>
      <c r="B7163">
        <f>TEXT(7162, "[$-0E0000]yyyy-mm-dd")</f>
        <v/>
      </c>
      <c r="C7163" t="inlineStr">
        <is>
          <t>1919-07-16</t>
        </is>
      </c>
    </row>
    <row r="7164">
      <c r="A7164" s="1" t="n">
        <v>7163</v>
      </c>
      <c r="B7164">
        <f>TEXT(7163, "[$-0E0000]yyyy-mm-dd")</f>
        <v/>
      </c>
      <c r="C7164" t="inlineStr">
        <is>
          <t>1919-07-17</t>
        </is>
      </c>
    </row>
    <row r="7165">
      <c r="A7165" s="1" t="n">
        <v>7164</v>
      </c>
      <c r="B7165">
        <f>TEXT(7164, "[$-0E0000]yyyy-mm-dd")</f>
        <v/>
      </c>
      <c r="C7165" t="inlineStr">
        <is>
          <t>1919-07-18</t>
        </is>
      </c>
    </row>
    <row r="7166">
      <c r="A7166" s="1" t="n">
        <v>7165</v>
      </c>
      <c r="B7166">
        <f>TEXT(7165, "[$-0E0000]yyyy-mm-dd")</f>
        <v/>
      </c>
      <c r="C7166" t="inlineStr">
        <is>
          <t>1919-07-19</t>
        </is>
      </c>
    </row>
    <row r="7167">
      <c r="A7167" s="1" t="n">
        <v>7166</v>
      </c>
      <c r="B7167">
        <f>TEXT(7166, "[$-0E0000]yyyy-mm-dd")</f>
        <v/>
      </c>
      <c r="C7167" t="inlineStr">
        <is>
          <t>1919-07-20</t>
        </is>
      </c>
    </row>
    <row r="7168">
      <c r="A7168" s="1" t="n">
        <v>7167</v>
      </c>
      <c r="B7168">
        <f>TEXT(7167, "[$-0E0000]yyyy-mm-dd")</f>
        <v/>
      </c>
      <c r="C7168" t="inlineStr">
        <is>
          <t>1919-07-21</t>
        </is>
      </c>
    </row>
    <row r="7169">
      <c r="A7169" s="1" t="n">
        <v>7168</v>
      </c>
      <c r="B7169">
        <f>TEXT(7168, "[$-0E0000]yyyy-mm-dd")</f>
        <v/>
      </c>
      <c r="C7169" t="inlineStr">
        <is>
          <t>1919-07-22</t>
        </is>
      </c>
    </row>
    <row r="7170">
      <c r="A7170" s="1" t="n">
        <v>7169</v>
      </c>
      <c r="B7170">
        <f>TEXT(7169, "[$-0E0000]yyyy-mm-dd")</f>
        <v/>
      </c>
      <c r="C7170" t="inlineStr">
        <is>
          <t>1919-07-23</t>
        </is>
      </c>
    </row>
    <row r="7171">
      <c r="A7171" s="1" t="n">
        <v>7170</v>
      </c>
      <c r="B7171">
        <f>TEXT(7170, "[$-0E0000]yyyy-mm-dd")</f>
        <v/>
      </c>
      <c r="C7171" t="inlineStr">
        <is>
          <t>1919-07-24</t>
        </is>
      </c>
    </row>
    <row r="7172">
      <c r="A7172" s="1" t="n">
        <v>7171</v>
      </c>
      <c r="B7172">
        <f>TEXT(7171, "[$-0E0000]yyyy-mm-dd")</f>
        <v/>
      </c>
      <c r="C7172" t="inlineStr">
        <is>
          <t>1919-07-25</t>
        </is>
      </c>
    </row>
    <row r="7173">
      <c r="A7173" s="1" t="n">
        <v>7172</v>
      </c>
      <c r="B7173">
        <f>TEXT(7172, "[$-0E0000]yyyy-mm-dd")</f>
        <v/>
      </c>
      <c r="C7173" t="inlineStr">
        <is>
          <t>1919-07-26</t>
        </is>
      </c>
    </row>
    <row r="7174">
      <c r="A7174" s="1" t="n">
        <v>7173</v>
      </c>
      <c r="B7174">
        <f>TEXT(7173, "[$-0E0000]yyyy-mm-dd")</f>
        <v/>
      </c>
      <c r="C7174" t="inlineStr">
        <is>
          <t>1919-07-27</t>
        </is>
      </c>
    </row>
    <row r="7175">
      <c r="A7175" s="1" t="n">
        <v>7174</v>
      </c>
      <c r="B7175">
        <f>TEXT(7174, "[$-0E0000]yyyy-mm-dd")</f>
        <v/>
      </c>
      <c r="C7175" t="inlineStr">
        <is>
          <t>1919-07-28</t>
        </is>
      </c>
    </row>
    <row r="7176">
      <c r="A7176" s="1" t="n">
        <v>7175</v>
      </c>
      <c r="B7176">
        <f>TEXT(7175, "[$-0E0000]yyyy-mm-dd")</f>
        <v/>
      </c>
      <c r="C7176" t="inlineStr">
        <is>
          <t>1919-07-29</t>
        </is>
      </c>
    </row>
    <row r="7177">
      <c r="A7177" s="1" t="n">
        <v>7176</v>
      </c>
      <c r="B7177">
        <f>TEXT(7176, "[$-0E0000]yyyy-mm-dd")</f>
        <v/>
      </c>
      <c r="C7177" t="inlineStr">
        <is>
          <t>1919-07-01</t>
        </is>
      </c>
    </row>
    <row r="7178">
      <c r="A7178" s="1" t="n">
        <v>7177</v>
      </c>
      <c r="B7178">
        <f>TEXT(7177, "[$-0E0000]yyyy-mm-dd")</f>
        <v/>
      </c>
      <c r="C7178" t="inlineStr">
        <is>
          <t>1919-07-02</t>
        </is>
      </c>
    </row>
    <row r="7179">
      <c r="A7179" s="1" t="n">
        <v>7178</v>
      </c>
      <c r="B7179">
        <f>TEXT(7178, "[$-0E0000]yyyy-mm-dd")</f>
        <v/>
      </c>
      <c r="C7179" t="inlineStr">
        <is>
          <t>1919-07-03</t>
        </is>
      </c>
    </row>
    <row r="7180">
      <c r="A7180" s="1" t="n">
        <v>7179</v>
      </c>
      <c r="B7180">
        <f>TEXT(7179, "[$-0E0000]yyyy-mm-dd")</f>
        <v/>
      </c>
      <c r="C7180" t="inlineStr">
        <is>
          <t>1919-07-04</t>
        </is>
      </c>
    </row>
    <row r="7181">
      <c r="A7181" s="1" t="n">
        <v>7180</v>
      </c>
      <c r="B7181">
        <f>TEXT(7180, "[$-0E0000]yyyy-mm-dd")</f>
        <v/>
      </c>
      <c r="C7181" t="inlineStr">
        <is>
          <t>1919-07-05</t>
        </is>
      </c>
    </row>
    <row r="7182">
      <c r="A7182" s="1" t="n">
        <v>7181</v>
      </c>
      <c r="B7182">
        <f>TEXT(7181, "[$-0E0000]yyyy-mm-dd")</f>
        <v/>
      </c>
      <c r="C7182" t="inlineStr">
        <is>
          <t>1919-07-06</t>
        </is>
      </c>
    </row>
    <row r="7183">
      <c r="A7183" s="1" t="n">
        <v>7182</v>
      </c>
      <c r="B7183">
        <f>TEXT(7182, "[$-0E0000]yyyy-mm-dd")</f>
        <v/>
      </c>
      <c r="C7183" t="inlineStr">
        <is>
          <t>1919-07-07</t>
        </is>
      </c>
    </row>
    <row r="7184">
      <c r="A7184" s="1" t="n">
        <v>7183</v>
      </c>
      <c r="B7184">
        <f>TEXT(7183, "[$-0E0000]yyyy-mm-dd")</f>
        <v/>
      </c>
      <c r="C7184" t="inlineStr">
        <is>
          <t>1919-07-08</t>
        </is>
      </c>
    </row>
    <row r="7185">
      <c r="A7185" s="1" t="n">
        <v>7184</v>
      </c>
      <c r="B7185">
        <f>TEXT(7184, "[$-0E0000]yyyy-mm-dd")</f>
        <v/>
      </c>
      <c r="C7185" t="inlineStr">
        <is>
          <t>1919-07-09</t>
        </is>
      </c>
    </row>
    <row r="7186">
      <c r="A7186" s="1" t="n">
        <v>7185</v>
      </c>
      <c r="B7186">
        <f>TEXT(7185, "[$-0E0000]yyyy-mm-dd")</f>
        <v/>
      </c>
      <c r="C7186" t="inlineStr">
        <is>
          <t>1919-07-10</t>
        </is>
      </c>
    </row>
    <row r="7187">
      <c r="A7187" s="1" t="n">
        <v>7186</v>
      </c>
      <c r="B7187">
        <f>TEXT(7186, "[$-0E0000]yyyy-mm-dd")</f>
        <v/>
      </c>
      <c r="C7187" t="inlineStr">
        <is>
          <t>1919-07-11</t>
        </is>
      </c>
    </row>
    <row r="7188">
      <c r="A7188" s="1" t="n">
        <v>7187</v>
      </c>
      <c r="B7188">
        <f>TEXT(7187, "[$-0E0000]yyyy-mm-dd")</f>
        <v/>
      </c>
      <c r="C7188" t="inlineStr">
        <is>
          <t>1919-07-12</t>
        </is>
      </c>
    </row>
    <row r="7189">
      <c r="A7189" s="1" t="n">
        <v>7188</v>
      </c>
      <c r="B7189">
        <f>TEXT(7188, "[$-0E0000]yyyy-mm-dd")</f>
        <v/>
      </c>
      <c r="C7189" t="inlineStr">
        <is>
          <t>1919-07-13</t>
        </is>
      </c>
    </row>
    <row r="7190">
      <c r="A7190" s="1" t="n">
        <v>7189</v>
      </c>
      <c r="B7190">
        <f>TEXT(7189, "[$-0E0000]yyyy-mm-dd")</f>
        <v/>
      </c>
      <c r="C7190" t="inlineStr">
        <is>
          <t>1919-07-14</t>
        </is>
      </c>
    </row>
    <row r="7191">
      <c r="A7191" s="1" t="n">
        <v>7190</v>
      </c>
      <c r="B7191">
        <f>TEXT(7190, "[$-0E0000]yyyy-mm-dd")</f>
        <v/>
      </c>
      <c r="C7191" t="inlineStr">
        <is>
          <t>1919-07-15</t>
        </is>
      </c>
    </row>
    <row r="7192">
      <c r="A7192" s="1" t="n">
        <v>7191</v>
      </c>
      <c r="B7192">
        <f>TEXT(7191, "[$-0E0000]yyyy-mm-dd")</f>
        <v/>
      </c>
      <c r="C7192" t="inlineStr">
        <is>
          <t>1919-07-16</t>
        </is>
      </c>
    </row>
    <row r="7193">
      <c r="A7193" s="1" t="n">
        <v>7192</v>
      </c>
      <c r="B7193">
        <f>TEXT(7192, "[$-0E0000]yyyy-mm-dd")</f>
        <v/>
      </c>
      <c r="C7193" t="inlineStr">
        <is>
          <t>1919-07-17</t>
        </is>
      </c>
    </row>
    <row r="7194">
      <c r="A7194" s="1" t="n">
        <v>7193</v>
      </c>
      <c r="B7194">
        <f>TEXT(7193, "[$-0E0000]yyyy-mm-dd")</f>
        <v/>
      </c>
      <c r="C7194" t="inlineStr">
        <is>
          <t>1919-07-18</t>
        </is>
      </c>
    </row>
    <row r="7195">
      <c r="A7195" s="1" t="n">
        <v>7194</v>
      </c>
      <c r="B7195">
        <f>TEXT(7194, "[$-0E0000]yyyy-mm-dd")</f>
        <v/>
      </c>
      <c r="C7195" t="inlineStr">
        <is>
          <t>1919-07-19</t>
        </is>
      </c>
    </row>
    <row r="7196">
      <c r="A7196" s="1" t="n">
        <v>7195</v>
      </c>
      <c r="B7196">
        <f>TEXT(7195, "[$-0E0000]yyyy-mm-dd")</f>
        <v/>
      </c>
      <c r="C7196" t="inlineStr">
        <is>
          <t>1919-07-20</t>
        </is>
      </c>
    </row>
    <row r="7197">
      <c r="A7197" s="1" t="n">
        <v>7196</v>
      </c>
      <c r="B7197">
        <f>TEXT(7196, "[$-0E0000]yyyy-mm-dd")</f>
        <v/>
      </c>
      <c r="C7197" t="inlineStr">
        <is>
          <t>1919-07-21</t>
        </is>
      </c>
    </row>
    <row r="7198">
      <c r="A7198" s="1" t="n">
        <v>7197</v>
      </c>
      <c r="B7198">
        <f>TEXT(7197, "[$-0E0000]yyyy-mm-dd")</f>
        <v/>
      </c>
      <c r="C7198" t="inlineStr">
        <is>
          <t>1919-07-22</t>
        </is>
      </c>
    </row>
    <row r="7199">
      <c r="A7199" s="1" t="n">
        <v>7198</v>
      </c>
      <c r="B7199">
        <f>TEXT(7198, "[$-0E0000]yyyy-mm-dd")</f>
        <v/>
      </c>
      <c r="C7199" t="inlineStr">
        <is>
          <t>1919-07-23</t>
        </is>
      </c>
    </row>
    <row r="7200">
      <c r="A7200" s="1" t="n">
        <v>7199</v>
      </c>
      <c r="B7200">
        <f>TEXT(7199, "[$-0E0000]yyyy-mm-dd")</f>
        <v/>
      </c>
      <c r="C7200" t="inlineStr">
        <is>
          <t>1919-07-24</t>
        </is>
      </c>
    </row>
    <row r="7201">
      <c r="A7201" s="1" t="n">
        <v>7200</v>
      </c>
      <c r="B7201">
        <f>TEXT(7200, "[$-0E0000]yyyy-mm-dd")</f>
        <v/>
      </c>
      <c r="C7201" t="inlineStr">
        <is>
          <t>1919-07-25</t>
        </is>
      </c>
    </row>
    <row r="7202">
      <c r="A7202" s="1" t="n">
        <v>7201</v>
      </c>
      <c r="B7202">
        <f>TEXT(7201, "[$-0E0000]yyyy-mm-dd")</f>
        <v/>
      </c>
      <c r="C7202" t="inlineStr">
        <is>
          <t>1919-07-26</t>
        </is>
      </c>
    </row>
    <row r="7203">
      <c r="A7203" s="1" t="n">
        <v>7202</v>
      </c>
      <c r="B7203">
        <f>TEXT(7202, "[$-0E0000]yyyy-mm-dd")</f>
        <v/>
      </c>
      <c r="C7203" t="inlineStr">
        <is>
          <t>1919-07-27</t>
        </is>
      </c>
    </row>
    <row r="7204">
      <c r="A7204" s="1" t="n">
        <v>7203</v>
      </c>
      <c r="B7204">
        <f>TEXT(7203, "[$-0E0000]yyyy-mm-dd")</f>
        <v/>
      </c>
      <c r="C7204" t="inlineStr">
        <is>
          <t>1919-07-28</t>
        </is>
      </c>
    </row>
    <row r="7205">
      <c r="A7205" s="1" t="n">
        <v>7204</v>
      </c>
      <c r="B7205">
        <f>TEXT(7204, "[$-0E0000]yyyy-mm-dd")</f>
        <v/>
      </c>
      <c r="C7205" t="inlineStr">
        <is>
          <t>1919-07-29</t>
        </is>
      </c>
    </row>
    <row r="7206">
      <c r="A7206" s="1" t="n">
        <v>7205</v>
      </c>
      <c r="B7206">
        <f>TEXT(7205, "[$-0E0000]yyyy-mm-dd")</f>
        <v/>
      </c>
      <c r="C7206" t="inlineStr">
        <is>
          <t>1919-07-30</t>
        </is>
      </c>
    </row>
    <row r="7207">
      <c r="A7207" s="1" t="n">
        <v>7206</v>
      </c>
      <c r="B7207">
        <f>TEXT(7206, "[$-0E0000]yyyy-mm-dd")</f>
        <v/>
      </c>
      <c r="C7207" t="inlineStr">
        <is>
          <t>1919-08-01</t>
        </is>
      </c>
    </row>
    <row r="7208">
      <c r="A7208" s="1" t="n">
        <v>7207</v>
      </c>
      <c r="B7208">
        <f>TEXT(7207, "[$-0E0000]yyyy-mm-dd")</f>
        <v/>
      </c>
      <c r="C7208" t="inlineStr">
        <is>
          <t>1919-08-02</t>
        </is>
      </c>
    </row>
    <row r="7209">
      <c r="A7209" s="1" t="n">
        <v>7208</v>
      </c>
      <c r="B7209">
        <f>TEXT(7208, "[$-0E0000]yyyy-mm-dd")</f>
        <v/>
      </c>
      <c r="C7209" t="inlineStr">
        <is>
          <t>1919-08-03</t>
        </is>
      </c>
    </row>
    <row r="7210">
      <c r="A7210" s="1" t="n">
        <v>7209</v>
      </c>
      <c r="B7210">
        <f>TEXT(7209, "[$-0E0000]yyyy-mm-dd")</f>
        <v/>
      </c>
      <c r="C7210" t="inlineStr">
        <is>
          <t>1919-08-04</t>
        </is>
      </c>
    </row>
    <row r="7211">
      <c r="A7211" s="1" t="n">
        <v>7210</v>
      </c>
      <c r="B7211">
        <f>TEXT(7210, "[$-0E0000]yyyy-mm-dd")</f>
        <v/>
      </c>
      <c r="C7211" t="inlineStr">
        <is>
          <t>1919-08-05</t>
        </is>
      </c>
    </row>
    <row r="7212">
      <c r="A7212" s="1" t="n">
        <v>7211</v>
      </c>
      <c r="B7212">
        <f>TEXT(7211, "[$-0E0000]yyyy-mm-dd")</f>
        <v/>
      </c>
      <c r="C7212" t="inlineStr">
        <is>
          <t>1919-08-06</t>
        </is>
      </c>
    </row>
    <row r="7213">
      <c r="A7213" s="1" t="n">
        <v>7212</v>
      </c>
      <c r="B7213">
        <f>TEXT(7212, "[$-0E0000]yyyy-mm-dd")</f>
        <v/>
      </c>
      <c r="C7213" t="inlineStr">
        <is>
          <t>1919-08-07</t>
        </is>
      </c>
    </row>
    <row r="7214">
      <c r="A7214" s="1" t="n">
        <v>7213</v>
      </c>
      <c r="B7214">
        <f>TEXT(7213, "[$-0E0000]yyyy-mm-dd")</f>
        <v/>
      </c>
      <c r="C7214" t="inlineStr">
        <is>
          <t>1919-08-08</t>
        </is>
      </c>
    </row>
    <row r="7215">
      <c r="A7215" s="1" t="n">
        <v>7214</v>
      </c>
      <c r="B7215">
        <f>TEXT(7214, "[$-0E0000]yyyy-mm-dd")</f>
        <v/>
      </c>
      <c r="C7215" t="inlineStr">
        <is>
          <t>1919-08-09</t>
        </is>
      </c>
    </row>
    <row r="7216">
      <c r="A7216" s="1" t="n">
        <v>7215</v>
      </c>
      <c r="B7216">
        <f>TEXT(7215, "[$-0E0000]yyyy-mm-dd")</f>
        <v/>
      </c>
      <c r="C7216" t="inlineStr">
        <is>
          <t>1919-08-10</t>
        </is>
      </c>
    </row>
    <row r="7217">
      <c r="A7217" s="1" t="n">
        <v>7216</v>
      </c>
      <c r="B7217">
        <f>TEXT(7216, "[$-0E0000]yyyy-mm-dd")</f>
        <v/>
      </c>
      <c r="C7217" t="inlineStr">
        <is>
          <t>1919-08-11</t>
        </is>
      </c>
    </row>
    <row r="7218">
      <c r="A7218" s="1" t="n">
        <v>7217</v>
      </c>
      <c r="B7218">
        <f>TEXT(7217, "[$-0E0000]yyyy-mm-dd")</f>
        <v/>
      </c>
      <c r="C7218" t="inlineStr">
        <is>
          <t>1919-08-12</t>
        </is>
      </c>
    </row>
    <row r="7219">
      <c r="A7219" s="1" t="n">
        <v>7218</v>
      </c>
      <c r="B7219">
        <f>TEXT(7218, "[$-0E0000]yyyy-mm-dd")</f>
        <v/>
      </c>
      <c r="C7219" t="inlineStr">
        <is>
          <t>1919-08-13</t>
        </is>
      </c>
    </row>
    <row r="7220">
      <c r="A7220" s="1" t="n">
        <v>7219</v>
      </c>
      <c r="B7220">
        <f>TEXT(7219, "[$-0E0000]yyyy-mm-dd")</f>
        <v/>
      </c>
      <c r="C7220" t="inlineStr">
        <is>
          <t>1919-08-14</t>
        </is>
      </c>
    </row>
    <row r="7221">
      <c r="A7221" s="1" t="n">
        <v>7220</v>
      </c>
      <c r="B7221">
        <f>TEXT(7220, "[$-0E0000]yyyy-mm-dd")</f>
        <v/>
      </c>
      <c r="C7221" t="inlineStr">
        <is>
          <t>1919-08-15</t>
        </is>
      </c>
    </row>
    <row r="7222">
      <c r="A7222" s="1" t="n">
        <v>7221</v>
      </c>
      <c r="B7222">
        <f>TEXT(7221, "[$-0E0000]yyyy-mm-dd")</f>
        <v/>
      </c>
      <c r="C7222" t="inlineStr">
        <is>
          <t>1919-08-16</t>
        </is>
      </c>
    </row>
    <row r="7223">
      <c r="A7223" s="1" t="n">
        <v>7222</v>
      </c>
      <c r="B7223">
        <f>TEXT(7222, "[$-0E0000]yyyy-mm-dd")</f>
        <v/>
      </c>
      <c r="C7223" t="inlineStr">
        <is>
          <t>1919-08-17</t>
        </is>
      </c>
    </row>
    <row r="7224">
      <c r="A7224" s="1" t="n">
        <v>7223</v>
      </c>
      <c r="B7224">
        <f>TEXT(7223, "[$-0E0000]yyyy-mm-dd")</f>
        <v/>
      </c>
      <c r="C7224" t="inlineStr">
        <is>
          <t>1919-08-18</t>
        </is>
      </c>
    </row>
    <row r="7225">
      <c r="A7225" s="1" t="n">
        <v>7224</v>
      </c>
      <c r="B7225">
        <f>TEXT(7224, "[$-0E0000]yyyy-mm-dd")</f>
        <v/>
      </c>
      <c r="C7225" t="inlineStr">
        <is>
          <t>1919-08-19</t>
        </is>
      </c>
    </row>
    <row r="7226">
      <c r="A7226" s="1" t="n">
        <v>7225</v>
      </c>
      <c r="B7226">
        <f>TEXT(7225, "[$-0E0000]yyyy-mm-dd")</f>
        <v/>
      </c>
      <c r="C7226" t="inlineStr">
        <is>
          <t>1919-08-20</t>
        </is>
      </c>
    </row>
    <row r="7227">
      <c r="A7227" s="1" t="n">
        <v>7226</v>
      </c>
      <c r="B7227">
        <f>TEXT(7226, "[$-0E0000]yyyy-mm-dd")</f>
        <v/>
      </c>
      <c r="C7227" t="inlineStr">
        <is>
          <t>1919-08-21</t>
        </is>
      </c>
    </row>
    <row r="7228">
      <c r="A7228" s="1" t="n">
        <v>7227</v>
      </c>
      <c r="B7228">
        <f>TEXT(7227, "[$-0E0000]yyyy-mm-dd")</f>
        <v/>
      </c>
      <c r="C7228" t="inlineStr">
        <is>
          <t>1919-08-22</t>
        </is>
      </c>
    </row>
    <row r="7229">
      <c r="A7229" s="1" t="n">
        <v>7228</v>
      </c>
      <c r="B7229">
        <f>TEXT(7228, "[$-0E0000]yyyy-mm-dd")</f>
        <v/>
      </c>
      <c r="C7229" t="inlineStr">
        <is>
          <t>1919-08-23</t>
        </is>
      </c>
    </row>
    <row r="7230">
      <c r="A7230" s="1" t="n">
        <v>7229</v>
      </c>
      <c r="B7230">
        <f>TEXT(7229, "[$-0E0000]yyyy-mm-dd")</f>
        <v/>
      </c>
      <c r="C7230" t="inlineStr">
        <is>
          <t>1919-08-24</t>
        </is>
      </c>
    </row>
    <row r="7231">
      <c r="A7231" s="1" t="n">
        <v>7230</v>
      </c>
      <c r="B7231">
        <f>TEXT(7230, "[$-0E0000]yyyy-mm-dd")</f>
        <v/>
      </c>
      <c r="C7231" t="inlineStr">
        <is>
          <t>1919-08-25</t>
        </is>
      </c>
    </row>
    <row r="7232">
      <c r="A7232" s="1" t="n">
        <v>7231</v>
      </c>
      <c r="B7232">
        <f>TEXT(7231, "[$-0E0000]yyyy-mm-dd")</f>
        <v/>
      </c>
      <c r="C7232" t="inlineStr">
        <is>
          <t>1919-08-26</t>
        </is>
      </c>
    </row>
    <row r="7233">
      <c r="A7233" s="1" t="n">
        <v>7232</v>
      </c>
      <c r="B7233">
        <f>TEXT(7232, "[$-0E0000]yyyy-mm-dd")</f>
        <v/>
      </c>
      <c r="C7233" t="inlineStr">
        <is>
          <t>1919-08-27</t>
        </is>
      </c>
    </row>
    <row r="7234">
      <c r="A7234" s="1" t="n">
        <v>7233</v>
      </c>
      <c r="B7234">
        <f>TEXT(7233, "[$-0E0000]yyyy-mm-dd")</f>
        <v/>
      </c>
      <c r="C7234" t="inlineStr">
        <is>
          <t>1919-08-28</t>
        </is>
      </c>
    </row>
    <row r="7235">
      <c r="A7235" s="1" t="n">
        <v>7234</v>
      </c>
      <c r="B7235">
        <f>TEXT(7234, "[$-0E0000]yyyy-mm-dd")</f>
        <v/>
      </c>
      <c r="C7235" t="inlineStr">
        <is>
          <t>1919-08-29</t>
        </is>
      </c>
    </row>
    <row r="7236">
      <c r="A7236" s="1" t="n">
        <v>7235</v>
      </c>
      <c r="B7236">
        <f>TEXT(7235, "[$-0E0000]yyyy-mm-dd")</f>
        <v/>
      </c>
      <c r="C7236" t="inlineStr">
        <is>
          <t>1919-08-30</t>
        </is>
      </c>
    </row>
    <row r="7237">
      <c r="A7237" s="1" t="n">
        <v>7236</v>
      </c>
      <c r="B7237">
        <f>TEXT(7236, "[$-0E0000]yyyy-mm-dd")</f>
        <v/>
      </c>
      <c r="C7237" t="inlineStr">
        <is>
          <t>1919-09-01</t>
        </is>
      </c>
    </row>
    <row r="7238">
      <c r="A7238" s="1" t="n">
        <v>7237</v>
      </c>
      <c r="B7238">
        <f>TEXT(7237, "[$-0E0000]yyyy-mm-dd")</f>
        <v/>
      </c>
      <c r="C7238" t="inlineStr">
        <is>
          <t>1919-09-02</t>
        </is>
      </c>
    </row>
    <row r="7239">
      <c r="A7239" s="1" t="n">
        <v>7238</v>
      </c>
      <c r="B7239">
        <f>TEXT(7238, "[$-0E0000]yyyy-mm-dd")</f>
        <v/>
      </c>
      <c r="C7239" t="inlineStr">
        <is>
          <t>1919-09-03</t>
        </is>
      </c>
    </row>
    <row r="7240">
      <c r="A7240" s="1" t="n">
        <v>7239</v>
      </c>
      <c r="B7240">
        <f>TEXT(7239, "[$-0E0000]yyyy-mm-dd")</f>
        <v/>
      </c>
      <c r="C7240" t="inlineStr">
        <is>
          <t>1919-09-04</t>
        </is>
      </c>
    </row>
    <row r="7241">
      <c r="A7241" s="1" t="n">
        <v>7240</v>
      </c>
      <c r="B7241">
        <f>TEXT(7240, "[$-0E0000]yyyy-mm-dd")</f>
        <v/>
      </c>
      <c r="C7241" t="inlineStr">
        <is>
          <t>1919-09-05</t>
        </is>
      </c>
    </row>
    <row r="7242">
      <c r="A7242" s="1" t="n">
        <v>7241</v>
      </c>
      <c r="B7242">
        <f>TEXT(7241, "[$-0E0000]yyyy-mm-dd")</f>
        <v/>
      </c>
      <c r="C7242" t="inlineStr">
        <is>
          <t>1919-09-06</t>
        </is>
      </c>
    </row>
    <row r="7243">
      <c r="A7243" s="1" t="n">
        <v>7242</v>
      </c>
      <c r="B7243">
        <f>TEXT(7242, "[$-0E0000]yyyy-mm-dd")</f>
        <v/>
      </c>
      <c r="C7243" t="inlineStr">
        <is>
          <t>1919-09-07</t>
        </is>
      </c>
    </row>
    <row r="7244">
      <c r="A7244" s="1" t="n">
        <v>7243</v>
      </c>
      <c r="B7244">
        <f>TEXT(7243, "[$-0E0000]yyyy-mm-dd")</f>
        <v/>
      </c>
      <c r="C7244" t="inlineStr">
        <is>
          <t>1919-09-08</t>
        </is>
      </c>
    </row>
    <row r="7245">
      <c r="A7245" s="1" t="n">
        <v>7244</v>
      </c>
      <c r="B7245">
        <f>TEXT(7244, "[$-0E0000]yyyy-mm-dd")</f>
        <v/>
      </c>
      <c r="C7245" t="inlineStr">
        <is>
          <t>1919-09-09</t>
        </is>
      </c>
    </row>
    <row r="7246">
      <c r="A7246" s="1" t="n">
        <v>7245</v>
      </c>
      <c r="B7246">
        <f>TEXT(7245, "[$-0E0000]yyyy-mm-dd")</f>
        <v/>
      </c>
      <c r="C7246" t="inlineStr">
        <is>
          <t>1919-09-10</t>
        </is>
      </c>
    </row>
    <row r="7247">
      <c r="A7247" s="1" t="n">
        <v>7246</v>
      </c>
      <c r="B7247">
        <f>TEXT(7246, "[$-0E0000]yyyy-mm-dd")</f>
        <v/>
      </c>
      <c r="C7247" t="inlineStr">
        <is>
          <t>1919-09-11</t>
        </is>
      </c>
    </row>
    <row r="7248">
      <c r="A7248" s="1" t="n">
        <v>7247</v>
      </c>
      <c r="B7248">
        <f>TEXT(7247, "[$-0E0000]yyyy-mm-dd")</f>
        <v/>
      </c>
      <c r="C7248" t="inlineStr">
        <is>
          <t>1919-09-12</t>
        </is>
      </c>
    </row>
    <row r="7249">
      <c r="A7249" s="1" t="n">
        <v>7248</v>
      </c>
      <c r="B7249">
        <f>TEXT(7248, "[$-0E0000]yyyy-mm-dd")</f>
        <v/>
      </c>
      <c r="C7249" t="inlineStr">
        <is>
          <t>1919-09-13</t>
        </is>
      </c>
    </row>
    <row r="7250">
      <c r="A7250" s="1" t="n">
        <v>7249</v>
      </c>
      <c r="B7250">
        <f>TEXT(7249, "[$-0E0000]yyyy-mm-dd")</f>
        <v/>
      </c>
      <c r="C7250" t="inlineStr">
        <is>
          <t>1919-09-14</t>
        </is>
      </c>
    </row>
    <row r="7251">
      <c r="A7251" s="1" t="n">
        <v>7250</v>
      </c>
      <c r="B7251">
        <f>TEXT(7250, "[$-0E0000]yyyy-mm-dd")</f>
        <v/>
      </c>
      <c r="C7251" t="inlineStr">
        <is>
          <t>1919-09-15</t>
        </is>
      </c>
    </row>
    <row r="7252">
      <c r="A7252" s="1" t="n">
        <v>7251</v>
      </c>
      <c r="B7252">
        <f>TEXT(7251, "[$-0E0000]yyyy-mm-dd")</f>
        <v/>
      </c>
      <c r="C7252" t="inlineStr">
        <is>
          <t>1919-09-16</t>
        </is>
      </c>
    </row>
    <row r="7253">
      <c r="A7253" s="1" t="n">
        <v>7252</v>
      </c>
      <c r="B7253">
        <f>TEXT(7252, "[$-0E0000]yyyy-mm-dd")</f>
        <v/>
      </c>
      <c r="C7253" t="inlineStr">
        <is>
          <t>1919-09-17</t>
        </is>
      </c>
    </row>
    <row r="7254">
      <c r="A7254" s="1" t="n">
        <v>7253</v>
      </c>
      <c r="B7254">
        <f>TEXT(7253, "[$-0E0000]yyyy-mm-dd")</f>
        <v/>
      </c>
      <c r="C7254" t="inlineStr">
        <is>
          <t>1919-09-18</t>
        </is>
      </c>
    </row>
    <row r="7255">
      <c r="A7255" s="1" t="n">
        <v>7254</v>
      </c>
      <c r="B7255">
        <f>TEXT(7254, "[$-0E0000]yyyy-mm-dd")</f>
        <v/>
      </c>
      <c r="C7255" t="inlineStr">
        <is>
          <t>1919-09-19</t>
        </is>
      </c>
    </row>
    <row r="7256">
      <c r="A7256" s="1" t="n">
        <v>7255</v>
      </c>
      <c r="B7256">
        <f>TEXT(7255, "[$-0E0000]yyyy-mm-dd")</f>
        <v/>
      </c>
      <c r="C7256" t="inlineStr">
        <is>
          <t>1919-09-20</t>
        </is>
      </c>
    </row>
    <row r="7257">
      <c r="A7257" s="1" t="n">
        <v>7256</v>
      </c>
      <c r="B7257">
        <f>TEXT(7256, "[$-0E0000]yyyy-mm-dd")</f>
        <v/>
      </c>
      <c r="C7257" t="inlineStr">
        <is>
          <t>1919-09-21</t>
        </is>
      </c>
    </row>
    <row r="7258">
      <c r="A7258" s="1" t="n">
        <v>7257</v>
      </c>
      <c r="B7258">
        <f>TEXT(7257, "[$-0E0000]yyyy-mm-dd")</f>
        <v/>
      </c>
      <c r="C7258" t="inlineStr">
        <is>
          <t>1919-09-22</t>
        </is>
      </c>
    </row>
    <row r="7259">
      <c r="A7259" s="1" t="n">
        <v>7258</v>
      </c>
      <c r="B7259">
        <f>TEXT(7258, "[$-0E0000]yyyy-mm-dd")</f>
        <v/>
      </c>
      <c r="C7259" t="inlineStr">
        <is>
          <t>1919-09-23</t>
        </is>
      </c>
    </row>
    <row r="7260">
      <c r="A7260" s="1" t="n">
        <v>7259</v>
      </c>
      <c r="B7260">
        <f>TEXT(7259, "[$-0E0000]yyyy-mm-dd")</f>
        <v/>
      </c>
      <c r="C7260" t="inlineStr">
        <is>
          <t>1919-09-24</t>
        </is>
      </c>
    </row>
    <row r="7261">
      <c r="A7261" s="1" t="n">
        <v>7260</v>
      </c>
      <c r="B7261">
        <f>TEXT(7260, "[$-0E0000]yyyy-mm-dd")</f>
        <v/>
      </c>
      <c r="C7261" t="inlineStr">
        <is>
          <t>1919-09-25</t>
        </is>
      </c>
    </row>
    <row r="7262">
      <c r="A7262" s="1" t="n">
        <v>7261</v>
      </c>
      <c r="B7262">
        <f>TEXT(7261, "[$-0E0000]yyyy-mm-dd")</f>
        <v/>
      </c>
      <c r="C7262" t="inlineStr">
        <is>
          <t>1919-09-26</t>
        </is>
      </c>
    </row>
    <row r="7263">
      <c r="A7263" s="1" t="n">
        <v>7262</v>
      </c>
      <c r="B7263">
        <f>TEXT(7262, "[$-0E0000]yyyy-mm-dd")</f>
        <v/>
      </c>
      <c r="C7263" t="inlineStr">
        <is>
          <t>1919-09-27</t>
        </is>
      </c>
    </row>
    <row r="7264">
      <c r="A7264" s="1" t="n">
        <v>7263</v>
      </c>
      <c r="B7264">
        <f>TEXT(7263, "[$-0E0000]yyyy-mm-dd")</f>
        <v/>
      </c>
      <c r="C7264" t="inlineStr">
        <is>
          <t>1919-09-28</t>
        </is>
      </c>
    </row>
    <row r="7265">
      <c r="A7265" s="1" t="n">
        <v>7264</v>
      </c>
      <c r="B7265">
        <f>TEXT(7264, "[$-0E0000]yyyy-mm-dd")</f>
        <v/>
      </c>
      <c r="C7265" t="inlineStr">
        <is>
          <t>1919-09-29</t>
        </is>
      </c>
    </row>
    <row r="7266">
      <c r="A7266" s="1" t="n">
        <v>7265</v>
      </c>
      <c r="B7266">
        <f>TEXT(7265, "[$-0E0000]yyyy-mm-dd")</f>
        <v/>
      </c>
      <c r="C7266" t="inlineStr">
        <is>
          <t>1919-10-01</t>
        </is>
      </c>
    </row>
    <row r="7267">
      <c r="A7267" s="1" t="n">
        <v>7266</v>
      </c>
      <c r="B7267">
        <f>TEXT(7266, "[$-0E0000]yyyy-mm-dd")</f>
        <v/>
      </c>
      <c r="C7267" t="inlineStr">
        <is>
          <t>1919-10-02</t>
        </is>
      </c>
    </row>
    <row r="7268">
      <c r="A7268" s="1" t="n">
        <v>7267</v>
      </c>
      <c r="B7268">
        <f>TEXT(7267, "[$-0E0000]yyyy-mm-dd")</f>
        <v/>
      </c>
      <c r="C7268" t="inlineStr">
        <is>
          <t>1919-10-03</t>
        </is>
      </c>
    </row>
    <row r="7269">
      <c r="A7269" s="1" t="n">
        <v>7268</v>
      </c>
      <c r="B7269">
        <f>TEXT(7268, "[$-0E0000]yyyy-mm-dd")</f>
        <v/>
      </c>
      <c r="C7269" t="inlineStr">
        <is>
          <t>1919-10-04</t>
        </is>
      </c>
    </row>
    <row r="7270">
      <c r="A7270" s="1" t="n">
        <v>7269</v>
      </c>
      <c r="B7270">
        <f>TEXT(7269, "[$-0E0000]yyyy-mm-dd")</f>
        <v/>
      </c>
      <c r="C7270" t="inlineStr">
        <is>
          <t>1919-10-05</t>
        </is>
      </c>
    </row>
    <row r="7271">
      <c r="A7271" s="1" t="n">
        <v>7270</v>
      </c>
      <c r="B7271">
        <f>TEXT(7270, "[$-0E0000]yyyy-mm-dd")</f>
        <v/>
      </c>
      <c r="C7271" t="inlineStr">
        <is>
          <t>1919-10-06</t>
        </is>
      </c>
    </row>
    <row r="7272">
      <c r="A7272" s="1" t="n">
        <v>7271</v>
      </c>
      <c r="B7272">
        <f>TEXT(7271, "[$-0E0000]yyyy-mm-dd")</f>
        <v/>
      </c>
      <c r="C7272" t="inlineStr">
        <is>
          <t>1919-10-07</t>
        </is>
      </c>
    </row>
    <row r="7273">
      <c r="A7273" s="1" t="n">
        <v>7272</v>
      </c>
      <c r="B7273">
        <f>TEXT(7272, "[$-0E0000]yyyy-mm-dd")</f>
        <v/>
      </c>
      <c r="C7273" t="inlineStr">
        <is>
          <t>1919-10-08</t>
        </is>
      </c>
    </row>
    <row r="7274">
      <c r="A7274" s="1" t="n">
        <v>7273</v>
      </c>
      <c r="B7274">
        <f>TEXT(7273, "[$-0E0000]yyyy-mm-dd")</f>
        <v/>
      </c>
      <c r="C7274" t="inlineStr">
        <is>
          <t>1919-10-09</t>
        </is>
      </c>
    </row>
    <row r="7275">
      <c r="A7275" s="1" t="n">
        <v>7274</v>
      </c>
      <c r="B7275">
        <f>TEXT(7274, "[$-0E0000]yyyy-mm-dd")</f>
        <v/>
      </c>
      <c r="C7275" t="inlineStr">
        <is>
          <t>1919-10-10</t>
        </is>
      </c>
    </row>
    <row r="7276">
      <c r="A7276" s="1" t="n">
        <v>7275</v>
      </c>
      <c r="B7276">
        <f>TEXT(7275, "[$-0E0000]yyyy-mm-dd")</f>
        <v/>
      </c>
      <c r="C7276" t="inlineStr">
        <is>
          <t>1919-10-11</t>
        </is>
      </c>
    </row>
    <row r="7277">
      <c r="A7277" s="1" t="n">
        <v>7276</v>
      </c>
      <c r="B7277">
        <f>TEXT(7276, "[$-0E0000]yyyy-mm-dd")</f>
        <v/>
      </c>
      <c r="C7277" t="inlineStr">
        <is>
          <t>1919-10-12</t>
        </is>
      </c>
    </row>
    <row r="7278">
      <c r="A7278" s="1" t="n">
        <v>7277</v>
      </c>
      <c r="B7278">
        <f>TEXT(7277, "[$-0E0000]yyyy-mm-dd")</f>
        <v/>
      </c>
      <c r="C7278" t="inlineStr">
        <is>
          <t>1919-10-13</t>
        </is>
      </c>
    </row>
    <row r="7279">
      <c r="A7279" s="1" t="n">
        <v>7278</v>
      </c>
      <c r="B7279">
        <f>TEXT(7278, "[$-0E0000]yyyy-mm-dd")</f>
        <v/>
      </c>
      <c r="C7279" t="inlineStr">
        <is>
          <t>1919-10-14</t>
        </is>
      </c>
    </row>
    <row r="7280">
      <c r="A7280" s="1" t="n">
        <v>7279</v>
      </c>
      <c r="B7280">
        <f>TEXT(7279, "[$-0E0000]yyyy-mm-dd")</f>
        <v/>
      </c>
      <c r="C7280" t="inlineStr">
        <is>
          <t>1919-10-15</t>
        </is>
      </c>
    </row>
    <row r="7281">
      <c r="A7281" s="1" t="n">
        <v>7280</v>
      </c>
      <c r="B7281">
        <f>TEXT(7280, "[$-0E0000]yyyy-mm-dd")</f>
        <v/>
      </c>
      <c r="C7281" t="inlineStr">
        <is>
          <t>1919-10-16</t>
        </is>
      </c>
    </row>
    <row r="7282">
      <c r="A7282" s="1" t="n">
        <v>7281</v>
      </c>
      <c r="B7282">
        <f>TEXT(7281, "[$-0E0000]yyyy-mm-dd")</f>
        <v/>
      </c>
      <c r="C7282" t="inlineStr">
        <is>
          <t>1919-10-17</t>
        </is>
      </c>
    </row>
    <row r="7283">
      <c r="A7283" s="1" t="n">
        <v>7282</v>
      </c>
      <c r="B7283">
        <f>TEXT(7282, "[$-0E0000]yyyy-mm-dd")</f>
        <v/>
      </c>
      <c r="C7283" t="inlineStr">
        <is>
          <t>1919-10-18</t>
        </is>
      </c>
    </row>
    <row r="7284">
      <c r="A7284" s="1" t="n">
        <v>7283</v>
      </c>
      <c r="B7284">
        <f>TEXT(7283, "[$-0E0000]yyyy-mm-dd")</f>
        <v/>
      </c>
      <c r="C7284" t="inlineStr">
        <is>
          <t>1919-10-19</t>
        </is>
      </c>
    </row>
    <row r="7285">
      <c r="A7285" s="1" t="n">
        <v>7284</v>
      </c>
      <c r="B7285">
        <f>TEXT(7284, "[$-0E0000]yyyy-mm-dd")</f>
        <v/>
      </c>
      <c r="C7285" t="inlineStr">
        <is>
          <t>1919-10-20</t>
        </is>
      </c>
    </row>
    <row r="7286">
      <c r="A7286" s="1" t="n">
        <v>7285</v>
      </c>
      <c r="B7286">
        <f>TEXT(7285, "[$-0E0000]yyyy-mm-dd")</f>
        <v/>
      </c>
      <c r="C7286" t="inlineStr">
        <is>
          <t>1919-10-21</t>
        </is>
      </c>
    </row>
    <row r="7287">
      <c r="A7287" s="1" t="n">
        <v>7286</v>
      </c>
      <c r="B7287">
        <f>TEXT(7286, "[$-0E0000]yyyy-mm-dd")</f>
        <v/>
      </c>
      <c r="C7287" t="inlineStr">
        <is>
          <t>1919-10-22</t>
        </is>
      </c>
    </row>
    <row r="7288">
      <c r="A7288" s="1" t="n">
        <v>7287</v>
      </c>
      <c r="B7288">
        <f>TEXT(7287, "[$-0E0000]yyyy-mm-dd")</f>
        <v/>
      </c>
      <c r="C7288" t="inlineStr">
        <is>
          <t>1919-10-23</t>
        </is>
      </c>
    </row>
    <row r="7289">
      <c r="A7289" s="1" t="n">
        <v>7288</v>
      </c>
      <c r="B7289">
        <f>TEXT(7288, "[$-0E0000]yyyy-mm-dd")</f>
        <v/>
      </c>
      <c r="C7289" t="inlineStr">
        <is>
          <t>1919-10-24</t>
        </is>
      </c>
    </row>
    <row r="7290">
      <c r="A7290" s="1" t="n">
        <v>7289</v>
      </c>
      <c r="B7290">
        <f>TEXT(7289, "[$-0E0000]yyyy-mm-dd")</f>
        <v/>
      </c>
      <c r="C7290" t="inlineStr">
        <is>
          <t>1919-10-25</t>
        </is>
      </c>
    </row>
    <row r="7291">
      <c r="A7291" s="1" t="n">
        <v>7290</v>
      </c>
      <c r="B7291">
        <f>TEXT(7290, "[$-0E0000]yyyy-mm-dd")</f>
        <v/>
      </c>
      <c r="C7291" t="inlineStr">
        <is>
          <t>1919-10-26</t>
        </is>
      </c>
    </row>
    <row r="7292">
      <c r="A7292" s="1" t="n">
        <v>7291</v>
      </c>
      <c r="B7292">
        <f>TEXT(7291, "[$-0E0000]yyyy-mm-dd")</f>
        <v/>
      </c>
      <c r="C7292" t="inlineStr">
        <is>
          <t>1919-10-27</t>
        </is>
      </c>
    </row>
    <row r="7293">
      <c r="A7293" s="1" t="n">
        <v>7292</v>
      </c>
      <c r="B7293">
        <f>TEXT(7292, "[$-0E0000]yyyy-mm-dd")</f>
        <v/>
      </c>
      <c r="C7293" t="inlineStr">
        <is>
          <t>1919-10-28</t>
        </is>
      </c>
    </row>
    <row r="7294">
      <c r="A7294" s="1" t="n">
        <v>7293</v>
      </c>
      <c r="B7294">
        <f>TEXT(7293, "[$-0E0000]yyyy-mm-dd")</f>
        <v/>
      </c>
      <c r="C7294" t="inlineStr">
        <is>
          <t>1919-10-29</t>
        </is>
      </c>
    </row>
    <row r="7295">
      <c r="A7295" s="1" t="n">
        <v>7294</v>
      </c>
      <c r="B7295">
        <f>TEXT(7294, "[$-0E0000]yyyy-mm-dd")</f>
        <v/>
      </c>
      <c r="C7295" t="inlineStr">
        <is>
          <t>1919-10-30</t>
        </is>
      </c>
    </row>
    <row r="7296">
      <c r="A7296" s="1" t="n">
        <v>7295</v>
      </c>
      <c r="B7296">
        <f>TEXT(7295, "[$-0E0000]yyyy-mm-dd")</f>
        <v/>
      </c>
      <c r="C7296" t="inlineStr">
        <is>
          <t>1919-11-01</t>
        </is>
      </c>
    </row>
    <row r="7297">
      <c r="A7297" s="1" t="n">
        <v>7296</v>
      </c>
      <c r="B7297">
        <f>TEXT(7296, "[$-0E0000]yyyy-mm-dd")</f>
        <v/>
      </c>
      <c r="C7297" t="inlineStr">
        <is>
          <t>1919-11-02</t>
        </is>
      </c>
    </row>
    <row r="7298">
      <c r="A7298" s="1" t="n">
        <v>7297</v>
      </c>
      <c r="B7298">
        <f>TEXT(7297, "[$-0E0000]yyyy-mm-dd")</f>
        <v/>
      </c>
      <c r="C7298" t="inlineStr">
        <is>
          <t>1919-11-03</t>
        </is>
      </c>
    </row>
    <row r="7299">
      <c r="A7299" s="1" t="n">
        <v>7298</v>
      </c>
      <c r="B7299">
        <f>TEXT(7298, "[$-0E0000]yyyy-mm-dd")</f>
        <v/>
      </c>
      <c r="C7299" t="inlineStr">
        <is>
          <t>1919-11-04</t>
        </is>
      </c>
    </row>
    <row r="7300">
      <c r="A7300" s="1" t="n">
        <v>7299</v>
      </c>
      <c r="B7300">
        <f>TEXT(7299, "[$-0E0000]yyyy-mm-dd")</f>
        <v/>
      </c>
      <c r="C7300" t="inlineStr">
        <is>
          <t>1919-11-05</t>
        </is>
      </c>
    </row>
    <row r="7301">
      <c r="A7301" s="1" t="n">
        <v>7300</v>
      </c>
      <c r="B7301">
        <f>TEXT(7300, "[$-0E0000]yyyy-mm-dd")</f>
        <v/>
      </c>
      <c r="C7301" t="inlineStr">
        <is>
          <t>1919-11-06</t>
        </is>
      </c>
    </row>
    <row r="7302">
      <c r="A7302" s="1" t="n">
        <v>7301</v>
      </c>
      <c r="B7302">
        <f>TEXT(7301, "[$-0E0000]yyyy-mm-dd")</f>
        <v/>
      </c>
      <c r="C7302" t="inlineStr">
        <is>
          <t>1919-11-07</t>
        </is>
      </c>
    </row>
    <row r="7303">
      <c r="A7303" s="1" t="n">
        <v>7302</v>
      </c>
      <c r="B7303">
        <f>TEXT(7302, "[$-0E0000]yyyy-mm-dd")</f>
        <v/>
      </c>
      <c r="C7303" t="inlineStr">
        <is>
          <t>1919-11-08</t>
        </is>
      </c>
    </row>
    <row r="7304">
      <c r="A7304" s="1" t="n">
        <v>7303</v>
      </c>
      <c r="B7304">
        <f>TEXT(7303, "[$-0E0000]yyyy-mm-dd")</f>
        <v/>
      </c>
      <c r="C7304" t="inlineStr">
        <is>
          <t>1919-11-09</t>
        </is>
      </c>
    </row>
    <row r="7305">
      <c r="A7305" s="1" t="n">
        <v>7304</v>
      </c>
      <c r="B7305">
        <f>TEXT(7304, "[$-0E0000]yyyy-mm-dd")</f>
        <v/>
      </c>
      <c r="C7305" t="inlineStr">
        <is>
          <t>1919-11-10</t>
        </is>
      </c>
    </row>
    <row r="7306">
      <c r="A7306" s="1" t="n">
        <v>7305</v>
      </c>
      <c r="B7306">
        <f>TEXT(7305, "[$-0E0000]yyyy-mm-dd")</f>
        <v/>
      </c>
      <c r="C7306" t="inlineStr">
        <is>
          <t>1919-11-11</t>
        </is>
      </c>
    </row>
    <row r="7307">
      <c r="A7307" s="1" t="n">
        <v>7306</v>
      </c>
      <c r="B7307">
        <f>TEXT(7306, "[$-0E0000]yyyy-mm-dd")</f>
        <v/>
      </c>
      <c r="C7307" t="inlineStr">
        <is>
          <t>1919-11-12</t>
        </is>
      </c>
    </row>
    <row r="7308">
      <c r="A7308" s="1" t="n">
        <v>7307</v>
      </c>
      <c r="B7308">
        <f>TEXT(7307, "[$-0E0000]yyyy-mm-dd")</f>
        <v/>
      </c>
      <c r="C7308" t="inlineStr">
        <is>
          <t>1919-11-13</t>
        </is>
      </c>
    </row>
    <row r="7309">
      <c r="A7309" s="1" t="n">
        <v>7308</v>
      </c>
      <c r="B7309">
        <f>TEXT(7308, "[$-0E0000]yyyy-mm-dd")</f>
        <v/>
      </c>
      <c r="C7309" t="inlineStr">
        <is>
          <t>1919-11-14</t>
        </is>
      </c>
    </row>
    <row r="7310">
      <c r="A7310" s="1" t="n">
        <v>7309</v>
      </c>
      <c r="B7310">
        <f>TEXT(7309, "[$-0E0000]yyyy-mm-dd")</f>
        <v/>
      </c>
      <c r="C7310" t="inlineStr">
        <is>
          <t>1919-11-15</t>
        </is>
      </c>
    </row>
    <row r="7311">
      <c r="A7311" s="1" t="n">
        <v>7310</v>
      </c>
      <c r="B7311">
        <f>TEXT(7310, "[$-0E0000]yyyy-mm-dd")</f>
        <v/>
      </c>
      <c r="C7311" t="inlineStr">
        <is>
          <t>1919-11-16</t>
        </is>
      </c>
    </row>
    <row r="7312">
      <c r="A7312" s="1" t="n">
        <v>7311</v>
      </c>
      <c r="B7312">
        <f>TEXT(7311, "[$-0E0000]yyyy-mm-dd")</f>
        <v/>
      </c>
      <c r="C7312" t="inlineStr">
        <is>
          <t>1919-11-17</t>
        </is>
      </c>
    </row>
    <row r="7313">
      <c r="A7313" s="1" t="n">
        <v>7312</v>
      </c>
      <c r="B7313">
        <f>TEXT(7312, "[$-0E0000]yyyy-mm-dd")</f>
        <v/>
      </c>
      <c r="C7313" t="inlineStr">
        <is>
          <t>1919-11-18</t>
        </is>
      </c>
    </row>
    <row r="7314">
      <c r="A7314" s="1" t="n">
        <v>7313</v>
      </c>
      <c r="B7314">
        <f>TEXT(7313, "[$-0E0000]yyyy-mm-dd")</f>
        <v/>
      </c>
      <c r="C7314" t="inlineStr">
        <is>
          <t>1919-11-19</t>
        </is>
      </c>
    </row>
    <row r="7315">
      <c r="A7315" s="1" t="n">
        <v>7314</v>
      </c>
      <c r="B7315">
        <f>TEXT(7314, "[$-0E0000]yyyy-mm-dd")</f>
        <v/>
      </c>
      <c r="C7315" t="inlineStr">
        <is>
          <t>1919-11-20</t>
        </is>
      </c>
    </row>
    <row r="7316">
      <c r="A7316" s="1" t="n">
        <v>7315</v>
      </c>
      <c r="B7316">
        <f>TEXT(7315, "[$-0E0000]yyyy-mm-dd")</f>
        <v/>
      </c>
      <c r="C7316" t="inlineStr">
        <is>
          <t>1919-11-21</t>
        </is>
      </c>
    </row>
    <row r="7317">
      <c r="A7317" s="1" t="n">
        <v>7316</v>
      </c>
      <c r="B7317">
        <f>TEXT(7316, "[$-0E0000]yyyy-mm-dd")</f>
        <v/>
      </c>
      <c r="C7317" t="inlineStr">
        <is>
          <t>1919-11-22</t>
        </is>
      </c>
    </row>
    <row r="7318">
      <c r="A7318" s="1" t="n">
        <v>7317</v>
      </c>
      <c r="B7318">
        <f>TEXT(7317, "[$-0E0000]yyyy-mm-dd")</f>
        <v/>
      </c>
      <c r="C7318" t="inlineStr">
        <is>
          <t>1919-11-23</t>
        </is>
      </c>
    </row>
    <row r="7319">
      <c r="A7319" s="1" t="n">
        <v>7318</v>
      </c>
      <c r="B7319">
        <f>TEXT(7318, "[$-0E0000]yyyy-mm-dd")</f>
        <v/>
      </c>
      <c r="C7319" t="inlineStr">
        <is>
          <t>1919-11-24</t>
        </is>
      </c>
    </row>
    <row r="7320">
      <c r="A7320" s="1" t="n">
        <v>7319</v>
      </c>
      <c r="B7320">
        <f>TEXT(7319, "[$-0E0000]yyyy-mm-dd")</f>
        <v/>
      </c>
      <c r="C7320" t="inlineStr">
        <is>
          <t>1919-11-25</t>
        </is>
      </c>
    </row>
    <row r="7321">
      <c r="A7321" s="1" t="n">
        <v>7320</v>
      </c>
      <c r="B7321">
        <f>TEXT(7320, "[$-0E0000]yyyy-mm-dd")</f>
        <v/>
      </c>
      <c r="C7321" t="inlineStr">
        <is>
          <t>1919-11-26</t>
        </is>
      </c>
    </row>
    <row r="7322">
      <c r="A7322" s="1" t="n">
        <v>7321</v>
      </c>
      <c r="B7322">
        <f>TEXT(7321, "[$-0E0000]yyyy-mm-dd")</f>
        <v/>
      </c>
      <c r="C7322" t="inlineStr">
        <is>
          <t>1919-11-27</t>
        </is>
      </c>
    </row>
    <row r="7323">
      <c r="A7323" s="1" t="n">
        <v>7322</v>
      </c>
      <c r="B7323">
        <f>TEXT(7322, "[$-0E0000]yyyy-mm-dd")</f>
        <v/>
      </c>
      <c r="C7323" t="inlineStr">
        <is>
          <t>1919-11-28</t>
        </is>
      </c>
    </row>
    <row r="7324">
      <c r="A7324" s="1" t="n">
        <v>7323</v>
      </c>
      <c r="B7324">
        <f>TEXT(7323, "[$-0E0000]yyyy-mm-dd")</f>
        <v/>
      </c>
      <c r="C7324" t="inlineStr">
        <is>
          <t>1919-11-29</t>
        </is>
      </c>
    </row>
    <row r="7325">
      <c r="A7325" s="1" t="n">
        <v>7324</v>
      </c>
      <c r="B7325">
        <f>TEXT(7324, "[$-0E0000]yyyy-mm-dd")</f>
        <v/>
      </c>
      <c r="C7325" t="inlineStr">
        <is>
          <t>1919-11-30</t>
        </is>
      </c>
    </row>
    <row r="7326">
      <c r="A7326" s="1" t="n">
        <v>7325</v>
      </c>
      <c r="B7326">
        <f>TEXT(7325, "[$-0E0000]yyyy-mm-dd")</f>
        <v/>
      </c>
      <c r="C7326" t="inlineStr">
        <is>
          <t>1919-12-01</t>
        </is>
      </c>
    </row>
    <row r="7327">
      <c r="A7327" s="1" t="n">
        <v>7326</v>
      </c>
      <c r="B7327">
        <f>TEXT(7326, "[$-0E0000]yyyy-mm-dd")</f>
        <v/>
      </c>
      <c r="C7327" t="inlineStr">
        <is>
          <t>1919-12-02</t>
        </is>
      </c>
    </row>
    <row r="7328">
      <c r="A7328" s="1" t="n">
        <v>7327</v>
      </c>
      <c r="B7328">
        <f>TEXT(7327, "[$-0E0000]yyyy-mm-dd")</f>
        <v/>
      </c>
      <c r="C7328" t="inlineStr">
        <is>
          <t>1919-12-03</t>
        </is>
      </c>
    </row>
    <row r="7329">
      <c r="A7329" s="1" t="n">
        <v>7328</v>
      </c>
      <c r="B7329">
        <f>TEXT(7328, "[$-0E0000]yyyy-mm-dd")</f>
        <v/>
      </c>
      <c r="C7329" t="inlineStr">
        <is>
          <t>1919-12-04</t>
        </is>
      </c>
    </row>
    <row r="7330">
      <c r="A7330" s="1" t="n">
        <v>7329</v>
      </c>
      <c r="B7330">
        <f>TEXT(7329, "[$-0E0000]yyyy-mm-dd")</f>
        <v/>
      </c>
      <c r="C7330" t="inlineStr">
        <is>
          <t>1919-12-05</t>
        </is>
      </c>
    </row>
    <row r="7331">
      <c r="A7331" s="1" t="n">
        <v>7330</v>
      </c>
      <c r="B7331">
        <f>TEXT(7330, "[$-0E0000]yyyy-mm-dd")</f>
        <v/>
      </c>
      <c r="C7331" t="inlineStr">
        <is>
          <t>1919-12-06</t>
        </is>
      </c>
    </row>
    <row r="7332">
      <c r="A7332" s="1" t="n">
        <v>7331</v>
      </c>
      <c r="B7332">
        <f>TEXT(7331, "[$-0E0000]yyyy-mm-dd")</f>
        <v/>
      </c>
      <c r="C7332" t="inlineStr">
        <is>
          <t>1919-12-07</t>
        </is>
      </c>
    </row>
    <row r="7333">
      <c r="A7333" s="1" t="n">
        <v>7332</v>
      </c>
      <c r="B7333">
        <f>TEXT(7332, "[$-0E0000]yyyy-mm-dd")</f>
        <v/>
      </c>
      <c r="C7333" t="inlineStr">
        <is>
          <t>1919-12-08</t>
        </is>
      </c>
    </row>
    <row r="7334">
      <c r="A7334" s="1" t="n">
        <v>7333</v>
      </c>
      <c r="B7334">
        <f>TEXT(7333, "[$-0E0000]yyyy-mm-dd")</f>
        <v/>
      </c>
      <c r="C7334" t="inlineStr">
        <is>
          <t>1919-12-09</t>
        </is>
      </c>
    </row>
    <row r="7335">
      <c r="A7335" s="1" t="n">
        <v>7334</v>
      </c>
      <c r="B7335">
        <f>TEXT(7334, "[$-0E0000]yyyy-mm-dd")</f>
        <v/>
      </c>
      <c r="C7335" t="inlineStr">
        <is>
          <t>1919-12-10</t>
        </is>
      </c>
    </row>
    <row r="7336">
      <c r="A7336" s="1" t="n">
        <v>7335</v>
      </c>
      <c r="B7336">
        <f>TEXT(7335, "[$-0E0000]yyyy-mm-dd")</f>
        <v/>
      </c>
      <c r="C7336" t="inlineStr">
        <is>
          <t>1919-12-11</t>
        </is>
      </c>
    </row>
    <row r="7337">
      <c r="A7337" s="1" t="n">
        <v>7336</v>
      </c>
      <c r="B7337">
        <f>TEXT(7336, "[$-0E0000]yyyy-mm-dd")</f>
        <v/>
      </c>
      <c r="C7337" t="inlineStr">
        <is>
          <t>1919-12-12</t>
        </is>
      </c>
    </row>
    <row r="7338">
      <c r="A7338" s="1" t="n">
        <v>7337</v>
      </c>
      <c r="B7338">
        <f>TEXT(7337, "[$-0E0000]yyyy-mm-dd")</f>
        <v/>
      </c>
      <c r="C7338" t="inlineStr">
        <is>
          <t>1919-12-13</t>
        </is>
      </c>
    </row>
    <row r="7339">
      <c r="A7339" s="1" t="n">
        <v>7338</v>
      </c>
      <c r="B7339">
        <f>TEXT(7338, "[$-0E0000]yyyy-mm-dd")</f>
        <v/>
      </c>
      <c r="C7339" t="inlineStr">
        <is>
          <t>1919-12-14</t>
        </is>
      </c>
    </row>
    <row r="7340">
      <c r="A7340" s="1" t="n">
        <v>7339</v>
      </c>
      <c r="B7340">
        <f>TEXT(7339, "[$-0E0000]yyyy-mm-dd")</f>
        <v/>
      </c>
      <c r="C7340" t="inlineStr">
        <is>
          <t>1919-12-15</t>
        </is>
      </c>
    </row>
    <row r="7341">
      <c r="A7341" s="1" t="n">
        <v>7340</v>
      </c>
      <c r="B7341">
        <f>TEXT(7340, "[$-0E0000]yyyy-mm-dd")</f>
        <v/>
      </c>
      <c r="C7341" t="inlineStr">
        <is>
          <t>1919-12-16</t>
        </is>
      </c>
    </row>
    <row r="7342">
      <c r="A7342" s="1" t="n">
        <v>7341</v>
      </c>
      <c r="B7342">
        <f>TEXT(7341, "[$-0E0000]yyyy-mm-dd")</f>
        <v/>
      </c>
      <c r="C7342" t="inlineStr">
        <is>
          <t>1919-12-17</t>
        </is>
      </c>
    </row>
    <row r="7343">
      <c r="A7343" s="1" t="n">
        <v>7342</v>
      </c>
      <c r="B7343">
        <f>TEXT(7342, "[$-0E0000]yyyy-mm-dd")</f>
        <v/>
      </c>
      <c r="C7343" t="inlineStr">
        <is>
          <t>1919-12-18</t>
        </is>
      </c>
    </row>
    <row r="7344">
      <c r="A7344" s="1" t="n">
        <v>7343</v>
      </c>
      <c r="B7344">
        <f>TEXT(7343, "[$-0E0000]yyyy-mm-dd")</f>
        <v/>
      </c>
      <c r="C7344" t="inlineStr">
        <is>
          <t>1919-12-19</t>
        </is>
      </c>
    </row>
    <row r="7345">
      <c r="A7345" s="1" t="n">
        <v>7344</v>
      </c>
      <c r="B7345">
        <f>TEXT(7344, "[$-0E0000]yyyy-mm-dd")</f>
        <v/>
      </c>
      <c r="C7345" t="inlineStr">
        <is>
          <t>1919-12-20</t>
        </is>
      </c>
    </row>
    <row r="7346">
      <c r="A7346" s="1" t="n">
        <v>7345</v>
      </c>
      <c r="B7346">
        <f>TEXT(7345, "[$-0E0000]yyyy-mm-dd")</f>
        <v/>
      </c>
      <c r="C7346" t="inlineStr">
        <is>
          <t>1919-12-21</t>
        </is>
      </c>
    </row>
    <row r="7347">
      <c r="A7347" s="1" t="n">
        <v>7346</v>
      </c>
      <c r="B7347">
        <f>TEXT(7346, "[$-0E0000]yyyy-mm-dd")</f>
        <v/>
      </c>
      <c r="C7347" t="inlineStr">
        <is>
          <t>1919-12-22</t>
        </is>
      </c>
    </row>
    <row r="7348">
      <c r="A7348" s="1" t="n">
        <v>7347</v>
      </c>
      <c r="B7348">
        <f>TEXT(7347, "[$-0E0000]yyyy-mm-dd")</f>
        <v/>
      </c>
      <c r="C7348" t="inlineStr">
        <is>
          <t>1919-12-23</t>
        </is>
      </c>
    </row>
    <row r="7349">
      <c r="A7349" s="1" t="n">
        <v>7348</v>
      </c>
      <c r="B7349">
        <f>TEXT(7348, "[$-0E0000]yyyy-mm-dd")</f>
        <v/>
      </c>
      <c r="C7349" t="inlineStr">
        <is>
          <t>1919-12-24</t>
        </is>
      </c>
    </row>
    <row r="7350">
      <c r="A7350" s="1" t="n">
        <v>7349</v>
      </c>
      <c r="B7350">
        <f>TEXT(7349, "[$-0E0000]yyyy-mm-dd")</f>
        <v/>
      </c>
      <c r="C7350" t="inlineStr">
        <is>
          <t>1919-12-25</t>
        </is>
      </c>
    </row>
    <row r="7351">
      <c r="A7351" s="1" t="n">
        <v>7350</v>
      </c>
      <c r="B7351">
        <f>TEXT(7350, "[$-0E0000]yyyy-mm-dd")</f>
        <v/>
      </c>
      <c r="C7351" t="inlineStr">
        <is>
          <t>1919-12-26</t>
        </is>
      </c>
    </row>
    <row r="7352">
      <c r="A7352" s="1" t="n">
        <v>7351</v>
      </c>
      <c r="B7352">
        <f>TEXT(7351, "[$-0E0000]yyyy-mm-dd")</f>
        <v/>
      </c>
      <c r="C7352" t="inlineStr">
        <is>
          <t>1919-12-27</t>
        </is>
      </c>
    </row>
    <row r="7353">
      <c r="A7353" s="1" t="n">
        <v>7352</v>
      </c>
      <c r="B7353">
        <f>TEXT(7352, "[$-0E0000]yyyy-mm-dd")</f>
        <v/>
      </c>
      <c r="C7353" t="inlineStr">
        <is>
          <t>1919-12-28</t>
        </is>
      </c>
    </row>
    <row r="7354">
      <c r="A7354" s="1" t="n">
        <v>7353</v>
      </c>
      <c r="B7354">
        <f>TEXT(7353, "[$-0E0000]yyyy-mm-dd")</f>
        <v/>
      </c>
      <c r="C7354" t="inlineStr">
        <is>
          <t>1919-12-29</t>
        </is>
      </c>
    </row>
    <row r="7355">
      <c r="A7355" s="1" t="n">
        <v>7354</v>
      </c>
      <c r="B7355">
        <f>TEXT(7354, "[$-0E0000]yyyy-mm-dd")</f>
        <v/>
      </c>
      <c r="C7355" t="inlineStr">
        <is>
          <t>1919-12-30</t>
        </is>
      </c>
    </row>
    <row r="7356">
      <c r="A7356" s="1" t="n">
        <v>7355</v>
      </c>
      <c r="B7356">
        <f>TEXT(7355, "[$-0E0000]yyyy-mm-dd")</f>
        <v/>
      </c>
      <c r="C7356" t="inlineStr">
        <is>
          <t>1920-01-01</t>
        </is>
      </c>
    </row>
    <row r="7357">
      <c r="A7357" s="1" t="n">
        <v>7356</v>
      </c>
      <c r="B7357">
        <f>TEXT(7356, "[$-0E0000]yyyy-mm-dd")</f>
        <v/>
      </c>
      <c r="C7357" t="inlineStr">
        <is>
          <t>1920-01-02</t>
        </is>
      </c>
    </row>
    <row r="7358">
      <c r="A7358" s="1" t="n">
        <v>7357</v>
      </c>
      <c r="B7358">
        <f>TEXT(7357, "[$-0E0000]yyyy-mm-dd")</f>
        <v/>
      </c>
      <c r="C7358" t="inlineStr">
        <is>
          <t>1920-01-03</t>
        </is>
      </c>
    </row>
    <row r="7359">
      <c r="A7359" s="1" t="n">
        <v>7358</v>
      </c>
      <c r="B7359">
        <f>TEXT(7358, "[$-0E0000]yyyy-mm-dd")</f>
        <v/>
      </c>
      <c r="C7359" t="inlineStr">
        <is>
          <t>1920-01-04</t>
        </is>
      </c>
    </row>
    <row r="7360">
      <c r="A7360" s="1" t="n">
        <v>7359</v>
      </c>
      <c r="B7360">
        <f>TEXT(7359, "[$-0E0000]yyyy-mm-dd")</f>
        <v/>
      </c>
      <c r="C7360" t="inlineStr">
        <is>
          <t>1920-01-05</t>
        </is>
      </c>
    </row>
    <row r="7361">
      <c r="A7361" s="1" t="n">
        <v>7360</v>
      </c>
      <c r="B7361">
        <f>TEXT(7360, "[$-0E0000]yyyy-mm-dd")</f>
        <v/>
      </c>
      <c r="C7361" t="inlineStr">
        <is>
          <t>1920-01-06</t>
        </is>
      </c>
    </row>
    <row r="7362">
      <c r="A7362" s="1" t="n">
        <v>7361</v>
      </c>
      <c r="B7362">
        <f>TEXT(7361, "[$-0E0000]yyyy-mm-dd")</f>
        <v/>
      </c>
      <c r="C7362" t="inlineStr">
        <is>
          <t>1920-01-07</t>
        </is>
      </c>
    </row>
    <row r="7363">
      <c r="A7363" s="1" t="n">
        <v>7362</v>
      </c>
      <c r="B7363">
        <f>TEXT(7362, "[$-0E0000]yyyy-mm-dd")</f>
        <v/>
      </c>
      <c r="C7363" t="inlineStr">
        <is>
          <t>1920-01-08</t>
        </is>
      </c>
    </row>
    <row r="7364">
      <c r="A7364" s="1" t="n">
        <v>7363</v>
      </c>
      <c r="B7364">
        <f>TEXT(7363, "[$-0E0000]yyyy-mm-dd")</f>
        <v/>
      </c>
      <c r="C7364" t="inlineStr">
        <is>
          <t>1920-01-09</t>
        </is>
      </c>
    </row>
    <row r="7365">
      <c r="A7365" s="1" t="n">
        <v>7364</v>
      </c>
      <c r="B7365">
        <f>TEXT(7364, "[$-0E0000]yyyy-mm-dd")</f>
        <v/>
      </c>
      <c r="C7365" t="inlineStr">
        <is>
          <t>1920-01-10</t>
        </is>
      </c>
    </row>
    <row r="7366">
      <c r="A7366" s="1" t="n">
        <v>7365</v>
      </c>
      <c r="B7366">
        <f>TEXT(7365, "[$-0E0000]yyyy-mm-dd")</f>
        <v/>
      </c>
      <c r="C7366" t="inlineStr">
        <is>
          <t>1920-01-11</t>
        </is>
      </c>
    </row>
    <row r="7367">
      <c r="A7367" s="1" t="n">
        <v>7366</v>
      </c>
      <c r="B7367">
        <f>TEXT(7366, "[$-0E0000]yyyy-mm-dd")</f>
        <v/>
      </c>
      <c r="C7367" t="inlineStr">
        <is>
          <t>1920-01-12</t>
        </is>
      </c>
    </row>
    <row r="7368">
      <c r="A7368" s="1" t="n">
        <v>7367</v>
      </c>
      <c r="B7368">
        <f>TEXT(7367, "[$-0E0000]yyyy-mm-dd")</f>
        <v/>
      </c>
      <c r="C7368" t="inlineStr">
        <is>
          <t>1920-01-13</t>
        </is>
      </c>
    </row>
    <row r="7369">
      <c r="A7369" s="1" t="n">
        <v>7368</v>
      </c>
      <c r="B7369">
        <f>TEXT(7368, "[$-0E0000]yyyy-mm-dd")</f>
        <v/>
      </c>
      <c r="C7369" t="inlineStr">
        <is>
          <t>1920-01-14</t>
        </is>
      </c>
    </row>
    <row r="7370">
      <c r="A7370" s="1" t="n">
        <v>7369</v>
      </c>
      <c r="B7370">
        <f>TEXT(7369, "[$-0E0000]yyyy-mm-dd")</f>
        <v/>
      </c>
      <c r="C7370" t="inlineStr">
        <is>
          <t>1920-01-15</t>
        </is>
      </c>
    </row>
    <row r="7371">
      <c r="A7371" s="1" t="n">
        <v>7370</v>
      </c>
      <c r="B7371">
        <f>TEXT(7370, "[$-0E0000]yyyy-mm-dd")</f>
        <v/>
      </c>
      <c r="C7371" t="inlineStr">
        <is>
          <t>1920-01-16</t>
        </is>
      </c>
    </row>
    <row r="7372">
      <c r="A7372" s="1" t="n">
        <v>7371</v>
      </c>
      <c r="B7372">
        <f>TEXT(7371, "[$-0E0000]yyyy-mm-dd")</f>
        <v/>
      </c>
      <c r="C7372" t="inlineStr">
        <is>
          <t>1920-01-17</t>
        </is>
      </c>
    </row>
    <row r="7373">
      <c r="A7373" s="1" t="n">
        <v>7372</v>
      </c>
      <c r="B7373">
        <f>TEXT(7372, "[$-0E0000]yyyy-mm-dd")</f>
        <v/>
      </c>
      <c r="C7373" t="inlineStr">
        <is>
          <t>1920-01-18</t>
        </is>
      </c>
    </row>
    <row r="7374">
      <c r="A7374" s="1" t="n">
        <v>7373</v>
      </c>
      <c r="B7374">
        <f>TEXT(7373, "[$-0E0000]yyyy-mm-dd")</f>
        <v/>
      </c>
      <c r="C7374" t="inlineStr">
        <is>
          <t>1920-01-19</t>
        </is>
      </c>
    </row>
    <row r="7375">
      <c r="A7375" s="1" t="n">
        <v>7374</v>
      </c>
      <c r="B7375">
        <f>TEXT(7374, "[$-0E0000]yyyy-mm-dd")</f>
        <v/>
      </c>
      <c r="C7375" t="inlineStr">
        <is>
          <t>1920-01-20</t>
        </is>
      </c>
    </row>
    <row r="7376">
      <c r="A7376" s="1" t="n">
        <v>7375</v>
      </c>
      <c r="B7376">
        <f>TEXT(7375, "[$-0E0000]yyyy-mm-dd")</f>
        <v/>
      </c>
      <c r="C7376" t="inlineStr">
        <is>
          <t>1920-01-21</t>
        </is>
      </c>
    </row>
    <row r="7377">
      <c r="A7377" s="1" t="n">
        <v>7376</v>
      </c>
      <c r="B7377">
        <f>TEXT(7376, "[$-0E0000]yyyy-mm-dd")</f>
        <v/>
      </c>
      <c r="C7377" t="inlineStr">
        <is>
          <t>1920-01-22</t>
        </is>
      </c>
    </row>
    <row r="7378">
      <c r="A7378" s="1" t="n">
        <v>7377</v>
      </c>
      <c r="B7378">
        <f>TEXT(7377, "[$-0E0000]yyyy-mm-dd")</f>
        <v/>
      </c>
      <c r="C7378" t="inlineStr">
        <is>
          <t>1920-01-23</t>
        </is>
      </c>
    </row>
    <row r="7379">
      <c r="A7379" s="1" t="n">
        <v>7378</v>
      </c>
      <c r="B7379">
        <f>TEXT(7378, "[$-0E0000]yyyy-mm-dd")</f>
        <v/>
      </c>
      <c r="C7379" t="inlineStr">
        <is>
          <t>1920-01-24</t>
        </is>
      </c>
    </row>
    <row r="7380">
      <c r="A7380" s="1" t="n">
        <v>7379</v>
      </c>
      <c r="B7380">
        <f>TEXT(7379, "[$-0E0000]yyyy-mm-dd")</f>
        <v/>
      </c>
      <c r="C7380" t="inlineStr">
        <is>
          <t>1920-01-25</t>
        </is>
      </c>
    </row>
    <row r="7381">
      <c r="A7381" s="1" t="n">
        <v>7380</v>
      </c>
      <c r="B7381">
        <f>TEXT(7380, "[$-0E0000]yyyy-mm-dd")</f>
        <v/>
      </c>
      <c r="C7381" t="inlineStr">
        <is>
          <t>1920-01-26</t>
        </is>
      </c>
    </row>
    <row r="7382">
      <c r="A7382" s="1" t="n">
        <v>7381</v>
      </c>
      <c r="B7382">
        <f>TEXT(7381, "[$-0E0000]yyyy-mm-dd")</f>
        <v/>
      </c>
      <c r="C7382" t="inlineStr">
        <is>
          <t>1920-01-27</t>
        </is>
      </c>
    </row>
    <row r="7383">
      <c r="A7383" s="1" t="n">
        <v>7382</v>
      </c>
      <c r="B7383">
        <f>TEXT(7382, "[$-0E0000]yyyy-mm-dd")</f>
        <v/>
      </c>
      <c r="C7383" t="inlineStr">
        <is>
          <t>1920-01-28</t>
        </is>
      </c>
    </row>
    <row r="7384">
      <c r="A7384" s="1" t="n">
        <v>7383</v>
      </c>
      <c r="B7384">
        <f>TEXT(7383, "[$-0E0000]yyyy-mm-dd")</f>
        <v/>
      </c>
      <c r="C7384" t="inlineStr">
        <is>
          <t>1920-01-29</t>
        </is>
      </c>
    </row>
    <row r="7385">
      <c r="A7385" s="1" t="n">
        <v>7384</v>
      </c>
      <c r="B7385">
        <f>TEXT(7384, "[$-0E0000]yyyy-mm-dd")</f>
        <v/>
      </c>
      <c r="C7385" t="inlineStr">
        <is>
          <t>1920-02-01</t>
        </is>
      </c>
    </row>
    <row r="7386">
      <c r="A7386" s="1" t="n">
        <v>7385</v>
      </c>
      <c r="B7386">
        <f>TEXT(7385, "[$-0E0000]yyyy-mm-dd")</f>
        <v/>
      </c>
      <c r="C7386" t="inlineStr">
        <is>
          <t>1920-02-02</t>
        </is>
      </c>
    </row>
    <row r="7387">
      <c r="A7387" s="1" t="n">
        <v>7386</v>
      </c>
      <c r="B7387">
        <f>TEXT(7386, "[$-0E0000]yyyy-mm-dd")</f>
        <v/>
      </c>
      <c r="C7387" t="inlineStr">
        <is>
          <t>1920-02-03</t>
        </is>
      </c>
    </row>
    <row r="7388">
      <c r="A7388" s="1" t="n">
        <v>7387</v>
      </c>
      <c r="B7388">
        <f>TEXT(7387, "[$-0E0000]yyyy-mm-dd")</f>
        <v/>
      </c>
      <c r="C7388" t="inlineStr">
        <is>
          <t>1920-02-04</t>
        </is>
      </c>
    </row>
    <row r="7389">
      <c r="A7389" s="1" t="n">
        <v>7388</v>
      </c>
      <c r="B7389">
        <f>TEXT(7388, "[$-0E0000]yyyy-mm-dd")</f>
        <v/>
      </c>
      <c r="C7389" t="inlineStr">
        <is>
          <t>1920-02-05</t>
        </is>
      </c>
    </row>
    <row r="7390">
      <c r="A7390" s="1" t="n">
        <v>7389</v>
      </c>
      <c r="B7390">
        <f>TEXT(7389, "[$-0E0000]yyyy-mm-dd")</f>
        <v/>
      </c>
      <c r="C7390" t="inlineStr">
        <is>
          <t>1920-02-06</t>
        </is>
      </c>
    </row>
    <row r="7391">
      <c r="A7391" s="1" t="n">
        <v>7390</v>
      </c>
      <c r="B7391">
        <f>TEXT(7390, "[$-0E0000]yyyy-mm-dd")</f>
        <v/>
      </c>
      <c r="C7391" t="inlineStr">
        <is>
          <t>1920-02-07</t>
        </is>
      </c>
    </row>
    <row r="7392">
      <c r="A7392" s="1" t="n">
        <v>7391</v>
      </c>
      <c r="B7392">
        <f>TEXT(7391, "[$-0E0000]yyyy-mm-dd")</f>
        <v/>
      </c>
      <c r="C7392" t="inlineStr">
        <is>
          <t>1920-02-08</t>
        </is>
      </c>
    </row>
    <row r="7393">
      <c r="A7393" s="1" t="n">
        <v>7392</v>
      </c>
      <c r="B7393">
        <f>TEXT(7392, "[$-0E0000]yyyy-mm-dd")</f>
        <v/>
      </c>
      <c r="C7393" t="inlineStr">
        <is>
          <t>1920-02-09</t>
        </is>
      </c>
    </row>
    <row r="7394">
      <c r="A7394" s="1" t="n">
        <v>7393</v>
      </c>
      <c r="B7394">
        <f>TEXT(7393, "[$-0E0000]yyyy-mm-dd")</f>
        <v/>
      </c>
      <c r="C7394" t="inlineStr">
        <is>
          <t>1920-02-10</t>
        </is>
      </c>
    </row>
    <row r="7395">
      <c r="A7395" s="1" t="n">
        <v>7394</v>
      </c>
      <c r="B7395">
        <f>TEXT(7394, "[$-0E0000]yyyy-mm-dd")</f>
        <v/>
      </c>
      <c r="C7395" t="inlineStr">
        <is>
          <t>1920-02-11</t>
        </is>
      </c>
    </row>
    <row r="7396">
      <c r="A7396" s="1" t="n">
        <v>7395</v>
      </c>
      <c r="B7396">
        <f>TEXT(7395, "[$-0E0000]yyyy-mm-dd")</f>
        <v/>
      </c>
      <c r="C7396" t="inlineStr">
        <is>
          <t>1920-02-12</t>
        </is>
      </c>
    </row>
    <row r="7397">
      <c r="A7397" s="1" t="n">
        <v>7396</v>
      </c>
      <c r="B7397">
        <f>TEXT(7396, "[$-0E0000]yyyy-mm-dd")</f>
        <v/>
      </c>
      <c r="C7397" t="inlineStr">
        <is>
          <t>1920-02-13</t>
        </is>
      </c>
    </row>
    <row r="7398">
      <c r="A7398" s="1" t="n">
        <v>7397</v>
      </c>
      <c r="B7398">
        <f>TEXT(7397, "[$-0E0000]yyyy-mm-dd")</f>
        <v/>
      </c>
      <c r="C7398" t="inlineStr">
        <is>
          <t>1920-02-14</t>
        </is>
      </c>
    </row>
    <row r="7399">
      <c r="A7399" s="1" t="n">
        <v>7398</v>
      </c>
      <c r="B7399">
        <f>TEXT(7398, "[$-0E0000]yyyy-mm-dd")</f>
        <v/>
      </c>
      <c r="C7399" t="inlineStr">
        <is>
          <t>1920-02-15</t>
        </is>
      </c>
    </row>
    <row r="7400">
      <c r="A7400" s="1" t="n">
        <v>7399</v>
      </c>
      <c r="B7400">
        <f>TEXT(7399, "[$-0E0000]yyyy-mm-dd")</f>
        <v/>
      </c>
      <c r="C7400" t="inlineStr">
        <is>
          <t>1920-02-16</t>
        </is>
      </c>
    </row>
    <row r="7401">
      <c r="A7401" s="1" t="n">
        <v>7400</v>
      </c>
      <c r="B7401">
        <f>TEXT(7400, "[$-0E0000]yyyy-mm-dd")</f>
        <v/>
      </c>
      <c r="C7401" t="inlineStr">
        <is>
          <t>1920-02-17</t>
        </is>
      </c>
    </row>
    <row r="7402">
      <c r="A7402" s="1" t="n">
        <v>7401</v>
      </c>
      <c r="B7402">
        <f>TEXT(7401, "[$-0E0000]yyyy-mm-dd")</f>
        <v/>
      </c>
      <c r="C7402" t="inlineStr">
        <is>
          <t>1920-02-18</t>
        </is>
      </c>
    </row>
    <row r="7403">
      <c r="A7403" s="1" t="n">
        <v>7402</v>
      </c>
      <c r="B7403">
        <f>TEXT(7402, "[$-0E0000]yyyy-mm-dd")</f>
        <v/>
      </c>
      <c r="C7403" t="inlineStr">
        <is>
          <t>1920-02-19</t>
        </is>
      </c>
    </row>
    <row r="7404">
      <c r="A7404" s="1" t="n">
        <v>7403</v>
      </c>
      <c r="B7404">
        <f>TEXT(7403, "[$-0E0000]yyyy-mm-dd")</f>
        <v/>
      </c>
      <c r="C7404" t="inlineStr">
        <is>
          <t>1920-02-20</t>
        </is>
      </c>
    </row>
    <row r="7405">
      <c r="A7405" s="1" t="n">
        <v>7404</v>
      </c>
      <c r="B7405">
        <f>TEXT(7404, "[$-0E0000]yyyy-mm-dd")</f>
        <v/>
      </c>
      <c r="C7405" t="inlineStr">
        <is>
          <t>1920-02-21</t>
        </is>
      </c>
    </row>
    <row r="7406">
      <c r="A7406" s="1" t="n">
        <v>7405</v>
      </c>
      <c r="B7406">
        <f>TEXT(7405, "[$-0E0000]yyyy-mm-dd")</f>
        <v/>
      </c>
      <c r="C7406" t="inlineStr">
        <is>
          <t>1920-02-22</t>
        </is>
      </c>
    </row>
    <row r="7407">
      <c r="A7407" s="1" t="n">
        <v>7406</v>
      </c>
      <c r="B7407">
        <f>TEXT(7406, "[$-0E0000]yyyy-mm-dd")</f>
        <v/>
      </c>
      <c r="C7407" t="inlineStr">
        <is>
          <t>1920-02-23</t>
        </is>
      </c>
    </row>
    <row r="7408">
      <c r="A7408" s="1" t="n">
        <v>7407</v>
      </c>
      <c r="B7408">
        <f>TEXT(7407, "[$-0E0000]yyyy-mm-dd")</f>
        <v/>
      </c>
      <c r="C7408" t="inlineStr">
        <is>
          <t>1920-02-24</t>
        </is>
      </c>
    </row>
    <row r="7409">
      <c r="A7409" s="1" t="n">
        <v>7408</v>
      </c>
      <c r="B7409">
        <f>TEXT(7408, "[$-0E0000]yyyy-mm-dd")</f>
        <v/>
      </c>
      <c r="C7409" t="inlineStr">
        <is>
          <t>1920-02-25</t>
        </is>
      </c>
    </row>
    <row r="7410">
      <c r="A7410" s="1" t="n">
        <v>7409</v>
      </c>
      <c r="B7410">
        <f>TEXT(7409, "[$-0E0000]yyyy-mm-dd")</f>
        <v/>
      </c>
      <c r="C7410" t="inlineStr">
        <is>
          <t>1920-02-26</t>
        </is>
      </c>
    </row>
    <row r="7411">
      <c r="A7411" s="1" t="n">
        <v>7410</v>
      </c>
      <c r="B7411">
        <f>TEXT(7410, "[$-0E0000]yyyy-mm-dd")</f>
        <v/>
      </c>
      <c r="C7411" t="inlineStr">
        <is>
          <t>1920-02-27</t>
        </is>
      </c>
    </row>
    <row r="7412">
      <c r="A7412" s="1" t="n">
        <v>7411</v>
      </c>
      <c r="B7412">
        <f>TEXT(7411, "[$-0E0000]yyyy-mm-dd")</f>
        <v/>
      </c>
      <c r="C7412" t="inlineStr">
        <is>
          <t>1920-02-28</t>
        </is>
      </c>
    </row>
    <row r="7413">
      <c r="A7413" s="1" t="n">
        <v>7412</v>
      </c>
      <c r="B7413">
        <f>TEXT(7412, "[$-0E0000]yyyy-mm-dd")</f>
        <v/>
      </c>
      <c r="C7413" t="inlineStr">
        <is>
          <t>1920-02-29</t>
        </is>
      </c>
    </row>
    <row r="7414">
      <c r="A7414" s="1" t="n">
        <v>7413</v>
      </c>
      <c r="B7414">
        <f>TEXT(7413, "[$-0E0000]yyyy-mm-dd")</f>
        <v/>
      </c>
      <c r="C7414" t="inlineStr">
        <is>
          <t>1920-02-30</t>
        </is>
      </c>
    </row>
    <row r="7415">
      <c r="A7415" s="1" t="n">
        <v>7414</v>
      </c>
      <c r="B7415">
        <f>TEXT(7414, "[$-0E0000]yyyy-mm-dd")</f>
        <v/>
      </c>
      <c r="C7415" t="inlineStr">
        <is>
          <t>1920-03-01</t>
        </is>
      </c>
    </row>
    <row r="7416">
      <c r="A7416" s="1" t="n">
        <v>7415</v>
      </c>
      <c r="B7416">
        <f>TEXT(7415, "[$-0E0000]yyyy-mm-dd")</f>
        <v/>
      </c>
      <c r="C7416" t="inlineStr">
        <is>
          <t>1920-03-02</t>
        </is>
      </c>
    </row>
    <row r="7417">
      <c r="A7417" s="1" t="n">
        <v>7416</v>
      </c>
      <c r="B7417">
        <f>TEXT(7416, "[$-0E0000]yyyy-mm-dd")</f>
        <v/>
      </c>
      <c r="C7417" t="inlineStr">
        <is>
          <t>1920-03-03</t>
        </is>
      </c>
    </row>
    <row r="7418">
      <c r="A7418" s="1" t="n">
        <v>7417</v>
      </c>
      <c r="B7418">
        <f>TEXT(7417, "[$-0E0000]yyyy-mm-dd")</f>
        <v/>
      </c>
      <c r="C7418" t="inlineStr">
        <is>
          <t>1920-03-04</t>
        </is>
      </c>
    </row>
    <row r="7419">
      <c r="A7419" s="1" t="n">
        <v>7418</v>
      </c>
      <c r="B7419">
        <f>TEXT(7418, "[$-0E0000]yyyy-mm-dd")</f>
        <v/>
      </c>
      <c r="C7419" t="inlineStr">
        <is>
          <t>1920-03-05</t>
        </is>
      </c>
    </row>
    <row r="7420">
      <c r="A7420" s="1" t="n">
        <v>7419</v>
      </c>
      <c r="B7420">
        <f>TEXT(7419, "[$-0E0000]yyyy-mm-dd")</f>
        <v/>
      </c>
      <c r="C7420" t="inlineStr">
        <is>
          <t>1920-03-06</t>
        </is>
      </c>
    </row>
    <row r="7421">
      <c r="A7421" s="1" t="n">
        <v>7420</v>
      </c>
      <c r="B7421">
        <f>TEXT(7420, "[$-0E0000]yyyy-mm-dd")</f>
        <v/>
      </c>
      <c r="C7421" t="inlineStr">
        <is>
          <t>1920-03-07</t>
        </is>
      </c>
    </row>
    <row r="7422">
      <c r="A7422" s="1" t="n">
        <v>7421</v>
      </c>
      <c r="B7422">
        <f>TEXT(7421, "[$-0E0000]yyyy-mm-dd")</f>
        <v/>
      </c>
      <c r="C7422" t="inlineStr">
        <is>
          <t>1920-03-08</t>
        </is>
      </c>
    </row>
    <row r="7423">
      <c r="A7423" s="1" t="n">
        <v>7422</v>
      </c>
      <c r="B7423">
        <f>TEXT(7422, "[$-0E0000]yyyy-mm-dd")</f>
        <v/>
      </c>
      <c r="C7423" t="inlineStr">
        <is>
          <t>1920-03-09</t>
        </is>
      </c>
    </row>
    <row r="7424">
      <c r="A7424" s="1" t="n">
        <v>7423</v>
      </c>
      <c r="B7424">
        <f>TEXT(7423, "[$-0E0000]yyyy-mm-dd")</f>
        <v/>
      </c>
      <c r="C7424" t="inlineStr">
        <is>
          <t>1920-03-10</t>
        </is>
      </c>
    </row>
    <row r="7425">
      <c r="A7425" s="1" t="n">
        <v>7424</v>
      </c>
      <c r="B7425">
        <f>TEXT(7424, "[$-0E0000]yyyy-mm-dd")</f>
        <v/>
      </c>
      <c r="C7425" t="inlineStr">
        <is>
          <t>1920-03-11</t>
        </is>
      </c>
    </row>
    <row r="7426">
      <c r="A7426" s="1" t="n">
        <v>7425</v>
      </c>
      <c r="B7426">
        <f>TEXT(7425, "[$-0E0000]yyyy-mm-dd")</f>
        <v/>
      </c>
      <c r="C7426" t="inlineStr">
        <is>
          <t>1920-03-12</t>
        </is>
      </c>
    </row>
    <row r="7427">
      <c r="A7427" s="1" t="n">
        <v>7426</v>
      </c>
      <c r="B7427">
        <f>TEXT(7426, "[$-0E0000]yyyy-mm-dd")</f>
        <v/>
      </c>
      <c r="C7427" t="inlineStr">
        <is>
          <t>1920-03-13</t>
        </is>
      </c>
    </row>
    <row r="7428">
      <c r="A7428" s="1" t="n">
        <v>7427</v>
      </c>
      <c r="B7428">
        <f>TEXT(7427, "[$-0E0000]yyyy-mm-dd")</f>
        <v/>
      </c>
      <c r="C7428" t="inlineStr">
        <is>
          <t>1920-03-14</t>
        </is>
      </c>
    </row>
    <row r="7429">
      <c r="A7429" s="1" t="n">
        <v>7428</v>
      </c>
      <c r="B7429">
        <f>TEXT(7428, "[$-0E0000]yyyy-mm-dd")</f>
        <v/>
      </c>
      <c r="C7429" t="inlineStr">
        <is>
          <t>1920-03-15</t>
        </is>
      </c>
    </row>
    <row r="7430">
      <c r="A7430" s="1" t="n">
        <v>7429</v>
      </c>
      <c r="B7430">
        <f>TEXT(7429, "[$-0E0000]yyyy-mm-dd")</f>
        <v/>
      </c>
      <c r="C7430" t="inlineStr">
        <is>
          <t>1920-03-16</t>
        </is>
      </c>
    </row>
    <row r="7431">
      <c r="A7431" s="1" t="n">
        <v>7430</v>
      </c>
      <c r="B7431">
        <f>TEXT(7430, "[$-0E0000]yyyy-mm-dd")</f>
        <v/>
      </c>
      <c r="C7431" t="inlineStr">
        <is>
          <t>1920-03-17</t>
        </is>
      </c>
    </row>
    <row r="7432">
      <c r="A7432" s="1" t="n">
        <v>7431</v>
      </c>
      <c r="B7432">
        <f>TEXT(7431, "[$-0E0000]yyyy-mm-dd")</f>
        <v/>
      </c>
      <c r="C7432" t="inlineStr">
        <is>
          <t>1920-03-18</t>
        </is>
      </c>
    </row>
    <row r="7433">
      <c r="A7433" s="1" t="n">
        <v>7432</v>
      </c>
      <c r="B7433">
        <f>TEXT(7432, "[$-0E0000]yyyy-mm-dd")</f>
        <v/>
      </c>
      <c r="C7433" t="inlineStr">
        <is>
          <t>1920-03-19</t>
        </is>
      </c>
    </row>
    <row r="7434">
      <c r="A7434" s="1" t="n">
        <v>7433</v>
      </c>
      <c r="B7434">
        <f>TEXT(7433, "[$-0E0000]yyyy-mm-dd")</f>
        <v/>
      </c>
      <c r="C7434" t="inlineStr">
        <is>
          <t>1920-03-20</t>
        </is>
      </c>
    </row>
    <row r="7435">
      <c r="A7435" s="1" t="n">
        <v>7434</v>
      </c>
      <c r="B7435">
        <f>TEXT(7434, "[$-0E0000]yyyy-mm-dd")</f>
        <v/>
      </c>
      <c r="C7435" t="inlineStr">
        <is>
          <t>1920-03-21</t>
        </is>
      </c>
    </row>
    <row r="7436">
      <c r="A7436" s="1" t="n">
        <v>7435</v>
      </c>
      <c r="B7436">
        <f>TEXT(7435, "[$-0E0000]yyyy-mm-dd")</f>
        <v/>
      </c>
      <c r="C7436" t="inlineStr">
        <is>
          <t>1920-03-22</t>
        </is>
      </c>
    </row>
    <row r="7437">
      <c r="A7437" s="1" t="n">
        <v>7436</v>
      </c>
      <c r="B7437">
        <f>TEXT(7436, "[$-0E0000]yyyy-mm-dd")</f>
        <v/>
      </c>
      <c r="C7437" t="inlineStr">
        <is>
          <t>1920-03-23</t>
        </is>
      </c>
    </row>
    <row r="7438">
      <c r="A7438" s="1" t="n">
        <v>7437</v>
      </c>
      <c r="B7438">
        <f>TEXT(7437, "[$-0E0000]yyyy-mm-dd")</f>
        <v/>
      </c>
      <c r="C7438" t="inlineStr">
        <is>
          <t>1920-03-24</t>
        </is>
      </c>
    </row>
    <row r="7439">
      <c r="A7439" s="1" t="n">
        <v>7438</v>
      </c>
      <c r="B7439">
        <f>TEXT(7438, "[$-0E0000]yyyy-mm-dd")</f>
        <v/>
      </c>
      <c r="C7439" t="inlineStr">
        <is>
          <t>1920-03-25</t>
        </is>
      </c>
    </row>
    <row r="7440">
      <c r="A7440" s="1" t="n">
        <v>7439</v>
      </c>
      <c r="B7440">
        <f>TEXT(7439, "[$-0E0000]yyyy-mm-dd")</f>
        <v/>
      </c>
      <c r="C7440" t="inlineStr">
        <is>
          <t>1920-03-26</t>
        </is>
      </c>
    </row>
    <row r="7441">
      <c r="A7441" s="1" t="n">
        <v>7440</v>
      </c>
      <c r="B7441">
        <f>TEXT(7440, "[$-0E0000]yyyy-mm-dd")</f>
        <v/>
      </c>
      <c r="C7441" t="inlineStr">
        <is>
          <t>1920-03-27</t>
        </is>
      </c>
    </row>
    <row r="7442">
      <c r="A7442" s="1" t="n">
        <v>7441</v>
      </c>
      <c r="B7442">
        <f>TEXT(7441, "[$-0E0000]yyyy-mm-dd")</f>
        <v/>
      </c>
      <c r="C7442" t="inlineStr">
        <is>
          <t>1920-03-28</t>
        </is>
      </c>
    </row>
    <row r="7443">
      <c r="A7443" s="1" t="n">
        <v>7442</v>
      </c>
      <c r="B7443">
        <f>TEXT(7442, "[$-0E0000]yyyy-mm-dd")</f>
        <v/>
      </c>
      <c r="C7443" t="inlineStr">
        <is>
          <t>1920-03-29</t>
        </is>
      </c>
    </row>
    <row r="7444">
      <c r="A7444" s="1" t="n">
        <v>7443</v>
      </c>
      <c r="B7444">
        <f>TEXT(7443, "[$-0E0000]yyyy-mm-dd")</f>
        <v/>
      </c>
      <c r="C7444" t="inlineStr">
        <is>
          <t>1920-04-01</t>
        </is>
      </c>
    </row>
    <row r="7445">
      <c r="A7445" s="1" t="n">
        <v>7444</v>
      </c>
      <c r="B7445">
        <f>TEXT(7444, "[$-0E0000]yyyy-mm-dd")</f>
        <v/>
      </c>
      <c r="C7445" t="inlineStr">
        <is>
          <t>1920-04-02</t>
        </is>
      </c>
    </row>
    <row r="7446">
      <c r="A7446" s="1" t="n">
        <v>7445</v>
      </c>
      <c r="B7446">
        <f>TEXT(7445, "[$-0E0000]yyyy-mm-dd")</f>
        <v/>
      </c>
      <c r="C7446" t="inlineStr">
        <is>
          <t>1920-04-03</t>
        </is>
      </c>
    </row>
    <row r="7447">
      <c r="A7447" s="1" t="n">
        <v>7446</v>
      </c>
      <c r="B7447">
        <f>TEXT(7446, "[$-0E0000]yyyy-mm-dd")</f>
        <v/>
      </c>
      <c r="C7447" t="inlineStr">
        <is>
          <t>1920-04-04</t>
        </is>
      </c>
    </row>
    <row r="7448">
      <c r="A7448" s="1" t="n">
        <v>7447</v>
      </c>
      <c r="B7448">
        <f>TEXT(7447, "[$-0E0000]yyyy-mm-dd")</f>
        <v/>
      </c>
      <c r="C7448" t="inlineStr">
        <is>
          <t>1920-04-05</t>
        </is>
      </c>
    </row>
    <row r="7449">
      <c r="A7449" s="1" t="n">
        <v>7448</v>
      </c>
      <c r="B7449">
        <f>TEXT(7448, "[$-0E0000]yyyy-mm-dd")</f>
        <v/>
      </c>
      <c r="C7449" t="inlineStr">
        <is>
          <t>1920-04-06</t>
        </is>
      </c>
    </row>
    <row r="7450">
      <c r="A7450" s="1" t="n">
        <v>7449</v>
      </c>
      <c r="B7450">
        <f>TEXT(7449, "[$-0E0000]yyyy-mm-dd")</f>
        <v/>
      </c>
      <c r="C7450" t="inlineStr">
        <is>
          <t>1920-04-07</t>
        </is>
      </c>
    </row>
    <row r="7451">
      <c r="A7451" s="1" t="n">
        <v>7450</v>
      </c>
      <c r="B7451">
        <f>TEXT(7450, "[$-0E0000]yyyy-mm-dd")</f>
        <v/>
      </c>
      <c r="C7451" t="inlineStr">
        <is>
          <t>1920-04-08</t>
        </is>
      </c>
    </row>
    <row r="7452">
      <c r="A7452" s="1" t="n">
        <v>7451</v>
      </c>
      <c r="B7452">
        <f>TEXT(7451, "[$-0E0000]yyyy-mm-dd")</f>
        <v/>
      </c>
      <c r="C7452" t="inlineStr">
        <is>
          <t>1920-04-09</t>
        </is>
      </c>
    </row>
    <row r="7453">
      <c r="A7453" s="1" t="n">
        <v>7452</v>
      </c>
      <c r="B7453">
        <f>TEXT(7452, "[$-0E0000]yyyy-mm-dd")</f>
        <v/>
      </c>
      <c r="C7453" t="inlineStr">
        <is>
          <t>1920-04-10</t>
        </is>
      </c>
    </row>
    <row r="7454">
      <c r="A7454" s="1" t="n">
        <v>7453</v>
      </c>
      <c r="B7454">
        <f>TEXT(7453, "[$-0E0000]yyyy-mm-dd")</f>
        <v/>
      </c>
      <c r="C7454" t="inlineStr">
        <is>
          <t>1920-04-11</t>
        </is>
      </c>
    </row>
    <row r="7455">
      <c r="A7455" s="1" t="n">
        <v>7454</v>
      </c>
      <c r="B7455">
        <f>TEXT(7454, "[$-0E0000]yyyy-mm-dd")</f>
        <v/>
      </c>
      <c r="C7455" t="inlineStr">
        <is>
          <t>1920-04-12</t>
        </is>
      </c>
    </row>
    <row r="7456">
      <c r="A7456" s="1" t="n">
        <v>7455</v>
      </c>
      <c r="B7456">
        <f>TEXT(7455, "[$-0E0000]yyyy-mm-dd")</f>
        <v/>
      </c>
      <c r="C7456" t="inlineStr">
        <is>
          <t>1920-04-13</t>
        </is>
      </c>
    </row>
    <row r="7457">
      <c r="A7457" s="1" t="n">
        <v>7456</v>
      </c>
      <c r="B7457">
        <f>TEXT(7456, "[$-0E0000]yyyy-mm-dd")</f>
        <v/>
      </c>
      <c r="C7457" t="inlineStr">
        <is>
          <t>1920-04-14</t>
        </is>
      </c>
    </row>
    <row r="7458">
      <c r="A7458" s="1" t="n">
        <v>7457</v>
      </c>
      <c r="B7458">
        <f>TEXT(7457, "[$-0E0000]yyyy-mm-dd")</f>
        <v/>
      </c>
      <c r="C7458" t="inlineStr">
        <is>
          <t>1920-04-15</t>
        </is>
      </c>
    </row>
    <row r="7459">
      <c r="A7459" s="1" t="n">
        <v>7458</v>
      </c>
      <c r="B7459">
        <f>TEXT(7458, "[$-0E0000]yyyy-mm-dd")</f>
        <v/>
      </c>
      <c r="C7459" t="inlineStr">
        <is>
          <t>1920-04-16</t>
        </is>
      </c>
    </row>
    <row r="7460">
      <c r="A7460" s="1" t="n">
        <v>7459</v>
      </c>
      <c r="B7460">
        <f>TEXT(7459, "[$-0E0000]yyyy-mm-dd")</f>
        <v/>
      </c>
      <c r="C7460" t="inlineStr">
        <is>
          <t>1920-04-17</t>
        </is>
      </c>
    </row>
    <row r="7461">
      <c r="A7461" s="1" t="n">
        <v>7460</v>
      </c>
      <c r="B7461">
        <f>TEXT(7460, "[$-0E0000]yyyy-mm-dd")</f>
        <v/>
      </c>
      <c r="C7461" t="inlineStr">
        <is>
          <t>1920-04-18</t>
        </is>
      </c>
    </row>
    <row r="7462">
      <c r="A7462" s="1" t="n">
        <v>7461</v>
      </c>
      <c r="B7462">
        <f>TEXT(7461, "[$-0E0000]yyyy-mm-dd")</f>
        <v/>
      </c>
      <c r="C7462" t="inlineStr">
        <is>
          <t>1920-04-19</t>
        </is>
      </c>
    </row>
    <row r="7463">
      <c r="A7463" s="1" t="n">
        <v>7462</v>
      </c>
      <c r="B7463">
        <f>TEXT(7462, "[$-0E0000]yyyy-mm-dd")</f>
        <v/>
      </c>
      <c r="C7463" t="inlineStr">
        <is>
          <t>1920-04-20</t>
        </is>
      </c>
    </row>
    <row r="7464">
      <c r="A7464" s="1" t="n">
        <v>7463</v>
      </c>
      <c r="B7464">
        <f>TEXT(7463, "[$-0E0000]yyyy-mm-dd")</f>
        <v/>
      </c>
      <c r="C7464" t="inlineStr">
        <is>
          <t>1920-04-21</t>
        </is>
      </c>
    </row>
    <row r="7465">
      <c r="A7465" s="1" t="n">
        <v>7464</v>
      </c>
      <c r="B7465">
        <f>TEXT(7464, "[$-0E0000]yyyy-mm-dd")</f>
        <v/>
      </c>
      <c r="C7465" t="inlineStr">
        <is>
          <t>1920-04-22</t>
        </is>
      </c>
    </row>
    <row r="7466">
      <c r="A7466" s="1" t="n">
        <v>7465</v>
      </c>
      <c r="B7466">
        <f>TEXT(7465, "[$-0E0000]yyyy-mm-dd")</f>
        <v/>
      </c>
      <c r="C7466" t="inlineStr">
        <is>
          <t>1920-04-23</t>
        </is>
      </c>
    </row>
    <row r="7467">
      <c r="A7467" s="1" t="n">
        <v>7466</v>
      </c>
      <c r="B7467">
        <f>TEXT(7466, "[$-0E0000]yyyy-mm-dd")</f>
        <v/>
      </c>
      <c r="C7467" t="inlineStr">
        <is>
          <t>1920-04-24</t>
        </is>
      </c>
    </row>
    <row r="7468">
      <c r="A7468" s="1" t="n">
        <v>7467</v>
      </c>
      <c r="B7468">
        <f>TEXT(7467, "[$-0E0000]yyyy-mm-dd")</f>
        <v/>
      </c>
      <c r="C7468" t="inlineStr">
        <is>
          <t>1920-04-25</t>
        </is>
      </c>
    </row>
    <row r="7469">
      <c r="A7469" s="1" t="n">
        <v>7468</v>
      </c>
      <c r="B7469">
        <f>TEXT(7468, "[$-0E0000]yyyy-mm-dd")</f>
        <v/>
      </c>
      <c r="C7469" t="inlineStr">
        <is>
          <t>1920-04-26</t>
        </is>
      </c>
    </row>
    <row r="7470">
      <c r="A7470" s="1" t="n">
        <v>7469</v>
      </c>
      <c r="B7470">
        <f>TEXT(7469, "[$-0E0000]yyyy-mm-dd")</f>
        <v/>
      </c>
      <c r="C7470" t="inlineStr">
        <is>
          <t>1920-04-27</t>
        </is>
      </c>
    </row>
    <row r="7471">
      <c r="A7471" s="1" t="n">
        <v>7470</v>
      </c>
      <c r="B7471">
        <f>TEXT(7470, "[$-0E0000]yyyy-mm-dd")</f>
        <v/>
      </c>
      <c r="C7471" t="inlineStr">
        <is>
          <t>1920-04-28</t>
        </is>
      </c>
    </row>
    <row r="7472">
      <c r="A7472" s="1" t="n">
        <v>7471</v>
      </c>
      <c r="B7472">
        <f>TEXT(7471, "[$-0E0000]yyyy-mm-dd")</f>
        <v/>
      </c>
      <c r="C7472" t="inlineStr">
        <is>
          <t>1920-04-29</t>
        </is>
      </c>
    </row>
    <row r="7473">
      <c r="A7473" s="1" t="n">
        <v>7472</v>
      </c>
      <c r="B7473">
        <f>TEXT(7472, "[$-0E0000]yyyy-mm-dd")</f>
        <v/>
      </c>
      <c r="C7473" t="inlineStr">
        <is>
          <t>1920-05-01</t>
        </is>
      </c>
    </row>
    <row r="7474">
      <c r="A7474" s="1" t="n">
        <v>7473</v>
      </c>
      <c r="B7474">
        <f>TEXT(7473, "[$-0E0000]yyyy-mm-dd")</f>
        <v/>
      </c>
      <c r="C7474" t="inlineStr">
        <is>
          <t>1920-05-02</t>
        </is>
      </c>
    </row>
    <row r="7475">
      <c r="A7475" s="1" t="n">
        <v>7474</v>
      </c>
      <c r="B7475">
        <f>TEXT(7474, "[$-0E0000]yyyy-mm-dd")</f>
        <v/>
      </c>
      <c r="C7475" t="inlineStr">
        <is>
          <t>1920-05-03</t>
        </is>
      </c>
    </row>
    <row r="7476">
      <c r="A7476" s="1" t="n">
        <v>7475</v>
      </c>
      <c r="B7476">
        <f>TEXT(7475, "[$-0E0000]yyyy-mm-dd")</f>
        <v/>
      </c>
      <c r="C7476" t="inlineStr">
        <is>
          <t>1920-05-04</t>
        </is>
      </c>
    </row>
    <row r="7477">
      <c r="A7477" s="1" t="n">
        <v>7476</v>
      </c>
      <c r="B7477">
        <f>TEXT(7476, "[$-0E0000]yyyy-mm-dd")</f>
        <v/>
      </c>
      <c r="C7477" t="inlineStr">
        <is>
          <t>1920-05-05</t>
        </is>
      </c>
    </row>
    <row r="7478">
      <c r="A7478" s="1" t="n">
        <v>7477</v>
      </c>
      <c r="B7478">
        <f>TEXT(7477, "[$-0E0000]yyyy-mm-dd")</f>
        <v/>
      </c>
      <c r="C7478" t="inlineStr">
        <is>
          <t>1920-05-06</t>
        </is>
      </c>
    </row>
    <row r="7479">
      <c r="A7479" s="1" t="n">
        <v>7478</v>
      </c>
      <c r="B7479">
        <f>TEXT(7478, "[$-0E0000]yyyy-mm-dd")</f>
        <v/>
      </c>
      <c r="C7479" t="inlineStr">
        <is>
          <t>1920-05-07</t>
        </is>
      </c>
    </row>
    <row r="7480">
      <c r="A7480" s="1" t="n">
        <v>7479</v>
      </c>
      <c r="B7480">
        <f>TEXT(7479, "[$-0E0000]yyyy-mm-dd")</f>
        <v/>
      </c>
      <c r="C7480" t="inlineStr">
        <is>
          <t>1920-05-08</t>
        </is>
      </c>
    </row>
    <row r="7481">
      <c r="A7481" s="1" t="n">
        <v>7480</v>
      </c>
      <c r="B7481">
        <f>TEXT(7480, "[$-0E0000]yyyy-mm-dd")</f>
        <v/>
      </c>
      <c r="C7481" t="inlineStr">
        <is>
          <t>1920-05-09</t>
        </is>
      </c>
    </row>
    <row r="7482">
      <c r="A7482" s="1" t="n">
        <v>7481</v>
      </c>
      <c r="B7482">
        <f>TEXT(7481, "[$-0E0000]yyyy-mm-dd")</f>
        <v/>
      </c>
      <c r="C7482" t="inlineStr">
        <is>
          <t>1920-05-10</t>
        </is>
      </c>
    </row>
    <row r="7483">
      <c r="A7483" s="1" t="n">
        <v>7482</v>
      </c>
      <c r="B7483">
        <f>TEXT(7482, "[$-0E0000]yyyy-mm-dd")</f>
        <v/>
      </c>
      <c r="C7483" t="inlineStr">
        <is>
          <t>1920-05-11</t>
        </is>
      </c>
    </row>
    <row r="7484">
      <c r="A7484" s="1" t="n">
        <v>7483</v>
      </c>
      <c r="B7484">
        <f>TEXT(7483, "[$-0E0000]yyyy-mm-dd")</f>
        <v/>
      </c>
      <c r="C7484" t="inlineStr">
        <is>
          <t>1920-05-12</t>
        </is>
      </c>
    </row>
    <row r="7485">
      <c r="A7485" s="1" t="n">
        <v>7484</v>
      </c>
      <c r="B7485">
        <f>TEXT(7484, "[$-0E0000]yyyy-mm-dd")</f>
        <v/>
      </c>
      <c r="C7485" t="inlineStr">
        <is>
          <t>1920-05-13</t>
        </is>
      </c>
    </row>
    <row r="7486">
      <c r="A7486" s="1" t="n">
        <v>7485</v>
      </c>
      <c r="B7486">
        <f>TEXT(7485, "[$-0E0000]yyyy-mm-dd")</f>
        <v/>
      </c>
      <c r="C7486" t="inlineStr">
        <is>
          <t>1920-05-14</t>
        </is>
      </c>
    </row>
    <row r="7487">
      <c r="A7487" s="1" t="n">
        <v>7486</v>
      </c>
      <c r="B7487">
        <f>TEXT(7486, "[$-0E0000]yyyy-mm-dd")</f>
        <v/>
      </c>
      <c r="C7487" t="inlineStr">
        <is>
          <t>1920-05-15</t>
        </is>
      </c>
    </row>
    <row r="7488">
      <c r="A7488" s="1" t="n">
        <v>7487</v>
      </c>
      <c r="B7488">
        <f>TEXT(7487, "[$-0E0000]yyyy-mm-dd")</f>
        <v/>
      </c>
      <c r="C7488" t="inlineStr">
        <is>
          <t>1920-05-16</t>
        </is>
      </c>
    </row>
    <row r="7489">
      <c r="A7489" s="1" t="n">
        <v>7488</v>
      </c>
      <c r="B7489">
        <f>TEXT(7488, "[$-0E0000]yyyy-mm-dd")</f>
        <v/>
      </c>
      <c r="C7489" t="inlineStr">
        <is>
          <t>1920-05-17</t>
        </is>
      </c>
    </row>
    <row r="7490">
      <c r="A7490" s="1" t="n">
        <v>7489</v>
      </c>
      <c r="B7490">
        <f>TEXT(7489, "[$-0E0000]yyyy-mm-dd")</f>
        <v/>
      </c>
      <c r="C7490" t="inlineStr">
        <is>
          <t>1920-05-18</t>
        </is>
      </c>
    </row>
    <row r="7491">
      <c r="A7491" s="1" t="n">
        <v>7490</v>
      </c>
      <c r="B7491">
        <f>TEXT(7490, "[$-0E0000]yyyy-mm-dd")</f>
        <v/>
      </c>
      <c r="C7491" t="inlineStr">
        <is>
          <t>1920-05-19</t>
        </is>
      </c>
    </row>
    <row r="7492">
      <c r="A7492" s="1" t="n">
        <v>7491</v>
      </c>
      <c r="B7492">
        <f>TEXT(7491, "[$-0E0000]yyyy-mm-dd")</f>
        <v/>
      </c>
      <c r="C7492" t="inlineStr">
        <is>
          <t>1920-05-20</t>
        </is>
      </c>
    </row>
    <row r="7493">
      <c r="A7493" s="1" t="n">
        <v>7492</v>
      </c>
      <c r="B7493">
        <f>TEXT(7492, "[$-0E0000]yyyy-mm-dd")</f>
        <v/>
      </c>
      <c r="C7493" t="inlineStr">
        <is>
          <t>1920-05-21</t>
        </is>
      </c>
    </row>
    <row r="7494">
      <c r="A7494" s="1" t="n">
        <v>7493</v>
      </c>
      <c r="B7494">
        <f>TEXT(7493, "[$-0E0000]yyyy-mm-dd")</f>
        <v/>
      </c>
      <c r="C7494" t="inlineStr">
        <is>
          <t>1920-05-22</t>
        </is>
      </c>
    </row>
    <row r="7495">
      <c r="A7495" s="1" t="n">
        <v>7494</v>
      </c>
      <c r="B7495">
        <f>TEXT(7494, "[$-0E0000]yyyy-mm-dd")</f>
        <v/>
      </c>
      <c r="C7495" t="inlineStr">
        <is>
          <t>1920-05-23</t>
        </is>
      </c>
    </row>
    <row r="7496">
      <c r="A7496" s="1" t="n">
        <v>7495</v>
      </c>
      <c r="B7496">
        <f>TEXT(7495, "[$-0E0000]yyyy-mm-dd")</f>
        <v/>
      </c>
      <c r="C7496" t="inlineStr">
        <is>
          <t>1920-05-24</t>
        </is>
      </c>
    </row>
    <row r="7497">
      <c r="A7497" s="1" t="n">
        <v>7496</v>
      </c>
      <c r="B7497">
        <f>TEXT(7496, "[$-0E0000]yyyy-mm-dd")</f>
        <v/>
      </c>
      <c r="C7497" t="inlineStr">
        <is>
          <t>1920-05-25</t>
        </is>
      </c>
    </row>
    <row r="7498">
      <c r="A7498" s="1" t="n">
        <v>7497</v>
      </c>
      <c r="B7498">
        <f>TEXT(7497, "[$-0E0000]yyyy-mm-dd")</f>
        <v/>
      </c>
      <c r="C7498" t="inlineStr">
        <is>
          <t>1920-05-26</t>
        </is>
      </c>
    </row>
    <row r="7499">
      <c r="A7499" s="1" t="n">
        <v>7498</v>
      </c>
      <c r="B7499">
        <f>TEXT(7498, "[$-0E0000]yyyy-mm-dd")</f>
        <v/>
      </c>
      <c r="C7499" t="inlineStr">
        <is>
          <t>1920-05-27</t>
        </is>
      </c>
    </row>
    <row r="7500">
      <c r="A7500" s="1" t="n">
        <v>7499</v>
      </c>
      <c r="B7500">
        <f>TEXT(7499, "[$-0E0000]yyyy-mm-dd")</f>
        <v/>
      </c>
      <c r="C7500" t="inlineStr">
        <is>
          <t>1920-05-28</t>
        </is>
      </c>
    </row>
    <row r="7501">
      <c r="A7501" s="1" t="n">
        <v>7500</v>
      </c>
      <c r="B7501">
        <f>TEXT(7500, "[$-0E0000]yyyy-mm-dd")</f>
        <v/>
      </c>
      <c r="C7501" t="inlineStr">
        <is>
          <t>1920-05-29</t>
        </is>
      </c>
    </row>
    <row r="7502">
      <c r="A7502" s="1" t="n">
        <v>7501</v>
      </c>
      <c r="B7502">
        <f>TEXT(7501, "[$-0E0000]yyyy-mm-dd")</f>
        <v/>
      </c>
      <c r="C7502" t="inlineStr">
        <is>
          <t>1920-05-30</t>
        </is>
      </c>
    </row>
    <row r="7503">
      <c r="A7503" s="1" t="n">
        <v>7502</v>
      </c>
      <c r="B7503">
        <f>TEXT(7502, "[$-0E0000]yyyy-mm-dd")</f>
        <v/>
      </c>
      <c r="C7503" t="inlineStr">
        <is>
          <t>1920-06-01</t>
        </is>
      </c>
    </row>
    <row r="7504">
      <c r="A7504" s="1" t="n">
        <v>7503</v>
      </c>
      <c r="B7504">
        <f>TEXT(7503, "[$-0E0000]yyyy-mm-dd")</f>
        <v/>
      </c>
      <c r="C7504" t="inlineStr">
        <is>
          <t>1920-06-02</t>
        </is>
      </c>
    </row>
    <row r="7505">
      <c r="A7505" s="1" t="n">
        <v>7504</v>
      </c>
      <c r="B7505">
        <f>TEXT(7504, "[$-0E0000]yyyy-mm-dd")</f>
        <v/>
      </c>
      <c r="C7505" t="inlineStr">
        <is>
          <t>1920-06-03</t>
        </is>
      </c>
    </row>
    <row r="7506">
      <c r="A7506" s="1" t="n">
        <v>7505</v>
      </c>
      <c r="B7506">
        <f>TEXT(7505, "[$-0E0000]yyyy-mm-dd")</f>
        <v/>
      </c>
      <c r="C7506" t="inlineStr">
        <is>
          <t>1920-06-04</t>
        </is>
      </c>
    </row>
    <row r="7507">
      <c r="A7507" s="1" t="n">
        <v>7506</v>
      </c>
      <c r="B7507">
        <f>TEXT(7506, "[$-0E0000]yyyy-mm-dd")</f>
        <v/>
      </c>
      <c r="C7507" t="inlineStr">
        <is>
          <t>1920-06-05</t>
        </is>
      </c>
    </row>
    <row r="7508">
      <c r="A7508" s="1" t="n">
        <v>7507</v>
      </c>
      <c r="B7508">
        <f>TEXT(7507, "[$-0E0000]yyyy-mm-dd")</f>
        <v/>
      </c>
      <c r="C7508" t="inlineStr">
        <is>
          <t>1920-06-06</t>
        </is>
      </c>
    </row>
    <row r="7509">
      <c r="A7509" s="1" t="n">
        <v>7508</v>
      </c>
      <c r="B7509">
        <f>TEXT(7508, "[$-0E0000]yyyy-mm-dd")</f>
        <v/>
      </c>
      <c r="C7509" t="inlineStr">
        <is>
          <t>1920-06-07</t>
        </is>
      </c>
    </row>
    <row r="7510">
      <c r="A7510" s="1" t="n">
        <v>7509</v>
      </c>
      <c r="B7510">
        <f>TEXT(7509, "[$-0E0000]yyyy-mm-dd")</f>
        <v/>
      </c>
      <c r="C7510" t="inlineStr">
        <is>
          <t>1920-06-08</t>
        </is>
      </c>
    </row>
    <row r="7511">
      <c r="A7511" s="1" t="n">
        <v>7510</v>
      </c>
      <c r="B7511">
        <f>TEXT(7510, "[$-0E0000]yyyy-mm-dd")</f>
        <v/>
      </c>
      <c r="C7511" t="inlineStr">
        <is>
          <t>1920-06-09</t>
        </is>
      </c>
    </row>
    <row r="7512">
      <c r="A7512" s="1" t="n">
        <v>7511</v>
      </c>
      <c r="B7512">
        <f>TEXT(7511, "[$-0E0000]yyyy-mm-dd")</f>
        <v/>
      </c>
      <c r="C7512" t="inlineStr">
        <is>
          <t>1920-06-10</t>
        </is>
      </c>
    </row>
    <row r="7513">
      <c r="A7513" s="1" t="n">
        <v>7512</v>
      </c>
      <c r="B7513">
        <f>TEXT(7512, "[$-0E0000]yyyy-mm-dd")</f>
        <v/>
      </c>
      <c r="C7513" t="inlineStr">
        <is>
          <t>1920-06-11</t>
        </is>
      </c>
    </row>
    <row r="7514">
      <c r="A7514" s="1" t="n">
        <v>7513</v>
      </c>
      <c r="B7514">
        <f>TEXT(7513, "[$-0E0000]yyyy-mm-dd")</f>
        <v/>
      </c>
      <c r="C7514" t="inlineStr">
        <is>
          <t>1920-06-12</t>
        </is>
      </c>
    </row>
    <row r="7515">
      <c r="A7515" s="1" t="n">
        <v>7514</v>
      </c>
      <c r="B7515">
        <f>TEXT(7514, "[$-0E0000]yyyy-mm-dd")</f>
        <v/>
      </c>
      <c r="C7515" t="inlineStr">
        <is>
          <t>1920-06-13</t>
        </is>
      </c>
    </row>
    <row r="7516">
      <c r="A7516" s="1" t="n">
        <v>7515</v>
      </c>
      <c r="B7516">
        <f>TEXT(7515, "[$-0E0000]yyyy-mm-dd")</f>
        <v/>
      </c>
      <c r="C7516" t="inlineStr">
        <is>
          <t>1920-06-14</t>
        </is>
      </c>
    </row>
    <row r="7517">
      <c r="A7517" s="1" t="n">
        <v>7516</v>
      </c>
      <c r="B7517">
        <f>TEXT(7516, "[$-0E0000]yyyy-mm-dd")</f>
        <v/>
      </c>
      <c r="C7517" t="inlineStr">
        <is>
          <t>1920-06-15</t>
        </is>
      </c>
    </row>
    <row r="7518">
      <c r="A7518" s="1" t="n">
        <v>7517</v>
      </c>
      <c r="B7518">
        <f>TEXT(7517, "[$-0E0000]yyyy-mm-dd")</f>
        <v/>
      </c>
      <c r="C7518" t="inlineStr">
        <is>
          <t>1920-06-16</t>
        </is>
      </c>
    </row>
    <row r="7519">
      <c r="A7519" s="1" t="n">
        <v>7518</v>
      </c>
      <c r="B7519">
        <f>TEXT(7518, "[$-0E0000]yyyy-mm-dd")</f>
        <v/>
      </c>
      <c r="C7519" t="inlineStr">
        <is>
          <t>1920-06-17</t>
        </is>
      </c>
    </row>
    <row r="7520">
      <c r="A7520" s="1" t="n">
        <v>7519</v>
      </c>
      <c r="B7520">
        <f>TEXT(7519, "[$-0E0000]yyyy-mm-dd")</f>
        <v/>
      </c>
      <c r="C7520" t="inlineStr">
        <is>
          <t>1920-06-18</t>
        </is>
      </c>
    </row>
    <row r="7521">
      <c r="A7521" s="1" t="n">
        <v>7520</v>
      </c>
      <c r="B7521">
        <f>TEXT(7520, "[$-0E0000]yyyy-mm-dd")</f>
        <v/>
      </c>
      <c r="C7521" t="inlineStr">
        <is>
          <t>1920-06-19</t>
        </is>
      </c>
    </row>
    <row r="7522">
      <c r="A7522" s="1" t="n">
        <v>7521</v>
      </c>
      <c r="B7522">
        <f>TEXT(7521, "[$-0E0000]yyyy-mm-dd")</f>
        <v/>
      </c>
      <c r="C7522" t="inlineStr">
        <is>
          <t>1920-06-20</t>
        </is>
      </c>
    </row>
    <row r="7523">
      <c r="A7523" s="1" t="n">
        <v>7522</v>
      </c>
      <c r="B7523">
        <f>TEXT(7522, "[$-0E0000]yyyy-mm-dd")</f>
        <v/>
      </c>
      <c r="C7523" t="inlineStr">
        <is>
          <t>1920-06-21</t>
        </is>
      </c>
    </row>
    <row r="7524">
      <c r="A7524" s="1" t="n">
        <v>7523</v>
      </c>
      <c r="B7524">
        <f>TEXT(7523, "[$-0E0000]yyyy-mm-dd")</f>
        <v/>
      </c>
      <c r="C7524" t="inlineStr">
        <is>
          <t>1920-06-22</t>
        </is>
      </c>
    </row>
    <row r="7525">
      <c r="A7525" s="1" t="n">
        <v>7524</v>
      </c>
      <c r="B7525">
        <f>TEXT(7524, "[$-0E0000]yyyy-mm-dd")</f>
        <v/>
      </c>
      <c r="C7525" t="inlineStr">
        <is>
          <t>1920-06-23</t>
        </is>
      </c>
    </row>
    <row r="7526">
      <c r="A7526" s="1" t="n">
        <v>7525</v>
      </c>
      <c r="B7526">
        <f>TEXT(7525, "[$-0E0000]yyyy-mm-dd")</f>
        <v/>
      </c>
      <c r="C7526" t="inlineStr">
        <is>
          <t>1920-06-24</t>
        </is>
      </c>
    </row>
    <row r="7527">
      <c r="A7527" s="1" t="n">
        <v>7526</v>
      </c>
      <c r="B7527">
        <f>TEXT(7526, "[$-0E0000]yyyy-mm-dd")</f>
        <v/>
      </c>
      <c r="C7527" t="inlineStr">
        <is>
          <t>1920-06-25</t>
        </is>
      </c>
    </row>
    <row r="7528">
      <c r="A7528" s="1" t="n">
        <v>7527</v>
      </c>
      <c r="B7528">
        <f>TEXT(7527, "[$-0E0000]yyyy-mm-dd")</f>
        <v/>
      </c>
      <c r="C7528" t="inlineStr">
        <is>
          <t>1920-06-26</t>
        </is>
      </c>
    </row>
    <row r="7529">
      <c r="A7529" s="1" t="n">
        <v>7528</v>
      </c>
      <c r="B7529">
        <f>TEXT(7528, "[$-0E0000]yyyy-mm-dd")</f>
        <v/>
      </c>
      <c r="C7529" t="inlineStr">
        <is>
          <t>1920-06-27</t>
        </is>
      </c>
    </row>
    <row r="7530">
      <c r="A7530" s="1" t="n">
        <v>7529</v>
      </c>
      <c r="B7530">
        <f>TEXT(7529, "[$-0E0000]yyyy-mm-dd")</f>
        <v/>
      </c>
      <c r="C7530" t="inlineStr">
        <is>
          <t>1920-06-28</t>
        </is>
      </c>
    </row>
    <row r="7531">
      <c r="A7531" s="1" t="n">
        <v>7530</v>
      </c>
      <c r="B7531">
        <f>TEXT(7530, "[$-0E0000]yyyy-mm-dd")</f>
        <v/>
      </c>
      <c r="C7531" t="inlineStr">
        <is>
          <t>1920-06-29</t>
        </is>
      </c>
    </row>
    <row r="7532">
      <c r="A7532" s="1" t="n">
        <v>7531</v>
      </c>
      <c r="B7532">
        <f>TEXT(7531, "[$-0E0000]yyyy-mm-dd")</f>
        <v/>
      </c>
      <c r="C7532" t="inlineStr">
        <is>
          <t>1920-07-01</t>
        </is>
      </c>
    </row>
    <row r="7533">
      <c r="A7533" s="1" t="n">
        <v>7532</v>
      </c>
      <c r="B7533">
        <f>TEXT(7532, "[$-0E0000]yyyy-mm-dd")</f>
        <v/>
      </c>
      <c r="C7533" t="inlineStr">
        <is>
          <t>1920-07-02</t>
        </is>
      </c>
    </row>
    <row r="7534">
      <c r="A7534" s="1" t="n">
        <v>7533</v>
      </c>
      <c r="B7534">
        <f>TEXT(7533, "[$-0E0000]yyyy-mm-dd")</f>
        <v/>
      </c>
      <c r="C7534" t="inlineStr">
        <is>
          <t>1920-07-03</t>
        </is>
      </c>
    </row>
    <row r="7535">
      <c r="A7535" s="1" t="n">
        <v>7534</v>
      </c>
      <c r="B7535">
        <f>TEXT(7534, "[$-0E0000]yyyy-mm-dd")</f>
        <v/>
      </c>
      <c r="C7535" t="inlineStr">
        <is>
          <t>1920-07-04</t>
        </is>
      </c>
    </row>
    <row r="7536">
      <c r="A7536" s="1" t="n">
        <v>7535</v>
      </c>
      <c r="B7536">
        <f>TEXT(7535, "[$-0E0000]yyyy-mm-dd")</f>
        <v/>
      </c>
      <c r="C7536" t="inlineStr">
        <is>
          <t>1920-07-05</t>
        </is>
      </c>
    </row>
    <row r="7537">
      <c r="A7537" s="1" t="n">
        <v>7536</v>
      </c>
      <c r="B7537">
        <f>TEXT(7536, "[$-0E0000]yyyy-mm-dd")</f>
        <v/>
      </c>
      <c r="C7537" t="inlineStr">
        <is>
          <t>1920-07-06</t>
        </is>
      </c>
    </row>
    <row r="7538">
      <c r="A7538" s="1" t="n">
        <v>7537</v>
      </c>
      <c r="B7538">
        <f>TEXT(7537, "[$-0E0000]yyyy-mm-dd")</f>
        <v/>
      </c>
      <c r="C7538" t="inlineStr">
        <is>
          <t>1920-07-07</t>
        </is>
      </c>
    </row>
    <row r="7539">
      <c r="A7539" s="1" t="n">
        <v>7538</v>
      </c>
      <c r="B7539">
        <f>TEXT(7538, "[$-0E0000]yyyy-mm-dd")</f>
        <v/>
      </c>
      <c r="C7539" t="inlineStr">
        <is>
          <t>1920-07-08</t>
        </is>
      </c>
    </row>
    <row r="7540">
      <c r="A7540" s="1" t="n">
        <v>7539</v>
      </c>
      <c r="B7540">
        <f>TEXT(7539, "[$-0E0000]yyyy-mm-dd")</f>
        <v/>
      </c>
      <c r="C7540" t="inlineStr">
        <is>
          <t>1920-07-09</t>
        </is>
      </c>
    </row>
    <row r="7541">
      <c r="A7541" s="1" t="n">
        <v>7540</v>
      </c>
      <c r="B7541">
        <f>TEXT(7540, "[$-0E0000]yyyy-mm-dd")</f>
        <v/>
      </c>
      <c r="C7541" t="inlineStr">
        <is>
          <t>1920-07-10</t>
        </is>
      </c>
    </row>
    <row r="7542">
      <c r="A7542" s="1" t="n">
        <v>7541</v>
      </c>
      <c r="B7542">
        <f>TEXT(7541, "[$-0E0000]yyyy-mm-dd")</f>
        <v/>
      </c>
      <c r="C7542" t="inlineStr">
        <is>
          <t>1920-07-11</t>
        </is>
      </c>
    </row>
    <row r="7543">
      <c r="A7543" s="1" t="n">
        <v>7542</v>
      </c>
      <c r="B7543">
        <f>TEXT(7542, "[$-0E0000]yyyy-mm-dd")</f>
        <v/>
      </c>
      <c r="C7543" t="inlineStr">
        <is>
          <t>1920-07-12</t>
        </is>
      </c>
    </row>
    <row r="7544">
      <c r="A7544" s="1" t="n">
        <v>7543</v>
      </c>
      <c r="B7544">
        <f>TEXT(7543, "[$-0E0000]yyyy-mm-dd")</f>
        <v/>
      </c>
      <c r="C7544" t="inlineStr">
        <is>
          <t>1920-07-13</t>
        </is>
      </c>
    </row>
    <row r="7545">
      <c r="A7545" s="1" t="n">
        <v>7544</v>
      </c>
      <c r="B7545">
        <f>TEXT(7544, "[$-0E0000]yyyy-mm-dd")</f>
        <v/>
      </c>
      <c r="C7545" t="inlineStr">
        <is>
          <t>1920-07-14</t>
        </is>
      </c>
    </row>
    <row r="7546">
      <c r="A7546" s="1" t="n">
        <v>7545</v>
      </c>
      <c r="B7546">
        <f>TEXT(7545, "[$-0E0000]yyyy-mm-dd")</f>
        <v/>
      </c>
      <c r="C7546" t="inlineStr">
        <is>
          <t>1920-07-15</t>
        </is>
      </c>
    </row>
    <row r="7547">
      <c r="A7547" s="1" t="n">
        <v>7546</v>
      </c>
      <c r="B7547">
        <f>TEXT(7546, "[$-0E0000]yyyy-mm-dd")</f>
        <v/>
      </c>
      <c r="C7547" t="inlineStr">
        <is>
          <t>1920-07-16</t>
        </is>
      </c>
    </row>
    <row r="7548">
      <c r="A7548" s="1" t="n">
        <v>7547</v>
      </c>
      <c r="B7548">
        <f>TEXT(7547, "[$-0E0000]yyyy-mm-dd")</f>
        <v/>
      </c>
      <c r="C7548" t="inlineStr">
        <is>
          <t>1920-07-17</t>
        </is>
      </c>
    </row>
    <row r="7549">
      <c r="A7549" s="1" t="n">
        <v>7548</v>
      </c>
      <c r="B7549">
        <f>TEXT(7548, "[$-0E0000]yyyy-mm-dd")</f>
        <v/>
      </c>
      <c r="C7549" t="inlineStr">
        <is>
          <t>1920-07-18</t>
        </is>
      </c>
    </row>
    <row r="7550">
      <c r="A7550" s="1" t="n">
        <v>7549</v>
      </c>
      <c r="B7550">
        <f>TEXT(7549, "[$-0E0000]yyyy-mm-dd")</f>
        <v/>
      </c>
      <c r="C7550" t="inlineStr">
        <is>
          <t>1920-07-19</t>
        </is>
      </c>
    </row>
    <row r="7551">
      <c r="A7551" s="1" t="n">
        <v>7550</v>
      </c>
      <c r="B7551">
        <f>TEXT(7550, "[$-0E0000]yyyy-mm-dd")</f>
        <v/>
      </c>
      <c r="C7551" t="inlineStr">
        <is>
          <t>1920-07-20</t>
        </is>
      </c>
    </row>
    <row r="7552">
      <c r="A7552" s="1" t="n">
        <v>7551</v>
      </c>
      <c r="B7552">
        <f>TEXT(7551, "[$-0E0000]yyyy-mm-dd")</f>
        <v/>
      </c>
      <c r="C7552" t="inlineStr">
        <is>
          <t>1920-07-21</t>
        </is>
      </c>
    </row>
    <row r="7553">
      <c r="A7553" s="1" t="n">
        <v>7552</v>
      </c>
      <c r="B7553">
        <f>TEXT(7552, "[$-0E0000]yyyy-mm-dd")</f>
        <v/>
      </c>
      <c r="C7553" t="inlineStr">
        <is>
          <t>1920-07-22</t>
        </is>
      </c>
    </row>
    <row r="7554">
      <c r="A7554" s="1" t="n">
        <v>7553</v>
      </c>
      <c r="B7554">
        <f>TEXT(7553, "[$-0E0000]yyyy-mm-dd")</f>
        <v/>
      </c>
      <c r="C7554" t="inlineStr">
        <is>
          <t>1920-07-23</t>
        </is>
      </c>
    </row>
    <row r="7555">
      <c r="A7555" s="1" t="n">
        <v>7554</v>
      </c>
      <c r="B7555">
        <f>TEXT(7554, "[$-0E0000]yyyy-mm-dd")</f>
        <v/>
      </c>
      <c r="C7555" t="inlineStr">
        <is>
          <t>1920-07-24</t>
        </is>
      </c>
    </row>
    <row r="7556">
      <c r="A7556" s="1" t="n">
        <v>7555</v>
      </c>
      <c r="B7556">
        <f>TEXT(7555, "[$-0E0000]yyyy-mm-dd")</f>
        <v/>
      </c>
      <c r="C7556" t="inlineStr">
        <is>
          <t>1920-07-25</t>
        </is>
      </c>
    </row>
    <row r="7557">
      <c r="A7557" s="1" t="n">
        <v>7556</v>
      </c>
      <c r="B7557">
        <f>TEXT(7556, "[$-0E0000]yyyy-mm-dd")</f>
        <v/>
      </c>
      <c r="C7557" t="inlineStr">
        <is>
          <t>1920-07-26</t>
        </is>
      </c>
    </row>
    <row r="7558">
      <c r="A7558" s="1" t="n">
        <v>7557</v>
      </c>
      <c r="B7558">
        <f>TEXT(7557, "[$-0E0000]yyyy-mm-dd")</f>
        <v/>
      </c>
      <c r="C7558" t="inlineStr">
        <is>
          <t>1920-07-27</t>
        </is>
      </c>
    </row>
    <row r="7559">
      <c r="A7559" s="1" t="n">
        <v>7558</v>
      </c>
      <c r="B7559">
        <f>TEXT(7558, "[$-0E0000]yyyy-mm-dd")</f>
        <v/>
      </c>
      <c r="C7559" t="inlineStr">
        <is>
          <t>1920-07-28</t>
        </is>
      </c>
    </row>
    <row r="7560">
      <c r="A7560" s="1" t="n">
        <v>7559</v>
      </c>
      <c r="B7560">
        <f>TEXT(7559, "[$-0E0000]yyyy-mm-dd")</f>
        <v/>
      </c>
      <c r="C7560" t="inlineStr">
        <is>
          <t>1920-07-29</t>
        </is>
      </c>
    </row>
    <row r="7561">
      <c r="A7561" s="1" t="n">
        <v>7560</v>
      </c>
      <c r="B7561">
        <f>TEXT(7560, "[$-0E0000]yyyy-mm-dd")</f>
        <v/>
      </c>
      <c r="C7561" t="inlineStr">
        <is>
          <t>1920-08-01</t>
        </is>
      </c>
    </row>
    <row r="7562">
      <c r="A7562" s="1" t="n">
        <v>7561</v>
      </c>
      <c r="B7562">
        <f>TEXT(7561, "[$-0E0000]yyyy-mm-dd")</f>
        <v/>
      </c>
      <c r="C7562" t="inlineStr">
        <is>
          <t>1920-08-02</t>
        </is>
      </c>
    </row>
    <row r="7563">
      <c r="A7563" s="1" t="n">
        <v>7562</v>
      </c>
      <c r="B7563">
        <f>TEXT(7562, "[$-0E0000]yyyy-mm-dd")</f>
        <v/>
      </c>
      <c r="C7563" t="inlineStr">
        <is>
          <t>1920-08-03</t>
        </is>
      </c>
    </row>
    <row r="7564">
      <c r="A7564" s="1" t="n">
        <v>7563</v>
      </c>
      <c r="B7564">
        <f>TEXT(7563, "[$-0E0000]yyyy-mm-dd")</f>
        <v/>
      </c>
      <c r="C7564" t="inlineStr">
        <is>
          <t>1920-08-04</t>
        </is>
      </c>
    </row>
    <row r="7565">
      <c r="A7565" s="1" t="n">
        <v>7564</v>
      </c>
      <c r="B7565">
        <f>TEXT(7564, "[$-0E0000]yyyy-mm-dd")</f>
        <v/>
      </c>
      <c r="C7565" t="inlineStr">
        <is>
          <t>1920-08-05</t>
        </is>
      </c>
    </row>
    <row r="7566">
      <c r="A7566" s="1" t="n">
        <v>7565</v>
      </c>
      <c r="B7566">
        <f>TEXT(7565, "[$-0E0000]yyyy-mm-dd")</f>
        <v/>
      </c>
      <c r="C7566" t="inlineStr">
        <is>
          <t>1920-08-06</t>
        </is>
      </c>
    </row>
    <row r="7567">
      <c r="A7567" s="1" t="n">
        <v>7566</v>
      </c>
      <c r="B7567">
        <f>TEXT(7566, "[$-0E0000]yyyy-mm-dd")</f>
        <v/>
      </c>
      <c r="C7567" t="inlineStr">
        <is>
          <t>1920-08-07</t>
        </is>
      </c>
    </row>
    <row r="7568">
      <c r="A7568" s="1" t="n">
        <v>7567</v>
      </c>
      <c r="B7568">
        <f>TEXT(7567, "[$-0E0000]yyyy-mm-dd")</f>
        <v/>
      </c>
      <c r="C7568" t="inlineStr">
        <is>
          <t>1920-08-08</t>
        </is>
      </c>
    </row>
    <row r="7569">
      <c r="A7569" s="1" t="n">
        <v>7568</v>
      </c>
      <c r="B7569">
        <f>TEXT(7568, "[$-0E0000]yyyy-mm-dd")</f>
        <v/>
      </c>
      <c r="C7569" t="inlineStr">
        <is>
          <t>1920-08-09</t>
        </is>
      </c>
    </row>
    <row r="7570">
      <c r="A7570" s="1" t="n">
        <v>7569</v>
      </c>
      <c r="B7570">
        <f>TEXT(7569, "[$-0E0000]yyyy-mm-dd")</f>
        <v/>
      </c>
      <c r="C7570" t="inlineStr">
        <is>
          <t>1920-08-10</t>
        </is>
      </c>
    </row>
    <row r="7571">
      <c r="A7571" s="1" t="n">
        <v>7570</v>
      </c>
      <c r="B7571">
        <f>TEXT(7570, "[$-0E0000]yyyy-mm-dd")</f>
        <v/>
      </c>
      <c r="C7571" t="inlineStr">
        <is>
          <t>1920-08-11</t>
        </is>
      </c>
    </row>
    <row r="7572">
      <c r="A7572" s="1" t="n">
        <v>7571</v>
      </c>
      <c r="B7572">
        <f>TEXT(7571, "[$-0E0000]yyyy-mm-dd")</f>
        <v/>
      </c>
      <c r="C7572" t="inlineStr">
        <is>
          <t>1920-08-12</t>
        </is>
      </c>
    </row>
    <row r="7573">
      <c r="A7573" s="1" t="n">
        <v>7572</v>
      </c>
      <c r="B7573">
        <f>TEXT(7572, "[$-0E0000]yyyy-mm-dd")</f>
        <v/>
      </c>
      <c r="C7573" t="inlineStr">
        <is>
          <t>1920-08-13</t>
        </is>
      </c>
    </row>
    <row r="7574">
      <c r="A7574" s="1" t="n">
        <v>7573</v>
      </c>
      <c r="B7574">
        <f>TEXT(7573, "[$-0E0000]yyyy-mm-dd")</f>
        <v/>
      </c>
      <c r="C7574" t="inlineStr">
        <is>
          <t>1920-08-14</t>
        </is>
      </c>
    </row>
    <row r="7575">
      <c r="A7575" s="1" t="n">
        <v>7574</v>
      </c>
      <c r="B7575">
        <f>TEXT(7574, "[$-0E0000]yyyy-mm-dd")</f>
        <v/>
      </c>
      <c r="C7575" t="inlineStr">
        <is>
          <t>1920-08-15</t>
        </is>
      </c>
    </row>
    <row r="7576">
      <c r="A7576" s="1" t="n">
        <v>7575</v>
      </c>
      <c r="B7576">
        <f>TEXT(7575, "[$-0E0000]yyyy-mm-dd")</f>
        <v/>
      </c>
      <c r="C7576" t="inlineStr">
        <is>
          <t>1920-08-16</t>
        </is>
      </c>
    </row>
    <row r="7577">
      <c r="A7577" s="1" t="n">
        <v>7576</v>
      </c>
      <c r="B7577">
        <f>TEXT(7576, "[$-0E0000]yyyy-mm-dd")</f>
        <v/>
      </c>
      <c r="C7577" t="inlineStr">
        <is>
          <t>1920-08-17</t>
        </is>
      </c>
    </row>
    <row r="7578">
      <c r="A7578" s="1" t="n">
        <v>7577</v>
      </c>
      <c r="B7578">
        <f>TEXT(7577, "[$-0E0000]yyyy-mm-dd")</f>
        <v/>
      </c>
      <c r="C7578" t="inlineStr">
        <is>
          <t>1920-08-18</t>
        </is>
      </c>
    </row>
    <row r="7579">
      <c r="A7579" s="1" t="n">
        <v>7578</v>
      </c>
      <c r="B7579">
        <f>TEXT(7578, "[$-0E0000]yyyy-mm-dd")</f>
        <v/>
      </c>
      <c r="C7579" t="inlineStr">
        <is>
          <t>1920-08-19</t>
        </is>
      </c>
    </row>
    <row r="7580">
      <c r="A7580" s="1" t="n">
        <v>7579</v>
      </c>
      <c r="B7580">
        <f>TEXT(7579, "[$-0E0000]yyyy-mm-dd")</f>
        <v/>
      </c>
      <c r="C7580" t="inlineStr">
        <is>
          <t>1920-08-20</t>
        </is>
      </c>
    </row>
    <row r="7581">
      <c r="A7581" s="1" t="n">
        <v>7580</v>
      </c>
      <c r="B7581">
        <f>TEXT(7580, "[$-0E0000]yyyy-mm-dd")</f>
        <v/>
      </c>
      <c r="C7581" t="inlineStr">
        <is>
          <t>1920-08-21</t>
        </is>
      </c>
    </row>
    <row r="7582">
      <c r="A7582" s="1" t="n">
        <v>7581</v>
      </c>
      <c r="B7582">
        <f>TEXT(7581, "[$-0E0000]yyyy-mm-dd")</f>
        <v/>
      </c>
      <c r="C7582" t="inlineStr">
        <is>
          <t>1920-08-22</t>
        </is>
      </c>
    </row>
    <row r="7583">
      <c r="A7583" s="1" t="n">
        <v>7582</v>
      </c>
      <c r="B7583">
        <f>TEXT(7582, "[$-0E0000]yyyy-mm-dd")</f>
        <v/>
      </c>
      <c r="C7583" t="inlineStr">
        <is>
          <t>1920-08-23</t>
        </is>
      </c>
    </row>
    <row r="7584">
      <c r="A7584" s="1" t="n">
        <v>7583</v>
      </c>
      <c r="B7584">
        <f>TEXT(7583, "[$-0E0000]yyyy-mm-dd")</f>
        <v/>
      </c>
      <c r="C7584" t="inlineStr">
        <is>
          <t>1920-08-24</t>
        </is>
      </c>
    </row>
    <row r="7585">
      <c r="A7585" s="1" t="n">
        <v>7584</v>
      </c>
      <c r="B7585">
        <f>TEXT(7584, "[$-0E0000]yyyy-mm-dd")</f>
        <v/>
      </c>
      <c r="C7585" t="inlineStr">
        <is>
          <t>1920-08-25</t>
        </is>
      </c>
    </row>
    <row r="7586">
      <c r="A7586" s="1" t="n">
        <v>7585</v>
      </c>
      <c r="B7586">
        <f>TEXT(7585, "[$-0E0000]yyyy-mm-dd")</f>
        <v/>
      </c>
      <c r="C7586" t="inlineStr">
        <is>
          <t>1920-08-26</t>
        </is>
      </c>
    </row>
    <row r="7587">
      <c r="A7587" s="1" t="n">
        <v>7586</v>
      </c>
      <c r="B7587">
        <f>TEXT(7586, "[$-0E0000]yyyy-mm-dd")</f>
        <v/>
      </c>
      <c r="C7587" t="inlineStr">
        <is>
          <t>1920-08-27</t>
        </is>
      </c>
    </row>
    <row r="7588">
      <c r="A7588" s="1" t="n">
        <v>7587</v>
      </c>
      <c r="B7588">
        <f>TEXT(7587, "[$-0E0000]yyyy-mm-dd")</f>
        <v/>
      </c>
      <c r="C7588" t="inlineStr">
        <is>
          <t>1920-08-28</t>
        </is>
      </c>
    </row>
    <row r="7589">
      <c r="A7589" s="1" t="n">
        <v>7588</v>
      </c>
      <c r="B7589">
        <f>TEXT(7588, "[$-0E0000]yyyy-mm-dd")</f>
        <v/>
      </c>
      <c r="C7589" t="inlineStr">
        <is>
          <t>1920-08-29</t>
        </is>
      </c>
    </row>
    <row r="7590">
      <c r="A7590" s="1" t="n">
        <v>7589</v>
      </c>
      <c r="B7590">
        <f>TEXT(7589, "[$-0E0000]yyyy-mm-dd")</f>
        <v/>
      </c>
      <c r="C7590" t="inlineStr">
        <is>
          <t>1920-08-30</t>
        </is>
      </c>
    </row>
    <row r="7591">
      <c r="A7591" s="1" t="n">
        <v>7590</v>
      </c>
      <c r="B7591">
        <f>TEXT(7590, "[$-0E0000]yyyy-mm-dd")</f>
        <v/>
      </c>
      <c r="C7591" t="inlineStr">
        <is>
          <t>1920-09-01</t>
        </is>
      </c>
    </row>
    <row r="7592">
      <c r="A7592" s="1" t="n">
        <v>7591</v>
      </c>
      <c r="B7592">
        <f>TEXT(7591, "[$-0E0000]yyyy-mm-dd")</f>
        <v/>
      </c>
      <c r="C7592" t="inlineStr">
        <is>
          <t>1920-09-02</t>
        </is>
      </c>
    </row>
    <row r="7593">
      <c r="A7593" s="1" t="n">
        <v>7592</v>
      </c>
      <c r="B7593">
        <f>TEXT(7592, "[$-0E0000]yyyy-mm-dd")</f>
        <v/>
      </c>
      <c r="C7593" t="inlineStr">
        <is>
          <t>1920-09-03</t>
        </is>
      </c>
    </row>
    <row r="7594">
      <c r="A7594" s="1" t="n">
        <v>7593</v>
      </c>
      <c r="B7594">
        <f>TEXT(7593, "[$-0E0000]yyyy-mm-dd")</f>
        <v/>
      </c>
      <c r="C7594" t="inlineStr">
        <is>
          <t>1920-09-04</t>
        </is>
      </c>
    </row>
    <row r="7595">
      <c r="A7595" s="1" t="n">
        <v>7594</v>
      </c>
      <c r="B7595">
        <f>TEXT(7594, "[$-0E0000]yyyy-mm-dd")</f>
        <v/>
      </c>
      <c r="C7595" t="inlineStr">
        <is>
          <t>1920-09-05</t>
        </is>
      </c>
    </row>
    <row r="7596">
      <c r="A7596" s="1" t="n">
        <v>7595</v>
      </c>
      <c r="B7596">
        <f>TEXT(7595, "[$-0E0000]yyyy-mm-dd")</f>
        <v/>
      </c>
      <c r="C7596" t="inlineStr">
        <is>
          <t>1920-09-06</t>
        </is>
      </c>
    </row>
    <row r="7597">
      <c r="A7597" s="1" t="n">
        <v>7596</v>
      </c>
      <c r="B7597">
        <f>TEXT(7596, "[$-0E0000]yyyy-mm-dd")</f>
        <v/>
      </c>
      <c r="C7597" t="inlineStr">
        <is>
          <t>1920-09-07</t>
        </is>
      </c>
    </row>
    <row r="7598">
      <c r="A7598" s="1" t="n">
        <v>7597</v>
      </c>
      <c r="B7598">
        <f>TEXT(7597, "[$-0E0000]yyyy-mm-dd")</f>
        <v/>
      </c>
      <c r="C7598" t="inlineStr">
        <is>
          <t>1920-09-08</t>
        </is>
      </c>
    </row>
    <row r="7599">
      <c r="A7599" s="1" t="n">
        <v>7598</v>
      </c>
      <c r="B7599">
        <f>TEXT(7598, "[$-0E0000]yyyy-mm-dd")</f>
        <v/>
      </c>
      <c r="C7599" t="inlineStr">
        <is>
          <t>1920-09-09</t>
        </is>
      </c>
    </row>
    <row r="7600">
      <c r="A7600" s="1" t="n">
        <v>7599</v>
      </c>
      <c r="B7600">
        <f>TEXT(7599, "[$-0E0000]yyyy-mm-dd")</f>
        <v/>
      </c>
      <c r="C7600" t="inlineStr">
        <is>
          <t>1920-09-10</t>
        </is>
      </c>
    </row>
    <row r="7601">
      <c r="A7601" s="1" t="n">
        <v>7600</v>
      </c>
      <c r="B7601">
        <f>TEXT(7600, "[$-0E0000]yyyy-mm-dd")</f>
        <v/>
      </c>
      <c r="C7601" t="inlineStr">
        <is>
          <t>1920-09-11</t>
        </is>
      </c>
    </row>
    <row r="7602">
      <c r="A7602" s="1" t="n">
        <v>7601</v>
      </c>
      <c r="B7602">
        <f>TEXT(7601, "[$-0E0000]yyyy-mm-dd")</f>
        <v/>
      </c>
      <c r="C7602" t="inlineStr">
        <is>
          <t>1920-09-12</t>
        </is>
      </c>
    </row>
    <row r="7603">
      <c r="A7603" s="1" t="n">
        <v>7602</v>
      </c>
      <c r="B7603">
        <f>TEXT(7602, "[$-0E0000]yyyy-mm-dd")</f>
        <v/>
      </c>
      <c r="C7603" t="inlineStr">
        <is>
          <t>1920-09-13</t>
        </is>
      </c>
    </row>
    <row r="7604">
      <c r="A7604" s="1" t="n">
        <v>7603</v>
      </c>
      <c r="B7604">
        <f>TEXT(7603, "[$-0E0000]yyyy-mm-dd")</f>
        <v/>
      </c>
      <c r="C7604" t="inlineStr">
        <is>
          <t>1920-09-14</t>
        </is>
      </c>
    </row>
    <row r="7605">
      <c r="A7605" s="1" t="n">
        <v>7604</v>
      </c>
      <c r="B7605">
        <f>TEXT(7604, "[$-0E0000]yyyy-mm-dd")</f>
        <v/>
      </c>
      <c r="C7605" t="inlineStr">
        <is>
          <t>1920-09-15</t>
        </is>
      </c>
    </row>
    <row r="7606">
      <c r="A7606" s="1" t="n">
        <v>7605</v>
      </c>
      <c r="B7606">
        <f>TEXT(7605, "[$-0E0000]yyyy-mm-dd")</f>
        <v/>
      </c>
      <c r="C7606" t="inlineStr">
        <is>
          <t>1920-09-16</t>
        </is>
      </c>
    </row>
    <row r="7607">
      <c r="A7607" s="1" t="n">
        <v>7606</v>
      </c>
      <c r="B7607">
        <f>TEXT(7606, "[$-0E0000]yyyy-mm-dd")</f>
        <v/>
      </c>
      <c r="C7607" t="inlineStr">
        <is>
          <t>1920-09-17</t>
        </is>
      </c>
    </row>
    <row r="7608">
      <c r="A7608" s="1" t="n">
        <v>7607</v>
      </c>
      <c r="B7608">
        <f>TEXT(7607, "[$-0E0000]yyyy-mm-dd")</f>
        <v/>
      </c>
      <c r="C7608" t="inlineStr">
        <is>
          <t>1920-09-18</t>
        </is>
      </c>
    </row>
    <row r="7609">
      <c r="A7609" s="1" t="n">
        <v>7608</v>
      </c>
      <c r="B7609">
        <f>TEXT(7608, "[$-0E0000]yyyy-mm-dd")</f>
        <v/>
      </c>
      <c r="C7609" t="inlineStr">
        <is>
          <t>1920-09-19</t>
        </is>
      </c>
    </row>
    <row r="7610">
      <c r="A7610" s="1" t="n">
        <v>7609</v>
      </c>
      <c r="B7610">
        <f>TEXT(7609, "[$-0E0000]yyyy-mm-dd")</f>
        <v/>
      </c>
      <c r="C7610" t="inlineStr">
        <is>
          <t>1920-09-20</t>
        </is>
      </c>
    </row>
    <row r="7611">
      <c r="A7611" s="1" t="n">
        <v>7610</v>
      </c>
      <c r="B7611">
        <f>TEXT(7610, "[$-0E0000]yyyy-mm-dd")</f>
        <v/>
      </c>
      <c r="C7611" t="inlineStr">
        <is>
          <t>1920-09-21</t>
        </is>
      </c>
    </row>
    <row r="7612">
      <c r="A7612" s="1" t="n">
        <v>7611</v>
      </c>
      <c r="B7612">
        <f>TEXT(7611, "[$-0E0000]yyyy-mm-dd")</f>
        <v/>
      </c>
      <c r="C7612" t="inlineStr">
        <is>
          <t>1920-09-22</t>
        </is>
      </c>
    </row>
    <row r="7613">
      <c r="A7613" s="1" t="n">
        <v>7612</v>
      </c>
      <c r="B7613">
        <f>TEXT(7612, "[$-0E0000]yyyy-mm-dd")</f>
        <v/>
      </c>
      <c r="C7613" t="inlineStr">
        <is>
          <t>1920-09-23</t>
        </is>
      </c>
    </row>
    <row r="7614">
      <c r="A7614" s="1" t="n">
        <v>7613</v>
      </c>
      <c r="B7614">
        <f>TEXT(7613, "[$-0E0000]yyyy-mm-dd")</f>
        <v/>
      </c>
      <c r="C7614" t="inlineStr">
        <is>
          <t>1920-09-24</t>
        </is>
      </c>
    </row>
    <row r="7615">
      <c r="A7615" s="1" t="n">
        <v>7614</v>
      </c>
      <c r="B7615">
        <f>TEXT(7614, "[$-0E0000]yyyy-mm-dd")</f>
        <v/>
      </c>
      <c r="C7615" t="inlineStr">
        <is>
          <t>1920-09-25</t>
        </is>
      </c>
    </row>
    <row r="7616">
      <c r="A7616" s="1" t="n">
        <v>7615</v>
      </c>
      <c r="B7616">
        <f>TEXT(7615, "[$-0E0000]yyyy-mm-dd")</f>
        <v/>
      </c>
      <c r="C7616" t="inlineStr">
        <is>
          <t>1920-09-26</t>
        </is>
      </c>
    </row>
    <row r="7617">
      <c r="A7617" s="1" t="n">
        <v>7616</v>
      </c>
      <c r="B7617">
        <f>TEXT(7616, "[$-0E0000]yyyy-mm-dd")</f>
        <v/>
      </c>
      <c r="C7617" t="inlineStr">
        <is>
          <t>1920-09-27</t>
        </is>
      </c>
    </row>
    <row r="7618">
      <c r="A7618" s="1" t="n">
        <v>7617</v>
      </c>
      <c r="B7618">
        <f>TEXT(7617, "[$-0E0000]yyyy-mm-dd")</f>
        <v/>
      </c>
      <c r="C7618" t="inlineStr">
        <is>
          <t>1920-09-28</t>
        </is>
      </c>
    </row>
    <row r="7619">
      <c r="A7619" s="1" t="n">
        <v>7618</v>
      </c>
      <c r="B7619">
        <f>TEXT(7618, "[$-0E0000]yyyy-mm-dd")</f>
        <v/>
      </c>
      <c r="C7619" t="inlineStr">
        <is>
          <t>1920-09-29</t>
        </is>
      </c>
    </row>
    <row r="7620">
      <c r="A7620" s="1" t="n">
        <v>7619</v>
      </c>
      <c r="B7620">
        <f>TEXT(7619, "[$-0E0000]yyyy-mm-dd")</f>
        <v/>
      </c>
      <c r="C7620" t="inlineStr">
        <is>
          <t>1920-10-01</t>
        </is>
      </c>
    </row>
    <row r="7621">
      <c r="A7621" s="1" t="n">
        <v>7620</v>
      </c>
      <c r="B7621">
        <f>TEXT(7620, "[$-0E0000]yyyy-mm-dd")</f>
        <v/>
      </c>
      <c r="C7621" t="inlineStr">
        <is>
          <t>1920-10-02</t>
        </is>
      </c>
    </row>
    <row r="7622">
      <c r="A7622" s="1" t="n">
        <v>7621</v>
      </c>
      <c r="B7622">
        <f>TEXT(7621, "[$-0E0000]yyyy-mm-dd")</f>
        <v/>
      </c>
      <c r="C7622" t="inlineStr">
        <is>
          <t>1920-10-03</t>
        </is>
      </c>
    </row>
    <row r="7623">
      <c r="A7623" s="1" t="n">
        <v>7622</v>
      </c>
      <c r="B7623">
        <f>TEXT(7622, "[$-0E0000]yyyy-mm-dd")</f>
        <v/>
      </c>
      <c r="C7623" t="inlineStr">
        <is>
          <t>1920-10-04</t>
        </is>
      </c>
    </row>
    <row r="7624">
      <c r="A7624" s="1" t="n">
        <v>7623</v>
      </c>
      <c r="B7624">
        <f>TEXT(7623, "[$-0E0000]yyyy-mm-dd")</f>
        <v/>
      </c>
      <c r="C7624" t="inlineStr">
        <is>
          <t>1920-10-05</t>
        </is>
      </c>
    </row>
    <row r="7625">
      <c r="A7625" s="1" t="n">
        <v>7624</v>
      </c>
      <c r="B7625">
        <f>TEXT(7624, "[$-0E0000]yyyy-mm-dd")</f>
        <v/>
      </c>
      <c r="C7625" t="inlineStr">
        <is>
          <t>1920-10-06</t>
        </is>
      </c>
    </row>
    <row r="7626">
      <c r="A7626" s="1" t="n">
        <v>7625</v>
      </c>
      <c r="B7626">
        <f>TEXT(7625, "[$-0E0000]yyyy-mm-dd")</f>
        <v/>
      </c>
      <c r="C7626" t="inlineStr">
        <is>
          <t>1920-10-07</t>
        </is>
      </c>
    </row>
    <row r="7627">
      <c r="A7627" s="1" t="n">
        <v>7626</v>
      </c>
      <c r="B7627">
        <f>TEXT(7626, "[$-0E0000]yyyy-mm-dd")</f>
        <v/>
      </c>
      <c r="C7627" t="inlineStr">
        <is>
          <t>1920-10-08</t>
        </is>
      </c>
    </row>
    <row r="7628">
      <c r="A7628" s="1" t="n">
        <v>7627</v>
      </c>
      <c r="B7628">
        <f>TEXT(7627, "[$-0E0000]yyyy-mm-dd")</f>
        <v/>
      </c>
      <c r="C7628" t="inlineStr">
        <is>
          <t>1920-10-09</t>
        </is>
      </c>
    </row>
    <row r="7629">
      <c r="A7629" s="1" t="n">
        <v>7628</v>
      </c>
      <c r="B7629">
        <f>TEXT(7628, "[$-0E0000]yyyy-mm-dd")</f>
        <v/>
      </c>
      <c r="C7629" t="inlineStr">
        <is>
          <t>1920-10-10</t>
        </is>
      </c>
    </row>
    <row r="7630">
      <c r="A7630" s="1" t="n">
        <v>7629</v>
      </c>
      <c r="B7630">
        <f>TEXT(7629, "[$-0E0000]yyyy-mm-dd")</f>
        <v/>
      </c>
      <c r="C7630" t="inlineStr">
        <is>
          <t>1920-10-11</t>
        </is>
      </c>
    </row>
    <row r="7631">
      <c r="A7631" s="1" t="n">
        <v>7630</v>
      </c>
      <c r="B7631">
        <f>TEXT(7630, "[$-0E0000]yyyy-mm-dd")</f>
        <v/>
      </c>
      <c r="C7631" t="inlineStr">
        <is>
          <t>1920-10-12</t>
        </is>
      </c>
    </row>
    <row r="7632">
      <c r="A7632" s="1" t="n">
        <v>7631</v>
      </c>
      <c r="B7632">
        <f>TEXT(7631, "[$-0E0000]yyyy-mm-dd")</f>
        <v/>
      </c>
      <c r="C7632" t="inlineStr">
        <is>
          <t>1920-10-13</t>
        </is>
      </c>
    </row>
    <row r="7633">
      <c r="A7633" s="1" t="n">
        <v>7632</v>
      </c>
      <c r="B7633">
        <f>TEXT(7632, "[$-0E0000]yyyy-mm-dd")</f>
        <v/>
      </c>
      <c r="C7633" t="inlineStr">
        <is>
          <t>1920-10-14</t>
        </is>
      </c>
    </row>
    <row r="7634">
      <c r="A7634" s="1" t="n">
        <v>7633</v>
      </c>
      <c r="B7634">
        <f>TEXT(7633, "[$-0E0000]yyyy-mm-dd")</f>
        <v/>
      </c>
      <c r="C7634" t="inlineStr">
        <is>
          <t>1920-10-15</t>
        </is>
      </c>
    </row>
    <row r="7635">
      <c r="A7635" s="1" t="n">
        <v>7634</v>
      </c>
      <c r="B7635">
        <f>TEXT(7634, "[$-0E0000]yyyy-mm-dd")</f>
        <v/>
      </c>
      <c r="C7635" t="inlineStr">
        <is>
          <t>1920-10-16</t>
        </is>
      </c>
    </row>
    <row r="7636">
      <c r="A7636" s="1" t="n">
        <v>7635</v>
      </c>
      <c r="B7636">
        <f>TEXT(7635, "[$-0E0000]yyyy-mm-dd")</f>
        <v/>
      </c>
      <c r="C7636" t="inlineStr">
        <is>
          <t>1920-10-17</t>
        </is>
      </c>
    </row>
    <row r="7637">
      <c r="A7637" s="1" t="n">
        <v>7636</v>
      </c>
      <c r="B7637">
        <f>TEXT(7636, "[$-0E0000]yyyy-mm-dd")</f>
        <v/>
      </c>
      <c r="C7637" t="inlineStr">
        <is>
          <t>1920-10-18</t>
        </is>
      </c>
    </row>
    <row r="7638">
      <c r="A7638" s="1" t="n">
        <v>7637</v>
      </c>
      <c r="B7638">
        <f>TEXT(7637, "[$-0E0000]yyyy-mm-dd")</f>
        <v/>
      </c>
      <c r="C7638" t="inlineStr">
        <is>
          <t>1920-10-19</t>
        </is>
      </c>
    </row>
    <row r="7639">
      <c r="A7639" s="1" t="n">
        <v>7638</v>
      </c>
      <c r="B7639">
        <f>TEXT(7638, "[$-0E0000]yyyy-mm-dd")</f>
        <v/>
      </c>
      <c r="C7639" t="inlineStr">
        <is>
          <t>1920-10-20</t>
        </is>
      </c>
    </row>
    <row r="7640">
      <c r="A7640" s="1" t="n">
        <v>7639</v>
      </c>
      <c r="B7640">
        <f>TEXT(7639, "[$-0E0000]yyyy-mm-dd")</f>
        <v/>
      </c>
      <c r="C7640" t="inlineStr">
        <is>
          <t>1920-10-21</t>
        </is>
      </c>
    </row>
    <row r="7641">
      <c r="A7641" s="1" t="n">
        <v>7640</v>
      </c>
      <c r="B7641">
        <f>TEXT(7640, "[$-0E0000]yyyy-mm-dd")</f>
        <v/>
      </c>
      <c r="C7641" t="inlineStr">
        <is>
          <t>1920-10-22</t>
        </is>
      </c>
    </row>
    <row r="7642">
      <c r="A7642" s="1" t="n">
        <v>7641</v>
      </c>
      <c r="B7642">
        <f>TEXT(7641, "[$-0E0000]yyyy-mm-dd")</f>
        <v/>
      </c>
      <c r="C7642" t="inlineStr">
        <is>
          <t>1920-10-23</t>
        </is>
      </c>
    </row>
    <row r="7643">
      <c r="A7643" s="1" t="n">
        <v>7642</v>
      </c>
      <c r="B7643">
        <f>TEXT(7642, "[$-0E0000]yyyy-mm-dd")</f>
        <v/>
      </c>
      <c r="C7643" t="inlineStr">
        <is>
          <t>1920-10-24</t>
        </is>
      </c>
    </row>
    <row r="7644">
      <c r="A7644" s="1" t="n">
        <v>7643</v>
      </c>
      <c r="B7644">
        <f>TEXT(7643, "[$-0E0000]yyyy-mm-dd")</f>
        <v/>
      </c>
      <c r="C7644" t="inlineStr">
        <is>
          <t>1920-10-25</t>
        </is>
      </c>
    </row>
    <row r="7645">
      <c r="A7645" s="1" t="n">
        <v>7644</v>
      </c>
      <c r="B7645">
        <f>TEXT(7644, "[$-0E0000]yyyy-mm-dd")</f>
        <v/>
      </c>
      <c r="C7645" t="inlineStr">
        <is>
          <t>1920-10-26</t>
        </is>
      </c>
    </row>
    <row r="7646">
      <c r="A7646" s="1" t="n">
        <v>7645</v>
      </c>
      <c r="B7646">
        <f>TEXT(7645, "[$-0E0000]yyyy-mm-dd")</f>
        <v/>
      </c>
      <c r="C7646" t="inlineStr">
        <is>
          <t>1920-10-27</t>
        </is>
      </c>
    </row>
    <row r="7647">
      <c r="A7647" s="1" t="n">
        <v>7646</v>
      </c>
      <c r="B7647">
        <f>TEXT(7646, "[$-0E0000]yyyy-mm-dd")</f>
        <v/>
      </c>
      <c r="C7647" t="inlineStr">
        <is>
          <t>1920-10-28</t>
        </is>
      </c>
    </row>
    <row r="7648">
      <c r="A7648" s="1" t="n">
        <v>7647</v>
      </c>
      <c r="B7648">
        <f>TEXT(7647, "[$-0E0000]yyyy-mm-dd")</f>
        <v/>
      </c>
      <c r="C7648" t="inlineStr">
        <is>
          <t>1920-10-29</t>
        </is>
      </c>
    </row>
    <row r="7649">
      <c r="A7649" s="1" t="n">
        <v>7648</v>
      </c>
      <c r="B7649">
        <f>TEXT(7648, "[$-0E0000]yyyy-mm-dd")</f>
        <v/>
      </c>
      <c r="C7649" t="inlineStr">
        <is>
          <t>1920-10-30</t>
        </is>
      </c>
    </row>
    <row r="7650">
      <c r="A7650" s="1" t="n">
        <v>7649</v>
      </c>
      <c r="B7650">
        <f>TEXT(7649, "[$-0E0000]yyyy-mm-dd")</f>
        <v/>
      </c>
      <c r="C7650" t="inlineStr">
        <is>
          <t>1920-11-01</t>
        </is>
      </c>
    </row>
    <row r="7651">
      <c r="A7651" s="1" t="n">
        <v>7650</v>
      </c>
      <c r="B7651">
        <f>TEXT(7650, "[$-0E0000]yyyy-mm-dd")</f>
        <v/>
      </c>
      <c r="C7651" t="inlineStr">
        <is>
          <t>1920-11-02</t>
        </is>
      </c>
    </row>
    <row r="7652">
      <c r="A7652" s="1" t="n">
        <v>7651</v>
      </c>
      <c r="B7652">
        <f>TEXT(7651, "[$-0E0000]yyyy-mm-dd")</f>
        <v/>
      </c>
      <c r="C7652" t="inlineStr">
        <is>
          <t>1920-11-03</t>
        </is>
      </c>
    </row>
    <row r="7653">
      <c r="A7653" s="1" t="n">
        <v>7652</v>
      </c>
      <c r="B7653">
        <f>TEXT(7652, "[$-0E0000]yyyy-mm-dd")</f>
        <v/>
      </c>
      <c r="C7653" t="inlineStr">
        <is>
          <t>1920-11-04</t>
        </is>
      </c>
    </row>
    <row r="7654">
      <c r="A7654" s="1" t="n">
        <v>7653</v>
      </c>
      <c r="B7654">
        <f>TEXT(7653, "[$-0E0000]yyyy-mm-dd")</f>
        <v/>
      </c>
      <c r="C7654" t="inlineStr">
        <is>
          <t>1920-11-05</t>
        </is>
      </c>
    </row>
    <row r="7655">
      <c r="A7655" s="1" t="n">
        <v>7654</v>
      </c>
      <c r="B7655">
        <f>TEXT(7654, "[$-0E0000]yyyy-mm-dd")</f>
        <v/>
      </c>
      <c r="C7655" t="inlineStr">
        <is>
          <t>1920-11-06</t>
        </is>
      </c>
    </row>
    <row r="7656">
      <c r="A7656" s="1" t="n">
        <v>7655</v>
      </c>
      <c r="B7656">
        <f>TEXT(7655, "[$-0E0000]yyyy-mm-dd")</f>
        <v/>
      </c>
      <c r="C7656" t="inlineStr">
        <is>
          <t>1920-11-07</t>
        </is>
      </c>
    </row>
    <row r="7657">
      <c r="A7657" s="1" t="n">
        <v>7656</v>
      </c>
      <c r="B7657">
        <f>TEXT(7656, "[$-0E0000]yyyy-mm-dd")</f>
        <v/>
      </c>
      <c r="C7657" t="inlineStr">
        <is>
          <t>1920-11-08</t>
        </is>
      </c>
    </row>
    <row r="7658">
      <c r="A7658" s="1" t="n">
        <v>7657</v>
      </c>
      <c r="B7658">
        <f>TEXT(7657, "[$-0E0000]yyyy-mm-dd")</f>
        <v/>
      </c>
      <c r="C7658" t="inlineStr">
        <is>
          <t>1920-11-09</t>
        </is>
      </c>
    </row>
    <row r="7659">
      <c r="A7659" s="1" t="n">
        <v>7658</v>
      </c>
      <c r="B7659">
        <f>TEXT(7658, "[$-0E0000]yyyy-mm-dd")</f>
        <v/>
      </c>
      <c r="C7659" t="inlineStr">
        <is>
          <t>1920-11-10</t>
        </is>
      </c>
    </row>
    <row r="7660">
      <c r="A7660" s="1" t="n">
        <v>7659</v>
      </c>
      <c r="B7660">
        <f>TEXT(7659, "[$-0E0000]yyyy-mm-dd")</f>
        <v/>
      </c>
      <c r="C7660" t="inlineStr">
        <is>
          <t>1920-11-11</t>
        </is>
      </c>
    </row>
    <row r="7661">
      <c r="A7661" s="1" t="n">
        <v>7660</v>
      </c>
      <c r="B7661">
        <f>TEXT(7660, "[$-0E0000]yyyy-mm-dd")</f>
        <v/>
      </c>
      <c r="C7661" t="inlineStr">
        <is>
          <t>1920-11-12</t>
        </is>
      </c>
    </row>
    <row r="7662">
      <c r="A7662" s="1" t="n">
        <v>7661</v>
      </c>
      <c r="B7662">
        <f>TEXT(7661, "[$-0E0000]yyyy-mm-dd")</f>
        <v/>
      </c>
      <c r="C7662" t="inlineStr">
        <is>
          <t>1920-11-13</t>
        </is>
      </c>
    </row>
    <row r="7663">
      <c r="A7663" s="1" t="n">
        <v>7662</v>
      </c>
      <c r="B7663">
        <f>TEXT(7662, "[$-0E0000]yyyy-mm-dd")</f>
        <v/>
      </c>
      <c r="C7663" t="inlineStr">
        <is>
          <t>1920-11-14</t>
        </is>
      </c>
    </row>
    <row r="7664">
      <c r="A7664" s="1" t="n">
        <v>7663</v>
      </c>
      <c r="B7664">
        <f>TEXT(7663, "[$-0E0000]yyyy-mm-dd")</f>
        <v/>
      </c>
      <c r="C7664" t="inlineStr">
        <is>
          <t>1920-11-15</t>
        </is>
      </c>
    </row>
    <row r="7665">
      <c r="A7665" s="1" t="n">
        <v>7664</v>
      </c>
      <c r="B7665">
        <f>TEXT(7664, "[$-0E0000]yyyy-mm-dd")</f>
        <v/>
      </c>
      <c r="C7665" t="inlineStr">
        <is>
          <t>1920-11-16</t>
        </is>
      </c>
    </row>
    <row r="7666">
      <c r="A7666" s="1" t="n">
        <v>7665</v>
      </c>
      <c r="B7666">
        <f>TEXT(7665, "[$-0E0000]yyyy-mm-dd")</f>
        <v/>
      </c>
      <c r="C7666" t="inlineStr">
        <is>
          <t>1920-11-17</t>
        </is>
      </c>
    </row>
    <row r="7667">
      <c r="A7667" s="1" t="n">
        <v>7666</v>
      </c>
      <c r="B7667">
        <f>TEXT(7666, "[$-0E0000]yyyy-mm-dd")</f>
        <v/>
      </c>
      <c r="C7667" t="inlineStr">
        <is>
          <t>1920-11-18</t>
        </is>
      </c>
    </row>
    <row r="7668">
      <c r="A7668" s="1" t="n">
        <v>7667</v>
      </c>
      <c r="B7668">
        <f>TEXT(7667, "[$-0E0000]yyyy-mm-dd")</f>
        <v/>
      </c>
      <c r="C7668" t="inlineStr">
        <is>
          <t>1920-11-19</t>
        </is>
      </c>
    </row>
    <row r="7669">
      <c r="A7669" s="1" t="n">
        <v>7668</v>
      </c>
      <c r="B7669">
        <f>TEXT(7668, "[$-0E0000]yyyy-mm-dd")</f>
        <v/>
      </c>
      <c r="C7669" t="inlineStr">
        <is>
          <t>1920-11-20</t>
        </is>
      </c>
    </row>
    <row r="7670">
      <c r="A7670" s="1" t="n">
        <v>7669</v>
      </c>
      <c r="B7670">
        <f>TEXT(7669, "[$-0E0000]yyyy-mm-dd")</f>
        <v/>
      </c>
      <c r="C7670" t="inlineStr">
        <is>
          <t>1920-11-21</t>
        </is>
      </c>
    </row>
    <row r="7671">
      <c r="A7671" s="1" t="n">
        <v>7670</v>
      </c>
      <c r="B7671">
        <f>TEXT(7670, "[$-0E0000]yyyy-mm-dd")</f>
        <v/>
      </c>
      <c r="C7671" t="inlineStr">
        <is>
          <t>1920-11-22</t>
        </is>
      </c>
    </row>
    <row r="7672">
      <c r="A7672" s="1" t="n">
        <v>7671</v>
      </c>
      <c r="B7672">
        <f>TEXT(7671, "[$-0E0000]yyyy-mm-dd")</f>
        <v/>
      </c>
      <c r="C7672" t="inlineStr">
        <is>
          <t>1920-11-23</t>
        </is>
      </c>
    </row>
    <row r="7673">
      <c r="A7673" s="1" t="n">
        <v>7672</v>
      </c>
      <c r="B7673">
        <f>TEXT(7672, "[$-0E0000]yyyy-mm-dd")</f>
        <v/>
      </c>
      <c r="C7673" t="inlineStr">
        <is>
          <t>1920-11-24</t>
        </is>
      </c>
    </row>
    <row r="7674">
      <c r="A7674" s="1" t="n">
        <v>7673</v>
      </c>
      <c r="B7674">
        <f>TEXT(7673, "[$-0E0000]yyyy-mm-dd")</f>
        <v/>
      </c>
      <c r="C7674" t="inlineStr">
        <is>
          <t>1920-11-25</t>
        </is>
      </c>
    </row>
    <row r="7675">
      <c r="A7675" s="1" t="n">
        <v>7674</v>
      </c>
      <c r="B7675">
        <f>TEXT(7674, "[$-0E0000]yyyy-mm-dd")</f>
        <v/>
      </c>
      <c r="C7675" t="inlineStr">
        <is>
          <t>1920-11-26</t>
        </is>
      </c>
    </row>
    <row r="7676">
      <c r="A7676" s="1" t="n">
        <v>7675</v>
      </c>
      <c r="B7676">
        <f>TEXT(7675, "[$-0E0000]yyyy-mm-dd")</f>
        <v/>
      </c>
      <c r="C7676" t="inlineStr">
        <is>
          <t>1920-11-27</t>
        </is>
      </c>
    </row>
    <row r="7677">
      <c r="A7677" s="1" t="n">
        <v>7676</v>
      </c>
      <c r="B7677">
        <f>TEXT(7676, "[$-0E0000]yyyy-mm-dd")</f>
        <v/>
      </c>
      <c r="C7677" t="inlineStr">
        <is>
          <t>1920-11-28</t>
        </is>
      </c>
    </row>
    <row r="7678">
      <c r="A7678" s="1" t="n">
        <v>7677</v>
      </c>
      <c r="B7678">
        <f>TEXT(7677, "[$-0E0000]yyyy-mm-dd")</f>
        <v/>
      </c>
      <c r="C7678" t="inlineStr">
        <is>
          <t>1920-11-29</t>
        </is>
      </c>
    </row>
    <row r="7679">
      <c r="A7679" s="1" t="n">
        <v>7678</v>
      </c>
      <c r="B7679">
        <f>TEXT(7678, "[$-0E0000]yyyy-mm-dd")</f>
        <v/>
      </c>
      <c r="C7679" t="inlineStr">
        <is>
          <t>1920-11-30</t>
        </is>
      </c>
    </row>
    <row r="7680">
      <c r="A7680" s="1" t="n">
        <v>7679</v>
      </c>
      <c r="B7680">
        <f>TEXT(7679, "[$-0E0000]yyyy-mm-dd")</f>
        <v/>
      </c>
      <c r="C7680" t="inlineStr">
        <is>
          <t>1920-12-01</t>
        </is>
      </c>
    </row>
    <row r="7681">
      <c r="A7681" s="1" t="n">
        <v>7680</v>
      </c>
      <c r="B7681">
        <f>TEXT(7680, "[$-0E0000]yyyy-mm-dd")</f>
        <v/>
      </c>
      <c r="C7681" t="inlineStr">
        <is>
          <t>1920-12-02</t>
        </is>
      </c>
    </row>
    <row r="7682">
      <c r="A7682" s="1" t="n">
        <v>7681</v>
      </c>
      <c r="B7682">
        <f>TEXT(7681, "[$-0E0000]yyyy-mm-dd")</f>
        <v/>
      </c>
      <c r="C7682" t="inlineStr">
        <is>
          <t>1920-12-03</t>
        </is>
      </c>
    </row>
    <row r="7683">
      <c r="A7683" s="1" t="n">
        <v>7682</v>
      </c>
      <c r="B7683">
        <f>TEXT(7682, "[$-0E0000]yyyy-mm-dd")</f>
        <v/>
      </c>
      <c r="C7683" t="inlineStr">
        <is>
          <t>1920-12-04</t>
        </is>
      </c>
    </row>
    <row r="7684">
      <c r="A7684" s="1" t="n">
        <v>7683</v>
      </c>
      <c r="B7684">
        <f>TEXT(7683, "[$-0E0000]yyyy-mm-dd")</f>
        <v/>
      </c>
      <c r="C7684" t="inlineStr">
        <is>
          <t>1920-12-05</t>
        </is>
      </c>
    </row>
    <row r="7685">
      <c r="A7685" s="1" t="n">
        <v>7684</v>
      </c>
      <c r="B7685">
        <f>TEXT(7684, "[$-0E0000]yyyy-mm-dd")</f>
        <v/>
      </c>
      <c r="C7685" t="inlineStr">
        <is>
          <t>1920-12-06</t>
        </is>
      </c>
    </row>
    <row r="7686">
      <c r="A7686" s="1" t="n">
        <v>7685</v>
      </c>
      <c r="B7686">
        <f>TEXT(7685, "[$-0E0000]yyyy-mm-dd")</f>
        <v/>
      </c>
      <c r="C7686" t="inlineStr">
        <is>
          <t>1920-12-07</t>
        </is>
      </c>
    </row>
    <row r="7687">
      <c r="A7687" s="1" t="n">
        <v>7686</v>
      </c>
      <c r="B7687">
        <f>TEXT(7686, "[$-0E0000]yyyy-mm-dd")</f>
        <v/>
      </c>
      <c r="C7687" t="inlineStr">
        <is>
          <t>1920-12-08</t>
        </is>
      </c>
    </row>
    <row r="7688">
      <c r="A7688" s="1" t="n">
        <v>7687</v>
      </c>
      <c r="B7688">
        <f>TEXT(7687, "[$-0E0000]yyyy-mm-dd")</f>
        <v/>
      </c>
      <c r="C7688" t="inlineStr">
        <is>
          <t>1920-12-09</t>
        </is>
      </c>
    </row>
    <row r="7689">
      <c r="A7689" s="1" t="n">
        <v>7688</v>
      </c>
      <c r="B7689">
        <f>TEXT(7688, "[$-0E0000]yyyy-mm-dd")</f>
        <v/>
      </c>
      <c r="C7689" t="inlineStr">
        <is>
          <t>1920-12-10</t>
        </is>
      </c>
    </row>
    <row r="7690">
      <c r="A7690" s="1" t="n">
        <v>7689</v>
      </c>
      <c r="B7690">
        <f>TEXT(7689, "[$-0E0000]yyyy-mm-dd")</f>
        <v/>
      </c>
      <c r="C7690" t="inlineStr">
        <is>
          <t>1920-12-11</t>
        </is>
      </c>
    </row>
    <row r="7691">
      <c r="A7691" s="1" t="n">
        <v>7690</v>
      </c>
      <c r="B7691">
        <f>TEXT(7690, "[$-0E0000]yyyy-mm-dd")</f>
        <v/>
      </c>
      <c r="C7691" t="inlineStr">
        <is>
          <t>1920-12-12</t>
        </is>
      </c>
    </row>
    <row r="7692">
      <c r="A7692" s="1" t="n">
        <v>7691</v>
      </c>
      <c r="B7692">
        <f>TEXT(7691, "[$-0E0000]yyyy-mm-dd")</f>
        <v/>
      </c>
      <c r="C7692" t="inlineStr">
        <is>
          <t>1920-12-13</t>
        </is>
      </c>
    </row>
    <row r="7693">
      <c r="A7693" s="1" t="n">
        <v>7692</v>
      </c>
      <c r="B7693">
        <f>TEXT(7692, "[$-0E0000]yyyy-mm-dd")</f>
        <v/>
      </c>
      <c r="C7693" t="inlineStr">
        <is>
          <t>1920-12-14</t>
        </is>
      </c>
    </row>
    <row r="7694">
      <c r="A7694" s="1" t="n">
        <v>7693</v>
      </c>
      <c r="B7694">
        <f>TEXT(7693, "[$-0E0000]yyyy-mm-dd")</f>
        <v/>
      </c>
      <c r="C7694" t="inlineStr">
        <is>
          <t>1920-12-15</t>
        </is>
      </c>
    </row>
    <row r="7695">
      <c r="A7695" s="1" t="n">
        <v>7694</v>
      </c>
      <c r="B7695">
        <f>TEXT(7694, "[$-0E0000]yyyy-mm-dd")</f>
        <v/>
      </c>
      <c r="C7695" t="inlineStr">
        <is>
          <t>1920-12-16</t>
        </is>
      </c>
    </row>
    <row r="7696">
      <c r="A7696" s="1" t="n">
        <v>7695</v>
      </c>
      <c r="B7696">
        <f>TEXT(7695, "[$-0E0000]yyyy-mm-dd")</f>
        <v/>
      </c>
      <c r="C7696" t="inlineStr">
        <is>
          <t>1920-12-17</t>
        </is>
      </c>
    </row>
    <row r="7697">
      <c r="A7697" s="1" t="n">
        <v>7696</v>
      </c>
      <c r="B7697">
        <f>TEXT(7696, "[$-0E0000]yyyy-mm-dd")</f>
        <v/>
      </c>
      <c r="C7697" t="inlineStr">
        <is>
          <t>1920-12-18</t>
        </is>
      </c>
    </row>
    <row r="7698">
      <c r="A7698" s="1" t="n">
        <v>7697</v>
      </c>
      <c r="B7698">
        <f>TEXT(7697, "[$-0E0000]yyyy-mm-dd")</f>
        <v/>
      </c>
      <c r="C7698" t="inlineStr">
        <is>
          <t>1920-12-19</t>
        </is>
      </c>
    </row>
    <row r="7699">
      <c r="A7699" s="1" t="n">
        <v>7698</v>
      </c>
      <c r="B7699">
        <f>TEXT(7698, "[$-0E0000]yyyy-mm-dd")</f>
        <v/>
      </c>
      <c r="C7699" t="inlineStr">
        <is>
          <t>1920-12-20</t>
        </is>
      </c>
    </row>
    <row r="7700">
      <c r="A7700" s="1" t="n">
        <v>7699</v>
      </c>
      <c r="B7700">
        <f>TEXT(7699, "[$-0E0000]yyyy-mm-dd")</f>
        <v/>
      </c>
      <c r="C7700" t="inlineStr">
        <is>
          <t>1920-12-21</t>
        </is>
      </c>
    </row>
    <row r="7701">
      <c r="A7701" s="1" t="n">
        <v>7700</v>
      </c>
      <c r="B7701">
        <f>TEXT(7700, "[$-0E0000]yyyy-mm-dd")</f>
        <v/>
      </c>
      <c r="C7701" t="inlineStr">
        <is>
          <t>1920-12-22</t>
        </is>
      </c>
    </row>
    <row r="7702">
      <c r="A7702" s="1" t="n">
        <v>7701</v>
      </c>
      <c r="B7702">
        <f>TEXT(7701, "[$-0E0000]yyyy-mm-dd")</f>
        <v/>
      </c>
      <c r="C7702" t="inlineStr">
        <is>
          <t>1920-12-23</t>
        </is>
      </c>
    </row>
    <row r="7703">
      <c r="A7703" s="1" t="n">
        <v>7702</v>
      </c>
      <c r="B7703">
        <f>TEXT(7702, "[$-0E0000]yyyy-mm-dd")</f>
        <v/>
      </c>
      <c r="C7703" t="inlineStr">
        <is>
          <t>1920-12-24</t>
        </is>
      </c>
    </row>
    <row r="7704">
      <c r="A7704" s="1" t="n">
        <v>7703</v>
      </c>
      <c r="B7704">
        <f>TEXT(7703, "[$-0E0000]yyyy-mm-dd")</f>
        <v/>
      </c>
      <c r="C7704" t="inlineStr">
        <is>
          <t>1920-12-25</t>
        </is>
      </c>
    </row>
    <row r="7705">
      <c r="A7705" s="1" t="n">
        <v>7704</v>
      </c>
      <c r="B7705">
        <f>TEXT(7704, "[$-0E0000]yyyy-mm-dd")</f>
        <v/>
      </c>
      <c r="C7705" t="inlineStr">
        <is>
          <t>1920-12-26</t>
        </is>
      </c>
    </row>
    <row r="7706">
      <c r="A7706" s="1" t="n">
        <v>7705</v>
      </c>
      <c r="B7706">
        <f>TEXT(7705, "[$-0E0000]yyyy-mm-dd")</f>
        <v/>
      </c>
      <c r="C7706" t="inlineStr">
        <is>
          <t>1920-12-27</t>
        </is>
      </c>
    </row>
    <row r="7707">
      <c r="A7707" s="1" t="n">
        <v>7706</v>
      </c>
      <c r="B7707">
        <f>TEXT(7706, "[$-0E0000]yyyy-mm-dd")</f>
        <v/>
      </c>
      <c r="C7707" t="inlineStr">
        <is>
          <t>1920-12-28</t>
        </is>
      </c>
    </row>
    <row r="7708">
      <c r="A7708" s="1" t="n">
        <v>7707</v>
      </c>
      <c r="B7708">
        <f>TEXT(7707, "[$-0E0000]yyyy-mm-dd")</f>
        <v/>
      </c>
      <c r="C7708" t="inlineStr">
        <is>
          <t>1920-12-29</t>
        </is>
      </c>
    </row>
    <row r="7709">
      <c r="A7709" s="1" t="n">
        <v>7708</v>
      </c>
      <c r="B7709">
        <f>TEXT(7708, "[$-0E0000]yyyy-mm-dd")</f>
        <v/>
      </c>
      <c r="C7709" t="inlineStr">
        <is>
          <t>1920-12-30</t>
        </is>
      </c>
    </row>
    <row r="7710">
      <c r="A7710" s="1" t="n">
        <v>7709</v>
      </c>
      <c r="B7710">
        <f>TEXT(7709, "[$-0E0000]yyyy-mm-dd")</f>
        <v/>
      </c>
      <c r="C7710" t="inlineStr">
        <is>
          <t>1921-01-01</t>
        </is>
      </c>
    </row>
    <row r="7711">
      <c r="A7711" s="1" t="n">
        <v>7710</v>
      </c>
      <c r="B7711">
        <f>TEXT(7710, "[$-0E0000]yyyy-mm-dd")</f>
        <v/>
      </c>
      <c r="C7711" t="inlineStr">
        <is>
          <t>1921-01-02</t>
        </is>
      </c>
    </row>
    <row r="7712">
      <c r="A7712" s="1" t="n">
        <v>7711</v>
      </c>
      <c r="B7712">
        <f>TEXT(7711, "[$-0E0000]yyyy-mm-dd")</f>
        <v/>
      </c>
      <c r="C7712" t="inlineStr">
        <is>
          <t>1921-01-03</t>
        </is>
      </c>
    </row>
    <row r="7713">
      <c r="A7713" s="1" t="n">
        <v>7712</v>
      </c>
      <c r="B7713">
        <f>TEXT(7712, "[$-0E0000]yyyy-mm-dd")</f>
        <v/>
      </c>
      <c r="C7713" t="inlineStr">
        <is>
          <t>1921-01-04</t>
        </is>
      </c>
    </row>
    <row r="7714">
      <c r="A7714" s="1" t="n">
        <v>7713</v>
      </c>
      <c r="B7714">
        <f>TEXT(7713, "[$-0E0000]yyyy-mm-dd")</f>
        <v/>
      </c>
      <c r="C7714" t="inlineStr">
        <is>
          <t>1921-01-05</t>
        </is>
      </c>
    </row>
    <row r="7715">
      <c r="A7715" s="1" t="n">
        <v>7714</v>
      </c>
      <c r="B7715">
        <f>TEXT(7714, "[$-0E0000]yyyy-mm-dd")</f>
        <v/>
      </c>
      <c r="C7715" t="inlineStr">
        <is>
          <t>1921-01-06</t>
        </is>
      </c>
    </row>
    <row r="7716">
      <c r="A7716" s="1" t="n">
        <v>7715</v>
      </c>
      <c r="B7716">
        <f>TEXT(7715, "[$-0E0000]yyyy-mm-dd")</f>
        <v/>
      </c>
      <c r="C7716" t="inlineStr">
        <is>
          <t>1921-01-07</t>
        </is>
      </c>
    </row>
    <row r="7717">
      <c r="A7717" s="1" t="n">
        <v>7716</v>
      </c>
      <c r="B7717">
        <f>TEXT(7716, "[$-0E0000]yyyy-mm-dd")</f>
        <v/>
      </c>
      <c r="C7717" t="inlineStr">
        <is>
          <t>1921-01-08</t>
        </is>
      </c>
    </row>
    <row r="7718">
      <c r="A7718" s="1" t="n">
        <v>7717</v>
      </c>
      <c r="B7718">
        <f>TEXT(7717, "[$-0E0000]yyyy-mm-dd")</f>
        <v/>
      </c>
      <c r="C7718" t="inlineStr">
        <is>
          <t>1921-01-09</t>
        </is>
      </c>
    </row>
    <row r="7719">
      <c r="A7719" s="1" t="n">
        <v>7718</v>
      </c>
      <c r="B7719">
        <f>TEXT(7718, "[$-0E0000]yyyy-mm-dd")</f>
        <v/>
      </c>
      <c r="C7719" t="inlineStr">
        <is>
          <t>1921-01-10</t>
        </is>
      </c>
    </row>
    <row r="7720">
      <c r="A7720" s="1" t="n">
        <v>7719</v>
      </c>
      <c r="B7720">
        <f>TEXT(7719, "[$-0E0000]yyyy-mm-dd")</f>
        <v/>
      </c>
      <c r="C7720" t="inlineStr">
        <is>
          <t>1921-01-11</t>
        </is>
      </c>
    </row>
    <row r="7721">
      <c r="A7721" s="1" t="n">
        <v>7720</v>
      </c>
      <c r="B7721">
        <f>TEXT(7720, "[$-0E0000]yyyy-mm-dd")</f>
        <v/>
      </c>
      <c r="C7721" t="inlineStr">
        <is>
          <t>1921-01-12</t>
        </is>
      </c>
    </row>
    <row r="7722">
      <c r="A7722" s="1" t="n">
        <v>7721</v>
      </c>
      <c r="B7722">
        <f>TEXT(7721, "[$-0E0000]yyyy-mm-dd")</f>
        <v/>
      </c>
      <c r="C7722" t="inlineStr">
        <is>
          <t>1921-01-13</t>
        </is>
      </c>
    </row>
    <row r="7723">
      <c r="A7723" s="1" t="n">
        <v>7722</v>
      </c>
      <c r="B7723">
        <f>TEXT(7722, "[$-0E0000]yyyy-mm-dd")</f>
        <v/>
      </c>
      <c r="C7723" t="inlineStr">
        <is>
          <t>1921-01-14</t>
        </is>
      </c>
    </row>
    <row r="7724">
      <c r="A7724" s="1" t="n">
        <v>7723</v>
      </c>
      <c r="B7724">
        <f>TEXT(7723, "[$-0E0000]yyyy-mm-dd")</f>
        <v/>
      </c>
      <c r="C7724" t="inlineStr">
        <is>
          <t>1921-01-15</t>
        </is>
      </c>
    </row>
    <row r="7725">
      <c r="A7725" s="1" t="n">
        <v>7724</v>
      </c>
      <c r="B7725">
        <f>TEXT(7724, "[$-0E0000]yyyy-mm-dd")</f>
        <v/>
      </c>
      <c r="C7725" t="inlineStr">
        <is>
          <t>1921-01-16</t>
        </is>
      </c>
    </row>
    <row r="7726">
      <c r="A7726" s="1" t="n">
        <v>7725</v>
      </c>
      <c r="B7726">
        <f>TEXT(7725, "[$-0E0000]yyyy-mm-dd")</f>
        <v/>
      </c>
      <c r="C7726" t="inlineStr">
        <is>
          <t>1921-01-17</t>
        </is>
      </c>
    </row>
    <row r="7727">
      <c r="A7727" s="1" t="n">
        <v>7726</v>
      </c>
      <c r="B7727">
        <f>TEXT(7726, "[$-0E0000]yyyy-mm-dd")</f>
        <v/>
      </c>
      <c r="C7727" t="inlineStr">
        <is>
          <t>1921-01-18</t>
        </is>
      </c>
    </row>
    <row r="7728">
      <c r="A7728" s="1" t="n">
        <v>7727</v>
      </c>
      <c r="B7728">
        <f>TEXT(7727, "[$-0E0000]yyyy-mm-dd")</f>
        <v/>
      </c>
      <c r="C7728" t="inlineStr">
        <is>
          <t>1921-01-19</t>
        </is>
      </c>
    </row>
    <row r="7729">
      <c r="A7729" s="1" t="n">
        <v>7728</v>
      </c>
      <c r="B7729">
        <f>TEXT(7728, "[$-0E0000]yyyy-mm-dd")</f>
        <v/>
      </c>
      <c r="C7729" t="inlineStr">
        <is>
          <t>1921-01-20</t>
        </is>
      </c>
    </row>
    <row r="7730">
      <c r="A7730" s="1" t="n">
        <v>7729</v>
      </c>
      <c r="B7730">
        <f>TEXT(7729, "[$-0E0000]yyyy-mm-dd")</f>
        <v/>
      </c>
      <c r="C7730" t="inlineStr">
        <is>
          <t>1921-01-21</t>
        </is>
      </c>
    </row>
    <row r="7731">
      <c r="A7731" s="1" t="n">
        <v>7730</v>
      </c>
      <c r="B7731">
        <f>TEXT(7730, "[$-0E0000]yyyy-mm-dd")</f>
        <v/>
      </c>
      <c r="C7731" t="inlineStr">
        <is>
          <t>1921-01-22</t>
        </is>
      </c>
    </row>
    <row r="7732">
      <c r="A7732" s="1" t="n">
        <v>7731</v>
      </c>
      <c r="B7732">
        <f>TEXT(7731, "[$-0E0000]yyyy-mm-dd")</f>
        <v/>
      </c>
      <c r="C7732" t="inlineStr">
        <is>
          <t>1921-01-23</t>
        </is>
      </c>
    </row>
    <row r="7733">
      <c r="A7733" s="1" t="n">
        <v>7732</v>
      </c>
      <c r="B7733">
        <f>TEXT(7732, "[$-0E0000]yyyy-mm-dd")</f>
        <v/>
      </c>
      <c r="C7733" t="inlineStr">
        <is>
          <t>1921-01-24</t>
        </is>
      </c>
    </row>
    <row r="7734">
      <c r="A7734" s="1" t="n">
        <v>7733</v>
      </c>
      <c r="B7734">
        <f>TEXT(7733, "[$-0E0000]yyyy-mm-dd")</f>
        <v/>
      </c>
      <c r="C7734" t="inlineStr">
        <is>
          <t>1921-01-25</t>
        </is>
      </c>
    </row>
    <row r="7735">
      <c r="A7735" s="1" t="n">
        <v>7734</v>
      </c>
      <c r="B7735">
        <f>TEXT(7734, "[$-0E0000]yyyy-mm-dd")</f>
        <v/>
      </c>
      <c r="C7735" t="inlineStr">
        <is>
          <t>1921-01-26</t>
        </is>
      </c>
    </row>
    <row r="7736">
      <c r="A7736" s="1" t="n">
        <v>7735</v>
      </c>
      <c r="B7736">
        <f>TEXT(7735, "[$-0E0000]yyyy-mm-dd")</f>
        <v/>
      </c>
      <c r="C7736" t="inlineStr">
        <is>
          <t>1921-01-27</t>
        </is>
      </c>
    </row>
    <row r="7737">
      <c r="A7737" s="1" t="n">
        <v>7736</v>
      </c>
      <c r="B7737">
        <f>TEXT(7736, "[$-0E0000]yyyy-mm-dd")</f>
        <v/>
      </c>
      <c r="C7737" t="inlineStr">
        <is>
          <t>1921-01-28</t>
        </is>
      </c>
    </row>
    <row r="7738">
      <c r="A7738" s="1" t="n">
        <v>7737</v>
      </c>
      <c r="B7738">
        <f>TEXT(7737, "[$-0E0000]yyyy-mm-dd")</f>
        <v/>
      </c>
      <c r="C7738" t="inlineStr">
        <is>
          <t>1921-01-29</t>
        </is>
      </c>
    </row>
    <row r="7739">
      <c r="A7739" s="1" t="n">
        <v>7738</v>
      </c>
      <c r="B7739">
        <f>TEXT(7738, "[$-0E0000]yyyy-mm-dd")</f>
        <v/>
      </c>
      <c r="C7739" t="inlineStr">
        <is>
          <t>1921-01-30</t>
        </is>
      </c>
    </row>
    <row r="7740">
      <c r="A7740" s="1" t="n">
        <v>7739</v>
      </c>
      <c r="B7740">
        <f>TEXT(7739, "[$-0E0000]yyyy-mm-dd")</f>
        <v/>
      </c>
      <c r="C7740" t="inlineStr">
        <is>
          <t>1921-02-01</t>
        </is>
      </c>
    </row>
    <row r="7741">
      <c r="A7741" s="1" t="n">
        <v>7740</v>
      </c>
      <c r="B7741">
        <f>TEXT(7740, "[$-0E0000]yyyy-mm-dd")</f>
        <v/>
      </c>
      <c r="C7741" t="inlineStr">
        <is>
          <t>1921-02-02</t>
        </is>
      </c>
    </row>
    <row r="7742">
      <c r="A7742" s="1" t="n">
        <v>7741</v>
      </c>
      <c r="B7742">
        <f>TEXT(7741, "[$-0E0000]yyyy-mm-dd")</f>
        <v/>
      </c>
      <c r="C7742" t="inlineStr">
        <is>
          <t>1921-02-03</t>
        </is>
      </c>
    </row>
    <row r="7743">
      <c r="A7743" s="1" t="n">
        <v>7742</v>
      </c>
      <c r="B7743">
        <f>TEXT(7742, "[$-0E0000]yyyy-mm-dd")</f>
        <v/>
      </c>
      <c r="C7743" t="inlineStr">
        <is>
          <t>1921-02-04</t>
        </is>
      </c>
    </row>
    <row r="7744">
      <c r="A7744" s="1" t="n">
        <v>7743</v>
      </c>
      <c r="B7744">
        <f>TEXT(7743, "[$-0E0000]yyyy-mm-dd")</f>
        <v/>
      </c>
      <c r="C7744" t="inlineStr">
        <is>
          <t>1921-02-05</t>
        </is>
      </c>
    </row>
    <row r="7745">
      <c r="A7745" s="1" t="n">
        <v>7744</v>
      </c>
      <c r="B7745">
        <f>TEXT(7744, "[$-0E0000]yyyy-mm-dd")</f>
        <v/>
      </c>
      <c r="C7745" t="inlineStr">
        <is>
          <t>1921-02-06</t>
        </is>
      </c>
    </row>
    <row r="7746">
      <c r="A7746" s="1" t="n">
        <v>7745</v>
      </c>
      <c r="B7746">
        <f>TEXT(7745, "[$-0E0000]yyyy-mm-dd")</f>
        <v/>
      </c>
      <c r="C7746" t="inlineStr">
        <is>
          <t>1921-02-07</t>
        </is>
      </c>
    </row>
    <row r="7747">
      <c r="A7747" s="1" t="n">
        <v>7746</v>
      </c>
      <c r="B7747">
        <f>TEXT(7746, "[$-0E0000]yyyy-mm-dd")</f>
        <v/>
      </c>
      <c r="C7747" t="inlineStr">
        <is>
          <t>1921-02-08</t>
        </is>
      </c>
    </row>
    <row r="7748">
      <c r="A7748" s="1" t="n">
        <v>7747</v>
      </c>
      <c r="B7748">
        <f>TEXT(7747, "[$-0E0000]yyyy-mm-dd")</f>
        <v/>
      </c>
      <c r="C7748" t="inlineStr">
        <is>
          <t>1921-02-09</t>
        </is>
      </c>
    </row>
    <row r="7749">
      <c r="A7749" s="1" t="n">
        <v>7748</v>
      </c>
      <c r="B7749">
        <f>TEXT(7748, "[$-0E0000]yyyy-mm-dd")</f>
        <v/>
      </c>
      <c r="C7749" t="inlineStr">
        <is>
          <t>1921-02-10</t>
        </is>
      </c>
    </row>
    <row r="7750">
      <c r="A7750" s="1" t="n">
        <v>7749</v>
      </c>
      <c r="B7750">
        <f>TEXT(7749, "[$-0E0000]yyyy-mm-dd")</f>
        <v/>
      </c>
      <c r="C7750" t="inlineStr">
        <is>
          <t>1921-02-11</t>
        </is>
      </c>
    </row>
    <row r="7751">
      <c r="A7751" s="1" t="n">
        <v>7750</v>
      </c>
      <c r="B7751">
        <f>TEXT(7750, "[$-0E0000]yyyy-mm-dd")</f>
        <v/>
      </c>
      <c r="C7751" t="inlineStr">
        <is>
          <t>1921-02-12</t>
        </is>
      </c>
    </row>
    <row r="7752">
      <c r="A7752" s="1" t="n">
        <v>7751</v>
      </c>
      <c r="B7752">
        <f>TEXT(7751, "[$-0E0000]yyyy-mm-dd")</f>
        <v/>
      </c>
      <c r="C7752" t="inlineStr">
        <is>
          <t>1921-02-13</t>
        </is>
      </c>
    </row>
    <row r="7753">
      <c r="A7753" s="1" t="n">
        <v>7752</v>
      </c>
      <c r="B7753">
        <f>TEXT(7752, "[$-0E0000]yyyy-mm-dd")</f>
        <v/>
      </c>
      <c r="C7753" t="inlineStr">
        <is>
          <t>1921-02-14</t>
        </is>
      </c>
    </row>
    <row r="7754">
      <c r="A7754" s="1" t="n">
        <v>7753</v>
      </c>
      <c r="B7754">
        <f>TEXT(7753, "[$-0E0000]yyyy-mm-dd")</f>
        <v/>
      </c>
      <c r="C7754" t="inlineStr">
        <is>
          <t>1921-02-15</t>
        </is>
      </c>
    </row>
    <row r="7755">
      <c r="A7755" s="1" t="n">
        <v>7754</v>
      </c>
      <c r="B7755">
        <f>TEXT(7754, "[$-0E0000]yyyy-mm-dd")</f>
        <v/>
      </c>
      <c r="C7755" t="inlineStr">
        <is>
          <t>1921-02-16</t>
        </is>
      </c>
    </row>
    <row r="7756">
      <c r="A7756" s="1" t="n">
        <v>7755</v>
      </c>
      <c r="B7756">
        <f>TEXT(7755, "[$-0E0000]yyyy-mm-dd")</f>
        <v/>
      </c>
      <c r="C7756" t="inlineStr">
        <is>
          <t>1921-02-17</t>
        </is>
      </c>
    </row>
    <row r="7757">
      <c r="A7757" s="1" t="n">
        <v>7756</v>
      </c>
      <c r="B7757">
        <f>TEXT(7756, "[$-0E0000]yyyy-mm-dd")</f>
        <v/>
      </c>
      <c r="C7757" t="inlineStr">
        <is>
          <t>1921-02-18</t>
        </is>
      </c>
    </row>
    <row r="7758">
      <c r="A7758" s="1" t="n">
        <v>7757</v>
      </c>
      <c r="B7758">
        <f>TEXT(7757, "[$-0E0000]yyyy-mm-dd")</f>
        <v/>
      </c>
      <c r="C7758" t="inlineStr">
        <is>
          <t>1921-02-19</t>
        </is>
      </c>
    </row>
    <row r="7759">
      <c r="A7759" s="1" t="n">
        <v>7758</v>
      </c>
      <c r="B7759">
        <f>TEXT(7758, "[$-0E0000]yyyy-mm-dd")</f>
        <v/>
      </c>
      <c r="C7759" t="inlineStr">
        <is>
          <t>1921-02-20</t>
        </is>
      </c>
    </row>
    <row r="7760">
      <c r="A7760" s="1" t="n">
        <v>7759</v>
      </c>
      <c r="B7760">
        <f>TEXT(7759, "[$-0E0000]yyyy-mm-dd")</f>
        <v/>
      </c>
      <c r="C7760" t="inlineStr">
        <is>
          <t>1921-02-21</t>
        </is>
      </c>
    </row>
    <row r="7761">
      <c r="A7761" s="1" t="n">
        <v>7760</v>
      </c>
      <c r="B7761">
        <f>TEXT(7760, "[$-0E0000]yyyy-mm-dd")</f>
        <v/>
      </c>
      <c r="C7761" t="inlineStr">
        <is>
          <t>1921-02-22</t>
        </is>
      </c>
    </row>
    <row r="7762">
      <c r="A7762" s="1" t="n">
        <v>7761</v>
      </c>
      <c r="B7762">
        <f>TEXT(7761, "[$-0E0000]yyyy-mm-dd")</f>
        <v/>
      </c>
      <c r="C7762" t="inlineStr">
        <is>
          <t>1921-02-23</t>
        </is>
      </c>
    </row>
    <row r="7763">
      <c r="A7763" s="1" t="n">
        <v>7762</v>
      </c>
      <c r="B7763">
        <f>TEXT(7762, "[$-0E0000]yyyy-mm-dd")</f>
        <v/>
      </c>
      <c r="C7763" t="inlineStr">
        <is>
          <t>1921-02-24</t>
        </is>
      </c>
    </row>
    <row r="7764">
      <c r="A7764" s="1" t="n">
        <v>7763</v>
      </c>
      <c r="B7764">
        <f>TEXT(7763, "[$-0E0000]yyyy-mm-dd")</f>
        <v/>
      </c>
      <c r="C7764" t="inlineStr">
        <is>
          <t>1921-02-25</t>
        </is>
      </c>
    </row>
    <row r="7765">
      <c r="A7765" s="1" t="n">
        <v>7764</v>
      </c>
      <c r="B7765">
        <f>TEXT(7764, "[$-0E0000]yyyy-mm-dd")</f>
        <v/>
      </c>
      <c r="C7765" t="inlineStr">
        <is>
          <t>1921-02-26</t>
        </is>
      </c>
    </row>
    <row r="7766">
      <c r="A7766" s="1" t="n">
        <v>7765</v>
      </c>
      <c r="B7766">
        <f>TEXT(7765, "[$-0E0000]yyyy-mm-dd")</f>
        <v/>
      </c>
      <c r="C7766" t="inlineStr">
        <is>
          <t>1921-02-27</t>
        </is>
      </c>
    </row>
    <row r="7767">
      <c r="A7767" s="1" t="n">
        <v>7766</v>
      </c>
      <c r="B7767">
        <f>TEXT(7766, "[$-0E0000]yyyy-mm-dd")</f>
        <v/>
      </c>
      <c r="C7767" t="inlineStr">
        <is>
          <t>1921-02-28</t>
        </is>
      </c>
    </row>
    <row r="7768">
      <c r="A7768" s="1" t="n">
        <v>7767</v>
      </c>
      <c r="B7768">
        <f>TEXT(7767, "[$-0E0000]yyyy-mm-dd")</f>
        <v/>
      </c>
      <c r="C7768" t="inlineStr">
        <is>
          <t>1921-02-29</t>
        </is>
      </c>
    </row>
    <row r="7769">
      <c r="A7769" s="1" t="n">
        <v>7768</v>
      </c>
      <c r="B7769">
        <f>TEXT(7768, "[$-0E0000]yyyy-mm-dd")</f>
        <v/>
      </c>
      <c r="C7769" t="inlineStr">
        <is>
          <t>1921-03-01</t>
        </is>
      </c>
    </row>
    <row r="7770">
      <c r="A7770" s="1" t="n">
        <v>7769</v>
      </c>
      <c r="B7770">
        <f>TEXT(7769, "[$-0E0000]yyyy-mm-dd")</f>
        <v/>
      </c>
      <c r="C7770" t="inlineStr">
        <is>
          <t>1921-03-02</t>
        </is>
      </c>
    </row>
    <row r="7771">
      <c r="A7771" s="1" t="n">
        <v>7770</v>
      </c>
      <c r="B7771">
        <f>TEXT(7770, "[$-0E0000]yyyy-mm-dd")</f>
        <v/>
      </c>
      <c r="C7771" t="inlineStr">
        <is>
          <t>1921-03-03</t>
        </is>
      </c>
    </row>
    <row r="7772">
      <c r="A7772" s="1" t="n">
        <v>7771</v>
      </c>
      <c r="B7772">
        <f>TEXT(7771, "[$-0E0000]yyyy-mm-dd")</f>
        <v/>
      </c>
      <c r="C7772" t="inlineStr">
        <is>
          <t>1921-03-04</t>
        </is>
      </c>
    </row>
    <row r="7773">
      <c r="A7773" s="1" t="n">
        <v>7772</v>
      </c>
      <c r="B7773">
        <f>TEXT(7772, "[$-0E0000]yyyy-mm-dd")</f>
        <v/>
      </c>
      <c r="C7773" t="inlineStr">
        <is>
          <t>1921-03-05</t>
        </is>
      </c>
    </row>
    <row r="7774">
      <c r="A7774" s="1" t="n">
        <v>7773</v>
      </c>
      <c r="B7774">
        <f>TEXT(7773, "[$-0E0000]yyyy-mm-dd")</f>
        <v/>
      </c>
      <c r="C7774" t="inlineStr">
        <is>
          <t>1921-03-06</t>
        </is>
      </c>
    </row>
    <row r="7775">
      <c r="A7775" s="1" t="n">
        <v>7774</v>
      </c>
      <c r="B7775">
        <f>TEXT(7774, "[$-0E0000]yyyy-mm-dd")</f>
        <v/>
      </c>
      <c r="C7775" t="inlineStr">
        <is>
          <t>1921-03-07</t>
        </is>
      </c>
    </row>
    <row r="7776">
      <c r="A7776" s="1" t="n">
        <v>7775</v>
      </c>
      <c r="B7776">
        <f>TEXT(7775, "[$-0E0000]yyyy-mm-dd")</f>
        <v/>
      </c>
      <c r="C7776" t="inlineStr">
        <is>
          <t>1921-03-08</t>
        </is>
      </c>
    </row>
    <row r="7777">
      <c r="A7777" s="1" t="n">
        <v>7776</v>
      </c>
      <c r="B7777">
        <f>TEXT(7776, "[$-0E0000]yyyy-mm-dd")</f>
        <v/>
      </c>
      <c r="C7777" t="inlineStr">
        <is>
          <t>1921-03-09</t>
        </is>
      </c>
    </row>
    <row r="7778">
      <c r="A7778" s="1" t="n">
        <v>7777</v>
      </c>
      <c r="B7778">
        <f>TEXT(7777, "[$-0E0000]yyyy-mm-dd")</f>
        <v/>
      </c>
      <c r="C7778" t="inlineStr">
        <is>
          <t>1921-03-10</t>
        </is>
      </c>
    </row>
    <row r="7779">
      <c r="A7779" s="1" t="n">
        <v>7778</v>
      </c>
      <c r="B7779">
        <f>TEXT(7778, "[$-0E0000]yyyy-mm-dd")</f>
        <v/>
      </c>
      <c r="C7779" t="inlineStr">
        <is>
          <t>1921-03-11</t>
        </is>
      </c>
    </row>
    <row r="7780">
      <c r="A7780" s="1" t="n">
        <v>7779</v>
      </c>
      <c r="B7780">
        <f>TEXT(7779, "[$-0E0000]yyyy-mm-dd")</f>
        <v/>
      </c>
      <c r="C7780" t="inlineStr">
        <is>
          <t>1921-03-12</t>
        </is>
      </c>
    </row>
    <row r="7781">
      <c r="A7781" s="1" t="n">
        <v>7780</v>
      </c>
      <c r="B7781">
        <f>TEXT(7780, "[$-0E0000]yyyy-mm-dd")</f>
        <v/>
      </c>
      <c r="C7781" t="inlineStr">
        <is>
          <t>1921-03-13</t>
        </is>
      </c>
    </row>
    <row r="7782">
      <c r="A7782" s="1" t="n">
        <v>7781</v>
      </c>
      <c r="B7782">
        <f>TEXT(7781, "[$-0E0000]yyyy-mm-dd")</f>
        <v/>
      </c>
      <c r="C7782" t="inlineStr">
        <is>
          <t>1921-03-14</t>
        </is>
      </c>
    </row>
    <row r="7783">
      <c r="A7783" s="1" t="n">
        <v>7782</v>
      </c>
      <c r="B7783">
        <f>TEXT(7782, "[$-0E0000]yyyy-mm-dd")</f>
        <v/>
      </c>
      <c r="C7783" t="inlineStr">
        <is>
          <t>1921-03-15</t>
        </is>
      </c>
    </row>
    <row r="7784">
      <c r="A7784" s="1" t="n">
        <v>7783</v>
      </c>
      <c r="B7784">
        <f>TEXT(7783, "[$-0E0000]yyyy-mm-dd")</f>
        <v/>
      </c>
      <c r="C7784" t="inlineStr">
        <is>
          <t>1921-03-16</t>
        </is>
      </c>
    </row>
    <row r="7785">
      <c r="A7785" s="1" t="n">
        <v>7784</v>
      </c>
      <c r="B7785">
        <f>TEXT(7784, "[$-0E0000]yyyy-mm-dd")</f>
        <v/>
      </c>
      <c r="C7785" t="inlineStr">
        <is>
          <t>1921-03-17</t>
        </is>
      </c>
    </row>
    <row r="7786">
      <c r="A7786" s="1" t="n">
        <v>7785</v>
      </c>
      <c r="B7786">
        <f>TEXT(7785, "[$-0E0000]yyyy-mm-dd")</f>
        <v/>
      </c>
      <c r="C7786" t="inlineStr">
        <is>
          <t>1921-03-18</t>
        </is>
      </c>
    </row>
    <row r="7787">
      <c r="A7787" s="1" t="n">
        <v>7786</v>
      </c>
      <c r="B7787">
        <f>TEXT(7786, "[$-0E0000]yyyy-mm-dd")</f>
        <v/>
      </c>
      <c r="C7787" t="inlineStr">
        <is>
          <t>1921-03-19</t>
        </is>
      </c>
    </row>
    <row r="7788">
      <c r="A7788" s="1" t="n">
        <v>7787</v>
      </c>
      <c r="B7788">
        <f>TEXT(7787, "[$-0E0000]yyyy-mm-dd")</f>
        <v/>
      </c>
      <c r="C7788" t="inlineStr">
        <is>
          <t>1921-03-20</t>
        </is>
      </c>
    </row>
    <row r="7789">
      <c r="A7789" s="1" t="n">
        <v>7788</v>
      </c>
      <c r="B7789">
        <f>TEXT(7788, "[$-0E0000]yyyy-mm-dd")</f>
        <v/>
      </c>
      <c r="C7789" t="inlineStr">
        <is>
          <t>1921-03-21</t>
        </is>
      </c>
    </row>
    <row r="7790">
      <c r="A7790" s="1" t="n">
        <v>7789</v>
      </c>
      <c r="B7790">
        <f>TEXT(7789, "[$-0E0000]yyyy-mm-dd")</f>
        <v/>
      </c>
      <c r="C7790" t="inlineStr">
        <is>
          <t>1921-03-22</t>
        </is>
      </c>
    </row>
    <row r="7791">
      <c r="A7791" s="1" t="n">
        <v>7790</v>
      </c>
      <c r="B7791">
        <f>TEXT(7790, "[$-0E0000]yyyy-mm-dd")</f>
        <v/>
      </c>
      <c r="C7791" t="inlineStr">
        <is>
          <t>1921-03-23</t>
        </is>
      </c>
    </row>
    <row r="7792">
      <c r="A7792" s="1" t="n">
        <v>7791</v>
      </c>
      <c r="B7792">
        <f>TEXT(7791, "[$-0E0000]yyyy-mm-dd")</f>
        <v/>
      </c>
      <c r="C7792" t="inlineStr">
        <is>
          <t>1921-03-24</t>
        </is>
      </c>
    </row>
    <row r="7793">
      <c r="A7793" s="1" t="n">
        <v>7792</v>
      </c>
      <c r="B7793">
        <f>TEXT(7792, "[$-0E0000]yyyy-mm-dd")</f>
        <v/>
      </c>
      <c r="C7793" t="inlineStr">
        <is>
          <t>1921-03-25</t>
        </is>
      </c>
    </row>
    <row r="7794">
      <c r="A7794" s="1" t="n">
        <v>7793</v>
      </c>
      <c r="B7794">
        <f>TEXT(7793, "[$-0E0000]yyyy-mm-dd")</f>
        <v/>
      </c>
      <c r="C7794" t="inlineStr">
        <is>
          <t>1921-03-26</t>
        </is>
      </c>
    </row>
    <row r="7795">
      <c r="A7795" s="1" t="n">
        <v>7794</v>
      </c>
      <c r="B7795">
        <f>TEXT(7794, "[$-0E0000]yyyy-mm-dd")</f>
        <v/>
      </c>
      <c r="C7795" t="inlineStr">
        <is>
          <t>1921-03-27</t>
        </is>
      </c>
    </row>
    <row r="7796">
      <c r="A7796" s="1" t="n">
        <v>7795</v>
      </c>
      <c r="B7796">
        <f>TEXT(7795, "[$-0E0000]yyyy-mm-dd")</f>
        <v/>
      </c>
      <c r="C7796" t="inlineStr">
        <is>
          <t>1921-03-28</t>
        </is>
      </c>
    </row>
    <row r="7797">
      <c r="A7797" s="1" t="n">
        <v>7796</v>
      </c>
      <c r="B7797">
        <f>TEXT(7796, "[$-0E0000]yyyy-mm-dd")</f>
        <v/>
      </c>
      <c r="C7797" t="inlineStr">
        <is>
          <t>1921-03-29</t>
        </is>
      </c>
    </row>
    <row r="7798">
      <c r="A7798" s="1" t="n">
        <v>7797</v>
      </c>
      <c r="B7798">
        <f>TEXT(7797, "[$-0E0000]yyyy-mm-dd")</f>
        <v/>
      </c>
      <c r="C7798" t="inlineStr">
        <is>
          <t>1921-03-30</t>
        </is>
      </c>
    </row>
    <row r="7799">
      <c r="A7799" s="1" t="n">
        <v>7798</v>
      </c>
      <c r="B7799">
        <f>TEXT(7798, "[$-0E0000]yyyy-mm-dd")</f>
        <v/>
      </c>
      <c r="C7799" t="inlineStr">
        <is>
          <t>1921-04-01</t>
        </is>
      </c>
    </row>
    <row r="7800">
      <c r="A7800" s="1" t="n">
        <v>7799</v>
      </c>
      <c r="B7800">
        <f>TEXT(7799, "[$-0E0000]yyyy-mm-dd")</f>
        <v/>
      </c>
      <c r="C7800" t="inlineStr">
        <is>
          <t>1921-04-02</t>
        </is>
      </c>
    </row>
    <row r="7801">
      <c r="A7801" s="1" t="n">
        <v>7800</v>
      </c>
      <c r="B7801">
        <f>TEXT(7800, "[$-0E0000]yyyy-mm-dd")</f>
        <v/>
      </c>
      <c r="C7801" t="inlineStr">
        <is>
          <t>1921-04-03</t>
        </is>
      </c>
    </row>
    <row r="7802">
      <c r="A7802" s="1" t="n">
        <v>7801</v>
      </c>
      <c r="B7802">
        <f>TEXT(7801, "[$-0E0000]yyyy-mm-dd")</f>
        <v/>
      </c>
      <c r="C7802" t="inlineStr">
        <is>
          <t>1921-04-04</t>
        </is>
      </c>
    </row>
    <row r="7803">
      <c r="A7803" s="1" t="n">
        <v>7802</v>
      </c>
      <c r="B7803">
        <f>TEXT(7802, "[$-0E0000]yyyy-mm-dd")</f>
        <v/>
      </c>
      <c r="C7803" t="inlineStr">
        <is>
          <t>1921-04-05</t>
        </is>
      </c>
    </row>
    <row r="7804">
      <c r="A7804" s="1" t="n">
        <v>7803</v>
      </c>
      <c r="B7804">
        <f>TEXT(7803, "[$-0E0000]yyyy-mm-dd")</f>
        <v/>
      </c>
      <c r="C7804" t="inlineStr">
        <is>
          <t>1921-04-06</t>
        </is>
      </c>
    </row>
    <row r="7805">
      <c r="A7805" s="1" t="n">
        <v>7804</v>
      </c>
      <c r="B7805">
        <f>TEXT(7804, "[$-0E0000]yyyy-mm-dd")</f>
        <v/>
      </c>
      <c r="C7805" t="inlineStr">
        <is>
          <t>1921-04-07</t>
        </is>
      </c>
    </row>
    <row r="7806">
      <c r="A7806" s="1" t="n">
        <v>7805</v>
      </c>
      <c r="B7806">
        <f>TEXT(7805, "[$-0E0000]yyyy-mm-dd")</f>
        <v/>
      </c>
      <c r="C7806" t="inlineStr">
        <is>
          <t>1921-04-08</t>
        </is>
      </c>
    </row>
    <row r="7807">
      <c r="A7807" s="1" t="n">
        <v>7806</v>
      </c>
      <c r="B7807">
        <f>TEXT(7806, "[$-0E0000]yyyy-mm-dd")</f>
        <v/>
      </c>
      <c r="C7807" t="inlineStr">
        <is>
          <t>1921-04-09</t>
        </is>
      </c>
    </row>
    <row r="7808">
      <c r="A7808" s="1" t="n">
        <v>7807</v>
      </c>
      <c r="B7808">
        <f>TEXT(7807, "[$-0E0000]yyyy-mm-dd")</f>
        <v/>
      </c>
      <c r="C7808" t="inlineStr">
        <is>
          <t>1921-04-10</t>
        </is>
      </c>
    </row>
    <row r="7809">
      <c r="A7809" s="1" t="n">
        <v>7808</v>
      </c>
      <c r="B7809">
        <f>TEXT(7808, "[$-0E0000]yyyy-mm-dd")</f>
        <v/>
      </c>
      <c r="C7809" t="inlineStr">
        <is>
          <t>1921-04-11</t>
        </is>
      </c>
    </row>
    <row r="7810">
      <c r="A7810" s="1" t="n">
        <v>7809</v>
      </c>
      <c r="B7810">
        <f>TEXT(7809, "[$-0E0000]yyyy-mm-dd")</f>
        <v/>
      </c>
      <c r="C7810" t="inlineStr">
        <is>
          <t>1921-04-12</t>
        </is>
      </c>
    </row>
    <row r="7811">
      <c r="A7811" s="1" t="n">
        <v>7810</v>
      </c>
      <c r="B7811">
        <f>TEXT(7810, "[$-0E0000]yyyy-mm-dd")</f>
        <v/>
      </c>
      <c r="C7811" t="inlineStr">
        <is>
          <t>1921-04-13</t>
        </is>
      </c>
    </row>
    <row r="7812">
      <c r="A7812" s="1" t="n">
        <v>7811</v>
      </c>
      <c r="B7812">
        <f>TEXT(7811, "[$-0E0000]yyyy-mm-dd")</f>
        <v/>
      </c>
      <c r="C7812" t="inlineStr">
        <is>
          <t>1921-04-14</t>
        </is>
      </c>
    </row>
    <row r="7813">
      <c r="A7813" s="1" t="n">
        <v>7812</v>
      </c>
      <c r="B7813">
        <f>TEXT(7812, "[$-0E0000]yyyy-mm-dd")</f>
        <v/>
      </c>
      <c r="C7813" t="inlineStr">
        <is>
          <t>1921-04-15</t>
        </is>
      </c>
    </row>
    <row r="7814">
      <c r="A7814" s="1" t="n">
        <v>7813</v>
      </c>
      <c r="B7814">
        <f>TEXT(7813, "[$-0E0000]yyyy-mm-dd")</f>
        <v/>
      </c>
      <c r="C7814" t="inlineStr">
        <is>
          <t>1921-04-16</t>
        </is>
      </c>
    </row>
    <row r="7815">
      <c r="A7815" s="1" t="n">
        <v>7814</v>
      </c>
      <c r="B7815">
        <f>TEXT(7814, "[$-0E0000]yyyy-mm-dd")</f>
        <v/>
      </c>
      <c r="C7815" t="inlineStr">
        <is>
          <t>1921-04-17</t>
        </is>
      </c>
    </row>
    <row r="7816">
      <c r="A7816" s="1" t="n">
        <v>7815</v>
      </c>
      <c r="B7816">
        <f>TEXT(7815, "[$-0E0000]yyyy-mm-dd")</f>
        <v/>
      </c>
      <c r="C7816" t="inlineStr">
        <is>
          <t>1921-04-18</t>
        </is>
      </c>
    </row>
    <row r="7817">
      <c r="A7817" s="1" t="n">
        <v>7816</v>
      </c>
      <c r="B7817">
        <f>TEXT(7816, "[$-0E0000]yyyy-mm-dd")</f>
        <v/>
      </c>
      <c r="C7817" t="inlineStr">
        <is>
          <t>1921-04-19</t>
        </is>
      </c>
    </row>
    <row r="7818">
      <c r="A7818" s="1" t="n">
        <v>7817</v>
      </c>
      <c r="B7818">
        <f>TEXT(7817, "[$-0E0000]yyyy-mm-dd")</f>
        <v/>
      </c>
      <c r="C7818" t="inlineStr">
        <is>
          <t>1921-04-20</t>
        </is>
      </c>
    </row>
    <row r="7819">
      <c r="A7819" s="1" t="n">
        <v>7818</v>
      </c>
      <c r="B7819">
        <f>TEXT(7818, "[$-0E0000]yyyy-mm-dd")</f>
        <v/>
      </c>
      <c r="C7819" t="inlineStr">
        <is>
          <t>1921-04-21</t>
        </is>
      </c>
    </row>
    <row r="7820">
      <c r="A7820" s="1" t="n">
        <v>7819</v>
      </c>
      <c r="B7820">
        <f>TEXT(7819, "[$-0E0000]yyyy-mm-dd")</f>
        <v/>
      </c>
      <c r="C7820" t="inlineStr">
        <is>
          <t>1921-04-22</t>
        </is>
      </c>
    </row>
    <row r="7821">
      <c r="A7821" s="1" t="n">
        <v>7820</v>
      </c>
      <c r="B7821">
        <f>TEXT(7820, "[$-0E0000]yyyy-mm-dd")</f>
        <v/>
      </c>
      <c r="C7821" t="inlineStr">
        <is>
          <t>1921-04-23</t>
        </is>
      </c>
    </row>
    <row r="7822">
      <c r="A7822" s="1" t="n">
        <v>7821</v>
      </c>
      <c r="B7822">
        <f>TEXT(7821, "[$-0E0000]yyyy-mm-dd")</f>
        <v/>
      </c>
      <c r="C7822" t="inlineStr">
        <is>
          <t>1921-04-24</t>
        </is>
      </c>
    </row>
    <row r="7823">
      <c r="A7823" s="1" t="n">
        <v>7822</v>
      </c>
      <c r="B7823">
        <f>TEXT(7822, "[$-0E0000]yyyy-mm-dd")</f>
        <v/>
      </c>
      <c r="C7823" t="inlineStr">
        <is>
          <t>1921-04-25</t>
        </is>
      </c>
    </row>
    <row r="7824">
      <c r="A7824" s="1" t="n">
        <v>7823</v>
      </c>
      <c r="B7824">
        <f>TEXT(7823, "[$-0E0000]yyyy-mm-dd")</f>
        <v/>
      </c>
      <c r="C7824" t="inlineStr">
        <is>
          <t>1921-04-26</t>
        </is>
      </c>
    </row>
    <row r="7825">
      <c r="A7825" s="1" t="n">
        <v>7824</v>
      </c>
      <c r="B7825">
        <f>TEXT(7824, "[$-0E0000]yyyy-mm-dd")</f>
        <v/>
      </c>
      <c r="C7825" t="inlineStr">
        <is>
          <t>1921-04-27</t>
        </is>
      </c>
    </row>
    <row r="7826">
      <c r="A7826" s="1" t="n">
        <v>7825</v>
      </c>
      <c r="B7826">
        <f>TEXT(7825, "[$-0E0000]yyyy-mm-dd")</f>
        <v/>
      </c>
      <c r="C7826" t="inlineStr">
        <is>
          <t>1921-04-28</t>
        </is>
      </c>
    </row>
    <row r="7827">
      <c r="A7827" s="1" t="n">
        <v>7826</v>
      </c>
      <c r="B7827">
        <f>TEXT(7826, "[$-0E0000]yyyy-mm-dd")</f>
        <v/>
      </c>
      <c r="C7827" t="inlineStr">
        <is>
          <t>1921-04-29</t>
        </is>
      </c>
    </row>
    <row r="7828">
      <c r="A7828" s="1" t="n">
        <v>7827</v>
      </c>
      <c r="B7828">
        <f>TEXT(7827, "[$-0E0000]yyyy-mm-dd")</f>
        <v/>
      </c>
      <c r="C7828" t="inlineStr">
        <is>
          <t>1921-05-01</t>
        </is>
      </c>
    </row>
    <row r="7829">
      <c r="A7829" s="1" t="n">
        <v>7828</v>
      </c>
      <c r="B7829">
        <f>TEXT(7828, "[$-0E0000]yyyy-mm-dd")</f>
        <v/>
      </c>
      <c r="C7829" t="inlineStr">
        <is>
          <t>1921-05-02</t>
        </is>
      </c>
    </row>
    <row r="7830">
      <c r="A7830" s="1" t="n">
        <v>7829</v>
      </c>
      <c r="B7830">
        <f>TEXT(7829, "[$-0E0000]yyyy-mm-dd")</f>
        <v/>
      </c>
      <c r="C7830" t="inlineStr">
        <is>
          <t>1921-05-03</t>
        </is>
      </c>
    </row>
    <row r="7831">
      <c r="A7831" s="1" t="n">
        <v>7830</v>
      </c>
      <c r="B7831">
        <f>TEXT(7830, "[$-0E0000]yyyy-mm-dd")</f>
        <v/>
      </c>
      <c r="C7831" t="inlineStr">
        <is>
          <t>1921-05-04</t>
        </is>
      </c>
    </row>
    <row r="7832">
      <c r="A7832" s="1" t="n">
        <v>7831</v>
      </c>
      <c r="B7832">
        <f>TEXT(7831, "[$-0E0000]yyyy-mm-dd")</f>
        <v/>
      </c>
      <c r="C7832" t="inlineStr">
        <is>
          <t>1921-05-05</t>
        </is>
      </c>
    </row>
    <row r="7833">
      <c r="A7833" s="1" t="n">
        <v>7832</v>
      </c>
      <c r="B7833">
        <f>TEXT(7832, "[$-0E0000]yyyy-mm-dd")</f>
        <v/>
      </c>
      <c r="C7833" t="inlineStr">
        <is>
          <t>1921-05-06</t>
        </is>
      </c>
    </row>
    <row r="7834">
      <c r="A7834" s="1" t="n">
        <v>7833</v>
      </c>
      <c r="B7834">
        <f>TEXT(7833, "[$-0E0000]yyyy-mm-dd")</f>
        <v/>
      </c>
      <c r="C7834" t="inlineStr">
        <is>
          <t>1921-05-07</t>
        </is>
      </c>
    </row>
    <row r="7835">
      <c r="A7835" s="1" t="n">
        <v>7834</v>
      </c>
      <c r="B7835">
        <f>TEXT(7834, "[$-0E0000]yyyy-mm-dd")</f>
        <v/>
      </c>
      <c r="C7835" t="inlineStr">
        <is>
          <t>1921-05-08</t>
        </is>
      </c>
    </row>
    <row r="7836">
      <c r="A7836" s="1" t="n">
        <v>7835</v>
      </c>
      <c r="B7836">
        <f>TEXT(7835, "[$-0E0000]yyyy-mm-dd")</f>
        <v/>
      </c>
      <c r="C7836" t="inlineStr">
        <is>
          <t>1921-05-09</t>
        </is>
      </c>
    </row>
    <row r="7837">
      <c r="A7837" s="1" t="n">
        <v>7836</v>
      </c>
      <c r="B7837">
        <f>TEXT(7836, "[$-0E0000]yyyy-mm-dd")</f>
        <v/>
      </c>
      <c r="C7837" t="inlineStr">
        <is>
          <t>1921-05-10</t>
        </is>
      </c>
    </row>
    <row r="7838">
      <c r="A7838" s="1" t="n">
        <v>7837</v>
      </c>
      <c r="B7838">
        <f>TEXT(7837, "[$-0E0000]yyyy-mm-dd")</f>
        <v/>
      </c>
      <c r="C7838" t="inlineStr">
        <is>
          <t>1921-05-11</t>
        </is>
      </c>
    </row>
    <row r="7839">
      <c r="A7839" s="1" t="n">
        <v>7838</v>
      </c>
      <c r="B7839">
        <f>TEXT(7838, "[$-0E0000]yyyy-mm-dd")</f>
        <v/>
      </c>
      <c r="C7839" t="inlineStr">
        <is>
          <t>1921-05-12</t>
        </is>
      </c>
    </row>
    <row r="7840">
      <c r="A7840" s="1" t="n">
        <v>7839</v>
      </c>
      <c r="B7840">
        <f>TEXT(7839, "[$-0E0000]yyyy-mm-dd")</f>
        <v/>
      </c>
      <c r="C7840" t="inlineStr">
        <is>
          <t>1921-05-13</t>
        </is>
      </c>
    </row>
    <row r="7841">
      <c r="A7841" s="1" t="n">
        <v>7840</v>
      </c>
      <c r="B7841">
        <f>TEXT(7840, "[$-0E0000]yyyy-mm-dd")</f>
        <v/>
      </c>
      <c r="C7841" t="inlineStr">
        <is>
          <t>1921-05-14</t>
        </is>
      </c>
    </row>
    <row r="7842">
      <c r="A7842" s="1" t="n">
        <v>7841</v>
      </c>
      <c r="B7842">
        <f>TEXT(7841, "[$-0E0000]yyyy-mm-dd")</f>
        <v/>
      </c>
      <c r="C7842" t="inlineStr">
        <is>
          <t>1921-05-15</t>
        </is>
      </c>
    </row>
    <row r="7843">
      <c r="A7843" s="1" t="n">
        <v>7842</v>
      </c>
      <c r="B7843">
        <f>TEXT(7842, "[$-0E0000]yyyy-mm-dd")</f>
        <v/>
      </c>
      <c r="C7843" t="inlineStr">
        <is>
          <t>1921-05-16</t>
        </is>
      </c>
    </row>
    <row r="7844">
      <c r="A7844" s="1" t="n">
        <v>7843</v>
      </c>
      <c r="B7844">
        <f>TEXT(7843, "[$-0E0000]yyyy-mm-dd")</f>
        <v/>
      </c>
      <c r="C7844" t="inlineStr">
        <is>
          <t>1921-05-17</t>
        </is>
      </c>
    </row>
    <row r="7845">
      <c r="A7845" s="1" t="n">
        <v>7844</v>
      </c>
      <c r="B7845">
        <f>TEXT(7844, "[$-0E0000]yyyy-mm-dd")</f>
        <v/>
      </c>
      <c r="C7845" t="inlineStr">
        <is>
          <t>1921-05-18</t>
        </is>
      </c>
    </row>
    <row r="7846">
      <c r="A7846" s="1" t="n">
        <v>7845</v>
      </c>
      <c r="B7846">
        <f>TEXT(7845, "[$-0E0000]yyyy-mm-dd")</f>
        <v/>
      </c>
      <c r="C7846" t="inlineStr">
        <is>
          <t>1921-05-19</t>
        </is>
      </c>
    </row>
    <row r="7847">
      <c r="A7847" s="1" t="n">
        <v>7846</v>
      </c>
      <c r="B7847">
        <f>TEXT(7846, "[$-0E0000]yyyy-mm-dd")</f>
        <v/>
      </c>
      <c r="C7847" t="inlineStr">
        <is>
          <t>1921-05-20</t>
        </is>
      </c>
    </row>
    <row r="7848">
      <c r="A7848" s="1" t="n">
        <v>7847</v>
      </c>
      <c r="B7848">
        <f>TEXT(7847, "[$-0E0000]yyyy-mm-dd")</f>
        <v/>
      </c>
      <c r="C7848" t="inlineStr">
        <is>
          <t>1921-05-21</t>
        </is>
      </c>
    </row>
    <row r="7849">
      <c r="A7849" s="1" t="n">
        <v>7848</v>
      </c>
      <c r="B7849">
        <f>TEXT(7848, "[$-0E0000]yyyy-mm-dd")</f>
        <v/>
      </c>
      <c r="C7849" t="inlineStr">
        <is>
          <t>1921-05-22</t>
        </is>
      </c>
    </row>
    <row r="7850">
      <c r="A7850" s="1" t="n">
        <v>7849</v>
      </c>
      <c r="B7850">
        <f>TEXT(7849, "[$-0E0000]yyyy-mm-dd")</f>
        <v/>
      </c>
      <c r="C7850" t="inlineStr">
        <is>
          <t>1921-05-23</t>
        </is>
      </c>
    </row>
    <row r="7851">
      <c r="A7851" s="1" t="n">
        <v>7850</v>
      </c>
      <c r="B7851">
        <f>TEXT(7850, "[$-0E0000]yyyy-mm-dd")</f>
        <v/>
      </c>
      <c r="C7851" t="inlineStr">
        <is>
          <t>1921-05-24</t>
        </is>
      </c>
    </row>
    <row r="7852">
      <c r="A7852" s="1" t="n">
        <v>7851</v>
      </c>
      <c r="B7852">
        <f>TEXT(7851, "[$-0E0000]yyyy-mm-dd")</f>
        <v/>
      </c>
      <c r="C7852" t="inlineStr">
        <is>
          <t>1921-05-25</t>
        </is>
      </c>
    </row>
    <row r="7853">
      <c r="A7853" s="1" t="n">
        <v>7852</v>
      </c>
      <c r="B7853">
        <f>TEXT(7852, "[$-0E0000]yyyy-mm-dd")</f>
        <v/>
      </c>
      <c r="C7853" t="inlineStr">
        <is>
          <t>1921-05-26</t>
        </is>
      </c>
    </row>
    <row r="7854">
      <c r="A7854" s="1" t="n">
        <v>7853</v>
      </c>
      <c r="B7854">
        <f>TEXT(7853, "[$-0E0000]yyyy-mm-dd")</f>
        <v/>
      </c>
      <c r="C7854" t="inlineStr">
        <is>
          <t>1921-05-27</t>
        </is>
      </c>
    </row>
    <row r="7855">
      <c r="A7855" s="1" t="n">
        <v>7854</v>
      </c>
      <c r="B7855">
        <f>TEXT(7854, "[$-0E0000]yyyy-mm-dd")</f>
        <v/>
      </c>
      <c r="C7855" t="inlineStr">
        <is>
          <t>1921-05-28</t>
        </is>
      </c>
    </row>
    <row r="7856">
      <c r="A7856" s="1" t="n">
        <v>7855</v>
      </c>
      <c r="B7856">
        <f>TEXT(7855, "[$-0E0000]yyyy-mm-dd")</f>
        <v/>
      </c>
      <c r="C7856" t="inlineStr">
        <is>
          <t>1921-05-29</t>
        </is>
      </c>
    </row>
    <row r="7857">
      <c r="A7857" s="1" t="n">
        <v>7856</v>
      </c>
      <c r="B7857">
        <f>TEXT(7856, "[$-0E0000]yyyy-mm-dd")</f>
        <v/>
      </c>
      <c r="C7857" t="inlineStr">
        <is>
          <t>1921-06-01</t>
        </is>
      </c>
    </row>
    <row r="7858">
      <c r="A7858" s="1" t="n">
        <v>7857</v>
      </c>
      <c r="B7858">
        <f>TEXT(7857, "[$-0E0000]yyyy-mm-dd")</f>
        <v/>
      </c>
      <c r="C7858" t="inlineStr">
        <is>
          <t>1921-06-02</t>
        </is>
      </c>
    </row>
    <row r="7859">
      <c r="A7859" s="1" t="n">
        <v>7858</v>
      </c>
      <c r="B7859">
        <f>TEXT(7858, "[$-0E0000]yyyy-mm-dd")</f>
        <v/>
      </c>
      <c r="C7859" t="inlineStr">
        <is>
          <t>1921-06-03</t>
        </is>
      </c>
    </row>
    <row r="7860">
      <c r="A7860" s="1" t="n">
        <v>7859</v>
      </c>
      <c r="B7860">
        <f>TEXT(7859, "[$-0E0000]yyyy-mm-dd")</f>
        <v/>
      </c>
      <c r="C7860" t="inlineStr">
        <is>
          <t>1921-06-04</t>
        </is>
      </c>
    </row>
    <row r="7861">
      <c r="A7861" s="1" t="n">
        <v>7860</v>
      </c>
      <c r="B7861">
        <f>TEXT(7860, "[$-0E0000]yyyy-mm-dd")</f>
        <v/>
      </c>
      <c r="C7861" t="inlineStr">
        <is>
          <t>1921-06-05</t>
        </is>
      </c>
    </row>
    <row r="7862">
      <c r="A7862" s="1" t="n">
        <v>7861</v>
      </c>
      <c r="B7862">
        <f>TEXT(7861, "[$-0E0000]yyyy-mm-dd")</f>
        <v/>
      </c>
      <c r="C7862" t="inlineStr">
        <is>
          <t>1921-06-06</t>
        </is>
      </c>
    </row>
    <row r="7863">
      <c r="A7863" s="1" t="n">
        <v>7862</v>
      </c>
      <c r="B7863">
        <f>TEXT(7862, "[$-0E0000]yyyy-mm-dd")</f>
        <v/>
      </c>
      <c r="C7863" t="inlineStr">
        <is>
          <t>1921-06-07</t>
        </is>
      </c>
    </row>
    <row r="7864">
      <c r="A7864" s="1" t="n">
        <v>7863</v>
      </c>
      <c r="B7864">
        <f>TEXT(7863, "[$-0E0000]yyyy-mm-dd")</f>
        <v/>
      </c>
      <c r="C7864" t="inlineStr">
        <is>
          <t>1921-06-08</t>
        </is>
      </c>
    </row>
    <row r="7865">
      <c r="A7865" s="1" t="n">
        <v>7864</v>
      </c>
      <c r="B7865">
        <f>TEXT(7864, "[$-0E0000]yyyy-mm-dd")</f>
        <v/>
      </c>
      <c r="C7865" t="inlineStr">
        <is>
          <t>1921-06-09</t>
        </is>
      </c>
    </row>
    <row r="7866">
      <c r="A7866" s="1" t="n">
        <v>7865</v>
      </c>
      <c r="B7866">
        <f>TEXT(7865, "[$-0E0000]yyyy-mm-dd")</f>
        <v/>
      </c>
      <c r="C7866" t="inlineStr">
        <is>
          <t>1921-06-10</t>
        </is>
      </c>
    </row>
    <row r="7867">
      <c r="A7867" s="1" t="n">
        <v>7866</v>
      </c>
      <c r="B7867">
        <f>TEXT(7866, "[$-0E0000]yyyy-mm-dd")</f>
        <v/>
      </c>
      <c r="C7867" t="inlineStr">
        <is>
          <t>1921-06-11</t>
        </is>
      </c>
    </row>
    <row r="7868">
      <c r="A7868" s="1" t="n">
        <v>7867</v>
      </c>
      <c r="B7868">
        <f>TEXT(7867, "[$-0E0000]yyyy-mm-dd")</f>
        <v/>
      </c>
      <c r="C7868" t="inlineStr">
        <is>
          <t>1921-06-12</t>
        </is>
      </c>
    </row>
    <row r="7869">
      <c r="A7869" s="1" t="n">
        <v>7868</v>
      </c>
      <c r="B7869">
        <f>TEXT(7868, "[$-0E0000]yyyy-mm-dd")</f>
        <v/>
      </c>
      <c r="C7869" t="inlineStr">
        <is>
          <t>1921-06-13</t>
        </is>
      </c>
    </row>
    <row r="7870">
      <c r="A7870" s="1" t="n">
        <v>7869</v>
      </c>
      <c r="B7870">
        <f>TEXT(7869, "[$-0E0000]yyyy-mm-dd")</f>
        <v/>
      </c>
      <c r="C7870" t="inlineStr">
        <is>
          <t>1921-06-14</t>
        </is>
      </c>
    </row>
    <row r="7871">
      <c r="A7871" s="1" t="n">
        <v>7870</v>
      </c>
      <c r="B7871">
        <f>TEXT(7870, "[$-0E0000]yyyy-mm-dd")</f>
        <v/>
      </c>
      <c r="C7871" t="inlineStr">
        <is>
          <t>1921-06-15</t>
        </is>
      </c>
    </row>
    <row r="7872">
      <c r="A7872" s="1" t="n">
        <v>7871</v>
      </c>
      <c r="B7872">
        <f>TEXT(7871, "[$-0E0000]yyyy-mm-dd")</f>
        <v/>
      </c>
      <c r="C7872" t="inlineStr">
        <is>
          <t>1921-06-16</t>
        </is>
      </c>
    </row>
    <row r="7873">
      <c r="A7873" s="1" t="n">
        <v>7872</v>
      </c>
      <c r="B7873">
        <f>TEXT(7872, "[$-0E0000]yyyy-mm-dd")</f>
        <v/>
      </c>
      <c r="C7873" t="inlineStr">
        <is>
          <t>1921-06-17</t>
        </is>
      </c>
    </row>
    <row r="7874">
      <c r="A7874" s="1" t="n">
        <v>7873</v>
      </c>
      <c r="B7874">
        <f>TEXT(7873, "[$-0E0000]yyyy-mm-dd")</f>
        <v/>
      </c>
      <c r="C7874" t="inlineStr">
        <is>
          <t>1921-06-18</t>
        </is>
      </c>
    </row>
    <row r="7875">
      <c r="A7875" s="1" t="n">
        <v>7874</v>
      </c>
      <c r="B7875">
        <f>TEXT(7874, "[$-0E0000]yyyy-mm-dd")</f>
        <v/>
      </c>
      <c r="C7875" t="inlineStr">
        <is>
          <t>1921-06-19</t>
        </is>
      </c>
    </row>
    <row r="7876">
      <c r="A7876" s="1" t="n">
        <v>7875</v>
      </c>
      <c r="B7876">
        <f>TEXT(7875, "[$-0E0000]yyyy-mm-dd")</f>
        <v/>
      </c>
      <c r="C7876" t="inlineStr">
        <is>
          <t>1921-06-20</t>
        </is>
      </c>
    </row>
    <row r="7877">
      <c r="A7877" s="1" t="n">
        <v>7876</v>
      </c>
      <c r="B7877">
        <f>TEXT(7876, "[$-0E0000]yyyy-mm-dd")</f>
        <v/>
      </c>
      <c r="C7877" t="inlineStr">
        <is>
          <t>1921-06-21</t>
        </is>
      </c>
    </row>
    <row r="7878">
      <c r="A7878" s="1" t="n">
        <v>7877</v>
      </c>
      <c r="B7878">
        <f>TEXT(7877, "[$-0E0000]yyyy-mm-dd")</f>
        <v/>
      </c>
      <c r="C7878" t="inlineStr">
        <is>
          <t>1921-06-22</t>
        </is>
      </c>
    </row>
    <row r="7879">
      <c r="A7879" s="1" t="n">
        <v>7878</v>
      </c>
      <c r="B7879">
        <f>TEXT(7878, "[$-0E0000]yyyy-mm-dd")</f>
        <v/>
      </c>
      <c r="C7879" t="inlineStr">
        <is>
          <t>1921-06-23</t>
        </is>
      </c>
    </row>
    <row r="7880">
      <c r="A7880" s="1" t="n">
        <v>7879</v>
      </c>
      <c r="B7880">
        <f>TEXT(7879, "[$-0E0000]yyyy-mm-dd")</f>
        <v/>
      </c>
      <c r="C7880" t="inlineStr">
        <is>
          <t>1921-06-24</t>
        </is>
      </c>
    </row>
    <row r="7881">
      <c r="A7881" s="1" t="n">
        <v>7880</v>
      </c>
      <c r="B7881">
        <f>TEXT(7880, "[$-0E0000]yyyy-mm-dd")</f>
        <v/>
      </c>
      <c r="C7881" t="inlineStr">
        <is>
          <t>1921-06-25</t>
        </is>
      </c>
    </row>
    <row r="7882">
      <c r="A7882" s="1" t="n">
        <v>7881</v>
      </c>
      <c r="B7882">
        <f>TEXT(7881, "[$-0E0000]yyyy-mm-dd")</f>
        <v/>
      </c>
      <c r="C7882" t="inlineStr">
        <is>
          <t>1921-06-26</t>
        </is>
      </c>
    </row>
    <row r="7883">
      <c r="A7883" s="1" t="n">
        <v>7882</v>
      </c>
      <c r="B7883">
        <f>TEXT(7882, "[$-0E0000]yyyy-mm-dd")</f>
        <v/>
      </c>
      <c r="C7883" t="inlineStr">
        <is>
          <t>1921-06-27</t>
        </is>
      </c>
    </row>
    <row r="7884">
      <c r="A7884" s="1" t="n">
        <v>7883</v>
      </c>
      <c r="B7884">
        <f>TEXT(7883, "[$-0E0000]yyyy-mm-dd")</f>
        <v/>
      </c>
      <c r="C7884" t="inlineStr">
        <is>
          <t>1921-06-28</t>
        </is>
      </c>
    </row>
    <row r="7885">
      <c r="A7885" s="1" t="n">
        <v>7884</v>
      </c>
      <c r="B7885">
        <f>TEXT(7884, "[$-0E0000]yyyy-mm-dd")</f>
        <v/>
      </c>
      <c r="C7885" t="inlineStr">
        <is>
          <t>1921-06-29</t>
        </is>
      </c>
    </row>
    <row r="7886">
      <c r="A7886" s="1" t="n">
        <v>7885</v>
      </c>
      <c r="B7886">
        <f>TEXT(7885, "[$-0E0000]yyyy-mm-dd")</f>
        <v/>
      </c>
      <c r="C7886" t="inlineStr">
        <is>
          <t>1921-06-30</t>
        </is>
      </c>
    </row>
    <row r="7887">
      <c r="A7887" s="1" t="n">
        <v>7886</v>
      </c>
      <c r="B7887">
        <f>TEXT(7886, "[$-0E0000]yyyy-mm-dd")</f>
        <v/>
      </c>
      <c r="C7887" t="inlineStr">
        <is>
          <t>1921-07-01</t>
        </is>
      </c>
    </row>
    <row r="7888">
      <c r="A7888" s="1" t="n">
        <v>7887</v>
      </c>
      <c r="B7888">
        <f>TEXT(7887, "[$-0E0000]yyyy-mm-dd")</f>
        <v/>
      </c>
      <c r="C7888" t="inlineStr">
        <is>
          <t>1921-07-02</t>
        </is>
      </c>
    </row>
    <row r="7889">
      <c r="A7889" s="1" t="n">
        <v>7888</v>
      </c>
      <c r="B7889">
        <f>TEXT(7888, "[$-0E0000]yyyy-mm-dd")</f>
        <v/>
      </c>
      <c r="C7889" t="inlineStr">
        <is>
          <t>1921-07-03</t>
        </is>
      </c>
    </row>
    <row r="7890">
      <c r="A7890" s="1" t="n">
        <v>7889</v>
      </c>
      <c r="B7890">
        <f>TEXT(7889, "[$-0E0000]yyyy-mm-dd")</f>
        <v/>
      </c>
      <c r="C7890" t="inlineStr">
        <is>
          <t>1921-07-04</t>
        </is>
      </c>
    </row>
    <row r="7891">
      <c r="A7891" s="1" t="n">
        <v>7890</v>
      </c>
      <c r="B7891">
        <f>TEXT(7890, "[$-0E0000]yyyy-mm-dd")</f>
        <v/>
      </c>
      <c r="C7891" t="inlineStr">
        <is>
          <t>1921-07-05</t>
        </is>
      </c>
    </row>
    <row r="7892">
      <c r="A7892" s="1" t="n">
        <v>7891</v>
      </c>
      <c r="B7892">
        <f>TEXT(7891, "[$-0E0000]yyyy-mm-dd")</f>
        <v/>
      </c>
      <c r="C7892" t="inlineStr">
        <is>
          <t>1921-07-06</t>
        </is>
      </c>
    </row>
    <row r="7893">
      <c r="A7893" s="1" t="n">
        <v>7892</v>
      </c>
      <c r="B7893">
        <f>TEXT(7892, "[$-0E0000]yyyy-mm-dd")</f>
        <v/>
      </c>
      <c r="C7893" t="inlineStr">
        <is>
          <t>1921-07-07</t>
        </is>
      </c>
    </row>
    <row r="7894">
      <c r="A7894" s="1" t="n">
        <v>7893</v>
      </c>
      <c r="B7894">
        <f>TEXT(7893, "[$-0E0000]yyyy-mm-dd")</f>
        <v/>
      </c>
      <c r="C7894" t="inlineStr">
        <is>
          <t>1921-07-08</t>
        </is>
      </c>
    </row>
    <row r="7895">
      <c r="A7895" s="1" t="n">
        <v>7894</v>
      </c>
      <c r="B7895">
        <f>TEXT(7894, "[$-0E0000]yyyy-mm-dd")</f>
        <v/>
      </c>
      <c r="C7895" t="inlineStr">
        <is>
          <t>1921-07-09</t>
        </is>
      </c>
    </row>
    <row r="7896">
      <c r="A7896" s="1" t="n">
        <v>7895</v>
      </c>
      <c r="B7896">
        <f>TEXT(7895, "[$-0E0000]yyyy-mm-dd")</f>
        <v/>
      </c>
      <c r="C7896" t="inlineStr">
        <is>
          <t>1921-07-10</t>
        </is>
      </c>
    </row>
    <row r="7897">
      <c r="A7897" s="1" t="n">
        <v>7896</v>
      </c>
      <c r="B7897">
        <f>TEXT(7896, "[$-0E0000]yyyy-mm-dd")</f>
        <v/>
      </c>
      <c r="C7897" t="inlineStr">
        <is>
          <t>1921-07-11</t>
        </is>
      </c>
    </row>
    <row r="7898">
      <c r="A7898" s="1" t="n">
        <v>7897</v>
      </c>
      <c r="B7898">
        <f>TEXT(7897, "[$-0E0000]yyyy-mm-dd")</f>
        <v/>
      </c>
      <c r="C7898" t="inlineStr">
        <is>
          <t>1921-07-12</t>
        </is>
      </c>
    </row>
    <row r="7899">
      <c r="A7899" s="1" t="n">
        <v>7898</v>
      </c>
      <c r="B7899">
        <f>TEXT(7898, "[$-0E0000]yyyy-mm-dd")</f>
        <v/>
      </c>
      <c r="C7899" t="inlineStr">
        <is>
          <t>1921-07-13</t>
        </is>
      </c>
    </row>
    <row r="7900">
      <c r="A7900" s="1" t="n">
        <v>7899</v>
      </c>
      <c r="B7900">
        <f>TEXT(7899, "[$-0E0000]yyyy-mm-dd")</f>
        <v/>
      </c>
      <c r="C7900" t="inlineStr">
        <is>
          <t>1921-07-14</t>
        </is>
      </c>
    </row>
    <row r="7901">
      <c r="A7901" s="1" t="n">
        <v>7900</v>
      </c>
      <c r="B7901">
        <f>TEXT(7900, "[$-0E0000]yyyy-mm-dd")</f>
        <v/>
      </c>
      <c r="C7901" t="inlineStr">
        <is>
          <t>1921-07-15</t>
        </is>
      </c>
    </row>
    <row r="7902">
      <c r="A7902" s="1" t="n">
        <v>7901</v>
      </c>
      <c r="B7902">
        <f>TEXT(7901, "[$-0E0000]yyyy-mm-dd")</f>
        <v/>
      </c>
      <c r="C7902" t="inlineStr">
        <is>
          <t>1921-07-16</t>
        </is>
      </c>
    </row>
    <row r="7903">
      <c r="A7903" s="1" t="n">
        <v>7902</v>
      </c>
      <c r="B7903">
        <f>TEXT(7902, "[$-0E0000]yyyy-mm-dd")</f>
        <v/>
      </c>
      <c r="C7903" t="inlineStr">
        <is>
          <t>1921-07-17</t>
        </is>
      </c>
    </row>
    <row r="7904">
      <c r="A7904" s="1" t="n">
        <v>7903</v>
      </c>
      <c r="B7904">
        <f>TEXT(7903, "[$-0E0000]yyyy-mm-dd")</f>
        <v/>
      </c>
      <c r="C7904" t="inlineStr">
        <is>
          <t>1921-07-18</t>
        </is>
      </c>
    </row>
    <row r="7905">
      <c r="A7905" s="1" t="n">
        <v>7904</v>
      </c>
      <c r="B7905">
        <f>TEXT(7904, "[$-0E0000]yyyy-mm-dd")</f>
        <v/>
      </c>
      <c r="C7905" t="inlineStr">
        <is>
          <t>1921-07-19</t>
        </is>
      </c>
    </row>
    <row r="7906">
      <c r="A7906" s="1" t="n">
        <v>7905</v>
      </c>
      <c r="B7906">
        <f>TEXT(7905, "[$-0E0000]yyyy-mm-dd")</f>
        <v/>
      </c>
      <c r="C7906" t="inlineStr">
        <is>
          <t>1921-07-20</t>
        </is>
      </c>
    </row>
    <row r="7907">
      <c r="A7907" s="1" t="n">
        <v>7906</v>
      </c>
      <c r="B7907">
        <f>TEXT(7906, "[$-0E0000]yyyy-mm-dd")</f>
        <v/>
      </c>
      <c r="C7907" t="inlineStr">
        <is>
          <t>1921-07-21</t>
        </is>
      </c>
    </row>
    <row r="7908">
      <c r="A7908" s="1" t="n">
        <v>7907</v>
      </c>
      <c r="B7908">
        <f>TEXT(7907, "[$-0E0000]yyyy-mm-dd")</f>
        <v/>
      </c>
      <c r="C7908" t="inlineStr">
        <is>
          <t>1921-07-22</t>
        </is>
      </c>
    </row>
    <row r="7909">
      <c r="A7909" s="1" t="n">
        <v>7908</v>
      </c>
      <c r="B7909">
        <f>TEXT(7908, "[$-0E0000]yyyy-mm-dd")</f>
        <v/>
      </c>
      <c r="C7909" t="inlineStr">
        <is>
          <t>1921-07-23</t>
        </is>
      </c>
    </row>
    <row r="7910">
      <c r="A7910" s="1" t="n">
        <v>7909</v>
      </c>
      <c r="B7910">
        <f>TEXT(7909, "[$-0E0000]yyyy-mm-dd")</f>
        <v/>
      </c>
      <c r="C7910" t="inlineStr">
        <is>
          <t>1921-07-24</t>
        </is>
      </c>
    </row>
    <row r="7911">
      <c r="A7911" s="1" t="n">
        <v>7910</v>
      </c>
      <c r="B7911">
        <f>TEXT(7910, "[$-0E0000]yyyy-mm-dd")</f>
        <v/>
      </c>
      <c r="C7911" t="inlineStr">
        <is>
          <t>1921-07-25</t>
        </is>
      </c>
    </row>
    <row r="7912">
      <c r="A7912" s="1" t="n">
        <v>7911</v>
      </c>
      <c r="B7912">
        <f>TEXT(7911, "[$-0E0000]yyyy-mm-dd")</f>
        <v/>
      </c>
      <c r="C7912" t="inlineStr">
        <is>
          <t>1921-07-26</t>
        </is>
      </c>
    </row>
    <row r="7913">
      <c r="A7913" s="1" t="n">
        <v>7912</v>
      </c>
      <c r="B7913">
        <f>TEXT(7912, "[$-0E0000]yyyy-mm-dd")</f>
        <v/>
      </c>
      <c r="C7913" t="inlineStr">
        <is>
          <t>1921-07-27</t>
        </is>
      </c>
    </row>
    <row r="7914">
      <c r="A7914" s="1" t="n">
        <v>7913</v>
      </c>
      <c r="B7914">
        <f>TEXT(7913, "[$-0E0000]yyyy-mm-dd")</f>
        <v/>
      </c>
      <c r="C7914" t="inlineStr">
        <is>
          <t>1921-07-28</t>
        </is>
      </c>
    </row>
    <row r="7915">
      <c r="A7915" s="1" t="n">
        <v>7914</v>
      </c>
      <c r="B7915">
        <f>TEXT(7914, "[$-0E0000]yyyy-mm-dd")</f>
        <v/>
      </c>
      <c r="C7915" t="inlineStr">
        <is>
          <t>1921-07-29</t>
        </is>
      </c>
    </row>
    <row r="7916">
      <c r="A7916" s="1" t="n">
        <v>7915</v>
      </c>
      <c r="B7916">
        <f>TEXT(7915, "[$-0E0000]yyyy-mm-dd")</f>
        <v/>
      </c>
      <c r="C7916" t="inlineStr">
        <is>
          <t>1921-08-01</t>
        </is>
      </c>
    </row>
    <row r="7917">
      <c r="A7917" s="1" t="n">
        <v>7916</v>
      </c>
      <c r="B7917">
        <f>TEXT(7916, "[$-0E0000]yyyy-mm-dd")</f>
        <v/>
      </c>
      <c r="C7917" t="inlineStr">
        <is>
          <t>1921-08-02</t>
        </is>
      </c>
    </row>
    <row r="7918">
      <c r="A7918" s="1" t="n">
        <v>7917</v>
      </c>
      <c r="B7918">
        <f>TEXT(7917, "[$-0E0000]yyyy-mm-dd")</f>
        <v/>
      </c>
      <c r="C7918" t="inlineStr">
        <is>
          <t>1921-08-03</t>
        </is>
      </c>
    </row>
    <row r="7919">
      <c r="A7919" s="1" t="n">
        <v>7918</v>
      </c>
      <c r="B7919">
        <f>TEXT(7918, "[$-0E0000]yyyy-mm-dd")</f>
        <v/>
      </c>
      <c r="C7919" t="inlineStr">
        <is>
          <t>1921-08-04</t>
        </is>
      </c>
    </row>
    <row r="7920">
      <c r="A7920" s="1" t="n">
        <v>7919</v>
      </c>
      <c r="B7920">
        <f>TEXT(7919, "[$-0E0000]yyyy-mm-dd")</f>
        <v/>
      </c>
      <c r="C7920" t="inlineStr">
        <is>
          <t>1921-08-05</t>
        </is>
      </c>
    </row>
    <row r="7921">
      <c r="A7921" s="1" t="n">
        <v>7920</v>
      </c>
      <c r="B7921">
        <f>TEXT(7920, "[$-0E0000]yyyy-mm-dd")</f>
        <v/>
      </c>
      <c r="C7921" t="inlineStr">
        <is>
          <t>1921-08-06</t>
        </is>
      </c>
    </row>
    <row r="7922">
      <c r="A7922" s="1" t="n">
        <v>7921</v>
      </c>
      <c r="B7922">
        <f>TEXT(7921, "[$-0E0000]yyyy-mm-dd")</f>
        <v/>
      </c>
      <c r="C7922" t="inlineStr">
        <is>
          <t>1921-08-07</t>
        </is>
      </c>
    </row>
    <row r="7923">
      <c r="A7923" s="1" t="n">
        <v>7922</v>
      </c>
      <c r="B7923">
        <f>TEXT(7922, "[$-0E0000]yyyy-mm-dd")</f>
        <v/>
      </c>
      <c r="C7923" t="inlineStr">
        <is>
          <t>1921-08-08</t>
        </is>
      </c>
    </row>
    <row r="7924">
      <c r="A7924" s="1" t="n">
        <v>7923</v>
      </c>
      <c r="B7924">
        <f>TEXT(7923, "[$-0E0000]yyyy-mm-dd")</f>
        <v/>
      </c>
      <c r="C7924" t="inlineStr">
        <is>
          <t>1921-08-09</t>
        </is>
      </c>
    </row>
    <row r="7925">
      <c r="A7925" s="1" t="n">
        <v>7924</v>
      </c>
      <c r="B7925">
        <f>TEXT(7924, "[$-0E0000]yyyy-mm-dd")</f>
        <v/>
      </c>
      <c r="C7925" t="inlineStr">
        <is>
          <t>1921-08-10</t>
        </is>
      </c>
    </row>
    <row r="7926">
      <c r="A7926" s="1" t="n">
        <v>7925</v>
      </c>
      <c r="B7926">
        <f>TEXT(7925, "[$-0E0000]yyyy-mm-dd")</f>
        <v/>
      </c>
      <c r="C7926" t="inlineStr">
        <is>
          <t>1921-08-11</t>
        </is>
      </c>
    </row>
    <row r="7927">
      <c r="A7927" s="1" t="n">
        <v>7926</v>
      </c>
      <c r="B7927">
        <f>TEXT(7926, "[$-0E0000]yyyy-mm-dd")</f>
        <v/>
      </c>
      <c r="C7927" t="inlineStr">
        <is>
          <t>1921-08-12</t>
        </is>
      </c>
    </row>
    <row r="7928">
      <c r="A7928" s="1" t="n">
        <v>7927</v>
      </c>
      <c r="B7928">
        <f>TEXT(7927, "[$-0E0000]yyyy-mm-dd")</f>
        <v/>
      </c>
      <c r="C7928" t="inlineStr">
        <is>
          <t>1921-08-13</t>
        </is>
      </c>
    </row>
    <row r="7929">
      <c r="A7929" s="1" t="n">
        <v>7928</v>
      </c>
      <c r="B7929">
        <f>TEXT(7928, "[$-0E0000]yyyy-mm-dd")</f>
        <v/>
      </c>
      <c r="C7929" t="inlineStr">
        <is>
          <t>1921-08-14</t>
        </is>
      </c>
    </row>
    <row r="7930">
      <c r="A7930" s="1" t="n">
        <v>7929</v>
      </c>
      <c r="B7930">
        <f>TEXT(7929, "[$-0E0000]yyyy-mm-dd")</f>
        <v/>
      </c>
      <c r="C7930" t="inlineStr">
        <is>
          <t>1921-08-15</t>
        </is>
      </c>
    </row>
    <row r="7931">
      <c r="A7931" s="1" t="n">
        <v>7930</v>
      </c>
      <c r="B7931">
        <f>TEXT(7930, "[$-0E0000]yyyy-mm-dd")</f>
        <v/>
      </c>
      <c r="C7931" t="inlineStr">
        <is>
          <t>1921-08-16</t>
        </is>
      </c>
    </row>
    <row r="7932">
      <c r="A7932" s="1" t="n">
        <v>7931</v>
      </c>
      <c r="B7932">
        <f>TEXT(7931, "[$-0E0000]yyyy-mm-dd")</f>
        <v/>
      </c>
      <c r="C7932" t="inlineStr">
        <is>
          <t>1921-08-17</t>
        </is>
      </c>
    </row>
    <row r="7933">
      <c r="A7933" s="1" t="n">
        <v>7932</v>
      </c>
      <c r="B7933">
        <f>TEXT(7932, "[$-0E0000]yyyy-mm-dd")</f>
        <v/>
      </c>
      <c r="C7933" t="inlineStr">
        <is>
          <t>1921-08-18</t>
        </is>
      </c>
    </row>
    <row r="7934">
      <c r="A7934" s="1" t="n">
        <v>7933</v>
      </c>
      <c r="B7934">
        <f>TEXT(7933, "[$-0E0000]yyyy-mm-dd")</f>
        <v/>
      </c>
      <c r="C7934" t="inlineStr">
        <is>
          <t>1921-08-19</t>
        </is>
      </c>
    </row>
    <row r="7935">
      <c r="A7935" s="1" t="n">
        <v>7934</v>
      </c>
      <c r="B7935">
        <f>TEXT(7934, "[$-0E0000]yyyy-mm-dd")</f>
        <v/>
      </c>
      <c r="C7935" t="inlineStr">
        <is>
          <t>1921-08-20</t>
        </is>
      </c>
    </row>
    <row r="7936">
      <c r="A7936" s="1" t="n">
        <v>7935</v>
      </c>
      <c r="B7936">
        <f>TEXT(7935, "[$-0E0000]yyyy-mm-dd")</f>
        <v/>
      </c>
      <c r="C7936" t="inlineStr">
        <is>
          <t>1921-08-21</t>
        </is>
      </c>
    </row>
    <row r="7937">
      <c r="A7937" s="1" t="n">
        <v>7936</v>
      </c>
      <c r="B7937">
        <f>TEXT(7936, "[$-0E0000]yyyy-mm-dd")</f>
        <v/>
      </c>
      <c r="C7937" t="inlineStr">
        <is>
          <t>1921-08-22</t>
        </is>
      </c>
    </row>
    <row r="7938">
      <c r="A7938" s="1" t="n">
        <v>7937</v>
      </c>
      <c r="B7938">
        <f>TEXT(7937, "[$-0E0000]yyyy-mm-dd")</f>
        <v/>
      </c>
      <c r="C7938" t="inlineStr">
        <is>
          <t>1921-08-23</t>
        </is>
      </c>
    </row>
    <row r="7939">
      <c r="A7939" s="1" t="n">
        <v>7938</v>
      </c>
      <c r="B7939">
        <f>TEXT(7938, "[$-0E0000]yyyy-mm-dd")</f>
        <v/>
      </c>
      <c r="C7939" t="inlineStr">
        <is>
          <t>1921-08-24</t>
        </is>
      </c>
    </row>
    <row r="7940">
      <c r="A7940" s="1" t="n">
        <v>7939</v>
      </c>
      <c r="B7940">
        <f>TEXT(7939, "[$-0E0000]yyyy-mm-dd")</f>
        <v/>
      </c>
      <c r="C7940" t="inlineStr">
        <is>
          <t>1921-08-25</t>
        </is>
      </c>
    </row>
    <row r="7941">
      <c r="A7941" s="1" t="n">
        <v>7940</v>
      </c>
      <c r="B7941">
        <f>TEXT(7940, "[$-0E0000]yyyy-mm-dd")</f>
        <v/>
      </c>
      <c r="C7941" t="inlineStr">
        <is>
          <t>1921-08-26</t>
        </is>
      </c>
    </row>
    <row r="7942">
      <c r="A7942" s="1" t="n">
        <v>7941</v>
      </c>
      <c r="B7942">
        <f>TEXT(7941, "[$-0E0000]yyyy-mm-dd")</f>
        <v/>
      </c>
      <c r="C7942" t="inlineStr">
        <is>
          <t>1921-08-27</t>
        </is>
      </c>
    </row>
    <row r="7943">
      <c r="A7943" s="1" t="n">
        <v>7942</v>
      </c>
      <c r="B7943">
        <f>TEXT(7942, "[$-0E0000]yyyy-mm-dd")</f>
        <v/>
      </c>
      <c r="C7943" t="inlineStr">
        <is>
          <t>1921-08-28</t>
        </is>
      </c>
    </row>
    <row r="7944">
      <c r="A7944" s="1" t="n">
        <v>7943</v>
      </c>
      <c r="B7944">
        <f>TEXT(7943, "[$-0E0000]yyyy-mm-dd")</f>
        <v/>
      </c>
      <c r="C7944" t="inlineStr">
        <is>
          <t>1921-08-29</t>
        </is>
      </c>
    </row>
    <row r="7945">
      <c r="A7945" s="1" t="n">
        <v>7944</v>
      </c>
      <c r="B7945">
        <f>TEXT(7944, "[$-0E0000]yyyy-mm-dd")</f>
        <v/>
      </c>
      <c r="C7945" t="inlineStr">
        <is>
          <t>1921-09-01</t>
        </is>
      </c>
    </row>
    <row r="7946">
      <c r="A7946" s="1" t="n">
        <v>7945</v>
      </c>
      <c r="B7946">
        <f>TEXT(7945, "[$-0E0000]yyyy-mm-dd")</f>
        <v/>
      </c>
      <c r="C7946" t="inlineStr">
        <is>
          <t>1921-09-02</t>
        </is>
      </c>
    </row>
    <row r="7947">
      <c r="A7947" s="1" t="n">
        <v>7946</v>
      </c>
      <c r="B7947">
        <f>TEXT(7946, "[$-0E0000]yyyy-mm-dd")</f>
        <v/>
      </c>
      <c r="C7947" t="inlineStr">
        <is>
          <t>1921-09-03</t>
        </is>
      </c>
    </row>
    <row r="7948">
      <c r="A7948" s="1" t="n">
        <v>7947</v>
      </c>
      <c r="B7948">
        <f>TEXT(7947, "[$-0E0000]yyyy-mm-dd")</f>
        <v/>
      </c>
      <c r="C7948" t="inlineStr">
        <is>
          <t>1921-09-04</t>
        </is>
      </c>
    </row>
    <row r="7949">
      <c r="A7949" s="1" t="n">
        <v>7948</v>
      </c>
      <c r="B7949">
        <f>TEXT(7948, "[$-0E0000]yyyy-mm-dd")</f>
        <v/>
      </c>
      <c r="C7949" t="inlineStr">
        <is>
          <t>1921-09-05</t>
        </is>
      </c>
    </row>
    <row r="7950">
      <c r="A7950" s="1" t="n">
        <v>7949</v>
      </c>
      <c r="B7950">
        <f>TEXT(7949, "[$-0E0000]yyyy-mm-dd")</f>
        <v/>
      </c>
      <c r="C7950" t="inlineStr">
        <is>
          <t>1921-09-06</t>
        </is>
      </c>
    </row>
    <row r="7951">
      <c r="A7951" s="1" t="n">
        <v>7950</v>
      </c>
      <c r="B7951">
        <f>TEXT(7950, "[$-0E0000]yyyy-mm-dd")</f>
        <v/>
      </c>
      <c r="C7951" t="inlineStr">
        <is>
          <t>1921-09-07</t>
        </is>
      </c>
    </row>
    <row r="7952">
      <c r="A7952" s="1" t="n">
        <v>7951</v>
      </c>
      <c r="B7952">
        <f>TEXT(7951, "[$-0E0000]yyyy-mm-dd")</f>
        <v/>
      </c>
      <c r="C7952" t="inlineStr">
        <is>
          <t>1921-09-08</t>
        </is>
      </c>
    </row>
    <row r="7953">
      <c r="A7953" s="1" t="n">
        <v>7952</v>
      </c>
      <c r="B7953">
        <f>TEXT(7952, "[$-0E0000]yyyy-mm-dd")</f>
        <v/>
      </c>
      <c r="C7953" t="inlineStr">
        <is>
          <t>1921-09-09</t>
        </is>
      </c>
    </row>
    <row r="7954">
      <c r="A7954" s="1" t="n">
        <v>7953</v>
      </c>
      <c r="B7954">
        <f>TEXT(7953, "[$-0E0000]yyyy-mm-dd")</f>
        <v/>
      </c>
      <c r="C7954" t="inlineStr">
        <is>
          <t>1921-09-10</t>
        </is>
      </c>
    </row>
    <row r="7955">
      <c r="A7955" s="1" t="n">
        <v>7954</v>
      </c>
      <c r="B7955">
        <f>TEXT(7954, "[$-0E0000]yyyy-mm-dd")</f>
        <v/>
      </c>
      <c r="C7955" t="inlineStr">
        <is>
          <t>1921-09-11</t>
        </is>
      </c>
    </row>
    <row r="7956">
      <c r="A7956" s="1" t="n">
        <v>7955</v>
      </c>
      <c r="B7956">
        <f>TEXT(7955, "[$-0E0000]yyyy-mm-dd")</f>
        <v/>
      </c>
      <c r="C7956" t="inlineStr">
        <is>
          <t>1921-09-12</t>
        </is>
      </c>
    </row>
    <row r="7957">
      <c r="A7957" s="1" t="n">
        <v>7956</v>
      </c>
      <c r="B7957">
        <f>TEXT(7956, "[$-0E0000]yyyy-mm-dd")</f>
        <v/>
      </c>
      <c r="C7957" t="inlineStr">
        <is>
          <t>1921-09-13</t>
        </is>
      </c>
    </row>
    <row r="7958">
      <c r="A7958" s="1" t="n">
        <v>7957</v>
      </c>
      <c r="B7958">
        <f>TEXT(7957, "[$-0E0000]yyyy-mm-dd")</f>
        <v/>
      </c>
      <c r="C7958" t="inlineStr">
        <is>
          <t>1921-09-14</t>
        </is>
      </c>
    </row>
    <row r="7959">
      <c r="A7959" s="1" t="n">
        <v>7958</v>
      </c>
      <c r="B7959">
        <f>TEXT(7958, "[$-0E0000]yyyy-mm-dd")</f>
        <v/>
      </c>
      <c r="C7959" t="inlineStr">
        <is>
          <t>1921-09-15</t>
        </is>
      </c>
    </row>
    <row r="7960">
      <c r="A7960" s="1" t="n">
        <v>7959</v>
      </c>
      <c r="B7960">
        <f>TEXT(7959, "[$-0E0000]yyyy-mm-dd")</f>
        <v/>
      </c>
      <c r="C7960" t="inlineStr">
        <is>
          <t>1921-09-16</t>
        </is>
      </c>
    </row>
    <row r="7961">
      <c r="A7961" s="1" t="n">
        <v>7960</v>
      </c>
      <c r="B7961">
        <f>TEXT(7960, "[$-0E0000]yyyy-mm-dd")</f>
        <v/>
      </c>
      <c r="C7961" t="inlineStr">
        <is>
          <t>1921-09-17</t>
        </is>
      </c>
    </row>
    <row r="7962">
      <c r="A7962" s="1" t="n">
        <v>7961</v>
      </c>
      <c r="B7962">
        <f>TEXT(7961, "[$-0E0000]yyyy-mm-dd")</f>
        <v/>
      </c>
      <c r="C7962" t="inlineStr">
        <is>
          <t>1921-09-18</t>
        </is>
      </c>
    </row>
    <row r="7963">
      <c r="A7963" s="1" t="n">
        <v>7962</v>
      </c>
      <c r="B7963">
        <f>TEXT(7962, "[$-0E0000]yyyy-mm-dd")</f>
        <v/>
      </c>
      <c r="C7963" t="inlineStr">
        <is>
          <t>1921-09-19</t>
        </is>
      </c>
    </row>
    <row r="7964">
      <c r="A7964" s="1" t="n">
        <v>7963</v>
      </c>
      <c r="B7964">
        <f>TEXT(7963, "[$-0E0000]yyyy-mm-dd")</f>
        <v/>
      </c>
      <c r="C7964" t="inlineStr">
        <is>
          <t>1921-09-20</t>
        </is>
      </c>
    </row>
    <row r="7965">
      <c r="A7965" s="1" t="n">
        <v>7964</v>
      </c>
      <c r="B7965">
        <f>TEXT(7964, "[$-0E0000]yyyy-mm-dd")</f>
        <v/>
      </c>
      <c r="C7965" t="inlineStr">
        <is>
          <t>1921-09-21</t>
        </is>
      </c>
    </row>
    <row r="7966">
      <c r="A7966" s="1" t="n">
        <v>7965</v>
      </c>
      <c r="B7966">
        <f>TEXT(7965, "[$-0E0000]yyyy-mm-dd")</f>
        <v/>
      </c>
      <c r="C7966" t="inlineStr">
        <is>
          <t>1921-09-22</t>
        </is>
      </c>
    </row>
    <row r="7967">
      <c r="A7967" s="1" t="n">
        <v>7966</v>
      </c>
      <c r="B7967">
        <f>TEXT(7966, "[$-0E0000]yyyy-mm-dd")</f>
        <v/>
      </c>
      <c r="C7967" t="inlineStr">
        <is>
          <t>1921-09-23</t>
        </is>
      </c>
    </row>
    <row r="7968">
      <c r="A7968" s="1" t="n">
        <v>7967</v>
      </c>
      <c r="B7968">
        <f>TEXT(7967, "[$-0E0000]yyyy-mm-dd")</f>
        <v/>
      </c>
      <c r="C7968" t="inlineStr">
        <is>
          <t>1921-09-24</t>
        </is>
      </c>
    </row>
    <row r="7969">
      <c r="A7969" s="1" t="n">
        <v>7968</v>
      </c>
      <c r="B7969">
        <f>TEXT(7968, "[$-0E0000]yyyy-mm-dd")</f>
        <v/>
      </c>
      <c r="C7969" t="inlineStr">
        <is>
          <t>1921-09-25</t>
        </is>
      </c>
    </row>
    <row r="7970">
      <c r="A7970" s="1" t="n">
        <v>7969</v>
      </c>
      <c r="B7970">
        <f>TEXT(7969, "[$-0E0000]yyyy-mm-dd")</f>
        <v/>
      </c>
      <c r="C7970" t="inlineStr">
        <is>
          <t>1921-09-26</t>
        </is>
      </c>
    </row>
    <row r="7971">
      <c r="A7971" s="1" t="n">
        <v>7970</v>
      </c>
      <c r="B7971">
        <f>TEXT(7970, "[$-0E0000]yyyy-mm-dd")</f>
        <v/>
      </c>
      <c r="C7971" t="inlineStr">
        <is>
          <t>1921-09-27</t>
        </is>
      </c>
    </row>
    <row r="7972">
      <c r="A7972" s="1" t="n">
        <v>7971</v>
      </c>
      <c r="B7972">
        <f>TEXT(7971, "[$-0E0000]yyyy-mm-dd")</f>
        <v/>
      </c>
      <c r="C7972" t="inlineStr">
        <is>
          <t>1921-09-28</t>
        </is>
      </c>
    </row>
    <row r="7973">
      <c r="A7973" s="1" t="n">
        <v>7972</v>
      </c>
      <c r="B7973">
        <f>TEXT(7972, "[$-0E0000]yyyy-mm-dd")</f>
        <v/>
      </c>
      <c r="C7973" t="inlineStr">
        <is>
          <t>1921-09-29</t>
        </is>
      </c>
    </row>
    <row r="7974">
      <c r="A7974" s="1" t="n">
        <v>7973</v>
      </c>
      <c r="B7974">
        <f>TEXT(7973, "[$-0E0000]yyyy-mm-dd")</f>
        <v/>
      </c>
      <c r="C7974" t="inlineStr">
        <is>
          <t>1921-09-30</t>
        </is>
      </c>
    </row>
    <row r="7975">
      <c r="A7975" s="1" t="n">
        <v>7974</v>
      </c>
      <c r="B7975">
        <f>TEXT(7974, "[$-0E0000]yyyy-mm-dd")</f>
        <v/>
      </c>
      <c r="C7975" t="inlineStr">
        <is>
          <t>1921-10-01</t>
        </is>
      </c>
    </row>
    <row r="7976">
      <c r="A7976" s="1" t="n">
        <v>7975</v>
      </c>
      <c r="B7976">
        <f>TEXT(7975, "[$-0E0000]yyyy-mm-dd")</f>
        <v/>
      </c>
      <c r="C7976" t="inlineStr">
        <is>
          <t>1921-10-02</t>
        </is>
      </c>
    </row>
    <row r="7977">
      <c r="A7977" s="1" t="n">
        <v>7976</v>
      </c>
      <c r="B7977">
        <f>TEXT(7976, "[$-0E0000]yyyy-mm-dd")</f>
        <v/>
      </c>
      <c r="C7977" t="inlineStr">
        <is>
          <t>1921-10-03</t>
        </is>
      </c>
    </row>
    <row r="7978">
      <c r="A7978" s="1" t="n">
        <v>7977</v>
      </c>
      <c r="B7978">
        <f>TEXT(7977, "[$-0E0000]yyyy-mm-dd")</f>
        <v/>
      </c>
      <c r="C7978" t="inlineStr">
        <is>
          <t>1921-10-04</t>
        </is>
      </c>
    </row>
    <row r="7979">
      <c r="A7979" s="1" t="n">
        <v>7978</v>
      </c>
      <c r="B7979">
        <f>TEXT(7978, "[$-0E0000]yyyy-mm-dd")</f>
        <v/>
      </c>
      <c r="C7979" t="inlineStr">
        <is>
          <t>1921-10-05</t>
        </is>
      </c>
    </row>
    <row r="7980">
      <c r="A7980" s="1" t="n">
        <v>7979</v>
      </c>
      <c r="B7980">
        <f>TEXT(7979, "[$-0E0000]yyyy-mm-dd")</f>
        <v/>
      </c>
      <c r="C7980" t="inlineStr">
        <is>
          <t>1921-10-06</t>
        </is>
      </c>
    </row>
    <row r="7981">
      <c r="A7981" s="1" t="n">
        <v>7980</v>
      </c>
      <c r="B7981">
        <f>TEXT(7980, "[$-0E0000]yyyy-mm-dd")</f>
        <v/>
      </c>
      <c r="C7981" t="inlineStr">
        <is>
          <t>1921-10-07</t>
        </is>
      </c>
    </row>
    <row r="7982">
      <c r="A7982" s="1" t="n">
        <v>7981</v>
      </c>
      <c r="B7982">
        <f>TEXT(7981, "[$-0E0000]yyyy-mm-dd")</f>
        <v/>
      </c>
      <c r="C7982" t="inlineStr">
        <is>
          <t>1921-10-08</t>
        </is>
      </c>
    </row>
    <row r="7983">
      <c r="A7983" s="1" t="n">
        <v>7982</v>
      </c>
      <c r="B7983">
        <f>TEXT(7982, "[$-0E0000]yyyy-mm-dd")</f>
        <v/>
      </c>
      <c r="C7983" t="inlineStr">
        <is>
          <t>1921-10-09</t>
        </is>
      </c>
    </row>
    <row r="7984">
      <c r="A7984" s="1" t="n">
        <v>7983</v>
      </c>
      <c r="B7984">
        <f>TEXT(7983, "[$-0E0000]yyyy-mm-dd")</f>
        <v/>
      </c>
      <c r="C7984" t="inlineStr">
        <is>
          <t>1921-10-10</t>
        </is>
      </c>
    </row>
    <row r="7985">
      <c r="A7985" s="1" t="n">
        <v>7984</v>
      </c>
      <c r="B7985">
        <f>TEXT(7984, "[$-0E0000]yyyy-mm-dd")</f>
        <v/>
      </c>
      <c r="C7985" t="inlineStr">
        <is>
          <t>1921-10-11</t>
        </is>
      </c>
    </row>
    <row r="7986">
      <c r="A7986" s="1" t="n">
        <v>7985</v>
      </c>
      <c r="B7986">
        <f>TEXT(7985, "[$-0E0000]yyyy-mm-dd")</f>
        <v/>
      </c>
      <c r="C7986" t="inlineStr">
        <is>
          <t>1921-10-12</t>
        </is>
      </c>
    </row>
    <row r="7987">
      <c r="A7987" s="1" t="n">
        <v>7986</v>
      </c>
      <c r="B7987">
        <f>TEXT(7986, "[$-0E0000]yyyy-mm-dd")</f>
        <v/>
      </c>
      <c r="C7987" t="inlineStr">
        <is>
          <t>1921-10-13</t>
        </is>
      </c>
    </row>
    <row r="7988">
      <c r="A7988" s="1" t="n">
        <v>7987</v>
      </c>
      <c r="B7988">
        <f>TEXT(7987, "[$-0E0000]yyyy-mm-dd")</f>
        <v/>
      </c>
      <c r="C7988" t="inlineStr">
        <is>
          <t>1921-10-14</t>
        </is>
      </c>
    </row>
    <row r="7989">
      <c r="A7989" s="1" t="n">
        <v>7988</v>
      </c>
      <c r="B7989">
        <f>TEXT(7988, "[$-0E0000]yyyy-mm-dd")</f>
        <v/>
      </c>
      <c r="C7989" t="inlineStr">
        <is>
          <t>1921-10-15</t>
        </is>
      </c>
    </row>
    <row r="7990">
      <c r="A7990" s="1" t="n">
        <v>7989</v>
      </c>
      <c r="B7990">
        <f>TEXT(7989, "[$-0E0000]yyyy-mm-dd")</f>
        <v/>
      </c>
      <c r="C7990" t="inlineStr">
        <is>
          <t>1921-10-16</t>
        </is>
      </c>
    </row>
    <row r="7991">
      <c r="A7991" s="1" t="n">
        <v>7990</v>
      </c>
      <c r="B7991">
        <f>TEXT(7990, "[$-0E0000]yyyy-mm-dd")</f>
        <v/>
      </c>
      <c r="C7991" t="inlineStr">
        <is>
          <t>1921-10-17</t>
        </is>
      </c>
    </row>
    <row r="7992">
      <c r="A7992" s="1" t="n">
        <v>7991</v>
      </c>
      <c r="B7992">
        <f>TEXT(7991, "[$-0E0000]yyyy-mm-dd")</f>
        <v/>
      </c>
      <c r="C7992" t="inlineStr">
        <is>
          <t>1921-10-18</t>
        </is>
      </c>
    </row>
    <row r="7993">
      <c r="A7993" s="1" t="n">
        <v>7992</v>
      </c>
      <c r="B7993">
        <f>TEXT(7992, "[$-0E0000]yyyy-mm-dd")</f>
        <v/>
      </c>
      <c r="C7993" t="inlineStr">
        <is>
          <t>1921-10-19</t>
        </is>
      </c>
    </row>
    <row r="7994">
      <c r="A7994" s="1" t="n">
        <v>7993</v>
      </c>
      <c r="B7994">
        <f>TEXT(7993, "[$-0E0000]yyyy-mm-dd")</f>
        <v/>
      </c>
      <c r="C7994" t="inlineStr">
        <is>
          <t>1921-10-20</t>
        </is>
      </c>
    </row>
    <row r="7995">
      <c r="A7995" s="1" t="n">
        <v>7994</v>
      </c>
      <c r="B7995">
        <f>TEXT(7994, "[$-0E0000]yyyy-mm-dd")</f>
        <v/>
      </c>
      <c r="C7995" t="inlineStr">
        <is>
          <t>1921-10-21</t>
        </is>
      </c>
    </row>
    <row r="7996">
      <c r="A7996" s="1" t="n">
        <v>7995</v>
      </c>
      <c r="B7996">
        <f>TEXT(7995, "[$-0E0000]yyyy-mm-dd")</f>
        <v/>
      </c>
      <c r="C7996" t="inlineStr">
        <is>
          <t>1921-10-22</t>
        </is>
      </c>
    </row>
    <row r="7997">
      <c r="A7997" s="1" t="n">
        <v>7996</v>
      </c>
      <c r="B7997">
        <f>TEXT(7996, "[$-0E0000]yyyy-mm-dd")</f>
        <v/>
      </c>
      <c r="C7997" t="inlineStr">
        <is>
          <t>1921-10-23</t>
        </is>
      </c>
    </row>
    <row r="7998">
      <c r="A7998" s="1" t="n">
        <v>7997</v>
      </c>
      <c r="B7998">
        <f>TEXT(7997, "[$-0E0000]yyyy-mm-dd")</f>
        <v/>
      </c>
      <c r="C7998" t="inlineStr">
        <is>
          <t>1921-10-24</t>
        </is>
      </c>
    </row>
    <row r="7999">
      <c r="A7999" s="1" t="n">
        <v>7998</v>
      </c>
      <c r="B7999">
        <f>TEXT(7998, "[$-0E0000]yyyy-mm-dd")</f>
        <v/>
      </c>
      <c r="C7999" t="inlineStr">
        <is>
          <t>1921-10-25</t>
        </is>
      </c>
    </row>
    <row r="8000">
      <c r="A8000" s="1" t="n">
        <v>7999</v>
      </c>
      <c r="B8000">
        <f>TEXT(7999, "[$-0E0000]yyyy-mm-dd")</f>
        <v/>
      </c>
      <c r="C8000" t="inlineStr">
        <is>
          <t>1921-10-26</t>
        </is>
      </c>
    </row>
    <row r="8001">
      <c r="A8001" s="1" t="n">
        <v>8000</v>
      </c>
      <c r="B8001">
        <f>TEXT(8000, "[$-0E0000]yyyy-mm-dd")</f>
        <v/>
      </c>
      <c r="C8001" t="inlineStr">
        <is>
          <t>1921-10-27</t>
        </is>
      </c>
    </row>
    <row r="8002">
      <c r="A8002" s="1" t="n">
        <v>8001</v>
      </c>
      <c r="B8002">
        <f>TEXT(8001, "[$-0E0000]yyyy-mm-dd")</f>
        <v/>
      </c>
      <c r="C8002" t="inlineStr">
        <is>
          <t>1921-10-28</t>
        </is>
      </c>
    </row>
    <row r="8003">
      <c r="A8003" s="1" t="n">
        <v>8002</v>
      </c>
      <c r="B8003">
        <f>TEXT(8002, "[$-0E0000]yyyy-mm-dd")</f>
        <v/>
      </c>
      <c r="C8003" t="inlineStr">
        <is>
          <t>1921-10-29</t>
        </is>
      </c>
    </row>
    <row r="8004">
      <c r="A8004" s="1" t="n">
        <v>8003</v>
      </c>
      <c r="B8004">
        <f>TEXT(8003, "[$-0E0000]yyyy-mm-dd")</f>
        <v/>
      </c>
      <c r="C8004" t="inlineStr">
        <is>
          <t>1921-11-01</t>
        </is>
      </c>
    </row>
    <row r="8005">
      <c r="A8005" s="1" t="n">
        <v>8004</v>
      </c>
      <c r="B8005">
        <f>TEXT(8004, "[$-0E0000]yyyy-mm-dd")</f>
        <v/>
      </c>
      <c r="C8005" t="inlineStr">
        <is>
          <t>1921-11-02</t>
        </is>
      </c>
    </row>
    <row r="8006">
      <c r="A8006" s="1" t="n">
        <v>8005</v>
      </c>
      <c r="B8006">
        <f>TEXT(8005, "[$-0E0000]yyyy-mm-dd")</f>
        <v/>
      </c>
      <c r="C8006" t="inlineStr">
        <is>
          <t>1921-11-03</t>
        </is>
      </c>
    </row>
    <row r="8007">
      <c r="A8007" s="1" t="n">
        <v>8006</v>
      </c>
      <c r="B8007">
        <f>TEXT(8006, "[$-0E0000]yyyy-mm-dd")</f>
        <v/>
      </c>
      <c r="C8007" t="inlineStr">
        <is>
          <t>1921-11-04</t>
        </is>
      </c>
    </row>
    <row r="8008">
      <c r="A8008" s="1" t="n">
        <v>8007</v>
      </c>
      <c r="B8008">
        <f>TEXT(8007, "[$-0E0000]yyyy-mm-dd")</f>
        <v/>
      </c>
      <c r="C8008" t="inlineStr">
        <is>
          <t>1921-11-05</t>
        </is>
      </c>
    </row>
    <row r="8009">
      <c r="A8009" s="1" t="n">
        <v>8008</v>
      </c>
      <c r="B8009">
        <f>TEXT(8008, "[$-0E0000]yyyy-mm-dd")</f>
        <v/>
      </c>
      <c r="C8009" t="inlineStr">
        <is>
          <t>1921-11-06</t>
        </is>
      </c>
    </row>
    <row r="8010">
      <c r="A8010" s="1" t="n">
        <v>8009</v>
      </c>
      <c r="B8010">
        <f>TEXT(8009, "[$-0E0000]yyyy-mm-dd")</f>
        <v/>
      </c>
      <c r="C8010" t="inlineStr">
        <is>
          <t>1921-11-07</t>
        </is>
      </c>
    </row>
    <row r="8011">
      <c r="A8011" s="1" t="n">
        <v>8010</v>
      </c>
      <c r="B8011">
        <f>TEXT(8010, "[$-0E0000]yyyy-mm-dd")</f>
        <v/>
      </c>
      <c r="C8011" t="inlineStr">
        <is>
          <t>1921-11-08</t>
        </is>
      </c>
    </row>
    <row r="8012">
      <c r="A8012" s="1" t="n">
        <v>8011</v>
      </c>
      <c r="B8012">
        <f>TEXT(8011, "[$-0E0000]yyyy-mm-dd")</f>
        <v/>
      </c>
      <c r="C8012" t="inlineStr">
        <is>
          <t>1921-11-09</t>
        </is>
      </c>
    </row>
    <row r="8013">
      <c r="A8013" s="1" t="n">
        <v>8012</v>
      </c>
      <c r="B8013">
        <f>TEXT(8012, "[$-0E0000]yyyy-mm-dd")</f>
        <v/>
      </c>
      <c r="C8013" t="inlineStr">
        <is>
          <t>1921-11-10</t>
        </is>
      </c>
    </row>
    <row r="8014">
      <c r="A8014" s="1" t="n">
        <v>8013</v>
      </c>
      <c r="B8014">
        <f>TEXT(8013, "[$-0E0000]yyyy-mm-dd")</f>
        <v/>
      </c>
      <c r="C8014" t="inlineStr">
        <is>
          <t>1921-11-11</t>
        </is>
      </c>
    </row>
    <row r="8015">
      <c r="A8015" s="1" t="n">
        <v>8014</v>
      </c>
      <c r="B8015">
        <f>TEXT(8014, "[$-0E0000]yyyy-mm-dd")</f>
        <v/>
      </c>
      <c r="C8015" t="inlineStr">
        <is>
          <t>1921-11-12</t>
        </is>
      </c>
    </row>
    <row r="8016">
      <c r="A8016" s="1" t="n">
        <v>8015</v>
      </c>
      <c r="B8016">
        <f>TEXT(8015, "[$-0E0000]yyyy-mm-dd")</f>
        <v/>
      </c>
      <c r="C8016" t="inlineStr">
        <is>
          <t>1921-11-13</t>
        </is>
      </c>
    </row>
    <row r="8017">
      <c r="A8017" s="1" t="n">
        <v>8016</v>
      </c>
      <c r="B8017">
        <f>TEXT(8016, "[$-0E0000]yyyy-mm-dd")</f>
        <v/>
      </c>
      <c r="C8017" t="inlineStr">
        <is>
          <t>1921-11-14</t>
        </is>
      </c>
    </row>
    <row r="8018">
      <c r="A8018" s="1" t="n">
        <v>8017</v>
      </c>
      <c r="B8018">
        <f>TEXT(8017, "[$-0E0000]yyyy-mm-dd")</f>
        <v/>
      </c>
      <c r="C8018" t="inlineStr">
        <is>
          <t>1921-11-15</t>
        </is>
      </c>
    </row>
    <row r="8019">
      <c r="A8019" s="1" t="n">
        <v>8018</v>
      </c>
      <c r="B8019">
        <f>TEXT(8018, "[$-0E0000]yyyy-mm-dd")</f>
        <v/>
      </c>
      <c r="C8019" t="inlineStr">
        <is>
          <t>1921-11-16</t>
        </is>
      </c>
    </row>
    <row r="8020">
      <c r="A8020" s="1" t="n">
        <v>8019</v>
      </c>
      <c r="B8020">
        <f>TEXT(8019, "[$-0E0000]yyyy-mm-dd")</f>
        <v/>
      </c>
      <c r="C8020" t="inlineStr">
        <is>
          <t>1921-11-17</t>
        </is>
      </c>
    </row>
    <row r="8021">
      <c r="A8021" s="1" t="n">
        <v>8020</v>
      </c>
      <c r="B8021">
        <f>TEXT(8020, "[$-0E0000]yyyy-mm-dd")</f>
        <v/>
      </c>
      <c r="C8021" t="inlineStr">
        <is>
          <t>1921-11-18</t>
        </is>
      </c>
    </row>
    <row r="8022">
      <c r="A8022" s="1" t="n">
        <v>8021</v>
      </c>
      <c r="B8022">
        <f>TEXT(8021, "[$-0E0000]yyyy-mm-dd")</f>
        <v/>
      </c>
      <c r="C8022" t="inlineStr">
        <is>
          <t>1921-11-19</t>
        </is>
      </c>
    </row>
    <row r="8023">
      <c r="A8023" s="1" t="n">
        <v>8022</v>
      </c>
      <c r="B8023">
        <f>TEXT(8022, "[$-0E0000]yyyy-mm-dd")</f>
        <v/>
      </c>
      <c r="C8023" t="inlineStr">
        <is>
          <t>1921-11-20</t>
        </is>
      </c>
    </row>
    <row r="8024">
      <c r="A8024" s="1" t="n">
        <v>8023</v>
      </c>
      <c r="B8024">
        <f>TEXT(8023, "[$-0E0000]yyyy-mm-dd")</f>
        <v/>
      </c>
      <c r="C8024" t="inlineStr">
        <is>
          <t>1921-11-21</t>
        </is>
      </c>
    </row>
    <row r="8025">
      <c r="A8025" s="1" t="n">
        <v>8024</v>
      </c>
      <c r="B8025">
        <f>TEXT(8024, "[$-0E0000]yyyy-mm-dd")</f>
        <v/>
      </c>
      <c r="C8025" t="inlineStr">
        <is>
          <t>1921-11-22</t>
        </is>
      </c>
    </row>
    <row r="8026">
      <c r="A8026" s="1" t="n">
        <v>8025</v>
      </c>
      <c r="B8026">
        <f>TEXT(8025, "[$-0E0000]yyyy-mm-dd")</f>
        <v/>
      </c>
      <c r="C8026" t="inlineStr">
        <is>
          <t>1921-11-23</t>
        </is>
      </c>
    </row>
    <row r="8027">
      <c r="A8027" s="1" t="n">
        <v>8026</v>
      </c>
      <c r="B8027">
        <f>TEXT(8026, "[$-0E0000]yyyy-mm-dd")</f>
        <v/>
      </c>
      <c r="C8027" t="inlineStr">
        <is>
          <t>1921-11-24</t>
        </is>
      </c>
    </row>
    <row r="8028">
      <c r="A8028" s="1" t="n">
        <v>8027</v>
      </c>
      <c r="B8028">
        <f>TEXT(8027, "[$-0E0000]yyyy-mm-dd")</f>
        <v/>
      </c>
      <c r="C8028" t="inlineStr">
        <is>
          <t>1921-11-25</t>
        </is>
      </c>
    </row>
    <row r="8029">
      <c r="A8029" s="1" t="n">
        <v>8028</v>
      </c>
      <c r="B8029">
        <f>TEXT(8028, "[$-0E0000]yyyy-mm-dd")</f>
        <v/>
      </c>
      <c r="C8029" t="inlineStr">
        <is>
          <t>1921-11-26</t>
        </is>
      </c>
    </row>
    <row r="8030">
      <c r="A8030" s="1" t="n">
        <v>8029</v>
      </c>
      <c r="B8030">
        <f>TEXT(8029, "[$-0E0000]yyyy-mm-dd")</f>
        <v/>
      </c>
      <c r="C8030" t="inlineStr">
        <is>
          <t>1921-11-27</t>
        </is>
      </c>
    </row>
    <row r="8031">
      <c r="A8031" s="1" t="n">
        <v>8030</v>
      </c>
      <c r="B8031">
        <f>TEXT(8030, "[$-0E0000]yyyy-mm-dd")</f>
        <v/>
      </c>
      <c r="C8031" t="inlineStr">
        <is>
          <t>1921-11-28</t>
        </is>
      </c>
    </row>
    <row r="8032">
      <c r="A8032" s="1" t="n">
        <v>8031</v>
      </c>
      <c r="B8032">
        <f>TEXT(8031, "[$-0E0000]yyyy-mm-dd")</f>
        <v/>
      </c>
      <c r="C8032" t="inlineStr">
        <is>
          <t>1921-11-29</t>
        </is>
      </c>
    </row>
    <row r="8033">
      <c r="A8033" s="1" t="n">
        <v>8032</v>
      </c>
      <c r="B8033">
        <f>TEXT(8032, "[$-0E0000]yyyy-mm-dd")</f>
        <v/>
      </c>
      <c r="C8033" t="inlineStr">
        <is>
          <t>1921-11-30</t>
        </is>
      </c>
    </row>
    <row r="8034">
      <c r="A8034" s="1" t="n">
        <v>8033</v>
      </c>
      <c r="B8034">
        <f>TEXT(8033, "[$-0E0000]yyyy-mm-dd")</f>
        <v/>
      </c>
      <c r="C8034" t="inlineStr">
        <is>
          <t>1921-12-01</t>
        </is>
      </c>
    </row>
    <row r="8035">
      <c r="A8035" s="1" t="n">
        <v>8034</v>
      </c>
      <c r="B8035">
        <f>TEXT(8034, "[$-0E0000]yyyy-mm-dd")</f>
        <v/>
      </c>
      <c r="C8035" t="inlineStr">
        <is>
          <t>1921-12-02</t>
        </is>
      </c>
    </row>
    <row r="8036">
      <c r="A8036" s="1" t="n">
        <v>8035</v>
      </c>
      <c r="B8036">
        <f>TEXT(8035, "[$-0E0000]yyyy-mm-dd")</f>
        <v/>
      </c>
      <c r="C8036" t="inlineStr">
        <is>
          <t>1921-12-03</t>
        </is>
      </c>
    </row>
    <row r="8037">
      <c r="A8037" s="1" t="n">
        <v>8036</v>
      </c>
      <c r="B8037">
        <f>TEXT(8036, "[$-0E0000]yyyy-mm-dd")</f>
        <v/>
      </c>
      <c r="C8037" t="inlineStr">
        <is>
          <t>1921-12-04</t>
        </is>
      </c>
    </row>
    <row r="8038">
      <c r="A8038" s="1" t="n">
        <v>8037</v>
      </c>
      <c r="B8038">
        <f>TEXT(8037, "[$-0E0000]yyyy-mm-dd")</f>
        <v/>
      </c>
      <c r="C8038" t="inlineStr">
        <is>
          <t>1921-12-05</t>
        </is>
      </c>
    </row>
    <row r="8039">
      <c r="A8039" s="1" t="n">
        <v>8038</v>
      </c>
      <c r="B8039">
        <f>TEXT(8038, "[$-0E0000]yyyy-mm-dd")</f>
        <v/>
      </c>
      <c r="C8039" t="inlineStr">
        <is>
          <t>1921-12-06</t>
        </is>
      </c>
    </row>
    <row r="8040">
      <c r="A8040" s="1" t="n">
        <v>8039</v>
      </c>
      <c r="B8040">
        <f>TEXT(8039, "[$-0E0000]yyyy-mm-dd")</f>
        <v/>
      </c>
      <c r="C8040" t="inlineStr">
        <is>
          <t>1921-12-07</t>
        </is>
      </c>
    </row>
    <row r="8041">
      <c r="A8041" s="1" t="n">
        <v>8040</v>
      </c>
      <c r="B8041">
        <f>TEXT(8040, "[$-0E0000]yyyy-mm-dd")</f>
        <v/>
      </c>
      <c r="C8041" t="inlineStr">
        <is>
          <t>1921-12-08</t>
        </is>
      </c>
    </row>
    <row r="8042">
      <c r="A8042" s="1" t="n">
        <v>8041</v>
      </c>
      <c r="B8042">
        <f>TEXT(8041, "[$-0E0000]yyyy-mm-dd")</f>
        <v/>
      </c>
      <c r="C8042" t="inlineStr">
        <is>
          <t>1921-12-09</t>
        </is>
      </c>
    </row>
    <row r="8043">
      <c r="A8043" s="1" t="n">
        <v>8042</v>
      </c>
      <c r="B8043">
        <f>TEXT(8042, "[$-0E0000]yyyy-mm-dd")</f>
        <v/>
      </c>
      <c r="C8043" t="inlineStr">
        <is>
          <t>1921-12-10</t>
        </is>
      </c>
    </row>
    <row r="8044">
      <c r="A8044" s="1" t="n">
        <v>8043</v>
      </c>
      <c r="B8044">
        <f>TEXT(8043, "[$-0E0000]yyyy-mm-dd")</f>
        <v/>
      </c>
      <c r="C8044" t="inlineStr">
        <is>
          <t>1921-12-11</t>
        </is>
      </c>
    </row>
    <row r="8045">
      <c r="A8045" s="1" t="n">
        <v>8044</v>
      </c>
      <c r="B8045">
        <f>TEXT(8044, "[$-0E0000]yyyy-mm-dd")</f>
        <v/>
      </c>
      <c r="C8045" t="inlineStr">
        <is>
          <t>1921-12-12</t>
        </is>
      </c>
    </row>
    <row r="8046">
      <c r="A8046" s="1" t="n">
        <v>8045</v>
      </c>
      <c r="B8046">
        <f>TEXT(8045, "[$-0E0000]yyyy-mm-dd")</f>
        <v/>
      </c>
      <c r="C8046" t="inlineStr">
        <is>
          <t>1921-12-13</t>
        </is>
      </c>
    </row>
    <row r="8047">
      <c r="A8047" s="1" t="n">
        <v>8046</v>
      </c>
      <c r="B8047">
        <f>TEXT(8046, "[$-0E0000]yyyy-mm-dd")</f>
        <v/>
      </c>
      <c r="C8047" t="inlineStr">
        <is>
          <t>1921-12-14</t>
        </is>
      </c>
    </row>
    <row r="8048">
      <c r="A8048" s="1" t="n">
        <v>8047</v>
      </c>
      <c r="B8048">
        <f>TEXT(8047, "[$-0E0000]yyyy-mm-dd")</f>
        <v/>
      </c>
      <c r="C8048" t="inlineStr">
        <is>
          <t>1921-12-15</t>
        </is>
      </c>
    </row>
    <row r="8049">
      <c r="A8049" s="1" t="n">
        <v>8048</v>
      </c>
      <c r="B8049">
        <f>TEXT(8048, "[$-0E0000]yyyy-mm-dd")</f>
        <v/>
      </c>
      <c r="C8049" t="inlineStr">
        <is>
          <t>1921-12-16</t>
        </is>
      </c>
    </row>
    <row r="8050">
      <c r="A8050" s="1" t="n">
        <v>8049</v>
      </c>
      <c r="B8050">
        <f>TEXT(8049, "[$-0E0000]yyyy-mm-dd")</f>
        <v/>
      </c>
      <c r="C8050" t="inlineStr">
        <is>
          <t>1921-12-17</t>
        </is>
      </c>
    </row>
    <row r="8051">
      <c r="A8051" s="1" t="n">
        <v>8050</v>
      </c>
      <c r="B8051">
        <f>TEXT(8050, "[$-0E0000]yyyy-mm-dd")</f>
        <v/>
      </c>
      <c r="C8051" t="inlineStr">
        <is>
          <t>1921-12-18</t>
        </is>
      </c>
    </row>
    <row r="8052">
      <c r="A8052" s="1" t="n">
        <v>8051</v>
      </c>
      <c r="B8052">
        <f>TEXT(8051, "[$-0E0000]yyyy-mm-dd")</f>
        <v/>
      </c>
      <c r="C8052" t="inlineStr">
        <is>
          <t>1921-12-19</t>
        </is>
      </c>
    </row>
    <row r="8053">
      <c r="A8053" s="1" t="n">
        <v>8052</v>
      </c>
      <c r="B8053">
        <f>TEXT(8052, "[$-0E0000]yyyy-mm-dd")</f>
        <v/>
      </c>
      <c r="C8053" t="inlineStr">
        <is>
          <t>1921-12-20</t>
        </is>
      </c>
    </row>
    <row r="8054">
      <c r="A8054" s="1" t="n">
        <v>8053</v>
      </c>
      <c r="B8054">
        <f>TEXT(8053, "[$-0E0000]yyyy-mm-dd")</f>
        <v/>
      </c>
      <c r="C8054" t="inlineStr">
        <is>
          <t>1921-12-21</t>
        </is>
      </c>
    </row>
    <row r="8055">
      <c r="A8055" s="1" t="n">
        <v>8054</v>
      </c>
      <c r="B8055">
        <f>TEXT(8054, "[$-0E0000]yyyy-mm-dd")</f>
        <v/>
      </c>
      <c r="C8055" t="inlineStr">
        <is>
          <t>1921-12-22</t>
        </is>
      </c>
    </row>
    <row r="8056">
      <c r="A8056" s="1" t="n">
        <v>8055</v>
      </c>
      <c r="B8056">
        <f>TEXT(8055, "[$-0E0000]yyyy-mm-dd")</f>
        <v/>
      </c>
      <c r="C8056" t="inlineStr">
        <is>
          <t>1921-12-23</t>
        </is>
      </c>
    </row>
    <row r="8057">
      <c r="A8057" s="1" t="n">
        <v>8056</v>
      </c>
      <c r="B8057">
        <f>TEXT(8056, "[$-0E0000]yyyy-mm-dd")</f>
        <v/>
      </c>
      <c r="C8057" t="inlineStr">
        <is>
          <t>1921-12-24</t>
        </is>
      </c>
    </row>
    <row r="8058">
      <c r="A8058" s="1" t="n">
        <v>8057</v>
      </c>
      <c r="B8058">
        <f>TEXT(8057, "[$-0E0000]yyyy-mm-dd")</f>
        <v/>
      </c>
      <c r="C8058" t="inlineStr">
        <is>
          <t>1921-12-25</t>
        </is>
      </c>
    </row>
    <row r="8059">
      <c r="A8059" s="1" t="n">
        <v>8058</v>
      </c>
      <c r="B8059">
        <f>TEXT(8058, "[$-0E0000]yyyy-mm-dd")</f>
        <v/>
      </c>
      <c r="C8059" t="inlineStr">
        <is>
          <t>1921-12-26</t>
        </is>
      </c>
    </row>
    <row r="8060">
      <c r="A8060" s="1" t="n">
        <v>8059</v>
      </c>
      <c r="B8060">
        <f>TEXT(8059, "[$-0E0000]yyyy-mm-dd")</f>
        <v/>
      </c>
      <c r="C8060" t="inlineStr">
        <is>
          <t>1921-12-27</t>
        </is>
      </c>
    </row>
    <row r="8061">
      <c r="A8061" s="1" t="n">
        <v>8060</v>
      </c>
      <c r="B8061">
        <f>TEXT(8060, "[$-0E0000]yyyy-mm-dd")</f>
        <v/>
      </c>
      <c r="C8061" t="inlineStr">
        <is>
          <t>1921-12-28</t>
        </is>
      </c>
    </row>
    <row r="8062">
      <c r="A8062" s="1" t="n">
        <v>8061</v>
      </c>
      <c r="B8062">
        <f>TEXT(8061, "[$-0E0000]yyyy-mm-dd")</f>
        <v/>
      </c>
      <c r="C8062" t="inlineStr">
        <is>
          <t>1921-12-29</t>
        </is>
      </c>
    </row>
    <row r="8063">
      <c r="A8063" s="1" t="n">
        <v>8062</v>
      </c>
      <c r="B8063">
        <f>TEXT(8062, "[$-0E0000]yyyy-mm-dd")</f>
        <v/>
      </c>
      <c r="C8063" t="inlineStr">
        <is>
          <t>1921-12-30</t>
        </is>
      </c>
    </row>
    <row r="8064">
      <c r="A8064" s="1" t="n">
        <v>8063</v>
      </c>
      <c r="B8064">
        <f>TEXT(8063, "[$-0E0000]yyyy-mm-dd")</f>
        <v/>
      </c>
      <c r="C8064" t="inlineStr">
        <is>
          <t>1922-01-01</t>
        </is>
      </c>
    </row>
    <row r="8065">
      <c r="A8065" s="1" t="n">
        <v>8064</v>
      </c>
      <c r="B8065">
        <f>TEXT(8064, "[$-0E0000]yyyy-mm-dd")</f>
        <v/>
      </c>
      <c r="C8065" t="inlineStr">
        <is>
          <t>1922-01-02</t>
        </is>
      </c>
    </row>
    <row r="8066">
      <c r="A8066" s="1" t="n">
        <v>8065</v>
      </c>
      <c r="B8066">
        <f>TEXT(8065, "[$-0E0000]yyyy-mm-dd")</f>
        <v/>
      </c>
      <c r="C8066" t="inlineStr">
        <is>
          <t>1922-01-03</t>
        </is>
      </c>
    </row>
    <row r="8067">
      <c r="A8067" s="1" t="n">
        <v>8066</v>
      </c>
      <c r="B8067">
        <f>TEXT(8066, "[$-0E0000]yyyy-mm-dd")</f>
        <v/>
      </c>
      <c r="C8067" t="inlineStr">
        <is>
          <t>1922-01-04</t>
        </is>
      </c>
    </row>
    <row r="8068">
      <c r="A8068" s="1" t="n">
        <v>8067</v>
      </c>
      <c r="B8068">
        <f>TEXT(8067, "[$-0E0000]yyyy-mm-dd")</f>
        <v/>
      </c>
      <c r="C8068" t="inlineStr">
        <is>
          <t>1922-01-05</t>
        </is>
      </c>
    </row>
    <row r="8069">
      <c r="A8069" s="1" t="n">
        <v>8068</v>
      </c>
      <c r="B8069">
        <f>TEXT(8068, "[$-0E0000]yyyy-mm-dd")</f>
        <v/>
      </c>
      <c r="C8069" t="inlineStr">
        <is>
          <t>1922-01-06</t>
        </is>
      </c>
    </row>
    <row r="8070">
      <c r="A8070" s="1" t="n">
        <v>8069</v>
      </c>
      <c r="B8070">
        <f>TEXT(8069, "[$-0E0000]yyyy-mm-dd")</f>
        <v/>
      </c>
      <c r="C8070" t="inlineStr">
        <is>
          <t>1922-01-07</t>
        </is>
      </c>
    </row>
    <row r="8071">
      <c r="A8071" s="1" t="n">
        <v>8070</v>
      </c>
      <c r="B8071">
        <f>TEXT(8070, "[$-0E0000]yyyy-mm-dd")</f>
        <v/>
      </c>
      <c r="C8071" t="inlineStr">
        <is>
          <t>1922-01-08</t>
        </is>
      </c>
    </row>
    <row r="8072">
      <c r="A8072" s="1" t="n">
        <v>8071</v>
      </c>
      <c r="B8072">
        <f>TEXT(8071, "[$-0E0000]yyyy-mm-dd")</f>
        <v/>
      </c>
      <c r="C8072" t="inlineStr">
        <is>
          <t>1922-01-09</t>
        </is>
      </c>
    </row>
    <row r="8073">
      <c r="A8073" s="1" t="n">
        <v>8072</v>
      </c>
      <c r="B8073">
        <f>TEXT(8072, "[$-0E0000]yyyy-mm-dd")</f>
        <v/>
      </c>
      <c r="C8073" t="inlineStr">
        <is>
          <t>1922-01-10</t>
        </is>
      </c>
    </row>
    <row r="8074">
      <c r="A8074" s="1" t="n">
        <v>8073</v>
      </c>
      <c r="B8074">
        <f>TEXT(8073, "[$-0E0000]yyyy-mm-dd")</f>
        <v/>
      </c>
      <c r="C8074" t="inlineStr">
        <is>
          <t>1922-01-11</t>
        </is>
      </c>
    </row>
    <row r="8075">
      <c r="A8075" s="1" t="n">
        <v>8074</v>
      </c>
      <c r="B8075">
        <f>TEXT(8074, "[$-0E0000]yyyy-mm-dd")</f>
        <v/>
      </c>
      <c r="C8075" t="inlineStr">
        <is>
          <t>1922-01-12</t>
        </is>
      </c>
    </row>
    <row r="8076">
      <c r="A8076" s="1" t="n">
        <v>8075</v>
      </c>
      <c r="B8076">
        <f>TEXT(8075, "[$-0E0000]yyyy-mm-dd")</f>
        <v/>
      </c>
      <c r="C8076" t="inlineStr">
        <is>
          <t>1922-01-13</t>
        </is>
      </c>
    </row>
    <row r="8077">
      <c r="A8077" s="1" t="n">
        <v>8076</v>
      </c>
      <c r="B8077">
        <f>TEXT(8076, "[$-0E0000]yyyy-mm-dd")</f>
        <v/>
      </c>
      <c r="C8077" t="inlineStr">
        <is>
          <t>1922-01-14</t>
        </is>
      </c>
    </row>
    <row r="8078">
      <c r="A8078" s="1" t="n">
        <v>8077</v>
      </c>
      <c r="B8078">
        <f>TEXT(8077, "[$-0E0000]yyyy-mm-dd")</f>
        <v/>
      </c>
      <c r="C8078" t="inlineStr">
        <is>
          <t>1922-01-15</t>
        </is>
      </c>
    </row>
    <row r="8079">
      <c r="A8079" s="1" t="n">
        <v>8078</v>
      </c>
      <c r="B8079">
        <f>TEXT(8078, "[$-0E0000]yyyy-mm-dd")</f>
        <v/>
      </c>
      <c r="C8079" t="inlineStr">
        <is>
          <t>1922-01-16</t>
        </is>
      </c>
    </row>
    <row r="8080">
      <c r="A8080" s="1" t="n">
        <v>8079</v>
      </c>
      <c r="B8080">
        <f>TEXT(8079, "[$-0E0000]yyyy-mm-dd")</f>
        <v/>
      </c>
      <c r="C8080" t="inlineStr">
        <is>
          <t>1922-01-17</t>
        </is>
      </c>
    </row>
    <row r="8081">
      <c r="A8081" s="1" t="n">
        <v>8080</v>
      </c>
      <c r="B8081">
        <f>TEXT(8080, "[$-0E0000]yyyy-mm-dd")</f>
        <v/>
      </c>
      <c r="C8081" t="inlineStr">
        <is>
          <t>1922-01-18</t>
        </is>
      </c>
    </row>
    <row r="8082">
      <c r="A8082" s="1" t="n">
        <v>8081</v>
      </c>
      <c r="B8082">
        <f>TEXT(8081, "[$-0E0000]yyyy-mm-dd")</f>
        <v/>
      </c>
      <c r="C8082" t="inlineStr">
        <is>
          <t>1922-01-19</t>
        </is>
      </c>
    </row>
    <row r="8083">
      <c r="A8083" s="1" t="n">
        <v>8082</v>
      </c>
      <c r="B8083">
        <f>TEXT(8082, "[$-0E0000]yyyy-mm-dd")</f>
        <v/>
      </c>
      <c r="C8083" t="inlineStr">
        <is>
          <t>1922-01-20</t>
        </is>
      </c>
    </row>
    <row r="8084">
      <c r="A8084" s="1" t="n">
        <v>8083</v>
      </c>
      <c r="B8084">
        <f>TEXT(8083, "[$-0E0000]yyyy-mm-dd")</f>
        <v/>
      </c>
      <c r="C8084" t="inlineStr">
        <is>
          <t>1922-01-21</t>
        </is>
      </c>
    </row>
    <row r="8085">
      <c r="A8085" s="1" t="n">
        <v>8084</v>
      </c>
      <c r="B8085">
        <f>TEXT(8084, "[$-0E0000]yyyy-mm-dd")</f>
        <v/>
      </c>
      <c r="C8085" t="inlineStr">
        <is>
          <t>1922-01-22</t>
        </is>
      </c>
    </row>
    <row r="8086">
      <c r="A8086" s="1" t="n">
        <v>8085</v>
      </c>
      <c r="B8086">
        <f>TEXT(8085, "[$-0E0000]yyyy-mm-dd")</f>
        <v/>
      </c>
      <c r="C8086" t="inlineStr">
        <is>
          <t>1922-01-23</t>
        </is>
      </c>
    </row>
    <row r="8087">
      <c r="A8087" s="1" t="n">
        <v>8086</v>
      </c>
      <c r="B8087">
        <f>TEXT(8086, "[$-0E0000]yyyy-mm-dd")</f>
        <v/>
      </c>
      <c r="C8087" t="inlineStr">
        <is>
          <t>1922-01-24</t>
        </is>
      </c>
    </row>
    <row r="8088">
      <c r="A8088" s="1" t="n">
        <v>8087</v>
      </c>
      <c r="B8088">
        <f>TEXT(8087, "[$-0E0000]yyyy-mm-dd")</f>
        <v/>
      </c>
      <c r="C8088" t="inlineStr">
        <is>
          <t>1922-01-25</t>
        </is>
      </c>
    </row>
    <row r="8089">
      <c r="A8089" s="1" t="n">
        <v>8088</v>
      </c>
      <c r="B8089">
        <f>TEXT(8088, "[$-0E0000]yyyy-mm-dd")</f>
        <v/>
      </c>
      <c r="C8089" t="inlineStr">
        <is>
          <t>1922-01-26</t>
        </is>
      </c>
    </row>
    <row r="8090">
      <c r="A8090" s="1" t="n">
        <v>8089</v>
      </c>
      <c r="B8090">
        <f>TEXT(8089, "[$-0E0000]yyyy-mm-dd")</f>
        <v/>
      </c>
      <c r="C8090" t="inlineStr">
        <is>
          <t>1922-01-27</t>
        </is>
      </c>
    </row>
    <row r="8091">
      <c r="A8091" s="1" t="n">
        <v>8090</v>
      </c>
      <c r="B8091">
        <f>TEXT(8090, "[$-0E0000]yyyy-mm-dd")</f>
        <v/>
      </c>
      <c r="C8091" t="inlineStr">
        <is>
          <t>1922-01-28</t>
        </is>
      </c>
    </row>
    <row r="8092">
      <c r="A8092" s="1" t="n">
        <v>8091</v>
      </c>
      <c r="B8092">
        <f>TEXT(8091, "[$-0E0000]yyyy-mm-dd")</f>
        <v/>
      </c>
      <c r="C8092" t="inlineStr">
        <is>
          <t>1922-01-29</t>
        </is>
      </c>
    </row>
    <row r="8093">
      <c r="A8093" s="1" t="n">
        <v>8092</v>
      </c>
      <c r="B8093">
        <f>TEXT(8092, "[$-0E0000]yyyy-mm-dd")</f>
        <v/>
      </c>
      <c r="C8093" t="inlineStr">
        <is>
          <t>1922-01-30</t>
        </is>
      </c>
    </row>
    <row r="8094">
      <c r="A8094" s="1" t="n">
        <v>8093</v>
      </c>
      <c r="B8094">
        <f>TEXT(8093, "[$-0E0000]yyyy-mm-dd")</f>
        <v/>
      </c>
      <c r="C8094" t="inlineStr">
        <is>
          <t>1922-02-01</t>
        </is>
      </c>
    </row>
    <row r="8095">
      <c r="A8095" s="1" t="n">
        <v>8094</v>
      </c>
      <c r="B8095">
        <f>TEXT(8094, "[$-0E0000]yyyy-mm-dd")</f>
        <v/>
      </c>
      <c r="C8095" t="inlineStr">
        <is>
          <t>1922-02-02</t>
        </is>
      </c>
    </row>
    <row r="8096">
      <c r="A8096" s="1" t="n">
        <v>8095</v>
      </c>
      <c r="B8096">
        <f>TEXT(8095, "[$-0E0000]yyyy-mm-dd")</f>
        <v/>
      </c>
      <c r="C8096" t="inlineStr">
        <is>
          <t>1922-02-03</t>
        </is>
      </c>
    </row>
    <row r="8097">
      <c r="A8097" s="1" t="n">
        <v>8096</v>
      </c>
      <c r="B8097">
        <f>TEXT(8096, "[$-0E0000]yyyy-mm-dd")</f>
        <v/>
      </c>
      <c r="C8097" t="inlineStr">
        <is>
          <t>1922-02-04</t>
        </is>
      </c>
    </row>
    <row r="8098">
      <c r="A8098" s="1" t="n">
        <v>8097</v>
      </c>
      <c r="B8098">
        <f>TEXT(8097, "[$-0E0000]yyyy-mm-dd")</f>
        <v/>
      </c>
      <c r="C8098" t="inlineStr">
        <is>
          <t>1922-02-05</t>
        </is>
      </c>
    </row>
    <row r="8099">
      <c r="A8099" s="1" t="n">
        <v>8098</v>
      </c>
      <c r="B8099">
        <f>TEXT(8098, "[$-0E0000]yyyy-mm-dd")</f>
        <v/>
      </c>
      <c r="C8099" t="inlineStr">
        <is>
          <t>1922-02-06</t>
        </is>
      </c>
    </row>
    <row r="8100">
      <c r="A8100" s="1" t="n">
        <v>8099</v>
      </c>
      <c r="B8100">
        <f>TEXT(8099, "[$-0E0000]yyyy-mm-dd")</f>
        <v/>
      </c>
      <c r="C8100" t="inlineStr">
        <is>
          <t>1922-02-07</t>
        </is>
      </c>
    </row>
    <row r="8101">
      <c r="A8101" s="1" t="n">
        <v>8100</v>
      </c>
      <c r="B8101">
        <f>TEXT(8100, "[$-0E0000]yyyy-mm-dd")</f>
        <v/>
      </c>
      <c r="C8101" t="inlineStr">
        <is>
          <t>1922-02-08</t>
        </is>
      </c>
    </row>
    <row r="8102">
      <c r="A8102" s="1" t="n">
        <v>8101</v>
      </c>
      <c r="B8102">
        <f>TEXT(8101, "[$-0E0000]yyyy-mm-dd")</f>
        <v/>
      </c>
      <c r="C8102" t="inlineStr">
        <is>
          <t>1922-02-09</t>
        </is>
      </c>
    </row>
    <row r="8103">
      <c r="A8103" s="1" t="n">
        <v>8102</v>
      </c>
      <c r="B8103">
        <f>TEXT(8102, "[$-0E0000]yyyy-mm-dd")</f>
        <v/>
      </c>
      <c r="C8103" t="inlineStr">
        <is>
          <t>1922-02-10</t>
        </is>
      </c>
    </row>
    <row r="8104">
      <c r="A8104" s="1" t="n">
        <v>8103</v>
      </c>
      <c r="B8104">
        <f>TEXT(8103, "[$-0E0000]yyyy-mm-dd")</f>
        <v/>
      </c>
      <c r="C8104" t="inlineStr">
        <is>
          <t>1922-02-11</t>
        </is>
      </c>
    </row>
    <row r="8105">
      <c r="A8105" s="1" t="n">
        <v>8104</v>
      </c>
      <c r="B8105">
        <f>TEXT(8104, "[$-0E0000]yyyy-mm-dd")</f>
        <v/>
      </c>
      <c r="C8105" t="inlineStr">
        <is>
          <t>1922-02-12</t>
        </is>
      </c>
    </row>
    <row r="8106">
      <c r="A8106" s="1" t="n">
        <v>8105</v>
      </c>
      <c r="B8106">
        <f>TEXT(8105, "[$-0E0000]yyyy-mm-dd")</f>
        <v/>
      </c>
      <c r="C8106" t="inlineStr">
        <is>
          <t>1922-02-13</t>
        </is>
      </c>
    </row>
    <row r="8107">
      <c r="A8107" s="1" t="n">
        <v>8106</v>
      </c>
      <c r="B8107">
        <f>TEXT(8106, "[$-0E0000]yyyy-mm-dd")</f>
        <v/>
      </c>
      <c r="C8107" t="inlineStr">
        <is>
          <t>1922-02-14</t>
        </is>
      </c>
    </row>
    <row r="8108">
      <c r="A8108" s="1" t="n">
        <v>8107</v>
      </c>
      <c r="B8108">
        <f>TEXT(8107, "[$-0E0000]yyyy-mm-dd")</f>
        <v/>
      </c>
      <c r="C8108" t="inlineStr">
        <is>
          <t>1922-02-15</t>
        </is>
      </c>
    </row>
    <row r="8109">
      <c r="A8109" s="1" t="n">
        <v>8108</v>
      </c>
      <c r="B8109">
        <f>TEXT(8108, "[$-0E0000]yyyy-mm-dd")</f>
        <v/>
      </c>
      <c r="C8109" t="inlineStr">
        <is>
          <t>1922-02-16</t>
        </is>
      </c>
    </row>
    <row r="8110">
      <c r="A8110" s="1" t="n">
        <v>8109</v>
      </c>
      <c r="B8110">
        <f>TEXT(8109, "[$-0E0000]yyyy-mm-dd")</f>
        <v/>
      </c>
      <c r="C8110" t="inlineStr">
        <is>
          <t>1922-02-17</t>
        </is>
      </c>
    </row>
    <row r="8111">
      <c r="A8111" s="1" t="n">
        <v>8110</v>
      </c>
      <c r="B8111">
        <f>TEXT(8110, "[$-0E0000]yyyy-mm-dd")</f>
        <v/>
      </c>
      <c r="C8111" t="inlineStr">
        <is>
          <t>1922-02-18</t>
        </is>
      </c>
    </row>
    <row r="8112">
      <c r="A8112" s="1" t="n">
        <v>8111</v>
      </c>
      <c r="B8112">
        <f>TEXT(8111, "[$-0E0000]yyyy-mm-dd")</f>
        <v/>
      </c>
      <c r="C8112" t="inlineStr">
        <is>
          <t>1922-02-19</t>
        </is>
      </c>
    </row>
    <row r="8113">
      <c r="A8113" s="1" t="n">
        <v>8112</v>
      </c>
      <c r="B8113">
        <f>TEXT(8112, "[$-0E0000]yyyy-mm-dd")</f>
        <v/>
      </c>
      <c r="C8113" t="inlineStr">
        <is>
          <t>1922-02-20</t>
        </is>
      </c>
    </row>
    <row r="8114">
      <c r="A8114" s="1" t="n">
        <v>8113</v>
      </c>
      <c r="B8114">
        <f>TEXT(8113, "[$-0E0000]yyyy-mm-dd")</f>
        <v/>
      </c>
      <c r="C8114" t="inlineStr">
        <is>
          <t>1922-02-21</t>
        </is>
      </c>
    </row>
    <row r="8115">
      <c r="A8115" s="1" t="n">
        <v>8114</v>
      </c>
      <c r="B8115">
        <f>TEXT(8114, "[$-0E0000]yyyy-mm-dd")</f>
        <v/>
      </c>
      <c r="C8115" t="inlineStr">
        <is>
          <t>1922-02-22</t>
        </is>
      </c>
    </row>
    <row r="8116">
      <c r="A8116" s="1" t="n">
        <v>8115</v>
      </c>
      <c r="B8116">
        <f>TEXT(8115, "[$-0E0000]yyyy-mm-dd")</f>
        <v/>
      </c>
      <c r="C8116" t="inlineStr">
        <is>
          <t>1922-02-23</t>
        </is>
      </c>
    </row>
    <row r="8117">
      <c r="A8117" s="1" t="n">
        <v>8116</v>
      </c>
      <c r="B8117">
        <f>TEXT(8116, "[$-0E0000]yyyy-mm-dd")</f>
        <v/>
      </c>
      <c r="C8117" t="inlineStr">
        <is>
          <t>1922-02-24</t>
        </is>
      </c>
    </row>
    <row r="8118">
      <c r="A8118" s="1" t="n">
        <v>8117</v>
      </c>
      <c r="B8118">
        <f>TEXT(8117, "[$-0E0000]yyyy-mm-dd")</f>
        <v/>
      </c>
      <c r="C8118" t="inlineStr">
        <is>
          <t>1922-02-25</t>
        </is>
      </c>
    </row>
    <row r="8119">
      <c r="A8119" s="1" t="n">
        <v>8118</v>
      </c>
      <c r="B8119">
        <f>TEXT(8118, "[$-0E0000]yyyy-mm-dd")</f>
        <v/>
      </c>
      <c r="C8119" t="inlineStr">
        <is>
          <t>1922-02-26</t>
        </is>
      </c>
    </row>
    <row r="8120">
      <c r="A8120" s="1" t="n">
        <v>8119</v>
      </c>
      <c r="B8120">
        <f>TEXT(8119, "[$-0E0000]yyyy-mm-dd")</f>
        <v/>
      </c>
      <c r="C8120" t="inlineStr">
        <is>
          <t>1922-02-27</t>
        </is>
      </c>
    </row>
    <row r="8121">
      <c r="A8121" s="1" t="n">
        <v>8120</v>
      </c>
      <c r="B8121">
        <f>TEXT(8120, "[$-0E0000]yyyy-mm-dd")</f>
        <v/>
      </c>
      <c r="C8121" t="inlineStr">
        <is>
          <t>1922-02-28</t>
        </is>
      </c>
    </row>
    <row r="8122">
      <c r="A8122" s="1" t="n">
        <v>8121</v>
      </c>
      <c r="B8122">
        <f>TEXT(8121, "[$-0E0000]yyyy-mm-dd")</f>
        <v/>
      </c>
      <c r="C8122" t="inlineStr">
        <is>
          <t>1922-02-29</t>
        </is>
      </c>
    </row>
    <row r="8123">
      <c r="A8123" s="1" t="n">
        <v>8122</v>
      </c>
      <c r="B8123">
        <f>TEXT(8122, "[$-0E0000]yyyy-mm-dd")</f>
        <v/>
      </c>
      <c r="C8123" t="inlineStr">
        <is>
          <t>1922-03-01</t>
        </is>
      </c>
    </row>
    <row r="8124">
      <c r="A8124" s="1" t="n">
        <v>8123</v>
      </c>
      <c r="B8124">
        <f>TEXT(8123, "[$-0E0000]yyyy-mm-dd")</f>
        <v/>
      </c>
      <c r="C8124" t="inlineStr">
        <is>
          <t>1922-03-02</t>
        </is>
      </c>
    </row>
    <row r="8125">
      <c r="A8125" s="1" t="n">
        <v>8124</v>
      </c>
      <c r="B8125">
        <f>TEXT(8124, "[$-0E0000]yyyy-mm-dd")</f>
        <v/>
      </c>
      <c r="C8125" t="inlineStr">
        <is>
          <t>1922-03-03</t>
        </is>
      </c>
    </row>
    <row r="8126">
      <c r="A8126" s="1" t="n">
        <v>8125</v>
      </c>
      <c r="B8126">
        <f>TEXT(8125, "[$-0E0000]yyyy-mm-dd")</f>
        <v/>
      </c>
      <c r="C8126" t="inlineStr">
        <is>
          <t>1922-03-04</t>
        </is>
      </c>
    </row>
    <row r="8127">
      <c r="A8127" s="1" t="n">
        <v>8126</v>
      </c>
      <c r="B8127">
        <f>TEXT(8126, "[$-0E0000]yyyy-mm-dd")</f>
        <v/>
      </c>
      <c r="C8127" t="inlineStr">
        <is>
          <t>1922-03-05</t>
        </is>
      </c>
    </row>
    <row r="8128">
      <c r="A8128" s="1" t="n">
        <v>8127</v>
      </c>
      <c r="B8128">
        <f>TEXT(8127, "[$-0E0000]yyyy-mm-dd")</f>
        <v/>
      </c>
      <c r="C8128" t="inlineStr">
        <is>
          <t>1922-03-06</t>
        </is>
      </c>
    </row>
    <row r="8129">
      <c r="A8129" s="1" t="n">
        <v>8128</v>
      </c>
      <c r="B8129">
        <f>TEXT(8128, "[$-0E0000]yyyy-mm-dd")</f>
        <v/>
      </c>
      <c r="C8129" t="inlineStr">
        <is>
          <t>1922-03-07</t>
        </is>
      </c>
    </row>
    <row r="8130">
      <c r="A8130" s="1" t="n">
        <v>8129</v>
      </c>
      <c r="B8130">
        <f>TEXT(8129, "[$-0E0000]yyyy-mm-dd")</f>
        <v/>
      </c>
      <c r="C8130" t="inlineStr">
        <is>
          <t>1922-03-08</t>
        </is>
      </c>
    </row>
    <row r="8131">
      <c r="A8131" s="1" t="n">
        <v>8130</v>
      </c>
      <c r="B8131">
        <f>TEXT(8130, "[$-0E0000]yyyy-mm-dd")</f>
        <v/>
      </c>
      <c r="C8131" t="inlineStr">
        <is>
          <t>1922-03-09</t>
        </is>
      </c>
    </row>
    <row r="8132">
      <c r="A8132" s="1" t="n">
        <v>8131</v>
      </c>
      <c r="B8132">
        <f>TEXT(8131, "[$-0E0000]yyyy-mm-dd")</f>
        <v/>
      </c>
      <c r="C8132" t="inlineStr">
        <is>
          <t>1922-03-10</t>
        </is>
      </c>
    </row>
    <row r="8133">
      <c r="A8133" s="1" t="n">
        <v>8132</v>
      </c>
      <c r="B8133">
        <f>TEXT(8132, "[$-0E0000]yyyy-mm-dd")</f>
        <v/>
      </c>
      <c r="C8133" t="inlineStr">
        <is>
          <t>1922-03-11</t>
        </is>
      </c>
    </row>
    <row r="8134">
      <c r="A8134" s="1" t="n">
        <v>8133</v>
      </c>
      <c r="B8134">
        <f>TEXT(8133, "[$-0E0000]yyyy-mm-dd")</f>
        <v/>
      </c>
      <c r="C8134" t="inlineStr">
        <is>
          <t>1922-03-12</t>
        </is>
      </c>
    </row>
    <row r="8135">
      <c r="A8135" s="1" t="n">
        <v>8134</v>
      </c>
      <c r="B8135">
        <f>TEXT(8134, "[$-0E0000]yyyy-mm-dd")</f>
        <v/>
      </c>
      <c r="C8135" t="inlineStr">
        <is>
          <t>1922-03-13</t>
        </is>
      </c>
    </row>
    <row r="8136">
      <c r="A8136" s="1" t="n">
        <v>8135</v>
      </c>
      <c r="B8136">
        <f>TEXT(8135, "[$-0E0000]yyyy-mm-dd")</f>
        <v/>
      </c>
      <c r="C8136" t="inlineStr">
        <is>
          <t>1922-03-14</t>
        </is>
      </c>
    </row>
    <row r="8137">
      <c r="A8137" s="1" t="n">
        <v>8136</v>
      </c>
      <c r="B8137">
        <f>TEXT(8136, "[$-0E0000]yyyy-mm-dd")</f>
        <v/>
      </c>
      <c r="C8137" t="inlineStr">
        <is>
          <t>1922-03-15</t>
        </is>
      </c>
    </row>
    <row r="8138">
      <c r="A8138" s="1" t="n">
        <v>8137</v>
      </c>
      <c r="B8138">
        <f>TEXT(8137, "[$-0E0000]yyyy-mm-dd")</f>
        <v/>
      </c>
      <c r="C8138" t="inlineStr">
        <is>
          <t>1922-03-16</t>
        </is>
      </c>
    </row>
    <row r="8139">
      <c r="A8139" s="1" t="n">
        <v>8138</v>
      </c>
      <c r="B8139">
        <f>TEXT(8138, "[$-0E0000]yyyy-mm-dd")</f>
        <v/>
      </c>
      <c r="C8139" t="inlineStr">
        <is>
          <t>1922-03-17</t>
        </is>
      </c>
    </row>
    <row r="8140">
      <c r="A8140" s="1" t="n">
        <v>8139</v>
      </c>
      <c r="B8140">
        <f>TEXT(8139, "[$-0E0000]yyyy-mm-dd")</f>
        <v/>
      </c>
      <c r="C8140" t="inlineStr">
        <is>
          <t>1922-03-18</t>
        </is>
      </c>
    </row>
    <row r="8141">
      <c r="A8141" s="1" t="n">
        <v>8140</v>
      </c>
      <c r="B8141">
        <f>TEXT(8140, "[$-0E0000]yyyy-mm-dd")</f>
        <v/>
      </c>
      <c r="C8141" t="inlineStr">
        <is>
          <t>1922-03-19</t>
        </is>
      </c>
    </row>
    <row r="8142">
      <c r="A8142" s="1" t="n">
        <v>8141</v>
      </c>
      <c r="B8142">
        <f>TEXT(8141, "[$-0E0000]yyyy-mm-dd")</f>
        <v/>
      </c>
      <c r="C8142" t="inlineStr">
        <is>
          <t>1922-03-20</t>
        </is>
      </c>
    </row>
    <row r="8143">
      <c r="A8143" s="1" t="n">
        <v>8142</v>
      </c>
      <c r="B8143">
        <f>TEXT(8142, "[$-0E0000]yyyy-mm-dd")</f>
        <v/>
      </c>
      <c r="C8143" t="inlineStr">
        <is>
          <t>1922-03-21</t>
        </is>
      </c>
    </row>
    <row r="8144">
      <c r="A8144" s="1" t="n">
        <v>8143</v>
      </c>
      <c r="B8144">
        <f>TEXT(8143, "[$-0E0000]yyyy-mm-dd")</f>
        <v/>
      </c>
      <c r="C8144" t="inlineStr">
        <is>
          <t>1922-03-22</t>
        </is>
      </c>
    </row>
    <row r="8145">
      <c r="A8145" s="1" t="n">
        <v>8144</v>
      </c>
      <c r="B8145">
        <f>TEXT(8144, "[$-0E0000]yyyy-mm-dd")</f>
        <v/>
      </c>
      <c r="C8145" t="inlineStr">
        <is>
          <t>1922-03-23</t>
        </is>
      </c>
    </row>
    <row r="8146">
      <c r="A8146" s="1" t="n">
        <v>8145</v>
      </c>
      <c r="B8146">
        <f>TEXT(8145, "[$-0E0000]yyyy-mm-dd")</f>
        <v/>
      </c>
      <c r="C8146" t="inlineStr">
        <is>
          <t>1922-03-24</t>
        </is>
      </c>
    </row>
    <row r="8147">
      <c r="A8147" s="1" t="n">
        <v>8146</v>
      </c>
      <c r="B8147">
        <f>TEXT(8146, "[$-0E0000]yyyy-mm-dd")</f>
        <v/>
      </c>
      <c r="C8147" t="inlineStr">
        <is>
          <t>1922-03-25</t>
        </is>
      </c>
    </row>
    <row r="8148">
      <c r="A8148" s="1" t="n">
        <v>8147</v>
      </c>
      <c r="B8148">
        <f>TEXT(8147, "[$-0E0000]yyyy-mm-dd")</f>
        <v/>
      </c>
      <c r="C8148" t="inlineStr">
        <is>
          <t>1922-03-26</t>
        </is>
      </c>
    </row>
    <row r="8149">
      <c r="A8149" s="1" t="n">
        <v>8148</v>
      </c>
      <c r="B8149">
        <f>TEXT(8148, "[$-0E0000]yyyy-mm-dd")</f>
        <v/>
      </c>
      <c r="C8149" t="inlineStr">
        <is>
          <t>1922-03-27</t>
        </is>
      </c>
    </row>
    <row r="8150">
      <c r="A8150" s="1" t="n">
        <v>8149</v>
      </c>
      <c r="B8150">
        <f>TEXT(8149, "[$-0E0000]yyyy-mm-dd")</f>
        <v/>
      </c>
      <c r="C8150" t="inlineStr">
        <is>
          <t>1922-03-28</t>
        </is>
      </c>
    </row>
    <row r="8151">
      <c r="A8151" s="1" t="n">
        <v>8150</v>
      </c>
      <c r="B8151">
        <f>TEXT(8150, "[$-0E0000]yyyy-mm-dd")</f>
        <v/>
      </c>
      <c r="C8151" t="inlineStr">
        <is>
          <t>1922-03-29</t>
        </is>
      </c>
    </row>
    <row r="8152">
      <c r="A8152" s="1" t="n">
        <v>8151</v>
      </c>
      <c r="B8152">
        <f>TEXT(8151, "[$-0E0000]yyyy-mm-dd")</f>
        <v/>
      </c>
      <c r="C8152" t="inlineStr">
        <is>
          <t>1922-03-30</t>
        </is>
      </c>
    </row>
    <row r="8153">
      <c r="A8153" s="1" t="n">
        <v>8152</v>
      </c>
      <c r="B8153">
        <f>TEXT(8152, "[$-0E0000]yyyy-mm-dd")</f>
        <v/>
      </c>
      <c r="C8153" t="inlineStr">
        <is>
          <t>1922-04-01</t>
        </is>
      </c>
    </row>
    <row r="8154">
      <c r="A8154" s="1" t="n">
        <v>8153</v>
      </c>
      <c r="B8154">
        <f>TEXT(8153, "[$-0E0000]yyyy-mm-dd")</f>
        <v/>
      </c>
      <c r="C8154" t="inlineStr">
        <is>
          <t>1922-04-02</t>
        </is>
      </c>
    </row>
    <row r="8155">
      <c r="A8155" s="1" t="n">
        <v>8154</v>
      </c>
      <c r="B8155">
        <f>TEXT(8154, "[$-0E0000]yyyy-mm-dd")</f>
        <v/>
      </c>
      <c r="C8155" t="inlineStr">
        <is>
          <t>1922-04-03</t>
        </is>
      </c>
    </row>
    <row r="8156">
      <c r="A8156" s="1" t="n">
        <v>8155</v>
      </c>
      <c r="B8156">
        <f>TEXT(8155, "[$-0E0000]yyyy-mm-dd")</f>
        <v/>
      </c>
      <c r="C8156" t="inlineStr">
        <is>
          <t>1922-04-04</t>
        </is>
      </c>
    </row>
    <row r="8157">
      <c r="A8157" s="1" t="n">
        <v>8156</v>
      </c>
      <c r="B8157">
        <f>TEXT(8156, "[$-0E0000]yyyy-mm-dd")</f>
        <v/>
      </c>
      <c r="C8157" t="inlineStr">
        <is>
          <t>1922-04-05</t>
        </is>
      </c>
    </row>
    <row r="8158">
      <c r="A8158" s="1" t="n">
        <v>8157</v>
      </c>
      <c r="B8158">
        <f>TEXT(8157, "[$-0E0000]yyyy-mm-dd")</f>
        <v/>
      </c>
      <c r="C8158" t="inlineStr">
        <is>
          <t>1922-04-06</t>
        </is>
      </c>
    </row>
    <row r="8159">
      <c r="A8159" s="1" t="n">
        <v>8158</v>
      </c>
      <c r="B8159">
        <f>TEXT(8158, "[$-0E0000]yyyy-mm-dd")</f>
        <v/>
      </c>
      <c r="C8159" t="inlineStr">
        <is>
          <t>1922-04-07</t>
        </is>
      </c>
    </row>
    <row r="8160">
      <c r="A8160" s="1" t="n">
        <v>8159</v>
      </c>
      <c r="B8160">
        <f>TEXT(8159, "[$-0E0000]yyyy-mm-dd")</f>
        <v/>
      </c>
      <c r="C8160" t="inlineStr">
        <is>
          <t>1922-04-08</t>
        </is>
      </c>
    </row>
    <row r="8161">
      <c r="A8161" s="1" t="n">
        <v>8160</v>
      </c>
      <c r="B8161">
        <f>TEXT(8160, "[$-0E0000]yyyy-mm-dd")</f>
        <v/>
      </c>
      <c r="C8161" t="inlineStr">
        <is>
          <t>1922-04-09</t>
        </is>
      </c>
    </row>
    <row r="8162">
      <c r="A8162" s="1" t="n">
        <v>8161</v>
      </c>
      <c r="B8162">
        <f>TEXT(8161, "[$-0E0000]yyyy-mm-dd")</f>
        <v/>
      </c>
      <c r="C8162" t="inlineStr">
        <is>
          <t>1922-04-10</t>
        </is>
      </c>
    </row>
    <row r="8163">
      <c r="A8163" s="1" t="n">
        <v>8162</v>
      </c>
      <c r="B8163">
        <f>TEXT(8162, "[$-0E0000]yyyy-mm-dd")</f>
        <v/>
      </c>
      <c r="C8163" t="inlineStr">
        <is>
          <t>1922-04-11</t>
        </is>
      </c>
    </row>
    <row r="8164">
      <c r="A8164" s="1" t="n">
        <v>8163</v>
      </c>
      <c r="B8164">
        <f>TEXT(8163, "[$-0E0000]yyyy-mm-dd")</f>
        <v/>
      </c>
      <c r="C8164" t="inlineStr">
        <is>
          <t>1922-04-12</t>
        </is>
      </c>
    </row>
    <row r="8165">
      <c r="A8165" s="1" t="n">
        <v>8164</v>
      </c>
      <c r="B8165">
        <f>TEXT(8164, "[$-0E0000]yyyy-mm-dd")</f>
        <v/>
      </c>
      <c r="C8165" t="inlineStr">
        <is>
          <t>1922-04-13</t>
        </is>
      </c>
    </row>
    <row r="8166">
      <c r="A8166" s="1" t="n">
        <v>8165</v>
      </c>
      <c r="B8166">
        <f>TEXT(8165, "[$-0E0000]yyyy-mm-dd")</f>
        <v/>
      </c>
      <c r="C8166" t="inlineStr">
        <is>
          <t>1922-04-14</t>
        </is>
      </c>
    </row>
    <row r="8167">
      <c r="A8167" s="1" t="n">
        <v>8166</v>
      </c>
      <c r="B8167">
        <f>TEXT(8166, "[$-0E0000]yyyy-mm-dd")</f>
        <v/>
      </c>
      <c r="C8167" t="inlineStr">
        <is>
          <t>1922-04-15</t>
        </is>
      </c>
    </row>
    <row r="8168">
      <c r="A8168" s="1" t="n">
        <v>8167</v>
      </c>
      <c r="B8168">
        <f>TEXT(8167, "[$-0E0000]yyyy-mm-dd")</f>
        <v/>
      </c>
      <c r="C8168" t="inlineStr">
        <is>
          <t>1922-04-16</t>
        </is>
      </c>
    </row>
    <row r="8169">
      <c r="A8169" s="1" t="n">
        <v>8168</v>
      </c>
      <c r="B8169">
        <f>TEXT(8168, "[$-0E0000]yyyy-mm-dd")</f>
        <v/>
      </c>
      <c r="C8169" t="inlineStr">
        <is>
          <t>1922-04-17</t>
        </is>
      </c>
    </row>
    <row r="8170">
      <c r="A8170" s="1" t="n">
        <v>8169</v>
      </c>
      <c r="B8170">
        <f>TEXT(8169, "[$-0E0000]yyyy-mm-dd")</f>
        <v/>
      </c>
      <c r="C8170" t="inlineStr">
        <is>
          <t>1922-04-18</t>
        </is>
      </c>
    </row>
    <row r="8171">
      <c r="A8171" s="1" t="n">
        <v>8170</v>
      </c>
      <c r="B8171">
        <f>TEXT(8170, "[$-0E0000]yyyy-mm-dd")</f>
        <v/>
      </c>
      <c r="C8171" t="inlineStr">
        <is>
          <t>1922-04-19</t>
        </is>
      </c>
    </row>
    <row r="8172">
      <c r="A8172" s="1" t="n">
        <v>8171</v>
      </c>
      <c r="B8172">
        <f>TEXT(8171, "[$-0E0000]yyyy-mm-dd")</f>
        <v/>
      </c>
      <c r="C8172" t="inlineStr">
        <is>
          <t>1922-04-20</t>
        </is>
      </c>
    </row>
    <row r="8173">
      <c r="A8173" s="1" t="n">
        <v>8172</v>
      </c>
      <c r="B8173">
        <f>TEXT(8172, "[$-0E0000]yyyy-mm-dd")</f>
        <v/>
      </c>
      <c r="C8173" t="inlineStr">
        <is>
          <t>1922-04-21</t>
        </is>
      </c>
    </row>
    <row r="8174">
      <c r="A8174" s="1" t="n">
        <v>8173</v>
      </c>
      <c r="B8174">
        <f>TEXT(8173, "[$-0E0000]yyyy-mm-dd")</f>
        <v/>
      </c>
      <c r="C8174" t="inlineStr">
        <is>
          <t>1922-04-22</t>
        </is>
      </c>
    </row>
    <row r="8175">
      <c r="A8175" s="1" t="n">
        <v>8174</v>
      </c>
      <c r="B8175">
        <f>TEXT(8174, "[$-0E0000]yyyy-mm-dd")</f>
        <v/>
      </c>
      <c r="C8175" t="inlineStr">
        <is>
          <t>1922-04-23</t>
        </is>
      </c>
    </row>
    <row r="8176">
      <c r="A8176" s="1" t="n">
        <v>8175</v>
      </c>
      <c r="B8176">
        <f>TEXT(8175, "[$-0E0000]yyyy-mm-dd")</f>
        <v/>
      </c>
      <c r="C8176" t="inlineStr">
        <is>
          <t>1922-04-24</t>
        </is>
      </c>
    </row>
    <row r="8177">
      <c r="A8177" s="1" t="n">
        <v>8176</v>
      </c>
      <c r="B8177">
        <f>TEXT(8176, "[$-0E0000]yyyy-mm-dd")</f>
        <v/>
      </c>
      <c r="C8177" t="inlineStr">
        <is>
          <t>1922-04-25</t>
        </is>
      </c>
    </row>
    <row r="8178">
      <c r="A8178" s="1" t="n">
        <v>8177</v>
      </c>
      <c r="B8178">
        <f>TEXT(8177, "[$-0E0000]yyyy-mm-dd")</f>
        <v/>
      </c>
      <c r="C8178" t="inlineStr">
        <is>
          <t>1922-04-26</t>
        </is>
      </c>
    </row>
    <row r="8179">
      <c r="A8179" s="1" t="n">
        <v>8178</v>
      </c>
      <c r="B8179">
        <f>TEXT(8178, "[$-0E0000]yyyy-mm-dd")</f>
        <v/>
      </c>
      <c r="C8179" t="inlineStr">
        <is>
          <t>1922-04-27</t>
        </is>
      </c>
    </row>
    <row r="8180">
      <c r="A8180" s="1" t="n">
        <v>8179</v>
      </c>
      <c r="B8180">
        <f>TEXT(8179, "[$-0E0000]yyyy-mm-dd")</f>
        <v/>
      </c>
      <c r="C8180" t="inlineStr">
        <is>
          <t>1922-04-28</t>
        </is>
      </c>
    </row>
    <row r="8181">
      <c r="A8181" s="1" t="n">
        <v>8180</v>
      </c>
      <c r="B8181">
        <f>TEXT(8180, "[$-0E0000]yyyy-mm-dd")</f>
        <v/>
      </c>
      <c r="C8181" t="inlineStr">
        <is>
          <t>1922-04-29</t>
        </is>
      </c>
    </row>
    <row r="8182">
      <c r="A8182" s="1" t="n">
        <v>8181</v>
      </c>
      <c r="B8182">
        <f>TEXT(8181, "[$-0E0000]yyyy-mm-dd")</f>
        <v/>
      </c>
      <c r="C8182" t="inlineStr">
        <is>
          <t>1922-04-30</t>
        </is>
      </c>
    </row>
    <row r="8183">
      <c r="A8183" s="1" t="n">
        <v>8182</v>
      </c>
      <c r="B8183">
        <f>TEXT(8182, "[$-0E0000]yyyy-mm-dd")</f>
        <v/>
      </c>
      <c r="C8183" t="inlineStr">
        <is>
          <t>1922-05-01</t>
        </is>
      </c>
    </row>
    <row r="8184">
      <c r="A8184" s="1" t="n">
        <v>8183</v>
      </c>
      <c r="B8184">
        <f>TEXT(8183, "[$-0E0000]yyyy-mm-dd")</f>
        <v/>
      </c>
      <c r="C8184" t="inlineStr">
        <is>
          <t>1922-05-02</t>
        </is>
      </c>
    </row>
    <row r="8185">
      <c r="A8185" s="1" t="n">
        <v>8184</v>
      </c>
      <c r="B8185">
        <f>TEXT(8184, "[$-0E0000]yyyy-mm-dd")</f>
        <v/>
      </c>
      <c r="C8185" t="inlineStr">
        <is>
          <t>1922-05-03</t>
        </is>
      </c>
    </row>
    <row r="8186">
      <c r="A8186" s="1" t="n">
        <v>8185</v>
      </c>
      <c r="B8186">
        <f>TEXT(8185, "[$-0E0000]yyyy-mm-dd")</f>
        <v/>
      </c>
      <c r="C8186" t="inlineStr">
        <is>
          <t>1922-05-04</t>
        </is>
      </c>
    </row>
    <row r="8187">
      <c r="A8187" s="1" t="n">
        <v>8186</v>
      </c>
      <c r="B8187">
        <f>TEXT(8186, "[$-0E0000]yyyy-mm-dd")</f>
        <v/>
      </c>
      <c r="C8187" t="inlineStr">
        <is>
          <t>1922-05-05</t>
        </is>
      </c>
    </row>
    <row r="8188">
      <c r="A8188" s="1" t="n">
        <v>8187</v>
      </c>
      <c r="B8188">
        <f>TEXT(8187, "[$-0E0000]yyyy-mm-dd")</f>
        <v/>
      </c>
      <c r="C8188" t="inlineStr">
        <is>
          <t>1922-05-06</t>
        </is>
      </c>
    </row>
    <row r="8189">
      <c r="A8189" s="1" t="n">
        <v>8188</v>
      </c>
      <c r="B8189">
        <f>TEXT(8188, "[$-0E0000]yyyy-mm-dd")</f>
        <v/>
      </c>
      <c r="C8189" t="inlineStr">
        <is>
          <t>1922-05-07</t>
        </is>
      </c>
    </row>
    <row r="8190">
      <c r="A8190" s="1" t="n">
        <v>8189</v>
      </c>
      <c r="B8190">
        <f>TEXT(8189, "[$-0E0000]yyyy-mm-dd")</f>
        <v/>
      </c>
      <c r="C8190" t="inlineStr">
        <is>
          <t>1922-05-08</t>
        </is>
      </c>
    </row>
    <row r="8191">
      <c r="A8191" s="1" t="n">
        <v>8190</v>
      </c>
      <c r="B8191">
        <f>TEXT(8190, "[$-0E0000]yyyy-mm-dd")</f>
        <v/>
      </c>
      <c r="C8191" t="inlineStr">
        <is>
          <t>1922-05-09</t>
        </is>
      </c>
    </row>
    <row r="8192">
      <c r="A8192" s="1" t="n">
        <v>8191</v>
      </c>
      <c r="B8192">
        <f>TEXT(8191, "[$-0E0000]yyyy-mm-dd")</f>
        <v/>
      </c>
      <c r="C8192" t="inlineStr">
        <is>
          <t>1922-05-10</t>
        </is>
      </c>
    </row>
    <row r="8193">
      <c r="A8193" s="1" t="n">
        <v>8192</v>
      </c>
      <c r="B8193">
        <f>TEXT(8192, "[$-0E0000]yyyy-mm-dd")</f>
        <v/>
      </c>
      <c r="C8193" t="inlineStr">
        <is>
          <t>1922-05-11</t>
        </is>
      </c>
    </row>
    <row r="8194">
      <c r="A8194" s="1" t="n">
        <v>8193</v>
      </c>
      <c r="B8194">
        <f>TEXT(8193, "[$-0E0000]yyyy-mm-dd")</f>
        <v/>
      </c>
      <c r="C8194" t="inlineStr">
        <is>
          <t>1922-05-12</t>
        </is>
      </c>
    </row>
    <row r="8195">
      <c r="A8195" s="1" t="n">
        <v>8194</v>
      </c>
      <c r="B8195">
        <f>TEXT(8194, "[$-0E0000]yyyy-mm-dd")</f>
        <v/>
      </c>
      <c r="C8195" t="inlineStr">
        <is>
          <t>1922-05-13</t>
        </is>
      </c>
    </row>
    <row r="8196">
      <c r="A8196" s="1" t="n">
        <v>8195</v>
      </c>
      <c r="B8196">
        <f>TEXT(8195, "[$-0E0000]yyyy-mm-dd")</f>
        <v/>
      </c>
      <c r="C8196" t="inlineStr">
        <is>
          <t>1922-05-14</t>
        </is>
      </c>
    </row>
    <row r="8197">
      <c r="A8197" s="1" t="n">
        <v>8196</v>
      </c>
      <c r="B8197">
        <f>TEXT(8196, "[$-0E0000]yyyy-mm-dd")</f>
        <v/>
      </c>
      <c r="C8197" t="inlineStr">
        <is>
          <t>1922-05-15</t>
        </is>
      </c>
    </row>
    <row r="8198">
      <c r="A8198" s="1" t="n">
        <v>8197</v>
      </c>
      <c r="B8198">
        <f>TEXT(8197, "[$-0E0000]yyyy-mm-dd")</f>
        <v/>
      </c>
      <c r="C8198" t="inlineStr">
        <is>
          <t>1922-05-16</t>
        </is>
      </c>
    </row>
    <row r="8199">
      <c r="A8199" s="1" t="n">
        <v>8198</v>
      </c>
      <c r="B8199">
        <f>TEXT(8198, "[$-0E0000]yyyy-mm-dd")</f>
        <v/>
      </c>
      <c r="C8199" t="inlineStr">
        <is>
          <t>1922-05-17</t>
        </is>
      </c>
    </row>
    <row r="8200">
      <c r="A8200" s="1" t="n">
        <v>8199</v>
      </c>
      <c r="B8200">
        <f>TEXT(8199, "[$-0E0000]yyyy-mm-dd")</f>
        <v/>
      </c>
      <c r="C8200" t="inlineStr">
        <is>
          <t>1922-05-18</t>
        </is>
      </c>
    </row>
    <row r="8201">
      <c r="A8201" s="1" t="n">
        <v>8200</v>
      </c>
      <c r="B8201">
        <f>TEXT(8200, "[$-0E0000]yyyy-mm-dd")</f>
        <v/>
      </c>
      <c r="C8201" t="inlineStr">
        <is>
          <t>1922-05-19</t>
        </is>
      </c>
    </row>
    <row r="8202">
      <c r="A8202" s="1" t="n">
        <v>8201</v>
      </c>
      <c r="B8202">
        <f>TEXT(8201, "[$-0E0000]yyyy-mm-dd")</f>
        <v/>
      </c>
      <c r="C8202" t="inlineStr">
        <is>
          <t>1922-05-20</t>
        </is>
      </c>
    </row>
    <row r="8203">
      <c r="A8203" s="1" t="n">
        <v>8202</v>
      </c>
      <c r="B8203">
        <f>TEXT(8202, "[$-0E0000]yyyy-mm-dd")</f>
        <v/>
      </c>
      <c r="C8203" t="inlineStr">
        <is>
          <t>1922-05-21</t>
        </is>
      </c>
    </row>
    <row r="8204">
      <c r="A8204" s="1" t="n">
        <v>8203</v>
      </c>
      <c r="B8204">
        <f>TEXT(8203, "[$-0E0000]yyyy-mm-dd")</f>
        <v/>
      </c>
      <c r="C8204" t="inlineStr">
        <is>
          <t>1922-05-22</t>
        </is>
      </c>
    </row>
    <row r="8205">
      <c r="A8205" s="1" t="n">
        <v>8204</v>
      </c>
      <c r="B8205">
        <f>TEXT(8204, "[$-0E0000]yyyy-mm-dd")</f>
        <v/>
      </c>
      <c r="C8205" t="inlineStr">
        <is>
          <t>1922-05-23</t>
        </is>
      </c>
    </row>
    <row r="8206">
      <c r="A8206" s="1" t="n">
        <v>8205</v>
      </c>
      <c r="B8206">
        <f>TEXT(8205, "[$-0E0000]yyyy-mm-dd")</f>
        <v/>
      </c>
      <c r="C8206" t="inlineStr">
        <is>
          <t>1922-05-24</t>
        </is>
      </c>
    </row>
    <row r="8207">
      <c r="A8207" s="1" t="n">
        <v>8206</v>
      </c>
      <c r="B8207">
        <f>TEXT(8206, "[$-0E0000]yyyy-mm-dd")</f>
        <v/>
      </c>
      <c r="C8207" t="inlineStr">
        <is>
          <t>1922-05-25</t>
        </is>
      </c>
    </row>
    <row r="8208">
      <c r="A8208" s="1" t="n">
        <v>8207</v>
      </c>
      <c r="B8208">
        <f>TEXT(8207, "[$-0E0000]yyyy-mm-dd")</f>
        <v/>
      </c>
      <c r="C8208" t="inlineStr">
        <is>
          <t>1922-05-26</t>
        </is>
      </c>
    </row>
    <row r="8209">
      <c r="A8209" s="1" t="n">
        <v>8208</v>
      </c>
      <c r="B8209">
        <f>TEXT(8208, "[$-0E0000]yyyy-mm-dd")</f>
        <v/>
      </c>
      <c r="C8209" t="inlineStr">
        <is>
          <t>1922-05-27</t>
        </is>
      </c>
    </row>
    <row r="8210">
      <c r="A8210" s="1" t="n">
        <v>8209</v>
      </c>
      <c r="B8210">
        <f>TEXT(8209, "[$-0E0000]yyyy-mm-dd")</f>
        <v/>
      </c>
      <c r="C8210" t="inlineStr">
        <is>
          <t>1922-05-28</t>
        </is>
      </c>
    </row>
    <row r="8211">
      <c r="A8211" s="1" t="n">
        <v>8210</v>
      </c>
      <c r="B8211">
        <f>TEXT(8210, "[$-0E0000]yyyy-mm-dd")</f>
        <v/>
      </c>
      <c r="C8211" t="inlineStr">
        <is>
          <t>1922-05-29</t>
        </is>
      </c>
    </row>
    <row r="8212">
      <c r="A8212" s="1" t="n">
        <v>8211</v>
      </c>
      <c r="B8212">
        <f>TEXT(8211, "[$-0E0000]yyyy-mm-dd")</f>
        <v/>
      </c>
      <c r="C8212" t="inlineStr">
        <is>
          <t>1922-05-01</t>
        </is>
      </c>
    </row>
    <row r="8213">
      <c r="A8213" s="1" t="n">
        <v>8212</v>
      </c>
      <c r="B8213">
        <f>TEXT(8212, "[$-0E0000]yyyy-mm-dd")</f>
        <v/>
      </c>
      <c r="C8213" t="inlineStr">
        <is>
          <t>1922-05-02</t>
        </is>
      </c>
    </row>
    <row r="8214">
      <c r="A8214" s="1" t="n">
        <v>8213</v>
      </c>
      <c r="B8214">
        <f>TEXT(8213, "[$-0E0000]yyyy-mm-dd")</f>
        <v/>
      </c>
      <c r="C8214" t="inlineStr">
        <is>
          <t>1922-05-03</t>
        </is>
      </c>
    </row>
    <row r="8215">
      <c r="A8215" s="1" t="n">
        <v>8214</v>
      </c>
      <c r="B8215">
        <f>TEXT(8214, "[$-0E0000]yyyy-mm-dd")</f>
        <v/>
      </c>
      <c r="C8215" t="inlineStr">
        <is>
          <t>1922-05-04</t>
        </is>
      </c>
    </row>
    <row r="8216">
      <c r="A8216" s="1" t="n">
        <v>8215</v>
      </c>
      <c r="B8216">
        <f>TEXT(8215, "[$-0E0000]yyyy-mm-dd")</f>
        <v/>
      </c>
      <c r="C8216" t="inlineStr">
        <is>
          <t>1922-05-05</t>
        </is>
      </c>
    </row>
    <row r="8217">
      <c r="A8217" s="1" t="n">
        <v>8216</v>
      </c>
      <c r="B8217">
        <f>TEXT(8216, "[$-0E0000]yyyy-mm-dd")</f>
        <v/>
      </c>
      <c r="C8217" t="inlineStr">
        <is>
          <t>1922-05-06</t>
        </is>
      </c>
    </row>
    <row r="8218">
      <c r="A8218" s="1" t="n">
        <v>8217</v>
      </c>
      <c r="B8218">
        <f>TEXT(8217, "[$-0E0000]yyyy-mm-dd")</f>
        <v/>
      </c>
      <c r="C8218" t="inlineStr">
        <is>
          <t>1922-05-07</t>
        </is>
      </c>
    </row>
    <row r="8219">
      <c r="A8219" s="1" t="n">
        <v>8218</v>
      </c>
      <c r="B8219">
        <f>TEXT(8218, "[$-0E0000]yyyy-mm-dd")</f>
        <v/>
      </c>
      <c r="C8219" t="inlineStr">
        <is>
          <t>1922-05-08</t>
        </is>
      </c>
    </row>
    <row r="8220">
      <c r="A8220" s="1" t="n">
        <v>8219</v>
      </c>
      <c r="B8220">
        <f>TEXT(8219, "[$-0E0000]yyyy-mm-dd")</f>
        <v/>
      </c>
      <c r="C8220" t="inlineStr">
        <is>
          <t>1922-05-09</t>
        </is>
      </c>
    </row>
    <row r="8221">
      <c r="A8221" s="1" t="n">
        <v>8220</v>
      </c>
      <c r="B8221">
        <f>TEXT(8220, "[$-0E0000]yyyy-mm-dd")</f>
        <v/>
      </c>
      <c r="C8221" t="inlineStr">
        <is>
          <t>1922-05-10</t>
        </is>
      </c>
    </row>
    <row r="8222">
      <c r="A8222" s="1" t="n">
        <v>8221</v>
      </c>
      <c r="B8222">
        <f>TEXT(8221, "[$-0E0000]yyyy-mm-dd")</f>
        <v/>
      </c>
      <c r="C8222" t="inlineStr">
        <is>
          <t>1922-05-11</t>
        </is>
      </c>
    </row>
    <row r="8223">
      <c r="A8223" s="1" t="n">
        <v>8222</v>
      </c>
      <c r="B8223">
        <f>TEXT(8222, "[$-0E0000]yyyy-mm-dd")</f>
        <v/>
      </c>
      <c r="C8223" t="inlineStr">
        <is>
          <t>1922-05-12</t>
        </is>
      </c>
    </row>
    <row r="8224">
      <c r="A8224" s="1" t="n">
        <v>8223</v>
      </c>
      <c r="B8224">
        <f>TEXT(8223, "[$-0E0000]yyyy-mm-dd")</f>
        <v/>
      </c>
      <c r="C8224" t="inlineStr">
        <is>
          <t>1922-05-13</t>
        </is>
      </c>
    </row>
    <row r="8225">
      <c r="A8225" s="1" t="n">
        <v>8224</v>
      </c>
      <c r="B8225">
        <f>TEXT(8224, "[$-0E0000]yyyy-mm-dd")</f>
        <v/>
      </c>
      <c r="C8225" t="inlineStr">
        <is>
          <t>1922-05-14</t>
        </is>
      </c>
    </row>
    <row r="8226">
      <c r="A8226" s="1" t="n">
        <v>8225</v>
      </c>
      <c r="B8226">
        <f>TEXT(8225, "[$-0E0000]yyyy-mm-dd")</f>
        <v/>
      </c>
      <c r="C8226" t="inlineStr">
        <is>
          <t>1922-05-15</t>
        </is>
      </c>
    </row>
    <row r="8227">
      <c r="A8227" s="1" t="n">
        <v>8226</v>
      </c>
      <c r="B8227">
        <f>TEXT(8226, "[$-0E0000]yyyy-mm-dd")</f>
        <v/>
      </c>
      <c r="C8227" t="inlineStr">
        <is>
          <t>1922-05-16</t>
        </is>
      </c>
    </row>
    <row r="8228">
      <c r="A8228" s="1" t="n">
        <v>8227</v>
      </c>
      <c r="B8228">
        <f>TEXT(8227, "[$-0E0000]yyyy-mm-dd")</f>
        <v/>
      </c>
      <c r="C8228" t="inlineStr">
        <is>
          <t>1922-05-17</t>
        </is>
      </c>
    </row>
    <row r="8229">
      <c r="A8229" s="1" t="n">
        <v>8228</v>
      </c>
      <c r="B8229">
        <f>TEXT(8228, "[$-0E0000]yyyy-mm-dd")</f>
        <v/>
      </c>
      <c r="C8229" t="inlineStr">
        <is>
          <t>1922-05-18</t>
        </is>
      </c>
    </row>
    <row r="8230">
      <c r="A8230" s="1" t="n">
        <v>8229</v>
      </c>
      <c r="B8230">
        <f>TEXT(8229, "[$-0E0000]yyyy-mm-dd")</f>
        <v/>
      </c>
      <c r="C8230" t="inlineStr">
        <is>
          <t>1922-05-19</t>
        </is>
      </c>
    </row>
    <row r="8231">
      <c r="A8231" s="1" t="n">
        <v>8230</v>
      </c>
      <c r="B8231">
        <f>TEXT(8230, "[$-0E0000]yyyy-mm-dd")</f>
        <v/>
      </c>
      <c r="C8231" t="inlineStr">
        <is>
          <t>1922-05-20</t>
        </is>
      </c>
    </row>
    <row r="8232">
      <c r="A8232" s="1" t="n">
        <v>8231</v>
      </c>
      <c r="B8232">
        <f>TEXT(8231, "[$-0E0000]yyyy-mm-dd")</f>
        <v/>
      </c>
      <c r="C8232" t="inlineStr">
        <is>
          <t>1922-05-21</t>
        </is>
      </c>
    </row>
    <row r="8233">
      <c r="A8233" s="1" t="n">
        <v>8232</v>
      </c>
      <c r="B8233">
        <f>TEXT(8232, "[$-0E0000]yyyy-mm-dd")</f>
        <v/>
      </c>
      <c r="C8233" t="inlineStr">
        <is>
          <t>1922-05-22</t>
        </is>
      </c>
    </row>
    <row r="8234">
      <c r="A8234" s="1" t="n">
        <v>8233</v>
      </c>
      <c r="B8234">
        <f>TEXT(8233, "[$-0E0000]yyyy-mm-dd")</f>
        <v/>
      </c>
      <c r="C8234" t="inlineStr">
        <is>
          <t>1922-05-23</t>
        </is>
      </c>
    </row>
    <row r="8235">
      <c r="A8235" s="1" t="n">
        <v>8234</v>
      </c>
      <c r="B8235">
        <f>TEXT(8234, "[$-0E0000]yyyy-mm-dd")</f>
        <v/>
      </c>
      <c r="C8235" t="inlineStr">
        <is>
          <t>1922-05-24</t>
        </is>
      </c>
    </row>
    <row r="8236">
      <c r="A8236" s="1" t="n">
        <v>8235</v>
      </c>
      <c r="B8236">
        <f>TEXT(8235, "[$-0E0000]yyyy-mm-dd")</f>
        <v/>
      </c>
      <c r="C8236" t="inlineStr">
        <is>
          <t>1922-05-25</t>
        </is>
      </c>
    </row>
    <row r="8237">
      <c r="A8237" s="1" t="n">
        <v>8236</v>
      </c>
      <c r="B8237">
        <f>TEXT(8236, "[$-0E0000]yyyy-mm-dd")</f>
        <v/>
      </c>
      <c r="C8237" t="inlineStr">
        <is>
          <t>1922-05-26</t>
        </is>
      </c>
    </row>
    <row r="8238">
      <c r="A8238" s="1" t="n">
        <v>8237</v>
      </c>
      <c r="B8238">
        <f>TEXT(8237, "[$-0E0000]yyyy-mm-dd")</f>
        <v/>
      </c>
      <c r="C8238" t="inlineStr">
        <is>
          <t>1922-05-27</t>
        </is>
      </c>
    </row>
    <row r="8239">
      <c r="A8239" s="1" t="n">
        <v>8238</v>
      </c>
      <c r="B8239">
        <f>TEXT(8238, "[$-0E0000]yyyy-mm-dd")</f>
        <v/>
      </c>
      <c r="C8239" t="inlineStr">
        <is>
          <t>1922-05-28</t>
        </is>
      </c>
    </row>
    <row r="8240">
      <c r="A8240" s="1" t="n">
        <v>8239</v>
      </c>
      <c r="B8240">
        <f>TEXT(8239, "[$-0E0000]yyyy-mm-dd")</f>
        <v/>
      </c>
      <c r="C8240" t="inlineStr">
        <is>
          <t>1922-05-29</t>
        </is>
      </c>
    </row>
    <row r="8241">
      <c r="A8241" s="1" t="n">
        <v>8240</v>
      </c>
      <c r="B8241">
        <f>TEXT(8240, "[$-0E0000]yyyy-mm-dd")</f>
        <v/>
      </c>
      <c r="C8241" t="inlineStr">
        <is>
          <t>1922-06-01</t>
        </is>
      </c>
    </row>
    <row r="8242">
      <c r="A8242" s="1" t="n">
        <v>8241</v>
      </c>
      <c r="B8242">
        <f>TEXT(8241, "[$-0E0000]yyyy-mm-dd")</f>
        <v/>
      </c>
      <c r="C8242" t="inlineStr">
        <is>
          <t>1922-06-02</t>
        </is>
      </c>
    </row>
    <row r="8243">
      <c r="A8243" s="1" t="n">
        <v>8242</v>
      </c>
      <c r="B8243">
        <f>TEXT(8242, "[$-0E0000]yyyy-mm-dd")</f>
        <v/>
      </c>
      <c r="C8243" t="inlineStr">
        <is>
          <t>1922-06-03</t>
        </is>
      </c>
    </row>
    <row r="8244">
      <c r="A8244" s="1" t="n">
        <v>8243</v>
      </c>
      <c r="B8244">
        <f>TEXT(8243, "[$-0E0000]yyyy-mm-dd")</f>
        <v/>
      </c>
      <c r="C8244" t="inlineStr">
        <is>
          <t>1922-06-04</t>
        </is>
      </c>
    </row>
    <row r="8245">
      <c r="A8245" s="1" t="n">
        <v>8244</v>
      </c>
      <c r="B8245">
        <f>TEXT(8244, "[$-0E0000]yyyy-mm-dd")</f>
        <v/>
      </c>
      <c r="C8245" t="inlineStr">
        <is>
          <t>1922-06-05</t>
        </is>
      </c>
    </row>
    <row r="8246">
      <c r="A8246" s="1" t="n">
        <v>8245</v>
      </c>
      <c r="B8246">
        <f>TEXT(8245, "[$-0E0000]yyyy-mm-dd")</f>
        <v/>
      </c>
      <c r="C8246" t="inlineStr">
        <is>
          <t>1922-06-06</t>
        </is>
      </c>
    </row>
    <row r="8247">
      <c r="A8247" s="1" t="n">
        <v>8246</v>
      </c>
      <c r="B8247">
        <f>TEXT(8246, "[$-0E0000]yyyy-mm-dd")</f>
        <v/>
      </c>
      <c r="C8247" t="inlineStr">
        <is>
          <t>1922-06-07</t>
        </is>
      </c>
    </row>
    <row r="8248">
      <c r="A8248" s="1" t="n">
        <v>8247</v>
      </c>
      <c r="B8248">
        <f>TEXT(8247, "[$-0E0000]yyyy-mm-dd")</f>
        <v/>
      </c>
      <c r="C8248" t="inlineStr">
        <is>
          <t>1922-06-08</t>
        </is>
      </c>
    </row>
    <row r="8249">
      <c r="A8249" s="1" t="n">
        <v>8248</v>
      </c>
      <c r="B8249">
        <f>TEXT(8248, "[$-0E0000]yyyy-mm-dd")</f>
        <v/>
      </c>
      <c r="C8249" t="inlineStr">
        <is>
          <t>1922-06-09</t>
        </is>
      </c>
    </row>
    <row r="8250">
      <c r="A8250" s="1" t="n">
        <v>8249</v>
      </c>
      <c r="B8250">
        <f>TEXT(8249, "[$-0E0000]yyyy-mm-dd")</f>
        <v/>
      </c>
      <c r="C8250" t="inlineStr">
        <is>
          <t>1922-06-10</t>
        </is>
      </c>
    </row>
    <row r="8251">
      <c r="A8251" s="1" t="n">
        <v>8250</v>
      </c>
      <c r="B8251">
        <f>TEXT(8250, "[$-0E0000]yyyy-mm-dd")</f>
        <v/>
      </c>
      <c r="C8251" t="inlineStr">
        <is>
          <t>1922-06-11</t>
        </is>
      </c>
    </row>
    <row r="8252">
      <c r="A8252" s="1" t="n">
        <v>8251</v>
      </c>
      <c r="B8252">
        <f>TEXT(8251, "[$-0E0000]yyyy-mm-dd")</f>
        <v/>
      </c>
      <c r="C8252" t="inlineStr">
        <is>
          <t>1922-06-12</t>
        </is>
      </c>
    </row>
    <row r="8253">
      <c r="A8253" s="1" t="n">
        <v>8252</v>
      </c>
      <c r="B8253">
        <f>TEXT(8252, "[$-0E0000]yyyy-mm-dd")</f>
        <v/>
      </c>
      <c r="C8253" t="inlineStr">
        <is>
          <t>1922-06-13</t>
        </is>
      </c>
    </row>
    <row r="8254">
      <c r="A8254" s="1" t="n">
        <v>8253</v>
      </c>
      <c r="B8254">
        <f>TEXT(8253, "[$-0E0000]yyyy-mm-dd")</f>
        <v/>
      </c>
      <c r="C8254" t="inlineStr">
        <is>
          <t>1922-06-14</t>
        </is>
      </c>
    </row>
    <row r="8255">
      <c r="A8255" s="1" t="n">
        <v>8254</v>
      </c>
      <c r="B8255">
        <f>TEXT(8254, "[$-0E0000]yyyy-mm-dd")</f>
        <v/>
      </c>
      <c r="C8255" t="inlineStr">
        <is>
          <t>1922-06-15</t>
        </is>
      </c>
    </row>
    <row r="8256">
      <c r="A8256" s="1" t="n">
        <v>8255</v>
      </c>
      <c r="B8256">
        <f>TEXT(8255, "[$-0E0000]yyyy-mm-dd")</f>
        <v/>
      </c>
      <c r="C8256" t="inlineStr">
        <is>
          <t>1922-06-16</t>
        </is>
      </c>
    </row>
    <row r="8257">
      <c r="A8257" s="1" t="n">
        <v>8256</v>
      </c>
      <c r="B8257">
        <f>TEXT(8256, "[$-0E0000]yyyy-mm-dd")</f>
        <v/>
      </c>
      <c r="C8257" t="inlineStr">
        <is>
          <t>1922-06-17</t>
        </is>
      </c>
    </row>
    <row r="8258">
      <c r="A8258" s="1" t="n">
        <v>8257</v>
      </c>
      <c r="B8258">
        <f>TEXT(8257, "[$-0E0000]yyyy-mm-dd")</f>
        <v/>
      </c>
      <c r="C8258" t="inlineStr">
        <is>
          <t>1922-06-18</t>
        </is>
      </c>
    </row>
    <row r="8259">
      <c r="A8259" s="1" t="n">
        <v>8258</v>
      </c>
      <c r="B8259">
        <f>TEXT(8258, "[$-0E0000]yyyy-mm-dd")</f>
        <v/>
      </c>
      <c r="C8259" t="inlineStr">
        <is>
          <t>1922-06-19</t>
        </is>
      </c>
    </row>
    <row r="8260">
      <c r="A8260" s="1" t="n">
        <v>8259</v>
      </c>
      <c r="B8260">
        <f>TEXT(8259, "[$-0E0000]yyyy-mm-dd")</f>
        <v/>
      </c>
      <c r="C8260" t="inlineStr">
        <is>
          <t>1922-06-20</t>
        </is>
      </c>
    </row>
    <row r="8261">
      <c r="A8261" s="1" t="n">
        <v>8260</v>
      </c>
      <c r="B8261">
        <f>TEXT(8260, "[$-0E0000]yyyy-mm-dd")</f>
        <v/>
      </c>
      <c r="C8261" t="inlineStr">
        <is>
          <t>1922-06-21</t>
        </is>
      </c>
    </row>
    <row r="8262">
      <c r="A8262" s="1" t="n">
        <v>8261</v>
      </c>
      <c r="B8262">
        <f>TEXT(8261, "[$-0E0000]yyyy-mm-dd")</f>
        <v/>
      </c>
      <c r="C8262" t="inlineStr">
        <is>
          <t>1922-06-22</t>
        </is>
      </c>
    </row>
    <row r="8263">
      <c r="A8263" s="1" t="n">
        <v>8262</v>
      </c>
      <c r="B8263">
        <f>TEXT(8262, "[$-0E0000]yyyy-mm-dd")</f>
        <v/>
      </c>
      <c r="C8263" t="inlineStr">
        <is>
          <t>1922-06-23</t>
        </is>
      </c>
    </row>
    <row r="8264">
      <c r="A8264" s="1" t="n">
        <v>8263</v>
      </c>
      <c r="B8264">
        <f>TEXT(8263, "[$-0E0000]yyyy-mm-dd")</f>
        <v/>
      </c>
      <c r="C8264" t="inlineStr">
        <is>
          <t>1922-06-24</t>
        </is>
      </c>
    </row>
    <row r="8265">
      <c r="A8265" s="1" t="n">
        <v>8264</v>
      </c>
      <c r="B8265">
        <f>TEXT(8264, "[$-0E0000]yyyy-mm-dd")</f>
        <v/>
      </c>
      <c r="C8265" t="inlineStr">
        <is>
          <t>1922-06-25</t>
        </is>
      </c>
    </row>
    <row r="8266">
      <c r="A8266" s="1" t="n">
        <v>8265</v>
      </c>
      <c r="B8266">
        <f>TEXT(8265, "[$-0E0000]yyyy-mm-dd")</f>
        <v/>
      </c>
      <c r="C8266" t="inlineStr">
        <is>
          <t>1922-06-26</t>
        </is>
      </c>
    </row>
    <row r="8267">
      <c r="A8267" s="1" t="n">
        <v>8266</v>
      </c>
      <c r="B8267">
        <f>TEXT(8266, "[$-0E0000]yyyy-mm-dd")</f>
        <v/>
      </c>
      <c r="C8267" t="inlineStr">
        <is>
          <t>1922-06-27</t>
        </is>
      </c>
    </row>
    <row r="8268">
      <c r="A8268" s="1" t="n">
        <v>8267</v>
      </c>
      <c r="B8268">
        <f>TEXT(8267, "[$-0E0000]yyyy-mm-dd")</f>
        <v/>
      </c>
      <c r="C8268" t="inlineStr">
        <is>
          <t>1922-06-28</t>
        </is>
      </c>
    </row>
    <row r="8269">
      <c r="A8269" s="1" t="n">
        <v>8268</v>
      </c>
      <c r="B8269">
        <f>TEXT(8268, "[$-0E0000]yyyy-mm-dd")</f>
        <v/>
      </c>
      <c r="C8269" t="inlineStr">
        <is>
          <t>1922-06-29</t>
        </is>
      </c>
    </row>
    <row r="8270">
      <c r="A8270" s="1" t="n">
        <v>8269</v>
      </c>
      <c r="B8270">
        <f>TEXT(8269, "[$-0E0000]yyyy-mm-dd")</f>
        <v/>
      </c>
      <c r="C8270" t="inlineStr">
        <is>
          <t>1922-06-30</t>
        </is>
      </c>
    </row>
    <row r="8271">
      <c r="A8271" s="1" t="n">
        <v>8270</v>
      </c>
      <c r="B8271">
        <f>TEXT(8270, "[$-0E0000]yyyy-mm-dd")</f>
        <v/>
      </c>
      <c r="C8271" t="inlineStr">
        <is>
          <t>1922-07-01</t>
        </is>
      </c>
    </row>
    <row r="8272">
      <c r="A8272" s="1" t="n">
        <v>8271</v>
      </c>
      <c r="B8272">
        <f>TEXT(8271, "[$-0E0000]yyyy-mm-dd")</f>
        <v/>
      </c>
      <c r="C8272" t="inlineStr">
        <is>
          <t>1922-07-02</t>
        </is>
      </c>
    </row>
    <row r="8273">
      <c r="A8273" s="1" t="n">
        <v>8272</v>
      </c>
      <c r="B8273">
        <f>TEXT(8272, "[$-0E0000]yyyy-mm-dd")</f>
        <v/>
      </c>
      <c r="C8273" t="inlineStr">
        <is>
          <t>1922-07-03</t>
        </is>
      </c>
    </row>
    <row r="8274">
      <c r="A8274" s="1" t="n">
        <v>8273</v>
      </c>
      <c r="B8274">
        <f>TEXT(8273, "[$-0E0000]yyyy-mm-dd")</f>
        <v/>
      </c>
      <c r="C8274" t="inlineStr">
        <is>
          <t>1922-07-04</t>
        </is>
      </c>
    </row>
    <row r="8275">
      <c r="A8275" s="1" t="n">
        <v>8274</v>
      </c>
      <c r="B8275">
        <f>TEXT(8274, "[$-0E0000]yyyy-mm-dd")</f>
        <v/>
      </c>
      <c r="C8275" t="inlineStr">
        <is>
          <t>1922-07-05</t>
        </is>
      </c>
    </row>
    <row r="8276">
      <c r="A8276" s="1" t="n">
        <v>8275</v>
      </c>
      <c r="B8276">
        <f>TEXT(8275, "[$-0E0000]yyyy-mm-dd")</f>
        <v/>
      </c>
      <c r="C8276" t="inlineStr">
        <is>
          <t>1922-07-06</t>
        </is>
      </c>
    </row>
    <row r="8277">
      <c r="A8277" s="1" t="n">
        <v>8276</v>
      </c>
      <c r="B8277">
        <f>TEXT(8276, "[$-0E0000]yyyy-mm-dd")</f>
        <v/>
      </c>
      <c r="C8277" t="inlineStr">
        <is>
          <t>1922-07-07</t>
        </is>
      </c>
    </row>
    <row r="8278">
      <c r="A8278" s="1" t="n">
        <v>8277</v>
      </c>
      <c r="B8278">
        <f>TEXT(8277, "[$-0E0000]yyyy-mm-dd")</f>
        <v/>
      </c>
      <c r="C8278" t="inlineStr">
        <is>
          <t>1922-07-08</t>
        </is>
      </c>
    </row>
    <row r="8279">
      <c r="A8279" s="1" t="n">
        <v>8278</v>
      </c>
      <c r="B8279">
        <f>TEXT(8278, "[$-0E0000]yyyy-mm-dd")</f>
        <v/>
      </c>
      <c r="C8279" t="inlineStr">
        <is>
          <t>1922-07-09</t>
        </is>
      </c>
    </row>
    <row r="8280">
      <c r="A8280" s="1" t="n">
        <v>8279</v>
      </c>
      <c r="B8280">
        <f>TEXT(8279, "[$-0E0000]yyyy-mm-dd")</f>
        <v/>
      </c>
      <c r="C8280" t="inlineStr">
        <is>
          <t>1922-07-10</t>
        </is>
      </c>
    </row>
    <row r="8281">
      <c r="A8281" s="1" t="n">
        <v>8280</v>
      </c>
      <c r="B8281">
        <f>TEXT(8280, "[$-0E0000]yyyy-mm-dd")</f>
        <v/>
      </c>
      <c r="C8281" t="inlineStr">
        <is>
          <t>1922-07-11</t>
        </is>
      </c>
    </row>
    <row r="8282">
      <c r="A8282" s="1" t="n">
        <v>8281</v>
      </c>
      <c r="B8282">
        <f>TEXT(8281, "[$-0E0000]yyyy-mm-dd")</f>
        <v/>
      </c>
      <c r="C8282" t="inlineStr">
        <is>
          <t>1922-07-12</t>
        </is>
      </c>
    </row>
    <row r="8283">
      <c r="A8283" s="1" t="n">
        <v>8282</v>
      </c>
      <c r="B8283">
        <f>TEXT(8282, "[$-0E0000]yyyy-mm-dd")</f>
        <v/>
      </c>
      <c r="C8283" t="inlineStr">
        <is>
          <t>1922-07-13</t>
        </is>
      </c>
    </row>
    <row r="8284">
      <c r="A8284" s="1" t="n">
        <v>8283</v>
      </c>
      <c r="B8284">
        <f>TEXT(8283, "[$-0E0000]yyyy-mm-dd")</f>
        <v/>
      </c>
      <c r="C8284" t="inlineStr">
        <is>
          <t>1922-07-14</t>
        </is>
      </c>
    </row>
    <row r="8285">
      <c r="A8285" s="1" t="n">
        <v>8284</v>
      </c>
      <c r="B8285">
        <f>TEXT(8284, "[$-0E0000]yyyy-mm-dd")</f>
        <v/>
      </c>
      <c r="C8285" t="inlineStr">
        <is>
          <t>1922-07-15</t>
        </is>
      </c>
    </row>
    <row r="8286">
      <c r="A8286" s="1" t="n">
        <v>8285</v>
      </c>
      <c r="B8286">
        <f>TEXT(8285, "[$-0E0000]yyyy-mm-dd")</f>
        <v/>
      </c>
      <c r="C8286" t="inlineStr">
        <is>
          <t>1922-07-16</t>
        </is>
      </c>
    </row>
    <row r="8287">
      <c r="A8287" s="1" t="n">
        <v>8286</v>
      </c>
      <c r="B8287">
        <f>TEXT(8286, "[$-0E0000]yyyy-mm-dd")</f>
        <v/>
      </c>
      <c r="C8287" t="inlineStr">
        <is>
          <t>1922-07-17</t>
        </is>
      </c>
    </row>
    <row r="8288">
      <c r="A8288" s="1" t="n">
        <v>8287</v>
      </c>
      <c r="B8288">
        <f>TEXT(8287, "[$-0E0000]yyyy-mm-dd")</f>
        <v/>
      </c>
      <c r="C8288" t="inlineStr">
        <is>
          <t>1922-07-18</t>
        </is>
      </c>
    </row>
    <row r="8289">
      <c r="A8289" s="1" t="n">
        <v>8288</v>
      </c>
      <c r="B8289">
        <f>TEXT(8288, "[$-0E0000]yyyy-mm-dd")</f>
        <v/>
      </c>
      <c r="C8289" t="inlineStr">
        <is>
          <t>1922-07-19</t>
        </is>
      </c>
    </row>
    <row r="8290">
      <c r="A8290" s="1" t="n">
        <v>8289</v>
      </c>
      <c r="B8290">
        <f>TEXT(8289, "[$-0E0000]yyyy-mm-dd")</f>
        <v/>
      </c>
      <c r="C8290" t="inlineStr">
        <is>
          <t>1922-07-20</t>
        </is>
      </c>
    </row>
    <row r="8291">
      <c r="A8291" s="1" t="n">
        <v>8290</v>
      </c>
      <c r="B8291">
        <f>TEXT(8290, "[$-0E0000]yyyy-mm-dd")</f>
        <v/>
      </c>
      <c r="C8291" t="inlineStr">
        <is>
          <t>1922-07-21</t>
        </is>
      </c>
    </row>
    <row r="8292">
      <c r="A8292" s="1" t="n">
        <v>8291</v>
      </c>
      <c r="B8292">
        <f>TEXT(8291, "[$-0E0000]yyyy-mm-dd")</f>
        <v/>
      </c>
      <c r="C8292" t="inlineStr">
        <is>
          <t>1922-07-22</t>
        </is>
      </c>
    </row>
    <row r="8293">
      <c r="A8293" s="1" t="n">
        <v>8292</v>
      </c>
      <c r="B8293">
        <f>TEXT(8292, "[$-0E0000]yyyy-mm-dd")</f>
        <v/>
      </c>
      <c r="C8293" t="inlineStr">
        <is>
          <t>1922-07-23</t>
        </is>
      </c>
    </row>
    <row r="8294">
      <c r="A8294" s="1" t="n">
        <v>8293</v>
      </c>
      <c r="B8294">
        <f>TEXT(8293, "[$-0E0000]yyyy-mm-dd")</f>
        <v/>
      </c>
      <c r="C8294" t="inlineStr">
        <is>
          <t>1922-07-24</t>
        </is>
      </c>
    </row>
    <row r="8295">
      <c r="A8295" s="1" t="n">
        <v>8294</v>
      </c>
      <c r="B8295">
        <f>TEXT(8294, "[$-0E0000]yyyy-mm-dd")</f>
        <v/>
      </c>
      <c r="C8295" t="inlineStr">
        <is>
          <t>1922-07-25</t>
        </is>
      </c>
    </row>
    <row r="8296">
      <c r="A8296" s="1" t="n">
        <v>8295</v>
      </c>
      <c r="B8296">
        <f>TEXT(8295, "[$-0E0000]yyyy-mm-dd")</f>
        <v/>
      </c>
      <c r="C8296" t="inlineStr">
        <is>
          <t>1922-07-26</t>
        </is>
      </c>
    </row>
    <row r="8297">
      <c r="A8297" s="1" t="n">
        <v>8296</v>
      </c>
      <c r="B8297">
        <f>TEXT(8296, "[$-0E0000]yyyy-mm-dd")</f>
        <v/>
      </c>
      <c r="C8297" t="inlineStr">
        <is>
          <t>1922-07-27</t>
        </is>
      </c>
    </row>
    <row r="8298">
      <c r="A8298" s="1" t="n">
        <v>8297</v>
      </c>
      <c r="B8298">
        <f>TEXT(8297, "[$-0E0000]yyyy-mm-dd")</f>
        <v/>
      </c>
      <c r="C8298" t="inlineStr">
        <is>
          <t>1922-07-28</t>
        </is>
      </c>
    </row>
    <row r="8299">
      <c r="A8299" s="1" t="n">
        <v>8298</v>
      </c>
      <c r="B8299">
        <f>TEXT(8298, "[$-0E0000]yyyy-mm-dd")</f>
        <v/>
      </c>
      <c r="C8299" t="inlineStr">
        <is>
          <t>1922-07-29</t>
        </is>
      </c>
    </row>
    <row r="8300">
      <c r="A8300" s="1" t="n">
        <v>8299</v>
      </c>
      <c r="B8300">
        <f>TEXT(8299, "[$-0E0000]yyyy-mm-dd")</f>
        <v/>
      </c>
      <c r="C8300" t="inlineStr">
        <is>
          <t>1922-08-01</t>
        </is>
      </c>
    </row>
    <row r="8301">
      <c r="A8301" s="1" t="n">
        <v>8300</v>
      </c>
      <c r="B8301">
        <f>TEXT(8300, "[$-0E0000]yyyy-mm-dd")</f>
        <v/>
      </c>
      <c r="C8301" t="inlineStr">
        <is>
          <t>1922-08-02</t>
        </is>
      </c>
    </row>
    <row r="8302">
      <c r="A8302" s="1" t="n">
        <v>8301</v>
      </c>
      <c r="B8302">
        <f>TEXT(8301, "[$-0E0000]yyyy-mm-dd")</f>
        <v/>
      </c>
      <c r="C8302" t="inlineStr">
        <is>
          <t>1922-08-03</t>
        </is>
      </c>
    </row>
    <row r="8303">
      <c r="A8303" s="1" t="n">
        <v>8302</v>
      </c>
      <c r="B8303">
        <f>TEXT(8302, "[$-0E0000]yyyy-mm-dd")</f>
        <v/>
      </c>
      <c r="C8303" t="inlineStr">
        <is>
          <t>1922-08-04</t>
        </is>
      </c>
    </row>
    <row r="8304">
      <c r="A8304" s="1" t="n">
        <v>8303</v>
      </c>
      <c r="B8304">
        <f>TEXT(8303, "[$-0E0000]yyyy-mm-dd")</f>
        <v/>
      </c>
      <c r="C8304" t="inlineStr">
        <is>
          <t>1922-08-05</t>
        </is>
      </c>
    </row>
    <row r="8305">
      <c r="A8305" s="1" t="n">
        <v>8304</v>
      </c>
      <c r="B8305">
        <f>TEXT(8304, "[$-0E0000]yyyy-mm-dd")</f>
        <v/>
      </c>
      <c r="C8305" t="inlineStr">
        <is>
          <t>1922-08-06</t>
        </is>
      </c>
    </row>
    <row r="8306">
      <c r="A8306" s="1" t="n">
        <v>8305</v>
      </c>
      <c r="B8306">
        <f>TEXT(8305, "[$-0E0000]yyyy-mm-dd")</f>
        <v/>
      </c>
      <c r="C8306" t="inlineStr">
        <is>
          <t>1922-08-07</t>
        </is>
      </c>
    </row>
    <row r="8307">
      <c r="A8307" s="1" t="n">
        <v>8306</v>
      </c>
      <c r="B8307">
        <f>TEXT(8306, "[$-0E0000]yyyy-mm-dd")</f>
        <v/>
      </c>
      <c r="C8307" t="inlineStr">
        <is>
          <t>1922-08-08</t>
        </is>
      </c>
    </row>
    <row r="8308">
      <c r="A8308" s="1" t="n">
        <v>8307</v>
      </c>
      <c r="B8308">
        <f>TEXT(8307, "[$-0E0000]yyyy-mm-dd")</f>
        <v/>
      </c>
      <c r="C8308" t="inlineStr">
        <is>
          <t>1922-08-09</t>
        </is>
      </c>
    </row>
    <row r="8309">
      <c r="A8309" s="1" t="n">
        <v>8308</v>
      </c>
      <c r="B8309">
        <f>TEXT(8308, "[$-0E0000]yyyy-mm-dd")</f>
        <v/>
      </c>
      <c r="C8309" t="inlineStr">
        <is>
          <t>1922-08-10</t>
        </is>
      </c>
    </row>
    <row r="8310">
      <c r="A8310" s="1" t="n">
        <v>8309</v>
      </c>
      <c r="B8310">
        <f>TEXT(8309, "[$-0E0000]yyyy-mm-dd")</f>
        <v/>
      </c>
      <c r="C8310" t="inlineStr">
        <is>
          <t>1922-08-11</t>
        </is>
      </c>
    </row>
    <row r="8311">
      <c r="A8311" s="1" t="n">
        <v>8310</v>
      </c>
      <c r="B8311">
        <f>TEXT(8310, "[$-0E0000]yyyy-mm-dd")</f>
        <v/>
      </c>
      <c r="C8311" t="inlineStr">
        <is>
          <t>1922-08-12</t>
        </is>
      </c>
    </row>
    <row r="8312">
      <c r="A8312" s="1" t="n">
        <v>8311</v>
      </c>
      <c r="B8312">
        <f>TEXT(8311, "[$-0E0000]yyyy-mm-dd")</f>
        <v/>
      </c>
      <c r="C8312" t="inlineStr">
        <is>
          <t>1922-08-13</t>
        </is>
      </c>
    </row>
    <row r="8313">
      <c r="A8313" s="1" t="n">
        <v>8312</v>
      </c>
      <c r="B8313">
        <f>TEXT(8312, "[$-0E0000]yyyy-mm-dd")</f>
        <v/>
      </c>
      <c r="C8313" t="inlineStr">
        <is>
          <t>1922-08-14</t>
        </is>
      </c>
    </row>
    <row r="8314">
      <c r="A8314" s="1" t="n">
        <v>8313</v>
      </c>
      <c r="B8314">
        <f>TEXT(8313, "[$-0E0000]yyyy-mm-dd")</f>
        <v/>
      </c>
      <c r="C8314" t="inlineStr">
        <is>
          <t>1922-08-15</t>
        </is>
      </c>
    </row>
    <row r="8315">
      <c r="A8315" s="1" t="n">
        <v>8314</v>
      </c>
      <c r="B8315">
        <f>TEXT(8314, "[$-0E0000]yyyy-mm-dd")</f>
        <v/>
      </c>
      <c r="C8315" t="inlineStr">
        <is>
          <t>1922-08-16</t>
        </is>
      </c>
    </row>
    <row r="8316">
      <c r="A8316" s="1" t="n">
        <v>8315</v>
      </c>
      <c r="B8316">
        <f>TEXT(8315, "[$-0E0000]yyyy-mm-dd")</f>
        <v/>
      </c>
      <c r="C8316" t="inlineStr">
        <is>
          <t>1922-08-17</t>
        </is>
      </c>
    </row>
    <row r="8317">
      <c r="A8317" s="1" t="n">
        <v>8316</v>
      </c>
      <c r="B8317">
        <f>TEXT(8316, "[$-0E0000]yyyy-mm-dd")</f>
        <v/>
      </c>
      <c r="C8317" t="inlineStr">
        <is>
          <t>1922-08-18</t>
        </is>
      </c>
    </row>
    <row r="8318">
      <c r="A8318" s="1" t="n">
        <v>8317</v>
      </c>
      <c r="B8318">
        <f>TEXT(8317, "[$-0E0000]yyyy-mm-dd")</f>
        <v/>
      </c>
      <c r="C8318" t="inlineStr">
        <is>
          <t>1922-08-19</t>
        </is>
      </c>
    </row>
    <row r="8319">
      <c r="A8319" s="1" t="n">
        <v>8318</v>
      </c>
      <c r="B8319">
        <f>TEXT(8318, "[$-0E0000]yyyy-mm-dd")</f>
        <v/>
      </c>
      <c r="C8319" t="inlineStr">
        <is>
          <t>1922-08-20</t>
        </is>
      </c>
    </row>
    <row r="8320">
      <c r="A8320" s="1" t="n">
        <v>8319</v>
      </c>
      <c r="B8320">
        <f>TEXT(8319, "[$-0E0000]yyyy-mm-dd")</f>
        <v/>
      </c>
      <c r="C8320" t="inlineStr">
        <is>
          <t>1922-08-21</t>
        </is>
      </c>
    </row>
    <row r="8321">
      <c r="A8321" s="1" t="n">
        <v>8320</v>
      </c>
      <c r="B8321">
        <f>TEXT(8320, "[$-0E0000]yyyy-mm-dd")</f>
        <v/>
      </c>
      <c r="C8321" t="inlineStr">
        <is>
          <t>1922-08-22</t>
        </is>
      </c>
    </row>
    <row r="8322">
      <c r="A8322" s="1" t="n">
        <v>8321</v>
      </c>
      <c r="B8322">
        <f>TEXT(8321, "[$-0E0000]yyyy-mm-dd")</f>
        <v/>
      </c>
      <c r="C8322" t="inlineStr">
        <is>
          <t>1922-08-23</t>
        </is>
      </c>
    </row>
    <row r="8323">
      <c r="A8323" s="1" t="n">
        <v>8322</v>
      </c>
      <c r="B8323">
        <f>TEXT(8322, "[$-0E0000]yyyy-mm-dd")</f>
        <v/>
      </c>
      <c r="C8323" t="inlineStr">
        <is>
          <t>1922-08-24</t>
        </is>
      </c>
    </row>
    <row r="8324">
      <c r="A8324" s="1" t="n">
        <v>8323</v>
      </c>
      <c r="B8324">
        <f>TEXT(8323, "[$-0E0000]yyyy-mm-dd")</f>
        <v/>
      </c>
      <c r="C8324" t="inlineStr">
        <is>
          <t>1922-08-25</t>
        </is>
      </c>
    </row>
    <row r="8325">
      <c r="A8325" s="1" t="n">
        <v>8324</v>
      </c>
      <c r="B8325">
        <f>TEXT(8324, "[$-0E0000]yyyy-mm-dd")</f>
        <v/>
      </c>
      <c r="C8325" t="inlineStr">
        <is>
          <t>1922-08-26</t>
        </is>
      </c>
    </row>
    <row r="8326">
      <c r="A8326" s="1" t="n">
        <v>8325</v>
      </c>
      <c r="B8326">
        <f>TEXT(8325, "[$-0E0000]yyyy-mm-dd")</f>
        <v/>
      </c>
      <c r="C8326" t="inlineStr">
        <is>
          <t>1922-08-27</t>
        </is>
      </c>
    </row>
    <row r="8327">
      <c r="A8327" s="1" t="n">
        <v>8326</v>
      </c>
      <c r="B8327">
        <f>TEXT(8326, "[$-0E0000]yyyy-mm-dd")</f>
        <v/>
      </c>
      <c r="C8327" t="inlineStr">
        <is>
          <t>1922-08-28</t>
        </is>
      </c>
    </row>
    <row r="8328">
      <c r="A8328" s="1" t="n">
        <v>8327</v>
      </c>
      <c r="B8328">
        <f>TEXT(8327, "[$-0E0000]yyyy-mm-dd")</f>
        <v/>
      </c>
      <c r="C8328" t="inlineStr">
        <is>
          <t>1922-08-29</t>
        </is>
      </c>
    </row>
    <row r="8329">
      <c r="A8329" s="1" t="n">
        <v>8328</v>
      </c>
      <c r="B8329">
        <f>TEXT(8328, "[$-0E0000]yyyy-mm-dd")</f>
        <v/>
      </c>
      <c r="C8329" t="inlineStr">
        <is>
          <t>1922-09-01</t>
        </is>
      </c>
    </row>
    <row r="8330">
      <c r="A8330" s="1" t="n">
        <v>8329</v>
      </c>
      <c r="B8330">
        <f>TEXT(8329, "[$-0E0000]yyyy-mm-dd")</f>
        <v/>
      </c>
      <c r="C8330" t="inlineStr">
        <is>
          <t>1922-09-02</t>
        </is>
      </c>
    </row>
    <row r="8331">
      <c r="A8331" s="1" t="n">
        <v>8330</v>
      </c>
      <c r="B8331">
        <f>TEXT(8330, "[$-0E0000]yyyy-mm-dd")</f>
        <v/>
      </c>
      <c r="C8331" t="inlineStr">
        <is>
          <t>1922-09-03</t>
        </is>
      </c>
    </row>
    <row r="8332">
      <c r="A8332" s="1" t="n">
        <v>8331</v>
      </c>
      <c r="B8332">
        <f>TEXT(8331, "[$-0E0000]yyyy-mm-dd")</f>
        <v/>
      </c>
      <c r="C8332" t="inlineStr">
        <is>
          <t>1922-09-04</t>
        </is>
      </c>
    </row>
    <row r="8333">
      <c r="A8333" s="1" t="n">
        <v>8332</v>
      </c>
      <c r="B8333">
        <f>TEXT(8332, "[$-0E0000]yyyy-mm-dd")</f>
        <v/>
      </c>
      <c r="C8333" t="inlineStr">
        <is>
          <t>1922-09-05</t>
        </is>
      </c>
    </row>
    <row r="8334">
      <c r="A8334" s="1" t="n">
        <v>8333</v>
      </c>
      <c r="B8334">
        <f>TEXT(8333, "[$-0E0000]yyyy-mm-dd")</f>
        <v/>
      </c>
      <c r="C8334" t="inlineStr">
        <is>
          <t>1922-09-06</t>
        </is>
      </c>
    </row>
    <row r="8335">
      <c r="A8335" s="1" t="n">
        <v>8334</v>
      </c>
      <c r="B8335">
        <f>TEXT(8334, "[$-0E0000]yyyy-mm-dd")</f>
        <v/>
      </c>
      <c r="C8335" t="inlineStr">
        <is>
          <t>1922-09-07</t>
        </is>
      </c>
    </row>
    <row r="8336">
      <c r="A8336" s="1" t="n">
        <v>8335</v>
      </c>
      <c r="B8336">
        <f>TEXT(8335, "[$-0E0000]yyyy-mm-dd")</f>
        <v/>
      </c>
      <c r="C8336" t="inlineStr">
        <is>
          <t>1922-09-08</t>
        </is>
      </c>
    </row>
    <row r="8337">
      <c r="A8337" s="1" t="n">
        <v>8336</v>
      </c>
      <c r="B8337">
        <f>TEXT(8336, "[$-0E0000]yyyy-mm-dd")</f>
        <v/>
      </c>
      <c r="C8337" t="inlineStr">
        <is>
          <t>1922-09-09</t>
        </is>
      </c>
    </row>
    <row r="8338">
      <c r="A8338" s="1" t="n">
        <v>8337</v>
      </c>
      <c r="B8338">
        <f>TEXT(8337, "[$-0E0000]yyyy-mm-dd")</f>
        <v/>
      </c>
      <c r="C8338" t="inlineStr">
        <is>
          <t>1922-09-10</t>
        </is>
      </c>
    </row>
    <row r="8339">
      <c r="A8339" s="1" t="n">
        <v>8338</v>
      </c>
      <c r="B8339">
        <f>TEXT(8338, "[$-0E0000]yyyy-mm-dd")</f>
        <v/>
      </c>
      <c r="C8339" t="inlineStr">
        <is>
          <t>1922-09-11</t>
        </is>
      </c>
    </row>
    <row r="8340">
      <c r="A8340" s="1" t="n">
        <v>8339</v>
      </c>
      <c r="B8340">
        <f>TEXT(8339, "[$-0E0000]yyyy-mm-dd")</f>
        <v/>
      </c>
      <c r="C8340" t="inlineStr">
        <is>
          <t>1922-09-12</t>
        </is>
      </c>
    </row>
    <row r="8341">
      <c r="A8341" s="1" t="n">
        <v>8340</v>
      </c>
      <c r="B8341">
        <f>TEXT(8340, "[$-0E0000]yyyy-mm-dd")</f>
        <v/>
      </c>
      <c r="C8341" t="inlineStr">
        <is>
          <t>1922-09-13</t>
        </is>
      </c>
    </row>
    <row r="8342">
      <c r="A8342" s="1" t="n">
        <v>8341</v>
      </c>
      <c r="B8342">
        <f>TEXT(8341, "[$-0E0000]yyyy-mm-dd")</f>
        <v/>
      </c>
      <c r="C8342" t="inlineStr">
        <is>
          <t>1922-09-14</t>
        </is>
      </c>
    </row>
    <row r="8343">
      <c r="A8343" s="1" t="n">
        <v>8342</v>
      </c>
      <c r="B8343">
        <f>TEXT(8342, "[$-0E0000]yyyy-mm-dd")</f>
        <v/>
      </c>
      <c r="C8343" t="inlineStr">
        <is>
          <t>1922-09-15</t>
        </is>
      </c>
    </row>
    <row r="8344">
      <c r="A8344" s="1" t="n">
        <v>8343</v>
      </c>
      <c r="B8344">
        <f>TEXT(8343, "[$-0E0000]yyyy-mm-dd")</f>
        <v/>
      </c>
      <c r="C8344" t="inlineStr">
        <is>
          <t>1922-09-16</t>
        </is>
      </c>
    </row>
    <row r="8345">
      <c r="A8345" s="1" t="n">
        <v>8344</v>
      </c>
      <c r="B8345">
        <f>TEXT(8344, "[$-0E0000]yyyy-mm-dd")</f>
        <v/>
      </c>
      <c r="C8345" t="inlineStr">
        <is>
          <t>1922-09-17</t>
        </is>
      </c>
    </row>
    <row r="8346">
      <c r="A8346" s="1" t="n">
        <v>8345</v>
      </c>
      <c r="B8346">
        <f>TEXT(8345, "[$-0E0000]yyyy-mm-dd")</f>
        <v/>
      </c>
      <c r="C8346" t="inlineStr">
        <is>
          <t>1922-09-18</t>
        </is>
      </c>
    </row>
    <row r="8347">
      <c r="A8347" s="1" t="n">
        <v>8346</v>
      </c>
      <c r="B8347">
        <f>TEXT(8346, "[$-0E0000]yyyy-mm-dd")</f>
        <v/>
      </c>
      <c r="C8347" t="inlineStr">
        <is>
          <t>1922-09-19</t>
        </is>
      </c>
    </row>
    <row r="8348">
      <c r="A8348" s="1" t="n">
        <v>8347</v>
      </c>
      <c r="B8348">
        <f>TEXT(8347, "[$-0E0000]yyyy-mm-dd")</f>
        <v/>
      </c>
      <c r="C8348" t="inlineStr">
        <is>
          <t>1922-09-20</t>
        </is>
      </c>
    </row>
    <row r="8349">
      <c r="A8349" s="1" t="n">
        <v>8348</v>
      </c>
      <c r="B8349">
        <f>TEXT(8348, "[$-0E0000]yyyy-mm-dd")</f>
        <v/>
      </c>
      <c r="C8349" t="inlineStr">
        <is>
          <t>1922-09-21</t>
        </is>
      </c>
    </row>
    <row r="8350">
      <c r="A8350" s="1" t="n">
        <v>8349</v>
      </c>
      <c r="B8350">
        <f>TEXT(8349, "[$-0E0000]yyyy-mm-dd")</f>
        <v/>
      </c>
      <c r="C8350" t="inlineStr">
        <is>
          <t>1922-09-22</t>
        </is>
      </c>
    </row>
    <row r="8351">
      <c r="A8351" s="1" t="n">
        <v>8350</v>
      </c>
      <c r="B8351">
        <f>TEXT(8350, "[$-0E0000]yyyy-mm-dd")</f>
        <v/>
      </c>
      <c r="C8351" t="inlineStr">
        <is>
          <t>1922-09-23</t>
        </is>
      </c>
    </row>
    <row r="8352">
      <c r="A8352" s="1" t="n">
        <v>8351</v>
      </c>
      <c r="B8352">
        <f>TEXT(8351, "[$-0E0000]yyyy-mm-dd")</f>
        <v/>
      </c>
      <c r="C8352" t="inlineStr">
        <is>
          <t>1922-09-24</t>
        </is>
      </c>
    </row>
    <row r="8353">
      <c r="A8353" s="1" t="n">
        <v>8352</v>
      </c>
      <c r="B8353">
        <f>TEXT(8352, "[$-0E0000]yyyy-mm-dd")</f>
        <v/>
      </c>
      <c r="C8353" t="inlineStr">
        <is>
          <t>1922-09-25</t>
        </is>
      </c>
    </row>
    <row r="8354">
      <c r="A8354" s="1" t="n">
        <v>8353</v>
      </c>
      <c r="B8354">
        <f>TEXT(8353, "[$-0E0000]yyyy-mm-dd")</f>
        <v/>
      </c>
      <c r="C8354" t="inlineStr">
        <is>
          <t>1922-09-26</t>
        </is>
      </c>
    </row>
    <row r="8355">
      <c r="A8355" s="1" t="n">
        <v>8354</v>
      </c>
      <c r="B8355">
        <f>TEXT(8354, "[$-0E0000]yyyy-mm-dd")</f>
        <v/>
      </c>
      <c r="C8355" t="inlineStr">
        <is>
          <t>1922-09-27</t>
        </is>
      </c>
    </row>
    <row r="8356">
      <c r="A8356" s="1" t="n">
        <v>8355</v>
      </c>
      <c r="B8356">
        <f>TEXT(8355, "[$-0E0000]yyyy-mm-dd")</f>
        <v/>
      </c>
      <c r="C8356" t="inlineStr">
        <is>
          <t>1922-09-28</t>
        </is>
      </c>
    </row>
    <row r="8357">
      <c r="A8357" s="1" t="n">
        <v>8356</v>
      </c>
      <c r="B8357">
        <f>TEXT(8356, "[$-0E0000]yyyy-mm-dd")</f>
        <v/>
      </c>
      <c r="C8357" t="inlineStr">
        <is>
          <t>1922-09-29</t>
        </is>
      </c>
    </row>
    <row r="8358">
      <c r="A8358" s="1" t="n">
        <v>8357</v>
      </c>
      <c r="B8358">
        <f>TEXT(8357, "[$-0E0000]yyyy-mm-dd")</f>
        <v/>
      </c>
      <c r="C8358" t="inlineStr">
        <is>
          <t>1922-09-30</t>
        </is>
      </c>
    </row>
    <row r="8359">
      <c r="A8359" s="1" t="n">
        <v>8358</v>
      </c>
      <c r="B8359">
        <f>TEXT(8358, "[$-0E0000]yyyy-mm-dd")</f>
        <v/>
      </c>
      <c r="C8359" t="inlineStr">
        <is>
          <t>1922-10-01</t>
        </is>
      </c>
    </row>
    <row r="8360">
      <c r="A8360" s="1" t="n">
        <v>8359</v>
      </c>
      <c r="B8360">
        <f>TEXT(8359, "[$-0E0000]yyyy-mm-dd")</f>
        <v/>
      </c>
      <c r="C8360" t="inlineStr">
        <is>
          <t>1922-10-02</t>
        </is>
      </c>
    </row>
    <row r="8361">
      <c r="A8361" s="1" t="n">
        <v>8360</v>
      </c>
      <c r="B8361">
        <f>TEXT(8360, "[$-0E0000]yyyy-mm-dd")</f>
        <v/>
      </c>
      <c r="C8361" t="inlineStr">
        <is>
          <t>1922-10-03</t>
        </is>
      </c>
    </row>
    <row r="8362">
      <c r="A8362" s="1" t="n">
        <v>8361</v>
      </c>
      <c r="B8362">
        <f>TEXT(8361, "[$-0E0000]yyyy-mm-dd")</f>
        <v/>
      </c>
      <c r="C8362" t="inlineStr">
        <is>
          <t>1922-10-04</t>
        </is>
      </c>
    </row>
    <row r="8363">
      <c r="A8363" s="1" t="n">
        <v>8362</v>
      </c>
      <c r="B8363">
        <f>TEXT(8362, "[$-0E0000]yyyy-mm-dd")</f>
        <v/>
      </c>
      <c r="C8363" t="inlineStr">
        <is>
          <t>1922-10-05</t>
        </is>
      </c>
    </row>
    <row r="8364">
      <c r="A8364" s="1" t="n">
        <v>8363</v>
      </c>
      <c r="B8364">
        <f>TEXT(8363, "[$-0E0000]yyyy-mm-dd")</f>
        <v/>
      </c>
      <c r="C8364" t="inlineStr">
        <is>
          <t>1922-10-06</t>
        </is>
      </c>
    </row>
    <row r="8365">
      <c r="A8365" s="1" t="n">
        <v>8364</v>
      </c>
      <c r="B8365">
        <f>TEXT(8364, "[$-0E0000]yyyy-mm-dd")</f>
        <v/>
      </c>
      <c r="C8365" t="inlineStr">
        <is>
          <t>1922-10-07</t>
        </is>
      </c>
    </row>
    <row r="8366">
      <c r="A8366" s="1" t="n">
        <v>8365</v>
      </c>
      <c r="B8366">
        <f>TEXT(8365, "[$-0E0000]yyyy-mm-dd")</f>
        <v/>
      </c>
      <c r="C8366" t="inlineStr">
        <is>
          <t>1922-10-08</t>
        </is>
      </c>
    </row>
    <row r="8367">
      <c r="A8367" s="1" t="n">
        <v>8366</v>
      </c>
      <c r="B8367">
        <f>TEXT(8366, "[$-0E0000]yyyy-mm-dd")</f>
        <v/>
      </c>
      <c r="C8367" t="inlineStr">
        <is>
          <t>1922-10-09</t>
        </is>
      </c>
    </row>
    <row r="8368">
      <c r="A8368" s="1" t="n">
        <v>8367</v>
      </c>
      <c r="B8368">
        <f>TEXT(8367, "[$-0E0000]yyyy-mm-dd")</f>
        <v/>
      </c>
      <c r="C8368" t="inlineStr">
        <is>
          <t>1922-10-10</t>
        </is>
      </c>
    </row>
    <row r="8369">
      <c r="A8369" s="1" t="n">
        <v>8368</v>
      </c>
      <c r="B8369">
        <f>TEXT(8368, "[$-0E0000]yyyy-mm-dd")</f>
        <v/>
      </c>
      <c r="C8369" t="inlineStr">
        <is>
          <t>1922-10-11</t>
        </is>
      </c>
    </row>
    <row r="8370">
      <c r="A8370" s="1" t="n">
        <v>8369</v>
      </c>
      <c r="B8370">
        <f>TEXT(8369, "[$-0E0000]yyyy-mm-dd")</f>
        <v/>
      </c>
      <c r="C8370" t="inlineStr">
        <is>
          <t>1922-10-12</t>
        </is>
      </c>
    </row>
    <row r="8371">
      <c r="A8371" s="1" t="n">
        <v>8370</v>
      </c>
      <c r="B8371">
        <f>TEXT(8370, "[$-0E0000]yyyy-mm-dd")</f>
        <v/>
      </c>
      <c r="C8371" t="inlineStr">
        <is>
          <t>1922-10-13</t>
        </is>
      </c>
    </row>
    <row r="8372">
      <c r="A8372" s="1" t="n">
        <v>8371</v>
      </c>
      <c r="B8372">
        <f>TEXT(8371, "[$-0E0000]yyyy-mm-dd")</f>
        <v/>
      </c>
      <c r="C8372" t="inlineStr">
        <is>
          <t>1922-10-14</t>
        </is>
      </c>
    </row>
    <row r="8373">
      <c r="A8373" s="1" t="n">
        <v>8372</v>
      </c>
      <c r="B8373">
        <f>TEXT(8372, "[$-0E0000]yyyy-mm-dd")</f>
        <v/>
      </c>
      <c r="C8373" t="inlineStr">
        <is>
          <t>1922-10-15</t>
        </is>
      </c>
    </row>
    <row r="8374">
      <c r="A8374" s="1" t="n">
        <v>8373</v>
      </c>
      <c r="B8374">
        <f>TEXT(8373, "[$-0E0000]yyyy-mm-dd")</f>
        <v/>
      </c>
      <c r="C8374" t="inlineStr">
        <is>
          <t>1922-10-16</t>
        </is>
      </c>
    </row>
    <row r="8375">
      <c r="A8375" s="1" t="n">
        <v>8374</v>
      </c>
      <c r="B8375">
        <f>TEXT(8374, "[$-0E0000]yyyy-mm-dd")</f>
        <v/>
      </c>
      <c r="C8375" t="inlineStr">
        <is>
          <t>1922-10-17</t>
        </is>
      </c>
    </row>
    <row r="8376">
      <c r="A8376" s="1" t="n">
        <v>8375</v>
      </c>
      <c r="B8376">
        <f>TEXT(8375, "[$-0E0000]yyyy-mm-dd")</f>
        <v/>
      </c>
      <c r="C8376" t="inlineStr">
        <is>
          <t>1922-10-18</t>
        </is>
      </c>
    </row>
    <row r="8377">
      <c r="A8377" s="1" t="n">
        <v>8376</v>
      </c>
      <c r="B8377">
        <f>TEXT(8376, "[$-0E0000]yyyy-mm-dd")</f>
        <v/>
      </c>
      <c r="C8377" t="inlineStr">
        <is>
          <t>1922-10-19</t>
        </is>
      </c>
    </row>
    <row r="8378">
      <c r="A8378" s="1" t="n">
        <v>8377</v>
      </c>
      <c r="B8378">
        <f>TEXT(8377, "[$-0E0000]yyyy-mm-dd")</f>
        <v/>
      </c>
      <c r="C8378" t="inlineStr">
        <is>
          <t>1922-10-20</t>
        </is>
      </c>
    </row>
    <row r="8379">
      <c r="A8379" s="1" t="n">
        <v>8378</v>
      </c>
      <c r="B8379">
        <f>TEXT(8378, "[$-0E0000]yyyy-mm-dd")</f>
        <v/>
      </c>
      <c r="C8379" t="inlineStr">
        <is>
          <t>1922-10-21</t>
        </is>
      </c>
    </row>
    <row r="8380">
      <c r="A8380" s="1" t="n">
        <v>8379</v>
      </c>
      <c r="B8380">
        <f>TEXT(8379, "[$-0E0000]yyyy-mm-dd")</f>
        <v/>
      </c>
      <c r="C8380" t="inlineStr">
        <is>
          <t>1922-10-22</t>
        </is>
      </c>
    </row>
    <row r="8381">
      <c r="A8381" s="1" t="n">
        <v>8380</v>
      </c>
      <c r="B8381">
        <f>TEXT(8380, "[$-0E0000]yyyy-mm-dd")</f>
        <v/>
      </c>
      <c r="C8381" t="inlineStr">
        <is>
          <t>1922-10-23</t>
        </is>
      </c>
    </row>
    <row r="8382">
      <c r="A8382" s="1" t="n">
        <v>8381</v>
      </c>
      <c r="B8382">
        <f>TEXT(8381, "[$-0E0000]yyyy-mm-dd")</f>
        <v/>
      </c>
      <c r="C8382" t="inlineStr">
        <is>
          <t>1922-10-24</t>
        </is>
      </c>
    </row>
    <row r="8383">
      <c r="A8383" s="1" t="n">
        <v>8382</v>
      </c>
      <c r="B8383">
        <f>TEXT(8382, "[$-0E0000]yyyy-mm-dd")</f>
        <v/>
      </c>
      <c r="C8383" t="inlineStr">
        <is>
          <t>1922-10-25</t>
        </is>
      </c>
    </row>
    <row r="8384">
      <c r="A8384" s="1" t="n">
        <v>8383</v>
      </c>
      <c r="B8384">
        <f>TEXT(8383, "[$-0E0000]yyyy-mm-dd")</f>
        <v/>
      </c>
      <c r="C8384" t="inlineStr">
        <is>
          <t>1922-10-26</t>
        </is>
      </c>
    </row>
    <row r="8385">
      <c r="A8385" s="1" t="n">
        <v>8384</v>
      </c>
      <c r="B8385">
        <f>TEXT(8384, "[$-0E0000]yyyy-mm-dd")</f>
        <v/>
      </c>
      <c r="C8385" t="inlineStr">
        <is>
          <t>1922-10-27</t>
        </is>
      </c>
    </row>
    <row r="8386">
      <c r="A8386" s="1" t="n">
        <v>8385</v>
      </c>
      <c r="B8386">
        <f>TEXT(8385, "[$-0E0000]yyyy-mm-dd")</f>
        <v/>
      </c>
      <c r="C8386" t="inlineStr">
        <is>
          <t>1922-10-28</t>
        </is>
      </c>
    </row>
    <row r="8387">
      <c r="A8387" s="1" t="n">
        <v>8386</v>
      </c>
      <c r="B8387">
        <f>TEXT(8386, "[$-0E0000]yyyy-mm-dd")</f>
        <v/>
      </c>
      <c r="C8387" t="inlineStr">
        <is>
          <t>1922-10-29</t>
        </is>
      </c>
    </row>
    <row r="8388">
      <c r="A8388" s="1" t="n">
        <v>8387</v>
      </c>
      <c r="B8388">
        <f>TEXT(8387, "[$-0E0000]yyyy-mm-dd")</f>
        <v/>
      </c>
      <c r="C8388" t="inlineStr">
        <is>
          <t>1922-11-01</t>
        </is>
      </c>
    </row>
    <row r="8389">
      <c r="A8389" s="1" t="n">
        <v>8388</v>
      </c>
      <c r="B8389">
        <f>TEXT(8388, "[$-0E0000]yyyy-mm-dd")</f>
        <v/>
      </c>
      <c r="C8389" t="inlineStr">
        <is>
          <t>1922-11-02</t>
        </is>
      </c>
    </row>
    <row r="8390">
      <c r="A8390" s="1" t="n">
        <v>8389</v>
      </c>
      <c r="B8390">
        <f>TEXT(8389, "[$-0E0000]yyyy-mm-dd")</f>
        <v/>
      </c>
      <c r="C8390" t="inlineStr">
        <is>
          <t>1922-11-03</t>
        </is>
      </c>
    </row>
    <row r="8391">
      <c r="A8391" s="1" t="n">
        <v>8390</v>
      </c>
      <c r="B8391">
        <f>TEXT(8390, "[$-0E0000]yyyy-mm-dd")</f>
        <v/>
      </c>
      <c r="C8391" t="inlineStr">
        <is>
          <t>1922-11-04</t>
        </is>
      </c>
    </row>
    <row r="8392">
      <c r="A8392" s="1" t="n">
        <v>8391</v>
      </c>
      <c r="B8392">
        <f>TEXT(8391, "[$-0E0000]yyyy-mm-dd")</f>
        <v/>
      </c>
      <c r="C8392" t="inlineStr">
        <is>
          <t>1922-11-05</t>
        </is>
      </c>
    </row>
    <row r="8393">
      <c r="A8393" s="1" t="n">
        <v>8392</v>
      </c>
      <c r="B8393">
        <f>TEXT(8392, "[$-0E0000]yyyy-mm-dd")</f>
        <v/>
      </c>
      <c r="C8393" t="inlineStr">
        <is>
          <t>1922-11-06</t>
        </is>
      </c>
    </row>
    <row r="8394">
      <c r="A8394" s="1" t="n">
        <v>8393</v>
      </c>
      <c r="B8394">
        <f>TEXT(8393, "[$-0E0000]yyyy-mm-dd")</f>
        <v/>
      </c>
      <c r="C8394" t="inlineStr">
        <is>
          <t>1922-11-07</t>
        </is>
      </c>
    </row>
    <row r="8395">
      <c r="A8395" s="1" t="n">
        <v>8394</v>
      </c>
      <c r="B8395">
        <f>TEXT(8394, "[$-0E0000]yyyy-mm-dd")</f>
        <v/>
      </c>
      <c r="C8395" t="inlineStr">
        <is>
          <t>1922-11-08</t>
        </is>
      </c>
    </row>
    <row r="8396">
      <c r="A8396" s="1" t="n">
        <v>8395</v>
      </c>
      <c r="B8396">
        <f>TEXT(8395, "[$-0E0000]yyyy-mm-dd")</f>
        <v/>
      </c>
      <c r="C8396" t="inlineStr">
        <is>
          <t>1922-11-09</t>
        </is>
      </c>
    </row>
    <row r="8397">
      <c r="A8397" s="1" t="n">
        <v>8396</v>
      </c>
      <c r="B8397">
        <f>TEXT(8396, "[$-0E0000]yyyy-mm-dd")</f>
        <v/>
      </c>
      <c r="C8397" t="inlineStr">
        <is>
          <t>1922-11-10</t>
        </is>
      </c>
    </row>
    <row r="8398">
      <c r="A8398" s="1" t="n">
        <v>8397</v>
      </c>
      <c r="B8398">
        <f>TEXT(8397, "[$-0E0000]yyyy-mm-dd")</f>
        <v/>
      </c>
      <c r="C8398" t="inlineStr">
        <is>
          <t>1922-11-11</t>
        </is>
      </c>
    </row>
    <row r="8399">
      <c r="A8399" s="1" t="n">
        <v>8398</v>
      </c>
      <c r="B8399">
        <f>TEXT(8398, "[$-0E0000]yyyy-mm-dd")</f>
        <v/>
      </c>
      <c r="C8399" t="inlineStr">
        <is>
          <t>1922-11-12</t>
        </is>
      </c>
    </row>
    <row r="8400">
      <c r="A8400" s="1" t="n">
        <v>8399</v>
      </c>
      <c r="B8400">
        <f>TEXT(8399, "[$-0E0000]yyyy-mm-dd")</f>
        <v/>
      </c>
      <c r="C8400" t="inlineStr">
        <is>
          <t>1922-11-13</t>
        </is>
      </c>
    </row>
    <row r="8401">
      <c r="A8401" s="1" t="n">
        <v>8400</v>
      </c>
      <c r="B8401">
        <f>TEXT(8400, "[$-0E0000]yyyy-mm-dd")</f>
        <v/>
      </c>
      <c r="C8401" t="inlineStr">
        <is>
          <t>1922-11-14</t>
        </is>
      </c>
    </row>
    <row r="8402">
      <c r="A8402" s="1" t="n">
        <v>8401</v>
      </c>
      <c r="B8402">
        <f>TEXT(8401, "[$-0E0000]yyyy-mm-dd")</f>
        <v/>
      </c>
      <c r="C8402" t="inlineStr">
        <is>
          <t>1922-11-15</t>
        </is>
      </c>
    </row>
    <row r="8403">
      <c r="A8403" s="1" t="n">
        <v>8402</v>
      </c>
      <c r="B8403">
        <f>TEXT(8402, "[$-0E0000]yyyy-mm-dd")</f>
        <v/>
      </c>
      <c r="C8403" t="inlineStr">
        <is>
          <t>1922-11-16</t>
        </is>
      </c>
    </row>
    <row r="8404">
      <c r="A8404" s="1" t="n">
        <v>8403</v>
      </c>
      <c r="B8404">
        <f>TEXT(8403, "[$-0E0000]yyyy-mm-dd")</f>
        <v/>
      </c>
      <c r="C8404" t="inlineStr">
        <is>
          <t>1922-11-17</t>
        </is>
      </c>
    </row>
    <row r="8405">
      <c r="A8405" s="1" t="n">
        <v>8404</v>
      </c>
      <c r="B8405">
        <f>TEXT(8404, "[$-0E0000]yyyy-mm-dd")</f>
        <v/>
      </c>
      <c r="C8405" t="inlineStr">
        <is>
          <t>1922-11-18</t>
        </is>
      </c>
    </row>
    <row r="8406">
      <c r="A8406" s="1" t="n">
        <v>8405</v>
      </c>
      <c r="B8406">
        <f>TEXT(8405, "[$-0E0000]yyyy-mm-dd")</f>
        <v/>
      </c>
      <c r="C8406" t="inlineStr">
        <is>
          <t>1922-11-19</t>
        </is>
      </c>
    </row>
    <row r="8407">
      <c r="A8407" s="1" t="n">
        <v>8406</v>
      </c>
      <c r="B8407">
        <f>TEXT(8406, "[$-0E0000]yyyy-mm-dd")</f>
        <v/>
      </c>
      <c r="C8407" t="inlineStr">
        <is>
          <t>1922-11-20</t>
        </is>
      </c>
    </row>
    <row r="8408">
      <c r="A8408" s="1" t="n">
        <v>8407</v>
      </c>
      <c r="B8408">
        <f>TEXT(8407, "[$-0E0000]yyyy-mm-dd")</f>
        <v/>
      </c>
      <c r="C8408" t="inlineStr">
        <is>
          <t>1922-11-21</t>
        </is>
      </c>
    </row>
    <row r="8409">
      <c r="A8409" s="1" t="n">
        <v>8408</v>
      </c>
      <c r="B8409">
        <f>TEXT(8408, "[$-0E0000]yyyy-mm-dd")</f>
        <v/>
      </c>
      <c r="C8409" t="inlineStr">
        <is>
          <t>1922-11-22</t>
        </is>
      </c>
    </row>
    <row r="8410">
      <c r="A8410" s="1" t="n">
        <v>8409</v>
      </c>
      <c r="B8410">
        <f>TEXT(8409, "[$-0E0000]yyyy-mm-dd")</f>
        <v/>
      </c>
      <c r="C8410" t="inlineStr">
        <is>
          <t>1922-11-23</t>
        </is>
      </c>
    </row>
    <row r="8411">
      <c r="A8411" s="1" t="n">
        <v>8410</v>
      </c>
      <c r="B8411">
        <f>TEXT(8410, "[$-0E0000]yyyy-mm-dd")</f>
        <v/>
      </c>
      <c r="C8411" t="inlineStr">
        <is>
          <t>1922-11-24</t>
        </is>
      </c>
    </row>
    <row r="8412">
      <c r="A8412" s="1" t="n">
        <v>8411</v>
      </c>
      <c r="B8412">
        <f>TEXT(8411, "[$-0E0000]yyyy-mm-dd")</f>
        <v/>
      </c>
      <c r="C8412" t="inlineStr">
        <is>
          <t>1922-11-25</t>
        </is>
      </c>
    </row>
    <row r="8413">
      <c r="A8413" s="1" t="n">
        <v>8412</v>
      </c>
      <c r="B8413">
        <f>TEXT(8412, "[$-0E0000]yyyy-mm-dd")</f>
        <v/>
      </c>
      <c r="C8413" t="inlineStr">
        <is>
          <t>1922-11-26</t>
        </is>
      </c>
    </row>
    <row r="8414">
      <c r="A8414" s="1" t="n">
        <v>8413</v>
      </c>
      <c r="B8414">
        <f>TEXT(8413, "[$-0E0000]yyyy-mm-dd")</f>
        <v/>
      </c>
      <c r="C8414" t="inlineStr">
        <is>
          <t>1922-11-27</t>
        </is>
      </c>
    </row>
    <row r="8415">
      <c r="A8415" s="1" t="n">
        <v>8414</v>
      </c>
      <c r="B8415">
        <f>TEXT(8414, "[$-0E0000]yyyy-mm-dd")</f>
        <v/>
      </c>
      <c r="C8415" t="inlineStr">
        <is>
          <t>1922-11-28</t>
        </is>
      </c>
    </row>
    <row r="8416">
      <c r="A8416" s="1" t="n">
        <v>8415</v>
      </c>
      <c r="B8416">
        <f>TEXT(8415, "[$-0E0000]yyyy-mm-dd")</f>
        <v/>
      </c>
      <c r="C8416" t="inlineStr">
        <is>
          <t>1922-11-29</t>
        </is>
      </c>
    </row>
    <row r="8417">
      <c r="A8417" s="1" t="n">
        <v>8416</v>
      </c>
      <c r="B8417">
        <f>TEXT(8416, "[$-0E0000]yyyy-mm-dd")</f>
        <v/>
      </c>
      <c r="C8417" t="inlineStr">
        <is>
          <t>1922-11-30</t>
        </is>
      </c>
    </row>
    <row r="8418">
      <c r="A8418" s="1" t="n">
        <v>8417</v>
      </c>
      <c r="B8418">
        <f>TEXT(8417, "[$-0E0000]yyyy-mm-dd")</f>
        <v/>
      </c>
      <c r="C8418" t="inlineStr">
        <is>
          <t>1922-12-01</t>
        </is>
      </c>
    </row>
    <row r="8419">
      <c r="A8419" s="1" t="n">
        <v>8418</v>
      </c>
      <c r="B8419">
        <f>TEXT(8418, "[$-0E0000]yyyy-mm-dd")</f>
        <v/>
      </c>
      <c r="C8419" t="inlineStr">
        <is>
          <t>1922-12-02</t>
        </is>
      </c>
    </row>
    <row r="8420">
      <c r="A8420" s="1" t="n">
        <v>8419</v>
      </c>
      <c r="B8420">
        <f>TEXT(8419, "[$-0E0000]yyyy-mm-dd")</f>
        <v/>
      </c>
      <c r="C8420" t="inlineStr">
        <is>
          <t>1922-12-03</t>
        </is>
      </c>
    </row>
    <row r="8421">
      <c r="A8421" s="1" t="n">
        <v>8420</v>
      </c>
      <c r="B8421">
        <f>TEXT(8420, "[$-0E0000]yyyy-mm-dd")</f>
        <v/>
      </c>
      <c r="C8421" t="inlineStr">
        <is>
          <t>1922-12-04</t>
        </is>
      </c>
    </row>
    <row r="8422">
      <c r="A8422" s="1" t="n">
        <v>8421</v>
      </c>
      <c r="B8422">
        <f>TEXT(8421, "[$-0E0000]yyyy-mm-dd")</f>
        <v/>
      </c>
      <c r="C8422" t="inlineStr">
        <is>
          <t>1922-12-05</t>
        </is>
      </c>
    </row>
    <row r="8423">
      <c r="A8423" s="1" t="n">
        <v>8422</v>
      </c>
      <c r="B8423">
        <f>TEXT(8422, "[$-0E0000]yyyy-mm-dd")</f>
        <v/>
      </c>
      <c r="C8423" t="inlineStr">
        <is>
          <t>1922-12-06</t>
        </is>
      </c>
    </row>
    <row r="8424">
      <c r="A8424" s="1" t="n">
        <v>8423</v>
      </c>
      <c r="B8424">
        <f>TEXT(8423, "[$-0E0000]yyyy-mm-dd")</f>
        <v/>
      </c>
      <c r="C8424" t="inlineStr">
        <is>
          <t>1922-12-07</t>
        </is>
      </c>
    </row>
    <row r="8425">
      <c r="A8425" s="1" t="n">
        <v>8424</v>
      </c>
      <c r="B8425">
        <f>TEXT(8424, "[$-0E0000]yyyy-mm-dd")</f>
        <v/>
      </c>
      <c r="C8425" t="inlineStr">
        <is>
          <t>1922-12-08</t>
        </is>
      </c>
    </row>
    <row r="8426">
      <c r="A8426" s="1" t="n">
        <v>8425</v>
      </c>
      <c r="B8426">
        <f>TEXT(8425, "[$-0E0000]yyyy-mm-dd")</f>
        <v/>
      </c>
      <c r="C8426" t="inlineStr">
        <is>
          <t>1922-12-09</t>
        </is>
      </c>
    </row>
    <row r="8427">
      <c r="A8427" s="1" t="n">
        <v>8426</v>
      </c>
      <c r="B8427">
        <f>TEXT(8426, "[$-0E0000]yyyy-mm-dd")</f>
        <v/>
      </c>
      <c r="C8427" t="inlineStr">
        <is>
          <t>1922-12-10</t>
        </is>
      </c>
    </row>
    <row r="8428">
      <c r="A8428" s="1" t="n">
        <v>8427</v>
      </c>
      <c r="B8428">
        <f>TEXT(8427, "[$-0E0000]yyyy-mm-dd")</f>
        <v/>
      </c>
      <c r="C8428" t="inlineStr">
        <is>
          <t>1922-12-11</t>
        </is>
      </c>
    </row>
    <row r="8429">
      <c r="A8429" s="1" t="n">
        <v>8428</v>
      </c>
      <c r="B8429">
        <f>TEXT(8428, "[$-0E0000]yyyy-mm-dd")</f>
        <v/>
      </c>
      <c r="C8429" t="inlineStr">
        <is>
          <t>1922-12-12</t>
        </is>
      </c>
    </row>
    <row r="8430">
      <c r="A8430" s="1" t="n">
        <v>8429</v>
      </c>
      <c r="B8430">
        <f>TEXT(8429, "[$-0E0000]yyyy-mm-dd")</f>
        <v/>
      </c>
      <c r="C8430" t="inlineStr">
        <is>
          <t>1922-12-13</t>
        </is>
      </c>
    </row>
    <row r="8431">
      <c r="A8431" s="1" t="n">
        <v>8430</v>
      </c>
      <c r="B8431">
        <f>TEXT(8430, "[$-0E0000]yyyy-mm-dd")</f>
        <v/>
      </c>
      <c r="C8431" t="inlineStr">
        <is>
          <t>1922-12-14</t>
        </is>
      </c>
    </row>
    <row r="8432">
      <c r="A8432" s="1" t="n">
        <v>8431</v>
      </c>
      <c r="B8432">
        <f>TEXT(8431, "[$-0E0000]yyyy-mm-dd")</f>
        <v/>
      </c>
      <c r="C8432" t="inlineStr">
        <is>
          <t>1922-12-15</t>
        </is>
      </c>
    </row>
    <row r="8433">
      <c r="A8433" s="1" t="n">
        <v>8432</v>
      </c>
      <c r="B8433">
        <f>TEXT(8432, "[$-0E0000]yyyy-mm-dd")</f>
        <v/>
      </c>
      <c r="C8433" t="inlineStr">
        <is>
          <t>1922-12-16</t>
        </is>
      </c>
    </row>
    <row r="8434">
      <c r="A8434" s="1" t="n">
        <v>8433</v>
      </c>
      <c r="B8434">
        <f>TEXT(8433, "[$-0E0000]yyyy-mm-dd")</f>
        <v/>
      </c>
      <c r="C8434" t="inlineStr">
        <is>
          <t>1922-12-17</t>
        </is>
      </c>
    </row>
    <row r="8435">
      <c r="A8435" s="1" t="n">
        <v>8434</v>
      </c>
      <c r="B8435">
        <f>TEXT(8434, "[$-0E0000]yyyy-mm-dd")</f>
        <v/>
      </c>
      <c r="C8435" t="inlineStr">
        <is>
          <t>1922-12-18</t>
        </is>
      </c>
    </row>
    <row r="8436">
      <c r="A8436" s="1" t="n">
        <v>8435</v>
      </c>
      <c r="B8436">
        <f>TEXT(8435, "[$-0E0000]yyyy-mm-dd")</f>
        <v/>
      </c>
      <c r="C8436" t="inlineStr">
        <is>
          <t>1922-12-19</t>
        </is>
      </c>
    </row>
    <row r="8437">
      <c r="A8437" s="1" t="n">
        <v>8436</v>
      </c>
      <c r="B8437">
        <f>TEXT(8436, "[$-0E0000]yyyy-mm-dd")</f>
        <v/>
      </c>
      <c r="C8437" t="inlineStr">
        <is>
          <t>1922-12-20</t>
        </is>
      </c>
    </row>
    <row r="8438">
      <c r="A8438" s="1" t="n">
        <v>8437</v>
      </c>
      <c r="B8438">
        <f>TEXT(8437, "[$-0E0000]yyyy-mm-dd")</f>
        <v/>
      </c>
      <c r="C8438" t="inlineStr">
        <is>
          <t>1922-12-21</t>
        </is>
      </c>
    </row>
    <row r="8439">
      <c r="A8439" s="1" t="n">
        <v>8438</v>
      </c>
      <c r="B8439">
        <f>TEXT(8438, "[$-0E0000]yyyy-mm-dd")</f>
        <v/>
      </c>
      <c r="C8439" t="inlineStr">
        <is>
          <t>1922-12-22</t>
        </is>
      </c>
    </row>
    <row r="8440">
      <c r="A8440" s="1" t="n">
        <v>8439</v>
      </c>
      <c r="B8440">
        <f>TEXT(8439, "[$-0E0000]yyyy-mm-dd")</f>
        <v/>
      </c>
      <c r="C8440" t="inlineStr">
        <is>
          <t>1922-12-23</t>
        </is>
      </c>
    </row>
    <row r="8441">
      <c r="A8441" s="1" t="n">
        <v>8440</v>
      </c>
      <c r="B8441">
        <f>TEXT(8440, "[$-0E0000]yyyy-mm-dd")</f>
        <v/>
      </c>
      <c r="C8441" t="inlineStr">
        <is>
          <t>1922-12-24</t>
        </is>
      </c>
    </row>
    <row r="8442">
      <c r="A8442" s="1" t="n">
        <v>8441</v>
      </c>
      <c r="B8442">
        <f>TEXT(8441, "[$-0E0000]yyyy-mm-dd")</f>
        <v/>
      </c>
      <c r="C8442" t="inlineStr">
        <is>
          <t>1922-12-25</t>
        </is>
      </c>
    </row>
    <row r="8443">
      <c r="A8443" s="1" t="n">
        <v>8442</v>
      </c>
      <c r="B8443">
        <f>TEXT(8442, "[$-0E0000]yyyy-mm-dd")</f>
        <v/>
      </c>
      <c r="C8443" t="inlineStr">
        <is>
          <t>1922-12-26</t>
        </is>
      </c>
    </row>
    <row r="8444">
      <c r="A8444" s="1" t="n">
        <v>8443</v>
      </c>
      <c r="B8444">
        <f>TEXT(8443, "[$-0E0000]yyyy-mm-dd")</f>
        <v/>
      </c>
      <c r="C8444" t="inlineStr">
        <is>
          <t>1922-12-27</t>
        </is>
      </c>
    </row>
    <row r="8445">
      <c r="A8445" s="1" t="n">
        <v>8444</v>
      </c>
      <c r="B8445">
        <f>TEXT(8444, "[$-0E0000]yyyy-mm-dd")</f>
        <v/>
      </c>
      <c r="C8445" t="inlineStr">
        <is>
          <t>1922-12-28</t>
        </is>
      </c>
    </row>
    <row r="8446">
      <c r="A8446" s="1" t="n">
        <v>8445</v>
      </c>
      <c r="B8446">
        <f>TEXT(8445, "[$-0E0000]yyyy-mm-dd")</f>
        <v/>
      </c>
      <c r="C8446" t="inlineStr">
        <is>
          <t>1922-12-29</t>
        </is>
      </c>
    </row>
    <row r="8447">
      <c r="A8447" s="1" t="n">
        <v>8446</v>
      </c>
      <c r="B8447">
        <f>TEXT(8446, "[$-0E0000]yyyy-mm-dd")</f>
        <v/>
      </c>
      <c r="C8447" t="inlineStr">
        <is>
          <t>1922-12-30</t>
        </is>
      </c>
    </row>
    <row r="8448">
      <c r="A8448" s="1" t="n">
        <v>8447</v>
      </c>
      <c r="B8448">
        <f>TEXT(8447, "[$-0E0000]yyyy-mm-dd")</f>
        <v/>
      </c>
      <c r="C8448" t="inlineStr">
        <is>
          <t>1923-01-01</t>
        </is>
      </c>
    </row>
    <row r="8449">
      <c r="A8449" s="1" t="n">
        <v>8448</v>
      </c>
      <c r="B8449">
        <f>TEXT(8448, "[$-0E0000]yyyy-mm-dd")</f>
        <v/>
      </c>
      <c r="C8449" t="inlineStr">
        <is>
          <t>1923-01-02</t>
        </is>
      </c>
    </row>
    <row r="8450">
      <c r="A8450" s="1" t="n">
        <v>8449</v>
      </c>
      <c r="B8450">
        <f>TEXT(8449, "[$-0E0000]yyyy-mm-dd")</f>
        <v/>
      </c>
      <c r="C8450" t="inlineStr">
        <is>
          <t>1923-01-03</t>
        </is>
      </c>
    </row>
    <row r="8451">
      <c r="A8451" s="1" t="n">
        <v>8450</v>
      </c>
      <c r="B8451">
        <f>TEXT(8450, "[$-0E0000]yyyy-mm-dd")</f>
        <v/>
      </c>
      <c r="C8451" t="inlineStr">
        <is>
          <t>1923-01-04</t>
        </is>
      </c>
    </row>
    <row r="8452">
      <c r="A8452" s="1" t="n">
        <v>8451</v>
      </c>
      <c r="B8452">
        <f>TEXT(8451, "[$-0E0000]yyyy-mm-dd")</f>
        <v/>
      </c>
      <c r="C8452" t="inlineStr">
        <is>
          <t>1923-01-05</t>
        </is>
      </c>
    </row>
    <row r="8453">
      <c r="A8453" s="1" t="n">
        <v>8452</v>
      </c>
      <c r="B8453">
        <f>TEXT(8452, "[$-0E0000]yyyy-mm-dd")</f>
        <v/>
      </c>
      <c r="C8453" t="inlineStr">
        <is>
          <t>1923-01-06</t>
        </is>
      </c>
    </row>
    <row r="8454">
      <c r="A8454" s="1" t="n">
        <v>8453</v>
      </c>
      <c r="B8454">
        <f>TEXT(8453, "[$-0E0000]yyyy-mm-dd")</f>
        <v/>
      </c>
      <c r="C8454" t="inlineStr">
        <is>
          <t>1923-01-07</t>
        </is>
      </c>
    </row>
    <row r="8455">
      <c r="A8455" s="1" t="n">
        <v>8454</v>
      </c>
      <c r="B8455">
        <f>TEXT(8454, "[$-0E0000]yyyy-mm-dd")</f>
        <v/>
      </c>
      <c r="C8455" t="inlineStr">
        <is>
          <t>1923-01-08</t>
        </is>
      </c>
    </row>
    <row r="8456">
      <c r="A8456" s="1" t="n">
        <v>8455</v>
      </c>
      <c r="B8456">
        <f>TEXT(8455, "[$-0E0000]yyyy-mm-dd")</f>
        <v/>
      </c>
      <c r="C8456" t="inlineStr">
        <is>
          <t>1923-01-09</t>
        </is>
      </c>
    </row>
    <row r="8457">
      <c r="A8457" s="1" t="n">
        <v>8456</v>
      </c>
      <c r="B8457">
        <f>TEXT(8456, "[$-0E0000]yyyy-mm-dd")</f>
        <v/>
      </c>
      <c r="C8457" t="inlineStr">
        <is>
          <t>1923-01-10</t>
        </is>
      </c>
    </row>
    <row r="8458">
      <c r="A8458" s="1" t="n">
        <v>8457</v>
      </c>
      <c r="B8458">
        <f>TEXT(8457, "[$-0E0000]yyyy-mm-dd")</f>
        <v/>
      </c>
      <c r="C8458" t="inlineStr">
        <is>
          <t>1923-01-11</t>
        </is>
      </c>
    </row>
    <row r="8459">
      <c r="A8459" s="1" t="n">
        <v>8458</v>
      </c>
      <c r="B8459">
        <f>TEXT(8458, "[$-0E0000]yyyy-mm-dd")</f>
        <v/>
      </c>
      <c r="C8459" t="inlineStr">
        <is>
          <t>1923-01-12</t>
        </is>
      </c>
    </row>
    <row r="8460">
      <c r="A8460" s="1" t="n">
        <v>8459</v>
      </c>
      <c r="B8460">
        <f>TEXT(8459, "[$-0E0000]yyyy-mm-dd")</f>
        <v/>
      </c>
      <c r="C8460" t="inlineStr">
        <is>
          <t>1923-01-13</t>
        </is>
      </c>
    </row>
    <row r="8461">
      <c r="A8461" s="1" t="n">
        <v>8460</v>
      </c>
      <c r="B8461">
        <f>TEXT(8460, "[$-0E0000]yyyy-mm-dd")</f>
        <v/>
      </c>
      <c r="C8461" t="inlineStr">
        <is>
          <t>1923-01-14</t>
        </is>
      </c>
    </row>
    <row r="8462">
      <c r="A8462" s="1" t="n">
        <v>8461</v>
      </c>
      <c r="B8462">
        <f>TEXT(8461, "[$-0E0000]yyyy-mm-dd")</f>
        <v/>
      </c>
      <c r="C8462" t="inlineStr">
        <is>
          <t>1923-01-15</t>
        </is>
      </c>
    </row>
    <row r="8463">
      <c r="A8463" s="1" t="n">
        <v>8462</v>
      </c>
      <c r="B8463">
        <f>TEXT(8462, "[$-0E0000]yyyy-mm-dd")</f>
        <v/>
      </c>
      <c r="C8463" t="inlineStr">
        <is>
          <t>1923-01-16</t>
        </is>
      </c>
    </row>
    <row r="8464">
      <c r="A8464" s="1" t="n">
        <v>8463</v>
      </c>
      <c r="B8464">
        <f>TEXT(8463, "[$-0E0000]yyyy-mm-dd")</f>
        <v/>
      </c>
      <c r="C8464" t="inlineStr">
        <is>
          <t>1923-01-17</t>
        </is>
      </c>
    </row>
    <row r="8465">
      <c r="A8465" s="1" t="n">
        <v>8464</v>
      </c>
      <c r="B8465">
        <f>TEXT(8464, "[$-0E0000]yyyy-mm-dd")</f>
        <v/>
      </c>
      <c r="C8465" t="inlineStr">
        <is>
          <t>1923-01-18</t>
        </is>
      </c>
    </row>
    <row r="8466">
      <c r="A8466" s="1" t="n">
        <v>8465</v>
      </c>
      <c r="B8466">
        <f>TEXT(8465, "[$-0E0000]yyyy-mm-dd")</f>
        <v/>
      </c>
      <c r="C8466" t="inlineStr">
        <is>
          <t>1923-01-19</t>
        </is>
      </c>
    </row>
    <row r="8467">
      <c r="A8467" s="1" t="n">
        <v>8466</v>
      </c>
      <c r="B8467">
        <f>TEXT(8466, "[$-0E0000]yyyy-mm-dd")</f>
        <v/>
      </c>
      <c r="C8467" t="inlineStr">
        <is>
          <t>1923-01-20</t>
        </is>
      </c>
    </row>
    <row r="8468">
      <c r="A8468" s="1" t="n">
        <v>8467</v>
      </c>
      <c r="B8468">
        <f>TEXT(8467, "[$-0E0000]yyyy-mm-dd")</f>
        <v/>
      </c>
      <c r="C8468" t="inlineStr">
        <is>
          <t>1923-01-21</t>
        </is>
      </c>
    </row>
    <row r="8469">
      <c r="A8469" s="1" t="n">
        <v>8468</v>
      </c>
      <c r="B8469">
        <f>TEXT(8468, "[$-0E0000]yyyy-mm-dd")</f>
        <v/>
      </c>
      <c r="C8469" t="inlineStr">
        <is>
          <t>1923-01-22</t>
        </is>
      </c>
    </row>
    <row r="8470">
      <c r="A8470" s="1" t="n">
        <v>8469</v>
      </c>
      <c r="B8470">
        <f>TEXT(8469, "[$-0E0000]yyyy-mm-dd")</f>
        <v/>
      </c>
      <c r="C8470" t="inlineStr">
        <is>
          <t>1923-01-23</t>
        </is>
      </c>
    </row>
    <row r="8471">
      <c r="A8471" s="1" t="n">
        <v>8470</v>
      </c>
      <c r="B8471">
        <f>TEXT(8470, "[$-0E0000]yyyy-mm-dd")</f>
        <v/>
      </c>
      <c r="C8471" t="inlineStr">
        <is>
          <t>1923-01-24</t>
        </is>
      </c>
    </row>
    <row r="8472">
      <c r="A8472" s="1" t="n">
        <v>8471</v>
      </c>
      <c r="B8472">
        <f>TEXT(8471, "[$-0E0000]yyyy-mm-dd")</f>
        <v/>
      </c>
      <c r="C8472" t="inlineStr">
        <is>
          <t>1923-01-25</t>
        </is>
      </c>
    </row>
    <row r="8473">
      <c r="A8473" s="1" t="n">
        <v>8472</v>
      </c>
      <c r="B8473">
        <f>TEXT(8472, "[$-0E0000]yyyy-mm-dd")</f>
        <v/>
      </c>
      <c r="C8473" t="inlineStr">
        <is>
          <t>1923-01-26</t>
        </is>
      </c>
    </row>
    <row r="8474">
      <c r="A8474" s="1" t="n">
        <v>8473</v>
      </c>
      <c r="B8474">
        <f>TEXT(8473, "[$-0E0000]yyyy-mm-dd")</f>
        <v/>
      </c>
      <c r="C8474" t="inlineStr">
        <is>
          <t>1923-01-27</t>
        </is>
      </c>
    </row>
    <row r="8475">
      <c r="A8475" s="1" t="n">
        <v>8474</v>
      </c>
      <c r="B8475">
        <f>TEXT(8474, "[$-0E0000]yyyy-mm-dd")</f>
        <v/>
      </c>
      <c r="C8475" t="inlineStr">
        <is>
          <t>1923-01-28</t>
        </is>
      </c>
    </row>
    <row r="8476">
      <c r="A8476" s="1" t="n">
        <v>8475</v>
      </c>
      <c r="B8476">
        <f>TEXT(8475, "[$-0E0000]yyyy-mm-dd")</f>
        <v/>
      </c>
      <c r="C8476" t="inlineStr">
        <is>
          <t>1923-01-29</t>
        </is>
      </c>
    </row>
    <row r="8477">
      <c r="A8477" s="1" t="n">
        <v>8476</v>
      </c>
      <c r="B8477">
        <f>TEXT(8476, "[$-0E0000]yyyy-mm-dd")</f>
        <v/>
      </c>
      <c r="C8477" t="inlineStr">
        <is>
          <t>1923-02-01</t>
        </is>
      </c>
    </row>
    <row r="8478">
      <c r="A8478" s="1" t="n">
        <v>8477</v>
      </c>
      <c r="B8478">
        <f>TEXT(8477, "[$-0E0000]yyyy-mm-dd")</f>
        <v/>
      </c>
      <c r="C8478" t="inlineStr">
        <is>
          <t>1923-02-02</t>
        </is>
      </c>
    </row>
    <row r="8479">
      <c r="A8479" s="1" t="n">
        <v>8478</v>
      </c>
      <c r="B8479">
        <f>TEXT(8478, "[$-0E0000]yyyy-mm-dd")</f>
        <v/>
      </c>
      <c r="C8479" t="inlineStr">
        <is>
          <t>1923-02-03</t>
        </is>
      </c>
    </row>
    <row r="8480">
      <c r="A8480" s="1" t="n">
        <v>8479</v>
      </c>
      <c r="B8480">
        <f>TEXT(8479, "[$-0E0000]yyyy-mm-dd")</f>
        <v/>
      </c>
      <c r="C8480" t="inlineStr">
        <is>
          <t>1923-02-04</t>
        </is>
      </c>
    </row>
    <row r="8481">
      <c r="A8481" s="1" t="n">
        <v>8480</v>
      </c>
      <c r="B8481">
        <f>TEXT(8480, "[$-0E0000]yyyy-mm-dd")</f>
        <v/>
      </c>
      <c r="C8481" t="inlineStr">
        <is>
          <t>1923-02-05</t>
        </is>
      </c>
    </row>
    <row r="8482">
      <c r="A8482" s="1" t="n">
        <v>8481</v>
      </c>
      <c r="B8482">
        <f>TEXT(8481, "[$-0E0000]yyyy-mm-dd")</f>
        <v/>
      </c>
      <c r="C8482" t="inlineStr">
        <is>
          <t>1923-02-06</t>
        </is>
      </c>
    </row>
    <row r="8483">
      <c r="A8483" s="1" t="n">
        <v>8482</v>
      </c>
      <c r="B8483">
        <f>TEXT(8482, "[$-0E0000]yyyy-mm-dd")</f>
        <v/>
      </c>
      <c r="C8483" t="inlineStr">
        <is>
          <t>1923-02-07</t>
        </is>
      </c>
    </row>
    <row r="8484">
      <c r="A8484" s="1" t="n">
        <v>8483</v>
      </c>
      <c r="B8484">
        <f>TEXT(8483, "[$-0E0000]yyyy-mm-dd")</f>
        <v/>
      </c>
      <c r="C8484" t="inlineStr">
        <is>
          <t>1923-02-08</t>
        </is>
      </c>
    </row>
    <row r="8485">
      <c r="A8485" s="1" t="n">
        <v>8484</v>
      </c>
      <c r="B8485">
        <f>TEXT(8484, "[$-0E0000]yyyy-mm-dd")</f>
        <v/>
      </c>
      <c r="C8485" t="inlineStr">
        <is>
          <t>1923-02-09</t>
        </is>
      </c>
    </row>
    <row r="8486">
      <c r="A8486" s="1" t="n">
        <v>8485</v>
      </c>
      <c r="B8486">
        <f>TEXT(8485, "[$-0E0000]yyyy-mm-dd")</f>
        <v/>
      </c>
      <c r="C8486" t="inlineStr">
        <is>
          <t>1923-02-10</t>
        </is>
      </c>
    </row>
    <row r="8487">
      <c r="A8487" s="1" t="n">
        <v>8486</v>
      </c>
      <c r="B8487">
        <f>TEXT(8486, "[$-0E0000]yyyy-mm-dd")</f>
        <v/>
      </c>
      <c r="C8487" t="inlineStr">
        <is>
          <t>1923-02-11</t>
        </is>
      </c>
    </row>
    <row r="8488">
      <c r="A8488" s="1" t="n">
        <v>8487</v>
      </c>
      <c r="B8488">
        <f>TEXT(8487, "[$-0E0000]yyyy-mm-dd")</f>
        <v/>
      </c>
      <c r="C8488" t="inlineStr">
        <is>
          <t>1923-02-12</t>
        </is>
      </c>
    </row>
    <row r="8489">
      <c r="A8489" s="1" t="n">
        <v>8488</v>
      </c>
      <c r="B8489">
        <f>TEXT(8488, "[$-0E0000]yyyy-mm-dd")</f>
        <v/>
      </c>
      <c r="C8489" t="inlineStr">
        <is>
          <t>1923-02-13</t>
        </is>
      </c>
    </row>
    <row r="8490">
      <c r="A8490" s="1" t="n">
        <v>8489</v>
      </c>
      <c r="B8490">
        <f>TEXT(8489, "[$-0E0000]yyyy-mm-dd")</f>
        <v/>
      </c>
      <c r="C8490" t="inlineStr">
        <is>
          <t>1923-02-14</t>
        </is>
      </c>
    </row>
    <row r="8491">
      <c r="A8491" s="1" t="n">
        <v>8490</v>
      </c>
      <c r="B8491">
        <f>TEXT(8490, "[$-0E0000]yyyy-mm-dd")</f>
        <v/>
      </c>
      <c r="C8491" t="inlineStr">
        <is>
          <t>1923-02-15</t>
        </is>
      </c>
    </row>
    <row r="8492">
      <c r="A8492" s="1" t="n">
        <v>8491</v>
      </c>
      <c r="B8492">
        <f>TEXT(8491, "[$-0E0000]yyyy-mm-dd")</f>
        <v/>
      </c>
      <c r="C8492" t="inlineStr">
        <is>
          <t>1923-02-16</t>
        </is>
      </c>
    </row>
    <row r="8493">
      <c r="A8493" s="1" t="n">
        <v>8492</v>
      </c>
      <c r="B8493">
        <f>TEXT(8492, "[$-0E0000]yyyy-mm-dd")</f>
        <v/>
      </c>
      <c r="C8493" t="inlineStr">
        <is>
          <t>1923-02-17</t>
        </is>
      </c>
    </row>
    <row r="8494">
      <c r="A8494" s="1" t="n">
        <v>8493</v>
      </c>
      <c r="B8494">
        <f>TEXT(8493, "[$-0E0000]yyyy-mm-dd")</f>
        <v/>
      </c>
      <c r="C8494" t="inlineStr">
        <is>
          <t>1923-02-18</t>
        </is>
      </c>
    </row>
    <row r="8495">
      <c r="A8495" s="1" t="n">
        <v>8494</v>
      </c>
      <c r="B8495">
        <f>TEXT(8494, "[$-0E0000]yyyy-mm-dd")</f>
        <v/>
      </c>
      <c r="C8495" t="inlineStr">
        <is>
          <t>1923-02-19</t>
        </is>
      </c>
    </row>
    <row r="8496">
      <c r="A8496" s="1" t="n">
        <v>8495</v>
      </c>
      <c r="B8496">
        <f>TEXT(8495, "[$-0E0000]yyyy-mm-dd")</f>
        <v/>
      </c>
      <c r="C8496" t="inlineStr">
        <is>
          <t>1923-02-20</t>
        </is>
      </c>
    </row>
    <row r="8497">
      <c r="A8497" s="1" t="n">
        <v>8496</v>
      </c>
      <c r="B8497">
        <f>TEXT(8496, "[$-0E0000]yyyy-mm-dd")</f>
        <v/>
      </c>
      <c r="C8497" t="inlineStr">
        <is>
          <t>1923-02-21</t>
        </is>
      </c>
    </row>
    <row r="8498">
      <c r="A8498" s="1" t="n">
        <v>8497</v>
      </c>
      <c r="B8498">
        <f>TEXT(8497, "[$-0E0000]yyyy-mm-dd")</f>
        <v/>
      </c>
      <c r="C8498" t="inlineStr">
        <is>
          <t>1923-02-22</t>
        </is>
      </c>
    </row>
    <row r="8499">
      <c r="A8499" s="1" t="n">
        <v>8498</v>
      </c>
      <c r="B8499">
        <f>TEXT(8498, "[$-0E0000]yyyy-mm-dd")</f>
        <v/>
      </c>
      <c r="C8499" t="inlineStr">
        <is>
          <t>1923-02-23</t>
        </is>
      </c>
    </row>
    <row r="8500">
      <c r="A8500" s="1" t="n">
        <v>8499</v>
      </c>
      <c r="B8500">
        <f>TEXT(8499, "[$-0E0000]yyyy-mm-dd")</f>
        <v/>
      </c>
      <c r="C8500" t="inlineStr">
        <is>
          <t>1923-02-24</t>
        </is>
      </c>
    </row>
    <row r="8501">
      <c r="A8501" s="1" t="n">
        <v>8500</v>
      </c>
      <c r="B8501">
        <f>TEXT(8500, "[$-0E0000]yyyy-mm-dd")</f>
        <v/>
      </c>
      <c r="C8501" t="inlineStr">
        <is>
          <t>1923-02-25</t>
        </is>
      </c>
    </row>
    <row r="8502">
      <c r="A8502" s="1" t="n">
        <v>8501</v>
      </c>
      <c r="B8502">
        <f>TEXT(8501, "[$-0E0000]yyyy-mm-dd")</f>
        <v/>
      </c>
      <c r="C8502" t="inlineStr">
        <is>
          <t>1923-02-26</t>
        </is>
      </c>
    </row>
    <row r="8503">
      <c r="A8503" s="1" t="n">
        <v>8502</v>
      </c>
      <c r="B8503">
        <f>TEXT(8502, "[$-0E0000]yyyy-mm-dd")</f>
        <v/>
      </c>
      <c r="C8503" t="inlineStr">
        <is>
          <t>1923-02-27</t>
        </is>
      </c>
    </row>
    <row r="8504">
      <c r="A8504" s="1" t="n">
        <v>8503</v>
      </c>
      <c r="B8504">
        <f>TEXT(8503, "[$-0E0000]yyyy-mm-dd")</f>
        <v/>
      </c>
      <c r="C8504" t="inlineStr">
        <is>
          <t>1923-02-28</t>
        </is>
      </c>
    </row>
    <row r="8505">
      <c r="A8505" s="1" t="n">
        <v>8504</v>
      </c>
      <c r="B8505">
        <f>TEXT(8504, "[$-0E0000]yyyy-mm-dd")</f>
        <v/>
      </c>
      <c r="C8505" t="inlineStr">
        <is>
          <t>1923-02-29</t>
        </is>
      </c>
    </row>
    <row r="8506">
      <c r="A8506" s="1" t="n">
        <v>8505</v>
      </c>
      <c r="B8506">
        <f>TEXT(8505, "[$-0E0000]yyyy-mm-dd")</f>
        <v/>
      </c>
      <c r="C8506" t="inlineStr">
        <is>
          <t>1923-02-30</t>
        </is>
      </c>
    </row>
    <row r="8507">
      <c r="A8507" s="1" t="n">
        <v>8506</v>
      </c>
      <c r="B8507">
        <f>TEXT(8506, "[$-0E0000]yyyy-mm-dd")</f>
        <v/>
      </c>
      <c r="C8507" t="inlineStr">
        <is>
          <t>1923-03-01</t>
        </is>
      </c>
    </row>
    <row r="8508">
      <c r="A8508" s="1" t="n">
        <v>8507</v>
      </c>
      <c r="B8508">
        <f>TEXT(8507, "[$-0E0000]yyyy-mm-dd")</f>
        <v/>
      </c>
      <c r="C8508" t="inlineStr">
        <is>
          <t>1923-03-02</t>
        </is>
      </c>
    </row>
    <row r="8509">
      <c r="A8509" s="1" t="n">
        <v>8508</v>
      </c>
      <c r="B8509">
        <f>TEXT(8508, "[$-0E0000]yyyy-mm-dd")</f>
        <v/>
      </c>
      <c r="C8509" t="inlineStr">
        <is>
          <t>1923-03-03</t>
        </is>
      </c>
    </row>
    <row r="8510">
      <c r="A8510" s="1" t="n">
        <v>8509</v>
      </c>
      <c r="B8510">
        <f>TEXT(8509, "[$-0E0000]yyyy-mm-dd")</f>
        <v/>
      </c>
      <c r="C8510" t="inlineStr">
        <is>
          <t>1923-03-04</t>
        </is>
      </c>
    </row>
    <row r="8511">
      <c r="A8511" s="1" t="n">
        <v>8510</v>
      </c>
      <c r="B8511">
        <f>TEXT(8510, "[$-0E0000]yyyy-mm-dd")</f>
        <v/>
      </c>
      <c r="C8511" t="inlineStr">
        <is>
          <t>1923-03-05</t>
        </is>
      </c>
    </row>
    <row r="8512">
      <c r="A8512" s="1" t="n">
        <v>8511</v>
      </c>
      <c r="B8512">
        <f>TEXT(8511, "[$-0E0000]yyyy-mm-dd")</f>
        <v/>
      </c>
      <c r="C8512" t="inlineStr">
        <is>
          <t>1923-03-06</t>
        </is>
      </c>
    </row>
    <row r="8513">
      <c r="A8513" s="1" t="n">
        <v>8512</v>
      </c>
      <c r="B8513">
        <f>TEXT(8512, "[$-0E0000]yyyy-mm-dd")</f>
        <v/>
      </c>
      <c r="C8513" t="inlineStr">
        <is>
          <t>1923-03-07</t>
        </is>
      </c>
    </row>
    <row r="8514">
      <c r="A8514" s="1" t="n">
        <v>8513</v>
      </c>
      <c r="B8514">
        <f>TEXT(8513, "[$-0E0000]yyyy-mm-dd")</f>
        <v/>
      </c>
      <c r="C8514" t="inlineStr">
        <is>
          <t>1923-03-08</t>
        </is>
      </c>
    </row>
    <row r="8515">
      <c r="A8515" s="1" t="n">
        <v>8514</v>
      </c>
      <c r="B8515">
        <f>TEXT(8514, "[$-0E0000]yyyy-mm-dd")</f>
        <v/>
      </c>
      <c r="C8515" t="inlineStr">
        <is>
          <t>1923-03-09</t>
        </is>
      </c>
    </row>
    <row r="8516">
      <c r="A8516" s="1" t="n">
        <v>8515</v>
      </c>
      <c r="B8516">
        <f>TEXT(8515, "[$-0E0000]yyyy-mm-dd")</f>
        <v/>
      </c>
      <c r="C8516" t="inlineStr">
        <is>
          <t>1923-03-10</t>
        </is>
      </c>
    </row>
    <row r="8517">
      <c r="A8517" s="1" t="n">
        <v>8516</v>
      </c>
      <c r="B8517">
        <f>TEXT(8516, "[$-0E0000]yyyy-mm-dd")</f>
        <v/>
      </c>
      <c r="C8517" t="inlineStr">
        <is>
          <t>1923-03-11</t>
        </is>
      </c>
    </row>
    <row r="8518">
      <c r="A8518" s="1" t="n">
        <v>8517</v>
      </c>
      <c r="B8518">
        <f>TEXT(8517, "[$-0E0000]yyyy-mm-dd")</f>
        <v/>
      </c>
      <c r="C8518" t="inlineStr">
        <is>
          <t>1923-03-12</t>
        </is>
      </c>
    </row>
    <row r="8519">
      <c r="A8519" s="1" t="n">
        <v>8518</v>
      </c>
      <c r="B8519">
        <f>TEXT(8518, "[$-0E0000]yyyy-mm-dd")</f>
        <v/>
      </c>
      <c r="C8519" t="inlineStr">
        <is>
          <t>1923-03-13</t>
        </is>
      </c>
    </row>
    <row r="8520">
      <c r="A8520" s="1" t="n">
        <v>8519</v>
      </c>
      <c r="B8520">
        <f>TEXT(8519, "[$-0E0000]yyyy-mm-dd")</f>
        <v/>
      </c>
      <c r="C8520" t="inlineStr">
        <is>
          <t>1923-03-14</t>
        </is>
      </c>
    </row>
    <row r="8521">
      <c r="A8521" s="1" t="n">
        <v>8520</v>
      </c>
      <c r="B8521">
        <f>TEXT(8520, "[$-0E0000]yyyy-mm-dd")</f>
        <v/>
      </c>
      <c r="C8521" t="inlineStr">
        <is>
          <t>1923-03-15</t>
        </is>
      </c>
    </row>
    <row r="8522">
      <c r="A8522" s="1" t="n">
        <v>8521</v>
      </c>
      <c r="B8522">
        <f>TEXT(8521, "[$-0E0000]yyyy-mm-dd")</f>
        <v/>
      </c>
      <c r="C8522" t="inlineStr">
        <is>
          <t>1923-03-16</t>
        </is>
      </c>
    </row>
    <row r="8523">
      <c r="A8523" s="1" t="n">
        <v>8522</v>
      </c>
      <c r="B8523">
        <f>TEXT(8522, "[$-0E0000]yyyy-mm-dd")</f>
        <v/>
      </c>
      <c r="C8523" t="inlineStr">
        <is>
          <t>1923-03-17</t>
        </is>
      </c>
    </row>
    <row r="8524">
      <c r="A8524" s="1" t="n">
        <v>8523</v>
      </c>
      <c r="B8524">
        <f>TEXT(8523, "[$-0E0000]yyyy-mm-dd")</f>
        <v/>
      </c>
      <c r="C8524" t="inlineStr">
        <is>
          <t>1923-03-18</t>
        </is>
      </c>
    </row>
    <row r="8525">
      <c r="A8525" s="1" t="n">
        <v>8524</v>
      </c>
      <c r="B8525">
        <f>TEXT(8524, "[$-0E0000]yyyy-mm-dd")</f>
        <v/>
      </c>
      <c r="C8525" t="inlineStr">
        <is>
          <t>1923-03-19</t>
        </is>
      </c>
    </row>
    <row r="8526">
      <c r="A8526" s="1" t="n">
        <v>8525</v>
      </c>
      <c r="B8526">
        <f>TEXT(8525, "[$-0E0000]yyyy-mm-dd")</f>
        <v/>
      </c>
      <c r="C8526" t="inlineStr">
        <is>
          <t>1923-03-20</t>
        </is>
      </c>
    </row>
    <row r="8527">
      <c r="A8527" s="1" t="n">
        <v>8526</v>
      </c>
      <c r="B8527">
        <f>TEXT(8526, "[$-0E0000]yyyy-mm-dd")</f>
        <v/>
      </c>
      <c r="C8527" t="inlineStr">
        <is>
          <t>1923-03-21</t>
        </is>
      </c>
    </row>
    <row r="8528">
      <c r="A8528" s="1" t="n">
        <v>8527</v>
      </c>
      <c r="B8528">
        <f>TEXT(8527, "[$-0E0000]yyyy-mm-dd")</f>
        <v/>
      </c>
      <c r="C8528" t="inlineStr">
        <is>
          <t>1923-03-22</t>
        </is>
      </c>
    </row>
    <row r="8529">
      <c r="A8529" s="1" t="n">
        <v>8528</v>
      </c>
      <c r="B8529">
        <f>TEXT(8528, "[$-0E0000]yyyy-mm-dd")</f>
        <v/>
      </c>
      <c r="C8529" t="inlineStr">
        <is>
          <t>1923-03-23</t>
        </is>
      </c>
    </row>
    <row r="8530">
      <c r="A8530" s="1" t="n">
        <v>8529</v>
      </c>
      <c r="B8530">
        <f>TEXT(8529, "[$-0E0000]yyyy-mm-dd")</f>
        <v/>
      </c>
      <c r="C8530" t="inlineStr">
        <is>
          <t>1923-03-24</t>
        </is>
      </c>
    </row>
    <row r="8531">
      <c r="A8531" s="1" t="n">
        <v>8530</v>
      </c>
      <c r="B8531">
        <f>TEXT(8530, "[$-0E0000]yyyy-mm-dd")</f>
        <v/>
      </c>
      <c r="C8531" t="inlineStr">
        <is>
          <t>1923-03-25</t>
        </is>
      </c>
    </row>
    <row r="8532">
      <c r="A8532" s="1" t="n">
        <v>8531</v>
      </c>
      <c r="B8532">
        <f>TEXT(8531, "[$-0E0000]yyyy-mm-dd")</f>
        <v/>
      </c>
      <c r="C8532" t="inlineStr">
        <is>
          <t>1923-03-26</t>
        </is>
      </c>
    </row>
    <row r="8533">
      <c r="A8533" s="1" t="n">
        <v>8532</v>
      </c>
      <c r="B8533">
        <f>TEXT(8532, "[$-0E0000]yyyy-mm-dd")</f>
        <v/>
      </c>
      <c r="C8533" t="inlineStr">
        <is>
          <t>1923-03-27</t>
        </is>
      </c>
    </row>
    <row r="8534">
      <c r="A8534" s="1" t="n">
        <v>8533</v>
      </c>
      <c r="B8534">
        <f>TEXT(8533, "[$-0E0000]yyyy-mm-dd")</f>
        <v/>
      </c>
      <c r="C8534" t="inlineStr">
        <is>
          <t>1923-03-28</t>
        </is>
      </c>
    </row>
    <row r="8535">
      <c r="A8535" s="1" t="n">
        <v>8534</v>
      </c>
      <c r="B8535">
        <f>TEXT(8534, "[$-0E0000]yyyy-mm-dd")</f>
        <v/>
      </c>
      <c r="C8535" t="inlineStr">
        <is>
          <t>1923-03-29</t>
        </is>
      </c>
    </row>
    <row r="8536">
      <c r="A8536" s="1" t="n">
        <v>8535</v>
      </c>
      <c r="B8536">
        <f>TEXT(8535, "[$-0E0000]yyyy-mm-dd")</f>
        <v/>
      </c>
      <c r="C8536" t="inlineStr">
        <is>
          <t>1923-03-30</t>
        </is>
      </c>
    </row>
    <row r="8537">
      <c r="A8537" s="1" t="n">
        <v>8536</v>
      </c>
      <c r="B8537">
        <f>TEXT(8536, "[$-0E0000]yyyy-mm-dd")</f>
        <v/>
      </c>
      <c r="C8537" t="inlineStr">
        <is>
          <t>1923-04-01</t>
        </is>
      </c>
    </row>
    <row r="8538">
      <c r="A8538" s="1" t="n">
        <v>8537</v>
      </c>
      <c r="B8538">
        <f>TEXT(8537, "[$-0E0000]yyyy-mm-dd")</f>
        <v/>
      </c>
      <c r="C8538" t="inlineStr">
        <is>
          <t>1923-04-02</t>
        </is>
      </c>
    </row>
    <row r="8539">
      <c r="A8539" s="1" t="n">
        <v>8538</v>
      </c>
      <c r="B8539">
        <f>TEXT(8538, "[$-0E0000]yyyy-mm-dd")</f>
        <v/>
      </c>
      <c r="C8539" t="inlineStr">
        <is>
          <t>1923-04-03</t>
        </is>
      </c>
    </row>
    <row r="8540">
      <c r="A8540" s="1" t="n">
        <v>8539</v>
      </c>
      <c r="B8540">
        <f>TEXT(8539, "[$-0E0000]yyyy-mm-dd")</f>
        <v/>
      </c>
      <c r="C8540" t="inlineStr">
        <is>
          <t>1923-04-04</t>
        </is>
      </c>
    </row>
    <row r="8541">
      <c r="A8541" s="1" t="n">
        <v>8540</v>
      </c>
      <c r="B8541">
        <f>TEXT(8540, "[$-0E0000]yyyy-mm-dd")</f>
        <v/>
      </c>
      <c r="C8541" t="inlineStr">
        <is>
          <t>1923-04-05</t>
        </is>
      </c>
    </row>
    <row r="8542">
      <c r="A8542" s="1" t="n">
        <v>8541</v>
      </c>
      <c r="B8542">
        <f>TEXT(8541, "[$-0E0000]yyyy-mm-dd")</f>
        <v/>
      </c>
      <c r="C8542" t="inlineStr">
        <is>
          <t>1923-04-06</t>
        </is>
      </c>
    </row>
    <row r="8543">
      <c r="A8543" s="1" t="n">
        <v>8542</v>
      </c>
      <c r="B8543">
        <f>TEXT(8542, "[$-0E0000]yyyy-mm-dd")</f>
        <v/>
      </c>
      <c r="C8543" t="inlineStr">
        <is>
          <t>1923-04-07</t>
        </is>
      </c>
    </row>
    <row r="8544">
      <c r="A8544" s="1" t="n">
        <v>8543</v>
      </c>
      <c r="B8544">
        <f>TEXT(8543, "[$-0E0000]yyyy-mm-dd")</f>
        <v/>
      </c>
      <c r="C8544" t="inlineStr">
        <is>
          <t>1923-04-08</t>
        </is>
      </c>
    </row>
    <row r="8545">
      <c r="A8545" s="1" t="n">
        <v>8544</v>
      </c>
      <c r="B8545">
        <f>TEXT(8544, "[$-0E0000]yyyy-mm-dd")</f>
        <v/>
      </c>
      <c r="C8545" t="inlineStr">
        <is>
          <t>1923-04-09</t>
        </is>
      </c>
    </row>
    <row r="8546">
      <c r="A8546" s="1" t="n">
        <v>8545</v>
      </c>
      <c r="B8546">
        <f>TEXT(8545, "[$-0E0000]yyyy-mm-dd")</f>
        <v/>
      </c>
      <c r="C8546" t="inlineStr">
        <is>
          <t>1923-04-10</t>
        </is>
      </c>
    </row>
    <row r="8547">
      <c r="A8547" s="1" t="n">
        <v>8546</v>
      </c>
      <c r="B8547">
        <f>TEXT(8546, "[$-0E0000]yyyy-mm-dd")</f>
        <v/>
      </c>
      <c r="C8547" t="inlineStr">
        <is>
          <t>1923-04-11</t>
        </is>
      </c>
    </row>
    <row r="8548">
      <c r="A8548" s="1" t="n">
        <v>8547</v>
      </c>
      <c r="B8548">
        <f>TEXT(8547, "[$-0E0000]yyyy-mm-dd")</f>
        <v/>
      </c>
      <c r="C8548" t="inlineStr">
        <is>
          <t>1923-04-12</t>
        </is>
      </c>
    </row>
    <row r="8549">
      <c r="A8549" s="1" t="n">
        <v>8548</v>
      </c>
      <c r="B8549">
        <f>TEXT(8548, "[$-0E0000]yyyy-mm-dd")</f>
        <v/>
      </c>
      <c r="C8549" t="inlineStr">
        <is>
          <t>1923-04-13</t>
        </is>
      </c>
    </row>
    <row r="8550">
      <c r="A8550" s="1" t="n">
        <v>8549</v>
      </c>
      <c r="B8550">
        <f>TEXT(8549, "[$-0E0000]yyyy-mm-dd")</f>
        <v/>
      </c>
      <c r="C8550" t="inlineStr">
        <is>
          <t>1923-04-14</t>
        </is>
      </c>
    </row>
    <row r="8551">
      <c r="A8551" s="1" t="n">
        <v>8550</v>
      </c>
      <c r="B8551">
        <f>TEXT(8550, "[$-0E0000]yyyy-mm-dd")</f>
        <v/>
      </c>
      <c r="C8551" t="inlineStr">
        <is>
          <t>1923-04-15</t>
        </is>
      </c>
    </row>
    <row r="8552">
      <c r="A8552" s="1" t="n">
        <v>8551</v>
      </c>
      <c r="B8552">
        <f>TEXT(8551, "[$-0E0000]yyyy-mm-dd")</f>
        <v/>
      </c>
      <c r="C8552" t="inlineStr">
        <is>
          <t>1923-04-16</t>
        </is>
      </c>
    </row>
    <row r="8553">
      <c r="A8553" s="1" t="n">
        <v>8552</v>
      </c>
      <c r="B8553">
        <f>TEXT(8552, "[$-0E0000]yyyy-mm-dd")</f>
        <v/>
      </c>
      <c r="C8553" t="inlineStr">
        <is>
          <t>1923-04-17</t>
        </is>
      </c>
    </row>
    <row r="8554">
      <c r="A8554" s="1" t="n">
        <v>8553</v>
      </c>
      <c r="B8554">
        <f>TEXT(8553, "[$-0E0000]yyyy-mm-dd")</f>
        <v/>
      </c>
      <c r="C8554" t="inlineStr">
        <is>
          <t>1923-04-18</t>
        </is>
      </c>
    </row>
    <row r="8555">
      <c r="A8555" s="1" t="n">
        <v>8554</v>
      </c>
      <c r="B8555">
        <f>TEXT(8554, "[$-0E0000]yyyy-mm-dd")</f>
        <v/>
      </c>
      <c r="C8555" t="inlineStr">
        <is>
          <t>1923-04-19</t>
        </is>
      </c>
    </row>
    <row r="8556">
      <c r="A8556" s="1" t="n">
        <v>8555</v>
      </c>
      <c r="B8556">
        <f>TEXT(8555, "[$-0E0000]yyyy-mm-dd")</f>
        <v/>
      </c>
      <c r="C8556" t="inlineStr">
        <is>
          <t>1923-04-20</t>
        </is>
      </c>
    </row>
    <row r="8557">
      <c r="A8557" s="1" t="n">
        <v>8556</v>
      </c>
      <c r="B8557">
        <f>TEXT(8556, "[$-0E0000]yyyy-mm-dd")</f>
        <v/>
      </c>
      <c r="C8557" t="inlineStr">
        <is>
          <t>1923-04-21</t>
        </is>
      </c>
    </row>
    <row r="8558">
      <c r="A8558" s="1" t="n">
        <v>8557</v>
      </c>
      <c r="B8558">
        <f>TEXT(8557, "[$-0E0000]yyyy-mm-dd")</f>
        <v/>
      </c>
      <c r="C8558" t="inlineStr">
        <is>
          <t>1923-04-22</t>
        </is>
      </c>
    </row>
    <row r="8559">
      <c r="A8559" s="1" t="n">
        <v>8558</v>
      </c>
      <c r="B8559">
        <f>TEXT(8558, "[$-0E0000]yyyy-mm-dd")</f>
        <v/>
      </c>
      <c r="C8559" t="inlineStr">
        <is>
          <t>1923-04-23</t>
        </is>
      </c>
    </row>
    <row r="8560">
      <c r="A8560" s="1" t="n">
        <v>8559</v>
      </c>
      <c r="B8560">
        <f>TEXT(8559, "[$-0E0000]yyyy-mm-dd")</f>
        <v/>
      </c>
      <c r="C8560" t="inlineStr">
        <is>
          <t>1923-04-24</t>
        </is>
      </c>
    </row>
    <row r="8561">
      <c r="A8561" s="1" t="n">
        <v>8560</v>
      </c>
      <c r="B8561">
        <f>TEXT(8560, "[$-0E0000]yyyy-mm-dd")</f>
        <v/>
      </c>
      <c r="C8561" t="inlineStr">
        <is>
          <t>1923-04-25</t>
        </is>
      </c>
    </row>
    <row r="8562">
      <c r="A8562" s="1" t="n">
        <v>8561</v>
      </c>
      <c r="B8562">
        <f>TEXT(8561, "[$-0E0000]yyyy-mm-dd")</f>
        <v/>
      </c>
      <c r="C8562" t="inlineStr">
        <is>
          <t>1923-04-26</t>
        </is>
      </c>
    </row>
    <row r="8563">
      <c r="A8563" s="1" t="n">
        <v>8562</v>
      </c>
      <c r="B8563">
        <f>TEXT(8562, "[$-0E0000]yyyy-mm-dd")</f>
        <v/>
      </c>
      <c r="C8563" t="inlineStr">
        <is>
          <t>1923-04-27</t>
        </is>
      </c>
    </row>
    <row r="8564">
      <c r="A8564" s="1" t="n">
        <v>8563</v>
      </c>
      <c r="B8564">
        <f>TEXT(8563, "[$-0E0000]yyyy-mm-dd")</f>
        <v/>
      </c>
      <c r="C8564" t="inlineStr">
        <is>
          <t>1923-04-28</t>
        </is>
      </c>
    </row>
    <row r="8565">
      <c r="A8565" s="1" t="n">
        <v>8564</v>
      </c>
      <c r="B8565">
        <f>TEXT(8564, "[$-0E0000]yyyy-mm-dd")</f>
        <v/>
      </c>
      <c r="C8565" t="inlineStr">
        <is>
          <t>1923-04-29</t>
        </is>
      </c>
    </row>
    <row r="8566">
      <c r="A8566" s="1" t="n">
        <v>8565</v>
      </c>
      <c r="B8566">
        <f>TEXT(8565, "[$-0E0000]yyyy-mm-dd")</f>
        <v/>
      </c>
      <c r="C8566" t="inlineStr">
        <is>
          <t>1923-05-01</t>
        </is>
      </c>
    </row>
    <row r="8567">
      <c r="A8567" s="1" t="n">
        <v>8566</v>
      </c>
      <c r="B8567">
        <f>TEXT(8566, "[$-0E0000]yyyy-mm-dd")</f>
        <v/>
      </c>
      <c r="C8567" t="inlineStr">
        <is>
          <t>1923-05-02</t>
        </is>
      </c>
    </row>
    <row r="8568">
      <c r="A8568" s="1" t="n">
        <v>8567</v>
      </c>
      <c r="B8568">
        <f>TEXT(8567, "[$-0E0000]yyyy-mm-dd")</f>
        <v/>
      </c>
      <c r="C8568" t="inlineStr">
        <is>
          <t>1923-05-03</t>
        </is>
      </c>
    </row>
    <row r="8569">
      <c r="A8569" s="1" t="n">
        <v>8568</v>
      </c>
      <c r="B8569">
        <f>TEXT(8568, "[$-0E0000]yyyy-mm-dd")</f>
        <v/>
      </c>
      <c r="C8569" t="inlineStr">
        <is>
          <t>1923-05-04</t>
        </is>
      </c>
    </row>
    <row r="8570">
      <c r="A8570" s="1" t="n">
        <v>8569</v>
      </c>
      <c r="B8570">
        <f>TEXT(8569, "[$-0E0000]yyyy-mm-dd")</f>
        <v/>
      </c>
      <c r="C8570" t="inlineStr">
        <is>
          <t>1923-05-05</t>
        </is>
      </c>
    </row>
    <row r="8571">
      <c r="A8571" s="1" t="n">
        <v>8570</v>
      </c>
      <c r="B8571">
        <f>TEXT(8570, "[$-0E0000]yyyy-mm-dd")</f>
        <v/>
      </c>
      <c r="C8571" t="inlineStr">
        <is>
          <t>1923-05-06</t>
        </is>
      </c>
    </row>
    <row r="8572">
      <c r="A8572" s="1" t="n">
        <v>8571</v>
      </c>
      <c r="B8572">
        <f>TEXT(8571, "[$-0E0000]yyyy-mm-dd")</f>
        <v/>
      </c>
      <c r="C8572" t="inlineStr">
        <is>
          <t>1923-05-07</t>
        </is>
      </c>
    </row>
    <row r="8573">
      <c r="A8573" s="1" t="n">
        <v>8572</v>
      </c>
      <c r="B8573">
        <f>TEXT(8572, "[$-0E0000]yyyy-mm-dd")</f>
        <v/>
      </c>
      <c r="C8573" t="inlineStr">
        <is>
          <t>1923-05-08</t>
        </is>
      </c>
    </row>
    <row r="8574">
      <c r="A8574" s="1" t="n">
        <v>8573</v>
      </c>
      <c r="B8574">
        <f>TEXT(8573, "[$-0E0000]yyyy-mm-dd")</f>
        <v/>
      </c>
      <c r="C8574" t="inlineStr">
        <is>
          <t>1923-05-09</t>
        </is>
      </c>
    </row>
    <row r="8575">
      <c r="A8575" s="1" t="n">
        <v>8574</v>
      </c>
      <c r="B8575">
        <f>TEXT(8574, "[$-0E0000]yyyy-mm-dd")</f>
        <v/>
      </c>
      <c r="C8575" t="inlineStr">
        <is>
          <t>1923-05-10</t>
        </is>
      </c>
    </row>
    <row r="8576">
      <c r="A8576" s="1" t="n">
        <v>8575</v>
      </c>
      <c r="B8576">
        <f>TEXT(8575, "[$-0E0000]yyyy-mm-dd")</f>
        <v/>
      </c>
      <c r="C8576" t="inlineStr">
        <is>
          <t>1923-05-11</t>
        </is>
      </c>
    </row>
    <row r="8577">
      <c r="A8577" s="1" t="n">
        <v>8576</v>
      </c>
      <c r="B8577">
        <f>TEXT(8576, "[$-0E0000]yyyy-mm-dd")</f>
        <v/>
      </c>
      <c r="C8577" t="inlineStr">
        <is>
          <t>1923-05-12</t>
        </is>
      </c>
    </row>
    <row r="8578">
      <c r="A8578" s="1" t="n">
        <v>8577</v>
      </c>
      <c r="B8578">
        <f>TEXT(8577, "[$-0E0000]yyyy-mm-dd")</f>
        <v/>
      </c>
      <c r="C8578" t="inlineStr">
        <is>
          <t>1923-05-13</t>
        </is>
      </c>
    </row>
    <row r="8579">
      <c r="A8579" s="1" t="n">
        <v>8578</v>
      </c>
      <c r="B8579">
        <f>TEXT(8578, "[$-0E0000]yyyy-mm-dd")</f>
        <v/>
      </c>
      <c r="C8579" t="inlineStr">
        <is>
          <t>1923-05-14</t>
        </is>
      </c>
    </row>
    <row r="8580">
      <c r="A8580" s="1" t="n">
        <v>8579</v>
      </c>
      <c r="B8580">
        <f>TEXT(8579, "[$-0E0000]yyyy-mm-dd")</f>
        <v/>
      </c>
      <c r="C8580" t="inlineStr">
        <is>
          <t>1923-05-15</t>
        </is>
      </c>
    </row>
    <row r="8581">
      <c r="A8581" s="1" t="n">
        <v>8580</v>
      </c>
      <c r="B8581">
        <f>TEXT(8580, "[$-0E0000]yyyy-mm-dd")</f>
        <v/>
      </c>
      <c r="C8581" t="inlineStr">
        <is>
          <t>1923-05-16</t>
        </is>
      </c>
    </row>
    <row r="8582">
      <c r="A8582" s="1" t="n">
        <v>8581</v>
      </c>
      <c r="B8582">
        <f>TEXT(8581, "[$-0E0000]yyyy-mm-dd")</f>
        <v/>
      </c>
      <c r="C8582" t="inlineStr">
        <is>
          <t>1923-05-17</t>
        </is>
      </c>
    </row>
    <row r="8583">
      <c r="A8583" s="1" t="n">
        <v>8582</v>
      </c>
      <c r="B8583">
        <f>TEXT(8582, "[$-0E0000]yyyy-mm-dd")</f>
        <v/>
      </c>
      <c r="C8583" t="inlineStr">
        <is>
          <t>1923-05-18</t>
        </is>
      </c>
    </row>
    <row r="8584">
      <c r="A8584" s="1" t="n">
        <v>8583</v>
      </c>
      <c r="B8584">
        <f>TEXT(8583, "[$-0E0000]yyyy-mm-dd")</f>
        <v/>
      </c>
      <c r="C8584" t="inlineStr">
        <is>
          <t>1923-05-19</t>
        </is>
      </c>
    </row>
    <row r="8585">
      <c r="A8585" s="1" t="n">
        <v>8584</v>
      </c>
      <c r="B8585">
        <f>TEXT(8584, "[$-0E0000]yyyy-mm-dd")</f>
        <v/>
      </c>
      <c r="C8585" t="inlineStr">
        <is>
          <t>1923-05-20</t>
        </is>
      </c>
    </row>
    <row r="8586">
      <c r="A8586" s="1" t="n">
        <v>8585</v>
      </c>
      <c r="B8586">
        <f>TEXT(8585, "[$-0E0000]yyyy-mm-dd")</f>
        <v/>
      </c>
      <c r="C8586" t="inlineStr">
        <is>
          <t>1923-05-21</t>
        </is>
      </c>
    </row>
    <row r="8587">
      <c r="A8587" s="1" t="n">
        <v>8586</v>
      </c>
      <c r="B8587">
        <f>TEXT(8586, "[$-0E0000]yyyy-mm-dd")</f>
        <v/>
      </c>
      <c r="C8587" t="inlineStr">
        <is>
          <t>1923-05-22</t>
        </is>
      </c>
    </row>
    <row r="8588">
      <c r="A8588" s="1" t="n">
        <v>8587</v>
      </c>
      <c r="B8588">
        <f>TEXT(8587, "[$-0E0000]yyyy-mm-dd")</f>
        <v/>
      </c>
      <c r="C8588" t="inlineStr">
        <is>
          <t>1923-05-23</t>
        </is>
      </c>
    </row>
    <row r="8589">
      <c r="A8589" s="1" t="n">
        <v>8588</v>
      </c>
      <c r="B8589">
        <f>TEXT(8588, "[$-0E0000]yyyy-mm-dd")</f>
        <v/>
      </c>
      <c r="C8589" t="inlineStr">
        <is>
          <t>1923-05-24</t>
        </is>
      </c>
    </row>
    <row r="8590">
      <c r="A8590" s="1" t="n">
        <v>8589</v>
      </c>
      <c r="B8590">
        <f>TEXT(8589, "[$-0E0000]yyyy-mm-dd")</f>
        <v/>
      </c>
      <c r="C8590" t="inlineStr">
        <is>
          <t>1923-05-25</t>
        </is>
      </c>
    </row>
    <row r="8591">
      <c r="A8591" s="1" t="n">
        <v>8590</v>
      </c>
      <c r="B8591">
        <f>TEXT(8590, "[$-0E0000]yyyy-mm-dd")</f>
        <v/>
      </c>
      <c r="C8591" t="inlineStr">
        <is>
          <t>1923-05-26</t>
        </is>
      </c>
    </row>
    <row r="8592">
      <c r="A8592" s="1" t="n">
        <v>8591</v>
      </c>
      <c r="B8592">
        <f>TEXT(8591, "[$-0E0000]yyyy-mm-dd")</f>
        <v/>
      </c>
      <c r="C8592" t="inlineStr">
        <is>
          <t>1923-05-27</t>
        </is>
      </c>
    </row>
    <row r="8593">
      <c r="A8593" s="1" t="n">
        <v>8592</v>
      </c>
      <c r="B8593">
        <f>TEXT(8592, "[$-0E0000]yyyy-mm-dd")</f>
        <v/>
      </c>
      <c r="C8593" t="inlineStr">
        <is>
          <t>1923-05-28</t>
        </is>
      </c>
    </row>
    <row r="8594">
      <c r="A8594" s="1" t="n">
        <v>8593</v>
      </c>
      <c r="B8594">
        <f>TEXT(8593, "[$-0E0000]yyyy-mm-dd")</f>
        <v/>
      </c>
      <c r="C8594" t="inlineStr">
        <is>
          <t>1923-05-29</t>
        </is>
      </c>
    </row>
    <row r="8595">
      <c r="A8595" s="1" t="n">
        <v>8594</v>
      </c>
      <c r="B8595">
        <f>TEXT(8594, "[$-0E0000]yyyy-mm-dd")</f>
        <v/>
      </c>
      <c r="C8595" t="inlineStr">
        <is>
          <t>1923-05-30</t>
        </is>
      </c>
    </row>
    <row r="8596">
      <c r="A8596" s="1" t="n">
        <v>8595</v>
      </c>
      <c r="B8596">
        <f>TEXT(8595, "[$-0E0000]yyyy-mm-dd")</f>
        <v/>
      </c>
      <c r="C8596" t="inlineStr">
        <is>
          <t>1923-06-01</t>
        </is>
      </c>
    </row>
    <row r="8597">
      <c r="A8597" s="1" t="n">
        <v>8596</v>
      </c>
      <c r="B8597">
        <f>TEXT(8596, "[$-0E0000]yyyy-mm-dd")</f>
        <v/>
      </c>
      <c r="C8597" t="inlineStr">
        <is>
          <t>1923-06-02</t>
        </is>
      </c>
    </row>
    <row r="8598">
      <c r="A8598" s="1" t="n">
        <v>8597</v>
      </c>
      <c r="B8598">
        <f>TEXT(8597, "[$-0E0000]yyyy-mm-dd")</f>
        <v/>
      </c>
      <c r="C8598" t="inlineStr">
        <is>
          <t>1923-06-03</t>
        </is>
      </c>
    </row>
    <row r="8599">
      <c r="A8599" s="1" t="n">
        <v>8598</v>
      </c>
      <c r="B8599">
        <f>TEXT(8598, "[$-0E0000]yyyy-mm-dd")</f>
        <v/>
      </c>
      <c r="C8599" t="inlineStr">
        <is>
          <t>1923-06-04</t>
        </is>
      </c>
    </row>
    <row r="8600">
      <c r="A8600" s="1" t="n">
        <v>8599</v>
      </c>
      <c r="B8600">
        <f>TEXT(8599, "[$-0E0000]yyyy-mm-dd")</f>
        <v/>
      </c>
      <c r="C8600" t="inlineStr">
        <is>
          <t>1923-06-05</t>
        </is>
      </c>
    </row>
    <row r="8601">
      <c r="A8601" s="1" t="n">
        <v>8600</v>
      </c>
      <c r="B8601">
        <f>TEXT(8600, "[$-0E0000]yyyy-mm-dd")</f>
        <v/>
      </c>
      <c r="C8601" t="inlineStr">
        <is>
          <t>1923-06-06</t>
        </is>
      </c>
    </row>
    <row r="8602">
      <c r="A8602" s="1" t="n">
        <v>8601</v>
      </c>
      <c r="B8602">
        <f>TEXT(8601, "[$-0E0000]yyyy-mm-dd")</f>
        <v/>
      </c>
      <c r="C8602" t="inlineStr">
        <is>
          <t>1923-06-07</t>
        </is>
      </c>
    </row>
    <row r="8603">
      <c r="A8603" s="1" t="n">
        <v>8602</v>
      </c>
      <c r="B8603">
        <f>TEXT(8602, "[$-0E0000]yyyy-mm-dd")</f>
        <v/>
      </c>
      <c r="C8603" t="inlineStr">
        <is>
          <t>1923-06-08</t>
        </is>
      </c>
    </row>
    <row r="8604">
      <c r="A8604" s="1" t="n">
        <v>8603</v>
      </c>
      <c r="B8604">
        <f>TEXT(8603, "[$-0E0000]yyyy-mm-dd")</f>
        <v/>
      </c>
      <c r="C8604" t="inlineStr">
        <is>
          <t>1923-06-09</t>
        </is>
      </c>
    </row>
    <row r="8605">
      <c r="A8605" s="1" t="n">
        <v>8604</v>
      </c>
      <c r="B8605">
        <f>TEXT(8604, "[$-0E0000]yyyy-mm-dd")</f>
        <v/>
      </c>
      <c r="C8605" t="inlineStr">
        <is>
          <t>1923-06-10</t>
        </is>
      </c>
    </row>
    <row r="8606">
      <c r="A8606" s="1" t="n">
        <v>8605</v>
      </c>
      <c r="B8606">
        <f>TEXT(8605, "[$-0E0000]yyyy-mm-dd")</f>
        <v/>
      </c>
      <c r="C8606" t="inlineStr">
        <is>
          <t>1923-06-11</t>
        </is>
      </c>
    </row>
    <row r="8607">
      <c r="A8607" s="1" t="n">
        <v>8606</v>
      </c>
      <c r="B8607">
        <f>TEXT(8606, "[$-0E0000]yyyy-mm-dd")</f>
        <v/>
      </c>
      <c r="C8607" t="inlineStr">
        <is>
          <t>1923-06-12</t>
        </is>
      </c>
    </row>
    <row r="8608">
      <c r="A8608" s="1" t="n">
        <v>8607</v>
      </c>
      <c r="B8608">
        <f>TEXT(8607, "[$-0E0000]yyyy-mm-dd")</f>
        <v/>
      </c>
      <c r="C8608" t="inlineStr">
        <is>
          <t>1923-06-13</t>
        </is>
      </c>
    </row>
    <row r="8609">
      <c r="A8609" s="1" t="n">
        <v>8608</v>
      </c>
      <c r="B8609">
        <f>TEXT(8608, "[$-0E0000]yyyy-mm-dd")</f>
        <v/>
      </c>
      <c r="C8609" t="inlineStr">
        <is>
          <t>1923-06-14</t>
        </is>
      </c>
    </row>
    <row r="8610">
      <c r="A8610" s="1" t="n">
        <v>8609</v>
      </c>
      <c r="B8610">
        <f>TEXT(8609, "[$-0E0000]yyyy-mm-dd")</f>
        <v/>
      </c>
      <c r="C8610" t="inlineStr">
        <is>
          <t>1923-06-15</t>
        </is>
      </c>
    </row>
    <row r="8611">
      <c r="A8611" s="1" t="n">
        <v>8610</v>
      </c>
      <c r="B8611">
        <f>TEXT(8610, "[$-0E0000]yyyy-mm-dd")</f>
        <v/>
      </c>
      <c r="C8611" t="inlineStr">
        <is>
          <t>1923-06-16</t>
        </is>
      </c>
    </row>
    <row r="8612">
      <c r="A8612" s="1" t="n">
        <v>8611</v>
      </c>
      <c r="B8612">
        <f>TEXT(8611, "[$-0E0000]yyyy-mm-dd")</f>
        <v/>
      </c>
      <c r="C8612" t="inlineStr">
        <is>
          <t>1923-06-17</t>
        </is>
      </c>
    </row>
    <row r="8613">
      <c r="A8613" s="1" t="n">
        <v>8612</v>
      </c>
      <c r="B8613">
        <f>TEXT(8612, "[$-0E0000]yyyy-mm-dd")</f>
        <v/>
      </c>
      <c r="C8613" t="inlineStr">
        <is>
          <t>1923-06-18</t>
        </is>
      </c>
    </row>
    <row r="8614">
      <c r="A8614" s="1" t="n">
        <v>8613</v>
      </c>
      <c r="B8614">
        <f>TEXT(8613, "[$-0E0000]yyyy-mm-dd")</f>
        <v/>
      </c>
      <c r="C8614" t="inlineStr">
        <is>
          <t>1923-06-19</t>
        </is>
      </c>
    </row>
    <row r="8615">
      <c r="A8615" s="1" t="n">
        <v>8614</v>
      </c>
      <c r="B8615">
        <f>TEXT(8614, "[$-0E0000]yyyy-mm-dd")</f>
        <v/>
      </c>
      <c r="C8615" t="inlineStr">
        <is>
          <t>1923-06-20</t>
        </is>
      </c>
    </row>
    <row r="8616">
      <c r="A8616" s="1" t="n">
        <v>8615</v>
      </c>
      <c r="B8616">
        <f>TEXT(8615, "[$-0E0000]yyyy-mm-dd")</f>
        <v/>
      </c>
      <c r="C8616" t="inlineStr">
        <is>
          <t>1923-06-21</t>
        </is>
      </c>
    </row>
    <row r="8617">
      <c r="A8617" s="1" t="n">
        <v>8616</v>
      </c>
      <c r="B8617">
        <f>TEXT(8616, "[$-0E0000]yyyy-mm-dd")</f>
        <v/>
      </c>
      <c r="C8617" t="inlineStr">
        <is>
          <t>1923-06-22</t>
        </is>
      </c>
    </row>
    <row r="8618">
      <c r="A8618" s="1" t="n">
        <v>8617</v>
      </c>
      <c r="B8618">
        <f>TEXT(8617, "[$-0E0000]yyyy-mm-dd")</f>
        <v/>
      </c>
      <c r="C8618" t="inlineStr">
        <is>
          <t>1923-06-23</t>
        </is>
      </c>
    </row>
    <row r="8619">
      <c r="A8619" s="1" t="n">
        <v>8618</v>
      </c>
      <c r="B8619">
        <f>TEXT(8618, "[$-0E0000]yyyy-mm-dd")</f>
        <v/>
      </c>
      <c r="C8619" t="inlineStr">
        <is>
          <t>1923-06-24</t>
        </is>
      </c>
    </row>
    <row r="8620">
      <c r="A8620" s="1" t="n">
        <v>8619</v>
      </c>
      <c r="B8620">
        <f>TEXT(8619, "[$-0E0000]yyyy-mm-dd")</f>
        <v/>
      </c>
      <c r="C8620" t="inlineStr">
        <is>
          <t>1923-06-25</t>
        </is>
      </c>
    </row>
    <row r="8621">
      <c r="A8621" s="1" t="n">
        <v>8620</v>
      </c>
      <c r="B8621">
        <f>TEXT(8620, "[$-0E0000]yyyy-mm-dd")</f>
        <v/>
      </c>
      <c r="C8621" t="inlineStr">
        <is>
          <t>1923-06-26</t>
        </is>
      </c>
    </row>
    <row r="8622">
      <c r="A8622" s="1" t="n">
        <v>8621</v>
      </c>
      <c r="B8622">
        <f>TEXT(8621, "[$-0E0000]yyyy-mm-dd")</f>
        <v/>
      </c>
      <c r="C8622" t="inlineStr">
        <is>
          <t>1923-06-27</t>
        </is>
      </c>
    </row>
    <row r="8623">
      <c r="A8623" s="1" t="n">
        <v>8622</v>
      </c>
      <c r="B8623">
        <f>TEXT(8622, "[$-0E0000]yyyy-mm-dd")</f>
        <v/>
      </c>
      <c r="C8623" t="inlineStr">
        <is>
          <t>1923-06-28</t>
        </is>
      </c>
    </row>
    <row r="8624">
      <c r="A8624" s="1" t="n">
        <v>8623</v>
      </c>
      <c r="B8624">
        <f>TEXT(8623, "[$-0E0000]yyyy-mm-dd")</f>
        <v/>
      </c>
      <c r="C8624" t="inlineStr">
        <is>
          <t>1923-06-29</t>
        </is>
      </c>
    </row>
    <row r="8625">
      <c r="A8625" s="1" t="n">
        <v>8624</v>
      </c>
      <c r="B8625">
        <f>TEXT(8624, "[$-0E0000]yyyy-mm-dd")</f>
        <v/>
      </c>
      <c r="C8625" t="inlineStr">
        <is>
          <t>1923-07-01</t>
        </is>
      </c>
    </row>
    <row r="8626">
      <c r="A8626" s="1" t="n">
        <v>8625</v>
      </c>
      <c r="B8626">
        <f>TEXT(8625, "[$-0E0000]yyyy-mm-dd")</f>
        <v/>
      </c>
      <c r="C8626" t="inlineStr">
        <is>
          <t>1923-07-02</t>
        </is>
      </c>
    </row>
    <row r="8627">
      <c r="A8627" s="1" t="n">
        <v>8626</v>
      </c>
      <c r="B8627">
        <f>TEXT(8626, "[$-0E0000]yyyy-mm-dd")</f>
        <v/>
      </c>
      <c r="C8627" t="inlineStr">
        <is>
          <t>1923-07-03</t>
        </is>
      </c>
    </row>
    <row r="8628">
      <c r="A8628" s="1" t="n">
        <v>8627</v>
      </c>
      <c r="B8628">
        <f>TEXT(8627, "[$-0E0000]yyyy-mm-dd")</f>
        <v/>
      </c>
      <c r="C8628" t="inlineStr">
        <is>
          <t>1923-07-04</t>
        </is>
      </c>
    </row>
    <row r="8629">
      <c r="A8629" s="1" t="n">
        <v>8628</v>
      </c>
      <c r="B8629">
        <f>TEXT(8628, "[$-0E0000]yyyy-mm-dd")</f>
        <v/>
      </c>
      <c r="C8629" t="inlineStr">
        <is>
          <t>1923-07-05</t>
        </is>
      </c>
    </row>
    <row r="8630">
      <c r="A8630" s="1" t="n">
        <v>8629</v>
      </c>
      <c r="B8630">
        <f>TEXT(8629, "[$-0E0000]yyyy-mm-dd")</f>
        <v/>
      </c>
      <c r="C8630" t="inlineStr">
        <is>
          <t>1923-07-06</t>
        </is>
      </c>
    </row>
    <row r="8631">
      <c r="A8631" s="1" t="n">
        <v>8630</v>
      </c>
      <c r="B8631">
        <f>TEXT(8630, "[$-0E0000]yyyy-mm-dd")</f>
        <v/>
      </c>
      <c r="C8631" t="inlineStr">
        <is>
          <t>1923-07-07</t>
        </is>
      </c>
    </row>
    <row r="8632">
      <c r="A8632" s="1" t="n">
        <v>8631</v>
      </c>
      <c r="B8632">
        <f>TEXT(8631, "[$-0E0000]yyyy-mm-dd")</f>
        <v/>
      </c>
      <c r="C8632" t="inlineStr">
        <is>
          <t>1923-07-08</t>
        </is>
      </c>
    </row>
    <row r="8633">
      <c r="A8633" s="1" t="n">
        <v>8632</v>
      </c>
      <c r="B8633">
        <f>TEXT(8632, "[$-0E0000]yyyy-mm-dd")</f>
        <v/>
      </c>
      <c r="C8633" t="inlineStr">
        <is>
          <t>1923-07-09</t>
        </is>
      </c>
    </row>
    <row r="8634">
      <c r="A8634" s="1" t="n">
        <v>8633</v>
      </c>
      <c r="B8634">
        <f>TEXT(8633, "[$-0E0000]yyyy-mm-dd")</f>
        <v/>
      </c>
      <c r="C8634" t="inlineStr">
        <is>
          <t>1923-07-10</t>
        </is>
      </c>
    </row>
    <row r="8635">
      <c r="A8635" s="1" t="n">
        <v>8634</v>
      </c>
      <c r="B8635">
        <f>TEXT(8634, "[$-0E0000]yyyy-mm-dd")</f>
        <v/>
      </c>
      <c r="C8635" t="inlineStr">
        <is>
          <t>1923-07-11</t>
        </is>
      </c>
    </row>
    <row r="8636">
      <c r="A8636" s="1" t="n">
        <v>8635</v>
      </c>
      <c r="B8636">
        <f>TEXT(8635, "[$-0E0000]yyyy-mm-dd")</f>
        <v/>
      </c>
      <c r="C8636" t="inlineStr">
        <is>
          <t>1923-07-12</t>
        </is>
      </c>
    </row>
    <row r="8637">
      <c r="A8637" s="1" t="n">
        <v>8636</v>
      </c>
      <c r="B8637">
        <f>TEXT(8636, "[$-0E0000]yyyy-mm-dd")</f>
        <v/>
      </c>
      <c r="C8637" t="inlineStr">
        <is>
          <t>1923-07-13</t>
        </is>
      </c>
    </row>
    <row r="8638">
      <c r="A8638" s="1" t="n">
        <v>8637</v>
      </c>
      <c r="B8638">
        <f>TEXT(8637, "[$-0E0000]yyyy-mm-dd")</f>
        <v/>
      </c>
      <c r="C8638" t="inlineStr">
        <is>
          <t>1923-07-14</t>
        </is>
      </c>
    </row>
    <row r="8639">
      <c r="A8639" s="1" t="n">
        <v>8638</v>
      </c>
      <c r="B8639">
        <f>TEXT(8638, "[$-0E0000]yyyy-mm-dd")</f>
        <v/>
      </c>
      <c r="C8639" t="inlineStr">
        <is>
          <t>1923-07-15</t>
        </is>
      </c>
    </row>
    <row r="8640">
      <c r="A8640" s="1" t="n">
        <v>8639</v>
      </c>
      <c r="B8640">
        <f>TEXT(8639, "[$-0E0000]yyyy-mm-dd")</f>
        <v/>
      </c>
      <c r="C8640" t="inlineStr">
        <is>
          <t>1923-07-16</t>
        </is>
      </c>
    </row>
    <row r="8641">
      <c r="A8641" s="1" t="n">
        <v>8640</v>
      </c>
      <c r="B8641">
        <f>TEXT(8640, "[$-0E0000]yyyy-mm-dd")</f>
        <v/>
      </c>
      <c r="C8641" t="inlineStr">
        <is>
          <t>1923-07-17</t>
        </is>
      </c>
    </row>
    <row r="8642">
      <c r="A8642" s="1" t="n">
        <v>8641</v>
      </c>
      <c r="B8642">
        <f>TEXT(8641, "[$-0E0000]yyyy-mm-dd")</f>
        <v/>
      </c>
      <c r="C8642" t="inlineStr">
        <is>
          <t>1923-07-18</t>
        </is>
      </c>
    </row>
    <row r="8643">
      <c r="A8643" s="1" t="n">
        <v>8642</v>
      </c>
      <c r="B8643">
        <f>TEXT(8642, "[$-0E0000]yyyy-mm-dd")</f>
        <v/>
      </c>
      <c r="C8643" t="inlineStr">
        <is>
          <t>1923-07-19</t>
        </is>
      </c>
    </row>
    <row r="8644">
      <c r="A8644" s="1" t="n">
        <v>8643</v>
      </c>
      <c r="B8644">
        <f>TEXT(8643, "[$-0E0000]yyyy-mm-dd")</f>
        <v/>
      </c>
      <c r="C8644" t="inlineStr">
        <is>
          <t>1923-07-20</t>
        </is>
      </c>
    </row>
    <row r="8645">
      <c r="A8645" s="1" t="n">
        <v>8644</v>
      </c>
      <c r="B8645">
        <f>TEXT(8644, "[$-0E0000]yyyy-mm-dd")</f>
        <v/>
      </c>
      <c r="C8645" t="inlineStr">
        <is>
          <t>1923-07-21</t>
        </is>
      </c>
    </row>
    <row r="8646">
      <c r="A8646" s="1" t="n">
        <v>8645</v>
      </c>
      <c r="B8646">
        <f>TEXT(8645, "[$-0E0000]yyyy-mm-dd")</f>
        <v/>
      </c>
      <c r="C8646" t="inlineStr">
        <is>
          <t>1923-07-22</t>
        </is>
      </c>
    </row>
    <row r="8647">
      <c r="A8647" s="1" t="n">
        <v>8646</v>
      </c>
      <c r="B8647">
        <f>TEXT(8646, "[$-0E0000]yyyy-mm-dd")</f>
        <v/>
      </c>
      <c r="C8647" t="inlineStr">
        <is>
          <t>1923-07-23</t>
        </is>
      </c>
    </row>
    <row r="8648">
      <c r="A8648" s="1" t="n">
        <v>8647</v>
      </c>
      <c r="B8648">
        <f>TEXT(8647, "[$-0E0000]yyyy-mm-dd")</f>
        <v/>
      </c>
      <c r="C8648" t="inlineStr">
        <is>
          <t>1923-07-24</t>
        </is>
      </c>
    </row>
    <row r="8649">
      <c r="A8649" s="1" t="n">
        <v>8648</v>
      </c>
      <c r="B8649">
        <f>TEXT(8648, "[$-0E0000]yyyy-mm-dd")</f>
        <v/>
      </c>
      <c r="C8649" t="inlineStr">
        <is>
          <t>1923-07-25</t>
        </is>
      </c>
    </row>
    <row r="8650">
      <c r="A8650" s="1" t="n">
        <v>8649</v>
      </c>
      <c r="B8650">
        <f>TEXT(8649, "[$-0E0000]yyyy-mm-dd")</f>
        <v/>
      </c>
      <c r="C8650" t="inlineStr">
        <is>
          <t>1923-07-26</t>
        </is>
      </c>
    </row>
    <row r="8651">
      <c r="A8651" s="1" t="n">
        <v>8650</v>
      </c>
      <c r="B8651">
        <f>TEXT(8650, "[$-0E0000]yyyy-mm-dd")</f>
        <v/>
      </c>
      <c r="C8651" t="inlineStr">
        <is>
          <t>1923-07-27</t>
        </is>
      </c>
    </row>
    <row r="8652">
      <c r="A8652" s="1" t="n">
        <v>8651</v>
      </c>
      <c r="B8652">
        <f>TEXT(8651, "[$-0E0000]yyyy-mm-dd")</f>
        <v/>
      </c>
      <c r="C8652" t="inlineStr">
        <is>
          <t>1923-07-28</t>
        </is>
      </c>
    </row>
    <row r="8653">
      <c r="A8653" s="1" t="n">
        <v>8652</v>
      </c>
      <c r="B8653">
        <f>TEXT(8652, "[$-0E0000]yyyy-mm-dd")</f>
        <v/>
      </c>
      <c r="C8653" t="inlineStr">
        <is>
          <t>1923-07-29</t>
        </is>
      </c>
    </row>
    <row r="8654">
      <c r="A8654" s="1" t="n">
        <v>8653</v>
      </c>
      <c r="B8654">
        <f>TEXT(8653, "[$-0E0000]yyyy-mm-dd")</f>
        <v/>
      </c>
      <c r="C8654" t="inlineStr">
        <is>
          <t>1923-07-30</t>
        </is>
      </c>
    </row>
    <row r="8655">
      <c r="A8655" s="1" t="n">
        <v>8654</v>
      </c>
      <c r="B8655">
        <f>TEXT(8654, "[$-0E0000]yyyy-mm-dd")</f>
        <v/>
      </c>
      <c r="C8655" t="inlineStr">
        <is>
          <t>1923-08-01</t>
        </is>
      </c>
    </row>
    <row r="8656">
      <c r="A8656" s="1" t="n">
        <v>8655</v>
      </c>
      <c r="B8656">
        <f>TEXT(8655, "[$-0E0000]yyyy-mm-dd")</f>
        <v/>
      </c>
      <c r="C8656" t="inlineStr">
        <is>
          <t>1923-08-02</t>
        </is>
      </c>
    </row>
    <row r="8657">
      <c r="A8657" s="1" t="n">
        <v>8656</v>
      </c>
      <c r="B8657">
        <f>TEXT(8656, "[$-0E0000]yyyy-mm-dd")</f>
        <v/>
      </c>
      <c r="C8657" t="inlineStr">
        <is>
          <t>1923-08-03</t>
        </is>
      </c>
    </row>
    <row r="8658">
      <c r="A8658" s="1" t="n">
        <v>8657</v>
      </c>
      <c r="B8658">
        <f>TEXT(8657, "[$-0E0000]yyyy-mm-dd")</f>
        <v/>
      </c>
      <c r="C8658" t="inlineStr">
        <is>
          <t>1923-08-04</t>
        </is>
      </c>
    </row>
    <row r="8659">
      <c r="A8659" s="1" t="n">
        <v>8658</v>
      </c>
      <c r="B8659">
        <f>TEXT(8658, "[$-0E0000]yyyy-mm-dd")</f>
        <v/>
      </c>
      <c r="C8659" t="inlineStr">
        <is>
          <t>1923-08-05</t>
        </is>
      </c>
    </row>
    <row r="8660">
      <c r="A8660" s="1" t="n">
        <v>8659</v>
      </c>
      <c r="B8660">
        <f>TEXT(8659, "[$-0E0000]yyyy-mm-dd")</f>
        <v/>
      </c>
      <c r="C8660" t="inlineStr">
        <is>
          <t>1923-08-06</t>
        </is>
      </c>
    </row>
    <row r="8661">
      <c r="A8661" s="1" t="n">
        <v>8660</v>
      </c>
      <c r="B8661">
        <f>TEXT(8660, "[$-0E0000]yyyy-mm-dd")</f>
        <v/>
      </c>
      <c r="C8661" t="inlineStr">
        <is>
          <t>1923-08-07</t>
        </is>
      </c>
    </row>
    <row r="8662">
      <c r="A8662" s="1" t="n">
        <v>8661</v>
      </c>
      <c r="B8662">
        <f>TEXT(8661, "[$-0E0000]yyyy-mm-dd")</f>
        <v/>
      </c>
      <c r="C8662" t="inlineStr">
        <is>
          <t>1923-08-08</t>
        </is>
      </c>
    </row>
    <row r="8663">
      <c r="A8663" s="1" t="n">
        <v>8662</v>
      </c>
      <c r="B8663">
        <f>TEXT(8662, "[$-0E0000]yyyy-mm-dd")</f>
        <v/>
      </c>
      <c r="C8663" t="inlineStr">
        <is>
          <t>1923-08-09</t>
        </is>
      </c>
    </row>
    <row r="8664">
      <c r="A8664" s="1" t="n">
        <v>8663</v>
      </c>
      <c r="B8664">
        <f>TEXT(8663, "[$-0E0000]yyyy-mm-dd")</f>
        <v/>
      </c>
      <c r="C8664" t="inlineStr">
        <is>
          <t>1923-08-10</t>
        </is>
      </c>
    </row>
    <row r="8665">
      <c r="A8665" s="1" t="n">
        <v>8664</v>
      </c>
      <c r="B8665">
        <f>TEXT(8664, "[$-0E0000]yyyy-mm-dd")</f>
        <v/>
      </c>
      <c r="C8665" t="inlineStr">
        <is>
          <t>1923-08-11</t>
        </is>
      </c>
    </row>
    <row r="8666">
      <c r="A8666" s="1" t="n">
        <v>8665</v>
      </c>
      <c r="B8666">
        <f>TEXT(8665, "[$-0E0000]yyyy-mm-dd")</f>
        <v/>
      </c>
      <c r="C8666" t="inlineStr">
        <is>
          <t>1923-08-12</t>
        </is>
      </c>
    </row>
    <row r="8667">
      <c r="A8667" s="1" t="n">
        <v>8666</v>
      </c>
      <c r="B8667">
        <f>TEXT(8666, "[$-0E0000]yyyy-mm-dd")</f>
        <v/>
      </c>
      <c r="C8667" t="inlineStr">
        <is>
          <t>1923-08-13</t>
        </is>
      </c>
    </row>
    <row r="8668">
      <c r="A8668" s="1" t="n">
        <v>8667</v>
      </c>
      <c r="B8668">
        <f>TEXT(8667, "[$-0E0000]yyyy-mm-dd")</f>
        <v/>
      </c>
      <c r="C8668" t="inlineStr">
        <is>
          <t>1923-08-14</t>
        </is>
      </c>
    </row>
    <row r="8669">
      <c r="A8669" s="1" t="n">
        <v>8668</v>
      </c>
      <c r="B8669">
        <f>TEXT(8668, "[$-0E0000]yyyy-mm-dd")</f>
        <v/>
      </c>
      <c r="C8669" t="inlineStr">
        <is>
          <t>1923-08-15</t>
        </is>
      </c>
    </row>
    <row r="8670">
      <c r="A8670" s="1" t="n">
        <v>8669</v>
      </c>
      <c r="B8670">
        <f>TEXT(8669, "[$-0E0000]yyyy-mm-dd")</f>
        <v/>
      </c>
      <c r="C8670" t="inlineStr">
        <is>
          <t>1923-08-16</t>
        </is>
      </c>
    </row>
    <row r="8671">
      <c r="A8671" s="1" t="n">
        <v>8670</v>
      </c>
      <c r="B8671">
        <f>TEXT(8670, "[$-0E0000]yyyy-mm-dd")</f>
        <v/>
      </c>
      <c r="C8671" t="inlineStr">
        <is>
          <t>1923-08-17</t>
        </is>
      </c>
    </row>
    <row r="8672">
      <c r="A8672" s="1" t="n">
        <v>8671</v>
      </c>
      <c r="B8672">
        <f>TEXT(8671, "[$-0E0000]yyyy-mm-dd")</f>
        <v/>
      </c>
      <c r="C8672" t="inlineStr">
        <is>
          <t>1923-08-18</t>
        </is>
      </c>
    </row>
    <row r="8673">
      <c r="A8673" s="1" t="n">
        <v>8672</v>
      </c>
      <c r="B8673">
        <f>TEXT(8672, "[$-0E0000]yyyy-mm-dd")</f>
        <v/>
      </c>
      <c r="C8673" t="inlineStr">
        <is>
          <t>1923-08-19</t>
        </is>
      </c>
    </row>
    <row r="8674">
      <c r="A8674" s="1" t="n">
        <v>8673</v>
      </c>
      <c r="B8674">
        <f>TEXT(8673, "[$-0E0000]yyyy-mm-dd")</f>
        <v/>
      </c>
      <c r="C8674" t="inlineStr">
        <is>
          <t>1923-08-20</t>
        </is>
      </c>
    </row>
    <row r="8675">
      <c r="A8675" s="1" t="n">
        <v>8674</v>
      </c>
      <c r="B8675">
        <f>TEXT(8674, "[$-0E0000]yyyy-mm-dd")</f>
        <v/>
      </c>
      <c r="C8675" t="inlineStr">
        <is>
          <t>1923-08-21</t>
        </is>
      </c>
    </row>
    <row r="8676">
      <c r="A8676" s="1" t="n">
        <v>8675</v>
      </c>
      <c r="B8676">
        <f>TEXT(8675, "[$-0E0000]yyyy-mm-dd")</f>
        <v/>
      </c>
      <c r="C8676" t="inlineStr">
        <is>
          <t>1923-08-22</t>
        </is>
      </c>
    </row>
    <row r="8677">
      <c r="A8677" s="1" t="n">
        <v>8676</v>
      </c>
      <c r="B8677">
        <f>TEXT(8676, "[$-0E0000]yyyy-mm-dd")</f>
        <v/>
      </c>
      <c r="C8677" t="inlineStr">
        <is>
          <t>1923-08-23</t>
        </is>
      </c>
    </row>
    <row r="8678">
      <c r="A8678" s="1" t="n">
        <v>8677</v>
      </c>
      <c r="B8678">
        <f>TEXT(8677, "[$-0E0000]yyyy-mm-dd")</f>
        <v/>
      </c>
      <c r="C8678" t="inlineStr">
        <is>
          <t>1923-08-24</t>
        </is>
      </c>
    </row>
    <row r="8679">
      <c r="A8679" s="1" t="n">
        <v>8678</v>
      </c>
      <c r="B8679">
        <f>TEXT(8678, "[$-0E0000]yyyy-mm-dd")</f>
        <v/>
      </c>
      <c r="C8679" t="inlineStr">
        <is>
          <t>1923-08-25</t>
        </is>
      </c>
    </row>
    <row r="8680">
      <c r="A8680" s="1" t="n">
        <v>8679</v>
      </c>
      <c r="B8680">
        <f>TEXT(8679, "[$-0E0000]yyyy-mm-dd")</f>
        <v/>
      </c>
      <c r="C8680" t="inlineStr">
        <is>
          <t>1923-08-26</t>
        </is>
      </c>
    </row>
    <row r="8681">
      <c r="A8681" s="1" t="n">
        <v>8680</v>
      </c>
      <c r="B8681">
        <f>TEXT(8680, "[$-0E0000]yyyy-mm-dd")</f>
        <v/>
      </c>
      <c r="C8681" t="inlineStr">
        <is>
          <t>1923-08-27</t>
        </is>
      </c>
    </row>
    <row r="8682">
      <c r="A8682" s="1" t="n">
        <v>8681</v>
      </c>
      <c r="B8682">
        <f>TEXT(8681, "[$-0E0000]yyyy-mm-dd")</f>
        <v/>
      </c>
      <c r="C8682" t="inlineStr">
        <is>
          <t>1923-08-28</t>
        </is>
      </c>
    </row>
    <row r="8683">
      <c r="A8683" s="1" t="n">
        <v>8682</v>
      </c>
      <c r="B8683">
        <f>TEXT(8682, "[$-0E0000]yyyy-mm-dd")</f>
        <v/>
      </c>
      <c r="C8683" t="inlineStr">
        <is>
          <t>1923-08-29</t>
        </is>
      </c>
    </row>
    <row r="8684">
      <c r="A8684" s="1" t="n">
        <v>8683</v>
      </c>
      <c r="B8684">
        <f>TEXT(8683, "[$-0E0000]yyyy-mm-dd")</f>
        <v/>
      </c>
      <c r="C8684" t="inlineStr">
        <is>
          <t>1923-09-01</t>
        </is>
      </c>
    </row>
    <row r="8685">
      <c r="A8685" s="1" t="n">
        <v>8684</v>
      </c>
      <c r="B8685">
        <f>TEXT(8684, "[$-0E0000]yyyy-mm-dd")</f>
        <v/>
      </c>
      <c r="C8685" t="inlineStr">
        <is>
          <t>1923-09-02</t>
        </is>
      </c>
    </row>
    <row r="8686">
      <c r="A8686" s="1" t="n">
        <v>8685</v>
      </c>
      <c r="B8686">
        <f>TEXT(8685, "[$-0E0000]yyyy-mm-dd")</f>
        <v/>
      </c>
      <c r="C8686" t="inlineStr">
        <is>
          <t>1923-09-03</t>
        </is>
      </c>
    </row>
    <row r="8687">
      <c r="A8687" s="1" t="n">
        <v>8686</v>
      </c>
      <c r="B8687">
        <f>TEXT(8686, "[$-0E0000]yyyy-mm-dd")</f>
        <v/>
      </c>
      <c r="C8687" t="inlineStr">
        <is>
          <t>1923-09-04</t>
        </is>
      </c>
    </row>
    <row r="8688">
      <c r="A8688" s="1" t="n">
        <v>8687</v>
      </c>
      <c r="B8688">
        <f>TEXT(8687, "[$-0E0000]yyyy-mm-dd")</f>
        <v/>
      </c>
      <c r="C8688" t="inlineStr">
        <is>
          <t>1923-09-05</t>
        </is>
      </c>
    </row>
    <row r="8689">
      <c r="A8689" s="1" t="n">
        <v>8688</v>
      </c>
      <c r="B8689">
        <f>TEXT(8688, "[$-0E0000]yyyy-mm-dd")</f>
        <v/>
      </c>
      <c r="C8689" t="inlineStr">
        <is>
          <t>1923-09-06</t>
        </is>
      </c>
    </row>
    <row r="8690">
      <c r="A8690" s="1" t="n">
        <v>8689</v>
      </c>
      <c r="B8690">
        <f>TEXT(8689, "[$-0E0000]yyyy-mm-dd")</f>
        <v/>
      </c>
      <c r="C8690" t="inlineStr">
        <is>
          <t>1923-09-07</t>
        </is>
      </c>
    </row>
    <row r="8691">
      <c r="A8691" s="1" t="n">
        <v>8690</v>
      </c>
      <c r="B8691">
        <f>TEXT(8690, "[$-0E0000]yyyy-mm-dd")</f>
        <v/>
      </c>
      <c r="C8691" t="inlineStr">
        <is>
          <t>1923-09-08</t>
        </is>
      </c>
    </row>
    <row r="8692">
      <c r="A8692" s="1" t="n">
        <v>8691</v>
      </c>
      <c r="B8692">
        <f>TEXT(8691, "[$-0E0000]yyyy-mm-dd")</f>
        <v/>
      </c>
      <c r="C8692" t="inlineStr">
        <is>
          <t>1923-09-09</t>
        </is>
      </c>
    </row>
    <row r="8693">
      <c r="A8693" s="1" t="n">
        <v>8692</v>
      </c>
      <c r="B8693">
        <f>TEXT(8692, "[$-0E0000]yyyy-mm-dd")</f>
        <v/>
      </c>
      <c r="C8693" t="inlineStr">
        <is>
          <t>1923-09-10</t>
        </is>
      </c>
    </row>
    <row r="8694">
      <c r="A8694" s="1" t="n">
        <v>8693</v>
      </c>
      <c r="B8694">
        <f>TEXT(8693, "[$-0E0000]yyyy-mm-dd")</f>
        <v/>
      </c>
      <c r="C8694" t="inlineStr">
        <is>
          <t>1923-09-11</t>
        </is>
      </c>
    </row>
    <row r="8695">
      <c r="A8695" s="1" t="n">
        <v>8694</v>
      </c>
      <c r="B8695">
        <f>TEXT(8694, "[$-0E0000]yyyy-mm-dd")</f>
        <v/>
      </c>
      <c r="C8695" t="inlineStr">
        <is>
          <t>1923-09-12</t>
        </is>
      </c>
    </row>
    <row r="8696">
      <c r="A8696" s="1" t="n">
        <v>8695</v>
      </c>
      <c r="B8696">
        <f>TEXT(8695, "[$-0E0000]yyyy-mm-dd")</f>
        <v/>
      </c>
      <c r="C8696" t="inlineStr">
        <is>
          <t>1923-09-13</t>
        </is>
      </c>
    </row>
    <row r="8697">
      <c r="A8697" s="1" t="n">
        <v>8696</v>
      </c>
      <c r="B8697">
        <f>TEXT(8696, "[$-0E0000]yyyy-mm-dd")</f>
        <v/>
      </c>
      <c r="C8697" t="inlineStr">
        <is>
          <t>1923-09-14</t>
        </is>
      </c>
    </row>
    <row r="8698">
      <c r="A8698" s="1" t="n">
        <v>8697</v>
      </c>
      <c r="B8698">
        <f>TEXT(8697, "[$-0E0000]yyyy-mm-dd")</f>
        <v/>
      </c>
      <c r="C8698" t="inlineStr">
        <is>
          <t>1923-09-15</t>
        </is>
      </c>
    </row>
    <row r="8699">
      <c r="A8699" s="1" t="n">
        <v>8698</v>
      </c>
      <c r="B8699">
        <f>TEXT(8698, "[$-0E0000]yyyy-mm-dd")</f>
        <v/>
      </c>
      <c r="C8699" t="inlineStr">
        <is>
          <t>1923-09-16</t>
        </is>
      </c>
    </row>
    <row r="8700">
      <c r="A8700" s="1" t="n">
        <v>8699</v>
      </c>
      <c r="B8700">
        <f>TEXT(8699, "[$-0E0000]yyyy-mm-dd")</f>
        <v/>
      </c>
      <c r="C8700" t="inlineStr">
        <is>
          <t>1923-09-17</t>
        </is>
      </c>
    </row>
    <row r="8701">
      <c r="A8701" s="1" t="n">
        <v>8700</v>
      </c>
      <c r="B8701">
        <f>TEXT(8700, "[$-0E0000]yyyy-mm-dd")</f>
        <v/>
      </c>
      <c r="C8701" t="inlineStr">
        <is>
          <t>1923-09-18</t>
        </is>
      </c>
    </row>
    <row r="8702">
      <c r="A8702" s="1" t="n">
        <v>8701</v>
      </c>
      <c r="B8702">
        <f>TEXT(8701, "[$-0E0000]yyyy-mm-dd")</f>
        <v/>
      </c>
      <c r="C8702" t="inlineStr">
        <is>
          <t>1923-09-19</t>
        </is>
      </c>
    </row>
    <row r="8703">
      <c r="A8703" s="1" t="n">
        <v>8702</v>
      </c>
      <c r="B8703">
        <f>TEXT(8702, "[$-0E0000]yyyy-mm-dd")</f>
        <v/>
      </c>
      <c r="C8703" t="inlineStr">
        <is>
          <t>1923-09-20</t>
        </is>
      </c>
    </row>
    <row r="8704">
      <c r="A8704" s="1" t="n">
        <v>8703</v>
      </c>
      <c r="B8704">
        <f>TEXT(8703, "[$-0E0000]yyyy-mm-dd")</f>
        <v/>
      </c>
      <c r="C8704" t="inlineStr">
        <is>
          <t>1923-09-21</t>
        </is>
      </c>
    </row>
    <row r="8705">
      <c r="A8705" s="1" t="n">
        <v>8704</v>
      </c>
      <c r="B8705">
        <f>TEXT(8704, "[$-0E0000]yyyy-mm-dd")</f>
        <v/>
      </c>
      <c r="C8705" t="inlineStr">
        <is>
          <t>1923-09-22</t>
        </is>
      </c>
    </row>
    <row r="8706">
      <c r="A8706" s="1" t="n">
        <v>8705</v>
      </c>
      <c r="B8706">
        <f>TEXT(8705, "[$-0E0000]yyyy-mm-dd")</f>
        <v/>
      </c>
      <c r="C8706" t="inlineStr">
        <is>
          <t>1923-09-23</t>
        </is>
      </c>
    </row>
    <row r="8707">
      <c r="A8707" s="1" t="n">
        <v>8706</v>
      </c>
      <c r="B8707">
        <f>TEXT(8706, "[$-0E0000]yyyy-mm-dd")</f>
        <v/>
      </c>
      <c r="C8707" t="inlineStr">
        <is>
          <t>1923-09-24</t>
        </is>
      </c>
    </row>
    <row r="8708">
      <c r="A8708" s="1" t="n">
        <v>8707</v>
      </c>
      <c r="B8708">
        <f>TEXT(8707, "[$-0E0000]yyyy-mm-dd")</f>
        <v/>
      </c>
      <c r="C8708" t="inlineStr">
        <is>
          <t>1923-09-25</t>
        </is>
      </c>
    </row>
    <row r="8709">
      <c r="A8709" s="1" t="n">
        <v>8708</v>
      </c>
      <c r="B8709">
        <f>TEXT(8708, "[$-0E0000]yyyy-mm-dd")</f>
        <v/>
      </c>
      <c r="C8709" t="inlineStr">
        <is>
          <t>1923-09-26</t>
        </is>
      </c>
    </row>
    <row r="8710">
      <c r="A8710" s="1" t="n">
        <v>8709</v>
      </c>
      <c r="B8710">
        <f>TEXT(8709, "[$-0E0000]yyyy-mm-dd")</f>
        <v/>
      </c>
      <c r="C8710" t="inlineStr">
        <is>
          <t>1923-09-27</t>
        </is>
      </c>
    </row>
    <row r="8711">
      <c r="A8711" s="1" t="n">
        <v>8710</v>
      </c>
      <c r="B8711">
        <f>TEXT(8710, "[$-0E0000]yyyy-mm-dd")</f>
        <v/>
      </c>
      <c r="C8711" t="inlineStr">
        <is>
          <t>1923-09-28</t>
        </is>
      </c>
    </row>
    <row r="8712">
      <c r="A8712" s="1" t="n">
        <v>8711</v>
      </c>
      <c r="B8712">
        <f>TEXT(8711, "[$-0E0000]yyyy-mm-dd")</f>
        <v/>
      </c>
      <c r="C8712" t="inlineStr">
        <is>
          <t>1923-09-29</t>
        </is>
      </c>
    </row>
    <row r="8713">
      <c r="A8713" s="1" t="n">
        <v>8712</v>
      </c>
      <c r="B8713">
        <f>TEXT(8712, "[$-0E0000]yyyy-mm-dd")</f>
        <v/>
      </c>
      <c r="C8713" t="inlineStr">
        <is>
          <t>1923-10-01</t>
        </is>
      </c>
    </row>
    <row r="8714">
      <c r="A8714" s="1" t="n">
        <v>8713</v>
      </c>
      <c r="B8714">
        <f>TEXT(8713, "[$-0E0000]yyyy-mm-dd")</f>
        <v/>
      </c>
      <c r="C8714" t="inlineStr">
        <is>
          <t>1923-10-02</t>
        </is>
      </c>
    </row>
    <row r="8715">
      <c r="A8715" s="1" t="n">
        <v>8714</v>
      </c>
      <c r="B8715">
        <f>TEXT(8714, "[$-0E0000]yyyy-mm-dd")</f>
        <v/>
      </c>
      <c r="C8715" t="inlineStr">
        <is>
          <t>1923-10-03</t>
        </is>
      </c>
    </row>
    <row r="8716">
      <c r="A8716" s="1" t="n">
        <v>8715</v>
      </c>
      <c r="B8716">
        <f>TEXT(8715, "[$-0E0000]yyyy-mm-dd")</f>
        <v/>
      </c>
      <c r="C8716" t="inlineStr">
        <is>
          <t>1923-10-04</t>
        </is>
      </c>
    </row>
    <row r="8717">
      <c r="A8717" s="1" t="n">
        <v>8716</v>
      </c>
      <c r="B8717">
        <f>TEXT(8716, "[$-0E0000]yyyy-mm-dd")</f>
        <v/>
      </c>
      <c r="C8717" t="inlineStr">
        <is>
          <t>1923-10-05</t>
        </is>
      </c>
    </row>
    <row r="8718">
      <c r="A8718" s="1" t="n">
        <v>8717</v>
      </c>
      <c r="B8718">
        <f>TEXT(8717, "[$-0E0000]yyyy-mm-dd")</f>
        <v/>
      </c>
      <c r="C8718" t="inlineStr">
        <is>
          <t>1923-10-06</t>
        </is>
      </c>
    </row>
    <row r="8719">
      <c r="A8719" s="1" t="n">
        <v>8718</v>
      </c>
      <c r="B8719">
        <f>TEXT(8718, "[$-0E0000]yyyy-mm-dd")</f>
        <v/>
      </c>
      <c r="C8719" t="inlineStr">
        <is>
          <t>1923-10-07</t>
        </is>
      </c>
    </row>
    <row r="8720">
      <c r="A8720" s="1" t="n">
        <v>8719</v>
      </c>
      <c r="B8720">
        <f>TEXT(8719, "[$-0E0000]yyyy-mm-dd")</f>
        <v/>
      </c>
      <c r="C8720" t="inlineStr">
        <is>
          <t>1923-10-08</t>
        </is>
      </c>
    </row>
    <row r="8721">
      <c r="A8721" s="1" t="n">
        <v>8720</v>
      </c>
      <c r="B8721">
        <f>TEXT(8720, "[$-0E0000]yyyy-mm-dd")</f>
        <v/>
      </c>
      <c r="C8721" t="inlineStr">
        <is>
          <t>1923-10-09</t>
        </is>
      </c>
    </row>
    <row r="8722">
      <c r="A8722" s="1" t="n">
        <v>8721</v>
      </c>
      <c r="B8722">
        <f>TEXT(8721, "[$-0E0000]yyyy-mm-dd")</f>
        <v/>
      </c>
      <c r="C8722" t="inlineStr">
        <is>
          <t>1923-10-10</t>
        </is>
      </c>
    </row>
    <row r="8723">
      <c r="A8723" s="1" t="n">
        <v>8722</v>
      </c>
      <c r="B8723">
        <f>TEXT(8722, "[$-0E0000]yyyy-mm-dd")</f>
        <v/>
      </c>
      <c r="C8723" t="inlineStr">
        <is>
          <t>1923-10-11</t>
        </is>
      </c>
    </row>
    <row r="8724">
      <c r="A8724" s="1" t="n">
        <v>8723</v>
      </c>
      <c r="B8724">
        <f>TEXT(8723, "[$-0E0000]yyyy-mm-dd")</f>
        <v/>
      </c>
      <c r="C8724" t="inlineStr">
        <is>
          <t>1923-10-12</t>
        </is>
      </c>
    </row>
    <row r="8725">
      <c r="A8725" s="1" t="n">
        <v>8724</v>
      </c>
      <c r="B8725">
        <f>TEXT(8724, "[$-0E0000]yyyy-mm-dd")</f>
        <v/>
      </c>
      <c r="C8725" t="inlineStr">
        <is>
          <t>1923-10-13</t>
        </is>
      </c>
    </row>
    <row r="8726">
      <c r="A8726" s="1" t="n">
        <v>8725</v>
      </c>
      <c r="B8726">
        <f>TEXT(8725, "[$-0E0000]yyyy-mm-dd")</f>
        <v/>
      </c>
      <c r="C8726" t="inlineStr">
        <is>
          <t>1923-10-14</t>
        </is>
      </c>
    </row>
    <row r="8727">
      <c r="A8727" s="1" t="n">
        <v>8726</v>
      </c>
      <c r="B8727">
        <f>TEXT(8726, "[$-0E0000]yyyy-mm-dd")</f>
        <v/>
      </c>
      <c r="C8727" t="inlineStr">
        <is>
          <t>1923-10-15</t>
        </is>
      </c>
    </row>
    <row r="8728">
      <c r="A8728" s="1" t="n">
        <v>8727</v>
      </c>
      <c r="B8728">
        <f>TEXT(8727, "[$-0E0000]yyyy-mm-dd")</f>
        <v/>
      </c>
      <c r="C8728" t="inlineStr">
        <is>
          <t>1923-10-16</t>
        </is>
      </c>
    </row>
    <row r="8729">
      <c r="A8729" s="1" t="n">
        <v>8728</v>
      </c>
      <c r="B8729">
        <f>TEXT(8728, "[$-0E0000]yyyy-mm-dd")</f>
        <v/>
      </c>
      <c r="C8729" t="inlineStr">
        <is>
          <t>1923-10-17</t>
        </is>
      </c>
    </row>
    <row r="8730">
      <c r="A8730" s="1" t="n">
        <v>8729</v>
      </c>
      <c r="B8730">
        <f>TEXT(8729, "[$-0E0000]yyyy-mm-dd")</f>
        <v/>
      </c>
      <c r="C8730" t="inlineStr">
        <is>
          <t>1923-10-18</t>
        </is>
      </c>
    </row>
    <row r="8731">
      <c r="A8731" s="1" t="n">
        <v>8730</v>
      </c>
      <c r="B8731">
        <f>TEXT(8730, "[$-0E0000]yyyy-mm-dd")</f>
        <v/>
      </c>
      <c r="C8731" t="inlineStr">
        <is>
          <t>1923-10-19</t>
        </is>
      </c>
    </row>
    <row r="8732">
      <c r="A8732" s="1" t="n">
        <v>8731</v>
      </c>
      <c r="B8732">
        <f>TEXT(8731, "[$-0E0000]yyyy-mm-dd")</f>
        <v/>
      </c>
      <c r="C8732" t="inlineStr">
        <is>
          <t>1923-10-20</t>
        </is>
      </c>
    </row>
    <row r="8733">
      <c r="A8733" s="1" t="n">
        <v>8732</v>
      </c>
      <c r="B8733">
        <f>TEXT(8732, "[$-0E0000]yyyy-mm-dd")</f>
        <v/>
      </c>
      <c r="C8733" t="inlineStr">
        <is>
          <t>1923-10-21</t>
        </is>
      </c>
    </row>
    <row r="8734">
      <c r="A8734" s="1" t="n">
        <v>8733</v>
      </c>
      <c r="B8734">
        <f>TEXT(8733, "[$-0E0000]yyyy-mm-dd")</f>
        <v/>
      </c>
      <c r="C8734" t="inlineStr">
        <is>
          <t>1923-10-22</t>
        </is>
      </c>
    </row>
    <row r="8735">
      <c r="A8735" s="1" t="n">
        <v>8734</v>
      </c>
      <c r="B8735">
        <f>TEXT(8734, "[$-0E0000]yyyy-mm-dd")</f>
        <v/>
      </c>
      <c r="C8735" t="inlineStr">
        <is>
          <t>1923-10-23</t>
        </is>
      </c>
    </row>
    <row r="8736">
      <c r="A8736" s="1" t="n">
        <v>8735</v>
      </c>
      <c r="B8736">
        <f>TEXT(8735, "[$-0E0000]yyyy-mm-dd")</f>
        <v/>
      </c>
      <c r="C8736" t="inlineStr">
        <is>
          <t>1923-10-24</t>
        </is>
      </c>
    </row>
    <row r="8737">
      <c r="A8737" s="1" t="n">
        <v>8736</v>
      </c>
      <c r="B8737">
        <f>TEXT(8736, "[$-0E0000]yyyy-mm-dd")</f>
        <v/>
      </c>
      <c r="C8737" t="inlineStr">
        <is>
          <t>1923-10-25</t>
        </is>
      </c>
    </row>
    <row r="8738">
      <c r="A8738" s="1" t="n">
        <v>8737</v>
      </c>
      <c r="B8738">
        <f>TEXT(8737, "[$-0E0000]yyyy-mm-dd")</f>
        <v/>
      </c>
      <c r="C8738" t="inlineStr">
        <is>
          <t>1923-10-26</t>
        </is>
      </c>
    </row>
    <row r="8739">
      <c r="A8739" s="1" t="n">
        <v>8738</v>
      </c>
      <c r="B8739">
        <f>TEXT(8738, "[$-0E0000]yyyy-mm-dd")</f>
        <v/>
      </c>
      <c r="C8739" t="inlineStr">
        <is>
          <t>1923-10-27</t>
        </is>
      </c>
    </row>
    <row r="8740">
      <c r="A8740" s="1" t="n">
        <v>8739</v>
      </c>
      <c r="B8740">
        <f>TEXT(8739, "[$-0E0000]yyyy-mm-dd")</f>
        <v/>
      </c>
      <c r="C8740" t="inlineStr">
        <is>
          <t>1923-10-28</t>
        </is>
      </c>
    </row>
    <row r="8741">
      <c r="A8741" s="1" t="n">
        <v>8740</v>
      </c>
      <c r="B8741">
        <f>TEXT(8740, "[$-0E0000]yyyy-mm-dd")</f>
        <v/>
      </c>
      <c r="C8741" t="inlineStr">
        <is>
          <t>1923-10-29</t>
        </is>
      </c>
    </row>
    <row r="8742">
      <c r="A8742" s="1" t="n">
        <v>8741</v>
      </c>
      <c r="B8742">
        <f>TEXT(8741, "[$-0E0000]yyyy-mm-dd")</f>
        <v/>
      </c>
      <c r="C8742" t="inlineStr">
        <is>
          <t>1923-10-30</t>
        </is>
      </c>
    </row>
    <row r="8743">
      <c r="A8743" s="1" t="n">
        <v>8742</v>
      </c>
      <c r="B8743">
        <f>TEXT(8742, "[$-0E0000]yyyy-mm-dd")</f>
        <v/>
      </c>
      <c r="C8743" t="inlineStr">
        <is>
          <t>1923-11-01</t>
        </is>
      </c>
    </row>
    <row r="8744">
      <c r="A8744" s="1" t="n">
        <v>8743</v>
      </c>
      <c r="B8744">
        <f>TEXT(8743, "[$-0E0000]yyyy-mm-dd")</f>
        <v/>
      </c>
      <c r="C8744" t="inlineStr">
        <is>
          <t>1923-11-02</t>
        </is>
      </c>
    </row>
    <row r="8745">
      <c r="A8745" s="1" t="n">
        <v>8744</v>
      </c>
      <c r="B8745">
        <f>TEXT(8744, "[$-0E0000]yyyy-mm-dd")</f>
        <v/>
      </c>
      <c r="C8745" t="inlineStr">
        <is>
          <t>1923-11-03</t>
        </is>
      </c>
    </row>
    <row r="8746">
      <c r="A8746" s="1" t="n">
        <v>8745</v>
      </c>
      <c r="B8746">
        <f>TEXT(8745, "[$-0E0000]yyyy-mm-dd")</f>
        <v/>
      </c>
      <c r="C8746" t="inlineStr">
        <is>
          <t>1923-11-04</t>
        </is>
      </c>
    </row>
    <row r="8747">
      <c r="A8747" s="1" t="n">
        <v>8746</v>
      </c>
      <c r="B8747">
        <f>TEXT(8746, "[$-0E0000]yyyy-mm-dd")</f>
        <v/>
      </c>
      <c r="C8747" t="inlineStr">
        <is>
          <t>1923-11-05</t>
        </is>
      </c>
    </row>
    <row r="8748">
      <c r="A8748" s="1" t="n">
        <v>8747</v>
      </c>
      <c r="B8748">
        <f>TEXT(8747, "[$-0E0000]yyyy-mm-dd")</f>
        <v/>
      </c>
      <c r="C8748" t="inlineStr">
        <is>
          <t>1923-11-06</t>
        </is>
      </c>
    </row>
    <row r="8749">
      <c r="A8749" s="1" t="n">
        <v>8748</v>
      </c>
      <c r="B8749">
        <f>TEXT(8748, "[$-0E0000]yyyy-mm-dd")</f>
        <v/>
      </c>
      <c r="C8749" t="inlineStr">
        <is>
          <t>1923-11-07</t>
        </is>
      </c>
    </row>
    <row r="8750">
      <c r="A8750" s="1" t="n">
        <v>8749</v>
      </c>
      <c r="B8750">
        <f>TEXT(8749, "[$-0E0000]yyyy-mm-dd")</f>
        <v/>
      </c>
      <c r="C8750" t="inlineStr">
        <is>
          <t>1923-11-08</t>
        </is>
      </c>
    </row>
    <row r="8751">
      <c r="A8751" s="1" t="n">
        <v>8750</v>
      </c>
      <c r="B8751">
        <f>TEXT(8750, "[$-0E0000]yyyy-mm-dd")</f>
        <v/>
      </c>
      <c r="C8751" t="inlineStr">
        <is>
          <t>1923-11-09</t>
        </is>
      </c>
    </row>
    <row r="8752">
      <c r="A8752" s="1" t="n">
        <v>8751</v>
      </c>
      <c r="B8752">
        <f>TEXT(8751, "[$-0E0000]yyyy-mm-dd")</f>
        <v/>
      </c>
      <c r="C8752" t="inlineStr">
        <is>
          <t>1923-11-10</t>
        </is>
      </c>
    </row>
    <row r="8753">
      <c r="A8753" s="1" t="n">
        <v>8752</v>
      </c>
      <c r="B8753">
        <f>TEXT(8752, "[$-0E0000]yyyy-mm-dd")</f>
        <v/>
      </c>
      <c r="C8753" t="inlineStr">
        <is>
          <t>1923-11-11</t>
        </is>
      </c>
    </row>
    <row r="8754">
      <c r="A8754" s="1" t="n">
        <v>8753</v>
      </c>
      <c r="B8754">
        <f>TEXT(8753, "[$-0E0000]yyyy-mm-dd")</f>
        <v/>
      </c>
      <c r="C8754" t="inlineStr">
        <is>
          <t>1923-11-12</t>
        </is>
      </c>
    </row>
    <row r="8755">
      <c r="A8755" s="1" t="n">
        <v>8754</v>
      </c>
      <c r="B8755">
        <f>TEXT(8754, "[$-0E0000]yyyy-mm-dd")</f>
        <v/>
      </c>
      <c r="C8755" t="inlineStr">
        <is>
          <t>1923-11-13</t>
        </is>
      </c>
    </row>
    <row r="8756">
      <c r="A8756" s="1" t="n">
        <v>8755</v>
      </c>
      <c r="B8756">
        <f>TEXT(8755, "[$-0E0000]yyyy-mm-dd")</f>
        <v/>
      </c>
      <c r="C8756" t="inlineStr">
        <is>
          <t>1923-11-14</t>
        </is>
      </c>
    </row>
    <row r="8757">
      <c r="A8757" s="1" t="n">
        <v>8756</v>
      </c>
      <c r="B8757">
        <f>TEXT(8756, "[$-0E0000]yyyy-mm-dd")</f>
        <v/>
      </c>
      <c r="C8757" t="inlineStr">
        <is>
          <t>1923-11-15</t>
        </is>
      </c>
    </row>
    <row r="8758">
      <c r="A8758" s="1" t="n">
        <v>8757</v>
      </c>
      <c r="B8758">
        <f>TEXT(8757, "[$-0E0000]yyyy-mm-dd")</f>
        <v/>
      </c>
      <c r="C8758" t="inlineStr">
        <is>
          <t>1923-11-16</t>
        </is>
      </c>
    </row>
    <row r="8759">
      <c r="A8759" s="1" t="n">
        <v>8758</v>
      </c>
      <c r="B8759">
        <f>TEXT(8758, "[$-0E0000]yyyy-mm-dd")</f>
        <v/>
      </c>
      <c r="C8759" t="inlineStr">
        <is>
          <t>1923-11-17</t>
        </is>
      </c>
    </row>
    <row r="8760">
      <c r="A8760" s="1" t="n">
        <v>8759</v>
      </c>
      <c r="B8760">
        <f>TEXT(8759, "[$-0E0000]yyyy-mm-dd")</f>
        <v/>
      </c>
      <c r="C8760" t="inlineStr">
        <is>
          <t>1923-11-18</t>
        </is>
      </c>
    </row>
    <row r="8761">
      <c r="A8761" s="1" t="n">
        <v>8760</v>
      </c>
      <c r="B8761">
        <f>TEXT(8760, "[$-0E0000]yyyy-mm-dd")</f>
        <v/>
      </c>
      <c r="C8761" t="inlineStr">
        <is>
          <t>1923-11-19</t>
        </is>
      </c>
    </row>
    <row r="8762">
      <c r="A8762" s="1" t="n">
        <v>8761</v>
      </c>
      <c r="B8762">
        <f>TEXT(8761, "[$-0E0000]yyyy-mm-dd")</f>
        <v/>
      </c>
      <c r="C8762" t="inlineStr">
        <is>
          <t>1923-11-20</t>
        </is>
      </c>
    </row>
    <row r="8763">
      <c r="A8763" s="1" t="n">
        <v>8762</v>
      </c>
      <c r="B8763">
        <f>TEXT(8762, "[$-0E0000]yyyy-mm-dd")</f>
        <v/>
      </c>
      <c r="C8763" t="inlineStr">
        <is>
          <t>1923-11-21</t>
        </is>
      </c>
    </row>
    <row r="8764">
      <c r="A8764" s="1" t="n">
        <v>8763</v>
      </c>
      <c r="B8764">
        <f>TEXT(8763, "[$-0E0000]yyyy-mm-dd")</f>
        <v/>
      </c>
      <c r="C8764" t="inlineStr">
        <is>
          <t>1923-11-22</t>
        </is>
      </c>
    </row>
    <row r="8765">
      <c r="A8765" s="1" t="n">
        <v>8764</v>
      </c>
      <c r="B8765">
        <f>TEXT(8764, "[$-0E0000]yyyy-mm-dd")</f>
        <v/>
      </c>
      <c r="C8765" t="inlineStr">
        <is>
          <t>1923-11-23</t>
        </is>
      </c>
    </row>
    <row r="8766">
      <c r="A8766" s="1" t="n">
        <v>8765</v>
      </c>
      <c r="B8766">
        <f>TEXT(8765, "[$-0E0000]yyyy-mm-dd")</f>
        <v/>
      </c>
      <c r="C8766" t="inlineStr">
        <is>
          <t>1923-11-24</t>
        </is>
      </c>
    </row>
    <row r="8767">
      <c r="A8767" s="1" t="n">
        <v>8766</v>
      </c>
      <c r="B8767">
        <f>TEXT(8766, "[$-0E0000]yyyy-mm-dd")</f>
        <v/>
      </c>
      <c r="C8767" t="inlineStr">
        <is>
          <t>1923-11-25</t>
        </is>
      </c>
    </row>
    <row r="8768">
      <c r="A8768" s="1" t="n">
        <v>8767</v>
      </c>
      <c r="B8768">
        <f>TEXT(8767, "[$-0E0000]yyyy-mm-dd")</f>
        <v/>
      </c>
      <c r="C8768" t="inlineStr">
        <is>
          <t>1923-11-26</t>
        </is>
      </c>
    </row>
    <row r="8769">
      <c r="A8769" s="1" t="n">
        <v>8768</v>
      </c>
      <c r="B8769">
        <f>TEXT(8768, "[$-0E0000]yyyy-mm-dd")</f>
        <v/>
      </c>
      <c r="C8769" t="inlineStr">
        <is>
          <t>1923-11-27</t>
        </is>
      </c>
    </row>
    <row r="8770">
      <c r="A8770" s="1" t="n">
        <v>8769</v>
      </c>
      <c r="B8770">
        <f>TEXT(8769, "[$-0E0000]yyyy-mm-dd")</f>
        <v/>
      </c>
      <c r="C8770" t="inlineStr">
        <is>
          <t>1923-11-28</t>
        </is>
      </c>
    </row>
    <row r="8771">
      <c r="A8771" s="1" t="n">
        <v>8770</v>
      </c>
      <c r="B8771">
        <f>TEXT(8770, "[$-0E0000]yyyy-mm-dd")</f>
        <v/>
      </c>
      <c r="C8771" t="inlineStr">
        <is>
          <t>1923-11-29</t>
        </is>
      </c>
    </row>
    <row r="8772">
      <c r="A8772" s="1" t="n">
        <v>8771</v>
      </c>
      <c r="B8772">
        <f>TEXT(8771, "[$-0E0000]yyyy-mm-dd")</f>
        <v/>
      </c>
      <c r="C8772" t="inlineStr">
        <is>
          <t>1923-12-01</t>
        </is>
      </c>
    </row>
    <row r="8773">
      <c r="A8773" s="1" t="n">
        <v>8772</v>
      </c>
      <c r="B8773">
        <f>TEXT(8772, "[$-0E0000]yyyy-mm-dd")</f>
        <v/>
      </c>
      <c r="C8773" t="inlineStr">
        <is>
          <t>1923-12-02</t>
        </is>
      </c>
    </row>
    <row r="8774">
      <c r="A8774" s="1" t="n">
        <v>8773</v>
      </c>
      <c r="B8774">
        <f>TEXT(8773, "[$-0E0000]yyyy-mm-dd")</f>
        <v/>
      </c>
      <c r="C8774" t="inlineStr">
        <is>
          <t>1923-12-03</t>
        </is>
      </c>
    </row>
    <row r="8775">
      <c r="A8775" s="1" t="n">
        <v>8774</v>
      </c>
      <c r="B8775">
        <f>TEXT(8774, "[$-0E0000]yyyy-mm-dd")</f>
        <v/>
      </c>
      <c r="C8775" t="inlineStr">
        <is>
          <t>1923-12-04</t>
        </is>
      </c>
    </row>
    <row r="8776">
      <c r="A8776" s="1" t="n">
        <v>8775</v>
      </c>
      <c r="B8776">
        <f>TEXT(8775, "[$-0E0000]yyyy-mm-dd")</f>
        <v/>
      </c>
      <c r="C8776" t="inlineStr">
        <is>
          <t>1923-12-05</t>
        </is>
      </c>
    </row>
    <row r="8777">
      <c r="A8777" s="1" t="n">
        <v>8776</v>
      </c>
      <c r="B8777">
        <f>TEXT(8776, "[$-0E0000]yyyy-mm-dd")</f>
        <v/>
      </c>
      <c r="C8777" t="inlineStr">
        <is>
          <t>1923-12-06</t>
        </is>
      </c>
    </row>
    <row r="8778">
      <c r="A8778" s="1" t="n">
        <v>8777</v>
      </c>
      <c r="B8778">
        <f>TEXT(8777, "[$-0E0000]yyyy-mm-dd")</f>
        <v/>
      </c>
      <c r="C8778" t="inlineStr">
        <is>
          <t>1923-12-07</t>
        </is>
      </c>
    </row>
    <row r="8779">
      <c r="A8779" s="1" t="n">
        <v>8778</v>
      </c>
      <c r="B8779">
        <f>TEXT(8778, "[$-0E0000]yyyy-mm-dd")</f>
        <v/>
      </c>
      <c r="C8779" t="inlineStr">
        <is>
          <t>1923-12-08</t>
        </is>
      </c>
    </row>
    <row r="8780">
      <c r="A8780" s="1" t="n">
        <v>8779</v>
      </c>
      <c r="B8780">
        <f>TEXT(8779, "[$-0E0000]yyyy-mm-dd")</f>
        <v/>
      </c>
      <c r="C8780" t="inlineStr">
        <is>
          <t>1923-12-09</t>
        </is>
      </c>
    </row>
    <row r="8781">
      <c r="A8781" s="1" t="n">
        <v>8780</v>
      </c>
      <c r="B8781">
        <f>TEXT(8780, "[$-0E0000]yyyy-mm-dd")</f>
        <v/>
      </c>
      <c r="C8781" t="inlineStr">
        <is>
          <t>1923-12-10</t>
        </is>
      </c>
    </row>
    <row r="8782">
      <c r="A8782" s="1" t="n">
        <v>8781</v>
      </c>
      <c r="B8782">
        <f>TEXT(8781, "[$-0E0000]yyyy-mm-dd")</f>
        <v/>
      </c>
      <c r="C8782" t="inlineStr">
        <is>
          <t>1923-12-11</t>
        </is>
      </c>
    </row>
    <row r="8783">
      <c r="A8783" s="1" t="n">
        <v>8782</v>
      </c>
      <c r="B8783">
        <f>TEXT(8782, "[$-0E0000]yyyy-mm-dd")</f>
        <v/>
      </c>
      <c r="C8783" t="inlineStr">
        <is>
          <t>1923-12-12</t>
        </is>
      </c>
    </row>
    <row r="8784">
      <c r="A8784" s="1" t="n">
        <v>8783</v>
      </c>
      <c r="B8784">
        <f>TEXT(8783, "[$-0E0000]yyyy-mm-dd")</f>
        <v/>
      </c>
      <c r="C8784" t="inlineStr">
        <is>
          <t>1923-12-13</t>
        </is>
      </c>
    </row>
    <row r="8785">
      <c r="A8785" s="1" t="n">
        <v>8784</v>
      </c>
      <c r="B8785">
        <f>TEXT(8784, "[$-0E0000]yyyy-mm-dd")</f>
        <v/>
      </c>
      <c r="C8785" t="inlineStr">
        <is>
          <t>1923-12-14</t>
        </is>
      </c>
    </row>
    <row r="8786">
      <c r="A8786" s="1" t="n">
        <v>8785</v>
      </c>
      <c r="B8786">
        <f>TEXT(8785, "[$-0E0000]yyyy-mm-dd")</f>
        <v/>
      </c>
      <c r="C8786" t="inlineStr">
        <is>
          <t>1923-12-15</t>
        </is>
      </c>
    </row>
    <row r="8787">
      <c r="A8787" s="1" t="n">
        <v>8786</v>
      </c>
      <c r="B8787">
        <f>TEXT(8786, "[$-0E0000]yyyy-mm-dd")</f>
        <v/>
      </c>
      <c r="C8787" t="inlineStr">
        <is>
          <t>1923-12-16</t>
        </is>
      </c>
    </row>
    <row r="8788">
      <c r="A8788" s="1" t="n">
        <v>8787</v>
      </c>
      <c r="B8788">
        <f>TEXT(8787, "[$-0E0000]yyyy-mm-dd")</f>
        <v/>
      </c>
      <c r="C8788" t="inlineStr">
        <is>
          <t>1923-12-17</t>
        </is>
      </c>
    </row>
    <row r="8789">
      <c r="A8789" s="1" t="n">
        <v>8788</v>
      </c>
      <c r="B8789">
        <f>TEXT(8788, "[$-0E0000]yyyy-mm-dd")</f>
        <v/>
      </c>
      <c r="C8789" t="inlineStr">
        <is>
          <t>1923-12-18</t>
        </is>
      </c>
    </row>
    <row r="8790">
      <c r="A8790" s="1" t="n">
        <v>8789</v>
      </c>
      <c r="B8790">
        <f>TEXT(8789, "[$-0E0000]yyyy-mm-dd")</f>
        <v/>
      </c>
      <c r="C8790" t="inlineStr">
        <is>
          <t>1923-12-19</t>
        </is>
      </c>
    </row>
    <row r="8791">
      <c r="A8791" s="1" t="n">
        <v>8790</v>
      </c>
      <c r="B8791">
        <f>TEXT(8790, "[$-0E0000]yyyy-mm-dd")</f>
        <v/>
      </c>
      <c r="C8791" t="inlineStr">
        <is>
          <t>1923-12-20</t>
        </is>
      </c>
    </row>
    <row r="8792">
      <c r="A8792" s="1" t="n">
        <v>8791</v>
      </c>
      <c r="B8792">
        <f>TEXT(8791, "[$-0E0000]yyyy-mm-dd")</f>
        <v/>
      </c>
      <c r="C8792" t="inlineStr">
        <is>
          <t>1923-12-21</t>
        </is>
      </c>
    </row>
    <row r="8793">
      <c r="A8793" s="1" t="n">
        <v>8792</v>
      </c>
      <c r="B8793">
        <f>TEXT(8792, "[$-0E0000]yyyy-mm-dd")</f>
        <v/>
      </c>
      <c r="C8793" t="inlineStr">
        <is>
          <t>1923-12-22</t>
        </is>
      </c>
    </row>
    <row r="8794">
      <c r="A8794" s="1" t="n">
        <v>8793</v>
      </c>
      <c r="B8794">
        <f>TEXT(8793, "[$-0E0000]yyyy-mm-dd")</f>
        <v/>
      </c>
      <c r="C8794" t="inlineStr">
        <is>
          <t>1923-12-23</t>
        </is>
      </c>
    </row>
    <row r="8795">
      <c r="A8795" s="1" t="n">
        <v>8794</v>
      </c>
      <c r="B8795">
        <f>TEXT(8794, "[$-0E0000]yyyy-mm-dd")</f>
        <v/>
      </c>
      <c r="C8795" t="inlineStr">
        <is>
          <t>1923-12-24</t>
        </is>
      </c>
    </row>
    <row r="8796">
      <c r="A8796" s="1" t="n">
        <v>8795</v>
      </c>
      <c r="B8796">
        <f>TEXT(8795, "[$-0E0000]yyyy-mm-dd")</f>
        <v/>
      </c>
      <c r="C8796" t="inlineStr">
        <is>
          <t>1923-12-25</t>
        </is>
      </c>
    </row>
    <row r="8797">
      <c r="A8797" s="1" t="n">
        <v>8796</v>
      </c>
      <c r="B8797">
        <f>TEXT(8796, "[$-0E0000]yyyy-mm-dd")</f>
        <v/>
      </c>
      <c r="C8797" t="inlineStr">
        <is>
          <t>1923-12-26</t>
        </is>
      </c>
    </row>
    <row r="8798">
      <c r="A8798" s="1" t="n">
        <v>8797</v>
      </c>
      <c r="B8798">
        <f>TEXT(8797, "[$-0E0000]yyyy-mm-dd")</f>
        <v/>
      </c>
      <c r="C8798" t="inlineStr">
        <is>
          <t>1923-12-27</t>
        </is>
      </c>
    </row>
    <row r="8799">
      <c r="A8799" s="1" t="n">
        <v>8798</v>
      </c>
      <c r="B8799">
        <f>TEXT(8798, "[$-0E0000]yyyy-mm-dd")</f>
        <v/>
      </c>
      <c r="C8799" t="inlineStr">
        <is>
          <t>1923-12-28</t>
        </is>
      </c>
    </row>
    <row r="8800">
      <c r="A8800" s="1" t="n">
        <v>8799</v>
      </c>
      <c r="B8800">
        <f>TEXT(8799, "[$-0E0000]yyyy-mm-dd")</f>
        <v/>
      </c>
      <c r="C8800" t="inlineStr">
        <is>
          <t>1923-12-29</t>
        </is>
      </c>
    </row>
    <row r="8801">
      <c r="A8801" s="1" t="n">
        <v>8800</v>
      </c>
      <c r="B8801">
        <f>TEXT(8800, "[$-0E0000]yyyy-mm-dd")</f>
        <v/>
      </c>
      <c r="C8801" t="inlineStr">
        <is>
          <t>1923-12-30</t>
        </is>
      </c>
    </row>
    <row r="8802">
      <c r="A8802" s="1" t="n">
        <v>8801</v>
      </c>
      <c r="B8802">
        <f>TEXT(8801, "[$-0E0000]yyyy-mm-dd")</f>
        <v/>
      </c>
      <c r="C8802" t="inlineStr">
        <is>
          <t>1924-01-01</t>
        </is>
      </c>
    </row>
    <row r="8803">
      <c r="A8803" s="1" t="n">
        <v>8802</v>
      </c>
      <c r="B8803">
        <f>TEXT(8802, "[$-0E0000]yyyy-mm-dd")</f>
        <v/>
      </c>
      <c r="C8803" t="inlineStr">
        <is>
          <t>1924-01-02</t>
        </is>
      </c>
    </row>
    <row r="8804">
      <c r="A8804" s="1" t="n">
        <v>8803</v>
      </c>
      <c r="B8804">
        <f>TEXT(8803, "[$-0E0000]yyyy-mm-dd")</f>
        <v/>
      </c>
      <c r="C8804" t="inlineStr">
        <is>
          <t>1924-01-03</t>
        </is>
      </c>
    </row>
    <row r="8805">
      <c r="A8805" s="1" t="n">
        <v>8804</v>
      </c>
      <c r="B8805">
        <f>TEXT(8804, "[$-0E0000]yyyy-mm-dd")</f>
        <v/>
      </c>
      <c r="C8805" t="inlineStr">
        <is>
          <t>1924-01-04</t>
        </is>
      </c>
    </row>
    <row r="8806">
      <c r="A8806" s="1" t="n">
        <v>8805</v>
      </c>
      <c r="B8806">
        <f>TEXT(8805, "[$-0E0000]yyyy-mm-dd")</f>
        <v/>
      </c>
      <c r="C8806" t="inlineStr">
        <is>
          <t>1924-01-05</t>
        </is>
      </c>
    </row>
    <row r="8807">
      <c r="A8807" s="1" t="n">
        <v>8806</v>
      </c>
      <c r="B8807">
        <f>TEXT(8806, "[$-0E0000]yyyy-mm-dd")</f>
        <v/>
      </c>
      <c r="C8807" t="inlineStr">
        <is>
          <t>1924-01-06</t>
        </is>
      </c>
    </row>
    <row r="8808">
      <c r="A8808" s="1" t="n">
        <v>8807</v>
      </c>
      <c r="B8808">
        <f>TEXT(8807, "[$-0E0000]yyyy-mm-dd")</f>
        <v/>
      </c>
      <c r="C8808" t="inlineStr">
        <is>
          <t>1924-01-07</t>
        </is>
      </c>
    </row>
    <row r="8809">
      <c r="A8809" s="1" t="n">
        <v>8808</v>
      </c>
      <c r="B8809">
        <f>TEXT(8808, "[$-0E0000]yyyy-mm-dd")</f>
        <v/>
      </c>
      <c r="C8809" t="inlineStr">
        <is>
          <t>1924-01-08</t>
        </is>
      </c>
    </row>
    <row r="8810">
      <c r="A8810" s="1" t="n">
        <v>8809</v>
      </c>
      <c r="B8810">
        <f>TEXT(8809, "[$-0E0000]yyyy-mm-dd")</f>
        <v/>
      </c>
      <c r="C8810" t="inlineStr">
        <is>
          <t>1924-01-09</t>
        </is>
      </c>
    </row>
    <row r="8811">
      <c r="A8811" s="1" t="n">
        <v>8810</v>
      </c>
      <c r="B8811">
        <f>TEXT(8810, "[$-0E0000]yyyy-mm-dd")</f>
        <v/>
      </c>
      <c r="C8811" t="inlineStr">
        <is>
          <t>1924-01-10</t>
        </is>
      </c>
    </row>
    <row r="8812">
      <c r="A8812" s="1" t="n">
        <v>8811</v>
      </c>
      <c r="B8812">
        <f>TEXT(8811, "[$-0E0000]yyyy-mm-dd")</f>
        <v/>
      </c>
      <c r="C8812" t="inlineStr">
        <is>
          <t>1924-01-11</t>
        </is>
      </c>
    </row>
    <row r="8813">
      <c r="A8813" s="1" t="n">
        <v>8812</v>
      </c>
      <c r="B8813">
        <f>TEXT(8812, "[$-0E0000]yyyy-mm-dd")</f>
        <v/>
      </c>
      <c r="C8813" t="inlineStr">
        <is>
          <t>1924-01-12</t>
        </is>
      </c>
    </row>
    <row r="8814">
      <c r="A8814" s="1" t="n">
        <v>8813</v>
      </c>
      <c r="B8814">
        <f>TEXT(8813, "[$-0E0000]yyyy-mm-dd")</f>
        <v/>
      </c>
      <c r="C8814" t="inlineStr">
        <is>
          <t>1924-01-13</t>
        </is>
      </c>
    </row>
    <row r="8815">
      <c r="A8815" s="1" t="n">
        <v>8814</v>
      </c>
      <c r="B8815">
        <f>TEXT(8814, "[$-0E0000]yyyy-mm-dd")</f>
        <v/>
      </c>
      <c r="C8815" t="inlineStr">
        <is>
          <t>1924-01-14</t>
        </is>
      </c>
    </row>
    <row r="8816">
      <c r="A8816" s="1" t="n">
        <v>8815</v>
      </c>
      <c r="B8816">
        <f>TEXT(8815, "[$-0E0000]yyyy-mm-dd")</f>
        <v/>
      </c>
      <c r="C8816" t="inlineStr">
        <is>
          <t>1924-01-15</t>
        </is>
      </c>
    </row>
    <row r="8817">
      <c r="A8817" s="1" t="n">
        <v>8816</v>
      </c>
      <c r="B8817">
        <f>TEXT(8816, "[$-0E0000]yyyy-mm-dd")</f>
        <v/>
      </c>
      <c r="C8817" t="inlineStr">
        <is>
          <t>1924-01-16</t>
        </is>
      </c>
    </row>
    <row r="8818">
      <c r="A8818" s="1" t="n">
        <v>8817</v>
      </c>
      <c r="B8818">
        <f>TEXT(8817, "[$-0E0000]yyyy-mm-dd")</f>
        <v/>
      </c>
      <c r="C8818" t="inlineStr">
        <is>
          <t>1924-01-17</t>
        </is>
      </c>
    </row>
    <row r="8819">
      <c r="A8819" s="1" t="n">
        <v>8818</v>
      </c>
      <c r="B8819">
        <f>TEXT(8818, "[$-0E0000]yyyy-mm-dd")</f>
        <v/>
      </c>
      <c r="C8819" t="inlineStr">
        <is>
          <t>1924-01-18</t>
        </is>
      </c>
    </row>
    <row r="8820">
      <c r="A8820" s="1" t="n">
        <v>8819</v>
      </c>
      <c r="B8820">
        <f>TEXT(8819, "[$-0E0000]yyyy-mm-dd")</f>
        <v/>
      </c>
      <c r="C8820" t="inlineStr">
        <is>
          <t>1924-01-19</t>
        </is>
      </c>
    </row>
    <row r="8821">
      <c r="A8821" s="1" t="n">
        <v>8820</v>
      </c>
      <c r="B8821">
        <f>TEXT(8820, "[$-0E0000]yyyy-mm-dd")</f>
        <v/>
      </c>
      <c r="C8821" t="inlineStr">
        <is>
          <t>1924-01-20</t>
        </is>
      </c>
    </row>
    <row r="8822">
      <c r="A8822" s="1" t="n">
        <v>8821</v>
      </c>
      <c r="B8822">
        <f>TEXT(8821, "[$-0E0000]yyyy-mm-dd")</f>
        <v/>
      </c>
      <c r="C8822" t="inlineStr">
        <is>
          <t>1924-01-21</t>
        </is>
      </c>
    </row>
    <row r="8823">
      <c r="A8823" s="1" t="n">
        <v>8822</v>
      </c>
      <c r="B8823">
        <f>TEXT(8822, "[$-0E0000]yyyy-mm-dd")</f>
        <v/>
      </c>
      <c r="C8823" t="inlineStr">
        <is>
          <t>1924-01-22</t>
        </is>
      </c>
    </row>
    <row r="8824">
      <c r="A8824" s="1" t="n">
        <v>8823</v>
      </c>
      <c r="B8824">
        <f>TEXT(8823, "[$-0E0000]yyyy-mm-dd")</f>
        <v/>
      </c>
      <c r="C8824" t="inlineStr">
        <is>
          <t>1924-01-23</t>
        </is>
      </c>
    </row>
    <row r="8825">
      <c r="A8825" s="1" t="n">
        <v>8824</v>
      </c>
      <c r="B8825">
        <f>TEXT(8824, "[$-0E0000]yyyy-mm-dd")</f>
        <v/>
      </c>
      <c r="C8825" t="inlineStr">
        <is>
          <t>1924-01-24</t>
        </is>
      </c>
    </row>
    <row r="8826">
      <c r="A8826" s="1" t="n">
        <v>8825</v>
      </c>
      <c r="B8826">
        <f>TEXT(8825, "[$-0E0000]yyyy-mm-dd")</f>
        <v/>
      </c>
      <c r="C8826" t="inlineStr">
        <is>
          <t>1924-01-25</t>
        </is>
      </c>
    </row>
    <row r="8827">
      <c r="A8827" s="1" t="n">
        <v>8826</v>
      </c>
      <c r="B8827">
        <f>TEXT(8826, "[$-0E0000]yyyy-mm-dd")</f>
        <v/>
      </c>
      <c r="C8827" t="inlineStr">
        <is>
          <t>1924-01-26</t>
        </is>
      </c>
    </row>
    <row r="8828">
      <c r="A8828" s="1" t="n">
        <v>8827</v>
      </c>
      <c r="B8828">
        <f>TEXT(8827, "[$-0E0000]yyyy-mm-dd")</f>
        <v/>
      </c>
      <c r="C8828" t="inlineStr">
        <is>
          <t>1924-01-27</t>
        </is>
      </c>
    </row>
    <row r="8829">
      <c r="A8829" s="1" t="n">
        <v>8828</v>
      </c>
      <c r="B8829">
        <f>TEXT(8828, "[$-0E0000]yyyy-mm-dd")</f>
        <v/>
      </c>
      <c r="C8829" t="inlineStr">
        <is>
          <t>1924-01-28</t>
        </is>
      </c>
    </row>
    <row r="8830">
      <c r="A8830" s="1" t="n">
        <v>8829</v>
      </c>
      <c r="B8830">
        <f>TEXT(8829, "[$-0E0000]yyyy-mm-dd")</f>
        <v/>
      </c>
      <c r="C8830" t="inlineStr">
        <is>
          <t>1924-01-29</t>
        </is>
      </c>
    </row>
    <row r="8831">
      <c r="A8831" s="1" t="n">
        <v>8830</v>
      </c>
      <c r="B8831">
        <f>TEXT(8830, "[$-0E0000]yyyy-mm-dd")</f>
        <v/>
      </c>
      <c r="C8831" t="inlineStr">
        <is>
          <t>1924-02-01</t>
        </is>
      </c>
    </row>
    <row r="8832">
      <c r="A8832" s="1" t="n">
        <v>8831</v>
      </c>
      <c r="B8832">
        <f>TEXT(8831, "[$-0E0000]yyyy-mm-dd")</f>
        <v/>
      </c>
      <c r="C8832" t="inlineStr">
        <is>
          <t>1924-02-02</t>
        </is>
      </c>
    </row>
    <row r="8833">
      <c r="A8833" s="1" t="n">
        <v>8832</v>
      </c>
      <c r="B8833">
        <f>TEXT(8832, "[$-0E0000]yyyy-mm-dd")</f>
        <v/>
      </c>
      <c r="C8833" t="inlineStr">
        <is>
          <t>1924-02-03</t>
        </is>
      </c>
    </row>
    <row r="8834">
      <c r="A8834" s="1" t="n">
        <v>8833</v>
      </c>
      <c r="B8834">
        <f>TEXT(8833, "[$-0E0000]yyyy-mm-dd")</f>
        <v/>
      </c>
      <c r="C8834" t="inlineStr">
        <is>
          <t>1924-02-04</t>
        </is>
      </c>
    </row>
    <row r="8835">
      <c r="A8835" s="1" t="n">
        <v>8834</v>
      </c>
      <c r="B8835">
        <f>TEXT(8834, "[$-0E0000]yyyy-mm-dd")</f>
        <v/>
      </c>
      <c r="C8835" t="inlineStr">
        <is>
          <t>1924-02-05</t>
        </is>
      </c>
    </row>
    <row r="8836">
      <c r="A8836" s="1" t="n">
        <v>8835</v>
      </c>
      <c r="B8836">
        <f>TEXT(8835, "[$-0E0000]yyyy-mm-dd")</f>
        <v/>
      </c>
      <c r="C8836" t="inlineStr">
        <is>
          <t>1924-02-06</t>
        </is>
      </c>
    </row>
    <row r="8837">
      <c r="A8837" s="1" t="n">
        <v>8836</v>
      </c>
      <c r="B8837">
        <f>TEXT(8836, "[$-0E0000]yyyy-mm-dd")</f>
        <v/>
      </c>
      <c r="C8837" t="inlineStr">
        <is>
          <t>1924-02-07</t>
        </is>
      </c>
    </row>
    <row r="8838">
      <c r="A8838" s="1" t="n">
        <v>8837</v>
      </c>
      <c r="B8838">
        <f>TEXT(8837, "[$-0E0000]yyyy-mm-dd")</f>
        <v/>
      </c>
      <c r="C8838" t="inlineStr">
        <is>
          <t>1924-02-08</t>
        </is>
      </c>
    </row>
    <row r="8839">
      <c r="A8839" s="1" t="n">
        <v>8838</v>
      </c>
      <c r="B8839">
        <f>TEXT(8838, "[$-0E0000]yyyy-mm-dd")</f>
        <v/>
      </c>
      <c r="C8839" t="inlineStr">
        <is>
          <t>1924-02-09</t>
        </is>
      </c>
    </row>
    <row r="8840">
      <c r="A8840" s="1" t="n">
        <v>8839</v>
      </c>
      <c r="B8840">
        <f>TEXT(8839, "[$-0E0000]yyyy-mm-dd")</f>
        <v/>
      </c>
      <c r="C8840" t="inlineStr">
        <is>
          <t>1924-02-10</t>
        </is>
      </c>
    </row>
    <row r="8841">
      <c r="A8841" s="1" t="n">
        <v>8840</v>
      </c>
      <c r="B8841">
        <f>TEXT(8840, "[$-0E0000]yyyy-mm-dd")</f>
        <v/>
      </c>
      <c r="C8841" t="inlineStr">
        <is>
          <t>1924-02-11</t>
        </is>
      </c>
    </row>
    <row r="8842">
      <c r="A8842" s="1" t="n">
        <v>8841</v>
      </c>
      <c r="B8842">
        <f>TEXT(8841, "[$-0E0000]yyyy-mm-dd")</f>
        <v/>
      </c>
      <c r="C8842" t="inlineStr">
        <is>
          <t>1924-02-12</t>
        </is>
      </c>
    </row>
    <row r="8843">
      <c r="A8843" s="1" t="n">
        <v>8842</v>
      </c>
      <c r="B8843">
        <f>TEXT(8842, "[$-0E0000]yyyy-mm-dd")</f>
        <v/>
      </c>
      <c r="C8843" t="inlineStr">
        <is>
          <t>1924-02-13</t>
        </is>
      </c>
    </row>
    <row r="8844">
      <c r="A8844" s="1" t="n">
        <v>8843</v>
      </c>
      <c r="B8844">
        <f>TEXT(8843, "[$-0E0000]yyyy-mm-dd")</f>
        <v/>
      </c>
      <c r="C8844" t="inlineStr">
        <is>
          <t>1924-02-14</t>
        </is>
      </c>
    </row>
    <row r="8845">
      <c r="A8845" s="1" t="n">
        <v>8844</v>
      </c>
      <c r="B8845">
        <f>TEXT(8844, "[$-0E0000]yyyy-mm-dd")</f>
        <v/>
      </c>
      <c r="C8845" t="inlineStr">
        <is>
          <t>1924-02-15</t>
        </is>
      </c>
    </row>
    <row r="8846">
      <c r="A8846" s="1" t="n">
        <v>8845</v>
      </c>
      <c r="B8846">
        <f>TEXT(8845, "[$-0E0000]yyyy-mm-dd")</f>
        <v/>
      </c>
      <c r="C8846" t="inlineStr">
        <is>
          <t>1924-02-16</t>
        </is>
      </c>
    </row>
    <row r="8847">
      <c r="A8847" s="1" t="n">
        <v>8846</v>
      </c>
      <c r="B8847">
        <f>TEXT(8846, "[$-0E0000]yyyy-mm-dd")</f>
        <v/>
      </c>
      <c r="C8847" t="inlineStr">
        <is>
          <t>1924-02-17</t>
        </is>
      </c>
    </row>
    <row r="8848">
      <c r="A8848" s="1" t="n">
        <v>8847</v>
      </c>
      <c r="B8848">
        <f>TEXT(8847, "[$-0E0000]yyyy-mm-dd")</f>
        <v/>
      </c>
      <c r="C8848" t="inlineStr">
        <is>
          <t>1924-02-18</t>
        </is>
      </c>
    </row>
    <row r="8849">
      <c r="A8849" s="1" t="n">
        <v>8848</v>
      </c>
      <c r="B8849">
        <f>TEXT(8848, "[$-0E0000]yyyy-mm-dd")</f>
        <v/>
      </c>
      <c r="C8849" t="inlineStr">
        <is>
          <t>1924-02-19</t>
        </is>
      </c>
    </row>
    <row r="8850">
      <c r="A8850" s="1" t="n">
        <v>8849</v>
      </c>
      <c r="B8850">
        <f>TEXT(8849, "[$-0E0000]yyyy-mm-dd")</f>
        <v/>
      </c>
      <c r="C8850" t="inlineStr">
        <is>
          <t>1924-02-20</t>
        </is>
      </c>
    </row>
    <row r="8851">
      <c r="A8851" s="1" t="n">
        <v>8850</v>
      </c>
      <c r="B8851">
        <f>TEXT(8850, "[$-0E0000]yyyy-mm-dd")</f>
        <v/>
      </c>
      <c r="C8851" t="inlineStr">
        <is>
          <t>1924-02-21</t>
        </is>
      </c>
    </row>
    <row r="8852">
      <c r="A8852" s="1" t="n">
        <v>8851</v>
      </c>
      <c r="B8852">
        <f>TEXT(8851, "[$-0E0000]yyyy-mm-dd")</f>
        <v/>
      </c>
      <c r="C8852" t="inlineStr">
        <is>
          <t>1924-02-22</t>
        </is>
      </c>
    </row>
    <row r="8853">
      <c r="A8853" s="1" t="n">
        <v>8852</v>
      </c>
      <c r="B8853">
        <f>TEXT(8852, "[$-0E0000]yyyy-mm-dd")</f>
        <v/>
      </c>
      <c r="C8853" t="inlineStr">
        <is>
          <t>1924-02-23</t>
        </is>
      </c>
    </row>
    <row r="8854">
      <c r="A8854" s="1" t="n">
        <v>8853</v>
      </c>
      <c r="B8854">
        <f>TEXT(8853, "[$-0E0000]yyyy-mm-dd")</f>
        <v/>
      </c>
      <c r="C8854" t="inlineStr">
        <is>
          <t>1924-02-24</t>
        </is>
      </c>
    </row>
    <row r="8855">
      <c r="A8855" s="1" t="n">
        <v>8854</v>
      </c>
      <c r="B8855">
        <f>TEXT(8854, "[$-0E0000]yyyy-mm-dd")</f>
        <v/>
      </c>
      <c r="C8855" t="inlineStr">
        <is>
          <t>1924-02-25</t>
        </is>
      </c>
    </row>
    <row r="8856">
      <c r="A8856" s="1" t="n">
        <v>8855</v>
      </c>
      <c r="B8856">
        <f>TEXT(8855, "[$-0E0000]yyyy-mm-dd")</f>
        <v/>
      </c>
      <c r="C8856" t="inlineStr">
        <is>
          <t>1924-02-26</t>
        </is>
      </c>
    </row>
    <row r="8857">
      <c r="A8857" s="1" t="n">
        <v>8856</v>
      </c>
      <c r="B8857">
        <f>TEXT(8856, "[$-0E0000]yyyy-mm-dd")</f>
        <v/>
      </c>
      <c r="C8857" t="inlineStr">
        <is>
          <t>1924-02-27</t>
        </is>
      </c>
    </row>
    <row r="8858">
      <c r="A8858" s="1" t="n">
        <v>8857</v>
      </c>
      <c r="B8858">
        <f>TEXT(8857, "[$-0E0000]yyyy-mm-dd")</f>
        <v/>
      </c>
      <c r="C8858" t="inlineStr">
        <is>
          <t>1924-02-28</t>
        </is>
      </c>
    </row>
    <row r="8859">
      <c r="A8859" s="1" t="n">
        <v>8858</v>
      </c>
      <c r="B8859">
        <f>TEXT(8858, "[$-0E0000]yyyy-mm-dd")</f>
        <v/>
      </c>
      <c r="C8859" t="inlineStr">
        <is>
          <t>1924-02-29</t>
        </is>
      </c>
    </row>
    <row r="8860">
      <c r="A8860" s="1" t="n">
        <v>8859</v>
      </c>
      <c r="B8860">
        <f>TEXT(8859, "[$-0E0000]yyyy-mm-dd")</f>
        <v/>
      </c>
      <c r="C8860" t="inlineStr">
        <is>
          <t>1924-02-30</t>
        </is>
      </c>
    </row>
    <row r="8861">
      <c r="A8861" s="1" t="n">
        <v>8860</v>
      </c>
      <c r="B8861">
        <f>TEXT(8860, "[$-0E0000]yyyy-mm-dd")</f>
        <v/>
      </c>
      <c r="C8861" t="inlineStr">
        <is>
          <t>1924-03-01</t>
        </is>
      </c>
    </row>
    <row r="8862">
      <c r="A8862" s="1" t="n">
        <v>8861</v>
      </c>
      <c r="B8862">
        <f>TEXT(8861, "[$-0E0000]yyyy-mm-dd")</f>
        <v/>
      </c>
      <c r="C8862" t="inlineStr">
        <is>
          <t>1924-03-02</t>
        </is>
      </c>
    </row>
    <row r="8863">
      <c r="A8863" s="1" t="n">
        <v>8862</v>
      </c>
      <c r="B8863">
        <f>TEXT(8862, "[$-0E0000]yyyy-mm-dd")</f>
        <v/>
      </c>
      <c r="C8863" t="inlineStr">
        <is>
          <t>1924-03-03</t>
        </is>
      </c>
    </row>
    <row r="8864">
      <c r="A8864" s="1" t="n">
        <v>8863</v>
      </c>
      <c r="B8864">
        <f>TEXT(8863, "[$-0E0000]yyyy-mm-dd")</f>
        <v/>
      </c>
      <c r="C8864" t="inlineStr">
        <is>
          <t>1924-03-04</t>
        </is>
      </c>
    </row>
    <row r="8865">
      <c r="A8865" s="1" t="n">
        <v>8864</v>
      </c>
      <c r="B8865">
        <f>TEXT(8864, "[$-0E0000]yyyy-mm-dd")</f>
        <v/>
      </c>
      <c r="C8865" t="inlineStr">
        <is>
          <t>1924-03-05</t>
        </is>
      </c>
    </row>
    <row r="8866">
      <c r="A8866" s="1" t="n">
        <v>8865</v>
      </c>
      <c r="B8866">
        <f>TEXT(8865, "[$-0E0000]yyyy-mm-dd")</f>
        <v/>
      </c>
      <c r="C8866" t="inlineStr">
        <is>
          <t>1924-03-06</t>
        </is>
      </c>
    </row>
    <row r="8867">
      <c r="A8867" s="1" t="n">
        <v>8866</v>
      </c>
      <c r="B8867">
        <f>TEXT(8866, "[$-0E0000]yyyy-mm-dd")</f>
        <v/>
      </c>
      <c r="C8867" t="inlineStr">
        <is>
          <t>1924-03-07</t>
        </is>
      </c>
    </row>
    <row r="8868">
      <c r="A8868" s="1" t="n">
        <v>8867</v>
      </c>
      <c r="B8868">
        <f>TEXT(8867, "[$-0E0000]yyyy-mm-dd")</f>
        <v/>
      </c>
      <c r="C8868" t="inlineStr">
        <is>
          <t>1924-03-08</t>
        </is>
      </c>
    </row>
    <row r="8869">
      <c r="A8869" s="1" t="n">
        <v>8868</v>
      </c>
      <c r="B8869">
        <f>TEXT(8868, "[$-0E0000]yyyy-mm-dd")</f>
        <v/>
      </c>
      <c r="C8869" t="inlineStr">
        <is>
          <t>1924-03-09</t>
        </is>
      </c>
    </row>
    <row r="8870">
      <c r="A8870" s="1" t="n">
        <v>8869</v>
      </c>
      <c r="B8870">
        <f>TEXT(8869, "[$-0E0000]yyyy-mm-dd")</f>
        <v/>
      </c>
      <c r="C8870" t="inlineStr">
        <is>
          <t>1924-03-10</t>
        </is>
      </c>
    </row>
    <row r="8871">
      <c r="A8871" s="1" t="n">
        <v>8870</v>
      </c>
      <c r="B8871">
        <f>TEXT(8870, "[$-0E0000]yyyy-mm-dd")</f>
        <v/>
      </c>
      <c r="C8871" t="inlineStr">
        <is>
          <t>1924-03-11</t>
        </is>
      </c>
    </row>
    <row r="8872">
      <c r="A8872" s="1" t="n">
        <v>8871</v>
      </c>
      <c r="B8872">
        <f>TEXT(8871, "[$-0E0000]yyyy-mm-dd")</f>
        <v/>
      </c>
      <c r="C8872" t="inlineStr">
        <is>
          <t>1924-03-12</t>
        </is>
      </c>
    </row>
    <row r="8873">
      <c r="A8873" s="1" t="n">
        <v>8872</v>
      </c>
      <c r="B8873">
        <f>TEXT(8872, "[$-0E0000]yyyy-mm-dd")</f>
        <v/>
      </c>
      <c r="C8873" t="inlineStr">
        <is>
          <t>1924-03-13</t>
        </is>
      </c>
    </row>
    <row r="8874">
      <c r="A8874" s="1" t="n">
        <v>8873</v>
      </c>
      <c r="B8874">
        <f>TEXT(8873, "[$-0E0000]yyyy-mm-dd")</f>
        <v/>
      </c>
      <c r="C8874" t="inlineStr">
        <is>
          <t>1924-03-14</t>
        </is>
      </c>
    </row>
    <row r="8875">
      <c r="A8875" s="1" t="n">
        <v>8874</v>
      </c>
      <c r="B8875">
        <f>TEXT(8874, "[$-0E0000]yyyy-mm-dd")</f>
        <v/>
      </c>
      <c r="C8875" t="inlineStr">
        <is>
          <t>1924-03-15</t>
        </is>
      </c>
    </row>
    <row r="8876">
      <c r="A8876" s="1" t="n">
        <v>8875</v>
      </c>
      <c r="B8876">
        <f>TEXT(8875, "[$-0E0000]yyyy-mm-dd")</f>
        <v/>
      </c>
      <c r="C8876" t="inlineStr">
        <is>
          <t>1924-03-16</t>
        </is>
      </c>
    </row>
    <row r="8877">
      <c r="A8877" s="1" t="n">
        <v>8876</v>
      </c>
      <c r="B8877">
        <f>TEXT(8876, "[$-0E0000]yyyy-mm-dd")</f>
        <v/>
      </c>
      <c r="C8877" t="inlineStr">
        <is>
          <t>1924-03-17</t>
        </is>
      </c>
    </row>
    <row r="8878">
      <c r="A8878" s="1" t="n">
        <v>8877</v>
      </c>
      <c r="B8878">
        <f>TEXT(8877, "[$-0E0000]yyyy-mm-dd")</f>
        <v/>
      </c>
      <c r="C8878" t="inlineStr">
        <is>
          <t>1924-03-18</t>
        </is>
      </c>
    </row>
    <row r="8879">
      <c r="A8879" s="1" t="n">
        <v>8878</v>
      </c>
      <c r="B8879">
        <f>TEXT(8878, "[$-0E0000]yyyy-mm-dd")</f>
        <v/>
      </c>
      <c r="C8879" t="inlineStr">
        <is>
          <t>1924-03-19</t>
        </is>
      </c>
    </row>
    <row r="8880">
      <c r="A8880" s="1" t="n">
        <v>8879</v>
      </c>
      <c r="B8880">
        <f>TEXT(8879, "[$-0E0000]yyyy-mm-dd")</f>
        <v/>
      </c>
      <c r="C8880" t="inlineStr">
        <is>
          <t>1924-03-20</t>
        </is>
      </c>
    </row>
    <row r="8881">
      <c r="A8881" s="1" t="n">
        <v>8880</v>
      </c>
      <c r="B8881">
        <f>TEXT(8880, "[$-0E0000]yyyy-mm-dd")</f>
        <v/>
      </c>
      <c r="C8881" t="inlineStr">
        <is>
          <t>1924-03-21</t>
        </is>
      </c>
    </row>
    <row r="8882">
      <c r="A8882" s="1" t="n">
        <v>8881</v>
      </c>
      <c r="B8882">
        <f>TEXT(8881, "[$-0E0000]yyyy-mm-dd")</f>
        <v/>
      </c>
      <c r="C8882" t="inlineStr">
        <is>
          <t>1924-03-22</t>
        </is>
      </c>
    </row>
    <row r="8883">
      <c r="A8883" s="1" t="n">
        <v>8882</v>
      </c>
      <c r="B8883">
        <f>TEXT(8882, "[$-0E0000]yyyy-mm-dd")</f>
        <v/>
      </c>
      <c r="C8883" t="inlineStr">
        <is>
          <t>1924-03-23</t>
        </is>
      </c>
    </row>
    <row r="8884">
      <c r="A8884" s="1" t="n">
        <v>8883</v>
      </c>
      <c r="B8884">
        <f>TEXT(8883, "[$-0E0000]yyyy-mm-dd")</f>
        <v/>
      </c>
      <c r="C8884" t="inlineStr">
        <is>
          <t>1924-03-24</t>
        </is>
      </c>
    </row>
    <row r="8885">
      <c r="A8885" s="1" t="n">
        <v>8884</v>
      </c>
      <c r="B8885">
        <f>TEXT(8884, "[$-0E0000]yyyy-mm-dd")</f>
        <v/>
      </c>
      <c r="C8885" t="inlineStr">
        <is>
          <t>1924-03-25</t>
        </is>
      </c>
    </row>
    <row r="8886">
      <c r="A8886" s="1" t="n">
        <v>8885</v>
      </c>
      <c r="B8886">
        <f>TEXT(8885, "[$-0E0000]yyyy-mm-dd")</f>
        <v/>
      </c>
      <c r="C8886" t="inlineStr">
        <is>
          <t>1924-03-26</t>
        </is>
      </c>
    </row>
    <row r="8887">
      <c r="A8887" s="1" t="n">
        <v>8886</v>
      </c>
      <c r="B8887">
        <f>TEXT(8886, "[$-0E0000]yyyy-mm-dd")</f>
        <v/>
      </c>
      <c r="C8887" t="inlineStr">
        <is>
          <t>1924-03-27</t>
        </is>
      </c>
    </row>
    <row r="8888">
      <c r="A8888" s="1" t="n">
        <v>8887</v>
      </c>
      <c r="B8888">
        <f>TEXT(8887, "[$-0E0000]yyyy-mm-dd")</f>
        <v/>
      </c>
      <c r="C8888" t="inlineStr">
        <is>
          <t>1924-03-28</t>
        </is>
      </c>
    </row>
    <row r="8889">
      <c r="A8889" s="1" t="n">
        <v>8888</v>
      </c>
      <c r="B8889">
        <f>TEXT(8888, "[$-0E0000]yyyy-mm-dd")</f>
        <v/>
      </c>
      <c r="C8889" t="inlineStr">
        <is>
          <t>1924-03-29</t>
        </is>
      </c>
    </row>
    <row r="8890">
      <c r="A8890" s="1" t="n">
        <v>8889</v>
      </c>
      <c r="B8890">
        <f>TEXT(8889, "[$-0E0000]yyyy-mm-dd")</f>
        <v/>
      </c>
      <c r="C8890" t="inlineStr">
        <is>
          <t>1924-03-30</t>
        </is>
      </c>
    </row>
    <row r="8891">
      <c r="A8891" s="1" t="n">
        <v>8890</v>
      </c>
      <c r="B8891">
        <f>TEXT(8890, "[$-0E0000]yyyy-mm-dd")</f>
        <v/>
      </c>
      <c r="C8891" t="inlineStr">
        <is>
          <t>1924-04-01</t>
        </is>
      </c>
    </row>
    <row r="8892">
      <c r="A8892" s="1" t="n">
        <v>8891</v>
      </c>
      <c r="B8892">
        <f>TEXT(8891, "[$-0E0000]yyyy-mm-dd")</f>
        <v/>
      </c>
      <c r="C8892" t="inlineStr">
        <is>
          <t>1924-04-02</t>
        </is>
      </c>
    </row>
    <row r="8893">
      <c r="A8893" s="1" t="n">
        <v>8892</v>
      </c>
      <c r="B8893">
        <f>TEXT(8892, "[$-0E0000]yyyy-mm-dd")</f>
        <v/>
      </c>
      <c r="C8893" t="inlineStr">
        <is>
          <t>1924-04-03</t>
        </is>
      </c>
    </row>
    <row r="8894">
      <c r="A8894" s="1" t="n">
        <v>8893</v>
      </c>
      <c r="B8894">
        <f>TEXT(8893, "[$-0E0000]yyyy-mm-dd")</f>
        <v/>
      </c>
      <c r="C8894" t="inlineStr">
        <is>
          <t>1924-04-04</t>
        </is>
      </c>
    </row>
    <row r="8895">
      <c r="A8895" s="1" t="n">
        <v>8894</v>
      </c>
      <c r="B8895">
        <f>TEXT(8894, "[$-0E0000]yyyy-mm-dd")</f>
        <v/>
      </c>
      <c r="C8895" t="inlineStr">
        <is>
          <t>1924-04-05</t>
        </is>
      </c>
    </row>
    <row r="8896">
      <c r="A8896" s="1" t="n">
        <v>8895</v>
      </c>
      <c r="B8896">
        <f>TEXT(8895, "[$-0E0000]yyyy-mm-dd")</f>
        <v/>
      </c>
      <c r="C8896" t="inlineStr">
        <is>
          <t>1924-04-06</t>
        </is>
      </c>
    </row>
    <row r="8897">
      <c r="A8897" s="1" t="n">
        <v>8896</v>
      </c>
      <c r="B8897">
        <f>TEXT(8896, "[$-0E0000]yyyy-mm-dd")</f>
        <v/>
      </c>
      <c r="C8897" t="inlineStr">
        <is>
          <t>1924-04-07</t>
        </is>
      </c>
    </row>
    <row r="8898">
      <c r="A8898" s="1" t="n">
        <v>8897</v>
      </c>
      <c r="B8898">
        <f>TEXT(8897, "[$-0E0000]yyyy-mm-dd")</f>
        <v/>
      </c>
      <c r="C8898" t="inlineStr">
        <is>
          <t>1924-04-08</t>
        </is>
      </c>
    </row>
    <row r="8899">
      <c r="A8899" s="1" t="n">
        <v>8898</v>
      </c>
      <c r="B8899">
        <f>TEXT(8898, "[$-0E0000]yyyy-mm-dd")</f>
        <v/>
      </c>
      <c r="C8899" t="inlineStr">
        <is>
          <t>1924-04-09</t>
        </is>
      </c>
    </row>
    <row r="8900">
      <c r="A8900" s="1" t="n">
        <v>8899</v>
      </c>
      <c r="B8900">
        <f>TEXT(8899, "[$-0E0000]yyyy-mm-dd")</f>
        <v/>
      </c>
      <c r="C8900" t="inlineStr">
        <is>
          <t>1924-04-10</t>
        </is>
      </c>
    </row>
    <row r="8901">
      <c r="A8901" s="1" t="n">
        <v>8900</v>
      </c>
      <c r="B8901">
        <f>TEXT(8900, "[$-0E0000]yyyy-mm-dd")</f>
        <v/>
      </c>
      <c r="C8901" t="inlineStr">
        <is>
          <t>1924-04-11</t>
        </is>
      </c>
    </row>
    <row r="8902">
      <c r="A8902" s="1" t="n">
        <v>8901</v>
      </c>
      <c r="B8902">
        <f>TEXT(8901, "[$-0E0000]yyyy-mm-dd")</f>
        <v/>
      </c>
      <c r="C8902" t="inlineStr">
        <is>
          <t>1924-04-12</t>
        </is>
      </c>
    </row>
    <row r="8903">
      <c r="A8903" s="1" t="n">
        <v>8902</v>
      </c>
      <c r="B8903">
        <f>TEXT(8902, "[$-0E0000]yyyy-mm-dd")</f>
        <v/>
      </c>
      <c r="C8903" t="inlineStr">
        <is>
          <t>1924-04-13</t>
        </is>
      </c>
    </row>
    <row r="8904">
      <c r="A8904" s="1" t="n">
        <v>8903</v>
      </c>
      <c r="B8904">
        <f>TEXT(8903, "[$-0E0000]yyyy-mm-dd")</f>
        <v/>
      </c>
      <c r="C8904" t="inlineStr">
        <is>
          <t>1924-04-14</t>
        </is>
      </c>
    </row>
    <row r="8905">
      <c r="A8905" s="1" t="n">
        <v>8904</v>
      </c>
      <c r="B8905">
        <f>TEXT(8904, "[$-0E0000]yyyy-mm-dd")</f>
        <v/>
      </c>
      <c r="C8905" t="inlineStr">
        <is>
          <t>1924-04-15</t>
        </is>
      </c>
    </row>
    <row r="8906">
      <c r="A8906" s="1" t="n">
        <v>8905</v>
      </c>
      <c r="B8906">
        <f>TEXT(8905, "[$-0E0000]yyyy-mm-dd")</f>
        <v/>
      </c>
      <c r="C8906" t="inlineStr">
        <is>
          <t>1924-04-16</t>
        </is>
      </c>
    </row>
    <row r="8907">
      <c r="A8907" s="1" t="n">
        <v>8906</v>
      </c>
      <c r="B8907">
        <f>TEXT(8906, "[$-0E0000]yyyy-mm-dd")</f>
        <v/>
      </c>
      <c r="C8907" t="inlineStr">
        <is>
          <t>1924-04-17</t>
        </is>
      </c>
    </row>
    <row r="8908">
      <c r="A8908" s="1" t="n">
        <v>8907</v>
      </c>
      <c r="B8908">
        <f>TEXT(8907, "[$-0E0000]yyyy-mm-dd")</f>
        <v/>
      </c>
      <c r="C8908" t="inlineStr">
        <is>
          <t>1924-04-18</t>
        </is>
      </c>
    </row>
    <row r="8909">
      <c r="A8909" s="1" t="n">
        <v>8908</v>
      </c>
      <c r="B8909">
        <f>TEXT(8908, "[$-0E0000]yyyy-mm-dd")</f>
        <v/>
      </c>
      <c r="C8909" t="inlineStr">
        <is>
          <t>1924-04-19</t>
        </is>
      </c>
    </row>
    <row r="8910">
      <c r="A8910" s="1" t="n">
        <v>8909</v>
      </c>
      <c r="B8910">
        <f>TEXT(8909, "[$-0E0000]yyyy-mm-dd")</f>
        <v/>
      </c>
      <c r="C8910" t="inlineStr">
        <is>
          <t>1924-04-20</t>
        </is>
      </c>
    </row>
    <row r="8911">
      <c r="A8911" s="1" t="n">
        <v>8910</v>
      </c>
      <c r="B8911">
        <f>TEXT(8910, "[$-0E0000]yyyy-mm-dd")</f>
        <v/>
      </c>
      <c r="C8911" t="inlineStr">
        <is>
          <t>1924-04-21</t>
        </is>
      </c>
    </row>
    <row r="8912">
      <c r="A8912" s="1" t="n">
        <v>8911</v>
      </c>
      <c r="B8912">
        <f>TEXT(8911, "[$-0E0000]yyyy-mm-dd")</f>
        <v/>
      </c>
      <c r="C8912" t="inlineStr">
        <is>
          <t>1924-04-22</t>
        </is>
      </c>
    </row>
    <row r="8913">
      <c r="A8913" s="1" t="n">
        <v>8912</v>
      </c>
      <c r="B8913">
        <f>TEXT(8912, "[$-0E0000]yyyy-mm-dd")</f>
        <v/>
      </c>
      <c r="C8913" t="inlineStr">
        <is>
          <t>1924-04-23</t>
        </is>
      </c>
    </row>
    <row r="8914">
      <c r="A8914" s="1" t="n">
        <v>8913</v>
      </c>
      <c r="B8914">
        <f>TEXT(8913, "[$-0E0000]yyyy-mm-dd")</f>
        <v/>
      </c>
      <c r="C8914" t="inlineStr">
        <is>
          <t>1924-04-24</t>
        </is>
      </c>
    </row>
    <row r="8915">
      <c r="A8915" s="1" t="n">
        <v>8914</v>
      </c>
      <c r="B8915">
        <f>TEXT(8914, "[$-0E0000]yyyy-mm-dd")</f>
        <v/>
      </c>
      <c r="C8915" t="inlineStr">
        <is>
          <t>1924-04-25</t>
        </is>
      </c>
    </row>
    <row r="8916">
      <c r="A8916" s="1" t="n">
        <v>8915</v>
      </c>
      <c r="B8916">
        <f>TEXT(8915, "[$-0E0000]yyyy-mm-dd")</f>
        <v/>
      </c>
      <c r="C8916" t="inlineStr">
        <is>
          <t>1924-04-26</t>
        </is>
      </c>
    </row>
    <row r="8917">
      <c r="A8917" s="1" t="n">
        <v>8916</v>
      </c>
      <c r="B8917">
        <f>TEXT(8916, "[$-0E0000]yyyy-mm-dd")</f>
        <v/>
      </c>
      <c r="C8917" t="inlineStr">
        <is>
          <t>1924-04-27</t>
        </is>
      </c>
    </row>
    <row r="8918">
      <c r="A8918" s="1" t="n">
        <v>8917</v>
      </c>
      <c r="B8918">
        <f>TEXT(8917, "[$-0E0000]yyyy-mm-dd")</f>
        <v/>
      </c>
      <c r="C8918" t="inlineStr">
        <is>
          <t>1924-04-28</t>
        </is>
      </c>
    </row>
    <row r="8919">
      <c r="A8919" s="1" t="n">
        <v>8918</v>
      </c>
      <c r="B8919">
        <f>TEXT(8918, "[$-0E0000]yyyy-mm-dd")</f>
        <v/>
      </c>
      <c r="C8919" t="inlineStr">
        <is>
          <t>1924-04-29</t>
        </is>
      </c>
    </row>
    <row r="8920">
      <c r="A8920" s="1" t="n">
        <v>8919</v>
      </c>
      <c r="B8920">
        <f>TEXT(8919, "[$-0E0000]yyyy-mm-dd")</f>
        <v/>
      </c>
      <c r="C8920" t="inlineStr">
        <is>
          <t>1924-05-01</t>
        </is>
      </c>
    </row>
    <row r="8921">
      <c r="A8921" s="1" t="n">
        <v>8920</v>
      </c>
      <c r="B8921">
        <f>TEXT(8920, "[$-0E0000]yyyy-mm-dd")</f>
        <v/>
      </c>
      <c r="C8921" t="inlineStr">
        <is>
          <t>1924-05-02</t>
        </is>
      </c>
    </row>
    <row r="8922">
      <c r="A8922" s="1" t="n">
        <v>8921</v>
      </c>
      <c r="B8922">
        <f>TEXT(8921, "[$-0E0000]yyyy-mm-dd")</f>
        <v/>
      </c>
      <c r="C8922" t="inlineStr">
        <is>
          <t>1924-05-03</t>
        </is>
      </c>
    </row>
    <row r="8923">
      <c r="A8923" s="1" t="n">
        <v>8922</v>
      </c>
      <c r="B8923">
        <f>TEXT(8922, "[$-0E0000]yyyy-mm-dd")</f>
        <v/>
      </c>
      <c r="C8923" t="inlineStr">
        <is>
          <t>1924-05-04</t>
        </is>
      </c>
    </row>
    <row r="8924">
      <c r="A8924" s="1" t="n">
        <v>8923</v>
      </c>
      <c r="B8924">
        <f>TEXT(8923, "[$-0E0000]yyyy-mm-dd")</f>
        <v/>
      </c>
      <c r="C8924" t="inlineStr">
        <is>
          <t>1924-05-05</t>
        </is>
      </c>
    </row>
    <row r="8925">
      <c r="A8925" s="1" t="n">
        <v>8924</v>
      </c>
      <c r="B8925">
        <f>TEXT(8924, "[$-0E0000]yyyy-mm-dd")</f>
        <v/>
      </c>
      <c r="C8925" t="inlineStr">
        <is>
          <t>1924-05-06</t>
        </is>
      </c>
    </row>
    <row r="8926">
      <c r="A8926" s="1" t="n">
        <v>8925</v>
      </c>
      <c r="B8926">
        <f>TEXT(8925, "[$-0E0000]yyyy-mm-dd")</f>
        <v/>
      </c>
      <c r="C8926" t="inlineStr">
        <is>
          <t>1924-05-07</t>
        </is>
      </c>
    </row>
    <row r="8927">
      <c r="A8927" s="1" t="n">
        <v>8926</v>
      </c>
      <c r="B8927">
        <f>TEXT(8926, "[$-0E0000]yyyy-mm-dd")</f>
        <v/>
      </c>
      <c r="C8927" t="inlineStr">
        <is>
          <t>1924-05-08</t>
        </is>
      </c>
    </row>
    <row r="8928">
      <c r="A8928" s="1" t="n">
        <v>8927</v>
      </c>
      <c r="B8928">
        <f>TEXT(8927, "[$-0E0000]yyyy-mm-dd")</f>
        <v/>
      </c>
      <c r="C8928" t="inlineStr">
        <is>
          <t>1924-05-09</t>
        </is>
      </c>
    </row>
    <row r="8929">
      <c r="A8929" s="1" t="n">
        <v>8928</v>
      </c>
      <c r="B8929">
        <f>TEXT(8928, "[$-0E0000]yyyy-mm-dd")</f>
        <v/>
      </c>
      <c r="C8929" t="inlineStr">
        <is>
          <t>1924-05-10</t>
        </is>
      </c>
    </row>
    <row r="8930">
      <c r="A8930" s="1" t="n">
        <v>8929</v>
      </c>
      <c r="B8930">
        <f>TEXT(8929, "[$-0E0000]yyyy-mm-dd")</f>
        <v/>
      </c>
      <c r="C8930" t="inlineStr">
        <is>
          <t>1924-05-11</t>
        </is>
      </c>
    </row>
    <row r="8931">
      <c r="A8931" s="1" t="n">
        <v>8930</v>
      </c>
      <c r="B8931">
        <f>TEXT(8930, "[$-0E0000]yyyy-mm-dd")</f>
        <v/>
      </c>
      <c r="C8931" t="inlineStr">
        <is>
          <t>1924-05-12</t>
        </is>
      </c>
    </row>
    <row r="8932">
      <c r="A8932" s="1" t="n">
        <v>8931</v>
      </c>
      <c r="B8932">
        <f>TEXT(8931, "[$-0E0000]yyyy-mm-dd")</f>
        <v/>
      </c>
      <c r="C8932" t="inlineStr">
        <is>
          <t>1924-05-13</t>
        </is>
      </c>
    </row>
    <row r="8933">
      <c r="A8933" s="1" t="n">
        <v>8932</v>
      </c>
      <c r="B8933">
        <f>TEXT(8932, "[$-0E0000]yyyy-mm-dd")</f>
        <v/>
      </c>
      <c r="C8933" t="inlineStr">
        <is>
          <t>1924-05-14</t>
        </is>
      </c>
    </row>
    <row r="8934">
      <c r="A8934" s="1" t="n">
        <v>8933</v>
      </c>
      <c r="B8934">
        <f>TEXT(8933, "[$-0E0000]yyyy-mm-dd")</f>
        <v/>
      </c>
      <c r="C8934" t="inlineStr">
        <is>
          <t>1924-05-15</t>
        </is>
      </c>
    </row>
    <row r="8935">
      <c r="A8935" s="1" t="n">
        <v>8934</v>
      </c>
      <c r="B8935">
        <f>TEXT(8934, "[$-0E0000]yyyy-mm-dd")</f>
        <v/>
      </c>
      <c r="C8935" t="inlineStr">
        <is>
          <t>1924-05-16</t>
        </is>
      </c>
    </row>
    <row r="8936">
      <c r="A8936" s="1" t="n">
        <v>8935</v>
      </c>
      <c r="B8936">
        <f>TEXT(8935, "[$-0E0000]yyyy-mm-dd")</f>
        <v/>
      </c>
      <c r="C8936" t="inlineStr">
        <is>
          <t>1924-05-17</t>
        </is>
      </c>
    </row>
    <row r="8937">
      <c r="A8937" s="1" t="n">
        <v>8936</v>
      </c>
      <c r="B8937">
        <f>TEXT(8936, "[$-0E0000]yyyy-mm-dd")</f>
        <v/>
      </c>
      <c r="C8937" t="inlineStr">
        <is>
          <t>1924-05-18</t>
        </is>
      </c>
    </row>
    <row r="8938">
      <c r="A8938" s="1" t="n">
        <v>8937</v>
      </c>
      <c r="B8938">
        <f>TEXT(8937, "[$-0E0000]yyyy-mm-dd")</f>
        <v/>
      </c>
      <c r="C8938" t="inlineStr">
        <is>
          <t>1924-05-19</t>
        </is>
      </c>
    </row>
    <row r="8939">
      <c r="A8939" s="1" t="n">
        <v>8938</v>
      </c>
      <c r="B8939">
        <f>TEXT(8938, "[$-0E0000]yyyy-mm-dd")</f>
        <v/>
      </c>
      <c r="C8939" t="inlineStr">
        <is>
          <t>1924-05-20</t>
        </is>
      </c>
    </row>
    <row r="8940">
      <c r="A8940" s="1" t="n">
        <v>8939</v>
      </c>
      <c r="B8940">
        <f>TEXT(8939, "[$-0E0000]yyyy-mm-dd")</f>
        <v/>
      </c>
      <c r="C8940" t="inlineStr">
        <is>
          <t>1924-05-21</t>
        </is>
      </c>
    </row>
    <row r="8941">
      <c r="A8941" s="1" t="n">
        <v>8940</v>
      </c>
      <c r="B8941">
        <f>TEXT(8940, "[$-0E0000]yyyy-mm-dd")</f>
        <v/>
      </c>
      <c r="C8941" t="inlineStr">
        <is>
          <t>1924-05-22</t>
        </is>
      </c>
    </row>
    <row r="8942">
      <c r="A8942" s="1" t="n">
        <v>8941</v>
      </c>
      <c r="B8942">
        <f>TEXT(8941, "[$-0E0000]yyyy-mm-dd")</f>
        <v/>
      </c>
      <c r="C8942" t="inlineStr">
        <is>
          <t>1924-05-23</t>
        </is>
      </c>
    </row>
    <row r="8943">
      <c r="A8943" s="1" t="n">
        <v>8942</v>
      </c>
      <c r="B8943">
        <f>TEXT(8942, "[$-0E0000]yyyy-mm-dd")</f>
        <v/>
      </c>
      <c r="C8943" t="inlineStr">
        <is>
          <t>1924-05-24</t>
        </is>
      </c>
    </row>
    <row r="8944">
      <c r="A8944" s="1" t="n">
        <v>8943</v>
      </c>
      <c r="B8944">
        <f>TEXT(8943, "[$-0E0000]yyyy-mm-dd")</f>
        <v/>
      </c>
      <c r="C8944" t="inlineStr">
        <is>
          <t>1924-05-25</t>
        </is>
      </c>
    </row>
    <row r="8945">
      <c r="A8945" s="1" t="n">
        <v>8944</v>
      </c>
      <c r="B8945">
        <f>TEXT(8944, "[$-0E0000]yyyy-mm-dd")</f>
        <v/>
      </c>
      <c r="C8945" t="inlineStr">
        <is>
          <t>1924-05-26</t>
        </is>
      </c>
    </row>
    <row r="8946">
      <c r="A8946" s="1" t="n">
        <v>8945</v>
      </c>
      <c r="B8946">
        <f>TEXT(8945, "[$-0E0000]yyyy-mm-dd")</f>
        <v/>
      </c>
      <c r="C8946" t="inlineStr">
        <is>
          <t>1924-05-27</t>
        </is>
      </c>
    </row>
    <row r="8947">
      <c r="A8947" s="1" t="n">
        <v>8946</v>
      </c>
      <c r="B8947">
        <f>TEXT(8946, "[$-0E0000]yyyy-mm-dd")</f>
        <v/>
      </c>
      <c r="C8947" t="inlineStr">
        <is>
          <t>1924-05-28</t>
        </is>
      </c>
    </row>
    <row r="8948">
      <c r="A8948" s="1" t="n">
        <v>8947</v>
      </c>
      <c r="B8948">
        <f>TEXT(8947, "[$-0E0000]yyyy-mm-dd")</f>
        <v/>
      </c>
      <c r="C8948" t="inlineStr">
        <is>
          <t>1924-05-29</t>
        </is>
      </c>
    </row>
    <row r="8949">
      <c r="A8949" s="1" t="n">
        <v>8948</v>
      </c>
      <c r="B8949">
        <f>TEXT(8948, "[$-0E0000]yyyy-mm-dd")</f>
        <v/>
      </c>
      <c r="C8949" t="inlineStr">
        <is>
          <t>1924-05-30</t>
        </is>
      </c>
    </row>
    <row r="8950">
      <c r="A8950" s="1" t="n">
        <v>8949</v>
      </c>
      <c r="B8950">
        <f>TEXT(8949, "[$-0E0000]yyyy-mm-dd")</f>
        <v/>
      </c>
      <c r="C8950" t="inlineStr">
        <is>
          <t>1924-06-01</t>
        </is>
      </c>
    </row>
    <row r="8951">
      <c r="A8951" s="1" t="n">
        <v>8950</v>
      </c>
      <c r="B8951">
        <f>TEXT(8950, "[$-0E0000]yyyy-mm-dd")</f>
        <v/>
      </c>
      <c r="C8951" t="inlineStr">
        <is>
          <t>1924-06-02</t>
        </is>
      </c>
    </row>
    <row r="8952">
      <c r="A8952" s="1" t="n">
        <v>8951</v>
      </c>
      <c r="B8952">
        <f>TEXT(8951, "[$-0E0000]yyyy-mm-dd")</f>
        <v/>
      </c>
      <c r="C8952" t="inlineStr">
        <is>
          <t>1924-06-03</t>
        </is>
      </c>
    </row>
    <row r="8953">
      <c r="A8953" s="1" t="n">
        <v>8952</v>
      </c>
      <c r="B8953">
        <f>TEXT(8952, "[$-0E0000]yyyy-mm-dd")</f>
        <v/>
      </c>
      <c r="C8953" t="inlineStr">
        <is>
          <t>1924-06-04</t>
        </is>
      </c>
    </row>
    <row r="8954">
      <c r="A8954" s="1" t="n">
        <v>8953</v>
      </c>
      <c r="B8954">
        <f>TEXT(8953, "[$-0E0000]yyyy-mm-dd")</f>
        <v/>
      </c>
      <c r="C8954" t="inlineStr">
        <is>
          <t>1924-06-05</t>
        </is>
      </c>
    </row>
    <row r="8955">
      <c r="A8955" s="1" t="n">
        <v>8954</v>
      </c>
      <c r="B8955">
        <f>TEXT(8954, "[$-0E0000]yyyy-mm-dd")</f>
        <v/>
      </c>
      <c r="C8955" t="inlineStr">
        <is>
          <t>1924-06-06</t>
        </is>
      </c>
    </row>
    <row r="8956">
      <c r="A8956" s="1" t="n">
        <v>8955</v>
      </c>
      <c r="B8956">
        <f>TEXT(8955, "[$-0E0000]yyyy-mm-dd")</f>
        <v/>
      </c>
      <c r="C8956" t="inlineStr">
        <is>
          <t>1924-06-07</t>
        </is>
      </c>
    </row>
    <row r="8957">
      <c r="A8957" s="1" t="n">
        <v>8956</v>
      </c>
      <c r="B8957">
        <f>TEXT(8956, "[$-0E0000]yyyy-mm-dd")</f>
        <v/>
      </c>
      <c r="C8957" t="inlineStr">
        <is>
          <t>1924-06-08</t>
        </is>
      </c>
    </row>
    <row r="8958">
      <c r="A8958" s="1" t="n">
        <v>8957</v>
      </c>
      <c r="B8958">
        <f>TEXT(8957, "[$-0E0000]yyyy-mm-dd")</f>
        <v/>
      </c>
      <c r="C8958" t="inlineStr">
        <is>
          <t>1924-06-09</t>
        </is>
      </c>
    </row>
    <row r="8959">
      <c r="A8959" s="1" t="n">
        <v>8958</v>
      </c>
      <c r="B8959">
        <f>TEXT(8958, "[$-0E0000]yyyy-mm-dd")</f>
        <v/>
      </c>
      <c r="C8959" t="inlineStr">
        <is>
          <t>1924-06-10</t>
        </is>
      </c>
    </row>
    <row r="8960">
      <c r="A8960" s="1" t="n">
        <v>8959</v>
      </c>
      <c r="B8960">
        <f>TEXT(8959, "[$-0E0000]yyyy-mm-dd")</f>
        <v/>
      </c>
      <c r="C8960" t="inlineStr">
        <is>
          <t>1924-06-11</t>
        </is>
      </c>
    </row>
    <row r="8961">
      <c r="A8961" s="1" t="n">
        <v>8960</v>
      </c>
      <c r="B8961">
        <f>TEXT(8960, "[$-0E0000]yyyy-mm-dd")</f>
        <v/>
      </c>
      <c r="C8961" t="inlineStr">
        <is>
          <t>1924-06-12</t>
        </is>
      </c>
    </row>
    <row r="8962">
      <c r="A8962" s="1" t="n">
        <v>8961</v>
      </c>
      <c r="B8962">
        <f>TEXT(8961, "[$-0E0000]yyyy-mm-dd")</f>
        <v/>
      </c>
      <c r="C8962" t="inlineStr">
        <is>
          <t>1924-06-13</t>
        </is>
      </c>
    </row>
    <row r="8963">
      <c r="A8963" s="1" t="n">
        <v>8962</v>
      </c>
      <c r="B8963">
        <f>TEXT(8962, "[$-0E0000]yyyy-mm-dd")</f>
        <v/>
      </c>
      <c r="C8963" t="inlineStr">
        <is>
          <t>1924-06-14</t>
        </is>
      </c>
    </row>
    <row r="8964">
      <c r="A8964" s="1" t="n">
        <v>8963</v>
      </c>
      <c r="B8964">
        <f>TEXT(8963, "[$-0E0000]yyyy-mm-dd")</f>
        <v/>
      </c>
      <c r="C8964" t="inlineStr">
        <is>
          <t>1924-06-15</t>
        </is>
      </c>
    </row>
    <row r="8965">
      <c r="A8965" s="1" t="n">
        <v>8964</v>
      </c>
      <c r="B8965">
        <f>TEXT(8964, "[$-0E0000]yyyy-mm-dd")</f>
        <v/>
      </c>
      <c r="C8965" t="inlineStr">
        <is>
          <t>1924-06-16</t>
        </is>
      </c>
    </row>
    <row r="8966">
      <c r="A8966" s="1" t="n">
        <v>8965</v>
      </c>
      <c r="B8966">
        <f>TEXT(8965, "[$-0E0000]yyyy-mm-dd")</f>
        <v/>
      </c>
      <c r="C8966" t="inlineStr">
        <is>
          <t>1924-06-17</t>
        </is>
      </c>
    </row>
    <row r="8967">
      <c r="A8967" s="1" t="n">
        <v>8966</v>
      </c>
      <c r="B8967">
        <f>TEXT(8966, "[$-0E0000]yyyy-mm-dd")</f>
        <v/>
      </c>
      <c r="C8967" t="inlineStr">
        <is>
          <t>1924-06-18</t>
        </is>
      </c>
    </row>
    <row r="8968">
      <c r="A8968" s="1" t="n">
        <v>8967</v>
      </c>
      <c r="B8968">
        <f>TEXT(8967, "[$-0E0000]yyyy-mm-dd")</f>
        <v/>
      </c>
      <c r="C8968" t="inlineStr">
        <is>
          <t>1924-06-19</t>
        </is>
      </c>
    </row>
    <row r="8969">
      <c r="A8969" s="1" t="n">
        <v>8968</v>
      </c>
      <c r="B8969">
        <f>TEXT(8968, "[$-0E0000]yyyy-mm-dd")</f>
        <v/>
      </c>
      <c r="C8969" t="inlineStr">
        <is>
          <t>1924-06-20</t>
        </is>
      </c>
    </row>
    <row r="8970">
      <c r="A8970" s="1" t="n">
        <v>8969</v>
      </c>
      <c r="B8970">
        <f>TEXT(8969, "[$-0E0000]yyyy-mm-dd")</f>
        <v/>
      </c>
      <c r="C8970" t="inlineStr">
        <is>
          <t>1924-06-21</t>
        </is>
      </c>
    </row>
    <row r="8971">
      <c r="A8971" s="1" t="n">
        <v>8970</v>
      </c>
      <c r="B8971">
        <f>TEXT(8970, "[$-0E0000]yyyy-mm-dd")</f>
        <v/>
      </c>
      <c r="C8971" t="inlineStr">
        <is>
          <t>1924-06-22</t>
        </is>
      </c>
    </row>
    <row r="8972">
      <c r="A8972" s="1" t="n">
        <v>8971</v>
      </c>
      <c r="B8972">
        <f>TEXT(8971, "[$-0E0000]yyyy-mm-dd")</f>
        <v/>
      </c>
      <c r="C8972" t="inlineStr">
        <is>
          <t>1924-06-23</t>
        </is>
      </c>
    </row>
    <row r="8973">
      <c r="A8973" s="1" t="n">
        <v>8972</v>
      </c>
      <c r="B8973">
        <f>TEXT(8972, "[$-0E0000]yyyy-mm-dd")</f>
        <v/>
      </c>
      <c r="C8973" t="inlineStr">
        <is>
          <t>1924-06-24</t>
        </is>
      </c>
    </row>
    <row r="8974">
      <c r="A8974" s="1" t="n">
        <v>8973</v>
      </c>
      <c r="B8974">
        <f>TEXT(8973, "[$-0E0000]yyyy-mm-dd")</f>
        <v/>
      </c>
      <c r="C8974" t="inlineStr">
        <is>
          <t>1924-06-25</t>
        </is>
      </c>
    </row>
    <row r="8975">
      <c r="A8975" s="1" t="n">
        <v>8974</v>
      </c>
      <c r="B8975">
        <f>TEXT(8974, "[$-0E0000]yyyy-mm-dd")</f>
        <v/>
      </c>
      <c r="C8975" t="inlineStr">
        <is>
          <t>1924-06-26</t>
        </is>
      </c>
    </row>
    <row r="8976">
      <c r="A8976" s="1" t="n">
        <v>8975</v>
      </c>
      <c r="B8976">
        <f>TEXT(8975, "[$-0E0000]yyyy-mm-dd")</f>
        <v/>
      </c>
      <c r="C8976" t="inlineStr">
        <is>
          <t>1924-06-27</t>
        </is>
      </c>
    </row>
    <row r="8977">
      <c r="A8977" s="1" t="n">
        <v>8976</v>
      </c>
      <c r="B8977">
        <f>TEXT(8976, "[$-0E0000]yyyy-mm-dd")</f>
        <v/>
      </c>
      <c r="C8977" t="inlineStr">
        <is>
          <t>1924-06-28</t>
        </is>
      </c>
    </row>
    <row r="8978">
      <c r="A8978" s="1" t="n">
        <v>8977</v>
      </c>
      <c r="B8978">
        <f>TEXT(8977, "[$-0E0000]yyyy-mm-dd")</f>
        <v/>
      </c>
      <c r="C8978" t="inlineStr">
        <is>
          <t>1924-06-29</t>
        </is>
      </c>
    </row>
    <row r="8979">
      <c r="A8979" s="1" t="n">
        <v>8978</v>
      </c>
      <c r="B8979">
        <f>TEXT(8978, "[$-0E0000]yyyy-mm-dd")</f>
        <v/>
      </c>
      <c r="C8979" t="inlineStr">
        <is>
          <t>1924-06-30</t>
        </is>
      </c>
    </row>
    <row r="8980">
      <c r="A8980" s="1" t="n">
        <v>8979</v>
      </c>
      <c r="B8980">
        <f>TEXT(8979, "[$-0E0000]yyyy-mm-dd")</f>
        <v/>
      </c>
      <c r="C8980" t="inlineStr">
        <is>
          <t>1924-07-01</t>
        </is>
      </c>
    </row>
    <row r="8981">
      <c r="A8981" s="1" t="n">
        <v>8980</v>
      </c>
      <c r="B8981">
        <f>TEXT(8980, "[$-0E0000]yyyy-mm-dd")</f>
        <v/>
      </c>
      <c r="C8981" t="inlineStr">
        <is>
          <t>1924-07-02</t>
        </is>
      </c>
    </row>
    <row r="8982">
      <c r="A8982" s="1" t="n">
        <v>8981</v>
      </c>
      <c r="B8982">
        <f>TEXT(8981, "[$-0E0000]yyyy-mm-dd")</f>
        <v/>
      </c>
      <c r="C8982" t="inlineStr">
        <is>
          <t>1924-07-03</t>
        </is>
      </c>
    </row>
    <row r="8983">
      <c r="A8983" s="1" t="n">
        <v>8982</v>
      </c>
      <c r="B8983">
        <f>TEXT(8982, "[$-0E0000]yyyy-mm-dd")</f>
        <v/>
      </c>
      <c r="C8983" t="inlineStr">
        <is>
          <t>1924-07-04</t>
        </is>
      </c>
    </row>
    <row r="8984">
      <c r="A8984" s="1" t="n">
        <v>8983</v>
      </c>
      <c r="B8984">
        <f>TEXT(8983, "[$-0E0000]yyyy-mm-dd")</f>
        <v/>
      </c>
      <c r="C8984" t="inlineStr">
        <is>
          <t>1924-07-05</t>
        </is>
      </c>
    </row>
    <row r="8985">
      <c r="A8985" s="1" t="n">
        <v>8984</v>
      </c>
      <c r="B8985">
        <f>TEXT(8984, "[$-0E0000]yyyy-mm-dd")</f>
        <v/>
      </c>
      <c r="C8985" t="inlineStr">
        <is>
          <t>1924-07-06</t>
        </is>
      </c>
    </row>
    <row r="8986">
      <c r="A8986" s="1" t="n">
        <v>8985</v>
      </c>
      <c r="B8986">
        <f>TEXT(8985, "[$-0E0000]yyyy-mm-dd")</f>
        <v/>
      </c>
      <c r="C8986" t="inlineStr">
        <is>
          <t>1924-07-07</t>
        </is>
      </c>
    </row>
    <row r="8987">
      <c r="A8987" s="1" t="n">
        <v>8986</v>
      </c>
      <c r="B8987">
        <f>TEXT(8986, "[$-0E0000]yyyy-mm-dd")</f>
        <v/>
      </c>
      <c r="C8987" t="inlineStr">
        <is>
          <t>1924-07-08</t>
        </is>
      </c>
    </row>
    <row r="8988">
      <c r="A8988" s="1" t="n">
        <v>8987</v>
      </c>
      <c r="B8988">
        <f>TEXT(8987, "[$-0E0000]yyyy-mm-dd")</f>
        <v/>
      </c>
      <c r="C8988" t="inlineStr">
        <is>
          <t>1924-07-09</t>
        </is>
      </c>
    </row>
    <row r="8989">
      <c r="A8989" s="1" t="n">
        <v>8988</v>
      </c>
      <c r="B8989">
        <f>TEXT(8988, "[$-0E0000]yyyy-mm-dd")</f>
        <v/>
      </c>
      <c r="C8989" t="inlineStr">
        <is>
          <t>1924-07-10</t>
        </is>
      </c>
    </row>
    <row r="8990">
      <c r="A8990" s="1" t="n">
        <v>8989</v>
      </c>
      <c r="B8990">
        <f>TEXT(8989, "[$-0E0000]yyyy-mm-dd")</f>
        <v/>
      </c>
      <c r="C8990" t="inlineStr">
        <is>
          <t>1924-07-11</t>
        </is>
      </c>
    </row>
    <row r="8991">
      <c r="A8991" s="1" t="n">
        <v>8990</v>
      </c>
      <c r="B8991">
        <f>TEXT(8990, "[$-0E0000]yyyy-mm-dd")</f>
        <v/>
      </c>
      <c r="C8991" t="inlineStr">
        <is>
          <t>1924-07-12</t>
        </is>
      </c>
    </row>
    <row r="8992">
      <c r="A8992" s="1" t="n">
        <v>8991</v>
      </c>
      <c r="B8992">
        <f>TEXT(8991, "[$-0E0000]yyyy-mm-dd")</f>
        <v/>
      </c>
      <c r="C8992" t="inlineStr">
        <is>
          <t>1924-07-13</t>
        </is>
      </c>
    </row>
    <row r="8993">
      <c r="A8993" s="1" t="n">
        <v>8992</v>
      </c>
      <c r="B8993">
        <f>TEXT(8992, "[$-0E0000]yyyy-mm-dd")</f>
        <v/>
      </c>
      <c r="C8993" t="inlineStr">
        <is>
          <t>1924-07-14</t>
        </is>
      </c>
    </row>
    <row r="8994">
      <c r="A8994" s="1" t="n">
        <v>8993</v>
      </c>
      <c r="B8994">
        <f>TEXT(8993, "[$-0E0000]yyyy-mm-dd")</f>
        <v/>
      </c>
      <c r="C8994" t="inlineStr">
        <is>
          <t>1924-07-15</t>
        </is>
      </c>
    </row>
    <row r="8995">
      <c r="A8995" s="1" t="n">
        <v>8994</v>
      </c>
      <c r="B8995">
        <f>TEXT(8994, "[$-0E0000]yyyy-mm-dd")</f>
        <v/>
      </c>
      <c r="C8995" t="inlineStr">
        <is>
          <t>1924-07-16</t>
        </is>
      </c>
    </row>
    <row r="8996">
      <c r="A8996" s="1" t="n">
        <v>8995</v>
      </c>
      <c r="B8996">
        <f>TEXT(8995, "[$-0E0000]yyyy-mm-dd")</f>
        <v/>
      </c>
      <c r="C8996" t="inlineStr">
        <is>
          <t>1924-07-17</t>
        </is>
      </c>
    </row>
    <row r="8997">
      <c r="A8997" s="1" t="n">
        <v>8996</v>
      </c>
      <c r="B8997">
        <f>TEXT(8996, "[$-0E0000]yyyy-mm-dd")</f>
        <v/>
      </c>
      <c r="C8997" t="inlineStr">
        <is>
          <t>1924-07-18</t>
        </is>
      </c>
    </row>
    <row r="8998">
      <c r="A8998" s="1" t="n">
        <v>8997</v>
      </c>
      <c r="B8998">
        <f>TEXT(8997, "[$-0E0000]yyyy-mm-dd")</f>
        <v/>
      </c>
      <c r="C8998" t="inlineStr">
        <is>
          <t>1924-07-19</t>
        </is>
      </c>
    </row>
    <row r="8999">
      <c r="A8999" s="1" t="n">
        <v>8998</v>
      </c>
      <c r="B8999">
        <f>TEXT(8998, "[$-0E0000]yyyy-mm-dd")</f>
        <v/>
      </c>
      <c r="C8999" t="inlineStr">
        <is>
          <t>1924-07-20</t>
        </is>
      </c>
    </row>
    <row r="9000">
      <c r="A9000" s="1" t="n">
        <v>8999</v>
      </c>
      <c r="B9000">
        <f>TEXT(8999, "[$-0E0000]yyyy-mm-dd")</f>
        <v/>
      </c>
      <c r="C9000" t="inlineStr">
        <is>
          <t>1924-07-21</t>
        </is>
      </c>
    </row>
    <row r="9001">
      <c r="A9001" s="1" t="n">
        <v>9000</v>
      </c>
      <c r="B9001">
        <f>TEXT(9000, "[$-0E0000]yyyy-mm-dd")</f>
        <v/>
      </c>
      <c r="C9001" t="inlineStr">
        <is>
          <t>1924-07-22</t>
        </is>
      </c>
    </row>
    <row r="9002">
      <c r="A9002" s="1" t="n">
        <v>9001</v>
      </c>
      <c r="B9002">
        <f>TEXT(9001, "[$-0E0000]yyyy-mm-dd")</f>
        <v/>
      </c>
      <c r="C9002" t="inlineStr">
        <is>
          <t>1924-07-23</t>
        </is>
      </c>
    </row>
    <row r="9003">
      <c r="A9003" s="1" t="n">
        <v>9002</v>
      </c>
      <c r="B9003">
        <f>TEXT(9002, "[$-0E0000]yyyy-mm-dd")</f>
        <v/>
      </c>
      <c r="C9003" t="inlineStr">
        <is>
          <t>1924-07-24</t>
        </is>
      </c>
    </row>
    <row r="9004">
      <c r="A9004" s="1" t="n">
        <v>9003</v>
      </c>
      <c r="B9004">
        <f>TEXT(9003, "[$-0E0000]yyyy-mm-dd")</f>
        <v/>
      </c>
      <c r="C9004" t="inlineStr">
        <is>
          <t>1924-07-25</t>
        </is>
      </c>
    </row>
    <row r="9005">
      <c r="A9005" s="1" t="n">
        <v>9004</v>
      </c>
      <c r="B9005">
        <f>TEXT(9004, "[$-0E0000]yyyy-mm-dd")</f>
        <v/>
      </c>
      <c r="C9005" t="inlineStr">
        <is>
          <t>1924-07-26</t>
        </is>
      </c>
    </row>
    <row r="9006">
      <c r="A9006" s="1" t="n">
        <v>9005</v>
      </c>
      <c r="B9006">
        <f>TEXT(9005, "[$-0E0000]yyyy-mm-dd")</f>
        <v/>
      </c>
      <c r="C9006" t="inlineStr">
        <is>
          <t>1924-07-27</t>
        </is>
      </c>
    </row>
    <row r="9007">
      <c r="A9007" s="1" t="n">
        <v>9006</v>
      </c>
      <c r="B9007">
        <f>TEXT(9006, "[$-0E0000]yyyy-mm-dd")</f>
        <v/>
      </c>
      <c r="C9007" t="inlineStr">
        <is>
          <t>1924-07-28</t>
        </is>
      </c>
    </row>
    <row r="9008">
      <c r="A9008" s="1" t="n">
        <v>9007</v>
      </c>
      <c r="B9008">
        <f>TEXT(9007, "[$-0E0000]yyyy-mm-dd")</f>
        <v/>
      </c>
      <c r="C9008" t="inlineStr">
        <is>
          <t>1924-07-29</t>
        </is>
      </c>
    </row>
    <row r="9009">
      <c r="A9009" s="1" t="n">
        <v>9008</v>
      </c>
      <c r="B9009">
        <f>TEXT(9008, "[$-0E0000]yyyy-mm-dd")</f>
        <v/>
      </c>
      <c r="C9009" t="inlineStr">
        <is>
          <t>1924-08-01</t>
        </is>
      </c>
    </row>
    <row r="9010">
      <c r="A9010" s="1" t="n">
        <v>9009</v>
      </c>
      <c r="B9010">
        <f>TEXT(9009, "[$-0E0000]yyyy-mm-dd")</f>
        <v/>
      </c>
      <c r="C9010" t="inlineStr">
        <is>
          <t>1924-08-02</t>
        </is>
      </c>
    </row>
    <row r="9011">
      <c r="A9011" s="1" t="n">
        <v>9010</v>
      </c>
      <c r="B9011">
        <f>TEXT(9010, "[$-0E0000]yyyy-mm-dd")</f>
        <v/>
      </c>
      <c r="C9011" t="inlineStr">
        <is>
          <t>1924-08-03</t>
        </is>
      </c>
    </row>
    <row r="9012">
      <c r="A9012" s="1" t="n">
        <v>9011</v>
      </c>
      <c r="B9012">
        <f>TEXT(9011, "[$-0E0000]yyyy-mm-dd")</f>
        <v/>
      </c>
      <c r="C9012" t="inlineStr">
        <is>
          <t>1924-08-04</t>
        </is>
      </c>
    </row>
    <row r="9013">
      <c r="A9013" s="1" t="n">
        <v>9012</v>
      </c>
      <c r="B9013">
        <f>TEXT(9012, "[$-0E0000]yyyy-mm-dd")</f>
        <v/>
      </c>
      <c r="C9013" t="inlineStr">
        <is>
          <t>1924-08-05</t>
        </is>
      </c>
    </row>
    <row r="9014">
      <c r="A9014" s="1" t="n">
        <v>9013</v>
      </c>
      <c r="B9014">
        <f>TEXT(9013, "[$-0E0000]yyyy-mm-dd")</f>
        <v/>
      </c>
      <c r="C9014" t="inlineStr">
        <is>
          <t>1924-08-06</t>
        </is>
      </c>
    </row>
    <row r="9015">
      <c r="A9015" s="1" t="n">
        <v>9014</v>
      </c>
      <c r="B9015">
        <f>TEXT(9014, "[$-0E0000]yyyy-mm-dd")</f>
        <v/>
      </c>
      <c r="C9015" t="inlineStr">
        <is>
          <t>1924-08-07</t>
        </is>
      </c>
    </row>
    <row r="9016">
      <c r="A9016" s="1" t="n">
        <v>9015</v>
      </c>
      <c r="B9016">
        <f>TEXT(9015, "[$-0E0000]yyyy-mm-dd")</f>
        <v/>
      </c>
      <c r="C9016" t="inlineStr">
        <is>
          <t>1924-08-08</t>
        </is>
      </c>
    </row>
    <row r="9017">
      <c r="A9017" s="1" t="n">
        <v>9016</v>
      </c>
      <c r="B9017">
        <f>TEXT(9016, "[$-0E0000]yyyy-mm-dd")</f>
        <v/>
      </c>
      <c r="C9017" t="inlineStr">
        <is>
          <t>1924-08-09</t>
        </is>
      </c>
    </row>
    <row r="9018">
      <c r="A9018" s="1" t="n">
        <v>9017</v>
      </c>
      <c r="B9018">
        <f>TEXT(9017, "[$-0E0000]yyyy-mm-dd")</f>
        <v/>
      </c>
      <c r="C9018" t="inlineStr">
        <is>
          <t>1924-08-10</t>
        </is>
      </c>
    </row>
    <row r="9019">
      <c r="A9019" s="1" t="n">
        <v>9018</v>
      </c>
      <c r="B9019">
        <f>TEXT(9018, "[$-0E0000]yyyy-mm-dd")</f>
        <v/>
      </c>
      <c r="C9019" t="inlineStr">
        <is>
          <t>1924-08-11</t>
        </is>
      </c>
    </row>
    <row r="9020">
      <c r="A9020" s="1" t="n">
        <v>9019</v>
      </c>
      <c r="B9020">
        <f>TEXT(9019, "[$-0E0000]yyyy-mm-dd")</f>
        <v/>
      </c>
      <c r="C9020" t="inlineStr">
        <is>
          <t>1924-08-12</t>
        </is>
      </c>
    </row>
    <row r="9021">
      <c r="A9021" s="1" t="n">
        <v>9020</v>
      </c>
      <c r="B9021">
        <f>TEXT(9020, "[$-0E0000]yyyy-mm-dd")</f>
        <v/>
      </c>
      <c r="C9021" t="inlineStr">
        <is>
          <t>1924-08-13</t>
        </is>
      </c>
    </row>
    <row r="9022">
      <c r="A9022" s="1" t="n">
        <v>9021</v>
      </c>
      <c r="B9022">
        <f>TEXT(9021, "[$-0E0000]yyyy-mm-dd")</f>
        <v/>
      </c>
      <c r="C9022" t="inlineStr">
        <is>
          <t>1924-08-14</t>
        </is>
      </c>
    </row>
    <row r="9023">
      <c r="A9023" s="1" t="n">
        <v>9022</v>
      </c>
      <c r="B9023">
        <f>TEXT(9022, "[$-0E0000]yyyy-mm-dd")</f>
        <v/>
      </c>
      <c r="C9023" t="inlineStr">
        <is>
          <t>1924-08-15</t>
        </is>
      </c>
    </row>
    <row r="9024">
      <c r="A9024" s="1" t="n">
        <v>9023</v>
      </c>
      <c r="B9024">
        <f>TEXT(9023, "[$-0E0000]yyyy-mm-dd")</f>
        <v/>
      </c>
      <c r="C9024" t="inlineStr">
        <is>
          <t>1924-08-16</t>
        </is>
      </c>
    </row>
    <row r="9025">
      <c r="A9025" s="1" t="n">
        <v>9024</v>
      </c>
      <c r="B9025">
        <f>TEXT(9024, "[$-0E0000]yyyy-mm-dd")</f>
        <v/>
      </c>
      <c r="C9025" t="inlineStr">
        <is>
          <t>1924-08-17</t>
        </is>
      </c>
    </row>
    <row r="9026">
      <c r="A9026" s="1" t="n">
        <v>9025</v>
      </c>
      <c r="B9026">
        <f>TEXT(9025, "[$-0E0000]yyyy-mm-dd")</f>
        <v/>
      </c>
      <c r="C9026" t="inlineStr">
        <is>
          <t>1924-08-18</t>
        </is>
      </c>
    </row>
    <row r="9027">
      <c r="A9027" s="1" t="n">
        <v>9026</v>
      </c>
      <c r="B9027">
        <f>TEXT(9026, "[$-0E0000]yyyy-mm-dd")</f>
        <v/>
      </c>
      <c r="C9027" t="inlineStr">
        <is>
          <t>1924-08-19</t>
        </is>
      </c>
    </row>
    <row r="9028">
      <c r="A9028" s="1" t="n">
        <v>9027</v>
      </c>
      <c r="B9028">
        <f>TEXT(9027, "[$-0E0000]yyyy-mm-dd")</f>
        <v/>
      </c>
      <c r="C9028" t="inlineStr">
        <is>
          <t>1924-08-20</t>
        </is>
      </c>
    </row>
    <row r="9029">
      <c r="A9029" s="1" t="n">
        <v>9028</v>
      </c>
      <c r="B9029">
        <f>TEXT(9028, "[$-0E0000]yyyy-mm-dd")</f>
        <v/>
      </c>
      <c r="C9029" t="inlineStr">
        <is>
          <t>1924-08-21</t>
        </is>
      </c>
    </row>
    <row r="9030">
      <c r="A9030" s="1" t="n">
        <v>9029</v>
      </c>
      <c r="B9030">
        <f>TEXT(9029, "[$-0E0000]yyyy-mm-dd")</f>
        <v/>
      </c>
      <c r="C9030" t="inlineStr">
        <is>
          <t>1924-08-22</t>
        </is>
      </c>
    </row>
    <row r="9031">
      <c r="A9031" s="1" t="n">
        <v>9030</v>
      </c>
      <c r="B9031">
        <f>TEXT(9030, "[$-0E0000]yyyy-mm-dd")</f>
        <v/>
      </c>
      <c r="C9031" t="inlineStr">
        <is>
          <t>1924-08-23</t>
        </is>
      </c>
    </row>
    <row r="9032">
      <c r="A9032" s="1" t="n">
        <v>9031</v>
      </c>
      <c r="B9032">
        <f>TEXT(9031, "[$-0E0000]yyyy-mm-dd")</f>
        <v/>
      </c>
      <c r="C9032" t="inlineStr">
        <is>
          <t>1924-08-24</t>
        </is>
      </c>
    </row>
    <row r="9033">
      <c r="A9033" s="1" t="n">
        <v>9032</v>
      </c>
      <c r="B9033">
        <f>TEXT(9032, "[$-0E0000]yyyy-mm-dd")</f>
        <v/>
      </c>
      <c r="C9033" t="inlineStr">
        <is>
          <t>1924-08-25</t>
        </is>
      </c>
    </row>
    <row r="9034">
      <c r="A9034" s="1" t="n">
        <v>9033</v>
      </c>
      <c r="B9034">
        <f>TEXT(9033, "[$-0E0000]yyyy-mm-dd")</f>
        <v/>
      </c>
      <c r="C9034" t="inlineStr">
        <is>
          <t>1924-08-26</t>
        </is>
      </c>
    </row>
    <row r="9035">
      <c r="A9035" s="1" t="n">
        <v>9034</v>
      </c>
      <c r="B9035">
        <f>TEXT(9034, "[$-0E0000]yyyy-mm-dd")</f>
        <v/>
      </c>
      <c r="C9035" t="inlineStr">
        <is>
          <t>1924-08-27</t>
        </is>
      </c>
    </row>
    <row r="9036">
      <c r="A9036" s="1" t="n">
        <v>9035</v>
      </c>
      <c r="B9036">
        <f>TEXT(9035, "[$-0E0000]yyyy-mm-dd")</f>
        <v/>
      </c>
      <c r="C9036" t="inlineStr">
        <is>
          <t>1924-08-28</t>
        </is>
      </c>
    </row>
    <row r="9037">
      <c r="A9037" s="1" t="n">
        <v>9036</v>
      </c>
      <c r="B9037">
        <f>TEXT(9036, "[$-0E0000]yyyy-mm-dd")</f>
        <v/>
      </c>
      <c r="C9037" t="inlineStr">
        <is>
          <t>1924-08-29</t>
        </is>
      </c>
    </row>
    <row r="9038">
      <c r="A9038" s="1" t="n">
        <v>9037</v>
      </c>
      <c r="B9038">
        <f>TEXT(9037, "[$-0E0000]yyyy-mm-dd")</f>
        <v/>
      </c>
      <c r="C9038" t="inlineStr">
        <is>
          <t>1924-08-30</t>
        </is>
      </c>
    </row>
    <row r="9039">
      <c r="A9039" s="1" t="n">
        <v>9038</v>
      </c>
      <c r="B9039">
        <f>TEXT(9038, "[$-0E0000]yyyy-mm-dd")</f>
        <v/>
      </c>
      <c r="C9039" t="inlineStr">
        <is>
          <t>1924-09-01</t>
        </is>
      </c>
    </row>
    <row r="9040">
      <c r="A9040" s="1" t="n">
        <v>9039</v>
      </c>
      <c r="B9040">
        <f>TEXT(9039, "[$-0E0000]yyyy-mm-dd")</f>
        <v/>
      </c>
      <c r="C9040" t="inlineStr">
        <is>
          <t>1924-09-02</t>
        </is>
      </c>
    </row>
    <row r="9041">
      <c r="A9041" s="1" t="n">
        <v>9040</v>
      </c>
      <c r="B9041">
        <f>TEXT(9040, "[$-0E0000]yyyy-mm-dd")</f>
        <v/>
      </c>
      <c r="C9041" t="inlineStr">
        <is>
          <t>1924-09-03</t>
        </is>
      </c>
    </row>
    <row r="9042">
      <c r="A9042" s="1" t="n">
        <v>9041</v>
      </c>
      <c r="B9042">
        <f>TEXT(9041, "[$-0E0000]yyyy-mm-dd")</f>
        <v/>
      </c>
      <c r="C9042" t="inlineStr">
        <is>
          <t>1924-09-04</t>
        </is>
      </c>
    </row>
    <row r="9043">
      <c r="A9043" s="1" t="n">
        <v>9042</v>
      </c>
      <c r="B9043">
        <f>TEXT(9042, "[$-0E0000]yyyy-mm-dd")</f>
        <v/>
      </c>
      <c r="C9043" t="inlineStr">
        <is>
          <t>1924-09-05</t>
        </is>
      </c>
    </row>
    <row r="9044">
      <c r="A9044" s="1" t="n">
        <v>9043</v>
      </c>
      <c r="B9044">
        <f>TEXT(9043, "[$-0E0000]yyyy-mm-dd")</f>
        <v/>
      </c>
      <c r="C9044" t="inlineStr">
        <is>
          <t>1924-09-06</t>
        </is>
      </c>
    </row>
    <row r="9045">
      <c r="A9045" s="1" t="n">
        <v>9044</v>
      </c>
      <c r="B9045">
        <f>TEXT(9044, "[$-0E0000]yyyy-mm-dd")</f>
        <v/>
      </c>
      <c r="C9045" t="inlineStr">
        <is>
          <t>1924-09-07</t>
        </is>
      </c>
    </row>
    <row r="9046">
      <c r="A9046" s="1" t="n">
        <v>9045</v>
      </c>
      <c r="B9046">
        <f>TEXT(9045, "[$-0E0000]yyyy-mm-dd")</f>
        <v/>
      </c>
      <c r="C9046" t="inlineStr">
        <is>
          <t>1924-09-08</t>
        </is>
      </c>
    </row>
    <row r="9047">
      <c r="A9047" s="1" t="n">
        <v>9046</v>
      </c>
      <c r="B9047">
        <f>TEXT(9046, "[$-0E0000]yyyy-mm-dd")</f>
        <v/>
      </c>
      <c r="C9047" t="inlineStr">
        <is>
          <t>1924-09-09</t>
        </is>
      </c>
    </row>
    <row r="9048">
      <c r="A9048" s="1" t="n">
        <v>9047</v>
      </c>
      <c r="B9048">
        <f>TEXT(9047, "[$-0E0000]yyyy-mm-dd")</f>
        <v/>
      </c>
      <c r="C9048" t="inlineStr">
        <is>
          <t>1924-09-10</t>
        </is>
      </c>
    </row>
    <row r="9049">
      <c r="A9049" s="1" t="n">
        <v>9048</v>
      </c>
      <c r="B9049">
        <f>TEXT(9048, "[$-0E0000]yyyy-mm-dd")</f>
        <v/>
      </c>
      <c r="C9049" t="inlineStr">
        <is>
          <t>1924-09-11</t>
        </is>
      </c>
    </row>
    <row r="9050">
      <c r="A9050" s="1" t="n">
        <v>9049</v>
      </c>
      <c r="B9050">
        <f>TEXT(9049, "[$-0E0000]yyyy-mm-dd")</f>
        <v/>
      </c>
      <c r="C9050" t="inlineStr">
        <is>
          <t>1924-09-12</t>
        </is>
      </c>
    </row>
    <row r="9051">
      <c r="A9051" s="1" t="n">
        <v>9050</v>
      </c>
      <c r="B9051">
        <f>TEXT(9050, "[$-0E0000]yyyy-mm-dd")</f>
        <v/>
      </c>
      <c r="C9051" t="inlineStr">
        <is>
          <t>1924-09-13</t>
        </is>
      </c>
    </row>
    <row r="9052">
      <c r="A9052" s="1" t="n">
        <v>9051</v>
      </c>
      <c r="B9052">
        <f>TEXT(9051, "[$-0E0000]yyyy-mm-dd")</f>
        <v/>
      </c>
      <c r="C9052" t="inlineStr">
        <is>
          <t>1924-09-14</t>
        </is>
      </c>
    </row>
    <row r="9053">
      <c r="A9053" s="1" t="n">
        <v>9052</v>
      </c>
      <c r="B9053">
        <f>TEXT(9052, "[$-0E0000]yyyy-mm-dd")</f>
        <v/>
      </c>
      <c r="C9053" t="inlineStr">
        <is>
          <t>1924-09-15</t>
        </is>
      </c>
    </row>
    <row r="9054">
      <c r="A9054" s="1" t="n">
        <v>9053</v>
      </c>
      <c r="B9054">
        <f>TEXT(9053, "[$-0E0000]yyyy-mm-dd")</f>
        <v/>
      </c>
      <c r="C9054" t="inlineStr">
        <is>
          <t>1924-09-16</t>
        </is>
      </c>
    </row>
    <row r="9055">
      <c r="A9055" s="1" t="n">
        <v>9054</v>
      </c>
      <c r="B9055">
        <f>TEXT(9054, "[$-0E0000]yyyy-mm-dd")</f>
        <v/>
      </c>
      <c r="C9055" t="inlineStr">
        <is>
          <t>1924-09-17</t>
        </is>
      </c>
    </row>
    <row r="9056">
      <c r="A9056" s="1" t="n">
        <v>9055</v>
      </c>
      <c r="B9056">
        <f>TEXT(9055, "[$-0E0000]yyyy-mm-dd")</f>
        <v/>
      </c>
      <c r="C9056" t="inlineStr">
        <is>
          <t>1924-09-18</t>
        </is>
      </c>
    </row>
    <row r="9057">
      <c r="A9057" s="1" t="n">
        <v>9056</v>
      </c>
      <c r="B9057">
        <f>TEXT(9056, "[$-0E0000]yyyy-mm-dd")</f>
        <v/>
      </c>
      <c r="C9057" t="inlineStr">
        <is>
          <t>1924-09-19</t>
        </is>
      </c>
    </row>
    <row r="9058">
      <c r="A9058" s="1" t="n">
        <v>9057</v>
      </c>
      <c r="B9058">
        <f>TEXT(9057, "[$-0E0000]yyyy-mm-dd")</f>
        <v/>
      </c>
      <c r="C9058" t="inlineStr">
        <is>
          <t>1924-09-20</t>
        </is>
      </c>
    </row>
    <row r="9059">
      <c r="A9059" s="1" t="n">
        <v>9058</v>
      </c>
      <c r="B9059">
        <f>TEXT(9058, "[$-0E0000]yyyy-mm-dd")</f>
        <v/>
      </c>
      <c r="C9059" t="inlineStr">
        <is>
          <t>1924-09-21</t>
        </is>
      </c>
    </row>
    <row r="9060">
      <c r="A9060" s="1" t="n">
        <v>9059</v>
      </c>
      <c r="B9060">
        <f>TEXT(9059, "[$-0E0000]yyyy-mm-dd")</f>
        <v/>
      </c>
      <c r="C9060" t="inlineStr">
        <is>
          <t>1924-09-22</t>
        </is>
      </c>
    </row>
    <row r="9061">
      <c r="A9061" s="1" t="n">
        <v>9060</v>
      </c>
      <c r="B9061">
        <f>TEXT(9060, "[$-0E0000]yyyy-mm-dd")</f>
        <v/>
      </c>
      <c r="C9061" t="inlineStr">
        <is>
          <t>1924-09-23</t>
        </is>
      </c>
    </row>
    <row r="9062">
      <c r="A9062" s="1" t="n">
        <v>9061</v>
      </c>
      <c r="B9062">
        <f>TEXT(9061, "[$-0E0000]yyyy-mm-dd")</f>
        <v/>
      </c>
      <c r="C9062" t="inlineStr">
        <is>
          <t>1924-09-24</t>
        </is>
      </c>
    </row>
    <row r="9063">
      <c r="A9063" s="1" t="n">
        <v>9062</v>
      </c>
      <c r="B9063">
        <f>TEXT(9062, "[$-0E0000]yyyy-mm-dd")</f>
        <v/>
      </c>
      <c r="C9063" t="inlineStr">
        <is>
          <t>1924-09-25</t>
        </is>
      </c>
    </row>
    <row r="9064">
      <c r="A9064" s="1" t="n">
        <v>9063</v>
      </c>
      <c r="B9064">
        <f>TEXT(9063, "[$-0E0000]yyyy-mm-dd")</f>
        <v/>
      </c>
      <c r="C9064" t="inlineStr">
        <is>
          <t>1924-09-26</t>
        </is>
      </c>
    </row>
    <row r="9065">
      <c r="A9065" s="1" t="n">
        <v>9064</v>
      </c>
      <c r="B9065">
        <f>TEXT(9064, "[$-0E0000]yyyy-mm-dd")</f>
        <v/>
      </c>
      <c r="C9065" t="inlineStr">
        <is>
          <t>1924-09-27</t>
        </is>
      </c>
    </row>
    <row r="9066">
      <c r="A9066" s="1" t="n">
        <v>9065</v>
      </c>
      <c r="B9066">
        <f>TEXT(9065, "[$-0E0000]yyyy-mm-dd")</f>
        <v/>
      </c>
      <c r="C9066" t="inlineStr">
        <is>
          <t>1924-09-28</t>
        </is>
      </c>
    </row>
    <row r="9067">
      <c r="A9067" s="1" t="n">
        <v>9066</v>
      </c>
      <c r="B9067">
        <f>TEXT(9066, "[$-0E0000]yyyy-mm-dd")</f>
        <v/>
      </c>
      <c r="C9067" t="inlineStr">
        <is>
          <t>1924-09-29</t>
        </is>
      </c>
    </row>
    <row r="9068">
      <c r="A9068" s="1" t="n">
        <v>9067</v>
      </c>
      <c r="B9068">
        <f>TEXT(9067, "[$-0E0000]yyyy-mm-dd")</f>
        <v/>
      </c>
      <c r="C9068" t="inlineStr">
        <is>
          <t>1924-10-01</t>
        </is>
      </c>
    </row>
    <row r="9069">
      <c r="A9069" s="1" t="n">
        <v>9068</v>
      </c>
      <c r="B9069">
        <f>TEXT(9068, "[$-0E0000]yyyy-mm-dd")</f>
        <v/>
      </c>
      <c r="C9069" t="inlineStr">
        <is>
          <t>1924-10-02</t>
        </is>
      </c>
    </row>
    <row r="9070">
      <c r="A9070" s="1" t="n">
        <v>9069</v>
      </c>
      <c r="B9070">
        <f>TEXT(9069, "[$-0E0000]yyyy-mm-dd")</f>
        <v/>
      </c>
      <c r="C9070" t="inlineStr">
        <is>
          <t>1924-10-03</t>
        </is>
      </c>
    </row>
    <row r="9071">
      <c r="A9071" s="1" t="n">
        <v>9070</v>
      </c>
      <c r="B9071">
        <f>TEXT(9070, "[$-0E0000]yyyy-mm-dd")</f>
        <v/>
      </c>
      <c r="C9071" t="inlineStr">
        <is>
          <t>1924-10-04</t>
        </is>
      </c>
    </row>
    <row r="9072">
      <c r="A9072" s="1" t="n">
        <v>9071</v>
      </c>
      <c r="B9072">
        <f>TEXT(9071, "[$-0E0000]yyyy-mm-dd")</f>
        <v/>
      </c>
      <c r="C9072" t="inlineStr">
        <is>
          <t>1924-10-05</t>
        </is>
      </c>
    </row>
    <row r="9073">
      <c r="A9073" s="1" t="n">
        <v>9072</v>
      </c>
      <c r="B9073">
        <f>TEXT(9072, "[$-0E0000]yyyy-mm-dd")</f>
        <v/>
      </c>
      <c r="C9073" t="inlineStr">
        <is>
          <t>1924-10-06</t>
        </is>
      </c>
    </row>
    <row r="9074">
      <c r="A9074" s="1" t="n">
        <v>9073</v>
      </c>
      <c r="B9074">
        <f>TEXT(9073, "[$-0E0000]yyyy-mm-dd")</f>
        <v/>
      </c>
      <c r="C9074" t="inlineStr">
        <is>
          <t>1924-10-07</t>
        </is>
      </c>
    </row>
    <row r="9075">
      <c r="A9075" s="1" t="n">
        <v>9074</v>
      </c>
      <c r="B9075">
        <f>TEXT(9074, "[$-0E0000]yyyy-mm-dd")</f>
        <v/>
      </c>
      <c r="C9075" t="inlineStr">
        <is>
          <t>1924-10-08</t>
        </is>
      </c>
    </row>
    <row r="9076">
      <c r="A9076" s="1" t="n">
        <v>9075</v>
      </c>
      <c r="B9076">
        <f>TEXT(9075, "[$-0E0000]yyyy-mm-dd")</f>
        <v/>
      </c>
      <c r="C9076" t="inlineStr">
        <is>
          <t>1924-10-09</t>
        </is>
      </c>
    </row>
    <row r="9077">
      <c r="A9077" s="1" t="n">
        <v>9076</v>
      </c>
      <c r="B9077">
        <f>TEXT(9076, "[$-0E0000]yyyy-mm-dd")</f>
        <v/>
      </c>
      <c r="C9077" t="inlineStr">
        <is>
          <t>1924-10-10</t>
        </is>
      </c>
    </row>
    <row r="9078">
      <c r="A9078" s="1" t="n">
        <v>9077</v>
      </c>
      <c r="B9078">
        <f>TEXT(9077, "[$-0E0000]yyyy-mm-dd")</f>
        <v/>
      </c>
      <c r="C9078" t="inlineStr">
        <is>
          <t>1924-10-11</t>
        </is>
      </c>
    </row>
    <row r="9079">
      <c r="A9079" s="1" t="n">
        <v>9078</v>
      </c>
      <c r="B9079">
        <f>TEXT(9078, "[$-0E0000]yyyy-mm-dd")</f>
        <v/>
      </c>
      <c r="C9079" t="inlineStr">
        <is>
          <t>1924-10-12</t>
        </is>
      </c>
    </row>
    <row r="9080">
      <c r="A9080" s="1" t="n">
        <v>9079</v>
      </c>
      <c r="B9080">
        <f>TEXT(9079, "[$-0E0000]yyyy-mm-dd")</f>
        <v/>
      </c>
      <c r="C9080" t="inlineStr">
        <is>
          <t>1924-10-13</t>
        </is>
      </c>
    </row>
    <row r="9081">
      <c r="A9081" s="1" t="n">
        <v>9080</v>
      </c>
      <c r="B9081">
        <f>TEXT(9080, "[$-0E0000]yyyy-mm-dd")</f>
        <v/>
      </c>
      <c r="C9081" t="inlineStr">
        <is>
          <t>1924-10-14</t>
        </is>
      </c>
    </row>
    <row r="9082">
      <c r="A9082" s="1" t="n">
        <v>9081</v>
      </c>
      <c r="B9082">
        <f>TEXT(9081, "[$-0E0000]yyyy-mm-dd")</f>
        <v/>
      </c>
      <c r="C9082" t="inlineStr">
        <is>
          <t>1924-10-15</t>
        </is>
      </c>
    </row>
    <row r="9083">
      <c r="A9083" s="1" t="n">
        <v>9082</v>
      </c>
      <c r="B9083">
        <f>TEXT(9082, "[$-0E0000]yyyy-mm-dd")</f>
        <v/>
      </c>
      <c r="C9083" t="inlineStr">
        <is>
          <t>1924-10-16</t>
        </is>
      </c>
    </row>
    <row r="9084">
      <c r="A9084" s="1" t="n">
        <v>9083</v>
      </c>
      <c r="B9084">
        <f>TEXT(9083, "[$-0E0000]yyyy-mm-dd")</f>
        <v/>
      </c>
      <c r="C9084" t="inlineStr">
        <is>
          <t>1924-10-17</t>
        </is>
      </c>
    </row>
    <row r="9085">
      <c r="A9085" s="1" t="n">
        <v>9084</v>
      </c>
      <c r="B9085">
        <f>TEXT(9084, "[$-0E0000]yyyy-mm-dd")</f>
        <v/>
      </c>
      <c r="C9085" t="inlineStr">
        <is>
          <t>1924-10-18</t>
        </is>
      </c>
    </row>
    <row r="9086">
      <c r="A9086" s="1" t="n">
        <v>9085</v>
      </c>
      <c r="B9086">
        <f>TEXT(9085, "[$-0E0000]yyyy-mm-dd")</f>
        <v/>
      </c>
      <c r="C9086" t="inlineStr">
        <is>
          <t>1924-10-19</t>
        </is>
      </c>
    </row>
    <row r="9087">
      <c r="A9087" s="1" t="n">
        <v>9086</v>
      </c>
      <c r="B9087">
        <f>TEXT(9086, "[$-0E0000]yyyy-mm-dd")</f>
        <v/>
      </c>
      <c r="C9087" t="inlineStr">
        <is>
          <t>1924-10-20</t>
        </is>
      </c>
    </row>
    <row r="9088">
      <c r="A9088" s="1" t="n">
        <v>9087</v>
      </c>
      <c r="B9088">
        <f>TEXT(9087, "[$-0E0000]yyyy-mm-dd")</f>
        <v/>
      </c>
      <c r="C9088" t="inlineStr">
        <is>
          <t>1924-10-21</t>
        </is>
      </c>
    </row>
    <row r="9089">
      <c r="A9089" s="1" t="n">
        <v>9088</v>
      </c>
      <c r="B9089">
        <f>TEXT(9088, "[$-0E0000]yyyy-mm-dd")</f>
        <v/>
      </c>
      <c r="C9089" t="inlineStr">
        <is>
          <t>1924-10-22</t>
        </is>
      </c>
    </row>
    <row r="9090">
      <c r="A9090" s="1" t="n">
        <v>9089</v>
      </c>
      <c r="B9090">
        <f>TEXT(9089, "[$-0E0000]yyyy-mm-dd")</f>
        <v/>
      </c>
      <c r="C9090" t="inlineStr">
        <is>
          <t>1924-10-23</t>
        </is>
      </c>
    </row>
    <row r="9091">
      <c r="A9091" s="1" t="n">
        <v>9090</v>
      </c>
      <c r="B9091">
        <f>TEXT(9090, "[$-0E0000]yyyy-mm-dd")</f>
        <v/>
      </c>
      <c r="C9091" t="inlineStr">
        <is>
          <t>1924-10-24</t>
        </is>
      </c>
    </row>
    <row r="9092">
      <c r="A9092" s="1" t="n">
        <v>9091</v>
      </c>
      <c r="B9092">
        <f>TEXT(9091, "[$-0E0000]yyyy-mm-dd")</f>
        <v/>
      </c>
      <c r="C9092" t="inlineStr">
        <is>
          <t>1924-10-25</t>
        </is>
      </c>
    </row>
    <row r="9093">
      <c r="A9093" s="1" t="n">
        <v>9092</v>
      </c>
      <c r="B9093">
        <f>TEXT(9092, "[$-0E0000]yyyy-mm-dd")</f>
        <v/>
      </c>
      <c r="C9093" t="inlineStr">
        <is>
          <t>1924-10-26</t>
        </is>
      </c>
    </row>
    <row r="9094">
      <c r="A9094" s="1" t="n">
        <v>9093</v>
      </c>
      <c r="B9094">
        <f>TEXT(9093, "[$-0E0000]yyyy-mm-dd")</f>
        <v/>
      </c>
      <c r="C9094" t="inlineStr">
        <is>
          <t>1924-10-27</t>
        </is>
      </c>
    </row>
    <row r="9095">
      <c r="A9095" s="1" t="n">
        <v>9094</v>
      </c>
      <c r="B9095">
        <f>TEXT(9094, "[$-0E0000]yyyy-mm-dd")</f>
        <v/>
      </c>
      <c r="C9095" t="inlineStr">
        <is>
          <t>1924-10-28</t>
        </is>
      </c>
    </row>
    <row r="9096">
      <c r="A9096" s="1" t="n">
        <v>9095</v>
      </c>
      <c r="B9096">
        <f>TEXT(9095, "[$-0E0000]yyyy-mm-dd")</f>
        <v/>
      </c>
      <c r="C9096" t="inlineStr">
        <is>
          <t>1924-10-29</t>
        </is>
      </c>
    </row>
    <row r="9097">
      <c r="A9097" s="1" t="n">
        <v>9096</v>
      </c>
      <c r="B9097">
        <f>TEXT(9096, "[$-0E0000]yyyy-mm-dd")</f>
        <v/>
      </c>
      <c r="C9097" t="inlineStr">
        <is>
          <t>1924-10-30</t>
        </is>
      </c>
    </row>
    <row r="9098">
      <c r="A9098" s="1" t="n">
        <v>9097</v>
      </c>
      <c r="B9098">
        <f>TEXT(9097, "[$-0E0000]yyyy-mm-dd")</f>
        <v/>
      </c>
      <c r="C9098" t="inlineStr">
        <is>
          <t>1924-11-01</t>
        </is>
      </c>
    </row>
    <row r="9099">
      <c r="A9099" s="1" t="n">
        <v>9098</v>
      </c>
      <c r="B9099">
        <f>TEXT(9098, "[$-0E0000]yyyy-mm-dd")</f>
        <v/>
      </c>
      <c r="C9099" t="inlineStr">
        <is>
          <t>1924-11-02</t>
        </is>
      </c>
    </row>
    <row r="9100">
      <c r="A9100" s="1" t="n">
        <v>9099</v>
      </c>
      <c r="B9100">
        <f>TEXT(9099, "[$-0E0000]yyyy-mm-dd")</f>
        <v/>
      </c>
      <c r="C9100" t="inlineStr">
        <is>
          <t>1924-11-03</t>
        </is>
      </c>
    </row>
    <row r="9101">
      <c r="A9101" s="1" t="n">
        <v>9100</v>
      </c>
      <c r="B9101">
        <f>TEXT(9100, "[$-0E0000]yyyy-mm-dd")</f>
        <v/>
      </c>
      <c r="C9101" t="inlineStr">
        <is>
          <t>1924-11-04</t>
        </is>
      </c>
    </row>
    <row r="9102">
      <c r="A9102" s="1" t="n">
        <v>9101</v>
      </c>
      <c r="B9102">
        <f>TEXT(9101, "[$-0E0000]yyyy-mm-dd")</f>
        <v/>
      </c>
      <c r="C9102" t="inlineStr">
        <is>
          <t>1924-11-05</t>
        </is>
      </c>
    </row>
    <row r="9103">
      <c r="A9103" s="1" t="n">
        <v>9102</v>
      </c>
      <c r="B9103">
        <f>TEXT(9102, "[$-0E0000]yyyy-mm-dd")</f>
        <v/>
      </c>
      <c r="C9103" t="inlineStr">
        <is>
          <t>1924-11-06</t>
        </is>
      </c>
    </row>
    <row r="9104">
      <c r="A9104" s="1" t="n">
        <v>9103</v>
      </c>
      <c r="B9104">
        <f>TEXT(9103, "[$-0E0000]yyyy-mm-dd")</f>
        <v/>
      </c>
      <c r="C9104" t="inlineStr">
        <is>
          <t>1924-11-07</t>
        </is>
      </c>
    </row>
    <row r="9105">
      <c r="A9105" s="1" t="n">
        <v>9104</v>
      </c>
      <c r="B9105">
        <f>TEXT(9104, "[$-0E0000]yyyy-mm-dd")</f>
        <v/>
      </c>
      <c r="C9105" t="inlineStr">
        <is>
          <t>1924-11-08</t>
        </is>
      </c>
    </row>
    <row r="9106">
      <c r="A9106" s="1" t="n">
        <v>9105</v>
      </c>
      <c r="B9106">
        <f>TEXT(9105, "[$-0E0000]yyyy-mm-dd")</f>
        <v/>
      </c>
      <c r="C9106" t="inlineStr">
        <is>
          <t>1924-11-09</t>
        </is>
      </c>
    </row>
    <row r="9107">
      <c r="A9107" s="1" t="n">
        <v>9106</v>
      </c>
      <c r="B9107">
        <f>TEXT(9106, "[$-0E0000]yyyy-mm-dd")</f>
        <v/>
      </c>
      <c r="C9107" t="inlineStr">
        <is>
          <t>1924-11-10</t>
        </is>
      </c>
    </row>
    <row r="9108">
      <c r="A9108" s="1" t="n">
        <v>9107</v>
      </c>
      <c r="B9108">
        <f>TEXT(9107, "[$-0E0000]yyyy-mm-dd")</f>
        <v/>
      </c>
      <c r="C9108" t="inlineStr">
        <is>
          <t>1924-11-11</t>
        </is>
      </c>
    </row>
    <row r="9109">
      <c r="A9109" s="1" t="n">
        <v>9108</v>
      </c>
      <c r="B9109">
        <f>TEXT(9108, "[$-0E0000]yyyy-mm-dd")</f>
        <v/>
      </c>
      <c r="C9109" t="inlineStr">
        <is>
          <t>1924-11-12</t>
        </is>
      </c>
    </row>
    <row r="9110">
      <c r="A9110" s="1" t="n">
        <v>9109</v>
      </c>
      <c r="B9110">
        <f>TEXT(9109, "[$-0E0000]yyyy-mm-dd")</f>
        <v/>
      </c>
      <c r="C9110" t="inlineStr">
        <is>
          <t>1924-11-13</t>
        </is>
      </c>
    </row>
    <row r="9111">
      <c r="A9111" s="1" t="n">
        <v>9110</v>
      </c>
      <c r="B9111">
        <f>TEXT(9110, "[$-0E0000]yyyy-mm-dd")</f>
        <v/>
      </c>
      <c r="C9111" t="inlineStr">
        <is>
          <t>1924-11-14</t>
        </is>
      </c>
    </row>
    <row r="9112">
      <c r="A9112" s="1" t="n">
        <v>9111</v>
      </c>
      <c r="B9112">
        <f>TEXT(9111, "[$-0E0000]yyyy-mm-dd")</f>
        <v/>
      </c>
      <c r="C9112" t="inlineStr">
        <is>
          <t>1924-11-15</t>
        </is>
      </c>
    </row>
    <row r="9113">
      <c r="A9113" s="1" t="n">
        <v>9112</v>
      </c>
      <c r="B9113">
        <f>TEXT(9112, "[$-0E0000]yyyy-mm-dd")</f>
        <v/>
      </c>
      <c r="C9113" t="inlineStr">
        <is>
          <t>1924-11-16</t>
        </is>
      </c>
    </row>
    <row r="9114">
      <c r="A9114" s="1" t="n">
        <v>9113</v>
      </c>
      <c r="B9114">
        <f>TEXT(9113, "[$-0E0000]yyyy-mm-dd")</f>
        <v/>
      </c>
      <c r="C9114" t="inlineStr">
        <is>
          <t>1924-11-17</t>
        </is>
      </c>
    </row>
    <row r="9115">
      <c r="A9115" s="1" t="n">
        <v>9114</v>
      </c>
      <c r="B9115">
        <f>TEXT(9114, "[$-0E0000]yyyy-mm-dd")</f>
        <v/>
      </c>
      <c r="C9115" t="inlineStr">
        <is>
          <t>1924-11-18</t>
        </is>
      </c>
    </row>
    <row r="9116">
      <c r="A9116" s="1" t="n">
        <v>9115</v>
      </c>
      <c r="B9116">
        <f>TEXT(9115, "[$-0E0000]yyyy-mm-dd")</f>
        <v/>
      </c>
      <c r="C9116" t="inlineStr">
        <is>
          <t>1924-11-19</t>
        </is>
      </c>
    </row>
    <row r="9117">
      <c r="A9117" s="1" t="n">
        <v>9116</v>
      </c>
      <c r="B9117">
        <f>TEXT(9116, "[$-0E0000]yyyy-mm-dd")</f>
        <v/>
      </c>
      <c r="C9117" t="inlineStr">
        <is>
          <t>1924-11-20</t>
        </is>
      </c>
    </row>
    <row r="9118">
      <c r="A9118" s="1" t="n">
        <v>9117</v>
      </c>
      <c r="B9118">
        <f>TEXT(9117, "[$-0E0000]yyyy-mm-dd")</f>
        <v/>
      </c>
      <c r="C9118" t="inlineStr">
        <is>
          <t>1924-11-21</t>
        </is>
      </c>
    </row>
    <row r="9119">
      <c r="A9119" s="1" t="n">
        <v>9118</v>
      </c>
      <c r="B9119">
        <f>TEXT(9118, "[$-0E0000]yyyy-mm-dd")</f>
        <v/>
      </c>
      <c r="C9119" t="inlineStr">
        <is>
          <t>1924-11-22</t>
        </is>
      </c>
    </row>
    <row r="9120">
      <c r="A9120" s="1" t="n">
        <v>9119</v>
      </c>
      <c r="B9120">
        <f>TEXT(9119, "[$-0E0000]yyyy-mm-dd")</f>
        <v/>
      </c>
      <c r="C9120" t="inlineStr">
        <is>
          <t>1924-11-23</t>
        </is>
      </c>
    </row>
    <row r="9121">
      <c r="A9121" s="1" t="n">
        <v>9120</v>
      </c>
      <c r="B9121">
        <f>TEXT(9120, "[$-0E0000]yyyy-mm-dd")</f>
        <v/>
      </c>
      <c r="C9121" t="inlineStr">
        <is>
          <t>1924-11-24</t>
        </is>
      </c>
    </row>
    <row r="9122">
      <c r="A9122" s="1" t="n">
        <v>9121</v>
      </c>
      <c r="B9122">
        <f>TEXT(9121, "[$-0E0000]yyyy-mm-dd")</f>
        <v/>
      </c>
      <c r="C9122" t="inlineStr">
        <is>
          <t>1924-11-25</t>
        </is>
      </c>
    </row>
    <row r="9123">
      <c r="A9123" s="1" t="n">
        <v>9122</v>
      </c>
      <c r="B9123">
        <f>TEXT(9122, "[$-0E0000]yyyy-mm-dd")</f>
        <v/>
      </c>
      <c r="C9123" t="inlineStr">
        <is>
          <t>1924-11-26</t>
        </is>
      </c>
    </row>
    <row r="9124">
      <c r="A9124" s="1" t="n">
        <v>9123</v>
      </c>
      <c r="B9124">
        <f>TEXT(9123, "[$-0E0000]yyyy-mm-dd")</f>
        <v/>
      </c>
      <c r="C9124" t="inlineStr">
        <is>
          <t>1924-11-27</t>
        </is>
      </c>
    </row>
    <row r="9125">
      <c r="A9125" s="1" t="n">
        <v>9124</v>
      </c>
      <c r="B9125">
        <f>TEXT(9124, "[$-0E0000]yyyy-mm-dd")</f>
        <v/>
      </c>
      <c r="C9125" t="inlineStr">
        <is>
          <t>1924-11-28</t>
        </is>
      </c>
    </row>
    <row r="9126">
      <c r="A9126" s="1" t="n">
        <v>9125</v>
      </c>
      <c r="B9126">
        <f>TEXT(9125, "[$-0E0000]yyyy-mm-dd")</f>
        <v/>
      </c>
      <c r="C9126" t="inlineStr">
        <is>
          <t>1924-11-29</t>
        </is>
      </c>
    </row>
    <row r="9127">
      <c r="A9127" s="1" t="n">
        <v>9126</v>
      </c>
      <c r="B9127">
        <f>TEXT(9126, "[$-0E0000]yyyy-mm-dd")</f>
        <v/>
      </c>
      <c r="C9127" t="inlineStr">
        <is>
          <t>1924-12-01</t>
        </is>
      </c>
    </row>
    <row r="9128">
      <c r="A9128" s="1" t="n">
        <v>9127</v>
      </c>
      <c r="B9128">
        <f>TEXT(9127, "[$-0E0000]yyyy-mm-dd")</f>
        <v/>
      </c>
      <c r="C9128" t="inlineStr">
        <is>
          <t>1924-12-02</t>
        </is>
      </c>
    </row>
    <row r="9129">
      <c r="A9129" s="1" t="n">
        <v>9128</v>
      </c>
      <c r="B9129">
        <f>TEXT(9128, "[$-0E0000]yyyy-mm-dd")</f>
        <v/>
      </c>
      <c r="C9129" t="inlineStr">
        <is>
          <t>1924-12-03</t>
        </is>
      </c>
    </row>
    <row r="9130">
      <c r="A9130" s="1" t="n">
        <v>9129</v>
      </c>
      <c r="B9130">
        <f>TEXT(9129, "[$-0E0000]yyyy-mm-dd")</f>
        <v/>
      </c>
      <c r="C9130" t="inlineStr">
        <is>
          <t>1924-12-04</t>
        </is>
      </c>
    </row>
    <row r="9131">
      <c r="A9131" s="1" t="n">
        <v>9130</v>
      </c>
      <c r="B9131">
        <f>TEXT(9130, "[$-0E0000]yyyy-mm-dd")</f>
        <v/>
      </c>
      <c r="C9131" t="inlineStr">
        <is>
          <t>1924-12-05</t>
        </is>
      </c>
    </row>
    <row r="9132">
      <c r="A9132" s="1" t="n">
        <v>9131</v>
      </c>
      <c r="B9132">
        <f>TEXT(9131, "[$-0E0000]yyyy-mm-dd")</f>
        <v/>
      </c>
      <c r="C9132" t="inlineStr">
        <is>
          <t>1924-12-06</t>
        </is>
      </c>
    </row>
    <row r="9133">
      <c r="A9133" s="1" t="n">
        <v>9132</v>
      </c>
      <c r="B9133">
        <f>TEXT(9132, "[$-0E0000]yyyy-mm-dd")</f>
        <v/>
      </c>
      <c r="C9133" t="inlineStr">
        <is>
          <t>1924-12-07</t>
        </is>
      </c>
    </row>
    <row r="9134">
      <c r="A9134" s="1" t="n">
        <v>9133</v>
      </c>
      <c r="B9134">
        <f>TEXT(9133, "[$-0E0000]yyyy-mm-dd")</f>
        <v/>
      </c>
      <c r="C9134" t="inlineStr">
        <is>
          <t>1924-12-08</t>
        </is>
      </c>
    </row>
    <row r="9135">
      <c r="A9135" s="1" t="n">
        <v>9134</v>
      </c>
      <c r="B9135">
        <f>TEXT(9134, "[$-0E0000]yyyy-mm-dd")</f>
        <v/>
      </c>
      <c r="C9135" t="inlineStr">
        <is>
          <t>1924-12-09</t>
        </is>
      </c>
    </row>
    <row r="9136">
      <c r="A9136" s="1" t="n">
        <v>9135</v>
      </c>
      <c r="B9136">
        <f>TEXT(9135, "[$-0E0000]yyyy-mm-dd")</f>
        <v/>
      </c>
      <c r="C9136" t="inlineStr">
        <is>
          <t>1924-12-10</t>
        </is>
      </c>
    </row>
    <row r="9137">
      <c r="A9137" s="1" t="n">
        <v>9136</v>
      </c>
      <c r="B9137">
        <f>TEXT(9136, "[$-0E0000]yyyy-mm-dd")</f>
        <v/>
      </c>
      <c r="C9137" t="inlineStr">
        <is>
          <t>1924-12-11</t>
        </is>
      </c>
    </row>
    <row r="9138">
      <c r="A9138" s="1" t="n">
        <v>9137</v>
      </c>
      <c r="B9138">
        <f>TEXT(9137, "[$-0E0000]yyyy-mm-dd")</f>
        <v/>
      </c>
      <c r="C9138" t="inlineStr">
        <is>
          <t>1924-12-12</t>
        </is>
      </c>
    </row>
    <row r="9139">
      <c r="A9139" s="1" t="n">
        <v>9138</v>
      </c>
      <c r="B9139">
        <f>TEXT(9138, "[$-0E0000]yyyy-mm-dd")</f>
        <v/>
      </c>
      <c r="C9139" t="inlineStr">
        <is>
          <t>1924-12-13</t>
        </is>
      </c>
    </row>
    <row r="9140">
      <c r="A9140" s="1" t="n">
        <v>9139</v>
      </c>
      <c r="B9140">
        <f>TEXT(9139, "[$-0E0000]yyyy-mm-dd")</f>
        <v/>
      </c>
      <c r="C9140" t="inlineStr">
        <is>
          <t>1924-12-14</t>
        </is>
      </c>
    </row>
    <row r="9141">
      <c r="A9141" s="1" t="n">
        <v>9140</v>
      </c>
      <c r="B9141">
        <f>TEXT(9140, "[$-0E0000]yyyy-mm-dd")</f>
        <v/>
      </c>
      <c r="C9141" t="inlineStr">
        <is>
          <t>1924-12-15</t>
        </is>
      </c>
    </row>
    <row r="9142">
      <c r="A9142" s="1" t="n">
        <v>9141</v>
      </c>
      <c r="B9142">
        <f>TEXT(9141, "[$-0E0000]yyyy-mm-dd")</f>
        <v/>
      </c>
      <c r="C9142" t="inlineStr">
        <is>
          <t>1924-12-16</t>
        </is>
      </c>
    </row>
    <row r="9143">
      <c r="A9143" s="1" t="n">
        <v>9142</v>
      </c>
      <c r="B9143">
        <f>TEXT(9142, "[$-0E0000]yyyy-mm-dd")</f>
        <v/>
      </c>
      <c r="C9143" t="inlineStr">
        <is>
          <t>1924-12-17</t>
        </is>
      </c>
    </row>
    <row r="9144">
      <c r="A9144" s="1" t="n">
        <v>9143</v>
      </c>
      <c r="B9144">
        <f>TEXT(9143, "[$-0E0000]yyyy-mm-dd")</f>
        <v/>
      </c>
      <c r="C9144" t="inlineStr">
        <is>
          <t>1924-12-18</t>
        </is>
      </c>
    </row>
    <row r="9145">
      <c r="A9145" s="1" t="n">
        <v>9144</v>
      </c>
      <c r="B9145">
        <f>TEXT(9144, "[$-0E0000]yyyy-mm-dd")</f>
        <v/>
      </c>
      <c r="C9145" t="inlineStr">
        <is>
          <t>1924-12-19</t>
        </is>
      </c>
    </row>
    <row r="9146">
      <c r="A9146" s="1" t="n">
        <v>9145</v>
      </c>
      <c r="B9146">
        <f>TEXT(9145, "[$-0E0000]yyyy-mm-dd")</f>
        <v/>
      </c>
      <c r="C9146" t="inlineStr">
        <is>
          <t>1924-12-20</t>
        </is>
      </c>
    </row>
    <row r="9147">
      <c r="A9147" s="1" t="n">
        <v>9146</v>
      </c>
      <c r="B9147">
        <f>TEXT(9146, "[$-0E0000]yyyy-mm-dd")</f>
        <v/>
      </c>
      <c r="C9147" t="inlineStr">
        <is>
          <t>1924-12-21</t>
        </is>
      </c>
    </row>
    <row r="9148">
      <c r="A9148" s="1" t="n">
        <v>9147</v>
      </c>
      <c r="B9148">
        <f>TEXT(9147, "[$-0E0000]yyyy-mm-dd")</f>
        <v/>
      </c>
      <c r="C9148" t="inlineStr">
        <is>
          <t>1924-12-22</t>
        </is>
      </c>
    </row>
    <row r="9149">
      <c r="A9149" s="1" t="n">
        <v>9148</v>
      </c>
      <c r="B9149">
        <f>TEXT(9148, "[$-0E0000]yyyy-mm-dd")</f>
        <v/>
      </c>
      <c r="C9149" t="inlineStr">
        <is>
          <t>1924-12-23</t>
        </is>
      </c>
    </row>
    <row r="9150">
      <c r="A9150" s="1" t="n">
        <v>9149</v>
      </c>
      <c r="B9150">
        <f>TEXT(9149, "[$-0E0000]yyyy-mm-dd")</f>
        <v/>
      </c>
      <c r="C9150" t="inlineStr">
        <is>
          <t>1924-12-24</t>
        </is>
      </c>
    </row>
    <row r="9151">
      <c r="A9151" s="1" t="n">
        <v>9150</v>
      </c>
      <c r="B9151">
        <f>TEXT(9150, "[$-0E0000]yyyy-mm-dd")</f>
        <v/>
      </c>
      <c r="C9151" t="inlineStr">
        <is>
          <t>1924-12-25</t>
        </is>
      </c>
    </row>
    <row r="9152">
      <c r="A9152" s="1" t="n">
        <v>9151</v>
      </c>
      <c r="B9152">
        <f>TEXT(9151, "[$-0E0000]yyyy-mm-dd")</f>
        <v/>
      </c>
      <c r="C9152" t="inlineStr">
        <is>
          <t>1924-12-26</t>
        </is>
      </c>
    </row>
    <row r="9153">
      <c r="A9153" s="1" t="n">
        <v>9152</v>
      </c>
      <c r="B9153">
        <f>TEXT(9152, "[$-0E0000]yyyy-mm-dd")</f>
        <v/>
      </c>
      <c r="C9153" t="inlineStr">
        <is>
          <t>1924-12-27</t>
        </is>
      </c>
    </row>
    <row r="9154">
      <c r="A9154" s="1" t="n">
        <v>9153</v>
      </c>
      <c r="B9154">
        <f>TEXT(9153, "[$-0E0000]yyyy-mm-dd")</f>
        <v/>
      </c>
      <c r="C9154" t="inlineStr">
        <is>
          <t>1924-12-28</t>
        </is>
      </c>
    </row>
    <row r="9155">
      <c r="A9155" s="1" t="n">
        <v>9154</v>
      </c>
      <c r="B9155">
        <f>TEXT(9154, "[$-0E0000]yyyy-mm-dd")</f>
        <v/>
      </c>
      <c r="C9155" t="inlineStr">
        <is>
          <t>1924-12-29</t>
        </is>
      </c>
    </row>
    <row r="9156">
      <c r="A9156" s="1" t="n">
        <v>9155</v>
      </c>
      <c r="B9156">
        <f>TEXT(9155, "[$-0E0000]yyyy-mm-dd")</f>
        <v/>
      </c>
      <c r="C9156" t="inlineStr">
        <is>
          <t>1925-01-01</t>
        </is>
      </c>
    </row>
    <row r="9157">
      <c r="A9157" s="1" t="n">
        <v>9156</v>
      </c>
      <c r="B9157">
        <f>TEXT(9156, "[$-0E0000]yyyy-mm-dd")</f>
        <v/>
      </c>
      <c r="C9157" t="inlineStr">
        <is>
          <t>1925-01-02</t>
        </is>
      </c>
    </row>
    <row r="9158">
      <c r="A9158" s="1" t="n">
        <v>9157</v>
      </c>
      <c r="B9158">
        <f>TEXT(9157, "[$-0E0000]yyyy-mm-dd")</f>
        <v/>
      </c>
      <c r="C9158" t="inlineStr">
        <is>
          <t>1925-01-03</t>
        </is>
      </c>
    </row>
    <row r="9159">
      <c r="A9159" s="1" t="n">
        <v>9158</v>
      </c>
      <c r="B9159">
        <f>TEXT(9158, "[$-0E0000]yyyy-mm-dd")</f>
        <v/>
      </c>
      <c r="C9159" t="inlineStr">
        <is>
          <t>1925-01-04</t>
        </is>
      </c>
    </row>
    <row r="9160">
      <c r="A9160" s="1" t="n">
        <v>9159</v>
      </c>
      <c r="B9160">
        <f>TEXT(9159, "[$-0E0000]yyyy-mm-dd")</f>
        <v/>
      </c>
      <c r="C9160" t="inlineStr">
        <is>
          <t>1925-01-05</t>
        </is>
      </c>
    </row>
    <row r="9161">
      <c r="A9161" s="1" t="n">
        <v>9160</v>
      </c>
      <c r="B9161">
        <f>TEXT(9160, "[$-0E0000]yyyy-mm-dd")</f>
        <v/>
      </c>
      <c r="C9161" t="inlineStr">
        <is>
          <t>1925-01-06</t>
        </is>
      </c>
    </row>
    <row r="9162">
      <c r="A9162" s="1" t="n">
        <v>9161</v>
      </c>
      <c r="B9162">
        <f>TEXT(9161, "[$-0E0000]yyyy-mm-dd")</f>
        <v/>
      </c>
      <c r="C9162" t="inlineStr">
        <is>
          <t>1925-01-07</t>
        </is>
      </c>
    </row>
    <row r="9163">
      <c r="A9163" s="1" t="n">
        <v>9162</v>
      </c>
      <c r="B9163">
        <f>TEXT(9162, "[$-0E0000]yyyy-mm-dd")</f>
        <v/>
      </c>
      <c r="C9163" t="inlineStr">
        <is>
          <t>1925-01-08</t>
        </is>
      </c>
    </row>
    <row r="9164">
      <c r="A9164" s="1" t="n">
        <v>9163</v>
      </c>
      <c r="B9164">
        <f>TEXT(9163, "[$-0E0000]yyyy-mm-dd")</f>
        <v/>
      </c>
      <c r="C9164" t="inlineStr">
        <is>
          <t>1925-01-09</t>
        </is>
      </c>
    </row>
    <row r="9165">
      <c r="A9165" s="1" t="n">
        <v>9164</v>
      </c>
      <c r="B9165">
        <f>TEXT(9164, "[$-0E0000]yyyy-mm-dd")</f>
        <v/>
      </c>
      <c r="C9165" t="inlineStr">
        <is>
          <t>1925-01-10</t>
        </is>
      </c>
    </row>
    <row r="9166">
      <c r="A9166" s="1" t="n">
        <v>9165</v>
      </c>
      <c r="B9166">
        <f>TEXT(9165, "[$-0E0000]yyyy-mm-dd")</f>
        <v/>
      </c>
      <c r="C9166" t="inlineStr">
        <is>
          <t>1925-01-11</t>
        </is>
      </c>
    </row>
    <row r="9167">
      <c r="A9167" s="1" t="n">
        <v>9166</v>
      </c>
      <c r="B9167">
        <f>TEXT(9166, "[$-0E0000]yyyy-mm-dd")</f>
        <v/>
      </c>
      <c r="C9167" t="inlineStr">
        <is>
          <t>1925-01-12</t>
        </is>
      </c>
    </row>
    <row r="9168">
      <c r="A9168" s="1" t="n">
        <v>9167</v>
      </c>
      <c r="B9168">
        <f>TEXT(9167, "[$-0E0000]yyyy-mm-dd")</f>
        <v/>
      </c>
      <c r="C9168" t="inlineStr">
        <is>
          <t>1925-01-13</t>
        </is>
      </c>
    </row>
    <row r="9169">
      <c r="A9169" s="1" t="n">
        <v>9168</v>
      </c>
      <c r="B9169">
        <f>TEXT(9168, "[$-0E0000]yyyy-mm-dd")</f>
        <v/>
      </c>
      <c r="C9169" t="inlineStr">
        <is>
          <t>1925-01-14</t>
        </is>
      </c>
    </row>
    <row r="9170">
      <c r="A9170" s="1" t="n">
        <v>9169</v>
      </c>
      <c r="B9170">
        <f>TEXT(9169, "[$-0E0000]yyyy-mm-dd")</f>
        <v/>
      </c>
      <c r="C9170" t="inlineStr">
        <is>
          <t>1925-01-15</t>
        </is>
      </c>
    </row>
    <row r="9171">
      <c r="A9171" s="1" t="n">
        <v>9170</v>
      </c>
      <c r="B9171">
        <f>TEXT(9170, "[$-0E0000]yyyy-mm-dd")</f>
        <v/>
      </c>
      <c r="C9171" t="inlineStr">
        <is>
          <t>1925-01-16</t>
        </is>
      </c>
    </row>
    <row r="9172">
      <c r="A9172" s="1" t="n">
        <v>9171</v>
      </c>
      <c r="B9172">
        <f>TEXT(9171, "[$-0E0000]yyyy-mm-dd")</f>
        <v/>
      </c>
      <c r="C9172" t="inlineStr">
        <is>
          <t>1925-01-17</t>
        </is>
      </c>
    </row>
    <row r="9173">
      <c r="A9173" s="1" t="n">
        <v>9172</v>
      </c>
      <c r="B9173">
        <f>TEXT(9172, "[$-0E0000]yyyy-mm-dd")</f>
        <v/>
      </c>
      <c r="C9173" t="inlineStr">
        <is>
          <t>1925-01-18</t>
        </is>
      </c>
    </row>
    <row r="9174">
      <c r="A9174" s="1" t="n">
        <v>9173</v>
      </c>
      <c r="B9174">
        <f>TEXT(9173, "[$-0E0000]yyyy-mm-dd")</f>
        <v/>
      </c>
      <c r="C9174" t="inlineStr">
        <is>
          <t>1925-01-19</t>
        </is>
      </c>
    </row>
    <row r="9175">
      <c r="A9175" s="1" t="n">
        <v>9174</v>
      </c>
      <c r="B9175">
        <f>TEXT(9174, "[$-0E0000]yyyy-mm-dd")</f>
        <v/>
      </c>
      <c r="C9175" t="inlineStr">
        <is>
          <t>1925-01-20</t>
        </is>
      </c>
    </row>
    <row r="9176">
      <c r="A9176" s="1" t="n">
        <v>9175</v>
      </c>
      <c r="B9176">
        <f>TEXT(9175, "[$-0E0000]yyyy-mm-dd")</f>
        <v/>
      </c>
      <c r="C9176" t="inlineStr">
        <is>
          <t>1925-01-21</t>
        </is>
      </c>
    </row>
    <row r="9177">
      <c r="A9177" s="1" t="n">
        <v>9176</v>
      </c>
      <c r="B9177">
        <f>TEXT(9176, "[$-0E0000]yyyy-mm-dd")</f>
        <v/>
      </c>
      <c r="C9177" t="inlineStr">
        <is>
          <t>1925-01-22</t>
        </is>
      </c>
    </row>
    <row r="9178">
      <c r="A9178" s="1" t="n">
        <v>9177</v>
      </c>
      <c r="B9178">
        <f>TEXT(9177, "[$-0E0000]yyyy-mm-dd")</f>
        <v/>
      </c>
      <c r="C9178" t="inlineStr">
        <is>
          <t>1925-01-23</t>
        </is>
      </c>
    </row>
    <row r="9179">
      <c r="A9179" s="1" t="n">
        <v>9178</v>
      </c>
      <c r="B9179">
        <f>TEXT(9178, "[$-0E0000]yyyy-mm-dd")</f>
        <v/>
      </c>
      <c r="C9179" t="inlineStr">
        <is>
          <t>1925-01-24</t>
        </is>
      </c>
    </row>
    <row r="9180">
      <c r="A9180" s="1" t="n">
        <v>9179</v>
      </c>
      <c r="B9180">
        <f>TEXT(9179, "[$-0E0000]yyyy-mm-dd")</f>
        <v/>
      </c>
      <c r="C9180" t="inlineStr">
        <is>
          <t>1925-01-25</t>
        </is>
      </c>
    </row>
    <row r="9181">
      <c r="A9181" s="1" t="n">
        <v>9180</v>
      </c>
      <c r="B9181">
        <f>TEXT(9180, "[$-0E0000]yyyy-mm-dd")</f>
        <v/>
      </c>
      <c r="C9181" t="inlineStr">
        <is>
          <t>1925-01-26</t>
        </is>
      </c>
    </row>
    <row r="9182">
      <c r="A9182" s="1" t="n">
        <v>9181</v>
      </c>
      <c r="B9182">
        <f>TEXT(9181, "[$-0E0000]yyyy-mm-dd")</f>
        <v/>
      </c>
      <c r="C9182" t="inlineStr">
        <is>
          <t>1925-01-27</t>
        </is>
      </c>
    </row>
    <row r="9183">
      <c r="A9183" s="1" t="n">
        <v>9182</v>
      </c>
      <c r="B9183">
        <f>TEXT(9182, "[$-0E0000]yyyy-mm-dd")</f>
        <v/>
      </c>
      <c r="C9183" t="inlineStr">
        <is>
          <t>1925-01-28</t>
        </is>
      </c>
    </row>
    <row r="9184">
      <c r="A9184" s="1" t="n">
        <v>9183</v>
      </c>
      <c r="B9184">
        <f>TEXT(9183, "[$-0E0000]yyyy-mm-dd")</f>
        <v/>
      </c>
      <c r="C9184" t="inlineStr">
        <is>
          <t>1925-01-29</t>
        </is>
      </c>
    </row>
    <row r="9185">
      <c r="A9185" s="1" t="n">
        <v>9184</v>
      </c>
      <c r="B9185">
        <f>TEXT(9184, "[$-0E0000]yyyy-mm-dd")</f>
        <v/>
      </c>
      <c r="C9185" t="inlineStr">
        <is>
          <t>1925-01-30</t>
        </is>
      </c>
    </row>
    <row r="9186">
      <c r="A9186" s="1" t="n">
        <v>9185</v>
      </c>
      <c r="B9186">
        <f>TEXT(9185, "[$-0E0000]yyyy-mm-dd")</f>
        <v/>
      </c>
      <c r="C9186" t="inlineStr">
        <is>
          <t>1925-02-01</t>
        </is>
      </c>
    </row>
    <row r="9187">
      <c r="A9187" s="1" t="n">
        <v>9186</v>
      </c>
      <c r="B9187">
        <f>TEXT(9186, "[$-0E0000]yyyy-mm-dd")</f>
        <v/>
      </c>
      <c r="C9187" t="inlineStr">
        <is>
          <t>1925-02-02</t>
        </is>
      </c>
    </row>
    <row r="9188">
      <c r="A9188" s="1" t="n">
        <v>9187</v>
      </c>
      <c r="B9188">
        <f>TEXT(9187, "[$-0E0000]yyyy-mm-dd")</f>
        <v/>
      </c>
      <c r="C9188" t="inlineStr">
        <is>
          <t>1925-02-03</t>
        </is>
      </c>
    </row>
    <row r="9189">
      <c r="A9189" s="1" t="n">
        <v>9188</v>
      </c>
      <c r="B9189">
        <f>TEXT(9188, "[$-0E0000]yyyy-mm-dd")</f>
        <v/>
      </c>
      <c r="C9189" t="inlineStr">
        <is>
          <t>1925-02-04</t>
        </is>
      </c>
    </row>
    <row r="9190">
      <c r="A9190" s="1" t="n">
        <v>9189</v>
      </c>
      <c r="B9190">
        <f>TEXT(9189, "[$-0E0000]yyyy-mm-dd")</f>
        <v/>
      </c>
      <c r="C9190" t="inlineStr">
        <is>
          <t>1925-02-05</t>
        </is>
      </c>
    </row>
    <row r="9191">
      <c r="A9191" s="1" t="n">
        <v>9190</v>
      </c>
      <c r="B9191">
        <f>TEXT(9190, "[$-0E0000]yyyy-mm-dd")</f>
        <v/>
      </c>
      <c r="C9191" t="inlineStr">
        <is>
          <t>1925-02-06</t>
        </is>
      </c>
    </row>
    <row r="9192">
      <c r="A9192" s="1" t="n">
        <v>9191</v>
      </c>
      <c r="B9192">
        <f>TEXT(9191, "[$-0E0000]yyyy-mm-dd")</f>
        <v/>
      </c>
      <c r="C9192" t="inlineStr">
        <is>
          <t>1925-02-07</t>
        </is>
      </c>
    </row>
    <row r="9193">
      <c r="A9193" s="1" t="n">
        <v>9192</v>
      </c>
      <c r="B9193">
        <f>TEXT(9192, "[$-0E0000]yyyy-mm-dd")</f>
        <v/>
      </c>
      <c r="C9193" t="inlineStr">
        <is>
          <t>1925-02-08</t>
        </is>
      </c>
    </row>
    <row r="9194">
      <c r="A9194" s="1" t="n">
        <v>9193</v>
      </c>
      <c r="B9194">
        <f>TEXT(9193, "[$-0E0000]yyyy-mm-dd")</f>
        <v/>
      </c>
      <c r="C9194" t="inlineStr">
        <is>
          <t>1925-02-09</t>
        </is>
      </c>
    </row>
    <row r="9195">
      <c r="A9195" s="1" t="n">
        <v>9194</v>
      </c>
      <c r="B9195">
        <f>TEXT(9194, "[$-0E0000]yyyy-mm-dd")</f>
        <v/>
      </c>
      <c r="C9195" t="inlineStr">
        <is>
          <t>1925-02-10</t>
        </is>
      </c>
    </row>
    <row r="9196">
      <c r="A9196" s="1" t="n">
        <v>9195</v>
      </c>
      <c r="B9196">
        <f>TEXT(9195, "[$-0E0000]yyyy-mm-dd")</f>
        <v/>
      </c>
      <c r="C9196" t="inlineStr">
        <is>
          <t>1925-02-11</t>
        </is>
      </c>
    </row>
    <row r="9197">
      <c r="A9197" s="1" t="n">
        <v>9196</v>
      </c>
      <c r="B9197">
        <f>TEXT(9196, "[$-0E0000]yyyy-mm-dd")</f>
        <v/>
      </c>
      <c r="C9197" t="inlineStr">
        <is>
          <t>1925-02-12</t>
        </is>
      </c>
    </row>
    <row r="9198">
      <c r="A9198" s="1" t="n">
        <v>9197</v>
      </c>
      <c r="B9198">
        <f>TEXT(9197, "[$-0E0000]yyyy-mm-dd")</f>
        <v/>
      </c>
      <c r="C9198" t="inlineStr">
        <is>
          <t>1925-02-13</t>
        </is>
      </c>
    </row>
    <row r="9199">
      <c r="A9199" s="1" t="n">
        <v>9198</v>
      </c>
      <c r="B9199">
        <f>TEXT(9198, "[$-0E0000]yyyy-mm-dd")</f>
        <v/>
      </c>
      <c r="C9199" t="inlineStr">
        <is>
          <t>1925-02-14</t>
        </is>
      </c>
    </row>
    <row r="9200">
      <c r="A9200" s="1" t="n">
        <v>9199</v>
      </c>
      <c r="B9200">
        <f>TEXT(9199, "[$-0E0000]yyyy-mm-dd")</f>
        <v/>
      </c>
      <c r="C9200" t="inlineStr">
        <is>
          <t>1925-02-15</t>
        </is>
      </c>
    </row>
    <row r="9201">
      <c r="A9201" s="1" t="n">
        <v>9200</v>
      </c>
      <c r="B9201">
        <f>TEXT(9200, "[$-0E0000]yyyy-mm-dd")</f>
        <v/>
      </c>
      <c r="C9201" t="inlineStr">
        <is>
          <t>1925-02-16</t>
        </is>
      </c>
    </row>
    <row r="9202">
      <c r="A9202" s="1" t="n">
        <v>9201</v>
      </c>
      <c r="B9202">
        <f>TEXT(9201, "[$-0E0000]yyyy-mm-dd")</f>
        <v/>
      </c>
      <c r="C9202" t="inlineStr">
        <is>
          <t>1925-02-17</t>
        </is>
      </c>
    </row>
    <row r="9203">
      <c r="A9203" s="1" t="n">
        <v>9202</v>
      </c>
      <c r="B9203">
        <f>TEXT(9202, "[$-0E0000]yyyy-mm-dd")</f>
        <v/>
      </c>
      <c r="C9203" t="inlineStr">
        <is>
          <t>1925-02-18</t>
        </is>
      </c>
    </row>
    <row r="9204">
      <c r="A9204" s="1" t="n">
        <v>9203</v>
      </c>
      <c r="B9204">
        <f>TEXT(9203, "[$-0E0000]yyyy-mm-dd")</f>
        <v/>
      </c>
      <c r="C9204" t="inlineStr">
        <is>
          <t>1925-02-19</t>
        </is>
      </c>
    </row>
    <row r="9205">
      <c r="A9205" s="1" t="n">
        <v>9204</v>
      </c>
      <c r="B9205">
        <f>TEXT(9204, "[$-0E0000]yyyy-mm-dd")</f>
        <v/>
      </c>
      <c r="C9205" t="inlineStr">
        <is>
          <t>1925-02-20</t>
        </is>
      </c>
    </row>
    <row r="9206">
      <c r="A9206" s="1" t="n">
        <v>9205</v>
      </c>
      <c r="B9206">
        <f>TEXT(9205, "[$-0E0000]yyyy-mm-dd")</f>
        <v/>
      </c>
      <c r="C9206" t="inlineStr">
        <is>
          <t>1925-02-21</t>
        </is>
      </c>
    </row>
    <row r="9207">
      <c r="A9207" s="1" t="n">
        <v>9206</v>
      </c>
      <c r="B9207">
        <f>TEXT(9206, "[$-0E0000]yyyy-mm-dd")</f>
        <v/>
      </c>
      <c r="C9207" t="inlineStr">
        <is>
          <t>1925-02-22</t>
        </is>
      </c>
    </row>
    <row r="9208">
      <c r="A9208" s="1" t="n">
        <v>9207</v>
      </c>
      <c r="B9208">
        <f>TEXT(9207, "[$-0E0000]yyyy-mm-dd")</f>
        <v/>
      </c>
      <c r="C9208" t="inlineStr">
        <is>
          <t>1925-02-23</t>
        </is>
      </c>
    </row>
    <row r="9209">
      <c r="A9209" s="1" t="n">
        <v>9208</v>
      </c>
      <c r="B9209">
        <f>TEXT(9208, "[$-0E0000]yyyy-mm-dd")</f>
        <v/>
      </c>
      <c r="C9209" t="inlineStr">
        <is>
          <t>1925-02-24</t>
        </is>
      </c>
    </row>
    <row r="9210">
      <c r="A9210" s="1" t="n">
        <v>9209</v>
      </c>
      <c r="B9210">
        <f>TEXT(9209, "[$-0E0000]yyyy-mm-dd")</f>
        <v/>
      </c>
      <c r="C9210" t="inlineStr">
        <is>
          <t>1925-02-25</t>
        </is>
      </c>
    </row>
    <row r="9211">
      <c r="A9211" s="1" t="n">
        <v>9210</v>
      </c>
      <c r="B9211">
        <f>TEXT(9210, "[$-0E0000]yyyy-mm-dd")</f>
        <v/>
      </c>
      <c r="C9211" t="inlineStr">
        <is>
          <t>1925-02-26</t>
        </is>
      </c>
    </row>
    <row r="9212">
      <c r="A9212" s="1" t="n">
        <v>9211</v>
      </c>
      <c r="B9212">
        <f>TEXT(9211, "[$-0E0000]yyyy-mm-dd")</f>
        <v/>
      </c>
      <c r="C9212" t="inlineStr">
        <is>
          <t>1925-02-27</t>
        </is>
      </c>
    </row>
    <row r="9213">
      <c r="A9213" s="1" t="n">
        <v>9212</v>
      </c>
      <c r="B9213">
        <f>TEXT(9212, "[$-0E0000]yyyy-mm-dd")</f>
        <v/>
      </c>
      <c r="C9213" t="inlineStr">
        <is>
          <t>1925-02-28</t>
        </is>
      </c>
    </row>
    <row r="9214">
      <c r="A9214" s="1" t="n">
        <v>9213</v>
      </c>
      <c r="B9214">
        <f>TEXT(9213, "[$-0E0000]yyyy-mm-dd")</f>
        <v/>
      </c>
      <c r="C9214" t="inlineStr">
        <is>
          <t>1925-02-29</t>
        </is>
      </c>
    </row>
    <row r="9215">
      <c r="A9215" s="1" t="n">
        <v>9214</v>
      </c>
      <c r="B9215">
        <f>TEXT(9214, "[$-0E0000]yyyy-mm-dd")</f>
        <v/>
      </c>
      <c r="C9215" t="inlineStr">
        <is>
          <t>1925-03-01</t>
        </is>
      </c>
    </row>
    <row r="9216">
      <c r="A9216" s="1" t="n">
        <v>9215</v>
      </c>
      <c r="B9216">
        <f>TEXT(9215, "[$-0E0000]yyyy-mm-dd")</f>
        <v/>
      </c>
      <c r="C9216" t="inlineStr">
        <is>
          <t>1925-03-02</t>
        </is>
      </c>
    </row>
    <row r="9217">
      <c r="A9217" s="1" t="n">
        <v>9216</v>
      </c>
      <c r="B9217">
        <f>TEXT(9216, "[$-0E0000]yyyy-mm-dd")</f>
        <v/>
      </c>
      <c r="C9217" t="inlineStr">
        <is>
          <t>1925-03-03</t>
        </is>
      </c>
    </row>
    <row r="9218">
      <c r="A9218" s="1" t="n">
        <v>9217</v>
      </c>
      <c r="B9218">
        <f>TEXT(9217, "[$-0E0000]yyyy-mm-dd")</f>
        <v/>
      </c>
      <c r="C9218" t="inlineStr">
        <is>
          <t>1925-03-04</t>
        </is>
      </c>
    </row>
    <row r="9219">
      <c r="A9219" s="1" t="n">
        <v>9218</v>
      </c>
      <c r="B9219">
        <f>TEXT(9218, "[$-0E0000]yyyy-mm-dd")</f>
        <v/>
      </c>
      <c r="C9219" t="inlineStr">
        <is>
          <t>1925-03-05</t>
        </is>
      </c>
    </row>
    <row r="9220">
      <c r="A9220" s="1" t="n">
        <v>9219</v>
      </c>
      <c r="B9220">
        <f>TEXT(9219, "[$-0E0000]yyyy-mm-dd")</f>
        <v/>
      </c>
      <c r="C9220" t="inlineStr">
        <is>
          <t>1925-03-06</t>
        </is>
      </c>
    </row>
    <row r="9221">
      <c r="A9221" s="1" t="n">
        <v>9220</v>
      </c>
      <c r="B9221">
        <f>TEXT(9220, "[$-0E0000]yyyy-mm-dd")</f>
        <v/>
      </c>
      <c r="C9221" t="inlineStr">
        <is>
          <t>1925-03-07</t>
        </is>
      </c>
    </row>
    <row r="9222">
      <c r="A9222" s="1" t="n">
        <v>9221</v>
      </c>
      <c r="B9222">
        <f>TEXT(9221, "[$-0E0000]yyyy-mm-dd")</f>
        <v/>
      </c>
      <c r="C9222" t="inlineStr">
        <is>
          <t>1925-03-08</t>
        </is>
      </c>
    </row>
    <row r="9223">
      <c r="A9223" s="1" t="n">
        <v>9222</v>
      </c>
      <c r="B9223">
        <f>TEXT(9222, "[$-0E0000]yyyy-mm-dd")</f>
        <v/>
      </c>
      <c r="C9223" t="inlineStr">
        <is>
          <t>1925-03-09</t>
        </is>
      </c>
    </row>
    <row r="9224">
      <c r="A9224" s="1" t="n">
        <v>9223</v>
      </c>
      <c r="B9224">
        <f>TEXT(9223, "[$-0E0000]yyyy-mm-dd")</f>
        <v/>
      </c>
      <c r="C9224" t="inlineStr">
        <is>
          <t>1925-03-10</t>
        </is>
      </c>
    </row>
    <row r="9225">
      <c r="A9225" s="1" t="n">
        <v>9224</v>
      </c>
      <c r="B9225">
        <f>TEXT(9224, "[$-0E0000]yyyy-mm-dd")</f>
        <v/>
      </c>
      <c r="C9225" t="inlineStr">
        <is>
          <t>1925-03-11</t>
        </is>
      </c>
    </row>
    <row r="9226">
      <c r="A9226" s="1" t="n">
        <v>9225</v>
      </c>
      <c r="B9226">
        <f>TEXT(9225, "[$-0E0000]yyyy-mm-dd")</f>
        <v/>
      </c>
      <c r="C9226" t="inlineStr">
        <is>
          <t>1925-03-12</t>
        </is>
      </c>
    </row>
    <row r="9227">
      <c r="A9227" s="1" t="n">
        <v>9226</v>
      </c>
      <c r="B9227">
        <f>TEXT(9226, "[$-0E0000]yyyy-mm-dd")</f>
        <v/>
      </c>
      <c r="C9227" t="inlineStr">
        <is>
          <t>1925-03-13</t>
        </is>
      </c>
    </row>
    <row r="9228">
      <c r="A9228" s="1" t="n">
        <v>9227</v>
      </c>
      <c r="B9228">
        <f>TEXT(9227, "[$-0E0000]yyyy-mm-dd")</f>
        <v/>
      </c>
      <c r="C9228" t="inlineStr">
        <is>
          <t>1925-03-14</t>
        </is>
      </c>
    </row>
    <row r="9229">
      <c r="A9229" s="1" t="n">
        <v>9228</v>
      </c>
      <c r="B9229">
        <f>TEXT(9228, "[$-0E0000]yyyy-mm-dd")</f>
        <v/>
      </c>
      <c r="C9229" t="inlineStr">
        <is>
          <t>1925-03-15</t>
        </is>
      </c>
    </row>
    <row r="9230">
      <c r="A9230" s="1" t="n">
        <v>9229</v>
      </c>
      <c r="B9230">
        <f>TEXT(9229, "[$-0E0000]yyyy-mm-dd")</f>
        <v/>
      </c>
      <c r="C9230" t="inlineStr">
        <is>
          <t>1925-03-16</t>
        </is>
      </c>
    </row>
    <row r="9231">
      <c r="A9231" s="1" t="n">
        <v>9230</v>
      </c>
      <c r="B9231">
        <f>TEXT(9230, "[$-0E0000]yyyy-mm-dd")</f>
        <v/>
      </c>
      <c r="C9231" t="inlineStr">
        <is>
          <t>1925-03-17</t>
        </is>
      </c>
    </row>
    <row r="9232">
      <c r="A9232" s="1" t="n">
        <v>9231</v>
      </c>
      <c r="B9232">
        <f>TEXT(9231, "[$-0E0000]yyyy-mm-dd")</f>
        <v/>
      </c>
      <c r="C9232" t="inlineStr">
        <is>
          <t>1925-03-18</t>
        </is>
      </c>
    </row>
    <row r="9233">
      <c r="A9233" s="1" t="n">
        <v>9232</v>
      </c>
      <c r="B9233">
        <f>TEXT(9232, "[$-0E0000]yyyy-mm-dd")</f>
        <v/>
      </c>
      <c r="C9233" t="inlineStr">
        <is>
          <t>1925-03-19</t>
        </is>
      </c>
    </row>
    <row r="9234">
      <c r="A9234" s="1" t="n">
        <v>9233</v>
      </c>
      <c r="B9234">
        <f>TEXT(9233, "[$-0E0000]yyyy-mm-dd")</f>
        <v/>
      </c>
      <c r="C9234" t="inlineStr">
        <is>
          <t>1925-03-20</t>
        </is>
      </c>
    </row>
    <row r="9235">
      <c r="A9235" s="1" t="n">
        <v>9234</v>
      </c>
      <c r="B9235">
        <f>TEXT(9234, "[$-0E0000]yyyy-mm-dd")</f>
        <v/>
      </c>
      <c r="C9235" t="inlineStr">
        <is>
          <t>1925-03-21</t>
        </is>
      </c>
    </row>
    <row r="9236">
      <c r="A9236" s="1" t="n">
        <v>9235</v>
      </c>
      <c r="B9236">
        <f>TEXT(9235, "[$-0E0000]yyyy-mm-dd")</f>
        <v/>
      </c>
      <c r="C9236" t="inlineStr">
        <is>
          <t>1925-03-22</t>
        </is>
      </c>
    </row>
    <row r="9237">
      <c r="A9237" s="1" t="n">
        <v>9236</v>
      </c>
      <c r="B9237">
        <f>TEXT(9236, "[$-0E0000]yyyy-mm-dd")</f>
        <v/>
      </c>
      <c r="C9237" t="inlineStr">
        <is>
          <t>1925-03-23</t>
        </is>
      </c>
    </row>
    <row r="9238">
      <c r="A9238" s="1" t="n">
        <v>9237</v>
      </c>
      <c r="B9238">
        <f>TEXT(9237, "[$-0E0000]yyyy-mm-dd")</f>
        <v/>
      </c>
      <c r="C9238" t="inlineStr">
        <is>
          <t>1925-03-24</t>
        </is>
      </c>
    </row>
    <row r="9239">
      <c r="A9239" s="1" t="n">
        <v>9238</v>
      </c>
      <c r="B9239">
        <f>TEXT(9238, "[$-0E0000]yyyy-mm-dd")</f>
        <v/>
      </c>
      <c r="C9239" t="inlineStr">
        <is>
          <t>1925-03-25</t>
        </is>
      </c>
    </row>
    <row r="9240">
      <c r="A9240" s="1" t="n">
        <v>9239</v>
      </c>
      <c r="B9240">
        <f>TEXT(9239, "[$-0E0000]yyyy-mm-dd")</f>
        <v/>
      </c>
      <c r="C9240" t="inlineStr">
        <is>
          <t>1925-03-26</t>
        </is>
      </c>
    </row>
    <row r="9241">
      <c r="A9241" s="1" t="n">
        <v>9240</v>
      </c>
      <c r="B9241">
        <f>TEXT(9240, "[$-0E0000]yyyy-mm-dd")</f>
        <v/>
      </c>
      <c r="C9241" t="inlineStr">
        <is>
          <t>1925-03-27</t>
        </is>
      </c>
    </row>
    <row r="9242">
      <c r="A9242" s="1" t="n">
        <v>9241</v>
      </c>
      <c r="B9242">
        <f>TEXT(9241, "[$-0E0000]yyyy-mm-dd")</f>
        <v/>
      </c>
      <c r="C9242" t="inlineStr">
        <is>
          <t>1925-03-28</t>
        </is>
      </c>
    </row>
    <row r="9243">
      <c r="A9243" s="1" t="n">
        <v>9242</v>
      </c>
      <c r="B9243">
        <f>TEXT(9242, "[$-0E0000]yyyy-mm-dd")</f>
        <v/>
      </c>
      <c r="C9243" t="inlineStr">
        <is>
          <t>1925-03-29</t>
        </is>
      </c>
    </row>
    <row r="9244">
      <c r="A9244" s="1" t="n">
        <v>9243</v>
      </c>
      <c r="B9244">
        <f>TEXT(9243, "[$-0E0000]yyyy-mm-dd")</f>
        <v/>
      </c>
      <c r="C9244" t="inlineStr">
        <is>
          <t>1925-03-30</t>
        </is>
      </c>
    </row>
    <row r="9245">
      <c r="A9245" s="1" t="n">
        <v>9244</v>
      </c>
      <c r="B9245">
        <f>TEXT(9244, "[$-0E0000]yyyy-mm-dd")</f>
        <v/>
      </c>
      <c r="C9245" t="inlineStr">
        <is>
          <t>1925-04-01</t>
        </is>
      </c>
    </row>
    <row r="9246">
      <c r="A9246" s="1" t="n">
        <v>9245</v>
      </c>
      <c r="B9246">
        <f>TEXT(9245, "[$-0E0000]yyyy-mm-dd")</f>
        <v/>
      </c>
      <c r="C9246" t="inlineStr">
        <is>
          <t>1925-04-02</t>
        </is>
      </c>
    </row>
    <row r="9247">
      <c r="A9247" s="1" t="n">
        <v>9246</v>
      </c>
      <c r="B9247">
        <f>TEXT(9246, "[$-0E0000]yyyy-mm-dd")</f>
        <v/>
      </c>
      <c r="C9247" t="inlineStr">
        <is>
          <t>1925-04-03</t>
        </is>
      </c>
    </row>
    <row r="9248">
      <c r="A9248" s="1" t="n">
        <v>9247</v>
      </c>
      <c r="B9248">
        <f>TEXT(9247, "[$-0E0000]yyyy-mm-dd")</f>
        <v/>
      </c>
      <c r="C9248" t="inlineStr">
        <is>
          <t>1925-04-04</t>
        </is>
      </c>
    </row>
    <row r="9249">
      <c r="A9249" s="1" t="n">
        <v>9248</v>
      </c>
      <c r="B9249">
        <f>TEXT(9248, "[$-0E0000]yyyy-mm-dd")</f>
        <v/>
      </c>
      <c r="C9249" t="inlineStr">
        <is>
          <t>1925-04-05</t>
        </is>
      </c>
    </row>
    <row r="9250">
      <c r="A9250" s="1" t="n">
        <v>9249</v>
      </c>
      <c r="B9250">
        <f>TEXT(9249, "[$-0E0000]yyyy-mm-dd")</f>
        <v/>
      </c>
      <c r="C9250" t="inlineStr">
        <is>
          <t>1925-04-06</t>
        </is>
      </c>
    </row>
    <row r="9251">
      <c r="A9251" s="1" t="n">
        <v>9250</v>
      </c>
      <c r="B9251">
        <f>TEXT(9250, "[$-0E0000]yyyy-mm-dd")</f>
        <v/>
      </c>
      <c r="C9251" t="inlineStr">
        <is>
          <t>1925-04-07</t>
        </is>
      </c>
    </row>
    <row r="9252">
      <c r="A9252" s="1" t="n">
        <v>9251</v>
      </c>
      <c r="B9252">
        <f>TEXT(9251, "[$-0E0000]yyyy-mm-dd")</f>
        <v/>
      </c>
      <c r="C9252" t="inlineStr">
        <is>
          <t>1925-04-08</t>
        </is>
      </c>
    </row>
    <row r="9253">
      <c r="A9253" s="1" t="n">
        <v>9252</v>
      </c>
      <c r="B9253">
        <f>TEXT(9252, "[$-0E0000]yyyy-mm-dd")</f>
        <v/>
      </c>
      <c r="C9253" t="inlineStr">
        <is>
          <t>1925-04-09</t>
        </is>
      </c>
    </row>
    <row r="9254">
      <c r="A9254" s="1" t="n">
        <v>9253</v>
      </c>
      <c r="B9254">
        <f>TEXT(9253, "[$-0E0000]yyyy-mm-dd")</f>
        <v/>
      </c>
      <c r="C9254" t="inlineStr">
        <is>
          <t>1925-04-10</t>
        </is>
      </c>
    </row>
    <row r="9255">
      <c r="A9255" s="1" t="n">
        <v>9254</v>
      </c>
      <c r="B9255">
        <f>TEXT(9254, "[$-0E0000]yyyy-mm-dd")</f>
        <v/>
      </c>
      <c r="C9255" t="inlineStr">
        <is>
          <t>1925-04-11</t>
        </is>
      </c>
    </row>
    <row r="9256">
      <c r="A9256" s="1" t="n">
        <v>9255</v>
      </c>
      <c r="B9256">
        <f>TEXT(9255, "[$-0E0000]yyyy-mm-dd")</f>
        <v/>
      </c>
      <c r="C9256" t="inlineStr">
        <is>
          <t>1925-04-12</t>
        </is>
      </c>
    </row>
    <row r="9257">
      <c r="A9257" s="1" t="n">
        <v>9256</v>
      </c>
      <c r="B9257">
        <f>TEXT(9256, "[$-0E0000]yyyy-mm-dd")</f>
        <v/>
      </c>
      <c r="C9257" t="inlineStr">
        <is>
          <t>1925-04-13</t>
        </is>
      </c>
    </row>
    <row r="9258">
      <c r="A9258" s="1" t="n">
        <v>9257</v>
      </c>
      <c r="B9258">
        <f>TEXT(9257, "[$-0E0000]yyyy-mm-dd")</f>
        <v/>
      </c>
      <c r="C9258" t="inlineStr">
        <is>
          <t>1925-04-14</t>
        </is>
      </c>
    </row>
    <row r="9259">
      <c r="A9259" s="1" t="n">
        <v>9258</v>
      </c>
      <c r="B9259">
        <f>TEXT(9258, "[$-0E0000]yyyy-mm-dd")</f>
        <v/>
      </c>
      <c r="C9259" t="inlineStr">
        <is>
          <t>1925-04-15</t>
        </is>
      </c>
    </row>
    <row r="9260">
      <c r="A9260" s="1" t="n">
        <v>9259</v>
      </c>
      <c r="B9260">
        <f>TEXT(9259, "[$-0E0000]yyyy-mm-dd")</f>
        <v/>
      </c>
      <c r="C9260" t="inlineStr">
        <is>
          <t>1925-04-16</t>
        </is>
      </c>
    </row>
    <row r="9261">
      <c r="A9261" s="1" t="n">
        <v>9260</v>
      </c>
      <c r="B9261">
        <f>TEXT(9260, "[$-0E0000]yyyy-mm-dd")</f>
        <v/>
      </c>
      <c r="C9261" t="inlineStr">
        <is>
          <t>1925-04-17</t>
        </is>
      </c>
    </row>
    <row r="9262">
      <c r="A9262" s="1" t="n">
        <v>9261</v>
      </c>
      <c r="B9262">
        <f>TEXT(9261, "[$-0E0000]yyyy-mm-dd")</f>
        <v/>
      </c>
      <c r="C9262" t="inlineStr">
        <is>
          <t>1925-04-18</t>
        </is>
      </c>
    </row>
    <row r="9263">
      <c r="A9263" s="1" t="n">
        <v>9262</v>
      </c>
      <c r="B9263">
        <f>TEXT(9262, "[$-0E0000]yyyy-mm-dd")</f>
        <v/>
      </c>
      <c r="C9263" t="inlineStr">
        <is>
          <t>1925-04-19</t>
        </is>
      </c>
    </row>
    <row r="9264">
      <c r="A9264" s="1" t="n">
        <v>9263</v>
      </c>
      <c r="B9264">
        <f>TEXT(9263, "[$-0E0000]yyyy-mm-dd")</f>
        <v/>
      </c>
      <c r="C9264" t="inlineStr">
        <is>
          <t>1925-04-20</t>
        </is>
      </c>
    </row>
    <row r="9265">
      <c r="A9265" s="1" t="n">
        <v>9264</v>
      </c>
      <c r="B9265">
        <f>TEXT(9264, "[$-0E0000]yyyy-mm-dd")</f>
        <v/>
      </c>
      <c r="C9265" t="inlineStr">
        <is>
          <t>1925-04-21</t>
        </is>
      </c>
    </row>
    <row r="9266">
      <c r="A9266" s="1" t="n">
        <v>9265</v>
      </c>
      <c r="B9266">
        <f>TEXT(9265, "[$-0E0000]yyyy-mm-dd")</f>
        <v/>
      </c>
      <c r="C9266" t="inlineStr">
        <is>
          <t>1925-04-22</t>
        </is>
      </c>
    </row>
    <row r="9267">
      <c r="A9267" s="1" t="n">
        <v>9266</v>
      </c>
      <c r="B9267">
        <f>TEXT(9266, "[$-0E0000]yyyy-mm-dd")</f>
        <v/>
      </c>
      <c r="C9267" t="inlineStr">
        <is>
          <t>1925-04-23</t>
        </is>
      </c>
    </row>
    <row r="9268">
      <c r="A9268" s="1" t="n">
        <v>9267</v>
      </c>
      <c r="B9268">
        <f>TEXT(9267, "[$-0E0000]yyyy-mm-dd")</f>
        <v/>
      </c>
      <c r="C9268" t="inlineStr">
        <is>
          <t>1925-04-24</t>
        </is>
      </c>
    </row>
    <row r="9269">
      <c r="A9269" s="1" t="n">
        <v>9268</v>
      </c>
      <c r="B9269">
        <f>TEXT(9268, "[$-0E0000]yyyy-mm-dd")</f>
        <v/>
      </c>
      <c r="C9269" t="inlineStr">
        <is>
          <t>1925-04-25</t>
        </is>
      </c>
    </row>
    <row r="9270">
      <c r="A9270" s="1" t="n">
        <v>9269</v>
      </c>
      <c r="B9270">
        <f>TEXT(9269, "[$-0E0000]yyyy-mm-dd")</f>
        <v/>
      </c>
      <c r="C9270" t="inlineStr">
        <is>
          <t>1925-04-26</t>
        </is>
      </c>
    </row>
    <row r="9271">
      <c r="A9271" s="1" t="n">
        <v>9270</v>
      </c>
      <c r="B9271">
        <f>TEXT(9270, "[$-0E0000]yyyy-mm-dd")</f>
        <v/>
      </c>
      <c r="C9271" t="inlineStr">
        <is>
          <t>1925-04-27</t>
        </is>
      </c>
    </row>
    <row r="9272">
      <c r="A9272" s="1" t="n">
        <v>9271</v>
      </c>
      <c r="B9272">
        <f>TEXT(9271, "[$-0E0000]yyyy-mm-dd")</f>
        <v/>
      </c>
      <c r="C9272" t="inlineStr">
        <is>
          <t>1925-04-28</t>
        </is>
      </c>
    </row>
    <row r="9273">
      <c r="A9273" s="1" t="n">
        <v>9272</v>
      </c>
      <c r="B9273">
        <f>TEXT(9272, "[$-0E0000]yyyy-mm-dd")</f>
        <v/>
      </c>
      <c r="C9273" t="inlineStr">
        <is>
          <t>1925-04-29</t>
        </is>
      </c>
    </row>
    <row r="9274">
      <c r="A9274" s="1" t="n">
        <v>9273</v>
      </c>
      <c r="B9274">
        <f>TEXT(9273, "[$-0E0000]yyyy-mm-dd")</f>
        <v/>
      </c>
      <c r="C9274" t="inlineStr">
        <is>
          <t>1925-04-01</t>
        </is>
      </c>
    </row>
    <row r="9275">
      <c r="A9275" s="1" t="n">
        <v>9274</v>
      </c>
      <c r="B9275">
        <f>TEXT(9274, "[$-0E0000]yyyy-mm-dd")</f>
        <v/>
      </c>
      <c r="C9275" t="inlineStr">
        <is>
          <t>1925-04-02</t>
        </is>
      </c>
    </row>
    <row r="9276">
      <c r="A9276" s="1" t="n">
        <v>9275</v>
      </c>
      <c r="B9276">
        <f>TEXT(9275, "[$-0E0000]yyyy-mm-dd")</f>
        <v/>
      </c>
      <c r="C9276" t="inlineStr">
        <is>
          <t>1925-04-03</t>
        </is>
      </c>
    </row>
    <row r="9277">
      <c r="A9277" s="1" t="n">
        <v>9276</v>
      </c>
      <c r="B9277">
        <f>TEXT(9276, "[$-0E0000]yyyy-mm-dd")</f>
        <v/>
      </c>
      <c r="C9277" t="inlineStr">
        <is>
          <t>1925-04-04</t>
        </is>
      </c>
    </row>
    <row r="9278">
      <c r="A9278" s="1" t="n">
        <v>9277</v>
      </c>
      <c r="B9278">
        <f>TEXT(9277, "[$-0E0000]yyyy-mm-dd")</f>
        <v/>
      </c>
      <c r="C9278" t="inlineStr">
        <is>
          <t>1925-04-05</t>
        </is>
      </c>
    </row>
    <row r="9279">
      <c r="A9279" s="1" t="n">
        <v>9278</v>
      </c>
      <c r="B9279">
        <f>TEXT(9278, "[$-0E0000]yyyy-mm-dd")</f>
        <v/>
      </c>
      <c r="C9279" t="inlineStr">
        <is>
          <t>1925-04-06</t>
        </is>
      </c>
    </row>
    <row r="9280">
      <c r="A9280" s="1" t="n">
        <v>9279</v>
      </c>
      <c r="B9280">
        <f>TEXT(9279, "[$-0E0000]yyyy-mm-dd")</f>
        <v/>
      </c>
      <c r="C9280" t="inlineStr">
        <is>
          <t>1925-04-07</t>
        </is>
      </c>
    </row>
    <row r="9281">
      <c r="A9281" s="1" t="n">
        <v>9280</v>
      </c>
      <c r="B9281">
        <f>TEXT(9280, "[$-0E0000]yyyy-mm-dd")</f>
        <v/>
      </c>
      <c r="C9281" t="inlineStr">
        <is>
          <t>1925-04-08</t>
        </is>
      </c>
    </row>
    <row r="9282">
      <c r="A9282" s="1" t="n">
        <v>9281</v>
      </c>
      <c r="B9282">
        <f>TEXT(9281, "[$-0E0000]yyyy-mm-dd")</f>
        <v/>
      </c>
      <c r="C9282" t="inlineStr">
        <is>
          <t>1925-04-09</t>
        </is>
      </c>
    </row>
    <row r="9283">
      <c r="A9283" s="1" t="n">
        <v>9282</v>
      </c>
      <c r="B9283">
        <f>TEXT(9282, "[$-0E0000]yyyy-mm-dd")</f>
        <v/>
      </c>
      <c r="C9283" t="inlineStr">
        <is>
          <t>1925-04-10</t>
        </is>
      </c>
    </row>
    <row r="9284">
      <c r="A9284" s="1" t="n">
        <v>9283</v>
      </c>
      <c r="B9284">
        <f>TEXT(9283, "[$-0E0000]yyyy-mm-dd")</f>
        <v/>
      </c>
      <c r="C9284" t="inlineStr">
        <is>
          <t>1925-04-11</t>
        </is>
      </c>
    </row>
    <row r="9285">
      <c r="A9285" s="1" t="n">
        <v>9284</v>
      </c>
      <c r="B9285">
        <f>TEXT(9284, "[$-0E0000]yyyy-mm-dd")</f>
        <v/>
      </c>
      <c r="C9285" t="inlineStr">
        <is>
          <t>1925-04-12</t>
        </is>
      </c>
    </row>
    <row r="9286">
      <c r="A9286" s="1" t="n">
        <v>9285</v>
      </c>
      <c r="B9286">
        <f>TEXT(9285, "[$-0E0000]yyyy-mm-dd")</f>
        <v/>
      </c>
      <c r="C9286" t="inlineStr">
        <is>
          <t>1925-04-13</t>
        </is>
      </c>
    </row>
    <row r="9287">
      <c r="A9287" s="1" t="n">
        <v>9286</v>
      </c>
      <c r="B9287">
        <f>TEXT(9286, "[$-0E0000]yyyy-mm-dd")</f>
        <v/>
      </c>
      <c r="C9287" t="inlineStr">
        <is>
          <t>1925-04-14</t>
        </is>
      </c>
    </row>
    <row r="9288">
      <c r="A9288" s="1" t="n">
        <v>9287</v>
      </c>
      <c r="B9288">
        <f>TEXT(9287, "[$-0E0000]yyyy-mm-dd")</f>
        <v/>
      </c>
      <c r="C9288" t="inlineStr">
        <is>
          <t>1925-04-15</t>
        </is>
      </c>
    </row>
    <row r="9289">
      <c r="A9289" s="1" t="n">
        <v>9288</v>
      </c>
      <c r="B9289">
        <f>TEXT(9288, "[$-0E0000]yyyy-mm-dd")</f>
        <v/>
      </c>
      <c r="C9289" t="inlineStr">
        <is>
          <t>1925-04-16</t>
        </is>
      </c>
    </row>
    <row r="9290">
      <c r="A9290" s="1" t="n">
        <v>9289</v>
      </c>
      <c r="B9290">
        <f>TEXT(9289, "[$-0E0000]yyyy-mm-dd")</f>
        <v/>
      </c>
      <c r="C9290" t="inlineStr">
        <is>
          <t>1925-04-17</t>
        </is>
      </c>
    </row>
    <row r="9291">
      <c r="A9291" s="1" t="n">
        <v>9290</v>
      </c>
      <c r="B9291">
        <f>TEXT(9290, "[$-0E0000]yyyy-mm-dd")</f>
        <v/>
      </c>
      <c r="C9291" t="inlineStr">
        <is>
          <t>1925-04-18</t>
        </is>
      </c>
    </row>
    <row r="9292">
      <c r="A9292" s="1" t="n">
        <v>9291</v>
      </c>
      <c r="B9292">
        <f>TEXT(9291, "[$-0E0000]yyyy-mm-dd")</f>
        <v/>
      </c>
      <c r="C9292" t="inlineStr">
        <is>
          <t>1925-04-19</t>
        </is>
      </c>
    </row>
    <row r="9293">
      <c r="A9293" s="1" t="n">
        <v>9292</v>
      </c>
      <c r="B9293">
        <f>TEXT(9292, "[$-0E0000]yyyy-mm-dd")</f>
        <v/>
      </c>
      <c r="C9293" t="inlineStr">
        <is>
          <t>1925-04-20</t>
        </is>
      </c>
    </row>
    <row r="9294">
      <c r="A9294" s="1" t="n">
        <v>9293</v>
      </c>
      <c r="B9294">
        <f>TEXT(9293, "[$-0E0000]yyyy-mm-dd")</f>
        <v/>
      </c>
      <c r="C9294" t="inlineStr">
        <is>
          <t>1925-04-21</t>
        </is>
      </c>
    </row>
    <row r="9295">
      <c r="A9295" s="1" t="n">
        <v>9294</v>
      </c>
      <c r="B9295">
        <f>TEXT(9294, "[$-0E0000]yyyy-mm-dd")</f>
        <v/>
      </c>
      <c r="C9295" t="inlineStr">
        <is>
          <t>1925-04-22</t>
        </is>
      </c>
    </row>
    <row r="9296">
      <c r="A9296" s="1" t="n">
        <v>9295</v>
      </c>
      <c r="B9296">
        <f>TEXT(9295, "[$-0E0000]yyyy-mm-dd")</f>
        <v/>
      </c>
      <c r="C9296" t="inlineStr">
        <is>
          <t>1925-04-23</t>
        </is>
      </c>
    </row>
    <row r="9297">
      <c r="A9297" s="1" t="n">
        <v>9296</v>
      </c>
      <c r="B9297">
        <f>TEXT(9296, "[$-0E0000]yyyy-mm-dd")</f>
        <v/>
      </c>
      <c r="C9297" t="inlineStr">
        <is>
          <t>1925-04-24</t>
        </is>
      </c>
    </row>
    <row r="9298">
      <c r="A9298" s="1" t="n">
        <v>9297</v>
      </c>
      <c r="B9298">
        <f>TEXT(9297, "[$-0E0000]yyyy-mm-dd")</f>
        <v/>
      </c>
      <c r="C9298" t="inlineStr">
        <is>
          <t>1925-04-25</t>
        </is>
      </c>
    </row>
    <row r="9299">
      <c r="A9299" s="1" t="n">
        <v>9298</v>
      </c>
      <c r="B9299">
        <f>TEXT(9298, "[$-0E0000]yyyy-mm-dd")</f>
        <v/>
      </c>
      <c r="C9299" t="inlineStr">
        <is>
          <t>1925-04-26</t>
        </is>
      </c>
    </row>
    <row r="9300">
      <c r="A9300" s="1" t="n">
        <v>9299</v>
      </c>
      <c r="B9300">
        <f>TEXT(9299, "[$-0E0000]yyyy-mm-dd")</f>
        <v/>
      </c>
      <c r="C9300" t="inlineStr">
        <is>
          <t>1925-04-27</t>
        </is>
      </c>
    </row>
    <row r="9301">
      <c r="A9301" s="1" t="n">
        <v>9300</v>
      </c>
      <c r="B9301">
        <f>TEXT(9300, "[$-0E0000]yyyy-mm-dd")</f>
        <v/>
      </c>
      <c r="C9301" t="inlineStr">
        <is>
          <t>1925-04-28</t>
        </is>
      </c>
    </row>
    <row r="9302">
      <c r="A9302" s="1" t="n">
        <v>9301</v>
      </c>
      <c r="B9302">
        <f>TEXT(9301, "[$-0E0000]yyyy-mm-dd")</f>
        <v/>
      </c>
      <c r="C9302" t="inlineStr">
        <is>
          <t>1925-04-29</t>
        </is>
      </c>
    </row>
    <row r="9303">
      <c r="A9303" s="1" t="n">
        <v>9302</v>
      </c>
      <c r="B9303">
        <f>TEXT(9302, "[$-0E0000]yyyy-mm-dd")</f>
        <v/>
      </c>
      <c r="C9303" t="inlineStr">
        <is>
          <t>1925-04-30</t>
        </is>
      </c>
    </row>
    <row r="9304">
      <c r="A9304" s="1" t="n">
        <v>9303</v>
      </c>
      <c r="B9304">
        <f>TEXT(9303, "[$-0E0000]yyyy-mm-dd")</f>
        <v/>
      </c>
      <c r="C9304" t="inlineStr">
        <is>
          <t>1925-05-01</t>
        </is>
      </c>
    </row>
    <row r="9305">
      <c r="A9305" s="1" t="n">
        <v>9304</v>
      </c>
      <c r="B9305">
        <f>TEXT(9304, "[$-0E0000]yyyy-mm-dd")</f>
        <v/>
      </c>
      <c r="C9305" t="inlineStr">
        <is>
          <t>1925-05-02</t>
        </is>
      </c>
    </row>
    <row r="9306">
      <c r="A9306" s="1" t="n">
        <v>9305</v>
      </c>
      <c r="B9306">
        <f>TEXT(9305, "[$-0E0000]yyyy-mm-dd")</f>
        <v/>
      </c>
      <c r="C9306" t="inlineStr">
        <is>
          <t>1925-05-03</t>
        </is>
      </c>
    </row>
    <row r="9307">
      <c r="A9307" s="1" t="n">
        <v>9306</v>
      </c>
      <c r="B9307">
        <f>TEXT(9306, "[$-0E0000]yyyy-mm-dd")</f>
        <v/>
      </c>
      <c r="C9307" t="inlineStr">
        <is>
          <t>1925-05-04</t>
        </is>
      </c>
    </row>
    <row r="9308">
      <c r="A9308" s="1" t="n">
        <v>9307</v>
      </c>
      <c r="B9308">
        <f>TEXT(9307, "[$-0E0000]yyyy-mm-dd")</f>
        <v/>
      </c>
      <c r="C9308" t="inlineStr">
        <is>
          <t>1925-05-05</t>
        </is>
      </c>
    </row>
    <row r="9309">
      <c r="A9309" s="1" t="n">
        <v>9308</v>
      </c>
      <c r="B9309">
        <f>TEXT(9308, "[$-0E0000]yyyy-mm-dd")</f>
        <v/>
      </c>
      <c r="C9309" t="inlineStr">
        <is>
          <t>1925-05-06</t>
        </is>
      </c>
    </row>
    <row r="9310">
      <c r="A9310" s="1" t="n">
        <v>9309</v>
      </c>
      <c r="B9310">
        <f>TEXT(9309, "[$-0E0000]yyyy-mm-dd")</f>
        <v/>
      </c>
      <c r="C9310" t="inlineStr">
        <is>
          <t>1925-05-07</t>
        </is>
      </c>
    </row>
    <row r="9311">
      <c r="A9311" s="1" t="n">
        <v>9310</v>
      </c>
      <c r="B9311">
        <f>TEXT(9310, "[$-0E0000]yyyy-mm-dd")</f>
        <v/>
      </c>
      <c r="C9311" t="inlineStr">
        <is>
          <t>1925-05-08</t>
        </is>
      </c>
    </row>
    <row r="9312">
      <c r="A9312" s="1" t="n">
        <v>9311</v>
      </c>
      <c r="B9312">
        <f>TEXT(9311, "[$-0E0000]yyyy-mm-dd")</f>
        <v/>
      </c>
      <c r="C9312" t="inlineStr">
        <is>
          <t>1925-05-09</t>
        </is>
      </c>
    </row>
    <row r="9313">
      <c r="A9313" s="1" t="n">
        <v>9312</v>
      </c>
      <c r="B9313">
        <f>TEXT(9312, "[$-0E0000]yyyy-mm-dd")</f>
        <v/>
      </c>
      <c r="C9313" t="inlineStr">
        <is>
          <t>1925-05-10</t>
        </is>
      </c>
    </row>
    <row r="9314">
      <c r="A9314" s="1" t="n">
        <v>9313</v>
      </c>
      <c r="B9314">
        <f>TEXT(9313, "[$-0E0000]yyyy-mm-dd")</f>
        <v/>
      </c>
      <c r="C9314" t="inlineStr">
        <is>
          <t>1925-05-11</t>
        </is>
      </c>
    </row>
    <row r="9315">
      <c r="A9315" s="1" t="n">
        <v>9314</v>
      </c>
      <c r="B9315">
        <f>TEXT(9314, "[$-0E0000]yyyy-mm-dd")</f>
        <v/>
      </c>
      <c r="C9315" t="inlineStr">
        <is>
          <t>1925-05-12</t>
        </is>
      </c>
    </row>
    <row r="9316">
      <c r="A9316" s="1" t="n">
        <v>9315</v>
      </c>
      <c r="B9316">
        <f>TEXT(9315, "[$-0E0000]yyyy-mm-dd")</f>
        <v/>
      </c>
      <c r="C9316" t="inlineStr">
        <is>
          <t>1925-05-13</t>
        </is>
      </c>
    </row>
    <row r="9317">
      <c r="A9317" s="1" t="n">
        <v>9316</v>
      </c>
      <c r="B9317">
        <f>TEXT(9316, "[$-0E0000]yyyy-mm-dd")</f>
        <v/>
      </c>
      <c r="C9317" t="inlineStr">
        <is>
          <t>1925-05-14</t>
        </is>
      </c>
    </row>
    <row r="9318">
      <c r="A9318" s="1" t="n">
        <v>9317</v>
      </c>
      <c r="B9318">
        <f>TEXT(9317, "[$-0E0000]yyyy-mm-dd")</f>
        <v/>
      </c>
      <c r="C9318" t="inlineStr">
        <is>
          <t>1925-05-15</t>
        </is>
      </c>
    </row>
    <row r="9319">
      <c r="A9319" s="1" t="n">
        <v>9318</v>
      </c>
      <c r="B9319">
        <f>TEXT(9318, "[$-0E0000]yyyy-mm-dd")</f>
        <v/>
      </c>
      <c r="C9319" t="inlineStr">
        <is>
          <t>1925-05-16</t>
        </is>
      </c>
    </row>
    <row r="9320">
      <c r="A9320" s="1" t="n">
        <v>9319</v>
      </c>
      <c r="B9320">
        <f>TEXT(9319, "[$-0E0000]yyyy-mm-dd")</f>
        <v/>
      </c>
      <c r="C9320" t="inlineStr">
        <is>
          <t>1925-05-17</t>
        </is>
      </c>
    </row>
    <row r="9321">
      <c r="A9321" s="1" t="n">
        <v>9320</v>
      </c>
      <c r="B9321">
        <f>TEXT(9320, "[$-0E0000]yyyy-mm-dd")</f>
        <v/>
      </c>
      <c r="C9321" t="inlineStr">
        <is>
          <t>1925-05-18</t>
        </is>
      </c>
    </row>
    <row r="9322">
      <c r="A9322" s="1" t="n">
        <v>9321</v>
      </c>
      <c r="B9322">
        <f>TEXT(9321, "[$-0E0000]yyyy-mm-dd")</f>
        <v/>
      </c>
      <c r="C9322" t="inlineStr">
        <is>
          <t>1925-05-19</t>
        </is>
      </c>
    </row>
    <row r="9323">
      <c r="A9323" s="1" t="n">
        <v>9322</v>
      </c>
      <c r="B9323">
        <f>TEXT(9322, "[$-0E0000]yyyy-mm-dd")</f>
        <v/>
      </c>
      <c r="C9323" t="inlineStr">
        <is>
          <t>1925-05-20</t>
        </is>
      </c>
    </row>
    <row r="9324">
      <c r="A9324" s="1" t="n">
        <v>9323</v>
      </c>
      <c r="B9324">
        <f>TEXT(9323, "[$-0E0000]yyyy-mm-dd")</f>
        <v/>
      </c>
      <c r="C9324" t="inlineStr">
        <is>
          <t>1925-05-21</t>
        </is>
      </c>
    </row>
    <row r="9325">
      <c r="A9325" s="1" t="n">
        <v>9324</v>
      </c>
      <c r="B9325">
        <f>TEXT(9324, "[$-0E0000]yyyy-mm-dd")</f>
        <v/>
      </c>
      <c r="C9325" t="inlineStr">
        <is>
          <t>1925-05-22</t>
        </is>
      </c>
    </row>
    <row r="9326">
      <c r="A9326" s="1" t="n">
        <v>9325</v>
      </c>
      <c r="B9326">
        <f>TEXT(9325, "[$-0E0000]yyyy-mm-dd")</f>
        <v/>
      </c>
      <c r="C9326" t="inlineStr">
        <is>
          <t>1925-05-23</t>
        </is>
      </c>
    </row>
    <row r="9327">
      <c r="A9327" s="1" t="n">
        <v>9326</v>
      </c>
      <c r="B9327">
        <f>TEXT(9326, "[$-0E0000]yyyy-mm-dd")</f>
        <v/>
      </c>
      <c r="C9327" t="inlineStr">
        <is>
          <t>1925-05-24</t>
        </is>
      </c>
    </row>
    <row r="9328">
      <c r="A9328" s="1" t="n">
        <v>9327</v>
      </c>
      <c r="B9328">
        <f>TEXT(9327, "[$-0E0000]yyyy-mm-dd")</f>
        <v/>
      </c>
      <c r="C9328" t="inlineStr">
        <is>
          <t>1925-05-25</t>
        </is>
      </c>
    </row>
    <row r="9329">
      <c r="A9329" s="1" t="n">
        <v>9328</v>
      </c>
      <c r="B9329">
        <f>TEXT(9328, "[$-0E0000]yyyy-mm-dd")</f>
        <v/>
      </c>
      <c r="C9329" t="inlineStr">
        <is>
          <t>1925-05-26</t>
        </is>
      </c>
    </row>
    <row r="9330">
      <c r="A9330" s="1" t="n">
        <v>9329</v>
      </c>
      <c r="B9330">
        <f>TEXT(9329, "[$-0E0000]yyyy-mm-dd")</f>
        <v/>
      </c>
      <c r="C9330" t="inlineStr">
        <is>
          <t>1925-05-27</t>
        </is>
      </c>
    </row>
    <row r="9331">
      <c r="A9331" s="1" t="n">
        <v>9330</v>
      </c>
      <c r="B9331">
        <f>TEXT(9330, "[$-0E0000]yyyy-mm-dd")</f>
        <v/>
      </c>
      <c r="C9331" t="inlineStr">
        <is>
          <t>1925-05-28</t>
        </is>
      </c>
    </row>
    <row r="9332">
      <c r="A9332" s="1" t="n">
        <v>9331</v>
      </c>
      <c r="B9332">
        <f>TEXT(9331, "[$-0E0000]yyyy-mm-dd")</f>
        <v/>
      </c>
      <c r="C9332" t="inlineStr">
        <is>
          <t>1925-05-29</t>
        </is>
      </c>
    </row>
    <row r="9333">
      <c r="A9333" s="1" t="n">
        <v>9332</v>
      </c>
      <c r="B9333">
        <f>TEXT(9332, "[$-0E0000]yyyy-mm-dd")</f>
        <v/>
      </c>
      <c r="C9333" t="inlineStr">
        <is>
          <t>1925-05-30</t>
        </is>
      </c>
    </row>
    <row r="9334">
      <c r="A9334" s="1" t="n">
        <v>9333</v>
      </c>
      <c r="B9334">
        <f>TEXT(9333, "[$-0E0000]yyyy-mm-dd")</f>
        <v/>
      </c>
      <c r="C9334" t="inlineStr">
        <is>
          <t>1925-06-01</t>
        </is>
      </c>
    </row>
    <row r="9335">
      <c r="A9335" s="1" t="n">
        <v>9334</v>
      </c>
      <c r="B9335">
        <f>TEXT(9334, "[$-0E0000]yyyy-mm-dd")</f>
        <v/>
      </c>
      <c r="C9335" t="inlineStr">
        <is>
          <t>1925-06-02</t>
        </is>
      </c>
    </row>
    <row r="9336">
      <c r="A9336" s="1" t="n">
        <v>9335</v>
      </c>
      <c r="B9336">
        <f>TEXT(9335, "[$-0E0000]yyyy-mm-dd")</f>
        <v/>
      </c>
      <c r="C9336" t="inlineStr">
        <is>
          <t>1925-06-03</t>
        </is>
      </c>
    </row>
    <row r="9337">
      <c r="A9337" s="1" t="n">
        <v>9336</v>
      </c>
      <c r="B9337">
        <f>TEXT(9336, "[$-0E0000]yyyy-mm-dd")</f>
        <v/>
      </c>
      <c r="C9337" t="inlineStr">
        <is>
          <t>1925-06-04</t>
        </is>
      </c>
    </row>
    <row r="9338">
      <c r="A9338" s="1" t="n">
        <v>9337</v>
      </c>
      <c r="B9338">
        <f>TEXT(9337, "[$-0E0000]yyyy-mm-dd")</f>
        <v/>
      </c>
      <c r="C9338" t="inlineStr">
        <is>
          <t>1925-06-05</t>
        </is>
      </c>
    </row>
    <row r="9339">
      <c r="A9339" s="1" t="n">
        <v>9338</v>
      </c>
      <c r="B9339">
        <f>TEXT(9338, "[$-0E0000]yyyy-mm-dd")</f>
        <v/>
      </c>
      <c r="C9339" t="inlineStr">
        <is>
          <t>1925-06-06</t>
        </is>
      </c>
    </row>
    <row r="9340">
      <c r="A9340" s="1" t="n">
        <v>9339</v>
      </c>
      <c r="B9340">
        <f>TEXT(9339, "[$-0E0000]yyyy-mm-dd")</f>
        <v/>
      </c>
      <c r="C9340" t="inlineStr">
        <is>
          <t>1925-06-07</t>
        </is>
      </c>
    </row>
    <row r="9341">
      <c r="A9341" s="1" t="n">
        <v>9340</v>
      </c>
      <c r="B9341">
        <f>TEXT(9340, "[$-0E0000]yyyy-mm-dd")</f>
        <v/>
      </c>
      <c r="C9341" t="inlineStr">
        <is>
          <t>1925-06-08</t>
        </is>
      </c>
    </row>
    <row r="9342">
      <c r="A9342" s="1" t="n">
        <v>9341</v>
      </c>
      <c r="B9342">
        <f>TEXT(9341, "[$-0E0000]yyyy-mm-dd")</f>
        <v/>
      </c>
      <c r="C9342" t="inlineStr">
        <is>
          <t>1925-06-09</t>
        </is>
      </c>
    </row>
    <row r="9343">
      <c r="A9343" s="1" t="n">
        <v>9342</v>
      </c>
      <c r="B9343">
        <f>TEXT(9342, "[$-0E0000]yyyy-mm-dd")</f>
        <v/>
      </c>
      <c r="C9343" t="inlineStr">
        <is>
          <t>1925-06-10</t>
        </is>
      </c>
    </row>
    <row r="9344">
      <c r="A9344" s="1" t="n">
        <v>9343</v>
      </c>
      <c r="B9344">
        <f>TEXT(9343, "[$-0E0000]yyyy-mm-dd")</f>
        <v/>
      </c>
      <c r="C9344" t="inlineStr">
        <is>
          <t>1925-06-11</t>
        </is>
      </c>
    </row>
    <row r="9345">
      <c r="A9345" s="1" t="n">
        <v>9344</v>
      </c>
      <c r="B9345">
        <f>TEXT(9344, "[$-0E0000]yyyy-mm-dd")</f>
        <v/>
      </c>
      <c r="C9345" t="inlineStr">
        <is>
          <t>1925-06-12</t>
        </is>
      </c>
    </row>
    <row r="9346">
      <c r="A9346" s="1" t="n">
        <v>9345</v>
      </c>
      <c r="B9346">
        <f>TEXT(9345, "[$-0E0000]yyyy-mm-dd")</f>
        <v/>
      </c>
      <c r="C9346" t="inlineStr">
        <is>
          <t>1925-06-13</t>
        </is>
      </c>
    </row>
    <row r="9347">
      <c r="A9347" s="1" t="n">
        <v>9346</v>
      </c>
      <c r="B9347">
        <f>TEXT(9346, "[$-0E0000]yyyy-mm-dd")</f>
        <v/>
      </c>
      <c r="C9347" t="inlineStr">
        <is>
          <t>1925-06-14</t>
        </is>
      </c>
    </row>
    <row r="9348">
      <c r="A9348" s="1" t="n">
        <v>9347</v>
      </c>
      <c r="B9348">
        <f>TEXT(9347, "[$-0E0000]yyyy-mm-dd")</f>
        <v/>
      </c>
      <c r="C9348" t="inlineStr">
        <is>
          <t>1925-06-15</t>
        </is>
      </c>
    </row>
    <row r="9349">
      <c r="A9349" s="1" t="n">
        <v>9348</v>
      </c>
      <c r="B9349">
        <f>TEXT(9348, "[$-0E0000]yyyy-mm-dd")</f>
        <v/>
      </c>
      <c r="C9349" t="inlineStr">
        <is>
          <t>1925-06-16</t>
        </is>
      </c>
    </row>
    <row r="9350">
      <c r="A9350" s="1" t="n">
        <v>9349</v>
      </c>
      <c r="B9350">
        <f>TEXT(9349, "[$-0E0000]yyyy-mm-dd")</f>
        <v/>
      </c>
      <c r="C9350" t="inlineStr">
        <is>
          <t>1925-06-17</t>
        </is>
      </c>
    </row>
    <row r="9351">
      <c r="A9351" s="1" t="n">
        <v>9350</v>
      </c>
      <c r="B9351">
        <f>TEXT(9350, "[$-0E0000]yyyy-mm-dd")</f>
        <v/>
      </c>
      <c r="C9351" t="inlineStr">
        <is>
          <t>1925-06-18</t>
        </is>
      </c>
    </row>
    <row r="9352">
      <c r="A9352" s="1" t="n">
        <v>9351</v>
      </c>
      <c r="B9352">
        <f>TEXT(9351, "[$-0E0000]yyyy-mm-dd")</f>
        <v/>
      </c>
      <c r="C9352" t="inlineStr">
        <is>
          <t>1925-06-19</t>
        </is>
      </c>
    </row>
    <row r="9353">
      <c r="A9353" s="1" t="n">
        <v>9352</v>
      </c>
      <c r="B9353">
        <f>TEXT(9352, "[$-0E0000]yyyy-mm-dd")</f>
        <v/>
      </c>
      <c r="C9353" t="inlineStr">
        <is>
          <t>1925-06-20</t>
        </is>
      </c>
    </row>
    <row r="9354">
      <c r="A9354" s="1" t="n">
        <v>9353</v>
      </c>
      <c r="B9354">
        <f>TEXT(9353, "[$-0E0000]yyyy-mm-dd")</f>
        <v/>
      </c>
      <c r="C9354" t="inlineStr">
        <is>
          <t>1925-06-21</t>
        </is>
      </c>
    </row>
    <row r="9355">
      <c r="A9355" s="1" t="n">
        <v>9354</v>
      </c>
      <c r="B9355">
        <f>TEXT(9354, "[$-0E0000]yyyy-mm-dd")</f>
        <v/>
      </c>
      <c r="C9355" t="inlineStr">
        <is>
          <t>1925-06-22</t>
        </is>
      </c>
    </row>
    <row r="9356">
      <c r="A9356" s="1" t="n">
        <v>9355</v>
      </c>
      <c r="B9356">
        <f>TEXT(9355, "[$-0E0000]yyyy-mm-dd")</f>
        <v/>
      </c>
      <c r="C9356" t="inlineStr">
        <is>
          <t>1925-06-23</t>
        </is>
      </c>
    </row>
    <row r="9357">
      <c r="A9357" s="1" t="n">
        <v>9356</v>
      </c>
      <c r="B9357">
        <f>TEXT(9356, "[$-0E0000]yyyy-mm-dd")</f>
        <v/>
      </c>
      <c r="C9357" t="inlineStr">
        <is>
          <t>1925-06-24</t>
        </is>
      </c>
    </row>
    <row r="9358">
      <c r="A9358" s="1" t="n">
        <v>9357</v>
      </c>
      <c r="B9358">
        <f>TEXT(9357, "[$-0E0000]yyyy-mm-dd")</f>
        <v/>
      </c>
      <c r="C9358" t="inlineStr">
        <is>
          <t>1925-06-25</t>
        </is>
      </c>
    </row>
    <row r="9359">
      <c r="A9359" s="1" t="n">
        <v>9358</v>
      </c>
      <c r="B9359">
        <f>TEXT(9358, "[$-0E0000]yyyy-mm-dd")</f>
        <v/>
      </c>
      <c r="C9359" t="inlineStr">
        <is>
          <t>1925-06-26</t>
        </is>
      </c>
    </row>
    <row r="9360">
      <c r="A9360" s="1" t="n">
        <v>9359</v>
      </c>
      <c r="B9360">
        <f>TEXT(9359, "[$-0E0000]yyyy-mm-dd")</f>
        <v/>
      </c>
      <c r="C9360" t="inlineStr">
        <is>
          <t>1925-06-27</t>
        </is>
      </c>
    </row>
    <row r="9361">
      <c r="A9361" s="1" t="n">
        <v>9360</v>
      </c>
      <c r="B9361">
        <f>TEXT(9360, "[$-0E0000]yyyy-mm-dd")</f>
        <v/>
      </c>
      <c r="C9361" t="inlineStr">
        <is>
          <t>1925-06-28</t>
        </is>
      </c>
    </row>
    <row r="9362">
      <c r="A9362" s="1" t="n">
        <v>9361</v>
      </c>
      <c r="B9362">
        <f>TEXT(9361, "[$-0E0000]yyyy-mm-dd")</f>
        <v/>
      </c>
      <c r="C9362" t="inlineStr">
        <is>
          <t>1925-06-29</t>
        </is>
      </c>
    </row>
    <row r="9363">
      <c r="A9363" s="1" t="n">
        <v>9362</v>
      </c>
      <c r="B9363">
        <f>TEXT(9362, "[$-0E0000]yyyy-mm-dd")</f>
        <v/>
      </c>
      <c r="C9363" t="inlineStr">
        <is>
          <t>1925-07-01</t>
        </is>
      </c>
    </row>
    <row r="9364">
      <c r="A9364" s="1" t="n">
        <v>9363</v>
      </c>
      <c r="B9364">
        <f>TEXT(9363, "[$-0E0000]yyyy-mm-dd")</f>
        <v/>
      </c>
      <c r="C9364" t="inlineStr">
        <is>
          <t>1925-07-02</t>
        </is>
      </c>
    </row>
    <row r="9365">
      <c r="A9365" s="1" t="n">
        <v>9364</v>
      </c>
      <c r="B9365">
        <f>TEXT(9364, "[$-0E0000]yyyy-mm-dd")</f>
        <v/>
      </c>
      <c r="C9365" t="inlineStr">
        <is>
          <t>1925-07-03</t>
        </is>
      </c>
    </row>
    <row r="9366">
      <c r="A9366" s="1" t="n">
        <v>9365</v>
      </c>
      <c r="B9366">
        <f>TEXT(9365, "[$-0E0000]yyyy-mm-dd")</f>
        <v/>
      </c>
      <c r="C9366" t="inlineStr">
        <is>
          <t>1925-07-04</t>
        </is>
      </c>
    </row>
    <row r="9367">
      <c r="A9367" s="1" t="n">
        <v>9366</v>
      </c>
      <c r="B9367">
        <f>TEXT(9366, "[$-0E0000]yyyy-mm-dd")</f>
        <v/>
      </c>
      <c r="C9367" t="inlineStr">
        <is>
          <t>1925-07-05</t>
        </is>
      </c>
    </row>
    <row r="9368">
      <c r="A9368" s="1" t="n">
        <v>9367</v>
      </c>
      <c r="B9368">
        <f>TEXT(9367, "[$-0E0000]yyyy-mm-dd")</f>
        <v/>
      </c>
      <c r="C9368" t="inlineStr">
        <is>
          <t>1925-07-06</t>
        </is>
      </c>
    </row>
    <row r="9369">
      <c r="A9369" s="1" t="n">
        <v>9368</v>
      </c>
      <c r="B9369">
        <f>TEXT(9368, "[$-0E0000]yyyy-mm-dd")</f>
        <v/>
      </c>
      <c r="C9369" t="inlineStr">
        <is>
          <t>1925-07-07</t>
        </is>
      </c>
    </row>
    <row r="9370">
      <c r="A9370" s="1" t="n">
        <v>9369</v>
      </c>
      <c r="B9370">
        <f>TEXT(9369, "[$-0E0000]yyyy-mm-dd")</f>
        <v/>
      </c>
      <c r="C9370" t="inlineStr">
        <is>
          <t>1925-07-08</t>
        </is>
      </c>
    </row>
    <row r="9371">
      <c r="A9371" s="1" t="n">
        <v>9370</v>
      </c>
      <c r="B9371">
        <f>TEXT(9370, "[$-0E0000]yyyy-mm-dd")</f>
        <v/>
      </c>
      <c r="C9371" t="inlineStr">
        <is>
          <t>1925-07-09</t>
        </is>
      </c>
    </row>
    <row r="9372">
      <c r="A9372" s="1" t="n">
        <v>9371</v>
      </c>
      <c r="B9372">
        <f>TEXT(9371, "[$-0E0000]yyyy-mm-dd")</f>
        <v/>
      </c>
      <c r="C9372" t="inlineStr">
        <is>
          <t>1925-07-10</t>
        </is>
      </c>
    </row>
    <row r="9373">
      <c r="A9373" s="1" t="n">
        <v>9372</v>
      </c>
      <c r="B9373">
        <f>TEXT(9372, "[$-0E0000]yyyy-mm-dd")</f>
        <v/>
      </c>
      <c r="C9373" t="inlineStr">
        <is>
          <t>1925-07-11</t>
        </is>
      </c>
    </row>
    <row r="9374">
      <c r="A9374" s="1" t="n">
        <v>9373</v>
      </c>
      <c r="B9374">
        <f>TEXT(9373, "[$-0E0000]yyyy-mm-dd")</f>
        <v/>
      </c>
      <c r="C9374" t="inlineStr">
        <is>
          <t>1925-07-12</t>
        </is>
      </c>
    </row>
    <row r="9375">
      <c r="A9375" s="1" t="n">
        <v>9374</v>
      </c>
      <c r="B9375">
        <f>TEXT(9374, "[$-0E0000]yyyy-mm-dd")</f>
        <v/>
      </c>
      <c r="C9375" t="inlineStr">
        <is>
          <t>1925-07-13</t>
        </is>
      </c>
    </row>
    <row r="9376">
      <c r="A9376" s="1" t="n">
        <v>9375</v>
      </c>
      <c r="B9376">
        <f>TEXT(9375, "[$-0E0000]yyyy-mm-dd")</f>
        <v/>
      </c>
      <c r="C9376" t="inlineStr">
        <is>
          <t>1925-07-14</t>
        </is>
      </c>
    </row>
    <row r="9377">
      <c r="A9377" s="1" t="n">
        <v>9376</v>
      </c>
      <c r="B9377">
        <f>TEXT(9376, "[$-0E0000]yyyy-mm-dd")</f>
        <v/>
      </c>
      <c r="C9377" t="inlineStr">
        <is>
          <t>1925-07-15</t>
        </is>
      </c>
    </row>
    <row r="9378">
      <c r="A9378" s="1" t="n">
        <v>9377</v>
      </c>
      <c r="B9378">
        <f>TEXT(9377, "[$-0E0000]yyyy-mm-dd")</f>
        <v/>
      </c>
      <c r="C9378" t="inlineStr">
        <is>
          <t>1925-07-16</t>
        </is>
      </c>
    </row>
    <row r="9379">
      <c r="A9379" s="1" t="n">
        <v>9378</v>
      </c>
      <c r="B9379">
        <f>TEXT(9378, "[$-0E0000]yyyy-mm-dd")</f>
        <v/>
      </c>
      <c r="C9379" t="inlineStr">
        <is>
          <t>1925-07-17</t>
        </is>
      </c>
    </row>
    <row r="9380">
      <c r="A9380" s="1" t="n">
        <v>9379</v>
      </c>
      <c r="B9380">
        <f>TEXT(9379, "[$-0E0000]yyyy-mm-dd")</f>
        <v/>
      </c>
      <c r="C9380" t="inlineStr">
        <is>
          <t>1925-07-18</t>
        </is>
      </c>
    </row>
    <row r="9381">
      <c r="A9381" s="1" t="n">
        <v>9380</v>
      </c>
      <c r="B9381">
        <f>TEXT(9380, "[$-0E0000]yyyy-mm-dd")</f>
        <v/>
      </c>
      <c r="C9381" t="inlineStr">
        <is>
          <t>1925-07-19</t>
        </is>
      </c>
    </row>
    <row r="9382">
      <c r="A9382" s="1" t="n">
        <v>9381</v>
      </c>
      <c r="B9382">
        <f>TEXT(9381, "[$-0E0000]yyyy-mm-dd")</f>
        <v/>
      </c>
      <c r="C9382" t="inlineStr">
        <is>
          <t>1925-07-20</t>
        </is>
      </c>
    </row>
    <row r="9383">
      <c r="A9383" s="1" t="n">
        <v>9382</v>
      </c>
      <c r="B9383">
        <f>TEXT(9382, "[$-0E0000]yyyy-mm-dd")</f>
        <v/>
      </c>
      <c r="C9383" t="inlineStr">
        <is>
          <t>1925-07-21</t>
        </is>
      </c>
    </row>
    <row r="9384">
      <c r="A9384" s="1" t="n">
        <v>9383</v>
      </c>
      <c r="B9384">
        <f>TEXT(9383, "[$-0E0000]yyyy-mm-dd")</f>
        <v/>
      </c>
      <c r="C9384" t="inlineStr">
        <is>
          <t>1925-07-22</t>
        </is>
      </c>
    </row>
    <row r="9385">
      <c r="A9385" s="1" t="n">
        <v>9384</v>
      </c>
      <c r="B9385">
        <f>TEXT(9384, "[$-0E0000]yyyy-mm-dd")</f>
        <v/>
      </c>
      <c r="C9385" t="inlineStr">
        <is>
          <t>1925-07-23</t>
        </is>
      </c>
    </row>
    <row r="9386">
      <c r="A9386" s="1" t="n">
        <v>9385</v>
      </c>
      <c r="B9386">
        <f>TEXT(9385, "[$-0E0000]yyyy-mm-dd")</f>
        <v/>
      </c>
      <c r="C9386" t="inlineStr">
        <is>
          <t>1925-07-24</t>
        </is>
      </c>
    </row>
    <row r="9387">
      <c r="A9387" s="1" t="n">
        <v>9386</v>
      </c>
      <c r="B9387">
        <f>TEXT(9386, "[$-0E0000]yyyy-mm-dd")</f>
        <v/>
      </c>
      <c r="C9387" t="inlineStr">
        <is>
          <t>1925-07-25</t>
        </is>
      </c>
    </row>
    <row r="9388">
      <c r="A9388" s="1" t="n">
        <v>9387</v>
      </c>
      <c r="B9388">
        <f>TEXT(9387, "[$-0E0000]yyyy-mm-dd")</f>
        <v/>
      </c>
      <c r="C9388" t="inlineStr">
        <is>
          <t>1925-07-26</t>
        </is>
      </c>
    </row>
    <row r="9389">
      <c r="A9389" s="1" t="n">
        <v>9388</v>
      </c>
      <c r="B9389">
        <f>TEXT(9388, "[$-0E0000]yyyy-mm-dd")</f>
        <v/>
      </c>
      <c r="C9389" t="inlineStr">
        <is>
          <t>1925-07-27</t>
        </is>
      </c>
    </row>
    <row r="9390">
      <c r="A9390" s="1" t="n">
        <v>9389</v>
      </c>
      <c r="B9390">
        <f>TEXT(9389, "[$-0E0000]yyyy-mm-dd")</f>
        <v/>
      </c>
      <c r="C9390" t="inlineStr">
        <is>
          <t>1925-07-28</t>
        </is>
      </c>
    </row>
    <row r="9391">
      <c r="A9391" s="1" t="n">
        <v>9390</v>
      </c>
      <c r="B9391">
        <f>TEXT(9390, "[$-0E0000]yyyy-mm-dd")</f>
        <v/>
      </c>
      <c r="C9391" t="inlineStr">
        <is>
          <t>1925-07-29</t>
        </is>
      </c>
    </row>
    <row r="9392">
      <c r="A9392" s="1" t="n">
        <v>9391</v>
      </c>
      <c r="B9392">
        <f>TEXT(9391, "[$-0E0000]yyyy-mm-dd")</f>
        <v/>
      </c>
      <c r="C9392" t="inlineStr">
        <is>
          <t>1925-07-30</t>
        </is>
      </c>
    </row>
    <row r="9393">
      <c r="A9393" s="1" t="n">
        <v>9392</v>
      </c>
      <c r="B9393">
        <f>TEXT(9392, "[$-0E0000]yyyy-mm-dd")</f>
        <v/>
      </c>
      <c r="C9393" t="inlineStr">
        <is>
          <t>1925-08-01</t>
        </is>
      </c>
    </row>
    <row r="9394">
      <c r="A9394" s="1" t="n">
        <v>9393</v>
      </c>
      <c r="B9394">
        <f>TEXT(9393, "[$-0E0000]yyyy-mm-dd")</f>
        <v/>
      </c>
      <c r="C9394" t="inlineStr">
        <is>
          <t>1925-08-02</t>
        </is>
      </c>
    </row>
    <row r="9395">
      <c r="A9395" s="1" t="n">
        <v>9394</v>
      </c>
      <c r="B9395">
        <f>TEXT(9394, "[$-0E0000]yyyy-mm-dd")</f>
        <v/>
      </c>
      <c r="C9395" t="inlineStr">
        <is>
          <t>1925-08-03</t>
        </is>
      </c>
    </row>
    <row r="9396">
      <c r="A9396" s="1" t="n">
        <v>9395</v>
      </c>
      <c r="B9396">
        <f>TEXT(9395, "[$-0E0000]yyyy-mm-dd")</f>
        <v/>
      </c>
      <c r="C9396" t="inlineStr">
        <is>
          <t>1925-08-04</t>
        </is>
      </c>
    </row>
    <row r="9397">
      <c r="A9397" s="1" t="n">
        <v>9396</v>
      </c>
      <c r="B9397">
        <f>TEXT(9396, "[$-0E0000]yyyy-mm-dd")</f>
        <v/>
      </c>
      <c r="C9397" t="inlineStr">
        <is>
          <t>1925-08-05</t>
        </is>
      </c>
    </row>
    <row r="9398">
      <c r="A9398" s="1" t="n">
        <v>9397</v>
      </c>
      <c r="B9398">
        <f>TEXT(9397, "[$-0E0000]yyyy-mm-dd")</f>
        <v/>
      </c>
      <c r="C9398" t="inlineStr">
        <is>
          <t>1925-08-06</t>
        </is>
      </c>
    </row>
    <row r="9399">
      <c r="A9399" s="1" t="n">
        <v>9398</v>
      </c>
      <c r="B9399">
        <f>TEXT(9398, "[$-0E0000]yyyy-mm-dd")</f>
        <v/>
      </c>
      <c r="C9399" t="inlineStr">
        <is>
          <t>1925-08-07</t>
        </is>
      </c>
    </row>
    <row r="9400">
      <c r="A9400" s="1" t="n">
        <v>9399</v>
      </c>
      <c r="B9400">
        <f>TEXT(9399, "[$-0E0000]yyyy-mm-dd")</f>
        <v/>
      </c>
      <c r="C9400" t="inlineStr">
        <is>
          <t>1925-08-08</t>
        </is>
      </c>
    </row>
    <row r="9401">
      <c r="A9401" s="1" t="n">
        <v>9400</v>
      </c>
      <c r="B9401">
        <f>TEXT(9400, "[$-0E0000]yyyy-mm-dd")</f>
        <v/>
      </c>
      <c r="C9401" t="inlineStr">
        <is>
          <t>1925-08-09</t>
        </is>
      </c>
    </row>
    <row r="9402">
      <c r="A9402" s="1" t="n">
        <v>9401</v>
      </c>
      <c r="B9402">
        <f>TEXT(9401, "[$-0E0000]yyyy-mm-dd")</f>
        <v/>
      </c>
      <c r="C9402" t="inlineStr">
        <is>
          <t>1925-08-10</t>
        </is>
      </c>
    </row>
    <row r="9403">
      <c r="A9403" s="1" t="n">
        <v>9402</v>
      </c>
      <c r="B9403">
        <f>TEXT(9402, "[$-0E0000]yyyy-mm-dd")</f>
        <v/>
      </c>
      <c r="C9403" t="inlineStr">
        <is>
          <t>1925-08-11</t>
        </is>
      </c>
    </row>
    <row r="9404">
      <c r="A9404" s="1" t="n">
        <v>9403</v>
      </c>
      <c r="B9404">
        <f>TEXT(9403, "[$-0E0000]yyyy-mm-dd")</f>
        <v/>
      </c>
      <c r="C9404" t="inlineStr">
        <is>
          <t>1925-08-12</t>
        </is>
      </c>
    </row>
    <row r="9405">
      <c r="A9405" s="1" t="n">
        <v>9404</v>
      </c>
      <c r="B9405">
        <f>TEXT(9404, "[$-0E0000]yyyy-mm-dd")</f>
        <v/>
      </c>
      <c r="C9405" t="inlineStr">
        <is>
          <t>1925-08-13</t>
        </is>
      </c>
    </row>
    <row r="9406">
      <c r="A9406" s="1" t="n">
        <v>9405</v>
      </c>
      <c r="B9406">
        <f>TEXT(9405, "[$-0E0000]yyyy-mm-dd")</f>
        <v/>
      </c>
      <c r="C9406" t="inlineStr">
        <is>
          <t>1925-08-14</t>
        </is>
      </c>
    </row>
    <row r="9407">
      <c r="A9407" s="1" t="n">
        <v>9406</v>
      </c>
      <c r="B9407">
        <f>TEXT(9406, "[$-0E0000]yyyy-mm-dd")</f>
        <v/>
      </c>
      <c r="C9407" t="inlineStr">
        <is>
          <t>1925-08-15</t>
        </is>
      </c>
    </row>
    <row r="9408">
      <c r="A9408" s="1" t="n">
        <v>9407</v>
      </c>
      <c r="B9408">
        <f>TEXT(9407, "[$-0E0000]yyyy-mm-dd")</f>
        <v/>
      </c>
      <c r="C9408" t="inlineStr">
        <is>
          <t>1925-08-16</t>
        </is>
      </c>
    </row>
    <row r="9409">
      <c r="A9409" s="1" t="n">
        <v>9408</v>
      </c>
      <c r="B9409">
        <f>TEXT(9408, "[$-0E0000]yyyy-mm-dd")</f>
        <v/>
      </c>
      <c r="C9409" t="inlineStr">
        <is>
          <t>1925-08-17</t>
        </is>
      </c>
    </row>
    <row r="9410">
      <c r="A9410" s="1" t="n">
        <v>9409</v>
      </c>
      <c r="B9410">
        <f>TEXT(9409, "[$-0E0000]yyyy-mm-dd")</f>
        <v/>
      </c>
      <c r="C9410" t="inlineStr">
        <is>
          <t>1925-08-18</t>
        </is>
      </c>
    </row>
    <row r="9411">
      <c r="A9411" s="1" t="n">
        <v>9410</v>
      </c>
      <c r="B9411">
        <f>TEXT(9410, "[$-0E0000]yyyy-mm-dd")</f>
        <v/>
      </c>
      <c r="C9411" t="inlineStr">
        <is>
          <t>1925-08-19</t>
        </is>
      </c>
    </row>
    <row r="9412">
      <c r="A9412" s="1" t="n">
        <v>9411</v>
      </c>
      <c r="B9412">
        <f>TEXT(9411, "[$-0E0000]yyyy-mm-dd")</f>
        <v/>
      </c>
      <c r="C9412" t="inlineStr">
        <is>
          <t>1925-08-20</t>
        </is>
      </c>
    </row>
    <row r="9413">
      <c r="A9413" s="1" t="n">
        <v>9412</v>
      </c>
      <c r="B9413">
        <f>TEXT(9412, "[$-0E0000]yyyy-mm-dd")</f>
        <v/>
      </c>
      <c r="C9413" t="inlineStr">
        <is>
          <t>1925-08-21</t>
        </is>
      </c>
    </row>
    <row r="9414">
      <c r="A9414" s="1" t="n">
        <v>9413</v>
      </c>
      <c r="B9414">
        <f>TEXT(9413, "[$-0E0000]yyyy-mm-dd")</f>
        <v/>
      </c>
      <c r="C9414" t="inlineStr">
        <is>
          <t>1925-08-22</t>
        </is>
      </c>
    </row>
    <row r="9415">
      <c r="A9415" s="1" t="n">
        <v>9414</v>
      </c>
      <c r="B9415">
        <f>TEXT(9414, "[$-0E0000]yyyy-mm-dd")</f>
        <v/>
      </c>
      <c r="C9415" t="inlineStr">
        <is>
          <t>1925-08-23</t>
        </is>
      </c>
    </row>
    <row r="9416">
      <c r="A9416" s="1" t="n">
        <v>9415</v>
      </c>
      <c r="B9416">
        <f>TEXT(9415, "[$-0E0000]yyyy-mm-dd")</f>
        <v/>
      </c>
      <c r="C9416" t="inlineStr">
        <is>
          <t>1925-08-24</t>
        </is>
      </c>
    </row>
    <row r="9417">
      <c r="A9417" s="1" t="n">
        <v>9416</v>
      </c>
      <c r="B9417">
        <f>TEXT(9416, "[$-0E0000]yyyy-mm-dd")</f>
        <v/>
      </c>
      <c r="C9417" t="inlineStr">
        <is>
          <t>1925-08-25</t>
        </is>
      </c>
    </row>
    <row r="9418">
      <c r="A9418" s="1" t="n">
        <v>9417</v>
      </c>
      <c r="B9418">
        <f>TEXT(9417, "[$-0E0000]yyyy-mm-dd")</f>
        <v/>
      </c>
      <c r="C9418" t="inlineStr">
        <is>
          <t>1925-08-26</t>
        </is>
      </c>
    </row>
    <row r="9419">
      <c r="A9419" s="1" t="n">
        <v>9418</v>
      </c>
      <c r="B9419">
        <f>TEXT(9418, "[$-0E0000]yyyy-mm-dd")</f>
        <v/>
      </c>
      <c r="C9419" t="inlineStr">
        <is>
          <t>1925-08-27</t>
        </is>
      </c>
    </row>
    <row r="9420">
      <c r="A9420" s="1" t="n">
        <v>9419</v>
      </c>
      <c r="B9420">
        <f>TEXT(9419, "[$-0E0000]yyyy-mm-dd")</f>
        <v/>
      </c>
      <c r="C9420" t="inlineStr">
        <is>
          <t>1925-08-28</t>
        </is>
      </c>
    </row>
    <row r="9421">
      <c r="A9421" s="1" t="n">
        <v>9420</v>
      </c>
      <c r="B9421">
        <f>TEXT(9420, "[$-0E0000]yyyy-mm-dd")</f>
        <v/>
      </c>
      <c r="C9421" t="inlineStr">
        <is>
          <t>1925-08-29</t>
        </is>
      </c>
    </row>
    <row r="9422">
      <c r="A9422" s="1" t="n">
        <v>9421</v>
      </c>
      <c r="B9422">
        <f>TEXT(9421, "[$-0E0000]yyyy-mm-dd")</f>
        <v/>
      </c>
      <c r="C9422" t="inlineStr">
        <is>
          <t>1925-08-30</t>
        </is>
      </c>
    </row>
    <row r="9423">
      <c r="A9423" s="1" t="n">
        <v>9422</v>
      </c>
      <c r="B9423">
        <f>TEXT(9422, "[$-0E0000]yyyy-mm-dd")</f>
        <v/>
      </c>
      <c r="C9423" t="inlineStr">
        <is>
          <t>1925-09-01</t>
        </is>
      </c>
    </row>
    <row r="9424">
      <c r="A9424" s="1" t="n">
        <v>9423</v>
      </c>
      <c r="B9424">
        <f>TEXT(9423, "[$-0E0000]yyyy-mm-dd")</f>
        <v/>
      </c>
      <c r="C9424" t="inlineStr">
        <is>
          <t>1925-09-02</t>
        </is>
      </c>
    </row>
    <row r="9425">
      <c r="A9425" s="1" t="n">
        <v>9424</v>
      </c>
      <c r="B9425">
        <f>TEXT(9424, "[$-0E0000]yyyy-mm-dd")</f>
        <v/>
      </c>
      <c r="C9425" t="inlineStr">
        <is>
          <t>1925-09-03</t>
        </is>
      </c>
    </row>
    <row r="9426">
      <c r="A9426" s="1" t="n">
        <v>9425</v>
      </c>
      <c r="B9426">
        <f>TEXT(9425, "[$-0E0000]yyyy-mm-dd")</f>
        <v/>
      </c>
      <c r="C9426" t="inlineStr">
        <is>
          <t>1925-09-04</t>
        </is>
      </c>
    </row>
    <row r="9427">
      <c r="A9427" s="1" t="n">
        <v>9426</v>
      </c>
      <c r="B9427">
        <f>TEXT(9426, "[$-0E0000]yyyy-mm-dd")</f>
        <v/>
      </c>
      <c r="C9427" t="inlineStr">
        <is>
          <t>1925-09-05</t>
        </is>
      </c>
    </row>
    <row r="9428">
      <c r="A9428" s="1" t="n">
        <v>9427</v>
      </c>
      <c r="B9428">
        <f>TEXT(9427, "[$-0E0000]yyyy-mm-dd")</f>
        <v/>
      </c>
      <c r="C9428" t="inlineStr">
        <is>
          <t>1925-09-06</t>
        </is>
      </c>
    </row>
    <row r="9429">
      <c r="A9429" s="1" t="n">
        <v>9428</v>
      </c>
      <c r="B9429">
        <f>TEXT(9428, "[$-0E0000]yyyy-mm-dd")</f>
        <v/>
      </c>
      <c r="C9429" t="inlineStr">
        <is>
          <t>1925-09-07</t>
        </is>
      </c>
    </row>
    <row r="9430">
      <c r="A9430" s="1" t="n">
        <v>9429</v>
      </c>
      <c r="B9430">
        <f>TEXT(9429, "[$-0E0000]yyyy-mm-dd")</f>
        <v/>
      </c>
      <c r="C9430" t="inlineStr">
        <is>
          <t>1925-09-08</t>
        </is>
      </c>
    </row>
    <row r="9431">
      <c r="A9431" s="1" t="n">
        <v>9430</v>
      </c>
      <c r="B9431">
        <f>TEXT(9430, "[$-0E0000]yyyy-mm-dd")</f>
        <v/>
      </c>
      <c r="C9431" t="inlineStr">
        <is>
          <t>1925-09-09</t>
        </is>
      </c>
    </row>
    <row r="9432">
      <c r="A9432" s="1" t="n">
        <v>9431</v>
      </c>
      <c r="B9432">
        <f>TEXT(9431, "[$-0E0000]yyyy-mm-dd")</f>
        <v/>
      </c>
      <c r="C9432" t="inlineStr">
        <is>
          <t>1925-09-10</t>
        </is>
      </c>
    </row>
    <row r="9433">
      <c r="A9433" s="1" t="n">
        <v>9432</v>
      </c>
      <c r="B9433">
        <f>TEXT(9432, "[$-0E0000]yyyy-mm-dd")</f>
        <v/>
      </c>
      <c r="C9433" t="inlineStr">
        <is>
          <t>1925-09-11</t>
        </is>
      </c>
    </row>
    <row r="9434">
      <c r="A9434" s="1" t="n">
        <v>9433</v>
      </c>
      <c r="B9434">
        <f>TEXT(9433, "[$-0E0000]yyyy-mm-dd")</f>
        <v/>
      </c>
      <c r="C9434" t="inlineStr">
        <is>
          <t>1925-09-12</t>
        </is>
      </c>
    </row>
    <row r="9435">
      <c r="A9435" s="1" t="n">
        <v>9434</v>
      </c>
      <c r="B9435">
        <f>TEXT(9434, "[$-0E0000]yyyy-mm-dd")</f>
        <v/>
      </c>
      <c r="C9435" t="inlineStr">
        <is>
          <t>1925-09-13</t>
        </is>
      </c>
    </row>
    <row r="9436">
      <c r="A9436" s="1" t="n">
        <v>9435</v>
      </c>
      <c r="B9436">
        <f>TEXT(9435, "[$-0E0000]yyyy-mm-dd")</f>
        <v/>
      </c>
      <c r="C9436" t="inlineStr">
        <is>
          <t>1925-09-14</t>
        </is>
      </c>
    </row>
    <row r="9437">
      <c r="A9437" s="1" t="n">
        <v>9436</v>
      </c>
      <c r="B9437">
        <f>TEXT(9436, "[$-0E0000]yyyy-mm-dd")</f>
        <v/>
      </c>
      <c r="C9437" t="inlineStr">
        <is>
          <t>1925-09-15</t>
        </is>
      </c>
    </row>
    <row r="9438">
      <c r="A9438" s="1" t="n">
        <v>9437</v>
      </c>
      <c r="B9438">
        <f>TEXT(9437, "[$-0E0000]yyyy-mm-dd")</f>
        <v/>
      </c>
      <c r="C9438" t="inlineStr">
        <is>
          <t>1925-09-16</t>
        </is>
      </c>
    </row>
    <row r="9439">
      <c r="A9439" s="1" t="n">
        <v>9438</v>
      </c>
      <c r="B9439">
        <f>TEXT(9438, "[$-0E0000]yyyy-mm-dd")</f>
        <v/>
      </c>
      <c r="C9439" t="inlineStr">
        <is>
          <t>1925-09-17</t>
        </is>
      </c>
    </row>
    <row r="9440">
      <c r="A9440" s="1" t="n">
        <v>9439</v>
      </c>
      <c r="B9440">
        <f>TEXT(9439, "[$-0E0000]yyyy-mm-dd")</f>
        <v/>
      </c>
      <c r="C9440" t="inlineStr">
        <is>
          <t>1925-09-18</t>
        </is>
      </c>
    </row>
    <row r="9441">
      <c r="A9441" s="1" t="n">
        <v>9440</v>
      </c>
      <c r="B9441">
        <f>TEXT(9440, "[$-0E0000]yyyy-mm-dd")</f>
        <v/>
      </c>
      <c r="C9441" t="inlineStr">
        <is>
          <t>1925-09-19</t>
        </is>
      </c>
    </row>
    <row r="9442">
      <c r="A9442" s="1" t="n">
        <v>9441</v>
      </c>
      <c r="B9442">
        <f>TEXT(9441, "[$-0E0000]yyyy-mm-dd")</f>
        <v/>
      </c>
      <c r="C9442" t="inlineStr">
        <is>
          <t>1925-09-20</t>
        </is>
      </c>
    </row>
    <row r="9443">
      <c r="A9443" s="1" t="n">
        <v>9442</v>
      </c>
      <c r="B9443">
        <f>TEXT(9442, "[$-0E0000]yyyy-mm-dd")</f>
        <v/>
      </c>
      <c r="C9443" t="inlineStr">
        <is>
          <t>1925-09-21</t>
        </is>
      </c>
    </row>
    <row r="9444">
      <c r="A9444" s="1" t="n">
        <v>9443</v>
      </c>
      <c r="B9444">
        <f>TEXT(9443, "[$-0E0000]yyyy-mm-dd")</f>
        <v/>
      </c>
      <c r="C9444" t="inlineStr">
        <is>
          <t>1925-09-22</t>
        </is>
      </c>
    </row>
    <row r="9445">
      <c r="A9445" s="1" t="n">
        <v>9444</v>
      </c>
      <c r="B9445">
        <f>TEXT(9444, "[$-0E0000]yyyy-mm-dd")</f>
        <v/>
      </c>
      <c r="C9445" t="inlineStr">
        <is>
          <t>1925-09-23</t>
        </is>
      </c>
    </row>
    <row r="9446">
      <c r="A9446" s="1" t="n">
        <v>9445</v>
      </c>
      <c r="B9446">
        <f>TEXT(9445, "[$-0E0000]yyyy-mm-dd")</f>
        <v/>
      </c>
      <c r="C9446" t="inlineStr">
        <is>
          <t>1925-09-24</t>
        </is>
      </c>
    </row>
    <row r="9447">
      <c r="A9447" s="1" t="n">
        <v>9446</v>
      </c>
      <c r="B9447">
        <f>TEXT(9446, "[$-0E0000]yyyy-mm-dd")</f>
        <v/>
      </c>
      <c r="C9447" t="inlineStr">
        <is>
          <t>1925-09-25</t>
        </is>
      </c>
    </row>
    <row r="9448">
      <c r="A9448" s="1" t="n">
        <v>9447</v>
      </c>
      <c r="B9448">
        <f>TEXT(9447, "[$-0E0000]yyyy-mm-dd")</f>
        <v/>
      </c>
      <c r="C9448" t="inlineStr">
        <is>
          <t>1925-09-26</t>
        </is>
      </c>
    </row>
    <row r="9449">
      <c r="A9449" s="1" t="n">
        <v>9448</v>
      </c>
      <c r="B9449">
        <f>TEXT(9448, "[$-0E0000]yyyy-mm-dd")</f>
        <v/>
      </c>
      <c r="C9449" t="inlineStr">
        <is>
          <t>1925-09-27</t>
        </is>
      </c>
    </row>
    <row r="9450">
      <c r="A9450" s="1" t="n">
        <v>9449</v>
      </c>
      <c r="B9450">
        <f>TEXT(9449, "[$-0E0000]yyyy-mm-dd")</f>
        <v/>
      </c>
      <c r="C9450" t="inlineStr">
        <is>
          <t>1925-09-28</t>
        </is>
      </c>
    </row>
    <row r="9451">
      <c r="A9451" s="1" t="n">
        <v>9450</v>
      </c>
      <c r="B9451">
        <f>TEXT(9450, "[$-0E0000]yyyy-mm-dd")</f>
        <v/>
      </c>
      <c r="C9451" t="inlineStr">
        <is>
          <t>1925-09-29</t>
        </is>
      </c>
    </row>
    <row r="9452">
      <c r="A9452" s="1" t="n">
        <v>9451</v>
      </c>
      <c r="B9452">
        <f>TEXT(9451, "[$-0E0000]yyyy-mm-dd")</f>
        <v/>
      </c>
      <c r="C9452" t="inlineStr">
        <is>
          <t>1925-10-01</t>
        </is>
      </c>
    </row>
    <row r="9453">
      <c r="A9453" s="1" t="n">
        <v>9452</v>
      </c>
      <c r="B9453">
        <f>TEXT(9452, "[$-0E0000]yyyy-mm-dd")</f>
        <v/>
      </c>
      <c r="C9453" t="inlineStr">
        <is>
          <t>1925-10-02</t>
        </is>
      </c>
    </row>
    <row r="9454">
      <c r="A9454" s="1" t="n">
        <v>9453</v>
      </c>
      <c r="B9454">
        <f>TEXT(9453, "[$-0E0000]yyyy-mm-dd")</f>
        <v/>
      </c>
      <c r="C9454" t="inlineStr">
        <is>
          <t>1925-10-03</t>
        </is>
      </c>
    </row>
    <row r="9455">
      <c r="A9455" s="1" t="n">
        <v>9454</v>
      </c>
      <c r="B9455">
        <f>TEXT(9454, "[$-0E0000]yyyy-mm-dd")</f>
        <v/>
      </c>
      <c r="C9455" t="inlineStr">
        <is>
          <t>1925-10-04</t>
        </is>
      </c>
    </row>
    <row r="9456">
      <c r="A9456" s="1" t="n">
        <v>9455</v>
      </c>
      <c r="B9456">
        <f>TEXT(9455, "[$-0E0000]yyyy-mm-dd")</f>
        <v/>
      </c>
      <c r="C9456" t="inlineStr">
        <is>
          <t>1925-10-05</t>
        </is>
      </c>
    </row>
    <row r="9457">
      <c r="A9457" s="1" t="n">
        <v>9456</v>
      </c>
      <c r="B9457">
        <f>TEXT(9456, "[$-0E0000]yyyy-mm-dd")</f>
        <v/>
      </c>
      <c r="C9457" t="inlineStr">
        <is>
          <t>1925-10-06</t>
        </is>
      </c>
    </row>
    <row r="9458">
      <c r="A9458" s="1" t="n">
        <v>9457</v>
      </c>
      <c r="B9458">
        <f>TEXT(9457, "[$-0E0000]yyyy-mm-dd")</f>
        <v/>
      </c>
      <c r="C9458" t="inlineStr">
        <is>
          <t>1925-10-07</t>
        </is>
      </c>
    </row>
    <row r="9459">
      <c r="A9459" s="1" t="n">
        <v>9458</v>
      </c>
      <c r="B9459">
        <f>TEXT(9458, "[$-0E0000]yyyy-mm-dd")</f>
        <v/>
      </c>
      <c r="C9459" t="inlineStr">
        <is>
          <t>1925-10-08</t>
        </is>
      </c>
    </row>
    <row r="9460">
      <c r="A9460" s="1" t="n">
        <v>9459</v>
      </c>
      <c r="B9460">
        <f>TEXT(9459, "[$-0E0000]yyyy-mm-dd")</f>
        <v/>
      </c>
      <c r="C9460" t="inlineStr">
        <is>
          <t>1925-10-09</t>
        </is>
      </c>
    </row>
    <row r="9461">
      <c r="A9461" s="1" t="n">
        <v>9460</v>
      </c>
      <c r="B9461">
        <f>TEXT(9460, "[$-0E0000]yyyy-mm-dd")</f>
        <v/>
      </c>
      <c r="C9461" t="inlineStr">
        <is>
          <t>1925-10-10</t>
        </is>
      </c>
    </row>
    <row r="9462">
      <c r="A9462" s="1" t="n">
        <v>9461</v>
      </c>
      <c r="B9462">
        <f>TEXT(9461, "[$-0E0000]yyyy-mm-dd")</f>
        <v/>
      </c>
      <c r="C9462" t="inlineStr">
        <is>
          <t>1925-10-11</t>
        </is>
      </c>
    </row>
    <row r="9463">
      <c r="A9463" s="1" t="n">
        <v>9462</v>
      </c>
      <c r="B9463">
        <f>TEXT(9462, "[$-0E0000]yyyy-mm-dd")</f>
        <v/>
      </c>
      <c r="C9463" t="inlineStr">
        <is>
          <t>1925-10-12</t>
        </is>
      </c>
    </row>
    <row r="9464">
      <c r="A9464" s="1" t="n">
        <v>9463</v>
      </c>
      <c r="B9464">
        <f>TEXT(9463, "[$-0E0000]yyyy-mm-dd")</f>
        <v/>
      </c>
      <c r="C9464" t="inlineStr">
        <is>
          <t>1925-10-13</t>
        </is>
      </c>
    </row>
    <row r="9465">
      <c r="A9465" s="1" t="n">
        <v>9464</v>
      </c>
      <c r="B9465">
        <f>TEXT(9464, "[$-0E0000]yyyy-mm-dd")</f>
        <v/>
      </c>
      <c r="C9465" t="inlineStr">
        <is>
          <t>1925-10-14</t>
        </is>
      </c>
    </row>
    <row r="9466">
      <c r="A9466" s="1" t="n">
        <v>9465</v>
      </c>
      <c r="B9466">
        <f>TEXT(9465, "[$-0E0000]yyyy-mm-dd")</f>
        <v/>
      </c>
      <c r="C9466" t="inlineStr">
        <is>
          <t>1925-10-15</t>
        </is>
      </c>
    </row>
    <row r="9467">
      <c r="A9467" s="1" t="n">
        <v>9466</v>
      </c>
      <c r="B9467">
        <f>TEXT(9466, "[$-0E0000]yyyy-mm-dd")</f>
        <v/>
      </c>
      <c r="C9467" t="inlineStr">
        <is>
          <t>1925-10-16</t>
        </is>
      </c>
    </row>
    <row r="9468">
      <c r="A9468" s="1" t="n">
        <v>9467</v>
      </c>
      <c r="B9468">
        <f>TEXT(9467, "[$-0E0000]yyyy-mm-dd")</f>
        <v/>
      </c>
      <c r="C9468" t="inlineStr">
        <is>
          <t>1925-10-17</t>
        </is>
      </c>
    </row>
    <row r="9469">
      <c r="A9469" s="1" t="n">
        <v>9468</v>
      </c>
      <c r="B9469">
        <f>TEXT(9468, "[$-0E0000]yyyy-mm-dd")</f>
        <v/>
      </c>
      <c r="C9469" t="inlineStr">
        <is>
          <t>1925-10-18</t>
        </is>
      </c>
    </row>
    <row r="9470">
      <c r="A9470" s="1" t="n">
        <v>9469</v>
      </c>
      <c r="B9470">
        <f>TEXT(9469, "[$-0E0000]yyyy-mm-dd")</f>
        <v/>
      </c>
      <c r="C9470" t="inlineStr">
        <is>
          <t>1925-10-19</t>
        </is>
      </c>
    </row>
    <row r="9471">
      <c r="A9471" s="1" t="n">
        <v>9470</v>
      </c>
      <c r="B9471">
        <f>TEXT(9470, "[$-0E0000]yyyy-mm-dd")</f>
        <v/>
      </c>
      <c r="C9471" t="inlineStr">
        <is>
          <t>1925-10-20</t>
        </is>
      </c>
    </row>
    <row r="9472">
      <c r="A9472" s="1" t="n">
        <v>9471</v>
      </c>
      <c r="B9472">
        <f>TEXT(9471, "[$-0E0000]yyyy-mm-dd")</f>
        <v/>
      </c>
      <c r="C9472" t="inlineStr">
        <is>
          <t>1925-10-21</t>
        </is>
      </c>
    </row>
    <row r="9473">
      <c r="A9473" s="1" t="n">
        <v>9472</v>
      </c>
      <c r="B9473">
        <f>TEXT(9472, "[$-0E0000]yyyy-mm-dd")</f>
        <v/>
      </c>
      <c r="C9473" t="inlineStr">
        <is>
          <t>1925-10-22</t>
        </is>
      </c>
    </row>
    <row r="9474">
      <c r="A9474" s="1" t="n">
        <v>9473</v>
      </c>
      <c r="B9474">
        <f>TEXT(9473, "[$-0E0000]yyyy-mm-dd")</f>
        <v/>
      </c>
      <c r="C9474" t="inlineStr">
        <is>
          <t>1925-10-23</t>
        </is>
      </c>
    </row>
    <row r="9475">
      <c r="A9475" s="1" t="n">
        <v>9474</v>
      </c>
      <c r="B9475">
        <f>TEXT(9474, "[$-0E0000]yyyy-mm-dd")</f>
        <v/>
      </c>
      <c r="C9475" t="inlineStr">
        <is>
          <t>1925-10-24</t>
        </is>
      </c>
    </row>
    <row r="9476">
      <c r="A9476" s="1" t="n">
        <v>9475</v>
      </c>
      <c r="B9476">
        <f>TEXT(9475, "[$-0E0000]yyyy-mm-dd")</f>
        <v/>
      </c>
      <c r="C9476" t="inlineStr">
        <is>
          <t>1925-10-25</t>
        </is>
      </c>
    </row>
    <row r="9477">
      <c r="A9477" s="1" t="n">
        <v>9476</v>
      </c>
      <c r="B9477">
        <f>TEXT(9476, "[$-0E0000]yyyy-mm-dd")</f>
        <v/>
      </c>
      <c r="C9477" t="inlineStr">
        <is>
          <t>1925-10-26</t>
        </is>
      </c>
    </row>
    <row r="9478">
      <c r="A9478" s="1" t="n">
        <v>9477</v>
      </c>
      <c r="B9478">
        <f>TEXT(9477, "[$-0E0000]yyyy-mm-dd")</f>
        <v/>
      </c>
      <c r="C9478" t="inlineStr">
        <is>
          <t>1925-10-27</t>
        </is>
      </c>
    </row>
    <row r="9479">
      <c r="A9479" s="1" t="n">
        <v>9478</v>
      </c>
      <c r="B9479">
        <f>TEXT(9478, "[$-0E0000]yyyy-mm-dd")</f>
        <v/>
      </c>
      <c r="C9479" t="inlineStr">
        <is>
          <t>1925-10-28</t>
        </is>
      </c>
    </row>
    <row r="9480">
      <c r="A9480" s="1" t="n">
        <v>9479</v>
      </c>
      <c r="B9480">
        <f>TEXT(9479, "[$-0E0000]yyyy-mm-dd")</f>
        <v/>
      </c>
      <c r="C9480" t="inlineStr">
        <is>
          <t>1925-10-29</t>
        </is>
      </c>
    </row>
    <row r="9481">
      <c r="A9481" s="1" t="n">
        <v>9480</v>
      </c>
      <c r="B9481">
        <f>TEXT(9480, "[$-0E0000]yyyy-mm-dd")</f>
        <v/>
      </c>
      <c r="C9481" t="inlineStr">
        <is>
          <t>1925-10-30</t>
        </is>
      </c>
    </row>
    <row r="9482">
      <c r="A9482" s="1" t="n">
        <v>9481</v>
      </c>
      <c r="B9482">
        <f>TEXT(9481, "[$-0E0000]yyyy-mm-dd")</f>
        <v/>
      </c>
      <c r="C9482" t="inlineStr">
        <is>
          <t>1925-11-01</t>
        </is>
      </c>
    </row>
    <row r="9483">
      <c r="A9483" s="1" t="n">
        <v>9482</v>
      </c>
      <c r="B9483">
        <f>TEXT(9482, "[$-0E0000]yyyy-mm-dd")</f>
        <v/>
      </c>
      <c r="C9483" t="inlineStr">
        <is>
          <t>1925-11-02</t>
        </is>
      </c>
    </row>
    <row r="9484">
      <c r="A9484" s="1" t="n">
        <v>9483</v>
      </c>
      <c r="B9484">
        <f>TEXT(9483, "[$-0E0000]yyyy-mm-dd")</f>
        <v/>
      </c>
      <c r="C9484" t="inlineStr">
        <is>
          <t>1925-11-03</t>
        </is>
      </c>
    </row>
    <row r="9485">
      <c r="A9485" s="1" t="n">
        <v>9484</v>
      </c>
      <c r="B9485">
        <f>TEXT(9484, "[$-0E0000]yyyy-mm-dd")</f>
        <v/>
      </c>
      <c r="C9485" t="inlineStr">
        <is>
          <t>1925-11-04</t>
        </is>
      </c>
    </row>
    <row r="9486">
      <c r="A9486" s="1" t="n">
        <v>9485</v>
      </c>
      <c r="B9486">
        <f>TEXT(9485, "[$-0E0000]yyyy-mm-dd")</f>
        <v/>
      </c>
      <c r="C9486" t="inlineStr">
        <is>
          <t>1925-11-05</t>
        </is>
      </c>
    </row>
    <row r="9487">
      <c r="A9487" s="1" t="n">
        <v>9486</v>
      </c>
      <c r="B9487">
        <f>TEXT(9486, "[$-0E0000]yyyy-mm-dd")</f>
        <v/>
      </c>
      <c r="C9487" t="inlineStr">
        <is>
          <t>1925-11-06</t>
        </is>
      </c>
    </row>
    <row r="9488">
      <c r="A9488" s="1" t="n">
        <v>9487</v>
      </c>
      <c r="B9488">
        <f>TEXT(9487, "[$-0E0000]yyyy-mm-dd")</f>
        <v/>
      </c>
      <c r="C9488" t="inlineStr">
        <is>
          <t>1925-11-07</t>
        </is>
      </c>
    </row>
    <row r="9489">
      <c r="A9489" s="1" t="n">
        <v>9488</v>
      </c>
      <c r="B9489">
        <f>TEXT(9488, "[$-0E0000]yyyy-mm-dd")</f>
        <v/>
      </c>
      <c r="C9489" t="inlineStr">
        <is>
          <t>1925-11-08</t>
        </is>
      </c>
    </row>
    <row r="9490">
      <c r="A9490" s="1" t="n">
        <v>9489</v>
      </c>
      <c r="B9490">
        <f>TEXT(9489, "[$-0E0000]yyyy-mm-dd")</f>
        <v/>
      </c>
      <c r="C9490" t="inlineStr">
        <is>
          <t>1925-11-09</t>
        </is>
      </c>
    </row>
    <row r="9491">
      <c r="A9491" s="1" t="n">
        <v>9490</v>
      </c>
      <c r="B9491">
        <f>TEXT(9490, "[$-0E0000]yyyy-mm-dd")</f>
        <v/>
      </c>
      <c r="C9491" t="inlineStr">
        <is>
          <t>1925-11-10</t>
        </is>
      </c>
    </row>
    <row r="9492">
      <c r="A9492" s="1" t="n">
        <v>9491</v>
      </c>
      <c r="B9492">
        <f>TEXT(9491, "[$-0E0000]yyyy-mm-dd")</f>
        <v/>
      </c>
      <c r="C9492" t="inlineStr">
        <is>
          <t>1925-11-11</t>
        </is>
      </c>
    </row>
    <row r="9493">
      <c r="A9493" s="1" t="n">
        <v>9492</v>
      </c>
      <c r="B9493">
        <f>TEXT(9492, "[$-0E0000]yyyy-mm-dd")</f>
        <v/>
      </c>
      <c r="C9493" t="inlineStr">
        <is>
          <t>1925-11-12</t>
        </is>
      </c>
    </row>
    <row r="9494">
      <c r="A9494" s="1" t="n">
        <v>9493</v>
      </c>
      <c r="B9494">
        <f>TEXT(9493, "[$-0E0000]yyyy-mm-dd")</f>
        <v/>
      </c>
      <c r="C9494" t="inlineStr">
        <is>
          <t>1925-11-13</t>
        </is>
      </c>
    </row>
    <row r="9495">
      <c r="A9495" s="1" t="n">
        <v>9494</v>
      </c>
      <c r="B9495">
        <f>TEXT(9494, "[$-0E0000]yyyy-mm-dd")</f>
        <v/>
      </c>
      <c r="C9495" t="inlineStr">
        <is>
          <t>1925-11-14</t>
        </is>
      </c>
    </row>
    <row r="9496">
      <c r="A9496" s="1" t="n">
        <v>9495</v>
      </c>
      <c r="B9496">
        <f>TEXT(9495, "[$-0E0000]yyyy-mm-dd")</f>
        <v/>
      </c>
      <c r="C9496" t="inlineStr">
        <is>
          <t>1925-11-15</t>
        </is>
      </c>
    </row>
    <row r="9497">
      <c r="A9497" s="1" t="n">
        <v>9496</v>
      </c>
      <c r="B9497">
        <f>TEXT(9496, "[$-0E0000]yyyy-mm-dd")</f>
        <v/>
      </c>
      <c r="C9497" t="inlineStr">
        <is>
          <t>1925-11-16</t>
        </is>
      </c>
    </row>
    <row r="9498">
      <c r="A9498" s="1" t="n">
        <v>9497</v>
      </c>
      <c r="B9498">
        <f>TEXT(9497, "[$-0E0000]yyyy-mm-dd")</f>
        <v/>
      </c>
      <c r="C9498" t="inlineStr">
        <is>
          <t>1925-11-17</t>
        </is>
      </c>
    </row>
    <row r="9499">
      <c r="A9499" s="1" t="n">
        <v>9498</v>
      </c>
      <c r="B9499">
        <f>TEXT(9498, "[$-0E0000]yyyy-mm-dd")</f>
        <v/>
      </c>
      <c r="C9499" t="inlineStr">
        <is>
          <t>1925-11-18</t>
        </is>
      </c>
    </row>
    <row r="9500">
      <c r="A9500" s="1" t="n">
        <v>9499</v>
      </c>
      <c r="B9500">
        <f>TEXT(9499, "[$-0E0000]yyyy-mm-dd")</f>
        <v/>
      </c>
      <c r="C9500" t="inlineStr">
        <is>
          <t>1925-11-19</t>
        </is>
      </c>
    </row>
    <row r="9501">
      <c r="A9501" s="1" t="n">
        <v>9500</v>
      </c>
      <c r="B9501">
        <f>TEXT(9500, "[$-0E0000]yyyy-mm-dd")</f>
        <v/>
      </c>
      <c r="C9501" t="inlineStr">
        <is>
          <t>1925-11-20</t>
        </is>
      </c>
    </row>
    <row r="9502">
      <c r="A9502" s="1" t="n">
        <v>9501</v>
      </c>
      <c r="B9502">
        <f>TEXT(9501, "[$-0E0000]yyyy-mm-dd")</f>
        <v/>
      </c>
      <c r="C9502" t="inlineStr">
        <is>
          <t>1925-11-21</t>
        </is>
      </c>
    </row>
    <row r="9503">
      <c r="A9503" s="1" t="n">
        <v>9502</v>
      </c>
      <c r="B9503">
        <f>TEXT(9502, "[$-0E0000]yyyy-mm-dd")</f>
        <v/>
      </c>
      <c r="C9503" t="inlineStr">
        <is>
          <t>1925-11-22</t>
        </is>
      </c>
    </row>
    <row r="9504">
      <c r="A9504" s="1" t="n">
        <v>9503</v>
      </c>
      <c r="B9504">
        <f>TEXT(9503, "[$-0E0000]yyyy-mm-dd")</f>
        <v/>
      </c>
      <c r="C9504" t="inlineStr">
        <is>
          <t>1925-11-23</t>
        </is>
      </c>
    </row>
    <row r="9505">
      <c r="A9505" s="1" t="n">
        <v>9504</v>
      </c>
      <c r="B9505">
        <f>TEXT(9504, "[$-0E0000]yyyy-mm-dd")</f>
        <v/>
      </c>
      <c r="C9505" t="inlineStr">
        <is>
          <t>1925-11-24</t>
        </is>
      </c>
    </row>
    <row r="9506">
      <c r="A9506" s="1" t="n">
        <v>9505</v>
      </c>
      <c r="B9506">
        <f>TEXT(9505, "[$-0E0000]yyyy-mm-dd")</f>
        <v/>
      </c>
      <c r="C9506" t="inlineStr">
        <is>
          <t>1925-11-25</t>
        </is>
      </c>
    </row>
    <row r="9507">
      <c r="A9507" s="1" t="n">
        <v>9506</v>
      </c>
      <c r="B9507">
        <f>TEXT(9506, "[$-0E0000]yyyy-mm-dd")</f>
        <v/>
      </c>
      <c r="C9507" t="inlineStr">
        <is>
          <t>1925-11-26</t>
        </is>
      </c>
    </row>
    <row r="9508">
      <c r="A9508" s="1" t="n">
        <v>9507</v>
      </c>
      <c r="B9508">
        <f>TEXT(9507, "[$-0E0000]yyyy-mm-dd")</f>
        <v/>
      </c>
      <c r="C9508" t="inlineStr">
        <is>
          <t>1925-11-27</t>
        </is>
      </c>
    </row>
    <row r="9509">
      <c r="A9509" s="1" t="n">
        <v>9508</v>
      </c>
      <c r="B9509">
        <f>TEXT(9508, "[$-0E0000]yyyy-mm-dd")</f>
        <v/>
      </c>
      <c r="C9509" t="inlineStr">
        <is>
          <t>1925-11-28</t>
        </is>
      </c>
    </row>
    <row r="9510">
      <c r="A9510" s="1" t="n">
        <v>9509</v>
      </c>
      <c r="B9510">
        <f>TEXT(9509, "[$-0E0000]yyyy-mm-dd")</f>
        <v/>
      </c>
      <c r="C9510" t="inlineStr">
        <is>
          <t>1925-11-29</t>
        </is>
      </c>
    </row>
    <row r="9511">
      <c r="A9511" s="1" t="n">
        <v>9510</v>
      </c>
      <c r="B9511">
        <f>TEXT(9510, "[$-0E0000]yyyy-mm-dd")</f>
        <v/>
      </c>
      <c r="C9511" t="inlineStr">
        <is>
          <t>1925-12-01</t>
        </is>
      </c>
    </row>
    <row r="9512">
      <c r="A9512" s="1" t="n">
        <v>9511</v>
      </c>
      <c r="B9512">
        <f>TEXT(9511, "[$-0E0000]yyyy-mm-dd")</f>
        <v/>
      </c>
      <c r="C9512" t="inlineStr">
        <is>
          <t>1925-12-02</t>
        </is>
      </c>
    </row>
    <row r="9513">
      <c r="A9513" s="1" t="n">
        <v>9512</v>
      </c>
      <c r="B9513">
        <f>TEXT(9512, "[$-0E0000]yyyy-mm-dd")</f>
        <v/>
      </c>
      <c r="C9513" t="inlineStr">
        <is>
          <t>1925-12-03</t>
        </is>
      </c>
    </row>
    <row r="9514">
      <c r="A9514" s="1" t="n">
        <v>9513</v>
      </c>
      <c r="B9514">
        <f>TEXT(9513, "[$-0E0000]yyyy-mm-dd")</f>
        <v/>
      </c>
      <c r="C9514" t="inlineStr">
        <is>
          <t>1925-12-04</t>
        </is>
      </c>
    </row>
    <row r="9515">
      <c r="A9515" s="1" t="n">
        <v>9514</v>
      </c>
      <c r="B9515">
        <f>TEXT(9514, "[$-0E0000]yyyy-mm-dd")</f>
        <v/>
      </c>
      <c r="C9515" t="inlineStr">
        <is>
          <t>1925-12-05</t>
        </is>
      </c>
    </row>
    <row r="9516">
      <c r="A9516" s="1" t="n">
        <v>9515</v>
      </c>
      <c r="B9516">
        <f>TEXT(9515, "[$-0E0000]yyyy-mm-dd")</f>
        <v/>
      </c>
      <c r="C9516" t="inlineStr">
        <is>
          <t>1925-12-06</t>
        </is>
      </c>
    </row>
    <row r="9517">
      <c r="A9517" s="1" t="n">
        <v>9516</v>
      </c>
      <c r="B9517">
        <f>TEXT(9516, "[$-0E0000]yyyy-mm-dd")</f>
        <v/>
      </c>
      <c r="C9517" t="inlineStr">
        <is>
          <t>1925-12-07</t>
        </is>
      </c>
    </row>
    <row r="9518">
      <c r="A9518" s="1" t="n">
        <v>9517</v>
      </c>
      <c r="B9518">
        <f>TEXT(9517, "[$-0E0000]yyyy-mm-dd")</f>
        <v/>
      </c>
      <c r="C9518" t="inlineStr">
        <is>
          <t>1925-12-08</t>
        </is>
      </c>
    </row>
    <row r="9519">
      <c r="A9519" s="1" t="n">
        <v>9518</v>
      </c>
      <c r="B9519">
        <f>TEXT(9518, "[$-0E0000]yyyy-mm-dd")</f>
        <v/>
      </c>
      <c r="C9519" t="inlineStr">
        <is>
          <t>1925-12-09</t>
        </is>
      </c>
    </row>
    <row r="9520">
      <c r="A9520" s="1" t="n">
        <v>9519</v>
      </c>
      <c r="B9520">
        <f>TEXT(9519, "[$-0E0000]yyyy-mm-dd")</f>
        <v/>
      </c>
      <c r="C9520" t="inlineStr">
        <is>
          <t>1925-12-10</t>
        </is>
      </c>
    </row>
    <row r="9521">
      <c r="A9521" s="1" t="n">
        <v>9520</v>
      </c>
      <c r="B9521">
        <f>TEXT(9520, "[$-0E0000]yyyy-mm-dd")</f>
        <v/>
      </c>
      <c r="C9521" t="inlineStr">
        <is>
          <t>1925-12-11</t>
        </is>
      </c>
    </row>
    <row r="9522">
      <c r="A9522" s="1" t="n">
        <v>9521</v>
      </c>
      <c r="B9522">
        <f>TEXT(9521, "[$-0E0000]yyyy-mm-dd")</f>
        <v/>
      </c>
      <c r="C9522" t="inlineStr">
        <is>
          <t>1925-12-12</t>
        </is>
      </c>
    </row>
    <row r="9523">
      <c r="A9523" s="1" t="n">
        <v>9522</v>
      </c>
      <c r="B9523">
        <f>TEXT(9522, "[$-0E0000]yyyy-mm-dd")</f>
        <v/>
      </c>
      <c r="C9523" t="inlineStr">
        <is>
          <t>1925-12-13</t>
        </is>
      </c>
    </row>
    <row r="9524">
      <c r="A9524" s="1" t="n">
        <v>9523</v>
      </c>
      <c r="B9524">
        <f>TEXT(9523, "[$-0E0000]yyyy-mm-dd")</f>
        <v/>
      </c>
      <c r="C9524" t="inlineStr">
        <is>
          <t>1925-12-14</t>
        </is>
      </c>
    </row>
    <row r="9525">
      <c r="A9525" s="1" t="n">
        <v>9524</v>
      </c>
      <c r="B9525">
        <f>TEXT(9524, "[$-0E0000]yyyy-mm-dd")</f>
        <v/>
      </c>
      <c r="C9525" t="inlineStr">
        <is>
          <t>1925-12-15</t>
        </is>
      </c>
    </row>
    <row r="9526">
      <c r="A9526" s="1" t="n">
        <v>9525</v>
      </c>
      <c r="B9526">
        <f>TEXT(9525, "[$-0E0000]yyyy-mm-dd")</f>
        <v/>
      </c>
      <c r="C9526" t="inlineStr">
        <is>
          <t>1925-12-16</t>
        </is>
      </c>
    </row>
    <row r="9527">
      <c r="A9527" s="1" t="n">
        <v>9526</v>
      </c>
      <c r="B9527">
        <f>TEXT(9526, "[$-0E0000]yyyy-mm-dd")</f>
        <v/>
      </c>
      <c r="C9527" t="inlineStr">
        <is>
          <t>1925-12-17</t>
        </is>
      </c>
    </row>
    <row r="9528">
      <c r="A9528" s="1" t="n">
        <v>9527</v>
      </c>
      <c r="B9528">
        <f>TEXT(9527, "[$-0E0000]yyyy-mm-dd")</f>
        <v/>
      </c>
      <c r="C9528" t="inlineStr">
        <is>
          <t>1925-12-18</t>
        </is>
      </c>
    </row>
    <row r="9529">
      <c r="A9529" s="1" t="n">
        <v>9528</v>
      </c>
      <c r="B9529">
        <f>TEXT(9528, "[$-0E0000]yyyy-mm-dd")</f>
        <v/>
      </c>
      <c r="C9529" t="inlineStr">
        <is>
          <t>1925-12-19</t>
        </is>
      </c>
    </row>
    <row r="9530">
      <c r="A9530" s="1" t="n">
        <v>9529</v>
      </c>
      <c r="B9530">
        <f>TEXT(9529, "[$-0E0000]yyyy-mm-dd")</f>
        <v/>
      </c>
      <c r="C9530" t="inlineStr">
        <is>
          <t>1925-12-20</t>
        </is>
      </c>
    </row>
    <row r="9531">
      <c r="A9531" s="1" t="n">
        <v>9530</v>
      </c>
      <c r="B9531">
        <f>TEXT(9530, "[$-0E0000]yyyy-mm-dd")</f>
        <v/>
      </c>
      <c r="C9531" t="inlineStr">
        <is>
          <t>1925-12-21</t>
        </is>
      </c>
    </row>
    <row r="9532">
      <c r="A9532" s="1" t="n">
        <v>9531</v>
      </c>
      <c r="B9532">
        <f>TEXT(9531, "[$-0E0000]yyyy-mm-dd")</f>
        <v/>
      </c>
      <c r="C9532" t="inlineStr">
        <is>
          <t>1925-12-22</t>
        </is>
      </c>
    </row>
    <row r="9533">
      <c r="A9533" s="1" t="n">
        <v>9532</v>
      </c>
      <c r="B9533">
        <f>TEXT(9532, "[$-0E0000]yyyy-mm-dd")</f>
        <v/>
      </c>
      <c r="C9533" t="inlineStr">
        <is>
          <t>1925-12-23</t>
        </is>
      </c>
    </row>
    <row r="9534">
      <c r="A9534" s="1" t="n">
        <v>9533</v>
      </c>
      <c r="B9534">
        <f>TEXT(9533, "[$-0E0000]yyyy-mm-dd")</f>
        <v/>
      </c>
      <c r="C9534" t="inlineStr">
        <is>
          <t>1925-12-24</t>
        </is>
      </c>
    </row>
    <row r="9535">
      <c r="A9535" s="1" t="n">
        <v>9534</v>
      </c>
      <c r="B9535">
        <f>TEXT(9534, "[$-0E0000]yyyy-mm-dd")</f>
        <v/>
      </c>
      <c r="C9535" t="inlineStr">
        <is>
          <t>1925-12-25</t>
        </is>
      </c>
    </row>
    <row r="9536">
      <c r="A9536" s="1" t="n">
        <v>9535</v>
      </c>
      <c r="B9536">
        <f>TEXT(9535, "[$-0E0000]yyyy-mm-dd")</f>
        <v/>
      </c>
      <c r="C9536" t="inlineStr">
        <is>
          <t>1925-12-26</t>
        </is>
      </c>
    </row>
    <row r="9537">
      <c r="A9537" s="1" t="n">
        <v>9536</v>
      </c>
      <c r="B9537">
        <f>TEXT(9536, "[$-0E0000]yyyy-mm-dd")</f>
        <v/>
      </c>
      <c r="C9537" t="inlineStr">
        <is>
          <t>1925-12-27</t>
        </is>
      </c>
    </row>
    <row r="9538">
      <c r="A9538" s="1" t="n">
        <v>9537</v>
      </c>
      <c r="B9538">
        <f>TEXT(9537, "[$-0E0000]yyyy-mm-dd")</f>
        <v/>
      </c>
      <c r="C9538" t="inlineStr">
        <is>
          <t>1925-12-28</t>
        </is>
      </c>
    </row>
    <row r="9539">
      <c r="A9539" s="1" t="n">
        <v>9538</v>
      </c>
      <c r="B9539">
        <f>TEXT(9538, "[$-0E0000]yyyy-mm-dd")</f>
        <v/>
      </c>
      <c r="C9539" t="inlineStr">
        <is>
          <t>1925-12-29</t>
        </is>
      </c>
    </row>
    <row r="9540">
      <c r="A9540" s="1" t="n">
        <v>9539</v>
      </c>
      <c r="B9540">
        <f>TEXT(9539, "[$-0E0000]yyyy-mm-dd")</f>
        <v/>
      </c>
      <c r="C9540" t="inlineStr">
        <is>
          <t>1925-12-30</t>
        </is>
      </c>
    </row>
    <row r="9541">
      <c r="A9541" s="1" t="n">
        <v>9540</v>
      </c>
      <c r="B9541">
        <f>TEXT(9540, "[$-0E0000]yyyy-mm-dd")</f>
        <v/>
      </c>
      <c r="C9541" t="inlineStr">
        <is>
          <t>1926-01-01</t>
        </is>
      </c>
    </row>
    <row r="9542">
      <c r="A9542" s="1" t="n">
        <v>9541</v>
      </c>
      <c r="B9542">
        <f>TEXT(9541, "[$-0E0000]yyyy-mm-dd")</f>
        <v/>
      </c>
      <c r="C9542" t="inlineStr">
        <is>
          <t>1926-01-02</t>
        </is>
      </c>
    </row>
    <row r="9543">
      <c r="A9543" s="1" t="n">
        <v>9542</v>
      </c>
      <c r="B9543">
        <f>TEXT(9542, "[$-0E0000]yyyy-mm-dd")</f>
        <v/>
      </c>
      <c r="C9543" t="inlineStr">
        <is>
          <t>1926-01-03</t>
        </is>
      </c>
    </row>
    <row r="9544">
      <c r="A9544" s="1" t="n">
        <v>9543</v>
      </c>
      <c r="B9544">
        <f>TEXT(9543, "[$-0E0000]yyyy-mm-dd")</f>
        <v/>
      </c>
      <c r="C9544" t="inlineStr">
        <is>
          <t>1926-01-04</t>
        </is>
      </c>
    </row>
    <row r="9545">
      <c r="A9545" s="1" t="n">
        <v>9544</v>
      </c>
      <c r="B9545">
        <f>TEXT(9544, "[$-0E0000]yyyy-mm-dd")</f>
        <v/>
      </c>
      <c r="C9545" t="inlineStr">
        <is>
          <t>1926-01-05</t>
        </is>
      </c>
    </row>
    <row r="9546">
      <c r="A9546" s="1" t="n">
        <v>9545</v>
      </c>
      <c r="B9546">
        <f>TEXT(9545, "[$-0E0000]yyyy-mm-dd")</f>
        <v/>
      </c>
      <c r="C9546" t="inlineStr">
        <is>
          <t>1926-01-06</t>
        </is>
      </c>
    </row>
    <row r="9547">
      <c r="A9547" s="1" t="n">
        <v>9546</v>
      </c>
      <c r="B9547">
        <f>TEXT(9546, "[$-0E0000]yyyy-mm-dd")</f>
        <v/>
      </c>
      <c r="C9547" t="inlineStr">
        <is>
          <t>1926-01-07</t>
        </is>
      </c>
    </row>
    <row r="9548">
      <c r="A9548" s="1" t="n">
        <v>9547</v>
      </c>
      <c r="B9548">
        <f>TEXT(9547, "[$-0E0000]yyyy-mm-dd")</f>
        <v/>
      </c>
      <c r="C9548" t="inlineStr">
        <is>
          <t>1926-01-08</t>
        </is>
      </c>
    </row>
    <row r="9549">
      <c r="A9549" s="1" t="n">
        <v>9548</v>
      </c>
      <c r="B9549">
        <f>TEXT(9548, "[$-0E0000]yyyy-mm-dd")</f>
        <v/>
      </c>
      <c r="C9549" t="inlineStr">
        <is>
          <t>1926-01-09</t>
        </is>
      </c>
    </row>
    <row r="9550">
      <c r="A9550" s="1" t="n">
        <v>9549</v>
      </c>
      <c r="B9550">
        <f>TEXT(9549, "[$-0E0000]yyyy-mm-dd")</f>
        <v/>
      </c>
      <c r="C9550" t="inlineStr">
        <is>
          <t>1926-01-10</t>
        </is>
      </c>
    </row>
    <row r="9551">
      <c r="A9551" s="1" t="n">
        <v>9550</v>
      </c>
      <c r="B9551">
        <f>TEXT(9550, "[$-0E0000]yyyy-mm-dd")</f>
        <v/>
      </c>
      <c r="C9551" t="inlineStr">
        <is>
          <t>1926-01-11</t>
        </is>
      </c>
    </row>
    <row r="9552">
      <c r="A9552" s="1" t="n">
        <v>9551</v>
      </c>
      <c r="B9552">
        <f>TEXT(9551, "[$-0E0000]yyyy-mm-dd")</f>
        <v/>
      </c>
      <c r="C9552" t="inlineStr">
        <is>
          <t>1926-01-12</t>
        </is>
      </c>
    </row>
    <row r="9553">
      <c r="A9553" s="1" t="n">
        <v>9552</v>
      </c>
      <c r="B9553">
        <f>TEXT(9552, "[$-0E0000]yyyy-mm-dd")</f>
        <v/>
      </c>
      <c r="C9553" t="inlineStr">
        <is>
          <t>1926-01-13</t>
        </is>
      </c>
    </row>
    <row r="9554">
      <c r="A9554" s="1" t="n">
        <v>9553</v>
      </c>
      <c r="B9554">
        <f>TEXT(9553, "[$-0E0000]yyyy-mm-dd")</f>
        <v/>
      </c>
      <c r="C9554" t="inlineStr">
        <is>
          <t>1926-01-14</t>
        </is>
      </c>
    </row>
    <row r="9555">
      <c r="A9555" s="1" t="n">
        <v>9554</v>
      </c>
      <c r="B9555">
        <f>TEXT(9554, "[$-0E0000]yyyy-mm-dd")</f>
        <v/>
      </c>
      <c r="C9555" t="inlineStr">
        <is>
          <t>1926-01-15</t>
        </is>
      </c>
    </row>
    <row r="9556">
      <c r="A9556" s="1" t="n">
        <v>9555</v>
      </c>
      <c r="B9556">
        <f>TEXT(9555, "[$-0E0000]yyyy-mm-dd")</f>
        <v/>
      </c>
      <c r="C9556" t="inlineStr">
        <is>
          <t>1926-01-16</t>
        </is>
      </c>
    </row>
    <row r="9557">
      <c r="A9557" s="1" t="n">
        <v>9556</v>
      </c>
      <c r="B9557">
        <f>TEXT(9556, "[$-0E0000]yyyy-mm-dd")</f>
        <v/>
      </c>
      <c r="C9557" t="inlineStr">
        <is>
          <t>1926-01-17</t>
        </is>
      </c>
    </row>
    <row r="9558">
      <c r="A9558" s="1" t="n">
        <v>9557</v>
      </c>
      <c r="B9558">
        <f>TEXT(9557, "[$-0E0000]yyyy-mm-dd")</f>
        <v/>
      </c>
      <c r="C9558" t="inlineStr">
        <is>
          <t>1926-01-18</t>
        </is>
      </c>
    </row>
    <row r="9559">
      <c r="A9559" s="1" t="n">
        <v>9558</v>
      </c>
      <c r="B9559">
        <f>TEXT(9558, "[$-0E0000]yyyy-mm-dd")</f>
        <v/>
      </c>
      <c r="C9559" t="inlineStr">
        <is>
          <t>1926-01-19</t>
        </is>
      </c>
    </row>
    <row r="9560">
      <c r="A9560" s="1" t="n">
        <v>9559</v>
      </c>
      <c r="B9560">
        <f>TEXT(9559, "[$-0E0000]yyyy-mm-dd")</f>
        <v/>
      </c>
      <c r="C9560" t="inlineStr">
        <is>
          <t>1926-01-20</t>
        </is>
      </c>
    </row>
    <row r="9561">
      <c r="A9561" s="1" t="n">
        <v>9560</v>
      </c>
      <c r="B9561">
        <f>TEXT(9560, "[$-0E0000]yyyy-mm-dd")</f>
        <v/>
      </c>
      <c r="C9561" t="inlineStr">
        <is>
          <t>1926-01-21</t>
        </is>
      </c>
    </row>
    <row r="9562">
      <c r="A9562" s="1" t="n">
        <v>9561</v>
      </c>
      <c r="B9562">
        <f>TEXT(9561, "[$-0E0000]yyyy-mm-dd")</f>
        <v/>
      </c>
      <c r="C9562" t="inlineStr">
        <is>
          <t>1926-01-22</t>
        </is>
      </c>
    </row>
    <row r="9563">
      <c r="A9563" s="1" t="n">
        <v>9562</v>
      </c>
      <c r="B9563">
        <f>TEXT(9562, "[$-0E0000]yyyy-mm-dd")</f>
        <v/>
      </c>
      <c r="C9563" t="inlineStr">
        <is>
          <t>1926-01-23</t>
        </is>
      </c>
    </row>
    <row r="9564">
      <c r="A9564" s="1" t="n">
        <v>9563</v>
      </c>
      <c r="B9564">
        <f>TEXT(9563, "[$-0E0000]yyyy-mm-dd")</f>
        <v/>
      </c>
      <c r="C9564" t="inlineStr">
        <is>
          <t>1926-01-24</t>
        </is>
      </c>
    </row>
    <row r="9565">
      <c r="A9565" s="1" t="n">
        <v>9564</v>
      </c>
      <c r="B9565">
        <f>TEXT(9564, "[$-0E0000]yyyy-mm-dd")</f>
        <v/>
      </c>
      <c r="C9565" t="inlineStr">
        <is>
          <t>1926-01-25</t>
        </is>
      </c>
    </row>
    <row r="9566">
      <c r="A9566" s="1" t="n">
        <v>9565</v>
      </c>
      <c r="B9566">
        <f>TEXT(9565, "[$-0E0000]yyyy-mm-dd")</f>
        <v/>
      </c>
      <c r="C9566" t="inlineStr">
        <is>
          <t>1926-01-26</t>
        </is>
      </c>
    </row>
    <row r="9567">
      <c r="A9567" s="1" t="n">
        <v>9566</v>
      </c>
      <c r="B9567">
        <f>TEXT(9566, "[$-0E0000]yyyy-mm-dd")</f>
        <v/>
      </c>
      <c r="C9567" t="inlineStr">
        <is>
          <t>1926-01-27</t>
        </is>
      </c>
    </row>
    <row r="9568">
      <c r="A9568" s="1" t="n">
        <v>9567</v>
      </c>
      <c r="B9568">
        <f>TEXT(9567, "[$-0E0000]yyyy-mm-dd")</f>
        <v/>
      </c>
      <c r="C9568" t="inlineStr">
        <is>
          <t>1926-01-28</t>
        </is>
      </c>
    </row>
    <row r="9569">
      <c r="A9569" s="1" t="n">
        <v>9568</v>
      </c>
      <c r="B9569">
        <f>TEXT(9568, "[$-0E0000]yyyy-mm-dd")</f>
        <v/>
      </c>
      <c r="C9569" t="inlineStr">
        <is>
          <t>1926-01-29</t>
        </is>
      </c>
    </row>
    <row r="9570">
      <c r="A9570" s="1" t="n">
        <v>9569</v>
      </c>
      <c r="B9570">
        <f>TEXT(9569, "[$-0E0000]yyyy-mm-dd")</f>
        <v/>
      </c>
      <c r="C9570" t="inlineStr">
        <is>
          <t>1926-02-01</t>
        </is>
      </c>
    </row>
    <row r="9571">
      <c r="A9571" s="1" t="n">
        <v>9570</v>
      </c>
      <c r="B9571">
        <f>TEXT(9570, "[$-0E0000]yyyy-mm-dd")</f>
        <v/>
      </c>
      <c r="C9571" t="inlineStr">
        <is>
          <t>1926-02-02</t>
        </is>
      </c>
    </row>
    <row r="9572">
      <c r="A9572" s="1" t="n">
        <v>9571</v>
      </c>
      <c r="B9572">
        <f>TEXT(9571, "[$-0E0000]yyyy-mm-dd")</f>
        <v/>
      </c>
      <c r="C9572" t="inlineStr">
        <is>
          <t>1926-02-03</t>
        </is>
      </c>
    </row>
    <row r="9573">
      <c r="A9573" s="1" t="n">
        <v>9572</v>
      </c>
      <c r="B9573">
        <f>TEXT(9572, "[$-0E0000]yyyy-mm-dd")</f>
        <v/>
      </c>
      <c r="C9573" t="inlineStr">
        <is>
          <t>1926-02-04</t>
        </is>
      </c>
    </row>
    <row r="9574">
      <c r="A9574" s="1" t="n">
        <v>9573</v>
      </c>
      <c r="B9574">
        <f>TEXT(9573, "[$-0E0000]yyyy-mm-dd")</f>
        <v/>
      </c>
      <c r="C9574" t="inlineStr">
        <is>
          <t>1926-02-05</t>
        </is>
      </c>
    </row>
    <row r="9575">
      <c r="A9575" s="1" t="n">
        <v>9574</v>
      </c>
      <c r="B9575">
        <f>TEXT(9574, "[$-0E0000]yyyy-mm-dd")</f>
        <v/>
      </c>
      <c r="C9575" t="inlineStr">
        <is>
          <t>1926-02-06</t>
        </is>
      </c>
    </row>
    <row r="9576">
      <c r="A9576" s="1" t="n">
        <v>9575</v>
      </c>
      <c r="B9576">
        <f>TEXT(9575, "[$-0E0000]yyyy-mm-dd")</f>
        <v/>
      </c>
      <c r="C9576" t="inlineStr">
        <is>
          <t>1926-02-07</t>
        </is>
      </c>
    </row>
    <row r="9577">
      <c r="A9577" s="1" t="n">
        <v>9576</v>
      </c>
      <c r="B9577">
        <f>TEXT(9576, "[$-0E0000]yyyy-mm-dd")</f>
        <v/>
      </c>
      <c r="C9577" t="inlineStr">
        <is>
          <t>1926-02-08</t>
        </is>
      </c>
    </row>
    <row r="9578">
      <c r="A9578" s="1" t="n">
        <v>9577</v>
      </c>
      <c r="B9578">
        <f>TEXT(9577, "[$-0E0000]yyyy-mm-dd")</f>
        <v/>
      </c>
      <c r="C9578" t="inlineStr">
        <is>
          <t>1926-02-09</t>
        </is>
      </c>
    </row>
    <row r="9579">
      <c r="A9579" s="1" t="n">
        <v>9578</v>
      </c>
      <c r="B9579">
        <f>TEXT(9578, "[$-0E0000]yyyy-mm-dd")</f>
        <v/>
      </c>
      <c r="C9579" t="inlineStr">
        <is>
          <t>1926-02-10</t>
        </is>
      </c>
    </row>
    <row r="9580">
      <c r="A9580" s="1" t="n">
        <v>9579</v>
      </c>
      <c r="B9580">
        <f>TEXT(9579, "[$-0E0000]yyyy-mm-dd")</f>
        <v/>
      </c>
      <c r="C9580" t="inlineStr">
        <is>
          <t>1926-02-11</t>
        </is>
      </c>
    </row>
    <row r="9581">
      <c r="A9581" s="1" t="n">
        <v>9580</v>
      </c>
      <c r="B9581">
        <f>TEXT(9580, "[$-0E0000]yyyy-mm-dd")</f>
        <v/>
      </c>
      <c r="C9581" t="inlineStr">
        <is>
          <t>1926-02-12</t>
        </is>
      </c>
    </row>
    <row r="9582">
      <c r="A9582" s="1" t="n">
        <v>9581</v>
      </c>
      <c r="B9582">
        <f>TEXT(9581, "[$-0E0000]yyyy-mm-dd")</f>
        <v/>
      </c>
      <c r="C9582" t="inlineStr">
        <is>
          <t>1926-02-13</t>
        </is>
      </c>
    </row>
    <row r="9583">
      <c r="A9583" s="1" t="n">
        <v>9582</v>
      </c>
      <c r="B9583">
        <f>TEXT(9582, "[$-0E0000]yyyy-mm-dd")</f>
        <v/>
      </c>
      <c r="C9583" t="inlineStr">
        <is>
          <t>1926-02-14</t>
        </is>
      </c>
    </row>
    <row r="9584">
      <c r="A9584" s="1" t="n">
        <v>9583</v>
      </c>
      <c r="B9584">
        <f>TEXT(9583, "[$-0E0000]yyyy-mm-dd")</f>
        <v/>
      </c>
      <c r="C9584" t="inlineStr">
        <is>
          <t>1926-02-15</t>
        </is>
      </c>
    </row>
    <row r="9585">
      <c r="A9585" s="1" t="n">
        <v>9584</v>
      </c>
      <c r="B9585">
        <f>TEXT(9584, "[$-0E0000]yyyy-mm-dd")</f>
        <v/>
      </c>
      <c r="C9585" t="inlineStr">
        <is>
          <t>1926-02-16</t>
        </is>
      </c>
    </row>
    <row r="9586">
      <c r="A9586" s="1" t="n">
        <v>9585</v>
      </c>
      <c r="B9586">
        <f>TEXT(9585, "[$-0E0000]yyyy-mm-dd")</f>
        <v/>
      </c>
      <c r="C9586" t="inlineStr">
        <is>
          <t>1926-02-17</t>
        </is>
      </c>
    </row>
    <row r="9587">
      <c r="A9587" s="1" t="n">
        <v>9586</v>
      </c>
      <c r="B9587">
        <f>TEXT(9586, "[$-0E0000]yyyy-mm-dd")</f>
        <v/>
      </c>
      <c r="C9587" t="inlineStr">
        <is>
          <t>1926-02-18</t>
        </is>
      </c>
    </row>
    <row r="9588">
      <c r="A9588" s="1" t="n">
        <v>9587</v>
      </c>
      <c r="B9588">
        <f>TEXT(9587, "[$-0E0000]yyyy-mm-dd")</f>
        <v/>
      </c>
      <c r="C9588" t="inlineStr">
        <is>
          <t>1926-02-19</t>
        </is>
      </c>
    </row>
    <row r="9589">
      <c r="A9589" s="1" t="n">
        <v>9588</v>
      </c>
      <c r="B9589">
        <f>TEXT(9588, "[$-0E0000]yyyy-mm-dd")</f>
        <v/>
      </c>
      <c r="C9589" t="inlineStr">
        <is>
          <t>1926-02-20</t>
        </is>
      </c>
    </row>
    <row r="9590">
      <c r="A9590" s="1" t="n">
        <v>9589</v>
      </c>
      <c r="B9590">
        <f>TEXT(9589, "[$-0E0000]yyyy-mm-dd")</f>
        <v/>
      </c>
      <c r="C9590" t="inlineStr">
        <is>
          <t>1926-02-21</t>
        </is>
      </c>
    </row>
    <row r="9591">
      <c r="A9591" s="1" t="n">
        <v>9590</v>
      </c>
      <c r="B9591">
        <f>TEXT(9590, "[$-0E0000]yyyy-mm-dd")</f>
        <v/>
      </c>
      <c r="C9591" t="inlineStr">
        <is>
          <t>1926-02-22</t>
        </is>
      </c>
    </row>
    <row r="9592">
      <c r="A9592" s="1" t="n">
        <v>9591</v>
      </c>
      <c r="B9592">
        <f>TEXT(9591, "[$-0E0000]yyyy-mm-dd")</f>
        <v/>
      </c>
      <c r="C9592" t="inlineStr">
        <is>
          <t>1926-02-23</t>
        </is>
      </c>
    </row>
    <row r="9593">
      <c r="A9593" s="1" t="n">
        <v>9592</v>
      </c>
      <c r="B9593">
        <f>TEXT(9592, "[$-0E0000]yyyy-mm-dd")</f>
        <v/>
      </c>
      <c r="C9593" t="inlineStr">
        <is>
          <t>1926-02-24</t>
        </is>
      </c>
    </row>
    <row r="9594">
      <c r="A9594" s="1" t="n">
        <v>9593</v>
      </c>
      <c r="B9594">
        <f>TEXT(9593, "[$-0E0000]yyyy-mm-dd")</f>
        <v/>
      </c>
      <c r="C9594" t="inlineStr">
        <is>
          <t>1926-02-25</t>
        </is>
      </c>
    </row>
    <row r="9595">
      <c r="A9595" s="1" t="n">
        <v>9594</v>
      </c>
      <c r="B9595">
        <f>TEXT(9594, "[$-0E0000]yyyy-mm-dd")</f>
        <v/>
      </c>
      <c r="C9595" t="inlineStr">
        <is>
          <t>1926-02-26</t>
        </is>
      </c>
    </row>
    <row r="9596">
      <c r="A9596" s="1" t="n">
        <v>9595</v>
      </c>
      <c r="B9596">
        <f>TEXT(9595, "[$-0E0000]yyyy-mm-dd")</f>
        <v/>
      </c>
      <c r="C9596" t="inlineStr">
        <is>
          <t>1926-02-27</t>
        </is>
      </c>
    </row>
    <row r="9597">
      <c r="A9597" s="1" t="n">
        <v>9596</v>
      </c>
      <c r="B9597">
        <f>TEXT(9596, "[$-0E0000]yyyy-mm-dd")</f>
        <v/>
      </c>
      <c r="C9597" t="inlineStr">
        <is>
          <t>1926-02-28</t>
        </is>
      </c>
    </row>
    <row r="9598">
      <c r="A9598" s="1" t="n">
        <v>9597</v>
      </c>
      <c r="B9598">
        <f>TEXT(9597, "[$-0E0000]yyyy-mm-dd")</f>
        <v/>
      </c>
      <c r="C9598" t="inlineStr">
        <is>
          <t>1926-02-29</t>
        </is>
      </c>
    </row>
    <row r="9599">
      <c r="A9599" s="1" t="n">
        <v>9598</v>
      </c>
      <c r="B9599">
        <f>TEXT(9598, "[$-0E0000]yyyy-mm-dd")</f>
        <v/>
      </c>
      <c r="C9599" t="inlineStr">
        <is>
          <t>1926-03-01</t>
        </is>
      </c>
    </row>
    <row r="9600">
      <c r="A9600" s="1" t="n">
        <v>9599</v>
      </c>
      <c r="B9600">
        <f>TEXT(9599, "[$-0E0000]yyyy-mm-dd")</f>
        <v/>
      </c>
      <c r="C9600" t="inlineStr">
        <is>
          <t>1926-03-02</t>
        </is>
      </c>
    </row>
    <row r="9601">
      <c r="A9601" s="1" t="n">
        <v>9600</v>
      </c>
      <c r="B9601">
        <f>TEXT(9600, "[$-0E0000]yyyy-mm-dd")</f>
        <v/>
      </c>
      <c r="C9601" t="inlineStr">
        <is>
          <t>1926-03-03</t>
        </is>
      </c>
    </row>
    <row r="9602">
      <c r="A9602" s="1" t="n">
        <v>9601</v>
      </c>
      <c r="B9602">
        <f>TEXT(9601, "[$-0E0000]yyyy-mm-dd")</f>
        <v/>
      </c>
      <c r="C9602" t="inlineStr">
        <is>
          <t>1926-03-04</t>
        </is>
      </c>
    </row>
    <row r="9603">
      <c r="A9603" s="1" t="n">
        <v>9602</v>
      </c>
      <c r="B9603">
        <f>TEXT(9602, "[$-0E0000]yyyy-mm-dd")</f>
        <v/>
      </c>
      <c r="C9603" t="inlineStr">
        <is>
          <t>1926-03-05</t>
        </is>
      </c>
    </row>
    <row r="9604">
      <c r="A9604" s="1" t="n">
        <v>9603</v>
      </c>
      <c r="B9604">
        <f>TEXT(9603, "[$-0E0000]yyyy-mm-dd")</f>
        <v/>
      </c>
      <c r="C9604" t="inlineStr">
        <is>
          <t>1926-03-06</t>
        </is>
      </c>
    </row>
    <row r="9605">
      <c r="A9605" s="1" t="n">
        <v>9604</v>
      </c>
      <c r="B9605">
        <f>TEXT(9604, "[$-0E0000]yyyy-mm-dd")</f>
        <v/>
      </c>
      <c r="C9605" t="inlineStr">
        <is>
          <t>1926-03-07</t>
        </is>
      </c>
    </row>
    <row r="9606">
      <c r="A9606" s="1" t="n">
        <v>9605</v>
      </c>
      <c r="B9606">
        <f>TEXT(9605, "[$-0E0000]yyyy-mm-dd")</f>
        <v/>
      </c>
      <c r="C9606" t="inlineStr">
        <is>
          <t>1926-03-08</t>
        </is>
      </c>
    </row>
    <row r="9607">
      <c r="A9607" s="1" t="n">
        <v>9606</v>
      </c>
      <c r="B9607">
        <f>TEXT(9606, "[$-0E0000]yyyy-mm-dd")</f>
        <v/>
      </c>
      <c r="C9607" t="inlineStr">
        <is>
          <t>1926-03-09</t>
        </is>
      </c>
    </row>
    <row r="9608">
      <c r="A9608" s="1" t="n">
        <v>9607</v>
      </c>
      <c r="B9608">
        <f>TEXT(9607, "[$-0E0000]yyyy-mm-dd")</f>
        <v/>
      </c>
      <c r="C9608" t="inlineStr">
        <is>
          <t>1926-03-10</t>
        </is>
      </c>
    </row>
    <row r="9609">
      <c r="A9609" s="1" t="n">
        <v>9608</v>
      </c>
      <c r="B9609">
        <f>TEXT(9608, "[$-0E0000]yyyy-mm-dd")</f>
        <v/>
      </c>
      <c r="C9609" t="inlineStr">
        <is>
          <t>1926-03-11</t>
        </is>
      </c>
    </row>
    <row r="9610">
      <c r="A9610" s="1" t="n">
        <v>9609</v>
      </c>
      <c r="B9610">
        <f>TEXT(9609, "[$-0E0000]yyyy-mm-dd")</f>
        <v/>
      </c>
      <c r="C9610" t="inlineStr">
        <is>
          <t>1926-03-12</t>
        </is>
      </c>
    </row>
    <row r="9611">
      <c r="A9611" s="1" t="n">
        <v>9610</v>
      </c>
      <c r="B9611">
        <f>TEXT(9610, "[$-0E0000]yyyy-mm-dd")</f>
        <v/>
      </c>
      <c r="C9611" t="inlineStr">
        <is>
          <t>1926-03-13</t>
        </is>
      </c>
    </row>
    <row r="9612">
      <c r="A9612" s="1" t="n">
        <v>9611</v>
      </c>
      <c r="B9612">
        <f>TEXT(9611, "[$-0E0000]yyyy-mm-dd")</f>
        <v/>
      </c>
      <c r="C9612" t="inlineStr">
        <is>
          <t>1926-03-14</t>
        </is>
      </c>
    </row>
    <row r="9613">
      <c r="A9613" s="1" t="n">
        <v>9612</v>
      </c>
      <c r="B9613">
        <f>TEXT(9612, "[$-0E0000]yyyy-mm-dd")</f>
        <v/>
      </c>
      <c r="C9613" t="inlineStr">
        <is>
          <t>1926-03-15</t>
        </is>
      </c>
    </row>
    <row r="9614">
      <c r="A9614" s="1" t="n">
        <v>9613</v>
      </c>
      <c r="B9614">
        <f>TEXT(9613, "[$-0E0000]yyyy-mm-dd")</f>
        <v/>
      </c>
      <c r="C9614" t="inlineStr">
        <is>
          <t>1926-03-16</t>
        </is>
      </c>
    </row>
    <row r="9615">
      <c r="A9615" s="1" t="n">
        <v>9614</v>
      </c>
      <c r="B9615">
        <f>TEXT(9614, "[$-0E0000]yyyy-mm-dd")</f>
        <v/>
      </c>
      <c r="C9615" t="inlineStr">
        <is>
          <t>1926-03-17</t>
        </is>
      </c>
    </row>
    <row r="9616">
      <c r="A9616" s="1" t="n">
        <v>9615</v>
      </c>
      <c r="B9616">
        <f>TEXT(9615, "[$-0E0000]yyyy-mm-dd")</f>
        <v/>
      </c>
      <c r="C9616" t="inlineStr">
        <is>
          <t>1926-03-18</t>
        </is>
      </c>
    </row>
    <row r="9617">
      <c r="A9617" s="1" t="n">
        <v>9616</v>
      </c>
      <c r="B9617">
        <f>TEXT(9616, "[$-0E0000]yyyy-mm-dd")</f>
        <v/>
      </c>
      <c r="C9617" t="inlineStr">
        <is>
          <t>1926-03-19</t>
        </is>
      </c>
    </row>
    <row r="9618">
      <c r="A9618" s="1" t="n">
        <v>9617</v>
      </c>
      <c r="B9618">
        <f>TEXT(9617, "[$-0E0000]yyyy-mm-dd")</f>
        <v/>
      </c>
      <c r="C9618" t="inlineStr">
        <is>
          <t>1926-03-20</t>
        </is>
      </c>
    </row>
    <row r="9619">
      <c r="A9619" s="1" t="n">
        <v>9618</v>
      </c>
      <c r="B9619">
        <f>TEXT(9618, "[$-0E0000]yyyy-mm-dd")</f>
        <v/>
      </c>
      <c r="C9619" t="inlineStr">
        <is>
          <t>1926-03-21</t>
        </is>
      </c>
    </row>
    <row r="9620">
      <c r="A9620" s="1" t="n">
        <v>9619</v>
      </c>
      <c r="B9620">
        <f>TEXT(9619, "[$-0E0000]yyyy-mm-dd")</f>
        <v/>
      </c>
      <c r="C9620" t="inlineStr">
        <is>
          <t>1926-03-22</t>
        </is>
      </c>
    </row>
    <row r="9621">
      <c r="A9621" s="1" t="n">
        <v>9620</v>
      </c>
      <c r="B9621">
        <f>TEXT(9620, "[$-0E0000]yyyy-mm-dd")</f>
        <v/>
      </c>
      <c r="C9621" t="inlineStr">
        <is>
          <t>1926-03-23</t>
        </is>
      </c>
    </row>
    <row r="9622">
      <c r="A9622" s="1" t="n">
        <v>9621</v>
      </c>
      <c r="B9622">
        <f>TEXT(9621, "[$-0E0000]yyyy-mm-dd")</f>
        <v/>
      </c>
      <c r="C9622" t="inlineStr">
        <is>
          <t>1926-03-24</t>
        </is>
      </c>
    </row>
    <row r="9623">
      <c r="A9623" s="1" t="n">
        <v>9622</v>
      </c>
      <c r="B9623">
        <f>TEXT(9622, "[$-0E0000]yyyy-mm-dd")</f>
        <v/>
      </c>
      <c r="C9623" t="inlineStr">
        <is>
          <t>1926-03-25</t>
        </is>
      </c>
    </row>
    <row r="9624">
      <c r="A9624" s="1" t="n">
        <v>9623</v>
      </c>
      <c r="B9624">
        <f>TEXT(9623, "[$-0E0000]yyyy-mm-dd")</f>
        <v/>
      </c>
      <c r="C9624" t="inlineStr">
        <is>
          <t>1926-03-26</t>
        </is>
      </c>
    </row>
    <row r="9625">
      <c r="A9625" s="1" t="n">
        <v>9624</v>
      </c>
      <c r="B9625">
        <f>TEXT(9624, "[$-0E0000]yyyy-mm-dd")</f>
        <v/>
      </c>
      <c r="C9625" t="inlineStr">
        <is>
          <t>1926-03-27</t>
        </is>
      </c>
    </row>
    <row r="9626">
      <c r="A9626" s="1" t="n">
        <v>9625</v>
      </c>
      <c r="B9626">
        <f>TEXT(9625, "[$-0E0000]yyyy-mm-dd")</f>
        <v/>
      </c>
      <c r="C9626" t="inlineStr">
        <is>
          <t>1926-03-28</t>
        </is>
      </c>
    </row>
    <row r="9627">
      <c r="A9627" s="1" t="n">
        <v>9626</v>
      </c>
      <c r="B9627">
        <f>TEXT(9626, "[$-0E0000]yyyy-mm-dd")</f>
        <v/>
      </c>
      <c r="C9627" t="inlineStr">
        <is>
          <t>1926-03-29</t>
        </is>
      </c>
    </row>
    <row r="9628">
      <c r="A9628" s="1" t="n">
        <v>9627</v>
      </c>
      <c r="B9628">
        <f>TEXT(9627, "[$-0E0000]yyyy-mm-dd")</f>
        <v/>
      </c>
      <c r="C9628" t="inlineStr">
        <is>
          <t>1926-03-30</t>
        </is>
      </c>
    </row>
    <row r="9629">
      <c r="A9629" s="1" t="n">
        <v>9628</v>
      </c>
      <c r="B9629">
        <f>TEXT(9628, "[$-0E0000]yyyy-mm-dd")</f>
        <v/>
      </c>
      <c r="C9629" t="inlineStr">
        <is>
          <t>1926-04-01</t>
        </is>
      </c>
    </row>
    <row r="9630">
      <c r="A9630" s="1" t="n">
        <v>9629</v>
      </c>
      <c r="B9630">
        <f>TEXT(9629, "[$-0E0000]yyyy-mm-dd")</f>
        <v/>
      </c>
      <c r="C9630" t="inlineStr">
        <is>
          <t>1926-04-02</t>
        </is>
      </c>
    </row>
    <row r="9631">
      <c r="A9631" s="1" t="n">
        <v>9630</v>
      </c>
      <c r="B9631">
        <f>TEXT(9630, "[$-0E0000]yyyy-mm-dd")</f>
        <v/>
      </c>
      <c r="C9631" t="inlineStr">
        <is>
          <t>1926-04-03</t>
        </is>
      </c>
    </row>
    <row r="9632">
      <c r="A9632" s="1" t="n">
        <v>9631</v>
      </c>
      <c r="B9632">
        <f>TEXT(9631, "[$-0E0000]yyyy-mm-dd")</f>
        <v/>
      </c>
      <c r="C9632" t="inlineStr">
        <is>
          <t>1926-04-04</t>
        </is>
      </c>
    </row>
    <row r="9633">
      <c r="A9633" s="1" t="n">
        <v>9632</v>
      </c>
      <c r="B9633">
        <f>TEXT(9632, "[$-0E0000]yyyy-mm-dd")</f>
        <v/>
      </c>
      <c r="C9633" t="inlineStr">
        <is>
          <t>1926-04-05</t>
        </is>
      </c>
    </row>
    <row r="9634">
      <c r="A9634" s="1" t="n">
        <v>9633</v>
      </c>
      <c r="B9634">
        <f>TEXT(9633, "[$-0E0000]yyyy-mm-dd")</f>
        <v/>
      </c>
      <c r="C9634" t="inlineStr">
        <is>
          <t>1926-04-06</t>
        </is>
      </c>
    </row>
    <row r="9635">
      <c r="A9635" s="1" t="n">
        <v>9634</v>
      </c>
      <c r="B9635">
        <f>TEXT(9634, "[$-0E0000]yyyy-mm-dd")</f>
        <v/>
      </c>
      <c r="C9635" t="inlineStr">
        <is>
          <t>1926-04-07</t>
        </is>
      </c>
    </row>
    <row r="9636">
      <c r="A9636" s="1" t="n">
        <v>9635</v>
      </c>
      <c r="B9636">
        <f>TEXT(9635, "[$-0E0000]yyyy-mm-dd")</f>
        <v/>
      </c>
      <c r="C9636" t="inlineStr">
        <is>
          <t>1926-04-08</t>
        </is>
      </c>
    </row>
    <row r="9637">
      <c r="A9637" s="1" t="n">
        <v>9636</v>
      </c>
      <c r="B9637">
        <f>TEXT(9636, "[$-0E0000]yyyy-mm-dd")</f>
        <v/>
      </c>
      <c r="C9637" t="inlineStr">
        <is>
          <t>1926-04-09</t>
        </is>
      </c>
    </row>
    <row r="9638">
      <c r="A9638" s="1" t="n">
        <v>9637</v>
      </c>
      <c r="B9638">
        <f>TEXT(9637, "[$-0E0000]yyyy-mm-dd")</f>
        <v/>
      </c>
      <c r="C9638" t="inlineStr">
        <is>
          <t>1926-04-10</t>
        </is>
      </c>
    </row>
    <row r="9639">
      <c r="A9639" s="1" t="n">
        <v>9638</v>
      </c>
      <c r="B9639">
        <f>TEXT(9638, "[$-0E0000]yyyy-mm-dd")</f>
        <v/>
      </c>
      <c r="C9639" t="inlineStr">
        <is>
          <t>1926-04-11</t>
        </is>
      </c>
    </row>
    <row r="9640">
      <c r="A9640" s="1" t="n">
        <v>9639</v>
      </c>
      <c r="B9640">
        <f>TEXT(9639, "[$-0E0000]yyyy-mm-dd")</f>
        <v/>
      </c>
      <c r="C9640" t="inlineStr">
        <is>
          <t>1926-04-12</t>
        </is>
      </c>
    </row>
    <row r="9641">
      <c r="A9641" s="1" t="n">
        <v>9640</v>
      </c>
      <c r="B9641">
        <f>TEXT(9640, "[$-0E0000]yyyy-mm-dd")</f>
        <v/>
      </c>
      <c r="C9641" t="inlineStr">
        <is>
          <t>1926-04-13</t>
        </is>
      </c>
    </row>
    <row r="9642">
      <c r="A9642" s="1" t="n">
        <v>9641</v>
      </c>
      <c r="B9642">
        <f>TEXT(9641, "[$-0E0000]yyyy-mm-dd")</f>
        <v/>
      </c>
      <c r="C9642" t="inlineStr">
        <is>
          <t>1926-04-14</t>
        </is>
      </c>
    </row>
    <row r="9643">
      <c r="A9643" s="1" t="n">
        <v>9642</v>
      </c>
      <c r="B9643">
        <f>TEXT(9642, "[$-0E0000]yyyy-mm-dd")</f>
        <v/>
      </c>
      <c r="C9643" t="inlineStr">
        <is>
          <t>1926-04-15</t>
        </is>
      </c>
    </row>
    <row r="9644">
      <c r="A9644" s="1" t="n">
        <v>9643</v>
      </c>
      <c r="B9644">
        <f>TEXT(9643, "[$-0E0000]yyyy-mm-dd")</f>
        <v/>
      </c>
      <c r="C9644" t="inlineStr">
        <is>
          <t>1926-04-16</t>
        </is>
      </c>
    </row>
    <row r="9645">
      <c r="A9645" s="1" t="n">
        <v>9644</v>
      </c>
      <c r="B9645">
        <f>TEXT(9644, "[$-0E0000]yyyy-mm-dd")</f>
        <v/>
      </c>
      <c r="C9645" t="inlineStr">
        <is>
          <t>1926-04-17</t>
        </is>
      </c>
    </row>
    <row r="9646">
      <c r="A9646" s="1" t="n">
        <v>9645</v>
      </c>
      <c r="B9646">
        <f>TEXT(9645, "[$-0E0000]yyyy-mm-dd")</f>
        <v/>
      </c>
      <c r="C9646" t="inlineStr">
        <is>
          <t>1926-04-18</t>
        </is>
      </c>
    </row>
    <row r="9647">
      <c r="A9647" s="1" t="n">
        <v>9646</v>
      </c>
      <c r="B9647">
        <f>TEXT(9646, "[$-0E0000]yyyy-mm-dd")</f>
        <v/>
      </c>
      <c r="C9647" t="inlineStr">
        <is>
          <t>1926-04-19</t>
        </is>
      </c>
    </row>
    <row r="9648">
      <c r="A9648" s="1" t="n">
        <v>9647</v>
      </c>
      <c r="B9648">
        <f>TEXT(9647, "[$-0E0000]yyyy-mm-dd")</f>
        <v/>
      </c>
      <c r="C9648" t="inlineStr">
        <is>
          <t>1926-04-20</t>
        </is>
      </c>
    </row>
    <row r="9649">
      <c r="A9649" s="1" t="n">
        <v>9648</v>
      </c>
      <c r="B9649">
        <f>TEXT(9648, "[$-0E0000]yyyy-mm-dd")</f>
        <v/>
      </c>
      <c r="C9649" t="inlineStr">
        <is>
          <t>1926-04-21</t>
        </is>
      </c>
    </row>
    <row r="9650">
      <c r="A9650" s="1" t="n">
        <v>9649</v>
      </c>
      <c r="B9650">
        <f>TEXT(9649, "[$-0E0000]yyyy-mm-dd")</f>
        <v/>
      </c>
      <c r="C9650" t="inlineStr">
        <is>
          <t>1926-04-22</t>
        </is>
      </c>
    </row>
    <row r="9651">
      <c r="A9651" s="1" t="n">
        <v>9650</v>
      </c>
      <c r="B9651">
        <f>TEXT(9650, "[$-0E0000]yyyy-mm-dd")</f>
        <v/>
      </c>
      <c r="C9651" t="inlineStr">
        <is>
          <t>1926-04-23</t>
        </is>
      </c>
    </row>
    <row r="9652">
      <c r="A9652" s="1" t="n">
        <v>9651</v>
      </c>
      <c r="B9652">
        <f>TEXT(9651, "[$-0E0000]yyyy-mm-dd")</f>
        <v/>
      </c>
      <c r="C9652" t="inlineStr">
        <is>
          <t>1926-04-24</t>
        </is>
      </c>
    </row>
    <row r="9653">
      <c r="A9653" s="1" t="n">
        <v>9652</v>
      </c>
      <c r="B9653">
        <f>TEXT(9652, "[$-0E0000]yyyy-mm-dd")</f>
        <v/>
      </c>
      <c r="C9653" t="inlineStr">
        <is>
          <t>1926-04-25</t>
        </is>
      </c>
    </row>
    <row r="9654">
      <c r="A9654" s="1" t="n">
        <v>9653</v>
      </c>
      <c r="B9654">
        <f>TEXT(9653, "[$-0E0000]yyyy-mm-dd")</f>
        <v/>
      </c>
      <c r="C9654" t="inlineStr">
        <is>
          <t>1926-04-26</t>
        </is>
      </c>
    </row>
    <row r="9655">
      <c r="A9655" s="1" t="n">
        <v>9654</v>
      </c>
      <c r="B9655">
        <f>TEXT(9654, "[$-0E0000]yyyy-mm-dd")</f>
        <v/>
      </c>
      <c r="C9655" t="inlineStr">
        <is>
          <t>1926-04-27</t>
        </is>
      </c>
    </row>
    <row r="9656">
      <c r="A9656" s="1" t="n">
        <v>9655</v>
      </c>
      <c r="B9656">
        <f>TEXT(9655, "[$-0E0000]yyyy-mm-dd")</f>
        <v/>
      </c>
      <c r="C9656" t="inlineStr">
        <is>
          <t>1926-04-28</t>
        </is>
      </c>
    </row>
    <row r="9657">
      <c r="A9657" s="1" t="n">
        <v>9656</v>
      </c>
      <c r="B9657">
        <f>TEXT(9656, "[$-0E0000]yyyy-mm-dd")</f>
        <v/>
      </c>
      <c r="C9657" t="inlineStr">
        <is>
          <t>1926-04-29</t>
        </is>
      </c>
    </row>
    <row r="9658">
      <c r="A9658" s="1" t="n">
        <v>9657</v>
      </c>
      <c r="B9658">
        <f>TEXT(9657, "[$-0E0000]yyyy-mm-dd")</f>
        <v/>
      </c>
      <c r="C9658" t="inlineStr">
        <is>
          <t>1926-05-01</t>
        </is>
      </c>
    </row>
    <row r="9659">
      <c r="A9659" s="1" t="n">
        <v>9658</v>
      </c>
      <c r="B9659">
        <f>TEXT(9658, "[$-0E0000]yyyy-mm-dd")</f>
        <v/>
      </c>
      <c r="C9659" t="inlineStr">
        <is>
          <t>1926-05-02</t>
        </is>
      </c>
    </row>
    <row r="9660">
      <c r="A9660" s="1" t="n">
        <v>9659</v>
      </c>
      <c r="B9660">
        <f>TEXT(9659, "[$-0E0000]yyyy-mm-dd")</f>
        <v/>
      </c>
      <c r="C9660" t="inlineStr">
        <is>
          <t>1926-05-03</t>
        </is>
      </c>
    </row>
    <row r="9661">
      <c r="A9661" s="1" t="n">
        <v>9660</v>
      </c>
      <c r="B9661">
        <f>TEXT(9660, "[$-0E0000]yyyy-mm-dd")</f>
        <v/>
      </c>
      <c r="C9661" t="inlineStr">
        <is>
          <t>1926-05-04</t>
        </is>
      </c>
    </row>
    <row r="9662">
      <c r="A9662" s="1" t="n">
        <v>9661</v>
      </c>
      <c r="B9662">
        <f>TEXT(9661, "[$-0E0000]yyyy-mm-dd")</f>
        <v/>
      </c>
      <c r="C9662" t="inlineStr">
        <is>
          <t>1926-05-05</t>
        </is>
      </c>
    </row>
    <row r="9663">
      <c r="A9663" s="1" t="n">
        <v>9662</v>
      </c>
      <c r="B9663">
        <f>TEXT(9662, "[$-0E0000]yyyy-mm-dd")</f>
        <v/>
      </c>
      <c r="C9663" t="inlineStr">
        <is>
          <t>1926-05-06</t>
        </is>
      </c>
    </row>
    <row r="9664">
      <c r="A9664" s="1" t="n">
        <v>9663</v>
      </c>
      <c r="B9664">
        <f>TEXT(9663, "[$-0E0000]yyyy-mm-dd")</f>
        <v/>
      </c>
      <c r="C9664" t="inlineStr">
        <is>
          <t>1926-05-07</t>
        </is>
      </c>
    </row>
    <row r="9665">
      <c r="A9665" s="1" t="n">
        <v>9664</v>
      </c>
      <c r="B9665">
        <f>TEXT(9664, "[$-0E0000]yyyy-mm-dd")</f>
        <v/>
      </c>
      <c r="C9665" t="inlineStr">
        <is>
          <t>1926-05-08</t>
        </is>
      </c>
    </row>
    <row r="9666">
      <c r="A9666" s="1" t="n">
        <v>9665</v>
      </c>
      <c r="B9666">
        <f>TEXT(9665, "[$-0E0000]yyyy-mm-dd")</f>
        <v/>
      </c>
      <c r="C9666" t="inlineStr">
        <is>
          <t>1926-05-09</t>
        </is>
      </c>
    </row>
    <row r="9667">
      <c r="A9667" s="1" t="n">
        <v>9666</v>
      </c>
      <c r="B9667">
        <f>TEXT(9666, "[$-0E0000]yyyy-mm-dd")</f>
        <v/>
      </c>
      <c r="C9667" t="inlineStr">
        <is>
          <t>1926-05-10</t>
        </is>
      </c>
    </row>
    <row r="9668">
      <c r="A9668" s="1" t="n">
        <v>9667</v>
      </c>
      <c r="B9668">
        <f>TEXT(9667, "[$-0E0000]yyyy-mm-dd")</f>
        <v/>
      </c>
      <c r="C9668" t="inlineStr">
        <is>
          <t>1926-05-11</t>
        </is>
      </c>
    </row>
    <row r="9669">
      <c r="A9669" s="1" t="n">
        <v>9668</v>
      </c>
      <c r="B9669">
        <f>TEXT(9668, "[$-0E0000]yyyy-mm-dd")</f>
        <v/>
      </c>
      <c r="C9669" t="inlineStr">
        <is>
          <t>1926-05-12</t>
        </is>
      </c>
    </row>
    <row r="9670">
      <c r="A9670" s="1" t="n">
        <v>9669</v>
      </c>
      <c r="B9670">
        <f>TEXT(9669, "[$-0E0000]yyyy-mm-dd")</f>
        <v/>
      </c>
      <c r="C9670" t="inlineStr">
        <is>
          <t>1926-05-13</t>
        </is>
      </c>
    </row>
    <row r="9671">
      <c r="A9671" s="1" t="n">
        <v>9670</v>
      </c>
      <c r="B9671">
        <f>TEXT(9670, "[$-0E0000]yyyy-mm-dd")</f>
        <v/>
      </c>
      <c r="C9671" t="inlineStr">
        <is>
          <t>1926-05-14</t>
        </is>
      </c>
    </row>
    <row r="9672">
      <c r="A9672" s="1" t="n">
        <v>9671</v>
      </c>
      <c r="B9672">
        <f>TEXT(9671, "[$-0E0000]yyyy-mm-dd")</f>
        <v/>
      </c>
      <c r="C9672" t="inlineStr">
        <is>
          <t>1926-05-15</t>
        </is>
      </c>
    </row>
    <row r="9673">
      <c r="A9673" s="1" t="n">
        <v>9672</v>
      </c>
      <c r="B9673">
        <f>TEXT(9672, "[$-0E0000]yyyy-mm-dd")</f>
        <v/>
      </c>
      <c r="C9673" t="inlineStr">
        <is>
          <t>1926-05-16</t>
        </is>
      </c>
    </row>
    <row r="9674">
      <c r="A9674" s="1" t="n">
        <v>9673</v>
      </c>
      <c r="B9674">
        <f>TEXT(9673, "[$-0E0000]yyyy-mm-dd")</f>
        <v/>
      </c>
      <c r="C9674" t="inlineStr">
        <is>
          <t>1926-05-17</t>
        </is>
      </c>
    </row>
    <row r="9675">
      <c r="A9675" s="1" t="n">
        <v>9674</v>
      </c>
      <c r="B9675">
        <f>TEXT(9674, "[$-0E0000]yyyy-mm-dd")</f>
        <v/>
      </c>
      <c r="C9675" t="inlineStr">
        <is>
          <t>1926-05-18</t>
        </is>
      </c>
    </row>
    <row r="9676">
      <c r="A9676" s="1" t="n">
        <v>9675</v>
      </c>
      <c r="B9676">
        <f>TEXT(9675, "[$-0E0000]yyyy-mm-dd")</f>
        <v/>
      </c>
      <c r="C9676" t="inlineStr">
        <is>
          <t>1926-05-19</t>
        </is>
      </c>
    </row>
    <row r="9677">
      <c r="A9677" s="1" t="n">
        <v>9676</v>
      </c>
      <c r="B9677">
        <f>TEXT(9676, "[$-0E0000]yyyy-mm-dd")</f>
        <v/>
      </c>
      <c r="C9677" t="inlineStr">
        <is>
          <t>1926-05-20</t>
        </is>
      </c>
    </row>
    <row r="9678">
      <c r="A9678" s="1" t="n">
        <v>9677</v>
      </c>
      <c r="B9678">
        <f>TEXT(9677, "[$-0E0000]yyyy-mm-dd")</f>
        <v/>
      </c>
      <c r="C9678" t="inlineStr">
        <is>
          <t>1926-05-21</t>
        </is>
      </c>
    </row>
    <row r="9679">
      <c r="A9679" s="1" t="n">
        <v>9678</v>
      </c>
      <c r="B9679">
        <f>TEXT(9678, "[$-0E0000]yyyy-mm-dd")</f>
        <v/>
      </c>
      <c r="C9679" t="inlineStr">
        <is>
          <t>1926-05-22</t>
        </is>
      </c>
    </row>
    <row r="9680">
      <c r="A9680" s="1" t="n">
        <v>9679</v>
      </c>
      <c r="B9680">
        <f>TEXT(9679, "[$-0E0000]yyyy-mm-dd")</f>
        <v/>
      </c>
      <c r="C9680" t="inlineStr">
        <is>
          <t>1926-05-23</t>
        </is>
      </c>
    </row>
    <row r="9681">
      <c r="A9681" s="1" t="n">
        <v>9680</v>
      </c>
      <c r="B9681">
        <f>TEXT(9680, "[$-0E0000]yyyy-mm-dd")</f>
        <v/>
      </c>
      <c r="C9681" t="inlineStr">
        <is>
          <t>1926-05-24</t>
        </is>
      </c>
    </row>
    <row r="9682">
      <c r="A9682" s="1" t="n">
        <v>9681</v>
      </c>
      <c r="B9682">
        <f>TEXT(9681, "[$-0E0000]yyyy-mm-dd")</f>
        <v/>
      </c>
      <c r="C9682" t="inlineStr">
        <is>
          <t>1926-05-25</t>
        </is>
      </c>
    </row>
    <row r="9683">
      <c r="A9683" s="1" t="n">
        <v>9682</v>
      </c>
      <c r="B9683">
        <f>TEXT(9682, "[$-0E0000]yyyy-mm-dd")</f>
        <v/>
      </c>
      <c r="C9683" t="inlineStr">
        <is>
          <t>1926-05-26</t>
        </is>
      </c>
    </row>
    <row r="9684">
      <c r="A9684" s="1" t="n">
        <v>9683</v>
      </c>
      <c r="B9684">
        <f>TEXT(9683, "[$-0E0000]yyyy-mm-dd")</f>
        <v/>
      </c>
      <c r="C9684" t="inlineStr">
        <is>
          <t>1926-05-27</t>
        </is>
      </c>
    </row>
    <row r="9685">
      <c r="A9685" s="1" t="n">
        <v>9684</v>
      </c>
      <c r="B9685">
        <f>TEXT(9684, "[$-0E0000]yyyy-mm-dd")</f>
        <v/>
      </c>
      <c r="C9685" t="inlineStr">
        <is>
          <t>1926-05-28</t>
        </is>
      </c>
    </row>
    <row r="9686">
      <c r="A9686" s="1" t="n">
        <v>9685</v>
      </c>
      <c r="B9686">
        <f>TEXT(9685, "[$-0E0000]yyyy-mm-dd")</f>
        <v/>
      </c>
      <c r="C9686" t="inlineStr">
        <is>
          <t>1926-05-29</t>
        </is>
      </c>
    </row>
    <row r="9687">
      <c r="A9687" s="1" t="n">
        <v>9686</v>
      </c>
      <c r="B9687">
        <f>TEXT(9686, "[$-0E0000]yyyy-mm-dd")</f>
        <v/>
      </c>
      <c r="C9687" t="inlineStr">
        <is>
          <t>1926-05-30</t>
        </is>
      </c>
    </row>
    <row r="9688">
      <c r="A9688" s="1" t="n">
        <v>9687</v>
      </c>
      <c r="B9688">
        <f>TEXT(9687, "[$-0E0000]yyyy-mm-dd")</f>
        <v/>
      </c>
      <c r="C9688" t="inlineStr">
        <is>
          <t>1926-06-01</t>
        </is>
      </c>
    </row>
    <row r="9689">
      <c r="A9689" s="1" t="n">
        <v>9688</v>
      </c>
      <c r="B9689">
        <f>TEXT(9688, "[$-0E0000]yyyy-mm-dd")</f>
        <v/>
      </c>
      <c r="C9689" t="inlineStr">
        <is>
          <t>1926-06-02</t>
        </is>
      </c>
    </row>
    <row r="9690">
      <c r="A9690" s="1" t="n">
        <v>9689</v>
      </c>
      <c r="B9690">
        <f>TEXT(9689, "[$-0E0000]yyyy-mm-dd")</f>
        <v/>
      </c>
      <c r="C9690" t="inlineStr">
        <is>
          <t>1926-06-03</t>
        </is>
      </c>
    </row>
    <row r="9691">
      <c r="A9691" s="1" t="n">
        <v>9690</v>
      </c>
      <c r="B9691">
        <f>TEXT(9690, "[$-0E0000]yyyy-mm-dd")</f>
        <v/>
      </c>
      <c r="C9691" t="inlineStr">
        <is>
          <t>1926-06-04</t>
        </is>
      </c>
    </row>
    <row r="9692">
      <c r="A9692" s="1" t="n">
        <v>9691</v>
      </c>
      <c r="B9692">
        <f>TEXT(9691, "[$-0E0000]yyyy-mm-dd")</f>
        <v/>
      </c>
      <c r="C9692" t="inlineStr">
        <is>
          <t>1926-06-05</t>
        </is>
      </c>
    </row>
    <row r="9693">
      <c r="A9693" s="1" t="n">
        <v>9692</v>
      </c>
      <c r="B9693">
        <f>TEXT(9692, "[$-0E0000]yyyy-mm-dd")</f>
        <v/>
      </c>
      <c r="C9693" t="inlineStr">
        <is>
          <t>1926-06-06</t>
        </is>
      </c>
    </row>
    <row r="9694">
      <c r="A9694" s="1" t="n">
        <v>9693</v>
      </c>
      <c r="B9694">
        <f>TEXT(9693, "[$-0E0000]yyyy-mm-dd")</f>
        <v/>
      </c>
      <c r="C9694" t="inlineStr">
        <is>
          <t>1926-06-07</t>
        </is>
      </c>
    </row>
    <row r="9695">
      <c r="A9695" s="1" t="n">
        <v>9694</v>
      </c>
      <c r="B9695">
        <f>TEXT(9694, "[$-0E0000]yyyy-mm-dd")</f>
        <v/>
      </c>
      <c r="C9695" t="inlineStr">
        <is>
          <t>1926-06-08</t>
        </is>
      </c>
    </row>
    <row r="9696">
      <c r="A9696" s="1" t="n">
        <v>9695</v>
      </c>
      <c r="B9696">
        <f>TEXT(9695, "[$-0E0000]yyyy-mm-dd")</f>
        <v/>
      </c>
      <c r="C9696" t="inlineStr">
        <is>
          <t>1926-06-09</t>
        </is>
      </c>
    </row>
    <row r="9697">
      <c r="A9697" s="1" t="n">
        <v>9696</v>
      </c>
      <c r="B9697">
        <f>TEXT(9696, "[$-0E0000]yyyy-mm-dd")</f>
        <v/>
      </c>
      <c r="C9697" t="inlineStr">
        <is>
          <t>1926-06-10</t>
        </is>
      </c>
    </row>
    <row r="9698">
      <c r="A9698" s="1" t="n">
        <v>9697</v>
      </c>
      <c r="B9698">
        <f>TEXT(9697, "[$-0E0000]yyyy-mm-dd")</f>
        <v/>
      </c>
      <c r="C9698" t="inlineStr">
        <is>
          <t>1926-06-11</t>
        </is>
      </c>
    </row>
    <row r="9699">
      <c r="A9699" s="1" t="n">
        <v>9698</v>
      </c>
      <c r="B9699">
        <f>TEXT(9698, "[$-0E0000]yyyy-mm-dd")</f>
        <v/>
      </c>
      <c r="C9699" t="inlineStr">
        <is>
          <t>1926-06-12</t>
        </is>
      </c>
    </row>
    <row r="9700">
      <c r="A9700" s="1" t="n">
        <v>9699</v>
      </c>
      <c r="B9700">
        <f>TEXT(9699, "[$-0E0000]yyyy-mm-dd")</f>
        <v/>
      </c>
      <c r="C9700" t="inlineStr">
        <is>
          <t>1926-06-13</t>
        </is>
      </c>
    </row>
    <row r="9701">
      <c r="A9701" s="1" t="n">
        <v>9700</v>
      </c>
      <c r="B9701">
        <f>TEXT(9700, "[$-0E0000]yyyy-mm-dd")</f>
        <v/>
      </c>
      <c r="C9701" t="inlineStr">
        <is>
          <t>1926-06-14</t>
        </is>
      </c>
    </row>
    <row r="9702">
      <c r="A9702" s="1" t="n">
        <v>9701</v>
      </c>
      <c r="B9702">
        <f>TEXT(9701, "[$-0E0000]yyyy-mm-dd")</f>
        <v/>
      </c>
      <c r="C9702" t="inlineStr">
        <is>
          <t>1926-06-15</t>
        </is>
      </c>
    </row>
    <row r="9703">
      <c r="A9703" s="1" t="n">
        <v>9702</v>
      </c>
      <c r="B9703">
        <f>TEXT(9702, "[$-0E0000]yyyy-mm-dd")</f>
        <v/>
      </c>
      <c r="C9703" t="inlineStr">
        <is>
          <t>1926-06-16</t>
        </is>
      </c>
    </row>
    <row r="9704">
      <c r="A9704" s="1" t="n">
        <v>9703</v>
      </c>
      <c r="B9704">
        <f>TEXT(9703, "[$-0E0000]yyyy-mm-dd")</f>
        <v/>
      </c>
      <c r="C9704" t="inlineStr">
        <is>
          <t>1926-06-17</t>
        </is>
      </c>
    </row>
    <row r="9705">
      <c r="A9705" s="1" t="n">
        <v>9704</v>
      </c>
      <c r="B9705">
        <f>TEXT(9704, "[$-0E0000]yyyy-mm-dd")</f>
        <v/>
      </c>
      <c r="C9705" t="inlineStr">
        <is>
          <t>1926-06-18</t>
        </is>
      </c>
    </row>
    <row r="9706">
      <c r="A9706" s="1" t="n">
        <v>9705</v>
      </c>
      <c r="B9706">
        <f>TEXT(9705, "[$-0E0000]yyyy-mm-dd")</f>
        <v/>
      </c>
      <c r="C9706" t="inlineStr">
        <is>
          <t>1926-06-19</t>
        </is>
      </c>
    </row>
    <row r="9707">
      <c r="A9707" s="1" t="n">
        <v>9706</v>
      </c>
      <c r="B9707">
        <f>TEXT(9706, "[$-0E0000]yyyy-mm-dd")</f>
        <v/>
      </c>
      <c r="C9707" t="inlineStr">
        <is>
          <t>1926-06-20</t>
        </is>
      </c>
    </row>
    <row r="9708">
      <c r="A9708" s="1" t="n">
        <v>9707</v>
      </c>
      <c r="B9708">
        <f>TEXT(9707, "[$-0E0000]yyyy-mm-dd")</f>
        <v/>
      </c>
      <c r="C9708" t="inlineStr">
        <is>
          <t>1926-06-21</t>
        </is>
      </c>
    </row>
    <row r="9709">
      <c r="A9709" s="1" t="n">
        <v>9708</v>
      </c>
      <c r="B9709">
        <f>TEXT(9708, "[$-0E0000]yyyy-mm-dd")</f>
        <v/>
      </c>
      <c r="C9709" t="inlineStr">
        <is>
          <t>1926-06-22</t>
        </is>
      </c>
    </row>
    <row r="9710">
      <c r="A9710" s="1" t="n">
        <v>9709</v>
      </c>
      <c r="B9710">
        <f>TEXT(9709, "[$-0E0000]yyyy-mm-dd")</f>
        <v/>
      </c>
      <c r="C9710" t="inlineStr">
        <is>
          <t>1926-06-23</t>
        </is>
      </c>
    </row>
    <row r="9711">
      <c r="A9711" s="1" t="n">
        <v>9710</v>
      </c>
      <c r="B9711">
        <f>TEXT(9710, "[$-0E0000]yyyy-mm-dd")</f>
        <v/>
      </c>
      <c r="C9711" t="inlineStr">
        <is>
          <t>1926-06-24</t>
        </is>
      </c>
    </row>
    <row r="9712">
      <c r="A9712" s="1" t="n">
        <v>9711</v>
      </c>
      <c r="B9712">
        <f>TEXT(9711, "[$-0E0000]yyyy-mm-dd")</f>
        <v/>
      </c>
      <c r="C9712" t="inlineStr">
        <is>
          <t>1926-06-25</t>
        </is>
      </c>
    </row>
    <row r="9713">
      <c r="A9713" s="1" t="n">
        <v>9712</v>
      </c>
      <c r="B9713">
        <f>TEXT(9712, "[$-0E0000]yyyy-mm-dd")</f>
        <v/>
      </c>
      <c r="C9713" t="inlineStr">
        <is>
          <t>1926-06-26</t>
        </is>
      </c>
    </row>
    <row r="9714">
      <c r="A9714" s="1" t="n">
        <v>9713</v>
      </c>
      <c r="B9714">
        <f>TEXT(9713, "[$-0E0000]yyyy-mm-dd")</f>
        <v/>
      </c>
      <c r="C9714" t="inlineStr">
        <is>
          <t>1926-06-27</t>
        </is>
      </c>
    </row>
    <row r="9715">
      <c r="A9715" s="1" t="n">
        <v>9714</v>
      </c>
      <c r="B9715">
        <f>TEXT(9714, "[$-0E0000]yyyy-mm-dd")</f>
        <v/>
      </c>
      <c r="C9715" t="inlineStr">
        <is>
          <t>1926-06-28</t>
        </is>
      </c>
    </row>
    <row r="9716">
      <c r="A9716" s="1" t="n">
        <v>9715</v>
      </c>
      <c r="B9716">
        <f>TEXT(9715, "[$-0E0000]yyyy-mm-dd")</f>
        <v/>
      </c>
      <c r="C9716" t="inlineStr">
        <is>
          <t>1926-06-29</t>
        </is>
      </c>
    </row>
    <row r="9717">
      <c r="A9717" s="1" t="n">
        <v>9716</v>
      </c>
      <c r="B9717">
        <f>TEXT(9716, "[$-0E0000]yyyy-mm-dd")</f>
        <v/>
      </c>
      <c r="C9717" t="inlineStr">
        <is>
          <t>1926-07-01</t>
        </is>
      </c>
    </row>
    <row r="9718">
      <c r="A9718" s="1" t="n">
        <v>9717</v>
      </c>
      <c r="B9718">
        <f>TEXT(9717, "[$-0E0000]yyyy-mm-dd")</f>
        <v/>
      </c>
      <c r="C9718" t="inlineStr">
        <is>
          <t>1926-07-02</t>
        </is>
      </c>
    </row>
    <row r="9719">
      <c r="A9719" s="1" t="n">
        <v>9718</v>
      </c>
      <c r="B9719">
        <f>TEXT(9718, "[$-0E0000]yyyy-mm-dd")</f>
        <v/>
      </c>
      <c r="C9719" t="inlineStr">
        <is>
          <t>1926-07-03</t>
        </is>
      </c>
    </row>
    <row r="9720">
      <c r="A9720" s="1" t="n">
        <v>9719</v>
      </c>
      <c r="B9720">
        <f>TEXT(9719, "[$-0E0000]yyyy-mm-dd")</f>
        <v/>
      </c>
      <c r="C9720" t="inlineStr">
        <is>
          <t>1926-07-04</t>
        </is>
      </c>
    </row>
    <row r="9721">
      <c r="A9721" s="1" t="n">
        <v>9720</v>
      </c>
      <c r="B9721">
        <f>TEXT(9720, "[$-0E0000]yyyy-mm-dd")</f>
        <v/>
      </c>
      <c r="C9721" t="inlineStr">
        <is>
          <t>1926-07-05</t>
        </is>
      </c>
    </row>
    <row r="9722">
      <c r="A9722" s="1" t="n">
        <v>9721</v>
      </c>
      <c r="B9722">
        <f>TEXT(9721, "[$-0E0000]yyyy-mm-dd")</f>
        <v/>
      </c>
      <c r="C9722" t="inlineStr">
        <is>
          <t>1926-07-06</t>
        </is>
      </c>
    </row>
    <row r="9723">
      <c r="A9723" s="1" t="n">
        <v>9722</v>
      </c>
      <c r="B9723">
        <f>TEXT(9722, "[$-0E0000]yyyy-mm-dd")</f>
        <v/>
      </c>
      <c r="C9723" t="inlineStr">
        <is>
          <t>1926-07-07</t>
        </is>
      </c>
    </row>
    <row r="9724">
      <c r="A9724" s="1" t="n">
        <v>9723</v>
      </c>
      <c r="B9724">
        <f>TEXT(9723, "[$-0E0000]yyyy-mm-dd")</f>
        <v/>
      </c>
      <c r="C9724" t="inlineStr">
        <is>
          <t>1926-07-08</t>
        </is>
      </c>
    </row>
    <row r="9725">
      <c r="A9725" s="1" t="n">
        <v>9724</v>
      </c>
      <c r="B9725">
        <f>TEXT(9724, "[$-0E0000]yyyy-mm-dd")</f>
        <v/>
      </c>
      <c r="C9725" t="inlineStr">
        <is>
          <t>1926-07-09</t>
        </is>
      </c>
    </row>
    <row r="9726">
      <c r="A9726" s="1" t="n">
        <v>9725</v>
      </c>
      <c r="B9726">
        <f>TEXT(9725, "[$-0E0000]yyyy-mm-dd")</f>
        <v/>
      </c>
      <c r="C9726" t="inlineStr">
        <is>
          <t>1926-07-10</t>
        </is>
      </c>
    </row>
    <row r="9727">
      <c r="A9727" s="1" t="n">
        <v>9726</v>
      </c>
      <c r="B9727">
        <f>TEXT(9726, "[$-0E0000]yyyy-mm-dd")</f>
        <v/>
      </c>
      <c r="C9727" t="inlineStr">
        <is>
          <t>1926-07-11</t>
        </is>
      </c>
    </row>
    <row r="9728">
      <c r="A9728" s="1" t="n">
        <v>9727</v>
      </c>
      <c r="B9728">
        <f>TEXT(9727, "[$-0E0000]yyyy-mm-dd")</f>
        <v/>
      </c>
      <c r="C9728" t="inlineStr">
        <is>
          <t>1926-07-12</t>
        </is>
      </c>
    </row>
    <row r="9729">
      <c r="A9729" s="1" t="n">
        <v>9728</v>
      </c>
      <c r="B9729">
        <f>TEXT(9728, "[$-0E0000]yyyy-mm-dd")</f>
        <v/>
      </c>
      <c r="C9729" t="inlineStr">
        <is>
          <t>1926-07-13</t>
        </is>
      </c>
    </row>
    <row r="9730">
      <c r="A9730" s="1" t="n">
        <v>9729</v>
      </c>
      <c r="B9730">
        <f>TEXT(9729, "[$-0E0000]yyyy-mm-dd")</f>
        <v/>
      </c>
      <c r="C9730" t="inlineStr">
        <is>
          <t>1926-07-14</t>
        </is>
      </c>
    </row>
    <row r="9731">
      <c r="A9731" s="1" t="n">
        <v>9730</v>
      </c>
      <c r="B9731">
        <f>TEXT(9730, "[$-0E0000]yyyy-mm-dd")</f>
        <v/>
      </c>
      <c r="C9731" t="inlineStr">
        <is>
          <t>1926-07-15</t>
        </is>
      </c>
    </row>
    <row r="9732">
      <c r="A9732" s="1" t="n">
        <v>9731</v>
      </c>
      <c r="B9732">
        <f>TEXT(9731, "[$-0E0000]yyyy-mm-dd")</f>
        <v/>
      </c>
      <c r="C9732" t="inlineStr">
        <is>
          <t>1926-07-16</t>
        </is>
      </c>
    </row>
    <row r="9733">
      <c r="A9733" s="1" t="n">
        <v>9732</v>
      </c>
      <c r="B9733">
        <f>TEXT(9732, "[$-0E0000]yyyy-mm-dd")</f>
        <v/>
      </c>
      <c r="C9733" t="inlineStr">
        <is>
          <t>1926-07-17</t>
        </is>
      </c>
    </row>
    <row r="9734">
      <c r="A9734" s="1" t="n">
        <v>9733</v>
      </c>
      <c r="B9734">
        <f>TEXT(9733, "[$-0E0000]yyyy-mm-dd")</f>
        <v/>
      </c>
      <c r="C9734" t="inlineStr">
        <is>
          <t>1926-07-18</t>
        </is>
      </c>
    </row>
    <row r="9735">
      <c r="A9735" s="1" t="n">
        <v>9734</v>
      </c>
      <c r="B9735">
        <f>TEXT(9734, "[$-0E0000]yyyy-mm-dd")</f>
        <v/>
      </c>
      <c r="C9735" t="inlineStr">
        <is>
          <t>1926-07-19</t>
        </is>
      </c>
    </row>
    <row r="9736">
      <c r="A9736" s="1" t="n">
        <v>9735</v>
      </c>
      <c r="B9736">
        <f>TEXT(9735, "[$-0E0000]yyyy-mm-dd")</f>
        <v/>
      </c>
      <c r="C9736" t="inlineStr">
        <is>
          <t>1926-07-20</t>
        </is>
      </c>
    </row>
    <row r="9737">
      <c r="A9737" s="1" t="n">
        <v>9736</v>
      </c>
      <c r="B9737">
        <f>TEXT(9736, "[$-0E0000]yyyy-mm-dd")</f>
        <v/>
      </c>
      <c r="C9737" t="inlineStr">
        <is>
          <t>1926-07-21</t>
        </is>
      </c>
    </row>
    <row r="9738">
      <c r="A9738" s="1" t="n">
        <v>9737</v>
      </c>
      <c r="B9738">
        <f>TEXT(9737, "[$-0E0000]yyyy-mm-dd")</f>
        <v/>
      </c>
      <c r="C9738" t="inlineStr">
        <is>
          <t>1926-07-22</t>
        </is>
      </c>
    </row>
    <row r="9739">
      <c r="A9739" s="1" t="n">
        <v>9738</v>
      </c>
      <c r="B9739">
        <f>TEXT(9738, "[$-0E0000]yyyy-mm-dd")</f>
        <v/>
      </c>
      <c r="C9739" t="inlineStr">
        <is>
          <t>1926-07-23</t>
        </is>
      </c>
    </row>
    <row r="9740">
      <c r="A9740" s="1" t="n">
        <v>9739</v>
      </c>
      <c r="B9740">
        <f>TEXT(9739, "[$-0E0000]yyyy-mm-dd")</f>
        <v/>
      </c>
      <c r="C9740" t="inlineStr">
        <is>
          <t>1926-07-24</t>
        </is>
      </c>
    </row>
    <row r="9741">
      <c r="A9741" s="1" t="n">
        <v>9740</v>
      </c>
      <c r="B9741">
        <f>TEXT(9740, "[$-0E0000]yyyy-mm-dd")</f>
        <v/>
      </c>
      <c r="C9741" t="inlineStr">
        <is>
          <t>1926-07-25</t>
        </is>
      </c>
    </row>
    <row r="9742">
      <c r="A9742" s="1" t="n">
        <v>9741</v>
      </c>
      <c r="B9742">
        <f>TEXT(9741, "[$-0E0000]yyyy-mm-dd")</f>
        <v/>
      </c>
      <c r="C9742" t="inlineStr">
        <is>
          <t>1926-07-26</t>
        </is>
      </c>
    </row>
    <row r="9743">
      <c r="A9743" s="1" t="n">
        <v>9742</v>
      </c>
      <c r="B9743">
        <f>TEXT(9742, "[$-0E0000]yyyy-mm-dd")</f>
        <v/>
      </c>
      <c r="C9743" t="inlineStr">
        <is>
          <t>1926-07-27</t>
        </is>
      </c>
    </row>
    <row r="9744">
      <c r="A9744" s="1" t="n">
        <v>9743</v>
      </c>
      <c r="B9744">
        <f>TEXT(9743, "[$-0E0000]yyyy-mm-dd")</f>
        <v/>
      </c>
      <c r="C9744" t="inlineStr">
        <is>
          <t>1926-07-28</t>
        </is>
      </c>
    </row>
    <row r="9745">
      <c r="A9745" s="1" t="n">
        <v>9744</v>
      </c>
      <c r="B9745">
        <f>TEXT(9744, "[$-0E0000]yyyy-mm-dd")</f>
        <v/>
      </c>
      <c r="C9745" t="inlineStr">
        <is>
          <t>1926-07-29</t>
        </is>
      </c>
    </row>
    <row r="9746">
      <c r="A9746" s="1" t="n">
        <v>9745</v>
      </c>
      <c r="B9746">
        <f>TEXT(9745, "[$-0E0000]yyyy-mm-dd")</f>
        <v/>
      </c>
      <c r="C9746" t="inlineStr">
        <is>
          <t>1926-07-30</t>
        </is>
      </c>
    </row>
    <row r="9747">
      <c r="A9747" s="1" t="n">
        <v>9746</v>
      </c>
      <c r="B9747">
        <f>TEXT(9746, "[$-0E0000]yyyy-mm-dd")</f>
        <v/>
      </c>
      <c r="C9747" t="inlineStr">
        <is>
          <t>1926-08-01</t>
        </is>
      </c>
    </row>
    <row r="9748">
      <c r="A9748" s="1" t="n">
        <v>9747</v>
      </c>
      <c r="B9748">
        <f>TEXT(9747, "[$-0E0000]yyyy-mm-dd")</f>
        <v/>
      </c>
      <c r="C9748" t="inlineStr">
        <is>
          <t>1926-08-02</t>
        </is>
      </c>
    </row>
    <row r="9749">
      <c r="A9749" s="1" t="n">
        <v>9748</v>
      </c>
      <c r="B9749">
        <f>TEXT(9748, "[$-0E0000]yyyy-mm-dd")</f>
        <v/>
      </c>
      <c r="C9749" t="inlineStr">
        <is>
          <t>1926-08-03</t>
        </is>
      </c>
    </row>
    <row r="9750">
      <c r="A9750" s="1" t="n">
        <v>9749</v>
      </c>
      <c r="B9750">
        <f>TEXT(9749, "[$-0E0000]yyyy-mm-dd")</f>
        <v/>
      </c>
      <c r="C9750" t="inlineStr">
        <is>
          <t>1926-08-04</t>
        </is>
      </c>
    </row>
    <row r="9751">
      <c r="A9751" s="1" t="n">
        <v>9750</v>
      </c>
      <c r="B9751">
        <f>TEXT(9750, "[$-0E0000]yyyy-mm-dd")</f>
        <v/>
      </c>
      <c r="C9751" t="inlineStr">
        <is>
          <t>1926-08-05</t>
        </is>
      </c>
    </row>
    <row r="9752">
      <c r="A9752" s="1" t="n">
        <v>9751</v>
      </c>
      <c r="B9752">
        <f>TEXT(9751, "[$-0E0000]yyyy-mm-dd")</f>
        <v/>
      </c>
      <c r="C9752" t="inlineStr">
        <is>
          <t>1926-08-06</t>
        </is>
      </c>
    </row>
    <row r="9753">
      <c r="A9753" s="1" t="n">
        <v>9752</v>
      </c>
      <c r="B9753">
        <f>TEXT(9752, "[$-0E0000]yyyy-mm-dd")</f>
        <v/>
      </c>
      <c r="C9753" t="inlineStr">
        <is>
          <t>1926-08-07</t>
        </is>
      </c>
    </row>
    <row r="9754">
      <c r="A9754" s="1" t="n">
        <v>9753</v>
      </c>
      <c r="B9754">
        <f>TEXT(9753, "[$-0E0000]yyyy-mm-dd")</f>
        <v/>
      </c>
      <c r="C9754" t="inlineStr">
        <is>
          <t>1926-08-08</t>
        </is>
      </c>
    </row>
    <row r="9755">
      <c r="A9755" s="1" t="n">
        <v>9754</v>
      </c>
      <c r="B9755">
        <f>TEXT(9754, "[$-0E0000]yyyy-mm-dd")</f>
        <v/>
      </c>
      <c r="C9755" t="inlineStr">
        <is>
          <t>1926-08-09</t>
        </is>
      </c>
    </row>
    <row r="9756">
      <c r="A9756" s="1" t="n">
        <v>9755</v>
      </c>
      <c r="B9756">
        <f>TEXT(9755, "[$-0E0000]yyyy-mm-dd")</f>
        <v/>
      </c>
      <c r="C9756" t="inlineStr">
        <is>
          <t>1926-08-10</t>
        </is>
      </c>
    </row>
    <row r="9757">
      <c r="A9757" s="1" t="n">
        <v>9756</v>
      </c>
      <c r="B9757">
        <f>TEXT(9756, "[$-0E0000]yyyy-mm-dd")</f>
        <v/>
      </c>
      <c r="C9757" t="inlineStr">
        <is>
          <t>1926-08-11</t>
        </is>
      </c>
    </row>
    <row r="9758">
      <c r="A9758" s="1" t="n">
        <v>9757</v>
      </c>
      <c r="B9758">
        <f>TEXT(9757, "[$-0E0000]yyyy-mm-dd")</f>
        <v/>
      </c>
      <c r="C9758" t="inlineStr">
        <is>
          <t>1926-08-12</t>
        </is>
      </c>
    </row>
    <row r="9759">
      <c r="A9759" s="1" t="n">
        <v>9758</v>
      </c>
      <c r="B9759">
        <f>TEXT(9758, "[$-0E0000]yyyy-mm-dd")</f>
        <v/>
      </c>
      <c r="C9759" t="inlineStr">
        <is>
          <t>1926-08-13</t>
        </is>
      </c>
    </row>
    <row r="9760">
      <c r="A9760" s="1" t="n">
        <v>9759</v>
      </c>
      <c r="B9760">
        <f>TEXT(9759, "[$-0E0000]yyyy-mm-dd")</f>
        <v/>
      </c>
      <c r="C9760" t="inlineStr">
        <is>
          <t>1926-08-14</t>
        </is>
      </c>
    </row>
    <row r="9761">
      <c r="A9761" s="1" t="n">
        <v>9760</v>
      </c>
      <c r="B9761">
        <f>TEXT(9760, "[$-0E0000]yyyy-mm-dd")</f>
        <v/>
      </c>
      <c r="C9761" t="inlineStr">
        <is>
          <t>1926-08-15</t>
        </is>
      </c>
    </row>
    <row r="9762">
      <c r="A9762" s="1" t="n">
        <v>9761</v>
      </c>
      <c r="B9762">
        <f>TEXT(9761, "[$-0E0000]yyyy-mm-dd")</f>
        <v/>
      </c>
      <c r="C9762" t="inlineStr">
        <is>
          <t>1926-08-16</t>
        </is>
      </c>
    </row>
    <row r="9763">
      <c r="A9763" s="1" t="n">
        <v>9762</v>
      </c>
      <c r="B9763">
        <f>TEXT(9762, "[$-0E0000]yyyy-mm-dd")</f>
        <v/>
      </c>
      <c r="C9763" t="inlineStr">
        <is>
          <t>1926-08-17</t>
        </is>
      </c>
    </row>
    <row r="9764">
      <c r="A9764" s="1" t="n">
        <v>9763</v>
      </c>
      <c r="B9764">
        <f>TEXT(9763, "[$-0E0000]yyyy-mm-dd")</f>
        <v/>
      </c>
      <c r="C9764" t="inlineStr">
        <is>
          <t>1926-08-18</t>
        </is>
      </c>
    </row>
    <row r="9765">
      <c r="A9765" s="1" t="n">
        <v>9764</v>
      </c>
      <c r="B9765">
        <f>TEXT(9764, "[$-0E0000]yyyy-mm-dd")</f>
        <v/>
      </c>
      <c r="C9765" t="inlineStr">
        <is>
          <t>1926-08-19</t>
        </is>
      </c>
    </row>
    <row r="9766">
      <c r="A9766" s="1" t="n">
        <v>9765</v>
      </c>
      <c r="B9766">
        <f>TEXT(9765, "[$-0E0000]yyyy-mm-dd")</f>
        <v/>
      </c>
      <c r="C9766" t="inlineStr">
        <is>
          <t>1926-08-20</t>
        </is>
      </c>
    </row>
    <row r="9767">
      <c r="A9767" s="1" t="n">
        <v>9766</v>
      </c>
      <c r="B9767">
        <f>TEXT(9766, "[$-0E0000]yyyy-mm-dd")</f>
        <v/>
      </c>
      <c r="C9767" t="inlineStr">
        <is>
          <t>1926-08-21</t>
        </is>
      </c>
    </row>
    <row r="9768">
      <c r="A9768" s="1" t="n">
        <v>9767</v>
      </c>
      <c r="B9768">
        <f>TEXT(9767, "[$-0E0000]yyyy-mm-dd")</f>
        <v/>
      </c>
      <c r="C9768" t="inlineStr">
        <is>
          <t>1926-08-22</t>
        </is>
      </c>
    </row>
    <row r="9769">
      <c r="A9769" s="1" t="n">
        <v>9768</v>
      </c>
      <c r="B9769">
        <f>TEXT(9768, "[$-0E0000]yyyy-mm-dd")</f>
        <v/>
      </c>
      <c r="C9769" t="inlineStr">
        <is>
          <t>1926-08-23</t>
        </is>
      </c>
    </row>
    <row r="9770">
      <c r="A9770" s="1" t="n">
        <v>9769</v>
      </c>
      <c r="B9770">
        <f>TEXT(9769, "[$-0E0000]yyyy-mm-dd")</f>
        <v/>
      </c>
      <c r="C9770" t="inlineStr">
        <is>
          <t>1926-08-24</t>
        </is>
      </c>
    </row>
    <row r="9771">
      <c r="A9771" s="1" t="n">
        <v>9770</v>
      </c>
      <c r="B9771">
        <f>TEXT(9770, "[$-0E0000]yyyy-mm-dd")</f>
        <v/>
      </c>
      <c r="C9771" t="inlineStr">
        <is>
          <t>1926-08-25</t>
        </is>
      </c>
    </row>
    <row r="9772">
      <c r="A9772" s="1" t="n">
        <v>9771</v>
      </c>
      <c r="B9772">
        <f>TEXT(9771, "[$-0E0000]yyyy-mm-dd")</f>
        <v/>
      </c>
      <c r="C9772" t="inlineStr">
        <is>
          <t>1926-08-26</t>
        </is>
      </c>
    </row>
    <row r="9773">
      <c r="A9773" s="1" t="n">
        <v>9772</v>
      </c>
      <c r="B9773">
        <f>TEXT(9772, "[$-0E0000]yyyy-mm-dd")</f>
        <v/>
      </c>
      <c r="C9773" t="inlineStr">
        <is>
          <t>1926-08-27</t>
        </is>
      </c>
    </row>
    <row r="9774">
      <c r="A9774" s="1" t="n">
        <v>9773</v>
      </c>
      <c r="B9774">
        <f>TEXT(9773, "[$-0E0000]yyyy-mm-dd")</f>
        <v/>
      </c>
      <c r="C9774" t="inlineStr">
        <is>
          <t>1926-08-28</t>
        </is>
      </c>
    </row>
    <row r="9775">
      <c r="A9775" s="1" t="n">
        <v>9774</v>
      </c>
      <c r="B9775">
        <f>TEXT(9774, "[$-0E0000]yyyy-mm-dd")</f>
        <v/>
      </c>
      <c r="C9775" t="inlineStr">
        <is>
          <t>1926-08-29</t>
        </is>
      </c>
    </row>
    <row r="9776">
      <c r="A9776" s="1" t="n">
        <v>9775</v>
      </c>
      <c r="B9776">
        <f>TEXT(9775, "[$-0E0000]yyyy-mm-dd")</f>
        <v/>
      </c>
      <c r="C9776" t="inlineStr">
        <is>
          <t>1926-08-30</t>
        </is>
      </c>
    </row>
    <row r="9777">
      <c r="A9777" s="1" t="n">
        <v>9776</v>
      </c>
      <c r="B9777">
        <f>TEXT(9776, "[$-0E0000]yyyy-mm-dd")</f>
        <v/>
      </c>
      <c r="C9777" t="inlineStr">
        <is>
          <t>1926-09-01</t>
        </is>
      </c>
    </row>
    <row r="9778">
      <c r="A9778" s="1" t="n">
        <v>9777</v>
      </c>
      <c r="B9778">
        <f>TEXT(9777, "[$-0E0000]yyyy-mm-dd")</f>
        <v/>
      </c>
      <c r="C9778" t="inlineStr">
        <is>
          <t>1926-09-02</t>
        </is>
      </c>
    </row>
    <row r="9779">
      <c r="A9779" s="1" t="n">
        <v>9778</v>
      </c>
      <c r="B9779">
        <f>TEXT(9778, "[$-0E0000]yyyy-mm-dd")</f>
        <v/>
      </c>
      <c r="C9779" t="inlineStr">
        <is>
          <t>1926-09-03</t>
        </is>
      </c>
    </row>
    <row r="9780">
      <c r="A9780" s="1" t="n">
        <v>9779</v>
      </c>
      <c r="B9780">
        <f>TEXT(9779, "[$-0E0000]yyyy-mm-dd")</f>
        <v/>
      </c>
      <c r="C9780" t="inlineStr">
        <is>
          <t>1926-09-04</t>
        </is>
      </c>
    </row>
    <row r="9781">
      <c r="A9781" s="1" t="n">
        <v>9780</v>
      </c>
      <c r="B9781">
        <f>TEXT(9780, "[$-0E0000]yyyy-mm-dd")</f>
        <v/>
      </c>
      <c r="C9781" t="inlineStr">
        <is>
          <t>1926-09-05</t>
        </is>
      </c>
    </row>
    <row r="9782">
      <c r="A9782" s="1" t="n">
        <v>9781</v>
      </c>
      <c r="B9782">
        <f>TEXT(9781, "[$-0E0000]yyyy-mm-dd")</f>
        <v/>
      </c>
      <c r="C9782" t="inlineStr">
        <is>
          <t>1926-09-06</t>
        </is>
      </c>
    </row>
    <row r="9783">
      <c r="A9783" s="1" t="n">
        <v>9782</v>
      </c>
      <c r="B9783">
        <f>TEXT(9782, "[$-0E0000]yyyy-mm-dd")</f>
        <v/>
      </c>
      <c r="C9783" t="inlineStr">
        <is>
          <t>1926-09-07</t>
        </is>
      </c>
    </row>
    <row r="9784">
      <c r="A9784" s="1" t="n">
        <v>9783</v>
      </c>
      <c r="B9784">
        <f>TEXT(9783, "[$-0E0000]yyyy-mm-dd")</f>
        <v/>
      </c>
      <c r="C9784" t="inlineStr">
        <is>
          <t>1926-09-08</t>
        </is>
      </c>
    </row>
    <row r="9785">
      <c r="A9785" s="1" t="n">
        <v>9784</v>
      </c>
      <c r="B9785">
        <f>TEXT(9784, "[$-0E0000]yyyy-mm-dd")</f>
        <v/>
      </c>
      <c r="C9785" t="inlineStr">
        <is>
          <t>1926-09-09</t>
        </is>
      </c>
    </row>
    <row r="9786">
      <c r="A9786" s="1" t="n">
        <v>9785</v>
      </c>
      <c r="B9786">
        <f>TEXT(9785, "[$-0E0000]yyyy-mm-dd")</f>
        <v/>
      </c>
      <c r="C9786" t="inlineStr">
        <is>
          <t>1926-09-10</t>
        </is>
      </c>
    </row>
    <row r="9787">
      <c r="A9787" s="1" t="n">
        <v>9786</v>
      </c>
      <c r="B9787">
        <f>TEXT(9786, "[$-0E0000]yyyy-mm-dd")</f>
        <v/>
      </c>
      <c r="C9787" t="inlineStr">
        <is>
          <t>1926-09-11</t>
        </is>
      </c>
    </row>
    <row r="9788">
      <c r="A9788" s="1" t="n">
        <v>9787</v>
      </c>
      <c r="B9788">
        <f>TEXT(9787, "[$-0E0000]yyyy-mm-dd")</f>
        <v/>
      </c>
      <c r="C9788" t="inlineStr">
        <is>
          <t>1926-09-12</t>
        </is>
      </c>
    </row>
    <row r="9789">
      <c r="A9789" s="1" t="n">
        <v>9788</v>
      </c>
      <c r="B9789">
        <f>TEXT(9788, "[$-0E0000]yyyy-mm-dd")</f>
        <v/>
      </c>
      <c r="C9789" t="inlineStr">
        <is>
          <t>1926-09-13</t>
        </is>
      </c>
    </row>
    <row r="9790">
      <c r="A9790" s="1" t="n">
        <v>9789</v>
      </c>
      <c r="B9790">
        <f>TEXT(9789, "[$-0E0000]yyyy-mm-dd")</f>
        <v/>
      </c>
      <c r="C9790" t="inlineStr">
        <is>
          <t>1926-09-14</t>
        </is>
      </c>
    </row>
    <row r="9791">
      <c r="A9791" s="1" t="n">
        <v>9790</v>
      </c>
      <c r="B9791">
        <f>TEXT(9790, "[$-0E0000]yyyy-mm-dd")</f>
        <v/>
      </c>
      <c r="C9791" t="inlineStr">
        <is>
          <t>1926-09-15</t>
        </is>
      </c>
    </row>
    <row r="9792">
      <c r="A9792" s="1" t="n">
        <v>9791</v>
      </c>
      <c r="B9792">
        <f>TEXT(9791, "[$-0E0000]yyyy-mm-dd")</f>
        <v/>
      </c>
      <c r="C9792" t="inlineStr">
        <is>
          <t>1926-09-16</t>
        </is>
      </c>
    </row>
    <row r="9793">
      <c r="A9793" s="1" t="n">
        <v>9792</v>
      </c>
      <c r="B9793">
        <f>TEXT(9792, "[$-0E0000]yyyy-mm-dd")</f>
        <v/>
      </c>
      <c r="C9793" t="inlineStr">
        <is>
          <t>1926-09-17</t>
        </is>
      </c>
    </row>
    <row r="9794">
      <c r="A9794" s="1" t="n">
        <v>9793</v>
      </c>
      <c r="B9794">
        <f>TEXT(9793, "[$-0E0000]yyyy-mm-dd")</f>
        <v/>
      </c>
      <c r="C9794" t="inlineStr">
        <is>
          <t>1926-09-18</t>
        </is>
      </c>
    </row>
    <row r="9795">
      <c r="A9795" s="1" t="n">
        <v>9794</v>
      </c>
      <c r="B9795">
        <f>TEXT(9794, "[$-0E0000]yyyy-mm-dd")</f>
        <v/>
      </c>
      <c r="C9795" t="inlineStr">
        <is>
          <t>1926-09-19</t>
        </is>
      </c>
    </row>
    <row r="9796">
      <c r="A9796" s="1" t="n">
        <v>9795</v>
      </c>
      <c r="B9796">
        <f>TEXT(9795, "[$-0E0000]yyyy-mm-dd")</f>
        <v/>
      </c>
      <c r="C9796" t="inlineStr">
        <is>
          <t>1926-09-20</t>
        </is>
      </c>
    </row>
    <row r="9797">
      <c r="A9797" s="1" t="n">
        <v>9796</v>
      </c>
      <c r="B9797">
        <f>TEXT(9796, "[$-0E0000]yyyy-mm-dd")</f>
        <v/>
      </c>
      <c r="C9797" t="inlineStr">
        <is>
          <t>1926-09-21</t>
        </is>
      </c>
    </row>
    <row r="9798">
      <c r="A9798" s="1" t="n">
        <v>9797</v>
      </c>
      <c r="B9798">
        <f>TEXT(9797, "[$-0E0000]yyyy-mm-dd")</f>
        <v/>
      </c>
      <c r="C9798" t="inlineStr">
        <is>
          <t>1926-09-22</t>
        </is>
      </c>
    </row>
    <row r="9799">
      <c r="A9799" s="1" t="n">
        <v>9798</v>
      </c>
      <c r="B9799">
        <f>TEXT(9798, "[$-0E0000]yyyy-mm-dd")</f>
        <v/>
      </c>
      <c r="C9799" t="inlineStr">
        <is>
          <t>1926-09-23</t>
        </is>
      </c>
    </row>
    <row r="9800">
      <c r="A9800" s="1" t="n">
        <v>9799</v>
      </c>
      <c r="B9800">
        <f>TEXT(9799, "[$-0E0000]yyyy-mm-dd")</f>
        <v/>
      </c>
      <c r="C9800" t="inlineStr">
        <is>
          <t>1926-09-24</t>
        </is>
      </c>
    </row>
    <row r="9801">
      <c r="A9801" s="1" t="n">
        <v>9800</v>
      </c>
      <c r="B9801">
        <f>TEXT(9800, "[$-0E0000]yyyy-mm-dd")</f>
        <v/>
      </c>
      <c r="C9801" t="inlineStr">
        <is>
          <t>1926-09-25</t>
        </is>
      </c>
    </row>
    <row r="9802">
      <c r="A9802" s="1" t="n">
        <v>9801</v>
      </c>
      <c r="B9802">
        <f>TEXT(9801, "[$-0E0000]yyyy-mm-dd")</f>
        <v/>
      </c>
      <c r="C9802" t="inlineStr">
        <is>
          <t>1926-09-26</t>
        </is>
      </c>
    </row>
    <row r="9803">
      <c r="A9803" s="1" t="n">
        <v>9802</v>
      </c>
      <c r="B9803">
        <f>TEXT(9802, "[$-0E0000]yyyy-mm-dd")</f>
        <v/>
      </c>
      <c r="C9803" t="inlineStr">
        <is>
          <t>1926-09-27</t>
        </is>
      </c>
    </row>
    <row r="9804">
      <c r="A9804" s="1" t="n">
        <v>9803</v>
      </c>
      <c r="B9804">
        <f>TEXT(9803, "[$-0E0000]yyyy-mm-dd")</f>
        <v/>
      </c>
      <c r="C9804" t="inlineStr">
        <is>
          <t>1926-09-28</t>
        </is>
      </c>
    </row>
    <row r="9805">
      <c r="A9805" s="1" t="n">
        <v>9804</v>
      </c>
      <c r="B9805">
        <f>TEXT(9804, "[$-0E0000]yyyy-mm-dd")</f>
        <v/>
      </c>
      <c r="C9805" t="inlineStr">
        <is>
          <t>1926-09-29</t>
        </is>
      </c>
    </row>
    <row r="9806">
      <c r="A9806" s="1" t="n">
        <v>9805</v>
      </c>
      <c r="B9806">
        <f>TEXT(9805, "[$-0E0000]yyyy-mm-dd")</f>
        <v/>
      </c>
      <c r="C9806" t="inlineStr">
        <is>
          <t>1926-10-01</t>
        </is>
      </c>
    </row>
    <row r="9807">
      <c r="A9807" s="1" t="n">
        <v>9806</v>
      </c>
      <c r="B9807">
        <f>TEXT(9806, "[$-0E0000]yyyy-mm-dd")</f>
        <v/>
      </c>
      <c r="C9807" t="inlineStr">
        <is>
          <t>1926-10-02</t>
        </is>
      </c>
    </row>
    <row r="9808">
      <c r="A9808" s="1" t="n">
        <v>9807</v>
      </c>
      <c r="B9808">
        <f>TEXT(9807, "[$-0E0000]yyyy-mm-dd")</f>
        <v/>
      </c>
      <c r="C9808" t="inlineStr">
        <is>
          <t>1926-10-03</t>
        </is>
      </c>
    </row>
    <row r="9809">
      <c r="A9809" s="1" t="n">
        <v>9808</v>
      </c>
      <c r="B9809">
        <f>TEXT(9808, "[$-0E0000]yyyy-mm-dd")</f>
        <v/>
      </c>
      <c r="C9809" t="inlineStr">
        <is>
          <t>1926-10-04</t>
        </is>
      </c>
    </row>
    <row r="9810">
      <c r="A9810" s="1" t="n">
        <v>9809</v>
      </c>
      <c r="B9810">
        <f>TEXT(9809, "[$-0E0000]yyyy-mm-dd")</f>
        <v/>
      </c>
      <c r="C9810" t="inlineStr">
        <is>
          <t>1926-10-05</t>
        </is>
      </c>
    </row>
    <row r="9811">
      <c r="A9811" s="1" t="n">
        <v>9810</v>
      </c>
      <c r="B9811">
        <f>TEXT(9810, "[$-0E0000]yyyy-mm-dd")</f>
        <v/>
      </c>
      <c r="C9811" t="inlineStr">
        <is>
          <t>1926-10-06</t>
        </is>
      </c>
    </row>
    <row r="9812">
      <c r="A9812" s="1" t="n">
        <v>9811</v>
      </c>
      <c r="B9812">
        <f>TEXT(9811, "[$-0E0000]yyyy-mm-dd")</f>
        <v/>
      </c>
      <c r="C9812" t="inlineStr">
        <is>
          <t>1926-10-07</t>
        </is>
      </c>
    </row>
    <row r="9813">
      <c r="A9813" s="1" t="n">
        <v>9812</v>
      </c>
      <c r="B9813">
        <f>TEXT(9812, "[$-0E0000]yyyy-mm-dd")</f>
        <v/>
      </c>
      <c r="C9813" t="inlineStr">
        <is>
          <t>1926-10-08</t>
        </is>
      </c>
    </row>
    <row r="9814">
      <c r="A9814" s="1" t="n">
        <v>9813</v>
      </c>
      <c r="B9814">
        <f>TEXT(9813, "[$-0E0000]yyyy-mm-dd")</f>
        <v/>
      </c>
      <c r="C9814" t="inlineStr">
        <is>
          <t>1926-10-09</t>
        </is>
      </c>
    </row>
    <row r="9815">
      <c r="A9815" s="1" t="n">
        <v>9814</v>
      </c>
      <c r="B9815">
        <f>TEXT(9814, "[$-0E0000]yyyy-mm-dd")</f>
        <v/>
      </c>
      <c r="C9815" t="inlineStr">
        <is>
          <t>1926-10-10</t>
        </is>
      </c>
    </row>
    <row r="9816">
      <c r="A9816" s="1" t="n">
        <v>9815</v>
      </c>
      <c r="B9816">
        <f>TEXT(9815, "[$-0E0000]yyyy-mm-dd")</f>
        <v/>
      </c>
      <c r="C9816" t="inlineStr">
        <is>
          <t>1926-10-11</t>
        </is>
      </c>
    </row>
    <row r="9817">
      <c r="A9817" s="1" t="n">
        <v>9816</v>
      </c>
      <c r="B9817">
        <f>TEXT(9816, "[$-0E0000]yyyy-mm-dd")</f>
        <v/>
      </c>
      <c r="C9817" t="inlineStr">
        <is>
          <t>1926-10-12</t>
        </is>
      </c>
    </row>
    <row r="9818">
      <c r="A9818" s="1" t="n">
        <v>9817</v>
      </c>
      <c r="B9818">
        <f>TEXT(9817, "[$-0E0000]yyyy-mm-dd")</f>
        <v/>
      </c>
      <c r="C9818" t="inlineStr">
        <is>
          <t>1926-10-13</t>
        </is>
      </c>
    </row>
    <row r="9819">
      <c r="A9819" s="1" t="n">
        <v>9818</v>
      </c>
      <c r="B9819">
        <f>TEXT(9818, "[$-0E0000]yyyy-mm-dd")</f>
        <v/>
      </c>
      <c r="C9819" t="inlineStr">
        <is>
          <t>1926-10-14</t>
        </is>
      </c>
    </row>
    <row r="9820">
      <c r="A9820" s="1" t="n">
        <v>9819</v>
      </c>
      <c r="B9820">
        <f>TEXT(9819, "[$-0E0000]yyyy-mm-dd")</f>
        <v/>
      </c>
      <c r="C9820" t="inlineStr">
        <is>
          <t>1926-10-15</t>
        </is>
      </c>
    </row>
    <row r="9821">
      <c r="A9821" s="1" t="n">
        <v>9820</v>
      </c>
      <c r="B9821">
        <f>TEXT(9820, "[$-0E0000]yyyy-mm-dd")</f>
        <v/>
      </c>
      <c r="C9821" t="inlineStr">
        <is>
          <t>1926-10-16</t>
        </is>
      </c>
    </row>
    <row r="9822">
      <c r="A9822" s="1" t="n">
        <v>9821</v>
      </c>
      <c r="B9822">
        <f>TEXT(9821, "[$-0E0000]yyyy-mm-dd")</f>
        <v/>
      </c>
      <c r="C9822" t="inlineStr">
        <is>
          <t>1926-10-17</t>
        </is>
      </c>
    </row>
    <row r="9823">
      <c r="A9823" s="1" t="n">
        <v>9822</v>
      </c>
      <c r="B9823">
        <f>TEXT(9822, "[$-0E0000]yyyy-mm-dd")</f>
        <v/>
      </c>
      <c r="C9823" t="inlineStr">
        <is>
          <t>1926-10-18</t>
        </is>
      </c>
    </row>
    <row r="9824">
      <c r="A9824" s="1" t="n">
        <v>9823</v>
      </c>
      <c r="B9824">
        <f>TEXT(9823, "[$-0E0000]yyyy-mm-dd")</f>
        <v/>
      </c>
      <c r="C9824" t="inlineStr">
        <is>
          <t>1926-10-19</t>
        </is>
      </c>
    </row>
    <row r="9825">
      <c r="A9825" s="1" t="n">
        <v>9824</v>
      </c>
      <c r="B9825">
        <f>TEXT(9824, "[$-0E0000]yyyy-mm-dd")</f>
        <v/>
      </c>
      <c r="C9825" t="inlineStr">
        <is>
          <t>1926-10-20</t>
        </is>
      </c>
    </row>
    <row r="9826">
      <c r="A9826" s="1" t="n">
        <v>9825</v>
      </c>
      <c r="B9826">
        <f>TEXT(9825, "[$-0E0000]yyyy-mm-dd")</f>
        <v/>
      </c>
      <c r="C9826" t="inlineStr">
        <is>
          <t>1926-10-21</t>
        </is>
      </c>
    </row>
    <row r="9827">
      <c r="A9827" s="1" t="n">
        <v>9826</v>
      </c>
      <c r="B9827">
        <f>TEXT(9826, "[$-0E0000]yyyy-mm-dd")</f>
        <v/>
      </c>
      <c r="C9827" t="inlineStr">
        <is>
          <t>1926-10-22</t>
        </is>
      </c>
    </row>
    <row r="9828">
      <c r="A9828" s="1" t="n">
        <v>9827</v>
      </c>
      <c r="B9828">
        <f>TEXT(9827, "[$-0E0000]yyyy-mm-dd")</f>
        <v/>
      </c>
      <c r="C9828" t="inlineStr">
        <is>
          <t>1926-10-23</t>
        </is>
      </c>
    </row>
    <row r="9829">
      <c r="A9829" s="1" t="n">
        <v>9828</v>
      </c>
      <c r="B9829">
        <f>TEXT(9828, "[$-0E0000]yyyy-mm-dd")</f>
        <v/>
      </c>
      <c r="C9829" t="inlineStr">
        <is>
          <t>1926-10-24</t>
        </is>
      </c>
    </row>
    <row r="9830">
      <c r="A9830" s="1" t="n">
        <v>9829</v>
      </c>
      <c r="B9830">
        <f>TEXT(9829, "[$-0E0000]yyyy-mm-dd")</f>
        <v/>
      </c>
      <c r="C9830" t="inlineStr">
        <is>
          <t>1926-10-25</t>
        </is>
      </c>
    </row>
    <row r="9831">
      <c r="A9831" s="1" t="n">
        <v>9830</v>
      </c>
      <c r="B9831">
        <f>TEXT(9830, "[$-0E0000]yyyy-mm-dd")</f>
        <v/>
      </c>
      <c r="C9831" t="inlineStr">
        <is>
          <t>1926-10-26</t>
        </is>
      </c>
    </row>
    <row r="9832">
      <c r="A9832" s="1" t="n">
        <v>9831</v>
      </c>
      <c r="B9832">
        <f>TEXT(9831, "[$-0E0000]yyyy-mm-dd")</f>
        <v/>
      </c>
      <c r="C9832" t="inlineStr">
        <is>
          <t>1926-10-27</t>
        </is>
      </c>
    </row>
    <row r="9833">
      <c r="A9833" s="1" t="n">
        <v>9832</v>
      </c>
      <c r="B9833">
        <f>TEXT(9832, "[$-0E0000]yyyy-mm-dd")</f>
        <v/>
      </c>
      <c r="C9833" t="inlineStr">
        <is>
          <t>1926-10-28</t>
        </is>
      </c>
    </row>
    <row r="9834">
      <c r="A9834" s="1" t="n">
        <v>9833</v>
      </c>
      <c r="B9834">
        <f>TEXT(9833, "[$-0E0000]yyyy-mm-dd")</f>
        <v/>
      </c>
      <c r="C9834" t="inlineStr">
        <is>
          <t>1926-10-29</t>
        </is>
      </c>
    </row>
    <row r="9835">
      <c r="A9835" s="1" t="n">
        <v>9834</v>
      </c>
      <c r="B9835">
        <f>TEXT(9834, "[$-0E0000]yyyy-mm-dd")</f>
        <v/>
      </c>
      <c r="C9835" t="inlineStr">
        <is>
          <t>1926-10-30</t>
        </is>
      </c>
    </row>
    <row r="9836">
      <c r="A9836" s="1" t="n">
        <v>9835</v>
      </c>
      <c r="B9836">
        <f>TEXT(9835, "[$-0E0000]yyyy-mm-dd")</f>
        <v/>
      </c>
      <c r="C9836" t="inlineStr">
        <is>
          <t>1926-11-01</t>
        </is>
      </c>
    </row>
    <row r="9837">
      <c r="A9837" s="1" t="n">
        <v>9836</v>
      </c>
      <c r="B9837">
        <f>TEXT(9836, "[$-0E0000]yyyy-mm-dd")</f>
        <v/>
      </c>
      <c r="C9837" t="inlineStr">
        <is>
          <t>1926-11-02</t>
        </is>
      </c>
    </row>
    <row r="9838">
      <c r="A9838" s="1" t="n">
        <v>9837</v>
      </c>
      <c r="B9838">
        <f>TEXT(9837, "[$-0E0000]yyyy-mm-dd")</f>
        <v/>
      </c>
      <c r="C9838" t="inlineStr">
        <is>
          <t>1926-11-03</t>
        </is>
      </c>
    </row>
    <row r="9839">
      <c r="A9839" s="1" t="n">
        <v>9838</v>
      </c>
      <c r="B9839">
        <f>TEXT(9838, "[$-0E0000]yyyy-mm-dd")</f>
        <v/>
      </c>
      <c r="C9839" t="inlineStr">
        <is>
          <t>1926-11-04</t>
        </is>
      </c>
    </row>
    <row r="9840">
      <c r="A9840" s="1" t="n">
        <v>9839</v>
      </c>
      <c r="B9840">
        <f>TEXT(9839, "[$-0E0000]yyyy-mm-dd")</f>
        <v/>
      </c>
      <c r="C9840" t="inlineStr">
        <is>
          <t>1926-11-05</t>
        </is>
      </c>
    </row>
    <row r="9841">
      <c r="A9841" s="1" t="n">
        <v>9840</v>
      </c>
      <c r="B9841">
        <f>TEXT(9840, "[$-0E0000]yyyy-mm-dd")</f>
        <v/>
      </c>
      <c r="C9841" t="inlineStr">
        <is>
          <t>1926-11-06</t>
        </is>
      </c>
    </row>
    <row r="9842">
      <c r="A9842" s="1" t="n">
        <v>9841</v>
      </c>
      <c r="B9842">
        <f>TEXT(9841, "[$-0E0000]yyyy-mm-dd")</f>
        <v/>
      </c>
      <c r="C9842" t="inlineStr">
        <is>
          <t>1926-11-07</t>
        </is>
      </c>
    </row>
    <row r="9843">
      <c r="A9843" s="1" t="n">
        <v>9842</v>
      </c>
      <c r="B9843">
        <f>TEXT(9842, "[$-0E0000]yyyy-mm-dd")</f>
        <v/>
      </c>
      <c r="C9843" t="inlineStr">
        <is>
          <t>1926-11-08</t>
        </is>
      </c>
    </row>
    <row r="9844">
      <c r="A9844" s="1" t="n">
        <v>9843</v>
      </c>
      <c r="B9844">
        <f>TEXT(9843, "[$-0E0000]yyyy-mm-dd")</f>
        <v/>
      </c>
      <c r="C9844" t="inlineStr">
        <is>
          <t>1926-11-09</t>
        </is>
      </c>
    </row>
    <row r="9845">
      <c r="A9845" s="1" t="n">
        <v>9844</v>
      </c>
      <c r="B9845">
        <f>TEXT(9844, "[$-0E0000]yyyy-mm-dd")</f>
        <v/>
      </c>
      <c r="C9845" t="inlineStr">
        <is>
          <t>1926-11-10</t>
        </is>
      </c>
    </row>
    <row r="9846">
      <c r="A9846" s="1" t="n">
        <v>9845</v>
      </c>
      <c r="B9846">
        <f>TEXT(9845, "[$-0E0000]yyyy-mm-dd")</f>
        <v/>
      </c>
      <c r="C9846" t="inlineStr">
        <is>
          <t>1926-11-11</t>
        </is>
      </c>
    </row>
    <row r="9847">
      <c r="A9847" s="1" t="n">
        <v>9846</v>
      </c>
      <c r="B9847">
        <f>TEXT(9846, "[$-0E0000]yyyy-mm-dd")</f>
        <v/>
      </c>
      <c r="C9847" t="inlineStr">
        <is>
          <t>1926-11-12</t>
        </is>
      </c>
    </row>
    <row r="9848">
      <c r="A9848" s="1" t="n">
        <v>9847</v>
      </c>
      <c r="B9848">
        <f>TEXT(9847, "[$-0E0000]yyyy-mm-dd")</f>
        <v/>
      </c>
      <c r="C9848" t="inlineStr">
        <is>
          <t>1926-11-13</t>
        </is>
      </c>
    </row>
    <row r="9849">
      <c r="A9849" s="1" t="n">
        <v>9848</v>
      </c>
      <c r="B9849">
        <f>TEXT(9848, "[$-0E0000]yyyy-mm-dd")</f>
        <v/>
      </c>
      <c r="C9849" t="inlineStr">
        <is>
          <t>1926-11-14</t>
        </is>
      </c>
    </row>
    <row r="9850">
      <c r="A9850" s="1" t="n">
        <v>9849</v>
      </c>
      <c r="B9850">
        <f>TEXT(9849, "[$-0E0000]yyyy-mm-dd")</f>
        <v/>
      </c>
      <c r="C9850" t="inlineStr">
        <is>
          <t>1926-11-15</t>
        </is>
      </c>
    </row>
    <row r="9851">
      <c r="A9851" s="1" t="n">
        <v>9850</v>
      </c>
      <c r="B9851">
        <f>TEXT(9850, "[$-0E0000]yyyy-mm-dd")</f>
        <v/>
      </c>
      <c r="C9851" t="inlineStr">
        <is>
          <t>1926-11-16</t>
        </is>
      </c>
    </row>
    <row r="9852">
      <c r="A9852" s="1" t="n">
        <v>9851</v>
      </c>
      <c r="B9852">
        <f>TEXT(9851, "[$-0E0000]yyyy-mm-dd")</f>
        <v/>
      </c>
      <c r="C9852" t="inlineStr">
        <is>
          <t>1926-11-17</t>
        </is>
      </c>
    </row>
    <row r="9853">
      <c r="A9853" s="1" t="n">
        <v>9852</v>
      </c>
      <c r="B9853">
        <f>TEXT(9852, "[$-0E0000]yyyy-mm-dd")</f>
        <v/>
      </c>
      <c r="C9853" t="inlineStr">
        <is>
          <t>1926-11-18</t>
        </is>
      </c>
    </row>
    <row r="9854">
      <c r="A9854" s="1" t="n">
        <v>9853</v>
      </c>
      <c r="B9854">
        <f>TEXT(9853, "[$-0E0000]yyyy-mm-dd")</f>
        <v/>
      </c>
      <c r="C9854" t="inlineStr">
        <is>
          <t>1926-11-19</t>
        </is>
      </c>
    </row>
    <row r="9855">
      <c r="A9855" s="1" t="n">
        <v>9854</v>
      </c>
      <c r="B9855">
        <f>TEXT(9854, "[$-0E0000]yyyy-mm-dd")</f>
        <v/>
      </c>
      <c r="C9855" t="inlineStr">
        <is>
          <t>1926-11-20</t>
        </is>
      </c>
    </row>
    <row r="9856">
      <c r="A9856" s="1" t="n">
        <v>9855</v>
      </c>
      <c r="B9856">
        <f>TEXT(9855, "[$-0E0000]yyyy-mm-dd")</f>
        <v/>
      </c>
      <c r="C9856" t="inlineStr">
        <is>
          <t>1926-11-21</t>
        </is>
      </c>
    </row>
    <row r="9857">
      <c r="A9857" s="1" t="n">
        <v>9856</v>
      </c>
      <c r="B9857">
        <f>TEXT(9856, "[$-0E0000]yyyy-mm-dd")</f>
        <v/>
      </c>
      <c r="C9857" t="inlineStr">
        <is>
          <t>1926-11-22</t>
        </is>
      </c>
    </row>
    <row r="9858">
      <c r="A9858" s="1" t="n">
        <v>9857</v>
      </c>
      <c r="B9858">
        <f>TEXT(9857, "[$-0E0000]yyyy-mm-dd")</f>
        <v/>
      </c>
      <c r="C9858" t="inlineStr">
        <is>
          <t>1926-11-23</t>
        </is>
      </c>
    </row>
    <row r="9859">
      <c r="A9859" s="1" t="n">
        <v>9858</v>
      </c>
      <c r="B9859">
        <f>TEXT(9858, "[$-0E0000]yyyy-mm-dd")</f>
        <v/>
      </c>
      <c r="C9859" t="inlineStr">
        <is>
          <t>1926-11-24</t>
        </is>
      </c>
    </row>
    <row r="9860">
      <c r="A9860" s="1" t="n">
        <v>9859</v>
      </c>
      <c r="B9860">
        <f>TEXT(9859, "[$-0E0000]yyyy-mm-dd")</f>
        <v/>
      </c>
      <c r="C9860" t="inlineStr">
        <is>
          <t>1926-11-25</t>
        </is>
      </c>
    </row>
    <row r="9861">
      <c r="A9861" s="1" t="n">
        <v>9860</v>
      </c>
      <c r="B9861">
        <f>TEXT(9860, "[$-0E0000]yyyy-mm-dd")</f>
        <v/>
      </c>
      <c r="C9861" t="inlineStr">
        <is>
          <t>1926-11-26</t>
        </is>
      </c>
    </row>
    <row r="9862">
      <c r="A9862" s="1" t="n">
        <v>9861</v>
      </c>
      <c r="B9862">
        <f>TEXT(9861, "[$-0E0000]yyyy-mm-dd")</f>
        <v/>
      </c>
      <c r="C9862" t="inlineStr">
        <is>
          <t>1926-11-27</t>
        </is>
      </c>
    </row>
    <row r="9863">
      <c r="A9863" s="1" t="n">
        <v>9862</v>
      </c>
      <c r="B9863">
        <f>TEXT(9862, "[$-0E0000]yyyy-mm-dd")</f>
        <v/>
      </c>
      <c r="C9863" t="inlineStr">
        <is>
          <t>1926-11-28</t>
        </is>
      </c>
    </row>
    <row r="9864">
      <c r="A9864" s="1" t="n">
        <v>9863</v>
      </c>
      <c r="B9864">
        <f>TEXT(9863, "[$-0E0000]yyyy-mm-dd")</f>
        <v/>
      </c>
      <c r="C9864" t="inlineStr">
        <is>
          <t>1926-11-29</t>
        </is>
      </c>
    </row>
    <row r="9865">
      <c r="A9865" s="1" t="n">
        <v>9864</v>
      </c>
      <c r="B9865">
        <f>TEXT(9864, "[$-0E0000]yyyy-mm-dd")</f>
        <v/>
      </c>
      <c r="C9865" t="inlineStr">
        <is>
          <t>1926-11-30</t>
        </is>
      </c>
    </row>
    <row r="9866">
      <c r="A9866" s="1" t="n">
        <v>9865</v>
      </c>
      <c r="B9866">
        <f>TEXT(9865, "[$-0E0000]yyyy-mm-dd")</f>
        <v/>
      </c>
      <c r="C9866" t="inlineStr">
        <is>
          <t>1926-12-01</t>
        </is>
      </c>
    </row>
    <row r="9867">
      <c r="A9867" s="1" t="n">
        <v>9866</v>
      </c>
      <c r="B9867">
        <f>TEXT(9866, "[$-0E0000]yyyy-mm-dd")</f>
        <v/>
      </c>
      <c r="C9867" t="inlineStr">
        <is>
          <t>1926-12-02</t>
        </is>
      </c>
    </row>
    <row r="9868">
      <c r="A9868" s="1" t="n">
        <v>9867</v>
      </c>
      <c r="B9868">
        <f>TEXT(9867, "[$-0E0000]yyyy-mm-dd")</f>
        <v/>
      </c>
      <c r="C9868" t="inlineStr">
        <is>
          <t>1926-12-03</t>
        </is>
      </c>
    </row>
    <row r="9869">
      <c r="A9869" s="1" t="n">
        <v>9868</v>
      </c>
      <c r="B9869">
        <f>TEXT(9868, "[$-0E0000]yyyy-mm-dd")</f>
        <v/>
      </c>
      <c r="C9869" t="inlineStr">
        <is>
          <t>1926-12-04</t>
        </is>
      </c>
    </row>
    <row r="9870">
      <c r="A9870" s="1" t="n">
        <v>9869</v>
      </c>
      <c r="B9870">
        <f>TEXT(9869, "[$-0E0000]yyyy-mm-dd")</f>
        <v/>
      </c>
      <c r="C9870" t="inlineStr">
        <is>
          <t>1926-12-05</t>
        </is>
      </c>
    </row>
    <row r="9871">
      <c r="A9871" s="1" t="n">
        <v>9870</v>
      </c>
      <c r="B9871">
        <f>TEXT(9870, "[$-0E0000]yyyy-mm-dd")</f>
        <v/>
      </c>
      <c r="C9871" t="inlineStr">
        <is>
          <t>1926-12-06</t>
        </is>
      </c>
    </row>
    <row r="9872">
      <c r="A9872" s="1" t="n">
        <v>9871</v>
      </c>
      <c r="B9872">
        <f>TEXT(9871, "[$-0E0000]yyyy-mm-dd")</f>
        <v/>
      </c>
      <c r="C9872" t="inlineStr">
        <is>
          <t>1926-12-07</t>
        </is>
      </c>
    </row>
    <row r="9873">
      <c r="A9873" s="1" t="n">
        <v>9872</v>
      </c>
      <c r="B9873">
        <f>TEXT(9872, "[$-0E0000]yyyy-mm-dd")</f>
        <v/>
      </c>
      <c r="C9873" t="inlineStr">
        <is>
          <t>1926-12-08</t>
        </is>
      </c>
    </row>
    <row r="9874">
      <c r="A9874" s="1" t="n">
        <v>9873</v>
      </c>
      <c r="B9874">
        <f>TEXT(9873, "[$-0E0000]yyyy-mm-dd")</f>
        <v/>
      </c>
      <c r="C9874" t="inlineStr">
        <is>
          <t>1926-12-09</t>
        </is>
      </c>
    </row>
    <row r="9875">
      <c r="A9875" s="1" t="n">
        <v>9874</v>
      </c>
      <c r="B9875">
        <f>TEXT(9874, "[$-0E0000]yyyy-mm-dd")</f>
        <v/>
      </c>
      <c r="C9875" t="inlineStr">
        <is>
          <t>1926-12-10</t>
        </is>
      </c>
    </row>
    <row r="9876">
      <c r="A9876" s="1" t="n">
        <v>9875</v>
      </c>
      <c r="B9876">
        <f>TEXT(9875, "[$-0E0000]yyyy-mm-dd")</f>
        <v/>
      </c>
      <c r="C9876" t="inlineStr">
        <is>
          <t>1926-12-11</t>
        </is>
      </c>
    </row>
    <row r="9877">
      <c r="A9877" s="1" t="n">
        <v>9876</v>
      </c>
      <c r="B9877">
        <f>TEXT(9876, "[$-0E0000]yyyy-mm-dd")</f>
        <v/>
      </c>
      <c r="C9877" t="inlineStr">
        <is>
          <t>1926-12-12</t>
        </is>
      </c>
    </row>
    <row r="9878">
      <c r="A9878" s="1" t="n">
        <v>9877</v>
      </c>
      <c r="B9878">
        <f>TEXT(9877, "[$-0E0000]yyyy-mm-dd")</f>
        <v/>
      </c>
      <c r="C9878" t="inlineStr">
        <is>
          <t>1926-12-13</t>
        </is>
      </c>
    </row>
    <row r="9879">
      <c r="A9879" s="1" t="n">
        <v>9878</v>
      </c>
      <c r="B9879">
        <f>TEXT(9878, "[$-0E0000]yyyy-mm-dd")</f>
        <v/>
      </c>
      <c r="C9879" t="inlineStr">
        <is>
          <t>1926-12-14</t>
        </is>
      </c>
    </row>
    <row r="9880">
      <c r="A9880" s="1" t="n">
        <v>9879</v>
      </c>
      <c r="B9880">
        <f>TEXT(9879, "[$-0E0000]yyyy-mm-dd")</f>
        <v/>
      </c>
      <c r="C9880" t="inlineStr">
        <is>
          <t>1926-12-15</t>
        </is>
      </c>
    </row>
    <row r="9881">
      <c r="A9881" s="1" t="n">
        <v>9880</v>
      </c>
      <c r="B9881">
        <f>TEXT(9880, "[$-0E0000]yyyy-mm-dd")</f>
        <v/>
      </c>
      <c r="C9881" t="inlineStr">
        <is>
          <t>1926-12-16</t>
        </is>
      </c>
    </row>
    <row r="9882">
      <c r="A9882" s="1" t="n">
        <v>9881</v>
      </c>
      <c r="B9882">
        <f>TEXT(9881, "[$-0E0000]yyyy-mm-dd")</f>
        <v/>
      </c>
      <c r="C9882" t="inlineStr">
        <is>
          <t>1926-12-17</t>
        </is>
      </c>
    </row>
    <row r="9883">
      <c r="A9883" s="1" t="n">
        <v>9882</v>
      </c>
      <c r="B9883">
        <f>TEXT(9882, "[$-0E0000]yyyy-mm-dd")</f>
        <v/>
      </c>
      <c r="C9883" t="inlineStr">
        <is>
          <t>1926-12-18</t>
        </is>
      </c>
    </row>
    <row r="9884">
      <c r="A9884" s="1" t="n">
        <v>9883</v>
      </c>
      <c r="B9884">
        <f>TEXT(9883, "[$-0E0000]yyyy-mm-dd")</f>
        <v/>
      </c>
      <c r="C9884" t="inlineStr">
        <is>
          <t>1926-12-19</t>
        </is>
      </c>
    </row>
    <row r="9885">
      <c r="A9885" s="1" t="n">
        <v>9884</v>
      </c>
      <c r="B9885">
        <f>TEXT(9884, "[$-0E0000]yyyy-mm-dd")</f>
        <v/>
      </c>
      <c r="C9885" t="inlineStr">
        <is>
          <t>1926-12-20</t>
        </is>
      </c>
    </row>
    <row r="9886">
      <c r="A9886" s="1" t="n">
        <v>9885</v>
      </c>
      <c r="B9886">
        <f>TEXT(9885, "[$-0E0000]yyyy-mm-dd")</f>
        <v/>
      </c>
      <c r="C9886" t="inlineStr">
        <is>
          <t>1926-12-21</t>
        </is>
      </c>
    </row>
    <row r="9887">
      <c r="A9887" s="1" t="n">
        <v>9886</v>
      </c>
      <c r="B9887">
        <f>TEXT(9886, "[$-0E0000]yyyy-mm-dd")</f>
        <v/>
      </c>
      <c r="C9887" t="inlineStr">
        <is>
          <t>1926-12-22</t>
        </is>
      </c>
    </row>
    <row r="9888">
      <c r="A9888" s="1" t="n">
        <v>9887</v>
      </c>
      <c r="B9888">
        <f>TEXT(9887, "[$-0E0000]yyyy-mm-dd")</f>
        <v/>
      </c>
      <c r="C9888" t="inlineStr">
        <is>
          <t>1926-12-23</t>
        </is>
      </c>
    </row>
    <row r="9889">
      <c r="A9889" s="1" t="n">
        <v>9888</v>
      </c>
      <c r="B9889">
        <f>TEXT(9888, "[$-0E0000]yyyy-mm-dd")</f>
        <v/>
      </c>
      <c r="C9889" t="inlineStr">
        <is>
          <t>1926-12-24</t>
        </is>
      </c>
    </row>
    <row r="9890">
      <c r="A9890" s="1" t="n">
        <v>9889</v>
      </c>
      <c r="B9890">
        <f>TEXT(9889, "[$-0E0000]yyyy-mm-dd")</f>
        <v/>
      </c>
      <c r="C9890" t="inlineStr">
        <is>
          <t>1926-12-25</t>
        </is>
      </c>
    </row>
    <row r="9891">
      <c r="A9891" s="1" t="n">
        <v>9890</v>
      </c>
      <c r="B9891">
        <f>TEXT(9890, "[$-0E0000]yyyy-mm-dd")</f>
        <v/>
      </c>
      <c r="C9891" t="inlineStr">
        <is>
          <t>1926-12-26</t>
        </is>
      </c>
    </row>
    <row r="9892">
      <c r="A9892" s="1" t="n">
        <v>9891</v>
      </c>
      <c r="B9892">
        <f>TEXT(9891, "[$-0E0000]yyyy-mm-dd")</f>
        <v/>
      </c>
      <c r="C9892" t="inlineStr">
        <is>
          <t>1926-12-27</t>
        </is>
      </c>
    </row>
    <row r="9893">
      <c r="A9893" s="1" t="n">
        <v>9892</v>
      </c>
      <c r="B9893">
        <f>TEXT(9892, "[$-0E0000]yyyy-mm-dd")</f>
        <v/>
      </c>
      <c r="C9893" t="inlineStr">
        <is>
          <t>1926-12-28</t>
        </is>
      </c>
    </row>
    <row r="9894">
      <c r="A9894" s="1" t="n">
        <v>9893</v>
      </c>
      <c r="B9894">
        <f>TEXT(9893, "[$-0E0000]yyyy-mm-dd")</f>
        <v/>
      </c>
      <c r="C9894" t="inlineStr">
        <is>
          <t>1926-12-29</t>
        </is>
      </c>
    </row>
    <row r="9895">
      <c r="A9895" s="1" t="n">
        <v>9894</v>
      </c>
      <c r="B9895">
        <f>TEXT(9894, "[$-0E0000]yyyy-mm-dd")</f>
        <v/>
      </c>
      <c r="C9895" t="inlineStr">
        <is>
          <t>1927-01-01</t>
        </is>
      </c>
    </row>
    <row r="9896">
      <c r="A9896" s="1" t="n">
        <v>9895</v>
      </c>
      <c r="B9896">
        <f>TEXT(9895, "[$-0E0000]yyyy-mm-dd")</f>
        <v/>
      </c>
      <c r="C9896" t="inlineStr">
        <is>
          <t>1927-01-02</t>
        </is>
      </c>
    </row>
    <row r="9897">
      <c r="A9897" s="1" t="n">
        <v>9896</v>
      </c>
      <c r="B9897">
        <f>TEXT(9896, "[$-0E0000]yyyy-mm-dd")</f>
        <v/>
      </c>
      <c r="C9897" t="inlineStr">
        <is>
          <t>1927-01-03</t>
        </is>
      </c>
    </row>
    <row r="9898">
      <c r="A9898" s="1" t="n">
        <v>9897</v>
      </c>
      <c r="B9898">
        <f>TEXT(9897, "[$-0E0000]yyyy-mm-dd")</f>
        <v/>
      </c>
      <c r="C9898" t="inlineStr">
        <is>
          <t>1927-01-04</t>
        </is>
      </c>
    </row>
    <row r="9899">
      <c r="A9899" s="1" t="n">
        <v>9898</v>
      </c>
      <c r="B9899">
        <f>TEXT(9898, "[$-0E0000]yyyy-mm-dd")</f>
        <v/>
      </c>
      <c r="C9899" t="inlineStr">
        <is>
          <t>1927-01-05</t>
        </is>
      </c>
    </row>
    <row r="9900">
      <c r="A9900" s="1" t="n">
        <v>9899</v>
      </c>
      <c r="B9900">
        <f>TEXT(9899, "[$-0E0000]yyyy-mm-dd")</f>
        <v/>
      </c>
      <c r="C9900" t="inlineStr">
        <is>
          <t>1927-01-06</t>
        </is>
      </c>
    </row>
    <row r="9901">
      <c r="A9901" s="1" t="n">
        <v>9900</v>
      </c>
      <c r="B9901">
        <f>TEXT(9900, "[$-0E0000]yyyy-mm-dd")</f>
        <v/>
      </c>
      <c r="C9901" t="inlineStr">
        <is>
          <t>1927-01-07</t>
        </is>
      </c>
    </row>
    <row r="9902">
      <c r="A9902" s="1" t="n">
        <v>9901</v>
      </c>
      <c r="B9902">
        <f>TEXT(9901, "[$-0E0000]yyyy-mm-dd")</f>
        <v/>
      </c>
      <c r="C9902" t="inlineStr">
        <is>
          <t>1927-01-08</t>
        </is>
      </c>
    </row>
    <row r="9903">
      <c r="A9903" s="1" t="n">
        <v>9902</v>
      </c>
      <c r="B9903">
        <f>TEXT(9902, "[$-0E0000]yyyy-mm-dd")</f>
        <v/>
      </c>
      <c r="C9903" t="inlineStr">
        <is>
          <t>1927-01-09</t>
        </is>
      </c>
    </row>
    <row r="9904">
      <c r="A9904" s="1" t="n">
        <v>9903</v>
      </c>
      <c r="B9904">
        <f>TEXT(9903, "[$-0E0000]yyyy-mm-dd")</f>
        <v/>
      </c>
      <c r="C9904" t="inlineStr">
        <is>
          <t>1927-01-10</t>
        </is>
      </c>
    </row>
    <row r="9905">
      <c r="A9905" s="1" t="n">
        <v>9904</v>
      </c>
      <c r="B9905">
        <f>TEXT(9904, "[$-0E0000]yyyy-mm-dd")</f>
        <v/>
      </c>
      <c r="C9905" t="inlineStr">
        <is>
          <t>1927-01-11</t>
        </is>
      </c>
    </row>
    <row r="9906">
      <c r="A9906" s="1" t="n">
        <v>9905</v>
      </c>
      <c r="B9906">
        <f>TEXT(9905, "[$-0E0000]yyyy-mm-dd")</f>
        <v/>
      </c>
      <c r="C9906" t="inlineStr">
        <is>
          <t>1927-01-12</t>
        </is>
      </c>
    </row>
    <row r="9907">
      <c r="A9907" s="1" t="n">
        <v>9906</v>
      </c>
      <c r="B9907">
        <f>TEXT(9906, "[$-0E0000]yyyy-mm-dd")</f>
        <v/>
      </c>
      <c r="C9907" t="inlineStr">
        <is>
          <t>1927-01-13</t>
        </is>
      </c>
    </row>
    <row r="9908">
      <c r="A9908" s="1" t="n">
        <v>9907</v>
      </c>
      <c r="B9908">
        <f>TEXT(9907, "[$-0E0000]yyyy-mm-dd")</f>
        <v/>
      </c>
      <c r="C9908" t="inlineStr">
        <is>
          <t>1927-01-14</t>
        </is>
      </c>
    </row>
    <row r="9909">
      <c r="A9909" s="1" t="n">
        <v>9908</v>
      </c>
      <c r="B9909">
        <f>TEXT(9908, "[$-0E0000]yyyy-mm-dd")</f>
        <v/>
      </c>
      <c r="C9909" t="inlineStr">
        <is>
          <t>1927-01-15</t>
        </is>
      </c>
    </row>
    <row r="9910">
      <c r="A9910" s="1" t="n">
        <v>9909</v>
      </c>
      <c r="B9910">
        <f>TEXT(9909, "[$-0E0000]yyyy-mm-dd")</f>
        <v/>
      </c>
      <c r="C9910" t="inlineStr">
        <is>
          <t>1927-01-16</t>
        </is>
      </c>
    </row>
    <row r="9911">
      <c r="A9911" s="1" t="n">
        <v>9910</v>
      </c>
      <c r="B9911">
        <f>TEXT(9910, "[$-0E0000]yyyy-mm-dd")</f>
        <v/>
      </c>
      <c r="C9911" t="inlineStr">
        <is>
          <t>1927-01-17</t>
        </is>
      </c>
    </row>
    <row r="9912">
      <c r="A9912" s="1" t="n">
        <v>9911</v>
      </c>
      <c r="B9912">
        <f>TEXT(9911, "[$-0E0000]yyyy-mm-dd")</f>
        <v/>
      </c>
      <c r="C9912" t="inlineStr">
        <is>
          <t>1927-01-18</t>
        </is>
      </c>
    </row>
    <row r="9913">
      <c r="A9913" s="1" t="n">
        <v>9912</v>
      </c>
      <c r="B9913">
        <f>TEXT(9912, "[$-0E0000]yyyy-mm-dd")</f>
        <v/>
      </c>
      <c r="C9913" t="inlineStr">
        <is>
          <t>1927-01-19</t>
        </is>
      </c>
    </row>
    <row r="9914">
      <c r="A9914" s="1" t="n">
        <v>9913</v>
      </c>
      <c r="B9914">
        <f>TEXT(9913, "[$-0E0000]yyyy-mm-dd")</f>
        <v/>
      </c>
      <c r="C9914" t="inlineStr">
        <is>
          <t>1927-01-20</t>
        </is>
      </c>
    </row>
    <row r="9915">
      <c r="A9915" s="1" t="n">
        <v>9914</v>
      </c>
      <c r="B9915">
        <f>TEXT(9914, "[$-0E0000]yyyy-mm-dd")</f>
        <v/>
      </c>
      <c r="C9915" t="inlineStr">
        <is>
          <t>1927-01-21</t>
        </is>
      </c>
    </row>
    <row r="9916">
      <c r="A9916" s="1" t="n">
        <v>9915</v>
      </c>
      <c r="B9916">
        <f>TEXT(9915, "[$-0E0000]yyyy-mm-dd")</f>
        <v/>
      </c>
      <c r="C9916" t="inlineStr">
        <is>
          <t>1927-01-22</t>
        </is>
      </c>
    </row>
    <row r="9917">
      <c r="A9917" s="1" t="n">
        <v>9916</v>
      </c>
      <c r="B9917">
        <f>TEXT(9916, "[$-0E0000]yyyy-mm-dd")</f>
        <v/>
      </c>
      <c r="C9917" t="inlineStr">
        <is>
          <t>1927-01-23</t>
        </is>
      </c>
    </row>
    <row r="9918">
      <c r="A9918" s="1" t="n">
        <v>9917</v>
      </c>
      <c r="B9918">
        <f>TEXT(9917, "[$-0E0000]yyyy-mm-dd")</f>
        <v/>
      </c>
      <c r="C9918" t="inlineStr">
        <is>
          <t>1927-01-24</t>
        </is>
      </c>
    </row>
    <row r="9919">
      <c r="A9919" s="1" t="n">
        <v>9918</v>
      </c>
      <c r="B9919">
        <f>TEXT(9918, "[$-0E0000]yyyy-mm-dd")</f>
        <v/>
      </c>
      <c r="C9919" t="inlineStr">
        <is>
          <t>1927-01-25</t>
        </is>
      </c>
    </row>
    <row r="9920">
      <c r="A9920" s="1" t="n">
        <v>9919</v>
      </c>
      <c r="B9920">
        <f>TEXT(9919, "[$-0E0000]yyyy-mm-dd")</f>
        <v/>
      </c>
      <c r="C9920" t="inlineStr">
        <is>
          <t>1927-01-26</t>
        </is>
      </c>
    </row>
    <row r="9921">
      <c r="A9921" s="1" t="n">
        <v>9920</v>
      </c>
      <c r="B9921">
        <f>TEXT(9920, "[$-0E0000]yyyy-mm-dd")</f>
        <v/>
      </c>
      <c r="C9921" t="inlineStr">
        <is>
          <t>1927-01-27</t>
        </is>
      </c>
    </row>
    <row r="9922">
      <c r="A9922" s="1" t="n">
        <v>9921</v>
      </c>
      <c r="B9922">
        <f>TEXT(9921, "[$-0E0000]yyyy-mm-dd")</f>
        <v/>
      </c>
      <c r="C9922" t="inlineStr">
        <is>
          <t>1927-01-28</t>
        </is>
      </c>
    </row>
    <row r="9923">
      <c r="A9923" s="1" t="n">
        <v>9922</v>
      </c>
      <c r="B9923">
        <f>TEXT(9922, "[$-0E0000]yyyy-mm-dd")</f>
        <v/>
      </c>
      <c r="C9923" t="inlineStr">
        <is>
          <t>1927-01-29</t>
        </is>
      </c>
    </row>
    <row r="9924">
      <c r="A9924" s="1" t="n">
        <v>9923</v>
      </c>
      <c r="B9924">
        <f>TEXT(9923, "[$-0E0000]yyyy-mm-dd")</f>
        <v/>
      </c>
      <c r="C9924" t="inlineStr">
        <is>
          <t>1927-01-30</t>
        </is>
      </c>
    </row>
    <row r="9925">
      <c r="A9925" s="1" t="n">
        <v>9924</v>
      </c>
      <c r="B9925">
        <f>TEXT(9924, "[$-0E0000]yyyy-mm-dd")</f>
        <v/>
      </c>
      <c r="C9925" t="inlineStr">
        <is>
          <t>1927-02-01</t>
        </is>
      </c>
    </row>
    <row r="9926">
      <c r="A9926" s="1" t="n">
        <v>9925</v>
      </c>
      <c r="B9926">
        <f>TEXT(9925, "[$-0E0000]yyyy-mm-dd")</f>
        <v/>
      </c>
      <c r="C9926" t="inlineStr">
        <is>
          <t>1927-02-02</t>
        </is>
      </c>
    </row>
    <row r="9927">
      <c r="A9927" s="1" t="n">
        <v>9926</v>
      </c>
      <c r="B9927">
        <f>TEXT(9926, "[$-0E0000]yyyy-mm-dd")</f>
        <v/>
      </c>
      <c r="C9927" t="inlineStr">
        <is>
          <t>1927-02-03</t>
        </is>
      </c>
    </row>
    <row r="9928">
      <c r="A9928" s="1" t="n">
        <v>9927</v>
      </c>
      <c r="B9928">
        <f>TEXT(9927, "[$-0E0000]yyyy-mm-dd")</f>
        <v/>
      </c>
      <c r="C9928" t="inlineStr">
        <is>
          <t>1927-02-04</t>
        </is>
      </c>
    </row>
    <row r="9929">
      <c r="A9929" s="1" t="n">
        <v>9928</v>
      </c>
      <c r="B9929">
        <f>TEXT(9928, "[$-0E0000]yyyy-mm-dd")</f>
        <v/>
      </c>
      <c r="C9929" t="inlineStr">
        <is>
          <t>1927-02-05</t>
        </is>
      </c>
    </row>
    <row r="9930">
      <c r="A9930" s="1" t="n">
        <v>9929</v>
      </c>
      <c r="B9930">
        <f>TEXT(9929, "[$-0E0000]yyyy-mm-dd")</f>
        <v/>
      </c>
      <c r="C9930" t="inlineStr">
        <is>
          <t>1927-02-06</t>
        </is>
      </c>
    </row>
    <row r="9931">
      <c r="A9931" s="1" t="n">
        <v>9930</v>
      </c>
      <c r="B9931">
        <f>TEXT(9930, "[$-0E0000]yyyy-mm-dd")</f>
        <v/>
      </c>
      <c r="C9931" t="inlineStr">
        <is>
          <t>1927-02-07</t>
        </is>
      </c>
    </row>
    <row r="9932">
      <c r="A9932" s="1" t="n">
        <v>9931</v>
      </c>
      <c r="B9932">
        <f>TEXT(9931, "[$-0E0000]yyyy-mm-dd")</f>
        <v/>
      </c>
      <c r="C9932" t="inlineStr">
        <is>
          <t>1927-02-08</t>
        </is>
      </c>
    </row>
    <row r="9933">
      <c r="A9933" s="1" t="n">
        <v>9932</v>
      </c>
      <c r="B9933">
        <f>TEXT(9932, "[$-0E0000]yyyy-mm-dd")</f>
        <v/>
      </c>
      <c r="C9933" t="inlineStr">
        <is>
          <t>1927-02-09</t>
        </is>
      </c>
    </row>
    <row r="9934">
      <c r="A9934" s="1" t="n">
        <v>9933</v>
      </c>
      <c r="B9934">
        <f>TEXT(9933, "[$-0E0000]yyyy-mm-dd")</f>
        <v/>
      </c>
      <c r="C9934" t="inlineStr">
        <is>
          <t>1927-02-10</t>
        </is>
      </c>
    </row>
    <row r="9935">
      <c r="A9935" s="1" t="n">
        <v>9934</v>
      </c>
      <c r="B9935">
        <f>TEXT(9934, "[$-0E0000]yyyy-mm-dd")</f>
        <v/>
      </c>
      <c r="C9935" t="inlineStr">
        <is>
          <t>1927-02-11</t>
        </is>
      </c>
    </row>
    <row r="9936">
      <c r="A9936" s="1" t="n">
        <v>9935</v>
      </c>
      <c r="B9936">
        <f>TEXT(9935, "[$-0E0000]yyyy-mm-dd")</f>
        <v/>
      </c>
      <c r="C9936" t="inlineStr">
        <is>
          <t>1927-02-12</t>
        </is>
      </c>
    </row>
    <row r="9937">
      <c r="A9937" s="1" t="n">
        <v>9936</v>
      </c>
      <c r="B9937">
        <f>TEXT(9936, "[$-0E0000]yyyy-mm-dd")</f>
        <v/>
      </c>
      <c r="C9937" t="inlineStr">
        <is>
          <t>1927-02-13</t>
        </is>
      </c>
    </row>
    <row r="9938">
      <c r="A9938" s="1" t="n">
        <v>9937</v>
      </c>
      <c r="B9938">
        <f>TEXT(9937, "[$-0E0000]yyyy-mm-dd")</f>
        <v/>
      </c>
      <c r="C9938" t="inlineStr">
        <is>
          <t>1927-02-14</t>
        </is>
      </c>
    </row>
    <row r="9939">
      <c r="A9939" s="1" t="n">
        <v>9938</v>
      </c>
      <c r="B9939">
        <f>TEXT(9938, "[$-0E0000]yyyy-mm-dd")</f>
        <v/>
      </c>
      <c r="C9939" t="inlineStr">
        <is>
          <t>1927-02-15</t>
        </is>
      </c>
    </row>
    <row r="9940">
      <c r="A9940" s="1" t="n">
        <v>9939</v>
      </c>
      <c r="B9940">
        <f>TEXT(9939, "[$-0E0000]yyyy-mm-dd")</f>
        <v/>
      </c>
      <c r="C9940" t="inlineStr">
        <is>
          <t>1927-02-16</t>
        </is>
      </c>
    </row>
    <row r="9941">
      <c r="A9941" s="1" t="n">
        <v>9940</v>
      </c>
      <c r="B9941">
        <f>TEXT(9940, "[$-0E0000]yyyy-mm-dd")</f>
        <v/>
      </c>
      <c r="C9941" t="inlineStr">
        <is>
          <t>1927-02-17</t>
        </is>
      </c>
    </row>
    <row r="9942">
      <c r="A9942" s="1" t="n">
        <v>9941</v>
      </c>
      <c r="B9942">
        <f>TEXT(9941, "[$-0E0000]yyyy-mm-dd")</f>
        <v/>
      </c>
      <c r="C9942" t="inlineStr">
        <is>
          <t>1927-02-18</t>
        </is>
      </c>
    </row>
    <row r="9943">
      <c r="A9943" s="1" t="n">
        <v>9942</v>
      </c>
      <c r="B9943">
        <f>TEXT(9942, "[$-0E0000]yyyy-mm-dd")</f>
        <v/>
      </c>
      <c r="C9943" t="inlineStr">
        <is>
          <t>1927-02-19</t>
        </is>
      </c>
    </row>
    <row r="9944">
      <c r="A9944" s="1" t="n">
        <v>9943</v>
      </c>
      <c r="B9944">
        <f>TEXT(9943, "[$-0E0000]yyyy-mm-dd")</f>
        <v/>
      </c>
      <c r="C9944" t="inlineStr">
        <is>
          <t>1927-02-20</t>
        </is>
      </c>
    </row>
    <row r="9945">
      <c r="A9945" s="1" t="n">
        <v>9944</v>
      </c>
      <c r="B9945">
        <f>TEXT(9944, "[$-0E0000]yyyy-mm-dd")</f>
        <v/>
      </c>
      <c r="C9945" t="inlineStr">
        <is>
          <t>1927-02-21</t>
        </is>
      </c>
    </row>
    <row r="9946">
      <c r="A9946" s="1" t="n">
        <v>9945</v>
      </c>
      <c r="B9946">
        <f>TEXT(9945, "[$-0E0000]yyyy-mm-dd")</f>
        <v/>
      </c>
      <c r="C9946" t="inlineStr">
        <is>
          <t>1927-02-22</t>
        </is>
      </c>
    </row>
    <row r="9947">
      <c r="A9947" s="1" t="n">
        <v>9946</v>
      </c>
      <c r="B9947">
        <f>TEXT(9946, "[$-0E0000]yyyy-mm-dd")</f>
        <v/>
      </c>
      <c r="C9947" t="inlineStr">
        <is>
          <t>1927-02-23</t>
        </is>
      </c>
    </row>
    <row r="9948">
      <c r="A9948" s="1" t="n">
        <v>9947</v>
      </c>
      <c r="B9948">
        <f>TEXT(9947, "[$-0E0000]yyyy-mm-dd")</f>
        <v/>
      </c>
      <c r="C9948" t="inlineStr">
        <is>
          <t>1927-02-24</t>
        </is>
      </c>
    </row>
    <row r="9949">
      <c r="A9949" s="1" t="n">
        <v>9948</v>
      </c>
      <c r="B9949">
        <f>TEXT(9948, "[$-0E0000]yyyy-mm-dd")</f>
        <v/>
      </c>
      <c r="C9949" t="inlineStr">
        <is>
          <t>1927-02-25</t>
        </is>
      </c>
    </row>
    <row r="9950">
      <c r="A9950" s="1" t="n">
        <v>9949</v>
      </c>
      <c r="B9950">
        <f>TEXT(9949, "[$-0E0000]yyyy-mm-dd")</f>
        <v/>
      </c>
      <c r="C9950" t="inlineStr">
        <is>
          <t>1927-02-26</t>
        </is>
      </c>
    </row>
    <row r="9951">
      <c r="A9951" s="1" t="n">
        <v>9950</v>
      </c>
      <c r="B9951">
        <f>TEXT(9950, "[$-0E0000]yyyy-mm-dd")</f>
        <v/>
      </c>
      <c r="C9951" t="inlineStr">
        <is>
          <t>1927-02-27</t>
        </is>
      </c>
    </row>
    <row r="9952">
      <c r="A9952" s="1" t="n">
        <v>9951</v>
      </c>
      <c r="B9952">
        <f>TEXT(9951, "[$-0E0000]yyyy-mm-dd")</f>
        <v/>
      </c>
      <c r="C9952" t="inlineStr">
        <is>
          <t>1927-02-28</t>
        </is>
      </c>
    </row>
    <row r="9953">
      <c r="A9953" s="1" t="n">
        <v>9952</v>
      </c>
      <c r="B9953">
        <f>TEXT(9952, "[$-0E0000]yyyy-mm-dd")</f>
        <v/>
      </c>
      <c r="C9953" t="inlineStr">
        <is>
          <t>1927-02-29</t>
        </is>
      </c>
    </row>
    <row r="9954">
      <c r="A9954" s="1" t="n">
        <v>9953</v>
      </c>
      <c r="B9954">
        <f>TEXT(9953, "[$-0E0000]yyyy-mm-dd")</f>
        <v/>
      </c>
      <c r="C9954" t="inlineStr">
        <is>
          <t>1927-03-01</t>
        </is>
      </c>
    </row>
    <row r="9955">
      <c r="A9955" s="1" t="n">
        <v>9954</v>
      </c>
      <c r="B9955">
        <f>TEXT(9954, "[$-0E0000]yyyy-mm-dd")</f>
        <v/>
      </c>
      <c r="C9955" t="inlineStr">
        <is>
          <t>1927-03-02</t>
        </is>
      </c>
    </row>
    <row r="9956">
      <c r="A9956" s="1" t="n">
        <v>9955</v>
      </c>
      <c r="B9956">
        <f>TEXT(9955, "[$-0E0000]yyyy-mm-dd")</f>
        <v/>
      </c>
      <c r="C9956" t="inlineStr">
        <is>
          <t>1927-03-03</t>
        </is>
      </c>
    </row>
    <row r="9957">
      <c r="A9957" s="1" t="n">
        <v>9956</v>
      </c>
      <c r="B9957">
        <f>TEXT(9956, "[$-0E0000]yyyy-mm-dd")</f>
        <v/>
      </c>
      <c r="C9957" t="inlineStr">
        <is>
          <t>1927-03-04</t>
        </is>
      </c>
    </row>
    <row r="9958">
      <c r="A9958" s="1" t="n">
        <v>9957</v>
      </c>
      <c r="B9958">
        <f>TEXT(9957, "[$-0E0000]yyyy-mm-dd")</f>
        <v/>
      </c>
      <c r="C9958" t="inlineStr">
        <is>
          <t>1927-03-05</t>
        </is>
      </c>
    </row>
    <row r="9959">
      <c r="A9959" s="1" t="n">
        <v>9958</v>
      </c>
      <c r="B9959">
        <f>TEXT(9958, "[$-0E0000]yyyy-mm-dd")</f>
        <v/>
      </c>
      <c r="C9959" t="inlineStr">
        <is>
          <t>1927-03-06</t>
        </is>
      </c>
    </row>
    <row r="9960">
      <c r="A9960" s="1" t="n">
        <v>9959</v>
      </c>
      <c r="B9960">
        <f>TEXT(9959, "[$-0E0000]yyyy-mm-dd")</f>
        <v/>
      </c>
      <c r="C9960" t="inlineStr">
        <is>
          <t>1927-03-07</t>
        </is>
      </c>
    </row>
    <row r="9961">
      <c r="A9961" s="1" t="n">
        <v>9960</v>
      </c>
      <c r="B9961">
        <f>TEXT(9960, "[$-0E0000]yyyy-mm-dd")</f>
        <v/>
      </c>
      <c r="C9961" t="inlineStr">
        <is>
          <t>1927-03-08</t>
        </is>
      </c>
    </row>
    <row r="9962">
      <c r="A9962" s="1" t="n">
        <v>9961</v>
      </c>
      <c r="B9962">
        <f>TEXT(9961, "[$-0E0000]yyyy-mm-dd")</f>
        <v/>
      </c>
      <c r="C9962" t="inlineStr">
        <is>
          <t>1927-03-09</t>
        </is>
      </c>
    </row>
    <row r="9963">
      <c r="A9963" s="1" t="n">
        <v>9962</v>
      </c>
      <c r="B9963">
        <f>TEXT(9962, "[$-0E0000]yyyy-mm-dd")</f>
        <v/>
      </c>
      <c r="C9963" t="inlineStr">
        <is>
          <t>1927-03-10</t>
        </is>
      </c>
    </row>
    <row r="9964">
      <c r="A9964" s="1" t="n">
        <v>9963</v>
      </c>
      <c r="B9964">
        <f>TEXT(9963, "[$-0E0000]yyyy-mm-dd")</f>
        <v/>
      </c>
      <c r="C9964" t="inlineStr">
        <is>
          <t>1927-03-11</t>
        </is>
      </c>
    </row>
    <row r="9965">
      <c r="A9965" s="1" t="n">
        <v>9964</v>
      </c>
      <c r="B9965">
        <f>TEXT(9964, "[$-0E0000]yyyy-mm-dd")</f>
        <v/>
      </c>
      <c r="C9965" t="inlineStr">
        <is>
          <t>1927-03-12</t>
        </is>
      </c>
    </row>
    <row r="9966">
      <c r="A9966" s="1" t="n">
        <v>9965</v>
      </c>
      <c r="B9966">
        <f>TEXT(9965, "[$-0E0000]yyyy-mm-dd")</f>
        <v/>
      </c>
      <c r="C9966" t="inlineStr">
        <is>
          <t>1927-03-13</t>
        </is>
      </c>
    </row>
    <row r="9967">
      <c r="A9967" s="1" t="n">
        <v>9966</v>
      </c>
      <c r="B9967">
        <f>TEXT(9966, "[$-0E0000]yyyy-mm-dd")</f>
        <v/>
      </c>
      <c r="C9967" t="inlineStr">
        <is>
          <t>1927-03-14</t>
        </is>
      </c>
    </row>
    <row r="9968">
      <c r="A9968" s="1" t="n">
        <v>9967</v>
      </c>
      <c r="B9968">
        <f>TEXT(9967, "[$-0E0000]yyyy-mm-dd")</f>
        <v/>
      </c>
      <c r="C9968" t="inlineStr">
        <is>
          <t>1927-03-15</t>
        </is>
      </c>
    </row>
    <row r="9969">
      <c r="A9969" s="1" t="n">
        <v>9968</v>
      </c>
      <c r="B9969">
        <f>TEXT(9968, "[$-0E0000]yyyy-mm-dd")</f>
        <v/>
      </c>
      <c r="C9969" t="inlineStr">
        <is>
          <t>1927-03-16</t>
        </is>
      </c>
    </row>
    <row r="9970">
      <c r="A9970" s="1" t="n">
        <v>9969</v>
      </c>
      <c r="B9970">
        <f>TEXT(9969, "[$-0E0000]yyyy-mm-dd")</f>
        <v/>
      </c>
      <c r="C9970" t="inlineStr">
        <is>
          <t>1927-03-17</t>
        </is>
      </c>
    </row>
    <row r="9971">
      <c r="A9971" s="1" t="n">
        <v>9970</v>
      </c>
      <c r="B9971">
        <f>TEXT(9970, "[$-0E0000]yyyy-mm-dd")</f>
        <v/>
      </c>
      <c r="C9971" t="inlineStr">
        <is>
          <t>1927-03-18</t>
        </is>
      </c>
    </row>
    <row r="9972">
      <c r="A9972" s="1" t="n">
        <v>9971</v>
      </c>
      <c r="B9972">
        <f>TEXT(9971, "[$-0E0000]yyyy-mm-dd")</f>
        <v/>
      </c>
      <c r="C9972" t="inlineStr">
        <is>
          <t>1927-03-19</t>
        </is>
      </c>
    </row>
    <row r="9973">
      <c r="A9973" s="1" t="n">
        <v>9972</v>
      </c>
      <c r="B9973">
        <f>TEXT(9972, "[$-0E0000]yyyy-mm-dd")</f>
        <v/>
      </c>
      <c r="C9973" t="inlineStr">
        <is>
          <t>1927-03-20</t>
        </is>
      </c>
    </row>
    <row r="9974">
      <c r="A9974" s="1" t="n">
        <v>9973</v>
      </c>
      <c r="B9974">
        <f>TEXT(9973, "[$-0E0000]yyyy-mm-dd")</f>
        <v/>
      </c>
      <c r="C9974" t="inlineStr">
        <is>
          <t>1927-03-21</t>
        </is>
      </c>
    </row>
    <row r="9975">
      <c r="A9975" s="1" t="n">
        <v>9974</v>
      </c>
      <c r="B9975">
        <f>TEXT(9974, "[$-0E0000]yyyy-mm-dd")</f>
        <v/>
      </c>
      <c r="C9975" t="inlineStr">
        <is>
          <t>1927-03-22</t>
        </is>
      </c>
    </row>
    <row r="9976">
      <c r="A9976" s="1" t="n">
        <v>9975</v>
      </c>
      <c r="B9976">
        <f>TEXT(9975, "[$-0E0000]yyyy-mm-dd")</f>
        <v/>
      </c>
      <c r="C9976" t="inlineStr">
        <is>
          <t>1927-03-23</t>
        </is>
      </c>
    </row>
    <row r="9977">
      <c r="A9977" s="1" t="n">
        <v>9976</v>
      </c>
      <c r="B9977">
        <f>TEXT(9976, "[$-0E0000]yyyy-mm-dd")</f>
        <v/>
      </c>
      <c r="C9977" t="inlineStr">
        <is>
          <t>1927-03-24</t>
        </is>
      </c>
    </row>
    <row r="9978">
      <c r="A9978" s="1" t="n">
        <v>9977</v>
      </c>
      <c r="B9978">
        <f>TEXT(9977, "[$-0E0000]yyyy-mm-dd")</f>
        <v/>
      </c>
      <c r="C9978" t="inlineStr">
        <is>
          <t>1927-03-25</t>
        </is>
      </c>
    </row>
    <row r="9979">
      <c r="A9979" s="1" t="n">
        <v>9978</v>
      </c>
      <c r="B9979">
        <f>TEXT(9978, "[$-0E0000]yyyy-mm-dd")</f>
        <v/>
      </c>
      <c r="C9979" t="inlineStr">
        <is>
          <t>1927-03-26</t>
        </is>
      </c>
    </row>
    <row r="9980">
      <c r="A9980" s="1" t="n">
        <v>9979</v>
      </c>
      <c r="B9980">
        <f>TEXT(9979, "[$-0E0000]yyyy-mm-dd")</f>
        <v/>
      </c>
      <c r="C9980" t="inlineStr">
        <is>
          <t>1927-03-27</t>
        </is>
      </c>
    </row>
    <row r="9981">
      <c r="A9981" s="1" t="n">
        <v>9980</v>
      </c>
      <c r="B9981">
        <f>TEXT(9980, "[$-0E0000]yyyy-mm-dd")</f>
        <v/>
      </c>
      <c r="C9981" t="inlineStr">
        <is>
          <t>1927-03-28</t>
        </is>
      </c>
    </row>
    <row r="9982">
      <c r="A9982" s="1" t="n">
        <v>9981</v>
      </c>
      <c r="B9982">
        <f>TEXT(9981, "[$-0E0000]yyyy-mm-dd")</f>
        <v/>
      </c>
      <c r="C9982" t="inlineStr">
        <is>
          <t>1927-03-29</t>
        </is>
      </c>
    </row>
    <row r="9983">
      <c r="A9983" s="1" t="n">
        <v>9982</v>
      </c>
      <c r="B9983">
        <f>TEXT(9982, "[$-0E0000]yyyy-mm-dd")</f>
        <v/>
      </c>
      <c r="C9983" t="inlineStr">
        <is>
          <t>1927-04-01</t>
        </is>
      </c>
    </row>
    <row r="9984">
      <c r="A9984" s="1" t="n">
        <v>9983</v>
      </c>
      <c r="B9984">
        <f>TEXT(9983, "[$-0E0000]yyyy-mm-dd")</f>
        <v/>
      </c>
      <c r="C9984" t="inlineStr">
        <is>
          <t>1927-04-02</t>
        </is>
      </c>
    </row>
    <row r="9985">
      <c r="A9985" s="1" t="n">
        <v>9984</v>
      </c>
      <c r="B9985">
        <f>TEXT(9984, "[$-0E0000]yyyy-mm-dd")</f>
        <v/>
      </c>
      <c r="C9985" t="inlineStr">
        <is>
          <t>1927-04-03</t>
        </is>
      </c>
    </row>
    <row r="9986">
      <c r="A9986" s="1" t="n">
        <v>9985</v>
      </c>
      <c r="B9986">
        <f>TEXT(9985, "[$-0E0000]yyyy-mm-dd")</f>
        <v/>
      </c>
      <c r="C9986" t="inlineStr">
        <is>
          <t>1927-04-04</t>
        </is>
      </c>
    </row>
    <row r="9987">
      <c r="A9987" s="1" t="n">
        <v>9986</v>
      </c>
      <c r="B9987">
        <f>TEXT(9986, "[$-0E0000]yyyy-mm-dd")</f>
        <v/>
      </c>
      <c r="C9987" t="inlineStr">
        <is>
          <t>1927-04-05</t>
        </is>
      </c>
    </row>
    <row r="9988">
      <c r="A9988" s="1" t="n">
        <v>9987</v>
      </c>
      <c r="B9988">
        <f>TEXT(9987, "[$-0E0000]yyyy-mm-dd")</f>
        <v/>
      </c>
      <c r="C9988" t="inlineStr">
        <is>
          <t>1927-04-06</t>
        </is>
      </c>
    </row>
    <row r="9989">
      <c r="A9989" s="1" t="n">
        <v>9988</v>
      </c>
      <c r="B9989">
        <f>TEXT(9988, "[$-0E0000]yyyy-mm-dd")</f>
        <v/>
      </c>
      <c r="C9989" t="inlineStr">
        <is>
          <t>1927-04-07</t>
        </is>
      </c>
    </row>
    <row r="9990">
      <c r="A9990" s="1" t="n">
        <v>9989</v>
      </c>
      <c r="B9990">
        <f>TEXT(9989, "[$-0E0000]yyyy-mm-dd")</f>
        <v/>
      </c>
      <c r="C9990" t="inlineStr">
        <is>
          <t>1927-04-08</t>
        </is>
      </c>
    </row>
    <row r="9991">
      <c r="A9991" s="1" t="n">
        <v>9990</v>
      </c>
      <c r="B9991">
        <f>TEXT(9990, "[$-0E0000]yyyy-mm-dd")</f>
        <v/>
      </c>
      <c r="C9991" t="inlineStr">
        <is>
          <t>1927-04-09</t>
        </is>
      </c>
    </row>
    <row r="9992">
      <c r="A9992" s="1" t="n">
        <v>9991</v>
      </c>
      <c r="B9992">
        <f>TEXT(9991, "[$-0E0000]yyyy-mm-dd")</f>
        <v/>
      </c>
      <c r="C9992" t="inlineStr">
        <is>
          <t>1927-04-10</t>
        </is>
      </c>
    </row>
    <row r="9993">
      <c r="A9993" s="1" t="n">
        <v>9992</v>
      </c>
      <c r="B9993">
        <f>TEXT(9992, "[$-0E0000]yyyy-mm-dd")</f>
        <v/>
      </c>
      <c r="C9993" t="inlineStr">
        <is>
          <t>1927-04-11</t>
        </is>
      </c>
    </row>
    <row r="9994">
      <c r="A9994" s="1" t="n">
        <v>9993</v>
      </c>
      <c r="B9994">
        <f>TEXT(9993, "[$-0E0000]yyyy-mm-dd")</f>
        <v/>
      </c>
      <c r="C9994" t="inlineStr">
        <is>
          <t>1927-04-12</t>
        </is>
      </c>
    </row>
    <row r="9995">
      <c r="A9995" s="1" t="n">
        <v>9994</v>
      </c>
      <c r="B9995">
        <f>TEXT(9994, "[$-0E0000]yyyy-mm-dd")</f>
        <v/>
      </c>
      <c r="C9995" t="inlineStr">
        <is>
          <t>1927-04-13</t>
        </is>
      </c>
    </row>
    <row r="9996">
      <c r="A9996" s="1" t="n">
        <v>9995</v>
      </c>
      <c r="B9996">
        <f>TEXT(9995, "[$-0E0000]yyyy-mm-dd")</f>
        <v/>
      </c>
      <c r="C9996" t="inlineStr">
        <is>
          <t>1927-04-14</t>
        </is>
      </c>
    </row>
    <row r="9997">
      <c r="A9997" s="1" t="n">
        <v>9996</v>
      </c>
      <c r="B9997">
        <f>TEXT(9996, "[$-0E0000]yyyy-mm-dd")</f>
        <v/>
      </c>
      <c r="C9997" t="inlineStr">
        <is>
          <t>1927-04-15</t>
        </is>
      </c>
    </row>
    <row r="9998">
      <c r="A9998" s="1" t="n">
        <v>9997</v>
      </c>
      <c r="B9998">
        <f>TEXT(9997, "[$-0E0000]yyyy-mm-dd")</f>
        <v/>
      </c>
      <c r="C9998" t="inlineStr">
        <is>
          <t>1927-04-16</t>
        </is>
      </c>
    </row>
    <row r="9999">
      <c r="A9999" s="1" t="n">
        <v>9998</v>
      </c>
      <c r="B9999">
        <f>TEXT(9998, "[$-0E0000]yyyy-mm-dd")</f>
        <v/>
      </c>
      <c r="C9999" t="inlineStr">
        <is>
          <t>1927-04-17</t>
        </is>
      </c>
    </row>
    <row r="10000">
      <c r="A10000" s="1" t="n">
        <v>9999</v>
      </c>
      <c r="B10000">
        <f>TEXT(9999, "[$-0E0000]yyyy-mm-dd")</f>
        <v/>
      </c>
      <c r="C10000" t="inlineStr">
        <is>
          <t>1927-04-18</t>
        </is>
      </c>
    </row>
    <row r="10001">
      <c r="A10001" s="1" t="n">
        <v>10000</v>
      </c>
      <c r="B10001">
        <f>TEXT(10000, "[$-0E0000]yyyy-mm-dd")</f>
        <v/>
      </c>
      <c r="C10001" t="inlineStr">
        <is>
          <t>1927-04-19</t>
        </is>
      </c>
    </row>
    <row r="10002">
      <c r="A10002" s="1" t="n">
        <v>10001</v>
      </c>
      <c r="B10002">
        <f>TEXT(10001, "[$-0E0000]yyyy-mm-dd")</f>
        <v/>
      </c>
      <c r="C10002" t="inlineStr">
        <is>
          <t>1927-04-20</t>
        </is>
      </c>
    </row>
    <row r="10003">
      <c r="A10003" s="1" t="n">
        <v>10002</v>
      </c>
      <c r="B10003">
        <f>TEXT(10002, "[$-0E0000]yyyy-mm-dd")</f>
        <v/>
      </c>
      <c r="C10003" t="inlineStr">
        <is>
          <t>1927-04-21</t>
        </is>
      </c>
    </row>
    <row r="10004">
      <c r="A10004" s="1" t="n">
        <v>10003</v>
      </c>
      <c r="B10004">
        <f>TEXT(10003, "[$-0E0000]yyyy-mm-dd")</f>
        <v/>
      </c>
      <c r="C10004" t="inlineStr">
        <is>
          <t>1927-04-22</t>
        </is>
      </c>
    </row>
    <row r="10005">
      <c r="A10005" s="1" t="n">
        <v>10004</v>
      </c>
      <c r="B10005">
        <f>TEXT(10004, "[$-0E0000]yyyy-mm-dd")</f>
        <v/>
      </c>
      <c r="C10005" t="inlineStr">
        <is>
          <t>1927-04-23</t>
        </is>
      </c>
    </row>
    <row r="10006">
      <c r="A10006" s="1" t="n">
        <v>10005</v>
      </c>
      <c r="B10006">
        <f>TEXT(10005, "[$-0E0000]yyyy-mm-dd")</f>
        <v/>
      </c>
      <c r="C10006" t="inlineStr">
        <is>
          <t>1927-04-24</t>
        </is>
      </c>
    </row>
    <row r="10007">
      <c r="A10007" s="1" t="n">
        <v>10006</v>
      </c>
      <c r="B10007">
        <f>TEXT(10006, "[$-0E0000]yyyy-mm-dd")</f>
        <v/>
      </c>
      <c r="C10007" t="inlineStr">
        <is>
          <t>1927-04-25</t>
        </is>
      </c>
    </row>
    <row r="10008">
      <c r="A10008" s="1" t="n">
        <v>10007</v>
      </c>
      <c r="B10008">
        <f>TEXT(10007, "[$-0E0000]yyyy-mm-dd")</f>
        <v/>
      </c>
      <c r="C10008" t="inlineStr">
        <is>
          <t>1927-04-26</t>
        </is>
      </c>
    </row>
    <row r="10009">
      <c r="A10009" s="1" t="n">
        <v>10008</v>
      </c>
      <c r="B10009">
        <f>TEXT(10008, "[$-0E0000]yyyy-mm-dd")</f>
        <v/>
      </c>
      <c r="C10009" t="inlineStr">
        <is>
          <t>1927-04-27</t>
        </is>
      </c>
    </row>
    <row r="10010">
      <c r="A10010" s="1" t="n">
        <v>10009</v>
      </c>
      <c r="B10010">
        <f>TEXT(10009, "[$-0E0000]yyyy-mm-dd")</f>
        <v/>
      </c>
      <c r="C10010" t="inlineStr">
        <is>
          <t>1927-04-28</t>
        </is>
      </c>
    </row>
    <row r="10011">
      <c r="A10011" s="1" t="n">
        <v>10010</v>
      </c>
      <c r="B10011">
        <f>TEXT(10010, "[$-0E0000]yyyy-mm-dd")</f>
        <v/>
      </c>
      <c r="C10011" t="inlineStr">
        <is>
          <t>1927-04-29</t>
        </is>
      </c>
    </row>
    <row r="10012">
      <c r="A10012" s="1" t="n">
        <v>10011</v>
      </c>
      <c r="B10012">
        <f>TEXT(10011, "[$-0E0000]yyyy-mm-dd")</f>
        <v/>
      </c>
      <c r="C10012" t="inlineStr">
        <is>
          <t>1927-04-30</t>
        </is>
      </c>
    </row>
    <row r="10013">
      <c r="A10013" s="1" t="n">
        <v>10012</v>
      </c>
      <c r="B10013">
        <f>TEXT(10012, "[$-0E0000]yyyy-mm-dd")</f>
        <v/>
      </c>
      <c r="C10013" t="inlineStr">
        <is>
          <t>1927-05-01</t>
        </is>
      </c>
    </row>
    <row r="10014">
      <c r="A10014" s="1" t="n">
        <v>10013</v>
      </c>
      <c r="B10014">
        <f>TEXT(10013, "[$-0E0000]yyyy-mm-dd")</f>
        <v/>
      </c>
      <c r="C10014" t="inlineStr">
        <is>
          <t>1927-05-02</t>
        </is>
      </c>
    </row>
    <row r="10015">
      <c r="A10015" s="1" t="n">
        <v>10014</v>
      </c>
      <c r="B10015">
        <f>TEXT(10014, "[$-0E0000]yyyy-mm-dd")</f>
        <v/>
      </c>
      <c r="C10015" t="inlineStr">
        <is>
          <t>1927-05-03</t>
        </is>
      </c>
    </row>
    <row r="10016">
      <c r="A10016" s="1" t="n">
        <v>10015</v>
      </c>
      <c r="B10016">
        <f>TEXT(10015, "[$-0E0000]yyyy-mm-dd")</f>
        <v/>
      </c>
      <c r="C10016" t="inlineStr">
        <is>
          <t>1927-05-04</t>
        </is>
      </c>
    </row>
    <row r="10017">
      <c r="A10017" s="1" t="n">
        <v>10016</v>
      </c>
      <c r="B10017">
        <f>TEXT(10016, "[$-0E0000]yyyy-mm-dd")</f>
        <v/>
      </c>
      <c r="C10017" t="inlineStr">
        <is>
          <t>1927-05-05</t>
        </is>
      </c>
    </row>
    <row r="10018">
      <c r="A10018" s="1" t="n">
        <v>10017</v>
      </c>
      <c r="B10018">
        <f>TEXT(10017, "[$-0E0000]yyyy-mm-dd")</f>
        <v/>
      </c>
      <c r="C10018" t="inlineStr">
        <is>
          <t>1927-05-06</t>
        </is>
      </c>
    </row>
    <row r="10019">
      <c r="A10019" s="1" t="n">
        <v>10018</v>
      </c>
      <c r="B10019">
        <f>TEXT(10018, "[$-0E0000]yyyy-mm-dd")</f>
        <v/>
      </c>
      <c r="C10019" t="inlineStr">
        <is>
          <t>1927-05-07</t>
        </is>
      </c>
    </row>
    <row r="10020">
      <c r="A10020" s="1" t="n">
        <v>10019</v>
      </c>
      <c r="B10020">
        <f>TEXT(10019, "[$-0E0000]yyyy-mm-dd")</f>
        <v/>
      </c>
      <c r="C10020" t="inlineStr">
        <is>
          <t>1927-05-08</t>
        </is>
      </c>
    </row>
    <row r="10021">
      <c r="A10021" s="1" t="n">
        <v>10020</v>
      </c>
      <c r="B10021">
        <f>TEXT(10020, "[$-0E0000]yyyy-mm-dd")</f>
        <v/>
      </c>
      <c r="C10021" t="inlineStr">
        <is>
          <t>1927-05-09</t>
        </is>
      </c>
    </row>
    <row r="10022">
      <c r="A10022" s="1" t="n">
        <v>10021</v>
      </c>
      <c r="B10022">
        <f>TEXT(10021, "[$-0E0000]yyyy-mm-dd")</f>
        <v/>
      </c>
      <c r="C10022" t="inlineStr">
        <is>
          <t>1927-05-10</t>
        </is>
      </c>
    </row>
    <row r="10023">
      <c r="A10023" s="1" t="n">
        <v>10022</v>
      </c>
      <c r="B10023">
        <f>TEXT(10022, "[$-0E0000]yyyy-mm-dd")</f>
        <v/>
      </c>
      <c r="C10023" t="inlineStr">
        <is>
          <t>1927-05-11</t>
        </is>
      </c>
    </row>
    <row r="10024">
      <c r="A10024" s="1" t="n">
        <v>10023</v>
      </c>
      <c r="B10024">
        <f>TEXT(10023, "[$-0E0000]yyyy-mm-dd")</f>
        <v/>
      </c>
      <c r="C10024" t="inlineStr">
        <is>
          <t>1927-05-12</t>
        </is>
      </c>
    </row>
    <row r="10025">
      <c r="A10025" s="1" t="n">
        <v>10024</v>
      </c>
      <c r="B10025">
        <f>TEXT(10024, "[$-0E0000]yyyy-mm-dd")</f>
        <v/>
      </c>
      <c r="C10025" t="inlineStr">
        <is>
          <t>1927-05-13</t>
        </is>
      </c>
    </row>
    <row r="10026">
      <c r="A10026" s="1" t="n">
        <v>10025</v>
      </c>
      <c r="B10026">
        <f>TEXT(10025, "[$-0E0000]yyyy-mm-dd")</f>
        <v/>
      </c>
      <c r="C10026" t="inlineStr">
        <is>
          <t>1927-05-14</t>
        </is>
      </c>
    </row>
    <row r="10027">
      <c r="A10027" s="1" t="n">
        <v>10026</v>
      </c>
      <c r="B10027">
        <f>TEXT(10026, "[$-0E0000]yyyy-mm-dd")</f>
        <v/>
      </c>
      <c r="C10027" t="inlineStr">
        <is>
          <t>1927-05-15</t>
        </is>
      </c>
    </row>
    <row r="10028">
      <c r="A10028" s="1" t="n">
        <v>10027</v>
      </c>
      <c r="B10028">
        <f>TEXT(10027, "[$-0E0000]yyyy-mm-dd")</f>
        <v/>
      </c>
      <c r="C10028" t="inlineStr">
        <is>
          <t>1927-05-16</t>
        </is>
      </c>
    </row>
    <row r="10029">
      <c r="A10029" s="1" t="n">
        <v>10028</v>
      </c>
      <c r="B10029">
        <f>TEXT(10028, "[$-0E0000]yyyy-mm-dd")</f>
        <v/>
      </c>
      <c r="C10029" t="inlineStr">
        <is>
          <t>1927-05-17</t>
        </is>
      </c>
    </row>
    <row r="10030">
      <c r="A10030" s="1" t="n">
        <v>10029</v>
      </c>
      <c r="B10030">
        <f>TEXT(10029, "[$-0E0000]yyyy-mm-dd")</f>
        <v/>
      </c>
      <c r="C10030" t="inlineStr">
        <is>
          <t>1927-05-18</t>
        </is>
      </c>
    </row>
    <row r="10031">
      <c r="A10031" s="1" t="n">
        <v>10030</v>
      </c>
      <c r="B10031">
        <f>TEXT(10030, "[$-0E0000]yyyy-mm-dd")</f>
        <v/>
      </c>
      <c r="C10031" t="inlineStr">
        <is>
          <t>1927-05-19</t>
        </is>
      </c>
    </row>
    <row r="10032">
      <c r="A10032" s="1" t="n">
        <v>10031</v>
      </c>
      <c r="B10032">
        <f>TEXT(10031, "[$-0E0000]yyyy-mm-dd")</f>
        <v/>
      </c>
      <c r="C10032" t="inlineStr">
        <is>
          <t>1927-05-20</t>
        </is>
      </c>
    </row>
    <row r="10033">
      <c r="A10033" s="1" t="n">
        <v>10032</v>
      </c>
      <c r="B10033">
        <f>TEXT(10032, "[$-0E0000]yyyy-mm-dd")</f>
        <v/>
      </c>
      <c r="C10033" t="inlineStr">
        <is>
          <t>1927-05-21</t>
        </is>
      </c>
    </row>
    <row r="10034">
      <c r="A10034" s="1" t="n">
        <v>10033</v>
      </c>
      <c r="B10034">
        <f>TEXT(10033, "[$-0E0000]yyyy-mm-dd")</f>
        <v/>
      </c>
      <c r="C10034" t="inlineStr">
        <is>
          <t>1927-05-22</t>
        </is>
      </c>
    </row>
    <row r="10035">
      <c r="A10035" s="1" t="n">
        <v>10034</v>
      </c>
      <c r="B10035">
        <f>TEXT(10034, "[$-0E0000]yyyy-mm-dd")</f>
        <v/>
      </c>
      <c r="C10035" t="inlineStr">
        <is>
          <t>1927-05-23</t>
        </is>
      </c>
    </row>
    <row r="10036">
      <c r="A10036" s="1" t="n">
        <v>10035</v>
      </c>
      <c r="B10036">
        <f>TEXT(10035, "[$-0E0000]yyyy-mm-dd")</f>
        <v/>
      </c>
      <c r="C10036" t="inlineStr">
        <is>
          <t>1927-05-24</t>
        </is>
      </c>
    </row>
    <row r="10037">
      <c r="A10037" s="1" t="n">
        <v>10036</v>
      </c>
      <c r="B10037">
        <f>TEXT(10036, "[$-0E0000]yyyy-mm-dd")</f>
        <v/>
      </c>
      <c r="C10037" t="inlineStr">
        <is>
          <t>1927-05-25</t>
        </is>
      </c>
    </row>
    <row r="10038">
      <c r="A10038" s="1" t="n">
        <v>10037</v>
      </c>
      <c r="B10038">
        <f>TEXT(10037, "[$-0E0000]yyyy-mm-dd")</f>
        <v/>
      </c>
      <c r="C10038" t="inlineStr">
        <is>
          <t>1927-05-26</t>
        </is>
      </c>
    </row>
    <row r="10039">
      <c r="A10039" s="1" t="n">
        <v>10038</v>
      </c>
      <c r="B10039">
        <f>TEXT(10038, "[$-0E0000]yyyy-mm-dd")</f>
        <v/>
      </c>
      <c r="C10039" t="inlineStr">
        <is>
          <t>1927-05-27</t>
        </is>
      </c>
    </row>
    <row r="10040">
      <c r="A10040" s="1" t="n">
        <v>10039</v>
      </c>
      <c r="B10040">
        <f>TEXT(10039, "[$-0E0000]yyyy-mm-dd")</f>
        <v/>
      </c>
      <c r="C10040" t="inlineStr">
        <is>
          <t>1927-05-28</t>
        </is>
      </c>
    </row>
    <row r="10041">
      <c r="A10041" s="1" t="n">
        <v>10040</v>
      </c>
      <c r="B10041">
        <f>TEXT(10040, "[$-0E0000]yyyy-mm-dd")</f>
        <v/>
      </c>
      <c r="C10041" t="inlineStr">
        <is>
          <t>1927-05-29</t>
        </is>
      </c>
    </row>
    <row r="10042">
      <c r="A10042" s="1" t="n">
        <v>10041</v>
      </c>
      <c r="B10042">
        <f>TEXT(10041, "[$-0E0000]yyyy-mm-dd")</f>
        <v/>
      </c>
      <c r="C10042" t="inlineStr">
        <is>
          <t>1927-06-01</t>
        </is>
      </c>
    </row>
    <row r="10043">
      <c r="A10043" s="1" t="n">
        <v>10042</v>
      </c>
      <c r="B10043">
        <f>TEXT(10042, "[$-0E0000]yyyy-mm-dd")</f>
        <v/>
      </c>
      <c r="C10043" t="inlineStr">
        <is>
          <t>1927-06-02</t>
        </is>
      </c>
    </row>
    <row r="10044">
      <c r="A10044" s="1" t="n">
        <v>10043</v>
      </c>
      <c r="B10044">
        <f>TEXT(10043, "[$-0E0000]yyyy-mm-dd")</f>
        <v/>
      </c>
      <c r="C10044" t="inlineStr">
        <is>
          <t>1927-06-03</t>
        </is>
      </c>
    </row>
    <row r="10045">
      <c r="A10045" s="1" t="n">
        <v>10044</v>
      </c>
      <c r="B10045">
        <f>TEXT(10044, "[$-0E0000]yyyy-mm-dd")</f>
        <v/>
      </c>
      <c r="C10045" t="inlineStr">
        <is>
          <t>1927-06-04</t>
        </is>
      </c>
    </row>
    <row r="10046">
      <c r="A10046" s="1" t="n">
        <v>10045</v>
      </c>
      <c r="B10046">
        <f>TEXT(10045, "[$-0E0000]yyyy-mm-dd")</f>
        <v/>
      </c>
      <c r="C10046" t="inlineStr">
        <is>
          <t>1927-06-05</t>
        </is>
      </c>
    </row>
    <row r="10047">
      <c r="A10047" s="1" t="n">
        <v>10046</v>
      </c>
      <c r="B10047">
        <f>TEXT(10046, "[$-0E0000]yyyy-mm-dd")</f>
        <v/>
      </c>
      <c r="C10047" t="inlineStr">
        <is>
          <t>1927-06-06</t>
        </is>
      </c>
    </row>
    <row r="10048">
      <c r="A10048" s="1" t="n">
        <v>10047</v>
      </c>
      <c r="B10048">
        <f>TEXT(10047, "[$-0E0000]yyyy-mm-dd")</f>
        <v/>
      </c>
      <c r="C10048" t="inlineStr">
        <is>
          <t>1927-06-07</t>
        </is>
      </c>
    </row>
    <row r="10049">
      <c r="A10049" s="1" t="n">
        <v>10048</v>
      </c>
      <c r="B10049">
        <f>TEXT(10048, "[$-0E0000]yyyy-mm-dd")</f>
        <v/>
      </c>
      <c r="C10049" t="inlineStr">
        <is>
          <t>1927-06-08</t>
        </is>
      </c>
    </row>
    <row r="10050">
      <c r="A10050" s="1" t="n">
        <v>10049</v>
      </c>
      <c r="B10050">
        <f>TEXT(10049, "[$-0E0000]yyyy-mm-dd")</f>
        <v/>
      </c>
      <c r="C10050" t="inlineStr">
        <is>
          <t>1927-06-09</t>
        </is>
      </c>
    </row>
    <row r="10051">
      <c r="A10051" s="1" t="n">
        <v>10050</v>
      </c>
      <c r="B10051">
        <f>TEXT(10050, "[$-0E0000]yyyy-mm-dd")</f>
        <v/>
      </c>
      <c r="C10051" t="inlineStr">
        <is>
          <t>1927-06-10</t>
        </is>
      </c>
    </row>
    <row r="10052">
      <c r="A10052" s="1" t="n">
        <v>10051</v>
      </c>
      <c r="B10052">
        <f>TEXT(10051, "[$-0E0000]yyyy-mm-dd")</f>
        <v/>
      </c>
      <c r="C10052" t="inlineStr">
        <is>
          <t>1927-06-11</t>
        </is>
      </c>
    </row>
    <row r="10053">
      <c r="A10053" s="1" t="n">
        <v>10052</v>
      </c>
      <c r="B10053">
        <f>TEXT(10052, "[$-0E0000]yyyy-mm-dd")</f>
        <v/>
      </c>
      <c r="C10053" t="inlineStr">
        <is>
          <t>1927-06-12</t>
        </is>
      </c>
    </row>
    <row r="10054">
      <c r="A10054" s="1" t="n">
        <v>10053</v>
      </c>
      <c r="B10054">
        <f>TEXT(10053, "[$-0E0000]yyyy-mm-dd")</f>
        <v/>
      </c>
      <c r="C10054" t="inlineStr">
        <is>
          <t>1927-06-13</t>
        </is>
      </c>
    </row>
    <row r="10055">
      <c r="A10055" s="1" t="n">
        <v>10054</v>
      </c>
      <c r="B10055">
        <f>TEXT(10054, "[$-0E0000]yyyy-mm-dd")</f>
        <v/>
      </c>
      <c r="C10055" t="inlineStr">
        <is>
          <t>1927-06-14</t>
        </is>
      </c>
    </row>
    <row r="10056">
      <c r="A10056" s="1" t="n">
        <v>10055</v>
      </c>
      <c r="B10056">
        <f>TEXT(10055, "[$-0E0000]yyyy-mm-dd")</f>
        <v/>
      </c>
      <c r="C10056" t="inlineStr">
        <is>
          <t>1927-06-15</t>
        </is>
      </c>
    </row>
    <row r="10057">
      <c r="A10057" s="1" t="n">
        <v>10056</v>
      </c>
      <c r="B10057">
        <f>TEXT(10056, "[$-0E0000]yyyy-mm-dd")</f>
        <v/>
      </c>
      <c r="C10057" t="inlineStr">
        <is>
          <t>1927-06-16</t>
        </is>
      </c>
    </row>
    <row r="10058">
      <c r="A10058" s="1" t="n">
        <v>10057</v>
      </c>
      <c r="B10058">
        <f>TEXT(10057, "[$-0E0000]yyyy-mm-dd")</f>
        <v/>
      </c>
      <c r="C10058" t="inlineStr">
        <is>
          <t>1927-06-17</t>
        </is>
      </c>
    </row>
    <row r="10059">
      <c r="A10059" s="1" t="n">
        <v>10058</v>
      </c>
      <c r="B10059">
        <f>TEXT(10058, "[$-0E0000]yyyy-mm-dd")</f>
        <v/>
      </c>
      <c r="C10059" t="inlineStr">
        <is>
          <t>1927-06-18</t>
        </is>
      </c>
    </row>
    <row r="10060">
      <c r="A10060" s="1" t="n">
        <v>10059</v>
      </c>
      <c r="B10060">
        <f>TEXT(10059, "[$-0E0000]yyyy-mm-dd")</f>
        <v/>
      </c>
      <c r="C10060" t="inlineStr">
        <is>
          <t>1927-06-19</t>
        </is>
      </c>
    </row>
    <row r="10061">
      <c r="A10061" s="1" t="n">
        <v>10060</v>
      </c>
      <c r="B10061">
        <f>TEXT(10060, "[$-0E0000]yyyy-mm-dd")</f>
        <v/>
      </c>
      <c r="C10061" t="inlineStr">
        <is>
          <t>1927-06-20</t>
        </is>
      </c>
    </row>
    <row r="10062">
      <c r="A10062" s="1" t="n">
        <v>10061</v>
      </c>
      <c r="B10062">
        <f>TEXT(10061, "[$-0E0000]yyyy-mm-dd")</f>
        <v/>
      </c>
      <c r="C10062" t="inlineStr">
        <is>
          <t>1927-06-21</t>
        </is>
      </c>
    </row>
    <row r="10063">
      <c r="A10063" s="1" t="n">
        <v>10062</v>
      </c>
      <c r="B10063">
        <f>TEXT(10062, "[$-0E0000]yyyy-mm-dd")</f>
        <v/>
      </c>
      <c r="C10063" t="inlineStr">
        <is>
          <t>1927-06-22</t>
        </is>
      </c>
    </row>
    <row r="10064">
      <c r="A10064" s="1" t="n">
        <v>10063</v>
      </c>
      <c r="B10064">
        <f>TEXT(10063, "[$-0E0000]yyyy-mm-dd")</f>
        <v/>
      </c>
      <c r="C10064" t="inlineStr">
        <is>
          <t>1927-06-23</t>
        </is>
      </c>
    </row>
    <row r="10065">
      <c r="A10065" s="1" t="n">
        <v>10064</v>
      </c>
      <c r="B10065">
        <f>TEXT(10064, "[$-0E0000]yyyy-mm-dd")</f>
        <v/>
      </c>
      <c r="C10065" t="inlineStr">
        <is>
          <t>1927-06-24</t>
        </is>
      </c>
    </row>
    <row r="10066">
      <c r="A10066" s="1" t="n">
        <v>10065</v>
      </c>
      <c r="B10066">
        <f>TEXT(10065, "[$-0E0000]yyyy-mm-dd")</f>
        <v/>
      </c>
      <c r="C10066" t="inlineStr">
        <is>
          <t>1927-06-25</t>
        </is>
      </c>
    </row>
    <row r="10067">
      <c r="A10067" s="1" t="n">
        <v>10066</v>
      </c>
      <c r="B10067">
        <f>TEXT(10066, "[$-0E0000]yyyy-mm-dd")</f>
        <v/>
      </c>
      <c r="C10067" t="inlineStr">
        <is>
          <t>1927-06-26</t>
        </is>
      </c>
    </row>
    <row r="10068">
      <c r="A10068" s="1" t="n">
        <v>10067</v>
      </c>
      <c r="B10068">
        <f>TEXT(10067, "[$-0E0000]yyyy-mm-dd")</f>
        <v/>
      </c>
      <c r="C10068" t="inlineStr">
        <is>
          <t>1927-06-27</t>
        </is>
      </c>
    </row>
    <row r="10069">
      <c r="A10069" s="1" t="n">
        <v>10068</v>
      </c>
      <c r="B10069">
        <f>TEXT(10068, "[$-0E0000]yyyy-mm-dd")</f>
        <v/>
      </c>
      <c r="C10069" t="inlineStr">
        <is>
          <t>1927-06-28</t>
        </is>
      </c>
    </row>
    <row r="10070">
      <c r="A10070" s="1" t="n">
        <v>10069</v>
      </c>
      <c r="B10070">
        <f>TEXT(10069, "[$-0E0000]yyyy-mm-dd")</f>
        <v/>
      </c>
      <c r="C10070" t="inlineStr">
        <is>
          <t>1927-06-29</t>
        </is>
      </c>
    </row>
    <row r="10071">
      <c r="A10071" s="1" t="n">
        <v>10070</v>
      </c>
      <c r="B10071">
        <f>TEXT(10070, "[$-0E0000]yyyy-mm-dd")</f>
        <v/>
      </c>
      <c r="C10071" t="inlineStr">
        <is>
          <t>1927-06-30</t>
        </is>
      </c>
    </row>
    <row r="10072">
      <c r="A10072" s="1" t="n">
        <v>10071</v>
      </c>
      <c r="B10072">
        <f>TEXT(10071, "[$-0E0000]yyyy-mm-dd")</f>
        <v/>
      </c>
      <c r="C10072" t="inlineStr">
        <is>
          <t>1927-07-01</t>
        </is>
      </c>
    </row>
    <row r="10073">
      <c r="A10073" s="1" t="n">
        <v>10072</v>
      </c>
      <c r="B10073">
        <f>TEXT(10072, "[$-0E0000]yyyy-mm-dd")</f>
        <v/>
      </c>
      <c r="C10073" t="inlineStr">
        <is>
          <t>1927-07-02</t>
        </is>
      </c>
    </row>
    <row r="10074">
      <c r="A10074" s="1" t="n">
        <v>10073</v>
      </c>
      <c r="B10074">
        <f>TEXT(10073, "[$-0E0000]yyyy-mm-dd")</f>
        <v/>
      </c>
      <c r="C10074" t="inlineStr">
        <is>
          <t>1927-07-03</t>
        </is>
      </c>
    </row>
    <row r="10075">
      <c r="A10075" s="1" t="n">
        <v>10074</v>
      </c>
      <c r="B10075">
        <f>TEXT(10074, "[$-0E0000]yyyy-mm-dd")</f>
        <v/>
      </c>
      <c r="C10075" t="inlineStr">
        <is>
          <t>1927-07-04</t>
        </is>
      </c>
    </row>
    <row r="10076">
      <c r="A10076" s="1" t="n">
        <v>10075</v>
      </c>
      <c r="B10076">
        <f>TEXT(10075, "[$-0E0000]yyyy-mm-dd")</f>
        <v/>
      </c>
      <c r="C10076" t="inlineStr">
        <is>
          <t>1927-07-05</t>
        </is>
      </c>
    </row>
    <row r="10077">
      <c r="A10077" s="1" t="n">
        <v>10076</v>
      </c>
      <c r="B10077">
        <f>TEXT(10076, "[$-0E0000]yyyy-mm-dd")</f>
        <v/>
      </c>
      <c r="C10077" t="inlineStr">
        <is>
          <t>1927-07-06</t>
        </is>
      </c>
    </row>
    <row r="10078">
      <c r="A10078" s="1" t="n">
        <v>10077</v>
      </c>
      <c r="B10078">
        <f>TEXT(10077, "[$-0E0000]yyyy-mm-dd")</f>
        <v/>
      </c>
      <c r="C10078" t="inlineStr">
        <is>
          <t>1927-07-07</t>
        </is>
      </c>
    </row>
    <row r="10079">
      <c r="A10079" s="1" t="n">
        <v>10078</v>
      </c>
      <c r="B10079">
        <f>TEXT(10078, "[$-0E0000]yyyy-mm-dd")</f>
        <v/>
      </c>
      <c r="C10079" t="inlineStr">
        <is>
          <t>1927-07-08</t>
        </is>
      </c>
    </row>
    <row r="10080">
      <c r="A10080" s="1" t="n">
        <v>10079</v>
      </c>
      <c r="B10080">
        <f>TEXT(10079, "[$-0E0000]yyyy-mm-dd")</f>
        <v/>
      </c>
      <c r="C10080" t="inlineStr">
        <is>
          <t>1927-07-09</t>
        </is>
      </c>
    </row>
    <row r="10081">
      <c r="A10081" s="1" t="n">
        <v>10080</v>
      </c>
      <c r="B10081">
        <f>TEXT(10080, "[$-0E0000]yyyy-mm-dd")</f>
        <v/>
      </c>
      <c r="C10081" t="inlineStr">
        <is>
          <t>1927-07-10</t>
        </is>
      </c>
    </row>
    <row r="10082">
      <c r="A10082" s="1" t="n">
        <v>10081</v>
      </c>
      <c r="B10082">
        <f>TEXT(10081, "[$-0E0000]yyyy-mm-dd")</f>
        <v/>
      </c>
      <c r="C10082" t="inlineStr">
        <is>
          <t>1927-07-11</t>
        </is>
      </c>
    </row>
    <row r="10083">
      <c r="A10083" s="1" t="n">
        <v>10082</v>
      </c>
      <c r="B10083">
        <f>TEXT(10082, "[$-0E0000]yyyy-mm-dd")</f>
        <v/>
      </c>
      <c r="C10083" t="inlineStr">
        <is>
          <t>1927-07-12</t>
        </is>
      </c>
    </row>
    <row r="10084">
      <c r="A10084" s="1" t="n">
        <v>10083</v>
      </c>
      <c r="B10084">
        <f>TEXT(10083, "[$-0E0000]yyyy-mm-dd")</f>
        <v/>
      </c>
      <c r="C10084" t="inlineStr">
        <is>
          <t>1927-07-13</t>
        </is>
      </c>
    </row>
    <row r="10085">
      <c r="A10085" s="1" t="n">
        <v>10084</v>
      </c>
      <c r="B10085">
        <f>TEXT(10084, "[$-0E0000]yyyy-mm-dd")</f>
        <v/>
      </c>
      <c r="C10085" t="inlineStr">
        <is>
          <t>1927-07-14</t>
        </is>
      </c>
    </row>
    <row r="10086">
      <c r="A10086" s="1" t="n">
        <v>10085</v>
      </c>
      <c r="B10086">
        <f>TEXT(10085, "[$-0E0000]yyyy-mm-dd")</f>
        <v/>
      </c>
      <c r="C10086" t="inlineStr">
        <is>
          <t>1927-07-15</t>
        </is>
      </c>
    </row>
    <row r="10087">
      <c r="A10087" s="1" t="n">
        <v>10086</v>
      </c>
      <c r="B10087">
        <f>TEXT(10086, "[$-0E0000]yyyy-mm-dd")</f>
        <v/>
      </c>
      <c r="C10087" t="inlineStr">
        <is>
          <t>1927-07-16</t>
        </is>
      </c>
    </row>
    <row r="10088">
      <c r="A10088" s="1" t="n">
        <v>10087</v>
      </c>
      <c r="B10088">
        <f>TEXT(10087, "[$-0E0000]yyyy-mm-dd")</f>
        <v/>
      </c>
      <c r="C10088" t="inlineStr">
        <is>
          <t>1927-07-17</t>
        </is>
      </c>
    </row>
    <row r="10089">
      <c r="A10089" s="1" t="n">
        <v>10088</v>
      </c>
      <c r="B10089">
        <f>TEXT(10088, "[$-0E0000]yyyy-mm-dd")</f>
        <v/>
      </c>
      <c r="C10089" t="inlineStr">
        <is>
          <t>1927-07-18</t>
        </is>
      </c>
    </row>
    <row r="10090">
      <c r="A10090" s="1" t="n">
        <v>10089</v>
      </c>
      <c r="B10090">
        <f>TEXT(10089, "[$-0E0000]yyyy-mm-dd")</f>
        <v/>
      </c>
      <c r="C10090" t="inlineStr">
        <is>
          <t>1927-07-19</t>
        </is>
      </c>
    </row>
    <row r="10091">
      <c r="A10091" s="1" t="n">
        <v>10090</v>
      </c>
      <c r="B10091">
        <f>TEXT(10090, "[$-0E0000]yyyy-mm-dd")</f>
        <v/>
      </c>
      <c r="C10091" t="inlineStr">
        <is>
          <t>1927-07-20</t>
        </is>
      </c>
    </row>
    <row r="10092">
      <c r="A10092" s="1" t="n">
        <v>10091</v>
      </c>
      <c r="B10092">
        <f>TEXT(10091, "[$-0E0000]yyyy-mm-dd")</f>
        <v/>
      </c>
      <c r="C10092" t="inlineStr">
        <is>
          <t>1927-07-21</t>
        </is>
      </c>
    </row>
    <row r="10093">
      <c r="A10093" s="1" t="n">
        <v>10092</v>
      </c>
      <c r="B10093">
        <f>TEXT(10092, "[$-0E0000]yyyy-mm-dd")</f>
        <v/>
      </c>
      <c r="C10093" t="inlineStr">
        <is>
          <t>1927-07-22</t>
        </is>
      </c>
    </row>
    <row r="10094">
      <c r="A10094" s="1" t="n">
        <v>10093</v>
      </c>
      <c r="B10094">
        <f>TEXT(10093, "[$-0E0000]yyyy-mm-dd")</f>
        <v/>
      </c>
      <c r="C10094" t="inlineStr">
        <is>
          <t>1927-07-23</t>
        </is>
      </c>
    </row>
    <row r="10095">
      <c r="A10095" s="1" t="n">
        <v>10094</v>
      </c>
      <c r="B10095">
        <f>TEXT(10094, "[$-0E0000]yyyy-mm-dd")</f>
        <v/>
      </c>
      <c r="C10095" t="inlineStr">
        <is>
          <t>1927-07-24</t>
        </is>
      </c>
    </row>
    <row r="10096">
      <c r="A10096" s="1" t="n">
        <v>10095</v>
      </c>
      <c r="B10096">
        <f>TEXT(10095, "[$-0E0000]yyyy-mm-dd")</f>
        <v/>
      </c>
      <c r="C10096" t="inlineStr">
        <is>
          <t>1927-07-25</t>
        </is>
      </c>
    </row>
    <row r="10097">
      <c r="A10097" s="1" t="n">
        <v>10096</v>
      </c>
      <c r="B10097">
        <f>TEXT(10096, "[$-0E0000]yyyy-mm-dd")</f>
        <v/>
      </c>
      <c r="C10097" t="inlineStr">
        <is>
          <t>1927-07-26</t>
        </is>
      </c>
    </row>
    <row r="10098">
      <c r="A10098" s="1" t="n">
        <v>10097</v>
      </c>
      <c r="B10098">
        <f>TEXT(10097, "[$-0E0000]yyyy-mm-dd")</f>
        <v/>
      </c>
      <c r="C10098" t="inlineStr">
        <is>
          <t>1927-07-27</t>
        </is>
      </c>
    </row>
    <row r="10099">
      <c r="A10099" s="1" t="n">
        <v>10098</v>
      </c>
      <c r="B10099">
        <f>TEXT(10098, "[$-0E0000]yyyy-mm-dd")</f>
        <v/>
      </c>
      <c r="C10099" t="inlineStr">
        <is>
          <t>1927-07-28</t>
        </is>
      </c>
    </row>
    <row r="10100">
      <c r="A10100" s="1" t="n">
        <v>10099</v>
      </c>
      <c r="B10100">
        <f>TEXT(10099, "[$-0E0000]yyyy-mm-dd")</f>
        <v/>
      </c>
      <c r="C10100" t="inlineStr">
        <is>
          <t>1927-07-29</t>
        </is>
      </c>
    </row>
    <row r="10101">
      <c r="A10101" s="1" t="n">
        <v>10100</v>
      </c>
      <c r="B10101">
        <f>TEXT(10100, "[$-0E0000]yyyy-mm-dd")</f>
        <v/>
      </c>
      <c r="C10101" t="inlineStr">
        <is>
          <t>1927-08-01</t>
        </is>
      </c>
    </row>
    <row r="10102">
      <c r="A10102" s="1" t="n">
        <v>10101</v>
      </c>
      <c r="B10102">
        <f>TEXT(10101, "[$-0E0000]yyyy-mm-dd")</f>
        <v/>
      </c>
      <c r="C10102" t="inlineStr">
        <is>
          <t>1927-08-02</t>
        </is>
      </c>
    </row>
    <row r="10103">
      <c r="A10103" s="1" t="n">
        <v>10102</v>
      </c>
      <c r="B10103">
        <f>TEXT(10102, "[$-0E0000]yyyy-mm-dd")</f>
        <v/>
      </c>
      <c r="C10103" t="inlineStr">
        <is>
          <t>1927-08-03</t>
        </is>
      </c>
    </row>
    <row r="10104">
      <c r="A10104" s="1" t="n">
        <v>10103</v>
      </c>
      <c r="B10104">
        <f>TEXT(10103, "[$-0E0000]yyyy-mm-dd")</f>
        <v/>
      </c>
      <c r="C10104" t="inlineStr">
        <is>
          <t>1927-08-04</t>
        </is>
      </c>
    </row>
    <row r="10105">
      <c r="A10105" s="1" t="n">
        <v>10104</v>
      </c>
      <c r="B10105">
        <f>TEXT(10104, "[$-0E0000]yyyy-mm-dd")</f>
        <v/>
      </c>
      <c r="C10105" t="inlineStr">
        <is>
          <t>1927-08-05</t>
        </is>
      </c>
    </row>
    <row r="10106">
      <c r="A10106" s="1" t="n">
        <v>10105</v>
      </c>
      <c r="B10106">
        <f>TEXT(10105, "[$-0E0000]yyyy-mm-dd")</f>
        <v/>
      </c>
      <c r="C10106" t="inlineStr">
        <is>
          <t>1927-08-06</t>
        </is>
      </c>
    </row>
    <row r="10107">
      <c r="A10107" s="1" t="n">
        <v>10106</v>
      </c>
      <c r="B10107">
        <f>TEXT(10106, "[$-0E0000]yyyy-mm-dd")</f>
        <v/>
      </c>
      <c r="C10107" t="inlineStr">
        <is>
          <t>1927-08-07</t>
        </is>
      </c>
    </row>
    <row r="10108">
      <c r="A10108" s="1" t="n">
        <v>10107</v>
      </c>
      <c r="B10108">
        <f>TEXT(10107, "[$-0E0000]yyyy-mm-dd")</f>
        <v/>
      </c>
      <c r="C10108" t="inlineStr">
        <is>
          <t>1927-08-08</t>
        </is>
      </c>
    </row>
    <row r="10109">
      <c r="A10109" s="1" t="n">
        <v>10108</v>
      </c>
      <c r="B10109">
        <f>TEXT(10108, "[$-0E0000]yyyy-mm-dd")</f>
        <v/>
      </c>
      <c r="C10109" t="inlineStr">
        <is>
          <t>1927-08-09</t>
        </is>
      </c>
    </row>
    <row r="10110">
      <c r="A10110" s="1" t="n">
        <v>10109</v>
      </c>
      <c r="B10110">
        <f>TEXT(10109, "[$-0E0000]yyyy-mm-dd")</f>
        <v/>
      </c>
      <c r="C10110" t="inlineStr">
        <is>
          <t>1927-08-10</t>
        </is>
      </c>
    </row>
    <row r="10111">
      <c r="A10111" s="1" t="n">
        <v>10110</v>
      </c>
      <c r="B10111">
        <f>TEXT(10110, "[$-0E0000]yyyy-mm-dd")</f>
        <v/>
      </c>
      <c r="C10111" t="inlineStr">
        <is>
          <t>1927-08-11</t>
        </is>
      </c>
    </row>
    <row r="10112">
      <c r="A10112" s="1" t="n">
        <v>10111</v>
      </c>
      <c r="B10112">
        <f>TEXT(10111, "[$-0E0000]yyyy-mm-dd")</f>
        <v/>
      </c>
      <c r="C10112" t="inlineStr">
        <is>
          <t>1927-08-12</t>
        </is>
      </c>
    </row>
    <row r="10113">
      <c r="A10113" s="1" t="n">
        <v>10112</v>
      </c>
      <c r="B10113">
        <f>TEXT(10112, "[$-0E0000]yyyy-mm-dd")</f>
        <v/>
      </c>
      <c r="C10113" t="inlineStr">
        <is>
          <t>1927-08-13</t>
        </is>
      </c>
    </row>
    <row r="10114">
      <c r="A10114" s="1" t="n">
        <v>10113</v>
      </c>
      <c r="B10114">
        <f>TEXT(10113, "[$-0E0000]yyyy-mm-dd")</f>
        <v/>
      </c>
      <c r="C10114" t="inlineStr">
        <is>
          <t>1927-08-14</t>
        </is>
      </c>
    </row>
    <row r="10115">
      <c r="A10115" s="1" t="n">
        <v>10114</v>
      </c>
      <c r="B10115">
        <f>TEXT(10114, "[$-0E0000]yyyy-mm-dd")</f>
        <v/>
      </c>
      <c r="C10115" t="inlineStr">
        <is>
          <t>1927-08-15</t>
        </is>
      </c>
    </row>
    <row r="10116">
      <c r="A10116" s="1" t="n">
        <v>10115</v>
      </c>
      <c r="B10116">
        <f>TEXT(10115, "[$-0E0000]yyyy-mm-dd")</f>
        <v/>
      </c>
      <c r="C10116" t="inlineStr">
        <is>
          <t>1927-08-16</t>
        </is>
      </c>
    </row>
    <row r="10117">
      <c r="A10117" s="1" t="n">
        <v>10116</v>
      </c>
      <c r="B10117">
        <f>TEXT(10116, "[$-0E0000]yyyy-mm-dd")</f>
        <v/>
      </c>
      <c r="C10117" t="inlineStr">
        <is>
          <t>1927-08-17</t>
        </is>
      </c>
    </row>
    <row r="10118">
      <c r="A10118" s="1" t="n">
        <v>10117</v>
      </c>
      <c r="B10118">
        <f>TEXT(10117, "[$-0E0000]yyyy-mm-dd")</f>
        <v/>
      </c>
      <c r="C10118" t="inlineStr">
        <is>
          <t>1927-08-18</t>
        </is>
      </c>
    </row>
    <row r="10119">
      <c r="A10119" s="1" t="n">
        <v>10118</v>
      </c>
      <c r="B10119">
        <f>TEXT(10118, "[$-0E0000]yyyy-mm-dd")</f>
        <v/>
      </c>
      <c r="C10119" t="inlineStr">
        <is>
          <t>1927-08-19</t>
        </is>
      </c>
    </row>
    <row r="10120">
      <c r="A10120" s="1" t="n">
        <v>10119</v>
      </c>
      <c r="B10120">
        <f>TEXT(10119, "[$-0E0000]yyyy-mm-dd")</f>
        <v/>
      </c>
      <c r="C10120" t="inlineStr">
        <is>
          <t>1927-08-20</t>
        </is>
      </c>
    </row>
    <row r="10121">
      <c r="A10121" s="1" t="n">
        <v>10120</v>
      </c>
      <c r="B10121">
        <f>TEXT(10120, "[$-0E0000]yyyy-mm-dd")</f>
        <v/>
      </c>
      <c r="C10121" t="inlineStr">
        <is>
          <t>1927-08-21</t>
        </is>
      </c>
    </row>
    <row r="10122">
      <c r="A10122" s="1" t="n">
        <v>10121</v>
      </c>
      <c r="B10122">
        <f>TEXT(10121, "[$-0E0000]yyyy-mm-dd")</f>
        <v/>
      </c>
      <c r="C10122" t="inlineStr">
        <is>
          <t>1927-08-22</t>
        </is>
      </c>
    </row>
    <row r="10123">
      <c r="A10123" s="1" t="n">
        <v>10122</v>
      </c>
      <c r="B10123">
        <f>TEXT(10122, "[$-0E0000]yyyy-mm-dd")</f>
        <v/>
      </c>
      <c r="C10123" t="inlineStr">
        <is>
          <t>1927-08-23</t>
        </is>
      </c>
    </row>
    <row r="10124">
      <c r="A10124" s="1" t="n">
        <v>10123</v>
      </c>
      <c r="B10124">
        <f>TEXT(10123, "[$-0E0000]yyyy-mm-dd")</f>
        <v/>
      </c>
      <c r="C10124" t="inlineStr">
        <is>
          <t>1927-08-24</t>
        </is>
      </c>
    </row>
    <row r="10125">
      <c r="A10125" s="1" t="n">
        <v>10124</v>
      </c>
      <c r="B10125">
        <f>TEXT(10124, "[$-0E0000]yyyy-mm-dd")</f>
        <v/>
      </c>
      <c r="C10125" t="inlineStr">
        <is>
          <t>1927-08-25</t>
        </is>
      </c>
    </row>
    <row r="10126">
      <c r="A10126" s="1" t="n">
        <v>10125</v>
      </c>
      <c r="B10126">
        <f>TEXT(10125, "[$-0E0000]yyyy-mm-dd")</f>
        <v/>
      </c>
      <c r="C10126" t="inlineStr">
        <is>
          <t>1927-08-26</t>
        </is>
      </c>
    </row>
    <row r="10127">
      <c r="A10127" s="1" t="n">
        <v>10126</v>
      </c>
      <c r="B10127">
        <f>TEXT(10126, "[$-0E0000]yyyy-mm-dd")</f>
        <v/>
      </c>
      <c r="C10127" t="inlineStr">
        <is>
          <t>1927-08-27</t>
        </is>
      </c>
    </row>
    <row r="10128">
      <c r="A10128" s="1" t="n">
        <v>10127</v>
      </c>
      <c r="B10128">
        <f>TEXT(10127, "[$-0E0000]yyyy-mm-dd")</f>
        <v/>
      </c>
      <c r="C10128" t="inlineStr">
        <is>
          <t>1927-08-28</t>
        </is>
      </c>
    </row>
    <row r="10129">
      <c r="A10129" s="1" t="n">
        <v>10128</v>
      </c>
      <c r="B10129">
        <f>TEXT(10128, "[$-0E0000]yyyy-mm-dd")</f>
        <v/>
      </c>
      <c r="C10129" t="inlineStr">
        <is>
          <t>1927-08-29</t>
        </is>
      </c>
    </row>
    <row r="10130">
      <c r="A10130" s="1" t="n">
        <v>10129</v>
      </c>
      <c r="B10130">
        <f>TEXT(10129, "[$-0E0000]yyyy-mm-dd")</f>
        <v/>
      </c>
      <c r="C10130" t="inlineStr">
        <is>
          <t>1927-08-30</t>
        </is>
      </c>
    </row>
    <row r="10131">
      <c r="A10131" s="1" t="n">
        <v>10130</v>
      </c>
      <c r="B10131">
        <f>TEXT(10130, "[$-0E0000]yyyy-mm-dd")</f>
        <v/>
      </c>
      <c r="C10131" t="inlineStr">
        <is>
          <t>1927-09-01</t>
        </is>
      </c>
    </row>
    <row r="10132">
      <c r="A10132" s="1" t="n">
        <v>10131</v>
      </c>
      <c r="B10132">
        <f>TEXT(10131, "[$-0E0000]yyyy-mm-dd")</f>
        <v/>
      </c>
      <c r="C10132" t="inlineStr">
        <is>
          <t>1927-09-02</t>
        </is>
      </c>
    </row>
    <row r="10133">
      <c r="A10133" s="1" t="n">
        <v>10132</v>
      </c>
      <c r="B10133">
        <f>TEXT(10132, "[$-0E0000]yyyy-mm-dd")</f>
        <v/>
      </c>
      <c r="C10133" t="inlineStr">
        <is>
          <t>1927-09-03</t>
        </is>
      </c>
    </row>
    <row r="10134">
      <c r="A10134" s="1" t="n">
        <v>10133</v>
      </c>
      <c r="B10134">
        <f>TEXT(10133, "[$-0E0000]yyyy-mm-dd")</f>
        <v/>
      </c>
      <c r="C10134" t="inlineStr">
        <is>
          <t>1927-09-04</t>
        </is>
      </c>
    </row>
    <row r="10135">
      <c r="A10135" s="1" t="n">
        <v>10134</v>
      </c>
      <c r="B10135">
        <f>TEXT(10134, "[$-0E0000]yyyy-mm-dd")</f>
        <v/>
      </c>
      <c r="C10135" t="inlineStr">
        <is>
          <t>1927-09-05</t>
        </is>
      </c>
    </row>
    <row r="10136">
      <c r="A10136" s="1" t="n">
        <v>10135</v>
      </c>
      <c r="B10136">
        <f>TEXT(10135, "[$-0E0000]yyyy-mm-dd")</f>
        <v/>
      </c>
      <c r="C10136" t="inlineStr">
        <is>
          <t>1927-09-06</t>
        </is>
      </c>
    </row>
    <row r="10137">
      <c r="A10137" s="1" t="n">
        <v>10136</v>
      </c>
      <c r="B10137">
        <f>TEXT(10136, "[$-0E0000]yyyy-mm-dd")</f>
        <v/>
      </c>
      <c r="C10137" t="inlineStr">
        <is>
          <t>1927-09-07</t>
        </is>
      </c>
    </row>
    <row r="10138">
      <c r="A10138" s="1" t="n">
        <v>10137</v>
      </c>
      <c r="B10138">
        <f>TEXT(10137, "[$-0E0000]yyyy-mm-dd")</f>
        <v/>
      </c>
      <c r="C10138" t="inlineStr">
        <is>
          <t>1927-09-08</t>
        </is>
      </c>
    </row>
    <row r="10139">
      <c r="A10139" s="1" t="n">
        <v>10138</v>
      </c>
      <c r="B10139">
        <f>TEXT(10138, "[$-0E0000]yyyy-mm-dd")</f>
        <v/>
      </c>
      <c r="C10139" t="inlineStr">
        <is>
          <t>1927-09-09</t>
        </is>
      </c>
    </row>
    <row r="10140">
      <c r="A10140" s="1" t="n">
        <v>10139</v>
      </c>
      <c r="B10140">
        <f>TEXT(10139, "[$-0E0000]yyyy-mm-dd")</f>
        <v/>
      </c>
      <c r="C10140" t="inlineStr">
        <is>
          <t>1927-09-10</t>
        </is>
      </c>
    </row>
    <row r="10141">
      <c r="A10141" s="1" t="n">
        <v>10140</v>
      </c>
      <c r="B10141">
        <f>TEXT(10140, "[$-0E0000]yyyy-mm-dd")</f>
        <v/>
      </c>
      <c r="C10141" t="inlineStr">
        <is>
          <t>1927-09-11</t>
        </is>
      </c>
    </row>
    <row r="10142">
      <c r="A10142" s="1" t="n">
        <v>10141</v>
      </c>
      <c r="B10142">
        <f>TEXT(10141, "[$-0E0000]yyyy-mm-dd")</f>
        <v/>
      </c>
      <c r="C10142" t="inlineStr">
        <is>
          <t>1927-09-12</t>
        </is>
      </c>
    </row>
    <row r="10143">
      <c r="A10143" s="1" t="n">
        <v>10142</v>
      </c>
      <c r="B10143">
        <f>TEXT(10142, "[$-0E0000]yyyy-mm-dd")</f>
        <v/>
      </c>
      <c r="C10143" t="inlineStr">
        <is>
          <t>1927-09-13</t>
        </is>
      </c>
    </row>
    <row r="10144">
      <c r="A10144" s="1" t="n">
        <v>10143</v>
      </c>
      <c r="B10144">
        <f>TEXT(10143, "[$-0E0000]yyyy-mm-dd")</f>
        <v/>
      </c>
      <c r="C10144" t="inlineStr">
        <is>
          <t>1927-09-14</t>
        </is>
      </c>
    </row>
    <row r="10145">
      <c r="A10145" s="1" t="n">
        <v>10144</v>
      </c>
      <c r="B10145">
        <f>TEXT(10144, "[$-0E0000]yyyy-mm-dd")</f>
        <v/>
      </c>
      <c r="C10145" t="inlineStr">
        <is>
          <t>1927-09-15</t>
        </is>
      </c>
    </row>
    <row r="10146">
      <c r="A10146" s="1" t="n">
        <v>10145</v>
      </c>
      <c r="B10146">
        <f>TEXT(10145, "[$-0E0000]yyyy-mm-dd")</f>
        <v/>
      </c>
      <c r="C10146" t="inlineStr">
        <is>
          <t>1927-09-16</t>
        </is>
      </c>
    </row>
    <row r="10147">
      <c r="A10147" s="1" t="n">
        <v>10146</v>
      </c>
      <c r="B10147">
        <f>TEXT(10146, "[$-0E0000]yyyy-mm-dd")</f>
        <v/>
      </c>
      <c r="C10147" t="inlineStr">
        <is>
          <t>1927-09-17</t>
        </is>
      </c>
    </row>
    <row r="10148">
      <c r="A10148" s="1" t="n">
        <v>10147</v>
      </c>
      <c r="B10148">
        <f>TEXT(10147, "[$-0E0000]yyyy-mm-dd")</f>
        <v/>
      </c>
      <c r="C10148" t="inlineStr">
        <is>
          <t>1927-09-18</t>
        </is>
      </c>
    </row>
    <row r="10149">
      <c r="A10149" s="1" t="n">
        <v>10148</v>
      </c>
      <c r="B10149">
        <f>TEXT(10148, "[$-0E0000]yyyy-mm-dd")</f>
        <v/>
      </c>
      <c r="C10149" t="inlineStr">
        <is>
          <t>1927-09-19</t>
        </is>
      </c>
    </row>
    <row r="10150">
      <c r="A10150" s="1" t="n">
        <v>10149</v>
      </c>
      <c r="B10150">
        <f>TEXT(10149, "[$-0E0000]yyyy-mm-dd")</f>
        <v/>
      </c>
      <c r="C10150" t="inlineStr">
        <is>
          <t>1927-09-20</t>
        </is>
      </c>
    </row>
    <row r="10151">
      <c r="A10151" s="1" t="n">
        <v>10150</v>
      </c>
      <c r="B10151">
        <f>TEXT(10150, "[$-0E0000]yyyy-mm-dd")</f>
        <v/>
      </c>
      <c r="C10151" t="inlineStr">
        <is>
          <t>1927-09-21</t>
        </is>
      </c>
    </row>
    <row r="10152">
      <c r="A10152" s="1" t="n">
        <v>10151</v>
      </c>
      <c r="B10152">
        <f>TEXT(10151, "[$-0E0000]yyyy-mm-dd")</f>
        <v/>
      </c>
      <c r="C10152" t="inlineStr">
        <is>
          <t>1927-09-22</t>
        </is>
      </c>
    </row>
    <row r="10153">
      <c r="A10153" s="1" t="n">
        <v>10152</v>
      </c>
      <c r="B10153">
        <f>TEXT(10152, "[$-0E0000]yyyy-mm-dd")</f>
        <v/>
      </c>
      <c r="C10153" t="inlineStr">
        <is>
          <t>1927-09-23</t>
        </is>
      </c>
    </row>
    <row r="10154">
      <c r="A10154" s="1" t="n">
        <v>10153</v>
      </c>
      <c r="B10154">
        <f>TEXT(10153, "[$-0E0000]yyyy-mm-dd")</f>
        <v/>
      </c>
      <c r="C10154" t="inlineStr">
        <is>
          <t>1927-09-24</t>
        </is>
      </c>
    </row>
    <row r="10155">
      <c r="A10155" s="1" t="n">
        <v>10154</v>
      </c>
      <c r="B10155">
        <f>TEXT(10154, "[$-0E0000]yyyy-mm-dd")</f>
        <v/>
      </c>
      <c r="C10155" t="inlineStr">
        <is>
          <t>1927-09-25</t>
        </is>
      </c>
    </row>
    <row r="10156">
      <c r="A10156" s="1" t="n">
        <v>10155</v>
      </c>
      <c r="B10156">
        <f>TEXT(10155, "[$-0E0000]yyyy-mm-dd")</f>
        <v/>
      </c>
      <c r="C10156" t="inlineStr">
        <is>
          <t>1927-09-26</t>
        </is>
      </c>
    </row>
    <row r="10157">
      <c r="A10157" s="1" t="n">
        <v>10156</v>
      </c>
      <c r="B10157">
        <f>TEXT(10156, "[$-0E0000]yyyy-mm-dd")</f>
        <v/>
      </c>
      <c r="C10157" t="inlineStr">
        <is>
          <t>1927-09-27</t>
        </is>
      </c>
    </row>
    <row r="10158">
      <c r="A10158" s="1" t="n">
        <v>10157</v>
      </c>
      <c r="B10158">
        <f>TEXT(10157, "[$-0E0000]yyyy-mm-dd")</f>
        <v/>
      </c>
      <c r="C10158" t="inlineStr">
        <is>
          <t>1927-09-28</t>
        </is>
      </c>
    </row>
    <row r="10159">
      <c r="A10159" s="1" t="n">
        <v>10158</v>
      </c>
      <c r="B10159">
        <f>TEXT(10158, "[$-0E0000]yyyy-mm-dd")</f>
        <v/>
      </c>
      <c r="C10159" t="inlineStr">
        <is>
          <t>1927-09-29</t>
        </is>
      </c>
    </row>
    <row r="10160">
      <c r="A10160" s="1" t="n">
        <v>10159</v>
      </c>
      <c r="B10160">
        <f>TEXT(10159, "[$-0E0000]yyyy-mm-dd")</f>
        <v/>
      </c>
      <c r="C10160" t="inlineStr">
        <is>
          <t>1927-10-01</t>
        </is>
      </c>
    </row>
    <row r="10161">
      <c r="A10161" s="1" t="n">
        <v>10160</v>
      </c>
      <c r="B10161">
        <f>TEXT(10160, "[$-0E0000]yyyy-mm-dd")</f>
        <v/>
      </c>
      <c r="C10161" t="inlineStr">
        <is>
          <t>1927-10-02</t>
        </is>
      </c>
    </row>
    <row r="10162">
      <c r="A10162" s="1" t="n">
        <v>10161</v>
      </c>
      <c r="B10162">
        <f>TEXT(10161, "[$-0E0000]yyyy-mm-dd")</f>
        <v/>
      </c>
      <c r="C10162" t="inlineStr">
        <is>
          <t>1927-10-03</t>
        </is>
      </c>
    </row>
    <row r="10163">
      <c r="A10163" s="1" t="n">
        <v>10162</v>
      </c>
      <c r="B10163">
        <f>TEXT(10162, "[$-0E0000]yyyy-mm-dd")</f>
        <v/>
      </c>
      <c r="C10163" t="inlineStr">
        <is>
          <t>1927-10-04</t>
        </is>
      </c>
    </row>
    <row r="10164">
      <c r="A10164" s="1" t="n">
        <v>10163</v>
      </c>
      <c r="B10164">
        <f>TEXT(10163, "[$-0E0000]yyyy-mm-dd")</f>
        <v/>
      </c>
      <c r="C10164" t="inlineStr">
        <is>
          <t>1927-10-05</t>
        </is>
      </c>
    </row>
    <row r="10165">
      <c r="A10165" s="1" t="n">
        <v>10164</v>
      </c>
      <c r="B10165">
        <f>TEXT(10164, "[$-0E0000]yyyy-mm-dd")</f>
        <v/>
      </c>
      <c r="C10165" t="inlineStr">
        <is>
          <t>1927-10-06</t>
        </is>
      </c>
    </row>
    <row r="10166">
      <c r="A10166" s="1" t="n">
        <v>10165</v>
      </c>
      <c r="B10166">
        <f>TEXT(10165, "[$-0E0000]yyyy-mm-dd")</f>
        <v/>
      </c>
      <c r="C10166" t="inlineStr">
        <is>
          <t>1927-10-07</t>
        </is>
      </c>
    </row>
    <row r="10167">
      <c r="A10167" s="1" t="n">
        <v>10166</v>
      </c>
      <c r="B10167">
        <f>TEXT(10166, "[$-0E0000]yyyy-mm-dd")</f>
        <v/>
      </c>
      <c r="C10167" t="inlineStr">
        <is>
          <t>1927-10-08</t>
        </is>
      </c>
    </row>
    <row r="10168">
      <c r="A10168" s="1" t="n">
        <v>10167</v>
      </c>
      <c r="B10168">
        <f>TEXT(10167, "[$-0E0000]yyyy-mm-dd")</f>
        <v/>
      </c>
      <c r="C10168" t="inlineStr">
        <is>
          <t>1927-10-09</t>
        </is>
      </c>
    </row>
    <row r="10169">
      <c r="A10169" s="1" t="n">
        <v>10168</v>
      </c>
      <c r="B10169">
        <f>TEXT(10168, "[$-0E0000]yyyy-mm-dd")</f>
        <v/>
      </c>
      <c r="C10169" t="inlineStr">
        <is>
          <t>1927-10-10</t>
        </is>
      </c>
    </row>
    <row r="10170">
      <c r="A10170" s="1" t="n">
        <v>10169</v>
      </c>
      <c r="B10170">
        <f>TEXT(10169, "[$-0E0000]yyyy-mm-dd")</f>
        <v/>
      </c>
      <c r="C10170" t="inlineStr">
        <is>
          <t>1927-10-11</t>
        </is>
      </c>
    </row>
    <row r="10171">
      <c r="A10171" s="1" t="n">
        <v>10170</v>
      </c>
      <c r="B10171">
        <f>TEXT(10170, "[$-0E0000]yyyy-mm-dd")</f>
        <v/>
      </c>
      <c r="C10171" t="inlineStr">
        <is>
          <t>1927-10-12</t>
        </is>
      </c>
    </row>
    <row r="10172">
      <c r="A10172" s="1" t="n">
        <v>10171</v>
      </c>
      <c r="B10172">
        <f>TEXT(10171, "[$-0E0000]yyyy-mm-dd")</f>
        <v/>
      </c>
      <c r="C10172" t="inlineStr">
        <is>
          <t>1927-10-13</t>
        </is>
      </c>
    </row>
    <row r="10173">
      <c r="A10173" s="1" t="n">
        <v>10172</v>
      </c>
      <c r="B10173">
        <f>TEXT(10172, "[$-0E0000]yyyy-mm-dd")</f>
        <v/>
      </c>
      <c r="C10173" t="inlineStr">
        <is>
          <t>1927-10-14</t>
        </is>
      </c>
    </row>
    <row r="10174">
      <c r="A10174" s="1" t="n">
        <v>10173</v>
      </c>
      <c r="B10174">
        <f>TEXT(10173, "[$-0E0000]yyyy-mm-dd")</f>
        <v/>
      </c>
      <c r="C10174" t="inlineStr">
        <is>
          <t>1927-10-15</t>
        </is>
      </c>
    </row>
    <row r="10175">
      <c r="A10175" s="1" t="n">
        <v>10174</v>
      </c>
      <c r="B10175">
        <f>TEXT(10174, "[$-0E0000]yyyy-mm-dd")</f>
        <v/>
      </c>
      <c r="C10175" t="inlineStr">
        <is>
          <t>1927-10-16</t>
        </is>
      </c>
    </row>
    <row r="10176">
      <c r="A10176" s="1" t="n">
        <v>10175</v>
      </c>
      <c r="B10176">
        <f>TEXT(10175, "[$-0E0000]yyyy-mm-dd")</f>
        <v/>
      </c>
      <c r="C10176" t="inlineStr">
        <is>
          <t>1927-10-17</t>
        </is>
      </c>
    </row>
    <row r="10177">
      <c r="A10177" s="1" t="n">
        <v>10176</v>
      </c>
      <c r="B10177">
        <f>TEXT(10176, "[$-0E0000]yyyy-mm-dd")</f>
        <v/>
      </c>
      <c r="C10177" t="inlineStr">
        <is>
          <t>1927-10-18</t>
        </is>
      </c>
    </row>
    <row r="10178">
      <c r="A10178" s="1" t="n">
        <v>10177</v>
      </c>
      <c r="B10178">
        <f>TEXT(10177, "[$-0E0000]yyyy-mm-dd")</f>
        <v/>
      </c>
      <c r="C10178" t="inlineStr">
        <is>
          <t>1927-10-19</t>
        </is>
      </c>
    </row>
    <row r="10179">
      <c r="A10179" s="1" t="n">
        <v>10178</v>
      </c>
      <c r="B10179">
        <f>TEXT(10178, "[$-0E0000]yyyy-mm-dd")</f>
        <v/>
      </c>
      <c r="C10179" t="inlineStr">
        <is>
          <t>1927-10-20</t>
        </is>
      </c>
    </row>
    <row r="10180">
      <c r="A10180" s="1" t="n">
        <v>10179</v>
      </c>
      <c r="B10180">
        <f>TEXT(10179, "[$-0E0000]yyyy-mm-dd")</f>
        <v/>
      </c>
      <c r="C10180" t="inlineStr">
        <is>
          <t>1927-10-21</t>
        </is>
      </c>
    </row>
    <row r="10181">
      <c r="A10181" s="1" t="n">
        <v>10180</v>
      </c>
      <c r="B10181">
        <f>TEXT(10180, "[$-0E0000]yyyy-mm-dd")</f>
        <v/>
      </c>
      <c r="C10181" t="inlineStr">
        <is>
          <t>1927-10-22</t>
        </is>
      </c>
    </row>
    <row r="10182">
      <c r="A10182" s="1" t="n">
        <v>10181</v>
      </c>
      <c r="B10182">
        <f>TEXT(10181, "[$-0E0000]yyyy-mm-dd")</f>
        <v/>
      </c>
      <c r="C10182" t="inlineStr">
        <is>
          <t>1927-10-23</t>
        </is>
      </c>
    </row>
    <row r="10183">
      <c r="A10183" s="1" t="n">
        <v>10182</v>
      </c>
      <c r="B10183">
        <f>TEXT(10182, "[$-0E0000]yyyy-mm-dd")</f>
        <v/>
      </c>
      <c r="C10183" t="inlineStr">
        <is>
          <t>1927-10-24</t>
        </is>
      </c>
    </row>
    <row r="10184">
      <c r="A10184" s="1" t="n">
        <v>10183</v>
      </c>
      <c r="B10184">
        <f>TEXT(10183, "[$-0E0000]yyyy-mm-dd")</f>
        <v/>
      </c>
      <c r="C10184" t="inlineStr">
        <is>
          <t>1927-10-25</t>
        </is>
      </c>
    </row>
    <row r="10185">
      <c r="A10185" s="1" t="n">
        <v>10184</v>
      </c>
      <c r="B10185">
        <f>TEXT(10184, "[$-0E0000]yyyy-mm-dd")</f>
        <v/>
      </c>
      <c r="C10185" t="inlineStr">
        <is>
          <t>1927-10-26</t>
        </is>
      </c>
    </row>
    <row r="10186">
      <c r="A10186" s="1" t="n">
        <v>10185</v>
      </c>
      <c r="B10186">
        <f>TEXT(10185, "[$-0E0000]yyyy-mm-dd")</f>
        <v/>
      </c>
      <c r="C10186" t="inlineStr">
        <is>
          <t>1927-10-27</t>
        </is>
      </c>
    </row>
    <row r="10187">
      <c r="A10187" s="1" t="n">
        <v>10186</v>
      </c>
      <c r="B10187">
        <f>TEXT(10186, "[$-0E0000]yyyy-mm-dd")</f>
        <v/>
      </c>
      <c r="C10187" t="inlineStr">
        <is>
          <t>1927-10-28</t>
        </is>
      </c>
    </row>
    <row r="10188">
      <c r="A10188" s="1" t="n">
        <v>10187</v>
      </c>
      <c r="B10188">
        <f>TEXT(10187, "[$-0E0000]yyyy-mm-dd")</f>
        <v/>
      </c>
      <c r="C10188" t="inlineStr">
        <is>
          <t>1927-10-29</t>
        </is>
      </c>
    </row>
    <row r="10189">
      <c r="A10189" s="1" t="n">
        <v>10188</v>
      </c>
      <c r="B10189">
        <f>TEXT(10188, "[$-0E0000]yyyy-mm-dd")</f>
        <v/>
      </c>
      <c r="C10189" t="inlineStr">
        <is>
          <t>1927-10-30</t>
        </is>
      </c>
    </row>
    <row r="10190">
      <c r="A10190" s="1" t="n">
        <v>10189</v>
      </c>
      <c r="B10190">
        <f>TEXT(10189, "[$-0E0000]yyyy-mm-dd")</f>
        <v/>
      </c>
      <c r="C10190" t="inlineStr">
        <is>
          <t>1927-11-01</t>
        </is>
      </c>
    </row>
    <row r="10191">
      <c r="A10191" s="1" t="n">
        <v>10190</v>
      </c>
      <c r="B10191">
        <f>TEXT(10190, "[$-0E0000]yyyy-mm-dd")</f>
        <v/>
      </c>
      <c r="C10191" t="inlineStr">
        <is>
          <t>1927-11-02</t>
        </is>
      </c>
    </row>
    <row r="10192">
      <c r="A10192" s="1" t="n">
        <v>10191</v>
      </c>
      <c r="B10192">
        <f>TEXT(10191, "[$-0E0000]yyyy-mm-dd")</f>
        <v/>
      </c>
      <c r="C10192" t="inlineStr">
        <is>
          <t>1927-11-03</t>
        </is>
      </c>
    </row>
    <row r="10193">
      <c r="A10193" s="1" t="n">
        <v>10192</v>
      </c>
      <c r="B10193">
        <f>TEXT(10192, "[$-0E0000]yyyy-mm-dd")</f>
        <v/>
      </c>
      <c r="C10193" t="inlineStr">
        <is>
          <t>1927-11-04</t>
        </is>
      </c>
    </row>
    <row r="10194">
      <c r="A10194" s="1" t="n">
        <v>10193</v>
      </c>
      <c r="B10194">
        <f>TEXT(10193, "[$-0E0000]yyyy-mm-dd")</f>
        <v/>
      </c>
      <c r="C10194" t="inlineStr">
        <is>
          <t>1927-11-05</t>
        </is>
      </c>
    </row>
    <row r="10195">
      <c r="A10195" s="1" t="n">
        <v>10194</v>
      </c>
      <c r="B10195">
        <f>TEXT(10194, "[$-0E0000]yyyy-mm-dd")</f>
        <v/>
      </c>
      <c r="C10195" t="inlineStr">
        <is>
          <t>1927-11-06</t>
        </is>
      </c>
    </row>
    <row r="10196">
      <c r="A10196" s="1" t="n">
        <v>10195</v>
      </c>
      <c r="B10196">
        <f>TEXT(10195, "[$-0E0000]yyyy-mm-dd")</f>
        <v/>
      </c>
      <c r="C10196" t="inlineStr">
        <is>
          <t>1927-11-07</t>
        </is>
      </c>
    </row>
    <row r="10197">
      <c r="A10197" s="1" t="n">
        <v>10196</v>
      </c>
      <c r="B10197">
        <f>TEXT(10196, "[$-0E0000]yyyy-mm-dd")</f>
        <v/>
      </c>
      <c r="C10197" t="inlineStr">
        <is>
          <t>1927-11-08</t>
        </is>
      </c>
    </row>
    <row r="10198">
      <c r="A10198" s="1" t="n">
        <v>10197</v>
      </c>
      <c r="B10198">
        <f>TEXT(10197, "[$-0E0000]yyyy-mm-dd")</f>
        <v/>
      </c>
      <c r="C10198" t="inlineStr">
        <is>
          <t>1927-11-09</t>
        </is>
      </c>
    </row>
    <row r="10199">
      <c r="A10199" s="1" t="n">
        <v>10198</v>
      </c>
      <c r="B10199">
        <f>TEXT(10198, "[$-0E0000]yyyy-mm-dd")</f>
        <v/>
      </c>
      <c r="C10199" t="inlineStr">
        <is>
          <t>1927-11-10</t>
        </is>
      </c>
    </row>
    <row r="10200">
      <c r="A10200" s="1" t="n">
        <v>10199</v>
      </c>
      <c r="B10200">
        <f>TEXT(10199, "[$-0E0000]yyyy-mm-dd")</f>
        <v/>
      </c>
      <c r="C10200" t="inlineStr">
        <is>
          <t>1927-11-11</t>
        </is>
      </c>
    </row>
    <row r="10201">
      <c r="A10201" s="1" t="n">
        <v>10200</v>
      </c>
      <c r="B10201">
        <f>TEXT(10200, "[$-0E0000]yyyy-mm-dd")</f>
        <v/>
      </c>
      <c r="C10201" t="inlineStr">
        <is>
          <t>1927-11-12</t>
        </is>
      </c>
    </row>
    <row r="10202">
      <c r="A10202" s="1" t="n">
        <v>10201</v>
      </c>
      <c r="B10202">
        <f>TEXT(10201, "[$-0E0000]yyyy-mm-dd")</f>
        <v/>
      </c>
      <c r="C10202" t="inlineStr">
        <is>
          <t>1927-11-13</t>
        </is>
      </c>
    </row>
    <row r="10203">
      <c r="A10203" s="1" t="n">
        <v>10202</v>
      </c>
      <c r="B10203">
        <f>TEXT(10202, "[$-0E0000]yyyy-mm-dd")</f>
        <v/>
      </c>
      <c r="C10203" t="inlineStr">
        <is>
          <t>1927-11-14</t>
        </is>
      </c>
    </row>
    <row r="10204">
      <c r="A10204" s="1" t="n">
        <v>10203</v>
      </c>
      <c r="B10204">
        <f>TEXT(10203, "[$-0E0000]yyyy-mm-dd")</f>
        <v/>
      </c>
      <c r="C10204" t="inlineStr">
        <is>
          <t>1927-11-15</t>
        </is>
      </c>
    </row>
    <row r="10205">
      <c r="A10205" s="1" t="n">
        <v>10204</v>
      </c>
      <c r="B10205">
        <f>TEXT(10204, "[$-0E0000]yyyy-mm-dd")</f>
        <v/>
      </c>
      <c r="C10205" t="inlineStr">
        <is>
          <t>1927-11-16</t>
        </is>
      </c>
    </row>
    <row r="10206">
      <c r="A10206" s="1" t="n">
        <v>10205</v>
      </c>
      <c r="B10206">
        <f>TEXT(10205, "[$-0E0000]yyyy-mm-dd")</f>
        <v/>
      </c>
      <c r="C10206" t="inlineStr">
        <is>
          <t>1927-11-17</t>
        </is>
      </c>
    </row>
    <row r="10207">
      <c r="A10207" s="1" t="n">
        <v>10206</v>
      </c>
      <c r="B10207">
        <f>TEXT(10206, "[$-0E0000]yyyy-mm-dd")</f>
        <v/>
      </c>
      <c r="C10207" t="inlineStr">
        <is>
          <t>1927-11-18</t>
        </is>
      </c>
    </row>
    <row r="10208">
      <c r="A10208" s="1" t="n">
        <v>10207</v>
      </c>
      <c r="B10208">
        <f>TEXT(10207, "[$-0E0000]yyyy-mm-dd")</f>
        <v/>
      </c>
      <c r="C10208" t="inlineStr">
        <is>
          <t>1927-11-19</t>
        </is>
      </c>
    </row>
    <row r="10209">
      <c r="A10209" s="1" t="n">
        <v>10208</v>
      </c>
      <c r="B10209">
        <f>TEXT(10208, "[$-0E0000]yyyy-mm-dd")</f>
        <v/>
      </c>
      <c r="C10209" t="inlineStr">
        <is>
          <t>1927-11-20</t>
        </is>
      </c>
    </row>
    <row r="10210">
      <c r="A10210" s="1" t="n">
        <v>10209</v>
      </c>
      <c r="B10210">
        <f>TEXT(10209, "[$-0E0000]yyyy-mm-dd")</f>
        <v/>
      </c>
      <c r="C10210" t="inlineStr">
        <is>
          <t>1927-11-21</t>
        </is>
      </c>
    </row>
    <row r="10211">
      <c r="A10211" s="1" t="n">
        <v>10210</v>
      </c>
      <c r="B10211">
        <f>TEXT(10210, "[$-0E0000]yyyy-mm-dd")</f>
        <v/>
      </c>
      <c r="C10211" t="inlineStr">
        <is>
          <t>1927-11-22</t>
        </is>
      </c>
    </row>
    <row r="10212">
      <c r="A10212" s="1" t="n">
        <v>10211</v>
      </c>
      <c r="B10212">
        <f>TEXT(10211, "[$-0E0000]yyyy-mm-dd")</f>
        <v/>
      </c>
      <c r="C10212" t="inlineStr">
        <is>
          <t>1927-11-23</t>
        </is>
      </c>
    </row>
    <row r="10213">
      <c r="A10213" s="1" t="n">
        <v>10212</v>
      </c>
      <c r="B10213">
        <f>TEXT(10212, "[$-0E0000]yyyy-mm-dd")</f>
        <v/>
      </c>
      <c r="C10213" t="inlineStr">
        <is>
          <t>1927-11-24</t>
        </is>
      </c>
    </row>
    <row r="10214">
      <c r="A10214" s="1" t="n">
        <v>10213</v>
      </c>
      <c r="B10214">
        <f>TEXT(10213, "[$-0E0000]yyyy-mm-dd")</f>
        <v/>
      </c>
      <c r="C10214" t="inlineStr">
        <is>
          <t>1927-11-25</t>
        </is>
      </c>
    </row>
    <row r="10215">
      <c r="A10215" s="1" t="n">
        <v>10214</v>
      </c>
      <c r="B10215">
        <f>TEXT(10214, "[$-0E0000]yyyy-mm-dd")</f>
        <v/>
      </c>
      <c r="C10215" t="inlineStr">
        <is>
          <t>1927-11-26</t>
        </is>
      </c>
    </row>
    <row r="10216">
      <c r="A10216" s="1" t="n">
        <v>10215</v>
      </c>
      <c r="B10216">
        <f>TEXT(10215, "[$-0E0000]yyyy-mm-dd")</f>
        <v/>
      </c>
      <c r="C10216" t="inlineStr">
        <is>
          <t>1927-11-27</t>
        </is>
      </c>
    </row>
    <row r="10217">
      <c r="A10217" s="1" t="n">
        <v>10216</v>
      </c>
      <c r="B10217">
        <f>TEXT(10216, "[$-0E0000]yyyy-mm-dd")</f>
        <v/>
      </c>
      <c r="C10217" t="inlineStr">
        <is>
          <t>1927-11-28</t>
        </is>
      </c>
    </row>
    <row r="10218">
      <c r="A10218" s="1" t="n">
        <v>10217</v>
      </c>
      <c r="B10218">
        <f>TEXT(10217, "[$-0E0000]yyyy-mm-dd")</f>
        <v/>
      </c>
      <c r="C10218" t="inlineStr">
        <is>
          <t>1927-11-29</t>
        </is>
      </c>
    </row>
    <row r="10219">
      <c r="A10219" s="1" t="n">
        <v>10218</v>
      </c>
      <c r="B10219">
        <f>TEXT(10218, "[$-0E0000]yyyy-mm-dd")</f>
        <v/>
      </c>
      <c r="C10219" t="inlineStr">
        <is>
          <t>1927-11-30</t>
        </is>
      </c>
    </row>
    <row r="10220">
      <c r="A10220" s="1" t="n">
        <v>10219</v>
      </c>
      <c r="B10220">
        <f>TEXT(10219, "[$-0E0000]yyyy-mm-dd")</f>
        <v/>
      </c>
      <c r="C10220" t="inlineStr">
        <is>
          <t>1927-12-01</t>
        </is>
      </c>
    </row>
    <row r="10221">
      <c r="A10221" s="1" t="n">
        <v>10220</v>
      </c>
      <c r="B10221">
        <f>TEXT(10220, "[$-0E0000]yyyy-mm-dd")</f>
        <v/>
      </c>
      <c r="C10221" t="inlineStr">
        <is>
          <t>1927-12-02</t>
        </is>
      </c>
    </row>
    <row r="10222">
      <c r="A10222" s="1" t="n">
        <v>10221</v>
      </c>
      <c r="B10222">
        <f>TEXT(10221, "[$-0E0000]yyyy-mm-dd")</f>
        <v/>
      </c>
      <c r="C10222" t="inlineStr">
        <is>
          <t>1927-12-03</t>
        </is>
      </c>
    </row>
    <row r="10223">
      <c r="A10223" s="1" t="n">
        <v>10222</v>
      </c>
      <c r="B10223">
        <f>TEXT(10222, "[$-0E0000]yyyy-mm-dd")</f>
        <v/>
      </c>
      <c r="C10223" t="inlineStr">
        <is>
          <t>1927-12-04</t>
        </is>
      </c>
    </row>
    <row r="10224">
      <c r="A10224" s="1" t="n">
        <v>10223</v>
      </c>
      <c r="B10224">
        <f>TEXT(10223, "[$-0E0000]yyyy-mm-dd")</f>
        <v/>
      </c>
      <c r="C10224" t="inlineStr">
        <is>
          <t>1927-12-05</t>
        </is>
      </c>
    </row>
    <row r="10225">
      <c r="A10225" s="1" t="n">
        <v>10224</v>
      </c>
      <c r="B10225">
        <f>TEXT(10224, "[$-0E0000]yyyy-mm-dd")</f>
        <v/>
      </c>
      <c r="C10225" t="inlineStr">
        <is>
          <t>1927-12-06</t>
        </is>
      </c>
    </row>
    <row r="10226">
      <c r="A10226" s="1" t="n">
        <v>10225</v>
      </c>
      <c r="B10226">
        <f>TEXT(10225, "[$-0E0000]yyyy-mm-dd")</f>
        <v/>
      </c>
      <c r="C10226" t="inlineStr">
        <is>
          <t>1927-12-07</t>
        </is>
      </c>
    </row>
    <row r="10227">
      <c r="A10227" s="1" t="n">
        <v>10226</v>
      </c>
      <c r="B10227">
        <f>TEXT(10226, "[$-0E0000]yyyy-mm-dd")</f>
        <v/>
      </c>
      <c r="C10227" t="inlineStr">
        <is>
          <t>1927-12-08</t>
        </is>
      </c>
    </row>
    <row r="10228">
      <c r="A10228" s="1" t="n">
        <v>10227</v>
      </c>
      <c r="B10228">
        <f>TEXT(10227, "[$-0E0000]yyyy-mm-dd")</f>
        <v/>
      </c>
      <c r="C10228" t="inlineStr">
        <is>
          <t>1927-12-09</t>
        </is>
      </c>
    </row>
    <row r="10229">
      <c r="A10229" s="1" t="n">
        <v>10228</v>
      </c>
      <c r="B10229">
        <f>TEXT(10228, "[$-0E0000]yyyy-mm-dd")</f>
        <v/>
      </c>
      <c r="C10229" t="inlineStr">
        <is>
          <t>1927-12-10</t>
        </is>
      </c>
    </row>
    <row r="10230">
      <c r="A10230" s="1" t="n">
        <v>10229</v>
      </c>
      <c r="B10230">
        <f>TEXT(10229, "[$-0E0000]yyyy-mm-dd")</f>
        <v/>
      </c>
      <c r="C10230" t="inlineStr">
        <is>
          <t>1927-12-11</t>
        </is>
      </c>
    </row>
    <row r="10231">
      <c r="A10231" s="1" t="n">
        <v>10230</v>
      </c>
      <c r="B10231">
        <f>TEXT(10230, "[$-0E0000]yyyy-mm-dd")</f>
        <v/>
      </c>
      <c r="C10231" t="inlineStr">
        <is>
          <t>1927-12-12</t>
        </is>
      </c>
    </row>
    <row r="10232">
      <c r="A10232" s="1" t="n">
        <v>10231</v>
      </c>
      <c r="B10232">
        <f>TEXT(10231, "[$-0E0000]yyyy-mm-dd")</f>
        <v/>
      </c>
      <c r="C10232" t="inlineStr">
        <is>
          <t>1927-12-13</t>
        </is>
      </c>
    </row>
    <row r="10233">
      <c r="A10233" s="1" t="n">
        <v>10232</v>
      </c>
      <c r="B10233">
        <f>TEXT(10232, "[$-0E0000]yyyy-mm-dd")</f>
        <v/>
      </c>
      <c r="C10233" t="inlineStr">
        <is>
          <t>1927-12-14</t>
        </is>
      </c>
    </row>
    <row r="10234">
      <c r="A10234" s="1" t="n">
        <v>10233</v>
      </c>
      <c r="B10234">
        <f>TEXT(10233, "[$-0E0000]yyyy-mm-dd")</f>
        <v/>
      </c>
      <c r="C10234" t="inlineStr">
        <is>
          <t>1927-12-15</t>
        </is>
      </c>
    </row>
    <row r="10235">
      <c r="A10235" s="1" t="n">
        <v>10234</v>
      </c>
      <c r="B10235">
        <f>TEXT(10234, "[$-0E0000]yyyy-mm-dd")</f>
        <v/>
      </c>
      <c r="C10235" t="inlineStr">
        <is>
          <t>1927-12-16</t>
        </is>
      </c>
    </row>
    <row r="10236">
      <c r="A10236" s="1" t="n">
        <v>10235</v>
      </c>
      <c r="B10236">
        <f>TEXT(10235, "[$-0E0000]yyyy-mm-dd")</f>
        <v/>
      </c>
      <c r="C10236" t="inlineStr">
        <is>
          <t>1927-12-17</t>
        </is>
      </c>
    </row>
    <row r="10237">
      <c r="A10237" s="1" t="n">
        <v>10236</v>
      </c>
      <c r="B10237">
        <f>TEXT(10236, "[$-0E0000]yyyy-mm-dd")</f>
        <v/>
      </c>
      <c r="C10237" t="inlineStr">
        <is>
          <t>1927-12-18</t>
        </is>
      </c>
    </row>
    <row r="10238">
      <c r="A10238" s="1" t="n">
        <v>10237</v>
      </c>
      <c r="B10238">
        <f>TEXT(10237, "[$-0E0000]yyyy-mm-dd")</f>
        <v/>
      </c>
      <c r="C10238" t="inlineStr">
        <is>
          <t>1927-12-19</t>
        </is>
      </c>
    </row>
    <row r="10239">
      <c r="A10239" s="1" t="n">
        <v>10238</v>
      </c>
      <c r="B10239">
        <f>TEXT(10238, "[$-0E0000]yyyy-mm-dd")</f>
        <v/>
      </c>
      <c r="C10239" t="inlineStr">
        <is>
          <t>1927-12-20</t>
        </is>
      </c>
    </row>
    <row r="10240">
      <c r="A10240" s="1" t="n">
        <v>10239</v>
      </c>
      <c r="B10240">
        <f>TEXT(10239, "[$-0E0000]yyyy-mm-dd")</f>
        <v/>
      </c>
      <c r="C10240" t="inlineStr">
        <is>
          <t>1927-12-21</t>
        </is>
      </c>
    </row>
    <row r="10241">
      <c r="A10241" s="1" t="n">
        <v>10240</v>
      </c>
      <c r="B10241">
        <f>TEXT(10240, "[$-0E0000]yyyy-mm-dd")</f>
        <v/>
      </c>
      <c r="C10241" t="inlineStr">
        <is>
          <t>1927-12-22</t>
        </is>
      </c>
    </row>
    <row r="10242">
      <c r="A10242" s="1" t="n">
        <v>10241</v>
      </c>
      <c r="B10242">
        <f>TEXT(10241, "[$-0E0000]yyyy-mm-dd")</f>
        <v/>
      </c>
      <c r="C10242" t="inlineStr">
        <is>
          <t>1927-12-23</t>
        </is>
      </c>
    </row>
    <row r="10243">
      <c r="A10243" s="1" t="n">
        <v>10242</v>
      </c>
      <c r="B10243">
        <f>TEXT(10242, "[$-0E0000]yyyy-mm-dd")</f>
        <v/>
      </c>
      <c r="C10243" t="inlineStr">
        <is>
          <t>1927-12-24</t>
        </is>
      </c>
    </row>
    <row r="10244">
      <c r="A10244" s="1" t="n">
        <v>10243</v>
      </c>
      <c r="B10244">
        <f>TEXT(10243, "[$-0E0000]yyyy-mm-dd")</f>
        <v/>
      </c>
      <c r="C10244" t="inlineStr">
        <is>
          <t>1927-12-25</t>
        </is>
      </c>
    </row>
    <row r="10245">
      <c r="A10245" s="1" t="n">
        <v>10244</v>
      </c>
      <c r="B10245">
        <f>TEXT(10244, "[$-0E0000]yyyy-mm-dd")</f>
        <v/>
      </c>
      <c r="C10245" t="inlineStr">
        <is>
          <t>1927-12-26</t>
        </is>
      </c>
    </row>
    <row r="10246">
      <c r="A10246" s="1" t="n">
        <v>10245</v>
      </c>
      <c r="B10246">
        <f>TEXT(10245, "[$-0E0000]yyyy-mm-dd")</f>
        <v/>
      </c>
      <c r="C10246" t="inlineStr">
        <is>
          <t>1927-12-27</t>
        </is>
      </c>
    </row>
    <row r="10247">
      <c r="A10247" s="1" t="n">
        <v>10246</v>
      </c>
      <c r="B10247">
        <f>TEXT(10246, "[$-0E0000]yyyy-mm-dd")</f>
        <v/>
      </c>
      <c r="C10247" t="inlineStr">
        <is>
          <t>1927-12-28</t>
        </is>
      </c>
    </row>
    <row r="10248">
      <c r="A10248" s="1" t="n">
        <v>10247</v>
      </c>
      <c r="B10248">
        <f>TEXT(10247, "[$-0E0000]yyyy-mm-dd")</f>
        <v/>
      </c>
      <c r="C10248" t="inlineStr">
        <is>
          <t>1927-12-29</t>
        </is>
      </c>
    </row>
    <row r="10249">
      <c r="A10249" s="1" t="n">
        <v>10248</v>
      </c>
      <c r="B10249">
        <f>TEXT(10248, "[$-0E0000]yyyy-mm-dd")</f>
        <v/>
      </c>
      <c r="C10249" t="inlineStr">
        <is>
          <t>1927-12-30</t>
        </is>
      </c>
    </row>
    <row r="10250">
      <c r="A10250" s="1" t="n">
        <v>10249</v>
      </c>
      <c r="B10250">
        <f>TEXT(10249, "[$-0E0000]yyyy-mm-dd")</f>
        <v/>
      </c>
      <c r="C10250" t="inlineStr">
        <is>
          <t>1928-01-01</t>
        </is>
      </c>
    </row>
    <row r="10251">
      <c r="A10251" s="1" t="n">
        <v>10250</v>
      </c>
      <c r="B10251">
        <f>TEXT(10250, "[$-0E0000]yyyy-mm-dd")</f>
        <v/>
      </c>
      <c r="C10251" t="inlineStr">
        <is>
          <t>1928-01-02</t>
        </is>
      </c>
    </row>
    <row r="10252">
      <c r="A10252" s="1" t="n">
        <v>10251</v>
      </c>
      <c r="B10252">
        <f>TEXT(10251, "[$-0E0000]yyyy-mm-dd")</f>
        <v/>
      </c>
      <c r="C10252" t="inlineStr">
        <is>
          <t>1928-01-03</t>
        </is>
      </c>
    </row>
    <row r="10253">
      <c r="A10253" s="1" t="n">
        <v>10252</v>
      </c>
      <c r="B10253">
        <f>TEXT(10252, "[$-0E0000]yyyy-mm-dd")</f>
        <v/>
      </c>
      <c r="C10253" t="inlineStr">
        <is>
          <t>1928-01-04</t>
        </is>
      </c>
    </row>
    <row r="10254">
      <c r="A10254" s="1" t="n">
        <v>10253</v>
      </c>
      <c r="B10254">
        <f>TEXT(10253, "[$-0E0000]yyyy-mm-dd")</f>
        <v/>
      </c>
      <c r="C10254" t="inlineStr">
        <is>
          <t>1928-01-05</t>
        </is>
      </c>
    </row>
    <row r="10255">
      <c r="A10255" s="1" t="n">
        <v>10254</v>
      </c>
      <c r="B10255">
        <f>TEXT(10254, "[$-0E0000]yyyy-mm-dd")</f>
        <v/>
      </c>
      <c r="C10255" t="inlineStr">
        <is>
          <t>1928-01-06</t>
        </is>
      </c>
    </row>
    <row r="10256">
      <c r="A10256" s="1" t="n">
        <v>10255</v>
      </c>
      <c r="B10256">
        <f>TEXT(10255, "[$-0E0000]yyyy-mm-dd")</f>
        <v/>
      </c>
      <c r="C10256" t="inlineStr">
        <is>
          <t>1928-01-07</t>
        </is>
      </c>
    </row>
    <row r="10257">
      <c r="A10257" s="1" t="n">
        <v>10256</v>
      </c>
      <c r="B10257">
        <f>TEXT(10256, "[$-0E0000]yyyy-mm-dd")</f>
        <v/>
      </c>
      <c r="C10257" t="inlineStr">
        <is>
          <t>1928-01-08</t>
        </is>
      </c>
    </row>
    <row r="10258">
      <c r="A10258" s="1" t="n">
        <v>10257</v>
      </c>
      <c r="B10258">
        <f>TEXT(10257, "[$-0E0000]yyyy-mm-dd")</f>
        <v/>
      </c>
      <c r="C10258" t="inlineStr">
        <is>
          <t>1928-01-09</t>
        </is>
      </c>
    </row>
    <row r="10259">
      <c r="A10259" s="1" t="n">
        <v>10258</v>
      </c>
      <c r="B10259">
        <f>TEXT(10258, "[$-0E0000]yyyy-mm-dd")</f>
        <v/>
      </c>
      <c r="C10259" t="inlineStr">
        <is>
          <t>1928-01-10</t>
        </is>
      </c>
    </row>
    <row r="10260">
      <c r="A10260" s="1" t="n">
        <v>10259</v>
      </c>
      <c r="B10260">
        <f>TEXT(10259, "[$-0E0000]yyyy-mm-dd")</f>
        <v/>
      </c>
      <c r="C10260" t="inlineStr">
        <is>
          <t>1928-01-11</t>
        </is>
      </c>
    </row>
    <row r="10261">
      <c r="A10261" s="1" t="n">
        <v>10260</v>
      </c>
      <c r="B10261">
        <f>TEXT(10260, "[$-0E0000]yyyy-mm-dd")</f>
        <v/>
      </c>
      <c r="C10261" t="inlineStr">
        <is>
          <t>1928-01-12</t>
        </is>
      </c>
    </row>
    <row r="10262">
      <c r="A10262" s="1" t="n">
        <v>10261</v>
      </c>
      <c r="B10262">
        <f>TEXT(10261, "[$-0E0000]yyyy-mm-dd")</f>
        <v/>
      </c>
      <c r="C10262" t="inlineStr">
        <is>
          <t>1928-01-13</t>
        </is>
      </c>
    </row>
    <row r="10263">
      <c r="A10263" s="1" t="n">
        <v>10262</v>
      </c>
      <c r="B10263">
        <f>TEXT(10262, "[$-0E0000]yyyy-mm-dd")</f>
        <v/>
      </c>
      <c r="C10263" t="inlineStr">
        <is>
          <t>1928-01-14</t>
        </is>
      </c>
    </row>
    <row r="10264">
      <c r="A10264" s="1" t="n">
        <v>10263</v>
      </c>
      <c r="B10264">
        <f>TEXT(10263, "[$-0E0000]yyyy-mm-dd")</f>
        <v/>
      </c>
      <c r="C10264" t="inlineStr">
        <is>
          <t>1928-01-15</t>
        </is>
      </c>
    </row>
    <row r="10265">
      <c r="A10265" s="1" t="n">
        <v>10264</v>
      </c>
      <c r="B10265">
        <f>TEXT(10264, "[$-0E0000]yyyy-mm-dd")</f>
        <v/>
      </c>
      <c r="C10265" t="inlineStr">
        <is>
          <t>1928-01-16</t>
        </is>
      </c>
    </row>
    <row r="10266">
      <c r="A10266" s="1" t="n">
        <v>10265</v>
      </c>
      <c r="B10266">
        <f>TEXT(10265, "[$-0E0000]yyyy-mm-dd")</f>
        <v/>
      </c>
      <c r="C10266" t="inlineStr">
        <is>
          <t>1928-01-17</t>
        </is>
      </c>
    </row>
    <row r="10267">
      <c r="A10267" s="1" t="n">
        <v>10266</v>
      </c>
      <c r="B10267">
        <f>TEXT(10266, "[$-0E0000]yyyy-mm-dd")</f>
        <v/>
      </c>
      <c r="C10267" t="inlineStr">
        <is>
          <t>1928-01-18</t>
        </is>
      </c>
    </row>
    <row r="10268">
      <c r="A10268" s="1" t="n">
        <v>10267</v>
      </c>
      <c r="B10268">
        <f>TEXT(10267, "[$-0E0000]yyyy-mm-dd")</f>
        <v/>
      </c>
      <c r="C10268" t="inlineStr">
        <is>
          <t>1928-01-19</t>
        </is>
      </c>
    </row>
    <row r="10269">
      <c r="A10269" s="1" t="n">
        <v>10268</v>
      </c>
      <c r="B10269">
        <f>TEXT(10268, "[$-0E0000]yyyy-mm-dd")</f>
        <v/>
      </c>
      <c r="C10269" t="inlineStr">
        <is>
          <t>1928-01-20</t>
        </is>
      </c>
    </row>
    <row r="10270">
      <c r="A10270" s="1" t="n">
        <v>10269</v>
      </c>
      <c r="B10270">
        <f>TEXT(10269, "[$-0E0000]yyyy-mm-dd")</f>
        <v/>
      </c>
      <c r="C10270" t="inlineStr">
        <is>
          <t>1928-01-21</t>
        </is>
      </c>
    </row>
    <row r="10271">
      <c r="A10271" s="1" t="n">
        <v>10270</v>
      </c>
      <c r="B10271">
        <f>TEXT(10270, "[$-0E0000]yyyy-mm-dd")</f>
        <v/>
      </c>
      <c r="C10271" t="inlineStr">
        <is>
          <t>1928-01-22</t>
        </is>
      </c>
    </row>
    <row r="10272">
      <c r="A10272" s="1" t="n">
        <v>10271</v>
      </c>
      <c r="B10272">
        <f>TEXT(10271, "[$-0E0000]yyyy-mm-dd")</f>
        <v/>
      </c>
      <c r="C10272" t="inlineStr">
        <is>
          <t>1928-01-23</t>
        </is>
      </c>
    </row>
    <row r="10273">
      <c r="A10273" s="1" t="n">
        <v>10272</v>
      </c>
      <c r="B10273">
        <f>TEXT(10272, "[$-0E0000]yyyy-mm-dd")</f>
        <v/>
      </c>
      <c r="C10273" t="inlineStr">
        <is>
          <t>1928-01-24</t>
        </is>
      </c>
    </row>
    <row r="10274">
      <c r="A10274" s="1" t="n">
        <v>10273</v>
      </c>
      <c r="B10274">
        <f>TEXT(10273, "[$-0E0000]yyyy-mm-dd")</f>
        <v/>
      </c>
      <c r="C10274" t="inlineStr">
        <is>
          <t>1928-01-25</t>
        </is>
      </c>
    </row>
    <row r="10275">
      <c r="A10275" s="1" t="n">
        <v>10274</v>
      </c>
      <c r="B10275">
        <f>TEXT(10274, "[$-0E0000]yyyy-mm-dd")</f>
        <v/>
      </c>
      <c r="C10275" t="inlineStr">
        <is>
          <t>1928-01-26</t>
        </is>
      </c>
    </row>
    <row r="10276">
      <c r="A10276" s="1" t="n">
        <v>10275</v>
      </c>
      <c r="B10276">
        <f>TEXT(10275, "[$-0E0000]yyyy-mm-dd")</f>
        <v/>
      </c>
      <c r="C10276" t="inlineStr">
        <is>
          <t>1928-01-27</t>
        </is>
      </c>
    </row>
    <row r="10277">
      <c r="A10277" s="1" t="n">
        <v>10276</v>
      </c>
      <c r="B10277">
        <f>TEXT(10276, "[$-0E0000]yyyy-mm-dd")</f>
        <v/>
      </c>
      <c r="C10277" t="inlineStr">
        <is>
          <t>1928-01-28</t>
        </is>
      </c>
    </row>
    <row r="10278">
      <c r="A10278" s="1" t="n">
        <v>10277</v>
      </c>
      <c r="B10278">
        <f>TEXT(10277, "[$-0E0000]yyyy-mm-dd")</f>
        <v/>
      </c>
      <c r="C10278" t="inlineStr">
        <is>
          <t>1928-01-29</t>
        </is>
      </c>
    </row>
    <row r="10279">
      <c r="A10279" s="1" t="n">
        <v>10278</v>
      </c>
      <c r="B10279">
        <f>TEXT(10278, "[$-0E0000]yyyy-mm-dd")</f>
        <v/>
      </c>
      <c r="C10279" t="inlineStr">
        <is>
          <t>1928-02-01</t>
        </is>
      </c>
    </row>
    <row r="10280">
      <c r="A10280" s="1" t="n">
        <v>10279</v>
      </c>
      <c r="B10280">
        <f>TEXT(10279, "[$-0E0000]yyyy-mm-dd")</f>
        <v/>
      </c>
      <c r="C10280" t="inlineStr">
        <is>
          <t>1928-02-02</t>
        </is>
      </c>
    </row>
    <row r="10281">
      <c r="A10281" s="1" t="n">
        <v>10280</v>
      </c>
      <c r="B10281">
        <f>TEXT(10280, "[$-0E0000]yyyy-mm-dd")</f>
        <v/>
      </c>
      <c r="C10281" t="inlineStr">
        <is>
          <t>1928-02-03</t>
        </is>
      </c>
    </row>
    <row r="10282">
      <c r="A10282" s="1" t="n">
        <v>10281</v>
      </c>
      <c r="B10282">
        <f>TEXT(10281, "[$-0E0000]yyyy-mm-dd")</f>
        <v/>
      </c>
      <c r="C10282" t="inlineStr">
        <is>
          <t>1928-02-04</t>
        </is>
      </c>
    </row>
    <row r="10283">
      <c r="A10283" s="1" t="n">
        <v>10282</v>
      </c>
      <c r="B10283">
        <f>TEXT(10282, "[$-0E0000]yyyy-mm-dd")</f>
        <v/>
      </c>
      <c r="C10283" t="inlineStr">
        <is>
          <t>1928-02-05</t>
        </is>
      </c>
    </row>
    <row r="10284">
      <c r="A10284" s="1" t="n">
        <v>10283</v>
      </c>
      <c r="B10284">
        <f>TEXT(10283, "[$-0E0000]yyyy-mm-dd")</f>
        <v/>
      </c>
      <c r="C10284" t="inlineStr">
        <is>
          <t>1928-02-06</t>
        </is>
      </c>
    </row>
    <row r="10285">
      <c r="A10285" s="1" t="n">
        <v>10284</v>
      </c>
      <c r="B10285">
        <f>TEXT(10284, "[$-0E0000]yyyy-mm-dd")</f>
        <v/>
      </c>
      <c r="C10285" t="inlineStr">
        <is>
          <t>1928-02-07</t>
        </is>
      </c>
    </row>
    <row r="10286">
      <c r="A10286" s="1" t="n">
        <v>10285</v>
      </c>
      <c r="B10286">
        <f>TEXT(10285, "[$-0E0000]yyyy-mm-dd")</f>
        <v/>
      </c>
      <c r="C10286" t="inlineStr">
        <is>
          <t>1928-02-08</t>
        </is>
      </c>
    </row>
    <row r="10287">
      <c r="A10287" s="1" t="n">
        <v>10286</v>
      </c>
      <c r="B10287">
        <f>TEXT(10286, "[$-0E0000]yyyy-mm-dd")</f>
        <v/>
      </c>
      <c r="C10287" t="inlineStr">
        <is>
          <t>1928-02-09</t>
        </is>
      </c>
    </row>
    <row r="10288">
      <c r="A10288" s="1" t="n">
        <v>10287</v>
      </c>
      <c r="B10288">
        <f>TEXT(10287, "[$-0E0000]yyyy-mm-dd")</f>
        <v/>
      </c>
      <c r="C10288" t="inlineStr">
        <is>
          <t>1928-02-10</t>
        </is>
      </c>
    </row>
    <row r="10289">
      <c r="A10289" s="1" t="n">
        <v>10288</v>
      </c>
      <c r="B10289">
        <f>TEXT(10288, "[$-0E0000]yyyy-mm-dd")</f>
        <v/>
      </c>
      <c r="C10289" t="inlineStr">
        <is>
          <t>1928-02-11</t>
        </is>
      </c>
    </row>
    <row r="10290">
      <c r="A10290" s="1" t="n">
        <v>10289</v>
      </c>
      <c r="B10290">
        <f>TEXT(10289, "[$-0E0000]yyyy-mm-dd")</f>
        <v/>
      </c>
      <c r="C10290" t="inlineStr">
        <is>
          <t>1928-02-12</t>
        </is>
      </c>
    </row>
    <row r="10291">
      <c r="A10291" s="1" t="n">
        <v>10290</v>
      </c>
      <c r="B10291">
        <f>TEXT(10290, "[$-0E0000]yyyy-mm-dd")</f>
        <v/>
      </c>
      <c r="C10291" t="inlineStr">
        <is>
          <t>1928-02-13</t>
        </is>
      </c>
    </row>
    <row r="10292">
      <c r="A10292" s="1" t="n">
        <v>10291</v>
      </c>
      <c r="B10292">
        <f>TEXT(10291, "[$-0E0000]yyyy-mm-dd")</f>
        <v/>
      </c>
      <c r="C10292" t="inlineStr">
        <is>
          <t>1928-02-14</t>
        </is>
      </c>
    </row>
    <row r="10293">
      <c r="A10293" s="1" t="n">
        <v>10292</v>
      </c>
      <c r="B10293">
        <f>TEXT(10292, "[$-0E0000]yyyy-mm-dd")</f>
        <v/>
      </c>
      <c r="C10293" t="inlineStr">
        <is>
          <t>1928-02-15</t>
        </is>
      </c>
    </row>
    <row r="10294">
      <c r="A10294" s="1" t="n">
        <v>10293</v>
      </c>
      <c r="B10294">
        <f>TEXT(10293, "[$-0E0000]yyyy-mm-dd")</f>
        <v/>
      </c>
      <c r="C10294" t="inlineStr">
        <is>
          <t>1928-02-16</t>
        </is>
      </c>
    </row>
    <row r="10295">
      <c r="A10295" s="1" t="n">
        <v>10294</v>
      </c>
      <c r="B10295">
        <f>TEXT(10294, "[$-0E0000]yyyy-mm-dd")</f>
        <v/>
      </c>
      <c r="C10295" t="inlineStr">
        <is>
          <t>1928-02-17</t>
        </is>
      </c>
    </row>
    <row r="10296">
      <c r="A10296" s="1" t="n">
        <v>10295</v>
      </c>
      <c r="B10296">
        <f>TEXT(10295, "[$-0E0000]yyyy-mm-dd")</f>
        <v/>
      </c>
      <c r="C10296" t="inlineStr">
        <is>
          <t>1928-02-18</t>
        </is>
      </c>
    </row>
    <row r="10297">
      <c r="A10297" s="1" t="n">
        <v>10296</v>
      </c>
      <c r="B10297">
        <f>TEXT(10296, "[$-0E0000]yyyy-mm-dd")</f>
        <v/>
      </c>
      <c r="C10297" t="inlineStr">
        <is>
          <t>1928-02-19</t>
        </is>
      </c>
    </row>
    <row r="10298">
      <c r="A10298" s="1" t="n">
        <v>10297</v>
      </c>
      <c r="B10298">
        <f>TEXT(10297, "[$-0E0000]yyyy-mm-dd")</f>
        <v/>
      </c>
      <c r="C10298" t="inlineStr">
        <is>
          <t>1928-02-20</t>
        </is>
      </c>
    </row>
    <row r="10299">
      <c r="A10299" s="1" t="n">
        <v>10298</v>
      </c>
      <c r="B10299">
        <f>TEXT(10298, "[$-0E0000]yyyy-mm-dd")</f>
        <v/>
      </c>
      <c r="C10299" t="inlineStr">
        <is>
          <t>1928-02-21</t>
        </is>
      </c>
    </row>
    <row r="10300">
      <c r="A10300" s="1" t="n">
        <v>10299</v>
      </c>
      <c r="B10300">
        <f>TEXT(10299, "[$-0E0000]yyyy-mm-dd")</f>
        <v/>
      </c>
      <c r="C10300" t="inlineStr">
        <is>
          <t>1928-02-22</t>
        </is>
      </c>
    </row>
    <row r="10301">
      <c r="A10301" s="1" t="n">
        <v>10300</v>
      </c>
      <c r="B10301">
        <f>TEXT(10300, "[$-0E0000]yyyy-mm-dd")</f>
        <v/>
      </c>
      <c r="C10301" t="inlineStr">
        <is>
          <t>1928-02-23</t>
        </is>
      </c>
    </row>
    <row r="10302">
      <c r="A10302" s="1" t="n">
        <v>10301</v>
      </c>
      <c r="B10302">
        <f>TEXT(10301, "[$-0E0000]yyyy-mm-dd")</f>
        <v/>
      </c>
      <c r="C10302" t="inlineStr">
        <is>
          <t>1928-02-24</t>
        </is>
      </c>
    </row>
    <row r="10303">
      <c r="A10303" s="1" t="n">
        <v>10302</v>
      </c>
      <c r="B10303">
        <f>TEXT(10302, "[$-0E0000]yyyy-mm-dd")</f>
        <v/>
      </c>
      <c r="C10303" t="inlineStr">
        <is>
          <t>1928-02-25</t>
        </is>
      </c>
    </row>
    <row r="10304">
      <c r="A10304" s="1" t="n">
        <v>10303</v>
      </c>
      <c r="B10304">
        <f>TEXT(10303, "[$-0E0000]yyyy-mm-dd")</f>
        <v/>
      </c>
      <c r="C10304" t="inlineStr">
        <is>
          <t>1928-02-26</t>
        </is>
      </c>
    </row>
    <row r="10305">
      <c r="A10305" s="1" t="n">
        <v>10304</v>
      </c>
      <c r="B10305">
        <f>TEXT(10304, "[$-0E0000]yyyy-mm-dd")</f>
        <v/>
      </c>
      <c r="C10305" t="inlineStr">
        <is>
          <t>1928-02-27</t>
        </is>
      </c>
    </row>
    <row r="10306">
      <c r="A10306" s="1" t="n">
        <v>10305</v>
      </c>
      <c r="B10306">
        <f>TEXT(10305, "[$-0E0000]yyyy-mm-dd")</f>
        <v/>
      </c>
      <c r="C10306" t="inlineStr">
        <is>
          <t>1928-02-28</t>
        </is>
      </c>
    </row>
    <row r="10307">
      <c r="A10307" s="1" t="n">
        <v>10306</v>
      </c>
      <c r="B10307">
        <f>TEXT(10306, "[$-0E0000]yyyy-mm-dd")</f>
        <v/>
      </c>
      <c r="C10307" t="inlineStr">
        <is>
          <t>1928-02-29</t>
        </is>
      </c>
    </row>
    <row r="10308">
      <c r="A10308" s="1" t="n">
        <v>10307</v>
      </c>
      <c r="B10308">
        <f>TEXT(10307, "[$-0E0000]yyyy-mm-dd")</f>
        <v/>
      </c>
      <c r="C10308" t="inlineStr">
        <is>
          <t>1928-02-30</t>
        </is>
      </c>
    </row>
    <row r="10309">
      <c r="A10309" s="1" t="n">
        <v>10308</v>
      </c>
      <c r="B10309">
        <f>TEXT(10308, "[$-0E0000]yyyy-mm-dd")</f>
        <v/>
      </c>
      <c r="C10309" t="inlineStr">
        <is>
          <t>1928-02-01</t>
        </is>
      </c>
    </row>
    <row r="10310">
      <c r="A10310" s="1" t="n">
        <v>10309</v>
      </c>
      <c r="B10310">
        <f>TEXT(10309, "[$-0E0000]yyyy-mm-dd")</f>
        <v/>
      </c>
      <c r="C10310" t="inlineStr">
        <is>
          <t>1928-02-02</t>
        </is>
      </c>
    </row>
    <row r="10311">
      <c r="A10311" s="1" t="n">
        <v>10310</v>
      </c>
      <c r="B10311">
        <f>TEXT(10310, "[$-0E0000]yyyy-mm-dd")</f>
        <v/>
      </c>
      <c r="C10311" t="inlineStr">
        <is>
          <t>1928-02-03</t>
        </is>
      </c>
    </row>
    <row r="10312">
      <c r="A10312" s="1" t="n">
        <v>10311</v>
      </c>
      <c r="B10312">
        <f>TEXT(10311, "[$-0E0000]yyyy-mm-dd")</f>
        <v/>
      </c>
      <c r="C10312" t="inlineStr">
        <is>
          <t>1928-02-04</t>
        </is>
      </c>
    </row>
    <row r="10313">
      <c r="A10313" s="1" t="n">
        <v>10312</v>
      </c>
      <c r="B10313">
        <f>TEXT(10312, "[$-0E0000]yyyy-mm-dd")</f>
        <v/>
      </c>
      <c r="C10313" t="inlineStr">
        <is>
          <t>1928-02-05</t>
        </is>
      </c>
    </row>
    <row r="10314">
      <c r="A10314" s="1" t="n">
        <v>10313</v>
      </c>
      <c r="B10314">
        <f>TEXT(10313, "[$-0E0000]yyyy-mm-dd")</f>
        <v/>
      </c>
      <c r="C10314" t="inlineStr">
        <is>
          <t>1928-02-06</t>
        </is>
      </c>
    </row>
    <row r="10315">
      <c r="A10315" s="1" t="n">
        <v>10314</v>
      </c>
      <c r="B10315">
        <f>TEXT(10314, "[$-0E0000]yyyy-mm-dd")</f>
        <v/>
      </c>
      <c r="C10315" t="inlineStr">
        <is>
          <t>1928-02-07</t>
        </is>
      </c>
    </row>
    <row r="10316">
      <c r="A10316" s="1" t="n">
        <v>10315</v>
      </c>
      <c r="B10316">
        <f>TEXT(10315, "[$-0E0000]yyyy-mm-dd")</f>
        <v/>
      </c>
      <c r="C10316" t="inlineStr">
        <is>
          <t>1928-02-08</t>
        </is>
      </c>
    </row>
    <row r="10317">
      <c r="A10317" s="1" t="n">
        <v>10316</v>
      </c>
      <c r="B10317">
        <f>TEXT(10316, "[$-0E0000]yyyy-mm-dd")</f>
        <v/>
      </c>
      <c r="C10317" t="inlineStr">
        <is>
          <t>1928-02-09</t>
        </is>
      </c>
    </row>
    <row r="10318">
      <c r="A10318" s="1" t="n">
        <v>10317</v>
      </c>
      <c r="B10318">
        <f>TEXT(10317, "[$-0E0000]yyyy-mm-dd")</f>
        <v/>
      </c>
      <c r="C10318" t="inlineStr">
        <is>
          <t>1928-02-10</t>
        </is>
      </c>
    </row>
    <row r="10319">
      <c r="A10319" s="1" t="n">
        <v>10318</v>
      </c>
      <c r="B10319">
        <f>TEXT(10318, "[$-0E0000]yyyy-mm-dd")</f>
        <v/>
      </c>
      <c r="C10319" t="inlineStr">
        <is>
          <t>1928-02-11</t>
        </is>
      </c>
    </row>
    <row r="10320">
      <c r="A10320" s="1" t="n">
        <v>10319</v>
      </c>
      <c r="B10320">
        <f>TEXT(10319, "[$-0E0000]yyyy-mm-dd")</f>
        <v/>
      </c>
      <c r="C10320" t="inlineStr">
        <is>
          <t>1928-02-12</t>
        </is>
      </c>
    </row>
    <row r="10321">
      <c r="A10321" s="1" t="n">
        <v>10320</v>
      </c>
      <c r="B10321">
        <f>TEXT(10320, "[$-0E0000]yyyy-mm-dd")</f>
        <v/>
      </c>
      <c r="C10321" t="inlineStr">
        <is>
          <t>1928-02-13</t>
        </is>
      </c>
    </row>
    <row r="10322">
      <c r="A10322" s="1" t="n">
        <v>10321</v>
      </c>
      <c r="B10322">
        <f>TEXT(10321, "[$-0E0000]yyyy-mm-dd")</f>
        <v/>
      </c>
      <c r="C10322" t="inlineStr">
        <is>
          <t>1928-02-14</t>
        </is>
      </c>
    </row>
    <row r="10323">
      <c r="A10323" s="1" t="n">
        <v>10322</v>
      </c>
      <c r="B10323">
        <f>TEXT(10322, "[$-0E0000]yyyy-mm-dd")</f>
        <v/>
      </c>
      <c r="C10323" t="inlineStr">
        <is>
          <t>1928-02-15</t>
        </is>
      </c>
    </row>
    <row r="10324">
      <c r="A10324" s="1" t="n">
        <v>10323</v>
      </c>
      <c r="B10324">
        <f>TEXT(10323, "[$-0E0000]yyyy-mm-dd")</f>
        <v/>
      </c>
      <c r="C10324" t="inlineStr">
        <is>
          <t>1928-02-16</t>
        </is>
      </c>
    </row>
    <row r="10325">
      <c r="A10325" s="1" t="n">
        <v>10324</v>
      </c>
      <c r="B10325">
        <f>TEXT(10324, "[$-0E0000]yyyy-mm-dd")</f>
        <v/>
      </c>
      <c r="C10325" t="inlineStr">
        <is>
          <t>1928-02-17</t>
        </is>
      </c>
    </row>
    <row r="10326">
      <c r="A10326" s="1" t="n">
        <v>10325</v>
      </c>
      <c r="B10326">
        <f>TEXT(10325, "[$-0E0000]yyyy-mm-dd")</f>
        <v/>
      </c>
      <c r="C10326" t="inlineStr">
        <is>
          <t>1928-02-18</t>
        </is>
      </c>
    </row>
    <row r="10327">
      <c r="A10327" s="1" t="n">
        <v>10326</v>
      </c>
      <c r="B10327">
        <f>TEXT(10326, "[$-0E0000]yyyy-mm-dd")</f>
        <v/>
      </c>
      <c r="C10327" t="inlineStr">
        <is>
          <t>1928-02-19</t>
        </is>
      </c>
    </row>
    <row r="10328">
      <c r="A10328" s="1" t="n">
        <v>10327</v>
      </c>
      <c r="B10328">
        <f>TEXT(10327, "[$-0E0000]yyyy-mm-dd")</f>
        <v/>
      </c>
      <c r="C10328" t="inlineStr">
        <is>
          <t>1928-02-20</t>
        </is>
      </c>
    </row>
    <row r="10329">
      <c r="A10329" s="1" t="n">
        <v>10328</v>
      </c>
      <c r="B10329">
        <f>TEXT(10328, "[$-0E0000]yyyy-mm-dd")</f>
        <v/>
      </c>
      <c r="C10329" t="inlineStr">
        <is>
          <t>1928-02-21</t>
        </is>
      </c>
    </row>
    <row r="10330">
      <c r="A10330" s="1" t="n">
        <v>10329</v>
      </c>
      <c r="B10330">
        <f>TEXT(10329, "[$-0E0000]yyyy-mm-dd")</f>
        <v/>
      </c>
      <c r="C10330" t="inlineStr">
        <is>
          <t>1928-02-22</t>
        </is>
      </c>
    </row>
    <row r="10331">
      <c r="A10331" s="1" t="n">
        <v>10330</v>
      </c>
      <c r="B10331">
        <f>TEXT(10330, "[$-0E0000]yyyy-mm-dd")</f>
        <v/>
      </c>
      <c r="C10331" t="inlineStr">
        <is>
          <t>1928-02-23</t>
        </is>
      </c>
    </row>
    <row r="10332">
      <c r="A10332" s="1" t="n">
        <v>10331</v>
      </c>
      <c r="B10332">
        <f>TEXT(10331, "[$-0E0000]yyyy-mm-dd")</f>
        <v/>
      </c>
      <c r="C10332" t="inlineStr">
        <is>
          <t>1928-02-24</t>
        </is>
      </c>
    </row>
    <row r="10333">
      <c r="A10333" s="1" t="n">
        <v>10332</v>
      </c>
      <c r="B10333">
        <f>TEXT(10332, "[$-0E0000]yyyy-mm-dd")</f>
        <v/>
      </c>
      <c r="C10333" t="inlineStr">
        <is>
          <t>1928-02-25</t>
        </is>
      </c>
    </row>
    <row r="10334">
      <c r="A10334" s="1" t="n">
        <v>10333</v>
      </c>
      <c r="B10334">
        <f>TEXT(10333, "[$-0E0000]yyyy-mm-dd")</f>
        <v/>
      </c>
      <c r="C10334" t="inlineStr">
        <is>
          <t>1928-02-26</t>
        </is>
      </c>
    </row>
    <row r="10335">
      <c r="A10335" s="1" t="n">
        <v>10334</v>
      </c>
      <c r="B10335">
        <f>TEXT(10334, "[$-0E0000]yyyy-mm-dd")</f>
        <v/>
      </c>
      <c r="C10335" t="inlineStr">
        <is>
          <t>1928-02-27</t>
        </is>
      </c>
    </row>
    <row r="10336">
      <c r="A10336" s="1" t="n">
        <v>10335</v>
      </c>
      <c r="B10336">
        <f>TEXT(10335, "[$-0E0000]yyyy-mm-dd")</f>
        <v/>
      </c>
      <c r="C10336" t="inlineStr">
        <is>
          <t>1928-02-28</t>
        </is>
      </c>
    </row>
    <row r="10337">
      <c r="A10337" s="1" t="n">
        <v>10336</v>
      </c>
      <c r="B10337">
        <f>TEXT(10336, "[$-0E0000]yyyy-mm-dd")</f>
        <v/>
      </c>
      <c r="C10337" t="inlineStr">
        <is>
          <t>1928-02-29</t>
        </is>
      </c>
    </row>
    <row r="10338">
      <c r="A10338" s="1" t="n">
        <v>10337</v>
      </c>
      <c r="B10338">
        <f>TEXT(10337, "[$-0E0000]yyyy-mm-dd")</f>
        <v/>
      </c>
      <c r="C10338" t="inlineStr">
        <is>
          <t>1928-03-01</t>
        </is>
      </c>
    </row>
    <row r="10339">
      <c r="A10339" s="1" t="n">
        <v>10338</v>
      </c>
      <c r="B10339">
        <f>TEXT(10338, "[$-0E0000]yyyy-mm-dd")</f>
        <v/>
      </c>
      <c r="C10339" t="inlineStr">
        <is>
          <t>1928-03-02</t>
        </is>
      </c>
    </row>
    <row r="10340">
      <c r="A10340" s="1" t="n">
        <v>10339</v>
      </c>
      <c r="B10340">
        <f>TEXT(10339, "[$-0E0000]yyyy-mm-dd")</f>
        <v/>
      </c>
      <c r="C10340" t="inlineStr">
        <is>
          <t>1928-03-03</t>
        </is>
      </c>
    </row>
    <row r="10341">
      <c r="A10341" s="1" t="n">
        <v>10340</v>
      </c>
      <c r="B10341">
        <f>TEXT(10340, "[$-0E0000]yyyy-mm-dd")</f>
        <v/>
      </c>
      <c r="C10341" t="inlineStr">
        <is>
          <t>1928-03-04</t>
        </is>
      </c>
    </row>
    <row r="10342">
      <c r="A10342" s="1" t="n">
        <v>10341</v>
      </c>
      <c r="B10342">
        <f>TEXT(10341, "[$-0E0000]yyyy-mm-dd")</f>
        <v/>
      </c>
      <c r="C10342" t="inlineStr">
        <is>
          <t>1928-03-05</t>
        </is>
      </c>
    </row>
    <row r="10343">
      <c r="A10343" s="1" t="n">
        <v>10342</v>
      </c>
      <c r="B10343">
        <f>TEXT(10342, "[$-0E0000]yyyy-mm-dd")</f>
        <v/>
      </c>
      <c r="C10343" t="inlineStr">
        <is>
          <t>1928-03-06</t>
        </is>
      </c>
    </row>
    <row r="10344">
      <c r="A10344" s="1" t="n">
        <v>10343</v>
      </c>
      <c r="B10344">
        <f>TEXT(10343, "[$-0E0000]yyyy-mm-dd")</f>
        <v/>
      </c>
      <c r="C10344" t="inlineStr">
        <is>
          <t>1928-03-07</t>
        </is>
      </c>
    </row>
    <row r="10345">
      <c r="A10345" s="1" t="n">
        <v>10344</v>
      </c>
      <c r="B10345">
        <f>TEXT(10344, "[$-0E0000]yyyy-mm-dd")</f>
        <v/>
      </c>
      <c r="C10345" t="inlineStr">
        <is>
          <t>1928-03-08</t>
        </is>
      </c>
    </row>
    <row r="10346">
      <c r="A10346" s="1" t="n">
        <v>10345</v>
      </c>
      <c r="B10346">
        <f>TEXT(10345, "[$-0E0000]yyyy-mm-dd")</f>
        <v/>
      </c>
      <c r="C10346" t="inlineStr">
        <is>
          <t>1928-03-09</t>
        </is>
      </c>
    </row>
    <row r="10347">
      <c r="A10347" s="1" t="n">
        <v>10346</v>
      </c>
      <c r="B10347">
        <f>TEXT(10346, "[$-0E0000]yyyy-mm-dd")</f>
        <v/>
      </c>
      <c r="C10347" t="inlineStr">
        <is>
          <t>1928-03-10</t>
        </is>
      </c>
    </row>
    <row r="10348">
      <c r="A10348" s="1" t="n">
        <v>10347</v>
      </c>
      <c r="B10348">
        <f>TEXT(10347, "[$-0E0000]yyyy-mm-dd")</f>
        <v/>
      </c>
      <c r="C10348" t="inlineStr">
        <is>
          <t>1928-03-11</t>
        </is>
      </c>
    </row>
    <row r="10349">
      <c r="A10349" s="1" t="n">
        <v>10348</v>
      </c>
      <c r="B10349">
        <f>TEXT(10348, "[$-0E0000]yyyy-mm-dd")</f>
        <v/>
      </c>
      <c r="C10349" t="inlineStr">
        <is>
          <t>1928-03-12</t>
        </is>
      </c>
    </row>
    <row r="10350">
      <c r="A10350" s="1" t="n">
        <v>10349</v>
      </c>
      <c r="B10350">
        <f>TEXT(10349, "[$-0E0000]yyyy-mm-dd")</f>
        <v/>
      </c>
      <c r="C10350" t="inlineStr">
        <is>
          <t>1928-03-13</t>
        </is>
      </c>
    </row>
    <row r="10351">
      <c r="A10351" s="1" t="n">
        <v>10350</v>
      </c>
      <c r="B10351">
        <f>TEXT(10350, "[$-0E0000]yyyy-mm-dd")</f>
        <v/>
      </c>
      <c r="C10351" t="inlineStr">
        <is>
          <t>1928-03-14</t>
        </is>
      </c>
    </row>
    <row r="10352">
      <c r="A10352" s="1" t="n">
        <v>10351</v>
      </c>
      <c r="B10352">
        <f>TEXT(10351, "[$-0E0000]yyyy-mm-dd")</f>
        <v/>
      </c>
      <c r="C10352" t="inlineStr">
        <is>
          <t>1928-03-15</t>
        </is>
      </c>
    </row>
    <row r="10353">
      <c r="A10353" s="1" t="n">
        <v>10352</v>
      </c>
      <c r="B10353">
        <f>TEXT(10352, "[$-0E0000]yyyy-mm-dd")</f>
        <v/>
      </c>
      <c r="C10353" t="inlineStr">
        <is>
          <t>1928-03-16</t>
        </is>
      </c>
    </row>
    <row r="10354">
      <c r="A10354" s="1" t="n">
        <v>10353</v>
      </c>
      <c r="B10354">
        <f>TEXT(10353, "[$-0E0000]yyyy-mm-dd")</f>
        <v/>
      </c>
      <c r="C10354" t="inlineStr">
        <is>
          <t>1928-03-17</t>
        </is>
      </c>
    </row>
    <row r="10355">
      <c r="A10355" s="1" t="n">
        <v>10354</v>
      </c>
      <c r="B10355">
        <f>TEXT(10354, "[$-0E0000]yyyy-mm-dd")</f>
        <v/>
      </c>
      <c r="C10355" t="inlineStr">
        <is>
          <t>1928-03-18</t>
        </is>
      </c>
    </row>
    <row r="10356">
      <c r="A10356" s="1" t="n">
        <v>10355</v>
      </c>
      <c r="B10356">
        <f>TEXT(10355, "[$-0E0000]yyyy-mm-dd")</f>
        <v/>
      </c>
      <c r="C10356" t="inlineStr">
        <is>
          <t>1928-03-19</t>
        </is>
      </c>
    </row>
    <row r="10357">
      <c r="A10357" s="1" t="n">
        <v>10356</v>
      </c>
      <c r="B10357">
        <f>TEXT(10356, "[$-0E0000]yyyy-mm-dd")</f>
        <v/>
      </c>
      <c r="C10357" t="inlineStr">
        <is>
          <t>1928-03-20</t>
        </is>
      </c>
    </row>
    <row r="10358">
      <c r="A10358" s="1" t="n">
        <v>10357</v>
      </c>
      <c r="B10358">
        <f>TEXT(10357, "[$-0E0000]yyyy-mm-dd")</f>
        <v/>
      </c>
      <c r="C10358" t="inlineStr">
        <is>
          <t>1928-03-21</t>
        </is>
      </c>
    </row>
    <row r="10359">
      <c r="A10359" s="1" t="n">
        <v>10358</v>
      </c>
      <c r="B10359">
        <f>TEXT(10358, "[$-0E0000]yyyy-mm-dd")</f>
        <v/>
      </c>
      <c r="C10359" t="inlineStr">
        <is>
          <t>1928-03-22</t>
        </is>
      </c>
    </row>
    <row r="10360">
      <c r="A10360" s="1" t="n">
        <v>10359</v>
      </c>
      <c r="B10360">
        <f>TEXT(10359, "[$-0E0000]yyyy-mm-dd")</f>
        <v/>
      </c>
      <c r="C10360" t="inlineStr">
        <is>
          <t>1928-03-23</t>
        </is>
      </c>
    </row>
    <row r="10361">
      <c r="A10361" s="1" t="n">
        <v>10360</v>
      </c>
      <c r="B10361">
        <f>TEXT(10360, "[$-0E0000]yyyy-mm-dd")</f>
        <v/>
      </c>
      <c r="C10361" t="inlineStr">
        <is>
          <t>1928-03-24</t>
        </is>
      </c>
    </row>
    <row r="10362">
      <c r="A10362" s="1" t="n">
        <v>10361</v>
      </c>
      <c r="B10362">
        <f>TEXT(10361, "[$-0E0000]yyyy-mm-dd")</f>
        <v/>
      </c>
      <c r="C10362" t="inlineStr">
        <is>
          <t>1928-03-25</t>
        </is>
      </c>
    </row>
    <row r="10363">
      <c r="A10363" s="1" t="n">
        <v>10362</v>
      </c>
      <c r="B10363">
        <f>TEXT(10362, "[$-0E0000]yyyy-mm-dd")</f>
        <v/>
      </c>
      <c r="C10363" t="inlineStr">
        <is>
          <t>1928-03-26</t>
        </is>
      </c>
    </row>
    <row r="10364">
      <c r="A10364" s="1" t="n">
        <v>10363</v>
      </c>
      <c r="B10364">
        <f>TEXT(10363, "[$-0E0000]yyyy-mm-dd")</f>
        <v/>
      </c>
      <c r="C10364" t="inlineStr">
        <is>
          <t>1928-03-27</t>
        </is>
      </c>
    </row>
    <row r="10365">
      <c r="A10365" s="1" t="n">
        <v>10364</v>
      </c>
      <c r="B10365">
        <f>TEXT(10364, "[$-0E0000]yyyy-mm-dd")</f>
        <v/>
      </c>
      <c r="C10365" t="inlineStr">
        <is>
          <t>1928-03-28</t>
        </is>
      </c>
    </row>
    <row r="10366">
      <c r="A10366" s="1" t="n">
        <v>10365</v>
      </c>
      <c r="B10366">
        <f>TEXT(10365, "[$-0E0000]yyyy-mm-dd")</f>
        <v/>
      </c>
      <c r="C10366" t="inlineStr">
        <is>
          <t>1928-03-29</t>
        </is>
      </c>
    </row>
    <row r="10367">
      <c r="A10367" s="1" t="n">
        <v>10366</v>
      </c>
      <c r="B10367">
        <f>TEXT(10366, "[$-0E0000]yyyy-mm-dd")</f>
        <v/>
      </c>
      <c r="C10367" t="inlineStr">
        <is>
          <t>1928-04-01</t>
        </is>
      </c>
    </row>
    <row r="10368">
      <c r="A10368" s="1" t="n">
        <v>10367</v>
      </c>
      <c r="B10368">
        <f>TEXT(10367, "[$-0E0000]yyyy-mm-dd")</f>
        <v/>
      </c>
      <c r="C10368" t="inlineStr">
        <is>
          <t>1928-04-02</t>
        </is>
      </c>
    </row>
    <row r="10369">
      <c r="A10369" s="1" t="n">
        <v>10368</v>
      </c>
      <c r="B10369">
        <f>TEXT(10368, "[$-0E0000]yyyy-mm-dd")</f>
        <v/>
      </c>
      <c r="C10369" t="inlineStr">
        <is>
          <t>1928-04-03</t>
        </is>
      </c>
    </row>
    <row r="10370">
      <c r="A10370" s="1" t="n">
        <v>10369</v>
      </c>
      <c r="B10370">
        <f>TEXT(10369, "[$-0E0000]yyyy-mm-dd")</f>
        <v/>
      </c>
      <c r="C10370" t="inlineStr">
        <is>
          <t>1928-04-04</t>
        </is>
      </c>
    </row>
    <row r="10371">
      <c r="A10371" s="1" t="n">
        <v>10370</v>
      </c>
      <c r="B10371">
        <f>TEXT(10370, "[$-0E0000]yyyy-mm-dd")</f>
        <v/>
      </c>
      <c r="C10371" t="inlineStr">
        <is>
          <t>1928-04-05</t>
        </is>
      </c>
    </row>
    <row r="10372">
      <c r="A10372" s="1" t="n">
        <v>10371</v>
      </c>
      <c r="B10372">
        <f>TEXT(10371, "[$-0E0000]yyyy-mm-dd")</f>
        <v/>
      </c>
      <c r="C10372" t="inlineStr">
        <is>
          <t>1928-04-06</t>
        </is>
      </c>
    </row>
    <row r="10373">
      <c r="A10373" s="1" t="n">
        <v>10372</v>
      </c>
      <c r="B10373">
        <f>TEXT(10372, "[$-0E0000]yyyy-mm-dd")</f>
        <v/>
      </c>
      <c r="C10373" t="inlineStr">
        <is>
          <t>1928-04-07</t>
        </is>
      </c>
    </row>
    <row r="10374">
      <c r="A10374" s="1" t="n">
        <v>10373</v>
      </c>
      <c r="B10374">
        <f>TEXT(10373, "[$-0E0000]yyyy-mm-dd")</f>
        <v/>
      </c>
      <c r="C10374" t="inlineStr">
        <is>
          <t>1928-04-08</t>
        </is>
      </c>
    </row>
    <row r="10375">
      <c r="A10375" s="1" t="n">
        <v>10374</v>
      </c>
      <c r="B10375">
        <f>TEXT(10374, "[$-0E0000]yyyy-mm-dd")</f>
        <v/>
      </c>
      <c r="C10375" t="inlineStr">
        <is>
          <t>1928-04-09</t>
        </is>
      </c>
    </row>
    <row r="10376">
      <c r="A10376" s="1" t="n">
        <v>10375</v>
      </c>
      <c r="B10376">
        <f>TEXT(10375, "[$-0E0000]yyyy-mm-dd")</f>
        <v/>
      </c>
      <c r="C10376" t="inlineStr">
        <is>
          <t>1928-04-10</t>
        </is>
      </c>
    </row>
    <row r="10377">
      <c r="A10377" s="1" t="n">
        <v>10376</v>
      </c>
      <c r="B10377">
        <f>TEXT(10376, "[$-0E0000]yyyy-mm-dd")</f>
        <v/>
      </c>
      <c r="C10377" t="inlineStr">
        <is>
          <t>1928-04-11</t>
        </is>
      </c>
    </row>
    <row r="10378">
      <c r="A10378" s="1" t="n">
        <v>10377</v>
      </c>
      <c r="B10378">
        <f>TEXT(10377, "[$-0E0000]yyyy-mm-dd")</f>
        <v/>
      </c>
      <c r="C10378" t="inlineStr">
        <is>
          <t>1928-04-12</t>
        </is>
      </c>
    </row>
    <row r="10379">
      <c r="A10379" s="1" t="n">
        <v>10378</v>
      </c>
      <c r="B10379">
        <f>TEXT(10378, "[$-0E0000]yyyy-mm-dd")</f>
        <v/>
      </c>
      <c r="C10379" t="inlineStr">
        <is>
          <t>1928-04-13</t>
        </is>
      </c>
    </row>
    <row r="10380">
      <c r="A10380" s="1" t="n">
        <v>10379</v>
      </c>
      <c r="B10380">
        <f>TEXT(10379, "[$-0E0000]yyyy-mm-dd")</f>
        <v/>
      </c>
      <c r="C10380" t="inlineStr">
        <is>
          <t>1928-04-14</t>
        </is>
      </c>
    </row>
    <row r="10381">
      <c r="A10381" s="1" t="n">
        <v>10380</v>
      </c>
      <c r="B10381">
        <f>TEXT(10380, "[$-0E0000]yyyy-mm-dd")</f>
        <v/>
      </c>
      <c r="C10381" t="inlineStr">
        <is>
          <t>1928-04-15</t>
        </is>
      </c>
    </row>
    <row r="10382">
      <c r="A10382" s="1" t="n">
        <v>10381</v>
      </c>
      <c r="B10382">
        <f>TEXT(10381, "[$-0E0000]yyyy-mm-dd")</f>
        <v/>
      </c>
      <c r="C10382" t="inlineStr">
        <is>
          <t>1928-04-16</t>
        </is>
      </c>
    </row>
    <row r="10383">
      <c r="A10383" s="1" t="n">
        <v>10382</v>
      </c>
      <c r="B10383">
        <f>TEXT(10382, "[$-0E0000]yyyy-mm-dd")</f>
        <v/>
      </c>
      <c r="C10383" t="inlineStr">
        <is>
          <t>1928-04-17</t>
        </is>
      </c>
    </row>
    <row r="10384">
      <c r="A10384" s="1" t="n">
        <v>10383</v>
      </c>
      <c r="B10384">
        <f>TEXT(10383, "[$-0E0000]yyyy-mm-dd")</f>
        <v/>
      </c>
      <c r="C10384" t="inlineStr">
        <is>
          <t>1928-04-18</t>
        </is>
      </c>
    </row>
    <row r="10385">
      <c r="A10385" s="1" t="n">
        <v>10384</v>
      </c>
      <c r="B10385">
        <f>TEXT(10384, "[$-0E0000]yyyy-mm-dd")</f>
        <v/>
      </c>
      <c r="C10385" t="inlineStr">
        <is>
          <t>1928-04-19</t>
        </is>
      </c>
    </row>
    <row r="10386">
      <c r="A10386" s="1" t="n">
        <v>10385</v>
      </c>
      <c r="B10386">
        <f>TEXT(10385, "[$-0E0000]yyyy-mm-dd")</f>
        <v/>
      </c>
      <c r="C10386" t="inlineStr">
        <is>
          <t>1928-04-20</t>
        </is>
      </c>
    </row>
    <row r="10387">
      <c r="A10387" s="1" t="n">
        <v>10386</v>
      </c>
      <c r="B10387">
        <f>TEXT(10386, "[$-0E0000]yyyy-mm-dd")</f>
        <v/>
      </c>
      <c r="C10387" t="inlineStr">
        <is>
          <t>1928-04-21</t>
        </is>
      </c>
    </row>
    <row r="10388">
      <c r="A10388" s="1" t="n">
        <v>10387</v>
      </c>
      <c r="B10388">
        <f>TEXT(10387, "[$-0E0000]yyyy-mm-dd")</f>
        <v/>
      </c>
      <c r="C10388" t="inlineStr">
        <is>
          <t>1928-04-22</t>
        </is>
      </c>
    </row>
    <row r="10389">
      <c r="A10389" s="1" t="n">
        <v>10388</v>
      </c>
      <c r="B10389">
        <f>TEXT(10388, "[$-0E0000]yyyy-mm-dd")</f>
        <v/>
      </c>
      <c r="C10389" t="inlineStr">
        <is>
          <t>1928-04-23</t>
        </is>
      </c>
    </row>
    <row r="10390">
      <c r="A10390" s="1" t="n">
        <v>10389</v>
      </c>
      <c r="B10390">
        <f>TEXT(10389, "[$-0E0000]yyyy-mm-dd")</f>
        <v/>
      </c>
      <c r="C10390" t="inlineStr">
        <is>
          <t>1928-04-24</t>
        </is>
      </c>
    </row>
    <row r="10391">
      <c r="A10391" s="1" t="n">
        <v>10390</v>
      </c>
      <c r="B10391">
        <f>TEXT(10390, "[$-0E0000]yyyy-mm-dd")</f>
        <v/>
      </c>
      <c r="C10391" t="inlineStr">
        <is>
          <t>1928-04-25</t>
        </is>
      </c>
    </row>
    <row r="10392">
      <c r="A10392" s="1" t="n">
        <v>10391</v>
      </c>
      <c r="B10392">
        <f>TEXT(10391, "[$-0E0000]yyyy-mm-dd")</f>
        <v/>
      </c>
      <c r="C10392" t="inlineStr">
        <is>
          <t>1928-04-26</t>
        </is>
      </c>
    </row>
    <row r="10393">
      <c r="A10393" s="1" t="n">
        <v>10392</v>
      </c>
      <c r="B10393">
        <f>TEXT(10392, "[$-0E0000]yyyy-mm-dd")</f>
        <v/>
      </c>
      <c r="C10393" t="inlineStr">
        <is>
          <t>1928-04-27</t>
        </is>
      </c>
    </row>
    <row r="10394">
      <c r="A10394" s="1" t="n">
        <v>10393</v>
      </c>
      <c r="B10394">
        <f>TEXT(10393, "[$-0E0000]yyyy-mm-dd")</f>
        <v/>
      </c>
      <c r="C10394" t="inlineStr">
        <is>
          <t>1928-04-28</t>
        </is>
      </c>
    </row>
    <row r="10395">
      <c r="A10395" s="1" t="n">
        <v>10394</v>
      </c>
      <c r="B10395">
        <f>TEXT(10394, "[$-0E0000]yyyy-mm-dd")</f>
        <v/>
      </c>
      <c r="C10395" t="inlineStr">
        <is>
          <t>1928-04-29</t>
        </is>
      </c>
    </row>
    <row r="10396">
      <c r="A10396" s="1" t="n">
        <v>10395</v>
      </c>
      <c r="B10396">
        <f>TEXT(10395, "[$-0E0000]yyyy-mm-dd")</f>
        <v/>
      </c>
      <c r="C10396" t="inlineStr">
        <is>
          <t>1928-04-30</t>
        </is>
      </c>
    </row>
    <row r="10397">
      <c r="A10397" s="1" t="n">
        <v>10396</v>
      </c>
      <c r="B10397">
        <f>TEXT(10396, "[$-0E0000]yyyy-mm-dd")</f>
        <v/>
      </c>
      <c r="C10397" t="inlineStr">
        <is>
          <t>1928-05-01</t>
        </is>
      </c>
    </row>
    <row r="10398">
      <c r="A10398" s="1" t="n">
        <v>10397</v>
      </c>
      <c r="B10398">
        <f>TEXT(10397, "[$-0E0000]yyyy-mm-dd")</f>
        <v/>
      </c>
      <c r="C10398" t="inlineStr">
        <is>
          <t>1928-05-02</t>
        </is>
      </c>
    </row>
    <row r="10399">
      <c r="A10399" s="1" t="n">
        <v>10398</v>
      </c>
      <c r="B10399">
        <f>TEXT(10398, "[$-0E0000]yyyy-mm-dd")</f>
        <v/>
      </c>
      <c r="C10399" t="inlineStr">
        <is>
          <t>1928-05-03</t>
        </is>
      </c>
    </row>
    <row r="10400">
      <c r="A10400" s="1" t="n">
        <v>10399</v>
      </c>
      <c r="B10400">
        <f>TEXT(10399, "[$-0E0000]yyyy-mm-dd")</f>
        <v/>
      </c>
      <c r="C10400" t="inlineStr">
        <is>
          <t>1928-05-04</t>
        </is>
      </c>
    </row>
    <row r="10401">
      <c r="A10401" s="1" t="n">
        <v>10400</v>
      </c>
      <c r="B10401">
        <f>TEXT(10400, "[$-0E0000]yyyy-mm-dd")</f>
        <v/>
      </c>
      <c r="C10401" t="inlineStr">
        <is>
          <t>1928-05-05</t>
        </is>
      </c>
    </row>
    <row r="10402">
      <c r="A10402" s="1" t="n">
        <v>10401</v>
      </c>
      <c r="B10402">
        <f>TEXT(10401, "[$-0E0000]yyyy-mm-dd")</f>
        <v/>
      </c>
      <c r="C10402" t="inlineStr">
        <is>
          <t>1928-05-06</t>
        </is>
      </c>
    </row>
    <row r="10403">
      <c r="A10403" s="1" t="n">
        <v>10402</v>
      </c>
      <c r="B10403">
        <f>TEXT(10402, "[$-0E0000]yyyy-mm-dd")</f>
        <v/>
      </c>
      <c r="C10403" t="inlineStr">
        <is>
          <t>1928-05-07</t>
        </is>
      </c>
    </row>
    <row r="10404">
      <c r="A10404" s="1" t="n">
        <v>10403</v>
      </c>
      <c r="B10404">
        <f>TEXT(10403, "[$-0E0000]yyyy-mm-dd")</f>
        <v/>
      </c>
      <c r="C10404" t="inlineStr">
        <is>
          <t>1928-05-08</t>
        </is>
      </c>
    </row>
    <row r="10405">
      <c r="A10405" s="1" t="n">
        <v>10404</v>
      </c>
      <c r="B10405">
        <f>TEXT(10404, "[$-0E0000]yyyy-mm-dd")</f>
        <v/>
      </c>
      <c r="C10405" t="inlineStr">
        <is>
          <t>1928-05-09</t>
        </is>
      </c>
    </row>
    <row r="10406">
      <c r="A10406" s="1" t="n">
        <v>10405</v>
      </c>
      <c r="B10406">
        <f>TEXT(10405, "[$-0E0000]yyyy-mm-dd")</f>
        <v/>
      </c>
      <c r="C10406" t="inlineStr">
        <is>
          <t>1928-05-10</t>
        </is>
      </c>
    </row>
    <row r="10407">
      <c r="A10407" s="1" t="n">
        <v>10406</v>
      </c>
      <c r="B10407">
        <f>TEXT(10406, "[$-0E0000]yyyy-mm-dd")</f>
        <v/>
      </c>
      <c r="C10407" t="inlineStr">
        <is>
          <t>1928-05-11</t>
        </is>
      </c>
    </row>
    <row r="10408">
      <c r="A10408" s="1" t="n">
        <v>10407</v>
      </c>
      <c r="B10408">
        <f>TEXT(10407, "[$-0E0000]yyyy-mm-dd")</f>
        <v/>
      </c>
      <c r="C10408" t="inlineStr">
        <is>
          <t>1928-05-12</t>
        </is>
      </c>
    </row>
    <row r="10409">
      <c r="A10409" s="1" t="n">
        <v>10408</v>
      </c>
      <c r="B10409">
        <f>TEXT(10408, "[$-0E0000]yyyy-mm-dd")</f>
        <v/>
      </c>
      <c r="C10409" t="inlineStr">
        <is>
          <t>1928-05-13</t>
        </is>
      </c>
    </row>
    <row r="10410">
      <c r="A10410" s="1" t="n">
        <v>10409</v>
      </c>
      <c r="B10410">
        <f>TEXT(10409, "[$-0E0000]yyyy-mm-dd")</f>
        <v/>
      </c>
      <c r="C10410" t="inlineStr">
        <is>
          <t>1928-05-14</t>
        </is>
      </c>
    </row>
    <row r="10411">
      <c r="A10411" s="1" t="n">
        <v>10410</v>
      </c>
      <c r="B10411">
        <f>TEXT(10410, "[$-0E0000]yyyy-mm-dd")</f>
        <v/>
      </c>
      <c r="C10411" t="inlineStr">
        <is>
          <t>1928-05-15</t>
        </is>
      </c>
    </row>
    <row r="10412">
      <c r="A10412" s="1" t="n">
        <v>10411</v>
      </c>
      <c r="B10412">
        <f>TEXT(10411, "[$-0E0000]yyyy-mm-dd")</f>
        <v/>
      </c>
      <c r="C10412" t="inlineStr">
        <is>
          <t>1928-05-16</t>
        </is>
      </c>
    </row>
    <row r="10413">
      <c r="A10413" s="1" t="n">
        <v>10412</v>
      </c>
      <c r="B10413">
        <f>TEXT(10412, "[$-0E0000]yyyy-mm-dd")</f>
        <v/>
      </c>
      <c r="C10413" t="inlineStr">
        <is>
          <t>1928-05-17</t>
        </is>
      </c>
    </row>
    <row r="10414">
      <c r="A10414" s="1" t="n">
        <v>10413</v>
      </c>
      <c r="B10414">
        <f>TEXT(10413, "[$-0E0000]yyyy-mm-dd")</f>
        <v/>
      </c>
      <c r="C10414" t="inlineStr">
        <is>
          <t>1928-05-18</t>
        </is>
      </c>
    </row>
    <row r="10415">
      <c r="A10415" s="1" t="n">
        <v>10414</v>
      </c>
      <c r="B10415">
        <f>TEXT(10414, "[$-0E0000]yyyy-mm-dd")</f>
        <v/>
      </c>
      <c r="C10415" t="inlineStr">
        <is>
          <t>1928-05-19</t>
        </is>
      </c>
    </row>
    <row r="10416">
      <c r="A10416" s="1" t="n">
        <v>10415</v>
      </c>
      <c r="B10416">
        <f>TEXT(10415, "[$-0E0000]yyyy-mm-dd")</f>
        <v/>
      </c>
      <c r="C10416" t="inlineStr">
        <is>
          <t>1928-05-20</t>
        </is>
      </c>
    </row>
    <row r="10417">
      <c r="A10417" s="1" t="n">
        <v>10416</v>
      </c>
      <c r="B10417">
        <f>TEXT(10416, "[$-0E0000]yyyy-mm-dd")</f>
        <v/>
      </c>
      <c r="C10417" t="inlineStr">
        <is>
          <t>1928-05-21</t>
        </is>
      </c>
    </row>
    <row r="10418">
      <c r="A10418" s="1" t="n">
        <v>10417</v>
      </c>
      <c r="B10418">
        <f>TEXT(10417, "[$-0E0000]yyyy-mm-dd")</f>
        <v/>
      </c>
      <c r="C10418" t="inlineStr">
        <is>
          <t>1928-05-22</t>
        </is>
      </c>
    </row>
    <row r="10419">
      <c r="A10419" s="1" t="n">
        <v>10418</v>
      </c>
      <c r="B10419">
        <f>TEXT(10418, "[$-0E0000]yyyy-mm-dd")</f>
        <v/>
      </c>
      <c r="C10419" t="inlineStr">
        <is>
          <t>1928-05-23</t>
        </is>
      </c>
    </row>
    <row r="10420">
      <c r="A10420" s="1" t="n">
        <v>10419</v>
      </c>
      <c r="B10420">
        <f>TEXT(10419, "[$-0E0000]yyyy-mm-dd")</f>
        <v/>
      </c>
      <c r="C10420" t="inlineStr">
        <is>
          <t>1928-05-24</t>
        </is>
      </c>
    </row>
    <row r="10421">
      <c r="A10421" s="1" t="n">
        <v>10420</v>
      </c>
      <c r="B10421">
        <f>TEXT(10420, "[$-0E0000]yyyy-mm-dd")</f>
        <v/>
      </c>
      <c r="C10421" t="inlineStr">
        <is>
          <t>1928-05-25</t>
        </is>
      </c>
    </row>
    <row r="10422">
      <c r="A10422" s="1" t="n">
        <v>10421</v>
      </c>
      <c r="B10422">
        <f>TEXT(10421, "[$-0E0000]yyyy-mm-dd")</f>
        <v/>
      </c>
      <c r="C10422" t="inlineStr">
        <is>
          <t>1928-05-26</t>
        </is>
      </c>
    </row>
    <row r="10423">
      <c r="A10423" s="1" t="n">
        <v>10422</v>
      </c>
      <c r="B10423">
        <f>TEXT(10422, "[$-0E0000]yyyy-mm-dd")</f>
        <v/>
      </c>
      <c r="C10423" t="inlineStr">
        <is>
          <t>1928-05-27</t>
        </is>
      </c>
    </row>
    <row r="10424">
      <c r="A10424" s="1" t="n">
        <v>10423</v>
      </c>
      <c r="B10424">
        <f>TEXT(10423, "[$-0E0000]yyyy-mm-dd")</f>
        <v/>
      </c>
      <c r="C10424" t="inlineStr">
        <is>
          <t>1928-05-28</t>
        </is>
      </c>
    </row>
    <row r="10425">
      <c r="A10425" s="1" t="n">
        <v>10424</v>
      </c>
      <c r="B10425">
        <f>TEXT(10424, "[$-0E0000]yyyy-mm-dd")</f>
        <v/>
      </c>
      <c r="C10425" t="inlineStr">
        <is>
          <t>1928-05-29</t>
        </is>
      </c>
    </row>
    <row r="10426">
      <c r="A10426" s="1" t="n">
        <v>10425</v>
      </c>
      <c r="B10426">
        <f>TEXT(10425, "[$-0E0000]yyyy-mm-dd")</f>
        <v/>
      </c>
      <c r="C10426" t="inlineStr">
        <is>
          <t>1928-06-01</t>
        </is>
      </c>
    </row>
    <row r="10427">
      <c r="A10427" s="1" t="n">
        <v>10426</v>
      </c>
      <c r="B10427">
        <f>TEXT(10426, "[$-0E0000]yyyy-mm-dd")</f>
        <v/>
      </c>
      <c r="C10427" t="inlineStr">
        <is>
          <t>1928-06-02</t>
        </is>
      </c>
    </row>
    <row r="10428">
      <c r="A10428" s="1" t="n">
        <v>10427</v>
      </c>
      <c r="B10428">
        <f>TEXT(10427, "[$-0E0000]yyyy-mm-dd")</f>
        <v/>
      </c>
      <c r="C10428" t="inlineStr">
        <is>
          <t>1928-06-03</t>
        </is>
      </c>
    </row>
    <row r="10429">
      <c r="A10429" s="1" t="n">
        <v>10428</v>
      </c>
      <c r="B10429">
        <f>TEXT(10428, "[$-0E0000]yyyy-mm-dd")</f>
        <v/>
      </c>
      <c r="C10429" t="inlineStr">
        <is>
          <t>1928-06-04</t>
        </is>
      </c>
    </row>
    <row r="10430">
      <c r="A10430" s="1" t="n">
        <v>10429</v>
      </c>
      <c r="B10430">
        <f>TEXT(10429, "[$-0E0000]yyyy-mm-dd")</f>
        <v/>
      </c>
      <c r="C10430" t="inlineStr">
        <is>
          <t>1928-06-05</t>
        </is>
      </c>
    </row>
    <row r="10431">
      <c r="A10431" s="1" t="n">
        <v>10430</v>
      </c>
      <c r="B10431">
        <f>TEXT(10430, "[$-0E0000]yyyy-mm-dd")</f>
        <v/>
      </c>
      <c r="C10431" t="inlineStr">
        <is>
          <t>1928-06-06</t>
        </is>
      </c>
    </row>
    <row r="10432">
      <c r="A10432" s="1" t="n">
        <v>10431</v>
      </c>
      <c r="B10432">
        <f>TEXT(10431, "[$-0E0000]yyyy-mm-dd")</f>
        <v/>
      </c>
      <c r="C10432" t="inlineStr">
        <is>
          <t>1928-06-07</t>
        </is>
      </c>
    </row>
    <row r="10433">
      <c r="A10433" s="1" t="n">
        <v>10432</v>
      </c>
      <c r="B10433">
        <f>TEXT(10432, "[$-0E0000]yyyy-mm-dd")</f>
        <v/>
      </c>
      <c r="C10433" t="inlineStr">
        <is>
          <t>1928-06-08</t>
        </is>
      </c>
    </row>
    <row r="10434">
      <c r="A10434" s="1" t="n">
        <v>10433</v>
      </c>
      <c r="B10434">
        <f>TEXT(10433, "[$-0E0000]yyyy-mm-dd")</f>
        <v/>
      </c>
      <c r="C10434" t="inlineStr">
        <is>
          <t>1928-06-09</t>
        </is>
      </c>
    </row>
    <row r="10435">
      <c r="A10435" s="1" t="n">
        <v>10434</v>
      </c>
      <c r="B10435">
        <f>TEXT(10434, "[$-0E0000]yyyy-mm-dd")</f>
        <v/>
      </c>
      <c r="C10435" t="inlineStr">
        <is>
          <t>1928-06-10</t>
        </is>
      </c>
    </row>
    <row r="10436">
      <c r="A10436" s="1" t="n">
        <v>10435</v>
      </c>
      <c r="B10436">
        <f>TEXT(10435, "[$-0E0000]yyyy-mm-dd")</f>
        <v/>
      </c>
      <c r="C10436" t="inlineStr">
        <is>
          <t>1928-06-11</t>
        </is>
      </c>
    </row>
    <row r="10437">
      <c r="A10437" s="1" t="n">
        <v>10436</v>
      </c>
      <c r="B10437">
        <f>TEXT(10436, "[$-0E0000]yyyy-mm-dd")</f>
        <v/>
      </c>
      <c r="C10437" t="inlineStr">
        <is>
          <t>1928-06-12</t>
        </is>
      </c>
    </row>
    <row r="10438">
      <c r="A10438" s="1" t="n">
        <v>10437</v>
      </c>
      <c r="B10438">
        <f>TEXT(10437, "[$-0E0000]yyyy-mm-dd")</f>
        <v/>
      </c>
      <c r="C10438" t="inlineStr">
        <is>
          <t>1928-06-13</t>
        </is>
      </c>
    </row>
    <row r="10439">
      <c r="A10439" s="1" t="n">
        <v>10438</v>
      </c>
      <c r="B10439">
        <f>TEXT(10438, "[$-0E0000]yyyy-mm-dd")</f>
        <v/>
      </c>
      <c r="C10439" t="inlineStr">
        <is>
          <t>1928-06-14</t>
        </is>
      </c>
    </row>
    <row r="10440">
      <c r="A10440" s="1" t="n">
        <v>10439</v>
      </c>
      <c r="B10440">
        <f>TEXT(10439, "[$-0E0000]yyyy-mm-dd")</f>
        <v/>
      </c>
      <c r="C10440" t="inlineStr">
        <is>
          <t>1928-06-15</t>
        </is>
      </c>
    </row>
    <row r="10441">
      <c r="A10441" s="1" t="n">
        <v>10440</v>
      </c>
      <c r="B10441">
        <f>TEXT(10440, "[$-0E0000]yyyy-mm-dd")</f>
        <v/>
      </c>
      <c r="C10441" t="inlineStr">
        <is>
          <t>1928-06-16</t>
        </is>
      </c>
    </row>
    <row r="10442">
      <c r="A10442" s="1" t="n">
        <v>10441</v>
      </c>
      <c r="B10442">
        <f>TEXT(10441, "[$-0E0000]yyyy-mm-dd")</f>
        <v/>
      </c>
      <c r="C10442" t="inlineStr">
        <is>
          <t>1928-06-17</t>
        </is>
      </c>
    </row>
    <row r="10443">
      <c r="A10443" s="1" t="n">
        <v>10442</v>
      </c>
      <c r="B10443">
        <f>TEXT(10442, "[$-0E0000]yyyy-mm-dd")</f>
        <v/>
      </c>
      <c r="C10443" t="inlineStr">
        <is>
          <t>1928-06-18</t>
        </is>
      </c>
    </row>
    <row r="10444">
      <c r="A10444" s="1" t="n">
        <v>10443</v>
      </c>
      <c r="B10444">
        <f>TEXT(10443, "[$-0E0000]yyyy-mm-dd")</f>
        <v/>
      </c>
      <c r="C10444" t="inlineStr">
        <is>
          <t>1928-06-19</t>
        </is>
      </c>
    </row>
    <row r="10445">
      <c r="A10445" s="1" t="n">
        <v>10444</v>
      </c>
      <c r="B10445">
        <f>TEXT(10444, "[$-0E0000]yyyy-mm-dd")</f>
        <v/>
      </c>
      <c r="C10445" t="inlineStr">
        <is>
          <t>1928-06-20</t>
        </is>
      </c>
    </row>
    <row r="10446">
      <c r="A10446" s="1" t="n">
        <v>10445</v>
      </c>
      <c r="B10446">
        <f>TEXT(10445, "[$-0E0000]yyyy-mm-dd")</f>
        <v/>
      </c>
      <c r="C10446" t="inlineStr">
        <is>
          <t>1928-06-21</t>
        </is>
      </c>
    </row>
    <row r="10447">
      <c r="A10447" s="1" t="n">
        <v>10446</v>
      </c>
      <c r="B10447">
        <f>TEXT(10446, "[$-0E0000]yyyy-mm-dd")</f>
        <v/>
      </c>
      <c r="C10447" t="inlineStr">
        <is>
          <t>1928-06-22</t>
        </is>
      </c>
    </row>
    <row r="10448">
      <c r="A10448" s="1" t="n">
        <v>10447</v>
      </c>
      <c r="B10448">
        <f>TEXT(10447, "[$-0E0000]yyyy-mm-dd")</f>
        <v/>
      </c>
      <c r="C10448" t="inlineStr">
        <is>
          <t>1928-06-23</t>
        </is>
      </c>
    </row>
    <row r="10449">
      <c r="A10449" s="1" t="n">
        <v>10448</v>
      </c>
      <c r="B10449">
        <f>TEXT(10448, "[$-0E0000]yyyy-mm-dd")</f>
        <v/>
      </c>
      <c r="C10449" t="inlineStr">
        <is>
          <t>1928-06-24</t>
        </is>
      </c>
    </row>
    <row r="10450">
      <c r="A10450" s="1" t="n">
        <v>10449</v>
      </c>
      <c r="B10450">
        <f>TEXT(10449, "[$-0E0000]yyyy-mm-dd")</f>
        <v/>
      </c>
      <c r="C10450" t="inlineStr">
        <is>
          <t>1928-06-25</t>
        </is>
      </c>
    </row>
    <row r="10451">
      <c r="A10451" s="1" t="n">
        <v>10450</v>
      </c>
      <c r="B10451">
        <f>TEXT(10450, "[$-0E0000]yyyy-mm-dd")</f>
        <v/>
      </c>
      <c r="C10451" t="inlineStr">
        <is>
          <t>1928-06-26</t>
        </is>
      </c>
    </row>
    <row r="10452">
      <c r="A10452" s="1" t="n">
        <v>10451</v>
      </c>
      <c r="B10452">
        <f>TEXT(10451, "[$-0E0000]yyyy-mm-dd")</f>
        <v/>
      </c>
      <c r="C10452" t="inlineStr">
        <is>
          <t>1928-06-27</t>
        </is>
      </c>
    </row>
    <row r="10453">
      <c r="A10453" s="1" t="n">
        <v>10452</v>
      </c>
      <c r="B10453">
        <f>TEXT(10452, "[$-0E0000]yyyy-mm-dd")</f>
        <v/>
      </c>
      <c r="C10453" t="inlineStr">
        <is>
          <t>1928-06-28</t>
        </is>
      </c>
    </row>
    <row r="10454">
      <c r="A10454" s="1" t="n">
        <v>10453</v>
      </c>
      <c r="B10454">
        <f>TEXT(10453, "[$-0E0000]yyyy-mm-dd")</f>
        <v/>
      </c>
      <c r="C10454" t="inlineStr">
        <is>
          <t>1928-06-29</t>
        </is>
      </c>
    </row>
    <row r="10455">
      <c r="A10455" s="1" t="n">
        <v>10454</v>
      </c>
      <c r="B10455">
        <f>TEXT(10454, "[$-0E0000]yyyy-mm-dd")</f>
        <v/>
      </c>
      <c r="C10455" t="inlineStr">
        <is>
          <t>1928-07-01</t>
        </is>
      </c>
    </row>
    <row r="10456">
      <c r="A10456" s="1" t="n">
        <v>10455</v>
      </c>
      <c r="B10456">
        <f>TEXT(10455, "[$-0E0000]yyyy-mm-dd")</f>
        <v/>
      </c>
      <c r="C10456" t="inlineStr">
        <is>
          <t>1928-07-02</t>
        </is>
      </c>
    </row>
    <row r="10457">
      <c r="A10457" s="1" t="n">
        <v>10456</v>
      </c>
      <c r="B10457">
        <f>TEXT(10456, "[$-0E0000]yyyy-mm-dd")</f>
        <v/>
      </c>
      <c r="C10457" t="inlineStr">
        <is>
          <t>1928-07-03</t>
        </is>
      </c>
    </row>
    <row r="10458">
      <c r="A10458" s="1" t="n">
        <v>10457</v>
      </c>
      <c r="B10458">
        <f>TEXT(10457, "[$-0E0000]yyyy-mm-dd")</f>
        <v/>
      </c>
      <c r="C10458" t="inlineStr">
        <is>
          <t>1928-07-04</t>
        </is>
      </c>
    </row>
    <row r="10459">
      <c r="A10459" s="1" t="n">
        <v>10458</v>
      </c>
      <c r="B10459">
        <f>TEXT(10458, "[$-0E0000]yyyy-mm-dd")</f>
        <v/>
      </c>
      <c r="C10459" t="inlineStr">
        <is>
          <t>1928-07-05</t>
        </is>
      </c>
    </row>
    <row r="10460">
      <c r="A10460" s="1" t="n">
        <v>10459</v>
      </c>
      <c r="B10460">
        <f>TEXT(10459, "[$-0E0000]yyyy-mm-dd")</f>
        <v/>
      </c>
      <c r="C10460" t="inlineStr">
        <is>
          <t>1928-07-06</t>
        </is>
      </c>
    </row>
    <row r="10461">
      <c r="A10461" s="1" t="n">
        <v>10460</v>
      </c>
      <c r="B10461">
        <f>TEXT(10460, "[$-0E0000]yyyy-mm-dd")</f>
        <v/>
      </c>
      <c r="C10461" t="inlineStr">
        <is>
          <t>1928-07-07</t>
        </is>
      </c>
    </row>
    <row r="10462">
      <c r="A10462" s="1" t="n">
        <v>10461</v>
      </c>
      <c r="B10462">
        <f>TEXT(10461, "[$-0E0000]yyyy-mm-dd")</f>
        <v/>
      </c>
      <c r="C10462" t="inlineStr">
        <is>
          <t>1928-07-08</t>
        </is>
      </c>
    </row>
    <row r="10463">
      <c r="A10463" s="1" t="n">
        <v>10462</v>
      </c>
      <c r="B10463">
        <f>TEXT(10462, "[$-0E0000]yyyy-mm-dd")</f>
        <v/>
      </c>
      <c r="C10463" t="inlineStr">
        <is>
          <t>1928-07-09</t>
        </is>
      </c>
    </row>
    <row r="10464">
      <c r="A10464" s="1" t="n">
        <v>10463</v>
      </c>
      <c r="B10464">
        <f>TEXT(10463, "[$-0E0000]yyyy-mm-dd")</f>
        <v/>
      </c>
      <c r="C10464" t="inlineStr">
        <is>
          <t>1928-07-10</t>
        </is>
      </c>
    </row>
    <row r="10465">
      <c r="A10465" s="1" t="n">
        <v>10464</v>
      </c>
      <c r="B10465">
        <f>TEXT(10464, "[$-0E0000]yyyy-mm-dd")</f>
        <v/>
      </c>
      <c r="C10465" t="inlineStr">
        <is>
          <t>1928-07-11</t>
        </is>
      </c>
    </row>
    <row r="10466">
      <c r="A10466" s="1" t="n">
        <v>10465</v>
      </c>
      <c r="B10466">
        <f>TEXT(10465, "[$-0E0000]yyyy-mm-dd")</f>
        <v/>
      </c>
      <c r="C10466" t="inlineStr">
        <is>
          <t>1928-07-12</t>
        </is>
      </c>
    </row>
    <row r="10467">
      <c r="A10467" s="1" t="n">
        <v>10466</v>
      </c>
      <c r="B10467">
        <f>TEXT(10466, "[$-0E0000]yyyy-mm-dd")</f>
        <v/>
      </c>
      <c r="C10467" t="inlineStr">
        <is>
          <t>1928-07-13</t>
        </is>
      </c>
    </row>
    <row r="10468">
      <c r="A10468" s="1" t="n">
        <v>10467</v>
      </c>
      <c r="B10468">
        <f>TEXT(10467, "[$-0E0000]yyyy-mm-dd")</f>
        <v/>
      </c>
      <c r="C10468" t="inlineStr">
        <is>
          <t>1928-07-14</t>
        </is>
      </c>
    </row>
    <row r="10469">
      <c r="A10469" s="1" t="n">
        <v>10468</v>
      </c>
      <c r="B10469">
        <f>TEXT(10468, "[$-0E0000]yyyy-mm-dd")</f>
        <v/>
      </c>
      <c r="C10469" t="inlineStr">
        <is>
          <t>1928-07-15</t>
        </is>
      </c>
    </row>
    <row r="10470">
      <c r="A10470" s="1" t="n">
        <v>10469</v>
      </c>
      <c r="B10470">
        <f>TEXT(10469, "[$-0E0000]yyyy-mm-dd")</f>
        <v/>
      </c>
      <c r="C10470" t="inlineStr">
        <is>
          <t>1928-07-16</t>
        </is>
      </c>
    </row>
    <row r="10471">
      <c r="A10471" s="1" t="n">
        <v>10470</v>
      </c>
      <c r="B10471">
        <f>TEXT(10470, "[$-0E0000]yyyy-mm-dd")</f>
        <v/>
      </c>
      <c r="C10471" t="inlineStr">
        <is>
          <t>1928-07-17</t>
        </is>
      </c>
    </row>
    <row r="10472">
      <c r="A10472" s="1" t="n">
        <v>10471</v>
      </c>
      <c r="B10472">
        <f>TEXT(10471, "[$-0E0000]yyyy-mm-dd")</f>
        <v/>
      </c>
      <c r="C10472" t="inlineStr">
        <is>
          <t>1928-07-18</t>
        </is>
      </c>
    </row>
    <row r="10473">
      <c r="A10473" s="1" t="n">
        <v>10472</v>
      </c>
      <c r="B10473">
        <f>TEXT(10472, "[$-0E0000]yyyy-mm-dd")</f>
        <v/>
      </c>
      <c r="C10473" t="inlineStr">
        <is>
          <t>1928-07-19</t>
        </is>
      </c>
    </row>
    <row r="10474">
      <c r="A10474" s="1" t="n">
        <v>10473</v>
      </c>
      <c r="B10474">
        <f>TEXT(10473, "[$-0E0000]yyyy-mm-dd")</f>
        <v/>
      </c>
      <c r="C10474" t="inlineStr">
        <is>
          <t>1928-07-20</t>
        </is>
      </c>
    </row>
    <row r="10475">
      <c r="A10475" s="1" t="n">
        <v>10474</v>
      </c>
      <c r="B10475">
        <f>TEXT(10474, "[$-0E0000]yyyy-mm-dd")</f>
        <v/>
      </c>
      <c r="C10475" t="inlineStr">
        <is>
          <t>1928-07-21</t>
        </is>
      </c>
    </row>
    <row r="10476">
      <c r="A10476" s="1" t="n">
        <v>10475</v>
      </c>
      <c r="B10476">
        <f>TEXT(10475, "[$-0E0000]yyyy-mm-dd")</f>
        <v/>
      </c>
      <c r="C10476" t="inlineStr">
        <is>
          <t>1928-07-22</t>
        </is>
      </c>
    </row>
    <row r="10477">
      <c r="A10477" s="1" t="n">
        <v>10476</v>
      </c>
      <c r="B10477">
        <f>TEXT(10476, "[$-0E0000]yyyy-mm-dd")</f>
        <v/>
      </c>
      <c r="C10477" t="inlineStr">
        <is>
          <t>1928-07-23</t>
        </is>
      </c>
    </row>
    <row r="10478">
      <c r="A10478" s="1" t="n">
        <v>10477</v>
      </c>
      <c r="B10478">
        <f>TEXT(10477, "[$-0E0000]yyyy-mm-dd")</f>
        <v/>
      </c>
      <c r="C10478" t="inlineStr">
        <is>
          <t>1928-07-24</t>
        </is>
      </c>
    </row>
    <row r="10479">
      <c r="A10479" s="1" t="n">
        <v>10478</v>
      </c>
      <c r="B10479">
        <f>TEXT(10478, "[$-0E0000]yyyy-mm-dd")</f>
        <v/>
      </c>
      <c r="C10479" t="inlineStr">
        <is>
          <t>1928-07-25</t>
        </is>
      </c>
    </row>
    <row r="10480">
      <c r="A10480" s="1" t="n">
        <v>10479</v>
      </c>
      <c r="B10480">
        <f>TEXT(10479, "[$-0E0000]yyyy-mm-dd")</f>
        <v/>
      </c>
      <c r="C10480" t="inlineStr">
        <is>
          <t>1928-07-26</t>
        </is>
      </c>
    </row>
    <row r="10481">
      <c r="A10481" s="1" t="n">
        <v>10480</v>
      </c>
      <c r="B10481">
        <f>TEXT(10480, "[$-0E0000]yyyy-mm-dd")</f>
        <v/>
      </c>
      <c r="C10481" t="inlineStr">
        <is>
          <t>1928-07-27</t>
        </is>
      </c>
    </row>
    <row r="10482">
      <c r="A10482" s="1" t="n">
        <v>10481</v>
      </c>
      <c r="B10482">
        <f>TEXT(10481, "[$-0E0000]yyyy-mm-dd")</f>
        <v/>
      </c>
      <c r="C10482" t="inlineStr">
        <is>
          <t>1928-07-28</t>
        </is>
      </c>
    </row>
    <row r="10483">
      <c r="A10483" s="1" t="n">
        <v>10482</v>
      </c>
      <c r="B10483">
        <f>TEXT(10482, "[$-0E0000]yyyy-mm-dd")</f>
        <v/>
      </c>
      <c r="C10483" t="inlineStr">
        <is>
          <t>1928-07-29</t>
        </is>
      </c>
    </row>
    <row r="10484">
      <c r="A10484" s="1" t="n">
        <v>10483</v>
      </c>
      <c r="B10484">
        <f>TEXT(10483, "[$-0E0000]yyyy-mm-dd")</f>
        <v/>
      </c>
      <c r="C10484" t="inlineStr">
        <is>
          <t>1928-07-30</t>
        </is>
      </c>
    </row>
    <row r="10485">
      <c r="A10485" s="1" t="n">
        <v>10484</v>
      </c>
      <c r="B10485">
        <f>TEXT(10484, "[$-0E0000]yyyy-mm-dd")</f>
        <v/>
      </c>
      <c r="C10485" t="inlineStr">
        <is>
          <t>1928-08-01</t>
        </is>
      </c>
    </row>
    <row r="10486">
      <c r="A10486" s="1" t="n">
        <v>10485</v>
      </c>
      <c r="B10486">
        <f>TEXT(10485, "[$-0E0000]yyyy-mm-dd")</f>
        <v/>
      </c>
      <c r="C10486" t="inlineStr">
        <is>
          <t>1928-08-02</t>
        </is>
      </c>
    </row>
    <row r="10487">
      <c r="A10487" s="1" t="n">
        <v>10486</v>
      </c>
      <c r="B10487">
        <f>TEXT(10486, "[$-0E0000]yyyy-mm-dd")</f>
        <v/>
      </c>
      <c r="C10487" t="inlineStr">
        <is>
          <t>1928-08-03</t>
        </is>
      </c>
    </row>
    <row r="10488">
      <c r="A10488" s="1" t="n">
        <v>10487</v>
      </c>
      <c r="B10488">
        <f>TEXT(10487, "[$-0E0000]yyyy-mm-dd")</f>
        <v/>
      </c>
      <c r="C10488" t="inlineStr">
        <is>
          <t>1928-08-04</t>
        </is>
      </c>
    </row>
    <row r="10489">
      <c r="A10489" s="1" t="n">
        <v>10488</v>
      </c>
      <c r="B10489">
        <f>TEXT(10488, "[$-0E0000]yyyy-mm-dd")</f>
        <v/>
      </c>
      <c r="C10489" t="inlineStr">
        <is>
          <t>1928-08-05</t>
        </is>
      </c>
    </row>
    <row r="10490">
      <c r="A10490" s="1" t="n">
        <v>10489</v>
      </c>
      <c r="B10490">
        <f>TEXT(10489, "[$-0E0000]yyyy-mm-dd")</f>
        <v/>
      </c>
      <c r="C10490" t="inlineStr">
        <is>
          <t>1928-08-06</t>
        </is>
      </c>
    </row>
    <row r="10491">
      <c r="A10491" s="1" t="n">
        <v>10490</v>
      </c>
      <c r="B10491">
        <f>TEXT(10490, "[$-0E0000]yyyy-mm-dd")</f>
        <v/>
      </c>
      <c r="C10491" t="inlineStr">
        <is>
          <t>1928-08-07</t>
        </is>
      </c>
    </row>
    <row r="10492">
      <c r="A10492" s="1" t="n">
        <v>10491</v>
      </c>
      <c r="B10492">
        <f>TEXT(10491, "[$-0E0000]yyyy-mm-dd")</f>
        <v/>
      </c>
      <c r="C10492" t="inlineStr">
        <is>
          <t>1928-08-08</t>
        </is>
      </c>
    </row>
    <row r="10493">
      <c r="A10493" s="1" t="n">
        <v>10492</v>
      </c>
      <c r="B10493">
        <f>TEXT(10492, "[$-0E0000]yyyy-mm-dd")</f>
        <v/>
      </c>
      <c r="C10493" t="inlineStr">
        <is>
          <t>1928-08-09</t>
        </is>
      </c>
    </row>
    <row r="10494">
      <c r="A10494" s="1" t="n">
        <v>10493</v>
      </c>
      <c r="B10494">
        <f>TEXT(10493, "[$-0E0000]yyyy-mm-dd")</f>
        <v/>
      </c>
      <c r="C10494" t="inlineStr">
        <is>
          <t>1928-08-10</t>
        </is>
      </c>
    </row>
    <row r="10495">
      <c r="A10495" s="1" t="n">
        <v>10494</v>
      </c>
      <c r="B10495">
        <f>TEXT(10494, "[$-0E0000]yyyy-mm-dd")</f>
        <v/>
      </c>
      <c r="C10495" t="inlineStr">
        <is>
          <t>1928-08-11</t>
        </is>
      </c>
    </row>
    <row r="10496">
      <c r="A10496" s="1" t="n">
        <v>10495</v>
      </c>
      <c r="B10496">
        <f>TEXT(10495, "[$-0E0000]yyyy-mm-dd")</f>
        <v/>
      </c>
      <c r="C10496" t="inlineStr">
        <is>
          <t>1928-08-12</t>
        </is>
      </c>
    </row>
    <row r="10497">
      <c r="A10497" s="1" t="n">
        <v>10496</v>
      </c>
      <c r="B10497">
        <f>TEXT(10496, "[$-0E0000]yyyy-mm-dd")</f>
        <v/>
      </c>
      <c r="C10497" t="inlineStr">
        <is>
          <t>1928-08-13</t>
        </is>
      </c>
    </row>
    <row r="10498">
      <c r="A10498" s="1" t="n">
        <v>10497</v>
      </c>
      <c r="B10498">
        <f>TEXT(10497, "[$-0E0000]yyyy-mm-dd")</f>
        <v/>
      </c>
      <c r="C10498" t="inlineStr">
        <is>
          <t>1928-08-14</t>
        </is>
      </c>
    </row>
    <row r="10499">
      <c r="A10499" s="1" t="n">
        <v>10498</v>
      </c>
      <c r="B10499">
        <f>TEXT(10498, "[$-0E0000]yyyy-mm-dd")</f>
        <v/>
      </c>
      <c r="C10499" t="inlineStr">
        <is>
          <t>1928-08-15</t>
        </is>
      </c>
    </row>
    <row r="10500">
      <c r="A10500" s="1" t="n">
        <v>10499</v>
      </c>
      <c r="B10500">
        <f>TEXT(10499, "[$-0E0000]yyyy-mm-dd")</f>
        <v/>
      </c>
      <c r="C10500" t="inlineStr">
        <is>
          <t>1928-08-16</t>
        </is>
      </c>
    </row>
    <row r="10501">
      <c r="A10501" s="1" t="n">
        <v>10500</v>
      </c>
      <c r="B10501">
        <f>TEXT(10500, "[$-0E0000]yyyy-mm-dd")</f>
        <v/>
      </c>
      <c r="C10501" t="inlineStr">
        <is>
          <t>1928-08-17</t>
        </is>
      </c>
    </row>
    <row r="10502">
      <c r="A10502" s="1" t="n">
        <v>10501</v>
      </c>
      <c r="B10502">
        <f>TEXT(10501, "[$-0E0000]yyyy-mm-dd")</f>
        <v/>
      </c>
      <c r="C10502" t="inlineStr">
        <is>
          <t>1928-08-18</t>
        </is>
      </c>
    </row>
    <row r="10503">
      <c r="A10503" s="1" t="n">
        <v>10502</v>
      </c>
      <c r="B10503">
        <f>TEXT(10502, "[$-0E0000]yyyy-mm-dd")</f>
        <v/>
      </c>
      <c r="C10503" t="inlineStr">
        <is>
          <t>1928-08-19</t>
        </is>
      </c>
    </row>
    <row r="10504">
      <c r="A10504" s="1" t="n">
        <v>10503</v>
      </c>
      <c r="B10504">
        <f>TEXT(10503, "[$-0E0000]yyyy-mm-dd")</f>
        <v/>
      </c>
      <c r="C10504" t="inlineStr">
        <is>
          <t>1928-08-20</t>
        </is>
      </c>
    </row>
    <row r="10505">
      <c r="A10505" s="1" t="n">
        <v>10504</v>
      </c>
      <c r="B10505">
        <f>TEXT(10504, "[$-0E0000]yyyy-mm-dd")</f>
        <v/>
      </c>
      <c r="C10505" t="inlineStr">
        <is>
          <t>1928-08-21</t>
        </is>
      </c>
    </row>
    <row r="10506">
      <c r="A10506" s="1" t="n">
        <v>10505</v>
      </c>
      <c r="B10506">
        <f>TEXT(10505, "[$-0E0000]yyyy-mm-dd")</f>
        <v/>
      </c>
      <c r="C10506" t="inlineStr">
        <is>
          <t>1928-08-22</t>
        </is>
      </c>
    </row>
    <row r="10507">
      <c r="A10507" s="1" t="n">
        <v>10506</v>
      </c>
      <c r="B10507">
        <f>TEXT(10506, "[$-0E0000]yyyy-mm-dd")</f>
        <v/>
      </c>
      <c r="C10507" t="inlineStr">
        <is>
          <t>1928-08-23</t>
        </is>
      </c>
    </row>
    <row r="10508">
      <c r="A10508" s="1" t="n">
        <v>10507</v>
      </c>
      <c r="B10508">
        <f>TEXT(10507, "[$-0E0000]yyyy-mm-dd")</f>
        <v/>
      </c>
      <c r="C10508" t="inlineStr">
        <is>
          <t>1928-08-24</t>
        </is>
      </c>
    </row>
    <row r="10509">
      <c r="A10509" s="1" t="n">
        <v>10508</v>
      </c>
      <c r="B10509">
        <f>TEXT(10508, "[$-0E0000]yyyy-mm-dd")</f>
        <v/>
      </c>
      <c r="C10509" t="inlineStr">
        <is>
          <t>1928-08-25</t>
        </is>
      </c>
    </row>
    <row r="10510">
      <c r="A10510" s="1" t="n">
        <v>10509</v>
      </c>
      <c r="B10510">
        <f>TEXT(10509, "[$-0E0000]yyyy-mm-dd")</f>
        <v/>
      </c>
      <c r="C10510" t="inlineStr">
        <is>
          <t>1928-08-26</t>
        </is>
      </c>
    </row>
    <row r="10511">
      <c r="A10511" s="1" t="n">
        <v>10510</v>
      </c>
      <c r="B10511">
        <f>TEXT(10510, "[$-0E0000]yyyy-mm-dd")</f>
        <v/>
      </c>
      <c r="C10511" t="inlineStr">
        <is>
          <t>1928-08-27</t>
        </is>
      </c>
    </row>
    <row r="10512">
      <c r="A10512" s="1" t="n">
        <v>10511</v>
      </c>
      <c r="B10512">
        <f>TEXT(10511, "[$-0E0000]yyyy-mm-dd")</f>
        <v/>
      </c>
      <c r="C10512" t="inlineStr">
        <is>
          <t>1928-08-28</t>
        </is>
      </c>
    </row>
    <row r="10513">
      <c r="A10513" s="1" t="n">
        <v>10512</v>
      </c>
      <c r="B10513">
        <f>TEXT(10512, "[$-0E0000]yyyy-mm-dd")</f>
        <v/>
      </c>
      <c r="C10513" t="inlineStr">
        <is>
          <t>1928-08-29</t>
        </is>
      </c>
    </row>
    <row r="10514">
      <c r="A10514" s="1" t="n">
        <v>10513</v>
      </c>
      <c r="B10514">
        <f>TEXT(10513, "[$-0E0000]yyyy-mm-dd")</f>
        <v/>
      </c>
      <c r="C10514" t="inlineStr">
        <is>
          <t>1928-09-01</t>
        </is>
      </c>
    </row>
    <row r="10515">
      <c r="A10515" s="1" t="n">
        <v>10514</v>
      </c>
      <c r="B10515">
        <f>TEXT(10514, "[$-0E0000]yyyy-mm-dd")</f>
        <v/>
      </c>
      <c r="C10515" t="inlineStr">
        <is>
          <t>1928-09-02</t>
        </is>
      </c>
    </row>
    <row r="10516">
      <c r="A10516" s="1" t="n">
        <v>10515</v>
      </c>
      <c r="B10516">
        <f>TEXT(10515, "[$-0E0000]yyyy-mm-dd")</f>
        <v/>
      </c>
      <c r="C10516" t="inlineStr">
        <is>
          <t>1928-09-03</t>
        </is>
      </c>
    </row>
    <row r="10517">
      <c r="A10517" s="1" t="n">
        <v>10516</v>
      </c>
      <c r="B10517">
        <f>TEXT(10516, "[$-0E0000]yyyy-mm-dd")</f>
        <v/>
      </c>
      <c r="C10517" t="inlineStr">
        <is>
          <t>1928-09-04</t>
        </is>
      </c>
    </row>
    <row r="10518">
      <c r="A10518" s="1" t="n">
        <v>10517</v>
      </c>
      <c r="B10518">
        <f>TEXT(10517, "[$-0E0000]yyyy-mm-dd")</f>
        <v/>
      </c>
      <c r="C10518" t="inlineStr">
        <is>
          <t>1928-09-05</t>
        </is>
      </c>
    </row>
    <row r="10519">
      <c r="A10519" s="1" t="n">
        <v>10518</v>
      </c>
      <c r="B10519">
        <f>TEXT(10518, "[$-0E0000]yyyy-mm-dd")</f>
        <v/>
      </c>
      <c r="C10519" t="inlineStr">
        <is>
          <t>1928-09-06</t>
        </is>
      </c>
    </row>
    <row r="10520">
      <c r="A10520" s="1" t="n">
        <v>10519</v>
      </c>
      <c r="B10520">
        <f>TEXT(10519, "[$-0E0000]yyyy-mm-dd")</f>
        <v/>
      </c>
      <c r="C10520" t="inlineStr">
        <is>
          <t>1928-09-07</t>
        </is>
      </c>
    </row>
    <row r="10521">
      <c r="A10521" s="1" t="n">
        <v>10520</v>
      </c>
      <c r="B10521">
        <f>TEXT(10520, "[$-0E0000]yyyy-mm-dd")</f>
        <v/>
      </c>
      <c r="C10521" t="inlineStr">
        <is>
          <t>1928-09-08</t>
        </is>
      </c>
    </row>
    <row r="10522">
      <c r="A10522" s="1" t="n">
        <v>10521</v>
      </c>
      <c r="B10522">
        <f>TEXT(10521, "[$-0E0000]yyyy-mm-dd")</f>
        <v/>
      </c>
      <c r="C10522" t="inlineStr">
        <is>
          <t>1928-09-09</t>
        </is>
      </c>
    </row>
    <row r="10523">
      <c r="A10523" s="1" t="n">
        <v>10522</v>
      </c>
      <c r="B10523">
        <f>TEXT(10522, "[$-0E0000]yyyy-mm-dd")</f>
        <v/>
      </c>
      <c r="C10523" t="inlineStr">
        <is>
          <t>1928-09-10</t>
        </is>
      </c>
    </row>
    <row r="10524">
      <c r="A10524" s="1" t="n">
        <v>10523</v>
      </c>
      <c r="B10524">
        <f>TEXT(10523, "[$-0E0000]yyyy-mm-dd")</f>
        <v/>
      </c>
      <c r="C10524" t="inlineStr">
        <is>
          <t>1928-09-11</t>
        </is>
      </c>
    </row>
    <row r="10525">
      <c r="A10525" s="1" t="n">
        <v>10524</v>
      </c>
      <c r="B10525">
        <f>TEXT(10524, "[$-0E0000]yyyy-mm-dd")</f>
        <v/>
      </c>
      <c r="C10525" t="inlineStr">
        <is>
          <t>1928-09-12</t>
        </is>
      </c>
    </row>
    <row r="10526">
      <c r="A10526" s="1" t="n">
        <v>10525</v>
      </c>
      <c r="B10526">
        <f>TEXT(10525, "[$-0E0000]yyyy-mm-dd")</f>
        <v/>
      </c>
      <c r="C10526" t="inlineStr">
        <is>
          <t>1928-09-13</t>
        </is>
      </c>
    </row>
    <row r="10527">
      <c r="A10527" s="1" t="n">
        <v>10526</v>
      </c>
      <c r="B10527">
        <f>TEXT(10526, "[$-0E0000]yyyy-mm-dd")</f>
        <v/>
      </c>
      <c r="C10527" t="inlineStr">
        <is>
          <t>1928-09-14</t>
        </is>
      </c>
    </row>
    <row r="10528">
      <c r="A10528" s="1" t="n">
        <v>10527</v>
      </c>
      <c r="B10528">
        <f>TEXT(10527, "[$-0E0000]yyyy-mm-dd")</f>
        <v/>
      </c>
      <c r="C10528" t="inlineStr">
        <is>
          <t>1928-09-15</t>
        </is>
      </c>
    </row>
    <row r="10529">
      <c r="A10529" s="1" t="n">
        <v>10528</v>
      </c>
      <c r="B10529">
        <f>TEXT(10528, "[$-0E0000]yyyy-mm-dd")</f>
        <v/>
      </c>
      <c r="C10529" t="inlineStr">
        <is>
          <t>1928-09-16</t>
        </is>
      </c>
    </row>
    <row r="10530">
      <c r="A10530" s="1" t="n">
        <v>10529</v>
      </c>
      <c r="B10530">
        <f>TEXT(10529, "[$-0E0000]yyyy-mm-dd")</f>
        <v/>
      </c>
      <c r="C10530" t="inlineStr">
        <is>
          <t>1928-09-17</t>
        </is>
      </c>
    </row>
    <row r="10531">
      <c r="A10531" s="1" t="n">
        <v>10530</v>
      </c>
      <c r="B10531">
        <f>TEXT(10530, "[$-0E0000]yyyy-mm-dd")</f>
        <v/>
      </c>
      <c r="C10531" t="inlineStr">
        <is>
          <t>1928-09-18</t>
        </is>
      </c>
    </row>
    <row r="10532">
      <c r="A10532" s="1" t="n">
        <v>10531</v>
      </c>
      <c r="B10532">
        <f>TEXT(10531, "[$-0E0000]yyyy-mm-dd")</f>
        <v/>
      </c>
      <c r="C10532" t="inlineStr">
        <is>
          <t>1928-09-19</t>
        </is>
      </c>
    </row>
    <row r="10533">
      <c r="A10533" s="1" t="n">
        <v>10532</v>
      </c>
      <c r="B10533">
        <f>TEXT(10532, "[$-0E0000]yyyy-mm-dd")</f>
        <v/>
      </c>
      <c r="C10533" t="inlineStr">
        <is>
          <t>1928-09-20</t>
        </is>
      </c>
    </row>
    <row r="10534">
      <c r="A10534" s="1" t="n">
        <v>10533</v>
      </c>
      <c r="B10534">
        <f>TEXT(10533, "[$-0E0000]yyyy-mm-dd")</f>
        <v/>
      </c>
      <c r="C10534" t="inlineStr">
        <is>
          <t>1928-09-21</t>
        </is>
      </c>
    </row>
    <row r="10535">
      <c r="A10535" s="1" t="n">
        <v>10534</v>
      </c>
      <c r="B10535">
        <f>TEXT(10534, "[$-0E0000]yyyy-mm-dd")</f>
        <v/>
      </c>
      <c r="C10535" t="inlineStr">
        <is>
          <t>1928-09-22</t>
        </is>
      </c>
    </row>
    <row r="10536">
      <c r="A10536" s="1" t="n">
        <v>10535</v>
      </c>
      <c r="B10536">
        <f>TEXT(10535, "[$-0E0000]yyyy-mm-dd")</f>
        <v/>
      </c>
      <c r="C10536" t="inlineStr">
        <is>
          <t>1928-09-23</t>
        </is>
      </c>
    </row>
    <row r="10537">
      <c r="A10537" s="1" t="n">
        <v>10536</v>
      </c>
      <c r="B10537">
        <f>TEXT(10536, "[$-0E0000]yyyy-mm-dd")</f>
        <v/>
      </c>
      <c r="C10537" t="inlineStr">
        <is>
          <t>1928-09-24</t>
        </is>
      </c>
    </row>
    <row r="10538">
      <c r="A10538" s="1" t="n">
        <v>10537</v>
      </c>
      <c r="B10538">
        <f>TEXT(10537, "[$-0E0000]yyyy-mm-dd")</f>
        <v/>
      </c>
      <c r="C10538" t="inlineStr">
        <is>
          <t>1928-09-25</t>
        </is>
      </c>
    </row>
    <row r="10539">
      <c r="A10539" s="1" t="n">
        <v>10538</v>
      </c>
      <c r="B10539">
        <f>TEXT(10538, "[$-0E0000]yyyy-mm-dd")</f>
        <v/>
      </c>
      <c r="C10539" t="inlineStr">
        <is>
          <t>1928-09-26</t>
        </is>
      </c>
    </row>
    <row r="10540">
      <c r="A10540" s="1" t="n">
        <v>10539</v>
      </c>
      <c r="B10540">
        <f>TEXT(10539, "[$-0E0000]yyyy-mm-dd")</f>
        <v/>
      </c>
      <c r="C10540" t="inlineStr">
        <is>
          <t>1928-09-27</t>
        </is>
      </c>
    </row>
    <row r="10541">
      <c r="A10541" s="1" t="n">
        <v>10540</v>
      </c>
      <c r="B10541">
        <f>TEXT(10540, "[$-0E0000]yyyy-mm-dd")</f>
        <v/>
      </c>
      <c r="C10541" t="inlineStr">
        <is>
          <t>1928-09-28</t>
        </is>
      </c>
    </row>
    <row r="10542">
      <c r="A10542" s="1" t="n">
        <v>10541</v>
      </c>
      <c r="B10542">
        <f>TEXT(10541, "[$-0E0000]yyyy-mm-dd")</f>
        <v/>
      </c>
      <c r="C10542" t="inlineStr">
        <is>
          <t>1928-09-29</t>
        </is>
      </c>
    </row>
    <row r="10543">
      <c r="A10543" s="1" t="n">
        <v>10542</v>
      </c>
      <c r="B10543">
        <f>TEXT(10542, "[$-0E0000]yyyy-mm-dd")</f>
        <v/>
      </c>
      <c r="C10543" t="inlineStr">
        <is>
          <t>1928-09-30</t>
        </is>
      </c>
    </row>
    <row r="10544">
      <c r="A10544" s="1" t="n">
        <v>10543</v>
      </c>
      <c r="B10544">
        <f>TEXT(10543, "[$-0E0000]yyyy-mm-dd")</f>
        <v/>
      </c>
      <c r="C10544" t="inlineStr">
        <is>
          <t>1928-10-01</t>
        </is>
      </c>
    </row>
    <row r="10545">
      <c r="A10545" s="1" t="n">
        <v>10544</v>
      </c>
      <c r="B10545">
        <f>TEXT(10544, "[$-0E0000]yyyy-mm-dd")</f>
        <v/>
      </c>
      <c r="C10545" t="inlineStr">
        <is>
          <t>1928-10-02</t>
        </is>
      </c>
    </row>
    <row r="10546">
      <c r="A10546" s="1" t="n">
        <v>10545</v>
      </c>
      <c r="B10546">
        <f>TEXT(10545, "[$-0E0000]yyyy-mm-dd")</f>
        <v/>
      </c>
      <c r="C10546" t="inlineStr">
        <is>
          <t>1928-10-03</t>
        </is>
      </c>
    </row>
    <row r="10547">
      <c r="A10547" s="1" t="n">
        <v>10546</v>
      </c>
      <c r="B10547">
        <f>TEXT(10546, "[$-0E0000]yyyy-mm-dd")</f>
        <v/>
      </c>
      <c r="C10547" t="inlineStr">
        <is>
          <t>1928-10-04</t>
        </is>
      </c>
    </row>
    <row r="10548">
      <c r="A10548" s="1" t="n">
        <v>10547</v>
      </c>
      <c r="B10548">
        <f>TEXT(10547, "[$-0E0000]yyyy-mm-dd")</f>
        <v/>
      </c>
      <c r="C10548" t="inlineStr">
        <is>
          <t>1928-10-05</t>
        </is>
      </c>
    </row>
    <row r="10549">
      <c r="A10549" s="1" t="n">
        <v>10548</v>
      </c>
      <c r="B10549">
        <f>TEXT(10548, "[$-0E0000]yyyy-mm-dd")</f>
        <v/>
      </c>
      <c r="C10549" t="inlineStr">
        <is>
          <t>1928-10-06</t>
        </is>
      </c>
    </row>
    <row r="10550">
      <c r="A10550" s="1" t="n">
        <v>10549</v>
      </c>
      <c r="B10550">
        <f>TEXT(10549, "[$-0E0000]yyyy-mm-dd")</f>
        <v/>
      </c>
      <c r="C10550" t="inlineStr">
        <is>
          <t>1928-10-07</t>
        </is>
      </c>
    </row>
    <row r="10551">
      <c r="A10551" s="1" t="n">
        <v>10550</v>
      </c>
      <c r="B10551">
        <f>TEXT(10550, "[$-0E0000]yyyy-mm-dd")</f>
        <v/>
      </c>
      <c r="C10551" t="inlineStr">
        <is>
          <t>1928-10-08</t>
        </is>
      </c>
    </row>
    <row r="10552">
      <c r="A10552" s="1" t="n">
        <v>10551</v>
      </c>
      <c r="B10552">
        <f>TEXT(10551, "[$-0E0000]yyyy-mm-dd")</f>
        <v/>
      </c>
      <c r="C10552" t="inlineStr">
        <is>
          <t>1928-10-09</t>
        </is>
      </c>
    </row>
    <row r="10553">
      <c r="A10553" s="1" t="n">
        <v>10552</v>
      </c>
      <c r="B10553">
        <f>TEXT(10552, "[$-0E0000]yyyy-mm-dd")</f>
        <v/>
      </c>
      <c r="C10553" t="inlineStr">
        <is>
          <t>1928-10-10</t>
        </is>
      </c>
    </row>
    <row r="10554">
      <c r="A10554" s="1" t="n">
        <v>10553</v>
      </c>
      <c r="B10554">
        <f>TEXT(10553, "[$-0E0000]yyyy-mm-dd")</f>
        <v/>
      </c>
      <c r="C10554" t="inlineStr">
        <is>
          <t>1928-10-11</t>
        </is>
      </c>
    </row>
    <row r="10555">
      <c r="A10555" s="1" t="n">
        <v>10554</v>
      </c>
      <c r="B10555">
        <f>TEXT(10554, "[$-0E0000]yyyy-mm-dd")</f>
        <v/>
      </c>
      <c r="C10555" t="inlineStr">
        <is>
          <t>1928-10-12</t>
        </is>
      </c>
    </row>
    <row r="10556">
      <c r="A10556" s="1" t="n">
        <v>10555</v>
      </c>
      <c r="B10556">
        <f>TEXT(10555, "[$-0E0000]yyyy-mm-dd")</f>
        <v/>
      </c>
      <c r="C10556" t="inlineStr">
        <is>
          <t>1928-10-13</t>
        </is>
      </c>
    </row>
    <row r="10557">
      <c r="A10557" s="1" t="n">
        <v>10556</v>
      </c>
      <c r="B10557">
        <f>TEXT(10556, "[$-0E0000]yyyy-mm-dd")</f>
        <v/>
      </c>
      <c r="C10557" t="inlineStr">
        <is>
          <t>1928-10-14</t>
        </is>
      </c>
    </row>
    <row r="10558">
      <c r="A10558" s="1" t="n">
        <v>10557</v>
      </c>
      <c r="B10558">
        <f>TEXT(10557, "[$-0E0000]yyyy-mm-dd")</f>
        <v/>
      </c>
      <c r="C10558" t="inlineStr">
        <is>
          <t>1928-10-15</t>
        </is>
      </c>
    </row>
    <row r="10559">
      <c r="A10559" s="1" t="n">
        <v>10558</v>
      </c>
      <c r="B10559">
        <f>TEXT(10558, "[$-0E0000]yyyy-mm-dd")</f>
        <v/>
      </c>
      <c r="C10559" t="inlineStr">
        <is>
          <t>1928-10-16</t>
        </is>
      </c>
    </row>
    <row r="10560">
      <c r="A10560" s="1" t="n">
        <v>10559</v>
      </c>
      <c r="B10560">
        <f>TEXT(10559, "[$-0E0000]yyyy-mm-dd")</f>
        <v/>
      </c>
      <c r="C10560" t="inlineStr">
        <is>
          <t>1928-10-17</t>
        </is>
      </c>
    </row>
    <row r="10561">
      <c r="A10561" s="1" t="n">
        <v>10560</v>
      </c>
      <c r="B10561">
        <f>TEXT(10560, "[$-0E0000]yyyy-mm-dd")</f>
        <v/>
      </c>
      <c r="C10561" t="inlineStr">
        <is>
          <t>1928-10-18</t>
        </is>
      </c>
    </row>
    <row r="10562">
      <c r="A10562" s="1" t="n">
        <v>10561</v>
      </c>
      <c r="B10562">
        <f>TEXT(10561, "[$-0E0000]yyyy-mm-dd")</f>
        <v/>
      </c>
      <c r="C10562" t="inlineStr">
        <is>
          <t>1928-10-19</t>
        </is>
      </c>
    </row>
    <row r="10563">
      <c r="A10563" s="1" t="n">
        <v>10562</v>
      </c>
      <c r="B10563">
        <f>TEXT(10562, "[$-0E0000]yyyy-mm-dd")</f>
        <v/>
      </c>
      <c r="C10563" t="inlineStr">
        <is>
          <t>1928-10-20</t>
        </is>
      </c>
    </row>
    <row r="10564">
      <c r="A10564" s="1" t="n">
        <v>10563</v>
      </c>
      <c r="B10564">
        <f>TEXT(10563, "[$-0E0000]yyyy-mm-dd")</f>
        <v/>
      </c>
      <c r="C10564" t="inlineStr">
        <is>
          <t>1928-10-21</t>
        </is>
      </c>
    </row>
    <row r="10565">
      <c r="A10565" s="1" t="n">
        <v>10564</v>
      </c>
      <c r="B10565">
        <f>TEXT(10564, "[$-0E0000]yyyy-mm-dd")</f>
        <v/>
      </c>
      <c r="C10565" t="inlineStr">
        <is>
          <t>1928-10-22</t>
        </is>
      </c>
    </row>
    <row r="10566">
      <c r="A10566" s="1" t="n">
        <v>10565</v>
      </c>
      <c r="B10566">
        <f>TEXT(10565, "[$-0E0000]yyyy-mm-dd")</f>
        <v/>
      </c>
      <c r="C10566" t="inlineStr">
        <is>
          <t>1928-10-23</t>
        </is>
      </c>
    </row>
    <row r="10567">
      <c r="A10567" s="1" t="n">
        <v>10566</v>
      </c>
      <c r="B10567">
        <f>TEXT(10566, "[$-0E0000]yyyy-mm-dd")</f>
        <v/>
      </c>
      <c r="C10567" t="inlineStr">
        <is>
          <t>1928-10-24</t>
        </is>
      </c>
    </row>
    <row r="10568">
      <c r="A10568" s="1" t="n">
        <v>10567</v>
      </c>
      <c r="B10568">
        <f>TEXT(10567, "[$-0E0000]yyyy-mm-dd")</f>
        <v/>
      </c>
      <c r="C10568" t="inlineStr">
        <is>
          <t>1928-10-25</t>
        </is>
      </c>
    </row>
    <row r="10569">
      <c r="A10569" s="1" t="n">
        <v>10568</v>
      </c>
      <c r="B10569">
        <f>TEXT(10568, "[$-0E0000]yyyy-mm-dd")</f>
        <v/>
      </c>
      <c r="C10569" t="inlineStr">
        <is>
          <t>1928-10-26</t>
        </is>
      </c>
    </row>
    <row r="10570">
      <c r="A10570" s="1" t="n">
        <v>10569</v>
      </c>
      <c r="B10570">
        <f>TEXT(10569, "[$-0E0000]yyyy-mm-dd")</f>
        <v/>
      </c>
      <c r="C10570" t="inlineStr">
        <is>
          <t>1928-10-27</t>
        </is>
      </c>
    </row>
    <row r="10571">
      <c r="A10571" s="1" t="n">
        <v>10570</v>
      </c>
      <c r="B10571">
        <f>TEXT(10570, "[$-0E0000]yyyy-mm-dd")</f>
        <v/>
      </c>
      <c r="C10571" t="inlineStr">
        <is>
          <t>1928-10-28</t>
        </is>
      </c>
    </row>
    <row r="10572">
      <c r="A10572" s="1" t="n">
        <v>10571</v>
      </c>
      <c r="B10572">
        <f>TEXT(10571, "[$-0E0000]yyyy-mm-dd")</f>
        <v/>
      </c>
      <c r="C10572" t="inlineStr">
        <is>
          <t>1928-10-29</t>
        </is>
      </c>
    </row>
    <row r="10573">
      <c r="A10573" s="1" t="n">
        <v>10572</v>
      </c>
      <c r="B10573">
        <f>TEXT(10572, "[$-0E0000]yyyy-mm-dd")</f>
        <v/>
      </c>
      <c r="C10573" t="inlineStr">
        <is>
          <t>1928-10-30</t>
        </is>
      </c>
    </row>
    <row r="10574">
      <c r="A10574" s="1" t="n">
        <v>10573</v>
      </c>
      <c r="B10574">
        <f>TEXT(10573, "[$-0E0000]yyyy-mm-dd")</f>
        <v/>
      </c>
      <c r="C10574" t="inlineStr">
        <is>
          <t>1928-11-01</t>
        </is>
      </c>
    </row>
    <row r="10575">
      <c r="A10575" s="1" t="n">
        <v>10574</v>
      </c>
      <c r="B10575">
        <f>TEXT(10574, "[$-0E0000]yyyy-mm-dd")</f>
        <v/>
      </c>
      <c r="C10575" t="inlineStr">
        <is>
          <t>1928-11-02</t>
        </is>
      </c>
    </row>
    <row r="10576">
      <c r="A10576" s="1" t="n">
        <v>10575</v>
      </c>
      <c r="B10576">
        <f>TEXT(10575, "[$-0E0000]yyyy-mm-dd")</f>
        <v/>
      </c>
      <c r="C10576" t="inlineStr">
        <is>
          <t>1928-11-03</t>
        </is>
      </c>
    </row>
    <row r="10577">
      <c r="A10577" s="1" t="n">
        <v>10576</v>
      </c>
      <c r="B10577">
        <f>TEXT(10576, "[$-0E0000]yyyy-mm-dd")</f>
        <v/>
      </c>
      <c r="C10577" t="inlineStr">
        <is>
          <t>1928-11-04</t>
        </is>
      </c>
    </row>
    <row r="10578">
      <c r="A10578" s="1" t="n">
        <v>10577</v>
      </c>
      <c r="B10578">
        <f>TEXT(10577, "[$-0E0000]yyyy-mm-dd")</f>
        <v/>
      </c>
      <c r="C10578" t="inlineStr">
        <is>
          <t>1928-11-05</t>
        </is>
      </c>
    </row>
    <row r="10579">
      <c r="A10579" s="1" t="n">
        <v>10578</v>
      </c>
      <c r="B10579">
        <f>TEXT(10578, "[$-0E0000]yyyy-mm-dd")</f>
        <v/>
      </c>
      <c r="C10579" t="inlineStr">
        <is>
          <t>1928-11-06</t>
        </is>
      </c>
    </row>
    <row r="10580">
      <c r="A10580" s="1" t="n">
        <v>10579</v>
      </c>
      <c r="B10580">
        <f>TEXT(10579, "[$-0E0000]yyyy-mm-dd")</f>
        <v/>
      </c>
      <c r="C10580" t="inlineStr">
        <is>
          <t>1928-11-07</t>
        </is>
      </c>
    </row>
    <row r="10581">
      <c r="A10581" s="1" t="n">
        <v>10580</v>
      </c>
      <c r="B10581">
        <f>TEXT(10580, "[$-0E0000]yyyy-mm-dd")</f>
        <v/>
      </c>
      <c r="C10581" t="inlineStr">
        <is>
          <t>1928-11-08</t>
        </is>
      </c>
    </row>
    <row r="10582">
      <c r="A10582" s="1" t="n">
        <v>10581</v>
      </c>
      <c r="B10582">
        <f>TEXT(10581, "[$-0E0000]yyyy-mm-dd")</f>
        <v/>
      </c>
      <c r="C10582" t="inlineStr">
        <is>
          <t>1928-11-09</t>
        </is>
      </c>
    </row>
    <row r="10583">
      <c r="A10583" s="1" t="n">
        <v>10582</v>
      </c>
      <c r="B10583">
        <f>TEXT(10582, "[$-0E0000]yyyy-mm-dd")</f>
        <v/>
      </c>
      <c r="C10583" t="inlineStr">
        <is>
          <t>1928-11-10</t>
        </is>
      </c>
    </row>
    <row r="10584">
      <c r="A10584" s="1" t="n">
        <v>10583</v>
      </c>
      <c r="B10584">
        <f>TEXT(10583, "[$-0E0000]yyyy-mm-dd")</f>
        <v/>
      </c>
      <c r="C10584" t="inlineStr">
        <is>
          <t>1928-11-11</t>
        </is>
      </c>
    </row>
    <row r="10585">
      <c r="A10585" s="1" t="n">
        <v>10584</v>
      </c>
      <c r="B10585">
        <f>TEXT(10584, "[$-0E0000]yyyy-mm-dd")</f>
        <v/>
      </c>
      <c r="C10585" t="inlineStr">
        <is>
          <t>1928-11-12</t>
        </is>
      </c>
    </row>
    <row r="10586">
      <c r="A10586" s="1" t="n">
        <v>10585</v>
      </c>
      <c r="B10586">
        <f>TEXT(10585, "[$-0E0000]yyyy-mm-dd")</f>
        <v/>
      </c>
      <c r="C10586" t="inlineStr">
        <is>
          <t>1928-11-13</t>
        </is>
      </c>
    </row>
    <row r="10587">
      <c r="A10587" s="1" t="n">
        <v>10586</v>
      </c>
      <c r="B10587">
        <f>TEXT(10586, "[$-0E0000]yyyy-mm-dd")</f>
        <v/>
      </c>
      <c r="C10587" t="inlineStr">
        <is>
          <t>1928-11-14</t>
        </is>
      </c>
    </row>
    <row r="10588">
      <c r="A10588" s="1" t="n">
        <v>10587</v>
      </c>
      <c r="B10588">
        <f>TEXT(10587, "[$-0E0000]yyyy-mm-dd")</f>
        <v/>
      </c>
      <c r="C10588" t="inlineStr">
        <is>
          <t>1928-11-15</t>
        </is>
      </c>
    </row>
    <row r="10589">
      <c r="A10589" s="1" t="n">
        <v>10588</v>
      </c>
      <c r="B10589">
        <f>TEXT(10588, "[$-0E0000]yyyy-mm-dd")</f>
        <v/>
      </c>
      <c r="C10589" t="inlineStr">
        <is>
          <t>1928-11-16</t>
        </is>
      </c>
    </row>
    <row r="10590">
      <c r="A10590" s="1" t="n">
        <v>10589</v>
      </c>
      <c r="B10590">
        <f>TEXT(10589, "[$-0E0000]yyyy-mm-dd")</f>
        <v/>
      </c>
      <c r="C10590" t="inlineStr">
        <is>
          <t>1928-11-17</t>
        </is>
      </c>
    </row>
    <row r="10591">
      <c r="A10591" s="1" t="n">
        <v>10590</v>
      </c>
      <c r="B10591">
        <f>TEXT(10590, "[$-0E0000]yyyy-mm-dd")</f>
        <v/>
      </c>
      <c r="C10591" t="inlineStr">
        <is>
          <t>1928-11-18</t>
        </is>
      </c>
    </row>
    <row r="10592">
      <c r="A10592" s="1" t="n">
        <v>10591</v>
      </c>
      <c r="B10592">
        <f>TEXT(10591, "[$-0E0000]yyyy-mm-dd")</f>
        <v/>
      </c>
      <c r="C10592" t="inlineStr">
        <is>
          <t>1928-11-19</t>
        </is>
      </c>
    </row>
    <row r="10593">
      <c r="A10593" s="1" t="n">
        <v>10592</v>
      </c>
      <c r="B10593">
        <f>TEXT(10592, "[$-0E0000]yyyy-mm-dd")</f>
        <v/>
      </c>
      <c r="C10593" t="inlineStr">
        <is>
          <t>1928-11-20</t>
        </is>
      </c>
    </row>
    <row r="10594">
      <c r="A10594" s="1" t="n">
        <v>10593</v>
      </c>
      <c r="B10594">
        <f>TEXT(10593, "[$-0E0000]yyyy-mm-dd")</f>
        <v/>
      </c>
      <c r="C10594" t="inlineStr">
        <is>
          <t>1928-11-21</t>
        </is>
      </c>
    </row>
    <row r="10595">
      <c r="A10595" s="1" t="n">
        <v>10594</v>
      </c>
      <c r="B10595">
        <f>TEXT(10594, "[$-0E0000]yyyy-mm-dd")</f>
        <v/>
      </c>
      <c r="C10595" t="inlineStr">
        <is>
          <t>1928-11-22</t>
        </is>
      </c>
    </row>
    <row r="10596">
      <c r="A10596" s="1" t="n">
        <v>10595</v>
      </c>
      <c r="B10596">
        <f>TEXT(10595, "[$-0E0000]yyyy-mm-dd")</f>
        <v/>
      </c>
      <c r="C10596" t="inlineStr">
        <is>
          <t>1928-11-23</t>
        </is>
      </c>
    </row>
    <row r="10597">
      <c r="A10597" s="1" t="n">
        <v>10596</v>
      </c>
      <c r="B10597">
        <f>TEXT(10596, "[$-0E0000]yyyy-mm-dd")</f>
        <v/>
      </c>
      <c r="C10597" t="inlineStr">
        <is>
          <t>1928-11-24</t>
        </is>
      </c>
    </row>
    <row r="10598">
      <c r="A10598" s="1" t="n">
        <v>10597</v>
      </c>
      <c r="B10598">
        <f>TEXT(10597, "[$-0E0000]yyyy-mm-dd")</f>
        <v/>
      </c>
      <c r="C10598" t="inlineStr">
        <is>
          <t>1928-11-25</t>
        </is>
      </c>
    </row>
    <row r="10599">
      <c r="A10599" s="1" t="n">
        <v>10598</v>
      </c>
      <c r="B10599">
        <f>TEXT(10598, "[$-0E0000]yyyy-mm-dd")</f>
        <v/>
      </c>
      <c r="C10599" t="inlineStr">
        <is>
          <t>1928-11-26</t>
        </is>
      </c>
    </row>
    <row r="10600">
      <c r="A10600" s="1" t="n">
        <v>10599</v>
      </c>
      <c r="B10600">
        <f>TEXT(10599, "[$-0E0000]yyyy-mm-dd")</f>
        <v/>
      </c>
      <c r="C10600" t="inlineStr">
        <is>
          <t>1928-11-27</t>
        </is>
      </c>
    </row>
    <row r="10601">
      <c r="A10601" s="1" t="n">
        <v>10600</v>
      </c>
      <c r="B10601">
        <f>TEXT(10600, "[$-0E0000]yyyy-mm-dd")</f>
        <v/>
      </c>
      <c r="C10601" t="inlineStr">
        <is>
          <t>1928-11-28</t>
        </is>
      </c>
    </row>
    <row r="10602">
      <c r="A10602" s="1" t="n">
        <v>10601</v>
      </c>
      <c r="B10602">
        <f>TEXT(10601, "[$-0E0000]yyyy-mm-dd")</f>
        <v/>
      </c>
      <c r="C10602" t="inlineStr">
        <is>
          <t>1928-11-29</t>
        </is>
      </c>
    </row>
    <row r="10603">
      <c r="A10603" s="1" t="n">
        <v>10602</v>
      </c>
      <c r="B10603">
        <f>TEXT(10602, "[$-0E0000]yyyy-mm-dd")</f>
        <v/>
      </c>
      <c r="C10603" t="inlineStr">
        <is>
          <t>1928-11-30</t>
        </is>
      </c>
    </row>
    <row r="10604">
      <c r="A10604" s="1" t="n">
        <v>10603</v>
      </c>
      <c r="B10604">
        <f>TEXT(10603, "[$-0E0000]yyyy-mm-dd")</f>
        <v/>
      </c>
      <c r="C10604" t="inlineStr">
        <is>
          <t>1928-12-01</t>
        </is>
      </c>
    </row>
    <row r="10605">
      <c r="A10605" s="1" t="n">
        <v>10604</v>
      </c>
      <c r="B10605">
        <f>TEXT(10604, "[$-0E0000]yyyy-mm-dd")</f>
        <v/>
      </c>
      <c r="C10605" t="inlineStr">
        <is>
          <t>1928-12-02</t>
        </is>
      </c>
    </row>
    <row r="10606">
      <c r="A10606" s="1" t="n">
        <v>10605</v>
      </c>
      <c r="B10606">
        <f>TEXT(10605, "[$-0E0000]yyyy-mm-dd")</f>
        <v/>
      </c>
      <c r="C10606" t="inlineStr">
        <is>
          <t>1928-12-03</t>
        </is>
      </c>
    </row>
    <row r="10607">
      <c r="A10607" s="1" t="n">
        <v>10606</v>
      </c>
      <c r="B10607">
        <f>TEXT(10606, "[$-0E0000]yyyy-mm-dd")</f>
        <v/>
      </c>
      <c r="C10607" t="inlineStr">
        <is>
          <t>1928-12-04</t>
        </is>
      </c>
    </row>
    <row r="10608">
      <c r="A10608" s="1" t="n">
        <v>10607</v>
      </c>
      <c r="B10608">
        <f>TEXT(10607, "[$-0E0000]yyyy-mm-dd")</f>
        <v/>
      </c>
      <c r="C10608" t="inlineStr">
        <is>
          <t>1928-12-05</t>
        </is>
      </c>
    </row>
    <row r="10609">
      <c r="A10609" s="1" t="n">
        <v>10608</v>
      </c>
      <c r="B10609">
        <f>TEXT(10608, "[$-0E0000]yyyy-mm-dd")</f>
        <v/>
      </c>
      <c r="C10609" t="inlineStr">
        <is>
          <t>1928-12-06</t>
        </is>
      </c>
    </row>
    <row r="10610">
      <c r="A10610" s="1" t="n">
        <v>10609</v>
      </c>
      <c r="B10610">
        <f>TEXT(10609, "[$-0E0000]yyyy-mm-dd")</f>
        <v/>
      </c>
      <c r="C10610" t="inlineStr">
        <is>
          <t>1928-12-07</t>
        </is>
      </c>
    </row>
    <row r="10611">
      <c r="A10611" s="1" t="n">
        <v>10610</v>
      </c>
      <c r="B10611">
        <f>TEXT(10610, "[$-0E0000]yyyy-mm-dd")</f>
        <v/>
      </c>
      <c r="C10611" t="inlineStr">
        <is>
          <t>1928-12-08</t>
        </is>
      </c>
    </row>
    <row r="10612">
      <c r="A10612" s="1" t="n">
        <v>10611</v>
      </c>
      <c r="B10612">
        <f>TEXT(10611, "[$-0E0000]yyyy-mm-dd")</f>
        <v/>
      </c>
      <c r="C10612" t="inlineStr">
        <is>
          <t>1928-12-09</t>
        </is>
      </c>
    </row>
    <row r="10613">
      <c r="A10613" s="1" t="n">
        <v>10612</v>
      </c>
      <c r="B10613">
        <f>TEXT(10612, "[$-0E0000]yyyy-mm-dd")</f>
        <v/>
      </c>
      <c r="C10613" t="inlineStr">
        <is>
          <t>1928-12-10</t>
        </is>
      </c>
    </row>
    <row r="10614">
      <c r="A10614" s="1" t="n">
        <v>10613</v>
      </c>
      <c r="B10614">
        <f>TEXT(10613, "[$-0E0000]yyyy-mm-dd")</f>
        <v/>
      </c>
      <c r="C10614" t="inlineStr">
        <is>
          <t>1928-12-11</t>
        </is>
      </c>
    </row>
    <row r="10615">
      <c r="A10615" s="1" t="n">
        <v>10614</v>
      </c>
      <c r="B10615">
        <f>TEXT(10614, "[$-0E0000]yyyy-mm-dd")</f>
        <v/>
      </c>
      <c r="C10615" t="inlineStr">
        <is>
          <t>1928-12-12</t>
        </is>
      </c>
    </row>
    <row r="10616">
      <c r="A10616" s="1" t="n">
        <v>10615</v>
      </c>
      <c r="B10616">
        <f>TEXT(10615, "[$-0E0000]yyyy-mm-dd")</f>
        <v/>
      </c>
      <c r="C10616" t="inlineStr">
        <is>
          <t>1928-12-13</t>
        </is>
      </c>
    </row>
    <row r="10617">
      <c r="A10617" s="1" t="n">
        <v>10616</v>
      </c>
      <c r="B10617">
        <f>TEXT(10616, "[$-0E0000]yyyy-mm-dd")</f>
        <v/>
      </c>
      <c r="C10617" t="inlineStr">
        <is>
          <t>1928-12-14</t>
        </is>
      </c>
    </row>
    <row r="10618">
      <c r="A10618" s="1" t="n">
        <v>10617</v>
      </c>
      <c r="B10618">
        <f>TEXT(10617, "[$-0E0000]yyyy-mm-dd")</f>
        <v/>
      </c>
      <c r="C10618" t="inlineStr">
        <is>
          <t>1928-12-15</t>
        </is>
      </c>
    </row>
    <row r="10619">
      <c r="A10619" s="1" t="n">
        <v>10618</v>
      </c>
      <c r="B10619">
        <f>TEXT(10618, "[$-0E0000]yyyy-mm-dd")</f>
        <v/>
      </c>
      <c r="C10619" t="inlineStr">
        <is>
          <t>1928-12-16</t>
        </is>
      </c>
    </row>
    <row r="10620">
      <c r="A10620" s="1" t="n">
        <v>10619</v>
      </c>
      <c r="B10620">
        <f>TEXT(10619, "[$-0E0000]yyyy-mm-dd")</f>
        <v/>
      </c>
      <c r="C10620" t="inlineStr">
        <is>
          <t>1928-12-17</t>
        </is>
      </c>
    </row>
    <row r="10621">
      <c r="A10621" s="1" t="n">
        <v>10620</v>
      </c>
      <c r="B10621">
        <f>TEXT(10620, "[$-0E0000]yyyy-mm-dd")</f>
        <v/>
      </c>
      <c r="C10621" t="inlineStr">
        <is>
          <t>1928-12-18</t>
        </is>
      </c>
    </row>
    <row r="10622">
      <c r="A10622" s="1" t="n">
        <v>10621</v>
      </c>
      <c r="B10622">
        <f>TEXT(10621, "[$-0E0000]yyyy-mm-dd")</f>
        <v/>
      </c>
      <c r="C10622" t="inlineStr">
        <is>
          <t>1928-12-19</t>
        </is>
      </c>
    </row>
    <row r="10623">
      <c r="A10623" s="1" t="n">
        <v>10622</v>
      </c>
      <c r="B10623">
        <f>TEXT(10622, "[$-0E0000]yyyy-mm-dd")</f>
        <v/>
      </c>
      <c r="C10623" t="inlineStr">
        <is>
          <t>1928-12-20</t>
        </is>
      </c>
    </row>
    <row r="10624">
      <c r="A10624" s="1" t="n">
        <v>10623</v>
      </c>
      <c r="B10624">
        <f>TEXT(10623, "[$-0E0000]yyyy-mm-dd")</f>
        <v/>
      </c>
      <c r="C10624" t="inlineStr">
        <is>
          <t>1928-12-21</t>
        </is>
      </c>
    </row>
    <row r="10625">
      <c r="A10625" s="1" t="n">
        <v>10624</v>
      </c>
      <c r="B10625">
        <f>TEXT(10624, "[$-0E0000]yyyy-mm-dd")</f>
        <v/>
      </c>
      <c r="C10625" t="inlineStr">
        <is>
          <t>1928-12-22</t>
        </is>
      </c>
    </row>
    <row r="10626">
      <c r="A10626" s="1" t="n">
        <v>10625</v>
      </c>
      <c r="B10626">
        <f>TEXT(10625, "[$-0E0000]yyyy-mm-dd")</f>
        <v/>
      </c>
      <c r="C10626" t="inlineStr">
        <is>
          <t>1928-12-23</t>
        </is>
      </c>
    </row>
    <row r="10627">
      <c r="A10627" s="1" t="n">
        <v>10626</v>
      </c>
      <c r="B10627">
        <f>TEXT(10626, "[$-0E0000]yyyy-mm-dd")</f>
        <v/>
      </c>
      <c r="C10627" t="inlineStr">
        <is>
          <t>1928-12-24</t>
        </is>
      </c>
    </row>
    <row r="10628">
      <c r="A10628" s="1" t="n">
        <v>10627</v>
      </c>
      <c r="B10628">
        <f>TEXT(10627, "[$-0E0000]yyyy-mm-dd")</f>
        <v/>
      </c>
      <c r="C10628" t="inlineStr">
        <is>
          <t>1928-12-25</t>
        </is>
      </c>
    </row>
    <row r="10629">
      <c r="A10629" s="1" t="n">
        <v>10628</v>
      </c>
      <c r="B10629">
        <f>TEXT(10628, "[$-0E0000]yyyy-mm-dd")</f>
        <v/>
      </c>
      <c r="C10629" t="inlineStr">
        <is>
          <t>1928-12-26</t>
        </is>
      </c>
    </row>
    <row r="10630">
      <c r="A10630" s="1" t="n">
        <v>10629</v>
      </c>
      <c r="B10630">
        <f>TEXT(10629, "[$-0E0000]yyyy-mm-dd")</f>
        <v/>
      </c>
      <c r="C10630" t="inlineStr">
        <is>
          <t>1928-12-27</t>
        </is>
      </c>
    </row>
    <row r="10631">
      <c r="A10631" s="1" t="n">
        <v>10630</v>
      </c>
      <c r="B10631">
        <f>TEXT(10630, "[$-0E0000]yyyy-mm-dd")</f>
        <v/>
      </c>
      <c r="C10631" t="inlineStr">
        <is>
          <t>1928-12-28</t>
        </is>
      </c>
    </row>
    <row r="10632">
      <c r="A10632" s="1" t="n">
        <v>10631</v>
      </c>
      <c r="B10632">
        <f>TEXT(10631, "[$-0E0000]yyyy-mm-dd")</f>
        <v/>
      </c>
      <c r="C10632" t="inlineStr">
        <is>
          <t>1928-12-29</t>
        </is>
      </c>
    </row>
    <row r="10633">
      <c r="A10633" s="1" t="n">
        <v>10632</v>
      </c>
      <c r="B10633">
        <f>TEXT(10632, "[$-0E0000]yyyy-mm-dd")</f>
        <v/>
      </c>
      <c r="C10633" t="inlineStr">
        <is>
          <t>1928-12-30</t>
        </is>
      </c>
    </row>
    <row r="10634">
      <c r="A10634" s="1" t="n">
        <v>10633</v>
      </c>
      <c r="B10634">
        <f>TEXT(10633, "[$-0E0000]yyyy-mm-dd")</f>
        <v/>
      </c>
      <c r="C10634" t="inlineStr">
        <is>
          <t>1929-01-01</t>
        </is>
      </c>
    </row>
    <row r="10635">
      <c r="A10635" s="1" t="n">
        <v>10634</v>
      </c>
      <c r="B10635">
        <f>TEXT(10634, "[$-0E0000]yyyy-mm-dd")</f>
        <v/>
      </c>
      <c r="C10635" t="inlineStr">
        <is>
          <t>1929-01-02</t>
        </is>
      </c>
    </row>
    <row r="10636">
      <c r="A10636" s="1" t="n">
        <v>10635</v>
      </c>
      <c r="B10636">
        <f>TEXT(10635, "[$-0E0000]yyyy-mm-dd")</f>
        <v/>
      </c>
      <c r="C10636" t="inlineStr">
        <is>
          <t>1929-01-03</t>
        </is>
      </c>
    </row>
    <row r="10637">
      <c r="A10637" s="1" t="n">
        <v>10636</v>
      </c>
      <c r="B10637">
        <f>TEXT(10636, "[$-0E0000]yyyy-mm-dd")</f>
        <v/>
      </c>
      <c r="C10637" t="inlineStr">
        <is>
          <t>1929-01-04</t>
        </is>
      </c>
    </row>
    <row r="10638">
      <c r="A10638" s="1" t="n">
        <v>10637</v>
      </c>
      <c r="B10638">
        <f>TEXT(10637, "[$-0E0000]yyyy-mm-dd")</f>
        <v/>
      </c>
      <c r="C10638" t="inlineStr">
        <is>
          <t>1929-01-05</t>
        </is>
      </c>
    </row>
    <row r="10639">
      <c r="A10639" s="1" t="n">
        <v>10638</v>
      </c>
      <c r="B10639">
        <f>TEXT(10638, "[$-0E0000]yyyy-mm-dd")</f>
        <v/>
      </c>
      <c r="C10639" t="inlineStr">
        <is>
          <t>1929-01-06</t>
        </is>
      </c>
    </row>
    <row r="10640">
      <c r="A10640" s="1" t="n">
        <v>10639</v>
      </c>
      <c r="B10640">
        <f>TEXT(10639, "[$-0E0000]yyyy-mm-dd")</f>
        <v/>
      </c>
      <c r="C10640" t="inlineStr">
        <is>
          <t>1929-01-07</t>
        </is>
      </c>
    </row>
    <row r="10641">
      <c r="A10641" s="1" t="n">
        <v>10640</v>
      </c>
      <c r="B10641">
        <f>TEXT(10640, "[$-0E0000]yyyy-mm-dd")</f>
        <v/>
      </c>
      <c r="C10641" t="inlineStr">
        <is>
          <t>1929-01-08</t>
        </is>
      </c>
    </row>
    <row r="10642">
      <c r="A10642" s="1" t="n">
        <v>10641</v>
      </c>
      <c r="B10642">
        <f>TEXT(10641, "[$-0E0000]yyyy-mm-dd")</f>
        <v/>
      </c>
      <c r="C10642" t="inlineStr">
        <is>
          <t>1929-01-09</t>
        </is>
      </c>
    </row>
    <row r="10643">
      <c r="A10643" s="1" t="n">
        <v>10642</v>
      </c>
      <c r="B10643">
        <f>TEXT(10642, "[$-0E0000]yyyy-mm-dd")</f>
        <v/>
      </c>
      <c r="C10643" t="inlineStr">
        <is>
          <t>1929-01-10</t>
        </is>
      </c>
    </row>
    <row r="10644">
      <c r="A10644" s="1" t="n">
        <v>10643</v>
      </c>
      <c r="B10644">
        <f>TEXT(10643, "[$-0E0000]yyyy-mm-dd")</f>
        <v/>
      </c>
      <c r="C10644" t="inlineStr">
        <is>
          <t>1929-01-11</t>
        </is>
      </c>
    </row>
    <row r="10645">
      <c r="A10645" s="1" t="n">
        <v>10644</v>
      </c>
      <c r="B10645">
        <f>TEXT(10644, "[$-0E0000]yyyy-mm-dd")</f>
        <v/>
      </c>
      <c r="C10645" t="inlineStr">
        <is>
          <t>1929-01-12</t>
        </is>
      </c>
    </row>
    <row r="10646">
      <c r="A10646" s="1" t="n">
        <v>10645</v>
      </c>
      <c r="B10646">
        <f>TEXT(10645, "[$-0E0000]yyyy-mm-dd")</f>
        <v/>
      </c>
      <c r="C10646" t="inlineStr">
        <is>
          <t>1929-01-13</t>
        </is>
      </c>
    </row>
    <row r="10647">
      <c r="A10647" s="1" t="n">
        <v>10646</v>
      </c>
      <c r="B10647">
        <f>TEXT(10646, "[$-0E0000]yyyy-mm-dd")</f>
        <v/>
      </c>
      <c r="C10647" t="inlineStr">
        <is>
          <t>1929-01-14</t>
        </is>
      </c>
    </row>
    <row r="10648">
      <c r="A10648" s="1" t="n">
        <v>10647</v>
      </c>
      <c r="B10648">
        <f>TEXT(10647, "[$-0E0000]yyyy-mm-dd")</f>
        <v/>
      </c>
      <c r="C10648" t="inlineStr">
        <is>
          <t>1929-01-15</t>
        </is>
      </c>
    </row>
    <row r="10649">
      <c r="A10649" s="1" t="n">
        <v>10648</v>
      </c>
      <c r="B10649">
        <f>TEXT(10648, "[$-0E0000]yyyy-mm-dd")</f>
        <v/>
      </c>
      <c r="C10649" t="inlineStr">
        <is>
          <t>1929-01-16</t>
        </is>
      </c>
    </row>
    <row r="10650">
      <c r="A10650" s="1" t="n">
        <v>10649</v>
      </c>
      <c r="B10650">
        <f>TEXT(10649, "[$-0E0000]yyyy-mm-dd")</f>
        <v/>
      </c>
      <c r="C10650" t="inlineStr">
        <is>
          <t>1929-01-17</t>
        </is>
      </c>
    </row>
    <row r="10651">
      <c r="A10651" s="1" t="n">
        <v>10650</v>
      </c>
      <c r="B10651">
        <f>TEXT(10650, "[$-0E0000]yyyy-mm-dd")</f>
        <v/>
      </c>
      <c r="C10651" t="inlineStr">
        <is>
          <t>1929-01-18</t>
        </is>
      </c>
    </row>
    <row r="10652">
      <c r="A10652" s="1" t="n">
        <v>10651</v>
      </c>
      <c r="B10652">
        <f>TEXT(10651, "[$-0E0000]yyyy-mm-dd")</f>
        <v/>
      </c>
      <c r="C10652" t="inlineStr">
        <is>
          <t>1929-01-19</t>
        </is>
      </c>
    </row>
    <row r="10653">
      <c r="A10653" s="1" t="n">
        <v>10652</v>
      </c>
      <c r="B10653">
        <f>TEXT(10652, "[$-0E0000]yyyy-mm-dd")</f>
        <v/>
      </c>
      <c r="C10653" t="inlineStr">
        <is>
          <t>1929-01-20</t>
        </is>
      </c>
    </row>
    <row r="10654">
      <c r="A10654" s="1" t="n">
        <v>10653</v>
      </c>
      <c r="B10654">
        <f>TEXT(10653, "[$-0E0000]yyyy-mm-dd")</f>
        <v/>
      </c>
      <c r="C10654" t="inlineStr">
        <is>
          <t>1929-01-21</t>
        </is>
      </c>
    </row>
    <row r="10655">
      <c r="A10655" s="1" t="n">
        <v>10654</v>
      </c>
      <c r="B10655">
        <f>TEXT(10654, "[$-0E0000]yyyy-mm-dd")</f>
        <v/>
      </c>
      <c r="C10655" t="inlineStr">
        <is>
          <t>1929-01-22</t>
        </is>
      </c>
    </row>
    <row r="10656">
      <c r="A10656" s="1" t="n">
        <v>10655</v>
      </c>
      <c r="B10656">
        <f>TEXT(10655, "[$-0E0000]yyyy-mm-dd")</f>
        <v/>
      </c>
      <c r="C10656" t="inlineStr">
        <is>
          <t>1929-01-23</t>
        </is>
      </c>
    </row>
    <row r="10657">
      <c r="A10657" s="1" t="n">
        <v>10656</v>
      </c>
      <c r="B10657">
        <f>TEXT(10656, "[$-0E0000]yyyy-mm-dd")</f>
        <v/>
      </c>
      <c r="C10657" t="inlineStr">
        <is>
          <t>1929-01-24</t>
        </is>
      </c>
    </row>
    <row r="10658">
      <c r="A10658" s="1" t="n">
        <v>10657</v>
      </c>
      <c r="B10658">
        <f>TEXT(10657, "[$-0E0000]yyyy-mm-dd")</f>
        <v/>
      </c>
      <c r="C10658" t="inlineStr">
        <is>
          <t>1929-01-25</t>
        </is>
      </c>
    </row>
    <row r="10659">
      <c r="A10659" s="1" t="n">
        <v>10658</v>
      </c>
      <c r="B10659">
        <f>TEXT(10658, "[$-0E0000]yyyy-mm-dd")</f>
        <v/>
      </c>
      <c r="C10659" t="inlineStr">
        <is>
          <t>1929-01-26</t>
        </is>
      </c>
    </row>
    <row r="10660">
      <c r="A10660" s="1" t="n">
        <v>10659</v>
      </c>
      <c r="B10660">
        <f>TEXT(10659, "[$-0E0000]yyyy-mm-dd")</f>
        <v/>
      </c>
      <c r="C10660" t="inlineStr">
        <is>
          <t>1929-01-27</t>
        </is>
      </c>
    </row>
    <row r="10661">
      <c r="A10661" s="1" t="n">
        <v>10660</v>
      </c>
      <c r="B10661">
        <f>TEXT(10660, "[$-0E0000]yyyy-mm-dd")</f>
        <v/>
      </c>
      <c r="C10661" t="inlineStr">
        <is>
          <t>1929-01-28</t>
        </is>
      </c>
    </row>
    <row r="10662">
      <c r="A10662" s="1" t="n">
        <v>10661</v>
      </c>
      <c r="B10662">
        <f>TEXT(10661, "[$-0E0000]yyyy-mm-dd")</f>
        <v/>
      </c>
      <c r="C10662" t="inlineStr">
        <is>
          <t>1929-01-29</t>
        </is>
      </c>
    </row>
    <row r="10663">
      <c r="A10663" s="1" t="n">
        <v>10662</v>
      </c>
      <c r="B10663">
        <f>TEXT(10662, "[$-0E0000]yyyy-mm-dd")</f>
        <v/>
      </c>
      <c r="C10663" t="inlineStr">
        <is>
          <t>1929-02-01</t>
        </is>
      </c>
    </row>
    <row r="10664">
      <c r="A10664" s="1" t="n">
        <v>10663</v>
      </c>
      <c r="B10664">
        <f>TEXT(10663, "[$-0E0000]yyyy-mm-dd")</f>
        <v/>
      </c>
      <c r="C10664" t="inlineStr">
        <is>
          <t>1929-02-02</t>
        </is>
      </c>
    </row>
    <row r="10665">
      <c r="A10665" s="1" t="n">
        <v>10664</v>
      </c>
      <c r="B10665">
        <f>TEXT(10664, "[$-0E0000]yyyy-mm-dd")</f>
        <v/>
      </c>
      <c r="C10665" t="inlineStr">
        <is>
          <t>1929-02-03</t>
        </is>
      </c>
    </row>
    <row r="10666">
      <c r="A10666" s="1" t="n">
        <v>10665</v>
      </c>
      <c r="B10666">
        <f>TEXT(10665, "[$-0E0000]yyyy-mm-dd")</f>
        <v/>
      </c>
      <c r="C10666" t="inlineStr">
        <is>
          <t>1929-02-04</t>
        </is>
      </c>
    </row>
    <row r="10667">
      <c r="A10667" s="1" t="n">
        <v>10666</v>
      </c>
      <c r="B10667">
        <f>TEXT(10666, "[$-0E0000]yyyy-mm-dd")</f>
        <v/>
      </c>
      <c r="C10667" t="inlineStr">
        <is>
          <t>1929-02-05</t>
        </is>
      </c>
    </row>
    <row r="10668">
      <c r="A10668" s="1" t="n">
        <v>10667</v>
      </c>
      <c r="B10668">
        <f>TEXT(10667, "[$-0E0000]yyyy-mm-dd")</f>
        <v/>
      </c>
      <c r="C10668" t="inlineStr">
        <is>
          <t>1929-02-06</t>
        </is>
      </c>
    </row>
    <row r="10669">
      <c r="A10669" s="1" t="n">
        <v>10668</v>
      </c>
      <c r="B10669">
        <f>TEXT(10668, "[$-0E0000]yyyy-mm-dd")</f>
        <v/>
      </c>
      <c r="C10669" t="inlineStr">
        <is>
          <t>1929-02-07</t>
        </is>
      </c>
    </row>
    <row r="10670">
      <c r="A10670" s="1" t="n">
        <v>10669</v>
      </c>
      <c r="B10670">
        <f>TEXT(10669, "[$-0E0000]yyyy-mm-dd")</f>
        <v/>
      </c>
      <c r="C10670" t="inlineStr">
        <is>
          <t>1929-02-08</t>
        </is>
      </c>
    </row>
    <row r="10671">
      <c r="A10671" s="1" t="n">
        <v>10670</v>
      </c>
      <c r="B10671">
        <f>TEXT(10670, "[$-0E0000]yyyy-mm-dd")</f>
        <v/>
      </c>
      <c r="C10671" t="inlineStr">
        <is>
          <t>1929-02-09</t>
        </is>
      </c>
    </row>
    <row r="10672">
      <c r="A10672" s="1" t="n">
        <v>10671</v>
      </c>
      <c r="B10672">
        <f>TEXT(10671, "[$-0E0000]yyyy-mm-dd")</f>
        <v/>
      </c>
      <c r="C10672" t="inlineStr">
        <is>
          <t>1929-02-10</t>
        </is>
      </c>
    </row>
    <row r="10673">
      <c r="A10673" s="1" t="n">
        <v>10672</v>
      </c>
      <c r="B10673">
        <f>TEXT(10672, "[$-0E0000]yyyy-mm-dd")</f>
        <v/>
      </c>
      <c r="C10673" t="inlineStr">
        <is>
          <t>1929-02-11</t>
        </is>
      </c>
    </row>
    <row r="10674">
      <c r="A10674" s="1" t="n">
        <v>10673</v>
      </c>
      <c r="B10674">
        <f>TEXT(10673, "[$-0E0000]yyyy-mm-dd")</f>
        <v/>
      </c>
      <c r="C10674" t="inlineStr">
        <is>
          <t>1929-02-12</t>
        </is>
      </c>
    </row>
    <row r="10675">
      <c r="A10675" s="1" t="n">
        <v>10674</v>
      </c>
      <c r="B10675">
        <f>TEXT(10674, "[$-0E0000]yyyy-mm-dd")</f>
        <v/>
      </c>
      <c r="C10675" t="inlineStr">
        <is>
          <t>1929-02-13</t>
        </is>
      </c>
    </row>
    <row r="10676">
      <c r="A10676" s="1" t="n">
        <v>10675</v>
      </c>
      <c r="B10676">
        <f>TEXT(10675, "[$-0E0000]yyyy-mm-dd")</f>
        <v/>
      </c>
      <c r="C10676" t="inlineStr">
        <is>
          <t>1929-02-14</t>
        </is>
      </c>
    </row>
    <row r="10677">
      <c r="A10677" s="1" t="n">
        <v>10676</v>
      </c>
      <c r="B10677">
        <f>TEXT(10676, "[$-0E0000]yyyy-mm-dd")</f>
        <v/>
      </c>
      <c r="C10677" t="inlineStr">
        <is>
          <t>1929-02-15</t>
        </is>
      </c>
    </row>
    <row r="10678">
      <c r="A10678" s="1" t="n">
        <v>10677</v>
      </c>
      <c r="B10678">
        <f>TEXT(10677, "[$-0E0000]yyyy-mm-dd")</f>
        <v/>
      </c>
      <c r="C10678" t="inlineStr">
        <is>
          <t>1929-02-16</t>
        </is>
      </c>
    </row>
    <row r="10679">
      <c r="A10679" s="1" t="n">
        <v>10678</v>
      </c>
      <c r="B10679">
        <f>TEXT(10678, "[$-0E0000]yyyy-mm-dd")</f>
        <v/>
      </c>
      <c r="C10679" t="inlineStr">
        <is>
          <t>1929-02-17</t>
        </is>
      </c>
    </row>
    <row r="10680">
      <c r="A10680" s="1" t="n">
        <v>10679</v>
      </c>
      <c r="B10680">
        <f>TEXT(10679, "[$-0E0000]yyyy-mm-dd")</f>
        <v/>
      </c>
      <c r="C10680" t="inlineStr">
        <is>
          <t>1929-02-18</t>
        </is>
      </c>
    </row>
    <row r="10681">
      <c r="A10681" s="1" t="n">
        <v>10680</v>
      </c>
      <c r="B10681">
        <f>TEXT(10680, "[$-0E0000]yyyy-mm-dd")</f>
        <v/>
      </c>
      <c r="C10681" t="inlineStr">
        <is>
          <t>1929-02-19</t>
        </is>
      </c>
    </row>
    <row r="10682">
      <c r="A10682" s="1" t="n">
        <v>10681</v>
      </c>
      <c r="B10682">
        <f>TEXT(10681, "[$-0E0000]yyyy-mm-dd")</f>
        <v/>
      </c>
      <c r="C10682" t="inlineStr">
        <is>
          <t>1929-02-20</t>
        </is>
      </c>
    </row>
    <row r="10683">
      <c r="A10683" s="1" t="n">
        <v>10682</v>
      </c>
      <c r="B10683">
        <f>TEXT(10682, "[$-0E0000]yyyy-mm-dd")</f>
        <v/>
      </c>
      <c r="C10683" t="inlineStr">
        <is>
          <t>1929-02-21</t>
        </is>
      </c>
    </row>
    <row r="10684">
      <c r="A10684" s="1" t="n">
        <v>10683</v>
      </c>
      <c r="B10684">
        <f>TEXT(10683, "[$-0E0000]yyyy-mm-dd")</f>
        <v/>
      </c>
      <c r="C10684" t="inlineStr">
        <is>
          <t>1929-02-22</t>
        </is>
      </c>
    </row>
    <row r="10685">
      <c r="A10685" s="1" t="n">
        <v>10684</v>
      </c>
      <c r="B10685">
        <f>TEXT(10684, "[$-0E0000]yyyy-mm-dd")</f>
        <v/>
      </c>
      <c r="C10685" t="inlineStr">
        <is>
          <t>1929-02-23</t>
        </is>
      </c>
    </row>
    <row r="10686">
      <c r="A10686" s="1" t="n">
        <v>10685</v>
      </c>
      <c r="B10686">
        <f>TEXT(10685, "[$-0E0000]yyyy-mm-dd")</f>
        <v/>
      </c>
      <c r="C10686" t="inlineStr">
        <is>
          <t>1929-02-24</t>
        </is>
      </c>
    </row>
    <row r="10687">
      <c r="A10687" s="1" t="n">
        <v>10686</v>
      </c>
      <c r="B10687">
        <f>TEXT(10686, "[$-0E0000]yyyy-mm-dd")</f>
        <v/>
      </c>
      <c r="C10687" t="inlineStr">
        <is>
          <t>1929-02-25</t>
        </is>
      </c>
    </row>
    <row r="10688">
      <c r="A10688" s="1" t="n">
        <v>10687</v>
      </c>
      <c r="B10688">
        <f>TEXT(10687, "[$-0E0000]yyyy-mm-dd")</f>
        <v/>
      </c>
      <c r="C10688" t="inlineStr">
        <is>
          <t>1929-02-26</t>
        </is>
      </c>
    </row>
    <row r="10689">
      <c r="A10689" s="1" t="n">
        <v>10688</v>
      </c>
      <c r="B10689">
        <f>TEXT(10688, "[$-0E0000]yyyy-mm-dd")</f>
        <v/>
      </c>
      <c r="C10689" t="inlineStr">
        <is>
          <t>1929-02-27</t>
        </is>
      </c>
    </row>
    <row r="10690">
      <c r="A10690" s="1" t="n">
        <v>10689</v>
      </c>
      <c r="B10690">
        <f>TEXT(10689, "[$-0E0000]yyyy-mm-dd")</f>
        <v/>
      </c>
      <c r="C10690" t="inlineStr">
        <is>
          <t>1929-02-28</t>
        </is>
      </c>
    </row>
    <row r="10691">
      <c r="A10691" s="1" t="n">
        <v>10690</v>
      </c>
      <c r="B10691">
        <f>TEXT(10690, "[$-0E0000]yyyy-mm-dd")</f>
        <v/>
      </c>
      <c r="C10691" t="inlineStr">
        <is>
          <t>1929-02-29</t>
        </is>
      </c>
    </row>
    <row r="10692">
      <c r="A10692" s="1" t="n">
        <v>10691</v>
      </c>
      <c r="B10692">
        <f>TEXT(10691, "[$-0E0000]yyyy-mm-dd")</f>
        <v/>
      </c>
      <c r="C10692" t="inlineStr">
        <is>
          <t>1929-02-30</t>
        </is>
      </c>
    </row>
    <row r="10693">
      <c r="A10693" s="1" t="n">
        <v>10692</v>
      </c>
      <c r="B10693">
        <f>TEXT(10692, "[$-0E0000]yyyy-mm-dd")</f>
        <v/>
      </c>
      <c r="C10693" t="inlineStr">
        <is>
          <t>1929-03-01</t>
        </is>
      </c>
    </row>
    <row r="10694">
      <c r="A10694" s="1" t="n">
        <v>10693</v>
      </c>
      <c r="B10694">
        <f>TEXT(10693, "[$-0E0000]yyyy-mm-dd")</f>
        <v/>
      </c>
      <c r="C10694" t="inlineStr">
        <is>
          <t>1929-03-02</t>
        </is>
      </c>
    </row>
    <row r="10695">
      <c r="A10695" s="1" t="n">
        <v>10694</v>
      </c>
      <c r="B10695">
        <f>TEXT(10694, "[$-0E0000]yyyy-mm-dd")</f>
        <v/>
      </c>
      <c r="C10695" t="inlineStr">
        <is>
          <t>1929-03-03</t>
        </is>
      </c>
    </row>
    <row r="10696">
      <c r="A10696" s="1" t="n">
        <v>10695</v>
      </c>
      <c r="B10696">
        <f>TEXT(10695, "[$-0E0000]yyyy-mm-dd")</f>
        <v/>
      </c>
      <c r="C10696" t="inlineStr">
        <is>
          <t>1929-03-04</t>
        </is>
      </c>
    </row>
    <row r="10697">
      <c r="A10697" s="1" t="n">
        <v>10696</v>
      </c>
      <c r="B10697">
        <f>TEXT(10696, "[$-0E0000]yyyy-mm-dd")</f>
        <v/>
      </c>
      <c r="C10697" t="inlineStr">
        <is>
          <t>1929-03-05</t>
        </is>
      </c>
    </row>
    <row r="10698">
      <c r="A10698" s="1" t="n">
        <v>10697</v>
      </c>
      <c r="B10698">
        <f>TEXT(10697, "[$-0E0000]yyyy-mm-dd")</f>
        <v/>
      </c>
      <c r="C10698" t="inlineStr">
        <is>
          <t>1929-03-06</t>
        </is>
      </c>
    </row>
    <row r="10699">
      <c r="A10699" s="1" t="n">
        <v>10698</v>
      </c>
      <c r="B10699">
        <f>TEXT(10698, "[$-0E0000]yyyy-mm-dd")</f>
        <v/>
      </c>
      <c r="C10699" t="inlineStr">
        <is>
          <t>1929-03-07</t>
        </is>
      </c>
    </row>
    <row r="10700">
      <c r="A10700" s="1" t="n">
        <v>10699</v>
      </c>
      <c r="B10700">
        <f>TEXT(10699, "[$-0E0000]yyyy-mm-dd")</f>
        <v/>
      </c>
      <c r="C10700" t="inlineStr">
        <is>
          <t>1929-03-08</t>
        </is>
      </c>
    </row>
    <row r="10701">
      <c r="A10701" s="1" t="n">
        <v>10700</v>
      </c>
      <c r="B10701">
        <f>TEXT(10700, "[$-0E0000]yyyy-mm-dd")</f>
        <v/>
      </c>
      <c r="C10701" t="inlineStr">
        <is>
          <t>1929-03-09</t>
        </is>
      </c>
    </row>
    <row r="10702">
      <c r="A10702" s="1" t="n">
        <v>10701</v>
      </c>
      <c r="B10702">
        <f>TEXT(10701, "[$-0E0000]yyyy-mm-dd")</f>
        <v/>
      </c>
      <c r="C10702" t="inlineStr">
        <is>
          <t>1929-03-10</t>
        </is>
      </c>
    </row>
    <row r="10703">
      <c r="A10703" s="1" t="n">
        <v>10702</v>
      </c>
      <c r="B10703">
        <f>TEXT(10702, "[$-0E0000]yyyy-mm-dd")</f>
        <v/>
      </c>
      <c r="C10703" t="inlineStr">
        <is>
          <t>1929-03-11</t>
        </is>
      </c>
    </row>
    <row r="10704">
      <c r="A10704" s="1" t="n">
        <v>10703</v>
      </c>
      <c r="B10704">
        <f>TEXT(10703, "[$-0E0000]yyyy-mm-dd")</f>
        <v/>
      </c>
      <c r="C10704" t="inlineStr">
        <is>
          <t>1929-03-12</t>
        </is>
      </c>
    </row>
    <row r="10705">
      <c r="A10705" s="1" t="n">
        <v>10704</v>
      </c>
      <c r="B10705">
        <f>TEXT(10704, "[$-0E0000]yyyy-mm-dd")</f>
        <v/>
      </c>
      <c r="C10705" t="inlineStr">
        <is>
          <t>1929-03-13</t>
        </is>
      </c>
    </row>
    <row r="10706">
      <c r="A10706" s="1" t="n">
        <v>10705</v>
      </c>
      <c r="B10706">
        <f>TEXT(10705, "[$-0E0000]yyyy-mm-dd")</f>
        <v/>
      </c>
      <c r="C10706" t="inlineStr">
        <is>
          <t>1929-03-14</t>
        </is>
      </c>
    </row>
    <row r="10707">
      <c r="A10707" s="1" t="n">
        <v>10706</v>
      </c>
      <c r="B10707">
        <f>TEXT(10706, "[$-0E0000]yyyy-mm-dd")</f>
        <v/>
      </c>
      <c r="C10707" t="inlineStr">
        <is>
          <t>1929-03-15</t>
        </is>
      </c>
    </row>
    <row r="10708">
      <c r="A10708" s="1" t="n">
        <v>10707</v>
      </c>
      <c r="B10708">
        <f>TEXT(10707, "[$-0E0000]yyyy-mm-dd")</f>
        <v/>
      </c>
      <c r="C10708" t="inlineStr">
        <is>
          <t>1929-03-16</t>
        </is>
      </c>
    </row>
    <row r="10709">
      <c r="A10709" s="1" t="n">
        <v>10708</v>
      </c>
      <c r="B10709">
        <f>TEXT(10708, "[$-0E0000]yyyy-mm-dd")</f>
        <v/>
      </c>
      <c r="C10709" t="inlineStr">
        <is>
          <t>1929-03-17</t>
        </is>
      </c>
    </row>
    <row r="10710">
      <c r="A10710" s="1" t="n">
        <v>10709</v>
      </c>
      <c r="B10710">
        <f>TEXT(10709, "[$-0E0000]yyyy-mm-dd")</f>
        <v/>
      </c>
      <c r="C10710" t="inlineStr">
        <is>
          <t>1929-03-18</t>
        </is>
      </c>
    </row>
    <row r="10711">
      <c r="A10711" s="1" t="n">
        <v>10710</v>
      </c>
      <c r="B10711">
        <f>TEXT(10710, "[$-0E0000]yyyy-mm-dd")</f>
        <v/>
      </c>
      <c r="C10711" t="inlineStr">
        <is>
          <t>1929-03-19</t>
        </is>
      </c>
    </row>
    <row r="10712">
      <c r="A10712" s="1" t="n">
        <v>10711</v>
      </c>
      <c r="B10712">
        <f>TEXT(10711, "[$-0E0000]yyyy-mm-dd")</f>
        <v/>
      </c>
      <c r="C10712" t="inlineStr">
        <is>
          <t>1929-03-20</t>
        </is>
      </c>
    </row>
    <row r="10713">
      <c r="A10713" s="1" t="n">
        <v>10712</v>
      </c>
      <c r="B10713">
        <f>TEXT(10712, "[$-0E0000]yyyy-mm-dd")</f>
        <v/>
      </c>
      <c r="C10713" t="inlineStr">
        <is>
          <t>1929-03-21</t>
        </is>
      </c>
    </row>
    <row r="10714">
      <c r="A10714" s="1" t="n">
        <v>10713</v>
      </c>
      <c r="B10714">
        <f>TEXT(10713, "[$-0E0000]yyyy-mm-dd")</f>
        <v/>
      </c>
      <c r="C10714" t="inlineStr">
        <is>
          <t>1929-03-22</t>
        </is>
      </c>
    </row>
    <row r="10715">
      <c r="A10715" s="1" t="n">
        <v>10714</v>
      </c>
      <c r="B10715">
        <f>TEXT(10714, "[$-0E0000]yyyy-mm-dd")</f>
        <v/>
      </c>
      <c r="C10715" t="inlineStr">
        <is>
          <t>1929-03-23</t>
        </is>
      </c>
    </row>
    <row r="10716">
      <c r="A10716" s="1" t="n">
        <v>10715</v>
      </c>
      <c r="B10716">
        <f>TEXT(10715, "[$-0E0000]yyyy-mm-dd")</f>
        <v/>
      </c>
      <c r="C10716" t="inlineStr">
        <is>
          <t>1929-03-24</t>
        </is>
      </c>
    </row>
    <row r="10717">
      <c r="A10717" s="1" t="n">
        <v>10716</v>
      </c>
      <c r="B10717">
        <f>TEXT(10716, "[$-0E0000]yyyy-mm-dd")</f>
        <v/>
      </c>
      <c r="C10717" t="inlineStr">
        <is>
          <t>1929-03-25</t>
        </is>
      </c>
    </row>
    <row r="10718">
      <c r="A10718" s="1" t="n">
        <v>10717</v>
      </c>
      <c r="B10718">
        <f>TEXT(10717, "[$-0E0000]yyyy-mm-dd")</f>
        <v/>
      </c>
      <c r="C10718" t="inlineStr">
        <is>
          <t>1929-03-26</t>
        </is>
      </c>
    </row>
    <row r="10719">
      <c r="A10719" s="1" t="n">
        <v>10718</v>
      </c>
      <c r="B10719">
        <f>TEXT(10718, "[$-0E0000]yyyy-mm-dd")</f>
        <v/>
      </c>
      <c r="C10719" t="inlineStr">
        <is>
          <t>1929-03-27</t>
        </is>
      </c>
    </row>
    <row r="10720">
      <c r="A10720" s="1" t="n">
        <v>10719</v>
      </c>
      <c r="B10720">
        <f>TEXT(10719, "[$-0E0000]yyyy-mm-dd")</f>
        <v/>
      </c>
      <c r="C10720" t="inlineStr">
        <is>
          <t>1929-03-28</t>
        </is>
      </c>
    </row>
    <row r="10721">
      <c r="A10721" s="1" t="n">
        <v>10720</v>
      </c>
      <c r="B10721">
        <f>TEXT(10720, "[$-0E0000]yyyy-mm-dd")</f>
        <v/>
      </c>
      <c r="C10721" t="inlineStr">
        <is>
          <t>1929-03-29</t>
        </is>
      </c>
    </row>
    <row r="10722">
      <c r="A10722" s="1" t="n">
        <v>10721</v>
      </c>
      <c r="B10722">
        <f>TEXT(10721, "[$-0E0000]yyyy-mm-dd")</f>
        <v/>
      </c>
      <c r="C10722" t="inlineStr">
        <is>
          <t>1929-04-01</t>
        </is>
      </c>
    </row>
    <row r="10723">
      <c r="A10723" s="1" t="n">
        <v>10722</v>
      </c>
      <c r="B10723">
        <f>TEXT(10722, "[$-0E0000]yyyy-mm-dd")</f>
        <v/>
      </c>
      <c r="C10723" t="inlineStr">
        <is>
          <t>1929-04-02</t>
        </is>
      </c>
    </row>
    <row r="10724">
      <c r="A10724" s="1" t="n">
        <v>10723</v>
      </c>
      <c r="B10724">
        <f>TEXT(10723, "[$-0E0000]yyyy-mm-dd")</f>
        <v/>
      </c>
      <c r="C10724" t="inlineStr">
        <is>
          <t>1929-04-03</t>
        </is>
      </c>
    </row>
    <row r="10725">
      <c r="A10725" s="1" t="n">
        <v>10724</v>
      </c>
      <c r="B10725">
        <f>TEXT(10724, "[$-0E0000]yyyy-mm-dd")</f>
        <v/>
      </c>
      <c r="C10725" t="inlineStr">
        <is>
          <t>1929-04-04</t>
        </is>
      </c>
    </row>
    <row r="10726">
      <c r="A10726" s="1" t="n">
        <v>10725</v>
      </c>
      <c r="B10726">
        <f>TEXT(10725, "[$-0E0000]yyyy-mm-dd")</f>
        <v/>
      </c>
      <c r="C10726" t="inlineStr">
        <is>
          <t>1929-04-05</t>
        </is>
      </c>
    </row>
    <row r="10727">
      <c r="A10727" s="1" t="n">
        <v>10726</v>
      </c>
      <c r="B10727">
        <f>TEXT(10726, "[$-0E0000]yyyy-mm-dd")</f>
        <v/>
      </c>
      <c r="C10727" t="inlineStr">
        <is>
          <t>1929-04-06</t>
        </is>
      </c>
    </row>
    <row r="10728">
      <c r="A10728" s="1" t="n">
        <v>10727</v>
      </c>
      <c r="B10728">
        <f>TEXT(10727, "[$-0E0000]yyyy-mm-dd")</f>
        <v/>
      </c>
      <c r="C10728" t="inlineStr">
        <is>
          <t>1929-04-07</t>
        </is>
      </c>
    </row>
    <row r="10729">
      <c r="A10729" s="1" t="n">
        <v>10728</v>
      </c>
      <c r="B10729">
        <f>TEXT(10728, "[$-0E0000]yyyy-mm-dd")</f>
        <v/>
      </c>
      <c r="C10729" t="inlineStr">
        <is>
          <t>1929-04-08</t>
        </is>
      </c>
    </row>
    <row r="10730">
      <c r="A10730" s="1" t="n">
        <v>10729</v>
      </c>
      <c r="B10730">
        <f>TEXT(10729, "[$-0E0000]yyyy-mm-dd")</f>
        <v/>
      </c>
      <c r="C10730" t="inlineStr">
        <is>
          <t>1929-04-09</t>
        </is>
      </c>
    </row>
    <row r="10731">
      <c r="A10731" s="1" t="n">
        <v>10730</v>
      </c>
      <c r="B10731">
        <f>TEXT(10730, "[$-0E0000]yyyy-mm-dd")</f>
        <v/>
      </c>
      <c r="C10731" t="inlineStr">
        <is>
          <t>1929-04-10</t>
        </is>
      </c>
    </row>
    <row r="10732">
      <c r="A10732" s="1" t="n">
        <v>10731</v>
      </c>
      <c r="B10732">
        <f>TEXT(10731, "[$-0E0000]yyyy-mm-dd")</f>
        <v/>
      </c>
      <c r="C10732" t="inlineStr">
        <is>
          <t>1929-04-11</t>
        </is>
      </c>
    </row>
    <row r="10733">
      <c r="A10733" s="1" t="n">
        <v>10732</v>
      </c>
      <c r="B10733">
        <f>TEXT(10732, "[$-0E0000]yyyy-mm-dd")</f>
        <v/>
      </c>
      <c r="C10733" t="inlineStr">
        <is>
          <t>1929-04-12</t>
        </is>
      </c>
    </row>
    <row r="10734">
      <c r="A10734" s="1" t="n">
        <v>10733</v>
      </c>
      <c r="B10734">
        <f>TEXT(10733, "[$-0E0000]yyyy-mm-dd")</f>
        <v/>
      </c>
      <c r="C10734" t="inlineStr">
        <is>
          <t>1929-04-13</t>
        </is>
      </c>
    </row>
    <row r="10735">
      <c r="A10735" s="1" t="n">
        <v>10734</v>
      </c>
      <c r="B10735">
        <f>TEXT(10734, "[$-0E0000]yyyy-mm-dd")</f>
        <v/>
      </c>
      <c r="C10735" t="inlineStr">
        <is>
          <t>1929-04-14</t>
        </is>
      </c>
    </row>
    <row r="10736">
      <c r="A10736" s="1" t="n">
        <v>10735</v>
      </c>
      <c r="B10736">
        <f>TEXT(10735, "[$-0E0000]yyyy-mm-dd")</f>
        <v/>
      </c>
      <c r="C10736" t="inlineStr">
        <is>
          <t>1929-04-15</t>
        </is>
      </c>
    </row>
    <row r="10737">
      <c r="A10737" s="1" t="n">
        <v>10736</v>
      </c>
      <c r="B10737">
        <f>TEXT(10736, "[$-0E0000]yyyy-mm-dd")</f>
        <v/>
      </c>
      <c r="C10737" t="inlineStr">
        <is>
          <t>1929-04-16</t>
        </is>
      </c>
    </row>
    <row r="10738">
      <c r="A10738" s="1" t="n">
        <v>10737</v>
      </c>
      <c r="B10738">
        <f>TEXT(10737, "[$-0E0000]yyyy-mm-dd")</f>
        <v/>
      </c>
      <c r="C10738" t="inlineStr">
        <is>
          <t>1929-04-17</t>
        </is>
      </c>
    </row>
    <row r="10739">
      <c r="A10739" s="1" t="n">
        <v>10738</v>
      </c>
      <c r="B10739">
        <f>TEXT(10738, "[$-0E0000]yyyy-mm-dd")</f>
        <v/>
      </c>
      <c r="C10739" t="inlineStr">
        <is>
          <t>1929-04-18</t>
        </is>
      </c>
    </row>
    <row r="10740">
      <c r="A10740" s="1" t="n">
        <v>10739</v>
      </c>
      <c r="B10740">
        <f>TEXT(10739, "[$-0E0000]yyyy-mm-dd")</f>
        <v/>
      </c>
      <c r="C10740" t="inlineStr">
        <is>
          <t>1929-04-19</t>
        </is>
      </c>
    </row>
    <row r="10741">
      <c r="A10741" s="1" t="n">
        <v>10740</v>
      </c>
      <c r="B10741">
        <f>TEXT(10740, "[$-0E0000]yyyy-mm-dd")</f>
        <v/>
      </c>
      <c r="C10741" t="inlineStr">
        <is>
          <t>1929-04-20</t>
        </is>
      </c>
    </row>
    <row r="10742">
      <c r="A10742" s="1" t="n">
        <v>10741</v>
      </c>
      <c r="B10742">
        <f>TEXT(10741, "[$-0E0000]yyyy-mm-dd")</f>
        <v/>
      </c>
      <c r="C10742" t="inlineStr">
        <is>
          <t>1929-04-21</t>
        </is>
      </c>
    </row>
    <row r="10743">
      <c r="A10743" s="1" t="n">
        <v>10742</v>
      </c>
      <c r="B10743">
        <f>TEXT(10742, "[$-0E0000]yyyy-mm-dd")</f>
        <v/>
      </c>
      <c r="C10743" t="inlineStr">
        <is>
          <t>1929-04-22</t>
        </is>
      </c>
    </row>
    <row r="10744">
      <c r="A10744" s="1" t="n">
        <v>10743</v>
      </c>
      <c r="B10744">
        <f>TEXT(10743, "[$-0E0000]yyyy-mm-dd")</f>
        <v/>
      </c>
      <c r="C10744" t="inlineStr">
        <is>
          <t>1929-04-23</t>
        </is>
      </c>
    </row>
    <row r="10745">
      <c r="A10745" s="1" t="n">
        <v>10744</v>
      </c>
      <c r="B10745">
        <f>TEXT(10744, "[$-0E0000]yyyy-mm-dd")</f>
        <v/>
      </c>
      <c r="C10745" t="inlineStr">
        <is>
          <t>1929-04-24</t>
        </is>
      </c>
    </row>
    <row r="10746">
      <c r="A10746" s="1" t="n">
        <v>10745</v>
      </c>
      <c r="B10746">
        <f>TEXT(10745, "[$-0E0000]yyyy-mm-dd")</f>
        <v/>
      </c>
      <c r="C10746" t="inlineStr">
        <is>
          <t>1929-04-25</t>
        </is>
      </c>
    </row>
    <row r="10747">
      <c r="A10747" s="1" t="n">
        <v>10746</v>
      </c>
      <c r="B10747">
        <f>TEXT(10746, "[$-0E0000]yyyy-mm-dd")</f>
        <v/>
      </c>
      <c r="C10747" t="inlineStr">
        <is>
          <t>1929-04-26</t>
        </is>
      </c>
    </row>
    <row r="10748">
      <c r="A10748" s="1" t="n">
        <v>10747</v>
      </c>
      <c r="B10748">
        <f>TEXT(10747, "[$-0E0000]yyyy-mm-dd")</f>
        <v/>
      </c>
      <c r="C10748" t="inlineStr">
        <is>
          <t>1929-04-27</t>
        </is>
      </c>
    </row>
    <row r="10749">
      <c r="A10749" s="1" t="n">
        <v>10748</v>
      </c>
      <c r="B10749">
        <f>TEXT(10748, "[$-0E0000]yyyy-mm-dd")</f>
        <v/>
      </c>
      <c r="C10749" t="inlineStr">
        <is>
          <t>1929-04-28</t>
        </is>
      </c>
    </row>
    <row r="10750">
      <c r="A10750" s="1" t="n">
        <v>10749</v>
      </c>
      <c r="B10750">
        <f>TEXT(10749, "[$-0E0000]yyyy-mm-dd")</f>
        <v/>
      </c>
      <c r="C10750" t="inlineStr">
        <is>
          <t>1929-04-29</t>
        </is>
      </c>
    </row>
    <row r="10751">
      <c r="A10751" s="1" t="n">
        <v>10750</v>
      </c>
      <c r="B10751">
        <f>TEXT(10750, "[$-0E0000]yyyy-mm-dd")</f>
        <v/>
      </c>
      <c r="C10751" t="inlineStr">
        <is>
          <t>1929-05-01</t>
        </is>
      </c>
    </row>
    <row r="10752">
      <c r="A10752" s="1" t="n">
        <v>10751</v>
      </c>
      <c r="B10752">
        <f>TEXT(10751, "[$-0E0000]yyyy-mm-dd")</f>
        <v/>
      </c>
      <c r="C10752" t="inlineStr">
        <is>
          <t>1929-05-02</t>
        </is>
      </c>
    </row>
    <row r="10753">
      <c r="A10753" s="1" t="n">
        <v>10752</v>
      </c>
      <c r="B10753">
        <f>TEXT(10752, "[$-0E0000]yyyy-mm-dd")</f>
        <v/>
      </c>
      <c r="C10753" t="inlineStr">
        <is>
          <t>1929-05-03</t>
        </is>
      </c>
    </row>
    <row r="10754">
      <c r="A10754" s="1" t="n">
        <v>10753</v>
      </c>
      <c r="B10754">
        <f>TEXT(10753, "[$-0E0000]yyyy-mm-dd")</f>
        <v/>
      </c>
      <c r="C10754" t="inlineStr">
        <is>
          <t>1929-05-04</t>
        </is>
      </c>
    </row>
    <row r="10755">
      <c r="A10755" s="1" t="n">
        <v>10754</v>
      </c>
      <c r="B10755">
        <f>TEXT(10754, "[$-0E0000]yyyy-mm-dd")</f>
        <v/>
      </c>
      <c r="C10755" t="inlineStr">
        <is>
          <t>1929-05-05</t>
        </is>
      </c>
    </row>
    <row r="10756">
      <c r="A10756" s="1" t="n">
        <v>10755</v>
      </c>
      <c r="B10756">
        <f>TEXT(10755, "[$-0E0000]yyyy-mm-dd")</f>
        <v/>
      </c>
      <c r="C10756" t="inlineStr">
        <is>
          <t>1929-05-06</t>
        </is>
      </c>
    </row>
    <row r="10757">
      <c r="A10757" s="1" t="n">
        <v>10756</v>
      </c>
      <c r="B10757">
        <f>TEXT(10756, "[$-0E0000]yyyy-mm-dd")</f>
        <v/>
      </c>
      <c r="C10757" t="inlineStr">
        <is>
          <t>1929-05-07</t>
        </is>
      </c>
    </row>
    <row r="10758">
      <c r="A10758" s="1" t="n">
        <v>10757</v>
      </c>
      <c r="B10758">
        <f>TEXT(10757, "[$-0E0000]yyyy-mm-dd")</f>
        <v/>
      </c>
      <c r="C10758" t="inlineStr">
        <is>
          <t>1929-05-08</t>
        </is>
      </c>
    </row>
    <row r="10759">
      <c r="A10759" s="1" t="n">
        <v>10758</v>
      </c>
      <c r="B10759">
        <f>TEXT(10758, "[$-0E0000]yyyy-mm-dd")</f>
        <v/>
      </c>
      <c r="C10759" t="inlineStr">
        <is>
          <t>1929-05-09</t>
        </is>
      </c>
    </row>
    <row r="10760">
      <c r="A10760" s="1" t="n">
        <v>10759</v>
      </c>
      <c r="B10760">
        <f>TEXT(10759, "[$-0E0000]yyyy-mm-dd")</f>
        <v/>
      </c>
      <c r="C10760" t="inlineStr">
        <is>
          <t>1929-05-10</t>
        </is>
      </c>
    </row>
    <row r="10761">
      <c r="A10761" s="1" t="n">
        <v>10760</v>
      </c>
      <c r="B10761">
        <f>TEXT(10760, "[$-0E0000]yyyy-mm-dd")</f>
        <v/>
      </c>
      <c r="C10761" t="inlineStr">
        <is>
          <t>1929-05-11</t>
        </is>
      </c>
    </row>
    <row r="10762">
      <c r="A10762" s="1" t="n">
        <v>10761</v>
      </c>
      <c r="B10762">
        <f>TEXT(10761, "[$-0E0000]yyyy-mm-dd")</f>
        <v/>
      </c>
      <c r="C10762" t="inlineStr">
        <is>
          <t>1929-05-12</t>
        </is>
      </c>
    </row>
    <row r="10763">
      <c r="A10763" s="1" t="n">
        <v>10762</v>
      </c>
      <c r="B10763">
        <f>TEXT(10762, "[$-0E0000]yyyy-mm-dd")</f>
        <v/>
      </c>
      <c r="C10763" t="inlineStr">
        <is>
          <t>1929-05-13</t>
        </is>
      </c>
    </row>
    <row r="10764">
      <c r="A10764" s="1" t="n">
        <v>10763</v>
      </c>
      <c r="B10764">
        <f>TEXT(10763, "[$-0E0000]yyyy-mm-dd")</f>
        <v/>
      </c>
      <c r="C10764" t="inlineStr">
        <is>
          <t>1929-05-14</t>
        </is>
      </c>
    </row>
    <row r="10765">
      <c r="A10765" s="1" t="n">
        <v>10764</v>
      </c>
      <c r="B10765">
        <f>TEXT(10764, "[$-0E0000]yyyy-mm-dd")</f>
        <v/>
      </c>
      <c r="C10765" t="inlineStr">
        <is>
          <t>1929-05-15</t>
        </is>
      </c>
    </row>
    <row r="10766">
      <c r="A10766" s="1" t="n">
        <v>10765</v>
      </c>
      <c r="B10766">
        <f>TEXT(10765, "[$-0E0000]yyyy-mm-dd")</f>
        <v/>
      </c>
      <c r="C10766" t="inlineStr">
        <is>
          <t>1929-05-16</t>
        </is>
      </c>
    </row>
    <row r="10767">
      <c r="A10767" s="1" t="n">
        <v>10766</v>
      </c>
      <c r="B10767">
        <f>TEXT(10766, "[$-0E0000]yyyy-mm-dd")</f>
        <v/>
      </c>
      <c r="C10767" t="inlineStr">
        <is>
          <t>1929-05-17</t>
        </is>
      </c>
    </row>
    <row r="10768">
      <c r="A10768" s="1" t="n">
        <v>10767</v>
      </c>
      <c r="B10768">
        <f>TEXT(10767, "[$-0E0000]yyyy-mm-dd")</f>
        <v/>
      </c>
      <c r="C10768" t="inlineStr">
        <is>
          <t>1929-05-18</t>
        </is>
      </c>
    </row>
    <row r="10769">
      <c r="A10769" s="1" t="n">
        <v>10768</v>
      </c>
      <c r="B10769">
        <f>TEXT(10768, "[$-0E0000]yyyy-mm-dd")</f>
        <v/>
      </c>
      <c r="C10769" t="inlineStr">
        <is>
          <t>1929-05-19</t>
        </is>
      </c>
    </row>
    <row r="10770">
      <c r="A10770" s="1" t="n">
        <v>10769</v>
      </c>
      <c r="B10770">
        <f>TEXT(10769, "[$-0E0000]yyyy-mm-dd")</f>
        <v/>
      </c>
      <c r="C10770" t="inlineStr">
        <is>
          <t>1929-05-20</t>
        </is>
      </c>
    </row>
    <row r="10771">
      <c r="A10771" s="1" t="n">
        <v>10770</v>
      </c>
      <c r="B10771">
        <f>TEXT(10770, "[$-0E0000]yyyy-mm-dd")</f>
        <v/>
      </c>
      <c r="C10771" t="inlineStr">
        <is>
          <t>1929-05-21</t>
        </is>
      </c>
    </row>
    <row r="10772">
      <c r="A10772" s="1" t="n">
        <v>10771</v>
      </c>
      <c r="B10772">
        <f>TEXT(10771, "[$-0E0000]yyyy-mm-dd")</f>
        <v/>
      </c>
      <c r="C10772" t="inlineStr">
        <is>
          <t>1929-05-22</t>
        </is>
      </c>
    </row>
    <row r="10773">
      <c r="A10773" s="1" t="n">
        <v>10772</v>
      </c>
      <c r="B10773">
        <f>TEXT(10772, "[$-0E0000]yyyy-mm-dd")</f>
        <v/>
      </c>
      <c r="C10773" t="inlineStr">
        <is>
          <t>1929-05-23</t>
        </is>
      </c>
    </row>
    <row r="10774">
      <c r="A10774" s="1" t="n">
        <v>10773</v>
      </c>
      <c r="B10774">
        <f>TEXT(10773, "[$-0E0000]yyyy-mm-dd")</f>
        <v/>
      </c>
      <c r="C10774" t="inlineStr">
        <is>
          <t>1929-05-24</t>
        </is>
      </c>
    </row>
    <row r="10775">
      <c r="A10775" s="1" t="n">
        <v>10774</v>
      </c>
      <c r="B10775">
        <f>TEXT(10774, "[$-0E0000]yyyy-mm-dd")</f>
        <v/>
      </c>
      <c r="C10775" t="inlineStr">
        <is>
          <t>1929-05-25</t>
        </is>
      </c>
    </row>
    <row r="10776">
      <c r="A10776" s="1" t="n">
        <v>10775</v>
      </c>
      <c r="B10776">
        <f>TEXT(10775, "[$-0E0000]yyyy-mm-dd")</f>
        <v/>
      </c>
      <c r="C10776" t="inlineStr">
        <is>
          <t>1929-05-26</t>
        </is>
      </c>
    </row>
    <row r="10777">
      <c r="A10777" s="1" t="n">
        <v>10776</v>
      </c>
      <c r="B10777">
        <f>TEXT(10776, "[$-0E0000]yyyy-mm-dd")</f>
        <v/>
      </c>
      <c r="C10777" t="inlineStr">
        <is>
          <t>1929-05-27</t>
        </is>
      </c>
    </row>
    <row r="10778">
      <c r="A10778" s="1" t="n">
        <v>10777</v>
      </c>
      <c r="B10778">
        <f>TEXT(10777, "[$-0E0000]yyyy-mm-dd")</f>
        <v/>
      </c>
      <c r="C10778" t="inlineStr">
        <is>
          <t>1929-05-28</t>
        </is>
      </c>
    </row>
    <row r="10779">
      <c r="A10779" s="1" t="n">
        <v>10778</v>
      </c>
      <c r="B10779">
        <f>TEXT(10778, "[$-0E0000]yyyy-mm-dd")</f>
        <v/>
      </c>
      <c r="C10779" t="inlineStr">
        <is>
          <t>1929-05-29</t>
        </is>
      </c>
    </row>
    <row r="10780">
      <c r="A10780" s="1" t="n">
        <v>10779</v>
      </c>
      <c r="B10780">
        <f>TEXT(10779, "[$-0E0000]yyyy-mm-dd")</f>
        <v/>
      </c>
      <c r="C10780" t="inlineStr">
        <is>
          <t>1929-05-30</t>
        </is>
      </c>
    </row>
    <row r="10781">
      <c r="A10781" s="1" t="n">
        <v>10780</v>
      </c>
      <c r="B10781">
        <f>TEXT(10780, "[$-0E0000]yyyy-mm-dd")</f>
        <v/>
      </c>
      <c r="C10781" t="inlineStr">
        <is>
          <t>1929-06-01</t>
        </is>
      </c>
    </row>
    <row r="10782">
      <c r="A10782" s="1" t="n">
        <v>10781</v>
      </c>
      <c r="B10782">
        <f>TEXT(10781, "[$-0E0000]yyyy-mm-dd")</f>
        <v/>
      </c>
      <c r="C10782" t="inlineStr">
        <is>
          <t>1929-06-02</t>
        </is>
      </c>
    </row>
    <row r="10783">
      <c r="A10783" s="1" t="n">
        <v>10782</v>
      </c>
      <c r="B10783">
        <f>TEXT(10782, "[$-0E0000]yyyy-mm-dd")</f>
        <v/>
      </c>
      <c r="C10783" t="inlineStr">
        <is>
          <t>1929-06-03</t>
        </is>
      </c>
    </row>
    <row r="10784">
      <c r="A10784" s="1" t="n">
        <v>10783</v>
      </c>
      <c r="B10784">
        <f>TEXT(10783, "[$-0E0000]yyyy-mm-dd")</f>
        <v/>
      </c>
      <c r="C10784" t="inlineStr">
        <is>
          <t>1929-06-04</t>
        </is>
      </c>
    </row>
    <row r="10785">
      <c r="A10785" s="1" t="n">
        <v>10784</v>
      </c>
      <c r="B10785">
        <f>TEXT(10784, "[$-0E0000]yyyy-mm-dd")</f>
        <v/>
      </c>
      <c r="C10785" t="inlineStr">
        <is>
          <t>1929-06-05</t>
        </is>
      </c>
    </row>
    <row r="10786">
      <c r="A10786" s="1" t="n">
        <v>10785</v>
      </c>
      <c r="B10786">
        <f>TEXT(10785, "[$-0E0000]yyyy-mm-dd")</f>
        <v/>
      </c>
      <c r="C10786" t="inlineStr">
        <is>
          <t>1929-06-06</t>
        </is>
      </c>
    </row>
    <row r="10787">
      <c r="A10787" s="1" t="n">
        <v>10786</v>
      </c>
      <c r="B10787">
        <f>TEXT(10786, "[$-0E0000]yyyy-mm-dd")</f>
        <v/>
      </c>
      <c r="C10787" t="inlineStr">
        <is>
          <t>1929-06-07</t>
        </is>
      </c>
    </row>
    <row r="10788">
      <c r="A10788" s="1" t="n">
        <v>10787</v>
      </c>
      <c r="B10788">
        <f>TEXT(10787, "[$-0E0000]yyyy-mm-dd")</f>
        <v/>
      </c>
      <c r="C10788" t="inlineStr">
        <is>
          <t>1929-06-08</t>
        </is>
      </c>
    </row>
    <row r="10789">
      <c r="A10789" s="1" t="n">
        <v>10788</v>
      </c>
      <c r="B10789">
        <f>TEXT(10788, "[$-0E0000]yyyy-mm-dd")</f>
        <v/>
      </c>
      <c r="C10789" t="inlineStr">
        <is>
          <t>1929-06-09</t>
        </is>
      </c>
    </row>
    <row r="10790">
      <c r="A10790" s="1" t="n">
        <v>10789</v>
      </c>
      <c r="B10790">
        <f>TEXT(10789, "[$-0E0000]yyyy-mm-dd")</f>
        <v/>
      </c>
      <c r="C10790" t="inlineStr">
        <is>
          <t>1929-06-10</t>
        </is>
      </c>
    </row>
    <row r="10791">
      <c r="A10791" s="1" t="n">
        <v>10790</v>
      </c>
      <c r="B10791">
        <f>TEXT(10790, "[$-0E0000]yyyy-mm-dd")</f>
        <v/>
      </c>
      <c r="C10791" t="inlineStr">
        <is>
          <t>1929-06-11</t>
        </is>
      </c>
    </row>
    <row r="10792">
      <c r="A10792" s="1" t="n">
        <v>10791</v>
      </c>
      <c r="B10792">
        <f>TEXT(10791, "[$-0E0000]yyyy-mm-dd")</f>
        <v/>
      </c>
      <c r="C10792" t="inlineStr">
        <is>
          <t>1929-06-12</t>
        </is>
      </c>
    </row>
    <row r="10793">
      <c r="A10793" s="1" t="n">
        <v>10792</v>
      </c>
      <c r="B10793">
        <f>TEXT(10792, "[$-0E0000]yyyy-mm-dd")</f>
        <v/>
      </c>
      <c r="C10793" t="inlineStr">
        <is>
          <t>1929-06-13</t>
        </is>
      </c>
    </row>
    <row r="10794">
      <c r="A10794" s="1" t="n">
        <v>10793</v>
      </c>
      <c r="B10794">
        <f>TEXT(10793, "[$-0E0000]yyyy-mm-dd")</f>
        <v/>
      </c>
      <c r="C10794" t="inlineStr">
        <is>
          <t>1929-06-14</t>
        </is>
      </c>
    </row>
    <row r="10795">
      <c r="A10795" s="1" t="n">
        <v>10794</v>
      </c>
      <c r="B10795">
        <f>TEXT(10794, "[$-0E0000]yyyy-mm-dd")</f>
        <v/>
      </c>
      <c r="C10795" t="inlineStr">
        <is>
          <t>1929-06-15</t>
        </is>
      </c>
    </row>
    <row r="10796">
      <c r="A10796" s="1" t="n">
        <v>10795</v>
      </c>
      <c r="B10796">
        <f>TEXT(10795, "[$-0E0000]yyyy-mm-dd")</f>
        <v/>
      </c>
      <c r="C10796" t="inlineStr">
        <is>
          <t>1929-06-16</t>
        </is>
      </c>
    </row>
    <row r="10797">
      <c r="A10797" s="1" t="n">
        <v>10796</v>
      </c>
      <c r="B10797">
        <f>TEXT(10796, "[$-0E0000]yyyy-mm-dd")</f>
        <v/>
      </c>
      <c r="C10797" t="inlineStr">
        <is>
          <t>1929-06-17</t>
        </is>
      </c>
    </row>
    <row r="10798">
      <c r="A10798" s="1" t="n">
        <v>10797</v>
      </c>
      <c r="B10798">
        <f>TEXT(10797, "[$-0E0000]yyyy-mm-dd")</f>
        <v/>
      </c>
      <c r="C10798" t="inlineStr">
        <is>
          <t>1929-06-18</t>
        </is>
      </c>
    </row>
    <row r="10799">
      <c r="A10799" s="1" t="n">
        <v>10798</v>
      </c>
      <c r="B10799">
        <f>TEXT(10798, "[$-0E0000]yyyy-mm-dd")</f>
        <v/>
      </c>
      <c r="C10799" t="inlineStr">
        <is>
          <t>1929-06-19</t>
        </is>
      </c>
    </row>
    <row r="10800">
      <c r="A10800" s="1" t="n">
        <v>10799</v>
      </c>
      <c r="B10800">
        <f>TEXT(10799, "[$-0E0000]yyyy-mm-dd")</f>
        <v/>
      </c>
      <c r="C10800" t="inlineStr">
        <is>
          <t>1929-06-20</t>
        </is>
      </c>
    </row>
    <row r="10801">
      <c r="A10801" s="1" t="n">
        <v>10800</v>
      </c>
      <c r="B10801">
        <f>TEXT(10800, "[$-0E0000]yyyy-mm-dd")</f>
        <v/>
      </c>
      <c r="C10801" t="inlineStr">
        <is>
          <t>1929-06-21</t>
        </is>
      </c>
    </row>
    <row r="10802">
      <c r="A10802" s="1" t="n">
        <v>10801</v>
      </c>
      <c r="B10802">
        <f>TEXT(10801, "[$-0E0000]yyyy-mm-dd")</f>
        <v/>
      </c>
      <c r="C10802" t="inlineStr">
        <is>
          <t>1929-06-22</t>
        </is>
      </c>
    </row>
    <row r="10803">
      <c r="A10803" s="1" t="n">
        <v>10802</v>
      </c>
      <c r="B10803">
        <f>TEXT(10802, "[$-0E0000]yyyy-mm-dd")</f>
        <v/>
      </c>
      <c r="C10803" t="inlineStr">
        <is>
          <t>1929-06-23</t>
        </is>
      </c>
    </row>
    <row r="10804">
      <c r="A10804" s="1" t="n">
        <v>10803</v>
      </c>
      <c r="B10804">
        <f>TEXT(10803, "[$-0E0000]yyyy-mm-dd")</f>
        <v/>
      </c>
      <c r="C10804" t="inlineStr">
        <is>
          <t>1929-06-24</t>
        </is>
      </c>
    </row>
    <row r="10805">
      <c r="A10805" s="1" t="n">
        <v>10804</v>
      </c>
      <c r="B10805">
        <f>TEXT(10804, "[$-0E0000]yyyy-mm-dd")</f>
        <v/>
      </c>
      <c r="C10805" t="inlineStr">
        <is>
          <t>1929-06-25</t>
        </is>
      </c>
    </row>
    <row r="10806">
      <c r="A10806" s="1" t="n">
        <v>10805</v>
      </c>
      <c r="B10806">
        <f>TEXT(10805, "[$-0E0000]yyyy-mm-dd")</f>
        <v/>
      </c>
      <c r="C10806" t="inlineStr">
        <is>
          <t>1929-06-26</t>
        </is>
      </c>
    </row>
    <row r="10807">
      <c r="A10807" s="1" t="n">
        <v>10806</v>
      </c>
      <c r="B10807">
        <f>TEXT(10806, "[$-0E0000]yyyy-mm-dd")</f>
        <v/>
      </c>
      <c r="C10807" t="inlineStr">
        <is>
          <t>1929-06-27</t>
        </is>
      </c>
    </row>
    <row r="10808">
      <c r="A10808" s="1" t="n">
        <v>10807</v>
      </c>
      <c r="B10808">
        <f>TEXT(10807, "[$-0E0000]yyyy-mm-dd")</f>
        <v/>
      </c>
      <c r="C10808" t="inlineStr">
        <is>
          <t>1929-06-28</t>
        </is>
      </c>
    </row>
    <row r="10809">
      <c r="A10809" s="1" t="n">
        <v>10808</v>
      </c>
      <c r="B10809">
        <f>TEXT(10808, "[$-0E0000]yyyy-mm-dd")</f>
        <v/>
      </c>
      <c r="C10809" t="inlineStr">
        <is>
          <t>1929-06-29</t>
        </is>
      </c>
    </row>
    <row r="10810">
      <c r="A10810" s="1" t="n">
        <v>10809</v>
      </c>
      <c r="B10810">
        <f>TEXT(10809, "[$-0E0000]yyyy-mm-dd")</f>
        <v/>
      </c>
      <c r="C10810" t="inlineStr">
        <is>
          <t>1929-07-01</t>
        </is>
      </c>
    </row>
    <row r="10811">
      <c r="A10811" s="1" t="n">
        <v>10810</v>
      </c>
      <c r="B10811">
        <f>TEXT(10810, "[$-0E0000]yyyy-mm-dd")</f>
        <v/>
      </c>
      <c r="C10811" t="inlineStr">
        <is>
          <t>1929-07-02</t>
        </is>
      </c>
    </row>
    <row r="10812">
      <c r="A10812" s="1" t="n">
        <v>10811</v>
      </c>
      <c r="B10812">
        <f>TEXT(10811, "[$-0E0000]yyyy-mm-dd")</f>
        <v/>
      </c>
      <c r="C10812" t="inlineStr">
        <is>
          <t>1929-07-03</t>
        </is>
      </c>
    </row>
    <row r="10813">
      <c r="A10813" s="1" t="n">
        <v>10812</v>
      </c>
      <c r="B10813">
        <f>TEXT(10812, "[$-0E0000]yyyy-mm-dd")</f>
        <v/>
      </c>
      <c r="C10813" t="inlineStr">
        <is>
          <t>1929-07-04</t>
        </is>
      </c>
    </row>
    <row r="10814">
      <c r="A10814" s="1" t="n">
        <v>10813</v>
      </c>
      <c r="B10814">
        <f>TEXT(10813, "[$-0E0000]yyyy-mm-dd")</f>
        <v/>
      </c>
      <c r="C10814" t="inlineStr">
        <is>
          <t>1929-07-05</t>
        </is>
      </c>
    </row>
    <row r="10815">
      <c r="A10815" s="1" t="n">
        <v>10814</v>
      </c>
      <c r="B10815">
        <f>TEXT(10814, "[$-0E0000]yyyy-mm-dd")</f>
        <v/>
      </c>
      <c r="C10815" t="inlineStr">
        <is>
          <t>1929-07-06</t>
        </is>
      </c>
    </row>
    <row r="10816">
      <c r="A10816" s="1" t="n">
        <v>10815</v>
      </c>
      <c r="B10816">
        <f>TEXT(10815, "[$-0E0000]yyyy-mm-dd")</f>
        <v/>
      </c>
      <c r="C10816" t="inlineStr">
        <is>
          <t>1929-07-07</t>
        </is>
      </c>
    </row>
    <row r="10817">
      <c r="A10817" s="1" t="n">
        <v>10816</v>
      </c>
      <c r="B10817">
        <f>TEXT(10816, "[$-0E0000]yyyy-mm-dd")</f>
        <v/>
      </c>
      <c r="C10817" t="inlineStr">
        <is>
          <t>1929-07-08</t>
        </is>
      </c>
    </row>
    <row r="10818">
      <c r="A10818" s="1" t="n">
        <v>10817</v>
      </c>
      <c r="B10818">
        <f>TEXT(10817, "[$-0E0000]yyyy-mm-dd")</f>
        <v/>
      </c>
      <c r="C10818" t="inlineStr">
        <is>
          <t>1929-07-09</t>
        </is>
      </c>
    </row>
    <row r="10819">
      <c r="A10819" s="1" t="n">
        <v>10818</v>
      </c>
      <c r="B10819">
        <f>TEXT(10818, "[$-0E0000]yyyy-mm-dd")</f>
        <v/>
      </c>
      <c r="C10819" t="inlineStr">
        <is>
          <t>1929-07-10</t>
        </is>
      </c>
    </row>
    <row r="10820">
      <c r="A10820" s="1" t="n">
        <v>10819</v>
      </c>
      <c r="B10820">
        <f>TEXT(10819, "[$-0E0000]yyyy-mm-dd")</f>
        <v/>
      </c>
      <c r="C10820" t="inlineStr">
        <is>
          <t>1929-07-11</t>
        </is>
      </c>
    </row>
    <row r="10821">
      <c r="A10821" s="1" t="n">
        <v>10820</v>
      </c>
      <c r="B10821">
        <f>TEXT(10820, "[$-0E0000]yyyy-mm-dd")</f>
        <v/>
      </c>
      <c r="C10821" t="inlineStr">
        <is>
          <t>1929-07-12</t>
        </is>
      </c>
    </row>
    <row r="10822">
      <c r="A10822" s="1" t="n">
        <v>10821</v>
      </c>
      <c r="B10822">
        <f>TEXT(10821, "[$-0E0000]yyyy-mm-dd")</f>
        <v/>
      </c>
      <c r="C10822" t="inlineStr">
        <is>
          <t>1929-07-13</t>
        </is>
      </c>
    </row>
    <row r="10823">
      <c r="A10823" s="1" t="n">
        <v>10822</v>
      </c>
      <c r="B10823">
        <f>TEXT(10822, "[$-0E0000]yyyy-mm-dd")</f>
        <v/>
      </c>
      <c r="C10823" t="inlineStr">
        <is>
          <t>1929-07-14</t>
        </is>
      </c>
    </row>
    <row r="10824">
      <c r="A10824" s="1" t="n">
        <v>10823</v>
      </c>
      <c r="B10824">
        <f>TEXT(10823, "[$-0E0000]yyyy-mm-dd")</f>
        <v/>
      </c>
      <c r="C10824" t="inlineStr">
        <is>
          <t>1929-07-15</t>
        </is>
      </c>
    </row>
    <row r="10825">
      <c r="A10825" s="1" t="n">
        <v>10824</v>
      </c>
      <c r="B10825">
        <f>TEXT(10824, "[$-0E0000]yyyy-mm-dd")</f>
        <v/>
      </c>
      <c r="C10825" t="inlineStr">
        <is>
          <t>1929-07-16</t>
        </is>
      </c>
    </row>
    <row r="10826">
      <c r="A10826" s="1" t="n">
        <v>10825</v>
      </c>
      <c r="B10826">
        <f>TEXT(10825, "[$-0E0000]yyyy-mm-dd")</f>
        <v/>
      </c>
      <c r="C10826" t="inlineStr">
        <is>
          <t>1929-07-17</t>
        </is>
      </c>
    </row>
    <row r="10827">
      <c r="A10827" s="1" t="n">
        <v>10826</v>
      </c>
      <c r="B10827">
        <f>TEXT(10826, "[$-0E0000]yyyy-mm-dd")</f>
        <v/>
      </c>
      <c r="C10827" t="inlineStr">
        <is>
          <t>1929-07-18</t>
        </is>
      </c>
    </row>
    <row r="10828">
      <c r="A10828" s="1" t="n">
        <v>10827</v>
      </c>
      <c r="B10828">
        <f>TEXT(10827, "[$-0E0000]yyyy-mm-dd")</f>
        <v/>
      </c>
      <c r="C10828" t="inlineStr">
        <is>
          <t>1929-07-19</t>
        </is>
      </c>
    </row>
    <row r="10829">
      <c r="A10829" s="1" t="n">
        <v>10828</v>
      </c>
      <c r="B10829">
        <f>TEXT(10828, "[$-0E0000]yyyy-mm-dd")</f>
        <v/>
      </c>
      <c r="C10829" t="inlineStr">
        <is>
          <t>1929-07-20</t>
        </is>
      </c>
    </row>
    <row r="10830">
      <c r="A10830" s="1" t="n">
        <v>10829</v>
      </c>
      <c r="B10830">
        <f>TEXT(10829, "[$-0E0000]yyyy-mm-dd")</f>
        <v/>
      </c>
      <c r="C10830" t="inlineStr">
        <is>
          <t>1929-07-21</t>
        </is>
      </c>
    </row>
    <row r="10831">
      <c r="A10831" s="1" t="n">
        <v>10830</v>
      </c>
      <c r="B10831">
        <f>TEXT(10830, "[$-0E0000]yyyy-mm-dd")</f>
        <v/>
      </c>
      <c r="C10831" t="inlineStr">
        <is>
          <t>1929-07-22</t>
        </is>
      </c>
    </row>
    <row r="10832">
      <c r="A10832" s="1" t="n">
        <v>10831</v>
      </c>
      <c r="B10832">
        <f>TEXT(10831, "[$-0E0000]yyyy-mm-dd")</f>
        <v/>
      </c>
      <c r="C10832" t="inlineStr">
        <is>
          <t>1929-07-23</t>
        </is>
      </c>
    </row>
    <row r="10833">
      <c r="A10833" s="1" t="n">
        <v>10832</v>
      </c>
      <c r="B10833">
        <f>TEXT(10832, "[$-0E0000]yyyy-mm-dd")</f>
        <v/>
      </c>
      <c r="C10833" t="inlineStr">
        <is>
          <t>1929-07-24</t>
        </is>
      </c>
    </row>
    <row r="10834">
      <c r="A10834" s="1" t="n">
        <v>10833</v>
      </c>
      <c r="B10834">
        <f>TEXT(10833, "[$-0E0000]yyyy-mm-dd")</f>
        <v/>
      </c>
      <c r="C10834" t="inlineStr">
        <is>
          <t>1929-07-25</t>
        </is>
      </c>
    </row>
    <row r="10835">
      <c r="A10835" s="1" t="n">
        <v>10834</v>
      </c>
      <c r="B10835">
        <f>TEXT(10834, "[$-0E0000]yyyy-mm-dd")</f>
        <v/>
      </c>
      <c r="C10835" t="inlineStr">
        <is>
          <t>1929-07-26</t>
        </is>
      </c>
    </row>
    <row r="10836">
      <c r="A10836" s="1" t="n">
        <v>10835</v>
      </c>
      <c r="B10836">
        <f>TEXT(10835, "[$-0E0000]yyyy-mm-dd")</f>
        <v/>
      </c>
      <c r="C10836" t="inlineStr">
        <is>
          <t>1929-07-27</t>
        </is>
      </c>
    </row>
    <row r="10837">
      <c r="A10837" s="1" t="n">
        <v>10836</v>
      </c>
      <c r="B10837">
        <f>TEXT(10836, "[$-0E0000]yyyy-mm-dd")</f>
        <v/>
      </c>
      <c r="C10837" t="inlineStr">
        <is>
          <t>1929-07-28</t>
        </is>
      </c>
    </row>
    <row r="10838">
      <c r="A10838" s="1" t="n">
        <v>10837</v>
      </c>
      <c r="B10838">
        <f>TEXT(10837, "[$-0E0000]yyyy-mm-dd")</f>
        <v/>
      </c>
      <c r="C10838" t="inlineStr">
        <is>
          <t>1929-07-29</t>
        </is>
      </c>
    </row>
    <row r="10839">
      <c r="A10839" s="1" t="n">
        <v>10838</v>
      </c>
      <c r="B10839">
        <f>TEXT(10838, "[$-0E0000]yyyy-mm-dd")</f>
        <v/>
      </c>
      <c r="C10839" t="inlineStr">
        <is>
          <t>1929-08-01</t>
        </is>
      </c>
    </row>
    <row r="10840">
      <c r="A10840" s="1" t="n">
        <v>10839</v>
      </c>
      <c r="B10840">
        <f>TEXT(10839, "[$-0E0000]yyyy-mm-dd")</f>
        <v/>
      </c>
      <c r="C10840" t="inlineStr">
        <is>
          <t>1929-08-02</t>
        </is>
      </c>
    </row>
    <row r="10841">
      <c r="A10841" s="1" t="n">
        <v>10840</v>
      </c>
      <c r="B10841">
        <f>TEXT(10840, "[$-0E0000]yyyy-mm-dd")</f>
        <v/>
      </c>
      <c r="C10841" t="inlineStr">
        <is>
          <t>1929-08-03</t>
        </is>
      </c>
    </row>
    <row r="10842">
      <c r="A10842" s="1" t="n">
        <v>10841</v>
      </c>
      <c r="B10842">
        <f>TEXT(10841, "[$-0E0000]yyyy-mm-dd")</f>
        <v/>
      </c>
      <c r="C10842" t="inlineStr">
        <is>
          <t>1929-08-04</t>
        </is>
      </c>
    </row>
    <row r="10843">
      <c r="A10843" s="1" t="n">
        <v>10842</v>
      </c>
      <c r="B10843">
        <f>TEXT(10842, "[$-0E0000]yyyy-mm-dd")</f>
        <v/>
      </c>
      <c r="C10843" t="inlineStr">
        <is>
          <t>1929-08-05</t>
        </is>
      </c>
    </row>
    <row r="10844">
      <c r="A10844" s="1" t="n">
        <v>10843</v>
      </c>
      <c r="B10844">
        <f>TEXT(10843, "[$-0E0000]yyyy-mm-dd")</f>
        <v/>
      </c>
      <c r="C10844" t="inlineStr">
        <is>
          <t>1929-08-06</t>
        </is>
      </c>
    </row>
    <row r="10845">
      <c r="A10845" s="1" t="n">
        <v>10844</v>
      </c>
      <c r="B10845">
        <f>TEXT(10844, "[$-0E0000]yyyy-mm-dd")</f>
        <v/>
      </c>
      <c r="C10845" t="inlineStr">
        <is>
          <t>1929-08-07</t>
        </is>
      </c>
    </row>
    <row r="10846">
      <c r="A10846" s="1" t="n">
        <v>10845</v>
      </c>
      <c r="B10846">
        <f>TEXT(10845, "[$-0E0000]yyyy-mm-dd")</f>
        <v/>
      </c>
      <c r="C10846" t="inlineStr">
        <is>
          <t>1929-08-08</t>
        </is>
      </c>
    </row>
    <row r="10847">
      <c r="A10847" s="1" t="n">
        <v>10846</v>
      </c>
      <c r="B10847">
        <f>TEXT(10846, "[$-0E0000]yyyy-mm-dd")</f>
        <v/>
      </c>
      <c r="C10847" t="inlineStr">
        <is>
          <t>1929-08-09</t>
        </is>
      </c>
    </row>
    <row r="10848">
      <c r="A10848" s="1" t="n">
        <v>10847</v>
      </c>
      <c r="B10848">
        <f>TEXT(10847, "[$-0E0000]yyyy-mm-dd")</f>
        <v/>
      </c>
      <c r="C10848" t="inlineStr">
        <is>
          <t>1929-08-10</t>
        </is>
      </c>
    </row>
    <row r="10849">
      <c r="A10849" s="1" t="n">
        <v>10848</v>
      </c>
      <c r="B10849">
        <f>TEXT(10848, "[$-0E0000]yyyy-mm-dd")</f>
        <v/>
      </c>
      <c r="C10849" t="inlineStr">
        <is>
          <t>1929-08-11</t>
        </is>
      </c>
    </row>
    <row r="10850">
      <c r="A10850" s="1" t="n">
        <v>10849</v>
      </c>
      <c r="B10850">
        <f>TEXT(10849, "[$-0E0000]yyyy-mm-dd")</f>
        <v/>
      </c>
      <c r="C10850" t="inlineStr">
        <is>
          <t>1929-08-12</t>
        </is>
      </c>
    </row>
    <row r="10851">
      <c r="A10851" s="1" t="n">
        <v>10850</v>
      </c>
      <c r="B10851">
        <f>TEXT(10850, "[$-0E0000]yyyy-mm-dd")</f>
        <v/>
      </c>
      <c r="C10851" t="inlineStr">
        <is>
          <t>1929-08-13</t>
        </is>
      </c>
    </row>
    <row r="10852">
      <c r="A10852" s="1" t="n">
        <v>10851</v>
      </c>
      <c r="B10852">
        <f>TEXT(10851, "[$-0E0000]yyyy-mm-dd")</f>
        <v/>
      </c>
      <c r="C10852" t="inlineStr">
        <is>
          <t>1929-08-14</t>
        </is>
      </c>
    </row>
    <row r="10853">
      <c r="A10853" s="1" t="n">
        <v>10852</v>
      </c>
      <c r="B10853">
        <f>TEXT(10852, "[$-0E0000]yyyy-mm-dd")</f>
        <v/>
      </c>
      <c r="C10853" t="inlineStr">
        <is>
          <t>1929-08-15</t>
        </is>
      </c>
    </row>
    <row r="10854">
      <c r="A10854" s="1" t="n">
        <v>10853</v>
      </c>
      <c r="B10854">
        <f>TEXT(10853, "[$-0E0000]yyyy-mm-dd")</f>
        <v/>
      </c>
      <c r="C10854" t="inlineStr">
        <is>
          <t>1929-08-16</t>
        </is>
      </c>
    </row>
    <row r="10855">
      <c r="A10855" s="1" t="n">
        <v>10854</v>
      </c>
      <c r="B10855">
        <f>TEXT(10854, "[$-0E0000]yyyy-mm-dd")</f>
        <v/>
      </c>
      <c r="C10855" t="inlineStr">
        <is>
          <t>1929-08-17</t>
        </is>
      </c>
    </row>
    <row r="10856">
      <c r="A10856" s="1" t="n">
        <v>10855</v>
      </c>
      <c r="B10856">
        <f>TEXT(10855, "[$-0E0000]yyyy-mm-dd")</f>
        <v/>
      </c>
      <c r="C10856" t="inlineStr">
        <is>
          <t>1929-08-18</t>
        </is>
      </c>
    </row>
    <row r="10857">
      <c r="A10857" s="1" t="n">
        <v>10856</v>
      </c>
      <c r="B10857">
        <f>TEXT(10856, "[$-0E0000]yyyy-mm-dd")</f>
        <v/>
      </c>
      <c r="C10857" t="inlineStr">
        <is>
          <t>1929-08-19</t>
        </is>
      </c>
    </row>
    <row r="10858">
      <c r="A10858" s="1" t="n">
        <v>10857</v>
      </c>
      <c r="B10858">
        <f>TEXT(10857, "[$-0E0000]yyyy-mm-dd")</f>
        <v/>
      </c>
      <c r="C10858" t="inlineStr">
        <is>
          <t>1929-08-20</t>
        </is>
      </c>
    </row>
    <row r="10859">
      <c r="A10859" s="1" t="n">
        <v>10858</v>
      </c>
      <c r="B10859">
        <f>TEXT(10858, "[$-0E0000]yyyy-mm-dd")</f>
        <v/>
      </c>
      <c r="C10859" t="inlineStr">
        <is>
          <t>1929-08-21</t>
        </is>
      </c>
    </row>
    <row r="10860">
      <c r="A10860" s="1" t="n">
        <v>10859</v>
      </c>
      <c r="B10860">
        <f>TEXT(10859, "[$-0E0000]yyyy-mm-dd")</f>
        <v/>
      </c>
      <c r="C10860" t="inlineStr">
        <is>
          <t>1929-08-22</t>
        </is>
      </c>
    </row>
    <row r="10861">
      <c r="A10861" s="1" t="n">
        <v>10860</v>
      </c>
      <c r="B10861">
        <f>TEXT(10860, "[$-0E0000]yyyy-mm-dd")</f>
        <v/>
      </c>
      <c r="C10861" t="inlineStr">
        <is>
          <t>1929-08-23</t>
        </is>
      </c>
    </row>
    <row r="10862">
      <c r="A10862" s="1" t="n">
        <v>10861</v>
      </c>
      <c r="B10862">
        <f>TEXT(10861, "[$-0E0000]yyyy-mm-dd")</f>
        <v/>
      </c>
      <c r="C10862" t="inlineStr">
        <is>
          <t>1929-08-24</t>
        </is>
      </c>
    </row>
    <row r="10863">
      <c r="A10863" s="1" t="n">
        <v>10862</v>
      </c>
      <c r="B10863">
        <f>TEXT(10862, "[$-0E0000]yyyy-mm-dd")</f>
        <v/>
      </c>
      <c r="C10863" t="inlineStr">
        <is>
          <t>1929-08-25</t>
        </is>
      </c>
    </row>
    <row r="10864">
      <c r="A10864" s="1" t="n">
        <v>10863</v>
      </c>
      <c r="B10864">
        <f>TEXT(10863, "[$-0E0000]yyyy-mm-dd")</f>
        <v/>
      </c>
      <c r="C10864" t="inlineStr">
        <is>
          <t>1929-08-26</t>
        </is>
      </c>
    </row>
    <row r="10865">
      <c r="A10865" s="1" t="n">
        <v>10864</v>
      </c>
      <c r="B10865">
        <f>TEXT(10864, "[$-0E0000]yyyy-mm-dd")</f>
        <v/>
      </c>
      <c r="C10865" t="inlineStr">
        <is>
          <t>1929-08-27</t>
        </is>
      </c>
    </row>
    <row r="10866">
      <c r="A10866" s="1" t="n">
        <v>10865</v>
      </c>
      <c r="B10866">
        <f>TEXT(10865, "[$-0E0000]yyyy-mm-dd")</f>
        <v/>
      </c>
      <c r="C10866" t="inlineStr">
        <is>
          <t>1929-08-28</t>
        </is>
      </c>
    </row>
    <row r="10867">
      <c r="A10867" s="1" t="n">
        <v>10866</v>
      </c>
      <c r="B10867">
        <f>TEXT(10866, "[$-0E0000]yyyy-mm-dd")</f>
        <v/>
      </c>
      <c r="C10867" t="inlineStr">
        <is>
          <t>1929-08-29</t>
        </is>
      </c>
    </row>
    <row r="10868">
      <c r="A10868" s="1" t="n">
        <v>10867</v>
      </c>
      <c r="B10868">
        <f>TEXT(10867, "[$-0E0000]yyyy-mm-dd")</f>
        <v/>
      </c>
      <c r="C10868" t="inlineStr">
        <is>
          <t>1929-08-30</t>
        </is>
      </c>
    </row>
    <row r="10869">
      <c r="A10869" s="1" t="n">
        <v>10868</v>
      </c>
      <c r="B10869">
        <f>TEXT(10868, "[$-0E0000]yyyy-mm-dd")</f>
        <v/>
      </c>
      <c r="C10869" t="inlineStr">
        <is>
          <t>1929-09-01</t>
        </is>
      </c>
    </row>
    <row r="10870">
      <c r="A10870" s="1" t="n">
        <v>10869</v>
      </c>
      <c r="B10870">
        <f>TEXT(10869, "[$-0E0000]yyyy-mm-dd")</f>
        <v/>
      </c>
      <c r="C10870" t="inlineStr">
        <is>
          <t>1929-09-02</t>
        </is>
      </c>
    </row>
    <row r="10871">
      <c r="A10871" s="1" t="n">
        <v>10870</v>
      </c>
      <c r="B10871">
        <f>TEXT(10870, "[$-0E0000]yyyy-mm-dd")</f>
        <v/>
      </c>
      <c r="C10871" t="inlineStr">
        <is>
          <t>1929-09-03</t>
        </is>
      </c>
    </row>
    <row r="10872">
      <c r="A10872" s="1" t="n">
        <v>10871</v>
      </c>
      <c r="B10872">
        <f>TEXT(10871, "[$-0E0000]yyyy-mm-dd")</f>
        <v/>
      </c>
      <c r="C10872" t="inlineStr">
        <is>
          <t>1929-09-04</t>
        </is>
      </c>
    </row>
    <row r="10873">
      <c r="A10873" s="1" t="n">
        <v>10872</v>
      </c>
      <c r="B10873">
        <f>TEXT(10872, "[$-0E0000]yyyy-mm-dd")</f>
        <v/>
      </c>
      <c r="C10873" t="inlineStr">
        <is>
          <t>1929-09-05</t>
        </is>
      </c>
    </row>
    <row r="10874">
      <c r="A10874" s="1" t="n">
        <v>10873</v>
      </c>
      <c r="B10874">
        <f>TEXT(10873, "[$-0E0000]yyyy-mm-dd")</f>
        <v/>
      </c>
      <c r="C10874" t="inlineStr">
        <is>
          <t>1929-09-06</t>
        </is>
      </c>
    </row>
    <row r="10875">
      <c r="A10875" s="1" t="n">
        <v>10874</v>
      </c>
      <c r="B10875">
        <f>TEXT(10874, "[$-0E0000]yyyy-mm-dd")</f>
        <v/>
      </c>
      <c r="C10875" t="inlineStr">
        <is>
          <t>1929-09-07</t>
        </is>
      </c>
    </row>
    <row r="10876">
      <c r="A10876" s="1" t="n">
        <v>10875</v>
      </c>
      <c r="B10876">
        <f>TEXT(10875, "[$-0E0000]yyyy-mm-dd")</f>
        <v/>
      </c>
      <c r="C10876" t="inlineStr">
        <is>
          <t>1929-09-08</t>
        </is>
      </c>
    </row>
    <row r="10877">
      <c r="A10877" s="1" t="n">
        <v>10876</v>
      </c>
      <c r="B10877">
        <f>TEXT(10876, "[$-0E0000]yyyy-mm-dd")</f>
        <v/>
      </c>
      <c r="C10877" t="inlineStr">
        <is>
          <t>1929-09-09</t>
        </is>
      </c>
    </row>
    <row r="10878">
      <c r="A10878" s="1" t="n">
        <v>10877</v>
      </c>
      <c r="B10878">
        <f>TEXT(10877, "[$-0E0000]yyyy-mm-dd")</f>
        <v/>
      </c>
      <c r="C10878" t="inlineStr">
        <is>
          <t>1929-09-10</t>
        </is>
      </c>
    </row>
    <row r="10879">
      <c r="A10879" s="1" t="n">
        <v>10878</v>
      </c>
      <c r="B10879">
        <f>TEXT(10878, "[$-0E0000]yyyy-mm-dd")</f>
        <v/>
      </c>
      <c r="C10879" t="inlineStr">
        <is>
          <t>1929-09-11</t>
        </is>
      </c>
    </row>
    <row r="10880">
      <c r="A10880" s="1" t="n">
        <v>10879</v>
      </c>
      <c r="B10880">
        <f>TEXT(10879, "[$-0E0000]yyyy-mm-dd")</f>
        <v/>
      </c>
      <c r="C10880" t="inlineStr">
        <is>
          <t>1929-09-12</t>
        </is>
      </c>
    </row>
    <row r="10881">
      <c r="A10881" s="1" t="n">
        <v>10880</v>
      </c>
      <c r="B10881">
        <f>TEXT(10880, "[$-0E0000]yyyy-mm-dd")</f>
        <v/>
      </c>
      <c r="C10881" t="inlineStr">
        <is>
          <t>1929-09-13</t>
        </is>
      </c>
    </row>
    <row r="10882">
      <c r="A10882" s="1" t="n">
        <v>10881</v>
      </c>
      <c r="B10882">
        <f>TEXT(10881, "[$-0E0000]yyyy-mm-dd")</f>
        <v/>
      </c>
      <c r="C10882" t="inlineStr">
        <is>
          <t>1929-09-14</t>
        </is>
      </c>
    </row>
    <row r="10883">
      <c r="A10883" s="1" t="n">
        <v>10882</v>
      </c>
      <c r="B10883">
        <f>TEXT(10882, "[$-0E0000]yyyy-mm-dd")</f>
        <v/>
      </c>
      <c r="C10883" t="inlineStr">
        <is>
          <t>1929-09-15</t>
        </is>
      </c>
    </row>
    <row r="10884">
      <c r="A10884" s="1" t="n">
        <v>10883</v>
      </c>
      <c r="B10884">
        <f>TEXT(10883, "[$-0E0000]yyyy-mm-dd")</f>
        <v/>
      </c>
      <c r="C10884" t="inlineStr">
        <is>
          <t>1929-09-16</t>
        </is>
      </c>
    </row>
    <row r="10885">
      <c r="A10885" s="1" t="n">
        <v>10884</v>
      </c>
      <c r="B10885">
        <f>TEXT(10884, "[$-0E0000]yyyy-mm-dd")</f>
        <v/>
      </c>
      <c r="C10885" t="inlineStr">
        <is>
          <t>1929-09-17</t>
        </is>
      </c>
    </row>
    <row r="10886">
      <c r="A10886" s="1" t="n">
        <v>10885</v>
      </c>
      <c r="B10886">
        <f>TEXT(10885, "[$-0E0000]yyyy-mm-dd")</f>
        <v/>
      </c>
      <c r="C10886" t="inlineStr">
        <is>
          <t>1929-09-18</t>
        </is>
      </c>
    </row>
    <row r="10887">
      <c r="A10887" s="1" t="n">
        <v>10886</v>
      </c>
      <c r="B10887">
        <f>TEXT(10886, "[$-0E0000]yyyy-mm-dd")</f>
        <v/>
      </c>
      <c r="C10887" t="inlineStr">
        <is>
          <t>1929-09-19</t>
        </is>
      </c>
    </row>
    <row r="10888">
      <c r="A10888" s="1" t="n">
        <v>10887</v>
      </c>
      <c r="B10888">
        <f>TEXT(10887, "[$-0E0000]yyyy-mm-dd")</f>
        <v/>
      </c>
      <c r="C10888" t="inlineStr">
        <is>
          <t>1929-09-20</t>
        </is>
      </c>
    </row>
    <row r="10889">
      <c r="A10889" s="1" t="n">
        <v>10888</v>
      </c>
      <c r="B10889">
        <f>TEXT(10888, "[$-0E0000]yyyy-mm-dd")</f>
        <v/>
      </c>
      <c r="C10889" t="inlineStr">
        <is>
          <t>1929-09-21</t>
        </is>
      </c>
    </row>
    <row r="10890">
      <c r="A10890" s="1" t="n">
        <v>10889</v>
      </c>
      <c r="B10890">
        <f>TEXT(10889, "[$-0E0000]yyyy-mm-dd")</f>
        <v/>
      </c>
      <c r="C10890" t="inlineStr">
        <is>
          <t>1929-09-22</t>
        </is>
      </c>
    </row>
    <row r="10891">
      <c r="A10891" s="1" t="n">
        <v>10890</v>
      </c>
      <c r="B10891">
        <f>TEXT(10890, "[$-0E0000]yyyy-mm-dd")</f>
        <v/>
      </c>
      <c r="C10891" t="inlineStr">
        <is>
          <t>1929-09-23</t>
        </is>
      </c>
    </row>
    <row r="10892">
      <c r="A10892" s="1" t="n">
        <v>10891</v>
      </c>
      <c r="B10892">
        <f>TEXT(10891, "[$-0E0000]yyyy-mm-dd")</f>
        <v/>
      </c>
      <c r="C10892" t="inlineStr">
        <is>
          <t>1929-09-24</t>
        </is>
      </c>
    </row>
    <row r="10893">
      <c r="A10893" s="1" t="n">
        <v>10892</v>
      </c>
      <c r="B10893">
        <f>TEXT(10892, "[$-0E0000]yyyy-mm-dd")</f>
        <v/>
      </c>
      <c r="C10893" t="inlineStr">
        <is>
          <t>1929-09-25</t>
        </is>
      </c>
    </row>
    <row r="10894">
      <c r="A10894" s="1" t="n">
        <v>10893</v>
      </c>
      <c r="B10894">
        <f>TEXT(10893, "[$-0E0000]yyyy-mm-dd")</f>
        <v/>
      </c>
      <c r="C10894" t="inlineStr">
        <is>
          <t>1929-09-26</t>
        </is>
      </c>
    </row>
    <row r="10895">
      <c r="A10895" s="1" t="n">
        <v>10894</v>
      </c>
      <c r="B10895">
        <f>TEXT(10894, "[$-0E0000]yyyy-mm-dd")</f>
        <v/>
      </c>
      <c r="C10895" t="inlineStr">
        <is>
          <t>1929-09-27</t>
        </is>
      </c>
    </row>
    <row r="10896">
      <c r="A10896" s="1" t="n">
        <v>10895</v>
      </c>
      <c r="B10896">
        <f>TEXT(10895, "[$-0E0000]yyyy-mm-dd")</f>
        <v/>
      </c>
      <c r="C10896" t="inlineStr">
        <is>
          <t>1929-09-28</t>
        </is>
      </c>
    </row>
    <row r="10897">
      <c r="A10897" s="1" t="n">
        <v>10896</v>
      </c>
      <c r="B10897">
        <f>TEXT(10896, "[$-0E0000]yyyy-mm-dd")</f>
        <v/>
      </c>
      <c r="C10897" t="inlineStr">
        <is>
          <t>1929-09-29</t>
        </is>
      </c>
    </row>
    <row r="10898">
      <c r="A10898" s="1" t="n">
        <v>10897</v>
      </c>
      <c r="B10898">
        <f>TEXT(10897, "[$-0E0000]yyyy-mm-dd")</f>
        <v/>
      </c>
      <c r="C10898" t="inlineStr">
        <is>
          <t>1929-10-01</t>
        </is>
      </c>
    </row>
    <row r="10899">
      <c r="A10899" s="1" t="n">
        <v>10898</v>
      </c>
      <c r="B10899">
        <f>TEXT(10898, "[$-0E0000]yyyy-mm-dd")</f>
        <v/>
      </c>
      <c r="C10899" t="inlineStr">
        <is>
          <t>1929-10-02</t>
        </is>
      </c>
    </row>
    <row r="10900">
      <c r="A10900" s="1" t="n">
        <v>10899</v>
      </c>
      <c r="B10900">
        <f>TEXT(10899, "[$-0E0000]yyyy-mm-dd")</f>
        <v/>
      </c>
      <c r="C10900" t="inlineStr">
        <is>
          <t>1929-10-03</t>
        </is>
      </c>
    </row>
    <row r="10901">
      <c r="A10901" s="1" t="n">
        <v>10900</v>
      </c>
      <c r="B10901">
        <f>TEXT(10900, "[$-0E0000]yyyy-mm-dd")</f>
        <v/>
      </c>
      <c r="C10901" t="inlineStr">
        <is>
          <t>1929-10-04</t>
        </is>
      </c>
    </row>
    <row r="10902">
      <c r="A10902" s="1" t="n">
        <v>10901</v>
      </c>
      <c r="B10902">
        <f>TEXT(10901, "[$-0E0000]yyyy-mm-dd")</f>
        <v/>
      </c>
      <c r="C10902" t="inlineStr">
        <is>
          <t>1929-10-05</t>
        </is>
      </c>
    </row>
    <row r="10903">
      <c r="A10903" s="1" t="n">
        <v>10902</v>
      </c>
      <c r="B10903">
        <f>TEXT(10902, "[$-0E0000]yyyy-mm-dd")</f>
        <v/>
      </c>
      <c r="C10903" t="inlineStr">
        <is>
          <t>1929-10-06</t>
        </is>
      </c>
    </row>
    <row r="10904">
      <c r="A10904" s="1" t="n">
        <v>10903</v>
      </c>
      <c r="B10904">
        <f>TEXT(10903, "[$-0E0000]yyyy-mm-dd")</f>
        <v/>
      </c>
      <c r="C10904" t="inlineStr">
        <is>
          <t>1929-10-07</t>
        </is>
      </c>
    </row>
    <row r="10905">
      <c r="A10905" s="1" t="n">
        <v>10904</v>
      </c>
      <c r="B10905">
        <f>TEXT(10904, "[$-0E0000]yyyy-mm-dd")</f>
        <v/>
      </c>
      <c r="C10905" t="inlineStr">
        <is>
          <t>1929-10-08</t>
        </is>
      </c>
    </row>
    <row r="10906">
      <c r="A10906" s="1" t="n">
        <v>10905</v>
      </c>
      <c r="B10906">
        <f>TEXT(10905, "[$-0E0000]yyyy-mm-dd")</f>
        <v/>
      </c>
      <c r="C10906" t="inlineStr">
        <is>
          <t>1929-10-09</t>
        </is>
      </c>
    </row>
    <row r="10907">
      <c r="A10907" s="1" t="n">
        <v>10906</v>
      </c>
      <c r="B10907">
        <f>TEXT(10906, "[$-0E0000]yyyy-mm-dd")</f>
        <v/>
      </c>
      <c r="C10907" t="inlineStr">
        <is>
          <t>1929-10-10</t>
        </is>
      </c>
    </row>
    <row r="10908">
      <c r="A10908" s="1" t="n">
        <v>10907</v>
      </c>
      <c r="B10908">
        <f>TEXT(10907, "[$-0E0000]yyyy-mm-dd")</f>
        <v/>
      </c>
      <c r="C10908" t="inlineStr">
        <is>
          <t>1929-10-11</t>
        </is>
      </c>
    </row>
    <row r="10909">
      <c r="A10909" s="1" t="n">
        <v>10908</v>
      </c>
      <c r="B10909">
        <f>TEXT(10908, "[$-0E0000]yyyy-mm-dd")</f>
        <v/>
      </c>
      <c r="C10909" t="inlineStr">
        <is>
          <t>1929-10-12</t>
        </is>
      </c>
    </row>
    <row r="10910">
      <c r="A10910" s="1" t="n">
        <v>10909</v>
      </c>
      <c r="B10910">
        <f>TEXT(10909, "[$-0E0000]yyyy-mm-dd")</f>
        <v/>
      </c>
      <c r="C10910" t="inlineStr">
        <is>
          <t>1929-10-13</t>
        </is>
      </c>
    </row>
    <row r="10911">
      <c r="A10911" s="1" t="n">
        <v>10910</v>
      </c>
      <c r="B10911">
        <f>TEXT(10910, "[$-0E0000]yyyy-mm-dd")</f>
        <v/>
      </c>
      <c r="C10911" t="inlineStr">
        <is>
          <t>1929-10-14</t>
        </is>
      </c>
    </row>
    <row r="10912">
      <c r="A10912" s="1" t="n">
        <v>10911</v>
      </c>
      <c r="B10912">
        <f>TEXT(10911, "[$-0E0000]yyyy-mm-dd")</f>
        <v/>
      </c>
      <c r="C10912" t="inlineStr">
        <is>
          <t>1929-10-15</t>
        </is>
      </c>
    </row>
    <row r="10913">
      <c r="A10913" s="1" t="n">
        <v>10912</v>
      </c>
      <c r="B10913">
        <f>TEXT(10912, "[$-0E0000]yyyy-mm-dd")</f>
        <v/>
      </c>
      <c r="C10913" t="inlineStr">
        <is>
          <t>1929-10-16</t>
        </is>
      </c>
    </row>
    <row r="10914">
      <c r="A10914" s="1" t="n">
        <v>10913</v>
      </c>
      <c r="B10914">
        <f>TEXT(10913, "[$-0E0000]yyyy-mm-dd")</f>
        <v/>
      </c>
      <c r="C10914" t="inlineStr">
        <is>
          <t>1929-10-17</t>
        </is>
      </c>
    </row>
    <row r="10915">
      <c r="A10915" s="1" t="n">
        <v>10914</v>
      </c>
      <c r="B10915">
        <f>TEXT(10914, "[$-0E0000]yyyy-mm-dd")</f>
        <v/>
      </c>
      <c r="C10915" t="inlineStr">
        <is>
          <t>1929-10-18</t>
        </is>
      </c>
    </row>
    <row r="10916">
      <c r="A10916" s="1" t="n">
        <v>10915</v>
      </c>
      <c r="B10916">
        <f>TEXT(10915, "[$-0E0000]yyyy-mm-dd")</f>
        <v/>
      </c>
      <c r="C10916" t="inlineStr">
        <is>
          <t>1929-10-19</t>
        </is>
      </c>
    </row>
    <row r="10917">
      <c r="A10917" s="1" t="n">
        <v>10916</v>
      </c>
      <c r="B10917">
        <f>TEXT(10916, "[$-0E0000]yyyy-mm-dd")</f>
        <v/>
      </c>
      <c r="C10917" t="inlineStr">
        <is>
          <t>1929-10-20</t>
        </is>
      </c>
    </row>
    <row r="10918">
      <c r="A10918" s="1" t="n">
        <v>10917</v>
      </c>
      <c r="B10918">
        <f>TEXT(10917, "[$-0E0000]yyyy-mm-dd")</f>
        <v/>
      </c>
      <c r="C10918" t="inlineStr">
        <is>
          <t>1929-10-21</t>
        </is>
      </c>
    </row>
    <row r="10919">
      <c r="A10919" s="1" t="n">
        <v>10918</v>
      </c>
      <c r="B10919">
        <f>TEXT(10918, "[$-0E0000]yyyy-mm-dd")</f>
        <v/>
      </c>
      <c r="C10919" t="inlineStr">
        <is>
          <t>1929-10-22</t>
        </is>
      </c>
    </row>
    <row r="10920">
      <c r="A10920" s="1" t="n">
        <v>10919</v>
      </c>
      <c r="B10920">
        <f>TEXT(10919, "[$-0E0000]yyyy-mm-dd")</f>
        <v/>
      </c>
      <c r="C10920" t="inlineStr">
        <is>
          <t>1929-10-23</t>
        </is>
      </c>
    </row>
    <row r="10921">
      <c r="A10921" s="1" t="n">
        <v>10920</v>
      </c>
      <c r="B10921">
        <f>TEXT(10920, "[$-0E0000]yyyy-mm-dd")</f>
        <v/>
      </c>
      <c r="C10921" t="inlineStr">
        <is>
          <t>1929-10-24</t>
        </is>
      </c>
    </row>
    <row r="10922">
      <c r="A10922" s="1" t="n">
        <v>10921</v>
      </c>
      <c r="B10922">
        <f>TEXT(10921, "[$-0E0000]yyyy-mm-dd")</f>
        <v/>
      </c>
      <c r="C10922" t="inlineStr">
        <is>
          <t>1929-10-25</t>
        </is>
      </c>
    </row>
    <row r="10923">
      <c r="A10923" s="1" t="n">
        <v>10922</v>
      </c>
      <c r="B10923">
        <f>TEXT(10922, "[$-0E0000]yyyy-mm-dd")</f>
        <v/>
      </c>
      <c r="C10923" t="inlineStr">
        <is>
          <t>1929-10-26</t>
        </is>
      </c>
    </row>
    <row r="10924">
      <c r="A10924" s="1" t="n">
        <v>10923</v>
      </c>
      <c r="B10924">
        <f>TEXT(10923, "[$-0E0000]yyyy-mm-dd")</f>
        <v/>
      </c>
      <c r="C10924" t="inlineStr">
        <is>
          <t>1929-10-27</t>
        </is>
      </c>
    </row>
    <row r="10925">
      <c r="A10925" s="1" t="n">
        <v>10924</v>
      </c>
      <c r="B10925">
        <f>TEXT(10924, "[$-0E0000]yyyy-mm-dd")</f>
        <v/>
      </c>
      <c r="C10925" t="inlineStr">
        <is>
          <t>1929-10-28</t>
        </is>
      </c>
    </row>
    <row r="10926">
      <c r="A10926" s="1" t="n">
        <v>10925</v>
      </c>
      <c r="B10926">
        <f>TEXT(10925, "[$-0E0000]yyyy-mm-dd")</f>
        <v/>
      </c>
      <c r="C10926" t="inlineStr">
        <is>
          <t>1929-10-29</t>
        </is>
      </c>
    </row>
    <row r="10927">
      <c r="A10927" s="1" t="n">
        <v>10926</v>
      </c>
      <c r="B10927">
        <f>TEXT(10926, "[$-0E0000]yyyy-mm-dd")</f>
        <v/>
      </c>
      <c r="C10927" t="inlineStr">
        <is>
          <t>1929-10-30</t>
        </is>
      </c>
    </row>
    <row r="10928">
      <c r="A10928" s="1" t="n">
        <v>10927</v>
      </c>
      <c r="B10928">
        <f>TEXT(10927, "[$-0E0000]yyyy-mm-dd")</f>
        <v/>
      </c>
      <c r="C10928" t="inlineStr">
        <is>
          <t>1929-11-01</t>
        </is>
      </c>
    </row>
    <row r="10929">
      <c r="A10929" s="1" t="n">
        <v>10928</v>
      </c>
      <c r="B10929">
        <f>TEXT(10928, "[$-0E0000]yyyy-mm-dd")</f>
        <v/>
      </c>
      <c r="C10929" t="inlineStr">
        <is>
          <t>1929-11-02</t>
        </is>
      </c>
    </row>
    <row r="10930">
      <c r="A10930" s="1" t="n">
        <v>10929</v>
      </c>
      <c r="B10930">
        <f>TEXT(10929, "[$-0E0000]yyyy-mm-dd")</f>
        <v/>
      </c>
      <c r="C10930" t="inlineStr">
        <is>
          <t>1929-11-03</t>
        </is>
      </c>
    </row>
    <row r="10931">
      <c r="A10931" s="1" t="n">
        <v>10930</v>
      </c>
      <c r="B10931">
        <f>TEXT(10930, "[$-0E0000]yyyy-mm-dd")</f>
        <v/>
      </c>
      <c r="C10931" t="inlineStr">
        <is>
          <t>1929-11-04</t>
        </is>
      </c>
    </row>
    <row r="10932">
      <c r="A10932" s="1" t="n">
        <v>10931</v>
      </c>
      <c r="B10932">
        <f>TEXT(10931, "[$-0E0000]yyyy-mm-dd")</f>
        <v/>
      </c>
      <c r="C10932" t="inlineStr">
        <is>
          <t>1929-11-05</t>
        </is>
      </c>
    </row>
    <row r="10933">
      <c r="A10933" s="1" t="n">
        <v>10932</v>
      </c>
      <c r="B10933">
        <f>TEXT(10932, "[$-0E0000]yyyy-mm-dd")</f>
        <v/>
      </c>
      <c r="C10933" t="inlineStr">
        <is>
          <t>1929-11-06</t>
        </is>
      </c>
    </row>
    <row r="10934">
      <c r="A10934" s="1" t="n">
        <v>10933</v>
      </c>
      <c r="B10934">
        <f>TEXT(10933, "[$-0E0000]yyyy-mm-dd")</f>
        <v/>
      </c>
      <c r="C10934" t="inlineStr">
        <is>
          <t>1929-11-07</t>
        </is>
      </c>
    </row>
    <row r="10935">
      <c r="A10935" s="1" t="n">
        <v>10934</v>
      </c>
      <c r="B10935">
        <f>TEXT(10934, "[$-0E0000]yyyy-mm-dd")</f>
        <v/>
      </c>
      <c r="C10935" t="inlineStr">
        <is>
          <t>1929-11-08</t>
        </is>
      </c>
    </row>
    <row r="10936">
      <c r="A10936" s="1" t="n">
        <v>10935</v>
      </c>
      <c r="B10936">
        <f>TEXT(10935, "[$-0E0000]yyyy-mm-dd")</f>
        <v/>
      </c>
      <c r="C10936" t="inlineStr">
        <is>
          <t>1929-11-09</t>
        </is>
      </c>
    </row>
    <row r="10937">
      <c r="A10937" s="1" t="n">
        <v>10936</v>
      </c>
      <c r="B10937">
        <f>TEXT(10936, "[$-0E0000]yyyy-mm-dd")</f>
        <v/>
      </c>
      <c r="C10937" t="inlineStr">
        <is>
          <t>1929-11-10</t>
        </is>
      </c>
    </row>
    <row r="10938">
      <c r="A10938" s="1" t="n">
        <v>10937</v>
      </c>
      <c r="B10938">
        <f>TEXT(10937, "[$-0E0000]yyyy-mm-dd")</f>
        <v/>
      </c>
      <c r="C10938" t="inlineStr">
        <is>
          <t>1929-11-11</t>
        </is>
      </c>
    </row>
    <row r="10939">
      <c r="A10939" s="1" t="n">
        <v>10938</v>
      </c>
      <c r="B10939">
        <f>TEXT(10938, "[$-0E0000]yyyy-mm-dd")</f>
        <v/>
      </c>
      <c r="C10939" t="inlineStr">
        <is>
          <t>1929-11-12</t>
        </is>
      </c>
    </row>
    <row r="10940">
      <c r="A10940" s="1" t="n">
        <v>10939</v>
      </c>
      <c r="B10940">
        <f>TEXT(10939, "[$-0E0000]yyyy-mm-dd")</f>
        <v/>
      </c>
      <c r="C10940" t="inlineStr">
        <is>
          <t>1929-11-13</t>
        </is>
      </c>
    </row>
    <row r="10941">
      <c r="A10941" s="1" t="n">
        <v>10940</v>
      </c>
      <c r="B10941">
        <f>TEXT(10940, "[$-0E0000]yyyy-mm-dd")</f>
        <v/>
      </c>
      <c r="C10941" t="inlineStr">
        <is>
          <t>1929-11-14</t>
        </is>
      </c>
    </row>
    <row r="10942">
      <c r="A10942" s="1" t="n">
        <v>10941</v>
      </c>
      <c r="B10942">
        <f>TEXT(10941, "[$-0E0000]yyyy-mm-dd")</f>
        <v/>
      </c>
      <c r="C10942" t="inlineStr">
        <is>
          <t>1929-11-15</t>
        </is>
      </c>
    </row>
    <row r="10943">
      <c r="A10943" s="1" t="n">
        <v>10942</v>
      </c>
      <c r="B10943">
        <f>TEXT(10942, "[$-0E0000]yyyy-mm-dd")</f>
        <v/>
      </c>
      <c r="C10943" t="inlineStr">
        <is>
          <t>1929-11-16</t>
        </is>
      </c>
    </row>
    <row r="10944">
      <c r="A10944" s="1" t="n">
        <v>10943</v>
      </c>
      <c r="B10944">
        <f>TEXT(10943, "[$-0E0000]yyyy-mm-dd")</f>
        <v/>
      </c>
      <c r="C10944" t="inlineStr">
        <is>
          <t>1929-11-17</t>
        </is>
      </c>
    </row>
    <row r="10945">
      <c r="A10945" s="1" t="n">
        <v>10944</v>
      </c>
      <c r="B10945">
        <f>TEXT(10944, "[$-0E0000]yyyy-mm-dd")</f>
        <v/>
      </c>
      <c r="C10945" t="inlineStr">
        <is>
          <t>1929-11-18</t>
        </is>
      </c>
    </row>
    <row r="10946">
      <c r="A10946" s="1" t="n">
        <v>10945</v>
      </c>
      <c r="B10946">
        <f>TEXT(10945, "[$-0E0000]yyyy-mm-dd")</f>
        <v/>
      </c>
      <c r="C10946" t="inlineStr">
        <is>
          <t>1929-11-19</t>
        </is>
      </c>
    </row>
    <row r="10947">
      <c r="A10947" s="1" t="n">
        <v>10946</v>
      </c>
      <c r="B10947">
        <f>TEXT(10946, "[$-0E0000]yyyy-mm-dd")</f>
        <v/>
      </c>
      <c r="C10947" t="inlineStr">
        <is>
          <t>1929-11-20</t>
        </is>
      </c>
    </row>
    <row r="10948">
      <c r="A10948" s="1" t="n">
        <v>10947</v>
      </c>
      <c r="B10948">
        <f>TEXT(10947, "[$-0E0000]yyyy-mm-dd")</f>
        <v/>
      </c>
      <c r="C10948" t="inlineStr">
        <is>
          <t>1929-11-21</t>
        </is>
      </c>
    </row>
    <row r="10949">
      <c r="A10949" s="1" t="n">
        <v>10948</v>
      </c>
      <c r="B10949">
        <f>TEXT(10948, "[$-0E0000]yyyy-mm-dd")</f>
        <v/>
      </c>
      <c r="C10949" t="inlineStr">
        <is>
          <t>1929-11-22</t>
        </is>
      </c>
    </row>
    <row r="10950">
      <c r="A10950" s="1" t="n">
        <v>10949</v>
      </c>
      <c r="B10950">
        <f>TEXT(10949, "[$-0E0000]yyyy-mm-dd")</f>
        <v/>
      </c>
      <c r="C10950" t="inlineStr">
        <is>
          <t>1929-11-23</t>
        </is>
      </c>
    </row>
    <row r="10951">
      <c r="A10951" s="1" t="n">
        <v>10950</v>
      </c>
      <c r="B10951">
        <f>TEXT(10950, "[$-0E0000]yyyy-mm-dd")</f>
        <v/>
      </c>
      <c r="C10951" t="inlineStr">
        <is>
          <t>1929-11-24</t>
        </is>
      </c>
    </row>
    <row r="10952">
      <c r="A10952" s="1" t="n">
        <v>10951</v>
      </c>
      <c r="B10952">
        <f>TEXT(10951, "[$-0E0000]yyyy-mm-dd")</f>
        <v/>
      </c>
      <c r="C10952" t="inlineStr">
        <is>
          <t>1929-11-25</t>
        </is>
      </c>
    </row>
    <row r="10953">
      <c r="A10953" s="1" t="n">
        <v>10952</v>
      </c>
      <c r="B10953">
        <f>TEXT(10952, "[$-0E0000]yyyy-mm-dd")</f>
        <v/>
      </c>
      <c r="C10953" t="inlineStr">
        <is>
          <t>1929-11-26</t>
        </is>
      </c>
    </row>
    <row r="10954">
      <c r="A10954" s="1" t="n">
        <v>10953</v>
      </c>
      <c r="B10954">
        <f>TEXT(10953, "[$-0E0000]yyyy-mm-dd")</f>
        <v/>
      </c>
      <c r="C10954" t="inlineStr">
        <is>
          <t>1929-11-27</t>
        </is>
      </c>
    </row>
    <row r="10955">
      <c r="A10955" s="1" t="n">
        <v>10954</v>
      </c>
      <c r="B10955">
        <f>TEXT(10954, "[$-0E0000]yyyy-mm-dd")</f>
        <v/>
      </c>
      <c r="C10955" t="inlineStr">
        <is>
          <t>1929-11-28</t>
        </is>
      </c>
    </row>
    <row r="10956">
      <c r="A10956" s="1" t="n">
        <v>10955</v>
      </c>
      <c r="B10956">
        <f>TEXT(10955, "[$-0E0000]yyyy-mm-dd")</f>
        <v/>
      </c>
      <c r="C10956" t="inlineStr">
        <is>
          <t>1929-11-29</t>
        </is>
      </c>
    </row>
    <row r="10957">
      <c r="A10957" s="1" t="n">
        <v>10956</v>
      </c>
      <c r="B10957">
        <f>TEXT(10956, "[$-0E0000]yyyy-mm-dd")</f>
        <v/>
      </c>
      <c r="C10957" t="inlineStr">
        <is>
          <t>1929-11-30</t>
        </is>
      </c>
    </row>
    <row r="10958">
      <c r="A10958" s="1" t="n">
        <v>10957</v>
      </c>
      <c r="B10958">
        <f>TEXT(10957, "[$-0E0000]yyyy-mm-dd")</f>
        <v/>
      </c>
      <c r="C10958" t="inlineStr">
        <is>
          <t>1929-12-01</t>
        </is>
      </c>
    </row>
    <row r="10959">
      <c r="A10959" s="1" t="n">
        <v>10958</v>
      </c>
      <c r="B10959">
        <f>TEXT(10958, "[$-0E0000]yyyy-mm-dd")</f>
        <v/>
      </c>
      <c r="C10959" t="inlineStr">
        <is>
          <t>1929-12-02</t>
        </is>
      </c>
    </row>
    <row r="10960">
      <c r="A10960" s="1" t="n">
        <v>10959</v>
      </c>
      <c r="B10960">
        <f>TEXT(10959, "[$-0E0000]yyyy-mm-dd")</f>
        <v/>
      </c>
      <c r="C10960" t="inlineStr">
        <is>
          <t>1929-12-03</t>
        </is>
      </c>
    </row>
    <row r="10961">
      <c r="A10961" s="1" t="n">
        <v>10960</v>
      </c>
      <c r="B10961">
        <f>TEXT(10960, "[$-0E0000]yyyy-mm-dd")</f>
        <v/>
      </c>
      <c r="C10961" t="inlineStr">
        <is>
          <t>1929-12-04</t>
        </is>
      </c>
    </row>
    <row r="10962">
      <c r="A10962" s="1" t="n">
        <v>10961</v>
      </c>
      <c r="B10962">
        <f>TEXT(10961, "[$-0E0000]yyyy-mm-dd")</f>
        <v/>
      </c>
      <c r="C10962" t="inlineStr">
        <is>
          <t>1929-12-05</t>
        </is>
      </c>
    </row>
    <row r="10963">
      <c r="A10963" s="1" t="n">
        <v>10962</v>
      </c>
      <c r="B10963">
        <f>TEXT(10962, "[$-0E0000]yyyy-mm-dd")</f>
        <v/>
      </c>
      <c r="C10963" t="inlineStr">
        <is>
          <t>1929-12-06</t>
        </is>
      </c>
    </row>
    <row r="10964">
      <c r="A10964" s="1" t="n">
        <v>10963</v>
      </c>
      <c r="B10964">
        <f>TEXT(10963, "[$-0E0000]yyyy-mm-dd")</f>
        <v/>
      </c>
      <c r="C10964" t="inlineStr">
        <is>
          <t>1929-12-07</t>
        </is>
      </c>
    </row>
    <row r="10965">
      <c r="A10965" s="1" t="n">
        <v>10964</v>
      </c>
      <c r="B10965">
        <f>TEXT(10964, "[$-0E0000]yyyy-mm-dd")</f>
        <v/>
      </c>
      <c r="C10965" t="inlineStr">
        <is>
          <t>1929-12-08</t>
        </is>
      </c>
    </row>
    <row r="10966">
      <c r="A10966" s="1" t="n">
        <v>10965</v>
      </c>
      <c r="B10966">
        <f>TEXT(10965, "[$-0E0000]yyyy-mm-dd")</f>
        <v/>
      </c>
      <c r="C10966" t="inlineStr">
        <is>
          <t>1929-12-09</t>
        </is>
      </c>
    </row>
    <row r="10967">
      <c r="A10967" s="1" t="n">
        <v>10966</v>
      </c>
      <c r="B10967">
        <f>TEXT(10966, "[$-0E0000]yyyy-mm-dd")</f>
        <v/>
      </c>
      <c r="C10967" t="inlineStr">
        <is>
          <t>1929-12-10</t>
        </is>
      </c>
    </row>
    <row r="10968">
      <c r="A10968" s="1" t="n">
        <v>10967</v>
      </c>
      <c r="B10968">
        <f>TEXT(10967, "[$-0E0000]yyyy-mm-dd")</f>
        <v/>
      </c>
      <c r="C10968" t="inlineStr">
        <is>
          <t>1929-12-11</t>
        </is>
      </c>
    </row>
    <row r="10969">
      <c r="A10969" s="1" t="n">
        <v>10968</v>
      </c>
      <c r="B10969">
        <f>TEXT(10968, "[$-0E0000]yyyy-mm-dd")</f>
        <v/>
      </c>
      <c r="C10969" t="inlineStr">
        <is>
          <t>1929-12-12</t>
        </is>
      </c>
    </row>
    <row r="10970">
      <c r="A10970" s="1" t="n">
        <v>10969</v>
      </c>
      <c r="B10970">
        <f>TEXT(10969, "[$-0E0000]yyyy-mm-dd")</f>
        <v/>
      </c>
      <c r="C10970" t="inlineStr">
        <is>
          <t>1929-12-13</t>
        </is>
      </c>
    </row>
    <row r="10971">
      <c r="A10971" s="1" t="n">
        <v>10970</v>
      </c>
      <c r="B10971">
        <f>TEXT(10970, "[$-0E0000]yyyy-mm-dd")</f>
        <v/>
      </c>
      <c r="C10971" t="inlineStr">
        <is>
          <t>1929-12-14</t>
        </is>
      </c>
    </row>
    <row r="10972">
      <c r="A10972" s="1" t="n">
        <v>10971</v>
      </c>
      <c r="B10972">
        <f>TEXT(10971, "[$-0E0000]yyyy-mm-dd")</f>
        <v/>
      </c>
      <c r="C10972" t="inlineStr">
        <is>
          <t>1929-12-15</t>
        </is>
      </c>
    </row>
    <row r="10973">
      <c r="A10973" s="1" t="n">
        <v>10972</v>
      </c>
      <c r="B10973">
        <f>TEXT(10972, "[$-0E0000]yyyy-mm-dd")</f>
        <v/>
      </c>
      <c r="C10973" t="inlineStr">
        <is>
          <t>1929-12-16</t>
        </is>
      </c>
    </row>
    <row r="10974">
      <c r="A10974" s="1" t="n">
        <v>10973</v>
      </c>
      <c r="B10974">
        <f>TEXT(10973, "[$-0E0000]yyyy-mm-dd")</f>
        <v/>
      </c>
      <c r="C10974" t="inlineStr">
        <is>
          <t>1929-12-17</t>
        </is>
      </c>
    </row>
    <row r="10975">
      <c r="A10975" s="1" t="n">
        <v>10974</v>
      </c>
      <c r="B10975">
        <f>TEXT(10974, "[$-0E0000]yyyy-mm-dd")</f>
        <v/>
      </c>
      <c r="C10975" t="inlineStr">
        <is>
          <t>1929-12-18</t>
        </is>
      </c>
    </row>
    <row r="10976">
      <c r="A10976" s="1" t="n">
        <v>10975</v>
      </c>
      <c r="B10976">
        <f>TEXT(10975, "[$-0E0000]yyyy-mm-dd")</f>
        <v/>
      </c>
      <c r="C10976" t="inlineStr">
        <is>
          <t>1929-12-19</t>
        </is>
      </c>
    </row>
    <row r="10977">
      <c r="A10977" s="1" t="n">
        <v>10976</v>
      </c>
      <c r="B10977">
        <f>TEXT(10976, "[$-0E0000]yyyy-mm-dd")</f>
        <v/>
      </c>
      <c r="C10977" t="inlineStr">
        <is>
          <t>1929-12-20</t>
        </is>
      </c>
    </row>
    <row r="10978">
      <c r="A10978" s="1" t="n">
        <v>10977</v>
      </c>
      <c r="B10978">
        <f>TEXT(10977, "[$-0E0000]yyyy-mm-dd")</f>
        <v/>
      </c>
      <c r="C10978" t="inlineStr">
        <is>
          <t>1929-12-21</t>
        </is>
      </c>
    </row>
    <row r="10979">
      <c r="A10979" s="1" t="n">
        <v>10978</v>
      </c>
      <c r="B10979">
        <f>TEXT(10978, "[$-0E0000]yyyy-mm-dd")</f>
        <v/>
      </c>
      <c r="C10979" t="inlineStr">
        <is>
          <t>1929-12-22</t>
        </is>
      </c>
    </row>
    <row r="10980">
      <c r="A10980" s="1" t="n">
        <v>10979</v>
      </c>
      <c r="B10980">
        <f>TEXT(10979, "[$-0E0000]yyyy-mm-dd")</f>
        <v/>
      </c>
      <c r="C10980" t="inlineStr">
        <is>
          <t>1929-12-23</t>
        </is>
      </c>
    </row>
    <row r="10981">
      <c r="A10981" s="1" t="n">
        <v>10980</v>
      </c>
      <c r="B10981">
        <f>TEXT(10980, "[$-0E0000]yyyy-mm-dd")</f>
        <v/>
      </c>
      <c r="C10981" t="inlineStr">
        <is>
          <t>1929-12-24</t>
        </is>
      </c>
    </row>
    <row r="10982">
      <c r="A10982" s="1" t="n">
        <v>10981</v>
      </c>
      <c r="B10982">
        <f>TEXT(10981, "[$-0E0000]yyyy-mm-dd")</f>
        <v/>
      </c>
      <c r="C10982" t="inlineStr">
        <is>
          <t>1929-12-25</t>
        </is>
      </c>
    </row>
    <row r="10983">
      <c r="A10983" s="1" t="n">
        <v>10982</v>
      </c>
      <c r="B10983">
        <f>TEXT(10982, "[$-0E0000]yyyy-mm-dd")</f>
        <v/>
      </c>
      <c r="C10983" t="inlineStr">
        <is>
          <t>1929-12-26</t>
        </is>
      </c>
    </row>
    <row r="10984">
      <c r="A10984" s="1" t="n">
        <v>10983</v>
      </c>
      <c r="B10984">
        <f>TEXT(10983, "[$-0E0000]yyyy-mm-dd")</f>
        <v/>
      </c>
      <c r="C10984" t="inlineStr">
        <is>
          <t>1929-12-27</t>
        </is>
      </c>
    </row>
    <row r="10985">
      <c r="A10985" s="1" t="n">
        <v>10984</v>
      </c>
      <c r="B10985">
        <f>TEXT(10984, "[$-0E0000]yyyy-mm-dd")</f>
        <v/>
      </c>
      <c r="C10985" t="inlineStr">
        <is>
          <t>1929-12-28</t>
        </is>
      </c>
    </row>
    <row r="10986">
      <c r="A10986" s="1" t="n">
        <v>10985</v>
      </c>
      <c r="B10986">
        <f>TEXT(10985, "[$-0E0000]yyyy-mm-dd")</f>
        <v/>
      </c>
      <c r="C10986" t="inlineStr">
        <is>
          <t>1929-12-29</t>
        </is>
      </c>
    </row>
    <row r="10987">
      <c r="A10987" s="1" t="n">
        <v>10986</v>
      </c>
      <c r="B10987">
        <f>TEXT(10986, "[$-0E0000]yyyy-mm-dd")</f>
        <v/>
      </c>
      <c r="C10987" t="inlineStr">
        <is>
          <t>1929-12-30</t>
        </is>
      </c>
    </row>
    <row r="10988">
      <c r="A10988" s="1" t="n">
        <v>10987</v>
      </c>
      <c r="B10988">
        <f>TEXT(10987, "[$-0E0000]yyyy-mm-dd")</f>
        <v/>
      </c>
      <c r="C10988" t="inlineStr">
        <is>
          <t>1930-01-01</t>
        </is>
      </c>
    </row>
    <row r="10989">
      <c r="A10989" s="1" t="n">
        <v>10988</v>
      </c>
      <c r="B10989">
        <f>TEXT(10988, "[$-0E0000]yyyy-mm-dd")</f>
        <v/>
      </c>
      <c r="C10989" t="inlineStr">
        <is>
          <t>1930-01-02</t>
        </is>
      </c>
    </row>
    <row r="10990">
      <c r="A10990" s="1" t="n">
        <v>10989</v>
      </c>
      <c r="B10990">
        <f>TEXT(10989, "[$-0E0000]yyyy-mm-dd")</f>
        <v/>
      </c>
      <c r="C10990" t="inlineStr">
        <is>
          <t>1930-01-03</t>
        </is>
      </c>
    </row>
    <row r="10991">
      <c r="A10991" s="1" t="n">
        <v>10990</v>
      </c>
      <c r="B10991">
        <f>TEXT(10990, "[$-0E0000]yyyy-mm-dd")</f>
        <v/>
      </c>
      <c r="C10991" t="inlineStr">
        <is>
          <t>1930-01-04</t>
        </is>
      </c>
    </row>
    <row r="10992">
      <c r="A10992" s="1" t="n">
        <v>10991</v>
      </c>
      <c r="B10992">
        <f>TEXT(10991, "[$-0E0000]yyyy-mm-dd")</f>
        <v/>
      </c>
      <c r="C10992" t="inlineStr">
        <is>
          <t>1930-01-05</t>
        </is>
      </c>
    </row>
    <row r="10993">
      <c r="A10993" s="1" t="n">
        <v>10992</v>
      </c>
      <c r="B10993">
        <f>TEXT(10992, "[$-0E0000]yyyy-mm-dd")</f>
        <v/>
      </c>
      <c r="C10993" t="inlineStr">
        <is>
          <t>1930-01-06</t>
        </is>
      </c>
    </row>
    <row r="10994">
      <c r="A10994" s="1" t="n">
        <v>10993</v>
      </c>
      <c r="B10994">
        <f>TEXT(10993, "[$-0E0000]yyyy-mm-dd")</f>
        <v/>
      </c>
      <c r="C10994" t="inlineStr">
        <is>
          <t>1930-01-07</t>
        </is>
      </c>
    </row>
    <row r="10995">
      <c r="A10995" s="1" t="n">
        <v>10994</v>
      </c>
      <c r="B10995">
        <f>TEXT(10994, "[$-0E0000]yyyy-mm-dd")</f>
        <v/>
      </c>
      <c r="C10995" t="inlineStr">
        <is>
          <t>1930-01-08</t>
        </is>
      </c>
    </row>
    <row r="10996">
      <c r="A10996" s="1" t="n">
        <v>10995</v>
      </c>
      <c r="B10996">
        <f>TEXT(10995, "[$-0E0000]yyyy-mm-dd")</f>
        <v/>
      </c>
      <c r="C10996" t="inlineStr">
        <is>
          <t>1930-01-09</t>
        </is>
      </c>
    </row>
    <row r="10997">
      <c r="A10997" s="1" t="n">
        <v>10996</v>
      </c>
      <c r="B10997">
        <f>TEXT(10996, "[$-0E0000]yyyy-mm-dd")</f>
        <v/>
      </c>
      <c r="C10997" t="inlineStr">
        <is>
          <t>1930-01-10</t>
        </is>
      </c>
    </row>
    <row r="10998">
      <c r="A10998" s="1" t="n">
        <v>10997</v>
      </c>
      <c r="B10998">
        <f>TEXT(10997, "[$-0E0000]yyyy-mm-dd")</f>
        <v/>
      </c>
      <c r="C10998" t="inlineStr">
        <is>
          <t>1930-01-11</t>
        </is>
      </c>
    </row>
    <row r="10999">
      <c r="A10999" s="1" t="n">
        <v>10998</v>
      </c>
      <c r="B10999">
        <f>TEXT(10998, "[$-0E0000]yyyy-mm-dd")</f>
        <v/>
      </c>
      <c r="C10999" t="inlineStr">
        <is>
          <t>1930-01-12</t>
        </is>
      </c>
    </row>
    <row r="11000">
      <c r="A11000" s="1" t="n">
        <v>10999</v>
      </c>
      <c r="B11000">
        <f>TEXT(10999, "[$-0E0000]yyyy-mm-dd")</f>
        <v/>
      </c>
      <c r="C11000" t="inlineStr">
        <is>
          <t>1930-01-13</t>
        </is>
      </c>
    </row>
    <row r="11001">
      <c r="A11001" s="1" t="n">
        <v>11000</v>
      </c>
      <c r="B11001">
        <f>TEXT(11000, "[$-0E0000]yyyy-mm-dd")</f>
        <v/>
      </c>
      <c r="C11001" t="inlineStr">
        <is>
          <t>1930-01-14</t>
        </is>
      </c>
    </row>
    <row r="11002">
      <c r="A11002" s="1" t="n">
        <v>11001</v>
      </c>
      <c r="B11002">
        <f>TEXT(11001, "[$-0E0000]yyyy-mm-dd")</f>
        <v/>
      </c>
      <c r="C11002" t="inlineStr">
        <is>
          <t>1930-01-15</t>
        </is>
      </c>
    </row>
    <row r="11003">
      <c r="A11003" s="1" t="n">
        <v>11002</v>
      </c>
      <c r="B11003">
        <f>TEXT(11002, "[$-0E0000]yyyy-mm-dd")</f>
        <v/>
      </c>
      <c r="C11003" t="inlineStr">
        <is>
          <t>1930-01-16</t>
        </is>
      </c>
    </row>
    <row r="11004">
      <c r="A11004" s="1" t="n">
        <v>11003</v>
      </c>
      <c r="B11004">
        <f>TEXT(11003, "[$-0E0000]yyyy-mm-dd")</f>
        <v/>
      </c>
      <c r="C11004" t="inlineStr">
        <is>
          <t>1930-01-17</t>
        </is>
      </c>
    </row>
    <row r="11005">
      <c r="A11005" s="1" t="n">
        <v>11004</v>
      </c>
      <c r="B11005">
        <f>TEXT(11004, "[$-0E0000]yyyy-mm-dd")</f>
        <v/>
      </c>
      <c r="C11005" t="inlineStr">
        <is>
          <t>1930-01-18</t>
        </is>
      </c>
    </row>
    <row r="11006">
      <c r="A11006" s="1" t="n">
        <v>11005</v>
      </c>
      <c r="B11006">
        <f>TEXT(11005, "[$-0E0000]yyyy-mm-dd")</f>
        <v/>
      </c>
      <c r="C11006" t="inlineStr">
        <is>
          <t>1930-01-19</t>
        </is>
      </c>
    </row>
    <row r="11007">
      <c r="A11007" s="1" t="n">
        <v>11006</v>
      </c>
      <c r="B11007">
        <f>TEXT(11006, "[$-0E0000]yyyy-mm-dd")</f>
        <v/>
      </c>
      <c r="C11007" t="inlineStr">
        <is>
          <t>1930-01-20</t>
        </is>
      </c>
    </row>
    <row r="11008">
      <c r="A11008" s="1" t="n">
        <v>11007</v>
      </c>
      <c r="B11008">
        <f>TEXT(11007, "[$-0E0000]yyyy-mm-dd")</f>
        <v/>
      </c>
      <c r="C11008" t="inlineStr">
        <is>
          <t>1930-01-21</t>
        </is>
      </c>
    </row>
    <row r="11009">
      <c r="A11009" s="1" t="n">
        <v>11008</v>
      </c>
      <c r="B11009">
        <f>TEXT(11008, "[$-0E0000]yyyy-mm-dd")</f>
        <v/>
      </c>
      <c r="C11009" t="inlineStr">
        <is>
          <t>1930-01-22</t>
        </is>
      </c>
    </row>
    <row r="11010">
      <c r="A11010" s="1" t="n">
        <v>11009</v>
      </c>
      <c r="B11010">
        <f>TEXT(11009, "[$-0E0000]yyyy-mm-dd")</f>
        <v/>
      </c>
      <c r="C11010" t="inlineStr">
        <is>
          <t>1930-01-23</t>
        </is>
      </c>
    </row>
    <row r="11011">
      <c r="A11011" s="1" t="n">
        <v>11010</v>
      </c>
      <c r="B11011">
        <f>TEXT(11010, "[$-0E0000]yyyy-mm-dd")</f>
        <v/>
      </c>
      <c r="C11011" t="inlineStr">
        <is>
          <t>1930-01-24</t>
        </is>
      </c>
    </row>
    <row r="11012">
      <c r="A11012" s="1" t="n">
        <v>11011</v>
      </c>
      <c r="B11012">
        <f>TEXT(11011, "[$-0E0000]yyyy-mm-dd")</f>
        <v/>
      </c>
      <c r="C11012" t="inlineStr">
        <is>
          <t>1930-01-25</t>
        </is>
      </c>
    </row>
    <row r="11013">
      <c r="A11013" s="1" t="n">
        <v>11012</v>
      </c>
      <c r="B11013">
        <f>TEXT(11012, "[$-0E0000]yyyy-mm-dd")</f>
        <v/>
      </c>
      <c r="C11013" t="inlineStr">
        <is>
          <t>1930-01-26</t>
        </is>
      </c>
    </row>
    <row r="11014">
      <c r="A11014" s="1" t="n">
        <v>11013</v>
      </c>
      <c r="B11014">
        <f>TEXT(11013, "[$-0E0000]yyyy-mm-dd")</f>
        <v/>
      </c>
      <c r="C11014" t="inlineStr">
        <is>
          <t>1930-01-27</t>
        </is>
      </c>
    </row>
    <row r="11015">
      <c r="A11015" s="1" t="n">
        <v>11014</v>
      </c>
      <c r="B11015">
        <f>TEXT(11014, "[$-0E0000]yyyy-mm-dd")</f>
        <v/>
      </c>
      <c r="C11015" t="inlineStr">
        <is>
          <t>1930-01-28</t>
        </is>
      </c>
    </row>
    <row r="11016">
      <c r="A11016" s="1" t="n">
        <v>11015</v>
      </c>
      <c r="B11016">
        <f>TEXT(11015, "[$-0E0000]yyyy-mm-dd")</f>
        <v/>
      </c>
      <c r="C11016" t="inlineStr">
        <is>
          <t>1930-01-29</t>
        </is>
      </c>
    </row>
    <row r="11017">
      <c r="A11017" s="1" t="n">
        <v>11016</v>
      </c>
      <c r="B11017">
        <f>TEXT(11016, "[$-0E0000]yyyy-mm-dd")</f>
        <v/>
      </c>
      <c r="C11017" t="inlineStr">
        <is>
          <t>1930-02-01</t>
        </is>
      </c>
    </row>
    <row r="11018">
      <c r="A11018" s="1" t="n">
        <v>11017</v>
      </c>
      <c r="B11018">
        <f>TEXT(11017, "[$-0E0000]yyyy-mm-dd")</f>
        <v/>
      </c>
      <c r="C11018" t="inlineStr">
        <is>
          <t>1930-02-02</t>
        </is>
      </c>
    </row>
    <row r="11019">
      <c r="A11019" s="1" t="n">
        <v>11018</v>
      </c>
      <c r="B11019">
        <f>TEXT(11018, "[$-0E0000]yyyy-mm-dd")</f>
        <v/>
      </c>
      <c r="C11019" t="inlineStr">
        <is>
          <t>1930-02-03</t>
        </is>
      </c>
    </row>
    <row r="11020">
      <c r="A11020" s="1" t="n">
        <v>11019</v>
      </c>
      <c r="B11020">
        <f>TEXT(11019, "[$-0E0000]yyyy-mm-dd")</f>
        <v/>
      </c>
      <c r="C11020" t="inlineStr">
        <is>
          <t>1930-02-04</t>
        </is>
      </c>
    </row>
    <row r="11021">
      <c r="A11021" s="1" t="n">
        <v>11020</v>
      </c>
      <c r="B11021">
        <f>TEXT(11020, "[$-0E0000]yyyy-mm-dd")</f>
        <v/>
      </c>
      <c r="C11021" t="inlineStr">
        <is>
          <t>1930-02-05</t>
        </is>
      </c>
    </row>
    <row r="11022">
      <c r="A11022" s="1" t="n">
        <v>11021</v>
      </c>
      <c r="B11022">
        <f>TEXT(11021, "[$-0E0000]yyyy-mm-dd")</f>
        <v/>
      </c>
      <c r="C11022" t="inlineStr">
        <is>
          <t>1930-02-06</t>
        </is>
      </c>
    </row>
    <row r="11023">
      <c r="A11023" s="1" t="n">
        <v>11022</v>
      </c>
      <c r="B11023">
        <f>TEXT(11022, "[$-0E0000]yyyy-mm-dd")</f>
        <v/>
      </c>
      <c r="C11023" t="inlineStr">
        <is>
          <t>1930-02-07</t>
        </is>
      </c>
    </row>
    <row r="11024">
      <c r="A11024" s="1" t="n">
        <v>11023</v>
      </c>
      <c r="B11024">
        <f>TEXT(11023, "[$-0E0000]yyyy-mm-dd")</f>
        <v/>
      </c>
      <c r="C11024" t="inlineStr">
        <is>
          <t>1930-02-08</t>
        </is>
      </c>
    </row>
    <row r="11025">
      <c r="A11025" s="1" t="n">
        <v>11024</v>
      </c>
      <c r="B11025">
        <f>TEXT(11024, "[$-0E0000]yyyy-mm-dd")</f>
        <v/>
      </c>
      <c r="C11025" t="inlineStr">
        <is>
          <t>1930-02-09</t>
        </is>
      </c>
    </row>
    <row r="11026">
      <c r="A11026" s="1" t="n">
        <v>11025</v>
      </c>
      <c r="B11026">
        <f>TEXT(11025, "[$-0E0000]yyyy-mm-dd")</f>
        <v/>
      </c>
      <c r="C11026" t="inlineStr">
        <is>
          <t>1930-02-10</t>
        </is>
      </c>
    </row>
    <row r="11027">
      <c r="A11027" s="1" t="n">
        <v>11026</v>
      </c>
      <c r="B11027">
        <f>TEXT(11026, "[$-0E0000]yyyy-mm-dd")</f>
        <v/>
      </c>
      <c r="C11027" t="inlineStr">
        <is>
          <t>1930-02-11</t>
        </is>
      </c>
    </row>
    <row r="11028">
      <c r="A11028" s="1" t="n">
        <v>11027</v>
      </c>
      <c r="B11028">
        <f>TEXT(11027, "[$-0E0000]yyyy-mm-dd")</f>
        <v/>
      </c>
      <c r="C11028" t="inlineStr">
        <is>
          <t>1930-02-12</t>
        </is>
      </c>
    </row>
    <row r="11029">
      <c r="A11029" s="1" t="n">
        <v>11028</v>
      </c>
      <c r="B11029">
        <f>TEXT(11028, "[$-0E0000]yyyy-mm-dd")</f>
        <v/>
      </c>
      <c r="C11029" t="inlineStr">
        <is>
          <t>1930-02-13</t>
        </is>
      </c>
    </row>
    <row r="11030">
      <c r="A11030" s="1" t="n">
        <v>11029</v>
      </c>
      <c r="B11030">
        <f>TEXT(11029, "[$-0E0000]yyyy-mm-dd")</f>
        <v/>
      </c>
      <c r="C11030" t="inlineStr">
        <is>
          <t>1930-02-14</t>
        </is>
      </c>
    </row>
    <row r="11031">
      <c r="A11031" s="1" t="n">
        <v>11030</v>
      </c>
      <c r="B11031">
        <f>TEXT(11030, "[$-0E0000]yyyy-mm-dd")</f>
        <v/>
      </c>
      <c r="C11031" t="inlineStr">
        <is>
          <t>1930-02-15</t>
        </is>
      </c>
    </row>
    <row r="11032">
      <c r="A11032" s="1" t="n">
        <v>11031</v>
      </c>
      <c r="B11032">
        <f>TEXT(11031, "[$-0E0000]yyyy-mm-dd")</f>
        <v/>
      </c>
      <c r="C11032" t="inlineStr">
        <is>
          <t>1930-02-16</t>
        </is>
      </c>
    </row>
    <row r="11033">
      <c r="A11033" s="1" t="n">
        <v>11032</v>
      </c>
      <c r="B11033">
        <f>TEXT(11032, "[$-0E0000]yyyy-mm-dd")</f>
        <v/>
      </c>
      <c r="C11033" t="inlineStr">
        <is>
          <t>1930-02-17</t>
        </is>
      </c>
    </row>
    <row r="11034">
      <c r="A11034" s="1" t="n">
        <v>11033</v>
      </c>
      <c r="B11034">
        <f>TEXT(11033, "[$-0E0000]yyyy-mm-dd")</f>
        <v/>
      </c>
      <c r="C11034" t="inlineStr">
        <is>
          <t>1930-02-18</t>
        </is>
      </c>
    </row>
    <row r="11035">
      <c r="A11035" s="1" t="n">
        <v>11034</v>
      </c>
      <c r="B11035">
        <f>TEXT(11034, "[$-0E0000]yyyy-mm-dd")</f>
        <v/>
      </c>
      <c r="C11035" t="inlineStr">
        <is>
          <t>1930-02-19</t>
        </is>
      </c>
    </row>
    <row r="11036">
      <c r="A11036" s="1" t="n">
        <v>11035</v>
      </c>
      <c r="B11036">
        <f>TEXT(11035, "[$-0E0000]yyyy-mm-dd")</f>
        <v/>
      </c>
      <c r="C11036" t="inlineStr">
        <is>
          <t>1930-02-20</t>
        </is>
      </c>
    </row>
    <row r="11037">
      <c r="A11037" s="1" t="n">
        <v>11036</v>
      </c>
      <c r="B11037">
        <f>TEXT(11036, "[$-0E0000]yyyy-mm-dd")</f>
        <v/>
      </c>
      <c r="C11037" t="inlineStr">
        <is>
          <t>1930-02-21</t>
        </is>
      </c>
    </row>
    <row r="11038">
      <c r="A11038" s="1" t="n">
        <v>11037</v>
      </c>
      <c r="B11038">
        <f>TEXT(11037, "[$-0E0000]yyyy-mm-dd")</f>
        <v/>
      </c>
      <c r="C11038" t="inlineStr">
        <is>
          <t>1930-02-22</t>
        </is>
      </c>
    </row>
    <row r="11039">
      <c r="A11039" s="1" t="n">
        <v>11038</v>
      </c>
      <c r="B11039">
        <f>TEXT(11038, "[$-0E0000]yyyy-mm-dd")</f>
        <v/>
      </c>
      <c r="C11039" t="inlineStr">
        <is>
          <t>1930-02-23</t>
        </is>
      </c>
    </row>
    <row r="11040">
      <c r="A11040" s="1" t="n">
        <v>11039</v>
      </c>
      <c r="B11040">
        <f>TEXT(11039, "[$-0E0000]yyyy-mm-dd")</f>
        <v/>
      </c>
      <c r="C11040" t="inlineStr">
        <is>
          <t>1930-02-24</t>
        </is>
      </c>
    </row>
    <row r="11041">
      <c r="A11041" s="1" t="n">
        <v>11040</v>
      </c>
      <c r="B11041">
        <f>TEXT(11040, "[$-0E0000]yyyy-mm-dd")</f>
        <v/>
      </c>
      <c r="C11041" t="inlineStr">
        <is>
          <t>1930-02-25</t>
        </is>
      </c>
    </row>
    <row r="11042">
      <c r="A11042" s="1" t="n">
        <v>11041</v>
      </c>
      <c r="B11042">
        <f>TEXT(11041, "[$-0E0000]yyyy-mm-dd")</f>
        <v/>
      </c>
      <c r="C11042" t="inlineStr">
        <is>
          <t>1930-02-26</t>
        </is>
      </c>
    </row>
    <row r="11043">
      <c r="A11043" s="1" t="n">
        <v>11042</v>
      </c>
      <c r="B11043">
        <f>TEXT(11042, "[$-0E0000]yyyy-mm-dd")</f>
        <v/>
      </c>
      <c r="C11043" t="inlineStr">
        <is>
          <t>1930-02-27</t>
        </is>
      </c>
    </row>
    <row r="11044">
      <c r="A11044" s="1" t="n">
        <v>11043</v>
      </c>
      <c r="B11044">
        <f>TEXT(11043, "[$-0E0000]yyyy-mm-dd")</f>
        <v/>
      </c>
      <c r="C11044" t="inlineStr">
        <is>
          <t>1930-02-28</t>
        </is>
      </c>
    </row>
    <row r="11045">
      <c r="A11045" s="1" t="n">
        <v>11044</v>
      </c>
      <c r="B11045">
        <f>TEXT(11044, "[$-0E0000]yyyy-mm-dd")</f>
        <v/>
      </c>
      <c r="C11045" t="inlineStr">
        <is>
          <t>1930-02-29</t>
        </is>
      </c>
    </row>
    <row r="11046">
      <c r="A11046" s="1" t="n">
        <v>11045</v>
      </c>
      <c r="B11046">
        <f>TEXT(11045, "[$-0E0000]yyyy-mm-dd")</f>
        <v/>
      </c>
      <c r="C11046" t="inlineStr">
        <is>
          <t>1930-02-30</t>
        </is>
      </c>
    </row>
    <row r="11047">
      <c r="A11047" s="1" t="n">
        <v>11046</v>
      </c>
      <c r="B11047">
        <f>TEXT(11046, "[$-0E0000]yyyy-mm-dd")</f>
        <v/>
      </c>
      <c r="C11047" t="inlineStr">
        <is>
          <t>1930-03-01</t>
        </is>
      </c>
    </row>
    <row r="11048">
      <c r="A11048" s="1" t="n">
        <v>11047</v>
      </c>
      <c r="B11048">
        <f>TEXT(11047, "[$-0E0000]yyyy-mm-dd")</f>
        <v/>
      </c>
      <c r="C11048" t="inlineStr">
        <is>
          <t>1930-03-02</t>
        </is>
      </c>
    </row>
    <row r="11049">
      <c r="A11049" s="1" t="n">
        <v>11048</v>
      </c>
      <c r="B11049">
        <f>TEXT(11048, "[$-0E0000]yyyy-mm-dd")</f>
        <v/>
      </c>
      <c r="C11049" t="inlineStr">
        <is>
          <t>1930-03-03</t>
        </is>
      </c>
    </row>
    <row r="11050">
      <c r="A11050" s="1" t="n">
        <v>11049</v>
      </c>
      <c r="B11050">
        <f>TEXT(11049, "[$-0E0000]yyyy-mm-dd")</f>
        <v/>
      </c>
      <c r="C11050" t="inlineStr">
        <is>
          <t>1930-03-04</t>
        </is>
      </c>
    </row>
    <row r="11051">
      <c r="A11051" s="1" t="n">
        <v>11050</v>
      </c>
      <c r="B11051">
        <f>TEXT(11050, "[$-0E0000]yyyy-mm-dd")</f>
        <v/>
      </c>
      <c r="C11051" t="inlineStr">
        <is>
          <t>1930-03-05</t>
        </is>
      </c>
    </row>
    <row r="11052">
      <c r="A11052" s="1" t="n">
        <v>11051</v>
      </c>
      <c r="B11052">
        <f>TEXT(11051, "[$-0E0000]yyyy-mm-dd")</f>
        <v/>
      </c>
      <c r="C11052" t="inlineStr">
        <is>
          <t>1930-03-06</t>
        </is>
      </c>
    </row>
    <row r="11053">
      <c r="A11053" s="1" t="n">
        <v>11052</v>
      </c>
      <c r="B11053">
        <f>TEXT(11052, "[$-0E0000]yyyy-mm-dd")</f>
        <v/>
      </c>
      <c r="C11053" t="inlineStr">
        <is>
          <t>1930-03-07</t>
        </is>
      </c>
    </row>
    <row r="11054">
      <c r="A11054" s="1" t="n">
        <v>11053</v>
      </c>
      <c r="B11054">
        <f>TEXT(11053, "[$-0E0000]yyyy-mm-dd")</f>
        <v/>
      </c>
      <c r="C11054" t="inlineStr">
        <is>
          <t>1930-03-08</t>
        </is>
      </c>
    </row>
    <row r="11055">
      <c r="A11055" s="1" t="n">
        <v>11054</v>
      </c>
      <c r="B11055">
        <f>TEXT(11054, "[$-0E0000]yyyy-mm-dd")</f>
        <v/>
      </c>
      <c r="C11055" t="inlineStr">
        <is>
          <t>1930-03-09</t>
        </is>
      </c>
    </row>
    <row r="11056">
      <c r="A11056" s="1" t="n">
        <v>11055</v>
      </c>
      <c r="B11056">
        <f>TEXT(11055, "[$-0E0000]yyyy-mm-dd")</f>
        <v/>
      </c>
      <c r="C11056" t="inlineStr">
        <is>
          <t>1930-03-10</t>
        </is>
      </c>
    </row>
    <row r="11057">
      <c r="A11057" s="1" t="n">
        <v>11056</v>
      </c>
      <c r="B11057">
        <f>TEXT(11056, "[$-0E0000]yyyy-mm-dd")</f>
        <v/>
      </c>
      <c r="C11057" t="inlineStr">
        <is>
          <t>1930-03-11</t>
        </is>
      </c>
    </row>
    <row r="11058">
      <c r="A11058" s="1" t="n">
        <v>11057</v>
      </c>
      <c r="B11058">
        <f>TEXT(11057, "[$-0E0000]yyyy-mm-dd")</f>
        <v/>
      </c>
      <c r="C11058" t="inlineStr">
        <is>
          <t>1930-03-12</t>
        </is>
      </c>
    </row>
    <row r="11059">
      <c r="A11059" s="1" t="n">
        <v>11058</v>
      </c>
      <c r="B11059">
        <f>TEXT(11058, "[$-0E0000]yyyy-mm-dd")</f>
        <v/>
      </c>
      <c r="C11059" t="inlineStr">
        <is>
          <t>1930-03-13</t>
        </is>
      </c>
    </row>
    <row r="11060">
      <c r="A11060" s="1" t="n">
        <v>11059</v>
      </c>
      <c r="B11060">
        <f>TEXT(11059, "[$-0E0000]yyyy-mm-dd")</f>
        <v/>
      </c>
      <c r="C11060" t="inlineStr">
        <is>
          <t>1930-03-14</t>
        </is>
      </c>
    </row>
    <row r="11061">
      <c r="A11061" s="1" t="n">
        <v>11060</v>
      </c>
      <c r="B11061">
        <f>TEXT(11060, "[$-0E0000]yyyy-mm-dd")</f>
        <v/>
      </c>
      <c r="C11061" t="inlineStr">
        <is>
          <t>1930-03-15</t>
        </is>
      </c>
    </row>
    <row r="11062">
      <c r="A11062" s="1" t="n">
        <v>11061</v>
      </c>
      <c r="B11062">
        <f>TEXT(11061, "[$-0E0000]yyyy-mm-dd")</f>
        <v/>
      </c>
      <c r="C11062" t="inlineStr">
        <is>
          <t>1930-03-16</t>
        </is>
      </c>
    </row>
    <row r="11063">
      <c r="A11063" s="1" t="n">
        <v>11062</v>
      </c>
      <c r="B11063">
        <f>TEXT(11062, "[$-0E0000]yyyy-mm-dd")</f>
        <v/>
      </c>
      <c r="C11063" t="inlineStr">
        <is>
          <t>1930-03-17</t>
        </is>
      </c>
    </row>
    <row r="11064">
      <c r="A11064" s="1" t="n">
        <v>11063</v>
      </c>
      <c r="B11064">
        <f>TEXT(11063, "[$-0E0000]yyyy-mm-dd")</f>
        <v/>
      </c>
      <c r="C11064" t="inlineStr">
        <is>
          <t>1930-03-18</t>
        </is>
      </c>
    </row>
    <row r="11065">
      <c r="A11065" s="1" t="n">
        <v>11064</v>
      </c>
      <c r="B11065">
        <f>TEXT(11064, "[$-0E0000]yyyy-mm-dd")</f>
        <v/>
      </c>
      <c r="C11065" t="inlineStr">
        <is>
          <t>1930-03-19</t>
        </is>
      </c>
    </row>
    <row r="11066">
      <c r="A11066" s="1" t="n">
        <v>11065</v>
      </c>
      <c r="B11066">
        <f>TEXT(11065, "[$-0E0000]yyyy-mm-dd")</f>
        <v/>
      </c>
      <c r="C11066" t="inlineStr">
        <is>
          <t>1930-03-20</t>
        </is>
      </c>
    </row>
    <row r="11067">
      <c r="A11067" s="1" t="n">
        <v>11066</v>
      </c>
      <c r="B11067">
        <f>TEXT(11066, "[$-0E0000]yyyy-mm-dd")</f>
        <v/>
      </c>
      <c r="C11067" t="inlineStr">
        <is>
          <t>1930-03-21</t>
        </is>
      </c>
    </row>
    <row r="11068">
      <c r="A11068" s="1" t="n">
        <v>11067</v>
      </c>
      <c r="B11068">
        <f>TEXT(11067, "[$-0E0000]yyyy-mm-dd")</f>
        <v/>
      </c>
      <c r="C11068" t="inlineStr">
        <is>
          <t>1930-03-22</t>
        </is>
      </c>
    </row>
    <row r="11069">
      <c r="A11069" s="1" t="n">
        <v>11068</v>
      </c>
      <c r="B11069">
        <f>TEXT(11068, "[$-0E0000]yyyy-mm-dd")</f>
        <v/>
      </c>
      <c r="C11069" t="inlineStr">
        <is>
          <t>1930-03-23</t>
        </is>
      </c>
    </row>
    <row r="11070">
      <c r="A11070" s="1" t="n">
        <v>11069</v>
      </c>
      <c r="B11070">
        <f>TEXT(11069, "[$-0E0000]yyyy-mm-dd")</f>
        <v/>
      </c>
      <c r="C11070" t="inlineStr">
        <is>
          <t>1930-03-24</t>
        </is>
      </c>
    </row>
    <row r="11071">
      <c r="A11071" s="1" t="n">
        <v>11070</v>
      </c>
      <c r="B11071">
        <f>TEXT(11070, "[$-0E0000]yyyy-mm-dd")</f>
        <v/>
      </c>
      <c r="C11071" t="inlineStr">
        <is>
          <t>1930-03-25</t>
        </is>
      </c>
    </row>
    <row r="11072">
      <c r="A11072" s="1" t="n">
        <v>11071</v>
      </c>
      <c r="B11072">
        <f>TEXT(11071, "[$-0E0000]yyyy-mm-dd")</f>
        <v/>
      </c>
      <c r="C11072" t="inlineStr">
        <is>
          <t>1930-03-26</t>
        </is>
      </c>
    </row>
    <row r="11073">
      <c r="A11073" s="1" t="n">
        <v>11072</v>
      </c>
      <c r="B11073">
        <f>TEXT(11072, "[$-0E0000]yyyy-mm-dd")</f>
        <v/>
      </c>
      <c r="C11073" t="inlineStr">
        <is>
          <t>1930-03-27</t>
        </is>
      </c>
    </row>
    <row r="11074">
      <c r="A11074" s="1" t="n">
        <v>11073</v>
      </c>
      <c r="B11074">
        <f>TEXT(11073, "[$-0E0000]yyyy-mm-dd")</f>
        <v/>
      </c>
      <c r="C11074" t="inlineStr">
        <is>
          <t>1930-03-28</t>
        </is>
      </c>
    </row>
    <row r="11075">
      <c r="A11075" s="1" t="n">
        <v>11074</v>
      </c>
      <c r="B11075">
        <f>TEXT(11074, "[$-0E0000]yyyy-mm-dd")</f>
        <v/>
      </c>
      <c r="C11075" t="inlineStr">
        <is>
          <t>1930-03-29</t>
        </is>
      </c>
    </row>
    <row r="11076">
      <c r="A11076" s="1" t="n">
        <v>11075</v>
      </c>
      <c r="B11076">
        <f>TEXT(11075, "[$-0E0000]yyyy-mm-dd")</f>
        <v/>
      </c>
      <c r="C11076" t="inlineStr">
        <is>
          <t>1930-03-30</t>
        </is>
      </c>
    </row>
    <row r="11077">
      <c r="A11077" s="1" t="n">
        <v>11076</v>
      </c>
      <c r="B11077">
        <f>TEXT(11076, "[$-0E0000]yyyy-mm-dd")</f>
        <v/>
      </c>
      <c r="C11077" t="inlineStr">
        <is>
          <t>1930-04-01</t>
        </is>
      </c>
    </row>
    <row r="11078">
      <c r="A11078" s="1" t="n">
        <v>11077</v>
      </c>
      <c r="B11078">
        <f>TEXT(11077, "[$-0E0000]yyyy-mm-dd")</f>
        <v/>
      </c>
      <c r="C11078" t="inlineStr">
        <is>
          <t>1930-04-02</t>
        </is>
      </c>
    </row>
    <row r="11079">
      <c r="A11079" s="1" t="n">
        <v>11078</v>
      </c>
      <c r="B11079">
        <f>TEXT(11078, "[$-0E0000]yyyy-mm-dd")</f>
        <v/>
      </c>
      <c r="C11079" t="inlineStr">
        <is>
          <t>1930-04-03</t>
        </is>
      </c>
    </row>
    <row r="11080">
      <c r="A11080" s="1" t="n">
        <v>11079</v>
      </c>
      <c r="B11080">
        <f>TEXT(11079, "[$-0E0000]yyyy-mm-dd")</f>
        <v/>
      </c>
      <c r="C11080" t="inlineStr">
        <is>
          <t>1930-04-04</t>
        </is>
      </c>
    </row>
    <row r="11081">
      <c r="A11081" s="1" t="n">
        <v>11080</v>
      </c>
      <c r="B11081">
        <f>TEXT(11080, "[$-0E0000]yyyy-mm-dd")</f>
        <v/>
      </c>
      <c r="C11081" t="inlineStr">
        <is>
          <t>1930-04-05</t>
        </is>
      </c>
    </row>
    <row r="11082">
      <c r="A11082" s="1" t="n">
        <v>11081</v>
      </c>
      <c r="B11082">
        <f>TEXT(11081, "[$-0E0000]yyyy-mm-dd")</f>
        <v/>
      </c>
      <c r="C11082" t="inlineStr">
        <is>
          <t>1930-04-06</t>
        </is>
      </c>
    </row>
    <row r="11083">
      <c r="A11083" s="1" t="n">
        <v>11082</v>
      </c>
      <c r="B11083">
        <f>TEXT(11082, "[$-0E0000]yyyy-mm-dd")</f>
        <v/>
      </c>
      <c r="C11083" t="inlineStr">
        <is>
          <t>1930-04-07</t>
        </is>
      </c>
    </row>
    <row r="11084">
      <c r="A11084" s="1" t="n">
        <v>11083</v>
      </c>
      <c r="B11084">
        <f>TEXT(11083, "[$-0E0000]yyyy-mm-dd")</f>
        <v/>
      </c>
      <c r="C11084" t="inlineStr">
        <is>
          <t>1930-04-08</t>
        </is>
      </c>
    </row>
    <row r="11085">
      <c r="A11085" s="1" t="n">
        <v>11084</v>
      </c>
      <c r="B11085">
        <f>TEXT(11084, "[$-0E0000]yyyy-mm-dd")</f>
        <v/>
      </c>
      <c r="C11085" t="inlineStr">
        <is>
          <t>1930-04-09</t>
        </is>
      </c>
    </row>
    <row r="11086">
      <c r="A11086" s="1" t="n">
        <v>11085</v>
      </c>
      <c r="B11086">
        <f>TEXT(11085, "[$-0E0000]yyyy-mm-dd")</f>
        <v/>
      </c>
      <c r="C11086" t="inlineStr">
        <is>
          <t>1930-04-10</t>
        </is>
      </c>
    </row>
    <row r="11087">
      <c r="A11087" s="1" t="n">
        <v>11086</v>
      </c>
      <c r="B11087">
        <f>TEXT(11086, "[$-0E0000]yyyy-mm-dd")</f>
        <v/>
      </c>
      <c r="C11087" t="inlineStr">
        <is>
          <t>1930-04-11</t>
        </is>
      </c>
    </row>
    <row r="11088">
      <c r="A11088" s="1" t="n">
        <v>11087</v>
      </c>
      <c r="B11088">
        <f>TEXT(11087, "[$-0E0000]yyyy-mm-dd")</f>
        <v/>
      </c>
      <c r="C11088" t="inlineStr">
        <is>
          <t>1930-04-12</t>
        </is>
      </c>
    </row>
    <row r="11089">
      <c r="A11089" s="1" t="n">
        <v>11088</v>
      </c>
      <c r="B11089">
        <f>TEXT(11088, "[$-0E0000]yyyy-mm-dd")</f>
        <v/>
      </c>
      <c r="C11089" t="inlineStr">
        <is>
          <t>1930-04-13</t>
        </is>
      </c>
    </row>
    <row r="11090">
      <c r="A11090" s="1" t="n">
        <v>11089</v>
      </c>
      <c r="B11090">
        <f>TEXT(11089, "[$-0E0000]yyyy-mm-dd")</f>
        <v/>
      </c>
      <c r="C11090" t="inlineStr">
        <is>
          <t>1930-04-14</t>
        </is>
      </c>
    </row>
    <row r="11091">
      <c r="A11091" s="1" t="n">
        <v>11090</v>
      </c>
      <c r="B11091">
        <f>TEXT(11090, "[$-0E0000]yyyy-mm-dd")</f>
        <v/>
      </c>
      <c r="C11091" t="inlineStr">
        <is>
          <t>1930-04-15</t>
        </is>
      </c>
    </row>
    <row r="11092">
      <c r="A11092" s="1" t="n">
        <v>11091</v>
      </c>
      <c r="B11092">
        <f>TEXT(11091, "[$-0E0000]yyyy-mm-dd")</f>
        <v/>
      </c>
      <c r="C11092" t="inlineStr">
        <is>
          <t>1930-04-16</t>
        </is>
      </c>
    </row>
    <row r="11093">
      <c r="A11093" s="1" t="n">
        <v>11092</v>
      </c>
      <c r="B11093">
        <f>TEXT(11092, "[$-0E0000]yyyy-mm-dd")</f>
        <v/>
      </c>
      <c r="C11093" t="inlineStr">
        <is>
          <t>1930-04-17</t>
        </is>
      </c>
    </row>
    <row r="11094">
      <c r="A11094" s="1" t="n">
        <v>11093</v>
      </c>
      <c r="B11094">
        <f>TEXT(11093, "[$-0E0000]yyyy-mm-dd")</f>
        <v/>
      </c>
      <c r="C11094" t="inlineStr">
        <is>
          <t>1930-04-18</t>
        </is>
      </c>
    </row>
    <row r="11095">
      <c r="A11095" s="1" t="n">
        <v>11094</v>
      </c>
      <c r="B11095">
        <f>TEXT(11094, "[$-0E0000]yyyy-mm-dd")</f>
        <v/>
      </c>
      <c r="C11095" t="inlineStr">
        <is>
          <t>1930-04-19</t>
        </is>
      </c>
    </row>
    <row r="11096">
      <c r="A11096" s="1" t="n">
        <v>11095</v>
      </c>
      <c r="B11096">
        <f>TEXT(11095, "[$-0E0000]yyyy-mm-dd")</f>
        <v/>
      </c>
      <c r="C11096" t="inlineStr">
        <is>
          <t>1930-04-20</t>
        </is>
      </c>
    </row>
    <row r="11097">
      <c r="A11097" s="1" t="n">
        <v>11096</v>
      </c>
      <c r="B11097">
        <f>TEXT(11096, "[$-0E0000]yyyy-mm-dd")</f>
        <v/>
      </c>
      <c r="C11097" t="inlineStr">
        <is>
          <t>1930-04-21</t>
        </is>
      </c>
    </row>
    <row r="11098">
      <c r="A11098" s="1" t="n">
        <v>11097</v>
      </c>
      <c r="B11098">
        <f>TEXT(11097, "[$-0E0000]yyyy-mm-dd")</f>
        <v/>
      </c>
      <c r="C11098" t="inlineStr">
        <is>
          <t>1930-04-22</t>
        </is>
      </c>
    </row>
    <row r="11099">
      <c r="A11099" s="1" t="n">
        <v>11098</v>
      </c>
      <c r="B11099">
        <f>TEXT(11098, "[$-0E0000]yyyy-mm-dd")</f>
        <v/>
      </c>
      <c r="C11099" t="inlineStr">
        <is>
          <t>1930-04-23</t>
        </is>
      </c>
    </row>
    <row r="11100">
      <c r="A11100" s="1" t="n">
        <v>11099</v>
      </c>
      <c r="B11100">
        <f>TEXT(11099, "[$-0E0000]yyyy-mm-dd")</f>
        <v/>
      </c>
      <c r="C11100" t="inlineStr">
        <is>
          <t>1930-04-24</t>
        </is>
      </c>
    </row>
    <row r="11101">
      <c r="A11101" s="1" t="n">
        <v>11100</v>
      </c>
      <c r="B11101">
        <f>TEXT(11100, "[$-0E0000]yyyy-mm-dd")</f>
        <v/>
      </c>
      <c r="C11101" t="inlineStr">
        <is>
          <t>1930-04-25</t>
        </is>
      </c>
    </row>
    <row r="11102">
      <c r="A11102" s="1" t="n">
        <v>11101</v>
      </c>
      <c r="B11102">
        <f>TEXT(11101, "[$-0E0000]yyyy-mm-dd")</f>
        <v/>
      </c>
      <c r="C11102" t="inlineStr">
        <is>
          <t>1930-04-26</t>
        </is>
      </c>
    </row>
    <row r="11103">
      <c r="A11103" s="1" t="n">
        <v>11102</v>
      </c>
      <c r="B11103">
        <f>TEXT(11102, "[$-0E0000]yyyy-mm-dd")</f>
        <v/>
      </c>
      <c r="C11103" t="inlineStr">
        <is>
          <t>1930-04-27</t>
        </is>
      </c>
    </row>
    <row r="11104">
      <c r="A11104" s="1" t="n">
        <v>11103</v>
      </c>
      <c r="B11104">
        <f>TEXT(11103, "[$-0E0000]yyyy-mm-dd")</f>
        <v/>
      </c>
      <c r="C11104" t="inlineStr">
        <is>
          <t>1930-04-28</t>
        </is>
      </c>
    </row>
    <row r="11105">
      <c r="A11105" s="1" t="n">
        <v>11104</v>
      </c>
      <c r="B11105">
        <f>TEXT(11104, "[$-0E0000]yyyy-mm-dd")</f>
        <v/>
      </c>
      <c r="C11105" t="inlineStr">
        <is>
          <t>1930-04-29</t>
        </is>
      </c>
    </row>
    <row r="11106">
      <c r="A11106" s="1" t="n">
        <v>11105</v>
      </c>
      <c r="B11106">
        <f>TEXT(11105, "[$-0E0000]yyyy-mm-dd")</f>
        <v/>
      </c>
      <c r="C11106" t="inlineStr">
        <is>
          <t>1930-05-01</t>
        </is>
      </c>
    </row>
    <row r="11107">
      <c r="A11107" s="1" t="n">
        <v>11106</v>
      </c>
      <c r="B11107">
        <f>TEXT(11106, "[$-0E0000]yyyy-mm-dd")</f>
        <v/>
      </c>
      <c r="C11107" t="inlineStr">
        <is>
          <t>1930-05-02</t>
        </is>
      </c>
    </row>
    <row r="11108">
      <c r="A11108" s="1" t="n">
        <v>11107</v>
      </c>
      <c r="B11108">
        <f>TEXT(11107, "[$-0E0000]yyyy-mm-dd")</f>
        <v/>
      </c>
      <c r="C11108" t="inlineStr">
        <is>
          <t>1930-05-03</t>
        </is>
      </c>
    </row>
    <row r="11109">
      <c r="A11109" s="1" t="n">
        <v>11108</v>
      </c>
      <c r="B11109">
        <f>TEXT(11108, "[$-0E0000]yyyy-mm-dd")</f>
        <v/>
      </c>
      <c r="C11109" t="inlineStr">
        <is>
          <t>1930-05-04</t>
        </is>
      </c>
    </row>
    <row r="11110">
      <c r="A11110" s="1" t="n">
        <v>11109</v>
      </c>
      <c r="B11110">
        <f>TEXT(11109, "[$-0E0000]yyyy-mm-dd")</f>
        <v/>
      </c>
      <c r="C11110" t="inlineStr">
        <is>
          <t>1930-05-05</t>
        </is>
      </c>
    </row>
    <row r="11111">
      <c r="A11111" s="1" t="n">
        <v>11110</v>
      </c>
      <c r="B11111">
        <f>TEXT(11110, "[$-0E0000]yyyy-mm-dd")</f>
        <v/>
      </c>
      <c r="C11111" t="inlineStr">
        <is>
          <t>1930-05-06</t>
        </is>
      </c>
    </row>
    <row r="11112">
      <c r="A11112" s="1" t="n">
        <v>11111</v>
      </c>
      <c r="B11112">
        <f>TEXT(11111, "[$-0E0000]yyyy-mm-dd")</f>
        <v/>
      </c>
      <c r="C11112" t="inlineStr">
        <is>
          <t>1930-05-07</t>
        </is>
      </c>
    </row>
    <row r="11113">
      <c r="A11113" s="1" t="n">
        <v>11112</v>
      </c>
      <c r="B11113">
        <f>TEXT(11112, "[$-0E0000]yyyy-mm-dd")</f>
        <v/>
      </c>
      <c r="C11113" t="inlineStr">
        <is>
          <t>1930-05-08</t>
        </is>
      </c>
    </row>
    <row r="11114">
      <c r="A11114" s="1" t="n">
        <v>11113</v>
      </c>
      <c r="B11114">
        <f>TEXT(11113, "[$-0E0000]yyyy-mm-dd")</f>
        <v/>
      </c>
      <c r="C11114" t="inlineStr">
        <is>
          <t>1930-05-09</t>
        </is>
      </c>
    </row>
    <row r="11115">
      <c r="A11115" s="1" t="n">
        <v>11114</v>
      </c>
      <c r="B11115">
        <f>TEXT(11114, "[$-0E0000]yyyy-mm-dd")</f>
        <v/>
      </c>
      <c r="C11115" t="inlineStr">
        <is>
          <t>1930-05-10</t>
        </is>
      </c>
    </row>
    <row r="11116">
      <c r="A11116" s="1" t="n">
        <v>11115</v>
      </c>
      <c r="B11116">
        <f>TEXT(11115, "[$-0E0000]yyyy-mm-dd")</f>
        <v/>
      </c>
      <c r="C11116" t="inlineStr">
        <is>
          <t>1930-05-11</t>
        </is>
      </c>
    </row>
    <row r="11117">
      <c r="A11117" s="1" t="n">
        <v>11116</v>
      </c>
      <c r="B11117">
        <f>TEXT(11116, "[$-0E0000]yyyy-mm-dd")</f>
        <v/>
      </c>
      <c r="C11117" t="inlineStr">
        <is>
          <t>1930-05-12</t>
        </is>
      </c>
    </row>
    <row r="11118">
      <c r="A11118" s="1" t="n">
        <v>11117</v>
      </c>
      <c r="B11118">
        <f>TEXT(11117, "[$-0E0000]yyyy-mm-dd")</f>
        <v/>
      </c>
      <c r="C11118" t="inlineStr">
        <is>
          <t>1930-05-13</t>
        </is>
      </c>
    </row>
    <row r="11119">
      <c r="A11119" s="1" t="n">
        <v>11118</v>
      </c>
      <c r="B11119">
        <f>TEXT(11118, "[$-0E0000]yyyy-mm-dd")</f>
        <v/>
      </c>
      <c r="C11119" t="inlineStr">
        <is>
          <t>1930-05-14</t>
        </is>
      </c>
    </row>
    <row r="11120">
      <c r="A11120" s="1" t="n">
        <v>11119</v>
      </c>
      <c r="B11120">
        <f>TEXT(11119, "[$-0E0000]yyyy-mm-dd")</f>
        <v/>
      </c>
      <c r="C11120" t="inlineStr">
        <is>
          <t>1930-05-15</t>
        </is>
      </c>
    </row>
    <row r="11121">
      <c r="A11121" s="1" t="n">
        <v>11120</v>
      </c>
      <c r="B11121">
        <f>TEXT(11120, "[$-0E0000]yyyy-mm-dd")</f>
        <v/>
      </c>
      <c r="C11121" t="inlineStr">
        <is>
          <t>1930-05-16</t>
        </is>
      </c>
    </row>
    <row r="11122">
      <c r="A11122" s="1" t="n">
        <v>11121</v>
      </c>
      <c r="B11122">
        <f>TEXT(11121, "[$-0E0000]yyyy-mm-dd")</f>
        <v/>
      </c>
      <c r="C11122" t="inlineStr">
        <is>
          <t>1930-05-17</t>
        </is>
      </c>
    </row>
    <row r="11123">
      <c r="A11123" s="1" t="n">
        <v>11122</v>
      </c>
      <c r="B11123">
        <f>TEXT(11122, "[$-0E0000]yyyy-mm-dd")</f>
        <v/>
      </c>
      <c r="C11123" t="inlineStr">
        <is>
          <t>1930-05-18</t>
        </is>
      </c>
    </row>
    <row r="11124">
      <c r="A11124" s="1" t="n">
        <v>11123</v>
      </c>
      <c r="B11124">
        <f>TEXT(11123, "[$-0E0000]yyyy-mm-dd")</f>
        <v/>
      </c>
      <c r="C11124" t="inlineStr">
        <is>
          <t>1930-05-19</t>
        </is>
      </c>
    </row>
    <row r="11125">
      <c r="A11125" s="1" t="n">
        <v>11124</v>
      </c>
      <c r="B11125">
        <f>TEXT(11124, "[$-0E0000]yyyy-mm-dd")</f>
        <v/>
      </c>
      <c r="C11125" t="inlineStr">
        <is>
          <t>1930-05-20</t>
        </is>
      </c>
    </row>
    <row r="11126">
      <c r="A11126" s="1" t="n">
        <v>11125</v>
      </c>
      <c r="B11126">
        <f>TEXT(11125, "[$-0E0000]yyyy-mm-dd")</f>
        <v/>
      </c>
      <c r="C11126" t="inlineStr">
        <is>
          <t>1930-05-21</t>
        </is>
      </c>
    </row>
    <row r="11127">
      <c r="A11127" s="1" t="n">
        <v>11126</v>
      </c>
      <c r="B11127">
        <f>TEXT(11126, "[$-0E0000]yyyy-mm-dd")</f>
        <v/>
      </c>
      <c r="C11127" t="inlineStr">
        <is>
          <t>1930-05-22</t>
        </is>
      </c>
    </row>
    <row r="11128">
      <c r="A11128" s="1" t="n">
        <v>11127</v>
      </c>
      <c r="B11128">
        <f>TEXT(11127, "[$-0E0000]yyyy-mm-dd")</f>
        <v/>
      </c>
      <c r="C11128" t="inlineStr">
        <is>
          <t>1930-05-23</t>
        </is>
      </c>
    </row>
    <row r="11129">
      <c r="A11129" s="1" t="n">
        <v>11128</v>
      </c>
      <c r="B11129">
        <f>TEXT(11128, "[$-0E0000]yyyy-mm-dd")</f>
        <v/>
      </c>
      <c r="C11129" t="inlineStr">
        <is>
          <t>1930-05-24</t>
        </is>
      </c>
    </row>
    <row r="11130">
      <c r="A11130" s="1" t="n">
        <v>11129</v>
      </c>
      <c r="B11130">
        <f>TEXT(11129, "[$-0E0000]yyyy-mm-dd")</f>
        <v/>
      </c>
      <c r="C11130" t="inlineStr">
        <is>
          <t>1930-05-25</t>
        </is>
      </c>
    </row>
    <row r="11131">
      <c r="A11131" s="1" t="n">
        <v>11130</v>
      </c>
      <c r="B11131">
        <f>TEXT(11130, "[$-0E0000]yyyy-mm-dd")</f>
        <v/>
      </c>
      <c r="C11131" t="inlineStr">
        <is>
          <t>1930-05-26</t>
        </is>
      </c>
    </row>
    <row r="11132">
      <c r="A11132" s="1" t="n">
        <v>11131</v>
      </c>
      <c r="B11132">
        <f>TEXT(11131, "[$-0E0000]yyyy-mm-dd")</f>
        <v/>
      </c>
      <c r="C11132" t="inlineStr">
        <is>
          <t>1930-05-27</t>
        </is>
      </c>
    </row>
    <row r="11133">
      <c r="A11133" s="1" t="n">
        <v>11132</v>
      </c>
      <c r="B11133">
        <f>TEXT(11132, "[$-0E0000]yyyy-mm-dd")</f>
        <v/>
      </c>
      <c r="C11133" t="inlineStr">
        <is>
          <t>1930-05-28</t>
        </is>
      </c>
    </row>
    <row r="11134">
      <c r="A11134" s="1" t="n">
        <v>11133</v>
      </c>
      <c r="B11134">
        <f>TEXT(11133, "[$-0E0000]yyyy-mm-dd")</f>
        <v/>
      </c>
      <c r="C11134" t="inlineStr">
        <is>
          <t>1930-05-29</t>
        </is>
      </c>
    </row>
    <row r="11135">
      <c r="A11135" s="1" t="n">
        <v>11134</v>
      </c>
      <c r="B11135">
        <f>TEXT(11134, "[$-0E0000]yyyy-mm-dd")</f>
        <v/>
      </c>
      <c r="C11135" t="inlineStr">
        <is>
          <t>1930-06-01</t>
        </is>
      </c>
    </row>
    <row r="11136">
      <c r="A11136" s="1" t="n">
        <v>11135</v>
      </c>
      <c r="B11136">
        <f>TEXT(11135, "[$-0E0000]yyyy-mm-dd")</f>
        <v/>
      </c>
      <c r="C11136" t="inlineStr">
        <is>
          <t>1930-06-02</t>
        </is>
      </c>
    </row>
    <row r="11137">
      <c r="A11137" s="1" t="n">
        <v>11136</v>
      </c>
      <c r="B11137">
        <f>TEXT(11136, "[$-0E0000]yyyy-mm-dd")</f>
        <v/>
      </c>
      <c r="C11137" t="inlineStr">
        <is>
          <t>1930-06-03</t>
        </is>
      </c>
    </row>
    <row r="11138">
      <c r="A11138" s="1" t="n">
        <v>11137</v>
      </c>
      <c r="B11138">
        <f>TEXT(11137, "[$-0E0000]yyyy-mm-dd")</f>
        <v/>
      </c>
      <c r="C11138" t="inlineStr">
        <is>
          <t>1930-06-04</t>
        </is>
      </c>
    </row>
    <row r="11139">
      <c r="A11139" s="1" t="n">
        <v>11138</v>
      </c>
      <c r="B11139">
        <f>TEXT(11138, "[$-0E0000]yyyy-mm-dd")</f>
        <v/>
      </c>
      <c r="C11139" t="inlineStr">
        <is>
          <t>1930-06-05</t>
        </is>
      </c>
    </row>
    <row r="11140">
      <c r="A11140" s="1" t="n">
        <v>11139</v>
      </c>
      <c r="B11140">
        <f>TEXT(11139, "[$-0E0000]yyyy-mm-dd")</f>
        <v/>
      </c>
      <c r="C11140" t="inlineStr">
        <is>
          <t>1930-06-06</t>
        </is>
      </c>
    </row>
    <row r="11141">
      <c r="A11141" s="1" t="n">
        <v>11140</v>
      </c>
      <c r="B11141">
        <f>TEXT(11140, "[$-0E0000]yyyy-mm-dd")</f>
        <v/>
      </c>
      <c r="C11141" t="inlineStr">
        <is>
          <t>1930-06-07</t>
        </is>
      </c>
    </row>
    <row r="11142">
      <c r="A11142" s="1" t="n">
        <v>11141</v>
      </c>
      <c r="B11142">
        <f>TEXT(11141, "[$-0E0000]yyyy-mm-dd")</f>
        <v/>
      </c>
      <c r="C11142" t="inlineStr">
        <is>
          <t>1930-06-08</t>
        </is>
      </c>
    </row>
    <row r="11143">
      <c r="A11143" s="1" t="n">
        <v>11142</v>
      </c>
      <c r="B11143">
        <f>TEXT(11142, "[$-0E0000]yyyy-mm-dd")</f>
        <v/>
      </c>
      <c r="C11143" t="inlineStr">
        <is>
          <t>1930-06-09</t>
        </is>
      </c>
    </row>
    <row r="11144">
      <c r="A11144" s="1" t="n">
        <v>11143</v>
      </c>
      <c r="B11144">
        <f>TEXT(11143, "[$-0E0000]yyyy-mm-dd")</f>
        <v/>
      </c>
      <c r="C11144" t="inlineStr">
        <is>
          <t>1930-06-10</t>
        </is>
      </c>
    </row>
    <row r="11145">
      <c r="A11145" s="1" t="n">
        <v>11144</v>
      </c>
      <c r="B11145">
        <f>TEXT(11144, "[$-0E0000]yyyy-mm-dd")</f>
        <v/>
      </c>
      <c r="C11145" t="inlineStr">
        <is>
          <t>1930-06-11</t>
        </is>
      </c>
    </row>
    <row r="11146">
      <c r="A11146" s="1" t="n">
        <v>11145</v>
      </c>
      <c r="B11146">
        <f>TEXT(11145, "[$-0E0000]yyyy-mm-dd")</f>
        <v/>
      </c>
      <c r="C11146" t="inlineStr">
        <is>
          <t>1930-06-12</t>
        </is>
      </c>
    </row>
    <row r="11147">
      <c r="A11147" s="1" t="n">
        <v>11146</v>
      </c>
      <c r="B11147">
        <f>TEXT(11146, "[$-0E0000]yyyy-mm-dd")</f>
        <v/>
      </c>
      <c r="C11147" t="inlineStr">
        <is>
          <t>1930-06-13</t>
        </is>
      </c>
    </row>
    <row r="11148">
      <c r="A11148" s="1" t="n">
        <v>11147</v>
      </c>
      <c r="B11148">
        <f>TEXT(11147, "[$-0E0000]yyyy-mm-dd")</f>
        <v/>
      </c>
      <c r="C11148" t="inlineStr">
        <is>
          <t>1930-06-14</t>
        </is>
      </c>
    </row>
    <row r="11149">
      <c r="A11149" s="1" t="n">
        <v>11148</v>
      </c>
      <c r="B11149">
        <f>TEXT(11148, "[$-0E0000]yyyy-mm-dd")</f>
        <v/>
      </c>
      <c r="C11149" t="inlineStr">
        <is>
          <t>1930-06-15</t>
        </is>
      </c>
    </row>
    <row r="11150">
      <c r="A11150" s="1" t="n">
        <v>11149</v>
      </c>
      <c r="B11150">
        <f>TEXT(11149, "[$-0E0000]yyyy-mm-dd")</f>
        <v/>
      </c>
      <c r="C11150" t="inlineStr">
        <is>
          <t>1930-06-16</t>
        </is>
      </c>
    </row>
    <row r="11151">
      <c r="A11151" s="1" t="n">
        <v>11150</v>
      </c>
      <c r="B11151">
        <f>TEXT(11150, "[$-0E0000]yyyy-mm-dd")</f>
        <v/>
      </c>
      <c r="C11151" t="inlineStr">
        <is>
          <t>1930-06-17</t>
        </is>
      </c>
    </row>
    <row r="11152">
      <c r="A11152" s="1" t="n">
        <v>11151</v>
      </c>
      <c r="B11152">
        <f>TEXT(11151, "[$-0E0000]yyyy-mm-dd")</f>
        <v/>
      </c>
      <c r="C11152" t="inlineStr">
        <is>
          <t>1930-06-18</t>
        </is>
      </c>
    </row>
    <row r="11153">
      <c r="A11153" s="1" t="n">
        <v>11152</v>
      </c>
      <c r="B11153">
        <f>TEXT(11152, "[$-0E0000]yyyy-mm-dd")</f>
        <v/>
      </c>
      <c r="C11153" t="inlineStr">
        <is>
          <t>1930-06-19</t>
        </is>
      </c>
    </row>
    <row r="11154">
      <c r="A11154" s="1" t="n">
        <v>11153</v>
      </c>
      <c r="B11154">
        <f>TEXT(11153, "[$-0E0000]yyyy-mm-dd")</f>
        <v/>
      </c>
      <c r="C11154" t="inlineStr">
        <is>
          <t>1930-06-20</t>
        </is>
      </c>
    </row>
    <row r="11155">
      <c r="A11155" s="1" t="n">
        <v>11154</v>
      </c>
      <c r="B11155">
        <f>TEXT(11154, "[$-0E0000]yyyy-mm-dd")</f>
        <v/>
      </c>
      <c r="C11155" t="inlineStr">
        <is>
          <t>1930-06-21</t>
        </is>
      </c>
    </row>
    <row r="11156">
      <c r="A11156" s="1" t="n">
        <v>11155</v>
      </c>
      <c r="B11156">
        <f>TEXT(11155, "[$-0E0000]yyyy-mm-dd")</f>
        <v/>
      </c>
      <c r="C11156" t="inlineStr">
        <is>
          <t>1930-06-22</t>
        </is>
      </c>
    </row>
    <row r="11157">
      <c r="A11157" s="1" t="n">
        <v>11156</v>
      </c>
      <c r="B11157">
        <f>TEXT(11156, "[$-0E0000]yyyy-mm-dd")</f>
        <v/>
      </c>
      <c r="C11157" t="inlineStr">
        <is>
          <t>1930-06-23</t>
        </is>
      </c>
    </row>
    <row r="11158">
      <c r="A11158" s="1" t="n">
        <v>11157</v>
      </c>
      <c r="B11158">
        <f>TEXT(11157, "[$-0E0000]yyyy-mm-dd")</f>
        <v/>
      </c>
      <c r="C11158" t="inlineStr">
        <is>
          <t>1930-06-24</t>
        </is>
      </c>
    </row>
    <row r="11159">
      <c r="A11159" s="1" t="n">
        <v>11158</v>
      </c>
      <c r="B11159">
        <f>TEXT(11158, "[$-0E0000]yyyy-mm-dd")</f>
        <v/>
      </c>
      <c r="C11159" t="inlineStr">
        <is>
          <t>1930-06-25</t>
        </is>
      </c>
    </row>
    <row r="11160">
      <c r="A11160" s="1" t="n">
        <v>11159</v>
      </c>
      <c r="B11160">
        <f>TEXT(11159, "[$-0E0000]yyyy-mm-dd")</f>
        <v/>
      </c>
      <c r="C11160" t="inlineStr">
        <is>
          <t>1930-06-26</t>
        </is>
      </c>
    </row>
    <row r="11161">
      <c r="A11161" s="1" t="n">
        <v>11160</v>
      </c>
      <c r="B11161">
        <f>TEXT(11160, "[$-0E0000]yyyy-mm-dd")</f>
        <v/>
      </c>
      <c r="C11161" t="inlineStr">
        <is>
          <t>1930-06-27</t>
        </is>
      </c>
    </row>
    <row r="11162">
      <c r="A11162" s="1" t="n">
        <v>11161</v>
      </c>
      <c r="B11162">
        <f>TEXT(11161, "[$-0E0000]yyyy-mm-dd")</f>
        <v/>
      </c>
      <c r="C11162" t="inlineStr">
        <is>
          <t>1930-06-28</t>
        </is>
      </c>
    </row>
    <row r="11163">
      <c r="A11163" s="1" t="n">
        <v>11162</v>
      </c>
      <c r="B11163">
        <f>TEXT(11162, "[$-0E0000]yyyy-mm-dd")</f>
        <v/>
      </c>
      <c r="C11163" t="inlineStr">
        <is>
          <t>1930-06-29</t>
        </is>
      </c>
    </row>
    <row r="11164">
      <c r="A11164" s="1" t="n">
        <v>11163</v>
      </c>
      <c r="B11164">
        <f>TEXT(11163, "[$-0E0000]yyyy-mm-dd")</f>
        <v/>
      </c>
      <c r="C11164" t="inlineStr">
        <is>
          <t>1930-06-30</t>
        </is>
      </c>
    </row>
    <row r="11165">
      <c r="A11165" s="1" t="n">
        <v>11164</v>
      </c>
      <c r="B11165">
        <f>TEXT(11164, "[$-0E0000]yyyy-mm-dd")</f>
        <v/>
      </c>
      <c r="C11165" t="inlineStr">
        <is>
          <t>1930-06-01</t>
        </is>
      </c>
    </row>
    <row r="11166">
      <c r="A11166" s="1" t="n">
        <v>11165</v>
      </c>
      <c r="B11166">
        <f>TEXT(11165, "[$-0E0000]yyyy-mm-dd")</f>
        <v/>
      </c>
      <c r="C11166" t="inlineStr">
        <is>
          <t>1930-06-02</t>
        </is>
      </c>
    </row>
    <row r="11167">
      <c r="A11167" s="1" t="n">
        <v>11166</v>
      </c>
      <c r="B11167">
        <f>TEXT(11166, "[$-0E0000]yyyy-mm-dd")</f>
        <v/>
      </c>
      <c r="C11167" t="inlineStr">
        <is>
          <t>1930-06-03</t>
        </is>
      </c>
    </row>
    <row r="11168">
      <c r="A11168" s="1" t="n">
        <v>11167</v>
      </c>
      <c r="B11168">
        <f>TEXT(11167, "[$-0E0000]yyyy-mm-dd")</f>
        <v/>
      </c>
      <c r="C11168" t="inlineStr">
        <is>
          <t>1930-06-04</t>
        </is>
      </c>
    </row>
    <row r="11169">
      <c r="A11169" s="1" t="n">
        <v>11168</v>
      </c>
      <c r="B11169">
        <f>TEXT(11168, "[$-0E0000]yyyy-mm-dd")</f>
        <v/>
      </c>
      <c r="C11169" t="inlineStr">
        <is>
          <t>1930-06-05</t>
        </is>
      </c>
    </row>
    <row r="11170">
      <c r="A11170" s="1" t="n">
        <v>11169</v>
      </c>
      <c r="B11170">
        <f>TEXT(11169, "[$-0E0000]yyyy-mm-dd")</f>
        <v/>
      </c>
      <c r="C11170" t="inlineStr">
        <is>
          <t>1930-06-06</t>
        </is>
      </c>
    </row>
    <row r="11171">
      <c r="A11171" s="1" t="n">
        <v>11170</v>
      </c>
      <c r="B11171">
        <f>TEXT(11170, "[$-0E0000]yyyy-mm-dd")</f>
        <v/>
      </c>
      <c r="C11171" t="inlineStr">
        <is>
          <t>1930-06-07</t>
        </is>
      </c>
    </row>
    <row r="11172">
      <c r="A11172" s="1" t="n">
        <v>11171</v>
      </c>
      <c r="B11172">
        <f>TEXT(11171, "[$-0E0000]yyyy-mm-dd")</f>
        <v/>
      </c>
      <c r="C11172" t="inlineStr">
        <is>
          <t>1930-06-08</t>
        </is>
      </c>
    </row>
    <row r="11173">
      <c r="A11173" s="1" t="n">
        <v>11172</v>
      </c>
      <c r="B11173">
        <f>TEXT(11172, "[$-0E0000]yyyy-mm-dd")</f>
        <v/>
      </c>
      <c r="C11173" t="inlineStr">
        <is>
          <t>1930-06-09</t>
        </is>
      </c>
    </row>
    <row r="11174">
      <c r="A11174" s="1" t="n">
        <v>11173</v>
      </c>
      <c r="B11174">
        <f>TEXT(11173, "[$-0E0000]yyyy-mm-dd")</f>
        <v/>
      </c>
      <c r="C11174" t="inlineStr">
        <is>
          <t>1930-06-10</t>
        </is>
      </c>
    </row>
    <row r="11175">
      <c r="A11175" s="1" t="n">
        <v>11174</v>
      </c>
      <c r="B11175">
        <f>TEXT(11174, "[$-0E0000]yyyy-mm-dd")</f>
        <v/>
      </c>
      <c r="C11175" t="inlineStr">
        <is>
          <t>1930-06-11</t>
        </is>
      </c>
    </row>
    <row r="11176">
      <c r="A11176" s="1" t="n">
        <v>11175</v>
      </c>
      <c r="B11176">
        <f>TEXT(11175, "[$-0E0000]yyyy-mm-dd")</f>
        <v/>
      </c>
      <c r="C11176" t="inlineStr">
        <is>
          <t>1930-06-12</t>
        </is>
      </c>
    </row>
    <row r="11177">
      <c r="A11177" s="1" t="n">
        <v>11176</v>
      </c>
      <c r="B11177">
        <f>TEXT(11176, "[$-0E0000]yyyy-mm-dd")</f>
        <v/>
      </c>
      <c r="C11177" t="inlineStr">
        <is>
          <t>1930-06-13</t>
        </is>
      </c>
    </row>
    <row r="11178">
      <c r="A11178" s="1" t="n">
        <v>11177</v>
      </c>
      <c r="B11178">
        <f>TEXT(11177, "[$-0E0000]yyyy-mm-dd")</f>
        <v/>
      </c>
      <c r="C11178" t="inlineStr">
        <is>
          <t>1930-06-14</t>
        </is>
      </c>
    </row>
    <row r="11179">
      <c r="A11179" s="1" t="n">
        <v>11178</v>
      </c>
      <c r="B11179">
        <f>TEXT(11178, "[$-0E0000]yyyy-mm-dd")</f>
        <v/>
      </c>
      <c r="C11179" t="inlineStr">
        <is>
          <t>1930-06-15</t>
        </is>
      </c>
    </row>
    <row r="11180">
      <c r="A11180" s="1" t="n">
        <v>11179</v>
      </c>
      <c r="B11180">
        <f>TEXT(11179, "[$-0E0000]yyyy-mm-dd")</f>
        <v/>
      </c>
      <c r="C11180" t="inlineStr">
        <is>
          <t>1930-06-16</t>
        </is>
      </c>
    </row>
    <row r="11181">
      <c r="A11181" s="1" t="n">
        <v>11180</v>
      </c>
      <c r="B11181">
        <f>TEXT(11180, "[$-0E0000]yyyy-mm-dd")</f>
        <v/>
      </c>
      <c r="C11181" t="inlineStr">
        <is>
          <t>1930-06-17</t>
        </is>
      </c>
    </row>
    <row r="11182">
      <c r="A11182" s="1" t="n">
        <v>11181</v>
      </c>
      <c r="B11182">
        <f>TEXT(11181, "[$-0E0000]yyyy-mm-dd")</f>
        <v/>
      </c>
      <c r="C11182" t="inlineStr">
        <is>
          <t>1930-06-18</t>
        </is>
      </c>
    </row>
    <row r="11183">
      <c r="A11183" s="1" t="n">
        <v>11182</v>
      </c>
      <c r="B11183">
        <f>TEXT(11182, "[$-0E0000]yyyy-mm-dd")</f>
        <v/>
      </c>
      <c r="C11183" t="inlineStr">
        <is>
          <t>1930-06-19</t>
        </is>
      </c>
    </row>
    <row r="11184">
      <c r="A11184" s="1" t="n">
        <v>11183</v>
      </c>
      <c r="B11184">
        <f>TEXT(11183, "[$-0E0000]yyyy-mm-dd")</f>
        <v/>
      </c>
      <c r="C11184" t="inlineStr">
        <is>
          <t>1930-06-20</t>
        </is>
      </c>
    </row>
    <row r="11185">
      <c r="A11185" s="1" t="n">
        <v>11184</v>
      </c>
      <c r="B11185">
        <f>TEXT(11184, "[$-0E0000]yyyy-mm-dd")</f>
        <v/>
      </c>
      <c r="C11185" t="inlineStr">
        <is>
          <t>1930-06-21</t>
        </is>
      </c>
    </row>
    <row r="11186">
      <c r="A11186" s="1" t="n">
        <v>11185</v>
      </c>
      <c r="B11186">
        <f>TEXT(11185, "[$-0E0000]yyyy-mm-dd")</f>
        <v/>
      </c>
      <c r="C11186" t="inlineStr">
        <is>
          <t>1930-06-22</t>
        </is>
      </c>
    </row>
    <row r="11187">
      <c r="A11187" s="1" t="n">
        <v>11186</v>
      </c>
      <c r="B11187">
        <f>TEXT(11186, "[$-0E0000]yyyy-mm-dd")</f>
        <v/>
      </c>
      <c r="C11187" t="inlineStr">
        <is>
          <t>1930-06-23</t>
        </is>
      </c>
    </row>
    <row r="11188">
      <c r="A11188" s="1" t="n">
        <v>11187</v>
      </c>
      <c r="B11188">
        <f>TEXT(11187, "[$-0E0000]yyyy-mm-dd")</f>
        <v/>
      </c>
      <c r="C11188" t="inlineStr">
        <is>
          <t>1930-06-24</t>
        </is>
      </c>
    </row>
    <row r="11189">
      <c r="A11189" s="1" t="n">
        <v>11188</v>
      </c>
      <c r="B11189">
        <f>TEXT(11188, "[$-0E0000]yyyy-mm-dd")</f>
        <v/>
      </c>
      <c r="C11189" t="inlineStr">
        <is>
          <t>1930-06-25</t>
        </is>
      </c>
    </row>
    <row r="11190">
      <c r="A11190" s="1" t="n">
        <v>11189</v>
      </c>
      <c r="B11190">
        <f>TEXT(11189, "[$-0E0000]yyyy-mm-dd")</f>
        <v/>
      </c>
      <c r="C11190" t="inlineStr">
        <is>
          <t>1930-06-26</t>
        </is>
      </c>
    </row>
    <row r="11191">
      <c r="A11191" s="1" t="n">
        <v>11190</v>
      </c>
      <c r="B11191">
        <f>TEXT(11190, "[$-0E0000]yyyy-mm-dd")</f>
        <v/>
      </c>
      <c r="C11191" t="inlineStr">
        <is>
          <t>1930-06-27</t>
        </is>
      </c>
    </row>
    <row r="11192">
      <c r="A11192" s="1" t="n">
        <v>11191</v>
      </c>
      <c r="B11192">
        <f>TEXT(11191, "[$-0E0000]yyyy-mm-dd")</f>
        <v/>
      </c>
      <c r="C11192" t="inlineStr">
        <is>
          <t>1930-06-28</t>
        </is>
      </c>
    </row>
    <row r="11193">
      <c r="A11193" s="1" t="n">
        <v>11192</v>
      </c>
      <c r="B11193">
        <f>TEXT(11192, "[$-0E0000]yyyy-mm-dd")</f>
        <v/>
      </c>
      <c r="C11193" t="inlineStr">
        <is>
          <t>1930-06-29</t>
        </is>
      </c>
    </row>
    <row r="11194">
      <c r="A11194" s="1" t="n">
        <v>11193</v>
      </c>
      <c r="B11194">
        <f>TEXT(11193, "[$-0E0000]yyyy-mm-dd")</f>
        <v/>
      </c>
      <c r="C11194" t="inlineStr">
        <is>
          <t>1930-07-01</t>
        </is>
      </c>
    </row>
    <row r="11195">
      <c r="A11195" s="1" t="n">
        <v>11194</v>
      </c>
      <c r="B11195">
        <f>TEXT(11194, "[$-0E0000]yyyy-mm-dd")</f>
        <v/>
      </c>
      <c r="C11195" t="inlineStr">
        <is>
          <t>1930-07-02</t>
        </is>
      </c>
    </row>
    <row r="11196">
      <c r="A11196" s="1" t="n">
        <v>11195</v>
      </c>
      <c r="B11196">
        <f>TEXT(11195, "[$-0E0000]yyyy-mm-dd")</f>
        <v/>
      </c>
      <c r="C11196" t="inlineStr">
        <is>
          <t>1930-07-03</t>
        </is>
      </c>
    </row>
    <row r="11197">
      <c r="A11197" s="1" t="n">
        <v>11196</v>
      </c>
      <c r="B11197">
        <f>TEXT(11196, "[$-0E0000]yyyy-mm-dd")</f>
        <v/>
      </c>
      <c r="C11197" t="inlineStr">
        <is>
          <t>1930-07-04</t>
        </is>
      </c>
    </row>
    <row r="11198">
      <c r="A11198" s="1" t="n">
        <v>11197</v>
      </c>
      <c r="B11198">
        <f>TEXT(11197, "[$-0E0000]yyyy-mm-dd")</f>
        <v/>
      </c>
      <c r="C11198" t="inlineStr">
        <is>
          <t>1930-07-05</t>
        </is>
      </c>
    </row>
    <row r="11199">
      <c r="A11199" s="1" t="n">
        <v>11198</v>
      </c>
      <c r="B11199">
        <f>TEXT(11198, "[$-0E0000]yyyy-mm-dd")</f>
        <v/>
      </c>
      <c r="C11199" t="inlineStr">
        <is>
          <t>1930-07-06</t>
        </is>
      </c>
    </row>
    <row r="11200">
      <c r="A11200" s="1" t="n">
        <v>11199</v>
      </c>
      <c r="B11200">
        <f>TEXT(11199, "[$-0E0000]yyyy-mm-dd")</f>
        <v/>
      </c>
      <c r="C11200" t="inlineStr">
        <is>
          <t>1930-07-07</t>
        </is>
      </c>
    </row>
    <row r="11201">
      <c r="A11201" s="1" t="n">
        <v>11200</v>
      </c>
      <c r="B11201">
        <f>TEXT(11200, "[$-0E0000]yyyy-mm-dd")</f>
        <v/>
      </c>
      <c r="C11201" t="inlineStr">
        <is>
          <t>1930-07-08</t>
        </is>
      </c>
    </row>
    <row r="11202">
      <c r="A11202" s="1" t="n">
        <v>11201</v>
      </c>
      <c r="B11202">
        <f>TEXT(11201, "[$-0E0000]yyyy-mm-dd")</f>
        <v/>
      </c>
      <c r="C11202" t="inlineStr">
        <is>
          <t>1930-07-09</t>
        </is>
      </c>
    </row>
    <row r="11203">
      <c r="A11203" s="1" t="n">
        <v>11202</v>
      </c>
      <c r="B11203">
        <f>TEXT(11202, "[$-0E0000]yyyy-mm-dd")</f>
        <v/>
      </c>
      <c r="C11203" t="inlineStr">
        <is>
          <t>1930-07-10</t>
        </is>
      </c>
    </row>
    <row r="11204">
      <c r="A11204" s="1" t="n">
        <v>11203</v>
      </c>
      <c r="B11204">
        <f>TEXT(11203, "[$-0E0000]yyyy-mm-dd")</f>
        <v/>
      </c>
      <c r="C11204" t="inlineStr">
        <is>
          <t>1930-07-11</t>
        </is>
      </c>
    </row>
    <row r="11205">
      <c r="A11205" s="1" t="n">
        <v>11204</v>
      </c>
      <c r="B11205">
        <f>TEXT(11204, "[$-0E0000]yyyy-mm-dd")</f>
        <v/>
      </c>
      <c r="C11205" t="inlineStr">
        <is>
          <t>1930-07-12</t>
        </is>
      </c>
    </row>
    <row r="11206">
      <c r="A11206" s="1" t="n">
        <v>11205</v>
      </c>
      <c r="B11206">
        <f>TEXT(11205, "[$-0E0000]yyyy-mm-dd")</f>
        <v/>
      </c>
      <c r="C11206" t="inlineStr">
        <is>
          <t>1930-07-13</t>
        </is>
      </c>
    </row>
    <row r="11207">
      <c r="A11207" s="1" t="n">
        <v>11206</v>
      </c>
      <c r="B11207">
        <f>TEXT(11206, "[$-0E0000]yyyy-mm-dd")</f>
        <v/>
      </c>
      <c r="C11207" t="inlineStr">
        <is>
          <t>1930-07-14</t>
        </is>
      </c>
    </row>
    <row r="11208">
      <c r="A11208" s="1" t="n">
        <v>11207</v>
      </c>
      <c r="B11208">
        <f>TEXT(11207, "[$-0E0000]yyyy-mm-dd")</f>
        <v/>
      </c>
      <c r="C11208" t="inlineStr">
        <is>
          <t>1930-07-15</t>
        </is>
      </c>
    </row>
    <row r="11209">
      <c r="A11209" s="1" t="n">
        <v>11208</v>
      </c>
      <c r="B11209">
        <f>TEXT(11208, "[$-0E0000]yyyy-mm-dd")</f>
        <v/>
      </c>
      <c r="C11209" t="inlineStr">
        <is>
          <t>1930-07-16</t>
        </is>
      </c>
    </row>
    <row r="11210">
      <c r="A11210" s="1" t="n">
        <v>11209</v>
      </c>
      <c r="B11210">
        <f>TEXT(11209, "[$-0E0000]yyyy-mm-dd")</f>
        <v/>
      </c>
      <c r="C11210" t="inlineStr">
        <is>
          <t>1930-07-17</t>
        </is>
      </c>
    </row>
    <row r="11211">
      <c r="A11211" s="1" t="n">
        <v>11210</v>
      </c>
      <c r="B11211">
        <f>TEXT(11210, "[$-0E0000]yyyy-mm-dd")</f>
        <v/>
      </c>
      <c r="C11211" t="inlineStr">
        <is>
          <t>1930-07-18</t>
        </is>
      </c>
    </row>
    <row r="11212">
      <c r="A11212" s="1" t="n">
        <v>11211</v>
      </c>
      <c r="B11212">
        <f>TEXT(11211, "[$-0E0000]yyyy-mm-dd")</f>
        <v/>
      </c>
      <c r="C11212" t="inlineStr">
        <is>
          <t>1930-07-19</t>
        </is>
      </c>
    </row>
    <row r="11213">
      <c r="A11213" s="1" t="n">
        <v>11212</v>
      </c>
      <c r="B11213">
        <f>TEXT(11212, "[$-0E0000]yyyy-mm-dd")</f>
        <v/>
      </c>
      <c r="C11213" t="inlineStr">
        <is>
          <t>1930-07-20</t>
        </is>
      </c>
    </row>
    <row r="11214">
      <c r="A11214" s="1" t="n">
        <v>11213</v>
      </c>
      <c r="B11214">
        <f>TEXT(11213, "[$-0E0000]yyyy-mm-dd")</f>
        <v/>
      </c>
      <c r="C11214" t="inlineStr">
        <is>
          <t>1930-07-21</t>
        </is>
      </c>
    </row>
    <row r="11215">
      <c r="A11215" s="1" t="n">
        <v>11214</v>
      </c>
      <c r="B11215">
        <f>TEXT(11214, "[$-0E0000]yyyy-mm-dd")</f>
        <v/>
      </c>
      <c r="C11215" t="inlineStr">
        <is>
          <t>1930-07-22</t>
        </is>
      </c>
    </row>
    <row r="11216">
      <c r="A11216" s="1" t="n">
        <v>11215</v>
      </c>
      <c r="B11216">
        <f>TEXT(11215, "[$-0E0000]yyyy-mm-dd")</f>
        <v/>
      </c>
      <c r="C11216" t="inlineStr">
        <is>
          <t>1930-07-23</t>
        </is>
      </c>
    </row>
    <row r="11217">
      <c r="A11217" s="1" t="n">
        <v>11216</v>
      </c>
      <c r="B11217">
        <f>TEXT(11216, "[$-0E0000]yyyy-mm-dd")</f>
        <v/>
      </c>
      <c r="C11217" t="inlineStr">
        <is>
          <t>1930-07-24</t>
        </is>
      </c>
    </row>
    <row r="11218">
      <c r="A11218" s="1" t="n">
        <v>11217</v>
      </c>
      <c r="B11218">
        <f>TEXT(11217, "[$-0E0000]yyyy-mm-dd")</f>
        <v/>
      </c>
      <c r="C11218" t="inlineStr">
        <is>
          <t>1930-07-25</t>
        </is>
      </c>
    </row>
    <row r="11219">
      <c r="A11219" s="1" t="n">
        <v>11218</v>
      </c>
      <c r="B11219">
        <f>TEXT(11218, "[$-0E0000]yyyy-mm-dd")</f>
        <v/>
      </c>
      <c r="C11219" t="inlineStr">
        <is>
          <t>1930-07-26</t>
        </is>
      </c>
    </row>
    <row r="11220">
      <c r="A11220" s="1" t="n">
        <v>11219</v>
      </c>
      <c r="B11220">
        <f>TEXT(11219, "[$-0E0000]yyyy-mm-dd")</f>
        <v/>
      </c>
      <c r="C11220" t="inlineStr">
        <is>
          <t>1930-07-27</t>
        </is>
      </c>
    </row>
    <row r="11221">
      <c r="A11221" s="1" t="n">
        <v>11220</v>
      </c>
      <c r="B11221">
        <f>TEXT(11220, "[$-0E0000]yyyy-mm-dd")</f>
        <v/>
      </c>
      <c r="C11221" t="inlineStr">
        <is>
          <t>1930-07-28</t>
        </is>
      </c>
    </row>
    <row r="11222">
      <c r="A11222" s="1" t="n">
        <v>11221</v>
      </c>
      <c r="B11222">
        <f>TEXT(11221, "[$-0E0000]yyyy-mm-dd")</f>
        <v/>
      </c>
      <c r="C11222" t="inlineStr">
        <is>
          <t>1930-07-29</t>
        </is>
      </c>
    </row>
    <row r="11223">
      <c r="A11223" s="1" t="n">
        <v>11222</v>
      </c>
      <c r="B11223">
        <f>TEXT(11222, "[$-0E0000]yyyy-mm-dd")</f>
        <v/>
      </c>
      <c r="C11223" t="inlineStr">
        <is>
          <t>1930-08-01</t>
        </is>
      </c>
    </row>
    <row r="11224">
      <c r="A11224" s="1" t="n">
        <v>11223</v>
      </c>
      <c r="B11224">
        <f>TEXT(11223, "[$-0E0000]yyyy-mm-dd")</f>
        <v/>
      </c>
      <c r="C11224" t="inlineStr">
        <is>
          <t>1930-08-02</t>
        </is>
      </c>
    </row>
    <row r="11225">
      <c r="A11225" s="1" t="n">
        <v>11224</v>
      </c>
      <c r="B11225">
        <f>TEXT(11224, "[$-0E0000]yyyy-mm-dd")</f>
        <v/>
      </c>
      <c r="C11225" t="inlineStr">
        <is>
          <t>1930-08-03</t>
        </is>
      </c>
    </row>
    <row r="11226">
      <c r="A11226" s="1" t="n">
        <v>11225</v>
      </c>
      <c r="B11226">
        <f>TEXT(11225, "[$-0E0000]yyyy-mm-dd")</f>
        <v/>
      </c>
      <c r="C11226" t="inlineStr">
        <is>
          <t>1930-08-04</t>
        </is>
      </c>
    </row>
    <row r="11227">
      <c r="A11227" s="1" t="n">
        <v>11226</v>
      </c>
      <c r="B11227">
        <f>TEXT(11226, "[$-0E0000]yyyy-mm-dd")</f>
        <v/>
      </c>
      <c r="C11227" t="inlineStr">
        <is>
          <t>1930-08-05</t>
        </is>
      </c>
    </row>
    <row r="11228">
      <c r="A11228" s="1" t="n">
        <v>11227</v>
      </c>
      <c r="B11228">
        <f>TEXT(11227, "[$-0E0000]yyyy-mm-dd")</f>
        <v/>
      </c>
      <c r="C11228" t="inlineStr">
        <is>
          <t>1930-08-06</t>
        </is>
      </c>
    </row>
    <row r="11229">
      <c r="A11229" s="1" t="n">
        <v>11228</v>
      </c>
      <c r="B11229">
        <f>TEXT(11228, "[$-0E0000]yyyy-mm-dd")</f>
        <v/>
      </c>
      <c r="C11229" t="inlineStr">
        <is>
          <t>1930-08-07</t>
        </is>
      </c>
    </row>
    <row r="11230">
      <c r="A11230" s="1" t="n">
        <v>11229</v>
      </c>
      <c r="B11230">
        <f>TEXT(11229, "[$-0E0000]yyyy-mm-dd")</f>
        <v/>
      </c>
      <c r="C11230" t="inlineStr">
        <is>
          <t>1930-08-08</t>
        </is>
      </c>
    </row>
    <row r="11231">
      <c r="A11231" s="1" t="n">
        <v>11230</v>
      </c>
      <c r="B11231">
        <f>TEXT(11230, "[$-0E0000]yyyy-mm-dd")</f>
        <v/>
      </c>
      <c r="C11231" t="inlineStr">
        <is>
          <t>1930-08-09</t>
        </is>
      </c>
    </row>
    <row r="11232">
      <c r="A11232" s="1" t="n">
        <v>11231</v>
      </c>
      <c r="B11232">
        <f>TEXT(11231, "[$-0E0000]yyyy-mm-dd")</f>
        <v/>
      </c>
      <c r="C11232" t="inlineStr">
        <is>
          <t>1930-08-10</t>
        </is>
      </c>
    </row>
    <row r="11233">
      <c r="A11233" s="1" t="n">
        <v>11232</v>
      </c>
      <c r="B11233">
        <f>TEXT(11232, "[$-0E0000]yyyy-mm-dd")</f>
        <v/>
      </c>
      <c r="C11233" t="inlineStr">
        <is>
          <t>1930-08-11</t>
        </is>
      </c>
    </row>
    <row r="11234">
      <c r="A11234" s="1" t="n">
        <v>11233</v>
      </c>
      <c r="B11234">
        <f>TEXT(11233, "[$-0E0000]yyyy-mm-dd")</f>
        <v/>
      </c>
      <c r="C11234" t="inlineStr">
        <is>
          <t>1930-08-12</t>
        </is>
      </c>
    </row>
    <row r="11235">
      <c r="A11235" s="1" t="n">
        <v>11234</v>
      </c>
      <c r="B11235">
        <f>TEXT(11234, "[$-0E0000]yyyy-mm-dd")</f>
        <v/>
      </c>
      <c r="C11235" t="inlineStr">
        <is>
          <t>1930-08-13</t>
        </is>
      </c>
    </row>
    <row r="11236">
      <c r="A11236" s="1" t="n">
        <v>11235</v>
      </c>
      <c r="B11236">
        <f>TEXT(11235, "[$-0E0000]yyyy-mm-dd")</f>
        <v/>
      </c>
      <c r="C11236" t="inlineStr">
        <is>
          <t>1930-08-14</t>
        </is>
      </c>
    </row>
    <row r="11237">
      <c r="A11237" s="1" t="n">
        <v>11236</v>
      </c>
      <c r="B11237">
        <f>TEXT(11236, "[$-0E0000]yyyy-mm-dd")</f>
        <v/>
      </c>
      <c r="C11237" t="inlineStr">
        <is>
          <t>1930-08-15</t>
        </is>
      </c>
    </row>
    <row r="11238">
      <c r="A11238" s="1" t="n">
        <v>11237</v>
      </c>
      <c r="B11238">
        <f>TEXT(11237, "[$-0E0000]yyyy-mm-dd")</f>
        <v/>
      </c>
      <c r="C11238" t="inlineStr">
        <is>
          <t>1930-08-16</t>
        </is>
      </c>
    </row>
    <row r="11239">
      <c r="A11239" s="1" t="n">
        <v>11238</v>
      </c>
      <c r="B11239">
        <f>TEXT(11238, "[$-0E0000]yyyy-mm-dd")</f>
        <v/>
      </c>
      <c r="C11239" t="inlineStr">
        <is>
          <t>1930-08-17</t>
        </is>
      </c>
    </row>
    <row r="11240">
      <c r="A11240" s="1" t="n">
        <v>11239</v>
      </c>
      <c r="B11240">
        <f>TEXT(11239, "[$-0E0000]yyyy-mm-dd")</f>
        <v/>
      </c>
      <c r="C11240" t="inlineStr">
        <is>
          <t>1930-08-18</t>
        </is>
      </c>
    </row>
    <row r="11241">
      <c r="A11241" s="1" t="n">
        <v>11240</v>
      </c>
      <c r="B11241">
        <f>TEXT(11240, "[$-0E0000]yyyy-mm-dd")</f>
        <v/>
      </c>
      <c r="C11241" t="inlineStr">
        <is>
          <t>1930-08-19</t>
        </is>
      </c>
    </row>
    <row r="11242">
      <c r="A11242" s="1" t="n">
        <v>11241</v>
      </c>
      <c r="B11242">
        <f>TEXT(11241, "[$-0E0000]yyyy-mm-dd")</f>
        <v/>
      </c>
      <c r="C11242" t="inlineStr">
        <is>
          <t>1930-08-20</t>
        </is>
      </c>
    </row>
    <row r="11243">
      <c r="A11243" s="1" t="n">
        <v>11242</v>
      </c>
      <c r="B11243">
        <f>TEXT(11242, "[$-0E0000]yyyy-mm-dd")</f>
        <v/>
      </c>
      <c r="C11243" t="inlineStr">
        <is>
          <t>1930-08-21</t>
        </is>
      </c>
    </row>
    <row r="11244">
      <c r="A11244" s="1" t="n">
        <v>11243</v>
      </c>
      <c r="B11244">
        <f>TEXT(11243, "[$-0E0000]yyyy-mm-dd")</f>
        <v/>
      </c>
      <c r="C11244" t="inlineStr">
        <is>
          <t>1930-08-22</t>
        </is>
      </c>
    </row>
    <row r="11245">
      <c r="A11245" s="1" t="n">
        <v>11244</v>
      </c>
      <c r="B11245">
        <f>TEXT(11244, "[$-0E0000]yyyy-mm-dd")</f>
        <v/>
      </c>
      <c r="C11245" t="inlineStr">
        <is>
          <t>1930-08-23</t>
        </is>
      </c>
    </row>
    <row r="11246">
      <c r="A11246" s="1" t="n">
        <v>11245</v>
      </c>
      <c r="B11246">
        <f>TEXT(11245, "[$-0E0000]yyyy-mm-dd")</f>
        <v/>
      </c>
      <c r="C11246" t="inlineStr">
        <is>
          <t>1930-08-24</t>
        </is>
      </c>
    </row>
    <row r="11247">
      <c r="A11247" s="1" t="n">
        <v>11246</v>
      </c>
      <c r="B11247">
        <f>TEXT(11246, "[$-0E0000]yyyy-mm-dd")</f>
        <v/>
      </c>
      <c r="C11247" t="inlineStr">
        <is>
          <t>1930-08-25</t>
        </is>
      </c>
    </row>
    <row r="11248">
      <c r="A11248" s="1" t="n">
        <v>11247</v>
      </c>
      <c r="B11248">
        <f>TEXT(11247, "[$-0E0000]yyyy-mm-dd")</f>
        <v/>
      </c>
      <c r="C11248" t="inlineStr">
        <is>
          <t>1930-08-26</t>
        </is>
      </c>
    </row>
    <row r="11249">
      <c r="A11249" s="1" t="n">
        <v>11248</v>
      </c>
      <c r="B11249">
        <f>TEXT(11248, "[$-0E0000]yyyy-mm-dd")</f>
        <v/>
      </c>
      <c r="C11249" t="inlineStr">
        <is>
          <t>1930-08-27</t>
        </is>
      </c>
    </row>
    <row r="11250">
      <c r="A11250" s="1" t="n">
        <v>11249</v>
      </c>
      <c r="B11250">
        <f>TEXT(11249, "[$-0E0000]yyyy-mm-dd")</f>
        <v/>
      </c>
      <c r="C11250" t="inlineStr">
        <is>
          <t>1930-08-28</t>
        </is>
      </c>
    </row>
    <row r="11251">
      <c r="A11251" s="1" t="n">
        <v>11250</v>
      </c>
      <c r="B11251">
        <f>TEXT(11250, "[$-0E0000]yyyy-mm-dd")</f>
        <v/>
      </c>
      <c r="C11251" t="inlineStr">
        <is>
          <t>1930-08-29</t>
        </is>
      </c>
    </row>
    <row r="11252">
      <c r="A11252" s="1" t="n">
        <v>11251</v>
      </c>
      <c r="B11252">
        <f>TEXT(11251, "[$-0E0000]yyyy-mm-dd")</f>
        <v/>
      </c>
      <c r="C11252" t="inlineStr">
        <is>
          <t>1930-08-30</t>
        </is>
      </c>
    </row>
    <row r="11253">
      <c r="A11253" s="1" t="n">
        <v>11252</v>
      </c>
      <c r="B11253">
        <f>TEXT(11252, "[$-0E0000]yyyy-mm-dd")</f>
        <v/>
      </c>
      <c r="C11253" t="inlineStr">
        <is>
          <t>1930-09-01</t>
        </is>
      </c>
    </row>
    <row r="11254">
      <c r="A11254" s="1" t="n">
        <v>11253</v>
      </c>
      <c r="B11254">
        <f>TEXT(11253, "[$-0E0000]yyyy-mm-dd")</f>
        <v/>
      </c>
      <c r="C11254" t="inlineStr">
        <is>
          <t>1930-09-02</t>
        </is>
      </c>
    </row>
    <row r="11255">
      <c r="A11255" s="1" t="n">
        <v>11254</v>
      </c>
      <c r="B11255">
        <f>TEXT(11254, "[$-0E0000]yyyy-mm-dd")</f>
        <v/>
      </c>
      <c r="C11255" t="inlineStr">
        <is>
          <t>1930-09-03</t>
        </is>
      </c>
    </row>
    <row r="11256">
      <c r="A11256" s="1" t="n">
        <v>11255</v>
      </c>
      <c r="B11256">
        <f>TEXT(11255, "[$-0E0000]yyyy-mm-dd")</f>
        <v/>
      </c>
      <c r="C11256" t="inlineStr">
        <is>
          <t>1930-09-04</t>
        </is>
      </c>
    </row>
    <row r="11257">
      <c r="A11257" s="1" t="n">
        <v>11256</v>
      </c>
      <c r="B11257">
        <f>TEXT(11256, "[$-0E0000]yyyy-mm-dd")</f>
        <v/>
      </c>
      <c r="C11257" t="inlineStr">
        <is>
          <t>1930-09-05</t>
        </is>
      </c>
    </row>
    <row r="11258">
      <c r="A11258" s="1" t="n">
        <v>11257</v>
      </c>
      <c r="B11258">
        <f>TEXT(11257, "[$-0E0000]yyyy-mm-dd")</f>
        <v/>
      </c>
      <c r="C11258" t="inlineStr">
        <is>
          <t>1930-09-06</t>
        </is>
      </c>
    </row>
    <row r="11259">
      <c r="A11259" s="1" t="n">
        <v>11258</v>
      </c>
      <c r="B11259">
        <f>TEXT(11258, "[$-0E0000]yyyy-mm-dd")</f>
        <v/>
      </c>
      <c r="C11259" t="inlineStr">
        <is>
          <t>1930-09-07</t>
        </is>
      </c>
    </row>
    <row r="11260">
      <c r="A11260" s="1" t="n">
        <v>11259</v>
      </c>
      <c r="B11260">
        <f>TEXT(11259, "[$-0E0000]yyyy-mm-dd")</f>
        <v/>
      </c>
      <c r="C11260" t="inlineStr">
        <is>
          <t>1930-09-08</t>
        </is>
      </c>
    </row>
    <row r="11261">
      <c r="A11261" s="1" t="n">
        <v>11260</v>
      </c>
      <c r="B11261">
        <f>TEXT(11260, "[$-0E0000]yyyy-mm-dd")</f>
        <v/>
      </c>
      <c r="C11261" t="inlineStr">
        <is>
          <t>1930-09-09</t>
        </is>
      </c>
    </row>
    <row r="11262">
      <c r="A11262" s="1" t="n">
        <v>11261</v>
      </c>
      <c r="B11262">
        <f>TEXT(11261, "[$-0E0000]yyyy-mm-dd")</f>
        <v/>
      </c>
      <c r="C11262" t="inlineStr">
        <is>
          <t>1930-09-10</t>
        </is>
      </c>
    </row>
    <row r="11263">
      <c r="A11263" s="1" t="n">
        <v>11262</v>
      </c>
      <c r="B11263">
        <f>TEXT(11262, "[$-0E0000]yyyy-mm-dd")</f>
        <v/>
      </c>
      <c r="C11263" t="inlineStr">
        <is>
          <t>1930-09-11</t>
        </is>
      </c>
    </row>
    <row r="11264">
      <c r="A11264" s="1" t="n">
        <v>11263</v>
      </c>
      <c r="B11264">
        <f>TEXT(11263, "[$-0E0000]yyyy-mm-dd")</f>
        <v/>
      </c>
      <c r="C11264" t="inlineStr">
        <is>
          <t>1930-09-12</t>
        </is>
      </c>
    </row>
    <row r="11265">
      <c r="A11265" s="1" t="n">
        <v>11264</v>
      </c>
      <c r="B11265">
        <f>TEXT(11264, "[$-0E0000]yyyy-mm-dd")</f>
        <v/>
      </c>
      <c r="C11265" t="inlineStr">
        <is>
          <t>1930-09-13</t>
        </is>
      </c>
    </row>
    <row r="11266">
      <c r="A11266" s="1" t="n">
        <v>11265</v>
      </c>
      <c r="B11266">
        <f>TEXT(11265, "[$-0E0000]yyyy-mm-dd")</f>
        <v/>
      </c>
      <c r="C11266" t="inlineStr">
        <is>
          <t>1930-09-14</t>
        </is>
      </c>
    </row>
    <row r="11267">
      <c r="A11267" s="1" t="n">
        <v>11266</v>
      </c>
      <c r="B11267">
        <f>TEXT(11266, "[$-0E0000]yyyy-mm-dd")</f>
        <v/>
      </c>
      <c r="C11267" t="inlineStr">
        <is>
          <t>1930-09-15</t>
        </is>
      </c>
    </row>
    <row r="11268">
      <c r="A11268" s="1" t="n">
        <v>11267</v>
      </c>
      <c r="B11268">
        <f>TEXT(11267, "[$-0E0000]yyyy-mm-dd")</f>
        <v/>
      </c>
      <c r="C11268" t="inlineStr">
        <is>
          <t>1930-09-16</t>
        </is>
      </c>
    </row>
    <row r="11269">
      <c r="A11269" s="1" t="n">
        <v>11268</v>
      </c>
      <c r="B11269">
        <f>TEXT(11268, "[$-0E0000]yyyy-mm-dd")</f>
        <v/>
      </c>
      <c r="C11269" t="inlineStr">
        <is>
          <t>1930-09-17</t>
        </is>
      </c>
    </row>
    <row r="11270">
      <c r="A11270" s="1" t="n">
        <v>11269</v>
      </c>
      <c r="B11270">
        <f>TEXT(11269, "[$-0E0000]yyyy-mm-dd")</f>
        <v/>
      </c>
      <c r="C11270" t="inlineStr">
        <is>
          <t>1930-09-18</t>
        </is>
      </c>
    </row>
    <row r="11271">
      <c r="A11271" s="1" t="n">
        <v>11270</v>
      </c>
      <c r="B11271">
        <f>TEXT(11270, "[$-0E0000]yyyy-mm-dd")</f>
        <v/>
      </c>
      <c r="C11271" t="inlineStr">
        <is>
          <t>1930-09-19</t>
        </is>
      </c>
    </row>
    <row r="11272">
      <c r="A11272" s="1" t="n">
        <v>11271</v>
      </c>
      <c r="B11272">
        <f>TEXT(11271, "[$-0E0000]yyyy-mm-dd")</f>
        <v/>
      </c>
      <c r="C11272" t="inlineStr">
        <is>
          <t>1930-09-20</t>
        </is>
      </c>
    </row>
    <row r="11273">
      <c r="A11273" s="1" t="n">
        <v>11272</v>
      </c>
      <c r="B11273">
        <f>TEXT(11272, "[$-0E0000]yyyy-mm-dd")</f>
        <v/>
      </c>
      <c r="C11273" t="inlineStr">
        <is>
          <t>1930-09-21</t>
        </is>
      </c>
    </row>
    <row r="11274">
      <c r="A11274" s="1" t="n">
        <v>11273</v>
      </c>
      <c r="B11274">
        <f>TEXT(11273, "[$-0E0000]yyyy-mm-dd")</f>
        <v/>
      </c>
      <c r="C11274" t="inlineStr">
        <is>
          <t>1930-09-22</t>
        </is>
      </c>
    </row>
    <row r="11275">
      <c r="A11275" s="1" t="n">
        <v>11274</v>
      </c>
      <c r="B11275">
        <f>TEXT(11274, "[$-0E0000]yyyy-mm-dd")</f>
        <v/>
      </c>
      <c r="C11275" t="inlineStr">
        <is>
          <t>1930-09-23</t>
        </is>
      </c>
    </row>
    <row r="11276">
      <c r="A11276" s="1" t="n">
        <v>11275</v>
      </c>
      <c r="B11276">
        <f>TEXT(11275, "[$-0E0000]yyyy-mm-dd")</f>
        <v/>
      </c>
      <c r="C11276" t="inlineStr">
        <is>
          <t>1930-09-24</t>
        </is>
      </c>
    </row>
    <row r="11277">
      <c r="A11277" s="1" t="n">
        <v>11276</v>
      </c>
      <c r="B11277">
        <f>TEXT(11276, "[$-0E0000]yyyy-mm-dd")</f>
        <v/>
      </c>
      <c r="C11277" t="inlineStr">
        <is>
          <t>1930-09-25</t>
        </is>
      </c>
    </row>
    <row r="11278">
      <c r="A11278" s="1" t="n">
        <v>11277</v>
      </c>
      <c r="B11278">
        <f>TEXT(11277, "[$-0E0000]yyyy-mm-dd")</f>
        <v/>
      </c>
      <c r="C11278" t="inlineStr">
        <is>
          <t>1930-09-26</t>
        </is>
      </c>
    </row>
    <row r="11279">
      <c r="A11279" s="1" t="n">
        <v>11278</v>
      </c>
      <c r="B11279">
        <f>TEXT(11278, "[$-0E0000]yyyy-mm-dd")</f>
        <v/>
      </c>
      <c r="C11279" t="inlineStr">
        <is>
          <t>1930-09-27</t>
        </is>
      </c>
    </row>
    <row r="11280">
      <c r="A11280" s="1" t="n">
        <v>11279</v>
      </c>
      <c r="B11280">
        <f>TEXT(11279, "[$-0E0000]yyyy-mm-dd")</f>
        <v/>
      </c>
      <c r="C11280" t="inlineStr">
        <is>
          <t>1930-09-28</t>
        </is>
      </c>
    </row>
    <row r="11281">
      <c r="A11281" s="1" t="n">
        <v>11280</v>
      </c>
      <c r="B11281">
        <f>TEXT(11280, "[$-0E0000]yyyy-mm-dd")</f>
        <v/>
      </c>
      <c r="C11281" t="inlineStr">
        <is>
          <t>1930-09-29</t>
        </is>
      </c>
    </row>
    <row r="11282">
      <c r="A11282" s="1" t="n">
        <v>11281</v>
      </c>
      <c r="B11282">
        <f>TEXT(11281, "[$-0E0000]yyyy-mm-dd")</f>
        <v/>
      </c>
      <c r="C11282" t="inlineStr">
        <is>
          <t>1930-10-01</t>
        </is>
      </c>
    </row>
    <row r="11283">
      <c r="A11283" s="1" t="n">
        <v>11282</v>
      </c>
      <c r="B11283">
        <f>TEXT(11282, "[$-0E0000]yyyy-mm-dd")</f>
        <v/>
      </c>
      <c r="C11283" t="inlineStr">
        <is>
          <t>1930-10-02</t>
        </is>
      </c>
    </row>
    <row r="11284">
      <c r="A11284" s="1" t="n">
        <v>11283</v>
      </c>
      <c r="B11284">
        <f>TEXT(11283, "[$-0E0000]yyyy-mm-dd")</f>
        <v/>
      </c>
      <c r="C11284" t="inlineStr">
        <is>
          <t>1930-10-03</t>
        </is>
      </c>
    </row>
    <row r="11285">
      <c r="A11285" s="1" t="n">
        <v>11284</v>
      </c>
      <c r="B11285">
        <f>TEXT(11284, "[$-0E0000]yyyy-mm-dd")</f>
        <v/>
      </c>
      <c r="C11285" t="inlineStr">
        <is>
          <t>1930-10-04</t>
        </is>
      </c>
    </row>
    <row r="11286">
      <c r="A11286" s="1" t="n">
        <v>11285</v>
      </c>
      <c r="B11286">
        <f>TEXT(11285, "[$-0E0000]yyyy-mm-dd")</f>
        <v/>
      </c>
      <c r="C11286" t="inlineStr">
        <is>
          <t>1930-10-05</t>
        </is>
      </c>
    </row>
    <row r="11287">
      <c r="A11287" s="1" t="n">
        <v>11286</v>
      </c>
      <c r="B11287">
        <f>TEXT(11286, "[$-0E0000]yyyy-mm-dd")</f>
        <v/>
      </c>
      <c r="C11287" t="inlineStr">
        <is>
          <t>1930-10-06</t>
        </is>
      </c>
    </row>
    <row r="11288">
      <c r="A11288" s="1" t="n">
        <v>11287</v>
      </c>
      <c r="B11288">
        <f>TEXT(11287, "[$-0E0000]yyyy-mm-dd")</f>
        <v/>
      </c>
      <c r="C11288" t="inlineStr">
        <is>
          <t>1930-10-07</t>
        </is>
      </c>
    </row>
    <row r="11289">
      <c r="A11289" s="1" t="n">
        <v>11288</v>
      </c>
      <c r="B11289">
        <f>TEXT(11288, "[$-0E0000]yyyy-mm-dd")</f>
        <v/>
      </c>
      <c r="C11289" t="inlineStr">
        <is>
          <t>1930-10-08</t>
        </is>
      </c>
    </row>
    <row r="11290">
      <c r="A11290" s="1" t="n">
        <v>11289</v>
      </c>
      <c r="B11290">
        <f>TEXT(11289, "[$-0E0000]yyyy-mm-dd")</f>
        <v/>
      </c>
      <c r="C11290" t="inlineStr">
        <is>
          <t>1930-10-09</t>
        </is>
      </c>
    </row>
    <row r="11291">
      <c r="A11291" s="1" t="n">
        <v>11290</v>
      </c>
      <c r="B11291">
        <f>TEXT(11290, "[$-0E0000]yyyy-mm-dd")</f>
        <v/>
      </c>
      <c r="C11291" t="inlineStr">
        <is>
          <t>1930-10-10</t>
        </is>
      </c>
    </row>
    <row r="11292">
      <c r="A11292" s="1" t="n">
        <v>11291</v>
      </c>
      <c r="B11292">
        <f>TEXT(11291, "[$-0E0000]yyyy-mm-dd")</f>
        <v/>
      </c>
      <c r="C11292" t="inlineStr">
        <is>
          <t>1930-10-11</t>
        </is>
      </c>
    </row>
    <row r="11293">
      <c r="A11293" s="1" t="n">
        <v>11292</v>
      </c>
      <c r="B11293">
        <f>TEXT(11292, "[$-0E0000]yyyy-mm-dd")</f>
        <v/>
      </c>
      <c r="C11293" t="inlineStr">
        <is>
          <t>1930-10-12</t>
        </is>
      </c>
    </row>
    <row r="11294">
      <c r="A11294" s="1" t="n">
        <v>11293</v>
      </c>
      <c r="B11294">
        <f>TEXT(11293, "[$-0E0000]yyyy-mm-dd")</f>
        <v/>
      </c>
      <c r="C11294" t="inlineStr">
        <is>
          <t>1930-10-13</t>
        </is>
      </c>
    </row>
    <row r="11295">
      <c r="A11295" s="1" t="n">
        <v>11294</v>
      </c>
      <c r="B11295">
        <f>TEXT(11294, "[$-0E0000]yyyy-mm-dd")</f>
        <v/>
      </c>
      <c r="C11295" t="inlineStr">
        <is>
          <t>1930-10-14</t>
        </is>
      </c>
    </row>
    <row r="11296">
      <c r="A11296" s="1" t="n">
        <v>11295</v>
      </c>
      <c r="B11296">
        <f>TEXT(11295, "[$-0E0000]yyyy-mm-dd")</f>
        <v/>
      </c>
      <c r="C11296" t="inlineStr">
        <is>
          <t>1930-10-15</t>
        </is>
      </c>
    </row>
    <row r="11297">
      <c r="A11297" s="1" t="n">
        <v>11296</v>
      </c>
      <c r="B11297">
        <f>TEXT(11296, "[$-0E0000]yyyy-mm-dd")</f>
        <v/>
      </c>
      <c r="C11297" t="inlineStr">
        <is>
          <t>1930-10-16</t>
        </is>
      </c>
    </row>
    <row r="11298">
      <c r="A11298" s="1" t="n">
        <v>11297</v>
      </c>
      <c r="B11298">
        <f>TEXT(11297, "[$-0E0000]yyyy-mm-dd")</f>
        <v/>
      </c>
      <c r="C11298" t="inlineStr">
        <is>
          <t>1930-10-17</t>
        </is>
      </c>
    </row>
    <row r="11299">
      <c r="A11299" s="1" t="n">
        <v>11298</v>
      </c>
      <c r="B11299">
        <f>TEXT(11298, "[$-0E0000]yyyy-mm-dd")</f>
        <v/>
      </c>
      <c r="C11299" t="inlineStr">
        <is>
          <t>1930-10-18</t>
        </is>
      </c>
    </row>
    <row r="11300">
      <c r="A11300" s="1" t="n">
        <v>11299</v>
      </c>
      <c r="B11300">
        <f>TEXT(11299, "[$-0E0000]yyyy-mm-dd")</f>
        <v/>
      </c>
      <c r="C11300" t="inlineStr">
        <is>
          <t>1930-10-19</t>
        </is>
      </c>
    </row>
    <row r="11301">
      <c r="A11301" s="1" t="n">
        <v>11300</v>
      </c>
      <c r="B11301">
        <f>TEXT(11300, "[$-0E0000]yyyy-mm-dd")</f>
        <v/>
      </c>
      <c r="C11301" t="inlineStr">
        <is>
          <t>1930-10-20</t>
        </is>
      </c>
    </row>
    <row r="11302">
      <c r="A11302" s="1" t="n">
        <v>11301</v>
      </c>
      <c r="B11302">
        <f>TEXT(11301, "[$-0E0000]yyyy-mm-dd")</f>
        <v/>
      </c>
      <c r="C11302" t="inlineStr">
        <is>
          <t>1930-10-21</t>
        </is>
      </c>
    </row>
    <row r="11303">
      <c r="A11303" s="1" t="n">
        <v>11302</v>
      </c>
      <c r="B11303">
        <f>TEXT(11302, "[$-0E0000]yyyy-mm-dd")</f>
        <v/>
      </c>
      <c r="C11303" t="inlineStr">
        <is>
          <t>1930-10-22</t>
        </is>
      </c>
    </row>
    <row r="11304">
      <c r="A11304" s="1" t="n">
        <v>11303</v>
      </c>
      <c r="B11304">
        <f>TEXT(11303, "[$-0E0000]yyyy-mm-dd")</f>
        <v/>
      </c>
      <c r="C11304" t="inlineStr">
        <is>
          <t>1930-10-23</t>
        </is>
      </c>
    </row>
    <row r="11305">
      <c r="A11305" s="1" t="n">
        <v>11304</v>
      </c>
      <c r="B11305">
        <f>TEXT(11304, "[$-0E0000]yyyy-mm-dd")</f>
        <v/>
      </c>
      <c r="C11305" t="inlineStr">
        <is>
          <t>1930-10-24</t>
        </is>
      </c>
    </row>
    <row r="11306">
      <c r="A11306" s="1" t="n">
        <v>11305</v>
      </c>
      <c r="B11306">
        <f>TEXT(11305, "[$-0E0000]yyyy-mm-dd")</f>
        <v/>
      </c>
      <c r="C11306" t="inlineStr">
        <is>
          <t>1930-10-25</t>
        </is>
      </c>
    </row>
    <row r="11307">
      <c r="A11307" s="1" t="n">
        <v>11306</v>
      </c>
      <c r="B11307">
        <f>TEXT(11306, "[$-0E0000]yyyy-mm-dd")</f>
        <v/>
      </c>
      <c r="C11307" t="inlineStr">
        <is>
          <t>1930-10-26</t>
        </is>
      </c>
    </row>
    <row r="11308">
      <c r="A11308" s="1" t="n">
        <v>11307</v>
      </c>
      <c r="B11308">
        <f>TEXT(11307, "[$-0E0000]yyyy-mm-dd")</f>
        <v/>
      </c>
      <c r="C11308" t="inlineStr">
        <is>
          <t>1930-10-27</t>
        </is>
      </c>
    </row>
    <row r="11309">
      <c r="A11309" s="1" t="n">
        <v>11308</v>
      </c>
      <c r="B11309">
        <f>TEXT(11308, "[$-0E0000]yyyy-mm-dd")</f>
        <v/>
      </c>
      <c r="C11309" t="inlineStr">
        <is>
          <t>1930-10-28</t>
        </is>
      </c>
    </row>
    <row r="11310">
      <c r="A11310" s="1" t="n">
        <v>11309</v>
      </c>
      <c r="B11310">
        <f>TEXT(11309, "[$-0E0000]yyyy-mm-dd")</f>
        <v/>
      </c>
      <c r="C11310" t="inlineStr">
        <is>
          <t>1930-10-29</t>
        </is>
      </c>
    </row>
    <row r="11311">
      <c r="A11311" s="1" t="n">
        <v>11310</v>
      </c>
      <c r="B11311">
        <f>TEXT(11310, "[$-0E0000]yyyy-mm-dd")</f>
        <v/>
      </c>
      <c r="C11311" t="inlineStr">
        <is>
          <t>1930-10-30</t>
        </is>
      </c>
    </row>
    <row r="11312">
      <c r="A11312" s="1" t="n">
        <v>11311</v>
      </c>
      <c r="B11312">
        <f>TEXT(11311, "[$-0E0000]yyyy-mm-dd")</f>
        <v/>
      </c>
      <c r="C11312" t="inlineStr">
        <is>
          <t>1930-11-01</t>
        </is>
      </c>
    </row>
    <row r="11313">
      <c r="A11313" s="1" t="n">
        <v>11312</v>
      </c>
      <c r="B11313">
        <f>TEXT(11312, "[$-0E0000]yyyy-mm-dd")</f>
        <v/>
      </c>
      <c r="C11313" t="inlineStr">
        <is>
          <t>1930-11-02</t>
        </is>
      </c>
    </row>
    <row r="11314">
      <c r="A11314" s="1" t="n">
        <v>11313</v>
      </c>
      <c r="B11314">
        <f>TEXT(11313, "[$-0E0000]yyyy-mm-dd")</f>
        <v/>
      </c>
      <c r="C11314" t="inlineStr">
        <is>
          <t>1930-11-03</t>
        </is>
      </c>
    </row>
    <row r="11315">
      <c r="A11315" s="1" t="n">
        <v>11314</v>
      </c>
      <c r="B11315">
        <f>TEXT(11314, "[$-0E0000]yyyy-mm-dd")</f>
        <v/>
      </c>
      <c r="C11315" t="inlineStr">
        <is>
          <t>1930-11-04</t>
        </is>
      </c>
    </row>
    <row r="11316">
      <c r="A11316" s="1" t="n">
        <v>11315</v>
      </c>
      <c r="B11316">
        <f>TEXT(11315, "[$-0E0000]yyyy-mm-dd")</f>
        <v/>
      </c>
      <c r="C11316" t="inlineStr">
        <is>
          <t>1930-11-05</t>
        </is>
      </c>
    </row>
    <row r="11317">
      <c r="A11317" s="1" t="n">
        <v>11316</v>
      </c>
      <c r="B11317">
        <f>TEXT(11316, "[$-0E0000]yyyy-mm-dd")</f>
        <v/>
      </c>
      <c r="C11317" t="inlineStr">
        <is>
          <t>1930-11-06</t>
        </is>
      </c>
    </row>
    <row r="11318">
      <c r="A11318" s="1" t="n">
        <v>11317</v>
      </c>
      <c r="B11318">
        <f>TEXT(11317, "[$-0E0000]yyyy-mm-dd")</f>
        <v/>
      </c>
      <c r="C11318" t="inlineStr">
        <is>
          <t>1930-11-07</t>
        </is>
      </c>
    </row>
    <row r="11319">
      <c r="A11319" s="1" t="n">
        <v>11318</v>
      </c>
      <c r="B11319">
        <f>TEXT(11318, "[$-0E0000]yyyy-mm-dd")</f>
        <v/>
      </c>
      <c r="C11319" t="inlineStr">
        <is>
          <t>1930-11-08</t>
        </is>
      </c>
    </row>
    <row r="11320">
      <c r="A11320" s="1" t="n">
        <v>11319</v>
      </c>
      <c r="B11320">
        <f>TEXT(11319, "[$-0E0000]yyyy-mm-dd")</f>
        <v/>
      </c>
      <c r="C11320" t="inlineStr">
        <is>
          <t>1930-11-09</t>
        </is>
      </c>
    </row>
    <row r="11321">
      <c r="A11321" s="1" t="n">
        <v>11320</v>
      </c>
      <c r="B11321">
        <f>TEXT(11320, "[$-0E0000]yyyy-mm-dd")</f>
        <v/>
      </c>
      <c r="C11321" t="inlineStr">
        <is>
          <t>1930-11-10</t>
        </is>
      </c>
    </row>
    <row r="11322">
      <c r="A11322" s="1" t="n">
        <v>11321</v>
      </c>
      <c r="B11322">
        <f>TEXT(11321, "[$-0E0000]yyyy-mm-dd")</f>
        <v/>
      </c>
      <c r="C11322" t="inlineStr">
        <is>
          <t>1930-11-11</t>
        </is>
      </c>
    </row>
    <row r="11323">
      <c r="A11323" s="1" t="n">
        <v>11322</v>
      </c>
      <c r="B11323">
        <f>TEXT(11322, "[$-0E0000]yyyy-mm-dd")</f>
        <v/>
      </c>
      <c r="C11323" t="inlineStr">
        <is>
          <t>1930-11-12</t>
        </is>
      </c>
    </row>
    <row r="11324">
      <c r="A11324" s="1" t="n">
        <v>11323</v>
      </c>
      <c r="B11324">
        <f>TEXT(11323, "[$-0E0000]yyyy-mm-dd")</f>
        <v/>
      </c>
      <c r="C11324" t="inlineStr">
        <is>
          <t>1930-11-13</t>
        </is>
      </c>
    </row>
    <row r="11325">
      <c r="A11325" s="1" t="n">
        <v>11324</v>
      </c>
      <c r="B11325">
        <f>TEXT(11324, "[$-0E0000]yyyy-mm-dd")</f>
        <v/>
      </c>
      <c r="C11325" t="inlineStr">
        <is>
          <t>1930-11-14</t>
        </is>
      </c>
    </row>
    <row r="11326">
      <c r="A11326" s="1" t="n">
        <v>11325</v>
      </c>
      <c r="B11326">
        <f>TEXT(11325, "[$-0E0000]yyyy-mm-dd")</f>
        <v/>
      </c>
      <c r="C11326" t="inlineStr">
        <is>
          <t>1930-11-15</t>
        </is>
      </c>
    </row>
    <row r="11327">
      <c r="A11327" s="1" t="n">
        <v>11326</v>
      </c>
      <c r="B11327">
        <f>TEXT(11326, "[$-0E0000]yyyy-mm-dd")</f>
        <v/>
      </c>
      <c r="C11327" t="inlineStr">
        <is>
          <t>1930-11-16</t>
        </is>
      </c>
    </row>
    <row r="11328">
      <c r="A11328" s="1" t="n">
        <v>11327</v>
      </c>
      <c r="B11328">
        <f>TEXT(11327, "[$-0E0000]yyyy-mm-dd")</f>
        <v/>
      </c>
      <c r="C11328" t="inlineStr">
        <is>
          <t>1930-11-17</t>
        </is>
      </c>
    </row>
    <row r="11329">
      <c r="A11329" s="1" t="n">
        <v>11328</v>
      </c>
      <c r="B11329">
        <f>TEXT(11328, "[$-0E0000]yyyy-mm-dd")</f>
        <v/>
      </c>
      <c r="C11329" t="inlineStr">
        <is>
          <t>1930-11-18</t>
        </is>
      </c>
    </row>
    <row r="11330">
      <c r="A11330" s="1" t="n">
        <v>11329</v>
      </c>
      <c r="B11330">
        <f>TEXT(11329, "[$-0E0000]yyyy-mm-dd")</f>
        <v/>
      </c>
      <c r="C11330" t="inlineStr">
        <is>
          <t>1930-11-19</t>
        </is>
      </c>
    </row>
    <row r="11331">
      <c r="A11331" s="1" t="n">
        <v>11330</v>
      </c>
      <c r="B11331">
        <f>TEXT(11330, "[$-0E0000]yyyy-mm-dd")</f>
        <v/>
      </c>
      <c r="C11331" t="inlineStr">
        <is>
          <t>1930-11-20</t>
        </is>
      </c>
    </row>
    <row r="11332">
      <c r="A11332" s="1" t="n">
        <v>11331</v>
      </c>
      <c r="B11332">
        <f>TEXT(11331, "[$-0E0000]yyyy-mm-dd")</f>
        <v/>
      </c>
      <c r="C11332" t="inlineStr">
        <is>
          <t>1930-11-21</t>
        </is>
      </c>
    </row>
    <row r="11333">
      <c r="A11333" s="1" t="n">
        <v>11332</v>
      </c>
      <c r="B11333">
        <f>TEXT(11332, "[$-0E0000]yyyy-mm-dd")</f>
        <v/>
      </c>
      <c r="C11333" t="inlineStr">
        <is>
          <t>1930-11-22</t>
        </is>
      </c>
    </row>
    <row r="11334">
      <c r="A11334" s="1" t="n">
        <v>11333</v>
      </c>
      <c r="B11334">
        <f>TEXT(11333, "[$-0E0000]yyyy-mm-dd")</f>
        <v/>
      </c>
      <c r="C11334" t="inlineStr">
        <is>
          <t>1930-11-23</t>
        </is>
      </c>
    </row>
    <row r="11335">
      <c r="A11335" s="1" t="n">
        <v>11334</v>
      </c>
      <c r="B11335">
        <f>TEXT(11334, "[$-0E0000]yyyy-mm-dd")</f>
        <v/>
      </c>
      <c r="C11335" t="inlineStr">
        <is>
          <t>1930-11-24</t>
        </is>
      </c>
    </row>
    <row r="11336">
      <c r="A11336" s="1" t="n">
        <v>11335</v>
      </c>
      <c r="B11336">
        <f>TEXT(11335, "[$-0E0000]yyyy-mm-dd")</f>
        <v/>
      </c>
      <c r="C11336" t="inlineStr">
        <is>
          <t>1930-11-25</t>
        </is>
      </c>
    </row>
    <row r="11337">
      <c r="A11337" s="1" t="n">
        <v>11336</v>
      </c>
      <c r="B11337">
        <f>TEXT(11336, "[$-0E0000]yyyy-mm-dd")</f>
        <v/>
      </c>
      <c r="C11337" t="inlineStr">
        <is>
          <t>1930-11-26</t>
        </is>
      </c>
    </row>
    <row r="11338">
      <c r="A11338" s="1" t="n">
        <v>11337</v>
      </c>
      <c r="B11338">
        <f>TEXT(11337, "[$-0E0000]yyyy-mm-dd")</f>
        <v/>
      </c>
      <c r="C11338" t="inlineStr">
        <is>
          <t>1930-11-27</t>
        </is>
      </c>
    </row>
    <row r="11339">
      <c r="A11339" s="1" t="n">
        <v>11338</v>
      </c>
      <c r="B11339">
        <f>TEXT(11338, "[$-0E0000]yyyy-mm-dd")</f>
        <v/>
      </c>
      <c r="C11339" t="inlineStr">
        <is>
          <t>1930-11-28</t>
        </is>
      </c>
    </row>
    <row r="11340">
      <c r="A11340" s="1" t="n">
        <v>11339</v>
      </c>
      <c r="B11340">
        <f>TEXT(11339, "[$-0E0000]yyyy-mm-dd")</f>
        <v/>
      </c>
      <c r="C11340" t="inlineStr">
        <is>
          <t>1930-11-29</t>
        </is>
      </c>
    </row>
    <row r="11341">
      <c r="A11341" s="1" t="n">
        <v>11340</v>
      </c>
      <c r="B11341">
        <f>TEXT(11340, "[$-0E0000]yyyy-mm-dd")</f>
        <v/>
      </c>
      <c r="C11341" t="inlineStr">
        <is>
          <t>1930-11-30</t>
        </is>
      </c>
    </row>
    <row r="11342">
      <c r="A11342" s="1" t="n">
        <v>11341</v>
      </c>
      <c r="B11342">
        <f>TEXT(11341, "[$-0E0000]yyyy-mm-dd")</f>
        <v/>
      </c>
      <c r="C11342" t="inlineStr">
        <is>
          <t>1930-12-01</t>
        </is>
      </c>
    </row>
    <row r="11343">
      <c r="A11343" s="1" t="n">
        <v>11342</v>
      </c>
      <c r="B11343">
        <f>TEXT(11342, "[$-0E0000]yyyy-mm-dd")</f>
        <v/>
      </c>
      <c r="C11343" t="inlineStr">
        <is>
          <t>1930-12-02</t>
        </is>
      </c>
    </row>
    <row r="11344">
      <c r="A11344" s="1" t="n">
        <v>11343</v>
      </c>
      <c r="B11344">
        <f>TEXT(11343, "[$-0E0000]yyyy-mm-dd")</f>
        <v/>
      </c>
      <c r="C11344" t="inlineStr">
        <is>
          <t>1930-12-03</t>
        </is>
      </c>
    </row>
    <row r="11345">
      <c r="A11345" s="1" t="n">
        <v>11344</v>
      </c>
      <c r="B11345">
        <f>TEXT(11344, "[$-0E0000]yyyy-mm-dd")</f>
        <v/>
      </c>
      <c r="C11345" t="inlineStr">
        <is>
          <t>1930-12-04</t>
        </is>
      </c>
    </row>
    <row r="11346">
      <c r="A11346" s="1" t="n">
        <v>11345</v>
      </c>
      <c r="B11346">
        <f>TEXT(11345, "[$-0E0000]yyyy-mm-dd")</f>
        <v/>
      </c>
      <c r="C11346" t="inlineStr">
        <is>
          <t>1930-12-05</t>
        </is>
      </c>
    </row>
    <row r="11347">
      <c r="A11347" s="1" t="n">
        <v>11346</v>
      </c>
      <c r="B11347">
        <f>TEXT(11346, "[$-0E0000]yyyy-mm-dd")</f>
        <v/>
      </c>
      <c r="C11347" t="inlineStr">
        <is>
          <t>1930-12-06</t>
        </is>
      </c>
    </row>
    <row r="11348">
      <c r="A11348" s="1" t="n">
        <v>11347</v>
      </c>
      <c r="B11348">
        <f>TEXT(11347, "[$-0E0000]yyyy-mm-dd")</f>
        <v/>
      </c>
      <c r="C11348" t="inlineStr">
        <is>
          <t>1930-12-07</t>
        </is>
      </c>
    </row>
    <row r="11349">
      <c r="A11349" s="1" t="n">
        <v>11348</v>
      </c>
      <c r="B11349">
        <f>TEXT(11348, "[$-0E0000]yyyy-mm-dd")</f>
        <v/>
      </c>
      <c r="C11349" t="inlineStr">
        <is>
          <t>1930-12-08</t>
        </is>
      </c>
    </row>
    <row r="11350">
      <c r="A11350" s="1" t="n">
        <v>11349</v>
      </c>
      <c r="B11350">
        <f>TEXT(11349, "[$-0E0000]yyyy-mm-dd")</f>
        <v/>
      </c>
      <c r="C11350" t="inlineStr">
        <is>
          <t>1930-12-09</t>
        </is>
      </c>
    </row>
    <row r="11351">
      <c r="A11351" s="1" t="n">
        <v>11350</v>
      </c>
      <c r="B11351">
        <f>TEXT(11350, "[$-0E0000]yyyy-mm-dd")</f>
        <v/>
      </c>
      <c r="C11351" t="inlineStr">
        <is>
          <t>1930-12-10</t>
        </is>
      </c>
    </row>
    <row r="11352">
      <c r="A11352" s="1" t="n">
        <v>11351</v>
      </c>
      <c r="B11352">
        <f>TEXT(11351, "[$-0E0000]yyyy-mm-dd")</f>
        <v/>
      </c>
      <c r="C11352" t="inlineStr">
        <is>
          <t>1930-12-11</t>
        </is>
      </c>
    </row>
    <row r="11353">
      <c r="A11353" s="1" t="n">
        <v>11352</v>
      </c>
      <c r="B11353">
        <f>TEXT(11352, "[$-0E0000]yyyy-mm-dd")</f>
        <v/>
      </c>
      <c r="C11353" t="inlineStr">
        <is>
          <t>1930-12-12</t>
        </is>
      </c>
    </row>
    <row r="11354">
      <c r="A11354" s="1" t="n">
        <v>11353</v>
      </c>
      <c r="B11354">
        <f>TEXT(11353, "[$-0E0000]yyyy-mm-dd")</f>
        <v/>
      </c>
      <c r="C11354" t="inlineStr">
        <is>
          <t>1930-12-13</t>
        </is>
      </c>
    </row>
    <row r="11355">
      <c r="A11355" s="1" t="n">
        <v>11354</v>
      </c>
      <c r="B11355">
        <f>TEXT(11354, "[$-0E0000]yyyy-mm-dd")</f>
        <v/>
      </c>
      <c r="C11355" t="inlineStr">
        <is>
          <t>1930-12-14</t>
        </is>
      </c>
    </row>
    <row r="11356">
      <c r="A11356" s="1" t="n">
        <v>11355</v>
      </c>
      <c r="B11356">
        <f>TEXT(11355, "[$-0E0000]yyyy-mm-dd")</f>
        <v/>
      </c>
      <c r="C11356" t="inlineStr">
        <is>
          <t>1930-12-15</t>
        </is>
      </c>
    </row>
    <row r="11357">
      <c r="A11357" s="1" t="n">
        <v>11356</v>
      </c>
      <c r="B11357">
        <f>TEXT(11356, "[$-0E0000]yyyy-mm-dd")</f>
        <v/>
      </c>
      <c r="C11357" t="inlineStr">
        <is>
          <t>1930-12-16</t>
        </is>
      </c>
    </row>
    <row r="11358">
      <c r="A11358" s="1" t="n">
        <v>11357</v>
      </c>
      <c r="B11358">
        <f>TEXT(11357, "[$-0E0000]yyyy-mm-dd")</f>
        <v/>
      </c>
      <c r="C11358" t="inlineStr">
        <is>
          <t>1930-12-17</t>
        </is>
      </c>
    </row>
    <row r="11359">
      <c r="A11359" s="1" t="n">
        <v>11358</v>
      </c>
      <c r="B11359">
        <f>TEXT(11358, "[$-0E0000]yyyy-mm-dd")</f>
        <v/>
      </c>
      <c r="C11359" t="inlineStr">
        <is>
          <t>1930-12-18</t>
        </is>
      </c>
    </row>
    <row r="11360">
      <c r="A11360" s="1" t="n">
        <v>11359</v>
      </c>
      <c r="B11360">
        <f>TEXT(11359, "[$-0E0000]yyyy-mm-dd")</f>
        <v/>
      </c>
      <c r="C11360" t="inlineStr">
        <is>
          <t>1930-12-19</t>
        </is>
      </c>
    </row>
    <row r="11361">
      <c r="A11361" s="1" t="n">
        <v>11360</v>
      </c>
      <c r="B11361">
        <f>TEXT(11360, "[$-0E0000]yyyy-mm-dd")</f>
        <v/>
      </c>
      <c r="C11361" t="inlineStr">
        <is>
          <t>1930-12-20</t>
        </is>
      </c>
    </row>
    <row r="11362">
      <c r="A11362" s="1" t="n">
        <v>11361</v>
      </c>
      <c r="B11362">
        <f>TEXT(11361, "[$-0E0000]yyyy-mm-dd")</f>
        <v/>
      </c>
      <c r="C11362" t="inlineStr">
        <is>
          <t>1930-12-21</t>
        </is>
      </c>
    </row>
    <row r="11363">
      <c r="A11363" s="1" t="n">
        <v>11362</v>
      </c>
      <c r="B11363">
        <f>TEXT(11362, "[$-0E0000]yyyy-mm-dd")</f>
        <v/>
      </c>
      <c r="C11363" t="inlineStr">
        <is>
          <t>1930-12-22</t>
        </is>
      </c>
    </row>
    <row r="11364">
      <c r="A11364" s="1" t="n">
        <v>11363</v>
      </c>
      <c r="B11364">
        <f>TEXT(11363, "[$-0E0000]yyyy-mm-dd")</f>
        <v/>
      </c>
      <c r="C11364" t="inlineStr">
        <is>
          <t>1930-12-23</t>
        </is>
      </c>
    </row>
    <row r="11365">
      <c r="A11365" s="1" t="n">
        <v>11364</v>
      </c>
      <c r="B11365">
        <f>TEXT(11364, "[$-0E0000]yyyy-mm-dd")</f>
        <v/>
      </c>
      <c r="C11365" t="inlineStr">
        <is>
          <t>1930-12-24</t>
        </is>
      </c>
    </row>
    <row r="11366">
      <c r="A11366" s="1" t="n">
        <v>11365</v>
      </c>
      <c r="B11366">
        <f>TEXT(11365, "[$-0E0000]yyyy-mm-dd")</f>
        <v/>
      </c>
      <c r="C11366" t="inlineStr">
        <is>
          <t>1930-12-25</t>
        </is>
      </c>
    </row>
    <row r="11367">
      <c r="A11367" s="1" t="n">
        <v>11366</v>
      </c>
      <c r="B11367">
        <f>TEXT(11366, "[$-0E0000]yyyy-mm-dd")</f>
        <v/>
      </c>
      <c r="C11367" t="inlineStr">
        <is>
          <t>1930-12-26</t>
        </is>
      </c>
    </row>
    <row r="11368">
      <c r="A11368" s="1" t="n">
        <v>11367</v>
      </c>
      <c r="B11368">
        <f>TEXT(11367, "[$-0E0000]yyyy-mm-dd")</f>
        <v/>
      </c>
      <c r="C11368" t="inlineStr">
        <is>
          <t>1930-12-27</t>
        </is>
      </c>
    </row>
    <row r="11369">
      <c r="A11369" s="1" t="n">
        <v>11368</v>
      </c>
      <c r="B11369">
        <f>TEXT(11368, "[$-0E0000]yyyy-mm-dd")</f>
        <v/>
      </c>
      <c r="C11369" t="inlineStr">
        <is>
          <t>1930-12-28</t>
        </is>
      </c>
    </row>
    <row r="11370">
      <c r="A11370" s="1" t="n">
        <v>11369</v>
      </c>
      <c r="B11370">
        <f>TEXT(11369, "[$-0E0000]yyyy-mm-dd")</f>
        <v/>
      </c>
      <c r="C11370" t="inlineStr">
        <is>
          <t>1930-12-29</t>
        </is>
      </c>
    </row>
    <row r="11371">
      <c r="A11371" s="1" t="n">
        <v>11370</v>
      </c>
      <c r="B11371">
        <f>TEXT(11370, "[$-0E0000]yyyy-mm-dd")</f>
        <v/>
      </c>
      <c r="C11371" t="inlineStr">
        <is>
          <t>1931-01-01</t>
        </is>
      </c>
    </row>
    <row r="11372">
      <c r="A11372" s="1" t="n">
        <v>11371</v>
      </c>
      <c r="B11372">
        <f>TEXT(11371, "[$-0E0000]yyyy-mm-dd")</f>
        <v/>
      </c>
      <c r="C11372" t="inlineStr">
        <is>
          <t>1931-01-02</t>
        </is>
      </c>
    </row>
    <row r="11373">
      <c r="A11373" s="1" t="n">
        <v>11372</v>
      </c>
      <c r="B11373">
        <f>TEXT(11372, "[$-0E0000]yyyy-mm-dd")</f>
        <v/>
      </c>
      <c r="C11373" t="inlineStr">
        <is>
          <t>1931-01-03</t>
        </is>
      </c>
    </row>
    <row r="11374">
      <c r="A11374" s="1" t="n">
        <v>11373</v>
      </c>
      <c r="B11374">
        <f>TEXT(11373, "[$-0E0000]yyyy-mm-dd")</f>
        <v/>
      </c>
      <c r="C11374" t="inlineStr">
        <is>
          <t>1931-01-04</t>
        </is>
      </c>
    </row>
    <row r="11375">
      <c r="A11375" s="1" t="n">
        <v>11374</v>
      </c>
      <c r="B11375">
        <f>TEXT(11374, "[$-0E0000]yyyy-mm-dd")</f>
        <v/>
      </c>
      <c r="C11375" t="inlineStr">
        <is>
          <t>1931-01-05</t>
        </is>
      </c>
    </row>
    <row r="11376">
      <c r="A11376" s="1" t="n">
        <v>11375</v>
      </c>
      <c r="B11376">
        <f>TEXT(11375, "[$-0E0000]yyyy-mm-dd")</f>
        <v/>
      </c>
      <c r="C11376" t="inlineStr">
        <is>
          <t>1931-01-06</t>
        </is>
      </c>
    </row>
    <row r="11377">
      <c r="A11377" s="1" t="n">
        <v>11376</v>
      </c>
      <c r="B11377">
        <f>TEXT(11376, "[$-0E0000]yyyy-mm-dd")</f>
        <v/>
      </c>
      <c r="C11377" t="inlineStr">
        <is>
          <t>1931-01-07</t>
        </is>
      </c>
    </row>
    <row r="11378">
      <c r="A11378" s="1" t="n">
        <v>11377</v>
      </c>
      <c r="B11378">
        <f>TEXT(11377, "[$-0E0000]yyyy-mm-dd")</f>
        <v/>
      </c>
      <c r="C11378" t="inlineStr">
        <is>
          <t>1931-01-08</t>
        </is>
      </c>
    </row>
    <row r="11379">
      <c r="A11379" s="1" t="n">
        <v>11378</v>
      </c>
      <c r="B11379">
        <f>TEXT(11378, "[$-0E0000]yyyy-mm-dd")</f>
        <v/>
      </c>
      <c r="C11379" t="inlineStr">
        <is>
          <t>1931-01-09</t>
        </is>
      </c>
    </row>
    <row r="11380">
      <c r="A11380" s="1" t="n">
        <v>11379</v>
      </c>
      <c r="B11380">
        <f>TEXT(11379, "[$-0E0000]yyyy-mm-dd")</f>
        <v/>
      </c>
      <c r="C11380" t="inlineStr">
        <is>
          <t>1931-01-10</t>
        </is>
      </c>
    </row>
    <row r="11381">
      <c r="A11381" s="1" t="n">
        <v>11380</v>
      </c>
      <c r="B11381">
        <f>TEXT(11380, "[$-0E0000]yyyy-mm-dd")</f>
        <v/>
      </c>
      <c r="C11381" t="inlineStr">
        <is>
          <t>1931-01-11</t>
        </is>
      </c>
    </row>
    <row r="11382">
      <c r="A11382" s="1" t="n">
        <v>11381</v>
      </c>
      <c r="B11382">
        <f>TEXT(11381, "[$-0E0000]yyyy-mm-dd")</f>
        <v/>
      </c>
      <c r="C11382" t="inlineStr">
        <is>
          <t>1931-01-12</t>
        </is>
      </c>
    </row>
    <row r="11383">
      <c r="A11383" s="1" t="n">
        <v>11382</v>
      </c>
      <c r="B11383">
        <f>TEXT(11382, "[$-0E0000]yyyy-mm-dd")</f>
        <v/>
      </c>
      <c r="C11383" t="inlineStr">
        <is>
          <t>1931-01-13</t>
        </is>
      </c>
    </row>
    <row r="11384">
      <c r="A11384" s="1" t="n">
        <v>11383</v>
      </c>
      <c r="B11384">
        <f>TEXT(11383, "[$-0E0000]yyyy-mm-dd")</f>
        <v/>
      </c>
      <c r="C11384" t="inlineStr">
        <is>
          <t>1931-01-14</t>
        </is>
      </c>
    </row>
    <row r="11385">
      <c r="A11385" s="1" t="n">
        <v>11384</v>
      </c>
      <c r="B11385">
        <f>TEXT(11384, "[$-0E0000]yyyy-mm-dd")</f>
        <v/>
      </c>
      <c r="C11385" t="inlineStr">
        <is>
          <t>1931-01-15</t>
        </is>
      </c>
    </row>
    <row r="11386">
      <c r="A11386" s="1" t="n">
        <v>11385</v>
      </c>
      <c r="B11386">
        <f>TEXT(11385, "[$-0E0000]yyyy-mm-dd")</f>
        <v/>
      </c>
      <c r="C11386" t="inlineStr">
        <is>
          <t>1931-01-16</t>
        </is>
      </c>
    </row>
    <row r="11387">
      <c r="A11387" s="1" t="n">
        <v>11386</v>
      </c>
      <c r="B11387">
        <f>TEXT(11386, "[$-0E0000]yyyy-mm-dd")</f>
        <v/>
      </c>
      <c r="C11387" t="inlineStr">
        <is>
          <t>1931-01-17</t>
        </is>
      </c>
    </row>
    <row r="11388">
      <c r="A11388" s="1" t="n">
        <v>11387</v>
      </c>
      <c r="B11388">
        <f>TEXT(11387, "[$-0E0000]yyyy-mm-dd")</f>
        <v/>
      </c>
      <c r="C11388" t="inlineStr">
        <is>
          <t>1931-01-18</t>
        </is>
      </c>
    </row>
    <row r="11389">
      <c r="A11389" s="1" t="n">
        <v>11388</v>
      </c>
      <c r="B11389">
        <f>TEXT(11388, "[$-0E0000]yyyy-mm-dd")</f>
        <v/>
      </c>
      <c r="C11389" t="inlineStr">
        <is>
          <t>1931-01-19</t>
        </is>
      </c>
    </row>
    <row r="11390">
      <c r="A11390" s="1" t="n">
        <v>11389</v>
      </c>
      <c r="B11390">
        <f>TEXT(11389, "[$-0E0000]yyyy-mm-dd")</f>
        <v/>
      </c>
      <c r="C11390" t="inlineStr">
        <is>
          <t>1931-01-20</t>
        </is>
      </c>
    </row>
    <row r="11391">
      <c r="A11391" s="1" t="n">
        <v>11390</v>
      </c>
      <c r="B11391">
        <f>TEXT(11390, "[$-0E0000]yyyy-mm-dd")</f>
        <v/>
      </c>
      <c r="C11391" t="inlineStr">
        <is>
          <t>1931-01-21</t>
        </is>
      </c>
    </row>
    <row r="11392">
      <c r="A11392" s="1" t="n">
        <v>11391</v>
      </c>
      <c r="B11392">
        <f>TEXT(11391, "[$-0E0000]yyyy-mm-dd")</f>
        <v/>
      </c>
      <c r="C11392" t="inlineStr">
        <is>
          <t>1931-01-22</t>
        </is>
      </c>
    </row>
    <row r="11393">
      <c r="A11393" s="1" t="n">
        <v>11392</v>
      </c>
      <c r="B11393">
        <f>TEXT(11392, "[$-0E0000]yyyy-mm-dd")</f>
        <v/>
      </c>
      <c r="C11393" t="inlineStr">
        <is>
          <t>1931-01-23</t>
        </is>
      </c>
    </row>
    <row r="11394">
      <c r="A11394" s="1" t="n">
        <v>11393</v>
      </c>
      <c r="B11394">
        <f>TEXT(11393, "[$-0E0000]yyyy-mm-dd")</f>
        <v/>
      </c>
      <c r="C11394" t="inlineStr">
        <is>
          <t>1931-01-24</t>
        </is>
      </c>
    </row>
    <row r="11395">
      <c r="A11395" s="1" t="n">
        <v>11394</v>
      </c>
      <c r="B11395">
        <f>TEXT(11394, "[$-0E0000]yyyy-mm-dd")</f>
        <v/>
      </c>
      <c r="C11395" t="inlineStr">
        <is>
          <t>1931-01-25</t>
        </is>
      </c>
    </row>
    <row r="11396">
      <c r="A11396" s="1" t="n">
        <v>11395</v>
      </c>
      <c r="B11396">
        <f>TEXT(11395, "[$-0E0000]yyyy-mm-dd")</f>
        <v/>
      </c>
      <c r="C11396" t="inlineStr">
        <is>
          <t>1931-01-26</t>
        </is>
      </c>
    </row>
    <row r="11397">
      <c r="A11397" s="1" t="n">
        <v>11396</v>
      </c>
      <c r="B11397">
        <f>TEXT(11396, "[$-0E0000]yyyy-mm-dd")</f>
        <v/>
      </c>
      <c r="C11397" t="inlineStr">
        <is>
          <t>1931-01-27</t>
        </is>
      </c>
    </row>
    <row r="11398">
      <c r="A11398" s="1" t="n">
        <v>11397</v>
      </c>
      <c r="B11398">
        <f>TEXT(11397, "[$-0E0000]yyyy-mm-dd")</f>
        <v/>
      </c>
      <c r="C11398" t="inlineStr">
        <is>
          <t>1931-01-28</t>
        </is>
      </c>
    </row>
    <row r="11399">
      <c r="A11399" s="1" t="n">
        <v>11398</v>
      </c>
      <c r="B11399">
        <f>TEXT(11398, "[$-0E0000]yyyy-mm-dd")</f>
        <v/>
      </c>
      <c r="C11399" t="inlineStr">
        <is>
          <t>1931-01-29</t>
        </is>
      </c>
    </row>
    <row r="11400">
      <c r="A11400" s="1" t="n">
        <v>11399</v>
      </c>
      <c r="B11400">
        <f>TEXT(11399, "[$-0E0000]yyyy-mm-dd")</f>
        <v/>
      </c>
      <c r="C11400" t="inlineStr">
        <is>
          <t>1931-01-30</t>
        </is>
      </c>
    </row>
    <row r="11401">
      <c r="A11401" s="1" t="n">
        <v>11400</v>
      </c>
      <c r="B11401">
        <f>TEXT(11400, "[$-0E0000]yyyy-mm-dd")</f>
        <v/>
      </c>
      <c r="C11401" t="inlineStr">
        <is>
          <t>1931-02-01</t>
        </is>
      </c>
    </row>
    <row r="11402">
      <c r="A11402" s="1" t="n">
        <v>11401</v>
      </c>
      <c r="B11402">
        <f>TEXT(11401, "[$-0E0000]yyyy-mm-dd")</f>
        <v/>
      </c>
      <c r="C11402" t="inlineStr">
        <is>
          <t>1931-02-02</t>
        </is>
      </c>
    </row>
    <row r="11403">
      <c r="A11403" s="1" t="n">
        <v>11402</v>
      </c>
      <c r="B11403">
        <f>TEXT(11402, "[$-0E0000]yyyy-mm-dd")</f>
        <v/>
      </c>
      <c r="C11403" t="inlineStr">
        <is>
          <t>1931-02-03</t>
        </is>
      </c>
    </row>
    <row r="11404">
      <c r="A11404" s="1" t="n">
        <v>11403</v>
      </c>
      <c r="B11404">
        <f>TEXT(11403, "[$-0E0000]yyyy-mm-dd")</f>
        <v/>
      </c>
      <c r="C11404" t="inlineStr">
        <is>
          <t>1931-02-04</t>
        </is>
      </c>
    </row>
    <row r="11405">
      <c r="A11405" s="1" t="n">
        <v>11404</v>
      </c>
      <c r="B11405">
        <f>TEXT(11404, "[$-0E0000]yyyy-mm-dd")</f>
        <v/>
      </c>
      <c r="C11405" t="inlineStr">
        <is>
          <t>1931-02-05</t>
        </is>
      </c>
    </row>
    <row r="11406">
      <c r="A11406" s="1" t="n">
        <v>11405</v>
      </c>
      <c r="B11406">
        <f>TEXT(11405, "[$-0E0000]yyyy-mm-dd")</f>
        <v/>
      </c>
      <c r="C11406" t="inlineStr">
        <is>
          <t>1931-02-06</t>
        </is>
      </c>
    </row>
    <row r="11407">
      <c r="A11407" s="1" t="n">
        <v>11406</v>
      </c>
      <c r="B11407">
        <f>TEXT(11406, "[$-0E0000]yyyy-mm-dd")</f>
        <v/>
      </c>
      <c r="C11407" t="inlineStr">
        <is>
          <t>1931-02-07</t>
        </is>
      </c>
    </row>
    <row r="11408">
      <c r="A11408" s="1" t="n">
        <v>11407</v>
      </c>
      <c r="B11408">
        <f>TEXT(11407, "[$-0E0000]yyyy-mm-dd")</f>
        <v/>
      </c>
      <c r="C11408" t="inlineStr">
        <is>
          <t>1931-02-08</t>
        </is>
      </c>
    </row>
    <row r="11409">
      <c r="A11409" s="1" t="n">
        <v>11408</v>
      </c>
      <c r="B11409">
        <f>TEXT(11408, "[$-0E0000]yyyy-mm-dd")</f>
        <v/>
      </c>
      <c r="C11409" t="inlineStr">
        <is>
          <t>1931-02-09</t>
        </is>
      </c>
    </row>
    <row r="11410">
      <c r="A11410" s="1" t="n">
        <v>11409</v>
      </c>
      <c r="B11410">
        <f>TEXT(11409, "[$-0E0000]yyyy-mm-dd")</f>
        <v/>
      </c>
      <c r="C11410" t="inlineStr">
        <is>
          <t>1931-02-10</t>
        </is>
      </c>
    </row>
    <row r="11411">
      <c r="A11411" s="1" t="n">
        <v>11410</v>
      </c>
      <c r="B11411">
        <f>TEXT(11410, "[$-0E0000]yyyy-mm-dd")</f>
        <v/>
      </c>
      <c r="C11411" t="inlineStr">
        <is>
          <t>1931-02-11</t>
        </is>
      </c>
    </row>
    <row r="11412">
      <c r="A11412" s="1" t="n">
        <v>11411</v>
      </c>
      <c r="B11412">
        <f>TEXT(11411, "[$-0E0000]yyyy-mm-dd")</f>
        <v/>
      </c>
      <c r="C11412" t="inlineStr">
        <is>
          <t>1931-02-12</t>
        </is>
      </c>
    </row>
    <row r="11413">
      <c r="A11413" s="1" t="n">
        <v>11412</v>
      </c>
      <c r="B11413">
        <f>TEXT(11412, "[$-0E0000]yyyy-mm-dd")</f>
        <v/>
      </c>
      <c r="C11413" t="inlineStr">
        <is>
          <t>1931-02-13</t>
        </is>
      </c>
    </row>
    <row r="11414">
      <c r="A11414" s="1" t="n">
        <v>11413</v>
      </c>
      <c r="B11414">
        <f>TEXT(11413, "[$-0E0000]yyyy-mm-dd")</f>
        <v/>
      </c>
      <c r="C11414" t="inlineStr">
        <is>
          <t>1931-02-14</t>
        </is>
      </c>
    </row>
    <row r="11415">
      <c r="A11415" s="1" t="n">
        <v>11414</v>
      </c>
      <c r="B11415">
        <f>TEXT(11414, "[$-0E0000]yyyy-mm-dd")</f>
        <v/>
      </c>
      <c r="C11415" t="inlineStr">
        <is>
          <t>1931-02-15</t>
        </is>
      </c>
    </row>
    <row r="11416">
      <c r="A11416" s="1" t="n">
        <v>11415</v>
      </c>
      <c r="B11416">
        <f>TEXT(11415, "[$-0E0000]yyyy-mm-dd")</f>
        <v/>
      </c>
      <c r="C11416" t="inlineStr">
        <is>
          <t>1931-02-16</t>
        </is>
      </c>
    </row>
    <row r="11417">
      <c r="A11417" s="1" t="n">
        <v>11416</v>
      </c>
      <c r="B11417">
        <f>TEXT(11416, "[$-0E0000]yyyy-mm-dd")</f>
        <v/>
      </c>
      <c r="C11417" t="inlineStr">
        <is>
          <t>1931-02-17</t>
        </is>
      </c>
    </row>
    <row r="11418">
      <c r="A11418" s="1" t="n">
        <v>11417</v>
      </c>
      <c r="B11418">
        <f>TEXT(11417, "[$-0E0000]yyyy-mm-dd")</f>
        <v/>
      </c>
      <c r="C11418" t="inlineStr">
        <is>
          <t>1931-02-18</t>
        </is>
      </c>
    </row>
    <row r="11419">
      <c r="A11419" s="1" t="n">
        <v>11418</v>
      </c>
      <c r="B11419">
        <f>TEXT(11418, "[$-0E0000]yyyy-mm-dd")</f>
        <v/>
      </c>
      <c r="C11419" t="inlineStr">
        <is>
          <t>1931-02-19</t>
        </is>
      </c>
    </row>
    <row r="11420">
      <c r="A11420" s="1" t="n">
        <v>11419</v>
      </c>
      <c r="B11420">
        <f>TEXT(11419, "[$-0E0000]yyyy-mm-dd")</f>
        <v/>
      </c>
      <c r="C11420" t="inlineStr">
        <is>
          <t>1931-02-20</t>
        </is>
      </c>
    </row>
    <row r="11421">
      <c r="A11421" s="1" t="n">
        <v>11420</v>
      </c>
      <c r="B11421">
        <f>TEXT(11420, "[$-0E0000]yyyy-mm-dd")</f>
        <v/>
      </c>
      <c r="C11421" t="inlineStr">
        <is>
          <t>1931-02-21</t>
        </is>
      </c>
    </row>
    <row r="11422">
      <c r="A11422" s="1" t="n">
        <v>11421</v>
      </c>
      <c r="B11422">
        <f>TEXT(11421, "[$-0E0000]yyyy-mm-dd")</f>
        <v/>
      </c>
      <c r="C11422" t="inlineStr">
        <is>
          <t>1931-02-22</t>
        </is>
      </c>
    </row>
    <row r="11423">
      <c r="A11423" s="1" t="n">
        <v>11422</v>
      </c>
      <c r="B11423">
        <f>TEXT(11422, "[$-0E0000]yyyy-mm-dd")</f>
        <v/>
      </c>
      <c r="C11423" t="inlineStr">
        <is>
          <t>1931-02-23</t>
        </is>
      </c>
    </row>
    <row r="11424">
      <c r="A11424" s="1" t="n">
        <v>11423</v>
      </c>
      <c r="B11424">
        <f>TEXT(11423, "[$-0E0000]yyyy-mm-dd")</f>
        <v/>
      </c>
      <c r="C11424" t="inlineStr">
        <is>
          <t>1931-02-24</t>
        </is>
      </c>
    </row>
    <row r="11425">
      <c r="A11425" s="1" t="n">
        <v>11424</v>
      </c>
      <c r="B11425">
        <f>TEXT(11424, "[$-0E0000]yyyy-mm-dd")</f>
        <v/>
      </c>
      <c r="C11425" t="inlineStr">
        <is>
          <t>1931-02-25</t>
        </is>
      </c>
    </row>
    <row r="11426">
      <c r="A11426" s="1" t="n">
        <v>11425</v>
      </c>
      <c r="B11426">
        <f>TEXT(11425, "[$-0E0000]yyyy-mm-dd")</f>
        <v/>
      </c>
      <c r="C11426" t="inlineStr">
        <is>
          <t>1931-02-26</t>
        </is>
      </c>
    </row>
    <row r="11427">
      <c r="A11427" s="1" t="n">
        <v>11426</v>
      </c>
      <c r="B11427">
        <f>TEXT(11426, "[$-0E0000]yyyy-mm-dd")</f>
        <v/>
      </c>
      <c r="C11427" t="inlineStr">
        <is>
          <t>1931-02-27</t>
        </is>
      </c>
    </row>
    <row r="11428">
      <c r="A11428" s="1" t="n">
        <v>11427</v>
      </c>
      <c r="B11428">
        <f>TEXT(11427, "[$-0E0000]yyyy-mm-dd")</f>
        <v/>
      </c>
      <c r="C11428" t="inlineStr">
        <is>
          <t>1931-02-28</t>
        </is>
      </c>
    </row>
    <row r="11429">
      <c r="A11429" s="1" t="n">
        <v>11428</v>
      </c>
      <c r="B11429">
        <f>TEXT(11428, "[$-0E0000]yyyy-mm-dd")</f>
        <v/>
      </c>
      <c r="C11429" t="inlineStr">
        <is>
          <t>1931-02-29</t>
        </is>
      </c>
    </row>
    <row r="11430">
      <c r="A11430" s="1" t="n">
        <v>11429</v>
      </c>
      <c r="B11430">
        <f>TEXT(11429, "[$-0E0000]yyyy-mm-dd")</f>
        <v/>
      </c>
      <c r="C11430" t="inlineStr">
        <is>
          <t>1931-02-30</t>
        </is>
      </c>
    </row>
    <row r="11431">
      <c r="A11431" s="1" t="n">
        <v>11430</v>
      </c>
      <c r="B11431">
        <f>TEXT(11430, "[$-0E0000]yyyy-mm-dd")</f>
        <v/>
      </c>
      <c r="C11431" t="inlineStr">
        <is>
          <t>1931-03-01</t>
        </is>
      </c>
    </row>
    <row r="11432">
      <c r="A11432" s="1" t="n">
        <v>11431</v>
      </c>
      <c r="B11432">
        <f>TEXT(11431, "[$-0E0000]yyyy-mm-dd")</f>
        <v/>
      </c>
      <c r="C11432" t="inlineStr">
        <is>
          <t>1931-03-02</t>
        </is>
      </c>
    </row>
    <row r="11433">
      <c r="A11433" s="1" t="n">
        <v>11432</v>
      </c>
      <c r="B11433">
        <f>TEXT(11432, "[$-0E0000]yyyy-mm-dd")</f>
        <v/>
      </c>
      <c r="C11433" t="inlineStr">
        <is>
          <t>1931-03-03</t>
        </is>
      </c>
    </row>
    <row r="11434">
      <c r="A11434" s="1" t="n">
        <v>11433</v>
      </c>
      <c r="B11434">
        <f>TEXT(11433, "[$-0E0000]yyyy-mm-dd")</f>
        <v/>
      </c>
      <c r="C11434" t="inlineStr">
        <is>
          <t>1931-03-04</t>
        </is>
      </c>
    </row>
    <row r="11435">
      <c r="A11435" s="1" t="n">
        <v>11434</v>
      </c>
      <c r="B11435">
        <f>TEXT(11434, "[$-0E0000]yyyy-mm-dd")</f>
        <v/>
      </c>
      <c r="C11435" t="inlineStr">
        <is>
          <t>1931-03-05</t>
        </is>
      </c>
    </row>
    <row r="11436">
      <c r="A11436" s="1" t="n">
        <v>11435</v>
      </c>
      <c r="B11436">
        <f>TEXT(11435, "[$-0E0000]yyyy-mm-dd")</f>
        <v/>
      </c>
      <c r="C11436" t="inlineStr">
        <is>
          <t>1931-03-06</t>
        </is>
      </c>
    </row>
    <row r="11437">
      <c r="A11437" s="1" t="n">
        <v>11436</v>
      </c>
      <c r="B11437">
        <f>TEXT(11436, "[$-0E0000]yyyy-mm-dd")</f>
        <v/>
      </c>
      <c r="C11437" t="inlineStr">
        <is>
          <t>1931-03-07</t>
        </is>
      </c>
    </row>
    <row r="11438">
      <c r="A11438" s="1" t="n">
        <v>11437</v>
      </c>
      <c r="B11438">
        <f>TEXT(11437, "[$-0E0000]yyyy-mm-dd")</f>
        <v/>
      </c>
      <c r="C11438" t="inlineStr">
        <is>
          <t>1931-03-08</t>
        </is>
      </c>
    </row>
    <row r="11439">
      <c r="A11439" s="1" t="n">
        <v>11438</v>
      </c>
      <c r="B11439">
        <f>TEXT(11438, "[$-0E0000]yyyy-mm-dd")</f>
        <v/>
      </c>
      <c r="C11439" t="inlineStr">
        <is>
          <t>1931-03-09</t>
        </is>
      </c>
    </row>
    <row r="11440">
      <c r="A11440" s="1" t="n">
        <v>11439</v>
      </c>
      <c r="B11440">
        <f>TEXT(11439, "[$-0E0000]yyyy-mm-dd")</f>
        <v/>
      </c>
      <c r="C11440" t="inlineStr">
        <is>
          <t>1931-03-10</t>
        </is>
      </c>
    </row>
    <row r="11441">
      <c r="A11441" s="1" t="n">
        <v>11440</v>
      </c>
      <c r="B11441">
        <f>TEXT(11440, "[$-0E0000]yyyy-mm-dd")</f>
        <v/>
      </c>
      <c r="C11441" t="inlineStr">
        <is>
          <t>1931-03-11</t>
        </is>
      </c>
    </row>
    <row r="11442">
      <c r="A11442" s="1" t="n">
        <v>11441</v>
      </c>
      <c r="B11442">
        <f>TEXT(11441, "[$-0E0000]yyyy-mm-dd")</f>
        <v/>
      </c>
      <c r="C11442" t="inlineStr">
        <is>
          <t>1931-03-12</t>
        </is>
      </c>
    </row>
    <row r="11443">
      <c r="A11443" s="1" t="n">
        <v>11442</v>
      </c>
      <c r="B11443">
        <f>TEXT(11442, "[$-0E0000]yyyy-mm-dd")</f>
        <v/>
      </c>
      <c r="C11443" t="inlineStr">
        <is>
          <t>1931-03-13</t>
        </is>
      </c>
    </row>
    <row r="11444">
      <c r="A11444" s="1" t="n">
        <v>11443</v>
      </c>
      <c r="B11444">
        <f>TEXT(11443, "[$-0E0000]yyyy-mm-dd")</f>
        <v/>
      </c>
      <c r="C11444" t="inlineStr">
        <is>
          <t>1931-03-14</t>
        </is>
      </c>
    </row>
    <row r="11445">
      <c r="A11445" s="1" t="n">
        <v>11444</v>
      </c>
      <c r="B11445">
        <f>TEXT(11444, "[$-0E0000]yyyy-mm-dd")</f>
        <v/>
      </c>
      <c r="C11445" t="inlineStr">
        <is>
          <t>1931-03-15</t>
        </is>
      </c>
    </row>
    <row r="11446">
      <c r="A11446" s="1" t="n">
        <v>11445</v>
      </c>
      <c r="B11446">
        <f>TEXT(11445, "[$-0E0000]yyyy-mm-dd")</f>
        <v/>
      </c>
      <c r="C11446" t="inlineStr">
        <is>
          <t>1931-03-16</t>
        </is>
      </c>
    </row>
    <row r="11447">
      <c r="A11447" s="1" t="n">
        <v>11446</v>
      </c>
      <c r="B11447">
        <f>TEXT(11446, "[$-0E0000]yyyy-mm-dd")</f>
        <v/>
      </c>
      <c r="C11447" t="inlineStr">
        <is>
          <t>1931-03-17</t>
        </is>
      </c>
    </row>
    <row r="11448">
      <c r="A11448" s="1" t="n">
        <v>11447</v>
      </c>
      <c r="B11448">
        <f>TEXT(11447, "[$-0E0000]yyyy-mm-dd")</f>
        <v/>
      </c>
      <c r="C11448" t="inlineStr">
        <is>
          <t>1931-03-18</t>
        </is>
      </c>
    </row>
    <row r="11449">
      <c r="A11449" s="1" t="n">
        <v>11448</v>
      </c>
      <c r="B11449">
        <f>TEXT(11448, "[$-0E0000]yyyy-mm-dd")</f>
        <v/>
      </c>
      <c r="C11449" t="inlineStr">
        <is>
          <t>1931-03-19</t>
        </is>
      </c>
    </row>
    <row r="11450">
      <c r="A11450" s="1" t="n">
        <v>11449</v>
      </c>
      <c r="B11450">
        <f>TEXT(11449, "[$-0E0000]yyyy-mm-dd")</f>
        <v/>
      </c>
      <c r="C11450" t="inlineStr">
        <is>
          <t>1931-03-20</t>
        </is>
      </c>
    </row>
    <row r="11451">
      <c r="A11451" s="1" t="n">
        <v>11450</v>
      </c>
      <c r="B11451">
        <f>TEXT(11450, "[$-0E0000]yyyy-mm-dd")</f>
        <v/>
      </c>
      <c r="C11451" t="inlineStr">
        <is>
          <t>1931-03-21</t>
        </is>
      </c>
    </row>
    <row r="11452">
      <c r="A11452" s="1" t="n">
        <v>11451</v>
      </c>
      <c r="B11452">
        <f>TEXT(11451, "[$-0E0000]yyyy-mm-dd")</f>
        <v/>
      </c>
      <c r="C11452" t="inlineStr">
        <is>
          <t>1931-03-22</t>
        </is>
      </c>
    </row>
    <row r="11453">
      <c r="A11453" s="1" t="n">
        <v>11452</v>
      </c>
      <c r="B11453">
        <f>TEXT(11452, "[$-0E0000]yyyy-mm-dd")</f>
        <v/>
      </c>
      <c r="C11453" t="inlineStr">
        <is>
          <t>1931-03-23</t>
        </is>
      </c>
    </row>
    <row r="11454">
      <c r="A11454" s="1" t="n">
        <v>11453</v>
      </c>
      <c r="B11454">
        <f>TEXT(11453, "[$-0E0000]yyyy-mm-dd")</f>
        <v/>
      </c>
      <c r="C11454" t="inlineStr">
        <is>
          <t>1931-03-24</t>
        </is>
      </c>
    </row>
    <row r="11455">
      <c r="A11455" s="1" t="n">
        <v>11454</v>
      </c>
      <c r="B11455">
        <f>TEXT(11454, "[$-0E0000]yyyy-mm-dd")</f>
        <v/>
      </c>
      <c r="C11455" t="inlineStr">
        <is>
          <t>1931-03-25</t>
        </is>
      </c>
    </row>
    <row r="11456">
      <c r="A11456" s="1" t="n">
        <v>11455</v>
      </c>
      <c r="B11456">
        <f>TEXT(11455, "[$-0E0000]yyyy-mm-dd")</f>
        <v/>
      </c>
      <c r="C11456" t="inlineStr">
        <is>
          <t>1931-03-26</t>
        </is>
      </c>
    </row>
    <row r="11457">
      <c r="A11457" s="1" t="n">
        <v>11456</v>
      </c>
      <c r="B11457">
        <f>TEXT(11456, "[$-0E0000]yyyy-mm-dd")</f>
        <v/>
      </c>
      <c r="C11457" t="inlineStr">
        <is>
          <t>1931-03-27</t>
        </is>
      </c>
    </row>
    <row r="11458">
      <c r="A11458" s="1" t="n">
        <v>11457</v>
      </c>
      <c r="B11458">
        <f>TEXT(11457, "[$-0E0000]yyyy-mm-dd")</f>
        <v/>
      </c>
      <c r="C11458" t="inlineStr">
        <is>
          <t>1931-03-28</t>
        </is>
      </c>
    </row>
    <row r="11459">
      <c r="A11459" s="1" t="n">
        <v>11458</v>
      </c>
      <c r="B11459">
        <f>TEXT(11458, "[$-0E0000]yyyy-mm-dd")</f>
        <v/>
      </c>
      <c r="C11459" t="inlineStr">
        <is>
          <t>1931-03-29</t>
        </is>
      </c>
    </row>
    <row r="11460">
      <c r="A11460" s="1" t="n">
        <v>11459</v>
      </c>
      <c r="B11460">
        <f>TEXT(11459, "[$-0E0000]yyyy-mm-dd")</f>
        <v/>
      </c>
      <c r="C11460" t="inlineStr">
        <is>
          <t>1931-04-01</t>
        </is>
      </c>
    </row>
    <row r="11461">
      <c r="A11461" s="1" t="n">
        <v>11460</v>
      </c>
      <c r="B11461">
        <f>TEXT(11460, "[$-0E0000]yyyy-mm-dd")</f>
        <v/>
      </c>
      <c r="C11461" t="inlineStr">
        <is>
          <t>1931-04-02</t>
        </is>
      </c>
    </row>
    <row r="11462">
      <c r="A11462" s="1" t="n">
        <v>11461</v>
      </c>
      <c r="B11462">
        <f>TEXT(11461, "[$-0E0000]yyyy-mm-dd")</f>
        <v/>
      </c>
      <c r="C11462" t="inlineStr">
        <is>
          <t>1931-04-03</t>
        </is>
      </c>
    </row>
    <row r="11463">
      <c r="A11463" s="1" t="n">
        <v>11462</v>
      </c>
      <c r="B11463">
        <f>TEXT(11462, "[$-0E0000]yyyy-mm-dd")</f>
        <v/>
      </c>
      <c r="C11463" t="inlineStr">
        <is>
          <t>1931-04-04</t>
        </is>
      </c>
    </row>
    <row r="11464">
      <c r="A11464" s="1" t="n">
        <v>11463</v>
      </c>
      <c r="B11464">
        <f>TEXT(11463, "[$-0E0000]yyyy-mm-dd")</f>
        <v/>
      </c>
      <c r="C11464" t="inlineStr">
        <is>
          <t>1931-04-05</t>
        </is>
      </c>
    </row>
    <row r="11465">
      <c r="A11465" s="1" t="n">
        <v>11464</v>
      </c>
      <c r="B11465">
        <f>TEXT(11464, "[$-0E0000]yyyy-mm-dd")</f>
        <v/>
      </c>
      <c r="C11465" t="inlineStr">
        <is>
          <t>1931-04-06</t>
        </is>
      </c>
    </row>
    <row r="11466">
      <c r="A11466" s="1" t="n">
        <v>11465</v>
      </c>
      <c r="B11466">
        <f>TEXT(11465, "[$-0E0000]yyyy-mm-dd")</f>
        <v/>
      </c>
      <c r="C11466" t="inlineStr">
        <is>
          <t>1931-04-07</t>
        </is>
      </c>
    </row>
    <row r="11467">
      <c r="A11467" s="1" t="n">
        <v>11466</v>
      </c>
      <c r="B11467">
        <f>TEXT(11466, "[$-0E0000]yyyy-mm-dd")</f>
        <v/>
      </c>
      <c r="C11467" t="inlineStr">
        <is>
          <t>1931-04-08</t>
        </is>
      </c>
    </row>
    <row r="11468">
      <c r="A11468" s="1" t="n">
        <v>11467</v>
      </c>
      <c r="B11468">
        <f>TEXT(11467, "[$-0E0000]yyyy-mm-dd")</f>
        <v/>
      </c>
      <c r="C11468" t="inlineStr">
        <is>
          <t>1931-04-09</t>
        </is>
      </c>
    </row>
    <row r="11469">
      <c r="A11469" s="1" t="n">
        <v>11468</v>
      </c>
      <c r="B11469">
        <f>TEXT(11468, "[$-0E0000]yyyy-mm-dd")</f>
        <v/>
      </c>
      <c r="C11469" t="inlineStr">
        <is>
          <t>1931-04-10</t>
        </is>
      </c>
    </row>
    <row r="11470">
      <c r="A11470" s="1" t="n">
        <v>11469</v>
      </c>
      <c r="B11470">
        <f>TEXT(11469, "[$-0E0000]yyyy-mm-dd")</f>
        <v/>
      </c>
      <c r="C11470" t="inlineStr">
        <is>
          <t>1931-04-11</t>
        </is>
      </c>
    </row>
    <row r="11471">
      <c r="A11471" s="1" t="n">
        <v>11470</v>
      </c>
      <c r="B11471">
        <f>TEXT(11470, "[$-0E0000]yyyy-mm-dd")</f>
        <v/>
      </c>
      <c r="C11471" t="inlineStr">
        <is>
          <t>1931-04-12</t>
        </is>
      </c>
    </row>
    <row r="11472">
      <c r="A11472" s="1" t="n">
        <v>11471</v>
      </c>
      <c r="B11472">
        <f>TEXT(11471, "[$-0E0000]yyyy-mm-dd")</f>
        <v/>
      </c>
      <c r="C11472" t="inlineStr">
        <is>
          <t>1931-04-13</t>
        </is>
      </c>
    </row>
    <row r="11473">
      <c r="A11473" s="1" t="n">
        <v>11472</v>
      </c>
      <c r="B11473">
        <f>TEXT(11472, "[$-0E0000]yyyy-mm-dd")</f>
        <v/>
      </c>
      <c r="C11473" t="inlineStr">
        <is>
          <t>1931-04-14</t>
        </is>
      </c>
    </row>
    <row r="11474">
      <c r="A11474" s="1" t="n">
        <v>11473</v>
      </c>
      <c r="B11474">
        <f>TEXT(11473, "[$-0E0000]yyyy-mm-dd")</f>
        <v/>
      </c>
      <c r="C11474" t="inlineStr">
        <is>
          <t>1931-04-15</t>
        </is>
      </c>
    </row>
    <row r="11475">
      <c r="A11475" s="1" t="n">
        <v>11474</v>
      </c>
      <c r="B11475">
        <f>TEXT(11474, "[$-0E0000]yyyy-mm-dd")</f>
        <v/>
      </c>
      <c r="C11475" t="inlineStr">
        <is>
          <t>1931-04-16</t>
        </is>
      </c>
    </row>
    <row r="11476">
      <c r="A11476" s="1" t="n">
        <v>11475</v>
      </c>
      <c r="B11476">
        <f>TEXT(11475, "[$-0E0000]yyyy-mm-dd")</f>
        <v/>
      </c>
      <c r="C11476" t="inlineStr">
        <is>
          <t>1931-04-17</t>
        </is>
      </c>
    </row>
    <row r="11477">
      <c r="A11477" s="1" t="n">
        <v>11476</v>
      </c>
      <c r="B11477">
        <f>TEXT(11476, "[$-0E0000]yyyy-mm-dd")</f>
        <v/>
      </c>
      <c r="C11477" t="inlineStr">
        <is>
          <t>1931-04-18</t>
        </is>
      </c>
    </row>
    <row r="11478">
      <c r="A11478" s="1" t="n">
        <v>11477</v>
      </c>
      <c r="B11478">
        <f>TEXT(11477, "[$-0E0000]yyyy-mm-dd")</f>
        <v/>
      </c>
      <c r="C11478" t="inlineStr">
        <is>
          <t>1931-04-19</t>
        </is>
      </c>
    </row>
    <row r="11479">
      <c r="A11479" s="1" t="n">
        <v>11478</v>
      </c>
      <c r="B11479">
        <f>TEXT(11478, "[$-0E0000]yyyy-mm-dd")</f>
        <v/>
      </c>
      <c r="C11479" t="inlineStr">
        <is>
          <t>1931-04-20</t>
        </is>
      </c>
    </row>
    <row r="11480">
      <c r="A11480" s="1" t="n">
        <v>11479</v>
      </c>
      <c r="B11480">
        <f>TEXT(11479, "[$-0E0000]yyyy-mm-dd")</f>
        <v/>
      </c>
      <c r="C11480" t="inlineStr">
        <is>
          <t>1931-04-21</t>
        </is>
      </c>
    </row>
    <row r="11481">
      <c r="A11481" s="1" t="n">
        <v>11480</v>
      </c>
      <c r="B11481">
        <f>TEXT(11480, "[$-0E0000]yyyy-mm-dd")</f>
        <v/>
      </c>
      <c r="C11481" t="inlineStr">
        <is>
          <t>1931-04-22</t>
        </is>
      </c>
    </row>
    <row r="11482">
      <c r="A11482" s="1" t="n">
        <v>11481</v>
      </c>
      <c r="B11482">
        <f>TEXT(11481, "[$-0E0000]yyyy-mm-dd")</f>
        <v/>
      </c>
      <c r="C11482" t="inlineStr">
        <is>
          <t>1931-04-23</t>
        </is>
      </c>
    </row>
    <row r="11483">
      <c r="A11483" s="1" t="n">
        <v>11482</v>
      </c>
      <c r="B11483">
        <f>TEXT(11482, "[$-0E0000]yyyy-mm-dd")</f>
        <v/>
      </c>
      <c r="C11483" t="inlineStr">
        <is>
          <t>1931-04-24</t>
        </is>
      </c>
    </row>
    <row r="11484">
      <c r="A11484" s="1" t="n">
        <v>11483</v>
      </c>
      <c r="B11484">
        <f>TEXT(11483, "[$-0E0000]yyyy-mm-dd")</f>
        <v/>
      </c>
      <c r="C11484" t="inlineStr">
        <is>
          <t>1931-04-25</t>
        </is>
      </c>
    </row>
    <row r="11485">
      <c r="A11485" s="1" t="n">
        <v>11484</v>
      </c>
      <c r="B11485">
        <f>TEXT(11484, "[$-0E0000]yyyy-mm-dd")</f>
        <v/>
      </c>
      <c r="C11485" t="inlineStr">
        <is>
          <t>1931-04-26</t>
        </is>
      </c>
    </row>
    <row r="11486">
      <c r="A11486" s="1" t="n">
        <v>11485</v>
      </c>
      <c r="B11486">
        <f>TEXT(11485, "[$-0E0000]yyyy-mm-dd")</f>
        <v/>
      </c>
      <c r="C11486" t="inlineStr">
        <is>
          <t>1931-04-27</t>
        </is>
      </c>
    </row>
    <row r="11487">
      <c r="A11487" s="1" t="n">
        <v>11486</v>
      </c>
      <c r="B11487">
        <f>TEXT(11486, "[$-0E0000]yyyy-mm-dd")</f>
        <v/>
      </c>
      <c r="C11487" t="inlineStr">
        <is>
          <t>1931-04-28</t>
        </is>
      </c>
    </row>
    <row r="11488">
      <c r="A11488" s="1" t="n">
        <v>11487</v>
      </c>
      <c r="B11488">
        <f>TEXT(11487, "[$-0E0000]yyyy-mm-dd")</f>
        <v/>
      </c>
      <c r="C11488" t="inlineStr">
        <is>
          <t>1931-04-29</t>
        </is>
      </c>
    </row>
    <row r="11489">
      <c r="A11489" s="1" t="n">
        <v>11488</v>
      </c>
      <c r="B11489">
        <f>TEXT(11488, "[$-0E0000]yyyy-mm-dd")</f>
        <v/>
      </c>
      <c r="C11489" t="inlineStr">
        <is>
          <t>1931-04-30</t>
        </is>
      </c>
    </row>
    <row r="11490">
      <c r="A11490" s="1" t="n">
        <v>11489</v>
      </c>
      <c r="B11490">
        <f>TEXT(11489, "[$-0E0000]yyyy-mm-dd")</f>
        <v/>
      </c>
      <c r="C11490" t="inlineStr">
        <is>
          <t>1931-05-01</t>
        </is>
      </c>
    </row>
    <row r="11491">
      <c r="A11491" s="1" t="n">
        <v>11490</v>
      </c>
      <c r="B11491">
        <f>TEXT(11490, "[$-0E0000]yyyy-mm-dd")</f>
        <v/>
      </c>
      <c r="C11491" t="inlineStr">
        <is>
          <t>1931-05-02</t>
        </is>
      </c>
    </row>
    <row r="11492">
      <c r="A11492" s="1" t="n">
        <v>11491</v>
      </c>
      <c r="B11492">
        <f>TEXT(11491, "[$-0E0000]yyyy-mm-dd")</f>
        <v/>
      </c>
      <c r="C11492" t="inlineStr">
        <is>
          <t>1931-05-03</t>
        </is>
      </c>
    </row>
    <row r="11493">
      <c r="A11493" s="1" t="n">
        <v>11492</v>
      </c>
      <c r="B11493">
        <f>TEXT(11492, "[$-0E0000]yyyy-mm-dd")</f>
        <v/>
      </c>
      <c r="C11493" t="inlineStr">
        <is>
          <t>1931-05-04</t>
        </is>
      </c>
    </row>
    <row r="11494">
      <c r="A11494" s="1" t="n">
        <v>11493</v>
      </c>
      <c r="B11494">
        <f>TEXT(11493, "[$-0E0000]yyyy-mm-dd")</f>
        <v/>
      </c>
      <c r="C11494" t="inlineStr">
        <is>
          <t>1931-05-05</t>
        </is>
      </c>
    </row>
    <row r="11495">
      <c r="A11495" s="1" t="n">
        <v>11494</v>
      </c>
      <c r="B11495">
        <f>TEXT(11494, "[$-0E0000]yyyy-mm-dd")</f>
        <v/>
      </c>
      <c r="C11495" t="inlineStr">
        <is>
          <t>1931-05-06</t>
        </is>
      </c>
    </row>
    <row r="11496">
      <c r="A11496" s="1" t="n">
        <v>11495</v>
      </c>
      <c r="B11496">
        <f>TEXT(11495, "[$-0E0000]yyyy-mm-dd")</f>
        <v/>
      </c>
      <c r="C11496" t="inlineStr">
        <is>
          <t>1931-05-07</t>
        </is>
      </c>
    </row>
    <row r="11497">
      <c r="A11497" s="1" t="n">
        <v>11496</v>
      </c>
      <c r="B11497">
        <f>TEXT(11496, "[$-0E0000]yyyy-mm-dd")</f>
        <v/>
      </c>
      <c r="C11497" t="inlineStr">
        <is>
          <t>1931-05-08</t>
        </is>
      </c>
    </row>
    <row r="11498">
      <c r="A11498" s="1" t="n">
        <v>11497</v>
      </c>
      <c r="B11498">
        <f>TEXT(11497, "[$-0E0000]yyyy-mm-dd")</f>
        <v/>
      </c>
      <c r="C11498" t="inlineStr">
        <is>
          <t>1931-05-09</t>
        </is>
      </c>
    </row>
    <row r="11499">
      <c r="A11499" s="1" t="n">
        <v>11498</v>
      </c>
      <c r="B11499">
        <f>TEXT(11498, "[$-0E0000]yyyy-mm-dd")</f>
        <v/>
      </c>
      <c r="C11499" t="inlineStr">
        <is>
          <t>1931-05-10</t>
        </is>
      </c>
    </row>
    <row r="11500">
      <c r="A11500" s="1" t="n">
        <v>11499</v>
      </c>
      <c r="B11500">
        <f>TEXT(11499, "[$-0E0000]yyyy-mm-dd")</f>
        <v/>
      </c>
      <c r="C11500" t="inlineStr">
        <is>
          <t>1931-05-11</t>
        </is>
      </c>
    </row>
    <row r="11501">
      <c r="A11501" s="1" t="n">
        <v>11500</v>
      </c>
      <c r="B11501">
        <f>TEXT(11500, "[$-0E0000]yyyy-mm-dd")</f>
        <v/>
      </c>
      <c r="C11501" t="inlineStr">
        <is>
          <t>1931-05-12</t>
        </is>
      </c>
    </row>
    <row r="11502">
      <c r="A11502" s="1" t="n">
        <v>11501</v>
      </c>
      <c r="B11502">
        <f>TEXT(11501, "[$-0E0000]yyyy-mm-dd")</f>
        <v/>
      </c>
      <c r="C11502" t="inlineStr">
        <is>
          <t>1931-05-13</t>
        </is>
      </c>
    </row>
    <row r="11503">
      <c r="A11503" s="1" t="n">
        <v>11502</v>
      </c>
      <c r="B11503">
        <f>TEXT(11502, "[$-0E0000]yyyy-mm-dd")</f>
        <v/>
      </c>
      <c r="C11503" t="inlineStr">
        <is>
          <t>1931-05-14</t>
        </is>
      </c>
    </row>
    <row r="11504">
      <c r="A11504" s="1" t="n">
        <v>11503</v>
      </c>
      <c r="B11504">
        <f>TEXT(11503, "[$-0E0000]yyyy-mm-dd")</f>
        <v/>
      </c>
      <c r="C11504" t="inlineStr">
        <is>
          <t>1931-05-15</t>
        </is>
      </c>
    </row>
    <row r="11505">
      <c r="A11505" s="1" t="n">
        <v>11504</v>
      </c>
      <c r="B11505">
        <f>TEXT(11504, "[$-0E0000]yyyy-mm-dd")</f>
        <v/>
      </c>
      <c r="C11505" t="inlineStr">
        <is>
          <t>1931-05-16</t>
        </is>
      </c>
    </row>
    <row r="11506">
      <c r="A11506" s="1" t="n">
        <v>11505</v>
      </c>
      <c r="B11506">
        <f>TEXT(11505, "[$-0E0000]yyyy-mm-dd")</f>
        <v/>
      </c>
      <c r="C11506" t="inlineStr">
        <is>
          <t>1931-05-17</t>
        </is>
      </c>
    </row>
    <row r="11507">
      <c r="A11507" s="1" t="n">
        <v>11506</v>
      </c>
      <c r="B11507">
        <f>TEXT(11506, "[$-0E0000]yyyy-mm-dd")</f>
        <v/>
      </c>
      <c r="C11507" t="inlineStr">
        <is>
          <t>1931-05-18</t>
        </is>
      </c>
    </row>
    <row r="11508">
      <c r="A11508" s="1" t="n">
        <v>11507</v>
      </c>
      <c r="B11508">
        <f>TEXT(11507, "[$-0E0000]yyyy-mm-dd")</f>
        <v/>
      </c>
      <c r="C11508" t="inlineStr">
        <is>
          <t>1931-05-19</t>
        </is>
      </c>
    </row>
    <row r="11509">
      <c r="A11509" s="1" t="n">
        <v>11508</v>
      </c>
      <c r="B11509">
        <f>TEXT(11508, "[$-0E0000]yyyy-mm-dd")</f>
        <v/>
      </c>
      <c r="C11509" t="inlineStr">
        <is>
          <t>1931-05-20</t>
        </is>
      </c>
    </row>
    <row r="11510">
      <c r="A11510" s="1" t="n">
        <v>11509</v>
      </c>
      <c r="B11510">
        <f>TEXT(11509, "[$-0E0000]yyyy-mm-dd")</f>
        <v/>
      </c>
      <c r="C11510" t="inlineStr">
        <is>
          <t>1931-05-21</t>
        </is>
      </c>
    </row>
    <row r="11511">
      <c r="A11511" s="1" t="n">
        <v>11510</v>
      </c>
      <c r="B11511">
        <f>TEXT(11510, "[$-0E0000]yyyy-mm-dd")</f>
        <v/>
      </c>
      <c r="C11511" t="inlineStr">
        <is>
          <t>1931-05-22</t>
        </is>
      </c>
    </row>
    <row r="11512">
      <c r="A11512" s="1" t="n">
        <v>11511</v>
      </c>
      <c r="B11512">
        <f>TEXT(11511, "[$-0E0000]yyyy-mm-dd")</f>
        <v/>
      </c>
      <c r="C11512" t="inlineStr">
        <is>
          <t>1931-05-23</t>
        </is>
      </c>
    </row>
    <row r="11513">
      <c r="A11513" s="1" t="n">
        <v>11512</v>
      </c>
      <c r="B11513">
        <f>TEXT(11512, "[$-0E0000]yyyy-mm-dd")</f>
        <v/>
      </c>
      <c r="C11513" t="inlineStr">
        <is>
          <t>1931-05-24</t>
        </is>
      </c>
    </row>
    <row r="11514">
      <c r="A11514" s="1" t="n">
        <v>11513</v>
      </c>
      <c r="B11514">
        <f>TEXT(11513, "[$-0E0000]yyyy-mm-dd")</f>
        <v/>
      </c>
      <c r="C11514" t="inlineStr">
        <is>
          <t>1931-05-25</t>
        </is>
      </c>
    </row>
    <row r="11515">
      <c r="A11515" s="1" t="n">
        <v>11514</v>
      </c>
      <c r="B11515">
        <f>TEXT(11514, "[$-0E0000]yyyy-mm-dd")</f>
        <v/>
      </c>
      <c r="C11515" t="inlineStr">
        <is>
          <t>1931-05-26</t>
        </is>
      </c>
    </row>
    <row r="11516">
      <c r="A11516" s="1" t="n">
        <v>11515</v>
      </c>
      <c r="B11516">
        <f>TEXT(11515, "[$-0E0000]yyyy-mm-dd")</f>
        <v/>
      </c>
      <c r="C11516" t="inlineStr">
        <is>
          <t>1931-05-27</t>
        </is>
      </c>
    </row>
    <row r="11517">
      <c r="A11517" s="1" t="n">
        <v>11516</v>
      </c>
      <c r="B11517">
        <f>TEXT(11516, "[$-0E0000]yyyy-mm-dd")</f>
        <v/>
      </c>
      <c r="C11517" t="inlineStr">
        <is>
          <t>1931-05-28</t>
        </is>
      </c>
    </row>
    <row r="11518">
      <c r="A11518" s="1" t="n">
        <v>11517</v>
      </c>
      <c r="B11518">
        <f>TEXT(11517, "[$-0E0000]yyyy-mm-dd")</f>
        <v/>
      </c>
      <c r="C11518" t="inlineStr">
        <is>
          <t>1931-05-29</t>
        </is>
      </c>
    </row>
    <row r="11519">
      <c r="A11519" s="1" t="n">
        <v>11518</v>
      </c>
      <c r="B11519">
        <f>TEXT(11518, "[$-0E0000]yyyy-mm-dd")</f>
        <v/>
      </c>
      <c r="C11519" t="inlineStr">
        <is>
          <t>1931-06-01</t>
        </is>
      </c>
    </row>
    <row r="11520">
      <c r="A11520" s="1" t="n">
        <v>11519</v>
      </c>
      <c r="B11520">
        <f>TEXT(11519, "[$-0E0000]yyyy-mm-dd")</f>
        <v/>
      </c>
      <c r="C11520" t="inlineStr">
        <is>
          <t>1931-06-02</t>
        </is>
      </c>
    </row>
    <row r="11521">
      <c r="A11521" s="1" t="n">
        <v>11520</v>
      </c>
      <c r="B11521">
        <f>TEXT(11520, "[$-0E0000]yyyy-mm-dd")</f>
        <v/>
      </c>
      <c r="C11521" t="inlineStr">
        <is>
          <t>1931-06-03</t>
        </is>
      </c>
    </row>
    <row r="11522">
      <c r="A11522" s="1" t="n">
        <v>11521</v>
      </c>
      <c r="B11522">
        <f>TEXT(11521, "[$-0E0000]yyyy-mm-dd")</f>
        <v/>
      </c>
      <c r="C11522" t="inlineStr">
        <is>
          <t>1931-06-04</t>
        </is>
      </c>
    </row>
    <row r="11523">
      <c r="A11523" s="1" t="n">
        <v>11522</v>
      </c>
      <c r="B11523">
        <f>TEXT(11522, "[$-0E0000]yyyy-mm-dd")</f>
        <v/>
      </c>
      <c r="C11523" t="inlineStr">
        <is>
          <t>1931-06-05</t>
        </is>
      </c>
    </row>
    <row r="11524">
      <c r="A11524" s="1" t="n">
        <v>11523</v>
      </c>
      <c r="B11524">
        <f>TEXT(11523, "[$-0E0000]yyyy-mm-dd")</f>
        <v/>
      </c>
      <c r="C11524" t="inlineStr">
        <is>
          <t>1931-06-06</t>
        </is>
      </c>
    </row>
    <row r="11525">
      <c r="A11525" s="1" t="n">
        <v>11524</v>
      </c>
      <c r="B11525">
        <f>TEXT(11524, "[$-0E0000]yyyy-mm-dd")</f>
        <v/>
      </c>
      <c r="C11525" t="inlineStr">
        <is>
          <t>1931-06-07</t>
        </is>
      </c>
    </row>
    <row r="11526">
      <c r="A11526" s="1" t="n">
        <v>11525</v>
      </c>
      <c r="B11526">
        <f>TEXT(11525, "[$-0E0000]yyyy-mm-dd")</f>
        <v/>
      </c>
      <c r="C11526" t="inlineStr">
        <is>
          <t>1931-06-08</t>
        </is>
      </c>
    </row>
    <row r="11527">
      <c r="A11527" s="1" t="n">
        <v>11526</v>
      </c>
      <c r="B11527">
        <f>TEXT(11526, "[$-0E0000]yyyy-mm-dd")</f>
        <v/>
      </c>
      <c r="C11527" t="inlineStr">
        <is>
          <t>1931-06-09</t>
        </is>
      </c>
    </row>
    <row r="11528">
      <c r="A11528" s="1" t="n">
        <v>11527</v>
      </c>
      <c r="B11528">
        <f>TEXT(11527, "[$-0E0000]yyyy-mm-dd")</f>
        <v/>
      </c>
      <c r="C11528" t="inlineStr">
        <is>
          <t>1931-06-10</t>
        </is>
      </c>
    </row>
    <row r="11529">
      <c r="A11529" s="1" t="n">
        <v>11528</v>
      </c>
      <c r="B11529">
        <f>TEXT(11528, "[$-0E0000]yyyy-mm-dd")</f>
        <v/>
      </c>
      <c r="C11529" t="inlineStr">
        <is>
          <t>1931-06-11</t>
        </is>
      </c>
    </row>
    <row r="11530">
      <c r="A11530" s="1" t="n">
        <v>11529</v>
      </c>
      <c r="B11530">
        <f>TEXT(11529, "[$-0E0000]yyyy-mm-dd")</f>
        <v/>
      </c>
      <c r="C11530" t="inlineStr">
        <is>
          <t>1931-06-12</t>
        </is>
      </c>
    </row>
    <row r="11531">
      <c r="A11531" s="1" t="n">
        <v>11530</v>
      </c>
      <c r="B11531">
        <f>TEXT(11530, "[$-0E0000]yyyy-mm-dd")</f>
        <v/>
      </c>
      <c r="C11531" t="inlineStr">
        <is>
          <t>1931-06-13</t>
        </is>
      </c>
    </row>
    <row r="11532">
      <c r="A11532" s="1" t="n">
        <v>11531</v>
      </c>
      <c r="B11532">
        <f>TEXT(11531, "[$-0E0000]yyyy-mm-dd")</f>
        <v/>
      </c>
      <c r="C11532" t="inlineStr">
        <is>
          <t>1931-06-14</t>
        </is>
      </c>
    </row>
    <row r="11533">
      <c r="A11533" s="1" t="n">
        <v>11532</v>
      </c>
      <c r="B11533">
        <f>TEXT(11532, "[$-0E0000]yyyy-mm-dd")</f>
        <v/>
      </c>
      <c r="C11533" t="inlineStr">
        <is>
          <t>1931-06-15</t>
        </is>
      </c>
    </row>
    <row r="11534">
      <c r="A11534" s="1" t="n">
        <v>11533</v>
      </c>
      <c r="B11534">
        <f>TEXT(11533, "[$-0E0000]yyyy-mm-dd")</f>
        <v/>
      </c>
      <c r="C11534" t="inlineStr">
        <is>
          <t>1931-06-16</t>
        </is>
      </c>
    </row>
    <row r="11535">
      <c r="A11535" s="1" t="n">
        <v>11534</v>
      </c>
      <c r="B11535">
        <f>TEXT(11534, "[$-0E0000]yyyy-mm-dd")</f>
        <v/>
      </c>
      <c r="C11535" t="inlineStr">
        <is>
          <t>1931-06-17</t>
        </is>
      </c>
    </row>
    <row r="11536">
      <c r="A11536" s="1" t="n">
        <v>11535</v>
      </c>
      <c r="B11536">
        <f>TEXT(11535, "[$-0E0000]yyyy-mm-dd")</f>
        <v/>
      </c>
      <c r="C11536" t="inlineStr">
        <is>
          <t>1931-06-18</t>
        </is>
      </c>
    </row>
    <row r="11537">
      <c r="A11537" s="1" t="n">
        <v>11536</v>
      </c>
      <c r="B11537">
        <f>TEXT(11536, "[$-0E0000]yyyy-mm-dd")</f>
        <v/>
      </c>
      <c r="C11537" t="inlineStr">
        <is>
          <t>1931-06-19</t>
        </is>
      </c>
    </row>
    <row r="11538">
      <c r="A11538" s="1" t="n">
        <v>11537</v>
      </c>
      <c r="B11538">
        <f>TEXT(11537, "[$-0E0000]yyyy-mm-dd")</f>
        <v/>
      </c>
      <c r="C11538" t="inlineStr">
        <is>
          <t>1931-06-20</t>
        </is>
      </c>
    </row>
    <row r="11539">
      <c r="A11539" s="1" t="n">
        <v>11538</v>
      </c>
      <c r="B11539">
        <f>TEXT(11538, "[$-0E0000]yyyy-mm-dd")</f>
        <v/>
      </c>
      <c r="C11539" t="inlineStr">
        <is>
          <t>1931-06-21</t>
        </is>
      </c>
    </row>
    <row r="11540">
      <c r="A11540" s="1" t="n">
        <v>11539</v>
      </c>
      <c r="B11540">
        <f>TEXT(11539, "[$-0E0000]yyyy-mm-dd")</f>
        <v/>
      </c>
      <c r="C11540" t="inlineStr">
        <is>
          <t>1931-06-22</t>
        </is>
      </c>
    </row>
    <row r="11541">
      <c r="A11541" s="1" t="n">
        <v>11540</v>
      </c>
      <c r="B11541">
        <f>TEXT(11540, "[$-0E0000]yyyy-mm-dd")</f>
        <v/>
      </c>
      <c r="C11541" t="inlineStr">
        <is>
          <t>1931-06-23</t>
        </is>
      </c>
    </row>
    <row r="11542">
      <c r="A11542" s="1" t="n">
        <v>11541</v>
      </c>
      <c r="B11542">
        <f>TEXT(11541, "[$-0E0000]yyyy-mm-dd")</f>
        <v/>
      </c>
      <c r="C11542" t="inlineStr">
        <is>
          <t>1931-06-24</t>
        </is>
      </c>
    </row>
    <row r="11543">
      <c r="A11543" s="1" t="n">
        <v>11542</v>
      </c>
      <c r="B11543">
        <f>TEXT(11542, "[$-0E0000]yyyy-mm-dd")</f>
        <v/>
      </c>
      <c r="C11543" t="inlineStr">
        <is>
          <t>1931-06-25</t>
        </is>
      </c>
    </row>
    <row r="11544">
      <c r="A11544" s="1" t="n">
        <v>11543</v>
      </c>
      <c r="B11544">
        <f>TEXT(11543, "[$-0E0000]yyyy-mm-dd")</f>
        <v/>
      </c>
      <c r="C11544" t="inlineStr">
        <is>
          <t>1931-06-26</t>
        </is>
      </c>
    </row>
    <row r="11545">
      <c r="A11545" s="1" t="n">
        <v>11544</v>
      </c>
      <c r="B11545">
        <f>TEXT(11544, "[$-0E0000]yyyy-mm-dd")</f>
        <v/>
      </c>
      <c r="C11545" t="inlineStr">
        <is>
          <t>1931-06-27</t>
        </is>
      </c>
    </row>
    <row r="11546">
      <c r="A11546" s="1" t="n">
        <v>11545</v>
      </c>
      <c r="B11546">
        <f>TEXT(11545, "[$-0E0000]yyyy-mm-dd")</f>
        <v/>
      </c>
      <c r="C11546" t="inlineStr">
        <is>
          <t>1931-06-28</t>
        </is>
      </c>
    </row>
    <row r="11547">
      <c r="A11547" s="1" t="n">
        <v>11546</v>
      </c>
      <c r="B11547">
        <f>TEXT(11546, "[$-0E0000]yyyy-mm-dd")</f>
        <v/>
      </c>
      <c r="C11547" t="inlineStr">
        <is>
          <t>1931-06-29</t>
        </is>
      </c>
    </row>
    <row r="11548">
      <c r="A11548" s="1" t="n">
        <v>11547</v>
      </c>
      <c r="B11548">
        <f>TEXT(11547, "[$-0E0000]yyyy-mm-dd")</f>
        <v/>
      </c>
      <c r="C11548" t="inlineStr">
        <is>
          <t>1931-06-30</t>
        </is>
      </c>
    </row>
    <row r="11549">
      <c r="A11549" s="1" t="n">
        <v>11548</v>
      </c>
      <c r="B11549">
        <f>TEXT(11548, "[$-0E0000]yyyy-mm-dd")</f>
        <v/>
      </c>
      <c r="C11549" t="inlineStr">
        <is>
          <t>1931-07-01</t>
        </is>
      </c>
    </row>
    <row r="11550">
      <c r="A11550" s="1" t="n">
        <v>11549</v>
      </c>
      <c r="B11550">
        <f>TEXT(11549, "[$-0E0000]yyyy-mm-dd")</f>
        <v/>
      </c>
      <c r="C11550" t="inlineStr">
        <is>
          <t>1931-07-02</t>
        </is>
      </c>
    </row>
    <row r="11551">
      <c r="A11551" s="1" t="n">
        <v>11550</v>
      </c>
      <c r="B11551">
        <f>TEXT(11550, "[$-0E0000]yyyy-mm-dd")</f>
        <v/>
      </c>
      <c r="C11551" t="inlineStr">
        <is>
          <t>1931-07-03</t>
        </is>
      </c>
    </row>
    <row r="11552">
      <c r="A11552" s="1" t="n">
        <v>11551</v>
      </c>
      <c r="B11552">
        <f>TEXT(11551, "[$-0E0000]yyyy-mm-dd")</f>
        <v/>
      </c>
      <c r="C11552" t="inlineStr">
        <is>
          <t>1931-07-04</t>
        </is>
      </c>
    </row>
    <row r="11553">
      <c r="A11553" s="1" t="n">
        <v>11552</v>
      </c>
      <c r="B11553">
        <f>TEXT(11552, "[$-0E0000]yyyy-mm-dd")</f>
        <v/>
      </c>
      <c r="C11553" t="inlineStr">
        <is>
          <t>1931-07-05</t>
        </is>
      </c>
    </row>
    <row r="11554">
      <c r="A11554" s="1" t="n">
        <v>11553</v>
      </c>
      <c r="B11554">
        <f>TEXT(11553, "[$-0E0000]yyyy-mm-dd")</f>
        <v/>
      </c>
      <c r="C11554" t="inlineStr">
        <is>
          <t>1931-07-06</t>
        </is>
      </c>
    </row>
    <row r="11555">
      <c r="A11555" s="1" t="n">
        <v>11554</v>
      </c>
      <c r="B11555">
        <f>TEXT(11554, "[$-0E0000]yyyy-mm-dd")</f>
        <v/>
      </c>
      <c r="C11555" t="inlineStr">
        <is>
          <t>1931-07-07</t>
        </is>
      </c>
    </row>
    <row r="11556">
      <c r="A11556" s="1" t="n">
        <v>11555</v>
      </c>
      <c r="B11556">
        <f>TEXT(11555, "[$-0E0000]yyyy-mm-dd")</f>
        <v/>
      </c>
      <c r="C11556" t="inlineStr">
        <is>
          <t>1931-07-08</t>
        </is>
      </c>
    </row>
    <row r="11557">
      <c r="A11557" s="1" t="n">
        <v>11556</v>
      </c>
      <c r="B11557">
        <f>TEXT(11556, "[$-0E0000]yyyy-mm-dd")</f>
        <v/>
      </c>
      <c r="C11557" t="inlineStr">
        <is>
          <t>1931-07-09</t>
        </is>
      </c>
    </row>
    <row r="11558">
      <c r="A11558" s="1" t="n">
        <v>11557</v>
      </c>
      <c r="B11558">
        <f>TEXT(11557, "[$-0E0000]yyyy-mm-dd")</f>
        <v/>
      </c>
      <c r="C11558" t="inlineStr">
        <is>
          <t>1931-07-10</t>
        </is>
      </c>
    </row>
    <row r="11559">
      <c r="A11559" s="1" t="n">
        <v>11558</v>
      </c>
      <c r="B11559">
        <f>TEXT(11558, "[$-0E0000]yyyy-mm-dd")</f>
        <v/>
      </c>
      <c r="C11559" t="inlineStr">
        <is>
          <t>1931-07-11</t>
        </is>
      </c>
    </row>
    <row r="11560">
      <c r="A11560" s="1" t="n">
        <v>11559</v>
      </c>
      <c r="B11560">
        <f>TEXT(11559, "[$-0E0000]yyyy-mm-dd")</f>
        <v/>
      </c>
      <c r="C11560" t="inlineStr">
        <is>
          <t>1931-07-12</t>
        </is>
      </c>
    </row>
    <row r="11561">
      <c r="A11561" s="1" t="n">
        <v>11560</v>
      </c>
      <c r="B11561">
        <f>TEXT(11560, "[$-0E0000]yyyy-mm-dd")</f>
        <v/>
      </c>
      <c r="C11561" t="inlineStr">
        <is>
          <t>1931-07-13</t>
        </is>
      </c>
    </row>
    <row r="11562">
      <c r="A11562" s="1" t="n">
        <v>11561</v>
      </c>
      <c r="B11562">
        <f>TEXT(11561, "[$-0E0000]yyyy-mm-dd")</f>
        <v/>
      </c>
      <c r="C11562" t="inlineStr">
        <is>
          <t>1931-07-14</t>
        </is>
      </c>
    </row>
    <row r="11563">
      <c r="A11563" s="1" t="n">
        <v>11562</v>
      </c>
      <c r="B11563">
        <f>TEXT(11562, "[$-0E0000]yyyy-mm-dd")</f>
        <v/>
      </c>
      <c r="C11563" t="inlineStr">
        <is>
          <t>1931-07-15</t>
        </is>
      </c>
    </row>
    <row r="11564">
      <c r="A11564" s="1" t="n">
        <v>11563</v>
      </c>
      <c r="B11564">
        <f>TEXT(11563, "[$-0E0000]yyyy-mm-dd")</f>
        <v/>
      </c>
      <c r="C11564" t="inlineStr">
        <is>
          <t>1931-07-16</t>
        </is>
      </c>
    </row>
    <row r="11565">
      <c r="A11565" s="1" t="n">
        <v>11564</v>
      </c>
      <c r="B11565">
        <f>TEXT(11564, "[$-0E0000]yyyy-mm-dd")</f>
        <v/>
      </c>
      <c r="C11565" t="inlineStr">
        <is>
          <t>1931-07-17</t>
        </is>
      </c>
    </row>
    <row r="11566">
      <c r="A11566" s="1" t="n">
        <v>11565</v>
      </c>
      <c r="B11566">
        <f>TEXT(11565, "[$-0E0000]yyyy-mm-dd")</f>
        <v/>
      </c>
      <c r="C11566" t="inlineStr">
        <is>
          <t>1931-07-18</t>
        </is>
      </c>
    </row>
    <row r="11567">
      <c r="A11567" s="1" t="n">
        <v>11566</v>
      </c>
      <c r="B11567">
        <f>TEXT(11566, "[$-0E0000]yyyy-mm-dd")</f>
        <v/>
      </c>
      <c r="C11567" t="inlineStr">
        <is>
          <t>1931-07-19</t>
        </is>
      </c>
    </row>
    <row r="11568">
      <c r="A11568" s="1" t="n">
        <v>11567</v>
      </c>
      <c r="B11568">
        <f>TEXT(11567, "[$-0E0000]yyyy-mm-dd")</f>
        <v/>
      </c>
      <c r="C11568" t="inlineStr">
        <is>
          <t>1931-07-20</t>
        </is>
      </c>
    </row>
    <row r="11569">
      <c r="A11569" s="1" t="n">
        <v>11568</v>
      </c>
      <c r="B11569">
        <f>TEXT(11568, "[$-0E0000]yyyy-mm-dd")</f>
        <v/>
      </c>
      <c r="C11569" t="inlineStr">
        <is>
          <t>1931-07-21</t>
        </is>
      </c>
    </row>
    <row r="11570">
      <c r="A11570" s="1" t="n">
        <v>11569</v>
      </c>
      <c r="B11570">
        <f>TEXT(11569, "[$-0E0000]yyyy-mm-dd")</f>
        <v/>
      </c>
      <c r="C11570" t="inlineStr">
        <is>
          <t>1931-07-22</t>
        </is>
      </c>
    </row>
    <row r="11571">
      <c r="A11571" s="1" t="n">
        <v>11570</v>
      </c>
      <c r="B11571">
        <f>TEXT(11570, "[$-0E0000]yyyy-mm-dd")</f>
        <v/>
      </c>
      <c r="C11571" t="inlineStr">
        <is>
          <t>1931-07-23</t>
        </is>
      </c>
    </row>
    <row r="11572">
      <c r="A11572" s="1" t="n">
        <v>11571</v>
      </c>
      <c r="B11572">
        <f>TEXT(11571, "[$-0E0000]yyyy-mm-dd")</f>
        <v/>
      </c>
      <c r="C11572" t="inlineStr">
        <is>
          <t>1931-07-24</t>
        </is>
      </c>
    </row>
    <row r="11573">
      <c r="A11573" s="1" t="n">
        <v>11572</v>
      </c>
      <c r="B11573">
        <f>TEXT(11572, "[$-0E0000]yyyy-mm-dd")</f>
        <v/>
      </c>
      <c r="C11573" t="inlineStr">
        <is>
          <t>1931-07-25</t>
        </is>
      </c>
    </row>
    <row r="11574">
      <c r="A11574" s="1" t="n">
        <v>11573</v>
      </c>
      <c r="B11574">
        <f>TEXT(11573, "[$-0E0000]yyyy-mm-dd")</f>
        <v/>
      </c>
      <c r="C11574" t="inlineStr">
        <is>
          <t>1931-07-26</t>
        </is>
      </c>
    </row>
    <row r="11575">
      <c r="A11575" s="1" t="n">
        <v>11574</v>
      </c>
      <c r="B11575">
        <f>TEXT(11574, "[$-0E0000]yyyy-mm-dd")</f>
        <v/>
      </c>
      <c r="C11575" t="inlineStr">
        <is>
          <t>1931-07-27</t>
        </is>
      </c>
    </row>
    <row r="11576">
      <c r="A11576" s="1" t="n">
        <v>11575</v>
      </c>
      <c r="B11576">
        <f>TEXT(11575, "[$-0E0000]yyyy-mm-dd")</f>
        <v/>
      </c>
      <c r="C11576" t="inlineStr">
        <is>
          <t>1931-07-28</t>
        </is>
      </c>
    </row>
    <row r="11577">
      <c r="A11577" s="1" t="n">
        <v>11576</v>
      </c>
      <c r="B11577">
        <f>TEXT(11576, "[$-0E0000]yyyy-mm-dd")</f>
        <v/>
      </c>
      <c r="C11577" t="inlineStr">
        <is>
          <t>1931-07-29</t>
        </is>
      </c>
    </row>
    <row r="11578">
      <c r="A11578" s="1" t="n">
        <v>11577</v>
      </c>
      <c r="B11578">
        <f>TEXT(11577, "[$-0E0000]yyyy-mm-dd")</f>
        <v/>
      </c>
      <c r="C11578" t="inlineStr">
        <is>
          <t>1931-08-01</t>
        </is>
      </c>
    </row>
    <row r="11579">
      <c r="A11579" s="1" t="n">
        <v>11578</v>
      </c>
      <c r="B11579">
        <f>TEXT(11578, "[$-0E0000]yyyy-mm-dd")</f>
        <v/>
      </c>
      <c r="C11579" t="inlineStr">
        <is>
          <t>1931-08-02</t>
        </is>
      </c>
    </row>
    <row r="11580">
      <c r="A11580" s="1" t="n">
        <v>11579</v>
      </c>
      <c r="B11580">
        <f>TEXT(11579, "[$-0E0000]yyyy-mm-dd")</f>
        <v/>
      </c>
      <c r="C11580" t="inlineStr">
        <is>
          <t>1931-08-03</t>
        </is>
      </c>
    </row>
    <row r="11581">
      <c r="A11581" s="1" t="n">
        <v>11580</v>
      </c>
      <c r="B11581">
        <f>TEXT(11580, "[$-0E0000]yyyy-mm-dd")</f>
        <v/>
      </c>
      <c r="C11581" t="inlineStr">
        <is>
          <t>1931-08-04</t>
        </is>
      </c>
    </row>
    <row r="11582">
      <c r="A11582" s="1" t="n">
        <v>11581</v>
      </c>
      <c r="B11582">
        <f>TEXT(11581, "[$-0E0000]yyyy-mm-dd")</f>
        <v/>
      </c>
      <c r="C11582" t="inlineStr">
        <is>
          <t>1931-08-05</t>
        </is>
      </c>
    </row>
    <row r="11583">
      <c r="A11583" s="1" t="n">
        <v>11582</v>
      </c>
      <c r="B11583">
        <f>TEXT(11582, "[$-0E0000]yyyy-mm-dd")</f>
        <v/>
      </c>
      <c r="C11583" t="inlineStr">
        <is>
          <t>1931-08-06</t>
        </is>
      </c>
    </row>
    <row r="11584">
      <c r="A11584" s="1" t="n">
        <v>11583</v>
      </c>
      <c r="B11584">
        <f>TEXT(11583, "[$-0E0000]yyyy-mm-dd")</f>
        <v/>
      </c>
      <c r="C11584" t="inlineStr">
        <is>
          <t>1931-08-07</t>
        </is>
      </c>
    </row>
    <row r="11585">
      <c r="A11585" s="1" t="n">
        <v>11584</v>
      </c>
      <c r="B11585">
        <f>TEXT(11584, "[$-0E0000]yyyy-mm-dd")</f>
        <v/>
      </c>
      <c r="C11585" t="inlineStr">
        <is>
          <t>1931-08-08</t>
        </is>
      </c>
    </row>
    <row r="11586">
      <c r="A11586" s="1" t="n">
        <v>11585</v>
      </c>
      <c r="B11586">
        <f>TEXT(11585, "[$-0E0000]yyyy-mm-dd")</f>
        <v/>
      </c>
      <c r="C11586" t="inlineStr">
        <is>
          <t>1931-08-09</t>
        </is>
      </c>
    </row>
    <row r="11587">
      <c r="A11587" s="1" t="n">
        <v>11586</v>
      </c>
      <c r="B11587">
        <f>TEXT(11586, "[$-0E0000]yyyy-mm-dd")</f>
        <v/>
      </c>
      <c r="C11587" t="inlineStr">
        <is>
          <t>1931-08-10</t>
        </is>
      </c>
    </row>
    <row r="11588">
      <c r="A11588" s="1" t="n">
        <v>11587</v>
      </c>
      <c r="B11588">
        <f>TEXT(11587, "[$-0E0000]yyyy-mm-dd")</f>
        <v/>
      </c>
      <c r="C11588" t="inlineStr">
        <is>
          <t>1931-08-11</t>
        </is>
      </c>
    </row>
    <row r="11589">
      <c r="A11589" s="1" t="n">
        <v>11588</v>
      </c>
      <c r="B11589">
        <f>TEXT(11588, "[$-0E0000]yyyy-mm-dd")</f>
        <v/>
      </c>
      <c r="C11589" t="inlineStr">
        <is>
          <t>1931-08-12</t>
        </is>
      </c>
    </row>
    <row r="11590">
      <c r="A11590" s="1" t="n">
        <v>11589</v>
      </c>
      <c r="B11590">
        <f>TEXT(11589, "[$-0E0000]yyyy-mm-dd")</f>
        <v/>
      </c>
      <c r="C11590" t="inlineStr">
        <is>
          <t>1931-08-13</t>
        </is>
      </c>
    </row>
    <row r="11591">
      <c r="A11591" s="1" t="n">
        <v>11590</v>
      </c>
      <c r="B11591">
        <f>TEXT(11590, "[$-0E0000]yyyy-mm-dd")</f>
        <v/>
      </c>
      <c r="C11591" t="inlineStr">
        <is>
          <t>1931-08-14</t>
        </is>
      </c>
    </row>
    <row r="11592">
      <c r="A11592" s="1" t="n">
        <v>11591</v>
      </c>
      <c r="B11592">
        <f>TEXT(11591, "[$-0E0000]yyyy-mm-dd")</f>
        <v/>
      </c>
      <c r="C11592" t="inlineStr">
        <is>
          <t>1931-08-15</t>
        </is>
      </c>
    </row>
    <row r="11593">
      <c r="A11593" s="1" t="n">
        <v>11592</v>
      </c>
      <c r="B11593">
        <f>TEXT(11592, "[$-0E0000]yyyy-mm-dd")</f>
        <v/>
      </c>
      <c r="C11593" t="inlineStr">
        <is>
          <t>1931-08-16</t>
        </is>
      </c>
    </row>
    <row r="11594">
      <c r="A11594" s="1" t="n">
        <v>11593</v>
      </c>
      <c r="B11594">
        <f>TEXT(11593, "[$-0E0000]yyyy-mm-dd")</f>
        <v/>
      </c>
      <c r="C11594" t="inlineStr">
        <is>
          <t>1931-08-17</t>
        </is>
      </c>
    </row>
    <row r="11595">
      <c r="A11595" s="1" t="n">
        <v>11594</v>
      </c>
      <c r="B11595">
        <f>TEXT(11594, "[$-0E0000]yyyy-mm-dd")</f>
        <v/>
      </c>
      <c r="C11595" t="inlineStr">
        <is>
          <t>1931-08-18</t>
        </is>
      </c>
    </row>
    <row r="11596">
      <c r="A11596" s="1" t="n">
        <v>11595</v>
      </c>
      <c r="B11596">
        <f>TEXT(11595, "[$-0E0000]yyyy-mm-dd")</f>
        <v/>
      </c>
      <c r="C11596" t="inlineStr">
        <is>
          <t>1931-08-19</t>
        </is>
      </c>
    </row>
    <row r="11597">
      <c r="A11597" s="1" t="n">
        <v>11596</v>
      </c>
      <c r="B11597">
        <f>TEXT(11596, "[$-0E0000]yyyy-mm-dd")</f>
        <v/>
      </c>
      <c r="C11597" t="inlineStr">
        <is>
          <t>1931-08-20</t>
        </is>
      </c>
    </row>
    <row r="11598">
      <c r="A11598" s="1" t="n">
        <v>11597</v>
      </c>
      <c r="B11598">
        <f>TEXT(11597, "[$-0E0000]yyyy-mm-dd")</f>
        <v/>
      </c>
      <c r="C11598" t="inlineStr">
        <is>
          <t>1931-08-21</t>
        </is>
      </c>
    </row>
    <row r="11599">
      <c r="A11599" s="1" t="n">
        <v>11598</v>
      </c>
      <c r="B11599">
        <f>TEXT(11598, "[$-0E0000]yyyy-mm-dd")</f>
        <v/>
      </c>
      <c r="C11599" t="inlineStr">
        <is>
          <t>1931-08-22</t>
        </is>
      </c>
    </row>
    <row r="11600">
      <c r="A11600" s="1" t="n">
        <v>11599</v>
      </c>
      <c r="B11600">
        <f>TEXT(11599, "[$-0E0000]yyyy-mm-dd")</f>
        <v/>
      </c>
      <c r="C11600" t="inlineStr">
        <is>
          <t>1931-08-23</t>
        </is>
      </c>
    </row>
    <row r="11601">
      <c r="A11601" s="1" t="n">
        <v>11600</v>
      </c>
      <c r="B11601">
        <f>TEXT(11600, "[$-0E0000]yyyy-mm-dd")</f>
        <v/>
      </c>
      <c r="C11601" t="inlineStr">
        <is>
          <t>1931-08-24</t>
        </is>
      </c>
    </row>
    <row r="11602">
      <c r="A11602" s="1" t="n">
        <v>11601</v>
      </c>
      <c r="B11602">
        <f>TEXT(11601, "[$-0E0000]yyyy-mm-dd")</f>
        <v/>
      </c>
      <c r="C11602" t="inlineStr">
        <is>
          <t>1931-08-25</t>
        </is>
      </c>
    </row>
    <row r="11603">
      <c r="A11603" s="1" t="n">
        <v>11602</v>
      </c>
      <c r="B11603">
        <f>TEXT(11602, "[$-0E0000]yyyy-mm-dd")</f>
        <v/>
      </c>
      <c r="C11603" t="inlineStr">
        <is>
          <t>1931-08-26</t>
        </is>
      </c>
    </row>
    <row r="11604">
      <c r="A11604" s="1" t="n">
        <v>11603</v>
      </c>
      <c r="B11604">
        <f>TEXT(11603, "[$-0E0000]yyyy-mm-dd")</f>
        <v/>
      </c>
      <c r="C11604" t="inlineStr">
        <is>
          <t>1931-08-27</t>
        </is>
      </c>
    </row>
    <row r="11605">
      <c r="A11605" s="1" t="n">
        <v>11604</v>
      </c>
      <c r="B11605">
        <f>TEXT(11604, "[$-0E0000]yyyy-mm-dd")</f>
        <v/>
      </c>
      <c r="C11605" t="inlineStr">
        <is>
          <t>1931-08-28</t>
        </is>
      </c>
    </row>
    <row r="11606">
      <c r="A11606" s="1" t="n">
        <v>11605</v>
      </c>
      <c r="B11606">
        <f>TEXT(11605, "[$-0E0000]yyyy-mm-dd")</f>
        <v/>
      </c>
      <c r="C11606" t="inlineStr">
        <is>
          <t>1931-08-29</t>
        </is>
      </c>
    </row>
    <row r="11607">
      <c r="A11607" s="1" t="n">
        <v>11606</v>
      </c>
      <c r="B11607">
        <f>TEXT(11606, "[$-0E0000]yyyy-mm-dd")</f>
        <v/>
      </c>
      <c r="C11607" t="inlineStr">
        <is>
          <t>1931-09-01</t>
        </is>
      </c>
    </row>
    <row r="11608">
      <c r="A11608" s="1" t="n">
        <v>11607</v>
      </c>
      <c r="B11608">
        <f>TEXT(11607, "[$-0E0000]yyyy-mm-dd")</f>
        <v/>
      </c>
      <c r="C11608" t="inlineStr">
        <is>
          <t>1931-09-02</t>
        </is>
      </c>
    </row>
    <row r="11609">
      <c r="A11609" s="1" t="n">
        <v>11608</v>
      </c>
      <c r="B11609">
        <f>TEXT(11608, "[$-0E0000]yyyy-mm-dd")</f>
        <v/>
      </c>
      <c r="C11609" t="inlineStr">
        <is>
          <t>1931-09-03</t>
        </is>
      </c>
    </row>
    <row r="11610">
      <c r="A11610" s="1" t="n">
        <v>11609</v>
      </c>
      <c r="B11610">
        <f>TEXT(11609, "[$-0E0000]yyyy-mm-dd")</f>
        <v/>
      </c>
      <c r="C11610" t="inlineStr">
        <is>
          <t>1931-09-04</t>
        </is>
      </c>
    </row>
    <row r="11611">
      <c r="A11611" s="1" t="n">
        <v>11610</v>
      </c>
      <c r="B11611">
        <f>TEXT(11610, "[$-0E0000]yyyy-mm-dd")</f>
        <v/>
      </c>
      <c r="C11611" t="inlineStr">
        <is>
          <t>1931-09-05</t>
        </is>
      </c>
    </row>
    <row r="11612">
      <c r="A11612" s="1" t="n">
        <v>11611</v>
      </c>
      <c r="B11612">
        <f>TEXT(11611, "[$-0E0000]yyyy-mm-dd")</f>
        <v/>
      </c>
      <c r="C11612" t="inlineStr">
        <is>
          <t>1931-09-06</t>
        </is>
      </c>
    </row>
    <row r="11613">
      <c r="A11613" s="1" t="n">
        <v>11612</v>
      </c>
      <c r="B11613">
        <f>TEXT(11612, "[$-0E0000]yyyy-mm-dd")</f>
        <v/>
      </c>
      <c r="C11613" t="inlineStr">
        <is>
          <t>1931-09-07</t>
        </is>
      </c>
    </row>
    <row r="11614">
      <c r="A11614" s="1" t="n">
        <v>11613</v>
      </c>
      <c r="B11614">
        <f>TEXT(11613, "[$-0E0000]yyyy-mm-dd")</f>
        <v/>
      </c>
      <c r="C11614" t="inlineStr">
        <is>
          <t>1931-09-08</t>
        </is>
      </c>
    </row>
    <row r="11615">
      <c r="A11615" s="1" t="n">
        <v>11614</v>
      </c>
      <c r="B11615">
        <f>TEXT(11614, "[$-0E0000]yyyy-mm-dd")</f>
        <v/>
      </c>
      <c r="C11615" t="inlineStr">
        <is>
          <t>1931-09-09</t>
        </is>
      </c>
    </row>
    <row r="11616">
      <c r="A11616" s="1" t="n">
        <v>11615</v>
      </c>
      <c r="B11616">
        <f>TEXT(11615, "[$-0E0000]yyyy-mm-dd")</f>
        <v/>
      </c>
      <c r="C11616" t="inlineStr">
        <is>
          <t>1931-09-10</t>
        </is>
      </c>
    </row>
    <row r="11617">
      <c r="A11617" s="1" t="n">
        <v>11616</v>
      </c>
      <c r="B11617">
        <f>TEXT(11616, "[$-0E0000]yyyy-mm-dd")</f>
        <v/>
      </c>
      <c r="C11617" t="inlineStr">
        <is>
          <t>1931-09-11</t>
        </is>
      </c>
    </row>
    <row r="11618">
      <c r="A11618" s="1" t="n">
        <v>11617</v>
      </c>
      <c r="B11618">
        <f>TEXT(11617, "[$-0E0000]yyyy-mm-dd")</f>
        <v/>
      </c>
      <c r="C11618" t="inlineStr">
        <is>
          <t>1931-09-12</t>
        </is>
      </c>
    </row>
    <row r="11619">
      <c r="A11619" s="1" t="n">
        <v>11618</v>
      </c>
      <c r="B11619">
        <f>TEXT(11618, "[$-0E0000]yyyy-mm-dd")</f>
        <v/>
      </c>
      <c r="C11619" t="inlineStr">
        <is>
          <t>1931-09-13</t>
        </is>
      </c>
    </row>
    <row r="11620">
      <c r="A11620" s="1" t="n">
        <v>11619</v>
      </c>
      <c r="B11620">
        <f>TEXT(11619, "[$-0E0000]yyyy-mm-dd")</f>
        <v/>
      </c>
      <c r="C11620" t="inlineStr">
        <is>
          <t>1931-09-14</t>
        </is>
      </c>
    </row>
    <row r="11621">
      <c r="A11621" s="1" t="n">
        <v>11620</v>
      </c>
      <c r="B11621">
        <f>TEXT(11620, "[$-0E0000]yyyy-mm-dd")</f>
        <v/>
      </c>
      <c r="C11621" t="inlineStr">
        <is>
          <t>1931-09-15</t>
        </is>
      </c>
    </row>
    <row r="11622">
      <c r="A11622" s="1" t="n">
        <v>11621</v>
      </c>
      <c r="B11622">
        <f>TEXT(11621, "[$-0E0000]yyyy-mm-dd")</f>
        <v/>
      </c>
      <c r="C11622" t="inlineStr">
        <is>
          <t>1931-09-16</t>
        </is>
      </c>
    </row>
    <row r="11623">
      <c r="A11623" s="1" t="n">
        <v>11622</v>
      </c>
      <c r="B11623">
        <f>TEXT(11622, "[$-0E0000]yyyy-mm-dd")</f>
        <v/>
      </c>
      <c r="C11623" t="inlineStr">
        <is>
          <t>1931-09-17</t>
        </is>
      </c>
    </row>
    <row r="11624">
      <c r="A11624" s="1" t="n">
        <v>11623</v>
      </c>
      <c r="B11624">
        <f>TEXT(11623, "[$-0E0000]yyyy-mm-dd")</f>
        <v/>
      </c>
      <c r="C11624" t="inlineStr">
        <is>
          <t>1931-09-18</t>
        </is>
      </c>
    </row>
    <row r="11625">
      <c r="A11625" s="1" t="n">
        <v>11624</v>
      </c>
      <c r="B11625">
        <f>TEXT(11624, "[$-0E0000]yyyy-mm-dd")</f>
        <v/>
      </c>
      <c r="C11625" t="inlineStr">
        <is>
          <t>1931-09-19</t>
        </is>
      </c>
    </row>
    <row r="11626">
      <c r="A11626" s="1" t="n">
        <v>11625</v>
      </c>
      <c r="B11626">
        <f>TEXT(11625, "[$-0E0000]yyyy-mm-dd")</f>
        <v/>
      </c>
      <c r="C11626" t="inlineStr">
        <is>
          <t>1931-09-20</t>
        </is>
      </c>
    </row>
    <row r="11627">
      <c r="A11627" s="1" t="n">
        <v>11626</v>
      </c>
      <c r="B11627">
        <f>TEXT(11626, "[$-0E0000]yyyy-mm-dd")</f>
        <v/>
      </c>
      <c r="C11627" t="inlineStr">
        <is>
          <t>1931-09-21</t>
        </is>
      </c>
    </row>
    <row r="11628">
      <c r="A11628" s="1" t="n">
        <v>11627</v>
      </c>
      <c r="B11628">
        <f>TEXT(11627, "[$-0E0000]yyyy-mm-dd")</f>
        <v/>
      </c>
      <c r="C11628" t="inlineStr">
        <is>
          <t>1931-09-22</t>
        </is>
      </c>
    </row>
    <row r="11629">
      <c r="A11629" s="1" t="n">
        <v>11628</v>
      </c>
      <c r="B11629">
        <f>TEXT(11628, "[$-0E0000]yyyy-mm-dd")</f>
        <v/>
      </c>
      <c r="C11629" t="inlineStr">
        <is>
          <t>1931-09-23</t>
        </is>
      </c>
    </row>
    <row r="11630">
      <c r="A11630" s="1" t="n">
        <v>11629</v>
      </c>
      <c r="B11630">
        <f>TEXT(11629, "[$-0E0000]yyyy-mm-dd")</f>
        <v/>
      </c>
      <c r="C11630" t="inlineStr">
        <is>
          <t>1931-09-24</t>
        </is>
      </c>
    </row>
    <row r="11631">
      <c r="A11631" s="1" t="n">
        <v>11630</v>
      </c>
      <c r="B11631">
        <f>TEXT(11630, "[$-0E0000]yyyy-mm-dd")</f>
        <v/>
      </c>
      <c r="C11631" t="inlineStr">
        <is>
          <t>1931-09-25</t>
        </is>
      </c>
    </row>
    <row r="11632">
      <c r="A11632" s="1" t="n">
        <v>11631</v>
      </c>
      <c r="B11632">
        <f>TEXT(11631, "[$-0E0000]yyyy-mm-dd")</f>
        <v/>
      </c>
      <c r="C11632" t="inlineStr">
        <is>
          <t>1931-09-26</t>
        </is>
      </c>
    </row>
    <row r="11633">
      <c r="A11633" s="1" t="n">
        <v>11632</v>
      </c>
      <c r="B11633">
        <f>TEXT(11632, "[$-0E0000]yyyy-mm-dd")</f>
        <v/>
      </c>
      <c r="C11633" t="inlineStr">
        <is>
          <t>1931-09-27</t>
        </is>
      </c>
    </row>
    <row r="11634">
      <c r="A11634" s="1" t="n">
        <v>11633</v>
      </c>
      <c r="B11634">
        <f>TEXT(11633, "[$-0E0000]yyyy-mm-dd")</f>
        <v/>
      </c>
      <c r="C11634" t="inlineStr">
        <is>
          <t>1931-09-28</t>
        </is>
      </c>
    </row>
    <row r="11635">
      <c r="A11635" s="1" t="n">
        <v>11634</v>
      </c>
      <c r="B11635">
        <f>TEXT(11634, "[$-0E0000]yyyy-mm-dd")</f>
        <v/>
      </c>
      <c r="C11635" t="inlineStr">
        <is>
          <t>1931-09-29</t>
        </is>
      </c>
    </row>
    <row r="11636">
      <c r="A11636" s="1" t="n">
        <v>11635</v>
      </c>
      <c r="B11636">
        <f>TEXT(11635, "[$-0E0000]yyyy-mm-dd")</f>
        <v/>
      </c>
      <c r="C11636" t="inlineStr">
        <is>
          <t>1931-09-30</t>
        </is>
      </c>
    </row>
    <row r="11637">
      <c r="A11637" s="1" t="n">
        <v>11636</v>
      </c>
      <c r="B11637">
        <f>TEXT(11636, "[$-0E0000]yyyy-mm-dd")</f>
        <v/>
      </c>
      <c r="C11637" t="inlineStr">
        <is>
          <t>1931-10-01</t>
        </is>
      </c>
    </row>
    <row r="11638">
      <c r="A11638" s="1" t="n">
        <v>11637</v>
      </c>
      <c r="B11638">
        <f>TEXT(11637, "[$-0E0000]yyyy-mm-dd")</f>
        <v/>
      </c>
      <c r="C11638" t="inlineStr">
        <is>
          <t>1931-10-02</t>
        </is>
      </c>
    </row>
    <row r="11639">
      <c r="A11639" s="1" t="n">
        <v>11638</v>
      </c>
      <c r="B11639">
        <f>TEXT(11638, "[$-0E0000]yyyy-mm-dd")</f>
        <v/>
      </c>
      <c r="C11639" t="inlineStr">
        <is>
          <t>1931-10-03</t>
        </is>
      </c>
    </row>
    <row r="11640">
      <c r="A11640" s="1" t="n">
        <v>11639</v>
      </c>
      <c r="B11640">
        <f>TEXT(11639, "[$-0E0000]yyyy-mm-dd")</f>
        <v/>
      </c>
      <c r="C11640" t="inlineStr">
        <is>
          <t>1931-10-04</t>
        </is>
      </c>
    </row>
    <row r="11641">
      <c r="A11641" s="1" t="n">
        <v>11640</v>
      </c>
      <c r="B11641">
        <f>TEXT(11640, "[$-0E0000]yyyy-mm-dd")</f>
        <v/>
      </c>
      <c r="C11641" t="inlineStr">
        <is>
          <t>1931-10-05</t>
        </is>
      </c>
    </row>
    <row r="11642">
      <c r="A11642" s="1" t="n">
        <v>11641</v>
      </c>
      <c r="B11642">
        <f>TEXT(11641, "[$-0E0000]yyyy-mm-dd")</f>
        <v/>
      </c>
      <c r="C11642" t="inlineStr">
        <is>
          <t>1931-10-06</t>
        </is>
      </c>
    </row>
    <row r="11643">
      <c r="A11643" s="1" t="n">
        <v>11642</v>
      </c>
      <c r="B11643">
        <f>TEXT(11642, "[$-0E0000]yyyy-mm-dd")</f>
        <v/>
      </c>
      <c r="C11643" t="inlineStr">
        <is>
          <t>1931-10-07</t>
        </is>
      </c>
    </row>
    <row r="11644">
      <c r="A11644" s="1" t="n">
        <v>11643</v>
      </c>
      <c r="B11644">
        <f>TEXT(11643, "[$-0E0000]yyyy-mm-dd")</f>
        <v/>
      </c>
      <c r="C11644" t="inlineStr">
        <is>
          <t>1931-10-08</t>
        </is>
      </c>
    </row>
    <row r="11645">
      <c r="A11645" s="1" t="n">
        <v>11644</v>
      </c>
      <c r="B11645">
        <f>TEXT(11644, "[$-0E0000]yyyy-mm-dd")</f>
        <v/>
      </c>
      <c r="C11645" t="inlineStr">
        <is>
          <t>1931-10-09</t>
        </is>
      </c>
    </row>
    <row r="11646">
      <c r="A11646" s="1" t="n">
        <v>11645</v>
      </c>
      <c r="B11646">
        <f>TEXT(11645, "[$-0E0000]yyyy-mm-dd")</f>
        <v/>
      </c>
      <c r="C11646" t="inlineStr">
        <is>
          <t>1931-10-10</t>
        </is>
      </c>
    </row>
    <row r="11647">
      <c r="A11647" s="1" t="n">
        <v>11646</v>
      </c>
      <c r="B11647">
        <f>TEXT(11646, "[$-0E0000]yyyy-mm-dd")</f>
        <v/>
      </c>
      <c r="C11647" t="inlineStr">
        <is>
          <t>1931-10-11</t>
        </is>
      </c>
    </row>
    <row r="11648">
      <c r="A11648" s="1" t="n">
        <v>11647</v>
      </c>
      <c r="B11648">
        <f>TEXT(11647, "[$-0E0000]yyyy-mm-dd")</f>
        <v/>
      </c>
      <c r="C11648" t="inlineStr">
        <is>
          <t>1931-10-12</t>
        </is>
      </c>
    </row>
    <row r="11649">
      <c r="A11649" s="1" t="n">
        <v>11648</v>
      </c>
      <c r="B11649">
        <f>TEXT(11648, "[$-0E0000]yyyy-mm-dd")</f>
        <v/>
      </c>
      <c r="C11649" t="inlineStr">
        <is>
          <t>1931-10-13</t>
        </is>
      </c>
    </row>
    <row r="11650">
      <c r="A11650" s="1" t="n">
        <v>11649</v>
      </c>
      <c r="B11650">
        <f>TEXT(11649, "[$-0E0000]yyyy-mm-dd")</f>
        <v/>
      </c>
      <c r="C11650" t="inlineStr">
        <is>
          <t>1931-10-14</t>
        </is>
      </c>
    </row>
    <row r="11651">
      <c r="A11651" s="1" t="n">
        <v>11650</v>
      </c>
      <c r="B11651">
        <f>TEXT(11650, "[$-0E0000]yyyy-mm-dd")</f>
        <v/>
      </c>
      <c r="C11651" t="inlineStr">
        <is>
          <t>1931-10-15</t>
        </is>
      </c>
    </row>
    <row r="11652">
      <c r="A11652" s="1" t="n">
        <v>11651</v>
      </c>
      <c r="B11652">
        <f>TEXT(11651, "[$-0E0000]yyyy-mm-dd")</f>
        <v/>
      </c>
      <c r="C11652" t="inlineStr">
        <is>
          <t>1931-10-16</t>
        </is>
      </c>
    </row>
    <row r="11653">
      <c r="A11653" s="1" t="n">
        <v>11652</v>
      </c>
      <c r="B11653">
        <f>TEXT(11652, "[$-0E0000]yyyy-mm-dd")</f>
        <v/>
      </c>
      <c r="C11653" t="inlineStr">
        <is>
          <t>1931-10-17</t>
        </is>
      </c>
    </row>
    <row r="11654">
      <c r="A11654" s="1" t="n">
        <v>11653</v>
      </c>
      <c r="B11654">
        <f>TEXT(11653, "[$-0E0000]yyyy-mm-dd")</f>
        <v/>
      </c>
      <c r="C11654" t="inlineStr">
        <is>
          <t>1931-10-18</t>
        </is>
      </c>
    </row>
    <row r="11655">
      <c r="A11655" s="1" t="n">
        <v>11654</v>
      </c>
      <c r="B11655">
        <f>TEXT(11654, "[$-0E0000]yyyy-mm-dd")</f>
        <v/>
      </c>
      <c r="C11655" t="inlineStr">
        <is>
          <t>1931-10-19</t>
        </is>
      </c>
    </row>
    <row r="11656">
      <c r="A11656" s="1" t="n">
        <v>11655</v>
      </c>
      <c r="B11656">
        <f>TEXT(11655, "[$-0E0000]yyyy-mm-dd")</f>
        <v/>
      </c>
      <c r="C11656" t="inlineStr">
        <is>
          <t>1931-10-20</t>
        </is>
      </c>
    </row>
    <row r="11657">
      <c r="A11657" s="1" t="n">
        <v>11656</v>
      </c>
      <c r="B11657">
        <f>TEXT(11656, "[$-0E0000]yyyy-mm-dd")</f>
        <v/>
      </c>
      <c r="C11657" t="inlineStr">
        <is>
          <t>1931-10-21</t>
        </is>
      </c>
    </row>
    <row r="11658">
      <c r="A11658" s="1" t="n">
        <v>11657</v>
      </c>
      <c r="B11658">
        <f>TEXT(11657, "[$-0E0000]yyyy-mm-dd")</f>
        <v/>
      </c>
      <c r="C11658" t="inlineStr">
        <is>
          <t>1931-10-22</t>
        </is>
      </c>
    </row>
    <row r="11659">
      <c r="A11659" s="1" t="n">
        <v>11658</v>
      </c>
      <c r="B11659">
        <f>TEXT(11658, "[$-0E0000]yyyy-mm-dd")</f>
        <v/>
      </c>
      <c r="C11659" t="inlineStr">
        <is>
          <t>1931-10-23</t>
        </is>
      </c>
    </row>
    <row r="11660">
      <c r="A11660" s="1" t="n">
        <v>11659</v>
      </c>
      <c r="B11660">
        <f>TEXT(11659, "[$-0E0000]yyyy-mm-dd")</f>
        <v/>
      </c>
      <c r="C11660" t="inlineStr">
        <is>
          <t>1931-10-24</t>
        </is>
      </c>
    </row>
    <row r="11661">
      <c r="A11661" s="1" t="n">
        <v>11660</v>
      </c>
      <c r="B11661">
        <f>TEXT(11660, "[$-0E0000]yyyy-mm-dd")</f>
        <v/>
      </c>
      <c r="C11661" t="inlineStr">
        <is>
          <t>1931-10-25</t>
        </is>
      </c>
    </row>
    <row r="11662">
      <c r="A11662" s="1" t="n">
        <v>11661</v>
      </c>
      <c r="B11662">
        <f>TEXT(11661, "[$-0E0000]yyyy-mm-dd")</f>
        <v/>
      </c>
      <c r="C11662" t="inlineStr">
        <is>
          <t>1931-10-26</t>
        </is>
      </c>
    </row>
    <row r="11663">
      <c r="A11663" s="1" t="n">
        <v>11662</v>
      </c>
      <c r="B11663">
        <f>TEXT(11662, "[$-0E0000]yyyy-mm-dd")</f>
        <v/>
      </c>
      <c r="C11663" t="inlineStr">
        <is>
          <t>1931-10-27</t>
        </is>
      </c>
    </row>
    <row r="11664">
      <c r="A11664" s="1" t="n">
        <v>11663</v>
      </c>
      <c r="B11664">
        <f>TEXT(11663, "[$-0E0000]yyyy-mm-dd")</f>
        <v/>
      </c>
      <c r="C11664" t="inlineStr">
        <is>
          <t>1931-10-28</t>
        </is>
      </c>
    </row>
    <row r="11665">
      <c r="A11665" s="1" t="n">
        <v>11664</v>
      </c>
      <c r="B11665">
        <f>TEXT(11664, "[$-0E0000]yyyy-mm-dd")</f>
        <v/>
      </c>
      <c r="C11665" t="inlineStr">
        <is>
          <t>1931-10-29</t>
        </is>
      </c>
    </row>
    <row r="11666">
      <c r="A11666" s="1" t="n">
        <v>11665</v>
      </c>
      <c r="B11666">
        <f>TEXT(11665, "[$-0E0000]yyyy-mm-dd")</f>
        <v/>
      </c>
      <c r="C11666" t="inlineStr">
        <is>
          <t>1931-11-01</t>
        </is>
      </c>
    </row>
    <row r="11667">
      <c r="A11667" s="1" t="n">
        <v>11666</v>
      </c>
      <c r="B11667">
        <f>TEXT(11666, "[$-0E0000]yyyy-mm-dd")</f>
        <v/>
      </c>
      <c r="C11667" t="inlineStr">
        <is>
          <t>1931-11-02</t>
        </is>
      </c>
    </row>
    <row r="11668">
      <c r="A11668" s="1" t="n">
        <v>11667</v>
      </c>
      <c r="B11668">
        <f>TEXT(11667, "[$-0E0000]yyyy-mm-dd")</f>
        <v/>
      </c>
      <c r="C11668" t="inlineStr">
        <is>
          <t>1931-11-03</t>
        </is>
      </c>
    </row>
    <row r="11669">
      <c r="A11669" s="1" t="n">
        <v>11668</v>
      </c>
      <c r="B11669">
        <f>TEXT(11668, "[$-0E0000]yyyy-mm-dd")</f>
        <v/>
      </c>
      <c r="C11669" t="inlineStr">
        <is>
          <t>1931-11-04</t>
        </is>
      </c>
    </row>
    <row r="11670">
      <c r="A11670" s="1" t="n">
        <v>11669</v>
      </c>
      <c r="B11670">
        <f>TEXT(11669, "[$-0E0000]yyyy-mm-dd")</f>
        <v/>
      </c>
      <c r="C11670" t="inlineStr">
        <is>
          <t>1931-11-05</t>
        </is>
      </c>
    </row>
    <row r="11671">
      <c r="A11671" s="1" t="n">
        <v>11670</v>
      </c>
      <c r="B11671">
        <f>TEXT(11670, "[$-0E0000]yyyy-mm-dd")</f>
        <v/>
      </c>
      <c r="C11671" t="inlineStr">
        <is>
          <t>1931-11-06</t>
        </is>
      </c>
    </row>
    <row r="11672">
      <c r="A11672" s="1" t="n">
        <v>11671</v>
      </c>
      <c r="B11672">
        <f>TEXT(11671, "[$-0E0000]yyyy-mm-dd")</f>
        <v/>
      </c>
      <c r="C11672" t="inlineStr">
        <is>
          <t>1931-11-07</t>
        </is>
      </c>
    </row>
    <row r="11673">
      <c r="A11673" s="1" t="n">
        <v>11672</v>
      </c>
      <c r="B11673">
        <f>TEXT(11672, "[$-0E0000]yyyy-mm-dd")</f>
        <v/>
      </c>
      <c r="C11673" t="inlineStr">
        <is>
          <t>1931-11-08</t>
        </is>
      </c>
    </row>
    <row r="11674">
      <c r="A11674" s="1" t="n">
        <v>11673</v>
      </c>
      <c r="B11674">
        <f>TEXT(11673, "[$-0E0000]yyyy-mm-dd")</f>
        <v/>
      </c>
      <c r="C11674" t="inlineStr">
        <is>
          <t>1931-11-09</t>
        </is>
      </c>
    </row>
    <row r="11675">
      <c r="A11675" s="1" t="n">
        <v>11674</v>
      </c>
      <c r="B11675">
        <f>TEXT(11674, "[$-0E0000]yyyy-mm-dd")</f>
        <v/>
      </c>
      <c r="C11675" t="inlineStr">
        <is>
          <t>1931-11-10</t>
        </is>
      </c>
    </row>
    <row r="11676">
      <c r="A11676" s="1" t="n">
        <v>11675</v>
      </c>
      <c r="B11676">
        <f>TEXT(11675, "[$-0E0000]yyyy-mm-dd")</f>
        <v/>
      </c>
      <c r="C11676" t="inlineStr">
        <is>
          <t>1931-11-11</t>
        </is>
      </c>
    </row>
    <row r="11677">
      <c r="A11677" s="1" t="n">
        <v>11676</v>
      </c>
      <c r="B11677">
        <f>TEXT(11676, "[$-0E0000]yyyy-mm-dd")</f>
        <v/>
      </c>
      <c r="C11677" t="inlineStr">
        <is>
          <t>1931-11-12</t>
        </is>
      </c>
    </row>
    <row r="11678">
      <c r="A11678" s="1" t="n">
        <v>11677</v>
      </c>
      <c r="B11678">
        <f>TEXT(11677, "[$-0E0000]yyyy-mm-dd")</f>
        <v/>
      </c>
      <c r="C11678" t="inlineStr">
        <is>
          <t>1931-11-13</t>
        </is>
      </c>
    </row>
    <row r="11679">
      <c r="A11679" s="1" t="n">
        <v>11678</v>
      </c>
      <c r="B11679">
        <f>TEXT(11678, "[$-0E0000]yyyy-mm-dd")</f>
        <v/>
      </c>
      <c r="C11679" t="inlineStr">
        <is>
          <t>1931-11-14</t>
        </is>
      </c>
    </row>
    <row r="11680">
      <c r="A11680" s="1" t="n">
        <v>11679</v>
      </c>
      <c r="B11680">
        <f>TEXT(11679, "[$-0E0000]yyyy-mm-dd")</f>
        <v/>
      </c>
      <c r="C11680" t="inlineStr">
        <is>
          <t>1931-11-15</t>
        </is>
      </c>
    </row>
    <row r="11681">
      <c r="A11681" s="1" t="n">
        <v>11680</v>
      </c>
      <c r="B11681">
        <f>TEXT(11680, "[$-0E0000]yyyy-mm-dd")</f>
        <v/>
      </c>
      <c r="C11681" t="inlineStr">
        <is>
          <t>1931-11-16</t>
        </is>
      </c>
    </row>
    <row r="11682">
      <c r="A11682" s="1" t="n">
        <v>11681</v>
      </c>
      <c r="B11682">
        <f>TEXT(11681, "[$-0E0000]yyyy-mm-dd")</f>
        <v/>
      </c>
      <c r="C11682" t="inlineStr">
        <is>
          <t>1931-11-17</t>
        </is>
      </c>
    </row>
    <row r="11683">
      <c r="A11683" s="1" t="n">
        <v>11682</v>
      </c>
      <c r="B11683">
        <f>TEXT(11682, "[$-0E0000]yyyy-mm-dd")</f>
        <v/>
      </c>
      <c r="C11683" t="inlineStr">
        <is>
          <t>1931-11-18</t>
        </is>
      </c>
    </row>
    <row r="11684">
      <c r="A11684" s="1" t="n">
        <v>11683</v>
      </c>
      <c r="B11684">
        <f>TEXT(11683, "[$-0E0000]yyyy-mm-dd")</f>
        <v/>
      </c>
      <c r="C11684" t="inlineStr">
        <is>
          <t>1931-11-19</t>
        </is>
      </c>
    </row>
    <row r="11685">
      <c r="A11685" s="1" t="n">
        <v>11684</v>
      </c>
      <c r="B11685">
        <f>TEXT(11684, "[$-0E0000]yyyy-mm-dd")</f>
        <v/>
      </c>
      <c r="C11685" t="inlineStr">
        <is>
          <t>1931-11-20</t>
        </is>
      </c>
    </row>
    <row r="11686">
      <c r="A11686" s="1" t="n">
        <v>11685</v>
      </c>
      <c r="B11686">
        <f>TEXT(11685, "[$-0E0000]yyyy-mm-dd")</f>
        <v/>
      </c>
      <c r="C11686" t="inlineStr">
        <is>
          <t>1931-11-21</t>
        </is>
      </c>
    </row>
    <row r="11687">
      <c r="A11687" s="1" t="n">
        <v>11686</v>
      </c>
      <c r="B11687">
        <f>TEXT(11686, "[$-0E0000]yyyy-mm-dd")</f>
        <v/>
      </c>
      <c r="C11687" t="inlineStr">
        <is>
          <t>1931-11-22</t>
        </is>
      </c>
    </row>
    <row r="11688">
      <c r="A11688" s="1" t="n">
        <v>11687</v>
      </c>
      <c r="B11688">
        <f>TEXT(11687, "[$-0E0000]yyyy-mm-dd")</f>
        <v/>
      </c>
      <c r="C11688" t="inlineStr">
        <is>
          <t>1931-11-23</t>
        </is>
      </c>
    </row>
    <row r="11689">
      <c r="A11689" s="1" t="n">
        <v>11688</v>
      </c>
      <c r="B11689">
        <f>TEXT(11688, "[$-0E0000]yyyy-mm-dd")</f>
        <v/>
      </c>
      <c r="C11689" t="inlineStr">
        <is>
          <t>1931-11-24</t>
        </is>
      </c>
    </row>
    <row r="11690">
      <c r="A11690" s="1" t="n">
        <v>11689</v>
      </c>
      <c r="B11690">
        <f>TEXT(11689, "[$-0E0000]yyyy-mm-dd")</f>
        <v/>
      </c>
      <c r="C11690" t="inlineStr">
        <is>
          <t>1931-11-25</t>
        </is>
      </c>
    </row>
    <row r="11691">
      <c r="A11691" s="1" t="n">
        <v>11690</v>
      </c>
      <c r="B11691">
        <f>TEXT(11690, "[$-0E0000]yyyy-mm-dd")</f>
        <v/>
      </c>
      <c r="C11691" t="inlineStr">
        <is>
          <t>1931-11-26</t>
        </is>
      </c>
    </row>
    <row r="11692">
      <c r="A11692" s="1" t="n">
        <v>11691</v>
      </c>
      <c r="B11692">
        <f>TEXT(11691, "[$-0E0000]yyyy-mm-dd")</f>
        <v/>
      </c>
      <c r="C11692" t="inlineStr">
        <is>
          <t>1931-11-27</t>
        </is>
      </c>
    </row>
    <row r="11693">
      <c r="A11693" s="1" t="n">
        <v>11692</v>
      </c>
      <c r="B11693">
        <f>TEXT(11692, "[$-0E0000]yyyy-mm-dd")</f>
        <v/>
      </c>
      <c r="C11693" t="inlineStr">
        <is>
          <t>1931-11-28</t>
        </is>
      </c>
    </row>
    <row r="11694">
      <c r="A11694" s="1" t="n">
        <v>11693</v>
      </c>
      <c r="B11694">
        <f>TEXT(11693, "[$-0E0000]yyyy-mm-dd")</f>
        <v/>
      </c>
      <c r="C11694" t="inlineStr">
        <is>
          <t>1931-11-29</t>
        </is>
      </c>
    </row>
    <row r="11695">
      <c r="A11695" s="1" t="n">
        <v>11694</v>
      </c>
      <c r="B11695">
        <f>TEXT(11694, "[$-0E0000]yyyy-mm-dd")</f>
        <v/>
      </c>
      <c r="C11695" t="inlineStr">
        <is>
          <t>1931-11-30</t>
        </is>
      </c>
    </row>
    <row r="11696">
      <c r="A11696" s="1" t="n">
        <v>11695</v>
      </c>
      <c r="B11696">
        <f>TEXT(11695, "[$-0E0000]yyyy-mm-dd")</f>
        <v/>
      </c>
      <c r="C11696" t="inlineStr">
        <is>
          <t>1931-12-01</t>
        </is>
      </c>
    </row>
    <row r="11697">
      <c r="A11697" s="1" t="n">
        <v>11696</v>
      </c>
      <c r="B11697">
        <f>TEXT(11696, "[$-0E0000]yyyy-mm-dd")</f>
        <v/>
      </c>
      <c r="C11697" t="inlineStr">
        <is>
          <t>1931-12-02</t>
        </is>
      </c>
    </row>
    <row r="11698">
      <c r="A11698" s="1" t="n">
        <v>11697</v>
      </c>
      <c r="B11698">
        <f>TEXT(11697, "[$-0E0000]yyyy-mm-dd")</f>
        <v/>
      </c>
      <c r="C11698" t="inlineStr">
        <is>
          <t>1931-12-03</t>
        </is>
      </c>
    </row>
    <row r="11699">
      <c r="A11699" s="1" t="n">
        <v>11698</v>
      </c>
      <c r="B11699">
        <f>TEXT(11698, "[$-0E0000]yyyy-mm-dd")</f>
        <v/>
      </c>
      <c r="C11699" t="inlineStr">
        <is>
          <t>1931-12-04</t>
        </is>
      </c>
    </row>
    <row r="11700">
      <c r="A11700" s="1" t="n">
        <v>11699</v>
      </c>
      <c r="B11700">
        <f>TEXT(11699, "[$-0E0000]yyyy-mm-dd")</f>
        <v/>
      </c>
      <c r="C11700" t="inlineStr">
        <is>
          <t>1931-12-05</t>
        </is>
      </c>
    </row>
    <row r="11701">
      <c r="A11701" s="1" t="n">
        <v>11700</v>
      </c>
      <c r="B11701">
        <f>TEXT(11700, "[$-0E0000]yyyy-mm-dd")</f>
        <v/>
      </c>
      <c r="C11701" t="inlineStr">
        <is>
          <t>1931-12-06</t>
        </is>
      </c>
    </row>
    <row r="11702">
      <c r="A11702" s="1" t="n">
        <v>11701</v>
      </c>
      <c r="B11702">
        <f>TEXT(11701, "[$-0E0000]yyyy-mm-dd")</f>
        <v/>
      </c>
      <c r="C11702" t="inlineStr">
        <is>
          <t>1931-12-07</t>
        </is>
      </c>
    </row>
    <row r="11703">
      <c r="A11703" s="1" t="n">
        <v>11702</v>
      </c>
      <c r="B11703">
        <f>TEXT(11702, "[$-0E0000]yyyy-mm-dd")</f>
        <v/>
      </c>
      <c r="C11703" t="inlineStr">
        <is>
          <t>1931-12-08</t>
        </is>
      </c>
    </row>
    <row r="11704">
      <c r="A11704" s="1" t="n">
        <v>11703</v>
      </c>
      <c r="B11704">
        <f>TEXT(11703, "[$-0E0000]yyyy-mm-dd")</f>
        <v/>
      </c>
      <c r="C11704" t="inlineStr">
        <is>
          <t>1931-12-09</t>
        </is>
      </c>
    </row>
    <row r="11705">
      <c r="A11705" s="1" t="n">
        <v>11704</v>
      </c>
      <c r="B11705">
        <f>TEXT(11704, "[$-0E0000]yyyy-mm-dd")</f>
        <v/>
      </c>
      <c r="C11705" t="inlineStr">
        <is>
          <t>1931-12-10</t>
        </is>
      </c>
    </row>
    <row r="11706">
      <c r="A11706" s="1" t="n">
        <v>11705</v>
      </c>
      <c r="B11706">
        <f>TEXT(11705, "[$-0E0000]yyyy-mm-dd")</f>
        <v/>
      </c>
      <c r="C11706" t="inlineStr">
        <is>
          <t>1931-12-11</t>
        </is>
      </c>
    </row>
    <row r="11707">
      <c r="A11707" s="1" t="n">
        <v>11706</v>
      </c>
      <c r="B11707">
        <f>TEXT(11706, "[$-0E0000]yyyy-mm-dd")</f>
        <v/>
      </c>
      <c r="C11707" t="inlineStr">
        <is>
          <t>1931-12-12</t>
        </is>
      </c>
    </row>
    <row r="11708">
      <c r="A11708" s="1" t="n">
        <v>11707</v>
      </c>
      <c r="B11708">
        <f>TEXT(11707, "[$-0E0000]yyyy-mm-dd")</f>
        <v/>
      </c>
      <c r="C11708" t="inlineStr">
        <is>
          <t>1931-12-13</t>
        </is>
      </c>
    </row>
    <row r="11709">
      <c r="A11709" s="1" t="n">
        <v>11708</v>
      </c>
      <c r="B11709">
        <f>TEXT(11708, "[$-0E0000]yyyy-mm-dd")</f>
        <v/>
      </c>
      <c r="C11709" t="inlineStr">
        <is>
          <t>1931-12-14</t>
        </is>
      </c>
    </row>
    <row r="11710">
      <c r="A11710" s="1" t="n">
        <v>11709</v>
      </c>
      <c r="B11710">
        <f>TEXT(11709, "[$-0E0000]yyyy-mm-dd")</f>
        <v/>
      </c>
      <c r="C11710" t="inlineStr">
        <is>
          <t>1931-12-15</t>
        </is>
      </c>
    </row>
    <row r="11711">
      <c r="A11711" s="1" t="n">
        <v>11710</v>
      </c>
      <c r="B11711">
        <f>TEXT(11710, "[$-0E0000]yyyy-mm-dd")</f>
        <v/>
      </c>
      <c r="C11711" t="inlineStr">
        <is>
          <t>1931-12-16</t>
        </is>
      </c>
    </row>
    <row r="11712">
      <c r="A11712" s="1" t="n">
        <v>11711</v>
      </c>
      <c r="B11712">
        <f>TEXT(11711, "[$-0E0000]yyyy-mm-dd")</f>
        <v/>
      </c>
      <c r="C11712" t="inlineStr">
        <is>
          <t>1931-12-17</t>
        </is>
      </c>
    </row>
    <row r="11713">
      <c r="A11713" s="1" t="n">
        <v>11712</v>
      </c>
      <c r="B11713">
        <f>TEXT(11712, "[$-0E0000]yyyy-mm-dd")</f>
        <v/>
      </c>
      <c r="C11713" t="inlineStr">
        <is>
          <t>1931-12-18</t>
        </is>
      </c>
    </row>
    <row r="11714">
      <c r="A11714" s="1" t="n">
        <v>11713</v>
      </c>
      <c r="B11714">
        <f>TEXT(11713, "[$-0E0000]yyyy-mm-dd")</f>
        <v/>
      </c>
      <c r="C11714" t="inlineStr">
        <is>
          <t>1931-12-19</t>
        </is>
      </c>
    </row>
    <row r="11715">
      <c r="A11715" s="1" t="n">
        <v>11714</v>
      </c>
      <c r="B11715">
        <f>TEXT(11714, "[$-0E0000]yyyy-mm-dd")</f>
        <v/>
      </c>
      <c r="C11715" t="inlineStr">
        <is>
          <t>1931-12-20</t>
        </is>
      </c>
    </row>
    <row r="11716">
      <c r="A11716" s="1" t="n">
        <v>11715</v>
      </c>
      <c r="B11716">
        <f>TEXT(11715, "[$-0E0000]yyyy-mm-dd")</f>
        <v/>
      </c>
      <c r="C11716" t="inlineStr">
        <is>
          <t>1931-12-21</t>
        </is>
      </c>
    </row>
    <row r="11717">
      <c r="A11717" s="1" t="n">
        <v>11716</v>
      </c>
      <c r="B11717">
        <f>TEXT(11716, "[$-0E0000]yyyy-mm-dd")</f>
        <v/>
      </c>
      <c r="C11717" t="inlineStr">
        <is>
          <t>1931-12-22</t>
        </is>
      </c>
    </row>
    <row r="11718">
      <c r="A11718" s="1" t="n">
        <v>11717</v>
      </c>
      <c r="B11718">
        <f>TEXT(11717, "[$-0E0000]yyyy-mm-dd")</f>
        <v/>
      </c>
      <c r="C11718" t="inlineStr">
        <is>
          <t>1931-12-23</t>
        </is>
      </c>
    </row>
    <row r="11719">
      <c r="A11719" s="1" t="n">
        <v>11718</v>
      </c>
      <c r="B11719">
        <f>TEXT(11718, "[$-0E0000]yyyy-mm-dd")</f>
        <v/>
      </c>
      <c r="C11719" t="inlineStr">
        <is>
          <t>1931-12-24</t>
        </is>
      </c>
    </row>
    <row r="11720">
      <c r="A11720" s="1" t="n">
        <v>11719</v>
      </c>
      <c r="B11720">
        <f>TEXT(11719, "[$-0E0000]yyyy-mm-dd")</f>
        <v/>
      </c>
      <c r="C11720" t="inlineStr">
        <is>
          <t>1931-12-25</t>
        </is>
      </c>
    </row>
    <row r="11721">
      <c r="A11721" s="1" t="n">
        <v>11720</v>
      </c>
      <c r="B11721">
        <f>TEXT(11720, "[$-0E0000]yyyy-mm-dd")</f>
        <v/>
      </c>
      <c r="C11721" t="inlineStr">
        <is>
          <t>1931-12-26</t>
        </is>
      </c>
    </row>
    <row r="11722">
      <c r="A11722" s="1" t="n">
        <v>11721</v>
      </c>
      <c r="B11722">
        <f>TEXT(11721, "[$-0E0000]yyyy-mm-dd")</f>
        <v/>
      </c>
      <c r="C11722" t="inlineStr">
        <is>
          <t>1931-12-27</t>
        </is>
      </c>
    </row>
    <row r="11723">
      <c r="A11723" s="1" t="n">
        <v>11722</v>
      </c>
      <c r="B11723">
        <f>TEXT(11722, "[$-0E0000]yyyy-mm-dd")</f>
        <v/>
      </c>
      <c r="C11723" t="inlineStr">
        <is>
          <t>1931-12-28</t>
        </is>
      </c>
    </row>
    <row r="11724">
      <c r="A11724" s="1" t="n">
        <v>11723</v>
      </c>
      <c r="B11724">
        <f>TEXT(11723, "[$-0E0000]yyyy-mm-dd")</f>
        <v/>
      </c>
      <c r="C11724" t="inlineStr">
        <is>
          <t>1931-12-29</t>
        </is>
      </c>
    </row>
    <row r="11725">
      <c r="A11725" s="1" t="n">
        <v>11724</v>
      </c>
      <c r="B11725">
        <f>TEXT(11724, "[$-0E0000]yyyy-mm-dd")</f>
        <v/>
      </c>
      <c r="C11725" t="inlineStr">
        <is>
          <t>1932-01-01</t>
        </is>
      </c>
    </row>
    <row r="11726">
      <c r="A11726" s="1" t="n">
        <v>11725</v>
      </c>
      <c r="B11726">
        <f>TEXT(11725, "[$-0E0000]yyyy-mm-dd")</f>
        <v/>
      </c>
      <c r="C11726" t="inlineStr">
        <is>
          <t>1932-01-02</t>
        </is>
      </c>
    </row>
    <row r="11727">
      <c r="A11727" s="1" t="n">
        <v>11726</v>
      </c>
      <c r="B11727">
        <f>TEXT(11726, "[$-0E0000]yyyy-mm-dd")</f>
        <v/>
      </c>
      <c r="C11727" t="inlineStr">
        <is>
          <t>1932-01-03</t>
        </is>
      </c>
    </row>
    <row r="11728">
      <c r="A11728" s="1" t="n">
        <v>11727</v>
      </c>
      <c r="B11728">
        <f>TEXT(11727, "[$-0E0000]yyyy-mm-dd")</f>
        <v/>
      </c>
      <c r="C11728" t="inlineStr">
        <is>
          <t>1932-01-04</t>
        </is>
      </c>
    </row>
    <row r="11729">
      <c r="A11729" s="1" t="n">
        <v>11728</v>
      </c>
      <c r="B11729">
        <f>TEXT(11728, "[$-0E0000]yyyy-mm-dd")</f>
        <v/>
      </c>
      <c r="C11729" t="inlineStr">
        <is>
          <t>1932-01-05</t>
        </is>
      </c>
    </row>
    <row r="11730">
      <c r="A11730" s="1" t="n">
        <v>11729</v>
      </c>
      <c r="B11730">
        <f>TEXT(11729, "[$-0E0000]yyyy-mm-dd")</f>
        <v/>
      </c>
      <c r="C11730" t="inlineStr">
        <is>
          <t>1932-01-06</t>
        </is>
      </c>
    </row>
    <row r="11731">
      <c r="A11731" s="1" t="n">
        <v>11730</v>
      </c>
      <c r="B11731">
        <f>TEXT(11730, "[$-0E0000]yyyy-mm-dd")</f>
        <v/>
      </c>
      <c r="C11731" t="inlineStr">
        <is>
          <t>1932-01-07</t>
        </is>
      </c>
    </row>
    <row r="11732">
      <c r="A11732" s="1" t="n">
        <v>11731</v>
      </c>
      <c r="B11732">
        <f>TEXT(11731, "[$-0E0000]yyyy-mm-dd")</f>
        <v/>
      </c>
      <c r="C11732" t="inlineStr">
        <is>
          <t>1932-01-08</t>
        </is>
      </c>
    </row>
    <row r="11733">
      <c r="A11733" s="1" t="n">
        <v>11732</v>
      </c>
      <c r="B11733">
        <f>TEXT(11732, "[$-0E0000]yyyy-mm-dd")</f>
        <v/>
      </c>
      <c r="C11733" t="inlineStr">
        <is>
          <t>1932-01-09</t>
        </is>
      </c>
    </row>
    <row r="11734">
      <c r="A11734" s="1" t="n">
        <v>11733</v>
      </c>
      <c r="B11734">
        <f>TEXT(11733, "[$-0E0000]yyyy-mm-dd")</f>
        <v/>
      </c>
      <c r="C11734" t="inlineStr">
        <is>
          <t>1932-01-10</t>
        </is>
      </c>
    </row>
    <row r="11735">
      <c r="A11735" s="1" t="n">
        <v>11734</v>
      </c>
      <c r="B11735">
        <f>TEXT(11734, "[$-0E0000]yyyy-mm-dd")</f>
        <v/>
      </c>
      <c r="C11735" t="inlineStr">
        <is>
          <t>1932-01-11</t>
        </is>
      </c>
    </row>
    <row r="11736">
      <c r="A11736" s="1" t="n">
        <v>11735</v>
      </c>
      <c r="B11736">
        <f>TEXT(11735, "[$-0E0000]yyyy-mm-dd")</f>
        <v/>
      </c>
      <c r="C11736" t="inlineStr">
        <is>
          <t>1932-01-12</t>
        </is>
      </c>
    </row>
    <row r="11737">
      <c r="A11737" s="1" t="n">
        <v>11736</v>
      </c>
      <c r="B11737">
        <f>TEXT(11736, "[$-0E0000]yyyy-mm-dd")</f>
        <v/>
      </c>
      <c r="C11737" t="inlineStr">
        <is>
          <t>1932-01-13</t>
        </is>
      </c>
    </row>
    <row r="11738">
      <c r="A11738" s="1" t="n">
        <v>11737</v>
      </c>
      <c r="B11738">
        <f>TEXT(11737, "[$-0E0000]yyyy-mm-dd")</f>
        <v/>
      </c>
      <c r="C11738" t="inlineStr">
        <is>
          <t>1932-01-14</t>
        </is>
      </c>
    </row>
    <row r="11739">
      <c r="A11739" s="1" t="n">
        <v>11738</v>
      </c>
      <c r="B11739">
        <f>TEXT(11738, "[$-0E0000]yyyy-mm-dd")</f>
        <v/>
      </c>
      <c r="C11739" t="inlineStr">
        <is>
          <t>1932-01-15</t>
        </is>
      </c>
    </row>
    <row r="11740">
      <c r="A11740" s="1" t="n">
        <v>11739</v>
      </c>
      <c r="B11740">
        <f>TEXT(11739, "[$-0E0000]yyyy-mm-dd")</f>
        <v/>
      </c>
      <c r="C11740" t="inlineStr">
        <is>
          <t>1932-01-16</t>
        </is>
      </c>
    </row>
    <row r="11741">
      <c r="A11741" s="1" t="n">
        <v>11740</v>
      </c>
      <c r="B11741">
        <f>TEXT(11740, "[$-0E0000]yyyy-mm-dd")</f>
        <v/>
      </c>
      <c r="C11741" t="inlineStr">
        <is>
          <t>1932-01-17</t>
        </is>
      </c>
    </row>
    <row r="11742">
      <c r="A11742" s="1" t="n">
        <v>11741</v>
      </c>
      <c r="B11742">
        <f>TEXT(11741, "[$-0E0000]yyyy-mm-dd")</f>
        <v/>
      </c>
      <c r="C11742" t="inlineStr">
        <is>
          <t>1932-01-18</t>
        </is>
      </c>
    </row>
    <row r="11743">
      <c r="A11743" s="1" t="n">
        <v>11742</v>
      </c>
      <c r="B11743">
        <f>TEXT(11742, "[$-0E0000]yyyy-mm-dd")</f>
        <v/>
      </c>
      <c r="C11743" t="inlineStr">
        <is>
          <t>1932-01-19</t>
        </is>
      </c>
    </row>
    <row r="11744">
      <c r="A11744" s="1" t="n">
        <v>11743</v>
      </c>
      <c r="B11744">
        <f>TEXT(11743, "[$-0E0000]yyyy-mm-dd")</f>
        <v/>
      </c>
      <c r="C11744" t="inlineStr">
        <is>
          <t>1932-01-20</t>
        </is>
      </c>
    </row>
    <row r="11745">
      <c r="A11745" s="1" t="n">
        <v>11744</v>
      </c>
      <c r="B11745">
        <f>TEXT(11744, "[$-0E0000]yyyy-mm-dd")</f>
        <v/>
      </c>
      <c r="C11745" t="inlineStr">
        <is>
          <t>1932-01-21</t>
        </is>
      </c>
    </row>
    <row r="11746">
      <c r="A11746" s="1" t="n">
        <v>11745</v>
      </c>
      <c r="B11746">
        <f>TEXT(11745, "[$-0E0000]yyyy-mm-dd")</f>
        <v/>
      </c>
      <c r="C11746" t="inlineStr">
        <is>
          <t>1932-01-22</t>
        </is>
      </c>
    </row>
    <row r="11747">
      <c r="A11747" s="1" t="n">
        <v>11746</v>
      </c>
      <c r="B11747">
        <f>TEXT(11746, "[$-0E0000]yyyy-mm-dd")</f>
        <v/>
      </c>
      <c r="C11747" t="inlineStr">
        <is>
          <t>1932-01-23</t>
        </is>
      </c>
    </row>
    <row r="11748">
      <c r="A11748" s="1" t="n">
        <v>11747</v>
      </c>
      <c r="B11748">
        <f>TEXT(11747, "[$-0E0000]yyyy-mm-dd")</f>
        <v/>
      </c>
      <c r="C11748" t="inlineStr">
        <is>
          <t>1932-01-24</t>
        </is>
      </c>
    </row>
    <row r="11749">
      <c r="A11749" s="1" t="n">
        <v>11748</v>
      </c>
      <c r="B11749">
        <f>TEXT(11748, "[$-0E0000]yyyy-mm-dd")</f>
        <v/>
      </c>
      <c r="C11749" t="inlineStr">
        <is>
          <t>1932-01-25</t>
        </is>
      </c>
    </row>
    <row r="11750">
      <c r="A11750" s="1" t="n">
        <v>11749</v>
      </c>
      <c r="B11750">
        <f>TEXT(11749, "[$-0E0000]yyyy-mm-dd")</f>
        <v/>
      </c>
      <c r="C11750" t="inlineStr">
        <is>
          <t>1932-01-26</t>
        </is>
      </c>
    </row>
    <row r="11751">
      <c r="A11751" s="1" t="n">
        <v>11750</v>
      </c>
      <c r="B11751">
        <f>TEXT(11750, "[$-0E0000]yyyy-mm-dd")</f>
        <v/>
      </c>
      <c r="C11751" t="inlineStr">
        <is>
          <t>1932-01-27</t>
        </is>
      </c>
    </row>
    <row r="11752">
      <c r="A11752" s="1" t="n">
        <v>11751</v>
      </c>
      <c r="B11752">
        <f>TEXT(11751, "[$-0E0000]yyyy-mm-dd")</f>
        <v/>
      </c>
      <c r="C11752" t="inlineStr">
        <is>
          <t>1932-01-28</t>
        </is>
      </c>
    </row>
    <row r="11753">
      <c r="A11753" s="1" t="n">
        <v>11752</v>
      </c>
      <c r="B11753">
        <f>TEXT(11752, "[$-0E0000]yyyy-mm-dd")</f>
        <v/>
      </c>
      <c r="C11753" t="inlineStr">
        <is>
          <t>1932-01-29</t>
        </is>
      </c>
    </row>
    <row r="11754">
      <c r="A11754" s="1" t="n">
        <v>11753</v>
      </c>
      <c r="B11754">
        <f>TEXT(11753, "[$-0E0000]yyyy-mm-dd")</f>
        <v/>
      </c>
      <c r="C11754" t="inlineStr">
        <is>
          <t>1932-01-30</t>
        </is>
      </c>
    </row>
    <row r="11755">
      <c r="A11755" s="1" t="n">
        <v>11754</v>
      </c>
      <c r="B11755">
        <f>TEXT(11754, "[$-0E0000]yyyy-mm-dd")</f>
        <v/>
      </c>
      <c r="C11755" t="inlineStr">
        <is>
          <t>1932-02-01</t>
        </is>
      </c>
    </row>
    <row r="11756">
      <c r="A11756" s="1" t="n">
        <v>11755</v>
      </c>
      <c r="B11756">
        <f>TEXT(11755, "[$-0E0000]yyyy-mm-dd")</f>
        <v/>
      </c>
      <c r="C11756" t="inlineStr">
        <is>
          <t>1932-02-02</t>
        </is>
      </c>
    </row>
    <row r="11757">
      <c r="A11757" s="1" t="n">
        <v>11756</v>
      </c>
      <c r="B11757">
        <f>TEXT(11756, "[$-0E0000]yyyy-mm-dd")</f>
        <v/>
      </c>
      <c r="C11757" t="inlineStr">
        <is>
          <t>1932-02-03</t>
        </is>
      </c>
    </row>
    <row r="11758">
      <c r="A11758" s="1" t="n">
        <v>11757</v>
      </c>
      <c r="B11758">
        <f>TEXT(11757, "[$-0E0000]yyyy-mm-dd")</f>
        <v/>
      </c>
      <c r="C11758" t="inlineStr">
        <is>
          <t>1932-02-04</t>
        </is>
      </c>
    </row>
    <row r="11759">
      <c r="A11759" s="1" t="n">
        <v>11758</v>
      </c>
      <c r="B11759">
        <f>TEXT(11758, "[$-0E0000]yyyy-mm-dd")</f>
        <v/>
      </c>
      <c r="C11759" t="inlineStr">
        <is>
          <t>1932-02-05</t>
        </is>
      </c>
    </row>
    <row r="11760">
      <c r="A11760" s="1" t="n">
        <v>11759</v>
      </c>
      <c r="B11760">
        <f>TEXT(11759, "[$-0E0000]yyyy-mm-dd")</f>
        <v/>
      </c>
      <c r="C11760" t="inlineStr">
        <is>
          <t>1932-02-06</t>
        </is>
      </c>
    </row>
    <row r="11761">
      <c r="A11761" s="1" t="n">
        <v>11760</v>
      </c>
      <c r="B11761">
        <f>TEXT(11760, "[$-0E0000]yyyy-mm-dd")</f>
        <v/>
      </c>
      <c r="C11761" t="inlineStr">
        <is>
          <t>1932-02-07</t>
        </is>
      </c>
    </row>
    <row r="11762">
      <c r="A11762" s="1" t="n">
        <v>11761</v>
      </c>
      <c r="B11762">
        <f>TEXT(11761, "[$-0E0000]yyyy-mm-dd")</f>
        <v/>
      </c>
      <c r="C11762" t="inlineStr">
        <is>
          <t>1932-02-08</t>
        </is>
      </c>
    </row>
    <row r="11763">
      <c r="A11763" s="1" t="n">
        <v>11762</v>
      </c>
      <c r="B11763">
        <f>TEXT(11762, "[$-0E0000]yyyy-mm-dd")</f>
        <v/>
      </c>
      <c r="C11763" t="inlineStr">
        <is>
          <t>1932-02-09</t>
        </is>
      </c>
    </row>
    <row r="11764">
      <c r="A11764" s="1" t="n">
        <v>11763</v>
      </c>
      <c r="B11764">
        <f>TEXT(11763, "[$-0E0000]yyyy-mm-dd")</f>
        <v/>
      </c>
      <c r="C11764" t="inlineStr">
        <is>
          <t>1932-02-10</t>
        </is>
      </c>
    </row>
    <row r="11765">
      <c r="A11765" s="1" t="n">
        <v>11764</v>
      </c>
      <c r="B11765">
        <f>TEXT(11764, "[$-0E0000]yyyy-mm-dd")</f>
        <v/>
      </c>
      <c r="C11765" t="inlineStr">
        <is>
          <t>1932-02-11</t>
        </is>
      </c>
    </row>
    <row r="11766">
      <c r="A11766" s="1" t="n">
        <v>11765</v>
      </c>
      <c r="B11766">
        <f>TEXT(11765, "[$-0E0000]yyyy-mm-dd")</f>
        <v/>
      </c>
      <c r="C11766" t="inlineStr">
        <is>
          <t>1932-02-12</t>
        </is>
      </c>
    </row>
    <row r="11767">
      <c r="A11767" s="1" t="n">
        <v>11766</v>
      </c>
      <c r="B11767">
        <f>TEXT(11766, "[$-0E0000]yyyy-mm-dd")</f>
        <v/>
      </c>
      <c r="C11767" t="inlineStr">
        <is>
          <t>1932-02-13</t>
        </is>
      </c>
    </row>
    <row r="11768">
      <c r="A11768" s="1" t="n">
        <v>11767</v>
      </c>
      <c r="B11768">
        <f>TEXT(11767, "[$-0E0000]yyyy-mm-dd")</f>
        <v/>
      </c>
      <c r="C11768" t="inlineStr">
        <is>
          <t>1932-02-14</t>
        </is>
      </c>
    </row>
    <row r="11769">
      <c r="A11769" s="1" t="n">
        <v>11768</v>
      </c>
      <c r="B11769">
        <f>TEXT(11768, "[$-0E0000]yyyy-mm-dd")</f>
        <v/>
      </c>
      <c r="C11769" t="inlineStr">
        <is>
          <t>1932-02-15</t>
        </is>
      </c>
    </row>
    <row r="11770">
      <c r="A11770" s="1" t="n">
        <v>11769</v>
      </c>
      <c r="B11770">
        <f>TEXT(11769, "[$-0E0000]yyyy-mm-dd")</f>
        <v/>
      </c>
      <c r="C11770" t="inlineStr">
        <is>
          <t>1932-02-16</t>
        </is>
      </c>
    </row>
    <row r="11771">
      <c r="A11771" s="1" t="n">
        <v>11770</v>
      </c>
      <c r="B11771">
        <f>TEXT(11770, "[$-0E0000]yyyy-mm-dd")</f>
        <v/>
      </c>
      <c r="C11771" t="inlineStr">
        <is>
          <t>1932-02-17</t>
        </is>
      </c>
    </row>
    <row r="11772">
      <c r="A11772" s="1" t="n">
        <v>11771</v>
      </c>
      <c r="B11772">
        <f>TEXT(11771, "[$-0E0000]yyyy-mm-dd")</f>
        <v/>
      </c>
      <c r="C11772" t="inlineStr">
        <is>
          <t>1932-02-18</t>
        </is>
      </c>
    </row>
    <row r="11773">
      <c r="A11773" s="1" t="n">
        <v>11772</v>
      </c>
      <c r="B11773">
        <f>TEXT(11772, "[$-0E0000]yyyy-mm-dd")</f>
        <v/>
      </c>
      <c r="C11773" t="inlineStr">
        <is>
          <t>1932-02-19</t>
        </is>
      </c>
    </row>
    <row r="11774">
      <c r="A11774" s="1" t="n">
        <v>11773</v>
      </c>
      <c r="B11774">
        <f>TEXT(11773, "[$-0E0000]yyyy-mm-dd")</f>
        <v/>
      </c>
      <c r="C11774" t="inlineStr">
        <is>
          <t>1932-02-20</t>
        </is>
      </c>
    </row>
    <row r="11775">
      <c r="A11775" s="1" t="n">
        <v>11774</v>
      </c>
      <c r="B11775">
        <f>TEXT(11774, "[$-0E0000]yyyy-mm-dd")</f>
        <v/>
      </c>
      <c r="C11775" t="inlineStr">
        <is>
          <t>1932-02-21</t>
        </is>
      </c>
    </row>
    <row r="11776">
      <c r="A11776" s="1" t="n">
        <v>11775</v>
      </c>
      <c r="B11776">
        <f>TEXT(11775, "[$-0E0000]yyyy-mm-dd")</f>
        <v/>
      </c>
      <c r="C11776" t="inlineStr">
        <is>
          <t>1932-02-22</t>
        </is>
      </c>
    </row>
    <row r="11777">
      <c r="A11777" s="1" t="n">
        <v>11776</v>
      </c>
      <c r="B11777">
        <f>TEXT(11776, "[$-0E0000]yyyy-mm-dd")</f>
        <v/>
      </c>
      <c r="C11777" t="inlineStr">
        <is>
          <t>1932-02-23</t>
        </is>
      </c>
    </row>
    <row r="11778">
      <c r="A11778" s="1" t="n">
        <v>11777</v>
      </c>
      <c r="B11778">
        <f>TEXT(11777, "[$-0E0000]yyyy-mm-dd")</f>
        <v/>
      </c>
      <c r="C11778" t="inlineStr">
        <is>
          <t>1932-02-24</t>
        </is>
      </c>
    </row>
    <row r="11779">
      <c r="A11779" s="1" t="n">
        <v>11778</v>
      </c>
      <c r="B11779">
        <f>TEXT(11778, "[$-0E0000]yyyy-mm-dd")</f>
        <v/>
      </c>
      <c r="C11779" t="inlineStr">
        <is>
          <t>1932-02-25</t>
        </is>
      </c>
    </row>
    <row r="11780">
      <c r="A11780" s="1" t="n">
        <v>11779</v>
      </c>
      <c r="B11780">
        <f>TEXT(11779, "[$-0E0000]yyyy-mm-dd")</f>
        <v/>
      </c>
      <c r="C11780" t="inlineStr">
        <is>
          <t>1932-02-26</t>
        </is>
      </c>
    </row>
    <row r="11781">
      <c r="A11781" s="1" t="n">
        <v>11780</v>
      </c>
      <c r="B11781">
        <f>TEXT(11780, "[$-0E0000]yyyy-mm-dd")</f>
        <v/>
      </c>
      <c r="C11781" t="inlineStr">
        <is>
          <t>1932-02-27</t>
        </is>
      </c>
    </row>
    <row r="11782">
      <c r="A11782" s="1" t="n">
        <v>11781</v>
      </c>
      <c r="B11782">
        <f>TEXT(11781, "[$-0E0000]yyyy-mm-dd")</f>
        <v/>
      </c>
      <c r="C11782" t="inlineStr">
        <is>
          <t>1932-02-28</t>
        </is>
      </c>
    </row>
    <row r="11783">
      <c r="A11783" s="1" t="n">
        <v>11782</v>
      </c>
      <c r="B11783">
        <f>TEXT(11782, "[$-0E0000]yyyy-mm-dd")</f>
        <v/>
      </c>
      <c r="C11783" t="inlineStr">
        <is>
          <t>1932-02-29</t>
        </is>
      </c>
    </row>
    <row r="11784">
      <c r="A11784" s="1" t="n">
        <v>11783</v>
      </c>
      <c r="B11784">
        <f>TEXT(11783, "[$-0E0000]yyyy-mm-dd")</f>
        <v/>
      </c>
      <c r="C11784" t="inlineStr">
        <is>
          <t>1932-02-30</t>
        </is>
      </c>
    </row>
    <row r="11785">
      <c r="A11785" s="1" t="n">
        <v>11784</v>
      </c>
      <c r="B11785">
        <f>TEXT(11784, "[$-0E0000]yyyy-mm-dd")</f>
        <v/>
      </c>
      <c r="C11785" t="inlineStr">
        <is>
          <t>1932-03-01</t>
        </is>
      </c>
    </row>
    <row r="11786">
      <c r="A11786" s="1" t="n">
        <v>11785</v>
      </c>
      <c r="B11786">
        <f>TEXT(11785, "[$-0E0000]yyyy-mm-dd")</f>
        <v/>
      </c>
      <c r="C11786" t="inlineStr">
        <is>
          <t>1932-03-02</t>
        </is>
      </c>
    </row>
    <row r="11787">
      <c r="A11787" s="1" t="n">
        <v>11786</v>
      </c>
      <c r="B11787">
        <f>TEXT(11786, "[$-0E0000]yyyy-mm-dd")</f>
        <v/>
      </c>
      <c r="C11787" t="inlineStr">
        <is>
          <t>1932-03-03</t>
        </is>
      </c>
    </row>
    <row r="11788">
      <c r="A11788" s="1" t="n">
        <v>11787</v>
      </c>
      <c r="B11788">
        <f>TEXT(11787, "[$-0E0000]yyyy-mm-dd")</f>
        <v/>
      </c>
      <c r="C11788" t="inlineStr">
        <is>
          <t>1932-03-04</t>
        </is>
      </c>
    </row>
    <row r="11789">
      <c r="A11789" s="1" t="n">
        <v>11788</v>
      </c>
      <c r="B11789">
        <f>TEXT(11788, "[$-0E0000]yyyy-mm-dd")</f>
        <v/>
      </c>
      <c r="C11789" t="inlineStr">
        <is>
          <t>1932-03-05</t>
        </is>
      </c>
    </row>
    <row r="11790">
      <c r="A11790" s="1" t="n">
        <v>11789</v>
      </c>
      <c r="B11790">
        <f>TEXT(11789, "[$-0E0000]yyyy-mm-dd")</f>
        <v/>
      </c>
      <c r="C11790" t="inlineStr">
        <is>
          <t>1932-03-06</t>
        </is>
      </c>
    </row>
    <row r="11791">
      <c r="A11791" s="1" t="n">
        <v>11790</v>
      </c>
      <c r="B11791">
        <f>TEXT(11790, "[$-0E0000]yyyy-mm-dd")</f>
        <v/>
      </c>
      <c r="C11791" t="inlineStr">
        <is>
          <t>1932-03-07</t>
        </is>
      </c>
    </row>
    <row r="11792">
      <c r="A11792" s="1" t="n">
        <v>11791</v>
      </c>
      <c r="B11792">
        <f>TEXT(11791, "[$-0E0000]yyyy-mm-dd")</f>
        <v/>
      </c>
      <c r="C11792" t="inlineStr">
        <is>
          <t>1932-03-08</t>
        </is>
      </c>
    </row>
    <row r="11793">
      <c r="A11793" s="1" t="n">
        <v>11792</v>
      </c>
      <c r="B11793">
        <f>TEXT(11792, "[$-0E0000]yyyy-mm-dd")</f>
        <v/>
      </c>
      <c r="C11793" t="inlineStr">
        <is>
          <t>1932-03-09</t>
        </is>
      </c>
    </row>
    <row r="11794">
      <c r="A11794" s="1" t="n">
        <v>11793</v>
      </c>
      <c r="B11794">
        <f>TEXT(11793, "[$-0E0000]yyyy-mm-dd")</f>
        <v/>
      </c>
      <c r="C11794" t="inlineStr">
        <is>
          <t>1932-03-10</t>
        </is>
      </c>
    </row>
    <row r="11795">
      <c r="A11795" s="1" t="n">
        <v>11794</v>
      </c>
      <c r="B11795">
        <f>TEXT(11794, "[$-0E0000]yyyy-mm-dd")</f>
        <v/>
      </c>
      <c r="C11795" t="inlineStr">
        <is>
          <t>1932-03-11</t>
        </is>
      </c>
    </row>
    <row r="11796">
      <c r="A11796" s="1" t="n">
        <v>11795</v>
      </c>
      <c r="B11796">
        <f>TEXT(11795, "[$-0E0000]yyyy-mm-dd")</f>
        <v/>
      </c>
      <c r="C11796" t="inlineStr">
        <is>
          <t>1932-03-12</t>
        </is>
      </c>
    </row>
    <row r="11797">
      <c r="A11797" s="1" t="n">
        <v>11796</v>
      </c>
      <c r="B11797">
        <f>TEXT(11796, "[$-0E0000]yyyy-mm-dd")</f>
        <v/>
      </c>
      <c r="C11797" t="inlineStr">
        <is>
          <t>1932-03-13</t>
        </is>
      </c>
    </row>
    <row r="11798">
      <c r="A11798" s="1" t="n">
        <v>11797</v>
      </c>
      <c r="B11798">
        <f>TEXT(11797, "[$-0E0000]yyyy-mm-dd")</f>
        <v/>
      </c>
      <c r="C11798" t="inlineStr">
        <is>
          <t>1932-03-14</t>
        </is>
      </c>
    </row>
    <row r="11799">
      <c r="A11799" s="1" t="n">
        <v>11798</v>
      </c>
      <c r="B11799">
        <f>TEXT(11798, "[$-0E0000]yyyy-mm-dd")</f>
        <v/>
      </c>
      <c r="C11799" t="inlineStr">
        <is>
          <t>1932-03-15</t>
        </is>
      </c>
    </row>
    <row r="11800">
      <c r="A11800" s="1" t="n">
        <v>11799</v>
      </c>
      <c r="B11800">
        <f>TEXT(11799, "[$-0E0000]yyyy-mm-dd")</f>
        <v/>
      </c>
      <c r="C11800" t="inlineStr">
        <is>
          <t>1932-03-16</t>
        </is>
      </c>
    </row>
    <row r="11801">
      <c r="A11801" s="1" t="n">
        <v>11800</v>
      </c>
      <c r="B11801">
        <f>TEXT(11800, "[$-0E0000]yyyy-mm-dd")</f>
        <v/>
      </c>
      <c r="C11801" t="inlineStr">
        <is>
          <t>1932-03-17</t>
        </is>
      </c>
    </row>
    <row r="11802">
      <c r="A11802" s="1" t="n">
        <v>11801</v>
      </c>
      <c r="B11802">
        <f>TEXT(11801, "[$-0E0000]yyyy-mm-dd")</f>
        <v/>
      </c>
      <c r="C11802" t="inlineStr">
        <is>
          <t>1932-03-18</t>
        </is>
      </c>
    </row>
    <row r="11803">
      <c r="A11803" s="1" t="n">
        <v>11802</v>
      </c>
      <c r="B11803">
        <f>TEXT(11802, "[$-0E0000]yyyy-mm-dd")</f>
        <v/>
      </c>
      <c r="C11803" t="inlineStr">
        <is>
          <t>1932-03-19</t>
        </is>
      </c>
    </row>
    <row r="11804">
      <c r="A11804" s="1" t="n">
        <v>11803</v>
      </c>
      <c r="B11804">
        <f>TEXT(11803, "[$-0E0000]yyyy-mm-dd")</f>
        <v/>
      </c>
      <c r="C11804" t="inlineStr">
        <is>
          <t>1932-03-20</t>
        </is>
      </c>
    </row>
    <row r="11805">
      <c r="A11805" s="1" t="n">
        <v>11804</v>
      </c>
      <c r="B11805">
        <f>TEXT(11804, "[$-0E0000]yyyy-mm-dd")</f>
        <v/>
      </c>
      <c r="C11805" t="inlineStr">
        <is>
          <t>1932-03-21</t>
        </is>
      </c>
    </row>
    <row r="11806">
      <c r="A11806" s="1" t="n">
        <v>11805</v>
      </c>
      <c r="B11806">
        <f>TEXT(11805, "[$-0E0000]yyyy-mm-dd")</f>
        <v/>
      </c>
      <c r="C11806" t="inlineStr">
        <is>
          <t>1932-03-22</t>
        </is>
      </c>
    </row>
    <row r="11807">
      <c r="A11807" s="1" t="n">
        <v>11806</v>
      </c>
      <c r="B11807">
        <f>TEXT(11806, "[$-0E0000]yyyy-mm-dd")</f>
        <v/>
      </c>
      <c r="C11807" t="inlineStr">
        <is>
          <t>1932-03-23</t>
        </is>
      </c>
    </row>
    <row r="11808">
      <c r="A11808" s="1" t="n">
        <v>11807</v>
      </c>
      <c r="B11808">
        <f>TEXT(11807, "[$-0E0000]yyyy-mm-dd")</f>
        <v/>
      </c>
      <c r="C11808" t="inlineStr">
        <is>
          <t>1932-03-24</t>
        </is>
      </c>
    </row>
    <row r="11809">
      <c r="A11809" s="1" t="n">
        <v>11808</v>
      </c>
      <c r="B11809">
        <f>TEXT(11808, "[$-0E0000]yyyy-mm-dd")</f>
        <v/>
      </c>
      <c r="C11809" t="inlineStr">
        <is>
          <t>1932-03-25</t>
        </is>
      </c>
    </row>
    <row r="11810">
      <c r="A11810" s="1" t="n">
        <v>11809</v>
      </c>
      <c r="B11810">
        <f>TEXT(11809, "[$-0E0000]yyyy-mm-dd")</f>
        <v/>
      </c>
      <c r="C11810" t="inlineStr">
        <is>
          <t>1932-03-26</t>
        </is>
      </c>
    </row>
    <row r="11811">
      <c r="A11811" s="1" t="n">
        <v>11810</v>
      </c>
      <c r="B11811">
        <f>TEXT(11810, "[$-0E0000]yyyy-mm-dd")</f>
        <v/>
      </c>
      <c r="C11811" t="inlineStr">
        <is>
          <t>1932-03-27</t>
        </is>
      </c>
    </row>
    <row r="11812">
      <c r="A11812" s="1" t="n">
        <v>11811</v>
      </c>
      <c r="B11812">
        <f>TEXT(11811, "[$-0E0000]yyyy-mm-dd")</f>
        <v/>
      </c>
      <c r="C11812" t="inlineStr">
        <is>
          <t>1932-03-28</t>
        </is>
      </c>
    </row>
    <row r="11813">
      <c r="A11813" s="1" t="n">
        <v>11812</v>
      </c>
      <c r="B11813">
        <f>TEXT(11812, "[$-0E0000]yyyy-mm-dd")</f>
        <v/>
      </c>
      <c r="C11813" t="inlineStr">
        <is>
          <t>1932-03-29</t>
        </is>
      </c>
    </row>
    <row r="11814">
      <c r="A11814" s="1" t="n">
        <v>11813</v>
      </c>
      <c r="B11814">
        <f>TEXT(11813, "[$-0E0000]yyyy-mm-dd")</f>
        <v/>
      </c>
      <c r="C11814" t="inlineStr">
        <is>
          <t>1932-03-30</t>
        </is>
      </c>
    </row>
    <row r="11815">
      <c r="A11815" s="1" t="n">
        <v>11814</v>
      </c>
      <c r="B11815">
        <f>TEXT(11814, "[$-0E0000]yyyy-mm-dd")</f>
        <v/>
      </c>
      <c r="C11815" t="inlineStr">
        <is>
          <t>1932-04-01</t>
        </is>
      </c>
    </row>
    <row r="11816">
      <c r="A11816" s="1" t="n">
        <v>11815</v>
      </c>
      <c r="B11816">
        <f>TEXT(11815, "[$-0E0000]yyyy-mm-dd")</f>
        <v/>
      </c>
      <c r="C11816" t="inlineStr">
        <is>
          <t>1932-04-02</t>
        </is>
      </c>
    </row>
    <row r="11817">
      <c r="A11817" s="1" t="n">
        <v>11816</v>
      </c>
      <c r="B11817">
        <f>TEXT(11816, "[$-0E0000]yyyy-mm-dd")</f>
        <v/>
      </c>
      <c r="C11817" t="inlineStr">
        <is>
          <t>1932-04-03</t>
        </is>
      </c>
    </row>
    <row r="11818">
      <c r="A11818" s="1" t="n">
        <v>11817</v>
      </c>
      <c r="B11818">
        <f>TEXT(11817, "[$-0E0000]yyyy-mm-dd")</f>
        <v/>
      </c>
      <c r="C11818" t="inlineStr">
        <is>
          <t>1932-04-04</t>
        </is>
      </c>
    </row>
    <row r="11819">
      <c r="A11819" s="1" t="n">
        <v>11818</v>
      </c>
      <c r="B11819">
        <f>TEXT(11818, "[$-0E0000]yyyy-mm-dd")</f>
        <v/>
      </c>
      <c r="C11819" t="inlineStr">
        <is>
          <t>1932-04-05</t>
        </is>
      </c>
    </row>
    <row r="11820">
      <c r="A11820" s="1" t="n">
        <v>11819</v>
      </c>
      <c r="B11820">
        <f>TEXT(11819, "[$-0E0000]yyyy-mm-dd")</f>
        <v/>
      </c>
      <c r="C11820" t="inlineStr">
        <is>
          <t>1932-04-06</t>
        </is>
      </c>
    </row>
    <row r="11821">
      <c r="A11821" s="1" t="n">
        <v>11820</v>
      </c>
      <c r="B11821">
        <f>TEXT(11820, "[$-0E0000]yyyy-mm-dd")</f>
        <v/>
      </c>
      <c r="C11821" t="inlineStr">
        <is>
          <t>1932-04-07</t>
        </is>
      </c>
    </row>
    <row r="11822">
      <c r="A11822" s="1" t="n">
        <v>11821</v>
      </c>
      <c r="B11822">
        <f>TEXT(11821, "[$-0E0000]yyyy-mm-dd")</f>
        <v/>
      </c>
      <c r="C11822" t="inlineStr">
        <is>
          <t>1932-04-08</t>
        </is>
      </c>
    </row>
    <row r="11823">
      <c r="A11823" s="1" t="n">
        <v>11822</v>
      </c>
      <c r="B11823">
        <f>TEXT(11822, "[$-0E0000]yyyy-mm-dd")</f>
        <v/>
      </c>
      <c r="C11823" t="inlineStr">
        <is>
          <t>1932-04-09</t>
        </is>
      </c>
    </row>
    <row r="11824">
      <c r="A11824" s="1" t="n">
        <v>11823</v>
      </c>
      <c r="B11824">
        <f>TEXT(11823, "[$-0E0000]yyyy-mm-dd")</f>
        <v/>
      </c>
      <c r="C11824" t="inlineStr">
        <is>
          <t>1932-04-10</t>
        </is>
      </c>
    </row>
    <row r="11825">
      <c r="A11825" s="1" t="n">
        <v>11824</v>
      </c>
      <c r="B11825">
        <f>TEXT(11824, "[$-0E0000]yyyy-mm-dd")</f>
        <v/>
      </c>
      <c r="C11825" t="inlineStr">
        <is>
          <t>1932-04-11</t>
        </is>
      </c>
    </row>
    <row r="11826">
      <c r="A11826" s="1" t="n">
        <v>11825</v>
      </c>
      <c r="B11826">
        <f>TEXT(11825, "[$-0E0000]yyyy-mm-dd")</f>
        <v/>
      </c>
      <c r="C11826" t="inlineStr">
        <is>
          <t>1932-04-12</t>
        </is>
      </c>
    </row>
    <row r="11827">
      <c r="A11827" s="1" t="n">
        <v>11826</v>
      </c>
      <c r="B11827">
        <f>TEXT(11826, "[$-0E0000]yyyy-mm-dd")</f>
        <v/>
      </c>
      <c r="C11827" t="inlineStr">
        <is>
          <t>1932-04-13</t>
        </is>
      </c>
    </row>
    <row r="11828">
      <c r="A11828" s="1" t="n">
        <v>11827</v>
      </c>
      <c r="B11828">
        <f>TEXT(11827, "[$-0E0000]yyyy-mm-dd")</f>
        <v/>
      </c>
      <c r="C11828" t="inlineStr">
        <is>
          <t>1932-04-14</t>
        </is>
      </c>
    </row>
    <row r="11829">
      <c r="A11829" s="1" t="n">
        <v>11828</v>
      </c>
      <c r="B11829">
        <f>TEXT(11828, "[$-0E0000]yyyy-mm-dd")</f>
        <v/>
      </c>
      <c r="C11829" t="inlineStr">
        <is>
          <t>1932-04-15</t>
        </is>
      </c>
    </row>
    <row r="11830">
      <c r="A11830" s="1" t="n">
        <v>11829</v>
      </c>
      <c r="B11830">
        <f>TEXT(11829, "[$-0E0000]yyyy-mm-dd")</f>
        <v/>
      </c>
      <c r="C11830" t="inlineStr">
        <is>
          <t>1932-04-16</t>
        </is>
      </c>
    </row>
    <row r="11831">
      <c r="A11831" s="1" t="n">
        <v>11830</v>
      </c>
      <c r="B11831">
        <f>TEXT(11830, "[$-0E0000]yyyy-mm-dd")</f>
        <v/>
      </c>
      <c r="C11831" t="inlineStr">
        <is>
          <t>1932-04-17</t>
        </is>
      </c>
    </row>
    <row r="11832">
      <c r="A11832" s="1" t="n">
        <v>11831</v>
      </c>
      <c r="B11832">
        <f>TEXT(11831, "[$-0E0000]yyyy-mm-dd")</f>
        <v/>
      </c>
      <c r="C11832" t="inlineStr">
        <is>
          <t>1932-04-18</t>
        </is>
      </c>
    </row>
    <row r="11833">
      <c r="A11833" s="1" t="n">
        <v>11832</v>
      </c>
      <c r="B11833">
        <f>TEXT(11832, "[$-0E0000]yyyy-mm-dd")</f>
        <v/>
      </c>
      <c r="C11833" t="inlineStr">
        <is>
          <t>1932-04-19</t>
        </is>
      </c>
    </row>
    <row r="11834">
      <c r="A11834" s="1" t="n">
        <v>11833</v>
      </c>
      <c r="B11834">
        <f>TEXT(11833, "[$-0E0000]yyyy-mm-dd")</f>
        <v/>
      </c>
      <c r="C11834" t="inlineStr">
        <is>
          <t>1932-04-20</t>
        </is>
      </c>
    </row>
    <row r="11835">
      <c r="A11835" s="1" t="n">
        <v>11834</v>
      </c>
      <c r="B11835">
        <f>TEXT(11834, "[$-0E0000]yyyy-mm-dd")</f>
        <v/>
      </c>
      <c r="C11835" t="inlineStr">
        <is>
          <t>1932-04-21</t>
        </is>
      </c>
    </row>
    <row r="11836">
      <c r="A11836" s="1" t="n">
        <v>11835</v>
      </c>
      <c r="B11836">
        <f>TEXT(11835, "[$-0E0000]yyyy-mm-dd")</f>
        <v/>
      </c>
      <c r="C11836" t="inlineStr">
        <is>
          <t>1932-04-22</t>
        </is>
      </c>
    </row>
    <row r="11837">
      <c r="A11837" s="1" t="n">
        <v>11836</v>
      </c>
      <c r="B11837">
        <f>TEXT(11836, "[$-0E0000]yyyy-mm-dd")</f>
        <v/>
      </c>
      <c r="C11837" t="inlineStr">
        <is>
          <t>1932-04-23</t>
        </is>
      </c>
    </row>
    <row r="11838">
      <c r="A11838" s="1" t="n">
        <v>11837</v>
      </c>
      <c r="B11838">
        <f>TEXT(11837, "[$-0E0000]yyyy-mm-dd")</f>
        <v/>
      </c>
      <c r="C11838" t="inlineStr">
        <is>
          <t>1932-04-24</t>
        </is>
      </c>
    </row>
    <row r="11839">
      <c r="A11839" s="1" t="n">
        <v>11838</v>
      </c>
      <c r="B11839">
        <f>TEXT(11838, "[$-0E0000]yyyy-mm-dd")</f>
        <v/>
      </c>
      <c r="C11839" t="inlineStr">
        <is>
          <t>1932-04-25</t>
        </is>
      </c>
    </row>
    <row r="11840">
      <c r="A11840" s="1" t="n">
        <v>11839</v>
      </c>
      <c r="B11840">
        <f>TEXT(11839, "[$-0E0000]yyyy-mm-dd")</f>
        <v/>
      </c>
      <c r="C11840" t="inlineStr">
        <is>
          <t>1932-04-26</t>
        </is>
      </c>
    </row>
    <row r="11841">
      <c r="A11841" s="1" t="n">
        <v>11840</v>
      </c>
      <c r="B11841">
        <f>TEXT(11840, "[$-0E0000]yyyy-mm-dd")</f>
        <v/>
      </c>
      <c r="C11841" t="inlineStr">
        <is>
          <t>1932-04-27</t>
        </is>
      </c>
    </row>
    <row r="11842">
      <c r="A11842" s="1" t="n">
        <v>11841</v>
      </c>
      <c r="B11842">
        <f>TEXT(11841, "[$-0E0000]yyyy-mm-dd")</f>
        <v/>
      </c>
      <c r="C11842" t="inlineStr">
        <is>
          <t>1932-04-28</t>
        </is>
      </c>
    </row>
    <row r="11843">
      <c r="A11843" s="1" t="n">
        <v>11842</v>
      </c>
      <c r="B11843">
        <f>TEXT(11842, "[$-0E0000]yyyy-mm-dd")</f>
        <v/>
      </c>
      <c r="C11843" t="inlineStr">
        <is>
          <t>1932-04-29</t>
        </is>
      </c>
    </row>
    <row r="11844">
      <c r="A11844" s="1" t="n">
        <v>11843</v>
      </c>
      <c r="B11844">
        <f>TEXT(11843, "[$-0E0000]yyyy-mm-dd")</f>
        <v/>
      </c>
      <c r="C11844" t="inlineStr">
        <is>
          <t>1932-05-01</t>
        </is>
      </c>
    </row>
    <row r="11845">
      <c r="A11845" s="1" t="n">
        <v>11844</v>
      </c>
      <c r="B11845">
        <f>TEXT(11844, "[$-0E0000]yyyy-mm-dd")</f>
        <v/>
      </c>
      <c r="C11845" t="inlineStr">
        <is>
          <t>1932-05-02</t>
        </is>
      </c>
    </row>
    <row r="11846">
      <c r="A11846" s="1" t="n">
        <v>11845</v>
      </c>
      <c r="B11846">
        <f>TEXT(11845, "[$-0E0000]yyyy-mm-dd")</f>
        <v/>
      </c>
      <c r="C11846" t="inlineStr">
        <is>
          <t>1932-05-03</t>
        </is>
      </c>
    </row>
    <row r="11847">
      <c r="A11847" s="1" t="n">
        <v>11846</v>
      </c>
      <c r="B11847">
        <f>TEXT(11846, "[$-0E0000]yyyy-mm-dd")</f>
        <v/>
      </c>
      <c r="C11847" t="inlineStr">
        <is>
          <t>1932-05-04</t>
        </is>
      </c>
    </row>
    <row r="11848">
      <c r="A11848" s="1" t="n">
        <v>11847</v>
      </c>
      <c r="B11848">
        <f>TEXT(11847, "[$-0E0000]yyyy-mm-dd")</f>
        <v/>
      </c>
      <c r="C11848" t="inlineStr">
        <is>
          <t>1932-05-05</t>
        </is>
      </c>
    </row>
    <row r="11849">
      <c r="A11849" s="1" t="n">
        <v>11848</v>
      </c>
      <c r="B11849">
        <f>TEXT(11848, "[$-0E0000]yyyy-mm-dd")</f>
        <v/>
      </c>
      <c r="C11849" t="inlineStr">
        <is>
          <t>1932-05-06</t>
        </is>
      </c>
    </row>
    <row r="11850">
      <c r="A11850" s="1" t="n">
        <v>11849</v>
      </c>
      <c r="B11850">
        <f>TEXT(11849, "[$-0E0000]yyyy-mm-dd")</f>
        <v/>
      </c>
      <c r="C11850" t="inlineStr">
        <is>
          <t>1932-05-07</t>
        </is>
      </c>
    </row>
    <row r="11851">
      <c r="A11851" s="1" t="n">
        <v>11850</v>
      </c>
      <c r="B11851">
        <f>TEXT(11850, "[$-0E0000]yyyy-mm-dd")</f>
        <v/>
      </c>
      <c r="C11851" t="inlineStr">
        <is>
          <t>1932-05-08</t>
        </is>
      </c>
    </row>
    <row r="11852">
      <c r="A11852" s="1" t="n">
        <v>11851</v>
      </c>
      <c r="B11852">
        <f>TEXT(11851, "[$-0E0000]yyyy-mm-dd")</f>
        <v/>
      </c>
      <c r="C11852" t="inlineStr">
        <is>
          <t>1932-05-09</t>
        </is>
      </c>
    </row>
    <row r="11853">
      <c r="A11853" s="1" t="n">
        <v>11852</v>
      </c>
      <c r="B11853">
        <f>TEXT(11852, "[$-0E0000]yyyy-mm-dd")</f>
        <v/>
      </c>
      <c r="C11853" t="inlineStr">
        <is>
          <t>1932-05-10</t>
        </is>
      </c>
    </row>
    <row r="11854">
      <c r="A11854" s="1" t="n">
        <v>11853</v>
      </c>
      <c r="B11854">
        <f>TEXT(11853, "[$-0E0000]yyyy-mm-dd")</f>
        <v/>
      </c>
      <c r="C11854" t="inlineStr">
        <is>
          <t>1932-05-11</t>
        </is>
      </c>
    </row>
    <row r="11855">
      <c r="A11855" s="1" t="n">
        <v>11854</v>
      </c>
      <c r="B11855">
        <f>TEXT(11854, "[$-0E0000]yyyy-mm-dd")</f>
        <v/>
      </c>
      <c r="C11855" t="inlineStr">
        <is>
          <t>1932-05-12</t>
        </is>
      </c>
    </row>
    <row r="11856">
      <c r="A11856" s="1" t="n">
        <v>11855</v>
      </c>
      <c r="B11856">
        <f>TEXT(11855, "[$-0E0000]yyyy-mm-dd")</f>
        <v/>
      </c>
      <c r="C11856" t="inlineStr">
        <is>
          <t>1932-05-13</t>
        </is>
      </c>
    </row>
    <row r="11857">
      <c r="A11857" s="1" t="n">
        <v>11856</v>
      </c>
      <c r="B11857">
        <f>TEXT(11856, "[$-0E0000]yyyy-mm-dd")</f>
        <v/>
      </c>
      <c r="C11857" t="inlineStr">
        <is>
          <t>1932-05-14</t>
        </is>
      </c>
    </row>
    <row r="11858">
      <c r="A11858" s="1" t="n">
        <v>11857</v>
      </c>
      <c r="B11858">
        <f>TEXT(11857, "[$-0E0000]yyyy-mm-dd")</f>
        <v/>
      </c>
      <c r="C11858" t="inlineStr">
        <is>
          <t>1932-05-15</t>
        </is>
      </c>
    </row>
    <row r="11859">
      <c r="A11859" s="1" t="n">
        <v>11858</v>
      </c>
      <c r="B11859">
        <f>TEXT(11858, "[$-0E0000]yyyy-mm-dd")</f>
        <v/>
      </c>
      <c r="C11859" t="inlineStr">
        <is>
          <t>1932-05-16</t>
        </is>
      </c>
    </row>
    <row r="11860">
      <c r="A11860" s="1" t="n">
        <v>11859</v>
      </c>
      <c r="B11860">
        <f>TEXT(11859, "[$-0E0000]yyyy-mm-dd")</f>
        <v/>
      </c>
      <c r="C11860" t="inlineStr">
        <is>
          <t>1932-05-17</t>
        </is>
      </c>
    </row>
    <row r="11861">
      <c r="A11861" s="1" t="n">
        <v>11860</v>
      </c>
      <c r="B11861">
        <f>TEXT(11860, "[$-0E0000]yyyy-mm-dd")</f>
        <v/>
      </c>
      <c r="C11861" t="inlineStr">
        <is>
          <t>1932-05-18</t>
        </is>
      </c>
    </row>
    <row r="11862">
      <c r="A11862" s="1" t="n">
        <v>11861</v>
      </c>
      <c r="B11862">
        <f>TEXT(11861, "[$-0E0000]yyyy-mm-dd")</f>
        <v/>
      </c>
      <c r="C11862" t="inlineStr">
        <is>
          <t>1932-05-19</t>
        </is>
      </c>
    </row>
    <row r="11863">
      <c r="A11863" s="1" t="n">
        <v>11862</v>
      </c>
      <c r="B11863">
        <f>TEXT(11862, "[$-0E0000]yyyy-mm-dd")</f>
        <v/>
      </c>
      <c r="C11863" t="inlineStr">
        <is>
          <t>1932-05-20</t>
        </is>
      </c>
    </row>
    <row r="11864">
      <c r="A11864" s="1" t="n">
        <v>11863</v>
      </c>
      <c r="B11864">
        <f>TEXT(11863, "[$-0E0000]yyyy-mm-dd")</f>
        <v/>
      </c>
      <c r="C11864" t="inlineStr">
        <is>
          <t>1932-05-21</t>
        </is>
      </c>
    </row>
    <row r="11865">
      <c r="A11865" s="1" t="n">
        <v>11864</v>
      </c>
      <c r="B11865">
        <f>TEXT(11864, "[$-0E0000]yyyy-mm-dd")</f>
        <v/>
      </c>
      <c r="C11865" t="inlineStr">
        <is>
          <t>1932-05-22</t>
        </is>
      </c>
    </row>
    <row r="11866">
      <c r="A11866" s="1" t="n">
        <v>11865</v>
      </c>
      <c r="B11866">
        <f>TEXT(11865, "[$-0E0000]yyyy-mm-dd")</f>
        <v/>
      </c>
      <c r="C11866" t="inlineStr">
        <is>
          <t>1932-05-23</t>
        </is>
      </c>
    </row>
    <row r="11867">
      <c r="A11867" s="1" t="n">
        <v>11866</v>
      </c>
      <c r="B11867">
        <f>TEXT(11866, "[$-0E0000]yyyy-mm-dd")</f>
        <v/>
      </c>
      <c r="C11867" t="inlineStr">
        <is>
          <t>1932-05-24</t>
        </is>
      </c>
    </row>
    <row r="11868">
      <c r="A11868" s="1" t="n">
        <v>11867</v>
      </c>
      <c r="B11868">
        <f>TEXT(11867, "[$-0E0000]yyyy-mm-dd")</f>
        <v/>
      </c>
      <c r="C11868" t="inlineStr">
        <is>
          <t>1932-05-25</t>
        </is>
      </c>
    </row>
    <row r="11869">
      <c r="A11869" s="1" t="n">
        <v>11868</v>
      </c>
      <c r="B11869">
        <f>TEXT(11868, "[$-0E0000]yyyy-mm-dd")</f>
        <v/>
      </c>
      <c r="C11869" t="inlineStr">
        <is>
          <t>1932-05-26</t>
        </is>
      </c>
    </row>
    <row r="11870">
      <c r="A11870" s="1" t="n">
        <v>11869</v>
      </c>
      <c r="B11870">
        <f>TEXT(11869, "[$-0E0000]yyyy-mm-dd")</f>
        <v/>
      </c>
      <c r="C11870" t="inlineStr">
        <is>
          <t>1932-05-27</t>
        </is>
      </c>
    </row>
    <row r="11871">
      <c r="A11871" s="1" t="n">
        <v>11870</v>
      </c>
      <c r="B11871">
        <f>TEXT(11870, "[$-0E0000]yyyy-mm-dd")</f>
        <v/>
      </c>
      <c r="C11871" t="inlineStr">
        <is>
          <t>1932-05-28</t>
        </is>
      </c>
    </row>
    <row r="11872">
      <c r="A11872" s="1" t="n">
        <v>11871</v>
      </c>
      <c r="B11872">
        <f>TEXT(11871, "[$-0E0000]yyyy-mm-dd")</f>
        <v/>
      </c>
      <c r="C11872" t="inlineStr">
        <is>
          <t>1932-05-29</t>
        </is>
      </c>
    </row>
    <row r="11873">
      <c r="A11873" s="1" t="n">
        <v>11872</v>
      </c>
      <c r="B11873">
        <f>TEXT(11872, "[$-0E0000]yyyy-mm-dd")</f>
        <v/>
      </c>
      <c r="C11873" t="inlineStr">
        <is>
          <t>1932-05-30</t>
        </is>
      </c>
    </row>
    <row r="11874">
      <c r="A11874" s="1" t="n">
        <v>11873</v>
      </c>
      <c r="B11874">
        <f>TEXT(11873, "[$-0E0000]yyyy-mm-dd")</f>
        <v/>
      </c>
      <c r="C11874" t="inlineStr">
        <is>
          <t>1932-06-01</t>
        </is>
      </c>
    </row>
    <row r="11875">
      <c r="A11875" s="1" t="n">
        <v>11874</v>
      </c>
      <c r="B11875">
        <f>TEXT(11874, "[$-0E0000]yyyy-mm-dd")</f>
        <v/>
      </c>
      <c r="C11875" t="inlineStr">
        <is>
          <t>1932-06-02</t>
        </is>
      </c>
    </row>
    <row r="11876">
      <c r="A11876" s="1" t="n">
        <v>11875</v>
      </c>
      <c r="B11876">
        <f>TEXT(11875, "[$-0E0000]yyyy-mm-dd")</f>
        <v/>
      </c>
      <c r="C11876" t="inlineStr">
        <is>
          <t>1932-06-03</t>
        </is>
      </c>
    </row>
    <row r="11877">
      <c r="A11877" s="1" t="n">
        <v>11876</v>
      </c>
      <c r="B11877">
        <f>TEXT(11876, "[$-0E0000]yyyy-mm-dd")</f>
        <v/>
      </c>
      <c r="C11877" t="inlineStr">
        <is>
          <t>1932-06-04</t>
        </is>
      </c>
    </row>
    <row r="11878">
      <c r="A11878" s="1" t="n">
        <v>11877</v>
      </c>
      <c r="B11878">
        <f>TEXT(11877, "[$-0E0000]yyyy-mm-dd")</f>
        <v/>
      </c>
      <c r="C11878" t="inlineStr">
        <is>
          <t>1932-06-05</t>
        </is>
      </c>
    </row>
    <row r="11879">
      <c r="A11879" s="1" t="n">
        <v>11878</v>
      </c>
      <c r="B11879">
        <f>TEXT(11878, "[$-0E0000]yyyy-mm-dd")</f>
        <v/>
      </c>
      <c r="C11879" t="inlineStr">
        <is>
          <t>1932-06-06</t>
        </is>
      </c>
    </row>
    <row r="11880">
      <c r="A11880" s="1" t="n">
        <v>11879</v>
      </c>
      <c r="B11880">
        <f>TEXT(11879, "[$-0E0000]yyyy-mm-dd")</f>
        <v/>
      </c>
      <c r="C11880" t="inlineStr">
        <is>
          <t>1932-06-07</t>
        </is>
      </c>
    </row>
    <row r="11881">
      <c r="A11881" s="1" t="n">
        <v>11880</v>
      </c>
      <c r="B11881">
        <f>TEXT(11880, "[$-0E0000]yyyy-mm-dd")</f>
        <v/>
      </c>
      <c r="C11881" t="inlineStr">
        <is>
          <t>1932-06-08</t>
        </is>
      </c>
    </row>
    <row r="11882">
      <c r="A11882" s="1" t="n">
        <v>11881</v>
      </c>
      <c r="B11882">
        <f>TEXT(11881, "[$-0E0000]yyyy-mm-dd")</f>
        <v/>
      </c>
      <c r="C11882" t="inlineStr">
        <is>
          <t>1932-06-09</t>
        </is>
      </c>
    </row>
    <row r="11883">
      <c r="A11883" s="1" t="n">
        <v>11882</v>
      </c>
      <c r="B11883">
        <f>TEXT(11882, "[$-0E0000]yyyy-mm-dd")</f>
        <v/>
      </c>
      <c r="C11883" t="inlineStr">
        <is>
          <t>1932-06-10</t>
        </is>
      </c>
    </row>
    <row r="11884">
      <c r="A11884" s="1" t="n">
        <v>11883</v>
      </c>
      <c r="B11884">
        <f>TEXT(11883, "[$-0E0000]yyyy-mm-dd")</f>
        <v/>
      </c>
      <c r="C11884" t="inlineStr">
        <is>
          <t>1932-06-11</t>
        </is>
      </c>
    </row>
    <row r="11885">
      <c r="A11885" s="1" t="n">
        <v>11884</v>
      </c>
      <c r="B11885">
        <f>TEXT(11884, "[$-0E0000]yyyy-mm-dd")</f>
        <v/>
      </c>
      <c r="C11885" t="inlineStr">
        <is>
          <t>1932-06-12</t>
        </is>
      </c>
    </row>
    <row r="11886">
      <c r="A11886" s="1" t="n">
        <v>11885</v>
      </c>
      <c r="B11886">
        <f>TEXT(11885, "[$-0E0000]yyyy-mm-dd")</f>
        <v/>
      </c>
      <c r="C11886" t="inlineStr">
        <is>
          <t>1932-06-13</t>
        </is>
      </c>
    </row>
    <row r="11887">
      <c r="A11887" s="1" t="n">
        <v>11886</v>
      </c>
      <c r="B11887">
        <f>TEXT(11886, "[$-0E0000]yyyy-mm-dd")</f>
        <v/>
      </c>
      <c r="C11887" t="inlineStr">
        <is>
          <t>1932-06-14</t>
        </is>
      </c>
    </row>
    <row r="11888">
      <c r="A11888" s="1" t="n">
        <v>11887</v>
      </c>
      <c r="B11888">
        <f>TEXT(11887, "[$-0E0000]yyyy-mm-dd")</f>
        <v/>
      </c>
      <c r="C11888" t="inlineStr">
        <is>
          <t>1932-06-15</t>
        </is>
      </c>
    </row>
    <row r="11889">
      <c r="A11889" s="1" t="n">
        <v>11888</v>
      </c>
      <c r="B11889">
        <f>TEXT(11888, "[$-0E0000]yyyy-mm-dd")</f>
        <v/>
      </c>
      <c r="C11889" t="inlineStr">
        <is>
          <t>1932-06-16</t>
        </is>
      </c>
    </row>
    <row r="11890">
      <c r="A11890" s="1" t="n">
        <v>11889</v>
      </c>
      <c r="B11890">
        <f>TEXT(11889, "[$-0E0000]yyyy-mm-dd")</f>
        <v/>
      </c>
      <c r="C11890" t="inlineStr">
        <is>
          <t>1932-06-17</t>
        </is>
      </c>
    </row>
    <row r="11891">
      <c r="A11891" s="1" t="n">
        <v>11890</v>
      </c>
      <c r="B11891">
        <f>TEXT(11890, "[$-0E0000]yyyy-mm-dd")</f>
        <v/>
      </c>
      <c r="C11891" t="inlineStr">
        <is>
          <t>1932-06-18</t>
        </is>
      </c>
    </row>
    <row r="11892">
      <c r="A11892" s="1" t="n">
        <v>11891</v>
      </c>
      <c r="B11892">
        <f>TEXT(11891, "[$-0E0000]yyyy-mm-dd")</f>
        <v/>
      </c>
      <c r="C11892" t="inlineStr">
        <is>
          <t>1932-06-19</t>
        </is>
      </c>
    </row>
    <row r="11893">
      <c r="A11893" s="1" t="n">
        <v>11892</v>
      </c>
      <c r="B11893">
        <f>TEXT(11892, "[$-0E0000]yyyy-mm-dd")</f>
        <v/>
      </c>
      <c r="C11893" t="inlineStr">
        <is>
          <t>1932-06-20</t>
        </is>
      </c>
    </row>
    <row r="11894">
      <c r="A11894" s="1" t="n">
        <v>11893</v>
      </c>
      <c r="B11894">
        <f>TEXT(11893, "[$-0E0000]yyyy-mm-dd")</f>
        <v/>
      </c>
      <c r="C11894" t="inlineStr">
        <is>
          <t>1932-06-21</t>
        </is>
      </c>
    </row>
    <row r="11895">
      <c r="A11895" s="1" t="n">
        <v>11894</v>
      </c>
      <c r="B11895">
        <f>TEXT(11894, "[$-0E0000]yyyy-mm-dd")</f>
        <v/>
      </c>
      <c r="C11895" t="inlineStr">
        <is>
          <t>1932-06-22</t>
        </is>
      </c>
    </row>
    <row r="11896">
      <c r="A11896" s="1" t="n">
        <v>11895</v>
      </c>
      <c r="B11896">
        <f>TEXT(11895, "[$-0E0000]yyyy-mm-dd")</f>
        <v/>
      </c>
      <c r="C11896" t="inlineStr">
        <is>
          <t>1932-06-23</t>
        </is>
      </c>
    </row>
    <row r="11897">
      <c r="A11897" s="1" t="n">
        <v>11896</v>
      </c>
      <c r="B11897">
        <f>TEXT(11896, "[$-0E0000]yyyy-mm-dd")</f>
        <v/>
      </c>
      <c r="C11897" t="inlineStr">
        <is>
          <t>1932-06-24</t>
        </is>
      </c>
    </row>
    <row r="11898">
      <c r="A11898" s="1" t="n">
        <v>11897</v>
      </c>
      <c r="B11898">
        <f>TEXT(11897, "[$-0E0000]yyyy-mm-dd")</f>
        <v/>
      </c>
      <c r="C11898" t="inlineStr">
        <is>
          <t>1932-06-25</t>
        </is>
      </c>
    </row>
    <row r="11899">
      <c r="A11899" s="1" t="n">
        <v>11898</v>
      </c>
      <c r="B11899">
        <f>TEXT(11898, "[$-0E0000]yyyy-mm-dd")</f>
        <v/>
      </c>
      <c r="C11899" t="inlineStr">
        <is>
          <t>1932-06-26</t>
        </is>
      </c>
    </row>
    <row r="11900">
      <c r="A11900" s="1" t="n">
        <v>11899</v>
      </c>
      <c r="B11900">
        <f>TEXT(11899, "[$-0E0000]yyyy-mm-dd")</f>
        <v/>
      </c>
      <c r="C11900" t="inlineStr">
        <is>
          <t>1932-06-27</t>
        </is>
      </c>
    </row>
    <row r="11901">
      <c r="A11901" s="1" t="n">
        <v>11900</v>
      </c>
      <c r="B11901">
        <f>TEXT(11900, "[$-0E0000]yyyy-mm-dd")</f>
        <v/>
      </c>
      <c r="C11901" t="inlineStr">
        <is>
          <t>1932-06-28</t>
        </is>
      </c>
    </row>
    <row r="11902">
      <c r="A11902" s="1" t="n">
        <v>11901</v>
      </c>
      <c r="B11902">
        <f>TEXT(11901, "[$-0E0000]yyyy-mm-dd")</f>
        <v/>
      </c>
      <c r="C11902" t="inlineStr">
        <is>
          <t>1932-06-29</t>
        </is>
      </c>
    </row>
    <row r="11903">
      <c r="A11903" s="1" t="n">
        <v>11902</v>
      </c>
      <c r="B11903">
        <f>TEXT(11902, "[$-0E0000]yyyy-mm-dd")</f>
        <v/>
      </c>
      <c r="C11903" t="inlineStr">
        <is>
          <t>1932-07-01</t>
        </is>
      </c>
    </row>
    <row r="11904">
      <c r="A11904" s="1" t="n">
        <v>11903</v>
      </c>
      <c r="B11904">
        <f>TEXT(11903, "[$-0E0000]yyyy-mm-dd")</f>
        <v/>
      </c>
      <c r="C11904" t="inlineStr">
        <is>
          <t>1932-07-02</t>
        </is>
      </c>
    </row>
    <row r="11905">
      <c r="A11905" s="1" t="n">
        <v>11904</v>
      </c>
      <c r="B11905">
        <f>TEXT(11904, "[$-0E0000]yyyy-mm-dd")</f>
        <v/>
      </c>
      <c r="C11905" t="inlineStr">
        <is>
          <t>1932-07-03</t>
        </is>
      </c>
    </row>
    <row r="11906">
      <c r="A11906" s="1" t="n">
        <v>11905</v>
      </c>
      <c r="B11906">
        <f>TEXT(11905, "[$-0E0000]yyyy-mm-dd")</f>
        <v/>
      </c>
      <c r="C11906" t="inlineStr">
        <is>
          <t>1932-07-04</t>
        </is>
      </c>
    </row>
    <row r="11907">
      <c r="A11907" s="1" t="n">
        <v>11906</v>
      </c>
      <c r="B11907">
        <f>TEXT(11906, "[$-0E0000]yyyy-mm-dd")</f>
        <v/>
      </c>
      <c r="C11907" t="inlineStr">
        <is>
          <t>1932-07-05</t>
        </is>
      </c>
    </row>
    <row r="11908">
      <c r="A11908" s="1" t="n">
        <v>11907</v>
      </c>
      <c r="B11908">
        <f>TEXT(11907, "[$-0E0000]yyyy-mm-dd")</f>
        <v/>
      </c>
      <c r="C11908" t="inlineStr">
        <is>
          <t>1932-07-06</t>
        </is>
      </c>
    </row>
    <row r="11909">
      <c r="A11909" s="1" t="n">
        <v>11908</v>
      </c>
      <c r="B11909">
        <f>TEXT(11908, "[$-0E0000]yyyy-mm-dd")</f>
        <v/>
      </c>
      <c r="C11909" t="inlineStr">
        <is>
          <t>1932-07-07</t>
        </is>
      </c>
    </row>
    <row r="11910">
      <c r="A11910" s="1" t="n">
        <v>11909</v>
      </c>
      <c r="B11910">
        <f>TEXT(11909, "[$-0E0000]yyyy-mm-dd")</f>
        <v/>
      </c>
      <c r="C11910" t="inlineStr">
        <is>
          <t>1932-07-08</t>
        </is>
      </c>
    </row>
    <row r="11911">
      <c r="A11911" s="1" t="n">
        <v>11910</v>
      </c>
      <c r="B11911">
        <f>TEXT(11910, "[$-0E0000]yyyy-mm-dd")</f>
        <v/>
      </c>
      <c r="C11911" t="inlineStr">
        <is>
          <t>1932-07-09</t>
        </is>
      </c>
    </row>
    <row r="11912">
      <c r="A11912" s="1" t="n">
        <v>11911</v>
      </c>
      <c r="B11912">
        <f>TEXT(11911, "[$-0E0000]yyyy-mm-dd")</f>
        <v/>
      </c>
      <c r="C11912" t="inlineStr">
        <is>
          <t>1932-07-10</t>
        </is>
      </c>
    </row>
    <row r="11913">
      <c r="A11913" s="1" t="n">
        <v>11912</v>
      </c>
      <c r="B11913">
        <f>TEXT(11912, "[$-0E0000]yyyy-mm-dd")</f>
        <v/>
      </c>
      <c r="C11913" t="inlineStr">
        <is>
          <t>1932-07-11</t>
        </is>
      </c>
    </row>
    <row r="11914">
      <c r="A11914" s="1" t="n">
        <v>11913</v>
      </c>
      <c r="B11914">
        <f>TEXT(11913, "[$-0E0000]yyyy-mm-dd")</f>
        <v/>
      </c>
      <c r="C11914" t="inlineStr">
        <is>
          <t>1932-07-12</t>
        </is>
      </c>
    </row>
    <row r="11915">
      <c r="A11915" s="1" t="n">
        <v>11914</v>
      </c>
      <c r="B11915">
        <f>TEXT(11914, "[$-0E0000]yyyy-mm-dd")</f>
        <v/>
      </c>
      <c r="C11915" t="inlineStr">
        <is>
          <t>1932-07-13</t>
        </is>
      </c>
    </row>
    <row r="11916">
      <c r="A11916" s="1" t="n">
        <v>11915</v>
      </c>
      <c r="B11916">
        <f>TEXT(11915, "[$-0E0000]yyyy-mm-dd")</f>
        <v/>
      </c>
      <c r="C11916" t="inlineStr">
        <is>
          <t>1932-07-14</t>
        </is>
      </c>
    </row>
    <row r="11917">
      <c r="A11917" s="1" t="n">
        <v>11916</v>
      </c>
      <c r="B11917">
        <f>TEXT(11916, "[$-0E0000]yyyy-mm-dd")</f>
        <v/>
      </c>
      <c r="C11917" t="inlineStr">
        <is>
          <t>1932-07-15</t>
        </is>
      </c>
    </row>
    <row r="11918">
      <c r="A11918" s="1" t="n">
        <v>11917</v>
      </c>
      <c r="B11918">
        <f>TEXT(11917, "[$-0E0000]yyyy-mm-dd")</f>
        <v/>
      </c>
      <c r="C11918" t="inlineStr">
        <is>
          <t>1932-07-16</t>
        </is>
      </c>
    </row>
    <row r="11919">
      <c r="A11919" s="1" t="n">
        <v>11918</v>
      </c>
      <c r="B11919">
        <f>TEXT(11918, "[$-0E0000]yyyy-mm-dd")</f>
        <v/>
      </c>
      <c r="C11919" t="inlineStr">
        <is>
          <t>1932-07-17</t>
        </is>
      </c>
    </row>
    <row r="11920">
      <c r="A11920" s="1" t="n">
        <v>11919</v>
      </c>
      <c r="B11920">
        <f>TEXT(11919, "[$-0E0000]yyyy-mm-dd")</f>
        <v/>
      </c>
      <c r="C11920" t="inlineStr">
        <is>
          <t>1932-07-18</t>
        </is>
      </c>
    </row>
    <row r="11921">
      <c r="A11921" s="1" t="n">
        <v>11920</v>
      </c>
      <c r="B11921">
        <f>TEXT(11920, "[$-0E0000]yyyy-mm-dd")</f>
        <v/>
      </c>
      <c r="C11921" t="inlineStr">
        <is>
          <t>1932-07-19</t>
        </is>
      </c>
    </row>
    <row r="11922">
      <c r="A11922" s="1" t="n">
        <v>11921</v>
      </c>
      <c r="B11922">
        <f>TEXT(11921, "[$-0E0000]yyyy-mm-dd")</f>
        <v/>
      </c>
      <c r="C11922" t="inlineStr">
        <is>
          <t>1932-07-20</t>
        </is>
      </c>
    </row>
    <row r="11923">
      <c r="A11923" s="1" t="n">
        <v>11922</v>
      </c>
      <c r="B11923">
        <f>TEXT(11922, "[$-0E0000]yyyy-mm-dd")</f>
        <v/>
      </c>
      <c r="C11923" t="inlineStr">
        <is>
          <t>1932-07-21</t>
        </is>
      </c>
    </row>
    <row r="11924">
      <c r="A11924" s="1" t="n">
        <v>11923</v>
      </c>
      <c r="B11924">
        <f>TEXT(11923, "[$-0E0000]yyyy-mm-dd")</f>
        <v/>
      </c>
      <c r="C11924" t="inlineStr">
        <is>
          <t>1932-07-22</t>
        </is>
      </c>
    </row>
    <row r="11925">
      <c r="A11925" s="1" t="n">
        <v>11924</v>
      </c>
      <c r="B11925">
        <f>TEXT(11924, "[$-0E0000]yyyy-mm-dd")</f>
        <v/>
      </c>
      <c r="C11925" t="inlineStr">
        <is>
          <t>1932-07-23</t>
        </is>
      </c>
    </row>
    <row r="11926">
      <c r="A11926" s="1" t="n">
        <v>11925</v>
      </c>
      <c r="B11926">
        <f>TEXT(11925, "[$-0E0000]yyyy-mm-dd")</f>
        <v/>
      </c>
      <c r="C11926" t="inlineStr">
        <is>
          <t>1932-07-24</t>
        </is>
      </c>
    </row>
    <row r="11927">
      <c r="A11927" s="1" t="n">
        <v>11926</v>
      </c>
      <c r="B11927">
        <f>TEXT(11926, "[$-0E0000]yyyy-mm-dd")</f>
        <v/>
      </c>
      <c r="C11927" t="inlineStr">
        <is>
          <t>1932-07-25</t>
        </is>
      </c>
    </row>
    <row r="11928">
      <c r="A11928" s="1" t="n">
        <v>11927</v>
      </c>
      <c r="B11928">
        <f>TEXT(11927, "[$-0E0000]yyyy-mm-dd")</f>
        <v/>
      </c>
      <c r="C11928" t="inlineStr">
        <is>
          <t>1932-07-26</t>
        </is>
      </c>
    </row>
    <row r="11929">
      <c r="A11929" s="1" t="n">
        <v>11928</v>
      </c>
      <c r="B11929">
        <f>TEXT(11928, "[$-0E0000]yyyy-mm-dd")</f>
        <v/>
      </c>
      <c r="C11929" t="inlineStr">
        <is>
          <t>1932-07-27</t>
        </is>
      </c>
    </row>
    <row r="11930">
      <c r="A11930" s="1" t="n">
        <v>11929</v>
      </c>
      <c r="B11930">
        <f>TEXT(11929, "[$-0E0000]yyyy-mm-dd")</f>
        <v/>
      </c>
      <c r="C11930" t="inlineStr">
        <is>
          <t>1932-07-28</t>
        </is>
      </c>
    </row>
    <row r="11931">
      <c r="A11931" s="1" t="n">
        <v>11930</v>
      </c>
      <c r="B11931">
        <f>TEXT(11930, "[$-0E0000]yyyy-mm-dd")</f>
        <v/>
      </c>
      <c r="C11931" t="inlineStr">
        <is>
          <t>1932-07-29</t>
        </is>
      </c>
    </row>
    <row r="11932">
      <c r="A11932" s="1" t="n">
        <v>11931</v>
      </c>
      <c r="B11932">
        <f>TEXT(11931, "[$-0E0000]yyyy-mm-dd")</f>
        <v/>
      </c>
      <c r="C11932" t="inlineStr">
        <is>
          <t>1932-07-30</t>
        </is>
      </c>
    </row>
    <row r="11933">
      <c r="A11933" s="1" t="n">
        <v>11932</v>
      </c>
      <c r="B11933">
        <f>TEXT(11932, "[$-0E0000]yyyy-mm-dd")</f>
        <v/>
      </c>
      <c r="C11933" t="inlineStr">
        <is>
          <t>1932-08-01</t>
        </is>
      </c>
    </row>
    <row r="11934">
      <c r="A11934" s="1" t="n">
        <v>11933</v>
      </c>
      <c r="B11934">
        <f>TEXT(11933, "[$-0E0000]yyyy-mm-dd")</f>
        <v/>
      </c>
      <c r="C11934" t="inlineStr">
        <is>
          <t>1932-08-02</t>
        </is>
      </c>
    </row>
    <row r="11935">
      <c r="A11935" s="1" t="n">
        <v>11934</v>
      </c>
      <c r="B11935">
        <f>TEXT(11934, "[$-0E0000]yyyy-mm-dd")</f>
        <v/>
      </c>
      <c r="C11935" t="inlineStr">
        <is>
          <t>1932-08-03</t>
        </is>
      </c>
    </row>
    <row r="11936">
      <c r="A11936" s="1" t="n">
        <v>11935</v>
      </c>
      <c r="B11936">
        <f>TEXT(11935, "[$-0E0000]yyyy-mm-dd")</f>
        <v/>
      </c>
      <c r="C11936" t="inlineStr">
        <is>
          <t>1932-08-04</t>
        </is>
      </c>
    </row>
    <row r="11937">
      <c r="A11937" s="1" t="n">
        <v>11936</v>
      </c>
      <c r="B11937">
        <f>TEXT(11936, "[$-0E0000]yyyy-mm-dd")</f>
        <v/>
      </c>
      <c r="C11937" t="inlineStr">
        <is>
          <t>1932-08-05</t>
        </is>
      </c>
    </row>
    <row r="11938">
      <c r="A11938" s="1" t="n">
        <v>11937</v>
      </c>
      <c r="B11938">
        <f>TEXT(11937, "[$-0E0000]yyyy-mm-dd")</f>
        <v/>
      </c>
      <c r="C11938" t="inlineStr">
        <is>
          <t>1932-08-06</t>
        </is>
      </c>
    </row>
    <row r="11939">
      <c r="A11939" s="1" t="n">
        <v>11938</v>
      </c>
      <c r="B11939">
        <f>TEXT(11938, "[$-0E0000]yyyy-mm-dd")</f>
        <v/>
      </c>
      <c r="C11939" t="inlineStr">
        <is>
          <t>1932-08-07</t>
        </is>
      </c>
    </row>
    <row r="11940">
      <c r="A11940" s="1" t="n">
        <v>11939</v>
      </c>
      <c r="B11940">
        <f>TEXT(11939, "[$-0E0000]yyyy-mm-dd")</f>
        <v/>
      </c>
      <c r="C11940" t="inlineStr">
        <is>
          <t>1932-08-08</t>
        </is>
      </c>
    </row>
    <row r="11941">
      <c r="A11941" s="1" t="n">
        <v>11940</v>
      </c>
      <c r="B11941">
        <f>TEXT(11940, "[$-0E0000]yyyy-mm-dd")</f>
        <v/>
      </c>
      <c r="C11941" t="inlineStr">
        <is>
          <t>1932-08-09</t>
        </is>
      </c>
    </row>
    <row r="11942">
      <c r="A11942" s="1" t="n">
        <v>11941</v>
      </c>
      <c r="B11942">
        <f>TEXT(11941, "[$-0E0000]yyyy-mm-dd")</f>
        <v/>
      </c>
      <c r="C11942" t="inlineStr">
        <is>
          <t>1932-08-10</t>
        </is>
      </c>
    </row>
    <row r="11943">
      <c r="A11943" s="1" t="n">
        <v>11942</v>
      </c>
      <c r="B11943">
        <f>TEXT(11942, "[$-0E0000]yyyy-mm-dd")</f>
        <v/>
      </c>
      <c r="C11943" t="inlineStr">
        <is>
          <t>1932-08-11</t>
        </is>
      </c>
    </row>
    <row r="11944">
      <c r="A11944" s="1" t="n">
        <v>11943</v>
      </c>
      <c r="B11944">
        <f>TEXT(11943, "[$-0E0000]yyyy-mm-dd")</f>
        <v/>
      </c>
      <c r="C11944" t="inlineStr">
        <is>
          <t>1932-08-12</t>
        </is>
      </c>
    </row>
    <row r="11945">
      <c r="A11945" s="1" t="n">
        <v>11944</v>
      </c>
      <c r="B11945">
        <f>TEXT(11944, "[$-0E0000]yyyy-mm-dd")</f>
        <v/>
      </c>
      <c r="C11945" t="inlineStr">
        <is>
          <t>1932-08-13</t>
        </is>
      </c>
    </row>
    <row r="11946">
      <c r="A11946" s="1" t="n">
        <v>11945</v>
      </c>
      <c r="B11946">
        <f>TEXT(11945, "[$-0E0000]yyyy-mm-dd")</f>
        <v/>
      </c>
      <c r="C11946" t="inlineStr">
        <is>
          <t>1932-08-14</t>
        </is>
      </c>
    </row>
    <row r="11947">
      <c r="A11947" s="1" t="n">
        <v>11946</v>
      </c>
      <c r="B11947">
        <f>TEXT(11946, "[$-0E0000]yyyy-mm-dd")</f>
        <v/>
      </c>
      <c r="C11947" t="inlineStr">
        <is>
          <t>1932-08-15</t>
        </is>
      </c>
    </row>
    <row r="11948">
      <c r="A11948" s="1" t="n">
        <v>11947</v>
      </c>
      <c r="B11948">
        <f>TEXT(11947, "[$-0E0000]yyyy-mm-dd")</f>
        <v/>
      </c>
      <c r="C11948" t="inlineStr">
        <is>
          <t>1932-08-16</t>
        </is>
      </c>
    </row>
    <row r="11949">
      <c r="A11949" s="1" t="n">
        <v>11948</v>
      </c>
      <c r="B11949">
        <f>TEXT(11948, "[$-0E0000]yyyy-mm-dd")</f>
        <v/>
      </c>
      <c r="C11949" t="inlineStr">
        <is>
          <t>1932-08-17</t>
        </is>
      </c>
    </row>
    <row r="11950">
      <c r="A11950" s="1" t="n">
        <v>11949</v>
      </c>
      <c r="B11950">
        <f>TEXT(11949, "[$-0E0000]yyyy-mm-dd")</f>
        <v/>
      </c>
      <c r="C11950" t="inlineStr">
        <is>
          <t>1932-08-18</t>
        </is>
      </c>
    </row>
    <row r="11951">
      <c r="A11951" s="1" t="n">
        <v>11950</v>
      </c>
      <c r="B11951">
        <f>TEXT(11950, "[$-0E0000]yyyy-mm-dd")</f>
        <v/>
      </c>
      <c r="C11951" t="inlineStr">
        <is>
          <t>1932-08-19</t>
        </is>
      </c>
    </row>
    <row r="11952">
      <c r="A11952" s="1" t="n">
        <v>11951</v>
      </c>
      <c r="B11952">
        <f>TEXT(11951, "[$-0E0000]yyyy-mm-dd")</f>
        <v/>
      </c>
      <c r="C11952" t="inlineStr">
        <is>
          <t>1932-08-20</t>
        </is>
      </c>
    </row>
    <row r="11953">
      <c r="A11953" s="1" t="n">
        <v>11952</v>
      </c>
      <c r="B11953">
        <f>TEXT(11952, "[$-0E0000]yyyy-mm-dd")</f>
        <v/>
      </c>
      <c r="C11953" t="inlineStr">
        <is>
          <t>1932-08-21</t>
        </is>
      </c>
    </row>
    <row r="11954">
      <c r="A11954" s="1" t="n">
        <v>11953</v>
      </c>
      <c r="B11954">
        <f>TEXT(11953, "[$-0E0000]yyyy-mm-dd")</f>
        <v/>
      </c>
      <c r="C11954" t="inlineStr">
        <is>
          <t>1932-08-22</t>
        </is>
      </c>
    </row>
    <row r="11955">
      <c r="A11955" s="1" t="n">
        <v>11954</v>
      </c>
      <c r="B11955">
        <f>TEXT(11954, "[$-0E0000]yyyy-mm-dd")</f>
        <v/>
      </c>
      <c r="C11955" t="inlineStr">
        <is>
          <t>1932-08-23</t>
        </is>
      </c>
    </row>
    <row r="11956">
      <c r="A11956" s="1" t="n">
        <v>11955</v>
      </c>
      <c r="B11956">
        <f>TEXT(11955, "[$-0E0000]yyyy-mm-dd")</f>
        <v/>
      </c>
      <c r="C11956" t="inlineStr">
        <is>
          <t>1932-08-24</t>
        </is>
      </c>
    </row>
    <row r="11957">
      <c r="A11957" s="1" t="n">
        <v>11956</v>
      </c>
      <c r="B11957">
        <f>TEXT(11956, "[$-0E0000]yyyy-mm-dd")</f>
        <v/>
      </c>
      <c r="C11957" t="inlineStr">
        <is>
          <t>1932-08-25</t>
        </is>
      </c>
    </row>
    <row r="11958">
      <c r="A11958" s="1" t="n">
        <v>11957</v>
      </c>
      <c r="B11958">
        <f>TEXT(11957, "[$-0E0000]yyyy-mm-dd")</f>
        <v/>
      </c>
      <c r="C11958" t="inlineStr">
        <is>
          <t>1932-08-26</t>
        </is>
      </c>
    </row>
    <row r="11959">
      <c r="A11959" s="1" t="n">
        <v>11958</v>
      </c>
      <c r="B11959">
        <f>TEXT(11958, "[$-0E0000]yyyy-mm-dd")</f>
        <v/>
      </c>
      <c r="C11959" t="inlineStr">
        <is>
          <t>1932-08-27</t>
        </is>
      </c>
    </row>
    <row r="11960">
      <c r="A11960" s="1" t="n">
        <v>11959</v>
      </c>
      <c r="B11960">
        <f>TEXT(11959, "[$-0E0000]yyyy-mm-dd")</f>
        <v/>
      </c>
      <c r="C11960" t="inlineStr">
        <is>
          <t>1932-08-28</t>
        </is>
      </c>
    </row>
    <row r="11961">
      <c r="A11961" s="1" t="n">
        <v>11960</v>
      </c>
      <c r="B11961">
        <f>TEXT(11960, "[$-0E0000]yyyy-mm-dd")</f>
        <v/>
      </c>
      <c r="C11961" t="inlineStr">
        <is>
          <t>1932-08-29</t>
        </is>
      </c>
    </row>
    <row r="11962">
      <c r="A11962" s="1" t="n">
        <v>11961</v>
      </c>
      <c r="B11962">
        <f>TEXT(11961, "[$-0E0000]yyyy-mm-dd")</f>
        <v/>
      </c>
      <c r="C11962" t="inlineStr">
        <is>
          <t>1932-09-01</t>
        </is>
      </c>
    </row>
    <row r="11963">
      <c r="A11963" s="1" t="n">
        <v>11962</v>
      </c>
      <c r="B11963">
        <f>TEXT(11962, "[$-0E0000]yyyy-mm-dd")</f>
        <v/>
      </c>
      <c r="C11963" t="inlineStr">
        <is>
          <t>1932-09-02</t>
        </is>
      </c>
    </row>
    <row r="11964">
      <c r="A11964" s="1" t="n">
        <v>11963</v>
      </c>
      <c r="B11964">
        <f>TEXT(11963, "[$-0E0000]yyyy-mm-dd")</f>
        <v/>
      </c>
      <c r="C11964" t="inlineStr">
        <is>
          <t>1932-09-03</t>
        </is>
      </c>
    </row>
    <row r="11965">
      <c r="A11965" s="1" t="n">
        <v>11964</v>
      </c>
      <c r="B11965">
        <f>TEXT(11964, "[$-0E0000]yyyy-mm-dd")</f>
        <v/>
      </c>
      <c r="C11965" t="inlineStr">
        <is>
          <t>1932-09-04</t>
        </is>
      </c>
    </row>
    <row r="11966">
      <c r="A11966" s="1" t="n">
        <v>11965</v>
      </c>
      <c r="B11966">
        <f>TEXT(11965, "[$-0E0000]yyyy-mm-dd")</f>
        <v/>
      </c>
      <c r="C11966" t="inlineStr">
        <is>
          <t>1932-09-05</t>
        </is>
      </c>
    </row>
    <row r="11967">
      <c r="A11967" s="1" t="n">
        <v>11966</v>
      </c>
      <c r="B11967">
        <f>TEXT(11966, "[$-0E0000]yyyy-mm-dd")</f>
        <v/>
      </c>
      <c r="C11967" t="inlineStr">
        <is>
          <t>1932-09-06</t>
        </is>
      </c>
    </row>
    <row r="11968">
      <c r="A11968" s="1" t="n">
        <v>11967</v>
      </c>
      <c r="B11968">
        <f>TEXT(11967, "[$-0E0000]yyyy-mm-dd")</f>
        <v/>
      </c>
      <c r="C11968" t="inlineStr">
        <is>
          <t>1932-09-07</t>
        </is>
      </c>
    </row>
    <row r="11969">
      <c r="A11969" s="1" t="n">
        <v>11968</v>
      </c>
      <c r="B11969">
        <f>TEXT(11968, "[$-0E0000]yyyy-mm-dd")</f>
        <v/>
      </c>
      <c r="C11969" t="inlineStr">
        <is>
          <t>1932-09-08</t>
        </is>
      </c>
    </row>
    <row r="11970">
      <c r="A11970" s="1" t="n">
        <v>11969</v>
      </c>
      <c r="B11970">
        <f>TEXT(11969, "[$-0E0000]yyyy-mm-dd")</f>
        <v/>
      </c>
      <c r="C11970" t="inlineStr">
        <is>
          <t>1932-09-09</t>
        </is>
      </c>
    </row>
    <row r="11971">
      <c r="A11971" s="1" t="n">
        <v>11970</v>
      </c>
      <c r="B11971">
        <f>TEXT(11970, "[$-0E0000]yyyy-mm-dd")</f>
        <v/>
      </c>
      <c r="C11971" t="inlineStr">
        <is>
          <t>1932-09-10</t>
        </is>
      </c>
    </row>
    <row r="11972">
      <c r="A11972" s="1" t="n">
        <v>11971</v>
      </c>
      <c r="B11972">
        <f>TEXT(11971, "[$-0E0000]yyyy-mm-dd")</f>
        <v/>
      </c>
      <c r="C11972" t="inlineStr">
        <is>
          <t>1932-09-11</t>
        </is>
      </c>
    </row>
    <row r="11973">
      <c r="A11973" s="1" t="n">
        <v>11972</v>
      </c>
      <c r="B11973">
        <f>TEXT(11972, "[$-0E0000]yyyy-mm-dd")</f>
        <v/>
      </c>
      <c r="C11973" t="inlineStr">
        <is>
          <t>1932-09-12</t>
        </is>
      </c>
    </row>
    <row r="11974">
      <c r="A11974" s="1" t="n">
        <v>11973</v>
      </c>
      <c r="B11974">
        <f>TEXT(11973, "[$-0E0000]yyyy-mm-dd")</f>
        <v/>
      </c>
      <c r="C11974" t="inlineStr">
        <is>
          <t>1932-09-13</t>
        </is>
      </c>
    </row>
    <row r="11975">
      <c r="A11975" s="1" t="n">
        <v>11974</v>
      </c>
      <c r="B11975">
        <f>TEXT(11974, "[$-0E0000]yyyy-mm-dd")</f>
        <v/>
      </c>
      <c r="C11975" t="inlineStr">
        <is>
          <t>1932-09-14</t>
        </is>
      </c>
    </row>
    <row r="11976">
      <c r="A11976" s="1" t="n">
        <v>11975</v>
      </c>
      <c r="B11976">
        <f>TEXT(11975, "[$-0E0000]yyyy-mm-dd")</f>
        <v/>
      </c>
      <c r="C11976" t="inlineStr">
        <is>
          <t>1932-09-15</t>
        </is>
      </c>
    </row>
    <row r="11977">
      <c r="A11977" s="1" t="n">
        <v>11976</v>
      </c>
      <c r="B11977">
        <f>TEXT(11976, "[$-0E0000]yyyy-mm-dd")</f>
        <v/>
      </c>
      <c r="C11977" t="inlineStr">
        <is>
          <t>1932-09-16</t>
        </is>
      </c>
    </row>
    <row r="11978">
      <c r="A11978" s="1" t="n">
        <v>11977</v>
      </c>
      <c r="B11978">
        <f>TEXT(11977, "[$-0E0000]yyyy-mm-dd")</f>
        <v/>
      </c>
      <c r="C11978" t="inlineStr">
        <is>
          <t>1932-09-17</t>
        </is>
      </c>
    </row>
    <row r="11979">
      <c r="A11979" s="1" t="n">
        <v>11978</v>
      </c>
      <c r="B11979">
        <f>TEXT(11978, "[$-0E0000]yyyy-mm-dd")</f>
        <v/>
      </c>
      <c r="C11979" t="inlineStr">
        <is>
          <t>1932-09-18</t>
        </is>
      </c>
    </row>
    <row r="11980">
      <c r="A11980" s="1" t="n">
        <v>11979</v>
      </c>
      <c r="B11980">
        <f>TEXT(11979, "[$-0E0000]yyyy-mm-dd")</f>
        <v/>
      </c>
      <c r="C11980" t="inlineStr">
        <is>
          <t>1932-09-19</t>
        </is>
      </c>
    </row>
    <row r="11981">
      <c r="A11981" s="1" t="n">
        <v>11980</v>
      </c>
      <c r="B11981">
        <f>TEXT(11980, "[$-0E0000]yyyy-mm-dd")</f>
        <v/>
      </c>
      <c r="C11981" t="inlineStr">
        <is>
          <t>1932-09-20</t>
        </is>
      </c>
    </row>
    <row r="11982">
      <c r="A11982" s="1" t="n">
        <v>11981</v>
      </c>
      <c r="B11982">
        <f>TEXT(11981, "[$-0E0000]yyyy-mm-dd")</f>
        <v/>
      </c>
      <c r="C11982" t="inlineStr">
        <is>
          <t>1932-09-21</t>
        </is>
      </c>
    </row>
    <row r="11983">
      <c r="A11983" s="1" t="n">
        <v>11982</v>
      </c>
      <c r="B11983">
        <f>TEXT(11982, "[$-0E0000]yyyy-mm-dd")</f>
        <v/>
      </c>
      <c r="C11983" t="inlineStr">
        <is>
          <t>1932-09-22</t>
        </is>
      </c>
    </row>
    <row r="11984">
      <c r="A11984" s="1" t="n">
        <v>11983</v>
      </c>
      <c r="B11984">
        <f>TEXT(11983, "[$-0E0000]yyyy-mm-dd")</f>
        <v/>
      </c>
      <c r="C11984" t="inlineStr">
        <is>
          <t>1932-09-23</t>
        </is>
      </c>
    </row>
    <row r="11985">
      <c r="A11985" s="1" t="n">
        <v>11984</v>
      </c>
      <c r="B11985">
        <f>TEXT(11984, "[$-0E0000]yyyy-mm-dd")</f>
        <v/>
      </c>
      <c r="C11985" t="inlineStr">
        <is>
          <t>1932-09-24</t>
        </is>
      </c>
    </row>
    <row r="11986">
      <c r="A11986" s="1" t="n">
        <v>11985</v>
      </c>
      <c r="B11986">
        <f>TEXT(11985, "[$-0E0000]yyyy-mm-dd")</f>
        <v/>
      </c>
      <c r="C11986" t="inlineStr">
        <is>
          <t>1932-09-25</t>
        </is>
      </c>
    </row>
    <row r="11987">
      <c r="A11987" s="1" t="n">
        <v>11986</v>
      </c>
      <c r="B11987">
        <f>TEXT(11986, "[$-0E0000]yyyy-mm-dd")</f>
        <v/>
      </c>
      <c r="C11987" t="inlineStr">
        <is>
          <t>1932-09-26</t>
        </is>
      </c>
    </row>
    <row r="11988">
      <c r="A11988" s="1" t="n">
        <v>11987</v>
      </c>
      <c r="B11988">
        <f>TEXT(11987, "[$-0E0000]yyyy-mm-dd")</f>
        <v/>
      </c>
      <c r="C11988" t="inlineStr">
        <is>
          <t>1932-09-27</t>
        </is>
      </c>
    </row>
    <row r="11989">
      <c r="A11989" s="1" t="n">
        <v>11988</v>
      </c>
      <c r="B11989">
        <f>TEXT(11988, "[$-0E0000]yyyy-mm-dd")</f>
        <v/>
      </c>
      <c r="C11989" t="inlineStr">
        <is>
          <t>1932-09-28</t>
        </is>
      </c>
    </row>
    <row r="11990">
      <c r="A11990" s="1" t="n">
        <v>11989</v>
      </c>
      <c r="B11990">
        <f>TEXT(11989, "[$-0E0000]yyyy-mm-dd")</f>
        <v/>
      </c>
      <c r="C11990" t="inlineStr">
        <is>
          <t>1932-09-29</t>
        </is>
      </c>
    </row>
    <row r="11991">
      <c r="A11991" s="1" t="n">
        <v>11990</v>
      </c>
      <c r="B11991">
        <f>TEXT(11990, "[$-0E0000]yyyy-mm-dd")</f>
        <v/>
      </c>
      <c r="C11991" t="inlineStr">
        <is>
          <t>1932-10-01</t>
        </is>
      </c>
    </row>
    <row r="11992">
      <c r="A11992" s="1" t="n">
        <v>11991</v>
      </c>
      <c r="B11992">
        <f>TEXT(11991, "[$-0E0000]yyyy-mm-dd")</f>
        <v/>
      </c>
      <c r="C11992" t="inlineStr">
        <is>
          <t>1932-10-02</t>
        </is>
      </c>
    </row>
    <row r="11993">
      <c r="A11993" s="1" t="n">
        <v>11992</v>
      </c>
      <c r="B11993">
        <f>TEXT(11992, "[$-0E0000]yyyy-mm-dd")</f>
        <v/>
      </c>
      <c r="C11993" t="inlineStr">
        <is>
          <t>1932-10-03</t>
        </is>
      </c>
    </row>
    <row r="11994">
      <c r="A11994" s="1" t="n">
        <v>11993</v>
      </c>
      <c r="B11994">
        <f>TEXT(11993, "[$-0E0000]yyyy-mm-dd")</f>
        <v/>
      </c>
      <c r="C11994" t="inlineStr">
        <is>
          <t>1932-10-04</t>
        </is>
      </c>
    </row>
    <row r="11995">
      <c r="A11995" s="1" t="n">
        <v>11994</v>
      </c>
      <c r="B11995">
        <f>TEXT(11994, "[$-0E0000]yyyy-mm-dd")</f>
        <v/>
      </c>
      <c r="C11995" t="inlineStr">
        <is>
          <t>1932-10-05</t>
        </is>
      </c>
    </row>
    <row r="11996">
      <c r="A11996" s="1" t="n">
        <v>11995</v>
      </c>
      <c r="B11996">
        <f>TEXT(11995, "[$-0E0000]yyyy-mm-dd")</f>
        <v/>
      </c>
      <c r="C11996" t="inlineStr">
        <is>
          <t>1932-10-06</t>
        </is>
      </c>
    </row>
    <row r="11997">
      <c r="A11997" s="1" t="n">
        <v>11996</v>
      </c>
      <c r="B11997">
        <f>TEXT(11996, "[$-0E0000]yyyy-mm-dd")</f>
        <v/>
      </c>
      <c r="C11997" t="inlineStr">
        <is>
          <t>1932-10-07</t>
        </is>
      </c>
    </row>
    <row r="11998">
      <c r="A11998" s="1" t="n">
        <v>11997</v>
      </c>
      <c r="B11998">
        <f>TEXT(11997, "[$-0E0000]yyyy-mm-dd")</f>
        <v/>
      </c>
      <c r="C11998" t="inlineStr">
        <is>
          <t>1932-10-08</t>
        </is>
      </c>
    </row>
    <row r="11999">
      <c r="A11999" s="1" t="n">
        <v>11998</v>
      </c>
      <c r="B11999">
        <f>TEXT(11998, "[$-0E0000]yyyy-mm-dd")</f>
        <v/>
      </c>
      <c r="C11999" t="inlineStr">
        <is>
          <t>1932-10-09</t>
        </is>
      </c>
    </row>
    <row r="12000">
      <c r="A12000" s="1" t="n">
        <v>11999</v>
      </c>
      <c r="B12000">
        <f>TEXT(11999, "[$-0E0000]yyyy-mm-dd")</f>
        <v/>
      </c>
      <c r="C12000" t="inlineStr">
        <is>
          <t>1932-10-10</t>
        </is>
      </c>
    </row>
    <row r="12001">
      <c r="A12001" s="1" t="n">
        <v>12000</v>
      </c>
      <c r="B12001">
        <f>TEXT(12000, "[$-0E0000]yyyy-mm-dd")</f>
        <v/>
      </c>
      <c r="C12001" t="inlineStr">
        <is>
          <t>1932-10-11</t>
        </is>
      </c>
    </row>
    <row r="12002">
      <c r="A12002" s="1" t="n">
        <v>12001</v>
      </c>
      <c r="B12002">
        <f>TEXT(12001, "[$-0E0000]yyyy-mm-dd")</f>
        <v/>
      </c>
      <c r="C12002" t="inlineStr">
        <is>
          <t>1932-10-12</t>
        </is>
      </c>
    </row>
    <row r="12003">
      <c r="A12003" s="1" t="n">
        <v>12002</v>
      </c>
      <c r="B12003">
        <f>TEXT(12002, "[$-0E0000]yyyy-mm-dd")</f>
        <v/>
      </c>
      <c r="C12003" t="inlineStr">
        <is>
          <t>1932-10-13</t>
        </is>
      </c>
    </row>
    <row r="12004">
      <c r="A12004" s="1" t="n">
        <v>12003</v>
      </c>
      <c r="B12004">
        <f>TEXT(12003, "[$-0E0000]yyyy-mm-dd")</f>
        <v/>
      </c>
      <c r="C12004" t="inlineStr">
        <is>
          <t>1932-10-14</t>
        </is>
      </c>
    </row>
    <row r="12005">
      <c r="A12005" s="1" t="n">
        <v>12004</v>
      </c>
      <c r="B12005">
        <f>TEXT(12004, "[$-0E0000]yyyy-mm-dd")</f>
        <v/>
      </c>
      <c r="C12005" t="inlineStr">
        <is>
          <t>1932-10-15</t>
        </is>
      </c>
    </row>
    <row r="12006">
      <c r="A12006" s="1" t="n">
        <v>12005</v>
      </c>
      <c r="B12006">
        <f>TEXT(12005, "[$-0E0000]yyyy-mm-dd")</f>
        <v/>
      </c>
      <c r="C12006" t="inlineStr">
        <is>
          <t>1932-10-16</t>
        </is>
      </c>
    </row>
    <row r="12007">
      <c r="A12007" s="1" t="n">
        <v>12006</v>
      </c>
      <c r="B12007">
        <f>TEXT(12006, "[$-0E0000]yyyy-mm-dd")</f>
        <v/>
      </c>
      <c r="C12007" t="inlineStr">
        <is>
          <t>1932-10-17</t>
        </is>
      </c>
    </row>
    <row r="12008">
      <c r="A12008" s="1" t="n">
        <v>12007</v>
      </c>
      <c r="B12008">
        <f>TEXT(12007, "[$-0E0000]yyyy-mm-dd")</f>
        <v/>
      </c>
      <c r="C12008" t="inlineStr">
        <is>
          <t>1932-10-18</t>
        </is>
      </c>
    </row>
    <row r="12009">
      <c r="A12009" s="1" t="n">
        <v>12008</v>
      </c>
      <c r="B12009">
        <f>TEXT(12008, "[$-0E0000]yyyy-mm-dd")</f>
        <v/>
      </c>
      <c r="C12009" t="inlineStr">
        <is>
          <t>1932-10-19</t>
        </is>
      </c>
    </row>
    <row r="12010">
      <c r="A12010" s="1" t="n">
        <v>12009</v>
      </c>
      <c r="B12010">
        <f>TEXT(12009, "[$-0E0000]yyyy-mm-dd")</f>
        <v/>
      </c>
      <c r="C12010" t="inlineStr">
        <is>
          <t>1932-10-20</t>
        </is>
      </c>
    </row>
    <row r="12011">
      <c r="A12011" s="1" t="n">
        <v>12010</v>
      </c>
      <c r="B12011">
        <f>TEXT(12010, "[$-0E0000]yyyy-mm-dd")</f>
        <v/>
      </c>
      <c r="C12011" t="inlineStr">
        <is>
          <t>1932-10-21</t>
        </is>
      </c>
    </row>
    <row r="12012">
      <c r="A12012" s="1" t="n">
        <v>12011</v>
      </c>
      <c r="B12012">
        <f>TEXT(12011, "[$-0E0000]yyyy-mm-dd")</f>
        <v/>
      </c>
      <c r="C12012" t="inlineStr">
        <is>
          <t>1932-10-22</t>
        </is>
      </c>
    </row>
    <row r="12013">
      <c r="A12013" s="1" t="n">
        <v>12012</v>
      </c>
      <c r="B12013">
        <f>TEXT(12012, "[$-0E0000]yyyy-mm-dd")</f>
        <v/>
      </c>
      <c r="C12013" t="inlineStr">
        <is>
          <t>1932-10-23</t>
        </is>
      </c>
    </row>
    <row r="12014">
      <c r="A12014" s="1" t="n">
        <v>12013</v>
      </c>
      <c r="B12014">
        <f>TEXT(12013, "[$-0E0000]yyyy-mm-dd")</f>
        <v/>
      </c>
      <c r="C12014" t="inlineStr">
        <is>
          <t>1932-10-24</t>
        </is>
      </c>
    </row>
    <row r="12015">
      <c r="A12015" s="1" t="n">
        <v>12014</v>
      </c>
      <c r="B12015">
        <f>TEXT(12014, "[$-0E0000]yyyy-mm-dd")</f>
        <v/>
      </c>
      <c r="C12015" t="inlineStr">
        <is>
          <t>1932-10-25</t>
        </is>
      </c>
    </row>
    <row r="12016">
      <c r="A12016" s="1" t="n">
        <v>12015</v>
      </c>
      <c r="B12016">
        <f>TEXT(12015, "[$-0E0000]yyyy-mm-dd")</f>
        <v/>
      </c>
      <c r="C12016" t="inlineStr">
        <is>
          <t>1932-10-26</t>
        </is>
      </c>
    </row>
    <row r="12017">
      <c r="A12017" s="1" t="n">
        <v>12016</v>
      </c>
      <c r="B12017">
        <f>TEXT(12016, "[$-0E0000]yyyy-mm-dd")</f>
        <v/>
      </c>
      <c r="C12017" t="inlineStr">
        <is>
          <t>1932-10-27</t>
        </is>
      </c>
    </row>
    <row r="12018">
      <c r="A12018" s="1" t="n">
        <v>12017</v>
      </c>
      <c r="B12018">
        <f>TEXT(12017, "[$-0E0000]yyyy-mm-dd")</f>
        <v/>
      </c>
      <c r="C12018" t="inlineStr">
        <is>
          <t>1932-10-28</t>
        </is>
      </c>
    </row>
    <row r="12019">
      <c r="A12019" s="1" t="n">
        <v>12018</v>
      </c>
      <c r="B12019">
        <f>TEXT(12018, "[$-0E0000]yyyy-mm-dd")</f>
        <v/>
      </c>
      <c r="C12019" t="inlineStr">
        <is>
          <t>1932-10-29</t>
        </is>
      </c>
    </row>
    <row r="12020">
      <c r="A12020" s="1" t="n">
        <v>12019</v>
      </c>
      <c r="B12020">
        <f>TEXT(12019, "[$-0E0000]yyyy-mm-dd")</f>
        <v/>
      </c>
      <c r="C12020" t="inlineStr">
        <is>
          <t>1932-10-30</t>
        </is>
      </c>
    </row>
    <row r="12021">
      <c r="A12021" s="1" t="n">
        <v>12020</v>
      </c>
      <c r="B12021">
        <f>TEXT(12020, "[$-0E0000]yyyy-mm-dd")</f>
        <v/>
      </c>
      <c r="C12021" t="inlineStr">
        <is>
          <t>1932-11-01</t>
        </is>
      </c>
    </row>
    <row r="12022">
      <c r="A12022" s="1" t="n">
        <v>12021</v>
      </c>
      <c r="B12022">
        <f>TEXT(12021, "[$-0E0000]yyyy-mm-dd")</f>
        <v/>
      </c>
      <c r="C12022" t="inlineStr">
        <is>
          <t>1932-11-02</t>
        </is>
      </c>
    </row>
    <row r="12023">
      <c r="A12023" s="1" t="n">
        <v>12022</v>
      </c>
      <c r="B12023">
        <f>TEXT(12022, "[$-0E0000]yyyy-mm-dd")</f>
        <v/>
      </c>
      <c r="C12023" t="inlineStr">
        <is>
          <t>1932-11-03</t>
        </is>
      </c>
    </row>
    <row r="12024">
      <c r="A12024" s="1" t="n">
        <v>12023</v>
      </c>
      <c r="B12024">
        <f>TEXT(12023, "[$-0E0000]yyyy-mm-dd")</f>
        <v/>
      </c>
      <c r="C12024" t="inlineStr">
        <is>
          <t>1932-11-04</t>
        </is>
      </c>
    </row>
    <row r="12025">
      <c r="A12025" s="1" t="n">
        <v>12024</v>
      </c>
      <c r="B12025">
        <f>TEXT(12024, "[$-0E0000]yyyy-mm-dd")</f>
        <v/>
      </c>
      <c r="C12025" t="inlineStr">
        <is>
          <t>1932-11-05</t>
        </is>
      </c>
    </row>
    <row r="12026">
      <c r="A12026" s="1" t="n">
        <v>12025</v>
      </c>
      <c r="B12026">
        <f>TEXT(12025, "[$-0E0000]yyyy-mm-dd")</f>
        <v/>
      </c>
      <c r="C12026" t="inlineStr">
        <is>
          <t>1932-11-06</t>
        </is>
      </c>
    </row>
    <row r="12027">
      <c r="A12027" s="1" t="n">
        <v>12026</v>
      </c>
      <c r="B12027">
        <f>TEXT(12026, "[$-0E0000]yyyy-mm-dd")</f>
        <v/>
      </c>
      <c r="C12027" t="inlineStr">
        <is>
          <t>1932-11-07</t>
        </is>
      </c>
    </row>
    <row r="12028">
      <c r="A12028" s="1" t="n">
        <v>12027</v>
      </c>
      <c r="B12028">
        <f>TEXT(12027, "[$-0E0000]yyyy-mm-dd")</f>
        <v/>
      </c>
      <c r="C12028" t="inlineStr">
        <is>
          <t>1932-11-08</t>
        </is>
      </c>
    </row>
    <row r="12029">
      <c r="A12029" s="1" t="n">
        <v>12028</v>
      </c>
      <c r="B12029">
        <f>TEXT(12028, "[$-0E0000]yyyy-mm-dd")</f>
        <v/>
      </c>
      <c r="C12029" t="inlineStr">
        <is>
          <t>1932-11-09</t>
        </is>
      </c>
    </row>
    <row r="12030">
      <c r="A12030" s="1" t="n">
        <v>12029</v>
      </c>
      <c r="B12030">
        <f>TEXT(12029, "[$-0E0000]yyyy-mm-dd")</f>
        <v/>
      </c>
      <c r="C12030" t="inlineStr">
        <is>
          <t>1932-11-10</t>
        </is>
      </c>
    </row>
    <row r="12031">
      <c r="A12031" s="1" t="n">
        <v>12030</v>
      </c>
      <c r="B12031">
        <f>TEXT(12030, "[$-0E0000]yyyy-mm-dd")</f>
        <v/>
      </c>
      <c r="C12031" t="inlineStr">
        <is>
          <t>1932-11-11</t>
        </is>
      </c>
    </row>
    <row r="12032">
      <c r="A12032" s="1" t="n">
        <v>12031</v>
      </c>
      <c r="B12032">
        <f>TEXT(12031, "[$-0E0000]yyyy-mm-dd")</f>
        <v/>
      </c>
      <c r="C12032" t="inlineStr">
        <is>
          <t>1932-11-12</t>
        </is>
      </c>
    </row>
    <row r="12033">
      <c r="A12033" s="1" t="n">
        <v>12032</v>
      </c>
      <c r="B12033">
        <f>TEXT(12032, "[$-0E0000]yyyy-mm-dd")</f>
        <v/>
      </c>
      <c r="C12033" t="inlineStr">
        <is>
          <t>1932-11-13</t>
        </is>
      </c>
    </row>
    <row r="12034">
      <c r="A12034" s="1" t="n">
        <v>12033</v>
      </c>
      <c r="B12034">
        <f>TEXT(12033, "[$-0E0000]yyyy-mm-dd")</f>
        <v/>
      </c>
      <c r="C12034" t="inlineStr">
        <is>
          <t>1932-11-14</t>
        </is>
      </c>
    </row>
    <row r="12035">
      <c r="A12035" s="1" t="n">
        <v>12034</v>
      </c>
      <c r="B12035">
        <f>TEXT(12034, "[$-0E0000]yyyy-mm-dd")</f>
        <v/>
      </c>
      <c r="C12035" t="inlineStr">
        <is>
          <t>1932-11-15</t>
        </is>
      </c>
    </row>
    <row r="12036">
      <c r="A12036" s="1" t="n">
        <v>12035</v>
      </c>
      <c r="B12036">
        <f>TEXT(12035, "[$-0E0000]yyyy-mm-dd")</f>
        <v/>
      </c>
      <c r="C12036" t="inlineStr">
        <is>
          <t>1932-11-16</t>
        </is>
      </c>
    </row>
    <row r="12037">
      <c r="A12037" s="1" t="n">
        <v>12036</v>
      </c>
      <c r="B12037">
        <f>TEXT(12036, "[$-0E0000]yyyy-mm-dd")</f>
        <v/>
      </c>
      <c r="C12037" t="inlineStr">
        <is>
          <t>1932-11-17</t>
        </is>
      </c>
    </row>
    <row r="12038">
      <c r="A12038" s="1" t="n">
        <v>12037</v>
      </c>
      <c r="B12038">
        <f>TEXT(12037, "[$-0E0000]yyyy-mm-dd")</f>
        <v/>
      </c>
      <c r="C12038" t="inlineStr">
        <is>
          <t>1932-11-18</t>
        </is>
      </c>
    </row>
    <row r="12039">
      <c r="A12039" s="1" t="n">
        <v>12038</v>
      </c>
      <c r="B12039">
        <f>TEXT(12038, "[$-0E0000]yyyy-mm-dd")</f>
        <v/>
      </c>
      <c r="C12039" t="inlineStr">
        <is>
          <t>1932-11-19</t>
        </is>
      </c>
    </row>
    <row r="12040">
      <c r="A12040" s="1" t="n">
        <v>12039</v>
      </c>
      <c r="B12040">
        <f>TEXT(12039, "[$-0E0000]yyyy-mm-dd")</f>
        <v/>
      </c>
      <c r="C12040" t="inlineStr">
        <is>
          <t>1932-11-20</t>
        </is>
      </c>
    </row>
    <row r="12041">
      <c r="A12041" s="1" t="n">
        <v>12040</v>
      </c>
      <c r="B12041">
        <f>TEXT(12040, "[$-0E0000]yyyy-mm-dd")</f>
        <v/>
      </c>
      <c r="C12041" t="inlineStr">
        <is>
          <t>1932-11-21</t>
        </is>
      </c>
    </row>
    <row r="12042">
      <c r="A12042" s="1" t="n">
        <v>12041</v>
      </c>
      <c r="B12042">
        <f>TEXT(12041, "[$-0E0000]yyyy-mm-dd")</f>
        <v/>
      </c>
      <c r="C12042" t="inlineStr">
        <is>
          <t>1932-11-22</t>
        </is>
      </c>
    </row>
    <row r="12043">
      <c r="A12043" s="1" t="n">
        <v>12042</v>
      </c>
      <c r="B12043">
        <f>TEXT(12042, "[$-0E0000]yyyy-mm-dd")</f>
        <v/>
      </c>
      <c r="C12043" t="inlineStr">
        <is>
          <t>1932-11-23</t>
        </is>
      </c>
    </row>
    <row r="12044">
      <c r="A12044" s="1" t="n">
        <v>12043</v>
      </c>
      <c r="B12044">
        <f>TEXT(12043, "[$-0E0000]yyyy-mm-dd")</f>
        <v/>
      </c>
      <c r="C12044" t="inlineStr">
        <is>
          <t>1932-11-24</t>
        </is>
      </c>
    </row>
    <row r="12045">
      <c r="A12045" s="1" t="n">
        <v>12044</v>
      </c>
      <c r="B12045">
        <f>TEXT(12044, "[$-0E0000]yyyy-mm-dd")</f>
        <v/>
      </c>
      <c r="C12045" t="inlineStr">
        <is>
          <t>1932-11-25</t>
        </is>
      </c>
    </row>
    <row r="12046">
      <c r="A12046" s="1" t="n">
        <v>12045</v>
      </c>
      <c r="B12046">
        <f>TEXT(12045, "[$-0E0000]yyyy-mm-dd")</f>
        <v/>
      </c>
      <c r="C12046" t="inlineStr">
        <is>
          <t>1932-11-26</t>
        </is>
      </c>
    </row>
    <row r="12047">
      <c r="A12047" s="1" t="n">
        <v>12046</v>
      </c>
      <c r="B12047">
        <f>TEXT(12046, "[$-0E0000]yyyy-mm-dd")</f>
        <v/>
      </c>
      <c r="C12047" t="inlineStr">
        <is>
          <t>1932-11-27</t>
        </is>
      </c>
    </row>
    <row r="12048">
      <c r="A12048" s="1" t="n">
        <v>12047</v>
      </c>
      <c r="B12048">
        <f>TEXT(12047, "[$-0E0000]yyyy-mm-dd")</f>
        <v/>
      </c>
      <c r="C12048" t="inlineStr">
        <is>
          <t>1932-11-28</t>
        </is>
      </c>
    </row>
    <row r="12049">
      <c r="A12049" s="1" t="n">
        <v>12048</v>
      </c>
      <c r="B12049">
        <f>TEXT(12048, "[$-0E0000]yyyy-mm-dd")</f>
        <v/>
      </c>
      <c r="C12049" t="inlineStr">
        <is>
          <t>1932-11-29</t>
        </is>
      </c>
    </row>
    <row r="12050">
      <c r="A12050" s="1" t="n">
        <v>12049</v>
      </c>
      <c r="B12050">
        <f>TEXT(12049, "[$-0E0000]yyyy-mm-dd")</f>
        <v/>
      </c>
      <c r="C12050" t="inlineStr">
        <is>
          <t>1932-12-01</t>
        </is>
      </c>
    </row>
    <row r="12051">
      <c r="A12051" s="1" t="n">
        <v>12050</v>
      </c>
      <c r="B12051">
        <f>TEXT(12050, "[$-0E0000]yyyy-mm-dd")</f>
        <v/>
      </c>
      <c r="C12051" t="inlineStr">
        <is>
          <t>1932-12-02</t>
        </is>
      </c>
    </row>
    <row r="12052">
      <c r="A12052" s="1" t="n">
        <v>12051</v>
      </c>
      <c r="B12052">
        <f>TEXT(12051, "[$-0E0000]yyyy-mm-dd")</f>
        <v/>
      </c>
      <c r="C12052" t="inlineStr">
        <is>
          <t>1932-12-03</t>
        </is>
      </c>
    </row>
    <row r="12053">
      <c r="A12053" s="1" t="n">
        <v>12052</v>
      </c>
      <c r="B12053">
        <f>TEXT(12052, "[$-0E0000]yyyy-mm-dd")</f>
        <v/>
      </c>
      <c r="C12053" t="inlineStr">
        <is>
          <t>1932-12-04</t>
        </is>
      </c>
    </row>
    <row r="12054">
      <c r="A12054" s="1" t="n">
        <v>12053</v>
      </c>
      <c r="B12054">
        <f>TEXT(12053, "[$-0E0000]yyyy-mm-dd")</f>
        <v/>
      </c>
      <c r="C12054" t="inlineStr">
        <is>
          <t>1932-12-05</t>
        </is>
      </c>
    </row>
    <row r="12055">
      <c r="A12055" s="1" t="n">
        <v>12054</v>
      </c>
      <c r="B12055">
        <f>TEXT(12054, "[$-0E0000]yyyy-mm-dd")</f>
        <v/>
      </c>
      <c r="C12055" t="inlineStr">
        <is>
          <t>1932-12-06</t>
        </is>
      </c>
    </row>
    <row r="12056">
      <c r="A12056" s="1" t="n">
        <v>12055</v>
      </c>
      <c r="B12056">
        <f>TEXT(12055, "[$-0E0000]yyyy-mm-dd")</f>
        <v/>
      </c>
      <c r="C12056" t="inlineStr">
        <is>
          <t>1932-12-07</t>
        </is>
      </c>
    </row>
    <row r="12057">
      <c r="A12057" s="1" t="n">
        <v>12056</v>
      </c>
      <c r="B12057">
        <f>TEXT(12056, "[$-0E0000]yyyy-mm-dd")</f>
        <v/>
      </c>
      <c r="C12057" t="inlineStr">
        <is>
          <t>1932-12-08</t>
        </is>
      </c>
    </row>
    <row r="12058">
      <c r="A12058" s="1" t="n">
        <v>12057</v>
      </c>
      <c r="B12058">
        <f>TEXT(12057, "[$-0E0000]yyyy-mm-dd")</f>
        <v/>
      </c>
      <c r="C12058" t="inlineStr">
        <is>
          <t>1932-12-09</t>
        </is>
      </c>
    </row>
    <row r="12059">
      <c r="A12059" s="1" t="n">
        <v>12058</v>
      </c>
      <c r="B12059">
        <f>TEXT(12058, "[$-0E0000]yyyy-mm-dd")</f>
        <v/>
      </c>
      <c r="C12059" t="inlineStr">
        <is>
          <t>1932-12-10</t>
        </is>
      </c>
    </row>
    <row r="12060">
      <c r="A12060" s="1" t="n">
        <v>12059</v>
      </c>
      <c r="B12060">
        <f>TEXT(12059, "[$-0E0000]yyyy-mm-dd")</f>
        <v/>
      </c>
      <c r="C12060" t="inlineStr">
        <is>
          <t>1932-12-11</t>
        </is>
      </c>
    </row>
    <row r="12061">
      <c r="A12061" s="1" t="n">
        <v>12060</v>
      </c>
      <c r="B12061">
        <f>TEXT(12060, "[$-0E0000]yyyy-mm-dd")</f>
        <v/>
      </c>
      <c r="C12061" t="inlineStr">
        <is>
          <t>1932-12-12</t>
        </is>
      </c>
    </row>
    <row r="12062">
      <c r="A12062" s="1" t="n">
        <v>12061</v>
      </c>
      <c r="B12062">
        <f>TEXT(12061, "[$-0E0000]yyyy-mm-dd")</f>
        <v/>
      </c>
      <c r="C12062" t="inlineStr">
        <is>
          <t>1932-12-13</t>
        </is>
      </c>
    </row>
    <row r="12063">
      <c r="A12063" s="1" t="n">
        <v>12062</v>
      </c>
      <c r="B12063">
        <f>TEXT(12062, "[$-0E0000]yyyy-mm-dd")</f>
        <v/>
      </c>
      <c r="C12063" t="inlineStr">
        <is>
          <t>1932-12-14</t>
        </is>
      </c>
    </row>
    <row r="12064">
      <c r="A12064" s="1" t="n">
        <v>12063</v>
      </c>
      <c r="B12064">
        <f>TEXT(12063, "[$-0E0000]yyyy-mm-dd")</f>
        <v/>
      </c>
      <c r="C12064" t="inlineStr">
        <is>
          <t>1932-12-15</t>
        </is>
      </c>
    </row>
    <row r="12065">
      <c r="A12065" s="1" t="n">
        <v>12064</v>
      </c>
      <c r="B12065">
        <f>TEXT(12064, "[$-0E0000]yyyy-mm-dd")</f>
        <v/>
      </c>
      <c r="C12065" t="inlineStr">
        <is>
          <t>1932-12-16</t>
        </is>
      </c>
    </row>
    <row r="12066">
      <c r="A12066" s="1" t="n">
        <v>12065</v>
      </c>
      <c r="B12066">
        <f>TEXT(12065, "[$-0E0000]yyyy-mm-dd")</f>
        <v/>
      </c>
      <c r="C12066" t="inlineStr">
        <is>
          <t>1932-12-17</t>
        </is>
      </c>
    </row>
    <row r="12067">
      <c r="A12067" s="1" t="n">
        <v>12066</v>
      </c>
      <c r="B12067">
        <f>TEXT(12066, "[$-0E0000]yyyy-mm-dd")</f>
        <v/>
      </c>
      <c r="C12067" t="inlineStr">
        <is>
          <t>1932-12-18</t>
        </is>
      </c>
    </row>
    <row r="12068">
      <c r="A12068" s="1" t="n">
        <v>12067</v>
      </c>
      <c r="B12068">
        <f>TEXT(12067, "[$-0E0000]yyyy-mm-dd")</f>
        <v/>
      </c>
      <c r="C12068" t="inlineStr">
        <is>
          <t>1932-12-19</t>
        </is>
      </c>
    </row>
    <row r="12069">
      <c r="A12069" s="1" t="n">
        <v>12068</v>
      </c>
      <c r="B12069">
        <f>TEXT(12068, "[$-0E0000]yyyy-mm-dd")</f>
        <v/>
      </c>
      <c r="C12069" t="inlineStr">
        <is>
          <t>1932-12-20</t>
        </is>
      </c>
    </row>
    <row r="12070">
      <c r="A12070" s="1" t="n">
        <v>12069</v>
      </c>
      <c r="B12070">
        <f>TEXT(12069, "[$-0E0000]yyyy-mm-dd")</f>
        <v/>
      </c>
      <c r="C12070" t="inlineStr">
        <is>
          <t>1932-12-21</t>
        </is>
      </c>
    </row>
    <row r="12071">
      <c r="A12071" s="1" t="n">
        <v>12070</v>
      </c>
      <c r="B12071">
        <f>TEXT(12070, "[$-0E0000]yyyy-mm-dd")</f>
        <v/>
      </c>
      <c r="C12071" t="inlineStr">
        <is>
          <t>1932-12-22</t>
        </is>
      </c>
    </row>
    <row r="12072">
      <c r="A12072" s="1" t="n">
        <v>12071</v>
      </c>
      <c r="B12072">
        <f>TEXT(12071, "[$-0E0000]yyyy-mm-dd")</f>
        <v/>
      </c>
      <c r="C12072" t="inlineStr">
        <is>
          <t>1932-12-23</t>
        </is>
      </c>
    </row>
    <row r="12073">
      <c r="A12073" s="1" t="n">
        <v>12072</v>
      </c>
      <c r="B12073">
        <f>TEXT(12072, "[$-0E0000]yyyy-mm-dd")</f>
        <v/>
      </c>
      <c r="C12073" t="inlineStr">
        <is>
          <t>1932-12-24</t>
        </is>
      </c>
    </row>
    <row r="12074">
      <c r="A12074" s="1" t="n">
        <v>12073</v>
      </c>
      <c r="B12074">
        <f>TEXT(12073, "[$-0E0000]yyyy-mm-dd")</f>
        <v/>
      </c>
      <c r="C12074" t="inlineStr">
        <is>
          <t>1932-12-25</t>
        </is>
      </c>
    </row>
    <row r="12075">
      <c r="A12075" s="1" t="n">
        <v>12074</v>
      </c>
      <c r="B12075">
        <f>TEXT(12074, "[$-0E0000]yyyy-mm-dd")</f>
        <v/>
      </c>
      <c r="C12075" t="inlineStr">
        <is>
          <t>1932-12-26</t>
        </is>
      </c>
    </row>
    <row r="12076">
      <c r="A12076" s="1" t="n">
        <v>12075</v>
      </c>
      <c r="B12076">
        <f>TEXT(12075, "[$-0E0000]yyyy-mm-dd")</f>
        <v/>
      </c>
      <c r="C12076" t="inlineStr">
        <is>
          <t>1932-12-27</t>
        </is>
      </c>
    </row>
    <row r="12077">
      <c r="A12077" s="1" t="n">
        <v>12076</v>
      </c>
      <c r="B12077">
        <f>TEXT(12076, "[$-0E0000]yyyy-mm-dd")</f>
        <v/>
      </c>
      <c r="C12077" t="inlineStr">
        <is>
          <t>1932-12-28</t>
        </is>
      </c>
    </row>
    <row r="12078">
      <c r="A12078" s="1" t="n">
        <v>12077</v>
      </c>
      <c r="B12078">
        <f>TEXT(12077, "[$-0E0000]yyyy-mm-dd")</f>
        <v/>
      </c>
      <c r="C12078" t="inlineStr">
        <is>
          <t>1932-12-29</t>
        </is>
      </c>
    </row>
    <row r="12079">
      <c r="A12079" s="1" t="n">
        <v>12078</v>
      </c>
      <c r="B12079">
        <f>TEXT(12078, "[$-0E0000]yyyy-mm-dd")</f>
        <v/>
      </c>
      <c r="C12079" t="inlineStr">
        <is>
          <t>1932-12-30</t>
        </is>
      </c>
    </row>
    <row r="12080">
      <c r="A12080" s="1" t="n">
        <v>12079</v>
      </c>
      <c r="B12080">
        <f>TEXT(12079, "[$-0E0000]yyyy-mm-dd")</f>
        <v/>
      </c>
      <c r="C12080" t="inlineStr">
        <is>
          <t>1933-01-01</t>
        </is>
      </c>
    </row>
    <row r="12081">
      <c r="A12081" s="1" t="n">
        <v>12080</v>
      </c>
      <c r="B12081">
        <f>TEXT(12080, "[$-0E0000]yyyy-mm-dd")</f>
        <v/>
      </c>
      <c r="C12081" t="inlineStr">
        <is>
          <t>1933-01-02</t>
        </is>
      </c>
    </row>
    <row r="12082">
      <c r="A12082" s="1" t="n">
        <v>12081</v>
      </c>
      <c r="B12082">
        <f>TEXT(12081, "[$-0E0000]yyyy-mm-dd")</f>
        <v/>
      </c>
      <c r="C12082" t="inlineStr">
        <is>
          <t>1933-01-03</t>
        </is>
      </c>
    </row>
    <row r="12083">
      <c r="A12083" s="1" t="n">
        <v>12082</v>
      </c>
      <c r="B12083">
        <f>TEXT(12082, "[$-0E0000]yyyy-mm-dd")</f>
        <v/>
      </c>
      <c r="C12083" t="inlineStr">
        <is>
          <t>1933-01-04</t>
        </is>
      </c>
    </row>
    <row r="12084">
      <c r="A12084" s="1" t="n">
        <v>12083</v>
      </c>
      <c r="B12084">
        <f>TEXT(12083, "[$-0E0000]yyyy-mm-dd")</f>
        <v/>
      </c>
      <c r="C12084" t="inlineStr">
        <is>
          <t>1933-01-05</t>
        </is>
      </c>
    </row>
    <row r="12085">
      <c r="A12085" s="1" t="n">
        <v>12084</v>
      </c>
      <c r="B12085">
        <f>TEXT(12084, "[$-0E0000]yyyy-mm-dd")</f>
        <v/>
      </c>
      <c r="C12085" t="inlineStr">
        <is>
          <t>1933-01-06</t>
        </is>
      </c>
    </row>
    <row r="12086">
      <c r="A12086" s="1" t="n">
        <v>12085</v>
      </c>
      <c r="B12086">
        <f>TEXT(12085, "[$-0E0000]yyyy-mm-dd")</f>
        <v/>
      </c>
      <c r="C12086" t="inlineStr">
        <is>
          <t>1933-01-07</t>
        </is>
      </c>
    </row>
    <row r="12087">
      <c r="A12087" s="1" t="n">
        <v>12086</v>
      </c>
      <c r="B12087">
        <f>TEXT(12086, "[$-0E0000]yyyy-mm-dd")</f>
        <v/>
      </c>
      <c r="C12087" t="inlineStr">
        <is>
          <t>1933-01-08</t>
        </is>
      </c>
    </row>
    <row r="12088">
      <c r="A12088" s="1" t="n">
        <v>12087</v>
      </c>
      <c r="B12088">
        <f>TEXT(12087, "[$-0E0000]yyyy-mm-dd")</f>
        <v/>
      </c>
      <c r="C12088" t="inlineStr">
        <is>
          <t>1933-01-09</t>
        </is>
      </c>
    </row>
    <row r="12089">
      <c r="A12089" s="1" t="n">
        <v>12088</v>
      </c>
      <c r="B12089">
        <f>TEXT(12088, "[$-0E0000]yyyy-mm-dd")</f>
        <v/>
      </c>
      <c r="C12089" t="inlineStr">
        <is>
          <t>1933-01-10</t>
        </is>
      </c>
    </row>
    <row r="12090">
      <c r="A12090" s="1" t="n">
        <v>12089</v>
      </c>
      <c r="B12090">
        <f>TEXT(12089, "[$-0E0000]yyyy-mm-dd")</f>
        <v/>
      </c>
      <c r="C12090" t="inlineStr">
        <is>
          <t>1933-01-11</t>
        </is>
      </c>
    </row>
    <row r="12091">
      <c r="A12091" s="1" t="n">
        <v>12090</v>
      </c>
      <c r="B12091">
        <f>TEXT(12090, "[$-0E0000]yyyy-mm-dd")</f>
        <v/>
      </c>
      <c r="C12091" t="inlineStr">
        <is>
          <t>1933-01-12</t>
        </is>
      </c>
    </row>
    <row r="12092">
      <c r="A12092" s="1" t="n">
        <v>12091</v>
      </c>
      <c r="B12092">
        <f>TEXT(12091, "[$-0E0000]yyyy-mm-dd")</f>
        <v/>
      </c>
      <c r="C12092" t="inlineStr">
        <is>
          <t>1933-01-13</t>
        </is>
      </c>
    </row>
    <row r="12093">
      <c r="A12093" s="1" t="n">
        <v>12092</v>
      </c>
      <c r="B12093">
        <f>TEXT(12092, "[$-0E0000]yyyy-mm-dd")</f>
        <v/>
      </c>
      <c r="C12093" t="inlineStr">
        <is>
          <t>1933-01-14</t>
        </is>
      </c>
    </row>
    <row r="12094">
      <c r="A12094" s="1" t="n">
        <v>12093</v>
      </c>
      <c r="B12094">
        <f>TEXT(12093, "[$-0E0000]yyyy-mm-dd")</f>
        <v/>
      </c>
      <c r="C12094" t="inlineStr">
        <is>
          <t>1933-01-15</t>
        </is>
      </c>
    </row>
    <row r="12095">
      <c r="A12095" s="1" t="n">
        <v>12094</v>
      </c>
      <c r="B12095">
        <f>TEXT(12094, "[$-0E0000]yyyy-mm-dd")</f>
        <v/>
      </c>
      <c r="C12095" t="inlineStr">
        <is>
          <t>1933-01-16</t>
        </is>
      </c>
    </row>
    <row r="12096">
      <c r="A12096" s="1" t="n">
        <v>12095</v>
      </c>
      <c r="B12096">
        <f>TEXT(12095, "[$-0E0000]yyyy-mm-dd")</f>
        <v/>
      </c>
      <c r="C12096" t="inlineStr">
        <is>
          <t>1933-01-17</t>
        </is>
      </c>
    </row>
    <row r="12097">
      <c r="A12097" s="1" t="n">
        <v>12096</v>
      </c>
      <c r="B12097">
        <f>TEXT(12096, "[$-0E0000]yyyy-mm-dd")</f>
        <v/>
      </c>
      <c r="C12097" t="inlineStr">
        <is>
          <t>1933-01-18</t>
        </is>
      </c>
    </row>
    <row r="12098">
      <c r="A12098" s="1" t="n">
        <v>12097</v>
      </c>
      <c r="B12098">
        <f>TEXT(12097, "[$-0E0000]yyyy-mm-dd")</f>
        <v/>
      </c>
      <c r="C12098" t="inlineStr">
        <is>
          <t>1933-01-19</t>
        </is>
      </c>
    </row>
    <row r="12099">
      <c r="A12099" s="1" t="n">
        <v>12098</v>
      </c>
      <c r="B12099">
        <f>TEXT(12098, "[$-0E0000]yyyy-mm-dd")</f>
        <v/>
      </c>
      <c r="C12099" t="inlineStr">
        <is>
          <t>1933-01-20</t>
        </is>
      </c>
    </row>
    <row r="12100">
      <c r="A12100" s="1" t="n">
        <v>12099</v>
      </c>
      <c r="B12100">
        <f>TEXT(12099, "[$-0E0000]yyyy-mm-dd")</f>
        <v/>
      </c>
      <c r="C12100" t="inlineStr">
        <is>
          <t>1933-01-21</t>
        </is>
      </c>
    </row>
    <row r="12101">
      <c r="A12101" s="1" t="n">
        <v>12100</v>
      </c>
      <c r="B12101">
        <f>TEXT(12100, "[$-0E0000]yyyy-mm-dd")</f>
        <v/>
      </c>
      <c r="C12101" t="inlineStr">
        <is>
          <t>1933-01-22</t>
        </is>
      </c>
    </row>
    <row r="12102">
      <c r="A12102" s="1" t="n">
        <v>12101</v>
      </c>
      <c r="B12102">
        <f>TEXT(12101, "[$-0E0000]yyyy-mm-dd")</f>
        <v/>
      </c>
      <c r="C12102" t="inlineStr">
        <is>
          <t>1933-01-23</t>
        </is>
      </c>
    </row>
    <row r="12103">
      <c r="A12103" s="1" t="n">
        <v>12102</v>
      </c>
      <c r="B12103">
        <f>TEXT(12102, "[$-0E0000]yyyy-mm-dd")</f>
        <v/>
      </c>
      <c r="C12103" t="inlineStr">
        <is>
          <t>1933-01-24</t>
        </is>
      </c>
    </row>
    <row r="12104">
      <c r="A12104" s="1" t="n">
        <v>12103</v>
      </c>
      <c r="B12104">
        <f>TEXT(12103, "[$-0E0000]yyyy-mm-dd")</f>
        <v/>
      </c>
      <c r="C12104" t="inlineStr">
        <is>
          <t>1933-01-25</t>
        </is>
      </c>
    </row>
    <row r="12105">
      <c r="A12105" s="1" t="n">
        <v>12104</v>
      </c>
      <c r="B12105">
        <f>TEXT(12104, "[$-0E0000]yyyy-mm-dd")</f>
        <v/>
      </c>
      <c r="C12105" t="inlineStr">
        <is>
          <t>1933-01-26</t>
        </is>
      </c>
    </row>
    <row r="12106">
      <c r="A12106" s="1" t="n">
        <v>12105</v>
      </c>
      <c r="B12106">
        <f>TEXT(12105, "[$-0E0000]yyyy-mm-dd")</f>
        <v/>
      </c>
      <c r="C12106" t="inlineStr">
        <is>
          <t>1933-01-27</t>
        </is>
      </c>
    </row>
    <row r="12107">
      <c r="A12107" s="1" t="n">
        <v>12106</v>
      </c>
      <c r="B12107">
        <f>TEXT(12106, "[$-0E0000]yyyy-mm-dd")</f>
        <v/>
      </c>
      <c r="C12107" t="inlineStr">
        <is>
          <t>1933-01-28</t>
        </is>
      </c>
    </row>
    <row r="12108">
      <c r="A12108" s="1" t="n">
        <v>12107</v>
      </c>
      <c r="B12108">
        <f>TEXT(12107, "[$-0E0000]yyyy-mm-dd")</f>
        <v/>
      </c>
      <c r="C12108" t="inlineStr">
        <is>
          <t>1933-01-29</t>
        </is>
      </c>
    </row>
    <row r="12109">
      <c r="A12109" s="1" t="n">
        <v>12108</v>
      </c>
      <c r="B12109">
        <f>TEXT(12108, "[$-0E0000]yyyy-mm-dd")</f>
        <v/>
      </c>
      <c r="C12109" t="inlineStr">
        <is>
          <t>1933-02-01</t>
        </is>
      </c>
    </row>
    <row r="12110">
      <c r="A12110" s="1" t="n">
        <v>12109</v>
      </c>
      <c r="B12110">
        <f>TEXT(12109, "[$-0E0000]yyyy-mm-dd")</f>
        <v/>
      </c>
      <c r="C12110" t="inlineStr">
        <is>
          <t>1933-02-02</t>
        </is>
      </c>
    </row>
    <row r="12111">
      <c r="A12111" s="1" t="n">
        <v>12110</v>
      </c>
      <c r="B12111">
        <f>TEXT(12110, "[$-0E0000]yyyy-mm-dd")</f>
        <v/>
      </c>
      <c r="C12111" t="inlineStr">
        <is>
          <t>1933-02-03</t>
        </is>
      </c>
    </row>
    <row r="12112">
      <c r="A12112" s="1" t="n">
        <v>12111</v>
      </c>
      <c r="B12112">
        <f>TEXT(12111, "[$-0E0000]yyyy-mm-dd")</f>
        <v/>
      </c>
      <c r="C12112" t="inlineStr">
        <is>
          <t>1933-02-04</t>
        </is>
      </c>
    </row>
    <row r="12113">
      <c r="A12113" s="1" t="n">
        <v>12112</v>
      </c>
      <c r="B12113">
        <f>TEXT(12112, "[$-0E0000]yyyy-mm-dd")</f>
        <v/>
      </c>
      <c r="C12113" t="inlineStr">
        <is>
          <t>1933-02-05</t>
        </is>
      </c>
    </row>
    <row r="12114">
      <c r="A12114" s="1" t="n">
        <v>12113</v>
      </c>
      <c r="B12114">
        <f>TEXT(12113, "[$-0E0000]yyyy-mm-dd")</f>
        <v/>
      </c>
      <c r="C12114" t="inlineStr">
        <is>
          <t>1933-02-06</t>
        </is>
      </c>
    </row>
    <row r="12115">
      <c r="A12115" s="1" t="n">
        <v>12114</v>
      </c>
      <c r="B12115">
        <f>TEXT(12114, "[$-0E0000]yyyy-mm-dd")</f>
        <v/>
      </c>
      <c r="C12115" t="inlineStr">
        <is>
          <t>1933-02-07</t>
        </is>
      </c>
    </row>
    <row r="12116">
      <c r="A12116" s="1" t="n">
        <v>12115</v>
      </c>
      <c r="B12116">
        <f>TEXT(12115, "[$-0E0000]yyyy-mm-dd")</f>
        <v/>
      </c>
      <c r="C12116" t="inlineStr">
        <is>
          <t>1933-02-08</t>
        </is>
      </c>
    </row>
    <row r="12117">
      <c r="A12117" s="1" t="n">
        <v>12116</v>
      </c>
      <c r="B12117">
        <f>TEXT(12116, "[$-0E0000]yyyy-mm-dd")</f>
        <v/>
      </c>
      <c r="C12117" t="inlineStr">
        <is>
          <t>1933-02-09</t>
        </is>
      </c>
    </row>
    <row r="12118">
      <c r="A12118" s="1" t="n">
        <v>12117</v>
      </c>
      <c r="B12118">
        <f>TEXT(12117, "[$-0E0000]yyyy-mm-dd")</f>
        <v/>
      </c>
      <c r="C12118" t="inlineStr">
        <is>
          <t>1933-02-10</t>
        </is>
      </c>
    </row>
    <row r="12119">
      <c r="A12119" s="1" t="n">
        <v>12118</v>
      </c>
      <c r="B12119">
        <f>TEXT(12118, "[$-0E0000]yyyy-mm-dd")</f>
        <v/>
      </c>
      <c r="C12119" t="inlineStr">
        <is>
          <t>1933-02-11</t>
        </is>
      </c>
    </row>
    <row r="12120">
      <c r="A12120" s="1" t="n">
        <v>12119</v>
      </c>
      <c r="B12120">
        <f>TEXT(12119, "[$-0E0000]yyyy-mm-dd")</f>
        <v/>
      </c>
      <c r="C12120" t="inlineStr">
        <is>
          <t>1933-02-12</t>
        </is>
      </c>
    </row>
    <row r="12121">
      <c r="A12121" s="1" t="n">
        <v>12120</v>
      </c>
      <c r="B12121">
        <f>TEXT(12120, "[$-0E0000]yyyy-mm-dd")</f>
        <v/>
      </c>
      <c r="C12121" t="inlineStr">
        <is>
          <t>1933-02-13</t>
        </is>
      </c>
    </row>
    <row r="12122">
      <c r="A12122" s="1" t="n">
        <v>12121</v>
      </c>
      <c r="B12122">
        <f>TEXT(12121, "[$-0E0000]yyyy-mm-dd")</f>
        <v/>
      </c>
      <c r="C12122" t="inlineStr">
        <is>
          <t>1933-02-14</t>
        </is>
      </c>
    </row>
    <row r="12123">
      <c r="A12123" s="1" t="n">
        <v>12122</v>
      </c>
      <c r="B12123">
        <f>TEXT(12122, "[$-0E0000]yyyy-mm-dd")</f>
        <v/>
      </c>
      <c r="C12123" t="inlineStr">
        <is>
          <t>1933-02-15</t>
        </is>
      </c>
    </row>
    <row r="12124">
      <c r="A12124" s="1" t="n">
        <v>12123</v>
      </c>
      <c r="B12124">
        <f>TEXT(12123, "[$-0E0000]yyyy-mm-dd")</f>
        <v/>
      </c>
      <c r="C12124" t="inlineStr">
        <is>
          <t>1933-02-16</t>
        </is>
      </c>
    </row>
    <row r="12125">
      <c r="A12125" s="1" t="n">
        <v>12124</v>
      </c>
      <c r="B12125">
        <f>TEXT(12124, "[$-0E0000]yyyy-mm-dd")</f>
        <v/>
      </c>
      <c r="C12125" t="inlineStr">
        <is>
          <t>1933-02-17</t>
        </is>
      </c>
    </row>
    <row r="12126">
      <c r="A12126" s="1" t="n">
        <v>12125</v>
      </c>
      <c r="B12126">
        <f>TEXT(12125, "[$-0E0000]yyyy-mm-dd")</f>
        <v/>
      </c>
      <c r="C12126" t="inlineStr">
        <is>
          <t>1933-02-18</t>
        </is>
      </c>
    </row>
    <row r="12127">
      <c r="A12127" s="1" t="n">
        <v>12126</v>
      </c>
      <c r="B12127">
        <f>TEXT(12126, "[$-0E0000]yyyy-mm-dd")</f>
        <v/>
      </c>
      <c r="C12127" t="inlineStr">
        <is>
          <t>1933-02-19</t>
        </is>
      </c>
    </row>
    <row r="12128">
      <c r="A12128" s="1" t="n">
        <v>12127</v>
      </c>
      <c r="B12128">
        <f>TEXT(12127, "[$-0E0000]yyyy-mm-dd")</f>
        <v/>
      </c>
      <c r="C12128" t="inlineStr">
        <is>
          <t>1933-02-20</t>
        </is>
      </c>
    </row>
    <row r="12129">
      <c r="A12129" s="1" t="n">
        <v>12128</v>
      </c>
      <c r="B12129">
        <f>TEXT(12128, "[$-0E0000]yyyy-mm-dd")</f>
        <v/>
      </c>
      <c r="C12129" t="inlineStr">
        <is>
          <t>1933-02-21</t>
        </is>
      </c>
    </row>
    <row r="12130">
      <c r="A12130" s="1" t="n">
        <v>12129</v>
      </c>
      <c r="B12130">
        <f>TEXT(12129, "[$-0E0000]yyyy-mm-dd")</f>
        <v/>
      </c>
      <c r="C12130" t="inlineStr">
        <is>
          <t>1933-02-22</t>
        </is>
      </c>
    </row>
    <row r="12131">
      <c r="A12131" s="1" t="n">
        <v>12130</v>
      </c>
      <c r="B12131">
        <f>TEXT(12130, "[$-0E0000]yyyy-mm-dd")</f>
        <v/>
      </c>
      <c r="C12131" t="inlineStr">
        <is>
          <t>1933-02-23</t>
        </is>
      </c>
    </row>
    <row r="12132">
      <c r="A12132" s="1" t="n">
        <v>12131</v>
      </c>
      <c r="B12132">
        <f>TEXT(12131, "[$-0E0000]yyyy-mm-dd")</f>
        <v/>
      </c>
      <c r="C12132" t="inlineStr">
        <is>
          <t>1933-02-24</t>
        </is>
      </c>
    </row>
    <row r="12133">
      <c r="A12133" s="1" t="n">
        <v>12132</v>
      </c>
      <c r="B12133">
        <f>TEXT(12132, "[$-0E0000]yyyy-mm-dd")</f>
        <v/>
      </c>
      <c r="C12133" t="inlineStr">
        <is>
          <t>1933-02-25</t>
        </is>
      </c>
    </row>
    <row r="12134">
      <c r="A12134" s="1" t="n">
        <v>12133</v>
      </c>
      <c r="B12134">
        <f>TEXT(12133, "[$-0E0000]yyyy-mm-dd")</f>
        <v/>
      </c>
      <c r="C12134" t="inlineStr">
        <is>
          <t>1933-02-26</t>
        </is>
      </c>
    </row>
    <row r="12135">
      <c r="A12135" s="1" t="n">
        <v>12134</v>
      </c>
      <c r="B12135">
        <f>TEXT(12134, "[$-0E0000]yyyy-mm-dd")</f>
        <v/>
      </c>
      <c r="C12135" t="inlineStr">
        <is>
          <t>1933-02-27</t>
        </is>
      </c>
    </row>
    <row r="12136">
      <c r="A12136" s="1" t="n">
        <v>12135</v>
      </c>
      <c r="B12136">
        <f>TEXT(12135, "[$-0E0000]yyyy-mm-dd")</f>
        <v/>
      </c>
      <c r="C12136" t="inlineStr">
        <is>
          <t>1933-02-28</t>
        </is>
      </c>
    </row>
    <row r="12137">
      <c r="A12137" s="1" t="n">
        <v>12136</v>
      </c>
      <c r="B12137">
        <f>TEXT(12136, "[$-0E0000]yyyy-mm-dd")</f>
        <v/>
      </c>
      <c r="C12137" t="inlineStr">
        <is>
          <t>1933-02-29</t>
        </is>
      </c>
    </row>
    <row r="12138">
      <c r="A12138" s="1" t="n">
        <v>12137</v>
      </c>
      <c r="B12138">
        <f>TEXT(12137, "[$-0E0000]yyyy-mm-dd")</f>
        <v/>
      </c>
      <c r="C12138" t="inlineStr">
        <is>
          <t>1933-02-30</t>
        </is>
      </c>
    </row>
    <row r="12139">
      <c r="A12139" s="1" t="n">
        <v>12138</v>
      </c>
      <c r="B12139">
        <f>TEXT(12138, "[$-0E0000]yyyy-mm-dd")</f>
        <v/>
      </c>
      <c r="C12139" t="inlineStr">
        <is>
          <t>1933-03-01</t>
        </is>
      </c>
    </row>
    <row r="12140">
      <c r="A12140" s="1" t="n">
        <v>12139</v>
      </c>
      <c r="B12140">
        <f>TEXT(12139, "[$-0E0000]yyyy-mm-dd")</f>
        <v/>
      </c>
      <c r="C12140" t="inlineStr">
        <is>
          <t>1933-03-02</t>
        </is>
      </c>
    </row>
    <row r="12141">
      <c r="A12141" s="1" t="n">
        <v>12140</v>
      </c>
      <c r="B12141">
        <f>TEXT(12140, "[$-0E0000]yyyy-mm-dd")</f>
        <v/>
      </c>
      <c r="C12141" t="inlineStr">
        <is>
          <t>1933-03-03</t>
        </is>
      </c>
    </row>
    <row r="12142">
      <c r="A12142" s="1" t="n">
        <v>12141</v>
      </c>
      <c r="B12142">
        <f>TEXT(12141, "[$-0E0000]yyyy-mm-dd")</f>
        <v/>
      </c>
      <c r="C12142" t="inlineStr">
        <is>
          <t>1933-03-04</t>
        </is>
      </c>
    </row>
    <row r="12143">
      <c r="A12143" s="1" t="n">
        <v>12142</v>
      </c>
      <c r="B12143">
        <f>TEXT(12142, "[$-0E0000]yyyy-mm-dd")</f>
        <v/>
      </c>
      <c r="C12143" t="inlineStr">
        <is>
          <t>1933-03-05</t>
        </is>
      </c>
    </row>
    <row r="12144">
      <c r="A12144" s="1" t="n">
        <v>12143</v>
      </c>
      <c r="B12144">
        <f>TEXT(12143, "[$-0E0000]yyyy-mm-dd")</f>
        <v/>
      </c>
      <c r="C12144" t="inlineStr">
        <is>
          <t>1933-03-06</t>
        </is>
      </c>
    </row>
    <row r="12145">
      <c r="A12145" s="1" t="n">
        <v>12144</v>
      </c>
      <c r="B12145">
        <f>TEXT(12144, "[$-0E0000]yyyy-mm-dd")</f>
        <v/>
      </c>
      <c r="C12145" t="inlineStr">
        <is>
          <t>1933-03-07</t>
        </is>
      </c>
    </row>
    <row r="12146">
      <c r="A12146" s="1" t="n">
        <v>12145</v>
      </c>
      <c r="B12146">
        <f>TEXT(12145, "[$-0E0000]yyyy-mm-dd")</f>
        <v/>
      </c>
      <c r="C12146" t="inlineStr">
        <is>
          <t>1933-03-08</t>
        </is>
      </c>
    </row>
    <row r="12147">
      <c r="A12147" s="1" t="n">
        <v>12146</v>
      </c>
      <c r="B12147">
        <f>TEXT(12146, "[$-0E0000]yyyy-mm-dd")</f>
        <v/>
      </c>
      <c r="C12147" t="inlineStr">
        <is>
          <t>1933-03-09</t>
        </is>
      </c>
    </row>
    <row r="12148">
      <c r="A12148" s="1" t="n">
        <v>12147</v>
      </c>
      <c r="B12148">
        <f>TEXT(12147, "[$-0E0000]yyyy-mm-dd")</f>
        <v/>
      </c>
      <c r="C12148" t="inlineStr">
        <is>
          <t>1933-03-10</t>
        </is>
      </c>
    </row>
    <row r="12149">
      <c r="A12149" s="1" t="n">
        <v>12148</v>
      </c>
      <c r="B12149">
        <f>TEXT(12148, "[$-0E0000]yyyy-mm-dd")</f>
        <v/>
      </c>
      <c r="C12149" t="inlineStr">
        <is>
          <t>1933-03-11</t>
        </is>
      </c>
    </row>
    <row r="12150">
      <c r="A12150" s="1" t="n">
        <v>12149</v>
      </c>
      <c r="B12150">
        <f>TEXT(12149, "[$-0E0000]yyyy-mm-dd")</f>
        <v/>
      </c>
      <c r="C12150" t="inlineStr">
        <is>
          <t>1933-03-12</t>
        </is>
      </c>
    </row>
    <row r="12151">
      <c r="A12151" s="1" t="n">
        <v>12150</v>
      </c>
      <c r="B12151">
        <f>TEXT(12150, "[$-0E0000]yyyy-mm-dd")</f>
        <v/>
      </c>
      <c r="C12151" t="inlineStr">
        <is>
          <t>1933-03-13</t>
        </is>
      </c>
    </row>
    <row r="12152">
      <c r="A12152" s="1" t="n">
        <v>12151</v>
      </c>
      <c r="B12152">
        <f>TEXT(12151, "[$-0E0000]yyyy-mm-dd")</f>
        <v/>
      </c>
      <c r="C12152" t="inlineStr">
        <is>
          <t>1933-03-14</t>
        </is>
      </c>
    </row>
    <row r="12153">
      <c r="A12153" s="1" t="n">
        <v>12152</v>
      </c>
      <c r="B12153">
        <f>TEXT(12152, "[$-0E0000]yyyy-mm-dd")</f>
        <v/>
      </c>
      <c r="C12153" t="inlineStr">
        <is>
          <t>1933-03-15</t>
        </is>
      </c>
    </row>
    <row r="12154">
      <c r="A12154" s="1" t="n">
        <v>12153</v>
      </c>
      <c r="B12154">
        <f>TEXT(12153, "[$-0E0000]yyyy-mm-dd")</f>
        <v/>
      </c>
      <c r="C12154" t="inlineStr">
        <is>
          <t>1933-03-16</t>
        </is>
      </c>
    </row>
    <row r="12155">
      <c r="A12155" s="1" t="n">
        <v>12154</v>
      </c>
      <c r="B12155">
        <f>TEXT(12154, "[$-0E0000]yyyy-mm-dd")</f>
        <v/>
      </c>
      <c r="C12155" t="inlineStr">
        <is>
          <t>1933-03-17</t>
        </is>
      </c>
    </row>
    <row r="12156">
      <c r="A12156" s="1" t="n">
        <v>12155</v>
      </c>
      <c r="B12156">
        <f>TEXT(12155, "[$-0E0000]yyyy-mm-dd")</f>
        <v/>
      </c>
      <c r="C12156" t="inlineStr">
        <is>
          <t>1933-03-18</t>
        </is>
      </c>
    </row>
    <row r="12157">
      <c r="A12157" s="1" t="n">
        <v>12156</v>
      </c>
      <c r="B12157">
        <f>TEXT(12156, "[$-0E0000]yyyy-mm-dd")</f>
        <v/>
      </c>
      <c r="C12157" t="inlineStr">
        <is>
          <t>1933-03-19</t>
        </is>
      </c>
    </row>
    <row r="12158">
      <c r="A12158" s="1" t="n">
        <v>12157</v>
      </c>
      <c r="B12158">
        <f>TEXT(12157, "[$-0E0000]yyyy-mm-dd")</f>
        <v/>
      </c>
      <c r="C12158" t="inlineStr">
        <is>
          <t>1933-03-20</t>
        </is>
      </c>
    </row>
    <row r="12159">
      <c r="A12159" s="1" t="n">
        <v>12158</v>
      </c>
      <c r="B12159">
        <f>TEXT(12158, "[$-0E0000]yyyy-mm-dd")</f>
        <v/>
      </c>
      <c r="C12159" t="inlineStr">
        <is>
          <t>1933-03-21</t>
        </is>
      </c>
    </row>
    <row r="12160">
      <c r="A12160" s="1" t="n">
        <v>12159</v>
      </c>
      <c r="B12160">
        <f>TEXT(12159, "[$-0E0000]yyyy-mm-dd")</f>
        <v/>
      </c>
      <c r="C12160" t="inlineStr">
        <is>
          <t>1933-03-22</t>
        </is>
      </c>
    </row>
    <row r="12161">
      <c r="A12161" s="1" t="n">
        <v>12160</v>
      </c>
      <c r="B12161">
        <f>TEXT(12160, "[$-0E0000]yyyy-mm-dd")</f>
        <v/>
      </c>
      <c r="C12161" t="inlineStr">
        <is>
          <t>1933-03-23</t>
        </is>
      </c>
    </row>
    <row r="12162">
      <c r="A12162" s="1" t="n">
        <v>12161</v>
      </c>
      <c r="B12162">
        <f>TEXT(12161, "[$-0E0000]yyyy-mm-dd")</f>
        <v/>
      </c>
      <c r="C12162" t="inlineStr">
        <is>
          <t>1933-03-24</t>
        </is>
      </c>
    </row>
    <row r="12163">
      <c r="A12163" s="1" t="n">
        <v>12162</v>
      </c>
      <c r="B12163">
        <f>TEXT(12162, "[$-0E0000]yyyy-mm-dd")</f>
        <v/>
      </c>
      <c r="C12163" t="inlineStr">
        <is>
          <t>1933-03-25</t>
        </is>
      </c>
    </row>
    <row r="12164">
      <c r="A12164" s="1" t="n">
        <v>12163</v>
      </c>
      <c r="B12164">
        <f>TEXT(12163, "[$-0E0000]yyyy-mm-dd")</f>
        <v/>
      </c>
      <c r="C12164" t="inlineStr">
        <is>
          <t>1933-03-26</t>
        </is>
      </c>
    </row>
    <row r="12165">
      <c r="A12165" s="1" t="n">
        <v>12164</v>
      </c>
      <c r="B12165">
        <f>TEXT(12164, "[$-0E0000]yyyy-mm-dd")</f>
        <v/>
      </c>
      <c r="C12165" t="inlineStr">
        <is>
          <t>1933-03-27</t>
        </is>
      </c>
    </row>
    <row r="12166">
      <c r="A12166" s="1" t="n">
        <v>12165</v>
      </c>
      <c r="B12166">
        <f>TEXT(12165, "[$-0E0000]yyyy-mm-dd")</f>
        <v/>
      </c>
      <c r="C12166" t="inlineStr">
        <is>
          <t>1933-03-28</t>
        </is>
      </c>
    </row>
    <row r="12167">
      <c r="A12167" s="1" t="n">
        <v>12166</v>
      </c>
      <c r="B12167">
        <f>TEXT(12166, "[$-0E0000]yyyy-mm-dd")</f>
        <v/>
      </c>
      <c r="C12167" t="inlineStr">
        <is>
          <t>1933-03-29</t>
        </is>
      </c>
    </row>
    <row r="12168">
      <c r="A12168" s="1" t="n">
        <v>12167</v>
      </c>
      <c r="B12168">
        <f>TEXT(12167, "[$-0E0000]yyyy-mm-dd")</f>
        <v/>
      </c>
      <c r="C12168" t="inlineStr">
        <is>
          <t>1933-03-30</t>
        </is>
      </c>
    </row>
    <row r="12169">
      <c r="A12169" s="1" t="n">
        <v>12168</v>
      </c>
      <c r="B12169">
        <f>TEXT(12168, "[$-0E0000]yyyy-mm-dd")</f>
        <v/>
      </c>
      <c r="C12169" t="inlineStr">
        <is>
          <t>1933-04-01</t>
        </is>
      </c>
    </row>
    <row r="12170">
      <c r="A12170" s="1" t="n">
        <v>12169</v>
      </c>
      <c r="B12170">
        <f>TEXT(12169, "[$-0E0000]yyyy-mm-dd")</f>
        <v/>
      </c>
      <c r="C12170" t="inlineStr">
        <is>
          <t>1933-04-02</t>
        </is>
      </c>
    </row>
    <row r="12171">
      <c r="A12171" s="1" t="n">
        <v>12170</v>
      </c>
      <c r="B12171">
        <f>TEXT(12170, "[$-0E0000]yyyy-mm-dd")</f>
        <v/>
      </c>
      <c r="C12171" t="inlineStr">
        <is>
          <t>1933-04-03</t>
        </is>
      </c>
    </row>
    <row r="12172">
      <c r="A12172" s="1" t="n">
        <v>12171</v>
      </c>
      <c r="B12172">
        <f>TEXT(12171, "[$-0E0000]yyyy-mm-dd")</f>
        <v/>
      </c>
      <c r="C12172" t="inlineStr">
        <is>
          <t>1933-04-04</t>
        </is>
      </c>
    </row>
    <row r="12173">
      <c r="A12173" s="1" t="n">
        <v>12172</v>
      </c>
      <c r="B12173">
        <f>TEXT(12172, "[$-0E0000]yyyy-mm-dd")</f>
        <v/>
      </c>
      <c r="C12173" t="inlineStr">
        <is>
          <t>1933-04-05</t>
        </is>
      </c>
    </row>
    <row r="12174">
      <c r="A12174" s="1" t="n">
        <v>12173</v>
      </c>
      <c r="B12174">
        <f>TEXT(12173, "[$-0E0000]yyyy-mm-dd")</f>
        <v/>
      </c>
      <c r="C12174" t="inlineStr">
        <is>
          <t>1933-04-06</t>
        </is>
      </c>
    </row>
    <row r="12175">
      <c r="A12175" s="1" t="n">
        <v>12174</v>
      </c>
      <c r="B12175">
        <f>TEXT(12174, "[$-0E0000]yyyy-mm-dd")</f>
        <v/>
      </c>
      <c r="C12175" t="inlineStr">
        <is>
          <t>1933-04-07</t>
        </is>
      </c>
    </row>
    <row r="12176">
      <c r="A12176" s="1" t="n">
        <v>12175</v>
      </c>
      <c r="B12176">
        <f>TEXT(12175, "[$-0E0000]yyyy-mm-dd")</f>
        <v/>
      </c>
      <c r="C12176" t="inlineStr">
        <is>
          <t>1933-04-08</t>
        </is>
      </c>
    </row>
    <row r="12177">
      <c r="A12177" s="1" t="n">
        <v>12176</v>
      </c>
      <c r="B12177">
        <f>TEXT(12176, "[$-0E0000]yyyy-mm-dd")</f>
        <v/>
      </c>
      <c r="C12177" t="inlineStr">
        <is>
          <t>1933-04-09</t>
        </is>
      </c>
    </row>
    <row r="12178">
      <c r="A12178" s="1" t="n">
        <v>12177</v>
      </c>
      <c r="B12178">
        <f>TEXT(12177, "[$-0E0000]yyyy-mm-dd")</f>
        <v/>
      </c>
      <c r="C12178" t="inlineStr">
        <is>
          <t>1933-04-10</t>
        </is>
      </c>
    </row>
    <row r="12179">
      <c r="A12179" s="1" t="n">
        <v>12178</v>
      </c>
      <c r="B12179">
        <f>TEXT(12178, "[$-0E0000]yyyy-mm-dd")</f>
        <v/>
      </c>
      <c r="C12179" t="inlineStr">
        <is>
          <t>1933-04-11</t>
        </is>
      </c>
    </row>
    <row r="12180">
      <c r="A12180" s="1" t="n">
        <v>12179</v>
      </c>
      <c r="B12180">
        <f>TEXT(12179, "[$-0E0000]yyyy-mm-dd")</f>
        <v/>
      </c>
      <c r="C12180" t="inlineStr">
        <is>
          <t>1933-04-12</t>
        </is>
      </c>
    </row>
    <row r="12181">
      <c r="A12181" s="1" t="n">
        <v>12180</v>
      </c>
      <c r="B12181">
        <f>TEXT(12180, "[$-0E0000]yyyy-mm-dd")</f>
        <v/>
      </c>
      <c r="C12181" t="inlineStr">
        <is>
          <t>1933-04-13</t>
        </is>
      </c>
    </row>
    <row r="12182">
      <c r="A12182" s="1" t="n">
        <v>12181</v>
      </c>
      <c r="B12182">
        <f>TEXT(12181, "[$-0E0000]yyyy-mm-dd")</f>
        <v/>
      </c>
      <c r="C12182" t="inlineStr">
        <is>
          <t>1933-04-14</t>
        </is>
      </c>
    </row>
    <row r="12183">
      <c r="A12183" s="1" t="n">
        <v>12182</v>
      </c>
      <c r="B12183">
        <f>TEXT(12182, "[$-0E0000]yyyy-mm-dd")</f>
        <v/>
      </c>
      <c r="C12183" t="inlineStr">
        <is>
          <t>1933-04-15</t>
        </is>
      </c>
    </row>
    <row r="12184">
      <c r="A12184" s="1" t="n">
        <v>12183</v>
      </c>
      <c r="B12184">
        <f>TEXT(12183, "[$-0E0000]yyyy-mm-dd")</f>
        <v/>
      </c>
      <c r="C12184" t="inlineStr">
        <is>
          <t>1933-04-16</t>
        </is>
      </c>
    </row>
    <row r="12185">
      <c r="A12185" s="1" t="n">
        <v>12184</v>
      </c>
      <c r="B12185">
        <f>TEXT(12184, "[$-0E0000]yyyy-mm-dd")</f>
        <v/>
      </c>
      <c r="C12185" t="inlineStr">
        <is>
          <t>1933-04-17</t>
        </is>
      </c>
    </row>
    <row r="12186">
      <c r="A12186" s="1" t="n">
        <v>12185</v>
      </c>
      <c r="B12186">
        <f>TEXT(12185, "[$-0E0000]yyyy-mm-dd")</f>
        <v/>
      </c>
      <c r="C12186" t="inlineStr">
        <is>
          <t>1933-04-18</t>
        </is>
      </c>
    </row>
    <row r="12187">
      <c r="A12187" s="1" t="n">
        <v>12186</v>
      </c>
      <c r="B12187">
        <f>TEXT(12186, "[$-0E0000]yyyy-mm-dd")</f>
        <v/>
      </c>
      <c r="C12187" t="inlineStr">
        <is>
          <t>1933-04-19</t>
        </is>
      </c>
    </row>
    <row r="12188">
      <c r="A12188" s="1" t="n">
        <v>12187</v>
      </c>
      <c r="B12188">
        <f>TEXT(12187, "[$-0E0000]yyyy-mm-dd")</f>
        <v/>
      </c>
      <c r="C12188" t="inlineStr">
        <is>
          <t>1933-04-20</t>
        </is>
      </c>
    </row>
    <row r="12189">
      <c r="A12189" s="1" t="n">
        <v>12188</v>
      </c>
      <c r="B12189">
        <f>TEXT(12188, "[$-0E0000]yyyy-mm-dd")</f>
        <v/>
      </c>
      <c r="C12189" t="inlineStr">
        <is>
          <t>1933-04-21</t>
        </is>
      </c>
    </row>
    <row r="12190">
      <c r="A12190" s="1" t="n">
        <v>12189</v>
      </c>
      <c r="B12190">
        <f>TEXT(12189, "[$-0E0000]yyyy-mm-dd")</f>
        <v/>
      </c>
      <c r="C12190" t="inlineStr">
        <is>
          <t>1933-04-22</t>
        </is>
      </c>
    </row>
    <row r="12191">
      <c r="A12191" s="1" t="n">
        <v>12190</v>
      </c>
      <c r="B12191">
        <f>TEXT(12190, "[$-0E0000]yyyy-mm-dd")</f>
        <v/>
      </c>
      <c r="C12191" t="inlineStr">
        <is>
          <t>1933-04-23</t>
        </is>
      </c>
    </row>
    <row r="12192">
      <c r="A12192" s="1" t="n">
        <v>12191</v>
      </c>
      <c r="B12192">
        <f>TEXT(12191, "[$-0E0000]yyyy-mm-dd")</f>
        <v/>
      </c>
      <c r="C12192" t="inlineStr">
        <is>
          <t>1933-04-24</t>
        </is>
      </c>
    </row>
    <row r="12193">
      <c r="A12193" s="1" t="n">
        <v>12192</v>
      </c>
      <c r="B12193">
        <f>TEXT(12192, "[$-0E0000]yyyy-mm-dd")</f>
        <v/>
      </c>
      <c r="C12193" t="inlineStr">
        <is>
          <t>1933-04-25</t>
        </is>
      </c>
    </row>
    <row r="12194">
      <c r="A12194" s="1" t="n">
        <v>12193</v>
      </c>
      <c r="B12194">
        <f>TEXT(12193, "[$-0E0000]yyyy-mm-dd")</f>
        <v/>
      </c>
      <c r="C12194" t="inlineStr">
        <is>
          <t>1933-04-26</t>
        </is>
      </c>
    </row>
    <row r="12195">
      <c r="A12195" s="1" t="n">
        <v>12194</v>
      </c>
      <c r="B12195">
        <f>TEXT(12194, "[$-0E0000]yyyy-mm-dd")</f>
        <v/>
      </c>
      <c r="C12195" t="inlineStr">
        <is>
          <t>1933-04-27</t>
        </is>
      </c>
    </row>
    <row r="12196">
      <c r="A12196" s="1" t="n">
        <v>12195</v>
      </c>
      <c r="B12196">
        <f>TEXT(12195, "[$-0E0000]yyyy-mm-dd")</f>
        <v/>
      </c>
      <c r="C12196" t="inlineStr">
        <is>
          <t>1933-04-28</t>
        </is>
      </c>
    </row>
    <row r="12197">
      <c r="A12197" s="1" t="n">
        <v>12196</v>
      </c>
      <c r="B12197">
        <f>TEXT(12196, "[$-0E0000]yyyy-mm-dd")</f>
        <v/>
      </c>
      <c r="C12197" t="inlineStr">
        <is>
          <t>1933-04-29</t>
        </is>
      </c>
    </row>
    <row r="12198">
      <c r="A12198" s="1" t="n">
        <v>12197</v>
      </c>
      <c r="B12198">
        <f>TEXT(12197, "[$-0E0000]yyyy-mm-dd")</f>
        <v/>
      </c>
      <c r="C12198" t="inlineStr">
        <is>
          <t>1933-05-01</t>
        </is>
      </c>
    </row>
    <row r="12199">
      <c r="A12199" s="1" t="n">
        <v>12198</v>
      </c>
      <c r="B12199">
        <f>TEXT(12198, "[$-0E0000]yyyy-mm-dd")</f>
        <v/>
      </c>
      <c r="C12199" t="inlineStr">
        <is>
          <t>1933-05-02</t>
        </is>
      </c>
    </row>
    <row r="12200">
      <c r="A12200" s="1" t="n">
        <v>12199</v>
      </c>
      <c r="B12200">
        <f>TEXT(12199, "[$-0E0000]yyyy-mm-dd")</f>
        <v/>
      </c>
      <c r="C12200" t="inlineStr">
        <is>
          <t>1933-05-03</t>
        </is>
      </c>
    </row>
    <row r="12201">
      <c r="A12201" s="1" t="n">
        <v>12200</v>
      </c>
      <c r="B12201">
        <f>TEXT(12200, "[$-0E0000]yyyy-mm-dd")</f>
        <v/>
      </c>
      <c r="C12201" t="inlineStr">
        <is>
          <t>1933-05-04</t>
        </is>
      </c>
    </row>
    <row r="12202">
      <c r="A12202" s="1" t="n">
        <v>12201</v>
      </c>
      <c r="B12202">
        <f>TEXT(12201, "[$-0E0000]yyyy-mm-dd")</f>
        <v/>
      </c>
      <c r="C12202" t="inlineStr">
        <is>
          <t>1933-05-05</t>
        </is>
      </c>
    </row>
    <row r="12203">
      <c r="A12203" s="1" t="n">
        <v>12202</v>
      </c>
      <c r="B12203">
        <f>TEXT(12202, "[$-0E0000]yyyy-mm-dd")</f>
        <v/>
      </c>
      <c r="C12203" t="inlineStr">
        <is>
          <t>1933-05-06</t>
        </is>
      </c>
    </row>
    <row r="12204">
      <c r="A12204" s="1" t="n">
        <v>12203</v>
      </c>
      <c r="B12204">
        <f>TEXT(12203, "[$-0E0000]yyyy-mm-dd")</f>
        <v/>
      </c>
      <c r="C12204" t="inlineStr">
        <is>
          <t>1933-05-07</t>
        </is>
      </c>
    </row>
    <row r="12205">
      <c r="A12205" s="1" t="n">
        <v>12204</v>
      </c>
      <c r="B12205">
        <f>TEXT(12204, "[$-0E0000]yyyy-mm-dd")</f>
        <v/>
      </c>
      <c r="C12205" t="inlineStr">
        <is>
          <t>1933-05-08</t>
        </is>
      </c>
    </row>
    <row r="12206">
      <c r="A12206" s="1" t="n">
        <v>12205</v>
      </c>
      <c r="B12206">
        <f>TEXT(12205, "[$-0E0000]yyyy-mm-dd")</f>
        <v/>
      </c>
      <c r="C12206" t="inlineStr">
        <is>
          <t>1933-05-09</t>
        </is>
      </c>
    </row>
    <row r="12207">
      <c r="A12207" s="1" t="n">
        <v>12206</v>
      </c>
      <c r="B12207">
        <f>TEXT(12206, "[$-0E0000]yyyy-mm-dd")</f>
        <v/>
      </c>
      <c r="C12207" t="inlineStr">
        <is>
          <t>1933-05-10</t>
        </is>
      </c>
    </row>
    <row r="12208">
      <c r="A12208" s="1" t="n">
        <v>12207</v>
      </c>
      <c r="B12208">
        <f>TEXT(12207, "[$-0E0000]yyyy-mm-dd")</f>
        <v/>
      </c>
      <c r="C12208" t="inlineStr">
        <is>
          <t>1933-05-11</t>
        </is>
      </c>
    </row>
    <row r="12209">
      <c r="A12209" s="1" t="n">
        <v>12208</v>
      </c>
      <c r="B12209">
        <f>TEXT(12208, "[$-0E0000]yyyy-mm-dd")</f>
        <v/>
      </c>
      <c r="C12209" t="inlineStr">
        <is>
          <t>1933-05-12</t>
        </is>
      </c>
    </row>
    <row r="12210">
      <c r="A12210" s="1" t="n">
        <v>12209</v>
      </c>
      <c r="B12210">
        <f>TEXT(12209, "[$-0E0000]yyyy-mm-dd")</f>
        <v/>
      </c>
      <c r="C12210" t="inlineStr">
        <is>
          <t>1933-05-13</t>
        </is>
      </c>
    </row>
    <row r="12211">
      <c r="A12211" s="1" t="n">
        <v>12210</v>
      </c>
      <c r="B12211">
        <f>TEXT(12210, "[$-0E0000]yyyy-mm-dd")</f>
        <v/>
      </c>
      <c r="C12211" t="inlineStr">
        <is>
          <t>1933-05-14</t>
        </is>
      </c>
    </row>
    <row r="12212">
      <c r="A12212" s="1" t="n">
        <v>12211</v>
      </c>
      <c r="B12212">
        <f>TEXT(12211, "[$-0E0000]yyyy-mm-dd")</f>
        <v/>
      </c>
      <c r="C12212" t="inlineStr">
        <is>
          <t>1933-05-15</t>
        </is>
      </c>
    </row>
    <row r="12213">
      <c r="A12213" s="1" t="n">
        <v>12212</v>
      </c>
      <c r="B12213">
        <f>TEXT(12212, "[$-0E0000]yyyy-mm-dd")</f>
        <v/>
      </c>
      <c r="C12213" t="inlineStr">
        <is>
          <t>1933-05-16</t>
        </is>
      </c>
    </row>
    <row r="12214">
      <c r="A12214" s="1" t="n">
        <v>12213</v>
      </c>
      <c r="B12214">
        <f>TEXT(12213, "[$-0E0000]yyyy-mm-dd")</f>
        <v/>
      </c>
      <c r="C12214" t="inlineStr">
        <is>
          <t>1933-05-17</t>
        </is>
      </c>
    </row>
    <row r="12215">
      <c r="A12215" s="1" t="n">
        <v>12214</v>
      </c>
      <c r="B12215">
        <f>TEXT(12214, "[$-0E0000]yyyy-mm-dd")</f>
        <v/>
      </c>
      <c r="C12215" t="inlineStr">
        <is>
          <t>1933-05-18</t>
        </is>
      </c>
    </row>
    <row r="12216">
      <c r="A12216" s="1" t="n">
        <v>12215</v>
      </c>
      <c r="B12216">
        <f>TEXT(12215, "[$-0E0000]yyyy-mm-dd")</f>
        <v/>
      </c>
      <c r="C12216" t="inlineStr">
        <is>
          <t>1933-05-19</t>
        </is>
      </c>
    </row>
    <row r="12217">
      <c r="A12217" s="1" t="n">
        <v>12216</v>
      </c>
      <c r="B12217">
        <f>TEXT(12216, "[$-0E0000]yyyy-mm-dd")</f>
        <v/>
      </c>
      <c r="C12217" t="inlineStr">
        <is>
          <t>1933-05-20</t>
        </is>
      </c>
    </row>
    <row r="12218">
      <c r="A12218" s="1" t="n">
        <v>12217</v>
      </c>
      <c r="B12218">
        <f>TEXT(12217, "[$-0E0000]yyyy-mm-dd")</f>
        <v/>
      </c>
      <c r="C12218" t="inlineStr">
        <is>
          <t>1933-05-21</t>
        </is>
      </c>
    </row>
    <row r="12219">
      <c r="A12219" s="1" t="n">
        <v>12218</v>
      </c>
      <c r="B12219">
        <f>TEXT(12218, "[$-0E0000]yyyy-mm-dd")</f>
        <v/>
      </c>
      <c r="C12219" t="inlineStr">
        <is>
          <t>1933-05-22</t>
        </is>
      </c>
    </row>
    <row r="12220">
      <c r="A12220" s="1" t="n">
        <v>12219</v>
      </c>
      <c r="B12220">
        <f>TEXT(12219, "[$-0E0000]yyyy-mm-dd")</f>
        <v/>
      </c>
      <c r="C12220" t="inlineStr">
        <is>
          <t>1933-05-23</t>
        </is>
      </c>
    </row>
    <row r="12221">
      <c r="A12221" s="1" t="n">
        <v>12220</v>
      </c>
      <c r="B12221">
        <f>TEXT(12220, "[$-0E0000]yyyy-mm-dd")</f>
        <v/>
      </c>
      <c r="C12221" t="inlineStr">
        <is>
          <t>1933-05-24</t>
        </is>
      </c>
    </row>
    <row r="12222">
      <c r="A12222" s="1" t="n">
        <v>12221</v>
      </c>
      <c r="B12222">
        <f>TEXT(12221, "[$-0E0000]yyyy-mm-dd")</f>
        <v/>
      </c>
      <c r="C12222" t="inlineStr">
        <is>
          <t>1933-05-25</t>
        </is>
      </c>
    </row>
    <row r="12223">
      <c r="A12223" s="1" t="n">
        <v>12222</v>
      </c>
      <c r="B12223">
        <f>TEXT(12222, "[$-0E0000]yyyy-mm-dd")</f>
        <v/>
      </c>
      <c r="C12223" t="inlineStr">
        <is>
          <t>1933-05-26</t>
        </is>
      </c>
    </row>
    <row r="12224">
      <c r="A12224" s="1" t="n">
        <v>12223</v>
      </c>
      <c r="B12224">
        <f>TEXT(12223, "[$-0E0000]yyyy-mm-dd")</f>
        <v/>
      </c>
      <c r="C12224" t="inlineStr">
        <is>
          <t>1933-05-27</t>
        </is>
      </c>
    </row>
    <row r="12225">
      <c r="A12225" s="1" t="n">
        <v>12224</v>
      </c>
      <c r="B12225">
        <f>TEXT(12224, "[$-0E0000]yyyy-mm-dd")</f>
        <v/>
      </c>
      <c r="C12225" t="inlineStr">
        <is>
          <t>1933-05-28</t>
        </is>
      </c>
    </row>
    <row r="12226">
      <c r="A12226" s="1" t="n">
        <v>12225</v>
      </c>
      <c r="B12226">
        <f>TEXT(12225, "[$-0E0000]yyyy-mm-dd")</f>
        <v/>
      </c>
      <c r="C12226" t="inlineStr">
        <is>
          <t>1933-05-29</t>
        </is>
      </c>
    </row>
    <row r="12227">
      <c r="A12227" s="1" t="n">
        <v>12226</v>
      </c>
      <c r="B12227">
        <f>TEXT(12226, "[$-0E0000]yyyy-mm-dd")</f>
        <v/>
      </c>
      <c r="C12227" t="inlineStr">
        <is>
          <t>1933-05-30</t>
        </is>
      </c>
    </row>
    <row r="12228">
      <c r="A12228" s="1" t="n">
        <v>12227</v>
      </c>
      <c r="B12228">
        <f>TEXT(12227, "[$-0E0000]yyyy-mm-dd")</f>
        <v/>
      </c>
      <c r="C12228" t="inlineStr">
        <is>
          <t>1933-05-01</t>
        </is>
      </c>
    </row>
    <row r="12229">
      <c r="A12229" s="1" t="n">
        <v>12228</v>
      </c>
      <c r="B12229">
        <f>TEXT(12228, "[$-0E0000]yyyy-mm-dd")</f>
        <v/>
      </c>
      <c r="C12229" t="inlineStr">
        <is>
          <t>1933-05-02</t>
        </is>
      </c>
    </row>
    <row r="12230">
      <c r="A12230" s="1" t="n">
        <v>12229</v>
      </c>
      <c r="B12230">
        <f>TEXT(12229, "[$-0E0000]yyyy-mm-dd")</f>
        <v/>
      </c>
      <c r="C12230" t="inlineStr">
        <is>
          <t>1933-05-03</t>
        </is>
      </c>
    </row>
    <row r="12231">
      <c r="A12231" s="1" t="n">
        <v>12230</v>
      </c>
      <c r="B12231">
        <f>TEXT(12230, "[$-0E0000]yyyy-mm-dd")</f>
        <v/>
      </c>
      <c r="C12231" t="inlineStr">
        <is>
          <t>1933-05-04</t>
        </is>
      </c>
    </row>
    <row r="12232">
      <c r="A12232" s="1" t="n">
        <v>12231</v>
      </c>
      <c r="B12232">
        <f>TEXT(12231, "[$-0E0000]yyyy-mm-dd")</f>
        <v/>
      </c>
      <c r="C12232" t="inlineStr">
        <is>
          <t>1933-05-05</t>
        </is>
      </c>
    </row>
    <row r="12233">
      <c r="A12233" s="1" t="n">
        <v>12232</v>
      </c>
      <c r="B12233">
        <f>TEXT(12232, "[$-0E0000]yyyy-mm-dd")</f>
        <v/>
      </c>
      <c r="C12233" t="inlineStr">
        <is>
          <t>1933-05-06</t>
        </is>
      </c>
    </row>
    <row r="12234">
      <c r="A12234" s="1" t="n">
        <v>12233</v>
      </c>
      <c r="B12234">
        <f>TEXT(12233, "[$-0E0000]yyyy-mm-dd")</f>
        <v/>
      </c>
      <c r="C12234" t="inlineStr">
        <is>
          <t>1933-05-07</t>
        </is>
      </c>
    </row>
    <row r="12235">
      <c r="A12235" s="1" t="n">
        <v>12234</v>
      </c>
      <c r="B12235">
        <f>TEXT(12234, "[$-0E0000]yyyy-mm-dd")</f>
        <v/>
      </c>
      <c r="C12235" t="inlineStr">
        <is>
          <t>1933-05-08</t>
        </is>
      </c>
    </row>
    <row r="12236">
      <c r="A12236" s="1" t="n">
        <v>12235</v>
      </c>
      <c r="B12236">
        <f>TEXT(12235, "[$-0E0000]yyyy-mm-dd")</f>
        <v/>
      </c>
      <c r="C12236" t="inlineStr">
        <is>
          <t>1933-05-09</t>
        </is>
      </c>
    </row>
    <row r="12237">
      <c r="A12237" s="1" t="n">
        <v>12236</v>
      </c>
      <c r="B12237">
        <f>TEXT(12236, "[$-0E0000]yyyy-mm-dd")</f>
        <v/>
      </c>
      <c r="C12237" t="inlineStr">
        <is>
          <t>1933-05-10</t>
        </is>
      </c>
    </row>
    <row r="12238">
      <c r="A12238" s="1" t="n">
        <v>12237</v>
      </c>
      <c r="B12238">
        <f>TEXT(12237, "[$-0E0000]yyyy-mm-dd")</f>
        <v/>
      </c>
      <c r="C12238" t="inlineStr">
        <is>
          <t>1933-05-11</t>
        </is>
      </c>
    </row>
    <row r="12239">
      <c r="A12239" s="1" t="n">
        <v>12238</v>
      </c>
      <c r="B12239">
        <f>TEXT(12238, "[$-0E0000]yyyy-mm-dd")</f>
        <v/>
      </c>
      <c r="C12239" t="inlineStr">
        <is>
          <t>1933-05-12</t>
        </is>
      </c>
    </row>
    <row r="12240">
      <c r="A12240" s="1" t="n">
        <v>12239</v>
      </c>
      <c r="B12240">
        <f>TEXT(12239, "[$-0E0000]yyyy-mm-dd")</f>
        <v/>
      </c>
      <c r="C12240" t="inlineStr">
        <is>
          <t>1933-05-13</t>
        </is>
      </c>
    </row>
    <row r="12241">
      <c r="A12241" s="1" t="n">
        <v>12240</v>
      </c>
      <c r="B12241">
        <f>TEXT(12240, "[$-0E0000]yyyy-mm-dd")</f>
        <v/>
      </c>
      <c r="C12241" t="inlineStr">
        <is>
          <t>1933-05-14</t>
        </is>
      </c>
    </row>
    <row r="12242">
      <c r="A12242" s="1" t="n">
        <v>12241</v>
      </c>
      <c r="B12242">
        <f>TEXT(12241, "[$-0E0000]yyyy-mm-dd")</f>
        <v/>
      </c>
      <c r="C12242" t="inlineStr">
        <is>
          <t>1933-05-15</t>
        </is>
      </c>
    </row>
    <row r="12243">
      <c r="A12243" s="1" t="n">
        <v>12242</v>
      </c>
      <c r="B12243">
        <f>TEXT(12242, "[$-0E0000]yyyy-mm-dd")</f>
        <v/>
      </c>
      <c r="C12243" t="inlineStr">
        <is>
          <t>1933-05-16</t>
        </is>
      </c>
    </row>
    <row r="12244">
      <c r="A12244" s="1" t="n">
        <v>12243</v>
      </c>
      <c r="B12244">
        <f>TEXT(12243, "[$-0E0000]yyyy-mm-dd")</f>
        <v/>
      </c>
      <c r="C12244" t="inlineStr">
        <is>
          <t>1933-05-17</t>
        </is>
      </c>
    </row>
    <row r="12245">
      <c r="A12245" s="1" t="n">
        <v>12244</v>
      </c>
      <c r="B12245">
        <f>TEXT(12244, "[$-0E0000]yyyy-mm-dd")</f>
        <v/>
      </c>
      <c r="C12245" t="inlineStr">
        <is>
          <t>1933-05-18</t>
        </is>
      </c>
    </row>
    <row r="12246">
      <c r="A12246" s="1" t="n">
        <v>12245</v>
      </c>
      <c r="B12246">
        <f>TEXT(12245, "[$-0E0000]yyyy-mm-dd")</f>
        <v/>
      </c>
      <c r="C12246" t="inlineStr">
        <is>
          <t>1933-05-19</t>
        </is>
      </c>
    </row>
    <row r="12247">
      <c r="A12247" s="1" t="n">
        <v>12246</v>
      </c>
      <c r="B12247">
        <f>TEXT(12246, "[$-0E0000]yyyy-mm-dd")</f>
        <v/>
      </c>
      <c r="C12247" t="inlineStr">
        <is>
          <t>1933-05-20</t>
        </is>
      </c>
    </row>
    <row r="12248">
      <c r="A12248" s="1" t="n">
        <v>12247</v>
      </c>
      <c r="B12248">
        <f>TEXT(12247, "[$-0E0000]yyyy-mm-dd")</f>
        <v/>
      </c>
      <c r="C12248" t="inlineStr">
        <is>
          <t>1933-05-21</t>
        </is>
      </c>
    </row>
    <row r="12249">
      <c r="A12249" s="1" t="n">
        <v>12248</v>
      </c>
      <c r="B12249">
        <f>TEXT(12248, "[$-0E0000]yyyy-mm-dd")</f>
        <v/>
      </c>
      <c r="C12249" t="inlineStr">
        <is>
          <t>1933-05-22</t>
        </is>
      </c>
    </row>
    <row r="12250">
      <c r="A12250" s="1" t="n">
        <v>12249</v>
      </c>
      <c r="B12250">
        <f>TEXT(12249, "[$-0E0000]yyyy-mm-dd")</f>
        <v/>
      </c>
      <c r="C12250" t="inlineStr">
        <is>
          <t>1933-05-23</t>
        </is>
      </c>
    </row>
    <row r="12251">
      <c r="A12251" s="1" t="n">
        <v>12250</v>
      </c>
      <c r="B12251">
        <f>TEXT(12250, "[$-0E0000]yyyy-mm-dd")</f>
        <v/>
      </c>
      <c r="C12251" t="inlineStr">
        <is>
          <t>1933-05-24</t>
        </is>
      </c>
    </row>
    <row r="12252">
      <c r="A12252" s="1" t="n">
        <v>12251</v>
      </c>
      <c r="B12252">
        <f>TEXT(12251, "[$-0E0000]yyyy-mm-dd")</f>
        <v/>
      </c>
      <c r="C12252" t="inlineStr">
        <is>
          <t>1933-05-25</t>
        </is>
      </c>
    </row>
    <row r="12253">
      <c r="A12253" s="1" t="n">
        <v>12252</v>
      </c>
      <c r="B12253">
        <f>TEXT(12252, "[$-0E0000]yyyy-mm-dd")</f>
        <v/>
      </c>
      <c r="C12253" t="inlineStr">
        <is>
          <t>1933-05-26</t>
        </is>
      </c>
    </row>
    <row r="12254">
      <c r="A12254" s="1" t="n">
        <v>12253</v>
      </c>
      <c r="B12254">
        <f>TEXT(12253, "[$-0E0000]yyyy-mm-dd")</f>
        <v/>
      </c>
      <c r="C12254" t="inlineStr">
        <is>
          <t>1933-05-27</t>
        </is>
      </c>
    </row>
    <row r="12255">
      <c r="A12255" s="1" t="n">
        <v>12254</v>
      </c>
      <c r="B12255">
        <f>TEXT(12254, "[$-0E0000]yyyy-mm-dd")</f>
        <v/>
      </c>
      <c r="C12255" t="inlineStr">
        <is>
          <t>1933-05-28</t>
        </is>
      </c>
    </row>
    <row r="12256">
      <c r="A12256" s="1" t="n">
        <v>12255</v>
      </c>
      <c r="B12256">
        <f>TEXT(12255, "[$-0E0000]yyyy-mm-dd")</f>
        <v/>
      </c>
      <c r="C12256" t="inlineStr">
        <is>
          <t>1933-05-29</t>
        </is>
      </c>
    </row>
    <row r="12257">
      <c r="A12257" s="1" t="n">
        <v>12256</v>
      </c>
      <c r="B12257">
        <f>TEXT(12256, "[$-0E0000]yyyy-mm-dd")</f>
        <v/>
      </c>
      <c r="C12257" t="inlineStr">
        <is>
          <t>1933-05-30</t>
        </is>
      </c>
    </row>
    <row r="12258">
      <c r="A12258" s="1" t="n">
        <v>12257</v>
      </c>
      <c r="B12258">
        <f>TEXT(12257, "[$-0E0000]yyyy-mm-dd")</f>
        <v/>
      </c>
      <c r="C12258" t="inlineStr">
        <is>
          <t>1933-06-01</t>
        </is>
      </c>
    </row>
    <row r="12259">
      <c r="A12259" s="1" t="n">
        <v>12258</v>
      </c>
      <c r="B12259">
        <f>TEXT(12258, "[$-0E0000]yyyy-mm-dd")</f>
        <v/>
      </c>
      <c r="C12259" t="inlineStr">
        <is>
          <t>1933-06-02</t>
        </is>
      </c>
    </row>
    <row r="12260">
      <c r="A12260" s="1" t="n">
        <v>12259</v>
      </c>
      <c r="B12260">
        <f>TEXT(12259, "[$-0E0000]yyyy-mm-dd")</f>
        <v/>
      </c>
      <c r="C12260" t="inlineStr">
        <is>
          <t>1933-06-03</t>
        </is>
      </c>
    </row>
    <row r="12261">
      <c r="A12261" s="1" t="n">
        <v>12260</v>
      </c>
      <c r="B12261">
        <f>TEXT(12260, "[$-0E0000]yyyy-mm-dd")</f>
        <v/>
      </c>
      <c r="C12261" t="inlineStr">
        <is>
          <t>1933-06-04</t>
        </is>
      </c>
    </row>
    <row r="12262">
      <c r="A12262" s="1" t="n">
        <v>12261</v>
      </c>
      <c r="B12262">
        <f>TEXT(12261, "[$-0E0000]yyyy-mm-dd")</f>
        <v/>
      </c>
      <c r="C12262" t="inlineStr">
        <is>
          <t>1933-06-05</t>
        </is>
      </c>
    </row>
    <row r="12263">
      <c r="A12263" s="1" t="n">
        <v>12262</v>
      </c>
      <c r="B12263">
        <f>TEXT(12262, "[$-0E0000]yyyy-mm-dd")</f>
        <v/>
      </c>
      <c r="C12263" t="inlineStr">
        <is>
          <t>1933-06-06</t>
        </is>
      </c>
    </row>
    <row r="12264">
      <c r="A12264" s="1" t="n">
        <v>12263</v>
      </c>
      <c r="B12264">
        <f>TEXT(12263, "[$-0E0000]yyyy-mm-dd")</f>
        <v/>
      </c>
      <c r="C12264" t="inlineStr">
        <is>
          <t>1933-06-07</t>
        </is>
      </c>
    </row>
    <row r="12265">
      <c r="A12265" s="1" t="n">
        <v>12264</v>
      </c>
      <c r="B12265">
        <f>TEXT(12264, "[$-0E0000]yyyy-mm-dd")</f>
        <v/>
      </c>
      <c r="C12265" t="inlineStr">
        <is>
          <t>1933-06-08</t>
        </is>
      </c>
    </row>
    <row r="12266">
      <c r="A12266" s="1" t="n">
        <v>12265</v>
      </c>
      <c r="B12266">
        <f>TEXT(12265, "[$-0E0000]yyyy-mm-dd")</f>
        <v/>
      </c>
      <c r="C12266" t="inlineStr">
        <is>
          <t>1933-06-09</t>
        </is>
      </c>
    </row>
    <row r="12267">
      <c r="A12267" s="1" t="n">
        <v>12266</v>
      </c>
      <c r="B12267">
        <f>TEXT(12266, "[$-0E0000]yyyy-mm-dd")</f>
        <v/>
      </c>
      <c r="C12267" t="inlineStr">
        <is>
          <t>1933-06-10</t>
        </is>
      </c>
    </row>
    <row r="12268">
      <c r="A12268" s="1" t="n">
        <v>12267</v>
      </c>
      <c r="B12268">
        <f>TEXT(12267, "[$-0E0000]yyyy-mm-dd")</f>
        <v/>
      </c>
      <c r="C12268" t="inlineStr">
        <is>
          <t>1933-06-11</t>
        </is>
      </c>
    </row>
    <row r="12269">
      <c r="A12269" s="1" t="n">
        <v>12268</v>
      </c>
      <c r="B12269">
        <f>TEXT(12268, "[$-0E0000]yyyy-mm-dd")</f>
        <v/>
      </c>
      <c r="C12269" t="inlineStr">
        <is>
          <t>1933-06-12</t>
        </is>
      </c>
    </row>
    <row r="12270">
      <c r="A12270" s="1" t="n">
        <v>12269</v>
      </c>
      <c r="B12270">
        <f>TEXT(12269, "[$-0E0000]yyyy-mm-dd")</f>
        <v/>
      </c>
      <c r="C12270" t="inlineStr">
        <is>
          <t>1933-06-13</t>
        </is>
      </c>
    </row>
    <row r="12271">
      <c r="A12271" s="1" t="n">
        <v>12270</v>
      </c>
      <c r="B12271">
        <f>TEXT(12270, "[$-0E0000]yyyy-mm-dd")</f>
        <v/>
      </c>
      <c r="C12271" t="inlineStr">
        <is>
          <t>1933-06-14</t>
        </is>
      </c>
    </row>
    <row r="12272">
      <c r="A12272" s="1" t="n">
        <v>12271</v>
      </c>
      <c r="B12272">
        <f>TEXT(12271, "[$-0E0000]yyyy-mm-dd")</f>
        <v/>
      </c>
      <c r="C12272" t="inlineStr">
        <is>
          <t>1933-06-15</t>
        </is>
      </c>
    </row>
    <row r="12273">
      <c r="A12273" s="1" t="n">
        <v>12272</v>
      </c>
      <c r="B12273">
        <f>TEXT(12272, "[$-0E0000]yyyy-mm-dd")</f>
        <v/>
      </c>
      <c r="C12273" t="inlineStr">
        <is>
          <t>1933-06-16</t>
        </is>
      </c>
    </row>
    <row r="12274">
      <c r="A12274" s="1" t="n">
        <v>12273</v>
      </c>
      <c r="B12274">
        <f>TEXT(12273, "[$-0E0000]yyyy-mm-dd")</f>
        <v/>
      </c>
      <c r="C12274" t="inlineStr">
        <is>
          <t>1933-06-17</t>
        </is>
      </c>
    </row>
    <row r="12275">
      <c r="A12275" s="1" t="n">
        <v>12274</v>
      </c>
      <c r="B12275">
        <f>TEXT(12274, "[$-0E0000]yyyy-mm-dd")</f>
        <v/>
      </c>
      <c r="C12275" t="inlineStr">
        <is>
          <t>1933-06-18</t>
        </is>
      </c>
    </row>
    <row r="12276">
      <c r="A12276" s="1" t="n">
        <v>12275</v>
      </c>
      <c r="B12276">
        <f>TEXT(12275, "[$-0E0000]yyyy-mm-dd")</f>
        <v/>
      </c>
      <c r="C12276" t="inlineStr">
        <is>
          <t>1933-06-19</t>
        </is>
      </c>
    </row>
    <row r="12277">
      <c r="A12277" s="1" t="n">
        <v>12276</v>
      </c>
      <c r="B12277">
        <f>TEXT(12276, "[$-0E0000]yyyy-mm-dd")</f>
        <v/>
      </c>
      <c r="C12277" t="inlineStr">
        <is>
          <t>1933-06-20</t>
        </is>
      </c>
    </row>
    <row r="12278">
      <c r="A12278" s="1" t="n">
        <v>12277</v>
      </c>
      <c r="B12278">
        <f>TEXT(12277, "[$-0E0000]yyyy-mm-dd")</f>
        <v/>
      </c>
      <c r="C12278" t="inlineStr">
        <is>
          <t>1933-06-21</t>
        </is>
      </c>
    </row>
    <row r="12279">
      <c r="A12279" s="1" t="n">
        <v>12278</v>
      </c>
      <c r="B12279">
        <f>TEXT(12278, "[$-0E0000]yyyy-mm-dd")</f>
        <v/>
      </c>
      <c r="C12279" t="inlineStr">
        <is>
          <t>1933-06-22</t>
        </is>
      </c>
    </row>
    <row r="12280">
      <c r="A12280" s="1" t="n">
        <v>12279</v>
      </c>
      <c r="B12280">
        <f>TEXT(12279, "[$-0E0000]yyyy-mm-dd")</f>
        <v/>
      </c>
      <c r="C12280" t="inlineStr">
        <is>
          <t>1933-06-23</t>
        </is>
      </c>
    </row>
    <row r="12281">
      <c r="A12281" s="1" t="n">
        <v>12280</v>
      </c>
      <c r="B12281">
        <f>TEXT(12280, "[$-0E0000]yyyy-mm-dd")</f>
        <v/>
      </c>
      <c r="C12281" t="inlineStr">
        <is>
          <t>1933-06-24</t>
        </is>
      </c>
    </row>
    <row r="12282">
      <c r="A12282" s="1" t="n">
        <v>12281</v>
      </c>
      <c r="B12282">
        <f>TEXT(12281, "[$-0E0000]yyyy-mm-dd")</f>
        <v/>
      </c>
      <c r="C12282" t="inlineStr">
        <is>
          <t>1933-06-25</t>
        </is>
      </c>
    </row>
    <row r="12283">
      <c r="A12283" s="1" t="n">
        <v>12282</v>
      </c>
      <c r="B12283">
        <f>TEXT(12282, "[$-0E0000]yyyy-mm-dd")</f>
        <v/>
      </c>
      <c r="C12283" t="inlineStr">
        <is>
          <t>1933-06-26</t>
        </is>
      </c>
    </row>
    <row r="12284">
      <c r="A12284" s="1" t="n">
        <v>12283</v>
      </c>
      <c r="B12284">
        <f>TEXT(12283, "[$-0E0000]yyyy-mm-dd")</f>
        <v/>
      </c>
      <c r="C12284" t="inlineStr">
        <is>
          <t>1933-06-27</t>
        </is>
      </c>
    </row>
    <row r="12285">
      <c r="A12285" s="1" t="n">
        <v>12284</v>
      </c>
      <c r="B12285">
        <f>TEXT(12284, "[$-0E0000]yyyy-mm-dd")</f>
        <v/>
      </c>
      <c r="C12285" t="inlineStr">
        <is>
          <t>1933-06-28</t>
        </is>
      </c>
    </row>
    <row r="12286">
      <c r="A12286" s="1" t="n">
        <v>12285</v>
      </c>
      <c r="B12286">
        <f>TEXT(12285, "[$-0E0000]yyyy-mm-dd")</f>
        <v/>
      </c>
      <c r="C12286" t="inlineStr">
        <is>
          <t>1933-06-29</t>
        </is>
      </c>
    </row>
    <row r="12287">
      <c r="A12287" s="1" t="n">
        <v>12286</v>
      </c>
      <c r="B12287">
        <f>TEXT(12286, "[$-0E0000]yyyy-mm-dd")</f>
        <v/>
      </c>
      <c r="C12287" t="inlineStr">
        <is>
          <t>1933-07-01</t>
        </is>
      </c>
    </row>
    <row r="12288">
      <c r="A12288" s="1" t="n">
        <v>12287</v>
      </c>
      <c r="B12288">
        <f>TEXT(12287, "[$-0E0000]yyyy-mm-dd")</f>
        <v/>
      </c>
      <c r="C12288" t="inlineStr">
        <is>
          <t>1933-07-02</t>
        </is>
      </c>
    </row>
    <row r="12289">
      <c r="A12289" s="1" t="n">
        <v>12288</v>
      </c>
      <c r="B12289">
        <f>TEXT(12288, "[$-0E0000]yyyy-mm-dd")</f>
        <v/>
      </c>
      <c r="C12289" t="inlineStr">
        <is>
          <t>1933-07-03</t>
        </is>
      </c>
    </row>
    <row r="12290">
      <c r="A12290" s="1" t="n">
        <v>12289</v>
      </c>
      <c r="B12290">
        <f>TEXT(12289, "[$-0E0000]yyyy-mm-dd")</f>
        <v/>
      </c>
      <c r="C12290" t="inlineStr">
        <is>
          <t>1933-07-04</t>
        </is>
      </c>
    </row>
    <row r="12291">
      <c r="A12291" s="1" t="n">
        <v>12290</v>
      </c>
      <c r="B12291">
        <f>TEXT(12290, "[$-0E0000]yyyy-mm-dd")</f>
        <v/>
      </c>
      <c r="C12291" t="inlineStr">
        <is>
          <t>1933-07-05</t>
        </is>
      </c>
    </row>
    <row r="12292">
      <c r="A12292" s="1" t="n">
        <v>12291</v>
      </c>
      <c r="B12292">
        <f>TEXT(12291, "[$-0E0000]yyyy-mm-dd")</f>
        <v/>
      </c>
      <c r="C12292" t="inlineStr">
        <is>
          <t>1933-07-06</t>
        </is>
      </c>
    </row>
    <row r="12293">
      <c r="A12293" s="1" t="n">
        <v>12292</v>
      </c>
      <c r="B12293">
        <f>TEXT(12292, "[$-0E0000]yyyy-mm-dd")</f>
        <v/>
      </c>
      <c r="C12293" t="inlineStr">
        <is>
          <t>1933-07-07</t>
        </is>
      </c>
    </row>
    <row r="12294">
      <c r="A12294" s="1" t="n">
        <v>12293</v>
      </c>
      <c r="B12294">
        <f>TEXT(12293, "[$-0E0000]yyyy-mm-dd")</f>
        <v/>
      </c>
      <c r="C12294" t="inlineStr">
        <is>
          <t>1933-07-08</t>
        </is>
      </c>
    </row>
    <row r="12295">
      <c r="A12295" s="1" t="n">
        <v>12294</v>
      </c>
      <c r="B12295">
        <f>TEXT(12294, "[$-0E0000]yyyy-mm-dd")</f>
        <v/>
      </c>
      <c r="C12295" t="inlineStr">
        <is>
          <t>1933-07-09</t>
        </is>
      </c>
    </row>
    <row r="12296">
      <c r="A12296" s="1" t="n">
        <v>12295</v>
      </c>
      <c r="B12296">
        <f>TEXT(12295, "[$-0E0000]yyyy-mm-dd")</f>
        <v/>
      </c>
      <c r="C12296" t="inlineStr">
        <is>
          <t>1933-07-10</t>
        </is>
      </c>
    </row>
    <row r="12297">
      <c r="A12297" s="1" t="n">
        <v>12296</v>
      </c>
      <c r="B12297">
        <f>TEXT(12296, "[$-0E0000]yyyy-mm-dd")</f>
        <v/>
      </c>
      <c r="C12297" t="inlineStr">
        <is>
          <t>1933-07-11</t>
        </is>
      </c>
    </row>
    <row r="12298">
      <c r="A12298" s="1" t="n">
        <v>12297</v>
      </c>
      <c r="B12298">
        <f>TEXT(12297, "[$-0E0000]yyyy-mm-dd")</f>
        <v/>
      </c>
      <c r="C12298" t="inlineStr">
        <is>
          <t>1933-07-12</t>
        </is>
      </c>
    </row>
    <row r="12299">
      <c r="A12299" s="1" t="n">
        <v>12298</v>
      </c>
      <c r="B12299">
        <f>TEXT(12298, "[$-0E0000]yyyy-mm-dd")</f>
        <v/>
      </c>
      <c r="C12299" t="inlineStr">
        <is>
          <t>1933-07-13</t>
        </is>
      </c>
    </row>
    <row r="12300">
      <c r="A12300" s="1" t="n">
        <v>12299</v>
      </c>
      <c r="B12300">
        <f>TEXT(12299, "[$-0E0000]yyyy-mm-dd")</f>
        <v/>
      </c>
      <c r="C12300" t="inlineStr">
        <is>
          <t>1933-07-14</t>
        </is>
      </c>
    </row>
    <row r="12301">
      <c r="A12301" s="1" t="n">
        <v>12300</v>
      </c>
      <c r="B12301">
        <f>TEXT(12300, "[$-0E0000]yyyy-mm-dd")</f>
        <v/>
      </c>
      <c r="C12301" t="inlineStr">
        <is>
          <t>1933-07-15</t>
        </is>
      </c>
    </row>
    <row r="12302">
      <c r="A12302" s="1" t="n">
        <v>12301</v>
      </c>
      <c r="B12302">
        <f>TEXT(12301, "[$-0E0000]yyyy-mm-dd")</f>
        <v/>
      </c>
      <c r="C12302" t="inlineStr">
        <is>
          <t>1933-07-16</t>
        </is>
      </c>
    </row>
    <row r="12303">
      <c r="A12303" s="1" t="n">
        <v>12302</v>
      </c>
      <c r="B12303">
        <f>TEXT(12302, "[$-0E0000]yyyy-mm-dd")</f>
        <v/>
      </c>
      <c r="C12303" t="inlineStr">
        <is>
          <t>1933-07-17</t>
        </is>
      </c>
    </row>
    <row r="12304">
      <c r="A12304" s="1" t="n">
        <v>12303</v>
      </c>
      <c r="B12304">
        <f>TEXT(12303, "[$-0E0000]yyyy-mm-dd")</f>
        <v/>
      </c>
      <c r="C12304" t="inlineStr">
        <is>
          <t>1933-07-18</t>
        </is>
      </c>
    </row>
    <row r="12305">
      <c r="A12305" s="1" t="n">
        <v>12304</v>
      </c>
      <c r="B12305">
        <f>TEXT(12304, "[$-0E0000]yyyy-mm-dd")</f>
        <v/>
      </c>
      <c r="C12305" t="inlineStr">
        <is>
          <t>1933-07-19</t>
        </is>
      </c>
    </row>
    <row r="12306">
      <c r="A12306" s="1" t="n">
        <v>12305</v>
      </c>
      <c r="B12306">
        <f>TEXT(12305, "[$-0E0000]yyyy-mm-dd")</f>
        <v/>
      </c>
      <c r="C12306" t="inlineStr">
        <is>
          <t>1933-07-20</t>
        </is>
      </c>
    </row>
    <row r="12307">
      <c r="A12307" s="1" t="n">
        <v>12306</v>
      </c>
      <c r="B12307">
        <f>TEXT(12306, "[$-0E0000]yyyy-mm-dd")</f>
        <v/>
      </c>
      <c r="C12307" t="inlineStr">
        <is>
          <t>1933-07-21</t>
        </is>
      </c>
    </row>
    <row r="12308">
      <c r="A12308" s="1" t="n">
        <v>12307</v>
      </c>
      <c r="B12308">
        <f>TEXT(12307, "[$-0E0000]yyyy-mm-dd")</f>
        <v/>
      </c>
      <c r="C12308" t="inlineStr">
        <is>
          <t>1933-07-22</t>
        </is>
      </c>
    </row>
    <row r="12309">
      <c r="A12309" s="1" t="n">
        <v>12308</v>
      </c>
      <c r="B12309">
        <f>TEXT(12308, "[$-0E0000]yyyy-mm-dd")</f>
        <v/>
      </c>
      <c r="C12309" t="inlineStr">
        <is>
          <t>1933-07-23</t>
        </is>
      </c>
    </row>
    <row r="12310">
      <c r="A12310" s="1" t="n">
        <v>12309</v>
      </c>
      <c r="B12310">
        <f>TEXT(12309, "[$-0E0000]yyyy-mm-dd")</f>
        <v/>
      </c>
      <c r="C12310" t="inlineStr">
        <is>
          <t>1933-07-24</t>
        </is>
      </c>
    </row>
    <row r="12311">
      <c r="A12311" s="1" t="n">
        <v>12310</v>
      </c>
      <c r="B12311">
        <f>TEXT(12310, "[$-0E0000]yyyy-mm-dd")</f>
        <v/>
      </c>
      <c r="C12311" t="inlineStr">
        <is>
          <t>1933-07-25</t>
        </is>
      </c>
    </row>
    <row r="12312">
      <c r="A12312" s="1" t="n">
        <v>12311</v>
      </c>
      <c r="B12312">
        <f>TEXT(12311, "[$-0E0000]yyyy-mm-dd")</f>
        <v/>
      </c>
      <c r="C12312" t="inlineStr">
        <is>
          <t>1933-07-26</t>
        </is>
      </c>
    </row>
    <row r="12313">
      <c r="A12313" s="1" t="n">
        <v>12312</v>
      </c>
      <c r="B12313">
        <f>TEXT(12312, "[$-0E0000]yyyy-mm-dd")</f>
        <v/>
      </c>
      <c r="C12313" t="inlineStr">
        <is>
          <t>1933-07-27</t>
        </is>
      </c>
    </row>
    <row r="12314">
      <c r="A12314" s="1" t="n">
        <v>12313</v>
      </c>
      <c r="B12314">
        <f>TEXT(12313, "[$-0E0000]yyyy-mm-dd")</f>
        <v/>
      </c>
      <c r="C12314" t="inlineStr">
        <is>
          <t>1933-07-28</t>
        </is>
      </c>
    </row>
    <row r="12315">
      <c r="A12315" s="1" t="n">
        <v>12314</v>
      </c>
      <c r="B12315">
        <f>TEXT(12314, "[$-0E0000]yyyy-mm-dd")</f>
        <v/>
      </c>
      <c r="C12315" t="inlineStr">
        <is>
          <t>1933-07-29</t>
        </is>
      </c>
    </row>
    <row r="12316">
      <c r="A12316" s="1" t="n">
        <v>12315</v>
      </c>
      <c r="B12316">
        <f>TEXT(12315, "[$-0E0000]yyyy-mm-dd")</f>
        <v/>
      </c>
      <c r="C12316" t="inlineStr">
        <is>
          <t>1933-07-30</t>
        </is>
      </c>
    </row>
    <row r="12317">
      <c r="A12317" s="1" t="n">
        <v>12316</v>
      </c>
      <c r="B12317">
        <f>TEXT(12316, "[$-0E0000]yyyy-mm-dd")</f>
        <v/>
      </c>
      <c r="C12317" t="inlineStr">
        <is>
          <t>1933-08-01</t>
        </is>
      </c>
    </row>
    <row r="12318">
      <c r="A12318" s="1" t="n">
        <v>12317</v>
      </c>
      <c r="B12318">
        <f>TEXT(12317, "[$-0E0000]yyyy-mm-dd")</f>
        <v/>
      </c>
      <c r="C12318" t="inlineStr">
        <is>
          <t>1933-08-02</t>
        </is>
      </c>
    </row>
    <row r="12319">
      <c r="A12319" s="1" t="n">
        <v>12318</v>
      </c>
      <c r="B12319">
        <f>TEXT(12318, "[$-0E0000]yyyy-mm-dd")</f>
        <v/>
      </c>
      <c r="C12319" t="inlineStr">
        <is>
          <t>1933-08-03</t>
        </is>
      </c>
    </row>
    <row r="12320">
      <c r="A12320" s="1" t="n">
        <v>12319</v>
      </c>
      <c r="B12320">
        <f>TEXT(12319, "[$-0E0000]yyyy-mm-dd")</f>
        <v/>
      </c>
      <c r="C12320" t="inlineStr">
        <is>
          <t>1933-08-04</t>
        </is>
      </c>
    </row>
    <row r="12321">
      <c r="A12321" s="1" t="n">
        <v>12320</v>
      </c>
      <c r="B12321">
        <f>TEXT(12320, "[$-0E0000]yyyy-mm-dd")</f>
        <v/>
      </c>
      <c r="C12321" t="inlineStr">
        <is>
          <t>1933-08-05</t>
        </is>
      </c>
    </row>
    <row r="12322">
      <c r="A12322" s="1" t="n">
        <v>12321</v>
      </c>
      <c r="B12322">
        <f>TEXT(12321, "[$-0E0000]yyyy-mm-dd")</f>
        <v/>
      </c>
      <c r="C12322" t="inlineStr">
        <is>
          <t>1933-08-06</t>
        </is>
      </c>
    </row>
    <row r="12323">
      <c r="A12323" s="1" t="n">
        <v>12322</v>
      </c>
      <c r="B12323">
        <f>TEXT(12322, "[$-0E0000]yyyy-mm-dd")</f>
        <v/>
      </c>
      <c r="C12323" t="inlineStr">
        <is>
          <t>1933-08-07</t>
        </is>
      </c>
    </row>
    <row r="12324">
      <c r="A12324" s="1" t="n">
        <v>12323</v>
      </c>
      <c r="B12324">
        <f>TEXT(12323, "[$-0E0000]yyyy-mm-dd")</f>
        <v/>
      </c>
      <c r="C12324" t="inlineStr">
        <is>
          <t>1933-08-08</t>
        </is>
      </c>
    </row>
    <row r="12325">
      <c r="A12325" s="1" t="n">
        <v>12324</v>
      </c>
      <c r="B12325">
        <f>TEXT(12324, "[$-0E0000]yyyy-mm-dd")</f>
        <v/>
      </c>
      <c r="C12325" t="inlineStr">
        <is>
          <t>1933-08-09</t>
        </is>
      </c>
    </row>
    <row r="12326">
      <c r="A12326" s="1" t="n">
        <v>12325</v>
      </c>
      <c r="B12326">
        <f>TEXT(12325, "[$-0E0000]yyyy-mm-dd")</f>
        <v/>
      </c>
      <c r="C12326" t="inlineStr">
        <is>
          <t>1933-08-10</t>
        </is>
      </c>
    </row>
    <row r="12327">
      <c r="A12327" s="1" t="n">
        <v>12326</v>
      </c>
      <c r="B12327">
        <f>TEXT(12326, "[$-0E0000]yyyy-mm-dd")</f>
        <v/>
      </c>
      <c r="C12327" t="inlineStr">
        <is>
          <t>1933-08-11</t>
        </is>
      </c>
    </row>
    <row r="12328">
      <c r="A12328" s="1" t="n">
        <v>12327</v>
      </c>
      <c r="B12328">
        <f>TEXT(12327, "[$-0E0000]yyyy-mm-dd")</f>
        <v/>
      </c>
      <c r="C12328" t="inlineStr">
        <is>
          <t>1933-08-12</t>
        </is>
      </c>
    </row>
    <row r="12329">
      <c r="A12329" s="1" t="n">
        <v>12328</v>
      </c>
      <c r="B12329">
        <f>TEXT(12328, "[$-0E0000]yyyy-mm-dd")</f>
        <v/>
      </c>
      <c r="C12329" t="inlineStr">
        <is>
          <t>1933-08-13</t>
        </is>
      </c>
    </row>
    <row r="12330">
      <c r="A12330" s="1" t="n">
        <v>12329</v>
      </c>
      <c r="B12330">
        <f>TEXT(12329, "[$-0E0000]yyyy-mm-dd")</f>
        <v/>
      </c>
      <c r="C12330" t="inlineStr">
        <is>
          <t>1933-08-14</t>
        </is>
      </c>
    </row>
    <row r="12331">
      <c r="A12331" s="1" t="n">
        <v>12330</v>
      </c>
      <c r="B12331">
        <f>TEXT(12330, "[$-0E0000]yyyy-mm-dd")</f>
        <v/>
      </c>
      <c r="C12331" t="inlineStr">
        <is>
          <t>1933-08-15</t>
        </is>
      </c>
    </row>
    <row r="12332">
      <c r="A12332" s="1" t="n">
        <v>12331</v>
      </c>
      <c r="B12332">
        <f>TEXT(12331, "[$-0E0000]yyyy-mm-dd")</f>
        <v/>
      </c>
      <c r="C12332" t="inlineStr">
        <is>
          <t>1933-08-16</t>
        </is>
      </c>
    </row>
    <row r="12333">
      <c r="A12333" s="1" t="n">
        <v>12332</v>
      </c>
      <c r="B12333">
        <f>TEXT(12332, "[$-0E0000]yyyy-mm-dd")</f>
        <v/>
      </c>
      <c r="C12333" t="inlineStr">
        <is>
          <t>1933-08-17</t>
        </is>
      </c>
    </row>
    <row r="12334">
      <c r="A12334" s="1" t="n">
        <v>12333</v>
      </c>
      <c r="B12334">
        <f>TEXT(12333, "[$-0E0000]yyyy-mm-dd")</f>
        <v/>
      </c>
      <c r="C12334" t="inlineStr">
        <is>
          <t>1933-08-18</t>
        </is>
      </c>
    </row>
    <row r="12335">
      <c r="A12335" s="1" t="n">
        <v>12334</v>
      </c>
      <c r="B12335">
        <f>TEXT(12334, "[$-0E0000]yyyy-mm-dd")</f>
        <v/>
      </c>
      <c r="C12335" t="inlineStr">
        <is>
          <t>1933-08-19</t>
        </is>
      </c>
    </row>
    <row r="12336">
      <c r="A12336" s="1" t="n">
        <v>12335</v>
      </c>
      <c r="B12336">
        <f>TEXT(12335, "[$-0E0000]yyyy-mm-dd")</f>
        <v/>
      </c>
      <c r="C12336" t="inlineStr">
        <is>
          <t>1933-08-20</t>
        </is>
      </c>
    </row>
    <row r="12337">
      <c r="A12337" s="1" t="n">
        <v>12336</v>
      </c>
      <c r="B12337">
        <f>TEXT(12336, "[$-0E0000]yyyy-mm-dd")</f>
        <v/>
      </c>
      <c r="C12337" t="inlineStr">
        <is>
          <t>1933-08-21</t>
        </is>
      </c>
    </row>
    <row r="12338">
      <c r="A12338" s="1" t="n">
        <v>12337</v>
      </c>
      <c r="B12338">
        <f>TEXT(12337, "[$-0E0000]yyyy-mm-dd")</f>
        <v/>
      </c>
      <c r="C12338" t="inlineStr">
        <is>
          <t>1933-08-22</t>
        </is>
      </c>
    </row>
    <row r="12339">
      <c r="A12339" s="1" t="n">
        <v>12338</v>
      </c>
      <c r="B12339">
        <f>TEXT(12338, "[$-0E0000]yyyy-mm-dd")</f>
        <v/>
      </c>
      <c r="C12339" t="inlineStr">
        <is>
          <t>1933-08-23</t>
        </is>
      </c>
    </row>
    <row r="12340">
      <c r="A12340" s="1" t="n">
        <v>12339</v>
      </c>
      <c r="B12340">
        <f>TEXT(12339, "[$-0E0000]yyyy-mm-dd")</f>
        <v/>
      </c>
      <c r="C12340" t="inlineStr">
        <is>
          <t>1933-08-24</t>
        </is>
      </c>
    </row>
    <row r="12341">
      <c r="A12341" s="1" t="n">
        <v>12340</v>
      </c>
      <c r="B12341">
        <f>TEXT(12340, "[$-0E0000]yyyy-mm-dd")</f>
        <v/>
      </c>
      <c r="C12341" t="inlineStr">
        <is>
          <t>1933-08-25</t>
        </is>
      </c>
    </row>
    <row r="12342">
      <c r="A12342" s="1" t="n">
        <v>12341</v>
      </c>
      <c r="B12342">
        <f>TEXT(12341, "[$-0E0000]yyyy-mm-dd")</f>
        <v/>
      </c>
      <c r="C12342" t="inlineStr">
        <is>
          <t>1933-08-26</t>
        </is>
      </c>
    </row>
    <row r="12343">
      <c r="A12343" s="1" t="n">
        <v>12342</v>
      </c>
      <c r="B12343">
        <f>TEXT(12342, "[$-0E0000]yyyy-mm-dd")</f>
        <v/>
      </c>
      <c r="C12343" t="inlineStr">
        <is>
          <t>1933-08-27</t>
        </is>
      </c>
    </row>
    <row r="12344">
      <c r="A12344" s="1" t="n">
        <v>12343</v>
      </c>
      <c r="B12344">
        <f>TEXT(12343, "[$-0E0000]yyyy-mm-dd")</f>
        <v/>
      </c>
      <c r="C12344" t="inlineStr">
        <is>
          <t>1933-08-28</t>
        </is>
      </c>
    </row>
    <row r="12345">
      <c r="A12345" s="1" t="n">
        <v>12344</v>
      </c>
      <c r="B12345">
        <f>TEXT(12344, "[$-0E0000]yyyy-mm-dd")</f>
        <v/>
      </c>
      <c r="C12345" t="inlineStr">
        <is>
          <t>1933-08-29</t>
        </is>
      </c>
    </row>
    <row r="12346">
      <c r="A12346" s="1" t="n">
        <v>12345</v>
      </c>
      <c r="B12346">
        <f>TEXT(12345, "[$-0E0000]yyyy-mm-dd")</f>
        <v/>
      </c>
      <c r="C12346" t="inlineStr">
        <is>
          <t>1933-09-01</t>
        </is>
      </c>
    </row>
    <row r="12347">
      <c r="A12347" s="1" t="n">
        <v>12346</v>
      </c>
      <c r="B12347">
        <f>TEXT(12346, "[$-0E0000]yyyy-mm-dd")</f>
        <v/>
      </c>
      <c r="C12347" t="inlineStr">
        <is>
          <t>1933-09-02</t>
        </is>
      </c>
    </row>
    <row r="12348">
      <c r="A12348" s="1" t="n">
        <v>12347</v>
      </c>
      <c r="B12348">
        <f>TEXT(12347, "[$-0E0000]yyyy-mm-dd")</f>
        <v/>
      </c>
      <c r="C12348" t="inlineStr">
        <is>
          <t>1933-09-03</t>
        </is>
      </c>
    </row>
    <row r="12349">
      <c r="A12349" s="1" t="n">
        <v>12348</v>
      </c>
      <c r="B12349">
        <f>TEXT(12348, "[$-0E0000]yyyy-mm-dd")</f>
        <v/>
      </c>
      <c r="C12349" t="inlineStr">
        <is>
          <t>1933-09-04</t>
        </is>
      </c>
    </row>
    <row r="12350">
      <c r="A12350" s="1" t="n">
        <v>12349</v>
      </c>
      <c r="B12350">
        <f>TEXT(12349, "[$-0E0000]yyyy-mm-dd")</f>
        <v/>
      </c>
      <c r="C12350" t="inlineStr">
        <is>
          <t>1933-09-05</t>
        </is>
      </c>
    </row>
    <row r="12351">
      <c r="A12351" s="1" t="n">
        <v>12350</v>
      </c>
      <c r="B12351">
        <f>TEXT(12350, "[$-0E0000]yyyy-mm-dd")</f>
        <v/>
      </c>
      <c r="C12351" t="inlineStr">
        <is>
          <t>1933-09-06</t>
        </is>
      </c>
    </row>
    <row r="12352">
      <c r="A12352" s="1" t="n">
        <v>12351</v>
      </c>
      <c r="B12352">
        <f>TEXT(12351, "[$-0E0000]yyyy-mm-dd")</f>
        <v/>
      </c>
      <c r="C12352" t="inlineStr">
        <is>
          <t>1933-09-07</t>
        </is>
      </c>
    </row>
    <row r="12353">
      <c r="A12353" s="1" t="n">
        <v>12352</v>
      </c>
      <c r="B12353">
        <f>TEXT(12352, "[$-0E0000]yyyy-mm-dd")</f>
        <v/>
      </c>
      <c r="C12353" t="inlineStr">
        <is>
          <t>1933-09-08</t>
        </is>
      </c>
    </row>
    <row r="12354">
      <c r="A12354" s="1" t="n">
        <v>12353</v>
      </c>
      <c r="B12354">
        <f>TEXT(12353, "[$-0E0000]yyyy-mm-dd")</f>
        <v/>
      </c>
      <c r="C12354" t="inlineStr">
        <is>
          <t>1933-09-09</t>
        </is>
      </c>
    </row>
    <row r="12355">
      <c r="A12355" s="1" t="n">
        <v>12354</v>
      </c>
      <c r="B12355">
        <f>TEXT(12354, "[$-0E0000]yyyy-mm-dd")</f>
        <v/>
      </c>
      <c r="C12355" t="inlineStr">
        <is>
          <t>1933-09-10</t>
        </is>
      </c>
    </row>
    <row r="12356">
      <c r="A12356" s="1" t="n">
        <v>12355</v>
      </c>
      <c r="B12356">
        <f>TEXT(12355, "[$-0E0000]yyyy-mm-dd")</f>
        <v/>
      </c>
      <c r="C12356" t="inlineStr">
        <is>
          <t>1933-09-11</t>
        </is>
      </c>
    </row>
    <row r="12357">
      <c r="A12357" s="1" t="n">
        <v>12356</v>
      </c>
      <c r="B12357">
        <f>TEXT(12356, "[$-0E0000]yyyy-mm-dd")</f>
        <v/>
      </c>
      <c r="C12357" t="inlineStr">
        <is>
          <t>1933-09-12</t>
        </is>
      </c>
    </row>
    <row r="12358">
      <c r="A12358" s="1" t="n">
        <v>12357</v>
      </c>
      <c r="B12358">
        <f>TEXT(12357, "[$-0E0000]yyyy-mm-dd")</f>
        <v/>
      </c>
      <c r="C12358" t="inlineStr">
        <is>
          <t>1933-09-13</t>
        </is>
      </c>
    </row>
    <row r="12359">
      <c r="A12359" s="1" t="n">
        <v>12358</v>
      </c>
      <c r="B12359">
        <f>TEXT(12358, "[$-0E0000]yyyy-mm-dd")</f>
        <v/>
      </c>
      <c r="C12359" t="inlineStr">
        <is>
          <t>1933-09-14</t>
        </is>
      </c>
    </row>
    <row r="12360">
      <c r="A12360" s="1" t="n">
        <v>12359</v>
      </c>
      <c r="B12360">
        <f>TEXT(12359, "[$-0E0000]yyyy-mm-dd")</f>
        <v/>
      </c>
      <c r="C12360" t="inlineStr">
        <is>
          <t>1933-09-15</t>
        </is>
      </c>
    </row>
    <row r="12361">
      <c r="A12361" s="1" t="n">
        <v>12360</v>
      </c>
      <c r="B12361">
        <f>TEXT(12360, "[$-0E0000]yyyy-mm-dd")</f>
        <v/>
      </c>
      <c r="C12361" t="inlineStr">
        <is>
          <t>1933-09-16</t>
        </is>
      </c>
    </row>
    <row r="12362">
      <c r="A12362" s="1" t="n">
        <v>12361</v>
      </c>
      <c r="B12362">
        <f>TEXT(12361, "[$-0E0000]yyyy-mm-dd")</f>
        <v/>
      </c>
      <c r="C12362" t="inlineStr">
        <is>
          <t>1933-09-17</t>
        </is>
      </c>
    </row>
    <row r="12363">
      <c r="A12363" s="1" t="n">
        <v>12362</v>
      </c>
      <c r="B12363">
        <f>TEXT(12362, "[$-0E0000]yyyy-mm-dd")</f>
        <v/>
      </c>
      <c r="C12363" t="inlineStr">
        <is>
          <t>1933-09-18</t>
        </is>
      </c>
    </row>
    <row r="12364">
      <c r="A12364" s="1" t="n">
        <v>12363</v>
      </c>
      <c r="B12364">
        <f>TEXT(12363, "[$-0E0000]yyyy-mm-dd")</f>
        <v/>
      </c>
      <c r="C12364" t="inlineStr">
        <is>
          <t>1933-09-19</t>
        </is>
      </c>
    </row>
    <row r="12365">
      <c r="A12365" s="1" t="n">
        <v>12364</v>
      </c>
      <c r="B12365">
        <f>TEXT(12364, "[$-0E0000]yyyy-mm-dd")</f>
        <v/>
      </c>
      <c r="C12365" t="inlineStr">
        <is>
          <t>1933-09-20</t>
        </is>
      </c>
    </row>
    <row r="12366">
      <c r="A12366" s="1" t="n">
        <v>12365</v>
      </c>
      <c r="B12366">
        <f>TEXT(12365, "[$-0E0000]yyyy-mm-dd")</f>
        <v/>
      </c>
      <c r="C12366" t="inlineStr">
        <is>
          <t>1933-09-21</t>
        </is>
      </c>
    </row>
    <row r="12367">
      <c r="A12367" s="1" t="n">
        <v>12366</v>
      </c>
      <c r="B12367">
        <f>TEXT(12366, "[$-0E0000]yyyy-mm-dd")</f>
        <v/>
      </c>
      <c r="C12367" t="inlineStr">
        <is>
          <t>1933-09-22</t>
        </is>
      </c>
    </row>
    <row r="12368">
      <c r="A12368" s="1" t="n">
        <v>12367</v>
      </c>
      <c r="B12368">
        <f>TEXT(12367, "[$-0E0000]yyyy-mm-dd")</f>
        <v/>
      </c>
      <c r="C12368" t="inlineStr">
        <is>
          <t>1933-09-23</t>
        </is>
      </c>
    </row>
    <row r="12369">
      <c r="A12369" s="1" t="n">
        <v>12368</v>
      </c>
      <c r="B12369">
        <f>TEXT(12368, "[$-0E0000]yyyy-mm-dd")</f>
        <v/>
      </c>
      <c r="C12369" t="inlineStr">
        <is>
          <t>1933-09-24</t>
        </is>
      </c>
    </row>
    <row r="12370">
      <c r="A12370" s="1" t="n">
        <v>12369</v>
      </c>
      <c r="B12370">
        <f>TEXT(12369, "[$-0E0000]yyyy-mm-dd")</f>
        <v/>
      </c>
      <c r="C12370" t="inlineStr">
        <is>
          <t>1933-09-25</t>
        </is>
      </c>
    </row>
    <row r="12371">
      <c r="A12371" s="1" t="n">
        <v>12370</v>
      </c>
      <c r="B12371">
        <f>TEXT(12370, "[$-0E0000]yyyy-mm-dd")</f>
        <v/>
      </c>
      <c r="C12371" t="inlineStr">
        <is>
          <t>1933-09-26</t>
        </is>
      </c>
    </row>
    <row r="12372">
      <c r="A12372" s="1" t="n">
        <v>12371</v>
      </c>
      <c r="B12372">
        <f>TEXT(12371, "[$-0E0000]yyyy-mm-dd")</f>
        <v/>
      </c>
      <c r="C12372" t="inlineStr">
        <is>
          <t>1933-09-27</t>
        </is>
      </c>
    </row>
    <row r="12373">
      <c r="A12373" s="1" t="n">
        <v>12372</v>
      </c>
      <c r="B12373">
        <f>TEXT(12372, "[$-0E0000]yyyy-mm-dd")</f>
        <v/>
      </c>
      <c r="C12373" t="inlineStr">
        <is>
          <t>1933-09-28</t>
        </is>
      </c>
    </row>
    <row r="12374">
      <c r="A12374" s="1" t="n">
        <v>12373</v>
      </c>
      <c r="B12374">
        <f>TEXT(12373, "[$-0E0000]yyyy-mm-dd")</f>
        <v/>
      </c>
      <c r="C12374" t="inlineStr">
        <is>
          <t>1933-09-29</t>
        </is>
      </c>
    </row>
    <row r="12375">
      <c r="A12375" s="1" t="n">
        <v>12374</v>
      </c>
      <c r="B12375">
        <f>TEXT(12374, "[$-0E0000]yyyy-mm-dd")</f>
        <v/>
      </c>
      <c r="C12375" t="inlineStr">
        <is>
          <t>1933-09-30</t>
        </is>
      </c>
    </row>
    <row r="12376">
      <c r="A12376" s="1" t="n">
        <v>12375</v>
      </c>
      <c r="B12376">
        <f>TEXT(12375, "[$-0E0000]yyyy-mm-dd")</f>
        <v/>
      </c>
      <c r="C12376" t="inlineStr">
        <is>
          <t>1933-10-01</t>
        </is>
      </c>
    </row>
    <row r="12377">
      <c r="A12377" s="1" t="n">
        <v>12376</v>
      </c>
      <c r="B12377">
        <f>TEXT(12376, "[$-0E0000]yyyy-mm-dd")</f>
        <v/>
      </c>
      <c r="C12377" t="inlineStr">
        <is>
          <t>1933-10-02</t>
        </is>
      </c>
    </row>
    <row r="12378">
      <c r="A12378" s="1" t="n">
        <v>12377</v>
      </c>
      <c r="B12378">
        <f>TEXT(12377, "[$-0E0000]yyyy-mm-dd")</f>
        <v/>
      </c>
      <c r="C12378" t="inlineStr">
        <is>
          <t>1933-10-03</t>
        </is>
      </c>
    </row>
    <row r="12379">
      <c r="A12379" s="1" t="n">
        <v>12378</v>
      </c>
      <c r="B12379">
        <f>TEXT(12378, "[$-0E0000]yyyy-mm-dd")</f>
        <v/>
      </c>
      <c r="C12379" t="inlineStr">
        <is>
          <t>1933-10-04</t>
        </is>
      </c>
    </row>
    <row r="12380">
      <c r="A12380" s="1" t="n">
        <v>12379</v>
      </c>
      <c r="B12380">
        <f>TEXT(12379, "[$-0E0000]yyyy-mm-dd")</f>
        <v/>
      </c>
      <c r="C12380" t="inlineStr">
        <is>
          <t>1933-10-05</t>
        </is>
      </c>
    </row>
    <row r="12381">
      <c r="A12381" s="1" t="n">
        <v>12380</v>
      </c>
      <c r="B12381">
        <f>TEXT(12380, "[$-0E0000]yyyy-mm-dd")</f>
        <v/>
      </c>
      <c r="C12381" t="inlineStr">
        <is>
          <t>1933-10-06</t>
        </is>
      </c>
    </row>
    <row r="12382">
      <c r="A12382" s="1" t="n">
        <v>12381</v>
      </c>
      <c r="B12382">
        <f>TEXT(12381, "[$-0E0000]yyyy-mm-dd")</f>
        <v/>
      </c>
      <c r="C12382" t="inlineStr">
        <is>
          <t>1933-10-07</t>
        </is>
      </c>
    </row>
    <row r="12383">
      <c r="A12383" s="1" t="n">
        <v>12382</v>
      </c>
      <c r="B12383">
        <f>TEXT(12382, "[$-0E0000]yyyy-mm-dd")</f>
        <v/>
      </c>
      <c r="C12383" t="inlineStr">
        <is>
          <t>1933-10-08</t>
        </is>
      </c>
    </row>
    <row r="12384">
      <c r="A12384" s="1" t="n">
        <v>12383</v>
      </c>
      <c r="B12384">
        <f>TEXT(12383, "[$-0E0000]yyyy-mm-dd")</f>
        <v/>
      </c>
      <c r="C12384" t="inlineStr">
        <is>
          <t>1933-10-09</t>
        </is>
      </c>
    </row>
    <row r="12385">
      <c r="A12385" s="1" t="n">
        <v>12384</v>
      </c>
      <c r="B12385">
        <f>TEXT(12384, "[$-0E0000]yyyy-mm-dd")</f>
        <v/>
      </c>
      <c r="C12385" t="inlineStr">
        <is>
          <t>1933-10-10</t>
        </is>
      </c>
    </row>
    <row r="12386">
      <c r="A12386" s="1" t="n">
        <v>12385</v>
      </c>
      <c r="B12386">
        <f>TEXT(12385, "[$-0E0000]yyyy-mm-dd")</f>
        <v/>
      </c>
      <c r="C12386" t="inlineStr">
        <is>
          <t>1933-10-11</t>
        </is>
      </c>
    </row>
    <row r="12387">
      <c r="A12387" s="1" t="n">
        <v>12386</v>
      </c>
      <c r="B12387">
        <f>TEXT(12386, "[$-0E0000]yyyy-mm-dd")</f>
        <v/>
      </c>
      <c r="C12387" t="inlineStr">
        <is>
          <t>1933-10-12</t>
        </is>
      </c>
    </row>
    <row r="12388">
      <c r="A12388" s="1" t="n">
        <v>12387</v>
      </c>
      <c r="B12388">
        <f>TEXT(12387, "[$-0E0000]yyyy-mm-dd")</f>
        <v/>
      </c>
      <c r="C12388" t="inlineStr">
        <is>
          <t>1933-10-13</t>
        </is>
      </c>
    </row>
    <row r="12389">
      <c r="A12389" s="1" t="n">
        <v>12388</v>
      </c>
      <c r="B12389">
        <f>TEXT(12388, "[$-0E0000]yyyy-mm-dd")</f>
        <v/>
      </c>
      <c r="C12389" t="inlineStr">
        <is>
          <t>1933-10-14</t>
        </is>
      </c>
    </row>
    <row r="12390">
      <c r="A12390" s="1" t="n">
        <v>12389</v>
      </c>
      <c r="B12390">
        <f>TEXT(12389, "[$-0E0000]yyyy-mm-dd")</f>
        <v/>
      </c>
      <c r="C12390" t="inlineStr">
        <is>
          <t>1933-10-15</t>
        </is>
      </c>
    </row>
    <row r="12391">
      <c r="A12391" s="1" t="n">
        <v>12390</v>
      </c>
      <c r="B12391">
        <f>TEXT(12390, "[$-0E0000]yyyy-mm-dd")</f>
        <v/>
      </c>
      <c r="C12391" t="inlineStr">
        <is>
          <t>1933-10-16</t>
        </is>
      </c>
    </row>
    <row r="12392">
      <c r="A12392" s="1" t="n">
        <v>12391</v>
      </c>
      <c r="B12392">
        <f>TEXT(12391, "[$-0E0000]yyyy-mm-dd")</f>
        <v/>
      </c>
      <c r="C12392" t="inlineStr">
        <is>
          <t>1933-10-17</t>
        </is>
      </c>
    </row>
    <row r="12393">
      <c r="A12393" s="1" t="n">
        <v>12392</v>
      </c>
      <c r="B12393">
        <f>TEXT(12392, "[$-0E0000]yyyy-mm-dd")</f>
        <v/>
      </c>
      <c r="C12393" t="inlineStr">
        <is>
          <t>1933-10-18</t>
        </is>
      </c>
    </row>
    <row r="12394">
      <c r="A12394" s="1" t="n">
        <v>12393</v>
      </c>
      <c r="B12394">
        <f>TEXT(12393, "[$-0E0000]yyyy-mm-dd")</f>
        <v/>
      </c>
      <c r="C12394" t="inlineStr">
        <is>
          <t>1933-10-19</t>
        </is>
      </c>
    </row>
    <row r="12395">
      <c r="A12395" s="1" t="n">
        <v>12394</v>
      </c>
      <c r="B12395">
        <f>TEXT(12394, "[$-0E0000]yyyy-mm-dd")</f>
        <v/>
      </c>
      <c r="C12395" t="inlineStr">
        <is>
          <t>1933-10-20</t>
        </is>
      </c>
    </row>
    <row r="12396">
      <c r="A12396" s="1" t="n">
        <v>12395</v>
      </c>
      <c r="B12396">
        <f>TEXT(12395, "[$-0E0000]yyyy-mm-dd")</f>
        <v/>
      </c>
      <c r="C12396" t="inlineStr">
        <is>
          <t>1933-10-21</t>
        </is>
      </c>
    </row>
    <row r="12397">
      <c r="A12397" s="1" t="n">
        <v>12396</v>
      </c>
      <c r="B12397">
        <f>TEXT(12396, "[$-0E0000]yyyy-mm-dd")</f>
        <v/>
      </c>
      <c r="C12397" t="inlineStr">
        <is>
          <t>1933-10-22</t>
        </is>
      </c>
    </row>
    <row r="12398">
      <c r="A12398" s="1" t="n">
        <v>12397</v>
      </c>
      <c r="B12398">
        <f>TEXT(12397, "[$-0E0000]yyyy-mm-dd")</f>
        <v/>
      </c>
      <c r="C12398" t="inlineStr">
        <is>
          <t>1933-10-23</t>
        </is>
      </c>
    </row>
    <row r="12399">
      <c r="A12399" s="1" t="n">
        <v>12398</v>
      </c>
      <c r="B12399">
        <f>TEXT(12398, "[$-0E0000]yyyy-mm-dd")</f>
        <v/>
      </c>
      <c r="C12399" t="inlineStr">
        <is>
          <t>1933-10-24</t>
        </is>
      </c>
    </row>
    <row r="12400">
      <c r="A12400" s="1" t="n">
        <v>12399</v>
      </c>
      <c r="B12400">
        <f>TEXT(12399, "[$-0E0000]yyyy-mm-dd")</f>
        <v/>
      </c>
      <c r="C12400" t="inlineStr">
        <is>
          <t>1933-10-25</t>
        </is>
      </c>
    </row>
    <row r="12401">
      <c r="A12401" s="1" t="n">
        <v>12400</v>
      </c>
      <c r="B12401">
        <f>TEXT(12400, "[$-0E0000]yyyy-mm-dd")</f>
        <v/>
      </c>
      <c r="C12401" t="inlineStr">
        <is>
          <t>1933-10-26</t>
        </is>
      </c>
    </row>
    <row r="12402">
      <c r="A12402" s="1" t="n">
        <v>12401</v>
      </c>
      <c r="B12402">
        <f>TEXT(12401, "[$-0E0000]yyyy-mm-dd")</f>
        <v/>
      </c>
      <c r="C12402" t="inlineStr">
        <is>
          <t>1933-10-27</t>
        </is>
      </c>
    </row>
    <row r="12403">
      <c r="A12403" s="1" t="n">
        <v>12402</v>
      </c>
      <c r="B12403">
        <f>TEXT(12402, "[$-0E0000]yyyy-mm-dd")</f>
        <v/>
      </c>
      <c r="C12403" t="inlineStr">
        <is>
          <t>1933-10-28</t>
        </is>
      </c>
    </row>
    <row r="12404">
      <c r="A12404" s="1" t="n">
        <v>12403</v>
      </c>
      <c r="B12404">
        <f>TEXT(12403, "[$-0E0000]yyyy-mm-dd")</f>
        <v/>
      </c>
      <c r="C12404" t="inlineStr">
        <is>
          <t>1933-10-29</t>
        </is>
      </c>
    </row>
    <row r="12405">
      <c r="A12405" s="1" t="n">
        <v>12404</v>
      </c>
      <c r="B12405">
        <f>TEXT(12404, "[$-0E0000]yyyy-mm-dd")</f>
        <v/>
      </c>
      <c r="C12405" t="inlineStr">
        <is>
          <t>1933-11-01</t>
        </is>
      </c>
    </row>
    <row r="12406">
      <c r="A12406" s="1" t="n">
        <v>12405</v>
      </c>
      <c r="B12406">
        <f>TEXT(12405, "[$-0E0000]yyyy-mm-dd")</f>
        <v/>
      </c>
      <c r="C12406" t="inlineStr">
        <is>
          <t>1933-11-02</t>
        </is>
      </c>
    </row>
    <row r="12407">
      <c r="A12407" s="1" t="n">
        <v>12406</v>
      </c>
      <c r="B12407">
        <f>TEXT(12406, "[$-0E0000]yyyy-mm-dd")</f>
        <v/>
      </c>
      <c r="C12407" t="inlineStr">
        <is>
          <t>1933-11-03</t>
        </is>
      </c>
    </row>
    <row r="12408">
      <c r="A12408" s="1" t="n">
        <v>12407</v>
      </c>
      <c r="B12408">
        <f>TEXT(12407, "[$-0E0000]yyyy-mm-dd")</f>
        <v/>
      </c>
      <c r="C12408" t="inlineStr">
        <is>
          <t>1933-11-04</t>
        </is>
      </c>
    </row>
    <row r="12409">
      <c r="A12409" s="1" t="n">
        <v>12408</v>
      </c>
      <c r="B12409">
        <f>TEXT(12408, "[$-0E0000]yyyy-mm-dd")</f>
        <v/>
      </c>
      <c r="C12409" t="inlineStr">
        <is>
          <t>1933-11-05</t>
        </is>
      </c>
    </row>
    <row r="12410">
      <c r="A12410" s="1" t="n">
        <v>12409</v>
      </c>
      <c r="B12410">
        <f>TEXT(12409, "[$-0E0000]yyyy-mm-dd")</f>
        <v/>
      </c>
      <c r="C12410" t="inlineStr">
        <is>
          <t>1933-11-06</t>
        </is>
      </c>
    </row>
    <row r="12411">
      <c r="A12411" s="1" t="n">
        <v>12410</v>
      </c>
      <c r="B12411">
        <f>TEXT(12410, "[$-0E0000]yyyy-mm-dd")</f>
        <v/>
      </c>
      <c r="C12411" t="inlineStr">
        <is>
          <t>1933-11-07</t>
        </is>
      </c>
    </row>
    <row r="12412">
      <c r="A12412" s="1" t="n">
        <v>12411</v>
      </c>
      <c r="B12412">
        <f>TEXT(12411, "[$-0E0000]yyyy-mm-dd")</f>
        <v/>
      </c>
      <c r="C12412" t="inlineStr">
        <is>
          <t>1933-11-08</t>
        </is>
      </c>
    </row>
    <row r="12413">
      <c r="A12413" s="1" t="n">
        <v>12412</v>
      </c>
      <c r="B12413">
        <f>TEXT(12412, "[$-0E0000]yyyy-mm-dd")</f>
        <v/>
      </c>
      <c r="C12413" t="inlineStr">
        <is>
          <t>1933-11-09</t>
        </is>
      </c>
    </row>
    <row r="12414">
      <c r="A12414" s="1" t="n">
        <v>12413</v>
      </c>
      <c r="B12414">
        <f>TEXT(12413, "[$-0E0000]yyyy-mm-dd")</f>
        <v/>
      </c>
      <c r="C12414" t="inlineStr">
        <is>
          <t>1933-11-10</t>
        </is>
      </c>
    </row>
    <row r="12415">
      <c r="A12415" s="1" t="n">
        <v>12414</v>
      </c>
      <c r="B12415">
        <f>TEXT(12414, "[$-0E0000]yyyy-mm-dd")</f>
        <v/>
      </c>
      <c r="C12415" t="inlineStr">
        <is>
          <t>1933-11-11</t>
        </is>
      </c>
    </row>
    <row r="12416">
      <c r="A12416" s="1" t="n">
        <v>12415</v>
      </c>
      <c r="B12416">
        <f>TEXT(12415, "[$-0E0000]yyyy-mm-dd")</f>
        <v/>
      </c>
      <c r="C12416" t="inlineStr">
        <is>
          <t>1933-11-12</t>
        </is>
      </c>
    </row>
    <row r="12417">
      <c r="A12417" s="1" t="n">
        <v>12416</v>
      </c>
      <c r="B12417">
        <f>TEXT(12416, "[$-0E0000]yyyy-mm-dd")</f>
        <v/>
      </c>
      <c r="C12417" t="inlineStr">
        <is>
          <t>1933-11-13</t>
        </is>
      </c>
    </row>
    <row r="12418">
      <c r="A12418" s="1" t="n">
        <v>12417</v>
      </c>
      <c r="B12418">
        <f>TEXT(12417, "[$-0E0000]yyyy-mm-dd")</f>
        <v/>
      </c>
      <c r="C12418" t="inlineStr">
        <is>
          <t>1933-11-14</t>
        </is>
      </c>
    </row>
    <row r="12419">
      <c r="A12419" s="1" t="n">
        <v>12418</v>
      </c>
      <c r="B12419">
        <f>TEXT(12418, "[$-0E0000]yyyy-mm-dd")</f>
        <v/>
      </c>
      <c r="C12419" t="inlineStr">
        <is>
          <t>1933-11-15</t>
        </is>
      </c>
    </row>
    <row r="12420">
      <c r="A12420" s="1" t="n">
        <v>12419</v>
      </c>
      <c r="B12420">
        <f>TEXT(12419, "[$-0E0000]yyyy-mm-dd")</f>
        <v/>
      </c>
      <c r="C12420" t="inlineStr">
        <is>
          <t>1933-11-16</t>
        </is>
      </c>
    </row>
    <row r="12421">
      <c r="A12421" s="1" t="n">
        <v>12420</v>
      </c>
      <c r="B12421">
        <f>TEXT(12420, "[$-0E0000]yyyy-mm-dd")</f>
        <v/>
      </c>
      <c r="C12421" t="inlineStr">
        <is>
          <t>1933-11-17</t>
        </is>
      </c>
    </row>
    <row r="12422">
      <c r="A12422" s="1" t="n">
        <v>12421</v>
      </c>
      <c r="B12422">
        <f>TEXT(12421, "[$-0E0000]yyyy-mm-dd")</f>
        <v/>
      </c>
      <c r="C12422" t="inlineStr">
        <is>
          <t>1933-11-18</t>
        </is>
      </c>
    </row>
    <row r="12423">
      <c r="A12423" s="1" t="n">
        <v>12422</v>
      </c>
      <c r="B12423">
        <f>TEXT(12422, "[$-0E0000]yyyy-mm-dd")</f>
        <v/>
      </c>
      <c r="C12423" t="inlineStr">
        <is>
          <t>1933-11-19</t>
        </is>
      </c>
    </row>
    <row r="12424">
      <c r="A12424" s="1" t="n">
        <v>12423</v>
      </c>
      <c r="B12424">
        <f>TEXT(12423, "[$-0E0000]yyyy-mm-dd")</f>
        <v/>
      </c>
      <c r="C12424" t="inlineStr">
        <is>
          <t>1933-11-20</t>
        </is>
      </c>
    </row>
    <row r="12425">
      <c r="A12425" s="1" t="n">
        <v>12424</v>
      </c>
      <c r="B12425">
        <f>TEXT(12424, "[$-0E0000]yyyy-mm-dd")</f>
        <v/>
      </c>
      <c r="C12425" t="inlineStr">
        <is>
          <t>1933-11-21</t>
        </is>
      </c>
    </row>
    <row r="12426">
      <c r="A12426" s="1" t="n">
        <v>12425</v>
      </c>
      <c r="B12426">
        <f>TEXT(12425, "[$-0E0000]yyyy-mm-dd")</f>
        <v/>
      </c>
      <c r="C12426" t="inlineStr">
        <is>
          <t>1933-11-22</t>
        </is>
      </c>
    </row>
    <row r="12427">
      <c r="A12427" s="1" t="n">
        <v>12426</v>
      </c>
      <c r="B12427">
        <f>TEXT(12426, "[$-0E0000]yyyy-mm-dd")</f>
        <v/>
      </c>
      <c r="C12427" t="inlineStr">
        <is>
          <t>1933-11-23</t>
        </is>
      </c>
    </row>
    <row r="12428">
      <c r="A12428" s="1" t="n">
        <v>12427</v>
      </c>
      <c r="B12428">
        <f>TEXT(12427, "[$-0E0000]yyyy-mm-dd")</f>
        <v/>
      </c>
      <c r="C12428" t="inlineStr">
        <is>
          <t>1933-11-24</t>
        </is>
      </c>
    </row>
    <row r="12429">
      <c r="A12429" s="1" t="n">
        <v>12428</v>
      </c>
      <c r="B12429">
        <f>TEXT(12428, "[$-0E0000]yyyy-mm-dd")</f>
        <v/>
      </c>
      <c r="C12429" t="inlineStr">
        <is>
          <t>1933-11-25</t>
        </is>
      </c>
    </row>
    <row r="12430">
      <c r="A12430" s="1" t="n">
        <v>12429</v>
      </c>
      <c r="B12430">
        <f>TEXT(12429, "[$-0E0000]yyyy-mm-dd")</f>
        <v/>
      </c>
      <c r="C12430" t="inlineStr">
        <is>
          <t>1933-11-26</t>
        </is>
      </c>
    </row>
    <row r="12431">
      <c r="A12431" s="1" t="n">
        <v>12430</v>
      </c>
      <c r="B12431">
        <f>TEXT(12430, "[$-0E0000]yyyy-mm-dd")</f>
        <v/>
      </c>
      <c r="C12431" t="inlineStr">
        <is>
          <t>1933-11-27</t>
        </is>
      </c>
    </row>
    <row r="12432">
      <c r="A12432" s="1" t="n">
        <v>12431</v>
      </c>
      <c r="B12432">
        <f>TEXT(12431, "[$-0E0000]yyyy-mm-dd")</f>
        <v/>
      </c>
      <c r="C12432" t="inlineStr">
        <is>
          <t>1933-11-28</t>
        </is>
      </c>
    </row>
    <row r="12433">
      <c r="A12433" s="1" t="n">
        <v>12432</v>
      </c>
      <c r="B12433">
        <f>TEXT(12432, "[$-0E0000]yyyy-mm-dd")</f>
        <v/>
      </c>
      <c r="C12433" t="inlineStr">
        <is>
          <t>1933-11-29</t>
        </is>
      </c>
    </row>
    <row r="12434">
      <c r="A12434" s="1" t="n">
        <v>12433</v>
      </c>
      <c r="B12434">
        <f>TEXT(12433, "[$-0E0000]yyyy-mm-dd")</f>
        <v/>
      </c>
      <c r="C12434" t="inlineStr">
        <is>
          <t>1933-12-01</t>
        </is>
      </c>
    </row>
    <row r="12435">
      <c r="A12435" s="1" t="n">
        <v>12434</v>
      </c>
      <c r="B12435">
        <f>TEXT(12434, "[$-0E0000]yyyy-mm-dd")</f>
        <v/>
      </c>
      <c r="C12435" t="inlineStr">
        <is>
          <t>1933-12-02</t>
        </is>
      </c>
    </row>
    <row r="12436">
      <c r="A12436" s="1" t="n">
        <v>12435</v>
      </c>
      <c r="B12436">
        <f>TEXT(12435, "[$-0E0000]yyyy-mm-dd")</f>
        <v/>
      </c>
      <c r="C12436" t="inlineStr">
        <is>
          <t>1933-12-03</t>
        </is>
      </c>
    </row>
    <row r="12437">
      <c r="A12437" s="1" t="n">
        <v>12436</v>
      </c>
      <c r="B12437">
        <f>TEXT(12436, "[$-0E0000]yyyy-mm-dd")</f>
        <v/>
      </c>
      <c r="C12437" t="inlineStr">
        <is>
          <t>1933-12-04</t>
        </is>
      </c>
    </row>
    <row r="12438">
      <c r="A12438" s="1" t="n">
        <v>12437</v>
      </c>
      <c r="B12438">
        <f>TEXT(12437, "[$-0E0000]yyyy-mm-dd")</f>
        <v/>
      </c>
      <c r="C12438" t="inlineStr">
        <is>
          <t>1933-12-05</t>
        </is>
      </c>
    </row>
    <row r="12439">
      <c r="A12439" s="1" t="n">
        <v>12438</v>
      </c>
      <c r="B12439">
        <f>TEXT(12438, "[$-0E0000]yyyy-mm-dd")</f>
        <v/>
      </c>
      <c r="C12439" t="inlineStr">
        <is>
          <t>1933-12-06</t>
        </is>
      </c>
    </row>
    <row r="12440">
      <c r="A12440" s="1" t="n">
        <v>12439</v>
      </c>
      <c r="B12440">
        <f>TEXT(12439, "[$-0E0000]yyyy-mm-dd")</f>
        <v/>
      </c>
      <c r="C12440" t="inlineStr">
        <is>
          <t>1933-12-07</t>
        </is>
      </c>
    </row>
    <row r="12441">
      <c r="A12441" s="1" t="n">
        <v>12440</v>
      </c>
      <c r="B12441">
        <f>TEXT(12440, "[$-0E0000]yyyy-mm-dd")</f>
        <v/>
      </c>
      <c r="C12441" t="inlineStr">
        <is>
          <t>1933-12-08</t>
        </is>
      </c>
    </row>
    <row r="12442">
      <c r="A12442" s="1" t="n">
        <v>12441</v>
      </c>
      <c r="B12442">
        <f>TEXT(12441, "[$-0E0000]yyyy-mm-dd")</f>
        <v/>
      </c>
      <c r="C12442" t="inlineStr">
        <is>
          <t>1933-12-09</t>
        </is>
      </c>
    </row>
    <row r="12443">
      <c r="A12443" s="1" t="n">
        <v>12442</v>
      </c>
      <c r="B12443">
        <f>TEXT(12442, "[$-0E0000]yyyy-mm-dd")</f>
        <v/>
      </c>
      <c r="C12443" t="inlineStr">
        <is>
          <t>1933-12-10</t>
        </is>
      </c>
    </row>
    <row r="12444">
      <c r="A12444" s="1" t="n">
        <v>12443</v>
      </c>
      <c r="B12444">
        <f>TEXT(12443, "[$-0E0000]yyyy-mm-dd")</f>
        <v/>
      </c>
      <c r="C12444" t="inlineStr">
        <is>
          <t>1933-12-11</t>
        </is>
      </c>
    </row>
    <row r="12445">
      <c r="A12445" s="1" t="n">
        <v>12444</v>
      </c>
      <c r="B12445">
        <f>TEXT(12444, "[$-0E0000]yyyy-mm-dd")</f>
        <v/>
      </c>
      <c r="C12445" t="inlineStr">
        <is>
          <t>1933-12-12</t>
        </is>
      </c>
    </row>
    <row r="12446">
      <c r="A12446" s="1" t="n">
        <v>12445</v>
      </c>
      <c r="B12446">
        <f>TEXT(12445, "[$-0E0000]yyyy-mm-dd")</f>
        <v/>
      </c>
      <c r="C12446" t="inlineStr">
        <is>
          <t>1933-12-13</t>
        </is>
      </c>
    </row>
    <row r="12447">
      <c r="A12447" s="1" t="n">
        <v>12446</v>
      </c>
      <c r="B12447">
        <f>TEXT(12446, "[$-0E0000]yyyy-mm-dd")</f>
        <v/>
      </c>
      <c r="C12447" t="inlineStr">
        <is>
          <t>1933-12-14</t>
        </is>
      </c>
    </row>
    <row r="12448">
      <c r="A12448" s="1" t="n">
        <v>12447</v>
      </c>
      <c r="B12448">
        <f>TEXT(12447, "[$-0E0000]yyyy-mm-dd")</f>
        <v/>
      </c>
      <c r="C12448" t="inlineStr">
        <is>
          <t>1933-12-15</t>
        </is>
      </c>
    </row>
    <row r="12449">
      <c r="A12449" s="1" t="n">
        <v>12448</v>
      </c>
      <c r="B12449">
        <f>TEXT(12448, "[$-0E0000]yyyy-mm-dd")</f>
        <v/>
      </c>
      <c r="C12449" t="inlineStr">
        <is>
          <t>1933-12-16</t>
        </is>
      </c>
    </row>
    <row r="12450">
      <c r="A12450" s="1" t="n">
        <v>12449</v>
      </c>
      <c r="B12450">
        <f>TEXT(12449, "[$-0E0000]yyyy-mm-dd")</f>
        <v/>
      </c>
      <c r="C12450" t="inlineStr">
        <is>
          <t>1933-12-17</t>
        </is>
      </c>
    </row>
    <row r="12451">
      <c r="A12451" s="1" t="n">
        <v>12450</v>
      </c>
      <c r="B12451">
        <f>TEXT(12450, "[$-0E0000]yyyy-mm-dd")</f>
        <v/>
      </c>
      <c r="C12451" t="inlineStr">
        <is>
          <t>1933-12-18</t>
        </is>
      </c>
    </row>
    <row r="12452">
      <c r="A12452" s="1" t="n">
        <v>12451</v>
      </c>
      <c r="B12452">
        <f>TEXT(12451, "[$-0E0000]yyyy-mm-dd")</f>
        <v/>
      </c>
      <c r="C12452" t="inlineStr">
        <is>
          <t>1933-12-19</t>
        </is>
      </c>
    </row>
    <row r="12453">
      <c r="A12453" s="1" t="n">
        <v>12452</v>
      </c>
      <c r="B12453">
        <f>TEXT(12452, "[$-0E0000]yyyy-mm-dd")</f>
        <v/>
      </c>
      <c r="C12453" t="inlineStr">
        <is>
          <t>1933-12-20</t>
        </is>
      </c>
    </row>
    <row r="12454">
      <c r="A12454" s="1" t="n">
        <v>12453</v>
      </c>
      <c r="B12454">
        <f>TEXT(12453, "[$-0E0000]yyyy-mm-dd")</f>
        <v/>
      </c>
      <c r="C12454" t="inlineStr">
        <is>
          <t>1933-12-21</t>
        </is>
      </c>
    </row>
    <row r="12455">
      <c r="A12455" s="1" t="n">
        <v>12454</v>
      </c>
      <c r="B12455">
        <f>TEXT(12454, "[$-0E0000]yyyy-mm-dd")</f>
        <v/>
      </c>
      <c r="C12455" t="inlineStr">
        <is>
          <t>1933-12-22</t>
        </is>
      </c>
    </row>
    <row r="12456">
      <c r="A12456" s="1" t="n">
        <v>12455</v>
      </c>
      <c r="B12456">
        <f>TEXT(12455, "[$-0E0000]yyyy-mm-dd")</f>
        <v/>
      </c>
      <c r="C12456" t="inlineStr">
        <is>
          <t>1933-12-23</t>
        </is>
      </c>
    </row>
    <row r="12457">
      <c r="A12457" s="1" t="n">
        <v>12456</v>
      </c>
      <c r="B12457">
        <f>TEXT(12456, "[$-0E0000]yyyy-mm-dd")</f>
        <v/>
      </c>
      <c r="C12457" t="inlineStr">
        <is>
          <t>1933-12-24</t>
        </is>
      </c>
    </row>
    <row r="12458">
      <c r="A12458" s="1" t="n">
        <v>12457</v>
      </c>
      <c r="B12458">
        <f>TEXT(12457, "[$-0E0000]yyyy-mm-dd")</f>
        <v/>
      </c>
      <c r="C12458" t="inlineStr">
        <is>
          <t>1933-12-25</t>
        </is>
      </c>
    </row>
    <row r="12459">
      <c r="A12459" s="1" t="n">
        <v>12458</v>
      </c>
      <c r="B12459">
        <f>TEXT(12458, "[$-0E0000]yyyy-mm-dd")</f>
        <v/>
      </c>
      <c r="C12459" t="inlineStr">
        <is>
          <t>1933-12-26</t>
        </is>
      </c>
    </row>
    <row r="12460">
      <c r="A12460" s="1" t="n">
        <v>12459</v>
      </c>
      <c r="B12460">
        <f>TEXT(12459, "[$-0E0000]yyyy-mm-dd")</f>
        <v/>
      </c>
      <c r="C12460" t="inlineStr">
        <is>
          <t>1933-12-27</t>
        </is>
      </c>
    </row>
    <row r="12461">
      <c r="A12461" s="1" t="n">
        <v>12460</v>
      </c>
      <c r="B12461">
        <f>TEXT(12460, "[$-0E0000]yyyy-mm-dd")</f>
        <v/>
      </c>
      <c r="C12461" t="inlineStr">
        <is>
          <t>1933-12-28</t>
        </is>
      </c>
    </row>
    <row r="12462">
      <c r="A12462" s="1" t="n">
        <v>12461</v>
      </c>
      <c r="B12462">
        <f>TEXT(12461, "[$-0E0000]yyyy-mm-dd")</f>
        <v/>
      </c>
      <c r="C12462" t="inlineStr">
        <is>
          <t>1933-12-29</t>
        </is>
      </c>
    </row>
    <row r="12463">
      <c r="A12463" s="1" t="n">
        <v>12462</v>
      </c>
      <c r="B12463">
        <f>TEXT(12462, "[$-0E0000]yyyy-mm-dd")</f>
        <v/>
      </c>
      <c r="C12463" t="inlineStr">
        <is>
          <t>1933-12-30</t>
        </is>
      </c>
    </row>
    <row r="12464">
      <c r="A12464" s="1" t="n">
        <v>12463</v>
      </c>
      <c r="B12464">
        <f>TEXT(12463, "[$-0E0000]yyyy-mm-dd")</f>
        <v/>
      </c>
      <c r="C12464" t="inlineStr">
        <is>
          <t>1934-01-01</t>
        </is>
      </c>
    </row>
    <row r="12465">
      <c r="A12465" s="1" t="n">
        <v>12464</v>
      </c>
      <c r="B12465">
        <f>TEXT(12464, "[$-0E0000]yyyy-mm-dd")</f>
        <v/>
      </c>
      <c r="C12465" t="inlineStr">
        <is>
          <t>1934-01-02</t>
        </is>
      </c>
    </row>
    <row r="12466">
      <c r="A12466" s="1" t="n">
        <v>12465</v>
      </c>
      <c r="B12466">
        <f>TEXT(12465, "[$-0E0000]yyyy-mm-dd")</f>
        <v/>
      </c>
      <c r="C12466" t="inlineStr">
        <is>
          <t>1934-01-03</t>
        </is>
      </c>
    </row>
    <row r="12467">
      <c r="A12467" s="1" t="n">
        <v>12466</v>
      </c>
      <c r="B12467">
        <f>TEXT(12466, "[$-0E0000]yyyy-mm-dd")</f>
        <v/>
      </c>
      <c r="C12467" t="inlineStr">
        <is>
          <t>1934-01-04</t>
        </is>
      </c>
    </row>
    <row r="12468">
      <c r="A12468" s="1" t="n">
        <v>12467</v>
      </c>
      <c r="B12468">
        <f>TEXT(12467, "[$-0E0000]yyyy-mm-dd")</f>
        <v/>
      </c>
      <c r="C12468" t="inlineStr">
        <is>
          <t>1934-01-05</t>
        </is>
      </c>
    </row>
    <row r="12469">
      <c r="A12469" s="1" t="n">
        <v>12468</v>
      </c>
      <c r="B12469">
        <f>TEXT(12468, "[$-0E0000]yyyy-mm-dd")</f>
        <v/>
      </c>
      <c r="C12469" t="inlineStr">
        <is>
          <t>1934-01-06</t>
        </is>
      </c>
    </row>
    <row r="12470">
      <c r="A12470" s="1" t="n">
        <v>12469</v>
      </c>
      <c r="B12470">
        <f>TEXT(12469, "[$-0E0000]yyyy-mm-dd")</f>
        <v/>
      </c>
      <c r="C12470" t="inlineStr">
        <is>
          <t>1934-01-07</t>
        </is>
      </c>
    </row>
    <row r="12471">
      <c r="A12471" s="1" t="n">
        <v>12470</v>
      </c>
      <c r="B12471">
        <f>TEXT(12470, "[$-0E0000]yyyy-mm-dd")</f>
        <v/>
      </c>
      <c r="C12471" t="inlineStr">
        <is>
          <t>1934-01-08</t>
        </is>
      </c>
    </row>
    <row r="12472">
      <c r="A12472" s="1" t="n">
        <v>12471</v>
      </c>
      <c r="B12472">
        <f>TEXT(12471, "[$-0E0000]yyyy-mm-dd")</f>
        <v/>
      </c>
      <c r="C12472" t="inlineStr">
        <is>
          <t>1934-01-09</t>
        </is>
      </c>
    </row>
    <row r="12473">
      <c r="A12473" s="1" t="n">
        <v>12472</v>
      </c>
      <c r="B12473">
        <f>TEXT(12472, "[$-0E0000]yyyy-mm-dd")</f>
        <v/>
      </c>
      <c r="C12473" t="inlineStr">
        <is>
          <t>1934-01-10</t>
        </is>
      </c>
    </row>
    <row r="12474">
      <c r="A12474" s="1" t="n">
        <v>12473</v>
      </c>
      <c r="B12474">
        <f>TEXT(12473, "[$-0E0000]yyyy-mm-dd")</f>
        <v/>
      </c>
      <c r="C12474" t="inlineStr">
        <is>
          <t>1934-01-11</t>
        </is>
      </c>
    </row>
    <row r="12475">
      <c r="A12475" s="1" t="n">
        <v>12474</v>
      </c>
      <c r="B12475">
        <f>TEXT(12474, "[$-0E0000]yyyy-mm-dd")</f>
        <v/>
      </c>
      <c r="C12475" t="inlineStr">
        <is>
          <t>1934-01-12</t>
        </is>
      </c>
    </row>
    <row r="12476">
      <c r="A12476" s="1" t="n">
        <v>12475</v>
      </c>
      <c r="B12476">
        <f>TEXT(12475, "[$-0E0000]yyyy-mm-dd")</f>
        <v/>
      </c>
      <c r="C12476" t="inlineStr">
        <is>
          <t>1934-01-13</t>
        </is>
      </c>
    </row>
    <row r="12477">
      <c r="A12477" s="1" t="n">
        <v>12476</v>
      </c>
      <c r="B12477">
        <f>TEXT(12476, "[$-0E0000]yyyy-mm-dd")</f>
        <v/>
      </c>
      <c r="C12477" t="inlineStr">
        <is>
          <t>1934-01-14</t>
        </is>
      </c>
    </row>
    <row r="12478">
      <c r="A12478" s="1" t="n">
        <v>12477</v>
      </c>
      <c r="B12478">
        <f>TEXT(12477, "[$-0E0000]yyyy-mm-dd")</f>
        <v/>
      </c>
      <c r="C12478" t="inlineStr">
        <is>
          <t>1934-01-15</t>
        </is>
      </c>
    </row>
    <row r="12479">
      <c r="A12479" s="1" t="n">
        <v>12478</v>
      </c>
      <c r="B12479">
        <f>TEXT(12478, "[$-0E0000]yyyy-mm-dd")</f>
        <v/>
      </c>
      <c r="C12479" t="inlineStr">
        <is>
          <t>1934-01-16</t>
        </is>
      </c>
    </row>
    <row r="12480">
      <c r="A12480" s="1" t="n">
        <v>12479</v>
      </c>
      <c r="B12480">
        <f>TEXT(12479, "[$-0E0000]yyyy-mm-dd")</f>
        <v/>
      </c>
      <c r="C12480" t="inlineStr">
        <is>
          <t>1934-01-17</t>
        </is>
      </c>
    </row>
    <row r="12481">
      <c r="A12481" s="1" t="n">
        <v>12480</v>
      </c>
      <c r="B12481">
        <f>TEXT(12480, "[$-0E0000]yyyy-mm-dd")</f>
        <v/>
      </c>
      <c r="C12481" t="inlineStr">
        <is>
          <t>1934-01-18</t>
        </is>
      </c>
    </row>
    <row r="12482">
      <c r="A12482" s="1" t="n">
        <v>12481</v>
      </c>
      <c r="B12482">
        <f>TEXT(12481, "[$-0E0000]yyyy-mm-dd")</f>
        <v/>
      </c>
      <c r="C12482" t="inlineStr">
        <is>
          <t>1934-01-19</t>
        </is>
      </c>
    </row>
    <row r="12483">
      <c r="A12483" s="1" t="n">
        <v>12482</v>
      </c>
      <c r="B12483">
        <f>TEXT(12482, "[$-0E0000]yyyy-mm-dd")</f>
        <v/>
      </c>
      <c r="C12483" t="inlineStr">
        <is>
          <t>1934-01-20</t>
        </is>
      </c>
    </row>
    <row r="12484">
      <c r="A12484" s="1" t="n">
        <v>12483</v>
      </c>
      <c r="B12484">
        <f>TEXT(12483, "[$-0E0000]yyyy-mm-dd")</f>
        <v/>
      </c>
      <c r="C12484" t="inlineStr">
        <is>
          <t>1934-01-21</t>
        </is>
      </c>
    </row>
    <row r="12485">
      <c r="A12485" s="1" t="n">
        <v>12484</v>
      </c>
      <c r="B12485">
        <f>TEXT(12484, "[$-0E0000]yyyy-mm-dd")</f>
        <v/>
      </c>
      <c r="C12485" t="inlineStr">
        <is>
          <t>1934-01-22</t>
        </is>
      </c>
    </row>
    <row r="12486">
      <c r="A12486" s="1" t="n">
        <v>12485</v>
      </c>
      <c r="B12486">
        <f>TEXT(12485, "[$-0E0000]yyyy-mm-dd")</f>
        <v/>
      </c>
      <c r="C12486" t="inlineStr">
        <is>
          <t>1934-01-23</t>
        </is>
      </c>
    </row>
    <row r="12487">
      <c r="A12487" s="1" t="n">
        <v>12486</v>
      </c>
      <c r="B12487">
        <f>TEXT(12486, "[$-0E0000]yyyy-mm-dd")</f>
        <v/>
      </c>
      <c r="C12487" t="inlineStr">
        <is>
          <t>1934-01-24</t>
        </is>
      </c>
    </row>
    <row r="12488">
      <c r="A12488" s="1" t="n">
        <v>12487</v>
      </c>
      <c r="B12488">
        <f>TEXT(12487, "[$-0E0000]yyyy-mm-dd")</f>
        <v/>
      </c>
      <c r="C12488" t="inlineStr">
        <is>
          <t>1934-01-25</t>
        </is>
      </c>
    </row>
    <row r="12489">
      <c r="A12489" s="1" t="n">
        <v>12488</v>
      </c>
      <c r="B12489">
        <f>TEXT(12488, "[$-0E0000]yyyy-mm-dd")</f>
        <v/>
      </c>
      <c r="C12489" t="inlineStr">
        <is>
          <t>1934-01-26</t>
        </is>
      </c>
    </row>
    <row r="12490">
      <c r="A12490" s="1" t="n">
        <v>12489</v>
      </c>
      <c r="B12490">
        <f>TEXT(12489, "[$-0E0000]yyyy-mm-dd")</f>
        <v/>
      </c>
      <c r="C12490" t="inlineStr">
        <is>
          <t>1934-01-27</t>
        </is>
      </c>
    </row>
    <row r="12491">
      <c r="A12491" s="1" t="n">
        <v>12490</v>
      </c>
      <c r="B12491">
        <f>TEXT(12490, "[$-0E0000]yyyy-mm-dd")</f>
        <v/>
      </c>
      <c r="C12491" t="inlineStr">
        <is>
          <t>1934-01-28</t>
        </is>
      </c>
    </row>
    <row r="12492">
      <c r="A12492" s="1" t="n">
        <v>12491</v>
      </c>
      <c r="B12492">
        <f>TEXT(12491, "[$-0E0000]yyyy-mm-dd")</f>
        <v/>
      </c>
      <c r="C12492" t="inlineStr">
        <is>
          <t>1934-01-29</t>
        </is>
      </c>
    </row>
    <row r="12493">
      <c r="A12493" s="1" t="n">
        <v>12492</v>
      </c>
      <c r="B12493">
        <f>TEXT(12492, "[$-0E0000]yyyy-mm-dd")</f>
        <v/>
      </c>
      <c r="C12493" t="inlineStr">
        <is>
          <t>1934-02-01</t>
        </is>
      </c>
    </row>
    <row r="12494">
      <c r="A12494" s="1" t="n">
        <v>12493</v>
      </c>
      <c r="B12494">
        <f>TEXT(12493, "[$-0E0000]yyyy-mm-dd")</f>
        <v/>
      </c>
      <c r="C12494" t="inlineStr">
        <is>
          <t>1934-02-02</t>
        </is>
      </c>
    </row>
    <row r="12495">
      <c r="A12495" s="1" t="n">
        <v>12494</v>
      </c>
      <c r="B12495">
        <f>TEXT(12494, "[$-0E0000]yyyy-mm-dd")</f>
        <v/>
      </c>
      <c r="C12495" t="inlineStr">
        <is>
          <t>1934-02-03</t>
        </is>
      </c>
    </row>
    <row r="12496">
      <c r="A12496" s="1" t="n">
        <v>12495</v>
      </c>
      <c r="B12496">
        <f>TEXT(12495, "[$-0E0000]yyyy-mm-dd")</f>
        <v/>
      </c>
      <c r="C12496" t="inlineStr">
        <is>
          <t>1934-02-04</t>
        </is>
      </c>
    </row>
    <row r="12497">
      <c r="A12497" s="1" t="n">
        <v>12496</v>
      </c>
      <c r="B12497">
        <f>TEXT(12496, "[$-0E0000]yyyy-mm-dd")</f>
        <v/>
      </c>
      <c r="C12497" t="inlineStr">
        <is>
          <t>1934-02-05</t>
        </is>
      </c>
    </row>
    <row r="12498">
      <c r="A12498" s="1" t="n">
        <v>12497</v>
      </c>
      <c r="B12498">
        <f>TEXT(12497, "[$-0E0000]yyyy-mm-dd")</f>
        <v/>
      </c>
      <c r="C12498" t="inlineStr">
        <is>
          <t>1934-02-06</t>
        </is>
      </c>
    </row>
    <row r="12499">
      <c r="A12499" s="1" t="n">
        <v>12498</v>
      </c>
      <c r="B12499">
        <f>TEXT(12498, "[$-0E0000]yyyy-mm-dd")</f>
        <v/>
      </c>
      <c r="C12499" t="inlineStr">
        <is>
          <t>1934-02-07</t>
        </is>
      </c>
    </row>
    <row r="12500">
      <c r="A12500" s="1" t="n">
        <v>12499</v>
      </c>
      <c r="B12500">
        <f>TEXT(12499, "[$-0E0000]yyyy-mm-dd")</f>
        <v/>
      </c>
      <c r="C12500" t="inlineStr">
        <is>
          <t>1934-02-08</t>
        </is>
      </c>
    </row>
    <row r="12501">
      <c r="A12501" s="1" t="n">
        <v>12500</v>
      </c>
      <c r="B12501">
        <f>TEXT(12500, "[$-0E0000]yyyy-mm-dd")</f>
        <v/>
      </c>
      <c r="C12501" t="inlineStr">
        <is>
          <t>1934-02-09</t>
        </is>
      </c>
    </row>
    <row r="12502">
      <c r="A12502" s="1" t="n">
        <v>12501</v>
      </c>
      <c r="B12502">
        <f>TEXT(12501, "[$-0E0000]yyyy-mm-dd")</f>
        <v/>
      </c>
      <c r="C12502" t="inlineStr">
        <is>
          <t>1934-02-10</t>
        </is>
      </c>
    </row>
    <row r="12503">
      <c r="A12503" s="1" t="n">
        <v>12502</v>
      </c>
      <c r="B12503">
        <f>TEXT(12502, "[$-0E0000]yyyy-mm-dd")</f>
        <v/>
      </c>
      <c r="C12503" t="inlineStr">
        <is>
          <t>1934-02-11</t>
        </is>
      </c>
    </row>
    <row r="12504">
      <c r="A12504" s="1" t="n">
        <v>12503</v>
      </c>
      <c r="B12504">
        <f>TEXT(12503, "[$-0E0000]yyyy-mm-dd")</f>
        <v/>
      </c>
      <c r="C12504" t="inlineStr">
        <is>
          <t>1934-02-12</t>
        </is>
      </c>
    </row>
    <row r="12505">
      <c r="A12505" s="1" t="n">
        <v>12504</v>
      </c>
      <c r="B12505">
        <f>TEXT(12504, "[$-0E0000]yyyy-mm-dd")</f>
        <v/>
      </c>
      <c r="C12505" t="inlineStr">
        <is>
          <t>1934-02-13</t>
        </is>
      </c>
    </row>
    <row r="12506">
      <c r="A12506" s="1" t="n">
        <v>12505</v>
      </c>
      <c r="B12506">
        <f>TEXT(12505, "[$-0E0000]yyyy-mm-dd")</f>
        <v/>
      </c>
      <c r="C12506" t="inlineStr">
        <is>
          <t>1934-02-14</t>
        </is>
      </c>
    </row>
    <row r="12507">
      <c r="A12507" s="1" t="n">
        <v>12506</v>
      </c>
      <c r="B12507">
        <f>TEXT(12506, "[$-0E0000]yyyy-mm-dd")</f>
        <v/>
      </c>
      <c r="C12507" t="inlineStr">
        <is>
          <t>1934-02-15</t>
        </is>
      </c>
    </row>
    <row r="12508">
      <c r="A12508" s="1" t="n">
        <v>12507</v>
      </c>
      <c r="B12508">
        <f>TEXT(12507, "[$-0E0000]yyyy-mm-dd")</f>
        <v/>
      </c>
      <c r="C12508" t="inlineStr">
        <is>
          <t>1934-02-16</t>
        </is>
      </c>
    </row>
    <row r="12509">
      <c r="A12509" s="1" t="n">
        <v>12508</v>
      </c>
      <c r="B12509">
        <f>TEXT(12508, "[$-0E0000]yyyy-mm-dd")</f>
        <v/>
      </c>
      <c r="C12509" t="inlineStr">
        <is>
          <t>1934-02-17</t>
        </is>
      </c>
    </row>
    <row r="12510">
      <c r="A12510" s="1" t="n">
        <v>12509</v>
      </c>
      <c r="B12510">
        <f>TEXT(12509, "[$-0E0000]yyyy-mm-dd")</f>
        <v/>
      </c>
      <c r="C12510" t="inlineStr">
        <is>
          <t>1934-02-18</t>
        </is>
      </c>
    </row>
    <row r="12511">
      <c r="A12511" s="1" t="n">
        <v>12510</v>
      </c>
      <c r="B12511">
        <f>TEXT(12510, "[$-0E0000]yyyy-mm-dd")</f>
        <v/>
      </c>
      <c r="C12511" t="inlineStr">
        <is>
          <t>1934-02-19</t>
        </is>
      </c>
    </row>
    <row r="12512">
      <c r="A12512" s="1" t="n">
        <v>12511</v>
      </c>
      <c r="B12512">
        <f>TEXT(12511, "[$-0E0000]yyyy-mm-dd")</f>
        <v/>
      </c>
      <c r="C12512" t="inlineStr">
        <is>
          <t>1934-02-20</t>
        </is>
      </c>
    </row>
    <row r="12513">
      <c r="A12513" s="1" t="n">
        <v>12512</v>
      </c>
      <c r="B12513">
        <f>TEXT(12512, "[$-0E0000]yyyy-mm-dd")</f>
        <v/>
      </c>
      <c r="C12513" t="inlineStr">
        <is>
          <t>1934-02-21</t>
        </is>
      </c>
    </row>
    <row r="12514">
      <c r="A12514" s="1" t="n">
        <v>12513</v>
      </c>
      <c r="B12514">
        <f>TEXT(12513, "[$-0E0000]yyyy-mm-dd")</f>
        <v/>
      </c>
      <c r="C12514" t="inlineStr">
        <is>
          <t>1934-02-22</t>
        </is>
      </c>
    </row>
    <row r="12515">
      <c r="A12515" s="1" t="n">
        <v>12514</v>
      </c>
      <c r="B12515">
        <f>TEXT(12514, "[$-0E0000]yyyy-mm-dd")</f>
        <v/>
      </c>
      <c r="C12515" t="inlineStr">
        <is>
          <t>1934-02-23</t>
        </is>
      </c>
    </row>
    <row r="12516">
      <c r="A12516" s="1" t="n">
        <v>12515</v>
      </c>
      <c r="B12516">
        <f>TEXT(12515, "[$-0E0000]yyyy-mm-dd")</f>
        <v/>
      </c>
      <c r="C12516" t="inlineStr">
        <is>
          <t>1934-02-24</t>
        </is>
      </c>
    </row>
    <row r="12517">
      <c r="A12517" s="1" t="n">
        <v>12516</v>
      </c>
      <c r="B12517">
        <f>TEXT(12516, "[$-0E0000]yyyy-mm-dd")</f>
        <v/>
      </c>
      <c r="C12517" t="inlineStr">
        <is>
          <t>1934-02-25</t>
        </is>
      </c>
    </row>
    <row r="12518">
      <c r="A12518" s="1" t="n">
        <v>12517</v>
      </c>
      <c r="B12518">
        <f>TEXT(12517, "[$-0E0000]yyyy-mm-dd")</f>
        <v/>
      </c>
      <c r="C12518" t="inlineStr">
        <is>
          <t>1934-02-26</t>
        </is>
      </c>
    </row>
    <row r="12519">
      <c r="A12519" s="1" t="n">
        <v>12518</v>
      </c>
      <c r="B12519">
        <f>TEXT(12518, "[$-0E0000]yyyy-mm-dd")</f>
        <v/>
      </c>
      <c r="C12519" t="inlineStr">
        <is>
          <t>1934-02-27</t>
        </is>
      </c>
    </row>
    <row r="12520">
      <c r="A12520" s="1" t="n">
        <v>12519</v>
      </c>
      <c r="B12520">
        <f>TEXT(12519, "[$-0E0000]yyyy-mm-dd")</f>
        <v/>
      </c>
      <c r="C12520" t="inlineStr">
        <is>
          <t>1934-02-28</t>
        </is>
      </c>
    </row>
    <row r="12521">
      <c r="A12521" s="1" t="n">
        <v>12520</v>
      </c>
      <c r="B12521">
        <f>TEXT(12520, "[$-0E0000]yyyy-mm-dd")</f>
        <v/>
      </c>
      <c r="C12521" t="inlineStr">
        <is>
          <t>1934-02-29</t>
        </is>
      </c>
    </row>
    <row r="12522">
      <c r="A12522" s="1" t="n">
        <v>12521</v>
      </c>
      <c r="B12522">
        <f>TEXT(12521, "[$-0E0000]yyyy-mm-dd")</f>
        <v/>
      </c>
      <c r="C12522" t="inlineStr">
        <is>
          <t>1934-02-30</t>
        </is>
      </c>
    </row>
    <row r="12523">
      <c r="A12523" s="1" t="n">
        <v>12522</v>
      </c>
      <c r="B12523">
        <f>TEXT(12522, "[$-0E0000]yyyy-mm-dd")</f>
        <v/>
      </c>
      <c r="C12523" t="inlineStr">
        <is>
          <t>1934-03-01</t>
        </is>
      </c>
    </row>
    <row r="12524">
      <c r="A12524" s="1" t="n">
        <v>12523</v>
      </c>
      <c r="B12524">
        <f>TEXT(12523, "[$-0E0000]yyyy-mm-dd")</f>
        <v/>
      </c>
      <c r="C12524" t="inlineStr">
        <is>
          <t>1934-03-02</t>
        </is>
      </c>
    </row>
    <row r="12525">
      <c r="A12525" s="1" t="n">
        <v>12524</v>
      </c>
      <c r="B12525">
        <f>TEXT(12524, "[$-0E0000]yyyy-mm-dd")</f>
        <v/>
      </c>
      <c r="C12525" t="inlineStr">
        <is>
          <t>1934-03-03</t>
        </is>
      </c>
    </row>
    <row r="12526">
      <c r="A12526" s="1" t="n">
        <v>12525</v>
      </c>
      <c r="B12526">
        <f>TEXT(12525, "[$-0E0000]yyyy-mm-dd")</f>
        <v/>
      </c>
      <c r="C12526" t="inlineStr">
        <is>
          <t>1934-03-04</t>
        </is>
      </c>
    </row>
    <row r="12527">
      <c r="A12527" s="1" t="n">
        <v>12526</v>
      </c>
      <c r="B12527">
        <f>TEXT(12526, "[$-0E0000]yyyy-mm-dd")</f>
        <v/>
      </c>
      <c r="C12527" t="inlineStr">
        <is>
          <t>1934-03-05</t>
        </is>
      </c>
    </row>
    <row r="12528">
      <c r="A12528" s="1" t="n">
        <v>12527</v>
      </c>
      <c r="B12528">
        <f>TEXT(12527, "[$-0E0000]yyyy-mm-dd")</f>
        <v/>
      </c>
      <c r="C12528" t="inlineStr">
        <is>
          <t>1934-03-06</t>
        </is>
      </c>
    </row>
    <row r="12529">
      <c r="A12529" s="1" t="n">
        <v>12528</v>
      </c>
      <c r="B12529">
        <f>TEXT(12528, "[$-0E0000]yyyy-mm-dd")</f>
        <v/>
      </c>
      <c r="C12529" t="inlineStr">
        <is>
          <t>1934-03-07</t>
        </is>
      </c>
    </row>
    <row r="12530">
      <c r="A12530" s="1" t="n">
        <v>12529</v>
      </c>
      <c r="B12530">
        <f>TEXT(12529, "[$-0E0000]yyyy-mm-dd")</f>
        <v/>
      </c>
      <c r="C12530" t="inlineStr">
        <is>
          <t>1934-03-08</t>
        </is>
      </c>
    </row>
    <row r="12531">
      <c r="A12531" s="1" t="n">
        <v>12530</v>
      </c>
      <c r="B12531">
        <f>TEXT(12530, "[$-0E0000]yyyy-mm-dd")</f>
        <v/>
      </c>
      <c r="C12531" t="inlineStr">
        <is>
          <t>1934-03-09</t>
        </is>
      </c>
    </row>
    <row r="12532">
      <c r="A12532" s="1" t="n">
        <v>12531</v>
      </c>
      <c r="B12532">
        <f>TEXT(12531, "[$-0E0000]yyyy-mm-dd")</f>
        <v/>
      </c>
      <c r="C12532" t="inlineStr">
        <is>
          <t>1934-03-10</t>
        </is>
      </c>
    </row>
    <row r="12533">
      <c r="A12533" s="1" t="n">
        <v>12532</v>
      </c>
      <c r="B12533">
        <f>TEXT(12532, "[$-0E0000]yyyy-mm-dd")</f>
        <v/>
      </c>
      <c r="C12533" t="inlineStr">
        <is>
          <t>1934-03-11</t>
        </is>
      </c>
    </row>
    <row r="12534">
      <c r="A12534" s="1" t="n">
        <v>12533</v>
      </c>
      <c r="B12534">
        <f>TEXT(12533, "[$-0E0000]yyyy-mm-dd")</f>
        <v/>
      </c>
      <c r="C12534" t="inlineStr">
        <is>
          <t>1934-03-12</t>
        </is>
      </c>
    </row>
    <row r="12535">
      <c r="A12535" s="1" t="n">
        <v>12534</v>
      </c>
      <c r="B12535">
        <f>TEXT(12534, "[$-0E0000]yyyy-mm-dd")</f>
        <v/>
      </c>
      <c r="C12535" t="inlineStr">
        <is>
          <t>1934-03-13</t>
        </is>
      </c>
    </row>
    <row r="12536">
      <c r="A12536" s="1" t="n">
        <v>12535</v>
      </c>
      <c r="B12536">
        <f>TEXT(12535, "[$-0E0000]yyyy-mm-dd")</f>
        <v/>
      </c>
      <c r="C12536" t="inlineStr">
        <is>
          <t>1934-03-14</t>
        </is>
      </c>
    </row>
    <row r="12537">
      <c r="A12537" s="1" t="n">
        <v>12536</v>
      </c>
      <c r="B12537">
        <f>TEXT(12536, "[$-0E0000]yyyy-mm-dd")</f>
        <v/>
      </c>
      <c r="C12537" t="inlineStr">
        <is>
          <t>1934-03-15</t>
        </is>
      </c>
    </row>
    <row r="12538">
      <c r="A12538" s="1" t="n">
        <v>12537</v>
      </c>
      <c r="B12538">
        <f>TEXT(12537, "[$-0E0000]yyyy-mm-dd")</f>
        <v/>
      </c>
      <c r="C12538" t="inlineStr">
        <is>
          <t>1934-03-16</t>
        </is>
      </c>
    </row>
    <row r="12539">
      <c r="A12539" s="1" t="n">
        <v>12538</v>
      </c>
      <c r="B12539">
        <f>TEXT(12538, "[$-0E0000]yyyy-mm-dd")</f>
        <v/>
      </c>
      <c r="C12539" t="inlineStr">
        <is>
          <t>1934-03-17</t>
        </is>
      </c>
    </row>
    <row r="12540">
      <c r="A12540" s="1" t="n">
        <v>12539</v>
      </c>
      <c r="B12540">
        <f>TEXT(12539, "[$-0E0000]yyyy-mm-dd")</f>
        <v/>
      </c>
      <c r="C12540" t="inlineStr">
        <is>
          <t>1934-03-18</t>
        </is>
      </c>
    </row>
    <row r="12541">
      <c r="A12541" s="1" t="n">
        <v>12540</v>
      </c>
      <c r="B12541">
        <f>TEXT(12540, "[$-0E0000]yyyy-mm-dd")</f>
        <v/>
      </c>
      <c r="C12541" t="inlineStr">
        <is>
          <t>1934-03-19</t>
        </is>
      </c>
    </row>
    <row r="12542">
      <c r="A12542" s="1" t="n">
        <v>12541</v>
      </c>
      <c r="B12542">
        <f>TEXT(12541, "[$-0E0000]yyyy-mm-dd")</f>
        <v/>
      </c>
      <c r="C12542" t="inlineStr">
        <is>
          <t>1934-03-20</t>
        </is>
      </c>
    </row>
    <row r="12543">
      <c r="A12543" s="1" t="n">
        <v>12542</v>
      </c>
      <c r="B12543">
        <f>TEXT(12542, "[$-0E0000]yyyy-mm-dd")</f>
        <v/>
      </c>
      <c r="C12543" t="inlineStr">
        <is>
          <t>1934-03-21</t>
        </is>
      </c>
    </row>
    <row r="12544">
      <c r="A12544" s="1" t="n">
        <v>12543</v>
      </c>
      <c r="B12544">
        <f>TEXT(12543, "[$-0E0000]yyyy-mm-dd")</f>
        <v/>
      </c>
      <c r="C12544" t="inlineStr">
        <is>
          <t>1934-03-22</t>
        </is>
      </c>
    </row>
    <row r="12545">
      <c r="A12545" s="1" t="n">
        <v>12544</v>
      </c>
      <c r="B12545">
        <f>TEXT(12544, "[$-0E0000]yyyy-mm-dd")</f>
        <v/>
      </c>
      <c r="C12545" t="inlineStr">
        <is>
          <t>1934-03-23</t>
        </is>
      </c>
    </row>
    <row r="12546">
      <c r="A12546" s="1" t="n">
        <v>12545</v>
      </c>
      <c r="B12546">
        <f>TEXT(12545, "[$-0E0000]yyyy-mm-dd")</f>
        <v/>
      </c>
      <c r="C12546" t="inlineStr">
        <is>
          <t>1934-03-24</t>
        </is>
      </c>
    </row>
    <row r="12547">
      <c r="A12547" s="1" t="n">
        <v>12546</v>
      </c>
      <c r="B12547">
        <f>TEXT(12546, "[$-0E0000]yyyy-mm-dd")</f>
        <v/>
      </c>
      <c r="C12547" t="inlineStr">
        <is>
          <t>1934-03-25</t>
        </is>
      </c>
    </row>
    <row r="12548">
      <c r="A12548" s="1" t="n">
        <v>12547</v>
      </c>
      <c r="B12548">
        <f>TEXT(12547, "[$-0E0000]yyyy-mm-dd")</f>
        <v/>
      </c>
      <c r="C12548" t="inlineStr">
        <is>
          <t>1934-03-26</t>
        </is>
      </c>
    </row>
    <row r="12549">
      <c r="A12549" s="1" t="n">
        <v>12548</v>
      </c>
      <c r="B12549">
        <f>TEXT(12548, "[$-0E0000]yyyy-mm-dd")</f>
        <v/>
      </c>
      <c r="C12549" t="inlineStr">
        <is>
          <t>1934-03-27</t>
        </is>
      </c>
    </row>
    <row r="12550">
      <c r="A12550" s="1" t="n">
        <v>12549</v>
      </c>
      <c r="B12550">
        <f>TEXT(12549, "[$-0E0000]yyyy-mm-dd")</f>
        <v/>
      </c>
      <c r="C12550" t="inlineStr">
        <is>
          <t>1934-03-28</t>
        </is>
      </c>
    </row>
    <row r="12551">
      <c r="A12551" s="1" t="n">
        <v>12550</v>
      </c>
      <c r="B12551">
        <f>TEXT(12550, "[$-0E0000]yyyy-mm-dd")</f>
        <v/>
      </c>
      <c r="C12551" t="inlineStr">
        <is>
          <t>1934-03-29</t>
        </is>
      </c>
    </row>
    <row r="12552">
      <c r="A12552" s="1" t="n">
        <v>12551</v>
      </c>
      <c r="B12552">
        <f>TEXT(12551, "[$-0E0000]yyyy-mm-dd")</f>
        <v/>
      </c>
      <c r="C12552" t="inlineStr">
        <is>
          <t>1934-04-01</t>
        </is>
      </c>
    </row>
    <row r="12553">
      <c r="A12553" s="1" t="n">
        <v>12552</v>
      </c>
      <c r="B12553">
        <f>TEXT(12552, "[$-0E0000]yyyy-mm-dd")</f>
        <v/>
      </c>
      <c r="C12553" t="inlineStr">
        <is>
          <t>1934-04-02</t>
        </is>
      </c>
    </row>
    <row r="12554">
      <c r="A12554" s="1" t="n">
        <v>12553</v>
      </c>
      <c r="B12554">
        <f>TEXT(12553, "[$-0E0000]yyyy-mm-dd")</f>
        <v/>
      </c>
      <c r="C12554" t="inlineStr">
        <is>
          <t>1934-04-03</t>
        </is>
      </c>
    </row>
    <row r="12555">
      <c r="A12555" s="1" t="n">
        <v>12554</v>
      </c>
      <c r="B12555">
        <f>TEXT(12554, "[$-0E0000]yyyy-mm-dd")</f>
        <v/>
      </c>
      <c r="C12555" t="inlineStr">
        <is>
          <t>1934-04-04</t>
        </is>
      </c>
    </row>
    <row r="12556">
      <c r="A12556" s="1" t="n">
        <v>12555</v>
      </c>
      <c r="B12556">
        <f>TEXT(12555, "[$-0E0000]yyyy-mm-dd")</f>
        <v/>
      </c>
      <c r="C12556" t="inlineStr">
        <is>
          <t>1934-04-05</t>
        </is>
      </c>
    </row>
    <row r="12557">
      <c r="A12557" s="1" t="n">
        <v>12556</v>
      </c>
      <c r="B12557">
        <f>TEXT(12556, "[$-0E0000]yyyy-mm-dd")</f>
        <v/>
      </c>
      <c r="C12557" t="inlineStr">
        <is>
          <t>1934-04-06</t>
        </is>
      </c>
    </row>
    <row r="12558">
      <c r="A12558" s="1" t="n">
        <v>12557</v>
      </c>
      <c r="B12558">
        <f>TEXT(12557, "[$-0E0000]yyyy-mm-dd")</f>
        <v/>
      </c>
      <c r="C12558" t="inlineStr">
        <is>
          <t>1934-04-07</t>
        </is>
      </c>
    </row>
    <row r="12559">
      <c r="A12559" s="1" t="n">
        <v>12558</v>
      </c>
      <c r="B12559">
        <f>TEXT(12558, "[$-0E0000]yyyy-mm-dd")</f>
        <v/>
      </c>
      <c r="C12559" t="inlineStr">
        <is>
          <t>1934-04-08</t>
        </is>
      </c>
    </row>
    <row r="12560">
      <c r="A12560" s="1" t="n">
        <v>12559</v>
      </c>
      <c r="B12560">
        <f>TEXT(12559, "[$-0E0000]yyyy-mm-dd")</f>
        <v/>
      </c>
      <c r="C12560" t="inlineStr">
        <is>
          <t>1934-04-09</t>
        </is>
      </c>
    </row>
    <row r="12561">
      <c r="A12561" s="1" t="n">
        <v>12560</v>
      </c>
      <c r="B12561">
        <f>TEXT(12560, "[$-0E0000]yyyy-mm-dd")</f>
        <v/>
      </c>
      <c r="C12561" t="inlineStr">
        <is>
          <t>1934-04-10</t>
        </is>
      </c>
    </row>
    <row r="12562">
      <c r="A12562" s="1" t="n">
        <v>12561</v>
      </c>
      <c r="B12562">
        <f>TEXT(12561, "[$-0E0000]yyyy-mm-dd")</f>
        <v/>
      </c>
      <c r="C12562" t="inlineStr">
        <is>
          <t>1934-04-11</t>
        </is>
      </c>
    </row>
    <row r="12563">
      <c r="A12563" s="1" t="n">
        <v>12562</v>
      </c>
      <c r="B12563">
        <f>TEXT(12562, "[$-0E0000]yyyy-mm-dd")</f>
        <v/>
      </c>
      <c r="C12563" t="inlineStr">
        <is>
          <t>1934-04-12</t>
        </is>
      </c>
    </row>
    <row r="12564">
      <c r="A12564" s="1" t="n">
        <v>12563</v>
      </c>
      <c r="B12564">
        <f>TEXT(12563, "[$-0E0000]yyyy-mm-dd")</f>
        <v/>
      </c>
      <c r="C12564" t="inlineStr">
        <is>
          <t>1934-04-13</t>
        </is>
      </c>
    </row>
    <row r="12565">
      <c r="A12565" s="1" t="n">
        <v>12564</v>
      </c>
      <c r="B12565">
        <f>TEXT(12564, "[$-0E0000]yyyy-mm-dd")</f>
        <v/>
      </c>
      <c r="C12565" t="inlineStr">
        <is>
          <t>1934-04-14</t>
        </is>
      </c>
    </row>
    <row r="12566">
      <c r="A12566" s="1" t="n">
        <v>12565</v>
      </c>
      <c r="B12566">
        <f>TEXT(12565, "[$-0E0000]yyyy-mm-dd")</f>
        <v/>
      </c>
      <c r="C12566" t="inlineStr">
        <is>
          <t>1934-04-15</t>
        </is>
      </c>
    </row>
    <row r="12567">
      <c r="A12567" s="1" t="n">
        <v>12566</v>
      </c>
      <c r="B12567">
        <f>TEXT(12566, "[$-0E0000]yyyy-mm-dd")</f>
        <v/>
      </c>
      <c r="C12567" t="inlineStr">
        <is>
          <t>1934-04-16</t>
        </is>
      </c>
    </row>
    <row r="12568">
      <c r="A12568" s="1" t="n">
        <v>12567</v>
      </c>
      <c r="B12568">
        <f>TEXT(12567, "[$-0E0000]yyyy-mm-dd")</f>
        <v/>
      </c>
      <c r="C12568" t="inlineStr">
        <is>
          <t>1934-04-17</t>
        </is>
      </c>
    </row>
    <row r="12569">
      <c r="A12569" s="1" t="n">
        <v>12568</v>
      </c>
      <c r="B12569">
        <f>TEXT(12568, "[$-0E0000]yyyy-mm-dd")</f>
        <v/>
      </c>
      <c r="C12569" t="inlineStr">
        <is>
          <t>1934-04-18</t>
        </is>
      </c>
    </row>
    <row r="12570">
      <c r="A12570" s="1" t="n">
        <v>12569</v>
      </c>
      <c r="B12570">
        <f>TEXT(12569, "[$-0E0000]yyyy-mm-dd")</f>
        <v/>
      </c>
      <c r="C12570" t="inlineStr">
        <is>
          <t>1934-04-19</t>
        </is>
      </c>
    </row>
    <row r="12571">
      <c r="A12571" s="1" t="n">
        <v>12570</v>
      </c>
      <c r="B12571">
        <f>TEXT(12570, "[$-0E0000]yyyy-mm-dd")</f>
        <v/>
      </c>
      <c r="C12571" t="inlineStr">
        <is>
          <t>1934-04-20</t>
        </is>
      </c>
    </row>
    <row r="12572">
      <c r="A12572" s="1" t="n">
        <v>12571</v>
      </c>
      <c r="B12572">
        <f>TEXT(12571, "[$-0E0000]yyyy-mm-dd")</f>
        <v/>
      </c>
      <c r="C12572" t="inlineStr">
        <is>
          <t>1934-04-21</t>
        </is>
      </c>
    </row>
    <row r="12573">
      <c r="A12573" s="1" t="n">
        <v>12572</v>
      </c>
      <c r="B12573">
        <f>TEXT(12572, "[$-0E0000]yyyy-mm-dd")</f>
        <v/>
      </c>
      <c r="C12573" t="inlineStr">
        <is>
          <t>1934-04-22</t>
        </is>
      </c>
    </row>
    <row r="12574">
      <c r="A12574" s="1" t="n">
        <v>12573</v>
      </c>
      <c r="B12574">
        <f>TEXT(12573, "[$-0E0000]yyyy-mm-dd")</f>
        <v/>
      </c>
      <c r="C12574" t="inlineStr">
        <is>
          <t>1934-04-23</t>
        </is>
      </c>
    </row>
    <row r="12575">
      <c r="A12575" s="1" t="n">
        <v>12574</v>
      </c>
      <c r="B12575">
        <f>TEXT(12574, "[$-0E0000]yyyy-mm-dd")</f>
        <v/>
      </c>
      <c r="C12575" t="inlineStr">
        <is>
          <t>1934-04-24</t>
        </is>
      </c>
    </row>
    <row r="12576">
      <c r="A12576" s="1" t="n">
        <v>12575</v>
      </c>
      <c r="B12576">
        <f>TEXT(12575, "[$-0E0000]yyyy-mm-dd")</f>
        <v/>
      </c>
      <c r="C12576" t="inlineStr">
        <is>
          <t>1934-04-25</t>
        </is>
      </c>
    </row>
    <row r="12577">
      <c r="A12577" s="1" t="n">
        <v>12576</v>
      </c>
      <c r="B12577">
        <f>TEXT(12576, "[$-0E0000]yyyy-mm-dd")</f>
        <v/>
      </c>
      <c r="C12577" t="inlineStr">
        <is>
          <t>1934-04-26</t>
        </is>
      </c>
    </row>
    <row r="12578">
      <c r="A12578" s="1" t="n">
        <v>12577</v>
      </c>
      <c r="B12578">
        <f>TEXT(12577, "[$-0E0000]yyyy-mm-dd")</f>
        <v/>
      </c>
      <c r="C12578" t="inlineStr">
        <is>
          <t>1934-04-27</t>
        </is>
      </c>
    </row>
    <row r="12579">
      <c r="A12579" s="1" t="n">
        <v>12578</v>
      </c>
      <c r="B12579">
        <f>TEXT(12578, "[$-0E0000]yyyy-mm-dd")</f>
        <v/>
      </c>
      <c r="C12579" t="inlineStr">
        <is>
          <t>1934-04-28</t>
        </is>
      </c>
    </row>
    <row r="12580">
      <c r="A12580" s="1" t="n">
        <v>12579</v>
      </c>
      <c r="B12580">
        <f>TEXT(12579, "[$-0E0000]yyyy-mm-dd")</f>
        <v/>
      </c>
      <c r="C12580" t="inlineStr">
        <is>
          <t>1934-04-29</t>
        </is>
      </c>
    </row>
    <row r="12581">
      <c r="A12581" s="1" t="n">
        <v>12580</v>
      </c>
      <c r="B12581">
        <f>TEXT(12580, "[$-0E0000]yyyy-mm-dd")</f>
        <v/>
      </c>
      <c r="C12581" t="inlineStr">
        <is>
          <t>1934-04-30</t>
        </is>
      </c>
    </row>
    <row r="12582">
      <c r="A12582" s="1" t="n">
        <v>12581</v>
      </c>
      <c r="B12582">
        <f>TEXT(12581, "[$-0E0000]yyyy-mm-dd")</f>
        <v/>
      </c>
      <c r="C12582" t="inlineStr">
        <is>
          <t>1934-05-01</t>
        </is>
      </c>
    </row>
    <row r="12583">
      <c r="A12583" s="1" t="n">
        <v>12582</v>
      </c>
      <c r="B12583">
        <f>TEXT(12582, "[$-0E0000]yyyy-mm-dd")</f>
        <v/>
      </c>
      <c r="C12583" t="inlineStr">
        <is>
          <t>1934-05-02</t>
        </is>
      </c>
    </row>
    <row r="12584">
      <c r="A12584" s="1" t="n">
        <v>12583</v>
      </c>
      <c r="B12584">
        <f>TEXT(12583, "[$-0E0000]yyyy-mm-dd")</f>
        <v/>
      </c>
      <c r="C12584" t="inlineStr">
        <is>
          <t>1934-05-03</t>
        </is>
      </c>
    </row>
    <row r="12585">
      <c r="A12585" s="1" t="n">
        <v>12584</v>
      </c>
      <c r="B12585">
        <f>TEXT(12584, "[$-0E0000]yyyy-mm-dd")</f>
        <v/>
      </c>
      <c r="C12585" t="inlineStr">
        <is>
          <t>1934-05-04</t>
        </is>
      </c>
    </row>
    <row r="12586">
      <c r="A12586" s="1" t="n">
        <v>12585</v>
      </c>
      <c r="B12586">
        <f>TEXT(12585, "[$-0E0000]yyyy-mm-dd")</f>
        <v/>
      </c>
      <c r="C12586" t="inlineStr">
        <is>
          <t>1934-05-05</t>
        </is>
      </c>
    </row>
    <row r="12587">
      <c r="A12587" s="1" t="n">
        <v>12586</v>
      </c>
      <c r="B12587">
        <f>TEXT(12586, "[$-0E0000]yyyy-mm-dd")</f>
        <v/>
      </c>
      <c r="C12587" t="inlineStr">
        <is>
          <t>1934-05-06</t>
        </is>
      </c>
    </row>
    <row r="12588">
      <c r="A12588" s="1" t="n">
        <v>12587</v>
      </c>
      <c r="B12588">
        <f>TEXT(12587, "[$-0E0000]yyyy-mm-dd")</f>
        <v/>
      </c>
      <c r="C12588" t="inlineStr">
        <is>
          <t>1934-05-07</t>
        </is>
      </c>
    </row>
    <row r="12589">
      <c r="A12589" s="1" t="n">
        <v>12588</v>
      </c>
      <c r="B12589">
        <f>TEXT(12588, "[$-0E0000]yyyy-mm-dd")</f>
        <v/>
      </c>
      <c r="C12589" t="inlineStr">
        <is>
          <t>1934-05-08</t>
        </is>
      </c>
    </row>
    <row r="12590">
      <c r="A12590" s="1" t="n">
        <v>12589</v>
      </c>
      <c r="B12590">
        <f>TEXT(12589, "[$-0E0000]yyyy-mm-dd")</f>
        <v/>
      </c>
      <c r="C12590" t="inlineStr">
        <is>
          <t>1934-05-09</t>
        </is>
      </c>
    </row>
    <row r="12591">
      <c r="A12591" s="1" t="n">
        <v>12590</v>
      </c>
      <c r="B12591">
        <f>TEXT(12590, "[$-0E0000]yyyy-mm-dd")</f>
        <v/>
      </c>
      <c r="C12591" t="inlineStr">
        <is>
          <t>1934-05-10</t>
        </is>
      </c>
    </row>
    <row r="12592">
      <c r="A12592" s="1" t="n">
        <v>12591</v>
      </c>
      <c r="B12592">
        <f>TEXT(12591, "[$-0E0000]yyyy-mm-dd")</f>
        <v/>
      </c>
      <c r="C12592" t="inlineStr">
        <is>
          <t>1934-05-11</t>
        </is>
      </c>
    </row>
    <row r="12593">
      <c r="A12593" s="1" t="n">
        <v>12592</v>
      </c>
      <c r="B12593">
        <f>TEXT(12592, "[$-0E0000]yyyy-mm-dd")</f>
        <v/>
      </c>
      <c r="C12593" t="inlineStr">
        <is>
          <t>1934-05-12</t>
        </is>
      </c>
    </row>
    <row r="12594">
      <c r="A12594" s="1" t="n">
        <v>12593</v>
      </c>
      <c r="B12594">
        <f>TEXT(12593, "[$-0E0000]yyyy-mm-dd")</f>
        <v/>
      </c>
      <c r="C12594" t="inlineStr">
        <is>
          <t>1934-05-13</t>
        </is>
      </c>
    </row>
    <row r="12595">
      <c r="A12595" s="1" t="n">
        <v>12594</v>
      </c>
      <c r="B12595">
        <f>TEXT(12594, "[$-0E0000]yyyy-mm-dd")</f>
        <v/>
      </c>
      <c r="C12595" t="inlineStr">
        <is>
          <t>1934-05-14</t>
        </is>
      </c>
    </row>
    <row r="12596">
      <c r="A12596" s="1" t="n">
        <v>12595</v>
      </c>
      <c r="B12596">
        <f>TEXT(12595, "[$-0E0000]yyyy-mm-dd")</f>
        <v/>
      </c>
      <c r="C12596" t="inlineStr">
        <is>
          <t>1934-05-15</t>
        </is>
      </c>
    </row>
    <row r="12597">
      <c r="A12597" s="1" t="n">
        <v>12596</v>
      </c>
      <c r="B12597">
        <f>TEXT(12596, "[$-0E0000]yyyy-mm-dd")</f>
        <v/>
      </c>
      <c r="C12597" t="inlineStr">
        <is>
          <t>1934-05-16</t>
        </is>
      </c>
    </row>
    <row r="12598">
      <c r="A12598" s="1" t="n">
        <v>12597</v>
      </c>
      <c r="B12598">
        <f>TEXT(12597, "[$-0E0000]yyyy-mm-dd")</f>
        <v/>
      </c>
      <c r="C12598" t="inlineStr">
        <is>
          <t>1934-05-17</t>
        </is>
      </c>
    </row>
    <row r="12599">
      <c r="A12599" s="1" t="n">
        <v>12598</v>
      </c>
      <c r="B12599">
        <f>TEXT(12598, "[$-0E0000]yyyy-mm-dd")</f>
        <v/>
      </c>
      <c r="C12599" t="inlineStr">
        <is>
          <t>1934-05-18</t>
        </is>
      </c>
    </row>
    <row r="12600">
      <c r="A12600" s="1" t="n">
        <v>12599</v>
      </c>
      <c r="B12600">
        <f>TEXT(12599, "[$-0E0000]yyyy-mm-dd")</f>
        <v/>
      </c>
      <c r="C12600" t="inlineStr">
        <is>
          <t>1934-05-19</t>
        </is>
      </c>
    </row>
    <row r="12601">
      <c r="A12601" s="1" t="n">
        <v>12600</v>
      </c>
      <c r="B12601">
        <f>TEXT(12600, "[$-0E0000]yyyy-mm-dd")</f>
        <v/>
      </c>
      <c r="C12601" t="inlineStr">
        <is>
          <t>1934-05-20</t>
        </is>
      </c>
    </row>
    <row r="12602">
      <c r="A12602" s="1" t="n">
        <v>12601</v>
      </c>
      <c r="B12602">
        <f>TEXT(12601, "[$-0E0000]yyyy-mm-dd")</f>
        <v/>
      </c>
      <c r="C12602" t="inlineStr">
        <is>
          <t>1934-05-21</t>
        </is>
      </c>
    </row>
    <row r="12603">
      <c r="A12603" s="1" t="n">
        <v>12602</v>
      </c>
      <c r="B12603">
        <f>TEXT(12602, "[$-0E0000]yyyy-mm-dd")</f>
        <v/>
      </c>
      <c r="C12603" t="inlineStr">
        <is>
          <t>1934-05-22</t>
        </is>
      </c>
    </row>
    <row r="12604">
      <c r="A12604" s="1" t="n">
        <v>12603</v>
      </c>
      <c r="B12604">
        <f>TEXT(12603, "[$-0E0000]yyyy-mm-dd")</f>
        <v/>
      </c>
      <c r="C12604" t="inlineStr">
        <is>
          <t>1934-05-23</t>
        </is>
      </c>
    </row>
    <row r="12605">
      <c r="A12605" s="1" t="n">
        <v>12604</v>
      </c>
      <c r="B12605">
        <f>TEXT(12604, "[$-0E0000]yyyy-mm-dd")</f>
        <v/>
      </c>
      <c r="C12605" t="inlineStr">
        <is>
          <t>1934-05-24</t>
        </is>
      </c>
    </row>
    <row r="12606">
      <c r="A12606" s="1" t="n">
        <v>12605</v>
      </c>
      <c r="B12606">
        <f>TEXT(12605, "[$-0E0000]yyyy-mm-dd")</f>
        <v/>
      </c>
      <c r="C12606" t="inlineStr">
        <is>
          <t>1934-05-25</t>
        </is>
      </c>
    </row>
    <row r="12607">
      <c r="A12607" s="1" t="n">
        <v>12606</v>
      </c>
      <c r="B12607">
        <f>TEXT(12606, "[$-0E0000]yyyy-mm-dd")</f>
        <v/>
      </c>
      <c r="C12607" t="inlineStr">
        <is>
          <t>1934-05-26</t>
        </is>
      </c>
    </row>
    <row r="12608">
      <c r="A12608" s="1" t="n">
        <v>12607</v>
      </c>
      <c r="B12608">
        <f>TEXT(12607, "[$-0E0000]yyyy-mm-dd")</f>
        <v/>
      </c>
      <c r="C12608" t="inlineStr">
        <is>
          <t>1934-05-27</t>
        </is>
      </c>
    </row>
    <row r="12609">
      <c r="A12609" s="1" t="n">
        <v>12608</v>
      </c>
      <c r="B12609">
        <f>TEXT(12608, "[$-0E0000]yyyy-mm-dd")</f>
        <v/>
      </c>
      <c r="C12609" t="inlineStr">
        <is>
          <t>1934-05-28</t>
        </is>
      </c>
    </row>
    <row r="12610">
      <c r="A12610" s="1" t="n">
        <v>12609</v>
      </c>
      <c r="B12610">
        <f>TEXT(12609, "[$-0E0000]yyyy-mm-dd")</f>
        <v/>
      </c>
      <c r="C12610" t="inlineStr">
        <is>
          <t>1934-05-29</t>
        </is>
      </c>
    </row>
    <row r="12611">
      <c r="A12611" s="1" t="n">
        <v>12610</v>
      </c>
      <c r="B12611">
        <f>TEXT(12610, "[$-0E0000]yyyy-mm-dd")</f>
        <v/>
      </c>
      <c r="C12611" t="inlineStr">
        <is>
          <t>1934-05-30</t>
        </is>
      </c>
    </row>
    <row r="12612">
      <c r="A12612" s="1" t="n">
        <v>12611</v>
      </c>
      <c r="B12612">
        <f>TEXT(12611, "[$-0E0000]yyyy-mm-dd")</f>
        <v/>
      </c>
      <c r="C12612" t="inlineStr">
        <is>
          <t>1934-06-01</t>
        </is>
      </c>
    </row>
    <row r="12613">
      <c r="A12613" s="1" t="n">
        <v>12612</v>
      </c>
      <c r="B12613">
        <f>TEXT(12612, "[$-0E0000]yyyy-mm-dd")</f>
        <v/>
      </c>
      <c r="C12613" t="inlineStr">
        <is>
          <t>1934-06-02</t>
        </is>
      </c>
    </row>
    <row r="12614">
      <c r="A12614" s="1" t="n">
        <v>12613</v>
      </c>
      <c r="B12614">
        <f>TEXT(12613, "[$-0E0000]yyyy-mm-dd")</f>
        <v/>
      </c>
      <c r="C12614" t="inlineStr">
        <is>
          <t>1934-06-03</t>
        </is>
      </c>
    </row>
    <row r="12615">
      <c r="A12615" s="1" t="n">
        <v>12614</v>
      </c>
      <c r="B12615">
        <f>TEXT(12614, "[$-0E0000]yyyy-mm-dd")</f>
        <v/>
      </c>
      <c r="C12615" t="inlineStr">
        <is>
          <t>1934-06-04</t>
        </is>
      </c>
    </row>
    <row r="12616">
      <c r="A12616" s="1" t="n">
        <v>12615</v>
      </c>
      <c r="B12616">
        <f>TEXT(12615, "[$-0E0000]yyyy-mm-dd")</f>
        <v/>
      </c>
      <c r="C12616" t="inlineStr">
        <is>
          <t>1934-06-05</t>
        </is>
      </c>
    </row>
    <row r="12617">
      <c r="A12617" s="1" t="n">
        <v>12616</v>
      </c>
      <c r="B12617">
        <f>TEXT(12616, "[$-0E0000]yyyy-mm-dd")</f>
        <v/>
      </c>
      <c r="C12617" t="inlineStr">
        <is>
          <t>1934-06-06</t>
        </is>
      </c>
    </row>
    <row r="12618">
      <c r="A12618" s="1" t="n">
        <v>12617</v>
      </c>
      <c r="B12618">
        <f>TEXT(12617, "[$-0E0000]yyyy-mm-dd")</f>
        <v/>
      </c>
      <c r="C12618" t="inlineStr">
        <is>
          <t>1934-06-07</t>
        </is>
      </c>
    </row>
    <row r="12619">
      <c r="A12619" s="1" t="n">
        <v>12618</v>
      </c>
      <c r="B12619">
        <f>TEXT(12618, "[$-0E0000]yyyy-mm-dd")</f>
        <v/>
      </c>
      <c r="C12619" t="inlineStr">
        <is>
          <t>1934-06-08</t>
        </is>
      </c>
    </row>
    <row r="12620">
      <c r="A12620" s="1" t="n">
        <v>12619</v>
      </c>
      <c r="B12620">
        <f>TEXT(12619, "[$-0E0000]yyyy-mm-dd")</f>
        <v/>
      </c>
      <c r="C12620" t="inlineStr">
        <is>
          <t>1934-06-09</t>
        </is>
      </c>
    </row>
    <row r="12621">
      <c r="A12621" s="1" t="n">
        <v>12620</v>
      </c>
      <c r="B12621">
        <f>TEXT(12620, "[$-0E0000]yyyy-mm-dd")</f>
        <v/>
      </c>
      <c r="C12621" t="inlineStr">
        <is>
          <t>1934-06-10</t>
        </is>
      </c>
    </row>
    <row r="12622">
      <c r="A12622" s="1" t="n">
        <v>12621</v>
      </c>
      <c r="B12622">
        <f>TEXT(12621, "[$-0E0000]yyyy-mm-dd")</f>
        <v/>
      </c>
      <c r="C12622" t="inlineStr">
        <is>
          <t>1934-06-11</t>
        </is>
      </c>
    </row>
    <row r="12623">
      <c r="A12623" s="1" t="n">
        <v>12622</v>
      </c>
      <c r="B12623">
        <f>TEXT(12622, "[$-0E0000]yyyy-mm-dd")</f>
        <v/>
      </c>
      <c r="C12623" t="inlineStr">
        <is>
          <t>1934-06-12</t>
        </is>
      </c>
    </row>
    <row r="12624">
      <c r="A12624" s="1" t="n">
        <v>12623</v>
      </c>
      <c r="B12624">
        <f>TEXT(12623, "[$-0E0000]yyyy-mm-dd")</f>
        <v/>
      </c>
      <c r="C12624" t="inlineStr">
        <is>
          <t>1934-06-13</t>
        </is>
      </c>
    </row>
    <row r="12625">
      <c r="A12625" s="1" t="n">
        <v>12624</v>
      </c>
      <c r="B12625">
        <f>TEXT(12624, "[$-0E0000]yyyy-mm-dd")</f>
        <v/>
      </c>
      <c r="C12625" t="inlineStr">
        <is>
          <t>1934-06-14</t>
        </is>
      </c>
    </row>
    <row r="12626">
      <c r="A12626" s="1" t="n">
        <v>12625</v>
      </c>
      <c r="B12626">
        <f>TEXT(12625, "[$-0E0000]yyyy-mm-dd")</f>
        <v/>
      </c>
      <c r="C12626" t="inlineStr">
        <is>
          <t>1934-06-15</t>
        </is>
      </c>
    </row>
    <row r="12627">
      <c r="A12627" s="1" t="n">
        <v>12626</v>
      </c>
      <c r="B12627">
        <f>TEXT(12626, "[$-0E0000]yyyy-mm-dd")</f>
        <v/>
      </c>
      <c r="C12627" t="inlineStr">
        <is>
          <t>1934-06-16</t>
        </is>
      </c>
    </row>
    <row r="12628">
      <c r="A12628" s="1" t="n">
        <v>12627</v>
      </c>
      <c r="B12628">
        <f>TEXT(12627, "[$-0E0000]yyyy-mm-dd")</f>
        <v/>
      </c>
      <c r="C12628" t="inlineStr">
        <is>
          <t>1934-06-17</t>
        </is>
      </c>
    </row>
    <row r="12629">
      <c r="A12629" s="1" t="n">
        <v>12628</v>
      </c>
      <c r="B12629">
        <f>TEXT(12628, "[$-0E0000]yyyy-mm-dd")</f>
        <v/>
      </c>
      <c r="C12629" t="inlineStr">
        <is>
          <t>1934-06-18</t>
        </is>
      </c>
    </row>
    <row r="12630">
      <c r="A12630" s="1" t="n">
        <v>12629</v>
      </c>
      <c r="B12630">
        <f>TEXT(12629, "[$-0E0000]yyyy-mm-dd")</f>
        <v/>
      </c>
      <c r="C12630" t="inlineStr">
        <is>
          <t>1934-06-19</t>
        </is>
      </c>
    </row>
    <row r="12631">
      <c r="A12631" s="1" t="n">
        <v>12630</v>
      </c>
      <c r="B12631">
        <f>TEXT(12630, "[$-0E0000]yyyy-mm-dd")</f>
        <v/>
      </c>
      <c r="C12631" t="inlineStr">
        <is>
          <t>1934-06-20</t>
        </is>
      </c>
    </row>
    <row r="12632">
      <c r="A12632" s="1" t="n">
        <v>12631</v>
      </c>
      <c r="B12632">
        <f>TEXT(12631, "[$-0E0000]yyyy-mm-dd")</f>
        <v/>
      </c>
      <c r="C12632" t="inlineStr">
        <is>
          <t>1934-06-21</t>
        </is>
      </c>
    </row>
    <row r="12633">
      <c r="A12633" s="1" t="n">
        <v>12632</v>
      </c>
      <c r="B12633">
        <f>TEXT(12632, "[$-0E0000]yyyy-mm-dd")</f>
        <v/>
      </c>
      <c r="C12633" t="inlineStr">
        <is>
          <t>1934-06-22</t>
        </is>
      </c>
    </row>
    <row r="12634">
      <c r="A12634" s="1" t="n">
        <v>12633</v>
      </c>
      <c r="B12634">
        <f>TEXT(12633, "[$-0E0000]yyyy-mm-dd")</f>
        <v/>
      </c>
      <c r="C12634" t="inlineStr">
        <is>
          <t>1934-06-23</t>
        </is>
      </c>
    </row>
    <row r="12635">
      <c r="A12635" s="1" t="n">
        <v>12634</v>
      </c>
      <c r="B12635">
        <f>TEXT(12634, "[$-0E0000]yyyy-mm-dd")</f>
        <v/>
      </c>
      <c r="C12635" t="inlineStr">
        <is>
          <t>1934-06-24</t>
        </is>
      </c>
    </row>
    <row r="12636">
      <c r="A12636" s="1" t="n">
        <v>12635</v>
      </c>
      <c r="B12636">
        <f>TEXT(12635, "[$-0E0000]yyyy-mm-dd")</f>
        <v/>
      </c>
      <c r="C12636" t="inlineStr">
        <is>
          <t>1934-06-25</t>
        </is>
      </c>
    </row>
    <row r="12637">
      <c r="A12637" s="1" t="n">
        <v>12636</v>
      </c>
      <c r="B12637">
        <f>TEXT(12636, "[$-0E0000]yyyy-mm-dd")</f>
        <v/>
      </c>
      <c r="C12637" t="inlineStr">
        <is>
          <t>1934-06-26</t>
        </is>
      </c>
    </row>
    <row r="12638">
      <c r="A12638" s="1" t="n">
        <v>12637</v>
      </c>
      <c r="B12638">
        <f>TEXT(12637, "[$-0E0000]yyyy-mm-dd")</f>
        <v/>
      </c>
      <c r="C12638" t="inlineStr">
        <is>
          <t>1934-06-27</t>
        </is>
      </c>
    </row>
    <row r="12639">
      <c r="A12639" s="1" t="n">
        <v>12638</v>
      </c>
      <c r="B12639">
        <f>TEXT(12638, "[$-0E0000]yyyy-mm-dd")</f>
        <v/>
      </c>
      <c r="C12639" t="inlineStr">
        <is>
          <t>1934-06-28</t>
        </is>
      </c>
    </row>
    <row r="12640">
      <c r="A12640" s="1" t="n">
        <v>12639</v>
      </c>
      <c r="B12640">
        <f>TEXT(12639, "[$-0E0000]yyyy-mm-dd")</f>
        <v/>
      </c>
      <c r="C12640" t="inlineStr">
        <is>
          <t>1934-06-29</t>
        </is>
      </c>
    </row>
    <row r="12641">
      <c r="A12641" s="1" t="n">
        <v>12640</v>
      </c>
      <c r="B12641">
        <f>TEXT(12640, "[$-0E0000]yyyy-mm-dd")</f>
        <v/>
      </c>
      <c r="C12641" t="inlineStr">
        <is>
          <t>1934-07-01</t>
        </is>
      </c>
    </row>
    <row r="12642">
      <c r="A12642" s="1" t="n">
        <v>12641</v>
      </c>
      <c r="B12642">
        <f>TEXT(12641, "[$-0E0000]yyyy-mm-dd")</f>
        <v/>
      </c>
      <c r="C12642" t="inlineStr">
        <is>
          <t>1934-07-02</t>
        </is>
      </c>
    </row>
    <row r="12643">
      <c r="A12643" s="1" t="n">
        <v>12642</v>
      </c>
      <c r="B12643">
        <f>TEXT(12642, "[$-0E0000]yyyy-mm-dd")</f>
        <v/>
      </c>
      <c r="C12643" t="inlineStr">
        <is>
          <t>1934-07-03</t>
        </is>
      </c>
    </row>
    <row r="12644">
      <c r="A12644" s="1" t="n">
        <v>12643</v>
      </c>
      <c r="B12644">
        <f>TEXT(12643, "[$-0E0000]yyyy-mm-dd")</f>
        <v/>
      </c>
      <c r="C12644" t="inlineStr">
        <is>
          <t>1934-07-04</t>
        </is>
      </c>
    </row>
    <row r="12645">
      <c r="A12645" s="1" t="n">
        <v>12644</v>
      </c>
      <c r="B12645">
        <f>TEXT(12644, "[$-0E0000]yyyy-mm-dd")</f>
        <v/>
      </c>
      <c r="C12645" t="inlineStr">
        <is>
          <t>1934-07-05</t>
        </is>
      </c>
    </row>
    <row r="12646">
      <c r="A12646" s="1" t="n">
        <v>12645</v>
      </c>
      <c r="B12646">
        <f>TEXT(12645, "[$-0E0000]yyyy-mm-dd")</f>
        <v/>
      </c>
      <c r="C12646" t="inlineStr">
        <is>
          <t>1934-07-06</t>
        </is>
      </c>
    </row>
    <row r="12647">
      <c r="A12647" s="1" t="n">
        <v>12646</v>
      </c>
      <c r="B12647">
        <f>TEXT(12646, "[$-0E0000]yyyy-mm-dd")</f>
        <v/>
      </c>
      <c r="C12647" t="inlineStr">
        <is>
          <t>1934-07-07</t>
        </is>
      </c>
    </row>
    <row r="12648">
      <c r="A12648" s="1" t="n">
        <v>12647</v>
      </c>
      <c r="B12648">
        <f>TEXT(12647, "[$-0E0000]yyyy-mm-dd")</f>
        <v/>
      </c>
      <c r="C12648" t="inlineStr">
        <is>
          <t>1934-07-08</t>
        </is>
      </c>
    </row>
    <row r="12649">
      <c r="A12649" s="1" t="n">
        <v>12648</v>
      </c>
      <c r="B12649">
        <f>TEXT(12648, "[$-0E0000]yyyy-mm-dd")</f>
        <v/>
      </c>
      <c r="C12649" t="inlineStr">
        <is>
          <t>1934-07-09</t>
        </is>
      </c>
    </row>
    <row r="12650">
      <c r="A12650" s="1" t="n">
        <v>12649</v>
      </c>
      <c r="B12650">
        <f>TEXT(12649, "[$-0E0000]yyyy-mm-dd")</f>
        <v/>
      </c>
      <c r="C12650" t="inlineStr">
        <is>
          <t>1934-07-10</t>
        </is>
      </c>
    </row>
    <row r="12651">
      <c r="A12651" s="1" t="n">
        <v>12650</v>
      </c>
      <c r="B12651">
        <f>TEXT(12650, "[$-0E0000]yyyy-mm-dd")</f>
        <v/>
      </c>
      <c r="C12651" t="inlineStr">
        <is>
          <t>1934-07-11</t>
        </is>
      </c>
    </row>
    <row r="12652">
      <c r="A12652" s="1" t="n">
        <v>12651</v>
      </c>
      <c r="B12652">
        <f>TEXT(12651, "[$-0E0000]yyyy-mm-dd")</f>
        <v/>
      </c>
      <c r="C12652" t="inlineStr">
        <is>
          <t>1934-07-12</t>
        </is>
      </c>
    </row>
    <row r="12653">
      <c r="A12653" s="1" t="n">
        <v>12652</v>
      </c>
      <c r="B12653">
        <f>TEXT(12652, "[$-0E0000]yyyy-mm-dd")</f>
        <v/>
      </c>
      <c r="C12653" t="inlineStr">
        <is>
          <t>1934-07-13</t>
        </is>
      </c>
    </row>
    <row r="12654">
      <c r="A12654" s="1" t="n">
        <v>12653</v>
      </c>
      <c r="B12654">
        <f>TEXT(12653, "[$-0E0000]yyyy-mm-dd")</f>
        <v/>
      </c>
      <c r="C12654" t="inlineStr">
        <is>
          <t>1934-07-14</t>
        </is>
      </c>
    </row>
    <row r="12655">
      <c r="A12655" s="1" t="n">
        <v>12654</v>
      </c>
      <c r="B12655">
        <f>TEXT(12654, "[$-0E0000]yyyy-mm-dd")</f>
        <v/>
      </c>
      <c r="C12655" t="inlineStr">
        <is>
          <t>1934-07-15</t>
        </is>
      </c>
    </row>
    <row r="12656">
      <c r="A12656" s="1" t="n">
        <v>12655</v>
      </c>
      <c r="B12656">
        <f>TEXT(12655, "[$-0E0000]yyyy-mm-dd")</f>
        <v/>
      </c>
      <c r="C12656" t="inlineStr">
        <is>
          <t>1934-07-16</t>
        </is>
      </c>
    </row>
    <row r="12657">
      <c r="A12657" s="1" t="n">
        <v>12656</v>
      </c>
      <c r="B12657">
        <f>TEXT(12656, "[$-0E0000]yyyy-mm-dd")</f>
        <v/>
      </c>
      <c r="C12657" t="inlineStr">
        <is>
          <t>1934-07-17</t>
        </is>
      </c>
    </row>
    <row r="12658">
      <c r="A12658" s="1" t="n">
        <v>12657</v>
      </c>
      <c r="B12658">
        <f>TEXT(12657, "[$-0E0000]yyyy-mm-dd")</f>
        <v/>
      </c>
      <c r="C12658" t="inlineStr">
        <is>
          <t>1934-07-18</t>
        </is>
      </c>
    </row>
    <row r="12659">
      <c r="A12659" s="1" t="n">
        <v>12658</v>
      </c>
      <c r="B12659">
        <f>TEXT(12658, "[$-0E0000]yyyy-mm-dd")</f>
        <v/>
      </c>
      <c r="C12659" t="inlineStr">
        <is>
          <t>1934-07-19</t>
        </is>
      </c>
    </row>
    <row r="12660">
      <c r="A12660" s="1" t="n">
        <v>12659</v>
      </c>
      <c r="B12660">
        <f>TEXT(12659, "[$-0E0000]yyyy-mm-dd")</f>
        <v/>
      </c>
      <c r="C12660" t="inlineStr">
        <is>
          <t>1934-07-20</t>
        </is>
      </c>
    </row>
    <row r="12661">
      <c r="A12661" s="1" t="n">
        <v>12660</v>
      </c>
      <c r="B12661">
        <f>TEXT(12660, "[$-0E0000]yyyy-mm-dd")</f>
        <v/>
      </c>
      <c r="C12661" t="inlineStr">
        <is>
          <t>1934-07-21</t>
        </is>
      </c>
    </row>
    <row r="12662">
      <c r="A12662" s="1" t="n">
        <v>12661</v>
      </c>
      <c r="B12662">
        <f>TEXT(12661, "[$-0E0000]yyyy-mm-dd")</f>
        <v/>
      </c>
      <c r="C12662" t="inlineStr">
        <is>
          <t>1934-07-22</t>
        </is>
      </c>
    </row>
    <row r="12663">
      <c r="A12663" s="1" t="n">
        <v>12662</v>
      </c>
      <c r="B12663">
        <f>TEXT(12662, "[$-0E0000]yyyy-mm-dd")</f>
        <v/>
      </c>
      <c r="C12663" t="inlineStr">
        <is>
          <t>1934-07-23</t>
        </is>
      </c>
    </row>
    <row r="12664">
      <c r="A12664" s="1" t="n">
        <v>12663</v>
      </c>
      <c r="B12664">
        <f>TEXT(12663, "[$-0E0000]yyyy-mm-dd")</f>
        <v/>
      </c>
      <c r="C12664" t="inlineStr">
        <is>
          <t>1934-07-24</t>
        </is>
      </c>
    </row>
    <row r="12665">
      <c r="A12665" s="1" t="n">
        <v>12664</v>
      </c>
      <c r="B12665">
        <f>TEXT(12664, "[$-0E0000]yyyy-mm-dd")</f>
        <v/>
      </c>
      <c r="C12665" t="inlineStr">
        <is>
          <t>1934-07-25</t>
        </is>
      </c>
    </row>
    <row r="12666">
      <c r="A12666" s="1" t="n">
        <v>12665</v>
      </c>
      <c r="B12666">
        <f>TEXT(12665, "[$-0E0000]yyyy-mm-dd")</f>
        <v/>
      </c>
      <c r="C12666" t="inlineStr">
        <is>
          <t>1934-07-26</t>
        </is>
      </c>
    </row>
    <row r="12667">
      <c r="A12667" s="1" t="n">
        <v>12666</v>
      </c>
      <c r="B12667">
        <f>TEXT(12666, "[$-0E0000]yyyy-mm-dd")</f>
        <v/>
      </c>
      <c r="C12667" t="inlineStr">
        <is>
          <t>1934-07-27</t>
        </is>
      </c>
    </row>
    <row r="12668">
      <c r="A12668" s="1" t="n">
        <v>12667</v>
      </c>
      <c r="B12668">
        <f>TEXT(12667, "[$-0E0000]yyyy-mm-dd")</f>
        <v/>
      </c>
      <c r="C12668" t="inlineStr">
        <is>
          <t>1934-07-28</t>
        </is>
      </c>
    </row>
    <row r="12669">
      <c r="A12669" s="1" t="n">
        <v>12668</v>
      </c>
      <c r="B12669">
        <f>TEXT(12668, "[$-0E0000]yyyy-mm-dd")</f>
        <v/>
      </c>
      <c r="C12669" t="inlineStr">
        <is>
          <t>1934-07-29</t>
        </is>
      </c>
    </row>
    <row r="12670">
      <c r="A12670" s="1" t="n">
        <v>12669</v>
      </c>
      <c r="B12670">
        <f>TEXT(12669, "[$-0E0000]yyyy-mm-dd")</f>
        <v/>
      </c>
      <c r="C12670" t="inlineStr">
        <is>
          <t>1934-07-30</t>
        </is>
      </c>
    </row>
    <row r="12671">
      <c r="A12671" s="1" t="n">
        <v>12670</v>
      </c>
      <c r="B12671">
        <f>TEXT(12670, "[$-0E0000]yyyy-mm-dd")</f>
        <v/>
      </c>
      <c r="C12671" t="inlineStr">
        <is>
          <t>1934-08-01</t>
        </is>
      </c>
    </row>
    <row r="12672">
      <c r="A12672" s="1" t="n">
        <v>12671</v>
      </c>
      <c r="B12672">
        <f>TEXT(12671, "[$-0E0000]yyyy-mm-dd")</f>
        <v/>
      </c>
      <c r="C12672" t="inlineStr">
        <is>
          <t>1934-08-02</t>
        </is>
      </c>
    </row>
    <row r="12673">
      <c r="A12673" s="1" t="n">
        <v>12672</v>
      </c>
      <c r="B12673">
        <f>TEXT(12672, "[$-0E0000]yyyy-mm-dd")</f>
        <v/>
      </c>
      <c r="C12673" t="inlineStr">
        <is>
          <t>1934-08-03</t>
        </is>
      </c>
    </row>
    <row r="12674">
      <c r="A12674" s="1" t="n">
        <v>12673</v>
      </c>
      <c r="B12674">
        <f>TEXT(12673, "[$-0E0000]yyyy-mm-dd")</f>
        <v/>
      </c>
      <c r="C12674" t="inlineStr">
        <is>
          <t>1934-08-04</t>
        </is>
      </c>
    </row>
    <row r="12675">
      <c r="A12675" s="1" t="n">
        <v>12674</v>
      </c>
      <c r="B12675">
        <f>TEXT(12674, "[$-0E0000]yyyy-mm-dd")</f>
        <v/>
      </c>
      <c r="C12675" t="inlineStr">
        <is>
          <t>1934-08-05</t>
        </is>
      </c>
    </row>
    <row r="12676">
      <c r="A12676" s="1" t="n">
        <v>12675</v>
      </c>
      <c r="B12676">
        <f>TEXT(12675, "[$-0E0000]yyyy-mm-dd")</f>
        <v/>
      </c>
      <c r="C12676" t="inlineStr">
        <is>
          <t>1934-08-06</t>
        </is>
      </c>
    </row>
    <row r="12677">
      <c r="A12677" s="1" t="n">
        <v>12676</v>
      </c>
      <c r="B12677">
        <f>TEXT(12676, "[$-0E0000]yyyy-mm-dd")</f>
        <v/>
      </c>
      <c r="C12677" t="inlineStr">
        <is>
          <t>1934-08-07</t>
        </is>
      </c>
    </row>
    <row r="12678">
      <c r="A12678" s="1" t="n">
        <v>12677</v>
      </c>
      <c r="B12678">
        <f>TEXT(12677, "[$-0E0000]yyyy-mm-dd")</f>
        <v/>
      </c>
      <c r="C12678" t="inlineStr">
        <is>
          <t>1934-08-08</t>
        </is>
      </c>
    </row>
    <row r="12679">
      <c r="A12679" s="1" t="n">
        <v>12678</v>
      </c>
      <c r="B12679">
        <f>TEXT(12678, "[$-0E0000]yyyy-mm-dd")</f>
        <v/>
      </c>
      <c r="C12679" t="inlineStr">
        <is>
          <t>1934-08-09</t>
        </is>
      </c>
    </row>
    <row r="12680">
      <c r="A12680" s="1" t="n">
        <v>12679</v>
      </c>
      <c r="B12680">
        <f>TEXT(12679, "[$-0E0000]yyyy-mm-dd")</f>
        <v/>
      </c>
      <c r="C12680" t="inlineStr">
        <is>
          <t>1934-08-10</t>
        </is>
      </c>
    </row>
    <row r="12681">
      <c r="A12681" s="1" t="n">
        <v>12680</v>
      </c>
      <c r="B12681">
        <f>TEXT(12680, "[$-0E0000]yyyy-mm-dd")</f>
        <v/>
      </c>
      <c r="C12681" t="inlineStr">
        <is>
          <t>1934-08-11</t>
        </is>
      </c>
    </row>
    <row r="12682">
      <c r="A12682" s="1" t="n">
        <v>12681</v>
      </c>
      <c r="B12682">
        <f>TEXT(12681, "[$-0E0000]yyyy-mm-dd")</f>
        <v/>
      </c>
      <c r="C12682" t="inlineStr">
        <is>
          <t>1934-08-12</t>
        </is>
      </c>
    </row>
    <row r="12683">
      <c r="A12683" s="1" t="n">
        <v>12682</v>
      </c>
      <c r="B12683">
        <f>TEXT(12682, "[$-0E0000]yyyy-mm-dd")</f>
        <v/>
      </c>
      <c r="C12683" t="inlineStr">
        <is>
          <t>1934-08-13</t>
        </is>
      </c>
    </row>
    <row r="12684">
      <c r="A12684" s="1" t="n">
        <v>12683</v>
      </c>
      <c r="B12684">
        <f>TEXT(12683, "[$-0E0000]yyyy-mm-dd")</f>
        <v/>
      </c>
      <c r="C12684" t="inlineStr">
        <is>
          <t>1934-08-14</t>
        </is>
      </c>
    </row>
    <row r="12685">
      <c r="A12685" s="1" t="n">
        <v>12684</v>
      </c>
      <c r="B12685">
        <f>TEXT(12684, "[$-0E0000]yyyy-mm-dd")</f>
        <v/>
      </c>
      <c r="C12685" t="inlineStr">
        <is>
          <t>1934-08-15</t>
        </is>
      </c>
    </row>
    <row r="12686">
      <c r="A12686" s="1" t="n">
        <v>12685</v>
      </c>
      <c r="B12686">
        <f>TEXT(12685, "[$-0E0000]yyyy-mm-dd")</f>
        <v/>
      </c>
      <c r="C12686" t="inlineStr">
        <is>
          <t>1934-08-16</t>
        </is>
      </c>
    </row>
    <row r="12687">
      <c r="A12687" s="1" t="n">
        <v>12686</v>
      </c>
      <c r="B12687">
        <f>TEXT(12686, "[$-0E0000]yyyy-mm-dd")</f>
        <v/>
      </c>
      <c r="C12687" t="inlineStr">
        <is>
          <t>1934-08-17</t>
        </is>
      </c>
    </row>
    <row r="12688">
      <c r="A12688" s="1" t="n">
        <v>12687</v>
      </c>
      <c r="B12688">
        <f>TEXT(12687, "[$-0E0000]yyyy-mm-dd")</f>
        <v/>
      </c>
      <c r="C12688" t="inlineStr">
        <is>
          <t>1934-08-18</t>
        </is>
      </c>
    </row>
    <row r="12689">
      <c r="A12689" s="1" t="n">
        <v>12688</v>
      </c>
      <c r="B12689">
        <f>TEXT(12688, "[$-0E0000]yyyy-mm-dd")</f>
        <v/>
      </c>
      <c r="C12689" t="inlineStr">
        <is>
          <t>1934-08-19</t>
        </is>
      </c>
    </row>
    <row r="12690">
      <c r="A12690" s="1" t="n">
        <v>12689</v>
      </c>
      <c r="B12690">
        <f>TEXT(12689, "[$-0E0000]yyyy-mm-dd")</f>
        <v/>
      </c>
      <c r="C12690" t="inlineStr">
        <is>
          <t>1934-08-20</t>
        </is>
      </c>
    </row>
    <row r="12691">
      <c r="A12691" s="1" t="n">
        <v>12690</v>
      </c>
      <c r="B12691">
        <f>TEXT(12690, "[$-0E0000]yyyy-mm-dd")</f>
        <v/>
      </c>
      <c r="C12691" t="inlineStr">
        <is>
          <t>1934-08-21</t>
        </is>
      </c>
    </row>
    <row r="12692">
      <c r="A12692" s="1" t="n">
        <v>12691</v>
      </c>
      <c r="B12692">
        <f>TEXT(12691, "[$-0E0000]yyyy-mm-dd")</f>
        <v/>
      </c>
      <c r="C12692" t="inlineStr">
        <is>
          <t>1934-08-22</t>
        </is>
      </c>
    </row>
    <row r="12693">
      <c r="A12693" s="1" t="n">
        <v>12692</v>
      </c>
      <c r="B12693">
        <f>TEXT(12692, "[$-0E0000]yyyy-mm-dd")</f>
        <v/>
      </c>
      <c r="C12693" t="inlineStr">
        <is>
          <t>1934-08-23</t>
        </is>
      </c>
    </row>
    <row r="12694">
      <c r="A12694" s="1" t="n">
        <v>12693</v>
      </c>
      <c r="B12694">
        <f>TEXT(12693, "[$-0E0000]yyyy-mm-dd")</f>
        <v/>
      </c>
      <c r="C12694" t="inlineStr">
        <is>
          <t>1934-08-24</t>
        </is>
      </c>
    </row>
    <row r="12695">
      <c r="A12695" s="1" t="n">
        <v>12694</v>
      </c>
      <c r="B12695">
        <f>TEXT(12694, "[$-0E0000]yyyy-mm-dd")</f>
        <v/>
      </c>
      <c r="C12695" t="inlineStr">
        <is>
          <t>1934-08-25</t>
        </is>
      </c>
    </row>
    <row r="12696">
      <c r="A12696" s="1" t="n">
        <v>12695</v>
      </c>
      <c r="B12696">
        <f>TEXT(12695, "[$-0E0000]yyyy-mm-dd")</f>
        <v/>
      </c>
      <c r="C12696" t="inlineStr">
        <is>
          <t>1934-08-26</t>
        </is>
      </c>
    </row>
    <row r="12697">
      <c r="A12697" s="1" t="n">
        <v>12696</v>
      </c>
      <c r="B12697">
        <f>TEXT(12696, "[$-0E0000]yyyy-mm-dd")</f>
        <v/>
      </c>
      <c r="C12697" t="inlineStr">
        <is>
          <t>1934-08-27</t>
        </is>
      </c>
    </row>
    <row r="12698">
      <c r="A12698" s="1" t="n">
        <v>12697</v>
      </c>
      <c r="B12698">
        <f>TEXT(12697, "[$-0E0000]yyyy-mm-dd")</f>
        <v/>
      </c>
      <c r="C12698" t="inlineStr">
        <is>
          <t>1934-08-28</t>
        </is>
      </c>
    </row>
    <row r="12699">
      <c r="A12699" s="1" t="n">
        <v>12698</v>
      </c>
      <c r="B12699">
        <f>TEXT(12698, "[$-0E0000]yyyy-mm-dd")</f>
        <v/>
      </c>
      <c r="C12699" t="inlineStr">
        <is>
          <t>1934-08-29</t>
        </is>
      </c>
    </row>
    <row r="12700">
      <c r="A12700" s="1" t="n">
        <v>12699</v>
      </c>
      <c r="B12700">
        <f>TEXT(12699, "[$-0E0000]yyyy-mm-dd")</f>
        <v/>
      </c>
      <c r="C12700" t="inlineStr">
        <is>
          <t>1934-09-01</t>
        </is>
      </c>
    </row>
    <row r="12701">
      <c r="A12701" s="1" t="n">
        <v>12700</v>
      </c>
      <c r="B12701">
        <f>TEXT(12700, "[$-0E0000]yyyy-mm-dd")</f>
        <v/>
      </c>
      <c r="C12701" t="inlineStr">
        <is>
          <t>1934-09-02</t>
        </is>
      </c>
    </row>
    <row r="12702">
      <c r="A12702" s="1" t="n">
        <v>12701</v>
      </c>
      <c r="B12702">
        <f>TEXT(12701, "[$-0E0000]yyyy-mm-dd")</f>
        <v/>
      </c>
      <c r="C12702" t="inlineStr">
        <is>
          <t>1934-09-03</t>
        </is>
      </c>
    </row>
    <row r="12703">
      <c r="A12703" s="1" t="n">
        <v>12702</v>
      </c>
      <c r="B12703">
        <f>TEXT(12702, "[$-0E0000]yyyy-mm-dd")</f>
        <v/>
      </c>
      <c r="C12703" t="inlineStr">
        <is>
          <t>1934-09-04</t>
        </is>
      </c>
    </row>
    <row r="12704">
      <c r="A12704" s="1" t="n">
        <v>12703</v>
      </c>
      <c r="B12704">
        <f>TEXT(12703, "[$-0E0000]yyyy-mm-dd")</f>
        <v/>
      </c>
      <c r="C12704" t="inlineStr">
        <is>
          <t>1934-09-05</t>
        </is>
      </c>
    </row>
    <row r="12705">
      <c r="A12705" s="1" t="n">
        <v>12704</v>
      </c>
      <c r="B12705">
        <f>TEXT(12704, "[$-0E0000]yyyy-mm-dd")</f>
        <v/>
      </c>
      <c r="C12705" t="inlineStr">
        <is>
          <t>1934-09-06</t>
        </is>
      </c>
    </row>
    <row r="12706">
      <c r="A12706" s="1" t="n">
        <v>12705</v>
      </c>
      <c r="B12706">
        <f>TEXT(12705, "[$-0E0000]yyyy-mm-dd")</f>
        <v/>
      </c>
      <c r="C12706" t="inlineStr">
        <is>
          <t>1934-09-07</t>
        </is>
      </c>
    </row>
    <row r="12707">
      <c r="A12707" s="1" t="n">
        <v>12706</v>
      </c>
      <c r="B12707">
        <f>TEXT(12706, "[$-0E0000]yyyy-mm-dd")</f>
        <v/>
      </c>
      <c r="C12707" t="inlineStr">
        <is>
          <t>1934-09-08</t>
        </is>
      </c>
    </row>
    <row r="12708">
      <c r="A12708" s="1" t="n">
        <v>12707</v>
      </c>
      <c r="B12708">
        <f>TEXT(12707, "[$-0E0000]yyyy-mm-dd")</f>
        <v/>
      </c>
      <c r="C12708" t="inlineStr">
        <is>
          <t>1934-09-09</t>
        </is>
      </c>
    </row>
    <row r="12709">
      <c r="A12709" s="1" t="n">
        <v>12708</v>
      </c>
      <c r="B12709">
        <f>TEXT(12708, "[$-0E0000]yyyy-mm-dd")</f>
        <v/>
      </c>
      <c r="C12709" t="inlineStr">
        <is>
          <t>1934-09-10</t>
        </is>
      </c>
    </row>
    <row r="12710">
      <c r="A12710" s="1" t="n">
        <v>12709</v>
      </c>
      <c r="B12710">
        <f>TEXT(12709, "[$-0E0000]yyyy-mm-dd")</f>
        <v/>
      </c>
      <c r="C12710" t="inlineStr">
        <is>
          <t>1934-09-11</t>
        </is>
      </c>
    </row>
    <row r="12711">
      <c r="A12711" s="1" t="n">
        <v>12710</v>
      </c>
      <c r="B12711">
        <f>TEXT(12710, "[$-0E0000]yyyy-mm-dd")</f>
        <v/>
      </c>
      <c r="C12711" t="inlineStr">
        <is>
          <t>1934-09-12</t>
        </is>
      </c>
    </row>
    <row r="12712">
      <c r="A12712" s="1" t="n">
        <v>12711</v>
      </c>
      <c r="B12712">
        <f>TEXT(12711, "[$-0E0000]yyyy-mm-dd")</f>
        <v/>
      </c>
      <c r="C12712" t="inlineStr">
        <is>
          <t>1934-09-13</t>
        </is>
      </c>
    </row>
    <row r="12713">
      <c r="A12713" s="1" t="n">
        <v>12712</v>
      </c>
      <c r="B12713">
        <f>TEXT(12712, "[$-0E0000]yyyy-mm-dd")</f>
        <v/>
      </c>
      <c r="C12713" t="inlineStr">
        <is>
          <t>1934-09-14</t>
        </is>
      </c>
    </row>
    <row r="12714">
      <c r="A12714" s="1" t="n">
        <v>12713</v>
      </c>
      <c r="B12714">
        <f>TEXT(12713, "[$-0E0000]yyyy-mm-dd")</f>
        <v/>
      </c>
      <c r="C12714" t="inlineStr">
        <is>
          <t>1934-09-15</t>
        </is>
      </c>
    </row>
    <row r="12715">
      <c r="A12715" s="1" t="n">
        <v>12714</v>
      </c>
      <c r="B12715">
        <f>TEXT(12714, "[$-0E0000]yyyy-mm-dd")</f>
        <v/>
      </c>
      <c r="C12715" t="inlineStr">
        <is>
          <t>1934-09-16</t>
        </is>
      </c>
    </row>
    <row r="12716">
      <c r="A12716" s="1" t="n">
        <v>12715</v>
      </c>
      <c r="B12716">
        <f>TEXT(12715, "[$-0E0000]yyyy-mm-dd")</f>
        <v/>
      </c>
      <c r="C12716" t="inlineStr">
        <is>
          <t>1934-09-17</t>
        </is>
      </c>
    </row>
    <row r="12717">
      <c r="A12717" s="1" t="n">
        <v>12716</v>
      </c>
      <c r="B12717">
        <f>TEXT(12716, "[$-0E0000]yyyy-mm-dd")</f>
        <v/>
      </c>
      <c r="C12717" t="inlineStr">
        <is>
          <t>1934-09-18</t>
        </is>
      </c>
    </row>
    <row r="12718">
      <c r="A12718" s="1" t="n">
        <v>12717</v>
      </c>
      <c r="B12718">
        <f>TEXT(12717, "[$-0E0000]yyyy-mm-dd")</f>
        <v/>
      </c>
      <c r="C12718" t="inlineStr">
        <is>
          <t>1934-09-19</t>
        </is>
      </c>
    </row>
    <row r="12719">
      <c r="A12719" s="1" t="n">
        <v>12718</v>
      </c>
      <c r="B12719">
        <f>TEXT(12718, "[$-0E0000]yyyy-mm-dd")</f>
        <v/>
      </c>
      <c r="C12719" t="inlineStr">
        <is>
          <t>1934-09-20</t>
        </is>
      </c>
    </row>
    <row r="12720">
      <c r="A12720" s="1" t="n">
        <v>12719</v>
      </c>
      <c r="B12720">
        <f>TEXT(12719, "[$-0E0000]yyyy-mm-dd")</f>
        <v/>
      </c>
      <c r="C12720" t="inlineStr">
        <is>
          <t>1934-09-21</t>
        </is>
      </c>
    </row>
    <row r="12721">
      <c r="A12721" s="1" t="n">
        <v>12720</v>
      </c>
      <c r="B12721">
        <f>TEXT(12720, "[$-0E0000]yyyy-mm-dd")</f>
        <v/>
      </c>
      <c r="C12721" t="inlineStr">
        <is>
          <t>1934-09-22</t>
        </is>
      </c>
    </row>
    <row r="12722">
      <c r="A12722" s="1" t="n">
        <v>12721</v>
      </c>
      <c r="B12722">
        <f>TEXT(12721, "[$-0E0000]yyyy-mm-dd")</f>
        <v/>
      </c>
      <c r="C12722" t="inlineStr">
        <is>
          <t>1934-09-23</t>
        </is>
      </c>
    </row>
    <row r="12723">
      <c r="A12723" s="1" t="n">
        <v>12722</v>
      </c>
      <c r="B12723">
        <f>TEXT(12722, "[$-0E0000]yyyy-mm-dd")</f>
        <v/>
      </c>
      <c r="C12723" t="inlineStr">
        <is>
          <t>1934-09-24</t>
        </is>
      </c>
    </row>
    <row r="12724">
      <c r="A12724" s="1" t="n">
        <v>12723</v>
      </c>
      <c r="B12724">
        <f>TEXT(12723, "[$-0E0000]yyyy-mm-dd")</f>
        <v/>
      </c>
      <c r="C12724" t="inlineStr">
        <is>
          <t>1934-09-25</t>
        </is>
      </c>
    </row>
    <row r="12725">
      <c r="A12725" s="1" t="n">
        <v>12724</v>
      </c>
      <c r="B12725">
        <f>TEXT(12724, "[$-0E0000]yyyy-mm-dd")</f>
        <v/>
      </c>
      <c r="C12725" t="inlineStr">
        <is>
          <t>1934-09-26</t>
        </is>
      </c>
    </row>
    <row r="12726">
      <c r="A12726" s="1" t="n">
        <v>12725</v>
      </c>
      <c r="B12726">
        <f>TEXT(12725, "[$-0E0000]yyyy-mm-dd")</f>
        <v/>
      </c>
      <c r="C12726" t="inlineStr">
        <is>
          <t>1934-09-27</t>
        </is>
      </c>
    </row>
    <row r="12727">
      <c r="A12727" s="1" t="n">
        <v>12726</v>
      </c>
      <c r="B12727">
        <f>TEXT(12726, "[$-0E0000]yyyy-mm-dd")</f>
        <v/>
      </c>
      <c r="C12727" t="inlineStr">
        <is>
          <t>1934-09-28</t>
        </is>
      </c>
    </row>
    <row r="12728">
      <c r="A12728" s="1" t="n">
        <v>12727</v>
      </c>
      <c r="B12728">
        <f>TEXT(12727, "[$-0E0000]yyyy-mm-dd")</f>
        <v/>
      </c>
      <c r="C12728" t="inlineStr">
        <is>
          <t>1934-09-29</t>
        </is>
      </c>
    </row>
    <row r="12729">
      <c r="A12729" s="1" t="n">
        <v>12728</v>
      </c>
      <c r="B12729">
        <f>TEXT(12728, "[$-0E0000]yyyy-mm-dd")</f>
        <v/>
      </c>
      <c r="C12729" t="inlineStr">
        <is>
          <t>1934-09-30</t>
        </is>
      </c>
    </row>
    <row r="12730">
      <c r="A12730" s="1" t="n">
        <v>12729</v>
      </c>
      <c r="B12730">
        <f>TEXT(12729, "[$-0E0000]yyyy-mm-dd")</f>
        <v/>
      </c>
      <c r="C12730" t="inlineStr">
        <is>
          <t>1934-10-01</t>
        </is>
      </c>
    </row>
    <row r="12731">
      <c r="A12731" s="1" t="n">
        <v>12730</v>
      </c>
      <c r="B12731">
        <f>TEXT(12730, "[$-0E0000]yyyy-mm-dd")</f>
        <v/>
      </c>
      <c r="C12731" t="inlineStr">
        <is>
          <t>1934-10-02</t>
        </is>
      </c>
    </row>
    <row r="12732">
      <c r="A12732" s="1" t="n">
        <v>12731</v>
      </c>
      <c r="B12732">
        <f>TEXT(12731, "[$-0E0000]yyyy-mm-dd")</f>
        <v/>
      </c>
      <c r="C12732" t="inlineStr">
        <is>
          <t>1934-10-03</t>
        </is>
      </c>
    </row>
    <row r="12733">
      <c r="A12733" s="1" t="n">
        <v>12732</v>
      </c>
      <c r="B12733">
        <f>TEXT(12732, "[$-0E0000]yyyy-mm-dd")</f>
        <v/>
      </c>
      <c r="C12733" t="inlineStr">
        <is>
          <t>1934-10-04</t>
        </is>
      </c>
    </row>
    <row r="12734">
      <c r="A12734" s="1" t="n">
        <v>12733</v>
      </c>
      <c r="B12734">
        <f>TEXT(12733, "[$-0E0000]yyyy-mm-dd")</f>
        <v/>
      </c>
      <c r="C12734" t="inlineStr">
        <is>
          <t>1934-10-05</t>
        </is>
      </c>
    </row>
    <row r="12735">
      <c r="A12735" s="1" t="n">
        <v>12734</v>
      </c>
      <c r="B12735">
        <f>TEXT(12734, "[$-0E0000]yyyy-mm-dd")</f>
        <v/>
      </c>
      <c r="C12735" t="inlineStr">
        <is>
          <t>1934-10-06</t>
        </is>
      </c>
    </row>
    <row r="12736">
      <c r="A12736" s="1" t="n">
        <v>12735</v>
      </c>
      <c r="B12736">
        <f>TEXT(12735, "[$-0E0000]yyyy-mm-dd")</f>
        <v/>
      </c>
      <c r="C12736" t="inlineStr">
        <is>
          <t>1934-10-07</t>
        </is>
      </c>
    </row>
    <row r="12737">
      <c r="A12737" s="1" t="n">
        <v>12736</v>
      </c>
      <c r="B12737">
        <f>TEXT(12736, "[$-0E0000]yyyy-mm-dd")</f>
        <v/>
      </c>
      <c r="C12737" t="inlineStr">
        <is>
          <t>1934-10-08</t>
        </is>
      </c>
    </row>
    <row r="12738">
      <c r="A12738" s="1" t="n">
        <v>12737</v>
      </c>
      <c r="B12738">
        <f>TEXT(12737, "[$-0E0000]yyyy-mm-dd")</f>
        <v/>
      </c>
      <c r="C12738" t="inlineStr">
        <is>
          <t>1934-10-09</t>
        </is>
      </c>
    </row>
    <row r="12739">
      <c r="A12739" s="1" t="n">
        <v>12738</v>
      </c>
      <c r="B12739">
        <f>TEXT(12738, "[$-0E0000]yyyy-mm-dd")</f>
        <v/>
      </c>
      <c r="C12739" t="inlineStr">
        <is>
          <t>1934-10-10</t>
        </is>
      </c>
    </row>
    <row r="12740">
      <c r="A12740" s="1" t="n">
        <v>12739</v>
      </c>
      <c r="B12740">
        <f>TEXT(12739, "[$-0E0000]yyyy-mm-dd")</f>
        <v/>
      </c>
      <c r="C12740" t="inlineStr">
        <is>
          <t>1934-10-11</t>
        </is>
      </c>
    </row>
    <row r="12741">
      <c r="A12741" s="1" t="n">
        <v>12740</v>
      </c>
      <c r="B12741">
        <f>TEXT(12740, "[$-0E0000]yyyy-mm-dd")</f>
        <v/>
      </c>
      <c r="C12741" t="inlineStr">
        <is>
          <t>1934-10-12</t>
        </is>
      </c>
    </row>
    <row r="12742">
      <c r="A12742" s="1" t="n">
        <v>12741</v>
      </c>
      <c r="B12742">
        <f>TEXT(12741, "[$-0E0000]yyyy-mm-dd")</f>
        <v/>
      </c>
      <c r="C12742" t="inlineStr">
        <is>
          <t>1934-10-13</t>
        </is>
      </c>
    </row>
    <row r="12743">
      <c r="A12743" s="1" t="n">
        <v>12742</v>
      </c>
      <c r="B12743">
        <f>TEXT(12742, "[$-0E0000]yyyy-mm-dd")</f>
        <v/>
      </c>
      <c r="C12743" t="inlineStr">
        <is>
          <t>1934-10-14</t>
        </is>
      </c>
    </row>
    <row r="12744">
      <c r="A12744" s="1" t="n">
        <v>12743</v>
      </c>
      <c r="B12744">
        <f>TEXT(12743, "[$-0E0000]yyyy-mm-dd")</f>
        <v/>
      </c>
      <c r="C12744" t="inlineStr">
        <is>
          <t>1934-10-15</t>
        </is>
      </c>
    </row>
    <row r="12745">
      <c r="A12745" s="1" t="n">
        <v>12744</v>
      </c>
      <c r="B12745">
        <f>TEXT(12744, "[$-0E0000]yyyy-mm-dd")</f>
        <v/>
      </c>
      <c r="C12745" t="inlineStr">
        <is>
          <t>1934-10-16</t>
        </is>
      </c>
    </row>
    <row r="12746">
      <c r="A12746" s="1" t="n">
        <v>12745</v>
      </c>
      <c r="B12746">
        <f>TEXT(12745, "[$-0E0000]yyyy-mm-dd")</f>
        <v/>
      </c>
      <c r="C12746" t="inlineStr">
        <is>
          <t>1934-10-17</t>
        </is>
      </c>
    </row>
    <row r="12747">
      <c r="A12747" s="1" t="n">
        <v>12746</v>
      </c>
      <c r="B12747">
        <f>TEXT(12746, "[$-0E0000]yyyy-mm-dd")</f>
        <v/>
      </c>
      <c r="C12747" t="inlineStr">
        <is>
          <t>1934-10-18</t>
        </is>
      </c>
    </row>
    <row r="12748">
      <c r="A12748" s="1" t="n">
        <v>12747</v>
      </c>
      <c r="B12748">
        <f>TEXT(12747, "[$-0E0000]yyyy-mm-dd")</f>
        <v/>
      </c>
      <c r="C12748" t="inlineStr">
        <is>
          <t>1934-10-19</t>
        </is>
      </c>
    </row>
    <row r="12749">
      <c r="A12749" s="1" t="n">
        <v>12748</v>
      </c>
      <c r="B12749">
        <f>TEXT(12748, "[$-0E0000]yyyy-mm-dd")</f>
        <v/>
      </c>
      <c r="C12749" t="inlineStr">
        <is>
          <t>1934-10-20</t>
        </is>
      </c>
    </row>
    <row r="12750">
      <c r="A12750" s="1" t="n">
        <v>12749</v>
      </c>
      <c r="B12750">
        <f>TEXT(12749, "[$-0E0000]yyyy-mm-dd")</f>
        <v/>
      </c>
      <c r="C12750" t="inlineStr">
        <is>
          <t>1934-10-21</t>
        </is>
      </c>
    </row>
    <row r="12751">
      <c r="A12751" s="1" t="n">
        <v>12750</v>
      </c>
      <c r="B12751">
        <f>TEXT(12750, "[$-0E0000]yyyy-mm-dd")</f>
        <v/>
      </c>
      <c r="C12751" t="inlineStr">
        <is>
          <t>1934-10-22</t>
        </is>
      </c>
    </row>
    <row r="12752">
      <c r="A12752" s="1" t="n">
        <v>12751</v>
      </c>
      <c r="B12752">
        <f>TEXT(12751, "[$-0E0000]yyyy-mm-dd")</f>
        <v/>
      </c>
      <c r="C12752" t="inlineStr">
        <is>
          <t>1934-10-23</t>
        </is>
      </c>
    </row>
    <row r="12753">
      <c r="A12753" s="1" t="n">
        <v>12752</v>
      </c>
      <c r="B12753">
        <f>TEXT(12752, "[$-0E0000]yyyy-mm-dd")</f>
        <v/>
      </c>
      <c r="C12753" t="inlineStr">
        <is>
          <t>1934-10-24</t>
        </is>
      </c>
    </row>
    <row r="12754">
      <c r="A12754" s="1" t="n">
        <v>12753</v>
      </c>
      <c r="B12754">
        <f>TEXT(12753, "[$-0E0000]yyyy-mm-dd")</f>
        <v/>
      </c>
      <c r="C12754" t="inlineStr">
        <is>
          <t>1934-10-25</t>
        </is>
      </c>
    </row>
    <row r="12755">
      <c r="A12755" s="1" t="n">
        <v>12754</v>
      </c>
      <c r="B12755">
        <f>TEXT(12754, "[$-0E0000]yyyy-mm-dd")</f>
        <v/>
      </c>
      <c r="C12755" t="inlineStr">
        <is>
          <t>1934-10-26</t>
        </is>
      </c>
    </row>
    <row r="12756">
      <c r="A12756" s="1" t="n">
        <v>12755</v>
      </c>
      <c r="B12756">
        <f>TEXT(12755, "[$-0E0000]yyyy-mm-dd")</f>
        <v/>
      </c>
      <c r="C12756" t="inlineStr">
        <is>
          <t>1934-10-27</t>
        </is>
      </c>
    </row>
    <row r="12757">
      <c r="A12757" s="1" t="n">
        <v>12756</v>
      </c>
      <c r="B12757">
        <f>TEXT(12756, "[$-0E0000]yyyy-mm-dd")</f>
        <v/>
      </c>
      <c r="C12757" t="inlineStr">
        <is>
          <t>1934-10-28</t>
        </is>
      </c>
    </row>
    <row r="12758">
      <c r="A12758" s="1" t="n">
        <v>12757</v>
      </c>
      <c r="B12758">
        <f>TEXT(12757, "[$-0E0000]yyyy-mm-dd")</f>
        <v/>
      </c>
      <c r="C12758" t="inlineStr">
        <is>
          <t>1934-10-29</t>
        </is>
      </c>
    </row>
    <row r="12759">
      <c r="A12759" s="1" t="n">
        <v>12758</v>
      </c>
      <c r="B12759">
        <f>TEXT(12758, "[$-0E0000]yyyy-mm-dd")</f>
        <v/>
      </c>
      <c r="C12759" t="inlineStr">
        <is>
          <t>1934-10-30</t>
        </is>
      </c>
    </row>
    <row r="12760">
      <c r="A12760" s="1" t="n">
        <v>12759</v>
      </c>
      <c r="B12760">
        <f>TEXT(12759, "[$-0E0000]yyyy-mm-dd")</f>
        <v/>
      </c>
      <c r="C12760" t="inlineStr">
        <is>
          <t>1934-11-01</t>
        </is>
      </c>
    </row>
    <row r="12761">
      <c r="A12761" s="1" t="n">
        <v>12760</v>
      </c>
      <c r="B12761">
        <f>TEXT(12760, "[$-0E0000]yyyy-mm-dd")</f>
        <v/>
      </c>
      <c r="C12761" t="inlineStr">
        <is>
          <t>1934-11-02</t>
        </is>
      </c>
    </row>
    <row r="12762">
      <c r="A12762" s="1" t="n">
        <v>12761</v>
      </c>
      <c r="B12762">
        <f>TEXT(12761, "[$-0E0000]yyyy-mm-dd")</f>
        <v/>
      </c>
      <c r="C12762" t="inlineStr">
        <is>
          <t>1934-11-03</t>
        </is>
      </c>
    </row>
    <row r="12763">
      <c r="A12763" s="1" t="n">
        <v>12762</v>
      </c>
      <c r="B12763">
        <f>TEXT(12762, "[$-0E0000]yyyy-mm-dd")</f>
        <v/>
      </c>
      <c r="C12763" t="inlineStr">
        <is>
          <t>1934-11-04</t>
        </is>
      </c>
    </row>
    <row r="12764">
      <c r="A12764" s="1" t="n">
        <v>12763</v>
      </c>
      <c r="B12764">
        <f>TEXT(12763, "[$-0E0000]yyyy-mm-dd")</f>
        <v/>
      </c>
      <c r="C12764" t="inlineStr">
        <is>
          <t>1934-11-05</t>
        </is>
      </c>
    </row>
    <row r="12765">
      <c r="A12765" s="1" t="n">
        <v>12764</v>
      </c>
      <c r="B12765">
        <f>TEXT(12764, "[$-0E0000]yyyy-mm-dd")</f>
        <v/>
      </c>
      <c r="C12765" t="inlineStr">
        <is>
          <t>1934-11-06</t>
        </is>
      </c>
    </row>
    <row r="12766">
      <c r="A12766" s="1" t="n">
        <v>12765</v>
      </c>
      <c r="B12766">
        <f>TEXT(12765, "[$-0E0000]yyyy-mm-dd")</f>
        <v/>
      </c>
      <c r="C12766" t="inlineStr">
        <is>
          <t>1934-11-07</t>
        </is>
      </c>
    </row>
    <row r="12767">
      <c r="A12767" s="1" t="n">
        <v>12766</v>
      </c>
      <c r="B12767">
        <f>TEXT(12766, "[$-0E0000]yyyy-mm-dd")</f>
        <v/>
      </c>
      <c r="C12767" t="inlineStr">
        <is>
          <t>1934-11-08</t>
        </is>
      </c>
    </row>
    <row r="12768">
      <c r="A12768" s="1" t="n">
        <v>12767</v>
      </c>
      <c r="B12768">
        <f>TEXT(12767, "[$-0E0000]yyyy-mm-dd")</f>
        <v/>
      </c>
      <c r="C12768" t="inlineStr">
        <is>
          <t>1934-11-09</t>
        </is>
      </c>
    </row>
    <row r="12769">
      <c r="A12769" s="1" t="n">
        <v>12768</v>
      </c>
      <c r="B12769">
        <f>TEXT(12768, "[$-0E0000]yyyy-mm-dd")</f>
        <v/>
      </c>
      <c r="C12769" t="inlineStr">
        <is>
          <t>1934-11-10</t>
        </is>
      </c>
    </row>
    <row r="12770">
      <c r="A12770" s="1" t="n">
        <v>12769</v>
      </c>
      <c r="B12770">
        <f>TEXT(12769, "[$-0E0000]yyyy-mm-dd")</f>
        <v/>
      </c>
      <c r="C12770" t="inlineStr">
        <is>
          <t>1934-11-11</t>
        </is>
      </c>
    </row>
    <row r="12771">
      <c r="A12771" s="1" t="n">
        <v>12770</v>
      </c>
      <c r="B12771">
        <f>TEXT(12770, "[$-0E0000]yyyy-mm-dd")</f>
        <v/>
      </c>
      <c r="C12771" t="inlineStr">
        <is>
          <t>1934-11-12</t>
        </is>
      </c>
    </row>
    <row r="12772">
      <c r="A12772" s="1" t="n">
        <v>12771</v>
      </c>
      <c r="B12772">
        <f>TEXT(12771, "[$-0E0000]yyyy-mm-dd")</f>
        <v/>
      </c>
      <c r="C12772" t="inlineStr">
        <is>
          <t>1934-11-13</t>
        </is>
      </c>
    </row>
    <row r="12773">
      <c r="A12773" s="1" t="n">
        <v>12772</v>
      </c>
      <c r="B12773">
        <f>TEXT(12772, "[$-0E0000]yyyy-mm-dd")</f>
        <v/>
      </c>
      <c r="C12773" t="inlineStr">
        <is>
          <t>1934-11-14</t>
        </is>
      </c>
    </row>
    <row r="12774">
      <c r="A12774" s="1" t="n">
        <v>12773</v>
      </c>
      <c r="B12774">
        <f>TEXT(12773, "[$-0E0000]yyyy-mm-dd")</f>
        <v/>
      </c>
      <c r="C12774" t="inlineStr">
        <is>
          <t>1934-11-15</t>
        </is>
      </c>
    </row>
    <row r="12775">
      <c r="A12775" s="1" t="n">
        <v>12774</v>
      </c>
      <c r="B12775">
        <f>TEXT(12774, "[$-0E0000]yyyy-mm-dd")</f>
        <v/>
      </c>
      <c r="C12775" t="inlineStr">
        <is>
          <t>1934-11-16</t>
        </is>
      </c>
    </row>
    <row r="12776">
      <c r="A12776" s="1" t="n">
        <v>12775</v>
      </c>
      <c r="B12776">
        <f>TEXT(12775, "[$-0E0000]yyyy-mm-dd")</f>
        <v/>
      </c>
      <c r="C12776" t="inlineStr">
        <is>
          <t>1934-11-17</t>
        </is>
      </c>
    </row>
    <row r="12777">
      <c r="A12777" s="1" t="n">
        <v>12776</v>
      </c>
      <c r="B12777">
        <f>TEXT(12776, "[$-0E0000]yyyy-mm-dd")</f>
        <v/>
      </c>
      <c r="C12777" t="inlineStr">
        <is>
          <t>1934-11-18</t>
        </is>
      </c>
    </row>
    <row r="12778">
      <c r="A12778" s="1" t="n">
        <v>12777</v>
      </c>
      <c r="B12778">
        <f>TEXT(12777, "[$-0E0000]yyyy-mm-dd")</f>
        <v/>
      </c>
      <c r="C12778" t="inlineStr">
        <is>
          <t>1934-11-19</t>
        </is>
      </c>
    </row>
    <row r="12779">
      <c r="A12779" s="1" t="n">
        <v>12778</v>
      </c>
      <c r="B12779">
        <f>TEXT(12778, "[$-0E0000]yyyy-mm-dd")</f>
        <v/>
      </c>
      <c r="C12779" t="inlineStr">
        <is>
          <t>1934-11-20</t>
        </is>
      </c>
    </row>
    <row r="12780">
      <c r="A12780" s="1" t="n">
        <v>12779</v>
      </c>
      <c r="B12780">
        <f>TEXT(12779, "[$-0E0000]yyyy-mm-dd")</f>
        <v/>
      </c>
      <c r="C12780" t="inlineStr">
        <is>
          <t>1934-11-21</t>
        </is>
      </c>
    </row>
    <row r="12781">
      <c r="A12781" s="1" t="n">
        <v>12780</v>
      </c>
      <c r="B12781">
        <f>TEXT(12780, "[$-0E0000]yyyy-mm-dd")</f>
        <v/>
      </c>
      <c r="C12781" t="inlineStr">
        <is>
          <t>1934-11-22</t>
        </is>
      </c>
    </row>
    <row r="12782">
      <c r="A12782" s="1" t="n">
        <v>12781</v>
      </c>
      <c r="B12782">
        <f>TEXT(12781, "[$-0E0000]yyyy-mm-dd")</f>
        <v/>
      </c>
      <c r="C12782" t="inlineStr">
        <is>
          <t>1934-11-23</t>
        </is>
      </c>
    </row>
    <row r="12783">
      <c r="A12783" s="1" t="n">
        <v>12782</v>
      </c>
      <c r="B12783">
        <f>TEXT(12782, "[$-0E0000]yyyy-mm-dd")</f>
        <v/>
      </c>
      <c r="C12783" t="inlineStr">
        <is>
          <t>1934-11-24</t>
        </is>
      </c>
    </row>
    <row r="12784">
      <c r="A12784" s="1" t="n">
        <v>12783</v>
      </c>
      <c r="B12784">
        <f>TEXT(12783, "[$-0E0000]yyyy-mm-dd")</f>
        <v/>
      </c>
      <c r="C12784" t="inlineStr">
        <is>
          <t>1934-11-25</t>
        </is>
      </c>
    </row>
    <row r="12785">
      <c r="A12785" s="1" t="n">
        <v>12784</v>
      </c>
      <c r="B12785">
        <f>TEXT(12784, "[$-0E0000]yyyy-mm-dd")</f>
        <v/>
      </c>
      <c r="C12785" t="inlineStr">
        <is>
          <t>1934-11-26</t>
        </is>
      </c>
    </row>
    <row r="12786">
      <c r="A12786" s="1" t="n">
        <v>12785</v>
      </c>
      <c r="B12786">
        <f>TEXT(12785, "[$-0E0000]yyyy-mm-dd")</f>
        <v/>
      </c>
      <c r="C12786" t="inlineStr">
        <is>
          <t>1934-11-27</t>
        </is>
      </c>
    </row>
    <row r="12787">
      <c r="A12787" s="1" t="n">
        <v>12786</v>
      </c>
      <c r="B12787">
        <f>TEXT(12786, "[$-0E0000]yyyy-mm-dd")</f>
        <v/>
      </c>
      <c r="C12787" t="inlineStr">
        <is>
          <t>1934-11-28</t>
        </is>
      </c>
    </row>
    <row r="12788">
      <c r="A12788" s="1" t="n">
        <v>12787</v>
      </c>
      <c r="B12788">
        <f>TEXT(12787, "[$-0E0000]yyyy-mm-dd")</f>
        <v/>
      </c>
      <c r="C12788" t="inlineStr">
        <is>
          <t>1934-11-29</t>
        </is>
      </c>
    </row>
    <row r="12789">
      <c r="A12789" s="1" t="n">
        <v>12788</v>
      </c>
      <c r="B12789">
        <f>TEXT(12788, "[$-0E0000]yyyy-mm-dd")</f>
        <v/>
      </c>
      <c r="C12789" t="inlineStr">
        <is>
          <t>1934-12-01</t>
        </is>
      </c>
    </row>
    <row r="12790">
      <c r="A12790" s="1" t="n">
        <v>12789</v>
      </c>
      <c r="B12790">
        <f>TEXT(12789, "[$-0E0000]yyyy-mm-dd")</f>
        <v/>
      </c>
      <c r="C12790" t="inlineStr">
        <is>
          <t>1934-12-02</t>
        </is>
      </c>
    </row>
    <row r="12791">
      <c r="A12791" s="1" t="n">
        <v>12790</v>
      </c>
      <c r="B12791">
        <f>TEXT(12790, "[$-0E0000]yyyy-mm-dd")</f>
        <v/>
      </c>
      <c r="C12791" t="inlineStr">
        <is>
          <t>1934-12-03</t>
        </is>
      </c>
    </row>
    <row r="12792">
      <c r="A12792" s="1" t="n">
        <v>12791</v>
      </c>
      <c r="B12792">
        <f>TEXT(12791, "[$-0E0000]yyyy-mm-dd")</f>
        <v/>
      </c>
      <c r="C12792" t="inlineStr">
        <is>
          <t>1934-12-04</t>
        </is>
      </c>
    </row>
    <row r="12793">
      <c r="A12793" s="1" t="n">
        <v>12792</v>
      </c>
      <c r="B12793">
        <f>TEXT(12792, "[$-0E0000]yyyy-mm-dd")</f>
        <v/>
      </c>
      <c r="C12793" t="inlineStr">
        <is>
          <t>1934-12-05</t>
        </is>
      </c>
    </row>
    <row r="12794">
      <c r="A12794" s="1" t="n">
        <v>12793</v>
      </c>
      <c r="B12794">
        <f>TEXT(12793, "[$-0E0000]yyyy-mm-dd")</f>
        <v/>
      </c>
      <c r="C12794" t="inlineStr">
        <is>
          <t>1934-12-06</t>
        </is>
      </c>
    </row>
    <row r="12795">
      <c r="A12795" s="1" t="n">
        <v>12794</v>
      </c>
      <c r="B12795">
        <f>TEXT(12794, "[$-0E0000]yyyy-mm-dd")</f>
        <v/>
      </c>
      <c r="C12795" t="inlineStr">
        <is>
          <t>1934-12-07</t>
        </is>
      </c>
    </row>
    <row r="12796">
      <c r="A12796" s="1" t="n">
        <v>12795</v>
      </c>
      <c r="B12796">
        <f>TEXT(12795, "[$-0E0000]yyyy-mm-dd")</f>
        <v/>
      </c>
      <c r="C12796" t="inlineStr">
        <is>
          <t>1934-12-08</t>
        </is>
      </c>
    </row>
    <row r="12797">
      <c r="A12797" s="1" t="n">
        <v>12796</v>
      </c>
      <c r="B12797">
        <f>TEXT(12796, "[$-0E0000]yyyy-mm-dd")</f>
        <v/>
      </c>
      <c r="C12797" t="inlineStr">
        <is>
          <t>1934-12-09</t>
        </is>
      </c>
    </row>
    <row r="12798">
      <c r="A12798" s="1" t="n">
        <v>12797</v>
      </c>
      <c r="B12798">
        <f>TEXT(12797, "[$-0E0000]yyyy-mm-dd")</f>
        <v/>
      </c>
      <c r="C12798" t="inlineStr">
        <is>
          <t>1934-12-10</t>
        </is>
      </c>
    </row>
    <row r="12799">
      <c r="A12799" s="1" t="n">
        <v>12798</v>
      </c>
      <c r="B12799">
        <f>TEXT(12798, "[$-0E0000]yyyy-mm-dd")</f>
        <v/>
      </c>
      <c r="C12799" t="inlineStr">
        <is>
          <t>1934-12-11</t>
        </is>
      </c>
    </row>
    <row r="12800">
      <c r="A12800" s="1" t="n">
        <v>12799</v>
      </c>
      <c r="B12800">
        <f>TEXT(12799, "[$-0E0000]yyyy-mm-dd")</f>
        <v/>
      </c>
      <c r="C12800" t="inlineStr">
        <is>
          <t>1934-12-12</t>
        </is>
      </c>
    </row>
    <row r="12801">
      <c r="A12801" s="1" t="n">
        <v>12800</v>
      </c>
      <c r="B12801">
        <f>TEXT(12800, "[$-0E0000]yyyy-mm-dd")</f>
        <v/>
      </c>
      <c r="C12801" t="inlineStr">
        <is>
          <t>1934-12-13</t>
        </is>
      </c>
    </row>
    <row r="12802">
      <c r="A12802" s="1" t="n">
        <v>12801</v>
      </c>
      <c r="B12802">
        <f>TEXT(12801, "[$-0E0000]yyyy-mm-dd")</f>
        <v/>
      </c>
      <c r="C12802" t="inlineStr">
        <is>
          <t>1934-12-14</t>
        </is>
      </c>
    </row>
    <row r="12803">
      <c r="A12803" s="1" t="n">
        <v>12802</v>
      </c>
      <c r="B12803">
        <f>TEXT(12802, "[$-0E0000]yyyy-mm-dd")</f>
        <v/>
      </c>
      <c r="C12803" t="inlineStr">
        <is>
          <t>1934-12-15</t>
        </is>
      </c>
    </row>
    <row r="12804">
      <c r="A12804" s="1" t="n">
        <v>12803</v>
      </c>
      <c r="B12804">
        <f>TEXT(12803, "[$-0E0000]yyyy-mm-dd")</f>
        <v/>
      </c>
      <c r="C12804" t="inlineStr">
        <is>
          <t>1934-12-16</t>
        </is>
      </c>
    </row>
    <row r="12805">
      <c r="A12805" s="1" t="n">
        <v>12804</v>
      </c>
      <c r="B12805">
        <f>TEXT(12804, "[$-0E0000]yyyy-mm-dd")</f>
        <v/>
      </c>
      <c r="C12805" t="inlineStr">
        <is>
          <t>1934-12-17</t>
        </is>
      </c>
    </row>
    <row r="12806">
      <c r="A12806" s="1" t="n">
        <v>12805</v>
      </c>
      <c r="B12806">
        <f>TEXT(12805, "[$-0E0000]yyyy-mm-dd")</f>
        <v/>
      </c>
      <c r="C12806" t="inlineStr">
        <is>
          <t>1934-12-18</t>
        </is>
      </c>
    </row>
    <row r="12807">
      <c r="A12807" s="1" t="n">
        <v>12806</v>
      </c>
      <c r="B12807">
        <f>TEXT(12806, "[$-0E0000]yyyy-mm-dd")</f>
        <v/>
      </c>
      <c r="C12807" t="inlineStr">
        <is>
          <t>1934-12-19</t>
        </is>
      </c>
    </row>
    <row r="12808">
      <c r="A12808" s="1" t="n">
        <v>12807</v>
      </c>
      <c r="B12808">
        <f>TEXT(12807, "[$-0E0000]yyyy-mm-dd")</f>
        <v/>
      </c>
      <c r="C12808" t="inlineStr">
        <is>
          <t>1934-12-20</t>
        </is>
      </c>
    </row>
    <row r="12809">
      <c r="A12809" s="1" t="n">
        <v>12808</v>
      </c>
      <c r="B12809">
        <f>TEXT(12808, "[$-0E0000]yyyy-mm-dd")</f>
        <v/>
      </c>
      <c r="C12809" t="inlineStr">
        <is>
          <t>1934-12-21</t>
        </is>
      </c>
    </row>
    <row r="12810">
      <c r="A12810" s="1" t="n">
        <v>12809</v>
      </c>
      <c r="B12810">
        <f>TEXT(12809, "[$-0E0000]yyyy-mm-dd")</f>
        <v/>
      </c>
      <c r="C12810" t="inlineStr">
        <is>
          <t>1934-12-22</t>
        </is>
      </c>
    </row>
    <row r="12811">
      <c r="A12811" s="1" t="n">
        <v>12810</v>
      </c>
      <c r="B12811">
        <f>TEXT(12810, "[$-0E0000]yyyy-mm-dd")</f>
        <v/>
      </c>
      <c r="C12811" t="inlineStr">
        <is>
          <t>1934-12-23</t>
        </is>
      </c>
    </row>
    <row r="12812">
      <c r="A12812" s="1" t="n">
        <v>12811</v>
      </c>
      <c r="B12812">
        <f>TEXT(12811, "[$-0E0000]yyyy-mm-dd")</f>
        <v/>
      </c>
      <c r="C12812" t="inlineStr">
        <is>
          <t>1934-12-24</t>
        </is>
      </c>
    </row>
    <row r="12813">
      <c r="A12813" s="1" t="n">
        <v>12812</v>
      </c>
      <c r="B12813">
        <f>TEXT(12812, "[$-0E0000]yyyy-mm-dd")</f>
        <v/>
      </c>
      <c r="C12813" t="inlineStr">
        <is>
          <t>1934-12-25</t>
        </is>
      </c>
    </row>
    <row r="12814">
      <c r="A12814" s="1" t="n">
        <v>12813</v>
      </c>
      <c r="B12814">
        <f>TEXT(12813, "[$-0E0000]yyyy-mm-dd")</f>
        <v/>
      </c>
      <c r="C12814" t="inlineStr">
        <is>
          <t>1934-12-26</t>
        </is>
      </c>
    </row>
    <row r="12815">
      <c r="A12815" s="1" t="n">
        <v>12814</v>
      </c>
      <c r="B12815">
        <f>TEXT(12814, "[$-0E0000]yyyy-mm-dd")</f>
        <v/>
      </c>
      <c r="C12815" t="inlineStr">
        <is>
          <t>1934-12-27</t>
        </is>
      </c>
    </row>
    <row r="12816">
      <c r="A12816" s="1" t="n">
        <v>12815</v>
      </c>
      <c r="B12816">
        <f>TEXT(12815, "[$-0E0000]yyyy-mm-dd")</f>
        <v/>
      </c>
      <c r="C12816" t="inlineStr">
        <is>
          <t>1934-12-28</t>
        </is>
      </c>
    </row>
    <row r="12817">
      <c r="A12817" s="1" t="n">
        <v>12816</v>
      </c>
      <c r="B12817">
        <f>TEXT(12816, "[$-0E0000]yyyy-mm-dd")</f>
        <v/>
      </c>
      <c r="C12817" t="inlineStr">
        <is>
          <t>1934-12-29</t>
        </is>
      </c>
    </row>
    <row r="12818">
      <c r="A12818" s="1" t="n">
        <v>12817</v>
      </c>
      <c r="B12818">
        <f>TEXT(12817, "[$-0E0000]yyyy-mm-dd")</f>
        <v/>
      </c>
      <c r="C12818" t="inlineStr">
        <is>
          <t>1934-12-30</t>
        </is>
      </c>
    </row>
    <row r="12819">
      <c r="A12819" s="1" t="n">
        <v>12818</v>
      </c>
      <c r="B12819">
        <f>TEXT(12818, "[$-0E0000]yyyy-mm-dd")</f>
        <v/>
      </c>
      <c r="C12819" t="inlineStr">
        <is>
          <t>1935-01-01</t>
        </is>
      </c>
    </row>
    <row r="12820">
      <c r="A12820" s="1" t="n">
        <v>12819</v>
      </c>
      <c r="B12820">
        <f>TEXT(12819, "[$-0E0000]yyyy-mm-dd")</f>
        <v/>
      </c>
      <c r="C12820" t="inlineStr">
        <is>
          <t>1935-01-02</t>
        </is>
      </c>
    </row>
    <row r="12821">
      <c r="A12821" s="1" t="n">
        <v>12820</v>
      </c>
      <c r="B12821">
        <f>TEXT(12820, "[$-0E0000]yyyy-mm-dd")</f>
        <v/>
      </c>
      <c r="C12821" t="inlineStr">
        <is>
          <t>1935-01-03</t>
        </is>
      </c>
    </row>
    <row r="12822">
      <c r="A12822" s="1" t="n">
        <v>12821</v>
      </c>
      <c r="B12822">
        <f>TEXT(12821, "[$-0E0000]yyyy-mm-dd")</f>
        <v/>
      </c>
      <c r="C12822" t="inlineStr">
        <is>
          <t>1935-01-04</t>
        </is>
      </c>
    </row>
    <row r="12823">
      <c r="A12823" s="1" t="n">
        <v>12822</v>
      </c>
      <c r="B12823">
        <f>TEXT(12822, "[$-0E0000]yyyy-mm-dd")</f>
        <v/>
      </c>
      <c r="C12823" t="inlineStr">
        <is>
          <t>1935-01-05</t>
        </is>
      </c>
    </row>
    <row r="12824">
      <c r="A12824" s="1" t="n">
        <v>12823</v>
      </c>
      <c r="B12824">
        <f>TEXT(12823, "[$-0E0000]yyyy-mm-dd")</f>
        <v/>
      </c>
      <c r="C12824" t="inlineStr">
        <is>
          <t>1935-01-06</t>
        </is>
      </c>
    </row>
    <row r="12825">
      <c r="A12825" s="1" t="n">
        <v>12824</v>
      </c>
      <c r="B12825">
        <f>TEXT(12824, "[$-0E0000]yyyy-mm-dd")</f>
        <v/>
      </c>
      <c r="C12825" t="inlineStr">
        <is>
          <t>1935-01-07</t>
        </is>
      </c>
    </row>
    <row r="12826">
      <c r="A12826" s="1" t="n">
        <v>12825</v>
      </c>
      <c r="B12826">
        <f>TEXT(12825, "[$-0E0000]yyyy-mm-dd")</f>
        <v/>
      </c>
      <c r="C12826" t="inlineStr">
        <is>
          <t>1935-01-08</t>
        </is>
      </c>
    </row>
    <row r="12827">
      <c r="A12827" s="1" t="n">
        <v>12826</v>
      </c>
      <c r="B12827">
        <f>TEXT(12826, "[$-0E0000]yyyy-mm-dd")</f>
        <v/>
      </c>
      <c r="C12827" t="inlineStr">
        <is>
          <t>1935-01-09</t>
        </is>
      </c>
    </row>
    <row r="12828">
      <c r="A12828" s="1" t="n">
        <v>12827</v>
      </c>
      <c r="B12828">
        <f>TEXT(12827, "[$-0E0000]yyyy-mm-dd")</f>
        <v/>
      </c>
      <c r="C12828" t="inlineStr">
        <is>
          <t>1935-01-10</t>
        </is>
      </c>
    </row>
    <row r="12829">
      <c r="A12829" s="1" t="n">
        <v>12828</v>
      </c>
      <c r="B12829">
        <f>TEXT(12828, "[$-0E0000]yyyy-mm-dd")</f>
        <v/>
      </c>
      <c r="C12829" t="inlineStr">
        <is>
          <t>1935-01-11</t>
        </is>
      </c>
    </row>
    <row r="12830">
      <c r="A12830" s="1" t="n">
        <v>12829</v>
      </c>
      <c r="B12830">
        <f>TEXT(12829, "[$-0E0000]yyyy-mm-dd")</f>
        <v/>
      </c>
      <c r="C12830" t="inlineStr">
        <is>
          <t>1935-01-12</t>
        </is>
      </c>
    </row>
    <row r="12831">
      <c r="A12831" s="1" t="n">
        <v>12830</v>
      </c>
      <c r="B12831">
        <f>TEXT(12830, "[$-0E0000]yyyy-mm-dd")</f>
        <v/>
      </c>
      <c r="C12831" t="inlineStr">
        <is>
          <t>1935-01-13</t>
        </is>
      </c>
    </row>
    <row r="12832">
      <c r="A12832" s="1" t="n">
        <v>12831</v>
      </c>
      <c r="B12832">
        <f>TEXT(12831, "[$-0E0000]yyyy-mm-dd")</f>
        <v/>
      </c>
      <c r="C12832" t="inlineStr">
        <is>
          <t>1935-01-14</t>
        </is>
      </c>
    </row>
    <row r="12833">
      <c r="A12833" s="1" t="n">
        <v>12832</v>
      </c>
      <c r="B12833">
        <f>TEXT(12832, "[$-0E0000]yyyy-mm-dd")</f>
        <v/>
      </c>
      <c r="C12833" t="inlineStr">
        <is>
          <t>1935-01-15</t>
        </is>
      </c>
    </row>
    <row r="12834">
      <c r="A12834" s="1" t="n">
        <v>12833</v>
      </c>
      <c r="B12834">
        <f>TEXT(12833, "[$-0E0000]yyyy-mm-dd")</f>
        <v/>
      </c>
      <c r="C12834" t="inlineStr">
        <is>
          <t>1935-01-16</t>
        </is>
      </c>
    </row>
    <row r="12835">
      <c r="A12835" s="1" t="n">
        <v>12834</v>
      </c>
      <c r="B12835">
        <f>TEXT(12834, "[$-0E0000]yyyy-mm-dd")</f>
        <v/>
      </c>
      <c r="C12835" t="inlineStr">
        <is>
          <t>1935-01-17</t>
        </is>
      </c>
    </row>
    <row r="12836">
      <c r="A12836" s="1" t="n">
        <v>12835</v>
      </c>
      <c r="B12836">
        <f>TEXT(12835, "[$-0E0000]yyyy-mm-dd")</f>
        <v/>
      </c>
      <c r="C12836" t="inlineStr">
        <is>
          <t>1935-01-18</t>
        </is>
      </c>
    </row>
    <row r="12837">
      <c r="A12837" s="1" t="n">
        <v>12836</v>
      </c>
      <c r="B12837">
        <f>TEXT(12836, "[$-0E0000]yyyy-mm-dd")</f>
        <v/>
      </c>
      <c r="C12837" t="inlineStr">
        <is>
          <t>1935-01-19</t>
        </is>
      </c>
    </row>
    <row r="12838">
      <c r="A12838" s="1" t="n">
        <v>12837</v>
      </c>
      <c r="B12838">
        <f>TEXT(12837, "[$-0E0000]yyyy-mm-dd")</f>
        <v/>
      </c>
      <c r="C12838" t="inlineStr">
        <is>
          <t>1935-01-20</t>
        </is>
      </c>
    </row>
    <row r="12839">
      <c r="A12839" s="1" t="n">
        <v>12838</v>
      </c>
      <c r="B12839">
        <f>TEXT(12838, "[$-0E0000]yyyy-mm-dd")</f>
        <v/>
      </c>
      <c r="C12839" t="inlineStr">
        <is>
          <t>1935-01-21</t>
        </is>
      </c>
    </row>
    <row r="12840">
      <c r="A12840" s="1" t="n">
        <v>12839</v>
      </c>
      <c r="B12840">
        <f>TEXT(12839, "[$-0E0000]yyyy-mm-dd")</f>
        <v/>
      </c>
      <c r="C12840" t="inlineStr">
        <is>
          <t>1935-01-22</t>
        </is>
      </c>
    </row>
    <row r="12841">
      <c r="A12841" s="1" t="n">
        <v>12840</v>
      </c>
      <c r="B12841">
        <f>TEXT(12840, "[$-0E0000]yyyy-mm-dd")</f>
        <v/>
      </c>
      <c r="C12841" t="inlineStr">
        <is>
          <t>1935-01-23</t>
        </is>
      </c>
    </row>
    <row r="12842">
      <c r="A12842" s="1" t="n">
        <v>12841</v>
      </c>
      <c r="B12842">
        <f>TEXT(12841, "[$-0E0000]yyyy-mm-dd")</f>
        <v/>
      </c>
      <c r="C12842" t="inlineStr">
        <is>
          <t>1935-01-24</t>
        </is>
      </c>
    </row>
    <row r="12843">
      <c r="A12843" s="1" t="n">
        <v>12842</v>
      </c>
      <c r="B12843">
        <f>TEXT(12842, "[$-0E0000]yyyy-mm-dd")</f>
        <v/>
      </c>
      <c r="C12843" t="inlineStr">
        <is>
          <t>1935-01-25</t>
        </is>
      </c>
    </row>
    <row r="12844">
      <c r="A12844" s="1" t="n">
        <v>12843</v>
      </c>
      <c r="B12844">
        <f>TEXT(12843, "[$-0E0000]yyyy-mm-dd")</f>
        <v/>
      </c>
      <c r="C12844" t="inlineStr">
        <is>
          <t>1935-01-26</t>
        </is>
      </c>
    </row>
    <row r="12845">
      <c r="A12845" s="1" t="n">
        <v>12844</v>
      </c>
      <c r="B12845">
        <f>TEXT(12844, "[$-0E0000]yyyy-mm-dd")</f>
        <v/>
      </c>
      <c r="C12845" t="inlineStr">
        <is>
          <t>1935-01-27</t>
        </is>
      </c>
    </row>
    <row r="12846">
      <c r="A12846" s="1" t="n">
        <v>12845</v>
      </c>
      <c r="B12846">
        <f>TEXT(12845, "[$-0E0000]yyyy-mm-dd")</f>
        <v/>
      </c>
      <c r="C12846" t="inlineStr">
        <is>
          <t>1935-01-28</t>
        </is>
      </c>
    </row>
    <row r="12847">
      <c r="A12847" s="1" t="n">
        <v>12846</v>
      </c>
      <c r="B12847">
        <f>TEXT(12846, "[$-0E0000]yyyy-mm-dd")</f>
        <v/>
      </c>
      <c r="C12847" t="inlineStr">
        <is>
          <t>1935-01-29</t>
        </is>
      </c>
    </row>
    <row r="12848">
      <c r="A12848" s="1" t="n">
        <v>12847</v>
      </c>
      <c r="B12848">
        <f>TEXT(12847, "[$-0E0000]yyyy-mm-dd")</f>
        <v/>
      </c>
      <c r="C12848" t="inlineStr">
        <is>
          <t>1935-02-01</t>
        </is>
      </c>
    </row>
    <row r="12849">
      <c r="A12849" s="1" t="n">
        <v>12848</v>
      </c>
      <c r="B12849">
        <f>TEXT(12848, "[$-0E0000]yyyy-mm-dd")</f>
        <v/>
      </c>
      <c r="C12849" t="inlineStr">
        <is>
          <t>1935-02-02</t>
        </is>
      </c>
    </row>
    <row r="12850">
      <c r="A12850" s="1" t="n">
        <v>12849</v>
      </c>
      <c r="B12850">
        <f>TEXT(12849, "[$-0E0000]yyyy-mm-dd")</f>
        <v/>
      </c>
      <c r="C12850" t="inlineStr">
        <is>
          <t>1935-02-03</t>
        </is>
      </c>
    </row>
    <row r="12851">
      <c r="A12851" s="1" t="n">
        <v>12850</v>
      </c>
      <c r="B12851">
        <f>TEXT(12850, "[$-0E0000]yyyy-mm-dd")</f>
        <v/>
      </c>
      <c r="C12851" t="inlineStr">
        <is>
          <t>1935-02-04</t>
        </is>
      </c>
    </row>
    <row r="12852">
      <c r="A12852" s="1" t="n">
        <v>12851</v>
      </c>
      <c r="B12852">
        <f>TEXT(12851, "[$-0E0000]yyyy-mm-dd")</f>
        <v/>
      </c>
      <c r="C12852" t="inlineStr">
        <is>
          <t>1935-02-05</t>
        </is>
      </c>
    </row>
    <row r="12853">
      <c r="A12853" s="1" t="n">
        <v>12852</v>
      </c>
      <c r="B12853">
        <f>TEXT(12852, "[$-0E0000]yyyy-mm-dd")</f>
        <v/>
      </c>
      <c r="C12853" t="inlineStr">
        <is>
          <t>1935-02-06</t>
        </is>
      </c>
    </row>
    <row r="12854">
      <c r="A12854" s="1" t="n">
        <v>12853</v>
      </c>
      <c r="B12854">
        <f>TEXT(12853, "[$-0E0000]yyyy-mm-dd")</f>
        <v/>
      </c>
      <c r="C12854" t="inlineStr">
        <is>
          <t>1935-02-07</t>
        </is>
      </c>
    </row>
    <row r="12855">
      <c r="A12855" s="1" t="n">
        <v>12854</v>
      </c>
      <c r="B12855">
        <f>TEXT(12854, "[$-0E0000]yyyy-mm-dd")</f>
        <v/>
      </c>
      <c r="C12855" t="inlineStr">
        <is>
          <t>1935-02-08</t>
        </is>
      </c>
    </row>
    <row r="12856">
      <c r="A12856" s="1" t="n">
        <v>12855</v>
      </c>
      <c r="B12856">
        <f>TEXT(12855, "[$-0E0000]yyyy-mm-dd")</f>
        <v/>
      </c>
      <c r="C12856" t="inlineStr">
        <is>
          <t>1935-02-09</t>
        </is>
      </c>
    </row>
    <row r="12857">
      <c r="A12857" s="1" t="n">
        <v>12856</v>
      </c>
      <c r="B12857">
        <f>TEXT(12856, "[$-0E0000]yyyy-mm-dd")</f>
        <v/>
      </c>
      <c r="C12857" t="inlineStr">
        <is>
          <t>1935-02-10</t>
        </is>
      </c>
    </row>
    <row r="12858">
      <c r="A12858" s="1" t="n">
        <v>12857</v>
      </c>
      <c r="B12858">
        <f>TEXT(12857, "[$-0E0000]yyyy-mm-dd")</f>
        <v/>
      </c>
      <c r="C12858" t="inlineStr">
        <is>
          <t>1935-02-11</t>
        </is>
      </c>
    </row>
    <row r="12859">
      <c r="A12859" s="1" t="n">
        <v>12858</v>
      </c>
      <c r="B12859">
        <f>TEXT(12858, "[$-0E0000]yyyy-mm-dd")</f>
        <v/>
      </c>
      <c r="C12859" t="inlineStr">
        <is>
          <t>1935-02-12</t>
        </is>
      </c>
    </row>
    <row r="12860">
      <c r="A12860" s="1" t="n">
        <v>12859</v>
      </c>
      <c r="B12860">
        <f>TEXT(12859, "[$-0E0000]yyyy-mm-dd")</f>
        <v/>
      </c>
      <c r="C12860" t="inlineStr">
        <is>
          <t>1935-02-13</t>
        </is>
      </c>
    </row>
    <row r="12861">
      <c r="A12861" s="1" t="n">
        <v>12860</v>
      </c>
      <c r="B12861">
        <f>TEXT(12860, "[$-0E0000]yyyy-mm-dd")</f>
        <v/>
      </c>
      <c r="C12861" t="inlineStr">
        <is>
          <t>1935-02-14</t>
        </is>
      </c>
    </row>
    <row r="12862">
      <c r="A12862" s="1" t="n">
        <v>12861</v>
      </c>
      <c r="B12862">
        <f>TEXT(12861, "[$-0E0000]yyyy-mm-dd")</f>
        <v/>
      </c>
      <c r="C12862" t="inlineStr">
        <is>
          <t>1935-02-15</t>
        </is>
      </c>
    </row>
    <row r="12863">
      <c r="A12863" s="1" t="n">
        <v>12862</v>
      </c>
      <c r="B12863">
        <f>TEXT(12862, "[$-0E0000]yyyy-mm-dd")</f>
        <v/>
      </c>
      <c r="C12863" t="inlineStr">
        <is>
          <t>1935-02-16</t>
        </is>
      </c>
    </row>
    <row r="12864">
      <c r="A12864" s="1" t="n">
        <v>12863</v>
      </c>
      <c r="B12864">
        <f>TEXT(12863, "[$-0E0000]yyyy-mm-dd")</f>
        <v/>
      </c>
      <c r="C12864" t="inlineStr">
        <is>
          <t>1935-02-17</t>
        </is>
      </c>
    </row>
    <row r="12865">
      <c r="A12865" s="1" t="n">
        <v>12864</v>
      </c>
      <c r="B12865">
        <f>TEXT(12864, "[$-0E0000]yyyy-mm-dd")</f>
        <v/>
      </c>
      <c r="C12865" t="inlineStr">
        <is>
          <t>1935-02-18</t>
        </is>
      </c>
    </row>
    <row r="12866">
      <c r="A12866" s="1" t="n">
        <v>12865</v>
      </c>
      <c r="B12866">
        <f>TEXT(12865, "[$-0E0000]yyyy-mm-dd")</f>
        <v/>
      </c>
      <c r="C12866" t="inlineStr">
        <is>
          <t>1935-02-19</t>
        </is>
      </c>
    </row>
    <row r="12867">
      <c r="A12867" s="1" t="n">
        <v>12866</v>
      </c>
      <c r="B12867">
        <f>TEXT(12866, "[$-0E0000]yyyy-mm-dd")</f>
        <v/>
      </c>
      <c r="C12867" t="inlineStr">
        <is>
          <t>1935-02-20</t>
        </is>
      </c>
    </row>
    <row r="12868">
      <c r="A12868" s="1" t="n">
        <v>12867</v>
      </c>
      <c r="B12868">
        <f>TEXT(12867, "[$-0E0000]yyyy-mm-dd")</f>
        <v/>
      </c>
      <c r="C12868" t="inlineStr">
        <is>
          <t>1935-02-21</t>
        </is>
      </c>
    </row>
    <row r="12869">
      <c r="A12869" s="1" t="n">
        <v>12868</v>
      </c>
      <c r="B12869">
        <f>TEXT(12868, "[$-0E0000]yyyy-mm-dd")</f>
        <v/>
      </c>
      <c r="C12869" t="inlineStr">
        <is>
          <t>1935-02-22</t>
        </is>
      </c>
    </row>
    <row r="12870">
      <c r="A12870" s="1" t="n">
        <v>12869</v>
      </c>
      <c r="B12870">
        <f>TEXT(12869, "[$-0E0000]yyyy-mm-dd")</f>
        <v/>
      </c>
      <c r="C12870" t="inlineStr">
        <is>
          <t>1935-02-23</t>
        </is>
      </c>
    </row>
    <row r="12871">
      <c r="A12871" s="1" t="n">
        <v>12870</v>
      </c>
      <c r="B12871">
        <f>TEXT(12870, "[$-0E0000]yyyy-mm-dd")</f>
        <v/>
      </c>
      <c r="C12871" t="inlineStr">
        <is>
          <t>1935-02-24</t>
        </is>
      </c>
    </row>
    <row r="12872">
      <c r="A12872" s="1" t="n">
        <v>12871</v>
      </c>
      <c r="B12872">
        <f>TEXT(12871, "[$-0E0000]yyyy-mm-dd")</f>
        <v/>
      </c>
      <c r="C12872" t="inlineStr">
        <is>
          <t>1935-02-25</t>
        </is>
      </c>
    </row>
    <row r="12873">
      <c r="A12873" s="1" t="n">
        <v>12872</v>
      </c>
      <c r="B12873">
        <f>TEXT(12872, "[$-0E0000]yyyy-mm-dd")</f>
        <v/>
      </c>
      <c r="C12873" t="inlineStr">
        <is>
          <t>1935-02-26</t>
        </is>
      </c>
    </row>
    <row r="12874">
      <c r="A12874" s="1" t="n">
        <v>12873</v>
      </c>
      <c r="B12874">
        <f>TEXT(12873, "[$-0E0000]yyyy-mm-dd")</f>
        <v/>
      </c>
      <c r="C12874" t="inlineStr">
        <is>
          <t>1935-02-27</t>
        </is>
      </c>
    </row>
    <row r="12875">
      <c r="A12875" s="1" t="n">
        <v>12874</v>
      </c>
      <c r="B12875">
        <f>TEXT(12874, "[$-0E0000]yyyy-mm-dd")</f>
        <v/>
      </c>
      <c r="C12875" t="inlineStr">
        <is>
          <t>1935-02-28</t>
        </is>
      </c>
    </row>
    <row r="12876">
      <c r="A12876" s="1" t="n">
        <v>12875</v>
      </c>
      <c r="B12876">
        <f>TEXT(12875, "[$-0E0000]yyyy-mm-dd")</f>
        <v/>
      </c>
      <c r="C12876" t="inlineStr">
        <is>
          <t>1935-02-29</t>
        </is>
      </c>
    </row>
    <row r="12877">
      <c r="A12877" s="1" t="n">
        <v>12876</v>
      </c>
      <c r="B12877">
        <f>TEXT(12876, "[$-0E0000]yyyy-mm-dd")</f>
        <v/>
      </c>
      <c r="C12877" t="inlineStr">
        <is>
          <t>1935-03-01</t>
        </is>
      </c>
    </row>
    <row r="12878">
      <c r="A12878" s="1" t="n">
        <v>12877</v>
      </c>
      <c r="B12878">
        <f>TEXT(12877, "[$-0E0000]yyyy-mm-dd")</f>
        <v/>
      </c>
      <c r="C12878" t="inlineStr">
        <is>
          <t>1935-03-02</t>
        </is>
      </c>
    </row>
    <row r="12879">
      <c r="A12879" s="1" t="n">
        <v>12878</v>
      </c>
      <c r="B12879">
        <f>TEXT(12878, "[$-0E0000]yyyy-mm-dd")</f>
        <v/>
      </c>
      <c r="C12879" t="inlineStr">
        <is>
          <t>1935-03-03</t>
        </is>
      </c>
    </row>
    <row r="12880">
      <c r="A12880" s="1" t="n">
        <v>12879</v>
      </c>
      <c r="B12880">
        <f>TEXT(12879, "[$-0E0000]yyyy-mm-dd")</f>
        <v/>
      </c>
      <c r="C12880" t="inlineStr">
        <is>
          <t>1935-03-04</t>
        </is>
      </c>
    </row>
    <row r="12881">
      <c r="A12881" s="1" t="n">
        <v>12880</v>
      </c>
      <c r="B12881">
        <f>TEXT(12880, "[$-0E0000]yyyy-mm-dd")</f>
        <v/>
      </c>
      <c r="C12881" t="inlineStr">
        <is>
          <t>1935-03-05</t>
        </is>
      </c>
    </row>
    <row r="12882">
      <c r="A12882" s="1" t="n">
        <v>12881</v>
      </c>
      <c r="B12882">
        <f>TEXT(12881, "[$-0E0000]yyyy-mm-dd")</f>
        <v/>
      </c>
      <c r="C12882" t="inlineStr">
        <is>
          <t>1935-03-06</t>
        </is>
      </c>
    </row>
    <row r="12883">
      <c r="A12883" s="1" t="n">
        <v>12882</v>
      </c>
      <c r="B12883">
        <f>TEXT(12882, "[$-0E0000]yyyy-mm-dd")</f>
        <v/>
      </c>
      <c r="C12883" t="inlineStr">
        <is>
          <t>1935-03-07</t>
        </is>
      </c>
    </row>
    <row r="12884">
      <c r="A12884" s="1" t="n">
        <v>12883</v>
      </c>
      <c r="B12884">
        <f>TEXT(12883, "[$-0E0000]yyyy-mm-dd")</f>
        <v/>
      </c>
      <c r="C12884" t="inlineStr">
        <is>
          <t>1935-03-08</t>
        </is>
      </c>
    </row>
    <row r="12885">
      <c r="A12885" s="1" t="n">
        <v>12884</v>
      </c>
      <c r="B12885">
        <f>TEXT(12884, "[$-0E0000]yyyy-mm-dd")</f>
        <v/>
      </c>
      <c r="C12885" t="inlineStr">
        <is>
          <t>1935-03-09</t>
        </is>
      </c>
    </row>
    <row r="12886">
      <c r="A12886" s="1" t="n">
        <v>12885</v>
      </c>
      <c r="B12886">
        <f>TEXT(12885, "[$-0E0000]yyyy-mm-dd")</f>
        <v/>
      </c>
      <c r="C12886" t="inlineStr">
        <is>
          <t>1935-03-10</t>
        </is>
      </c>
    </row>
    <row r="12887">
      <c r="A12887" s="1" t="n">
        <v>12886</v>
      </c>
      <c r="B12887">
        <f>TEXT(12886, "[$-0E0000]yyyy-mm-dd")</f>
        <v/>
      </c>
      <c r="C12887" t="inlineStr">
        <is>
          <t>1935-03-11</t>
        </is>
      </c>
    </row>
    <row r="12888">
      <c r="A12888" s="1" t="n">
        <v>12887</v>
      </c>
      <c r="B12888">
        <f>TEXT(12887, "[$-0E0000]yyyy-mm-dd")</f>
        <v/>
      </c>
      <c r="C12888" t="inlineStr">
        <is>
          <t>1935-03-12</t>
        </is>
      </c>
    </row>
    <row r="12889">
      <c r="A12889" s="1" t="n">
        <v>12888</v>
      </c>
      <c r="B12889">
        <f>TEXT(12888, "[$-0E0000]yyyy-mm-dd")</f>
        <v/>
      </c>
      <c r="C12889" t="inlineStr">
        <is>
          <t>1935-03-13</t>
        </is>
      </c>
    </row>
    <row r="12890">
      <c r="A12890" s="1" t="n">
        <v>12889</v>
      </c>
      <c r="B12890">
        <f>TEXT(12889, "[$-0E0000]yyyy-mm-dd")</f>
        <v/>
      </c>
      <c r="C12890" t="inlineStr">
        <is>
          <t>1935-03-14</t>
        </is>
      </c>
    </row>
    <row r="12891">
      <c r="A12891" s="1" t="n">
        <v>12890</v>
      </c>
      <c r="B12891">
        <f>TEXT(12890, "[$-0E0000]yyyy-mm-dd")</f>
        <v/>
      </c>
      <c r="C12891" t="inlineStr">
        <is>
          <t>1935-03-15</t>
        </is>
      </c>
    </row>
    <row r="12892">
      <c r="A12892" s="1" t="n">
        <v>12891</v>
      </c>
      <c r="B12892">
        <f>TEXT(12891, "[$-0E0000]yyyy-mm-dd")</f>
        <v/>
      </c>
      <c r="C12892" t="inlineStr">
        <is>
          <t>1935-03-16</t>
        </is>
      </c>
    </row>
    <row r="12893">
      <c r="A12893" s="1" t="n">
        <v>12892</v>
      </c>
      <c r="B12893">
        <f>TEXT(12892, "[$-0E0000]yyyy-mm-dd")</f>
        <v/>
      </c>
      <c r="C12893" t="inlineStr">
        <is>
          <t>1935-03-17</t>
        </is>
      </c>
    </row>
    <row r="12894">
      <c r="A12894" s="1" t="n">
        <v>12893</v>
      </c>
      <c r="B12894">
        <f>TEXT(12893, "[$-0E0000]yyyy-mm-dd")</f>
        <v/>
      </c>
      <c r="C12894" t="inlineStr">
        <is>
          <t>1935-03-18</t>
        </is>
      </c>
    </row>
    <row r="12895">
      <c r="A12895" s="1" t="n">
        <v>12894</v>
      </c>
      <c r="B12895">
        <f>TEXT(12894, "[$-0E0000]yyyy-mm-dd")</f>
        <v/>
      </c>
      <c r="C12895" t="inlineStr">
        <is>
          <t>1935-03-19</t>
        </is>
      </c>
    </row>
    <row r="12896">
      <c r="A12896" s="1" t="n">
        <v>12895</v>
      </c>
      <c r="B12896">
        <f>TEXT(12895, "[$-0E0000]yyyy-mm-dd")</f>
        <v/>
      </c>
      <c r="C12896" t="inlineStr">
        <is>
          <t>1935-03-20</t>
        </is>
      </c>
    </row>
    <row r="12897">
      <c r="A12897" s="1" t="n">
        <v>12896</v>
      </c>
      <c r="B12897">
        <f>TEXT(12896, "[$-0E0000]yyyy-mm-dd")</f>
        <v/>
      </c>
      <c r="C12897" t="inlineStr">
        <is>
          <t>1935-03-21</t>
        </is>
      </c>
    </row>
    <row r="12898">
      <c r="A12898" s="1" t="n">
        <v>12897</v>
      </c>
      <c r="B12898">
        <f>TEXT(12897, "[$-0E0000]yyyy-mm-dd")</f>
        <v/>
      </c>
      <c r="C12898" t="inlineStr">
        <is>
          <t>1935-03-22</t>
        </is>
      </c>
    </row>
    <row r="12899">
      <c r="A12899" s="1" t="n">
        <v>12898</v>
      </c>
      <c r="B12899">
        <f>TEXT(12898, "[$-0E0000]yyyy-mm-dd")</f>
        <v/>
      </c>
      <c r="C12899" t="inlineStr">
        <is>
          <t>1935-03-23</t>
        </is>
      </c>
    </row>
    <row r="12900">
      <c r="A12900" s="1" t="n">
        <v>12899</v>
      </c>
      <c r="B12900">
        <f>TEXT(12899, "[$-0E0000]yyyy-mm-dd")</f>
        <v/>
      </c>
      <c r="C12900" t="inlineStr">
        <is>
          <t>1935-03-24</t>
        </is>
      </c>
    </row>
    <row r="12901">
      <c r="A12901" s="1" t="n">
        <v>12900</v>
      </c>
      <c r="B12901">
        <f>TEXT(12900, "[$-0E0000]yyyy-mm-dd")</f>
        <v/>
      </c>
      <c r="C12901" t="inlineStr">
        <is>
          <t>1935-03-25</t>
        </is>
      </c>
    </row>
    <row r="12902">
      <c r="A12902" s="1" t="n">
        <v>12901</v>
      </c>
      <c r="B12902">
        <f>TEXT(12901, "[$-0E0000]yyyy-mm-dd")</f>
        <v/>
      </c>
      <c r="C12902" t="inlineStr">
        <is>
          <t>1935-03-26</t>
        </is>
      </c>
    </row>
    <row r="12903">
      <c r="A12903" s="1" t="n">
        <v>12902</v>
      </c>
      <c r="B12903">
        <f>TEXT(12902, "[$-0E0000]yyyy-mm-dd")</f>
        <v/>
      </c>
      <c r="C12903" t="inlineStr">
        <is>
          <t>1935-03-27</t>
        </is>
      </c>
    </row>
    <row r="12904">
      <c r="A12904" s="1" t="n">
        <v>12903</v>
      </c>
      <c r="B12904">
        <f>TEXT(12903, "[$-0E0000]yyyy-mm-dd")</f>
        <v/>
      </c>
      <c r="C12904" t="inlineStr">
        <is>
          <t>1935-03-28</t>
        </is>
      </c>
    </row>
    <row r="12905">
      <c r="A12905" s="1" t="n">
        <v>12904</v>
      </c>
      <c r="B12905">
        <f>TEXT(12904, "[$-0E0000]yyyy-mm-dd")</f>
        <v/>
      </c>
      <c r="C12905" t="inlineStr">
        <is>
          <t>1935-03-29</t>
        </is>
      </c>
    </row>
    <row r="12906">
      <c r="A12906" s="1" t="n">
        <v>12905</v>
      </c>
      <c r="B12906">
        <f>TEXT(12905, "[$-0E0000]yyyy-mm-dd")</f>
        <v/>
      </c>
      <c r="C12906" t="inlineStr">
        <is>
          <t>1935-03-30</t>
        </is>
      </c>
    </row>
    <row r="12907">
      <c r="A12907" s="1" t="n">
        <v>12906</v>
      </c>
      <c r="B12907">
        <f>TEXT(12906, "[$-0E0000]yyyy-mm-dd")</f>
        <v/>
      </c>
      <c r="C12907" t="inlineStr">
        <is>
          <t>1935-04-01</t>
        </is>
      </c>
    </row>
    <row r="12908">
      <c r="A12908" s="1" t="n">
        <v>12907</v>
      </c>
      <c r="B12908">
        <f>TEXT(12907, "[$-0E0000]yyyy-mm-dd")</f>
        <v/>
      </c>
      <c r="C12908" t="inlineStr">
        <is>
          <t>1935-04-02</t>
        </is>
      </c>
    </row>
    <row r="12909">
      <c r="A12909" s="1" t="n">
        <v>12908</v>
      </c>
      <c r="B12909">
        <f>TEXT(12908, "[$-0E0000]yyyy-mm-dd")</f>
        <v/>
      </c>
      <c r="C12909" t="inlineStr">
        <is>
          <t>1935-04-03</t>
        </is>
      </c>
    </row>
    <row r="12910">
      <c r="A12910" s="1" t="n">
        <v>12909</v>
      </c>
      <c r="B12910">
        <f>TEXT(12909, "[$-0E0000]yyyy-mm-dd")</f>
        <v/>
      </c>
      <c r="C12910" t="inlineStr">
        <is>
          <t>1935-04-04</t>
        </is>
      </c>
    </row>
    <row r="12911">
      <c r="A12911" s="1" t="n">
        <v>12910</v>
      </c>
      <c r="B12911">
        <f>TEXT(12910, "[$-0E0000]yyyy-mm-dd")</f>
        <v/>
      </c>
      <c r="C12911" t="inlineStr">
        <is>
          <t>1935-04-05</t>
        </is>
      </c>
    </row>
    <row r="12912">
      <c r="A12912" s="1" t="n">
        <v>12911</v>
      </c>
      <c r="B12912">
        <f>TEXT(12911, "[$-0E0000]yyyy-mm-dd")</f>
        <v/>
      </c>
      <c r="C12912" t="inlineStr">
        <is>
          <t>1935-04-06</t>
        </is>
      </c>
    </row>
    <row r="12913">
      <c r="A12913" s="1" t="n">
        <v>12912</v>
      </c>
      <c r="B12913">
        <f>TEXT(12912, "[$-0E0000]yyyy-mm-dd")</f>
        <v/>
      </c>
      <c r="C12913" t="inlineStr">
        <is>
          <t>1935-04-07</t>
        </is>
      </c>
    </row>
    <row r="12914">
      <c r="A12914" s="1" t="n">
        <v>12913</v>
      </c>
      <c r="B12914">
        <f>TEXT(12913, "[$-0E0000]yyyy-mm-dd")</f>
        <v/>
      </c>
      <c r="C12914" t="inlineStr">
        <is>
          <t>1935-04-08</t>
        </is>
      </c>
    </row>
    <row r="12915">
      <c r="A12915" s="1" t="n">
        <v>12914</v>
      </c>
      <c r="B12915">
        <f>TEXT(12914, "[$-0E0000]yyyy-mm-dd")</f>
        <v/>
      </c>
      <c r="C12915" t="inlineStr">
        <is>
          <t>1935-04-09</t>
        </is>
      </c>
    </row>
    <row r="12916">
      <c r="A12916" s="1" t="n">
        <v>12915</v>
      </c>
      <c r="B12916">
        <f>TEXT(12915, "[$-0E0000]yyyy-mm-dd")</f>
        <v/>
      </c>
      <c r="C12916" t="inlineStr">
        <is>
          <t>1935-04-10</t>
        </is>
      </c>
    </row>
    <row r="12917">
      <c r="A12917" s="1" t="n">
        <v>12916</v>
      </c>
      <c r="B12917">
        <f>TEXT(12916, "[$-0E0000]yyyy-mm-dd")</f>
        <v/>
      </c>
      <c r="C12917" t="inlineStr">
        <is>
          <t>1935-04-11</t>
        </is>
      </c>
    </row>
    <row r="12918">
      <c r="A12918" s="1" t="n">
        <v>12917</v>
      </c>
      <c r="B12918">
        <f>TEXT(12917, "[$-0E0000]yyyy-mm-dd")</f>
        <v/>
      </c>
      <c r="C12918" t="inlineStr">
        <is>
          <t>1935-04-12</t>
        </is>
      </c>
    </row>
    <row r="12919">
      <c r="A12919" s="1" t="n">
        <v>12918</v>
      </c>
      <c r="B12919">
        <f>TEXT(12918, "[$-0E0000]yyyy-mm-dd")</f>
        <v/>
      </c>
      <c r="C12919" t="inlineStr">
        <is>
          <t>1935-04-13</t>
        </is>
      </c>
    </row>
    <row r="12920">
      <c r="A12920" s="1" t="n">
        <v>12919</v>
      </c>
      <c r="B12920">
        <f>TEXT(12919, "[$-0E0000]yyyy-mm-dd")</f>
        <v/>
      </c>
      <c r="C12920" t="inlineStr">
        <is>
          <t>1935-04-14</t>
        </is>
      </c>
    </row>
    <row r="12921">
      <c r="A12921" s="1" t="n">
        <v>12920</v>
      </c>
      <c r="B12921">
        <f>TEXT(12920, "[$-0E0000]yyyy-mm-dd")</f>
        <v/>
      </c>
      <c r="C12921" t="inlineStr">
        <is>
          <t>1935-04-15</t>
        </is>
      </c>
    </row>
    <row r="12922">
      <c r="A12922" s="1" t="n">
        <v>12921</v>
      </c>
      <c r="B12922">
        <f>TEXT(12921, "[$-0E0000]yyyy-mm-dd")</f>
        <v/>
      </c>
      <c r="C12922" t="inlineStr">
        <is>
          <t>1935-04-16</t>
        </is>
      </c>
    </row>
    <row r="12923">
      <c r="A12923" s="1" t="n">
        <v>12922</v>
      </c>
      <c r="B12923">
        <f>TEXT(12922, "[$-0E0000]yyyy-mm-dd")</f>
        <v/>
      </c>
      <c r="C12923" t="inlineStr">
        <is>
          <t>1935-04-17</t>
        </is>
      </c>
    </row>
    <row r="12924">
      <c r="A12924" s="1" t="n">
        <v>12923</v>
      </c>
      <c r="B12924">
        <f>TEXT(12923, "[$-0E0000]yyyy-mm-dd")</f>
        <v/>
      </c>
      <c r="C12924" t="inlineStr">
        <is>
          <t>1935-04-18</t>
        </is>
      </c>
    </row>
    <row r="12925">
      <c r="A12925" s="1" t="n">
        <v>12924</v>
      </c>
      <c r="B12925">
        <f>TEXT(12924, "[$-0E0000]yyyy-mm-dd")</f>
        <v/>
      </c>
      <c r="C12925" t="inlineStr">
        <is>
          <t>1935-04-19</t>
        </is>
      </c>
    </row>
    <row r="12926">
      <c r="A12926" s="1" t="n">
        <v>12925</v>
      </c>
      <c r="B12926">
        <f>TEXT(12925, "[$-0E0000]yyyy-mm-dd")</f>
        <v/>
      </c>
      <c r="C12926" t="inlineStr">
        <is>
          <t>1935-04-20</t>
        </is>
      </c>
    </row>
    <row r="12927">
      <c r="A12927" s="1" t="n">
        <v>12926</v>
      </c>
      <c r="B12927">
        <f>TEXT(12926, "[$-0E0000]yyyy-mm-dd")</f>
        <v/>
      </c>
      <c r="C12927" t="inlineStr">
        <is>
          <t>1935-04-21</t>
        </is>
      </c>
    </row>
    <row r="12928">
      <c r="A12928" s="1" t="n">
        <v>12927</v>
      </c>
      <c r="B12928">
        <f>TEXT(12927, "[$-0E0000]yyyy-mm-dd")</f>
        <v/>
      </c>
      <c r="C12928" t="inlineStr">
        <is>
          <t>1935-04-22</t>
        </is>
      </c>
    </row>
    <row r="12929">
      <c r="A12929" s="1" t="n">
        <v>12928</v>
      </c>
      <c r="B12929">
        <f>TEXT(12928, "[$-0E0000]yyyy-mm-dd")</f>
        <v/>
      </c>
      <c r="C12929" t="inlineStr">
        <is>
          <t>1935-04-23</t>
        </is>
      </c>
    </row>
    <row r="12930">
      <c r="A12930" s="1" t="n">
        <v>12929</v>
      </c>
      <c r="B12930">
        <f>TEXT(12929, "[$-0E0000]yyyy-mm-dd")</f>
        <v/>
      </c>
      <c r="C12930" t="inlineStr">
        <is>
          <t>1935-04-24</t>
        </is>
      </c>
    </row>
    <row r="12931">
      <c r="A12931" s="1" t="n">
        <v>12930</v>
      </c>
      <c r="B12931">
        <f>TEXT(12930, "[$-0E0000]yyyy-mm-dd")</f>
        <v/>
      </c>
      <c r="C12931" t="inlineStr">
        <is>
          <t>1935-04-25</t>
        </is>
      </c>
    </row>
    <row r="12932">
      <c r="A12932" s="1" t="n">
        <v>12931</v>
      </c>
      <c r="B12932">
        <f>TEXT(12931, "[$-0E0000]yyyy-mm-dd")</f>
        <v/>
      </c>
      <c r="C12932" t="inlineStr">
        <is>
          <t>1935-04-26</t>
        </is>
      </c>
    </row>
    <row r="12933">
      <c r="A12933" s="1" t="n">
        <v>12932</v>
      </c>
      <c r="B12933">
        <f>TEXT(12932, "[$-0E0000]yyyy-mm-dd")</f>
        <v/>
      </c>
      <c r="C12933" t="inlineStr">
        <is>
          <t>1935-04-27</t>
        </is>
      </c>
    </row>
    <row r="12934">
      <c r="A12934" s="1" t="n">
        <v>12933</v>
      </c>
      <c r="B12934">
        <f>TEXT(12933, "[$-0E0000]yyyy-mm-dd")</f>
        <v/>
      </c>
      <c r="C12934" t="inlineStr">
        <is>
          <t>1935-04-28</t>
        </is>
      </c>
    </row>
    <row r="12935">
      <c r="A12935" s="1" t="n">
        <v>12934</v>
      </c>
      <c r="B12935">
        <f>TEXT(12934, "[$-0E0000]yyyy-mm-dd")</f>
        <v/>
      </c>
      <c r="C12935" t="inlineStr">
        <is>
          <t>1935-04-29</t>
        </is>
      </c>
    </row>
    <row r="12936">
      <c r="A12936" s="1" t="n">
        <v>12935</v>
      </c>
      <c r="B12936">
        <f>TEXT(12935, "[$-0E0000]yyyy-mm-dd")</f>
        <v/>
      </c>
      <c r="C12936" t="inlineStr">
        <is>
          <t>1935-05-01</t>
        </is>
      </c>
    </row>
    <row r="12937">
      <c r="A12937" s="1" t="n">
        <v>12936</v>
      </c>
      <c r="B12937">
        <f>TEXT(12936, "[$-0E0000]yyyy-mm-dd")</f>
        <v/>
      </c>
      <c r="C12937" t="inlineStr">
        <is>
          <t>1935-05-02</t>
        </is>
      </c>
    </row>
    <row r="12938">
      <c r="A12938" s="1" t="n">
        <v>12937</v>
      </c>
      <c r="B12938">
        <f>TEXT(12937, "[$-0E0000]yyyy-mm-dd")</f>
        <v/>
      </c>
      <c r="C12938" t="inlineStr">
        <is>
          <t>1935-05-03</t>
        </is>
      </c>
    </row>
    <row r="12939">
      <c r="A12939" s="1" t="n">
        <v>12938</v>
      </c>
      <c r="B12939">
        <f>TEXT(12938, "[$-0E0000]yyyy-mm-dd")</f>
        <v/>
      </c>
      <c r="C12939" t="inlineStr">
        <is>
          <t>1935-05-04</t>
        </is>
      </c>
    </row>
    <row r="12940">
      <c r="A12940" s="1" t="n">
        <v>12939</v>
      </c>
      <c r="B12940">
        <f>TEXT(12939, "[$-0E0000]yyyy-mm-dd")</f>
        <v/>
      </c>
      <c r="C12940" t="inlineStr">
        <is>
          <t>1935-05-05</t>
        </is>
      </c>
    </row>
    <row r="12941">
      <c r="A12941" s="1" t="n">
        <v>12940</v>
      </c>
      <c r="B12941">
        <f>TEXT(12940, "[$-0E0000]yyyy-mm-dd")</f>
        <v/>
      </c>
      <c r="C12941" t="inlineStr">
        <is>
          <t>1935-05-06</t>
        </is>
      </c>
    </row>
    <row r="12942">
      <c r="A12942" s="1" t="n">
        <v>12941</v>
      </c>
      <c r="B12942">
        <f>TEXT(12941, "[$-0E0000]yyyy-mm-dd")</f>
        <v/>
      </c>
      <c r="C12942" t="inlineStr">
        <is>
          <t>1935-05-07</t>
        </is>
      </c>
    </row>
    <row r="12943">
      <c r="A12943" s="1" t="n">
        <v>12942</v>
      </c>
      <c r="B12943">
        <f>TEXT(12942, "[$-0E0000]yyyy-mm-dd")</f>
        <v/>
      </c>
      <c r="C12943" t="inlineStr">
        <is>
          <t>1935-05-08</t>
        </is>
      </c>
    </row>
    <row r="12944">
      <c r="A12944" s="1" t="n">
        <v>12943</v>
      </c>
      <c r="B12944">
        <f>TEXT(12943, "[$-0E0000]yyyy-mm-dd")</f>
        <v/>
      </c>
      <c r="C12944" t="inlineStr">
        <is>
          <t>1935-05-09</t>
        </is>
      </c>
    </row>
    <row r="12945">
      <c r="A12945" s="1" t="n">
        <v>12944</v>
      </c>
      <c r="B12945">
        <f>TEXT(12944, "[$-0E0000]yyyy-mm-dd")</f>
        <v/>
      </c>
      <c r="C12945" t="inlineStr">
        <is>
          <t>1935-05-10</t>
        </is>
      </c>
    </row>
    <row r="12946">
      <c r="A12946" s="1" t="n">
        <v>12945</v>
      </c>
      <c r="B12946">
        <f>TEXT(12945, "[$-0E0000]yyyy-mm-dd")</f>
        <v/>
      </c>
      <c r="C12946" t="inlineStr">
        <is>
          <t>1935-05-11</t>
        </is>
      </c>
    </row>
    <row r="12947">
      <c r="A12947" s="1" t="n">
        <v>12946</v>
      </c>
      <c r="B12947">
        <f>TEXT(12946, "[$-0E0000]yyyy-mm-dd")</f>
        <v/>
      </c>
      <c r="C12947" t="inlineStr">
        <is>
          <t>1935-05-12</t>
        </is>
      </c>
    </row>
    <row r="12948">
      <c r="A12948" s="1" t="n">
        <v>12947</v>
      </c>
      <c r="B12948">
        <f>TEXT(12947, "[$-0E0000]yyyy-mm-dd")</f>
        <v/>
      </c>
      <c r="C12948" t="inlineStr">
        <is>
          <t>1935-05-13</t>
        </is>
      </c>
    </row>
    <row r="12949">
      <c r="A12949" s="1" t="n">
        <v>12948</v>
      </c>
      <c r="B12949">
        <f>TEXT(12948, "[$-0E0000]yyyy-mm-dd")</f>
        <v/>
      </c>
      <c r="C12949" t="inlineStr">
        <is>
          <t>1935-05-14</t>
        </is>
      </c>
    </row>
    <row r="12950">
      <c r="A12950" s="1" t="n">
        <v>12949</v>
      </c>
      <c r="B12950">
        <f>TEXT(12949, "[$-0E0000]yyyy-mm-dd")</f>
        <v/>
      </c>
      <c r="C12950" t="inlineStr">
        <is>
          <t>1935-05-15</t>
        </is>
      </c>
    </row>
    <row r="12951">
      <c r="A12951" s="1" t="n">
        <v>12950</v>
      </c>
      <c r="B12951">
        <f>TEXT(12950, "[$-0E0000]yyyy-mm-dd")</f>
        <v/>
      </c>
      <c r="C12951" t="inlineStr">
        <is>
          <t>1935-05-16</t>
        </is>
      </c>
    </row>
    <row r="12952">
      <c r="A12952" s="1" t="n">
        <v>12951</v>
      </c>
      <c r="B12952">
        <f>TEXT(12951, "[$-0E0000]yyyy-mm-dd")</f>
        <v/>
      </c>
      <c r="C12952" t="inlineStr">
        <is>
          <t>1935-05-17</t>
        </is>
      </c>
    </row>
    <row r="12953">
      <c r="A12953" s="1" t="n">
        <v>12952</v>
      </c>
      <c r="B12953">
        <f>TEXT(12952, "[$-0E0000]yyyy-mm-dd")</f>
        <v/>
      </c>
      <c r="C12953" t="inlineStr">
        <is>
          <t>1935-05-18</t>
        </is>
      </c>
    </row>
    <row r="12954">
      <c r="A12954" s="1" t="n">
        <v>12953</v>
      </c>
      <c r="B12954">
        <f>TEXT(12953, "[$-0E0000]yyyy-mm-dd")</f>
        <v/>
      </c>
      <c r="C12954" t="inlineStr">
        <is>
          <t>1935-05-19</t>
        </is>
      </c>
    </row>
    <row r="12955">
      <c r="A12955" s="1" t="n">
        <v>12954</v>
      </c>
      <c r="B12955">
        <f>TEXT(12954, "[$-0E0000]yyyy-mm-dd")</f>
        <v/>
      </c>
      <c r="C12955" t="inlineStr">
        <is>
          <t>1935-05-20</t>
        </is>
      </c>
    </row>
    <row r="12956">
      <c r="A12956" s="1" t="n">
        <v>12955</v>
      </c>
      <c r="B12956">
        <f>TEXT(12955, "[$-0E0000]yyyy-mm-dd")</f>
        <v/>
      </c>
      <c r="C12956" t="inlineStr">
        <is>
          <t>1935-05-21</t>
        </is>
      </c>
    </row>
    <row r="12957">
      <c r="A12957" s="1" t="n">
        <v>12956</v>
      </c>
      <c r="B12957">
        <f>TEXT(12956, "[$-0E0000]yyyy-mm-dd")</f>
        <v/>
      </c>
      <c r="C12957" t="inlineStr">
        <is>
          <t>1935-05-22</t>
        </is>
      </c>
    </row>
    <row r="12958">
      <c r="A12958" s="1" t="n">
        <v>12957</v>
      </c>
      <c r="B12958">
        <f>TEXT(12957, "[$-0E0000]yyyy-mm-dd")</f>
        <v/>
      </c>
      <c r="C12958" t="inlineStr">
        <is>
          <t>1935-05-23</t>
        </is>
      </c>
    </row>
    <row r="12959">
      <c r="A12959" s="1" t="n">
        <v>12958</v>
      </c>
      <c r="B12959">
        <f>TEXT(12958, "[$-0E0000]yyyy-mm-dd")</f>
        <v/>
      </c>
      <c r="C12959" t="inlineStr">
        <is>
          <t>1935-05-24</t>
        </is>
      </c>
    </row>
    <row r="12960">
      <c r="A12960" s="1" t="n">
        <v>12959</v>
      </c>
      <c r="B12960">
        <f>TEXT(12959, "[$-0E0000]yyyy-mm-dd")</f>
        <v/>
      </c>
      <c r="C12960" t="inlineStr">
        <is>
          <t>1935-05-25</t>
        </is>
      </c>
    </row>
    <row r="12961">
      <c r="A12961" s="1" t="n">
        <v>12960</v>
      </c>
      <c r="B12961">
        <f>TEXT(12960, "[$-0E0000]yyyy-mm-dd")</f>
        <v/>
      </c>
      <c r="C12961" t="inlineStr">
        <is>
          <t>1935-05-26</t>
        </is>
      </c>
    </row>
    <row r="12962">
      <c r="A12962" s="1" t="n">
        <v>12961</v>
      </c>
      <c r="B12962">
        <f>TEXT(12961, "[$-0E0000]yyyy-mm-dd")</f>
        <v/>
      </c>
      <c r="C12962" t="inlineStr">
        <is>
          <t>1935-05-27</t>
        </is>
      </c>
    </row>
    <row r="12963">
      <c r="A12963" s="1" t="n">
        <v>12962</v>
      </c>
      <c r="B12963">
        <f>TEXT(12962, "[$-0E0000]yyyy-mm-dd")</f>
        <v/>
      </c>
      <c r="C12963" t="inlineStr">
        <is>
          <t>1935-05-28</t>
        </is>
      </c>
    </row>
    <row r="12964">
      <c r="A12964" s="1" t="n">
        <v>12963</v>
      </c>
      <c r="B12964">
        <f>TEXT(12963, "[$-0E0000]yyyy-mm-dd")</f>
        <v/>
      </c>
      <c r="C12964" t="inlineStr">
        <is>
          <t>1935-05-29</t>
        </is>
      </c>
    </row>
    <row r="12965">
      <c r="A12965" s="1" t="n">
        <v>12964</v>
      </c>
      <c r="B12965">
        <f>TEXT(12964, "[$-0E0000]yyyy-mm-dd")</f>
        <v/>
      </c>
      <c r="C12965" t="inlineStr">
        <is>
          <t>1935-05-30</t>
        </is>
      </c>
    </row>
    <row r="12966">
      <c r="A12966" s="1" t="n">
        <v>12965</v>
      </c>
      <c r="B12966">
        <f>TEXT(12965, "[$-0E0000]yyyy-mm-dd")</f>
        <v/>
      </c>
      <c r="C12966" t="inlineStr">
        <is>
          <t>1935-06-01</t>
        </is>
      </c>
    </row>
    <row r="12967">
      <c r="A12967" s="1" t="n">
        <v>12966</v>
      </c>
      <c r="B12967">
        <f>TEXT(12966, "[$-0E0000]yyyy-mm-dd")</f>
        <v/>
      </c>
      <c r="C12967" t="inlineStr">
        <is>
          <t>1935-06-02</t>
        </is>
      </c>
    </row>
    <row r="12968">
      <c r="A12968" s="1" t="n">
        <v>12967</v>
      </c>
      <c r="B12968">
        <f>TEXT(12967, "[$-0E0000]yyyy-mm-dd")</f>
        <v/>
      </c>
      <c r="C12968" t="inlineStr">
        <is>
          <t>1935-06-03</t>
        </is>
      </c>
    </row>
    <row r="12969">
      <c r="A12969" s="1" t="n">
        <v>12968</v>
      </c>
      <c r="B12969">
        <f>TEXT(12968, "[$-0E0000]yyyy-mm-dd")</f>
        <v/>
      </c>
      <c r="C12969" t="inlineStr">
        <is>
          <t>1935-06-04</t>
        </is>
      </c>
    </row>
    <row r="12970">
      <c r="A12970" s="1" t="n">
        <v>12969</v>
      </c>
      <c r="B12970">
        <f>TEXT(12969, "[$-0E0000]yyyy-mm-dd")</f>
        <v/>
      </c>
      <c r="C12970" t="inlineStr">
        <is>
          <t>1935-06-05</t>
        </is>
      </c>
    </row>
    <row r="12971">
      <c r="A12971" s="1" t="n">
        <v>12970</v>
      </c>
      <c r="B12971">
        <f>TEXT(12970, "[$-0E0000]yyyy-mm-dd")</f>
        <v/>
      </c>
      <c r="C12971" t="inlineStr">
        <is>
          <t>1935-06-06</t>
        </is>
      </c>
    </row>
    <row r="12972">
      <c r="A12972" s="1" t="n">
        <v>12971</v>
      </c>
      <c r="B12972">
        <f>TEXT(12971, "[$-0E0000]yyyy-mm-dd")</f>
        <v/>
      </c>
      <c r="C12972" t="inlineStr">
        <is>
          <t>1935-06-07</t>
        </is>
      </c>
    </row>
    <row r="12973">
      <c r="A12973" s="1" t="n">
        <v>12972</v>
      </c>
      <c r="B12973">
        <f>TEXT(12972, "[$-0E0000]yyyy-mm-dd")</f>
        <v/>
      </c>
      <c r="C12973" t="inlineStr">
        <is>
          <t>1935-06-08</t>
        </is>
      </c>
    </row>
    <row r="12974">
      <c r="A12974" s="1" t="n">
        <v>12973</v>
      </c>
      <c r="B12974">
        <f>TEXT(12973, "[$-0E0000]yyyy-mm-dd")</f>
        <v/>
      </c>
      <c r="C12974" t="inlineStr">
        <is>
          <t>1935-06-09</t>
        </is>
      </c>
    </row>
    <row r="12975">
      <c r="A12975" s="1" t="n">
        <v>12974</v>
      </c>
      <c r="B12975">
        <f>TEXT(12974, "[$-0E0000]yyyy-mm-dd")</f>
        <v/>
      </c>
      <c r="C12975" t="inlineStr">
        <is>
          <t>1935-06-10</t>
        </is>
      </c>
    </row>
    <row r="12976">
      <c r="A12976" s="1" t="n">
        <v>12975</v>
      </c>
      <c r="B12976">
        <f>TEXT(12975, "[$-0E0000]yyyy-mm-dd")</f>
        <v/>
      </c>
      <c r="C12976" t="inlineStr">
        <is>
          <t>1935-06-11</t>
        </is>
      </c>
    </row>
    <row r="12977">
      <c r="A12977" s="1" t="n">
        <v>12976</v>
      </c>
      <c r="B12977">
        <f>TEXT(12976, "[$-0E0000]yyyy-mm-dd")</f>
        <v/>
      </c>
      <c r="C12977" t="inlineStr">
        <is>
          <t>1935-06-12</t>
        </is>
      </c>
    </row>
    <row r="12978">
      <c r="A12978" s="1" t="n">
        <v>12977</v>
      </c>
      <c r="B12978">
        <f>TEXT(12977, "[$-0E0000]yyyy-mm-dd")</f>
        <v/>
      </c>
      <c r="C12978" t="inlineStr">
        <is>
          <t>1935-06-13</t>
        </is>
      </c>
    </row>
    <row r="12979">
      <c r="A12979" s="1" t="n">
        <v>12978</v>
      </c>
      <c r="B12979">
        <f>TEXT(12978, "[$-0E0000]yyyy-mm-dd")</f>
        <v/>
      </c>
      <c r="C12979" t="inlineStr">
        <is>
          <t>1935-06-14</t>
        </is>
      </c>
    </row>
    <row r="12980">
      <c r="A12980" s="1" t="n">
        <v>12979</v>
      </c>
      <c r="B12980">
        <f>TEXT(12979, "[$-0E0000]yyyy-mm-dd")</f>
        <v/>
      </c>
      <c r="C12980" t="inlineStr">
        <is>
          <t>1935-06-15</t>
        </is>
      </c>
    </row>
    <row r="12981">
      <c r="A12981" s="1" t="n">
        <v>12980</v>
      </c>
      <c r="B12981">
        <f>TEXT(12980, "[$-0E0000]yyyy-mm-dd")</f>
        <v/>
      </c>
      <c r="C12981" t="inlineStr">
        <is>
          <t>1935-06-16</t>
        </is>
      </c>
    </row>
    <row r="12982">
      <c r="A12982" s="1" t="n">
        <v>12981</v>
      </c>
      <c r="B12982">
        <f>TEXT(12981, "[$-0E0000]yyyy-mm-dd")</f>
        <v/>
      </c>
      <c r="C12982" t="inlineStr">
        <is>
          <t>1935-06-17</t>
        </is>
      </c>
    </row>
    <row r="12983">
      <c r="A12983" s="1" t="n">
        <v>12982</v>
      </c>
      <c r="B12983">
        <f>TEXT(12982, "[$-0E0000]yyyy-mm-dd")</f>
        <v/>
      </c>
      <c r="C12983" t="inlineStr">
        <is>
          <t>1935-06-18</t>
        </is>
      </c>
    </row>
    <row r="12984">
      <c r="A12984" s="1" t="n">
        <v>12983</v>
      </c>
      <c r="B12984">
        <f>TEXT(12983, "[$-0E0000]yyyy-mm-dd")</f>
        <v/>
      </c>
      <c r="C12984" t="inlineStr">
        <is>
          <t>1935-06-19</t>
        </is>
      </c>
    </row>
    <row r="12985">
      <c r="A12985" s="1" t="n">
        <v>12984</v>
      </c>
      <c r="B12985">
        <f>TEXT(12984, "[$-0E0000]yyyy-mm-dd")</f>
        <v/>
      </c>
      <c r="C12985" t="inlineStr">
        <is>
          <t>1935-06-20</t>
        </is>
      </c>
    </row>
    <row r="12986">
      <c r="A12986" s="1" t="n">
        <v>12985</v>
      </c>
      <c r="B12986">
        <f>TEXT(12985, "[$-0E0000]yyyy-mm-dd")</f>
        <v/>
      </c>
      <c r="C12986" t="inlineStr">
        <is>
          <t>1935-06-21</t>
        </is>
      </c>
    </row>
    <row r="12987">
      <c r="A12987" s="1" t="n">
        <v>12986</v>
      </c>
      <c r="B12987">
        <f>TEXT(12986, "[$-0E0000]yyyy-mm-dd")</f>
        <v/>
      </c>
      <c r="C12987" t="inlineStr">
        <is>
          <t>1935-06-22</t>
        </is>
      </c>
    </row>
    <row r="12988">
      <c r="A12988" s="1" t="n">
        <v>12987</v>
      </c>
      <c r="B12988">
        <f>TEXT(12987, "[$-0E0000]yyyy-mm-dd")</f>
        <v/>
      </c>
      <c r="C12988" t="inlineStr">
        <is>
          <t>1935-06-23</t>
        </is>
      </c>
    </row>
    <row r="12989">
      <c r="A12989" s="1" t="n">
        <v>12988</v>
      </c>
      <c r="B12989">
        <f>TEXT(12988, "[$-0E0000]yyyy-mm-dd")</f>
        <v/>
      </c>
      <c r="C12989" t="inlineStr">
        <is>
          <t>1935-06-24</t>
        </is>
      </c>
    </row>
    <row r="12990">
      <c r="A12990" s="1" t="n">
        <v>12989</v>
      </c>
      <c r="B12990">
        <f>TEXT(12989, "[$-0E0000]yyyy-mm-dd")</f>
        <v/>
      </c>
      <c r="C12990" t="inlineStr">
        <is>
          <t>1935-06-25</t>
        </is>
      </c>
    </row>
    <row r="12991">
      <c r="A12991" s="1" t="n">
        <v>12990</v>
      </c>
      <c r="B12991">
        <f>TEXT(12990, "[$-0E0000]yyyy-mm-dd")</f>
        <v/>
      </c>
      <c r="C12991" t="inlineStr">
        <is>
          <t>1935-06-26</t>
        </is>
      </c>
    </row>
    <row r="12992">
      <c r="A12992" s="1" t="n">
        <v>12991</v>
      </c>
      <c r="B12992">
        <f>TEXT(12991, "[$-0E0000]yyyy-mm-dd")</f>
        <v/>
      </c>
      <c r="C12992" t="inlineStr">
        <is>
          <t>1935-06-27</t>
        </is>
      </c>
    </row>
    <row r="12993">
      <c r="A12993" s="1" t="n">
        <v>12992</v>
      </c>
      <c r="B12993">
        <f>TEXT(12992, "[$-0E0000]yyyy-mm-dd")</f>
        <v/>
      </c>
      <c r="C12993" t="inlineStr">
        <is>
          <t>1935-06-28</t>
        </is>
      </c>
    </row>
    <row r="12994">
      <c r="A12994" s="1" t="n">
        <v>12993</v>
      </c>
      <c r="B12994">
        <f>TEXT(12993, "[$-0E0000]yyyy-mm-dd")</f>
        <v/>
      </c>
      <c r="C12994" t="inlineStr">
        <is>
          <t>1935-06-29</t>
        </is>
      </c>
    </row>
    <row r="12995">
      <c r="A12995" s="1" t="n">
        <v>12994</v>
      </c>
      <c r="B12995">
        <f>TEXT(12994, "[$-0E0000]yyyy-mm-dd")</f>
        <v/>
      </c>
      <c r="C12995" t="inlineStr">
        <is>
          <t>1935-07-01</t>
        </is>
      </c>
    </row>
    <row r="12996">
      <c r="A12996" s="1" t="n">
        <v>12995</v>
      </c>
      <c r="B12996">
        <f>TEXT(12995, "[$-0E0000]yyyy-mm-dd")</f>
        <v/>
      </c>
      <c r="C12996" t="inlineStr">
        <is>
          <t>1935-07-02</t>
        </is>
      </c>
    </row>
    <row r="12997">
      <c r="A12997" s="1" t="n">
        <v>12996</v>
      </c>
      <c r="B12997">
        <f>TEXT(12996, "[$-0E0000]yyyy-mm-dd")</f>
        <v/>
      </c>
      <c r="C12997" t="inlineStr">
        <is>
          <t>1935-07-03</t>
        </is>
      </c>
    </row>
    <row r="12998">
      <c r="A12998" s="1" t="n">
        <v>12997</v>
      </c>
      <c r="B12998">
        <f>TEXT(12997, "[$-0E0000]yyyy-mm-dd")</f>
        <v/>
      </c>
      <c r="C12998" t="inlineStr">
        <is>
          <t>1935-07-04</t>
        </is>
      </c>
    </row>
    <row r="12999">
      <c r="A12999" s="1" t="n">
        <v>12998</v>
      </c>
      <c r="B12999">
        <f>TEXT(12998, "[$-0E0000]yyyy-mm-dd")</f>
        <v/>
      </c>
      <c r="C12999" t="inlineStr">
        <is>
          <t>1935-07-05</t>
        </is>
      </c>
    </row>
    <row r="13000">
      <c r="A13000" s="1" t="n">
        <v>12999</v>
      </c>
      <c r="B13000">
        <f>TEXT(12999, "[$-0E0000]yyyy-mm-dd")</f>
        <v/>
      </c>
      <c r="C13000" t="inlineStr">
        <is>
          <t>1935-07-06</t>
        </is>
      </c>
    </row>
    <row r="13001">
      <c r="A13001" s="1" t="n">
        <v>13000</v>
      </c>
      <c r="B13001">
        <f>TEXT(13000, "[$-0E0000]yyyy-mm-dd")</f>
        <v/>
      </c>
      <c r="C13001" t="inlineStr">
        <is>
          <t>1935-07-07</t>
        </is>
      </c>
    </row>
    <row r="13002">
      <c r="A13002" s="1" t="n">
        <v>13001</v>
      </c>
      <c r="B13002">
        <f>TEXT(13001, "[$-0E0000]yyyy-mm-dd")</f>
        <v/>
      </c>
      <c r="C13002" t="inlineStr">
        <is>
          <t>1935-07-08</t>
        </is>
      </c>
    </row>
    <row r="13003">
      <c r="A13003" s="1" t="n">
        <v>13002</v>
      </c>
      <c r="B13003">
        <f>TEXT(13002, "[$-0E0000]yyyy-mm-dd")</f>
        <v/>
      </c>
      <c r="C13003" t="inlineStr">
        <is>
          <t>1935-07-09</t>
        </is>
      </c>
    </row>
    <row r="13004">
      <c r="A13004" s="1" t="n">
        <v>13003</v>
      </c>
      <c r="B13004">
        <f>TEXT(13003, "[$-0E0000]yyyy-mm-dd")</f>
        <v/>
      </c>
      <c r="C13004" t="inlineStr">
        <is>
          <t>1935-07-10</t>
        </is>
      </c>
    </row>
    <row r="13005">
      <c r="A13005" s="1" t="n">
        <v>13004</v>
      </c>
      <c r="B13005">
        <f>TEXT(13004, "[$-0E0000]yyyy-mm-dd")</f>
        <v/>
      </c>
      <c r="C13005" t="inlineStr">
        <is>
          <t>1935-07-11</t>
        </is>
      </c>
    </row>
    <row r="13006">
      <c r="A13006" s="1" t="n">
        <v>13005</v>
      </c>
      <c r="B13006">
        <f>TEXT(13005, "[$-0E0000]yyyy-mm-dd")</f>
        <v/>
      </c>
      <c r="C13006" t="inlineStr">
        <is>
          <t>1935-07-12</t>
        </is>
      </c>
    </row>
    <row r="13007">
      <c r="A13007" s="1" t="n">
        <v>13006</v>
      </c>
      <c r="B13007">
        <f>TEXT(13006, "[$-0E0000]yyyy-mm-dd")</f>
        <v/>
      </c>
      <c r="C13007" t="inlineStr">
        <is>
          <t>1935-07-13</t>
        </is>
      </c>
    </row>
    <row r="13008">
      <c r="A13008" s="1" t="n">
        <v>13007</v>
      </c>
      <c r="B13008">
        <f>TEXT(13007, "[$-0E0000]yyyy-mm-dd")</f>
        <v/>
      </c>
      <c r="C13008" t="inlineStr">
        <is>
          <t>1935-07-14</t>
        </is>
      </c>
    </row>
    <row r="13009">
      <c r="A13009" s="1" t="n">
        <v>13008</v>
      </c>
      <c r="B13009">
        <f>TEXT(13008, "[$-0E0000]yyyy-mm-dd")</f>
        <v/>
      </c>
      <c r="C13009" t="inlineStr">
        <is>
          <t>1935-07-15</t>
        </is>
      </c>
    </row>
    <row r="13010">
      <c r="A13010" s="1" t="n">
        <v>13009</v>
      </c>
      <c r="B13010">
        <f>TEXT(13009, "[$-0E0000]yyyy-mm-dd")</f>
        <v/>
      </c>
      <c r="C13010" t="inlineStr">
        <is>
          <t>1935-07-16</t>
        </is>
      </c>
    </row>
    <row r="13011">
      <c r="A13011" s="1" t="n">
        <v>13010</v>
      </c>
      <c r="B13011">
        <f>TEXT(13010, "[$-0E0000]yyyy-mm-dd")</f>
        <v/>
      </c>
      <c r="C13011" t="inlineStr">
        <is>
          <t>1935-07-17</t>
        </is>
      </c>
    </row>
    <row r="13012">
      <c r="A13012" s="1" t="n">
        <v>13011</v>
      </c>
      <c r="B13012">
        <f>TEXT(13011, "[$-0E0000]yyyy-mm-dd")</f>
        <v/>
      </c>
      <c r="C13012" t="inlineStr">
        <is>
          <t>1935-07-18</t>
        </is>
      </c>
    </row>
    <row r="13013">
      <c r="A13013" s="1" t="n">
        <v>13012</v>
      </c>
      <c r="B13013">
        <f>TEXT(13012, "[$-0E0000]yyyy-mm-dd")</f>
        <v/>
      </c>
      <c r="C13013" t="inlineStr">
        <is>
          <t>1935-07-19</t>
        </is>
      </c>
    </row>
    <row r="13014">
      <c r="A13014" s="1" t="n">
        <v>13013</v>
      </c>
      <c r="B13014">
        <f>TEXT(13013, "[$-0E0000]yyyy-mm-dd")</f>
        <v/>
      </c>
      <c r="C13014" t="inlineStr">
        <is>
          <t>1935-07-20</t>
        </is>
      </c>
    </row>
    <row r="13015">
      <c r="A13015" s="1" t="n">
        <v>13014</v>
      </c>
      <c r="B13015">
        <f>TEXT(13014, "[$-0E0000]yyyy-mm-dd")</f>
        <v/>
      </c>
      <c r="C13015" t="inlineStr">
        <is>
          <t>1935-07-21</t>
        </is>
      </c>
    </row>
    <row r="13016">
      <c r="A13016" s="1" t="n">
        <v>13015</v>
      </c>
      <c r="B13016">
        <f>TEXT(13015, "[$-0E0000]yyyy-mm-dd")</f>
        <v/>
      </c>
      <c r="C13016" t="inlineStr">
        <is>
          <t>1935-07-22</t>
        </is>
      </c>
    </row>
    <row r="13017">
      <c r="A13017" s="1" t="n">
        <v>13016</v>
      </c>
      <c r="B13017">
        <f>TEXT(13016, "[$-0E0000]yyyy-mm-dd")</f>
        <v/>
      </c>
      <c r="C13017" t="inlineStr">
        <is>
          <t>1935-07-23</t>
        </is>
      </c>
    </row>
    <row r="13018">
      <c r="A13018" s="1" t="n">
        <v>13017</v>
      </c>
      <c r="B13018">
        <f>TEXT(13017, "[$-0E0000]yyyy-mm-dd")</f>
        <v/>
      </c>
      <c r="C13018" t="inlineStr">
        <is>
          <t>1935-07-24</t>
        </is>
      </c>
    </row>
    <row r="13019">
      <c r="A13019" s="1" t="n">
        <v>13018</v>
      </c>
      <c r="B13019">
        <f>TEXT(13018, "[$-0E0000]yyyy-mm-dd")</f>
        <v/>
      </c>
      <c r="C13019" t="inlineStr">
        <is>
          <t>1935-07-25</t>
        </is>
      </c>
    </row>
    <row r="13020">
      <c r="A13020" s="1" t="n">
        <v>13019</v>
      </c>
      <c r="B13020">
        <f>TEXT(13019, "[$-0E0000]yyyy-mm-dd")</f>
        <v/>
      </c>
      <c r="C13020" t="inlineStr">
        <is>
          <t>1935-07-26</t>
        </is>
      </c>
    </row>
    <row r="13021">
      <c r="A13021" s="1" t="n">
        <v>13020</v>
      </c>
      <c r="B13021">
        <f>TEXT(13020, "[$-0E0000]yyyy-mm-dd")</f>
        <v/>
      </c>
      <c r="C13021" t="inlineStr">
        <is>
          <t>1935-07-27</t>
        </is>
      </c>
    </row>
    <row r="13022">
      <c r="A13022" s="1" t="n">
        <v>13021</v>
      </c>
      <c r="B13022">
        <f>TEXT(13021, "[$-0E0000]yyyy-mm-dd")</f>
        <v/>
      </c>
      <c r="C13022" t="inlineStr">
        <is>
          <t>1935-07-28</t>
        </is>
      </c>
    </row>
    <row r="13023">
      <c r="A13023" s="1" t="n">
        <v>13022</v>
      </c>
      <c r="B13023">
        <f>TEXT(13022, "[$-0E0000]yyyy-mm-dd")</f>
        <v/>
      </c>
      <c r="C13023" t="inlineStr">
        <is>
          <t>1935-07-29</t>
        </is>
      </c>
    </row>
    <row r="13024">
      <c r="A13024" s="1" t="n">
        <v>13023</v>
      </c>
      <c r="B13024">
        <f>TEXT(13023, "[$-0E0000]yyyy-mm-dd")</f>
        <v/>
      </c>
      <c r="C13024" t="inlineStr">
        <is>
          <t>1935-07-30</t>
        </is>
      </c>
    </row>
    <row r="13025">
      <c r="A13025" s="1" t="n">
        <v>13024</v>
      </c>
      <c r="B13025">
        <f>TEXT(13024, "[$-0E0000]yyyy-mm-dd")</f>
        <v/>
      </c>
      <c r="C13025" t="inlineStr">
        <is>
          <t>1935-08-01</t>
        </is>
      </c>
    </row>
    <row r="13026">
      <c r="A13026" s="1" t="n">
        <v>13025</v>
      </c>
      <c r="B13026">
        <f>TEXT(13025, "[$-0E0000]yyyy-mm-dd")</f>
        <v/>
      </c>
      <c r="C13026" t="inlineStr">
        <is>
          <t>1935-08-02</t>
        </is>
      </c>
    </row>
    <row r="13027">
      <c r="A13027" s="1" t="n">
        <v>13026</v>
      </c>
      <c r="B13027">
        <f>TEXT(13026, "[$-0E0000]yyyy-mm-dd")</f>
        <v/>
      </c>
      <c r="C13027" t="inlineStr">
        <is>
          <t>1935-08-03</t>
        </is>
      </c>
    </row>
    <row r="13028">
      <c r="A13028" s="1" t="n">
        <v>13027</v>
      </c>
      <c r="B13028">
        <f>TEXT(13027, "[$-0E0000]yyyy-mm-dd")</f>
        <v/>
      </c>
      <c r="C13028" t="inlineStr">
        <is>
          <t>1935-08-04</t>
        </is>
      </c>
    </row>
    <row r="13029">
      <c r="A13029" s="1" t="n">
        <v>13028</v>
      </c>
      <c r="B13029">
        <f>TEXT(13028, "[$-0E0000]yyyy-mm-dd")</f>
        <v/>
      </c>
      <c r="C13029" t="inlineStr">
        <is>
          <t>1935-08-05</t>
        </is>
      </c>
    </row>
    <row r="13030">
      <c r="A13030" s="1" t="n">
        <v>13029</v>
      </c>
      <c r="B13030">
        <f>TEXT(13029, "[$-0E0000]yyyy-mm-dd")</f>
        <v/>
      </c>
      <c r="C13030" t="inlineStr">
        <is>
          <t>1935-08-06</t>
        </is>
      </c>
    </row>
    <row r="13031">
      <c r="A13031" s="1" t="n">
        <v>13030</v>
      </c>
      <c r="B13031">
        <f>TEXT(13030, "[$-0E0000]yyyy-mm-dd")</f>
        <v/>
      </c>
      <c r="C13031" t="inlineStr">
        <is>
          <t>1935-08-07</t>
        </is>
      </c>
    </row>
    <row r="13032">
      <c r="A13032" s="1" t="n">
        <v>13031</v>
      </c>
      <c r="B13032">
        <f>TEXT(13031, "[$-0E0000]yyyy-mm-dd")</f>
        <v/>
      </c>
      <c r="C13032" t="inlineStr">
        <is>
          <t>1935-08-08</t>
        </is>
      </c>
    </row>
    <row r="13033">
      <c r="A13033" s="1" t="n">
        <v>13032</v>
      </c>
      <c r="B13033">
        <f>TEXT(13032, "[$-0E0000]yyyy-mm-dd")</f>
        <v/>
      </c>
      <c r="C13033" t="inlineStr">
        <is>
          <t>1935-08-09</t>
        </is>
      </c>
    </row>
    <row r="13034">
      <c r="A13034" s="1" t="n">
        <v>13033</v>
      </c>
      <c r="B13034">
        <f>TEXT(13033, "[$-0E0000]yyyy-mm-dd")</f>
        <v/>
      </c>
      <c r="C13034" t="inlineStr">
        <is>
          <t>1935-08-10</t>
        </is>
      </c>
    </row>
    <row r="13035">
      <c r="A13035" s="1" t="n">
        <v>13034</v>
      </c>
      <c r="B13035">
        <f>TEXT(13034, "[$-0E0000]yyyy-mm-dd")</f>
        <v/>
      </c>
      <c r="C13035" t="inlineStr">
        <is>
          <t>1935-08-11</t>
        </is>
      </c>
    </row>
    <row r="13036">
      <c r="A13036" s="1" t="n">
        <v>13035</v>
      </c>
      <c r="B13036">
        <f>TEXT(13035, "[$-0E0000]yyyy-mm-dd")</f>
        <v/>
      </c>
      <c r="C13036" t="inlineStr">
        <is>
          <t>1935-08-12</t>
        </is>
      </c>
    </row>
    <row r="13037">
      <c r="A13037" s="1" t="n">
        <v>13036</v>
      </c>
      <c r="B13037">
        <f>TEXT(13036, "[$-0E0000]yyyy-mm-dd")</f>
        <v/>
      </c>
      <c r="C13037" t="inlineStr">
        <is>
          <t>1935-08-13</t>
        </is>
      </c>
    </row>
    <row r="13038">
      <c r="A13038" s="1" t="n">
        <v>13037</v>
      </c>
      <c r="B13038">
        <f>TEXT(13037, "[$-0E0000]yyyy-mm-dd")</f>
        <v/>
      </c>
      <c r="C13038" t="inlineStr">
        <is>
          <t>1935-08-14</t>
        </is>
      </c>
    </row>
    <row r="13039">
      <c r="A13039" s="1" t="n">
        <v>13038</v>
      </c>
      <c r="B13039">
        <f>TEXT(13038, "[$-0E0000]yyyy-mm-dd")</f>
        <v/>
      </c>
      <c r="C13039" t="inlineStr">
        <is>
          <t>1935-08-15</t>
        </is>
      </c>
    </row>
    <row r="13040">
      <c r="A13040" s="1" t="n">
        <v>13039</v>
      </c>
      <c r="B13040">
        <f>TEXT(13039, "[$-0E0000]yyyy-mm-dd")</f>
        <v/>
      </c>
      <c r="C13040" t="inlineStr">
        <is>
          <t>1935-08-16</t>
        </is>
      </c>
    </row>
    <row r="13041">
      <c r="A13041" s="1" t="n">
        <v>13040</v>
      </c>
      <c r="B13041">
        <f>TEXT(13040, "[$-0E0000]yyyy-mm-dd")</f>
        <v/>
      </c>
      <c r="C13041" t="inlineStr">
        <is>
          <t>1935-08-17</t>
        </is>
      </c>
    </row>
    <row r="13042">
      <c r="A13042" s="1" t="n">
        <v>13041</v>
      </c>
      <c r="B13042">
        <f>TEXT(13041, "[$-0E0000]yyyy-mm-dd")</f>
        <v/>
      </c>
      <c r="C13042" t="inlineStr">
        <is>
          <t>1935-08-18</t>
        </is>
      </c>
    </row>
    <row r="13043">
      <c r="A13043" s="1" t="n">
        <v>13042</v>
      </c>
      <c r="B13043">
        <f>TEXT(13042, "[$-0E0000]yyyy-mm-dd")</f>
        <v/>
      </c>
      <c r="C13043" t="inlineStr">
        <is>
          <t>1935-08-19</t>
        </is>
      </c>
    </row>
    <row r="13044">
      <c r="A13044" s="1" t="n">
        <v>13043</v>
      </c>
      <c r="B13044">
        <f>TEXT(13043, "[$-0E0000]yyyy-mm-dd")</f>
        <v/>
      </c>
      <c r="C13044" t="inlineStr">
        <is>
          <t>1935-08-20</t>
        </is>
      </c>
    </row>
    <row r="13045">
      <c r="A13045" s="1" t="n">
        <v>13044</v>
      </c>
      <c r="B13045">
        <f>TEXT(13044, "[$-0E0000]yyyy-mm-dd")</f>
        <v/>
      </c>
      <c r="C13045" t="inlineStr">
        <is>
          <t>1935-08-21</t>
        </is>
      </c>
    </row>
    <row r="13046">
      <c r="A13046" s="1" t="n">
        <v>13045</v>
      </c>
      <c r="B13046">
        <f>TEXT(13045, "[$-0E0000]yyyy-mm-dd")</f>
        <v/>
      </c>
      <c r="C13046" t="inlineStr">
        <is>
          <t>1935-08-22</t>
        </is>
      </c>
    </row>
    <row r="13047">
      <c r="A13047" s="1" t="n">
        <v>13046</v>
      </c>
      <c r="B13047">
        <f>TEXT(13046, "[$-0E0000]yyyy-mm-dd")</f>
        <v/>
      </c>
      <c r="C13047" t="inlineStr">
        <is>
          <t>1935-08-23</t>
        </is>
      </c>
    </row>
    <row r="13048">
      <c r="A13048" s="1" t="n">
        <v>13047</v>
      </c>
      <c r="B13048">
        <f>TEXT(13047, "[$-0E0000]yyyy-mm-dd")</f>
        <v/>
      </c>
      <c r="C13048" t="inlineStr">
        <is>
          <t>1935-08-24</t>
        </is>
      </c>
    </row>
    <row r="13049">
      <c r="A13049" s="1" t="n">
        <v>13048</v>
      </c>
      <c r="B13049">
        <f>TEXT(13048, "[$-0E0000]yyyy-mm-dd")</f>
        <v/>
      </c>
      <c r="C13049" t="inlineStr">
        <is>
          <t>1935-08-25</t>
        </is>
      </c>
    </row>
    <row r="13050">
      <c r="A13050" s="1" t="n">
        <v>13049</v>
      </c>
      <c r="B13050">
        <f>TEXT(13049, "[$-0E0000]yyyy-mm-dd")</f>
        <v/>
      </c>
      <c r="C13050" t="inlineStr">
        <is>
          <t>1935-08-26</t>
        </is>
      </c>
    </row>
    <row r="13051">
      <c r="A13051" s="1" t="n">
        <v>13050</v>
      </c>
      <c r="B13051">
        <f>TEXT(13050, "[$-0E0000]yyyy-mm-dd")</f>
        <v/>
      </c>
      <c r="C13051" t="inlineStr">
        <is>
          <t>1935-08-27</t>
        </is>
      </c>
    </row>
    <row r="13052">
      <c r="A13052" s="1" t="n">
        <v>13051</v>
      </c>
      <c r="B13052">
        <f>TEXT(13051, "[$-0E0000]yyyy-mm-dd")</f>
        <v/>
      </c>
      <c r="C13052" t="inlineStr">
        <is>
          <t>1935-08-28</t>
        </is>
      </c>
    </row>
    <row r="13053">
      <c r="A13053" s="1" t="n">
        <v>13052</v>
      </c>
      <c r="B13053">
        <f>TEXT(13052, "[$-0E0000]yyyy-mm-dd")</f>
        <v/>
      </c>
      <c r="C13053" t="inlineStr">
        <is>
          <t>1935-08-29</t>
        </is>
      </c>
    </row>
    <row r="13054">
      <c r="A13054" s="1" t="n">
        <v>13053</v>
      </c>
      <c r="B13054">
        <f>TEXT(13053, "[$-0E0000]yyyy-mm-dd")</f>
        <v/>
      </c>
      <c r="C13054" t="inlineStr">
        <is>
          <t>1935-08-30</t>
        </is>
      </c>
    </row>
    <row r="13055">
      <c r="A13055" s="1" t="n">
        <v>13054</v>
      </c>
      <c r="B13055">
        <f>TEXT(13054, "[$-0E0000]yyyy-mm-dd")</f>
        <v/>
      </c>
      <c r="C13055" t="inlineStr">
        <is>
          <t>1935-09-01</t>
        </is>
      </c>
    </row>
    <row r="13056">
      <c r="A13056" s="1" t="n">
        <v>13055</v>
      </c>
      <c r="B13056">
        <f>TEXT(13055, "[$-0E0000]yyyy-mm-dd")</f>
        <v/>
      </c>
      <c r="C13056" t="inlineStr">
        <is>
          <t>1935-09-02</t>
        </is>
      </c>
    </row>
    <row r="13057">
      <c r="A13057" s="1" t="n">
        <v>13056</v>
      </c>
      <c r="B13057">
        <f>TEXT(13056, "[$-0E0000]yyyy-mm-dd")</f>
        <v/>
      </c>
      <c r="C13057" t="inlineStr">
        <is>
          <t>1935-09-03</t>
        </is>
      </c>
    </row>
    <row r="13058">
      <c r="A13058" s="1" t="n">
        <v>13057</v>
      </c>
      <c r="B13058">
        <f>TEXT(13057, "[$-0E0000]yyyy-mm-dd")</f>
        <v/>
      </c>
      <c r="C13058" t="inlineStr">
        <is>
          <t>1935-09-04</t>
        </is>
      </c>
    </row>
    <row r="13059">
      <c r="A13059" s="1" t="n">
        <v>13058</v>
      </c>
      <c r="B13059">
        <f>TEXT(13058, "[$-0E0000]yyyy-mm-dd")</f>
        <v/>
      </c>
      <c r="C13059" t="inlineStr">
        <is>
          <t>1935-09-05</t>
        </is>
      </c>
    </row>
    <row r="13060">
      <c r="A13060" s="1" t="n">
        <v>13059</v>
      </c>
      <c r="B13060">
        <f>TEXT(13059, "[$-0E0000]yyyy-mm-dd")</f>
        <v/>
      </c>
      <c r="C13060" t="inlineStr">
        <is>
          <t>1935-09-06</t>
        </is>
      </c>
    </row>
    <row r="13061">
      <c r="A13061" s="1" t="n">
        <v>13060</v>
      </c>
      <c r="B13061">
        <f>TEXT(13060, "[$-0E0000]yyyy-mm-dd")</f>
        <v/>
      </c>
      <c r="C13061" t="inlineStr">
        <is>
          <t>1935-09-07</t>
        </is>
      </c>
    </row>
    <row r="13062">
      <c r="A13062" s="1" t="n">
        <v>13061</v>
      </c>
      <c r="B13062">
        <f>TEXT(13061, "[$-0E0000]yyyy-mm-dd")</f>
        <v/>
      </c>
      <c r="C13062" t="inlineStr">
        <is>
          <t>1935-09-08</t>
        </is>
      </c>
    </row>
    <row r="13063">
      <c r="A13063" s="1" t="n">
        <v>13062</v>
      </c>
      <c r="B13063">
        <f>TEXT(13062, "[$-0E0000]yyyy-mm-dd")</f>
        <v/>
      </c>
      <c r="C13063" t="inlineStr">
        <is>
          <t>1935-09-09</t>
        </is>
      </c>
    </row>
    <row r="13064">
      <c r="A13064" s="1" t="n">
        <v>13063</v>
      </c>
      <c r="B13064">
        <f>TEXT(13063, "[$-0E0000]yyyy-mm-dd")</f>
        <v/>
      </c>
      <c r="C13064" t="inlineStr">
        <is>
          <t>1935-09-10</t>
        </is>
      </c>
    </row>
    <row r="13065">
      <c r="A13065" s="1" t="n">
        <v>13064</v>
      </c>
      <c r="B13065">
        <f>TEXT(13064, "[$-0E0000]yyyy-mm-dd")</f>
        <v/>
      </c>
      <c r="C13065" t="inlineStr">
        <is>
          <t>1935-09-11</t>
        </is>
      </c>
    </row>
    <row r="13066">
      <c r="A13066" s="1" t="n">
        <v>13065</v>
      </c>
      <c r="B13066">
        <f>TEXT(13065, "[$-0E0000]yyyy-mm-dd")</f>
        <v/>
      </c>
      <c r="C13066" t="inlineStr">
        <is>
          <t>1935-09-12</t>
        </is>
      </c>
    </row>
    <row r="13067">
      <c r="A13067" s="1" t="n">
        <v>13066</v>
      </c>
      <c r="B13067">
        <f>TEXT(13066, "[$-0E0000]yyyy-mm-dd")</f>
        <v/>
      </c>
      <c r="C13067" t="inlineStr">
        <is>
          <t>1935-09-13</t>
        </is>
      </c>
    </row>
    <row r="13068">
      <c r="A13068" s="1" t="n">
        <v>13067</v>
      </c>
      <c r="B13068">
        <f>TEXT(13067, "[$-0E0000]yyyy-mm-dd")</f>
        <v/>
      </c>
      <c r="C13068" t="inlineStr">
        <is>
          <t>1935-09-14</t>
        </is>
      </c>
    </row>
    <row r="13069">
      <c r="A13069" s="1" t="n">
        <v>13068</v>
      </c>
      <c r="B13069">
        <f>TEXT(13068, "[$-0E0000]yyyy-mm-dd")</f>
        <v/>
      </c>
      <c r="C13069" t="inlineStr">
        <is>
          <t>1935-09-15</t>
        </is>
      </c>
    </row>
    <row r="13070">
      <c r="A13070" s="1" t="n">
        <v>13069</v>
      </c>
      <c r="B13070">
        <f>TEXT(13069, "[$-0E0000]yyyy-mm-dd")</f>
        <v/>
      </c>
      <c r="C13070" t="inlineStr">
        <is>
          <t>1935-09-16</t>
        </is>
      </c>
    </row>
    <row r="13071">
      <c r="A13071" s="1" t="n">
        <v>13070</v>
      </c>
      <c r="B13071">
        <f>TEXT(13070, "[$-0E0000]yyyy-mm-dd")</f>
        <v/>
      </c>
      <c r="C13071" t="inlineStr">
        <is>
          <t>1935-09-17</t>
        </is>
      </c>
    </row>
    <row r="13072">
      <c r="A13072" s="1" t="n">
        <v>13071</v>
      </c>
      <c r="B13072">
        <f>TEXT(13071, "[$-0E0000]yyyy-mm-dd")</f>
        <v/>
      </c>
      <c r="C13072" t="inlineStr">
        <is>
          <t>1935-09-18</t>
        </is>
      </c>
    </row>
    <row r="13073">
      <c r="A13073" s="1" t="n">
        <v>13072</v>
      </c>
      <c r="B13073">
        <f>TEXT(13072, "[$-0E0000]yyyy-mm-dd")</f>
        <v/>
      </c>
      <c r="C13073" t="inlineStr">
        <is>
          <t>1935-09-19</t>
        </is>
      </c>
    </row>
    <row r="13074">
      <c r="A13074" s="1" t="n">
        <v>13073</v>
      </c>
      <c r="B13074">
        <f>TEXT(13073, "[$-0E0000]yyyy-mm-dd")</f>
        <v/>
      </c>
      <c r="C13074" t="inlineStr">
        <is>
          <t>1935-09-20</t>
        </is>
      </c>
    </row>
    <row r="13075">
      <c r="A13075" s="1" t="n">
        <v>13074</v>
      </c>
      <c r="B13075">
        <f>TEXT(13074, "[$-0E0000]yyyy-mm-dd")</f>
        <v/>
      </c>
      <c r="C13075" t="inlineStr">
        <is>
          <t>1935-09-21</t>
        </is>
      </c>
    </row>
    <row r="13076">
      <c r="A13076" s="1" t="n">
        <v>13075</v>
      </c>
      <c r="B13076">
        <f>TEXT(13075, "[$-0E0000]yyyy-mm-dd")</f>
        <v/>
      </c>
      <c r="C13076" t="inlineStr">
        <is>
          <t>1935-09-22</t>
        </is>
      </c>
    </row>
    <row r="13077">
      <c r="A13077" s="1" t="n">
        <v>13076</v>
      </c>
      <c r="B13077">
        <f>TEXT(13076, "[$-0E0000]yyyy-mm-dd")</f>
        <v/>
      </c>
      <c r="C13077" t="inlineStr">
        <is>
          <t>1935-09-23</t>
        </is>
      </c>
    </row>
    <row r="13078">
      <c r="A13078" s="1" t="n">
        <v>13077</v>
      </c>
      <c r="B13078">
        <f>TEXT(13077, "[$-0E0000]yyyy-mm-dd")</f>
        <v/>
      </c>
      <c r="C13078" t="inlineStr">
        <is>
          <t>1935-09-24</t>
        </is>
      </c>
    </row>
    <row r="13079">
      <c r="A13079" s="1" t="n">
        <v>13078</v>
      </c>
      <c r="B13079">
        <f>TEXT(13078, "[$-0E0000]yyyy-mm-dd")</f>
        <v/>
      </c>
      <c r="C13079" t="inlineStr">
        <is>
          <t>1935-09-25</t>
        </is>
      </c>
    </row>
    <row r="13080">
      <c r="A13080" s="1" t="n">
        <v>13079</v>
      </c>
      <c r="B13080">
        <f>TEXT(13079, "[$-0E0000]yyyy-mm-dd")</f>
        <v/>
      </c>
      <c r="C13080" t="inlineStr">
        <is>
          <t>1935-09-26</t>
        </is>
      </c>
    </row>
    <row r="13081">
      <c r="A13081" s="1" t="n">
        <v>13080</v>
      </c>
      <c r="B13081">
        <f>TEXT(13080, "[$-0E0000]yyyy-mm-dd")</f>
        <v/>
      </c>
      <c r="C13081" t="inlineStr">
        <is>
          <t>1935-09-27</t>
        </is>
      </c>
    </row>
    <row r="13082">
      <c r="A13082" s="1" t="n">
        <v>13081</v>
      </c>
      <c r="B13082">
        <f>TEXT(13081, "[$-0E0000]yyyy-mm-dd")</f>
        <v/>
      </c>
      <c r="C13082" t="inlineStr">
        <is>
          <t>1935-09-28</t>
        </is>
      </c>
    </row>
    <row r="13083">
      <c r="A13083" s="1" t="n">
        <v>13082</v>
      </c>
      <c r="B13083">
        <f>TEXT(13082, "[$-0E0000]yyyy-mm-dd")</f>
        <v/>
      </c>
      <c r="C13083" t="inlineStr">
        <is>
          <t>1935-09-29</t>
        </is>
      </c>
    </row>
    <row r="13084">
      <c r="A13084" s="1" t="n">
        <v>13083</v>
      </c>
      <c r="B13084">
        <f>TEXT(13083, "[$-0E0000]yyyy-mm-dd")</f>
        <v/>
      </c>
      <c r="C13084" t="inlineStr">
        <is>
          <t>1935-10-01</t>
        </is>
      </c>
    </row>
    <row r="13085">
      <c r="A13085" s="1" t="n">
        <v>13084</v>
      </c>
      <c r="B13085">
        <f>TEXT(13084, "[$-0E0000]yyyy-mm-dd")</f>
        <v/>
      </c>
      <c r="C13085" t="inlineStr">
        <is>
          <t>1935-10-02</t>
        </is>
      </c>
    </row>
    <row r="13086">
      <c r="A13086" s="1" t="n">
        <v>13085</v>
      </c>
      <c r="B13086">
        <f>TEXT(13085, "[$-0E0000]yyyy-mm-dd")</f>
        <v/>
      </c>
      <c r="C13086" t="inlineStr">
        <is>
          <t>1935-10-03</t>
        </is>
      </c>
    </row>
    <row r="13087">
      <c r="A13087" s="1" t="n">
        <v>13086</v>
      </c>
      <c r="B13087">
        <f>TEXT(13086, "[$-0E0000]yyyy-mm-dd")</f>
        <v/>
      </c>
      <c r="C13087" t="inlineStr">
        <is>
          <t>1935-10-04</t>
        </is>
      </c>
    </row>
    <row r="13088">
      <c r="A13088" s="1" t="n">
        <v>13087</v>
      </c>
      <c r="B13088">
        <f>TEXT(13087, "[$-0E0000]yyyy-mm-dd")</f>
        <v/>
      </c>
      <c r="C13088" t="inlineStr">
        <is>
          <t>1935-10-05</t>
        </is>
      </c>
    </row>
    <row r="13089">
      <c r="A13089" s="1" t="n">
        <v>13088</v>
      </c>
      <c r="B13089">
        <f>TEXT(13088, "[$-0E0000]yyyy-mm-dd")</f>
        <v/>
      </c>
      <c r="C13089" t="inlineStr">
        <is>
          <t>1935-10-06</t>
        </is>
      </c>
    </row>
    <row r="13090">
      <c r="A13090" s="1" t="n">
        <v>13089</v>
      </c>
      <c r="B13090">
        <f>TEXT(13089, "[$-0E0000]yyyy-mm-dd")</f>
        <v/>
      </c>
      <c r="C13090" t="inlineStr">
        <is>
          <t>1935-10-07</t>
        </is>
      </c>
    </row>
    <row r="13091">
      <c r="A13091" s="1" t="n">
        <v>13090</v>
      </c>
      <c r="B13091">
        <f>TEXT(13090, "[$-0E0000]yyyy-mm-dd")</f>
        <v/>
      </c>
      <c r="C13091" t="inlineStr">
        <is>
          <t>1935-10-08</t>
        </is>
      </c>
    </row>
    <row r="13092">
      <c r="A13092" s="1" t="n">
        <v>13091</v>
      </c>
      <c r="B13092">
        <f>TEXT(13091, "[$-0E0000]yyyy-mm-dd")</f>
        <v/>
      </c>
      <c r="C13092" t="inlineStr">
        <is>
          <t>1935-10-09</t>
        </is>
      </c>
    </row>
    <row r="13093">
      <c r="A13093" s="1" t="n">
        <v>13092</v>
      </c>
      <c r="B13093">
        <f>TEXT(13092, "[$-0E0000]yyyy-mm-dd")</f>
        <v/>
      </c>
      <c r="C13093" t="inlineStr">
        <is>
          <t>1935-10-10</t>
        </is>
      </c>
    </row>
    <row r="13094">
      <c r="A13094" s="1" t="n">
        <v>13093</v>
      </c>
      <c r="B13094">
        <f>TEXT(13093, "[$-0E0000]yyyy-mm-dd")</f>
        <v/>
      </c>
      <c r="C13094" t="inlineStr">
        <is>
          <t>1935-10-11</t>
        </is>
      </c>
    </row>
    <row r="13095">
      <c r="A13095" s="1" t="n">
        <v>13094</v>
      </c>
      <c r="B13095">
        <f>TEXT(13094, "[$-0E0000]yyyy-mm-dd")</f>
        <v/>
      </c>
      <c r="C13095" t="inlineStr">
        <is>
          <t>1935-10-12</t>
        </is>
      </c>
    </row>
    <row r="13096">
      <c r="A13096" s="1" t="n">
        <v>13095</v>
      </c>
      <c r="B13096">
        <f>TEXT(13095, "[$-0E0000]yyyy-mm-dd")</f>
        <v/>
      </c>
      <c r="C13096" t="inlineStr">
        <is>
          <t>1935-10-13</t>
        </is>
      </c>
    </row>
    <row r="13097">
      <c r="A13097" s="1" t="n">
        <v>13096</v>
      </c>
      <c r="B13097">
        <f>TEXT(13096, "[$-0E0000]yyyy-mm-dd")</f>
        <v/>
      </c>
      <c r="C13097" t="inlineStr">
        <is>
          <t>1935-10-14</t>
        </is>
      </c>
    </row>
    <row r="13098">
      <c r="A13098" s="1" t="n">
        <v>13097</v>
      </c>
      <c r="B13098">
        <f>TEXT(13097, "[$-0E0000]yyyy-mm-dd")</f>
        <v/>
      </c>
      <c r="C13098" t="inlineStr">
        <is>
          <t>1935-10-15</t>
        </is>
      </c>
    </row>
    <row r="13099">
      <c r="A13099" s="1" t="n">
        <v>13098</v>
      </c>
      <c r="B13099">
        <f>TEXT(13098, "[$-0E0000]yyyy-mm-dd")</f>
        <v/>
      </c>
      <c r="C13099" t="inlineStr">
        <is>
          <t>1935-10-16</t>
        </is>
      </c>
    </row>
    <row r="13100">
      <c r="A13100" s="1" t="n">
        <v>13099</v>
      </c>
      <c r="B13100">
        <f>TEXT(13099, "[$-0E0000]yyyy-mm-dd")</f>
        <v/>
      </c>
      <c r="C13100" t="inlineStr">
        <is>
          <t>1935-10-17</t>
        </is>
      </c>
    </row>
    <row r="13101">
      <c r="A13101" s="1" t="n">
        <v>13100</v>
      </c>
      <c r="B13101">
        <f>TEXT(13100, "[$-0E0000]yyyy-mm-dd")</f>
        <v/>
      </c>
      <c r="C13101" t="inlineStr">
        <is>
          <t>1935-10-18</t>
        </is>
      </c>
    </row>
    <row r="13102">
      <c r="A13102" s="1" t="n">
        <v>13101</v>
      </c>
      <c r="B13102">
        <f>TEXT(13101, "[$-0E0000]yyyy-mm-dd")</f>
        <v/>
      </c>
      <c r="C13102" t="inlineStr">
        <is>
          <t>1935-10-19</t>
        </is>
      </c>
    </row>
    <row r="13103">
      <c r="A13103" s="1" t="n">
        <v>13102</v>
      </c>
      <c r="B13103">
        <f>TEXT(13102, "[$-0E0000]yyyy-mm-dd")</f>
        <v/>
      </c>
      <c r="C13103" t="inlineStr">
        <is>
          <t>1935-10-20</t>
        </is>
      </c>
    </row>
    <row r="13104">
      <c r="A13104" s="1" t="n">
        <v>13103</v>
      </c>
      <c r="B13104">
        <f>TEXT(13103, "[$-0E0000]yyyy-mm-dd")</f>
        <v/>
      </c>
      <c r="C13104" t="inlineStr">
        <is>
          <t>1935-10-21</t>
        </is>
      </c>
    </row>
    <row r="13105">
      <c r="A13105" s="1" t="n">
        <v>13104</v>
      </c>
      <c r="B13105">
        <f>TEXT(13104, "[$-0E0000]yyyy-mm-dd")</f>
        <v/>
      </c>
      <c r="C13105" t="inlineStr">
        <is>
          <t>1935-10-22</t>
        </is>
      </c>
    </row>
    <row r="13106">
      <c r="A13106" s="1" t="n">
        <v>13105</v>
      </c>
      <c r="B13106">
        <f>TEXT(13105, "[$-0E0000]yyyy-mm-dd")</f>
        <v/>
      </c>
      <c r="C13106" t="inlineStr">
        <is>
          <t>1935-10-23</t>
        </is>
      </c>
    </row>
    <row r="13107">
      <c r="A13107" s="1" t="n">
        <v>13106</v>
      </c>
      <c r="B13107">
        <f>TEXT(13106, "[$-0E0000]yyyy-mm-dd")</f>
        <v/>
      </c>
      <c r="C13107" t="inlineStr">
        <is>
          <t>1935-10-24</t>
        </is>
      </c>
    </row>
    <row r="13108">
      <c r="A13108" s="1" t="n">
        <v>13107</v>
      </c>
      <c r="B13108">
        <f>TEXT(13107, "[$-0E0000]yyyy-mm-dd")</f>
        <v/>
      </c>
      <c r="C13108" t="inlineStr">
        <is>
          <t>1935-10-25</t>
        </is>
      </c>
    </row>
    <row r="13109">
      <c r="A13109" s="1" t="n">
        <v>13108</v>
      </c>
      <c r="B13109">
        <f>TEXT(13108, "[$-0E0000]yyyy-mm-dd")</f>
        <v/>
      </c>
      <c r="C13109" t="inlineStr">
        <is>
          <t>1935-10-26</t>
        </is>
      </c>
    </row>
    <row r="13110">
      <c r="A13110" s="1" t="n">
        <v>13109</v>
      </c>
      <c r="B13110">
        <f>TEXT(13109, "[$-0E0000]yyyy-mm-dd")</f>
        <v/>
      </c>
      <c r="C13110" t="inlineStr">
        <is>
          <t>1935-10-27</t>
        </is>
      </c>
    </row>
    <row r="13111">
      <c r="A13111" s="1" t="n">
        <v>13110</v>
      </c>
      <c r="B13111">
        <f>TEXT(13110, "[$-0E0000]yyyy-mm-dd")</f>
        <v/>
      </c>
      <c r="C13111" t="inlineStr">
        <is>
          <t>1935-10-28</t>
        </is>
      </c>
    </row>
    <row r="13112">
      <c r="A13112" s="1" t="n">
        <v>13111</v>
      </c>
      <c r="B13112">
        <f>TEXT(13111, "[$-0E0000]yyyy-mm-dd")</f>
        <v/>
      </c>
      <c r="C13112" t="inlineStr">
        <is>
          <t>1935-10-29</t>
        </is>
      </c>
    </row>
    <row r="13113">
      <c r="A13113" s="1" t="n">
        <v>13112</v>
      </c>
      <c r="B13113">
        <f>TEXT(13112, "[$-0E0000]yyyy-mm-dd")</f>
        <v/>
      </c>
      <c r="C13113" t="inlineStr">
        <is>
          <t>1935-10-30</t>
        </is>
      </c>
    </row>
    <row r="13114">
      <c r="A13114" s="1" t="n">
        <v>13113</v>
      </c>
      <c r="B13114">
        <f>TEXT(13113, "[$-0E0000]yyyy-mm-dd")</f>
        <v/>
      </c>
      <c r="C13114" t="inlineStr">
        <is>
          <t>1935-11-01</t>
        </is>
      </c>
    </row>
    <row r="13115">
      <c r="A13115" s="1" t="n">
        <v>13114</v>
      </c>
      <c r="B13115">
        <f>TEXT(13114, "[$-0E0000]yyyy-mm-dd")</f>
        <v/>
      </c>
      <c r="C13115" t="inlineStr">
        <is>
          <t>1935-11-02</t>
        </is>
      </c>
    </row>
    <row r="13116">
      <c r="A13116" s="1" t="n">
        <v>13115</v>
      </c>
      <c r="B13116">
        <f>TEXT(13115, "[$-0E0000]yyyy-mm-dd")</f>
        <v/>
      </c>
      <c r="C13116" t="inlineStr">
        <is>
          <t>1935-11-03</t>
        </is>
      </c>
    </row>
    <row r="13117">
      <c r="A13117" s="1" t="n">
        <v>13116</v>
      </c>
      <c r="B13117">
        <f>TEXT(13116, "[$-0E0000]yyyy-mm-dd")</f>
        <v/>
      </c>
      <c r="C13117" t="inlineStr">
        <is>
          <t>1935-11-04</t>
        </is>
      </c>
    </row>
    <row r="13118">
      <c r="A13118" s="1" t="n">
        <v>13117</v>
      </c>
      <c r="B13118">
        <f>TEXT(13117, "[$-0E0000]yyyy-mm-dd")</f>
        <v/>
      </c>
      <c r="C13118" t="inlineStr">
        <is>
          <t>1935-11-05</t>
        </is>
      </c>
    </row>
    <row r="13119">
      <c r="A13119" s="1" t="n">
        <v>13118</v>
      </c>
      <c r="B13119">
        <f>TEXT(13118, "[$-0E0000]yyyy-mm-dd")</f>
        <v/>
      </c>
      <c r="C13119" t="inlineStr">
        <is>
          <t>1935-11-06</t>
        </is>
      </c>
    </row>
    <row r="13120">
      <c r="A13120" s="1" t="n">
        <v>13119</v>
      </c>
      <c r="B13120">
        <f>TEXT(13119, "[$-0E0000]yyyy-mm-dd")</f>
        <v/>
      </c>
      <c r="C13120" t="inlineStr">
        <is>
          <t>1935-11-07</t>
        </is>
      </c>
    </row>
    <row r="13121">
      <c r="A13121" s="1" t="n">
        <v>13120</v>
      </c>
      <c r="B13121">
        <f>TEXT(13120, "[$-0E0000]yyyy-mm-dd")</f>
        <v/>
      </c>
      <c r="C13121" t="inlineStr">
        <is>
          <t>1935-11-08</t>
        </is>
      </c>
    </row>
    <row r="13122">
      <c r="A13122" s="1" t="n">
        <v>13121</v>
      </c>
      <c r="B13122">
        <f>TEXT(13121, "[$-0E0000]yyyy-mm-dd")</f>
        <v/>
      </c>
      <c r="C13122" t="inlineStr">
        <is>
          <t>1935-11-09</t>
        </is>
      </c>
    </row>
    <row r="13123">
      <c r="A13123" s="1" t="n">
        <v>13122</v>
      </c>
      <c r="B13123">
        <f>TEXT(13122, "[$-0E0000]yyyy-mm-dd")</f>
        <v/>
      </c>
      <c r="C13123" t="inlineStr">
        <is>
          <t>1935-11-10</t>
        </is>
      </c>
    </row>
    <row r="13124">
      <c r="A13124" s="1" t="n">
        <v>13123</v>
      </c>
      <c r="B13124">
        <f>TEXT(13123, "[$-0E0000]yyyy-mm-dd")</f>
        <v/>
      </c>
      <c r="C13124" t="inlineStr">
        <is>
          <t>1935-11-11</t>
        </is>
      </c>
    </row>
    <row r="13125">
      <c r="A13125" s="1" t="n">
        <v>13124</v>
      </c>
      <c r="B13125">
        <f>TEXT(13124, "[$-0E0000]yyyy-mm-dd")</f>
        <v/>
      </c>
      <c r="C13125" t="inlineStr">
        <is>
          <t>1935-11-12</t>
        </is>
      </c>
    </row>
    <row r="13126">
      <c r="A13126" s="1" t="n">
        <v>13125</v>
      </c>
      <c r="B13126">
        <f>TEXT(13125, "[$-0E0000]yyyy-mm-dd")</f>
        <v/>
      </c>
      <c r="C13126" t="inlineStr">
        <is>
          <t>1935-11-13</t>
        </is>
      </c>
    </row>
    <row r="13127">
      <c r="A13127" s="1" t="n">
        <v>13126</v>
      </c>
      <c r="B13127">
        <f>TEXT(13126, "[$-0E0000]yyyy-mm-dd")</f>
        <v/>
      </c>
      <c r="C13127" t="inlineStr">
        <is>
          <t>1935-11-14</t>
        </is>
      </c>
    </row>
    <row r="13128">
      <c r="A13128" s="1" t="n">
        <v>13127</v>
      </c>
      <c r="B13128">
        <f>TEXT(13127, "[$-0E0000]yyyy-mm-dd")</f>
        <v/>
      </c>
      <c r="C13128" t="inlineStr">
        <is>
          <t>1935-11-15</t>
        </is>
      </c>
    </row>
    <row r="13129">
      <c r="A13129" s="1" t="n">
        <v>13128</v>
      </c>
      <c r="B13129">
        <f>TEXT(13128, "[$-0E0000]yyyy-mm-dd")</f>
        <v/>
      </c>
      <c r="C13129" t="inlineStr">
        <is>
          <t>1935-11-16</t>
        </is>
      </c>
    </row>
    <row r="13130">
      <c r="A13130" s="1" t="n">
        <v>13129</v>
      </c>
      <c r="B13130">
        <f>TEXT(13129, "[$-0E0000]yyyy-mm-dd")</f>
        <v/>
      </c>
      <c r="C13130" t="inlineStr">
        <is>
          <t>1935-11-17</t>
        </is>
      </c>
    </row>
    <row r="13131">
      <c r="A13131" s="1" t="n">
        <v>13130</v>
      </c>
      <c r="B13131">
        <f>TEXT(13130, "[$-0E0000]yyyy-mm-dd")</f>
        <v/>
      </c>
      <c r="C13131" t="inlineStr">
        <is>
          <t>1935-11-18</t>
        </is>
      </c>
    </row>
    <row r="13132">
      <c r="A13132" s="1" t="n">
        <v>13131</v>
      </c>
      <c r="B13132">
        <f>TEXT(13131, "[$-0E0000]yyyy-mm-dd")</f>
        <v/>
      </c>
      <c r="C13132" t="inlineStr">
        <is>
          <t>1935-11-19</t>
        </is>
      </c>
    </row>
    <row r="13133">
      <c r="A13133" s="1" t="n">
        <v>13132</v>
      </c>
      <c r="B13133">
        <f>TEXT(13132, "[$-0E0000]yyyy-mm-dd")</f>
        <v/>
      </c>
      <c r="C13133" t="inlineStr">
        <is>
          <t>1935-11-20</t>
        </is>
      </c>
    </row>
    <row r="13134">
      <c r="A13134" s="1" t="n">
        <v>13133</v>
      </c>
      <c r="B13134">
        <f>TEXT(13133, "[$-0E0000]yyyy-mm-dd")</f>
        <v/>
      </c>
      <c r="C13134" t="inlineStr">
        <is>
          <t>1935-11-21</t>
        </is>
      </c>
    </row>
    <row r="13135">
      <c r="A13135" s="1" t="n">
        <v>13134</v>
      </c>
      <c r="B13135">
        <f>TEXT(13134, "[$-0E0000]yyyy-mm-dd")</f>
        <v/>
      </c>
      <c r="C13135" t="inlineStr">
        <is>
          <t>1935-11-22</t>
        </is>
      </c>
    </row>
    <row r="13136">
      <c r="A13136" s="1" t="n">
        <v>13135</v>
      </c>
      <c r="B13136">
        <f>TEXT(13135, "[$-0E0000]yyyy-mm-dd")</f>
        <v/>
      </c>
      <c r="C13136" t="inlineStr">
        <is>
          <t>1935-11-23</t>
        </is>
      </c>
    </row>
    <row r="13137">
      <c r="A13137" s="1" t="n">
        <v>13136</v>
      </c>
      <c r="B13137">
        <f>TEXT(13136, "[$-0E0000]yyyy-mm-dd")</f>
        <v/>
      </c>
      <c r="C13137" t="inlineStr">
        <is>
          <t>1935-11-24</t>
        </is>
      </c>
    </row>
    <row r="13138">
      <c r="A13138" s="1" t="n">
        <v>13137</v>
      </c>
      <c r="B13138">
        <f>TEXT(13137, "[$-0E0000]yyyy-mm-dd")</f>
        <v/>
      </c>
      <c r="C13138" t="inlineStr">
        <is>
          <t>1935-11-25</t>
        </is>
      </c>
    </row>
    <row r="13139">
      <c r="A13139" s="1" t="n">
        <v>13138</v>
      </c>
      <c r="B13139">
        <f>TEXT(13138, "[$-0E0000]yyyy-mm-dd")</f>
        <v/>
      </c>
      <c r="C13139" t="inlineStr">
        <is>
          <t>1935-11-26</t>
        </is>
      </c>
    </row>
    <row r="13140">
      <c r="A13140" s="1" t="n">
        <v>13139</v>
      </c>
      <c r="B13140">
        <f>TEXT(13139, "[$-0E0000]yyyy-mm-dd")</f>
        <v/>
      </c>
      <c r="C13140" t="inlineStr">
        <is>
          <t>1935-11-27</t>
        </is>
      </c>
    </row>
    <row r="13141">
      <c r="A13141" s="1" t="n">
        <v>13140</v>
      </c>
      <c r="B13141">
        <f>TEXT(13140, "[$-0E0000]yyyy-mm-dd")</f>
        <v/>
      </c>
      <c r="C13141" t="inlineStr">
        <is>
          <t>1935-11-28</t>
        </is>
      </c>
    </row>
    <row r="13142">
      <c r="A13142" s="1" t="n">
        <v>13141</v>
      </c>
      <c r="B13142">
        <f>TEXT(13141, "[$-0E0000]yyyy-mm-dd")</f>
        <v/>
      </c>
      <c r="C13142" t="inlineStr">
        <is>
          <t>1935-11-29</t>
        </is>
      </c>
    </row>
    <row r="13143">
      <c r="A13143" s="1" t="n">
        <v>13142</v>
      </c>
      <c r="B13143">
        <f>TEXT(13142, "[$-0E0000]yyyy-mm-dd")</f>
        <v/>
      </c>
      <c r="C13143" t="inlineStr">
        <is>
          <t>1935-11-30</t>
        </is>
      </c>
    </row>
    <row r="13144">
      <c r="A13144" s="1" t="n">
        <v>13143</v>
      </c>
      <c r="B13144">
        <f>TEXT(13143, "[$-0E0000]yyyy-mm-dd")</f>
        <v/>
      </c>
      <c r="C13144" t="inlineStr">
        <is>
          <t>1935-12-01</t>
        </is>
      </c>
    </row>
    <row r="13145">
      <c r="A13145" s="1" t="n">
        <v>13144</v>
      </c>
      <c r="B13145">
        <f>TEXT(13144, "[$-0E0000]yyyy-mm-dd")</f>
        <v/>
      </c>
      <c r="C13145" t="inlineStr">
        <is>
          <t>1935-12-02</t>
        </is>
      </c>
    </row>
    <row r="13146">
      <c r="A13146" s="1" t="n">
        <v>13145</v>
      </c>
      <c r="B13146">
        <f>TEXT(13145, "[$-0E0000]yyyy-mm-dd")</f>
        <v/>
      </c>
      <c r="C13146" t="inlineStr">
        <is>
          <t>1935-12-03</t>
        </is>
      </c>
    </row>
    <row r="13147">
      <c r="A13147" s="1" t="n">
        <v>13146</v>
      </c>
      <c r="B13147">
        <f>TEXT(13146, "[$-0E0000]yyyy-mm-dd")</f>
        <v/>
      </c>
      <c r="C13147" t="inlineStr">
        <is>
          <t>1935-12-04</t>
        </is>
      </c>
    </row>
    <row r="13148">
      <c r="A13148" s="1" t="n">
        <v>13147</v>
      </c>
      <c r="B13148">
        <f>TEXT(13147, "[$-0E0000]yyyy-mm-dd")</f>
        <v/>
      </c>
      <c r="C13148" t="inlineStr">
        <is>
          <t>1935-12-05</t>
        </is>
      </c>
    </row>
    <row r="13149">
      <c r="A13149" s="1" t="n">
        <v>13148</v>
      </c>
      <c r="B13149">
        <f>TEXT(13148, "[$-0E0000]yyyy-mm-dd")</f>
        <v/>
      </c>
      <c r="C13149" t="inlineStr">
        <is>
          <t>1935-12-06</t>
        </is>
      </c>
    </row>
    <row r="13150">
      <c r="A13150" s="1" t="n">
        <v>13149</v>
      </c>
      <c r="B13150">
        <f>TEXT(13149, "[$-0E0000]yyyy-mm-dd")</f>
        <v/>
      </c>
      <c r="C13150" t="inlineStr">
        <is>
          <t>1935-12-07</t>
        </is>
      </c>
    </row>
    <row r="13151">
      <c r="A13151" s="1" t="n">
        <v>13150</v>
      </c>
      <c r="B13151">
        <f>TEXT(13150, "[$-0E0000]yyyy-mm-dd")</f>
        <v/>
      </c>
      <c r="C13151" t="inlineStr">
        <is>
          <t>1935-12-08</t>
        </is>
      </c>
    </row>
    <row r="13152">
      <c r="A13152" s="1" t="n">
        <v>13151</v>
      </c>
      <c r="B13152">
        <f>TEXT(13151, "[$-0E0000]yyyy-mm-dd")</f>
        <v/>
      </c>
      <c r="C13152" t="inlineStr">
        <is>
          <t>1935-12-09</t>
        </is>
      </c>
    </row>
    <row r="13153">
      <c r="A13153" s="1" t="n">
        <v>13152</v>
      </c>
      <c r="B13153">
        <f>TEXT(13152, "[$-0E0000]yyyy-mm-dd")</f>
        <v/>
      </c>
      <c r="C13153" t="inlineStr">
        <is>
          <t>1935-12-10</t>
        </is>
      </c>
    </row>
    <row r="13154">
      <c r="A13154" s="1" t="n">
        <v>13153</v>
      </c>
      <c r="B13154">
        <f>TEXT(13153, "[$-0E0000]yyyy-mm-dd")</f>
        <v/>
      </c>
      <c r="C13154" t="inlineStr">
        <is>
          <t>1935-12-11</t>
        </is>
      </c>
    </row>
    <row r="13155">
      <c r="A13155" s="1" t="n">
        <v>13154</v>
      </c>
      <c r="B13155">
        <f>TEXT(13154, "[$-0E0000]yyyy-mm-dd")</f>
        <v/>
      </c>
      <c r="C13155" t="inlineStr">
        <is>
          <t>1935-12-12</t>
        </is>
      </c>
    </row>
    <row r="13156">
      <c r="A13156" s="1" t="n">
        <v>13155</v>
      </c>
      <c r="B13156">
        <f>TEXT(13155, "[$-0E0000]yyyy-mm-dd")</f>
        <v/>
      </c>
      <c r="C13156" t="inlineStr">
        <is>
          <t>1935-12-13</t>
        </is>
      </c>
    </row>
    <row r="13157">
      <c r="A13157" s="1" t="n">
        <v>13156</v>
      </c>
      <c r="B13157">
        <f>TEXT(13156, "[$-0E0000]yyyy-mm-dd")</f>
        <v/>
      </c>
      <c r="C13157" t="inlineStr">
        <is>
          <t>1935-12-14</t>
        </is>
      </c>
    </row>
    <row r="13158">
      <c r="A13158" s="1" t="n">
        <v>13157</v>
      </c>
      <c r="B13158">
        <f>TEXT(13157, "[$-0E0000]yyyy-mm-dd")</f>
        <v/>
      </c>
      <c r="C13158" t="inlineStr">
        <is>
          <t>1935-12-15</t>
        </is>
      </c>
    </row>
    <row r="13159">
      <c r="A13159" s="1" t="n">
        <v>13158</v>
      </c>
      <c r="B13159">
        <f>TEXT(13158, "[$-0E0000]yyyy-mm-dd")</f>
        <v/>
      </c>
      <c r="C13159" t="inlineStr">
        <is>
          <t>1935-12-16</t>
        </is>
      </c>
    </row>
    <row r="13160">
      <c r="A13160" s="1" t="n">
        <v>13159</v>
      </c>
      <c r="B13160">
        <f>TEXT(13159, "[$-0E0000]yyyy-mm-dd")</f>
        <v/>
      </c>
      <c r="C13160" t="inlineStr">
        <is>
          <t>1935-12-17</t>
        </is>
      </c>
    </row>
    <row r="13161">
      <c r="A13161" s="1" t="n">
        <v>13160</v>
      </c>
      <c r="B13161">
        <f>TEXT(13160, "[$-0E0000]yyyy-mm-dd")</f>
        <v/>
      </c>
      <c r="C13161" t="inlineStr">
        <is>
          <t>1935-12-18</t>
        </is>
      </c>
    </row>
    <row r="13162">
      <c r="A13162" s="1" t="n">
        <v>13161</v>
      </c>
      <c r="B13162">
        <f>TEXT(13161, "[$-0E0000]yyyy-mm-dd")</f>
        <v/>
      </c>
      <c r="C13162" t="inlineStr">
        <is>
          <t>1935-12-19</t>
        </is>
      </c>
    </row>
    <row r="13163">
      <c r="A13163" s="1" t="n">
        <v>13162</v>
      </c>
      <c r="B13163">
        <f>TEXT(13162, "[$-0E0000]yyyy-mm-dd")</f>
        <v/>
      </c>
      <c r="C13163" t="inlineStr">
        <is>
          <t>1935-12-20</t>
        </is>
      </c>
    </row>
    <row r="13164">
      <c r="A13164" s="1" t="n">
        <v>13163</v>
      </c>
      <c r="B13164">
        <f>TEXT(13163, "[$-0E0000]yyyy-mm-dd")</f>
        <v/>
      </c>
      <c r="C13164" t="inlineStr">
        <is>
          <t>1935-12-21</t>
        </is>
      </c>
    </row>
    <row r="13165">
      <c r="A13165" s="1" t="n">
        <v>13164</v>
      </c>
      <c r="B13165">
        <f>TEXT(13164, "[$-0E0000]yyyy-mm-dd")</f>
        <v/>
      </c>
      <c r="C13165" t="inlineStr">
        <is>
          <t>1935-12-22</t>
        </is>
      </c>
    </row>
    <row r="13166">
      <c r="A13166" s="1" t="n">
        <v>13165</v>
      </c>
      <c r="B13166">
        <f>TEXT(13165, "[$-0E0000]yyyy-mm-dd")</f>
        <v/>
      </c>
      <c r="C13166" t="inlineStr">
        <is>
          <t>1935-12-23</t>
        </is>
      </c>
    </row>
    <row r="13167">
      <c r="A13167" s="1" t="n">
        <v>13166</v>
      </c>
      <c r="B13167">
        <f>TEXT(13166, "[$-0E0000]yyyy-mm-dd")</f>
        <v/>
      </c>
      <c r="C13167" t="inlineStr">
        <is>
          <t>1935-12-24</t>
        </is>
      </c>
    </row>
    <row r="13168">
      <c r="A13168" s="1" t="n">
        <v>13167</v>
      </c>
      <c r="B13168">
        <f>TEXT(13167, "[$-0E0000]yyyy-mm-dd")</f>
        <v/>
      </c>
      <c r="C13168" t="inlineStr">
        <is>
          <t>1935-12-25</t>
        </is>
      </c>
    </row>
    <row r="13169">
      <c r="A13169" s="1" t="n">
        <v>13168</v>
      </c>
      <c r="B13169">
        <f>TEXT(13168, "[$-0E0000]yyyy-mm-dd")</f>
        <v/>
      </c>
      <c r="C13169" t="inlineStr">
        <is>
          <t>1935-12-26</t>
        </is>
      </c>
    </row>
    <row r="13170">
      <c r="A13170" s="1" t="n">
        <v>13169</v>
      </c>
      <c r="B13170">
        <f>TEXT(13169, "[$-0E0000]yyyy-mm-dd")</f>
        <v/>
      </c>
      <c r="C13170" t="inlineStr">
        <is>
          <t>1935-12-27</t>
        </is>
      </c>
    </row>
    <row r="13171">
      <c r="A13171" s="1" t="n">
        <v>13170</v>
      </c>
      <c r="B13171">
        <f>TEXT(13170, "[$-0E0000]yyyy-mm-dd")</f>
        <v/>
      </c>
      <c r="C13171" t="inlineStr">
        <is>
          <t>1935-12-28</t>
        </is>
      </c>
    </row>
    <row r="13172">
      <c r="A13172" s="1" t="n">
        <v>13171</v>
      </c>
      <c r="B13172">
        <f>TEXT(13171, "[$-0E0000]yyyy-mm-dd")</f>
        <v/>
      </c>
      <c r="C13172" t="inlineStr">
        <is>
          <t>1935-12-29</t>
        </is>
      </c>
    </row>
    <row r="13173">
      <c r="A13173" s="1" t="n">
        <v>13172</v>
      </c>
      <c r="B13173">
        <f>TEXT(13172, "[$-0E0000]yyyy-mm-dd")</f>
        <v/>
      </c>
      <c r="C13173" t="inlineStr">
        <is>
          <t>1936-01-01</t>
        </is>
      </c>
    </row>
    <row r="13174">
      <c r="A13174" s="1" t="n">
        <v>13173</v>
      </c>
      <c r="B13174">
        <f>TEXT(13173, "[$-0E0000]yyyy-mm-dd")</f>
        <v/>
      </c>
      <c r="C13174" t="inlineStr">
        <is>
          <t>1936-01-02</t>
        </is>
      </c>
    </row>
    <row r="13175">
      <c r="A13175" s="1" t="n">
        <v>13174</v>
      </c>
      <c r="B13175">
        <f>TEXT(13174, "[$-0E0000]yyyy-mm-dd")</f>
        <v/>
      </c>
      <c r="C13175" t="inlineStr">
        <is>
          <t>1936-01-03</t>
        </is>
      </c>
    </row>
    <row r="13176">
      <c r="A13176" s="1" t="n">
        <v>13175</v>
      </c>
      <c r="B13176">
        <f>TEXT(13175, "[$-0E0000]yyyy-mm-dd")</f>
        <v/>
      </c>
      <c r="C13176" t="inlineStr">
        <is>
          <t>1936-01-04</t>
        </is>
      </c>
    </row>
    <row r="13177">
      <c r="A13177" s="1" t="n">
        <v>13176</v>
      </c>
      <c r="B13177">
        <f>TEXT(13176, "[$-0E0000]yyyy-mm-dd")</f>
        <v/>
      </c>
      <c r="C13177" t="inlineStr">
        <is>
          <t>1936-01-05</t>
        </is>
      </c>
    </row>
    <row r="13178">
      <c r="A13178" s="1" t="n">
        <v>13177</v>
      </c>
      <c r="B13178">
        <f>TEXT(13177, "[$-0E0000]yyyy-mm-dd")</f>
        <v/>
      </c>
      <c r="C13178" t="inlineStr">
        <is>
          <t>1936-01-06</t>
        </is>
      </c>
    </row>
    <row r="13179">
      <c r="A13179" s="1" t="n">
        <v>13178</v>
      </c>
      <c r="B13179">
        <f>TEXT(13178, "[$-0E0000]yyyy-mm-dd")</f>
        <v/>
      </c>
      <c r="C13179" t="inlineStr">
        <is>
          <t>1936-01-07</t>
        </is>
      </c>
    </row>
    <row r="13180">
      <c r="A13180" s="1" t="n">
        <v>13179</v>
      </c>
      <c r="B13180">
        <f>TEXT(13179, "[$-0E0000]yyyy-mm-dd")</f>
        <v/>
      </c>
      <c r="C13180" t="inlineStr">
        <is>
          <t>1936-01-08</t>
        </is>
      </c>
    </row>
    <row r="13181">
      <c r="A13181" s="1" t="n">
        <v>13180</v>
      </c>
      <c r="B13181">
        <f>TEXT(13180, "[$-0E0000]yyyy-mm-dd")</f>
        <v/>
      </c>
      <c r="C13181" t="inlineStr">
        <is>
          <t>1936-01-09</t>
        </is>
      </c>
    </row>
    <row r="13182">
      <c r="A13182" s="1" t="n">
        <v>13181</v>
      </c>
      <c r="B13182">
        <f>TEXT(13181, "[$-0E0000]yyyy-mm-dd")</f>
        <v/>
      </c>
      <c r="C13182" t="inlineStr">
        <is>
          <t>1936-01-10</t>
        </is>
      </c>
    </row>
    <row r="13183">
      <c r="A13183" s="1" t="n">
        <v>13182</v>
      </c>
      <c r="B13183">
        <f>TEXT(13182, "[$-0E0000]yyyy-mm-dd")</f>
        <v/>
      </c>
      <c r="C13183" t="inlineStr">
        <is>
          <t>1936-01-11</t>
        </is>
      </c>
    </row>
    <row r="13184">
      <c r="A13184" s="1" t="n">
        <v>13183</v>
      </c>
      <c r="B13184">
        <f>TEXT(13183, "[$-0E0000]yyyy-mm-dd")</f>
        <v/>
      </c>
      <c r="C13184" t="inlineStr">
        <is>
          <t>1936-01-12</t>
        </is>
      </c>
    </row>
    <row r="13185">
      <c r="A13185" s="1" t="n">
        <v>13184</v>
      </c>
      <c r="B13185">
        <f>TEXT(13184, "[$-0E0000]yyyy-mm-dd")</f>
        <v/>
      </c>
      <c r="C13185" t="inlineStr">
        <is>
          <t>1936-01-13</t>
        </is>
      </c>
    </row>
    <row r="13186">
      <c r="A13186" s="1" t="n">
        <v>13185</v>
      </c>
      <c r="B13186">
        <f>TEXT(13185, "[$-0E0000]yyyy-mm-dd")</f>
        <v/>
      </c>
      <c r="C13186" t="inlineStr">
        <is>
          <t>1936-01-14</t>
        </is>
      </c>
    </row>
    <row r="13187">
      <c r="A13187" s="1" t="n">
        <v>13186</v>
      </c>
      <c r="B13187">
        <f>TEXT(13186, "[$-0E0000]yyyy-mm-dd")</f>
        <v/>
      </c>
      <c r="C13187" t="inlineStr">
        <is>
          <t>1936-01-15</t>
        </is>
      </c>
    </row>
    <row r="13188">
      <c r="A13188" s="1" t="n">
        <v>13187</v>
      </c>
      <c r="B13188">
        <f>TEXT(13187, "[$-0E0000]yyyy-mm-dd")</f>
        <v/>
      </c>
      <c r="C13188" t="inlineStr">
        <is>
          <t>1936-01-16</t>
        </is>
      </c>
    </row>
    <row r="13189">
      <c r="A13189" s="1" t="n">
        <v>13188</v>
      </c>
      <c r="B13189">
        <f>TEXT(13188, "[$-0E0000]yyyy-mm-dd")</f>
        <v/>
      </c>
      <c r="C13189" t="inlineStr">
        <is>
          <t>1936-01-17</t>
        </is>
      </c>
    </row>
    <row r="13190">
      <c r="A13190" s="1" t="n">
        <v>13189</v>
      </c>
      <c r="B13190">
        <f>TEXT(13189, "[$-0E0000]yyyy-mm-dd")</f>
        <v/>
      </c>
      <c r="C13190" t="inlineStr">
        <is>
          <t>1936-01-18</t>
        </is>
      </c>
    </row>
    <row r="13191">
      <c r="A13191" s="1" t="n">
        <v>13190</v>
      </c>
      <c r="B13191">
        <f>TEXT(13190, "[$-0E0000]yyyy-mm-dd")</f>
        <v/>
      </c>
      <c r="C13191" t="inlineStr">
        <is>
          <t>1936-01-19</t>
        </is>
      </c>
    </row>
    <row r="13192">
      <c r="A13192" s="1" t="n">
        <v>13191</v>
      </c>
      <c r="B13192">
        <f>TEXT(13191, "[$-0E0000]yyyy-mm-dd")</f>
        <v/>
      </c>
      <c r="C13192" t="inlineStr">
        <is>
          <t>1936-01-20</t>
        </is>
      </c>
    </row>
    <row r="13193">
      <c r="A13193" s="1" t="n">
        <v>13192</v>
      </c>
      <c r="B13193">
        <f>TEXT(13192, "[$-0E0000]yyyy-mm-dd")</f>
        <v/>
      </c>
      <c r="C13193" t="inlineStr">
        <is>
          <t>1936-01-21</t>
        </is>
      </c>
    </row>
    <row r="13194">
      <c r="A13194" s="1" t="n">
        <v>13193</v>
      </c>
      <c r="B13194">
        <f>TEXT(13193, "[$-0E0000]yyyy-mm-dd")</f>
        <v/>
      </c>
      <c r="C13194" t="inlineStr">
        <is>
          <t>1936-01-22</t>
        </is>
      </c>
    </row>
    <row r="13195">
      <c r="A13195" s="1" t="n">
        <v>13194</v>
      </c>
      <c r="B13195">
        <f>TEXT(13194, "[$-0E0000]yyyy-mm-dd")</f>
        <v/>
      </c>
      <c r="C13195" t="inlineStr">
        <is>
          <t>1936-01-23</t>
        </is>
      </c>
    </row>
    <row r="13196">
      <c r="A13196" s="1" t="n">
        <v>13195</v>
      </c>
      <c r="B13196">
        <f>TEXT(13195, "[$-0E0000]yyyy-mm-dd")</f>
        <v/>
      </c>
      <c r="C13196" t="inlineStr">
        <is>
          <t>1936-01-24</t>
        </is>
      </c>
    </row>
    <row r="13197">
      <c r="A13197" s="1" t="n">
        <v>13196</v>
      </c>
      <c r="B13197">
        <f>TEXT(13196, "[$-0E0000]yyyy-mm-dd")</f>
        <v/>
      </c>
      <c r="C13197" t="inlineStr">
        <is>
          <t>1936-01-25</t>
        </is>
      </c>
    </row>
    <row r="13198">
      <c r="A13198" s="1" t="n">
        <v>13197</v>
      </c>
      <c r="B13198">
        <f>TEXT(13197, "[$-0E0000]yyyy-mm-dd")</f>
        <v/>
      </c>
      <c r="C13198" t="inlineStr">
        <is>
          <t>1936-01-26</t>
        </is>
      </c>
    </row>
    <row r="13199">
      <c r="A13199" s="1" t="n">
        <v>13198</v>
      </c>
      <c r="B13199">
        <f>TEXT(13198, "[$-0E0000]yyyy-mm-dd")</f>
        <v/>
      </c>
      <c r="C13199" t="inlineStr">
        <is>
          <t>1936-01-27</t>
        </is>
      </c>
    </row>
    <row r="13200">
      <c r="A13200" s="1" t="n">
        <v>13199</v>
      </c>
      <c r="B13200">
        <f>TEXT(13199, "[$-0E0000]yyyy-mm-dd")</f>
        <v/>
      </c>
      <c r="C13200" t="inlineStr">
        <is>
          <t>1936-01-28</t>
        </is>
      </c>
    </row>
    <row r="13201">
      <c r="A13201" s="1" t="n">
        <v>13200</v>
      </c>
      <c r="B13201">
        <f>TEXT(13200, "[$-0E0000]yyyy-mm-dd")</f>
        <v/>
      </c>
      <c r="C13201" t="inlineStr">
        <is>
          <t>1936-01-29</t>
        </is>
      </c>
    </row>
    <row r="13202">
      <c r="A13202" s="1" t="n">
        <v>13201</v>
      </c>
      <c r="B13202">
        <f>TEXT(13201, "[$-0E0000]yyyy-mm-dd")</f>
        <v/>
      </c>
      <c r="C13202" t="inlineStr">
        <is>
          <t>1936-01-30</t>
        </is>
      </c>
    </row>
    <row r="13203">
      <c r="A13203" s="1" t="n">
        <v>13202</v>
      </c>
      <c r="B13203">
        <f>TEXT(13202, "[$-0E0000]yyyy-mm-dd")</f>
        <v/>
      </c>
      <c r="C13203" t="inlineStr">
        <is>
          <t>1936-02-01</t>
        </is>
      </c>
    </row>
    <row r="13204">
      <c r="A13204" s="1" t="n">
        <v>13203</v>
      </c>
      <c r="B13204">
        <f>TEXT(13203, "[$-0E0000]yyyy-mm-dd")</f>
        <v/>
      </c>
      <c r="C13204" t="inlineStr">
        <is>
          <t>1936-02-02</t>
        </is>
      </c>
    </row>
    <row r="13205">
      <c r="A13205" s="1" t="n">
        <v>13204</v>
      </c>
      <c r="B13205">
        <f>TEXT(13204, "[$-0E0000]yyyy-mm-dd")</f>
        <v/>
      </c>
      <c r="C13205" t="inlineStr">
        <is>
          <t>1936-02-03</t>
        </is>
      </c>
    </row>
    <row r="13206">
      <c r="A13206" s="1" t="n">
        <v>13205</v>
      </c>
      <c r="B13206">
        <f>TEXT(13205, "[$-0E0000]yyyy-mm-dd")</f>
        <v/>
      </c>
      <c r="C13206" t="inlineStr">
        <is>
          <t>1936-02-04</t>
        </is>
      </c>
    </row>
    <row r="13207">
      <c r="A13207" s="1" t="n">
        <v>13206</v>
      </c>
      <c r="B13207">
        <f>TEXT(13206, "[$-0E0000]yyyy-mm-dd")</f>
        <v/>
      </c>
      <c r="C13207" t="inlineStr">
        <is>
          <t>1936-02-05</t>
        </is>
      </c>
    </row>
    <row r="13208">
      <c r="A13208" s="1" t="n">
        <v>13207</v>
      </c>
      <c r="B13208">
        <f>TEXT(13207, "[$-0E0000]yyyy-mm-dd")</f>
        <v/>
      </c>
      <c r="C13208" t="inlineStr">
        <is>
          <t>1936-02-06</t>
        </is>
      </c>
    </row>
    <row r="13209">
      <c r="A13209" s="1" t="n">
        <v>13208</v>
      </c>
      <c r="B13209">
        <f>TEXT(13208, "[$-0E0000]yyyy-mm-dd")</f>
        <v/>
      </c>
      <c r="C13209" t="inlineStr">
        <is>
          <t>1936-02-07</t>
        </is>
      </c>
    </row>
    <row r="13210">
      <c r="A13210" s="1" t="n">
        <v>13209</v>
      </c>
      <c r="B13210">
        <f>TEXT(13209, "[$-0E0000]yyyy-mm-dd")</f>
        <v/>
      </c>
      <c r="C13210" t="inlineStr">
        <is>
          <t>1936-02-08</t>
        </is>
      </c>
    </row>
    <row r="13211">
      <c r="A13211" s="1" t="n">
        <v>13210</v>
      </c>
      <c r="B13211">
        <f>TEXT(13210, "[$-0E0000]yyyy-mm-dd")</f>
        <v/>
      </c>
      <c r="C13211" t="inlineStr">
        <is>
          <t>1936-02-09</t>
        </is>
      </c>
    </row>
    <row r="13212">
      <c r="A13212" s="1" t="n">
        <v>13211</v>
      </c>
      <c r="B13212">
        <f>TEXT(13211, "[$-0E0000]yyyy-mm-dd")</f>
        <v/>
      </c>
      <c r="C13212" t="inlineStr">
        <is>
          <t>1936-02-10</t>
        </is>
      </c>
    </row>
    <row r="13213">
      <c r="A13213" s="1" t="n">
        <v>13212</v>
      </c>
      <c r="B13213">
        <f>TEXT(13212, "[$-0E0000]yyyy-mm-dd")</f>
        <v/>
      </c>
      <c r="C13213" t="inlineStr">
        <is>
          <t>1936-02-11</t>
        </is>
      </c>
    </row>
    <row r="13214">
      <c r="A13214" s="1" t="n">
        <v>13213</v>
      </c>
      <c r="B13214">
        <f>TEXT(13213, "[$-0E0000]yyyy-mm-dd")</f>
        <v/>
      </c>
      <c r="C13214" t="inlineStr">
        <is>
          <t>1936-02-12</t>
        </is>
      </c>
    </row>
    <row r="13215">
      <c r="A13215" s="1" t="n">
        <v>13214</v>
      </c>
      <c r="B13215">
        <f>TEXT(13214, "[$-0E0000]yyyy-mm-dd")</f>
        <v/>
      </c>
      <c r="C13215" t="inlineStr">
        <is>
          <t>1936-02-13</t>
        </is>
      </c>
    </row>
    <row r="13216">
      <c r="A13216" s="1" t="n">
        <v>13215</v>
      </c>
      <c r="B13216">
        <f>TEXT(13215, "[$-0E0000]yyyy-mm-dd")</f>
        <v/>
      </c>
      <c r="C13216" t="inlineStr">
        <is>
          <t>1936-02-14</t>
        </is>
      </c>
    </row>
    <row r="13217">
      <c r="A13217" s="1" t="n">
        <v>13216</v>
      </c>
      <c r="B13217">
        <f>TEXT(13216, "[$-0E0000]yyyy-mm-dd")</f>
        <v/>
      </c>
      <c r="C13217" t="inlineStr">
        <is>
          <t>1936-02-15</t>
        </is>
      </c>
    </row>
    <row r="13218">
      <c r="A13218" s="1" t="n">
        <v>13217</v>
      </c>
      <c r="B13218">
        <f>TEXT(13217, "[$-0E0000]yyyy-mm-dd")</f>
        <v/>
      </c>
      <c r="C13218" t="inlineStr">
        <is>
          <t>1936-02-16</t>
        </is>
      </c>
    </row>
    <row r="13219">
      <c r="A13219" s="1" t="n">
        <v>13218</v>
      </c>
      <c r="B13219">
        <f>TEXT(13218, "[$-0E0000]yyyy-mm-dd")</f>
        <v/>
      </c>
      <c r="C13219" t="inlineStr">
        <is>
          <t>1936-02-17</t>
        </is>
      </c>
    </row>
    <row r="13220">
      <c r="A13220" s="1" t="n">
        <v>13219</v>
      </c>
      <c r="B13220">
        <f>TEXT(13219, "[$-0E0000]yyyy-mm-dd")</f>
        <v/>
      </c>
      <c r="C13220" t="inlineStr">
        <is>
          <t>1936-02-18</t>
        </is>
      </c>
    </row>
    <row r="13221">
      <c r="A13221" s="1" t="n">
        <v>13220</v>
      </c>
      <c r="B13221">
        <f>TEXT(13220, "[$-0E0000]yyyy-mm-dd")</f>
        <v/>
      </c>
      <c r="C13221" t="inlineStr">
        <is>
          <t>1936-02-19</t>
        </is>
      </c>
    </row>
    <row r="13222">
      <c r="A13222" s="1" t="n">
        <v>13221</v>
      </c>
      <c r="B13222">
        <f>TEXT(13221, "[$-0E0000]yyyy-mm-dd")</f>
        <v/>
      </c>
      <c r="C13222" t="inlineStr">
        <is>
          <t>1936-02-20</t>
        </is>
      </c>
    </row>
    <row r="13223">
      <c r="A13223" s="1" t="n">
        <v>13222</v>
      </c>
      <c r="B13223">
        <f>TEXT(13222, "[$-0E0000]yyyy-mm-dd")</f>
        <v/>
      </c>
      <c r="C13223" t="inlineStr">
        <is>
          <t>1936-02-21</t>
        </is>
      </c>
    </row>
    <row r="13224">
      <c r="A13224" s="1" t="n">
        <v>13223</v>
      </c>
      <c r="B13224">
        <f>TEXT(13223, "[$-0E0000]yyyy-mm-dd")</f>
        <v/>
      </c>
      <c r="C13224" t="inlineStr">
        <is>
          <t>1936-02-22</t>
        </is>
      </c>
    </row>
    <row r="13225">
      <c r="A13225" s="1" t="n">
        <v>13224</v>
      </c>
      <c r="B13225">
        <f>TEXT(13224, "[$-0E0000]yyyy-mm-dd")</f>
        <v/>
      </c>
      <c r="C13225" t="inlineStr">
        <is>
          <t>1936-02-23</t>
        </is>
      </c>
    </row>
    <row r="13226">
      <c r="A13226" s="1" t="n">
        <v>13225</v>
      </c>
      <c r="B13226">
        <f>TEXT(13225, "[$-0E0000]yyyy-mm-dd")</f>
        <v/>
      </c>
      <c r="C13226" t="inlineStr">
        <is>
          <t>1936-02-24</t>
        </is>
      </c>
    </row>
    <row r="13227">
      <c r="A13227" s="1" t="n">
        <v>13226</v>
      </c>
      <c r="B13227">
        <f>TEXT(13226, "[$-0E0000]yyyy-mm-dd")</f>
        <v/>
      </c>
      <c r="C13227" t="inlineStr">
        <is>
          <t>1936-02-25</t>
        </is>
      </c>
    </row>
    <row r="13228">
      <c r="A13228" s="1" t="n">
        <v>13227</v>
      </c>
      <c r="B13228">
        <f>TEXT(13227, "[$-0E0000]yyyy-mm-dd")</f>
        <v/>
      </c>
      <c r="C13228" t="inlineStr">
        <is>
          <t>1936-02-26</t>
        </is>
      </c>
    </row>
    <row r="13229">
      <c r="A13229" s="1" t="n">
        <v>13228</v>
      </c>
      <c r="B13229">
        <f>TEXT(13228, "[$-0E0000]yyyy-mm-dd")</f>
        <v/>
      </c>
      <c r="C13229" t="inlineStr">
        <is>
          <t>1936-02-27</t>
        </is>
      </c>
    </row>
    <row r="13230">
      <c r="A13230" s="1" t="n">
        <v>13229</v>
      </c>
      <c r="B13230">
        <f>TEXT(13229, "[$-0E0000]yyyy-mm-dd")</f>
        <v/>
      </c>
      <c r="C13230" t="inlineStr">
        <is>
          <t>1936-02-28</t>
        </is>
      </c>
    </row>
    <row r="13231">
      <c r="A13231" s="1" t="n">
        <v>13230</v>
      </c>
      <c r="B13231">
        <f>TEXT(13230, "[$-0E0000]yyyy-mm-dd")</f>
        <v/>
      </c>
      <c r="C13231" t="inlineStr">
        <is>
          <t>1936-02-29</t>
        </is>
      </c>
    </row>
    <row r="13232">
      <c r="A13232" s="1" t="n">
        <v>13231</v>
      </c>
      <c r="B13232">
        <f>TEXT(13231, "[$-0E0000]yyyy-mm-dd")</f>
        <v/>
      </c>
      <c r="C13232" t="inlineStr">
        <is>
          <t>1936-03-01</t>
        </is>
      </c>
    </row>
    <row r="13233">
      <c r="A13233" s="1" t="n">
        <v>13232</v>
      </c>
      <c r="B13233">
        <f>TEXT(13232, "[$-0E0000]yyyy-mm-dd")</f>
        <v/>
      </c>
      <c r="C13233" t="inlineStr">
        <is>
          <t>1936-03-02</t>
        </is>
      </c>
    </row>
    <row r="13234">
      <c r="A13234" s="1" t="n">
        <v>13233</v>
      </c>
      <c r="B13234">
        <f>TEXT(13233, "[$-0E0000]yyyy-mm-dd")</f>
        <v/>
      </c>
      <c r="C13234" t="inlineStr">
        <is>
          <t>1936-03-03</t>
        </is>
      </c>
    </row>
    <row r="13235">
      <c r="A13235" s="1" t="n">
        <v>13234</v>
      </c>
      <c r="B13235">
        <f>TEXT(13234, "[$-0E0000]yyyy-mm-dd")</f>
        <v/>
      </c>
      <c r="C13235" t="inlineStr">
        <is>
          <t>1936-03-04</t>
        </is>
      </c>
    </row>
    <row r="13236">
      <c r="A13236" s="1" t="n">
        <v>13235</v>
      </c>
      <c r="B13236">
        <f>TEXT(13235, "[$-0E0000]yyyy-mm-dd")</f>
        <v/>
      </c>
      <c r="C13236" t="inlineStr">
        <is>
          <t>1936-03-05</t>
        </is>
      </c>
    </row>
    <row r="13237">
      <c r="A13237" s="1" t="n">
        <v>13236</v>
      </c>
      <c r="B13237">
        <f>TEXT(13236, "[$-0E0000]yyyy-mm-dd")</f>
        <v/>
      </c>
      <c r="C13237" t="inlineStr">
        <is>
          <t>1936-03-06</t>
        </is>
      </c>
    </row>
    <row r="13238">
      <c r="A13238" s="1" t="n">
        <v>13237</v>
      </c>
      <c r="B13238">
        <f>TEXT(13237, "[$-0E0000]yyyy-mm-dd")</f>
        <v/>
      </c>
      <c r="C13238" t="inlineStr">
        <is>
          <t>1936-03-07</t>
        </is>
      </c>
    </row>
    <row r="13239">
      <c r="A13239" s="1" t="n">
        <v>13238</v>
      </c>
      <c r="B13239">
        <f>TEXT(13238, "[$-0E0000]yyyy-mm-dd")</f>
        <v/>
      </c>
      <c r="C13239" t="inlineStr">
        <is>
          <t>1936-03-08</t>
        </is>
      </c>
    </row>
    <row r="13240">
      <c r="A13240" s="1" t="n">
        <v>13239</v>
      </c>
      <c r="B13240">
        <f>TEXT(13239, "[$-0E0000]yyyy-mm-dd")</f>
        <v/>
      </c>
      <c r="C13240" t="inlineStr">
        <is>
          <t>1936-03-09</t>
        </is>
      </c>
    </row>
    <row r="13241">
      <c r="A13241" s="1" t="n">
        <v>13240</v>
      </c>
      <c r="B13241">
        <f>TEXT(13240, "[$-0E0000]yyyy-mm-dd")</f>
        <v/>
      </c>
      <c r="C13241" t="inlineStr">
        <is>
          <t>1936-03-10</t>
        </is>
      </c>
    </row>
    <row r="13242">
      <c r="A13242" s="1" t="n">
        <v>13241</v>
      </c>
      <c r="B13242">
        <f>TEXT(13241, "[$-0E0000]yyyy-mm-dd")</f>
        <v/>
      </c>
      <c r="C13242" t="inlineStr">
        <is>
          <t>1936-03-11</t>
        </is>
      </c>
    </row>
    <row r="13243">
      <c r="A13243" s="1" t="n">
        <v>13242</v>
      </c>
      <c r="B13243">
        <f>TEXT(13242, "[$-0E0000]yyyy-mm-dd")</f>
        <v/>
      </c>
      <c r="C13243" t="inlineStr">
        <is>
          <t>1936-03-12</t>
        </is>
      </c>
    </row>
    <row r="13244">
      <c r="A13244" s="1" t="n">
        <v>13243</v>
      </c>
      <c r="B13244">
        <f>TEXT(13243, "[$-0E0000]yyyy-mm-dd")</f>
        <v/>
      </c>
      <c r="C13244" t="inlineStr">
        <is>
          <t>1936-03-13</t>
        </is>
      </c>
    </row>
    <row r="13245">
      <c r="A13245" s="1" t="n">
        <v>13244</v>
      </c>
      <c r="B13245">
        <f>TEXT(13244, "[$-0E0000]yyyy-mm-dd")</f>
        <v/>
      </c>
      <c r="C13245" t="inlineStr">
        <is>
          <t>1936-03-14</t>
        </is>
      </c>
    </row>
    <row r="13246">
      <c r="A13246" s="1" t="n">
        <v>13245</v>
      </c>
      <c r="B13246">
        <f>TEXT(13245, "[$-0E0000]yyyy-mm-dd")</f>
        <v/>
      </c>
      <c r="C13246" t="inlineStr">
        <is>
          <t>1936-03-15</t>
        </is>
      </c>
    </row>
    <row r="13247">
      <c r="A13247" s="1" t="n">
        <v>13246</v>
      </c>
      <c r="B13247">
        <f>TEXT(13246, "[$-0E0000]yyyy-mm-dd")</f>
        <v/>
      </c>
      <c r="C13247" t="inlineStr">
        <is>
          <t>1936-03-16</t>
        </is>
      </c>
    </row>
    <row r="13248">
      <c r="A13248" s="1" t="n">
        <v>13247</v>
      </c>
      <c r="B13248">
        <f>TEXT(13247, "[$-0E0000]yyyy-mm-dd")</f>
        <v/>
      </c>
      <c r="C13248" t="inlineStr">
        <is>
          <t>1936-03-17</t>
        </is>
      </c>
    </row>
    <row r="13249">
      <c r="A13249" s="1" t="n">
        <v>13248</v>
      </c>
      <c r="B13249">
        <f>TEXT(13248, "[$-0E0000]yyyy-mm-dd")</f>
        <v/>
      </c>
      <c r="C13249" t="inlineStr">
        <is>
          <t>1936-03-18</t>
        </is>
      </c>
    </row>
    <row r="13250">
      <c r="A13250" s="1" t="n">
        <v>13249</v>
      </c>
      <c r="B13250">
        <f>TEXT(13249, "[$-0E0000]yyyy-mm-dd")</f>
        <v/>
      </c>
      <c r="C13250" t="inlineStr">
        <is>
          <t>1936-03-19</t>
        </is>
      </c>
    </row>
    <row r="13251">
      <c r="A13251" s="1" t="n">
        <v>13250</v>
      </c>
      <c r="B13251">
        <f>TEXT(13250, "[$-0E0000]yyyy-mm-dd")</f>
        <v/>
      </c>
      <c r="C13251" t="inlineStr">
        <is>
          <t>1936-03-20</t>
        </is>
      </c>
    </row>
    <row r="13252">
      <c r="A13252" s="1" t="n">
        <v>13251</v>
      </c>
      <c r="B13252">
        <f>TEXT(13251, "[$-0E0000]yyyy-mm-dd")</f>
        <v/>
      </c>
      <c r="C13252" t="inlineStr">
        <is>
          <t>1936-03-21</t>
        </is>
      </c>
    </row>
    <row r="13253">
      <c r="A13253" s="1" t="n">
        <v>13252</v>
      </c>
      <c r="B13253">
        <f>TEXT(13252, "[$-0E0000]yyyy-mm-dd")</f>
        <v/>
      </c>
      <c r="C13253" t="inlineStr">
        <is>
          <t>1936-03-22</t>
        </is>
      </c>
    </row>
    <row r="13254">
      <c r="A13254" s="1" t="n">
        <v>13253</v>
      </c>
      <c r="B13254">
        <f>TEXT(13253, "[$-0E0000]yyyy-mm-dd")</f>
        <v/>
      </c>
      <c r="C13254" t="inlineStr">
        <is>
          <t>1936-03-23</t>
        </is>
      </c>
    </row>
    <row r="13255">
      <c r="A13255" s="1" t="n">
        <v>13254</v>
      </c>
      <c r="B13255">
        <f>TEXT(13254, "[$-0E0000]yyyy-mm-dd")</f>
        <v/>
      </c>
      <c r="C13255" t="inlineStr">
        <is>
          <t>1936-03-24</t>
        </is>
      </c>
    </row>
    <row r="13256">
      <c r="A13256" s="1" t="n">
        <v>13255</v>
      </c>
      <c r="B13256">
        <f>TEXT(13255, "[$-0E0000]yyyy-mm-dd")</f>
        <v/>
      </c>
      <c r="C13256" t="inlineStr">
        <is>
          <t>1936-03-25</t>
        </is>
      </c>
    </row>
    <row r="13257">
      <c r="A13257" s="1" t="n">
        <v>13256</v>
      </c>
      <c r="B13257">
        <f>TEXT(13256, "[$-0E0000]yyyy-mm-dd")</f>
        <v/>
      </c>
      <c r="C13257" t="inlineStr">
        <is>
          <t>1936-03-26</t>
        </is>
      </c>
    </row>
    <row r="13258">
      <c r="A13258" s="1" t="n">
        <v>13257</v>
      </c>
      <c r="B13258">
        <f>TEXT(13257, "[$-0E0000]yyyy-mm-dd")</f>
        <v/>
      </c>
      <c r="C13258" t="inlineStr">
        <is>
          <t>1936-03-27</t>
        </is>
      </c>
    </row>
    <row r="13259">
      <c r="A13259" s="1" t="n">
        <v>13258</v>
      </c>
      <c r="B13259">
        <f>TEXT(13258, "[$-0E0000]yyyy-mm-dd")</f>
        <v/>
      </c>
      <c r="C13259" t="inlineStr">
        <is>
          <t>1936-03-28</t>
        </is>
      </c>
    </row>
    <row r="13260">
      <c r="A13260" s="1" t="n">
        <v>13259</v>
      </c>
      <c r="B13260">
        <f>TEXT(13259, "[$-0E0000]yyyy-mm-dd")</f>
        <v/>
      </c>
      <c r="C13260" t="inlineStr">
        <is>
          <t>1936-03-29</t>
        </is>
      </c>
    </row>
    <row r="13261">
      <c r="A13261" s="1" t="n">
        <v>13260</v>
      </c>
      <c r="B13261">
        <f>TEXT(13260, "[$-0E0000]yyyy-mm-dd")</f>
        <v/>
      </c>
      <c r="C13261" t="inlineStr">
        <is>
          <t>1936-03-01</t>
        </is>
      </c>
    </row>
    <row r="13262">
      <c r="A13262" s="1" t="n">
        <v>13261</v>
      </c>
      <c r="B13262">
        <f>TEXT(13261, "[$-0E0000]yyyy-mm-dd")</f>
        <v/>
      </c>
      <c r="C13262" t="inlineStr">
        <is>
          <t>1936-03-02</t>
        </is>
      </c>
    </row>
    <row r="13263">
      <c r="A13263" s="1" t="n">
        <v>13262</v>
      </c>
      <c r="B13263">
        <f>TEXT(13262, "[$-0E0000]yyyy-mm-dd")</f>
        <v/>
      </c>
      <c r="C13263" t="inlineStr">
        <is>
          <t>1936-03-03</t>
        </is>
      </c>
    </row>
    <row r="13264">
      <c r="A13264" s="1" t="n">
        <v>13263</v>
      </c>
      <c r="B13264">
        <f>TEXT(13263, "[$-0E0000]yyyy-mm-dd")</f>
        <v/>
      </c>
      <c r="C13264" t="inlineStr">
        <is>
          <t>1936-03-04</t>
        </is>
      </c>
    </row>
    <row r="13265">
      <c r="A13265" s="1" t="n">
        <v>13264</v>
      </c>
      <c r="B13265">
        <f>TEXT(13264, "[$-0E0000]yyyy-mm-dd")</f>
        <v/>
      </c>
      <c r="C13265" t="inlineStr">
        <is>
          <t>1936-03-05</t>
        </is>
      </c>
    </row>
    <row r="13266">
      <c r="A13266" s="1" t="n">
        <v>13265</v>
      </c>
      <c r="B13266">
        <f>TEXT(13265, "[$-0E0000]yyyy-mm-dd")</f>
        <v/>
      </c>
      <c r="C13266" t="inlineStr">
        <is>
          <t>1936-03-06</t>
        </is>
      </c>
    </row>
    <row r="13267">
      <c r="A13267" s="1" t="n">
        <v>13266</v>
      </c>
      <c r="B13267">
        <f>TEXT(13266, "[$-0E0000]yyyy-mm-dd")</f>
        <v/>
      </c>
      <c r="C13267" t="inlineStr">
        <is>
          <t>1936-03-07</t>
        </is>
      </c>
    </row>
    <row r="13268">
      <c r="A13268" s="1" t="n">
        <v>13267</v>
      </c>
      <c r="B13268">
        <f>TEXT(13267, "[$-0E0000]yyyy-mm-dd")</f>
        <v/>
      </c>
      <c r="C13268" t="inlineStr">
        <is>
          <t>1936-03-08</t>
        </is>
      </c>
    </row>
    <row r="13269">
      <c r="A13269" s="1" t="n">
        <v>13268</v>
      </c>
      <c r="B13269">
        <f>TEXT(13268, "[$-0E0000]yyyy-mm-dd")</f>
        <v/>
      </c>
      <c r="C13269" t="inlineStr">
        <is>
          <t>1936-03-09</t>
        </is>
      </c>
    </row>
    <row r="13270">
      <c r="A13270" s="1" t="n">
        <v>13269</v>
      </c>
      <c r="B13270">
        <f>TEXT(13269, "[$-0E0000]yyyy-mm-dd")</f>
        <v/>
      </c>
      <c r="C13270" t="inlineStr">
        <is>
          <t>1936-03-10</t>
        </is>
      </c>
    </row>
    <row r="13271">
      <c r="A13271" s="1" t="n">
        <v>13270</v>
      </c>
      <c r="B13271">
        <f>TEXT(13270, "[$-0E0000]yyyy-mm-dd")</f>
        <v/>
      </c>
      <c r="C13271" t="inlineStr">
        <is>
          <t>1936-03-11</t>
        </is>
      </c>
    </row>
    <row r="13272">
      <c r="A13272" s="1" t="n">
        <v>13271</v>
      </c>
      <c r="B13272">
        <f>TEXT(13271, "[$-0E0000]yyyy-mm-dd")</f>
        <v/>
      </c>
      <c r="C13272" t="inlineStr">
        <is>
          <t>1936-03-12</t>
        </is>
      </c>
    </row>
    <row r="13273">
      <c r="A13273" s="1" t="n">
        <v>13272</v>
      </c>
      <c r="B13273">
        <f>TEXT(13272, "[$-0E0000]yyyy-mm-dd")</f>
        <v/>
      </c>
      <c r="C13273" t="inlineStr">
        <is>
          <t>1936-03-13</t>
        </is>
      </c>
    </row>
    <row r="13274">
      <c r="A13274" s="1" t="n">
        <v>13273</v>
      </c>
      <c r="B13274">
        <f>TEXT(13273, "[$-0E0000]yyyy-mm-dd")</f>
        <v/>
      </c>
      <c r="C13274" t="inlineStr">
        <is>
          <t>1936-03-14</t>
        </is>
      </c>
    </row>
    <row r="13275">
      <c r="A13275" s="1" t="n">
        <v>13274</v>
      </c>
      <c r="B13275">
        <f>TEXT(13274, "[$-0E0000]yyyy-mm-dd")</f>
        <v/>
      </c>
      <c r="C13275" t="inlineStr">
        <is>
          <t>1936-03-15</t>
        </is>
      </c>
    </row>
    <row r="13276">
      <c r="A13276" s="1" t="n">
        <v>13275</v>
      </c>
      <c r="B13276">
        <f>TEXT(13275, "[$-0E0000]yyyy-mm-dd")</f>
        <v/>
      </c>
      <c r="C13276" t="inlineStr">
        <is>
          <t>1936-03-16</t>
        </is>
      </c>
    </row>
    <row r="13277">
      <c r="A13277" s="1" t="n">
        <v>13276</v>
      </c>
      <c r="B13277">
        <f>TEXT(13276, "[$-0E0000]yyyy-mm-dd")</f>
        <v/>
      </c>
      <c r="C13277" t="inlineStr">
        <is>
          <t>1936-03-17</t>
        </is>
      </c>
    </row>
    <row r="13278">
      <c r="A13278" s="1" t="n">
        <v>13277</v>
      </c>
      <c r="B13278">
        <f>TEXT(13277, "[$-0E0000]yyyy-mm-dd")</f>
        <v/>
      </c>
      <c r="C13278" t="inlineStr">
        <is>
          <t>1936-03-18</t>
        </is>
      </c>
    </row>
    <row r="13279">
      <c r="A13279" s="1" t="n">
        <v>13278</v>
      </c>
      <c r="B13279">
        <f>TEXT(13278, "[$-0E0000]yyyy-mm-dd")</f>
        <v/>
      </c>
      <c r="C13279" t="inlineStr">
        <is>
          <t>1936-03-19</t>
        </is>
      </c>
    </row>
    <row r="13280">
      <c r="A13280" s="1" t="n">
        <v>13279</v>
      </c>
      <c r="B13280">
        <f>TEXT(13279, "[$-0E0000]yyyy-mm-dd")</f>
        <v/>
      </c>
      <c r="C13280" t="inlineStr">
        <is>
          <t>1936-03-20</t>
        </is>
      </c>
    </row>
    <row r="13281">
      <c r="A13281" s="1" t="n">
        <v>13280</v>
      </c>
      <c r="B13281">
        <f>TEXT(13280, "[$-0E0000]yyyy-mm-dd")</f>
        <v/>
      </c>
      <c r="C13281" t="inlineStr">
        <is>
          <t>1936-03-21</t>
        </is>
      </c>
    </row>
    <row r="13282">
      <c r="A13282" s="1" t="n">
        <v>13281</v>
      </c>
      <c r="B13282">
        <f>TEXT(13281, "[$-0E0000]yyyy-mm-dd")</f>
        <v/>
      </c>
      <c r="C13282" t="inlineStr">
        <is>
          <t>1936-03-22</t>
        </is>
      </c>
    </row>
    <row r="13283">
      <c r="A13283" s="1" t="n">
        <v>13282</v>
      </c>
      <c r="B13283">
        <f>TEXT(13282, "[$-0E0000]yyyy-mm-dd")</f>
        <v/>
      </c>
      <c r="C13283" t="inlineStr">
        <is>
          <t>1936-03-23</t>
        </is>
      </c>
    </row>
    <row r="13284">
      <c r="A13284" s="1" t="n">
        <v>13283</v>
      </c>
      <c r="B13284">
        <f>TEXT(13283, "[$-0E0000]yyyy-mm-dd")</f>
        <v/>
      </c>
      <c r="C13284" t="inlineStr">
        <is>
          <t>1936-03-24</t>
        </is>
      </c>
    </row>
    <row r="13285">
      <c r="A13285" s="1" t="n">
        <v>13284</v>
      </c>
      <c r="B13285">
        <f>TEXT(13284, "[$-0E0000]yyyy-mm-dd")</f>
        <v/>
      </c>
      <c r="C13285" t="inlineStr">
        <is>
          <t>1936-03-25</t>
        </is>
      </c>
    </row>
    <row r="13286">
      <c r="A13286" s="1" t="n">
        <v>13285</v>
      </c>
      <c r="B13286">
        <f>TEXT(13285, "[$-0E0000]yyyy-mm-dd")</f>
        <v/>
      </c>
      <c r="C13286" t="inlineStr">
        <is>
          <t>1936-03-26</t>
        </is>
      </c>
    </row>
    <row r="13287">
      <c r="A13287" s="1" t="n">
        <v>13286</v>
      </c>
      <c r="B13287">
        <f>TEXT(13286, "[$-0E0000]yyyy-mm-dd")</f>
        <v/>
      </c>
      <c r="C13287" t="inlineStr">
        <is>
          <t>1936-03-27</t>
        </is>
      </c>
    </row>
    <row r="13288">
      <c r="A13288" s="1" t="n">
        <v>13287</v>
      </c>
      <c r="B13288">
        <f>TEXT(13287, "[$-0E0000]yyyy-mm-dd")</f>
        <v/>
      </c>
      <c r="C13288" t="inlineStr">
        <is>
          <t>1936-03-28</t>
        </is>
      </c>
    </row>
    <row r="13289">
      <c r="A13289" s="1" t="n">
        <v>13288</v>
      </c>
      <c r="B13289">
        <f>TEXT(13288, "[$-0E0000]yyyy-mm-dd")</f>
        <v/>
      </c>
      <c r="C13289" t="inlineStr">
        <is>
          <t>1936-03-29</t>
        </is>
      </c>
    </row>
    <row r="13290">
      <c r="A13290" s="1" t="n">
        <v>13289</v>
      </c>
      <c r="B13290">
        <f>TEXT(13289, "[$-0E0000]yyyy-mm-dd")</f>
        <v/>
      </c>
      <c r="C13290" t="inlineStr">
        <is>
          <t>1936-03-30</t>
        </is>
      </c>
    </row>
    <row r="13291">
      <c r="A13291" s="1" t="n">
        <v>13290</v>
      </c>
      <c r="B13291">
        <f>TEXT(13290, "[$-0E0000]yyyy-mm-dd")</f>
        <v/>
      </c>
      <c r="C13291" t="inlineStr">
        <is>
          <t>1936-04-01</t>
        </is>
      </c>
    </row>
    <row r="13292">
      <c r="A13292" s="1" t="n">
        <v>13291</v>
      </c>
      <c r="B13292">
        <f>TEXT(13291, "[$-0E0000]yyyy-mm-dd")</f>
        <v/>
      </c>
      <c r="C13292" t="inlineStr">
        <is>
          <t>1936-04-02</t>
        </is>
      </c>
    </row>
    <row r="13293">
      <c r="A13293" s="1" t="n">
        <v>13292</v>
      </c>
      <c r="B13293">
        <f>TEXT(13292, "[$-0E0000]yyyy-mm-dd")</f>
        <v/>
      </c>
      <c r="C13293" t="inlineStr">
        <is>
          <t>1936-04-03</t>
        </is>
      </c>
    </row>
    <row r="13294">
      <c r="A13294" s="1" t="n">
        <v>13293</v>
      </c>
      <c r="B13294">
        <f>TEXT(13293, "[$-0E0000]yyyy-mm-dd")</f>
        <v/>
      </c>
      <c r="C13294" t="inlineStr">
        <is>
          <t>1936-04-04</t>
        </is>
      </c>
    </row>
    <row r="13295">
      <c r="A13295" s="1" t="n">
        <v>13294</v>
      </c>
      <c r="B13295">
        <f>TEXT(13294, "[$-0E0000]yyyy-mm-dd")</f>
        <v/>
      </c>
      <c r="C13295" t="inlineStr">
        <is>
          <t>1936-04-05</t>
        </is>
      </c>
    </row>
    <row r="13296">
      <c r="A13296" s="1" t="n">
        <v>13295</v>
      </c>
      <c r="B13296">
        <f>TEXT(13295, "[$-0E0000]yyyy-mm-dd")</f>
        <v/>
      </c>
      <c r="C13296" t="inlineStr">
        <is>
          <t>1936-04-06</t>
        </is>
      </c>
    </row>
    <row r="13297">
      <c r="A13297" s="1" t="n">
        <v>13296</v>
      </c>
      <c r="B13297">
        <f>TEXT(13296, "[$-0E0000]yyyy-mm-dd")</f>
        <v/>
      </c>
      <c r="C13297" t="inlineStr">
        <is>
          <t>1936-04-07</t>
        </is>
      </c>
    </row>
    <row r="13298">
      <c r="A13298" s="1" t="n">
        <v>13297</v>
      </c>
      <c r="B13298">
        <f>TEXT(13297, "[$-0E0000]yyyy-mm-dd")</f>
        <v/>
      </c>
      <c r="C13298" t="inlineStr">
        <is>
          <t>1936-04-08</t>
        </is>
      </c>
    </row>
    <row r="13299">
      <c r="A13299" s="1" t="n">
        <v>13298</v>
      </c>
      <c r="B13299">
        <f>TEXT(13298, "[$-0E0000]yyyy-mm-dd")</f>
        <v/>
      </c>
      <c r="C13299" t="inlineStr">
        <is>
          <t>1936-04-09</t>
        </is>
      </c>
    </row>
    <row r="13300">
      <c r="A13300" s="1" t="n">
        <v>13299</v>
      </c>
      <c r="B13300">
        <f>TEXT(13299, "[$-0E0000]yyyy-mm-dd")</f>
        <v/>
      </c>
      <c r="C13300" t="inlineStr">
        <is>
          <t>1936-04-10</t>
        </is>
      </c>
    </row>
    <row r="13301">
      <c r="A13301" s="1" t="n">
        <v>13300</v>
      </c>
      <c r="B13301">
        <f>TEXT(13300, "[$-0E0000]yyyy-mm-dd")</f>
        <v/>
      </c>
      <c r="C13301" t="inlineStr">
        <is>
          <t>1936-04-11</t>
        </is>
      </c>
    </row>
    <row r="13302">
      <c r="A13302" s="1" t="n">
        <v>13301</v>
      </c>
      <c r="B13302">
        <f>TEXT(13301, "[$-0E0000]yyyy-mm-dd")</f>
        <v/>
      </c>
      <c r="C13302" t="inlineStr">
        <is>
          <t>1936-04-12</t>
        </is>
      </c>
    </row>
    <row r="13303">
      <c r="A13303" s="1" t="n">
        <v>13302</v>
      </c>
      <c r="B13303">
        <f>TEXT(13302, "[$-0E0000]yyyy-mm-dd")</f>
        <v/>
      </c>
      <c r="C13303" t="inlineStr">
        <is>
          <t>1936-04-13</t>
        </is>
      </c>
    </row>
    <row r="13304">
      <c r="A13304" s="1" t="n">
        <v>13303</v>
      </c>
      <c r="B13304">
        <f>TEXT(13303, "[$-0E0000]yyyy-mm-dd")</f>
        <v/>
      </c>
      <c r="C13304" t="inlineStr">
        <is>
          <t>1936-04-14</t>
        </is>
      </c>
    </row>
    <row r="13305">
      <c r="A13305" s="1" t="n">
        <v>13304</v>
      </c>
      <c r="B13305">
        <f>TEXT(13304, "[$-0E0000]yyyy-mm-dd")</f>
        <v/>
      </c>
      <c r="C13305" t="inlineStr">
        <is>
          <t>1936-04-15</t>
        </is>
      </c>
    </row>
    <row r="13306">
      <c r="A13306" s="1" t="n">
        <v>13305</v>
      </c>
      <c r="B13306">
        <f>TEXT(13305, "[$-0E0000]yyyy-mm-dd")</f>
        <v/>
      </c>
      <c r="C13306" t="inlineStr">
        <is>
          <t>1936-04-16</t>
        </is>
      </c>
    </row>
    <row r="13307">
      <c r="A13307" s="1" t="n">
        <v>13306</v>
      </c>
      <c r="B13307">
        <f>TEXT(13306, "[$-0E0000]yyyy-mm-dd")</f>
        <v/>
      </c>
      <c r="C13307" t="inlineStr">
        <is>
          <t>1936-04-17</t>
        </is>
      </c>
    </row>
    <row r="13308">
      <c r="A13308" s="1" t="n">
        <v>13307</v>
      </c>
      <c r="B13308">
        <f>TEXT(13307, "[$-0E0000]yyyy-mm-dd")</f>
        <v/>
      </c>
      <c r="C13308" t="inlineStr">
        <is>
          <t>1936-04-18</t>
        </is>
      </c>
    </row>
    <row r="13309">
      <c r="A13309" s="1" t="n">
        <v>13308</v>
      </c>
      <c r="B13309">
        <f>TEXT(13308, "[$-0E0000]yyyy-mm-dd")</f>
        <v/>
      </c>
      <c r="C13309" t="inlineStr">
        <is>
          <t>1936-04-19</t>
        </is>
      </c>
    </row>
    <row r="13310">
      <c r="A13310" s="1" t="n">
        <v>13309</v>
      </c>
      <c r="B13310">
        <f>TEXT(13309, "[$-0E0000]yyyy-mm-dd")</f>
        <v/>
      </c>
      <c r="C13310" t="inlineStr">
        <is>
          <t>1936-04-20</t>
        </is>
      </c>
    </row>
    <row r="13311">
      <c r="A13311" s="1" t="n">
        <v>13310</v>
      </c>
      <c r="B13311">
        <f>TEXT(13310, "[$-0E0000]yyyy-mm-dd")</f>
        <v/>
      </c>
      <c r="C13311" t="inlineStr">
        <is>
          <t>1936-04-21</t>
        </is>
      </c>
    </row>
    <row r="13312">
      <c r="A13312" s="1" t="n">
        <v>13311</v>
      </c>
      <c r="B13312">
        <f>TEXT(13311, "[$-0E0000]yyyy-mm-dd")</f>
        <v/>
      </c>
      <c r="C13312" t="inlineStr">
        <is>
          <t>1936-04-22</t>
        </is>
      </c>
    </row>
    <row r="13313">
      <c r="A13313" s="1" t="n">
        <v>13312</v>
      </c>
      <c r="B13313">
        <f>TEXT(13312, "[$-0E0000]yyyy-mm-dd")</f>
        <v/>
      </c>
      <c r="C13313" t="inlineStr">
        <is>
          <t>1936-04-23</t>
        </is>
      </c>
    </row>
    <row r="13314">
      <c r="A13314" s="1" t="n">
        <v>13313</v>
      </c>
      <c r="B13314">
        <f>TEXT(13313, "[$-0E0000]yyyy-mm-dd")</f>
        <v/>
      </c>
      <c r="C13314" t="inlineStr">
        <is>
          <t>1936-04-24</t>
        </is>
      </c>
    </row>
    <row r="13315">
      <c r="A13315" s="1" t="n">
        <v>13314</v>
      </c>
      <c r="B13315">
        <f>TEXT(13314, "[$-0E0000]yyyy-mm-dd")</f>
        <v/>
      </c>
      <c r="C13315" t="inlineStr">
        <is>
          <t>1936-04-25</t>
        </is>
      </c>
    </row>
    <row r="13316">
      <c r="A13316" s="1" t="n">
        <v>13315</v>
      </c>
      <c r="B13316">
        <f>TEXT(13315, "[$-0E0000]yyyy-mm-dd")</f>
        <v/>
      </c>
      <c r="C13316" t="inlineStr">
        <is>
          <t>1936-04-26</t>
        </is>
      </c>
    </row>
    <row r="13317">
      <c r="A13317" s="1" t="n">
        <v>13316</v>
      </c>
      <c r="B13317">
        <f>TEXT(13316, "[$-0E0000]yyyy-mm-dd")</f>
        <v/>
      </c>
      <c r="C13317" t="inlineStr">
        <is>
          <t>1936-04-27</t>
        </is>
      </c>
    </row>
    <row r="13318">
      <c r="A13318" s="1" t="n">
        <v>13317</v>
      </c>
      <c r="B13318">
        <f>TEXT(13317, "[$-0E0000]yyyy-mm-dd")</f>
        <v/>
      </c>
      <c r="C13318" t="inlineStr">
        <is>
          <t>1936-04-28</t>
        </is>
      </c>
    </row>
    <row r="13319">
      <c r="A13319" s="1" t="n">
        <v>13318</v>
      </c>
      <c r="B13319">
        <f>TEXT(13318, "[$-0E0000]yyyy-mm-dd")</f>
        <v/>
      </c>
      <c r="C13319" t="inlineStr">
        <is>
          <t>1936-04-29</t>
        </is>
      </c>
    </row>
    <row r="13320">
      <c r="A13320" s="1" t="n">
        <v>13319</v>
      </c>
      <c r="B13320">
        <f>TEXT(13319, "[$-0E0000]yyyy-mm-dd")</f>
        <v/>
      </c>
      <c r="C13320" t="inlineStr">
        <is>
          <t>1936-05-01</t>
        </is>
      </c>
    </row>
    <row r="13321">
      <c r="A13321" s="1" t="n">
        <v>13320</v>
      </c>
      <c r="B13321">
        <f>TEXT(13320, "[$-0E0000]yyyy-mm-dd")</f>
        <v/>
      </c>
      <c r="C13321" t="inlineStr">
        <is>
          <t>1936-05-02</t>
        </is>
      </c>
    </row>
    <row r="13322">
      <c r="A13322" s="1" t="n">
        <v>13321</v>
      </c>
      <c r="B13322">
        <f>TEXT(13321, "[$-0E0000]yyyy-mm-dd")</f>
        <v/>
      </c>
      <c r="C13322" t="inlineStr">
        <is>
          <t>1936-05-03</t>
        </is>
      </c>
    </row>
    <row r="13323">
      <c r="A13323" s="1" t="n">
        <v>13322</v>
      </c>
      <c r="B13323">
        <f>TEXT(13322, "[$-0E0000]yyyy-mm-dd")</f>
        <v/>
      </c>
      <c r="C13323" t="inlineStr">
        <is>
          <t>1936-05-04</t>
        </is>
      </c>
    </row>
    <row r="13324">
      <c r="A13324" s="1" t="n">
        <v>13323</v>
      </c>
      <c r="B13324">
        <f>TEXT(13323, "[$-0E0000]yyyy-mm-dd")</f>
        <v/>
      </c>
      <c r="C13324" t="inlineStr">
        <is>
          <t>1936-05-05</t>
        </is>
      </c>
    </row>
    <row r="13325">
      <c r="A13325" s="1" t="n">
        <v>13324</v>
      </c>
      <c r="B13325">
        <f>TEXT(13324, "[$-0E0000]yyyy-mm-dd")</f>
        <v/>
      </c>
      <c r="C13325" t="inlineStr">
        <is>
          <t>1936-05-06</t>
        </is>
      </c>
    </row>
    <row r="13326">
      <c r="A13326" s="1" t="n">
        <v>13325</v>
      </c>
      <c r="B13326">
        <f>TEXT(13325, "[$-0E0000]yyyy-mm-dd")</f>
        <v/>
      </c>
      <c r="C13326" t="inlineStr">
        <is>
          <t>1936-05-07</t>
        </is>
      </c>
    </row>
    <row r="13327">
      <c r="A13327" s="1" t="n">
        <v>13326</v>
      </c>
      <c r="B13327">
        <f>TEXT(13326, "[$-0E0000]yyyy-mm-dd")</f>
        <v/>
      </c>
      <c r="C13327" t="inlineStr">
        <is>
          <t>1936-05-08</t>
        </is>
      </c>
    </row>
    <row r="13328">
      <c r="A13328" s="1" t="n">
        <v>13327</v>
      </c>
      <c r="B13328">
        <f>TEXT(13327, "[$-0E0000]yyyy-mm-dd")</f>
        <v/>
      </c>
      <c r="C13328" t="inlineStr">
        <is>
          <t>1936-05-09</t>
        </is>
      </c>
    </row>
    <row r="13329">
      <c r="A13329" s="1" t="n">
        <v>13328</v>
      </c>
      <c r="B13329">
        <f>TEXT(13328, "[$-0E0000]yyyy-mm-dd")</f>
        <v/>
      </c>
      <c r="C13329" t="inlineStr">
        <is>
          <t>1936-05-10</t>
        </is>
      </c>
    </row>
    <row r="13330">
      <c r="A13330" s="1" t="n">
        <v>13329</v>
      </c>
      <c r="B13330">
        <f>TEXT(13329, "[$-0E0000]yyyy-mm-dd")</f>
        <v/>
      </c>
      <c r="C13330" t="inlineStr">
        <is>
          <t>1936-05-11</t>
        </is>
      </c>
    </row>
    <row r="13331">
      <c r="A13331" s="1" t="n">
        <v>13330</v>
      </c>
      <c r="B13331">
        <f>TEXT(13330, "[$-0E0000]yyyy-mm-dd")</f>
        <v/>
      </c>
      <c r="C13331" t="inlineStr">
        <is>
          <t>1936-05-12</t>
        </is>
      </c>
    </row>
    <row r="13332">
      <c r="A13332" s="1" t="n">
        <v>13331</v>
      </c>
      <c r="B13332">
        <f>TEXT(13331, "[$-0E0000]yyyy-mm-dd")</f>
        <v/>
      </c>
      <c r="C13332" t="inlineStr">
        <is>
          <t>1936-05-13</t>
        </is>
      </c>
    </row>
    <row r="13333">
      <c r="A13333" s="1" t="n">
        <v>13332</v>
      </c>
      <c r="B13333">
        <f>TEXT(13332, "[$-0E0000]yyyy-mm-dd")</f>
        <v/>
      </c>
      <c r="C13333" t="inlineStr">
        <is>
          <t>1936-05-14</t>
        </is>
      </c>
    </row>
    <row r="13334">
      <c r="A13334" s="1" t="n">
        <v>13333</v>
      </c>
      <c r="B13334">
        <f>TEXT(13333, "[$-0E0000]yyyy-mm-dd")</f>
        <v/>
      </c>
      <c r="C13334" t="inlineStr">
        <is>
          <t>1936-05-15</t>
        </is>
      </c>
    </row>
    <row r="13335">
      <c r="A13335" s="1" t="n">
        <v>13334</v>
      </c>
      <c r="B13335">
        <f>TEXT(13334, "[$-0E0000]yyyy-mm-dd")</f>
        <v/>
      </c>
      <c r="C13335" t="inlineStr">
        <is>
          <t>1936-05-16</t>
        </is>
      </c>
    </row>
    <row r="13336">
      <c r="A13336" s="1" t="n">
        <v>13335</v>
      </c>
      <c r="B13336">
        <f>TEXT(13335, "[$-0E0000]yyyy-mm-dd")</f>
        <v/>
      </c>
      <c r="C13336" t="inlineStr">
        <is>
          <t>1936-05-17</t>
        </is>
      </c>
    </row>
    <row r="13337">
      <c r="A13337" s="1" t="n">
        <v>13336</v>
      </c>
      <c r="B13337">
        <f>TEXT(13336, "[$-0E0000]yyyy-mm-dd")</f>
        <v/>
      </c>
      <c r="C13337" t="inlineStr">
        <is>
          <t>1936-05-18</t>
        </is>
      </c>
    </row>
    <row r="13338">
      <c r="A13338" s="1" t="n">
        <v>13337</v>
      </c>
      <c r="B13338">
        <f>TEXT(13337, "[$-0E0000]yyyy-mm-dd")</f>
        <v/>
      </c>
      <c r="C13338" t="inlineStr">
        <is>
          <t>1936-05-19</t>
        </is>
      </c>
    </row>
    <row r="13339">
      <c r="A13339" s="1" t="n">
        <v>13338</v>
      </c>
      <c r="B13339">
        <f>TEXT(13338, "[$-0E0000]yyyy-mm-dd")</f>
        <v/>
      </c>
      <c r="C13339" t="inlineStr">
        <is>
          <t>1936-05-20</t>
        </is>
      </c>
    </row>
    <row r="13340">
      <c r="A13340" s="1" t="n">
        <v>13339</v>
      </c>
      <c r="B13340">
        <f>TEXT(13339, "[$-0E0000]yyyy-mm-dd")</f>
        <v/>
      </c>
      <c r="C13340" t="inlineStr">
        <is>
          <t>1936-05-21</t>
        </is>
      </c>
    </row>
    <row r="13341">
      <c r="A13341" s="1" t="n">
        <v>13340</v>
      </c>
      <c r="B13341">
        <f>TEXT(13340, "[$-0E0000]yyyy-mm-dd")</f>
        <v/>
      </c>
      <c r="C13341" t="inlineStr">
        <is>
          <t>1936-05-22</t>
        </is>
      </c>
    </row>
    <row r="13342">
      <c r="A13342" s="1" t="n">
        <v>13341</v>
      </c>
      <c r="B13342">
        <f>TEXT(13341, "[$-0E0000]yyyy-mm-dd")</f>
        <v/>
      </c>
      <c r="C13342" t="inlineStr">
        <is>
          <t>1936-05-23</t>
        </is>
      </c>
    </row>
    <row r="13343">
      <c r="A13343" s="1" t="n">
        <v>13342</v>
      </c>
      <c r="B13343">
        <f>TEXT(13342, "[$-0E0000]yyyy-mm-dd")</f>
        <v/>
      </c>
      <c r="C13343" t="inlineStr">
        <is>
          <t>1936-05-24</t>
        </is>
      </c>
    </row>
    <row r="13344">
      <c r="A13344" s="1" t="n">
        <v>13343</v>
      </c>
      <c r="B13344">
        <f>TEXT(13343, "[$-0E0000]yyyy-mm-dd")</f>
        <v/>
      </c>
      <c r="C13344" t="inlineStr">
        <is>
          <t>1936-05-25</t>
        </is>
      </c>
    </row>
    <row r="13345">
      <c r="A13345" s="1" t="n">
        <v>13344</v>
      </c>
      <c r="B13345">
        <f>TEXT(13344, "[$-0E0000]yyyy-mm-dd")</f>
        <v/>
      </c>
      <c r="C13345" t="inlineStr">
        <is>
          <t>1936-05-26</t>
        </is>
      </c>
    </row>
    <row r="13346">
      <c r="A13346" s="1" t="n">
        <v>13345</v>
      </c>
      <c r="B13346">
        <f>TEXT(13345, "[$-0E0000]yyyy-mm-dd")</f>
        <v/>
      </c>
      <c r="C13346" t="inlineStr">
        <is>
          <t>1936-05-27</t>
        </is>
      </c>
    </row>
    <row r="13347">
      <c r="A13347" s="1" t="n">
        <v>13346</v>
      </c>
      <c r="B13347">
        <f>TEXT(13346, "[$-0E0000]yyyy-mm-dd")</f>
        <v/>
      </c>
      <c r="C13347" t="inlineStr">
        <is>
          <t>1936-05-28</t>
        </is>
      </c>
    </row>
    <row r="13348">
      <c r="A13348" s="1" t="n">
        <v>13347</v>
      </c>
      <c r="B13348">
        <f>TEXT(13347, "[$-0E0000]yyyy-mm-dd")</f>
        <v/>
      </c>
      <c r="C13348" t="inlineStr">
        <is>
          <t>1936-05-29</t>
        </is>
      </c>
    </row>
    <row r="13349">
      <c r="A13349" s="1" t="n">
        <v>13348</v>
      </c>
      <c r="B13349">
        <f>TEXT(13348, "[$-0E0000]yyyy-mm-dd")</f>
        <v/>
      </c>
      <c r="C13349" t="inlineStr">
        <is>
          <t>1936-06-01</t>
        </is>
      </c>
    </row>
    <row r="13350">
      <c r="A13350" s="1" t="n">
        <v>13349</v>
      </c>
      <c r="B13350">
        <f>TEXT(13349, "[$-0E0000]yyyy-mm-dd")</f>
        <v/>
      </c>
      <c r="C13350" t="inlineStr">
        <is>
          <t>1936-06-02</t>
        </is>
      </c>
    </row>
    <row r="13351">
      <c r="A13351" s="1" t="n">
        <v>13350</v>
      </c>
      <c r="B13351">
        <f>TEXT(13350, "[$-0E0000]yyyy-mm-dd")</f>
        <v/>
      </c>
      <c r="C13351" t="inlineStr">
        <is>
          <t>1936-06-03</t>
        </is>
      </c>
    </row>
    <row r="13352">
      <c r="A13352" s="1" t="n">
        <v>13351</v>
      </c>
      <c r="B13352">
        <f>TEXT(13351, "[$-0E0000]yyyy-mm-dd")</f>
        <v/>
      </c>
      <c r="C13352" t="inlineStr">
        <is>
          <t>1936-06-04</t>
        </is>
      </c>
    </row>
    <row r="13353">
      <c r="A13353" s="1" t="n">
        <v>13352</v>
      </c>
      <c r="B13353">
        <f>TEXT(13352, "[$-0E0000]yyyy-mm-dd")</f>
        <v/>
      </c>
      <c r="C13353" t="inlineStr">
        <is>
          <t>1936-06-05</t>
        </is>
      </c>
    </row>
    <row r="13354">
      <c r="A13354" s="1" t="n">
        <v>13353</v>
      </c>
      <c r="B13354">
        <f>TEXT(13353, "[$-0E0000]yyyy-mm-dd")</f>
        <v/>
      </c>
      <c r="C13354" t="inlineStr">
        <is>
          <t>1936-06-06</t>
        </is>
      </c>
    </row>
    <row r="13355">
      <c r="A13355" s="1" t="n">
        <v>13354</v>
      </c>
      <c r="B13355">
        <f>TEXT(13354, "[$-0E0000]yyyy-mm-dd")</f>
        <v/>
      </c>
      <c r="C13355" t="inlineStr">
        <is>
          <t>1936-06-07</t>
        </is>
      </c>
    </row>
    <row r="13356">
      <c r="A13356" s="1" t="n">
        <v>13355</v>
      </c>
      <c r="B13356">
        <f>TEXT(13355, "[$-0E0000]yyyy-mm-dd")</f>
        <v/>
      </c>
      <c r="C13356" t="inlineStr">
        <is>
          <t>1936-06-08</t>
        </is>
      </c>
    </row>
    <row r="13357">
      <c r="A13357" s="1" t="n">
        <v>13356</v>
      </c>
      <c r="B13357">
        <f>TEXT(13356, "[$-0E0000]yyyy-mm-dd")</f>
        <v/>
      </c>
      <c r="C13357" t="inlineStr">
        <is>
          <t>1936-06-09</t>
        </is>
      </c>
    </row>
    <row r="13358">
      <c r="A13358" s="1" t="n">
        <v>13357</v>
      </c>
      <c r="B13358">
        <f>TEXT(13357, "[$-0E0000]yyyy-mm-dd")</f>
        <v/>
      </c>
      <c r="C13358" t="inlineStr">
        <is>
          <t>1936-06-10</t>
        </is>
      </c>
    </row>
    <row r="13359">
      <c r="A13359" s="1" t="n">
        <v>13358</v>
      </c>
      <c r="B13359">
        <f>TEXT(13358, "[$-0E0000]yyyy-mm-dd")</f>
        <v/>
      </c>
      <c r="C13359" t="inlineStr">
        <is>
          <t>1936-06-11</t>
        </is>
      </c>
    </row>
    <row r="13360">
      <c r="A13360" s="1" t="n">
        <v>13359</v>
      </c>
      <c r="B13360">
        <f>TEXT(13359, "[$-0E0000]yyyy-mm-dd")</f>
        <v/>
      </c>
      <c r="C13360" t="inlineStr">
        <is>
          <t>1936-06-12</t>
        </is>
      </c>
    </row>
    <row r="13361">
      <c r="A13361" s="1" t="n">
        <v>13360</v>
      </c>
      <c r="B13361">
        <f>TEXT(13360, "[$-0E0000]yyyy-mm-dd")</f>
        <v/>
      </c>
      <c r="C13361" t="inlineStr">
        <is>
          <t>1936-06-13</t>
        </is>
      </c>
    </row>
    <row r="13362">
      <c r="A13362" s="1" t="n">
        <v>13361</v>
      </c>
      <c r="B13362">
        <f>TEXT(13361, "[$-0E0000]yyyy-mm-dd")</f>
        <v/>
      </c>
      <c r="C13362" t="inlineStr">
        <is>
          <t>1936-06-14</t>
        </is>
      </c>
    </row>
    <row r="13363">
      <c r="A13363" s="1" t="n">
        <v>13362</v>
      </c>
      <c r="B13363">
        <f>TEXT(13362, "[$-0E0000]yyyy-mm-dd")</f>
        <v/>
      </c>
      <c r="C13363" t="inlineStr">
        <is>
          <t>1936-06-15</t>
        </is>
      </c>
    </row>
    <row r="13364">
      <c r="A13364" s="1" t="n">
        <v>13363</v>
      </c>
      <c r="B13364">
        <f>TEXT(13363, "[$-0E0000]yyyy-mm-dd")</f>
        <v/>
      </c>
      <c r="C13364" t="inlineStr">
        <is>
          <t>1936-06-16</t>
        </is>
      </c>
    </row>
    <row r="13365">
      <c r="A13365" s="1" t="n">
        <v>13364</v>
      </c>
      <c r="B13365">
        <f>TEXT(13364, "[$-0E0000]yyyy-mm-dd")</f>
        <v/>
      </c>
      <c r="C13365" t="inlineStr">
        <is>
          <t>1936-06-17</t>
        </is>
      </c>
    </row>
    <row r="13366">
      <c r="A13366" s="1" t="n">
        <v>13365</v>
      </c>
      <c r="B13366">
        <f>TEXT(13365, "[$-0E0000]yyyy-mm-dd")</f>
        <v/>
      </c>
      <c r="C13366" t="inlineStr">
        <is>
          <t>1936-06-18</t>
        </is>
      </c>
    </row>
    <row r="13367">
      <c r="A13367" s="1" t="n">
        <v>13366</v>
      </c>
      <c r="B13367">
        <f>TEXT(13366, "[$-0E0000]yyyy-mm-dd")</f>
        <v/>
      </c>
      <c r="C13367" t="inlineStr">
        <is>
          <t>1936-06-19</t>
        </is>
      </c>
    </row>
    <row r="13368">
      <c r="A13368" s="1" t="n">
        <v>13367</v>
      </c>
      <c r="B13368">
        <f>TEXT(13367, "[$-0E0000]yyyy-mm-dd")</f>
        <v/>
      </c>
      <c r="C13368" t="inlineStr">
        <is>
          <t>1936-06-20</t>
        </is>
      </c>
    </row>
    <row r="13369">
      <c r="A13369" s="1" t="n">
        <v>13368</v>
      </c>
      <c r="B13369">
        <f>TEXT(13368, "[$-0E0000]yyyy-mm-dd")</f>
        <v/>
      </c>
      <c r="C13369" t="inlineStr">
        <is>
          <t>1936-06-21</t>
        </is>
      </c>
    </row>
    <row r="13370">
      <c r="A13370" s="1" t="n">
        <v>13369</v>
      </c>
      <c r="B13370">
        <f>TEXT(13369, "[$-0E0000]yyyy-mm-dd")</f>
        <v/>
      </c>
      <c r="C13370" t="inlineStr">
        <is>
          <t>1936-06-22</t>
        </is>
      </c>
    </row>
    <row r="13371">
      <c r="A13371" s="1" t="n">
        <v>13370</v>
      </c>
      <c r="B13371">
        <f>TEXT(13370, "[$-0E0000]yyyy-mm-dd")</f>
        <v/>
      </c>
      <c r="C13371" t="inlineStr">
        <is>
          <t>1936-06-23</t>
        </is>
      </c>
    </row>
    <row r="13372">
      <c r="A13372" s="1" t="n">
        <v>13371</v>
      </c>
      <c r="B13372">
        <f>TEXT(13371, "[$-0E0000]yyyy-mm-dd")</f>
        <v/>
      </c>
      <c r="C13372" t="inlineStr">
        <is>
          <t>1936-06-24</t>
        </is>
      </c>
    </row>
    <row r="13373">
      <c r="A13373" s="1" t="n">
        <v>13372</v>
      </c>
      <c r="B13373">
        <f>TEXT(13372, "[$-0E0000]yyyy-mm-dd")</f>
        <v/>
      </c>
      <c r="C13373" t="inlineStr">
        <is>
          <t>1936-06-25</t>
        </is>
      </c>
    </row>
    <row r="13374">
      <c r="A13374" s="1" t="n">
        <v>13373</v>
      </c>
      <c r="B13374">
        <f>TEXT(13373, "[$-0E0000]yyyy-mm-dd")</f>
        <v/>
      </c>
      <c r="C13374" t="inlineStr">
        <is>
          <t>1936-06-26</t>
        </is>
      </c>
    </row>
    <row r="13375">
      <c r="A13375" s="1" t="n">
        <v>13374</v>
      </c>
      <c r="B13375">
        <f>TEXT(13374, "[$-0E0000]yyyy-mm-dd")</f>
        <v/>
      </c>
      <c r="C13375" t="inlineStr">
        <is>
          <t>1936-06-27</t>
        </is>
      </c>
    </row>
    <row r="13376">
      <c r="A13376" s="1" t="n">
        <v>13375</v>
      </c>
      <c r="B13376">
        <f>TEXT(13375, "[$-0E0000]yyyy-mm-dd")</f>
        <v/>
      </c>
      <c r="C13376" t="inlineStr">
        <is>
          <t>1936-06-28</t>
        </is>
      </c>
    </row>
    <row r="13377">
      <c r="A13377" s="1" t="n">
        <v>13376</v>
      </c>
      <c r="B13377">
        <f>TEXT(13376, "[$-0E0000]yyyy-mm-dd")</f>
        <v/>
      </c>
      <c r="C13377" t="inlineStr">
        <is>
          <t>1936-06-29</t>
        </is>
      </c>
    </row>
    <row r="13378">
      <c r="A13378" s="1" t="n">
        <v>13377</v>
      </c>
      <c r="B13378">
        <f>TEXT(13377, "[$-0E0000]yyyy-mm-dd")</f>
        <v/>
      </c>
      <c r="C13378" t="inlineStr">
        <is>
          <t>1936-06-30</t>
        </is>
      </c>
    </row>
    <row r="13379">
      <c r="A13379" s="1" t="n">
        <v>13378</v>
      </c>
      <c r="B13379">
        <f>TEXT(13378, "[$-0E0000]yyyy-mm-dd")</f>
        <v/>
      </c>
      <c r="C13379" t="inlineStr">
        <is>
          <t>1936-07-01</t>
        </is>
      </c>
    </row>
    <row r="13380">
      <c r="A13380" s="1" t="n">
        <v>13379</v>
      </c>
      <c r="B13380">
        <f>TEXT(13379, "[$-0E0000]yyyy-mm-dd")</f>
        <v/>
      </c>
      <c r="C13380" t="inlineStr">
        <is>
          <t>1936-07-02</t>
        </is>
      </c>
    </row>
    <row r="13381">
      <c r="A13381" s="1" t="n">
        <v>13380</v>
      </c>
      <c r="B13381">
        <f>TEXT(13380, "[$-0E0000]yyyy-mm-dd")</f>
        <v/>
      </c>
      <c r="C13381" t="inlineStr">
        <is>
          <t>1936-07-03</t>
        </is>
      </c>
    </row>
    <row r="13382">
      <c r="A13382" s="1" t="n">
        <v>13381</v>
      </c>
      <c r="B13382">
        <f>TEXT(13381, "[$-0E0000]yyyy-mm-dd")</f>
        <v/>
      </c>
      <c r="C13382" t="inlineStr">
        <is>
          <t>1936-07-04</t>
        </is>
      </c>
    </row>
    <row r="13383">
      <c r="A13383" s="1" t="n">
        <v>13382</v>
      </c>
      <c r="B13383">
        <f>TEXT(13382, "[$-0E0000]yyyy-mm-dd")</f>
        <v/>
      </c>
      <c r="C13383" t="inlineStr">
        <is>
          <t>1936-07-05</t>
        </is>
      </c>
    </row>
    <row r="13384">
      <c r="A13384" s="1" t="n">
        <v>13383</v>
      </c>
      <c r="B13384">
        <f>TEXT(13383, "[$-0E0000]yyyy-mm-dd")</f>
        <v/>
      </c>
      <c r="C13384" t="inlineStr">
        <is>
          <t>1936-07-06</t>
        </is>
      </c>
    </row>
    <row r="13385">
      <c r="A13385" s="1" t="n">
        <v>13384</v>
      </c>
      <c r="B13385">
        <f>TEXT(13384, "[$-0E0000]yyyy-mm-dd")</f>
        <v/>
      </c>
      <c r="C13385" t="inlineStr">
        <is>
          <t>1936-07-07</t>
        </is>
      </c>
    </row>
    <row r="13386">
      <c r="A13386" s="1" t="n">
        <v>13385</v>
      </c>
      <c r="B13386">
        <f>TEXT(13385, "[$-0E0000]yyyy-mm-dd")</f>
        <v/>
      </c>
      <c r="C13386" t="inlineStr">
        <is>
          <t>1936-07-08</t>
        </is>
      </c>
    </row>
    <row r="13387">
      <c r="A13387" s="1" t="n">
        <v>13386</v>
      </c>
      <c r="B13387">
        <f>TEXT(13386, "[$-0E0000]yyyy-mm-dd")</f>
        <v/>
      </c>
      <c r="C13387" t="inlineStr">
        <is>
          <t>1936-07-09</t>
        </is>
      </c>
    </row>
    <row r="13388">
      <c r="A13388" s="1" t="n">
        <v>13387</v>
      </c>
      <c r="B13388">
        <f>TEXT(13387, "[$-0E0000]yyyy-mm-dd")</f>
        <v/>
      </c>
      <c r="C13388" t="inlineStr">
        <is>
          <t>1936-07-10</t>
        </is>
      </c>
    </row>
    <row r="13389">
      <c r="A13389" s="1" t="n">
        <v>13388</v>
      </c>
      <c r="B13389">
        <f>TEXT(13388, "[$-0E0000]yyyy-mm-dd")</f>
        <v/>
      </c>
      <c r="C13389" t="inlineStr">
        <is>
          <t>1936-07-11</t>
        </is>
      </c>
    </row>
    <row r="13390">
      <c r="A13390" s="1" t="n">
        <v>13389</v>
      </c>
      <c r="B13390">
        <f>TEXT(13389, "[$-0E0000]yyyy-mm-dd")</f>
        <v/>
      </c>
      <c r="C13390" t="inlineStr">
        <is>
          <t>1936-07-12</t>
        </is>
      </c>
    </row>
    <row r="13391">
      <c r="A13391" s="1" t="n">
        <v>13390</v>
      </c>
      <c r="B13391">
        <f>TEXT(13390, "[$-0E0000]yyyy-mm-dd")</f>
        <v/>
      </c>
      <c r="C13391" t="inlineStr">
        <is>
          <t>1936-07-13</t>
        </is>
      </c>
    </row>
    <row r="13392">
      <c r="A13392" s="1" t="n">
        <v>13391</v>
      </c>
      <c r="B13392">
        <f>TEXT(13391, "[$-0E0000]yyyy-mm-dd")</f>
        <v/>
      </c>
      <c r="C13392" t="inlineStr">
        <is>
          <t>1936-07-14</t>
        </is>
      </c>
    </row>
    <row r="13393">
      <c r="A13393" s="1" t="n">
        <v>13392</v>
      </c>
      <c r="B13393">
        <f>TEXT(13392, "[$-0E0000]yyyy-mm-dd")</f>
        <v/>
      </c>
      <c r="C13393" t="inlineStr">
        <is>
          <t>1936-07-15</t>
        </is>
      </c>
    </row>
    <row r="13394">
      <c r="A13394" s="1" t="n">
        <v>13393</v>
      </c>
      <c r="B13394">
        <f>TEXT(13393, "[$-0E0000]yyyy-mm-dd")</f>
        <v/>
      </c>
      <c r="C13394" t="inlineStr">
        <is>
          <t>1936-07-16</t>
        </is>
      </c>
    </row>
    <row r="13395">
      <c r="A13395" s="1" t="n">
        <v>13394</v>
      </c>
      <c r="B13395">
        <f>TEXT(13394, "[$-0E0000]yyyy-mm-dd")</f>
        <v/>
      </c>
      <c r="C13395" t="inlineStr">
        <is>
          <t>1936-07-17</t>
        </is>
      </c>
    </row>
    <row r="13396">
      <c r="A13396" s="1" t="n">
        <v>13395</v>
      </c>
      <c r="B13396">
        <f>TEXT(13395, "[$-0E0000]yyyy-mm-dd")</f>
        <v/>
      </c>
      <c r="C13396" t="inlineStr">
        <is>
          <t>1936-07-18</t>
        </is>
      </c>
    </row>
    <row r="13397">
      <c r="A13397" s="1" t="n">
        <v>13396</v>
      </c>
      <c r="B13397">
        <f>TEXT(13396, "[$-0E0000]yyyy-mm-dd")</f>
        <v/>
      </c>
      <c r="C13397" t="inlineStr">
        <is>
          <t>1936-07-19</t>
        </is>
      </c>
    </row>
    <row r="13398">
      <c r="A13398" s="1" t="n">
        <v>13397</v>
      </c>
      <c r="B13398">
        <f>TEXT(13397, "[$-0E0000]yyyy-mm-dd")</f>
        <v/>
      </c>
      <c r="C13398" t="inlineStr">
        <is>
          <t>1936-07-20</t>
        </is>
      </c>
    </row>
    <row r="13399">
      <c r="A13399" s="1" t="n">
        <v>13398</v>
      </c>
      <c r="B13399">
        <f>TEXT(13398, "[$-0E0000]yyyy-mm-dd")</f>
        <v/>
      </c>
      <c r="C13399" t="inlineStr">
        <is>
          <t>1936-07-21</t>
        </is>
      </c>
    </row>
    <row r="13400">
      <c r="A13400" s="1" t="n">
        <v>13399</v>
      </c>
      <c r="B13400">
        <f>TEXT(13399, "[$-0E0000]yyyy-mm-dd")</f>
        <v/>
      </c>
      <c r="C13400" t="inlineStr">
        <is>
          <t>1936-07-22</t>
        </is>
      </c>
    </row>
    <row r="13401">
      <c r="A13401" s="1" t="n">
        <v>13400</v>
      </c>
      <c r="B13401">
        <f>TEXT(13400, "[$-0E0000]yyyy-mm-dd")</f>
        <v/>
      </c>
      <c r="C13401" t="inlineStr">
        <is>
          <t>1936-07-23</t>
        </is>
      </c>
    </row>
    <row r="13402">
      <c r="A13402" s="1" t="n">
        <v>13401</v>
      </c>
      <c r="B13402">
        <f>TEXT(13401, "[$-0E0000]yyyy-mm-dd")</f>
        <v/>
      </c>
      <c r="C13402" t="inlineStr">
        <is>
          <t>1936-07-24</t>
        </is>
      </c>
    </row>
    <row r="13403">
      <c r="A13403" s="1" t="n">
        <v>13402</v>
      </c>
      <c r="B13403">
        <f>TEXT(13402, "[$-0E0000]yyyy-mm-dd")</f>
        <v/>
      </c>
      <c r="C13403" t="inlineStr">
        <is>
          <t>1936-07-25</t>
        </is>
      </c>
    </row>
    <row r="13404">
      <c r="A13404" s="1" t="n">
        <v>13403</v>
      </c>
      <c r="B13404">
        <f>TEXT(13403, "[$-0E0000]yyyy-mm-dd")</f>
        <v/>
      </c>
      <c r="C13404" t="inlineStr">
        <is>
          <t>1936-07-26</t>
        </is>
      </c>
    </row>
    <row r="13405">
      <c r="A13405" s="1" t="n">
        <v>13404</v>
      </c>
      <c r="B13405">
        <f>TEXT(13404, "[$-0E0000]yyyy-mm-dd")</f>
        <v/>
      </c>
      <c r="C13405" t="inlineStr">
        <is>
          <t>1936-07-27</t>
        </is>
      </c>
    </row>
    <row r="13406">
      <c r="A13406" s="1" t="n">
        <v>13405</v>
      </c>
      <c r="B13406">
        <f>TEXT(13405, "[$-0E0000]yyyy-mm-dd")</f>
        <v/>
      </c>
      <c r="C13406" t="inlineStr">
        <is>
          <t>1936-07-28</t>
        </is>
      </c>
    </row>
    <row r="13407">
      <c r="A13407" s="1" t="n">
        <v>13406</v>
      </c>
      <c r="B13407">
        <f>TEXT(13406, "[$-0E0000]yyyy-mm-dd")</f>
        <v/>
      </c>
      <c r="C13407" t="inlineStr">
        <is>
          <t>1936-07-29</t>
        </is>
      </c>
    </row>
    <row r="13408">
      <c r="A13408" s="1" t="n">
        <v>13407</v>
      </c>
      <c r="B13408">
        <f>TEXT(13407, "[$-0E0000]yyyy-mm-dd")</f>
        <v/>
      </c>
      <c r="C13408" t="inlineStr">
        <is>
          <t>1936-07-30</t>
        </is>
      </c>
    </row>
    <row r="13409">
      <c r="A13409" s="1" t="n">
        <v>13408</v>
      </c>
      <c r="B13409">
        <f>TEXT(13408, "[$-0E0000]yyyy-mm-dd")</f>
        <v/>
      </c>
      <c r="C13409" t="inlineStr">
        <is>
          <t>1936-08-01</t>
        </is>
      </c>
    </row>
    <row r="13410">
      <c r="A13410" s="1" t="n">
        <v>13409</v>
      </c>
      <c r="B13410">
        <f>TEXT(13409, "[$-0E0000]yyyy-mm-dd")</f>
        <v/>
      </c>
      <c r="C13410" t="inlineStr">
        <is>
          <t>1936-08-02</t>
        </is>
      </c>
    </row>
    <row r="13411">
      <c r="A13411" s="1" t="n">
        <v>13410</v>
      </c>
      <c r="B13411">
        <f>TEXT(13410, "[$-0E0000]yyyy-mm-dd")</f>
        <v/>
      </c>
      <c r="C13411" t="inlineStr">
        <is>
          <t>1936-08-03</t>
        </is>
      </c>
    </row>
    <row r="13412">
      <c r="A13412" s="1" t="n">
        <v>13411</v>
      </c>
      <c r="B13412">
        <f>TEXT(13411, "[$-0E0000]yyyy-mm-dd")</f>
        <v/>
      </c>
      <c r="C13412" t="inlineStr">
        <is>
          <t>1936-08-04</t>
        </is>
      </c>
    </row>
    <row r="13413">
      <c r="A13413" s="1" t="n">
        <v>13412</v>
      </c>
      <c r="B13413">
        <f>TEXT(13412, "[$-0E0000]yyyy-mm-dd")</f>
        <v/>
      </c>
      <c r="C13413" t="inlineStr">
        <is>
          <t>1936-08-05</t>
        </is>
      </c>
    </row>
    <row r="13414">
      <c r="A13414" s="1" t="n">
        <v>13413</v>
      </c>
      <c r="B13414">
        <f>TEXT(13413, "[$-0E0000]yyyy-mm-dd")</f>
        <v/>
      </c>
      <c r="C13414" t="inlineStr">
        <is>
          <t>1936-08-06</t>
        </is>
      </c>
    </row>
    <row r="13415">
      <c r="A13415" s="1" t="n">
        <v>13414</v>
      </c>
      <c r="B13415">
        <f>TEXT(13414, "[$-0E0000]yyyy-mm-dd")</f>
        <v/>
      </c>
      <c r="C13415" t="inlineStr">
        <is>
          <t>1936-08-07</t>
        </is>
      </c>
    </row>
    <row r="13416">
      <c r="A13416" s="1" t="n">
        <v>13415</v>
      </c>
      <c r="B13416">
        <f>TEXT(13415, "[$-0E0000]yyyy-mm-dd")</f>
        <v/>
      </c>
      <c r="C13416" t="inlineStr">
        <is>
          <t>1936-08-08</t>
        </is>
      </c>
    </row>
    <row r="13417">
      <c r="A13417" s="1" t="n">
        <v>13416</v>
      </c>
      <c r="B13417">
        <f>TEXT(13416, "[$-0E0000]yyyy-mm-dd")</f>
        <v/>
      </c>
      <c r="C13417" t="inlineStr">
        <is>
          <t>1936-08-09</t>
        </is>
      </c>
    </row>
    <row r="13418">
      <c r="A13418" s="1" t="n">
        <v>13417</v>
      </c>
      <c r="B13418">
        <f>TEXT(13417, "[$-0E0000]yyyy-mm-dd")</f>
        <v/>
      </c>
      <c r="C13418" t="inlineStr">
        <is>
          <t>1936-08-10</t>
        </is>
      </c>
    </row>
    <row r="13419">
      <c r="A13419" s="1" t="n">
        <v>13418</v>
      </c>
      <c r="B13419">
        <f>TEXT(13418, "[$-0E0000]yyyy-mm-dd")</f>
        <v/>
      </c>
      <c r="C13419" t="inlineStr">
        <is>
          <t>1936-08-11</t>
        </is>
      </c>
    </row>
    <row r="13420">
      <c r="A13420" s="1" t="n">
        <v>13419</v>
      </c>
      <c r="B13420">
        <f>TEXT(13419, "[$-0E0000]yyyy-mm-dd")</f>
        <v/>
      </c>
      <c r="C13420" t="inlineStr">
        <is>
          <t>1936-08-12</t>
        </is>
      </c>
    </row>
    <row r="13421">
      <c r="A13421" s="1" t="n">
        <v>13420</v>
      </c>
      <c r="B13421">
        <f>TEXT(13420, "[$-0E0000]yyyy-mm-dd")</f>
        <v/>
      </c>
      <c r="C13421" t="inlineStr">
        <is>
          <t>1936-08-13</t>
        </is>
      </c>
    </row>
    <row r="13422">
      <c r="A13422" s="1" t="n">
        <v>13421</v>
      </c>
      <c r="B13422">
        <f>TEXT(13421, "[$-0E0000]yyyy-mm-dd")</f>
        <v/>
      </c>
      <c r="C13422" t="inlineStr">
        <is>
          <t>1936-08-14</t>
        </is>
      </c>
    </row>
    <row r="13423">
      <c r="A13423" s="1" t="n">
        <v>13422</v>
      </c>
      <c r="B13423">
        <f>TEXT(13422, "[$-0E0000]yyyy-mm-dd")</f>
        <v/>
      </c>
      <c r="C13423" t="inlineStr">
        <is>
          <t>1936-08-15</t>
        </is>
      </c>
    </row>
    <row r="13424">
      <c r="A13424" s="1" t="n">
        <v>13423</v>
      </c>
      <c r="B13424">
        <f>TEXT(13423, "[$-0E0000]yyyy-mm-dd")</f>
        <v/>
      </c>
      <c r="C13424" t="inlineStr">
        <is>
          <t>1936-08-16</t>
        </is>
      </c>
    </row>
    <row r="13425">
      <c r="A13425" s="1" t="n">
        <v>13424</v>
      </c>
      <c r="B13425">
        <f>TEXT(13424, "[$-0E0000]yyyy-mm-dd")</f>
        <v/>
      </c>
      <c r="C13425" t="inlineStr">
        <is>
          <t>1936-08-17</t>
        </is>
      </c>
    </row>
    <row r="13426">
      <c r="A13426" s="1" t="n">
        <v>13425</v>
      </c>
      <c r="B13426">
        <f>TEXT(13425, "[$-0E0000]yyyy-mm-dd")</f>
        <v/>
      </c>
      <c r="C13426" t="inlineStr">
        <is>
          <t>1936-08-18</t>
        </is>
      </c>
    </row>
    <row r="13427">
      <c r="A13427" s="1" t="n">
        <v>13426</v>
      </c>
      <c r="B13427">
        <f>TEXT(13426, "[$-0E0000]yyyy-mm-dd")</f>
        <v/>
      </c>
      <c r="C13427" t="inlineStr">
        <is>
          <t>1936-08-19</t>
        </is>
      </c>
    </row>
    <row r="13428">
      <c r="A13428" s="1" t="n">
        <v>13427</v>
      </c>
      <c r="B13428">
        <f>TEXT(13427, "[$-0E0000]yyyy-mm-dd")</f>
        <v/>
      </c>
      <c r="C13428" t="inlineStr">
        <is>
          <t>1936-08-20</t>
        </is>
      </c>
    </row>
    <row r="13429">
      <c r="A13429" s="1" t="n">
        <v>13428</v>
      </c>
      <c r="B13429">
        <f>TEXT(13428, "[$-0E0000]yyyy-mm-dd")</f>
        <v/>
      </c>
      <c r="C13429" t="inlineStr">
        <is>
          <t>1936-08-21</t>
        </is>
      </c>
    </row>
    <row r="13430">
      <c r="A13430" s="1" t="n">
        <v>13429</v>
      </c>
      <c r="B13430">
        <f>TEXT(13429, "[$-0E0000]yyyy-mm-dd")</f>
        <v/>
      </c>
      <c r="C13430" t="inlineStr">
        <is>
          <t>1936-08-22</t>
        </is>
      </c>
    </row>
    <row r="13431">
      <c r="A13431" s="1" t="n">
        <v>13430</v>
      </c>
      <c r="B13431">
        <f>TEXT(13430, "[$-0E0000]yyyy-mm-dd")</f>
        <v/>
      </c>
      <c r="C13431" t="inlineStr">
        <is>
          <t>1936-08-23</t>
        </is>
      </c>
    </row>
    <row r="13432">
      <c r="A13432" s="1" t="n">
        <v>13431</v>
      </c>
      <c r="B13432">
        <f>TEXT(13431, "[$-0E0000]yyyy-mm-dd")</f>
        <v/>
      </c>
      <c r="C13432" t="inlineStr">
        <is>
          <t>1936-08-24</t>
        </is>
      </c>
    </row>
    <row r="13433">
      <c r="A13433" s="1" t="n">
        <v>13432</v>
      </c>
      <c r="B13433">
        <f>TEXT(13432, "[$-0E0000]yyyy-mm-dd")</f>
        <v/>
      </c>
      <c r="C13433" t="inlineStr">
        <is>
          <t>1936-08-25</t>
        </is>
      </c>
    </row>
    <row r="13434">
      <c r="A13434" s="1" t="n">
        <v>13433</v>
      </c>
      <c r="B13434">
        <f>TEXT(13433, "[$-0E0000]yyyy-mm-dd")</f>
        <v/>
      </c>
      <c r="C13434" t="inlineStr">
        <is>
          <t>1936-08-26</t>
        </is>
      </c>
    </row>
    <row r="13435">
      <c r="A13435" s="1" t="n">
        <v>13434</v>
      </c>
      <c r="B13435">
        <f>TEXT(13434, "[$-0E0000]yyyy-mm-dd")</f>
        <v/>
      </c>
      <c r="C13435" t="inlineStr">
        <is>
          <t>1936-08-27</t>
        </is>
      </c>
    </row>
    <row r="13436">
      <c r="A13436" s="1" t="n">
        <v>13435</v>
      </c>
      <c r="B13436">
        <f>TEXT(13435, "[$-0E0000]yyyy-mm-dd")</f>
        <v/>
      </c>
      <c r="C13436" t="inlineStr">
        <is>
          <t>1936-08-28</t>
        </is>
      </c>
    </row>
    <row r="13437">
      <c r="A13437" s="1" t="n">
        <v>13436</v>
      </c>
      <c r="B13437">
        <f>TEXT(13436, "[$-0E0000]yyyy-mm-dd")</f>
        <v/>
      </c>
      <c r="C13437" t="inlineStr">
        <is>
          <t>1936-08-29</t>
        </is>
      </c>
    </row>
    <row r="13438">
      <c r="A13438" s="1" t="n">
        <v>13437</v>
      </c>
      <c r="B13438">
        <f>TEXT(13437, "[$-0E0000]yyyy-mm-dd")</f>
        <v/>
      </c>
      <c r="C13438" t="inlineStr">
        <is>
          <t>1936-09-01</t>
        </is>
      </c>
    </row>
    <row r="13439">
      <c r="A13439" s="1" t="n">
        <v>13438</v>
      </c>
      <c r="B13439">
        <f>TEXT(13438, "[$-0E0000]yyyy-mm-dd")</f>
        <v/>
      </c>
      <c r="C13439" t="inlineStr">
        <is>
          <t>1936-09-02</t>
        </is>
      </c>
    </row>
    <row r="13440">
      <c r="A13440" s="1" t="n">
        <v>13439</v>
      </c>
      <c r="B13440">
        <f>TEXT(13439, "[$-0E0000]yyyy-mm-dd")</f>
        <v/>
      </c>
      <c r="C13440" t="inlineStr">
        <is>
          <t>1936-09-03</t>
        </is>
      </c>
    </row>
    <row r="13441">
      <c r="A13441" s="1" t="n">
        <v>13440</v>
      </c>
      <c r="B13441">
        <f>TEXT(13440, "[$-0E0000]yyyy-mm-dd")</f>
        <v/>
      </c>
      <c r="C13441" t="inlineStr">
        <is>
          <t>1936-09-04</t>
        </is>
      </c>
    </row>
    <row r="13442">
      <c r="A13442" s="1" t="n">
        <v>13441</v>
      </c>
      <c r="B13442">
        <f>TEXT(13441, "[$-0E0000]yyyy-mm-dd")</f>
        <v/>
      </c>
      <c r="C13442" t="inlineStr">
        <is>
          <t>1936-09-05</t>
        </is>
      </c>
    </row>
    <row r="13443">
      <c r="A13443" s="1" t="n">
        <v>13442</v>
      </c>
      <c r="B13443">
        <f>TEXT(13442, "[$-0E0000]yyyy-mm-dd")</f>
        <v/>
      </c>
      <c r="C13443" t="inlineStr">
        <is>
          <t>1936-09-06</t>
        </is>
      </c>
    </row>
    <row r="13444">
      <c r="A13444" s="1" t="n">
        <v>13443</v>
      </c>
      <c r="B13444">
        <f>TEXT(13443, "[$-0E0000]yyyy-mm-dd")</f>
        <v/>
      </c>
      <c r="C13444" t="inlineStr">
        <is>
          <t>1936-09-07</t>
        </is>
      </c>
    </row>
    <row r="13445">
      <c r="A13445" s="1" t="n">
        <v>13444</v>
      </c>
      <c r="B13445">
        <f>TEXT(13444, "[$-0E0000]yyyy-mm-dd")</f>
        <v/>
      </c>
      <c r="C13445" t="inlineStr">
        <is>
          <t>1936-09-08</t>
        </is>
      </c>
    </row>
    <row r="13446">
      <c r="A13446" s="1" t="n">
        <v>13445</v>
      </c>
      <c r="B13446">
        <f>TEXT(13445, "[$-0E0000]yyyy-mm-dd")</f>
        <v/>
      </c>
      <c r="C13446" t="inlineStr">
        <is>
          <t>1936-09-09</t>
        </is>
      </c>
    </row>
    <row r="13447">
      <c r="A13447" s="1" t="n">
        <v>13446</v>
      </c>
      <c r="B13447">
        <f>TEXT(13446, "[$-0E0000]yyyy-mm-dd")</f>
        <v/>
      </c>
      <c r="C13447" t="inlineStr">
        <is>
          <t>1936-09-10</t>
        </is>
      </c>
    </row>
    <row r="13448">
      <c r="A13448" s="1" t="n">
        <v>13447</v>
      </c>
      <c r="B13448">
        <f>TEXT(13447, "[$-0E0000]yyyy-mm-dd")</f>
        <v/>
      </c>
      <c r="C13448" t="inlineStr">
        <is>
          <t>1936-09-11</t>
        </is>
      </c>
    </row>
    <row r="13449">
      <c r="A13449" s="1" t="n">
        <v>13448</v>
      </c>
      <c r="B13449">
        <f>TEXT(13448, "[$-0E0000]yyyy-mm-dd")</f>
        <v/>
      </c>
      <c r="C13449" t="inlineStr">
        <is>
          <t>1936-09-12</t>
        </is>
      </c>
    </row>
    <row r="13450">
      <c r="A13450" s="1" t="n">
        <v>13449</v>
      </c>
      <c r="B13450">
        <f>TEXT(13449, "[$-0E0000]yyyy-mm-dd")</f>
        <v/>
      </c>
      <c r="C13450" t="inlineStr">
        <is>
          <t>1936-09-13</t>
        </is>
      </c>
    </row>
    <row r="13451">
      <c r="A13451" s="1" t="n">
        <v>13450</v>
      </c>
      <c r="B13451">
        <f>TEXT(13450, "[$-0E0000]yyyy-mm-dd")</f>
        <v/>
      </c>
      <c r="C13451" t="inlineStr">
        <is>
          <t>1936-09-14</t>
        </is>
      </c>
    </row>
    <row r="13452">
      <c r="A13452" s="1" t="n">
        <v>13451</v>
      </c>
      <c r="B13452">
        <f>TEXT(13451, "[$-0E0000]yyyy-mm-dd")</f>
        <v/>
      </c>
      <c r="C13452" t="inlineStr">
        <is>
          <t>1936-09-15</t>
        </is>
      </c>
    </row>
    <row r="13453">
      <c r="A13453" s="1" t="n">
        <v>13452</v>
      </c>
      <c r="B13453">
        <f>TEXT(13452, "[$-0E0000]yyyy-mm-dd")</f>
        <v/>
      </c>
      <c r="C13453" t="inlineStr">
        <is>
          <t>1936-09-16</t>
        </is>
      </c>
    </row>
    <row r="13454">
      <c r="A13454" s="1" t="n">
        <v>13453</v>
      </c>
      <c r="B13454">
        <f>TEXT(13453, "[$-0E0000]yyyy-mm-dd")</f>
        <v/>
      </c>
      <c r="C13454" t="inlineStr">
        <is>
          <t>1936-09-17</t>
        </is>
      </c>
    </row>
    <row r="13455">
      <c r="A13455" s="1" t="n">
        <v>13454</v>
      </c>
      <c r="B13455">
        <f>TEXT(13454, "[$-0E0000]yyyy-mm-dd")</f>
        <v/>
      </c>
      <c r="C13455" t="inlineStr">
        <is>
          <t>1936-09-18</t>
        </is>
      </c>
    </row>
    <row r="13456">
      <c r="A13456" s="1" t="n">
        <v>13455</v>
      </c>
      <c r="B13456">
        <f>TEXT(13455, "[$-0E0000]yyyy-mm-dd")</f>
        <v/>
      </c>
      <c r="C13456" t="inlineStr">
        <is>
          <t>1936-09-19</t>
        </is>
      </c>
    </row>
    <row r="13457">
      <c r="A13457" s="1" t="n">
        <v>13456</v>
      </c>
      <c r="B13457">
        <f>TEXT(13456, "[$-0E0000]yyyy-mm-dd")</f>
        <v/>
      </c>
      <c r="C13457" t="inlineStr">
        <is>
          <t>1936-09-20</t>
        </is>
      </c>
    </row>
    <row r="13458">
      <c r="A13458" s="1" t="n">
        <v>13457</v>
      </c>
      <c r="B13458">
        <f>TEXT(13457, "[$-0E0000]yyyy-mm-dd")</f>
        <v/>
      </c>
      <c r="C13458" t="inlineStr">
        <is>
          <t>1936-09-21</t>
        </is>
      </c>
    </row>
    <row r="13459">
      <c r="A13459" s="1" t="n">
        <v>13458</v>
      </c>
      <c r="B13459">
        <f>TEXT(13458, "[$-0E0000]yyyy-mm-dd")</f>
        <v/>
      </c>
      <c r="C13459" t="inlineStr">
        <is>
          <t>1936-09-22</t>
        </is>
      </c>
    </row>
    <row r="13460">
      <c r="A13460" s="1" t="n">
        <v>13459</v>
      </c>
      <c r="B13460">
        <f>TEXT(13459, "[$-0E0000]yyyy-mm-dd")</f>
        <v/>
      </c>
      <c r="C13460" t="inlineStr">
        <is>
          <t>1936-09-23</t>
        </is>
      </c>
    </row>
    <row r="13461">
      <c r="A13461" s="1" t="n">
        <v>13460</v>
      </c>
      <c r="B13461">
        <f>TEXT(13460, "[$-0E0000]yyyy-mm-dd")</f>
        <v/>
      </c>
      <c r="C13461" t="inlineStr">
        <is>
          <t>1936-09-24</t>
        </is>
      </c>
    </row>
    <row r="13462">
      <c r="A13462" s="1" t="n">
        <v>13461</v>
      </c>
      <c r="B13462">
        <f>TEXT(13461, "[$-0E0000]yyyy-mm-dd")</f>
        <v/>
      </c>
      <c r="C13462" t="inlineStr">
        <is>
          <t>1936-09-25</t>
        </is>
      </c>
    </row>
    <row r="13463">
      <c r="A13463" s="1" t="n">
        <v>13462</v>
      </c>
      <c r="B13463">
        <f>TEXT(13462, "[$-0E0000]yyyy-mm-dd")</f>
        <v/>
      </c>
      <c r="C13463" t="inlineStr">
        <is>
          <t>1936-09-26</t>
        </is>
      </c>
    </row>
    <row r="13464">
      <c r="A13464" s="1" t="n">
        <v>13463</v>
      </c>
      <c r="B13464">
        <f>TEXT(13463, "[$-0E0000]yyyy-mm-dd")</f>
        <v/>
      </c>
      <c r="C13464" t="inlineStr">
        <is>
          <t>1936-09-27</t>
        </is>
      </c>
    </row>
    <row r="13465">
      <c r="A13465" s="1" t="n">
        <v>13464</v>
      </c>
      <c r="B13465">
        <f>TEXT(13464, "[$-0E0000]yyyy-mm-dd")</f>
        <v/>
      </c>
      <c r="C13465" t="inlineStr">
        <is>
          <t>1936-09-28</t>
        </is>
      </c>
    </row>
    <row r="13466">
      <c r="A13466" s="1" t="n">
        <v>13465</v>
      </c>
      <c r="B13466">
        <f>TEXT(13465, "[$-0E0000]yyyy-mm-dd")</f>
        <v/>
      </c>
      <c r="C13466" t="inlineStr">
        <is>
          <t>1936-09-29</t>
        </is>
      </c>
    </row>
    <row r="13467">
      <c r="A13467" s="1" t="n">
        <v>13466</v>
      </c>
      <c r="B13467">
        <f>TEXT(13466, "[$-0E0000]yyyy-mm-dd")</f>
        <v/>
      </c>
      <c r="C13467" t="inlineStr">
        <is>
          <t>1936-09-30</t>
        </is>
      </c>
    </row>
    <row r="13468">
      <c r="A13468" s="1" t="n">
        <v>13467</v>
      </c>
      <c r="B13468">
        <f>TEXT(13467, "[$-0E0000]yyyy-mm-dd")</f>
        <v/>
      </c>
      <c r="C13468" t="inlineStr">
        <is>
          <t>1936-10-01</t>
        </is>
      </c>
    </row>
    <row r="13469">
      <c r="A13469" s="1" t="n">
        <v>13468</v>
      </c>
      <c r="B13469">
        <f>TEXT(13468, "[$-0E0000]yyyy-mm-dd")</f>
        <v/>
      </c>
      <c r="C13469" t="inlineStr">
        <is>
          <t>1936-10-02</t>
        </is>
      </c>
    </row>
    <row r="13470">
      <c r="A13470" s="1" t="n">
        <v>13469</v>
      </c>
      <c r="B13470">
        <f>TEXT(13469, "[$-0E0000]yyyy-mm-dd")</f>
        <v/>
      </c>
      <c r="C13470" t="inlineStr">
        <is>
          <t>1936-10-03</t>
        </is>
      </c>
    </row>
    <row r="13471">
      <c r="A13471" s="1" t="n">
        <v>13470</v>
      </c>
      <c r="B13471">
        <f>TEXT(13470, "[$-0E0000]yyyy-mm-dd")</f>
        <v/>
      </c>
      <c r="C13471" t="inlineStr">
        <is>
          <t>1936-10-04</t>
        </is>
      </c>
    </row>
    <row r="13472">
      <c r="A13472" s="1" t="n">
        <v>13471</v>
      </c>
      <c r="B13472">
        <f>TEXT(13471, "[$-0E0000]yyyy-mm-dd")</f>
        <v/>
      </c>
      <c r="C13472" t="inlineStr">
        <is>
          <t>1936-10-05</t>
        </is>
      </c>
    </row>
    <row r="13473">
      <c r="A13473" s="1" t="n">
        <v>13472</v>
      </c>
      <c r="B13473">
        <f>TEXT(13472, "[$-0E0000]yyyy-mm-dd")</f>
        <v/>
      </c>
      <c r="C13473" t="inlineStr">
        <is>
          <t>1936-10-06</t>
        </is>
      </c>
    </row>
    <row r="13474">
      <c r="A13474" s="1" t="n">
        <v>13473</v>
      </c>
      <c r="B13474">
        <f>TEXT(13473, "[$-0E0000]yyyy-mm-dd")</f>
        <v/>
      </c>
      <c r="C13474" t="inlineStr">
        <is>
          <t>1936-10-07</t>
        </is>
      </c>
    </row>
    <row r="13475">
      <c r="A13475" s="1" t="n">
        <v>13474</v>
      </c>
      <c r="B13475">
        <f>TEXT(13474, "[$-0E0000]yyyy-mm-dd")</f>
        <v/>
      </c>
      <c r="C13475" t="inlineStr">
        <is>
          <t>1936-10-08</t>
        </is>
      </c>
    </row>
    <row r="13476">
      <c r="A13476" s="1" t="n">
        <v>13475</v>
      </c>
      <c r="B13476">
        <f>TEXT(13475, "[$-0E0000]yyyy-mm-dd")</f>
        <v/>
      </c>
      <c r="C13476" t="inlineStr">
        <is>
          <t>1936-10-09</t>
        </is>
      </c>
    </row>
    <row r="13477">
      <c r="A13477" s="1" t="n">
        <v>13476</v>
      </c>
      <c r="B13477">
        <f>TEXT(13476, "[$-0E0000]yyyy-mm-dd")</f>
        <v/>
      </c>
      <c r="C13477" t="inlineStr">
        <is>
          <t>1936-10-10</t>
        </is>
      </c>
    </row>
    <row r="13478">
      <c r="A13478" s="1" t="n">
        <v>13477</v>
      </c>
      <c r="B13478">
        <f>TEXT(13477, "[$-0E0000]yyyy-mm-dd")</f>
        <v/>
      </c>
      <c r="C13478" t="inlineStr">
        <is>
          <t>1936-10-11</t>
        </is>
      </c>
    </row>
    <row r="13479">
      <c r="A13479" s="1" t="n">
        <v>13478</v>
      </c>
      <c r="B13479">
        <f>TEXT(13478, "[$-0E0000]yyyy-mm-dd")</f>
        <v/>
      </c>
      <c r="C13479" t="inlineStr">
        <is>
          <t>1936-10-12</t>
        </is>
      </c>
    </row>
    <row r="13480">
      <c r="A13480" s="1" t="n">
        <v>13479</v>
      </c>
      <c r="B13480">
        <f>TEXT(13479, "[$-0E0000]yyyy-mm-dd")</f>
        <v/>
      </c>
      <c r="C13480" t="inlineStr">
        <is>
          <t>1936-10-13</t>
        </is>
      </c>
    </row>
    <row r="13481">
      <c r="A13481" s="1" t="n">
        <v>13480</v>
      </c>
      <c r="B13481">
        <f>TEXT(13480, "[$-0E0000]yyyy-mm-dd")</f>
        <v/>
      </c>
      <c r="C13481" t="inlineStr">
        <is>
          <t>1936-10-14</t>
        </is>
      </c>
    </row>
    <row r="13482">
      <c r="A13482" s="1" t="n">
        <v>13481</v>
      </c>
      <c r="B13482">
        <f>TEXT(13481, "[$-0E0000]yyyy-mm-dd")</f>
        <v/>
      </c>
      <c r="C13482" t="inlineStr">
        <is>
          <t>1936-10-15</t>
        </is>
      </c>
    </row>
    <row r="13483">
      <c r="A13483" s="1" t="n">
        <v>13482</v>
      </c>
      <c r="B13483">
        <f>TEXT(13482, "[$-0E0000]yyyy-mm-dd")</f>
        <v/>
      </c>
      <c r="C13483" t="inlineStr">
        <is>
          <t>1936-10-16</t>
        </is>
      </c>
    </row>
    <row r="13484">
      <c r="A13484" s="1" t="n">
        <v>13483</v>
      </c>
      <c r="B13484">
        <f>TEXT(13483, "[$-0E0000]yyyy-mm-dd")</f>
        <v/>
      </c>
      <c r="C13484" t="inlineStr">
        <is>
          <t>1936-10-17</t>
        </is>
      </c>
    </row>
    <row r="13485">
      <c r="A13485" s="1" t="n">
        <v>13484</v>
      </c>
      <c r="B13485">
        <f>TEXT(13484, "[$-0E0000]yyyy-mm-dd")</f>
        <v/>
      </c>
      <c r="C13485" t="inlineStr">
        <is>
          <t>1936-10-18</t>
        </is>
      </c>
    </row>
    <row r="13486">
      <c r="A13486" s="1" t="n">
        <v>13485</v>
      </c>
      <c r="B13486">
        <f>TEXT(13485, "[$-0E0000]yyyy-mm-dd")</f>
        <v/>
      </c>
      <c r="C13486" t="inlineStr">
        <is>
          <t>1936-10-19</t>
        </is>
      </c>
    </row>
    <row r="13487">
      <c r="A13487" s="1" t="n">
        <v>13486</v>
      </c>
      <c r="B13487">
        <f>TEXT(13486, "[$-0E0000]yyyy-mm-dd")</f>
        <v/>
      </c>
      <c r="C13487" t="inlineStr">
        <is>
          <t>1936-10-20</t>
        </is>
      </c>
    </row>
    <row r="13488">
      <c r="A13488" s="1" t="n">
        <v>13487</v>
      </c>
      <c r="B13488">
        <f>TEXT(13487, "[$-0E0000]yyyy-mm-dd")</f>
        <v/>
      </c>
      <c r="C13488" t="inlineStr">
        <is>
          <t>1936-10-21</t>
        </is>
      </c>
    </row>
    <row r="13489">
      <c r="A13489" s="1" t="n">
        <v>13488</v>
      </c>
      <c r="B13489">
        <f>TEXT(13488, "[$-0E0000]yyyy-mm-dd")</f>
        <v/>
      </c>
      <c r="C13489" t="inlineStr">
        <is>
          <t>1936-10-22</t>
        </is>
      </c>
    </row>
    <row r="13490">
      <c r="A13490" s="1" t="n">
        <v>13489</v>
      </c>
      <c r="B13490">
        <f>TEXT(13489, "[$-0E0000]yyyy-mm-dd")</f>
        <v/>
      </c>
      <c r="C13490" t="inlineStr">
        <is>
          <t>1936-10-23</t>
        </is>
      </c>
    </row>
    <row r="13491">
      <c r="A13491" s="1" t="n">
        <v>13490</v>
      </c>
      <c r="B13491">
        <f>TEXT(13490, "[$-0E0000]yyyy-mm-dd")</f>
        <v/>
      </c>
      <c r="C13491" t="inlineStr">
        <is>
          <t>1936-10-24</t>
        </is>
      </c>
    </row>
    <row r="13492">
      <c r="A13492" s="1" t="n">
        <v>13491</v>
      </c>
      <c r="B13492">
        <f>TEXT(13491, "[$-0E0000]yyyy-mm-dd")</f>
        <v/>
      </c>
      <c r="C13492" t="inlineStr">
        <is>
          <t>1936-10-25</t>
        </is>
      </c>
    </row>
    <row r="13493">
      <c r="A13493" s="1" t="n">
        <v>13492</v>
      </c>
      <c r="B13493">
        <f>TEXT(13492, "[$-0E0000]yyyy-mm-dd")</f>
        <v/>
      </c>
      <c r="C13493" t="inlineStr">
        <is>
          <t>1936-10-26</t>
        </is>
      </c>
    </row>
    <row r="13494">
      <c r="A13494" s="1" t="n">
        <v>13493</v>
      </c>
      <c r="B13494">
        <f>TEXT(13493, "[$-0E0000]yyyy-mm-dd")</f>
        <v/>
      </c>
      <c r="C13494" t="inlineStr">
        <is>
          <t>1936-10-27</t>
        </is>
      </c>
    </row>
    <row r="13495">
      <c r="A13495" s="1" t="n">
        <v>13494</v>
      </c>
      <c r="B13495">
        <f>TEXT(13494, "[$-0E0000]yyyy-mm-dd")</f>
        <v/>
      </c>
      <c r="C13495" t="inlineStr">
        <is>
          <t>1936-10-28</t>
        </is>
      </c>
    </row>
    <row r="13496">
      <c r="A13496" s="1" t="n">
        <v>13495</v>
      </c>
      <c r="B13496">
        <f>TEXT(13495, "[$-0E0000]yyyy-mm-dd")</f>
        <v/>
      </c>
      <c r="C13496" t="inlineStr">
        <is>
          <t>1936-10-29</t>
        </is>
      </c>
    </row>
    <row r="13497">
      <c r="A13497" s="1" t="n">
        <v>13496</v>
      </c>
      <c r="B13497">
        <f>TEXT(13496, "[$-0E0000]yyyy-mm-dd")</f>
        <v/>
      </c>
      <c r="C13497" t="inlineStr">
        <is>
          <t>1936-10-30</t>
        </is>
      </c>
    </row>
    <row r="13498">
      <c r="A13498" s="1" t="n">
        <v>13497</v>
      </c>
      <c r="B13498">
        <f>TEXT(13497, "[$-0E0000]yyyy-mm-dd")</f>
        <v/>
      </c>
      <c r="C13498" t="inlineStr">
        <is>
          <t>1936-11-01</t>
        </is>
      </c>
    </row>
    <row r="13499">
      <c r="A13499" s="1" t="n">
        <v>13498</v>
      </c>
      <c r="B13499">
        <f>TEXT(13498, "[$-0E0000]yyyy-mm-dd")</f>
        <v/>
      </c>
      <c r="C13499" t="inlineStr">
        <is>
          <t>1936-11-02</t>
        </is>
      </c>
    </row>
    <row r="13500">
      <c r="A13500" s="1" t="n">
        <v>13499</v>
      </c>
      <c r="B13500">
        <f>TEXT(13499, "[$-0E0000]yyyy-mm-dd")</f>
        <v/>
      </c>
      <c r="C13500" t="inlineStr">
        <is>
          <t>1936-11-03</t>
        </is>
      </c>
    </row>
    <row r="13501">
      <c r="A13501" s="1" t="n">
        <v>13500</v>
      </c>
      <c r="B13501">
        <f>TEXT(13500, "[$-0E0000]yyyy-mm-dd")</f>
        <v/>
      </c>
      <c r="C13501" t="inlineStr">
        <is>
          <t>1936-11-04</t>
        </is>
      </c>
    </row>
    <row r="13502">
      <c r="A13502" s="1" t="n">
        <v>13501</v>
      </c>
      <c r="B13502">
        <f>TEXT(13501, "[$-0E0000]yyyy-mm-dd")</f>
        <v/>
      </c>
      <c r="C13502" t="inlineStr">
        <is>
          <t>1936-11-05</t>
        </is>
      </c>
    </row>
    <row r="13503">
      <c r="A13503" s="1" t="n">
        <v>13502</v>
      </c>
      <c r="B13503">
        <f>TEXT(13502, "[$-0E0000]yyyy-mm-dd")</f>
        <v/>
      </c>
      <c r="C13503" t="inlineStr">
        <is>
          <t>1936-11-06</t>
        </is>
      </c>
    </row>
    <row r="13504">
      <c r="A13504" s="1" t="n">
        <v>13503</v>
      </c>
      <c r="B13504">
        <f>TEXT(13503, "[$-0E0000]yyyy-mm-dd")</f>
        <v/>
      </c>
      <c r="C13504" t="inlineStr">
        <is>
          <t>1936-11-07</t>
        </is>
      </c>
    </row>
    <row r="13505">
      <c r="A13505" s="1" t="n">
        <v>13504</v>
      </c>
      <c r="B13505">
        <f>TEXT(13504, "[$-0E0000]yyyy-mm-dd")</f>
        <v/>
      </c>
      <c r="C13505" t="inlineStr">
        <is>
          <t>1936-11-08</t>
        </is>
      </c>
    </row>
    <row r="13506">
      <c r="A13506" s="1" t="n">
        <v>13505</v>
      </c>
      <c r="B13506">
        <f>TEXT(13505, "[$-0E0000]yyyy-mm-dd")</f>
        <v/>
      </c>
      <c r="C13506" t="inlineStr">
        <is>
          <t>1936-11-09</t>
        </is>
      </c>
    </row>
    <row r="13507">
      <c r="A13507" s="1" t="n">
        <v>13506</v>
      </c>
      <c r="B13507">
        <f>TEXT(13506, "[$-0E0000]yyyy-mm-dd")</f>
        <v/>
      </c>
      <c r="C13507" t="inlineStr">
        <is>
          <t>1936-11-10</t>
        </is>
      </c>
    </row>
    <row r="13508">
      <c r="A13508" s="1" t="n">
        <v>13507</v>
      </c>
      <c r="B13508">
        <f>TEXT(13507, "[$-0E0000]yyyy-mm-dd")</f>
        <v/>
      </c>
      <c r="C13508" t="inlineStr">
        <is>
          <t>1936-11-11</t>
        </is>
      </c>
    </row>
    <row r="13509">
      <c r="A13509" s="1" t="n">
        <v>13508</v>
      </c>
      <c r="B13509">
        <f>TEXT(13508, "[$-0E0000]yyyy-mm-dd")</f>
        <v/>
      </c>
      <c r="C13509" t="inlineStr">
        <is>
          <t>1936-11-12</t>
        </is>
      </c>
    </row>
    <row r="13510">
      <c r="A13510" s="1" t="n">
        <v>13509</v>
      </c>
      <c r="B13510">
        <f>TEXT(13509, "[$-0E0000]yyyy-mm-dd")</f>
        <v/>
      </c>
      <c r="C13510" t="inlineStr">
        <is>
          <t>1936-11-13</t>
        </is>
      </c>
    </row>
    <row r="13511">
      <c r="A13511" s="1" t="n">
        <v>13510</v>
      </c>
      <c r="B13511">
        <f>TEXT(13510, "[$-0E0000]yyyy-mm-dd")</f>
        <v/>
      </c>
      <c r="C13511" t="inlineStr">
        <is>
          <t>1936-11-14</t>
        </is>
      </c>
    </row>
    <row r="13512">
      <c r="A13512" s="1" t="n">
        <v>13511</v>
      </c>
      <c r="B13512">
        <f>TEXT(13511, "[$-0E0000]yyyy-mm-dd")</f>
        <v/>
      </c>
      <c r="C13512" t="inlineStr">
        <is>
          <t>1936-11-15</t>
        </is>
      </c>
    </row>
    <row r="13513">
      <c r="A13513" s="1" t="n">
        <v>13512</v>
      </c>
      <c r="B13513">
        <f>TEXT(13512, "[$-0E0000]yyyy-mm-dd")</f>
        <v/>
      </c>
      <c r="C13513" t="inlineStr">
        <is>
          <t>1936-11-16</t>
        </is>
      </c>
    </row>
    <row r="13514">
      <c r="A13514" s="1" t="n">
        <v>13513</v>
      </c>
      <c r="B13514">
        <f>TEXT(13513, "[$-0E0000]yyyy-mm-dd")</f>
        <v/>
      </c>
      <c r="C13514" t="inlineStr">
        <is>
          <t>1936-11-17</t>
        </is>
      </c>
    </row>
    <row r="13515">
      <c r="A13515" s="1" t="n">
        <v>13514</v>
      </c>
      <c r="B13515">
        <f>TEXT(13514, "[$-0E0000]yyyy-mm-dd")</f>
        <v/>
      </c>
      <c r="C13515" t="inlineStr">
        <is>
          <t>1936-11-18</t>
        </is>
      </c>
    </row>
    <row r="13516">
      <c r="A13516" s="1" t="n">
        <v>13515</v>
      </c>
      <c r="B13516">
        <f>TEXT(13515, "[$-0E0000]yyyy-mm-dd")</f>
        <v/>
      </c>
      <c r="C13516" t="inlineStr">
        <is>
          <t>1936-11-19</t>
        </is>
      </c>
    </row>
    <row r="13517">
      <c r="A13517" s="1" t="n">
        <v>13516</v>
      </c>
      <c r="B13517">
        <f>TEXT(13516, "[$-0E0000]yyyy-mm-dd")</f>
        <v/>
      </c>
      <c r="C13517" t="inlineStr">
        <is>
          <t>1936-11-20</t>
        </is>
      </c>
    </row>
    <row r="13518">
      <c r="A13518" s="1" t="n">
        <v>13517</v>
      </c>
      <c r="B13518">
        <f>TEXT(13517, "[$-0E0000]yyyy-mm-dd")</f>
        <v/>
      </c>
      <c r="C13518" t="inlineStr">
        <is>
          <t>1936-11-21</t>
        </is>
      </c>
    </row>
    <row r="13519">
      <c r="A13519" s="1" t="n">
        <v>13518</v>
      </c>
      <c r="B13519">
        <f>TEXT(13518, "[$-0E0000]yyyy-mm-dd")</f>
        <v/>
      </c>
      <c r="C13519" t="inlineStr">
        <is>
          <t>1936-11-22</t>
        </is>
      </c>
    </row>
    <row r="13520">
      <c r="A13520" s="1" t="n">
        <v>13519</v>
      </c>
      <c r="B13520">
        <f>TEXT(13519, "[$-0E0000]yyyy-mm-dd")</f>
        <v/>
      </c>
      <c r="C13520" t="inlineStr">
        <is>
          <t>1936-11-23</t>
        </is>
      </c>
    </row>
    <row r="13521">
      <c r="A13521" s="1" t="n">
        <v>13520</v>
      </c>
      <c r="B13521">
        <f>TEXT(13520, "[$-0E0000]yyyy-mm-dd")</f>
        <v/>
      </c>
      <c r="C13521" t="inlineStr">
        <is>
          <t>1936-11-24</t>
        </is>
      </c>
    </row>
    <row r="13522">
      <c r="A13522" s="1" t="n">
        <v>13521</v>
      </c>
      <c r="B13522">
        <f>TEXT(13521, "[$-0E0000]yyyy-mm-dd")</f>
        <v/>
      </c>
      <c r="C13522" t="inlineStr">
        <is>
          <t>1936-11-25</t>
        </is>
      </c>
    </row>
    <row r="13523">
      <c r="A13523" s="1" t="n">
        <v>13522</v>
      </c>
      <c r="B13523">
        <f>TEXT(13522, "[$-0E0000]yyyy-mm-dd")</f>
        <v/>
      </c>
      <c r="C13523" t="inlineStr">
        <is>
          <t>1936-11-26</t>
        </is>
      </c>
    </row>
    <row r="13524">
      <c r="A13524" s="1" t="n">
        <v>13523</v>
      </c>
      <c r="B13524">
        <f>TEXT(13523, "[$-0E0000]yyyy-mm-dd")</f>
        <v/>
      </c>
      <c r="C13524" t="inlineStr">
        <is>
          <t>1936-11-27</t>
        </is>
      </c>
    </row>
    <row r="13525">
      <c r="A13525" s="1" t="n">
        <v>13524</v>
      </c>
      <c r="B13525">
        <f>TEXT(13524, "[$-0E0000]yyyy-mm-dd")</f>
        <v/>
      </c>
      <c r="C13525" t="inlineStr">
        <is>
          <t>1936-11-28</t>
        </is>
      </c>
    </row>
    <row r="13526">
      <c r="A13526" s="1" t="n">
        <v>13525</v>
      </c>
      <c r="B13526">
        <f>TEXT(13525, "[$-0E0000]yyyy-mm-dd")</f>
        <v/>
      </c>
      <c r="C13526" t="inlineStr">
        <is>
          <t>1936-11-29</t>
        </is>
      </c>
    </row>
    <row r="13527">
      <c r="A13527" s="1" t="n">
        <v>13526</v>
      </c>
      <c r="B13527">
        <f>TEXT(13526, "[$-0E0000]yyyy-mm-dd")</f>
        <v/>
      </c>
      <c r="C13527" t="inlineStr">
        <is>
          <t>1936-11-30</t>
        </is>
      </c>
    </row>
    <row r="13528">
      <c r="A13528" s="1" t="n">
        <v>13527</v>
      </c>
      <c r="B13528">
        <f>TEXT(13527, "[$-0E0000]yyyy-mm-dd")</f>
        <v/>
      </c>
      <c r="C13528" t="inlineStr">
        <is>
          <t>1936-12-01</t>
        </is>
      </c>
    </row>
    <row r="13529">
      <c r="A13529" s="1" t="n">
        <v>13528</v>
      </c>
      <c r="B13529">
        <f>TEXT(13528, "[$-0E0000]yyyy-mm-dd")</f>
        <v/>
      </c>
      <c r="C13529" t="inlineStr">
        <is>
          <t>1936-12-02</t>
        </is>
      </c>
    </row>
    <row r="13530">
      <c r="A13530" s="1" t="n">
        <v>13529</v>
      </c>
      <c r="B13530">
        <f>TEXT(13529, "[$-0E0000]yyyy-mm-dd")</f>
        <v/>
      </c>
      <c r="C13530" t="inlineStr">
        <is>
          <t>1936-12-03</t>
        </is>
      </c>
    </row>
    <row r="13531">
      <c r="A13531" s="1" t="n">
        <v>13530</v>
      </c>
      <c r="B13531">
        <f>TEXT(13530, "[$-0E0000]yyyy-mm-dd")</f>
        <v/>
      </c>
      <c r="C13531" t="inlineStr">
        <is>
          <t>1936-12-04</t>
        </is>
      </c>
    </row>
    <row r="13532">
      <c r="A13532" s="1" t="n">
        <v>13531</v>
      </c>
      <c r="B13532">
        <f>TEXT(13531, "[$-0E0000]yyyy-mm-dd")</f>
        <v/>
      </c>
      <c r="C13532" t="inlineStr">
        <is>
          <t>1936-12-05</t>
        </is>
      </c>
    </row>
    <row r="13533">
      <c r="A13533" s="1" t="n">
        <v>13532</v>
      </c>
      <c r="B13533">
        <f>TEXT(13532, "[$-0E0000]yyyy-mm-dd")</f>
        <v/>
      </c>
      <c r="C13533" t="inlineStr">
        <is>
          <t>1936-12-06</t>
        </is>
      </c>
    </row>
    <row r="13534">
      <c r="A13534" s="1" t="n">
        <v>13533</v>
      </c>
      <c r="B13534">
        <f>TEXT(13533, "[$-0E0000]yyyy-mm-dd")</f>
        <v/>
      </c>
      <c r="C13534" t="inlineStr">
        <is>
          <t>1936-12-07</t>
        </is>
      </c>
    </row>
    <row r="13535">
      <c r="A13535" s="1" t="n">
        <v>13534</v>
      </c>
      <c r="B13535">
        <f>TEXT(13534, "[$-0E0000]yyyy-mm-dd")</f>
        <v/>
      </c>
      <c r="C13535" t="inlineStr">
        <is>
          <t>1936-12-08</t>
        </is>
      </c>
    </row>
    <row r="13536">
      <c r="A13536" s="1" t="n">
        <v>13535</v>
      </c>
      <c r="B13536">
        <f>TEXT(13535, "[$-0E0000]yyyy-mm-dd")</f>
        <v/>
      </c>
      <c r="C13536" t="inlineStr">
        <is>
          <t>1936-12-09</t>
        </is>
      </c>
    </row>
    <row r="13537">
      <c r="A13537" s="1" t="n">
        <v>13536</v>
      </c>
      <c r="B13537">
        <f>TEXT(13536, "[$-0E0000]yyyy-mm-dd")</f>
        <v/>
      </c>
      <c r="C13537" t="inlineStr">
        <is>
          <t>1936-12-10</t>
        </is>
      </c>
    </row>
    <row r="13538">
      <c r="A13538" s="1" t="n">
        <v>13537</v>
      </c>
      <c r="B13538">
        <f>TEXT(13537, "[$-0E0000]yyyy-mm-dd")</f>
        <v/>
      </c>
      <c r="C13538" t="inlineStr">
        <is>
          <t>1936-12-11</t>
        </is>
      </c>
    </row>
    <row r="13539">
      <c r="A13539" s="1" t="n">
        <v>13538</v>
      </c>
      <c r="B13539">
        <f>TEXT(13538, "[$-0E0000]yyyy-mm-dd")</f>
        <v/>
      </c>
      <c r="C13539" t="inlineStr">
        <is>
          <t>1936-12-12</t>
        </is>
      </c>
    </row>
    <row r="13540">
      <c r="A13540" s="1" t="n">
        <v>13539</v>
      </c>
      <c r="B13540">
        <f>TEXT(13539, "[$-0E0000]yyyy-mm-dd")</f>
        <v/>
      </c>
      <c r="C13540" t="inlineStr">
        <is>
          <t>1936-12-13</t>
        </is>
      </c>
    </row>
    <row r="13541">
      <c r="A13541" s="1" t="n">
        <v>13540</v>
      </c>
      <c r="B13541">
        <f>TEXT(13540, "[$-0E0000]yyyy-mm-dd")</f>
        <v/>
      </c>
      <c r="C13541" t="inlineStr">
        <is>
          <t>1936-12-14</t>
        </is>
      </c>
    </row>
    <row r="13542">
      <c r="A13542" s="1" t="n">
        <v>13541</v>
      </c>
      <c r="B13542">
        <f>TEXT(13541, "[$-0E0000]yyyy-mm-dd")</f>
        <v/>
      </c>
      <c r="C13542" t="inlineStr">
        <is>
          <t>1936-12-15</t>
        </is>
      </c>
    </row>
    <row r="13543">
      <c r="A13543" s="1" t="n">
        <v>13542</v>
      </c>
      <c r="B13543">
        <f>TEXT(13542, "[$-0E0000]yyyy-mm-dd")</f>
        <v/>
      </c>
      <c r="C13543" t="inlineStr">
        <is>
          <t>1936-12-16</t>
        </is>
      </c>
    </row>
    <row r="13544">
      <c r="A13544" s="1" t="n">
        <v>13543</v>
      </c>
      <c r="B13544">
        <f>TEXT(13543, "[$-0E0000]yyyy-mm-dd")</f>
        <v/>
      </c>
      <c r="C13544" t="inlineStr">
        <is>
          <t>1936-12-17</t>
        </is>
      </c>
    </row>
    <row r="13545">
      <c r="A13545" s="1" t="n">
        <v>13544</v>
      </c>
      <c r="B13545">
        <f>TEXT(13544, "[$-0E0000]yyyy-mm-dd")</f>
        <v/>
      </c>
      <c r="C13545" t="inlineStr">
        <is>
          <t>1936-12-18</t>
        </is>
      </c>
    </row>
    <row r="13546">
      <c r="A13546" s="1" t="n">
        <v>13545</v>
      </c>
      <c r="B13546">
        <f>TEXT(13545, "[$-0E0000]yyyy-mm-dd")</f>
        <v/>
      </c>
      <c r="C13546" t="inlineStr">
        <is>
          <t>1936-12-19</t>
        </is>
      </c>
    </row>
    <row r="13547">
      <c r="A13547" s="1" t="n">
        <v>13546</v>
      </c>
      <c r="B13547">
        <f>TEXT(13546, "[$-0E0000]yyyy-mm-dd")</f>
        <v/>
      </c>
      <c r="C13547" t="inlineStr">
        <is>
          <t>1936-12-20</t>
        </is>
      </c>
    </row>
    <row r="13548">
      <c r="A13548" s="1" t="n">
        <v>13547</v>
      </c>
      <c r="B13548">
        <f>TEXT(13547, "[$-0E0000]yyyy-mm-dd")</f>
        <v/>
      </c>
      <c r="C13548" t="inlineStr">
        <is>
          <t>1936-12-21</t>
        </is>
      </c>
    </row>
    <row r="13549">
      <c r="A13549" s="1" t="n">
        <v>13548</v>
      </c>
      <c r="B13549">
        <f>TEXT(13548, "[$-0E0000]yyyy-mm-dd")</f>
        <v/>
      </c>
      <c r="C13549" t="inlineStr">
        <is>
          <t>1936-12-22</t>
        </is>
      </c>
    </row>
    <row r="13550">
      <c r="A13550" s="1" t="n">
        <v>13549</v>
      </c>
      <c r="B13550">
        <f>TEXT(13549, "[$-0E0000]yyyy-mm-dd")</f>
        <v/>
      </c>
      <c r="C13550" t="inlineStr">
        <is>
          <t>1936-12-23</t>
        </is>
      </c>
    </row>
    <row r="13551">
      <c r="A13551" s="1" t="n">
        <v>13550</v>
      </c>
      <c r="B13551">
        <f>TEXT(13550, "[$-0E0000]yyyy-mm-dd")</f>
        <v/>
      </c>
      <c r="C13551" t="inlineStr">
        <is>
          <t>1936-12-24</t>
        </is>
      </c>
    </row>
    <row r="13552">
      <c r="A13552" s="1" t="n">
        <v>13551</v>
      </c>
      <c r="B13552">
        <f>TEXT(13551, "[$-0E0000]yyyy-mm-dd")</f>
        <v/>
      </c>
      <c r="C13552" t="inlineStr">
        <is>
          <t>1936-12-25</t>
        </is>
      </c>
    </row>
    <row r="13553">
      <c r="A13553" s="1" t="n">
        <v>13552</v>
      </c>
      <c r="B13553">
        <f>TEXT(13552, "[$-0E0000]yyyy-mm-dd")</f>
        <v/>
      </c>
      <c r="C13553" t="inlineStr">
        <is>
          <t>1936-12-26</t>
        </is>
      </c>
    </row>
    <row r="13554">
      <c r="A13554" s="1" t="n">
        <v>13553</v>
      </c>
      <c r="B13554">
        <f>TEXT(13553, "[$-0E0000]yyyy-mm-dd")</f>
        <v/>
      </c>
      <c r="C13554" t="inlineStr">
        <is>
          <t>1936-12-27</t>
        </is>
      </c>
    </row>
    <row r="13555">
      <c r="A13555" s="1" t="n">
        <v>13554</v>
      </c>
      <c r="B13555">
        <f>TEXT(13554, "[$-0E0000]yyyy-mm-dd")</f>
        <v/>
      </c>
      <c r="C13555" t="inlineStr">
        <is>
          <t>1936-12-28</t>
        </is>
      </c>
    </row>
    <row r="13556">
      <c r="A13556" s="1" t="n">
        <v>13555</v>
      </c>
      <c r="B13556">
        <f>TEXT(13555, "[$-0E0000]yyyy-mm-dd")</f>
        <v/>
      </c>
      <c r="C13556" t="inlineStr">
        <is>
          <t>1936-12-29</t>
        </is>
      </c>
    </row>
    <row r="13557">
      <c r="A13557" s="1" t="n">
        <v>13556</v>
      </c>
      <c r="B13557">
        <f>TEXT(13556, "[$-0E0000]yyyy-mm-dd")</f>
        <v/>
      </c>
      <c r="C13557" t="inlineStr">
        <is>
          <t>1937-01-01</t>
        </is>
      </c>
    </row>
    <row r="13558">
      <c r="A13558" s="1" t="n">
        <v>13557</v>
      </c>
      <c r="B13558">
        <f>TEXT(13557, "[$-0E0000]yyyy-mm-dd")</f>
        <v/>
      </c>
      <c r="C13558" t="inlineStr">
        <is>
          <t>1937-01-02</t>
        </is>
      </c>
    </row>
    <row r="13559">
      <c r="A13559" s="1" t="n">
        <v>13558</v>
      </c>
      <c r="B13559">
        <f>TEXT(13558, "[$-0E0000]yyyy-mm-dd")</f>
        <v/>
      </c>
      <c r="C13559" t="inlineStr">
        <is>
          <t>1937-01-03</t>
        </is>
      </c>
    </row>
    <row r="13560">
      <c r="A13560" s="1" t="n">
        <v>13559</v>
      </c>
      <c r="B13560">
        <f>TEXT(13559, "[$-0E0000]yyyy-mm-dd")</f>
        <v/>
      </c>
      <c r="C13560" t="inlineStr">
        <is>
          <t>1937-01-04</t>
        </is>
      </c>
    </row>
    <row r="13561">
      <c r="A13561" s="1" t="n">
        <v>13560</v>
      </c>
      <c r="B13561">
        <f>TEXT(13560, "[$-0E0000]yyyy-mm-dd")</f>
        <v/>
      </c>
      <c r="C13561" t="inlineStr">
        <is>
          <t>1937-01-05</t>
        </is>
      </c>
    </row>
    <row r="13562">
      <c r="A13562" s="1" t="n">
        <v>13561</v>
      </c>
      <c r="B13562">
        <f>TEXT(13561, "[$-0E0000]yyyy-mm-dd")</f>
        <v/>
      </c>
      <c r="C13562" t="inlineStr">
        <is>
          <t>1937-01-06</t>
        </is>
      </c>
    </row>
    <row r="13563">
      <c r="A13563" s="1" t="n">
        <v>13562</v>
      </c>
      <c r="B13563">
        <f>TEXT(13562, "[$-0E0000]yyyy-mm-dd")</f>
        <v/>
      </c>
      <c r="C13563" t="inlineStr">
        <is>
          <t>1937-01-07</t>
        </is>
      </c>
    </row>
    <row r="13564">
      <c r="A13564" s="1" t="n">
        <v>13563</v>
      </c>
      <c r="B13564">
        <f>TEXT(13563, "[$-0E0000]yyyy-mm-dd")</f>
        <v/>
      </c>
      <c r="C13564" t="inlineStr">
        <is>
          <t>1937-01-08</t>
        </is>
      </c>
    </row>
    <row r="13565">
      <c r="A13565" s="1" t="n">
        <v>13564</v>
      </c>
      <c r="B13565">
        <f>TEXT(13564, "[$-0E0000]yyyy-mm-dd")</f>
        <v/>
      </c>
      <c r="C13565" t="inlineStr">
        <is>
          <t>1937-01-09</t>
        </is>
      </c>
    </row>
    <row r="13566">
      <c r="A13566" s="1" t="n">
        <v>13565</v>
      </c>
      <c r="B13566">
        <f>TEXT(13565, "[$-0E0000]yyyy-mm-dd")</f>
        <v/>
      </c>
      <c r="C13566" t="inlineStr">
        <is>
          <t>1937-01-10</t>
        </is>
      </c>
    </row>
    <row r="13567">
      <c r="A13567" s="1" t="n">
        <v>13566</v>
      </c>
      <c r="B13567">
        <f>TEXT(13566, "[$-0E0000]yyyy-mm-dd")</f>
        <v/>
      </c>
      <c r="C13567" t="inlineStr">
        <is>
          <t>1937-01-11</t>
        </is>
      </c>
    </row>
    <row r="13568">
      <c r="A13568" s="1" t="n">
        <v>13567</v>
      </c>
      <c r="B13568">
        <f>TEXT(13567, "[$-0E0000]yyyy-mm-dd")</f>
        <v/>
      </c>
      <c r="C13568" t="inlineStr">
        <is>
          <t>1937-01-12</t>
        </is>
      </c>
    </row>
    <row r="13569">
      <c r="A13569" s="1" t="n">
        <v>13568</v>
      </c>
      <c r="B13569">
        <f>TEXT(13568, "[$-0E0000]yyyy-mm-dd")</f>
        <v/>
      </c>
      <c r="C13569" t="inlineStr">
        <is>
          <t>1937-01-13</t>
        </is>
      </c>
    </row>
    <row r="13570">
      <c r="A13570" s="1" t="n">
        <v>13569</v>
      </c>
      <c r="B13570">
        <f>TEXT(13569, "[$-0E0000]yyyy-mm-dd")</f>
        <v/>
      </c>
      <c r="C13570" t="inlineStr">
        <is>
          <t>1937-01-14</t>
        </is>
      </c>
    </row>
    <row r="13571">
      <c r="A13571" s="1" t="n">
        <v>13570</v>
      </c>
      <c r="B13571">
        <f>TEXT(13570, "[$-0E0000]yyyy-mm-dd")</f>
        <v/>
      </c>
      <c r="C13571" t="inlineStr">
        <is>
          <t>1937-01-15</t>
        </is>
      </c>
    </row>
    <row r="13572">
      <c r="A13572" s="1" t="n">
        <v>13571</v>
      </c>
      <c r="B13572">
        <f>TEXT(13571, "[$-0E0000]yyyy-mm-dd")</f>
        <v/>
      </c>
      <c r="C13572" t="inlineStr">
        <is>
          <t>1937-01-16</t>
        </is>
      </c>
    </row>
    <row r="13573">
      <c r="A13573" s="1" t="n">
        <v>13572</v>
      </c>
      <c r="B13573">
        <f>TEXT(13572, "[$-0E0000]yyyy-mm-dd")</f>
        <v/>
      </c>
      <c r="C13573" t="inlineStr">
        <is>
          <t>1937-01-17</t>
        </is>
      </c>
    </row>
    <row r="13574">
      <c r="A13574" s="1" t="n">
        <v>13573</v>
      </c>
      <c r="B13574">
        <f>TEXT(13573, "[$-0E0000]yyyy-mm-dd")</f>
        <v/>
      </c>
      <c r="C13574" t="inlineStr">
        <is>
          <t>1937-01-18</t>
        </is>
      </c>
    </row>
    <row r="13575">
      <c r="A13575" s="1" t="n">
        <v>13574</v>
      </c>
      <c r="B13575">
        <f>TEXT(13574, "[$-0E0000]yyyy-mm-dd")</f>
        <v/>
      </c>
      <c r="C13575" t="inlineStr">
        <is>
          <t>1937-01-19</t>
        </is>
      </c>
    </row>
    <row r="13576">
      <c r="A13576" s="1" t="n">
        <v>13575</v>
      </c>
      <c r="B13576">
        <f>TEXT(13575, "[$-0E0000]yyyy-mm-dd")</f>
        <v/>
      </c>
      <c r="C13576" t="inlineStr">
        <is>
          <t>1937-01-20</t>
        </is>
      </c>
    </row>
    <row r="13577">
      <c r="A13577" s="1" t="n">
        <v>13576</v>
      </c>
      <c r="B13577">
        <f>TEXT(13576, "[$-0E0000]yyyy-mm-dd")</f>
        <v/>
      </c>
      <c r="C13577" t="inlineStr">
        <is>
          <t>1937-01-21</t>
        </is>
      </c>
    </row>
    <row r="13578">
      <c r="A13578" s="1" t="n">
        <v>13577</v>
      </c>
      <c r="B13578">
        <f>TEXT(13577, "[$-0E0000]yyyy-mm-dd")</f>
        <v/>
      </c>
      <c r="C13578" t="inlineStr">
        <is>
          <t>1937-01-22</t>
        </is>
      </c>
    </row>
    <row r="13579">
      <c r="A13579" s="1" t="n">
        <v>13578</v>
      </c>
      <c r="B13579">
        <f>TEXT(13578, "[$-0E0000]yyyy-mm-dd")</f>
        <v/>
      </c>
      <c r="C13579" t="inlineStr">
        <is>
          <t>1937-01-23</t>
        </is>
      </c>
    </row>
    <row r="13580">
      <c r="A13580" s="1" t="n">
        <v>13579</v>
      </c>
      <c r="B13580">
        <f>TEXT(13579, "[$-0E0000]yyyy-mm-dd")</f>
        <v/>
      </c>
      <c r="C13580" t="inlineStr">
        <is>
          <t>1937-01-24</t>
        </is>
      </c>
    </row>
    <row r="13581">
      <c r="A13581" s="1" t="n">
        <v>13580</v>
      </c>
      <c r="B13581">
        <f>TEXT(13580, "[$-0E0000]yyyy-mm-dd")</f>
        <v/>
      </c>
      <c r="C13581" t="inlineStr">
        <is>
          <t>1937-01-25</t>
        </is>
      </c>
    </row>
    <row r="13582">
      <c r="A13582" s="1" t="n">
        <v>13581</v>
      </c>
      <c r="B13582">
        <f>TEXT(13581, "[$-0E0000]yyyy-mm-dd")</f>
        <v/>
      </c>
      <c r="C13582" t="inlineStr">
        <is>
          <t>1937-01-26</t>
        </is>
      </c>
    </row>
    <row r="13583">
      <c r="A13583" s="1" t="n">
        <v>13582</v>
      </c>
      <c r="B13583">
        <f>TEXT(13582, "[$-0E0000]yyyy-mm-dd")</f>
        <v/>
      </c>
      <c r="C13583" t="inlineStr">
        <is>
          <t>1937-01-27</t>
        </is>
      </c>
    </row>
    <row r="13584">
      <c r="A13584" s="1" t="n">
        <v>13583</v>
      </c>
      <c r="B13584">
        <f>TEXT(13583, "[$-0E0000]yyyy-mm-dd")</f>
        <v/>
      </c>
      <c r="C13584" t="inlineStr">
        <is>
          <t>1937-01-28</t>
        </is>
      </c>
    </row>
    <row r="13585">
      <c r="A13585" s="1" t="n">
        <v>13584</v>
      </c>
      <c r="B13585">
        <f>TEXT(13584, "[$-0E0000]yyyy-mm-dd")</f>
        <v/>
      </c>
      <c r="C13585" t="inlineStr">
        <is>
          <t>1937-01-29</t>
        </is>
      </c>
    </row>
    <row r="13586">
      <c r="A13586" s="1" t="n">
        <v>13585</v>
      </c>
      <c r="B13586">
        <f>TEXT(13585, "[$-0E0000]yyyy-mm-dd")</f>
        <v/>
      </c>
      <c r="C13586" t="inlineStr">
        <is>
          <t>1937-01-30</t>
        </is>
      </c>
    </row>
    <row r="13587">
      <c r="A13587" s="1" t="n">
        <v>13586</v>
      </c>
      <c r="B13587">
        <f>TEXT(13586, "[$-0E0000]yyyy-mm-dd")</f>
        <v/>
      </c>
      <c r="C13587" t="inlineStr">
        <is>
          <t>1937-02-01</t>
        </is>
      </c>
    </row>
    <row r="13588">
      <c r="A13588" s="1" t="n">
        <v>13587</v>
      </c>
      <c r="B13588">
        <f>TEXT(13587, "[$-0E0000]yyyy-mm-dd")</f>
        <v/>
      </c>
      <c r="C13588" t="inlineStr">
        <is>
          <t>1937-02-02</t>
        </is>
      </c>
    </row>
    <row r="13589">
      <c r="A13589" s="1" t="n">
        <v>13588</v>
      </c>
      <c r="B13589">
        <f>TEXT(13588, "[$-0E0000]yyyy-mm-dd")</f>
        <v/>
      </c>
      <c r="C13589" t="inlineStr">
        <is>
          <t>1937-02-03</t>
        </is>
      </c>
    </row>
    <row r="13590">
      <c r="A13590" s="1" t="n">
        <v>13589</v>
      </c>
      <c r="B13590">
        <f>TEXT(13589, "[$-0E0000]yyyy-mm-dd")</f>
        <v/>
      </c>
      <c r="C13590" t="inlineStr">
        <is>
          <t>1937-02-04</t>
        </is>
      </c>
    </row>
    <row r="13591">
      <c r="A13591" s="1" t="n">
        <v>13590</v>
      </c>
      <c r="B13591">
        <f>TEXT(13590, "[$-0E0000]yyyy-mm-dd")</f>
        <v/>
      </c>
      <c r="C13591" t="inlineStr">
        <is>
          <t>1937-02-05</t>
        </is>
      </c>
    </row>
    <row r="13592">
      <c r="A13592" s="1" t="n">
        <v>13591</v>
      </c>
      <c r="B13592">
        <f>TEXT(13591, "[$-0E0000]yyyy-mm-dd")</f>
        <v/>
      </c>
      <c r="C13592" t="inlineStr">
        <is>
          <t>1937-02-06</t>
        </is>
      </c>
    </row>
    <row r="13593">
      <c r="A13593" s="1" t="n">
        <v>13592</v>
      </c>
      <c r="B13593">
        <f>TEXT(13592, "[$-0E0000]yyyy-mm-dd")</f>
        <v/>
      </c>
      <c r="C13593" t="inlineStr">
        <is>
          <t>1937-02-07</t>
        </is>
      </c>
    </row>
    <row r="13594">
      <c r="A13594" s="1" t="n">
        <v>13593</v>
      </c>
      <c r="B13594">
        <f>TEXT(13593, "[$-0E0000]yyyy-mm-dd")</f>
        <v/>
      </c>
      <c r="C13594" t="inlineStr">
        <is>
          <t>1937-02-08</t>
        </is>
      </c>
    </row>
    <row r="13595">
      <c r="A13595" s="1" t="n">
        <v>13594</v>
      </c>
      <c r="B13595">
        <f>TEXT(13594, "[$-0E0000]yyyy-mm-dd")</f>
        <v/>
      </c>
      <c r="C13595" t="inlineStr">
        <is>
          <t>1937-02-09</t>
        </is>
      </c>
    </row>
    <row r="13596">
      <c r="A13596" s="1" t="n">
        <v>13595</v>
      </c>
      <c r="B13596">
        <f>TEXT(13595, "[$-0E0000]yyyy-mm-dd")</f>
        <v/>
      </c>
      <c r="C13596" t="inlineStr">
        <is>
          <t>1937-02-10</t>
        </is>
      </c>
    </row>
    <row r="13597">
      <c r="A13597" s="1" t="n">
        <v>13596</v>
      </c>
      <c r="B13597">
        <f>TEXT(13596, "[$-0E0000]yyyy-mm-dd")</f>
        <v/>
      </c>
      <c r="C13597" t="inlineStr">
        <is>
          <t>1937-02-11</t>
        </is>
      </c>
    </row>
    <row r="13598">
      <c r="A13598" s="1" t="n">
        <v>13597</v>
      </c>
      <c r="B13598">
        <f>TEXT(13597, "[$-0E0000]yyyy-mm-dd")</f>
        <v/>
      </c>
      <c r="C13598" t="inlineStr">
        <is>
          <t>1937-02-12</t>
        </is>
      </c>
    </row>
    <row r="13599">
      <c r="A13599" s="1" t="n">
        <v>13598</v>
      </c>
      <c r="B13599">
        <f>TEXT(13598, "[$-0E0000]yyyy-mm-dd")</f>
        <v/>
      </c>
      <c r="C13599" t="inlineStr">
        <is>
          <t>1937-02-13</t>
        </is>
      </c>
    </row>
    <row r="13600">
      <c r="A13600" s="1" t="n">
        <v>13599</v>
      </c>
      <c r="B13600">
        <f>TEXT(13599, "[$-0E0000]yyyy-mm-dd")</f>
        <v/>
      </c>
      <c r="C13600" t="inlineStr">
        <is>
          <t>1937-02-14</t>
        </is>
      </c>
    </row>
    <row r="13601">
      <c r="A13601" s="1" t="n">
        <v>13600</v>
      </c>
      <c r="B13601">
        <f>TEXT(13600, "[$-0E0000]yyyy-mm-dd")</f>
        <v/>
      </c>
      <c r="C13601" t="inlineStr">
        <is>
          <t>1937-02-15</t>
        </is>
      </c>
    </row>
    <row r="13602">
      <c r="A13602" s="1" t="n">
        <v>13601</v>
      </c>
      <c r="B13602">
        <f>TEXT(13601, "[$-0E0000]yyyy-mm-dd")</f>
        <v/>
      </c>
      <c r="C13602" t="inlineStr">
        <is>
          <t>1937-02-16</t>
        </is>
      </c>
    </row>
    <row r="13603">
      <c r="A13603" s="1" t="n">
        <v>13602</v>
      </c>
      <c r="B13603">
        <f>TEXT(13602, "[$-0E0000]yyyy-mm-dd")</f>
        <v/>
      </c>
      <c r="C13603" t="inlineStr">
        <is>
          <t>1937-02-17</t>
        </is>
      </c>
    </row>
    <row r="13604">
      <c r="A13604" s="1" t="n">
        <v>13603</v>
      </c>
      <c r="B13604">
        <f>TEXT(13603, "[$-0E0000]yyyy-mm-dd")</f>
        <v/>
      </c>
      <c r="C13604" t="inlineStr">
        <is>
          <t>1937-02-18</t>
        </is>
      </c>
    </row>
    <row r="13605">
      <c r="A13605" s="1" t="n">
        <v>13604</v>
      </c>
      <c r="B13605">
        <f>TEXT(13604, "[$-0E0000]yyyy-mm-dd")</f>
        <v/>
      </c>
      <c r="C13605" t="inlineStr">
        <is>
          <t>1937-02-19</t>
        </is>
      </c>
    </row>
    <row r="13606">
      <c r="A13606" s="1" t="n">
        <v>13605</v>
      </c>
      <c r="B13606">
        <f>TEXT(13605, "[$-0E0000]yyyy-mm-dd")</f>
        <v/>
      </c>
      <c r="C13606" t="inlineStr">
        <is>
          <t>1937-02-20</t>
        </is>
      </c>
    </row>
    <row r="13607">
      <c r="A13607" s="1" t="n">
        <v>13606</v>
      </c>
      <c r="B13607">
        <f>TEXT(13606, "[$-0E0000]yyyy-mm-dd")</f>
        <v/>
      </c>
      <c r="C13607" t="inlineStr">
        <is>
          <t>1937-02-21</t>
        </is>
      </c>
    </row>
    <row r="13608">
      <c r="A13608" s="1" t="n">
        <v>13607</v>
      </c>
      <c r="B13608">
        <f>TEXT(13607, "[$-0E0000]yyyy-mm-dd")</f>
        <v/>
      </c>
      <c r="C13608" t="inlineStr">
        <is>
          <t>1937-02-22</t>
        </is>
      </c>
    </row>
    <row r="13609">
      <c r="A13609" s="1" t="n">
        <v>13608</v>
      </c>
      <c r="B13609">
        <f>TEXT(13608, "[$-0E0000]yyyy-mm-dd")</f>
        <v/>
      </c>
      <c r="C13609" t="inlineStr">
        <is>
          <t>1937-02-23</t>
        </is>
      </c>
    </row>
    <row r="13610">
      <c r="A13610" s="1" t="n">
        <v>13609</v>
      </c>
      <c r="B13610">
        <f>TEXT(13609, "[$-0E0000]yyyy-mm-dd")</f>
        <v/>
      </c>
      <c r="C13610" t="inlineStr">
        <is>
          <t>1937-02-24</t>
        </is>
      </c>
    </row>
    <row r="13611">
      <c r="A13611" s="1" t="n">
        <v>13610</v>
      </c>
      <c r="B13611">
        <f>TEXT(13610, "[$-0E0000]yyyy-mm-dd")</f>
        <v/>
      </c>
      <c r="C13611" t="inlineStr">
        <is>
          <t>1937-02-25</t>
        </is>
      </c>
    </row>
    <row r="13612">
      <c r="A13612" s="1" t="n">
        <v>13611</v>
      </c>
      <c r="B13612">
        <f>TEXT(13611, "[$-0E0000]yyyy-mm-dd")</f>
        <v/>
      </c>
      <c r="C13612" t="inlineStr">
        <is>
          <t>1937-02-26</t>
        </is>
      </c>
    </row>
    <row r="13613">
      <c r="A13613" s="1" t="n">
        <v>13612</v>
      </c>
      <c r="B13613">
        <f>TEXT(13612, "[$-0E0000]yyyy-mm-dd")</f>
        <v/>
      </c>
      <c r="C13613" t="inlineStr">
        <is>
          <t>1937-02-27</t>
        </is>
      </c>
    </row>
    <row r="13614">
      <c r="A13614" s="1" t="n">
        <v>13613</v>
      </c>
      <c r="B13614">
        <f>TEXT(13613, "[$-0E0000]yyyy-mm-dd")</f>
        <v/>
      </c>
      <c r="C13614" t="inlineStr">
        <is>
          <t>1937-02-28</t>
        </is>
      </c>
    </row>
    <row r="13615">
      <c r="A13615" s="1" t="n">
        <v>13614</v>
      </c>
      <c r="B13615">
        <f>TEXT(13614, "[$-0E0000]yyyy-mm-dd")</f>
        <v/>
      </c>
      <c r="C13615" t="inlineStr">
        <is>
          <t>1937-02-29</t>
        </is>
      </c>
    </row>
    <row r="13616">
      <c r="A13616" s="1" t="n">
        <v>13615</v>
      </c>
      <c r="B13616">
        <f>TEXT(13615, "[$-0E0000]yyyy-mm-dd")</f>
        <v/>
      </c>
      <c r="C13616" t="inlineStr">
        <is>
          <t>1937-03-01</t>
        </is>
      </c>
    </row>
    <row r="13617">
      <c r="A13617" s="1" t="n">
        <v>13616</v>
      </c>
      <c r="B13617">
        <f>TEXT(13616, "[$-0E0000]yyyy-mm-dd")</f>
        <v/>
      </c>
      <c r="C13617" t="inlineStr">
        <is>
          <t>1937-03-02</t>
        </is>
      </c>
    </row>
    <row r="13618">
      <c r="A13618" s="1" t="n">
        <v>13617</v>
      </c>
      <c r="B13618">
        <f>TEXT(13617, "[$-0E0000]yyyy-mm-dd")</f>
        <v/>
      </c>
      <c r="C13618" t="inlineStr">
        <is>
          <t>1937-03-03</t>
        </is>
      </c>
    </row>
    <row r="13619">
      <c r="A13619" s="1" t="n">
        <v>13618</v>
      </c>
      <c r="B13619">
        <f>TEXT(13618, "[$-0E0000]yyyy-mm-dd")</f>
        <v/>
      </c>
      <c r="C13619" t="inlineStr">
        <is>
          <t>1937-03-04</t>
        </is>
      </c>
    </row>
    <row r="13620">
      <c r="A13620" s="1" t="n">
        <v>13619</v>
      </c>
      <c r="B13620">
        <f>TEXT(13619, "[$-0E0000]yyyy-mm-dd")</f>
        <v/>
      </c>
      <c r="C13620" t="inlineStr">
        <is>
          <t>1937-03-05</t>
        </is>
      </c>
    </row>
    <row r="13621">
      <c r="A13621" s="1" t="n">
        <v>13620</v>
      </c>
      <c r="B13621">
        <f>TEXT(13620, "[$-0E0000]yyyy-mm-dd")</f>
        <v/>
      </c>
      <c r="C13621" t="inlineStr">
        <is>
          <t>1937-03-06</t>
        </is>
      </c>
    </row>
    <row r="13622">
      <c r="A13622" s="1" t="n">
        <v>13621</v>
      </c>
      <c r="B13622">
        <f>TEXT(13621, "[$-0E0000]yyyy-mm-dd")</f>
        <v/>
      </c>
      <c r="C13622" t="inlineStr">
        <is>
          <t>1937-03-07</t>
        </is>
      </c>
    </row>
    <row r="13623">
      <c r="A13623" s="1" t="n">
        <v>13622</v>
      </c>
      <c r="B13623">
        <f>TEXT(13622, "[$-0E0000]yyyy-mm-dd")</f>
        <v/>
      </c>
      <c r="C13623" t="inlineStr">
        <is>
          <t>1937-03-08</t>
        </is>
      </c>
    </row>
    <row r="13624">
      <c r="A13624" s="1" t="n">
        <v>13623</v>
      </c>
      <c r="B13624">
        <f>TEXT(13623, "[$-0E0000]yyyy-mm-dd")</f>
        <v/>
      </c>
      <c r="C13624" t="inlineStr">
        <is>
          <t>1937-03-09</t>
        </is>
      </c>
    </row>
    <row r="13625">
      <c r="A13625" s="1" t="n">
        <v>13624</v>
      </c>
      <c r="B13625">
        <f>TEXT(13624, "[$-0E0000]yyyy-mm-dd")</f>
        <v/>
      </c>
      <c r="C13625" t="inlineStr">
        <is>
          <t>1937-03-10</t>
        </is>
      </c>
    </row>
    <row r="13626">
      <c r="A13626" s="1" t="n">
        <v>13625</v>
      </c>
      <c r="B13626">
        <f>TEXT(13625, "[$-0E0000]yyyy-mm-dd")</f>
        <v/>
      </c>
      <c r="C13626" t="inlineStr">
        <is>
          <t>1937-03-11</t>
        </is>
      </c>
    </row>
    <row r="13627">
      <c r="A13627" s="1" t="n">
        <v>13626</v>
      </c>
      <c r="B13627">
        <f>TEXT(13626, "[$-0E0000]yyyy-mm-dd")</f>
        <v/>
      </c>
      <c r="C13627" t="inlineStr">
        <is>
          <t>1937-03-12</t>
        </is>
      </c>
    </row>
    <row r="13628">
      <c r="A13628" s="1" t="n">
        <v>13627</v>
      </c>
      <c r="B13628">
        <f>TEXT(13627, "[$-0E0000]yyyy-mm-dd")</f>
        <v/>
      </c>
      <c r="C13628" t="inlineStr">
        <is>
          <t>1937-03-13</t>
        </is>
      </c>
    </row>
    <row r="13629">
      <c r="A13629" s="1" t="n">
        <v>13628</v>
      </c>
      <c r="B13629">
        <f>TEXT(13628, "[$-0E0000]yyyy-mm-dd")</f>
        <v/>
      </c>
      <c r="C13629" t="inlineStr">
        <is>
          <t>1937-03-14</t>
        </is>
      </c>
    </row>
    <row r="13630">
      <c r="A13630" s="1" t="n">
        <v>13629</v>
      </c>
      <c r="B13630">
        <f>TEXT(13629, "[$-0E0000]yyyy-mm-dd")</f>
        <v/>
      </c>
      <c r="C13630" t="inlineStr">
        <is>
          <t>1937-03-15</t>
        </is>
      </c>
    </row>
    <row r="13631">
      <c r="A13631" s="1" t="n">
        <v>13630</v>
      </c>
      <c r="B13631">
        <f>TEXT(13630, "[$-0E0000]yyyy-mm-dd")</f>
        <v/>
      </c>
      <c r="C13631" t="inlineStr">
        <is>
          <t>1937-03-16</t>
        </is>
      </c>
    </row>
    <row r="13632">
      <c r="A13632" s="1" t="n">
        <v>13631</v>
      </c>
      <c r="B13632">
        <f>TEXT(13631, "[$-0E0000]yyyy-mm-dd")</f>
        <v/>
      </c>
      <c r="C13632" t="inlineStr">
        <is>
          <t>1937-03-17</t>
        </is>
      </c>
    </row>
    <row r="13633">
      <c r="A13633" s="1" t="n">
        <v>13632</v>
      </c>
      <c r="B13633">
        <f>TEXT(13632, "[$-0E0000]yyyy-mm-dd")</f>
        <v/>
      </c>
      <c r="C13633" t="inlineStr">
        <is>
          <t>1937-03-18</t>
        </is>
      </c>
    </row>
    <row r="13634">
      <c r="A13634" s="1" t="n">
        <v>13633</v>
      </c>
      <c r="B13634">
        <f>TEXT(13633, "[$-0E0000]yyyy-mm-dd")</f>
        <v/>
      </c>
      <c r="C13634" t="inlineStr">
        <is>
          <t>1937-03-19</t>
        </is>
      </c>
    </row>
    <row r="13635">
      <c r="A13635" s="1" t="n">
        <v>13634</v>
      </c>
      <c r="B13635">
        <f>TEXT(13634, "[$-0E0000]yyyy-mm-dd")</f>
        <v/>
      </c>
      <c r="C13635" t="inlineStr">
        <is>
          <t>1937-03-20</t>
        </is>
      </c>
    </row>
    <row r="13636">
      <c r="A13636" s="1" t="n">
        <v>13635</v>
      </c>
      <c r="B13636">
        <f>TEXT(13635, "[$-0E0000]yyyy-mm-dd")</f>
        <v/>
      </c>
      <c r="C13636" t="inlineStr">
        <is>
          <t>1937-03-21</t>
        </is>
      </c>
    </row>
    <row r="13637">
      <c r="A13637" s="1" t="n">
        <v>13636</v>
      </c>
      <c r="B13637">
        <f>TEXT(13636, "[$-0E0000]yyyy-mm-dd")</f>
        <v/>
      </c>
      <c r="C13637" t="inlineStr">
        <is>
          <t>1937-03-22</t>
        </is>
      </c>
    </row>
    <row r="13638">
      <c r="A13638" s="1" t="n">
        <v>13637</v>
      </c>
      <c r="B13638">
        <f>TEXT(13637, "[$-0E0000]yyyy-mm-dd")</f>
        <v/>
      </c>
      <c r="C13638" t="inlineStr">
        <is>
          <t>1937-03-23</t>
        </is>
      </c>
    </row>
    <row r="13639">
      <c r="A13639" s="1" t="n">
        <v>13638</v>
      </c>
      <c r="B13639">
        <f>TEXT(13638, "[$-0E0000]yyyy-mm-dd")</f>
        <v/>
      </c>
      <c r="C13639" t="inlineStr">
        <is>
          <t>1937-03-24</t>
        </is>
      </c>
    </row>
    <row r="13640">
      <c r="A13640" s="1" t="n">
        <v>13639</v>
      </c>
      <c r="B13640">
        <f>TEXT(13639, "[$-0E0000]yyyy-mm-dd")</f>
        <v/>
      </c>
      <c r="C13640" t="inlineStr">
        <is>
          <t>1937-03-25</t>
        </is>
      </c>
    </row>
    <row r="13641">
      <c r="A13641" s="1" t="n">
        <v>13640</v>
      </c>
      <c r="B13641">
        <f>TEXT(13640, "[$-0E0000]yyyy-mm-dd")</f>
        <v/>
      </c>
      <c r="C13641" t="inlineStr">
        <is>
          <t>1937-03-26</t>
        </is>
      </c>
    </row>
    <row r="13642">
      <c r="A13642" s="1" t="n">
        <v>13641</v>
      </c>
      <c r="B13642">
        <f>TEXT(13641, "[$-0E0000]yyyy-mm-dd")</f>
        <v/>
      </c>
      <c r="C13642" t="inlineStr">
        <is>
          <t>1937-03-27</t>
        </is>
      </c>
    </row>
    <row r="13643">
      <c r="A13643" s="1" t="n">
        <v>13642</v>
      </c>
      <c r="B13643">
        <f>TEXT(13642, "[$-0E0000]yyyy-mm-dd")</f>
        <v/>
      </c>
      <c r="C13643" t="inlineStr">
        <is>
          <t>1937-03-28</t>
        </is>
      </c>
    </row>
    <row r="13644">
      <c r="A13644" s="1" t="n">
        <v>13643</v>
      </c>
      <c r="B13644">
        <f>TEXT(13643, "[$-0E0000]yyyy-mm-dd")</f>
        <v/>
      </c>
      <c r="C13644" t="inlineStr">
        <is>
          <t>1937-03-29</t>
        </is>
      </c>
    </row>
    <row r="13645">
      <c r="A13645" s="1" t="n">
        <v>13644</v>
      </c>
      <c r="B13645">
        <f>TEXT(13644, "[$-0E0000]yyyy-mm-dd")</f>
        <v/>
      </c>
      <c r="C13645" t="inlineStr">
        <is>
          <t>1937-04-01</t>
        </is>
      </c>
    </row>
    <row r="13646">
      <c r="A13646" s="1" t="n">
        <v>13645</v>
      </c>
      <c r="B13646">
        <f>TEXT(13645, "[$-0E0000]yyyy-mm-dd")</f>
        <v/>
      </c>
      <c r="C13646" t="inlineStr">
        <is>
          <t>1937-04-02</t>
        </is>
      </c>
    </row>
    <row r="13647">
      <c r="A13647" s="1" t="n">
        <v>13646</v>
      </c>
      <c r="B13647">
        <f>TEXT(13646, "[$-0E0000]yyyy-mm-dd")</f>
        <v/>
      </c>
      <c r="C13647" t="inlineStr">
        <is>
          <t>1937-04-03</t>
        </is>
      </c>
    </row>
    <row r="13648">
      <c r="A13648" s="1" t="n">
        <v>13647</v>
      </c>
      <c r="B13648">
        <f>TEXT(13647, "[$-0E0000]yyyy-mm-dd")</f>
        <v/>
      </c>
      <c r="C13648" t="inlineStr">
        <is>
          <t>1937-04-04</t>
        </is>
      </c>
    </row>
    <row r="13649">
      <c r="A13649" s="1" t="n">
        <v>13648</v>
      </c>
      <c r="B13649">
        <f>TEXT(13648, "[$-0E0000]yyyy-mm-dd")</f>
        <v/>
      </c>
      <c r="C13649" t="inlineStr">
        <is>
          <t>1937-04-05</t>
        </is>
      </c>
    </row>
    <row r="13650">
      <c r="A13650" s="1" t="n">
        <v>13649</v>
      </c>
      <c r="B13650">
        <f>TEXT(13649, "[$-0E0000]yyyy-mm-dd")</f>
        <v/>
      </c>
      <c r="C13650" t="inlineStr">
        <is>
          <t>1937-04-06</t>
        </is>
      </c>
    </row>
    <row r="13651">
      <c r="A13651" s="1" t="n">
        <v>13650</v>
      </c>
      <c r="B13651">
        <f>TEXT(13650, "[$-0E0000]yyyy-mm-dd")</f>
        <v/>
      </c>
      <c r="C13651" t="inlineStr">
        <is>
          <t>1937-04-07</t>
        </is>
      </c>
    </row>
    <row r="13652">
      <c r="A13652" s="1" t="n">
        <v>13651</v>
      </c>
      <c r="B13652">
        <f>TEXT(13651, "[$-0E0000]yyyy-mm-dd")</f>
        <v/>
      </c>
      <c r="C13652" t="inlineStr">
        <is>
          <t>1937-04-08</t>
        </is>
      </c>
    </row>
    <row r="13653">
      <c r="A13653" s="1" t="n">
        <v>13652</v>
      </c>
      <c r="B13653">
        <f>TEXT(13652, "[$-0E0000]yyyy-mm-dd")</f>
        <v/>
      </c>
      <c r="C13653" t="inlineStr">
        <is>
          <t>1937-04-09</t>
        </is>
      </c>
    </row>
    <row r="13654">
      <c r="A13654" s="1" t="n">
        <v>13653</v>
      </c>
      <c r="B13654">
        <f>TEXT(13653, "[$-0E0000]yyyy-mm-dd")</f>
        <v/>
      </c>
      <c r="C13654" t="inlineStr">
        <is>
          <t>1937-04-10</t>
        </is>
      </c>
    </row>
    <row r="13655">
      <c r="A13655" s="1" t="n">
        <v>13654</v>
      </c>
      <c r="B13655">
        <f>TEXT(13654, "[$-0E0000]yyyy-mm-dd")</f>
        <v/>
      </c>
      <c r="C13655" t="inlineStr">
        <is>
          <t>1937-04-11</t>
        </is>
      </c>
    </row>
    <row r="13656">
      <c r="A13656" s="1" t="n">
        <v>13655</v>
      </c>
      <c r="B13656">
        <f>TEXT(13655, "[$-0E0000]yyyy-mm-dd")</f>
        <v/>
      </c>
      <c r="C13656" t="inlineStr">
        <is>
          <t>1937-04-12</t>
        </is>
      </c>
    </row>
    <row r="13657">
      <c r="A13657" s="1" t="n">
        <v>13656</v>
      </c>
      <c r="B13657">
        <f>TEXT(13656, "[$-0E0000]yyyy-mm-dd")</f>
        <v/>
      </c>
      <c r="C13657" t="inlineStr">
        <is>
          <t>1937-04-13</t>
        </is>
      </c>
    </row>
    <row r="13658">
      <c r="A13658" s="1" t="n">
        <v>13657</v>
      </c>
      <c r="B13658">
        <f>TEXT(13657, "[$-0E0000]yyyy-mm-dd")</f>
        <v/>
      </c>
      <c r="C13658" t="inlineStr">
        <is>
          <t>1937-04-14</t>
        </is>
      </c>
    </row>
    <row r="13659">
      <c r="A13659" s="1" t="n">
        <v>13658</v>
      </c>
      <c r="B13659">
        <f>TEXT(13658, "[$-0E0000]yyyy-mm-dd")</f>
        <v/>
      </c>
      <c r="C13659" t="inlineStr">
        <is>
          <t>1937-04-15</t>
        </is>
      </c>
    </row>
    <row r="13660">
      <c r="A13660" s="1" t="n">
        <v>13659</v>
      </c>
      <c r="B13660">
        <f>TEXT(13659, "[$-0E0000]yyyy-mm-dd")</f>
        <v/>
      </c>
      <c r="C13660" t="inlineStr">
        <is>
          <t>1937-04-16</t>
        </is>
      </c>
    </row>
    <row r="13661">
      <c r="A13661" s="1" t="n">
        <v>13660</v>
      </c>
      <c r="B13661">
        <f>TEXT(13660, "[$-0E0000]yyyy-mm-dd")</f>
        <v/>
      </c>
      <c r="C13661" t="inlineStr">
        <is>
          <t>1937-04-17</t>
        </is>
      </c>
    </row>
    <row r="13662">
      <c r="A13662" s="1" t="n">
        <v>13661</v>
      </c>
      <c r="B13662">
        <f>TEXT(13661, "[$-0E0000]yyyy-mm-dd")</f>
        <v/>
      </c>
      <c r="C13662" t="inlineStr">
        <is>
          <t>1937-04-18</t>
        </is>
      </c>
    </row>
    <row r="13663">
      <c r="A13663" s="1" t="n">
        <v>13662</v>
      </c>
      <c r="B13663">
        <f>TEXT(13662, "[$-0E0000]yyyy-mm-dd")</f>
        <v/>
      </c>
      <c r="C13663" t="inlineStr">
        <is>
          <t>1937-04-19</t>
        </is>
      </c>
    </row>
    <row r="13664">
      <c r="A13664" s="1" t="n">
        <v>13663</v>
      </c>
      <c r="B13664">
        <f>TEXT(13663, "[$-0E0000]yyyy-mm-dd")</f>
        <v/>
      </c>
      <c r="C13664" t="inlineStr">
        <is>
          <t>1937-04-20</t>
        </is>
      </c>
    </row>
    <row r="13665">
      <c r="A13665" s="1" t="n">
        <v>13664</v>
      </c>
      <c r="B13665">
        <f>TEXT(13664, "[$-0E0000]yyyy-mm-dd")</f>
        <v/>
      </c>
      <c r="C13665" t="inlineStr">
        <is>
          <t>1937-04-21</t>
        </is>
      </c>
    </row>
    <row r="13666">
      <c r="A13666" s="1" t="n">
        <v>13665</v>
      </c>
      <c r="B13666">
        <f>TEXT(13665, "[$-0E0000]yyyy-mm-dd")</f>
        <v/>
      </c>
      <c r="C13666" t="inlineStr">
        <is>
          <t>1937-04-22</t>
        </is>
      </c>
    </row>
    <row r="13667">
      <c r="A13667" s="1" t="n">
        <v>13666</v>
      </c>
      <c r="B13667">
        <f>TEXT(13666, "[$-0E0000]yyyy-mm-dd")</f>
        <v/>
      </c>
      <c r="C13667" t="inlineStr">
        <is>
          <t>1937-04-23</t>
        </is>
      </c>
    </row>
    <row r="13668">
      <c r="A13668" s="1" t="n">
        <v>13667</v>
      </c>
      <c r="B13668">
        <f>TEXT(13667, "[$-0E0000]yyyy-mm-dd")</f>
        <v/>
      </c>
      <c r="C13668" t="inlineStr">
        <is>
          <t>1937-04-24</t>
        </is>
      </c>
    </row>
    <row r="13669">
      <c r="A13669" s="1" t="n">
        <v>13668</v>
      </c>
      <c r="B13669">
        <f>TEXT(13668, "[$-0E0000]yyyy-mm-dd")</f>
        <v/>
      </c>
      <c r="C13669" t="inlineStr">
        <is>
          <t>1937-04-25</t>
        </is>
      </c>
    </row>
    <row r="13670">
      <c r="A13670" s="1" t="n">
        <v>13669</v>
      </c>
      <c r="B13670">
        <f>TEXT(13669, "[$-0E0000]yyyy-mm-dd")</f>
        <v/>
      </c>
      <c r="C13670" t="inlineStr">
        <is>
          <t>1937-04-26</t>
        </is>
      </c>
    </row>
    <row r="13671">
      <c r="A13671" s="1" t="n">
        <v>13670</v>
      </c>
      <c r="B13671">
        <f>TEXT(13670, "[$-0E0000]yyyy-mm-dd")</f>
        <v/>
      </c>
      <c r="C13671" t="inlineStr">
        <is>
          <t>1937-04-27</t>
        </is>
      </c>
    </row>
    <row r="13672">
      <c r="A13672" s="1" t="n">
        <v>13671</v>
      </c>
      <c r="B13672">
        <f>TEXT(13671, "[$-0E0000]yyyy-mm-dd")</f>
        <v/>
      </c>
      <c r="C13672" t="inlineStr">
        <is>
          <t>1937-04-28</t>
        </is>
      </c>
    </row>
    <row r="13673">
      <c r="A13673" s="1" t="n">
        <v>13672</v>
      </c>
      <c r="B13673">
        <f>TEXT(13672, "[$-0E0000]yyyy-mm-dd")</f>
        <v/>
      </c>
      <c r="C13673" t="inlineStr">
        <is>
          <t>1937-04-29</t>
        </is>
      </c>
    </row>
    <row r="13674">
      <c r="A13674" s="1" t="n">
        <v>13673</v>
      </c>
      <c r="B13674">
        <f>TEXT(13673, "[$-0E0000]yyyy-mm-dd")</f>
        <v/>
      </c>
      <c r="C13674" t="inlineStr">
        <is>
          <t>1937-04-30</t>
        </is>
      </c>
    </row>
    <row r="13675">
      <c r="A13675" s="1" t="n">
        <v>13674</v>
      </c>
      <c r="B13675">
        <f>TEXT(13674, "[$-0E0000]yyyy-mm-dd")</f>
        <v/>
      </c>
      <c r="C13675" t="inlineStr">
        <is>
          <t>1937-05-01</t>
        </is>
      </c>
    </row>
    <row r="13676">
      <c r="A13676" s="1" t="n">
        <v>13675</v>
      </c>
      <c r="B13676">
        <f>TEXT(13675, "[$-0E0000]yyyy-mm-dd")</f>
        <v/>
      </c>
      <c r="C13676" t="inlineStr">
        <is>
          <t>1937-05-02</t>
        </is>
      </c>
    </row>
    <row r="13677">
      <c r="A13677" s="1" t="n">
        <v>13676</v>
      </c>
      <c r="B13677">
        <f>TEXT(13676, "[$-0E0000]yyyy-mm-dd")</f>
        <v/>
      </c>
      <c r="C13677" t="inlineStr">
        <is>
          <t>1937-05-03</t>
        </is>
      </c>
    </row>
    <row r="13678">
      <c r="A13678" s="1" t="n">
        <v>13677</v>
      </c>
      <c r="B13678">
        <f>TEXT(13677, "[$-0E0000]yyyy-mm-dd")</f>
        <v/>
      </c>
      <c r="C13678" t="inlineStr">
        <is>
          <t>1937-05-04</t>
        </is>
      </c>
    </row>
    <row r="13679">
      <c r="A13679" s="1" t="n">
        <v>13678</v>
      </c>
      <c r="B13679">
        <f>TEXT(13678, "[$-0E0000]yyyy-mm-dd")</f>
        <v/>
      </c>
      <c r="C13679" t="inlineStr">
        <is>
          <t>1937-05-05</t>
        </is>
      </c>
    </row>
    <row r="13680">
      <c r="A13680" s="1" t="n">
        <v>13679</v>
      </c>
      <c r="B13680">
        <f>TEXT(13679, "[$-0E0000]yyyy-mm-dd")</f>
        <v/>
      </c>
      <c r="C13680" t="inlineStr">
        <is>
          <t>1937-05-06</t>
        </is>
      </c>
    </row>
    <row r="13681">
      <c r="A13681" s="1" t="n">
        <v>13680</v>
      </c>
      <c r="B13681">
        <f>TEXT(13680, "[$-0E0000]yyyy-mm-dd")</f>
        <v/>
      </c>
      <c r="C13681" t="inlineStr">
        <is>
          <t>1937-05-07</t>
        </is>
      </c>
    </row>
    <row r="13682">
      <c r="A13682" s="1" t="n">
        <v>13681</v>
      </c>
      <c r="B13682">
        <f>TEXT(13681, "[$-0E0000]yyyy-mm-dd")</f>
        <v/>
      </c>
      <c r="C13682" t="inlineStr">
        <is>
          <t>1937-05-08</t>
        </is>
      </c>
    </row>
    <row r="13683">
      <c r="A13683" s="1" t="n">
        <v>13682</v>
      </c>
      <c r="B13683">
        <f>TEXT(13682, "[$-0E0000]yyyy-mm-dd")</f>
        <v/>
      </c>
      <c r="C13683" t="inlineStr">
        <is>
          <t>1937-05-09</t>
        </is>
      </c>
    </row>
    <row r="13684">
      <c r="A13684" s="1" t="n">
        <v>13683</v>
      </c>
      <c r="B13684">
        <f>TEXT(13683, "[$-0E0000]yyyy-mm-dd")</f>
        <v/>
      </c>
      <c r="C13684" t="inlineStr">
        <is>
          <t>1937-05-10</t>
        </is>
      </c>
    </row>
    <row r="13685">
      <c r="A13685" s="1" t="n">
        <v>13684</v>
      </c>
      <c r="B13685">
        <f>TEXT(13684, "[$-0E0000]yyyy-mm-dd")</f>
        <v/>
      </c>
      <c r="C13685" t="inlineStr">
        <is>
          <t>1937-05-11</t>
        </is>
      </c>
    </row>
    <row r="13686">
      <c r="A13686" s="1" t="n">
        <v>13685</v>
      </c>
      <c r="B13686">
        <f>TEXT(13685, "[$-0E0000]yyyy-mm-dd")</f>
        <v/>
      </c>
      <c r="C13686" t="inlineStr">
        <is>
          <t>1937-05-12</t>
        </is>
      </c>
    </row>
    <row r="13687">
      <c r="A13687" s="1" t="n">
        <v>13686</v>
      </c>
      <c r="B13687">
        <f>TEXT(13686, "[$-0E0000]yyyy-mm-dd")</f>
        <v/>
      </c>
      <c r="C13687" t="inlineStr">
        <is>
          <t>1937-05-13</t>
        </is>
      </c>
    </row>
    <row r="13688">
      <c r="A13688" s="1" t="n">
        <v>13687</v>
      </c>
      <c r="B13688">
        <f>TEXT(13687, "[$-0E0000]yyyy-mm-dd")</f>
        <v/>
      </c>
      <c r="C13688" t="inlineStr">
        <is>
          <t>1937-05-14</t>
        </is>
      </c>
    </row>
    <row r="13689">
      <c r="A13689" s="1" t="n">
        <v>13688</v>
      </c>
      <c r="B13689">
        <f>TEXT(13688, "[$-0E0000]yyyy-mm-dd")</f>
        <v/>
      </c>
      <c r="C13689" t="inlineStr">
        <is>
          <t>1937-05-15</t>
        </is>
      </c>
    </row>
    <row r="13690">
      <c r="A13690" s="1" t="n">
        <v>13689</v>
      </c>
      <c r="B13690">
        <f>TEXT(13689, "[$-0E0000]yyyy-mm-dd")</f>
        <v/>
      </c>
      <c r="C13690" t="inlineStr">
        <is>
          <t>1937-05-16</t>
        </is>
      </c>
    </row>
    <row r="13691">
      <c r="A13691" s="1" t="n">
        <v>13690</v>
      </c>
      <c r="B13691">
        <f>TEXT(13690, "[$-0E0000]yyyy-mm-dd")</f>
        <v/>
      </c>
      <c r="C13691" t="inlineStr">
        <is>
          <t>1937-05-17</t>
        </is>
      </c>
    </row>
    <row r="13692">
      <c r="A13692" s="1" t="n">
        <v>13691</v>
      </c>
      <c r="B13692">
        <f>TEXT(13691, "[$-0E0000]yyyy-mm-dd")</f>
        <v/>
      </c>
      <c r="C13692" t="inlineStr">
        <is>
          <t>1937-05-18</t>
        </is>
      </c>
    </row>
    <row r="13693">
      <c r="A13693" s="1" t="n">
        <v>13692</v>
      </c>
      <c r="B13693">
        <f>TEXT(13692, "[$-0E0000]yyyy-mm-dd")</f>
        <v/>
      </c>
      <c r="C13693" t="inlineStr">
        <is>
          <t>1937-05-19</t>
        </is>
      </c>
    </row>
    <row r="13694">
      <c r="A13694" s="1" t="n">
        <v>13693</v>
      </c>
      <c r="B13694">
        <f>TEXT(13693, "[$-0E0000]yyyy-mm-dd")</f>
        <v/>
      </c>
      <c r="C13694" t="inlineStr">
        <is>
          <t>1937-05-20</t>
        </is>
      </c>
    </row>
    <row r="13695">
      <c r="A13695" s="1" t="n">
        <v>13694</v>
      </c>
      <c r="B13695">
        <f>TEXT(13694, "[$-0E0000]yyyy-mm-dd")</f>
        <v/>
      </c>
      <c r="C13695" t="inlineStr">
        <is>
          <t>1937-05-21</t>
        </is>
      </c>
    </row>
    <row r="13696">
      <c r="A13696" s="1" t="n">
        <v>13695</v>
      </c>
      <c r="B13696">
        <f>TEXT(13695, "[$-0E0000]yyyy-mm-dd")</f>
        <v/>
      </c>
      <c r="C13696" t="inlineStr">
        <is>
          <t>1937-05-22</t>
        </is>
      </c>
    </row>
    <row r="13697">
      <c r="A13697" s="1" t="n">
        <v>13696</v>
      </c>
      <c r="B13697">
        <f>TEXT(13696, "[$-0E0000]yyyy-mm-dd")</f>
        <v/>
      </c>
      <c r="C13697" t="inlineStr">
        <is>
          <t>1937-05-23</t>
        </is>
      </c>
    </row>
    <row r="13698">
      <c r="A13698" s="1" t="n">
        <v>13697</v>
      </c>
      <c r="B13698">
        <f>TEXT(13697, "[$-0E0000]yyyy-mm-dd")</f>
        <v/>
      </c>
      <c r="C13698" t="inlineStr">
        <is>
          <t>1937-05-24</t>
        </is>
      </c>
    </row>
    <row r="13699">
      <c r="A13699" s="1" t="n">
        <v>13698</v>
      </c>
      <c r="B13699">
        <f>TEXT(13698, "[$-0E0000]yyyy-mm-dd")</f>
        <v/>
      </c>
      <c r="C13699" t="inlineStr">
        <is>
          <t>1937-05-25</t>
        </is>
      </c>
    </row>
    <row r="13700">
      <c r="A13700" s="1" t="n">
        <v>13699</v>
      </c>
      <c r="B13700">
        <f>TEXT(13699, "[$-0E0000]yyyy-mm-dd")</f>
        <v/>
      </c>
      <c r="C13700" t="inlineStr">
        <is>
          <t>1937-05-26</t>
        </is>
      </c>
    </row>
    <row r="13701">
      <c r="A13701" s="1" t="n">
        <v>13700</v>
      </c>
      <c r="B13701">
        <f>TEXT(13700, "[$-0E0000]yyyy-mm-dd")</f>
        <v/>
      </c>
      <c r="C13701" t="inlineStr">
        <is>
          <t>1937-05-27</t>
        </is>
      </c>
    </row>
    <row r="13702">
      <c r="A13702" s="1" t="n">
        <v>13701</v>
      </c>
      <c r="B13702">
        <f>TEXT(13701, "[$-0E0000]yyyy-mm-dd")</f>
        <v/>
      </c>
      <c r="C13702" t="inlineStr">
        <is>
          <t>1937-05-28</t>
        </is>
      </c>
    </row>
    <row r="13703">
      <c r="A13703" s="1" t="n">
        <v>13702</v>
      </c>
      <c r="B13703">
        <f>TEXT(13702, "[$-0E0000]yyyy-mm-dd")</f>
        <v/>
      </c>
      <c r="C13703" t="inlineStr">
        <is>
          <t>1937-05-29</t>
        </is>
      </c>
    </row>
    <row r="13704">
      <c r="A13704" s="1" t="n">
        <v>13703</v>
      </c>
      <c r="B13704">
        <f>TEXT(13703, "[$-0E0000]yyyy-mm-dd")</f>
        <v/>
      </c>
      <c r="C13704" t="inlineStr">
        <is>
          <t>1937-06-01</t>
        </is>
      </c>
    </row>
    <row r="13705">
      <c r="A13705" s="1" t="n">
        <v>13704</v>
      </c>
      <c r="B13705">
        <f>TEXT(13704, "[$-0E0000]yyyy-mm-dd")</f>
        <v/>
      </c>
      <c r="C13705" t="inlineStr">
        <is>
          <t>1937-06-02</t>
        </is>
      </c>
    </row>
    <row r="13706">
      <c r="A13706" s="1" t="n">
        <v>13705</v>
      </c>
      <c r="B13706">
        <f>TEXT(13705, "[$-0E0000]yyyy-mm-dd")</f>
        <v/>
      </c>
      <c r="C13706" t="inlineStr">
        <is>
          <t>1937-06-03</t>
        </is>
      </c>
    </row>
    <row r="13707">
      <c r="A13707" s="1" t="n">
        <v>13706</v>
      </c>
      <c r="B13707">
        <f>TEXT(13706, "[$-0E0000]yyyy-mm-dd")</f>
        <v/>
      </c>
      <c r="C13707" t="inlineStr">
        <is>
          <t>1937-06-04</t>
        </is>
      </c>
    </row>
    <row r="13708">
      <c r="A13708" s="1" t="n">
        <v>13707</v>
      </c>
      <c r="B13708">
        <f>TEXT(13707, "[$-0E0000]yyyy-mm-dd")</f>
        <v/>
      </c>
      <c r="C13708" t="inlineStr">
        <is>
          <t>1937-06-05</t>
        </is>
      </c>
    </row>
    <row r="13709">
      <c r="A13709" s="1" t="n">
        <v>13708</v>
      </c>
      <c r="B13709">
        <f>TEXT(13708, "[$-0E0000]yyyy-mm-dd")</f>
        <v/>
      </c>
      <c r="C13709" t="inlineStr">
        <is>
          <t>1937-06-06</t>
        </is>
      </c>
    </row>
    <row r="13710">
      <c r="A13710" s="1" t="n">
        <v>13709</v>
      </c>
      <c r="B13710">
        <f>TEXT(13709, "[$-0E0000]yyyy-mm-dd")</f>
        <v/>
      </c>
      <c r="C13710" t="inlineStr">
        <is>
          <t>1937-06-07</t>
        </is>
      </c>
    </row>
    <row r="13711">
      <c r="A13711" s="1" t="n">
        <v>13710</v>
      </c>
      <c r="B13711">
        <f>TEXT(13710, "[$-0E0000]yyyy-mm-dd")</f>
        <v/>
      </c>
      <c r="C13711" t="inlineStr">
        <is>
          <t>1937-06-08</t>
        </is>
      </c>
    </row>
    <row r="13712">
      <c r="A13712" s="1" t="n">
        <v>13711</v>
      </c>
      <c r="B13712">
        <f>TEXT(13711, "[$-0E0000]yyyy-mm-dd")</f>
        <v/>
      </c>
      <c r="C13712" t="inlineStr">
        <is>
          <t>1937-06-09</t>
        </is>
      </c>
    </row>
    <row r="13713">
      <c r="A13713" s="1" t="n">
        <v>13712</v>
      </c>
      <c r="B13713">
        <f>TEXT(13712, "[$-0E0000]yyyy-mm-dd")</f>
        <v/>
      </c>
      <c r="C13713" t="inlineStr">
        <is>
          <t>1937-06-10</t>
        </is>
      </c>
    </row>
    <row r="13714">
      <c r="A13714" s="1" t="n">
        <v>13713</v>
      </c>
      <c r="B13714">
        <f>TEXT(13713, "[$-0E0000]yyyy-mm-dd")</f>
        <v/>
      </c>
      <c r="C13714" t="inlineStr">
        <is>
          <t>1937-06-11</t>
        </is>
      </c>
    </row>
    <row r="13715">
      <c r="A13715" s="1" t="n">
        <v>13714</v>
      </c>
      <c r="B13715">
        <f>TEXT(13714, "[$-0E0000]yyyy-mm-dd")</f>
        <v/>
      </c>
      <c r="C13715" t="inlineStr">
        <is>
          <t>1937-06-12</t>
        </is>
      </c>
    </row>
    <row r="13716">
      <c r="A13716" s="1" t="n">
        <v>13715</v>
      </c>
      <c r="B13716">
        <f>TEXT(13715, "[$-0E0000]yyyy-mm-dd")</f>
        <v/>
      </c>
      <c r="C13716" t="inlineStr">
        <is>
          <t>1937-06-13</t>
        </is>
      </c>
    </row>
    <row r="13717">
      <c r="A13717" s="1" t="n">
        <v>13716</v>
      </c>
      <c r="B13717">
        <f>TEXT(13716, "[$-0E0000]yyyy-mm-dd")</f>
        <v/>
      </c>
      <c r="C13717" t="inlineStr">
        <is>
          <t>1937-06-14</t>
        </is>
      </c>
    </row>
    <row r="13718">
      <c r="A13718" s="1" t="n">
        <v>13717</v>
      </c>
      <c r="B13718">
        <f>TEXT(13717, "[$-0E0000]yyyy-mm-dd")</f>
        <v/>
      </c>
      <c r="C13718" t="inlineStr">
        <is>
          <t>1937-06-15</t>
        </is>
      </c>
    </row>
    <row r="13719">
      <c r="A13719" s="1" t="n">
        <v>13718</v>
      </c>
      <c r="B13719">
        <f>TEXT(13718, "[$-0E0000]yyyy-mm-dd")</f>
        <v/>
      </c>
      <c r="C13719" t="inlineStr">
        <is>
          <t>1937-06-16</t>
        </is>
      </c>
    </row>
    <row r="13720">
      <c r="A13720" s="1" t="n">
        <v>13719</v>
      </c>
      <c r="B13720">
        <f>TEXT(13719, "[$-0E0000]yyyy-mm-dd")</f>
        <v/>
      </c>
      <c r="C13720" t="inlineStr">
        <is>
          <t>1937-06-17</t>
        </is>
      </c>
    </row>
    <row r="13721">
      <c r="A13721" s="1" t="n">
        <v>13720</v>
      </c>
      <c r="B13721">
        <f>TEXT(13720, "[$-0E0000]yyyy-mm-dd")</f>
        <v/>
      </c>
      <c r="C13721" t="inlineStr">
        <is>
          <t>1937-06-18</t>
        </is>
      </c>
    </row>
    <row r="13722">
      <c r="A13722" s="1" t="n">
        <v>13721</v>
      </c>
      <c r="B13722">
        <f>TEXT(13721, "[$-0E0000]yyyy-mm-dd")</f>
        <v/>
      </c>
      <c r="C13722" t="inlineStr">
        <is>
          <t>1937-06-19</t>
        </is>
      </c>
    </row>
    <row r="13723">
      <c r="A13723" s="1" t="n">
        <v>13722</v>
      </c>
      <c r="B13723">
        <f>TEXT(13722, "[$-0E0000]yyyy-mm-dd")</f>
        <v/>
      </c>
      <c r="C13723" t="inlineStr">
        <is>
          <t>1937-06-20</t>
        </is>
      </c>
    </row>
    <row r="13724">
      <c r="A13724" s="1" t="n">
        <v>13723</v>
      </c>
      <c r="B13724">
        <f>TEXT(13723, "[$-0E0000]yyyy-mm-dd")</f>
        <v/>
      </c>
      <c r="C13724" t="inlineStr">
        <is>
          <t>1937-06-21</t>
        </is>
      </c>
    </row>
    <row r="13725">
      <c r="A13725" s="1" t="n">
        <v>13724</v>
      </c>
      <c r="B13725">
        <f>TEXT(13724, "[$-0E0000]yyyy-mm-dd")</f>
        <v/>
      </c>
      <c r="C13725" t="inlineStr">
        <is>
          <t>1937-06-22</t>
        </is>
      </c>
    </row>
    <row r="13726">
      <c r="A13726" s="1" t="n">
        <v>13725</v>
      </c>
      <c r="B13726">
        <f>TEXT(13725, "[$-0E0000]yyyy-mm-dd")</f>
        <v/>
      </c>
      <c r="C13726" t="inlineStr">
        <is>
          <t>1937-06-23</t>
        </is>
      </c>
    </row>
    <row r="13727">
      <c r="A13727" s="1" t="n">
        <v>13726</v>
      </c>
      <c r="B13727">
        <f>TEXT(13726, "[$-0E0000]yyyy-mm-dd")</f>
        <v/>
      </c>
      <c r="C13727" t="inlineStr">
        <is>
          <t>1937-06-24</t>
        </is>
      </c>
    </row>
    <row r="13728">
      <c r="A13728" s="1" t="n">
        <v>13727</v>
      </c>
      <c r="B13728">
        <f>TEXT(13727, "[$-0E0000]yyyy-mm-dd")</f>
        <v/>
      </c>
      <c r="C13728" t="inlineStr">
        <is>
          <t>1937-06-25</t>
        </is>
      </c>
    </row>
    <row r="13729">
      <c r="A13729" s="1" t="n">
        <v>13728</v>
      </c>
      <c r="B13729">
        <f>TEXT(13728, "[$-0E0000]yyyy-mm-dd")</f>
        <v/>
      </c>
      <c r="C13729" t="inlineStr">
        <is>
          <t>1937-06-26</t>
        </is>
      </c>
    </row>
    <row r="13730">
      <c r="A13730" s="1" t="n">
        <v>13729</v>
      </c>
      <c r="B13730">
        <f>TEXT(13729, "[$-0E0000]yyyy-mm-dd")</f>
        <v/>
      </c>
      <c r="C13730" t="inlineStr">
        <is>
          <t>1937-06-27</t>
        </is>
      </c>
    </row>
    <row r="13731">
      <c r="A13731" s="1" t="n">
        <v>13730</v>
      </c>
      <c r="B13731">
        <f>TEXT(13730, "[$-0E0000]yyyy-mm-dd")</f>
        <v/>
      </c>
      <c r="C13731" t="inlineStr">
        <is>
          <t>1937-06-28</t>
        </is>
      </c>
    </row>
    <row r="13732">
      <c r="A13732" s="1" t="n">
        <v>13731</v>
      </c>
      <c r="B13732">
        <f>TEXT(13731, "[$-0E0000]yyyy-mm-dd")</f>
        <v/>
      </c>
      <c r="C13732" t="inlineStr">
        <is>
          <t>1937-06-29</t>
        </is>
      </c>
    </row>
    <row r="13733">
      <c r="A13733" s="1" t="n">
        <v>13732</v>
      </c>
      <c r="B13733">
        <f>TEXT(13732, "[$-0E0000]yyyy-mm-dd")</f>
        <v/>
      </c>
      <c r="C13733" t="inlineStr">
        <is>
          <t>1937-07-01</t>
        </is>
      </c>
    </row>
    <row r="13734">
      <c r="A13734" s="1" t="n">
        <v>13733</v>
      </c>
      <c r="B13734">
        <f>TEXT(13733, "[$-0E0000]yyyy-mm-dd")</f>
        <v/>
      </c>
      <c r="C13734" t="inlineStr">
        <is>
          <t>1937-07-02</t>
        </is>
      </c>
    </row>
    <row r="13735">
      <c r="A13735" s="1" t="n">
        <v>13734</v>
      </c>
      <c r="B13735">
        <f>TEXT(13734, "[$-0E0000]yyyy-mm-dd")</f>
        <v/>
      </c>
      <c r="C13735" t="inlineStr">
        <is>
          <t>1937-07-03</t>
        </is>
      </c>
    </row>
    <row r="13736">
      <c r="A13736" s="1" t="n">
        <v>13735</v>
      </c>
      <c r="B13736">
        <f>TEXT(13735, "[$-0E0000]yyyy-mm-dd")</f>
        <v/>
      </c>
      <c r="C13736" t="inlineStr">
        <is>
          <t>1937-07-04</t>
        </is>
      </c>
    </row>
    <row r="13737">
      <c r="A13737" s="1" t="n">
        <v>13736</v>
      </c>
      <c r="B13737">
        <f>TEXT(13736, "[$-0E0000]yyyy-mm-dd")</f>
        <v/>
      </c>
      <c r="C13737" t="inlineStr">
        <is>
          <t>1937-07-05</t>
        </is>
      </c>
    </row>
    <row r="13738">
      <c r="A13738" s="1" t="n">
        <v>13737</v>
      </c>
      <c r="B13738">
        <f>TEXT(13737, "[$-0E0000]yyyy-mm-dd")</f>
        <v/>
      </c>
      <c r="C13738" t="inlineStr">
        <is>
          <t>1937-07-06</t>
        </is>
      </c>
    </row>
    <row r="13739">
      <c r="A13739" s="1" t="n">
        <v>13738</v>
      </c>
      <c r="B13739">
        <f>TEXT(13738, "[$-0E0000]yyyy-mm-dd")</f>
        <v/>
      </c>
      <c r="C13739" t="inlineStr">
        <is>
          <t>1937-07-07</t>
        </is>
      </c>
    </row>
    <row r="13740">
      <c r="A13740" s="1" t="n">
        <v>13739</v>
      </c>
      <c r="B13740">
        <f>TEXT(13739, "[$-0E0000]yyyy-mm-dd")</f>
        <v/>
      </c>
      <c r="C13740" t="inlineStr">
        <is>
          <t>1937-07-08</t>
        </is>
      </c>
    </row>
    <row r="13741">
      <c r="A13741" s="1" t="n">
        <v>13740</v>
      </c>
      <c r="B13741">
        <f>TEXT(13740, "[$-0E0000]yyyy-mm-dd")</f>
        <v/>
      </c>
      <c r="C13741" t="inlineStr">
        <is>
          <t>1937-07-09</t>
        </is>
      </c>
    </row>
    <row r="13742">
      <c r="A13742" s="1" t="n">
        <v>13741</v>
      </c>
      <c r="B13742">
        <f>TEXT(13741, "[$-0E0000]yyyy-mm-dd")</f>
        <v/>
      </c>
      <c r="C13742" t="inlineStr">
        <is>
          <t>1937-07-10</t>
        </is>
      </c>
    </row>
    <row r="13743">
      <c r="A13743" s="1" t="n">
        <v>13742</v>
      </c>
      <c r="B13743">
        <f>TEXT(13742, "[$-0E0000]yyyy-mm-dd")</f>
        <v/>
      </c>
      <c r="C13743" t="inlineStr">
        <is>
          <t>1937-07-11</t>
        </is>
      </c>
    </row>
    <row r="13744">
      <c r="A13744" s="1" t="n">
        <v>13743</v>
      </c>
      <c r="B13744">
        <f>TEXT(13743, "[$-0E0000]yyyy-mm-dd")</f>
        <v/>
      </c>
      <c r="C13744" t="inlineStr">
        <is>
          <t>1937-07-12</t>
        </is>
      </c>
    </row>
    <row r="13745">
      <c r="A13745" s="1" t="n">
        <v>13744</v>
      </c>
      <c r="B13745">
        <f>TEXT(13744, "[$-0E0000]yyyy-mm-dd")</f>
        <v/>
      </c>
      <c r="C13745" t="inlineStr">
        <is>
          <t>1937-07-13</t>
        </is>
      </c>
    </row>
    <row r="13746">
      <c r="A13746" s="1" t="n">
        <v>13745</v>
      </c>
      <c r="B13746">
        <f>TEXT(13745, "[$-0E0000]yyyy-mm-dd")</f>
        <v/>
      </c>
      <c r="C13746" t="inlineStr">
        <is>
          <t>1937-07-14</t>
        </is>
      </c>
    </row>
    <row r="13747">
      <c r="A13747" s="1" t="n">
        <v>13746</v>
      </c>
      <c r="B13747">
        <f>TEXT(13746, "[$-0E0000]yyyy-mm-dd")</f>
        <v/>
      </c>
      <c r="C13747" t="inlineStr">
        <is>
          <t>1937-07-15</t>
        </is>
      </c>
    </row>
    <row r="13748">
      <c r="A13748" s="1" t="n">
        <v>13747</v>
      </c>
      <c r="B13748">
        <f>TEXT(13747, "[$-0E0000]yyyy-mm-dd")</f>
        <v/>
      </c>
      <c r="C13748" t="inlineStr">
        <is>
          <t>1937-07-16</t>
        </is>
      </c>
    </row>
    <row r="13749">
      <c r="A13749" s="1" t="n">
        <v>13748</v>
      </c>
      <c r="B13749">
        <f>TEXT(13748, "[$-0E0000]yyyy-mm-dd")</f>
        <v/>
      </c>
      <c r="C13749" t="inlineStr">
        <is>
          <t>1937-07-17</t>
        </is>
      </c>
    </row>
    <row r="13750">
      <c r="A13750" s="1" t="n">
        <v>13749</v>
      </c>
      <c r="B13750">
        <f>TEXT(13749, "[$-0E0000]yyyy-mm-dd")</f>
        <v/>
      </c>
      <c r="C13750" t="inlineStr">
        <is>
          <t>1937-07-18</t>
        </is>
      </c>
    </row>
    <row r="13751">
      <c r="A13751" s="1" t="n">
        <v>13750</v>
      </c>
      <c r="B13751">
        <f>TEXT(13750, "[$-0E0000]yyyy-mm-dd")</f>
        <v/>
      </c>
      <c r="C13751" t="inlineStr">
        <is>
          <t>1937-07-19</t>
        </is>
      </c>
    </row>
    <row r="13752">
      <c r="A13752" s="1" t="n">
        <v>13751</v>
      </c>
      <c r="B13752">
        <f>TEXT(13751, "[$-0E0000]yyyy-mm-dd")</f>
        <v/>
      </c>
      <c r="C13752" t="inlineStr">
        <is>
          <t>1937-07-20</t>
        </is>
      </c>
    </row>
    <row r="13753">
      <c r="A13753" s="1" t="n">
        <v>13752</v>
      </c>
      <c r="B13753">
        <f>TEXT(13752, "[$-0E0000]yyyy-mm-dd")</f>
        <v/>
      </c>
      <c r="C13753" t="inlineStr">
        <is>
          <t>1937-07-21</t>
        </is>
      </c>
    </row>
    <row r="13754">
      <c r="A13754" s="1" t="n">
        <v>13753</v>
      </c>
      <c r="B13754">
        <f>TEXT(13753, "[$-0E0000]yyyy-mm-dd")</f>
        <v/>
      </c>
      <c r="C13754" t="inlineStr">
        <is>
          <t>1937-07-22</t>
        </is>
      </c>
    </row>
    <row r="13755">
      <c r="A13755" s="1" t="n">
        <v>13754</v>
      </c>
      <c r="B13755">
        <f>TEXT(13754, "[$-0E0000]yyyy-mm-dd")</f>
        <v/>
      </c>
      <c r="C13755" t="inlineStr">
        <is>
          <t>1937-07-23</t>
        </is>
      </c>
    </row>
    <row r="13756">
      <c r="A13756" s="1" t="n">
        <v>13755</v>
      </c>
      <c r="B13756">
        <f>TEXT(13755, "[$-0E0000]yyyy-mm-dd")</f>
        <v/>
      </c>
      <c r="C13756" t="inlineStr">
        <is>
          <t>1937-07-24</t>
        </is>
      </c>
    </row>
    <row r="13757">
      <c r="A13757" s="1" t="n">
        <v>13756</v>
      </c>
      <c r="B13757">
        <f>TEXT(13756, "[$-0E0000]yyyy-mm-dd")</f>
        <v/>
      </c>
      <c r="C13757" t="inlineStr">
        <is>
          <t>1937-07-25</t>
        </is>
      </c>
    </row>
    <row r="13758">
      <c r="A13758" s="1" t="n">
        <v>13757</v>
      </c>
      <c r="B13758">
        <f>TEXT(13757, "[$-0E0000]yyyy-mm-dd")</f>
        <v/>
      </c>
      <c r="C13758" t="inlineStr">
        <is>
          <t>1937-07-26</t>
        </is>
      </c>
    </row>
    <row r="13759">
      <c r="A13759" s="1" t="n">
        <v>13758</v>
      </c>
      <c r="B13759">
        <f>TEXT(13758, "[$-0E0000]yyyy-mm-dd")</f>
        <v/>
      </c>
      <c r="C13759" t="inlineStr">
        <is>
          <t>1937-07-27</t>
        </is>
      </c>
    </row>
    <row r="13760">
      <c r="A13760" s="1" t="n">
        <v>13759</v>
      </c>
      <c r="B13760">
        <f>TEXT(13759, "[$-0E0000]yyyy-mm-dd")</f>
        <v/>
      </c>
      <c r="C13760" t="inlineStr">
        <is>
          <t>1937-07-28</t>
        </is>
      </c>
    </row>
    <row r="13761">
      <c r="A13761" s="1" t="n">
        <v>13760</v>
      </c>
      <c r="B13761">
        <f>TEXT(13760, "[$-0E0000]yyyy-mm-dd")</f>
        <v/>
      </c>
      <c r="C13761" t="inlineStr">
        <is>
          <t>1937-07-29</t>
        </is>
      </c>
    </row>
    <row r="13762">
      <c r="A13762" s="1" t="n">
        <v>13761</v>
      </c>
      <c r="B13762">
        <f>TEXT(13761, "[$-0E0000]yyyy-mm-dd")</f>
        <v/>
      </c>
      <c r="C13762" t="inlineStr">
        <is>
          <t>1937-07-30</t>
        </is>
      </c>
    </row>
    <row r="13763">
      <c r="A13763" s="1" t="n">
        <v>13762</v>
      </c>
      <c r="B13763">
        <f>TEXT(13762, "[$-0E0000]yyyy-mm-dd")</f>
        <v/>
      </c>
      <c r="C13763" t="inlineStr">
        <is>
          <t>1937-08-01</t>
        </is>
      </c>
    </row>
    <row r="13764">
      <c r="A13764" s="1" t="n">
        <v>13763</v>
      </c>
      <c r="B13764">
        <f>TEXT(13763, "[$-0E0000]yyyy-mm-dd")</f>
        <v/>
      </c>
      <c r="C13764" t="inlineStr">
        <is>
          <t>1937-08-02</t>
        </is>
      </c>
    </row>
    <row r="13765">
      <c r="A13765" s="1" t="n">
        <v>13764</v>
      </c>
      <c r="B13765">
        <f>TEXT(13764, "[$-0E0000]yyyy-mm-dd")</f>
        <v/>
      </c>
      <c r="C13765" t="inlineStr">
        <is>
          <t>1937-08-03</t>
        </is>
      </c>
    </row>
    <row r="13766">
      <c r="A13766" s="1" t="n">
        <v>13765</v>
      </c>
      <c r="B13766">
        <f>TEXT(13765, "[$-0E0000]yyyy-mm-dd")</f>
        <v/>
      </c>
      <c r="C13766" t="inlineStr">
        <is>
          <t>1937-08-04</t>
        </is>
      </c>
    </row>
    <row r="13767">
      <c r="A13767" s="1" t="n">
        <v>13766</v>
      </c>
      <c r="B13767">
        <f>TEXT(13766, "[$-0E0000]yyyy-mm-dd")</f>
        <v/>
      </c>
      <c r="C13767" t="inlineStr">
        <is>
          <t>1937-08-05</t>
        </is>
      </c>
    </row>
    <row r="13768">
      <c r="A13768" s="1" t="n">
        <v>13767</v>
      </c>
      <c r="B13768">
        <f>TEXT(13767, "[$-0E0000]yyyy-mm-dd")</f>
        <v/>
      </c>
      <c r="C13768" t="inlineStr">
        <is>
          <t>1937-08-06</t>
        </is>
      </c>
    </row>
    <row r="13769">
      <c r="A13769" s="1" t="n">
        <v>13768</v>
      </c>
      <c r="B13769">
        <f>TEXT(13768, "[$-0E0000]yyyy-mm-dd")</f>
        <v/>
      </c>
      <c r="C13769" t="inlineStr">
        <is>
          <t>1937-08-07</t>
        </is>
      </c>
    </row>
    <row r="13770">
      <c r="A13770" s="1" t="n">
        <v>13769</v>
      </c>
      <c r="B13770">
        <f>TEXT(13769, "[$-0E0000]yyyy-mm-dd")</f>
        <v/>
      </c>
      <c r="C13770" t="inlineStr">
        <is>
          <t>1937-08-08</t>
        </is>
      </c>
    </row>
    <row r="13771">
      <c r="A13771" s="1" t="n">
        <v>13770</v>
      </c>
      <c r="B13771">
        <f>TEXT(13770, "[$-0E0000]yyyy-mm-dd")</f>
        <v/>
      </c>
      <c r="C13771" t="inlineStr">
        <is>
          <t>1937-08-09</t>
        </is>
      </c>
    </row>
    <row r="13772">
      <c r="A13772" s="1" t="n">
        <v>13771</v>
      </c>
      <c r="B13772">
        <f>TEXT(13771, "[$-0E0000]yyyy-mm-dd")</f>
        <v/>
      </c>
      <c r="C13772" t="inlineStr">
        <is>
          <t>1937-08-10</t>
        </is>
      </c>
    </row>
    <row r="13773">
      <c r="A13773" s="1" t="n">
        <v>13772</v>
      </c>
      <c r="B13773">
        <f>TEXT(13772, "[$-0E0000]yyyy-mm-dd")</f>
        <v/>
      </c>
      <c r="C13773" t="inlineStr">
        <is>
          <t>1937-08-11</t>
        </is>
      </c>
    </row>
    <row r="13774">
      <c r="A13774" s="1" t="n">
        <v>13773</v>
      </c>
      <c r="B13774">
        <f>TEXT(13773, "[$-0E0000]yyyy-mm-dd")</f>
        <v/>
      </c>
      <c r="C13774" t="inlineStr">
        <is>
          <t>1937-08-12</t>
        </is>
      </c>
    </row>
    <row r="13775">
      <c r="A13775" s="1" t="n">
        <v>13774</v>
      </c>
      <c r="B13775">
        <f>TEXT(13774, "[$-0E0000]yyyy-mm-dd")</f>
        <v/>
      </c>
      <c r="C13775" t="inlineStr">
        <is>
          <t>1937-08-13</t>
        </is>
      </c>
    </row>
    <row r="13776">
      <c r="A13776" s="1" t="n">
        <v>13775</v>
      </c>
      <c r="B13776">
        <f>TEXT(13775, "[$-0E0000]yyyy-mm-dd")</f>
        <v/>
      </c>
      <c r="C13776" t="inlineStr">
        <is>
          <t>1937-08-14</t>
        </is>
      </c>
    </row>
    <row r="13777">
      <c r="A13777" s="1" t="n">
        <v>13776</v>
      </c>
      <c r="B13777">
        <f>TEXT(13776, "[$-0E0000]yyyy-mm-dd")</f>
        <v/>
      </c>
      <c r="C13777" t="inlineStr">
        <is>
          <t>1937-08-15</t>
        </is>
      </c>
    </row>
    <row r="13778">
      <c r="A13778" s="1" t="n">
        <v>13777</v>
      </c>
      <c r="B13778">
        <f>TEXT(13777, "[$-0E0000]yyyy-mm-dd")</f>
        <v/>
      </c>
      <c r="C13778" t="inlineStr">
        <is>
          <t>1937-08-16</t>
        </is>
      </c>
    </row>
    <row r="13779">
      <c r="A13779" s="1" t="n">
        <v>13778</v>
      </c>
      <c r="B13779">
        <f>TEXT(13778, "[$-0E0000]yyyy-mm-dd")</f>
        <v/>
      </c>
      <c r="C13779" t="inlineStr">
        <is>
          <t>1937-08-17</t>
        </is>
      </c>
    </row>
    <row r="13780">
      <c r="A13780" s="1" t="n">
        <v>13779</v>
      </c>
      <c r="B13780">
        <f>TEXT(13779, "[$-0E0000]yyyy-mm-dd")</f>
        <v/>
      </c>
      <c r="C13780" t="inlineStr">
        <is>
          <t>1937-08-18</t>
        </is>
      </c>
    </row>
    <row r="13781">
      <c r="A13781" s="1" t="n">
        <v>13780</v>
      </c>
      <c r="B13781">
        <f>TEXT(13780, "[$-0E0000]yyyy-mm-dd")</f>
        <v/>
      </c>
      <c r="C13781" t="inlineStr">
        <is>
          <t>1937-08-19</t>
        </is>
      </c>
    </row>
    <row r="13782">
      <c r="A13782" s="1" t="n">
        <v>13781</v>
      </c>
      <c r="B13782">
        <f>TEXT(13781, "[$-0E0000]yyyy-mm-dd")</f>
        <v/>
      </c>
      <c r="C13782" t="inlineStr">
        <is>
          <t>1937-08-20</t>
        </is>
      </c>
    </row>
    <row r="13783">
      <c r="A13783" s="1" t="n">
        <v>13782</v>
      </c>
      <c r="B13783">
        <f>TEXT(13782, "[$-0E0000]yyyy-mm-dd")</f>
        <v/>
      </c>
      <c r="C13783" t="inlineStr">
        <is>
          <t>1937-08-21</t>
        </is>
      </c>
    </row>
    <row r="13784">
      <c r="A13784" s="1" t="n">
        <v>13783</v>
      </c>
      <c r="B13784">
        <f>TEXT(13783, "[$-0E0000]yyyy-mm-dd")</f>
        <v/>
      </c>
      <c r="C13784" t="inlineStr">
        <is>
          <t>1937-08-22</t>
        </is>
      </c>
    </row>
    <row r="13785">
      <c r="A13785" s="1" t="n">
        <v>13784</v>
      </c>
      <c r="B13785">
        <f>TEXT(13784, "[$-0E0000]yyyy-mm-dd")</f>
        <v/>
      </c>
      <c r="C13785" t="inlineStr">
        <is>
          <t>1937-08-23</t>
        </is>
      </c>
    </row>
    <row r="13786">
      <c r="A13786" s="1" t="n">
        <v>13785</v>
      </c>
      <c r="B13786">
        <f>TEXT(13785, "[$-0E0000]yyyy-mm-dd")</f>
        <v/>
      </c>
      <c r="C13786" t="inlineStr">
        <is>
          <t>1937-08-24</t>
        </is>
      </c>
    </row>
    <row r="13787">
      <c r="A13787" s="1" t="n">
        <v>13786</v>
      </c>
      <c r="B13787">
        <f>TEXT(13786, "[$-0E0000]yyyy-mm-dd")</f>
        <v/>
      </c>
      <c r="C13787" t="inlineStr">
        <is>
          <t>1937-08-25</t>
        </is>
      </c>
    </row>
    <row r="13788">
      <c r="A13788" s="1" t="n">
        <v>13787</v>
      </c>
      <c r="B13788">
        <f>TEXT(13787, "[$-0E0000]yyyy-mm-dd")</f>
        <v/>
      </c>
      <c r="C13788" t="inlineStr">
        <is>
          <t>1937-08-26</t>
        </is>
      </c>
    </row>
    <row r="13789">
      <c r="A13789" s="1" t="n">
        <v>13788</v>
      </c>
      <c r="B13789">
        <f>TEXT(13788, "[$-0E0000]yyyy-mm-dd")</f>
        <v/>
      </c>
      <c r="C13789" t="inlineStr">
        <is>
          <t>1937-08-27</t>
        </is>
      </c>
    </row>
    <row r="13790">
      <c r="A13790" s="1" t="n">
        <v>13789</v>
      </c>
      <c r="B13790">
        <f>TEXT(13789, "[$-0E0000]yyyy-mm-dd")</f>
        <v/>
      </c>
      <c r="C13790" t="inlineStr">
        <is>
          <t>1937-08-28</t>
        </is>
      </c>
    </row>
    <row r="13791">
      <c r="A13791" s="1" t="n">
        <v>13790</v>
      </c>
      <c r="B13791">
        <f>TEXT(13790, "[$-0E0000]yyyy-mm-dd")</f>
        <v/>
      </c>
      <c r="C13791" t="inlineStr">
        <is>
          <t>1937-08-29</t>
        </is>
      </c>
    </row>
    <row r="13792">
      <c r="A13792" s="1" t="n">
        <v>13791</v>
      </c>
      <c r="B13792">
        <f>TEXT(13791, "[$-0E0000]yyyy-mm-dd")</f>
        <v/>
      </c>
      <c r="C13792" t="inlineStr">
        <is>
          <t>1937-09-01</t>
        </is>
      </c>
    </row>
    <row r="13793">
      <c r="A13793" s="1" t="n">
        <v>13792</v>
      </c>
      <c r="B13793">
        <f>TEXT(13792, "[$-0E0000]yyyy-mm-dd")</f>
        <v/>
      </c>
      <c r="C13793" t="inlineStr">
        <is>
          <t>1937-09-02</t>
        </is>
      </c>
    </row>
    <row r="13794">
      <c r="A13794" s="1" t="n">
        <v>13793</v>
      </c>
      <c r="B13794">
        <f>TEXT(13793, "[$-0E0000]yyyy-mm-dd")</f>
        <v/>
      </c>
      <c r="C13794" t="inlineStr">
        <is>
          <t>1937-09-03</t>
        </is>
      </c>
    </row>
    <row r="13795">
      <c r="A13795" s="1" t="n">
        <v>13794</v>
      </c>
      <c r="B13795">
        <f>TEXT(13794, "[$-0E0000]yyyy-mm-dd")</f>
        <v/>
      </c>
      <c r="C13795" t="inlineStr">
        <is>
          <t>1937-09-04</t>
        </is>
      </c>
    </row>
    <row r="13796">
      <c r="A13796" s="1" t="n">
        <v>13795</v>
      </c>
      <c r="B13796">
        <f>TEXT(13795, "[$-0E0000]yyyy-mm-dd")</f>
        <v/>
      </c>
      <c r="C13796" t="inlineStr">
        <is>
          <t>1937-09-05</t>
        </is>
      </c>
    </row>
    <row r="13797">
      <c r="A13797" s="1" t="n">
        <v>13796</v>
      </c>
      <c r="B13797">
        <f>TEXT(13796, "[$-0E0000]yyyy-mm-dd")</f>
        <v/>
      </c>
      <c r="C13797" t="inlineStr">
        <is>
          <t>1937-09-06</t>
        </is>
      </c>
    </row>
    <row r="13798">
      <c r="A13798" s="1" t="n">
        <v>13797</v>
      </c>
      <c r="B13798">
        <f>TEXT(13797, "[$-0E0000]yyyy-mm-dd")</f>
        <v/>
      </c>
      <c r="C13798" t="inlineStr">
        <is>
          <t>1937-09-07</t>
        </is>
      </c>
    </row>
    <row r="13799">
      <c r="A13799" s="1" t="n">
        <v>13798</v>
      </c>
      <c r="B13799">
        <f>TEXT(13798, "[$-0E0000]yyyy-mm-dd")</f>
        <v/>
      </c>
      <c r="C13799" t="inlineStr">
        <is>
          <t>1937-09-08</t>
        </is>
      </c>
    </row>
    <row r="13800">
      <c r="A13800" s="1" t="n">
        <v>13799</v>
      </c>
      <c r="B13800">
        <f>TEXT(13799, "[$-0E0000]yyyy-mm-dd")</f>
        <v/>
      </c>
      <c r="C13800" t="inlineStr">
        <is>
          <t>1937-09-09</t>
        </is>
      </c>
    </row>
    <row r="13801">
      <c r="A13801" s="1" t="n">
        <v>13800</v>
      </c>
      <c r="B13801">
        <f>TEXT(13800, "[$-0E0000]yyyy-mm-dd")</f>
        <v/>
      </c>
      <c r="C13801" t="inlineStr">
        <is>
          <t>1937-09-10</t>
        </is>
      </c>
    </row>
    <row r="13802">
      <c r="A13802" s="1" t="n">
        <v>13801</v>
      </c>
      <c r="B13802">
        <f>TEXT(13801, "[$-0E0000]yyyy-mm-dd")</f>
        <v/>
      </c>
      <c r="C13802" t="inlineStr">
        <is>
          <t>1937-09-11</t>
        </is>
      </c>
    </row>
    <row r="13803">
      <c r="A13803" s="1" t="n">
        <v>13802</v>
      </c>
      <c r="B13803">
        <f>TEXT(13802, "[$-0E0000]yyyy-mm-dd")</f>
        <v/>
      </c>
      <c r="C13803" t="inlineStr">
        <is>
          <t>1937-09-12</t>
        </is>
      </c>
    </row>
    <row r="13804">
      <c r="A13804" s="1" t="n">
        <v>13803</v>
      </c>
      <c r="B13804">
        <f>TEXT(13803, "[$-0E0000]yyyy-mm-dd")</f>
        <v/>
      </c>
      <c r="C13804" t="inlineStr">
        <is>
          <t>1937-09-13</t>
        </is>
      </c>
    </row>
    <row r="13805">
      <c r="A13805" s="1" t="n">
        <v>13804</v>
      </c>
      <c r="B13805">
        <f>TEXT(13804, "[$-0E0000]yyyy-mm-dd")</f>
        <v/>
      </c>
      <c r="C13805" t="inlineStr">
        <is>
          <t>1937-09-14</t>
        </is>
      </c>
    </row>
    <row r="13806">
      <c r="A13806" s="1" t="n">
        <v>13805</v>
      </c>
      <c r="B13806">
        <f>TEXT(13805, "[$-0E0000]yyyy-mm-dd")</f>
        <v/>
      </c>
      <c r="C13806" t="inlineStr">
        <is>
          <t>1937-09-15</t>
        </is>
      </c>
    </row>
    <row r="13807">
      <c r="A13807" s="1" t="n">
        <v>13806</v>
      </c>
      <c r="B13807">
        <f>TEXT(13806, "[$-0E0000]yyyy-mm-dd")</f>
        <v/>
      </c>
      <c r="C13807" t="inlineStr">
        <is>
          <t>1937-09-16</t>
        </is>
      </c>
    </row>
    <row r="13808">
      <c r="A13808" s="1" t="n">
        <v>13807</v>
      </c>
      <c r="B13808">
        <f>TEXT(13807, "[$-0E0000]yyyy-mm-dd")</f>
        <v/>
      </c>
      <c r="C13808" t="inlineStr">
        <is>
          <t>1937-09-17</t>
        </is>
      </c>
    </row>
    <row r="13809">
      <c r="A13809" s="1" t="n">
        <v>13808</v>
      </c>
      <c r="B13809">
        <f>TEXT(13808, "[$-0E0000]yyyy-mm-dd")</f>
        <v/>
      </c>
      <c r="C13809" t="inlineStr">
        <is>
          <t>1937-09-18</t>
        </is>
      </c>
    </row>
    <row r="13810">
      <c r="A13810" s="1" t="n">
        <v>13809</v>
      </c>
      <c r="B13810">
        <f>TEXT(13809, "[$-0E0000]yyyy-mm-dd")</f>
        <v/>
      </c>
      <c r="C13810" t="inlineStr">
        <is>
          <t>1937-09-19</t>
        </is>
      </c>
    </row>
    <row r="13811">
      <c r="A13811" s="1" t="n">
        <v>13810</v>
      </c>
      <c r="B13811">
        <f>TEXT(13810, "[$-0E0000]yyyy-mm-dd")</f>
        <v/>
      </c>
      <c r="C13811" t="inlineStr">
        <is>
          <t>1937-09-20</t>
        </is>
      </c>
    </row>
    <row r="13812">
      <c r="A13812" s="1" t="n">
        <v>13811</v>
      </c>
      <c r="B13812">
        <f>TEXT(13811, "[$-0E0000]yyyy-mm-dd")</f>
        <v/>
      </c>
      <c r="C13812" t="inlineStr">
        <is>
          <t>1937-09-21</t>
        </is>
      </c>
    </row>
    <row r="13813">
      <c r="A13813" s="1" t="n">
        <v>13812</v>
      </c>
      <c r="B13813">
        <f>TEXT(13812, "[$-0E0000]yyyy-mm-dd")</f>
        <v/>
      </c>
      <c r="C13813" t="inlineStr">
        <is>
          <t>1937-09-22</t>
        </is>
      </c>
    </row>
    <row r="13814">
      <c r="A13814" s="1" t="n">
        <v>13813</v>
      </c>
      <c r="B13814">
        <f>TEXT(13813, "[$-0E0000]yyyy-mm-dd")</f>
        <v/>
      </c>
      <c r="C13814" t="inlineStr">
        <is>
          <t>1937-09-23</t>
        </is>
      </c>
    </row>
    <row r="13815">
      <c r="A13815" s="1" t="n">
        <v>13814</v>
      </c>
      <c r="B13815">
        <f>TEXT(13814, "[$-0E0000]yyyy-mm-dd")</f>
        <v/>
      </c>
      <c r="C13815" t="inlineStr">
        <is>
          <t>1937-09-24</t>
        </is>
      </c>
    </row>
    <row r="13816">
      <c r="A13816" s="1" t="n">
        <v>13815</v>
      </c>
      <c r="B13816">
        <f>TEXT(13815, "[$-0E0000]yyyy-mm-dd")</f>
        <v/>
      </c>
      <c r="C13816" t="inlineStr">
        <is>
          <t>1937-09-25</t>
        </is>
      </c>
    </row>
    <row r="13817">
      <c r="A13817" s="1" t="n">
        <v>13816</v>
      </c>
      <c r="B13817">
        <f>TEXT(13816, "[$-0E0000]yyyy-mm-dd")</f>
        <v/>
      </c>
      <c r="C13817" t="inlineStr">
        <is>
          <t>1937-09-26</t>
        </is>
      </c>
    </row>
    <row r="13818">
      <c r="A13818" s="1" t="n">
        <v>13817</v>
      </c>
      <c r="B13818">
        <f>TEXT(13817, "[$-0E0000]yyyy-mm-dd")</f>
        <v/>
      </c>
      <c r="C13818" t="inlineStr">
        <is>
          <t>1937-09-27</t>
        </is>
      </c>
    </row>
    <row r="13819">
      <c r="A13819" s="1" t="n">
        <v>13818</v>
      </c>
      <c r="B13819">
        <f>TEXT(13818, "[$-0E0000]yyyy-mm-dd")</f>
        <v/>
      </c>
      <c r="C13819" t="inlineStr">
        <is>
          <t>1937-09-28</t>
        </is>
      </c>
    </row>
    <row r="13820">
      <c r="A13820" s="1" t="n">
        <v>13819</v>
      </c>
      <c r="B13820">
        <f>TEXT(13819, "[$-0E0000]yyyy-mm-dd")</f>
        <v/>
      </c>
      <c r="C13820" t="inlineStr">
        <is>
          <t>1937-09-29</t>
        </is>
      </c>
    </row>
    <row r="13821">
      <c r="A13821" s="1" t="n">
        <v>13820</v>
      </c>
      <c r="B13821">
        <f>TEXT(13820, "[$-0E0000]yyyy-mm-dd")</f>
        <v/>
      </c>
      <c r="C13821" t="inlineStr">
        <is>
          <t>1937-09-30</t>
        </is>
      </c>
    </row>
    <row r="13822">
      <c r="A13822" s="1" t="n">
        <v>13821</v>
      </c>
      <c r="B13822">
        <f>TEXT(13821, "[$-0E0000]yyyy-mm-dd")</f>
        <v/>
      </c>
      <c r="C13822" t="inlineStr">
        <is>
          <t>1937-10-01</t>
        </is>
      </c>
    </row>
    <row r="13823">
      <c r="A13823" s="1" t="n">
        <v>13822</v>
      </c>
      <c r="B13823">
        <f>TEXT(13822, "[$-0E0000]yyyy-mm-dd")</f>
        <v/>
      </c>
      <c r="C13823" t="inlineStr">
        <is>
          <t>1937-10-02</t>
        </is>
      </c>
    </row>
    <row r="13824">
      <c r="A13824" s="1" t="n">
        <v>13823</v>
      </c>
      <c r="B13824">
        <f>TEXT(13823, "[$-0E0000]yyyy-mm-dd")</f>
        <v/>
      </c>
      <c r="C13824" t="inlineStr">
        <is>
          <t>1937-10-03</t>
        </is>
      </c>
    </row>
    <row r="13825">
      <c r="A13825" s="1" t="n">
        <v>13824</v>
      </c>
      <c r="B13825">
        <f>TEXT(13824, "[$-0E0000]yyyy-mm-dd")</f>
        <v/>
      </c>
      <c r="C13825" t="inlineStr">
        <is>
          <t>1937-10-04</t>
        </is>
      </c>
    </row>
    <row r="13826">
      <c r="A13826" s="1" t="n">
        <v>13825</v>
      </c>
      <c r="B13826">
        <f>TEXT(13825, "[$-0E0000]yyyy-mm-dd")</f>
        <v/>
      </c>
      <c r="C13826" t="inlineStr">
        <is>
          <t>1937-10-05</t>
        </is>
      </c>
    </row>
    <row r="13827">
      <c r="A13827" s="1" t="n">
        <v>13826</v>
      </c>
      <c r="B13827">
        <f>TEXT(13826, "[$-0E0000]yyyy-mm-dd")</f>
        <v/>
      </c>
      <c r="C13827" t="inlineStr">
        <is>
          <t>1937-10-06</t>
        </is>
      </c>
    </row>
    <row r="13828">
      <c r="A13828" s="1" t="n">
        <v>13827</v>
      </c>
      <c r="B13828">
        <f>TEXT(13827, "[$-0E0000]yyyy-mm-dd")</f>
        <v/>
      </c>
      <c r="C13828" t="inlineStr">
        <is>
          <t>1937-10-07</t>
        </is>
      </c>
    </row>
    <row r="13829">
      <c r="A13829" s="1" t="n">
        <v>13828</v>
      </c>
      <c r="B13829">
        <f>TEXT(13828, "[$-0E0000]yyyy-mm-dd")</f>
        <v/>
      </c>
      <c r="C13829" t="inlineStr">
        <is>
          <t>1937-10-08</t>
        </is>
      </c>
    </row>
    <row r="13830">
      <c r="A13830" s="1" t="n">
        <v>13829</v>
      </c>
      <c r="B13830">
        <f>TEXT(13829, "[$-0E0000]yyyy-mm-dd")</f>
        <v/>
      </c>
      <c r="C13830" t="inlineStr">
        <is>
          <t>1937-10-09</t>
        </is>
      </c>
    </row>
    <row r="13831">
      <c r="A13831" s="1" t="n">
        <v>13830</v>
      </c>
      <c r="B13831">
        <f>TEXT(13830, "[$-0E0000]yyyy-mm-dd")</f>
        <v/>
      </c>
      <c r="C13831" t="inlineStr">
        <is>
          <t>1937-10-10</t>
        </is>
      </c>
    </row>
    <row r="13832">
      <c r="A13832" s="1" t="n">
        <v>13831</v>
      </c>
      <c r="B13832">
        <f>TEXT(13831, "[$-0E0000]yyyy-mm-dd")</f>
        <v/>
      </c>
      <c r="C13832" t="inlineStr">
        <is>
          <t>1937-10-11</t>
        </is>
      </c>
    </row>
    <row r="13833">
      <c r="A13833" s="1" t="n">
        <v>13832</v>
      </c>
      <c r="B13833">
        <f>TEXT(13832, "[$-0E0000]yyyy-mm-dd")</f>
        <v/>
      </c>
      <c r="C13833" t="inlineStr">
        <is>
          <t>1937-10-12</t>
        </is>
      </c>
    </row>
    <row r="13834">
      <c r="A13834" s="1" t="n">
        <v>13833</v>
      </c>
      <c r="B13834">
        <f>TEXT(13833, "[$-0E0000]yyyy-mm-dd")</f>
        <v/>
      </c>
      <c r="C13834" t="inlineStr">
        <is>
          <t>1937-10-13</t>
        </is>
      </c>
    </row>
    <row r="13835">
      <c r="A13835" s="1" t="n">
        <v>13834</v>
      </c>
      <c r="B13835">
        <f>TEXT(13834, "[$-0E0000]yyyy-mm-dd")</f>
        <v/>
      </c>
      <c r="C13835" t="inlineStr">
        <is>
          <t>1937-10-14</t>
        </is>
      </c>
    </row>
    <row r="13836">
      <c r="A13836" s="1" t="n">
        <v>13835</v>
      </c>
      <c r="B13836">
        <f>TEXT(13835, "[$-0E0000]yyyy-mm-dd")</f>
        <v/>
      </c>
      <c r="C13836" t="inlineStr">
        <is>
          <t>1937-10-15</t>
        </is>
      </c>
    </row>
    <row r="13837">
      <c r="A13837" s="1" t="n">
        <v>13836</v>
      </c>
      <c r="B13837">
        <f>TEXT(13836, "[$-0E0000]yyyy-mm-dd")</f>
        <v/>
      </c>
      <c r="C13837" t="inlineStr">
        <is>
          <t>1937-10-16</t>
        </is>
      </c>
    </row>
    <row r="13838">
      <c r="A13838" s="1" t="n">
        <v>13837</v>
      </c>
      <c r="B13838">
        <f>TEXT(13837, "[$-0E0000]yyyy-mm-dd")</f>
        <v/>
      </c>
      <c r="C13838" t="inlineStr">
        <is>
          <t>1937-10-17</t>
        </is>
      </c>
    </row>
    <row r="13839">
      <c r="A13839" s="1" t="n">
        <v>13838</v>
      </c>
      <c r="B13839">
        <f>TEXT(13838, "[$-0E0000]yyyy-mm-dd")</f>
        <v/>
      </c>
      <c r="C13839" t="inlineStr">
        <is>
          <t>1937-10-18</t>
        </is>
      </c>
    </row>
    <row r="13840">
      <c r="A13840" s="1" t="n">
        <v>13839</v>
      </c>
      <c r="B13840">
        <f>TEXT(13839, "[$-0E0000]yyyy-mm-dd")</f>
        <v/>
      </c>
      <c r="C13840" t="inlineStr">
        <is>
          <t>1937-10-19</t>
        </is>
      </c>
    </row>
    <row r="13841">
      <c r="A13841" s="1" t="n">
        <v>13840</v>
      </c>
      <c r="B13841">
        <f>TEXT(13840, "[$-0E0000]yyyy-mm-dd")</f>
        <v/>
      </c>
      <c r="C13841" t="inlineStr">
        <is>
          <t>1937-10-20</t>
        </is>
      </c>
    </row>
    <row r="13842">
      <c r="A13842" s="1" t="n">
        <v>13841</v>
      </c>
      <c r="B13842">
        <f>TEXT(13841, "[$-0E0000]yyyy-mm-dd")</f>
        <v/>
      </c>
      <c r="C13842" t="inlineStr">
        <is>
          <t>1937-10-21</t>
        </is>
      </c>
    </row>
    <row r="13843">
      <c r="A13843" s="1" t="n">
        <v>13842</v>
      </c>
      <c r="B13843">
        <f>TEXT(13842, "[$-0E0000]yyyy-mm-dd")</f>
        <v/>
      </c>
      <c r="C13843" t="inlineStr">
        <is>
          <t>1937-10-22</t>
        </is>
      </c>
    </row>
    <row r="13844">
      <c r="A13844" s="1" t="n">
        <v>13843</v>
      </c>
      <c r="B13844">
        <f>TEXT(13843, "[$-0E0000]yyyy-mm-dd")</f>
        <v/>
      </c>
      <c r="C13844" t="inlineStr">
        <is>
          <t>1937-10-23</t>
        </is>
      </c>
    </row>
    <row r="13845">
      <c r="A13845" s="1" t="n">
        <v>13844</v>
      </c>
      <c r="B13845">
        <f>TEXT(13844, "[$-0E0000]yyyy-mm-dd")</f>
        <v/>
      </c>
      <c r="C13845" t="inlineStr">
        <is>
          <t>1937-10-24</t>
        </is>
      </c>
    </row>
    <row r="13846">
      <c r="A13846" s="1" t="n">
        <v>13845</v>
      </c>
      <c r="B13846">
        <f>TEXT(13845, "[$-0E0000]yyyy-mm-dd")</f>
        <v/>
      </c>
      <c r="C13846" t="inlineStr">
        <is>
          <t>1937-10-25</t>
        </is>
      </c>
    </row>
    <row r="13847">
      <c r="A13847" s="1" t="n">
        <v>13846</v>
      </c>
      <c r="B13847">
        <f>TEXT(13846, "[$-0E0000]yyyy-mm-dd")</f>
        <v/>
      </c>
      <c r="C13847" t="inlineStr">
        <is>
          <t>1937-10-26</t>
        </is>
      </c>
    </row>
    <row r="13848">
      <c r="A13848" s="1" t="n">
        <v>13847</v>
      </c>
      <c r="B13848">
        <f>TEXT(13847, "[$-0E0000]yyyy-mm-dd")</f>
        <v/>
      </c>
      <c r="C13848" t="inlineStr">
        <is>
          <t>1937-10-27</t>
        </is>
      </c>
    </row>
    <row r="13849">
      <c r="A13849" s="1" t="n">
        <v>13848</v>
      </c>
      <c r="B13849">
        <f>TEXT(13848, "[$-0E0000]yyyy-mm-dd")</f>
        <v/>
      </c>
      <c r="C13849" t="inlineStr">
        <is>
          <t>1937-10-28</t>
        </is>
      </c>
    </row>
    <row r="13850">
      <c r="A13850" s="1" t="n">
        <v>13849</v>
      </c>
      <c r="B13850">
        <f>TEXT(13849, "[$-0E0000]yyyy-mm-dd")</f>
        <v/>
      </c>
      <c r="C13850" t="inlineStr">
        <is>
          <t>1937-10-29</t>
        </is>
      </c>
    </row>
    <row r="13851">
      <c r="A13851" s="1" t="n">
        <v>13850</v>
      </c>
      <c r="B13851">
        <f>TEXT(13850, "[$-0E0000]yyyy-mm-dd")</f>
        <v/>
      </c>
      <c r="C13851" t="inlineStr">
        <is>
          <t>1937-10-30</t>
        </is>
      </c>
    </row>
    <row r="13852">
      <c r="A13852" s="1" t="n">
        <v>13851</v>
      </c>
      <c r="B13852">
        <f>TEXT(13851, "[$-0E0000]yyyy-mm-dd")</f>
        <v/>
      </c>
      <c r="C13852" t="inlineStr">
        <is>
          <t>1937-11-01</t>
        </is>
      </c>
    </row>
    <row r="13853">
      <c r="A13853" s="1" t="n">
        <v>13852</v>
      </c>
      <c r="B13853">
        <f>TEXT(13852, "[$-0E0000]yyyy-mm-dd")</f>
        <v/>
      </c>
      <c r="C13853" t="inlineStr">
        <is>
          <t>1937-11-02</t>
        </is>
      </c>
    </row>
    <row r="13854">
      <c r="A13854" s="1" t="n">
        <v>13853</v>
      </c>
      <c r="B13854">
        <f>TEXT(13853, "[$-0E0000]yyyy-mm-dd")</f>
        <v/>
      </c>
      <c r="C13854" t="inlineStr">
        <is>
          <t>1937-11-03</t>
        </is>
      </c>
    </row>
    <row r="13855">
      <c r="A13855" s="1" t="n">
        <v>13854</v>
      </c>
      <c r="B13855">
        <f>TEXT(13854, "[$-0E0000]yyyy-mm-dd")</f>
        <v/>
      </c>
      <c r="C13855" t="inlineStr">
        <is>
          <t>1937-11-04</t>
        </is>
      </c>
    </row>
    <row r="13856">
      <c r="A13856" s="1" t="n">
        <v>13855</v>
      </c>
      <c r="B13856">
        <f>TEXT(13855, "[$-0E0000]yyyy-mm-dd")</f>
        <v/>
      </c>
      <c r="C13856" t="inlineStr">
        <is>
          <t>1937-11-05</t>
        </is>
      </c>
    </row>
    <row r="13857">
      <c r="A13857" s="1" t="n">
        <v>13856</v>
      </c>
      <c r="B13857">
        <f>TEXT(13856, "[$-0E0000]yyyy-mm-dd")</f>
        <v/>
      </c>
      <c r="C13857" t="inlineStr">
        <is>
          <t>1937-11-06</t>
        </is>
      </c>
    </row>
    <row r="13858">
      <c r="A13858" s="1" t="n">
        <v>13857</v>
      </c>
      <c r="B13858">
        <f>TEXT(13857, "[$-0E0000]yyyy-mm-dd")</f>
        <v/>
      </c>
      <c r="C13858" t="inlineStr">
        <is>
          <t>1937-11-07</t>
        </is>
      </c>
    </row>
    <row r="13859">
      <c r="A13859" s="1" t="n">
        <v>13858</v>
      </c>
      <c r="B13859">
        <f>TEXT(13858, "[$-0E0000]yyyy-mm-dd")</f>
        <v/>
      </c>
      <c r="C13859" t="inlineStr">
        <is>
          <t>1937-11-08</t>
        </is>
      </c>
    </row>
    <row r="13860">
      <c r="A13860" s="1" t="n">
        <v>13859</v>
      </c>
      <c r="B13860">
        <f>TEXT(13859, "[$-0E0000]yyyy-mm-dd")</f>
        <v/>
      </c>
      <c r="C13860" t="inlineStr">
        <is>
          <t>1937-11-09</t>
        </is>
      </c>
    </row>
    <row r="13861">
      <c r="A13861" s="1" t="n">
        <v>13860</v>
      </c>
      <c r="B13861">
        <f>TEXT(13860, "[$-0E0000]yyyy-mm-dd")</f>
        <v/>
      </c>
      <c r="C13861" t="inlineStr">
        <is>
          <t>1937-11-10</t>
        </is>
      </c>
    </row>
    <row r="13862">
      <c r="A13862" s="1" t="n">
        <v>13861</v>
      </c>
      <c r="B13862">
        <f>TEXT(13861, "[$-0E0000]yyyy-mm-dd")</f>
        <v/>
      </c>
      <c r="C13862" t="inlineStr">
        <is>
          <t>1937-11-11</t>
        </is>
      </c>
    </row>
    <row r="13863">
      <c r="A13863" s="1" t="n">
        <v>13862</v>
      </c>
      <c r="B13863">
        <f>TEXT(13862, "[$-0E0000]yyyy-mm-dd")</f>
        <v/>
      </c>
      <c r="C13863" t="inlineStr">
        <is>
          <t>1937-11-12</t>
        </is>
      </c>
    </row>
    <row r="13864">
      <c r="A13864" s="1" t="n">
        <v>13863</v>
      </c>
      <c r="B13864">
        <f>TEXT(13863, "[$-0E0000]yyyy-mm-dd")</f>
        <v/>
      </c>
      <c r="C13864" t="inlineStr">
        <is>
          <t>1937-11-13</t>
        </is>
      </c>
    </row>
    <row r="13865">
      <c r="A13865" s="1" t="n">
        <v>13864</v>
      </c>
      <c r="B13865">
        <f>TEXT(13864, "[$-0E0000]yyyy-mm-dd")</f>
        <v/>
      </c>
      <c r="C13865" t="inlineStr">
        <is>
          <t>1937-11-14</t>
        </is>
      </c>
    </row>
    <row r="13866">
      <c r="A13866" s="1" t="n">
        <v>13865</v>
      </c>
      <c r="B13866">
        <f>TEXT(13865, "[$-0E0000]yyyy-mm-dd")</f>
        <v/>
      </c>
      <c r="C13866" t="inlineStr">
        <is>
          <t>1937-11-15</t>
        </is>
      </c>
    </row>
    <row r="13867">
      <c r="A13867" s="1" t="n">
        <v>13866</v>
      </c>
      <c r="B13867">
        <f>TEXT(13866, "[$-0E0000]yyyy-mm-dd")</f>
        <v/>
      </c>
      <c r="C13867" t="inlineStr">
        <is>
          <t>1937-11-16</t>
        </is>
      </c>
    </row>
    <row r="13868">
      <c r="A13868" s="1" t="n">
        <v>13867</v>
      </c>
      <c r="B13868">
        <f>TEXT(13867, "[$-0E0000]yyyy-mm-dd")</f>
        <v/>
      </c>
      <c r="C13868" t="inlineStr">
        <is>
          <t>1937-11-17</t>
        </is>
      </c>
    </row>
    <row r="13869">
      <c r="A13869" s="1" t="n">
        <v>13868</v>
      </c>
      <c r="B13869">
        <f>TEXT(13868, "[$-0E0000]yyyy-mm-dd")</f>
        <v/>
      </c>
      <c r="C13869" t="inlineStr">
        <is>
          <t>1937-11-18</t>
        </is>
      </c>
    </row>
    <row r="13870">
      <c r="A13870" s="1" t="n">
        <v>13869</v>
      </c>
      <c r="B13870">
        <f>TEXT(13869, "[$-0E0000]yyyy-mm-dd")</f>
        <v/>
      </c>
      <c r="C13870" t="inlineStr">
        <is>
          <t>1937-11-19</t>
        </is>
      </c>
    </row>
    <row r="13871">
      <c r="A13871" s="1" t="n">
        <v>13870</v>
      </c>
      <c r="B13871">
        <f>TEXT(13870, "[$-0E0000]yyyy-mm-dd")</f>
        <v/>
      </c>
      <c r="C13871" t="inlineStr">
        <is>
          <t>1937-11-20</t>
        </is>
      </c>
    </row>
    <row r="13872">
      <c r="A13872" s="1" t="n">
        <v>13871</v>
      </c>
      <c r="B13872">
        <f>TEXT(13871, "[$-0E0000]yyyy-mm-dd")</f>
        <v/>
      </c>
      <c r="C13872" t="inlineStr">
        <is>
          <t>1937-11-21</t>
        </is>
      </c>
    </row>
    <row r="13873">
      <c r="A13873" s="1" t="n">
        <v>13872</v>
      </c>
      <c r="B13873">
        <f>TEXT(13872, "[$-0E0000]yyyy-mm-dd")</f>
        <v/>
      </c>
      <c r="C13873" t="inlineStr">
        <is>
          <t>1937-11-22</t>
        </is>
      </c>
    </row>
    <row r="13874">
      <c r="A13874" s="1" t="n">
        <v>13873</v>
      </c>
      <c r="B13874">
        <f>TEXT(13873, "[$-0E0000]yyyy-mm-dd")</f>
        <v/>
      </c>
      <c r="C13874" t="inlineStr">
        <is>
          <t>1937-11-23</t>
        </is>
      </c>
    </row>
    <row r="13875">
      <c r="A13875" s="1" t="n">
        <v>13874</v>
      </c>
      <c r="B13875">
        <f>TEXT(13874, "[$-0E0000]yyyy-mm-dd")</f>
        <v/>
      </c>
      <c r="C13875" t="inlineStr">
        <is>
          <t>1937-11-24</t>
        </is>
      </c>
    </row>
    <row r="13876">
      <c r="A13876" s="1" t="n">
        <v>13875</v>
      </c>
      <c r="B13876">
        <f>TEXT(13875, "[$-0E0000]yyyy-mm-dd")</f>
        <v/>
      </c>
      <c r="C13876" t="inlineStr">
        <is>
          <t>1937-11-25</t>
        </is>
      </c>
    </row>
    <row r="13877">
      <c r="A13877" s="1" t="n">
        <v>13876</v>
      </c>
      <c r="B13877">
        <f>TEXT(13876, "[$-0E0000]yyyy-mm-dd")</f>
        <v/>
      </c>
      <c r="C13877" t="inlineStr">
        <is>
          <t>1937-11-26</t>
        </is>
      </c>
    </row>
    <row r="13878">
      <c r="A13878" s="1" t="n">
        <v>13877</v>
      </c>
      <c r="B13878">
        <f>TEXT(13877, "[$-0E0000]yyyy-mm-dd")</f>
        <v/>
      </c>
      <c r="C13878" t="inlineStr">
        <is>
          <t>1937-11-27</t>
        </is>
      </c>
    </row>
    <row r="13879">
      <c r="A13879" s="1" t="n">
        <v>13878</v>
      </c>
      <c r="B13879">
        <f>TEXT(13878, "[$-0E0000]yyyy-mm-dd")</f>
        <v/>
      </c>
      <c r="C13879" t="inlineStr">
        <is>
          <t>1937-11-28</t>
        </is>
      </c>
    </row>
    <row r="13880">
      <c r="A13880" s="1" t="n">
        <v>13879</v>
      </c>
      <c r="B13880">
        <f>TEXT(13879, "[$-0E0000]yyyy-mm-dd")</f>
        <v/>
      </c>
      <c r="C13880" t="inlineStr">
        <is>
          <t>1937-11-29</t>
        </is>
      </c>
    </row>
    <row r="13881">
      <c r="A13881" s="1" t="n">
        <v>13880</v>
      </c>
      <c r="B13881">
        <f>TEXT(13880, "[$-0E0000]yyyy-mm-dd")</f>
        <v/>
      </c>
      <c r="C13881" t="inlineStr">
        <is>
          <t>1937-11-30</t>
        </is>
      </c>
    </row>
    <row r="13882">
      <c r="A13882" s="1" t="n">
        <v>13881</v>
      </c>
      <c r="B13882">
        <f>TEXT(13881, "[$-0E0000]yyyy-mm-dd")</f>
        <v/>
      </c>
      <c r="C13882" t="inlineStr">
        <is>
          <t>1937-12-01</t>
        </is>
      </c>
    </row>
    <row r="13883">
      <c r="A13883" s="1" t="n">
        <v>13882</v>
      </c>
      <c r="B13883">
        <f>TEXT(13882, "[$-0E0000]yyyy-mm-dd")</f>
        <v/>
      </c>
      <c r="C13883" t="inlineStr">
        <is>
          <t>1937-12-02</t>
        </is>
      </c>
    </row>
    <row r="13884">
      <c r="A13884" s="1" t="n">
        <v>13883</v>
      </c>
      <c r="B13884">
        <f>TEXT(13883, "[$-0E0000]yyyy-mm-dd")</f>
        <v/>
      </c>
      <c r="C13884" t="inlineStr">
        <is>
          <t>1937-12-03</t>
        </is>
      </c>
    </row>
    <row r="13885">
      <c r="A13885" s="1" t="n">
        <v>13884</v>
      </c>
      <c r="B13885">
        <f>TEXT(13884, "[$-0E0000]yyyy-mm-dd")</f>
        <v/>
      </c>
      <c r="C13885" t="inlineStr">
        <is>
          <t>1937-12-04</t>
        </is>
      </c>
    </row>
    <row r="13886">
      <c r="A13886" s="1" t="n">
        <v>13885</v>
      </c>
      <c r="B13886">
        <f>TEXT(13885, "[$-0E0000]yyyy-mm-dd")</f>
        <v/>
      </c>
      <c r="C13886" t="inlineStr">
        <is>
          <t>1937-12-05</t>
        </is>
      </c>
    </row>
    <row r="13887">
      <c r="A13887" s="1" t="n">
        <v>13886</v>
      </c>
      <c r="B13887">
        <f>TEXT(13886, "[$-0E0000]yyyy-mm-dd")</f>
        <v/>
      </c>
      <c r="C13887" t="inlineStr">
        <is>
          <t>1937-12-06</t>
        </is>
      </c>
    </row>
    <row r="13888">
      <c r="A13888" s="1" t="n">
        <v>13887</v>
      </c>
      <c r="B13888">
        <f>TEXT(13887, "[$-0E0000]yyyy-mm-dd")</f>
        <v/>
      </c>
      <c r="C13888" t="inlineStr">
        <is>
          <t>1937-12-07</t>
        </is>
      </c>
    </row>
    <row r="13889">
      <c r="A13889" s="1" t="n">
        <v>13888</v>
      </c>
      <c r="B13889">
        <f>TEXT(13888, "[$-0E0000]yyyy-mm-dd")</f>
        <v/>
      </c>
      <c r="C13889" t="inlineStr">
        <is>
          <t>1937-12-08</t>
        </is>
      </c>
    </row>
    <row r="13890">
      <c r="A13890" s="1" t="n">
        <v>13889</v>
      </c>
      <c r="B13890">
        <f>TEXT(13889, "[$-0E0000]yyyy-mm-dd")</f>
        <v/>
      </c>
      <c r="C13890" t="inlineStr">
        <is>
          <t>1937-12-09</t>
        </is>
      </c>
    </row>
    <row r="13891">
      <c r="A13891" s="1" t="n">
        <v>13890</v>
      </c>
      <c r="B13891">
        <f>TEXT(13890, "[$-0E0000]yyyy-mm-dd")</f>
        <v/>
      </c>
      <c r="C13891" t="inlineStr">
        <is>
          <t>1937-12-10</t>
        </is>
      </c>
    </row>
    <row r="13892">
      <c r="A13892" s="1" t="n">
        <v>13891</v>
      </c>
      <c r="B13892">
        <f>TEXT(13891, "[$-0E0000]yyyy-mm-dd")</f>
        <v/>
      </c>
      <c r="C13892" t="inlineStr">
        <is>
          <t>1937-12-11</t>
        </is>
      </c>
    </row>
    <row r="13893">
      <c r="A13893" s="1" t="n">
        <v>13892</v>
      </c>
      <c r="B13893">
        <f>TEXT(13892, "[$-0E0000]yyyy-mm-dd")</f>
        <v/>
      </c>
      <c r="C13893" t="inlineStr">
        <is>
          <t>1937-12-12</t>
        </is>
      </c>
    </row>
    <row r="13894">
      <c r="A13894" s="1" t="n">
        <v>13893</v>
      </c>
      <c r="B13894">
        <f>TEXT(13893, "[$-0E0000]yyyy-mm-dd")</f>
        <v/>
      </c>
      <c r="C13894" t="inlineStr">
        <is>
          <t>1937-12-13</t>
        </is>
      </c>
    </row>
    <row r="13895">
      <c r="A13895" s="1" t="n">
        <v>13894</v>
      </c>
      <c r="B13895">
        <f>TEXT(13894, "[$-0E0000]yyyy-mm-dd")</f>
        <v/>
      </c>
      <c r="C13895" t="inlineStr">
        <is>
          <t>1937-12-14</t>
        </is>
      </c>
    </row>
    <row r="13896">
      <c r="A13896" s="1" t="n">
        <v>13895</v>
      </c>
      <c r="B13896">
        <f>TEXT(13895, "[$-0E0000]yyyy-mm-dd")</f>
        <v/>
      </c>
      <c r="C13896" t="inlineStr">
        <is>
          <t>1937-12-15</t>
        </is>
      </c>
    </row>
    <row r="13897">
      <c r="A13897" s="1" t="n">
        <v>13896</v>
      </c>
      <c r="B13897">
        <f>TEXT(13896, "[$-0E0000]yyyy-mm-dd")</f>
        <v/>
      </c>
      <c r="C13897" t="inlineStr">
        <is>
          <t>1937-12-16</t>
        </is>
      </c>
    </row>
    <row r="13898">
      <c r="A13898" s="1" t="n">
        <v>13897</v>
      </c>
      <c r="B13898">
        <f>TEXT(13897, "[$-0E0000]yyyy-mm-dd")</f>
        <v/>
      </c>
      <c r="C13898" t="inlineStr">
        <is>
          <t>1937-12-17</t>
        </is>
      </c>
    </row>
    <row r="13899">
      <c r="A13899" s="1" t="n">
        <v>13898</v>
      </c>
      <c r="B13899">
        <f>TEXT(13898, "[$-0E0000]yyyy-mm-dd")</f>
        <v/>
      </c>
      <c r="C13899" t="inlineStr">
        <is>
          <t>1937-12-18</t>
        </is>
      </c>
    </row>
    <row r="13900">
      <c r="A13900" s="1" t="n">
        <v>13899</v>
      </c>
      <c r="B13900">
        <f>TEXT(13899, "[$-0E0000]yyyy-mm-dd")</f>
        <v/>
      </c>
      <c r="C13900" t="inlineStr">
        <is>
          <t>1937-12-19</t>
        </is>
      </c>
    </row>
    <row r="13901">
      <c r="A13901" s="1" t="n">
        <v>13900</v>
      </c>
      <c r="B13901">
        <f>TEXT(13900, "[$-0E0000]yyyy-mm-dd")</f>
        <v/>
      </c>
      <c r="C13901" t="inlineStr">
        <is>
          <t>1937-12-20</t>
        </is>
      </c>
    </row>
    <row r="13902">
      <c r="A13902" s="1" t="n">
        <v>13901</v>
      </c>
      <c r="B13902">
        <f>TEXT(13901, "[$-0E0000]yyyy-mm-dd")</f>
        <v/>
      </c>
      <c r="C13902" t="inlineStr">
        <is>
          <t>1937-12-21</t>
        </is>
      </c>
    </row>
    <row r="13903">
      <c r="A13903" s="1" t="n">
        <v>13902</v>
      </c>
      <c r="B13903">
        <f>TEXT(13902, "[$-0E0000]yyyy-mm-dd")</f>
        <v/>
      </c>
      <c r="C13903" t="inlineStr">
        <is>
          <t>1937-12-22</t>
        </is>
      </c>
    </row>
    <row r="13904">
      <c r="A13904" s="1" t="n">
        <v>13903</v>
      </c>
      <c r="B13904">
        <f>TEXT(13903, "[$-0E0000]yyyy-mm-dd")</f>
        <v/>
      </c>
      <c r="C13904" t="inlineStr">
        <is>
          <t>1937-12-23</t>
        </is>
      </c>
    </row>
    <row r="13905">
      <c r="A13905" s="1" t="n">
        <v>13904</v>
      </c>
      <c r="B13905">
        <f>TEXT(13904, "[$-0E0000]yyyy-mm-dd")</f>
        <v/>
      </c>
      <c r="C13905" t="inlineStr">
        <is>
          <t>1937-12-24</t>
        </is>
      </c>
    </row>
    <row r="13906">
      <c r="A13906" s="1" t="n">
        <v>13905</v>
      </c>
      <c r="B13906">
        <f>TEXT(13905, "[$-0E0000]yyyy-mm-dd")</f>
        <v/>
      </c>
      <c r="C13906" t="inlineStr">
        <is>
          <t>1937-12-25</t>
        </is>
      </c>
    </row>
    <row r="13907">
      <c r="A13907" s="1" t="n">
        <v>13906</v>
      </c>
      <c r="B13907">
        <f>TEXT(13906, "[$-0E0000]yyyy-mm-dd")</f>
        <v/>
      </c>
      <c r="C13907" t="inlineStr">
        <is>
          <t>1937-12-26</t>
        </is>
      </c>
    </row>
    <row r="13908">
      <c r="A13908" s="1" t="n">
        <v>13907</v>
      </c>
      <c r="B13908">
        <f>TEXT(13907, "[$-0E0000]yyyy-mm-dd")</f>
        <v/>
      </c>
      <c r="C13908" t="inlineStr">
        <is>
          <t>1937-12-27</t>
        </is>
      </c>
    </row>
    <row r="13909">
      <c r="A13909" s="1" t="n">
        <v>13908</v>
      </c>
      <c r="B13909">
        <f>TEXT(13908, "[$-0E0000]yyyy-mm-dd")</f>
        <v/>
      </c>
      <c r="C13909" t="inlineStr">
        <is>
          <t>1937-12-28</t>
        </is>
      </c>
    </row>
    <row r="13910">
      <c r="A13910" s="1" t="n">
        <v>13909</v>
      </c>
      <c r="B13910">
        <f>TEXT(13909, "[$-0E0000]yyyy-mm-dd")</f>
        <v/>
      </c>
      <c r="C13910" t="inlineStr">
        <is>
          <t>1937-12-29</t>
        </is>
      </c>
    </row>
    <row r="13911">
      <c r="A13911" s="1" t="n">
        <v>13910</v>
      </c>
      <c r="B13911">
        <f>TEXT(13910, "[$-0E0000]yyyy-mm-dd")</f>
        <v/>
      </c>
      <c r="C13911" t="inlineStr">
        <is>
          <t>1938-01-01</t>
        </is>
      </c>
    </row>
    <row r="13912">
      <c r="A13912" s="1" t="n">
        <v>13911</v>
      </c>
      <c r="B13912">
        <f>TEXT(13911, "[$-0E0000]yyyy-mm-dd")</f>
        <v/>
      </c>
      <c r="C13912" t="inlineStr">
        <is>
          <t>1938-01-02</t>
        </is>
      </c>
    </row>
    <row r="13913">
      <c r="A13913" s="1" t="n">
        <v>13912</v>
      </c>
      <c r="B13913">
        <f>TEXT(13912, "[$-0E0000]yyyy-mm-dd")</f>
        <v/>
      </c>
      <c r="C13913" t="inlineStr">
        <is>
          <t>1938-01-03</t>
        </is>
      </c>
    </row>
    <row r="13914">
      <c r="A13914" s="1" t="n">
        <v>13913</v>
      </c>
      <c r="B13914">
        <f>TEXT(13913, "[$-0E0000]yyyy-mm-dd")</f>
        <v/>
      </c>
      <c r="C13914" t="inlineStr">
        <is>
          <t>1938-01-04</t>
        </is>
      </c>
    </row>
    <row r="13915">
      <c r="A13915" s="1" t="n">
        <v>13914</v>
      </c>
      <c r="B13915">
        <f>TEXT(13914, "[$-0E0000]yyyy-mm-dd")</f>
        <v/>
      </c>
      <c r="C13915" t="inlineStr">
        <is>
          <t>1938-01-05</t>
        </is>
      </c>
    </row>
    <row r="13916">
      <c r="A13916" s="1" t="n">
        <v>13915</v>
      </c>
      <c r="B13916">
        <f>TEXT(13915, "[$-0E0000]yyyy-mm-dd")</f>
        <v/>
      </c>
      <c r="C13916" t="inlineStr">
        <is>
          <t>1938-01-06</t>
        </is>
      </c>
    </row>
    <row r="13917">
      <c r="A13917" s="1" t="n">
        <v>13916</v>
      </c>
      <c r="B13917">
        <f>TEXT(13916, "[$-0E0000]yyyy-mm-dd")</f>
        <v/>
      </c>
      <c r="C13917" t="inlineStr">
        <is>
          <t>1938-01-07</t>
        </is>
      </c>
    </row>
    <row r="13918">
      <c r="A13918" s="1" t="n">
        <v>13917</v>
      </c>
      <c r="B13918">
        <f>TEXT(13917, "[$-0E0000]yyyy-mm-dd")</f>
        <v/>
      </c>
      <c r="C13918" t="inlineStr">
        <is>
          <t>1938-01-08</t>
        </is>
      </c>
    </row>
    <row r="13919">
      <c r="A13919" s="1" t="n">
        <v>13918</v>
      </c>
      <c r="B13919">
        <f>TEXT(13918, "[$-0E0000]yyyy-mm-dd")</f>
        <v/>
      </c>
      <c r="C13919" t="inlineStr">
        <is>
          <t>1938-01-09</t>
        </is>
      </c>
    </row>
    <row r="13920">
      <c r="A13920" s="1" t="n">
        <v>13919</v>
      </c>
      <c r="B13920">
        <f>TEXT(13919, "[$-0E0000]yyyy-mm-dd")</f>
        <v/>
      </c>
      <c r="C13920" t="inlineStr">
        <is>
          <t>1938-01-10</t>
        </is>
      </c>
    </row>
    <row r="13921">
      <c r="A13921" s="1" t="n">
        <v>13920</v>
      </c>
      <c r="B13921">
        <f>TEXT(13920, "[$-0E0000]yyyy-mm-dd")</f>
        <v/>
      </c>
      <c r="C13921" t="inlineStr">
        <is>
          <t>1938-01-11</t>
        </is>
      </c>
    </row>
    <row r="13922">
      <c r="A13922" s="1" t="n">
        <v>13921</v>
      </c>
      <c r="B13922">
        <f>TEXT(13921, "[$-0E0000]yyyy-mm-dd")</f>
        <v/>
      </c>
      <c r="C13922" t="inlineStr">
        <is>
          <t>1938-01-12</t>
        </is>
      </c>
    </row>
    <row r="13923">
      <c r="A13923" s="1" t="n">
        <v>13922</v>
      </c>
      <c r="B13923">
        <f>TEXT(13922, "[$-0E0000]yyyy-mm-dd")</f>
        <v/>
      </c>
      <c r="C13923" t="inlineStr">
        <is>
          <t>1938-01-13</t>
        </is>
      </c>
    </row>
    <row r="13924">
      <c r="A13924" s="1" t="n">
        <v>13923</v>
      </c>
      <c r="B13924">
        <f>TEXT(13923, "[$-0E0000]yyyy-mm-dd")</f>
        <v/>
      </c>
      <c r="C13924" t="inlineStr">
        <is>
          <t>1938-01-14</t>
        </is>
      </c>
    </row>
    <row r="13925">
      <c r="A13925" s="1" t="n">
        <v>13924</v>
      </c>
      <c r="B13925">
        <f>TEXT(13924, "[$-0E0000]yyyy-mm-dd")</f>
        <v/>
      </c>
      <c r="C13925" t="inlineStr">
        <is>
          <t>1938-01-15</t>
        </is>
      </c>
    </row>
    <row r="13926">
      <c r="A13926" s="1" t="n">
        <v>13925</v>
      </c>
      <c r="B13926">
        <f>TEXT(13925, "[$-0E0000]yyyy-mm-dd")</f>
        <v/>
      </c>
      <c r="C13926" t="inlineStr">
        <is>
          <t>1938-01-16</t>
        </is>
      </c>
    </row>
    <row r="13927">
      <c r="A13927" s="1" t="n">
        <v>13926</v>
      </c>
      <c r="B13927">
        <f>TEXT(13926, "[$-0E0000]yyyy-mm-dd")</f>
        <v/>
      </c>
      <c r="C13927" t="inlineStr">
        <is>
          <t>1938-01-17</t>
        </is>
      </c>
    </row>
    <row r="13928">
      <c r="A13928" s="1" t="n">
        <v>13927</v>
      </c>
      <c r="B13928">
        <f>TEXT(13927, "[$-0E0000]yyyy-mm-dd")</f>
        <v/>
      </c>
      <c r="C13928" t="inlineStr">
        <is>
          <t>1938-01-18</t>
        </is>
      </c>
    </row>
    <row r="13929">
      <c r="A13929" s="1" t="n">
        <v>13928</v>
      </c>
      <c r="B13929">
        <f>TEXT(13928, "[$-0E0000]yyyy-mm-dd")</f>
        <v/>
      </c>
      <c r="C13929" t="inlineStr">
        <is>
          <t>1938-01-19</t>
        </is>
      </c>
    </row>
    <row r="13930">
      <c r="A13930" s="1" t="n">
        <v>13929</v>
      </c>
      <c r="B13930">
        <f>TEXT(13929, "[$-0E0000]yyyy-mm-dd")</f>
        <v/>
      </c>
      <c r="C13930" t="inlineStr">
        <is>
          <t>1938-01-20</t>
        </is>
      </c>
    </row>
    <row r="13931">
      <c r="A13931" s="1" t="n">
        <v>13930</v>
      </c>
      <c r="B13931">
        <f>TEXT(13930, "[$-0E0000]yyyy-mm-dd")</f>
        <v/>
      </c>
      <c r="C13931" t="inlineStr">
        <is>
          <t>1938-01-21</t>
        </is>
      </c>
    </row>
    <row r="13932">
      <c r="A13932" s="1" t="n">
        <v>13931</v>
      </c>
      <c r="B13932">
        <f>TEXT(13931, "[$-0E0000]yyyy-mm-dd")</f>
        <v/>
      </c>
      <c r="C13932" t="inlineStr">
        <is>
          <t>1938-01-22</t>
        </is>
      </c>
    </row>
    <row r="13933">
      <c r="A13933" s="1" t="n">
        <v>13932</v>
      </c>
      <c r="B13933">
        <f>TEXT(13932, "[$-0E0000]yyyy-mm-dd")</f>
        <v/>
      </c>
      <c r="C13933" t="inlineStr">
        <is>
          <t>1938-01-23</t>
        </is>
      </c>
    </row>
    <row r="13934">
      <c r="A13934" s="1" t="n">
        <v>13933</v>
      </c>
      <c r="B13934">
        <f>TEXT(13933, "[$-0E0000]yyyy-mm-dd")</f>
        <v/>
      </c>
      <c r="C13934" t="inlineStr">
        <is>
          <t>1938-01-24</t>
        </is>
      </c>
    </row>
    <row r="13935">
      <c r="A13935" s="1" t="n">
        <v>13934</v>
      </c>
      <c r="B13935">
        <f>TEXT(13934, "[$-0E0000]yyyy-mm-dd")</f>
        <v/>
      </c>
      <c r="C13935" t="inlineStr">
        <is>
          <t>1938-01-25</t>
        </is>
      </c>
    </row>
    <row r="13936">
      <c r="A13936" s="1" t="n">
        <v>13935</v>
      </c>
      <c r="B13936">
        <f>TEXT(13935, "[$-0E0000]yyyy-mm-dd")</f>
        <v/>
      </c>
      <c r="C13936" t="inlineStr">
        <is>
          <t>1938-01-26</t>
        </is>
      </c>
    </row>
    <row r="13937">
      <c r="A13937" s="1" t="n">
        <v>13936</v>
      </c>
      <c r="B13937">
        <f>TEXT(13936, "[$-0E0000]yyyy-mm-dd")</f>
        <v/>
      </c>
      <c r="C13937" t="inlineStr">
        <is>
          <t>1938-01-27</t>
        </is>
      </c>
    </row>
    <row r="13938">
      <c r="A13938" s="1" t="n">
        <v>13937</v>
      </c>
      <c r="B13938">
        <f>TEXT(13937, "[$-0E0000]yyyy-mm-dd")</f>
        <v/>
      </c>
      <c r="C13938" t="inlineStr">
        <is>
          <t>1938-01-28</t>
        </is>
      </c>
    </row>
    <row r="13939">
      <c r="A13939" s="1" t="n">
        <v>13938</v>
      </c>
      <c r="B13939">
        <f>TEXT(13938, "[$-0E0000]yyyy-mm-dd")</f>
        <v/>
      </c>
      <c r="C13939" t="inlineStr">
        <is>
          <t>1938-01-29</t>
        </is>
      </c>
    </row>
    <row r="13940">
      <c r="A13940" s="1" t="n">
        <v>13939</v>
      </c>
      <c r="B13940">
        <f>TEXT(13939, "[$-0E0000]yyyy-mm-dd")</f>
        <v/>
      </c>
      <c r="C13940" t="inlineStr">
        <is>
          <t>1938-01-30</t>
        </is>
      </c>
    </row>
    <row r="13941">
      <c r="A13941" s="1" t="n">
        <v>13940</v>
      </c>
      <c r="B13941">
        <f>TEXT(13940, "[$-0E0000]yyyy-mm-dd")</f>
        <v/>
      </c>
      <c r="C13941" t="inlineStr">
        <is>
          <t>1938-02-01</t>
        </is>
      </c>
    </row>
    <row r="13942">
      <c r="A13942" s="1" t="n">
        <v>13941</v>
      </c>
      <c r="B13942">
        <f>TEXT(13941, "[$-0E0000]yyyy-mm-dd")</f>
        <v/>
      </c>
      <c r="C13942" t="inlineStr">
        <is>
          <t>1938-02-02</t>
        </is>
      </c>
    </row>
    <row r="13943">
      <c r="A13943" s="1" t="n">
        <v>13942</v>
      </c>
      <c r="B13943">
        <f>TEXT(13942, "[$-0E0000]yyyy-mm-dd")</f>
        <v/>
      </c>
      <c r="C13943" t="inlineStr">
        <is>
          <t>1938-02-03</t>
        </is>
      </c>
    </row>
    <row r="13944">
      <c r="A13944" s="1" t="n">
        <v>13943</v>
      </c>
      <c r="B13944">
        <f>TEXT(13943, "[$-0E0000]yyyy-mm-dd")</f>
        <v/>
      </c>
      <c r="C13944" t="inlineStr">
        <is>
          <t>1938-02-04</t>
        </is>
      </c>
    </row>
    <row r="13945">
      <c r="A13945" s="1" t="n">
        <v>13944</v>
      </c>
      <c r="B13945">
        <f>TEXT(13944, "[$-0E0000]yyyy-mm-dd")</f>
        <v/>
      </c>
      <c r="C13945" t="inlineStr">
        <is>
          <t>1938-02-05</t>
        </is>
      </c>
    </row>
    <row r="13946">
      <c r="A13946" s="1" t="n">
        <v>13945</v>
      </c>
      <c r="B13946">
        <f>TEXT(13945, "[$-0E0000]yyyy-mm-dd")</f>
        <v/>
      </c>
      <c r="C13946" t="inlineStr">
        <is>
          <t>1938-02-06</t>
        </is>
      </c>
    </row>
    <row r="13947">
      <c r="A13947" s="1" t="n">
        <v>13946</v>
      </c>
      <c r="B13947">
        <f>TEXT(13946, "[$-0E0000]yyyy-mm-dd")</f>
        <v/>
      </c>
      <c r="C13947" t="inlineStr">
        <is>
          <t>1938-02-07</t>
        </is>
      </c>
    </row>
    <row r="13948">
      <c r="A13948" s="1" t="n">
        <v>13947</v>
      </c>
      <c r="B13948">
        <f>TEXT(13947, "[$-0E0000]yyyy-mm-dd")</f>
        <v/>
      </c>
      <c r="C13948" t="inlineStr">
        <is>
          <t>1938-02-08</t>
        </is>
      </c>
    </row>
    <row r="13949">
      <c r="A13949" s="1" t="n">
        <v>13948</v>
      </c>
      <c r="B13949">
        <f>TEXT(13948, "[$-0E0000]yyyy-mm-dd")</f>
        <v/>
      </c>
      <c r="C13949" t="inlineStr">
        <is>
          <t>1938-02-09</t>
        </is>
      </c>
    </row>
    <row r="13950">
      <c r="A13950" s="1" t="n">
        <v>13949</v>
      </c>
      <c r="B13950">
        <f>TEXT(13949, "[$-0E0000]yyyy-mm-dd")</f>
        <v/>
      </c>
      <c r="C13950" t="inlineStr">
        <is>
          <t>1938-02-10</t>
        </is>
      </c>
    </row>
    <row r="13951">
      <c r="A13951" s="1" t="n">
        <v>13950</v>
      </c>
      <c r="B13951">
        <f>TEXT(13950, "[$-0E0000]yyyy-mm-dd")</f>
        <v/>
      </c>
      <c r="C13951" t="inlineStr">
        <is>
          <t>1938-02-11</t>
        </is>
      </c>
    </row>
    <row r="13952">
      <c r="A13952" s="1" t="n">
        <v>13951</v>
      </c>
      <c r="B13952">
        <f>TEXT(13951, "[$-0E0000]yyyy-mm-dd")</f>
        <v/>
      </c>
      <c r="C13952" t="inlineStr">
        <is>
          <t>1938-02-12</t>
        </is>
      </c>
    </row>
    <row r="13953">
      <c r="A13953" s="1" t="n">
        <v>13952</v>
      </c>
      <c r="B13953">
        <f>TEXT(13952, "[$-0E0000]yyyy-mm-dd")</f>
        <v/>
      </c>
      <c r="C13953" t="inlineStr">
        <is>
          <t>1938-02-13</t>
        </is>
      </c>
    </row>
    <row r="13954">
      <c r="A13954" s="1" t="n">
        <v>13953</v>
      </c>
      <c r="B13954">
        <f>TEXT(13953, "[$-0E0000]yyyy-mm-dd")</f>
        <v/>
      </c>
      <c r="C13954" t="inlineStr">
        <is>
          <t>1938-02-14</t>
        </is>
      </c>
    </row>
    <row r="13955">
      <c r="A13955" s="1" t="n">
        <v>13954</v>
      </c>
      <c r="B13955">
        <f>TEXT(13954, "[$-0E0000]yyyy-mm-dd")</f>
        <v/>
      </c>
      <c r="C13955" t="inlineStr">
        <is>
          <t>1938-02-15</t>
        </is>
      </c>
    </row>
    <row r="13956">
      <c r="A13956" s="1" t="n">
        <v>13955</v>
      </c>
      <c r="B13956">
        <f>TEXT(13955, "[$-0E0000]yyyy-mm-dd")</f>
        <v/>
      </c>
      <c r="C13956" t="inlineStr">
        <is>
          <t>1938-02-16</t>
        </is>
      </c>
    </row>
    <row r="13957">
      <c r="A13957" s="1" t="n">
        <v>13956</v>
      </c>
      <c r="B13957">
        <f>TEXT(13956, "[$-0E0000]yyyy-mm-dd")</f>
        <v/>
      </c>
      <c r="C13957" t="inlineStr">
        <is>
          <t>1938-02-17</t>
        </is>
      </c>
    </row>
    <row r="13958">
      <c r="A13958" s="1" t="n">
        <v>13957</v>
      </c>
      <c r="B13958">
        <f>TEXT(13957, "[$-0E0000]yyyy-mm-dd")</f>
        <v/>
      </c>
      <c r="C13958" t="inlineStr">
        <is>
          <t>1938-02-18</t>
        </is>
      </c>
    </row>
    <row r="13959">
      <c r="A13959" s="1" t="n">
        <v>13958</v>
      </c>
      <c r="B13959">
        <f>TEXT(13958, "[$-0E0000]yyyy-mm-dd")</f>
        <v/>
      </c>
      <c r="C13959" t="inlineStr">
        <is>
          <t>1938-02-19</t>
        </is>
      </c>
    </row>
    <row r="13960">
      <c r="A13960" s="1" t="n">
        <v>13959</v>
      </c>
      <c r="B13960">
        <f>TEXT(13959, "[$-0E0000]yyyy-mm-dd")</f>
        <v/>
      </c>
      <c r="C13960" t="inlineStr">
        <is>
          <t>1938-02-20</t>
        </is>
      </c>
    </row>
    <row r="13961">
      <c r="A13961" s="1" t="n">
        <v>13960</v>
      </c>
      <c r="B13961">
        <f>TEXT(13960, "[$-0E0000]yyyy-mm-dd")</f>
        <v/>
      </c>
      <c r="C13961" t="inlineStr">
        <is>
          <t>1938-02-21</t>
        </is>
      </c>
    </row>
    <row r="13962">
      <c r="A13962" s="1" t="n">
        <v>13961</v>
      </c>
      <c r="B13962">
        <f>TEXT(13961, "[$-0E0000]yyyy-mm-dd")</f>
        <v/>
      </c>
      <c r="C13962" t="inlineStr">
        <is>
          <t>1938-02-22</t>
        </is>
      </c>
    </row>
    <row r="13963">
      <c r="A13963" s="1" t="n">
        <v>13962</v>
      </c>
      <c r="B13963">
        <f>TEXT(13962, "[$-0E0000]yyyy-mm-dd")</f>
        <v/>
      </c>
      <c r="C13963" t="inlineStr">
        <is>
          <t>1938-02-23</t>
        </is>
      </c>
    </row>
    <row r="13964">
      <c r="A13964" s="1" t="n">
        <v>13963</v>
      </c>
      <c r="B13964">
        <f>TEXT(13963, "[$-0E0000]yyyy-mm-dd")</f>
        <v/>
      </c>
      <c r="C13964" t="inlineStr">
        <is>
          <t>1938-02-24</t>
        </is>
      </c>
    </row>
    <row r="13965">
      <c r="A13965" s="1" t="n">
        <v>13964</v>
      </c>
      <c r="B13965">
        <f>TEXT(13964, "[$-0E0000]yyyy-mm-dd")</f>
        <v/>
      </c>
      <c r="C13965" t="inlineStr">
        <is>
          <t>1938-02-25</t>
        </is>
      </c>
    </row>
    <row r="13966">
      <c r="A13966" s="1" t="n">
        <v>13965</v>
      </c>
      <c r="B13966">
        <f>TEXT(13965, "[$-0E0000]yyyy-mm-dd")</f>
        <v/>
      </c>
      <c r="C13966" t="inlineStr">
        <is>
          <t>1938-02-26</t>
        </is>
      </c>
    </row>
    <row r="13967">
      <c r="A13967" s="1" t="n">
        <v>13966</v>
      </c>
      <c r="B13967">
        <f>TEXT(13966, "[$-0E0000]yyyy-mm-dd")</f>
        <v/>
      </c>
      <c r="C13967" t="inlineStr">
        <is>
          <t>1938-02-27</t>
        </is>
      </c>
    </row>
    <row r="13968">
      <c r="A13968" s="1" t="n">
        <v>13967</v>
      </c>
      <c r="B13968">
        <f>TEXT(13967, "[$-0E0000]yyyy-mm-dd")</f>
        <v/>
      </c>
      <c r="C13968" t="inlineStr">
        <is>
          <t>1938-02-28</t>
        </is>
      </c>
    </row>
    <row r="13969">
      <c r="A13969" s="1" t="n">
        <v>13968</v>
      </c>
      <c r="B13969">
        <f>TEXT(13968, "[$-0E0000]yyyy-mm-dd")</f>
        <v/>
      </c>
      <c r="C13969" t="inlineStr">
        <is>
          <t>1938-02-29</t>
        </is>
      </c>
    </row>
    <row r="13970">
      <c r="A13970" s="1" t="n">
        <v>13969</v>
      </c>
      <c r="B13970">
        <f>TEXT(13969, "[$-0E0000]yyyy-mm-dd")</f>
        <v/>
      </c>
      <c r="C13970" t="inlineStr">
        <is>
          <t>1938-02-30</t>
        </is>
      </c>
    </row>
    <row r="13971">
      <c r="A13971" s="1" t="n">
        <v>13970</v>
      </c>
      <c r="B13971">
        <f>TEXT(13970, "[$-0E0000]yyyy-mm-dd")</f>
        <v/>
      </c>
      <c r="C13971" t="inlineStr">
        <is>
          <t>1938-03-01</t>
        </is>
      </c>
    </row>
    <row r="13972">
      <c r="A13972" s="1" t="n">
        <v>13971</v>
      </c>
      <c r="B13972">
        <f>TEXT(13971, "[$-0E0000]yyyy-mm-dd")</f>
        <v/>
      </c>
      <c r="C13972" t="inlineStr">
        <is>
          <t>1938-03-02</t>
        </is>
      </c>
    </row>
    <row r="13973">
      <c r="A13973" s="1" t="n">
        <v>13972</v>
      </c>
      <c r="B13973">
        <f>TEXT(13972, "[$-0E0000]yyyy-mm-dd")</f>
        <v/>
      </c>
      <c r="C13973" t="inlineStr">
        <is>
          <t>1938-03-03</t>
        </is>
      </c>
    </row>
    <row r="13974">
      <c r="A13974" s="1" t="n">
        <v>13973</v>
      </c>
      <c r="B13974">
        <f>TEXT(13973, "[$-0E0000]yyyy-mm-dd")</f>
        <v/>
      </c>
      <c r="C13974" t="inlineStr">
        <is>
          <t>1938-03-04</t>
        </is>
      </c>
    </row>
    <row r="13975">
      <c r="A13975" s="1" t="n">
        <v>13974</v>
      </c>
      <c r="B13975">
        <f>TEXT(13974, "[$-0E0000]yyyy-mm-dd")</f>
        <v/>
      </c>
      <c r="C13975" t="inlineStr">
        <is>
          <t>1938-03-05</t>
        </is>
      </c>
    </row>
    <row r="13976">
      <c r="A13976" s="1" t="n">
        <v>13975</v>
      </c>
      <c r="B13976">
        <f>TEXT(13975, "[$-0E0000]yyyy-mm-dd")</f>
        <v/>
      </c>
      <c r="C13976" t="inlineStr">
        <is>
          <t>1938-03-06</t>
        </is>
      </c>
    </row>
    <row r="13977">
      <c r="A13977" s="1" t="n">
        <v>13976</v>
      </c>
      <c r="B13977">
        <f>TEXT(13976, "[$-0E0000]yyyy-mm-dd")</f>
        <v/>
      </c>
      <c r="C13977" t="inlineStr">
        <is>
          <t>1938-03-07</t>
        </is>
      </c>
    </row>
    <row r="13978">
      <c r="A13978" s="1" t="n">
        <v>13977</v>
      </c>
      <c r="B13978">
        <f>TEXT(13977, "[$-0E0000]yyyy-mm-dd")</f>
        <v/>
      </c>
      <c r="C13978" t="inlineStr">
        <is>
          <t>1938-03-08</t>
        </is>
      </c>
    </row>
    <row r="13979">
      <c r="A13979" s="1" t="n">
        <v>13978</v>
      </c>
      <c r="B13979">
        <f>TEXT(13978, "[$-0E0000]yyyy-mm-dd")</f>
        <v/>
      </c>
      <c r="C13979" t="inlineStr">
        <is>
          <t>1938-03-09</t>
        </is>
      </c>
    </row>
    <row r="13980">
      <c r="A13980" s="1" t="n">
        <v>13979</v>
      </c>
      <c r="B13980">
        <f>TEXT(13979, "[$-0E0000]yyyy-mm-dd")</f>
        <v/>
      </c>
      <c r="C13980" t="inlineStr">
        <is>
          <t>1938-03-10</t>
        </is>
      </c>
    </row>
    <row r="13981">
      <c r="A13981" s="1" t="n">
        <v>13980</v>
      </c>
      <c r="B13981">
        <f>TEXT(13980, "[$-0E0000]yyyy-mm-dd")</f>
        <v/>
      </c>
      <c r="C13981" t="inlineStr">
        <is>
          <t>1938-03-11</t>
        </is>
      </c>
    </row>
    <row r="13982">
      <c r="A13982" s="1" t="n">
        <v>13981</v>
      </c>
      <c r="B13982">
        <f>TEXT(13981, "[$-0E0000]yyyy-mm-dd")</f>
        <v/>
      </c>
      <c r="C13982" t="inlineStr">
        <is>
          <t>1938-03-12</t>
        </is>
      </c>
    </row>
    <row r="13983">
      <c r="A13983" s="1" t="n">
        <v>13982</v>
      </c>
      <c r="B13983">
        <f>TEXT(13982, "[$-0E0000]yyyy-mm-dd")</f>
        <v/>
      </c>
      <c r="C13983" t="inlineStr">
        <is>
          <t>1938-03-13</t>
        </is>
      </c>
    </row>
    <row r="13984">
      <c r="A13984" s="1" t="n">
        <v>13983</v>
      </c>
      <c r="B13984">
        <f>TEXT(13983, "[$-0E0000]yyyy-mm-dd")</f>
        <v/>
      </c>
      <c r="C13984" t="inlineStr">
        <is>
          <t>1938-03-14</t>
        </is>
      </c>
    </row>
    <row r="13985">
      <c r="A13985" s="1" t="n">
        <v>13984</v>
      </c>
      <c r="B13985">
        <f>TEXT(13984, "[$-0E0000]yyyy-mm-dd")</f>
        <v/>
      </c>
      <c r="C13985" t="inlineStr">
        <is>
          <t>1938-03-15</t>
        </is>
      </c>
    </row>
    <row r="13986">
      <c r="A13986" s="1" t="n">
        <v>13985</v>
      </c>
      <c r="B13986">
        <f>TEXT(13985, "[$-0E0000]yyyy-mm-dd")</f>
        <v/>
      </c>
      <c r="C13986" t="inlineStr">
        <is>
          <t>1938-03-16</t>
        </is>
      </c>
    </row>
    <row r="13987">
      <c r="A13987" s="1" t="n">
        <v>13986</v>
      </c>
      <c r="B13987">
        <f>TEXT(13986, "[$-0E0000]yyyy-mm-dd")</f>
        <v/>
      </c>
      <c r="C13987" t="inlineStr">
        <is>
          <t>1938-03-17</t>
        </is>
      </c>
    </row>
    <row r="13988">
      <c r="A13988" s="1" t="n">
        <v>13987</v>
      </c>
      <c r="B13988">
        <f>TEXT(13987, "[$-0E0000]yyyy-mm-dd")</f>
        <v/>
      </c>
      <c r="C13988" t="inlineStr">
        <is>
          <t>1938-03-18</t>
        </is>
      </c>
    </row>
    <row r="13989">
      <c r="A13989" s="1" t="n">
        <v>13988</v>
      </c>
      <c r="B13989">
        <f>TEXT(13988, "[$-0E0000]yyyy-mm-dd")</f>
        <v/>
      </c>
      <c r="C13989" t="inlineStr">
        <is>
          <t>1938-03-19</t>
        </is>
      </c>
    </row>
    <row r="13990">
      <c r="A13990" s="1" t="n">
        <v>13989</v>
      </c>
      <c r="B13990">
        <f>TEXT(13989, "[$-0E0000]yyyy-mm-dd")</f>
        <v/>
      </c>
      <c r="C13990" t="inlineStr">
        <is>
          <t>1938-03-20</t>
        </is>
      </c>
    </row>
    <row r="13991">
      <c r="A13991" s="1" t="n">
        <v>13990</v>
      </c>
      <c r="B13991">
        <f>TEXT(13990, "[$-0E0000]yyyy-mm-dd")</f>
        <v/>
      </c>
      <c r="C13991" t="inlineStr">
        <is>
          <t>1938-03-21</t>
        </is>
      </c>
    </row>
    <row r="13992">
      <c r="A13992" s="1" t="n">
        <v>13991</v>
      </c>
      <c r="B13992">
        <f>TEXT(13991, "[$-0E0000]yyyy-mm-dd")</f>
        <v/>
      </c>
      <c r="C13992" t="inlineStr">
        <is>
          <t>1938-03-22</t>
        </is>
      </c>
    </row>
    <row r="13993">
      <c r="A13993" s="1" t="n">
        <v>13992</v>
      </c>
      <c r="B13993">
        <f>TEXT(13992, "[$-0E0000]yyyy-mm-dd")</f>
        <v/>
      </c>
      <c r="C13993" t="inlineStr">
        <is>
          <t>1938-03-23</t>
        </is>
      </c>
    </row>
    <row r="13994">
      <c r="A13994" s="1" t="n">
        <v>13993</v>
      </c>
      <c r="B13994">
        <f>TEXT(13993, "[$-0E0000]yyyy-mm-dd")</f>
        <v/>
      </c>
      <c r="C13994" t="inlineStr">
        <is>
          <t>1938-03-24</t>
        </is>
      </c>
    </row>
    <row r="13995">
      <c r="A13995" s="1" t="n">
        <v>13994</v>
      </c>
      <c r="B13995">
        <f>TEXT(13994, "[$-0E0000]yyyy-mm-dd")</f>
        <v/>
      </c>
      <c r="C13995" t="inlineStr">
        <is>
          <t>1938-03-25</t>
        </is>
      </c>
    </row>
    <row r="13996">
      <c r="A13996" s="1" t="n">
        <v>13995</v>
      </c>
      <c r="B13996">
        <f>TEXT(13995, "[$-0E0000]yyyy-mm-dd")</f>
        <v/>
      </c>
      <c r="C13996" t="inlineStr">
        <is>
          <t>1938-03-26</t>
        </is>
      </c>
    </row>
    <row r="13997">
      <c r="A13997" s="1" t="n">
        <v>13996</v>
      </c>
      <c r="B13997">
        <f>TEXT(13996, "[$-0E0000]yyyy-mm-dd")</f>
        <v/>
      </c>
      <c r="C13997" t="inlineStr">
        <is>
          <t>1938-03-27</t>
        </is>
      </c>
    </row>
    <row r="13998">
      <c r="A13998" s="1" t="n">
        <v>13997</v>
      </c>
      <c r="B13998">
        <f>TEXT(13997, "[$-0E0000]yyyy-mm-dd")</f>
        <v/>
      </c>
      <c r="C13998" t="inlineStr">
        <is>
          <t>1938-03-28</t>
        </is>
      </c>
    </row>
    <row r="13999">
      <c r="A13999" s="1" t="n">
        <v>13998</v>
      </c>
      <c r="B13999">
        <f>TEXT(13998, "[$-0E0000]yyyy-mm-dd")</f>
        <v/>
      </c>
      <c r="C13999" t="inlineStr">
        <is>
          <t>1938-03-29</t>
        </is>
      </c>
    </row>
    <row r="14000">
      <c r="A14000" s="1" t="n">
        <v>13999</v>
      </c>
      <c r="B14000">
        <f>TEXT(13999, "[$-0E0000]yyyy-mm-dd")</f>
        <v/>
      </c>
      <c r="C14000" t="inlineStr">
        <is>
          <t>1938-04-01</t>
        </is>
      </c>
    </row>
    <row r="14001">
      <c r="A14001" s="1" t="n">
        <v>14000</v>
      </c>
      <c r="B14001">
        <f>TEXT(14000, "[$-0E0000]yyyy-mm-dd")</f>
        <v/>
      </c>
      <c r="C14001" t="inlineStr">
        <is>
          <t>1938-04-02</t>
        </is>
      </c>
    </row>
    <row r="14002">
      <c r="A14002" s="1" t="n">
        <v>14001</v>
      </c>
      <c r="B14002">
        <f>TEXT(14001, "[$-0E0000]yyyy-mm-dd")</f>
        <v/>
      </c>
      <c r="C14002" t="inlineStr">
        <is>
          <t>1938-04-03</t>
        </is>
      </c>
    </row>
    <row r="14003">
      <c r="A14003" s="1" t="n">
        <v>14002</v>
      </c>
      <c r="B14003">
        <f>TEXT(14002, "[$-0E0000]yyyy-mm-dd")</f>
        <v/>
      </c>
      <c r="C14003" t="inlineStr">
        <is>
          <t>1938-04-04</t>
        </is>
      </c>
    </row>
    <row r="14004">
      <c r="A14004" s="1" t="n">
        <v>14003</v>
      </c>
      <c r="B14004">
        <f>TEXT(14003, "[$-0E0000]yyyy-mm-dd")</f>
        <v/>
      </c>
      <c r="C14004" t="inlineStr">
        <is>
          <t>1938-04-05</t>
        </is>
      </c>
    </row>
    <row r="14005">
      <c r="A14005" s="1" t="n">
        <v>14004</v>
      </c>
      <c r="B14005">
        <f>TEXT(14004, "[$-0E0000]yyyy-mm-dd")</f>
        <v/>
      </c>
      <c r="C14005" t="inlineStr">
        <is>
          <t>1938-04-06</t>
        </is>
      </c>
    </row>
    <row r="14006">
      <c r="A14006" s="1" t="n">
        <v>14005</v>
      </c>
      <c r="B14006">
        <f>TEXT(14005, "[$-0E0000]yyyy-mm-dd")</f>
        <v/>
      </c>
      <c r="C14006" t="inlineStr">
        <is>
          <t>1938-04-07</t>
        </is>
      </c>
    </row>
    <row r="14007">
      <c r="A14007" s="1" t="n">
        <v>14006</v>
      </c>
      <c r="B14007">
        <f>TEXT(14006, "[$-0E0000]yyyy-mm-dd")</f>
        <v/>
      </c>
      <c r="C14007" t="inlineStr">
        <is>
          <t>1938-04-08</t>
        </is>
      </c>
    </row>
    <row r="14008">
      <c r="A14008" s="1" t="n">
        <v>14007</v>
      </c>
      <c r="B14008">
        <f>TEXT(14007, "[$-0E0000]yyyy-mm-dd")</f>
        <v/>
      </c>
      <c r="C14008" t="inlineStr">
        <is>
          <t>1938-04-09</t>
        </is>
      </c>
    </row>
    <row r="14009">
      <c r="A14009" s="1" t="n">
        <v>14008</v>
      </c>
      <c r="B14009">
        <f>TEXT(14008, "[$-0E0000]yyyy-mm-dd")</f>
        <v/>
      </c>
      <c r="C14009" t="inlineStr">
        <is>
          <t>1938-04-10</t>
        </is>
      </c>
    </row>
    <row r="14010">
      <c r="A14010" s="1" t="n">
        <v>14009</v>
      </c>
      <c r="B14010">
        <f>TEXT(14009, "[$-0E0000]yyyy-mm-dd")</f>
        <v/>
      </c>
      <c r="C14010" t="inlineStr">
        <is>
          <t>1938-04-11</t>
        </is>
      </c>
    </row>
    <row r="14011">
      <c r="A14011" s="1" t="n">
        <v>14010</v>
      </c>
      <c r="B14011">
        <f>TEXT(14010, "[$-0E0000]yyyy-mm-dd")</f>
        <v/>
      </c>
      <c r="C14011" t="inlineStr">
        <is>
          <t>1938-04-12</t>
        </is>
      </c>
    </row>
    <row r="14012">
      <c r="A14012" s="1" t="n">
        <v>14011</v>
      </c>
      <c r="B14012">
        <f>TEXT(14011, "[$-0E0000]yyyy-mm-dd")</f>
        <v/>
      </c>
      <c r="C14012" t="inlineStr">
        <is>
          <t>1938-04-13</t>
        </is>
      </c>
    </row>
    <row r="14013">
      <c r="A14013" s="1" t="n">
        <v>14012</v>
      </c>
      <c r="B14013">
        <f>TEXT(14012, "[$-0E0000]yyyy-mm-dd")</f>
        <v/>
      </c>
      <c r="C14013" t="inlineStr">
        <is>
          <t>1938-04-14</t>
        </is>
      </c>
    </row>
    <row r="14014">
      <c r="A14014" s="1" t="n">
        <v>14013</v>
      </c>
      <c r="B14014">
        <f>TEXT(14013, "[$-0E0000]yyyy-mm-dd")</f>
        <v/>
      </c>
      <c r="C14014" t="inlineStr">
        <is>
          <t>1938-04-15</t>
        </is>
      </c>
    </row>
    <row r="14015">
      <c r="A14015" s="1" t="n">
        <v>14014</v>
      </c>
      <c r="B14015">
        <f>TEXT(14014, "[$-0E0000]yyyy-mm-dd")</f>
        <v/>
      </c>
      <c r="C14015" t="inlineStr">
        <is>
          <t>1938-04-16</t>
        </is>
      </c>
    </row>
    <row r="14016">
      <c r="A14016" s="1" t="n">
        <v>14015</v>
      </c>
      <c r="B14016">
        <f>TEXT(14015, "[$-0E0000]yyyy-mm-dd")</f>
        <v/>
      </c>
      <c r="C14016" t="inlineStr">
        <is>
          <t>1938-04-17</t>
        </is>
      </c>
    </row>
    <row r="14017">
      <c r="A14017" s="1" t="n">
        <v>14016</v>
      </c>
      <c r="B14017">
        <f>TEXT(14016, "[$-0E0000]yyyy-mm-dd")</f>
        <v/>
      </c>
      <c r="C14017" t="inlineStr">
        <is>
          <t>1938-04-18</t>
        </is>
      </c>
    </row>
    <row r="14018">
      <c r="A14018" s="1" t="n">
        <v>14017</v>
      </c>
      <c r="B14018">
        <f>TEXT(14017, "[$-0E0000]yyyy-mm-dd")</f>
        <v/>
      </c>
      <c r="C14018" t="inlineStr">
        <is>
          <t>1938-04-19</t>
        </is>
      </c>
    </row>
    <row r="14019">
      <c r="A14019" s="1" t="n">
        <v>14018</v>
      </c>
      <c r="B14019">
        <f>TEXT(14018, "[$-0E0000]yyyy-mm-dd")</f>
        <v/>
      </c>
      <c r="C14019" t="inlineStr">
        <is>
          <t>1938-04-20</t>
        </is>
      </c>
    </row>
    <row r="14020">
      <c r="A14020" s="1" t="n">
        <v>14019</v>
      </c>
      <c r="B14020">
        <f>TEXT(14019, "[$-0E0000]yyyy-mm-dd")</f>
        <v/>
      </c>
      <c r="C14020" t="inlineStr">
        <is>
          <t>1938-04-21</t>
        </is>
      </c>
    </row>
    <row r="14021">
      <c r="A14021" s="1" t="n">
        <v>14020</v>
      </c>
      <c r="B14021">
        <f>TEXT(14020, "[$-0E0000]yyyy-mm-dd")</f>
        <v/>
      </c>
      <c r="C14021" t="inlineStr">
        <is>
          <t>1938-04-22</t>
        </is>
      </c>
    </row>
    <row r="14022">
      <c r="A14022" s="1" t="n">
        <v>14021</v>
      </c>
      <c r="B14022">
        <f>TEXT(14021, "[$-0E0000]yyyy-mm-dd")</f>
        <v/>
      </c>
      <c r="C14022" t="inlineStr">
        <is>
          <t>1938-04-23</t>
        </is>
      </c>
    </row>
    <row r="14023">
      <c r="A14023" s="1" t="n">
        <v>14022</v>
      </c>
      <c r="B14023">
        <f>TEXT(14022, "[$-0E0000]yyyy-mm-dd")</f>
        <v/>
      </c>
      <c r="C14023" t="inlineStr">
        <is>
          <t>1938-04-24</t>
        </is>
      </c>
    </row>
    <row r="14024">
      <c r="A14024" s="1" t="n">
        <v>14023</v>
      </c>
      <c r="B14024">
        <f>TEXT(14023, "[$-0E0000]yyyy-mm-dd")</f>
        <v/>
      </c>
      <c r="C14024" t="inlineStr">
        <is>
          <t>1938-04-25</t>
        </is>
      </c>
    </row>
    <row r="14025">
      <c r="A14025" s="1" t="n">
        <v>14024</v>
      </c>
      <c r="B14025">
        <f>TEXT(14024, "[$-0E0000]yyyy-mm-dd")</f>
        <v/>
      </c>
      <c r="C14025" t="inlineStr">
        <is>
          <t>1938-04-26</t>
        </is>
      </c>
    </row>
    <row r="14026">
      <c r="A14026" s="1" t="n">
        <v>14025</v>
      </c>
      <c r="B14026">
        <f>TEXT(14025, "[$-0E0000]yyyy-mm-dd")</f>
        <v/>
      </c>
      <c r="C14026" t="inlineStr">
        <is>
          <t>1938-04-27</t>
        </is>
      </c>
    </row>
    <row r="14027">
      <c r="A14027" s="1" t="n">
        <v>14026</v>
      </c>
      <c r="B14027">
        <f>TEXT(14026, "[$-0E0000]yyyy-mm-dd")</f>
        <v/>
      </c>
      <c r="C14027" t="inlineStr">
        <is>
          <t>1938-04-28</t>
        </is>
      </c>
    </row>
    <row r="14028">
      <c r="A14028" s="1" t="n">
        <v>14027</v>
      </c>
      <c r="B14028">
        <f>TEXT(14027, "[$-0E0000]yyyy-mm-dd")</f>
        <v/>
      </c>
      <c r="C14028" t="inlineStr">
        <is>
          <t>1938-04-29</t>
        </is>
      </c>
    </row>
    <row r="14029">
      <c r="A14029" s="1" t="n">
        <v>14028</v>
      </c>
      <c r="B14029">
        <f>TEXT(14028, "[$-0E0000]yyyy-mm-dd")</f>
        <v/>
      </c>
      <c r="C14029" t="inlineStr">
        <is>
          <t>1938-05-01</t>
        </is>
      </c>
    </row>
    <row r="14030">
      <c r="A14030" s="1" t="n">
        <v>14029</v>
      </c>
      <c r="B14030">
        <f>TEXT(14029, "[$-0E0000]yyyy-mm-dd")</f>
        <v/>
      </c>
      <c r="C14030" t="inlineStr">
        <is>
          <t>1938-05-02</t>
        </is>
      </c>
    </row>
    <row r="14031">
      <c r="A14031" s="1" t="n">
        <v>14030</v>
      </c>
      <c r="B14031">
        <f>TEXT(14030, "[$-0E0000]yyyy-mm-dd")</f>
        <v/>
      </c>
      <c r="C14031" t="inlineStr">
        <is>
          <t>1938-05-03</t>
        </is>
      </c>
    </row>
    <row r="14032">
      <c r="A14032" s="1" t="n">
        <v>14031</v>
      </c>
      <c r="B14032">
        <f>TEXT(14031, "[$-0E0000]yyyy-mm-dd")</f>
        <v/>
      </c>
      <c r="C14032" t="inlineStr">
        <is>
          <t>1938-05-04</t>
        </is>
      </c>
    </row>
    <row r="14033">
      <c r="A14033" s="1" t="n">
        <v>14032</v>
      </c>
      <c r="B14033">
        <f>TEXT(14032, "[$-0E0000]yyyy-mm-dd")</f>
        <v/>
      </c>
      <c r="C14033" t="inlineStr">
        <is>
          <t>1938-05-05</t>
        </is>
      </c>
    </row>
    <row r="14034">
      <c r="A14034" s="1" t="n">
        <v>14033</v>
      </c>
      <c r="B14034">
        <f>TEXT(14033, "[$-0E0000]yyyy-mm-dd")</f>
        <v/>
      </c>
      <c r="C14034" t="inlineStr">
        <is>
          <t>1938-05-06</t>
        </is>
      </c>
    </row>
    <row r="14035">
      <c r="A14035" s="1" t="n">
        <v>14034</v>
      </c>
      <c r="B14035">
        <f>TEXT(14034, "[$-0E0000]yyyy-mm-dd")</f>
        <v/>
      </c>
      <c r="C14035" t="inlineStr">
        <is>
          <t>1938-05-07</t>
        </is>
      </c>
    </row>
    <row r="14036">
      <c r="A14036" s="1" t="n">
        <v>14035</v>
      </c>
      <c r="B14036">
        <f>TEXT(14035, "[$-0E0000]yyyy-mm-dd")</f>
        <v/>
      </c>
      <c r="C14036" t="inlineStr">
        <is>
          <t>1938-05-08</t>
        </is>
      </c>
    </row>
    <row r="14037">
      <c r="A14037" s="1" t="n">
        <v>14036</v>
      </c>
      <c r="B14037">
        <f>TEXT(14036, "[$-0E0000]yyyy-mm-dd")</f>
        <v/>
      </c>
      <c r="C14037" t="inlineStr">
        <is>
          <t>1938-05-09</t>
        </is>
      </c>
    </row>
    <row r="14038">
      <c r="A14038" s="1" t="n">
        <v>14037</v>
      </c>
      <c r="B14038">
        <f>TEXT(14037, "[$-0E0000]yyyy-mm-dd")</f>
        <v/>
      </c>
      <c r="C14038" t="inlineStr">
        <is>
          <t>1938-05-10</t>
        </is>
      </c>
    </row>
    <row r="14039">
      <c r="A14039" s="1" t="n">
        <v>14038</v>
      </c>
      <c r="B14039">
        <f>TEXT(14038, "[$-0E0000]yyyy-mm-dd")</f>
        <v/>
      </c>
      <c r="C14039" t="inlineStr">
        <is>
          <t>1938-05-11</t>
        </is>
      </c>
    </row>
    <row r="14040">
      <c r="A14040" s="1" t="n">
        <v>14039</v>
      </c>
      <c r="B14040">
        <f>TEXT(14039, "[$-0E0000]yyyy-mm-dd")</f>
        <v/>
      </c>
      <c r="C14040" t="inlineStr">
        <is>
          <t>1938-05-12</t>
        </is>
      </c>
    </row>
    <row r="14041">
      <c r="A14041" s="1" t="n">
        <v>14040</v>
      </c>
      <c r="B14041">
        <f>TEXT(14040, "[$-0E0000]yyyy-mm-dd")</f>
        <v/>
      </c>
      <c r="C14041" t="inlineStr">
        <is>
          <t>1938-05-13</t>
        </is>
      </c>
    </row>
    <row r="14042">
      <c r="A14042" s="1" t="n">
        <v>14041</v>
      </c>
      <c r="B14042">
        <f>TEXT(14041, "[$-0E0000]yyyy-mm-dd")</f>
        <v/>
      </c>
      <c r="C14042" t="inlineStr">
        <is>
          <t>1938-05-14</t>
        </is>
      </c>
    </row>
    <row r="14043">
      <c r="A14043" s="1" t="n">
        <v>14042</v>
      </c>
      <c r="B14043">
        <f>TEXT(14042, "[$-0E0000]yyyy-mm-dd")</f>
        <v/>
      </c>
      <c r="C14043" t="inlineStr">
        <is>
          <t>1938-05-15</t>
        </is>
      </c>
    </row>
    <row r="14044">
      <c r="A14044" s="1" t="n">
        <v>14043</v>
      </c>
      <c r="B14044">
        <f>TEXT(14043, "[$-0E0000]yyyy-mm-dd")</f>
        <v/>
      </c>
      <c r="C14044" t="inlineStr">
        <is>
          <t>1938-05-16</t>
        </is>
      </c>
    </row>
    <row r="14045">
      <c r="A14045" s="1" t="n">
        <v>14044</v>
      </c>
      <c r="B14045">
        <f>TEXT(14044, "[$-0E0000]yyyy-mm-dd")</f>
        <v/>
      </c>
      <c r="C14045" t="inlineStr">
        <is>
          <t>1938-05-17</t>
        </is>
      </c>
    </row>
    <row r="14046">
      <c r="A14046" s="1" t="n">
        <v>14045</v>
      </c>
      <c r="B14046">
        <f>TEXT(14045, "[$-0E0000]yyyy-mm-dd")</f>
        <v/>
      </c>
      <c r="C14046" t="inlineStr">
        <is>
          <t>1938-05-18</t>
        </is>
      </c>
    </row>
    <row r="14047">
      <c r="A14047" s="1" t="n">
        <v>14046</v>
      </c>
      <c r="B14047">
        <f>TEXT(14046, "[$-0E0000]yyyy-mm-dd")</f>
        <v/>
      </c>
      <c r="C14047" t="inlineStr">
        <is>
          <t>1938-05-19</t>
        </is>
      </c>
    </row>
    <row r="14048">
      <c r="A14048" s="1" t="n">
        <v>14047</v>
      </c>
      <c r="B14048">
        <f>TEXT(14047, "[$-0E0000]yyyy-mm-dd")</f>
        <v/>
      </c>
      <c r="C14048" t="inlineStr">
        <is>
          <t>1938-05-20</t>
        </is>
      </c>
    </row>
    <row r="14049">
      <c r="A14049" s="1" t="n">
        <v>14048</v>
      </c>
      <c r="B14049">
        <f>TEXT(14048, "[$-0E0000]yyyy-mm-dd")</f>
        <v/>
      </c>
      <c r="C14049" t="inlineStr">
        <is>
          <t>1938-05-21</t>
        </is>
      </c>
    </row>
    <row r="14050">
      <c r="A14050" s="1" t="n">
        <v>14049</v>
      </c>
      <c r="B14050">
        <f>TEXT(14049, "[$-0E0000]yyyy-mm-dd")</f>
        <v/>
      </c>
      <c r="C14050" t="inlineStr">
        <is>
          <t>1938-05-22</t>
        </is>
      </c>
    </row>
    <row r="14051">
      <c r="A14051" s="1" t="n">
        <v>14050</v>
      </c>
      <c r="B14051">
        <f>TEXT(14050, "[$-0E0000]yyyy-mm-dd")</f>
        <v/>
      </c>
      <c r="C14051" t="inlineStr">
        <is>
          <t>1938-05-23</t>
        </is>
      </c>
    </row>
    <row r="14052">
      <c r="A14052" s="1" t="n">
        <v>14051</v>
      </c>
      <c r="B14052">
        <f>TEXT(14051, "[$-0E0000]yyyy-mm-dd")</f>
        <v/>
      </c>
      <c r="C14052" t="inlineStr">
        <is>
          <t>1938-05-24</t>
        </is>
      </c>
    </row>
    <row r="14053">
      <c r="A14053" s="1" t="n">
        <v>14052</v>
      </c>
      <c r="B14053">
        <f>TEXT(14052, "[$-0E0000]yyyy-mm-dd")</f>
        <v/>
      </c>
      <c r="C14053" t="inlineStr">
        <is>
          <t>1938-05-25</t>
        </is>
      </c>
    </row>
    <row r="14054">
      <c r="A14054" s="1" t="n">
        <v>14053</v>
      </c>
      <c r="B14054">
        <f>TEXT(14053, "[$-0E0000]yyyy-mm-dd")</f>
        <v/>
      </c>
      <c r="C14054" t="inlineStr">
        <is>
          <t>1938-05-26</t>
        </is>
      </c>
    </row>
    <row r="14055">
      <c r="A14055" s="1" t="n">
        <v>14054</v>
      </c>
      <c r="B14055">
        <f>TEXT(14054, "[$-0E0000]yyyy-mm-dd")</f>
        <v/>
      </c>
      <c r="C14055" t="inlineStr">
        <is>
          <t>1938-05-27</t>
        </is>
      </c>
    </row>
    <row r="14056">
      <c r="A14056" s="1" t="n">
        <v>14055</v>
      </c>
      <c r="B14056">
        <f>TEXT(14055, "[$-0E0000]yyyy-mm-dd")</f>
        <v/>
      </c>
      <c r="C14056" t="inlineStr">
        <is>
          <t>1938-05-28</t>
        </is>
      </c>
    </row>
    <row r="14057">
      <c r="A14057" s="1" t="n">
        <v>14056</v>
      </c>
      <c r="B14057">
        <f>TEXT(14056, "[$-0E0000]yyyy-mm-dd")</f>
        <v/>
      </c>
      <c r="C14057" t="inlineStr">
        <is>
          <t>1938-05-29</t>
        </is>
      </c>
    </row>
    <row r="14058">
      <c r="A14058" s="1" t="n">
        <v>14057</v>
      </c>
      <c r="B14058">
        <f>TEXT(14057, "[$-0E0000]yyyy-mm-dd")</f>
        <v/>
      </c>
      <c r="C14058" t="inlineStr">
        <is>
          <t>1938-05-30</t>
        </is>
      </c>
    </row>
    <row r="14059">
      <c r="A14059" s="1" t="n">
        <v>14058</v>
      </c>
      <c r="B14059">
        <f>TEXT(14058, "[$-0E0000]yyyy-mm-dd")</f>
        <v/>
      </c>
      <c r="C14059" t="inlineStr">
        <is>
          <t>1938-06-01</t>
        </is>
      </c>
    </row>
    <row r="14060">
      <c r="A14060" s="1" t="n">
        <v>14059</v>
      </c>
      <c r="B14060">
        <f>TEXT(14059, "[$-0E0000]yyyy-mm-dd")</f>
        <v/>
      </c>
      <c r="C14060" t="inlineStr">
        <is>
          <t>1938-06-02</t>
        </is>
      </c>
    </row>
    <row r="14061">
      <c r="A14061" s="1" t="n">
        <v>14060</v>
      </c>
      <c r="B14061">
        <f>TEXT(14060, "[$-0E0000]yyyy-mm-dd")</f>
        <v/>
      </c>
      <c r="C14061" t="inlineStr">
        <is>
          <t>1938-06-03</t>
        </is>
      </c>
    </row>
    <row r="14062">
      <c r="A14062" s="1" t="n">
        <v>14061</v>
      </c>
      <c r="B14062">
        <f>TEXT(14061, "[$-0E0000]yyyy-mm-dd")</f>
        <v/>
      </c>
      <c r="C14062" t="inlineStr">
        <is>
          <t>1938-06-04</t>
        </is>
      </c>
    </row>
    <row r="14063">
      <c r="A14063" s="1" t="n">
        <v>14062</v>
      </c>
      <c r="B14063">
        <f>TEXT(14062, "[$-0E0000]yyyy-mm-dd")</f>
        <v/>
      </c>
      <c r="C14063" t="inlineStr">
        <is>
          <t>1938-06-05</t>
        </is>
      </c>
    </row>
    <row r="14064">
      <c r="A14064" s="1" t="n">
        <v>14063</v>
      </c>
      <c r="B14064">
        <f>TEXT(14063, "[$-0E0000]yyyy-mm-dd")</f>
        <v/>
      </c>
      <c r="C14064" t="inlineStr">
        <is>
          <t>1938-06-06</t>
        </is>
      </c>
    </row>
    <row r="14065">
      <c r="A14065" s="1" t="n">
        <v>14064</v>
      </c>
      <c r="B14065">
        <f>TEXT(14064, "[$-0E0000]yyyy-mm-dd")</f>
        <v/>
      </c>
      <c r="C14065" t="inlineStr">
        <is>
          <t>1938-06-07</t>
        </is>
      </c>
    </row>
    <row r="14066">
      <c r="A14066" s="1" t="n">
        <v>14065</v>
      </c>
      <c r="B14066">
        <f>TEXT(14065, "[$-0E0000]yyyy-mm-dd")</f>
        <v/>
      </c>
      <c r="C14066" t="inlineStr">
        <is>
          <t>1938-06-08</t>
        </is>
      </c>
    </row>
    <row r="14067">
      <c r="A14067" s="1" t="n">
        <v>14066</v>
      </c>
      <c r="B14067">
        <f>TEXT(14066, "[$-0E0000]yyyy-mm-dd")</f>
        <v/>
      </c>
      <c r="C14067" t="inlineStr">
        <is>
          <t>1938-06-09</t>
        </is>
      </c>
    </row>
    <row r="14068">
      <c r="A14068" s="1" t="n">
        <v>14067</v>
      </c>
      <c r="B14068">
        <f>TEXT(14067, "[$-0E0000]yyyy-mm-dd")</f>
        <v/>
      </c>
      <c r="C14068" t="inlineStr">
        <is>
          <t>1938-06-10</t>
        </is>
      </c>
    </row>
    <row r="14069">
      <c r="A14069" s="1" t="n">
        <v>14068</v>
      </c>
      <c r="B14069">
        <f>TEXT(14068, "[$-0E0000]yyyy-mm-dd")</f>
        <v/>
      </c>
      <c r="C14069" t="inlineStr">
        <is>
          <t>1938-06-11</t>
        </is>
      </c>
    </row>
    <row r="14070">
      <c r="A14070" s="1" t="n">
        <v>14069</v>
      </c>
      <c r="B14070">
        <f>TEXT(14069, "[$-0E0000]yyyy-mm-dd")</f>
        <v/>
      </c>
      <c r="C14070" t="inlineStr">
        <is>
          <t>1938-06-12</t>
        </is>
      </c>
    </row>
    <row r="14071">
      <c r="A14071" s="1" t="n">
        <v>14070</v>
      </c>
      <c r="B14071">
        <f>TEXT(14070, "[$-0E0000]yyyy-mm-dd")</f>
        <v/>
      </c>
      <c r="C14071" t="inlineStr">
        <is>
          <t>1938-06-13</t>
        </is>
      </c>
    </row>
    <row r="14072">
      <c r="A14072" s="1" t="n">
        <v>14071</v>
      </c>
      <c r="B14072">
        <f>TEXT(14071, "[$-0E0000]yyyy-mm-dd")</f>
        <v/>
      </c>
      <c r="C14072" t="inlineStr">
        <is>
          <t>1938-06-14</t>
        </is>
      </c>
    </row>
    <row r="14073">
      <c r="A14073" s="1" t="n">
        <v>14072</v>
      </c>
      <c r="B14073">
        <f>TEXT(14072, "[$-0E0000]yyyy-mm-dd")</f>
        <v/>
      </c>
      <c r="C14073" t="inlineStr">
        <is>
          <t>1938-06-15</t>
        </is>
      </c>
    </row>
    <row r="14074">
      <c r="A14074" s="1" t="n">
        <v>14073</v>
      </c>
      <c r="B14074">
        <f>TEXT(14073, "[$-0E0000]yyyy-mm-dd")</f>
        <v/>
      </c>
      <c r="C14074" t="inlineStr">
        <is>
          <t>1938-06-16</t>
        </is>
      </c>
    </row>
    <row r="14075">
      <c r="A14075" s="1" t="n">
        <v>14074</v>
      </c>
      <c r="B14075">
        <f>TEXT(14074, "[$-0E0000]yyyy-mm-dd")</f>
        <v/>
      </c>
      <c r="C14075" t="inlineStr">
        <is>
          <t>1938-06-17</t>
        </is>
      </c>
    </row>
    <row r="14076">
      <c r="A14076" s="1" t="n">
        <v>14075</v>
      </c>
      <c r="B14076">
        <f>TEXT(14075, "[$-0E0000]yyyy-mm-dd")</f>
        <v/>
      </c>
      <c r="C14076" t="inlineStr">
        <is>
          <t>1938-06-18</t>
        </is>
      </c>
    </row>
    <row r="14077">
      <c r="A14077" s="1" t="n">
        <v>14076</v>
      </c>
      <c r="B14077">
        <f>TEXT(14076, "[$-0E0000]yyyy-mm-dd")</f>
        <v/>
      </c>
      <c r="C14077" t="inlineStr">
        <is>
          <t>1938-06-19</t>
        </is>
      </c>
    </row>
    <row r="14078">
      <c r="A14078" s="1" t="n">
        <v>14077</v>
      </c>
      <c r="B14078">
        <f>TEXT(14077, "[$-0E0000]yyyy-mm-dd")</f>
        <v/>
      </c>
      <c r="C14078" t="inlineStr">
        <is>
          <t>1938-06-20</t>
        </is>
      </c>
    </row>
    <row r="14079">
      <c r="A14079" s="1" t="n">
        <v>14078</v>
      </c>
      <c r="B14079">
        <f>TEXT(14078, "[$-0E0000]yyyy-mm-dd")</f>
        <v/>
      </c>
      <c r="C14079" t="inlineStr">
        <is>
          <t>1938-06-21</t>
        </is>
      </c>
    </row>
    <row r="14080">
      <c r="A14080" s="1" t="n">
        <v>14079</v>
      </c>
      <c r="B14080">
        <f>TEXT(14079, "[$-0E0000]yyyy-mm-dd")</f>
        <v/>
      </c>
      <c r="C14080" t="inlineStr">
        <is>
          <t>1938-06-22</t>
        </is>
      </c>
    </row>
    <row r="14081">
      <c r="A14081" s="1" t="n">
        <v>14080</v>
      </c>
      <c r="B14081">
        <f>TEXT(14080, "[$-0E0000]yyyy-mm-dd")</f>
        <v/>
      </c>
      <c r="C14081" t="inlineStr">
        <is>
          <t>1938-06-23</t>
        </is>
      </c>
    </row>
    <row r="14082">
      <c r="A14082" s="1" t="n">
        <v>14081</v>
      </c>
      <c r="B14082">
        <f>TEXT(14081, "[$-0E0000]yyyy-mm-dd")</f>
        <v/>
      </c>
      <c r="C14082" t="inlineStr">
        <is>
          <t>1938-06-24</t>
        </is>
      </c>
    </row>
    <row r="14083">
      <c r="A14083" s="1" t="n">
        <v>14082</v>
      </c>
      <c r="B14083">
        <f>TEXT(14082, "[$-0E0000]yyyy-mm-dd")</f>
        <v/>
      </c>
      <c r="C14083" t="inlineStr">
        <is>
          <t>1938-06-25</t>
        </is>
      </c>
    </row>
    <row r="14084">
      <c r="A14084" s="1" t="n">
        <v>14083</v>
      </c>
      <c r="B14084">
        <f>TEXT(14083, "[$-0E0000]yyyy-mm-dd")</f>
        <v/>
      </c>
      <c r="C14084" t="inlineStr">
        <is>
          <t>1938-06-26</t>
        </is>
      </c>
    </row>
    <row r="14085">
      <c r="A14085" s="1" t="n">
        <v>14084</v>
      </c>
      <c r="B14085">
        <f>TEXT(14084, "[$-0E0000]yyyy-mm-dd")</f>
        <v/>
      </c>
      <c r="C14085" t="inlineStr">
        <is>
          <t>1938-06-27</t>
        </is>
      </c>
    </row>
    <row r="14086">
      <c r="A14086" s="1" t="n">
        <v>14085</v>
      </c>
      <c r="B14086">
        <f>TEXT(14085, "[$-0E0000]yyyy-mm-dd")</f>
        <v/>
      </c>
      <c r="C14086" t="inlineStr">
        <is>
          <t>1938-06-28</t>
        </is>
      </c>
    </row>
    <row r="14087">
      <c r="A14087" s="1" t="n">
        <v>14086</v>
      </c>
      <c r="B14087">
        <f>TEXT(14086, "[$-0E0000]yyyy-mm-dd")</f>
        <v/>
      </c>
      <c r="C14087" t="inlineStr">
        <is>
          <t>1938-06-29</t>
        </is>
      </c>
    </row>
    <row r="14088">
      <c r="A14088" s="1" t="n">
        <v>14087</v>
      </c>
      <c r="B14088">
        <f>TEXT(14087, "[$-0E0000]yyyy-mm-dd")</f>
        <v/>
      </c>
      <c r="C14088" t="inlineStr">
        <is>
          <t>1938-07-01</t>
        </is>
      </c>
    </row>
    <row r="14089">
      <c r="A14089" s="1" t="n">
        <v>14088</v>
      </c>
      <c r="B14089">
        <f>TEXT(14088, "[$-0E0000]yyyy-mm-dd")</f>
        <v/>
      </c>
      <c r="C14089" t="inlineStr">
        <is>
          <t>1938-07-02</t>
        </is>
      </c>
    </row>
    <row r="14090">
      <c r="A14090" s="1" t="n">
        <v>14089</v>
      </c>
      <c r="B14090">
        <f>TEXT(14089, "[$-0E0000]yyyy-mm-dd")</f>
        <v/>
      </c>
      <c r="C14090" t="inlineStr">
        <is>
          <t>1938-07-03</t>
        </is>
      </c>
    </row>
    <row r="14091">
      <c r="A14091" s="1" t="n">
        <v>14090</v>
      </c>
      <c r="B14091">
        <f>TEXT(14090, "[$-0E0000]yyyy-mm-dd")</f>
        <v/>
      </c>
      <c r="C14091" t="inlineStr">
        <is>
          <t>1938-07-04</t>
        </is>
      </c>
    </row>
    <row r="14092">
      <c r="A14092" s="1" t="n">
        <v>14091</v>
      </c>
      <c r="B14092">
        <f>TEXT(14091, "[$-0E0000]yyyy-mm-dd")</f>
        <v/>
      </c>
      <c r="C14092" t="inlineStr">
        <is>
          <t>1938-07-05</t>
        </is>
      </c>
    </row>
    <row r="14093">
      <c r="A14093" s="1" t="n">
        <v>14092</v>
      </c>
      <c r="B14093">
        <f>TEXT(14092, "[$-0E0000]yyyy-mm-dd")</f>
        <v/>
      </c>
      <c r="C14093" t="inlineStr">
        <is>
          <t>1938-07-06</t>
        </is>
      </c>
    </row>
    <row r="14094">
      <c r="A14094" s="1" t="n">
        <v>14093</v>
      </c>
      <c r="B14094">
        <f>TEXT(14093, "[$-0E0000]yyyy-mm-dd")</f>
        <v/>
      </c>
      <c r="C14094" t="inlineStr">
        <is>
          <t>1938-07-07</t>
        </is>
      </c>
    </row>
    <row r="14095">
      <c r="A14095" s="1" t="n">
        <v>14094</v>
      </c>
      <c r="B14095">
        <f>TEXT(14094, "[$-0E0000]yyyy-mm-dd")</f>
        <v/>
      </c>
      <c r="C14095" t="inlineStr">
        <is>
          <t>1938-07-08</t>
        </is>
      </c>
    </row>
    <row r="14096">
      <c r="A14096" s="1" t="n">
        <v>14095</v>
      </c>
      <c r="B14096">
        <f>TEXT(14095, "[$-0E0000]yyyy-mm-dd")</f>
        <v/>
      </c>
      <c r="C14096" t="inlineStr">
        <is>
          <t>1938-07-09</t>
        </is>
      </c>
    </row>
    <row r="14097">
      <c r="A14097" s="1" t="n">
        <v>14096</v>
      </c>
      <c r="B14097">
        <f>TEXT(14096, "[$-0E0000]yyyy-mm-dd")</f>
        <v/>
      </c>
      <c r="C14097" t="inlineStr">
        <is>
          <t>1938-07-10</t>
        </is>
      </c>
    </row>
    <row r="14098">
      <c r="A14098" s="1" t="n">
        <v>14097</v>
      </c>
      <c r="B14098">
        <f>TEXT(14097, "[$-0E0000]yyyy-mm-dd")</f>
        <v/>
      </c>
      <c r="C14098" t="inlineStr">
        <is>
          <t>1938-07-11</t>
        </is>
      </c>
    </row>
    <row r="14099">
      <c r="A14099" s="1" t="n">
        <v>14098</v>
      </c>
      <c r="B14099">
        <f>TEXT(14098, "[$-0E0000]yyyy-mm-dd")</f>
        <v/>
      </c>
      <c r="C14099" t="inlineStr">
        <is>
          <t>1938-07-12</t>
        </is>
      </c>
    </row>
    <row r="14100">
      <c r="A14100" s="1" t="n">
        <v>14099</v>
      </c>
      <c r="B14100">
        <f>TEXT(14099, "[$-0E0000]yyyy-mm-dd")</f>
        <v/>
      </c>
      <c r="C14100" t="inlineStr">
        <is>
          <t>1938-07-13</t>
        </is>
      </c>
    </row>
    <row r="14101">
      <c r="A14101" s="1" t="n">
        <v>14100</v>
      </c>
      <c r="B14101">
        <f>TEXT(14100, "[$-0E0000]yyyy-mm-dd")</f>
        <v/>
      </c>
      <c r="C14101" t="inlineStr">
        <is>
          <t>1938-07-14</t>
        </is>
      </c>
    </row>
    <row r="14102">
      <c r="A14102" s="1" t="n">
        <v>14101</v>
      </c>
      <c r="B14102">
        <f>TEXT(14101, "[$-0E0000]yyyy-mm-dd")</f>
        <v/>
      </c>
      <c r="C14102" t="inlineStr">
        <is>
          <t>1938-07-15</t>
        </is>
      </c>
    </row>
    <row r="14103">
      <c r="A14103" s="1" t="n">
        <v>14102</v>
      </c>
      <c r="B14103">
        <f>TEXT(14102, "[$-0E0000]yyyy-mm-dd")</f>
        <v/>
      </c>
      <c r="C14103" t="inlineStr">
        <is>
          <t>1938-07-16</t>
        </is>
      </c>
    </row>
    <row r="14104">
      <c r="A14104" s="1" t="n">
        <v>14103</v>
      </c>
      <c r="B14104">
        <f>TEXT(14103, "[$-0E0000]yyyy-mm-dd")</f>
        <v/>
      </c>
      <c r="C14104" t="inlineStr">
        <is>
          <t>1938-07-17</t>
        </is>
      </c>
    </row>
    <row r="14105">
      <c r="A14105" s="1" t="n">
        <v>14104</v>
      </c>
      <c r="B14105">
        <f>TEXT(14104, "[$-0E0000]yyyy-mm-dd")</f>
        <v/>
      </c>
      <c r="C14105" t="inlineStr">
        <is>
          <t>1938-07-18</t>
        </is>
      </c>
    </row>
    <row r="14106">
      <c r="A14106" s="1" t="n">
        <v>14105</v>
      </c>
      <c r="B14106">
        <f>TEXT(14105, "[$-0E0000]yyyy-mm-dd")</f>
        <v/>
      </c>
      <c r="C14106" t="inlineStr">
        <is>
          <t>1938-07-19</t>
        </is>
      </c>
    </row>
    <row r="14107">
      <c r="A14107" s="1" t="n">
        <v>14106</v>
      </c>
      <c r="B14107">
        <f>TEXT(14106, "[$-0E0000]yyyy-mm-dd")</f>
        <v/>
      </c>
      <c r="C14107" t="inlineStr">
        <is>
          <t>1938-07-20</t>
        </is>
      </c>
    </row>
    <row r="14108">
      <c r="A14108" s="1" t="n">
        <v>14107</v>
      </c>
      <c r="B14108">
        <f>TEXT(14107, "[$-0E0000]yyyy-mm-dd")</f>
        <v/>
      </c>
      <c r="C14108" t="inlineStr">
        <is>
          <t>1938-07-21</t>
        </is>
      </c>
    </row>
    <row r="14109">
      <c r="A14109" s="1" t="n">
        <v>14108</v>
      </c>
      <c r="B14109">
        <f>TEXT(14108, "[$-0E0000]yyyy-mm-dd")</f>
        <v/>
      </c>
      <c r="C14109" t="inlineStr">
        <is>
          <t>1938-07-22</t>
        </is>
      </c>
    </row>
    <row r="14110">
      <c r="A14110" s="1" t="n">
        <v>14109</v>
      </c>
      <c r="B14110">
        <f>TEXT(14109, "[$-0E0000]yyyy-mm-dd")</f>
        <v/>
      </c>
      <c r="C14110" t="inlineStr">
        <is>
          <t>1938-07-23</t>
        </is>
      </c>
    </row>
    <row r="14111">
      <c r="A14111" s="1" t="n">
        <v>14110</v>
      </c>
      <c r="B14111">
        <f>TEXT(14110, "[$-0E0000]yyyy-mm-dd")</f>
        <v/>
      </c>
      <c r="C14111" t="inlineStr">
        <is>
          <t>1938-07-24</t>
        </is>
      </c>
    </row>
    <row r="14112">
      <c r="A14112" s="1" t="n">
        <v>14111</v>
      </c>
      <c r="B14112">
        <f>TEXT(14111, "[$-0E0000]yyyy-mm-dd")</f>
        <v/>
      </c>
      <c r="C14112" t="inlineStr">
        <is>
          <t>1938-07-25</t>
        </is>
      </c>
    </row>
    <row r="14113">
      <c r="A14113" s="1" t="n">
        <v>14112</v>
      </c>
      <c r="B14113">
        <f>TEXT(14112, "[$-0E0000]yyyy-mm-dd")</f>
        <v/>
      </c>
      <c r="C14113" t="inlineStr">
        <is>
          <t>1938-07-26</t>
        </is>
      </c>
    </row>
    <row r="14114">
      <c r="A14114" s="1" t="n">
        <v>14113</v>
      </c>
      <c r="B14114">
        <f>TEXT(14113, "[$-0E0000]yyyy-mm-dd")</f>
        <v/>
      </c>
      <c r="C14114" t="inlineStr">
        <is>
          <t>1938-07-27</t>
        </is>
      </c>
    </row>
    <row r="14115">
      <c r="A14115" s="1" t="n">
        <v>14114</v>
      </c>
      <c r="B14115">
        <f>TEXT(14114, "[$-0E0000]yyyy-mm-dd")</f>
        <v/>
      </c>
      <c r="C14115" t="inlineStr">
        <is>
          <t>1938-07-28</t>
        </is>
      </c>
    </row>
    <row r="14116">
      <c r="A14116" s="1" t="n">
        <v>14115</v>
      </c>
      <c r="B14116">
        <f>TEXT(14115, "[$-0E0000]yyyy-mm-dd")</f>
        <v/>
      </c>
      <c r="C14116" t="inlineStr">
        <is>
          <t>1938-07-29</t>
        </is>
      </c>
    </row>
    <row r="14117">
      <c r="A14117" s="1" t="n">
        <v>14116</v>
      </c>
      <c r="B14117">
        <f>TEXT(14116, "[$-0E0000]yyyy-mm-dd")</f>
        <v/>
      </c>
      <c r="C14117" t="inlineStr">
        <is>
          <t>1938-07-01</t>
        </is>
      </c>
    </row>
    <row r="14118">
      <c r="A14118" s="1" t="n">
        <v>14117</v>
      </c>
      <c r="B14118">
        <f>TEXT(14117, "[$-0E0000]yyyy-mm-dd")</f>
        <v/>
      </c>
      <c r="C14118" t="inlineStr">
        <is>
          <t>1938-07-02</t>
        </is>
      </c>
    </row>
    <row r="14119">
      <c r="A14119" s="1" t="n">
        <v>14118</v>
      </c>
      <c r="B14119">
        <f>TEXT(14118, "[$-0E0000]yyyy-mm-dd")</f>
        <v/>
      </c>
      <c r="C14119" t="inlineStr">
        <is>
          <t>1938-07-03</t>
        </is>
      </c>
    </row>
    <row r="14120">
      <c r="A14120" s="1" t="n">
        <v>14119</v>
      </c>
      <c r="B14120">
        <f>TEXT(14119, "[$-0E0000]yyyy-mm-dd")</f>
        <v/>
      </c>
      <c r="C14120" t="inlineStr">
        <is>
          <t>1938-07-04</t>
        </is>
      </c>
    </row>
    <row r="14121">
      <c r="A14121" s="1" t="n">
        <v>14120</v>
      </c>
      <c r="B14121">
        <f>TEXT(14120, "[$-0E0000]yyyy-mm-dd")</f>
        <v/>
      </c>
      <c r="C14121" t="inlineStr">
        <is>
          <t>1938-07-05</t>
        </is>
      </c>
    </row>
    <row r="14122">
      <c r="A14122" s="1" t="n">
        <v>14121</v>
      </c>
      <c r="B14122">
        <f>TEXT(14121, "[$-0E0000]yyyy-mm-dd")</f>
        <v/>
      </c>
      <c r="C14122" t="inlineStr">
        <is>
          <t>1938-07-06</t>
        </is>
      </c>
    </row>
    <row r="14123">
      <c r="A14123" s="1" t="n">
        <v>14122</v>
      </c>
      <c r="B14123">
        <f>TEXT(14122, "[$-0E0000]yyyy-mm-dd")</f>
        <v/>
      </c>
      <c r="C14123" t="inlineStr">
        <is>
          <t>1938-07-07</t>
        </is>
      </c>
    </row>
    <row r="14124">
      <c r="A14124" s="1" t="n">
        <v>14123</v>
      </c>
      <c r="B14124">
        <f>TEXT(14123, "[$-0E0000]yyyy-mm-dd")</f>
        <v/>
      </c>
      <c r="C14124" t="inlineStr">
        <is>
          <t>1938-07-08</t>
        </is>
      </c>
    </row>
    <row r="14125">
      <c r="A14125" s="1" t="n">
        <v>14124</v>
      </c>
      <c r="B14125">
        <f>TEXT(14124, "[$-0E0000]yyyy-mm-dd")</f>
        <v/>
      </c>
      <c r="C14125" t="inlineStr">
        <is>
          <t>1938-07-09</t>
        </is>
      </c>
    </row>
    <row r="14126">
      <c r="A14126" s="1" t="n">
        <v>14125</v>
      </c>
      <c r="B14126">
        <f>TEXT(14125, "[$-0E0000]yyyy-mm-dd")</f>
        <v/>
      </c>
      <c r="C14126" t="inlineStr">
        <is>
          <t>1938-07-10</t>
        </is>
      </c>
    </row>
    <row r="14127">
      <c r="A14127" s="1" t="n">
        <v>14126</v>
      </c>
      <c r="B14127">
        <f>TEXT(14126, "[$-0E0000]yyyy-mm-dd")</f>
        <v/>
      </c>
      <c r="C14127" t="inlineStr">
        <is>
          <t>1938-07-11</t>
        </is>
      </c>
    </row>
    <row r="14128">
      <c r="A14128" s="1" t="n">
        <v>14127</v>
      </c>
      <c r="B14128">
        <f>TEXT(14127, "[$-0E0000]yyyy-mm-dd")</f>
        <v/>
      </c>
      <c r="C14128" t="inlineStr">
        <is>
          <t>1938-07-12</t>
        </is>
      </c>
    </row>
    <row r="14129">
      <c r="A14129" s="1" t="n">
        <v>14128</v>
      </c>
      <c r="B14129">
        <f>TEXT(14128, "[$-0E0000]yyyy-mm-dd")</f>
        <v/>
      </c>
      <c r="C14129" t="inlineStr">
        <is>
          <t>1938-07-13</t>
        </is>
      </c>
    </row>
    <row r="14130">
      <c r="A14130" s="1" t="n">
        <v>14129</v>
      </c>
      <c r="B14130">
        <f>TEXT(14129, "[$-0E0000]yyyy-mm-dd")</f>
        <v/>
      </c>
      <c r="C14130" t="inlineStr">
        <is>
          <t>1938-07-14</t>
        </is>
      </c>
    </row>
    <row r="14131">
      <c r="A14131" s="1" t="n">
        <v>14130</v>
      </c>
      <c r="B14131">
        <f>TEXT(14130, "[$-0E0000]yyyy-mm-dd")</f>
        <v/>
      </c>
      <c r="C14131" t="inlineStr">
        <is>
          <t>1938-07-15</t>
        </is>
      </c>
    </row>
    <row r="14132">
      <c r="A14132" s="1" t="n">
        <v>14131</v>
      </c>
      <c r="B14132">
        <f>TEXT(14131, "[$-0E0000]yyyy-mm-dd")</f>
        <v/>
      </c>
      <c r="C14132" t="inlineStr">
        <is>
          <t>1938-07-16</t>
        </is>
      </c>
    </row>
    <row r="14133">
      <c r="A14133" s="1" t="n">
        <v>14132</v>
      </c>
      <c r="B14133">
        <f>TEXT(14132, "[$-0E0000]yyyy-mm-dd")</f>
        <v/>
      </c>
      <c r="C14133" t="inlineStr">
        <is>
          <t>1938-07-17</t>
        </is>
      </c>
    </row>
    <row r="14134">
      <c r="A14134" s="1" t="n">
        <v>14133</v>
      </c>
      <c r="B14134">
        <f>TEXT(14133, "[$-0E0000]yyyy-mm-dd")</f>
        <v/>
      </c>
      <c r="C14134" t="inlineStr">
        <is>
          <t>1938-07-18</t>
        </is>
      </c>
    </row>
    <row r="14135">
      <c r="A14135" s="1" t="n">
        <v>14134</v>
      </c>
      <c r="B14135">
        <f>TEXT(14134, "[$-0E0000]yyyy-mm-dd")</f>
        <v/>
      </c>
      <c r="C14135" t="inlineStr">
        <is>
          <t>1938-07-19</t>
        </is>
      </c>
    </row>
    <row r="14136">
      <c r="A14136" s="1" t="n">
        <v>14135</v>
      </c>
      <c r="B14136">
        <f>TEXT(14135, "[$-0E0000]yyyy-mm-dd")</f>
        <v/>
      </c>
      <c r="C14136" t="inlineStr">
        <is>
          <t>1938-07-20</t>
        </is>
      </c>
    </row>
    <row r="14137">
      <c r="A14137" s="1" t="n">
        <v>14136</v>
      </c>
      <c r="B14137">
        <f>TEXT(14136, "[$-0E0000]yyyy-mm-dd")</f>
        <v/>
      </c>
      <c r="C14137" t="inlineStr">
        <is>
          <t>1938-07-21</t>
        </is>
      </c>
    </row>
    <row r="14138">
      <c r="A14138" s="1" t="n">
        <v>14137</v>
      </c>
      <c r="B14138">
        <f>TEXT(14137, "[$-0E0000]yyyy-mm-dd")</f>
        <v/>
      </c>
      <c r="C14138" t="inlineStr">
        <is>
          <t>1938-07-22</t>
        </is>
      </c>
    </row>
    <row r="14139">
      <c r="A14139" s="1" t="n">
        <v>14138</v>
      </c>
      <c r="B14139">
        <f>TEXT(14138, "[$-0E0000]yyyy-mm-dd")</f>
        <v/>
      </c>
      <c r="C14139" t="inlineStr">
        <is>
          <t>1938-07-23</t>
        </is>
      </c>
    </row>
    <row r="14140">
      <c r="A14140" s="1" t="n">
        <v>14139</v>
      </c>
      <c r="B14140">
        <f>TEXT(14139, "[$-0E0000]yyyy-mm-dd")</f>
        <v/>
      </c>
      <c r="C14140" t="inlineStr">
        <is>
          <t>1938-07-24</t>
        </is>
      </c>
    </row>
    <row r="14141">
      <c r="A14141" s="1" t="n">
        <v>14140</v>
      </c>
      <c r="B14141">
        <f>TEXT(14140, "[$-0E0000]yyyy-mm-dd")</f>
        <v/>
      </c>
      <c r="C14141" t="inlineStr">
        <is>
          <t>1938-07-25</t>
        </is>
      </c>
    </row>
    <row r="14142">
      <c r="A14142" s="1" t="n">
        <v>14141</v>
      </c>
      <c r="B14142">
        <f>TEXT(14141, "[$-0E0000]yyyy-mm-dd")</f>
        <v/>
      </c>
      <c r="C14142" t="inlineStr">
        <is>
          <t>1938-07-26</t>
        </is>
      </c>
    </row>
    <row r="14143">
      <c r="A14143" s="1" t="n">
        <v>14142</v>
      </c>
      <c r="B14143">
        <f>TEXT(14142, "[$-0E0000]yyyy-mm-dd")</f>
        <v/>
      </c>
      <c r="C14143" t="inlineStr">
        <is>
          <t>1938-07-27</t>
        </is>
      </c>
    </row>
    <row r="14144">
      <c r="A14144" s="1" t="n">
        <v>14143</v>
      </c>
      <c r="B14144">
        <f>TEXT(14143, "[$-0E0000]yyyy-mm-dd")</f>
        <v/>
      </c>
      <c r="C14144" t="inlineStr">
        <is>
          <t>1938-07-28</t>
        </is>
      </c>
    </row>
    <row r="14145">
      <c r="A14145" s="1" t="n">
        <v>14144</v>
      </c>
      <c r="B14145">
        <f>TEXT(14144, "[$-0E0000]yyyy-mm-dd")</f>
        <v/>
      </c>
      <c r="C14145" t="inlineStr">
        <is>
          <t>1938-07-29</t>
        </is>
      </c>
    </row>
    <row r="14146">
      <c r="A14146" s="1" t="n">
        <v>14145</v>
      </c>
      <c r="B14146">
        <f>TEXT(14145, "[$-0E0000]yyyy-mm-dd")</f>
        <v/>
      </c>
      <c r="C14146" t="inlineStr">
        <is>
          <t>1938-07-30</t>
        </is>
      </c>
    </row>
    <row r="14147">
      <c r="A14147" s="1" t="n">
        <v>14146</v>
      </c>
      <c r="B14147">
        <f>TEXT(14146, "[$-0E0000]yyyy-mm-dd")</f>
        <v/>
      </c>
      <c r="C14147" t="inlineStr">
        <is>
          <t>1938-08-01</t>
        </is>
      </c>
    </row>
    <row r="14148">
      <c r="A14148" s="1" t="n">
        <v>14147</v>
      </c>
      <c r="B14148">
        <f>TEXT(14147, "[$-0E0000]yyyy-mm-dd")</f>
        <v/>
      </c>
      <c r="C14148" t="inlineStr">
        <is>
          <t>1938-08-02</t>
        </is>
      </c>
    </row>
    <row r="14149">
      <c r="A14149" s="1" t="n">
        <v>14148</v>
      </c>
      <c r="B14149">
        <f>TEXT(14148, "[$-0E0000]yyyy-mm-dd")</f>
        <v/>
      </c>
      <c r="C14149" t="inlineStr">
        <is>
          <t>1938-08-03</t>
        </is>
      </c>
    </row>
    <row r="14150">
      <c r="A14150" s="1" t="n">
        <v>14149</v>
      </c>
      <c r="B14150">
        <f>TEXT(14149, "[$-0E0000]yyyy-mm-dd")</f>
        <v/>
      </c>
      <c r="C14150" t="inlineStr">
        <is>
          <t>1938-08-04</t>
        </is>
      </c>
    </row>
    <row r="14151">
      <c r="A14151" s="1" t="n">
        <v>14150</v>
      </c>
      <c r="B14151">
        <f>TEXT(14150, "[$-0E0000]yyyy-mm-dd")</f>
        <v/>
      </c>
      <c r="C14151" t="inlineStr">
        <is>
          <t>1938-08-05</t>
        </is>
      </c>
    </row>
    <row r="14152">
      <c r="A14152" s="1" t="n">
        <v>14151</v>
      </c>
      <c r="B14152">
        <f>TEXT(14151, "[$-0E0000]yyyy-mm-dd")</f>
        <v/>
      </c>
      <c r="C14152" t="inlineStr">
        <is>
          <t>1938-08-06</t>
        </is>
      </c>
    </row>
    <row r="14153">
      <c r="A14153" s="1" t="n">
        <v>14152</v>
      </c>
      <c r="B14153">
        <f>TEXT(14152, "[$-0E0000]yyyy-mm-dd")</f>
        <v/>
      </c>
      <c r="C14153" t="inlineStr">
        <is>
          <t>1938-08-07</t>
        </is>
      </c>
    </row>
    <row r="14154">
      <c r="A14154" s="1" t="n">
        <v>14153</v>
      </c>
      <c r="B14154">
        <f>TEXT(14153, "[$-0E0000]yyyy-mm-dd")</f>
        <v/>
      </c>
      <c r="C14154" t="inlineStr">
        <is>
          <t>1938-08-08</t>
        </is>
      </c>
    </row>
    <row r="14155">
      <c r="A14155" s="1" t="n">
        <v>14154</v>
      </c>
      <c r="B14155">
        <f>TEXT(14154, "[$-0E0000]yyyy-mm-dd")</f>
        <v/>
      </c>
      <c r="C14155" t="inlineStr">
        <is>
          <t>1938-08-09</t>
        </is>
      </c>
    </row>
    <row r="14156">
      <c r="A14156" s="1" t="n">
        <v>14155</v>
      </c>
      <c r="B14156">
        <f>TEXT(14155, "[$-0E0000]yyyy-mm-dd")</f>
        <v/>
      </c>
      <c r="C14156" t="inlineStr">
        <is>
          <t>1938-08-10</t>
        </is>
      </c>
    </row>
    <row r="14157">
      <c r="A14157" s="1" t="n">
        <v>14156</v>
      </c>
      <c r="B14157">
        <f>TEXT(14156, "[$-0E0000]yyyy-mm-dd")</f>
        <v/>
      </c>
      <c r="C14157" t="inlineStr">
        <is>
          <t>1938-08-11</t>
        </is>
      </c>
    </row>
    <row r="14158">
      <c r="A14158" s="1" t="n">
        <v>14157</v>
      </c>
      <c r="B14158">
        <f>TEXT(14157, "[$-0E0000]yyyy-mm-dd")</f>
        <v/>
      </c>
      <c r="C14158" t="inlineStr">
        <is>
          <t>1938-08-12</t>
        </is>
      </c>
    </row>
    <row r="14159">
      <c r="A14159" s="1" t="n">
        <v>14158</v>
      </c>
      <c r="B14159">
        <f>TEXT(14158, "[$-0E0000]yyyy-mm-dd")</f>
        <v/>
      </c>
      <c r="C14159" t="inlineStr">
        <is>
          <t>1938-08-13</t>
        </is>
      </c>
    </row>
    <row r="14160">
      <c r="A14160" s="1" t="n">
        <v>14159</v>
      </c>
      <c r="B14160">
        <f>TEXT(14159, "[$-0E0000]yyyy-mm-dd")</f>
        <v/>
      </c>
      <c r="C14160" t="inlineStr">
        <is>
          <t>1938-08-14</t>
        </is>
      </c>
    </row>
    <row r="14161">
      <c r="A14161" s="1" t="n">
        <v>14160</v>
      </c>
      <c r="B14161">
        <f>TEXT(14160, "[$-0E0000]yyyy-mm-dd")</f>
        <v/>
      </c>
      <c r="C14161" t="inlineStr">
        <is>
          <t>1938-08-15</t>
        </is>
      </c>
    </row>
    <row r="14162">
      <c r="A14162" s="1" t="n">
        <v>14161</v>
      </c>
      <c r="B14162">
        <f>TEXT(14161, "[$-0E0000]yyyy-mm-dd")</f>
        <v/>
      </c>
      <c r="C14162" t="inlineStr">
        <is>
          <t>1938-08-16</t>
        </is>
      </c>
    </row>
    <row r="14163">
      <c r="A14163" s="1" t="n">
        <v>14162</v>
      </c>
      <c r="B14163">
        <f>TEXT(14162, "[$-0E0000]yyyy-mm-dd")</f>
        <v/>
      </c>
      <c r="C14163" t="inlineStr">
        <is>
          <t>1938-08-17</t>
        </is>
      </c>
    </row>
    <row r="14164">
      <c r="A14164" s="1" t="n">
        <v>14163</v>
      </c>
      <c r="B14164">
        <f>TEXT(14163, "[$-0E0000]yyyy-mm-dd")</f>
        <v/>
      </c>
      <c r="C14164" t="inlineStr">
        <is>
          <t>1938-08-18</t>
        </is>
      </c>
    </row>
    <row r="14165">
      <c r="A14165" s="1" t="n">
        <v>14164</v>
      </c>
      <c r="B14165">
        <f>TEXT(14164, "[$-0E0000]yyyy-mm-dd")</f>
        <v/>
      </c>
      <c r="C14165" t="inlineStr">
        <is>
          <t>1938-08-19</t>
        </is>
      </c>
    </row>
    <row r="14166">
      <c r="A14166" s="1" t="n">
        <v>14165</v>
      </c>
      <c r="B14166">
        <f>TEXT(14165, "[$-0E0000]yyyy-mm-dd")</f>
        <v/>
      </c>
      <c r="C14166" t="inlineStr">
        <is>
          <t>1938-08-20</t>
        </is>
      </c>
    </row>
    <row r="14167">
      <c r="A14167" s="1" t="n">
        <v>14166</v>
      </c>
      <c r="B14167">
        <f>TEXT(14166, "[$-0E0000]yyyy-mm-dd")</f>
        <v/>
      </c>
      <c r="C14167" t="inlineStr">
        <is>
          <t>1938-08-21</t>
        </is>
      </c>
    </row>
    <row r="14168">
      <c r="A14168" s="1" t="n">
        <v>14167</v>
      </c>
      <c r="B14168">
        <f>TEXT(14167, "[$-0E0000]yyyy-mm-dd")</f>
        <v/>
      </c>
      <c r="C14168" t="inlineStr">
        <is>
          <t>1938-08-22</t>
        </is>
      </c>
    </row>
    <row r="14169">
      <c r="A14169" s="1" t="n">
        <v>14168</v>
      </c>
      <c r="B14169">
        <f>TEXT(14168, "[$-0E0000]yyyy-mm-dd")</f>
        <v/>
      </c>
      <c r="C14169" t="inlineStr">
        <is>
          <t>1938-08-23</t>
        </is>
      </c>
    </row>
    <row r="14170">
      <c r="A14170" s="1" t="n">
        <v>14169</v>
      </c>
      <c r="B14170">
        <f>TEXT(14169, "[$-0E0000]yyyy-mm-dd")</f>
        <v/>
      </c>
      <c r="C14170" t="inlineStr">
        <is>
          <t>1938-08-24</t>
        </is>
      </c>
    </row>
    <row r="14171">
      <c r="A14171" s="1" t="n">
        <v>14170</v>
      </c>
      <c r="B14171">
        <f>TEXT(14170, "[$-0E0000]yyyy-mm-dd")</f>
        <v/>
      </c>
      <c r="C14171" t="inlineStr">
        <is>
          <t>1938-08-25</t>
        </is>
      </c>
    </row>
    <row r="14172">
      <c r="A14172" s="1" t="n">
        <v>14171</v>
      </c>
      <c r="B14172">
        <f>TEXT(14171, "[$-0E0000]yyyy-mm-dd")</f>
        <v/>
      </c>
      <c r="C14172" t="inlineStr">
        <is>
          <t>1938-08-26</t>
        </is>
      </c>
    </row>
    <row r="14173">
      <c r="A14173" s="1" t="n">
        <v>14172</v>
      </c>
      <c r="B14173">
        <f>TEXT(14172, "[$-0E0000]yyyy-mm-dd")</f>
        <v/>
      </c>
      <c r="C14173" t="inlineStr">
        <is>
          <t>1938-08-27</t>
        </is>
      </c>
    </row>
    <row r="14174">
      <c r="A14174" s="1" t="n">
        <v>14173</v>
      </c>
      <c r="B14174">
        <f>TEXT(14173, "[$-0E0000]yyyy-mm-dd")</f>
        <v/>
      </c>
      <c r="C14174" t="inlineStr">
        <is>
          <t>1938-08-28</t>
        </is>
      </c>
    </row>
    <row r="14175">
      <c r="A14175" s="1" t="n">
        <v>14174</v>
      </c>
      <c r="B14175">
        <f>TEXT(14174, "[$-0E0000]yyyy-mm-dd")</f>
        <v/>
      </c>
      <c r="C14175" t="inlineStr">
        <is>
          <t>1938-08-29</t>
        </is>
      </c>
    </row>
    <row r="14176">
      <c r="A14176" s="1" t="n">
        <v>14175</v>
      </c>
      <c r="B14176">
        <f>TEXT(14175, "[$-0E0000]yyyy-mm-dd")</f>
        <v/>
      </c>
      <c r="C14176" t="inlineStr">
        <is>
          <t>1938-09-01</t>
        </is>
      </c>
    </row>
    <row r="14177">
      <c r="A14177" s="1" t="n">
        <v>14176</v>
      </c>
      <c r="B14177">
        <f>TEXT(14176, "[$-0E0000]yyyy-mm-dd")</f>
        <v/>
      </c>
      <c r="C14177" t="inlineStr">
        <is>
          <t>1938-09-02</t>
        </is>
      </c>
    </row>
    <row r="14178">
      <c r="A14178" s="1" t="n">
        <v>14177</v>
      </c>
      <c r="B14178">
        <f>TEXT(14177, "[$-0E0000]yyyy-mm-dd")</f>
        <v/>
      </c>
      <c r="C14178" t="inlineStr">
        <is>
          <t>1938-09-03</t>
        </is>
      </c>
    </row>
    <row r="14179">
      <c r="A14179" s="1" t="n">
        <v>14178</v>
      </c>
      <c r="B14179">
        <f>TEXT(14178, "[$-0E0000]yyyy-mm-dd")</f>
        <v/>
      </c>
      <c r="C14179" t="inlineStr">
        <is>
          <t>1938-09-04</t>
        </is>
      </c>
    </row>
    <row r="14180">
      <c r="A14180" s="1" t="n">
        <v>14179</v>
      </c>
      <c r="B14180">
        <f>TEXT(14179, "[$-0E0000]yyyy-mm-dd")</f>
        <v/>
      </c>
      <c r="C14180" t="inlineStr">
        <is>
          <t>1938-09-05</t>
        </is>
      </c>
    </row>
    <row r="14181">
      <c r="A14181" s="1" t="n">
        <v>14180</v>
      </c>
      <c r="B14181">
        <f>TEXT(14180, "[$-0E0000]yyyy-mm-dd")</f>
        <v/>
      </c>
      <c r="C14181" t="inlineStr">
        <is>
          <t>1938-09-06</t>
        </is>
      </c>
    </row>
    <row r="14182">
      <c r="A14182" s="1" t="n">
        <v>14181</v>
      </c>
      <c r="B14182">
        <f>TEXT(14181, "[$-0E0000]yyyy-mm-dd")</f>
        <v/>
      </c>
      <c r="C14182" t="inlineStr">
        <is>
          <t>1938-09-07</t>
        </is>
      </c>
    </row>
    <row r="14183">
      <c r="A14183" s="1" t="n">
        <v>14182</v>
      </c>
      <c r="B14183">
        <f>TEXT(14182, "[$-0E0000]yyyy-mm-dd")</f>
        <v/>
      </c>
      <c r="C14183" t="inlineStr">
        <is>
          <t>1938-09-08</t>
        </is>
      </c>
    </row>
    <row r="14184">
      <c r="A14184" s="1" t="n">
        <v>14183</v>
      </c>
      <c r="B14184">
        <f>TEXT(14183, "[$-0E0000]yyyy-mm-dd")</f>
        <v/>
      </c>
      <c r="C14184" t="inlineStr">
        <is>
          <t>1938-09-09</t>
        </is>
      </c>
    </row>
    <row r="14185">
      <c r="A14185" s="1" t="n">
        <v>14184</v>
      </c>
      <c r="B14185">
        <f>TEXT(14184, "[$-0E0000]yyyy-mm-dd")</f>
        <v/>
      </c>
      <c r="C14185" t="inlineStr">
        <is>
          <t>1938-09-10</t>
        </is>
      </c>
    </row>
    <row r="14186">
      <c r="A14186" s="1" t="n">
        <v>14185</v>
      </c>
      <c r="B14186">
        <f>TEXT(14185, "[$-0E0000]yyyy-mm-dd")</f>
        <v/>
      </c>
      <c r="C14186" t="inlineStr">
        <is>
          <t>1938-09-11</t>
        </is>
      </c>
    </row>
    <row r="14187">
      <c r="A14187" s="1" t="n">
        <v>14186</v>
      </c>
      <c r="B14187">
        <f>TEXT(14186, "[$-0E0000]yyyy-mm-dd")</f>
        <v/>
      </c>
      <c r="C14187" t="inlineStr">
        <is>
          <t>1938-09-12</t>
        </is>
      </c>
    </row>
    <row r="14188">
      <c r="A14188" s="1" t="n">
        <v>14187</v>
      </c>
      <c r="B14188">
        <f>TEXT(14187, "[$-0E0000]yyyy-mm-dd")</f>
        <v/>
      </c>
      <c r="C14188" t="inlineStr">
        <is>
          <t>1938-09-13</t>
        </is>
      </c>
    </row>
    <row r="14189">
      <c r="A14189" s="1" t="n">
        <v>14188</v>
      </c>
      <c r="B14189">
        <f>TEXT(14188, "[$-0E0000]yyyy-mm-dd")</f>
        <v/>
      </c>
      <c r="C14189" t="inlineStr">
        <is>
          <t>1938-09-14</t>
        </is>
      </c>
    </row>
    <row r="14190">
      <c r="A14190" s="1" t="n">
        <v>14189</v>
      </c>
      <c r="B14190">
        <f>TEXT(14189, "[$-0E0000]yyyy-mm-dd")</f>
        <v/>
      </c>
      <c r="C14190" t="inlineStr">
        <is>
          <t>1938-09-15</t>
        </is>
      </c>
    </row>
    <row r="14191">
      <c r="A14191" s="1" t="n">
        <v>14190</v>
      </c>
      <c r="B14191">
        <f>TEXT(14190, "[$-0E0000]yyyy-mm-dd")</f>
        <v/>
      </c>
      <c r="C14191" t="inlineStr">
        <is>
          <t>1938-09-16</t>
        </is>
      </c>
    </row>
    <row r="14192">
      <c r="A14192" s="1" t="n">
        <v>14191</v>
      </c>
      <c r="B14192">
        <f>TEXT(14191, "[$-0E0000]yyyy-mm-dd")</f>
        <v/>
      </c>
      <c r="C14192" t="inlineStr">
        <is>
          <t>1938-09-17</t>
        </is>
      </c>
    </row>
    <row r="14193">
      <c r="A14193" s="1" t="n">
        <v>14192</v>
      </c>
      <c r="B14193">
        <f>TEXT(14192, "[$-0E0000]yyyy-mm-dd")</f>
        <v/>
      </c>
      <c r="C14193" t="inlineStr">
        <is>
          <t>1938-09-18</t>
        </is>
      </c>
    </row>
    <row r="14194">
      <c r="A14194" s="1" t="n">
        <v>14193</v>
      </c>
      <c r="B14194">
        <f>TEXT(14193, "[$-0E0000]yyyy-mm-dd")</f>
        <v/>
      </c>
      <c r="C14194" t="inlineStr">
        <is>
          <t>1938-09-19</t>
        </is>
      </c>
    </row>
    <row r="14195">
      <c r="A14195" s="1" t="n">
        <v>14194</v>
      </c>
      <c r="B14195">
        <f>TEXT(14194, "[$-0E0000]yyyy-mm-dd")</f>
        <v/>
      </c>
      <c r="C14195" t="inlineStr">
        <is>
          <t>1938-09-20</t>
        </is>
      </c>
    </row>
    <row r="14196">
      <c r="A14196" s="1" t="n">
        <v>14195</v>
      </c>
      <c r="B14196">
        <f>TEXT(14195, "[$-0E0000]yyyy-mm-dd")</f>
        <v/>
      </c>
      <c r="C14196" t="inlineStr">
        <is>
          <t>1938-09-21</t>
        </is>
      </c>
    </row>
    <row r="14197">
      <c r="A14197" s="1" t="n">
        <v>14196</v>
      </c>
      <c r="B14197">
        <f>TEXT(14196, "[$-0E0000]yyyy-mm-dd")</f>
        <v/>
      </c>
      <c r="C14197" t="inlineStr">
        <is>
          <t>1938-09-22</t>
        </is>
      </c>
    </row>
    <row r="14198">
      <c r="A14198" s="1" t="n">
        <v>14197</v>
      </c>
      <c r="B14198">
        <f>TEXT(14197, "[$-0E0000]yyyy-mm-dd")</f>
        <v/>
      </c>
      <c r="C14198" t="inlineStr">
        <is>
          <t>1938-09-23</t>
        </is>
      </c>
    </row>
    <row r="14199">
      <c r="A14199" s="1" t="n">
        <v>14198</v>
      </c>
      <c r="B14199">
        <f>TEXT(14198, "[$-0E0000]yyyy-mm-dd")</f>
        <v/>
      </c>
      <c r="C14199" t="inlineStr">
        <is>
          <t>1938-09-24</t>
        </is>
      </c>
    </row>
    <row r="14200">
      <c r="A14200" s="1" t="n">
        <v>14199</v>
      </c>
      <c r="B14200">
        <f>TEXT(14199, "[$-0E0000]yyyy-mm-dd")</f>
        <v/>
      </c>
      <c r="C14200" t="inlineStr">
        <is>
          <t>1938-09-25</t>
        </is>
      </c>
    </row>
    <row r="14201">
      <c r="A14201" s="1" t="n">
        <v>14200</v>
      </c>
      <c r="B14201">
        <f>TEXT(14200, "[$-0E0000]yyyy-mm-dd")</f>
        <v/>
      </c>
      <c r="C14201" t="inlineStr">
        <is>
          <t>1938-09-26</t>
        </is>
      </c>
    </row>
    <row r="14202">
      <c r="A14202" s="1" t="n">
        <v>14201</v>
      </c>
      <c r="B14202">
        <f>TEXT(14201, "[$-0E0000]yyyy-mm-dd")</f>
        <v/>
      </c>
      <c r="C14202" t="inlineStr">
        <is>
          <t>1938-09-27</t>
        </is>
      </c>
    </row>
    <row r="14203">
      <c r="A14203" s="1" t="n">
        <v>14202</v>
      </c>
      <c r="B14203">
        <f>TEXT(14202, "[$-0E0000]yyyy-mm-dd")</f>
        <v/>
      </c>
      <c r="C14203" t="inlineStr">
        <is>
          <t>1938-09-28</t>
        </is>
      </c>
    </row>
    <row r="14204">
      <c r="A14204" s="1" t="n">
        <v>14203</v>
      </c>
      <c r="B14204">
        <f>TEXT(14203, "[$-0E0000]yyyy-mm-dd")</f>
        <v/>
      </c>
      <c r="C14204" t="inlineStr">
        <is>
          <t>1938-09-29</t>
        </is>
      </c>
    </row>
    <row r="14205">
      <c r="A14205" s="1" t="n">
        <v>14204</v>
      </c>
      <c r="B14205">
        <f>TEXT(14204, "[$-0E0000]yyyy-mm-dd")</f>
        <v/>
      </c>
      <c r="C14205" t="inlineStr">
        <is>
          <t>1938-09-30</t>
        </is>
      </c>
    </row>
    <row r="14206">
      <c r="A14206" s="1" t="n">
        <v>14205</v>
      </c>
      <c r="B14206">
        <f>TEXT(14205, "[$-0E0000]yyyy-mm-dd")</f>
        <v/>
      </c>
      <c r="C14206" t="inlineStr">
        <is>
          <t>1938-10-01</t>
        </is>
      </c>
    </row>
    <row r="14207">
      <c r="A14207" s="1" t="n">
        <v>14206</v>
      </c>
      <c r="B14207">
        <f>TEXT(14206, "[$-0E0000]yyyy-mm-dd")</f>
        <v/>
      </c>
      <c r="C14207" t="inlineStr">
        <is>
          <t>1938-10-02</t>
        </is>
      </c>
    </row>
    <row r="14208">
      <c r="A14208" s="1" t="n">
        <v>14207</v>
      </c>
      <c r="B14208">
        <f>TEXT(14207, "[$-0E0000]yyyy-mm-dd")</f>
        <v/>
      </c>
      <c r="C14208" t="inlineStr">
        <is>
          <t>1938-10-03</t>
        </is>
      </c>
    </row>
    <row r="14209">
      <c r="A14209" s="1" t="n">
        <v>14208</v>
      </c>
      <c r="B14209">
        <f>TEXT(14208, "[$-0E0000]yyyy-mm-dd")</f>
        <v/>
      </c>
      <c r="C14209" t="inlineStr">
        <is>
          <t>1938-10-04</t>
        </is>
      </c>
    </row>
    <row r="14210">
      <c r="A14210" s="1" t="n">
        <v>14209</v>
      </c>
      <c r="B14210">
        <f>TEXT(14209, "[$-0E0000]yyyy-mm-dd")</f>
        <v/>
      </c>
      <c r="C14210" t="inlineStr">
        <is>
          <t>1938-10-05</t>
        </is>
      </c>
    </row>
    <row r="14211">
      <c r="A14211" s="1" t="n">
        <v>14210</v>
      </c>
      <c r="B14211">
        <f>TEXT(14210, "[$-0E0000]yyyy-mm-dd")</f>
        <v/>
      </c>
      <c r="C14211" t="inlineStr">
        <is>
          <t>1938-10-06</t>
        </is>
      </c>
    </row>
    <row r="14212">
      <c r="A14212" s="1" t="n">
        <v>14211</v>
      </c>
      <c r="B14212">
        <f>TEXT(14211, "[$-0E0000]yyyy-mm-dd")</f>
        <v/>
      </c>
      <c r="C14212" t="inlineStr">
        <is>
          <t>1938-10-07</t>
        </is>
      </c>
    </row>
    <row r="14213">
      <c r="A14213" s="1" t="n">
        <v>14212</v>
      </c>
      <c r="B14213">
        <f>TEXT(14212, "[$-0E0000]yyyy-mm-dd")</f>
        <v/>
      </c>
      <c r="C14213" t="inlineStr">
        <is>
          <t>1938-10-08</t>
        </is>
      </c>
    </row>
    <row r="14214">
      <c r="A14214" s="1" t="n">
        <v>14213</v>
      </c>
      <c r="B14214">
        <f>TEXT(14213, "[$-0E0000]yyyy-mm-dd")</f>
        <v/>
      </c>
      <c r="C14214" t="inlineStr">
        <is>
          <t>1938-10-09</t>
        </is>
      </c>
    </row>
    <row r="14215">
      <c r="A14215" s="1" t="n">
        <v>14214</v>
      </c>
      <c r="B14215">
        <f>TEXT(14214, "[$-0E0000]yyyy-mm-dd")</f>
        <v/>
      </c>
      <c r="C14215" t="inlineStr">
        <is>
          <t>1938-10-10</t>
        </is>
      </c>
    </row>
    <row r="14216">
      <c r="A14216" s="1" t="n">
        <v>14215</v>
      </c>
      <c r="B14216">
        <f>TEXT(14215, "[$-0E0000]yyyy-mm-dd")</f>
        <v/>
      </c>
      <c r="C14216" t="inlineStr">
        <is>
          <t>1938-10-11</t>
        </is>
      </c>
    </row>
    <row r="14217">
      <c r="A14217" s="1" t="n">
        <v>14216</v>
      </c>
      <c r="B14217">
        <f>TEXT(14216, "[$-0E0000]yyyy-mm-dd")</f>
        <v/>
      </c>
      <c r="C14217" t="inlineStr">
        <is>
          <t>1938-10-12</t>
        </is>
      </c>
    </row>
    <row r="14218">
      <c r="A14218" s="1" t="n">
        <v>14217</v>
      </c>
      <c r="B14218">
        <f>TEXT(14217, "[$-0E0000]yyyy-mm-dd")</f>
        <v/>
      </c>
      <c r="C14218" t="inlineStr">
        <is>
          <t>1938-10-13</t>
        </is>
      </c>
    </row>
    <row r="14219">
      <c r="A14219" s="1" t="n">
        <v>14218</v>
      </c>
      <c r="B14219">
        <f>TEXT(14218, "[$-0E0000]yyyy-mm-dd")</f>
        <v/>
      </c>
      <c r="C14219" t="inlineStr">
        <is>
          <t>1938-10-14</t>
        </is>
      </c>
    </row>
    <row r="14220">
      <c r="A14220" s="1" t="n">
        <v>14219</v>
      </c>
      <c r="B14220">
        <f>TEXT(14219, "[$-0E0000]yyyy-mm-dd")</f>
        <v/>
      </c>
      <c r="C14220" t="inlineStr">
        <is>
          <t>1938-10-15</t>
        </is>
      </c>
    </row>
    <row r="14221">
      <c r="A14221" s="1" t="n">
        <v>14220</v>
      </c>
      <c r="B14221">
        <f>TEXT(14220, "[$-0E0000]yyyy-mm-dd")</f>
        <v/>
      </c>
      <c r="C14221" t="inlineStr">
        <is>
          <t>1938-10-16</t>
        </is>
      </c>
    </row>
    <row r="14222">
      <c r="A14222" s="1" t="n">
        <v>14221</v>
      </c>
      <c r="B14222">
        <f>TEXT(14221, "[$-0E0000]yyyy-mm-dd")</f>
        <v/>
      </c>
      <c r="C14222" t="inlineStr">
        <is>
          <t>1938-10-17</t>
        </is>
      </c>
    </row>
    <row r="14223">
      <c r="A14223" s="1" t="n">
        <v>14222</v>
      </c>
      <c r="B14223">
        <f>TEXT(14222, "[$-0E0000]yyyy-mm-dd")</f>
        <v/>
      </c>
      <c r="C14223" t="inlineStr">
        <is>
          <t>1938-10-18</t>
        </is>
      </c>
    </row>
    <row r="14224">
      <c r="A14224" s="1" t="n">
        <v>14223</v>
      </c>
      <c r="B14224">
        <f>TEXT(14223, "[$-0E0000]yyyy-mm-dd")</f>
        <v/>
      </c>
      <c r="C14224" t="inlineStr">
        <is>
          <t>1938-10-19</t>
        </is>
      </c>
    </row>
    <row r="14225">
      <c r="A14225" s="1" t="n">
        <v>14224</v>
      </c>
      <c r="B14225">
        <f>TEXT(14224, "[$-0E0000]yyyy-mm-dd")</f>
        <v/>
      </c>
      <c r="C14225" t="inlineStr">
        <is>
          <t>1938-10-20</t>
        </is>
      </c>
    </row>
    <row r="14226">
      <c r="A14226" s="1" t="n">
        <v>14225</v>
      </c>
      <c r="B14226">
        <f>TEXT(14225, "[$-0E0000]yyyy-mm-dd")</f>
        <v/>
      </c>
      <c r="C14226" t="inlineStr">
        <is>
          <t>1938-10-21</t>
        </is>
      </c>
    </row>
    <row r="14227">
      <c r="A14227" s="1" t="n">
        <v>14226</v>
      </c>
      <c r="B14227">
        <f>TEXT(14226, "[$-0E0000]yyyy-mm-dd")</f>
        <v/>
      </c>
      <c r="C14227" t="inlineStr">
        <is>
          <t>1938-10-22</t>
        </is>
      </c>
    </row>
    <row r="14228">
      <c r="A14228" s="1" t="n">
        <v>14227</v>
      </c>
      <c r="B14228">
        <f>TEXT(14227, "[$-0E0000]yyyy-mm-dd")</f>
        <v/>
      </c>
      <c r="C14228" t="inlineStr">
        <is>
          <t>1938-10-23</t>
        </is>
      </c>
    </row>
    <row r="14229">
      <c r="A14229" s="1" t="n">
        <v>14228</v>
      </c>
      <c r="B14229">
        <f>TEXT(14228, "[$-0E0000]yyyy-mm-dd")</f>
        <v/>
      </c>
      <c r="C14229" t="inlineStr">
        <is>
          <t>1938-10-24</t>
        </is>
      </c>
    </row>
    <row r="14230">
      <c r="A14230" s="1" t="n">
        <v>14229</v>
      </c>
      <c r="B14230">
        <f>TEXT(14229, "[$-0E0000]yyyy-mm-dd")</f>
        <v/>
      </c>
      <c r="C14230" t="inlineStr">
        <is>
          <t>1938-10-25</t>
        </is>
      </c>
    </row>
    <row r="14231">
      <c r="A14231" s="1" t="n">
        <v>14230</v>
      </c>
      <c r="B14231">
        <f>TEXT(14230, "[$-0E0000]yyyy-mm-dd")</f>
        <v/>
      </c>
      <c r="C14231" t="inlineStr">
        <is>
          <t>1938-10-26</t>
        </is>
      </c>
    </row>
    <row r="14232">
      <c r="A14232" s="1" t="n">
        <v>14231</v>
      </c>
      <c r="B14232">
        <f>TEXT(14231, "[$-0E0000]yyyy-mm-dd")</f>
        <v/>
      </c>
      <c r="C14232" t="inlineStr">
        <is>
          <t>1938-10-27</t>
        </is>
      </c>
    </row>
    <row r="14233">
      <c r="A14233" s="1" t="n">
        <v>14232</v>
      </c>
      <c r="B14233">
        <f>TEXT(14232, "[$-0E0000]yyyy-mm-dd")</f>
        <v/>
      </c>
      <c r="C14233" t="inlineStr">
        <is>
          <t>1938-10-28</t>
        </is>
      </c>
    </row>
    <row r="14234">
      <c r="A14234" s="1" t="n">
        <v>14233</v>
      </c>
      <c r="B14234">
        <f>TEXT(14233, "[$-0E0000]yyyy-mm-dd")</f>
        <v/>
      </c>
      <c r="C14234" t="inlineStr">
        <is>
          <t>1938-10-29</t>
        </is>
      </c>
    </row>
    <row r="14235">
      <c r="A14235" s="1" t="n">
        <v>14234</v>
      </c>
      <c r="B14235">
        <f>TEXT(14234, "[$-0E0000]yyyy-mm-dd")</f>
        <v/>
      </c>
      <c r="C14235" t="inlineStr">
        <is>
          <t>1938-10-30</t>
        </is>
      </c>
    </row>
    <row r="14236">
      <c r="A14236" s="1" t="n">
        <v>14235</v>
      </c>
      <c r="B14236">
        <f>TEXT(14235, "[$-0E0000]yyyy-mm-dd")</f>
        <v/>
      </c>
      <c r="C14236" t="inlineStr">
        <is>
          <t>1938-11-01</t>
        </is>
      </c>
    </row>
    <row r="14237">
      <c r="A14237" s="1" t="n">
        <v>14236</v>
      </c>
      <c r="B14237">
        <f>TEXT(14236, "[$-0E0000]yyyy-mm-dd")</f>
        <v/>
      </c>
      <c r="C14237" t="inlineStr">
        <is>
          <t>1938-11-02</t>
        </is>
      </c>
    </row>
    <row r="14238">
      <c r="A14238" s="1" t="n">
        <v>14237</v>
      </c>
      <c r="B14238">
        <f>TEXT(14237, "[$-0E0000]yyyy-mm-dd")</f>
        <v/>
      </c>
      <c r="C14238" t="inlineStr">
        <is>
          <t>1938-11-03</t>
        </is>
      </c>
    </row>
    <row r="14239">
      <c r="A14239" s="1" t="n">
        <v>14238</v>
      </c>
      <c r="B14239">
        <f>TEXT(14238, "[$-0E0000]yyyy-mm-dd")</f>
        <v/>
      </c>
      <c r="C14239" t="inlineStr">
        <is>
          <t>1938-11-04</t>
        </is>
      </c>
    </row>
    <row r="14240">
      <c r="A14240" s="1" t="n">
        <v>14239</v>
      </c>
      <c r="B14240">
        <f>TEXT(14239, "[$-0E0000]yyyy-mm-dd")</f>
        <v/>
      </c>
      <c r="C14240" t="inlineStr">
        <is>
          <t>1938-11-05</t>
        </is>
      </c>
    </row>
    <row r="14241">
      <c r="A14241" s="1" t="n">
        <v>14240</v>
      </c>
      <c r="B14241">
        <f>TEXT(14240, "[$-0E0000]yyyy-mm-dd")</f>
        <v/>
      </c>
      <c r="C14241" t="inlineStr">
        <is>
          <t>1938-11-06</t>
        </is>
      </c>
    </row>
    <row r="14242">
      <c r="A14242" s="1" t="n">
        <v>14241</v>
      </c>
      <c r="B14242">
        <f>TEXT(14241, "[$-0E0000]yyyy-mm-dd")</f>
        <v/>
      </c>
      <c r="C14242" t="inlineStr">
        <is>
          <t>1938-11-07</t>
        </is>
      </c>
    </row>
    <row r="14243">
      <c r="A14243" s="1" t="n">
        <v>14242</v>
      </c>
      <c r="B14243">
        <f>TEXT(14242, "[$-0E0000]yyyy-mm-dd")</f>
        <v/>
      </c>
      <c r="C14243" t="inlineStr">
        <is>
          <t>1938-11-08</t>
        </is>
      </c>
    </row>
    <row r="14244">
      <c r="A14244" s="1" t="n">
        <v>14243</v>
      </c>
      <c r="B14244">
        <f>TEXT(14243, "[$-0E0000]yyyy-mm-dd")</f>
        <v/>
      </c>
      <c r="C14244" t="inlineStr">
        <is>
          <t>1938-11-09</t>
        </is>
      </c>
    </row>
    <row r="14245">
      <c r="A14245" s="1" t="n">
        <v>14244</v>
      </c>
      <c r="B14245">
        <f>TEXT(14244, "[$-0E0000]yyyy-mm-dd")</f>
        <v/>
      </c>
      <c r="C14245" t="inlineStr">
        <is>
          <t>1938-11-10</t>
        </is>
      </c>
    </row>
    <row r="14246">
      <c r="A14246" s="1" t="n">
        <v>14245</v>
      </c>
      <c r="B14246">
        <f>TEXT(14245, "[$-0E0000]yyyy-mm-dd")</f>
        <v/>
      </c>
      <c r="C14246" t="inlineStr">
        <is>
          <t>1938-11-11</t>
        </is>
      </c>
    </row>
    <row r="14247">
      <c r="A14247" s="1" t="n">
        <v>14246</v>
      </c>
      <c r="B14247">
        <f>TEXT(14246, "[$-0E0000]yyyy-mm-dd")</f>
        <v/>
      </c>
      <c r="C14247" t="inlineStr">
        <is>
          <t>1938-11-12</t>
        </is>
      </c>
    </row>
    <row r="14248">
      <c r="A14248" s="1" t="n">
        <v>14247</v>
      </c>
      <c r="B14248">
        <f>TEXT(14247, "[$-0E0000]yyyy-mm-dd")</f>
        <v/>
      </c>
      <c r="C14248" t="inlineStr">
        <is>
          <t>1938-11-13</t>
        </is>
      </c>
    </row>
    <row r="14249">
      <c r="A14249" s="1" t="n">
        <v>14248</v>
      </c>
      <c r="B14249">
        <f>TEXT(14248, "[$-0E0000]yyyy-mm-dd")</f>
        <v/>
      </c>
      <c r="C14249" t="inlineStr">
        <is>
          <t>1938-11-14</t>
        </is>
      </c>
    </row>
    <row r="14250">
      <c r="A14250" s="1" t="n">
        <v>14249</v>
      </c>
      <c r="B14250">
        <f>TEXT(14249, "[$-0E0000]yyyy-mm-dd")</f>
        <v/>
      </c>
      <c r="C14250" t="inlineStr">
        <is>
          <t>1938-11-15</t>
        </is>
      </c>
    </row>
    <row r="14251">
      <c r="A14251" s="1" t="n">
        <v>14250</v>
      </c>
      <c r="B14251">
        <f>TEXT(14250, "[$-0E0000]yyyy-mm-dd")</f>
        <v/>
      </c>
      <c r="C14251" t="inlineStr">
        <is>
          <t>1938-11-16</t>
        </is>
      </c>
    </row>
    <row r="14252">
      <c r="A14252" s="1" t="n">
        <v>14251</v>
      </c>
      <c r="B14252">
        <f>TEXT(14251, "[$-0E0000]yyyy-mm-dd")</f>
        <v/>
      </c>
      <c r="C14252" t="inlineStr">
        <is>
          <t>1938-11-17</t>
        </is>
      </c>
    </row>
    <row r="14253">
      <c r="A14253" s="1" t="n">
        <v>14252</v>
      </c>
      <c r="B14253">
        <f>TEXT(14252, "[$-0E0000]yyyy-mm-dd")</f>
        <v/>
      </c>
      <c r="C14253" t="inlineStr">
        <is>
          <t>1938-11-18</t>
        </is>
      </c>
    </row>
    <row r="14254">
      <c r="A14254" s="1" t="n">
        <v>14253</v>
      </c>
      <c r="B14254">
        <f>TEXT(14253, "[$-0E0000]yyyy-mm-dd")</f>
        <v/>
      </c>
      <c r="C14254" t="inlineStr">
        <is>
          <t>1938-11-19</t>
        </is>
      </c>
    </row>
    <row r="14255">
      <c r="A14255" s="1" t="n">
        <v>14254</v>
      </c>
      <c r="B14255">
        <f>TEXT(14254, "[$-0E0000]yyyy-mm-dd")</f>
        <v/>
      </c>
      <c r="C14255" t="inlineStr">
        <is>
          <t>1938-11-20</t>
        </is>
      </c>
    </row>
    <row r="14256">
      <c r="A14256" s="1" t="n">
        <v>14255</v>
      </c>
      <c r="B14256">
        <f>TEXT(14255, "[$-0E0000]yyyy-mm-dd")</f>
        <v/>
      </c>
      <c r="C14256" t="inlineStr">
        <is>
          <t>1938-11-21</t>
        </is>
      </c>
    </row>
    <row r="14257">
      <c r="A14257" s="1" t="n">
        <v>14256</v>
      </c>
      <c r="B14257">
        <f>TEXT(14256, "[$-0E0000]yyyy-mm-dd")</f>
        <v/>
      </c>
      <c r="C14257" t="inlineStr">
        <is>
          <t>1938-11-22</t>
        </is>
      </c>
    </row>
    <row r="14258">
      <c r="A14258" s="1" t="n">
        <v>14257</v>
      </c>
      <c r="B14258">
        <f>TEXT(14257, "[$-0E0000]yyyy-mm-dd")</f>
        <v/>
      </c>
      <c r="C14258" t="inlineStr">
        <is>
          <t>1938-11-23</t>
        </is>
      </c>
    </row>
    <row r="14259">
      <c r="A14259" s="1" t="n">
        <v>14258</v>
      </c>
      <c r="B14259">
        <f>TEXT(14258, "[$-0E0000]yyyy-mm-dd")</f>
        <v/>
      </c>
      <c r="C14259" t="inlineStr">
        <is>
          <t>1938-11-24</t>
        </is>
      </c>
    </row>
    <row r="14260">
      <c r="A14260" s="1" t="n">
        <v>14259</v>
      </c>
      <c r="B14260">
        <f>TEXT(14259, "[$-0E0000]yyyy-mm-dd")</f>
        <v/>
      </c>
      <c r="C14260" t="inlineStr">
        <is>
          <t>1938-11-25</t>
        </is>
      </c>
    </row>
    <row r="14261">
      <c r="A14261" s="1" t="n">
        <v>14260</v>
      </c>
      <c r="B14261">
        <f>TEXT(14260, "[$-0E0000]yyyy-mm-dd")</f>
        <v/>
      </c>
      <c r="C14261" t="inlineStr">
        <is>
          <t>1938-11-26</t>
        </is>
      </c>
    </row>
    <row r="14262">
      <c r="A14262" s="1" t="n">
        <v>14261</v>
      </c>
      <c r="B14262">
        <f>TEXT(14261, "[$-0E0000]yyyy-mm-dd")</f>
        <v/>
      </c>
      <c r="C14262" t="inlineStr">
        <is>
          <t>1938-11-27</t>
        </is>
      </c>
    </row>
    <row r="14263">
      <c r="A14263" s="1" t="n">
        <v>14262</v>
      </c>
      <c r="B14263">
        <f>TEXT(14262, "[$-0E0000]yyyy-mm-dd")</f>
        <v/>
      </c>
      <c r="C14263" t="inlineStr">
        <is>
          <t>1938-11-28</t>
        </is>
      </c>
    </row>
    <row r="14264">
      <c r="A14264" s="1" t="n">
        <v>14263</v>
      </c>
      <c r="B14264">
        <f>TEXT(14263, "[$-0E0000]yyyy-mm-dd")</f>
        <v/>
      </c>
      <c r="C14264" t="inlineStr">
        <is>
          <t>1938-11-29</t>
        </is>
      </c>
    </row>
    <row r="14265">
      <c r="A14265" s="1" t="n">
        <v>14264</v>
      </c>
      <c r="B14265">
        <f>TEXT(14264, "[$-0E0000]yyyy-mm-dd")</f>
        <v/>
      </c>
      <c r="C14265" t="inlineStr">
        <is>
          <t>1938-12-01</t>
        </is>
      </c>
    </row>
    <row r="14266">
      <c r="A14266" s="1" t="n">
        <v>14265</v>
      </c>
      <c r="B14266">
        <f>TEXT(14265, "[$-0E0000]yyyy-mm-dd")</f>
        <v/>
      </c>
      <c r="C14266" t="inlineStr">
        <is>
          <t>1938-12-02</t>
        </is>
      </c>
    </row>
    <row r="14267">
      <c r="A14267" s="1" t="n">
        <v>14266</v>
      </c>
      <c r="B14267">
        <f>TEXT(14266, "[$-0E0000]yyyy-mm-dd")</f>
        <v/>
      </c>
      <c r="C14267" t="inlineStr">
        <is>
          <t>1938-12-03</t>
        </is>
      </c>
    </row>
    <row r="14268">
      <c r="A14268" s="1" t="n">
        <v>14267</v>
      </c>
      <c r="B14268">
        <f>TEXT(14267, "[$-0E0000]yyyy-mm-dd")</f>
        <v/>
      </c>
      <c r="C14268" t="inlineStr">
        <is>
          <t>1938-12-04</t>
        </is>
      </c>
    </row>
    <row r="14269">
      <c r="A14269" s="1" t="n">
        <v>14268</v>
      </c>
      <c r="B14269">
        <f>TEXT(14268, "[$-0E0000]yyyy-mm-dd")</f>
        <v/>
      </c>
      <c r="C14269" t="inlineStr">
        <is>
          <t>1938-12-05</t>
        </is>
      </c>
    </row>
    <row r="14270">
      <c r="A14270" s="1" t="n">
        <v>14269</v>
      </c>
      <c r="B14270">
        <f>TEXT(14269, "[$-0E0000]yyyy-mm-dd")</f>
        <v/>
      </c>
      <c r="C14270" t="inlineStr">
        <is>
          <t>1938-12-06</t>
        </is>
      </c>
    </row>
    <row r="14271">
      <c r="A14271" s="1" t="n">
        <v>14270</v>
      </c>
      <c r="B14271">
        <f>TEXT(14270, "[$-0E0000]yyyy-mm-dd")</f>
        <v/>
      </c>
      <c r="C14271" t="inlineStr">
        <is>
          <t>1938-12-07</t>
        </is>
      </c>
    </row>
    <row r="14272">
      <c r="A14272" s="1" t="n">
        <v>14271</v>
      </c>
      <c r="B14272">
        <f>TEXT(14271, "[$-0E0000]yyyy-mm-dd")</f>
        <v/>
      </c>
      <c r="C14272" t="inlineStr">
        <is>
          <t>1938-12-08</t>
        </is>
      </c>
    </row>
    <row r="14273">
      <c r="A14273" s="1" t="n">
        <v>14272</v>
      </c>
      <c r="B14273">
        <f>TEXT(14272, "[$-0E0000]yyyy-mm-dd")</f>
        <v/>
      </c>
      <c r="C14273" t="inlineStr">
        <is>
          <t>1938-12-09</t>
        </is>
      </c>
    </row>
    <row r="14274">
      <c r="A14274" s="1" t="n">
        <v>14273</v>
      </c>
      <c r="B14274">
        <f>TEXT(14273, "[$-0E0000]yyyy-mm-dd")</f>
        <v/>
      </c>
      <c r="C14274" t="inlineStr">
        <is>
          <t>1938-12-10</t>
        </is>
      </c>
    </row>
    <row r="14275">
      <c r="A14275" s="1" t="n">
        <v>14274</v>
      </c>
      <c r="B14275">
        <f>TEXT(14274, "[$-0E0000]yyyy-mm-dd")</f>
        <v/>
      </c>
      <c r="C14275" t="inlineStr">
        <is>
          <t>1938-12-11</t>
        </is>
      </c>
    </row>
    <row r="14276">
      <c r="A14276" s="1" t="n">
        <v>14275</v>
      </c>
      <c r="B14276">
        <f>TEXT(14275, "[$-0E0000]yyyy-mm-dd")</f>
        <v/>
      </c>
      <c r="C14276" t="inlineStr">
        <is>
          <t>1938-12-12</t>
        </is>
      </c>
    </row>
    <row r="14277">
      <c r="A14277" s="1" t="n">
        <v>14276</v>
      </c>
      <c r="B14277">
        <f>TEXT(14276, "[$-0E0000]yyyy-mm-dd")</f>
        <v/>
      </c>
      <c r="C14277" t="inlineStr">
        <is>
          <t>1938-12-13</t>
        </is>
      </c>
    </row>
    <row r="14278">
      <c r="A14278" s="1" t="n">
        <v>14277</v>
      </c>
      <c r="B14278">
        <f>TEXT(14277, "[$-0E0000]yyyy-mm-dd")</f>
        <v/>
      </c>
      <c r="C14278" t="inlineStr">
        <is>
          <t>1938-12-14</t>
        </is>
      </c>
    </row>
    <row r="14279">
      <c r="A14279" s="1" t="n">
        <v>14278</v>
      </c>
      <c r="B14279">
        <f>TEXT(14278, "[$-0E0000]yyyy-mm-dd")</f>
        <v/>
      </c>
      <c r="C14279" t="inlineStr">
        <is>
          <t>1938-12-15</t>
        </is>
      </c>
    </row>
    <row r="14280">
      <c r="A14280" s="1" t="n">
        <v>14279</v>
      </c>
      <c r="B14280">
        <f>TEXT(14279, "[$-0E0000]yyyy-mm-dd")</f>
        <v/>
      </c>
      <c r="C14280" t="inlineStr">
        <is>
          <t>1938-12-16</t>
        </is>
      </c>
    </row>
    <row r="14281">
      <c r="A14281" s="1" t="n">
        <v>14280</v>
      </c>
      <c r="B14281">
        <f>TEXT(14280, "[$-0E0000]yyyy-mm-dd")</f>
        <v/>
      </c>
      <c r="C14281" t="inlineStr">
        <is>
          <t>1938-12-17</t>
        </is>
      </c>
    </row>
    <row r="14282">
      <c r="A14282" s="1" t="n">
        <v>14281</v>
      </c>
      <c r="B14282">
        <f>TEXT(14281, "[$-0E0000]yyyy-mm-dd")</f>
        <v/>
      </c>
      <c r="C14282" t="inlineStr">
        <is>
          <t>1938-12-18</t>
        </is>
      </c>
    </row>
    <row r="14283">
      <c r="A14283" s="1" t="n">
        <v>14282</v>
      </c>
      <c r="B14283">
        <f>TEXT(14282, "[$-0E0000]yyyy-mm-dd")</f>
        <v/>
      </c>
      <c r="C14283" t="inlineStr">
        <is>
          <t>1938-12-19</t>
        </is>
      </c>
    </row>
    <row r="14284">
      <c r="A14284" s="1" t="n">
        <v>14283</v>
      </c>
      <c r="B14284">
        <f>TEXT(14283, "[$-0E0000]yyyy-mm-dd")</f>
        <v/>
      </c>
      <c r="C14284" t="inlineStr">
        <is>
          <t>1938-12-20</t>
        </is>
      </c>
    </row>
    <row r="14285">
      <c r="A14285" s="1" t="n">
        <v>14284</v>
      </c>
      <c r="B14285">
        <f>TEXT(14284, "[$-0E0000]yyyy-mm-dd")</f>
        <v/>
      </c>
      <c r="C14285" t="inlineStr">
        <is>
          <t>1938-12-21</t>
        </is>
      </c>
    </row>
    <row r="14286">
      <c r="A14286" s="1" t="n">
        <v>14285</v>
      </c>
      <c r="B14286">
        <f>TEXT(14285, "[$-0E0000]yyyy-mm-dd")</f>
        <v/>
      </c>
      <c r="C14286" t="inlineStr">
        <is>
          <t>1938-12-22</t>
        </is>
      </c>
    </row>
    <row r="14287">
      <c r="A14287" s="1" t="n">
        <v>14286</v>
      </c>
      <c r="B14287">
        <f>TEXT(14286, "[$-0E0000]yyyy-mm-dd")</f>
        <v/>
      </c>
      <c r="C14287" t="inlineStr">
        <is>
          <t>1938-12-23</t>
        </is>
      </c>
    </row>
    <row r="14288">
      <c r="A14288" s="1" t="n">
        <v>14287</v>
      </c>
      <c r="B14288">
        <f>TEXT(14287, "[$-0E0000]yyyy-mm-dd")</f>
        <v/>
      </c>
      <c r="C14288" t="inlineStr">
        <is>
          <t>1938-12-24</t>
        </is>
      </c>
    </row>
    <row r="14289">
      <c r="A14289" s="1" t="n">
        <v>14288</v>
      </c>
      <c r="B14289">
        <f>TEXT(14288, "[$-0E0000]yyyy-mm-dd")</f>
        <v/>
      </c>
      <c r="C14289" t="inlineStr">
        <is>
          <t>1938-12-25</t>
        </is>
      </c>
    </row>
    <row r="14290">
      <c r="A14290" s="1" t="n">
        <v>14289</v>
      </c>
      <c r="B14290">
        <f>TEXT(14289, "[$-0E0000]yyyy-mm-dd")</f>
        <v/>
      </c>
      <c r="C14290" t="inlineStr">
        <is>
          <t>1938-12-26</t>
        </is>
      </c>
    </row>
    <row r="14291">
      <c r="A14291" s="1" t="n">
        <v>14290</v>
      </c>
      <c r="B14291">
        <f>TEXT(14290, "[$-0E0000]yyyy-mm-dd")</f>
        <v/>
      </c>
      <c r="C14291" t="inlineStr">
        <is>
          <t>1938-12-27</t>
        </is>
      </c>
    </row>
    <row r="14292">
      <c r="A14292" s="1" t="n">
        <v>14291</v>
      </c>
      <c r="B14292">
        <f>TEXT(14291, "[$-0E0000]yyyy-mm-dd")</f>
        <v/>
      </c>
      <c r="C14292" t="inlineStr">
        <is>
          <t>1938-12-28</t>
        </is>
      </c>
    </row>
    <row r="14293">
      <c r="A14293" s="1" t="n">
        <v>14292</v>
      </c>
      <c r="B14293">
        <f>TEXT(14292, "[$-0E0000]yyyy-mm-dd")</f>
        <v/>
      </c>
      <c r="C14293" t="inlineStr">
        <is>
          <t>1938-12-29</t>
        </is>
      </c>
    </row>
    <row r="14294">
      <c r="A14294" s="1" t="n">
        <v>14293</v>
      </c>
      <c r="B14294">
        <f>TEXT(14293, "[$-0E0000]yyyy-mm-dd")</f>
        <v/>
      </c>
      <c r="C14294" t="inlineStr">
        <is>
          <t>1938-12-30</t>
        </is>
      </c>
    </row>
    <row r="14295">
      <c r="A14295" s="1" t="n">
        <v>14294</v>
      </c>
      <c r="B14295">
        <f>TEXT(14294, "[$-0E0000]yyyy-mm-dd")</f>
        <v/>
      </c>
      <c r="C14295" t="inlineStr">
        <is>
          <t>1939-01-01</t>
        </is>
      </c>
    </row>
    <row r="14296">
      <c r="A14296" s="1" t="n">
        <v>14295</v>
      </c>
      <c r="B14296">
        <f>TEXT(14295, "[$-0E0000]yyyy-mm-dd")</f>
        <v/>
      </c>
      <c r="C14296" t="inlineStr">
        <is>
          <t>1939-01-02</t>
        </is>
      </c>
    </row>
    <row r="14297">
      <c r="A14297" s="1" t="n">
        <v>14296</v>
      </c>
      <c r="B14297">
        <f>TEXT(14296, "[$-0E0000]yyyy-mm-dd")</f>
        <v/>
      </c>
      <c r="C14297" t="inlineStr">
        <is>
          <t>1939-01-03</t>
        </is>
      </c>
    </row>
    <row r="14298">
      <c r="A14298" s="1" t="n">
        <v>14297</v>
      </c>
      <c r="B14298">
        <f>TEXT(14297, "[$-0E0000]yyyy-mm-dd")</f>
        <v/>
      </c>
      <c r="C14298" t="inlineStr">
        <is>
          <t>1939-01-04</t>
        </is>
      </c>
    </row>
    <row r="14299">
      <c r="A14299" s="1" t="n">
        <v>14298</v>
      </c>
      <c r="B14299">
        <f>TEXT(14298, "[$-0E0000]yyyy-mm-dd")</f>
        <v/>
      </c>
      <c r="C14299" t="inlineStr">
        <is>
          <t>1939-01-05</t>
        </is>
      </c>
    </row>
    <row r="14300">
      <c r="A14300" s="1" t="n">
        <v>14299</v>
      </c>
      <c r="B14300">
        <f>TEXT(14299, "[$-0E0000]yyyy-mm-dd")</f>
        <v/>
      </c>
      <c r="C14300" t="inlineStr">
        <is>
          <t>1939-01-06</t>
        </is>
      </c>
    </row>
    <row r="14301">
      <c r="A14301" s="1" t="n">
        <v>14300</v>
      </c>
      <c r="B14301">
        <f>TEXT(14300, "[$-0E0000]yyyy-mm-dd")</f>
        <v/>
      </c>
      <c r="C14301" t="inlineStr">
        <is>
          <t>1939-01-07</t>
        </is>
      </c>
    </row>
    <row r="14302">
      <c r="A14302" s="1" t="n">
        <v>14301</v>
      </c>
      <c r="B14302">
        <f>TEXT(14301, "[$-0E0000]yyyy-mm-dd")</f>
        <v/>
      </c>
      <c r="C14302" t="inlineStr">
        <is>
          <t>1939-01-08</t>
        </is>
      </c>
    </row>
    <row r="14303">
      <c r="A14303" s="1" t="n">
        <v>14302</v>
      </c>
      <c r="B14303">
        <f>TEXT(14302, "[$-0E0000]yyyy-mm-dd")</f>
        <v/>
      </c>
      <c r="C14303" t="inlineStr">
        <is>
          <t>1939-01-09</t>
        </is>
      </c>
    </row>
    <row r="14304">
      <c r="A14304" s="1" t="n">
        <v>14303</v>
      </c>
      <c r="B14304">
        <f>TEXT(14303, "[$-0E0000]yyyy-mm-dd")</f>
        <v/>
      </c>
      <c r="C14304" t="inlineStr">
        <is>
          <t>1939-01-10</t>
        </is>
      </c>
    </row>
    <row r="14305">
      <c r="A14305" s="1" t="n">
        <v>14304</v>
      </c>
      <c r="B14305">
        <f>TEXT(14304, "[$-0E0000]yyyy-mm-dd")</f>
        <v/>
      </c>
      <c r="C14305" t="inlineStr">
        <is>
          <t>1939-01-11</t>
        </is>
      </c>
    </row>
    <row r="14306">
      <c r="A14306" s="1" t="n">
        <v>14305</v>
      </c>
      <c r="B14306">
        <f>TEXT(14305, "[$-0E0000]yyyy-mm-dd")</f>
        <v/>
      </c>
      <c r="C14306" t="inlineStr">
        <is>
          <t>1939-01-12</t>
        </is>
      </c>
    </row>
    <row r="14307">
      <c r="A14307" s="1" t="n">
        <v>14306</v>
      </c>
      <c r="B14307">
        <f>TEXT(14306, "[$-0E0000]yyyy-mm-dd")</f>
        <v/>
      </c>
      <c r="C14307" t="inlineStr">
        <is>
          <t>1939-01-13</t>
        </is>
      </c>
    </row>
    <row r="14308">
      <c r="A14308" s="1" t="n">
        <v>14307</v>
      </c>
      <c r="B14308">
        <f>TEXT(14307, "[$-0E0000]yyyy-mm-dd")</f>
        <v/>
      </c>
      <c r="C14308" t="inlineStr">
        <is>
          <t>1939-01-14</t>
        </is>
      </c>
    </row>
    <row r="14309">
      <c r="A14309" s="1" t="n">
        <v>14308</v>
      </c>
      <c r="B14309">
        <f>TEXT(14308, "[$-0E0000]yyyy-mm-dd")</f>
        <v/>
      </c>
      <c r="C14309" t="inlineStr">
        <is>
          <t>1939-01-15</t>
        </is>
      </c>
    </row>
    <row r="14310">
      <c r="A14310" s="1" t="n">
        <v>14309</v>
      </c>
      <c r="B14310">
        <f>TEXT(14309, "[$-0E0000]yyyy-mm-dd")</f>
        <v/>
      </c>
      <c r="C14310" t="inlineStr">
        <is>
          <t>1939-01-16</t>
        </is>
      </c>
    </row>
    <row r="14311">
      <c r="A14311" s="1" t="n">
        <v>14310</v>
      </c>
      <c r="B14311">
        <f>TEXT(14310, "[$-0E0000]yyyy-mm-dd")</f>
        <v/>
      </c>
      <c r="C14311" t="inlineStr">
        <is>
          <t>1939-01-17</t>
        </is>
      </c>
    </row>
    <row r="14312">
      <c r="A14312" s="1" t="n">
        <v>14311</v>
      </c>
      <c r="B14312">
        <f>TEXT(14311, "[$-0E0000]yyyy-mm-dd")</f>
        <v/>
      </c>
      <c r="C14312" t="inlineStr">
        <is>
          <t>1939-01-18</t>
        </is>
      </c>
    </row>
    <row r="14313">
      <c r="A14313" s="1" t="n">
        <v>14312</v>
      </c>
      <c r="B14313">
        <f>TEXT(14312, "[$-0E0000]yyyy-mm-dd")</f>
        <v/>
      </c>
      <c r="C14313" t="inlineStr">
        <is>
          <t>1939-01-19</t>
        </is>
      </c>
    </row>
    <row r="14314">
      <c r="A14314" s="1" t="n">
        <v>14313</v>
      </c>
      <c r="B14314">
        <f>TEXT(14313, "[$-0E0000]yyyy-mm-dd")</f>
        <v/>
      </c>
      <c r="C14314" t="inlineStr">
        <is>
          <t>1939-01-20</t>
        </is>
      </c>
    </row>
    <row r="14315">
      <c r="A14315" s="1" t="n">
        <v>14314</v>
      </c>
      <c r="B14315">
        <f>TEXT(14314, "[$-0E0000]yyyy-mm-dd")</f>
        <v/>
      </c>
      <c r="C14315" t="inlineStr">
        <is>
          <t>1939-01-21</t>
        </is>
      </c>
    </row>
    <row r="14316">
      <c r="A14316" s="1" t="n">
        <v>14315</v>
      </c>
      <c r="B14316">
        <f>TEXT(14315, "[$-0E0000]yyyy-mm-dd")</f>
        <v/>
      </c>
      <c r="C14316" t="inlineStr">
        <is>
          <t>1939-01-22</t>
        </is>
      </c>
    </row>
    <row r="14317">
      <c r="A14317" s="1" t="n">
        <v>14316</v>
      </c>
      <c r="B14317">
        <f>TEXT(14316, "[$-0E0000]yyyy-mm-dd")</f>
        <v/>
      </c>
      <c r="C14317" t="inlineStr">
        <is>
          <t>1939-01-23</t>
        </is>
      </c>
    </row>
    <row r="14318">
      <c r="A14318" s="1" t="n">
        <v>14317</v>
      </c>
      <c r="B14318">
        <f>TEXT(14317, "[$-0E0000]yyyy-mm-dd")</f>
        <v/>
      </c>
      <c r="C14318" t="inlineStr">
        <is>
          <t>1939-01-24</t>
        </is>
      </c>
    </row>
    <row r="14319">
      <c r="A14319" s="1" t="n">
        <v>14318</v>
      </c>
      <c r="B14319">
        <f>TEXT(14318, "[$-0E0000]yyyy-mm-dd")</f>
        <v/>
      </c>
      <c r="C14319" t="inlineStr">
        <is>
          <t>1939-01-25</t>
        </is>
      </c>
    </row>
    <row r="14320">
      <c r="A14320" s="1" t="n">
        <v>14319</v>
      </c>
      <c r="B14320">
        <f>TEXT(14319, "[$-0E0000]yyyy-mm-dd")</f>
        <v/>
      </c>
      <c r="C14320" t="inlineStr">
        <is>
          <t>1939-01-26</t>
        </is>
      </c>
    </row>
    <row r="14321">
      <c r="A14321" s="1" t="n">
        <v>14320</v>
      </c>
      <c r="B14321">
        <f>TEXT(14320, "[$-0E0000]yyyy-mm-dd")</f>
        <v/>
      </c>
      <c r="C14321" t="inlineStr">
        <is>
          <t>1939-01-27</t>
        </is>
      </c>
    </row>
    <row r="14322">
      <c r="A14322" s="1" t="n">
        <v>14321</v>
      </c>
      <c r="B14322">
        <f>TEXT(14321, "[$-0E0000]yyyy-mm-dd")</f>
        <v/>
      </c>
      <c r="C14322" t="inlineStr">
        <is>
          <t>1939-01-28</t>
        </is>
      </c>
    </row>
    <row r="14323">
      <c r="A14323" s="1" t="n">
        <v>14322</v>
      </c>
      <c r="B14323">
        <f>TEXT(14322, "[$-0E0000]yyyy-mm-dd")</f>
        <v/>
      </c>
      <c r="C14323" t="inlineStr">
        <is>
          <t>1939-01-29</t>
        </is>
      </c>
    </row>
    <row r="14324">
      <c r="A14324" s="1" t="n">
        <v>14323</v>
      </c>
      <c r="B14324">
        <f>TEXT(14323, "[$-0E0000]yyyy-mm-dd")</f>
        <v/>
      </c>
      <c r="C14324" t="inlineStr">
        <is>
          <t>1939-01-30</t>
        </is>
      </c>
    </row>
    <row r="14325">
      <c r="A14325" s="1" t="n">
        <v>14324</v>
      </c>
      <c r="B14325">
        <f>TEXT(14324, "[$-0E0000]yyyy-mm-dd")</f>
        <v/>
      </c>
      <c r="C14325" t="inlineStr">
        <is>
          <t>1939-02-01</t>
        </is>
      </c>
    </row>
    <row r="14326">
      <c r="A14326" s="1" t="n">
        <v>14325</v>
      </c>
      <c r="B14326">
        <f>TEXT(14325, "[$-0E0000]yyyy-mm-dd")</f>
        <v/>
      </c>
      <c r="C14326" t="inlineStr">
        <is>
          <t>1939-02-02</t>
        </is>
      </c>
    </row>
    <row r="14327">
      <c r="A14327" s="1" t="n">
        <v>14326</v>
      </c>
      <c r="B14327">
        <f>TEXT(14326, "[$-0E0000]yyyy-mm-dd")</f>
        <v/>
      </c>
      <c r="C14327" t="inlineStr">
        <is>
          <t>1939-02-03</t>
        </is>
      </c>
    </row>
    <row r="14328">
      <c r="A14328" s="1" t="n">
        <v>14327</v>
      </c>
      <c r="B14328">
        <f>TEXT(14327, "[$-0E0000]yyyy-mm-dd")</f>
        <v/>
      </c>
      <c r="C14328" t="inlineStr">
        <is>
          <t>1939-02-04</t>
        </is>
      </c>
    </row>
    <row r="14329">
      <c r="A14329" s="1" t="n">
        <v>14328</v>
      </c>
      <c r="B14329">
        <f>TEXT(14328, "[$-0E0000]yyyy-mm-dd")</f>
        <v/>
      </c>
      <c r="C14329" t="inlineStr">
        <is>
          <t>1939-02-05</t>
        </is>
      </c>
    </row>
    <row r="14330">
      <c r="A14330" s="1" t="n">
        <v>14329</v>
      </c>
      <c r="B14330">
        <f>TEXT(14329, "[$-0E0000]yyyy-mm-dd")</f>
        <v/>
      </c>
      <c r="C14330" t="inlineStr">
        <is>
          <t>1939-02-06</t>
        </is>
      </c>
    </row>
    <row r="14331">
      <c r="A14331" s="1" t="n">
        <v>14330</v>
      </c>
      <c r="B14331">
        <f>TEXT(14330, "[$-0E0000]yyyy-mm-dd")</f>
        <v/>
      </c>
      <c r="C14331" t="inlineStr">
        <is>
          <t>1939-02-07</t>
        </is>
      </c>
    </row>
    <row r="14332">
      <c r="A14332" s="1" t="n">
        <v>14331</v>
      </c>
      <c r="B14332">
        <f>TEXT(14331, "[$-0E0000]yyyy-mm-dd")</f>
        <v/>
      </c>
      <c r="C14332" t="inlineStr">
        <is>
          <t>1939-02-08</t>
        </is>
      </c>
    </row>
    <row r="14333">
      <c r="A14333" s="1" t="n">
        <v>14332</v>
      </c>
      <c r="B14333">
        <f>TEXT(14332, "[$-0E0000]yyyy-mm-dd")</f>
        <v/>
      </c>
      <c r="C14333" t="inlineStr">
        <is>
          <t>1939-02-09</t>
        </is>
      </c>
    </row>
    <row r="14334">
      <c r="A14334" s="1" t="n">
        <v>14333</v>
      </c>
      <c r="B14334">
        <f>TEXT(14333, "[$-0E0000]yyyy-mm-dd")</f>
        <v/>
      </c>
      <c r="C14334" t="inlineStr">
        <is>
          <t>1939-02-10</t>
        </is>
      </c>
    </row>
    <row r="14335">
      <c r="A14335" s="1" t="n">
        <v>14334</v>
      </c>
      <c r="B14335">
        <f>TEXT(14334, "[$-0E0000]yyyy-mm-dd")</f>
        <v/>
      </c>
      <c r="C14335" t="inlineStr">
        <is>
          <t>1939-02-11</t>
        </is>
      </c>
    </row>
    <row r="14336">
      <c r="A14336" s="1" t="n">
        <v>14335</v>
      </c>
      <c r="B14336">
        <f>TEXT(14335, "[$-0E0000]yyyy-mm-dd")</f>
        <v/>
      </c>
      <c r="C14336" t="inlineStr">
        <is>
          <t>1939-02-12</t>
        </is>
      </c>
    </row>
    <row r="14337">
      <c r="A14337" s="1" t="n">
        <v>14336</v>
      </c>
      <c r="B14337">
        <f>TEXT(14336, "[$-0E0000]yyyy-mm-dd")</f>
        <v/>
      </c>
      <c r="C14337" t="inlineStr">
        <is>
          <t>1939-02-13</t>
        </is>
      </c>
    </row>
    <row r="14338">
      <c r="A14338" s="1" t="n">
        <v>14337</v>
      </c>
      <c r="B14338">
        <f>TEXT(14337, "[$-0E0000]yyyy-mm-dd")</f>
        <v/>
      </c>
      <c r="C14338" t="inlineStr">
        <is>
          <t>1939-02-14</t>
        </is>
      </c>
    </row>
    <row r="14339">
      <c r="A14339" s="1" t="n">
        <v>14338</v>
      </c>
      <c r="B14339">
        <f>TEXT(14338, "[$-0E0000]yyyy-mm-dd")</f>
        <v/>
      </c>
      <c r="C14339" t="inlineStr">
        <is>
          <t>1939-02-15</t>
        </is>
      </c>
    </row>
    <row r="14340">
      <c r="A14340" s="1" t="n">
        <v>14339</v>
      </c>
      <c r="B14340">
        <f>TEXT(14339, "[$-0E0000]yyyy-mm-dd")</f>
        <v/>
      </c>
      <c r="C14340" t="inlineStr">
        <is>
          <t>1939-02-16</t>
        </is>
      </c>
    </row>
    <row r="14341">
      <c r="A14341" s="1" t="n">
        <v>14340</v>
      </c>
      <c r="B14341">
        <f>TEXT(14340, "[$-0E0000]yyyy-mm-dd")</f>
        <v/>
      </c>
      <c r="C14341" t="inlineStr">
        <is>
          <t>1939-02-17</t>
        </is>
      </c>
    </row>
    <row r="14342">
      <c r="A14342" s="1" t="n">
        <v>14341</v>
      </c>
      <c r="B14342">
        <f>TEXT(14341, "[$-0E0000]yyyy-mm-dd")</f>
        <v/>
      </c>
      <c r="C14342" t="inlineStr">
        <is>
          <t>1939-02-18</t>
        </is>
      </c>
    </row>
    <row r="14343">
      <c r="A14343" s="1" t="n">
        <v>14342</v>
      </c>
      <c r="B14343">
        <f>TEXT(14342, "[$-0E0000]yyyy-mm-dd")</f>
        <v/>
      </c>
      <c r="C14343" t="inlineStr">
        <is>
          <t>1939-02-19</t>
        </is>
      </c>
    </row>
    <row r="14344">
      <c r="A14344" s="1" t="n">
        <v>14343</v>
      </c>
      <c r="B14344">
        <f>TEXT(14343, "[$-0E0000]yyyy-mm-dd")</f>
        <v/>
      </c>
      <c r="C14344" t="inlineStr">
        <is>
          <t>1939-02-20</t>
        </is>
      </c>
    </row>
    <row r="14345">
      <c r="A14345" s="1" t="n">
        <v>14344</v>
      </c>
      <c r="B14345">
        <f>TEXT(14344, "[$-0E0000]yyyy-mm-dd")</f>
        <v/>
      </c>
      <c r="C14345" t="inlineStr">
        <is>
          <t>1939-02-21</t>
        </is>
      </c>
    </row>
    <row r="14346">
      <c r="A14346" s="1" t="n">
        <v>14345</v>
      </c>
      <c r="B14346">
        <f>TEXT(14345, "[$-0E0000]yyyy-mm-dd")</f>
        <v/>
      </c>
      <c r="C14346" t="inlineStr">
        <is>
          <t>1939-02-22</t>
        </is>
      </c>
    </row>
    <row r="14347">
      <c r="A14347" s="1" t="n">
        <v>14346</v>
      </c>
      <c r="B14347">
        <f>TEXT(14346, "[$-0E0000]yyyy-mm-dd")</f>
        <v/>
      </c>
      <c r="C14347" t="inlineStr">
        <is>
          <t>1939-02-23</t>
        </is>
      </c>
    </row>
    <row r="14348">
      <c r="A14348" s="1" t="n">
        <v>14347</v>
      </c>
      <c r="B14348">
        <f>TEXT(14347, "[$-0E0000]yyyy-mm-dd")</f>
        <v/>
      </c>
      <c r="C14348" t="inlineStr">
        <is>
          <t>1939-02-24</t>
        </is>
      </c>
    </row>
    <row r="14349">
      <c r="A14349" s="1" t="n">
        <v>14348</v>
      </c>
      <c r="B14349">
        <f>TEXT(14348, "[$-0E0000]yyyy-mm-dd")</f>
        <v/>
      </c>
      <c r="C14349" t="inlineStr">
        <is>
          <t>1939-02-25</t>
        </is>
      </c>
    </row>
    <row r="14350">
      <c r="A14350" s="1" t="n">
        <v>14349</v>
      </c>
      <c r="B14350">
        <f>TEXT(14349, "[$-0E0000]yyyy-mm-dd")</f>
        <v/>
      </c>
      <c r="C14350" t="inlineStr">
        <is>
          <t>1939-02-26</t>
        </is>
      </c>
    </row>
    <row r="14351">
      <c r="A14351" s="1" t="n">
        <v>14350</v>
      </c>
      <c r="B14351">
        <f>TEXT(14350, "[$-0E0000]yyyy-mm-dd")</f>
        <v/>
      </c>
      <c r="C14351" t="inlineStr">
        <is>
          <t>1939-02-27</t>
        </is>
      </c>
    </row>
    <row r="14352">
      <c r="A14352" s="1" t="n">
        <v>14351</v>
      </c>
      <c r="B14352">
        <f>TEXT(14351, "[$-0E0000]yyyy-mm-dd")</f>
        <v/>
      </c>
      <c r="C14352" t="inlineStr">
        <is>
          <t>1939-02-28</t>
        </is>
      </c>
    </row>
    <row r="14353">
      <c r="A14353" s="1" t="n">
        <v>14352</v>
      </c>
      <c r="B14353">
        <f>TEXT(14352, "[$-0E0000]yyyy-mm-dd")</f>
        <v/>
      </c>
      <c r="C14353" t="inlineStr">
        <is>
          <t>1939-02-29</t>
        </is>
      </c>
    </row>
    <row r="14354">
      <c r="A14354" s="1" t="n">
        <v>14353</v>
      </c>
      <c r="B14354">
        <f>TEXT(14353, "[$-0E0000]yyyy-mm-dd")</f>
        <v/>
      </c>
      <c r="C14354" t="inlineStr">
        <is>
          <t>1939-02-30</t>
        </is>
      </c>
    </row>
    <row r="14355">
      <c r="A14355" s="1" t="n">
        <v>14354</v>
      </c>
      <c r="B14355">
        <f>TEXT(14354, "[$-0E0000]yyyy-mm-dd")</f>
        <v/>
      </c>
      <c r="C14355" t="inlineStr">
        <is>
          <t>1939-03-01</t>
        </is>
      </c>
    </row>
    <row r="14356">
      <c r="A14356" s="1" t="n">
        <v>14355</v>
      </c>
      <c r="B14356">
        <f>TEXT(14355, "[$-0E0000]yyyy-mm-dd")</f>
        <v/>
      </c>
      <c r="C14356" t="inlineStr">
        <is>
          <t>1939-03-02</t>
        </is>
      </c>
    </row>
    <row r="14357">
      <c r="A14357" s="1" t="n">
        <v>14356</v>
      </c>
      <c r="B14357">
        <f>TEXT(14356, "[$-0E0000]yyyy-mm-dd")</f>
        <v/>
      </c>
      <c r="C14357" t="inlineStr">
        <is>
          <t>1939-03-03</t>
        </is>
      </c>
    </row>
    <row r="14358">
      <c r="A14358" s="1" t="n">
        <v>14357</v>
      </c>
      <c r="B14358">
        <f>TEXT(14357, "[$-0E0000]yyyy-mm-dd")</f>
        <v/>
      </c>
      <c r="C14358" t="inlineStr">
        <is>
          <t>1939-03-04</t>
        </is>
      </c>
    </row>
    <row r="14359">
      <c r="A14359" s="1" t="n">
        <v>14358</v>
      </c>
      <c r="B14359">
        <f>TEXT(14358, "[$-0E0000]yyyy-mm-dd")</f>
        <v/>
      </c>
      <c r="C14359" t="inlineStr">
        <is>
          <t>1939-03-05</t>
        </is>
      </c>
    </row>
    <row r="14360">
      <c r="A14360" s="1" t="n">
        <v>14359</v>
      </c>
      <c r="B14360">
        <f>TEXT(14359, "[$-0E0000]yyyy-mm-dd")</f>
        <v/>
      </c>
      <c r="C14360" t="inlineStr">
        <is>
          <t>1939-03-06</t>
        </is>
      </c>
    </row>
    <row r="14361">
      <c r="A14361" s="1" t="n">
        <v>14360</v>
      </c>
      <c r="B14361">
        <f>TEXT(14360, "[$-0E0000]yyyy-mm-dd")</f>
        <v/>
      </c>
      <c r="C14361" t="inlineStr">
        <is>
          <t>1939-03-07</t>
        </is>
      </c>
    </row>
    <row r="14362">
      <c r="A14362" s="1" t="n">
        <v>14361</v>
      </c>
      <c r="B14362">
        <f>TEXT(14361, "[$-0E0000]yyyy-mm-dd")</f>
        <v/>
      </c>
      <c r="C14362" t="inlineStr">
        <is>
          <t>1939-03-08</t>
        </is>
      </c>
    </row>
    <row r="14363">
      <c r="A14363" s="1" t="n">
        <v>14362</v>
      </c>
      <c r="B14363">
        <f>TEXT(14362, "[$-0E0000]yyyy-mm-dd")</f>
        <v/>
      </c>
      <c r="C14363" t="inlineStr">
        <is>
          <t>1939-03-09</t>
        </is>
      </c>
    </row>
    <row r="14364">
      <c r="A14364" s="1" t="n">
        <v>14363</v>
      </c>
      <c r="B14364">
        <f>TEXT(14363, "[$-0E0000]yyyy-mm-dd")</f>
        <v/>
      </c>
      <c r="C14364" t="inlineStr">
        <is>
          <t>1939-03-10</t>
        </is>
      </c>
    </row>
    <row r="14365">
      <c r="A14365" s="1" t="n">
        <v>14364</v>
      </c>
      <c r="B14365">
        <f>TEXT(14364, "[$-0E0000]yyyy-mm-dd")</f>
        <v/>
      </c>
      <c r="C14365" t="inlineStr">
        <is>
          <t>1939-03-11</t>
        </is>
      </c>
    </row>
    <row r="14366">
      <c r="A14366" s="1" t="n">
        <v>14365</v>
      </c>
      <c r="B14366">
        <f>TEXT(14365, "[$-0E0000]yyyy-mm-dd")</f>
        <v/>
      </c>
      <c r="C14366" t="inlineStr">
        <is>
          <t>1939-03-12</t>
        </is>
      </c>
    </row>
    <row r="14367">
      <c r="A14367" s="1" t="n">
        <v>14366</v>
      </c>
      <c r="B14367">
        <f>TEXT(14366, "[$-0E0000]yyyy-mm-dd")</f>
        <v/>
      </c>
      <c r="C14367" t="inlineStr">
        <is>
          <t>1939-03-13</t>
        </is>
      </c>
    </row>
    <row r="14368">
      <c r="A14368" s="1" t="n">
        <v>14367</v>
      </c>
      <c r="B14368">
        <f>TEXT(14367, "[$-0E0000]yyyy-mm-dd")</f>
        <v/>
      </c>
      <c r="C14368" t="inlineStr">
        <is>
          <t>1939-03-14</t>
        </is>
      </c>
    </row>
    <row r="14369">
      <c r="A14369" s="1" t="n">
        <v>14368</v>
      </c>
      <c r="B14369">
        <f>TEXT(14368, "[$-0E0000]yyyy-mm-dd")</f>
        <v/>
      </c>
      <c r="C14369" t="inlineStr">
        <is>
          <t>1939-03-15</t>
        </is>
      </c>
    </row>
    <row r="14370">
      <c r="A14370" s="1" t="n">
        <v>14369</v>
      </c>
      <c r="B14370">
        <f>TEXT(14369, "[$-0E0000]yyyy-mm-dd")</f>
        <v/>
      </c>
      <c r="C14370" t="inlineStr">
        <is>
          <t>1939-03-16</t>
        </is>
      </c>
    </row>
    <row r="14371">
      <c r="A14371" s="1" t="n">
        <v>14370</v>
      </c>
      <c r="B14371">
        <f>TEXT(14370, "[$-0E0000]yyyy-mm-dd")</f>
        <v/>
      </c>
      <c r="C14371" t="inlineStr">
        <is>
          <t>1939-03-17</t>
        </is>
      </c>
    </row>
    <row r="14372">
      <c r="A14372" s="1" t="n">
        <v>14371</v>
      </c>
      <c r="B14372">
        <f>TEXT(14371, "[$-0E0000]yyyy-mm-dd")</f>
        <v/>
      </c>
      <c r="C14372" t="inlineStr">
        <is>
          <t>1939-03-18</t>
        </is>
      </c>
    </row>
    <row r="14373">
      <c r="A14373" s="1" t="n">
        <v>14372</v>
      </c>
      <c r="B14373">
        <f>TEXT(14372, "[$-0E0000]yyyy-mm-dd")</f>
        <v/>
      </c>
      <c r="C14373" t="inlineStr">
        <is>
          <t>1939-03-19</t>
        </is>
      </c>
    </row>
    <row r="14374">
      <c r="A14374" s="1" t="n">
        <v>14373</v>
      </c>
      <c r="B14374">
        <f>TEXT(14373, "[$-0E0000]yyyy-mm-dd")</f>
        <v/>
      </c>
      <c r="C14374" t="inlineStr">
        <is>
          <t>1939-03-20</t>
        </is>
      </c>
    </row>
    <row r="14375">
      <c r="A14375" s="1" t="n">
        <v>14374</v>
      </c>
      <c r="B14375">
        <f>TEXT(14374, "[$-0E0000]yyyy-mm-dd")</f>
        <v/>
      </c>
      <c r="C14375" t="inlineStr">
        <is>
          <t>1939-03-21</t>
        </is>
      </c>
    </row>
    <row r="14376">
      <c r="A14376" s="1" t="n">
        <v>14375</v>
      </c>
      <c r="B14376">
        <f>TEXT(14375, "[$-0E0000]yyyy-mm-dd")</f>
        <v/>
      </c>
      <c r="C14376" t="inlineStr">
        <is>
          <t>1939-03-22</t>
        </is>
      </c>
    </row>
    <row r="14377">
      <c r="A14377" s="1" t="n">
        <v>14376</v>
      </c>
      <c r="B14377">
        <f>TEXT(14376, "[$-0E0000]yyyy-mm-dd")</f>
        <v/>
      </c>
      <c r="C14377" t="inlineStr">
        <is>
          <t>1939-03-23</t>
        </is>
      </c>
    </row>
    <row r="14378">
      <c r="A14378" s="1" t="n">
        <v>14377</v>
      </c>
      <c r="B14378">
        <f>TEXT(14377, "[$-0E0000]yyyy-mm-dd")</f>
        <v/>
      </c>
      <c r="C14378" t="inlineStr">
        <is>
          <t>1939-03-24</t>
        </is>
      </c>
    </row>
    <row r="14379">
      <c r="A14379" s="1" t="n">
        <v>14378</v>
      </c>
      <c r="B14379">
        <f>TEXT(14378, "[$-0E0000]yyyy-mm-dd")</f>
        <v/>
      </c>
      <c r="C14379" t="inlineStr">
        <is>
          <t>1939-03-25</t>
        </is>
      </c>
    </row>
    <row r="14380">
      <c r="A14380" s="1" t="n">
        <v>14379</v>
      </c>
      <c r="B14380">
        <f>TEXT(14379, "[$-0E0000]yyyy-mm-dd")</f>
        <v/>
      </c>
      <c r="C14380" t="inlineStr">
        <is>
          <t>1939-03-26</t>
        </is>
      </c>
    </row>
    <row r="14381">
      <c r="A14381" s="1" t="n">
        <v>14380</v>
      </c>
      <c r="B14381">
        <f>TEXT(14380, "[$-0E0000]yyyy-mm-dd")</f>
        <v/>
      </c>
      <c r="C14381" t="inlineStr">
        <is>
          <t>1939-03-27</t>
        </is>
      </c>
    </row>
    <row r="14382">
      <c r="A14382" s="1" t="n">
        <v>14381</v>
      </c>
      <c r="B14382">
        <f>TEXT(14381, "[$-0E0000]yyyy-mm-dd")</f>
        <v/>
      </c>
      <c r="C14382" t="inlineStr">
        <is>
          <t>1939-03-28</t>
        </is>
      </c>
    </row>
    <row r="14383">
      <c r="A14383" s="1" t="n">
        <v>14382</v>
      </c>
      <c r="B14383">
        <f>TEXT(14382, "[$-0E0000]yyyy-mm-dd")</f>
        <v/>
      </c>
      <c r="C14383" t="inlineStr">
        <is>
          <t>1939-03-29</t>
        </is>
      </c>
    </row>
    <row r="14384">
      <c r="A14384" s="1" t="n">
        <v>14383</v>
      </c>
      <c r="B14384">
        <f>TEXT(14383, "[$-0E0000]yyyy-mm-dd")</f>
        <v/>
      </c>
      <c r="C14384" t="inlineStr">
        <is>
          <t>1939-04-01</t>
        </is>
      </c>
    </row>
    <row r="14385">
      <c r="A14385" s="1" t="n">
        <v>14384</v>
      </c>
      <c r="B14385">
        <f>TEXT(14384, "[$-0E0000]yyyy-mm-dd")</f>
        <v/>
      </c>
      <c r="C14385" t="inlineStr">
        <is>
          <t>1939-04-02</t>
        </is>
      </c>
    </row>
    <row r="14386">
      <c r="A14386" s="1" t="n">
        <v>14385</v>
      </c>
      <c r="B14386">
        <f>TEXT(14385, "[$-0E0000]yyyy-mm-dd")</f>
        <v/>
      </c>
      <c r="C14386" t="inlineStr">
        <is>
          <t>1939-04-03</t>
        </is>
      </c>
    </row>
    <row r="14387">
      <c r="A14387" s="1" t="n">
        <v>14386</v>
      </c>
      <c r="B14387">
        <f>TEXT(14386, "[$-0E0000]yyyy-mm-dd")</f>
        <v/>
      </c>
      <c r="C14387" t="inlineStr">
        <is>
          <t>1939-04-04</t>
        </is>
      </c>
    </row>
    <row r="14388">
      <c r="A14388" s="1" t="n">
        <v>14387</v>
      </c>
      <c r="B14388">
        <f>TEXT(14387, "[$-0E0000]yyyy-mm-dd")</f>
        <v/>
      </c>
      <c r="C14388" t="inlineStr">
        <is>
          <t>1939-04-05</t>
        </is>
      </c>
    </row>
    <row r="14389">
      <c r="A14389" s="1" t="n">
        <v>14388</v>
      </c>
      <c r="B14389">
        <f>TEXT(14388, "[$-0E0000]yyyy-mm-dd")</f>
        <v/>
      </c>
      <c r="C14389" t="inlineStr">
        <is>
          <t>1939-04-06</t>
        </is>
      </c>
    </row>
    <row r="14390">
      <c r="A14390" s="1" t="n">
        <v>14389</v>
      </c>
      <c r="B14390">
        <f>TEXT(14389, "[$-0E0000]yyyy-mm-dd")</f>
        <v/>
      </c>
      <c r="C14390" t="inlineStr">
        <is>
          <t>1939-04-07</t>
        </is>
      </c>
    </row>
    <row r="14391">
      <c r="A14391" s="1" t="n">
        <v>14390</v>
      </c>
      <c r="B14391">
        <f>TEXT(14390, "[$-0E0000]yyyy-mm-dd")</f>
        <v/>
      </c>
      <c r="C14391" t="inlineStr">
        <is>
          <t>1939-04-08</t>
        </is>
      </c>
    </row>
    <row r="14392">
      <c r="A14392" s="1" t="n">
        <v>14391</v>
      </c>
      <c r="B14392">
        <f>TEXT(14391, "[$-0E0000]yyyy-mm-dd")</f>
        <v/>
      </c>
      <c r="C14392" t="inlineStr">
        <is>
          <t>1939-04-09</t>
        </is>
      </c>
    </row>
    <row r="14393">
      <c r="A14393" s="1" t="n">
        <v>14392</v>
      </c>
      <c r="B14393">
        <f>TEXT(14392, "[$-0E0000]yyyy-mm-dd")</f>
        <v/>
      </c>
      <c r="C14393" t="inlineStr">
        <is>
          <t>1939-04-10</t>
        </is>
      </c>
    </row>
    <row r="14394">
      <c r="A14394" s="1" t="n">
        <v>14393</v>
      </c>
      <c r="B14394">
        <f>TEXT(14393, "[$-0E0000]yyyy-mm-dd")</f>
        <v/>
      </c>
      <c r="C14394" t="inlineStr">
        <is>
          <t>1939-04-11</t>
        </is>
      </c>
    </row>
    <row r="14395">
      <c r="A14395" s="1" t="n">
        <v>14394</v>
      </c>
      <c r="B14395">
        <f>TEXT(14394, "[$-0E0000]yyyy-mm-dd")</f>
        <v/>
      </c>
      <c r="C14395" t="inlineStr">
        <is>
          <t>1939-04-12</t>
        </is>
      </c>
    </row>
    <row r="14396">
      <c r="A14396" s="1" t="n">
        <v>14395</v>
      </c>
      <c r="B14396">
        <f>TEXT(14395, "[$-0E0000]yyyy-mm-dd")</f>
        <v/>
      </c>
      <c r="C14396" t="inlineStr">
        <is>
          <t>1939-04-13</t>
        </is>
      </c>
    </row>
    <row r="14397">
      <c r="A14397" s="1" t="n">
        <v>14396</v>
      </c>
      <c r="B14397">
        <f>TEXT(14396, "[$-0E0000]yyyy-mm-dd")</f>
        <v/>
      </c>
      <c r="C14397" t="inlineStr">
        <is>
          <t>1939-04-14</t>
        </is>
      </c>
    </row>
    <row r="14398">
      <c r="A14398" s="1" t="n">
        <v>14397</v>
      </c>
      <c r="B14398">
        <f>TEXT(14397, "[$-0E0000]yyyy-mm-dd")</f>
        <v/>
      </c>
      <c r="C14398" t="inlineStr">
        <is>
          <t>1939-04-15</t>
        </is>
      </c>
    </row>
    <row r="14399">
      <c r="A14399" s="1" t="n">
        <v>14398</v>
      </c>
      <c r="B14399">
        <f>TEXT(14398, "[$-0E0000]yyyy-mm-dd")</f>
        <v/>
      </c>
      <c r="C14399" t="inlineStr">
        <is>
          <t>1939-04-16</t>
        </is>
      </c>
    </row>
    <row r="14400">
      <c r="A14400" s="1" t="n">
        <v>14399</v>
      </c>
      <c r="B14400">
        <f>TEXT(14399, "[$-0E0000]yyyy-mm-dd")</f>
        <v/>
      </c>
      <c r="C14400" t="inlineStr">
        <is>
          <t>1939-04-17</t>
        </is>
      </c>
    </row>
    <row r="14401">
      <c r="A14401" s="1" t="n">
        <v>14400</v>
      </c>
      <c r="B14401">
        <f>TEXT(14400, "[$-0E0000]yyyy-mm-dd")</f>
        <v/>
      </c>
      <c r="C14401" t="inlineStr">
        <is>
          <t>1939-04-18</t>
        </is>
      </c>
    </row>
    <row r="14402">
      <c r="A14402" s="1" t="n">
        <v>14401</v>
      </c>
      <c r="B14402">
        <f>TEXT(14401, "[$-0E0000]yyyy-mm-dd")</f>
        <v/>
      </c>
      <c r="C14402" t="inlineStr">
        <is>
          <t>1939-04-19</t>
        </is>
      </c>
    </row>
    <row r="14403">
      <c r="A14403" s="1" t="n">
        <v>14402</v>
      </c>
      <c r="B14403">
        <f>TEXT(14402, "[$-0E0000]yyyy-mm-dd")</f>
        <v/>
      </c>
      <c r="C14403" t="inlineStr">
        <is>
          <t>1939-04-20</t>
        </is>
      </c>
    </row>
    <row r="14404">
      <c r="A14404" s="1" t="n">
        <v>14403</v>
      </c>
      <c r="B14404">
        <f>TEXT(14403, "[$-0E0000]yyyy-mm-dd")</f>
        <v/>
      </c>
      <c r="C14404" t="inlineStr">
        <is>
          <t>1939-04-21</t>
        </is>
      </c>
    </row>
    <row r="14405">
      <c r="A14405" s="1" t="n">
        <v>14404</v>
      </c>
      <c r="B14405">
        <f>TEXT(14404, "[$-0E0000]yyyy-mm-dd")</f>
        <v/>
      </c>
      <c r="C14405" t="inlineStr">
        <is>
          <t>1939-04-22</t>
        </is>
      </c>
    </row>
    <row r="14406">
      <c r="A14406" s="1" t="n">
        <v>14405</v>
      </c>
      <c r="B14406">
        <f>TEXT(14405, "[$-0E0000]yyyy-mm-dd")</f>
        <v/>
      </c>
      <c r="C14406" t="inlineStr">
        <is>
          <t>1939-04-23</t>
        </is>
      </c>
    </row>
    <row r="14407">
      <c r="A14407" s="1" t="n">
        <v>14406</v>
      </c>
      <c r="B14407">
        <f>TEXT(14406, "[$-0E0000]yyyy-mm-dd")</f>
        <v/>
      </c>
      <c r="C14407" t="inlineStr">
        <is>
          <t>1939-04-24</t>
        </is>
      </c>
    </row>
    <row r="14408">
      <c r="A14408" s="1" t="n">
        <v>14407</v>
      </c>
      <c r="B14408">
        <f>TEXT(14407, "[$-0E0000]yyyy-mm-dd")</f>
        <v/>
      </c>
      <c r="C14408" t="inlineStr">
        <is>
          <t>1939-04-25</t>
        </is>
      </c>
    </row>
    <row r="14409">
      <c r="A14409" s="1" t="n">
        <v>14408</v>
      </c>
      <c r="B14409">
        <f>TEXT(14408, "[$-0E0000]yyyy-mm-dd")</f>
        <v/>
      </c>
      <c r="C14409" t="inlineStr">
        <is>
          <t>1939-04-26</t>
        </is>
      </c>
    </row>
    <row r="14410">
      <c r="A14410" s="1" t="n">
        <v>14409</v>
      </c>
      <c r="B14410">
        <f>TEXT(14409, "[$-0E0000]yyyy-mm-dd")</f>
        <v/>
      </c>
      <c r="C14410" t="inlineStr">
        <is>
          <t>1939-04-27</t>
        </is>
      </c>
    </row>
    <row r="14411">
      <c r="A14411" s="1" t="n">
        <v>14410</v>
      </c>
      <c r="B14411">
        <f>TEXT(14410, "[$-0E0000]yyyy-mm-dd")</f>
        <v/>
      </c>
      <c r="C14411" t="inlineStr">
        <is>
          <t>1939-04-28</t>
        </is>
      </c>
    </row>
    <row r="14412">
      <c r="A14412" s="1" t="n">
        <v>14411</v>
      </c>
      <c r="B14412">
        <f>TEXT(14411, "[$-0E0000]yyyy-mm-dd")</f>
        <v/>
      </c>
      <c r="C14412" t="inlineStr">
        <is>
          <t>1939-04-29</t>
        </is>
      </c>
    </row>
    <row r="14413">
      <c r="A14413" s="1" t="n">
        <v>14412</v>
      </c>
      <c r="B14413">
        <f>TEXT(14412, "[$-0E0000]yyyy-mm-dd")</f>
        <v/>
      </c>
      <c r="C14413" t="inlineStr">
        <is>
          <t>1939-05-01</t>
        </is>
      </c>
    </row>
    <row r="14414">
      <c r="A14414" s="1" t="n">
        <v>14413</v>
      </c>
      <c r="B14414">
        <f>TEXT(14413, "[$-0E0000]yyyy-mm-dd")</f>
        <v/>
      </c>
      <c r="C14414" t="inlineStr">
        <is>
          <t>1939-05-02</t>
        </is>
      </c>
    </row>
    <row r="14415">
      <c r="A14415" s="1" t="n">
        <v>14414</v>
      </c>
      <c r="B14415">
        <f>TEXT(14414, "[$-0E0000]yyyy-mm-dd")</f>
        <v/>
      </c>
      <c r="C14415" t="inlineStr">
        <is>
          <t>1939-05-03</t>
        </is>
      </c>
    </row>
    <row r="14416">
      <c r="A14416" s="1" t="n">
        <v>14415</v>
      </c>
      <c r="B14416">
        <f>TEXT(14415, "[$-0E0000]yyyy-mm-dd")</f>
        <v/>
      </c>
      <c r="C14416" t="inlineStr">
        <is>
          <t>1939-05-04</t>
        </is>
      </c>
    </row>
    <row r="14417">
      <c r="A14417" s="1" t="n">
        <v>14416</v>
      </c>
      <c r="B14417">
        <f>TEXT(14416, "[$-0E0000]yyyy-mm-dd")</f>
        <v/>
      </c>
      <c r="C14417" t="inlineStr">
        <is>
          <t>1939-05-05</t>
        </is>
      </c>
    </row>
    <row r="14418">
      <c r="A14418" s="1" t="n">
        <v>14417</v>
      </c>
      <c r="B14418">
        <f>TEXT(14417, "[$-0E0000]yyyy-mm-dd")</f>
        <v/>
      </c>
      <c r="C14418" t="inlineStr">
        <is>
          <t>1939-05-06</t>
        </is>
      </c>
    </row>
    <row r="14419">
      <c r="A14419" s="1" t="n">
        <v>14418</v>
      </c>
      <c r="B14419">
        <f>TEXT(14418, "[$-0E0000]yyyy-mm-dd")</f>
        <v/>
      </c>
      <c r="C14419" t="inlineStr">
        <is>
          <t>1939-05-07</t>
        </is>
      </c>
    </row>
    <row r="14420">
      <c r="A14420" s="1" t="n">
        <v>14419</v>
      </c>
      <c r="B14420">
        <f>TEXT(14419, "[$-0E0000]yyyy-mm-dd")</f>
        <v/>
      </c>
      <c r="C14420" t="inlineStr">
        <is>
          <t>1939-05-08</t>
        </is>
      </c>
    </row>
    <row r="14421">
      <c r="A14421" s="1" t="n">
        <v>14420</v>
      </c>
      <c r="B14421">
        <f>TEXT(14420, "[$-0E0000]yyyy-mm-dd")</f>
        <v/>
      </c>
      <c r="C14421" t="inlineStr">
        <is>
          <t>1939-05-09</t>
        </is>
      </c>
    </row>
    <row r="14422">
      <c r="A14422" s="1" t="n">
        <v>14421</v>
      </c>
      <c r="B14422">
        <f>TEXT(14421, "[$-0E0000]yyyy-mm-dd")</f>
        <v/>
      </c>
      <c r="C14422" t="inlineStr">
        <is>
          <t>1939-05-10</t>
        </is>
      </c>
    </row>
    <row r="14423">
      <c r="A14423" s="1" t="n">
        <v>14422</v>
      </c>
      <c r="B14423">
        <f>TEXT(14422, "[$-0E0000]yyyy-mm-dd")</f>
        <v/>
      </c>
      <c r="C14423" t="inlineStr">
        <is>
          <t>1939-05-11</t>
        </is>
      </c>
    </row>
    <row r="14424">
      <c r="A14424" s="1" t="n">
        <v>14423</v>
      </c>
      <c r="B14424">
        <f>TEXT(14423, "[$-0E0000]yyyy-mm-dd")</f>
        <v/>
      </c>
      <c r="C14424" t="inlineStr">
        <is>
          <t>1939-05-12</t>
        </is>
      </c>
    </row>
    <row r="14425">
      <c r="A14425" s="1" t="n">
        <v>14424</v>
      </c>
      <c r="B14425">
        <f>TEXT(14424, "[$-0E0000]yyyy-mm-dd")</f>
        <v/>
      </c>
      <c r="C14425" t="inlineStr">
        <is>
          <t>1939-05-13</t>
        </is>
      </c>
    </row>
    <row r="14426">
      <c r="A14426" s="1" t="n">
        <v>14425</v>
      </c>
      <c r="B14426">
        <f>TEXT(14425, "[$-0E0000]yyyy-mm-dd")</f>
        <v/>
      </c>
      <c r="C14426" t="inlineStr">
        <is>
          <t>1939-05-14</t>
        </is>
      </c>
    </row>
    <row r="14427">
      <c r="A14427" s="1" t="n">
        <v>14426</v>
      </c>
      <c r="B14427">
        <f>TEXT(14426, "[$-0E0000]yyyy-mm-dd")</f>
        <v/>
      </c>
      <c r="C14427" t="inlineStr">
        <is>
          <t>1939-05-15</t>
        </is>
      </c>
    </row>
    <row r="14428">
      <c r="A14428" s="1" t="n">
        <v>14427</v>
      </c>
      <c r="B14428">
        <f>TEXT(14427, "[$-0E0000]yyyy-mm-dd")</f>
        <v/>
      </c>
      <c r="C14428" t="inlineStr">
        <is>
          <t>1939-05-16</t>
        </is>
      </c>
    </row>
    <row r="14429">
      <c r="A14429" s="1" t="n">
        <v>14428</v>
      </c>
      <c r="B14429">
        <f>TEXT(14428, "[$-0E0000]yyyy-mm-dd")</f>
        <v/>
      </c>
      <c r="C14429" t="inlineStr">
        <is>
          <t>1939-05-17</t>
        </is>
      </c>
    </row>
    <row r="14430">
      <c r="A14430" s="1" t="n">
        <v>14429</v>
      </c>
      <c r="B14430">
        <f>TEXT(14429, "[$-0E0000]yyyy-mm-dd")</f>
        <v/>
      </c>
      <c r="C14430" t="inlineStr">
        <is>
          <t>1939-05-18</t>
        </is>
      </c>
    </row>
    <row r="14431">
      <c r="A14431" s="1" t="n">
        <v>14430</v>
      </c>
      <c r="B14431">
        <f>TEXT(14430, "[$-0E0000]yyyy-mm-dd")</f>
        <v/>
      </c>
      <c r="C14431" t="inlineStr">
        <is>
          <t>1939-05-19</t>
        </is>
      </c>
    </row>
    <row r="14432">
      <c r="A14432" s="1" t="n">
        <v>14431</v>
      </c>
      <c r="B14432">
        <f>TEXT(14431, "[$-0E0000]yyyy-mm-dd")</f>
        <v/>
      </c>
      <c r="C14432" t="inlineStr">
        <is>
          <t>1939-05-20</t>
        </is>
      </c>
    </row>
    <row r="14433">
      <c r="A14433" s="1" t="n">
        <v>14432</v>
      </c>
      <c r="B14433">
        <f>TEXT(14432, "[$-0E0000]yyyy-mm-dd")</f>
        <v/>
      </c>
      <c r="C14433" t="inlineStr">
        <is>
          <t>1939-05-21</t>
        </is>
      </c>
    </row>
    <row r="14434">
      <c r="A14434" s="1" t="n">
        <v>14433</v>
      </c>
      <c r="B14434">
        <f>TEXT(14433, "[$-0E0000]yyyy-mm-dd")</f>
        <v/>
      </c>
      <c r="C14434" t="inlineStr">
        <is>
          <t>1939-05-22</t>
        </is>
      </c>
    </row>
    <row r="14435">
      <c r="A14435" s="1" t="n">
        <v>14434</v>
      </c>
      <c r="B14435">
        <f>TEXT(14434, "[$-0E0000]yyyy-mm-dd")</f>
        <v/>
      </c>
      <c r="C14435" t="inlineStr">
        <is>
          <t>1939-05-23</t>
        </is>
      </c>
    </row>
    <row r="14436">
      <c r="A14436" s="1" t="n">
        <v>14435</v>
      </c>
      <c r="B14436">
        <f>TEXT(14435, "[$-0E0000]yyyy-mm-dd")</f>
        <v/>
      </c>
      <c r="C14436" t="inlineStr">
        <is>
          <t>1939-05-24</t>
        </is>
      </c>
    </row>
    <row r="14437">
      <c r="A14437" s="1" t="n">
        <v>14436</v>
      </c>
      <c r="B14437">
        <f>TEXT(14436, "[$-0E0000]yyyy-mm-dd")</f>
        <v/>
      </c>
      <c r="C14437" t="inlineStr">
        <is>
          <t>1939-05-25</t>
        </is>
      </c>
    </row>
    <row r="14438">
      <c r="A14438" s="1" t="n">
        <v>14437</v>
      </c>
      <c r="B14438">
        <f>TEXT(14437, "[$-0E0000]yyyy-mm-dd")</f>
        <v/>
      </c>
      <c r="C14438" t="inlineStr">
        <is>
          <t>1939-05-26</t>
        </is>
      </c>
    </row>
    <row r="14439">
      <c r="A14439" s="1" t="n">
        <v>14438</v>
      </c>
      <c r="B14439">
        <f>TEXT(14438, "[$-0E0000]yyyy-mm-dd")</f>
        <v/>
      </c>
      <c r="C14439" t="inlineStr">
        <is>
          <t>1939-05-27</t>
        </is>
      </c>
    </row>
    <row r="14440">
      <c r="A14440" s="1" t="n">
        <v>14439</v>
      </c>
      <c r="B14440">
        <f>TEXT(14439, "[$-0E0000]yyyy-mm-dd")</f>
        <v/>
      </c>
      <c r="C14440" t="inlineStr">
        <is>
          <t>1939-05-28</t>
        </is>
      </c>
    </row>
    <row r="14441">
      <c r="A14441" s="1" t="n">
        <v>14440</v>
      </c>
      <c r="B14441">
        <f>TEXT(14440, "[$-0E0000]yyyy-mm-dd")</f>
        <v/>
      </c>
      <c r="C14441" t="inlineStr">
        <is>
          <t>1939-05-29</t>
        </is>
      </c>
    </row>
    <row r="14442">
      <c r="A14442" s="1" t="n">
        <v>14441</v>
      </c>
      <c r="B14442">
        <f>TEXT(14441, "[$-0E0000]yyyy-mm-dd")</f>
        <v/>
      </c>
      <c r="C14442" t="inlineStr">
        <is>
          <t>1939-05-30</t>
        </is>
      </c>
    </row>
    <row r="14443">
      <c r="A14443" s="1" t="n">
        <v>14442</v>
      </c>
      <c r="B14443">
        <f>TEXT(14442, "[$-0E0000]yyyy-mm-dd")</f>
        <v/>
      </c>
      <c r="C14443" t="inlineStr">
        <is>
          <t>1939-06-01</t>
        </is>
      </c>
    </row>
    <row r="14444">
      <c r="A14444" s="1" t="n">
        <v>14443</v>
      </c>
      <c r="B14444">
        <f>TEXT(14443, "[$-0E0000]yyyy-mm-dd")</f>
        <v/>
      </c>
      <c r="C14444" t="inlineStr">
        <is>
          <t>1939-06-02</t>
        </is>
      </c>
    </row>
    <row r="14445">
      <c r="A14445" s="1" t="n">
        <v>14444</v>
      </c>
      <c r="B14445">
        <f>TEXT(14444, "[$-0E0000]yyyy-mm-dd")</f>
        <v/>
      </c>
      <c r="C14445" t="inlineStr">
        <is>
          <t>1939-06-03</t>
        </is>
      </c>
    </row>
    <row r="14446">
      <c r="A14446" s="1" t="n">
        <v>14445</v>
      </c>
      <c r="B14446">
        <f>TEXT(14445, "[$-0E0000]yyyy-mm-dd")</f>
        <v/>
      </c>
      <c r="C14446" t="inlineStr">
        <is>
          <t>1939-06-04</t>
        </is>
      </c>
    </row>
    <row r="14447">
      <c r="A14447" s="1" t="n">
        <v>14446</v>
      </c>
      <c r="B14447">
        <f>TEXT(14446, "[$-0E0000]yyyy-mm-dd")</f>
        <v/>
      </c>
      <c r="C14447" t="inlineStr">
        <is>
          <t>1939-06-05</t>
        </is>
      </c>
    </row>
    <row r="14448">
      <c r="A14448" s="1" t="n">
        <v>14447</v>
      </c>
      <c r="B14448">
        <f>TEXT(14447, "[$-0E0000]yyyy-mm-dd")</f>
        <v/>
      </c>
      <c r="C14448" t="inlineStr">
        <is>
          <t>1939-06-06</t>
        </is>
      </c>
    </row>
    <row r="14449">
      <c r="A14449" s="1" t="n">
        <v>14448</v>
      </c>
      <c r="B14449">
        <f>TEXT(14448, "[$-0E0000]yyyy-mm-dd")</f>
        <v/>
      </c>
      <c r="C14449" t="inlineStr">
        <is>
          <t>1939-06-07</t>
        </is>
      </c>
    </row>
    <row r="14450">
      <c r="A14450" s="1" t="n">
        <v>14449</v>
      </c>
      <c r="B14450">
        <f>TEXT(14449, "[$-0E0000]yyyy-mm-dd")</f>
        <v/>
      </c>
      <c r="C14450" t="inlineStr">
        <is>
          <t>1939-06-08</t>
        </is>
      </c>
    </row>
    <row r="14451">
      <c r="A14451" s="1" t="n">
        <v>14450</v>
      </c>
      <c r="B14451">
        <f>TEXT(14450, "[$-0E0000]yyyy-mm-dd")</f>
        <v/>
      </c>
      <c r="C14451" t="inlineStr">
        <is>
          <t>1939-06-09</t>
        </is>
      </c>
    </row>
    <row r="14452">
      <c r="A14452" s="1" t="n">
        <v>14451</v>
      </c>
      <c r="B14452">
        <f>TEXT(14451, "[$-0E0000]yyyy-mm-dd")</f>
        <v/>
      </c>
      <c r="C14452" t="inlineStr">
        <is>
          <t>1939-06-10</t>
        </is>
      </c>
    </row>
    <row r="14453">
      <c r="A14453" s="1" t="n">
        <v>14452</v>
      </c>
      <c r="B14453">
        <f>TEXT(14452, "[$-0E0000]yyyy-mm-dd")</f>
        <v/>
      </c>
      <c r="C14453" t="inlineStr">
        <is>
          <t>1939-06-11</t>
        </is>
      </c>
    </row>
    <row r="14454">
      <c r="A14454" s="1" t="n">
        <v>14453</v>
      </c>
      <c r="B14454">
        <f>TEXT(14453, "[$-0E0000]yyyy-mm-dd")</f>
        <v/>
      </c>
      <c r="C14454" t="inlineStr">
        <is>
          <t>1939-06-12</t>
        </is>
      </c>
    </row>
    <row r="14455">
      <c r="A14455" s="1" t="n">
        <v>14454</v>
      </c>
      <c r="B14455">
        <f>TEXT(14454, "[$-0E0000]yyyy-mm-dd")</f>
        <v/>
      </c>
      <c r="C14455" t="inlineStr">
        <is>
          <t>1939-06-13</t>
        </is>
      </c>
    </row>
    <row r="14456">
      <c r="A14456" s="1" t="n">
        <v>14455</v>
      </c>
      <c r="B14456">
        <f>TEXT(14455, "[$-0E0000]yyyy-mm-dd")</f>
        <v/>
      </c>
      <c r="C14456" t="inlineStr">
        <is>
          <t>1939-06-14</t>
        </is>
      </c>
    </row>
    <row r="14457">
      <c r="A14457" s="1" t="n">
        <v>14456</v>
      </c>
      <c r="B14457">
        <f>TEXT(14456, "[$-0E0000]yyyy-mm-dd")</f>
        <v/>
      </c>
      <c r="C14457" t="inlineStr">
        <is>
          <t>1939-06-15</t>
        </is>
      </c>
    </row>
    <row r="14458">
      <c r="A14458" s="1" t="n">
        <v>14457</v>
      </c>
      <c r="B14458">
        <f>TEXT(14457, "[$-0E0000]yyyy-mm-dd")</f>
        <v/>
      </c>
      <c r="C14458" t="inlineStr">
        <is>
          <t>1939-06-16</t>
        </is>
      </c>
    </row>
    <row r="14459">
      <c r="A14459" s="1" t="n">
        <v>14458</v>
      </c>
      <c r="B14459">
        <f>TEXT(14458, "[$-0E0000]yyyy-mm-dd")</f>
        <v/>
      </c>
      <c r="C14459" t="inlineStr">
        <is>
          <t>1939-06-17</t>
        </is>
      </c>
    </row>
    <row r="14460">
      <c r="A14460" s="1" t="n">
        <v>14459</v>
      </c>
      <c r="B14460">
        <f>TEXT(14459, "[$-0E0000]yyyy-mm-dd")</f>
        <v/>
      </c>
      <c r="C14460" t="inlineStr">
        <is>
          <t>1939-06-18</t>
        </is>
      </c>
    </row>
    <row r="14461">
      <c r="A14461" s="1" t="n">
        <v>14460</v>
      </c>
      <c r="B14461">
        <f>TEXT(14460, "[$-0E0000]yyyy-mm-dd")</f>
        <v/>
      </c>
      <c r="C14461" t="inlineStr">
        <is>
          <t>1939-06-19</t>
        </is>
      </c>
    </row>
    <row r="14462">
      <c r="A14462" s="1" t="n">
        <v>14461</v>
      </c>
      <c r="B14462">
        <f>TEXT(14461, "[$-0E0000]yyyy-mm-dd")</f>
        <v/>
      </c>
      <c r="C14462" t="inlineStr">
        <is>
          <t>1939-06-20</t>
        </is>
      </c>
    </row>
    <row r="14463">
      <c r="A14463" s="1" t="n">
        <v>14462</v>
      </c>
      <c r="B14463">
        <f>TEXT(14462, "[$-0E0000]yyyy-mm-dd")</f>
        <v/>
      </c>
      <c r="C14463" t="inlineStr">
        <is>
          <t>1939-06-21</t>
        </is>
      </c>
    </row>
    <row r="14464">
      <c r="A14464" s="1" t="n">
        <v>14463</v>
      </c>
      <c r="B14464">
        <f>TEXT(14463, "[$-0E0000]yyyy-mm-dd")</f>
        <v/>
      </c>
      <c r="C14464" t="inlineStr">
        <is>
          <t>1939-06-22</t>
        </is>
      </c>
    </row>
    <row r="14465">
      <c r="A14465" s="1" t="n">
        <v>14464</v>
      </c>
      <c r="B14465">
        <f>TEXT(14464, "[$-0E0000]yyyy-mm-dd")</f>
        <v/>
      </c>
      <c r="C14465" t="inlineStr">
        <is>
          <t>1939-06-23</t>
        </is>
      </c>
    </row>
    <row r="14466">
      <c r="A14466" s="1" t="n">
        <v>14465</v>
      </c>
      <c r="B14466">
        <f>TEXT(14465, "[$-0E0000]yyyy-mm-dd")</f>
        <v/>
      </c>
      <c r="C14466" t="inlineStr">
        <is>
          <t>1939-06-24</t>
        </is>
      </c>
    </row>
    <row r="14467">
      <c r="A14467" s="1" t="n">
        <v>14466</v>
      </c>
      <c r="B14467">
        <f>TEXT(14466, "[$-0E0000]yyyy-mm-dd")</f>
        <v/>
      </c>
      <c r="C14467" t="inlineStr">
        <is>
          <t>1939-06-25</t>
        </is>
      </c>
    </row>
    <row r="14468">
      <c r="A14468" s="1" t="n">
        <v>14467</v>
      </c>
      <c r="B14468">
        <f>TEXT(14467, "[$-0E0000]yyyy-mm-dd")</f>
        <v/>
      </c>
      <c r="C14468" t="inlineStr">
        <is>
          <t>1939-06-26</t>
        </is>
      </c>
    </row>
    <row r="14469">
      <c r="A14469" s="1" t="n">
        <v>14468</v>
      </c>
      <c r="B14469">
        <f>TEXT(14468, "[$-0E0000]yyyy-mm-dd")</f>
        <v/>
      </c>
      <c r="C14469" t="inlineStr">
        <is>
          <t>1939-06-27</t>
        </is>
      </c>
    </row>
    <row r="14470">
      <c r="A14470" s="1" t="n">
        <v>14469</v>
      </c>
      <c r="B14470">
        <f>TEXT(14469, "[$-0E0000]yyyy-mm-dd")</f>
        <v/>
      </c>
      <c r="C14470" t="inlineStr">
        <is>
          <t>1939-06-28</t>
        </is>
      </c>
    </row>
    <row r="14471">
      <c r="A14471" s="1" t="n">
        <v>14470</v>
      </c>
      <c r="B14471">
        <f>TEXT(14470, "[$-0E0000]yyyy-mm-dd")</f>
        <v/>
      </c>
      <c r="C14471" t="inlineStr">
        <is>
          <t>1939-06-29</t>
        </is>
      </c>
    </row>
    <row r="14472">
      <c r="A14472" s="1" t="n">
        <v>14471</v>
      </c>
      <c r="B14472">
        <f>TEXT(14471, "[$-0E0000]yyyy-mm-dd")</f>
        <v/>
      </c>
      <c r="C14472" t="inlineStr">
        <is>
          <t>1939-07-01</t>
        </is>
      </c>
    </row>
    <row r="14473">
      <c r="A14473" s="1" t="n">
        <v>14472</v>
      </c>
      <c r="B14473">
        <f>TEXT(14472, "[$-0E0000]yyyy-mm-dd")</f>
        <v/>
      </c>
      <c r="C14473" t="inlineStr">
        <is>
          <t>1939-07-02</t>
        </is>
      </c>
    </row>
    <row r="14474">
      <c r="A14474" s="1" t="n">
        <v>14473</v>
      </c>
      <c r="B14474">
        <f>TEXT(14473, "[$-0E0000]yyyy-mm-dd")</f>
        <v/>
      </c>
      <c r="C14474" t="inlineStr">
        <is>
          <t>1939-07-03</t>
        </is>
      </c>
    </row>
    <row r="14475">
      <c r="A14475" s="1" t="n">
        <v>14474</v>
      </c>
      <c r="B14475">
        <f>TEXT(14474, "[$-0E0000]yyyy-mm-dd")</f>
        <v/>
      </c>
      <c r="C14475" t="inlineStr">
        <is>
          <t>1939-07-04</t>
        </is>
      </c>
    </row>
    <row r="14476">
      <c r="A14476" s="1" t="n">
        <v>14475</v>
      </c>
      <c r="B14476">
        <f>TEXT(14475, "[$-0E0000]yyyy-mm-dd")</f>
        <v/>
      </c>
      <c r="C14476" t="inlineStr">
        <is>
          <t>1939-07-05</t>
        </is>
      </c>
    </row>
    <row r="14477">
      <c r="A14477" s="1" t="n">
        <v>14476</v>
      </c>
      <c r="B14477">
        <f>TEXT(14476, "[$-0E0000]yyyy-mm-dd")</f>
        <v/>
      </c>
      <c r="C14477" t="inlineStr">
        <is>
          <t>1939-07-06</t>
        </is>
      </c>
    </row>
    <row r="14478">
      <c r="A14478" s="1" t="n">
        <v>14477</v>
      </c>
      <c r="B14478">
        <f>TEXT(14477, "[$-0E0000]yyyy-mm-dd")</f>
        <v/>
      </c>
      <c r="C14478" t="inlineStr">
        <is>
          <t>1939-07-07</t>
        </is>
      </c>
    </row>
    <row r="14479">
      <c r="A14479" s="1" t="n">
        <v>14478</v>
      </c>
      <c r="B14479">
        <f>TEXT(14478, "[$-0E0000]yyyy-mm-dd")</f>
        <v/>
      </c>
      <c r="C14479" t="inlineStr">
        <is>
          <t>1939-07-08</t>
        </is>
      </c>
    </row>
    <row r="14480">
      <c r="A14480" s="1" t="n">
        <v>14479</v>
      </c>
      <c r="B14480">
        <f>TEXT(14479, "[$-0E0000]yyyy-mm-dd")</f>
        <v/>
      </c>
      <c r="C14480" t="inlineStr">
        <is>
          <t>1939-07-09</t>
        </is>
      </c>
    </row>
    <row r="14481">
      <c r="A14481" s="1" t="n">
        <v>14480</v>
      </c>
      <c r="B14481">
        <f>TEXT(14480, "[$-0E0000]yyyy-mm-dd")</f>
        <v/>
      </c>
      <c r="C14481" t="inlineStr">
        <is>
          <t>1939-07-10</t>
        </is>
      </c>
    </row>
    <row r="14482">
      <c r="A14482" s="1" t="n">
        <v>14481</v>
      </c>
      <c r="B14482">
        <f>TEXT(14481, "[$-0E0000]yyyy-mm-dd")</f>
        <v/>
      </c>
      <c r="C14482" t="inlineStr">
        <is>
          <t>1939-07-11</t>
        </is>
      </c>
    </row>
    <row r="14483">
      <c r="A14483" s="1" t="n">
        <v>14482</v>
      </c>
      <c r="B14483">
        <f>TEXT(14482, "[$-0E0000]yyyy-mm-dd")</f>
        <v/>
      </c>
      <c r="C14483" t="inlineStr">
        <is>
          <t>1939-07-12</t>
        </is>
      </c>
    </row>
    <row r="14484">
      <c r="A14484" s="1" t="n">
        <v>14483</v>
      </c>
      <c r="B14484">
        <f>TEXT(14483, "[$-0E0000]yyyy-mm-dd")</f>
        <v/>
      </c>
      <c r="C14484" t="inlineStr">
        <is>
          <t>1939-07-13</t>
        </is>
      </c>
    </row>
    <row r="14485">
      <c r="A14485" s="1" t="n">
        <v>14484</v>
      </c>
      <c r="B14485">
        <f>TEXT(14484, "[$-0E0000]yyyy-mm-dd")</f>
        <v/>
      </c>
      <c r="C14485" t="inlineStr">
        <is>
          <t>1939-07-14</t>
        </is>
      </c>
    </row>
    <row r="14486">
      <c r="A14486" s="1" t="n">
        <v>14485</v>
      </c>
      <c r="B14486">
        <f>TEXT(14485, "[$-0E0000]yyyy-mm-dd")</f>
        <v/>
      </c>
      <c r="C14486" t="inlineStr">
        <is>
          <t>1939-07-15</t>
        </is>
      </c>
    </row>
    <row r="14487">
      <c r="A14487" s="1" t="n">
        <v>14486</v>
      </c>
      <c r="B14487">
        <f>TEXT(14486, "[$-0E0000]yyyy-mm-dd")</f>
        <v/>
      </c>
      <c r="C14487" t="inlineStr">
        <is>
          <t>1939-07-16</t>
        </is>
      </c>
    </row>
    <row r="14488">
      <c r="A14488" s="1" t="n">
        <v>14487</v>
      </c>
      <c r="B14488">
        <f>TEXT(14487, "[$-0E0000]yyyy-mm-dd")</f>
        <v/>
      </c>
      <c r="C14488" t="inlineStr">
        <is>
          <t>1939-07-17</t>
        </is>
      </c>
    </row>
    <row r="14489">
      <c r="A14489" s="1" t="n">
        <v>14488</v>
      </c>
      <c r="B14489">
        <f>TEXT(14488, "[$-0E0000]yyyy-mm-dd")</f>
        <v/>
      </c>
      <c r="C14489" t="inlineStr">
        <is>
          <t>1939-07-18</t>
        </is>
      </c>
    </row>
    <row r="14490">
      <c r="A14490" s="1" t="n">
        <v>14489</v>
      </c>
      <c r="B14490">
        <f>TEXT(14489, "[$-0E0000]yyyy-mm-dd")</f>
        <v/>
      </c>
      <c r="C14490" t="inlineStr">
        <is>
          <t>1939-07-19</t>
        </is>
      </c>
    </row>
    <row r="14491">
      <c r="A14491" s="1" t="n">
        <v>14490</v>
      </c>
      <c r="B14491">
        <f>TEXT(14490, "[$-0E0000]yyyy-mm-dd")</f>
        <v/>
      </c>
      <c r="C14491" t="inlineStr">
        <is>
          <t>1939-07-20</t>
        </is>
      </c>
    </row>
    <row r="14492">
      <c r="A14492" s="1" t="n">
        <v>14491</v>
      </c>
      <c r="B14492">
        <f>TEXT(14491, "[$-0E0000]yyyy-mm-dd")</f>
        <v/>
      </c>
      <c r="C14492" t="inlineStr">
        <is>
          <t>1939-07-21</t>
        </is>
      </c>
    </row>
    <row r="14493">
      <c r="A14493" s="1" t="n">
        <v>14492</v>
      </c>
      <c r="B14493">
        <f>TEXT(14492, "[$-0E0000]yyyy-mm-dd")</f>
        <v/>
      </c>
      <c r="C14493" t="inlineStr">
        <is>
          <t>1939-07-22</t>
        </is>
      </c>
    </row>
    <row r="14494">
      <c r="A14494" s="1" t="n">
        <v>14493</v>
      </c>
      <c r="B14494">
        <f>TEXT(14493, "[$-0E0000]yyyy-mm-dd")</f>
        <v/>
      </c>
      <c r="C14494" t="inlineStr">
        <is>
          <t>1939-07-23</t>
        </is>
      </c>
    </row>
    <row r="14495">
      <c r="A14495" s="1" t="n">
        <v>14494</v>
      </c>
      <c r="B14495">
        <f>TEXT(14494, "[$-0E0000]yyyy-mm-dd")</f>
        <v/>
      </c>
      <c r="C14495" t="inlineStr">
        <is>
          <t>1939-07-24</t>
        </is>
      </c>
    </row>
    <row r="14496">
      <c r="A14496" s="1" t="n">
        <v>14495</v>
      </c>
      <c r="B14496">
        <f>TEXT(14495, "[$-0E0000]yyyy-mm-dd")</f>
        <v/>
      </c>
      <c r="C14496" t="inlineStr">
        <is>
          <t>1939-07-25</t>
        </is>
      </c>
    </row>
    <row r="14497">
      <c r="A14497" s="1" t="n">
        <v>14496</v>
      </c>
      <c r="B14497">
        <f>TEXT(14496, "[$-0E0000]yyyy-mm-dd")</f>
        <v/>
      </c>
      <c r="C14497" t="inlineStr">
        <is>
          <t>1939-07-26</t>
        </is>
      </c>
    </row>
    <row r="14498">
      <c r="A14498" s="1" t="n">
        <v>14497</v>
      </c>
      <c r="B14498">
        <f>TEXT(14497, "[$-0E0000]yyyy-mm-dd")</f>
        <v/>
      </c>
      <c r="C14498" t="inlineStr">
        <is>
          <t>1939-07-27</t>
        </is>
      </c>
    </row>
    <row r="14499">
      <c r="A14499" s="1" t="n">
        <v>14498</v>
      </c>
      <c r="B14499">
        <f>TEXT(14498, "[$-0E0000]yyyy-mm-dd")</f>
        <v/>
      </c>
      <c r="C14499" t="inlineStr">
        <is>
          <t>1939-07-28</t>
        </is>
      </c>
    </row>
    <row r="14500">
      <c r="A14500" s="1" t="n">
        <v>14499</v>
      </c>
      <c r="B14500">
        <f>TEXT(14499, "[$-0E0000]yyyy-mm-dd")</f>
        <v/>
      </c>
      <c r="C14500" t="inlineStr">
        <is>
          <t>1939-07-29</t>
        </is>
      </c>
    </row>
    <row r="14501">
      <c r="A14501" s="1" t="n">
        <v>14500</v>
      </c>
      <c r="B14501">
        <f>TEXT(14500, "[$-0E0000]yyyy-mm-dd")</f>
        <v/>
      </c>
      <c r="C14501" t="inlineStr">
        <is>
          <t>1939-08-01</t>
        </is>
      </c>
    </row>
    <row r="14502">
      <c r="A14502" s="1" t="n">
        <v>14501</v>
      </c>
      <c r="B14502">
        <f>TEXT(14501, "[$-0E0000]yyyy-mm-dd")</f>
        <v/>
      </c>
      <c r="C14502" t="inlineStr">
        <is>
          <t>1939-08-02</t>
        </is>
      </c>
    </row>
    <row r="14503">
      <c r="A14503" s="1" t="n">
        <v>14502</v>
      </c>
      <c r="B14503">
        <f>TEXT(14502, "[$-0E0000]yyyy-mm-dd")</f>
        <v/>
      </c>
      <c r="C14503" t="inlineStr">
        <is>
          <t>1939-08-03</t>
        </is>
      </c>
    </row>
    <row r="14504">
      <c r="A14504" s="1" t="n">
        <v>14503</v>
      </c>
      <c r="B14504">
        <f>TEXT(14503, "[$-0E0000]yyyy-mm-dd")</f>
        <v/>
      </c>
      <c r="C14504" t="inlineStr">
        <is>
          <t>1939-08-04</t>
        </is>
      </c>
    </row>
    <row r="14505">
      <c r="A14505" s="1" t="n">
        <v>14504</v>
      </c>
      <c r="B14505">
        <f>TEXT(14504, "[$-0E0000]yyyy-mm-dd")</f>
        <v/>
      </c>
      <c r="C14505" t="inlineStr">
        <is>
          <t>1939-08-05</t>
        </is>
      </c>
    </row>
    <row r="14506">
      <c r="A14506" s="1" t="n">
        <v>14505</v>
      </c>
      <c r="B14506">
        <f>TEXT(14505, "[$-0E0000]yyyy-mm-dd")</f>
        <v/>
      </c>
      <c r="C14506" t="inlineStr">
        <is>
          <t>1939-08-06</t>
        </is>
      </c>
    </row>
    <row r="14507">
      <c r="A14507" s="1" t="n">
        <v>14506</v>
      </c>
      <c r="B14507">
        <f>TEXT(14506, "[$-0E0000]yyyy-mm-dd")</f>
        <v/>
      </c>
      <c r="C14507" t="inlineStr">
        <is>
          <t>1939-08-07</t>
        </is>
      </c>
    </row>
    <row r="14508">
      <c r="A14508" s="1" t="n">
        <v>14507</v>
      </c>
      <c r="B14508">
        <f>TEXT(14507, "[$-0E0000]yyyy-mm-dd")</f>
        <v/>
      </c>
      <c r="C14508" t="inlineStr">
        <is>
          <t>1939-08-08</t>
        </is>
      </c>
    </row>
    <row r="14509">
      <c r="A14509" s="1" t="n">
        <v>14508</v>
      </c>
      <c r="B14509">
        <f>TEXT(14508, "[$-0E0000]yyyy-mm-dd")</f>
        <v/>
      </c>
      <c r="C14509" t="inlineStr">
        <is>
          <t>1939-08-09</t>
        </is>
      </c>
    </row>
    <row r="14510">
      <c r="A14510" s="1" t="n">
        <v>14509</v>
      </c>
      <c r="B14510">
        <f>TEXT(14509, "[$-0E0000]yyyy-mm-dd")</f>
        <v/>
      </c>
      <c r="C14510" t="inlineStr">
        <is>
          <t>1939-08-10</t>
        </is>
      </c>
    </row>
    <row r="14511">
      <c r="A14511" s="1" t="n">
        <v>14510</v>
      </c>
      <c r="B14511">
        <f>TEXT(14510, "[$-0E0000]yyyy-mm-dd")</f>
        <v/>
      </c>
      <c r="C14511" t="inlineStr">
        <is>
          <t>1939-08-11</t>
        </is>
      </c>
    </row>
    <row r="14512">
      <c r="A14512" s="1" t="n">
        <v>14511</v>
      </c>
      <c r="B14512">
        <f>TEXT(14511, "[$-0E0000]yyyy-mm-dd")</f>
        <v/>
      </c>
      <c r="C14512" t="inlineStr">
        <is>
          <t>1939-08-12</t>
        </is>
      </c>
    </row>
    <row r="14513">
      <c r="A14513" s="1" t="n">
        <v>14512</v>
      </c>
      <c r="B14513">
        <f>TEXT(14512, "[$-0E0000]yyyy-mm-dd")</f>
        <v/>
      </c>
      <c r="C14513" t="inlineStr">
        <is>
          <t>1939-08-13</t>
        </is>
      </c>
    </row>
    <row r="14514">
      <c r="A14514" s="1" t="n">
        <v>14513</v>
      </c>
      <c r="B14514">
        <f>TEXT(14513, "[$-0E0000]yyyy-mm-dd")</f>
        <v/>
      </c>
      <c r="C14514" t="inlineStr">
        <is>
          <t>1939-08-14</t>
        </is>
      </c>
    </row>
    <row r="14515">
      <c r="A14515" s="1" t="n">
        <v>14514</v>
      </c>
      <c r="B14515">
        <f>TEXT(14514, "[$-0E0000]yyyy-mm-dd")</f>
        <v/>
      </c>
      <c r="C14515" t="inlineStr">
        <is>
          <t>1939-08-15</t>
        </is>
      </c>
    </row>
    <row r="14516">
      <c r="A14516" s="1" t="n">
        <v>14515</v>
      </c>
      <c r="B14516">
        <f>TEXT(14515, "[$-0E0000]yyyy-mm-dd")</f>
        <v/>
      </c>
      <c r="C14516" t="inlineStr">
        <is>
          <t>1939-08-16</t>
        </is>
      </c>
    </row>
    <row r="14517">
      <c r="A14517" s="1" t="n">
        <v>14516</v>
      </c>
      <c r="B14517">
        <f>TEXT(14516, "[$-0E0000]yyyy-mm-dd")</f>
        <v/>
      </c>
      <c r="C14517" t="inlineStr">
        <is>
          <t>1939-08-17</t>
        </is>
      </c>
    </row>
    <row r="14518">
      <c r="A14518" s="1" t="n">
        <v>14517</v>
      </c>
      <c r="B14518">
        <f>TEXT(14517, "[$-0E0000]yyyy-mm-dd")</f>
        <v/>
      </c>
      <c r="C14518" t="inlineStr">
        <is>
          <t>1939-08-18</t>
        </is>
      </c>
    </row>
    <row r="14519">
      <c r="A14519" s="1" t="n">
        <v>14518</v>
      </c>
      <c r="B14519">
        <f>TEXT(14518, "[$-0E0000]yyyy-mm-dd")</f>
        <v/>
      </c>
      <c r="C14519" t="inlineStr">
        <is>
          <t>1939-08-19</t>
        </is>
      </c>
    </row>
    <row r="14520">
      <c r="A14520" s="1" t="n">
        <v>14519</v>
      </c>
      <c r="B14520">
        <f>TEXT(14519, "[$-0E0000]yyyy-mm-dd")</f>
        <v/>
      </c>
      <c r="C14520" t="inlineStr">
        <is>
          <t>1939-08-20</t>
        </is>
      </c>
    </row>
    <row r="14521">
      <c r="A14521" s="1" t="n">
        <v>14520</v>
      </c>
      <c r="B14521">
        <f>TEXT(14520, "[$-0E0000]yyyy-mm-dd")</f>
        <v/>
      </c>
      <c r="C14521" t="inlineStr">
        <is>
          <t>1939-08-21</t>
        </is>
      </c>
    </row>
    <row r="14522">
      <c r="A14522" s="1" t="n">
        <v>14521</v>
      </c>
      <c r="B14522">
        <f>TEXT(14521, "[$-0E0000]yyyy-mm-dd")</f>
        <v/>
      </c>
      <c r="C14522" t="inlineStr">
        <is>
          <t>1939-08-22</t>
        </is>
      </c>
    </row>
    <row r="14523">
      <c r="A14523" s="1" t="n">
        <v>14522</v>
      </c>
      <c r="B14523">
        <f>TEXT(14522, "[$-0E0000]yyyy-mm-dd")</f>
        <v/>
      </c>
      <c r="C14523" t="inlineStr">
        <is>
          <t>1939-08-23</t>
        </is>
      </c>
    </row>
    <row r="14524">
      <c r="A14524" s="1" t="n">
        <v>14523</v>
      </c>
      <c r="B14524">
        <f>TEXT(14523, "[$-0E0000]yyyy-mm-dd")</f>
        <v/>
      </c>
      <c r="C14524" t="inlineStr">
        <is>
          <t>1939-08-24</t>
        </is>
      </c>
    </row>
    <row r="14525">
      <c r="A14525" s="1" t="n">
        <v>14524</v>
      </c>
      <c r="B14525">
        <f>TEXT(14524, "[$-0E0000]yyyy-mm-dd")</f>
        <v/>
      </c>
      <c r="C14525" t="inlineStr">
        <is>
          <t>1939-08-25</t>
        </is>
      </c>
    </row>
    <row r="14526">
      <c r="A14526" s="1" t="n">
        <v>14525</v>
      </c>
      <c r="B14526">
        <f>TEXT(14525, "[$-0E0000]yyyy-mm-dd")</f>
        <v/>
      </c>
      <c r="C14526" t="inlineStr">
        <is>
          <t>1939-08-26</t>
        </is>
      </c>
    </row>
    <row r="14527">
      <c r="A14527" s="1" t="n">
        <v>14526</v>
      </c>
      <c r="B14527">
        <f>TEXT(14526, "[$-0E0000]yyyy-mm-dd")</f>
        <v/>
      </c>
      <c r="C14527" t="inlineStr">
        <is>
          <t>1939-08-27</t>
        </is>
      </c>
    </row>
    <row r="14528">
      <c r="A14528" s="1" t="n">
        <v>14527</v>
      </c>
      <c r="B14528">
        <f>TEXT(14527, "[$-0E0000]yyyy-mm-dd")</f>
        <v/>
      </c>
      <c r="C14528" t="inlineStr">
        <is>
          <t>1939-08-28</t>
        </is>
      </c>
    </row>
    <row r="14529">
      <c r="A14529" s="1" t="n">
        <v>14528</v>
      </c>
      <c r="B14529">
        <f>TEXT(14528, "[$-0E0000]yyyy-mm-dd")</f>
        <v/>
      </c>
      <c r="C14529" t="inlineStr">
        <is>
          <t>1939-08-29</t>
        </is>
      </c>
    </row>
    <row r="14530">
      <c r="A14530" s="1" t="n">
        <v>14529</v>
      </c>
      <c r="B14530">
        <f>TEXT(14529, "[$-0E0000]yyyy-mm-dd")</f>
        <v/>
      </c>
      <c r="C14530" t="inlineStr">
        <is>
          <t>1939-08-30</t>
        </is>
      </c>
    </row>
    <row r="14531">
      <c r="A14531" s="1" t="n">
        <v>14530</v>
      </c>
      <c r="B14531">
        <f>TEXT(14530, "[$-0E0000]yyyy-mm-dd")</f>
        <v/>
      </c>
      <c r="C14531" t="inlineStr">
        <is>
          <t>1939-09-01</t>
        </is>
      </c>
    </row>
    <row r="14532">
      <c r="A14532" s="1" t="n">
        <v>14531</v>
      </c>
      <c r="B14532">
        <f>TEXT(14531, "[$-0E0000]yyyy-mm-dd")</f>
        <v/>
      </c>
      <c r="C14532" t="inlineStr">
        <is>
          <t>1939-09-02</t>
        </is>
      </c>
    </row>
    <row r="14533">
      <c r="A14533" s="1" t="n">
        <v>14532</v>
      </c>
      <c r="B14533">
        <f>TEXT(14532, "[$-0E0000]yyyy-mm-dd")</f>
        <v/>
      </c>
      <c r="C14533" t="inlineStr">
        <is>
          <t>1939-09-03</t>
        </is>
      </c>
    </row>
    <row r="14534">
      <c r="A14534" s="1" t="n">
        <v>14533</v>
      </c>
      <c r="B14534">
        <f>TEXT(14533, "[$-0E0000]yyyy-mm-dd")</f>
        <v/>
      </c>
      <c r="C14534" t="inlineStr">
        <is>
          <t>1939-09-04</t>
        </is>
      </c>
    </row>
    <row r="14535">
      <c r="A14535" s="1" t="n">
        <v>14534</v>
      </c>
      <c r="B14535">
        <f>TEXT(14534, "[$-0E0000]yyyy-mm-dd")</f>
        <v/>
      </c>
      <c r="C14535" t="inlineStr">
        <is>
          <t>1939-09-05</t>
        </is>
      </c>
    </row>
    <row r="14536">
      <c r="A14536" s="1" t="n">
        <v>14535</v>
      </c>
      <c r="B14536">
        <f>TEXT(14535, "[$-0E0000]yyyy-mm-dd")</f>
        <v/>
      </c>
      <c r="C14536" t="inlineStr">
        <is>
          <t>1939-09-06</t>
        </is>
      </c>
    </row>
    <row r="14537">
      <c r="A14537" s="1" t="n">
        <v>14536</v>
      </c>
      <c r="B14537">
        <f>TEXT(14536, "[$-0E0000]yyyy-mm-dd")</f>
        <v/>
      </c>
      <c r="C14537" t="inlineStr">
        <is>
          <t>1939-09-07</t>
        </is>
      </c>
    </row>
    <row r="14538">
      <c r="A14538" s="1" t="n">
        <v>14537</v>
      </c>
      <c r="B14538">
        <f>TEXT(14537, "[$-0E0000]yyyy-mm-dd")</f>
        <v/>
      </c>
      <c r="C14538" t="inlineStr">
        <is>
          <t>1939-09-08</t>
        </is>
      </c>
    </row>
    <row r="14539">
      <c r="A14539" s="1" t="n">
        <v>14538</v>
      </c>
      <c r="B14539">
        <f>TEXT(14538, "[$-0E0000]yyyy-mm-dd")</f>
        <v/>
      </c>
      <c r="C14539" t="inlineStr">
        <is>
          <t>1939-09-09</t>
        </is>
      </c>
    </row>
    <row r="14540">
      <c r="A14540" s="1" t="n">
        <v>14539</v>
      </c>
      <c r="B14540">
        <f>TEXT(14539, "[$-0E0000]yyyy-mm-dd")</f>
        <v/>
      </c>
      <c r="C14540" t="inlineStr">
        <is>
          <t>1939-09-10</t>
        </is>
      </c>
    </row>
    <row r="14541">
      <c r="A14541" s="1" t="n">
        <v>14540</v>
      </c>
      <c r="B14541">
        <f>TEXT(14540, "[$-0E0000]yyyy-mm-dd")</f>
        <v/>
      </c>
      <c r="C14541" t="inlineStr">
        <is>
          <t>1939-09-11</t>
        </is>
      </c>
    </row>
    <row r="14542">
      <c r="A14542" s="1" t="n">
        <v>14541</v>
      </c>
      <c r="B14542">
        <f>TEXT(14541, "[$-0E0000]yyyy-mm-dd")</f>
        <v/>
      </c>
      <c r="C14542" t="inlineStr">
        <is>
          <t>1939-09-12</t>
        </is>
      </c>
    </row>
    <row r="14543">
      <c r="A14543" s="1" t="n">
        <v>14542</v>
      </c>
      <c r="B14543">
        <f>TEXT(14542, "[$-0E0000]yyyy-mm-dd")</f>
        <v/>
      </c>
      <c r="C14543" t="inlineStr">
        <is>
          <t>1939-09-13</t>
        </is>
      </c>
    </row>
    <row r="14544">
      <c r="A14544" s="1" t="n">
        <v>14543</v>
      </c>
      <c r="B14544">
        <f>TEXT(14543, "[$-0E0000]yyyy-mm-dd")</f>
        <v/>
      </c>
      <c r="C14544" t="inlineStr">
        <is>
          <t>1939-09-14</t>
        </is>
      </c>
    </row>
    <row r="14545">
      <c r="A14545" s="1" t="n">
        <v>14544</v>
      </c>
      <c r="B14545">
        <f>TEXT(14544, "[$-0E0000]yyyy-mm-dd")</f>
        <v/>
      </c>
      <c r="C14545" t="inlineStr">
        <is>
          <t>1939-09-15</t>
        </is>
      </c>
    </row>
    <row r="14546">
      <c r="A14546" s="1" t="n">
        <v>14545</v>
      </c>
      <c r="B14546">
        <f>TEXT(14545, "[$-0E0000]yyyy-mm-dd")</f>
        <v/>
      </c>
      <c r="C14546" t="inlineStr">
        <is>
          <t>1939-09-16</t>
        </is>
      </c>
    </row>
    <row r="14547">
      <c r="A14547" s="1" t="n">
        <v>14546</v>
      </c>
      <c r="B14547">
        <f>TEXT(14546, "[$-0E0000]yyyy-mm-dd")</f>
        <v/>
      </c>
      <c r="C14547" t="inlineStr">
        <is>
          <t>1939-09-17</t>
        </is>
      </c>
    </row>
    <row r="14548">
      <c r="A14548" s="1" t="n">
        <v>14547</v>
      </c>
      <c r="B14548">
        <f>TEXT(14547, "[$-0E0000]yyyy-mm-dd")</f>
        <v/>
      </c>
      <c r="C14548" t="inlineStr">
        <is>
          <t>1939-09-18</t>
        </is>
      </c>
    </row>
    <row r="14549">
      <c r="A14549" s="1" t="n">
        <v>14548</v>
      </c>
      <c r="B14549">
        <f>TEXT(14548, "[$-0E0000]yyyy-mm-dd")</f>
        <v/>
      </c>
      <c r="C14549" t="inlineStr">
        <is>
          <t>1939-09-19</t>
        </is>
      </c>
    </row>
    <row r="14550">
      <c r="A14550" s="1" t="n">
        <v>14549</v>
      </c>
      <c r="B14550">
        <f>TEXT(14549, "[$-0E0000]yyyy-mm-dd")</f>
        <v/>
      </c>
      <c r="C14550" t="inlineStr">
        <is>
          <t>1939-09-20</t>
        </is>
      </c>
    </row>
    <row r="14551">
      <c r="A14551" s="1" t="n">
        <v>14550</v>
      </c>
      <c r="B14551">
        <f>TEXT(14550, "[$-0E0000]yyyy-mm-dd")</f>
        <v/>
      </c>
      <c r="C14551" t="inlineStr">
        <is>
          <t>1939-09-21</t>
        </is>
      </c>
    </row>
    <row r="14552">
      <c r="A14552" s="1" t="n">
        <v>14551</v>
      </c>
      <c r="B14552">
        <f>TEXT(14551, "[$-0E0000]yyyy-mm-dd")</f>
        <v/>
      </c>
      <c r="C14552" t="inlineStr">
        <is>
          <t>1939-09-22</t>
        </is>
      </c>
    </row>
    <row r="14553">
      <c r="A14553" s="1" t="n">
        <v>14552</v>
      </c>
      <c r="B14553">
        <f>TEXT(14552, "[$-0E0000]yyyy-mm-dd")</f>
        <v/>
      </c>
      <c r="C14553" t="inlineStr">
        <is>
          <t>1939-09-23</t>
        </is>
      </c>
    </row>
    <row r="14554">
      <c r="A14554" s="1" t="n">
        <v>14553</v>
      </c>
      <c r="B14554">
        <f>TEXT(14553, "[$-0E0000]yyyy-mm-dd")</f>
        <v/>
      </c>
      <c r="C14554" t="inlineStr">
        <is>
          <t>1939-09-24</t>
        </is>
      </c>
    </row>
    <row r="14555">
      <c r="A14555" s="1" t="n">
        <v>14554</v>
      </c>
      <c r="B14555">
        <f>TEXT(14554, "[$-0E0000]yyyy-mm-dd")</f>
        <v/>
      </c>
      <c r="C14555" t="inlineStr">
        <is>
          <t>1939-09-25</t>
        </is>
      </c>
    </row>
    <row r="14556">
      <c r="A14556" s="1" t="n">
        <v>14555</v>
      </c>
      <c r="B14556">
        <f>TEXT(14555, "[$-0E0000]yyyy-mm-dd")</f>
        <v/>
      </c>
      <c r="C14556" t="inlineStr">
        <is>
          <t>1939-09-26</t>
        </is>
      </c>
    </row>
    <row r="14557">
      <c r="A14557" s="1" t="n">
        <v>14556</v>
      </c>
      <c r="B14557">
        <f>TEXT(14556, "[$-0E0000]yyyy-mm-dd")</f>
        <v/>
      </c>
      <c r="C14557" t="inlineStr">
        <is>
          <t>1939-09-27</t>
        </is>
      </c>
    </row>
    <row r="14558">
      <c r="A14558" s="1" t="n">
        <v>14557</v>
      </c>
      <c r="B14558">
        <f>TEXT(14557, "[$-0E0000]yyyy-mm-dd")</f>
        <v/>
      </c>
      <c r="C14558" t="inlineStr">
        <is>
          <t>1939-09-28</t>
        </is>
      </c>
    </row>
    <row r="14559">
      <c r="A14559" s="1" t="n">
        <v>14558</v>
      </c>
      <c r="B14559">
        <f>TEXT(14558, "[$-0E0000]yyyy-mm-dd")</f>
        <v/>
      </c>
      <c r="C14559" t="inlineStr">
        <is>
          <t>1939-09-29</t>
        </is>
      </c>
    </row>
    <row r="14560">
      <c r="A14560" s="1" t="n">
        <v>14559</v>
      </c>
      <c r="B14560">
        <f>TEXT(14559, "[$-0E0000]yyyy-mm-dd")</f>
        <v/>
      </c>
      <c r="C14560" t="inlineStr">
        <is>
          <t>1939-10-01</t>
        </is>
      </c>
    </row>
    <row r="14561">
      <c r="A14561" s="1" t="n">
        <v>14560</v>
      </c>
      <c r="B14561">
        <f>TEXT(14560, "[$-0E0000]yyyy-mm-dd")</f>
        <v/>
      </c>
      <c r="C14561" t="inlineStr">
        <is>
          <t>1939-10-02</t>
        </is>
      </c>
    </row>
    <row r="14562">
      <c r="A14562" s="1" t="n">
        <v>14561</v>
      </c>
      <c r="B14562">
        <f>TEXT(14561, "[$-0E0000]yyyy-mm-dd")</f>
        <v/>
      </c>
      <c r="C14562" t="inlineStr">
        <is>
          <t>1939-10-03</t>
        </is>
      </c>
    </row>
    <row r="14563">
      <c r="A14563" s="1" t="n">
        <v>14562</v>
      </c>
      <c r="B14563">
        <f>TEXT(14562, "[$-0E0000]yyyy-mm-dd")</f>
        <v/>
      </c>
      <c r="C14563" t="inlineStr">
        <is>
          <t>1939-10-04</t>
        </is>
      </c>
    </row>
    <row r="14564">
      <c r="A14564" s="1" t="n">
        <v>14563</v>
      </c>
      <c r="B14564">
        <f>TEXT(14563, "[$-0E0000]yyyy-mm-dd")</f>
        <v/>
      </c>
      <c r="C14564" t="inlineStr">
        <is>
          <t>1939-10-05</t>
        </is>
      </c>
    </row>
    <row r="14565">
      <c r="A14565" s="1" t="n">
        <v>14564</v>
      </c>
      <c r="B14565">
        <f>TEXT(14564, "[$-0E0000]yyyy-mm-dd")</f>
        <v/>
      </c>
      <c r="C14565" t="inlineStr">
        <is>
          <t>1939-10-06</t>
        </is>
      </c>
    </row>
    <row r="14566">
      <c r="A14566" s="1" t="n">
        <v>14565</v>
      </c>
      <c r="B14566">
        <f>TEXT(14565, "[$-0E0000]yyyy-mm-dd")</f>
        <v/>
      </c>
      <c r="C14566" t="inlineStr">
        <is>
          <t>1939-10-07</t>
        </is>
      </c>
    </row>
    <row r="14567">
      <c r="A14567" s="1" t="n">
        <v>14566</v>
      </c>
      <c r="B14567">
        <f>TEXT(14566, "[$-0E0000]yyyy-mm-dd")</f>
        <v/>
      </c>
      <c r="C14567" t="inlineStr">
        <is>
          <t>1939-10-08</t>
        </is>
      </c>
    </row>
    <row r="14568">
      <c r="A14568" s="1" t="n">
        <v>14567</v>
      </c>
      <c r="B14568">
        <f>TEXT(14567, "[$-0E0000]yyyy-mm-dd")</f>
        <v/>
      </c>
      <c r="C14568" t="inlineStr">
        <is>
          <t>1939-10-09</t>
        </is>
      </c>
    </row>
    <row r="14569">
      <c r="A14569" s="1" t="n">
        <v>14568</v>
      </c>
      <c r="B14569">
        <f>TEXT(14568, "[$-0E0000]yyyy-mm-dd")</f>
        <v/>
      </c>
      <c r="C14569" t="inlineStr">
        <is>
          <t>1939-10-10</t>
        </is>
      </c>
    </row>
    <row r="14570">
      <c r="A14570" s="1" t="n">
        <v>14569</v>
      </c>
      <c r="B14570">
        <f>TEXT(14569, "[$-0E0000]yyyy-mm-dd")</f>
        <v/>
      </c>
      <c r="C14570" t="inlineStr">
        <is>
          <t>1939-10-11</t>
        </is>
      </c>
    </row>
    <row r="14571">
      <c r="A14571" s="1" t="n">
        <v>14570</v>
      </c>
      <c r="B14571">
        <f>TEXT(14570, "[$-0E0000]yyyy-mm-dd")</f>
        <v/>
      </c>
      <c r="C14571" t="inlineStr">
        <is>
          <t>1939-10-12</t>
        </is>
      </c>
    </row>
    <row r="14572">
      <c r="A14572" s="1" t="n">
        <v>14571</v>
      </c>
      <c r="B14572">
        <f>TEXT(14571, "[$-0E0000]yyyy-mm-dd")</f>
        <v/>
      </c>
      <c r="C14572" t="inlineStr">
        <is>
          <t>1939-10-13</t>
        </is>
      </c>
    </row>
    <row r="14573">
      <c r="A14573" s="1" t="n">
        <v>14572</v>
      </c>
      <c r="B14573">
        <f>TEXT(14572, "[$-0E0000]yyyy-mm-dd")</f>
        <v/>
      </c>
      <c r="C14573" t="inlineStr">
        <is>
          <t>1939-10-14</t>
        </is>
      </c>
    </row>
    <row r="14574">
      <c r="A14574" s="1" t="n">
        <v>14573</v>
      </c>
      <c r="B14574">
        <f>TEXT(14573, "[$-0E0000]yyyy-mm-dd")</f>
        <v/>
      </c>
      <c r="C14574" t="inlineStr">
        <is>
          <t>1939-10-15</t>
        </is>
      </c>
    </row>
    <row r="14575">
      <c r="A14575" s="1" t="n">
        <v>14574</v>
      </c>
      <c r="B14575">
        <f>TEXT(14574, "[$-0E0000]yyyy-mm-dd")</f>
        <v/>
      </c>
      <c r="C14575" t="inlineStr">
        <is>
          <t>1939-10-16</t>
        </is>
      </c>
    </row>
    <row r="14576">
      <c r="A14576" s="1" t="n">
        <v>14575</v>
      </c>
      <c r="B14576">
        <f>TEXT(14575, "[$-0E0000]yyyy-mm-dd")</f>
        <v/>
      </c>
      <c r="C14576" t="inlineStr">
        <is>
          <t>1939-10-17</t>
        </is>
      </c>
    </row>
    <row r="14577">
      <c r="A14577" s="1" t="n">
        <v>14576</v>
      </c>
      <c r="B14577">
        <f>TEXT(14576, "[$-0E0000]yyyy-mm-dd")</f>
        <v/>
      </c>
      <c r="C14577" t="inlineStr">
        <is>
          <t>1939-10-18</t>
        </is>
      </c>
    </row>
    <row r="14578">
      <c r="A14578" s="1" t="n">
        <v>14577</v>
      </c>
      <c r="B14578">
        <f>TEXT(14577, "[$-0E0000]yyyy-mm-dd")</f>
        <v/>
      </c>
      <c r="C14578" t="inlineStr">
        <is>
          <t>1939-10-19</t>
        </is>
      </c>
    </row>
    <row r="14579">
      <c r="A14579" s="1" t="n">
        <v>14578</v>
      </c>
      <c r="B14579">
        <f>TEXT(14578, "[$-0E0000]yyyy-mm-dd")</f>
        <v/>
      </c>
      <c r="C14579" t="inlineStr">
        <is>
          <t>1939-10-20</t>
        </is>
      </c>
    </row>
    <row r="14580">
      <c r="A14580" s="1" t="n">
        <v>14579</v>
      </c>
      <c r="B14580">
        <f>TEXT(14579, "[$-0E0000]yyyy-mm-dd")</f>
        <v/>
      </c>
      <c r="C14580" t="inlineStr">
        <is>
          <t>1939-10-21</t>
        </is>
      </c>
    </row>
    <row r="14581">
      <c r="A14581" s="1" t="n">
        <v>14580</v>
      </c>
      <c r="B14581">
        <f>TEXT(14580, "[$-0E0000]yyyy-mm-dd")</f>
        <v/>
      </c>
      <c r="C14581" t="inlineStr">
        <is>
          <t>1939-10-22</t>
        </is>
      </c>
    </row>
    <row r="14582">
      <c r="A14582" s="1" t="n">
        <v>14581</v>
      </c>
      <c r="B14582">
        <f>TEXT(14581, "[$-0E0000]yyyy-mm-dd")</f>
        <v/>
      </c>
      <c r="C14582" t="inlineStr">
        <is>
          <t>1939-10-23</t>
        </is>
      </c>
    </row>
    <row r="14583">
      <c r="A14583" s="1" t="n">
        <v>14582</v>
      </c>
      <c r="B14583">
        <f>TEXT(14582, "[$-0E0000]yyyy-mm-dd")</f>
        <v/>
      </c>
      <c r="C14583" t="inlineStr">
        <is>
          <t>1939-10-24</t>
        </is>
      </c>
    </row>
    <row r="14584">
      <c r="A14584" s="1" t="n">
        <v>14583</v>
      </c>
      <c r="B14584">
        <f>TEXT(14583, "[$-0E0000]yyyy-mm-dd")</f>
        <v/>
      </c>
      <c r="C14584" t="inlineStr">
        <is>
          <t>1939-10-25</t>
        </is>
      </c>
    </row>
    <row r="14585">
      <c r="A14585" s="1" t="n">
        <v>14584</v>
      </c>
      <c r="B14585">
        <f>TEXT(14584, "[$-0E0000]yyyy-mm-dd")</f>
        <v/>
      </c>
      <c r="C14585" t="inlineStr">
        <is>
          <t>1939-10-26</t>
        </is>
      </c>
    </row>
    <row r="14586">
      <c r="A14586" s="1" t="n">
        <v>14585</v>
      </c>
      <c r="B14586">
        <f>TEXT(14585, "[$-0E0000]yyyy-mm-dd")</f>
        <v/>
      </c>
      <c r="C14586" t="inlineStr">
        <is>
          <t>1939-10-27</t>
        </is>
      </c>
    </row>
    <row r="14587">
      <c r="A14587" s="1" t="n">
        <v>14586</v>
      </c>
      <c r="B14587">
        <f>TEXT(14586, "[$-0E0000]yyyy-mm-dd")</f>
        <v/>
      </c>
      <c r="C14587" t="inlineStr">
        <is>
          <t>1939-10-28</t>
        </is>
      </c>
    </row>
    <row r="14588">
      <c r="A14588" s="1" t="n">
        <v>14587</v>
      </c>
      <c r="B14588">
        <f>TEXT(14587, "[$-0E0000]yyyy-mm-dd")</f>
        <v/>
      </c>
      <c r="C14588" t="inlineStr">
        <is>
          <t>1939-10-29</t>
        </is>
      </c>
    </row>
    <row r="14589">
      <c r="A14589" s="1" t="n">
        <v>14588</v>
      </c>
      <c r="B14589">
        <f>TEXT(14588, "[$-0E0000]yyyy-mm-dd")</f>
        <v/>
      </c>
      <c r="C14589" t="inlineStr">
        <is>
          <t>1939-10-30</t>
        </is>
      </c>
    </row>
    <row r="14590">
      <c r="A14590" s="1" t="n">
        <v>14589</v>
      </c>
      <c r="B14590">
        <f>TEXT(14589, "[$-0E0000]yyyy-mm-dd")</f>
        <v/>
      </c>
      <c r="C14590" t="inlineStr">
        <is>
          <t>1939-11-01</t>
        </is>
      </c>
    </row>
    <row r="14591">
      <c r="A14591" s="1" t="n">
        <v>14590</v>
      </c>
      <c r="B14591">
        <f>TEXT(14590, "[$-0E0000]yyyy-mm-dd")</f>
        <v/>
      </c>
      <c r="C14591" t="inlineStr">
        <is>
          <t>1939-11-02</t>
        </is>
      </c>
    </row>
    <row r="14592">
      <c r="A14592" s="1" t="n">
        <v>14591</v>
      </c>
      <c r="B14592">
        <f>TEXT(14591, "[$-0E0000]yyyy-mm-dd")</f>
        <v/>
      </c>
      <c r="C14592" t="inlineStr">
        <is>
          <t>1939-11-03</t>
        </is>
      </c>
    </row>
    <row r="14593">
      <c r="A14593" s="1" t="n">
        <v>14592</v>
      </c>
      <c r="B14593">
        <f>TEXT(14592, "[$-0E0000]yyyy-mm-dd")</f>
        <v/>
      </c>
      <c r="C14593" t="inlineStr">
        <is>
          <t>1939-11-04</t>
        </is>
      </c>
    </row>
    <row r="14594">
      <c r="A14594" s="1" t="n">
        <v>14593</v>
      </c>
      <c r="B14594">
        <f>TEXT(14593, "[$-0E0000]yyyy-mm-dd")</f>
        <v/>
      </c>
      <c r="C14594" t="inlineStr">
        <is>
          <t>1939-11-05</t>
        </is>
      </c>
    </row>
    <row r="14595">
      <c r="A14595" s="1" t="n">
        <v>14594</v>
      </c>
      <c r="B14595">
        <f>TEXT(14594, "[$-0E0000]yyyy-mm-dd")</f>
        <v/>
      </c>
      <c r="C14595" t="inlineStr">
        <is>
          <t>1939-11-06</t>
        </is>
      </c>
    </row>
    <row r="14596">
      <c r="A14596" s="1" t="n">
        <v>14595</v>
      </c>
      <c r="B14596">
        <f>TEXT(14595, "[$-0E0000]yyyy-mm-dd")</f>
        <v/>
      </c>
      <c r="C14596" t="inlineStr">
        <is>
          <t>1939-11-07</t>
        </is>
      </c>
    </row>
    <row r="14597">
      <c r="A14597" s="1" t="n">
        <v>14596</v>
      </c>
      <c r="B14597">
        <f>TEXT(14596, "[$-0E0000]yyyy-mm-dd")</f>
        <v/>
      </c>
      <c r="C14597" t="inlineStr">
        <is>
          <t>1939-11-08</t>
        </is>
      </c>
    </row>
    <row r="14598">
      <c r="A14598" s="1" t="n">
        <v>14597</v>
      </c>
      <c r="B14598">
        <f>TEXT(14597, "[$-0E0000]yyyy-mm-dd")</f>
        <v/>
      </c>
      <c r="C14598" t="inlineStr">
        <is>
          <t>1939-11-09</t>
        </is>
      </c>
    </row>
    <row r="14599">
      <c r="A14599" s="1" t="n">
        <v>14598</v>
      </c>
      <c r="B14599">
        <f>TEXT(14598, "[$-0E0000]yyyy-mm-dd")</f>
        <v/>
      </c>
      <c r="C14599" t="inlineStr">
        <is>
          <t>1939-11-10</t>
        </is>
      </c>
    </row>
    <row r="14600">
      <c r="A14600" s="1" t="n">
        <v>14599</v>
      </c>
      <c r="B14600">
        <f>TEXT(14599, "[$-0E0000]yyyy-mm-dd")</f>
        <v/>
      </c>
      <c r="C14600" t="inlineStr">
        <is>
          <t>1939-11-11</t>
        </is>
      </c>
    </row>
    <row r="14601">
      <c r="A14601" s="1" t="n">
        <v>14600</v>
      </c>
      <c r="B14601">
        <f>TEXT(14600, "[$-0E0000]yyyy-mm-dd")</f>
        <v/>
      </c>
      <c r="C14601" t="inlineStr">
        <is>
          <t>1939-11-12</t>
        </is>
      </c>
    </row>
    <row r="14602">
      <c r="A14602" s="1" t="n">
        <v>14601</v>
      </c>
      <c r="B14602">
        <f>TEXT(14601, "[$-0E0000]yyyy-mm-dd")</f>
        <v/>
      </c>
      <c r="C14602" t="inlineStr">
        <is>
          <t>1939-11-13</t>
        </is>
      </c>
    </row>
    <row r="14603">
      <c r="A14603" s="1" t="n">
        <v>14602</v>
      </c>
      <c r="B14603">
        <f>TEXT(14602, "[$-0E0000]yyyy-mm-dd")</f>
        <v/>
      </c>
      <c r="C14603" t="inlineStr">
        <is>
          <t>1939-11-14</t>
        </is>
      </c>
    </row>
    <row r="14604">
      <c r="A14604" s="1" t="n">
        <v>14603</v>
      </c>
      <c r="B14604">
        <f>TEXT(14603, "[$-0E0000]yyyy-mm-dd")</f>
        <v/>
      </c>
      <c r="C14604" t="inlineStr">
        <is>
          <t>1939-11-15</t>
        </is>
      </c>
    </row>
    <row r="14605">
      <c r="A14605" s="1" t="n">
        <v>14604</v>
      </c>
      <c r="B14605">
        <f>TEXT(14604, "[$-0E0000]yyyy-mm-dd")</f>
        <v/>
      </c>
      <c r="C14605" t="inlineStr">
        <is>
          <t>1939-11-16</t>
        </is>
      </c>
    </row>
    <row r="14606">
      <c r="A14606" s="1" t="n">
        <v>14605</v>
      </c>
      <c r="B14606">
        <f>TEXT(14605, "[$-0E0000]yyyy-mm-dd")</f>
        <v/>
      </c>
      <c r="C14606" t="inlineStr">
        <is>
          <t>1939-11-17</t>
        </is>
      </c>
    </row>
    <row r="14607">
      <c r="A14607" s="1" t="n">
        <v>14606</v>
      </c>
      <c r="B14607">
        <f>TEXT(14606, "[$-0E0000]yyyy-mm-dd")</f>
        <v/>
      </c>
      <c r="C14607" t="inlineStr">
        <is>
          <t>1939-11-18</t>
        </is>
      </c>
    </row>
    <row r="14608">
      <c r="A14608" s="1" t="n">
        <v>14607</v>
      </c>
      <c r="B14608">
        <f>TEXT(14607, "[$-0E0000]yyyy-mm-dd")</f>
        <v/>
      </c>
      <c r="C14608" t="inlineStr">
        <is>
          <t>1939-11-19</t>
        </is>
      </c>
    </row>
    <row r="14609">
      <c r="A14609" s="1" t="n">
        <v>14608</v>
      </c>
      <c r="B14609">
        <f>TEXT(14608, "[$-0E0000]yyyy-mm-dd")</f>
        <v/>
      </c>
      <c r="C14609" t="inlineStr">
        <is>
          <t>1939-11-20</t>
        </is>
      </c>
    </row>
    <row r="14610">
      <c r="A14610" s="1" t="n">
        <v>14609</v>
      </c>
      <c r="B14610">
        <f>TEXT(14609, "[$-0E0000]yyyy-mm-dd")</f>
        <v/>
      </c>
      <c r="C14610" t="inlineStr">
        <is>
          <t>1939-11-21</t>
        </is>
      </c>
    </row>
    <row r="14611">
      <c r="A14611" s="1" t="n">
        <v>14610</v>
      </c>
      <c r="B14611">
        <f>TEXT(14610, "[$-0E0000]yyyy-mm-dd")</f>
        <v/>
      </c>
      <c r="C14611" t="inlineStr">
        <is>
          <t>1939-11-22</t>
        </is>
      </c>
    </row>
    <row r="14612">
      <c r="A14612" s="1" t="n">
        <v>14611</v>
      </c>
      <c r="B14612">
        <f>TEXT(14611, "[$-0E0000]yyyy-mm-dd")</f>
        <v/>
      </c>
      <c r="C14612" t="inlineStr">
        <is>
          <t>1939-11-23</t>
        </is>
      </c>
    </row>
    <row r="14613">
      <c r="A14613" s="1" t="n">
        <v>14612</v>
      </c>
      <c r="B14613">
        <f>TEXT(14612, "[$-0E0000]yyyy-mm-dd")</f>
        <v/>
      </c>
      <c r="C14613" t="inlineStr">
        <is>
          <t>1939-11-24</t>
        </is>
      </c>
    </row>
    <row r="14614">
      <c r="A14614" s="1" t="n">
        <v>14613</v>
      </c>
      <c r="B14614">
        <f>TEXT(14613, "[$-0E0000]yyyy-mm-dd")</f>
        <v/>
      </c>
      <c r="C14614" t="inlineStr">
        <is>
          <t>1939-11-25</t>
        </is>
      </c>
    </row>
    <row r="14615">
      <c r="A14615" s="1" t="n">
        <v>14614</v>
      </c>
      <c r="B14615">
        <f>TEXT(14614, "[$-0E0000]yyyy-mm-dd")</f>
        <v/>
      </c>
      <c r="C14615" t="inlineStr">
        <is>
          <t>1939-11-26</t>
        </is>
      </c>
    </row>
    <row r="14616">
      <c r="A14616" s="1" t="n">
        <v>14615</v>
      </c>
      <c r="B14616">
        <f>TEXT(14615, "[$-0E0000]yyyy-mm-dd")</f>
        <v/>
      </c>
      <c r="C14616" t="inlineStr">
        <is>
          <t>1939-11-27</t>
        </is>
      </c>
    </row>
    <row r="14617">
      <c r="A14617" s="1" t="n">
        <v>14616</v>
      </c>
      <c r="B14617">
        <f>TEXT(14616, "[$-0E0000]yyyy-mm-dd")</f>
        <v/>
      </c>
      <c r="C14617" t="inlineStr">
        <is>
          <t>1939-11-28</t>
        </is>
      </c>
    </row>
    <row r="14618">
      <c r="A14618" s="1" t="n">
        <v>14617</v>
      </c>
      <c r="B14618">
        <f>TEXT(14617, "[$-0E0000]yyyy-mm-dd")</f>
        <v/>
      </c>
      <c r="C14618" t="inlineStr">
        <is>
          <t>1939-11-29</t>
        </is>
      </c>
    </row>
    <row r="14619">
      <c r="A14619" s="1" t="n">
        <v>14618</v>
      </c>
      <c r="B14619">
        <f>TEXT(14618, "[$-0E0000]yyyy-mm-dd")</f>
        <v/>
      </c>
      <c r="C14619" t="inlineStr">
        <is>
          <t>1939-12-01</t>
        </is>
      </c>
    </row>
    <row r="14620">
      <c r="A14620" s="1" t="n">
        <v>14619</v>
      </c>
      <c r="B14620">
        <f>TEXT(14619, "[$-0E0000]yyyy-mm-dd")</f>
        <v/>
      </c>
      <c r="C14620" t="inlineStr">
        <is>
          <t>1939-12-02</t>
        </is>
      </c>
    </row>
    <row r="14621">
      <c r="A14621" s="1" t="n">
        <v>14620</v>
      </c>
      <c r="B14621">
        <f>TEXT(14620, "[$-0E0000]yyyy-mm-dd")</f>
        <v/>
      </c>
      <c r="C14621" t="inlineStr">
        <is>
          <t>1939-12-03</t>
        </is>
      </c>
    </row>
    <row r="14622">
      <c r="A14622" s="1" t="n">
        <v>14621</v>
      </c>
      <c r="B14622">
        <f>TEXT(14621, "[$-0E0000]yyyy-mm-dd")</f>
        <v/>
      </c>
      <c r="C14622" t="inlineStr">
        <is>
          <t>1939-12-04</t>
        </is>
      </c>
    </row>
    <row r="14623">
      <c r="A14623" s="1" t="n">
        <v>14622</v>
      </c>
      <c r="B14623">
        <f>TEXT(14622, "[$-0E0000]yyyy-mm-dd")</f>
        <v/>
      </c>
      <c r="C14623" t="inlineStr">
        <is>
          <t>1939-12-05</t>
        </is>
      </c>
    </row>
    <row r="14624">
      <c r="A14624" s="1" t="n">
        <v>14623</v>
      </c>
      <c r="B14624">
        <f>TEXT(14623, "[$-0E0000]yyyy-mm-dd")</f>
        <v/>
      </c>
      <c r="C14624" t="inlineStr">
        <is>
          <t>1939-12-06</t>
        </is>
      </c>
    </row>
    <row r="14625">
      <c r="A14625" s="1" t="n">
        <v>14624</v>
      </c>
      <c r="B14625">
        <f>TEXT(14624, "[$-0E0000]yyyy-mm-dd")</f>
        <v/>
      </c>
      <c r="C14625" t="inlineStr">
        <is>
          <t>1939-12-07</t>
        </is>
      </c>
    </row>
    <row r="14626">
      <c r="A14626" s="1" t="n">
        <v>14625</v>
      </c>
      <c r="B14626">
        <f>TEXT(14625, "[$-0E0000]yyyy-mm-dd")</f>
        <v/>
      </c>
      <c r="C14626" t="inlineStr">
        <is>
          <t>1939-12-08</t>
        </is>
      </c>
    </row>
    <row r="14627">
      <c r="A14627" s="1" t="n">
        <v>14626</v>
      </c>
      <c r="B14627">
        <f>TEXT(14626, "[$-0E0000]yyyy-mm-dd")</f>
        <v/>
      </c>
      <c r="C14627" t="inlineStr">
        <is>
          <t>1939-12-09</t>
        </is>
      </c>
    </row>
    <row r="14628">
      <c r="A14628" s="1" t="n">
        <v>14627</v>
      </c>
      <c r="B14628">
        <f>TEXT(14627, "[$-0E0000]yyyy-mm-dd")</f>
        <v/>
      </c>
      <c r="C14628" t="inlineStr">
        <is>
          <t>1939-12-10</t>
        </is>
      </c>
    </row>
    <row r="14629">
      <c r="A14629" s="1" t="n">
        <v>14628</v>
      </c>
      <c r="B14629">
        <f>TEXT(14628, "[$-0E0000]yyyy-mm-dd")</f>
        <v/>
      </c>
      <c r="C14629" t="inlineStr">
        <is>
          <t>1939-12-11</t>
        </is>
      </c>
    </row>
    <row r="14630">
      <c r="A14630" s="1" t="n">
        <v>14629</v>
      </c>
      <c r="B14630">
        <f>TEXT(14629, "[$-0E0000]yyyy-mm-dd")</f>
        <v/>
      </c>
      <c r="C14630" t="inlineStr">
        <is>
          <t>1939-12-12</t>
        </is>
      </c>
    </row>
    <row r="14631">
      <c r="A14631" s="1" t="n">
        <v>14630</v>
      </c>
      <c r="B14631">
        <f>TEXT(14630, "[$-0E0000]yyyy-mm-dd")</f>
        <v/>
      </c>
      <c r="C14631" t="inlineStr">
        <is>
          <t>1939-12-13</t>
        </is>
      </c>
    </row>
    <row r="14632">
      <c r="A14632" s="1" t="n">
        <v>14631</v>
      </c>
      <c r="B14632">
        <f>TEXT(14631, "[$-0E0000]yyyy-mm-dd")</f>
        <v/>
      </c>
      <c r="C14632" t="inlineStr">
        <is>
          <t>1939-12-14</t>
        </is>
      </c>
    </row>
    <row r="14633">
      <c r="A14633" s="1" t="n">
        <v>14632</v>
      </c>
      <c r="B14633">
        <f>TEXT(14632, "[$-0E0000]yyyy-mm-dd")</f>
        <v/>
      </c>
      <c r="C14633" t="inlineStr">
        <is>
          <t>1939-12-15</t>
        </is>
      </c>
    </row>
    <row r="14634">
      <c r="A14634" s="1" t="n">
        <v>14633</v>
      </c>
      <c r="B14634">
        <f>TEXT(14633, "[$-0E0000]yyyy-mm-dd")</f>
        <v/>
      </c>
      <c r="C14634" t="inlineStr">
        <is>
          <t>1939-12-16</t>
        </is>
      </c>
    </row>
    <row r="14635">
      <c r="A14635" s="1" t="n">
        <v>14634</v>
      </c>
      <c r="B14635">
        <f>TEXT(14634, "[$-0E0000]yyyy-mm-dd")</f>
        <v/>
      </c>
      <c r="C14635" t="inlineStr">
        <is>
          <t>1939-12-17</t>
        </is>
      </c>
    </row>
    <row r="14636">
      <c r="A14636" s="1" t="n">
        <v>14635</v>
      </c>
      <c r="B14636">
        <f>TEXT(14635, "[$-0E0000]yyyy-mm-dd")</f>
        <v/>
      </c>
      <c r="C14636" t="inlineStr">
        <is>
          <t>1939-12-18</t>
        </is>
      </c>
    </row>
    <row r="14637">
      <c r="A14637" s="1" t="n">
        <v>14636</v>
      </c>
      <c r="B14637">
        <f>TEXT(14636, "[$-0E0000]yyyy-mm-dd")</f>
        <v/>
      </c>
      <c r="C14637" t="inlineStr">
        <is>
          <t>1939-12-19</t>
        </is>
      </c>
    </row>
    <row r="14638">
      <c r="A14638" s="1" t="n">
        <v>14637</v>
      </c>
      <c r="B14638">
        <f>TEXT(14637, "[$-0E0000]yyyy-mm-dd")</f>
        <v/>
      </c>
      <c r="C14638" t="inlineStr">
        <is>
          <t>1939-12-20</t>
        </is>
      </c>
    </row>
    <row r="14639">
      <c r="A14639" s="1" t="n">
        <v>14638</v>
      </c>
      <c r="B14639">
        <f>TEXT(14638, "[$-0E0000]yyyy-mm-dd")</f>
        <v/>
      </c>
      <c r="C14639" t="inlineStr">
        <is>
          <t>1939-12-21</t>
        </is>
      </c>
    </row>
    <row r="14640">
      <c r="A14640" s="1" t="n">
        <v>14639</v>
      </c>
      <c r="B14640">
        <f>TEXT(14639, "[$-0E0000]yyyy-mm-dd")</f>
        <v/>
      </c>
      <c r="C14640" t="inlineStr">
        <is>
          <t>1939-12-22</t>
        </is>
      </c>
    </row>
    <row r="14641">
      <c r="A14641" s="1" t="n">
        <v>14640</v>
      </c>
      <c r="B14641">
        <f>TEXT(14640, "[$-0E0000]yyyy-mm-dd")</f>
        <v/>
      </c>
      <c r="C14641" t="inlineStr">
        <is>
          <t>1939-12-23</t>
        </is>
      </c>
    </row>
    <row r="14642">
      <c r="A14642" s="1" t="n">
        <v>14641</v>
      </c>
      <c r="B14642">
        <f>TEXT(14641, "[$-0E0000]yyyy-mm-dd")</f>
        <v/>
      </c>
      <c r="C14642" t="inlineStr">
        <is>
          <t>1939-12-24</t>
        </is>
      </c>
    </row>
    <row r="14643">
      <c r="A14643" s="1" t="n">
        <v>14642</v>
      </c>
      <c r="B14643">
        <f>TEXT(14642, "[$-0E0000]yyyy-mm-dd")</f>
        <v/>
      </c>
      <c r="C14643" t="inlineStr">
        <is>
          <t>1939-12-25</t>
        </is>
      </c>
    </row>
    <row r="14644">
      <c r="A14644" s="1" t="n">
        <v>14643</v>
      </c>
      <c r="B14644">
        <f>TEXT(14643, "[$-0E0000]yyyy-mm-dd")</f>
        <v/>
      </c>
      <c r="C14644" t="inlineStr">
        <is>
          <t>1939-12-26</t>
        </is>
      </c>
    </row>
    <row r="14645">
      <c r="A14645" s="1" t="n">
        <v>14644</v>
      </c>
      <c r="B14645">
        <f>TEXT(14644, "[$-0E0000]yyyy-mm-dd")</f>
        <v/>
      </c>
      <c r="C14645" t="inlineStr">
        <is>
          <t>1939-12-27</t>
        </is>
      </c>
    </row>
    <row r="14646">
      <c r="A14646" s="1" t="n">
        <v>14645</v>
      </c>
      <c r="B14646">
        <f>TEXT(14645, "[$-0E0000]yyyy-mm-dd")</f>
        <v/>
      </c>
      <c r="C14646" t="inlineStr">
        <is>
          <t>1939-12-28</t>
        </is>
      </c>
    </row>
    <row r="14647">
      <c r="A14647" s="1" t="n">
        <v>14646</v>
      </c>
      <c r="B14647">
        <f>TEXT(14646, "[$-0E0000]yyyy-mm-dd")</f>
        <v/>
      </c>
      <c r="C14647" t="inlineStr">
        <is>
          <t>1939-12-29</t>
        </is>
      </c>
    </row>
    <row r="14648">
      <c r="A14648" s="1" t="n">
        <v>14647</v>
      </c>
      <c r="B14648">
        <f>TEXT(14647, "[$-0E0000]yyyy-mm-dd")</f>
        <v/>
      </c>
      <c r="C14648" t="inlineStr">
        <is>
          <t>1939-12-30</t>
        </is>
      </c>
    </row>
    <row r="14649">
      <c r="A14649" s="1" t="n">
        <v>14648</v>
      </c>
      <c r="B14649">
        <f>TEXT(14648, "[$-0E0000]yyyy-mm-dd")</f>
        <v/>
      </c>
      <c r="C14649" t="inlineStr">
        <is>
          <t>1940-01-01</t>
        </is>
      </c>
    </row>
    <row r="14650">
      <c r="A14650" s="1" t="n">
        <v>14649</v>
      </c>
      <c r="B14650">
        <f>TEXT(14649, "[$-0E0000]yyyy-mm-dd")</f>
        <v/>
      </c>
      <c r="C14650" t="inlineStr">
        <is>
          <t>1940-01-02</t>
        </is>
      </c>
    </row>
    <row r="14651">
      <c r="A14651" s="1" t="n">
        <v>14650</v>
      </c>
      <c r="B14651">
        <f>TEXT(14650, "[$-0E0000]yyyy-mm-dd")</f>
        <v/>
      </c>
      <c r="C14651" t="inlineStr">
        <is>
          <t>1940-01-03</t>
        </is>
      </c>
    </row>
    <row r="14652">
      <c r="A14652" s="1" t="n">
        <v>14651</v>
      </c>
      <c r="B14652">
        <f>TEXT(14651, "[$-0E0000]yyyy-mm-dd")</f>
        <v/>
      </c>
      <c r="C14652" t="inlineStr">
        <is>
          <t>1940-01-04</t>
        </is>
      </c>
    </row>
    <row r="14653">
      <c r="A14653" s="1" t="n">
        <v>14652</v>
      </c>
      <c r="B14653">
        <f>TEXT(14652, "[$-0E0000]yyyy-mm-dd")</f>
        <v/>
      </c>
      <c r="C14653" t="inlineStr">
        <is>
          <t>1940-01-05</t>
        </is>
      </c>
    </row>
    <row r="14654">
      <c r="A14654" s="1" t="n">
        <v>14653</v>
      </c>
      <c r="B14654">
        <f>TEXT(14653, "[$-0E0000]yyyy-mm-dd")</f>
        <v/>
      </c>
      <c r="C14654" t="inlineStr">
        <is>
          <t>1940-01-06</t>
        </is>
      </c>
    </row>
    <row r="14655">
      <c r="A14655" s="1" t="n">
        <v>14654</v>
      </c>
      <c r="B14655">
        <f>TEXT(14654, "[$-0E0000]yyyy-mm-dd")</f>
        <v/>
      </c>
      <c r="C14655" t="inlineStr">
        <is>
          <t>1940-01-07</t>
        </is>
      </c>
    </row>
    <row r="14656">
      <c r="A14656" s="1" t="n">
        <v>14655</v>
      </c>
      <c r="B14656">
        <f>TEXT(14655, "[$-0E0000]yyyy-mm-dd")</f>
        <v/>
      </c>
      <c r="C14656" t="inlineStr">
        <is>
          <t>1940-01-08</t>
        </is>
      </c>
    </row>
    <row r="14657">
      <c r="A14657" s="1" t="n">
        <v>14656</v>
      </c>
      <c r="B14657">
        <f>TEXT(14656, "[$-0E0000]yyyy-mm-dd")</f>
        <v/>
      </c>
      <c r="C14657" t="inlineStr">
        <is>
          <t>1940-01-09</t>
        </is>
      </c>
    </row>
    <row r="14658">
      <c r="A14658" s="1" t="n">
        <v>14657</v>
      </c>
      <c r="B14658">
        <f>TEXT(14657, "[$-0E0000]yyyy-mm-dd")</f>
        <v/>
      </c>
      <c r="C14658" t="inlineStr">
        <is>
          <t>1940-01-10</t>
        </is>
      </c>
    </row>
    <row r="14659">
      <c r="A14659" s="1" t="n">
        <v>14658</v>
      </c>
      <c r="B14659">
        <f>TEXT(14658, "[$-0E0000]yyyy-mm-dd")</f>
        <v/>
      </c>
      <c r="C14659" t="inlineStr">
        <is>
          <t>1940-01-11</t>
        </is>
      </c>
    </row>
    <row r="14660">
      <c r="A14660" s="1" t="n">
        <v>14659</v>
      </c>
      <c r="B14660">
        <f>TEXT(14659, "[$-0E0000]yyyy-mm-dd")</f>
        <v/>
      </c>
      <c r="C14660" t="inlineStr">
        <is>
          <t>1940-01-12</t>
        </is>
      </c>
    </row>
    <row r="14661">
      <c r="A14661" s="1" t="n">
        <v>14660</v>
      </c>
      <c r="B14661">
        <f>TEXT(14660, "[$-0E0000]yyyy-mm-dd")</f>
        <v/>
      </c>
      <c r="C14661" t="inlineStr">
        <is>
          <t>1940-01-13</t>
        </is>
      </c>
    </row>
    <row r="14662">
      <c r="A14662" s="1" t="n">
        <v>14661</v>
      </c>
      <c r="B14662">
        <f>TEXT(14661, "[$-0E0000]yyyy-mm-dd")</f>
        <v/>
      </c>
      <c r="C14662" t="inlineStr">
        <is>
          <t>1940-01-14</t>
        </is>
      </c>
    </row>
    <row r="14663">
      <c r="A14663" s="1" t="n">
        <v>14662</v>
      </c>
      <c r="B14663">
        <f>TEXT(14662, "[$-0E0000]yyyy-mm-dd")</f>
        <v/>
      </c>
      <c r="C14663" t="inlineStr">
        <is>
          <t>1940-01-15</t>
        </is>
      </c>
    </row>
    <row r="14664">
      <c r="A14664" s="1" t="n">
        <v>14663</v>
      </c>
      <c r="B14664">
        <f>TEXT(14663, "[$-0E0000]yyyy-mm-dd")</f>
        <v/>
      </c>
      <c r="C14664" t="inlineStr">
        <is>
          <t>1940-01-16</t>
        </is>
      </c>
    </row>
    <row r="14665">
      <c r="A14665" s="1" t="n">
        <v>14664</v>
      </c>
      <c r="B14665">
        <f>TEXT(14664, "[$-0E0000]yyyy-mm-dd")</f>
        <v/>
      </c>
      <c r="C14665" t="inlineStr">
        <is>
          <t>1940-01-17</t>
        </is>
      </c>
    </row>
    <row r="14666">
      <c r="A14666" s="1" t="n">
        <v>14665</v>
      </c>
      <c r="B14666">
        <f>TEXT(14665, "[$-0E0000]yyyy-mm-dd")</f>
        <v/>
      </c>
      <c r="C14666" t="inlineStr">
        <is>
          <t>1940-01-18</t>
        </is>
      </c>
    </row>
    <row r="14667">
      <c r="A14667" s="1" t="n">
        <v>14666</v>
      </c>
      <c r="B14667">
        <f>TEXT(14666, "[$-0E0000]yyyy-mm-dd")</f>
        <v/>
      </c>
      <c r="C14667" t="inlineStr">
        <is>
          <t>1940-01-19</t>
        </is>
      </c>
    </row>
    <row r="14668">
      <c r="A14668" s="1" t="n">
        <v>14667</v>
      </c>
      <c r="B14668">
        <f>TEXT(14667, "[$-0E0000]yyyy-mm-dd")</f>
        <v/>
      </c>
      <c r="C14668" t="inlineStr">
        <is>
          <t>1940-01-20</t>
        </is>
      </c>
    </row>
    <row r="14669">
      <c r="A14669" s="1" t="n">
        <v>14668</v>
      </c>
      <c r="B14669">
        <f>TEXT(14668, "[$-0E0000]yyyy-mm-dd")</f>
        <v/>
      </c>
      <c r="C14669" t="inlineStr">
        <is>
          <t>1940-01-21</t>
        </is>
      </c>
    </row>
    <row r="14670">
      <c r="A14670" s="1" t="n">
        <v>14669</v>
      </c>
      <c r="B14670">
        <f>TEXT(14669, "[$-0E0000]yyyy-mm-dd")</f>
        <v/>
      </c>
      <c r="C14670" t="inlineStr">
        <is>
          <t>1940-01-22</t>
        </is>
      </c>
    </row>
    <row r="14671">
      <c r="A14671" s="1" t="n">
        <v>14670</v>
      </c>
      <c r="B14671">
        <f>TEXT(14670, "[$-0E0000]yyyy-mm-dd")</f>
        <v/>
      </c>
      <c r="C14671" t="inlineStr">
        <is>
          <t>1940-01-23</t>
        </is>
      </c>
    </row>
    <row r="14672">
      <c r="A14672" s="1" t="n">
        <v>14671</v>
      </c>
      <c r="B14672">
        <f>TEXT(14671, "[$-0E0000]yyyy-mm-dd")</f>
        <v/>
      </c>
      <c r="C14672" t="inlineStr">
        <is>
          <t>1940-01-24</t>
        </is>
      </c>
    </row>
    <row r="14673">
      <c r="A14673" s="1" t="n">
        <v>14672</v>
      </c>
      <c r="B14673">
        <f>TEXT(14672, "[$-0E0000]yyyy-mm-dd")</f>
        <v/>
      </c>
      <c r="C14673" t="inlineStr">
        <is>
          <t>1940-01-25</t>
        </is>
      </c>
    </row>
    <row r="14674">
      <c r="A14674" s="1" t="n">
        <v>14673</v>
      </c>
      <c r="B14674">
        <f>TEXT(14673, "[$-0E0000]yyyy-mm-dd")</f>
        <v/>
      </c>
      <c r="C14674" t="inlineStr">
        <is>
          <t>1940-01-26</t>
        </is>
      </c>
    </row>
    <row r="14675">
      <c r="A14675" s="1" t="n">
        <v>14674</v>
      </c>
      <c r="B14675">
        <f>TEXT(14674, "[$-0E0000]yyyy-mm-dd")</f>
        <v/>
      </c>
      <c r="C14675" t="inlineStr">
        <is>
          <t>1940-01-27</t>
        </is>
      </c>
    </row>
    <row r="14676">
      <c r="A14676" s="1" t="n">
        <v>14675</v>
      </c>
      <c r="B14676">
        <f>TEXT(14675, "[$-0E0000]yyyy-mm-dd")</f>
        <v/>
      </c>
      <c r="C14676" t="inlineStr">
        <is>
          <t>1940-01-28</t>
        </is>
      </c>
    </row>
    <row r="14677">
      <c r="A14677" s="1" t="n">
        <v>14676</v>
      </c>
      <c r="B14677">
        <f>TEXT(14676, "[$-0E0000]yyyy-mm-dd")</f>
        <v/>
      </c>
      <c r="C14677" t="inlineStr">
        <is>
          <t>1940-01-29</t>
        </is>
      </c>
    </row>
    <row r="14678">
      <c r="A14678" s="1" t="n">
        <v>14677</v>
      </c>
      <c r="B14678">
        <f>TEXT(14677, "[$-0E0000]yyyy-mm-dd")</f>
        <v/>
      </c>
      <c r="C14678" t="inlineStr">
        <is>
          <t>1940-01-30</t>
        </is>
      </c>
    </row>
    <row r="14679">
      <c r="A14679" s="1" t="n">
        <v>14678</v>
      </c>
      <c r="B14679">
        <f>TEXT(14678, "[$-0E0000]yyyy-mm-dd")</f>
        <v/>
      </c>
      <c r="C14679" t="inlineStr">
        <is>
          <t>1940-02-01</t>
        </is>
      </c>
    </row>
    <row r="14680">
      <c r="A14680" s="1" t="n">
        <v>14679</v>
      </c>
      <c r="B14680">
        <f>TEXT(14679, "[$-0E0000]yyyy-mm-dd")</f>
        <v/>
      </c>
      <c r="C14680" t="inlineStr">
        <is>
          <t>1940-02-02</t>
        </is>
      </c>
    </row>
    <row r="14681">
      <c r="A14681" s="1" t="n">
        <v>14680</v>
      </c>
      <c r="B14681">
        <f>TEXT(14680, "[$-0E0000]yyyy-mm-dd")</f>
        <v/>
      </c>
      <c r="C14681" t="inlineStr">
        <is>
          <t>1940-02-03</t>
        </is>
      </c>
    </row>
    <row r="14682">
      <c r="A14682" s="1" t="n">
        <v>14681</v>
      </c>
      <c r="B14682">
        <f>TEXT(14681, "[$-0E0000]yyyy-mm-dd")</f>
        <v/>
      </c>
      <c r="C14682" t="inlineStr">
        <is>
          <t>1940-02-04</t>
        </is>
      </c>
    </row>
    <row r="14683">
      <c r="A14683" s="1" t="n">
        <v>14682</v>
      </c>
      <c r="B14683">
        <f>TEXT(14682, "[$-0E0000]yyyy-mm-dd")</f>
        <v/>
      </c>
      <c r="C14683" t="inlineStr">
        <is>
          <t>1940-02-05</t>
        </is>
      </c>
    </row>
    <row r="14684">
      <c r="A14684" s="1" t="n">
        <v>14683</v>
      </c>
      <c r="B14684">
        <f>TEXT(14683, "[$-0E0000]yyyy-mm-dd")</f>
        <v/>
      </c>
      <c r="C14684" t="inlineStr">
        <is>
          <t>1940-02-06</t>
        </is>
      </c>
    </row>
    <row r="14685">
      <c r="A14685" s="1" t="n">
        <v>14684</v>
      </c>
      <c r="B14685">
        <f>TEXT(14684, "[$-0E0000]yyyy-mm-dd")</f>
        <v/>
      </c>
      <c r="C14685" t="inlineStr">
        <is>
          <t>1940-02-07</t>
        </is>
      </c>
    </row>
    <row r="14686">
      <c r="A14686" s="1" t="n">
        <v>14685</v>
      </c>
      <c r="B14686">
        <f>TEXT(14685, "[$-0E0000]yyyy-mm-dd")</f>
        <v/>
      </c>
      <c r="C14686" t="inlineStr">
        <is>
          <t>1940-02-08</t>
        </is>
      </c>
    </row>
    <row r="14687">
      <c r="A14687" s="1" t="n">
        <v>14686</v>
      </c>
      <c r="B14687">
        <f>TEXT(14686, "[$-0E0000]yyyy-mm-dd")</f>
        <v/>
      </c>
      <c r="C14687" t="inlineStr">
        <is>
          <t>1940-02-09</t>
        </is>
      </c>
    </row>
    <row r="14688">
      <c r="A14688" s="1" t="n">
        <v>14687</v>
      </c>
      <c r="B14688">
        <f>TEXT(14687, "[$-0E0000]yyyy-mm-dd")</f>
        <v/>
      </c>
      <c r="C14688" t="inlineStr">
        <is>
          <t>1940-02-10</t>
        </is>
      </c>
    </row>
    <row r="14689">
      <c r="A14689" s="1" t="n">
        <v>14688</v>
      </c>
      <c r="B14689">
        <f>TEXT(14688, "[$-0E0000]yyyy-mm-dd")</f>
        <v/>
      </c>
      <c r="C14689" t="inlineStr">
        <is>
          <t>1940-02-11</t>
        </is>
      </c>
    </row>
    <row r="14690">
      <c r="A14690" s="1" t="n">
        <v>14689</v>
      </c>
      <c r="B14690">
        <f>TEXT(14689, "[$-0E0000]yyyy-mm-dd")</f>
        <v/>
      </c>
      <c r="C14690" t="inlineStr">
        <is>
          <t>1940-02-12</t>
        </is>
      </c>
    </row>
    <row r="14691">
      <c r="A14691" s="1" t="n">
        <v>14690</v>
      </c>
      <c r="B14691">
        <f>TEXT(14690, "[$-0E0000]yyyy-mm-dd")</f>
        <v/>
      </c>
      <c r="C14691" t="inlineStr">
        <is>
          <t>1940-02-13</t>
        </is>
      </c>
    </row>
    <row r="14692">
      <c r="A14692" s="1" t="n">
        <v>14691</v>
      </c>
      <c r="B14692">
        <f>TEXT(14691, "[$-0E0000]yyyy-mm-dd")</f>
        <v/>
      </c>
      <c r="C14692" t="inlineStr">
        <is>
          <t>1940-02-14</t>
        </is>
      </c>
    </row>
    <row r="14693">
      <c r="A14693" s="1" t="n">
        <v>14692</v>
      </c>
      <c r="B14693">
        <f>TEXT(14692, "[$-0E0000]yyyy-mm-dd")</f>
        <v/>
      </c>
      <c r="C14693" t="inlineStr">
        <is>
          <t>1940-02-15</t>
        </is>
      </c>
    </row>
    <row r="14694">
      <c r="A14694" s="1" t="n">
        <v>14693</v>
      </c>
      <c r="B14694">
        <f>TEXT(14693, "[$-0E0000]yyyy-mm-dd")</f>
        <v/>
      </c>
      <c r="C14694" t="inlineStr">
        <is>
          <t>1940-02-16</t>
        </is>
      </c>
    </row>
    <row r="14695">
      <c r="A14695" s="1" t="n">
        <v>14694</v>
      </c>
      <c r="B14695">
        <f>TEXT(14694, "[$-0E0000]yyyy-mm-dd")</f>
        <v/>
      </c>
      <c r="C14695" t="inlineStr">
        <is>
          <t>1940-02-17</t>
        </is>
      </c>
    </row>
    <row r="14696">
      <c r="A14696" s="1" t="n">
        <v>14695</v>
      </c>
      <c r="B14696">
        <f>TEXT(14695, "[$-0E0000]yyyy-mm-dd")</f>
        <v/>
      </c>
      <c r="C14696" t="inlineStr">
        <is>
          <t>1940-02-18</t>
        </is>
      </c>
    </row>
    <row r="14697">
      <c r="A14697" s="1" t="n">
        <v>14696</v>
      </c>
      <c r="B14697">
        <f>TEXT(14696, "[$-0E0000]yyyy-mm-dd")</f>
        <v/>
      </c>
      <c r="C14697" t="inlineStr">
        <is>
          <t>1940-02-19</t>
        </is>
      </c>
    </row>
    <row r="14698">
      <c r="A14698" s="1" t="n">
        <v>14697</v>
      </c>
      <c r="B14698">
        <f>TEXT(14697, "[$-0E0000]yyyy-mm-dd")</f>
        <v/>
      </c>
      <c r="C14698" t="inlineStr">
        <is>
          <t>1940-02-20</t>
        </is>
      </c>
    </row>
    <row r="14699">
      <c r="A14699" s="1" t="n">
        <v>14698</v>
      </c>
      <c r="B14699">
        <f>TEXT(14698, "[$-0E0000]yyyy-mm-dd")</f>
        <v/>
      </c>
      <c r="C14699" t="inlineStr">
        <is>
          <t>1940-02-21</t>
        </is>
      </c>
    </row>
    <row r="14700">
      <c r="A14700" s="1" t="n">
        <v>14699</v>
      </c>
      <c r="B14700">
        <f>TEXT(14699, "[$-0E0000]yyyy-mm-dd")</f>
        <v/>
      </c>
      <c r="C14700" t="inlineStr">
        <is>
          <t>1940-02-22</t>
        </is>
      </c>
    </row>
    <row r="14701">
      <c r="A14701" s="1" t="n">
        <v>14700</v>
      </c>
      <c r="B14701">
        <f>TEXT(14700, "[$-0E0000]yyyy-mm-dd")</f>
        <v/>
      </c>
      <c r="C14701" t="inlineStr">
        <is>
          <t>1940-02-23</t>
        </is>
      </c>
    </row>
    <row r="14702">
      <c r="A14702" s="1" t="n">
        <v>14701</v>
      </c>
      <c r="B14702">
        <f>TEXT(14701, "[$-0E0000]yyyy-mm-dd")</f>
        <v/>
      </c>
      <c r="C14702" t="inlineStr">
        <is>
          <t>1940-02-24</t>
        </is>
      </c>
    </row>
    <row r="14703">
      <c r="A14703" s="1" t="n">
        <v>14702</v>
      </c>
      <c r="B14703">
        <f>TEXT(14702, "[$-0E0000]yyyy-mm-dd")</f>
        <v/>
      </c>
      <c r="C14703" t="inlineStr">
        <is>
          <t>1940-02-25</t>
        </is>
      </c>
    </row>
    <row r="14704">
      <c r="A14704" s="1" t="n">
        <v>14703</v>
      </c>
      <c r="B14704">
        <f>TEXT(14703, "[$-0E0000]yyyy-mm-dd")</f>
        <v/>
      </c>
      <c r="C14704" t="inlineStr">
        <is>
          <t>1940-02-26</t>
        </is>
      </c>
    </row>
    <row r="14705">
      <c r="A14705" s="1" t="n">
        <v>14704</v>
      </c>
      <c r="B14705">
        <f>TEXT(14704, "[$-0E0000]yyyy-mm-dd")</f>
        <v/>
      </c>
      <c r="C14705" t="inlineStr">
        <is>
          <t>1940-02-27</t>
        </is>
      </c>
    </row>
    <row r="14706">
      <c r="A14706" s="1" t="n">
        <v>14705</v>
      </c>
      <c r="B14706">
        <f>TEXT(14705, "[$-0E0000]yyyy-mm-dd")</f>
        <v/>
      </c>
      <c r="C14706" t="inlineStr">
        <is>
          <t>1940-02-28</t>
        </is>
      </c>
    </row>
    <row r="14707">
      <c r="A14707" s="1" t="n">
        <v>14706</v>
      </c>
      <c r="B14707">
        <f>TEXT(14706, "[$-0E0000]yyyy-mm-dd")</f>
        <v/>
      </c>
      <c r="C14707" t="inlineStr">
        <is>
          <t>1940-02-29</t>
        </is>
      </c>
    </row>
    <row r="14708">
      <c r="A14708" s="1" t="n">
        <v>14707</v>
      </c>
      <c r="B14708">
        <f>TEXT(14707, "[$-0E0000]yyyy-mm-dd")</f>
        <v/>
      </c>
      <c r="C14708" t="inlineStr">
        <is>
          <t>1940-02-30</t>
        </is>
      </c>
    </row>
    <row r="14709">
      <c r="A14709" s="1" t="n">
        <v>14708</v>
      </c>
      <c r="B14709">
        <f>TEXT(14708, "[$-0E0000]yyyy-mm-dd")</f>
        <v/>
      </c>
      <c r="C14709" t="inlineStr">
        <is>
          <t>1940-03-01</t>
        </is>
      </c>
    </row>
    <row r="14710">
      <c r="A14710" s="1" t="n">
        <v>14709</v>
      </c>
      <c r="B14710">
        <f>TEXT(14709, "[$-0E0000]yyyy-mm-dd")</f>
        <v/>
      </c>
      <c r="C14710" t="inlineStr">
        <is>
          <t>1940-03-02</t>
        </is>
      </c>
    </row>
    <row r="14711">
      <c r="A14711" s="1" t="n">
        <v>14710</v>
      </c>
      <c r="B14711">
        <f>TEXT(14710, "[$-0E0000]yyyy-mm-dd")</f>
        <v/>
      </c>
      <c r="C14711" t="inlineStr">
        <is>
          <t>1940-03-03</t>
        </is>
      </c>
    </row>
    <row r="14712">
      <c r="A14712" s="1" t="n">
        <v>14711</v>
      </c>
      <c r="B14712">
        <f>TEXT(14711, "[$-0E0000]yyyy-mm-dd")</f>
        <v/>
      </c>
      <c r="C14712" t="inlineStr">
        <is>
          <t>1940-03-04</t>
        </is>
      </c>
    </row>
    <row r="14713">
      <c r="A14713" s="1" t="n">
        <v>14712</v>
      </c>
      <c r="B14713">
        <f>TEXT(14712, "[$-0E0000]yyyy-mm-dd")</f>
        <v/>
      </c>
      <c r="C14713" t="inlineStr">
        <is>
          <t>1940-03-05</t>
        </is>
      </c>
    </row>
    <row r="14714">
      <c r="A14714" s="1" t="n">
        <v>14713</v>
      </c>
      <c r="B14714">
        <f>TEXT(14713, "[$-0E0000]yyyy-mm-dd")</f>
        <v/>
      </c>
      <c r="C14714" t="inlineStr">
        <is>
          <t>1940-03-06</t>
        </is>
      </c>
    </row>
    <row r="14715">
      <c r="A14715" s="1" t="n">
        <v>14714</v>
      </c>
      <c r="B14715">
        <f>TEXT(14714, "[$-0E0000]yyyy-mm-dd")</f>
        <v/>
      </c>
      <c r="C14715" t="inlineStr">
        <is>
          <t>1940-03-07</t>
        </is>
      </c>
    </row>
    <row r="14716">
      <c r="A14716" s="1" t="n">
        <v>14715</v>
      </c>
      <c r="B14716">
        <f>TEXT(14715, "[$-0E0000]yyyy-mm-dd")</f>
        <v/>
      </c>
      <c r="C14716" t="inlineStr">
        <is>
          <t>1940-03-08</t>
        </is>
      </c>
    </row>
    <row r="14717">
      <c r="A14717" s="1" t="n">
        <v>14716</v>
      </c>
      <c r="B14717">
        <f>TEXT(14716, "[$-0E0000]yyyy-mm-dd")</f>
        <v/>
      </c>
      <c r="C14717" t="inlineStr">
        <is>
          <t>1940-03-09</t>
        </is>
      </c>
    </row>
    <row r="14718">
      <c r="A14718" s="1" t="n">
        <v>14717</v>
      </c>
      <c r="B14718">
        <f>TEXT(14717, "[$-0E0000]yyyy-mm-dd")</f>
        <v/>
      </c>
      <c r="C14718" t="inlineStr">
        <is>
          <t>1940-03-10</t>
        </is>
      </c>
    </row>
    <row r="14719">
      <c r="A14719" s="1" t="n">
        <v>14718</v>
      </c>
      <c r="B14719">
        <f>TEXT(14718, "[$-0E0000]yyyy-mm-dd")</f>
        <v/>
      </c>
      <c r="C14719" t="inlineStr">
        <is>
          <t>1940-03-11</t>
        </is>
      </c>
    </row>
    <row r="14720">
      <c r="A14720" s="1" t="n">
        <v>14719</v>
      </c>
      <c r="B14720">
        <f>TEXT(14719, "[$-0E0000]yyyy-mm-dd")</f>
        <v/>
      </c>
      <c r="C14720" t="inlineStr">
        <is>
          <t>1940-03-12</t>
        </is>
      </c>
    </row>
    <row r="14721">
      <c r="A14721" s="1" t="n">
        <v>14720</v>
      </c>
      <c r="B14721">
        <f>TEXT(14720, "[$-0E0000]yyyy-mm-dd")</f>
        <v/>
      </c>
      <c r="C14721" t="inlineStr">
        <is>
          <t>1940-03-13</t>
        </is>
      </c>
    </row>
    <row r="14722">
      <c r="A14722" s="1" t="n">
        <v>14721</v>
      </c>
      <c r="B14722">
        <f>TEXT(14721, "[$-0E0000]yyyy-mm-dd")</f>
        <v/>
      </c>
      <c r="C14722" t="inlineStr">
        <is>
          <t>1940-03-14</t>
        </is>
      </c>
    </row>
    <row r="14723">
      <c r="A14723" s="1" t="n">
        <v>14722</v>
      </c>
      <c r="B14723">
        <f>TEXT(14722, "[$-0E0000]yyyy-mm-dd")</f>
        <v/>
      </c>
      <c r="C14723" t="inlineStr">
        <is>
          <t>1940-03-15</t>
        </is>
      </c>
    </row>
    <row r="14724">
      <c r="A14724" s="1" t="n">
        <v>14723</v>
      </c>
      <c r="B14724">
        <f>TEXT(14723, "[$-0E0000]yyyy-mm-dd")</f>
        <v/>
      </c>
      <c r="C14724" t="inlineStr">
        <is>
          <t>1940-03-16</t>
        </is>
      </c>
    </row>
    <row r="14725">
      <c r="A14725" s="1" t="n">
        <v>14724</v>
      </c>
      <c r="B14725">
        <f>TEXT(14724, "[$-0E0000]yyyy-mm-dd")</f>
        <v/>
      </c>
      <c r="C14725" t="inlineStr">
        <is>
          <t>1940-03-17</t>
        </is>
      </c>
    </row>
    <row r="14726">
      <c r="A14726" s="1" t="n">
        <v>14725</v>
      </c>
      <c r="B14726">
        <f>TEXT(14725, "[$-0E0000]yyyy-mm-dd")</f>
        <v/>
      </c>
      <c r="C14726" t="inlineStr">
        <is>
          <t>1940-03-18</t>
        </is>
      </c>
    </row>
    <row r="14727">
      <c r="A14727" s="1" t="n">
        <v>14726</v>
      </c>
      <c r="B14727">
        <f>TEXT(14726, "[$-0E0000]yyyy-mm-dd")</f>
        <v/>
      </c>
      <c r="C14727" t="inlineStr">
        <is>
          <t>1940-03-19</t>
        </is>
      </c>
    </row>
    <row r="14728">
      <c r="A14728" s="1" t="n">
        <v>14727</v>
      </c>
      <c r="B14728">
        <f>TEXT(14727, "[$-0E0000]yyyy-mm-dd")</f>
        <v/>
      </c>
      <c r="C14728" t="inlineStr">
        <is>
          <t>1940-03-20</t>
        </is>
      </c>
    </row>
    <row r="14729">
      <c r="A14729" s="1" t="n">
        <v>14728</v>
      </c>
      <c r="B14729">
        <f>TEXT(14728, "[$-0E0000]yyyy-mm-dd")</f>
        <v/>
      </c>
      <c r="C14729" t="inlineStr">
        <is>
          <t>1940-03-21</t>
        </is>
      </c>
    </row>
    <row r="14730">
      <c r="A14730" s="1" t="n">
        <v>14729</v>
      </c>
      <c r="B14730">
        <f>TEXT(14729, "[$-0E0000]yyyy-mm-dd")</f>
        <v/>
      </c>
      <c r="C14730" t="inlineStr">
        <is>
          <t>1940-03-22</t>
        </is>
      </c>
    </row>
    <row r="14731">
      <c r="A14731" s="1" t="n">
        <v>14730</v>
      </c>
      <c r="B14731">
        <f>TEXT(14730, "[$-0E0000]yyyy-mm-dd")</f>
        <v/>
      </c>
      <c r="C14731" t="inlineStr">
        <is>
          <t>1940-03-23</t>
        </is>
      </c>
    </row>
    <row r="14732">
      <c r="A14732" s="1" t="n">
        <v>14731</v>
      </c>
      <c r="B14732">
        <f>TEXT(14731, "[$-0E0000]yyyy-mm-dd")</f>
        <v/>
      </c>
      <c r="C14732" t="inlineStr">
        <is>
          <t>1940-03-24</t>
        </is>
      </c>
    </row>
    <row r="14733">
      <c r="A14733" s="1" t="n">
        <v>14732</v>
      </c>
      <c r="B14733">
        <f>TEXT(14732, "[$-0E0000]yyyy-mm-dd")</f>
        <v/>
      </c>
      <c r="C14733" t="inlineStr">
        <is>
          <t>1940-03-25</t>
        </is>
      </c>
    </row>
    <row r="14734">
      <c r="A14734" s="1" t="n">
        <v>14733</v>
      </c>
      <c r="B14734">
        <f>TEXT(14733, "[$-0E0000]yyyy-mm-dd")</f>
        <v/>
      </c>
      <c r="C14734" t="inlineStr">
        <is>
          <t>1940-03-26</t>
        </is>
      </c>
    </row>
    <row r="14735">
      <c r="A14735" s="1" t="n">
        <v>14734</v>
      </c>
      <c r="B14735">
        <f>TEXT(14734, "[$-0E0000]yyyy-mm-dd")</f>
        <v/>
      </c>
      <c r="C14735" t="inlineStr">
        <is>
          <t>1940-03-27</t>
        </is>
      </c>
    </row>
    <row r="14736">
      <c r="A14736" s="1" t="n">
        <v>14735</v>
      </c>
      <c r="B14736">
        <f>TEXT(14735, "[$-0E0000]yyyy-mm-dd")</f>
        <v/>
      </c>
      <c r="C14736" t="inlineStr">
        <is>
          <t>1940-03-28</t>
        </is>
      </c>
    </row>
    <row r="14737">
      <c r="A14737" s="1" t="n">
        <v>14736</v>
      </c>
      <c r="B14737">
        <f>TEXT(14736, "[$-0E0000]yyyy-mm-dd")</f>
        <v/>
      </c>
      <c r="C14737" t="inlineStr">
        <is>
          <t>1940-03-29</t>
        </is>
      </c>
    </row>
    <row r="14738">
      <c r="A14738" s="1" t="n">
        <v>14737</v>
      </c>
      <c r="B14738">
        <f>TEXT(14737, "[$-0E0000]yyyy-mm-dd")</f>
        <v/>
      </c>
      <c r="C14738" t="inlineStr">
        <is>
          <t>1940-04-01</t>
        </is>
      </c>
    </row>
    <row r="14739">
      <c r="A14739" s="1" t="n">
        <v>14738</v>
      </c>
      <c r="B14739">
        <f>TEXT(14738, "[$-0E0000]yyyy-mm-dd")</f>
        <v/>
      </c>
      <c r="C14739" t="inlineStr">
        <is>
          <t>1940-04-02</t>
        </is>
      </c>
    </row>
    <row r="14740">
      <c r="A14740" s="1" t="n">
        <v>14739</v>
      </c>
      <c r="B14740">
        <f>TEXT(14739, "[$-0E0000]yyyy-mm-dd")</f>
        <v/>
      </c>
      <c r="C14740" t="inlineStr">
        <is>
          <t>1940-04-03</t>
        </is>
      </c>
    </row>
    <row r="14741">
      <c r="A14741" s="1" t="n">
        <v>14740</v>
      </c>
      <c r="B14741">
        <f>TEXT(14740, "[$-0E0000]yyyy-mm-dd")</f>
        <v/>
      </c>
      <c r="C14741" t="inlineStr">
        <is>
          <t>1940-04-04</t>
        </is>
      </c>
    </row>
    <row r="14742">
      <c r="A14742" s="1" t="n">
        <v>14741</v>
      </c>
      <c r="B14742">
        <f>TEXT(14741, "[$-0E0000]yyyy-mm-dd")</f>
        <v/>
      </c>
      <c r="C14742" t="inlineStr">
        <is>
          <t>1940-04-05</t>
        </is>
      </c>
    </row>
    <row r="14743">
      <c r="A14743" s="1" t="n">
        <v>14742</v>
      </c>
      <c r="B14743">
        <f>TEXT(14742, "[$-0E0000]yyyy-mm-dd")</f>
        <v/>
      </c>
      <c r="C14743" t="inlineStr">
        <is>
          <t>1940-04-06</t>
        </is>
      </c>
    </row>
    <row r="14744">
      <c r="A14744" s="1" t="n">
        <v>14743</v>
      </c>
      <c r="B14744">
        <f>TEXT(14743, "[$-0E0000]yyyy-mm-dd")</f>
        <v/>
      </c>
      <c r="C14744" t="inlineStr">
        <is>
          <t>1940-04-07</t>
        </is>
      </c>
    </row>
    <row r="14745">
      <c r="A14745" s="1" t="n">
        <v>14744</v>
      </c>
      <c r="B14745">
        <f>TEXT(14744, "[$-0E0000]yyyy-mm-dd")</f>
        <v/>
      </c>
      <c r="C14745" t="inlineStr">
        <is>
          <t>1940-04-08</t>
        </is>
      </c>
    </row>
    <row r="14746">
      <c r="A14746" s="1" t="n">
        <v>14745</v>
      </c>
      <c r="B14746">
        <f>TEXT(14745, "[$-0E0000]yyyy-mm-dd")</f>
        <v/>
      </c>
      <c r="C14746" t="inlineStr">
        <is>
          <t>1940-04-09</t>
        </is>
      </c>
    </row>
    <row r="14747">
      <c r="A14747" s="1" t="n">
        <v>14746</v>
      </c>
      <c r="B14747">
        <f>TEXT(14746, "[$-0E0000]yyyy-mm-dd")</f>
        <v/>
      </c>
      <c r="C14747" t="inlineStr">
        <is>
          <t>1940-04-10</t>
        </is>
      </c>
    </row>
    <row r="14748">
      <c r="A14748" s="1" t="n">
        <v>14747</v>
      </c>
      <c r="B14748">
        <f>TEXT(14747, "[$-0E0000]yyyy-mm-dd")</f>
        <v/>
      </c>
      <c r="C14748" t="inlineStr">
        <is>
          <t>1940-04-11</t>
        </is>
      </c>
    </row>
    <row r="14749">
      <c r="A14749" s="1" t="n">
        <v>14748</v>
      </c>
      <c r="B14749">
        <f>TEXT(14748, "[$-0E0000]yyyy-mm-dd")</f>
        <v/>
      </c>
      <c r="C14749" t="inlineStr">
        <is>
          <t>1940-04-12</t>
        </is>
      </c>
    </row>
    <row r="14750">
      <c r="A14750" s="1" t="n">
        <v>14749</v>
      </c>
      <c r="B14750">
        <f>TEXT(14749, "[$-0E0000]yyyy-mm-dd")</f>
        <v/>
      </c>
      <c r="C14750" t="inlineStr">
        <is>
          <t>1940-04-13</t>
        </is>
      </c>
    </row>
    <row r="14751">
      <c r="A14751" s="1" t="n">
        <v>14750</v>
      </c>
      <c r="B14751">
        <f>TEXT(14750, "[$-0E0000]yyyy-mm-dd")</f>
        <v/>
      </c>
      <c r="C14751" t="inlineStr">
        <is>
          <t>1940-04-14</t>
        </is>
      </c>
    </row>
    <row r="14752">
      <c r="A14752" s="1" t="n">
        <v>14751</v>
      </c>
      <c r="B14752">
        <f>TEXT(14751, "[$-0E0000]yyyy-mm-dd")</f>
        <v/>
      </c>
      <c r="C14752" t="inlineStr">
        <is>
          <t>1940-04-15</t>
        </is>
      </c>
    </row>
    <row r="14753">
      <c r="A14753" s="1" t="n">
        <v>14752</v>
      </c>
      <c r="B14753">
        <f>TEXT(14752, "[$-0E0000]yyyy-mm-dd")</f>
        <v/>
      </c>
      <c r="C14753" t="inlineStr">
        <is>
          <t>1940-04-16</t>
        </is>
      </c>
    </row>
    <row r="14754">
      <c r="A14754" s="1" t="n">
        <v>14753</v>
      </c>
      <c r="B14754">
        <f>TEXT(14753, "[$-0E0000]yyyy-mm-dd")</f>
        <v/>
      </c>
      <c r="C14754" t="inlineStr">
        <is>
          <t>1940-04-17</t>
        </is>
      </c>
    </row>
    <row r="14755">
      <c r="A14755" s="1" t="n">
        <v>14754</v>
      </c>
      <c r="B14755">
        <f>TEXT(14754, "[$-0E0000]yyyy-mm-dd")</f>
        <v/>
      </c>
      <c r="C14755" t="inlineStr">
        <is>
          <t>1940-04-18</t>
        </is>
      </c>
    </row>
    <row r="14756">
      <c r="A14756" s="1" t="n">
        <v>14755</v>
      </c>
      <c r="B14756">
        <f>TEXT(14755, "[$-0E0000]yyyy-mm-dd")</f>
        <v/>
      </c>
      <c r="C14756" t="inlineStr">
        <is>
          <t>1940-04-19</t>
        </is>
      </c>
    </row>
    <row r="14757">
      <c r="A14757" s="1" t="n">
        <v>14756</v>
      </c>
      <c r="B14757">
        <f>TEXT(14756, "[$-0E0000]yyyy-mm-dd")</f>
        <v/>
      </c>
      <c r="C14757" t="inlineStr">
        <is>
          <t>1940-04-20</t>
        </is>
      </c>
    </row>
    <row r="14758">
      <c r="A14758" s="1" t="n">
        <v>14757</v>
      </c>
      <c r="B14758">
        <f>TEXT(14757, "[$-0E0000]yyyy-mm-dd")</f>
        <v/>
      </c>
      <c r="C14758" t="inlineStr">
        <is>
          <t>1940-04-21</t>
        </is>
      </c>
    </row>
    <row r="14759">
      <c r="A14759" s="1" t="n">
        <v>14758</v>
      </c>
      <c r="B14759">
        <f>TEXT(14758, "[$-0E0000]yyyy-mm-dd")</f>
        <v/>
      </c>
      <c r="C14759" t="inlineStr">
        <is>
          <t>1940-04-22</t>
        </is>
      </c>
    </row>
    <row r="14760">
      <c r="A14760" s="1" t="n">
        <v>14759</v>
      </c>
      <c r="B14760">
        <f>TEXT(14759, "[$-0E0000]yyyy-mm-dd")</f>
        <v/>
      </c>
      <c r="C14760" t="inlineStr">
        <is>
          <t>1940-04-23</t>
        </is>
      </c>
    </row>
    <row r="14761">
      <c r="A14761" s="1" t="n">
        <v>14760</v>
      </c>
      <c r="B14761">
        <f>TEXT(14760, "[$-0E0000]yyyy-mm-dd")</f>
        <v/>
      </c>
      <c r="C14761" t="inlineStr">
        <is>
          <t>1940-04-24</t>
        </is>
      </c>
    </row>
    <row r="14762">
      <c r="A14762" s="1" t="n">
        <v>14761</v>
      </c>
      <c r="B14762">
        <f>TEXT(14761, "[$-0E0000]yyyy-mm-dd")</f>
        <v/>
      </c>
      <c r="C14762" t="inlineStr">
        <is>
          <t>1940-04-25</t>
        </is>
      </c>
    </row>
    <row r="14763">
      <c r="A14763" s="1" t="n">
        <v>14762</v>
      </c>
      <c r="B14763">
        <f>TEXT(14762, "[$-0E0000]yyyy-mm-dd")</f>
        <v/>
      </c>
      <c r="C14763" t="inlineStr">
        <is>
          <t>1940-04-26</t>
        </is>
      </c>
    </row>
    <row r="14764">
      <c r="A14764" s="1" t="n">
        <v>14763</v>
      </c>
      <c r="B14764">
        <f>TEXT(14763, "[$-0E0000]yyyy-mm-dd")</f>
        <v/>
      </c>
      <c r="C14764" t="inlineStr">
        <is>
          <t>1940-04-27</t>
        </is>
      </c>
    </row>
    <row r="14765">
      <c r="A14765" s="1" t="n">
        <v>14764</v>
      </c>
      <c r="B14765">
        <f>TEXT(14764, "[$-0E0000]yyyy-mm-dd")</f>
        <v/>
      </c>
      <c r="C14765" t="inlineStr">
        <is>
          <t>1940-04-28</t>
        </is>
      </c>
    </row>
    <row r="14766">
      <c r="A14766" s="1" t="n">
        <v>14765</v>
      </c>
      <c r="B14766">
        <f>TEXT(14765, "[$-0E0000]yyyy-mm-dd")</f>
        <v/>
      </c>
      <c r="C14766" t="inlineStr">
        <is>
          <t>1940-04-29</t>
        </is>
      </c>
    </row>
    <row r="14767">
      <c r="A14767" s="1" t="n">
        <v>14766</v>
      </c>
      <c r="B14767">
        <f>TEXT(14766, "[$-0E0000]yyyy-mm-dd")</f>
        <v/>
      </c>
      <c r="C14767" t="inlineStr">
        <is>
          <t>1940-04-30</t>
        </is>
      </c>
    </row>
    <row r="14768">
      <c r="A14768" s="1" t="n">
        <v>14767</v>
      </c>
      <c r="B14768">
        <f>TEXT(14767, "[$-0E0000]yyyy-mm-dd")</f>
        <v/>
      </c>
      <c r="C14768" t="inlineStr">
        <is>
          <t>1940-05-01</t>
        </is>
      </c>
    </row>
    <row r="14769">
      <c r="A14769" s="1" t="n">
        <v>14768</v>
      </c>
      <c r="B14769">
        <f>TEXT(14768, "[$-0E0000]yyyy-mm-dd")</f>
        <v/>
      </c>
      <c r="C14769" t="inlineStr">
        <is>
          <t>1940-05-02</t>
        </is>
      </c>
    </row>
    <row r="14770">
      <c r="A14770" s="1" t="n">
        <v>14769</v>
      </c>
      <c r="B14770">
        <f>TEXT(14769, "[$-0E0000]yyyy-mm-dd")</f>
        <v/>
      </c>
      <c r="C14770" t="inlineStr">
        <is>
          <t>1940-05-03</t>
        </is>
      </c>
    </row>
    <row r="14771">
      <c r="A14771" s="1" t="n">
        <v>14770</v>
      </c>
      <c r="B14771">
        <f>TEXT(14770, "[$-0E0000]yyyy-mm-dd")</f>
        <v/>
      </c>
      <c r="C14771" t="inlineStr">
        <is>
          <t>1940-05-04</t>
        </is>
      </c>
    </row>
    <row r="14772">
      <c r="A14772" s="1" t="n">
        <v>14771</v>
      </c>
      <c r="B14772">
        <f>TEXT(14771, "[$-0E0000]yyyy-mm-dd")</f>
        <v/>
      </c>
      <c r="C14772" t="inlineStr">
        <is>
          <t>1940-05-05</t>
        </is>
      </c>
    </row>
    <row r="14773">
      <c r="A14773" s="1" t="n">
        <v>14772</v>
      </c>
      <c r="B14773">
        <f>TEXT(14772, "[$-0E0000]yyyy-mm-dd")</f>
        <v/>
      </c>
      <c r="C14773" t="inlineStr">
        <is>
          <t>1940-05-06</t>
        </is>
      </c>
    </row>
    <row r="14774">
      <c r="A14774" s="1" t="n">
        <v>14773</v>
      </c>
      <c r="B14774">
        <f>TEXT(14773, "[$-0E0000]yyyy-mm-dd")</f>
        <v/>
      </c>
      <c r="C14774" t="inlineStr">
        <is>
          <t>1940-05-07</t>
        </is>
      </c>
    </row>
    <row r="14775">
      <c r="A14775" s="1" t="n">
        <v>14774</v>
      </c>
      <c r="B14775">
        <f>TEXT(14774, "[$-0E0000]yyyy-mm-dd")</f>
        <v/>
      </c>
      <c r="C14775" t="inlineStr">
        <is>
          <t>1940-05-08</t>
        </is>
      </c>
    </row>
    <row r="14776">
      <c r="A14776" s="1" t="n">
        <v>14775</v>
      </c>
      <c r="B14776">
        <f>TEXT(14775, "[$-0E0000]yyyy-mm-dd")</f>
        <v/>
      </c>
      <c r="C14776" t="inlineStr">
        <is>
          <t>1940-05-09</t>
        </is>
      </c>
    </row>
    <row r="14777">
      <c r="A14777" s="1" t="n">
        <v>14776</v>
      </c>
      <c r="B14777">
        <f>TEXT(14776, "[$-0E0000]yyyy-mm-dd")</f>
        <v/>
      </c>
      <c r="C14777" t="inlineStr">
        <is>
          <t>1940-05-10</t>
        </is>
      </c>
    </row>
    <row r="14778">
      <c r="A14778" s="1" t="n">
        <v>14777</v>
      </c>
      <c r="B14778">
        <f>TEXT(14777, "[$-0E0000]yyyy-mm-dd")</f>
        <v/>
      </c>
      <c r="C14778" t="inlineStr">
        <is>
          <t>1940-05-11</t>
        </is>
      </c>
    </row>
    <row r="14779">
      <c r="A14779" s="1" t="n">
        <v>14778</v>
      </c>
      <c r="B14779">
        <f>TEXT(14778, "[$-0E0000]yyyy-mm-dd")</f>
        <v/>
      </c>
      <c r="C14779" t="inlineStr">
        <is>
          <t>1940-05-12</t>
        </is>
      </c>
    </row>
    <row r="14780">
      <c r="A14780" s="1" t="n">
        <v>14779</v>
      </c>
      <c r="B14780">
        <f>TEXT(14779, "[$-0E0000]yyyy-mm-dd")</f>
        <v/>
      </c>
      <c r="C14780" t="inlineStr">
        <is>
          <t>1940-05-13</t>
        </is>
      </c>
    </row>
    <row r="14781">
      <c r="A14781" s="1" t="n">
        <v>14780</v>
      </c>
      <c r="B14781">
        <f>TEXT(14780, "[$-0E0000]yyyy-mm-dd")</f>
        <v/>
      </c>
      <c r="C14781" t="inlineStr">
        <is>
          <t>1940-05-14</t>
        </is>
      </c>
    </row>
    <row r="14782">
      <c r="A14782" s="1" t="n">
        <v>14781</v>
      </c>
      <c r="B14782">
        <f>TEXT(14781, "[$-0E0000]yyyy-mm-dd")</f>
        <v/>
      </c>
      <c r="C14782" t="inlineStr">
        <is>
          <t>1940-05-15</t>
        </is>
      </c>
    </row>
    <row r="14783">
      <c r="A14783" s="1" t="n">
        <v>14782</v>
      </c>
      <c r="B14783">
        <f>TEXT(14782, "[$-0E0000]yyyy-mm-dd")</f>
        <v/>
      </c>
      <c r="C14783" t="inlineStr">
        <is>
          <t>1940-05-16</t>
        </is>
      </c>
    </row>
    <row r="14784">
      <c r="A14784" s="1" t="n">
        <v>14783</v>
      </c>
      <c r="B14784">
        <f>TEXT(14783, "[$-0E0000]yyyy-mm-dd")</f>
        <v/>
      </c>
      <c r="C14784" t="inlineStr">
        <is>
          <t>1940-05-17</t>
        </is>
      </c>
    </row>
    <row r="14785">
      <c r="A14785" s="1" t="n">
        <v>14784</v>
      </c>
      <c r="B14785">
        <f>TEXT(14784, "[$-0E0000]yyyy-mm-dd")</f>
        <v/>
      </c>
      <c r="C14785" t="inlineStr">
        <is>
          <t>1940-05-18</t>
        </is>
      </c>
    </row>
    <row r="14786">
      <c r="A14786" s="1" t="n">
        <v>14785</v>
      </c>
      <c r="B14786">
        <f>TEXT(14785, "[$-0E0000]yyyy-mm-dd")</f>
        <v/>
      </c>
      <c r="C14786" t="inlineStr">
        <is>
          <t>1940-05-19</t>
        </is>
      </c>
    </row>
    <row r="14787">
      <c r="A14787" s="1" t="n">
        <v>14786</v>
      </c>
      <c r="B14787">
        <f>TEXT(14786, "[$-0E0000]yyyy-mm-dd")</f>
        <v/>
      </c>
      <c r="C14787" t="inlineStr">
        <is>
          <t>1940-05-20</t>
        </is>
      </c>
    </row>
    <row r="14788">
      <c r="A14788" s="1" t="n">
        <v>14787</v>
      </c>
      <c r="B14788">
        <f>TEXT(14787, "[$-0E0000]yyyy-mm-dd")</f>
        <v/>
      </c>
      <c r="C14788" t="inlineStr">
        <is>
          <t>1940-05-21</t>
        </is>
      </c>
    </row>
    <row r="14789">
      <c r="A14789" s="1" t="n">
        <v>14788</v>
      </c>
      <c r="B14789">
        <f>TEXT(14788, "[$-0E0000]yyyy-mm-dd")</f>
        <v/>
      </c>
      <c r="C14789" t="inlineStr">
        <is>
          <t>1940-05-22</t>
        </is>
      </c>
    </row>
    <row r="14790">
      <c r="A14790" s="1" t="n">
        <v>14789</v>
      </c>
      <c r="B14790">
        <f>TEXT(14789, "[$-0E0000]yyyy-mm-dd")</f>
        <v/>
      </c>
      <c r="C14790" t="inlineStr">
        <is>
          <t>1940-05-23</t>
        </is>
      </c>
    </row>
    <row r="14791">
      <c r="A14791" s="1" t="n">
        <v>14790</v>
      </c>
      <c r="B14791">
        <f>TEXT(14790, "[$-0E0000]yyyy-mm-dd")</f>
        <v/>
      </c>
      <c r="C14791" t="inlineStr">
        <is>
          <t>1940-05-24</t>
        </is>
      </c>
    </row>
    <row r="14792">
      <c r="A14792" s="1" t="n">
        <v>14791</v>
      </c>
      <c r="B14792">
        <f>TEXT(14791, "[$-0E0000]yyyy-mm-dd")</f>
        <v/>
      </c>
      <c r="C14792" t="inlineStr">
        <is>
          <t>1940-05-25</t>
        </is>
      </c>
    </row>
    <row r="14793">
      <c r="A14793" s="1" t="n">
        <v>14792</v>
      </c>
      <c r="B14793">
        <f>TEXT(14792, "[$-0E0000]yyyy-mm-dd")</f>
        <v/>
      </c>
      <c r="C14793" t="inlineStr">
        <is>
          <t>1940-05-26</t>
        </is>
      </c>
    </row>
    <row r="14794">
      <c r="A14794" s="1" t="n">
        <v>14793</v>
      </c>
      <c r="B14794">
        <f>TEXT(14793, "[$-0E0000]yyyy-mm-dd")</f>
        <v/>
      </c>
      <c r="C14794" t="inlineStr">
        <is>
          <t>1940-05-27</t>
        </is>
      </c>
    </row>
    <row r="14795">
      <c r="A14795" s="1" t="n">
        <v>14794</v>
      </c>
      <c r="B14795">
        <f>TEXT(14794, "[$-0E0000]yyyy-mm-dd")</f>
        <v/>
      </c>
      <c r="C14795" t="inlineStr">
        <is>
          <t>1940-05-28</t>
        </is>
      </c>
    </row>
    <row r="14796">
      <c r="A14796" s="1" t="n">
        <v>14795</v>
      </c>
      <c r="B14796">
        <f>TEXT(14795, "[$-0E0000]yyyy-mm-dd")</f>
        <v/>
      </c>
      <c r="C14796" t="inlineStr">
        <is>
          <t>1940-05-29</t>
        </is>
      </c>
    </row>
    <row r="14797">
      <c r="A14797" s="1" t="n">
        <v>14796</v>
      </c>
      <c r="B14797">
        <f>TEXT(14796, "[$-0E0000]yyyy-mm-dd")</f>
        <v/>
      </c>
      <c r="C14797" t="inlineStr">
        <is>
          <t>1940-06-01</t>
        </is>
      </c>
    </row>
    <row r="14798">
      <c r="A14798" s="1" t="n">
        <v>14797</v>
      </c>
      <c r="B14798">
        <f>TEXT(14797, "[$-0E0000]yyyy-mm-dd")</f>
        <v/>
      </c>
      <c r="C14798" t="inlineStr">
        <is>
          <t>1940-06-02</t>
        </is>
      </c>
    </row>
    <row r="14799">
      <c r="A14799" s="1" t="n">
        <v>14798</v>
      </c>
      <c r="B14799">
        <f>TEXT(14798, "[$-0E0000]yyyy-mm-dd")</f>
        <v/>
      </c>
      <c r="C14799" t="inlineStr">
        <is>
          <t>1940-06-03</t>
        </is>
      </c>
    </row>
    <row r="14800">
      <c r="A14800" s="1" t="n">
        <v>14799</v>
      </c>
      <c r="B14800">
        <f>TEXT(14799, "[$-0E0000]yyyy-mm-dd")</f>
        <v/>
      </c>
      <c r="C14800" t="inlineStr">
        <is>
          <t>1940-06-04</t>
        </is>
      </c>
    </row>
    <row r="14801">
      <c r="A14801" s="1" t="n">
        <v>14800</v>
      </c>
      <c r="B14801">
        <f>TEXT(14800, "[$-0E0000]yyyy-mm-dd")</f>
        <v/>
      </c>
      <c r="C14801" t="inlineStr">
        <is>
          <t>1940-06-05</t>
        </is>
      </c>
    </row>
    <row r="14802">
      <c r="A14802" s="1" t="n">
        <v>14801</v>
      </c>
      <c r="B14802">
        <f>TEXT(14801, "[$-0E0000]yyyy-mm-dd")</f>
        <v/>
      </c>
      <c r="C14802" t="inlineStr">
        <is>
          <t>1940-06-06</t>
        </is>
      </c>
    </row>
    <row r="14803">
      <c r="A14803" s="1" t="n">
        <v>14802</v>
      </c>
      <c r="B14803">
        <f>TEXT(14802, "[$-0E0000]yyyy-mm-dd")</f>
        <v/>
      </c>
      <c r="C14803" t="inlineStr">
        <is>
          <t>1940-06-07</t>
        </is>
      </c>
    </row>
    <row r="14804">
      <c r="A14804" s="1" t="n">
        <v>14803</v>
      </c>
      <c r="B14804">
        <f>TEXT(14803, "[$-0E0000]yyyy-mm-dd")</f>
        <v/>
      </c>
      <c r="C14804" t="inlineStr">
        <is>
          <t>1940-06-08</t>
        </is>
      </c>
    </row>
    <row r="14805">
      <c r="A14805" s="1" t="n">
        <v>14804</v>
      </c>
      <c r="B14805">
        <f>TEXT(14804, "[$-0E0000]yyyy-mm-dd")</f>
        <v/>
      </c>
      <c r="C14805" t="inlineStr">
        <is>
          <t>1940-06-09</t>
        </is>
      </c>
    </row>
    <row r="14806">
      <c r="A14806" s="1" t="n">
        <v>14805</v>
      </c>
      <c r="B14806">
        <f>TEXT(14805, "[$-0E0000]yyyy-mm-dd")</f>
        <v/>
      </c>
      <c r="C14806" t="inlineStr">
        <is>
          <t>1940-06-10</t>
        </is>
      </c>
    </row>
    <row r="14807">
      <c r="A14807" s="1" t="n">
        <v>14806</v>
      </c>
      <c r="B14807">
        <f>TEXT(14806, "[$-0E0000]yyyy-mm-dd")</f>
        <v/>
      </c>
      <c r="C14807" t="inlineStr">
        <is>
          <t>1940-06-11</t>
        </is>
      </c>
    </row>
    <row r="14808">
      <c r="A14808" s="1" t="n">
        <v>14807</v>
      </c>
      <c r="B14808">
        <f>TEXT(14807, "[$-0E0000]yyyy-mm-dd")</f>
        <v/>
      </c>
      <c r="C14808" t="inlineStr">
        <is>
          <t>1940-06-12</t>
        </is>
      </c>
    </row>
    <row r="14809">
      <c r="A14809" s="1" t="n">
        <v>14808</v>
      </c>
      <c r="B14809">
        <f>TEXT(14808, "[$-0E0000]yyyy-mm-dd")</f>
        <v/>
      </c>
      <c r="C14809" t="inlineStr">
        <is>
          <t>1940-06-13</t>
        </is>
      </c>
    </row>
    <row r="14810">
      <c r="A14810" s="1" t="n">
        <v>14809</v>
      </c>
      <c r="B14810">
        <f>TEXT(14809, "[$-0E0000]yyyy-mm-dd")</f>
        <v/>
      </c>
      <c r="C14810" t="inlineStr">
        <is>
          <t>1940-06-14</t>
        </is>
      </c>
    </row>
    <row r="14811">
      <c r="A14811" s="1" t="n">
        <v>14810</v>
      </c>
      <c r="B14811">
        <f>TEXT(14810, "[$-0E0000]yyyy-mm-dd")</f>
        <v/>
      </c>
      <c r="C14811" t="inlineStr">
        <is>
          <t>1940-06-15</t>
        </is>
      </c>
    </row>
    <row r="14812">
      <c r="A14812" s="1" t="n">
        <v>14811</v>
      </c>
      <c r="B14812">
        <f>TEXT(14811, "[$-0E0000]yyyy-mm-dd")</f>
        <v/>
      </c>
      <c r="C14812" t="inlineStr">
        <is>
          <t>1940-06-16</t>
        </is>
      </c>
    </row>
    <row r="14813">
      <c r="A14813" s="1" t="n">
        <v>14812</v>
      </c>
      <c r="B14813">
        <f>TEXT(14812, "[$-0E0000]yyyy-mm-dd")</f>
        <v/>
      </c>
      <c r="C14813" t="inlineStr">
        <is>
          <t>1940-06-17</t>
        </is>
      </c>
    </row>
    <row r="14814">
      <c r="A14814" s="1" t="n">
        <v>14813</v>
      </c>
      <c r="B14814">
        <f>TEXT(14813, "[$-0E0000]yyyy-mm-dd")</f>
        <v/>
      </c>
      <c r="C14814" t="inlineStr">
        <is>
          <t>1940-06-18</t>
        </is>
      </c>
    </row>
    <row r="14815">
      <c r="A14815" s="1" t="n">
        <v>14814</v>
      </c>
      <c r="B14815">
        <f>TEXT(14814, "[$-0E0000]yyyy-mm-dd")</f>
        <v/>
      </c>
      <c r="C14815" t="inlineStr">
        <is>
          <t>1940-06-19</t>
        </is>
      </c>
    </row>
    <row r="14816">
      <c r="A14816" s="1" t="n">
        <v>14815</v>
      </c>
      <c r="B14816">
        <f>TEXT(14815, "[$-0E0000]yyyy-mm-dd")</f>
        <v/>
      </c>
      <c r="C14816" t="inlineStr">
        <is>
          <t>1940-06-20</t>
        </is>
      </c>
    </row>
    <row r="14817">
      <c r="A14817" s="1" t="n">
        <v>14816</v>
      </c>
      <c r="B14817">
        <f>TEXT(14816, "[$-0E0000]yyyy-mm-dd")</f>
        <v/>
      </c>
      <c r="C14817" t="inlineStr">
        <is>
          <t>1940-06-21</t>
        </is>
      </c>
    </row>
    <row r="14818">
      <c r="A14818" s="1" t="n">
        <v>14817</v>
      </c>
      <c r="B14818">
        <f>TEXT(14817, "[$-0E0000]yyyy-mm-dd")</f>
        <v/>
      </c>
      <c r="C14818" t="inlineStr">
        <is>
          <t>1940-06-22</t>
        </is>
      </c>
    </row>
    <row r="14819">
      <c r="A14819" s="1" t="n">
        <v>14818</v>
      </c>
      <c r="B14819">
        <f>TEXT(14818, "[$-0E0000]yyyy-mm-dd")</f>
        <v/>
      </c>
      <c r="C14819" t="inlineStr">
        <is>
          <t>1940-06-23</t>
        </is>
      </c>
    </row>
    <row r="14820">
      <c r="A14820" s="1" t="n">
        <v>14819</v>
      </c>
      <c r="B14820">
        <f>TEXT(14819, "[$-0E0000]yyyy-mm-dd")</f>
        <v/>
      </c>
      <c r="C14820" t="inlineStr">
        <is>
          <t>1940-06-24</t>
        </is>
      </c>
    </row>
    <row r="14821">
      <c r="A14821" s="1" t="n">
        <v>14820</v>
      </c>
      <c r="B14821">
        <f>TEXT(14820, "[$-0E0000]yyyy-mm-dd")</f>
        <v/>
      </c>
      <c r="C14821" t="inlineStr">
        <is>
          <t>1940-06-25</t>
        </is>
      </c>
    </row>
    <row r="14822">
      <c r="A14822" s="1" t="n">
        <v>14821</v>
      </c>
      <c r="B14822">
        <f>TEXT(14821, "[$-0E0000]yyyy-mm-dd")</f>
        <v/>
      </c>
      <c r="C14822" t="inlineStr">
        <is>
          <t>1940-06-26</t>
        </is>
      </c>
    </row>
    <row r="14823">
      <c r="A14823" s="1" t="n">
        <v>14822</v>
      </c>
      <c r="B14823">
        <f>TEXT(14822, "[$-0E0000]yyyy-mm-dd")</f>
        <v/>
      </c>
      <c r="C14823" t="inlineStr">
        <is>
          <t>1940-06-27</t>
        </is>
      </c>
    </row>
    <row r="14824">
      <c r="A14824" s="1" t="n">
        <v>14823</v>
      </c>
      <c r="B14824">
        <f>TEXT(14823, "[$-0E0000]yyyy-mm-dd")</f>
        <v/>
      </c>
      <c r="C14824" t="inlineStr">
        <is>
          <t>1940-06-28</t>
        </is>
      </c>
    </row>
    <row r="14825">
      <c r="A14825" s="1" t="n">
        <v>14824</v>
      </c>
      <c r="B14825">
        <f>TEXT(14824, "[$-0E0000]yyyy-mm-dd")</f>
        <v/>
      </c>
      <c r="C14825" t="inlineStr">
        <is>
          <t>1940-06-29</t>
        </is>
      </c>
    </row>
    <row r="14826">
      <c r="A14826" s="1" t="n">
        <v>14825</v>
      </c>
      <c r="B14826">
        <f>TEXT(14825, "[$-0E0000]yyyy-mm-dd")</f>
        <v/>
      </c>
      <c r="C14826" t="inlineStr">
        <is>
          <t>1940-06-30</t>
        </is>
      </c>
    </row>
    <row r="14827">
      <c r="A14827" s="1" t="n">
        <v>14826</v>
      </c>
      <c r="B14827">
        <f>TEXT(14826, "[$-0E0000]yyyy-mm-dd")</f>
        <v/>
      </c>
      <c r="C14827" t="inlineStr">
        <is>
          <t>1940-07-01</t>
        </is>
      </c>
    </row>
    <row r="14828">
      <c r="A14828" s="1" t="n">
        <v>14827</v>
      </c>
      <c r="B14828">
        <f>TEXT(14827, "[$-0E0000]yyyy-mm-dd")</f>
        <v/>
      </c>
      <c r="C14828" t="inlineStr">
        <is>
          <t>1940-07-02</t>
        </is>
      </c>
    </row>
    <row r="14829">
      <c r="A14829" s="1" t="n">
        <v>14828</v>
      </c>
      <c r="B14829">
        <f>TEXT(14828, "[$-0E0000]yyyy-mm-dd")</f>
        <v/>
      </c>
      <c r="C14829" t="inlineStr">
        <is>
          <t>1940-07-03</t>
        </is>
      </c>
    </row>
    <row r="14830">
      <c r="A14830" s="1" t="n">
        <v>14829</v>
      </c>
      <c r="B14830">
        <f>TEXT(14829, "[$-0E0000]yyyy-mm-dd")</f>
        <v/>
      </c>
      <c r="C14830" t="inlineStr">
        <is>
          <t>1940-07-04</t>
        </is>
      </c>
    </row>
    <row r="14831">
      <c r="A14831" s="1" t="n">
        <v>14830</v>
      </c>
      <c r="B14831">
        <f>TEXT(14830, "[$-0E0000]yyyy-mm-dd")</f>
        <v/>
      </c>
      <c r="C14831" t="inlineStr">
        <is>
          <t>1940-07-05</t>
        </is>
      </c>
    </row>
    <row r="14832">
      <c r="A14832" s="1" t="n">
        <v>14831</v>
      </c>
      <c r="B14832">
        <f>TEXT(14831, "[$-0E0000]yyyy-mm-dd")</f>
        <v/>
      </c>
      <c r="C14832" t="inlineStr">
        <is>
          <t>1940-07-06</t>
        </is>
      </c>
    </row>
    <row r="14833">
      <c r="A14833" s="1" t="n">
        <v>14832</v>
      </c>
      <c r="B14833">
        <f>TEXT(14832, "[$-0E0000]yyyy-mm-dd")</f>
        <v/>
      </c>
      <c r="C14833" t="inlineStr">
        <is>
          <t>1940-07-07</t>
        </is>
      </c>
    </row>
    <row r="14834">
      <c r="A14834" s="1" t="n">
        <v>14833</v>
      </c>
      <c r="B14834">
        <f>TEXT(14833, "[$-0E0000]yyyy-mm-dd")</f>
        <v/>
      </c>
      <c r="C14834" t="inlineStr">
        <is>
          <t>1940-07-08</t>
        </is>
      </c>
    </row>
    <row r="14835">
      <c r="A14835" s="1" t="n">
        <v>14834</v>
      </c>
      <c r="B14835">
        <f>TEXT(14834, "[$-0E0000]yyyy-mm-dd")</f>
        <v/>
      </c>
      <c r="C14835" t="inlineStr">
        <is>
          <t>1940-07-09</t>
        </is>
      </c>
    </row>
    <row r="14836">
      <c r="A14836" s="1" t="n">
        <v>14835</v>
      </c>
      <c r="B14836">
        <f>TEXT(14835, "[$-0E0000]yyyy-mm-dd")</f>
        <v/>
      </c>
      <c r="C14836" t="inlineStr">
        <is>
          <t>1940-07-10</t>
        </is>
      </c>
    </row>
    <row r="14837">
      <c r="A14837" s="1" t="n">
        <v>14836</v>
      </c>
      <c r="B14837">
        <f>TEXT(14836, "[$-0E0000]yyyy-mm-dd")</f>
        <v/>
      </c>
      <c r="C14837" t="inlineStr">
        <is>
          <t>1940-07-11</t>
        </is>
      </c>
    </row>
    <row r="14838">
      <c r="A14838" s="1" t="n">
        <v>14837</v>
      </c>
      <c r="B14838">
        <f>TEXT(14837, "[$-0E0000]yyyy-mm-dd")</f>
        <v/>
      </c>
      <c r="C14838" t="inlineStr">
        <is>
          <t>1940-07-12</t>
        </is>
      </c>
    </row>
    <row r="14839">
      <c r="A14839" s="1" t="n">
        <v>14838</v>
      </c>
      <c r="B14839">
        <f>TEXT(14838, "[$-0E0000]yyyy-mm-dd")</f>
        <v/>
      </c>
      <c r="C14839" t="inlineStr">
        <is>
          <t>1940-07-13</t>
        </is>
      </c>
    </row>
    <row r="14840">
      <c r="A14840" s="1" t="n">
        <v>14839</v>
      </c>
      <c r="B14840">
        <f>TEXT(14839, "[$-0E0000]yyyy-mm-dd")</f>
        <v/>
      </c>
      <c r="C14840" t="inlineStr">
        <is>
          <t>1940-07-14</t>
        </is>
      </c>
    </row>
    <row r="14841">
      <c r="A14841" s="1" t="n">
        <v>14840</v>
      </c>
      <c r="B14841">
        <f>TEXT(14840, "[$-0E0000]yyyy-mm-dd")</f>
        <v/>
      </c>
      <c r="C14841" t="inlineStr">
        <is>
          <t>1940-07-15</t>
        </is>
      </c>
    </row>
    <row r="14842">
      <c r="A14842" s="1" t="n">
        <v>14841</v>
      </c>
      <c r="B14842">
        <f>TEXT(14841, "[$-0E0000]yyyy-mm-dd")</f>
        <v/>
      </c>
      <c r="C14842" t="inlineStr">
        <is>
          <t>1940-07-16</t>
        </is>
      </c>
    </row>
    <row r="14843">
      <c r="A14843" s="1" t="n">
        <v>14842</v>
      </c>
      <c r="B14843">
        <f>TEXT(14842, "[$-0E0000]yyyy-mm-dd")</f>
        <v/>
      </c>
      <c r="C14843" t="inlineStr">
        <is>
          <t>1940-07-17</t>
        </is>
      </c>
    </row>
    <row r="14844">
      <c r="A14844" s="1" t="n">
        <v>14843</v>
      </c>
      <c r="B14844">
        <f>TEXT(14843, "[$-0E0000]yyyy-mm-dd")</f>
        <v/>
      </c>
      <c r="C14844" t="inlineStr">
        <is>
          <t>1940-07-18</t>
        </is>
      </c>
    </row>
    <row r="14845">
      <c r="A14845" s="1" t="n">
        <v>14844</v>
      </c>
      <c r="B14845">
        <f>TEXT(14844, "[$-0E0000]yyyy-mm-dd")</f>
        <v/>
      </c>
      <c r="C14845" t="inlineStr">
        <is>
          <t>1940-07-19</t>
        </is>
      </c>
    </row>
    <row r="14846">
      <c r="A14846" s="1" t="n">
        <v>14845</v>
      </c>
      <c r="B14846">
        <f>TEXT(14845, "[$-0E0000]yyyy-mm-dd")</f>
        <v/>
      </c>
      <c r="C14846" t="inlineStr">
        <is>
          <t>1940-07-20</t>
        </is>
      </c>
    </row>
    <row r="14847">
      <c r="A14847" s="1" t="n">
        <v>14846</v>
      </c>
      <c r="B14847">
        <f>TEXT(14846, "[$-0E0000]yyyy-mm-dd")</f>
        <v/>
      </c>
      <c r="C14847" t="inlineStr">
        <is>
          <t>1940-07-21</t>
        </is>
      </c>
    </row>
    <row r="14848">
      <c r="A14848" s="1" t="n">
        <v>14847</v>
      </c>
      <c r="B14848">
        <f>TEXT(14847, "[$-0E0000]yyyy-mm-dd")</f>
        <v/>
      </c>
      <c r="C14848" t="inlineStr">
        <is>
          <t>1940-07-22</t>
        </is>
      </c>
    </row>
    <row r="14849">
      <c r="A14849" s="1" t="n">
        <v>14848</v>
      </c>
      <c r="B14849">
        <f>TEXT(14848, "[$-0E0000]yyyy-mm-dd")</f>
        <v/>
      </c>
      <c r="C14849" t="inlineStr">
        <is>
          <t>1940-07-23</t>
        </is>
      </c>
    </row>
    <row r="14850">
      <c r="A14850" s="1" t="n">
        <v>14849</v>
      </c>
      <c r="B14850">
        <f>TEXT(14849, "[$-0E0000]yyyy-mm-dd")</f>
        <v/>
      </c>
      <c r="C14850" t="inlineStr">
        <is>
          <t>1940-07-24</t>
        </is>
      </c>
    </row>
    <row r="14851">
      <c r="A14851" s="1" t="n">
        <v>14850</v>
      </c>
      <c r="B14851">
        <f>TEXT(14850, "[$-0E0000]yyyy-mm-dd")</f>
        <v/>
      </c>
      <c r="C14851" t="inlineStr">
        <is>
          <t>1940-07-25</t>
        </is>
      </c>
    </row>
    <row r="14852">
      <c r="A14852" s="1" t="n">
        <v>14851</v>
      </c>
      <c r="B14852">
        <f>TEXT(14851, "[$-0E0000]yyyy-mm-dd")</f>
        <v/>
      </c>
      <c r="C14852" t="inlineStr">
        <is>
          <t>1940-07-26</t>
        </is>
      </c>
    </row>
    <row r="14853">
      <c r="A14853" s="1" t="n">
        <v>14852</v>
      </c>
      <c r="B14853">
        <f>TEXT(14852, "[$-0E0000]yyyy-mm-dd")</f>
        <v/>
      </c>
      <c r="C14853" t="inlineStr">
        <is>
          <t>1940-07-27</t>
        </is>
      </c>
    </row>
    <row r="14854">
      <c r="A14854" s="1" t="n">
        <v>14853</v>
      </c>
      <c r="B14854">
        <f>TEXT(14853, "[$-0E0000]yyyy-mm-dd")</f>
        <v/>
      </c>
      <c r="C14854" t="inlineStr">
        <is>
          <t>1940-07-28</t>
        </is>
      </c>
    </row>
    <row r="14855">
      <c r="A14855" s="1" t="n">
        <v>14854</v>
      </c>
      <c r="B14855">
        <f>TEXT(14854, "[$-0E0000]yyyy-mm-dd")</f>
        <v/>
      </c>
      <c r="C14855" t="inlineStr">
        <is>
          <t>1940-07-29</t>
        </is>
      </c>
    </row>
    <row r="14856">
      <c r="A14856" s="1" t="n">
        <v>14855</v>
      </c>
      <c r="B14856">
        <f>TEXT(14855, "[$-0E0000]yyyy-mm-dd")</f>
        <v/>
      </c>
      <c r="C14856" t="inlineStr">
        <is>
          <t>1940-08-01</t>
        </is>
      </c>
    </row>
    <row r="14857">
      <c r="A14857" s="1" t="n">
        <v>14856</v>
      </c>
      <c r="B14857">
        <f>TEXT(14856, "[$-0E0000]yyyy-mm-dd")</f>
        <v/>
      </c>
      <c r="C14857" t="inlineStr">
        <is>
          <t>1940-08-02</t>
        </is>
      </c>
    </row>
    <row r="14858">
      <c r="A14858" s="1" t="n">
        <v>14857</v>
      </c>
      <c r="B14858">
        <f>TEXT(14857, "[$-0E0000]yyyy-mm-dd")</f>
        <v/>
      </c>
      <c r="C14858" t="inlineStr">
        <is>
          <t>1940-08-03</t>
        </is>
      </c>
    </row>
    <row r="14859">
      <c r="A14859" s="1" t="n">
        <v>14858</v>
      </c>
      <c r="B14859">
        <f>TEXT(14858, "[$-0E0000]yyyy-mm-dd")</f>
        <v/>
      </c>
      <c r="C14859" t="inlineStr">
        <is>
          <t>1940-08-04</t>
        </is>
      </c>
    </row>
    <row r="14860">
      <c r="A14860" s="1" t="n">
        <v>14859</v>
      </c>
      <c r="B14860">
        <f>TEXT(14859, "[$-0E0000]yyyy-mm-dd")</f>
        <v/>
      </c>
      <c r="C14860" t="inlineStr">
        <is>
          <t>1940-08-05</t>
        </is>
      </c>
    </row>
    <row r="14861">
      <c r="A14861" s="1" t="n">
        <v>14860</v>
      </c>
      <c r="B14861">
        <f>TEXT(14860, "[$-0E0000]yyyy-mm-dd")</f>
        <v/>
      </c>
      <c r="C14861" t="inlineStr">
        <is>
          <t>1940-08-06</t>
        </is>
      </c>
    </row>
    <row r="14862">
      <c r="A14862" s="1" t="n">
        <v>14861</v>
      </c>
      <c r="B14862">
        <f>TEXT(14861, "[$-0E0000]yyyy-mm-dd")</f>
        <v/>
      </c>
      <c r="C14862" t="inlineStr">
        <is>
          <t>1940-08-07</t>
        </is>
      </c>
    </row>
    <row r="14863">
      <c r="A14863" s="1" t="n">
        <v>14862</v>
      </c>
      <c r="B14863">
        <f>TEXT(14862, "[$-0E0000]yyyy-mm-dd")</f>
        <v/>
      </c>
      <c r="C14863" t="inlineStr">
        <is>
          <t>1940-08-08</t>
        </is>
      </c>
    </row>
    <row r="14864">
      <c r="A14864" s="1" t="n">
        <v>14863</v>
      </c>
      <c r="B14864">
        <f>TEXT(14863, "[$-0E0000]yyyy-mm-dd")</f>
        <v/>
      </c>
      <c r="C14864" t="inlineStr">
        <is>
          <t>1940-08-09</t>
        </is>
      </c>
    </row>
    <row r="14865">
      <c r="A14865" s="1" t="n">
        <v>14864</v>
      </c>
      <c r="B14865">
        <f>TEXT(14864, "[$-0E0000]yyyy-mm-dd")</f>
        <v/>
      </c>
      <c r="C14865" t="inlineStr">
        <is>
          <t>1940-08-10</t>
        </is>
      </c>
    </row>
    <row r="14866">
      <c r="A14866" s="1" t="n">
        <v>14865</v>
      </c>
      <c r="B14866">
        <f>TEXT(14865, "[$-0E0000]yyyy-mm-dd")</f>
        <v/>
      </c>
      <c r="C14866" t="inlineStr">
        <is>
          <t>1940-08-11</t>
        </is>
      </c>
    </row>
    <row r="14867">
      <c r="A14867" s="1" t="n">
        <v>14866</v>
      </c>
      <c r="B14867">
        <f>TEXT(14866, "[$-0E0000]yyyy-mm-dd")</f>
        <v/>
      </c>
      <c r="C14867" t="inlineStr">
        <is>
          <t>1940-08-12</t>
        </is>
      </c>
    </row>
    <row r="14868">
      <c r="A14868" s="1" t="n">
        <v>14867</v>
      </c>
      <c r="B14868">
        <f>TEXT(14867, "[$-0E0000]yyyy-mm-dd")</f>
        <v/>
      </c>
      <c r="C14868" t="inlineStr">
        <is>
          <t>1940-08-13</t>
        </is>
      </c>
    </row>
    <row r="14869">
      <c r="A14869" s="1" t="n">
        <v>14868</v>
      </c>
      <c r="B14869">
        <f>TEXT(14868, "[$-0E0000]yyyy-mm-dd")</f>
        <v/>
      </c>
      <c r="C14869" t="inlineStr">
        <is>
          <t>1940-08-14</t>
        </is>
      </c>
    </row>
    <row r="14870">
      <c r="A14870" s="1" t="n">
        <v>14869</v>
      </c>
      <c r="B14870">
        <f>TEXT(14869, "[$-0E0000]yyyy-mm-dd")</f>
        <v/>
      </c>
      <c r="C14870" t="inlineStr">
        <is>
          <t>1940-08-15</t>
        </is>
      </c>
    </row>
    <row r="14871">
      <c r="A14871" s="1" t="n">
        <v>14870</v>
      </c>
      <c r="B14871">
        <f>TEXT(14870, "[$-0E0000]yyyy-mm-dd")</f>
        <v/>
      </c>
      <c r="C14871" t="inlineStr">
        <is>
          <t>1940-08-16</t>
        </is>
      </c>
    </row>
    <row r="14872">
      <c r="A14872" s="1" t="n">
        <v>14871</v>
      </c>
      <c r="B14872">
        <f>TEXT(14871, "[$-0E0000]yyyy-mm-dd")</f>
        <v/>
      </c>
      <c r="C14872" t="inlineStr">
        <is>
          <t>1940-08-17</t>
        </is>
      </c>
    </row>
    <row r="14873">
      <c r="A14873" s="1" t="n">
        <v>14872</v>
      </c>
      <c r="B14873">
        <f>TEXT(14872, "[$-0E0000]yyyy-mm-dd")</f>
        <v/>
      </c>
      <c r="C14873" t="inlineStr">
        <is>
          <t>1940-08-18</t>
        </is>
      </c>
    </row>
    <row r="14874">
      <c r="A14874" s="1" t="n">
        <v>14873</v>
      </c>
      <c r="B14874">
        <f>TEXT(14873, "[$-0E0000]yyyy-mm-dd")</f>
        <v/>
      </c>
      <c r="C14874" t="inlineStr">
        <is>
          <t>1940-08-19</t>
        </is>
      </c>
    </row>
    <row r="14875">
      <c r="A14875" s="1" t="n">
        <v>14874</v>
      </c>
      <c r="B14875">
        <f>TEXT(14874, "[$-0E0000]yyyy-mm-dd")</f>
        <v/>
      </c>
      <c r="C14875" t="inlineStr">
        <is>
          <t>1940-08-20</t>
        </is>
      </c>
    </row>
    <row r="14876">
      <c r="A14876" s="1" t="n">
        <v>14875</v>
      </c>
      <c r="B14876">
        <f>TEXT(14875, "[$-0E0000]yyyy-mm-dd")</f>
        <v/>
      </c>
      <c r="C14876" t="inlineStr">
        <is>
          <t>1940-08-21</t>
        </is>
      </c>
    </row>
    <row r="14877">
      <c r="A14877" s="1" t="n">
        <v>14876</v>
      </c>
      <c r="B14877">
        <f>TEXT(14876, "[$-0E0000]yyyy-mm-dd")</f>
        <v/>
      </c>
      <c r="C14877" t="inlineStr">
        <is>
          <t>1940-08-22</t>
        </is>
      </c>
    </row>
    <row r="14878">
      <c r="A14878" s="1" t="n">
        <v>14877</v>
      </c>
      <c r="B14878">
        <f>TEXT(14877, "[$-0E0000]yyyy-mm-dd")</f>
        <v/>
      </c>
      <c r="C14878" t="inlineStr">
        <is>
          <t>1940-08-23</t>
        </is>
      </c>
    </row>
    <row r="14879">
      <c r="A14879" s="1" t="n">
        <v>14878</v>
      </c>
      <c r="B14879">
        <f>TEXT(14878, "[$-0E0000]yyyy-mm-dd")</f>
        <v/>
      </c>
      <c r="C14879" t="inlineStr">
        <is>
          <t>1940-08-24</t>
        </is>
      </c>
    </row>
    <row r="14880">
      <c r="A14880" s="1" t="n">
        <v>14879</v>
      </c>
      <c r="B14880">
        <f>TEXT(14879, "[$-0E0000]yyyy-mm-dd")</f>
        <v/>
      </c>
      <c r="C14880" t="inlineStr">
        <is>
          <t>1940-08-25</t>
        </is>
      </c>
    </row>
    <row r="14881">
      <c r="A14881" s="1" t="n">
        <v>14880</v>
      </c>
      <c r="B14881">
        <f>TEXT(14880, "[$-0E0000]yyyy-mm-dd")</f>
        <v/>
      </c>
      <c r="C14881" t="inlineStr">
        <is>
          <t>1940-08-26</t>
        </is>
      </c>
    </row>
    <row r="14882">
      <c r="A14882" s="1" t="n">
        <v>14881</v>
      </c>
      <c r="B14882">
        <f>TEXT(14881, "[$-0E0000]yyyy-mm-dd")</f>
        <v/>
      </c>
      <c r="C14882" t="inlineStr">
        <is>
          <t>1940-08-27</t>
        </is>
      </c>
    </row>
    <row r="14883">
      <c r="A14883" s="1" t="n">
        <v>14882</v>
      </c>
      <c r="B14883">
        <f>TEXT(14882, "[$-0E0000]yyyy-mm-dd")</f>
        <v/>
      </c>
      <c r="C14883" t="inlineStr">
        <is>
          <t>1940-08-28</t>
        </is>
      </c>
    </row>
    <row r="14884">
      <c r="A14884" s="1" t="n">
        <v>14883</v>
      </c>
      <c r="B14884">
        <f>TEXT(14883, "[$-0E0000]yyyy-mm-dd")</f>
        <v/>
      </c>
      <c r="C14884" t="inlineStr">
        <is>
          <t>1940-08-29</t>
        </is>
      </c>
    </row>
    <row r="14885">
      <c r="A14885" s="1" t="n">
        <v>14884</v>
      </c>
      <c r="B14885">
        <f>TEXT(14884, "[$-0E0000]yyyy-mm-dd")</f>
        <v/>
      </c>
      <c r="C14885" t="inlineStr">
        <is>
          <t>1940-09-01</t>
        </is>
      </c>
    </row>
    <row r="14886">
      <c r="A14886" s="1" t="n">
        <v>14885</v>
      </c>
      <c r="B14886">
        <f>TEXT(14885, "[$-0E0000]yyyy-mm-dd")</f>
        <v/>
      </c>
      <c r="C14886" t="inlineStr">
        <is>
          <t>1940-09-02</t>
        </is>
      </c>
    </row>
    <row r="14887">
      <c r="A14887" s="1" t="n">
        <v>14886</v>
      </c>
      <c r="B14887">
        <f>TEXT(14886, "[$-0E0000]yyyy-mm-dd")</f>
        <v/>
      </c>
      <c r="C14887" t="inlineStr">
        <is>
          <t>1940-09-03</t>
        </is>
      </c>
    </row>
    <row r="14888">
      <c r="A14888" s="1" t="n">
        <v>14887</v>
      </c>
      <c r="B14888">
        <f>TEXT(14887, "[$-0E0000]yyyy-mm-dd")</f>
        <v/>
      </c>
      <c r="C14888" t="inlineStr">
        <is>
          <t>1940-09-04</t>
        </is>
      </c>
    </row>
    <row r="14889">
      <c r="A14889" s="1" t="n">
        <v>14888</v>
      </c>
      <c r="B14889">
        <f>TEXT(14888, "[$-0E0000]yyyy-mm-dd")</f>
        <v/>
      </c>
      <c r="C14889" t="inlineStr">
        <is>
          <t>1940-09-05</t>
        </is>
      </c>
    </row>
    <row r="14890">
      <c r="A14890" s="1" t="n">
        <v>14889</v>
      </c>
      <c r="B14890">
        <f>TEXT(14889, "[$-0E0000]yyyy-mm-dd")</f>
        <v/>
      </c>
      <c r="C14890" t="inlineStr">
        <is>
          <t>1940-09-06</t>
        </is>
      </c>
    </row>
    <row r="14891">
      <c r="A14891" s="1" t="n">
        <v>14890</v>
      </c>
      <c r="B14891">
        <f>TEXT(14890, "[$-0E0000]yyyy-mm-dd")</f>
        <v/>
      </c>
      <c r="C14891" t="inlineStr">
        <is>
          <t>1940-09-07</t>
        </is>
      </c>
    </row>
    <row r="14892">
      <c r="A14892" s="1" t="n">
        <v>14891</v>
      </c>
      <c r="B14892">
        <f>TEXT(14891, "[$-0E0000]yyyy-mm-dd")</f>
        <v/>
      </c>
      <c r="C14892" t="inlineStr">
        <is>
          <t>1940-09-08</t>
        </is>
      </c>
    </row>
    <row r="14893">
      <c r="A14893" s="1" t="n">
        <v>14892</v>
      </c>
      <c r="B14893">
        <f>TEXT(14892, "[$-0E0000]yyyy-mm-dd")</f>
        <v/>
      </c>
      <c r="C14893" t="inlineStr">
        <is>
          <t>1940-09-09</t>
        </is>
      </c>
    </row>
    <row r="14894">
      <c r="A14894" s="1" t="n">
        <v>14893</v>
      </c>
      <c r="B14894">
        <f>TEXT(14893, "[$-0E0000]yyyy-mm-dd")</f>
        <v/>
      </c>
      <c r="C14894" t="inlineStr">
        <is>
          <t>1940-09-10</t>
        </is>
      </c>
    </row>
    <row r="14895">
      <c r="A14895" s="1" t="n">
        <v>14894</v>
      </c>
      <c r="B14895">
        <f>TEXT(14894, "[$-0E0000]yyyy-mm-dd")</f>
        <v/>
      </c>
      <c r="C14895" t="inlineStr">
        <is>
          <t>1940-09-11</t>
        </is>
      </c>
    </row>
    <row r="14896">
      <c r="A14896" s="1" t="n">
        <v>14895</v>
      </c>
      <c r="B14896">
        <f>TEXT(14895, "[$-0E0000]yyyy-mm-dd")</f>
        <v/>
      </c>
      <c r="C14896" t="inlineStr">
        <is>
          <t>1940-09-12</t>
        </is>
      </c>
    </row>
    <row r="14897">
      <c r="A14897" s="1" t="n">
        <v>14896</v>
      </c>
      <c r="B14897">
        <f>TEXT(14896, "[$-0E0000]yyyy-mm-dd")</f>
        <v/>
      </c>
      <c r="C14897" t="inlineStr">
        <is>
          <t>1940-09-13</t>
        </is>
      </c>
    </row>
    <row r="14898">
      <c r="A14898" s="1" t="n">
        <v>14897</v>
      </c>
      <c r="B14898">
        <f>TEXT(14897, "[$-0E0000]yyyy-mm-dd")</f>
        <v/>
      </c>
      <c r="C14898" t="inlineStr">
        <is>
          <t>1940-09-14</t>
        </is>
      </c>
    </row>
    <row r="14899">
      <c r="A14899" s="1" t="n">
        <v>14898</v>
      </c>
      <c r="B14899">
        <f>TEXT(14898, "[$-0E0000]yyyy-mm-dd")</f>
        <v/>
      </c>
      <c r="C14899" t="inlineStr">
        <is>
          <t>1940-09-15</t>
        </is>
      </c>
    </row>
    <row r="14900">
      <c r="A14900" s="1" t="n">
        <v>14899</v>
      </c>
      <c r="B14900">
        <f>TEXT(14899, "[$-0E0000]yyyy-mm-dd")</f>
        <v/>
      </c>
      <c r="C14900" t="inlineStr">
        <is>
          <t>1940-09-16</t>
        </is>
      </c>
    </row>
    <row r="14901">
      <c r="A14901" s="1" t="n">
        <v>14900</v>
      </c>
      <c r="B14901">
        <f>TEXT(14900, "[$-0E0000]yyyy-mm-dd")</f>
        <v/>
      </c>
      <c r="C14901" t="inlineStr">
        <is>
          <t>1940-09-17</t>
        </is>
      </c>
    </row>
    <row r="14902">
      <c r="A14902" s="1" t="n">
        <v>14901</v>
      </c>
      <c r="B14902">
        <f>TEXT(14901, "[$-0E0000]yyyy-mm-dd")</f>
        <v/>
      </c>
      <c r="C14902" t="inlineStr">
        <is>
          <t>1940-09-18</t>
        </is>
      </c>
    </row>
    <row r="14903">
      <c r="A14903" s="1" t="n">
        <v>14902</v>
      </c>
      <c r="B14903">
        <f>TEXT(14902, "[$-0E0000]yyyy-mm-dd")</f>
        <v/>
      </c>
      <c r="C14903" t="inlineStr">
        <is>
          <t>1940-09-19</t>
        </is>
      </c>
    </row>
    <row r="14904">
      <c r="A14904" s="1" t="n">
        <v>14903</v>
      </c>
      <c r="B14904">
        <f>TEXT(14903, "[$-0E0000]yyyy-mm-dd")</f>
        <v/>
      </c>
      <c r="C14904" t="inlineStr">
        <is>
          <t>1940-09-20</t>
        </is>
      </c>
    </row>
    <row r="14905">
      <c r="A14905" s="1" t="n">
        <v>14904</v>
      </c>
      <c r="B14905">
        <f>TEXT(14904, "[$-0E0000]yyyy-mm-dd")</f>
        <v/>
      </c>
      <c r="C14905" t="inlineStr">
        <is>
          <t>1940-09-21</t>
        </is>
      </c>
    </row>
    <row r="14906">
      <c r="A14906" s="1" t="n">
        <v>14905</v>
      </c>
      <c r="B14906">
        <f>TEXT(14905, "[$-0E0000]yyyy-mm-dd")</f>
        <v/>
      </c>
      <c r="C14906" t="inlineStr">
        <is>
          <t>1940-09-22</t>
        </is>
      </c>
    </row>
    <row r="14907">
      <c r="A14907" s="1" t="n">
        <v>14906</v>
      </c>
      <c r="B14907">
        <f>TEXT(14906, "[$-0E0000]yyyy-mm-dd")</f>
        <v/>
      </c>
      <c r="C14907" t="inlineStr">
        <is>
          <t>1940-09-23</t>
        </is>
      </c>
    </row>
    <row r="14908">
      <c r="A14908" s="1" t="n">
        <v>14907</v>
      </c>
      <c r="B14908">
        <f>TEXT(14907, "[$-0E0000]yyyy-mm-dd")</f>
        <v/>
      </c>
      <c r="C14908" t="inlineStr">
        <is>
          <t>1940-09-24</t>
        </is>
      </c>
    </row>
    <row r="14909">
      <c r="A14909" s="1" t="n">
        <v>14908</v>
      </c>
      <c r="B14909">
        <f>TEXT(14908, "[$-0E0000]yyyy-mm-dd")</f>
        <v/>
      </c>
      <c r="C14909" t="inlineStr">
        <is>
          <t>1940-09-25</t>
        </is>
      </c>
    </row>
    <row r="14910">
      <c r="A14910" s="1" t="n">
        <v>14909</v>
      </c>
      <c r="B14910">
        <f>TEXT(14909, "[$-0E0000]yyyy-mm-dd")</f>
        <v/>
      </c>
      <c r="C14910" t="inlineStr">
        <is>
          <t>1940-09-26</t>
        </is>
      </c>
    </row>
    <row r="14911">
      <c r="A14911" s="1" t="n">
        <v>14910</v>
      </c>
      <c r="B14911">
        <f>TEXT(14910, "[$-0E0000]yyyy-mm-dd")</f>
        <v/>
      </c>
      <c r="C14911" t="inlineStr">
        <is>
          <t>1940-09-27</t>
        </is>
      </c>
    </row>
    <row r="14912">
      <c r="A14912" s="1" t="n">
        <v>14911</v>
      </c>
      <c r="B14912">
        <f>TEXT(14911, "[$-0E0000]yyyy-mm-dd")</f>
        <v/>
      </c>
      <c r="C14912" t="inlineStr">
        <is>
          <t>1940-09-28</t>
        </is>
      </c>
    </row>
    <row r="14913">
      <c r="A14913" s="1" t="n">
        <v>14912</v>
      </c>
      <c r="B14913">
        <f>TEXT(14912, "[$-0E0000]yyyy-mm-dd")</f>
        <v/>
      </c>
      <c r="C14913" t="inlineStr">
        <is>
          <t>1940-09-29</t>
        </is>
      </c>
    </row>
    <row r="14914">
      <c r="A14914" s="1" t="n">
        <v>14913</v>
      </c>
      <c r="B14914">
        <f>TEXT(14913, "[$-0E0000]yyyy-mm-dd")</f>
        <v/>
      </c>
      <c r="C14914" t="inlineStr">
        <is>
          <t>1940-09-30</t>
        </is>
      </c>
    </row>
    <row r="14915">
      <c r="A14915" s="1" t="n">
        <v>14914</v>
      </c>
      <c r="B14915">
        <f>TEXT(14914, "[$-0E0000]yyyy-mm-dd")</f>
        <v/>
      </c>
      <c r="C14915" t="inlineStr">
        <is>
          <t>1940-10-01</t>
        </is>
      </c>
    </row>
    <row r="14916">
      <c r="A14916" s="1" t="n">
        <v>14915</v>
      </c>
      <c r="B14916">
        <f>TEXT(14915, "[$-0E0000]yyyy-mm-dd")</f>
        <v/>
      </c>
      <c r="C14916" t="inlineStr">
        <is>
          <t>1940-10-02</t>
        </is>
      </c>
    </row>
    <row r="14917">
      <c r="A14917" s="1" t="n">
        <v>14916</v>
      </c>
      <c r="B14917">
        <f>TEXT(14916, "[$-0E0000]yyyy-mm-dd")</f>
        <v/>
      </c>
      <c r="C14917" t="inlineStr">
        <is>
          <t>1940-10-03</t>
        </is>
      </c>
    </row>
    <row r="14918">
      <c r="A14918" s="1" t="n">
        <v>14917</v>
      </c>
      <c r="B14918">
        <f>TEXT(14917, "[$-0E0000]yyyy-mm-dd")</f>
        <v/>
      </c>
      <c r="C14918" t="inlineStr">
        <is>
          <t>1940-10-04</t>
        </is>
      </c>
    </row>
    <row r="14919">
      <c r="A14919" s="1" t="n">
        <v>14918</v>
      </c>
      <c r="B14919">
        <f>TEXT(14918, "[$-0E0000]yyyy-mm-dd")</f>
        <v/>
      </c>
      <c r="C14919" t="inlineStr">
        <is>
          <t>1940-10-05</t>
        </is>
      </c>
    </row>
    <row r="14920">
      <c r="A14920" s="1" t="n">
        <v>14919</v>
      </c>
      <c r="B14920">
        <f>TEXT(14919, "[$-0E0000]yyyy-mm-dd")</f>
        <v/>
      </c>
      <c r="C14920" t="inlineStr">
        <is>
          <t>1940-10-06</t>
        </is>
      </c>
    </row>
    <row r="14921">
      <c r="A14921" s="1" t="n">
        <v>14920</v>
      </c>
      <c r="B14921">
        <f>TEXT(14920, "[$-0E0000]yyyy-mm-dd")</f>
        <v/>
      </c>
      <c r="C14921" t="inlineStr">
        <is>
          <t>1940-10-07</t>
        </is>
      </c>
    </row>
    <row r="14922">
      <c r="A14922" s="1" t="n">
        <v>14921</v>
      </c>
      <c r="B14922">
        <f>TEXT(14921, "[$-0E0000]yyyy-mm-dd")</f>
        <v/>
      </c>
      <c r="C14922" t="inlineStr">
        <is>
          <t>1940-10-08</t>
        </is>
      </c>
    </row>
    <row r="14923">
      <c r="A14923" s="1" t="n">
        <v>14922</v>
      </c>
      <c r="B14923">
        <f>TEXT(14922, "[$-0E0000]yyyy-mm-dd")</f>
        <v/>
      </c>
      <c r="C14923" t="inlineStr">
        <is>
          <t>1940-10-09</t>
        </is>
      </c>
    </row>
    <row r="14924">
      <c r="A14924" s="1" t="n">
        <v>14923</v>
      </c>
      <c r="B14924">
        <f>TEXT(14923, "[$-0E0000]yyyy-mm-dd")</f>
        <v/>
      </c>
      <c r="C14924" t="inlineStr">
        <is>
          <t>1940-10-10</t>
        </is>
      </c>
    </row>
    <row r="14925">
      <c r="A14925" s="1" t="n">
        <v>14924</v>
      </c>
      <c r="B14925">
        <f>TEXT(14924, "[$-0E0000]yyyy-mm-dd")</f>
        <v/>
      </c>
      <c r="C14925" t="inlineStr">
        <is>
          <t>1940-10-11</t>
        </is>
      </c>
    </row>
    <row r="14926">
      <c r="A14926" s="1" t="n">
        <v>14925</v>
      </c>
      <c r="B14926">
        <f>TEXT(14925, "[$-0E0000]yyyy-mm-dd")</f>
        <v/>
      </c>
      <c r="C14926" t="inlineStr">
        <is>
          <t>1940-10-12</t>
        </is>
      </c>
    </row>
    <row r="14927">
      <c r="A14927" s="1" t="n">
        <v>14926</v>
      </c>
      <c r="B14927">
        <f>TEXT(14926, "[$-0E0000]yyyy-mm-dd")</f>
        <v/>
      </c>
      <c r="C14927" t="inlineStr">
        <is>
          <t>1940-10-13</t>
        </is>
      </c>
    </row>
    <row r="14928">
      <c r="A14928" s="1" t="n">
        <v>14927</v>
      </c>
      <c r="B14928">
        <f>TEXT(14927, "[$-0E0000]yyyy-mm-dd")</f>
        <v/>
      </c>
      <c r="C14928" t="inlineStr">
        <is>
          <t>1940-10-14</t>
        </is>
      </c>
    </row>
    <row r="14929">
      <c r="A14929" s="1" t="n">
        <v>14928</v>
      </c>
      <c r="B14929">
        <f>TEXT(14928, "[$-0E0000]yyyy-mm-dd")</f>
        <v/>
      </c>
      <c r="C14929" t="inlineStr">
        <is>
          <t>1940-10-15</t>
        </is>
      </c>
    </row>
    <row r="14930">
      <c r="A14930" s="1" t="n">
        <v>14929</v>
      </c>
      <c r="B14930">
        <f>TEXT(14929, "[$-0E0000]yyyy-mm-dd")</f>
        <v/>
      </c>
      <c r="C14930" t="inlineStr">
        <is>
          <t>1940-10-16</t>
        </is>
      </c>
    </row>
    <row r="14931">
      <c r="A14931" s="1" t="n">
        <v>14930</v>
      </c>
      <c r="B14931">
        <f>TEXT(14930, "[$-0E0000]yyyy-mm-dd")</f>
        <v/>
      </c>
      <c r="C14931" t="inlineStr">
        <is>
          <t>1940-10-17</t>
        </is>
      </c>
    </row>
    <row r="14932">
      <c r="A14932" s="1" t="n">
        <v>14931</v>
      </c>
      <c r="B14932">
        <f>TEXT(14931, "[$-0E0000]yyyy-mm-dd")</f>
        <v/>
      </c>
      <c r="C14932" t="inlineStr">
        <is>
          <t>1940-10-18</t>
        </is>
      </c>
    </row>
    <row r="14933">
      <c r="A14933" s="1" t="n">
        <v>14932</v>
      </c>
      <c r="B14933">
        <f>TEXT(14932, "[$-0E0000]yyyy-mm-dd")</f>
        <v/>
      </c>
      <c r="C14933" t="inlineStr">
        <is>
          <t>1940-10-19</t>
        </is>
      </c>
    </row>
    <row r="14934">
      <c r="A14934" s="1" t="n">
        <v>14933</v>
      </c>
      <c r="B14934">
        <f>TEXT(14933, "[$-0E0000]yyyy-mm-dd")</f>
        <v/>
      </c>
      <c r="C14934" t="inlineStr">
        <is>
          <t>1940-10-20</t>
        </is>
      </c>
    </row>
    <row r="14935">
      <c r="A14935" s="1" t="n">
        <v>14934</v>
      </c>
      <c r="B14935">
        <f>TEXT(14934, "[$-0E0000]yyyy-mm-dd")</f>
        <v/>
      </c>
      <c r="C14935" t="inlineStr">
        <is>
          <t>1940-10-21</t>
        </is>
      </c>
    </row>
    <row r="14936">
      <c r="A14936" s="1" t="n">
        <v>14935</v>
      </c>
      <c r="B14936">
        <f>TEXT(14935, "[$-0E0000]yyyy-mm-dd")</f>
        <v/>
      </c>
      <c r="C14936" t="inlineStr">
        <is>
          <t>1940-10-22</t>
        </is>
      </c>
    </row>
    <row r="14937">
      <c r="A14937" s="1" t="n">
        <v>14936</v>
      </c>
      <c r="B14937">
        <f>TEXT(14936, "[$-0E0000]yyyy-mm-dd")</f>
        <v/>
      </c>
      <c r="C14937" t="inlineStr">
        <is>
          <t>1940-10-23</t>
        </is>
      </c>
    </row>
    <row r="14938">
      <c r="A14938" s="1" t="n">
        <v>14937</v>
      </c>
      <c r="B14938">
        <f>TEXT(14937, "[$-0E0000]yyyy-mm-dd")</f>
        <v/>
      </c>
      <c r="C14938" t="inlineStr">
        <is>
          <t>1940-10-24</t>
        </is>
      </c>
    </row>
    <row r="14939">
      <c r="A14939" s="1" t="n">
        <v>14938</v>
      </c>
      <c r="B14939">
        <f>TEXT(14938, "[$-0E0000]yyyy-mm-dd")</f>
        <v/>
      </c>
      <c r="C14939" t="inlineStr">
        <is>
          <t>1940-10-25</t>
        </is>
      </c>
    </row>
    <row r="14940">
      <c r="A14940" s="1" t="n">
        <v>14939</v>
      </c>
      <c r="B14940">
        <f>TEXT(14939, "[$-0E0000]yyyy-mm-dd")</f>
        <v/>
      </c>
      <c r="C14940" t="inlineStr">
        <is>
          <t>1940-10-26</t>
        </is>
      </c>
    </row>
    <row r="14941">
      <c r="A14941" s="1" t="n">
        <v>14940</v>
      </c>
      <c r="B14941">
        <f>TEXT(14940, "[$-0E0000]yyyy-mm-dd")</f>
        <v/>
      </c>
      <c r="C14941" t="inlineStr">
        <is>
          <t>1940-10-27</t>
        </is>
      </c>
    </row>
    <row r="14942">
      <c r="A14942" s="1" t="n">
        <v>14941</v>
      </c>
      <c r="B14942">
        <f>TEXT(14941, "[$-0E0000]yyyy-mm-dd")</f>
        <v/>
      </c>
      <c r="C14942" t="inlineStr">
        <is>
          <t>1940-10-28</t>
        </is>
      </c>
    </row>
    <row r="14943">
      <c r="A14943" s="1" t="n">
        <v>14942</v>
      </c>
      <c r="B14943">
        <f>TEXT(14942, "[$-0E0000]yyyy-mm-dd")</f>
        <v/>
      </c>
      <c r="C14943" t="inlineStr">
        <is>
          <t>1940-10-29</t>
        </is>
      </c>
    </row>
    <row r="14944">
      <c r="A14944" s="1" t="n">
        <v>14943</v>
      </c>
      <c r="B14944">
        <f>TEXT(14943, "[$-0E0000]yyyy-mm-dd")</f>
        <v/>
      </c>
      <c r="C14944" t="inlineStr">
        <is>
          <t>1940-11-01</t>
        </is>
      </c>
    </row>
    <row r="14945">
      <c r="A14945" s="1" t="n">
        <v>14944</v>
      </c>
      <c r="B14945">
        <f>TEXT(14944, "[$-0E0000]yyyy-mm-dd")</f>
        <v/>
      </c>
      <c r="C14945" t="inlineStr">
        <is>
          <t>1940-11-02</t>
        </is>
      </c>
    </row>
    <row r="14946">
      <c r="A14946" s="1" t="n">
        <v>14945</v>
      </c>
      <c r="B14946">
        <f>TEXT(14945, "[$-0E0000]yyyy-mm-dd")</f>
        <v/>
      </c>
      <c r="C14946" t="inlineStr">
        <is>
          <t>1940-11-03</t>
        </is>
      </c>
    </row>
    <row r="14947">
      <c r="A14947" s="1" t="n">
        <v>14946</v>
      </c>
      <c r="B14947">
        <f>TEXT(14946, "[$-0E0000]yyyy-mm-dd")</f>
        <v/>
      </c>
      <c r="C14947" t="inlineStr">
        <is>
          <t>1940-11-04</t>
        </is>
      </c>
    </row>
    <row r="14948">
      <c r="A14948" s="1" t="n">
        <v>14947</v>
      </c>
      <c r="B14948">
        <f>TEXT(14947, "[$-0E0000]yyyy-mm-dd")</f>
        <v/>
      </c>
      <c r="C14948" t="inlineStr">
        <is>
          <t>1940-11-05</t>
        </is>
      </c>
    </row>
    <row r="14949">
      <c r="A14949" s="1" t="n">
        <v>14948</v>
      </c>
      <c r="B14949">
        <f>TEXT(14948, "[$-0E0000]yyyy-mm-dd")</f>
        <v/>
      </c>
      <c r="C14949" t="inlineStr">
        <is>
          <t>1940-11-06</t>
        </is>
      </c>
    </row>
    <row r="14950">
      <c r="A14950" s="1" t="n">
        <v>14949</v>
      </c>
      <c r="B14950">
        <f>TEXT(14949, "[$-0E0000]yyyy-mm-dd")</f>
        <v/>
      </c>
      <c r="C14950" t="inlineStr">
        <is>
          <t>1940-11-07</t>
        </is>
      </c>
    </row>
    <row r="14951">
      <c r="A14951" s="1" t="n">
        <v>14950</v>
      </c>
      <c r="B14951">
        <f>TEXT(14950, "[$-0E0000]yyyy-mm-dd")</f>
        <v/>
      </c>
      <c r="C14951" t="inlineStr">
        <is>
          <t>1940-11-08</t>
        </is>
      </c>
    </row>
    <row r="14952">
      <c r="A14952" s="1" t="n">
        <v>14951</v>
      </c>
      <c r="B14952">
        <f>TEXT(14951, "[$-0E0000]yyyy-mm-dd")</f>
        <v/>
      </c>
      <c r="C14952" t="inlineStr">
        <is>
          <t>1940-11-09</t>
        </is>
      </c>
    </row>
    <row r="14953">
      <c r="A14953" s="1" t="n">
        <v>14952</v>
      </c>
      <c r="B14953">
        <f>TEXT(14952, "[$-0E0000]yyyy-mm-dd")</f>
        <v/>
      </c>
      <c r="C14953" t="inlineStr">
        <is>
          <t>1940-11-10</t>
        </is>
      </c>
    </row>
    <row r="14954">
      <c r="A14954" s="1" t="n">
        <v>14953</v>
      </c>
      <c r="B14954">
        <f>TEXT(14953, "[$-0E0000]yyyy-mm-dd")</f>
        <v/>
      </c>
      <c r="C14954" t="inlineStr">
        <is>
          <t>1940-11-11</t>
        </is>
      </c>
    </row>
    <row r="14955">
      <c r="A14955" s="1" t="n">
        <v>14954</v>
      </c>
      <c r="B14955">
        <f>TEXT(14954, "[$-0E0000]yyyy-mm-dd")</f>
        <v/>
      </c>
      <c r="C14955" t="inlineStr">
        <is>
          <t>1940-11-12</t>
        </is>
      </c>
    </row>
    <row r="14956">
      <c r="A14956" s="1" t="n">
        <v>14955</v>
      </c>
      <c r="B14956">
        <f>TEXT(14955, "[$-0E0000]yyyy-mm-dd")</f>
        <v/>
      </c>
      <c r="C14956" t="inlineStr">
        <is>
          <t>1940-11-13</t>
        </is>
      </c>
    </row>
    <row r="14957">
      <c r="A14957" s="1" t="n">
        <v>14956</v>
      </c>
      <c r="B14957">
        <f>TEXT(14956, "[$-0E0000]yyyy-mm-dd")</f>
        <v/>
      </c>
      <c r="C14957" t="inlineStr">
        <is>
          <t>1940-11-14</t>
        </is>
      </c>
    </row>
    <row r="14958">
      <c r="A14958" s="1" t="n">
        <v>14957</v>
      </c>
      <c r="B14958">
        <f>TEXT(14957, "[$-0E0000]yyyy-mm-dd")</f>
        <v/>
      </c>
      <c r="C14958" t="inlineStr">
        <is>
          <t>1940-11-15</t>
        </is>
      </c>
    </row>
    <row r="14959">
      <c r="A14959" s="1" t="n">
        <v>14958</v>
      </c>
      <c r="B14959">
        <f>TEXT(14958, "[$-0E0000]yyyy-mm-dd")</f>
        <v/>
      </c>
      <c r="C14959" t="inlineStr">
        <is>
          <t>1940-11-16</t>
        </is>
      </c>
    </row>
    <row r="14960">
      <c r="A14960" s="1" t="n">
        <v>14959</v>
      </c>
      <c r="B14960">
        <f>TEXT(14959, "[$-0E0000]yyyy-mm-dd")</f>
        <v/>
      </c>
      <c r="C14960" t="inlineStr">
        <is>
          <t>1940-11-17</t>
        </is>
      </c>
    </row>
    <row r="14961">
      <c r="A14961" s="1" t="n">
        <v>14960</v>
      </c>
      <c r="B14961">
        <f>TEXT(14960, "[$-0E0000]yyyy-mm-dd")</f>
        <v/>
      </c>
      <c r="C14961" t="inlineStr">
        <is>
          <t>1940-11-18</t>
        </is>
      </c>
    </row>
    <row r="14962">
      <c r="A14962" s="1" t="n">
        <v>14961</v>
      </c>
      <c r="B14962">
        <f>TEXT(14961, "[$-0E0000]yyyy-mm-dd")</f>
        <v/>
      </c>
      <c r="C14962" t="inlineStr">
        <is>
          <t>1940-11-19</t>
        </is>
      </c>
    </row>
    <row r="14963">
      <c r="A14963" s="1" t="n">
        <v>14962</v>
      </c>
      <c r="B14963">
        <f>TEXT(14962, "[$-0E0000]yyyy-mm-dd")</f>
        <v/>
      </c>
      <c r="C14963" t="inlineStr">
        <is>
          <t>1940-11-20</t>
        </is>
      </c>
    </row>
    <row r="14964">
      <c r="A14964" s="1" t="n">
        <v>14963</v>
      </c>
      <c r="B14964">
        <f>TEXT(14963, "[$-0E0000]yyyy-mm-dd")</f>
        <v/>
      </c>
      <c r="C14964" t="inlineStr">
        <is>
          <t>1940-11-21</t>
        </is>
      </c>
    </row>
    <row r="14965">
      <c r="A14965" s="1" t="n">
        <v>14964</v>
      </c>
      <c r="B14965">
        <f>TEXT(14964, "[$-0E0000]yyyy-mm-dd")</f>
        <v/>
      </c>
      <c r="C14965" t="inlineStr">
        <is>
          <t>1940-11-22</t>
        </is>
      </c>
    </row>
    <row r="14966">
      <c r="A14966" s="1" t="n">
        <v>14965</v>
      </c>
      <c r="B14966">
        <f>TEXT(14965, "[$-0E0000]yyyy-mm-dd")</f>
        <v/>
      </c>
      <c r="C14966" t="inlineStr">
        <is>
          <t>1940-11-23</t>
        </is>
      </c>
    </row>
    <row r="14967">
      <c r="A14967" s="1" t="n">
        <v>14966</v>
      </c>
      <c r="B14967">
        <f>TEXT(14966, "[$-0E0000]yyyy-mm-dd")</f>
        <v/>
      </c>
      <c r="C14967" t="inlineStr">
        <is>
          <t>1940-11-24</t>
        </is>
      </c>
    </row>
    <row r="14968">
      <c r="A14968" s="1" t="n">
        <v>14967</v>
      </c>
      <c r="B14968">
        <f>TEXT(14967, "[$-0E0000]yyyy-mm-dd")</f>
        <v/>
      </c>
      <c r="C14968" t="inlineStr">
        <is>
          <t>1940-11-25</t>
        </is>
      </c>
    </row>
    <row r="14969">
      <c r="A14969" s="1" t="n">
        <v>14968</v>
      </c>
      <c r="B14969">
        <f>TEXT(14968, "[$-0E0000]yyyy-mm-dd")</f>
        <v/>
      </c>
      <c r="C14969" t="inlineStr">
        <is>
          <t>1940-11-26</t>
        </is>
      </c>
    </row>
    <row r="14970">
      <c r="A14970" s="1" t="n">
        <v>14969</v>
      </c>
      <c r="B14970">
        <f>TEXT(14969, "[$-0E0000]yyyy-mm-dd")</f>
        <v/>
      </c>
      <c r="C14970" t="inlineStr">
        <is>
          <t>1940-11-27</t>
        </is>
      </c>
    </row>
    <row r="14971">
      <c r="A14971" s="1" t="n">
        <v>14970</v>
      </c>
      <c r="B14971">
        <f>TEXT(14970, "[$-0E0000]yyyy-mm-dd")</f>
        <v/>
      </c>
      <c r="C14971" t="inlineStr">
        <is>
          <t>1940-11-28</t>
        </is>
      </c>
    </row>
    <row r="14972">
      <c r="A14972" s="1" t="n">
        <v>14971</v>
      </c>
      <c r="B14972">
        <f>TEXT(14971, "[$-0E0000]yyyy-mm-dd")</f>
        <v/>
      </c>
      <c r="C14972" t="inlineStr">
        <is>
          <t>1940-11-29</t>
        </is>
      </c>
    </row>
    <row r="14973">
      <c r="A14973" s="1" t="n">
        <v>14972</v>
      </c>
      <c r="B14973">
        <f>TEXT(14972, "[$-0E0000]yyyy-mm-dd")</f>
        <v/>
      </c>
      <c r="C14973" t="inlineStr">
        <is>
          <t>1940-11-30</t>
        </is>
      </c>
    </row>
    <row r="14974">
      <c r="A14974" s="1" t="n">
        <v>14973</v>
      </c>
      <c r="B14974">
        <f>TEXT(14973, "[$-0E0000]yyyy-mm-dd")</f>
        <v/>
      </c>
      <c r="C14974" t="inlineStr">
        <is>
          <t>1940-12-01</t>
        </is>
      </c>
    </row>
    <row r="14975">
      <c r="A14975" s="1" t="n">
        <v>14974</v>
      </c>
      <c r="B14975">
        <f>TEXT(14974, "[$-0E0000]yyyy-mm-dd")</f>
        <v/>
      </c>
      <c r="C14975" t="inlineStr">
        <is>
          <t>1940-12-02</t>
        </is>
      </c>
    </row>
    <row r="14976">
      <c r="A14976" s="1" t="n">
        <v>14975</v>
      </c>
      <c r="B14976">
        <f>TEXT(14975, "[$-0E0000]yyyy-mm-dd")</f>
        <v/>
      </c>
      <c r="C14976" t="inlineStr">
        <is>
          <t>1940-12-03</t>
        </is>
      </c>
    </row>
    <row r="14977">
      <c r="A14977" s="1" t="n">
        <v>14976</v>
      </c>
      <c r="B14977">
        <f>TEXT(14976, "[$-0E0000]yyyy-mm-dd")</f>
        <v/>
      </c>
      <c r="C14977" t="inlineStr">
        <is>
          <t>1940-12-04</t>
        </is>
      </c>
    </row>
    <row r="14978">
      <c r="A14978" s="1" t="n">
        <v>14977</v>
      </c>
      <c r="B14978">
        <f>TEXT(14977, "[$-0E0000]yyyy-mm-dd")</f>
        <v/>
      </c>
      <c r="C14978" t="inlineStr">
        <is>
          <t>1940-12-05</t>
        </is>
      </c>
    </row>
    <row r="14979">
      <c r="A14979" s="1" t="n">
        <v>14978</v>
      </c>
      <c r="B14979">
        <f>TEXT(14978, "[$-0E0000]yyyy-mm-dd")</f>
        <v/>
      </c>
      <c r="C14979" t="inlineStr">
        <is>
          <t>1940-12-06</t>
        </is>
      </c>
    </row>
    <row r="14980">
      <c r="A14980" s="1" t="n">
        <v>14979</v>
      </c>
      <c r="B14980">
        <f>TEXT(14979, "[$-0E0000]yyyy-mm-dd")</f>
        <v/>
      </c>
      <c r="C14980" t="inlineStr">
        <is>
          <t>1940-12-07</t>
        </is>
      </c>
    </row>
    <row r="14981">
      <c r="A14981" s="1" t="n">
        <v>14980</v>
      </c>
      <c r="B14981">
        <f>TEXT(14980, "[$-0E0000]yyyy-mm-dd")</f>
        <v/>
      </c>
      <c r="C14981" t="inlineStr">
        <is>
          <t>1940-12-08</t>
        </is>
      </c>
    </row>
    <row r="14982">
      <c r="A14982" s="1" t="n">
        <v>14981</v>
      </c>
      <c r="B14982">
        <f>TEXT(14981, "[$-0E0000]yyyy-mm-dd")</f>
        <v/>
      </c>
      <c r="C14982" t="inlineStr">
        <is>
          <t>1940-12-09</t>
        </is>
      </c>
    </row>
    <row r="14983">
      <c r="A14983" s="1" t="n">
        <v>14982</v>
      </c>
      <c r="B14983">
        <f>TEXT(14982, "[$-0E0000]yyyy-mm-dd")</f>
        <v/>
      </c>
      <c r="C14983" t="inlineStr">
        <is>
          <t>1940-12-10</t>
        </is>
      </c>
    </row>
    <row r="14984">
      <c r="A14984" s="1" t="n">
        <v>14983</v>
      </c>
      <c r="B14984">
        <f>TEXT(14983, "[$-0E0000]yyyy-mm-dd")</f>
        <v/>
      </c>
      <c r="C14984" t="inlineStr">
        <is>
          <t>1940-12-11</t>
        </is>
      </c>
    </row>
    <row r="14985">
      <c r="A14985" s="1" t="n">
        <v>14984</v>
      </c>
      <c r="B14985">
        <f>TEXT(14984, "[$-0E0000]yyyy-mm-dd")</f>
        <v/>
      </c>
      <c r="C14985" t="inlineStr">
        <is>
          <t>1940-12-12</t>
        </is>
      </c>
    </row>
    <row r="14986">
      <c r="A14986" s="1" t="n">
        <v>14985</v>
      </c>
      <c r="B14986">
        <f>TEXT(14985, "[$-0E0000]yyyy-mm-dd")</f>
        <v/>
      </c>
      <c r="C14986" t="inlineStr">
        <is>
          <t>1940-12-13</t>
        </is>
      </c>
    </row>
    <row r="14987">
      <c r="A14987" s="1" t="n">
        <v>14986</v>
      </c>
      <c r="B14987">
        <f>TEXT(14986, "[$-0E0000]yyyy-mm-dd")</f>
        <v/>
      </c>
      <c r="C14987" t="inlineStr">
        <is>
          <t>1940-12-14</t>
        </is>
      </c>
    </row>
    <row r="14988">
      <c r="A14988" s="1" t="n">
        <v>14987</v>
      </c>
      <c r="B14988">
        <f>TEXT(14987, "[$-0E0000]yyyy-mm-dd")</f>
        <v/>
      </c>
      <c r="C14988" t="inlineStr">
        <is>
          <t>1940-12-15</t>
        </is>
      </c>
    </row>
    <row r="14989">
      <c r="A14989" s="1" t="n">
        <v>14988</v>
      </c>
      <c r="B14989">
        <f>TEXT(14988, "[$-0E0000]yyyy-mm-dd")</f>
        <v/>
      </c>
      <c r="C14989" t="inlineStr">
        <is>
          <t>1940-12-16</t>
        </is>
      </c>
    </row>
    <row r="14990">
      <c r="A14990" s="1" t="n">
        <v>14989</v>
      </c>
      <c r="B14990">
        <f>TEXT(14989, "[$-0E0000]yyyy-mm-dd")</f>
        <v/>
      </c>
      <c r="C14990" t="inlineStr">
        <is>
          <t>1940-12-17</t>
        </is>
      </c>
    </row>
    <row r="14991">
      <c r="A14991" s="1" t="n">
        <v>14990</v>
      </c>
      <c r="B14991">
        <f>TEXT(14990, "[$-0E0000]yyyy-mm-dd")</f>
        <v/>
      </c>
      <c r="C14991" t="inlineStr">
        <is>
          <t>1940-12-18</t>
        </is>
      </c>
    </row>
    <row r="14992">
      <c r="A14992" s="1" t="n">
        <v>14991</v>
      </c>
      <c r="B14992">
        <f>TEXT(14991, "[$-0E0000]yyyy-mm-dd")</f>
        <v/>
      </c>
      <c r="C14992" t="inlineStr">
        <is>
          <t>1940-12-19</t>
        </is>
      </c>
    </row>
    <row r="14993">
      <c r="A14993" s="1" t="n">
        <v>14992</v>
      </c>
      <c r="B14993">
        <f>TEXT(14992, "[$-0E0000]yyyy-mm-dd")</f>
        <v/>
      </c>
      <c r="C14993" t="inlineStr">
        <is>
          <t>1940-12-20</t>
        </is>
      </c>
    </row>
    <row r="14994">
      <c r="A14994" s="1" t="n">
        <v>14993</v>
      </c>
      <c r="B14994">
        <f>TEXT(14993, "[$-0E0000]yyyy-mm-dd")</f>
        <v/>
      </c>
      <c r="C14994" t="inlineStr">
        <is>
          <t>1940-12-21</t>
        </is>
      </c>
    </row>
    <row r="14995">
      <c r="A14995" s="1" t="n">
        <v>14994</v>
      </c>
      <c r="B14995">
        <f>TEXT(14994, "[$-0E0000]yyyy-mm-dd")</f>
        <v/>
      </c>
      <c r="C14995" t="inlineStr">
        <is>
          <t>1940-12-22</t>
        </is>
      </c>
    </row>
    <row r="14996">
      <c r="A14996" s="1" t="n">
        <v>14995</v>
      </c>
      <c r="B14996">
        <f>TEXT(14995, "[$-0E0000]yyyy-mm-dd")</f>
        <v/>
      </c>
      <c r="C14996" t="inlineStr">
        <is>
          <t>1940-12-23</t>
        </is>
      </c>
    </row>
    <row r="14997">
      <c r="A14997" s="1" t="n">
        <v>14996</v>
      </c>
      <c r="B14997">
        <f>TEXT(14996, "[$-0E0000]yyyy-mm-dd")</f>
        <v/>
      </c>
      <c r="C14997" t="inlineStr">
        <is>
          <t>1940-12-24</t>
        </is>
      </c>
    </row>
    <row r="14998">
      <c r="A14998" s="1" t="n">
        <v>14997</v>
      </c>
      <c r="B14998">
        <f>TEXT(14997, "[$-0E0000]yyyy-mm-dd")</f>
        <v/>
      </c>
      <c r="C14998" t="inlineStr">
        <is>
          <t>1940-12-25</t>
        </is>
      </c>
    </row>
    <row r="14999">
      <c r="A14999" s="1" t="n">
        <v>14998</v>
      </c>
      <c r="B14999">
        <f>TEXT(14998, "[$-0E0000]yyyy-mm-dd")</f>
        <v/>
      </c>
      <c r="C14999" t="inlineStr">
        <is>
          <t>1940-12-26</t>
        </is>
      </c>
    </row>
    <row r="15000">
      <c r="A15000" s="1" t="n">
        <v>14999</v>
      </c>
      <c r="B15000">
        <f>TEXT(14999, "[$-0E0000]yyyy-mm-dd")</f>
        <v/>
      </c>
      <c r="C15000" t="inlineStr">
        <is>
          <t>1940-12-27</t>
        </is>
      </c>
    </row>
    <row r="15001">
      <c r="A15001" s="1" t="n">
        <v>15000</v>
      </c>
      <c r="B15001">
        <f>TEXT(15000, "[$-0E0000]yyyy-mm-dd")</f>
        <v/>
      </c>
      <c r="C15001" t="inlineStr">
        <is>
          <t>1940-12-28</t>
        </is>
      </c>
    </row>
    <row r="15002">
      <c r="A15002" s="1" t="n">
        <v>15001</v>
      </c>
      <c r="B15002">
        <f>TEXT(15001, "[$-0E0000]yyyy-mm-dd")</f>
        <v/>
      </c>
      <c r="C15002" t="inlineStr">
        <is>
          <t>1940-12-29</t>
        </is>
      </c>
    </row>
    <row r="15003">
      <c r="A15003" s="1" t="n">
        <v>15002</v>
      </c>
      <c r="B15003">
        <f>TEXT(15002, "[$-0E0000]yyyy-mm-dd")</f>
        <v/>
      </c>
      <c r="C15003" t="inlineStr">
        <is>
          <t>1941-01-01</t>
        </is>
      </c>
    </row>
    <row r="15004">
      <c r="A15004" s="1" t="n">
        <v>15003</v>
      </c>
      <c r="B15004">
        <f>TEXT(15003, "[$-0E0000]yyyy-mm-dd")</f>
        <v/>
      </c>
      <c r="C15004" t="inlineStr">
        <is>
          <t>1941-01-02</t>
        </is>
      </c>
    </row>
    <row r="15005">
      <c r="A15005" s="1" t="n">
        <v>15004</v>
      </c>
      <c r="B15005">
        <f>TEXT(15004, "[$-0E0000]yyyy-mm-dd")</f>
        <v/>
      </c>
      <c r="C15005" t="inlineStr">
        <is>
          <t>1941-01-03</t>
        </is>
      </c>
    </row>
    <row r="15006">
      <c r="A15006" s="1" t="n">
        <v>15005</v>
      </c>
      <c r="B15006">
        <f>TEXT(15005, "[$-0E0000]yyyy-mm-dd")</f>
        <v/>
      </c>
      <c r="C15006" t="inlineStr">
        <is>
          <t>1941-01-04</t>
        </is>
      </c>
    </row>
    <row r="15007">
      <c r="A15007" s="1" t="n">
        <v>15006</v>
      </c>
      <c r="B15007">
        <f>TEXT(15006, "[$-0E0000]yyyy-mm-dd")</f>
        <v/>
      </c>
      <c r="C15007" t="inlineStr">
        <is>
          <t>1941-01-05</t>
        </is>
      </c>
    </row>
    <row r="15008">
      <c r="A15008" s="1" t="n">
        <v>15007</v>
      </c>
      <c r="B15008">
        <f>TEXT(15007, "[$-0E0000]yyyy-mm-dd")</f>
        <v/>
      </c>
      <c r="C15008" t="inlineStr">
        <is>
          <t>1941-01-06</t>
        </is>
      </c>
    </row>
    <row r="15009">
      <c r="A15009" s="1" t="n">
        <v>15008</v>
      </c>
      <c r="B15009">
        <f>TEXT(15008, "[$-0E0000]yyyy-mm-dd")</f>
        <v/>
      </c>
      <c r="C15009" t="inlineStr">
        <is>
          <t>1941-01-07</t>
        </is>
      </c>
    </row>
    <row r="15010">
      <c r="A15010" s="1" t="n">
        <v>15009</v>
      </c>
      <c r="B15010">
        <f>TEXT(15009, "[$-0E0000]yyyy-mm-dd")</f>
        <v/>
      </c>
      <c r="C15010" t="inlineStr">
        <is>
          <t>1941-01-08</t>
        </is>
      </c>
    </row>
    <row r="15011">
      <c r="A15011" s="1" t="n">
        <v>15010</v>
      </c>
      <c r="B15011">
        <f>TEXT(15010, "[$-0E0000]yyyy-mm-dd")</f>
        <v/>
      </c>
      <c r="C15011" t="inlineStr">
        <is>
          <t>1941-01-09</t>
        </is>
      </c>
    </row>
    <row r="15012">
      <c r="A15012" s="1" t="n">
        <v>15011</v>
      </c>
      <c r="B15012">
        <f>TEXT(15011, "[$-0E0000]yyyy-mm-dd")</f>
        <v/>
      </c>
      <c r="C15012" t="inlineStr">
        <is>
          <t>1941-01-10</t>
        </is>
      </c>
    </row>
    <row r="15013">
      <c r="A15013" s="1" t="n">
        <v>15012</v>
      </c>
      <c r="B15013">
        <f>TEXT(15012, "[$-0E0000]yyyy-mm-dd")</f>
        <v/>
      </c>
      <c r="C15013" t="inlineStr">
        <is>
          <t>1941-01-11</t>
        </is>
      </c>
    </row>
    <row r="15014">
      <c r="A15014" s="1" t="n">
        <v>15013</v>
      </c>
      <c r="B15014">
        <f>TEXT(15013, "[$-0E0000]yyyy-mm-dd")</f>
        <v/>
      </c>
      <c r="C15014" t="inlineStr">
        <is>
          <t>1941-01-12</t>
        </is>
      </c>
    </row>
    <row r="15015">
      <c r="A15015" s="1" t="n">
        <v>15014</v>
      </c>
      <c r="B15015">
        <f>TEXT(15014, "[$-0E0000]yyyy-mm-dd")</f>
        <v/>
      </c>
      <c r="C15015" t="inlineStr">
        <is>
          <t>1941-01-13</t>
        </is>
      </c>
    </row>
    <row r="15016">
      <c r="A15016" s="1" t="n">
        <v>15015</v>
      </c>
      <c r="B15016">
        <f>TEXT(15015, "[$-0E0000]yyyy-mm-dd")</f>
        <v/>
      </c>
      <c r="C15016" t="inlineStr">
        <is>
          <t>1941-01-14</t>
        </is>
      </c>
    </row>
    <row r="15017">
      <c r="A15017" s="1" t="n">
        <v>15016</v>
      </c>
      <c r="B15017">
        <f>TEXT(15016, "[$-0E0000]yyyy-mm-dd")</f>
        <v/>
      </c>
      <c r="C15017" t="inlineStr">
        <is>
          <t>1941-01-15</t>
        </is>
      </c>
    </row>
    <row r="15018">
      <c r="A15018" s="1" t="n">
        <v>15017</v>
      </c>
      <c r="B15018">
        <f>TEXT(15017, "[$-0E0000]yyyy-mm-dd")</f>
        <v/>
      </c>
      <c r="C15018" t="inlineStr">
        <is>
          <t>1941-01-16</t>
        </is>
      </c>
    </row>
    <row r="15019">
      <c r="A15019" s="1" t="n">
        <v>15018</v>
      </c>
      <c r="B15019">
        <f>TEXT(15018, "[$-0E0000]yyyy-mm-dd")</f>
        <v/>
      </c>
      <c r="C15019" t="inlineStr">
        <is>
          <t>1941-01-17</t>
        </is>
      </c>
    </row>
    <row r="15020">
      <c r="A15020" s="1" t="n">
        <v>15019</v>
      </c>
      <c r="B15020">
        <f>TEXT(15019, "[$-0E0000]yyyy-mm-dd")</f>
        <v/>
      </c>
      <c r="C15020" t="inlineStr">
        <is>
          <t>1941-01-18</t>
        </is>
      </c>
    </row>
    <row r="15021">
      <c r="A15021" s="1" t="n">
        <v>15020</v>
      </c>
      <c r="B15021">
        <f>TEXT(15020, "[$-0E0000]yyyy-mm-dd")</f>
        <v/>
      </c>
      <c r="C15021" t="inlineStr">
        <is>
          <t>1941-01-19</t>
        </is>
      </c>
    </row>
    <row r="15022">
      <c r="A15022" s="1" t="n">
        <v>15021</v>
      </c>
      <c r="B15022">
        <f>TEXT(15021, "[$-0E0000]yyyy-mm-dd")</f>
        <v/>
      </c>
      <c r="C15022" t="inlineStr">
        <is>
          <t>1941-01-20</t>
        </is>
      </c>
    </row>
    <row r="15023">
      <c r="A15023" s="1" t="n">
        <v>15022</v>
      </c>
      <c r="B15023">
        <f>TEXT(15022, "[$-0E0000]yyyy-mm-dd")</f>
        <v/>
      </c>
      <c r="C15023" t="inlineStr">
        <is>
          <t>1941-01-21</t>
        </is>
      </c>
    </row>
    <row r="15024">
      <c r="A15024" s="1" t="n">
        <v>15023</v>
      </c>
      <c r="B15024">
        <f>TEXT(15023, "[$-0E0000]yyyy-mm-dd")</f>
        <v/>
      </c>
      <c r="C15024" t="inlineStr">
        <is>
          <t>1941-01-22</t>
        </is>
      </c>
    </row>
    <row r="15025">
      <c r="A15025" s="1" t="n">
        <v>15024</v>
      </c>
      <c r="B15025">
        <f>TEXT(15024, "[$-0E0000]yyyy-mm-dd")</f>
        <v/>
      </c>
      <c r="C15025" t="inlineStr">
        <is>
          <t>1941-01-23</t>
        </is>
      </c>
    </row>
    <row r="15026">
      <c r="A15026" s="1" t="n">
        <v>15025</v>
      </c>
      <c r="B15026">
        <f>TEXT(15025, "[$-0E0000]yyyy-mm-dd")</f>
        <v/>
      </c>
      <c r="C15026" t="inlineStr">
        <is>
          <t>1941-01-24</t>
        </is>
      </c>
    </row>
    <row r="15027">
      <c r="A15027" s="1" t="n">
        <v>15026</v>
      </c>
      <c r="B15027">
        <f>TEXT(15026, "[$-0E0000]yyyy-mm-dd")</f>
        <v/>
      </c>
      <c r="C15027" t="inlineStr">
        <is>
          <t>1941-01-25</t>
        </is>
      </c>
    </row>
    <row r="15028">
      <c r="A15028" s="1" t="n">
        <v>15027</v>
      </c>
      <c r="B15028">
        <f>TEXT(15027, "[$-0E0000]yyyy-mm-dd")</f>
        <v/>
      </c>
      <c r="C15028" t="inlineStr">
        <is>
          <t>1941-01-26</t>
        </is>
      </c>
    </row>
    <row r="15029">
      <c r="A15029" s="1" t="n">
        <v>15028</v>
      </c>
      <c r="B15029">
        <f>TEXT(15028, "[$-0E0000]yyyy-mm-dd")</f>
        <v/>
      </c>
      <c r="C15029" t="inlineStr">
        <is>
          <t>1941-01-27</t>
        </is>
      </c>
    </row>
    <row r="15030">
      <c r="A15030" s="1" t="n">
        <v>15029</v>
      </c>
      <c r="B15030">
        <f>TEXT(15029, "[$-0E0000]yyyy-mm-dd")</f>
        <v/>
      </c>
      <c r="C15030" t="inlineStr">
        <is>
          <t>1941-01-28</t>
        </is>
      </c>
    </row>
    <row r="15031">
      <c r="A15031" s="1" t="n">
        <v>15030</v>
      </c>
      <c r="B15031">
        <f>TEXT(15030, "[$-0E0000]yyyy-mm-dd")</f>
        <v/>
      </c>
      <c r="C15031" t="inlineStr">
        <is>
          <t>1941-01-29</t>
        </is>
      </c>
    </row>
    <row r="15032">
      <c r="A15032" s="1" t="n">
        <v>15031</v>
      </c>
      <c r="B15032">
        <f>TEXT(15031, "[$-0E0000]yyyy-mm-dd")</f>
        <v/>
      </c>
      <c r="C15032" t="inlineStr">
        <is>
          <t>1941-01-30</t>
        </is>
      </c>
    </row>
    <row r="15033">
      <c r="A15033" s="1" t="n">
        <v>15032</v>
      </c>
      <c r="B15033">
        <f>TEXT(15032, "[$-0E0000]yyyy-mm-dd")</f>
        <v/>
      </c>
      <c r="C15033" t="inlineStr">
        <is>
          <t>1941-02-01</t>
        </is>
      </c>
    </row>
    <row r="15034">
      <c r="A15034" s="1" t="n">
        <v>15033</v>
      </c>
      <c r="B15034">
        <f>TEXT(15033, "[$-0E0000]yyyy-mm-dd")</f>
        <v/>
      </c>
      <c r="C15034" t="inlineStr">
        <is>
          <t>1941-02-02</t>
        </is>
      </c>
    </row>
    <row r="15035">
      <c r="A15035" s="1" t="n">
        <v>15034</v>
      </c>
      <c r="B15035">
        <f>TEXT(15034, "[$-0E0000]yyyy-mm-dd")</f>
        <v/>
      </c>
      <c r="C15035" t="inlineStr">
        <is>
          <t>1941-02-03</t>
        </is>
      </c>
    </row>
    <row r="15036">
      <c r="A15036" s="1" t="n">
        <v>15035</v>
      </c>
      <c r="B15036">
        <f>TEXT(15035, "[$-0E0000]yyyy-mm-dd")</f>
        <v/>
      </c>
      <c r="C15036" t="inlineStr">
        <is>
          <t>1941-02-04</t>
        </is>
      </c>
    </row>
    <row r="15037">
      <c r="A15037" s="1" t="n">
        <v>15036</v>
      </c>
      <c r="B15037">
        <f>TEXT(15036, "[$-0E0000]yyyy-mm-dd")</f>
        <v/>
      </c>
      <c r="C15037" t="inlineStr">
        <is>
          <t>1941-02-05</t>
        </is>
      </c>
    </row>
    <row r="15038">
      <c r="A15038" s="1" t="n">
        <v>15037</v>
      </c>
      <c r="B15038">
        <f>TEXT(15037, "[$-0E0000]yyyy-mm-dd")</f>
        <v/>
      </c>
      <c r="C15038" t="inlineStr">
        <is>
          <t>1941-02-06</t>
        </is>
      </c>
    </row>
    <row r="15039">
      <c r="A15039" s="1" t="n">
        <v>15038</v>
      </c>
      <c r="B15039">
        <f>TEXT(15038, "[$-0E0000]yyyy-mm-dd")</f>
        <v/>
      </c>
      <c r="C15039" t="inlineStr">
        <is>
          <t>1941-02-07</t>
        </is>
      </c>
    </row>
    <row r="15040">
      <c r="A15040" s="1" t="n">
        <v>15039</v>
      </c>
      <c r="B15040">
        <f>TEXT(15039, "[$-0E0000]yyyy-mm-dd")</f>
        <v/>
      </c>
      <c r="C15040" t="inlineStr">
        <is>
          <t>1941-02-08</t>
        </is>
      </c>
    </row>
    <row r="15041">
      <c r="A15041" s="1" t="n">
        <v>15040</v>
      </c>
      <c r="B15041">
        <f>TEXT(15040, "[$-0E0000]yyyy-mm-dd")</f>
        <v/>
      </c>
      <c r="C15041" t="inlineStr">
        <is>
          <t>1941-02-09</t>
        </is>
      </c>
    </row>
    <row r="15042">
      <c r="A15042" s="1" t="n">
        <v>15041</v>
      </c>
      <c r="B15042">
        <f>TEXT(15041, "[$-0E0000]yyyy-mm-dd")</f>
        <v/>
      </c>
      <c r="C15042" t="inlineStr">
        <is>
          <t>1941-02-10</t>
        </is>
      </c>
    </row>
    <row r="15043">
      <c r="A15043" s="1" t="n">
        <v>15042</v>
      </c>
      <c r="B15043">
        <f>TEXT(15042, "[$-0E0000]yyyy-mm-dd")</f>
        <v/>
      </c>
      <c r="C15043" t="inlineStr">
        <is>
          <t>1941-02-11</t>
        </is>
      </c>
    </row>
    <row r="15044">
      <c r="A15044" s="1" t="n">
        <v>15043</v>
      </c>
      <c r="B15044">
        <f>TEXT(15043, "[$-0E0000]yyyy-mm-dd")</f>
        <v/>
      </c>
      <c r="C15044" t="inlineStr">
        <is>
          <t>1941-02-12</t>
        </is>
      </c>
    </row>
    <row r="15045">
      <c r="A15045" s="1" t="n">
        <v>15044</v>
      </c>
      <c r="B15045">
        <f>TEXT(15044, "[$-0E0000]yyyy-mm-dd")</f>
        <v/>
      </c>
      <c r="C15045" t="inlineStr">
        <is>
          <t>1941-02-13</t>
        </is>
      </c>
    </row>
    <row r="15046">
      <c r="A15046" s="1" t="n">
        <v>15045</v>
      </c>
      <c r="B15046">
        <f>TEXT(15045, "[$-0E0000]yyyy-mm-dd")</f>
        <v/>
      </c>
      <c r="C15046" t="inlineStr">
        <is>
          <t>1941-02-14</t>
        </is>
      </c>
    </row>
    <row r="15047">
      <c r="A15047" s="1" t="n">
        <v>15046</v>
      </c>
      <c r="B15047">
        <f>TEXT(15046, "[$-0E0000]yyyy-mm-dd")</f>
        <v/>
      </c>
      <c r="C15047" t="inlineStr">
        <is>
          <t>1941-02-15</t>
        </is>
      </c>
    </row>
    <row r="15048">
      <c r="A15048" s="1" t="n">
        <v>15047</v>
      </c>
      <c r="B15048">
        <f>TEXT(15047, "[$-0E0000]yyyy-mm-dd")</f>
        <v/>
      </c>
      <c r="C15048" t="inlineStr">
        <is>
          <t>1941-02-16</t>
        </is>
      </c>
    </row>
    <row r="15049">
      <c r="A15049" s="1" t="n">
        <v>15048</v>
      </c>
      <c r="B15049">
        <f>TEXT(15048, "[$-0E0000]yyyy-mm-dd")</f>
        <v/>
      </c>
      <c r="C15049" t="inlineStr">
        <is>
          <t>1941-02-17</t>
        </is>
      </c>
    </row>
    <row r="15050">
      <c r="A15050" s="1" t="n">
        <v>15049</v>
      </c>
      <c r="B15050">
        <f>TEXT(15049, "[$-0E0000]yyyy-mm-dd")</f>
        <v/>
      </c>
      <c r="C15050" t="inlineStr">
        <is>
          <t>1941-02-18</t>
        </is>
      </c>
    </row>
    <row r="15051">
      <c r="A15051" s="1" t="n">
        <v>15050</v>
      </c>
      <c r="B15051">
        <f>TEXT(15050, "[$-0E0000]yyyy-mm-dd")</f>
        <v/>
      </c>
      <c r="C15051" t="inlineStr">
        <is>
          <t>1941-02-19</t>
        </is>
      </c>
    </row>
    <row r="15052">
      <c r="A15052" s="1" t="n">
        <v>15051</v>
      </c>
      <c r="B15052">
        <f>TEXT(15051, "[$-0E0000]yyyy-mm-dd")</f>
        <v/>
      </c>
      <c r="C15052" t="inlineStr">
        <is>
          <t>1941-02-20</t>
        </is>
      </c>
    </row>
    <row r="15053">
      <c r="A15053" s="1" t="n">
        <v>15052</v>
      </c>
      <c r="B15053">
        <f>TEXT(15052, "[$-0E0000]yyyy-mm-dd")</f>
        <v/>
      </c>
      <c r="C15053" t="inlineStr">
        <is>
          <t>1941-02-21</t>
        </is>
      </c>
    </row>
    <row r="15054">
      <c r="A15054" s="1" t="n">
        <v>15053</v>
      </c>
      <c r="B15054">
        <f>TEXT(15053, "[$-0E0000]yyyy-mm-dd")</f>
        <v/>
      </c>
      <c r="C15054" t="inlineStr">
        <is>
          <t>1941-02-22</t>
        </is>
      </c>
    </row>
    <row r="15055">
      <c r="A15055" s="1" t="n">
        <v>15054</v>
      </c>
      <c r="B15055">
        <f>TEXT(15054, "[$-0E0000]yyyy-mm-dd")</f>
        <v/>
      </c>
      <c r="C15055" t="inlineStr">
        <is>
          <t>1941-02-23</t>
        </is>
      </c>
    </row>
    <row r="15056">
      <c r="A15056" s="1" t="n">
        <v>15055</v>
      </c>
      <c r="B15056">
        <f>TEXT(15055, "[$-0E0000]yyyy-mm-dd")</f>
        <v/>
      </c>
      <c r="C15056" t="inlineStr">
        <is>
          <t>1941-02-24</t>
        </is>
      </c>
    </row>
    <row r="15057">
      <c r="A15057" s="1" t="n">
        <v>15056</v>
      </c>
      <c r="B15057">
        <f>TEXT(15056, "[$-0E0000]yyyy-mm-dd")</f>
        <v/>
      </c>
      <c r="C15057" t="inlineStr">
        <is>
          <t>1941-02-25</t>
        </is>
      </c>
    </row>
    <row r="15058">
      <c r="A15058" s="1" t="n">
        <v>15057</v>
      </c>
      <c r="B15058">
        <f>TEXT(15057, "[$-0E0000]yyyy-mm-dd")</f>
        <v/>
      </c>
      <c r="C15058" t="inlineStr">
        <is>
          <t>1941-02-26</t>
        </is>
      </c>
    </row>
    <row r="15059">
      <c r="A15059" s="1" t="n">
        <v>15058</v>
      </c>
      <c r="B15059">
        <f>TEXT(15058, "[$-0E0000]yyyy-mm-dd")</f>
        <v/>
      </c>
      <c r="C15059" t="inlineStr">
        <is>
          <t>1941-02-27</t>
        </is>
      </c>
    </row>
    <row r="15060">
      <c r="A15060" s="1" t="n">
        <v>15059</v>
      </c>
      <c r="B15060">
        <f>TEXT(15059, "[$-0E0000]yyyy-mm-dd")</f>
        <v/>
      </c>
      <c r="C15060" t="inlineStr">
        <is>
          <t>1941-02-28</t>
        </is>
      </c>
    </row>
    <row r="15061">
      <c r="A15061" s="1" t="n">
        <v>15060</v>
      </c>
      <c r="B15061">
        <f>TEXT(15060, "[$-0E0000]yyyy-mm-dd")</f>
        <v/>
      </c>
      <c r="C15061" t="inlineStr">
        <is>
          <t>1941-02-29</t>
        </is>
      </c>
    </row>
    <row r="15062">
      <c r="A15062" s="1" t="n">
        <v>15061</v>
      </c>
      <c r="B15062">
        <f>TEXT(15061, "[$-0E0000]yyyy-mm-dd")</f>
        <v/>
      </c>
      <c r="C15062" t="inlineStr">
        <is>
          <t>1941-02-30</t>
        </is>
      </c>
    </row>
    <row r="15063">
      <c r="A15063" s="1" t="n">
        <v>15062</v>
      </c>
      <c r="B15063">
        <f>TEXT(15062, "[$-0E0000]yyyy-mm-dd")</f>
        <v/>
      </c>
      <c r="C15063" t="inlineStr">
        <is>
          <t>1941-03-01</t>
        </is>
      </c>
    </row>
    <row r="15064">
      <c r="A15064" s="1" t="n">
        <v>15063</v>
      </c>
      <c r="B15064">
        <f>TEXT(15063, "[$-0E0000]yyyy-mm-dd")</f>
        <v/>
      </c>
      <c r="C15064" t="inlineStr">
        <is>
          <t>1941-03-02</t>
        </is>
      </c>
    </row>
    <row r="15065">
      <c r="A15065" s="1" t="n">
        <v>15064</v>
      </c>
      <c r="B15065">
        <f>TEXT(15064, "[$-0E0000]yyyy-mm-dd")</f>
        <v/>
      </c>
      <c r="C15065" t="inlineStr">
        <is>
          <t>1941-03-03</t>
        </is>
      </c>
    </row>
    <row r="15066">
      <c r="A15066" s="1" t="n">
        <v>15065</v>
      </c>
      <c r="B15066">
        <f>TEXT(15065, "[$-0E0000]yyyy-mm-dd")</f>
        <v/>
      </c>
      <c r="C15066" t="inlineStr">
        <is>
          <t>1941-03-04</t>
        </is>
      </c>
    </row>
    <row r="15067">
      <c r="A15067" s="1" t="n">
        <v>15066</v>
      </c>
      <c r="B15067">
        <f>TEXT(15066, "[$-0E0000]yyyy-mm-dd")</f>
        <v/>
      </c>
      <c r="C15067" t="inlineStr">
        <is>
          <t>1941-03-05</t>
        </is>
      </c>
    </row>
    <row r="15068">
      <c r="A15068" s="1" t="n">
        <v>15067</v>
      </c>
      <c r="B15068">
        <f>TEXT(15067, "[$-0E0000]yyyy-mm-dd")</f>
        <v/>
      </c>
      <c r="C15068" t="inlineStr">
        <is>
          <t>1941-03-06</t>
        </is>
      </c>
    </row>
    <row r="15069">
      <c r="A15069" s="1" t="n">
        <v>15068</v>
      </c>
      <c r="B15069">
        <f>TEXT(15068, "[$-0E0000]yyyy-mm-dd")</f>
        <v/>
      </c>
      <c r="C15069" t="inlineStr">
        <is>
          <t>1941-03-07</t>
        </is>
      </c>
    </row>
    <row r="15070">
      <c r="A15070" s="1" t="n">
        <v>15069</v>
      </c>
      <c r="B15070">
        <f>TEXT(15069, "[$-0E0000]yyyy-mm-dd")</f>
        <v/>
      </c>
      <c r="C15070" t="inlineStr">
        <is>
          <t>1941-03-08</t>
        </is>
      </c>
    </row>
    <row r="15071">
      <c r="A15071" s="1" t="n">
        <v>15070</v>
      </c>
      <c r="B15071">
        <f>TEXT(15070, "[$-0E0000]yyyy-mm-dd")</f>
        <v/>
      </c>
      <c r="C15071" t="inlineStr">
        <is>
          <t>1941-03-09</t>
        </is>
      </c>
    </row>
    <row r="15072">
      <c r="A15072" s="1" t="n">
        <v>15071</v>
      </c>
      <c r="B15072">
        <f>TEXT(15071, "[$-0E0000]yyyy-mm-dd")</f>
        <v/>
      </c>
      <c r="C15072" t="inlineStr">
        <is>
          <t>1941-03-10</t>
        </is>
      </c>
    </row>
    <row r="15073">
      <c r="A15073" s="1" t="n">
        <v>15072</v>
      </c>
      <c r="B15073">
        <f>TEXT(15072, "[$-0E0000]yyyy-mm-dd")</f>
        <v/>
      </c>
      <c r="C15073" t="inlineStr">
        <is>
          <t>1941-03-11</t>
        </is>
      </c>
    </row>
    <row r="15074">
      <c r="A15074" s="1" t="n">
        <v>15073</v>
      </c>
      <c r="B15074">
        <f>TEXT(15073, "[$-0E0000]yyyy-mm-dd")</f>
        <v/>
      </c>
      <c r="C15074" t="inlineStr">
        <is>
          <t>1941-03-12</t>
        </is>
      </c>
    </row>
    <row r="15075">
      <c r="A15075" s="1" t="n">
        <v>15074</v>
      </c>
      <c r="B15075">
        <f>TEXT(15074, "[$-0E0000]yyyy-mm-dd")</f>
        <v/>
      </c>
      <c r="C15075" t="inlineStr">
        <is>
          <t>1941-03-13</t>
        </is>
      </c>
    </row>
    <row r="15076">
      <c r="A15076" s="1" t="n">
        <v>15075</v>
      </c>
      <c r="B15076">
        <f>TEXT(15075, "[$-0E0000]yyyy-mm-dd")</f>
        <v/>
      </c>
      <c r="C15076" t="inlineStr">
        <is>
          <t>1941-03-14</t>
        </is>
      </c>
    </row>
    <row r="15077">
      <c r="A15077" s="1" t="n">
        <v>15076</v>
      </c>
      <c r="B15077">
        <f>TEXT(15076, "[$-0E0000]yyyy-mm-dd")</f>
        <v/>
      </c>
      <c r="C15077" t="inlineStr">
        <is>
          <t>1941-03-15</t>
        </is>
      </c>
    </row>
    <row r="15078">
      <c r="A15078" s="1" t="n">
        <v>15077</v>
      </c>
      <c r="B15078">
        <f>TEXT(15077, "[$-0E0000]yyyy-mm-dd")</f>
        <v/>
      </c>
      <c r="C15078" t="inlineStr">
        <is>
          <t>1941-03-16</t>
        </is>
      </c>
    </row>
    <row r="15079">
      <c r="A15079" s="1" t="n">
        <v>15078</v>
      </c>
      <c r="B15079">
        <f>TEXT(15078, "[$-0E0000]yyyy-mm-dd")</f>
        <v/>
      </c>
      <c r="C15079" t="inlineStr">
        <is>
          <t>1941-03-17</t>
        </is>
      </c>
    </row>
    <row r="15080">
      <c r="A15080" s="1" t="n">
        <v>15079</v>
      </c>
      <c r="B15080">
        <f>TEXT(15079, "[$-0E0000]yyyy-mm-dd")</f>
        <v/>
      </c>
      <c r="C15080" t="inlineStr">
        <is>
          <t>1941-03-18</t>
        </is>
      </c>
    </row>
    <row r="15081">
      <c r="A15081" s="1" t="n">
        <v>15080</v>
      </c>
      <c r="B15081">
        <f>TEXT(15080, "[$-0E0000]yyyy-mm-dd")</f>
        <v/>
      </c>
      <c r="C15081" t="inlineStr">
        <is>
          <t>1941-03-19</t>
        </is>
      </c>
    </row>
    <row r="15082">
      <c r="A15082" s="1" t="n">
        <v>15081</v>
      </c>
      <c r="B15082">
        <f>TEXT(15081, "[$-0E0000]yyyy-mm-dd")</f>
        <v/>
      </c>
      <c r="C15082" t="inlineStr">
        <is>
          <t>1941-03-20</t>
        </is>
      </c>
    </row>
    <row r="15083">
      <c r="A15083" s="1" t="n">
        <v>15082</v>
      </c>
      <c r="B15083">
        <f>TEXT(15082, "[$-0E0000]yyyy-mm-dd")</f>
        <v/>
      </c>
      <c r="C15083" t="inlineStr">
        <is>
          <t>1941-03-21</t>
        </is>
      </c>
    </row>
    <row r="15084">
      <c r="A15084" s="1" t="n">
        <v>15083</v>
      </c>
      <c r="B15084">
        <f>TEXT(15083, "[$-0E0000]yyyy-mm-dd")</f>
        <v/>
      </c>
      <c r="C15084" t="inlineStr">
        <is>
          <t>1941-03-22</t>
        </is>
      </c>
    </row>
    <row r="15085">
      <c r="A15085" s="1" t="n">
        <v>15084</v>
      </c>
      <c r="B15085">
        <f>TEXT(15084, "[$-0E0000]yyyy-mm-dd")</f>
        <v/>
      </c>
      <c r="C15085" t="inlineStr">
        <is>
          <t>1941-03-23</t>
        </is>
      </c>
    </row>
    <row r="15086">
      <c r="A15086" s="1" t="n">
        <v>15085</v>
      </c>
      <c r="B15086">
        <f>TEXT(15085, "[$-0E0000]yyyy-mm-dd")</f>
        <v/>
      </c>
      <c r="C15086" t="inlineStr">
        <is>
          <t>1941-03-24</t>
        </is>
      </c>
    </row>
    <row r="15087">
      <c r="A15087" s="1" t="n">
        <v>15086</v>
      </c>
      <c r="B15087">
        <f>TEXT(15086, "[$-0E0000]yyyy-mm-dd")</f>
        <v/>
      </c>
      <c r="C15087" t="inlineStr">
        <is>
          <t>1941-03-25</t>
        </is>
      </c>
    </row>
    <row r="15088">
      <c r="A15088" s="1" t="n">
        <v>15087</v>
      </c>
      <c r="B15088">
        <f>TEXT(15087, "[$-0E0000]yyyy-mm-dd")</f>
        <v/>
      </c>
      <c r="C15088" t="inlineStr">
        <is>
          <t>1941-03-26</t>
        </is>
      </c>
    </row>
    <row r="15089">
      <c r="A15089" s="1" t="n">
        <v>15088</v>
      </c>
      <c r="B15089">
        <f>TEXT(15088, "[$-0E0000]yyyy-mm-dd")</f>
        <v/>
      </c>
      <c r="C15089" t="inlineStr">
        <is>
          <t>1941-03-27</t>
        </is>
      </c>
    </row>
    <row r="15090">
      <c r="A15090" s="1" t="n">
        <v>15089</v>
      </c>
      <c r="B15090">
        <f>TEXT(15089, "[$-0E0000]yyyy-mm-dd")</f>
        <v/>
      </c>
      <c r="C15090" t="inlineStr">
        <is>
          <t>1941-03-28</t>
        </is>
      </c>
    </row>
    <row r="15091">
      <c r="A15091" s="1" t="n">
        <v>15090</v>
      </c>
      <c r="B15091">
        <f>TEXT(15090, "[$-0E0000]yyyy-mm-dd")</f>
        <v/>
      </c>
      <c r="C15091" t="inlineStr">
        <is>
          <t>1941-03-29</t>
        </is>
      </c>
    </row>
    <row r="15092">
      <c r="A15092" s="1" t="n">
        <v>15091</v>
      </c>
      <c r="B15092">
        <f>TEXT(15091, "[$-0E0000]yyyy-mm-dd")</f>
        <v/>
      </c>
      <c r="C15092" t="inlineStr">
        <is>
          <t>1941-04-01</t>
        </is>
      </c>
    </row>
    <row r="15093">
      <c r="A15093" s="1" t="n">
        <v>15092</v>
      </c>
      <c r="B15093">
        <f>TEXT(15092, "[$-0E0000]yyyy-mm-dd")</f>
        <v/>
      </c>
      <c r="C15093" t="inlineStr">
        <is>
          <t>1941-04-02</t>
        </is>
      </c>
    </row>
    <row r="15094">
      <c r="A15094" s="1" t="n">
        <v>15093</v>
      </c>
      <c r="B15094">
        <f>TEXT(15093, "[$-0E0000]yyyy-mm-dd")</f>
        <v/>
      </c>
      <c r="C15094" t="inlineStr">
        <is>
          <t>1941-04-03</t>
        </is>
      </c>
    </row>
    <row r="15095">
      <c r="A15095" s="1" t="n">
        <v>15094</v>
      </c>
      <c r="B15095">
        <f>TEXT(15094, "[$-0E0000]yyyy-mm-dd")</f>
        <v/>
      </c>
      <c r="C15095" t="inlineStr">
        <is>
          <t>1941-04-04</t>
        </is>
      </c>
    </row>
    <row r="15096">
      <c r="A15096" s="1" t="n">
        <v>15095</v>
      </c>
      <c r="B15096">
        <f>TEXT(15095, "[$-0E0000]yyyy-mm-dd")</f>
        <v/>
      </c>
      <c r="C15096" t="inlineStr">
        <is>
          <t>1941-04-05</t>
        </is>
      </c>
    </row>
    <row r="15097">
      <c r="A15097" s="1" t="n">
        <v>15096</v>
      </c>
      <c r="B15097">
        <f>TEXT(15096, "[$-0E0000]yyyy-mm-dd")</f>
        <v/>
      </c>
      <c r="C15097" t="inlineStr">
        <is>
          <t>1941-04-06</t>
        </is>
      </c>
    </row>
    <row r="15098">
      <c r="A15098" s="1" t="n">
        <v>15097</v>
      </c>
      <c r="B15098">
        <f>TEXT(15097, "[$-0E0000]yyyy-mm-dd")</f>
        <v/>
      </c>
      <c r="C15098" t="inlineStr">
        <is>
          <t>1941-04-07</t>
        </is>
      </c>
    </row>
    <row r="15099">
      <c r="A15099" s="1" t="n">
        <v>15098</v>
      </c>
      <c r="B15099">
        <f>TEXT(15098, "[$-0E0000]yyyy-mm-dd")</f>
        <v/>
      </c>
      <c r="C15099" t="inlineStr">
        <is>
          <t>1941-04-08</t>
        </is>
      </c>
    </row>
    <row r="15100">
      <c r="A15100" s="1" t="n">
        <v>15099</v>
      </c>
      <c r="B15100">
        <f>TEXT(15099, "[$-0E0000]yyyy-mm-dd")</f>
        <v/>
      </c>
      <c r="C15100" t="inlineStr">
        <is>
          <t>1941-04-09</t>
        </is>
      </c>
    </row>
    <row r="15101">
      <c r="A15101" s="1" t="n">
        <v>15100</v>
      </c>
      <c r="B15101">
        <f>TEXT(15100, "[$-0E0000]yyyy-mm-dd")</f>
        <v/>
      </c>
      <c r="C15101" t="inlineStr">
        <is>
          <t>1941-04-10</t>
        </is>
      </c>
    </row>
    <row r="15102">
      <c r="A15102" s="1" t="n">
        <v>15101</v>
      </c>
      <c r="B15102">
        <f>TEXT(15101, "[$-0E0000]yyyy-mm-dd")</f>
        <v/>
      </c>
      <c r="C15102" t="inlineStr">
        <is>
          <t>1941-04-11</t>
        </is>
      </c>
    </row>
    <row r="15103">
      <c r="A15103" s="1" t="n">
        <v>15102</v>
      </c>
      <c r="B15103">
        <f>TEXT(15102, "[$-0E0000]yyyy-mm-dd")</f>
        <v/>
      </c>
      <c r="C15103" t="inlineStr">
        <is>
          <t>1941-04-12</t>
        </is>
      </c>
    </row>
    <row r="15104">
      <c r="A15104" s="1" t="n">
        <v>15103</v>
      </c>
      <c r="B15104">
        <f>TEXT(15103, "[$-0E0000]yyyy-mm-dd")</f>
        <v/>
      </c>
      <c r="C15104" t="inlineStr">
        <is>
          <t>1941-04-13</t>
        </is>
      </c>
    </row>
    <row r="15105">
      <c r="A15105" s="1" t="n">
        <v>15104</v>
      </c>
      <c r="B15105">
        <f>TEXT(15104, "[$-0E0000]yyyy-mm-dd")</f>
        <v/>
      </c>
      <c r="C15105" t="inlineStr">
        <is>
          <t>1941-04-14</t>
        </is>
      </c>
    </row>
    <row r="15106">
      <c r="A15106" s="1" t="n">
        <v>15105</v>
      </c>
      <c r="B15106">
        <f>TEXT(15105, "[$-0E0000]yyyy-mm-dd")</f>
        <v/>
      </c>
      <c r="C15106" t="inlineStr">
        <is>
          <t>1941-04-15</t>
        </is>
      </c>
    </row>
    <row r="15107">
      <c r="A15107" s="1" t="n">
        <v>15106</v>
      </c>
      <c r="B15107">
        <f>TEXT(15106, "[$-0E0000]yyyy-mm-dd")</f>
        <v/>
      </c>
      <c r="C15107" t="inlineStr">
        <is>
          <t>1941-04-16</t>
        </is>
      </c>
    </row>
    <row r="15108">
      <c r="A15108" s="1" t="n">
        <v>15107</v>
      </c>
      <c r="B15108">
        <f>TEXT(15107, "[$-0E0000]yyyy-mm-dd")</f>
        <v/>
      </c>
      <c r="C15108" t="inlineStr">
        <is>
          <t>1941-04-17</t>
        </is>
      </c>
    </row>
    <row r="15109">
      <c r="A15109" s="1" t="n">
        <v>15108</v>
      </c>
      <c r="B15109">
        <f>TEXT(15108, "[$-0E0000]yyyy-mm-dd")</f>
        <v/>
      </c>
      <c r="C15109" t="inlineStr">
        <is>
          <t>1941-04-18</t>
        </is>
      </c>
    </row>
    <row r="15110">
      <c r="A15110" s="1" t="n">
        <v>15109</v>
      </c>
      <c r="B15110">
        <f>TEXT(15109, "[$-0E0000]yyyy-mm-dd")</f>
        <v/>
      </c>
      <c r="C15110" t="inlineStr">
        <is>
          <t>1941-04-19</t>
        </is>
      </c>
    </row>
    <row r="15111">
      <c r="A15111" s="1" t="n">
        <v>15110</v>
      </c>
      <c r="B15111">
        <f>TEXT(15110, "[$-0E0000]yyyy-mm-dd")</f>
        <v/>
      </c>
      <c r="C15111" t="inlineStr">
        <is>
          <t>1941-04-20</t>
        </is>
      </c>
    </row>
    <row r="15112">
      <c r="A15112" s="1" t="n">
        <v>15111</v>
      </c>
      <c r="B15112">
        <f>TEXT(15111, "[$-0E0000]yyyy-mm-dd")</f>
        <v/>
      </c>
      <c r="C15112" t="inlineStr">
        <is>
          <t>1941-04-21</t>
        </is>
      </c>
    </row>
    <row r="15113">
      <c r="A15113" s="1" t="n">
        <v>15112</v>
      </c>
      <c r="B15113">
        <f>TEXT(15112, "[$-0E0000]yyyy-mm-dd")</f>
        <v/>
      </c>
      <c r="C15113" t="inlineStr">
        <is>
          <t>1941-04-22</t>
        </is>
      </c>
    </row>
    <row r="15114">
      <c r="A15114" s="1" t="n">
        <v>15113</v>
      </c>
      <c r="B15114">
        <f>TEXT(15113, "[$-0E0000]yyyy-mm-dd")</f>
        <v/>
      </c>
      <c r="C15114" t="inlineStr">
        <is>
          <t>1941-04-23</t>
        </is>
      </c>
    </row>
    <row r="15115">
      <c r="A15115" s="1" t="n">
        <v>15114</v>
      </c>
      <c r="B15115">
        <f>TEXT(15114, "[$-0E0000]yyyy-mm-dd")</f>
        <v/>
      </c>
      <c r="C15115" t="inlineStr">
        <is>
          <t>1941-04-24</t>
        </is>
      </c>
    </row>
    <row r="15116">
      <c r="A15116" s="1" t="n">
        <v>15115</v>
      </c>
      <c r="B15116">
        <f>TEXT(15115, "[$-0E0000]yyyy-mm-dd")</f>
        <v/>
      </c>
      <c r="C15116" t="inlineStr">
        <is>
          <t>1941-04-25</t>
        </is>
      </c>
    </row>
    <row r="15117">
      <c r="A15117" s="1" t="n">
        <v>15116</v>
      </c>
      <c r="B15117">
        <f>TEXT(15116, "[$-0E0000]yyyy-mm-dd")</f>
        <v/>
      </c>
      <c r="C15117" t="inlineStr">
        <is>
          <t>1941-04-26</t>
        </is>
      </c>
    </row>
    <row r="15118">
      <c r="A15118" s="1" t="n">
        <v>15117</v>
      </c>
      <c r="B15118">
        <f>TEXT(15117, "[$-0E0000]yyyy-mm-dd")</f>
        <v/>
      </c>
      <c r="C15118" t="inlineStr">
        <is>
          <t>1941-04-27</t>
        </is>
      </c>
    </row>
    <row r="15119">
      <c r="A15119" s="1" t="n">
        <v>15118</v>
      </c>
      <c r="B15119">
        <f>TEXT(15118, "[$-0E0000]yyyy-mm-dd")</f>
        <v/>
      </c>
      <c r="C15119" t="inlineStr">
        <is>
          <t>1941-04-28</t>
        </is>
      </c>
    </row>
    <row r="15120">
      <c r="A15120" s="1" t="n">
        <v>15119</v>
      </c>
      <c r="B15120">
        <f>TEXT(15119, "[$-0E0000]yyyy-mm-dd")</f>
        <v/>
      </c>
      <c r="C15120" t="inlineStr">
        <is>
          <t>1941-04-29</t>
        </is>
      </c>
    </row>
    <row r="15121">
      <c r="A15121" s="1" t="n">
        <v>15120</v>
      </c>
      <c r="B15121">
        <f>TEXT(15120, "[$-0E0000]yyyy-mm-dd")</f>
        <v/>
      </c>
      <c r="C15121" t="inlineStr">
        <is>
          <t>1941-04-30</t>
        </is>
      </c>
    </row>
    <row r="15122">
      <c r="A15122" s="1" t="n">
        <v>15121</v>
      </c>
      <c r="B15122">
        <f>TEXT(15121, "[$-0E0000]yyyy-mm-dd")</f>
        <v/>
      </c>
      <c r="C15122" t="inlineStr">
        <is>
          <t>1941-05-01</t>
        </is>
      </c>
    </row>
    <row r="15123">
      <c r="A15123" s="1" t="n">
        <v>15122</v>
      </c>
      <c r="B15123">
        <f>TEXT(15122, "[$-0E0000]yyyy-mm-dd")</f>
        <v/>
      </c>
      <c r="C15123" t="inlineStr">
        <is>
          <t>1941-05-02</t>
        </is>
      </c>
    </row>
    <row r="15124">
      <c r="A15124" s="1" t="n">
        <v>15123</v>
      </c>
      <c r="B15124">
        <f>TEXT(15123, "[$-0E0000]yyyy-mm-dd")</f>
        <v/>
      </c>
      <c r="C15124" t="inlineStr">
        <is>
          <t>1941-05-03</t>
        </is>
      </c>
    </row>
    <row r="15125">
      <c r="A15125" s="1" t="n">
        <v>15124</v>
      </c>
      <c r="B15125">
        <f>TEXT(15124, "[$-0E0000]yyyy-mm-dd")</f>
        <v/>
      </c>
      <c r="C15125" t="inlineStr">
        <is>
          <t>1941-05-04</t>
        </is>
      </c>
    </row>
    <row r="15126">
      <c r="A15126" s="1" t="n">
        <v>15125</v>
      </c>
      <c r="B15126">
        <f>TEXT(15125, "[$-0E0000]yyyy-mm-dd")</f>
        <v/>
      </c>
      <c r="C15126" t="inlineStr">
        <is>
          <t>1941-05-05</t>
        </is>
      </c>
    </row>
    <row r="15127">
      <c r="A15127" s="1" t="n">
        <v>15126</v>
      </c>
      <c r="B15127">
        <f>TEXT(15126, "[$-0E0000]yyyy-mm-dd")</f>
        <v/>
      </c>
      <c r="C15127" t="inlineStr">
        <is>
          <t>1941-05-06</t>
        </is>
      </c>
    </row>
    <row r="15128">
      <c r="A15128" s="1" t="n">
        <v>15127</v>
      </c>
      <c r="B15128">
        <f>TEXT(15127, "[$-0E0000]yyyy-mm-dd")</f>
        <v/>
      </c>
      <c r="C15128" t="inlineStr">
        <is>
          <t>1941-05-07</t>
        </is>
      </c>
    </row>
    <row r="15129">
      <c r="A15129" s="1" t="n">
        <v>15128</v>
      </c>
      <c r="B15129">
        <f>TEXT(15128, "[$-0E0000]yyyy-mm-dd")</f>
        <v/>
      </c>
      <c r="C15129" t="inlineStr">
        <is>
          <t>1941-05-08</t>
        </is>
      </c>
    </row>
    <row r="15130">
      <c r="A15130" s="1" t="n">
        <v>15129</v>
      </c>
      <c r="B15130">
        <f>TEXT(15129, "[$-0E0000]yyyy-mm-dd")</f>
        <v/>
      </c>
      <c r="C15130" t="inlineStr">
        <is>
          <t>1941-05-09</t>
        </is>
      </c>
    </row>
    <row r="15131">
      <c r="A15131" s="1" t="n">
        <v>15130</v>
      </c>
      <c r="B15131">
        <f>TEXT(15130, "[$-0E0000]yyyy-mm-dd")</f>
        <v/>
      </c>
      <c r="C15131" t="inlineStr">
        <is>
          <t>1941-05-10</t>
        </is>
      </c>
    </row>
    <row r="15132">
      <c r="A15132" s="1" t="n">
        <v>15131</v>
      </c>
      <c r="B15132">
        <f>TEXT(15131, "[$-0E0000]yyyy-mm-dd")</f>
        <v/>
      </c>
      <c r="C15132" t="inlineStr">
        <is>
          <t>1941-05-11</t>
        </is>
      </c>
    </row>
    <row r="15133">
      <c r="A15133" s="1" t="n">
        <v>15132</v>
      </c>
      <c r="B15133">
        <f>TEXT(15132, "[$-0E0000]yyyy-mm-dd")</f>
        <v/>
      </c>
      <c r="C15133" t="inlineStr">
        <is>
          <t>1941-05-12</t>
        </is>
      </c>
    </row>
    <row r="15134">
      <c r="A15134" s="1" t="n">
        <v>15133</v>
      </c>
      <c r="B15134">
        <f>TEXT(15133, "[$-0E0000]yyyy-mm-dd")</f>
        <v/>
      </c>
      <c r="C15134" t="inlineStr">
        <is>
          <t>1941-05-13</t>
        </is>
      </c>
    </row>
    <row r="15135">
      <c r="A15135" s="1" t="n">
        <v>15134</v>
      </c>
      <c r="B15135">
        <f>TEXT(15134, "[$-0E0000]yyyy-mm-dd")</f>
        <v/>
      </c>
      <c r="C15135" t="inlineStr">
        <is>
          <t>1941-05-14</t>
        </is>
      </c>
    </row>
    <row r="15136">
      <c r="A15136" s="1" t="n">
        <v>15135</v>
      </c>
      <c r="B15136">
        <f>TEXT(15135, "[$-0E0000]yyyy-mm-dd")</f>
        <v/>
      </c>
      <c r="C15136" t="inlineStr">
        <is>
          <t>1941-05-15</t>
        </is>
      </c>
    </row>
    <row r="15137">
      <c r="A15137" s="1" t="n">
        <v>15136</v>
      </c>
      <c r="B15137">
        <f>TEXT(15136, "[$-0E0000]yyyy-mm-dd")</f>
        <v/>
      </c>
      <c r="C15137" t="inlineStr">
        <is>
          <t>1941-05-16</t>
        </is>
      </c>
    </row>
    <row r="15138">
      <c r="A15138" s="1" t="n">
        <v>15137</v>
      </c>
      <c r="B15138">
        <f>TEXT(15137, "[$-0E0000]yyyy-mm-dd")</f>
        <v/>
      </c>
      <c r="C15138" t="inlineStr">
        <is>
          <t>1941-05-17</t>
        </is>
      </c>
    </row>
    <row r="15139">
      <c r="A15139" s="1" t="n">
        <v>15138</v>
      </c>
      <c r="B15139">
        <f>TEXT(15138, "[$-0E0000]yyyy-mm-dd")</f>
        <v/>
      </c>
      <c r="C15139" t="inlineStr">
        <is>
          <t>1941-05-18</t>
        </is>
      </c>
    </row>
    <row r="15140">
      <c r="A15140" s="1" t="n">
        <v>15139</v>
      </c>
      <c r="B15140">
        <f>TEXT(15139, "[$-0E0000]yyyy-mm-dd")</f>
        <v/>
      </c>
      <c r="C15140" t="inlineStr">
        <is>
          <t>1941-05-19</t>
        </is>
      </c>
    </row>
    <row r="15141">
      <c r="A15141" s="1" t="n">
        <v>15140</v>
      </c>
      <c r="B15141">
        <f>TEXT(15140, "[$-0E0000]yyyy-mm-dd")</f>
        <v/>
      </c>
      <c r="C15141" t="inlineStr">
        <is>
          <t>1941-05-20</t>
        </is>
      </c>
    </row>
    <row r="15142">
      <c r="A15142" s="1" t="n">
        <v>15141</v>
      </c>
      <c r="B15142">
        <f>TEXT(15141, "[$-0E0000]yyyy-mm-dd")</f>
        <v/>
      </c>
      <c r="C15142" t="inlineStr">
        <is>
          <t>1941-05-21</t>
        </is>
      </c>
    </row>
    <row r="15143">
      <c r="A15143" s="1" t="n">
        <v>15142</v>
      </c>
      <c r="B15143">
        <f>TEXT(15142, "[$-0E0000]yyyy-mm-dd")</f>
        <v/>
      </c>
      <c r="C15143" t="inlineStr">
        <is>
          <t>1941-05-22</t>
        </is>
      </c>
    </row>
    <row r="15144">
      <c r="A15144" s="1" t="n">
        <v>15143</v>
      </c>
      <c r="B15144">
        <f>TEXT(15143, "[$-0E0000]yyyy-mm-dd")</f>
        <v/>
      </c>
      <c r="C15144" t="inlineStr">
        <is>
          <t>1941-05-23</t>
        </is>
      </c>
    </row>
    <row r="15145">
      <c r="A15145" s="1" t="n">
        <v>15144</v>
      </c>
      <c r="B15145">
        <f>TEXT(15144, "[$-0E0000]yyyy-mm-dd")</f>
        <v/>
      </c>
      <c r="C15145" t="inlineStr">
        <is>
          <t>1941-05-24</t>
        </is>
      </c>
    </row>
    <row r="15146">
      <c r="A15146" s="1" t="n">
        <v>15145</v>
      </c>
      <c r="B15146">
        <f>TEXT(15145, "[$-0E0000]yyyy-mm-dd")</f>
        <v/>
      </c>
      <c r="C15146" t="inlineStr">
        <is>
          <t>1941-05-25</t>
        </is>
      </c>
    </row>
    <row r="15147">
      <c r="A15147" s="1" t="n">
        <v>15146</v>
      </c>
      <c r="B15147">
        <f>TEXT(15146, "[$-0E0000]yyyy-mm-dd")</f>
        <v/>
      </c>
      <c r="C15147" t="inlineStr">
        <is>
          <t>1941-05-26</t>
        </is>
      </c>
    </row>
    <row r="15148">
      <c r="A15148" s="1" t="n">
        <v>15147</v>
      </c>
      <c r="B15148">
        <f>TEXT(15147, "[$-0E0000]yyyy-mm-dd")</f>
        <v/>
      </c>
      <c r="C15148" t="inlineStr">
        <is>
          <t>1941-05-27</t>
        </is>
      </c>
    </row>
    <row r="15149">
      <c r="A15149" s="1" t="n">
        <v>15148</v>
      </c>
      <c r="B15149">
        <f>TEXT(15148, "[$-0E0000]yyyy-mm-dd")</f>
        <v/>
      </c>
      <c r="C15149" t="inlineStr">
        <is>
          <t>1941-05-28</t>
        </is>
      </c>
    </row>
    <row r="15150">
      <c r="A15150" s="1" t="n">
        <v>15149</v>
      </c>
      <c r="B15150">
        <f>TEXT(15149, "[$-0E0000]yyyy-mm-dd")</f>
        <v/>
      </c>
      <c r="C15150" t="inlineStr">
        <is>
          <t>1941-05-29</t>
        </is>
      </c>
    </row>
    <row r="15151">
      <c r="A15151" s="1" t="n">
        <v>15150</v>
      </c>
      <c r="B15151">
        <f>TEXT(15150, "[$-0E0000]yyyy-mm-dd")</f>
        <v/>
      </c>
      <c r="C15151" t="inlineStr">
        <is>
          <t>1941-05-30</t>
        </is>
      </c>
    </row>
    <row r="15152">
      <c r="A15152" s="1" t="n">
        <v>15151</v>
      </c>
      <c r="B15152">
        <f>TEXT(15151, "[$-0E0000]yyyy-mm-dd")</f>
        <v/>
      </c>
      <c r="C15152" t="inlineStr">
        <is>
          <t>1941-06-01</t>
        </is>
      </c>
    </row>
    <row r="15153">
      <c r="A15153" s="1" t="n">
        <v>15152</v>
      </c>
      <c r="B15153">
        <f>TEXT(15152, "[$-0E0000]yyyy-mm-dd")</f>
        <v/>
      </c>
      <c r="C15153" t="inlineStr">
        <is>
          <t>1941-06-02</t>
        </is>
      </c>
    </row>
    <row r="15154">
      <c r="A15154" s="1" t="n">
        <v>15153</v>
      </c>
      <c r="B15154">
        <f>TEXT(15153, "[$-0E0000]yyyy-mm-dd")</f>
        <v/>
      </c>
      <c r="C15154" t="inlineStr">
        <is>
          <t>1941-06-03</t>
        </is>
      </c>
    </row>
    <row r="15155">
      <c r="A15155" s="1" t="n">
        <v>15154</v>
      </c>
      <c r="B15155">
        <f>TEXT(15154, "[$-0E0000]yyyy-mm-dd")</f>
        <v/>
      </c>
      <c r="C15155" t="inlineStr">
        <is>
          <t>1941-06-04</t>
        </is>
      </c>
    </row>
    <row r="15156">
      <c r="A15156" s="1" t="n">
        <v>15155</v>
      </c>
      <c r="B15156">
        <f>TEXT(15155, "[$-0E0000]yyyy-mm-dd")</f>
        <v/>
      </c>
      <c r="C15156" t="inlineStr">
        <is>
          <t>1941-06-05</t>
        </is>
      </c>
    </row>
    <row r="15157">
      <c r="A15157" s="1" t="n">
        <v>15156</v>
      </c>
      <c r="B15157">
        <f>TEXT(15156, "[$-0E0000]yyyy-mm-dd")</f>
        <v/>
      </c>
      <c r="C15157" t="inlineStr">
        <is>
          <t>1941-06-06</t>
        </is>
      </c>
    </row>
    <row r="15158">
      <c r="A15158" s="1" t="n">
        <v>15157</v>
      </c>
      <c r="B15158">
        <f>TEXT(15157, "[$-0E0000]yyyy-mm-dd")</f>
        <v/>
      </c>
      <c r="C15158" t="inlineStr">
        <is>
          <t>1941-06-07</t>
        </is>
      </c>
    </row>
    <row r="15159">
      <c r="A15159" s="1" t="n">
        <v>15158</v>
      </c>
      <c r="B15159">
        <f>TEXT(15158, "[$-0E0000]yyyy-mm-dd")</f>
        <v/>
      </c>
      <c r="C15159" t="inlineStr">
        <is>
          <t>1941-06-08</t>
        </is>
      </c>
    </row>
    <row r="15160">
      <c r="A15160" s="1" t="n">
        <v>15159</v>
      </c>
      <c r="B15160">
        <f>TEXT(15159, "[$-0E0000]yyyy-mm-dd")</f>
        <v/>
      </c>
      <c r="C15160" t="inlineStr">
        <is>
          <t>1941-06-09</t>
        </is>
      </c>
    </row>
    <row r="15161">
      <c r="A15161" s="1" t="n">
        <v>15160</v>
      </c>
      <c r="B15161">
        <f>TEXT(15160, "[$-0E0000]yyyy-mm-dd")</f>
        <v/>
      </c>
      <c r="C15161" t="inlineStr">
        <is>
          <t>1941-06-10</t>
        </is>
      </c>
    </row>
    <row r="15162">
      <c r="A15162" s="1" t="n">
        <v>15161</v>
      </c>
      <c r="B15162">
        <f>TEXT(15161, "[$-0E0000]yyyy-mm-dd")</f>
        <v/>
      </c>
      <c r="C15162" t="inlineStr">
        <is>
          <t>1941-06-11</t>
        </is>
      </c>
    </row>
    <row r="15163">
      <c r="A15163" s="1" t="n">
        <v>15162</v>
      </c>
      <c r="B15163">
        <f>TEXT(15162, "[$-0E0000]yyyy-mm-dd")</f>
        <v/>
      </c>
      <c r="C15163" t="inlineStr">
        <is>
          <t>1941-06-12</t>
        </is>
      </c>
    </row>
    <row r="15164">
      <c r="A15164" s="1" t="n">
        <v>15163</v>
      </c>
      <c r="B15164">
        <f>TEXT(15163, "[$-0E0000]yyyy-mm-dd")</f>
        <v/>
      </c>
      <c r="C15164" t="inlineStr">
        <is>
          <t>1941-06-13</t>
        </is>
      </c>
    </row>
    <row r="15165">
      <c r="A15165" s="1" t="n">
        <v>15164</v>
      </c>
      <c r="B15165">
        <f>TEXT(15164, "[$-0E0000]yyyy-mm-dd")</f>
        <v/>
      </c>
      <c r="C15165" t="inlineStr">
        <is>
          <t>1941-06-14</t>
        </is>
      </c>
    </row>
    <row r="15166">
      <c r="A15166" s="1" t="n">
        <v>15165</v>
      </c>
      <c r="B15166">
        <f>TEXT(15165, "[$-0E0000]yyyy-mm-dd")</f>
        <v/>
      </c>
      <c r="C15166" t="inlineStr">
        <is>
          <t>1941-06-15</t>
        </is>
      </c>
    </row>
    <row r="15167">
      <c r="A15167" s="1" t="n">
        <v>15166</v>
      </c>
      <c r="B15167">
        <f>TEXT(15166, "[$-0E0000]yyyy-mm-dd")</f>
        <v/>
      </c>
      <c r="C15167" t="inlineStr">
        <is>
          <t>1941-06-16</t>
        </is>
      </c>
    </row>
    <row r="15168">
      <c r="A15168" s="1" t="n">
        <v>15167</v>
      </c>
      <c r="B15168">
        <f>TEXT(15167, "[$-0E0000]yyyy-mm-dd")</f>
        <v/>
      </c>
      <c r="C15168" t="inlineStr">
        <is>
          <t>1941-06-17</t>
        </is>
      </c>
    </row>
    <row r="15169">
      <c r="A15169" s="1" t="n">
        <v>15168</v>
      </c>
      <c r="B15169">
        <f>TEXT(15168, "[$-0E0000]yyyy-mm-dd")</f>
        <v/>
      </c>
      <c r="C15169" t="inlineStr">
        <is>
          <t>1941-06-18</t>
        </is>
      </c>
    </row>
    <row r="15170">
      <c r="A15170" s="1" t="n">
        <v>15169</v>
      </c>
      <c r="B15170">
        <f>TEXT(15169, "[$-0E0000]yyyy-mm-dd")</f>
        <v/>
      </c>
      <c r="C15170" t="inlineStr">
        <is>
          <t>1941-06-19</t>
        </is>
      </c>
    </row>
    <row r="15171">
      <c r="A15171" s="1" t="n">
        <v>15170</v>
      </c>
      <c r="B15171">
        <f>TEXT(15170, "[$-0E0000]yyyy-mm-dd")</f>
        <v/>
      </c>
      <c r="C15171" t="inlineStr">
        <is>
          <t>1941-06-20</t>
        </is>
      </c>
    </row>
    <row r="15172">
      <c r="A15172" s="1" t="n">
        <v>15171</v>
      </c>
      <c r="B15172">
        <f>TEXT(15171, "[$-0E0000]yyyy-mm-dd")</f>
        <v/>
      </c>
      <c r="C15172" t="inlineStr">
        <is>
          <t>1941-06-21</t>
        </is>
      </c>
    </row>
    <row r="15173">
      <c r="A15173" s="1" t="n">
        <v>15172</v>
      </c>
      <c r="B15173">
        <f>TEXT(15172, "[$-0E0000]yyyy-mm-dd")</f>
        <v/>
      </c>
      <c r="C15173" t="inlineStr">
        <is>
          <t>1941-06-22</t>
        </is>
      </c>
    </row>
    <row r="15174">
      <c r="A15174" s="1" t="n">
        <v>15173</v>
      </c>
      <c r="B15174">
        <f>TEXT(15173, "[$-0E0000]yyyy-mm-dd")</f>
        <v/>
      </c>
      <c r="C15174" t="inlineStr">
        <is>
          <t>1941-06-23</t>
        </is>
      </c>
    </row>
    <row r="15175">
      <c r="A15175" s="1" t="n">
        <v>15174</v>
      </c>
      <c r="B15175">
        <f>TEXT(15174, "[$-0E0000]yyyy-mm-dd")</f>
        <v/>
      </c>
      <c r="C15175" t="inlineStr">
        <is>
          <t>1941-06-24</t>
        </is>
      </c>
    </row>
    <row r="15176">
      <c r="A15176" s="1" t="n">
        <v>15175</v>
      </c>
      <c r="B15176">
        <f>TEXT(15175, "[$-0E0000]yyyy-mm-dd")</f>
        <v/>
      </c>
      <c r="C15176" t="inlineStr">
        <is>
          <t>1941-06-25</t>
        </is>
      </c>
    </row>
    <row r="15177">
      <c r="A15177" s="1" t="n">
        <v>15176</v>
      </c>
      <c r="B15177">
        <f>TEXT(15176, "[$-0E0000]yyyy-mm-dd")</f>
        <v/>
      </c>
      <c r="C15177" t="inlineStr">
        <is>
          <t>1941-06-26</t>
        </is>
      </c>
    </row>
    <row r="15178">
      <c r="A15178" s="1" t="n">
        <v>15177</v>
      </c>
      <c r="B15178">
        <f>TEXT(15177, "[$-0E0000]yyyy-mm-dd")</f>
        <v/>
      </c>
      <c r="C15178" t="inlineStr">
        <is>
          <t>1941-06-27</t>
        </is>
      </c>
    </row>
    <row r="15179">
      <c r="A15179" s="1" t="n">
        <v>15178</v>
      </c>
      <c r="B15179">
        <f>TEXT(15178, "[$-0E0000]yyyy-mm-dd")</f>
        <v/>
      </c>
      <c r="C15179" t="inlineStr">
        <is>
          <t>1941-06-28</t>
        </is>
      </c>
    </row>
    <row r="15180">
      <c r="A15180" s="1" t="n">
        <v>15179</v>
      </c>
      <c r="B15180">
        <f>TEXT(15179, "[$-0E0000]yyyy-mm-dd")</f>
        <v/>
      </c>
      <c r="C15180" t="inlineStr">
        <is>
          <t>1941-06-29</t>
        </is>
      </c>
    </row>
    <row r="15181">
      <c r="A15181" s="1" t="n">
        <v>15180</v>
      </c>
      <c r="B15181">
        <f>TEXT(15180, "[$-0E0000]yyyy-mm-dd")</f>
        <v/>
      </c>
      <c r="C15181" t="inlineStr">
        <is>
          <t>1941-06-01</t>
        </is>
      </c>
    </row>
    <row r="15182">
      <c r="A15182" s="1" t="n">
        <v>15181</v>
      </c>
      <c r="B15182">
        <f>TEXT(15181, "[$-0E0000]yyyy-mm-dd")</f>
        <v/>
      </c>
      <c r="C15182" t="inlineStr">
        <is>
          <t>1941-06-02</t>
        </is>
      </c>
    </row>
    <row r="15183">
      <c r="A15183" s="1" t="n">
        <v>15182</v>
      </c>
      <c r="B15183">
        <f>TEXT(15182, "[$-0E0000]yyyy-mm-dd")</f>
        <v/>
      </c>
      <c r="C15183" t="inlineStr">
        <is>
          <t>1941-06-03</t>
        </is>
      </c>
    </row>
    <row r="15184">
      <c r="A15184" s="1" t="n">
        <v>15183</v>
      </c>
      <c r="B15184">
        <f>TEXT(15183, "[$-0E0000]yyyy-mm-dd")</f>
        <v/>
      </c>
      <c r="C15184" t="inlineStr">
        <is>
          <t>1941-06-04</t>
        </is>
      </c>
    </row>
    <row r="15185">
      <c r="A15185" s="1" t="n">
        <v>15184</v>
      </c>
      <c r="B15185">
        <f>TEXT(15184, "[$-0E0000]yyyy-mm-dd")</f>
        <v/>
      </c>
      <c r="C15185" t="inlineStr">
        <is>
          <t>1941-06-05</t>
        </is>
      </c>
    </row>
    <row r="15186">
      <c r="A15186" s="1" t="n">
        <v>15185</v>
      </c>
      <c r="B15186">
        <f>TEXT(15185, "[$-0E0000]yyyy-mm-dd")</f>
        <v/>
      </c>
      <c r="C15186" t="inlineStr">
        <is>
          <t>1941-06-06</t>
        </is>
      </c>
    </row>
    <row r="15187">
      <c r="A15187" s="1" t="n">
        <v>15186</v>
      </c>
      <c r="B15187">
        <f>TEXT(15186, "[$-0E0000]yyyy-mm-dd")</f>
        <v/>
      </c>
      <c r="C15187" t="inlineStr">
        <is>
          <t>1941-06-07</t>
        </is>
      </c>
    </row>
    <row r="15188">
      <c r="A15188" s="1" t="n">
        <v>15187</v>
      </c>
      <c r="B15188">
        <f>TEXT(15187, "[$-0E0000]yyyy-mm-dd")</f>
        <v/>
      </c>
      <c r="C15188" t="inlineStr">
        <is>
          <t>1941-06-08</t>
        </is>
      </c>
    </row>
    <row r="15189">
      <c r="A15189" s="1" t="n">
        <v>15188</v>
      </c>
      <c r="B15189">
        <f>TEXT(15188, "[$-0E0000]yyyy-mm-dd")</f>
        <v/>
      </c>
      <c r="C15189" t="inlineStr">
        <is>
          <t>1941-06-09</t>
        </is>
      </c>
    </row>
    <row r="15190">
      <c r="A15190" s="1" t="n">
        <v>15189</v>
      </c>
      <c r="B15190">
        <f>TEXT(15189, "[$-0E0000]yyyy-mm-dd")</f>
        <v/>
      </c>
      <c r="C15190" t="inlineStr">
        <is>
          <t>1941-06-10</t>
        </is>
      </c>
    </row>
    <row r="15191">
      <c r="A15191" s="1" t="n">
        <v>15190</v>
      </c>
      <c r="B15191">
        <f>TEXT(15190, "[$-0E0000]yyyy-mm-dd")</f>
        <v/>
      </c>
      <c r="C15191" t="inlineStr">
        <is>
          <t>1941-06-11</t>
        </is>
      </c>
    </row>
    <row r="15192">
      <c r="A15192" s="1" t="n">
        <v>15191</v>
      </c>
      <c r="B15192">
        <f>TEXT(15191, "[$-0E0000]yyyy-mm-dd")</f>
        <v/>
      </c>
      <c r="C15192" t="inlineStr">
        <is>
          <t>1941-06-12</t>
        </is>
      </c>
    </row>
    <row r="15193">
      <c r="A15193" s="1" t="n">
        <v>15192</v>
      </c>
      <c r="B15193">
        <f>TEXT(15192, "[$-0E0000]yyyy-mm-dd")</f>
        <v/>
      </c>
      <c r="C15193" t="inlineStr">
        <is>
          <t>1941-06-13</t>
        </is>
      </c>
    </row>
    <row r="15194">
      <c r="A15194" s="1" t="n">
        <v>15193</v>
      </c>
      <c r="B15194">
        <f>TEXT(15193, "[$-0E0000]yyyy-mm-dd")</f>
        <v/>
      </c>
      <c r="C15194" t="inlineStr">
        <is>
          <t>1941-06-14</t>
        </is>
      </c>
    </row>
    <row r="15195">
      <c r="A15195" s="1" t="n">
        <v>15194</v>
      </c>
      <c r="B15195">
        <f>TEXT(15194, "[$-0E0000]yyyy-mm-dd")</f>
        <v/>
      </c>
      <c r="C15195" t="inlineStr">
        <is>
          <t>1941-06-15</t>
        </is>
      </c>
    </row>
    <row r="15196">
      <c r="A15196" s="1" t="n">
        <v>15195</v>
      </c>
      <c r="B15196">
        <f>TEXT(15195, "[$-0E0000]yyyy-mm-dd")</f>
        <v/>
      </c>
      <c r="C15196" t="inlineStr">
        <is>
          <t>1941-06-16</t>
        </is>
      </c>
    </row>
    <row r="15197">
      <c r="A15197" s="1" t="n">
        <v>15196</v>
      </c>
      <c r="B15197">
        <f>TEXT(15196, "[$-0E0000]yyyy-mm-dd")</f>
        <v/>
      </c>
      <c r="C15197" t="inlineStr">
        <is>
          <t>1941-06-17</t>
        </is>
      </c>
    </row>
    <row r="15198">
      <c r="A15198" s="1" t="n">
        <v>15197</v>
      </c>
      <c r="B15198">
        <f>TEXT(15197, "[$-0E0000]yyyy-mm-dd")</f>
        <v/>
      </c>
      <c r="C15198" t="inlineStr">
        <is>
          <t>1941-06-18</t>
        </is>
      </c>
    </row>
    <row r="15199">
      <c r="A15199" s="1" t="n">
        <v>15198</v>
      </c>
      <c r="B15199">
        <f>TEXT(15198, "[$-0E0000]yyyy-mm-dd")</f>
        <v/>
      </c>
      <c r="C15199" t="inlineStr">
        <is>
          <t>1941-06-19</t>
        </is>
      </c>
    </row>
    <row r="15200">
      <c r="A15200" s="1" t="n">
        <v>15199</v>
      </c>
      <c r="B15200">
        <f>TEXT(15199, "[$-0E0000]yyyy-mm-dd")</f>
        <v/>
      </c>
      <c r="C15200" t="inlineStr">
        <is>
          <t>1941-06-20</t>
        </is>
      </c>
    </row>
    <row r="15201">
      <c r="A15201" s="1" t="n">
        <v>15200</v>
      </c>
      <c r="B15201">
        <f>TEXT(15200, "[$-0E0000]yyyy-mm-dd")</f>
        <v/>
      </c>
      <c r="C15201" t="inlineStr">
        <is>
          <t>1941-06-21</t>
        </is>
      </c>
    </row>
    <row r="15202">
      <c r="A15202" s="1" t="n">
        <v>15201</v>
      </c>
      <c r="B15202">
        <f>TEXT(15201, "[$-0E0000]yyyy-mm-dd")</f>
        <v/>
      </c>
      <c r="C15202" t="inlineStr">
        <is>
          <t>1941-06-22</t>
        </is>
      </c>
    </row>
    <row r="15203">
      <c r="A15203" s="1" t="n">
        <v>15202</v>
      </c>
      <c r="B15203">
        <f>TEXT(15202, "[$-0E0000]yyyy-mm-dd")</f>
        <v/>
      </c>
      <c r="C15203" t="inlineStr">
        <is>
          <t>1941-06-23</t>
        </is>
      </c>
    </row>
    <row r="15204">
      <c r="A15204" s="1" t="n">
        <v>15203</v>
      </c>
      <c r="B15204">
        <f>TEXT(15203, "[$-0E0000]yyyy-mm-dd")</f>
        <v/>
      </c>
      <c r="C15204" t="inlineStr">
        <is>
          <t>1941-06-24</t>
        </is>
      </c>
    </row>
    <row r="15205">
      <c r="A15205" s="1" t="n">
        <v>15204</v>
      </c>
      <c r="B15205">
        <f>TEXT(15204, "[$-0E0000]yyyy-mm-dd")</f>
        <v/>
      </c>
      <c r="C15205" t="inlineStr">
        <is>
          <t>1941-06-25</t>
        </is>
      </c>
    </row>
    <row r="15206">
      <c r="A15206" s="1" t="n">
        <v>15205</v>
      </c>
      <c r="B15206">
        <f>TEXT(15205, "[$-0E0000]yyyy-mm-dd")</f>
        <v/>
      </c>
      <c r="C15206" t="inlineStr">
        <is>
          <t>1941-06-26</t>
        </is>
      </c>
    </row>
    <row r="15207">
      <c r="A15207" s="1" t="n">
        <v>15206</v>
      </c>
      <c r="B15207">
        <f>TEXT(15206, "[$-0E0000]yyyy-mm-dd")</f>
        <v/>
      </c>
      <c r="C15207" t="inlineStr">
        <is>
          <t>1941-06-27</t>
        </is>
      </c>
    </row>
    <row r="15208">
      <c r="A15208" s="1" t="n">
        <v>15207</v>
      </c>
      <c r="B15208">
        <f>TEXT(15207, "[$-0E0000]yyyy-mm-dd")</f>
        <v/>
      </c>
      <c r="C15208" t="inlineStr">
        <is>
          <t>1941-06-28</t>
        </is>
      </c>
    </row>
    <row r="15209">
      <c r="A15209" s="1" t="n">
        <v>15208</v>
      </c>
      <c r="B15209">
        <f>TEXT(15208, "[$-0E0000]yyyy-mm-dd")</f>
        <v/>
      </c>
      <c r="C15209" t="inlineStr">
        <is>
          <t>1941-06-29</t>
        </is>
      </c>
    </row>
    <row r="15210">
      <c r="A15210" s="1" t="n">
        <v>15209</v>
      </c>
      <c r="B15210">
        <f>TEXT(15209, "[$-0E0000]yyyy-mm-dd")</f>
        <v/>
      </c>
      <c r="C15210" t="inlineStr">
        <is>
          <t>1941-06-30</t>
        </is>
      </c>
    </row>
    <row r="15211">
      <c r="A15211" s="1" t="n">
        <v>15210</v>
      </c>
      <c r="B15211">
        <f>TEXT(15210, "[$-0E0000]yyyy-mm-dd")</f>
        <v/>
      </c>
      <c r="C15211" t="inlineStr">
        <is>
          <t>1941-07-01</t>
        </is>
      </c>
    </row>
    <row r="15212">
      <c r="A15212" s="1" t="n">
        <v>15211</v>
      </c>
      <c r="B15212">
        <f>TEXT(15211, "[$-0E0000]yyyy-mm-dd")</f>
        <v/>
      </c>
      <c r="C15212" t="inlineStr">
        <is>
          <t>1941-07-02</t>
        </is>
      </c>
    </row>
    <row r="15213">
      <c r="A15213" s="1" t="n">
        <v>15212</v>
      </c>
      <c r="B15213">
        <f>TEXT(15212, "[$-0E0000]yyyy-mm-dd")</f>
        <v/>
      </c>
      <c r="C15213" t="inlineStr">
        <is>
          <t>1941-07-03</t>
        </is>
      </c>
    </row>
    <row r="15214">
      <c r="A15214" s="1" t="n">
        <v>15213</v>
      </c>
      <c r="B15214">
        <f>TEXT(15213, "[$-0E0000]yyyy-mm-dd")</f>
        <v/>
      </c>
      <c r="C15214" t="inlineStr">
        <is>
          <t>1941-07-04</t>
        </is>
      </c>
    </row>
    <row r="15215">
      <c r="A15215" s="1" t="n">
        <v>15214</v>
      </c>
      <c r="B15215">
        <f>TEXT(15214, "[$-0E0000]yyyy-mm-dd")</f>
        <v/>
      </c>
      <c r="C15215" t="inlineStr">
        <is>
          <t>1941-07-05</t>
        </is>
      </c>
    </row>
    <row r="15216">
      <c r="A15216" s="1" t="n">
        <v>15215</v>
      </c>
      <c r="B15216">
        <f>TEXT(15215, "[$-0E0000]yyyy-mm-dd")</f>
        <v/>
      </c>
      <c r="C15216" t="inlineStr">
        <is>
          <t>1941-07-06</t>
        </is>
      </c>
    </row>
    <row r="15217">
      <c r="A15217" s="1" t="n">
        <v>15216</v>
      </c>
      <c r="B15217">
        <f>TEXT(15216, "[$-0E0000]yyyy-mm-dd")</f>
        <v/>
      </c>
      <c r="C15217" t="inlineStr">
        <is>
          <t>1941-07-07</t>
        </is>
      </c>
    </row>
    <row r="15218">
      <c r="A15218" s="1" t="n">
        <v>15217</v>
      </c>
      <c r="B15218">
        <f>TEXT(15217, "[$-0E0000]yyyy-mm-dd")</f>
        <v/>
      </c>
      <c r="C15218" t="inlineStr">
        <is>
          <t>1941-07-08</t>
        </is>
      </c>
    </row>
    <row r="15219">
      <c r="A15219" s="1" t="n">
        <v>15218</v>
      </c>
      <c r="B15219">
        <f>TEXT(15218, "[$-0E0000]yyyy-mm-dd")</f>
        <v/>
      </c>
      <c r="C15219" t="inlineStr">
        <is>
          <t>1941-07-09</t>
        </is>
      </c>
    </row>
    <row r="15220">
      <c r="A15220" s="1" t="n">
        <v>15219</v>
      </c>
      <c r="B15220">
        <f>TEXT(15219, "[$-0E0000]yyyy-mm-dd")</f>
        <v/>
      </c>
      <c r="C15220" t="inlineStr">
        <is>
          <t>1941-07-10</t>
        </is>
      </c>
    </row>
    <row r="15221">
      <c r="A15221" s="1" t="n">
        <v>15220</v>
      </c>
      <c r="B15221">
        <f>TEXT(15220, "[$-0E0000]yyyy-mm-dd")</f>
        <v/>
      </c>
      <c r="C15221" t="inlineStr">
        <is>
          <t>1941-07-11</t>
        </is>
      </c>
    </row>
    <row r="15222">
      <c r="A15222" s="1" t="n">
        <v>15221</v>
      </c>
      <c r="B15222">
        <f>TEXT(15221, "[$-0E0000]yyyy-mm-dd")</f>
        <v/>
      </c>
      <c r="C15222" t="inlineStr">
        <is>
          <t>1941-07-12</t>
        </is>
      </c>
    </row>
    <row r="15223">
      <c r="A15223" s="1" t="n">
        <v>15222</v>
      </c>
      <c r="B15223">
        <f>TEXT(15222, "[$-0E0000]yyyy-mm-dd")</f>
        <v/>
      </c>
      <c r="C15223" t="inlineStr">
        <is>
          <t>1941-07-13</t>
        </is>
      </c>
    </row>
    <row r="15224">
      <c r="A15224" s="1" t="n">
        <v>15223</v>
      </c>
      <c r="B15224">
        <f>TEXT(15223, "[$-0E0000]yyyy-mm-dd")</f>
        <v/>
      </c>
      <c r="C15224" t="inlineStr">
        <is>
          <t>1941-07-14</t>
        </is>
      </c>
    </row>
    <row r="15225">
      <c r="A15225" s="1" t="n">
        <v>15224</v>
      </c>
      <c r="B15225">
        <f>TEXT(15224, "[$-0E0000]yyyy-mm-dd")</f>
        <v/>
      </c>
      <c r="C15225" t="inlineStr">
        <is>
          <t>1941-07-15</t>
        </is>
      </c>
    </row>
    <row r="15226">
      <c r="A15226" s="1" t="n">
        <v>15225</v>
      </c>
      <c r="B15226">
        <f>TEXT(15225, "[$-0E0000]yyyy-mm-dd")</f>
        <v/>
      </c>
      <c r="C15226" t="inlineStr">
        <is>
          <t>1941-07-16</t>
        </is>
      </c>
    </row>
    <row r="15227">
      <c r="A15227" s="1" t="n">
        <v>15226</v>
      </c>
      <c r="B15227">
        <f>TEXT(15226, "[$-0E0000]yyyy-mm-dd")</f>
        <v/>
      </c>
      <c r="C15227" t="inlineStr">
        <is>
          <t>1941-07-17</t>
        </is>
      </c>
    </row>
    <row r="15228">
      <c r="A15228" s="1" t="n">
        <v>15227</v>
      </c>
      <c r="B15228">
        <f>TEXT(15227, "[$-0E0000]yyyy-mm-dd")</f>
        <v/>
      </c>
      <c r="C15228" t="inlineStr">
        <is>
          <t>1941-07-18</t>
        </is>
      </c>
    </row>
    <row r="15229">
      <c r="A15229" s="1" t="n">
        <v>15228</v>
      </c>
      <c r="B15229">
        <f>TEXT(15228, "[$-0E0000]yyyy-mm-dd")</f>
        <v/>
      </c>
      <c r="C15229" t="inlineStr">
        <is>
          <t>1941-07-19</t>
        </is>
      </c>
    </row>
    <row r="15230">
      <c r="A15230" s="1" t="n">
        <v>15229</v>
      </c>
      <c r="B15230">
        <f>TEXT(15229, "[$-0E0000]yyyy-mm-dd")</f>
        <v/>
      </c>
      <c r="C15230" t="inlineStr">
        <is>
          <t>1941-07-20</t>
        </is>
      </c>
    </row>
    <row r="15231">
      <c r="A15231" s="1" t="n">
        <v>15230</v>
      </c>
      <c r="B15231">
        <f>TEXT(15230, "[$-0E0000]yyyy-mm-dd")</f>
        <v/>
      </c>
      <c r="C15231" t="inlineStr">
        <is>
          <t>1941-07-21</t>
        </is>
      </c>
    </row>
    <row r="15232">
      <c r="A15232" s="1" t="n">
        <v>15231</v>
      </c>
      <c r="B15232">
        <f>TEXT(15231, "[$-0E0000]yyyy-mm-dd")</f>
        <v/>
      </c>
      <c r="C15232" t="inlineStr">
        <is>
          <t>1941-07-22</t>
        </is>
      </c>
    </row>
    <row r="15233">
      <c r="A15233" s="1" t="n">
        <v>15232</v>
      </c>
      <c r="B15233">
        <f>TEXT(15232, "[$-0E0000]yyyy-mm-dd")</f>
        <v/>
      </c>
      <c r="C15233" t="inlineStr">
        <is>
          <t>1941-07-23</t>
        </is>
      </c>
    </row>
    <row r="15234">
      <c r="A15234" s="1" t="n">
        <v>15233</v>
      </c>
      <c r="B15234">
        <f>TEXT(15233, "[$-0E0000]yyyy-mm-dd")</f>
        <v/>
      </c>
      <c r="C15234" t="inlineStr">
        <is>
          <t>1941-07-24</t>
        </is>
      </c>
    </row>
    <row r="15235">
      <c r="A15235" s="1" t="n">
        <v>15234</v>
      </c>
      <c r="B15235">
        <f>TEXT(15234, "[$-0E0000]yyyy-mm-dd")</f>
        <v/>
      </c>
      <c r="C15235" t="inlineStr">
        <is>
          <t>1941-07-25</t>
        </is>
      </c>
    </row>
    <row r="15236">
      <c r="A15236" s="1" t="n">
        <v>15235</v>
      </c>
      <c r="B15236">
        <f>TEXT(15235, "[$-0E0000]yyyy-mm-dd")</f>
        <v/>
      </c>
      <c r="C15236" t="inlineStr">
        <is>
          <t>1941-07-26</t>
        </is>
      </c>
    </row>
    <row r="15237">
      <c r="A15237" s="1" t="n">
        <v>15236</v>
      </c>
      <c r="B15237">
        <f>TEXT(15236, "[$-0E0000]yyyy-mm-dd")</f>
        <v/>
      </c>
      <c r="C15237" t="inlineStr">
        <is>
          <t>1941-07-27</t>
        </is>
      </c>
    </row>
    <row r="15238">
      <c r="A15238" s="1" t="n">
        <v>15237</v>
      </c>
      <c r="B15238">
        <f>TEXT(15237, "[$-0E0000]yyyy-mm-dd")</f>
        <v/>
      </c>
      <c r="C15238" t="inlineStr">
        <is>
          <t>1941-07-28</t>
        </is>
      </c>
    </row>
    <row r="15239">
      <c r="A15239" s="1" t="n">
        <v>15238</v>
      </c>
      <c r="B15239">
        <f>TEXT(15238, "[$-0E0000]yyyy-mm-dd")</f>
        <v/>
      </c>
      <c r="C15239" t="inlineStr">
        <is>
          <t>1941-07-29</t>
        </is>
      </c>
    </row>
    <row r="15240">
      <c r="A15240" s="1" t="n">
        <v>15239</v>
      </c>
      <c r="B15240">
        <f>TEXT(15239, "[$-0E0000]yyyy-mm-dd")</f>
        <v/>
      </c>
      <c r="C15240" t="inlineStr">
        <is>
          <t>1941-08-01</t>
        </is>
      </c>
    </row>
    <row r="15241">
      <c r="A15241" s="1" t="n">
        <v>15240</v>
      </c>
      <c r="B15241">
        <f>TEXT(15240, "[$-0E0000]yyyy-mm-dd")</f>
        <v/>
      </c>
      <c r="C15241" t="inlineStr">
        <is>
          <t>1941-08-02</t>
        </is>
      </c>
    </row>
    <row r="15242">
      <c r="A15242" s="1" t="n">
        <v>15241</v>
      </c>
      <c r="B15242">
        <f>TEXT(15241, "[$-0E0000]yyyy-mm-dd")</f>
        <v/>
      </c>
      <c r="C15242" t="inlineStr">
        <is>
          <t>1941-08-03</t>
        </is>
      </c>
    </row>
    <row r="15243">
      <c r="A15243" s="1" t="n">
        <v>15242</v>
      </c>
      <c r="B15243">
        <f>TEXT(15242, "[$-0E0000]yyyy-mm-dd")</f>
        <v/>
      </c>
      <c r="C15243" t="inlineStr">
        <is>
          <t>1941-08-04</t>
        </is>
      </c>
    </row>
    <row r="15244">
      <c r="A15244" s="1" t="n">
        <v>15243</v>
      </c>
      <c r="B15244">
        <f>TEXT(15243, "[$-0E0000]yyyy-mm-dd")</f>
        <v/>
      </c>
      <c r="C15244" t="inlineStr">
        <is>
          <t>1941-08-05</t>
        </is>
      </c>
    </row>
    <row r="15245">
      <c r="A15245" s="1" t="n">
        <v>15244</v>
      </c>
      <c r="B15245">
        <f>TEXT(15244, "[$-0E0000]yyyy-mm-dd")</f>
        <v/>
      </c>
      <c r="C15245" t="inlineStr">
        <is>
          <t>1941-08-06</t>
        </is>
      </c>
    </row>
    <row r="15246">
      <c r="A15246" s="1" t="n">
        <v>15245</v>
      </c>
      <c r="B15246">
        <f>TEXT(15245, "[$-0E0000]yyyy-mm-dd")</f>
        <v/>
      </c>
      <c r="C15246" t="inlineStr">
        <is>
          <t>1941-08-07</t>
        </is>
      </c>
    </row>
    <row r="15247">
      <c r="A15247" s="1" t="n">
        <v>15246</v>
      </c>
      <c r="B15247">
        <f>TEXT(15246, "[$-0E0000]yyyy-mm-dd")</f>
        <v/>
      </c>
      <c r="C15247" t="inlineStr">
        <is>
          <t>1941-08-08</t>
        </is>
      </c>
    </row>
    <row r="15248">
      <c r="A15248" s="1" t="n">
        <v>15247</v>
      </c>
      <c r="B15248">
        <f>TEXT(15247, "[$-0E0000]yyyy-mm-dd")</f>
        <v/>
      </c>
      <c r="C15248" t="inlineStr">
        <is>
          <t>1941-08-09</t>
        </is>
      </c>
    </row>
    <row r="15249">
      <c r="A15249" s="1" t="n">
        <v>15248</v>
      </c>
      <c r="B15249">
        <f>TEXT(15248, "[$-0E0000]yyyy-mm-dd")</f>
        <v/>
      </c>
      <c r="C15249" t="inlineStr">
        <is>
          <t>1941-08-10</t>
        </is>
      </c>
    </row>
    <row r="15250">
      <c r="A15250" s="1" t="n">
        <v>15249</v>
      </c>
      <c r="B15250">
        <f>TEXT(15249, "[$-0E0000]yyyy-mm-dd")</f>
        <v/>
      </c>
      <c r="C15250" t="inlineStr">
        <is>
          <t>1941-08-11</t>
        </is>
      </c>
    </row>
    <row r="15251">
      <c r="A15251" s="1" t="n">
        <v>15250</v>
      </c>
      <c r="B15251">
        <f>TEXT(15250, "[$-0E0000]yyyy-mm-dd")</f>
        <v/>
      </c>
      <c r="C15251" t="inlineStr">
        <is>
          <t>1941-08-12</t>
        </is>
      </c>
    </row>
    <row r="15252">
      <c r="A15252" s="1" t="n">
        <v>15251</v>
      </c>
      <c r="B15252">
        <f>TEXT(15251, "[$-0E0000]yyyy-mm-dd")</f>
        <v/>
      </c>
      <c r="C15252" t="inlineStr">
        <is>
          <t>1941-08-13</t>
        </is>
      </c>
    </row>
    <row r="15253">
      <c r="A15253" s="1" t="n">
        <v>15252</v>
      </c>
      <c r="B15253">
        <f>TEXT(15252, "[$-0E0000]yyyy-mm-dd")</f>
        <v/>
      </c>
      <c r="C15253" t="inlineStr">
        <is>
          <t>1941-08-14</t>
        </is>
      </c>
    </row>
    <row r="15254">
      <c r="A15254" s="1" t="n">
        <v>15253</v>
      </c>
      <c r="B15254">
        <f>TEXT(15253, "[$-0E0000]yyyy-mm-dd")</f>
        <v/>
      </c>
      <c r="C15254" t="inlineStr">
        <is>
          <t>1941-08-15</t>
        </is>
      </c>
    </row>
    <row r="15255">
      <c r="A15255" s="1" t="n">
        <v>15254</v>
      </c>
      <c r="B15255">
        <f>TEXT(15254, "[$-0E0000]yyyy-mm-dd")</f>
        <v/>
      </c>
      <c r="C15255" t="inlineStr">
        <is>
          <t>1941-08-16</t>
        </is>
      </c>
    </row>
    <row r="15256">
      <c r="A15256" s="1" t="n">
        <v>15255</v>
      </c>
      <c r="B15256">
        <f>TEXT(15255, "[$-0E0000]yyyy-mm-dd")</f>
        <v/>
      </c>
      <c r="C15256" t="inlineStr">
        <is>
          <t>1941-08-17</t>
        </is>
      </c>
    </row>
    <row r="15257">
      <c r="A15257" s="1" t="n">
        <v>15256</v>
      </c>
      <c r="B15257">
        <f>TEXT(15256, "[$-0E0000]yyyy-mm-dd")</f>
        <v/>
      </c>
      <c r="C15257" t="inlineStr">
        <is>
          <t>1941-08-18</t>
        </is>
      </c>
    </row>
    <row r="15258">
      <c r="A15258" s="1" t="n">
        <v>15257</v>
      </c>
      <c r="B15258">
        <f>TEXT(15257, "[$-0E0000]yyyy-mm-dd")</f>
        <v/>
      </c>
      <c r="C15258" t="inlineStr">
        <is>
          <t>1941-08-19</t>
        </is>
      </c>
    </row>
    <row r="15259">
      <c r="A15259" s="1" t="n">
        <v>15258</v>
      </c>
      <c r="B15259">
        <f>TEXT(15258, "[$-0E0000]yyyy-mm-dd")</f>
        <v/>
      </c>
      <c r="C15259" t="inlineStr">
        <is>
          <t>1941-08-20</t>
        </is>
      </c>
    </row>
    <row r="15260">
      <c r="A15260" s="1" t="n">
        <v>15259</v>
      </c>
      <c r="B15260">
        <f>TEXT(15259, "[$-0E0000]yyyy-mm-dd")</f>
        <v/>
      </c>
      <c r="C15260" t="inlineStr">
        <is>
          <t>1941-08-21</t>
        </is>
      </c>
    </row>
    <row r="15261">
      <c r="A15261" s="1" t="n">
        <v>15260</v>
      </c>
      <c r="B15261">
        <f>TEXT(15260, "[$-0E0000]yyyy-mm-dd")</f>
        <v/>
      </c>
      <c r="C15261" t="inlineStr">
        <is>
          <t>1941-08-22</t>
        </is>
      </c>
    </row>
    <row r="15262">
      <c r="A15262" s="1" t="n">
        <v>15261</v>
      </c>
      <c r="B15262">
        <f>TEXT(15261, "[$-0E0000]yyyy-mm-dd")</f>
        <v/>
      </c>
      <c r="C15262" t="inlineStr">
        <is>
          <t>1941-08-23</t>
        </is>
      </c>
    </row>
    <row r="15263">
      <c r="A15263" s="1" t="n">
        <v>15262</v>
      </c>
      <c r="B15263">
        <f>TEXT(15262, "[$-0E0000]yyyy-mm-dd")</f>
        <v/>
      </c>
      <c r="C15263" t="inlineStr">
        <is>
          <t>1941-08-24</t>
        </is>
      </c>
    </row>
    <row r="15264">
      <c r="A15264" s="1" t="n">
        <v>15263</v>
      </c>
      <c r="B15264">
        <f>TEXT(15263, "[$-0E0000]yyyy-mm-dd")</f>
        <v/>
      </c>
      <c r="C15264" t="inlineStr">
        <is>
          <t>1941-08-25</t>
        </is>
      </c>
    </row>
    <row r="15265">
      <c r="A15265" s="1" t="n">
        <v>15264</v>
      </c>
      <c r="B15265">
        <f>TEXT(15264, "[$-0E0000]yyyy-mm-dd")</f>
        <v/>
      </c>
      <c r="C15265" t="inlineStr">
        <is>
          <t>1941-08-26</t>
        </is>
      </c>
    </row>
    <row r="15266">
      <c r="A15266" s="1" t="n">
        <v>15265</v>
      </c>
      <c r="B15266">
        <f>TEXT(15265, "[$-0E0000]yyyy-mm-dd")</f>
        <v/>
      </c>
      <c r="C15266" t="inlineStr">
        <is>
          <t>1941-08-27</t>
        </is>
      </c>
    </row>
    <row r="15267">
      <c r="A15267" s="1" t="n">
        <v>15266</v>
      </c>
      <c r="B15267">
        <f>TEXT(15266, "[$-0E0000]yyyy-mm-dd")</f>
        <v/>
      </c>
      <c r="C15267" t="inlineStr">
        <is>
          <t>1941-08-28</t>
        </is>
      </c>
    </row>
    <row r="15268">
      <c r="A15268" s="1" t="n">
        <v>15267</v>
      </c>
      <c r="B15268">
        <f>TEXT(15267, "[$-0E0000]yyyy-mm-dd")</f>
        <v/>
      </c>
      <c r="C15268" t="inlineStr">
        <is>
          <t>1941-08-29</t>
        </is>
      </c>
    </row>
    <row r="15269">
      <c r="A15269" s="1" t="n">
        <v>15268</v>
      </c>
      <c r="B15269">
        <f>TEXT(15268, "[$-0E0000]yyyy-mm-dd")</f>
        <v/>
      </c>
      <c r="C15269" t="inlineStr">
        <is>
          <t>1941-09-01</t>
        </is>
      </c>
    </row>
    <row r="15270">
      <c r="A15270" s="1" t="n">
        <v>15269</v>
      </c>
      <c r="B15270">
        <f>TEXT(15269, "[$-0E0000]yyyy-mm-dd")</f>
        <v/>
      </c>
      <c r="C15270" t="inlineStr">
        <is>
          <t>1941-09-02</t>
        </is>
      </c>
    </row>
    <row r="15271">
      <c r="A15271" s="1" t="n">
        <v>15270</v>
      </c>
      <c r="B15271">
        <f>TEXT(15270, "[$-0E0000]yyyy-mm-dd")</f>
        <v/>
      </c>
      <c r="C15271" t="inlineStr">
        <is>
          <t>1941-09-03</t>
        </is>
      </c>
    </row>
    <row r="15272">
      <c r="A15272" s="1" t="n">
        <v>15271</v>
      </c>
      <c r="B15272">
        <f>TEXT(15271, "[$-0E0000]yyyy-mm-dd")</f>
        <v/>
      </c>
      <c r="C15272" t="inlineStr">
        <is>
          <t>1941-09-04</t>
        </is>
      </c>
    </row>
    <row r="15273">
      <c r="A15273" s="1" t="n">
        <v>15272</v>
      </c>
      <c r="B15273">
        <f>TEXT(15272, "[$-0E0000]yyyy-mm-dd")</f>
        <v/>
      </c>
      <c r="C15273" t="inlineStr">
        <is>
          <t>1941-09-05</t>
        </is>
      </c>
    </row>
    <row r="15274">
      <c r="A15274" s="1" t="n">
        <v>15273</v>
      </c>
      <c r="B15274">
        <f>TEXT(15273, "[$-0E0000]yyyy-mm-dd")</f>
        <v/>
      </c>
      <c r="C15274" t="inlineStr">
        <is>
          <t>1941-09-06</t>
        </is>
      </c>
    </row>
    <row r="15275">
      <c r="A15275" s="1" t="n">
        <v>15274</v>
      </c>
      <c r="B15275">
        <f>TEXT(15274, "[$-0E0000]yyyy-mm-dd")</f>
        <v/>
      </c>
      <c r="C15275" t="inlineStr">
        <is>
          <t>1941-09-07</t>
        </is>
      </c>
    </row>
    <row r="15276">
      <c r="A15276" s="1" t="n">
        <v>15275</v>
      </c>
      <c r="B15276">
        <f>TEXT(15275, "[$-0E0000]yyyy-mm-dd")</f>
        <v/>
      </c>
      <c r="C15276" t="inlineStr">
        <is>
          <t>1941-09-08</t>
        </is>
      </c>
    </row>
    <row r="15277">
      <c r="A15277" s="1" t="n">
        <v>15276</v>
      </c>
      <c r="B15277">
        <f>TEXT(15276, "[$-0E0000]yyyy-mm-dd")</f>
        <v/>
      </c>
      <c r="C15277" t="inlineStr">
        <is>
          <t>1941-09-09</t>
        </is>
      </c>
    </row>
    <row r="15278">
      <c r="A15278" s="1" t="n">
        <v>15277</v>
      </c>
      <c r="B15278">
        <f>TEXT(15277, "[$-0E0000]yyyy-mm-dd")</f>
        <v/>
      </c>
      <c r="C15278" t="inlineStr">
        <is>
          <t>1941-09-10</t>
        </is>
      </c>
    </row>
    <row r="15279">
      <c r="A15279" s="1" t="n">
        <v>15278</v>
      </c>
      <c r="B15279">
        <f>TEXT(15278, "[$-0E0000]yyyy-mm-dd")</f>
        <v/>
      </c>
      <c r="C15279" t="inlineStr">
        <is>
          <t>1941-09-11</t>
        </is>
      </c>
    </row>
    <row r="15280">
      <c r="A15280" s="1" t="n">
        <v>15279</v>
      </c>
      <c r="B15280">
        <f>TEXT(15279, "[$-0E0000]yyyy-mm-dd")</f>
        <v/>
      </c>
      <c r="C15280" t="inlineStr">
        <is>
          <t>1941-09-12</t>
        </is>
      </c>
    </row>
    <row r="15281">
      <c r="A15281" s="1" t="n">
        <v>15280</v>
      </c>
      <c r="B15281">
        <f>TEXT(15280, "[$-0E0000]yyyy-mm-dd")</f>
        <v/>
      </c>
      <c r="C15281" t="inlineStr">
        <is>
          <t>1941-09-13</t>
        </is>
      </c>
    </row>
    <row r="15282">
      <c r="A15282" s="1" t="n">
        <v>15281</v>
      </c>
      <c r="B15282">
        <f>TEXT(15281, "[$-0E0000]yyyy-mm-dd")</f>
        <v/>
      </c>
      <c r="C15282" t="inlineStr">
        <is>
          <t>1941-09-14</t>
        </is>
      </c>
    </row>
    <row r="15283">
      <c r="A15283" s="1" t="n">
        <v>15282</v>
      </c>
      <c r="B15283">
        <f>TEXT(15282, "[$-0E0000]yyyy-mm-dd")</f>
        <v/>
      </c>
      <c r="C15283" t="inlineStr">
        <is>
          <t>1941-09-15</t>
        </is>
      </c>
    </row>
    <row r="15284">
      <c r="A15284" s="1" t="n">
        <v>15283</v>
      </c>
      <c r="B15284">
        <f>TEXT(15283, "[$-0E0000]yyyy-mm-dd")</f>
        <v/>
      </c>
      <c r="C15284" t="inlineStr">
        <is>
          <t>1941-09-16</t>
        </is>
      </c>
    </row>
    <row r="15285">
      <c r="A15285" s="1" t="n">
        <v>15284</v>
      </c>
      <c r="B15285">
        <f>TEXT(15284, "[$-0E0000]yyyy-mm-dd")</f>
        <v/>
      </c>
      <c r="C15285" t="inlineStr">
        <is>
          <t>1941-09-17</t>
        </is>
      </c>
    </row>
    <row r="15286">
      <c r="A15286" s="1" t="n">
        <v>15285</v>
      </c>
      <c r="B15286">
        <f>TEXT(15285, "[$-0E0000]yyyy-mm-dd")</f>
        <v/>
      </c>
      <c r="C15286" t="inlineStr">
        <is>
          <t>1941-09-18</t>
        </is>
      </c>
    </row>
    <row r="15287">
      <c r="A15287" s="1" t="n">
        <v>15286</v>
      </c>
      <c r="B15287">
        <f>TEXT(15286, "[$-0E0000]yyyy-mm-dd")</f>
        <v/>
      </c>
      <c r="C15287" t="inlineStr">
        <is>
          <t>1941-09-19</t>
        </is>
      </c>
    </row>
    <row r="15288">
      <c r="A15288" s="1" t="n">
        <v>15287</v>
      </c>
      <c r="B15288">
        <f>TEXT(15287, "[$-0E0000]yyyy-mm-dd")</f>
        <v/>
      </c>
      <c r="C15288" t="inlineStr">
        <is>
          <t>1941-09-20</t>
        </is>
      </c>
    </row>
    <row r="15289">
      <c r="A15289" s="1" t="n">
        <v>15288</v>
      </c>
      <c r="B15289">
        <f>TEXT(15288, "[$-0E0000]yyyy-mm-dd")</f>
        <v/>
      </c>
      <c r="C15289" t="inlineStr">
        <is>
          <t>1941-09-21</t>
        </is>
      </c>
    </row>
    <row r="15290">
      <c r="A15290" s="1" t="n">
        <v>15289</v>
      </c>
      <c r="B15290">
        <f>TEXT(15289, "[$-0E0000]yyyy-mm-dd")</f>
        <v/>
      </c>
      <c r="C15290" t="inlineStr">
        <is>
          <t>1941-09-22</t>
        </is>
      </c>
    </row>
    <row r="15291">
      <c r="A15291" s="1" t="n">
        <v>15290</v>
      </c>
      <c r="B15291">
        <f>TEXT(15290, "[$-0E0000]yyyy-mm-dd")</f>
        <v/>
      </c>
      <c r="C15291" t="inlineStr">
        <is>
          <t>1941-09-23</t>
        </is>
      </c>
    </row>
    <row r="15292">
      <c r="A15292" s="1" t="n">
        <v>15291</v>
      </c>
      <c r="B15292">
        <f>TEXT(15291, "[$-0E0000]yyyy-mm-dd")</f>
        <v/>
      </c>
      <c r="C15292" t="inlineStr">
        <is>
          <t>1941-09-24</t>
        </is>
      </c>
    </row>
    <row r="15293">
      <c r="A15293" s="1" t="n">
        <v>15292</v>
      </c>
      <c r="B15293">
        <f>TEXT(15292, "[$-0E0000]yyyy-mm-dd")</f>
        <v/>
      </c>
      <c r="C15293" t="inlineStr">
        <is>
          <t>1941-09-25</t>
        </is>
      </c>
    </row>
    <row r="15294">
      <c r="A15294" s="1" t="n">
        <v>15293</v>
      </c>
      <c r="B15294">
        <f>TEXT(15293, "[$-0E0000]yyyy-mm-dd")</f>
        <v/>
      </c>
      <c r="C15294" t="inlineStr">
        <is>
          <t>1941-09-26</t>
        </is>
      </c>
    </row>
    <row r="15295">
      <c r="A15295" s="1" t="n">
        <v>15294</v>
      </c>
      <c r="B15295">
        <f>TEXT(15294, "[$-0E0000]yyyy-mm-dd")</f>
        <v/>
      </c>
      <c r="C15295" t="inlineStr">
        <is>
          <t>1941-09-27</t>
        </is>
      </c>
    </row>
    <row r="15296">
      <c r="A15296" s="1" t="n">
        <v>15295</v>
      </c>
      <c r="B15296">
        <f>TEXT(15295, "[$-0E0000]yyyy-mm-dd")</f>
        <v/>
      </c>
      <c r="C15296" t="inlineStr">
        <is>
          <t>1941-09-28</t>
        </is>
      </c>
    </row>
    <row r="15297">
      <c r="A15297" s="1" t="n">
        <v>15296</v>
      </c>
      <c r="B15297">
        <f>TEXT(15296, "[$-0E0000]yyyy-mm-dd")</f>
        <v/>
      </c>
      <c r="C15297" t="inlineStr">
        <is>
          <t>1941-09-29</t>
        </is>
      </c>
    </row>
    <row r="15298">
      <c r="A15298" s="1" t="n">
        <v>15297</v>
      </c>
      <c r="B15298">
        <f>TEXT(15297, "[$-0E0000]yyyy-mm-dd")</f>
        <v/>
      </c>
      <c r="C15298" t="inlineStr">
        <is>
          <t>1941-09-30</t>
        </is>
      </c>
    </row>
    <row r="15299">
      <c r="A15299" s="1" t="n">
        <v>15298</v>
      </c>
      <c r="B15299">
        <f>TEXT(15298, "[$-0E0000]yyyy-mm-dd")</f>
        <v/>
      </c>
      <c r="C15299" t="inlineStr">
        <is>
          <t>1941-10-01</t>
        </is>
      </c>
    </row>
    <row r="15300">
      <c r="A15300" s="1" t="n">
        <v>15299</v>
      </c>
      <c r="B15300">
        <f>TEXT(15299, "[$-0E0000]yyyy-mm-dd")</f>
        <v/>
      </c>
      <c r="C15300" t="inlineStr">
        <is>
          <t>1941-10-02</t>
        </is>
      </c>
    </row>
    <row r="15301">
      <c r="A15301" s="1" t="n">
        <v>15300</v>
      </c>
      <c r="B15301">
        <f>TEXT(15300, "[$-0E0000]yyyy-mm-dd")</f>
        <v/>
      </c>
      <c r="C15301" t="inlineStr">
        <is>
          <t>1941-10-03</t>
        </is>
      </c>
    </row>
    <row r="15302">
      <c r="A15302" s="1" t="n">
        <v>15301</v>
      </c>
      <c r="B15302">
        <f>TEXT(15301, "[$-0E0000]yyyy-mm-dd")</f>
        <v/>
      </c>
      <c r="C15302" t="inlineStr">
        <is>
          <t>1941-10-04</t>
        </is>
      </c>
    </row>
    <row r="15303">
      <c r="A15303" s="1" t="n">
        <v>15302</v>
      </c>
      <c r="B15303">
        <f>TEXT(15302, "[$-0E0000]yyyy-mm-dd")</f>
        <v/>
      </c>
      <c r="C15303" t="inlineStr">
        <is>
          <t>1941-10-05</t>
        </is>
      </c>
    </row>
    <row r="15304">
      <c r="A15304" s="1" t="n">
        <v>15303</v>
      </c>
      <c r="B15304">
        <f>TEXT(15303, "[$-0E0000]yyyy-mm-dd")</f>
        <v/>
      </c>
      <c r="C15304" t="inlineStr">
        <is>
          <t>1941-10-06</t>
        </is>
      </c>
    </row>
    <row r="15305">
      <c r="A15305" s="1" t="n">
        <v>15304</v>
      </c>
      <c r="B15305">
        <f>TEXT(15304, "[$-0E0000]yyyy-mm-dd")</f>
        <v/>
      </c>
      <c r="C15305" t="inlineStr">
        <is>
          <t>1941-10-07</t>
        </is>
      </c>
    </row>
    <row r="15306">
      <c r="A15306" s="1" t="n">
        <v>15305</v>
      </c>
      <c r="B15306">
        <f>TEXT(15305, "[$-0E0000]yyyy-mm-dd")</f>
        <v/>
      </c>
      <c r="C15306" t="inlineStr">
        <is>
          <t>1941-10-08</t>
        </is>
      </c>
    </row>
    <row r="15307">
      <c r="A15307" s="1" t="n">
        <v>15306</v>
      </c>
      <c r="B15307">
        <f>TEXT(15306, "[$-0E0000]yyyy-mm-dd")</f>
        <v/>
      </c>
      <c r="C15307" t="inlineStr">
        <is>
          <t>1941-10-09</t>
        </is>
      </c>
    </row>
    <row r="15308">
      <c r="A15308" s="1" t="n">
        <v>15307</v>
      </c>
      <c r="B15308">
        <f>TEXT(15307, "[$-0E0000]yyyy-mm-dd")</f>
        <v/>
      </c>
      <c r="C15308" t="inlineStr">
        <is>
          <t>1941-10-10</t>
        </is>
      </c>
    </row>
    <row r="15309">
      <c r="A15309" s="1" t="n">
        <v>15308</v>
      </c>
      <c r="B15309">
        <f>TEXT(15308, "[$-0E0000]yyyy-mm-dd")</f>
        <v/>
      </c>
      <c r="C15309" t="inlineStr">
        <is>
          <t>1941-10-11</t>
        </is>
      </c>
    </row>
    <row r="15310">
      <c r="A15310" s="1" t="n">
        <v>15309</v>
      </c>
      <c r="B15310">
        <f>TEXT(15309, "[$-0E0000]yyyy-mm-dd")</f>
        <v/>
      </c>
      <c r="C15310" t="inlineStr">
        <is>
          <t>1941-10-12</t>
        </is>
      </c>
    </row>
    <row r="15311">
      <c r="A15311" s="1" t="n">
        <v>15310</v>
      </c>
      <c r="B15311">
        <f>TEXT(15310, "[$-0E0000]yyyy-mm-dd")</f>
        <v/>
      </c>
      <c r="C15311" t="inlineStr">
        <is>
          <t>1941-10-13</t>
        </is>
      </c>
    </row>
    <row r="15312">
      <c r="A15312" s="1" t="n">
        <v>15311</v>
      </c>
      <c r="B15312">
        <f>TEXT(15311, "[$-0E0000]yyyy-mm-dd")</f>
        <v/>
      </c>
      <c r="C15312" t="inlineStr">
        <is>
          <t>1941-10-14</t>
        </is>
      </c>
    </row>
    <row r="15313">
      <c r="A15313" s="1" t="n">
        <v>15312</v>
      </c>
      <c r="B15313">
        <f>TEXT(15312, "[$-0E0000]yyyy-mm-dd")</f>
        <v/>
      </c>
      <c r="C15313" t="inlineStr">
        <is>
          <t>1941-10-15</t>
        </is>
      </c>
    </row>
    <row r="15314">
      <c r="A15314" s="1" t="n">
        <v>15313</v>
      </c>
      <c r="B15314">
        <f>TEXT(15313, "[$-0E0000]yyyy-mm-dd")</f>
        <v/>
      </c>
      <c r="C15314" t="inlineStr">
        <is>
          <t>1941-10-16</t>
        </is>
      </c>
    </row>
    <row r="15315">
      <c r="A15315" s="1" t="n">
        <v>15314</v>
      </c>
      <c r="B15315">
        <f>TEXT(15314, "[$-0E0000]yyyy-mm-dd")</f>
        <v/>
      </c>
      <c r="C15315" t="inlineStr">
        <is>
          <t>1941-10-17</t>
        </is>
      </c>
    </row>
    <row r="15316">
      <c r="A15316" s="1" t="n">
        <v>15315</v>
      </c>
      <c r="B15316">
        <f>TEXT(15315, "[$-0E0000]yyyy-mm-dd")</f>
        <v/>
      </c>
      <c r="C15316" t="inlineStr">
        <is>
          <t>1941-10-18</t>
        </is>
      </c>
    </row>
    <row r="15317">
      <c r="A15317" s="1" t="n">
        <v>15316</v>
      </c>
      <c r="B15317">
        <f>TEXT(15316, "[$-0E0000]yyyy-mm-dd")</f>
        <v/>
      </c>
      <c r="C15317" t="inlineStr">
        <is>
          <t>1941-10-19</t>
        </is>
      </c>
    </row>
    <row r="15318">
      <c r="A15318" s="1" t="n">
        <v>15317</v>
      </c>
      <c r="B15318">
        <f>TEXT(15317, "[$-0E0000]yyyy-mm-dd")</f>
        <v/>
      </c>
      <c r="C15318" t="inlineStr">
        <is>
          <t>1941-10-20</t>
        </is>
      </c>
    </row>
    <row r="15319">
      <c r="A15319" s="1" t="n">
        <v>15318</v>
      </c>
      <c r="B15319">
        <f>TEXT(15318, "[$-0E0000]yyyy-mm-dd")</f>
        <v/>
      </c>
      <c r="C15319" t="inlineStr">
        <is>
          <t>1941-10-21</t>
        </is>
      </c>
    </row>
    <row r="15320">
      <c r="A15320" s="1" t="n">
        <v>15319</v>
      </c>
      <c r="B15320">
        <f>TEXT(15319, "[$-0E0000]yyyy-mm-dd")</f>
        <v/>
      </c>
      <c r="C15320" t="inlineStr">
        <is>
          <t>1941-10-22</t>
        </is>
      </c>
    </row>
    <row r="15321">
      <c r="A15321" s="1" t="n">
        <v>15320</v>
      </c>
      <c r="B15321">
        <f>TEXT(15320, "[$-0E0000]yyyy-mm-dd")</f>
        <v/>
      </c>
      <c r="C15321" t="inlineStr">
        <is>
          <t>1941-10-23</t>
        </is>
      </c>
    </row>
    <row r="15322">
      <c r="A15322" s="1" t="n">
        <v>15321</v>
      </c>
      <c r="B15322">
        <f>TEXT(15321, "[$-0E0000]yyyy-mm-dd")</f>
        <v/>
      </c>
      <c r="C15322" t="inlineStr">
        <is>
          <t>1941-10-24</t>
        </is>
      </c>
    </row>
    <row r="15323">
      <c r="A15323" s="1" t="n">
        <v>15322</v>
      </c>
      <c r="B15323">
        <f>TEXT(15322, "[$-0E0000]yyyy-mm-dd")</f>
        <v/>
      </c>
      <c r="C15323" t="inlineStr">
        <is>
          <t>1941-10-25</t>
        </is>
      </c>
    </row>
    <row r="15324">
      <c r="A15324" s="1" t="n">
        <v>15323</v>
      </c>
      <c r="B15324">
        <f>TEXT(15323, "[$-0E0000]yyyy-mm-dd")</f>
        <v/>
      </c>
      <c r="C15324" t="inlineStr">
        <is>
          <t>1941-10-26</t>
        </is>
      </c>
    </row>
    <row r="15325">
      <c r="A15325" s="1" t="n">
        <v>15324</v>
      </c>
      <c r="B15325">
        <f>TEXT(15324, "[$-0E0000]yyyy-mm-dd")</f>
        <v/>
      </c>
      <c r="C15325" t="inlineStr">
        <is>
          <t>1941-10-27</t>
        </is>
      </c>
    </row>
    <row r="15326">
      <c r="A15326" s="1" t="n">
        <v>15325</v>
      </c>
      <c r="B15326">
        <f>TEXT(15325, "[$-0E0000]yyyy-mm-dd")</f>
        <v/>
      </c>
      <c r="C15326" t="inlineStr">
        <is>
          <t>1941-10-28</t>
        </is>
      </c>
    </row>
    <row r="15327">
      <c r="A15327" s="1" t="n">
        <v>15326</v>
      </c>
      <c r="B15327">
        <f>TEXT(15326, "[$-0E0000]yyyy-mm-dd")</f>
        <v/>
      </c>
      <c r="C15327" t="inlineStr">
        <is>
          <t>1941-10-29</t>
        </is>
      </c>
    </row>
    <row r="15328">
      <c r="A15328" s="1" t="n">
        <v>15327</v>
      </c>
      <c r="B15328">
        <f>TEXT(15327, "[$-0E0000]yyyy-mm-dd")</f>
        <v/>
      </c>
      <c r="C15328" t="inlineStr">
        <is>
          <t>1941-11-01</t>
        </is>
      </c>
    </row>
    <row r="15329">
      <c r="A15329" s="1" t="n">
        <v>15328</v>
      </c>
      <c r="B15329">
        <f>TEXT(15328, "[$-0E0000]yyyy-mm-dd")</f>
        <v/>
      </c>
      <c r="C15329" t="inlineStr">
        <is>
          <t>1941-11-02</t>
        </is>
      </c>
    </row>
    <row r="15330">
      <c r="A15330" s="1" t="n">
        <v>15329</v>
      </c>
      <c r="B15330">
        <f>TEXT(15329, "[$-0E0000]yyyy-mm-dd")</f>
        <v/>
      </c>
      <c r="C15330" t="inlineStr">
        <is>
          <t>1941-11-03</t>
        </is>
      </c>
    </row>
    <row r="15331">
      <c r="A15331" s="1" t="n">
        <v>15330</v>
      </c>
      <c r="B15331">
        <f>TEXT(15330, "[$-0E0000]yyyy-mm-dd")</f>
        <v/>
      </c>
      <c r="C15331" t="inlineStr">
        <is>
          <t>1941-11-04</t>
        </is>
      </c>
    </row>
    <row r="15332">
      <c r="A15332" s="1" t="n">
        <v>15331</v>
      </c>
      <c r="B15332">
        <f>TEXT(15331, "[$-0E0000]yyyy-mm-dd")</f>
        <v/>
      </c>
      <c r="C15332" t="inlineStr">
        <is>
          <t>1941-11-05</t>
        </is>
      </c>
    </row>
    <row r="15333">
      <c r="A15333" s="1" t="n">
        <v>15332</v>
      </c>
      <c r="B15333">
        <f>TEXT(15332, "[$-0E0000]yyyy-mm-dd")</f>
        <v/>
      </c>
      <c r="C15333" t="inlineStr">
        <is>
          <t>1941-11-06</t>
        </is>
      </c>
    </row>
    <row r="15334">
      <c r="A15334" s="1" t="n">
        <v>15333</v>
      </c>
      <c r="B15334">
        <f>TEXT(15333, "[$-0E0000]yyyy-mm-dd")</f>
        <v/>
      </c>
      <c r="C15334" t="inlineStr">
        <is>
          <t>1941-11-07</t>
        </is>
      </c>
    </row>
    <row r="15335">
      <c r="A15335" s="1" t="n">
        <v>15334</v>
      </c>
      <c r="B15335">
        <f>TEXT(15334, "[$-0E0000]yyyy-mm-dd")</f>
        <v/>
      </c>
      <c r="C15335" t="inlineStr">
        <is>
          <t>1941-11-08</t>
        </is>
      </c>
    </row>
    <row r="15336">
      <c r="A15336" s="1" t="n">
        <v>15335</v>
      </c>
      <c r="B15336">
        <f>TEXT(15335, "[$-0E0000]yyyy-mm-dd")</f>
        <v/>
      </c>
      <c r="C15336" t="inlineStr">
        <is>
          <t>1941-11-09</t>
        </is>
      </c>
    </row>
    <row r="15337">
      <c r="A15337" s="1" t="n">
        <v>15336</v>
      </c>
      <c r="B15337">
        <f>TEXT(15336, "[$-0E0000]yyyy-mm-dd")</f>
        <v/>
      </c>
      <c r="C15337" t="inlineStr">
        <is>
          <t>1941-11-10</t>
        </is>
      </c>
    </row>
    <row r="15338">
      <c r="A15338" s="1" t="n">
        <v>15337</v>
      </c>
      <c r="B15338">
        <f>TEXT(15337, "[$-0E0000]yyyy-mm-dd")</f>
        <v/>
      </c>
      <c r="C15338" t="inlineStr">
        <is>
          <t>1941-11-11</t>
        </is>
      </c>
    </row>
    <row r="15339">
      <c r="A15339" s="1" t="n">
        <v>15338</v>
      </c>
      <c r="B15339">
        <f>TEXT(15338, "[$-0E0000]yyyy-mm-dd")</f>
        <v/>
      </c>
      <c r="C15339" t="inlineStr">
        <is>
          <t>1941-11-12</t>
        </is>
      </c>
    </row>
    <row r="15340">
      <c r="A15340" s="1" t="n">
        <v>15339</v>
      </c>
      <c r="B15340">
        <f>TEXT(15339, "[$-0E0000]yyyy-mm-dd")</f>
        <v/>
      </c>
      <c r="C15340" t="inlineStr">
        <is>
          <t>1941-11-13</t>
        </is>
      </c>
    </row>
    <row r="15341">
      <c r="A15341" s="1" t="n">
        <v>15340</v>
      </c>
      <c r="B15341">
        <f>TEXT(15340, "[$-0E0000]yyyy-mm-dd")</f>
        <v/>
      </c>
      <c r="C15341" t="inlineStr">
        <is>
          <t>1941-11-14</t>
        </is>
      </c>
    </row>
    <row r="15342">
      <c r="A15342" s="1" t="n">
        <v>15341</v>
      </c>
      <c r="B15342">
        <f>TEXT(15341, "[$-0E0000]yyyy-mm-dd")</f>
        <v/>
      </c>
      <c r="C15342" t="inlineStr">
        <is>
          <t>1941-11-15</t>
        </is>
      </c>
    </row>
    <row r="15343">
      <c r="A15343" s="1" t="n">
        <v>15342</v>
      </c>
      <c r="B15343">
        <f>TEXT(15342, "[$-0E0000]yyyy-mm-dd")</f>
        <v/>
      </c>
      <c r="C15343" t="inlineStr">
        <is>
          <t>1941-11-16</t>
        </is>
      </c>
    </row>
    <row r="15344">
      <c r="A15344" s="1" t="n">
        <v>15343</v>
      </c>
      <c r="B15344">
        <f>TEXT(15343, "[$-0E0000]yyyy-mm-dd")</f>
        <v/>
      </c>
      <c r="C15344" t="inlineStr">
        <is>
          <t>1941-11-17</t>
        </is>
      </c>
    </row>
    <row r="15345">
      <c r="A15345" s="1" t="n">
        <v>15344</v>
      </c>
      <c r="B15345">
        <f>TEXT(15344, "[$-0E0000]yyyy-mm-dd")</f>
        <v/>
      </c>
      <c r="C15345" t="inlineStr">
        <is>
          <t>1941-11-18</t>
        </is>
      </c>
    </row>
    <row r="15346">
      <c r="A15346" s="1" t="n">
        <v>15345</v>
      </c>
      <c r="B15346">
        <f>TEXT(15345, "[$-0E0000]yyyy-mm-dd")</f>
        <v/>
      </c>
      <c r="C15346" t="inlineStr">
        <is>
          <t>1941-11-19</t>
        </is>
      </c>
    </row>
    <row r="15347">
      <c r="A15347" s="1" t="n">
        <v>15346</v>
      </c>
      <c r="B15347">
        <f>TEXT(15346, "[$-0E0000]yyyy-mm-dd")</f>
        <v/>
      </c>
      <c r="C15347" t="inlineStr">
        <is>
          <t>1941-11-20</t>
        </is>
      </c>
    </row>
    <row r="15348">
      <c r="A15348" s="1" t="n">
        <v>15347</v>
      </c>
      <c r="B15348">
        <f>TEXT(15347, "[$-0E0000]yyyy-mm-dd")</f>
        <v/>
      </c>
      <c r="C15348" t="inlineStr">
        <is>
          <t>1941-11-21</t>
        </is>
      </c>
    </row>
    <row r="15349">
      <c r="A15349" s="1" t="n">
        <v>15348</v>
      </c>
      <c r="B15349">
        <f>TEXT(15348, "[$-0E0000]yyyy-mm-dd")</f>
        <v/>
      </c>
      <c r="C15349" t="inlineStr">
        <is>
          <t>1941-11-22</t>
        </is>
      </c>
    </row>
    <row r="15350">
      <c r="A15350" s="1" t="n">
        <v>15349</v>
      </c>
      <c r="B15350">
        <f>TEXT(15349, "[$-0E0000]yyyy-mm-dd")</f>
        <v/>
      </c>
      <c r="C15350" t="inlineStr">
        <is>
          <t>1941-11-23</t>
        </is>
      </c>
    </row>
    <row r="15351">
      <c r="A15351" s="1" t="n">
        <v>15350</v>
      </c>
      <c r="B15351">
        <f>TEXT(15350, "[$-0E0000]yyyy-mm-dd")</f>
        <v/>
      </c>
      <c r="C15351" t="inlineStr">
        <is>
          <t>1941-11-24</t>
        </is>
      </c>
    </row>
    <row r="15352">
      <c r="A15352" s="1" t="n">
        <v>15351</v>
      </c>
      <c r="B15352">
        <f>TEXT(15351, "[$-0E0000]yyyy-mm-dd")</f>
        <v/>
      </c>
      <c r="C15352" t="inlineStr">
        <is>
          <t>1941-11-25</t>
        </is>
      </c>
    </row>
    <row r="15353">
      <c r="A15353" s="1" t="n">
        <v>15352</v>
      </c>
      <c r="B15353">
        <f>TEXT(15352, "[$-0E0000]yyyy-mm-dd")</f>
        <v/>
      </c>
      <c r="C15353" t="inlineStr">
        <is>
          <t>1941-11-26</t>
        </is>
      </c>
    </row>
    <row r="15354">
      <c r="A15354" s="1" t="n">
        <v>15353</v>
      </c>
      <c r="B15354">
        <f>TEXT(15353, "[$-0E0000]yyyy-mm-dd")</f>
        <v/>
      </c>
      <c r="C15354" t="inlineStr">
        <is>
          <t>1941-11-27</t>
        </is>
      </c>
    </row>
    <row r="15355">
      <c r="A15355" s="1" t="n">
        <v>15354</v>
      </c>
      <c r="B15355">
        <f>TEXT(15354, "[$-0E0000]yyyy-mm-dd")</f>
        <v/>
      </c>
      <c r="C15355" t="inlineStr">
        <is>
          <t>1941-11-28</t>
        </is>
      </c>
    </row>
    <row r="15356">
      <c r="A15356" s="1" t="n">
        <v>15355</v>
      </c>
      <c r="B15356">
        <f>TEXT(15355, "[$-0E0000]yyyy-mm-dd")</f>
        <v/>
      </c>
      <c r="C15356" t="inlineStr">
        <is>
          <t>1941-11-29</t>
        </is>
      </c>
    </row>
    <row r="15357">
      <c r="A15357" s="1" t="n">
        <v>15356</v>
      </c>
      <c r="B15357">
        <f>TEXT(15356, "[$-0E0000]yyyy-mm-dd")</f>
        <v/>
      </c>
      <c r="C15357" t="inlineStr">
        <is>
          <t>1941-11-30</t>
        </is>
      </c>
    </row>
    <row r="15358">
      <c r="A15358" s="1" t="n">
        <v>15357</v>
      </c>
      <c r="B15358">
        <f>TEXT(15357, "[$-0E0000]yyyy-mm-dd")</f>
        <v/>
      </c>
      <c r="C15358" t="inlineStr">
        <is>
          <t>1941-12-01</t>
        </is>
      </c>
    </row>
    <row r="15359">
      <c r="A15359" s="1" t="n">
        <v>15358</v>
      </c>
      <c r="B15359">
        <f>TEXT(15358, "[$-0E0000]yyyy-mm-dd")</f>
        <v/>
      </c>
      <c r="C15359" t="inlineStr">
        <is>
          <t>1941-12-02</t>
        </is>
      </c>
    </row>
    <row r="15360">
      <c r="A15360" s="1" t="n">
        <v>15359</v>
      </c>
      <c r="B15360">
        <f>TEXT(15359, "[$-0E0000]yyyy-mm-dd")</f>
        <v/>
      </c>
      <c r="C15360" t="inlineStr">
        <is>
          <t>1941-12-03</t>
        </is>
      </c>
    </row>
    <row r="15361">
      <c r="A15361" s="1" t="n">
        <v>15360</v>
      </c>
      <c r="B15361">
        <f>TEXT(15360, "[$-0E0000]yyyy-mm-dd")</f>
        <v/>
      </c>
      <c r="C15361" t="inlineStr">
        <is>
          <t>1941-12-04</t>
        </is>
      </c>
    </row>
    <row r="15362">
      <c r="A15362" s="1" t="n">
        <v>15361</v>
      </c>
      <c r="B15362">
        <f>TEXT(15361, "[$-0E0000]yyyy-mm-dd")</f>
        <v/>
      </c>
      <c r="C15362" t="inlineStr">
        <is>
          <t>1941-12-05</t>
        </is>
      </c>
    </row>
    <row r="15363">
      <c r="A15363" s="1" t="n">
        <v>15362</v>
      </c>
      <c r="B15363">
        <f>TEXT(15362, "[$-0E0000]yyyy-mm-dd")</f>
        <v/>
      </c>
      <c r="C15363" t="inlineStr">
        <is>
          <t>1941-12-06</t>
        </is>
      </c>
    </row>
    <row r="15364">
      <c r="A15364" s="1" t="n">
        <v>15363</v>
      </c>
      <c r="B15364">
        <f>TEXT(15363, "[$-0E0000]yyyy-mm-dd")</f>
        <v/>
      </c>
      <c r="C15364" t="inlineStr">
        <is>
          <t>1941-12-07</t>
        </is>
      </c>
    </row>
    <row r="15365">
      <c r="A15365" s="1" t="n">
        <v>15364</v>
      </c>
      <c r="B15365">
        <f>TEXT(15364, "[$-0E0000]yyyy-mm-dd")</f>
        <v/>
      </c>
      <c r="C15365" t="inlineStr">
        <is>
          <t>1941-12-08</t>
        </is>
      </c>
    </row>
    <row r="15366">
      <c r="A15366" s="1" t="n">
        <v>15365</v>
      </c>
      <c r="B15366">
        <f>TEXT(15365, "[$-0E0000]yyyy-mm-dd")</f>
        <v/>
      </c>
      <c r="C15366" t="inlineStr">
        <is>
          <t>1941-12-09</t>
        </is>
      </c>
    </row>
    <row r="15367">
      <c r="A15367" s="1" t="n">
        <v>15366</v>
      </c>
      <c r="B15367">
        <f>TEXT(15366, "[$-0E0000]yyyy-mm-dd")</f>
        <v/>
      </c>
      <c r="C15367" t="inlineStr">
        <is>
          <t>1941-12-10</t>
        </is>
      </c>
    </row>
    <row r="15368">
      <c r="A15368" s="1" t="n">
        <v>15367</v>
      </c>
      <c r="B15368">
        <f>TEXT(15367, "[$-0E0000]yyyy-mm-dd")</f>
        <v/>
      </c>
      <c r="C15368" t="inlineStr">
        <is>
          <t>1941-12-11</t>
        </is>
      </c>
    </row>
    <row r="15369">
      <c r="A15369" s="1" t="n">
        <v>15368</v>
      </c>
      <c r="B15369">
        <f>TEXT(15368, "[$-0E0000]yyyy-mm-dd")</f>
        <v/>
      </c>
      <c r="C15369" t="inlineStr">
        <is>
          <t>1941-12-12</t>
        </is>
      </c>
    </row>
    <row r="15370">
      <c r="A15370" s="1" t="n">
        <v>15369</v>
      </c>
      <c r="B15370">
        <f>TEXT(15369, "[$-0E0000]yyyy-mm-dd")</f>
        <v/>
      </c>
      <c r="C15370" t="inlineStr">
        <is>
          <t>1941-12-13</t>
        </is>
      </c>
    </row>
    <row r="15371">
      <c r="A15371" s="1" t="n">
        <v>15370</v>
      </c>
      <c r="B15371">
        <f>TEXT(15370, "[$-0E0000]yyyy-mm-dd")</f>
        <v/>
      </c>
      <c r="C15371" t="inlineStr">
        <is>
          <t>1941-12-14</t>
        </is>
      </c>
    </row>
    <row r="15372">
      <c r="A15372" s="1" t="n">
        <v>15371</v>
      </c>
      <c r="B15372">
        <f>TEXT(15371, "[$-0E0000]yyyy-mm-dd")</f>
        <v/>
      </c>
      <c r="C15372" t="inlineStr">
        <is>
          <t>1941-12-15</t>
        </is>
      </c>
    </row>
    <row r="15373">
      <c r="A15373" s="1" t="n">
        <v>15372</v>
      </c>
      <c r="B15373">
        <f>TEXT(15372, "[$-0E0000]yyyy-mm-dd")</f>
        <v/>
      </c>
      <c r="C15373" t="inlineStr">
        <is>
          <t>1941-12-16</t>
        </is>
      </c>
    </row>
    <row r="15374">
      <c r="A15374" s="1" t="n">
        <v>15373</v>
      </c>
      <c r="B15374">
        <f>TEXT(15373, "[$-0E0000]yyyy-mm-dd")</f>
        <v/>
      </c>
      <c r="C15374" t="inlineStr">
        <is>
          <t>1941-12-17</t>
        </is>
      </c>
    </row>
    <row r="15375">
      <c r="A15375" s="1" t="n">
        <v>15374</v>
      </c>
      <c r="B15375">
        <f>TEXT(15374, "[$-0E0000]yyyy-mm-dd")</f>
        <v/>
      </c>
      <c r="C15375" t="inlineStr">
        <is>
          <t>1941-12-18</t>
        </is>
      </c>
    </row>
    <row r="15376">
      <c r="A15376" s="1" t="n">
        <v>15375</v>
      </c>
      <c r="B15376">
        <f>TEXT(15375, "[$-0E0000]yyyy-mm-dd")</f>
        <v/>
      </c>
      <c r="C15376" t="inlineStr">
        <is>
          <t>1941-12-19</t>
        </is>
      </c>
    </row>
    <row r="15377">
      <c r="A15377" s="1" t="n">
        <v>15376</v>
      </c>
      <c r="B15377">
        <f>TEXT(15376, "[$-0E0000]yyyy-mm-dd")</f>
        <v/>
      </c>
      <c r="C15377" t="inlineStr">
        <is>
          <t>1941-12-20</t>
        </is>
      </c>
    </row>
    <row r="15378">
      <c r="A15378" s="1" t="n">
        <v>15377</v>
      </c>
      <c r="B15378">
        <f>TEXT(15377, "[$-0E0000]yyyy-mm-dd")</f>
        <v/>
      </c>
      <c r="C15378" t="inlineStr">
        <is>
          <t>1941-12-21</t>
        </is>
      </c>
    </row>
    <row r="15379">
      <c r="A15379" s="1" t="n">
        <v>15378</v>
      </c>
      <c r="B15379">
        <f>TEXT(15378, "[$-0E0000]yyyy-mm-dd")</f>
        <v/>
      </c>
      <c r="C15379" t="inlineStr">
        <is>
          <t>1941-12-22</t>
        </is>
      </c>
    </row>
    <row r="15380">
      <c r="A15380" s="1" t="n">
        <v>15379</v>
      </c>
      <c r="B15380">
        <f>TEXT(15379, "[$-0E0000]yyyy-mm-dd")</f>
        <v/>
      </c>
      <c r="C15380" t="inlineStr">
        <is>
          <t>1941-12-23</t>
        </is>
      </c>
    </row>
    <row r="15381">
      <c r="A15381" s="1" t="n">
        <v>15380</v>
      </c>
      <c r="B15381">
        <f>TEXT(15380, "[$-0E0000]yyyy-mm-dd")</f>
        <v/>
      </c>
      <c r="C15381" t="inlineStr">
        <is>
          <t>1941-12-24</t>
        </is>
      </c>
    </row>
    <row r="15382">
      <c r="A15382" s="1" t="n">
        <v>15381</v>
      </c>
      <c r="B15382">
        <f>TEXT(15381, "[$-0E0000]yyyy-mm-dd")</f>
        <v/>
      </c>
      <c r="C15382" t="inlineStr">
        <is>
          <t>1941-12-25</t>
        </is>
      </c>
    </row>
    <row r="15383">
      <c r="A15383" s="1" t="n">
        <v>15382</v>
      </c>
      <c r="B15383">
        <f>TEXT(15382, "[$-0E0000]yyyy-mm-dd")</f>
        <v/>
      </c>
      <c r="C15383" t="inlineStr">
        <is>
          <t>1941-12-26</t>
        </is>
      </c>
    </row>
    <row r="15384">
      <c r="A15384" s="1" t="n">
        <v>15383</v>
      </c>
      <c r="B15384">
        <f>TEXT(15383, "[$-0E0000]yyyy-mm-dd")</f>
        <v/>
      </c>
      <c r="C15384" t="inlineStr">
        <is>
          <t>1941-12-27</t>
        </is>
      </c>
    </row>
    <row r="15385">
      <c r="A15385" s="1" t="n">
        <v>15384</v>
      </c>
      <c r="B15385">
        <f>TEXT(15384, "[$-0E0000]yyyy-mm-dd")</f>
        <v/>
      </c>
      <c r="C15385" t="inlineStr">
        <is>
          <t>1941-12-28</t>
        </is>
      </c>
    </row>
    <row r="15386">
      <c r="A15386" s="1" t="n">
        <v>15385</v>
      </c>
      <c r="B15386">
        <f>TEXT(15385, "[$-0E0000]yyyy-mm-dd")</f>
        <v/>
      </c>
      <c r="C15386" t="inlineStr">
        <is>
          <t>1941-12-29</t>
        </is>
      </c>
    </row>
    <row r="15387">
      <c r="A15387" s="1" t="n">
        <v>15386</v>
      </c>
      <c r="B15387">
        <f>TEXT(15386, "[$-0E0000]yyyy-mm-dd")</f>
        <v/>
      </c>
      <c r="C15387" t="inlineStr">
        <is>
          <t>1942-01-01</t>
        </is>
      </c>
    </row>
    <row r="15388">
      <c r="A15388" s="1" t="n">
        <v>15387</v>
      </c>
      <c r="B15388">
        <f>TEXT(15387, "[$-0E0000]yyyy-mm-dd")</f>
        <v/>
      </c>
      <c r="C15388" t="inlineStr">
        <is>
          <t>1942-01-02</t>
        </is>
      </c>
    </row>
    <row r="15389">
      <c r="A15389" s="1" t="n">
        <v>15388</v>
      </c>
      <c r="B15389">
        <f>TEXT(15388, "[$-0E0000]yyyy-mm-dd")</f>
        <v/>
      </c>
      <c r="C15389" t="inlineStr">
        <is>
          <t>1942-01-03</t>
        </is>
      </c>
    </row>
    <row r="15390">
      <c r="A15390" s="1" t="n">
        <v>15389</v>
      </c>
      <c r="B15390">
        <f>TEXT(15389, "[$-0E0000]yyyy-mm-dd")</f>
        <v/>
      </c>
      <c r="C15390" t="inlineStr">
        <is>
          <t>1942-01-04</t>
        </is>
      </c>
    </row>
    <row r="15391">
      <c r="A15391" s="1" t="n">
        <v>15390</v>
      </c>
      <c r="B15391">
        <f>TEXT(15390, "[$-0E0000]yyyy-mm-dd")</f>
        <v/>
      </c>
      <c r="C15391" t="inlineStr">
        <is>
          <t>1942-01-05</t>
        </is>
      </c>
    </row>
    <row r="15392">
      <c r="A15392" s="1" t="n">
        <v>15391</v>
      </c>
      <c r="B15392">
        <f>TEXT(15391, "[$-0E0000]yyyy-mm-dd")</f>
        <v/>
      </c>
      <c r="C15392" t="inlineStr">
        <is>
          <t>1942-01-06</t>
        </is>
      </c>
    </row>
    <row r="15393">
      <c r="A15393" s="1" t="n">
        <v>15392</v>
      </c>
      <c r="B15393">
        <f>TEXT(15392, "[$-0E0000]yyyy-mm-dd")</f>
        <v/>
      </c>
      <c r="C15393" t="inlineStr">
        <is>
          <t>1942-01-07</t>
        </is>
      </c>
    </row>
    <row r="15394">
      <c r="A15394" s="1" t="n">
        <v>15393</v>
      </c>
      <c r="B15394">
        <f>TEXT(15393, "[$-0E0000]yyyy-mm-dd")</f>
        <v/>
      </c>
      <c r="C15394" t="inlineStr">
        <is>
          <t>1942-01-08</t>
        </is>
      </c>
    </row>
    <row r="15395">
      <c r="A15395" s="1" t="n">
        <v>15394</v>
      </c>
      <c r="B15395">
        <f>TEXT(15394, "[$-0E0000]yyyy-mm-dd")</f>
        <v/>
      </c>
      <c r="C15395" t="inlineStr">
        <is>
          <t>1942-01-09</t>
        </is>
      </c>
    </row>
    <row r="15396">
      <c r="A15396" s="1" t="n">
        <v>15395</v>
      </c>
      <c r="B15396">
        <f>TEXT(15395, "[$-0E0000]yyyy-mm-dd")</f>
        <v/>
      </c>
      <c r="C15396" t="inlineStr">
        <is>
          <t>1942-01-10</t>
        </is>
      </c>
    </row>
    <row r="15397">
      <c r="A15397" s="1" t="n">
        <v>15396</v>
      </c>
      <c r="B15397">
        <f>TEXT(15396, "[$-0E0000]yyyy-mm-dd")</f>
        <v/>
      </c>
      <c r="C15397" t="inlineStr">
        <is>
          <t>1942-01-11</t>
        </is>
      </c>
    </row>
    <row r="15398">
      <c r="A15398" s="1" t="n">
        <v>15397</v>
      </c>
      <c r="B15398">
        <f>TEXT(15397, "[$-0E0000]yyyy-mm-dd")</f>
        <v/>
      </c>
      <c r="C15398" t="inlineStr">
        <is>
          <t>1942-01-12</t>
        </is>
      </c>
    </row>
    <row r="15399">
      <c r="A15399" s="1" t="n">
        <v>15398</v>
      </c>
      <c r="B15399">
        <f>TEXT(15398, "[$-0E0000]yyyy-mm-dd")</f>
        <v/>
      </c>
      <c r="C15399" t="inlineStr">
        <is>
          <t>1942-01-13</t>
        </is>
      </c>
    </row>
    <row r="15400">
      <c r="A15400" s="1" t="n">
        <v>15399</v>
      </c>
      <c r="B15400">
        <f>TEXT(15399, "[$-0E0000]yyyy-mm-dd")</f>
        <v/>
      </c>
      <c r="C15400" t="inlineStr">
        <is>
          <t>1942-01-14</t>
        </is>
      </c>
    </row>
    <row r="15401">
      <c r="A15401" s="1" t="n">
        <v>15400</v>
      </c>
      <c r="B15401">
        <f>TEXT(15400, "[$-0E0000]yyyy-mm-dd")</f>
        <v/>
      </c>
      <c r="C15401" t="inlineStr">
        <is>
          <t>1942-01-15</t>
        </is>
      </c>
    </row>
    <row r="15402">
      <c r="A15402" s="1" t="n">
        <v>15401</v>
      </c>
      <c r="B15402">
        <f>TEXT(15401, "[$-0E0000]yyyy-mm-dd")</f>
        <v/>
      </c>
      <c r="C15402" t="inlineStr">
        <is>
          <t>1942-01-16</t>
        </is>
      </c>
    </row>
    <row r="15403">
      <c r="A15403" s="1" t="n">
        <v>15402</v>
      </c>
      <c r="B15403">
        <f>TEXT(15402, "[$-0E0000]yyyy-mm-dd")</f>
        <v/>
      </c>
      <c r="C15403" t="inlineStr">
        <is>
          <t>1942-01-17</t>
        </is>
      </c>
    </row>
    <row r="15404">
      <c r="A15404" s="1" t="n">
        <v>15403</v>
      </c>
      <c r="B15404">
        <f>TEXT(15403, "[$-0E0000]yyyy-mm-dd")</f>
        <v/>
      </c>
      <c r="C15404" t="inlineStr">
        <is>
          <t>1942-01-18</t>
        </is>
      </c>
    </row>
    <row r="15405">
      <c r="A15405" s="1" t="n">
        <v>15404</v>
      </c>
      <c r="B15405">
        <f>TEXT(15404, "[$-0E0000]yyyy-mm-dd")</f>
        <v/>
      </c>
      <c r="C15405" t="inlineStr">
        <is>
          <t>1942-01-19</t>
        </is>
      </c>
    </row>
    <row r="15406">
      <c r="A15406" s="1" t="n">
        <v>15405</v>
      </c>
      <c r="B15406">
        <f>TEXT(15405, "[$-0E0000]yyyy-mm-dd")</f>
        <v/>
      </c>
      <c r="C15406" t="inlineStr">
        <is>
          <t>1942-01-20</t>
        </is>
      </c>
    </row>
    <row r="15407">
      <c r="A15407" s="1" t="n">
        <v>15406</v>
      </c>
      <c r="B15407">
        <f>TEXT(15406, "[$-0E0000]yyyy-mm-dd")</f>
        <v/>
      </c>
      <c r="C15407" t="inlineStr">
        <is>
          <t>1942-01-21</t>
        </is>
      </c>
    </row>
    <row r="15408">
      <c r="A15408" s="1" t="n">
        <v>15407</v>
      </c>
      <c r="B15408">
        <f>TEXT(15407, "[$-0E0000]yyyy-mm-dd")</f>
        <v/>
      </c>
      <c r="C15408" t="inlineStr">
        <is>
          <t>1942-01-22</t>
        </is>
      </c>
    </row>
    <row r="15409">
      <c r="A15409" s="1" t="n">
        <v>15408</v>
      </c>
      <c r="B15409">
        <f>TEXT(15408, "[$-0E0000]yyyy-mm-dd")</f>
        <v/>
      </c>
      <c r="C15409" t="inlineStr">
        <is>
          <t>1942-01-23</t>
        </is>
      </c>
    </row>
    <row r="15410">
      <c r="A15410" s="1" t="n">
        <v>15409</v>
      </c>
      <c r="B15410">
        <f>TEXT(15409, "[$-0E0000]yyyy-mm-dd")</f>
        <v/>
      </c>
      <c r="C15410" t="inlineStr">
        <is>
          <t>1942-01-24</t>
        </is>
      </c>
    </row>
    <row r="15411">
      <c r="A15411" s="1" t="n">
        <v>15410</v>
      </c>
      <c r="B15411">
        <f>TEXT(15410, "[$-0E0000]yyyy-mm-dd")</f>
        <v/>
      </c>
      <c r="C15411" t="inlineStr">
        <is>
          <t>1942-01-25</t>
        </is>
      </c>
    </row>
    <row r="15412">
      <c r="A15412" s="1" t="n">
        <v>15411</v>
      </c>
      <c r="B15412">
        <f>TEXT(15411, "[$-0E0000]yyyy-mm-dd")</f>
        <v/>
      </c>
      <c r="C15412" t="inlineStr">
        <is>
          <t>1942-01-26</t>
        </is>
      </c>
    </row>
    <row r="15413">
      <c r="A15413" s="1" t="n">
        <v>15412</v>
      </c>
      <c r="B15413">
        <f>TEXT(15412, "[$-0E0000]yyyy-mm-dd")</f>
        <v/>
      </c>
      <c r="C15413" t="inlineStr">
        <is>
          <t>1942-01-27</t>
        </is>
      </c>
    </row>
    <row r="15414">
      <c r="A15414" s="1" t="n">
        <v>15413</v>
      </c>
      <c r="B15414">
        <f>TEXT(15413, "[$-0E0000]yyyy-mm-dd")</f>
        <v/>
      </c>
      <c r="C15414" t="inlineStr">
        <is>
          <t>1942-01-28</t>
        </is>
      </c>
    </row>
    <row r="15415">
      <c r="A15415" s="1" t="n">
        <v>15414</v>
      </c>
      <c r="B15415">
        <f>TEXT(15414, "[$-0E0000]yyyy-mm-dd")</f>
        <v/>
      </c>
      <c r="C15415" t="inlineStr">
        <is>
          <t>1942-01-29</t>
        </is>
      </c>
    </row>
    <row r="15416">
      <c r="A15416" s="1" t="n">
        <v>15415</v>
      </c>
      <c r="B15416">
        <f>TEXT(15415, "[$-0E0000]yyyy-mm-dd")</f>
        <v/>
      </c>
      <c r="C15416" t="inlineStr">
        <is>
          <t>1942-01-30</t>
        </is>
      </c>
    </row>
    <row r="15417">
      <c r="A15417" s="1" t="n">
        <v>15416</v>
      </c>
      <c r="B15417">
        <f>TEXT(15416, "[$-0E0000]yyyy-mm-dd")</f>
        <v/>
      </c>
      <c r="C15417" t="inlineStr">
        <is>
          <t>1942-02-01</t>
        </is>
      </c>
    </row>
    <row r="15418">
      <c r="A15418" s="1" t="n">
        <v>15417</v>
      </c>
      <c r="B15418">
        <f>TEXT(15417, "[$-0E0000]yyyy-mm-dd")</f>
        <v/>
      </c>
      <c r="C15418" t="inlineStr">
        <is>
          <t>1942-02-02</t>
        </is>
      </c>
    </row>
    <row r="15419">
      <c r="A15419" s="1" t="n">
        <v>15418</v>
      </c>
      <c r="B15419">
        <f>TEXT(15418, "[$-0E0000]yyyy-mm-dd")</f>
        <v/>
      </c>
      <c r="C15419" t="inlineStr">
        <is>
          <t>1942-02-03</t>
        </is>
      </c>
    </row>
    <row r="15420">
      <c r="A15420" s="1" t="n">
        <v>15419</v>
      </c>
      <c r="B15420">
        <f>TEXT(15419, "[$-0E0000]yyyy-mm-dd")</f>
        <v/>
      </c>
      <c r="C15420" t="inlineStr">
        <is>
          <t>1942-02-04</t>
        </is>
      </c>
    </row>
    <row r="15421">
      <c r="A15421" s="1" t="n">
        <v>15420</v>
      </c>
      <c r="B15421">
        <f>TEXT(15420, "[$-0E0000]yyyy-mm-dd")</f>
        <v/>
      </c>
      <c r="C15421" t="inlineStr">
        <is>
          <t>1942-02-05</t>
        </is>
      </c>
    </row>
    <row r="15422">
      <c r="A15422" s="1" t="n">
        <v>15421</v>
      </c>
      <c r="B15422">
        <f>TEXT(15421, "[$-0E0000]yyyy-mm-dd")</f>
        <v/>
      </c>
      <c r="C15422" t="inlineStr">
        <is>
          <t>1942-02-06</t>
        </is>
      </c>
    </row>
    <row r="15423">
      <c r="A15423" s="1" t="n">
        <v>15422</v>
      </c>
      <c r="B15423">
        <f>TEXT(15422, "[$-0E0000]yyyy-mm-dd")</f>
        <v/>
      </c>
      <c r="C15423" t="inlineStr">
        <is>
          <t>1942-02-07</t>
        </is>
      </c>
    </row>
    <row r="15424">
      <c r="A15424" s="1" t="n">
        <v>15423</v>
      </c>
      <c r="B15424">
        <f>TEXT(15423, "[$-0E0000]yyyy-mm-dd")</f>
        <v/>
      </c>
      <c r="C15424" t="inlineStr">
        <is>
          <t>1942-02-08</t>
        </is>
      </c>
    </row>
    <row r="15425">
      <c r="A15425" s="1" t="n">
        <v>15424</v>
      </c>
      <c r="B15425">
        <f>TEXT(15424, "[$-0E0000]yyyy-mm-dd")</f>
        <v/>
      </c>
      <c r="C15425" t="inlineStr">
        <is>
          <t>1942-02-09</t>
        </is>
      </c>
    </row>
    <row r="15426">
      <c r="A15426" s="1" t="n">
        <v>15425</v>
      </c>
      <c r="B15426">
        <f>TEXT(15425, "[$-0E0000]yyyy-mm-dd")</f>
        <v/>
      </c>
      <c r="C15426" t="inlineStr">
        <is>
          <t>1942-02-10</t>
        </is>
      </c>
    </row>
    <row r="15427">
      <c r="A15427" s="1" t="n">
        <v>15426</v>
      </c>
      <c r="B15427">
        <f>TEXT(15426, "[$-0E0000]yyyy-mm-dd")</f>
        <v/>
      </c>
      <c r="C15427" t="inlineStr">
        <is>
          <t>1942-02-11</t>
        </is>
      </c>
    </row>
    <row r="15428">
      <c r="A15428" s="1" t="n">
        <v>15427</v>
      </c>
      <c r="B15428">
        <f>TEXT(15427, "[$-0E0000]yyyy-mm-dd")</f>
        <v/>
      </c>
      <c r="C15428" t="inlineStr">
        <is>
          <t>1942-02-12</t>
        </is>
      </c>
    </row>
    <row r="15429">
      <c r="A15429" s="1" t="n">
        <v>15428</v>
      </c>
      <c r="B15429">
        <f>TEXT(15428, "[$-0E0000]yyyy-mm-dd")</f>
        <v/>
      </c>
      <c r="C15429" t="inlineStr">
        <is>
          <t>1942-02-13</t>
        </is>
      </c>
    </row>
    <row r="15430">
      <c r="A15430" s="1" t="n">
        <v>15429</v>
      </c>
      <c r="B15430">
        <f>TEXT(15429, "[$-0E0000]yyyy-mm-dd")</f>
        <v/>
      </c>
      <c r="C15430" t="inlineStr">
        <is>
          <t>1942-02-14</t>
        </is>
      </c>
    </row>
    <row r="15431">
      <c r="A15431" s="1" t="n">
        <v>15430</v>
      </c>
      <c r="B15431">
        <f>TEXT(15430, "[$-0E0000]yyyy-mm-dd")</f>
        <v/>
      </c>
      <c r="C15431" t="inlineStr">
        <is>
          <t>1942-02-15</t>
        </is>
      </c>
    </row>
    <row r="15432">
      <c r="A15432" s="1" t="n">
        <v>15431</v>
      </c>
      <c r="B15432">
        <f>TEXT(15431, "[$-0E0000]yyyy-mm-dd")</f>
        <v/>
      </c>
      <c r="C15432" t="inlineStr">
        <is>
          <t>1942-02-16</t>
        </is>
      </c>
    </row>
    <row r="15433">
      <c r="A15433" s="1" t="n">
        <v>15432</v>
      </c>
      <c r="B15433">
        <f>TEXT(15432, "[$-0E0000]yyyy-mm-dd")</f>
        <v/>
      </c>
      <c r="C15433" t="inlineStr">
        <is>
          <t>1942-02-17</t>
        </is>
      </c>
    </row>
    <row r="15434">
      <c r="A15434" s="1" t="n">
        <v>15433</v>
      </c>
      <c r="B15434">
        <f>TEXT(15433, "[$-0E0000]yyyy-mm-dd")</f>
        <v/>
      </c>
      <c r="C15434" t="inlineStr">
        <is>
          <t>1942-02-18</t>
        </is>
      </c>
    </row>
    <row r="15435">
      <c r="A15435" s="1" t="n">
        <v>15434</v>
      </c>
      <c r="B15435">
        <f>TEXT(15434, "[$-0E0000]yyyy-mm-dd")</f>
        <v/>
      </c>
      <c r="C15435" t="inlineStr">
        <is>
          <t>1942-02-19</t>
        </is>
      </c>
    </row>
    <row r="15436">
      <c r="A15436" s="1" t="n">
        <v>15435</v>
      </c>
      <c r="B15436">
        <f>TEXT(15435, "[$-0E0000]yyyy-mm-dd")</f>
        <v/>
      </c>
      <c r="C15436" t="inlineStr">
        <is>
          <t>1942-02-20</t>
        </is>
      </c>
    </row>
    <row r="15437">
      <c r="A15437" s="1" t="n">
        <v>15436</v>
      </c>
      <c r="B15437">
        <f>TEXT(15436, "[$-0E0000]yyyy-mm-dd")</f>
        <v/>
      </c>
      <c r="C15437" t="inlineStr">
        <is>
          <t>1942-02-21</t>
        </is>
      </c>
    </row>
    <row r="15438">
      <c r="A15438" s="1" t="n">
        <v>15437</v>
      </c>
      <c r="B15438">
        <f>TEXT(15437, "[$-0E0000]yyyy-mm-dd")</f>
        <v/>
      </c>
      <c r="C15438" t="inlineStr">
        <is>
          <t>1942-02-22</t>
        </is>
      </c>
    </row>
    <row r="15439">
      <c r="A15439" s="1" t="n">
        <v>15438</v>
      </c>
      <c r="B15439">
        <f>TEXT(15438, "[$-0E0000]yyyy-mm-dd")</f>
        <v/>
      </c>
      <c r="C15439" t="inlineStr">
        <is>
          <t>1942-02-23</t>
        </is>
      </c>
    </row>
    <row r="15440">
      <c r="A15440" s="1" t="n">
        <v>15439</v>
      </c>
      <c r="B15440">
        <f>TEXT(15439, "[$-0E0000]yyyy-mm-dd")</f>
        <v/>
      </c>
      <c r="C15440" t="inlineStr">
        <is>
          <t>1942-02-24</t>
        </is>
      </c>
    </row>
    <row r="15441">
      <c r="A15441" s="1" t="n">
        <v>15440</v>
      </c>
      <c r="B15441">
        <f>TEXT(15440, "[$-0E0000]yyyy-mm-dd")</f>
        <v/>
      </c>
      <c r="C15441" t="inlineStr">
        <is>
          <t>1942-02-25</t>
        </is>
      </c>
    </row>
    <row r="15442">
      <c r="A15442" s="1" t="n">
        <v>15441</v>
      </c>
      <c r="B15442">
        <f>TEXT(15441, "[$-0E0000]yyyy-mm-dd")</f>
        <v/>
      </c>
      <c r="C15442" t="inlineStr">
        <is>
          <t>1942-02-26</t>
        </is>
      </c>
    </row>
    <row r="15443">
      <c r="A15443" s="1" t="n">
        <v>15442</v>
      </c>
      <c r="B15443">
        <f>TEXT(15442, "[$-0E0000]yyyy-mm-dd")</f>
        <v/>
      </c>
      <c r="C15443" t="inlineStr">
        <is>
          <t>1942-02-27</t>
        </is>
      </c>
    </row>
    <row r="15444">
      <c r="A15444" s="1" t="n">
        <v>15443</v>
      </c>
      <c r="B15444">
        <f>TEXT(15443, "[$-0E0000]yyyy-mm-dd")</f>
        <v/>
      </c>
      <c r="C15444" t="inlineStr">
        <is>
          <t>1942-02-28</t>
        </is>
      </c>
    </row>
    <row r="15445">
      <c r="A15445" s="1" t="n">
        <v>15444</v>
      </c>
      <c r="B15445">
        <f>TEXT(15444, "[$-0E0000]yyyy-mm-dd")</f>
        <v/>
      </c>
      <c r="C15445" t="inlineStr">
        <is>
          <t>1942-02-29</t>
        </is>
      </c>
    </row>
    <row r="15446">
      <c r="A15446" s="1" t="n">
        <v>15445</v>
      </c>
      <c r="B15446">
        <f>TEXT(15445, "[$-0E0000]yyyy-mm-dd")</f>
        <v/>
      </c>
      <c r="C15446" t="inlineStr">
        <is>
          <t>1942-03-01</t>
        </is>
      </c>
    </row>
    <row r="15447">
      <c r="A15447" s="1" t="n">
        <v>15446</v>
      </c>
      <c r="B15447">
        <f>TEXT(15446, "[$-0E0000]yyyy-mm-dd")</f>
        <v/>
      </c>
      <c r="C15447" t="inlineStr">
        <is>
          <t>1942-03-02</t>
        </is>
      </c>
    </row>
    <row r="15448">
      <c r="A15448" s="1" t="n">
        <v>15447</v>
      </c>
      <c r="B15448">
        <f>TEXT(15447, "[$-0E0000]yyyy-mm-dd")</f>
        <v/>
      </c>
      <c r="C15448" t="inlineStr">
        <is>
          <t>1942-03-03</t>
        </is>
      </c>
    </row>
    <row r="15449">
      <c r="A15449" s="1" t="n">
        <v>15448</v>
      </c>
      <c r="B15449">
        <f>TEXT(15448, "[$-0E0000]yyyy-mm-dd")</f>
        <v/>
      </c>
      <c r="C15449" t="inlineStr">
        <is>
          <t>1942-03-04</t>
        </is>
      </c>
    </row>
    <row r="15450">
      <c r="A15450" s="1" t="n">
        <v>15449</v>
      </c>
      <c r="B15450">
        <f>TEXT(15449, "[$-0E0000]yyyy-mm-dd")</f>
        <v/>
      </c>
      <c r="C15450" t="inlineStr">
        <is>
          <t>1942-03-05</t>
        </is>
      </c>
    </row>
    <row r="15451">
      <c r="A15451" s="1" t="n">
        <v>15450</v>
      </c>
      <c r="B15451">
        <f>TEXT(15450, "[$-0E0000]yyyy-mm-dd")</f>
        <v/>
      </c>
      <c r="C15451" t="inlineStr">
        <is>
          <t>1942-03-06</t>
        </is>
      </c>
    </row>
    <row r="15452">
      <c r="A15452" s="1" t="n">
        <v>15451</v>
      </c>
      <c r="B15452">
        <f>TEXT(15451, "[$-0E0000]yyyy-mm-dd")</f>
        <v/>
      </c>
      <c r="C15452" t="inlineStr">
        <is>
          <t>1942-03-07</t>
        </is>
      </c>
    </row>
    <row r="15453">
      <c r="A15453" s="1" t="n">
        <v>15452</v>
      </c>
      <c r="B15453">
        <f>TEXT(15452, "[$-0E0000]yyyy-mm-dd")</f>
        <v/>
      </c>
      <c r="C15453" t="inlineStr">
        <is>
          <t>1942-03-08</t>
        </is>
      </c>
    </row>
    <row r="15454">
      <c r="A15454" s="1" t="n">
        <v>15453</v>
      </c>
      <c r="B15454">
        <f>TEXT(15453, "[$-0E0000]yyyy-mm-dd")</f>
        <v/>
      </c>
      <c r="C15454" t="inlineStr">
        <is>
          <t>1942-03-09</t>
        </is>
      </c>
    </row>
    <row r="15455">
      <c r="A15455" s="1" t="n">
        <v>15454</v>
      </c>
      <c r="B15455">
        <f>TEXT(15454, "[$-0E0000]yyyy-mm-dd")</f>
        <v/>
      </c>
      <c r="C15455" t="inlineStr">
        <is>
          <t>1942-03-10</t>
        </is>
      </c>
    </row>
    <row r="15456">
      <c r="A15456" s="1" t="n">
        <v>15455</v>
      </c>
      <c r="B15456">
        <f>TEXT(15455, "[$-0E0000]yyyy-mm-dd")</f>
        <v/>
      </c>
      <c r="C15456" t="inlineStr">
        <is>
          <t>1942-03-11</t>
        </is>
      </c>
    </row>
    <row r="15457">
      <c r="A15457" s="1" t="n">
        <v>15456</v>
      </c>
      <c r="B15457">
        <f>TEXT(15456, "[$-0E0000]yyyy-mm-dd")</f>
        <v/>
      </c>
      <c r="C15457" t="inlineStr">
        <is>
          <t>1942-03-12</t>
        </is>
      </c>
    </row>
    <row r="15458">
      <c r="A15458" s="1" t="n">
        <v>15457</v>
      </c>
      <c r="B15458">
        <f>TEXT(15457, "[$-0E0000]yyyy-mm-dd")</f>
        <v/>
      </c>
      <c r="C15458" t="inlineStr">
        <is>
          <t>1942-03-13</t>
        </is>
      </c>
    </row>
    <row r="15459">
      <c r="A15459" s="1" t="n">
        <v>15458</v>
      </c>
      <c r="B15459">
        <f>TEXT(15458, "[$-0E0000]yyyy-mm-dd")</f>
        <v/>
      </c>
      <c r="C15459" t="inlineStr">
        <is>
          <t>1942-03-14</t>
        </is>
      </c>
    </row>
    <row r="15460">
      <c r="A15460" s="1" t="n">
        <v>15459</v>
      </c>
      <c r="B15460">
        <f>TEXT(15459, "[$-0E0000]yyyy-mm-dd")</f>
        <v/>
      </c>
      <c r="C15460" t="inlineStr">
        <is>
          <t>1942-03-15</t>
        </is>
      </c>
    </row>
    <row r="15461">
      <c r="A15461" s="1" t="n">
        <v>15460</v>
      </c>
      <c r="B15461">
        <f>TEXT(15460, "[$-0E0000]yyyy-mm-dd")</f>
        <v/>
      </c>
      <c r="C15461" t="inlineStr">
        <is>
          <t>1942-03-16</t>
        </is>
      </c>
    </row>
    <row r="15462">
      <c r="A15462" s="1" t="n">
        <v>15461</v>
      </c>
      <c r="B15462">
        <f>TEXT(15461, "[$-0E0000]yyyy-mm-dd")</f>
        <v/>
      </c>
      <c r="C15462" t="inlineStr">
        <is>
          <t>1942-03-17</t>
        </is>
      </c>
    </row>
    <row r="15463">
      <c r="A15463" s="1" t="n">
        <v>15462</v>
      </c>
      <c r="B15463">
        <f>TEXT(15462, "[$-0E0000]yyyy-mm-dd")</f>
        <v/>
      </c>
      <c r="C15463" t="inlineStr">
        <is>
          <t>1942-03-18</t>
        </is>
      </c>
    </row>
    <row r="15464">
      <c r="A15464" s="1" t="n">
        <v>15463</v>
      </c>
      <c r="B15464">
        <f>TEXT(15463, "[$-0E0000]yyyy-mm-dd")</f>
        <v/>
      </c>
      <c r="C15464" t="inlineStr">
        <is>
          <t>1942-03-19</t>
        </is>
      </c>
    </row>
    <row r="15465">
      <c r="A15465" s="1" t="n">
        <v>15464</v>
      </c>
      <c r="B15465">
        <f>TEXT(15464, "[$-0E0000]yyyy-mm-dd")</f>
        <v/>
      </c>
      <c r="C15465" t="inlineStr">
        <is>
          <t>1942-03-20</t>
        </is>
      </c>
    </row>
    <row r="15466">
      <c r="A15466" s="1" t="n">
        <v>15465</v>
      </c>
      <c r="B15466">
        <f>TEXT(15465, "[$-0E0000]yyyy-mm-dd")</f>
        <v/>
      </c>
      <c r="C15466" t="inlineStr">
        <is>
          <t>1942-03-21</t>
        </is>
      </c>
    </row>
    <row r="15467">
      <c r="A15467" s="1" t="n">
        <v>15466</v>
      </c>
      <c r="B15467">
        <f>TEXT(15466, "[$-0E0000]yyyy-mm-dd")</f>
        <v/>
      </c>
      <c r="C15467" t="inlineStr">
        <is>
          <t>1942-03-22</t>
        </is>
      </c>
    </row>
    <row r="15468">
      <c r="A15468" s="1" t="n">
        <v>15467</v>
      </c>
      <c r="B15468">
        <f>TEXT(15467, "[$-0E0000]yyyy-mm-dd")</f>
        <v/>
      </c>
      <c r="C15468" t="inlineStr">
        <is>
          <t>1942-03-23</t>
        </is>
      </c>
    </row>
    <row r="15469">
      <c r="A15469" s="1" t="n">
        <v>15468</v>
      </c>
      <c r="B15469">
        <f>TEXT(15468, "[$-0E0000]yyyy-mm-dd")</f>
        <v/>
      </c>
      <c r="C15469" t="inlineStr">
        <is>
          <t>1942-03-24</t>
        </is>
      </c>
    </row>
    <row r="15470">
      <c r="A15470" s="1" t="n">
        <v>15469</v>
      </c>
      <c r="B15470">
        <f>TEXT(15469, "[$-0E0000]yyyy-mm-dd")</f>
        <v/>
      </c>
      <c r="C15470" t="inlineStr">
        <is>
          <t>1942-03-25</t>
        </is>
      </c>
    </row>
    <row r="15471">
      <c r="A15471" s="1" t="n">
        <v>15470</v>
      </c>
      <c r="B15471">
        <f>TEXT(15470, "[$-0E0000]yyyy-mm-dd")</f>
        <v/>
      </c>
      <c r="C15471" t="inlineStr">
        <is>
          <t>1942-03-26</t>
        </is>
      </c>
    </row>
    <row r="15472">
      <c r="A15472" s="1" t="n">
        <v>15471</v>
      </c>
      <c r="B15472">
        <f>TEXT(15471, "[$-0E0000]yyyy-mm-dd")</f>
        <v/>
      </c>
      <c r="C15472" t="inlineStr">
        <is>
          <t>1942-03-27</t>
        </is>
      </c>
    </row>
    <row r="15473">
      <c r="A15473" s="1" t="n">
        <v>15472</v>
      </c>
      <c r="B15473">
        <f>TEXT(15472, "[$-0E0000]yyyy-mm-dd")</f>
        <v/>
      </c>
      <c r="C15473" t="inlineStr">
        <is>
          <t>1942-03-28</t>
        </is>
      </c>
    </row>
    <row r="15474">
      <c r="A15474" s="1" t="n">
        <v>15473</v>
      </c>
      <c r="B15474">
        <f>TEXT(15473, "[$-0E0000]yyyy-mm-dd")</f>
        <v/>
      </c>
      <c r="C15474" t="inlineStr">
        <is>
          <t>1942-03-29</t>
        </is>
      </c>
    </row>
    <row r="15475">
      <c r="A15475" s="1" t="n">
        <v>15474</v>
      </c>
      <c r="B15475">
        <f>TEXT(15474, "[$-0E0000]yyyy-mm-dd")</f>
        <v/>
      </c>
      <c r="C15475" t="inlineStr">
        <is>
          <t>1942-03-30</t>
        </is>
      </c>
    </row>
    <row r="15476">
      <c r="A15476" s="1" t="n">
        <v>15475</v>
      </c>
      <c r="B15476">
        <f>TEXT(15475, "[$-0E0000]yyyy-mm-dd")</f>
        <v/>
      </c>
      <c r="C15476" t="inlineStr">
        <is>
          <t>1942-04-01</t>
        </is>
      </c>
    </row>
    <row r="15477">
      <c r="A15477" s="1" t="n">
        <v>15476</v>
      </c>
      <c r="B15477">
        <f>TEXT(15476, "[$-0E0000]yyyy-mm-dd")</f>
        <v/>
      </c>
      <c r="C15477" t="inlineStr">
        <is>
          <t>1942-04-02</t>
        </is>
      </c>
    </row>
    <row r="15478">
      <c r="A15478" s="1" t="n">
        <v>15477</v>
      </c>
      <c r="B15478">
        <f>TEXT(15477, "[$-0E0000]yyyy-mm-dd")</f>
        <v/>
      </c>
      <c r="C15478" t="inlineStr">
        <is>
          <t>1942-04-03</t>
        </is>
      </c>
    </row>
    <row r="15479">
      <c r="A15479" s="1" t="n">
        <v>15478</v>
      </c>
      <c r="B15479">
        <f>TEXT(15478, "[$-0E0000]yyyy-mm-dd")</f>
        <v/>
      </c>
      <c r="C15479" t="inlineStr">
        <is>
          <t>1942-04-04</t>
        </is>
      </c>
    </row>
    <row r="15480">
      <c r="A15480" s="1" t="n">
        <v>15479</v>
      </c>
      <c r="B15480">
        <f>TEXT(15479, "[$-0E0000]yyyy-mm-dd")</f>
        <v/>
      </c>
      <c r="C15480" t="inlineStr">
        <is>
          <t>1942-04-05</t>
        </is>
      </c>
    </row>
    <row r="15481">
      <c r="A15481" s="1" t="n">
        <v>15480</v>
      </c>
      <c r="B15481">
        <f>TEXT(15480, "[$-0E0000]yyyy-mm-dd")</f>
        <v/>
      </c>
      <c r="C15481" t="inlineStr">
        <is>
          <t>1942-04-06</t>
        </is>
      </c>
    </row>
    <row r="15482">
      <c r="A15482" s="1" t="n">
        <v>15481</v>
      </c>
      <c r="B15482">
        <f>TEXT(15481, "[$-0E0000]yyyy-mm-dd")</f>
        <v/>
      </c>
      <c r="C15482" t="inlineStr">
        <is>
          <t>1942-04-07</t>
        </is>
      </c>
    </row>
    <row r="15483">
      <c r="A15483" s="1" t="n">
        <v>15482</v>
      </c>
      <c r="B15483">
        <f>TEXT(15482, "[$-0E0000]yyyy-mm-dd")</f>
        <v/>
      </c>
      <c r="C15483" t="inlineStr">
        <is>
          <t>1942-04-08</t>
        </is>
      </c>
    </row>
    <row r="15484">
      <c r="A15484" s="1" t="n">
        <v>15483</v>
      </c>
      <c r="B15484">
        <f>TEXT(15483, "[$-0E0000]yyyy-mm-dd")</f>
        <v/>
      </c>
      <c r="C15484" t="inlineStr">
        <is>
          <t>1942-04-09</t>
        </is>
      </c>
    </row>
    <row r="15485">
      <c r="A15485" s="1" t="n">
        <v>15484</v>
      </c>
      <c r="B15485">
        <f>TEXT(15484, "[$-0E0000]yyyy-mm-dd")</f>
        <v/>
      </c>
      <c r="C15485" t="inlineStr">
        <is>
          <t>1942-04-10</t>
        </is>
      </c>
    </row>
    <row r="15486">
      <c r="A15486" s="1" t="n">
        <v>15485</v>
      </c>
      <c r="B15486">
        <f>TEXT(15485, "[$-0E0000]yyyy-mm-dd")</f>
        <v/>
      </c>
      <c r="C15486" t="inlineStr">
        <is>
          <t>1942-04-11</t>
        </is>
      </c>
    </row>
    <row r="15487">
      <c r="A15487" s="1" t="n">
        <v>15486</v>
      </c>
      <c r="B15487">
        <f>TEXT(15486, "[$-0E0000]yyyy-mm-dd")</f>
        <v/>
      </c>
      <c r="C15487" t="inlineStr">
        <is>
          <t>1942-04-12</t>
        </is>
      </c>
    </row>
    <row r="15488">
      <c r="A15488" s="1" t="n">
        <v>15487</v>
      </c>
      <c r="B15488">
        <f>TEXT(15487, "[$-0E0000]yyyy-mm-dd")</f>
        <v/>
      </c>
      <c r="C15488" t="inlineStr">
        <is>
          <t>1942-04-13</t>
        </is>
      </c>
    </row>
    <row r="15489">
      <c r="A15489" s="1" t="n">
        <v>15488</v>
      </c>
      <c r="B15489">
        <f>TEXT(15488, "[$-0E0000]yyyy-mm-dd")</f>
        <v/>
      </c>
      <c r="C15489" t="inlineStr">
        <is>
          <t>1942-04-14</t>
        </is>
      </c>
    </row>
    <row r="15490">
      <c r="A15490" s="1" t="n">
        <v>15489</v>
      </c>
      <c r="B15490">
        <f>TEXT(15489, "[$-0E0000]yyyy-mm-dd")</f>
        <v/>
      </c>
      <c r="C15490" t="inlineStr">
        <is>
          <t>1942-04-15</t>
        </is>
      </c>
    </row>
    <row r="15491">
      <c r="A15491" s="1" t="n">
        <v>15490</v>
      </c>
      <c r="B15491">
        <f>TEXT(15490, "[$-0E0000]yyyy-mm-dd")</f>
        <v/>
      </c>
      <c r="C15491" t="inlineStr">
        <is>
          <t>1942-04-16</t>
        </is>
      </c>
    </row>
    <row r="15492">
      <c r="A15492" s="1" t="n">
        <v>15491</v>
      </c>
      <c r="B15492">
        <f>TEXT(15491, "[$-0E0000]yyyy-mm-dd")</f>
        <v/>
      </c>
      <c r="C15492" t="inlineStr">
        <is>
          <t>1942-04-17</t>
        </is>
      </c>
    </row>
    <row r="15493">
      <c r="A15493" s="1" t="n">
        <v>15492</v>
      </c>
      <c r="B15493">
        <f>TEXT(15492, "[$-0E0000]yyyy-mm-dd")</f>
        <v/>
      </c>
      <c r="C15493" t="inlineStr">
        <is>
          <t>1942-04-18</t>
        </is>
      </c>
    </row>
    <row r="15494">
      <c r="A15494" s="1" t="n">
        <v>15493</v>
      </c>
      <c r="B15494">
        <f>TEXT(15493, "[$-0E0000]yyyy-mm-dd")</f>
        <v/>
      </c>
      <c r="C15494" t="inlineStr">
        <is>
          <t>1942-04-19</t>
        </is>
      </c>
    </row>
    <row r="15495">
      <c r="A15495" s="1" t="n">
        <v>15494</v>
      </c>
      <c r="B15495">
        <f>TEXT(15494, "[$-0E0000]yyyy-mm-dd")</f>
        <v/>
      </c>
      <c r="C15495" t="inlineStr">
        <is>
          <t>1942-04-20</t>
        </is>
      </c>
    </row>
    <row r="15496">
      <c r="A15496" s="1" t="n">
        <v>15495</v>
      </c>
      <c r="B15496">
        <f>TEXT(15495, "[$-0E0000]yyyy-mm-dd")</f>
        <v/>
      </c>
      <c r="C15496" t="inlineStr">
        <is>
          <t>1942-04-21</t>
        </is>
      </c>
    </row>
    <row r="15497">
      <c r="A15497" s="1" t="n">
        <v>15496</v>
      </c>
      <c r="B15497">
        <f>TEXT(15496, "[$-0E0000]yyyy-mm-dd")</f>
        <v/>
      </c>
      <c r="C15497" t="inlineStr">
        <is>
          <t>1942-04-22</t>
        </is>
      </c>
    </row>
    <row r="15498">
      <c r="A15498" s="1" t="n">
        <v>15497</v>
      </c>
      <c r="B15498">
        <f>TEXT(15497, "[$-0E0000]yyyy-mm-dd")</f>
        <v/>
      </c>
      <c r="C15498" t="inlineStr">
        <is>
          <t>1942-04-23</t>
        </is>
      </c>
    </row>
    <row r="15499">
      <c r="A15499" s="1" t="n">
        <v>15498</v>
      </c>
      <c r="B15499">
        <f>TEXT(15498, "[$-0E0000]yyyy-mm-dd")</f>
        <v/>
      </c>
      <c r="C15499" t="inlineStr">
        <is>
          <t>1942-04-24</t>
        </is>
      </c>
    </row>
    <row r="15500">
      <c r="A15500" s="1" t="n">
        <v>15499</v>
      </c>
      <c r="B15500">
        <f>TEXT(15499, "[$-0E0000]yyyy-mm-dd")</f>
        <v/>
      </c>
      <c r="C15500" t="inlineStr">
        <is>
          <t>1942-04-25</t>
        </is>
      </c>
    </row>
    <row r="15501">
      <c r="A15501" s="1" t="n">
        <v>15500</v>
      </c>
      <c r="B15501">
        <f>TEXT(15500, "[$-0E0000]yyyy-mm-dd")</f>
        <v/>
      </c>
      <c r="C15501" t="inlineStr">
        <is>
          <t>1942-04-26</t>
        </is>
      </c>
    </row>
    <row r="15502">
      <c r="A15502" s="1" t="n">
        <v>15501</v>
      </c>
      <c r="B15502">
        <f>TEXT(15501, "[$-0E0000]yyyy-mm-dd")</f>
        <v/>
      </c>
      <c r="C15502" t="inlineStr">
        <is>
          <t>1942-04-27</t>
        </is>
      </c>
    </row>
    <row r="15503">
      <c r="A15503" s="1" t="n">
        <v>15502</v>
      </c>
      <c r="B15503">
        <f>TEXT(15502, "[$-0E0000]yyyy-mm-dd")</f>
        <v/>
      </c>
      <c r="C15503" t="inlineStr">
        <is>
          <t>1942-04-28</t>
        </is>
      </c>
    </row>
    <row r="15504">
      <c r="A15504" s="1" t="n">
        <v>15503</v>
      </c>
      <c r="B15504">
        <f>TEXT(15503, "[$-0E0000]yyyy-mm-dd")</f>
        <v/>
      </c>
      <c r="C15504" t="inlineStr">
        <is>
          <t>1942-04-29</t>
        </is>
      </c>
    </row>
    <row r="15505">
      <c r="A15505" s="1" t="n">
        <v>15504</v>
      </c>
      <c r="B15505">
        <f>TEXT(15504, "[$-0E0000]yyyy-mm-dd")</f>
        <v/>
      </c>
      <c r="C15505" t="inlineStr">
        <is>
          <t>1942-04-30</t>
        </is>
      </c>
    </row>
    <row r="15506">
      <c r="A15506" s="1" t="n">
        <v>15505</v>
      </c>
      <c r="B15506">
        <f>TEXT(15505, "[$-0E0000]yyyy-mm-dd")</f>
        <v/>
      </c>
      <c r="C15506" t="inlineStr">
        <is>
          <t>1942-05-01</t>
        </is>
      </c>
    </row>
    <row r="15507">
      <c r="A15507" s="1" t="n">
        <v>15506</v>
      </c>
      <c r="B15507">
        <f>TEXT(15506, "[$-0E0000]yyyy-mm-dd")</f>
        <v/>
      </c>
      <c r="C15507" t="inlineStr">
        <is>
          <t>1942-05-02</t>
        </is>
      </c>
    </row>
    <row r="15508">
      <c r="A15508" s="1" t="n">
        <v>15507</v>
      </c>
      <c r="B15508">
        <f>TEXT(15507, "[$-0E0000]yyyy-mm-dd")</f>
        <v/>
      </c>
      <c r="C15508" t="inlineStr">
        <is>
          <t>1942-05-03</t>
        </is>
      </c>
    </row>
    <row r="15509">
      <c r="A15509" s="1" t="n">
        <v>15508</v>
      </c>
      <c r="B15509">
        <f>TEXT(15508, "[$-0E0000]yyyy-mm-dd")</f>
        <v/>
      </c>
      <c r="C15509" t="inlineStr">
        <is>
          <t>1942-05-04</t>
        </is>
      </c>
    </row>
    <row r="15510">
      <c r="A15510" s="1" t="n">
        <v>15509</v>
      </c>
      <c r="B15510">
        <f>TEXT(15509, "[$-0E0000]yyyy-mm-dd")</f>
        <v/>
      </c>
      <c r="C15510" t="inlineStr">
        <is>
          <t>1942-05-05</t>
        </is>
      </c>
    </row>
    <row r="15511">
      <c r="A15511" s="1" t="n">
        <v>15510</v>
      </c>
      <c r="B15511">
        <f>TEXT(15510, "[$-0E0000]yyyy-mm-dd")</f>
        <v/>
      </c>
      <c r="C15511" t="inlineStr">
        <is>
          <t>1942-05-06</t>
        </is>
      </c>
    </row>
    <row r="15512">
      <c r="A15512" s="1" t="n">
        <v>15511</v>
      </c>
      <c r="B15512">
        <f>TEXT(15511, "[$-0E0000]yyyy-mm-dd")</f>
        <v/>
      </c>
      <c r="C15512" t="inlineStr">
        <is>
          <t>1942-05-07</t>
        </is>
      </c>
    </row>
    <row r="15513">
      <c r="A15513" s="1" t="n">
        <v>15512</v>
      </c>
      <c r="B15513">
        <f>TEXT(15512, "[$-0E0000]yyyy-mm-dd")</f>
        <v/>
      </c>
      <c r="C15513" t="inlineStr">
        <is>
          <t>1942-05-08</t>
        </is>
      </c>
    </row>
    <row r="15514">
      <c r="A15514" s="1" t="n">
        <v>15513</v>
      </c>
      <c r="B15514">
        <f>TEXT(15513, "[$-0E0000]yyyy-mm-dd")</f>
        <v/>
      </c>
      <c r="C15514" t="inlineStr">
        <is>
          <t>1942-05-09</t>
        </is>
      </c>
    </row>
    <row r="15515">
      <c r="A15515" s="1" t="n">
        <v>15514</v>
      </c>
      <c r="B15515">
        <f>TEXT(15514, "[$-0E0000]yyyy-mm-dd")</f>
        <v/>
      </c>
      <c r="C15515" t="inlineStr">
        <is>
          <t>1942-05-10</t>
        </is>
      </c>
    </row>
    <row r="15516">
      <c r="A15516" s="1" t="n">
        <v>15515</v>
      </c>
      <c r="B15516">
        <f>TEXT(15515, "[$-0E0000]yyyy-mm-dd")</f>
        <v/>
      </c>
      <c r="C15516" t="inlineStr">
        <is>
          <t>1942-05-11</t>
        </is>
      </c>
    </row>
    <row r="15517">
      <c r="A15517" s="1" t="n">
        <v>15516</v>
      </c>
      <c r="B15517">
        <f>TEXT(15516, "[$-0E0000]yyyy-mm-dd")</f>
        <v/>
      </c>
      <c r="C15517" t="inlineStr">
        <is>
          <t>1942-05-12</t>
        </is>
      </c>
    </row>
    <row r="15518">
      <c r="A15518" s="1" t="n">
        <v>15517</v>
      </c>
      <c r="B15518">
        <f>TEXT(15517, "[$-0E0000]yyyy-mm-dd")</f>
        <v/>
      </c>
      <c r="C15518" t="inlineStr">
        <is>
          <t>1942-05-13</t>
        </is>
      </c>
    </row>
    <row r="15519">
      <c r="A15519" s="1" t="n">
        <v>15518</v>
      </c>
      <c r="B15519">
        <f>TEXT(15518, "[$-0E0000]yyyy-mm-dd")</f>
        <v/>
      </c>
      <c r="C15519" t="inlineStr">
        <is>
          <t>1942-05-14</t>
        </is>
      </c>
    </row>
    <row r="15520">
      <c r="A15520" s="1" t="n">
        <v>15519</v>
      </c>
      <c r="B15520">
        <f>TEXT(15519, "[$-0E0000]yyyy-mm-dd")</f>
        <v/>
      </c>
      <c r="C15520" t="inlineStr">
        <is>
          <t>1942-05-15</t>
        </is>
      </c>
    </row>
    <row r="15521">
      <c r="A15521" s="1" t="n">
        <v>15520</v>
      </c>
      <c r="B15521">
        <f>TEXT(15520, "[$-0E0000]yyyy-mm-dd")</f>
        <v/>
      </c>
      <c r="C15521" t="inlineStr">
        <is>
          <t>1942-05-16</t>
        </is>
      </c>
    </row>
    <row r="15522">
      <c r="A15522" s="1" t="n">
        <v>15521</v>
      </c>
      <c r="B15522">
        <f>TEXT(15521, "[$-0E0000]yyyy-mm-dd")</f>
        <v/>
      </c>
      <c r="C15522" t="inlineStr">
        <is>
          <t>1942-05-17</t>
        </is>
      </c>
    </row>
    <row r="15523">
      <c r="A15523" s="1" t="n">
        <v>15522</v>
      </c>
      <c r="B15523">
        <f>TEXT(15522, "[$-0E0000]yyyy-mm-dd")</f>
        <v/>
      </c>
      <c r="C15523" t="inlineStr">
        <is>
          <t>1942-05-18</t>
        </is>
      </c>
    </row>
    <row r="15524">
      <c r="A15524" s="1" t="n">
        <v>15523</v>
      </c>
      <c r="B15524">
        <f>TEXT(15523, "[$-0E0000]yyyy-mm-dd")</f>
        <v/>
      </c>
      <c r="C15524" t="inlineStr">
        <is>
          <t>1942-05-19</t>
        </is>
      </c>
    </row>
    <row r="15525">
      <c r="A15525" s="1" t="n">
        <v>15524</v>
      </c>
      <c r="B15525">
        <f>TEXT(15524, "[$-0E0000]yyyy-mm-dd")</f>
        <v/>
      </c>
      <c r="C15525" t="inlineStr">
        <is>
          <t>1942-05-20</t>
        </is>
      </c>
    </row>
    <row r="15526">
      <c r="A15526" s="1" t="n">
        <v>15525</v>
      </c>
      <c r="B15526">
        <f>TEXT(15525, "[$-0E0000]yyyy-mm-dd")</f>
        <v/>
      </c>
      <c r="C15526" t="inlineStr">
        <is>
          <t>1942-05-21</t>
        </is>
      </c>
    </row>
    <row r="15527">
      <c r="A15527" s="1" t="n">
        <v>15526</v>
      </c>
      <c r="B15527">
        <f>TEXT(15526, "[$-0E0000]yyyy-mm-dd")</f>
        <v/>
      </c>
      <c r="C15527" t="inlineStr">
        <is>
          <t>1942-05-22</t>
        </is>
      </c>
    </row>
    <row r="15528">
      <c r="A15528" s="1" t="n">
        <v>15527</v>
      </c>
      <c r="B15528">
        <f>TEXT(15527, "[$-0E0000]yyyy-mm-dd")</f>
        <v/>
      </c>
      <c r="C15528" t="inlineStr">
        <is>
          <t>1942-05-23</t>
        </is>
      </c>
    </row>
    <row r="15529">
      <c r="A15529" s="1" t="n">
        <v>15528</v>
      </c>
      <c r="B15529">
        <f>TEXT(15528, "[$-0E0000]yyyy-mm-dd")</f>
        <v/>
      </c>
      <c r="C15529" t="inlineStr">
        <is>
          <t>1942-05-24</t>
        </is>
      </c>
    </row>
    <row r="15530">
      <c r="A15530" s="1" t="n">
        <v>15529</v>
      </c>
      <c r="B15530">
        <f>TEXT(15529, "[$-0E0000]yyyy-mm-dd")</f>
        <v/>
      </c>
      <c r="C15530" t="inlineStr">
        <is>
          <t>1942-05-25</t>
        </is>
      </c>
    </row>
    <row r="15531">
      <c r="A15531" s="1" t="n">
        <v>15530</v>
      </c>
      <c r="B15531">
        <f>TEXT(15530, "[$-0E0000]yyyy-mm-dd")</f>
        <v/>
      </c>
      <c r="C15531" t="inlineStr">
        <is>
          <t>1942-05-26</t>
        </is>
      </c>
    </row>
    <row r="15532">
      <c r="A15532" s="1" t="n">
        <v>15531</v>
      </c>
      <c r="B15532">
        <f>TEXT(15531, "[$-0E0000]yyyy-mm-dd")</f>
        <v/>
      </c>
      <c r="C15532" t="inlineStr">
        <is>
          <t>1942-05-27</t>
        </is>
      </c>
    </row>
    <row r="15533">
      <c r="A15533" s="1" t="n">
        <v>15532</v>
      </c>
      <c r="B15533">
        <f>TEXT(15532, "[$-0E0000]yyyy-mm-dd")</f>
        <v/>
      </c>
      <c r="C15533" t="inlineStr">
        <is>
          <t>1942-05-28</t>
        </is>
      </c>
    </row>
    <row r="15534">
      <c r="A15534" s="1" t="n">
        <v>15533</v>
      </c>
      <c r="B15534">
        <f>TEXT(15533, "[$-0E0000]yyyy-mm-dd")</f>
        <v/>
      </c>
      <c r="C15534" t="inlineStr">
        <is>
          <t>1942-05-29</t>
        </is>
      </c>
    </row>
    <row r="15535">
      <c r="A15535" s="1" t="n">
        <v>15534</v>
      </c>
      <c r="B15535">
        <f>TEXT(15534, "[$-0E0000]yyyy-mm-dd")</f>
        <v/>
      </c>
      <c r="C15535" t="inlineStr">
        <is>
          <t>1942-06-01</t>
        </is>
      </c>
    </row>
    <row r="15536">
      <c r="A15536" s="1" t="n">
        <v>15535</v>
      </c>
      <c r="B15536">
        <f>TEXT(15535, "[$-0E0000]yyyy-mm-dd")</f>
        <v/>
      </c>
      <c r="C15536" t="inlineStr">
        <is>
          <t>1942-06-02</t>
        </is>
      </c>
    </row>
    <row r="15537">
      <c r="A15537" s="1" t="n">
        <v>15536</v>
      </c>
      <c r="B15537">
        <f>TEXT(15536, "[$-0E0000]yyyy-mm-dd")</f>
        <v/>
      </c>
      <c r="C15537" t="inlineStr">
        <is>
          <t>1942-06-03</t>
        </is>
      </c>
    </row>
    <row r="15538">
      <c r="A15538" s="1" t="n">
        <v>15537</v>
      </c>
      <c r="B15538">
        <f>TEXT(15537, "[$-0E0000]yyyy-mm-dd")</f>
        <v/>
      </c>
      <c r="C15538" t="inlineStr">
        <is>
          <t>1942-06-04</t>
        </is>
      </c>
    </row>
    <row r="15539">
      <c r="A15539" s="1" t="n">
        <v>15538</v>
      </c>
      <c r="B15539">
        <f>TEXT(15538, "[$-0E0000]yyyy-mm-dd")</f>
        <v/>
      </c>
      <c r="C15539" t="inlineStr">
        <is>
          <t>1942-06-05</t>
        </is>
      </c>
    </row>
    <row r="15540">
      <c r="A15540" s="1" t="n">
        <v>15539</v>
      </c>
      <c r="B15540">
        <f>TEXT(15539, "[$-0E0000]yyyy-mm-dd")</f>
        <v/>
      </c>
      <c r="C15540" t="inlineStr">
        <is>
          <t>1942-06-06</t>
        </is>
      </c>
    </row>
    <row r="15541">
      <c r="A15541" s="1" t="n">
        <v>15540</v>
      </c>
      <c r="B15541">
        <f>TEXT(15540, "[$-0E0000]yyyy-mm-dd")</f>
        <v/>
      </c>
      <c r="C15541" t="inlineStr">
        <is>
          <t>1942-06-07</t>
        </is>
      </c>
    </row>
    <row r="15542">
      <c r="A15542" s="1" t="n">
        <v>15541</v>
      </c>
      <c r="B15542">
        <f>TEXT(15541, "[$-0E0000]yyyy-mm-dd")</f>
        <v/>
      </c>
      <c r="C15542" t="inlineStr">
        <is>
          <t>1942-06-08</t>
        </is>
      </c>
    </row>
    <row r="15543">
      <c r="A15543" s="1" t="n">
        <v>15542</v>
      </c>
      <c r="B15543">
        <f>TEXT(15542, "[$-0E0000]yyyy-mm-dd")</f>
        <v/>
      </c>
      <c r="C15543" t="inlineStr">
        <is>
          <t>1942-06-09</t>
        </is>
      </c>
    </row>
    <row r="15544">
      <c r="A15544" s="1" t="n">
        <v>15543</v>
      </c>
      <c r="B15544">
        <f>TEXT(15543, "[$-0E0000]yyyy-mm-dd")</f>
        <v/>
      </c>
      <c r="C15544" t="inlineStr">
        <is>
          <t>1942-06-10</t>
        </is>
      </c>
    </row>
    <row r="15545">
      <c r="A15545" s="1" t="n">
        <v>15544</v>
      </c>
      <c r="B15545">
        <f>TEXT(15544, "[$-0E0000]yyyy-mm-dd")</f>
        <v/>
      </c>
      <c r="C15545" t="inlineStr">
        <is>
          <t>1942-06-11</t>
        </is>
      </c>
    </row>
    <row r="15546">
      <c r="A15546" s="1" t="n">
        <v>15545</v>
      </c>
      <c r="B15546">
        <f>TEXT(15545, "[$-0E0000]yyyy-mm-dd")</f>
        <v/>
      </c>
      <c r="C15546" t="inlineStr">
        <is>
          <t>1942-06-12</t>
        </is>
      </c>
    </row>
    <row r="15547">
      <c r="A15547" s="1" t="n">
        <v>15546</v>
      </c>
      <c r="B15547">
        <f>TEXT(15546, "[$-0E0000]yyyy-mm-dd")</f>
        <v/>
      </c>
      <c r="C15547" t="inlineStr">
        <is>
          <t>1942-06-13</t>
        </is>
      </c>
    </row>
    <row r="15548">
      <c r="A15548" s="1" t="n">
        <v>15547</v>
      </c>
      <c r="B15548">
        <f>TEXT(15547, "[$-0E0000]yyyy-mm-dd")</f>
        <v/>
      </c>
      <c r="C15548" t="inlineStr">
        <is>
          <t>1942-06-14</t>
        </is>
      </c>
    </row>
    <row r="15549">
      <c r="A15549" s="1" t="n">
        <v>15548</v>
      </c>
      <c r="B15549">
        <f>TEXT(15548, "[$-0E0000]yyyy-mm-dd")</f>
        <v/>
      </c>
      <c r="C15549" t="inlineStr">
        <is>
          <t>1942-06-15</t>
        </is>
      </c>
    </row>
    <row r="15550">
      <c r="A15550" s="1" t="n">
        <v>15549</v>
      </c>
      <c r="B15550">
        <f>TEXT(15549, "[$-0E0000]yyyy-mm-dd")</f>
        <v/>
      </c>
      <c r="C15550" t="inlineStr">
        <is>
          <t>1942-06-16</t>
        </is>
      </c>
    </row>
    <row r="15551">
      <c r="A15551" s="1" t="n">
        <v>15550</v>
      </c>
      <c r="B15551">
        <f>TEXT(15550, "[$-0E0000]yyyy-mm-dd")</f>
        <v/>
      </c>
      <c r="C15551" t="inlineStr">
        <is>
          <t>1942-06-17</t>
        </is>
      </c>
    </row>
    <row r="15552">
      <c r="A15552" s="1" t="n">
        <v>15551</v>
      </c>
      <c r="B15552">
        <f>TEXT(15551, "[$-0E0000]yyyy-mm-dd")</f>
        <v/>
      </c>
      <c r="C15552" t="inlineStr">
        <is>
          <t>1942-06-18</t>
        </is>
      </c>
    </row>
    <row r="15553">
      <c r="A15553" s="1" t="n">
        <v>15552</v>
      </c>
      <c r="B15553">
        <f>TEXT(15552, "[$-0E0000]yyyy-mm-dd")</f>
        <v/>
      </c>
      <c r="C15553" t="inlineStr">
        <is>
          <t>1942-06-19</t>
        </is>
      </c>
    </row>
    <row r="15554">
      <c r="A15554" s="1" t="n">
        <v>15553</v>
      </c>
      <c r="B15554">
        <f>TEXT(15553, "[$-0E0000]yyyy-mm-dd")</f>
        <v/>
      </c>
      <c r="C15554" t="inlineStr">
        <is>
          <t>1942-06-20</t>
        </is>
      </c>
    </row>
    <row r="15555">
      <c r="A15555" s="1" t="n">
        <v>15554</v>
      </c>
      <c r="B15555">
        <f>TEXT(15554, "[$-0E0000]yyyy-mm-dd")</f>
        <v/>
      </c>
      <c r="C15555" t="inlineStr">
        <is>
          <t>1942-06-21</t>
        </is>
      </c>
    </row>
    <row r="15556">
      <c r="A15556" s="1" t="n">
        <v>15555</v>
      </c>
      <c r="B15556">
        <f>TEXT(15555, "[$-0E0000]yyyy-mm-dd")</f>
        <v/>
      </c>
      <c r="C15556" t="inlineStr">
        <is>
          <t>1942-06-22</t>
        </is>
      </c>
    </row>
    <row r="15557">
      <c r="A15557" s="1" t="n">
        <v>15556</v>
      </c>
      <c r="B15557">
        <f>TEXT(15556, "[$-0E0000]yyyy-mm-dd")</f>
        <v/>
      </c>
      <c r="C15557" t="inlineStr">
        <is>
          <t>1942-06-23</t>
        </is>
      </c>
    </row>
    <row r="15558">
      <c r="A15558" s="1" t="n">
        <v>15557</v>
      </c>
      <c r="B15558">
        <f>TEXT(15557, "[$-0E0000]yyyy-mm-dd")</f>
        <v/>
      </c>
      <c r="C15558" t="inlineStr">
        <is>
          <t>1942-06-24</t>
        </is>
      </c>
    </row>
    <row r="15559">
      <c r="A15559" s="1" t="n">
        <v>15558</v>
      </c>
      <c r="B15559">
        <f>TEXT(15558, "[$-0E0000]yyyy-mm-dd")</f>
        <v/>
      </c>
      <c r="C15559" t="inlineStr">
        <is>
          <t>1942-06-25</t>
        </is>
      </c>
    </row>
    <row r="15560">
      <c r="A15560" s="1" t="n">
        <v>15559</v>
      </c>
      <c r="B15560">
        <f>TEXT(15559, "[$-0E0000]yyyy-mm-dd")</f>
        <v/>
      </c>
      <c r="C15560" t="inlineStr">
        <is>
          <t>1942-06-26</t>
        </is>
      </c>
    </row>
    <row r="15561">
      <c r="A15561" s="1" t="n">
        <v>15560</v>
      </c>
      <c r="B15561">
        <f>TEXT(15560, "[$-0E0000]yyyy-mm-dd")</f>
        <v/>
      </c>
      <c r="C15561" t="inlineStr">
        <is>
          <t>1942-06-27</t>
        </is>
      </c>
    </row>
    <row r="15562">
      <c r="A15562" s="1" t="n">
        <v>15561</v>
      </c>
      <c r="B15562">
        <f>TEXT(15561, "[$-0E0000]yyyy-mm-dd")</f>
        <v/>
      </c>
      <c r="C15562" t="inlineStr">
        <is>
          <t>1942-06-28</t>
        </is>
      </c>
    </row>
    <row r="15563">
      <c r="A15563" s="1" t="n">
        <v>15562</v>
      </c>
      <c r="B15563">
        <f>TEXT(15562, "[$-0E0000]yyyy-mm-dd")</f>
        <v/>
      </c>
      <c r="C15563" t="inlineStr">
        <is>
          <t>1942-06-29</t>
        </is>
      </c>
    </row>
    <row r="15564">
      <c r="A15564" s="1" t="n">
        <v>15563</v>
      </c>
      <c r="B15564">
        <f>TEXT(15563, "[$-0E0000]yyyy-mm-dd")</f>
        <v/>
      </c>
      <c r="C15564" t="inlineStr">
        <is>
          <t>1942-06-30</t>
        </is>
      </c>
    </row>
    <row r="15565">
      <c r="A15565" s="1" t="n">
        <v>15564</v>
      </c>
      <c r="B15565">
        <f>TEXT(15564, "[$-0E0000]yyyy-mm-dd")</f>
        <v/>
      </c>
      <c r="C15565" t="inlineStr">
        <is>
          <t>1942-07-01</t>
        </is>
      </c>
    </row>
    <row r="15566">
      <c r="A15566" s="1" t="n">
        <v>15565</v>
      </c>
      <c r="B15566">
        <f>TEXT(15565, "[$-0E0000]yyyy-mm-dd")</f>
        <v/>
      </c>
      <c r="C15566" t="inlineStr">
        <is>
          <t>1942-07-02</t>
        </is>
      </c>
    </row>
    <row r="15567">
      <c r="A15567" s="1" t="n">
        <v>15566</v>
      </c>
      <c r="B15567">
        <f>TEXT(15566, "[$-0E0000]yyyy-mm-dd")</f>
        <v/>
      </c>
      <c r="C15567" t="inlineStr">
        <is>
          <t>1942-07-03</t>
        </is>
      </c>
    </row>
    <row r="15568">
      <c r="A15568" s="1" t="n">
        <v>15567</v>
      </c>
      <c r="B15568">
        <f>TEXT(15567, "[$-0E0000]yyyy-mm-dd")</f>
        <v/>
      </c>
      <c r="C15568" t="inlineStr">
        <is>
          <t>1942-07-04</t>
        </is>
      </c>
    </row>
    <row r="15569">
      <c r="A15569" s="1" t="n">
        <v>15568</v>
      </c>
      <c r="B15569">
        <f>TEXT(15568, "[$-0E0000]yyyy-mm-dd")</f>
        <v/>
      </c>
      <c r="C15569" t="inlineStr">
        <is>
          <t>1942-07-05</t>
        </is>
      </c>
    </row>
    <row r="15570">
      <c r="A15570" s="1" t="n">
        <v>15569</v>
      </c>
      <c r="B15570">
        <f>TEXT(15569, "[$-0E0000]yyyy-mm-dd")</f>
        <v/>
      </c>
      <c r="C15570" t="inlineStr">
        <is>
          <t>1942-07-06</t>
        </is>
      </c>
    </row>
    <row r="15571">
      <c r="A15571" s="1" t="n">
        <v>15570</v>
      </c>
      <c r="B15571">
        <f>TEXT(15570, "[$-0E0000]yyyy-mm-dd")</f>
        <v/>
      </c>
      <c r="C15571" t="inlineStr">
        <is>
          <t>1942-07-07</t>
        </is>
      </c>
    </row>
    <row r="15572">
      <c r="A15572" s="1" t="n">
        <v>15571</v>
      </c>
      <c r="B15572">
        <f>TEXT(15571, "[$-0E0000]yyyy-mm-dd")</f>
        <v/>
      </c>
      <c r="C15572" t="inlineStr">
        <is>
          <t>1942-07-08</t>
        </is>
      </c>
    </row>
    <row r="15573">
      <c r="A15573" s="1" t="n">
        <v>15572</v>
      </c>
      <c r="B15573">
        <f>TEXT(15572, "[$-0E0000]yyyy-mm-dd")</f>
        <v/>
      </c>
      <c r="C15573" t="inlineStr">
        <is>
          <t>1942-07-09</t>
        </is>
      </c>
    </row>
    <row r="15574">
      <c r="A15574" s="1" t="n">
        <v>15573</v>
      </c>
      <c r="B15574">
        <f>TEXT(15573, "[$-0E0000]yyyy-mm-dd")</f>
        <v/>
      </c>
      <c r="C15574" t="inlineStr">
        <is>
          <t>1942-07-10</t>
        </is>
      </c>
    </row>
    <row r="15575">
      <c r="A15575" s="1" t="n">
        <v>15574</v>
      </c>
      <c r="B15575">
        <f>TEXT(15574, "[$-0E0000]yyyy-mm-dd")</f>
        <v/>
      </c>
      <c r="C15575" t="inlineStr">
        <is>
          <t>1942-07-11</t>
        </is>
      </c>
    </row>
    <row r="15576">
      <c r="A15576" s="1" t="n">
        <v>15575</v>
      </c>
      <c r="B15576">
        <f>TEXT(15575, "[$-0E0000]yyyy-mm-dd")</f>
        <v/>
      </c>
      <c r="C15576" t="inlineStr">
        <is>
          <t>1942-07-12</t>
        </is>
      </c>
    </row>
    <row r="15577">
      <c r="A15577" s="1" t="n">
        <v>15576</v>
      </c>
      <c r="B15577">
        <f>TEXT(15576, "[$-0E0000]yyyy-mm-dd")</f>
        <v/>
      </c>
      <c r="C15577" t="inlineStr">
        <is>
          <t>1942-07-13</t>
        </is>
      </c>
    </row>
    <row r="15578">
      <c r="A15578" s="1" t="n">
        <v>15577</v>
      </c>
      <c r="B15578">
        <f>TEXT(15577, "[$-0E0000]yyyy-mm-dd")</f>
        <v/>
      </c>
      <c r="C15578" t="inlineStr">
        <is>
          <t>1942-07-14</t>
        </is>
      </c>
    </row>
    <row r="15579">
      <c r="A15579" s="1" t="n">
        <v>15578</v>
      </c>
      <c r="B15579">
        <f>TEXT(15578, "[$-0E0000]yyyy-mm-dd")</f>
        <v/>
      </c>
      <c r="C15579" t="inlineStr">
        <is>
          <t>1942-07-15</t>
        </is>
      </c>
    </row>
    <row r="15580">
      <c r="A15580" s="1" t="n">
        <v>15579</v>
      </c>
      <c r="B15580">
        <f>TEXT(15579, "[$-0E0000]yyyy-mm-dd")</f>
        <v/>
      </c>
      <c r="C15580" t="inlineStr">
        <is>
          <t>1942-07-16</t>
        </is>
      </c>
    </row>
    <row r="15581">
      <c r="A15581" s="1" t="n">
        <v>15580</v>
      </c>
      <c r="B15581">
        <f>TEXT(15580, "[$-0E0000]yyyy-mm-dd")</f>
        <v/>
      </c>
      <c r="C15581" t="inlineStr">
        <is>
          <t>1942-07-17</t>
        </is>
      </c>
    </row>
    <row r="15582">
      <c r="A15582" s="1" t="n">
        <v>15581</v>
      </c>
      <c r="B15582">
        <f>TEXT(15581, "[$-0E0000]yyyy-mm-dd")</f>
        <v/>
      </c>
      <c r="C15582" t="inlineStr">
        <is>
          <t>1942-07-18</t>
        </is>
      </c>
    </row>
    <row r="15583">
      <c r="A15583" s="1" t="n">
        <v>15582</v>
      </c>
      <c r="B15583">
        <f>TEXT(15582, "[$-0E0000]yyyy-mm-dd")</f>
        <v/>
      </c>
      <c r="C15583" t="inlineStr">
        <is>
          <t>1942-07-19</t>
        </is>
      </c>
    </row>
    <row r="15584">
      <c r="A15584" s="1" t="n">
        <v>15583</v>
      </c>
      <c r="B15584">
        <f>TEXT(15583, "[$-0E0000]yyyy-mm-dd")</f>
        <v/>
      </c>
      <c r="C15584" t="inlineStr">
        <is>
          <t>1942-07-20</t>
        </is>
      </c>
    </row>
    <row r="15585">
      <c r="A15585" s="1" t="n">
        <v>15584</v>
      </c>
      <c r="B15585">
        <f>TEXT(15584, "[$-0E0000]yyyy-mm-dd")</f>
        <v/>
      </c>
      <c r="C15585" t="inlineStr">
        <is>
          <t>1942-07-21</t>
        </is>
      </c>
    </row>
    <row r="15586">
      <c r="A15586" s="1" t="n">
        <v>15585</v>
      </c>
      <c r="B15586">
        <f>TEXT(15585, "[$-0E0000]yyyy-mm-dd")</f>
        <v/>
      </c>
      <c r="C15586" t="inlineStr">
        <is>
          <t>1942-07-22</t>
        </is>
      </c>
    </row>
    <row r="15587">
      <c r="A15587" s="1" t="n">
        <v>15586</v>
      </c>
      <c r="B15587">
        <f>TEXT(15586, "[$-0E0000]yyyy-mm-dd")</f>
        <v/>
      </c>
      <c r="C15587" t="inlineStr">
        <is>
          <t>1942-07-23</t>
        </is>
      </c>
    </row>
    <row r="15588">
      <c r="A15588" s="1" t="n">
        <v>15587</v>
      </c>
      <c r="B15588">
        <f>TEXT(15587, "[$-0E0000]yyyy-mm-dd")</f>
        <v/>
      </c>
      <c r="C15588" t="inlineStr">
        <is>
          <t>1942-07-24</t>
        </is>
      </c>
    </row>
    <row r="15589">
      <c r="A15589" s="1" t="n">
        <v>15588</v>
      </c>
      <c r="B15589">
        <f>TEXT(15588, "[$-0E0000]yyyy-mm-dd")</f>
        <v/>
      </c>
      <c r="C15589" t="inlineStr">
        <is>
          <t>1942-07-25</t>
        </is>
      </c>
    </row>
    <row r="15590">
      <c r="A15590" s="1" t="n">
        <v>15589</v>
      </c>
      <c r="B15590">
        <f>TEXT(15589, "[$-0E0000]yyyy-mm-dd")</f>
        <v/>
      </c>
      <c r="C15590" t="inlineStr">
        <is>
          <t>1942-07-26</t>
        </is>
      </c>
    </row>
    <row r="15591">
      <c r="A15591" s="1" t="n">
        <v>15590</v>
      </c>
      <c r="B15591">
        <f>TEXT(15590, "[$-0E0000]yyyy-mm-dd")</f>
        <v/>
      </c>
      <c r="C15591" t="inlineStr">
        <is>
          <t>1942-07-27</t>
        </is>
      </c>
    </row>
    <row r="15592">
      <c r="A15592" s="1" t="n">
        <v>15591</v>
      </c>
      <c r="B15592">
        <f>TEXT(15591, "[$-0E0000]yyyy-mm-dd")</f>
        <v/>
      </c>
      <c r="C15592" t="inlineStr">
        <is>
          <t>1942-07-28</t>
        </is>
      </c>
    </row>
    <row r="15593">
      <c r="A15593" s="1" t="n">
        <v>15592</v>
      </c>
      <c r="B15593">
        <f>TEXT(15592, "[$-0E0000]yyyy-mm-dd")</f>
        <v/>
      </c>
      <c r="C15593" t="inlineStr">
        <is>
          <t>1942-07-29</t>
        </is>
      </c>
    </row>
    <row r="15594">
      <c r="A15594" s="1" t="n">
        <v>15593</v>
      </c>
      <c r="B15594">
        <f>TEXT(15593, "[$-0E0000]yyyy-mm-dd")</f>
        <v/>
      </c>
      <c r="C15594" t="inlineStr">
        <is>
          <t>1942-08-01</t>
        </is>
      </c>
    </row>
    <row r="15595">
      <c r="A15595" s="1" t="n">
        <v>15594</v>
      </c>
      <c r="B15595">
        <f>TEXT(15594, "[$-0E0000]yyyy-mm-dd")</f>
        <v/>
      </c>
      <c r="C15595" t="inlineStr">
        <is>
          <t>1942-08-02</t>
        </is>
      </c>
    </row>
    <row r="15596">
      <c r="A15596" s="1" t="n">
        <v>15595</v>
      </c>
      <c r="B15596">
        <f>TEXT(15595, "[$-0E0000]yyyy-mm-dd")</f>
        <v/>
      </c>
      <c r="C15596" t="inlineStr">
        <is>
          <t>1942-08-03</t>
        </is>
      </c>
    </row>
    <row r="15597">
      <c r="A15597" s="1" t="n">
        <v>15596</v>
      </c>
      <c r="B15597">
        <f>TEXT(15596, "[$-0E0000]yyyy-mm-dd")</f>
        <v/>
      </c>
      <c r="C15597" t="inlineStr">
        <is>
          <t>1942-08-04</t>
        </is>
      </c>
    </row>
    <row r="15598">
      <c r="A15598" s="1" t="n">
        <v>15597</v>
      </c>
      <c r="B15598">
        <f>TEXT(15597, "[$-0E0000]yyyy-mm-dd")</f>
        <v/>
      </c>
      <c r="C15598" t="inlineStr">
        <is>
          <t>1942-08-05</t>
        </is>
      </c>
    </row>
    <row r="15599">
      <c r="A15599" s="1" t="n">
        <v>15598</v>
      </c>
      <c r="B15599">
        <f>TEXT(15598, "[$-0E0000]yyyy-mm-dd")</f>
        <v/>
      </c>
      <c r="C15599" t="inlineStr">
        <is>
          <t>1942-08-06</t>
        </is>
      </c>
    </row>
    <row r="15600">
      <c r="A15600" s="1" t="n">
        <v>15599</v>
      </c>
      <c r="B15600">
        <f>TEXT(15599, "[$-0E0000]yyyy-mm-dd")</f>
        <v/>
      </c>
      <c r="C15600" t="inlineStr">
        <is>
          <t>1942-08-07</t>
        </is>
      </c>
    </row>
    <row r="15601">
      <c r="A15601" s="1" t="n">
        <v>15600</v>
      </c>
      <c r="B15601">
        <f>TEXT(15600, "[$-0E0000]yyyy-mm-dd")</f>
        <v/>
      </c>
      <c r="C15601" t="inlineStr">
        <is>
          <t>1942-08-08</t>
        </is>
      </c>
    </row>
    <row r="15602">
      <c r="A15602" s="1" t="n">
        <v>15601</v>
      </c>
      <c r="B15602">
        <f>TEXT(15601, "[$-0E0000]yyyy-mm-dd")</f>
        <v/>
      </c>
      <c r="C15602" t="inlineStr">
        <is>
          <t>1942-08-09</t>
        </is>
      </c>
    </row>
    <row r="15603">
      <c r="A15603" s="1" t="n">
        <v>15602</v>
      </c>
      <c r="B15603">
        <f>TEXT(15602, "[$-0E0000]yyyy-mm-dd")</f>
        <v/>
      </c>
      <c r="C15603" t="inlineStr">
        <is>
          <t>1942-08-10</t>
        </is>
      </c>
    </row>
    <row r="15604">
      <c r="A15604" s="1" t="n">
        <v>15603</v>
      </c>
      <c r="B15604">
        <f>TEXT(15603, "[$-0E0000]yyyy-mm-dd")</f>
        <v/>
      </c>
      <c r="C15604" t="inlineStr">
        <is>
          <t>1942-08-11</t>
        </is>
      </c>
    </row>
    <row r="15605">
      <c r="A15605" s="1" t="n">
        <v>15604</v>
      </c>
      <c r="B15605">
        <f>TEXT(15604, "[$-0E0000]yyyy-mm-dd")</f>
        <v/>
      </c>
      <c r="C15605" t="inlineStr">
        <is>
          <t>1942-08-12</t>
        </is>
      </c>
    </row>
    <row r="15606">
      <c r="A15606" s="1" t="n">
        <v>15605</v>
      </c>
      <c r="B15606">
        <f>TEXT(15605, "[$-0E0000]yyyy-mm-dd")</f>
        <v/>
      </c>
      <c r="C15606" t="inlineStr">
        <is>
          <t>1942-08-13</t>
        </is>
      </c>
    </row>
    <row r="15607">
      <c r="A15607" s="1" t="n">
        <v>15606</v>
      </c>
      <c r="B15607">
        <f>TEXT(15606, "[$-0E0000]yyyy-mm-dd")</f>
        <v/>
      </c>
      <c r="C15607" t="inlineStr">
        <is>
          <t>1942-08-14</t>
        </is>
      </c>
    </row>
    <row r="15608">
      <c r="A15608" s="1" t="n">
        <v>15607</v>
      </c>
      <c r="B15608">
        <f>TEXT(15607, "[$-0E0000]yyyy-mm-dd")</f>
        <v/>
      </c>
      <c r="C15608" t="inlineStr">
        <is>
          <t>1942-08-15</t>
        </is>
      </c>
    </row>
    <row r="15609">
      <c r="A15609" s="1" t="n">
        <v>15608</v>
      </c>
      <c r="B15609">
        <f>TEXT(15608, "[$-0E0000]yyyy-mm-dd")</f>
        <v/>
      </c>
      <c r="C15609" t="inlineStr">
        <is>
          <t>1942-08-16</t>
        </is>
      </c>
    </row>
    <row r="15610">
      <c r="A15610" s="1" t="n">
        <v>15609</v>
      </c>
      <c r="B15610">
        <f>TEXT(15609, "[$-0E0000]yyyy-mm-dd")</f>
        <v/>
      </c>
      <c r="C15610" t="inlineStr">
        <is>
          <t>1942-08-17</t>
        </is>
      </c>
    </row>
    <row r="15611">
      <c r="A15611" s="1" t="n">
        <v>15610</v>
      </c>
      <c r="B15611">
        <f>TEXT(15610, "[$-0E0000]yyyy-mm-dd")</f>
        <v/>
      </c>
      <c r="C15611" t="inlineStr">
        <is>
          <t>1942-08-18</t>
        </is>
      </c>
    </row>
    <row r="15612">
      <c r="A15612" s="1" t="n">
        <v>15611</v>
      </c>
      <c r="B15612">
        <f>TEXT(15611, "[$-0E0000]yyyy-mm-dd")</f>
        <v/>
      </c>
      <c r="C15612" t="inlineStr">
        <is>
          <t>1942-08-19</t>
        </is>
      </c>
    </row>
    <row r="15613">
      <c r="A15613" s="1" t="n">
        <v>15612</v>
      </c>
      <c r="B15613">
        <f>TEXT(15612, "[$-0E0000]yyyy-mm-dd")</f>
        <v/>
      </c>
      <c r="C15613" t="inlineStr">
        <is>
          <t>1942-08-20</t>
        </is>
      </c>
    </row>
    <row r="15614">
      <c r="A15614" s="1" t="n">
        <v>15613</v>
      </c>
      <c r="B15614">
        <f>TEXT(15613, "[$-0E0000]yyyy-mm-dd")</f>
        <v/>
      </c>
      <c r="C15614" t="inlineStr">
        <is>
          <t>1942-08-21</t>
        </is>
      </c>
    </row>
    <row r="15615">
      <c r="A15615" s="1" t="n">
        <v>15614</v>
      </c>
      <c r="B15615">
        <f>TEXT(15614, "[$-0E0000]yyyy-mm-dd")</f>
        <v/>
      </c>
      <c r="C15615" t="inlineStr">
        <is>
          <t>1942-08-22</t>
        </is>
      </c>
    </row>
    <row r="15616">
      <c r="A15616" s="1" t="n">
        <v>15615</v>
      </c>
      <c r="B15616">
        <f>TEXT(15615, "[$-0E0000]yyyy-mm-dd")</f>
        <v/>
      </c>
      <c r="C15616" t="inlineStr">
        <is>
          <t>1942-08-23</t>
        </is>
      </c>
    </row>
    <row r="15617">
      <c r="A15617" s="1" t="n">
        <v>15616</v>
      </c>
      <c r="B15617">
        <f>TEXT(15616, "[$-0E0000]yyyy-mm-dd")</f>
        <v/>
      </c>
      <c r="C15617" t="inlineStr">
        <is>
          <t>1942-08-24</t>
        </is>
      </c>
    </row>
    <row r="15618">
      <c r="A15618" s="1" t="n">
        <v>15617</v>
      </c>
      <c r="B15618">
        <f>TEXT(15617, "[$-0E0000]yyyy-mm-dd")</f>
        <v/>
      </c>
      <c r="C15618" t="inlineStr">
        <is>
          <t>1942-08-25</t>
        </is>
      </c>
    </row>
    <row r="15619">
      <c r="A15619" s="1" t="n">
        <v>15618</v>
      </c>
      <c r="B15619">
        <f>TEXT(15618, "[$-0E0000]yyyy-mm-dd")</f>
        <v/>
      </c>
      <c r="C15619" t="inlineStr">
        <is>
          <t>1942-08-26</t>
        </is>
      </c>
    </row>
    <row r="15620">
      <c r="A15620" s="1" t="n">
        <v>15619</v>
      </c>
      <c r="B15620">
        <f>TEXT(15619, "[$-0E0000]yyyy-mm-dd")</f>
        <v/>
      </c>
      <c r="C15620" t="inlineStr">
        <is>
          <t>1942-08-27</t>
        </is>
      </c>
    </row>
    <row r="15621">
      <c r="A15621" s="1" t="n">
        <v>15620</v>
      </c>
      <c r="B15621">
        <f>TEXT(15620, "[$-0E0000]yyyy-mm-dd")</f>
        <v/>
      </c>
      <c r="C15621" t="inlineStr">
        <is>
          <t>1942-08-28</t>
        </is>
      </c>
    </row>
    <row r="15622">
      <c r="A15622" s="1" t="n">
        <v>15621</v>
      </c>
      <c r="B15622">
        <f>TEXT(15621, "[$-0E0000]yyyy-mm-dd")</f>
        <v/>
      </c>
      <c r="C15622" t="inlineStr">
        <is>
          <t>1942-08-29</t>
        </is>
      </c>
    </row>
    <row r="15623">
      <c r="A15623" s="1" t="n">
        <v>15622</v>
      </c>
      <c r="B15623">
        <f>TEXT(15622, "[$-0E0000]yyyy-mm-dd")</f>
        <v/>
      </c>
      <c r="C15623" t="inlineStr">
        <is>
          <t>1942-08-30</t>
        </is>
      </c>
    </row>
    <row r="15624">
      <c r="A15624" s="1" t="n">
        <v>15623</v>
      </c>
      <c r="B15624">
        <f>TEXT(15623, "[$-0E0000]yyyy-mm-dd")</f>
        <v/>
      </c>
      <c r="C15624" t="inlineStr">
        <is>
          <t>1942-09-01</t>
        </is>
      </c>
    </row>
    <row r="15625">
      <c r="A15625" s="1" t="n">
        <v>15624</v>
      </c>
      <c r="B15625">
        <f>TEXT(15624, "[$-0E0000]yyyy-mm-dd")</f>
        <v/>
      </c>
      <c r="C15625" t="inlineStr">
        <is>
          <t>1942-09-02</t>
        </is>
      </c>
    </row>
    <row r="15626">
      <c r="A15626" s="1" t="n">
        <v>15625</v>
      </c>
      <c r="B15626">
        <f>TEXT(15625, "[$-0E0000]yyyy-mm-dd")</f>
        <v/>
      </c>
      <c r="C15626" t="inlineStr">
        <is>
          <t>1942-09-03</t>
        </is>
      </c>
    </row>
    <row r="15627">
      <c r="A15627" s="1" t="n">
        <v>15626</v>
      </c>
      <c r="B15627">
        <f>TEXT(15626, "[$-0E0000]yyyy-mm-dd")</f>
        <v/>
      </c>
      <c r="C15627" t="inlineStr">
        <is>
          <t>1942-09-04</t>
        </is>
      </c>
    </row>
    <row r="15628">
      <c r="A15628" s="1" t="n">
        <v>15627</v>
      </c>
      <c r="B15628">
        <f>TEXT(15627, "[$-0E0000]yyyy-mm-dd")</f>
        <v/>
      </c>
      <c r="C15628" t="inlineStr">
        <is>
          <t>1942-09-05</t>
        </is>
      </c>
    </row>
    <row r="15629">
      <c r="A15629" s="1" t="n">
        <v>15628</v>
      </c>
      <c r="B15629">
        <f>TEXT(15628, "[$-0E0000]yyyy-mm-dd")</f>
        <v/>
      </c>
      <c r="C15629" t="inlineStr">
        <is>
          <t>1942-09-06</t>
        </is>
      </c>
    </row>
    <row r="15630">
      <c r="A15630" s="1" t="n">
        <v>15629</v>
      </c>
      <c r="B15630">
        <f>TEXT(15629, "[$-0E0000]yyyy-mm-dd")</f>
        <v/>
      </c>
      <c r="C15630" t="inlineStr">
        <is>
          <t>1942-09-07</t>
        </is>
      </c>
    </row>
    <row r="15631">
      <c r="A15631" s="1" t="n">
        <v>15630</v>
      </c>
      <c r="B15631">
        <f>TEXT(15630, "[$-0E0000]yyyy-mm-dd")</f>
        <v/>
      </c>
      <c r="C15631" t="inlineStr">
        <is>
          <t>1942-09-08</t>
        </is>
      </c>
    </row>
    <row r="15632">
      <c r="A15632" s="1" t="n">
        <v>15631</v>
      </c>
      <c r="B15632">
        <f>TEXT(15631, "[$-0E0000]yyyy-mm-dd")</f>
        <v/>
      </c>
      <c r="C15632" t="inlineStr">
        <is>
          <t>1942-09-09</t>
        </is>
      </c>
    </row>
    <row r="15633">
      <c r="A15633" s="1" t="n">
        <v>15632</v>
      </c>
      <c r="B15633">
        <f>TEXT(15632, "[$-0E0000]yyyy-mm-dd")</f>
        <v/>
      </c>
      <c r="C15633" t="inlineStr">
        <is>
          <t>1942-09-10</t>
        </is>
      </c>
    </row>
    <row r="15634">
      <c r="A15634" s="1" t="n">
        <v>15633</v>
      </c>
      <c r="B15634">
        <f>TEXT(15633, "[$-0E0000]yyyy-mm-dd")</f>
        <v/>
      </c>
      <c r="C15634" t="inlineStr">
        <is>
          <t>1942-09-11</t>
        </is>
      </c>
    </row>
    <row r="15635">
      <c r="A15635" s="1" t="n">
        <v>15634</v>
      </c>
      <c r="B15635">
        <f>TEXT(15634, "[$-0E0000]yyyy-mm-dd")</f>
        <v/>
      </c>
      <c r="C15635" t="inlineStr">
        <is>
          <t>1942-09-12</t>
        </is>
      </c>
    </row>
    <row r="15636">
      <c r="A15636" s="1" t="n">
        <v>15635</v>
      </c>
      <c r="B15636">
        <f>TEXT(15635, "[$-0E0000]yyyy-mm-dd")</f>
        <v/>
      </c>
      <c r="C15636" t="inlineStr">
        <is>
          <t>1942-09-13</t>
        </is>
      </c>
    </row>
    <row r="15637">
      <c r="A15637" s="1" t="n">
        <v>15636</v>
      </c>
      <c r="B15637">
        <f>TEXT(15636, "[$-0E0000]yyyy-mm-dd")</f>
        <v/>
      </c>
      <c r="C15637" t="inlineStr">
        <is>
          <t>1942-09-14</t>
        </is>
      </c>
    </row>
    <row r="15638">
      <c r="A15638" s="1" t="n">
        <v>15637</v>
      </c>
      <c r="B15638">
        <f>TEXT(15637, "[$-0E0000]yyyy-mm-dd")</f>
        <v/>
      </c>
      <c r="C15638" t="inlineStr">
        <is>
          <t>1942-09-15</t>
        </is>
      </c>
    </row>
    <row r="15639">
      <c r="A15639" s="1" t="n">
        <v>15638</v>
      </c>
      <c r="B15639">
        <f>TEXT(15638, "[$-0E0000]yyyy-mm-dd")</f>
        <v/>
      </c>
      <c r="C15639" t="inlineStr">
        <is>
          <t>1942-09-16</t>
        </is>
      </c>
    </row>
    <row r="15640">
      <c r="A15640" s="1" t="n">
        <v>15639</v>
      </c>
      <c r="B15640">
        <f>TEXT(15639, "[$-0E0000]yyyy-mm-dd")</f>
        <v/>
      </c>
      <c r="C15640" t="inlineStr">
        <is>
          <t>1942-09-17</t>
        </is>
      </c>
    </row>
    <row r="15641">
      <c r="A15641" s="1" t="n">
        <v>15640</v>
      </c>
      <c r="B15641">
        <f>TEXT(15640, "[$-0E0000]yyyy-mm-dd")</f>
        <v/>
      </c>
      <c r="C15641" t="inlineStr">
        <is>
          <t>1942-09-18</t>
        </is>
      </c>
    </row>
    <row r="15642">
      <c r="A15642" s="1" t="n">
        <v>15641</v>
      </c>
      <c r="B15642">
        <f>TEXT(15641, "[$-0E0000]yyyy-mm-dd")</f>
        <v/>
      </c>
      <c r="C15642" t="inlineStr">
        <is>
          <t>1942-09-19</t>
        </is>
      </c>
    </row>
    <row r="15643">
      <c r="A15643" s="1" t="n">
        <v>15642</v>
      </c>
      <c r="B15643">
        <f>TEXT(15642, "[$-0E0000]yyyy-mm-dd")</f>
        <v/>
      </c>
      <c r="C15643" t="inlineStr">
        <is>
          <t>1942-09-20</t>
        </is>
      </c>
    </row>
    <row r="15644">
      <c r="A15644" s="1" t="n">
        <v>15643</v>
      </c>
      <c r="B15644">
        <f>TEXT(15643, "[$-0E0000]yyyy-mm-dd")</f>
        <v/>
      </c>
      <c r="C15644" t="inlineStr">
        <is>
          <t>1942-09-21</t>
        </is>
      </c>
    </row>
    <row r="15645">
      <c r="A15645" s="1" t="n">
        <v>15644</v>
      </c>
      <c r="B15645">
        <f>TEXT(15644, "[$-0E0000]yyyy-mm-dd")</f>
        <v/>
      </c>
      <c r="C15645" t="inlineStr">
        <is>
          <t>1942-09-22</t>
        </is>
      </c>
    </row>
    <row r="15646">
      <c r="A15646" s="1" t="n">
        <v>15645</v>
      </c>
      <c r="B15646">
        <f>TEXT(15645, "[$-0E0000]yyyy-mm-dd")</f>
        <v/>
      </c>
      <c r="C15646" t="inlineStr">
        <is>
          <t>1942-09-23</t>
        </is>
      </c>
    </row>
    <row r="15647">
      <c r="A15647" s="1" t="n">
        <v>15646</v>
      </c>
      <c r="B15647">
        <f>TEXT(15646, "[$-0E0000]yyyy-mm-dd")</f>
        <v/>
      </c>
      <c r="C15647" t="inlineStr">
        <is>
          <t>1942-09-24</t>
        </is>
      </c>
    </row>
    <row r="15648">
      <c r="A15648" s="1" t="n">
        <v>15647</v>
      </c>
      <c r="B15648">
        <f>TEXT(15647, "[$-0E0000]yyyy-mm-dd")</f>
        <v/>
      </c>
      <c r="C15648" t="inlineStr">
        <is>
          <t>1942-09-25</t>
        </is>
      </c>
    </row>
    <row r="15649">
      <c r="A15649" s="1" t="n">
        <v>15648</v>
      </c>
      <c r="B15649">
        <f>TEXT(15648, "[$-0E0000]yyyy-mm-dd")</f>
        <v/>
      </c>
      <c r="C15649" t="inlineStr">
        <is>
          <t>1942-09-26</t>
        </is>
      </c>
    </row>
    <row r="15650">
      <c r="A15650" s="1" t="n">
        <v>15649</v>
      </c>
      <c r="B15650">
        <f>TEXT(15649, "[$-0E0000]yyyy-mm-dd")</f>
        <v/>
      </c>
      <c r="C15650" t="inlineStr">
        <is>
          <t>1942-09-27</t>
        </is>
      </c>
    </row>
    <row r="15651">
      <c r="A15651" s="1" t="n">
        <v>15650</v>
      </c>
      <c r="B15651">
        <f>TEXT(15650, "[$-0E0000]yyyy-mm-dd")</f>
        <v/>
      </c>
      <c r="C15651" t="inlineStr">
        <is>
          <t>1942-09-28</t>
        </is>
      </c>
    </row>
    <row r="15652">
      <c r="A15652" s="1" t="n">
        <v>15651</v>
      </c>
      <c r="B15652">
        <f>TEXT(15651, "[$-0E0000]yyyy-mm-dd")</f>
        <v/>
      </c>
      <c r="C15652" t="inlineStr">
        <is>
          <t>1942-09-29</t>
        </is>
      </c>
    </row>
    <row r="15653">
      <c r="A15653" s="1" t="n">
        <v>15652</v>
      </c>
      <c r="B15653">
        <f>TEXT(15652, "[$-0E0000]yyyy-mm-dd")</f>
        <v/>
      </c>
      <c r="C15653" t="inlineStr">
        <is>
          <t>1942-10-01</t>
        </is>
      </c>
    </row>
    <row r="15654">
      <c r="A15654" s="1" t="n">
        <v>15653</v>
      </c>
      <c r="B15654">
        <f>TEXT(15653, "[$-0E0000]yyyy-mm-dd")</f>
        <v/>
      </c>
      <c r="C15654" t="inlineStr">
        <is>
          <t>1942-10-02</t>
        </is>
      </c>
    </row>
    <row r="15655">
      <c r="A15655" s="1" t="n">
        <v>15654</v>
      </c>
      <c r="B15655">
        <f>TEXT(15654, "[$-0E0000]yyyy-mm-dd")</f>
        <v/>
      </c>
      <c r="C15655" t="inlineStr">
        <is>
          <t>1942-10-03</t>
        </is>
      </c>
    </row>
    <row r="15656">
      <c r="A15656" s="1" t="n">
        <v>15655</v>
      </c>
      <c r="B15656">
        <f>TEXT(15655, "[$-0E0000]yyyy-mm-dd")</f>
        <v/>
      </c>
      <c r="C15656" t="inlineStr">
        <is>
          <t>1942-10-04</t>
        </is>
      </c>
    </row>
    <row r="15657">
      <c r="A15657" s="1" t="n">
        <v>15656</v>
      </c>
      <c r="B15657">
        <f>TEXT(15656, "[$-0E0000]yyyy-mm-dd")</f>
        <v/>
      </c>
      <c r="C15657" t="inlineStr">
        <is>
          <t>1942-10-05</t>
        </is>
      </c>
    </row>
    <row r="15658">
      <c r="A15658" s="1" t="n">
        <v>15657</v>
      </c>
      <c r="B15658">
        <f>TEXT(15657, "[$-0E0000]yyyy-mm-dd")</f>
        <v/>
      </c>
      <c r="C15658" t="inlineStr">
        <is>
          <t>1942-10-06</t>
        </is>
      </c>
    </row>
    <row r="15659">
      <c r="A15659" s="1" t="n">
        <v>15658</v>
      </c>
      <c r="B15659">
        <f>TEXT(15658, "[$-0E0000]yyyy-mm-dd")</f>
        <v/>
      </c>
      <c r="C15659" t="inlineStr">
        <is>
          <t>1942-10-07</t>
        </is>
      </c>
    </row>
    <row r="15660">
      <c r="A15660" s="1" t="n">
        <v>15659</v>
      </c>
      <c r="B15660">
        <f>TEXT(15659, "[$-0E0000]yyyy-mm-dd")</f>
        <v/>
      </c>
      <c r="C15660" t="inlineStr">
        <is>
          <t>1942-10-08</t>
        </is>
      </c>
    </row>
    <row r="15661">
      <c r="A15661" s="1" t="n">
        <v>15660</v>
      </c>
      <c r="B15661">
        <f>TEXT(15660, "[$-0E0000]yyyy-mm-dd")</f>
        <v/>
      </c>
      <c r="C15661" t="inlineStr">
        <is>
          <t>1942-10-09</t>
        </is>
      </c>
    </row>
    <row r="15662">
      <c r="A15662" s="1" t="n">
        <v>15661</v>
      </c>
      <c r="B15662">
        <f>TEXT(15661, "[$-0E0000]yyyy-mm-dd")</f>
        <v/>
      </c>
      <c r="C15662" t="inlineStr">
        <is>
          <t>1942-10-10</t>
        </is>
      </c>
    </row>
    <row r="15663">
      <c r="A15663" s="1" t="n">
        <v>15662</v>
      </c>
      <c r="B15663">
        <f>TEXT(15662, "[$-0E0000]yyyy-mm-dd")</f>
        <v/>
      </c>
      <c r="C15663" t="inlineStr">
        <is>
          <t>1942-10-11</t>
        </is>
      </c>
    </row>
    <row r="15664">
      <c r="A15664" s="1" t="n">
        <v>15663</v>
      </c>
      <c r="B15664">
        <f>TEXT(15663, "[$-0E0000]yyyy-mm-dd")</f>
        <v/>
      </c>
      <c r="C15664" t="inlineStr">
        <is>
          <t>1942-10-12</t>
        </is>
      </c>
    </row>
    <row r="15665">
      <c r="A15665" s="1" t="n">
        <v>15664</v>
      </c>
      <c r="B15665">
        <f>TEXT(15664, "[$-0E0000]yyyy-mm-dd")</f>
        <v/>
      </c>
      <c r="C15665" t="inlineStr">
        <is>
          <t>1942-10-13</t>
        </is>
      </c>
    </row>
    <row r="15666">
      <c r="A15666" s="1" t="n">
        <v>15665</v>
      </c>
      <c r="B15666">
        <f>TEXT(15665, "[$-0E0000]yyyy-mm-dd")</f>
        <v/>
      </c>
      <c r="C15666" t="inlineStr">
        <is>
          <t>1942-10-14</t>
        </is>
      </c>
    </row>
    <row r="15667">
      <c r="A15667" s="1" t="n">
        <v>15666</v>
      </c>
      <c r="B15667">
        <f>TEXT(15666, "[$-0E0000]yyyy-mm-dd")</f>
        <v/>
      </c>
      <c r="C15667" t="inlineStr">
        <is>
          <t>1942-10-15</t>
        </is>
      </c>
    </row>
    <row r="15668">
      <c r="A15668" s="1" t="n">
        <v>15667</v>
      </c>
      <c r="B15668">
        <f>TEXT(15667, "[$-0E0000]yyyy-mm-dd")</f>
        <v/>
      </c>
      <c r="C15668" t="inlineStr">
        <is>
          <t>1942-10-16</t>
        </is>
      </c>
    </row>
    <row r="15669">
      <c r="A15669" s="1" t="n">
        <v>15668</v>
      </c>
      <c r="B15669">
        <f>TEXT(15668, "[$-0E0000]yyyy-mm-dd")</f>
        <v/>
      </c>
      <c r="C15669" t="inlineStr">
        <is>
          <t>1942-10-17</t>
        </is>
      </c>
    </row>
    <row r="15670">
      <c r="A15670" s="1" t="n">
        <v>15669</v>
      </c>
      <c r="B15670">
        <f>TEXT(15669, "[$-0E0000]yyyy-mm-dd")</f>
        <v/>
      </c>
      <c r="C15670" t="inlineStr">
        <is>
          <t>1942-10-18</t>
        </is>
      </c>
    </row>
    <row r="15671">
      <c r="A15671" s="1" t="n">
        <v>15670</v>
      </c>
      <c r="B15671">
        <f>TEXT(15670, "[$-0E0000]yyyy-mm-dd")</f>
        <v/>
      </c>
      <c r="C15671" t="inlineStr">
        <is>
          <t>1942-10-19</t>
        </is>
      </c>
    </row>
    <row r="15672">
      <c r="A15672" s="1" t="n">
        <v>15671</v>
      </c>
      <c r="B15672">
        <f>TEXT(15671, "[$-0E0000]yyyy-mm-dd")</f>
        <v/>
      </c>
      <c r="C15672" t="inlineStr">
        <is>
          <t>1942-10-20</t>
        </is>
      </c>
    </row>
    <row r="15673">
      <c r="A15673" s="1" t="n">
        <v>15672</v>
      </c>
      <c r="B15673">
        <f>TEXT(15672, "[$-0E0000]yyyy-mm-dd")</f>
        <v/>
      </c>
      <c r="C15673" t="inlineStr">
        <is>
          <t>1942-10-21</t>
        </is>
      </c>
    </row>
    <row r="15674">
      <c r="A15674" s="1" t="n">
        <v>15673</v>
      </c>
      <c r="B15674">
        <f>TEXT(15673, "[$-0E0000]yyyy-mm-dd")</f>
        <v/>
      </c>
      <c r="C15674" t="inlineStr">
        <is>
          <t>1942-10-22</t>
        </is>
      </c>
    </row>
    <row r="15675">
      <c r="A15675" s="1" t="n">
        <v>15674</v>
      </c>
      <c r="B15675">
        <f>TEXT(15674, "[$-0E0000]yyyy-mm-dd")</f>
        <v/>
      </c>
      <c r="C15675" t="inlineStr">
        <is>
          <t>1942-10-23</t>
        </is>
      </c>
    </row>
    <row r="15676">
      <c r="A15676" s="1" t="n">
        <v>15675</v>
      </c>
      <c r="B15676">
        <f>TEXT(15675, "[$-0E0000]yyyy-mm-dd")</f>
        <v/>
      </c>
      <c r="C15676" t="inlineStr">
        <is>
          <t>1942-10-24</t>
        </is>
      </c>
    </row>
    <row r="15677">
      <c r="A15677" s="1" t="n">
        <v>15676</v>
      </c>
      <c r="B15677">
        <f>TEXT(15676, "[$-0E0000]yyyy-mm-dd")</f>
        <v/>
      </c>
      <c r="C15677" t="inlineStr">
        <is>
          <t>1942-10-25</t>
        </is>
      </c>
    </row>
    <row r="15678">
      <c r="A15678" s="1" t="n">
        <v>15677</v>
      </c>
      <c r="B15678">
        <f>TEXT(15677, "[$-0E0000]yyyy-mm-dd")</f>
        <v/>
      </c>
      <c r="C15678" t="inlineStr">
        <is>
          <t>1942-10-26</t>
        </is>
      </c>
    </row>
    <row r="15679">
      <c r="A15679" s="1" t="n">
        <v>15678</v>
      </c>
      <c r="B15679">
        <f>TEXT(15678, "[$-0E0000]yyyy-mm-dd")</f>
        <v/>
      </c>
      <c r="C15679" t="inlineStr">
        <is>
          <t>1942-10-27</t>
        </is>
      </c>
    </row>
    <row r="15680">
      <c r="A15680" s="1" t="n">
        <v>15679</v>
      </c>
      <c r="B15680">
        <f>TEXT(15679, "[$-0E0000]yyyy-mm-dd")</f>
        <v/>
      </c>
      <c r="C15680" t="inlineStr">
        <is>
          <t>1942-10-28</t>
        </is>
      </c>
    </row>
    <row r="15681">
      <c r="A15681" s="1" t="n">
        <v>15680</v>
      </c>
      <c r="B15681">
        <f>TEXT(15680, "[$-0E0000]yyyy-mm-dd")</f>
        <v/>
      </c>
      <c r="C15681" t="inlineStr">
        <is>
          <t>1942-10-29</t>
        </is>
      </c>
    </row>
    <row r="15682">
      <c r="A15682" s="1" t="n">
        <v>15681</v>
      </c>
      <c r="B15682">
        <f>TEXT(15681, "[$-0E0000]yyyy-mm-dd")</f>
        <v/>
      </c>
      <c r="C15682" t="inlineStr">
        <is>
          <t>1942-10-30</t>
        </is>
      </c>
    </row>
    <row r="15683">
      <c r="A15683" s="1" t="n">
        <v>15682</v>
      </c>
      <c r="B15683">
        <f>TEXT(15682, "[$-0E0000]yyyy-mm-dd")</f>
        <v/>
      </c>
      <c r="C15683" t="inlineStr">
        <is>
          <t>1942-11-01</t>
        </is>
      </c>
    </row>
    <row r="15684">
      <c r="A15684" s="1" t="n">
        <v>15683</v>
      </c>
      <c r="B15684">
        <f>TEXT(15683, "[$-0E0000]yyyy-mm-dd")</f>
        <v/>
      </c>
      <c r="C15684" t="inlineStr">
        <is>
          <t>1942-11-02</t>
        </is>
      </c>
    </row>
    <row r="15685">
      <c r="A15685" s="1" t="n">
        <v>15684</v>
      </c>
      <c r="B15685">
        <f>TEXT(15684, "[$-0E0000]yyyy-mm-dd")</f>
        <v/>
      </c>
      <c r="C15685" t="inlineStr">
        <is>
          <t>1942-11-03</t>
        </is>
      </c>
    </row>
    <row r="15686">
      <c r="A15686" s="1" t="n">
        <v>15685</v>
      </c>
      <c r="B15686">
        <f>TEXT(15685, "[$-0E0000]yyyy-mm-dd")</f>
        <v/>
      </c>
      <c r="C15686" t="inlineStr">
        <is>
          <t>1942-11-04</t>
        </is>
      </c>
    </row>
    <row r="15687">
      <c r="A15687" s="1" t="n">
        <v>15686</v>
      </c>
      <c r="B15687">
        <f>TEXT(15686, "[$-0E0000]yyyy-mm-dd")</f>
        <v/>
      </c>
      <c r="C15687" t="inlineStr">
        <is>
          <t>1942-11-05</t>
        </is>
      </c>
    </row>
    <row r="15688">
      <c r="A15688" s="1" t="n">
        <v>15687</v>
      </c>
      <c r="B15688">
        <f>TEXT(15687, "[$-0E0000]yyyy-mm-dd")</f>
        <v/>
      </c>
      <c r="C15688" t="inlineStr">
        <is>
          <t>1942-11-06</t>
        </is>
      </c>
    </row>
    <row r="15689">
      <c r="A15689" s="1" t="n">
        <v>15688</v>
      </c>
      <c r="B15689">
        <f>TEXT(15688, "[$-0E0000]yyyy-mm-dd")</f>
        <v/>
      </c>
      <c r="C15689" t="inlineStr">
        <is>
          <t>1942-11-07</t>
        </is>
      </c>
    </row>
    <row r="15690">
      <c r="A15690" s="1" t="n">
        <v>15689</v>
      </c>
      <c r="B15690">
        <f>TEXT(15689, "[$-0E0000]yyyy-mm-dd")</f>
        <v/>
      </c>
      <c r="C15690" t="inlineStr">
        <is>
          <t>1942-11-08</t>
        </is>
      </c>
    </row>
    <row r="15691">
      <c r="A15691" s="1" t="n">
        <v>15690</v>
      </c>
      <c r="B15691">
        <f>TEXT(15690, "[$-0E0000]yyyy-mm-dd")</f>
        <v/>
      </c>
      <c r="C15691" t="inlineStr">
        <is>
          <t>1942-11-09</t>
        </is>
      </c>
    </row>
    <row r="15692">
      <c r="A15692" s="1" t="n">
        <v>15691</v>
      </c>
      <c r="B15692">
        <f>TEXT(15691, "[$-0E0000]yyyy-mm-dd")</f>
        <v/>
      </c>
      <c r="C15692" t="inlineStr">
        <is>
          <t>1942-11-10</t>
        </is>
      </c>
    </row>
    <row r="15693">
      <c r="A15693" s="1" t="n">
        <v>15692</v>
      </c>
      <c r="B15693">
        <f>TEXT(15692, "[$-0E0000]yyyy-mm-dd")</f>
        <v/>
      </c>
      <c r="C15693" t="inlineStr">
        <is>
          <t>1942-11-11</t>
        </is>
      </c>
    </row>
    <row r="15694">
      <c r="A15694" s="1" t="n">
        <v>15693</v>
      </c>
      <c r="B15694">
        <f>TEXT(15693, "[$-0E0000]yyyy-mm-dd")</f>
        <v/>
      </c>
      <c r="C15694" t="inlineStr">
        <is>
          <t>1942-11-12</t>
        </is>
      </c>
    </row>
    <row r="15695">
      <c r="A15695" s="1" t="n">
        <v>15694</v>
      </c>
      <c r="B15695">
        <f>TEXT(15694, "[$-0E0000]yyyy-mm-dd")</f>
        <v/>
      </c>
      <c r="C15695" t="inlineStr">
        <is>
          <t>1942-11-13</t>
        </is>
      </c>
    </row>
    <row r="15696">
      <c r="A15696" s="1" t="n">
        <v>15695</v>
      </c>
      <c r="B15696">
        <f>TEXT(15695, "[$-0E0000]yyyy-mm-dd")</f>
        <v/>
      </c>
      <c r="C15696" t="inlineStr">
        <is>
          <t>1942-11-14</t>
        </is>
      </c>
    </row>
    <row r="15697">
      <c r="A15697" s="1" t="n">
        <v>15696</v>
      </c>
      <c r="B15697">
        <f>TEXT(15696, "[$-0E0000]yyyy-mm-dd")</f>
        <v/>
      </c>
      <c r="C15697" t="inlineStr">
        <is>
          <t>1942-11-15</t>
        </is>
      </c>
    </row>
    <row r="15698">
      <c r="A15698" s="1" t="n">
        <v>15697</v>
      </c>
      <c r="B15698">
        <f>TEXT(15697, "[$-0E0000]yyyy-mm-dd")</f>
        <v/>
      </c>
      <c r="C15698" t="inlineStr">
        <is>
          <t>1942-11-16</t>
        </is>
      </c>
    </row>
    <row r="15699">
      <c r="A15699" s="1" t="n">
        <v>15698</v>
      </c>
      <c r="B15699">
        <f>TEXT(15698, "[$-0E0000]yyyy-mm-dd")</f>
        <v/>
      </c>
      <c r="C15699" t="inlineStr">
        <is>
          <t>1942-11-17</t>
        </is>
      </c>
    </row>
    <row r="15700">
      <c r="A15700" s="1" t="n">
        <v>15699</v>
      </c>
      <c r="B15700">
        <f>TEXT(15699, "[$-0E0000]yyyy-mm-dd")</f>
        <v/>
      </c>
      <c r="C15700" t="inlineStr">
        <is>
          <t>1942-11-18</t>
        </is>
      </c>
    </row>
    <row r="15701">
      <c r="A15701" s="1" t="n">
        <v>15700</v>
      </c>
      <c r="B15701">
        <f>TEXT(15700, "[$-0E0000]yyyy-mm-dd")</f>
        <v/>
      </c>
      <c r="C15701" t="inlineStr">
        <is>
          <t>1942-11-19</t>
        </is>
      </c>
    </row>
    <row r="15702">
      <c r="A15702" s="1" t="n">
        <v>15701</v>
      </c>
      <c r="B15702">
        <f>TEXT(15701, "[$-0E0000]yyyy-mm-dd")</f>
        <v/>
      </c>
      <c r="C15702" t="inlineStr">
        <is>
          <t>1942-11-20</t>
        </is>
      </c>
    </row>
    <row r="15703">
      <c r="A15703" s="1" t="n">
        <v>15702</v>
      </c>
      <c r="B15703">
        <f>TEXT(15702, "[$-0E0000]yyyy-mm-dd")</f>
        <v/>
      </c>
      <c r="C15703" t="inlineStr">
        <is>
          <t>1942-11-21</t>
        </is>
      </c>
    </row>
    <row r="15704">
      <c r="A15704" s="1" t="n">
        <v>15703</v>
      </c>
      <c r="B15704">
        <f>TEXT(15703, "[$-0E0000]yyyy-mm-dd")</f>
        <v/>
      </c>
      <c r="C15704" t="inlineStr">
        <is>
          <t>1942-11-22</t>
        </is>
      </c>
    </row>
    <row r="15705">
      <c r="A15705" s="1" t="n">
        <v>15704</v>
      </c>
      <c r="B15705">
        <f>TEXT(15704, "[$-0E0000]yyyy-mm-dd")</f>
        <v/>
      </c>
      <c r="C15705" t="inlineStr">
        <is>
          <t>1942-11-23</t>
        </is>
      </c>
    </row>
    <row r="15706">
      <c r="A15706" s="1" t="n">
        <v>15705</v>
      </c>
      <c r="B15706">
        <f>TEXT(15705, "[$-0E0000]yyyy-mm-dd")</f>
        <v/>
      </c>
      <c r="C15706" t="inlineStr">
        <is>
          <t>1942-11-24</t>
        </is>
      </c>
    </row>
    <row r="15707">
      <c r="A15707" s="1" t="n">
        <v>15706</v>
      </c>
      <c r="B15707">
        <f>TEXT(15706, "[$-0E0000]yyyy-mm-dd")</f>
        <v/>
      </c>
      <c r="C15707" t="inlineStr">
        <is>
          <t>1942-11-25</t>
        </is>
      </c>
    </row>
    <row r="15708">
      <c r="A15708" s="1" t="n">
        <v>15707</v>
      </c>
      <c r="B15708">
        <f>TEXT(15707, "[$-0E0000]yyyy-mm-dd")</f>
        <v/>
      </c>
      <c r="C15708" t="inlineStr">
        <is>
          <t>1942-11-26</t>
        </is>
      </c>
    </row>
    <row r="15709">
      <c r="A15709" s="1" t="n">
        <v>15708</v>
      </c>
      <c r="B15709">
        <f>TEXT(15708, "[$-0E0000]yyyy-mm-dd")</f>
        <v/>
      </c>
      <c r="C15709" t="inlineStr">
        <is>
          <t>1942-11-27</t>
        </is>
      </c>
    </row>
    <row r="15710">
      <c r="A15710" s="1" t="n">
        <v>15709</v>
      </c>
      <c r="B15710">
        <f>TEXT(15709, "[$-0E0000]yyyy-mm-dd")</f>
        <v/>
      </c>
      <c r="C15710" t="inlineStr">
        <is>
          <t>1942-11-28</t>
        </is>
      </c>
    </row>
    <row r="15711">
      <c r="A15711" s="1" t="n">
        <v>15710</v>
      </c>
      <c r="B15711">
        <f>TEXT(15710, "[$-0E0000]yyyy-mm-dd")</f>
        <v/>
      </c>
      <c r="C15711" t="inlineStr">
        <is>
          <t>1942-11-29</t>
        </is>
      </c>
    </row>
    <row r="15712">
      <c r="A15712" s="1" t="n">
        <v>15711</v>
      </c>
      <c r="B15712">
        <f>TEXT(15711, "[$-0E0000]yyyy-mm-dd")</f>
        <v/>
      </c>
      <c r="C15712" t="inlineStr">
        <is>
          <t>1942-12-01</t>
        </is>
      </c>
    </row>
    <row r="15713">
      <c r="A15713" s="1" t="n">
        <v>15712</v>
      </c>
      <c r="B15713">
        <f>TEXT(15712, "[$-0E0000]yyyy-mm-dd")</f>
        <v/>
      </c>
      <c r="C15713" t="inlineStr">
        <is>
          <t>1942-12-02</t>
        </is>
      </c>
    </row>
    <row r="15714">
      <c r="A15714" s="1" t="n">
        <v>15713</v>
      </c>
      <c r="B15714">
        <f>TEXT(15713, "[$-0E0000]yyyy-mm-dd")</f>
        <v/>
      </c>
      <c r="C15714" t="inlineStr">
        <is>
          <t>1942-12-03</t>
        </is>
      </c>
    </row>
    <row r="15715">
      <c r="A15715" s="1" t="n">
        <v>15714</v>
      </c>
      <c r="B15715">
        <f>TEXT(15714, "[$-0E0000]yyyy-mm-dd")</f>
        <v/>
      </c>
      <c r="C15715" t="inlineStr">
        <is>
          <t>1942-12-04</t>
        </is>
      </c>
    </row>
    <row r="15716">
      <c r="A15716" s="1" t="n">
        <v>15715</v>
      </c>
      <c r="B15716">
        <f>TEXT(15715, "[$-0E0000]yyyy-mm-dd")</f>
        <v/>
      </c>
      <c r="C15716" t="inlineStr">
        <is>
          <t>1942-12-05</t>
        </is>
      </c>
    </row>
    <row r="15717">
      <c r="A15717" s="1" t="n">
        <v>15716</v>
      </c>
      <c r="B15717">
        <f>TEXT(15716, "[$-0E0000]yyyy-mm-dd")</f>
        <v/>
      </c>
      <c r="C15717" t="inlineStr">
        <is>
          <t>1942-12-06</t>
        </is>
      </c>
    </row>
    <row r="15718">
      <c r="A15718" s="1" t="n">
        <v>15717</v>
      </c>
      <c r="B15718">
        <f>TEXT(15717, "[$-0E0000]yyyy-mm-dd")</f>
        <v/>
      </c>
      <c r="C15718" t="inlineStr">
        <is>
          <t>1942-12-07</t>
        </is>
      </c>
    </row>
    <row r="15719">
      <c r="A15719" s="1" t="n">
        <v>15718</v>
      </c>
      <c r="B15719">
        <f>TEXT(15718, "[$-0E0000]yyyy-mm-dd")</f>
        <v/>
      </c>
      <c r="C15719" t="inlineStr">
        <is>
          <t>1942-12-08</t>
        </is>
      </c>
    </row>
    <row r="15720">
      <c r="A15720" s="1" t="n">
        <v>15719</v>
      </c>
      <c r="B15720">
        <f>TEXT(15719, "[$-0E0000]yyyy-mm-dd")</f>
        <v/>
      </c>
      <c r="C15720" t="inlineStr">
        <is>
          <t>1942-12-09</t>
        </is>
      </c>
    </row>
    <row r="15721">
      <c r="A15721" s="1" t="n">
        <v>15720</v>
      </c>
      <c r="B15721">
        <f>TEXT(15720, "[$-0E0000]yyyy-mm-dd")</f>
        <v/>
      </c>
      <c r="C15721" t="inlineStr">
        <is>
          <t>1942-12-10</t>
        </is>
      </c>
    </row>
    <row r="15722">
      <c r="A15722" s="1" t="n">
        <v>15721</v>
      </c>
      <c r="B15722">
        <f>TEXT(15721, "[$-0E0000]yyyy-mm-dd")</f>
        <v/>
      </c>
      <c r="C15722" t="inlineStr">
        <is>
          <t>1942-12-11</t>
        </is>
      </c>
    </row>
    <row r="15723">
      <c r="A15723" s="1" t="n">
        <v>15722</v>
      </c>
      <c r="B15723">
        <f>TEXT(15722, "[$-0E0000]yyyy-mm-dd")</f>
        <v/>
      </c>
      <c r="C15723" t="inlineStr">
        <is>
          <t>1942-12-12</t>
        </is>
      </c>
    </row>
    <row r="15724">
      <c r="A15724" s="1" t="n">
        <v>15723</v>
      </c>
      <c r="B15724">
        <f>TEXT(15723, "[$-0E0000]yyyy-mm-dd")</f>
        <v/>
      </c>
      <c r="C15724" t="inlineStr">
        <is>
          <t>1942-12-13</t>
        </is>
      </c>
    </row>
    <row r="15725">
      <c r="A15725" s="1" t="n">
        <v>15724</v>
      </c>
      <c r="B15725">
        <f>TEXT(15724, "[$-0E0000]yyyy-mm-dd")</f>
        <v/>
      </c>
      <c r="C15725" t="inlineStr">
        <is>
          <t>1942-12-14</t>
        </is>
      </c>
    </row>
    <row r="15726">
      <c r="A15726" s="1" t="n">
        <v>15725</v>
      </c>
      <c r="B15726">
        <f>TEXT(15725, "[$-0E0000]yyyy-mm-dd")</f>
        <v/>
      </c>
      <c r="C15726" t="inlineStr">
        <is>
          <t>1942-12-15</t>
        </is>
      </c>
    </row>
    <row r="15727">
      <c r="A15727" s="1" t="n">
        <v>15726</v>
      </c>
      <c r="B15727">
        <f>TEXT(15726, "[$-0E0000]yyyy-mm-dd")</f>
        <v/>
      </c>
      <c r="C15727" t="inlineStr">
        <is>
          <t>1942-12-16</t>
        </is>
      </c>
    </row>
    <row r="15728">
      <c r="A15728" s="1" t="n">
        <v>15727</v>
      </c>
      <c r="B15728">
        <f>TEXT(15727, "[$-0E0000]yyyy-mm-dd")</f>
        <v/>
      </c>
      <c r="C15728" t="inlineStr">
        <is>
          <t>1942-12-17</t>
        </is>
      </c>
    </row>
    <row r="15729">
      <c r="A15729" s="1" t="n">
        <v>15728</v>
      </c>
      <c r="B15729">
        <f>TEXT(15728, "[$-0E0000]yyyy-mm-dd")</f>
        <v/>
      </c>
      <c r="C15729" t="inlineStr">
        <is>
          <t>1942-12-18</t>
        </is>
      </c>
    </row>
    <row r="15730">
      <c r="A15730" s="1" t="n">
        <v>15729</v>
      </c>
      <c r="B15730">
        <f>TEXT(15729, "[$-0E0000]yyyy-mm-dd")</f>
        <v/>
      </c>
      <c r="C15730" t="inlineStr">
        <is>
          <t>1942-12-19</t>
        </is>
      </c>
    </row>
    <row r="15731">
      <c r="A15731" s="1" t="n">
        <v>15730</v>
      </c>
      <c r="B15731">
        <f>TEXT(15730, "[$-0E0000]yyyy-mm-dd")</f>
        <v/>
      </c>
      <c r="C15731" t="inlineStr">
        <is>
          <t>1942-12-20</t>
        </is>
      </c>
    </row>
    <row r="15732">
      <c r="A15732" s="1" t="n">
        <v>15731</v>
      </c>
      <c r="B15732">
        <f>TEXT(15731, "[$-0E0000]yyyy-mm-dd")</f>
        <v/>
      </c>
      <c r="C15732" t="inlineStr">
        <is>
          <t>1942-12-21</t>
        </is>
      </c>
    </row>
    <row r="15733">
      <c r="A15733" s="1" t="n">
        <v>15732</v>
      </c>
      <c r="B15733">
        <f>TEXT(15732, "[$-0E0000]yyyy-mm-dd")</f>
        <v/>
      </c>
      <c r="C15733" t="inlineStr">
        <is>
          <t>1942-12-22</t>
        </is>
      </c>
    </row>
    <row r="15734">
      <c r="A15734" s="1" t="n">
        <v>15733</v>
      </c>
      <c r="B15734">
        <f>TEXT(15733, "[$-0E0000]yyyy-mm-dd")</f>
        <v/>
      </c>
      <c r="C15734" t="inlineStr">
        <is>
          <t>1942-12-23</t>
        </is>
      </c>
    </row>
    <row r="15735">
      <c r="A15735" s="1" t="n">
        <v>15734</v>
      </c>
      <c r="B15735">
        <f>TEXT(15734, "[$-0E0000]yyyy-mm-dd")</f>
        <v/>
      </c>
      <c r="C15735" t="inlineStr">
        <is>
          <t>1942-12-24</t>
        </is>
      </c>
    </row>
    <row r="15736">
      <c r="A15736" s="1" t="n">
        <v>15735</v>
      </c>
      <c r="B15736">
        <f>TEXT(15735, "[$-0E0000]yyyy-mm-dd")</f>
        <v/>
      </c>
      <c r="C15736" t="inlineStr">
        <is>
          <t>1942-12-25</t>
        </is>
      </c>
    </row>
    <row r="15737">
      <c r="A15737" s="1" t="n">
        <v>15736</v>
      </c>
      <c r="B15737">
        <f>TEXT(15736, "[$-0E0000]yyyy-mm-dd")</f>
        <v/>
      </c>
      <c r="C15737" t="inlineStr">
        <is>
          <t>1942-12-26</t>
        </is>
      </c>
    </row>
    <row r="15738">
      <c r="A15738" s="1" t="n">
        <v>15737</v>
      </c>
      <c r="B15738">
        <f>TEXT(15737, "[$-0E0000]yyyy-mm-dd")</f>
        <v/>
      </c>
      <c r="C15738" t="inlineStr">
        <is>
          <t>1942-12-27</t>
        </is>
      </c>
    </row>
    <row r="15739">
      <c r="A15739" s="1" t="n">
        <v>15738</v>
      </c>
      <c r="B15739">
        <f>TEXT(15738, "[$-0E0000]yyyy-mm-dd")</f>
        <v/>
      </c>
      <c r="C15739" t="inlineStr">
        <is>
          <t>1942-12-28</t>
        </is>
      </c>
    </row>
    <row r="15740">
      <c r="A15740" s="1" t="n">
        <v>15739</v>
      </c>
      <c r="B15740">
        <f>TEXT(15739, "[$-0E0000]yyyy-mm-dd")</f>
        <v/>
      </c>
      <c r="C15740" t="inlineStr">
        <is>
          <t>1942-12-29</t>
        </is>
      </c>
    </row>
    <row r="15741">
      <c r="A15741" s="1" t="n">
        <v>15740</v>
      </c>
      <c r="B15741">
        <f>TEXT(15740, "[$-0E0000]yyyy-mm-dd")</f>
        <v/>
      </c>
      <c r="C15741" t="inlineStr">
        <is>
          <t>1942-12-30</t>
        </is>
      </c>
    </row>
    <row r="15742">
      <c r="A15742" s="1" t="n">
        <v>15741</v>
      </c>
      <c r="B15742">
        <f>TEXT(15741, "[$-0E0000]yyyy-mm-dd")</f>
        <v/>
      </c>
      <c r="C15742" t="inlineStr">
        <is>
          <t>1943-01-01</t>
        </is>
      </c>
    </row>
    <row r="15743">
      <c r="A15743" s="1" t="n">
        <v>15742</v>
      </c>
      <c r="B15743">
        <f>TEXT(15742, "[$-0E0000]yyyy-mm-dd")</f>
        <v/>
      </c>
      <c r="C15743" t="inlineStr">
        <is>
          <t>1943-01-02</t>
        </is>
      </c>
    </row>
    <row r="15744">
      <c r="A15744" s="1" t="n">
        <v>15743</v>
      </c>
      <c r="B15744">
        <f>TEXT(15743, "[$-0E0000]yyyy-mm-dd")</f>
        <v/>
      </c>
      <c r="C15744" t="inlineStr">
        <is>
          <t>1943-01-03</t>
        </is>
      </c>
    </row>
    <row r="15745">
      <c r="A15745" s="1" t="n">
        <v>15744</v>
      </c>
      <c r="B15745">
        <f>TEXT(15744, "[$-0E0000]yyyy-mm-dd")</f>
        <v/>
      </c>
      <c r="C15745" t="inlineStr">
        <is>
          <t>1943-01-04</t>
        </is>
      </c>
    </row>
    <row r="15746">
      <c r="A15746" s="1" t="n">
        <v>15745</v>
      </c>
      <c r="B15746">
        <f>TEXT(15745, "[$-0E0000]yyyy-mm-dd")</f>
        <v/>
      </c>
      <c r="C15746" t="inlineStr">
        <is>
          <t>1943-01-05</t>
        </is>
      </c>
    </row>
    <row r="15747">
      <c r="A15747" s="1" t="n">
        <v>15746</v>
      </c>
      <c r="B15747">
        <f>TEXT(15746, "[$-0E0000]yyyy-mm-dd")</f>
        <v/>
      </c>
      <c r="C15747" t="inlineStr">
        <is>
          <t>1943-01-06</t>
        </is>
      </c>
    </row>
    <row r="15748">
      <c r="A15748" s="1" t="n">
        <v>15747</v>
      </c>
      <c r="B15748">
        <f>TEXT(15747, "[$-0E0000]yyyy-mm-dd")</f>
        <v/>
      </c>
      <c r="C15748" t="inlineStr">
        <is>
          <t>1943-01-07</t>
        </is>
      </c>
    </row>
    <row r="15749">
      <c r="A15749" s="1" t="n">
        <v>15748</v>
      </c>
      <c r="B15749">
        <f>TEXT(15748, "[$-0E0000]yyyy-mm-dd")</f>
        <v/>
      </c>
      <c r="C15749" t="inlineStr">
        <is>
          <t>1943-01-08</t>
        </is>
      </c>
    </row>
    <row r="15750">
      <c r="A15750" s="1" t="n">
        <v>15749</v>
      </c>
      <c r="B15750">
        <f>TEXT(15749, "[$-0E0000]yyyy-mm-dd")</f>
        <v/>
      </c>
      <c r="C15750" t="inlineStr">
        <is>
          <t>1943-01-09</t>
        </is>
      </c>
    </row>
    <row r="15751">
      <c r="A15751" s="1" t="n">
        <v>15750</v>
      </c>
      <c r="B15751">
        <f>TEXT(15750, "[$-0E0000]yyyy-mm-dd")</f>
        <v/>
      </c>
      <c r="C15751" t="inlineStr">
        <is>
          <t>1943-01-10</t>
        </is>
      </c>
    </row>
    <row r="15752">
      <c r="A15752" s="1" t="n">
        <v>15751</v>
      </c>
      <c r="B15752">
        <f>TEXT(15751, "[$-0E0000]yyyy-mm-dd")</f>
        <v/>
      </c>
      <c r="C15752" t="inlineStr">
        <is>
          <t>1943-01-11</t>
        </is>
      </c>
    </row>
    <row r="15753">
      <c r="A15753" s="1" t="n">
        <v>15752</v>
      </c>
      <c r="B15753">
        <f>TEXT(15752, "[$-0E0000]yyyy-mm-dd")</f>
        <v/>
      </c>
      <c r="C15753" t="inlineStr">
        <is>
          <t>1943-01-12</t>
        </is>
      </c>
    </row>
    <row r="15754">
      <c r="A15754" s="1" t="n">
        <v>15753</v>
      </c>
      <c r="B15754">
        <f>TEXT(15753, "[$-0E0000]yyyy-mm-dd")</f>
        <v/>
      </c>
      <c r="C15754" t="inlineStr">
        <is>
          <t>1943-01-13</t>
        </is>
      </c>
    </row>
    <row r="15755">
      <c r="A15755" s="1" t="n">
        <v>15754</v>
      </c>
      <c r="B15755">
        <f>TEXT(15754, "[$-0E0000]yyyy-mm-dd")</f>
        <v/>
      </c>
      <c r="C15755" t="inlineStr">
        <is>
          <t>1943-01-14</t>
        </is>
      </c>
    </row>
    <row r="15756">
      <c r="A15756" s="1" t="n">
        <v>15755</v>
      </c>
      <c r="B15756">
        <f>TEXT(15755, "[$-0E0000]yyyy-mm-dd")</f>
        <v/>
      </c>
      <c r="C15756" t="inlineStr">
        <is>
          <t>1943-01-15</t>
        </is>
      </c>
    </row>
    <row r="15757">
      <c r="A15757" s="1" t="n">
        <v>15756</v>
      </c>
      <c r="B15757">
        <f>TEXT(15756, "[$-0E0000]yyyy-mm-dd")</f>
        <v/>
      </c>
      <c r="C15757" t="inlineStr">
        <is>
          <t>1943-01-16</t>
        </is>
      </c>
    </row>
    <row r="15758">
      <c r="A15758" s="1" t="n">
        <v>15757</v>
      </c>
      <c r="B15758">
        <f>TEXT(15757, "[$-0E0000]yyyy-mm-dd")</f>
        <v/>
      </c>
      <c r="C15758" t="inlineStr">
        <is>
          <t>1943-01-17</t>
        </is>
      </c>
    </row>
    <row r="15759">
      <c r="A15759" s="1" t="n">
        <v>15758</v>
      </c>
      <c r="B15759">
        <f>TEXT(15758, "[$-0E0000]yyyy-mm-dd")</f>
        <v/>
      </c>
      <c r="C15759" t="inlineStr">
        <is>
          <t>1943-01-18</t>
        </is>
      </c>
    </row>
    <row r="15760">
      <c r="A15760" s="1" t="n">
        <v>15759</v>
      </c>
      <c r="B15760">
        <f>TEXT(15759, "[$-0E0000]yyyy-mm-dd")</f>
        <v/>
      </c>
      <c r="C15760" t="inlineStr">
        <is>
          <t>1943-01-19</t>
        </is>
      </c>
    </row>
    <row r="15761">
      <c r="A15761" s="1" t="n">
        <v>15760</v>
      </c>
      <c r="B15761">
        <f>TEXT(15760, "[$-0E0000]yyyy-mm-dd")</f>
        <v/>
      </c>
      <c r="C15761" t="inlineStr">
        <is>
          <t>1943-01-20</t>
        </is>
      </c>
    </row>
    <row r="15762">
      <c r="A15762" s="1" t="n">
        <v>15761</v>
      </c>
      <c r="B15762">
        <f>TEXT(15761, "[$-0E0000]yyyy-mm-dd")</f>
        <v/>
      </c>
      <c r="C15762" t="inlineStr">
        <is>
          <t>1943-01-21</t>
        </is>
      </c>
    </row>
    <row r="15763">
      <c r="A15763" s="1" t="n">
        <v>15762</v>
      </c>
      <c r="B15763">
        <f>TEXT(15762, "[$-0E0000]yyyy-mm-dd")</f>
        <v/>
      </c>
      <c r="C15763" t="inlineStr">
        <is>
          <t>1943-01-22</t>
        </is>
      </c>
    </row>
    <row r="15764">
      <c r="A15764" s="1" t="n">
        <v>15763</v>
      </c>
      <c r="B15764">
        <f>TEXT(15763, "[$-0E0000]yyyy-mm-dd")</f>
        <v/>
      </c>
      <c r="C15764" t="inlineStr">
        <is>
          <t>1943-01-23</t>
        </is>
      </c>
    </row>
    <row r="15765">
      <c r="A15765" s="1" t="n">
        <v>15764</v>
      </c>
      <c r="B15765">
        <f>TEXT(15764, "[$-0E0000]yyyy-mm-dd")</f>
        <v/>
      </c>
      <c r="C15765" t="inlineStr">
        <is>
          <t>1943-01-24</t>
        </is>
      </c>
    </row>
    <row r="15766">
      <c r="A15766" s="1" t="n">
        <v>15765</v>
      </c>
      <c r="B15766">
        <f>TEXT(15765, "[$-0E0000]yyyy-mm-dd")</f>
        <v/>
      </c>
      <c r="C15766" t="inlineStr">
        <is>
          <t>1943-01-25</t>
        </is>
      </c>
    </row>
    <row r="15767">
      <c r="A15767" s="1" t="n">
        <v>15766</v>
      </c>
      <c r="B15767">
        <f>TEXT(15766, "[$-0E0000]yyyy-mm-dd")</f>
        <v/>
      </c>
      <c r="C15767" t="inlineStr">
        <is>
          <t>1943-01-26</t>
        </is>
      </c>
    </row>
    <row r="15768">
      <c r="A15768" s="1" t="n">
        <v>15767</v>
      </c>
      <c r="B15768">
        <f>TEXT(15767, "[$-0E0000]yyyy-mm-dd")</f>
        <v/>
      </c>
      <c r="C15768" t="inlineStr">
        <is>
          <t>1943-01-27</t>
        </is>
      </c>
    </row>
    <row r="15769">
      <c r="A15769" s="1" t="n">
        <v>15768</v>
      </c>
      <c r="B15769">
        <f>TEXT(15768, "[$-0E0000]yyyy-mm-dd")</f>
        <v/>
      </c>
      <c r="C15769" t="inlineStr">
        <is>
          <t>1943-01-28</t>
        </is>
      </c>
    </row>
    <row r="15770">
      <c r="A15770" s="1" t="n">
        <v>15769</v>
      </c>
      <c r="B15770">
        <f>TEXT(15769, "[$-0E0000]yyyy-mm-dd")</f>
        <v/>
      </c>
      <c r="C15770" t="inlineStr">
        <is>
          <t>1943-01-29</t>
        </is>
      </c>
    </row>
    <row r="15771">
      <c r="A15771" s="1" t="n">
        <v>15770</v>
      </c>
      <c r="B15771">
        <f>TEXT(15770, "[$-0E0000]yyyy-mm-dd")</f>
        <v/>
      </c>
      <c r="C15771" t="inlineStr">
        <is>
          <t>1943-02-01</t>
        </is>
      </c>
    </row>
    <row r="15772">
      <c r="A15772" s="1" t="n">
        <v>15771</v>
      </c>
      <c r="B15772">
        <f>TEXT(15771, "[$-0E0000]yyyy-mm-dd")</f>
        <v/>
      </c>
      <c r="C15772" t="inlineStr">
        <is>
          <t>1943-02-02</t>
        </is>
      </c>
    </row>
    <row r="15773">
      <c r="A15773" s="1" t="n">
        <v>15772</v>
      </c>
      <c r="B15773">
        <f>TEXT(15772, "[$-0E0000]yyyy-mm-dd")</f>
        <v/>
      </c>
      <c r="C15773" t="inlineStr">
        <is>
          <t>1943-02-03</t>
        </is>
      </c>
    </row>
    <row r="15774">
      <c r="A15774" s="1" t="n">
        <v>15773</v>
      </c>
      <c r="B15774">
        <f>TEXT(15773, "[$-0E0000]yyyy-mm-dd")</f>
        <v/>
      </c>
      <c r="C15774" t="inlineStr">
        <is>
          <t>1943-02-04</t>
        </is>
      </c>
    </row>
    <row r="15775">
      <c r="A15775" s="1" t="n">
        <v>15774</v>
      </c>
      <c r="B15775">
        <f>TEXT(15774, "[$-0E0000]yyyy-mm-dd")</f>
        <v/>
      </c>
      <c r="C15775" t="inlineStr">
        <is>
          <t>1943-02-05</t>
        </is>
      </c>
    </row>
    <row r="15776">
      <c r="A15776" s="1" t="n">
        <v>15775</v>
      </c>
      <c r="B15776">
        <f>TEXT(15775, "[$-0E0000]yyyy-mm-dd")</f>
        <v/>
      </c>
      <c r="C15776" t="inlineStr">
        <is>
          <t>1943-02-06</t>
        </is>
      </c>
    </row>
    <row r="15777">
      <c r="A15777" s="1" t="n">
        <v>15776</v>
      </c>
      <c r="B15777">
        <f>TEXT(15776, "[$-0E0000]yyyy-mm-dd")</f>
        <v/>
      </c>
      <c r="C15777" t="inlineStr">
        <is>
          <t>1943-02-07</t>
        </is>
      </c>
    </row>
    <row r="15778">
      <c r="A15778" s="1" t="n">
        <v>15777</v>
      </c>
      <c r="B15778">
        <f>TEXT(15777, "[$-0E0000]yyyy-mm-dd")</f>
        <v/>
      </c>
      <c r="C15778" t="inlineStr">
        <is>
          <t>1943-02-08</t>
        </is>
      </c>
    </row>
    <row r="15779">
      <c r="A15779" s="1" t="n">
        <v>15778</v>
      </c>
      <c r="B15779">
        <f>TEXT(15778, "[$-0E0000]yyyy-mm-dd")</f>
        <v/>
      </c>
      <c r="C15779" t="inlineStr">
        <is>
          <t>1943-02-09</t>
        </is>
      </c>
    </row>
    <row r="15780">
      <c r="A15780" s="1" t="n">
        <v>15779</v>
      </c>
      <c r="B15780">
        <f>TEXT(15779, "[$-0E0000]yyyy-mm-dd")</f>
        <v/>
      </c>
      <c r="C15780" t="inlineStr">
        <is>
          <t>1943-02-10</t>
        </is>
      </c>
    </row>
    <row r="15781">
      <c r="A15781" s="1" t="n">
        <v>15780</v>
      </c>
      <c r="B15781">
        <f>TEXT(15780, "[$-0E0000]yyyy-mm-dd")</f>
        <v/>
      </c>
      <c r="C15781" t="inlineStr">
        <is>
          <t>1943-02-11</t>
        </is>
      </c>
    </row>
    <row r="15782">
      <c r="A15782" s="1" t="n">
        <v>15781</v>
      </c>
      <c r="B15782">
        <f>TEXT(15781, "[$-0E0000]yyyy-mm-dd")</f>
        <v/>
      </c>
      <c r="C15782" t="inlineStr">
        <is>
          <t>1943-02-12</t>
        </is>
      </c>
    </row>
    <row r="15783">
      <c r="A15783" s="1" t="n">
        <v>15782</v>
      </c>
      <c r="B15783">
        <f>TEXT(15782, "[$-0E0000]yyyy-mm-dd")</f>
        <v/>
      </c>
      <c r="C15783" t="inlineStr">
        <is>
          <t>1943-02-13</t>
        </is>
      </c>
    </row>
    <row r="15784">
      <c r="A15784" s="1" t="n">
        <v>15783</v>
      </c>
      <c r="B15784">
        <f>TEXT(15783, "[$-0E0000]yyyy-mm-dd")</f>
        <v/>
      </c>
      <c r="C15784" t="inlineStr">
        <is>
          <t>1943-02-14</t>
        </is>
      </c>
    </row>
    <row r="15785">
      <c r="A15785" s="1" t="n">
        <v>15784</v>
      </c>
      <c r="B15785">
        <f>TEXT(15784, "[$-0E0000]yyyy-mm-dd")</f>
        <v/>
      </c>
      <c r="C15785" t="inlineStr">
        <is>
          <t>1943-02-15</t>
        </is>
      </c>
    </row>
    <row r="15786">
      <c r="A15786" s="1" t="n">
        <v>15785</v>
      </c>
      <c r="B15786">
        <f>TEXT(15785, "[$-0E0000]yyyy-mm-dd")</f>
        <v/>
      </c>
      <c r="C15786" t="inlineStr">
        <is>
          <t>1943-02-16</t>
        </is>
      </c>
    </row>
    <row r="15787">
      <c r="A15787" s="1" t="n">
        <v>15786</v>
      </c>
      <c r="B15787">
        <f>TEXT(15786, "[$-0E0000]yyyy-mm-dd")</f>
        <v/>
      </c>
      <c r="C15787" t="inlineStr">
        <is>
          <t>1943-02-17</t>
        </is>
      </c>
    </row>
    <row r="15788">
      <c r="A15788" s="1" t="n">
        <v>15787</v>
      </c>
      <c r="B15788">
        <f>TEXT(15787, "[$-0E0000]yyyy-mm-dd")</f>
        <v/>
      </c>
      <c r="C15788" t="inlineStr">
        <is>
          <t>1943-02-18</t>
        </is>
      </c>
    </row>
    <row r="15789">
      <c r="A15789" s="1" t="n">
        <v>15788</v>
      </c>
      <c r="B15789">
        <f>TEXT(15788, "[$-0E0000]yyyy-mm-dd")</f>
        <v/>
      </c>
      <c r="C15789" t="inlineStr">
        <is>
          <t>1943-02-19</t>
        </is>
      </c>
    </row>
    <row r="15790">
      <c r="A15790" s="1" t="n">
        <v>15789</v>
      </c>
      <c r="B15790">
        <f>TEXT(15789, "[$-0E0000]yyyy-mm-dd")</f>
        <v/>
      </c>
      <c r="C15790" t="inlineStr">
        <is>
          <t>1943-02-20</t>
        </is>
      </c>
    </row>
    <row r="15791">
      <c r="A15791" s="1" t="n">
        <v>15790</v>
      </c>
      <c r="B15791">
        <f>TEXT(15790, "[$-0E0000]yyyy-mm-dd")</f>
        <v/>
      </c>
      <c r="C15791" t="inlineStr">
        <is>
          <t>1943-02-21</t>
        </is>
      </c>
    </row>
    <row r="15792">
      <c r="A15792" s="1" t="n">
        <v>15791</v>
      </c>
      <c r="B15792">
        <f>TEXT(15791, "[$-0E0000]yyyy-mm-dd")</f>
        <v/>
      </c>
      <c r="C15792" t="inlineStr">
        <is>
          <t>1943-02-22</t>
        </is>
      </c>
    </row>
    <row r="15793">
      <c r="A15793" s="1" t="n">
        <v>15792</v>
      </c>
      <c r="B15793">
        <f>TEXT(15792, "[$-0E0000]yyyy-mm-dd")</f>
        <v/>
      </c>
      <c r="C15793" t="inlineStr">
        <is>
          <t>1943-02-23</t>
        </is>
      </c>
    </row>
    <row r="15794">
      <c r="A15794" s="1" t="n">
        <v>15793</v>
      </c>
      <c r="B15794">
        <f>TEXT(15793, "[$-0E0000]yyyy-mm-dd")</f>
        <v/>
      </c>
      <c r="C15794" t="inlineStr">
        <is>
          <t>1943-02-24</t>
        </is>
      </c>
    </row>
    <row r="15795">
      <c r="A15795" s="1" t="n">
        <v>15794</v>
      </c>
      <c r="B15795">
        <f>TEXT(15794, "[$-0E0000]yyyy-mm-dd")</f>
        <v/>
      </c>
      <c r="C15795" t="inlineStr">
        <is>
          <t>1943-02-25</t>
        </is>
      </c>
    </row>
    <row r="15796">
      <c r="A15796" s="1" t="n">
        <v>15795</v>
      </c>
      <c r="B15796">
        <f>TEXT(15795, "[$-0E0000]yyyy-mm-dd")</f>
        <v/>
      </c>
      <c r="C15796" t="inlineStr">
        <is>
          <t>1943-02-26</t>
        </is>
      </c>
    </row>
    <row r="15797">
      <c r="A15797" s="1" t="n">
        <v>15796</v>
      </c>
      <c r="B15797">
        <f>TEXT(15796, "[$-0E0000]yyyy-mm-dd")</f>
        <v/>
      </c>
      <c r="C15797" t="inlineStr">
        <is>
          <t>1943-02-27</t>
        </is>
      </c>
    </row>
    <row r="15798">
      <c r="A15798" s="1" t="n">
        <v>15797</v>
      </c>
      <c r="B15798">
        <f>TEXT(15797, "[$-0E0000]yyyy-mm-dd")</f>
        <v/>
      </c>
      <c r="C15798" t="inlineStr">
        <is>
          <t>1943-02-28</t>
        </is>
      </c>
    </row>
    <row r="15799">
      <c r="A15799" s="1" t="n">
        <v>15798</v>
      </c>
      <c r="B15799">
        <f>TEXT(15798, "[$-0E0000]yyyy-mm-dd")</f>
        <v/>
      </c>
      <c r="C15799" t="inlineStr">
        <is>
          <t>1943-02-29</t>
        </is>
      </c>
    </row>
    <row r="15800">
      <c r="A15800" s="1" t="n">
        <v>15799</v>
      </c>
      <c r="B15800">
        <f>TEXT(15799, "[$-0E0000]yyyy-mm-dd")</f>
        <v/>
      </c>
      <c r="C15800" t="inlineStr">
        <is>
          <t>1943-02-30</t>
        </is>
      </c>
    </row>
    <row r="15801">
      <c r="A15801" s="1" t="n">
        <v>15800</v>
      </c>
      <c r="B15801">
        <f>TEXT(15800, "[$-0E0000]yyyy-mm-dd")</f>
        <v/>
      </c>
      <c r="C15801" t="inlineStr">
        <is>
          <t>1943-03-01</t>
        </is>
      </c>
    </row>
    <row r="15802">
      <c r="A15802" s="1" t="n">
        <v>15801</v>
      </c>
      <c r="B15802">
        <f>TEXT(15801, "[$-0E0000]yyyy-mm-dd")</f>
        <v/>
      </c>
      <c r="C15802" t="inlineStr">
        <is>
          <t>1943-03-02</t>
        </is>
      </c>
    </row>
    <row r="15803">
      <c r="A15803" s="1" t="n">
        <v>15802</v>
      </c>
      <c r="B15803">
        <f>TEXT(15802, "[$-0E0000]yyyy-mm-dd")</f>
        <v/>
      </c>
      <c r="C15803" t="inlineStr">
        <is>
          <t>1943-03-03</t>
        </is>
      </c>
    </row>
    <row r="15804">
      <c r="A15804" s="1" t="n">
        <v>15803</v>
      </c>
      <c r="B15804">
        <f>TEXT(15803, "[$-0E0000]yyyy-mm-dd")</f>
        <v/>
      </c>
      <c r="C15804" t="inlineStr">
        <is>
          <t>1943-03-04</t>
        </is>
      </c>
    </row>
    <row r="15805">
      <c r="A15805" s="1" t="n">
        <v>15804</v>
      </c>
      <c r="B15805">
        <f>TEXT(15804, "[$-0E0000]yyyy-mm-dd")</f>
        <v/>
      </c>
      <c r="C15805" t="inlineStr">
        <is>
          <t>1943-03-05</t>
        </is>
      </c>
    </row>
    <row r="15806">
      <c r="A15806" s="1" t="n">
        <v>15805</v>
      </c>
      <c r="B15806">
        <f>TEXT(15805, "[$-0E0000]yyyy-mm-dd")</f>
        <v/>
      </c>
      <c r="C15806" t="inlineStr">
        <is>
          <t>1943-03-06</t>
        </is>
      </c>
    </row>
    <row r="15807">
      <c r="A15807" s="1" t="n">
        <v>15806</v>
      </c>
      <c r="B15807">
        <f>TEXT(15806, "[$-0E0000]yyyy-mm-dd")</f>
        <v/>
      </c>
      <c r="C15807" t="inlineStr">
        <is>
          <t>1943-03-07</t>
        </is>
      </c>
    </row>
    <row r="15808">
      <c r="A15808" s="1" t="n">
        <v>15807</v>
      </c>
      <c r="B15808">
        <f>TEXT(15807, "[$-0E0000]yyyy-mm-dd")</f>
        <v/>
      </c>
      <c r="C15808" t="inlineStr">
        <is>
          <t>1943-03-08</t>
        </is>
      </c>
    </row>
    <row r="15809">
      <c r="A15809" s="1" t="n">
        <v>15808</v>
      </c>
      <c r="B15809">
        <f>TEXT(15808, "[$-0E0000]yyyy-mm-dd")</f>
        <v/>
      </c>
      <c r="C15809" t="inlineStr">
        <is>
          <t>1943-03-09</t>
        </is>
      </c>
    </row>
    <row r="15810">
      <c r="A15810" s="1" t="n">
        <v>15809</v>
      </c>
      <c r="B15810">
        <f>TEXT(15809, "[$-0E0000]yyyy-mm-dd")</f>
        <v/>
      </c>
      <c r="C15810" t="inlineStr">
        <is>
          <t>1943-03-10</t>
        </is>
      </c>
    </row>
    <row r="15811">
      <c r="A15811" s="1" t="n">
        <v>15810</v>
      </c>
      <c r="B15811">
        <f>TEXT(15810, "[$-0E0000]yyyy-mm-dd")</f>
        <v/>
      </c>
      <c r="C15811" t="inlineStr">
        <is>
          <t>1943-03-11</t>
        </is>
      </c>
    </row>
    <row r="15812">
      <c r="A15812" s="1" t="n">
        <v>15811</v>
      </c>
      <c r="B15812">
        <f>TEXT(15811, "[$-0E0000]yyyy-mm-dd")</f>
        <v/>
      </c>
      <c r="C15812" t="inlineStr">
        <is>
          <t>1943-03-12</t>
        </is>
      </c>
    </row>
    <row r="15813">
      <c r="A15813" s="1" t="n">
        <v>15812</v>
      </c>
      <c r="B15813">
        <f>TEXT(15812, "[$-0E0000]yyyy-mm-dd")</f>
        <v/>
      </c>
      <c r="C15813" t="inlineStr">
        <is>
          <t>1943-03-13</t>
        </is>
      </c>
    </row>
    <row r="15814">
      <c r="A15814" s="1" t="n">
        <v>15813</v>
      </c>
      <c r="B15814">
        <f>TEXT(15813, "[$-0E0000]yyyy-mm-dd")</f>
        <v/>
      </c>
      <c r="C15814" t="inlineStr">
        <is>
          <t>1943-03-14</t>
        </is>
      </c>
    </row>
    <row r="15815">
      <c r="A15815" s="1" t="n">
        <v>15814</v>
      </c>
      <c r="B15815">
        <f>TEXT(15814, "[$-0E0000]yyyy-mm-dd")</f>
        <v/>
      </c>
      <c r="C15815" t="inlineStr">
        <is>
          <t>1943-03-15</t>
        </is>
      </c>
    </row>
    <row r="15816">
      <c r="A15816" s="1" t="n">
        <v>15815</v>
      </c>
      <c r="B15816">
        <f>TEXT(15815, "[$-0E0000]yyyy-mm-dd")</f>
        <v/>
      </c>
      <c r="C15816" t="inlineStr">
        <is>
          <t>1943-03-16</t>
        </is>
      </c>
    </row>
    <row r="15817">
      <c r="A15817" s="1" t="n">
        <v>15816</v>
      </c>
      <c r="B15817">
        <f>TEXT(15816, "[$-0E0000]yyyy-mm-dd")</f>
        <v/>
      </c>
      <c r="C15817" t="inlineStr">
        <is>
          <t>1943-03-17</t>
        </is>
      </c>
    </row>
    <row r="15818">
      <c r="A15818" s="1" t="n">
        <v>15817</v>
      </c>
      <c r="B15818">
        <f>TEXT(15817, "[$-0E0000]yyyy-mm-dd")</f>
        <v/>
      </c>
      <c r="C15818" t="inlineStr">
        <is>
          <t>1943-03-18</t>
        </is>
      </c>
    </row>
    <row r="15819">
      <c r="A15819" s="1" t="n">
        <v>15818</v>
      </c>
      <c r="B15819">
        <f>TEXT(15818, "[$-0E0000]yyyy-mm-dd")</f>
        <v/>
      </c>
      <c r="C15819" t="inlineStr">
        <is>
          <t>1943-03-19</t>
        </is>
      </c>
    </row>
    <row r="15820">
      <c r="A15820" s="1" t="n">
        <v>15819</v>
      </c>
      <c r="B15820">
        <f>TEXT(15819, "[$-0E0000]yyyy-mm-dd")</f>
        <v/>
      </c>
      <c r="C15820" t="inlineStr">
        <is>
          <t>1943-03-20</t>
        </is>
      </c>
    </row>
    <row r="15821">
      <c r="A15821" s="1" t="n">
        <v>15820</v>
      </c>
      <c r="B15821">
        <f>TEXT(15820, "[$-0E0000]yyyy-mm-dd")</f>
        <v/>
      </c>
      <c r="C15821" t="inlineStr">
        <is>
          <t>1943-03-21</t>
        </is>
      </c>
    </row>
    <row r="15822">
      <c r="A15822" s="1" t="n">
        <v>15821</v>
      </c>
      <c r="B15822">
        <f>TEXT(15821, "[$-0E0000]yyyy-mm-dd")</f>
        <v/>
      </c>
      <c r="C15822" t="inlineStr">
        <is>
          <t>1943-03-22</t>
        </is>
      </c>
    </row>
    <row r="15823">
      <c r="A15823" s="1" t="n">
        <v>15822</v>
      </c>
      <c r="B15823">
        <f>TEXT(15822, "[$-0E0000]yyyy-mm-dd")</f>
        <v/>
      </c>
      <c r="C15823" t="inlineStr">
        <is>
          <t>1943-03-23</t>
        </is>
      </c>
    </row>
    <row r="15824">
      <c r="A15824" s="1" t="n">
        <v>15823</v>
      </c>
      <c r="B15824">
        <f>TEXT(15823, "[$-0E0000]yyyy-mm-dd")</f>
        <v/>
      </c>
      <c r="C15824" t="inlineStr">
        <is>
          <t>1943-03-24</t>
        </is>
      </c>
    </row>
    <row r="15825">
      <c r="A15825" s="1" t="n">
        <v>15824</v>
      </c>
      <c r="B15825">
        <f>TEXT(15824, "[$-0E0000]yyyy-mm-dd")</f>
        <v/>
      </c>
      <c r="C15825" t="inlineStr">
        <is>
          <t>1943-03-25</t>
        </is>
      </c>
    </row>
    <row r="15826">
      <c r="A15826" s="1" t="n">
        <v>15825</v>
      </c>
      <c r="B15826">
        <f>TEXT(15825, "[$-0E0000]yyyy-mm-dd")</f>
        <v/>
      </c>
      <c r="C15826" t="inlineStr">
        <is>
          <t>1943-03-26</t>
        </is>
      </c>
    </row>
    <row r="15827">
      <c r="A15827" s="1" t="n">
        <v>15826</v>
      </c>
      <c r="B15827">
        <f>TEXT(15826, "[$-0E0000]yyyy-mm-dd")</f>
        <v/>
      </c>
      <c r="C15827" t="inlineStr">
        <is>
          <t>1943-03-27</t>
        </is>
      </c>
    </row>
    <row r="15828">
      <c r="A15828" s="1" t="n">
        <v>15827</v>
      </c>
      <c r="B15828">
        <f>TEXT(15827, "[$-0E0000]yyyy-mm-dd")</f>
        <v/>
      </c>
      <c r="C15828" t="inlineStr">
        <is>
          <t>1943-03-28</t>
        </is>
      </c>
    </row>
    <row r="15829">
      <c r="A15829" s="1" t="n">
        <v>15828</v>
      </c>
      <c r="B15829">
        <f>TEXT(15828, "[$-0E0000]yyyy-mm-dd")</f>
        <v/>
      </c>
      <c r="C15829" t="inlineStr">
        <is>
          <t>1943-03-29</t>
        </is>
      </c>
    </row>
    <row r="15830">
      <c r="A15830" s="1" t="n">
        <v>15829</v>
      </c>
      <c r="B15830">
        <f>TEXT(15829, "[$-0E0000]yyyy-mm-dd")</f>
        <v/>
      </c>
      <c r="C15830" t="inlineStr">
        <is>
          <t>1943-04-01</t>
        </is>
      </c>
    </row>
    <row r="15831">
      <c r="A15831" s="1" t="n">
        <v>15830</v>
      </c>
      <c r="B15831">
        <f>TEXT(15830, "[$-0E0000]yyyy-mm-dd")</f>
        <v/>
      </c>
      <c r="C15831" t="inlineStr">
        <is>
          <t>1943-04-02</t>
        </is>
      </c>
    </row>
    <row r="15832">
      <c r="A15832" s="1" t="n">
        <v>15831</v>
      </c>
      <c r="B15832">
        <f>TEXT(15831, "[$-0E0000]yyyy-mm-dd")</f>
        <v/>
      </c>
      <c r="C15832" t="inlineStr">
        <is>
          <t>1943-04-03</t>
        </is>
      </c>
    </row>
    <row r="15833">
      <c r="A15833" s="1" t="n">
        <v>15832</v>
      </c>
      <c r="B15833">
        <f>TEXT(15832, "[$-0E0000]yyyy-mm-dd")</f>
        <v/>
      </c>
      <c r="C15833" t="inlineStr">
        <is>
          <t>1943-04-04</t>
        </is>
      </c>
    </row>
    <row r="15834">
      <c r="A15834" s="1" t="n">
        <v>15833</v>
      </c>
      <c r="B15834">
        <f>TEXT(15833, "[$-0E0000]yyyy-mm-dd")</f>
        <v/>
      </c>
      <c r="C15834" t="inlineStr">
        <is>
          <t>1943-04-05</t>
        </is>
      </c>
    </row>
    <row r="15835">
      <c r="A15835" s="1" t="n">
        <v>15834</v>
      </c>
      <c r="B15835">
        <f>TEXT(15834, "[$-0E0000]yyyy-mm-dd")</f>
        <v/>
      </c>
      <c r="C15835" t="inlineStr">
        <is>
          <t>1943-04-06</t>
        </is>
      </c>
    </row>
    <row r="15836">
      <c r="A15836" s="1" t="n">
        <v>15835</v>
      </c>
      <c r="B15836">
        <f>TEXT(15835, "[$-0E0000]yyyy-mm-dd")</f>
        <v/>
      </c>
      <c r="C15836" t="inlineStr">
        <is>
          <t>1943-04-07</t>
        </is>
      </c>
    </row>
    <row r="15837">
      <c r="A15837" s="1" t="n">
        <v>15836</v>
      </c>
      <c r="B15837">
        <f>TEXT(15836, "[$-0E0000]yyyy-mm-dd")</f>
        <v/>
      </c>
      <c r="C15837" t="inlineStr">
        <is>
          <t>1943-04-08</t>
        </is>
      </c>
    </row>
    <row r="15838">
      <c r="A15838" s="1" t="n">
        <v>15837</v>
      </c>
      <c r="B15838">
        <f>TEXT(15837, "[$-0E0000]yyyy-mm-dd")</f>
        <v/>
      </c>
      <c r="C15838" t="inlineStr">
        <is>
          <t>1943-04-09</t>
        </is>
      </c>
    </row>
    <row r="15839">
      <c r="A15839" s="1" t="n">
        <v>15838</v>
      </c>
      <c r="B15839">
        <f>TEXT(15838, "[$-0E0000]yyyy-mm-dd")</f>
        <v/>
      </c>
      <c r="C15839" t="inlineStr">
        <is>
          <t>1943-04-10</t>
        </is>
      </c>
    </row>
    <row r="15840">
      <c r="A15840" s="1" t="n">
        <v>15839</v>
      </c>
      <c r="B15840">
        <f>TEXT(15839, "[$-0E0000]yyyy-mm-dd")</f>
        <v/>
      </c>
      <c r="C15840" t="inlineStr">
        <is>
          <t>1943-04-11</t>
        </is>
      </c>
    </row>
    <row r="15841">
      <c r="A15841" s="1" t="n">
        <v>15840</v>
      </c>
      <c r="B15841">
        <f>TEXT(15840, "[$-0E0000]yyyy-mm-dd")</f>
        <v/>
      </c>
      <c r="C15841" t="inlineStr">
        <is>
          <t>1943-04-12</t>
        </is>
      </c>
    </row>
    <row r="15842">
      <c r="A15842" s="1" t="n">
        <v>15841</v>
      </c>
      <c r="B15842">
        <f>TEXT(15841, "[$-0E0000]yyyy-mm-dd")</f>
        <v/>
      </c>
      <c r="C15842" t="inlineStr">
        <is>
          <t>1943-04-13</t>
        </is>
      </c>
    </row>
    <row r="15843">
      <c r="A15843" s="1" t="n">
        <v>15842</v>
      </c>
      <c r="B15843">
        <f>TEXT(15842, "[$-0E0000]yyyy-mm-dd")</f>
        <v/>
      </c>
      <c r="C15843" t="inlineStr">
        <is>
          <t>1943-04-14</t>
        </is>
      </c>
    </row>
    <row r="15844">
      <c r="A15844" s="1" t="n">
        <v>15843</v>
      </c>
      <c r="B15844">
        <f>TEXT(15843, "[$-0E0000]yyyy-mm-dd")</f>
        <v/>
      </c>
      <c r="C15844" t="inlineStr">
        <is>
          <t>1943-04-15</t>
        </is>
      </c>
    </row>
    <row r="15845">
      <c r="A15845" s="1" t="n">
        <v>15844</v>
      </c>
      <c r="B15845">
        <f>TEXT(15844, "[$-0E0000]yyyy-mm-dd")</f>
        <v/>
      </c>
      <c r="C15845" t="inlineStr">
        <is>
          <t>1943-04-16</t>
        </is>
      </c>
    </row>
    <row r="15846">
      <c r="A15846" s="1" t="n">
        <v>15845</v>
      </c>
      <c r="B15846">
        <f>TEXT(15845, "[$-0E0000]yyyy-mm-dd")</f>
        <v/>
      </c>
      <c r="C15846" t="inlineStr">
        <is>
          <t>1943-04-17</t>
        </is>
      </c>
    </row>
    <row r="15847">
      <c r="A15847" s="1" t="n">
        <v>15846</v>
      </c>
      <c r="B15847">
        <f>TEXT(15846, "[$-0E0000]yyyy-mm-dd")</f>
        <v/>
      </c>
      <c r="C15847" t="inlineStr">
        <is>
          <t>1943-04-18</t>
        </is>
      </c>
    </row>
    <row r="15848">
      <c r="A15848" s="1" t="n">
        <v>15847</v>
      </c>
      <c r="B15848">
        <f>TEXT(15847, "[$-0E0000]yyyy-mm-dd")</f>
        <v/>
      </c>
      <c r="C15848" t="inlineStr">
        <is>
          <t>1943-04-19</t>
        </is>
      </c>
    </row>
    <row r="15849">
      <c r="A15849" s="1" t="n">
        <v>15848</v>
      </c>
      <c r="B15849">
        <f>TEXT(15848, "[$-0E0000]yyyy-mm-dd")</f>
        <v/>
      </c>
      <c r="C15849" t="inlineStr">
        <is>
          <t>1943-04-20</t>
        </is>
      </c>
    </row>
    <row r="15850">
      <c r="A15850" s="1" t="n">
        <v>15849</v>
      </c>
      <c r="B15850">
        <f>TEXT(15849, "[$-0E0000]yyyy-mm-dd")</f>
        <v/>
      </c>
      <c r="C15850" t="inlineStr">
        <is>
          <t>1943-04-21</t>
        </is>
      </c>
    </row>
    <row r="15851">
      <c r="A15851" s="1" t="n">
        <v>15850</v>
      </c>
      <c r="B15851">
        <f>TEXT(15850, "[$-0E0000]yyyy-mm-dd")</f>
        <v/>
      </c>
      <c r="C15851" t="inlineStr">
        <is>
          <t>1943-04-22</t>
        </is>
      </c>
    </row>
    <row r="15852">
      <c r="A15852" s="1" t="n">
        <v>15851</v>
      </c>
      <c r="B15852">
        <f>TEXT(15851, "[$-0E0000]yyyy-mm-dd")</f>
        <v/>
      </c>
      <c r="C15852" t="inlineStr">
        <is>
          <t>1943-04-23</t>
        </is>
      </c>
    </row>
    <row r="15853">
      <c r="A15853" s="1" t="n">
        <v>15852</v>
      </c>
      <c r="B15853">
        <f>TEXT(15852, "[$-0E0000]yyyy-mm-dd")</f>
        <v/>
      </c>
      <c r="C15853" t="inlineStr">
        <is>
          <t>1943-04-24</t>
        </is>
      </c>
    </row>
    <row r="15854">
      <c r="A15854" s="1" t="n">
        <v>15853</v>
      </c>
      <c r="B15854">
        <f>TEXT(15853, "[$-0E0000]yyyy-mm-dd")</f>
        <v/>
      </c>
      <c r="C15854" t="inlineStr">
        <is>
          <t>1943-04-25</t>
        </is>
      </c>
    </row>
    <row r="15855">
      <c r="A15855" s="1" t="n">
        <v>15854</v>
      </c>
      <c r="B15855">
        <f>TEXT(15854, "[$-0E0000]yyyy-mm-dd")</f>
        <v/>
      </c>
      <c r="C15855" t="inlineStr">
        <is>
          <t>1943-04-26</t>
        </is>
      </c>
    </row>
    <row r="15856">
      <c r="A15856" s="1" t="n">
        <v>15855</v>
      </c>
      <c r="B15856">
        <f>TEXT(15855, "[$-0E0000]yyyy-mm-dd")</f>
        <v/>
      </c>
      <c r="C15856" t="inlineStr">
        <is>
          <t>1943-04-27</t>
        </is>
      </c>
    </row>
    <row r="15857">
      <c r="A15857" s="1" t="n">
        <v>15856</v>
      </c>
      <c r="B15857">
        <f>TEXT(15856, "[$-0E0000]yyyy-mm-dd")</f>
        <v/>
      </c>
      <c r="C15857" t="inlineStr">
        <is>
          <t>1943-04-28</t>
        </is>
      </c>
    </row>
    <row r="15858">
      <c r="A15858" s="1" t="n">
        <v>15857</v>
      </c>
      <c r="B15858">
        <f>TEXT(15857, "[$-0E0000]yyyy-mm-dd")</f>
        <v/>
      </c>
      <c r="C15858" t="inlineStr">
        <is>
          <t>1943-04-29</t>
        </is>
      </c>
    </row>
    <row r="15859">
      <c r="A15859" s="1" t="n">
        <v>15858</v>
      </c>
      <c r="B15859">
        <f>TEXT(15858, "[$-0E0000]yyyy-mm-dd")</f>
        <v/>
      </c>
      <c r="C15859" t="inlineStr">
        <is>
          <t>1943-04-30</t>
        </is>
      </c>
    </row>
    <row r="15860">
      <c r="A15860" s="1" t="n">
        <v>15859</v>
      </c>
      <c r="B15860">
        <f>TEXT(15859, "[$-0E0000]yyyy-mm-dd")</f>
        <v/>
      </c>
      <c r="C15860" t="inlineStr">
        <is>
          <t>1943-05-01</t>
        </is>
      </c>
    </row>
    <row r="15861">
      <c r="A15861" s="1" t="n">
        <v>15860</v>
      </c>
      <c r="B15861">
        <f>TEXT(15860, "[$-0E0000]yyyy-mm-dd")</f>
        <v/>
      </c>
      <c r="C15861" t="inlineStr">
        <is>
          <t>1943-05-02</t>
        </is>
      </c>
    </row>
    <row r="15862">
      <c r="A15862" s="1" t="n">
        <v>15861</v>
      </c>
      <c r="B15862">
        <f>TEXT(15861, "[$-0E0000]yyyy-mm-dd")</f>
        <v/>
      </c>
      <c r="C15862" t="inlineStr">
        <is>
          <t>1943-05-03</t>
        </is>
      </c>
    </row>
    <row r="15863">
      <c r="A15863" s="1" t="n">
        <v>15862</v>
      </c>
      <c r="B15863">
        <f>TEXT(15862, "[$-0E0000]yyyy-mm-dd")</f>
        <v/>
      </c>
      <c r="C15863" t="inlineStr">
        <is>
          <t>1943-05-04</t>
        </is>
      </c>
    </row>
    <row r="15864">
      <c r="A15864" s="1" t="n">
        <v>15863</v>
      </c>
      <c r="B15864">
        <f>TEXT(15863, "[$-0E0000]yyyy-mm-dd")</f>
        <v/>
      </c>
      <c r="C15864" t="inlineStr">
        <is>
          <t>1943-05-05</t>
        </is>
      </c>
    </row>
    <row r="15865">
      <c r="A15865" s="1" t="n">
        <v>15864</v>
      </c>
      <c r="B15865">
        <f>TEXT(15864, "[$-0E0000]yyyy-mm-dd")</f>
        <v/>
      </c>
      <c r="C15865" t="inlineStr">
        <is>
          <t>1943-05-06</t>
        </is>
      </c>
    </row>
    <row r="15866">
      <c r="A15866" s="1" t="n">
        <v>15865</v>
      </c>
      <c r="B15866">
        <f>TEXT(15865, "[$-0E0000]yyyy-mm-dd")</f>
        <v/>
      </c>
      <c r="C15866" t="inlineStr">
        <is>
          <t>1943-05-07</t>
        </is>
      </c>
    </row>
    <row r="15867">
      <c r="A15867" s="1" t="n">
        <v>15866</v>
      </c>
      <c r="B15867">
        <f>TEXT(15866, "[$-0E0000]yyyy-mm-dd")</f>
        <v/>
      </c>
      <c r="C15867" t="inlineStr">
        <is>
          <t>1943-05-08</t>
        </is>
      </c>
    </row>
    <row r="15868">
      <c r="A15868" s="1" t="n">
        <v>15867</v>
      </c>
      <c r="B15868">
        <f>TEXT(15867, "[$-0E0000]yyyy-mm-dd")</f>
        <v/>
      </c>
      <c r="C15868" t="inlineStr">
        <is>
          <t>1943-05-09</t>
        </is>
      </c>
    </row>
    <row r="15869">
      <c r="A15869" s="1" t="n">
        <v>15868</v>
      </c>
      <c r="B15869">
        <f>TEXT(15868, "[$-0E0000]yyyy-mm-dd")</f>
        <v/>
      </c>
      <c r="C15869" t="inlineStr">
        <is>
          <t>1943-05-10</t>
        </is>
      </c>
    </row>
    <row r="15870">
      <c r="A15870" s="1" t="n">
        <v>15869</v>
      </c>
      <c r="B15870">
        <f>TEXT(15869, "[$-0E0000]yyyy-mm-dd")</f>
        <v/>
      </c>
      <c r="C15870" t="inlineStr">
        <is>
          <t>1943-05-11</t>
        </is>
      </c>
    </row>
    <row r="15871">
      <c r="A15871" s="1" t="n">
        <v>15870</v>
      </c>
      <c r="B15871">
        <f>TEXT(15870, "[$-0E0000]yyyy-mm-dd")</f>
        <v/>
      </c>
      <c r="C15871" t="inlineStr">
        <is>
          <t>1943-05-12</t>
        </is>
      </c>
    </row>
    <row r="15872">
      <c r="A15872" s="1" t="n">
        <v>15871</v>
      </c>
      <c r="B15872">
        <f>TEXT(15871, "[$-0E0000]yyyy-mm-dd")</f>
        <v/>
      </c>
      <c r="C15872" t="inlineStr">
        <is>
          <t>1943-05-13</t>
        </is>
      </c>
    </row>
    <row r="15873">
      <c r="A15873" s="1" t="n">
        <v>15872</v>
      </c>
      <c r="B15873">
        <f>TEXT(15872, "[$-0E0000]yyyy-mm-dd")</f>
        <v/>
      </c>
      <c r="C15873" t="inlineStr">
        <is>
          <t>1943-05-14</t>
        </is>
      </c>
    </row>
    <row r="15874">
      <c r="A15874" s="1" t="n">
        <v>15873</v>
      </c>
      <c r="B15874">
        <f>TEXT(15873, "[$-0E0000]yyyy-mm-dd")</f>
        <v/>
      </c>
      <c r="C15874" t="inlineStr">
        <is>
          <t>1943-05-15</t>
        </is>
      </c>
    </row>
    <row r="15875">
      <c r="A15875" s="1" t="n">
        <v>15874</v>
      </c>
      <c r="B15875">
        <f>TEXT(15874, "[$-0E0000]yyyy-mm-dd")</f>
        <v/>
      </c>
      <c r="C15875" t="inlineStr">
        <is>
          <t>1943-05-16</t>
        </is>
      </c>
    </row>
    <row r="15876">
      <c r="A15876" s="1" t="n">
        <v>15875</v>
      </c>
      <c r="B15876">
        <f>TEXT(15875, "[$-0E0000]yyyy-mm-dd")</f>
        <v/>
      </c>
      <c r="C15876" t="inlineStr">
        <is>
          <t>1943-05-17</t>
        </is>
      </c>
    </row>
    <row r="15877">
      <c r="A15877" s="1" t="n">
        <v>15876</v>
      </c>
      <c r="B15877">
        <f>TEXT(15876, "[$-0E0000]yyyy-mm-dd")</f>
        <v/>
      </c>
      <c r="C15877" t="inlineStr">
        <is>
          <t>1943-05-18</t>
        </is>
      </c>
    </row>
    <row r="15878">
      <c r="A15878" s="1" t="n">
        <v>15877</v>
      </c>
      <c r="B15878">
        <f>TEXT(15877, "[$-0E0000]yyyy-mm-dd")</f>
        <v/>
      </c>
      <c r="C15878" t="inlineStr">
        <is>
          <t>1943-05-19</t>
        </is>
      </c>
    </row>
    <row r="15879">
      <c r="A15879" s="1" t="n">
        <v>15878</v>
      </c>
      <c r="B15879">
        <f>TEXT(15878, "[$-0E0000]yyyy-mm-dd")</f>
        <v/>
      </c>
      <c r="C15879" t="inlineStr">
        <is>
          <t>1943-05-20</t>
        </is>
      </c>
    </row>
    <row r="15880">
      <c r="A15880" s="1" t="n">
        <v>15879</v>
      </c>
      <c r="B15880">
        <f>TEXT(15879, "[$-0E0000]yyyy-mm-dd")</f>
        <v/>
      </c>
      <c r="C15880" t="inlineStr">
        <is>
          <t>1943-05-21</t>
        </is>
      </c>
    </row>
    <row r="15881">
      <c r="A15881" s="1" t="n">
        <v>15880</v>
      </c>
      <c r="B15881">
        <f>TEXT(15880, "[$-0E0000]yyyy-mm-dd")</f>
        <v/>
      </c>
      <c r="C15881" t="inlineStr">
        <is>
          <t>1943-05-22</t>
        </is>
      </c>
    </row>
    <row r="15882">
      <c r="A15882" s="1" t="n">
        <v>15881</v>
      </c>
      <c r="B15882">
        <f>TEXT(15881, "[$-0E0000]yyyy-mm-dd")</f>
        <v/>
      </c>
      <c r="C15882" t="inlineStr">
        <is>
          <t>1943-05-23</t>
        </is>
      </c>
    </row>
    <row r="15883">
      <c r="A15883" s="1" t="n">
        <v>15882</v>
      </c>
      <c r="B15883">
        <f>TEXT(15882, "[$-0E0000]yyyy-mm-dd")</f>
        <v/>
      </c>
      <c r="C15883" t="inlineStr">
        <is>
          <t>1943-05-24</t>
        </is>
      </c>
    </row>
    <row r="15884">
      <c r="A15884" s="1" t="n">
        <v>15883</v>
      </c>
      <c r="B15884">
        <f>TEXT(15883, "[$-0E0000]yyyy-mm-dd")</f>
        <v/>
      </c>
      <c r="C15884" t="inlineStr">
        <is>
          <t>1943-05-25</t>
        </is>
      </c>
    </row>
    <row r="15885">
      <c r="A15885" s="1" t="n">
        <v>15884</v>
      </c>
      <c r="B15885">
        <f>TEXT(15884, "[$-0E0000]yyyy-mm-dd")</f>
        <v/>
      </c>
      <c r="C15885" t="inlineStr">
        <is>
          <t>1943-05-26</t>
        </is>
      </c>
    </row>
    <row r="15886">
      <c r="A15886" s="1" t="n">
        <v>15885</v>
      </c>
      <c r="B15886">
        <f>TEXT(15885, "[$-0E0000]yyyy-mm-dd")</f>
        <v/>
      </c>
      <c r="C15886" t="inlineStr">
        <is>
          <t>1943-05-27</t>
        </is>
      </c>
    </row>
    <row r="15887">
      <c r="A15887" s="1" t="n">
        <v>15886</v>
      </c>
      <c r="B15887">
        <f>TEXT(15886, "[$-0E0000]yyyy-mm-dd")</f>
        <v/>
      </c>
      <c r="C15887" t="inlineStr">
        <is>
          <t>1943-05-28</t>
        </is>
      </c>
    </row>
    <row r="15888">
      <c r="A15888" s="1" t="n">
        <v>15887</v>
      </c>
      <c r="B15888">
        <f>TEXT(15887, "[$-0E0000]yyyy-mm-dd")</f>
        <v/>
      </c>
      <c r="C15888" t="inlineStr">
        <is>
          <t>1943-05-29</t>
        </is>
      </c>
    </row>
    <row r="15889">
      <c r="A15889" s="1" t="n">
        <v>15888</v>
      </c>
      <c r="B15889">
        <f>TEXT(15888, "[$-0E0000]yyyy-mm-dd")</f>
        <v/>
      </c>
      <c r="C15889" t="inlineStr">
        <is>
          <t>1943-06-01</t>
        </is>
      </c>
    </row>
    <row r="15890">
      <c r="A15890" s="1" t="n">
        <v>15889</v>
      </c>
      <c r="B15890">
        <f>TEXT(15889, "[$-0E0000]yyyy-mm-dd")</f>
        <v/>
      </c>
      <c r="C15890" t="inlineStr">
        <is>
          <t>1943-06-02</t>
        </is>
      </c>
    </row>
    <row r="15891">
      <c r="A15891" s="1" t="n">
        <v>15890</v>
      </c>
      <c r="B15891">
        <f>TEXT(15890, "[$-0E0000]yyyy-mm-dd")</f>
        <v/>
      </c>
      <c r="C15891" t="inlineStr">
        <is>
          <t>1943-06-03</t>
        </is>
      </c>
    </row>
    <row r="15892">
      <c r="A15892" s="1" t="n">
        <v>15891</v>
      </c>
      <c r="B15892">
        <f>TEXT(15891, "[$-0E0000]yyyy-mm-dd")</f>
        <v/>
      </c>
      <c r="C15892" t="inlineStr">
        <is>
          <t>1943-06-04</t>
        </is>
      </c>
    </row>
    <row r="15893">
      <c r="A15893" s="1" t="n">
        <v>15892</v>
      </c>
      <c r="B15893">
        <f>TEXT(15892, "[$-0E0000]yyyy-mm-dd")</f>
        <v/>
      </c>
      <c r="C15893" t="inlineStr">
        <is>
          <t>1943-06-05</t>
        </is>
      </c>
    </row>
    <row r="15894">
      <c r="A15894" s="1" t="n">
        <v>15893</v>
      </c>
      <c r="B15894">
        <f>TEXT(15893, "[$-0E0000]yyyy-mm-dd")</f>
        <v/>
      </c>
      <c r="C15894" t="inlineStr">
        <is>
          <t>1943-06-06</t>
        </is>
      </c>
    </row>
    <row r="15895">
      <c r="A15895" s="1" t="n">
        <v>15894</v>
      </c>
      <c r="B15895">
        <f>TEXT(15894, "[$-0E0000]yyyy-mm-dd")</f>
        <v/>
      </c>
      <c r="C15895" t="inlineStr">
        <is>
          <t>1943-06-07</t>
        </is>
      </c>
    </row>
    <row r="15896">
      <c r="A15896" s="1" t="n">
        <v>15895</v>
      </c>
      <c r="B15896">
        <f>TEXT(15895, "[$-0E0000]yyyy-mm-dd")</f>
        <v/>
      </c>
      <c r="C15896" t="inlineStr">
        <is>
          <t>1943-06-08</t>
        </is>
      </c>
    </row>
    <row r="15897">
      <c r="A15897" s="1" t="n">
        <v>15896</v>
      </c>
      <c r="B15897">
        <f>TEXT(15896, "[$-0E0000]yyyy-mm-dd")</f>
        <v/>
      </c>
      <c r="C15897" t="inlineStr">
        <is>
          <t>1943-06-09</t>
        </is>
      </c>
    </row>
    <row r="15898">
      <c r="A15898" s="1" t="n">
        <v>15897</v>
      </c>
      <c r="B15898">
        <f>TEXT(15897, "[$-0E0000]yyyy-mm-dd")</f>
        <v/>
      </c>
      <c r="C15898" t="inlineStr">
        <is>
          <t>1943-06-10</t>
        </is>
      </c>
    </row>
    <row r="15899">
      <c r="A15899" s="1" t="n">
        <v>15898</v>
      </c>
      <c r="B15899">
        <f>TEXT(15898, "[$-0E0000]yyyy-mm-dd")</f>
        <v/>
      </c>
      <c r="C15899" t="inlineStr">
        <is>
          <t>1943-06-11</t>
        </is>
      </c>
    </row>
    <row r="15900">
      <c r="A15900" s="1" t="n">
        <v>15899</v>
      </c>
      <c r="B15900">
        <f>TEXT(15899, "[$-0E0000]yyyy-mm-dd")</f>
        <v/>
      </c>
      <c r="C15900" t="inlineStr">
        <is>
          <t>1943-06-12</t>
        </is>
      </c>
    </row>
    <row r="15901">
      <c r="A15901" s="1" t="n">
        <v>15900</v>
      </c>
      <c r="B15901">
        <f>TEXT(15900, "[$-0E0000]yyyy-mm-dd")</f>
        <v/>
      </c>
      <c r="C15901" t="inlineStr">
        <is>
          <t>1943-06-13</t>
        </is>
      </c>
    </row>
    <row r="15902">
      <c r="A15902" s="1" t="n">
        <v>15901</v>
      </c>
      <c r="B15902">
        <f>TEXT(15901, "[$-0E0000]yyyy-mm-dd")</f>
        <v/>
      </c>
      <c r="C15902" t="inlineStr">
        <is>
          <t>1943-06-14</t>
        </is>
      </c>
    </row>
    <row r="15903">
      <c r="A15903" s="1" t="n">
        <v>15902</v>
      </c>
      <c r="B15903">
        <f>TEXT(15902, "[$-0E0000]yyyy-mm-dd")</f>
        <v/>
      </c>
      <c r="C15903" t="inlineStr">
        <is>
          <t>1943-06-15</t>
        </is>
      </c>
    </row>
    <row r="15904">
      <c r="A15904" s="1" t="n">
        <v>15903</v>
      </c>
      <c r="B15904">
        <f>TEXT(15903, "[$-0E0000]yyyy-mm-dd")</f>
        <v/>
      </c>
      <c r="C15904" t="inlineStr">
        <is>
          <t>1943-06-16</t>
        </is>
      </c>
    </row>
    <row r="15905">
      <c r="A15905" s="1" t="n">
        <v>15904</v>
      </c>
      <c r="B15905">
        <f>TEXT(15904, "[$-0E0000]yyyy-mm-dd")</f>
        <v/>
      </c>
      <c r="C15905" t="inlineStr">
        <is>
          <t>1943-06-17</t>
        </is>
      </c>
    </row>
    <row r="15906">
      <c r="A15906" s="1" t="n">
        <v>15905</v>
      </c>
      <c r="B15906">
        <f>TEXT(15905, "[$-0E0000]yyyy-mm-dd")</f>
        <v/>
      </c>
      <c r="C15906" t="inlineStr">
        <is>
          <t>1943-06-18</t>
        </is>
      </c>
    </row>
    <row r="15907">
      <c r="A15907" s="1" t="n">
        <v>15906</v>
      </c>
      <c r="B15907">
        <f>TEXT(15906, "[$-0E0000]yyyy-mm-dd")</f>
        <v/>
      </c>
      <c r="C15907" t="inlineStr">
        <is>
          <t>1943-06-19</t>
        </is>
      </c>
    </row>
    <row r="15908">
      <c r="A15908" s="1" t="n">
        <v>15907</v>
      </c>
      <c r="B15908">
        <f>TEXT(15907, "[$-0E0000]yyyy-mm-dd")</f>
        <v/>
      </c>
      <c r="C15908" t="inlineStr">
        <is>
          <t>1943-06-20</t>
        </is>
      </c>
    </row>
    <row r="15909">
      <c r="A15909" s="1" t="n">
        <v>15908</v>
      </c>
      <c r="B15909">
        <f>TEXT(15908, "[$-0E0000]yyyy-mm-dd")</f>
        <v/>
      </c>
      <c r="C15909" t="inlineStr">
        <is>
          <t>1943-06-21</t>
        </is>
      </c>
    </row>
    <row r="15910">
      <c r="A15910" s="1" t="n">
        <v>15909</v>
      </c>
      <c r="B15910">
        <f>TEXT(15909, "[$-0E0000]yyyy-mm-dd")</f>
        <v/>
      </c>
      <c r="C15910" t="inlineStr">
        <is>
          <t>1943-06-22</t>
        </is>
      </c>
    </row>
    <row r="15911">
      <c r="A15911" s="1" t="n">
        <v>15910</v>
      </c>
      <c r="B15911">
        <f>TEXT(15910, "[$-0E0000]yyyy-mm-dd")</f>
        <v/>
      </c>
      <c r="C15911" t="inlineStr">
        <is>
          <t>1943-06-23</t>
        </is>
      </c>
    </row>
    <row r="15912">
      <c r="A15912" s="1" t="n">
        <v>15911</v>
      </c>
      <c r="B15912">
        <f>TEXT(15911, "[$-0E0000]yyyy-mm-dd")</f>
        <v/>
      </c>
      <c r="C15912" t="inlineStr">
        <is>
          <t>1943-06-24</t>
        </is>
      </c>
    </row>
    <row r="15913">
      <c r="A15913" s="1" t="n">
        <v>15912</v>
      </c>
      <c r="B15913">
        <f>TEXT(15912, "[$-0E0000]yyyy-mm-dd")</f>
        <v/>
      </c>
      <c r="C15913" t="inlineStr">
        <is>
          <t>1943-06-25</t>
        </is>
      </c>
    </row>
    <row r="15914">
      <c r="A15914" s="1" t="n">
        <v>15913</v>
      </c>
      <c r="B15914">
        <f>TEXT(15913, "[$-0E0000]yyyy-mm-dd")</f>
        <v/>
      </c>
      <c r="C15914" t="inlineStr">
        <is>
          <t>1943-06-26</t>
        </is>
      </c>
    </row>
    <row r="15915">
      <c r="A15915" s="1" t="n">
        <v>15914</v>
      </c>
      <c r="B15915">
        <f>TEXT(15914, "[$-0E0000]yyyy-mm-dd")</f>
        <v/>
      </c>
      <c r="C15915" t="inlineStr">
        <is>
          <t>1943-06-27</t>
        </is>
      </c>
    </row>
    <row r="15916">
      <c r="A15916" s="1" t="n">
        <v>15915</v>
      </c>
      <c r="B15916">
        <f>TEXT(15915, "[$-0E0000]yyyy-mm-dd")</f>
        <v/>
      </c>
      <c r="C15916" t="inlineStr">
        <is>
          <t>1943-06-28</t>
        </is>
      </c>
    </row>
    <row r="15917">
      <c r="A15917" s="1" t="n">
        <v>15916</v>
      </c>
      <c r="B15917">
        <f>TEXT(15916, "[$-0E0000]yyyy-mm-dd")</f>
        <v/>
      </c>
      <c r="C15917" t="inlineStr">
        <is>
          <t>1943-06-29</t>
        </is>
      </c>
    </row>
    <row r="15918">
      <c r="A15918" s="1" t="n">
        <v>15917</v>
      </c>
      <c r="B15918">
        <f>TEXT(15917, "[$-0E0000]yyyy-mm-dd")</f>
        <v/>
      </c>
      <c r="C15918" t="inlineStr">
        <is>
          <t>1943-06-30</t>
        </is>
      </c>
    </row>
    <row r="15919">
      <c r="A15919" s="1" t="n">
        <v>15918</v>
      </c>
      <c r="B15919">
        <f>TEXT(15918, "[$-0E0000]yyyy-mm-dd")</f>
        <v/>
      </c>
      <c r="C15919" t="inlineStr">
        <is>
          <t>1943-07-01</t>
        </is>
      </c>
    </row>
    <row r="15920">
      <c r="A15920" s="1" t="n">
        <v>15919</v>
      </c>
      <c r="B15920">
        <f>TEXT(15919, "[$-0E0000]yyyy-mm-dd")</f>
        <v/>
      </c>
      <c r="C15920" t="inlineStr">
        <is>
          <t>1943-07-02</t>
        </is>
      </c>
    </row>
    <row r="15921">
      <c r="A15921" s="1" t="n">
        <v>15920</v>
      </c>
      <c r="B15921">
        <f>TEXT(15920, "[$-0E0000]yyyy-mm-dd")</f>
        <v/>
      </c>
      <c r="C15921" t="inlineStr">
        <is>
          <t>1943-07-03</t>
        </is>
      </c>
    </row>
    <row r="15922">
      <c r="A15922" s="1" t="n">
        <v>15921</v>
      </c>
      <c r="B15922">
        <f>TEXT(15921, "[$-0E0000]yyyy-mm-dd")</f>
        <v/>
      </c>
      <c r="C15922" t="inlineStr">
        <is>
          <t>1943-07-04</t>
        </is>
      </c>
    </row>
    <row r="15923">
      <c r="A15923" s="1" t="n">
        <v>15922</v>
      </c>
      <c r="B15923">
        <f>TEXT(15922, "[$-0E0000]yyyy-mm-dd")</f>
        <v/>
      </c>
      <c r="C15923" t="inlineStr">
        <is>
          <t>1943-07-05</t>
        </is>
      </c>
    </row>
    <row r="15924">
      <c r="A15924" s="1" t="n">
        <v>15923</v>
      </c>
      <c r="B15924">
        <f>TEXT(15923, "[$-0E0000]yyyy-mm-dd")</f>
        <v/>
      </c>
      <c r="C15924" t="inlineStr">
        <is>
          <t>1943-07-06</t>
        </is>
      </c>
    </row>
    <row r="15925">
      <c r="A15925" s="1" t="n">
        <v>15924</v>
      </c>
      <c r="B15925">
        <f>TEXT(15924, "[$-0E0000]yyyy-mm-dd")</f>
        <v/>
      </c>
      <c r="C15925" t="inlineStr">
        <is>
          <t>1943-07-07</t>
        </is>
      </c>
    </row>
    <row r="15926">
      <c r="A15926" s="1" t="n">
        <v>15925</v>
      </c>
      <c r="B15926">
        <f>TEXT(15925, "[$-0E0000]yyyy-mm-dd")</f>
        <v/>
      </c>
      <c r="C15926" t="inlineStr">
        <is>
          <t>1943-07-08</t>
        </is>
      </c>
    </row>
    <row r="15927">
      <c r="A15927" s="1" t="n">
        <v>15926</v>
      </c>
      <c r="B15927">
        <f>TEXT(15926, "[$-0E0000]yyyy-mm-dd")</f>
        <v/>
      </c>
      <c r="C15927" t="inlineStr">
        <is>
          <t>1943-07-09</t>
        </is>
      </c>
    </row>
    <row r="15928">
      <c r="A15928" s="1" t="n">
        <v>15927</v>
      </c>
      <c r="B15928">
        <f>TEXT(15927, "[$-0E0000]yyyy-mm-dd")</f>
        <v/>
      </c>
      <c r="C15928" t="inlineStr">
        <is>
          <t>1943-07-10</t>
        </is>
      </c>
    </row>
    <row r="15929">
      <c r="A15929" s="1" t="n">
        <v>15928</v>
      </c>
      <c r="B15929">
        <f>TEXT(15928, "[$-0E0000]yyyy-mm-dd")</f>
        <v/>
      </c>
      <c r="C15929" t="inlineStr">
        <is>
          <t>1943-07-11</t>
        </is>
      </c>
    </row>
    <row r="15930">
      <c r="A15930" s="1" t="n">
        <v>15929</v>
      </c>
      <c r="B15930">
        <f>TEXT(15929, "[$-0E0000]yyyy-mm-dd")</f>
        <v/>
      </c>
      <c r="C15930" t="inlineStr">
        <is>
          <t>1943-07-12</t>
        </is>
      </c>
    </row>
    <row r="15931">
      <c r="A15931" s="1" t="n">
        <v>15930</v>
      </c>
      <c r="B15931">
        <f>TEXT(15930, "[$-0E0000]yyyy-mm-dd")</f>
        <v/>
      </c>
      <c r="C15931" t="inlineStr">
        <is>
          <t>1943-07-13</t>
        </is>
      </c>
    </row>
    <row r="15932">
      <c r="A15932" s="1" t="n">
        <v>15931</v>
      </c>
      <c r="B15932">
        <f>TEXT(15931, "[$-0E0000]yyyy-mm-dd")</f>
        <v/>
      </c>
      <c r="C15932" t="inlineStr">
        <is>
          <t>1943-07-14</t>
        </is>
      </c>
    </row>
    <row r="15933">
      <c r="A15933" s="1" t="n">
        <v>15932</v>
      </c>
      <c r="B15933">
        <f>TEXT(15932, "[$-0E0000]yyyy-mm-dd")</f>
        <v/>
      </c>
      <c r="C15933" t="inlineStr">
        <is>
          <t>1943-07-15</t>
        </is>
      </c>
    </row>
    <row r="15934">
      <c r="A15934" s="1" t="n">
        <v>15933</v>
      </c>
      <c r="B15934">
        <f>TEXT(15933, "[$-0E0000]yyyy-mm-dd")</f>
        <v/>
      </c>
      <c r="C15934" t="inlineStr">
        <is>
          <t>1943-07-16</t>
        </is>
      </c>
    </row>
    <row r="15935">
      <c r="A15935" s="1" t="n">
        <v>15934</v>
      </c>
      <c r="B15935">
        <f>TEXT(15934, "[$-0E0000]yyyy-mm-dd")</f>
        <v/>
      </c>
      <c r="C15935" t="inlineStr">
        <is>
          <t>1943-07-17</t>
        </is>
      </c>
    </row>
    <row r="15936">
      <c r="A15936" s="1" t="n">
        <v>15935</v>
      </c>
      <c r="B15936">
        <f>TEXT(15935, "[$-0E0000]yyyy-mm-dd")</f>
        <v/>
      </c>
      <c r="C15936" t="inlineStr">
        <is>
          <t>1943-07-18</t>
        </is>
      </c>
    </row>
    <row r="15937">
      <c r="A15937" s="1" t="n">
        <v>15936</v>
      </c>
      <c r="B15937">
        <f>TEXT(15936, "[$-0E0000]yyyy-mm-dd")</f>
        <v/>
      </c>
      <c r="C15937" t="inlineStr">
        <is>
          <t>1943-07-19</t>
        </is>
      </c>
    </row>
    <row r="15938">
      <c r="A15938" s="1" t="n">
        <v>15937</v>
      </c>
      <c r="B15938">
        <f>TEXT(15937, "[$-0E0000]yyyy-mm-dd")</f>
        <v/>
      </c>
      <c r="C15938" t="inlineStr">
        <is>
          <t>1943-07-20</t>
        </is>
      </c>
    </row>
    <row r="15939">
      <c r="A15939" s="1" t="n">
        <v>15938</v>
      </c>
      <c r="B15939">
        <f>TEXT(15938, "[$-0E0000]yyyy-mm-dd")</f>
        <v/>
      </c>
      <c r="C15939" t="inlineStr">
        <is>
          <t>1943-07-21</t>
        </is>
      </c>
    </row>
    <row r="15940">
      <c r="A15940" s="1" t="n">
        <v>15939</v>
      </c>
      <c r="B15940">
        <f>TEXT(15939, "[$-0E0000]yyyy-mm-dd")</f>
        <v/>
      </c>
      <c r="C15940" t="inlineStr">
        <is>
          <t>1943-07-22</t>
        </is>
      </c>
    </row>
    <row r="15941">
      <c r="A15941" s="1" t="n">
        <v>15940</v>
      </c>
      <c r="B15941">
        <f>TEXT(15940, "[$-0E0000]yyyy-mm-dd")</f>
        <v/>
      </c>
      <c r="C15941" t="inlineStr">
        <is>
          <t>1943-07-23</t>
        </is>
      </c>
    </row>
    <row r="15942">
      <c r="A15942" s="1" t="n">
        <v>15941</v>
      </c>
      <c r="B15942">
        <f>TEXT(15941, "[$-0E0000]yyyy-mm-dd")</f>
        <v/>
      </c>
      <c r="C15942" t="inlineStr">
        <is>
          <t>1943-07-24</t>
        </is>
      </c>
    </row>
    <row r="15943">
      <c r="A15943" s="1" t="n">
        <v>15942</v>
      </c>
      <c r="B15943">
        <f>TEXT(15942, "[$-0E0000]yyyy-mm-dd")</f>
        <v/>
      </c>
      <c r="C15943" t="inlineStr">
        <is>
          <t>1943-07-25</t>
        </is>
      </c>
    </row>
    <row r="15944">
      <c r="A15944" s="1" t="n">
        <v>15943</v>
      </c>
      <c r="B15944">
        <f>TEXT(15943, "[$-0E0000]yyyy-mm-dd")</f>
        <v/>
      </c>
      <c r="C15944" t="inlineStr">
        <is>
          <t>1943-07-26</t>
        </is>
      </c>
    </row>
    <row r="15945">
      <c r="A15945" s="1" t="n">
        <v>15944</v>
      </c>
      <c r="B15945">
        <f>TEXT(15944, "[$-0E0000]yyyy-mm-dd")</f>
        <v/>
      </c>
      <c r="C15945" t="inlineStr">
        <is>
          <t>1943-07-27</t>
        </is>
      </c>
    </row>
    <row r="15946">
      <c r="A15946" s="1" t="n">
        <v>15945</v>
      </c>
      <c r="B15946">
        <f>TEXT(15945, "[$-0E0000]yyyy-mm-dd")</f>
        <v/>
      </c>
      <c r="C15946" t="inlineStr">
        <is>
          <t>1943-07-28</t>
        </is>
      </c>
    </row>
    <row r="15947">
      <c r="A15947" s="1" t="n">
        <v>15946</v>
      </c>
      <c r="B15947">
        <f>TEXT(15946, "[$-0E0000]yyyy-mm-dd")</f>
        <v/>
      </c>
      <c r="C15947" t="inlineStr">
        <is>
          <t>1943-07-29</t>
        </is>
      </c>
    </row>
    <row r="15948">
      <c r="A15948" s="1" t="n">
        <v>15947</v>
      </c>
      <c r="B15948">
        <f>TEXT(15947, "[$-0E0000]yyyy-mm-dd")</f>
        <v/>
      </c>
      <c r="C15948" t="inlineStr">
        <is>
          <t>1943-07-30</t>
        </is>
      </c>
    </row>
    <row r="15949">
      <c r="A15949" s="1" t="n">
        <v>15948</v>
      </c>
      <c r="B15949">
        <f>TEXT(15948, "[$-0E0000]yyyy-mm-dd")</f>
        <v/>
      </c>
      <c r="C15949" t="inlineStr">
        <is>
          <t>1943-08-01</t>
        </is>
      </c>
    </row>
    <row r="15950">
      <c r="A15950" s="1" t="n">
        <v>15949</v>
      </c>
      <c r="B15950">
        <f>TEXT(15949, "[$-0E0000]yyyy-mm-dd")</f>
        <v/>
      </c>
      <c r="C15950" t="inlineStr">
        <is>
          <t>1943-08-02</t>
        </is>
      </c>
    </row>
    <row r="15951">
      <c r="A15951" s="1" t="n">
        <v>15950</v>
      </c>
      <c r="B15951">
        <f>TEXT(15950, "[$-0E0000]yyyy-mm-dd")</f>
        <v/>
      </c>
      <c r="C15951" t="inlineStr">
        <is>
          <t>1943-08-03</t>
        </is>
      </c>
    </row>
    <row r="15952">
      <c r="A15952" s="1" t="n">
        <v>15951</v>
      </c>
      <c r="B15952">
        <f>TEXT(15951, "[$-0E0000]yyyy-mm-dd")</f>
        <v/>
      </c>
      <c r="C15952" t="inlineStr">
        <is>
          <t>1943-08-04</t>
        </is>
      </c>
    </row>
    <row r="15953">
      <c r="A15953" s="1" t="n">
        <v>15952</v>
      </c>
      <c r="B15953">
        <f>TEXT(15952, "[$-0E0000]yyyy-mm-dd")</f>
        <v/>
      </c>
      <c r="C15953" t="inlineStr">
        <is>
          <t>1943-08-05</t>
        </is>
      </c>
    </row>
    <row r="15954">
      <c r="A15954" s="1" t="n">
        <v>15953</v>
      </c>
      <c r="B15954">
        <f>TEXT(15953, "[$-0E0000]yyyy-mm-dd")</f>
        <v/>
      </c>
      <c r="C15954" t="inlineStr">
        <is>
          <t>1943-08-06</t>
        </is>
      </c>
    </row>
    <row r="15955">
      <c r="A15955" s="1" t="n">
        <v>15954</v>
      </c>
      <c r="B15955">
        <f>TEXT(15954, "[$-0E0000]yyyy-mm-dd")</f>
        <v/>
      </c>
      <c r="C15955" t="inlineStr">
        <is>
          <t>1943-08-07</t>
        </is>
      </c>
    </row>
    <row r="15956">
      <c r="A15956" s="1" t="n">
        <v>15955</v>
      </c>
      <c r="B15956">
        <f>TEXT(15955, "[$-0E0000]yyyy-mm-dd")</f>
        <v/>
      </c>
      <c r="C15956" t="inlineStr">
        <is>
          <t>1943-08-08</t>
        </is>
      </c>
    </row>
    <row r="15957">
      <c r="A15957" s="1" t="n">
        <v>15956</v>
      </c>
      <c r="B15957">
        <f>TEXT(15956, "[$-0E0000]yyyy-mm-dd")</f>
        <v/>
      </c>
      <c r="C15957" t="inlineStr">
        <is>
          <t>1943-08-09</t>
        </is>
      </c>
    </row>
    <row r="15958">
      <c r="A15958" s="1" t="n">
        <v>15957</v>
      </c>
      <c r="B15958">
        <f>TEXT(15957, "[$-0E0000]yyyy-mm-dd")</f>
        <v/>
      </c>
      <c r="C15958" t="inlineStr">
        <is>
          <t>1943-08-10</t>
        </is>
      </c>
    </row>
    <row r="15959">
      <c r="A15959" s="1" t="n">
        <v>15958</v>
      </c>
      <c r="B15959">
        <f>TEXT(15958, "[$-0E0000]yyyy-mm-dd")</f>
        <v/>
      </c>
      <c r="C15959" t="inlineStr">
        <is>
          <t>1943-08-11</t>
        </is>
      </c>
    </row>
    <row r="15960">
      <c r="A15960" s="1" t="n">
        <v>15959</v>
      </c>
      <c r="B15960">
        <f>TEXT(15959, "[$-0E0000]yyyy-mm-dd")</f>
        <v/>
      </c>
      <c r="C15960" t="inlineStr">
        <is>
          <t>1943-08-12</t>
        </is>
      </c>
    </row>
    <row r="15961">
      <c r="A15961" s="1" t="n">
        <v>15960</v>
      </c>
      <c r="B15961">
        <f>TEXT(15960, "[$-0E0000]yyyy-mm-dd")</f>
        <v/>
      </c>
      <c r="C15961" t="inlineStr">
        <is>
          <t>1943-08-13</t>
        </is>
      </c>
    </row>
    <row r="15962">
      <c r="A15962" s="1" t="n">
        <v>15961</v>
      </c>
      <c r="B15962">
        <f>TEXT(15961, "[$-0E0000]yyyy-mm-dd")</f>
        <v/>
      </c>
      <c r="C15962" t="inlineStr">
        <is>
          <t>1943-08-14</t>
        </is>
      </c>
    </row>
    <row r="15963">
      <c r="A15963" s="1" t="n">
        <v>15962</v>
      </c>
      <c r="B15963">
        <f>TEXT(15962, "[$-0E0000]yyyy-mm-dd")</f>
        <v/>
      </c>
      <c r="C15963" t="inlineStr">
        <is>
          <t>1943-08-15</t>
        </is>
      </c>
    </row>
    <row r="15964">
      <c r="A15964" s="1" t="n">
        <v>15963</v>
      </c>
      <c r="B15964">
        <f>TEXT(15963, "[$-0E0000]yyyy-mm-dd")</f>
        <v/>
      </c>
      <c r="C15964" t="inlineStr">
        <is>
          <t>1943-08-16</t>
        </is>
      </c>
    </row>
    <row r="15965">
      <c r="A15965" s="1" t="n">
        <v>15964</v>
      </c>
      <c r="B15965">
        <f>TEXT(15964, "[$-0E0000]yyyy-mm-dd")</f>
        <v/>
      </c>
      <c r="C15965" t="inlineStr">
        <is>
          <t>1943-08-17</t>
        </is>
      </c>
    </row>
    <row r="15966">
      <c r="A15966" s="1" t="n">
        <v>15965</v>
      </c>
      <c r="B15966">
        <f>TEXT(15965, "[$-0E0000]yyyy-mm-dd")</f>
        <v/>
      </c>
      <c r="C15966" t="inlineStr">
        <is>
          <t>1943-08-18</t>
        </is>
      </c>
    </row>
    <row r="15967">
      <c r="A15967" s="1" t="n">
        <v>15966</v>
      </c>
      <c r="B15967">
        <f>TEXT(15966, "[$-0E0000]yyyy-mm-dd")</f>
        <v/>
      </c>
      <c r="C15967" t="inlineStr">
        <is>
          <t>1943-08-19</t>
        </is>
      </c>
    </row>
    <row r="15968">
      <c r="A15968" s="1" t="n">
        <v>15967</v>
      </c>
      <c r="B15968">
        <f>TEXT(15967, "[$-0E0000]yyyy-mm-dd")</f>
        <v/>
      </c>
      <c r="C15968" t="inlineStr">
        <is>
          <t>1943-08-20</t>
        </is>
      </c>
    </row>
    <row r="15969">
      <c r="A15969" s="1" t="n">
        <v>15968</v>
      </c>
      <c r="B15969">
        <f>TEXT(15968, "[$-0E0000]yyyy-mm-dd")</f>
        <v/>
      </c>
      <c r="C15969" t="inlineStr">
        <is>
          <t>1943-08-21</t>
        </is>
      </c>
    </row>
    <row r="15970">
      <c r="A15970" s="1" t="n">
        <v>15969</v>
      </c>
      <c r="B15970">
        <f>TEXT(15969, "[$-0E0000]yyyy-mm-dd")</f>
        <v/>
      </c>
      <c r="C15970" t="inlineStr">
        <is>
          <t>1943-08-22</t>
        </is>
      </c>
    </row>
    <row r="15971">
      <c r="A15971" s="1" t="n">
        <v>15970</v>
      </c>
      <c r="B15971">
        <f>TEXT(15970, "[$-0E0000]yyyy-mm-dd")</f>
        <v/>
      </c>
      <c r="C15971" t="inlineStr">
        <is>
          <t>1943-08-23</t>
        </is>
      </c>
    </row>
    <row r="15972">
      <c r="A15972" s="1" t="n">
        <v>15971</v>
      </c>
      <c r="B15972">
        <f>TEXT(15971, "[$-0E0000]yyyy-mm-dd")</f>
        <v/>
      </c>
      <c r="C15972" t="inlineStr">
        <is>
          <t>1943-08-24</t>
        </is>
      </c>
    </row>
    <row r="15973">
      <c r="A15973" s="1" t="n">
        <v>15972</v>
      </c>
      <c r="B15973">
        <f>TEXT(15972, "[$-0E0000]yyyy-mm-dd")</f>
        <v/>
      </c>
      <c r="C15973" t="inlineStr">
        <is>
          <t>1943-08-25</t>
        </is>
      </c>
    </row>
    <row r="15974">
      <c r="A15974" s="1" t="n">
        <v>15973</v>
      </c>
      <c r="B15974">
        <f>TEXT(15973, "[$-0E0000]yyyy-mm-dd")</f>
        <v/>
      </c>
      <c r="C15974" t="inlineStr">
        <is>
          <t>1943-08-26</t>
        </is>
      </c>
    </row>
    <row r="15975">
      <c r="A15975" s="1" t="n">
        <v>15974</v>
      </c>
      <c r="B15975">
        <f>TEXT(15974, "[$-0E0000]yyyy-mm-dd")</f>
        <v/>
      </c>
      <c r="C15975" t="inlineStr">
        <is>
          <t>1943-08-27</t>
        </is>
      </c>
    </row>
    <row r="15976">
      <c r="A15976" s="1" t="n">
        <v>15975</v>
      </c>
      <c r="B15976">
        <f>TEXT(15975, "[$-0E0000]yyyy-mm-dd")</f>
        <v/>
      </c>
      <c r="C15976" t="inlineStr">
        <is>
          <t>1943-08-28</t>
        </is>
      </c>
    </row>
    <row r="15977">
      <c r="A15977" s="1" t="n">
        <v>15976</v>
      </c>
      <c r="B15977">
        <f>TEXT(15976, "[$-0E0000]yyyy-mm-dd")</f>
        <v/>
      </c>
      <c r="C15977" t="inlineStr">
        <is>
          <t>1943-08-29</t>
        </is>
      </c>
    </row>
    <row r="15978">
      <c r="A15978" s="1" t="n">
        <v>15977</v>
      </c>
      <c r="B15978">
        <f>TEXT(15977, "[$-0E0000]yyyy-mm-dd")</f>
        <v/>
      </c>
      <c r="C15978" t="inlineStr">
        <is>
          <t>1943-09-01</t>
        </is>
      </c>
    </row>
    <row r="15979">
      <c r="A15979" s="1" t="n">
        <v>15978</v>
      </c>
      <c r="B15979">
        <f>TEXT(15978, "[$-0E0000]yyyy-mm-dd")</f>
        <v/>
      </c>
      <c r="C15979" t="inlineStr">
        <is>
          <t>1943-09-02</t>
        </is>
      </c>
    </row>
    <row r="15980">
      <c r="A15980" s="1" t="n">
        <v>15979</v>
      </c>
      <c r="B15980">
        <f>TEXT(15979, "[$-0E0000]yyyy-mm-dd")</f>
        <v/>
      </c>
      <c r="C15980" t="inlineStr">
        <is>
          <t>1943-09-03</t>
        </is>
      </c>
    </row>
    <row r="15981">
      <c r="A15981" s="1" t="n">
        <v>15980</v>
      </c>
      <c r="B15981">
        <f>TEXT(15980, "[$-0E0000]yyyy-mm-dd")</f>
        <v/>
      </c>
      <c r="C15981" t="inlineStr">
        <is>
          <t>1943-09-04</t>
        </is>
      </c>
    </row>
    <row r="15982">
      <c r="A15982" s="1" t="n">
        <v>15981</v>
      </c>
      <c r="B15982">
        <f>TEXT(15981, "[$-0E0000]yyyy-mm-dd")</f>
        <v/>
      </c>
      <c r="C15982" t="inlineStr">
        <is>
          <t>1943-09-05</t>
        </is>
      </c>
    </row>
    <row r="15983">
      <c r="A15983" s="1" t="n">
        <v>15982</v>
      </c>
      <c r="B15983">
        <f>TEXT(15982, "[$-0E0000]yyyy-mm-dd")</f>
        <v/>
      </c>
      <c r="C15983" t="inlineStr">
        <is>
          <t>1943-09-06</t>
        </is>
      </c>
    </row>
    <row r="15984">
      <c r="A15984" s="1" t="n">
        <v>15983</v>
      </c>
      <c r="B15984">
        <f>TEXT(15983, "[$-0E0000]yyyy-mm-dd")</f>
        <v/>
      </c>
      <c r="C15984" t="inlineStr">
        <is>
          <t>1943-09-07</t>
        </is>
      </c>
    </row>
    <row r="15985">
      <c r="A15985" s="1" t="n">
        <v>15984</v>
      </c>
      <c r="B15985">
        <f>TEXT(15984, "[$-0E0000]yyyy-mm-dd")</f>
        <v/>
      </c>
      <c r="C15985" t="inlineStr">
        <is>
          <t>1943-09-08</t>
        </is>
      </c>
    </row>
    <row r="15986">
      <c r="A15986" s="1" t="n">
        <v>15985</v>
      </c>
      <c r="B15986">
        <f>TEXT(15985, "[$-0E0000]yyyy-mm-dd")</f>
        <v/>
      </c>
      <c r="C15986" t="inlineStr">
        <is>
          <t>1943-09-09</t>
        </is>
      </c>
    </row>
    <row r="15987">
      <c r="A15987" s="1" t="n">
        <v>15986</v>
      </c>
      <c r="B15987">
        <f>TEXT(15986, "[$-0E0000]yyyy-mm-dd")</f>
        <v/>
      </c>
      <c r="C15987" t="inlineStr">
        <is>
          <t>1943-09-10</t>
        </is>
      </c>
    </row>
    <row r="15988">
      <c r="A15988" s="1" t="n">
        <v>15987</v>
      </c>
      <c r="B15988">
        <f>TEXT(15987, "[$-0E0000]yyyy-mm-dd")</f>
        <v/>
      </c>
      <c r="C15988" t="inlineStr">
        <is>
          <t>1943-09-11</t>
        </is>
      </c>
    </row>
    <row r="15989">
      <c r="A15989" s="1" t="n">
        <v>15988</v>
      </c>
      <c r="B15989">
        <f>TEXT(15988, "[$-0E0000]yyyy-mm-dd")</f>
        <v/>
      </c>
      <c r="C15989" t="inlineStr">
        <is>
          <t>1943-09-12</t>
        </is>
      </c>
    </row>
    <row r="15990">
      <c r="A15990" s="1" t="n">
        <v>15989</v>
      </c>
      <c r="B15990">
        <f>TEXT(15989, "[$-0E0000]yyyy-mm-dd")</f>
        <v/>
      </c>
      <c r="C15990" t="inlineStr">
        <is>
          <t>1943-09-13</t>
        </is>
      </c>
    </row>
    <row r="15991">
      <c r="A15991" s="1" t="n">
        <v>15990</v>
      </c>
      <c r="B15991">
        <f>TEXT(15990, "[$-0E0000]yyyy-mm-dd")</f>
        <v/>
      </c>
      <c r="C15991" t="inlineStr">
        <is>
          <t>1943-09-14</t>
        </is>
      </c>
    </row>
    <row r="15992">
      <c r="A15992" s="1" t="n">
        <v>15991</v>
      </c>
      <c r="B15992">
        <f>TEXT(15991, "[$-0E0000]yyyy-mm-dd")</f>
        <v/>
      </c>
      <c r="C15992" t="inlineStr">
        <is>
          <t>1943-09-15</t>
        </is>
      </c>
    </row>
    <row r="15993">
      <c r="A15993" s="1" t="n">
        <v>15992</v>
      </c>
      <c r="B15993">
        <f>TEXT(15992, "[$-0E0000]yyyy-mm-dd")</f>
        <v/>
      </c>
      <c r="C15993" t="inlineStr">
        <is>
          <t>1943-09-16</t>
        </is>
      </c>
    </row>
    <row r="15994">
      <c r="A15994" s="1" t="n">
        <v>15993</v>
      </c>
      <c r="B15994">
        <f>TEXT(15993, "[$-0E0000]yyyy-mm-dd")</f>
        <v/>
      </c>
      <c r="C15994" t="inlineStr">
        <is>
          <t>1943-09-17</t>
        </is>
      </c>
    </row>
    <row r="15995">
      <c r="A15995" s="1" t="n">
        <v>15994</v>
      </c>
      <c r="B15995">
        <f>TEXT(15994, "[$-0E0000]yyyy-mm-dd")</f>
        <v/>
      </c>
      <c r="C15995" t="inlineStr">
        <is>
          <t>1943-09-18</t>
        </is>
      </c>
    </row>
    <row r="15996">
      <c r="A15996" s="1" t="n">
        <v>15995</v>
      </c>
      <c r="B15996">
        <f>TEXT(15995, "[$-0E0000]yyyy-mm-dd")</f>
        <v/>
      </c>
      <c r="C15996" t="inlineStr">
        <is>
          <t>1943-09-19</t>
        </is>
      </c>
    </row>
    <row r="15997">
      <c r="A15997" s="1" t="n">
        <v>15996</v>
      </c>
      <c r="B15997">
        <f>TEXT(15996, "[$-0E0000]yyyy-mm-dd")</f>
        <v/>
      </c>
      <c r="C15997" t="inlineStr">
        <is>
          <t>1943-09-20</t>
        </is>
      </c>
    </row>
    <row r="15998">
      <c r="A15998" s="1" t="n">
        <v>15997</v>
      </c>
      <c r="B15998">
        <f>TEXT(15997, "[$-0E0000]yyyy-mm-dd")</f>
        <v/>
      </c>
      <c r="C15998" t="inlineStr">
        <is>
          <t>1943-09-21</t>
        </is>
      </c>
    </row>
    <row r="15999">
      <c r="A15999" s="1" t="n">
        <v>15998</v>
      </c>
      <c r="B15999">
        <f>TEXT(15998, "[$-0E0000]yyyy-mm-dd")</f>
        <v/>
      </c>
      <c r="C15999" t="inlineStr">
        <is>
          <t>1943-09-22</t>
        </is>
      </c>
    </row>
    <row r="16000">
      <c r="A16000" s="1" t="n">
        <v>15999</v>
      </c>
      <c r="B16000">
        <f>TEXT(15999, "[$-0E0000]yyyy-mm-dd")</f>
        <v/>
      </c>
      <c r="C16000" t="inlineStr">
        <is>
          <t>1943-09-23</t>
        </is>
      </c>
    </row>
    <row r="16001">
      <c r="A16001" s="1" t="n">
        <v>16000</v>
      </c>
      <c r="B16001">
        <f>TEXT(16000, "[$-0E0000]yyyy-mm-dd")</f>
        <v/>
      </c>
      <c r="C16001" t="inlineStr">
        <is>
          <t>1943-09-24</t>
        </is>
      </c>
    </row>
    <row r="16002">
      <c r="A16002" s="1" t="n">
        <v>16001</v>
      </c>
      <c r="B16002">
        <f>TEXT(16001, "[$-0E0000]yyyy-mm-dd")</f>
        <v/>
      </c>
      <c r="C16002" t="inlineStr">
        <is>
          <t>1943-09-25</t>
        </is>
      </c>
    </row>
    <row r="16003">
      <c r="A16003" s="1" t="n">
        <v>16002</v>
      </c>
      <c r="B16003">
        <f>TEXT(16002, "[$-0E0000]yyyy-mm-dd")</f>
        <v/>
      </c>
      <c r="C16003" t="inlineStr">
        <is>
          <t>1943-09-26</t>
        </is>
      </c>
    </row>
    <row r="16004">
      <c r="A16004" s="1" t="n">
        <v>16003</v>
      </c>
      <c r="B16004">
        <f>TEXT(16003, "[$-0E0000]yyyy-mm-dd")</f>
        <v/>
      </c>
      <c r="C16004" t="inlineStr">
        <is>
          <t>1943-09-27</t>
        </is>
      </c>
    </row>
    <row r="16005">
      <c r="A16005" s="1" t="n">
        <v>16004</v>
      </c>
      <c r="B16005">
        <f>TEXT(16004, "[$-0E0000]yyyy-mm-dd")</f>
        <v/>
      </c>
      <c r="C16005" t="inlineStr">
        <is>
          <t>1943-09-28</t>
        </is>
      </c>
    </row>
    <row r="16006">
      <c r="A16006" s="1" t="n">
        <v>16005</v>
      </c>
      <c r="B16006">
        <f>TEXT(16005, "[$-0E0000]yyyy-mm-dd")</f>
        <v/>
      </c>
      <c r="C16006" t="inlineStr">
        <is>
          <t>1943-09-29</t>
        </is>
      </c>
    </row>
    <row r="16007">
      <c r="A16007" s="1" t="n">
        <v>16006</v>
      </c>
      <c r="B16007">
        <f>TEXT(16006, "[$-0E0000]yyyy-mm-dd")</f>
        <v/>
      </c>
      <c r="C16007" t="inlineStr">
        <is>
          <t>1943-09-30</t>
        </is>
      </c>
    </row>
    <row r="16008">
      <c r="A16008" s="1" t="n">
        <v>16007</v>
      </c>
      <c r="B16008">
        <f>TEXT(16007, "[$-0E0000]yyyy-mm-dd")</f>
        <v/>
      </c>
      <c r="C16008" t="inlineStr">
        <is>
          <t>1943-10-01</t>
        </is>
      </c>
    </row>
    <row r="16009">
      <c r="A16009" s="1" t="n">
        <v>16008</v>
      </c>
      <c r="B16009">
        <f>TEXT(16008, "[$-0E0000]yyyy-mm-dd")</f>
        <v/>
      </c>
      <c r="C16009" t="inlineStr">
        <is>
          <t>1943-10-02</t>
        </is>
      </c>
    </row>
    <row r="16010">
      <c r="A16010" s="1" t="n">
        <v>16009</v>
      </c>
      <c r="B16010">
        <f>TEXT(16009, "[$-0E0000]yyyy-mm-dd")</f>
        <v/>
      </c>
      <c r="C16010" t="inlineStr">
        <is>
          <t>1943-10-03</t>
        </is>
      </c>
    </row>
    <row r="16011">
      <c r="A16011" s="1" t="n">
        <v>16010</v>
      </c>
      <c r="B16011">
        <f>TEXT(16010, "[$-0E0000]yyyy-mm-dd")</f>
        <v/>
      </c>
      <c r="C16011" t="inlineStr">
        <is>
          <t>1943-10-04</t>
        </is>
      </c>
    </row>
    <row r="16012">
      <c r="A16012" s="1" t="n">
        <v>16011</v>
      </c>
      <c r="B16012">
        <f>TEXT(16011, "[$-0E0000]yyyy-mm-dd")</f>
        <v/>
      </c>
      <c r="C16012" t="inlineStr">
        <is>
          <t>1943-10-05</t>
        </is>
      </c>
    </row>
    <row r="16013">
      <c r="A16013" s="1" t="n">
        <v>16012</v>
      </c>
      <c r="B16013">
        <f>TEXT(16012, "[$-0E0000]yyyy-mm-dd")</f>
        <v/>
      </c>
      <c r="C16013" t="inlineStr">
        <is>
          <t>1943-10-06</t>
        </is>
      </c>
    </row>
    <row r="16014">
      <c r="A16014" s="1" t="n">
        <v>16013</v>
      </c>
      <c r="B16014">
        <f>TEXT(16013, "[$-0E0000]yyyy-mm-dd")</f>
        <v/>
      </c>
      <c r="C16014" t="inlineStr">
        <is>
          <t>1943-10-07</t>
        </is>
      </c>
    </row>
    <row r="16015">
      <c r="A16015" s="1" t="n">
        <v>16014</v>
      </c>
      <c r="B16015">
        <f>TEXT(16014, "[$-0E0000]yyyy-mm-dd")</f>
        <v/>
      </c>
      <c r="C16015" t="inlineStr">
        <is>
          <t>1943-10-08</t>
        </is>
      </c>
    </row>
    <row r="16016">
      <c r="A16016" s="1" t="n">
        <v>16015</v>
      </c>
      <c r="B16016">
        <f>TEXT(16015, "[$-0E0000]yyyy-mm-dd")</f>
        <v/>
      </c>
      <c r="C16016" t="inlineStr">
        <is>
          <t>1943-10-09</t>
        </is>
      </c>
    </row>
    <row r="16017">
      <c r="A16017" s="1" t="n">
        <v>16016</v>
      </c>
      <c r="B16017">
        <f>TEXT(16016, "[$-0E0000]yyyy-mm-dd")</f>
        <v/>
      </c>
      <c r="C16017" t="inlineStr">
        <is>
          <t>1943-10-10</t>
        </is>
      </c>
    </row>
    <row r="16018">
      <c r="A16018" s="1" t="n">
        <v>16017</v>
      </c>
      <c r="B16018">
        <f>TEXT(16017, "[$-0E0000]yyyy-mm-dd")</f>
        <v/>
      </c>
      <c r="C16018" t="inlineStr">
        <is>
          <t>1943-10-11</t>
        </is>
      </c>
    </row>
    <row r="16019">
      <c r="A16019" s="1" t="n">
        <v>16018</v>
      </c>
      <c r="B16019">
        <f>TEXT(16018, "[$-0E0000]yyyy-mm-dd")</f>
        <v/>
      </c>
      <c r="C16019" t="inlineStr">
        <is>
          <t>1943-10-12</t>
        </is>
      </c>
    </row>
    <row r="16020">
      <c r="A16020" s="1" t="n">
        <v>16019</v>
      </c>
      <c r="B16020">
        <f>TEXT(16019, "[$-0E0000]yyyy-mm-dd")</f>
        <v/>
      </c>
      <c r="C16020" t="inlineStr">
        <is>
          <t>1943-10-13</t>
        </is>
      </c>
    </row>
    <row r="16021">
      <c r="A16021" s="1" t="n">
        <v>16020</v>
      </c>
      <c r="B16021">
        <f>TEXT(16020, "[$-0E0000]yyyy-mm-dd")</f>
        <v/>
      </c>
      <c r="C16021" t="inlineStr">
        <is>
          <t>1943-10-14</t>
        </is>
      </c>
    </row>
    <row r="16022">
      <c r="A16022" s="1" t="n">
        <v>16021</v>
      </c>
      <c r="B16022">
        <f>TEXT(16021, "[$-0E0000]yyyy-mm-dd")</f>
        <v/>
      </c>
      <c r="C16022" t="inlineStr">
        <is>
          <t>1943-10-15</t>
        </is>
      </c>
    </row>
    <row r="16023">
      <c r="A16023" s="1" t="n">
        <v>16022</v>
      </c>
      <c r="B16023">
        <f>TEXT(16022, "[$-0E0000]yyyy-mm-dd")</f>
        <v/>
      </c>
      <c r="C16023" t="inlineStr">
        <is>
          <t>1943-10-16</t>
        </is>
      </c>
    </row>
    <row r="16024">
      <c r="A16024" s="1" t="n">
        <v>16023</v>
      </c>
      <c r="B16024">
        <f>TEXT(16023, "[$-0E0000]yyyy-mm-dd")</f>
        <v/>
      </c>
      <c r="C16024" t="inlineStr">
        <is>
          <t>1943-10-17</t>
        </is>
      </c>
    </row>
    <row r="16025">
      <c r="A16025" s="1" t="n">
        <v>16024</v>
      </c>
      <c r="B16025">
        <f>TEXT(16024, "[$-0E0000]yyyy-mm-dd")</f>
        <v/>
      </c>
      <c r="C16025" t="inlineStr">
        <is>
          <t>1943-10-18</t>
        </is>
      </c>
    </row>
    <row r="16026">
      <c r="A16026" s="1" t="n">
        <v>16025</v>
      </c>
      <c r="B16026">
        <f>TEXT(16025, "[$-0E0000]yyyy-mm-dd")</f>
        <v/>
      </c>
      <c r="C16026" t="inlineStr">
        <is>
          <t>1943-10-19</t>
        </is>
      </c>
    </row>
    <row r="16027">
      <c r="A16027" s="1" t="n">
        <v>16026</v>
      </c>
      <c r="B16027">
        <f>TEXT(16026, "[$-0E0000]yyyy-mm-dd")</f>
        <v/>
      </c>
      <c r="C16027" t="inlineStr">
        <is>
          <t>1943-10-20</t>
        </is>
      </c>
    </row>
    <row r="16028">
      <c r="A16028" s="1" t="n">
        <v>16027</v>
      </c>
      <c r="B16028">
        <f>TEXT(16027, "[$-0E0000]yyyy-mm-dd")</f>
        <v/>
      </c>
      <c r="C16028" t="inlineStr">
        <is>
          <t>1943-10-21</t>
        </is>
      </c>
    </row>
    <row r="16029">
      <c r="A16029" s="1" t="n">
        <v>16028</v>
      </c>
      <c r="B16029">
        <f>TEXT(16028, "[$-0E0000]yyyy-mm-dd")</f>
        <v/>
      </c>
      <c r="C16029" t="inlineStr">
        <is>
          <t>1943-10-22</t>
        </is>
      </c>
    </row>
    <row r="16030">
      <c r="A16030" s="1" t="n">
        <v>16029</v>
      </c>
      <c r="B16030">
        <f>TEXT(16029, "[$-0E0000]yyyy-mm-dd")</f>
        <v/>
      </c>
      <c r="C16030" t="inlineStr">
        <is>
          <t>1943-10-23</t>
        </is>
      </c>
    </row>
    <row r="16031">
      <c r="A16031" s="1" t="n">
        <v>16030</v>
      </c>
      <c r="B16031">
        <f>TEXT(16030, "[$-0E0000]yyyy-mm-dd")</f>
        <v/>
      </c>
      <c r="C16031" t="inlineStr">
        <is>
          <t>1943-10-24</t>
        </is>
      </c>
    </row>
    <row r="16032">
      <c r="A16032" s="1" t="n">
        <v>16031</v>
      </c>
      <c r="B16032">
        <f>TEXT(16031, "[$-0E0000]yyyy-mm-dd")</f>
        <v/>
      </c>
      <c r="C16032" t="inlineStr">
        <is>
          <t>1943-10-25</t>
        </is>
      </c>
    </row>
    <row r="16033">
      <c r="A16033" s="1" t="n">
        <v>16032</v>
      </c>
      <c r="B16033">
        <f>TEXT(16032, "[$-0E0000]yyyy-mm-dd")</f>
        <v/>
      </c>
      <c r="C16033" t="inlineStr">
        <is>
          <t>1943-10-26</t>
        </is>
      </c>
    </row>
    <row r="16034">
      <c r="A16034" s="1" t="n">
        <v>16033</v>
      </c>
      <c r="B16034">
        <f>TEXT(16033, "[$-0E0000]yyyy-mm-dd")</f>
        <v/>
      </c>
      <c r="C16034" t="inlineStr">
        <is>
          <t>1943-10-27</t>
        </is>
      </c>
    </row>
    <row r="16035">
      <c r="A16035" s="1" t="n">
        <v>16034</v>
      </c>
      <c r="B16035">
        <f>TEXT(16034, "[$-0E0000]yyyy-mm-dd")</f>
        <v/>
      </c>
      <c r="C16035" t="inlineStr">
        <is>
          <t>1943-10-28</t>
        </is>
      </c>
    </row>
    <row r="16036">
      <c r="A16036" s="1" t="n">
        <v>16035</v>
      </c>
      <c r="B16036">
        <f>TEXT(16035, "[$-0E0000]yyyy-mm-dd")</f>
        <v/>
      </c>
      <c r="C16036" t="inlineStr">
        <is>
          <t>1943-10-29</t>
        </is>
      </c>
    </row>
    <row r="16037">
      <c r="A16037" s="1" t="n">
        <v>16036</v>
      </c>
      <c r="B16037">
        <f>TEXT(16036, "[$-0E0000]yyyy-mm-dd")</f>
        <v/>
      </c>
      <c r="C16037" t="inlineStr">
        <is>
          <t>1943-11-01</t>
        </is>
      </c>
    </row>
    <row r="16038">
      <c r="A16038" s="1" t="n">
        <v>16037</v>
      </c>
      <c r="B16038">
        <f>TEXT(16037, "[$-0E0000]yyyy-mm-dd")</f>
        <v/>
      </c>
      <c r="C16038" t="inlineStr">
        <is>
          <t>1943-11-02</t>
        </is>
      </c>
    </row>
    <row r="16039">
      <c r="A16039" s="1" t="n">
        <v>16038</v>
      </c>
      <c r="B16039">
        <f>TEXT(16038, "[$-0E0000]yyyy-mm-dd")</f>
        <v/>
      </c>
      <c r="C16039" t="inlineStr">
        <is>
          <t>1943-11-03</t>
        </is>
      </c>
    </row>
    <row r="16040">
      <c r="A16040" s="1" t="n">
        <v>16039</v>
      </c>
      <c r="B16040">
        <f>TEXT(16039, "[$-0E0000]yyyy-mm-dd")</f>
        <v/>
      </c>
      <c r="C16040" t="inlineStr">
        <is>
          <t>1943-11-04</t>
        </is>
      </c>
    </row>
    <row r="16041">
      <c r="A16041" s="1" t="n">
        <v>16040</v>
      </c>
      <c r="B16041">
        <f>TEXT(16040, "[$-0E0000]yyyy-mm-dd")</f>
        <v/>
      </c>
      <c r="C16041" t="inlineStr">
        <is>
          <t>1943-11-05</t>
        </is>
      </c>
    </row>
    <row r="16042">
      <c r="A16042" s="1" t="n">
        <v>16041</v>
      </c>
      <c r="B16042">
        <f>TEXT(16041, "[$-0E0000]yyyy-mm-dd")</f>
        <v/>
      </c>
      <c r="C16042" t="inlineStr">
        <is>
          <t>1943-11-06</t>
        </is>
      </c>
    </row>
    <row r="16043">
      <c r="A16043" s="1" t="n">
        <v>16042</v>
      </c>
      <c r="B16043">
        <f>TEXT(16042, "[$-0E0000]yyyy-mm-dd")</f>
        <v/>
      </c>
      <c r="C16043" t="inlineStr">
        <is>
          <t>1943-11-07</t>
        </is>
      </c>
    </row>
    <row r="16044">
      <c r="A16044" s="1" t="n">
        <v>16043</v>
      </c>
      <c r="B16044">
        <f>TEXT(16043, "[$-0E0000]yyyy-mm-dd")</f>
        <v/>
      </c>
      <c r="C16044" t="inlineStr">
        <is>
          <t>1943-11-08</t>
        </is>
      </c>
    </row>
    <row r="16045">
      <c r="A16045" s="1" t="n">
        <v>16044</v>
      </c>
      <c r="B16045">
        <f>TEXT(16044, "[$-0E0000]yyyy-mm-dd")</f>
        <v/>
      </c>
      <c r="C16045" t="inlineStr">
        <is>
          <t>1943-11-09</t>
        </is>
      </c>
    </row>
    <row r="16046">
      <c r="A16046" s="1" t="n">
        <v>16045</v>
      </c>
      <c r="B16046">
        <f>TEXT(16045, "[$-0E0000]yyyy-mm-dd")</f>
        <v/>
      </c>
      <c r="C16046" t="inlineStr">
        <is>
          <t>1943-11-10</t>
        </is>
      </c>
    </row>
    <row r="16047">
      <c r="A16047" s="1" t="n">
        <v>16046</v>
      </c>
      <c r="B16047">
        <f>TEXT(16046, "[$-0E0000]yyyy-mm-dd")</f>
        <v/>
      </c>
      <c r="C16047" t="inlineStr">
        <is>
          <t>1943-11-11</t>
        </is>
      </c>
    </row>
    <row r="16048">
      <c r="A16048" s="1" t="n">
        <v>16047</v>
      </c>
      <c r="B16048">
        <f>TEXT(16047, "[$-0E0000]yyyy-mm-dd")</f>
        <v/>
      </c>
      <c r="C16048" t="inlineStr">
        <is>
          <t>1943-11-12</t>
        </is>
      </c>
    </row>
    <row r="16049">
      <c r="A16049" s="1" t="n">
        <v>16048</v>
      </c>
      <c r="B16049">
        <f>TEXT(16048, "[$-0E0000]yyyy-mm-dd")</f>
        <v/>
      </c>
      <c r="C16049" t="inlineStr">
        <is>
          <t>1943-11-13</t>
        </is>
      </c>
    </row>
    <row r="16050">
      <c r="A16050" s="1" t="n">
        <v>16049</v>
      </c>
      <c r="B16050">
        <f>TEXT(16049, "[$-0E0000]yyyy-mm-dd")</f>
        <v/>
      </c>
      <c r="C16050" t="inlineStr">
        <is>
          <t>1943-11-14</t>
        </is>
      </c>
    </row>
    <row r="16051">
      <c r="A16051" s="1" t="n">
        <v>16050</v>
      </c>
      <c r="B16051">
        <f>TEXT(16050, "[$-0E0000]yyyy-mm-dd")</f>
        <v/>
      </c>
      <c r="C16051" t="inlineStr">
        <is>
          <t>1943-11-15</t>
        </is>
      </c>
    </row>
    <row r="16052">
      <c r="A16052" s="1" t="n">
        <v>16051</v>
      </c>
      <c r="B16052">
        <f>TEXT(16051, "[$-0E0000]yyyy-mm-dd")</f>
        <v/>
      </c>
      <c r="C16052" t="inlineStr">
        <is>
          <t>1943-11-16</t>
        </is>
      </c>
    </row>
    <row r="16053">
      <c r="A16053" s="1" t="n">
        <v>16052</v>
      </c>
      <c r="B16053">
        <f>TEXT(16052, "[$-0E0000]yyyy-mm-dd")</f>
        <v/>
      </c>
      <c r="C16053" t="inlineStr">
        <is>
          <t>1943-11-17</t>
        </is>
      </c>
    </row>
    <row r="16054">
      <c r="A16054" s="1" t="n">
        <v>16053</v>
      </c>
      <c r="B16054">
        <f>TEXT(16053, "[$-0E0000]yyyy-mm-dd")</f>
        <v/>
      </c>
      <c r="C16054" t="inlineStr">
        <is>
          <t>1943-11-18</t>
        </is>
      </c>
    </row>
    <row r="16055">
      <c r="A16055" s="1" t="n">
        <v>16054</v>
      </c>
      <c r="B16055">
        <f>TEXT(16054, "[$-0E0000]yyyy-mm-dd")</f>
        <v/>
      </c>
      <c r="C16055" t="inlineStr">
        <is>
          <t>1943-11-19</t>
        </is>
      </c>
    </row>
    <row r="16056">
      <c r="A16056" s="1" t="n">
        <v>16055</v>
      </c>
      <c r="B16056">
        <f>TEXT(16055, "[$-0E0000]yyyy-mm-dd")</f>
        <v/>
      </c>
      <c r="C16056" t="inlineStr">
        <is>
          <t>1943-11-20</t>
        </is>
      </c>
    </row>
    <row r="16057">
      <c r="A16057" s="1" t="n">
        <v>16056</v>
      </c>
      <c r="B16057">
        <f>TEXT(16056, "[$-0E0000]yyyy-mm-dd")</f>
        <v/>
      </c>
      <c r="C16057" t="inlineStr">
        <is>
          <t>1943-11-21</t>
        </is>
      </c>
    </row>
    <row r="16058">
      <c r="A16058" s="1" t="n">
        <v>16057</v>
      </c>
      <c r="B16058">
        <f>TEXT(16057, "[$-0E0000]yyyy-mm-dd")</f>
        <v/>
      </c>
      <c r="C16058" t="inlineStr">
        <is>
          <t>1943-11-22</t>
        </is>
      </c>
    </row>
    <row r="16059">
      <c r="A16059" s="1" t="n">
        <v>16058</v>
      </c>
      <c r="B16059">
        <f>TEXT(16058, "[$-0E0000]yyyy-mm-dd")</f>
        <v/>
      </c>
      <c r="C16059" t="inlineStr">
        <is>
          <t>1943-11-23</t>
        </is>
      </c>
    </row>
    <row r="16060">
      <c r="A16060" s="1" t="n">
        <v>16059</v>
      </c>
      <c r="B16060">
        <f>TEXT(16059, "[$-0E0000]yyyy-mm-dd")</f>
        <v/>
      </c>
      <c r="C16060" t="inlineStr">
        <is>
          <t>1943-11-24</t>
        </is>
      </c>
    </row>
    <row r="16061">
      <c r="A16061" s="1" t="n">
        <v>16060</v>
      </c>
      <c r="B16061">
        <f>TEXT(16060, "[$-0E0000]yyyy-mm-dd")</f>
        <v/>
      </c>
      <c r="C16061" t="inlineStr">
        <is>
          <t>1943-11-25</t>
        </is>
      </c>
    </row>
    <row r="16062">
      <c r="A16062" s="1" t="n">
        <v>16061</v>
      </c>
      <c r="B16062">
        <f>TEXT(16061, "[$-0E0000]yyyy-mm-dd")</f>
        <v/>
      </c>
      <c r="C16062" t="inlineStr">
        <is>
          <t>1943-11-26</t>
        </is>
      </c>
    </row>
    <row r="16063">
      <c r="A16063" s="1" t="n">
        <v>16062</v>
      </c>
      <c r="B16063">
        <f>TEXT(16062, "[$-0E0000]yyyy-mm-dd")</f>
        <v/>
      </c>
      <c r="C16063" t="inlineStr">
        <is>
          <t>1943-11-27</t>
        </is>
      </c>
    </row>
    <row r="16064">
      <c r="A16064" s="1" t="n">
        <v>16063</v>
      </c>
      <c r="B16064">
        <f>TEXT(16063, "[$-0E0000]yyyy-mm-dd")</f>
        <v/>
      </c>
      <c r="C16064" t="inlineStr">
        <is>
          <t>1943-11-28</t>
        </is>
      </c>
    </row>
    <row r="16065">
      <c r="A16065" s="1" t="n">
        <v>16064</v>
      </c>
      <c r="B16065">
        <f>TEXT(16064, "[$-0E0000]yyyy-mm-dd")</f>
        <v/>
      </c>
      <c r="C16065" t="inlineStr">
        <is>
          <t>1943-11-29</t>
        </is>
      </c>
    </row>
    <row r="16066">
      <c r="A16066" s="1" t="n">
        <v>16065</v>
      </c>
      <c r="B16066">
        <f>TEXT(16065, "[$-0E0000]yyyy-mm-dd")</f>
        <v/>
      </c>
      <c r="C16066" t="inlineStr">
        <is>
          <t>1943-11-30</t>
        </is>
      </c>
    </row>
    <row r="16067">
      <c r="A16067" s="1" t="n">
        <v>16066</v>
      </c>
      <c r="B16067">
        <f>TEXT(16066, "[$-0E0000]yyyy-mm-dd")</f>
        <v/>
      </c>
      <c r="C16067" t="inlineStr">
        <is>
          <t>1943-12-01</t>
        </is>
      </c>
    </row>
    <row r="16068">
      <c r="A16068" s="1" t="n">
        <v>16067</v>
      </c>
      <c r="B16068">
        <f>TEXT(16067, "[$-0E0000]yyyy-mm-dd")</f>
        <v/>
      </c>
      <c r="C16068" t="inlineStr">
        <is>
          <t>1943-12-02</t>
        </is>
      </c>
    </row>
    <row r="16069">
      <c r="A16069" s="1" t="n">
        <v>16068</v>
      </c>
      <c r="B16069">
        <f>TEXT(16068, "[$-0E0000]yyyy-mm-dd")</f>
        <v/>
      </c>
      <c r="C16069" t="inlineStr">
        <is>
          <t>1943-12-03</t>
        </is>
      </c>
    </row>
    <row r="16070">
      <c r="A16070" s="1" t="n">
        <v>16069</v>
      </c>
      <c r="B16070">
        <f>TEXT(16069, "[$-0E0000]yyyy-mm-dd")</f>
        <v/>
      </c>
      <c r="C16070" t="inlineStr">
        <is>
          <t>1943-12-04</t>
        </is>
      </c>
    </row>
    <row r="16071">
      <c r="A16071" s="1" t="n">
        <v>16070</v>
      </c>
      <c r="B16071">
        <f>TEXT(16070, "[$-0E0000]yyyy-mm-dd")</f>
        <v/>
      </c>
      <c r="C16071" t="inlineStr">
        <is>
          <t>1943-12-05</t>
        </is>
      </c>
    </row>
    <row r="16072">
      <c r="A16072" s="1" t="n">
        <v>16071</v>
      </c>
      <c r="B16072">
        <f>TEXT(16071, "[$-0E0000]yyyy-mm-dd")</f>
        <v/>
      </c>
      <c r="C16072" t="inlineStr">
        <is>
          <t>1943-12-06</t>
        </is>
      </c>
    </row>
    <row r="16073">
      <c r="A16073" s="1" t="n">
        <v>16072</v>
      </c>
      <c r="B16073">
        <f>TEXT(16072, "[$-0E0000]yyyy-mm-dd")</f>
        <v/>
      </c>
      <c r="C16073" t="inlineStr">
        <is>
          <t>1943-12-07</t>
        </is>
      </c>
    </row>
    <row r="16074">
      <c r="A16074" s="1" t="n">
        <v>16073</v>
      </c>
      <c r="B16074">
        <f>TEXT(16073, "[$-0E0000]yyyy-mm-dd")</f>
        <v/>
      </c>
      <c r="C16074" t="inlineStr">
        <is>
          <t>1943-12-08</t>
        </is>
      </c>
    </row>
    <row r="16075">
      <c r="A16075" s="1" t="n">
        <v>16074</v>
      </c>
      <c r="B16075">
        <f>TEXT(16074, "[$-0E0000]yyyy-mm-dd")</f>
        <v/>
      </c>
      <c r="C16075" t="inlineStr">
        <is>
          <t>1943-12-09</t>
        </is>
      </c>
    </row>
    <row r="16076">
      <c r="A16076" s="1" t="n">
        <v>16075</v>
      </c>
      <c r="B16076">
        <f>TEXT(16075, "[$-0E0000]yyyy-mm-dd")</f>
        <v/>
      </c>
      <c r="C16076" t="inlineStr">
        <is>
          <t>1943-12-10</t>
        </is>
      </c>
    </row>
    <row r="16077">
      <c r="A16077" s="1" t="n">
        <v>16076</v>
      </c>
      <c r="B16077">
        <f>TEXT(16076, "[$-0E0000]yyyy-mm-dd")</f>
        <v/>
      </c>
      <c r="C16077" t="inlineStr">
        <is>
          <t>1943-12-11</t>
        </is>
      </c>
    </row>
    <row r="16078">
      <c r="A16078" s="1" t="n">
        <v>16077</v>
      </c>
      <c r="B16078">
        <f>TEXT(16077, "[$-0E0000]yyyy-mm-dd")</f>
        <v/>
      </c>
      <c r="C16078" t="inlineStr">
        <is>
          <t>1943-12-12</t>
        </is>
      </c>
    </row>
    <row r="16079">
      <c r="A16079" s="1" t="n">
        <v>16078</v>
      </c>
      <c r="B16079">
        <f>TEXT(16078, "[$-0E0000]yyyy-mm-dd")</f>
        <v/>
      </c>
      <c r="C16079" t="inlineStr">
        <is>
          <t>1943-12-13</t>
        </is>
      </c>
    </row>
    <row r="16080">
      <c r="A16080" s="1" t="n">
        <v>16079</v>
      </c>
      <c r="B16080">
        <f>TEXT(16079, "[$-0E0000]yyyy-mm-dd")</f>
        <v/>
      </c>
      <c r="C16080" t="inlineStr">
        <is>
          <t>1943-12-14</t>
        </is>
      </c>
    </row>
    <row r="16081">
      <c r="A16081" s="1" t="n">
        <v>16080</v>
      </c>
      <c r="B16081">
        <f>TEXT(16080, "[$-0E0000]yyyy-mm-dd")</f>
        <v/>
      </c>
      <c r="C16081" t="inlineStr">
        <is>
          <t>1943-12-15</t>
        </is>
      </c>
    </row>
    <row r="16082">
      <c r="A16082" s="1" t="n">
        <v>16081</v>
      </c>
      <c r="B16082">
        <f>TEXT(16081, "[$-0E0000]yyyy-mm-dd")</f>
        <v/>
      </c>
      <c r="C16082" t="inlineStr">
        <is>
          <t>1943-12-16</t>
        </is>
      </c>
    </row>
    <row r="16083">
      <c r="A16083" s="1" t="n">
        <v>16082</v>
      </c>
      <c r="B16083">
        <f>TEXT(16082, "[$-0E0000]yyyy-mm-dd")</f>
        <v/>
      </c>
      <c r="C16083" t="inlineStr">
        <is>
          <t>1943-12-17</t>
        </is>
      </c>
    </row>
    <row r="16084">
      <c r="A16084" s="1" t="n">
        <v>16083</v>
      </c>
      <c r="B16084">
        <f>TEXT(16083, "[$-0E0000]yyyy-mm-dd")</f>
        <v/>
      </c>
      <c r="C16084" t="inlineStr">
        <is>
          <t>1943-12-18</t>
        </is>
      </c>
    </row>
    <row r="16085">
      <c r="A16085" s="1" t="n">
        <v>16084</v>
      </c>
      <c r="B16085">
        <f>TEXT(16084, "[$-0E0000]yyyy-mm-dd")</f>
        <v/>
      </c>
      <c r="C16085" t="inlineStr">
        <is>
          <t>1943-12-19</t>
        </is>
      </c>
    </row>
    <row r="16086">
      <c r="A16086" s="1" t="n">
        <v>16085</v>
      </c>
      <c r="B16086">
        <f>TEXT(16085, "[$-0E0000]yyyy-mm-dd")</f>
        <v/>
      </c>
      <c r="C16086" t="inlineStr">
        <is>
          <t>1943-12-20</t>
        </is>
      </c>
    </row>
    <row r="16087">
      <c r="A16087" s="1" t="n">
        <v>16086</v>
      </c>
      <c r="B16087">
        <f>TEXT(16086, "[$-0E0000]yyyy-mm-dd")</f>
        <v/>
      </c>
      <c r="C16087" t="inlineStr">
        <is>
          <t>1943-12-21</t>
        </is>
      </c>
    </row>
    <row r="16088">
      <c r="A16088" s="1" t="n">
        <v>16087</v>
      </c>
      <c r="B16088">
        <f>TEXT(16087, "[$-0E0000]yyyy-mm-dd")</f>
        <v/>
      </c>
      <c r="C16088" t="inlineStr">
        <is>
          <t>1943-12-22</t>
        </is>
      </c>
    </row>
    <row r="16089">
      <c r="A16089" s="1" t="n">
        <v>16088</v>
      </c>
      <c r="B16089">
        <f>TEXT(16088, "[$-0E0000]yyyy-mm-dd")</f>
        <v/>
      </c>
      <c r="C16089" t="inlineStr">
        <is>
          <t>1943-12-23</t>
        </is>
      </c>
    </row>
    <row r="16090">
      <c r="A16090" s="1" t="n">
        <v>16089</v>
      </c>
      <c r="B16090">
        <f>TEXT(16089, "[$-0E0000]yyyy-mm-dd")</f>
        <v/>
      </c>
      <c r="C16090" t="inlineStr">
        <is>
          <t>1943-12-24</t>
        </is>
      </c>
    </row>
    <row r="16091">
      <c r="A16091" s="1" t="n">
        <v>16090</v>
      </c>
      <c r="B16091">
        <f>TEXT(16090, "[$-0E0000]yyyy-mm-dd")</f>
        <v/>
      </c>
      <c r="C16091" t="inlineStr">
        <is>
          <t>1943-12-25</t>
        </is>
      </c>
    </row>
    <row r="16092">
      <c r="A16092" s="1" t="n">
        <v>16091</v>
      </c>
      <c r="B16092">
        <f>TEXT(16091, "[$-0E0000]yyyy-mm-dd")</f>
        <v/>
      </c>
      <c r="C16092" t="inlineStr">
        <is>
          <t>1943-12-26</t>
        </is>
      </c>
    </row>
    <row r="16093">
      <c r="A16093" s="1" t="n">
        <v>16092</v>
      </c>
      <c r="B16093">
        <f>TEXT(16092, "[$-0E0000]yyyy-mm-dd")</f>
        <v/>
      </c>
      <c r="C16093" t="inlineStr">
        <is>
          <t>1943-12-27</t>
        </is>
      </c>
    </row>
    <row r="16094">
      <c r="A16094" s="1" t="n">
        <v>16093</v>
      </c>
      <c r="B16094">
        <f>TEXT(16093, "[$-0E0000]yyyy-mm-dd")</f>
        <v/>
      </c>
      <c r="C16094" t="inlineStr">
        <is>
          <t>1943-12-28</t>
        </is>
      </c>
    </row>
    <row r="16095">
      <c r="A16095" s="1" t="n">
        <v>16094</v>
      </c>
      <c r="B16095">
        <f>TEXT(16094, "[$-0E0000]yyyy-mm-dd")</f>
        <v/>
      </c>
      <c r="C16095" t="inlineStr">
        <is>
          <t>1943-12-29</t>
        </is>
      </c>
    </row>
    <row r="16096">
      <c r="A16096" s="1" t="n">
        <v>16095</v>
      </c>
      <c r="B16096">
        <f>TEXT(16095, "[$-0E0000]yyyy-mm-dd")</f>
        <v/>
      </c>
      <c r="C16096" t="inlineStr">
        <is>
          <t>1944-01-01</t>
        </is>
      </c>
    </row>
    <row r="16097">
      <c r="A16097" s="1" t="n">
        <v>16096</v>
      </c>
      <c r="B16097">
        <f>TEXT(16096, "[$-0E0000]yyyy-mm-dd")</f>
        <v/>
      </c>
      <c r="C16097" t="inlineStr">
        <is>
          <t>1944-01-02</t>
        </is>
      </c>
    </row>
    <row r="16098">
      <c r="A16098" s="1" t="n">
        <v>16097</v>
      </c>
      <c r="B16098">
        <f>TEXT(16097, "[$-0E0000]yyyy-mm-dd")</f>
        <v/>
      </c>
      <c r="C16098" t="inlineStr">
        <is>
          <t>1944-01-03</t>
        </is>
      </c>
    </row>
    <row r="16099">
      <c r="A16099" s="1" t="n">
        <v>16098</v>
      </c>
      <c r="B16099">
        <f>TEXT(16098, "[$-0E0000]yyyy-mm-dd")</f>
        <v/>
      </c>
      <c r="C16099" t="inlineStr">
        <is>
          <t>1944-01-04</t>
        </is>
      </c>
    </row>
    <row r="16100">
      <c r="A16100" s="1" t="n">
        <v>16099</v>
      </c>
      <c r="B16100">
        <f>TEXT(16099, "[$-0E0000]yyyy-mm-dd")</f>
        <v/>
      </c>
      <c r="C16100" t="inlineStr">
        <is>
          <t>1944-01-05</t>
        </is>
      </c>
    </row>
    <row r="16101">
      <c r="A16101" s="1" t="n">
        <v>16100</v>
      </c>
      <c r="B16101">
        <f>TEXT(16100, "[$-0E0000]yyyy-mm-dd")</f>
        <v/>
      </c>
      <c r="C16101" t="inlineStr">
        <is>
          <t>1944-01-06</t>
        </is>
      </c>
    </row>
    <row r="16102">
      <c r="A16102" s="1" t="n">
        <v>16101</v>
      </c>
      <c r="B16102">
        <f>TEXT(16101, "[$-0E0000]yyyy-mm-dd")</f>
        <v/>
      </c>
      <c r="C16102" t="inlineStr">
        <is>
          <t>1944-01-07</t>
        </is>
      </c>
    </row>
    <row r="16103">
      <c r="A16103" s="1" t="n">
        <v>16102</v>
      </c>
      <c r="B16103">
        <f>TEXT(16102, "[$-0E0000]yyyy-mm-dd")</f>
        <v/>
      </c>
      <c r="C16103" t="inlineStr">
        <is>
          <t>1944-01-08</t>
        </is>
      </c>
    </row>
    <row r="16104">
      <c r="A16104" s="1" t="n">
        <v>16103</v>
      </c>
      <c r="B16104">
        <f>TEXT(16103, "[$-0E0000]yyyy-mm-dd")</f>
        <v/>
      </c>
      <c r="C16104" t="inlineStr">
        <is>
          <t>1944-01-09</t>
        </is>
      </c>
    </row>
    <row r="16105">
      <c r="A16105" s="1" t="n">
        <v>16104</v>
      </c>
      <c r="B16105">
        <f>TEXT(16104, "[$-0E0000]yyyy-mm-dd")</f>
        <v/>
      </c>
      <c r="C16105" t="inlineStr">
        <is>
          <t>1944-01-10</t>
        </is>
      </c>
    </row>
    <row r="16106">
      <c r="A16106" s="1" t="n">
        <v>16105</v>
      </c>
      <c r="B16106">
        <f>TEXT(16105, "[$-0E0000]yyyy-mm-dd")</f>
        <v/>
      </c>
      <c r="C16106" t="inlineStr">
        <is>
          <t>1944-01-11</t>
        </is>
      </c>
    </row>
    <row r="16107">
      <c r="A16107" s="1" t="n">
        <v>16106</v>
      </c>
      <c r="B16107">
        <f>TEXT(16106, "[$-0E0000]yyyy-mm-dd")</f>
        <v/>
      </c>
      <c r="C16107" t="inlineStr">
        <is>
          <t>1944-01-12</t>
        </is>
      </c>
    </row>
    <row r="16108">
      <c r="A16108" s="1" t="n">
        <v>16107</v>
      </c>
      <c r="B16108">
        <f>TEXT(16107, "[$-0E0000]yyyy-mm-dd")</f>
        <v/>
      </c>
      <c r="C16108" t="inlineStr">
        <is>
          <t>1944-01-13</t>
        </is>
      </c>
    </row>
    <row r="16109">
      <c r="A16109" s="1" t="n">
        <v>16108</v>
      </c>
      <c r="B16109">
        <f>TEXT(16108, "[$-0E0000]yyyy-mm-dd")</f>
        <v/>
      </c>
      <c r="C16109" t="inlineStr">
        <is>
          <t>1944-01-14</t>
        </is>
      </c>
    </row>
    <row r="16110">
      <c r="A16110" s="1" t="n">
        <v>16109</v>
      </c>
      <c r="B16110">
        <f>TEXT(16109, "[$-0E0000]yyyy-mm-dd")</f>
        <v/>
      </c>
      <c r="C16110" t="inlineStr">
        <is>
          <t>1944-01-15</t>
        </is>
      </c>
    </row>
    <row r="16111">
      <c r="A16111" s="1" t="n">
        <v>16110</v>
      </c>
      <c r="B16111">
        <f>TEXT(16110, "[$-0E0000]yyyy-mm-dd")</f>
        <v/>
      </c>
      <c r="C16111" t="inlineStr">
        <is>
          <t>1944-01-16</t>
        </is>
      </c>
    </row>
    <row r="16112">
      <c r="A16112" s="1" t="n">
        <v>16111</v>
      </c>
      <c r="B16112">
        <f>TEXT(16111, "[$-0E0000]yyyy-mm-dd")</f>
        <v/>
      </c>
      <c r="C16112" t="inlineStr">
        <is>
          <t>1944-01-17</t>
        </is>
      </c>
    </row>
    <row r="16113">
      <c r="A16113" s="1" t="n">
        <v>16112</v>
      </c>
      <c r="B16113">
        <f>TEXT(16112, "[$-0E0000]yyyy-mm-dd")</f>
        <v/>
      </c>
      <c r="C16113" t="inlineStr">
        <is>
          <t>1944-01-18</t>
        </is>
      </c>
    </row>
    <row r="16114">
      <c r="A16114" s="1" t="n">
        <v>16113</v>
      </c>
      <c r="B16114">
        <f>TEXT(16113, "[$-0E0000]yyyy-mm-dd")</f>
        <v/>
      </c>
      <c r="C16114" t="inlineStr">
        <is>
          <t>1944-01-19</t>
        </is>
      </c>
    </row>
    <row r="16115">
      <c r="A16115" s="1" t="n">
        <v>16114</v>
      </c>
      <c r="B16115">
        <f>TEXT(16114, "[$-0E0000]yyyy-mm-dd")</f>
        <v/>
      </c>
      <c r="C16115" t="inlineStr">
        <is>
          <t>1944-01-20</t>
        </is>
      </c>
    </row>
    <row r="16116">
      <c r="A16116" s="1" t="n">
        <v>16115</v>
      </c>
      <c r="B16116">
        <f>TEXT(16115, "[$-0E0000]yyyy-mm-dd")</f>
        <v/>
      </c>
      <c r="C16116" t="inlineStr">
        <is>
          <t>1944-01-21</t>
        </is>
      </c>
    </row>
    <row r="16117">
      <c r="A16117" s="1" t="n">
        <v>16116</v>
      </c>
      <c r="B16117">
        <f>TEXT(16116, "[$-0E0000]yyyy-mm-dd")</f>
        <v/>
      </c>
      <c r="C16117" t="inlineStr">
        <is>
          <t>1944-01-22</t>
        </is>
      </c>
    </row>
    <row r="16118">
      <c r="A16118" s="1" t="n">
        <v>16117</v>
      </c>
      <c r="B16118">
        <f>TEXT(16117, "[$-0E0000]yyyy-mm-dd")</f>
        <v/>
      </c>
      <c r="C16118" t="inlineStr">
        <is>
          <t>1944-01-23</t>
        </is>
      </c>
    </row>
    <row r="16119">
      <c r="A16119" s="1" t="n">
        <v>16118</v>
      </c>
      <c r="B16119">
        <f>TEXT(16118, "[$-0E0000]yyyy-mm-dd")</f>
        <v/>
      </c>
      <c r="C16119" t="inlineStr">
        <is>
          <t>1944-01-24</t>
        </is>
      </c>
    </row>
    <row r="16120">
      <c r="A16120" s="1" t="n">
        <v>16119</v>
      </c>
      <c r="B16120">
        <f>TEXT(16119, "[$-0E0000]yyyy-mm-dd")</f>
        <v/>
      </c>
      <c r="C16120" t="inlineStr">
        <is>
          <t>1944-01-25</t>
        </is>
      </c>
    </row>
    <row r="16121">
      <c r="A16121" s="1" t="n">
        <v>16120</v>
      </c>
      <c r="B16121">
        <f>TEXT(16120, "[$-0E0000]yyyy-mm-dd")</f>
        <v/>
      </c>
      <c r="C16121" t="inlineStr">
        <is>
          <t>1944-01-26</t>
        </is>
      </c>
    </row>
    <row r="16122">
      <c r="A16122" s="1" t="n">
        <v>16121</v>
      </c>
      <c r="B16122">
        <f>TEXT(16121, "[$-0E0000]yyyy-mm-dd")</f>
        <v/>
      </c>
      <c r="C16122" t="inlineStr">
        <is>
          <t>1944-01-27</t>
        </is>
      </c>
    </row>
    <row r="16123">
      <c r="A16123" s="1" t="n">
        <v>16122</v>
      </c>
      <c r="B16123">
        <f>TEXT(16122, "[$-0E0000]yyyy-mm-dd")</f>
        <v/>
      </c>
      <c r="C16123" t="inlineStr">
        <is>
          <t>1944-01-28</t>
        </is>
      </c>
    </row>
    <row r="16124">
      <c r="A16124" s="1" t="n">
        <v>16123</v>
      </c>
      <c r="B16124">
        <f>TEXT(16123, "[$-0E0000]yyyy-mm-dd")</f>
        <v/>
      </c>
      <c r="C16124" t="inlineStr">
        <is>
          <t>1944-01-29</t>
        </is>
      </c>
    </row>
    <row r="16125">
      <c r="A16125" s="1" t="n">
        <v>16124</v>
      </c>
      <c r="B16125">
        <f>TEXT(16124, "[$-0E0000]yyyy-mm-dd")</f>
        <v/>
      </c>
      <c r="C16125" t="inlineStr">
        <is>
          <t>1944-01-30</t>
        </is>
      </c>
    </row>
    <row r="16126">
      <c r="A16126" s="1" t="n">
        <v>16125</v>
      </c>
      <c r="B16126">
        <f>TEXT(16125, "[$-0E0000]yyyy-mm-dd")</f>
        <v/>
      </c>
      <c r="C16126" t="inlineStr">
        <is>
          <t>1944-02-01</t>
        </is>
      </c>
    </row>
    <row r="16127">
      <c r="A16127" s="1" t="n">
        <v>16126</v>
      </c>
      <c r="B16127">
        <f>TEXT(16126, "[$-0E0000]yyyy-mm-dd")</f>
        <v/>
      </c>
      <c r="C16127" t="inlineStr">
        <is>
          <t>1944-02-02</t>
        </is>
      </c>
    </row>
    <row r="16128">
      <c r="A16128" s="1" t="n">
        <v>16127</v>
      </c>
      <c r="B16128">
        <f>TEXT(16127, "[$-0E0000]yyyy-mm-dd")</f>
        <v/>
      </c>
      <c r="C16128" t="inlineStr">
        <is>
          <t>1944-02-03</t>
        </is>
      </c>
    </row>
    <row r="16129">
      <c r="A16129" s="1" t="n">
        <v>16128</v>
      </c>
      <c r="B16129">
        <f>TEXT(16128, "[$-0E0000]yyyy-mm-dd")</f>
        <v/>
      </c>
      <c r="C16129" t="inlineStr">
        <is>
          <t>1944-02-04</t>
        </is>
      </c>
    </row>
    <row r="16130">
      <c r="A16130" s="1" t="n">
        <v>16129</v>
      </c>
      <c r="B16130">
        <f>TEXT(16129, "[$-0E0000]yyyy-mm-dd")</f>
        <v/>
      </c>
      <c r="C16130" t="inlineStr">
        <is>
          <t>1944-02-05</t>
        </is>
      </c>
    </row>
    <row r="16131">
      <c r="A16131" s="1" t="n">
        <v>16130</v>
      </c>
      <c r="B16131">
        <f>TEXT(16130, "[$-0E0000]yyyy-mm-dd")</f>
        <v/>
      </c>
      <c r="C16131" t="inlineStr">
        <is>
          <t>1944-02-06</t>
        </is>
      </c>
    </row>
    <row r="16132">
      <c r="A16132" s="1" t="n">
        <v>16131</v>
      </c>
      <c r="B16132">
        <f>TEXT(16131, "[$-0E0000]yyyy-mm-dd")</f>
        <v/>
      </c>
      <c r="C16132" t="inlineStr">
        <is>
          <t>1944-02-07</t>
        </is>
      </c>
    </row>
    <row r="16133">
      <c r="A16133" s="1" t="n">
        <v>16132</v>
      </c>
      <c r="B16133">
        <f>TEXT(16132, "[$-0E0000]yyyy-mm-dd")</f>
        <v/>
      </c>
      <c r="C16133" t="inlineStr">
        <is>
          <t>1944-02-08</t>
        </is>
      </c>
    </row>
    <row r="16134">
      <c r="A16134" s="1" t="n">
        <v>16133</v>
      </c>
      <c r="B16134">
        <f>TEXT(16133, "[$-0E0000]yyyy-mm-dd")</f>
        <v/>
      </c>
      <c r="C16134" t="inlineStr">
        <is>
          <t>1944-02-09</t>
        </is>
      </c>
    </row>
    <row r="16135">
      <c r="A16135" s="1" t="n">
        <v>16134</v>
      </c>
      <c r="B16135">
        <f>TEXT(16134, "[$-0E0000]yyyy-mm-dd")</f>
        <v/>
      </c>
      <c r="C16135" t="inlineStr">
        <is>
          <t>1944-02-10</t>
        </is>
      </c>
    </row>
    <row r="16136">
      <c r="A16136" s="1" t="n">
        <v>16135</v>
      </c>
      <c r="B16136">
        <f>TEXT(16135, "[$-0E0000]yyyy-mm-dd")</f>
        <v/>
      </c>
      <c r="C16136" t="inlineStr">
        <is>
          <t>1944-02-11</t>
        </is>
      </c>
    </row>
    <row r="16137">
      <c r="A16137" s="1" t="n">
        <v>16136</v>
      </c>
      <c r="B16137">
        <f>TEXT(16136, "[$-0E0000]yyyy-mm-dd")</f>
        <v/>
      </c>
      <c r="C16137" t="inlineStr">
        <is>
          <t>1944-02-12</t>
        </is>
      </c>
    </row>
    <row r="16138">
      <c r="A16138" s="1" t="n">
        <v>16137</v>
      </c>
      <c r="B16138">
        <f>TEXT(16137, "[$-0E0000]yyyy-mm-dd")</f>
        <v/>
      </c>
      <c r="C16138" t="inlineStr">
        <is>
          <t>1944-02-13</t>
        </is>
      </c>
    </row>
    <row r="16139">
      <c r="A16139" s="1" t="n">
        <v>16138</v>
      </c>
      <c r="B16139">
        <f>TEXT(16138, "[$-0E0000]yyyy-mm-dd")</f>
        <v/>
      </c>
      <c r="C16139" t="inlineStr">
        <is>
          <t>1944-02-14</t>
        </is>
      </c>
    </row>
    <row r="16140">
      <c r="A16140" s="1" t="n">
        <v>16139</v>
      </c>
      <c r="B16140">
        <f>TEXT(16139, "[$-0E0000]yyyy-mm-dd")</f>
        <v/>
      </c>
      <c r="C16140" t="inlineStr">
        <is>
          <t>1944-02-15</t>
        </is>
      </c>
    </row>
    <row r="16141">
      <c r="A16141" s="1" t="n">
        <v>16140</v>
      </c>
      <c r="B16141">
        <f>TEXT(16140, "[$-0E0000]yyyy-mm-dd")</f>
        <v/>
      </c>
      <c r="C16141" t="inlineStr">
        <is>
          <t>1944-02-16</t>
        </is>
      </c>
    </row>
    <row r="16142">
      <c r="A16142" s="1" t="n">
        <v>16141</v>
      </c>
      <c r="B16142">
        <f>TEXT(16141, "[$-0E0000]yyyy-mm-dd")</f>
        <v/>
      </c>
      <c r="C16142" t="inlineStr">
        <is>
          <t>1944-02-17</t>
        </is>
      </c>
    </row>
    <row r="16143">
      <c r="A16143" s="1" t="n">
        <v>16142</v>
      </c>
      <c r="B16143">
        <f>TEXT(16142, "[$-0E0000]yyyy-mm-dd")</f>
        <v/>
      </c>
      <c r="C16143" t="inlineStr">
        <is>
          <t>1944-02-18</t>
        </is>
      </c>
    </row>
    <row r="16144">
      <c r="A16144" s="1" t="n">
        <v>16143</v>
      </c>
      <c r="B16144">
        <f>TEXT(16143, "[$-0E0000]yyyy-mm-dd")</f>
        <v/>
      </c>
      <c r="C16144" t="inlineStr">
        <is>
          <t>1944-02-19</t>
        </is>
      </c>
    </row>
    <row r="16145">
      <c r="A16145" s="1" t="n">
        <v>16144</v>
      </c>
      <c r="B16145">
        <f>TEXT(16144, "[$-0E0000]yyyy-mm-dd")</f>
        <v/>
      </c>
      <c r="C16145" t="inlineStr">
        <is>
          <t>1944-02-20</t>
        </is>
      </c>
    </row>
    <row r="16146">
      <c r="A16146" s="1" t="n">
        <v>16145</v>
      </c>
      <c r="B16146">
        <f>TEXT(16145, "[$-0E0000]yyyy-mm-dd")</f>
        <v/>
      </c>
      <c r="C16146" t="inlineStr">
        <is>
          <t>1944-02-21</t>
        </is>
      </c>
    </row>
    <row r="16147">
      <c r="A16147" s="1" t="n">
        <v>16146</v>
      </c>
      <c r="B16147">
        <f>TEXT(16146, "[$-0E0000]yyyy-mm-dd")</f>
        <v/>
      </c>
      <c r="C16147" t="inlineStr">
        <is>
          <t>1944-02-22</t>
        </is>
      </c>
    </row>
    <row r="16148">
      <c r="A16148" s="1" t="n">
        <v>16147</v>
      </c>
      <c r="B16148">
        <f>TEXT(16147, "[$-0E0000]yyyy-mm-dd")</f>
        <v/>
      </c>
      <c r="C16148" t="inlineStr">
        <is>
          <t>1944-02-23</t>
        </is>
      </c>
    </row>
    <row r="16149">
      <c r="A16149" s="1" t="n">
        <v>16148</v>
      </c>
      <c r="B16149">
        <f>TEXT(16148, "[$-0E0000]yyyy-mm-dd")</f>
        <v/>
      </c>
      <c r="C16149" t="inlineStr">
        <is>
          <t>1944-02-24</t>
        </is>
      </c>
    </row>
    <row r="16150">
      <c r="A16150" s="1" t="n">
        <v>16149</v>
      </c>
      <c r="B16150">
        <f>TEXT(16149, "[$-0E0000]yyyy-mm-dd")</f>
        <v/>
      </c>
      <c r="C16150" t="inlineStr">
        <is>
          <t>1944-02-25</t>
        </is>
      </c>
    </row>
    <row r="16151">
      <c r="A16151" s="1" t="n">
        <v>16150</v>
      </c>
      <c r="B16151">
        <f>TEXT(16150, "[$-0E0000]yyyy-mm-dd")</f>
        <v/>
      </c>
      <c r="C16151" t="inlineStr">
        <is>
          <t>1944-02-26</t>
        </is>
      </c>
    </row>
    <row r="16152">
      <c r="A16152" s="1" t="n">
        <v>16151</v>
      </c>
      <c r="B16152">
        <f>TEXT(16151, "[$-0E0000]yyyy-mm-dd")</f>
        <v/>
      </c>
      <c r="C16152" t="inlineStr">
        <is>
          <t>1944-02-27</t>
        </is>
      </c>
    </row>
    <row r="16153">
      <c r="A16153" s="1" t="n">
        <v>16152</v>
      </c>
      <c r="B16153">
        <f>TEXT(16152, "[$-0E0000]yyyy-mm-dd")</f>
        <v/>
      </c>
      <c r="C16153" t="inlineStr">
        <is>
          <t>1944-02-28</t>
        </is>
      </c>
    </row>
    <row r="16154">
      <c r="A16154" s="1" t="n">
        <v>16153</v>
      </c>
      <c r="B16154">
        <f>TEXT(16153, "[$-0E0000]yyyy-mm-dd")</f>
        <v/>
      </c>
      <c r="C16154" t="inlineStr">
        <is>
          <t>1944-02-29</t>
        </is>
      </c>
    </row>
    <row r="16155">
      <c r="A16155" s="1" t="n">
        <v>16154</v>
      </c>
      <c r="B16155">
        <f>TEXT(16154, "[$-0E0000]yyyy-mm-dd")</f>
        <v/>
      </c>
      <c r="C16155" t="inlineStr">
        <is>
          <t>1944-03-01</t>
        </is>
      </c>
    </row>
    <row r="16156">
      <c r="A16156" s="1" t="n">
        <v>16155</v>
      </c>
      <c r="B16156">
        <f>TEXT(16155, "[$-0E0000]yyyy-mm-dd")</f>
        <v/>
      </c>
      <c r="C16156" t="inlineStr">
        <is>
          <t>1944-03-02</t>
        </is>
      </c>
    </row>
    <row r="16157">
      <c r="A16157" s="1" t="n">
        <v>16156</v>
      </c>
      <c r="B16157">
        <f>TEXT(16156, "[$-0E0000]yyyy-mm-dd")</f>
        <v/>
      </c>
      <c r="C16157" t="inlineStr">
        <is>
          <t>1944-03-03</t>
        </is>
      </c>
    </row>
    <row r="16158">
      <c r="A16158" s="1" t="n">
        <v>16157</v>
      </c>
      <c r="B16158">
        <f>TEXT(16157, "[$-0E0000]yyyy-mm-dd")</f>
        <v/>
      </c>
      <c r="C16158" t="inlineStr">
        <is>
          <t>1944-03-04</t>
        </is>
      </c>
    </row>
    <row r="16159">
      <c r="A16159" s="1" t="n">
        <v>16158</v>
      </c>
      <c r="B16159">
        <f>TEXT(16158, "[$-0E0000]yyyy-mm-dd")</f>
        <v/>
      </c>
      <c r="C16159" t="inlineStr">
        <is>
          <t>1944-03-05</t>
        </is>
      </c>
    </row>
    <row r="16160">
      <c r="A16160" s="1" t="n">
        <v>16159</v>
      </c>
      <c r="B16160">
        <f>TEXT(16159, "[$-0E0000]yyyy-mm-dd")</f>
        <v/>
      </c>
      <c r="C16160" t="inlineStr">
        <is>
          <t>1944-03-06</t>
        </is>
      </c>
    </row>
    <row r="16161">
      <c r="A16161" s="1" t="n">
        <v>16160</v>
      </c>
      <c r="B16161">
        <f>TEXT(16160, "[$-0E0000]yyyy-mm-dd")</f>
        <v/>
      </c>
      <c r="C16161" t="inlineStr">
        <is>
          <t>1944-03-07</t>
        </is>
      </c>
    </row>
    <row r="16162">
      <c r="A16162" s="1" t="n">
        <v>16161</v>
      </c>
      <c r="B16162">
        <f>TEXT(16161, "[$-0E0000]yyyy-mm-dd")</f>
        <v/>
      </c>
      <c r="C16162" t="inlineStr">
        <is>
          <t>1944-03-08</t>
        </is>
      </c>
    </row>
    <row r="16163">
      <c r="A16163" s="1" t="n">
        <v>16162</v>
      </c>
      <c r="B16163">
        <f>TEXT(16162, "[$-0E0000]yyyy-mm-dd")</f>
        <v/>
      </c>
      <c r="C16163" t="inlineStr">
        <is>
          <t>1944-03-09</t>
        </is>
      </c>
    </row>
    <row r="16164">
      <c r="A16164" s="1" t="n">
        <v>16163</v>
      </c>
      <c r="B16164">
        <f>TEXT(16163, "[$-0E0000]yyyy-mm-dd")</f>
        <v/>
      </c>
      <c r="C16164" t="inlineStr">
        <is>
          <t>1944-03-10</t>
        </is>
      </c>
    </row>
    <row r="16165">
      <c r="A16165" s="1" t="n">
        <v>16164</v>
      </c>
      <c r="B16165">
        <f>TEXT(16164, "[$-0E0000]yyyy-mm-dd")</f>
        <v/>
      </c>
      <c r="C16165" t="inlineStr">
        <is>
          <t>1944-03-11</t>
        </is>
      </c>
    </row>
    <row r="16166">
      <c r="A16166" s="1" t="n">
        <v>16165</v>
      </c>
      <c r="B16166">
        <f>TEXT(16165, "[$-0E0000]yyyy-mm-dd")</f>
        <v/>
      </c>
      <c r="C16166" t="inlineStr">
        <is>
          <t>1944-03-12</t>
        </is>
      </c>
    </row>
    <row r="16167">
      <c r="A16167" s="1" t="n">
        <v>16166</v>
      </c>
      <c r="B16167">
        <f>TEXT(16166, "[$-0E0000]yyyy-mm-dd")</f>
        <v/>
      </c>
      <c r="C16167" t="inlineStr">
        <is>
          <t>1944-03-13</t>
        </is>
      </c>
    </row>
    <row r="16168">
      <c r="A16168" s="1" t="n">
        <v>16167</v>
      </c>
      <c r="B16168">
        <f>TEXT(16167, "[$-0E0000]yyyy-mm-dd")</f>
        <v/>
      </c>
      <c r="C16168" t="inlineStr">
        <is>
          <t>1944-03-14</t>
        </is>
      </c>
    </row>
    <row r="16169">
      <c r="A16169" s="1" t="n">
        <v>16168</v>
      </c>
      <c r="B16169">
        <f>TEXT(16168, "[$-0E0000]yyyy-mm-dd")</f>
        <v/>
      </c>
      <c r="C16169" t="inlineStr">
        <is>
          <t>1944-03-15</t>
        </is>
      </c>
    </row>
    <row r="16170">
      <c r="A16170" s="1" t="n">
        <v>16169</v>
      </c>
      <c r="B16170">
        <f>TEXT(16169, "[$-0E0000]yyyy-mm-dd")</f>
        <v/>
      </c>
      <c r="C16170" t="inlineStr">
        <is>
          <t>1944-03-16</t>
        </is>
      </c>
    </row>
    <row r="16171">
      <c r="A16171" s="1" t="n">
        <v>16170</v>
      </c>
      <c r="B16171">
        <f>TEXT(16170, "[$-0E0000]yyyy-mm-dd")</f>
        <v/>
      </c>
      <c r="C16171" t="inlineStr">
        <is>
          <t>1944-03-17</t>
        </is>
      </c>
    </row>
    <row r="16172">
      <c r="A16172" s="1" t="n">
        <v>16171</v>
      </c>
      <c r="B16172">
        <f>TEXT(16171, "[$-0E0000]yyyy-mm-dd")</f>
        <v/>
      </c>
      <c r="C16172" t="inlineStr">
        <is>
          <t>1944-03-18</t>
        </is>
      </c>
    </row>
    <row r="16173">
      <c r="A16173" s="1" t="n">
        <v>16172</v>
      </c>
      <c r="B16173">
        <f>TEXT(16172, "[$-0E0000]yyyy-mm-dd")</f>
        <v/>
      </c>
      <c r="C16173" t="inlineStr">
        <is>
          <t>1944-03-19</t>
        </is>
      </c>
    </row>
    <row r="16174">
      <c r="A16174" s="1" t="n">
        <v>16173</v>
      </c>
      <c r="B16174">
        <f>TEXT(16173, "[$-0E0000]yyyy-mm-dd")</f>
        <v/>
      </c>
      <c r="C16174" t="inlineStr">
        <is>
          <t>1944-03-20</t>
        </is>
      </c>
    </row>
    <row r="16175">
      <c r="A16175" s="1" t="n">
        <v>16174</v>
      </c>
      <c r="B16175">
        <f>TEXT(16174, "[$-0E0000]yyyy-mm-dd")</f>
        <v/>
      </c>
      <c r="C16175" t="inlineStr">
        <is>
          <t>1944-03-21</t>
        </is>
      </c>
    </row>
    <row r="16176">
      <c r="A16176" s="1" t="n">
        <v>16175</v>
      </c>
      <c r="B16176">
        <f>TEXT(16175, "[$-0E0000]yyyy-mm-dd")</f>
        <v/>
      </c>
      <c r="C16176" t="inlineStr">
        <is>
          <t>1944-03-22</t>
        </is>
      </c>
    </row>
    <row r="16177">
      <c r="A16177" s="1" t="n">
        <v>16176</v>
      </c>
      <c r="B16177">
        <f>TEXT(16176, "[$-0E0000]yyyy-mm-dd")</f>
        <v/>
      </c>
      <c r="C16177" t="inlineStr">
        <is>
          <t>1944-03-23</t>
        </is>
      </c>
    </row>
    <row r="16178">
      <c r="A16178" s="1" t="n">
        <v>16177</v>
      </c>
      <c r="B16178">
        <f>TEXT(16177, "[$-0E0000]yyyy-mm-dd")</f>
        <v/>
      </c>
      <c r="C16178" t="inlineStr">
        <is>
          <t>1944-03-24</t>
        </is>
      </c>
    </row>
    <row r="16179">
      <c r="A16179" s="1" t="n">
        <v>16178</v>
      </c>
      <c r="B16179">
        <f>TEXT(16178, "[$-0E0000]yyyy-mm-dd")</f>
        <v/>
      </c>
      <c r="C16179" t="inlineStr">
        <is>
          <t>1944-03-25</t>
        </is>
      </c>
    </row>
    <row r="16180">
      <c r="A16180" s="1" t="n">
        <v>16179</v>
      </c>
      <c r="B16180">
        <f>TEXT(16179, "[$-0E0000]yyyy-mm-dd")</f>
        <v/>
      </c>
      <c r="C16180" t="inlineStr">
        <is>
          <t>1944-03-26</t>
        </is>
      </c>
    </row>
    <row r="16181">
      <c r="A16181" s="1" t="n">
        <v>16180</v>
      </c>
      <c r="B16181">
        <f>TEXT(16180, "[$-0E0000]yyyy-mm-dd")</f>
        <v/>
      </c>
      <c r="C16181" t="inlineStr">
        <is>
          <t>1944-03-27</t>
        </is>
      </c>
    </row>
    <row r="16182">
      <c r="A16182" s="1" t="n">
        <v>16181</v>
      </c>
      <c r="B16182">
        <f>TEXT(16181, "[$-0E0000]yyyy-mm-dd")</f>
        <v/>
      </c>
      <c r="C16182" t="inlineStr">
        <is>
          <t>1944-03-28</t>
        </is>
      </c>
    </row>
    <row r="16183">
      <c r="A16183" s="1" t="n">
        <v>16182</v>
      </c>
      <c r="B16183">
        <f>TEXT(16182, "[$-0E0000]yyyy-mm-dd")</f>
        <v/>
      </c>
      <c r="C16183" t="inlineStr">
        <is>
          <t>1944-03-29</t>
        </is>
      </c>
    </row>
    <row r="16184">
      <c r="A16184" s="1" t="n">
        <v>16183</v>
      </c>
      <c r="B16184">
        <f>TEXT(16183, "[$-0E0000]yyyy-mm-dd")</f>
        <v/>
      </c>
      <c r="C16184" t="inlineStr">
        <is>
          <t>1944-03-30</t>
        </is>
      </c>
    </row>
    <row r="16185">
      <c r="A16185" s="1" t="n">
        <v>16184</v>
      </c>
      <c r="B16185">
        <f>TEXT(16184, "[$-0E0000]yyyy-mm-dd")</f>
        <v/>
      </c>
      <c r="C16185" t="inlineStr">
        <is>
          <t>1944-04-01</t>
        </is>
      </c>
    </row>
    <row r="16186">
      <c r="A16186" s="1" t="n">
        <v>16185</v>
      </c>
      <c r="B16186">
        <f>TEXT(16185, "[$-0E0000]yyyy-mm-dd")</f>
        <v/>
      </c>
      <c r="C16186" t="inlineStr">
        <is>
          <t>1944-04-02</t>
        </is>
      </c>
    </row>
    <row r="16187">
      <c r="A16187" s="1" t="n">
        <v>16186</v>
      </c>
      <c r="B16187">
        <f>TEXT(16186, "[$-0E0000]yyyy-mm-dd")</f>
        <v/>
      </c>
      <c r="C16187" t="inlineStr">
        <is>
          <t>1944-04-03</t>
        </is>
      </c>
    </row>
    <row r="16188">
      <c r="A16188" s="1" t="n">
        <v>16187</v>
      </c>
      <c r="B16188">
        <f>TEXT(16187, "[$-0E0000]yyyy-mm-dd")</f>
        <v/>
      </c>
      <c r="C16188" t="inlineStr">
        <is>
          <t>1944-04-04</t>
        </is>
      </c>
    </row>
    <row r="16189">
      <c r="A16189" s="1" t="n">
        <v>16188</v>
      </c>
      <c r="B16189">
        <f>TEXT(16188, "[$-0E0000]yyyy-mm-dd")</f>
        <v/>
      </c>
      <c r="C16189" t="inlineStr">
        <is>
          <t>1944-04-05</t>
        </is>
      </c>
    </row>
    <row r="16190">
      <c r="A16190" s="1" t="n">
        <v>16189</v>
      </c>
      <c r="B16190">
        <f>TEXT(16189, "[$-0E0000]yyyy-mm-dd")</f>
        <v/>
      </c>
      <c r="C16190" t="inlineStr">
        <is>
          <t>1944-04-06</t>
        </is>
      </c>
    </row>
    <row r="16191">
      <c r="A16191" s="1" t="n">
        <v>16190</v>
      </c>
      <c r="B16191">
        <f>TEXT(16190, "[$-0E0000]yyyy-mm-dd")</f>
        <v/>
      </c>
      <c r="C16191" t="inlineStr">
        <is>
          <t>1944-04-07</t>
        </is>
      </c>
    </row>
    <row r="16192">
      <c r="A16192" s="1" t="n">
        <v>16191</v>
      </c>
      <c r="B16192">
        <f>TEXT(16191, "[$-0E0000]yyyy-mm-dd")</f>
        <v/>
      </c>
      <c r="C16192" t="inlineStr">
        <is>
          <t>1944-04-08</t>
        </is>
      </c>
    </row>
    <row r="16193">
      <c r="A16193" s="1" t="n">
        <v>16192</v>
      </c>
      <c r="B16193">
        <f>TEXT(16192, "[$-0E0000]yyyy-mm-dd")</f>
        <v/>
      </c>
      <c r="C16193" t="inlineStr">
        <is>
          <t>1944-04-09</t>
        </is>
      </c>
    </row>
    <row r="16194">
      <c r="A16194" s="1" t="n">
        <v>16193</v>
      </c>
      <c r="B16194">
        <f>TEXT(16193, "[$-0E0000]yyyy-mm-dd")</f>
        <v/>
      </c>
      <c r="C16194" t="inlineStr">
        <is>
          <t>1944-04-10</t>
        </is>
      </c>
    </row>
    <row r="16195">
      <c r="A16195" s="1" t="n">
        <v>16194</v>
      </c>
      <c r="B16195">
        <f>TEXT(16194, "[$-0E0000]yyyy-mm-dd")</f>
        <v/>
      </c>
      <c r="C16195" t="inlineStr">
        <is>
          <t>1944-04-11</t>
        </is>
      </c>
    </row>
    <row r="16196">
      <c r="A16196" s="1" t="n">
        <v>16195</v>
      </c>
      <c r="B16196">
        <f>TEXT(16195, "[$-0E0000]yyyy-mm-dd")</f>
        <v/>
      </c>
      <c r="C16196" t="inlineStr">
        <is>
          <t>1944-04-12</t>
        </is>
      </c>
    </row>
    <row r="16197">
      <c r="A16197" s="1" t="n">
        <v>16196</v>
      </c>
      <c r="B16197">
        <f>TEXT(16196, "[$-0E0000]yyyy-mm-dd")</f>
        <v/>
      </c>
      <c r="C16197" t="inlineStr">
        <is>
          <t>1944-04-13</t>
        </is>
      </c>
    </row>
    <row r="16198">
      <c r="A16198" s="1" t="n">
        <v>16197</v>
      </c>
      <c r="B16198">
        <f>TEXT(16197, "[$-0E0000]yyyy-mm-dd")</f>
        <v/>
      </c>
      <c r="C16198" t="inlineStr">
        <is>
          <t>1944-04-14</t>
        </is>
      </c>
    </row>
    <row r="16199">
      <c r="A16199" s="1" t="n">
        <v>16198</v>
      </c>
      <c r="B16199">
        <f>TEXT(16198, "[$-0E0000]yyyy-mm-dd")</f>
        <v/>
      </c>
      <c r="C16199" t="inlineStr">
        <is>
          <t>1944-04-15</t>
        </is>
      </c>
    </row>
    <row r="16200">
      <c r="A16200" s="1" t="n">
        <v>16199</v>
      </c>
      <c r="B16200">
        <f>TEXT(16199, "[$-0E0000]yyyy-mm-dd")</f>
        <v/>
      </c>
      <c r="C16200" t="inlineStr">
        <is>
          <t>1944-04-16</t>
        </is>
      </c>
    </row>
    <row r="16201">
      <c r="A16201" s="1" t="n">
        <v>16200</v>
      </c>
      <c r="B16201">
        <f>TEXT(16200, "[$-0E0000]yyyy-mm-dd")</f>
        <v/>
      </c>
      <c r="C16201" t="inlineStr">
        <is>
          <t>1944-04-17</t>
        </is>
      </c>
    </row>
    <row r="16202">
      <c r="A16202" s="1" t="n">
        <v>16201</v>
      </c>
      <c r="B16202">
        <f>TEXT(16201, "[$-0E0000]yyyy-mm-dd")</f>
        <v/>
      </c>
      <c r="C16202" t="inlineStr">
        <is>
          <t>1944-04-18</t>
        </is>
      </c>
    </row>
    <row r="16203">
      <c r="A16203" s="1" t="n">
        <v>16202</v>
      </c>
      <c r="B16203">
        <f>TEXT(16202, "[$-0E0000]yyyy-mm-dd")</f>
        <v/>
      </c>
      <c r="C16203" t="inlineStr">
        <is>
          <t>1944-04-19</t>
        </is>
      </c>
    </row>
    <row r="16204">
      <c r="A16204" s="1" t="n">
        <v>16203</v>
      </c>
      <c r="B16204">
        <f>TEXT(16203, "[$-0E0000]yyyy-mm-dd")</f>
        <v/>
      </c>
      <c r="C16204" t="inlineStr">
        <is>
          <t>1944-04-20</t>
        </is>
      </c>
    </row>
    <row r="16205">
      <c r="A16205" s="1" t="n">
        <v>16204</v>
      </c>
      <c r="B16205">
        <f>TEXT(16204, "[$-0E0000]yyyy-mm-dd")</f>
        <v/>
      </c>
      <c r="C16205" t="inlineStr">
        <is>
          <t>1944-04-21</t>
        </is>
      </c>
    </row>
    <row r="16206">
      <c r="A16206" s="1" t="n">
        <v>16205</v>
      </c>
      <c r="B16206">
        <f>TEXT(16205, "[$-0E0000]yyyy-mm-dd")</f>
        <v/>
      </c>
      <c r="C16206" t="inlineStr">
        <is>
          <t>1944-04-22</t>
        </is>
      </c>
    </row>
    <row r="16207">
      <c r="A16207" s="1" t="n">
        <v>16206</v>
      </c>
      <c r="B16207">
        <f>TEXT(16206, "[$-0E0000]yyyy-mm-dd")</f>
        <v/>
      </c>
      <c r="C16207" t="inlineStr">
        <is>
          <t>1944-04-23</t>
        </is>
      </c>
    </row>
    <row r="16208">
      <c r="A16208" s="1" t="n">
        <v>16207</v>
      </c>
      <c r="B16208">
        <f>TEXT(16207, "[$-0E0000]yyyy-mm-dd")</f>
        <v/>
      </c>
      <c r="C16208" t="inlineStr">
        <is>
          <t>1944-04-24</t>
        </is>
      </c>
    </row>
    <row r="16209">
      <c r="A16209" s="1" t="n">
        <v>16208</v>
      </c>
      <c r="B16209">
        <f>TEXT(16208, "[$-0E0000]yyyy-mm-dd")</f>
        <v/>
      </c>
      <c r="C16209" t="inlineStr">
        <is>
          <t>1944-04-25</t>
        </is>
      </c>
    </row>
    <row r="16210">
      <c r="A16210" s="1" t="n">
        <v>16209</v>
      </c>
      <c r="B16210">
        <f>TEXT(16209, "[$-0E0000]yyyy-mm-dd")</f>
        <v/>
      </c>
      <c r="C16210" t="inlineStr">
        <is>
          <t>1944-04-26</t>
        </is>
      </c>
    </row>
    <row r="16211">
      <c r="A16211" s="1" t="n">
        <v>16210</v>
      </c>
      <c r="B16211">
        <f>TEXT(16210, "[$-0E0000]yyyy-mm-dd")</f>
        <v/>
      </c>
      <c r="C16211" t="inlineStr">
        <is>
          <t>1944-04-27</t>
        </is>
      </c>
    </row>
    <row r="16212">
      <c r="A16212" s="1" t="n">
        <v>16211</v>
      </c>
      <c r="B16212">
        <f>TEXT(16211, "[$-0E0000]yyyy-mm-dd")</f>
        <v/>
      </c>
      <c r="C16212" t="inlineStr">
        <is>
          <t>1944-04-28</t>
        </is>
      </c>
    </row>
    <row r="16213">
      <c r="A16213" s="1" t="n">
        <v>16212</v>
      </c>
      <c r="B16213">
        <f>TEXT(16212, "[$-0E0000]yyyy-mm-dd")</f>
        <v/>
      </c>
      <c r="C16213" t="inlineStr">
        <is>
          <t>1944-04-29</t>
        </is>
      </c>
    </row>
    <row r="16214">
      <c r="A16214" s="1" t="n">
        <v>16213</v>
      </c>
      <c r="B16214">
        <f>TEXT(16213, "[$-0E0000]yyyy-mm-dd")</f>
        <v/>
      </c>
      <c r="C16214" t="inlineStr">
        <is>
          <t>1944-04-01</t>
        </is>
      </c>
    </row>
    <row r="16215">
      <c r="A16215" s="1" t="n">
        <v>16214</v>
      </c>
      <c r="B16215">
        <f>TEXT(16214, "[$-0E0000]yyyy-mm-dd")</f>
        <v/>
      </c>
      <c r="C16215" t="inlineStr">
        <is>
          <t>1944-04-02</t>
        </is>
      </c>
    </row>
    <row r="16216">
      <c r="A16216" s="1" t="n">
        <v>16215</v>
      </c>
      <c r="B16216">
        <f>TEXT(16215, "[$-0E0000]yyyy-mm-dd")</f>
        <v/>
      </c>
      <c r="C16216" t="inlineStr">
        <is>
          <t>1944-04-03</t>
        </is>
      </c>
    </row>
    <row r="16217">
      <c r="A16217" s="1" t="n">
        <v>16216</v>
      </c>
      <c r="B16217">
        <f>TEXT(16216, "[$-0E0000]yyyy-mm-dd")</f>
        <v/>
      </c>
      <c r="C16217" t="inlineStr">
        <is>
          <t>1944-04-04</t>
        </is>
      </c>
    </row>
    <row r="16218">
      <c r="A16218" s="1" t="n">
        <v>16217</v>
      </c>
      <c r="B16218">
        <f>TEXT(16217, "[$-0E0000]yyyy-mm-dd")</f>
        <v/>
      </c>
      <c r="C16218" t="inlineStr">
        <is>
          <t>1944-04-05</t>
        </is>
      </c>
    </row>
    <row r="16219">
      <c r="A16219" s="1" t="n">
        <v>16218</v>
      </c>
      <c r="B16219">
        <f>TEXT(16218, "[$-0E0000]yyyy-mm-dd")</f>
        <v/>
      </c>
      <c r="C16219" t="inlineStr">
        <is>
          <t>1944-04-06</t>
        </is>
      </c>
    </row>
    <row r="16220">
      <c r="A16220" s="1" t="n">
        <v>16219</v>
      </c>
      <c r="B16220">
        <f>TEXT(16219, "[$-0E0000]yyyy-mm-dd")</f>
        <v/>
      </c>
      <c r="C16220" t="inlineStr">
        <is>
          <t>1944-04-07</t>
        </is>
      </c>
    </row>
    <row r="16221">
      <c r="A16221" s="1" t="n">
        <v>16220</v>
      </c>
      <c r="B16221">
        <f>TEXT(16220, "[$-0E0000]yyyy-mm-dd")</f>
        <v/>
      </c>
      <c r="C16221" t="inlineStr">
        <is>
          <t>1944-04-08</t>
        </is>
      </c>
    </row>
    <row r="16222">
      <c r="A16222" s="1" t="n">
        <v>16221</v>
      </c>
      <c r="B16222">
        <f>TEXT(16221, "[$-0E0000]yyyy-mm-dd")</f>
        <v/>
      </c>
      <c r="C16222" t="inlineStr">
        <is>
          <t>1944-04-09</t>
        </is>
      </c>
    </row>
    <row r="16223">
      <c r="A16223" s="1" t="n">
        <v>16222</v>
      </c>
      <c r="B16223">
        <f>TEXT(16222, "[$-0E0000]yyyy-mm-dd")</f>
        <v/>
      </c>
      <c r="C16223" t="inlineStr">
        <is>
          <t>1944-04-10</t>
        </is>
      </c>
    </row>
    <row r="16224">
      <c r="A16224" s="1" t="n">
        <v>16223</v>
      </c>
      <c r="B16224">
        <f>TEXT(16223, "[$-0E0000]yyyy-mm-dd")</f>
        <v/>
      </c>
      <c r="C16224" t="inlineStr">
        <is>
          <t>1944-04-11</t>
        </is>
      </c>
    </row>
    <row r="16225">
      <c r="A16225" s="1" t="n">
        <v>16224</v>
      </c>
      <c r="B16225">
        <f>TEXT(16224, "[$-0E0000]yyyy-mm-dd")</f>
        <v/>
      </c>
      <c r="C16225" t="inlineStr">
        <is>
          <t>1944-04-12</t>
        </is>
      </c>
    </row>
    <row r="16226">
      <c r="A16226" s="1" t="n">
        <v>16225</v>
      </c>
      <c r="B16226">
        <f>TEXT(16225, "[$-0E0000]yyyy-mm-dd")</f>
        <v/>
      </c>
      <c r="C16226" t="inlineStr">
        <is>
          <t>1944-04-13</t>
        </is>
      </c>
    </row>
    <row r="16227">
      <c r="A16227" s="1" t="n">
        <v>16226</v>
      </c>
      <c r="B16227">
        <f>TEXT(16226, "[$-0E0000]yyyy-mm-dd")</f>
        <v/>
      </c>
      <c r="C16227" t="inlineStr">
        <is>
          <t>1944-04-14</t>
        </is>
      </c>
    </row>
    <row r="16228">
      <c r="A16228" s="1" t="n">
        <v>16227</v>
      </c>
      <c r="B16228">
        <f>TEXT(16227, "[$-0E0000]yyyy-mm-dd")</f>
        <v/>
      </c>
      <c r="C16228" t="inlineStr">
        <is>
          <t>1944-04-15</t>
        </is>
      </c>
    </row>
    <row r="16229">
      <c r="A16229" s="1" t="n">
        <v>16228</v>
      </c>
      <c r="B16229">
        <f>TEXT(16228, "[$-0E0000]yyyy-mm-dd")</f>
        <v/>
      </c>
      <c r="C16229" t="inlineStr">
        <is>
          <t>1944-04-16</t>
        </is>
      </c>
    </row>
    <row r="16230">
      <c r="A16230" s="1" t="n">
        <v>16229</v>
      </c>
      <c r="B16230">
        <f>TEXT(16229, "[$-0E0000]yyyy-mm-dd")</f>
        <v/>
      </c>
      <c r="C16230" t="inlineStr">
        <is>
          <t>1944-04-17</t>
        </is>
      </c>
    </row>
    <row r="16231">
      <c r="A16231" s="1" t="n">
        <v>16230</v>
      </c>
      <c r="B16231">
        <f>TEXT(16230, "[$-0E0000]yyyy-mm-dd")</f>
        <v/>
      </c>
      <c r="C16231" t="inlineStr">
        <is>
          <t>1944-04-18</t>
        </is>
      </c>
    </row>
    <row r="16232">
      <c r="A16232" s="1" t="n">
        <v>16231</v>
      </c>
      <c r="B16232">
        <f>TEXT(16231, "[$-0E0000]yyyy-mm-dd")</f>
        <v/>
      </c>
      <c r="C16232" t="inlineStr">
        <is>
          <t>1944-04-19</t>
        </is>
      </c>
    </row>
    <row r="16233">
      <c r="A16233" s="1" t="n">
        <v>16232</v>
      </c>
      <c r="B16233">
        <f>TEXT(16232, "[$-0E0000]yyyy-mm-dd")</f>
        <v/>
      </c>
      <c r="C16233" t="inlineStr">
        <is>
          <t>1944-04-20</t>
        </is>
      </c>
    </row>
    <row r="16234">
      <c r="A16234" s="1" t="n">
        <v>16233</v>
      </c>
      <c r="B16234">
        <f>TEXT(16233, "[$-0E0000]yyyy-mm-dd")</f>
        <v/>
      </c>
      <c r="C16234" t="inlineStr">
        <is>
          <t>1944-04-21</t>
        </is>
      </c>
    </row>
    <row r="16235">
      <c r="A16235" s="1" t="n">
        <v>16234</v>
      </c>
      <c r="B16235">
        <f>TEXT(16234, "[$-0E0000]yyyy-mm-dd")</f>
        <v/>
      </c>
      <c r="C16235" t="inlineStr">
        <is>
          <t>1944-04-22</t>
        </is>
      </c>
    </row>
    <row r="16236">
      <c r="A16236" s="1" t="n">
        <v>16235</v>
      </c>
      <c r="B16236">
        <f>TEXT(16235, "[$-0E0000]yyyy-mm-dd")</f>
        <v/>
      </c>
      <c r="C16236" t="inlineStr">
        <is>
          <t>1944-04-23</t>
        </is>
      </c>
    </row>
    <row r="16237">
      <c r="A16237" s="1" t="n">
        <v>16236</v>
      </c>
      <c r="B16237">
        <f>TEXT(16236, "[$-0E0000]yyyy-mm-dd")</f>
        <v/>
      </c>
      <c r="C16237" t="inlineStr">
        <is>
          <t>1944-04-24</t>
        </is>
      </c>
    </row>
    <row r="16238">
      <c r="A16238" s="1" t="n">
        <v>16237</v>
      </c>
      <c r="B16238">
        <f>TEXT(16237, "[$-0E0000]yyyy-mm-dd")</f>
        <v/>
      </c>
      <c r="C16238" t="inlineStr">
        <is>
          <t>1944-04-25</t>
        </is>
      </c>
    </row>
    <row r="16239">
      <c r="A16239" s="1" t="n">
        <v>16238</v>
      </c>
      <c r="B16239">
        <f>TEXT(16238, "[$-0E0000]yyyy-mm-dd")</f>
        <v/>
      </c>
      <c r="C16239" t="inlineStr">
        <is>
          <t>1944-04-26</t>
        </is>
      </c>
    </row>
    <row r="16240">
      <c r="A16240" s="1" t="n">
        <v>16239</v>
      </c>
      <c r="B16240">
        <f>TEXT(16239, "[$-0E0000]yyyy-mm-dd")</f>
        <v/>
      </c>
      <c r="C16240" t="inlineStr">
        <is>
          <t>1944-04-27</t>
        </is>
      </c>
    </row>
    <row r="16241">
      <c r="A16241" s="1" t="n">
        <v>16240</v>
      </c>
      <c r="B16241">
        <f>TEXT(16240, "[$-0E0000]yyyy-mm-dd")</f>
        <v/>
      </c>
      <c r="C16241" t="inlineStr">
        <is>
          <t>1944-04-28</t>
        </is>
      </c>
    </row>
    <row r="16242">
      <c r="A16242" s="1" t="n">
        <v>16241</v>
      </c>
      <c r="B16242">
        <f>TEXT(16241, "[$-0E0000]yyyy-mm-dd")</f>
        <v/>
      </c>
      <c r="C16242" t="inlineStr">
        <is>
          <t>1944-04-29</t>
        </is>
      </c>
    </row>
    <row r="16243">
      <c r="A16243" s="1" t="n">
        <v>16242</v>
      </c>
      <c r="B16243">
        <f>TEXT(16242, "[$-0E0000]yyyy-mm-dd")</f>
        <v/>
      </c>
      <c r="C16243" t="inlineStr">
        <is>
          <t>1944-04-30</t>
        </is>
      </c>
    </row>
    <row r="16244">
      <c r="A16244" s="1" t="n">
        <v>16243</v>
      </c>
      <c r="B16244">
        <f>TEXT(16243, "[$-0E0000]yyyy-mm-dd")</f>
        <v/>
      </c>
      <c r="C16244" t="inlineStr">
        <is>
          <t>1944-05-01</t>
        </is>
      </c>
    </row>
    <row r="16245">
      <c r="A16245" s="1" t="n">
        <v>16244</v>
      </c>
      <c r="B16245">
        <f>TEXT(16244, "[$-0E0000]yyyy-mm-dd")</f>
        <v/>
      </c>
      <c r="C16245" t="inlineStr">
        <is>
          <t>1944-05-02</t>
        </is>
      </c>
    </row>
    <row r="16246">
      <c r="A16246" s="1" t="n">
        <v>16245</v>
      </c>
      <c r="B16246">
        <f>TEXT(16245, "[$-0E0000]yyyy-mm-dd")</f>
        <v/>
      </c>
      <c r="C16246" t="inlineStr">
        <is>
          <t>1944-05-03</t>
        </is>
      </c>
    </row>
    <row r="16247">
      <c r="A16247" s="1" t="n">
        <v>16246</v>
      </c>
      <c r="B16247">
        <f>TEXT(16246, "[$-0E0000]yyyy-mm-dd")</f>
        <v/>
      </c>
      <c r="C16247" t="inlineStr">
        <is>
          <t>1944-05-04</t>
        </is>
      </c>
    </row>
    <row r="16248">
      <c r="A16248" s="1" t="n">
        <v>16247</v>
      </c>
      <c r="B16248">
        <f>TEXT(16247, "[$-0E0000]yyyy-mm-dd")</f>
        <v/>
      </c>
      <c r="C16248" t="inlineStr">
        <is>
          <t>1944-05-05</t>
        </is>
      </c>
    </row>
    <row r="16249">
      <c r="A16249" s="1" t="n">
        <v>16248</v>
      </c>
      <c r="B16249">
        <f>TEXT(16248, "[$-0E0000]yyyy-mm-dd")</f>
        <v/>
      </c>
      <c r="C16249" t="inlineStr">
        <is>
          <t>1944-05-06</t>
        </is>
      </c>
    </row>
    <row r="16250">
      <c r="A16250" s="1" t="n">
        <v>16249</v>
      </c>
      <c r="B16250">
        <f>TEXT(16249, "[$-0E0000]yyyy-mm-dd")</f>
        <v/>
      </c>
      <c r="C16250" t="inlineStr">
        <is>
          <t>1944-05-07</t>
        </is>
      </c>
    </row>
    <row r="16251">
      <c r="A16251" s="1" t="n">
        <v>16250</v>
      </c>
      <c r="B16251">
        <f>TEXT(16250, "[$-0E0000]yyyy-mm-dd")</f>
        <v/>
      </c>
      <c r="C16251" t="inlineStr">
        <is>
          <t>1944-05-08</t>
        </is>
      </c>
    </row>
    <row r="16252">
      <c r="A16252" s="1" t="n">
        <v>16251</v>
      </c>
      <c r="B16252">
        <f>TEXT(16251, "[$-0E0000]yyyy-mm-dd")</f>
        <v/>
      </c>
      <c r="C16252" t="inlineStr">
        <is>
          <t>1944-05-09</t>
        </is>
      </c>
    </row>
    <row r="16253">
      <c r="A16253" s="1" t="n">
        <v>16252</v>
      </c>
      <c r="B16253">
        <f>TEXT(16252, "[$-0E0000]yyyy-mm-dd")</f>
        <v/>
      </c>
      <c r="C16253" t="inlineStr">
        <is>
          <t>1944-05-10</t>
        </is>
      </c>
    </row>
    <row r="16254">
      <c r="A16254" s="1" t="n">
        <v>16253</v>
      </c>
      <c r="B16254">
        <f>TEXT(16253, "[$-0E0000]yyyy-mm-dd")</f>
        <v/>
      </c>
      <c r="C16254" t="inlineStr">
        <is>
          <t>1944-05-11</t>
        </is>
      </c>
    </row>
    <row r="16255">
      <c r="A16255" s="1" t="n">
        <v>16254</v>
      </c>
      <c r="B16255">
        <f>TEXT(16254, "[$-0E0000]yyyy-mm-dd")</f>
        <v/>
      </c>
      <c r="C16255" t="inlineStr">
        <is>
          <t>1944-05-12</t>
        </is>
      </c>
    </row>
    <row r="16256">
      <c r="A16256" s="1" t="n">
        <v>16255</v>
      </c>
      <c r="B16256">
        <f>TEXT(16255, "[$-0E0000]yyyy-mm-dd")</f>
        <v/>
      </c>
      <c r="C16256" t="inlineStr">
        <is>
          <t>1944-05-13</t>
        </is>
      </c>
    </row>
    <row r="16257">
      <c r="A16257" s="1" t="n">
        <v>16256</v>
      </c>
      <c r="B16257">
        <f>TEXT(16256, "[$-0E0000]yyyy-mm-dd")</f>
        <v/>
      </c>
      <c r="C16257" t="inlineStr">
        <is>
          <t>1944-05-14</t>
        </is>
      </c>
    </row>
    <row r="16258">
      <c r="A16258" s="1" t="n">
        <v>16257</v>
      </c>
      <c r="B16258">
        <f>TEXT(16257, "[$-0E0000]yyyy-mm-dd")</f>
        <v/>
      </c>
      <c r="C16258" t="inlineStr">
        <is>
          <t>1944-05-15</t>
        </is>
      </c>
    </row>
    <row r="16259">
      <c r="A16259" s="1" t="n">
        <v>16258</v>
      </c>
      <c r="B16259">
        <f>TEXT(16258, "[$-0E0000]yyyy-mm-dd")</f>
        <v/>
      </c>
      <c r="C16259" t="inlineStr">
        <is>
          <t>1944-05-16</t>
        </is>
      </c>
    </row>
    <row r="16260">
      <c r="A16260" s="1" t="n">
        <v>16259</v>
      </c>
      <c r="B16260">
        <f>TEXT(16259, "[$-0E0000]yyyy-mm-dd")</f>
        <v/>
      </c>
      <c r="C16260" t="inlineStr">
        <is>
          <t>1944-05-17</t>
        </is>
      </c>
    </row>
    <row r="16261">
      <c r="A16261" s="1" t="n">
        <v>16260</v>
      </c>
      <c r="B16261">
        <f>TEXT(16260, "[$-0E0000]yyyy-mm-dd")</f>
        <v/>
      </c>
      <c r="C16261" t="inlineStr">
        <is>
          <t>1944-05-18</t>
        </is>
      </c>
    </row>
    <row r="16262">
      <c r="A16262" s="1" t="n">
        <v>16261</v>
      </c>
      <c r="B16262">
        <f>TEXT(16261, "[$-0E0000]yyyy-mm-dd")</f>
        <v/>
      </c>
      <c r="C16262" t="inlineStr">
        <is>
          <t>1944-05-19</t>
        </is>
      </c>
    </row>
    <row r="16263">
      <c r="A16263" s="1" t="n">
        <v>16262</v>
      </c>
      <c r="B16263">
        <f>TEXT(16262, "[$-0E0000]yyyy-mm-dd")</f>
        <v/>
      </c>
      <c r="C16263" t="inlineStr">
        <is>
          <t>1944-05-20</t>
        </is>
      </c>
    </row>
    <row r="16264">
      <c r="A16264" s="1" t="n">
        <v>16263</v>
      </c>
      <c r="B16264">
        <f>TEXT(16263, "[$-0E0000]yyyy-mm-dd")</f>
        <v/>
      </c>
      <c r="C16264" t="inlineStr">
        <is>
          <t>1944-05-21</t>
        </is>
      </c>
    </row>
    <row r="16265">
      <c r="A16265" s="1" t="n">
        <v>16264</v>
      </c>
      <c r="B16265">
        <f>TEXT(16264, "[$-0E0000]yyyy-mm-dd")</f>
        <v/>
      </c>
      <c r="C16265" t="inlineStr">
        <is>
          <t>1944-05-22</t>
        </is>
      </c>
    </row>
    <row r="16266">
      <c r="A16266" s="1" t="n">
        <v>16265</v>
      </c>
      <c r="B16266">
        <f>TEXT(16265, "[$-0E0000]yyyy-mm-dd")</f>
        <v/>
      </c>
      <c r="C16266" t="inlineStr">
        <is>
          <t>1944-05-23</t>
        </is>
      </c>
    </row>
    <row r="16267">
      <c r="A16267" s="1" t="n">
        <v>16266</v>
      </c>
      <c r="B16267">
        <f>TEXT(16266, "[$-0E0000]yyyy-mm-dd")</f>
        <v/>
      </c>
      <c r="C16267" t="inlineStr">
        <is>
          <t>1944-05-24</t>
        </is>
      </c>
    </row>
    <row r="16268">
      <c r="A16268" s="1" t="n">
        <v>16267</v>
      </c>
      <c r="B16268">
        <f>TEXT(16267, "[$-0E0000]yyyy-mm-dd")</f>
        <v/>
      </c>
      <c r="C16268" t="inlineStr">
        <is>
          <t>1944-05-25</t>
        </is>
      </c>
    </row>
    <row r="16269">
      <c r="A16269" s="1" t="n">
        <v>16268</v>
      </c>
      <c r="B16269">
        <f>TEXT(16268, "[$-0E0000]yyyy-mm-dd")</f>
        <v/>
      </c>
      <c r="C16269" t="inlineStr">
        <is>
          <t>1944-05-26</t>
        </is>
      </c>
    </row>
    <row r="16270">
      <c r="A16270" s="1" t="n">
        <v>16269</v>
      </c>
      <c r="B16270">
        <f>TEXT(16269, "[$-0E0000]yyyy-mm-dd")</f>
        <v/>
      </c>
      <c r="C16270" t="inlineStr">
        <is>
          <t>1944-05-27</t>
        </is>
      </c>
    </row>
    <row r="16271">
      <c r="A16271" s="1" t="n">
        <v>16270</v>
      </c>
      <c r="B16271">
        <f>TEXT(16270, "[$-0E0000]yyyy-mm-dd")</f>
        <v/>
      </c>
      <c r="C16271" t="inlineStr">
        <is>
          <t>1944-05-28</t>
        </is>
      </c>
    </row>
    <row r="16272">
      <c r="A16272" s="1" t="n">
        <v>16271</v>
      </c>
      <c r="B16272">
        <f>TEXT(16271, "[$-0E0000]yyyy-mm-dd")</f>
        <v/>
      </c>
      <c r="C16272" t="inlineStr">
        <is>
          <t>1944-05-29</t>
        </is>
      </c>
    </row>
    <row r="16273">
      <c r="A16273" s="1" t="n">
        <v>16272</v>
      </c>
      <c r="B16273">
        <f>TEXT(16272, "[$-0E0000]yyyy-mm-dd")</f>
        <v/>
      </c>
      <c r="C16273" t="inlineStr">
        <is>
          <t>1944-06-01</t>
        </is>
      </c>
    </row>
    <row r="16274">
      <c r="A16274" s="1" t="n">
        <v>16273</v>
      </c>
      <c r="B16274">
        <f>TEXT(16273, "[$-0E0000]yyyy-mm-dd")</f>
        <v/>
      </c>
      <c r="C16274" t="inlineStr">
        <is>
          <t>1944-06-02</t>
        </is>
      </c>
    </row>
    <row r="16275">
      <c r="A16275" s="1" t="n">
        <v>16274</v>
      </c>
      <c r="B16275">
        <f>TEXT(16274, "[$-0E0000]yyyy-mm-dd")</f>
        <v/>
      </c>
      <c r="C16275" t="inlineStr">
        <is>
          <t>1944-06-03</t>
        </is>
      </c>
    </row>
    <row r="16276">
      <c r="A16276" s="1" t="n">
        <v>16275</v>
      </c>
      <c r="B16276">
        <f>TEXT(16275, "[$-0E0000]yyyy-mm-dd")</f>
        <v/>
      </c>
      <c r="C16276" t="inlineStr">
        <is>
          <t>1944-06-04</t>
        </is>
      </c>
    </row>
    <row r="16277">
      <c r="A16277" s="1" t="n">
        <v>16276</v>
      </c>
      <c r="B16277">
        <f>TEXT(16276, "[$-0E0000]yyyy-mm-dd")</f>
        <v/>
      </c>
      <c r="C16277" t="inlineStr">
        <is>
          <t>1944-06-05</t>
        </is>
      </c>
    </row>
    <row r="16278">
      <c r="A16278" s="1" t="n">
        <v>16277</v>
      </c>
      <c r="B16278">
        <f>TEXT(16277, "[$-0E0000]yyyy-mm-dd")</f>
        <v/>
      </c>
      <c r="C16278" t="inlineStr">
        <is>
          <t>1944-06-06</t>
        </is>
      </c>
    </row>
    <row r="16279">
      <c r="A16279" s="1" t="n">
        <v>16278</v>
      </c>
      <c r="B16279">
        <f>TEXT(16278, "[$-0E0000]yyyy-mm-dd")</f>
        <v/>
      </c>
      <c r="C16279" t="inlineStr">
        <is>
          <t>1944-06-07</t>
        </is>
      </c>
    </row>
    <row r="16280">
      <c r="A16280" s="1" t="n">
        <v>16279</v>
      </c>
      <c r="B16280">
        <f>TEXT(16279, "[$-0E0000]yyyy-mm-dd")</f>
        <v/>
      </c>
      <c r="C16280" t="inlineStr">
        <is>
          <t>1944-06-08</t>
        </is>
      </c>
    </row>
    <row r="16281">
      <c r="A16281" s="1" t="n">
        <v>16280</v>
      </c>
      <c r="B16281">
        <f>TEXT(16280, "[$-0E0000]yyyy-mm-dd")</f>
        <v/>
      </c>
      <c r="C16281" t="inlineStr">
        <is>
          <t>1944-06-09</t>
        </is>
      </c>
    </row>
    <row r="16282">
      <c r="A16282" s="1" t="n">
        <v>16281</v>
      </c>
      <c r="B16282">
        <f>TEXT(16281, "[$-0E0000]yyyy-mm-dd")</f>
        <v/>
      </c>
      <c r="C16282" t="inlineStr">
        <is>
          <t>1944-06-10</t>
        </is>
      </c>
    </row>
    <row r="16283">
      <c r="A16283" s="1" t="n">
        <v>16282</v>
      </c>
      <c r="B16283">
        <f>TEXT(16282, "[$-0E0000]yyyy-mm-dd")</f>
        <v/>
      </c>
      <c r="C16283" t="inlineStr">
        <is>
          <t>1944-06-11</t>
        </is>
      </c>
    </row>
    <row r="16284">
      <c r="A16284" s="1" t="n">
        <v>16283</v>
      </c>
      <c r="B16284">
        <f>TEXT(16283, "[$-0E0000]yyyy-mm-dd")</f>
        <v/>
      </c>
      <c r="C16284" t="inlineStr">
        <is>
          <t>1944-06-12</t>
        </is>
      </c>
    </row>
    <row r="16285">
      <c r="A16285" s="1" t="n">
        <v>16284</v>
      </c>
      <c r="B16285">
        <f>TEXT(16284, "[$-0E0000]yyyy-mm-dd")</f>
        <v/>
      </c>
      <c r="C16285" t="inlineStr">
        <is>
          <t>1944-06-13</t>
        </is>
      </c>
    </row>
    <row r="16286">
      <c r="A16286" s="1" t="n">
        <v>16285</v>
      </c>
      <c r="B16286">
        <f>TEXT(16285, "[$-0E0000]yyyy-mm-dd")</f>
        <v/>
      </c>
      <c r="C16286" t="inlineStr">
        <is>
          <t>1944-06-14</t>
        </is>
      </c>
    </row>
    <row r="16287">
      <c r="A16287" s="1" t="n">
        <v>16286</v>
      </c>
      <c r="B16287">
        <f>TEXT(16286, "[$-0E0000]yyyy-mm-dd")</f>
        <v/>
      </c>
      <c r="C16287" t="inlineStr">
        <is>
          <t>1944-06-15</t>
        </is>
      </c>
    </row>
    <row r="16288">
      <c r="A16288" s="1" t="n">
        <v>16287</v>
      </c>
      <c r="B16288">
        <f>TEXT(16287, "[$-0E0000]yyyy-mm-dd")</f>
        <v/>
      </c>
      <c r="C16288" t="inlineStr">
        <is>
          <t>1944-06-16</t>
        </is>
      </c>
    </row>
    <row r="16289">
      <c r="A16289" s="1" t="n">
        <v>16288</v>
      </c>
      <c r="B16289">
        <f>TEXT(16288, "[$-0E0000]yyyy-mm-dd")</f>
        <v/>
      </c>
      <c r="C16289" t="inlineStr">
        <is>
          <t>1944-06-17</t>
        </is>
      </c>
    </row>
    <row r="16290">
      <c r="A16290" s="1" t="n">
        <v>16289</v>
      </c>
      <c r="B16290">
        <f>TEXT(16289, "[$-0E0000]yyyy-mm-dd")</f>
        <v/>
      </c>
      <c r="C16290" t="inlineStr">
        <is>
          <t>1944-06-18</t>
        </is>
      </c>
    </row>
    <row r="16291">
      <c r="A16291" s="1" t="n">
        <v>16290</v>
      </c>
      <c r="B16291">
        <f>TEXT(16290, "[$-0E0000]yyyy-mm-dd")</f>
        <v/>
      </c>
      <c r="C16291" t="inlineStr">
        <is>
          <t>1944-06-19</t>
        </is>
      </c>
    </row>
    <row r="16292">
      <c r="A16292" s="1" t="n">
        <v>16291</v>
      </c>
      <c r="B16292">
        <f>TEXT(16291, "[$-0E0000]yyyy-mm-dd")</f>
        <v/>
      </c>
      <c r="C16292" t="inlineStr">
        <is>
          <t>1944-06-20</t>
        </is>
      </c>
    </row>
    <row r="16293">
      <c r="A16293" s="1" t="n">
        <v>16292</v>
      </c>
      <c r="B16293">
        <f>TEXT(16292, "[$-0E0000]yyyy-mm-dd")</f>
        <v/>
      </c>
      <c r="C16293" t="inlineStr">
        <is>
          <t>1944-06-21</t>
        </is>
      </c>
    </row>
    <row r="16294">
      <c r="A16294" s="1" t="n">
        <v>16293</v>
      </c>
      <c r="B16294">
        <f>TEXT(16293, "[$-0E0000]yyyy-mm-dd")</f>
        <v/>
      </c>
      <c r="C16294" t="inlineStr">
        <is>
          <t>1944-06-22</t>
        </is>
      </c>
    </row>
    <row r="16295">
      <c r="A16295" s="1" t="n">
        <v>16294</v>
      </c>
      <c r="B16295">
        <f>TEXT(16294, "[$-0E0000]yyyy-mm-dd")</f>
        <v/>
      </c>
      <c r="C16295" t="inlineStr">
        <is>
          <t>1944-06-23</t>
        </is>
      </c>
    </row>
    <row r="16296">
      <c r="A16296" s="1" t="n">
        <v>16295</v>
      </c>
      <c r="B16296">
        <f>TEXT(16295, "[$-0E0000]yyyy-mm-dd")</f>
        <v/>
      </c>
      <c r="C16296" t="inlineStr">
        <is>
          <t>1944-06-24</t>
        </is>
      </c>
    </row>
    <row r="16297">
      <c r="A16297" s="1" t="n">
        <v>16296</v>
      </c>
      <c r="B16297">
        <f>TEXT(16296, "[$-0E0000]yyyy-mm-dd")</f>
        <v/>
      </c>
      <c r="C16297" t="inlineStr">
        <is>
          <t>1944-06-25</t>
        </is>
      </c>
    </row>
    <row r="16298">
      <c r="A16298" s="1" t="n">
        <v>16297</v>
      </c>
      <c r="B16298">
        <f>TEXT(16297, "[$-0E0000]yyyy-mm-dd")</f>
        <v/>
      </c>
      <c r="C16298" t="inlineStr">
        <is>
          <t>1944-06-26</t>
        </is>
      </c>
    </row>
    <row r="16299">
      <c r="A16299" s="1" t="n">
        <v>16298</v>
      </c>
      <c r="B16299">
        <f>TEXT(16298, "[$-0E0000]yyyy-mm-dd")</f>
        <v/>
      </c>
      <c r="C16299" t="inlineStr">
        <is>
          <t>1944-06-27</t>
        </is>
      </c>
    </row>
    <row r="16300">
      <c r="A16300" s="1" t="n">
        <v>16299</v>
      </c>
      <c r="B16300">
        <f>TEXT(16299, "[$-0E0000]yyyy-mm-dd")</f>
        <v/>
      </c>
      <c r="C16300" t="inlineStr">
        <is>
          <t>1944-06-28</t>
        </is>
      </c>
    </row>
    <row r="16301">
      <c r="A16301" s="1" t="n">
        <v>16300</v>
      </c>
      <c r="B16301">
        <f>TEXT(16300, "[$-0E0000]yyyy-mm-dd")</f>
        <v/>
      </c>
      <c r="C16301" t="inlineStr">
        <is>
          <t>1944-06-29</t>
        </is>
      </c>
    </row>
    <row r="16302">
      <c r="A16302" s="1" t="n">
        <v>16301</v>
      </c>
      <c r="B16302">
        <f>TEXT(16301, "[$-0E0000]yyyy-mm-dd")</f>
        <v/>
      </c>
      <c r="C16302" t="inlineStr">
        <is>
          <t>1944-06-30</t>
        </is>
      </c>
    </row>
    <row r="16303">
      <c r="A16303" s="1" t="n">
        <v>16302</v>
      </c>
      <c r="B16303">
        <f>TEXT(16302, "[$-0E0000]yyyy-mm-dd")</f>
        <v/>
      </c>
      <c r="C16303" t="inlineStr">
        <is>
          <t>1944-07-01</t>
        </is>
      </c>
    </row>
    <row r="16304">
      <c r="A16304" s="1" t="n">
        <v>16303</v>
      </c>
      <c r="B16304">
        <f>TEXT(16303, "[$-0E0000]yyyy-mm-dd")</f>
        <v/>
      </c>
      <c r="C16304" t="inlineStr">
        <is>
          <t>1944-07-02</t>
        </is>
      </c>
    </row>
    <row r="16305">
      <c r="A16305" s="1" t="n">
        <v>16304</v>
      </c>
      <c r="B16305">
        <f>TEXT(16304, "[$-0E0000]yyyy-mm-dd")</f>
        <v/>
      </c>
      <c r="C16305" t="inlineStr">
        <is>
          <t>1944-07-03</t>
        </is>
      </c>
    </row>
    <row r="16306">
      <c r="A16306" s="1" t="n">
        <v>16305</v>
      </c>
      <c r="B16306">
        <f>TEXT(16305, "[$-0E0000]yyyy-mm-dd")</f>
        <v/>
      </c>
      <c r="C16306" t="inlineStr">
        <is>
          <t>1944-07-04</t>
        </is>
      </c>
    </row>
    <row r="16307">
      <c r="A16307" s="1" t="n">
        <v>16306</v>
      </c>
      <c r="B16307">
        <f>TEXT(16306, "[$-0E0000]yyyy-mm-dd")</f>
        <v/>
      </c>
      <c r="C16307" t="inlineStr">
        <is>
          <t>1944-07-05</t>
        </is>
      </c>
    </row>
    <row r="16308">
      <c r="A16308" s="1" t="n">
        <v>16307</v>
      </c>
      <c r="B16308">
        <f>TEXT(16307, "[$-0E0000]yyyy-mm-dd")</f>
        <v/>
      </c>
      <c r="C16308" t="inlineStr">
        <is>
          <t>1944-07-06</t>
        </is>
      </c>
    </row>
    <row r="16309">
      <c r="A16309" s="1" t="n">
        <v>16308</v>
      </c>
      <c r="B16309">
        <f>TEXT(16308, "[$-0E0000]yyyy-mm-dd")</f>
        <v/>
      </c>
      <c r="C16309" t="inlineStr">
        <is>
          <t>1944-07-07</t>
        </is>
      </c>
    </row>
    <row r="16310">
      <c r="A16310" s="1" t="n">
        <v>16309</v>
      </c>
      <c r="B16310">
        <f>TEXT(16309, "[$-0E0000]yyyy-mm-dd")</f>
        <v/>
      </c>
      <c r="C16310" t="inlineStr">
        <is>
          <t>1944-07-08</t>
        </is>
      </c>
    </row>
    <row r="16311">
      <c r="A16311" s="1" t="n">
        <v>16310</v>
      </c>
      <c r="B16311">
        <f>TEXT(16310, "[$-0E0000]yyyy-mm-dd")</f>
        <v/>
      </c>
      <c r="C16311" t="inlineStr">
        <is>
          <t>1944-07-09</t>
        </is>
      </c>
    </row>
    <row r="16312">
      <c r="A16312" s="1" t="n">
        <v>16311</v>
      </c>
      <c r="B16312">
        <f>TEXT(16311, "[$-0E0000]yyyy-mm-dd")</f>
        <v/>
      </c>
      <c r="C16312" t="inlineStr">
        <is>
          <t>1944-07-10</t>
        </is>
      </c>
    </row>
    <row r="16313">
      <c r="A16313" s="1" t="n">
        <v>16312</v>
      </c>
      <c r="B16313">
        <f>TEXT(16312, "[$-0E0000]yyyy-mm-dd")</f>
        <v/>
      </c>
      <c r="C16313" t="inlineStr">
        <is>
          <t>1944-07-11</t>
        </is>
      </c>
    </row>
    <row r="16314">
      <c r="A16314" s="1" t="n">
        <v>16313</v>
      </c>
      <c r="B16314">
        <f>TEXT(16313, "[$-0E0000]yyyy-mm-dd")</f>
        <v/>
      </c>
      <c r="C16314" t="inlineStr">
        <is>
          <t>1944-07-12</t>
        </is>
      </c>
    </row>
    <row r="16315">
      <c r="A16315" s="1" t="n">
        <v>16314</v>
      </c>
      <c r="B16315">
        <f>TEXT(16314, "[$-0E0000]yyyy-mm-dd")</f>
        <v/>
      </c>
      <c r="C16315" t="inlineStr">
        <is>
          <t>1944-07-13</t>
        </is>
      </c>
    </row>
    <row r="16316">
      <c r="A16316" s="1" t="n">
        <v>16315</v>
      </c>
      <c r="B16316">
        <f>TEXT(16315, "[$-0E0000]yyyy-mm-dd")</f>
        <v/>
      </c>
      <c r="C16316" t="inlineStr">
        <is>
          <t>1944-07-14</t>
        </is>
      </c>
    </row>
    <row r="16317">
      <c r="A16317" s="1" t="n">
        <v>16316</v>
      </c>
      <c r="B16317">
        <f>TEXT(16316, "[$-0E0000]yyyy-mm-dd")</f>
        <v/>
      </c>
      <c r="C16317" t="inlineStr">
        <is>
          <t>1944-07-15</t>
        </is>
      </c>
    </row>
    <row r="16318">
      <c r="A16318" s="1" t="n">
        <v>16317</v>
      </c>
      <c r="B16318">
        <f>TEXT(16317, "[$-0E0000]yyyy-mm-dd")</f>
        <v/>
      </c>
      <c r="C16318" t="inlineStr">
        <is>
          <t>1944-07-16</t>
        </is>
      </c>
    </row>
    <row r="16319">
      <c r="A16319" s="1" t="n">
        <v>16318</v>
      </c>
      <c r="B16319">
        <f>TEXT(16318, "[$-0E0000]yyyy-mm-dd")</f>
        <v/>
      </c>
      <c r="C16319" t="inlineStr">
        <is>
          <t>1944-07-17</t>
        </is>
      </c>
    </row>
    <row r="16320">
      <c r="A16320" s="1" t="n">
        <v>16319</v>
      </c>
      <c r="B16320">
        <f>TEXT(16319, "[$-0E0000]yyyy-mm-dd")</f>
        <v/>
      </c>
      <c r="C16320" t="inlineStr">
        <is>
          <t>1944-07-18</t>
        </is>
      </c>
    </row>
    <row r="16321">
      <c r="A16321" s="1" t="n">
        <v>16320</v>
      </c>
      <c r="B16321">
        <f>TEXT(16320, "[$-0E0000]yyyy-mm-dd")</f>
        <v/>
      </c>
      <c r="C16321" t="inlineStr">
        <is>
          <t>1944-07-19</t>
        </is>
      </c>
    </row>
    <row r="16322">
      <c r="A16322" s="1" t="n">
        <v>16321</v>
      </c>
      <c r="B16322">
        <f>TEXT(16321, "[$-0E0000]yyyy-mm-dd")</f>
        <v/>
      </c>
      <c r="C16322" t="inlineStr">
        <is>
          <t>1944-07-20</t>
        </is>
      </c>
    </row>
    <row r="16323">
      <c r="A16323" s="1" t="n">
        <v>16322</v>
      </c>
      <c r="B16323">
        <f>TEXT(16322, "[$-0E0000]yyyy-mm-dd")</f>
        <v/>
      </c>
      <c r="C16323" t="inlineStr">
        <is>
          <t>1944-07-21</t>
        </is>
      </c>
    </row>
    <row r="16324">
      <c r="A16324" s="1" t="n">
        <v>16323</v>
      </c>
      <c r="B16324">
        <f>TEXT(16323, "[$-0E0000]yyyy-mm-dd")</f>
        <v/>
      </c>
      <c r="C16324" t="inlineStr">
        <is>
          <t>1944-07-22</t>
        </is>
      </c>
    </row>
    <row r="16325">
      <c r="A16325" s="1" t="n">
        <v>16324</v>
      </c>
      <c r="B16325">
        <f>TEXT(16324, "[$-0E0000]yyyy-mm-dd")</f>
        <v/>
      </c>
      <c r="C16325" t="inlineStr">
        <is>
          <t>1944-07-23</t>
        </is>
      </c>
    </row>
    <row r="16326">
      <c r="A16326" s="1" t="n">
        <v>16325</v>
      </c>
      <c r="B16326">
        <f>TEXT(16325, "[$-0E0000]yyyy-mm-dd")</f>
        <v/>
      </c>
      <c r="C16326" t="inlineStr">
        <is>
          <t>1944-07-24</t>
        </is>
      </c>
    </row>
    <row r="16327">
      <c r="A16327" s="1" t="n">
        <v>16326</v>
      </c>
      <c r="B16327">
        <f>TEXT(16326, "[$-0E0000]yyyy-mm-dd")</f>
        <v/>
      </c>
      <c r="C16327" t="inlineStr">
        <is>
          <t>1944-07-25</t>
        </is>
      </c>
    </row>
    <row r="16328">
      <c r="A16328" s="1" t="n">
        <v>16327</v>
      </c>
      <c r="B16328">
        <f>TEXT(16327, "[$-0E0000]yyyy-mm-dd")</f>
        <v/>
      </c>
      <c r="C16328" t="inlineStr">
        <is>
          <t>1944-07-26</t>
        </is>
      </c>
    </row>
    <row r="16329">
      <c r="A16329" s="1" t="n">
        <v>16328</v>
      </c>
      <c r="B16329">
        <f>TEXT(16328, "[$-0E0000]yyyy-mm-dd")</f>
        <v/>
      </c>
      <c r="C16329" t="inlineStr">
        <is>
          <t>1944-07-27</t>
        </is>
      </c>
    </row>
    <row r="16330">
      <c r="A16330" s="1" t="n">
        <v>16329</v>
      </c>
      <c r="B16330">
        <f>TEXT(16329, "[$-0E0000]yyyy-mm-dd")</f>
        <v/>
      </c>
      <c r="C16330" t="inlineStr">
        <is>
          <t>1944-07-28</t>
        </is>
      </c>
    </row>
    <row r="16331">
      <c r="A16331" s="1" t="n">
        <v>16330</v>
      </c>
      <c r="B16331">
        <f>TEXT(16330, "[$-0E0000]yyyy-mm-dd")</f>
        <v/>
      </c>
      <c r="C16331" t="inlineStr">
        <is>
          <t>1944-07-29</t>
        </is>
      </c>
    </row>
    <row r="16332">
      <c r="A16332" s="1" t="n">
        <v>16331</v>
      </c>
      <c r="B16332">
        <f>TEXT(16331, "[$-0E0000]yyyy-mm-dd")</f>
        <v/>
      </c>
      <c r="C16332" t="inlineStr">
        <is>
          <t>1944-08-01</t>
        </is>
      </c>
    </row>
    <row r="16333">
      <c r="A16333" s="1" t="n">
        <v>16332</v>
      </c>
      <c r="B16333">
        <f>TEXT(16332, "[$-0E0000]yyyy-mm-dd")</f>
        <v/>
      </c>
      <c r="C16333" t="inlineStr">
        <is>
          <t>1944-08-02</t>
        </is>
      </c>
    </row>
    <row r="16334">
      <c r="A16334" s="1" t="n">
        <v>16333</v>
      </c>
      <c r="B16334">
        <f>TEXT(16333, "[$-0E0000]yyyy-mm-dd")</f>
        <v/>
      </c>
      <c r="C16334" t="inlineStr">
        <is>
          <t>1944-08-03</t>
        </is>
      </c>
    </row>
    <row r="16335">
      <c r="A16335" s="1" t="n">
        <v>16334</v>
      </c>
      <c r="B16335">
        <f>TEXT(16334, "[$-0E0000]yyyy-mm-dd")</f>
        <v/>
      </c>
      <c r="C16335" t="inlineStr">
        <is>
          <t>1944-08-04</t>
        </is>
      </c>
    </row>
    <row r="16336">
      <c r="A16336" s="1" t="n">
        <v>16335</v>
      </c>
      <c r="B16336">
        <f>TEXT(16335, "[$-0E0000]yyyy-mm-dd")</f>
        <v/>
      </c>
      <c r="C16336" t="inlineStr">
        <is>
          <t>1944-08-05</t>
        </is>
      </c>
    </row>
    <row r="16337">
      <c r="A16337" s="1" t="n">
        <v>16336</v>
      </c>
      <c r="B16337">
        <f>TEXT(16336, "[$-0E0000]yyyy-mm-dd")</f>
        <v/>
      </c>
      <c r="C16337" t="inlineStr">
        <is>
          <t>1944-08-06</t>
        </is>
      </c>
    </row>
    <row r="16338">
      <c r="A16338" s="1" t="n">
        <v>16337</v>
      </c>
      <c r="B16338">
        <f>TEXT(16337, "[$-0E0000]yyyy-mm-dd")</f>
        <v/>
      </c>
      <c r="C16338" t="inlineStr">
        <is>
          <t>1944-08-07</t>
        </is>
      </c>
    </row>
    <row r="16339">
      <c r="A16339" s="1" t="n">
        <v>16338</v>
      </c>
      <c r="B16339">
        <f>TEXT(16338, "[$-0E0000]yyyy-mm-dd")</f>
        <v/>
      </c>
      <c r="C16339" t="inlineStr">
        <is>
          <t>1944-08-08</t>
        </is>
      </c>
    </row>
    <row r="16340">
      <c r="A16340" s="1" t="n">
        <v>16339</v>
      </c>
      <c r="B16340">
        <f>TEXT(16339, "[$-0E0000]yyyy-mm-dd")</f>
        <v/>
      </c>
      <c r="C16340" t="inlineStr">
        <is>
          <t>1944-08-09</t>
        </is>
      </c>
    </row>
    <row r="16341">
      <c r="A16341" s="1" t="n">
        <v>16340</v>
      </c>
      <c r="B16341">
        <f>TEXT(16340, "[$-0E0000]yyyy-mm-dd")</f>
        <v/>
      </c>
      <c r="C16341" t="inlineStr">
        <is>
          <t>1944-08-10</t>
        </is>
      </c>
    </row>
    <row r="16342">
      <c r="A16342" s="1" t="n">
        <v>16341</v>
      </c>
      <c r="B16342">
        <f>TEXT(16341, "[$-0E0000]yyyy-mm-dd")</f>
        <v/>
      </c>
      <c r="C16342" t="inlineStr">
        <is>
          <t>1944-08-11</t>
        </is>
      </c>
    </row>
    <row r="16343">
      <c r="A16343" s="1" t="n">
        <v>16342</v>
      </c>
      <c r="B16343">
        <f>TEXT(16342, "[$-0E0000]yyyy-mm-dd")</f>
        <v/>
      </c>
      <c r="C16343" t="inlineStr">
        <is>
          <t>1944-08-12</t>
        </is>
      </c>
    </row>
    <row r="16344">
      <c r="A16344" s="1" t="n">
        <v>16343</v>
      </c>
      <c r="B16344">
        <f>TEXT(16343, "[$-0E0000]yyyy-mm-dd")</f>
        <v/>
      </c>
      <c r="C16344" t="inlineStr">
        <is>
          <t>1944-08-13</t>
        </is>
      </c>
    </row>
    <row r="16345">
      <c r="A16345" s="1" t="n">
        <v>16344</v>
      </c>
      <c r="B16345">
        <f>TEXT(16344, "[$-0E0000]yyyy-mm-dd")</f>
        <v/>
      </c>
      <c r="C16345" t="inlineStr">
        <is>
          <t>1944-08-14</t>
        </is>
      </c>
    </row>
    <row r="16346">
      <c r="A16346" s="1" t="n">
        <v>16345</v>
      </c>
      <c r="B16346">
        <f>TEXT(16345, "[$-0E0000]yyyy-mm-dd")</f>
        <v/>
      </c>
      <c r="C16346" t="inlineStr">
        <is>
          <t>1944-08-15</t>
        </is>
      </c>
    </row>
    <row r="16347">
      <c r="A16347" s="1" t="n">
        <v>16346</v>
      </c>
      <c r="B16347">
        <f>TEXT(16346, "[$-0E0000]yyyy-mm-dd")</f>
        <v/>
      </c>
      <c r="C16347" t="inlineStr">
        <is>
          <t>1944-08-16</t>
        </is>
      </c>
    </row>
    <row r="16348">
      <c r="A16348" s="1" t="n">
        <v>16347</v>
      </c>
      <c r="B16348">
        <f>TEXT(16347, "[$-0E0000]yyyy-mm-dd")</f>
        <v/>
      </c>
      <c r="C16348" t="inlineStr">
        <is>
          <t>1944-08-17</t>
        </is>
      </c>
    </row>
    <row r="16349">
      <c r="A16349" s="1" t="n">
        <v>16348</v>
      </c>
      <c r="B16349">
        <f>TEXT(16348, "[$-0E0000]yyyy-mm-dd")</f>
        <v/>
      </c>
      <c r="C16349" t="inlineStr">
        <is>
          <t>1944-08-18</t>
        </is>
      </c>
    </row>
    <row r="16350">
      <c r="A16350" s="1" t="n">
        <v>16349</v>
      </c>
      <c r="B16350">
        <f>TEXT(16349, "[$-0E0000]yyyy-mm-dd")</f>
        <v/>
      </c>
      <c r="C16350" t="inlineStr">
        <is>
          <t>1944-08-19</t>
        </is>
      </c>
    </row>
    <row r="16351">
      <c r="A16351" s="1" t="n">
        <v>16350</v>
      </c>
      <c r="B16351">
        <f>TEXT(16350, "[$-0E0000]yyyy-mm-dd")</f>
        <v/>
      </c>
      <c r="C16351" t="inlineStr">
        <is>
          <t>1944-08-20</t>
        </is>
      </c>
    </row>
    <row r="16352">
      <c r="A16352" s="1" t="n">
        <v>16351</v>
      </c>
      <c r="B16352">
        <f>TEXT(16351, "[$-0E0000]yyyy-mm-dd")</f>
        <v/>
      </c>
      <c r="C16352" t="inlineStr">
        <is>
          <t>1944-08-21</t>
        </is>
      </c>
    </row>
    <row r="16353">
      <c r="A16353" s="1" t="n">
        <v>16352</v>
      </c>
      <c r="B16353">
        <f>TEXT(16352, "[$-0E0000]yyyy-mm-dd")</f>
        <v/>
      </c>
      <c r="C16353" t="inlineStr">
        <is>
          <t>1944-08-22</t>
        </is>
      </c>
    </row>
    <row r="16354">
      <c r="A16354" s="1" t="n">
        <v>16353</v>
      </c>
      <c r="B16354">
        <f>TEXT(16353, "[$-0E0000]yyyy-mm-dd")</f>
        <v/>
      </c>
      <c r="C16354" t="inlineStr">
        <is>
          <t>1944-08-23</t>
        </is>
      </c>
    </row>
    <row r="16355">
      <c r="A16355" s="1" t="n">
        <v>16354</v>
      </c>
      <c r="B16355">
        <f>TEXT(16354, "[$-0E0000]yyyy-mm-dd")</f>
        <v/>
      </c>
      <c r="C16355" t="inlineStr">
        <is>
          <t>1944-08-24</t>
        </is>
      </c>
    </row>
    <row r="16356">
      <c r="A16356" s="1" t="n">
        <v>16355</v>
      </c>
      <c r="B16356">
        <f>TEXT(16355, "[$-0E0000]yyyy-mm-dd")</f>
        <v/>
      </c>
      <c r="C16356" t="inlineStr">
        <is>
          <t>1944-08-25</t>
        </is>
      </c>
    </row>
    <row r="16357">
      <c r="A16357" s="1" t="n">
        <v>16356</v>
      </c>
      <c r="B16357">
        <f>TEXT(16356, "[$-0E0000]yyyy-mm-dd")</f>
        <v/>
      </c>
      <c r="C16357" t="inlineStr">
        <is>
          <t>1944-08-26</t>
        </is>
      </c>
    </row>
    <row r="16358">
      <c r="A16358" s="1" t="n">
        <v>16357</v>
      </c>
      <c r="B16358">
        <f>TEXT(16357, "[$-0E0000]yyyy-mm-dd")</f>
        <v/>
      </c>
      <c r="C16358" t="inlineStr">
        <is>
          <t>1944-08-27</t>
        </is>
      </c>
    </row>
    <row r="16359">
      <c r="A16359" s="1" t="n">
        <v>16358</v>
      </c>
      <c r="B16359">
        <f>TEXT(16358, "[$-0E0000]yyyy-mm-dd")</f>
        <v/>
      </c>
      <c r="C16359" t="inlineStr">
        <is>
          <t>1944-08-28</t>
        </is>
      </c>
    </row>
    <row r="16360">
      <c r="A16360" s="1" t="n">
        <v>16359</v>
      </c>
      <c r="B16360">
        <f>TEXT(16359, "[$-0E0000]yyyy-mm-dd")</f>
        <v/>
      </c>
      <c r="C16360" t="inlineStr">
        <is>
          <t>1944-08-29</t>
        </is>
      </c>
    </row>
    <row r="16361">
      <c r="A16361" s="1" t="n">
        <v>16360</v>
      </c>
      <c r="B16361">
        <f>TEXT(16360, "[$-0E0000]yyyy-mm-dd")</f>
        <v/>
      </c>
      <c r="C16361" t="inlineStr">
        <is>
          <t>1944-08-30</t>
        </is>
      </c>
    </row>
    <row r="16362">
      <c r="A16362" s="1" t="n">
        <v>16361</v>
      </c>
      <c r="B16362">
        <f>TEXT(16361, "[$-0E0000]yyyy-mm-dd")</f>
        <v/>
      </c>
      <c r="C16362" t="inlineStr">
        <is>
          <t>1944-09-01</t>
        </is>
      </c>
    </row>
    <row r="16363">
      <c r="A16363" s="1" t="n">
        <v>16362</v>
      </c>
      <c r="B16363">
        <f>TEXT(16362, "[$-0E0000]yyyy-mm-dd")</f>
        <v/>
      </c>
      <c r="C16363" t="inlineStr">
        <is>
          <t>1944-09-02</t>
        </is>
      </c>
    </row>
    <row r="16364">
      <c r="A16364" s="1" t="n">
        <v>16363</v>
      </c>
      <c r="B16364">
        <f>TEXT(16363, "[$-0E0000]yyyy-mm-dd")</f>
        <v/>
      </c>
      <c r="C16364" t="inlineStr">
        <is>
          <t>1944-09-03</t>
        </is>
      </c>
    </row>
    <row r="16365">
      <c r="A16365" s="1" t="n">
        <v>16364</v>
      </c>
      <c r="B16365">
        <f>TEXT(16364, "[$-0E0000]yyyy-mm-dd")</f>
        <v/>
      </c>
      <c r="C16365" t="inlineStr">
        <is>
          <t>1944-09-04</t>
        </is>
      </c>
    </row>
    <row r="16366">
      <c r="A16366" s="1" t="n">
        <v>16365</v>
      </c>
      <c r="B16366">
        <f>TEXT(16365, "[$-0E0000]yyyy-mm-dd")</f>
        <v/>
      </c>
      <c r="C16366" t="inlineStr">
        <is>
          <t>1944-09-05</t>
        </is>
      </c>
    </row>
    <row r="16367">
      <c r="A16367" s="1" t="n">
        <v>16366</v>
      </c>
      <c r="B16367">
        <f>TEXT(16366, "[$-0E0000]yyyy-mm-dd")</f>
        <v/>
      </c>
      <c r="C16367" t="inlineStr">
        <is>
          <t>1944-09-06</t>
        </is>
      </c>
    </row>
    <row r="16368">
      <c r="A16368" s="1" t="n">
        <v>16367</v>
      </c>
      <c r="B16368">
        <f>TEXT(16367, "[$-0E0000]yyyy-mm-dd")</f>
        <v/>
      </c>
      <c r="C16368" t="inlineStr">
        <is>
          <t>1944-09-07</t>
        </is>
      </c>
    </row>
    <row r="16369">
      <c r="A16369" s="1" t="n">
        <v>16368</v>
      </c>
      <c r="B16369">
        <f>TEXT(16368, "[$-0E0000]yyyy-mm-dd")</f>
        <v/>
      </c>
      <c r="C16369" t="inlineStr">
        <is>
          <t>1944-09-08</t>
        </is>
      </c>
    </row>
    <row r="16370">
      <c r="A16370" s="1" t="n">
        <v>16369</v>
      </c>
      <c r="B16370">
        <f>TEXT(16369, "[$-0E0000]yyyy-mm-dd")</f>
        <v/>
      </c>
      <c r="C16370" t="inlineStr">
        <is>
          <t>1944-09-09</t>
        </is>
      </c>
    </row>
    <row r="16371">
      <c r="A16371" s="1" t="n">
        <v>16370</v>
      </c>
      <c r="B16371">
        <f>TEXT(16370, "[$-0E0000]yyyy-mm-dd")</f>
        <v/>
      </c>
      <c r="C16371" t="inlineStr">
        <is>
          <t>1944-09-10</t>
        </is>
      </c>
    </row>
    <row r="16372">
      <c r="A16372" s="1" t="n">
        <v>16371</v>
      </c>
      <c r="B16372">
        <f>TEXT(16371, "[$-0E0000]yyyy-mm-dd")</f>
        <v/>
      </c>
      <c r="C16372" t="inlineStr">
        <is>
          <t>1944-09-11</t>
        </is>
      </c>
    </row>
    <row r="16373">
      <c r="A16373" s="1" t="n">
        <v>16372</v>
      </c>
      <c r="B16373">
        <f>TEXT(16372, "[$-0E0000]yyyy-mm-dd")</f>
        <v/>
      </c>
      <c r="C16373" t="inlineStr">
        <is>
          <t>1944-09-12</t>
        </is>
      </c>
    </row>
    <row r="16374">
      <c r="A16374" s="1" t="n">
        <v>16373</v>
      </c>
      <c r="B16374">
        <f>TEXT(16373, "[$-0E0000]yyyy-mm-dd")</f>
        <v/>
      </c>
      <c r="C16374" t="inlineStr">
        <is>
          <t>1944-09-13</t>
        </is>
      </c>
    </row>
    <row r="16375">
      <c r="A16375" s="1" t="n">
        <v>16374</v>
      </c>
      <c r="B16375">
        <f>TEXT(16374, "[$-0E0000]yyyy-mm-dd")</f>
        <v/>
      </c>
      <c r="C16375" t="inlineStr">
        <is>
          <t>1944-09-14</t>
        </is>
      </c>
    </row>
    <row r="16376">
      <c r="A16376" s="1" t="n">
        <v>16375</v>
      </c>
      <c r="B16376">
        <f>TEXT(16375, "[$-0E0000]yyyy-mm-dd")</f>
        <v/>
      </c>
      <c r="C16376" t="inlineStr">
        <is>
          <t>1944-09-15</t>
        </is>
      </c>
    </row>
    <row r="16377">
      <c r="A16377" s="1" t="n">
        <v>16376</v>
      </c>
      <c r="B16377">
        <f>TEXT(16376, "[$-0E0000]yyyy-mm-dd")</f>
        <v/>
      </c>
      <c r="C16377" t="inlineStr">
        <is>
          <t>1944-09-16</t>
        </is>
      </c>
    </row>
    <row r="16378">
      <c r="A16378" s="1" t="n">
        <v>16377</v>
      </c>
      <c r="B16378">
        <f>TEXT(16377, "[$-0E0000]yyyy-mm-dd")</f>
        <v/>
      </c>
      <c r="C16378" t="inlineStr">
        <is>
          <t>1944-09-17</t>
        </is>
      </c>
    </row>
    <row r="16379">
      <c r="A16379" s="1" t="n">
        <v>16378</v>
      </c>
      <c r="B16379">
        <f>TEXT(16378, "[$-0E0000]yyyy-mm-dd")</f>
        <v/>
      </c>
      <c r="C16379" t="inlineStr">
        <is>
          <t>1944-09-18</t>
        </is>
      </c>
    </row>
    <row r="16380">
      <c r="A16380" s="1" t="n">
        <v>16379</v>
      </c>
      <c r="B16380">
        <f>TEXT(16379, "[$-0E0000]yyyy-mm-dd")</f>
        <v/>
      </c>
      <c r="C16380" t="inlineStr">
        <is>
          <t>1944-09-19</t>
        </is>
      </c>
    </row>
    <row r="16381">
      <c r="A16381" s="1" t="n">
        <v>16380</v>
      </c>
      <c r="B16381">
        <f>TEXT(16380, "[$-0E0000]yyyy-mm-dd")</f>
        <v/>
      </c>
      <c r="C16381" t="inlineStr">
        <is>
          <t>1944-09-20</t>
        </is>
      </c>
    </row>
    <row r="16382">
      <c r="A16382" s="1" t="n">
        <v>16381</v>
      </c>
      <c r="B16382">
        <f>TEXT(16381, "[$-0E0000]yyyy-mm-dd")</f>
        <v/>
      </c>
      <c r="C16382" t="inlineStr">
        <is>
          <t>1944-09-21</t>
        </is>
      </c>
    </row>
    <row r="16383">
      <c r="A16383" s="1" t="n">
        <v>16382</v>
      </c>
      <c r="B16383">
        <f>TEXT(16382, "[$-0E0000]yyyy-mm-dd")</f>
        <v/>
      </c>
      <c r="C16383" t="inlineStr">
        <is>
          <t>1944-09-22</t>
        </is>
      </c>
    </row>
    <row r="16384">
      <c r="A16384" s="1" t="n">
        <v>16383</v>
      </c>
      <c r="B16384">
        <f>TEXT(16383, "[$-0E0000]yyyy-mm-dd")</f>
        <v/>
      </c>
      <c r="C16384" t="inlineStr">
        <is>
          <t>1944-09-23</t>
        </is>
      </c>
    </row>
    <row r="16385">
      <c r="A16385" s="1" t="n">
        <v>16384</v>
      </c>
      <c r="B16385">
        <f>TEXT(16384, "[$-0E0000]yyyy-mm-dd")</f>
        <v/>
      </c>
      <c r="C16385" t="inlineStr">
        <is>
          <t>1944-09-24</t>
        </is>
      </c>
    </row>
    <row r="16386">
      <c r="A16386" s="1" t="n">
        <v>16385</v>
      </c>
      <c r="B16386">
        <f>TEXT(16385, "[$-0E0000]yyyy-mm-dd")</f>
        <v/>
      </c>
      <c r="C16386" t="inlineStr">
        <is>
          <t>1944-09-25</t>
        </is>
      </c>
    </row>
    <row r="16387">
      <c r="A16387" s="1" t="n">
        <v>16386</v>
      </c>
      <c r="B16387">
        <f>TEXT(16386, "[$-0E0000]yyyy-mm-dd")</f>
        <v/>
      </c>
      <c r="C16387" t="inlineStr">
        <is>
          <t>1944-09-26</t>
        </is>
      </c>
    </row>
    <row r="16388">
      <c r="A16388" s="1" t="n">
        <v>16387</v>
      </c>
      <c r="B16388">
        <f>TEXT(16387, "[$-0E0000]yyyy-mm-dd")</f>
        <v/>
      </c>
      <c r="C16388" t="inlineStr">
        <is>
          <t>1944-09-27</t>
        </is>
      </c>
    </row>
    <row r="16389">
      <c r="A16389" s="1" t="n">
        <v>16388</v>
      </c>
      <c r="B16389">
        <f>TEXT(16388, "[$-0E0000]yyyy-mm-dd")</f>
        <v/>
      </c>
      <c r="C16389" t="inlineStr">
        <is>
          <t>1944-09-28</t>
        </is>
      </c>
    </row>
    <row r="16390">
      <c r="A16390" s="1" t="n">
        <v>16389</v>
      </c>
      <c r="B16390">
        <f>TEXT(16389, "[$-0E0000]yyyy-mm-dd")</f>
        <v/>
      </c>
      <c r="C16390" t="inlineStr">
        <is>
          <t>1944-09-29</t>
        </is>
      </c>
    </row>
    <row r="16391">
      <c r="A16391" s="1" t="n">
        <v>16390</v>
      </c>
      <c r="B16391">
        <f>TEXT(16390, "[$-0E0000]yyyy-mm-dd")</f>
        <v/>
      </c>
      <c r="C16391" t="inlineStr">
        <is>
          <t>1944-09-30</t>
        </is>
      </c>
    </row>
    <row r="16392">
      <c r="A16392" s="1" t="n">
        <v>16391</v>
      </c>
      <c r="B16392">
        <f>TEXT(16391, "[$-0E0000]yyyy-mm-dd")</f>
        <v/>
      </c>
      <c r="C16392" t="inlineStr">
        <is>
          <t>1944-10-01</t>
        </is>
      </c>
    </row>
    <row r="16393">
      <c r="A16393" s="1" t="n">
        <v>16392</v>
      </c>
      <c r="B16393">
        <f>TEXT(16392, "[$-0E0000]yyyy-mm-dd")</f>
        <v/>
      </c>
      <c r="C16393" t="inlineStr">
        <is>
          <t>1944-10-02</t>
        </is>
      </c>
    </row>
    <row r="16394">
      <c r="A16394" s="1" t="n">
        <v>16393</v>
      </c>
      <c r="B16394">
        <f>TEXT(16393, "[$-0E0000]yyyy-mm-dd")</f>
        <v/>
      </c>
      <c r="C16394" t="inlineStr">
        <is>
          <t>1944-10-03</t>
        </is>
      </c>
    </row>
    <row r="16395">
      <c r="A16395" s="1" t="n">
        <v>16394</v>
      </c>
      <c r="B16395">
        <f>TEXT(16394, "[$-0E0000]yyyy-mm-dd")</f>
        <v/>
      </c>
      <c r="C16395" t="inlineStr">
        <is>
          <t>1944-10-04</t>
        </is>
      </c>
    </row>
    <row r="16396">
      <c r="A16396" s="1" t="n">
        <v>16395</v>
      </c>
      <c r="B16396">
        <f>TEXT(16395, "[$-0E0000]yyyy-mm-dd")</f>
        <v/>
      </c>
      <c r="C16396" t="inlineStr">
        <is>
          <t>1944-10-05</t>
        </is>
      </c>
    </row>
    <row r="16397">
      <c r="A16397" s="1" t="n">
        <v>16396</v>
      </c>
      <c r="B16397">
        <f>TEXT(16396, "[$-0E0000]yyyy-mm-dd")</f>
        <v/>
      </c>
      <c r="C16397" t="inlineStr">
        <is>
          <t>1944-10-06</t>
        </is>
      </c>
    </row>
    <row r="16398">
      <c r="A16398" s="1" t="n">
        <v>16397</v>
      </c>
      <c r="B16398">
        <f>TEXT(16397, "[$-0E0000]yyyy-mm-dd")</f>
        <v/>
      </c>
      <c r="C16398" t="inlineStr">
        <is>
          <t>1944-10-07</t>
        </is>
      </c>
    </row>
    <row r="16399">
      <c r="A16399" s="1" t="n">
        <v>16398</v>
      </c>
      <c r="B16399">
        <f>TEXT(16398, "[$-0E0000]yyyy-mm-dd")</f>
        <v/>
      </c>
      <c r="C16399" t="inlineStr">
        <is>
          <t>1944-10-08</t>
        </is>
      </c>
    </row>
    <row r="16400">
      <c r="A16400" s="1" t="n">
        <v>16399</v>
      </c>
      <c r="B16400">
        <f>TEXT(16399, "[$-0E0000]yyyy-mm-dd")</f>
        <v/>
      </c>
      <c r="C16400" t="inlineStr">
        <is>
          <t>1944-10-09</t>
        </is>
      </c>
    </row>
    <row r="16401">
      <c r="A16401" s="1" t="n">
        <v>16400</v>
      </c>
      <c r="B16401">
        <f>TEXT(16400, "[$-0E0000]yyyy-mm-dd")</f>
        <v/>
      </c>
      <c r="C16401" t="inlineStr">
        <is>
          <t>1944-10-10</t>
        </is>
      </c>
    </row>
    <row r="16402">
      <c r="A16402" s="1" t="n">
        <v>16401</v>
      </c>
      <c r="B16402">
        <f>TEXT(16401, "[$-0E0000]yyyy-mm-dd")</f>
        <v/>
      </c>
      <c r="C16402" t="inlineStr">
        <is>
          <t>1944-10-11</t>
        </is>
      </c>
    </row>
    <row r="16403">
      <c r="A16403" s="1" t="n">
        <v>16402</v>
      </c>
      <c r="B16403">
        <f>TEXT(16402, "[$-0E0000]yyyy-mm-dd")</f>
        <v/>
      </c>
      <c r="C16403" t="inlineStr">
        <is>
          <t>1944-10-12</t>
        </is>
      </c>
    </row>
    <row r="16404">
      <c r="A16404" s="1" t="n">
        <v>16403</v>
      </c>
      <c r="B16404">
        <f>TEXT(16403, "[$-0E0000]yyyy-mm-dd")</f>
        <v/>
      </c>
      <c r="C16404" t="inlineStr">
        <is>
          <t>1944-10-13</t>
        </is>
      </c>
    </row>
    <row r="16405">
      <c r="A16405" s="1" t="n">
        <v>16404</v>
      </c>
      <c r="B16405">
        <f>TEXT(16404, "[$-0E0000]yyyy-mm-dd")</f>
        <v/>
      </c>
      <c r="C16405" t="inlineStr">
        <is>
          <t>1944-10-14</t>
        </is>
      </c>
    </row>
    <row r="16406">
      <c r="A16406" s="1" t="n">
        <v>16405</v>
      </c>
      <c r="B16406">
        <f>TEXT(16405, "[$-0E0000]yyyy-mm-dd")</f>
        <v/>
      </c>
      <c r="C16406" t="inlineStr">
        <is>
          <t>1944-10-15</t>
        </is>
      </c>
    </row>
    <row r="16407">
      <c r="A16407" s="1" t="n">
        <v>16406</v>
      </c>
      <c r="B16407">
        <f>TEXT(16406, "[$-0E0000]yyyy-mm-dd")</f>
        <v/>
      </c>
      <c r="C16407" t="inlineStr">
        <is>
          <t>1944-10-16</t>
        </is>
      </c>
    </row>
    <row r="16408">
      <c r="A16408" s="1" t="n">
        <v>16407</v>
      </c>
      <c r="B16408">
        <f>TEXT(16407, "[$-0E0000]yyyy-mm-dd")</f>
        <v/>
      </c>
      <c r="C16408" t="inlineStr">
        <is>
          <t>1944-10-17</t>
        </is>
      </c>
    </row>
    <row r="16409">
      <c r="A16409" s="1" t="n">
        <v>16408</v>
      </c>
      <c r="B16409">
        <f>TEXT(16408, "[$-0E0000]yyyy-mm-dd")</f>
        <v/>
      </c>
      <c r="C16409" t="inlineStr">
        <is>
          <t>1944-10-18</t>
        </is>
      </c>
    </row>
    <row r="16410">
      <c r="A16410" s="1" t="n">
        <v>16409</v>
      </c>
      <c r="B16410">
        <f>TEXT(16409, "[$-0E0000]yyyy-mm-dd")</f>
        <v/>
      </c>
      <c r="C16410" t="inlineStr">
        <is>
          <t>1944-10-19</t>
        </is>
      </c>
    </row>
    <row r="16411">
      <c r="A16411" s="1" t="n">
        <v>16410</v>
      </c>
      <c r="B16411">
        <f>TEXT(16410, "[$-0E0000]yyyy-mm-dd")</f>
        <v/>
      </c>
      <c r="C16411" t="inlineStr">
        <is>
          <t>1944-10-20</t>
        </is>
      </c>
    </row>
    <row r="16412">
      <c r="A16412" s="1" t="n">
        <v>16411</v>
      </c>
      <c r="B16412">
        <f>TEXT(16411, "[$-0E0000]yyyy-mm-dd")</f>
        <v/>
      </c>
      <c r="C16412" t="inlineStr">
        <is>
          <t>1944-10-21</t>
        </is>
      </c>
    </row>
    <row r="16413">
      <c r="A16413" s="1" t="n">
        <v>16412</v>
      </c>
      <c r="B16413">
        <f>TEXT(16412, "[$-0E0000]yyyy-mm-dd")</f>
        <v/>
      </c>
      <c r="C16413" t="inlineStr">
        <is>
          <t>1944-10-22</t>
        </is>
      </c>
    </row>
    <row r="16414">
      <c r="A16414" s="1" t="n">
        <v>16413</v>
      </c>
      <c r="B16414">
        <f>TEXT(16413, "[$-0E0000]yyyy-mm-dd")</f>
        <v/>
      </c>
      <c r="C16414" t="inlineStr">
        <is>
          <t>1944-10-23</t>
        </is>
      </c>
    </row>
    <row r="16415">
      <c r="A16415" s="1" t="n">
        <v>16414</v>
      </c>
      <c r="B16415">
        <f>TEXT(16414, "[$-0E0000]yyyy-mm-dd")</f>
        <v/>
      </c>
      <c r="C16415" t="inlineStr">
        <is>
          <t>1944-10-24</t>
        </is>
      </c>
    </row>
    <row r="16416">
      <c r="A16416" s="1" t="n">
        <v>16415</v>
      </c>
      <c r="B16416">
        <f>TEXT(16415, "[$-0E0000]yyyy-mm-dd")</f>
        <v/>
      </c>
      <c r="C16416" t="inlineStr">
        <is>
          <t>1944-10-25</t>
        </is>
      </c>
    </row>
    <row r="16417">
      <c r="A16417" s="1" t="n">
        <v>16416</v>
      </c>
      <c r="B16417">
        <f>TEXT(16416, "[$-0E0000]yyyy-mm-dd")</f>
        <v/>
      </c>
      <c r="C16417" t="inlineStr">
        <is>
          <t>1944-10-26</t>
        </is>
      </c>
    </row>
    <row r="16418">
      <c r="A16418" s="1" t="n">
        <v>16417</v>
      </c>
      <c r="B16418">
        <f>TEXT(16417, "[$-0E0000]yyyy-mm-dd")</f>
        <v/>
      </c>
      <c r="C16418" t="inlineStr">
        <is>
          <t>1944-10-27</t>
        </is>
      </c>
    </row>
    <row r="16419">
      <c r="A16419" s="1" t="n">
        <v>16418</v>
      </c>
      <c r="B16419">
        <f>TEXT(16418, "[$-0E0000]yyyy-mm-dd")</f>
        <v/>
      </c>
      <c r="C16419" t="inlineStr">
        <is>
          <t>1944-10-28</t>
        </is>
      </c>
    </row>
    <row r="16420">
      <c r="A16420" s="1" t="n">
        <v>16419</v>
      </c>
      <c r="B16420">
        <f>TEXT(16419, "[$-0E0000]yyyy-mm-dd")</f>
        <v/>
      </c>
      <c r="C16420" t="inlineStr">
        <is>
          <t>1944-10-29</t>
        </is>
      </c>
    </row>
    <row r="16421">
      <c r="A16421" s="1" t="n">
        <v>16420</v>
      </c>
      <c r="B16421">
        <f>TEXT(16420, "[$-0E0000]yyyy-mm-dd")</f>
        <v/>
      </c>
      <c r="C16421" t="inlineStr">
        <is>
          <t>1944-11-01</t>
        </is>
      </c>
    </row>
    <row r="16422">
      <c r="A16422" s="1" t="n">
        <v>16421</v>
      </c>
      <c r="B16422">
        <f>TEXT(16421, "[$-0E0000]yyyy-mm-dd")</f>
        <v/>
      </c>
      <c r="C16422" t="inlineStr">
        <is>
          <t>1944-11-02</t>
        </is>
      </c>
    </row>
    <row r="16423">
      <c r="A16423" s="1" t="n">
        <v>16422</v>
      </c>
      <c r="B16423">
        <f>TEXT(16422, "[$-0E0000]yyyy-mm-dd")</f>
        <v/>
      </c>
      <c r="C16423" t="inlineStr">
        <is>
          <t>1944-11-03</t>
        </is>
      </c>
    </row>
    <row r="16424">
      <c r="A16424" s="1" t="n">
        <v>16423</v>
      </c>
      <c r="B16424">
        <f>TEXT(16423, "[$-0E0000]yyyy-mm-dd")</f>
        <v/>
      </c>
      <c r="C16424" t="inlineStr">
        <is>
          <t>1944-11-04</t>
        </is>
      </c>
    </row>
    <row r="16425">
      <c r="A16425" s="1" t="n">
        <v>16424</v>
      </c>
      <c r="B16425">
        <f>TEXT(16424, "[$-0E0000]yyyy-mm-dd")</f>
        <v/>
      </c>
      <c r="C16425" t="inlineStr">
        <is>
          <t>1944-11-05</t>
        </is>
      </c>
    </row>
    <row r="16426">
      <c r="A16426" s="1" t="n">
        <v>16425</v>
      </c>
      <c r="B16426">
        <f>TEXT(16425, "[$-0E0000]yyyy-mm-dd")</f>
        <v/>
      </c>
      <c r="C16426" t="inlineStr">
        <is>
          <t>1944-11-06</t>
        </is>
      </c>
    </row>
    <row r="16427">
      <c r="A16427" s="1" t="n">
        <v>16426</v>
      </c>
      <c r="B16427">
        <f>TEXT(16426, "[$-0E0000]yyyy-mm-dd")</f>
        <v/>
      </c>
      <c r="C16427" t="inlineStr">
        <is>
          <t>1944-11-07</t>
        </is>
      </c>
    </row>
    <row r="16428">
      <c r="A16428" s="1" t="n">
        <v>16427</v>
      </c>
      <c r="B16428">
        <f>TEXT(16427, "[$-0E0000]yyyy-mm-dd")</f>
        <v/>
      </c>
      <c r="C16428" t="inlineStr">
        <is>
          <t>1944-11-08</t>
        </is>
      </c>
    </row>
    <row r="16429">
      <c r="A16429" s="1" t="n">
        <v>16428</v>
      </c>
      <c r="B16429">
        <f>TEXT(16428, "[$-0E0000]yyyy-mm-dd")</f>
        <v/>
      </c>
      <c r="C16429" t="inlineStr">
        <is>
          <t>1944-11-09</t>
        </is>
      </c>
    </row>
    <row r="16430">
      <c r="A16430" s="1" t="n">
        <v>16429</v>
      </c>
      <c r="B16430">
        <f>TEXT(16429, "[$-0E0000]yyyy-mm-dd")</f>
        <v/>
      </c>
      <c r="C16430" t="inlineStr">
        <is>
          <t>1944-11-10</t>
        </is>
      </c>
    </row>
    <row r="16431">
      <c r="A16431" s="1" t="n">
        <v>16430</v>
      </c>
      <c r="B16431">
        <f>TEXT(16430, "[$-0E0000]yyyy-mm-dd")</f>
        <v/>
      </c>
      <c r="C16431" t="inlineStr">
        <is>
          <t>1944-11-11</t>
        </is>
      </c>
    </row>
    <row r="16432">
      <c r="A16432" s="1" t="n">
        <v>16431</v>
      </c>
      <c r="B16432">
        <f>TEXT(16431, "[$-0E0000]yyyy-mm-dd")</f>
        <v/>
      </c>
      <c r="C16432" t="inlineStr">
        <is>
          <t>1944-11-12</t>
        </is>
      </c>
    </row>
    <row r="16433">
      <c r="A16433" s="1" t="n">
        <v>16432</v>
      </c>
      <c r="B16433">
        <f>TEXT(16432, "[$-0E0000]yyyy-mm-dd")</f>
        <v/>
      </c>
      <c r="C16433" t="inlineStr">
        <is>
          <t>1944-11-13</t>
        </is>
      </c>
    </row>
    <row r="16434">
      <c r="A16434" s="1" t="n">
        <v>16433</v>
      </c>
      <c r="B16434">
        <f>TEXT(16433, "[$-0E0000]yyyy-mm-dd")</f>
        <v/>
      </c>
      <c r="C16434" t="inlineStr">
        <is>
          <t>1944-11-14</t>
        </is>
      </c>
    </row>
    <row r="16435">
      <c r="A16435" s="1" t="n">
        <v>16434</v>
      </c>
      <c r="B16435">
        <f>TEXT(16434, "[$-0E0000]yyyy-mm-dd")</f>
        <v/>
      </c>
      <c r="C16435" t="inlineStr">
        <is>
          <t>1944-11-15</t>
        </is>
      </c>
    </row>
    <row r="16436">
      <c r="A16436" s="1" t="n">
        <v>16435</v>
      </c>
      <c r="B16436">
        <f>TEXT(16435, "[$-0E0000]yyyy-mm-dd")</f>
        <v/>
      </c>
      <c r="C16436" t="inlineStr">
        <is>
          <t>1944-11-16</t>
        </is>
      </c>
    </row>
    <row r="16437">
      <c r="A16437" s="1" t="n">
        <v>16436</v>
      </c>
      <c r="B16437">
        <f>TEXT(16436, "[$-0E0000]yyyy-mm-dd")</f>
        <v/>
      </c>
      <c r="C16437" t="inlineStr">
        <is>
          <t>1944-11-17</t>
        </is>
      </c>
    </row>
    <row r="16438">
      <c r="A16438" s="1" t="n">
        <v>16437</v>
      </c>
      <c r="B16438">
        <f>TEXT(16437, "[$-0E0000]yyyy-mm-dd")</f>
        <v/>
      </c>
      <c r="C16438" t="inlineStr">
        <is>
          <t>1944-11-18</t>
        </is>
      </c>
    </row>
    <row r="16439">
      <c r="A16439" s="1" t="n">
        <v>16438</v>
      </c>
      <c r="B16439">
        <f>TEXT(16438, "[$-0E0000]yyyy-mm-dd")</f>
        <v/>
      </c>
      <c r="C16439" t="inlineStr">
        <is>
          <t>1944-11-19</t>
        </is>
      </c>
    </row>
    <row r="16440">
      <c r="A16440" s="1" t="n">
        <v>16439</v>
      </c>
      <c r="B16440">
        <f>TEXT(16439, "[$-0E0000]yyyy-mm-dd")</f>
        <v/>
      </c>
      <c r="C16440" t="inlineStr">
        <is>
          <t>1944-11-20</t>
        </is>
      </c>
    </row>
    <row r="16441">
      <c r="A16441" s="1" t="n">
        <v>16440</v>
      </c>
      <c r="B16441">
        <f>TEXT(16440, "[$-0E0000]yyyy-mm-dd")</f>
        <v/>
      </c>
      <c r="C16441" t="inlineStr">
        <is>
          <t>1944-11-21</t>
        </is>
      </c>
    </row>
    <row r="16442">
      <c r="A16442" s="1" t="n">
        <v>16441</v>
      </c>
      <c r="B16442">
        <f>TEXT(16441, "[$-0E0000]yyyy-mm-dd")</f>
        <v/>
      </c>
      <c r="C16442" t="inlineStr">
        <is>
          <t>1944-11-22</t>
        </is>
      </c>
    </row>
    <row r="16443">
      <c r="A16443" s="1" t="n">
        <v>16442</v>
      </c>
      <c r="B16443">
        <f>TEXT(16442, "[$-0E0000]yyyy-mm-dd")</f>
        <v/>
      </c>
      <c r="C16443" t="inlineStr">
        <is>
          <t>1944-11-23</t>
        </is>
      </c>
    </row>
    <row r="16444">
      <c r="A16444" s="1" t="n">
        <v>16443</v>
      </c>
      <c r="B16444">
        <f>TEXT(16443, "[$-0E0000]yyyy-mm-dd")</f>
        <v/>
      </c>
      <c r="C16444" t="inlineStr">
        <is>
          <t>1944-11-24</t>
        </is>
      </c>
    </row>
    <row r="16445">
      <c r="A16445" s="1" t="n">
        <v>16444</v>
      </c>
      <c r="B16445">
        <f>TEXT(16444, "[$-0E0000]yyyy-mm-dd")</f>
        <v/>
      </c>
      <c r="C16445" t="inlineStr">
        <is>
          <t>1944-11-25</t>
        </is>
      </c>
    </row>
    <row r="16446">
      <c r="A16446" s="1" t="n">
        <v>16445</v>
      </c>
      <c r="B16446">
        <f>TEXT(16445, "[$-0E0000]yyyy-mm-dd")</f>
        <v/>
      </c>
      <c r="C16446" t="inlineStr">
        <is>
          <t>1944-11-26</t>
        </is>
      </c>
    </row>
    <row r="16447">
      <c r="A16447" s="1" t="n">
        <v>16446</v>
      </c>
      <c r="B16447">
        <f>TEXT(16446, "[$-0E0000]yyyy-mm-dd")</f>
        <v/>
      </c>
      <c r="C16447" t="inlineStr">
        <is>
          <t>1944-11-27</t>
        </is>
      </c>
    </row>
    <row r="16448">
      <c r="A16448" s="1" t="n">
        <v>16447</v>
      </c>
      <c r="B16448">
        <f>TEXT(16447, "[$-0E0000]yyyy-mm-dd")</f>
        <v/>
      </c>
      <c r="C16448" t="inlineStr">
        <is>
          <t>1944-11-28</t>
        </is>
      </c>
    </row>
    <row r="16449">
      <c r="A16449" s="1" t="n">
        <v>16448</v>
      </c>
      <c r="B16449">
        <f>TEXT(16448, "[$-0E0000]yyyy-mm-dd")</f>
        <v/>
      </c>
      <c r="C16449" t="inlineStr">
        <is>
          <t>1944-11-29</t>
        </is>
      </c>
    </row>
    <row r="16450">
      <c r="A16450" s="1" t="n">
        <v>16449</v>
      </c>
      <c r="B16450">
        <f>TEXT(16449, "[$-0E0000]yyyy-mm-dd")</f>
        <v/>
      </c>
      <c r="C16450" t="inlineStr">
        <is>
          <t>1944-11-30</t>
        </is>
      </c>
    </row>
    <row r="16451">
      <c r="A16451" s="1" t="n">
        <v>16450</v>
      </c>
      <c r="B16451">
        <f>TEXT(16450, "[$-0E0000]yyyy-mm-dd")</f>
        <v/>
      </c>
      <c r="C16451" t="inlineStr">
        <is>
          <t>1944-12-01</t>
        </is>
      </c>
    </row>
    <row r="16452">
      <c r="A16452" s="1" t="n">
        <v>16451</v>
      </c>
      <c r="B16452">
        <f>TEXT(16451, "[$-0E0000]yyyy-mm-dd")</f>
        <v/>
      </c>
      <c r="C16452" t="inlineStr">
        <is>
          <t>1944-12-02</t>
        </is>
      </c>
    </row>
    <row r="16453">
      <c r="A16453" s="1" t="n">
        <v>16452</v>
      </c>
      <c r="B16453">
        <f>TEXT(16452, "[$-0E0000]yyyy-mm-dd")</f>
        <v/>
      </c>
      <c r="C16453" t="inlineStr">
        <is>
          <t>1944-12-03</t>
        </is>
      </c>
    </row>
    <row r="16454">
      <c r="A16454" s="1" t="n">
        <v>16453</v>
      </c>
      <c r="B16454">
        <f>TEXT(16453, "[$-0E0000]yyyy-mm-dd")</f>
        <v/>
      </c>
      <c r="C16454" t="inlineStr">
        <is>
          <t>1944-12-04</t>
        </is>
      </c>
    </row>
    <row r="16455">
      <c r="A16455" s="1" t="n">
        <v>16454</v>
      </c>
      <c r="B16455">
        <f>TEXT(16454, "[$-0E0000]yyyy-mm-dd")</f>
        <v/>
      </c>
      <c r="C16455" t="inlineStr">
        <is>
          <t>1944-12-05</t>
        </is>
      </c>
    </row>
    <row r="16456">
      <c r="A16456" s="1" t="n">
        <v>16455</v>
      </c>
      <c r="B16456">
        <f>TEXT(16455, "[$-0E0000]yyyy-mm-dd")</f>
        <v/>
      </c>
      <c r="C16456" t="inlineStr">
        <is>
          <t>1944-12-06</t>
        </is>
      </c>
    </row>
    <row r="16457">
      <c r="A16457" s="1" t="n">
        <v>16456</v>
      </c>
      <c r="B16457">
        <f>TEXT(16456, "[$-0E0000]yyyy-mm-dd")</f>
        <v/>
      </c>
      <c r="C16457" t="inlineStr">
        <is>
          <t>1944-12-07</t>
        </is>
      </c>
    </row>
    <row r="16458">
      <c r="A16458" s="1" t="n">
        <v>16457</v>
      </c>
      <c r="B16458">
        <f>TEXT(16457, "[$-0E0000]yyyy-mm-dd")</f>
        <v/>
      </c>
      <c r="C16458" t="inlineStr">
        <is>
          <t>1944-12-08</t>
        </is>
      </c>
    </row>
    <row r="16459">
      <c r="A16459" s="1" t="n">
        <v>16458</v>
      </c>
      <c r="B16459">
        <f>TEXT(16458, "[$-0E0000]yyyy-mm-dd")</f>
        <v/>
      </c>
      <c r="C16459" t="inlineStr">
        <is>
          <t>1944-12-09</t>
        </is>
      </c>
    </row>
    <row r="16460">
      <c r="A16460" s="1" t="n">
        <v>16459</v>
      </c>
      <c r="B16460">
        <f>TEXT(16459, "[$-0E0000]yyyy-mm-dd")</f>
        <v/>
      </c>
      <c r="C16460" t="inlineStr">
        <is>
          <t>1944-12-10</t>
        </is>
      </c>
    </row>
    <row r="16461">
      <c r="A16461" s="1" t="n">
        <v>16460</v>
      </c>
      <c r="B16461">
        <f>TEXT(16460, "[$-0E0000]yyyy-mm-dd")</f>
        <v/>
      </c>
      <c r="C16461" t="inlineStr">
        <is>
          <t>1944-12-11</t>
        </is>
      </c>
    </row>
    <row r="16462">
      <c r="A16462" s="1" t="n">
        <v>16461</v>
      </c>
      <c r="B16462">
        <f>TEXT(16461, "[$-0E0000]yyyy-mm-dd")</f>
        <v/>
      </c>
      <c r="C16462" t="inlineStr">
        <is>
          <t>1944-12-12</t>
        </is>
      </c>
    </row>
    <row r="16463">
      <c r="A16463" s="1" t="n">
        <v>16462</v>
      </c>
      <c r="B16463">
        <f>TEXT(16462, "[$-0E0000]yyyy-mm-dd")</f>
        <v/>
      </c>
      <c r="C16463" t="inlineStr">
        <is>
          <t>1944-12-13</t>
        </is>
      </c>
    </row>
    <row r="16464">
      <c r="A16464" s="1" t="n">
        <v>16463</v>
      </c>
      <c r="B16464">
        <f>TEXT(16463, "[$-0E0000]yyyy-mm-dd")</f>
        <v/>
      </c>
      <c r="C16464" t="inlineStr">
        <is>
          <t>1944-12-14</t>
        </is>
      </c>
    </row>
    <row r="16465">
      <c r="A16465" s="1" t="n">
        <v>16464</v>
      </c>
      <c r="B16465">
        <f>TEXT(16464, "[$-0E0000]yyyy-mm-dd")</f>
        <v/>
      </c>
      <c r="C16465" t="inlineStr">
        <is>
          <t>1944-12-15</t>
        </is>
      </c>
    </row>
    <row r="16466">
      <c r="A16466" s="1" t="n">
        <v>16465</v>
      </c>
      <c r="B16466">
        <f>TEXT(16465, "[$-0E0000]yyyy-mm-dd")</f>
        <v/>
      </c>
      <c r="C16466" t="inlineStr">
        <is>
          <t>1944-12-16</t>
        </is>
      </c>
    </row>
    <row r="16467">
      <c r="A16467" s="1" t="n">
        <v>16466</v>
      </c>
      <c r="B16467">
        <f>TEXT(16466, "[$-0E0000]yyyy-mm-dd")</f>
        <v/>
      </c>
      <c r="C16467" t="inlineStr">
        <is>
          <t>1944-12-17</t>
        </is>
      </c>
    </row>
    <row r="16468">
      <c r="A16468" s="1" t="n">
        <v>16467</v>
      </c>
      <c r="B16468">
        <f>TEXT(16467, "[$-0E0000]yyyy-mm-dd")</f>
        <v/>
      </c>
      <c r="C16468" t="inlineStr">
        <is>
          <t>1944-12-18</t>
        </is>
      </c>
    </row>
    <row r="16469">
      <c r="A16469" s="1" t="n">
        <v>16468</v>
      </c>
      <c r="B16469">
        <f>TEXT(16468, "[$-0E0000]yyyy-mm-dd")</f>
        <v/>
      </c>
      <c r="C16469" t="inlineStr">
        <is>
          <t>1944-12-19</t>
        </is>
      </c>
    </row>
    <row r="16470">
      <c r="A16470" s="1" t="n">
        <v>16469</v>
      </c>
      <c r="B16470">
        <f>TEXT(16469, "[$-0E0000]yyyy-mm-dd")</f>
        <v/>
      </c>
      <c r="C16470" t="inlineStr">
        <is>
          <t>1944-12-20</t>
        </is>
      </c>
    </row>
    <row r="16471">
      <c r="A16471" s="1" t="n">
        <v>16470</v>
      </c>
      <c r="B16471">
        <f>TEXT(16470, "[$-0E0000]yyyy-mm-dd")</f>
        <v/>
      </c>
      <c r="C16471" t="inlineStr">
        <is>
          <t>1944-12-21</t>
        </is>
      </c>
    </row>
    <row r="16472">
      <c r="A16472" s="1" t="n">
        <v>16471</v>
      </c>
      <c r="B16472">
        <f>TEXT(16471, "[$-0E0000]yyyy-mm-dd")</f>
        <v/>
      </c>
      <c r="C16472" t="inlineStr">
        <is>
          <t>1944-12-22</t>
        </is>
      </c>
    </row>
    <row r="16473">
      <c r="A16473" s="1" t="n">
        <v>16472</v>
      </c>
      <c r="B16473">
        <f>TEXT(16472, "[$-0E0000]yyyy-mm-dd")</f>
        <v/>
      </c>
      <c r="C16473" t="inlineStr">
        <is>
          <t>1944-12-23</t>
        </is>
      </c>
    </row>
    <row r="16474">
      <c r="A16474" s="1" t="n">
        <v>16473</v>
      </c>
      <c r="B16474">
        <f>TEXT(16473, "[$-0E0000]yyyy-mm-dd")</f>
        <v/>
      </c>
      <c r="C16474" t="inlineStr">
        <is>
          <t>1944-12-24</t>
        </is>
      </c>
    </row>
    <row r="16475">
      <c r="A16475" s="1" t="n">
        <v>16474</v>
      </c>
      <c r="B16475">
        <f>TEXT(16474, "[$-0E0000]yyyy-mm-dd")</f>
        <v/>
      </c>
      <c r="C16475" t="inlineStr">
        <is>
          <t>1944-12-25</t>
        </is>
      </c>
    </row>
    <row r="16476">
      <c r="A16476" s="1" t="n">
        <v>16475</v>
      </c>
      <c r="B16476">
        <f>TEXT(16475, "[$-0E0000]yyyy-mm-dd")</f>
        <v/>
      </c>
      <c r="C16476" t="inlineStr">
        <is>
          <t>1944-12-26</t>
        </is>
      </c>
    </row>
    <row r="16477">
      <c r="A16477" s="1" t="n">
        <v>16476</v>
      </c>
      <c r="B16477">
        <f>TEXT(16476, "[$-0E0000]yyyy-mm-dd")</f>
        <v/>
      </c>
      <c r="C16477" t="inlineStr">
        <is>
          <t>1944-12-27</t>
        </is>
      </c>
    </row>
    <row r="16478">
      <c r="A16478" s="1" t="n">
        <v>16477</v>
      </c>
      <c r="B16478">
        <f>TEXT(16477, "[$-0E0000]yyyy-mm-dd")</f>
        <v/>
      </c>
      <c r="C16478" t="inlineStr">
        <is>
          <t>1944-12-28</t>
        </is>
      </c>
    </row>
    <row r="16479">
      <c r="A16479" s="1" t="n">
        <v>16478</v>
      </c>
      <c r="B16479">
        <f>TEXT(16478, "[$-0E0000]yyyy-mm-dd")</f>
        <v/>
      </c>
      <c r="C16479" t="inlineStr">
        <is>
          <t>1944-12-29</t>
        </is>
      </c>
    </row>
    <row r="16480">
      <c r="A16480" s="1" t="n">
        <v>16479</v>
      </c>
      <c r="B16480">
        <f>TEXT(16479, "[$-0E0000]yyyy-mm-dd")</f>
        <v/>
      </c>
      <c r="C16480" t="inlineStr">
        <is>
          <t>1944-12-30</t>
        </is>
      </c>
    </row>
    <row r="16481">
      <c r="A16481" s="1" t="n">
        <v>16480</v>
      </c>
      <c r="B16481">
        <f>TEXT(16480, "[$-0E0000]yyyy-mm-dd")</f>
        <v/>
      </c>
      <c r="C16481" t="inlineStr">
        <is>
          <t>1945-01-01</t>
        </is>
      </c>
    </row>
    <row r="16482">
      <c r="A16482" s="1" t="n">
        <v>16481</v>
      </c>
      <c r="B16482">
        <f>TEXT(16481, "[$-0E0000]yyyy-mm-dd")</f>
        <v/>
      </c>
      <c r="C16482" t="inlineStr">
        <is>
          <t>1945-01-02</t>
        </is>
      </c>
    </row>
    <row r="16483">
      <c r="A16483" s="1" t="n">
        <v>16482</v>
      </c>
      <c r="B16483">
        <f>TEXT(16482, "[$-0E0000]yyyy-mm-dd")</f>
        <v/>
      </c>
      <c r="C16483" t="inlineStr">
        <is>
          <t>1945-01-03</t>
        </is>
      </c>
    </row>
    <row r="16484">
      <c r="A16484" s="1" t="n">
        <v>16483</v>
      </c>
      <c r="B16484">
        <f>TEXT(16483, "[$-0E0000]yyyy-mm-dd")</f>
        <v/>
      </c>
      <c r="C16484" t="inlineStr">
        <is>
          <t>1945-01-04</t>
        </is>
      </c>
    </row>
    <row r="16485">
      <c r="A16485" s="1" t="n">
        <v>16484</v>
      </c>
      <c r="B16485">
        <f>TEXT(16484, "[$-0E0000]yyyy-mm-dd")</f>
        <v/>
      </c>
      <c r="C16485" t="inlineStr">
        <is>
          <t>1945-01-05</t>
        </is>
      </c>
    </row>
    <row r="16486">
      <c r="A16486" s="1" t="n">
        <v>16485</v>
      </c>
      <c r="B16486">
        <f>TEXT(16485, "[$-0E0000]yyyy-mm-dd")</f>
        <v/>
      </c>
      <c r="C16486" t="inlineStr">
        <is>
          <t>1945-01-06</t>
        </is>
      </c>
    </row>
    <row r="16487">
      <c r="A16487" s="1" t="n">
        <v>16486</v>
      </c>
      <c r="B16487">
        <f>TEXT(16486, "[$-0E0000]yyyy-mm-dd")</f>
        <v/>
      </c>
      <c r="C16487" t="inlineStr">
        <is>
          <t>1945-01-07</t>
        </is>
      </c>
    </row>
    <row r="16488">
      <c r="A16488" s="1" t="n">
        <v>16487</v>
      </c>
      <c r="B16488">
        <f>TEXT(16487, "[$-0E0000]yyyy-mm-dd")</f>
        <v/>
      </c>
      <c r="C16488" t="inlineStr">
        <is>
          <t>1945-01-08</t>
        </is>
      </c>
    </row>
    <row r="16489">
      <c r="A16489" s="1" t="n">
        <v>16488</v>
      </c>
      <c r="B16489">
        <f>TEXT(16488, "[$-0E0000]yyyy-mm-dd")</f>
        <v/>
      </c>
      <c r="C16489" t="inlineStr">
        <is>
          <t>1945-01-09</t>
        </is>
      </c>
    </row>
    <row r="16490">
      <c r="A16490" s="1" t="n">
        <v>16489</v>
      </c>
      <c r="B16490">
        <f>TEXT(16489, "[$-0E0000]yyyy-mm-dd")</f>
        <v/>
      </c>
      <c r="C16490" t="inlineStr">
        <is>
          <t>1945-01-10</t>
        </is>
      </c>
    </row>
    <row r="16491">
      <c r="A16491" s="1" t="n">
        <v>16490</v>
      </c>
      <c r="B16491">
        <f>TEXT(16490, "[$-0E0000]yyyy-mm-dd")</f>
        <v/>
      </c>
      <c r="C16491" t="inlineStr">
        <is>
          <t>1945-01-11</t>
        </is>
      </c>
    </row>
    <row r="16492">
      <c r="A16492" s="1" t="n">
        <v>16491</v>
      </c>
      <c r="B16492">
        <f>TEXT(16491, "[$-0E0000]yyyy-mm-dd")</f>
        <v/>
      </c>
      <c r="C16492" t="inlineStr">
        <is>
          <t>1945-01-12</t>
        </is>
      </c>
    </row>
    <row r="16493">
      <c r="A16493" s="1" t="n">
        <v>16492</v>
      </c>
      <c r="B16493">
        <f>TEXT(16492, "[$-0E0000]yyyy-mm-dd")</f>
        <v/>
      </c>
      <c r="C16493" t="inlineStr">
        <is>
          <t>1945-01-13</t>
        </is>
      </c>
    </row>
    <row r="16494">
      <c r="A16494" s="1" t="n">
        <v>16493</v>
      </c>
      <c r="B16494">
        <f>TEXT(16493, "[$-0E0000]yyyy-mm-dd")</f>
        <v/>
      </c>
      <c r="C16494" t="inlineStr">
        <is>
          <t>1945-01-14</t>
        </is>
      </c>
    </row>
    <row r="16495">
      <c r="A16495" s="1" t="n">
        <v>16494</v>
      </c>
      <c r="B16495">
        <f>TEXT(16494, "[$-0E0000]yyyy-mm-dd")</f>
        <v/>
      </c>
      <c r="C16495" t="inlineStr">
        <is>
          <t>1945-01-15</t>
        </is>
      </c>
    </row>
    <row r="16496">
      <c r="A16496" s="1" t="n">
        <v>16495</v>
      </c>
      <c r="B16496">
        <f>TEXT(16495, "[$-0E0000]yyyy-mm-dd")</f>
        <v/>
      </c>
      <c r="C16496" t="inlineStr">
        <is>
          <t>1945-01-16</t>
        </is>
      </c>
    </row>
    <row r="16497">
      <c r="A16497" s="1" t="n">
        <v>16496</v>
      </c>
      <c r="B16497">
        <f>TEXT(16496, "[$-0E0000]yyyy-mm-dd")</f>
        <v/>
      </c>
      <c r="C16497" t="inlineStr">
        <is>
          <t>1945-01-17</t>
        </is>
      </c>
    </row>
    <row r="16498">
      <c r="A16498" s="1" t="n">
        <v>16497</v>
      </c>
      <c r="B16498">
        <f>TEXT(16497, "[$-0E0000]yyyy-mm-dd")</f>
        <v/>
      </c>
      <c r="C16498" t="inlineStr">
        <is>
          <t>1945-01-18</t>
        </is>
      </c>
    </row>
    <row r="16499">
      <c r="A16499" s="1" t="n">
        <v>16498</v>
      </c>
      <c r="B16499">
        <f>TEXT(16498, "[$-0E0000]yyyy-mm-dd")</f>
        <v/>
      </c>
      <c r="C16499" t="inlineStr">
        <is>
          <t>1945-01-19</t>
        </is>
      </c>
    </row>
    <row r="16500">
      <c r="A16500" s="1" t="n">
        <v>16499</v>
      </c>
      <c r="B16500">
        <f>TEXT(16499, "[$-0E0000]yyyy-mm-dd")</f>
        <v/>
      </c>
      <c r="C16500" t="inlineStr">
        <is>
          <t>1945-01-20</t>
        </is>
      </c>
    </row>
    <row r="16501">
      <c r="A16501" s="1" t="n">
        <v>16500</v>
      </c>
      <c r="B16501">
        <f>TEXT(16500, "[$-0E0000]yyyy-mm-dd")</f>
        <v/>
      </c>
      <c r="C16501" t="inlineStr">
        <is>
          <t>1945-01-21</t>
        </is>
      </c>
    </row>
    <row r="16502">
      <c r="A16502" s="1" t="n">
        <v>16501</v>
      </c>
      <c r="B16502">
        <f>TEXT(16501, "[$-0E0000]yyyy-mm-dd")</f>
        <v/>
      </c>
      <c r="C16502" t="inlineStr">
        <is>
          <t>1945-01-22</t>
        </is>
      </c>
    </row>
    <row r="16503">
      <c r="A16503" s="1" t="n">
        <v>16502</v>
      </c>
      <c r="B16503">
        <f>TEXT(16502, "[$-0E0000]yyyy-mm-dd")</f>
        <v/>
      </c>
      <c r="C16503" t="inlineStr">
        <is>
          <t>1945-01-23</t>
        </is>
      </c>
    </row>
    <row r="16504">
      <c r="A16504" s="1" t="n">
        <v>16503</v>
      </c>
      <c r="B16504">
        <f>TEXT(16503, "[$-0E0000]yyyy-mm-dd")</f>
        <v/>
      </c>
      <c r="C16504" t="inlineStr">
        <is>
          <t>1945-01-24</t>
        </is>
      </c>
    </row>
    <row r="16505">
      <c r="A16505" s="1" t="n">
        <v>16504</v>
      </c>
      <c r="B16505">
        <f>TEXT(16504, "[$-0E0000]yyyy-mm-dd")</f>
        <v/>
      </c>
      <c r="C16505" t="inlineStr">
        <is>
          <t>1945-01-25</t>
        </is>
      </c>
    </row>
    <row r="16506">
      <c r="A16506" s="1" t="n">
        <v>16505</v>
      </c>
      <c r="B16506">
        <f>TEXT(16505, "[$-0E0000]yyyy-mm-dd")</f>
        <v/>
      </c>
      <c r="C16506" t="inlineStr">
        <is>
          <t>1945-01-26</t>
        </is>
      </c>
    </row>
    <row r="16507">
      <c r="A16507" s="1" t="n">
        <v>16506</v>
      </c>
      <c r="B16507">
        <f>TEXT(16506, "[$-0E0000]yyyy-mm-dd")</f>
        <v/>
      </c>
      <c r="C16507" t="inlineStr">
        <is>
          <t>1945-01-27</t>
        </is>
      </c>
    </row>
    <row r="16508">
      <c r="A16508" s="1" t="n">
        <v>16507</v>
      </c>
      <c r="B16508">
        <f>TEXT(16507, "[$-0E0000]yyyy-mm-dd")</f>
        <v/>
      </c>
      <c r="C16508" t="inlineStr">
        <is>
          <t>1945-01-28</t>
        </is>
      </c>
    </row>
    <row r="16509">
      <c r="A16509" s="1" t="n">
        <v>16508</v>
      </c>
      <c r="B16509">
        <f>TEXT(16508, "[$-0E0000]yyyy-mm-dd")</f>
        <v/>
      </c>
      <c r="C16509" t="inlineStr">
        <is>
          <t>1945-01-29</t>
        </is>
      </c>
    </row>
    <row r="16510">
      <c r="A16510" s="1" t="n">
        <v>16509</v>
      </c>
      <c r="B16510">
        <f>TEXT(16509, "[$-0E0000]yyyy-mm-dd")</f>
        <v/>
      </c>
      <c r="C16510" t="inlineStr">
        <is>
          <t>1945-02-01</t>
        </is>
      </c>
    </row>
    <row r="16511">
      <c r="A16511" s="1" t="n">
        <v>16510</v>
      </c>
      <c r="B16511">
        <f>TEXT(16510, "[$-0E0000]yyyy-mm-dd")</f>
        <v/>
      </c>
      <c r="C16511" t="inlineStr">
        <is>
          <t>1945-02-02</t>
        </is>
      </c>
    </row>
    <row r="16512">
      <c r="A16512" s="1" t="n">
        <v>16511</v>
      </c>
      <c r="B16512">
        <f>TEXT(16511, "[$-0E0000]yyyy-mm-dd")</f>
        <v/>
      </c>
      <c r="C16512" t="inlineStr">
        <is>
          <t>1945-02-03</t>
        </is>
      </c>
    </row>
    <row r="16513">
      <c r="A16513" s="1" t="n">
        <v>16512</v>
      </c>
      <c r="B16513">
        <f>TEXT(16512, "[$-0E0000]yyyy-mm-dd")</f>
        <v/>
      </c>
      <c r="C16513" t="inlineStr">
        <is>
          <t>1945-02-04</t>
        </is>
      </c>
    </row>
    <row r="16514">
      <c r="A16514" s="1" t="n">
        <v>16513</v>
      </c>
      <c r="B16514">
        <f>TEXT(16513, "[$-0E0000]yyyy-mm-dd")</f>
        <v/>
      </c>
      <c r="C16514" t="inlineStr">
        <is>
          <t>1945-02-05</t>
        </is>
      </c>
    </row>
    <row r="16515">
      <c r="A16515" s="1" t="n">
        <v>16514</v>
      </c>
      <c r="B16515">
        <f>TEXT(16514, "[$-0E0000]yyyy-mm-dd")</f>
        <v/>
      </c>
      <c r="C16515" t="inlineStr">
        <is>
          <t>1945-02-06</t>
        </is>
      </c>
    </row>
    <row r="16516">
      <c r="A16516" s="1" t="n">
        <v>16515</v>
      </c>
      <c r="B16516">
        <f>TEXT(16515, "[$-0E0000]yyyy-mm-dd")</f>
        <v/>
      </c>
      <c r="C16516" t="inlineStr">
        <is>
          <t>1945-02-07</t>
        </is>
      </c>
    </row>
    <row r="16517">
      <c r="A16517" s="1" t="n">
        <v>16516</v>
      </c>
      <c r="B16517">
        <f>TEXT(16516, "[$-0E0000]yyyy-mm-dd")</f>
        <v/>
      </c>
      <c r="C16517" t="inlineStr">
        <is>
          <t>1945-02-08</t>
        </is>
      </c>
    </row>
    <row r="16518">
      <c r="A16518" s="1" t="n">
        <v>16517</v>
      </c>
      <c r="B16518">
        <f>TEXT(16517, "[$-0E0000]yyyy-mm-dd")</f>
        <v/>
      </c>
      <c r="C16518" t="inlineStr">
        <is>
          <t>1945-02-09</t>
        </is>
      </c>
    </row>
    <row r="16519">
      <c r="A16519" s="1" t="n">
        <v>16518</v>
      </c>
      <c r="B16519">
        <f>TEXT(16518, "[$-0E0000]yyyy-mm-dd")</f>
        <v/>
      </c>
      <c r="C16519" t="inlineStr">
        <is>
          <t>1945-02-10</t>
        </is>
      </c>
    </row>
    <row r="16520">
      <c r="A16520" s="1" t="n">
        <v>16519</v>
      </c>
      <c r="B16520">
        <f>TEXT(16519, "[$-0E0000]yyyy-mm-dd")</f>
        <v/>
      </c>
      <c r="C16520" t="inlineStr">
        <is>
          <t>1945-02-11</t>
        </is>
      </c>
    </row>
    <row r="16521">
      <c r="A16521" s="1" t="n">
        <v>16520</v>
      </c>
      <c r="B16521">
        <f>TEXT(16520, "[$-0E0000]yyyy-mm-dd")</f>
        <v/>
      </c>
      <c r="C16521" t="inlineStr">
        <is>
          <t>1945-02-12</t>
        </is>
      </c>
    </row>
    <row r="16522">
      <c r="A16522" s="1" t="n">
        <v>16521</v>
      </c>
      <c r="B16522">
        <f>TEXT(16521, "[$-0E0000]yyyy-mm-dd")</f>
        <v/>
      </c>
      <c r="C16522" t="inlineStr">
        <is>
          <t>1945-02-13</t>
        </is>
      </c>
    </row>
    <row r="16523">
      <c r="A16523" s="1" t="n">
        <v>16522</v>
      </c>
      <c r="B16523">
        <f>TEXT(16522, "[$-0E0000]yyyy-mm-dd")</f>
        <v/>
      </c>
      <c r="C16523" t="inlineStr">
        <is>
          <t>1945-02-14</t>
        </is>
      </c>
    </row>
    <row r="16524">
      <c r="A16524" s="1" t="n">
        <v>16523</v>
      </c>
      <c r="B16524">
        <f>TEXT(16523, "[$-0E0000]yyyy-mm-dd")</f>
        <v/>
      </c>
      <c r="C16524" t="inlineStr">
        <is>
          <t>1945-02-15</t>
        </is>
      </c>
    </row>
    <row r="16525">
      <c r="A16525" s="1" t="n">
        <v>16524</v>
      </c>
      <c r="B16525">
        <f>TEXT(16524, "[$-0E0000]yyyy-mm-dd")</f>
        <v/>
      </c>
      <c r="C16525" t="inlineStr">
        <is>
          <t>1945-02-16</t>
        </is>
      </c>
    </row>
    <row r="16526">
      <c r="A16526" s="1" t="n">
        <v>16525</v>
      </c>
      <c r="B16526">
        <f>TEXT(16525, "[$-0E0000]yyyy-mm-dd")</f>
        <v/>
      </c>
      <c r="C16526" t="inlineStr">
        <is>
          <t>1945-02-17</t>
        </is>
      </c>
    </row>
    <row r="16527">
      <c r="A16527" s="1" t="n">
        <v>16526</v>
      </c>
      <c r="B16527">
        <f>TEXT(16526, "[$-0E0000]yyyy-mm-dd")</f>
        <v/>
      </c>
      <c r="C16527" t="inlineStr">
        <is>
          <t>1945-02-18</t>
        </is>
      </c>
    </row>
    <row r="16528">
      <c r="A16528" s="1" t="n">
        <v>16527</v>
      </c>
      <c r="B16528">
        <f>TEXT(16527, "[$-0E0000]yyyy-mm-dd")</f>
        <v/>
      </c>
      <c r="C16528" t="inlineStr">
        <is>
          <t>1945-02-19</t>
        </is>
      </c>
    </row>
    <row r="16529">
      <c r="A16529" s="1" t="n">
        <v>16528</v>
      </c>
      <c r="B16529">
        <f>TEXT(16528, "[$-0E0000]yyyy-mm-dd")</f>
        <v/>
      </c>
      <c r="C16529" t="inlineStr">
        <is>
          <t>1945-02-20</t>
        </is>
      </c>
    </row>
    <row r="16530">
      <c r="A16530" s="1" t="n">
        <v>16529</v>
      </c>
      <c r="B16530">
        <f>TEXT(16529, "[$-0E0000]yyyy-mm-dd")</f>
        <v/>
      </c>
      <c r="C16530" t="inlineStr">
        <is>
          <t>1945-02-21</t>
        </is>
      </c>
    </row>
    <row r="16531">
      <c r="A16531" s="1" t="n">
        <v>16530</v>
      </c>
      <c r="B16531">
        <f>TEXT(16530, "[$-0E0000]yyyy-mm-dd")</f>
        <v/>
      </c>
      <c r="C16531" t="inlineStr">
        <is>
          <t>1945-02-22</t>
        </is>
      </c>
    </row>
    <row r="16532">
      <c r="A16532" s="1" t="n">
        <v>16531</v>
      </c>
      <c r="B16532">
        <f>TEXT(16531, "[$-0E0000]yyyy-mm-dd")</f>
        <v/>
      </c>
      <c r="C16532" t="inlineStr">
        <is>
          <t>1945-02-23</t>
        </is>
      </c>
    </row>
    <row r="16533">
      <c r="A16533" s="1" t="n">
        <v>16532</v>
      </c>
      <c r="B16533">
        <f>TEXT(16532, "[$-0E0000]yyyy-mm-dd")</f>
        <v/>
      </c>
      <c r="C16533" t="inlineStr">
        <is>
          <t>1945-02-24</t>
        </is>
      </c>
    </row>
    <row r="16534">
      <c r="A16534" s="1" t="n">
        <v>16533</v>
      </c>
      <c r="B16534">
        <f>TEXT(16533, "[$-0E0000]yyyy-mm-dd")</f>
        <v/>
      </c>
      <c r="C16534" t="inlineStr">
        <is>
          <t>1945-02-25</t>
        </is>
      </c>
    </row>
    <row r="16535">
      <c r="A16535" s="1" t="n">
        <v>16534</v>
      </c>
      <c r="B16535">
        <f>TEXT(16534, "[$-0E0000]yyyy-mm-dd")</f>
        <v/>
      </c>
      <c r="C16535" t="inlineStr">
        <is>
          <t>1945-02-26</t>
        </is>
      </c>
    </row>
    <row r="16536">
      <c r="A16536" s="1" t="n">
        <v>16535</v>
      </c>
      <c r="B16536">
        <f>TEXT(16535, "[$-0E0000]yyyy-mm-dd")</f>
        <v/>
      </c>
      <c r="C16536" t="inlineStr">
        <is>
          <t>1945-02-27</t>
        </is>
      </c>
    </row>
    <row r="16537">
      <c r="A16537" s="1" t="n">
        <v>16536</v>
      </c>
      <c r="B16537">
        <f>TEXT(16536, "[$-0E0000]yyyy-mm-dd")</f>
        <v/>
      </c>
      <c r="C16537" t="inlineStr">
        <is>
          <t>1945-02-28</t>
        </is>
      </c>
    </row>
    <row r="16538">
      <c r="A16538" s="1" t="n">
        <v>16537</v>
      </c>
      <c r="B16538">
        <f>TEXT(16537, "[$-0E0000]yyyy-mm-dd")</f>
        <v/>
      </c>
      <c r="C16538" t="inlineStr">
        <is>
          <t>1945-02-29</t>
        </is>
      </c>
    </row>
    <row r="16539">
      <c r="A16539" s="1" t="n">
        <v>16538</v>
      </c>
      <c r="B16539">
        <f>TEXT(16538, "[$-0E0000]yyyy-mm-dd")</f>
        <v/>
      </c>
      <c r="C16539" t="inlineStr">
        <is>
          <t>1945-03-01</t>
        </is>
      </c>
    </row>
    <row r="16540">
      <c r="A16540" s="1" t="n">
        <v>16539</v>
      </c>
      <c r="B16540">
        <f>TEXT(16539, "[$-0E0000]yyyy-mm-dd")</f>
        <v/>
      </c>
      <c r="C16540" t="inlineStr">
        <is>
          <t>1945-03-02</t>
        </is>
      </c>
    </row>
    <row r="16541">
      <c r="A16541" s="1" t="n">
        <v>16540</v>
      </c>
      <c r="B16541">
        <f>TEXT(16540, "[$-0E0000]yyyy-mm-dd")</f>
        <v/>
      </c>
      <c r="C16541" t="inlineStr">
        <is>
          <t>1945-03-03</t>
        </is>
      </c>
    </row>
    <row r="16542">
      <c r="A16542" s="1" t="n">
        <v>16541</v>
      </c>
      <c r="B16542">
        <f>TEXT(16541, "[$-0E0000]yyyy-mm-dd")</f>
        <v/>
      </c>
      <c r="C16542" t="inlineStr">
        <is>
          <t>1945-03-04</t>
        </is>
      </c>
    </row>
    <row r="16543">
      <c r="A16543" s="1" t="n">
        <v>16542</v>
      </c>
      <c r="B16543">
        <f>TEXT(16542, "[$-0E0000]yyyy-mm-dd")</f>
        <v/>
      </c>
      <c r="C16543" t="inlineStr">
        <is>
          <t>1945-03-05</t>
        </is>
      </c>
    </row>
    <row r="16544">
      <c r="A16544" s="1" t="n">
        <v>16543</v>
      </c>
      <c r="B16544">
        <f>TEXT(16543, "[$-0E0000]yyyy-mm-dd")</f>
        <v/>
      </c>
      <c r="C16544" t="inlineStr">
        <is>
          <t>1945-03-06</t>
        </is>
      </c>
    </row>
    <row r="16545">
      <c r="A16545" s="1" t="n">
        <v>16544</v>
      </c>
      <c r="B16545">
        <f>TEXT(16544, "[$-0E0000]yyyy-mm-dd")</f>
        <v/>
      </c>
      <c r="C16545" t="inlineStr">
        <is>
          <t>1945-03-07</t>
        </is>
      </c>
    </row>
    <row r="16546">
      <c r="A16546" s="1" t="n">
        <v>16545</v>
      </c>
      <c r="B16546">
        <f>TEXT(16545, "[$-0E0000]yyyy-mm-dd")</f>
        <v/>
      </c>
      <c r="C16546" t="inlineStr">
        <is>
          <t>1945-03-08</t>
        </is>
      </c>
    </row>
    <row r="16547">
      <c r="A16547" s="1" t="n">
        <v>16546</v>
      </c>
      <c r="B16547">
        <f>TEXT(16546, "[$-0E0000]yyyy-mm-dd")</f>
        <v/>
      </c>
      <c r="C16547" t="inlineStr">
        <is>
          <t>1945-03-09</t>
        </is>
      </c>
    </row>
    <row r="16548">
      <c r="A16548" s="1" t="n">
        <v>16547</v>
      </c>
      <c r="B16548">
        <f>TEXT(16547, "[$-0E0000]yyyy-mm-dd")</f>
        <v/>
      </c>
      <c r="C16548" t="inlineStr">
        <is>
          <t>1945-03-10</t>
        </is>
      </c>
    </row>
    <row r="16549">
      <c r="A16549" s="1" t="n">
        <v>16548</v>
      </c>
      <c r="B16549">
        <f>TEXT(16548, "[$-0E0000]yyyy-mm-dd")</f>
        <v/>
      </c>
      <c r="C16549" t="inlineStr">
        <is>
          <t>1945-03-11</t>
        </is>
      </c>
    </row>
    <row r="16550">
      <c r="A16550" s="1" t="n">
        <v>16549</v>
      </c>
      <c r="B16550">
        <f>TEXT(16549, "[$-0E0000]yyyy-mm-dd")</f>
        <v/>
      </c>
      <c r="C16550" t="inlineStr">
        <is>
          <t>1945-03-12</t>
        </is>
      </c>
    </row>
    <row r="16551">
      <c r="A16551" s="1" t="n">
        <v>16550</v>
      </c>
      <c r="B16551">
        <f>TEXT(16550, "[$-0E0000]yyyy-mm-dd")</f>
        <v/>
      </c>
      <c r="C16551" t="inlineStr">
        <is>
          <t>1945-03-13</t>
        </is>
      </c>
    </row>
    <row r="16552">
      <c r="A16552" s="1" t="n">
        <v>16551</v>
      </c>
      <c r="B16552">
        <f>TEXT(16551, "[$-0E0000]yyyy-mm-dd")</f>
        <v/>
      </c>
      <c r="C16552" t="inlineStr">
        <is>
          <t>1945-03-14</t>
        </is>
      </c>
    </row>
    <row r="16553">
      <c r="A16553" s="1" t="n">
        <v>16552</v>
      </c>
      <c r="B16553">
        <f>TEXT(16552, "[$-0E0000]yyyy-mm-dd")</f>
        <v/>
      </c>
      <c r="C16553" t="inlineStr">
        <is>
          <t>1945-03-15</t>
        </is>
      </c>
    </row>
    <row r="16554">
      <c r="A16554" s="1" t="n">
        <v>16553</v>
      </c>
      <c r="B16554">
        <f>TEXT(16553, "[$-0E0000]yyyy-mm-dd")</f>
        <v/>
      </c>
      <c r="C16554" t="inlineStr">
        <is>
          <t>1945-03-16</t>
        </is>
      </c>
    </row>
    <row r="16555">
      <c r="A16555" s="1" t="n">
        <v>16554</v>
      </c>
      <c r="B16555">
        <f>TEXT(16554, "[$-0E0000]yyyy-mm-dd")</f>
        <v/>
      </c>
      <c r="C16555" t="inlineStr">
        <is>
          <t>1945-03-17</t>
        </is>
      </c>
    </row>
    <row r="16556">
      <c r="A16556" s="1" t="n">
        <v>16555</v>
      </c>
      <c r="B16556">
        <f>TEXT(16555, "[$-0E0000]yyyy-mm-dd")</f>
        <v/>
      </c>
      <c r="C16556" t="inlineStr">
        <is>
          <t>1945-03-18</t>
        </is>
      </c>
    </row>
    <row r="16557">
      <c r="A16557" s="1" t="n">
        <v>16556</v>
      </c>
      <c r="B16557">
        <f>TEXT(16556, "[$-0E0000]yyyy-mm-dd")</f>
        <v/>
      </c>
      <c r="C16557" t="inlineStr">
        <is>
          <t>1945-03-19</t>
        </is>
      </c>
    </row>
    <row r="16558">
      <c r="A16558" s="1" t="n">
        <v>16557</v>
      </c>
      <c r="B16558">
        <f>TEXT(16557, "[$-0E0000]yyyy-mm-dd")</f>
        <v/>
      </c>
      <c r="C16558" t="inlineStr">
        <is>
          <t>1945-03-20</t>
        </is>
      </c>
    </row>
    <row r="16559">
      <c r="A16559" s="1" t="n">
        <v>16558</v>
      </c>
      <c r="B16559">
        <f>TEXT(16558, "[$-0E0000]yyyy-mm-dd")</f>
        <v/>
      </c>
      <c r="C16559" t="inlineStr">
        <is>
          <t>1945-03-21</t>
        </is>
      </c>
    </row>
    <row r="16560">
      <c r="A16560" s="1" t="n">
        <v>16559</v>
      </c>
      <c r="B16560">
        <f>TEXT(16559, "[$-0E0000]yyyy-mm-dd")</f>
        <v/>
      </c>
      <c r="C16560" t="inlineStr">
        <is>
          <t>1945-03-22</t>
        </is>
      </c>
    </row>
    <row r="16561">
      <c r="A16561" s="1" t="n">
        <v>16560</v>
      </c>
      <c r="B16561">
        <f>TEXT(16560, "[$-0E0000]yyyy-mm-dd")</f>
        <v/>
      </c>
      <c r="C16561" t="inlineStr">
        <is>
          <t>1945-03-23</t>
        </is>
      </c>
    </row>
    <row r="16562">
      <c r="A16562" s="1" t="n">
        <v>16561</v>
      </c>
      <c r="B16562">
        <f>TEXT(16561, "[$-0E0000]yyyy-mm-dd")</f>
        <v/>
      </c>
      <c r="C16562" t="inlineStr">
        <is>
          <t>1945-03-24</t>
        </is>
      </c>
    </row>
    <row r="16563">
      <c r="A16563" s="1" t="n">
        <v>16562</v>
      </c>
      <c r="B16563">
        <f>TEXT(16562, "[$-0E0000]yyyy-mm-dd")</f>
        <v/>
      </c>
      <c r="C16563" t="inlineStr">
        <is>
          <t>1945-03-25</t>
        </is>
      </c>
    </row>
    <row r="16564">
      <c r="A16564" s="1" t="n">
        <v>16563</v>
      </c>
      <c r="B16564">
        <f>TEXT(16563, "[$-0E0000]yyyy-mm-dd")</f>
        <v/>
      </c>
      <c r="C16564" t="inlineStr">
        <is>
          <t>1945-03-26</t>
        </is>
      </c>
    </row>
    <row r="16565">
      <c r="A16565" s="1" t="n">
        <v>16564</v>
      </c>
      <c r="B16565">
        <f>TEXT(16564, "[$-0E0000]yyyy-mm-dd")</f>
        <v/>
      </c>
      <c r="C16565" t="inlineStr">
        <is>
          <t>1945-03-27</t>
        </is>
      </c>
    </row>
    <row r="16566">
      <c r="A16566" s="1" t="n">
        <v>16565</v>
      </c>
      <c r="B16566">
        <f>TEXT(16565, "[$-0E0000]yyyy-mm-dd")</f>
        <v/>
      </c>
      <c r="C16566" t="inlineStr">
        <is>
          <t>1945-03-28</t>
        </is>
      </c>
    </row>
    <row r="16567">
      <c r="A16567" s="1" t="n">
        <v>16566</v>
      </c>
      <c r="B16567">
        <f>TEXT(16566, "[$-0E0000]yyyy-mm-dd")</f>
        <v/>
      </c>
      <c r="C16567" t="inlineStr">
        <is>
          <t>1945-03-29</t>
        </is>
      </c>
    </row>
    <row r="16568">
      <c r="A16568" s="1" t="n">
        <v>16567</v>
      </c>
      <c r="B16568">
        <f>TEXT(16567, "[$-0E0000]yyyy-mm-dd")</f>
        <v/>
      </c>
      <c r="C16568" t="inlineStr">
        <is>
          <t>1945-03-30</t>
        </is>
      </c>
    </row>
    <row r="16569">
      <c r="A16569" s="1" t="n">
        <v>16568</v>
      </c>
      <c r="B16569">
        <f>TEXT(16568, "[$-0E0000]yyyy-mm-dd")</f>
        <v/>
      </c>
      <c r="C16569" t="inlineStr">
        <is>
          <t>1945-04-01</t>
        </is>
      </c>
    </row>
    <row r="16570">
      <c r="A16570" s="1" t="n">
        <v>16569</v>
      </c>
      <c r="B16570">
        <f>TEXT(16569, "[$-0E0000]yyyy-mm-dd")</f>
        <v/>
      </c>
      <c r="C16570" t="inlineStr">
        <is>
          <t>1945-04-02</t>
        </is>
      </c>
    </row>
    <row r="16571">
      <c r="A16571" s="1" t="n">
        <v>16570</v>
      </c>
      <c r="B16571">
        <f>TEXT(16570, "[$-0E0000]yyyy-mm-dd")</f>
        <v/>
      </c>
      <c r="C16571" t="inlineStr">
        <is>
          <t>1945-04-03</t>
        </is>
      </c>
    </row>
    <row r="16572">
      <c r="A16572" s="1" t="n">
        <v>16571</v>
      </c>
      <c r="B16572">
        <f>TEXT(16571, "[$-0E0000]yyyy-mm-dd")</f>
        <v/>
      </c>
      <c r="C16572" t="inlineStr">
        <is>
          <t>1945-04-04</t>
        </is>
      </c>
    </row>
    <row r="16573">
      <c r="A16573" s="1" t="n">
        <v>16572</v>
      </c>
      <c r="B16573">
        <f>TEXT(16572, "[$-0E0000]yyyy-mm-dd")</f>
        <v/>
      </c>
      <c r="C16573" t="inlineStr">
        <is>
          <t>1945-04-05</t>
        </is>
      </c>
    </row>
    <row r="16574">
      <c r="A16574" s="1" t="n">
        <v>16573</v>
      </c>
      <c r="B16574">
        <f>TEXT(16573, "[$-0E0000]yyyy-mm-dd")</f>
        <v/>
      </c>
      <c r="C16574" t="inlineStr">
        <is>
          <t>1945-04-06</t>
        </is>
      </c>
    </row>
    <row r="16575">
      <c r="A16575" s="1" t="n">
        <v>16574</v>
      </c>
      <c r="B16575">
        <f>TEXT(16574, "[$-0E0000]yyyy-mm-dd")</f>
        <v/>
      </c>
      <c r="C16575" t="inlineStr">
        <is>
          <t>1945-04-07</t>
        </is>
      </c>
    </row>
    <row r="16576">
      <c r="A16576" s="1" t="n">
        <v>16575</v>
      </c>
      <c r="B16576">
        <f>TEXT(16575, "[$-0E0000]yyyy-mm-dd")</f>
        <v/>
      </c>
      <c r="C16576" t="inlineStr">
        <is>
          <t>1945-04-08</t>
        </is>
      </c>
    </row>
    <row r="16577">
      <c r="A16577" s="1" t="n">
        <v>16576</v>
      </c>
      <c r="B16577">
        <f>TEXT(16576, "[$-0E0000]yyyy-mm-dd")</f>
        <v/>
      </c>
      <c r="C16577" t="inlineStr">
        <is>
          <t>1945-04-09</t>
        </is>
      </c>
    </row>
    <row r="16578">
      <c r="A16578" s="1" t="n">
        <v>16577</v>
      </c>
      <c r="B16578">
        <f>TEXT(16577, "[$-0E0000]yyyy-mm-dd")</f>
        <v/>
      </c>
      <c r="C16578" t="inlineStr">
        <is>
          <t>1945-04-10</t>
        </is>
      </c>
    </row>
    <row r="16579">
      <c r="A16579" s="1" t="n">
        <v>16578</v>
      </c>
      <c r="B16579">
        <f>TEXT(16578, "[$-0E0000]yyyy-mm-dd")</f>
        <v/>
      </c>
      <c r="C16579" t="inlineStr">
        <is>
          <t>1945-04-11</t>
        </is>
      </c>
    </row>
    <row r="16580">
      <c r="A16580" s="1" t="n">
        <v>16579</v>
      </c>
      <c r="B16580">
        <f>TEXT(16579, "[$-0E0000]yyyy-mm-dd")</f>
        <v/>
      </c>
      <c r="C16580" t="inlineStr">
        <is>
          <t>1945-04-12</t>
        </is>
      </c>
    </row>
    <row r="16581">
      <c r="A16581" s="1" t="n">
        <v>16580</v>
      </c>
      <c r="B16581">
        <f>TEXT(16580, "[$-0E0000]yyyy-mm-dd")</f>
        <v/>
      </c>
      <c r="C16581" t="inlineStr">
        <is>
          <t>1945-04-13</t>
        </is>
      </c>
    </row>
    <row r="16582">
      <c r="A16582" s="1" t="n">
        <v>16581</v>
      </c>
      <c r="B16582">
        <f>TEXT(16581, "[$-0E0000]yyyy-mm-dd")</f>
        <v/>
      </c>
      <c r="C16582" t="inlineStr">
        <is>
          <t>1945-04-14</t>
        </is>
      </c>
    </row>
    <row r="16583">
      <c r="A16583" s="1" t="n">
        <v>16582</v>
      </c>
      <c r="B16583">
        <f>TEXT(16582, "[$-0E0000]yyyy-mm-dd")</f>
        <v/>
      </c>
      <c r="C16583" t="inlineStr">
        <is>
          <t>1945-04-15</t>
        </is>
      </c>
    </row>
    <row r="16584">
      <c r="A16584" s="1" t="n">
        <v>16583</v>
      </c>
      <c r="B16584">
        <f>TEXT(16583, "[$-0E0000]yyyy-mm-dd")</f>
        <v/>
      </c>
      <c r="C16584" t="inlineStr">
        <is>
          <t>1945-04-16</t>
        </is>
      </c>
    </row>
    <row r="16585">
      <c r="A16585" s="1" t="n">
        <v>16584</v>
      </c>
      <c r="B16585">
        <f>TEXT(16584, "[$-0E0000]yyyy-mm-dd")</f>
        <v/>
      </c>
      <c r="C16585" t="inlineStr">
        <is>
          <t>1945-04-17</t>
        </is>
      </c>
    </row>
    <row r="16586">
      <c r="A16586" s="1" t="n">
        <v>16585</v>
      </c>
      <c r="B16586">
        <f>TEXT(16585, "[$-0E0000]yyyy-mm-dd")</f>
        <v/>
      </c>
      <c r="C16586" t="inlineStr">
        <is>
          <t>1945-04-18</t>
        </is>
      </c>
    </row>
    <row r="16587">
      <c r="A16587" s="1" t="n">
        <v>16586</v>
      </c>
      <c r="B16587">
        <f>TEXT(16586, "[$-0E0000]yyyy-mm-dd")</f>
        <v/>
      </c>
      <c r="C16587" t="inlineStr">
        <is>
          <t>1945-04-19</t>
        </is>
      </c>
    </row>
    <row r="16588">
      <c r="A16588" s="1" t="n">
        <v>16587</v>
      </c>
      <c r="B16588">
        <f>TEXT(16587, "[$-0E0000]yyyy-mm-dd")</f>
        <v/>
      </c>
      <c r="C16588" t="inlineStr">
        <is>
          <t>1945-04-20</t>
        </is>
      </c>
    </row>
    <row r="16589">
      <c r="A16589" s="1" t="n">
        <v>16588</v>
      </c>
      <c r="B16589">
        <f>TEXT(16588, "[$-0E0000]yyyy-mm-dd")</f>
        <v/>
      </c>
      <c r="C16589" t="inlineStr">
        <is>
          <t>1945-04-21</t>
        </is>
      </c>
    </row>
    <row r="16590">
      <c r="A16590" s="1" t="n">
        <v>16589</v>
      </c>
      <c r="B16590">
        <f>TEXT(16589, "[$-0E0000]yyyy-mm-dd")</f>
        <v/>
      </c>
      <c r="C16590" t="inlineStr">
        <is>
          <t>1945-04-22</t>
        </is>
      </c>
    </row>
    <row r="16591">
      <c r="A16591" s="1" t="n">
        <v>16590</v>
      </c>
      <c r="B16591">
        <f>TEXT(16590, "[$-0E0000]yyyy-mm-dd")</f>
        <v/>
      </c>
      <c r="C16591" t="inlineStr">
        <is>
          <t>1945-04-23</t>
        </is>
      </c>
    </row>
    <row r="16592">
      <c r="A16592" s="1" t="n">
        <v>16591</v>
      </c>
      <c r="B16592">
        <f>TEXT(16591, "[$-0E0000]yyyy-mm-dd")</f>
        <v/>
      </c>
      <c r="C16592" t="inlineStr">
        <is>
          <t>1945-04-24</t>
        </is>
      </c>
    </row>
    <row r="16593">
      <c r="A16593" s="1" t="n">
        <v>16592</v>
      </c>
      <c r="B16593">
        <f>TEXT(16592, "[$-0E0000]yyyy-mm-dd")</f>
        <v/>
      </c>
      <c r="C16593" t="inlineStr">
        <is>
          <t>1945-04-25</t>
        </is>
      </c>
    </row>
    <row r="16594">
      <c r="A16594" s="1" t="n">
        <v>16593</v>
      </c>
      <c r="B16594">
        <f>TEXT(16593, "[$-0E0000]yyyy-mm-dd")</f>
        <v/>
      </c>
      <c r="C16594" t="inlineStr">
        <is>
          <t>1945-04-26</t>
        </is>
      </c>
    </row>
    <row r="16595">
      <c r="A16595" s="1" t="n">
        <v>16594</v>
      </c>
      <c r="B16595">
        <f>TEXT(16594, "[$-0E0000]yyyy-mm-dd")</f>
        <v/>
      </c>
      <c r="C16595" t="inlineStr">
        <is>
          <t>1945-04-27</t>
        </is>
      </c>
    </row>
    <row r="16596">
      <c r="A16596" s="1" t="n">
        <v>16595</v>
      </c>
      <c r="B16596">
        <f>TEXT(16595, "[$-0E0000]yyyy-mm-dd")</f>
        <v/>
      </c>
      <c r="C16596" t="inlineStr">
        <is>
          <t>1945-04-28</t>
        </is>
      </c>
    </row>
    <row r="16597">
      <c r="A16597" s="1" t="n">
        <v>16596</v>
      </c>
      <c r="B16597">
        <f>TEXT(16596, "[$-0E0000]yyyy-mm-dd")</f>
        <v/>
      </c>
      <c r="C16597" t="inlineStr">
        <is>
          <t>1945-04-29</t>
        </is>
      </c>
    </row>
    <row r="16598">
      <c r="A16598" s="1" t="n">
        <v>16597</v>
      </c>
      <c r="B16598">
        <f>TEXT(16597, "[$-0E0000]yyyy-mm-dd")</f>
        <v/>
      </c>
      <c r="C16598" t="inlineStr">
        <is>
          <t>1945-05-01</t>
        </is>
      </c>
    </row>
    <row r="16599">
      <c r="A16599" s="1" t="n">
        <v>16598</v>
      </c>
      <c r="B16599">
        <f>TEXT(16598, "[$-0E0000]yyyy-mm-dd")</f>
        <v/>
      </c>
      <c r="C16599" t="inlineStr">
        <is>
          <t>1945-05-02</t>
        </is>
      </c>
    </row>
    <row r="16600">
      <c r="A16600" s="1" t="n">
        <v>16599</v>
      </c>
      <c r="B16600">
        <f>TEXT(16599, "[$-0E0000]yyyy-mm-dd")</f>
        <v/>
      </c>
      <c r="C16600" t="inlineStr">
        <is>
          <t>1945-05-03</t>
        </is>
      </c>
    </row>
    <row r="16601">
      <c r="A16601" s="1" t="n">
        <v>16600</v>
      </c>
      <c r="B16601">
        <f>TEXT(16600, "[$-0E0000]yyyy-mm-dd")</f>
        <v/>
      </c>
      <c r="C16601" t="inlineStr">
        <is>
          <t>1945-05-04</t>
        </is>
      </c>
    </row>
    <row r="16602">
      <c r="A16602" s="1" t="n">
        <v>16601</v>
      </c>
      <c r="B16602">
        <f>TEXT(16601, "[$-0E0000]yyyy-mm-dd")</f>
        <v/>
      </c>
      <c r="C16602" t="inlineStr">
        <is>
          <t>1945-05-05</t>
        </is>
      </c>
    </row>
    <row r="16603">
      <c r="A16603" s="1" t="n">
        <v>16602</v>
      </c>
      <c r="B16603">
        <f>TEXT(16602, "[$-0E0000]yyyy-mm-dd")</f>
        <v/>
      </c>
      <c r="C16603" t="inlineStr">
        <is>
          <t>1945-05-06</t>
        </is>
      </c>
    </row>
    <row r="16604">
      <c r="A16604" s="1" t="n">
        <v>16603</v>
      </c>
      <c r="B16604">
        <f>TEXT(16603, "[$-0E0000]yyyy-mm-dd")</f>
        <v/>
      </c>
      <c r="C16604" t="inlineStr">
        <is>
          <t>1945-05-07</t>
        </is>
      </c>
    </row>
    <row r="16605">
      <c r="A16605" s="1" t="n">
        <v>16604</v>
      </c>
      <c r="B16605">
        <f>TEXT(16604, "[$-0E0000]yyyy-mm-dd")</f>
        <v/>
      </c>
      <c r="C16605" t="inlineStr">
        <is>
          <t>1945-05-08</t>
        </is>
      </c>
    </row>
    <row r="16606">
      <c r="A16606" s="1" t="n">
        <v>16605</v>
      </c>
      <c r="B16606">
        <f>TEXT(16605, "[$-0E0000]yyyy-mm-dd")</f>
        <v/>
      </c>
      <c r="C16606" t="inlineStr">
        <is>
          <t>1945-05-09</t>
        </is>
      </c>
    </row>
    <row r="16607">
      <c r="A16607" s="1" t="n">
        <v>16606</v>
      </c>
      <c r="B16607">
        <f>TEXT(16606, "[$-0E0000]yyyy-mm-dd")</f>
        <v/>
      </c>
      <c r="C16607" t="inlineStr">
        <is>
          <t>1945-05-10</t>
        </is>
      </c>
    </row>
    <row r="16608">
      <c r="A16608" s="1" t="n">
        <v>16607</v>
      </c>
      <c r="B16608">
        <f>TEXT(16607, "[$-0E0000]yyyy-mm-dd")</f>
        <v/>
      </c>
      <c r="C16608" t="inlineStr">
        <is>
          <t>1945-05-11</t>
        </is>
      </c>
    </row>
    <row r="16609">
      <c r="A16609" s="1" t="n">
        <v>16608</v>
      </c>
      <c r="B16609">
        <f>TEXT(16608, "[$-0E0000]yyyy-mm-dd")</f>
        <v/>
      </c>
      <c r="C16609" t="inlineStr">
        <is>
          <t>1945-05-12</t>
        </is>
      </c>
    </row>
    <row r="16610">
      <c r="A16610" s="1" t="n">
        <v>16609</v>
      </c>
      <c r="B16610">
        <f>TEXT(16609, "[$-0E0000]yyyy-mm-dd")</f>
        <v/>
      </c>
      <c r="C16610" t="inlineStr">
        <is>
          <t>1945-05-13</t>
        </is>
      </c>
    </row>
    <row r="16611">
      <c r="A16611" s="1" t="n">
        <v>16610</v>
      </c>
      <c r="B16611">
        <f>TEXT(16610, "[$-0E0000]yyyy-mm-dd")</f>
        <v/>
      </c>
      <c r="C16611" t="inlineStr">
        <is>
          <t>1945-05-14</t>
        </is>
      </c>
    </row>
    <row r="16612">
      <c r="A16612" s="1" t="n">
        <v>16611</v>
      </c>
      <c r="B16612">
        <f>TEXT(16611, "[$-0E0000]yyyy-mm-dd")</f>
        <v/>
      </c>
      <c r="C16612" t="inlineStr">
        <is>
          <t>1945-05-15</t>
        </is>
      </c>
    </row>
    <row r="16613">
      <c r="A16613" s="1" t="n">
        <v>16612</v>
      </c>
      <c r="B16613">
        <f>TEXT(16612, "[$-0E0000]yyyy-mm-dd")</f>
        <v/>
      </c>
      <c r="C16613" t="inlineStr">
        <is>
          <t>1945-05-16</t>
        </is>
      </c>
    </row>
    <row r="16614">
      <c r="A16614" s="1" t="n">
        <v>16613</v>
      </c>
      <c r="B16614">
        <f>TEXT(16613, "[$-0E0000]yyyy-mm-dd")</f>
        <v/>
      </c>
      <c r="C16614" t="inlineStr">
        <is>
          <t>1945-05-17</t>
        </is>
      </c>
    </row>
    <row r="16615">
      <c r="A16615" s="1" t="n">
        <v>16614</v>
      </c>
      <c r="B16615">
        <f>TEXT(16614, "[$-0E0000]yyyy-mm-dd")</f>
        <v/>
      </c>
      <c r="C16615" t="inlineStr">
        <is>
          <t>1945-05-18</t>
        </is>
      </c>
    </row>
    <row r="16616">
      <c r="A16616" s="1" t="n">
        <v>16615</v>
      </c>
      <c r="B16616">
        <f>TEXT(16615, "[$-0E0000]yyyy-mm-dd")</f>
        <v/>
      </c>
      <c r="C16616" t="inlineStr">
        <is>
          <t>1945-05-19</t>
        </is>
      </c>
    </row>
    <row r="16617">
      <c r="A16617" s="1" t="n">
        <v>16616</v>
      </c>
      <c r="B16617">
        <f>TEXT(16616, "[$-0E0000]yyyy-mm-dd")</f>
        <v/>
      </c>
      <c r="C16617" t="inlineStr">
        <is>
          <t>1945-05-20</t>
        </is>
      </c>
    </row>
    <row r="16618">
      <c r="A16618" s="1" t="n">
        <v>16617</v>
      </c>
      <c r="B16618">
        <f>TEXT(16617, "[$-0E0000]yyyy-mm-dd")</f>
        <v/>
      </c>
      <c r="C16618" t="inlineStr">
        <is>
          <t>1945-05-21</t>
        </is>
      </c>
    </row>
    <row r="16619">
      <c r="A16619" s="1" t="n">
        <v>16618</v>
      </c>
      <c r="B16619">
        <f>TEXT(16618, "[$-0E0000]yyyy-mm-dd")</f>
        <v/>
      </c>
      <c r="C16619" t="inlineStr">
        <is>
          <t>1945-05-22</t>
        </is>
      </c>
    </row>
    <row r="16620">
      <c r="A16620" s="1" t="n">
        <v>16619</v>
      </c>
      <c r="B16620">
        <f>TEXT(16619, "[$-0E0000]yyyy-mm-dd")</f>
        <v/>
      </c>
      <c r="C16620" t="inlineStr">
        <is>
          <t>1945-05-23</t>
        </is>
      </c>
    </row>
    <row r="16621">
      <c r="A16621" s="1" t="n">
        <v>16620</v>
      </c>
      <c r="B16621">
        <f>TEXT(16620, "[$-0E0000]yyyy-mm-dd")</f>
        <v/>
      </c>
      <c r="C16621" t="inlineStr">
        <is>
          <t>1945-05-24</t>
        </is>
      </c>
    </row>
    <row r="16622">
      <c r="A16622" s="1" t="n">
        <v>16621</v>
      </c>
      <c r="B16622">
        <f>TEXT(16621, "[$-0E0000]yyyy-mm-dd")</f>
        <v/>
      </c>
      <c r="C16622" t="inlineStr">
        <is>
          <t>1945-05-25</t>
        </is>
      </c>
    </row>
    <row r="16623">
      <c r="A16623" s="1" t="n">
        <v>16622</v>
      </c>
      <c r="B16623">
        <f>TEXT(16622, "[$-0E0000]yyyy-mm-dd")</f>
        <v/>
      </c>
      <c r="C16623" t="inlineStr">
        <is>
          <t>1945-05-26</t>
        </is>
      </c>
    </row>
    <row r="16624">
      <c r="A16624" s="1" t="n">
        <v>16623</v>
      </c>
      <c r="B16624">
        <f>TEXT(16623, "[$-0E0000]yyyy-mm-dd")</f>
        <v/>
      </c>
      <c r="C16624" t="inlineStr">
        <is>
          <t>1945-05-27</t>
        </is>
      </c>
    </row>
    <row r="16625">
      <c r="A16625" s="1" t="n">
        <v>16624</v>
      </c>
      <c r="B16625">
        <f>TEXT(16624, "[$-0E0000]yyyy-mm-dd")</f>
        <v/>
      </c>
      <c r="C16625" t="inlineStr">
        <is>
          <t>1945-05-28</t>
        </is>
      </c>
    </row>
    <row r="16626">
      <c r="A16626" s="1" t="n">
        <v>16625</v>
      </c>
      <c r="B16626">
        <f>TEXT(16625, "[$-0E0000]yyyy-mm-dd")</f>
        <v/>
      </c>
      <c r="C16626" t="inlineStr">
        <is>
          <t>1945-05-29</t>
        </is>
      </c>
    </row>
    <row r="16627">
      <c r="A16627" s="1" t="n">
        <v>16626</v>
      </c>
      <c r="B16627">
        <f>TEXT(16626, "[$-0E0000]yyyy-mm-dd")</f>
        <v/>
      </c>
      <c r="C16627" t="inlineStr">
        <is>
          <t>1945-06-01</t>
        </is>
      </c>
    </row>
    <row r="16628">
      <c r="A16628" s="1" t="n">
        <v>16627</v>
      </c>
      <c r="B16628">
        <f>TEXT(16627, "[$-0E0000]yyyy-mm-dd")</f>
        <v/>
      </c>
      <c r="C16628" t="inlineStr">
        <is>
          <t>1945-06-02</t>
        </is>
      </c>
    </row>
    <row r="16629">
      <c r="A16629" s="1" t="n">
        <v>16628</v>
      </c>
      <c r="B16629">
        <f>TEXT(16628, "[$-0E0000]yyyy-mm-dd")</f>
        <v/>
      </c>
      <c r="C16629" t="inlineStr">
        <is>
          <t>1945-06-03</t>
        </is>
      </c>
    </row>
    <row r="16630">
      <c r="A16630" s="1" t="n">
        <v>16629</v>
      </c>
      <c r="B16630">
        <f>TEXT(16629, "[$-0E0000]yyyy-mm-dd")</f>
        <v/>
      </c>
      <c r="C16630" t="inlineStr">
        <is>
          <t>1945-06-04</t>
        </is>
      </c>
    </row>
    <row r="16631">
      <c r="A16631" s="1" t="n">
        <v>16630</v>
      </c>
      <c r="B16631">
        <f>TEXT(16630, "[$-0E0000]yyyy-mm-dd")</f>
        <v/>
      </c>
      <c r="C16631" t="inlineStr">
        <is>
          <t>1945-06-05</t>
        </is>
      </c>
    </row>
    <row r="16632">
      <c r="A16632" s="1" t="n">
        <v>16631</v>
      </c>
      <c r="B16632">
        <f>TEXT(16631, "[$-0E0000]yyyy-mm-dd")</f>
        <v/>
      </c>
      <c r="C16632" t="inlineStr">
        <is>
          <t>1945-06-06</t>
        </is>
      </c>
    </row>
    <row r="16633">
      <c r="A16633" s="1" t="n">
        <v>16632</v>
      </c>
      <c r="B16633">
        <f>TEXT(16632, "[$-0E0000]yyyy-mm-dd")</f>
        <v/>
      </c>
      <c r="C16633" t="inlineStr">
        <is>
          <t>1945-06-07</t>
        </is>
      </c>
    </row>
    <row r="16634">
      <c r="A16634" s="1" t="n">
        <v>16633</v>
      </c>
      <c r="B16634">
        <f>TEXT(16633, "[$-0E0000]yyyy-mm-dd")</f>
        <v/>
      </c>
      <c r="C16634" t="inlineStr">
        <is>
          <t>1945-06-08</t>
        </is>
      </c>
    </row>
    <row r="16635">
      <c r="A16635" s="1" t="n">
        <v>16634</v>
      </c>
      <c r="B16635">
        <f>TEXT(16634, "[$-0E0000]yyyy-mm-dd")</f>
        <v/>
      </c>
      <c r="C16635" t="inlineStr">
        <is>
          <t>1945-06-09</t>
        </is>
      </c>
    </row>
    <row r="16636">
      <c r="A16636" s="1" t="n">
        <v>16635</v>
      </c>
      <c r="B16636">
        <f>TEXT(16635, "[$-0E0000]yyyy-mm-dd")</f>
        <v/>
      </c>
      <c r="C16636" t="inlineStr">
        <is>
          <t>1945-06-10</t>
        </is>
      </c>
    </row>
    <row r="16637">
      <c r="A16637" s="1" t="n">
        <v>16636</v>
      </c>
      <c r="B16637">
        <f>TEXT(16636, "[$-0E0000]yyyy-mm-dd")</f>
        <v/>
      </c>
      <c r="C16637" t="inlineStr">
        <is>
          <t>1945-06-11</t>
        </is>
      </c>
    </row>
    <row r="16638">
      <c r="A16638" s="1" t="n">
        <v>16637</v>
      </c>
      <c r="B16638">
        <f>TEXT(16637, "[$-0E0000]yyyy-mm-dd")</f>
        <v/>
      </c>
      <c r="C16638" t="inlineStr">
        <is>
          <t>1945-06-12</t>
        </is>
      </c>
    </row>
    <row r="16639">
      <c r="A16639" s="1" t="n">
        <v>16638</v>
      </c>
      <c r="B16639">
        <f>TEXT(16638, "[$-0E0000]yyyy-mm-dd")</f>
        <v/>
      </c>
      <c r="C16639" t="inlineStr">
        <is>
          <t>1945-06-13</t>
        </is>
      </c>
    </row>
    <row r="16640">
      <c r="A16640" s="1" t="n">
        <v>16639</v>
      </c>
      <c r="B16640">
        <f>TEXT(16639, "[$-0E0000]yyyy-mm-dd")</f>
        <v/>
      </c>
      <c r="C16640" t="inlineStr">
        <is>
          <t>1945-06-14</t>
        </is>
      </c>
    </row>
    <row r="16641">
      <c r="A16641" s="1" t="n">
        <v>16640</v>
      </c>
      <c r="B16641">
        <f>TEXT(16640, "[$-0E0000]yyyy-mm-dd")</f>
        <v/>
      </c>
      <c r="C16641" t="inlineStr">
        <is>
          <t>1945-06-15</t>
        </is>
      </c>
    </row>
    <row r="16642">
      <c r="A16642" s="1" t="n">
        <v>16641</v>
      </c>
      <c r="B16642">
        <f>TEXT(16641, "[$-0E0000]yyyy-mm-dd")</f>
        <v/>
      </c>
      <c r="C16642" t="inlineStr">
        <is>
          <t>1945-06-16</t>
        </is>
      </c>
    </row>
    <row r="16643">
      <c r="A16643" s="1" t="n">
        <v>16642</v>
      </c>
      <c r="B16643">
        <f>TEXT(16642, "[$-0E0000]yyyy-mm-dd")</f>
        <v/>
      </c>
      <c r="C16643" t="inlineStr">
        <is>
          <t>1945-06-17</t>
        </is>
      </c>
    </row>
    <row r="16644">
      <c r="A16644" s="1" t="n">
        <v>16643</v>
      </c>
      <c r="B16644">
        <f>TEXT(16643, "[$-0E0000]yyyy-mm-dd")</f>
        <v/>
      </c>
      <c r="C16644" t="inlineStr">
        <is>
          <t>1945-06-18</t>
        </is>
      </c>
    </row>
    <row r="16645">
      <c r="A16645" s="1" t="n">
        <v>16644</v>
      </c>
      <c r="B16645">
        <f>TEXT(16644, "[$-0E0000]yyyy-mm-dd")</f>
        <v/>
      </c>
      <c r="C16645" t="inlineStr">
        <is>
          <t>1945-06-19</t>
        </is>
      </c>
    </row>
    <row r="16646">
      <c r="A16646" s="1" t="n">
        <v>16645</v>
      </c>
      <c r="B16646">
        <f>TEXT(16645, "[$-0E0000]yyyy-mm-dd")</f>
        <v/>
      </c>
      <c r="C16646" t="inlineStr">
        <is>
          <t>1945-06-20</t>
        </is>
      </c>
    </row>
    <row r="16647">
      <c r="A16647" s="1" t="n">
        <v>16646</v>
      </c>
      <c r="B16647">
        <f>TEXT(16646, "[$-0E0000]yyyy-mm-dd")</f>
        <v/>
      </c>
      <c r="C16647" t="inlineStr">
        <is>
          <t>1945-06-21</t>
        </is>
      </c>
    </row>
    <row r="16648">
      <c r="A16648" s="1" t="n">
        <v>16647</v>
      </c>
      <c r="B16648">
        <f>TEXT(16647, "[$-0E0000]yyyy-mm-dd")</f>
        <v/>
      </c>
      <c r="C16648" t="inlineStr">
        <is>
          <t>1945-06-22</t>
        </is>
      </c>
    </row>
    <row r="16649">
      <c r="A16649" s="1" t="n">
        <v>16648</v>
      </c>
      <c r="B16649">
        <f>TEXT(16648, "[$-0E0000]yyyy-mm-dd")</f>
        <v/>
      </c>
      <c r="C16649" t="inlineStr">
        <is>
          <t>1945-06-23</t>
        </is>
      </c>
    </row>
    <row r="16650">
      <c r="A16650" s="1" t="n">
        <v>16649</v>
      </c>
      <c r="B16650">
        <f>TEXT(16649, "[$-0E0000]yyyy-mm-dd")</f>
        <v/>
      </c>
      <c r="C16650" t="inlineStr">
        <is>
          <t>1945-06-24</t>
        </is>
      </c>
    </row>
    <row r="16651">
      <c r="A16651" s="1" t="n">
        <v>16650</v>
      </c>
      <c r="B16651">
        <f>TEXT(16650, "[$-0E0000]yyyy-mm-dd")</f>
        <v/>
      </c>
      <c r="C16651" t="inlineStr">
        <is>
          <t>1945-06-25</t>
        </is>
      </c>
    </row>
    <row r="16652">
      <c r="A16652" s="1" t="n">
        <v>16651</v>
      </c>
      <c r="B16652">
        <f>TEXT(16651, "[$-0E0000]yyyy-mm-dd")</f>
        <v/>
      </c>
      <c r="C16652" t="inlineStr">
        <is>
          <t>1945-06-26</t>
        </is>
      </c>
    </row>
    <row r="16653">
      <c r="A16653" s="1" t="n">
        <v>16652</v>
      </c>
      <c r="B16653">
        <f>TEXT(16652, "[$-0E0000]yyyy-mm-dd")</f>
        <v/>
      </c>
      <c r="C16653" t="inlineStr">
        <is>
          <t>1945-06-27</t>
        </is>
      </c>
    </row>
    <row r="16654">
      <c r="A16654" s="1" t="n">
        <v>16653</v>
      </c>
      <c r="B16654">
        <f>TEXT(16653, "[$-0E0000]yyyy-mm-dd")</f>
        <v/>
      </c>
      <c r="C16654" t="inlineStr">
        <is>
          <t>1945-06-28</t>
        </is>
      </c>
    </row>
    <row r="16655">
      <c r="A16655" s="1" t="n">
        <v>16654</v>
      </c>
      <c r="B16655">
        <f>TEXT(16654, "[$-0E0000]yyyy-mm-dd")</f>
        <v/>
      </c>
      <c r="C16655" t="inlineStr">
        <is>
          <t>1945-06-29</t>
        </is>
      </c>
    </row>
    <row r="16656">
      <c r="A16656" s="1" t="n">
        <v>16655</v>
      </c>
      <c r="B16656">
        <f>TEXT(16655, "[$-0E0000]yyyy-mm-dd")</f>
        <v/>
      </c>
      <c r="C16656" t="inlineStr">
        <is>
          <t>1945-06-30</t>
        </is>
      </c>
    </row>
    <row r="16657">
      <c r="A16657" s="1" t="n">
        <v>16656</v>
      </c>
      <c r="B16657">
        <f>TEXT(16656, "[$-0E0000]yyyy-mm-dd")</f>
        <v/>
      </c>
      <c r="C16657" t="inlineStr">
        <is>
          <t>1945-07-01</t>
        </is>
      </c>
    </row>
    <row r="16658">
      <c r="A16658" s="1" t="n">
        <v>16657</v>
      </c>
      <c r="B16658">
        <f>TEXT(16657, "[$-0E0000]yyyy-mm-dd")</f>
        <v/>
      </c>
      <c r="C16658" t="inlineStr">
        <is>
          <t>1945-07-02</t>
        </is>
      </c>
    </row>
    <row r="16659">
      <c r="A16659" s="1" t="n">
        <v>16658</v>
      </c>
      <c r="B16659">
        <f>TEXT(16658, "[$-0E0000]yyyy-mm-dd")</f>
        <v/>
      </c>
      <c r="C16659" t="inlineStr">
        <is>
          <t>1945-07-03</t>
        </is>
      </c>
    </row>
    <row r="16660">
      <c r="A16660" s="1" t="n">
        <v>16659</v>
      </c>
      <c r="B16660">
        <f>TEXT(16659, "[$-0E0000]yyyy-mm-dd")</f>
        <v/>
      </c>
      <c r="C16660" t="inlineStr">
        <is>
          <t>1945-07-04</t>
        </is>
      </c>
    </row>
    <row r="16661">
      <c r="A16661" s="1" t="n">
        <v>16660</v>
      </c>
      <c r="B16661">
        <f>TEXT(16660, "[$-0E0000]yyyy-mm-dd")</f>
        <v/>
      </c>
      <c r="C16661" t="inlineStr">
        <is>
          <t>1945-07-05</t>
        </is>
      </c>
    </row>
    <row r="16662">
      <c r="A16662" s="1" t="n">
        <v>16661</v>
      </c>
      <c r="B16662">
        <f>TEXT(16661, "[$-0E0000]yyyy-mm-dd")</f>
        <v/>
      </c>
      <c r="C16662" t="inlineStr">
        <is>
          <t>1945-07-06</t>
        </is>
      </c>
    </row>
    <row r="16663">
      <c r="A16663" s="1" t="n">
        <v>16662</v>
      </c>
      <c r="B16663">
        <f>TEXT(16662, "[$-0E0000]yyyy-mm-dd")</f>
        <v/>
      </c>
      <c r="C16663" t="inlineStr">
        <is>
          <t>1945-07-07</t>
        </is>
      </c>
    </row>
    <row r="16664">
      <c r="A16664" s="1" t="n">
        <v>16663</v>
      </c>
      <c r="B16664">
        <f>TEXT(16663, "[$-0E0000]yyyy-mm-dd")</f>
        <v/>
      </c>
      <c r="C16664" t="inlineStr">
        <is>
          <t>1945-07-08</t>
        </is>
      </c>
    </row>
    <row r="16665">
      <c r="A16665" s="1" t="n">
        <v>16664</v>
      </c>
      <c r="B16665">
        <f>TEXT(16664, "[$-0E0000]yyyy-mm-dd")</f>
        <v/>
      </c>
      <c r="C16665" t="inlineStr">
        <is>
          <t>1945-07-09</t>
        </is>
      </c>
    </row>
    <row r="16666">
      <c r="A16666" s="1" t="n">
        <v>16665</v>
      </c>
      <c r="B16666">
        <f>TEXT(16665, "[$-0E0000]yyyy-mm-dd")</f>
        <v/>
      </c>
      <c r="C16666" t="inlineStr">
        <is>
          <t>1945-07-10</t>
        </is>
      </c>
    </row>
    <row r="16667">
      <c r="A16667" s="1" t="n">
        <v>16666</v>
      </c>
      <c r="B16667">
        <f>TEXT(16666, "[$-0E0000]yyyy-mm-dd")</f>
        <v/>
      </c>
      <c r="C16667" t="inlineStr">
        <is>
          <t>1945-07-11</t>
        </is>
      </c>
    </row>
    <row r="16668">
      <c r="A16668" s="1" t="n">
        <v>16667</v>
      </c>
      <c r="B16668">
        <f>TEXT(16667, "[$-0E0000]yyyy-mm-dd")</f>
        <v/>
      </c>
      <c r="C16668" t="inlineStr">
        <is>
          <t>1945-07-12</t>
        </is>
      </c>
    </row>
    <row r="16669">
      <c r="A16669" s="1" t="n">
        <v>16668</v>
      </c>
      <c r="B16669">
        <f>TEXT(16668, "[$-0E0000]yyyy-mm-dd")</f>
        <v/>
      </c>
      <c r="C16669" t="inlineStr">
        <is>
          <t>1945-07-13</t>
        </is>
      </c>
    </row>
    <row r="16670">
      <c r="A16670" s="1" t="n">
        <v>16669</v>
      </c>
      <c r="B16670">
        <f>TEXT(16669, "[$-0E0000]yyyy-mm-dd")</f>
        <v/>
      </c>
      <c r="C16670" t="inlineStr">
        <is>
          <t>1945-07-14</t>
        </is>
      </c>
    </row>
    <row r="16671">
      <c r="A16671" s="1" t="n">
        <v>16670</v>
      </c>
      <c r="B16671">
        <f>TEXT(16670, "[$-0E0000]yyyy-mm-dd")</f>
        <v/>
      </c>
      <c r="C16671" t="inlineStr">
        <is>
          <t>1945-07-15</t>
        </is>
      </c>
    </row>
    <row r="16672">
      <c r="A16672" s="1" t="n">
        <v>16671</v>
      </c>
      <c r="B16672">
        <f>TEXT(16671, "[$-0E0000]yyyy-mm-dd")</f>
        <v/>
      </c>
      <c r="C16672" t="inlineStr">
        <is>
          <t>1945-07-16</t>
        </is>
      </c>
    </row>
    <row r="16673">
      <c r="A16673" s="1" t="n">
        <v>16672</v>
      </c>
      <c r="B16673">
        <f>TEXT(16672, "[$-0E0000]yyyy-mm-dd")</f>
        <v/>
      </c>
      <c r="C16673" t="inlineStr">
        <is>
          <t>1945-07-17</t>
        </is>
      </c>
    </row>
    <row r="16674">
      <c r="A16674" s="1" t="n">
        <v>16673</v>
      </c>
      <c r="B16674">
        <f>TEXT(16673, "[$-0E0000]yyyy-mm-dd")</f>
        <v/>
      </c>
      <c r="C16674" t="inlineStr">
        <is>
          <t>1945-07-18</t>
        </is>
      </c>
    </row>
    <row r="16675">
      <c r="A16675" s="1" t="n">
        <v>16674</v>
      </c>
      <c r="B16675">
        <f>TEXT(16674, "[$-0E0000]yyyy-mm-dd")</f>
        <v/>
      </c>
      <c r="C16675" t="inlineStr">
        <is>
          <t>1945-07-19</t>
        </is>
      </c>
    </row>
    <row r="16676">
      <c r="A16676" s="1" t="n">
        <v>16675</v>
      </c>
      <c r="B16676">
        <f>TEXT(16675, "[$-0E0000]yyyy-mm-dd")</f>
        <v/>
      </c>
      <c r="C16676" t="inlineStr">
        <is>
          <t>1945-07-20</t>
        </is>
      </c>
    </row>
    <row r="16677">
      <c r="A16677" s="1" t="n">
        <v>16676</v>
      </c>
      <c r="B16677">
        <f>TEXT(16676, "[$-0E0000]yyyy-mm-dd")</f>
        <v/>
      </c>
      <c r="C16677" t="inlineStr">
        <is>
          <t>1945-07-21</t>
        </is>
      </c>
    </row>
    <row r="16678">
      <c r="A16678" s="1" t="n">
        <v>16677</v>
      </c>
      <c r="B16678">
        <f>TEXT(16677, "[$-0E0000]yyyy-mm-dd")</f>
        <v/>
      </c>
      <c r="C16678" t="inlineStr">
        <is>
          <t>1945-07-22</t>
        </is>
      </c>
    </row>
    <row r="16679">
      <c r="A16679" s="1" t="n">
        <v>16678</v>
      </c>
      <c r="B16679">
        <f>TEXT(16678, "[$-0E0000]yyyy-mm-dd")</f>
        <v/>
      </c>
      <c r="C16679" t="inlineStr">
        <is>
          <t>1945-07-23</t>
        </is>
      </c>
    </row>
    <row r="16680">
      <c r="A16680" s="1" t="n">
        <v>16679</v>
      </c>
      <c r="B16680">
        <f>TEXT(16679, "[$-0E0000]yyyy-mm-dd")</f>
        <v/>
      </c>
      <c r="C16680" t="inlineStr">
        <is>
          <t>1945-07-24</t>
        </is>
      </c>
    </row>
    <row r="16681">
      <c r="A16681" s="1" t="n">
        <v>16680</v>
      </c>
      <c r="B16681">
        <f>TEXT(16680, "[$-0E0000]yyyy-mm-dd")</f>
        <v/>
      </c>
      <c r="C16681" t="inlineStr">
        <is>
          <t>1945-07-25</t>
        </is>
      </c>
    </row>
    <row r="16682">
      <c r="A16682" s="1" t="n">
        <v>16681</v>
      </c>
      <c r="B16682">
        <f>TEXT(16681, "[$-0E0000]yyyy-mm-dd")</f>
        <v/>
      </c>
      <c r="C16682" t="inlineStr">
        <is>
          <t>1945-07-26</t>
        </is>
      </c>
    </row>
    <row r="16683">
      <c r="A16683" s="1" t="n">
        <v>16682</v>
      </c>
      <c r="B16683">
        <f>TEXT(16682, "[$-0E0000]yyyy-mm-dd")</f>
        <v/>
      </c>
      <c r="C16683" t="inlineStr">
        <is>
          <t>1945-07-27</t>
        </is>
      </c>
    </row>
    <row r="16684">
      <c r="A16684" s="1" t="n">
        <v>16683</v>
      </c>
      <c r="B16684">
        <f>TEXT(16683, "[$-0E0000]yyyy-mm-dd")</f>
        <v/>
      </c>
      <c r="C16684" t="inlineStr">
        <is>
          <t>1945-07-28</t>
        </is>
      </c>
    </row>
    <row r="16685">
      <c r="A16685" s="1" t="n">
        <v>16684</v>
      </c>
      <c r="B16685">
        <f>TEXT(16684, "[$-0E0000]yyyy-mm-dd")</f>
        <v/>
      </c>
      <c r="C16685" t="inlineStr">
        <is>
          <t>1945-07-29</t>
        </is>
      </c>
    </row>
    <row r="16686">
      <c r="A16686" s="1" t="n">
        <v>16685</v>
      </c>
      <c r="B16686">
        <f>TEXT(16685, "[$-0E0000]yyyy-mm-dd")</f>
        <v/>
      </c>
      <c r="C16686" t="inlineStr">
        <is>
          <t>1945-08-01</t>
        </is>
      </c>
    </row>
    <row r="16687">
      <c r="A16687" s="1" t="n">
        <v>16686</v>
      </c>
      <c r="B16687">
        <f>TEXT(16686, "[$-0E0000]yyyy-mm-dd")</f>
        <v/>
      </c>
      <c r="C16687" t="inlineStr">
        <is>
          <t>1945-08-02</t>
        </is>
      </c>
    </row>
    <row r="16688">
      <c r="A16688" s="1" t="n">
        <v>16687</v>
      </c>
      <c r="B16688">
        <f>TEXT(16687, "[$-0E0000]yyyy-mm-dd")</f>
        <v/>
      </c>
      <c r="C16688" t="inlineStr">
        <is>
          <t>1945-08-03</t>
        </is>
      </c>
    </row>
    <row r="16689">
      <c r="A16689" s="1" t="n">
        <v>16688</v>
      </c>
      <c r="B16689">
        <f>TEXT(16688, "[$-0E0000]yyyy-mm-dd")</f>
        <v/>
      </c>
      <c r="C16689" t="inlineStr">
        <is>
          <t>1945-08-04</t>
        </is>
      </c>
    </row>
    <row r="16690">
      <c r="A16690" s="1" t="n">
        <v>16689</v>
      </c>
      <c r="B16690">
        <f>TEXT(16689, "[$-0E0000]yyyy-mm-dd")</f>
        <v/>
      </c>
      <c r="C16690" t="inlineStr">
        <is>
          <t>1945-08-05</t>
        </is>
      </c>
    </row>
    <row r="16691">
      <c r="A16691" s="1" t="n">
        <v>16690</v>
      </c>
      <c r="B16691">
        <f>TEXT(16690, "[$-0E0000]yyyy-mm-dd")</f>
        <v/>
      </c>
      <c r="C16691" t="inlineStr">
        <is>
          <t>1945-08-06</t>
        </is>
      </c>
    </row>
    <row r="16692">
      <c r="A16692" s="1" t="n">
        <v>16691</v>
      </c>
      <c r="B16692">
        <f>TEXT(16691, "[$-0E0000]yyyy-mm-dd")</f>
        <v/>
      </c>
      <c r="C16692" t="inlineStr">
        <is>
          <t>1945-08-07</t>
        </is>
      </c>
    </row>
    <row r="16693">
      <c r="A16693" s="1" t="n">
        <v>16692</v>
      </c>
      <c r="B16693">
        <f>TEXT(16692, "[$-0E0000]yyyy-mm-dd")</f>
        <v/>
      </c>
      <c r="C16693" t="inlineStr">
        <is>
          <t>1945-08-08</t>
        </is>
      </c>
    </row>
    <row r="16694">
      <c r="A16694" s="1" t="n">
        <v>16693</v>
      </c>
      <c r="B16694">
        <f>TEXT(16693, "[$-0E0000]yyyy-mm-dd")</f>
        <v/>
      </c>
      <c r="C16694" t="inlineStr">
        <is>
          <t>1945-08-09</t>
        </is>
      </c>
    </row>
    <row r="16695">
      <c r="A16695" s="1" t="n">
        <v>16694</v>
      </c>
      <c r="B16695">
        <f>TEXT(16694, "[$-0E0000]yyyy-mm-dd")</f>
        <v/>
      </c>
      <c r="C16695" t="inlineStr">
        <is>
          <t>1945-08-10</t>
        </is>
      </c>
    </row>
    <row r="16696">
      <c r="A16696" s="1" t="n">
        <v>16695</v>
      </c>
      <c r="B16696">
        <f>TEXT(16695, "[$-0E0000]yyyy-mm-dd")</f>
        <v/>
      </c>
      <c r="C16696" t="inlineStr">
        <is>
          <t>1945-08-11</t>
        </is>
      </c>
    </row>
    <row r="16697">
      <c r="A16697" s="1" t="n">
        <v>16696</v>
      </c>
      <c r="B16697">
        <f>TEXT(16696, "[$-0E0000]yyyy-mm-dd")</f>
        <v/>
      </c>
      <c r="C16697" t="inlineStr">
        <is>
          <t>1945-08-12</t>
        </is>
      </c>
    </row>
    <row r="16698">
      <c r="A16698" s="1" t="n">
        <v>16697</v>
      </c>
      <c r="B16698">
        <f>TEXT(16697, "[$-0E0000]yyyy-mm-dd")</f>
        <v/>
      </c>
      <c r="C16698" t="inlineStr">
        <is>
          <t>1945-08-13</t>
        </is>
      </c>
    </row>
    <row r="16699">
      <c r="A16699" s="1" t="n">
        <v>16698</v>
      </c>
      <c r="B16699">
        <f>TEXT(16698, "[$-0E0000]yyyy-mm-dd")</f>
        <v/>
      </c>
      <c r="C16699" t="inlineStr">
        <is>
          <t>1945-08-14</t>
        </is>
      </c>
    </row>
    <row r="16700">
      <c r="A16700" s="1" t="n">
        <v>16699</v>
      </c>
      <c r="B16700">
        <f>TEXT(16699, "[$-0E0000]yyyy-mm-dd")</f>
        <v/>
      </c>
      <c r="C16700" t="inlineStr">
        <is>
          <t>1945-08-15</t>
        </is>
      </c>
    </row>
    <row r="16701">
      <c r="A16701" s="1" t="n">
        <v>16700</v>
      </c>
      <c r="B16701">
        <f>TEXT(16700, "[$-0E0000]yyyy-mm-dd")</f>
        <v/>
      </c>
      <c r="C16701" t="inlineStr">
        <is>
          <t>1945-08-16</t>
        </is>
      </c>
    </row>
    <row r="16702">
      <c r="A16702" s="1" t="n">
        <v>16701</v>
      </c>
      <c r="B16702">
        <f>TEXT(16701, "[$-0E0000]yyyy-mm-dd")</f>
        <v/>
      </c>
      <c r="C16702" t="inlineStr">
        <is>
          <t>1945-08-17</t>
        </is>
      </c>
    </row>
    <row r="16703">
      <c r="A16703" s="1" t="n">
        <v>16702</v>
      </c>
      <c r="B16703">
        <f>TEXT(16702, "[$-0E0000]yyyy-mm-dd")</f>
        <v/>
      </c>
      <c r="C16703" t="inlineStr">
        <is>
          <t>1945-08-18</t>
        </is>
      </c>
    </row>
    <row r="16704">
      <c r="A16704" s="1" t="n">
        <v>16703</v>
      </c>
      <c r="B16704">
        <f>TEXT(16703, "[$-0E0000]yyyy-mm-dd")</f>
        <v/>
      </c>
      <c r="C16704" t="inlineStr">
        <is>
          <t>1945-08-19</t>
        </is>
      </c>
    </row>
    <row r="16705">
      <c r="A16705" s="1" t="n">
        <v>16704</v>
      </c>
      <c r="B16705">
        <f>TEXT(16704, "[$-0E0000]yyyy-mm-dd")</f>
        <v/>
      </c>
      <c r="C16705" t="inlineStr">
        <is>
          <t>1945-08-20</t>
        </is>
      </c>
    </row>
    <row r="16706">
      <c r="A16706" s="1" t="n">
        <v>16705</v>
      </c>
      <c r="B16706">
        <f>TEXT(16705, "[$-0E0000]yyyy-mm-dd")</f>
        <v/>
      </c>
      <c r="C16706" t="inlineStr">
        <is>
          <t>1945-08-21</t>
        </is>
      </c>
    </row>
    <row r="16707">
      <c r="A16707" s="1" t="n">
        <v>16706</v>
      </c>
      <c r="B16707">
        <f>TEXT(16706, "[$-0E0000]yyyy-mm-dd")</f>
        <v/>
      </c>
      <c r="C16707" t="inlineStr">
        <is>
          <t>1945-08-22</t>
        </is>
      </c>
    </row>
    <row r="16708">
      <c r="A16708" s="1" t="n">
        <v>16707</v>
      </c>
      <c r="B16708">
        <f>TEXT(16707, "[$-0E0000]yyyy-mm-dd")</f>
        <v/>
      </c>
      <c r="C16708" t="inlineStr">
        <is>
          <t>1945-08-23</t>
        </is>
      </c>
    </row>
    <row r="16709">
      <c r="A16709" s="1" t="n">
        <v>16708</v>
      </c>
      <c r="B16709">
        <f>TEXT(16708, "[$-0E0000]yyyy-mm-dd")</f>
        <v/>
      </c>
      <c r="C16709" t="inlineStr">
        <is>
          <t>1945-08-24</t>
        </is>
      </c>
    </row>
    <row r="16710">
      <c r="A16710" s="1" t="n">
        <v>16709</v>
      </c>
      <c r="B16710">
        <f>TEXT(16709, "[$-0E0000]yyyy-mm-dd")</f>
        <v/>
      </c>
      <c r="C16710" t="inlineStr">
        <is>
          <t>1945-08-25</t>
        </is>
      </c>
    </row>
    <row r="16711">
      <c r="A16711" s="1" t="n">
        <v>16710</v>
      </c>
      <c r="B16711">
        <f>TEXT(16710, "[$-0E0000]yyyy-mm-dd")</f>
        <v/>
      </c>
      <c r="C16711" t="inlineStr">
        <is>
          <t>1945-08-26</t>
        </is>
      </c>
    </row>
    <row r="16712">
      <c r="A16712" s="1" t="n">
        <v>16711</v>
      </c>
      <c r="B16712">
        <f>TEXT(16711, "[$-0E0000]yyyy-mm-dd")</f>
        <v/>
      </c>
      <c r="C16712" t="inlineStr">
        <is>
          <t>1945-08-27</t>
        </is>
      </c>
    </row>
    <row r="16713">
      <c r="A16713" s="1" t="n">
        <v>16712</v>
      </c>
      <c r="B16713">
        <f>TEXT(16712, "[$-0E0000]yyyy-mm-dd")</f>
        <v/>
      </c>
      <c r="C16713" t="inlineStr">
        <is>
          <t>1945-08-28</t>
        </is>
      </c>
    </row>
    <row r="16714">
      <c r="A16714" s="1" t="n">
        <v>16713</v>
      </c>
      <c r="B16714">
        <f>TEXT(16713, "[$-0E0000]yyyy-mm-dd")</f>
        <v/>
      </c>
      <c r="C16714" t="inlineStr">
        <is>
          <t>1945-08-29</t>
        </is>
      </c>
    </row>
    <row r="16715">
      <c r="A16715" s="1" t="n">
        <v>16714</v>
      </c>
      <c r="B16715">
        <f>TEXT(16714, "[$-0E0000]yyyy-mm-dd")</f>
        <v/>
      </c>
      <c r="C16715" t="inlineStr">
        <is>
          <t>1945-08-30</t>
        </is>
      </c>
    </row>
    <row r="16716">
      <c r="A16716" s="1" t="n">
        <v>16715</v>
      </c>
      <c r="B16716">
        <f>TEXT(16715, "[$-0E0000]yyyy-mm-dd")</f>
        <v/>
      </c>
      <c r="C16716" t="inlineStr">
        <is>
          <t>1945-09-01</t>
        </is>
      </c>
    </row>
    <row r="16717">
      <c r="A16717" s="1" t="n">
        <v>16716</v>
      </c>
      <c r="B16717">
        <f>TEXT(16716, "[$-0E0000]yyyy-mm-dd")</f>
        <v/>
      </c>
      <c r="C16717" t="inlineStr">
        <is>
          <t>1945-09-02</t>
        </is>
      </c>
    </row>
    <row r="16718">
      <c r="A16718" s="1" t="n">
        <v>16717</v>
      </c>
      <c r="B16718">
        <f>TEXT(16717, "[$-0E0000]yyyy-mm-dd")</f>
        <v/>
      </c>
      <c r="C16718" t="inlineStr">
        <is>
          <t>1945-09-03</t>
        </is>
      </c>
    </row>
    <row r="16719">
      <c r="A16719" s="1" t="n">
        <v>16718</v>
      </c>
      <c r="B16719">
        <f>TEXT(16718, "[$-0E0000]yyyy-mm-dd")</f>
        <v/>
      </c>
      <c r="C16719" t="inlineStr">
        <is>
          <t>1945-09-04</t>
        </is>
      </c>
    </row>
    <row r="16720">
      <c r="A16720" s="1" t="n">
        <v>16719</v>
      </c>
      <c r="B16720">
        <f>TEXT(16719, "[$-0E0000]yyyy-mm-dd")</f>
        <v/>
      </c>
      <c r="C16720" t="inlineStr">
        <is>
          <t>1945-09-05</t>
        </is>
      </c>
    </row>
    <row r="16721">
      <c r="A16721" s="1" t="n">
        <v>16720</v>
      </c>
      <c r="B16721">
        <f>TEXT(16720, "[$-0E0000]yyyy-mm-dd")</f>
        <v/>
      </c>
      <c r="C16721" t="inlineStr">
        <is>
          <t>1945-09-06</t>
        </is>
      </c>
    </row>
    <row r="16722">
      <c r="A16722" s="1" t="n">
        <v>16721</v>
      </c>
      <c r="B16722">
        <f>TEXT(16721, "[$-0E0000]yyyy-mm-dd")</f>
        <v/>
      </c>
      <c r="C16722" t="inlineStr">
        <is>
          <t>1945-09-07</t>
        </is>
      </c>
    </row>
    <row r="16723">
      <c r="A16723" s="1" t="n">
        <v>16722</v>
      </c>
      <c r="B16723">
        <f>TEXT(16722, "[$-0E0000]yyyy-mm-dd")</f>
        <v/>
      </c>
      <c r="C16723" t="inlineStr">
        <is>
          <t>1945-09-08</t>
        </is>
      </c>
    </row>
    <row r="16724">
      <c r="A16724" s="1" t="n">
        <v>16723</v>
      </c>
      <c r="B16724">
        <f>TEXT(16723, "[$-0E0000]yyyy-mm-dd")</f>
        <v/>
      </c>
      <c r="C16724" t="inlineStr">
        <is>
          <t>1945-09-09</t>
        </is>
      </c>
    </row>
    <row r="16725">
      <c r="A16725" s="1" t="n">
        <v>16724</v>
      </c>
      <c r="B16725">
        <f>TEXT(16724, "[$-0E0000]yyyy-mm-dd")</f>
        <v/>
      </c>
      <c r="C16725" t="inlineStr">
        <is>
          <t>1945-09-10</t>
        </is>
      </c>
    </row>
    <row r="16726">
      <c r="A16726" s="1" t="n">
        <v>16725</v>
      </c>
      <c r="B16726">
        <f>TEXT(16725, "[$-0E0000]yyyy-mm-dd")</f>
        <v/>
      </c>
      <c r="C16726" t="inlineStr">
        <is>
          <t>1945-09-11</t>
        </is>
      </c>
    </row>
    <row r="16727">
      <c r="A16727" s="1" t="n">
        <v>16726</v>
      </c>
      <c r="B16727">
        <f>TEXT(16726, "[$-0E0000]yyyy-mm-dd")</f>
        <v/>
      </c>
      <c r="C16727" t="inlineStr">
        <is>
          <t>1945-09-12</t>
        </is>
      </c>
    </row>
    <row r="16728">
      <c r="A16728" s="1" t="n">
        <v>16727</v>
      </c>
      <c r="B16728">
        <f>TEXT(16727, "[$-0E0000]yyyy-mm-dd")</f>
        <v/>
      </c>
      <c r="C16728" t="inlineStr">
        <is>
          <t>1945-09-13</t>
        </is>
      </c>
    </row>
    <row r="16729">
      <c r="A16729" s="1" t="n">
        <v>16728</v>
      </c>
      <c r="B16729">
        <f>TEXT(16728, "[$-0E0000]yyyy-mm-dd")</f>
        <v/>
      </c>
      <c r="C16729" t="inlineStr">
        <is>
          <t>1945-09-14</t>
        </is>
      </c>
    </row>
    <row r="16730">
      <c r="A16730" s="1" t="n">
        <v>16729</v>
      </c>
      <c r="B16730">
        <f>TEXT(16729, "[$-0E0000]yyyy-mm-dd")</f>
        <v/>
      </c>
      <c r="C16730" t="inlineStr">
        <is>
          <t>1945-09-15</t>
        </is>
      </c>
    </row>
    <row r="16731">
      <c r="A16731" s="1" t="n">
        <v>16730</v>
      </c>
      <c r="B16731">
        <f>TEXT(16730, "[$-0E0000]yyyy-mm-dd")</f>
        <v/>
      </c>
      <c r="C16731" t="inlineStr">
        <is>
          <t>1945-09-16</t>
        </is>
      </c>
    </row>
    <row r="16732">
      <c r="A16732" s="1" t="n">
        <v>16731</v>
      </c>
      <c r="B16732">
        <f>TEXT(16731, "[$-0E0000]yyyy-mm-dd")</f>
        <v/>
      </c>
      <c r="C16732" t="inlineStr">
        <is>
          <t>1945-09-17</t>
        </is>
      </c>
    </row>
    <row r="16733">
      <c r="A16733" s="1" t="n">
        <v>16732</v>
      </c>
      <c r="B16733">
        <f>TEXT(16732, "[$-0E0000]yyyy-mm-dd")</f>
        <v/>
      </c>
      <c r="C16733" t="inlineStr">
        <is>
          <t>1945-09-18</t>
        </is>
      </c>
    </row>
    <row r="16734">
      <c r="A16734" s="1" t="n">
        <v>16733</v>
      </c>
      <c r="B16734">
        <f>TEXT(16733, "[$-0E0000]yyyy-mm-dd")</f>
        <v/>
      </c>
      <c r="C16734" t="inlineStr">
        <is>
          <t>1945-09-19</t>
        </is>
      </c>
    </row>
    <row r="16735">
      <c r="A16735" s="1" t="n">
        <v>16734</v>
      </c>
      <c r="B16735">
        <f>TEXT(16734, "[$-0E0000]yyyy-mm-dd")</f>
        <v/>
      </c>
      <c r="C16735" t="inlineStr">
        <is>
          <t>1945-09-20</t>
        </is>
      </c>
    </row>
    <row r="16736">
      <c r="A16736" s="1" t="n">
        <v>16735</v>
      </c>
      <c r="B16736">
        <f>TEXT(16735, "[$-0E0000]yyyy-mm-dd")</f>
        <v/>
      </c>
      <c r="C16736" t="inlineStr">
        <is>
          <t>1945-09-21</t>
        </is>
      </c>
    </row>
    <row r="16737">
      <c r="A16737" s="1" t="n">
        <v>16736</v>
      </c>
      <c r="B16737">
        <f>TEXT(16736, "[$-0E0000]yyyy-mm-dd")</f>
        <v/>
      </c>
      <c r="C16737" t="inlineStr">
        <is>
          <t>1945-09-22</t>
        </is>
      </c>
    </row>
    <row r="16738">
      <c r="A16738" s="1" t="n">
        <v>16737</v>
      </c>
      <c r="B16738">
        <f>TEXT(16737, "[$-0E0000]yyyy-mm-dd")</f>
        <v/>
      </c>
      <c r="C16738" t="inlineStr">
        <is>
          <t>1945-09-23</t>
        </is>
      </c>
    </row>
    <row r="16739">
      <c r="A16739" s="1" t="n">
        <v>16738</v>
      </c>
      <c r="B16739">
        <f>TEXT(16738, "[$-0E0000]yyyy-mm-dd")</f>
        <v/>
      </c>
      <c r="C16739" t="inlineStr">
        <is>
          <t>1945-09-24</t>
        </is>
      </c>
    </row>
    <row r="16740">
      <c r="A16740" s="1" t="n">
        <v>16739</v>
      </c>
      <c r="B16740">
        <f>TEXT(16739, "[$-0E0000]yyyy-mm-dd")</f>
        <v/>
      </c>
      <c r="C16740" t="inlineStr">
        <is>
          <t>1945-09-25</t>
        </is>
      </c>
    </row>
    <row r="16741">
      <c r="A16741" s="1" t="n">
        <v>16740</v>
      </c>
      <c r="B16741">
        <f>TEXT(16740, "[$-0E0000]yyyy-mm-dd")</f>
        <v/>
      </c>
      <c r="C16741" t="inlineStr">
        <is>
          <t>1945-09-26</t>
        </is>
      </c>
    </row>
    <row r="16742">
      <c r="A16742" s="1" t="n">
        <v>16741</v>
      </c>
      <c r="B16742">
        <f>TEXT(16741, "[$-0E0000]yyyy-mm-dd")</f>
        <v/>
      </c>
      <c r="C16742" t="inlineStr">
        <is>
          <t>1945-09-27</t>
        </is>
      </c>
    </row>
    <row r="16743">
      <c r="A16743" s="1" t="n">
        <v>16742</v>
      </c>
      <c r="B16743">
        <f>TEXT(16742, "[$-0E0000]yyyy-mm-dd")</f>
        <v/>
      </c>
      <c r="C16743" t="inlineStr">
        <is>
          <t>1945-09-28</t>
        </is>
      </c>
    </row>
    <row r="16744">
      <c r="A16744" s="1" t="n">
        <v>16743</v>
      </c>
      <c r="B16744">
        <f>TEXT(16743, "[$-0E0000]yyyy-mm-dd")</f>
        <v/>
      </c>
      <c r="C16744" t="inlineStr">
        <is>
          <t>1945-09-29</t>
        </is>
      </c>
    </row>
    <row r="16745">
      <c r="A16745" s="1" t="n">
        <v>16744</v>
      </c>
      <c r="B16745">
        <f>TEXT(16744, "[$-0E0000]yyyy-mm-dd")</f>
        <v/>
      </c>
      <c r="C16745" t="inlineStr">
        <is>
          <t>1945-09-30</t>
        </is>
      </c>
    </row>
    <row r="16746">
      <c r="A16746" s="1" t="n">
        <v>16745</v>
      </c>
      <c r="B16746">
        <f>TEXT(16745, "[$-0E0000]yyyy-mm-dd")</f>
        <v/>
      </c>
      <c r="C16746" t="inlineStr">
        <is>
          <t>1945-10-01</t>
        </is>
      </c>
    </row>
    <row r="16747">
      <c r="A16747" s="1" t="n">
        <v>16746</v>
      </c>
      <c r="B16747">
        <f>TEXT(16746, "[$-0E0000]yyyy-mm-dd")</f>
        <v/>
      </c>
      <c r="C16747" t="inlineStr">
        <is>
          <t>1945-10-02</t>
        </is>
      </c>
    </row>
    <row r="16748">
      <c r="A16748" s="1" t="n">
        <v>16747</v>
      </c>
      <c r="B16748">
        <f>TEXT(16747, "[$-0E0000]yyyy-mm-dd")</f>
        <v/>
      </c>
      <c r="C16748" t="inlineStr">
        <is>
          <t>1945-10-03</t>
        </is>
      </c>
    </row>
    <row r="16749">
      <c r="A16749" s="1" t="n">
        <v>16748</v>
      </c>
      <c r="B16749">
        <f>TEXT(16748, "[$-0E0000]yyyy-mm-dd")</f>
        <v/>
      </c>
      <c r="C16749" t="inlineStr">
        <is>
          <t>1945-10-04</t>
        </is>
      </c>
    </row>
    <row r="16750">
      <c r="A16750" s="1" t="n">
        <v>16749</v>
      </c>
      <c r="B16750">
        <f>TEXT(16749, "[$-0E0000]yyyy-mm-dd")</f>
        <v/>
      </c>
      <c r="C16750" t="inlineStr">
        <is>
          <t>1945-10-05</t>
        </is>
      </c>
    </row>
    <row r="16751">
      <c r="A16751" s="1" t="n">
        <v>16750</v>
      </c>
      <c r="B16751">
        <f>TEXT(16750, "[$-0E0000]yyyy-mm-dd")</f>
        <v/>
      </c>
      <c r="C16751" t="inlineStr">
        <is>
          <t>1945-10-06</t>
        </is>
      </c>
    </row>
    <row r="16752">
      <c r="A16752" s="1" t="n">
        <v>16751</v>
      </c>
      <c r="B16752">
        <f>TEXT(16751, "[$-0E0000]yyyy-mm-dd")</f>
        <v/>
      </c>
      <c r="C16752" t="inlineStr">
        <is>
          <t>1945-10-07</t>
        </is>
      </c>
    </row>
    <row r="16753">
      <c r="A16753" s="1" t="n">
        <v>16752</v>
      </c>
      <c r="B16753">
        <f>TEXT(16752, "[$-0E0000]yyyy-mm-dd")</f>
        <v/>
      </c>
      <c r="C16753" t="inlineStr">
        <is>
          <t>1945-10-08</t>
        </is>
      </c>
    </row>
    <row r="16754">
      <c r="A16754" s="1" t="n">
        <v>16753</v>
      </c>
      <c r="B16754">
        <f>TEXT(16753, "[$-0E0000]yyyy-mm-dd")</f>
        <v/>
      </c>
      <c r="C16754" t="inlineStr">
        <is>
          <t>1945-10-09</t>
        </is>
      </c>
    </row>
    <row r="16755">
      <c r="A16755" s="1" t="n">
        <v>16754</v>
      </c>
      <c r="B16755">
        <f>TEXT(16754, "[$-0E0000]yyyy-mm-dd")</f>
        <v/>
      </c>
      <c r="C16755" t="inlineStr">
        <is>
          <t>1945-10-10</t>
        </is>
      </c>
    </row>
    <row r="16756">
      <c r="A16756" s="1" t="n">
        <v>16755</v>
      </c>
      <c r="B16756">
        <f>TEXT(16755, "[$-0E0000]yyyy-mm-dd")</f>
        <v/>
      </c>
      <c r="C16756" t="inlineStr">
        <is>
          <t>1945-10-11</t>
        </is>
      </c>
    </row>
    <row r="16757">
      <c r="A16757" s="1" t="n">
        <v>16756</v>
      </c>
      <c r="B16757">
        <f>TEXT(16756, "[$-0E0000]yyyy-mm-dd")</f>
        <v/>
      </c>
      <c r="C16757" t="inlineStr">
        <is>
          <t>1945-10-12</t>
        </is>
      </c>
    </row>
    <row r="16758">
      <c r="A16758" s="1" t="n">
        <v>16757</v>
      </c>
      <c r="B16758">
        <f>TEXT(16757, "[$-0E0000]yyyy-mm-dd")</f>
        <v/>
      </c>
      <c r="C16758" t="inlineStr">
        <is>
          <t>1945-10-13</t>
        </is>
      </c>
    </row>
    <row r="16759">
      <c r="A16759" s="1" t="n">
        <v>16758</v>
      </c>
      <c r="B16759">
        <f>TEXT(16758, "[$-0E0000]yyyy-mm-dd")</f>
        <v/>
      </c>
      <c r="C16759" t="inlineStr">
        <is>
          <t>1945-10-14</t>
        </is>
      </c>
    </row>
    <row r="16760">
      <c r="A16760" s="1" t="n">
        <v>16759</v>
      </c>
      <c r="B16760">
        <f>TEXT(16759, "[$-0E0000]yyyy-mm-dd")</f>
        <v/>
      </c>
      <c r="C16760" t="inlineStr">
        <is>
          <t>1945-10-15</t>
        </is>
      </c>
    </row>
    <row r="16761">
      <c r="A16761" s="1" t="n">
        <v>16760</v>
      </c>
      <c r="B16761">
        <f>TEXT(16760, "[$-0E0000]yyyy-mm-dd")</f>
        <v/>
      </c>
      <c r="C16761" t="inlineStr">
        <is>
          <t>1945-10-16</t>
        </is>
      </c>
    </row>
    <row r="16762">
      <c r="A16762" s="1" t="n">
        <v>16761</v>
      </c>
      <c r="B16762">
        <f>TEXT(16761, "[$-0E0000]yyyy-mm-dd")</f>
        <v/>
      </c>
      <c r="C16762" t="inlineStr">
        <is>
          <t>1945-10-17</t>
        </is>
      </c>
    </row>
    <row r="16763">
      <c r="A16763" s="1" t="n">
        <v>16762</v>
      </c>
      <c r="B16763">
        <f>TEXT(16762, "[$-0E0000]yyyy-mm-dd")</f>
        <v/>
      </c>
      <c r="C16763" t="inlineStr">
        <is>
          <t>1945-10-18</t>
        </is>
      </c>
    </row>
    <row r="16764">
      <c r="A16764" s="1" t="n">
        <v>16763</v>
      </c>
      <c r="B16764">
        <f>TEXT(16763, "[$-0E0000]yyyy-mm-dd")</f>
        <v/>
      </c>
      <c r="C16764" t="inlineStr">
        <is>
          <t>1945-10-19</t>
        </is>
      </c>
    </row>
    <row r="16765">
      <c r="A16765" s="1" t="n">
        <v>16764</v>
      </c>
      <c r="B16765">
        <f>TEXT(16764, "[$-0E0000]yyyy-mm-dd")</f>
        <v/>
      </c>
      <c r="C16765" t="inlineStr">
        <is>
          <t>1945-10-20</t>
        </is>
      </c>
    </row>
    <row r="16766">
      <c r="A16766" s="1" t="n">
        <v>16765</v>
      </c>
      <c r="B16766">
        <f>TEXT(16765, "[$-0E0000]yyyy-mm-dd")</f>
        <v/>
      </c>
      <c r="C16766" t="inlineStr">
        <is>
          <t>1945-10-21</t>
        </is>
      </c>
    </row>
    <row r="16767">
      <c r="A16767" s="1" t="n">
        <v>16766</v>
      </c>
      <c r="B16767">
        <f>TEXT(16766, "[$-0E0000]yyyy-mm-dd")</f>
        <v/>
      </c>
      <c r="C16767" t="inlineStr">
        <is>
          <t>1945-10-22</t>
        </is>
      </c>
    </row>
    <row r="16768">
      <c r="A16768" s="1" t="n">
        <v>16767</v>
      </c>
      <c r="B16768">
        <f>TEXT(16767, "[$-0E0000]yyyy-mm-dd")</f>
        <v/>
      </c>
      <c r="C16768" t="inlineStr">
        <is>
          <t>1945-10-23</t>
        </is>
      </c>
    </row>
    <row r="16769">
      <c r="A16769" s="1" t="n">
        <v>16768</v>
      </c>
      <c r="B16769">
        <f>TEXT(16768, "[$-0E0000]yyyy-mm-dd")</f>
        <v/>
      </c>
      <c r="C16769" t="inlineStr">
        <is>
          <t>1945-10-24</t>
        </is>
      </c>
    </row>
    <row r="16770">
      <c r="A16770" s="1" t="n">
        <v>16769</v>
      </c>
      <c r="B16770">
        <f>TEXT(16769, "[$-0E0000]yyyy-mm-dd")</f>
        <v/>
      </c>
      <c r="C16770" t="inlineStr">
        <is>
          <t>1945-10-25</t>
        </is>
      </c>
    </row>
    <row r="16771">
      <c r="A16771" s="1" t="n">
        <v>16770</v>
      </c>
      <c r="B16771">
        <f>TEXT(16770, "[$-0E0000]yyyy-mm-dd")</f>
        <v/>
      </c>
      <c r="C16771" t="inlineStr">
        <is>
          <t>1945-10-26</t>
        </is>
      </c>
    </row>
    <row r="16772">
      <c r="A16772" s="1" t="n">
        <v>16771</v>
      </c>
      <c r="B16772">
        <f>TEXT(16771, "[$-0E0000]yyyy-mm-dd")</f>
        <v/>
      </c>
      <c r="C16772" t="inlineStr">
        <is>
          <t>1945-10-27</t>
        </is>
      </c>
    </row>
    <row r="16773">
      <c r="A16773" s="1" t="n">
        <v>16772</v>
      </c>
      <c r="B16773">
        <f>TEXT(16772, "[$-0E0000]yyyy-mm-dd")</f>
        <v/>
      </c>
      <c r="C16773" t="inlineStr">
        <is>
          <t>1945-10-28</t>
        </is>
      </c>
    </row>
    <row r="16774">
      <c r="A16774" s="1" t="n">
        <v>16773</v>
      </c>
      <c r="B16774">
        <f>TEXT(16773, "[$-0E0000]yyyy-mm-dd")</f>
        <v/>
      </c>
      <c r="C16774" t="inlineStr">
        <is>
          <t>1945-10-29</t>
        </is>
      </c>
    </row>
    <row r="16775">
      <c r="A16775" s="1" t="n">
        <v>16774</v>
      </c>
      <c r="B16775">
        <f>TEXT(16774, "[$-0E0000]yyyy-mm-dd")</f>
        <v/>
      </c>
      <c r="C16775" t="inlineStr">
        <is>
          <t>1945-10-30</t>
        </is>
      </c>
    </row>
    <row r="16776">
      <c r="A16776" s="1" t="n">
        <v>16775</v>
      </c>
      <c r="B16776">
        <f>TEXT(16775, "[$-0E0000]yyyy-mm-dd")</f>
        <v/>
      </c>
      <c r="C16776" t="inlineStr">
        <is>
          <t>1945-11-01</t>
        </is>
      </c>
    </row>
    <row r="16777">
      <c r="A16777" s="1" t="n">
        <v>16776</v>
      </c>
      <c r="B16777">
        <f>TEXT(16776, "[$-0E0000]yyyy-mm-dd")</f>
        <v/>
      </c>
      <c r="C16777" t="inlineStr">
        <is>
          <t>1945-11-02</t>
        </is>
      </c>
    </row>
    <row r="16778">
      <c r="A16778" s="1" t="n">
        <v>16777</v>
      </c>
      <c r="B16778">
        <f>TEXT(16777, "[$-0E0000]yyyy-mm-dd")</f>
        <v/>
      </c>
      <c r="C16778" t="inlineStr">
        <is>
          <t>1945-11-03</t>
        </is>
      </c>
    </row>
    <row r="16779">
      <c r="A16779" s="1" t="n">
        <v>16778</v>
      </c>
      <c r="B16779">
        <f>TEXT(16778, "[$-0E0000]yyyy-mm-dd")</f>
        <v/>
      </c>
      <c r="C16779" t="inlineStr">
        <is>
          <t>1945-11-04</t>
        </is>
      </c>
    </row>
    <row r="16780">
      <c r="A16780" s="1" t="n">
        <v>16779</v>
      </c>
      <c r="B16780">
        <f>TEXT(16779, "[$-0E0000]yyyy-mm-dd")</f>
        <v/>
      </c>
      <c r="C16780" t="inlineStr">
        <is>
          <t>1945-11-05</t>
        </is>
      </c>
    </row>
    <row r="16781">
      <c r="A16781" s="1" t="n">
        <v>16780</v>
      </c>
      <c r="B16781">
        <f>TEXT(16780, "[$-0E0000]yyyy-mm-dd")</f>
        <v/>
      </c>
      <c r="C16781" t="inlineStr">
        <is>
          <t>1945-11-06</t>
        </is>
      </c>
    </row>
    <row r="16782">
      <c r="A16782" s="1" t="n">
        <v>16781</v>
      </c>
      <c r="B16782">
        <f>TEXT(16781, "[$-0E0000]yyyy-mm-dd")</f>
        <v/>
      </c>
      <c r="C16782" t="inlineStr">
        <is>
          <t>1945-11-07</t>
        </is>
      </c>
    </row>
    <row r="16783">
      <c r="A16783" s="1" t="n">
        <v>16782</v>
      </c>
      <c r="B16783">
        <f>TEXT(16782, "[$-0E0000]yyyy-mm-dd")</f>
        <v/>
      </c>
      <c r="C16783" t="inlineStr">
        <is>
          <t>1945-11-08</t>
        </is>
      </c>
    </row>
    <row r="16784">
      <c r="A16784" s="1" t="n">
        <v>16783</v>
      </c>
      <c r="B16784">
        <f>TEXT(16783, "[$-0E0000]yyyy-mm-dd")</f>
        <v/>
      </c>
      <c r="C16784" t="inlineStr">
        <is>
          <t>1945-11-09</t>
        </is>
      </c>
    </row>
    <row r="16785">
      <c r="A16785" s="1" t="n">
        <v>16784</v>
      </c>
      <c r="B16785">
        <f>TEXT(16784, "[$-0E0000]yyyy-mm-dd")</f>
        <v/>
      </c>
      <c r="C16785" t="inlineStr">
        <is>
          <t>1945-11-10</t>
        </is>
      </c>
    </row>
    <row r="16786">
      <c r="A16786" s="1" t="n">
        <v>16785</v>
      </c>
      <c r="B16786">
        <f>TEXT(16785, "[$-0E0000]yyyy-mm-dd")</f>
        <v/>
      </c>
      <c r="C16786" t="inlineStr">
        <is>
          <t>1945-11-11</t>
        </is>
      </c>
    </row>
    <row r="16787">
      <c r="A16787" s="1" t="n">
        <v>16786</v>
      </c>
      <c r="B16787">
        <f>TEXT(16786, "[$-0E0000]yyyy-mm-dd")</f>
        <v/>
      </c>
      <c r="C16787" t="inlineStr">
        <is>
          <t>1945-11-12</t>
        </is>
      </c>
    </row>
    <row r="16788">
      <c r="A16788" s="1" t="n">
        <v>16787</v>
      </c>
      <c r="B16788">
        <f>TEXT(16787, "[$-0E0000]yyyy-mm-dd")</f>
        <v/>
      </c>
      <c r="C16788" t="inlineStr">
        <is>
          <t>1945-11-13</t>
        </is>
      </c>
    </row>
    <row r="16789">
      <c r="A16789" s="1" t="n">
        <v>16788</v>
      </c>
      <c r="B16789">
        <f>TEXT(16788, "[$-0E0000]yyyy-mm-dd")</f>
        <v/>
      </c>
      <c r="C16789" t="inlineStr">
        <is>
          <t>1945-11-14</t>
        </is>
      </c>
    </row>
    <row r="16790">
      <c r="A16790" s="1" t="n">
        <v>16789</v>
      </c>
      <c r="B16790">
        <f>TEXT(16789, "[$-0E0000]yyyy-mm-dd")</f>
        <v/>
      </c>
      <c r="C16790" t="inlineStr">
        <is>
          <t>1945-11-15</t>
        </is>
      </c>
    </row>
    <row r="16791">
      <c r="A16791" s="1" t="n">
        <v>16790</v>
      </c>
      <c r="B16791">
        <f>TEXT(16790, "[$-0E0000]yyyy-mm-dd")</f>
        <v/>
      </c>
      <c r="C16791" t="inlineStr">
        <is>
          <t>1945-11-16</t>
        </is>
      </c>
    </row>
    <row r="16792">
      <c r="A16792" s="1" t="n">
        <v>16791</v>
      </c>
      <c r="B16792">
        <f>TEXT(16791, "[$-0E0000]yyyy-mm-dd")</f>
        <v/>
      </c>
      <c r="C16792" t="inlineStr">
        <is>
          <t>1945-11-17</t>
        </is>
      </c>
    </row>
    <row r="16793">
      <c r="A16793" s="1" t="n">
        <v>16792</v>
      </c>
      <c r="B16793">
        <f>TEXT(16792, "[$-0E0000]yyyy-mm-dd")</f>
        <v/>
      </c>
      <c r="C16793" t="inlineStr">
        <is>
          <t>1945-11-18</t>
        </is>
      </c>
    </row>
    <row r="16794">
      <c r="A16794" s="1" t="n">
        <v>16793</v>
      </c>
      <c r="B16794">
        <f>TEXT(16793, "[$-0E0000]yyyy-mm-dd")</f>
        <v/>
      </c>
      <c r="C16794" t="inlineStr">
        <is>
          <t>1945-11-19</t>
        </is>
      </c>
    </row>
    <row r="16795">
      <c r="A16795" s="1" t="n">
        <v>16794</v>
      </c>
      <c r="B16795">
        <f>TEXT(16794, "[$-0E0000]yyyy-mm-dd")</f>
        <v/>
      </c>
      <c r="C16795" t="inlineStr">
        <is>
          <t>1945-11-20</t>
        </is>
      </c>
    </row>
    <row r="16796">
      <c r="A16796" s="1" t="n">
        <v>16795</v>
      </c>
      <c r="B16796">
        <f>TEXT(16795, "[$-0E0000]yyyy-mm-dd")</f>
        <v/>
      </c>
      <c r="C16796" t="inlineStr">
        <is>
          <t>1945-11-21</t>
        </is>
      </c>
    </row>
    <row r="16797">
      <c r="A16797" s="1" t="n">
        <v>16796</v>
      </c>
      <c r="B16797">
        <f>TEXT(16796, "[$-0E0000]yyyy-mm-dd")</f>
        <v/>
      </c>
      <c r="C16797" t="inlineStr">
        <is>
          <t>1945-11-22</t>
        </is>
      </c>
    </row>
    <row r="16798">
      <c r="A16798" s="1" t="n">
        <v>16797</v>
      </c>
      <c r="B16798">
        <f>TEXT(16797, "[$-0E0000]yyyy-mm-dd")</f>
        <v/>
      </c>
      <c r="C16798" t="inlineStr">
        <is>
          <t>1945-11-23</t>
        </is>
      </c>
    </row>
    <row r="16799">
      <c r="A16799" s="1" t="n">
        <v>16798</v>
      </c>
      <c r="B16799">
        <f>TEXT(16798, "[$-0E0000]yyyy-mm-dd")</f>
        <v/>
      </c>
      <c r="C16799" t="inlineStr">
        <is>
          <t>1945-11-24</t>
        </is>
      </c>
    </row>
    <row r="16800">
      <c r="A16800" s="1" t="n">
        <v>16799</v>
      </c>
      <c r="B16800">
        <f>TEXT(16799, "[$-0E0000]yyyy-mm-dd")</f>
        <v/>
      </c>
      <c r="C16800" t="inlineStr">
        <is>
          <t>1945-11-25</t>
        </is>
      </c>
    </row>
    <row r="16801">
      <c r="A16801" s="1" t="n">
        <v>16800</v>
      </c>
      <c r="B16801">
        <f>TEXT(16800, "[$-0E0000]yyyy-mm-dd")</f>
        <v/>
      </c>
      <c r="C16801" t="inlineStr">
        <is>
          <t>1945-11-26</t>
        </is>
      </c>
    </row>
    <row r="16802">
      <c r="A16802" s="1" t="n">
        <v>16801</v>
      </c>
      <c r="B16802">
        <f>TEXT(16801, "[$-0E0000]yyyy-mm-dd")</f>
        <v/>
      </c>
      <c r="C16802" t="inlineStr">
        <is>
          <t>1945-11-27</t>
        </is>
      </c>
    </row>
    <row r="16803">
      <c r="A16803" s="1" t="n">
        <v>16802</v>
      </c>
      <c r="B16803">
        <f>TEXT(16802, "[$-0E0000]yyyy-mm-dd")</f>
        <v/>
      </c>
      <c r="C16803" t="inlineStr">
        <is>
          <t>1945-11-28</t>
        </is>
      </c>
    </row>
    <row r="16804">
      <c r="A16804" s="1" t="n">
        <v>16803</v>
      </c>
      <c r="B16804">
        <f>TEXT(16803, "[$-0E0000]yyyy-mm-dd")</f>
        <v/>
      </c>
      <c r="C16804" t="inlineStr">
        <is>
          <t>1945-11-29</t>
        </is>
      </c>
    </row>
    <row r="16805">
      <c r="A16805" s="1" t="n">
        <v>16804</v>
      </c>
      <c r="B16805">
        <f>TEXT(16804, "[$-0E0000]yyyy-mm-dd")</f>
        <v/>
      </c>
      <c r="C16805" t="inlineStr">
        <is>
          <t>1945-12-01</t>
        </is>
      </c>
    </row>
    <row r="16806">
      <c r="A16806" s="1" t="n">
        <v>16805</v>
      </c>
      <c r="B16806">
        <f>TEXT(16805, "[$-0E0000]yyyy-mm-dd")</f>
        <v/>
      </c>
      <c r="C16806" t="inlineStr">
        <is>
          <t>1945-12-02</t>
        </is>
      </c>
    </row>
    <row r="16807">
      <c r="A16807" s="1" t="n">
        <v>16806</v>
      </c>
      <c r="B16807">
        <f>TEXT(16806, "[$-0E0000]yyyy-mm-dd")</f>
        <v/>
      </c>
      <c r="C16807" t="inlineStr">
        <is>
          <t>1945-12-03</t>
        </is>
      </c>
    </row>
    <row r="16808">
      <c r="A16808" s="1" t="n">
        <v>16807</v>
      </c>
      <c r="B16808">
        <f>TEXT(16807, "[$-0E0000]yyyy-mm-dd")</f>
        <v/>
      </c>
      <c r="C16808" t="inlineStr">
        <is>
          <t>1945-12-04</t>
        </is>
      </c>
    </row>
    <row r="16809">
      <c r="A16809" s="1" t="n">
        <v>16808</v>
      </c>
      <c r="B16809">
        <f>TEXT(16808, "[$-0E0000]yyyy-mm-dd")</f>
        <v/>
      </c>
      <c r="C16809" t="inlineStr">
        <is>
          <t>1945-12-05</t>
        </is>
      </c>
    </row>
    <row r="16810">
      <c r="A16810" s="1" t="n">
        <v>16809</v>
      </c>
      <c r="B16810">
        <f>TEXT(16809, "[$-0E0000]yyyy-mm-dd")</f>
        <v/>
      </c>
      <c r="C16810" t="inlineStr">
        <is>
          <t>1945-12-06</t>
        </is>
      </c>
    </row>
    <row r="16811">
      <c r="A16811" s="1" t="n">
        <v>16810</v>
      </c>
      <c r="B16811">
        <f>TEXT(16810, "[$-0E0000]yyyy-mm-dd")</f>
        <v/>
      </c>
      <c r="C16811" t="inlineStr">
        <is>
          <t>1945-12-07</t>
        </is>
      </c>
    </row>
    <row r="16812">
      <c r="A16812" s="1" t="n">
        <v>16811</v>
      </c>
      <c r="B16812">
        <f>TEXT(16811, "[$-0E0000]yyyy-mm-dd")</f>
        <v/>
      </c>
      <c r="C16812" t="inlineStr">
        <is>
          <t>1945-12-08</t>
        </is>
      </c>
    </row>
    <row r="16813">
      <c r="A16813" s="1" t="n">
        <v>16812</v>
      </c>
      <c r="B16813">
        <f>TEXT(16812, "[$-0E0000]yyyy-mm-dd")</f>
        <v/>
      </c>
      <c r="C16813" t="inlineStr">
        <is>
          <t>1945-12-09</t>
        </is>
      </c>
    </row>
    <row r="16814">
      <c r="A16814" s="1" t="n">
        <v>16813</v>
      </c>
      <c r="B16814">
        <f>TEXT(16813, "[$-0E0000]yyyy-mm-dd")</f>
        <v/>
      </c>
      <c r="C16814" t="inlineStr">
        <is>
          <t>1945-12-10</t>
        </is>
      </c>
    </row>
    <row r="16815">
      <c r="A16815" s="1" t="n">
        <v>16814</v>
      </c>
      <c r="B16815">
        <f>TEXT(16814, "[$-0E0000]yyyy-mm-dd")</f>
        <v/>
      </c>
      <c r="C16815" t="inlineStr">
        <is>
          <t>1945-12-11</t>
        </is>
      </c>
    </row>
    <row r="16816">
      <c r="A16816" s="1" t="n">
        <v>16815</v>
      </c>
      <c r="B16816">
        <f>TEXT(16815, "[$-0E0000]yyyy-mm-dd")</f>
        <v/>
      </c>
      <c r="C16816" t="inlineStr">
        <is>
          <t>1945-12-12</t>
        </is>
      </c>
    </row>
    <row r="16817">
      <c r="A16817" s="1" t="n">
        <v>16816</v>
      </c>
      <c r="B16817">
        <f>TEXT(16816, "[$-0E0000]yyyy-mm-dd")</f>
        <v/>
      </c>
      <c r="C16817" t="inlineStr">
        <is>
          <t>1945-12-13</t>
        </is>
      </c>
    </row>
    <row r="16818">
      <c r="A16818" s="1" t="n">
        <v>16817</v>
      </c>
      <c r="B16818">
        <f>TEXT(16817, "[$-0E0000]yyyy-mm-dd")</f>
        <v/>
      </c>
      <c r="C16818" t="inlineStr">
        <is>
          <t>1945-12-14</t>
        </is>
      </c>
    </row>
    <row r="16819">
      <c r="A16819" s="1" t="n">
        <v>16818</v>
      </c>
      <c r="B16819">
        <f>TEXT(16818, "[$-0E0000]yyyy-mm-dd")</f>
        <v/>
      </c>
      <c r="C16819" t="inlineStr">
        <is>
          <t>1945-12-15</t>
        </is>
      </c>
    </row>
    <row r="16820">
      <c r="A16820" s="1" t="n">
        <v>16819</v>
      </c>
      <c r="B16820">
        <f>TEXT(16819, "[$-0E0000]yyyy-mm-dd")</f>
        <v/>
      </c>
      <c r="C16820" t="inlineStr">
        <is>
          <t>1945-12-16</t>
        </is>
      </c>
    </row>
    <row r="16821">
      <c r="A16821" s="1" t="n">
        <v>16820</v>
      </c>
      <c r="B16821">
        <f>TEXT(16820, "[$-0E0000]yyyy-mm-dd")</f>
        <v/>
      </c>
      <c r="C16821" t="inlineStr">
        <is>
          <t>1945-12-17</t>
        </is>
      </c>
    </row>
    <row r="16822">
      <c r="A16822" s="1" t="n">
        <v>16821</v>
      </c>
      <c r="B16822">
        <f>TEXT(16821, "[$-0E0000]yyyy-mm-dd")</f>
        <v/>
      </c>
      <c r="C16822" t="inlineStr">
        <is>
          <t>1945-12-18</t>
        </is>
      </c>
    </row>
    <row r="16823">
      <c r="A16823" s="1" t="n">
        <v>16822</v>
      </c>
      <c r="B16823">
        <f>TEXT(16822, "[$-0E0000]yyyy-mm-dd")</f>
        <v/>
      </c>
      <c r="C16823" t="inlineStr">
        <is>
          <t>1945-12-19</t>
        </is>
      </c>
    </row>
    <row r="16824">
      <c r="A16824" s="1" t="n">
        <v>16823</v>
      </c>
      <c r="B16824">
        <f>TEXT(16823, "[$-0E0000]yyyy-mm-dd")</f>
        <v/>
      </c>
      <c r="C16824" t="inlineStr">
        <is>
          <t>1945-12-20</t>
        </is>
      </c>
    </row>
    <row r="16825">
      <c r="A16825" s="1" t="n">
        <v>16824</v>
      </c>
      <c r="B16825">
        <f>TEXT(16824, "[$-0E0000]yyyy-mm-dd")</f>
        <v/>
      </c>
      <c r="C16825" t="inlineStr">
        <is>
          <t>1945-12-21</t>
        </is>
      </c>
    </row>
    <row r="16826">
      <c r="A16826" s="1" t="n">
        <v>16825</v>
      </c>
      <c r="B16826">
        <f>TEXT(16825, "[$-0E0000]yyyy-mm-dd")</f>
        <v/>
      </c>
      <c r="C16826" t="inlineStr">
        <is>
          <t>1945-12-22</t>
        </is>
      </c>
    </row>
    <row r="16827">
      <c r="A16827" s="1" t="n">
        <v>16826</v>
      </c>
      <c r="B16827">
        <f>TEXT(16826, "[$-0E0000]yyyy-mm-dd")</f>
        <v/>
      </c>
      <c r="C16827" t="inlineStr">
        <is>
          <t>1945-12-23</t>
        </is>
      </c>
    </row>
    <row r="16828">
      <c r="A16828" s="1" t="n">
        <v>16827</v>
      </c>
      <c r="B16828">
        <f>TEXT(16827, "[$-0E0000]yyyy-mm-dd")</f>
        <v/>
      </c>
      <c r="C16828" t="inlineStr">
        <is>
          <t>1945-12-24</t>
        </is>
      </c>
    </row>
    <row r="16829">
      <c r="A16829" s="1" t="n">
        <v>16828</v>
      </c>
      <c r="B16829">
        <f>TEXT(16828, "[$-0E0000]yyyy-mm-dd")</f>
        <v/>
      </c>
      <c r="C16829" t="inlineStr">
        <is>
          <t>1945-12-25</t>
        </is>
      </c>
    </row>
    <row r="16830">
      <c r="A16830" s="1" t="n">
        <v>16829</v>
      </c>
      <c r="B16830">
        <f>TEXT(16829, "[$-0E0000]yyyy-mm-dd")</f>
        <v/>
      </c>
      <c r="C16830" t="inlineStr">
        <is>
          <t>1945-12-26</t>
        </is>
      </c>
    </row>
    <row r="16831">
      <c r="A16831" s="1" t="n">
        <v>16830</v>
      </c>
      <c r="B16831">
        <f>TEXT(16830, "[$-0E0000]yyyy-mm-dd")</f>
        <v/>
      </c>
      <c r="C16831" t="inlineStr">
        <is>
          <t>1945-12-27</t>
        </is>
      </c>
    </row>
    <row r="16832">
      <c r="A16832" s="1" t="n">
        <v>16831</v>
      </c>
      <c r="B16832">
        <f>TEXT(16831, "[$-0E0000]yyyy-mm-dd")</f>
        <v/>
      </c>
      <c r="C16832" t="inlineStr">
        <is>
          <t>1945-12-28</t>
        </is>
      </c>
    </row>
    <row r="16833">
      <c r="A16833" s="1" t="n">
        <v>16832</v>
      </c>
      <c r="B16833">
        <f>TEXT(16832, "[$-0E0000]yyyy-mm-dd")</f>
        <v/>
      </c>
      <c r="C16833" t="inlineStr">
        <is>
          <t>1945-12-29</t>
        </is>
      </c>
    </row>
    <row r="16834">
      <c r="A16834" s="1" t="n">
        <v>16833</v>
      </c>
      <c r="B16834">
        <f>TEXT(16833, "[$-0E0000]yyyy-mm-dd")</f>
        <v/>
      </c>
      <c r="C16834" t="inlineStr">
        <is>
          <t>1945-12-30</t>
        </is>
      </c>
    </row>
    <row r="16835">
      <c r="A16835" s="1" t="n">
        <v>16834</v>
      </c>
      <c r="B16835">
        <f>TEXT(16834, "[$-0E0000]yyyy-mm-dd")</f>
        <v/>
      </c>
      <c r="C16835" t="inlineStr">
        <is>
          <t>1946-01-01</t>
        </is>
      </c>
    </row>
    <row r="16836">
      <c r="A16836" s="1" t="n">
        <v>16835</v>
      </c>
      <c r="B16836">
        <f>TEXT(16835, "[$-0E0000]yyyy-mm-dd")</f>
        <v/>
      </c>
      <c r="C16836" t="inlineStr">
        <is>
          <t>1946-01-02</t>
        </is>
      </c>
    </row>
    <row r="16837">
      <c r="A16837" s="1" t="n">
        <v>16836</v>
      </c>
      <c r="B16837">
        <f>TEXT(16836, "[$-0E0000]yyyy-mm-dd")</f>
        <v/>
      </c>
      <c r="C16837" t="inlineStr">
        <is>
          <t>1946-01-03</t>
        </is>
      </c>
    </row>
    <row r="16838">
      <c r="A16838" s="1" t="n">
        <v>16837</v>
      </c>
      <c r="B16838">
        <f>TEXT(16837, "[$-0E0000]yyyy-mm-dd")</f>
        <v/>
      </c>
      <c r="C16838" t="inlineStr">
        <is>
          <t>1946-01-04</t>
        </is>
      </c>
    </row>
    <row r="16839">
      <c r="A16839" s="1" t="n">
        <v>16838</v>
      </c>
      <c r="B16839">
        <f>TEXT(16838, "[$-0E0000]yyyy-mm-dd")</f>
        <v/>
      </c>
      <c r="C16839" t="inlineStr">
        <is>
          <t>1946-01-05</t>
        </is>
      </c>
    </row>
    <row r="16840">
      <c r="A16840" s="1" t="n">
        <v>16839</v>
      </c>
      <c r="B16840">
        <f>TEXT(16839, "[$-0E0000]yyyy-mm-dd")</f>
        <v/>
      </c>
      <c r="C16840" t="inlineStr">
        <is>
          <t>1946-01-06</t>
        </is>
      </c>
    </row>
    <row r="16841">
      <c r="A16841" s="1" t="n">
        <v>16840</v>
      </c>
      <c r="B16841">
        <f>TEXT(16840, "[$-0E0000]yyyy-mm-dd")</f>
        <v/>
      </c>
      <c r="C16841" t="inlineStr">
        <is>
          <t>1946-01-07</t>
        </is>
      </c>
    </row>
    <row r="16842">
      <c r="A16842" s="1" t="n">
        <v>16841</v>
      </c>
      <c r="B16842">
        <f>TEXT(16841, "[$-0E0000]yyyy-mm-dd")</f>
        <v/>
      </c>
      <c r="C16842" t="inlineStr">
        <is>
          <t>1946-01-08</t>
        </is>
      </c>
    </row>
    <row r="16843">
      <c r="A16843" s="1" t="n">
        <v>16842</v>
      </c>
      <c r="B16843">
        <f>TEXT(16842, "[$-0E0000]yyyy-mm-dd")</f>
        <v/>
      </c>
      <c r="C16843" t="inlineStr">
        <is>
          <t>1946-01-09</t>
        </is>
      </c>
    </row>
    <row r="16844">
      <c r="A16844" s="1" t="n">
        <v>16843</v>
      </c>
      <c r="B16844">
        <f>TEXT(16843, "[$-0E0000]yyyy-mm-dd")</f>
        <v/>
      </c>
      <c r="C16844" t="inlineStr">
        <is>
          <t>1946-01-10</t>
        </is>
      </c>
    </row>
    <row r="16845">
      <c r="A16845" s="1" t="n">
        <v>16844</v>
      </c>
      <c r="B16845">
        <f>TEXT(16844, "[$-0E0000]yyyy-mm-dd")</f>
        <v/>
      </c>
      <c r="C16845" t="inlineStr">
        <is>
          <t>1946-01-11</t>
        </is>
      </c>
    </row>
    <row r="16846">
      <c r="A16846" s="1" t="n">
        <v>16845</v>
      </c>
      <c r="B16846">
        <f>TEXT(16845, "[$-0E0000]yyyy-mm-dd")</f>
        <v/>
      </c>
      <c r="C16846" t="inlineStr">
        <is>
          <t>1946-01-12</t>
        </is>
      </c>
    </row>
    <row r="16847">
      <c r="A16847" s="1" t="n">
        <v>16846</v>
      </c>
      <c r="B16847">
        <f>TEXT(16846, "[$-0E0000]yyyy-mm-dd")</f>
        <v/>
      </c>
      <c r="C16847" t="inlineStr">
        <is>
          <t>1946-01-13</t>
        </is>
      </c>
    </row>
    <row r="16848">
      <c r="A16848" s="1" t="n">
        <v>16847</v>
      </c>
      <c r="B16848">
        <f>TEXT(16847, "[$-0E0000]yyyy-mm-dd")</f>
        <v/>
      </c>
      <c r="C16848" t="inlineStr">
        <is>
          <t>1946-01-14</t>
        </is>
      </c>
    </row>
    <row r="16849">
      <c r="A16849" s="1" t="n">
        <v>16848</v>
      </c>
      <c r="B16849">
        <f>TEXT(16848, "[$-0E0000]yyyy-mm-dd")</f>
        <v/>
      </c>
      <c r="C16849" t="inlineStr">
        <is>
          <t>1946-01-15</t>
        </is>
      </c>
    </row>
    <row r="16850">
      <c r="A16850" s="1" t="n">
        <v>16849</v>
      </c>
      <c r="B16850">
        <f>TEXT(16849, "[$-0E0000]yyyy-mm-dd")</f>
        <v/>
      </c>
      <c r="C16850" t="inlineStr">
        <is>
          <t>1946-01-16</t>
        </is>
      </c>
    </row>
    <row r="16851">
      <c r="A16851" s="1" t="n">
        <v>16850</v>
      </c>
      <c r="B16851">
        <f>TEXT(16850, "[$-0E0000]yyyy-mm-dd")</f>
        <v/>
      </c>
      <c r="C16851" t="inlineStr">
        <is>
          <t>1946-01-17</t>
        </is>
      </c>
    </row>
    <row r="16852">
      <c r="A16852" s="1" t="n">
        <v>16851</v>
      </c>
      <c r="B16852">
        <f>TEXT(16851, "[$-0E0000]yyyy-mm-dd")</f>
        <v/>
      </c>
      <c r="C16852" t="inlineStr">
        <is>
          <t>1946-01-18</t>
        </is>
      </c>
    </row>
    <row r="16853">
      <c r="A16853" s="1" t="n">
        <v>16852</v>
      </c>
      <c r="B16853">
        <f>TEXT(16852, "[$-0E0000]yyyy-mm-dd")</f>
        <v/>
      </c>
      <c r="C16853" t="inlineStr">
        <is>
          <t>1946-01-19</t>
        </is>
      </c>
    </row>
    <row r="16854">
      <c r="A16854" s="1" t="n">
        <v>16853</v>
      </c>
      <c r="B16854">
        <f>TEXT(16853, "[$-0E0000]yyyy-mm-dd")</f>
        <v/>
      </c>
      <c r="C16854" t="inlineStr">
        <is>
          <t>1946-01-20</t>
        </is>
      </c>
    </row>
    <row r="16855">
      <c r="A16855" s="1" t="n">
        <v>16854</v>
      </c>
      <c r="B16855">
        <f>TEXT(16854, "[$-0E0000]yyyy-mm-dd")</f>
        <v/>
      </c>
      <c r="C16855" t="inlineStr">
        <is>
          <t>1946-01-21</t>
        </is>
      </c>
    </row>
    <row r="16856">
      <c r="A16856" s="1" t="n">
        <v>16855</v>
      </c>
      <c r="B16856">
        <f>TEXT(16855, "[$-0E0000]yyyy-mm-dd")</f>
        <v/>
      </c>
      <c r="C16856" t="inlineStr">
        <is>
          <t>1946-01-22</t>
        </is>
      </c>
    </row>
    <row r="16857">
      <c r="A16857" s="1" t="n">
        <v>16856</v>
      </c>
      <c r="B16857">
        <f>TEXT(16856, "[$-0E0000]yyyy-mm-dd")</f>
        <v/>
      </c>
      <c r="C16857" t="inlineStr">
        <is>
          <t>1946-01-23</t>
        </is>
      </c>
    </row>
    <row r="16858">
      <c r="A16858" s="1" t="n">
        <v>16857</v>
      </c>
      <c r="B16858">
        <f>TEXT(16857, "[$-0E0000]yyyy-mm-dd")</f>
        <v/>
      </c>
      <c r="C16858" t="inlineStr">
        <is>
          <t>1946-01-24</t>
        </is>
      </c>
    </row>
    <row r="16859">
      <c r="A16859" s="1" t="n">
        <v>16858</v>
      </c>
      <c r="B16859">
        <f>TEXT(16858, "[$-0E0000]yyyy-mm-dd")</f>
        <v/>
      </c>
      <c r="C16859" t="inlineStr">
        <is>
          <t>1946-01-25</t>
        </is>
      </c>
    </row>
    <row r="16860">
      <c r="A16860" s="1" t="n">
        <v>16859</v>
      </c>
      <c r="B16860">
        <f>TEXT(16859, "[$-0E0000]yyyy-mm-dd")</f>
        <v/>
      </c>
      <c r="C16860" t="inlineStr">
        <is>
          <t>1946-01-26</t>
        </is>
      </c>
    </row>
    <row r="16861">
      <c r="A16861" s="1" t="n">
        <v>16860</v>
      </c>
      <c r="B16861">
        <f>TEXT(16860, "[$-0E0000]yyyy-mm-dd")</f>
        <v/>
      </c>
      <c r="C16861" t="inlineStr">
        <is>
          <t>1946-01-27</t>
        </is>
      </c>
    </row>
    <row r="16862">
      <c r="A16862" s="1" t="n">
        <v>16861</v>
      </c>
      <c r="B16862">
        <f>TEXT(16861, "[$-0E0000]yyyy-mm-dd")</f>
        <v/>
      </c>
      <c r="C16862" t="inlineStr">
        <is>
          <t>1946-01-28</t>
        </is>
      </c>
    </row>
    <row r="16863">
      <c r="A16863" s="1" t="n">
        <v>16862</v>
      </c>
      <c r="B16863">
        <f>TEXT(16862, "[$-0E0000]yyyy-mm-dd")</f>
        <v/>
      </c>
      <c r="C16863" t="inlineStr">
        <is>
          <t>1946-01-29</t>
        </is>
      </c>
    </row>
    <row r="16864">
      <c r="A16864" s="1" t="n">
        <v>16863</v>
      </c>
      <c r="B16864">
        <f>TEXT(16863, "[$-0E0000]yyyy-mm-dd")</f>
        <v/>
      </c>
      <c r="C16864" t="inlineStr">
        <is>
          <t>1946-01-30</t>
        </is>
      </c>
    </row>
    <row r="16865">
      <c r="A16865" s="1" t="n">
        <v>16864</v>
      </c>
      <c r="B16865">
        <f>TEXT(16864, "[$-0E0000]yyyy-mm-dd")</f>
        <v/>
      </c>
      <c r="C16865" t="inlineStr">
        <is>
          <t>1946-02-01</t>
        </is>
      </c>
    </row>
    <row r="16866">
      <c r="A16866" s="1" t="n">
        <v>16865</v>
      </c>
      <c r="B16866">
        <f>TEXT(16865, "[$-0E0000]yyyy-mm-dd")</f>
        <v/>
      </c>
      <c r="C16866" t="inlineStr">
        <is>
          <t>1946-02-02</t>
        </is>
      </c>
    </row>
    <row r="16867">
      <c r="A16867" s="1" t="n">
        <v>16866</v>
      </c>
      <c r="B16867">
        <f>TEXT(16866, "[$-0E0000]yyyy-mm-dd")</f>
        <v/>
      </c>
      <c r="C16867" t="inlineStr">
        <is>
          <t>1946-02-03</t>
        </is>
      </c>
    </row>
    <row r="16868">
      <c r="A16868" s="1" t="n">
        <v>16867</v>
      </c>
      <c r="B16868">
        <f>TEXT(16867, "[$-0E0000]yyyy-mm-dd")</f>
        <v/>
      </c>
      <c r="C16868" t="inlineStr">
        <is>
          <t>1946-02-04</t>
        </is>
      </c>
    </row>
    <row r="16869">
      <c r="A16869" s="1" t="n">
        <v>16868</v>
      </c>
      <c r="B16869">
        <f>TEXT(16868, "[$-0E0000]yyyy-mm-dd")</f>
        <v/>
      </c>
      <c r="C16869" t="inlineStr">
        <is>
          <t>1946-02-05</t>
        </is>
      </c>
    </row>
    <row r="16870">
      <c r="A16870" s="1" t="n">
        <v>16869</v>
      </c>
      <c r="B16870">
        <f>TEXT(16869, "[$-0E0000]yyyy-mm-dd")</f>
        <v/>
      </c>
      <c r="C16870" t="inlineStr">
        <is>
          <t>1946-02-06</t>
        </is>
      </c>
    </row>
    <row r="16871">
      <c r="A16871" s="1" t="n">
        <v>16870</v>
      </c>
      <c r="B16871">
        <f>TEXT(16870, "[$-0E0000]yyyy-mm-dd")</f>
        <v/>
      </c>
      <c r="C16871" t="inlineStr">
        <is>
          <t>1946-02-07</t>
        </is>
      </c>
    </row>
    <row r="16872">
      <c r="A16872" s="1" t="n">
        <v>16871</v>
      </c>
      <c r="B16872">
        <f>TEXT(16871, "[$-0E0000]yyyy-mm-dd")</f>
        <v/>
      </c>
      <c r="C16872" t="inlineStr">
        <is>
          <t>1946-02-08</t>
        </is>
      </c>
    </row>
    <row r="16873">
      <c r="A16873" s="1" t="n">
        <v>16872</v>
      </c>
      <c r="B16873">
        <f>TEXT(16872, "[$-0E0000]yyyy-mm-dd")</f>
        <v/>
      </c>
      <c r="C16873" t="inlineStr">
        <is>
          <t>1946-02-09</t>
        </is>
      </c>
    </row>
    <row r="16874">
      <c r="A16874" s="1" t="n">
        <v>16873</v>
      </c>
      <c r="B16874">
        <f>TEXT(16873, "[$-0E0000]yyyy-mm-dd")</f>
        <v/>
      </c>
      <c r="C16874" t="inlineStr">
        <is>
          <t>1946-02-10</t>
        </is>
      </c>
    </row>
    <row r="16875">
      <c r="A16875" s="1" t="n">
        <v>16874</v>
      </c>
      <c r="B16875">
        <f>TEXT(16874, "[$-0E0000]yyyy-mm-dd")</f>
        <v/>
      </c>
      <c r="C16875" t="inlineStr">
        <is>
          <t>1946-02-11</t>
        </is>
      </c>
    </row>
    <row r="16876">
      <c r="A16876" s="1" t="n">
        <v>16875</v>
      </c>
      <c r="B16876">
        <f>TEXT(16875, "[$-0E0000]yyyy-mm-dd")</f>
        <v/>
      </c>
      <c r="C16876" t="inlineStr">
        <is>
          <t>1946-02-12</t>
        </is>
      </c>
    </row>
    <row r="16877">
      <c r="A16877" s="1" t="n">
        <v>16876</v>
      </c>
      <c r="B16877">
        <f>TEXT(16876, "[$-0E0000]yyyy-mm-dd")</f>
        <v/>
      </c>
      <c r="C16877" t="inlineStr">
        <is>
          <t>1946-02-13</t>
        </is>
      </c>
    </row>
    <row r="16878">
      <c r="A16878" s="1" t="n">
        <v>16877</v>
      </c>
      <c r="B16878">
        <f>TEXT(16877, "[$-0E0000]yyyy-mm-dd")</f>
        <v/>
      </c>
      <c r="C16878" t="inlineStr">
        <is>
          <t>1946-02-14</t>
        </is>
      </c>
    </row>
    <row r="16879">
      <c r="A16879" s="1" t="n">
        <v>16878</v>
      </c>
      <c r="B16879">
        <f>TEXT(16878, "[$-0E0000]yyyy-mm-dd")</f>
        <v/>
      </c>
      <c r="C16879" t="inlineStr">
        <is>
          <t>1946-02-15</t>
        </is>
      </c>
    </row>
    <row r="16880">
      <c r="A16880" s="1" t="n">
        <v>16879</v>
      </c>
      <c r="B16880">
        <f>TEXT(16879, "[$-0E0000]yyyy-mm-dd")</f>
        <v/>
      </c>
      <c r="C16880" t="inlineStr">
        <is>
          <t>1946-02-16</t>
        </is>
      </c>
    </row>
    <row r="16881">
      <c r="A16881" s="1" t="n">
        <v>16880</v>
      </c>
      <c r="B16881">
        <f>TEXT(16880, "[$-0E0000]yyyy-mm-dd")</f>
        <v/>
      </c>
      <c r="C16881" t="inlineStr">
        <is>
          <t>1946-02-17</t>
        </is>
      </c>
    </row>
    <row r="16882">
      <c r="A16882" s="1" t="n">
        <v>16881</v>
      </c>
      <c r="B16882">
        <f>TEXT(16881, "[$-0E0000]yyyy-mm-dd")</f>
        <v/>
      </c>
      <c r="C16882" t="inlineStr">
        <is>
          <t>1946-02-18</t>
        </is>
      </c>
    </row>
    <row r="16883">
      <c r="A16883" s="1" t="n">
        <v>16882</v>
      </c>
      <c r="B16883">
        <f>TEXT(16882, "[$-0E0000]yyyy-mm-dd")</f>
        <v/>
      </c>
      <c r="C16883" t="inlineStr">
        <is>
          <t>1946-02-19</t>
        </is>
      </c>
    </row>
    <row r="16884">
      <c r="A16884" s="1" t="n">
        <v>16883</v>
      </c>
      <c r="B16884">
        <f>TEXT(16883, "[$-0E0000]yyyy-mm-dd")</f>
        <v/>
      </c>
      <c r="C16884" t="inlineStr">
        <is>
          <t>1946-02-20</t>
        </is>
      </c>
    </row>
    <row r="16885">
      <c r="A16885" s="1" t="n">
        <v>16884</v>
      </c>
      <c r="B16885">
        <f>TEXT(16884, "[$-0E0000]yyyy-mm-dd")</f>
        <v/>
      </c>
      <c r="C16885" t="inlineStr">
        <is>
          <t>1946-02-21</t>
        </is>
      </c>
    </row>
    <row r="16886">
      <c r="A16886" s="1" t="n">
        <v>16885</v>
      </c>
      <c r="B16886">
        <f>TEXT(16885, "[$-0E0000]yyyy-mm-dd")</f>
        <v/>
      </c>
      <c r="C16886" t="inlineStr">
        <is>
          <t>1946-02-22</t>
        </is>
      </c>
    </row>
    <row r="16887">
      <c r="A16887" s="1" t="n">
        <v>16886</v>
      </c>
      <c r="B16887">
        <f>TEXT(16886, "[$-0E0000]yyyy-mm-dd")</f>
        <v/>
      </c>
      <c r="C16887" t="inlineStr">
        <is>
          <t>1946-02-23</t>
        </is>
      </c>
    </row>
    <row r="16888">
      <c r="A16888" s="1" t="n">
        <v>16887</v>
      </c>
      <c r="B16888">
        <f>TEXT(16887, "[$-0E0000]yyyy-mm-dd")</f>
        <v/>
      </c>
      <c r="C16888" t="inlineStr">
        <is>
          <t>1946-02-24</t>
        </is>
      </c>
    </row>
    <row r="16889">
      <c r="A16889" s="1" t="n">
        <v>16888</v>
      </c>
      <c r="B16889">
        <f>TEXT(16888, "[$-0E0000]yyyy-mm-dd")</f>
        <v/>
      </c>
      <c r="C16889" t="inlineStr">
        <is>
          <t>1946-02-25</t>
        </is>
      </c>
    </row>
    <row r="16890">
      <c r="A16890" s="1" t="n">
        <v>16889</v>
      </c>
      <c r="B16890">
        <f>TEXT(16889, "[$-0E0000]yyyy-mm-dd")</f>
        <v/>
      </c>
      <c r="C16890" t="inlineStr">
        <is>
          <t>1946-02-26</t>
        </is>
      </c>
    </row>
    <row r="16891">
      <c r="A16891" s="1" t="n">
        <v>16890</v>
      </c>
      <c r="B16891">
        <f>TEXT(16890, "[$-0E0000]yyyy-mm-dd")</f>
        <v/>
      </c>
      <c r="C16891" t="inlineStr">
        <is>
          <t>1946-02-27</t>
        </is>
      </c>
    </row>
    <row r="16892">
      <c r="A16892" s="1" t="n">
        <v>16891</v>
      </c>
      <c r="B16892">
        <f>TEXT(16891, "[$-0E0000]yyyy-mm-dd")</f>
        <v/>
      </c>
      <c r="C16892" t="inlineStr">
        <is>
          <t>1946-02-28</t>
        </is>
      </c>
    </row>
    <row r="16893">
      <c r="A16893" s="1" t="n">
        <v>16892</v>
      </c>
      <c r="B16893">
        <f>TEXT(16892, "[$-0E0000]yyyy-mm-dd")</f>
        <v/>
      </c>
      <c r="C16893" t="inlineStr">
        <is>
          <t>1946-02-29</t>
        </is>
      </c>
    </row>
    <row r="16894">
      <c r="A16894" s="1" t="n">
        <v>16893</v>
      </c>
      <c r="B16894">
        <f>TEXT(16893, "[$-0E0000]yyyy-mm-dd")</f>
        <v/>
      </c>
      <c r="C16894" t="inlineStr">
        <is>
          <t>1946-03-01</t>
        </is>
      </c>
    </row>
    <row r="16895">
      <c r="A16895" s="1" t="n">
        <v>16894</v>
      </c>
      <c r="B16895">
        <f>TEXT(16894, "[$-0E0000]yyyy-mm-dd")</f>
        <v/>
      </c>
      <c r="C16895" t="inlineStr">
        <is>
          <t>1946-03-02</t>
        </is>
      </c>
    </row>
    <row r="16896">
      <c r="A16896" s="1" t="n">
        <v>16895</v>
      </c>
      <c r="B16896">
        <f>TEXT(16895, "[$-0E0000]yyyy-mm-dd")</f>
        <v/>
      </c>
      <c r="C16896" t="inlineStr">
        <is>
          <t>1946-03-03</t>
        </is>
      </c>
    </row>
    <row r="16897">
      <c r="A16897" s="1" t="n">
        <v>16896</v>
      </c>
      <c r="B16897">
        <f>TEXT(16896, "[$-0E0000]yyyy-mm-dd")</f>
        <v/>
      </c>
      <c r="C16897" t="inlineStr">
        <is>
          <t>1946-03-04</t>
        </is>
      </c>
    </row>
    <row r="16898">
      <c r="A16898" s="1" t="n">
        <v>16897</v>
      </c>
      <c r="B16898">
        <f>TEXT(16897, "[$-0E0000]yyyy-mm-dd")</f>
        <v/>
      </c>
      <c r="C16898" t="inlineStr">
        <is>
          <t>1946-03-05</t>
        </is>
      </c>
    </row>
    <row r="16899">
      <c r="A16899" s="1" t="n">
        <v>16898</v>
      </c>
      <c r="B16899">
        <f>TEXT(16898, "[$-0E0000]yyyy-mm-dd")</f>
        <v/>
      </c>
      <c r="C16899" t="inlineStr">
        <is>
          <t>1946-03-06</t>
        </is>
      </c>
    </row>
    <row r="16900">
      <c r="A16900" s="1" t="n">
        <v>16899</v>
      </c>
      <c r="B16900">
        <f>TEXT(16899, "[$-0E0000]yyyy-mm-dd")</f>
        <v/>
      </c>
      <c r="C16900" t="inlineStr">
        <is>
          <t>1946-03-07</t>
        </is>
      </c>
    </row>
    <row r="16901">
      <c r="A16901" s="1" t="n">
        <v>16900</v>
      </c>
      <c r="B16901">
        <f>TEXT(16900, "[$-0E0000]yyyy-mm-dd")</f>
        <v/>
      </c>
      <c r="C16901" t="inlineStr">
        <is>
          <t>1946-03-08</t>
        </is>
      </c>
    </row>
    <row r="16902">
      <c r="A16902" s="1" t="n">
        <v>16901</v>
      </c>
      <c r="B16902">
        <f>TEXT(16901, "[$-0E0000]yyyy-mm-dd")</f>
        <v/>
      </c>
      <c r="C16902" t="inlineStr">
        <is>
          <t>1946-03-09</t>
        </is>
      </c>
    </row>
    <row r="16903">
      <c r="A16903" s="1" t="n">
        <v>16902</v>
      </c>
      <c r="B16903">
        <f>TEXT(16902, "[$-0E0000]yyyy-mm-dd")</f>
        <v/>
      </c>
      <c r="C16903" t="inlineStr">
        <is>
          <t>1946-03-10</t>
        </is>
      </c>
    </row>
    <row r="16904">
      <c r="A16904" s="1" t="n">
        <v>16903</v>
      </c>
      <c r="B16904">
        <f>TEXT(16903, "[$-0E0000]yyyy-mm-dd")</f>
        <v/>
      </c>
      <c r="C16904" t="inlineStr">
        <is>
          <t>1946-03-11</t>
        </is>
      </c>
    </row>
    <row r="16905">
      <c r="A16905" s="1" t="n">
        <v>16904</v>
      </c>
      <c r="B16905">
        <f>TEXT(16904, "[$-0E0000]yyyy-mm-dd")</f>
        <v/>
      </c>
      <c r="C16905" t="inlineStr">
        <is>
          <t>1946-03-12</t>
        </is>
      </c>
    </row>
    <row r="16906">
      <c r="A16906" s="1" t="n">
        <v>16905</v>
      </c>
      <c r="B16906">
        <f>TEXT(16905, "[$-0E0000]yyyy-mm-dd")</f>
        <v/>
      </c>
      <c r="C16906" t="inlineStr">
        <is>
          <t>1946-03-13</t>
        </is>
      </c>
    </row>
    <row r="16907">
      <c r="A16907" s="1" t="n">
        <v>16906</v>
      </c>
      <c r="B16907">
        <f>TEXT(16906, "[$-0E0000]yyyy-mm-dd")</f>
        <v/>
      </c>
      <c r="C16907" t="inlineStr">
        <is>
          <t>1946-03-14</t>
        </is>
      </c>
    </row>
    <row r="16908">
      <c r="A16908" s="1" t="n">
        <v>16907</v>
      </c>
      <c r="B16908">
        <f>TEXT(16907, "[$-0E0000]yyyy-mm-dd")</f>
        <v/>
      </c>
      <c r="C16908" t="inlineStr">
        <is>
          <t>1946-03-15</t>
        </is>
      </c>
    </row>
    <row r="16909">
      <c r="A16909" s="1" t="n">
        <v>16908</v>
      </c>
      <c r="B16909">
        <f>TEXT(16908, "[$-0E0000]yyyy-mm-dd")</f>
        <v/>
      </c>
      <c r="C16909" t="inlineStr">
        <is>
          <t>1946-03-16</t>
        </is>
      </c>
    </row>
    <row r="16910">
      <c r="A16910" s="1" t="n">
        <v>16909</v>
      </c>
      <c r="B16910">
        <f>TEXT(16909, "[$-0E0000]yyyy-mm-dd")</f>
        <v/>
      </c>
      <c r="C16910" t="inlineStr">
        <is>
          <t>1946-03-17</t>
        </is>
      </c>
    </row>
    <row r="16911">
      <c r="A16911" s="1" t="n">
        <v>16910</v>
      </c>
      <c r="B16911">
        <f>TEXT(16910, "[$-0E0000]yyyy-mm-dd")</f>
        <v/>
      </c>
      <c r="C16911" t="inlineStr">
        <is>
          <t>1946-03-18</t>
        </is>
      </c>
    </row>
    <row r="16912">
      <c r="A16912" s="1" t="n">
        <v>16911</v>
      </c>
      <c r="B16912">
        <f>TEXT(16911, "[$-0E0000]yyyy-mm-dd")</f>
        <v/>
      </c>
      <c r="C16912" t="inlineStr">
        <is>
          <t>1946-03-19</t>
        </is>
      </c>
    </row>
    <row r="16913">
      <c r="A16913" s="1" t="n">
        <v>16912</v>
      </c>
      <c r="B16913">
        <f>TEXT(16912, "[$-0E0000]yyyy-mm-dd")</f>
        <v/>
      </c>
      <c r="C16913" t="inlineStr">
        <is>
          <t>1946-03-20</t>
        </is>
      </c>
    </row>
    <row r="16914">
      <c r="A16914" s="1" t="n">
        <v>16913</v>
      </c>
      <c r="B16914">
        <f>TEXT(16913, "[$-0E0000]yyyy-mm-dd")</f>
        <v/>
      </c>
      <c r="C16914" t="inlineStr">
        <is>
          <t>1946-03-21</t>
        </is>
      </c>
    </row>
    <row r="16915">
      <c r="A16915" s="1" t="n">
        <v>16914</v>
      </c>
      <c r="B16915">
        <f>TEXT(16914, "[$-0E0000]yyyy-mm-dd")</f>
        <v/>
      </c>
      <c r="C16915" t="inlineStr">
        <is>
          <t>1946-03-22</t>
        </is>
      </c>
    </row>
    <row r="16916">
      <c r="A16916" s="1" t="n">
        <v>16915</v>
      </c>
      <c r="B16916">
        <f>TEXT(16915, "[$-0E0000]yyyy-mm-dd")</f>
        <v/>
      </c>
      <c r="C16916" t="inlineStr">
        <is>
          <t>1946-03-23</t>
        </is>
      </c>
    </row>
    <row r="16917">
      <c r="A16917" s="1" t="n">
        <v>16916</v>
      </c>
      <c r="B16917">
        <f>TEXT(16916, "[$-0E0000]yyyy-mm-dd")</f>
        <v/>
      </c>
      <c r="C16917" t="inlineStr">
        <is>
          <t>1946-03-24</t>
        </is>
      </c>
    </row>
    <row r="16918">
      <c r="A16918" s="1" t="n">
        <v>16917</v>
      </c>
      <c r="B16918">
        <f>TEXT(16917, "[$-0E0000]yyyy-mm-dd")</f>
        <v/>
      </c>
      <c r="C16918" t="inlineStr">
        <is>
          <t>1946-03-25</t>
        </is>
      </c>
    </row>
    <row r="16919">
      <c r="A16919" s="1" t="n">
        <v>16918</v>
      </c>
      <c r="B16919">
        <f>TEXT(16918, "[$-0E0000]yyyy-mm-dd")</f>
        <v/>
      </c>
      <c r="C16919" t="inlineStr">
        <is>
          <t>1946-03-26</t>
        </is>
      </c>
    </row>
    <row r="16920">
      <c r="A16920" s="1" t="n">
        <v>16919</v>
      </c>
      <c r="B16920">
        <f>TEXT(16919, "[$-0E0000]yyyy-mm-dd")</f>
        <v/>
      </c>
      <c r="C16920" t="inlineStr">
        <is>
          <t>1946-03-27</t>
        </is>
      </c>
    </row>
    <row r="16921">
      <c r="A16921" s="1" t="n">
        <v>16920</v>
      </c>
      <c r="B16921">
        <f>TEXT(16920, "[$-0E0000]yyyy-mm-dd")</f>
        <v/>
      </c>
      <c r="C16921" t="inlineStr">
        <is>
          <t>1946-03-28</t>
        </is>
      </c>
    </row>
    <row r="16922">
      <c r="A16922" s="1" t="n">
        <v>16921</v>
      </c>
      <c r="B16922">
        <f>TEXT(16921, "[$-0E0000]yyyy-mm-dd")</f>
        <v/>
      </c>
      <c r="C16922" t="inlineStr">
        <is>
          <t>1946-03-29</t>
        </is>
      </c>
    </row>
    <row r="16923">
      <c r="A16923" s="1" t="n">
        <v>16922</v>
      </c>
      <c r="B16923">
        <f>TEXT(16922, "[$-0E0000]yyyy-mm-dd")</f>
        <v/>
      </c>
      <c r="C16923" t="inlineStr">
        <is>
          <t>1946-04-01</t>
        </is>
      </c>
    </row>
    <row r="16924">
      <c r="A16924" s="1" t="n">
        <v>16923</v>
      </c>
      <c r="B16924">
        <f>TEXT(16923, "[$-0E0000]yyyy-mm-dd")</f>
        <v/>
      </c>
      <c r="C16924" t="inlineStr">
        <is>
          <t>1946-04-02</t>
        </is>
      </c>
    </row>
    <row r="16925">
      <c r="A16925" s="1" t="n">
        <v>16924</v>
      </c>
      <c r="B16925">
        <f>TEXT(16924, "[$-0E0000]yyyy-mm-dd")</f>
        <v/>
      </c>
      <c r="C16925" t="inlineStr">
        <is>
          <t>1946-04-03</t>
        </is>
      </c>
    </row>
    <row r="16926">
      <c r="A16926" s="1" t="n">
        <v>16925</v>
      </c>
      <c r="B16926">
        <f>TEXT(16925, "[$-0E0000]yyyy-mm-dd")</f>
        <v/>
      </c>
      <c r="C16926" t="inlineStr">
        <is>
          <t>1946-04-04</t>
        </is>
      </c>
    </row>
    <row r="16927">
      <c r="A16927" s="1" t="n">
        <v>16926</v>
      </c>
      <c r="B16927">
        <f>TEXT(16926, "[$-0E0000]yyyy-mm-dd")</f>
        <v/>
      </c>
      <c r="C16927" t="inlineStr">
        <is>
          <t>1946-04-05</t>
        </is>
      </c>
    </row>
    <row r="16928">
      <c r="A16928" s="1" t="n">
        <v>16927</v>
      </c>
      <c r="B16928">
        <f>TEXT(16927, "[$-0E0000]yyyy-mm-dd")</f>
        <v/>
      </c>
      <c r="C16928" t="inlineStr">
        <is>
          <t>1946-04-06</t>
        </is>
      </c>
    </row>
    <row r="16929">
      <c r="A16929" s="1" t="n">
        <v>16928</v>
      </c>
      <c r="B16929">
        <f>TEXT(16928, "[$-0E0000]yyyy-mm-dd")</f>
        <v/>
      </c>
      <c r="C16929" t="inlineStr">
        <is>
          <t>1946-04-07</t>
        </is>
      </c>
    </row>
    <row r="16930">
      <c r="A16930" s="1" t="n">
        <v>16929</v>
      </c>
      <c r="B16930">
        <f>TEXT(16929, "[$-0E0000]yyyy-mm-dd")</f>
        <v/>
      </c>
      <c r="C16930" t="inlineStr">
        <is>
          <t>1946-04-08</t>
        </is>
      </c>
    </row>
    <row r="16931">
      <c r="A16931" s="1" t="n">
        <v>16930</v>
      </c>
      <c r="B16931">
        <f>TEXT(16930, "[$-0E0000]yyyy-mm-dd")</f>
        <v/>
      </c>
      <c r="C16931" t="inlineStr">
        <is>
          <t>1946-04-09</t>
        </is>
      </c>
    </row>
    <row r="16932">
      <c r="A16932" s="1" t="n">
        <v>16931</v>
      </c>
      <c r="B16932">
        <f>TEXT(16931, "[$-0E0000]yyyy-mm-dd")</f>
        <v/>
      </c>
      <c r="C16932" t="inlineStr">
        <is>
          <t>1946-04-10</t>
        </is>
      </c>
    </row>
    <row r="16933">
      <c r="A16933" s="1" t="n">
        <v>16932</v>
      </c>
      <c r="B16933">
        <f>TEXT(16932, "[$-0E0000]yyyy-mm-dd")</f>
        <v/>
      </c>
      <c r="C16933" t="inlineStr">
        <is>
          <t>1946-04-11</t>
        </is>
      </c>
    </row>
    <row r="16934">
      <c r="A16934" s="1" t="n">
        <v>16933</v>
      </c>
      <c r="B16934">
        <f>TEXT(16933, "[$-0E0000]yyyy-mm-dd")</f>
        <v/>
      </c>
      <c r="C16934" t="inlineStr">
        <is>
          <t>1946-04-12</t>
        </is>
      </c>
    </row>
    <row r="16935">
      <c r="A16935" s="1" t="n">
        <v>16934</v>
      </c>
      <c r="B16935">
        <f>TEXT(16934, "[$-0E0000]yyyy-mm-dd")</f>
        <v/>
      </c>
      <c r="C16935" t="inlineStr">
        <is>
          <t>1946-04-13</t>
        </is>
      </c>
    </row>
    <row r="16936">
      <c r="A16936" s="1" t="n">
        <v>16935</v>
      </c>
      <c r="B16936">
        <f>TEXT(16935, "[$-0E0000]yyyy-mm-dd")</f>
        <v/>
      </c>
      <c r="C16936" t="inlineStr">
        <is>
          <t>1946-04-14</t>
        </is>
      </c>
    </row>
    <row r="16937">
      <c r="A16937" s="1" t="n">
        <v>16936</v>
      </c>
      <c r="B16937">
        <f>TEXT(16936, "[$-0E0000]yyyy-mm-dd")</f>
        <v/>
      </c>
      <c r="C16937" t="inlineStr">
        <is>
          <t>1946-04-15</t>
        </is>
      </c>
    </row>
    <row r="16938">
      <c r="A16938" s="1" t="n">
        <v>16937</v>
      </c>
      <c r="B16938">
        <f>TEXT(16937, "[$-0E0000]yyyy-mm-dd")</f>
        <v/>
      </c>
      <c r="C16938" t="inlineStr">
        <is>
          <t>1946-04-16</t>
        </is>
      </c>
    </row>
    <row r="16939">
      <c r="A16939" s="1" t="n">
        <v>16938</v>
      </c>
      <c r="B16939">
        <f>TEXT(16938, "[$-0E0000]yyyy-mm-dd")</f>
        <v/>
      </c>
      <c r="C16939" t="inlineStr">
        <is>
          <t>1946-04-17</t>
        </is>
      </c>
    </row>
    <row r="16940">
      <c r="A16940" s="1" t="n">
        <v>16939</v>
      </c>
      <c r="B16940">
        <f>TEXT(16939, "[$-0E0000]yyyy-mm-dd")</f>
        <v/>
      </c>
      <c r="C16940" t="inlineStr">
        <is>
          <t>1946-04-18</t>
        </is>
      </c>
    </row>
    <row r="16941">
      <c r="A16941" s="1" t="n">
        <v>16940</v>
      </c>
      <c r="B16941">
        <f>TEXT(16940, "[$-0E0000]yyyy-mm-dd")</f>
        <v/>
      </c>
      <c r="C16941" t="inlineStr">
        <is>
          <t>1946-04-19</t>
        </is>
      </c>
    </row>
    <row r="16942">
      <c r="A16942" s="1" t="n">
        <v>16941</v>
      </c>
      <c r="B16942">
        <f>TEXT(16941, "[$-0E0000]yyyy-mm-dd")</f>
        <v/>
      </c>
      <c r="C16942" t="inlineStr">
        <is>
          <t>1946-04-20</t>
        </is>
      </c>
    </row>
    <row r="16943">
      <c r="A16943" s="1" t="n">
        <v>16942</v>
      </c>
      <c r="B16943">
        <f>TEXT(16942, "[$-0E0000]yyyy-mm-dd")</f>
        <v/>
      </c>
      <c r="C16943" t="inlineStr">
        <is>
          <t>1946-04-21</t>
        </is>
      </c>
    </row>
    <row r="16944">
      <c r="A16944" s="1" t="n">
        <v>16943</v>
      </c>
      <c r="B16944">
        <f>TEXT(16943, "[$-0E0000]yyyy-mm-dd")</f>
        <v/>
      </c>
      <c r="C16944" t="inlineStr">
        <is>
          <t>1946-04-22</t>
        </is>
      </c>
    </row>
    <row r="16945">
      <c r="A16945" s="1" t="n">
        <v>16944</v>
      </c>
      <c r="B16945">
        <f>TEXT(16944, "[$-0E0000]yyyy-mm-dd")</f>
        <v/>
      </c>
      <c r="C16945" t="inlineStr">
        <is>
          <t>1946-04-23</t>
        </is>
      </c>
    </row>
    <row r="16946">
      <c r="A16946" s="1" t="n">
        <v>16945</v>
      </c>
      <c r="B16946">
        <f>TEXT(16945, "[$-0E0000]yyyy-mm-dd")</f>
        <v/>
      </c>
      <c r="C16946" t="inlineStr">
        <is>
          <t>1946-04-24</t>
        </is>
      </c>
    </row>
    <row r="16947">
      <c r="A16947" s="1" t="n">
        <v>16946</v>
      </c>
      <c r="B16947">
        <f>TEXT(16946, "[$-0E0000]yyyy-mm-dd")</f>
        <v/>
      </c>
      <c r="C16947" t="inlineStr">
        <is>
          <t>1946-04-25</t>
        </is>
      </c>
    </row>
    <row r="16948">
      <c r="A16948" s="1" t="n">
        <v>16947</v>
      </c>
      <c r="B16948">
        <f>TEXT(16947, "[$-0E0000]yyyy-mm-dd")</f>
        <v/>
      </c>
      <c r="C16948" t="inlineStr">
        <is>
          <t>1946-04-26</t>
        </is>
      </c>
    </row>
    <row r="16949">
      <c r="A16949" s="1" t="n">
        <v>16948</v>
      </c>
      <c r="B16949">
        <f>TEXT(16948, "[$-0E0000]yyyy-mm-dd")</f>
        <v/>
      </c>
      <c r="C16949" t="inlineStr">
        <is>
          <t>1946-04-27</t>
        </is>
      </c>
    </row>
    <row r="16950">
      <c r="A16950" s="1" t="n">
        <v>16949</v>
      </c>
      <c r="B16950">
        <f>TEXT(16949, "[$-0E0000]yyyy-mm-dd")</f>
        <v/>
      </c>
      <c r="C16950" t="inlineStr">
        <is>
          <t>1946-04-28</t>
        </is>
      </c>
    </row>
    <row r="16951">
      <c r="A16951" s="1" t="n">
        <v>16950</v>
      </c>
      <c r="B16951">
        <f>TEXT(16950, "[$-0E0000]yyyy-mm-dd")</f>
        <v/>
      </c>
      <c r="C16951" t="inlineStr">
        <is>
          <t>1946-04-29</t>
        </is>
      </c>
    </row>
    <row r="16952">
      <c r="A16952" s="1" t="n">
        <v>16951</v>
      </c>
      <c r="B16952">
        <f>TEXT(16951, "[$-0E0000]yyyy-mm-dd")</f>
        <v/>
      </c>
      <c r="C16952" t="inlineStr">
        <is>
          <t>1946-04-30</t>
        </is>
      </c>
    </row>
    <row r="16953">
      <c r="A16953" s="1" t="n">
        <v>16952</v>
      </c>
      <c r="B16953">
        <f>TEXT(16952, "[$-0E0000]yyyy-mm-dd")</f>
        <v/>
      </c>
      <c r="C16953" t="inlineStr">
        <is>
          <t>1946-05-01</t>
        </is>
      </c>
    </row>
    <row r="16954">
      <c r="A16954" s="1" t="n">
        <v>16953</v>
      </c>
      <c r="B16954">
        <f>TEXT(16953, "[$-0E0000]yyyy-mm-dd")</f>
        <v/>
      </c>
      <c r="C16954" t="inlineStr">
        <is>
          <t>1946-05-02</t>
        </is>
      </c>
    </row>
    <row r="16955">
      <c r="A16955" s="1" t="n">
        <v>16954</v>
      </c>
      <c r="B16955">
        <f>TEXT(16954, "[$-0E0000]yyyy-mm-dd")</f>
        <v/>
      </c>
      <c r="C16955" t="inlineStr">
        <is>
          <t>1946-05-03</t>
        </is>
      </c>
    </row>
    <row r="16956">
      <c r="A16956" s="1" t="n">
        <v>16955</v>
      </c>
      <c r="B16956">
        <f>TEXT(16955, "[$-0E0000]yyyy-mm-dd")</f>
        <v/>
      </c>
      <c r="C16956" t="inlineStr">
        <is>
          <t>1946-05-04</t>
        </is>
      </c>
    </row>
    <row r="16957">
      <c r="A16957" s="1" t="n">
        <v>16956</v>
      </c>
      <c r="B16957">
        <f>TEXT(16956, "[$-0E0000]yyyy-mm-dd")</f>
        <v/>
      </c>
      <c r="C16957" t="inlineStr">
        <is>
          <t>1946-05-05</t>
        </is>
      </c>
    </row>
    <row r="16958">
      <c r="A16958" s="1" t="n">
        <v>16957</v>
      </c>
      <c r="B16958">
        <f>TEXT(16957, "[$-0E0000]yyyy-mm-dd")</f>
        <v/>
      </c>
      <c r="C16958" t="inlineStr">
        <is>
          <t>1946-05-06</t>
        </is>
      </c>
    </row>
    <row r="16959">
      <c r="A16959" s="1" t="n">
        <v>16958</v>
      </c>
      <c r="B16959">
        <f>TEXT(16958, "[$-0E0000]yyyy-mm-dd")</f>
        <v/>
      </c>
      <c r="C16959" t="inlineStr">
        <is>
          <t>1946-05-07</t>
        </is>
      </c>
    </row>
    <row r="16960">
      <c r="A16960" s="1" t="n">
        <v>16959</v>
      </c>
      <c r="B16960">
        <f>TEXT(16959, "[$-0E0000]yyyy-mm-dd")</f>
        <v/>
      </c>
      <c r="C16960" t="inlineStr">
        <is>
          <t>1946-05-08</t>
        </is>
      </c>
    </row>
    <row r="16961">
      <c r="A16961" s="1" t="n">
        <v>16960</v>
      </c>
      <c r="B16961">
        <f>TEXT(16960, "[$-0E0000]yyyy-mm-dd")</f>
        <v/>
      </c>
      <c r="C16961" t="inlineStr">
        <is>
          <t>1946-05-09</t>
        </is>
      </c>
    </row>
    <row r="16962">
      <c r="A16962" s="1" t="n">
        <v>16961</v>
      </c>
      <c r="B16962">
        <f>TEXT(16961, "[$-0E0000]yyyy-mm-dd")</f>
        <v/>
      </c>
      <c r="C16962" t="inlineStr">
        <is>
          <t>1946-05-10</t>
        </is>
      </c>
    </row>
    <row r="16963">
      <c r="A16963" s="1" t="n">
        <v>16962</v>
      </c>
      <c r="B16963">
        <f>TEXT(16962, "[$-0E0000]yyyy-mm-dd")</f>
        <v/>
      </c>
      <c r="C16963" t="inlineStr">
        <is>
          <t>1946-05-11</t>
        </is>
      </c>
    </row>
    <row r="16964">
      <c r="A16964" s="1" t="n">
        <v>16963</v>
      </c>
      <c r="B16964">
        <f>TEXT(16963, "[$-0E0000]yyyy-mm-dd")</f>
        <v/>
      </c>
      <c r="C16964" t="inlineStr">
        <is>
          <t>1946-05-12</t>
        </is>
      </c>
    </row>
    <row r="16965">
      <c r="A16965" s="1" t="n">
        <v>16964</v>
      </c>
      <c r="B16965">
        <f>TEXT(16964, "[$-0E0000]yyyy-mm-dd")</f>
        <v/>
      </c>
      <c r="C16965" t="inlineStr">
        <is>
          <t>1946-05-13</t>
        </is>
      </c>
    </row>
    <row r="16966">
      <c r="A16966" s="1" t="n">
        <v>16965</v>
      </c>
      <c r="B16966">
        <f>TEXT(16965, "[$-0E0000]yyyy-mm-dd")</f>
        <v/>
      </c>
      <c r="C16966" t="inlineStr">
        <is>
          <t>1946-05-14</t>
        </is>
      </c>
    </row>
    <row r="16967">
      <c r="A16967" s="1" t="n">
        <v>16966</v>
      </c>
      <c r="B16967">
        <f>TEXT(16966, "[$-0E0000]yyyy-mm-dd")</f>
        <v/>
      </c>
      <c r="C16967" t="inlineStr">
        <is>
          <t>1946-05-15</t>
        </is>
      </c>
    </row>
    <row r="16968">
      <c r="A16968" s="1" t="n">
        <v>16967</v>
      </c>
      <c r="B16968">
        <f>TEXT(16967, "[$-0E0000]yyyy-mm-dd")</f>
        <v/>
      </c>
      <c r="C16968" t="inlineStr">
        <is>
          <t>1946-05-16</t>
        </is>
      </c>
    </row>
    <row r="16969">
      <c r="A16969" s="1" t="n">
        <v>16968</v>
      </c>
      <c r="B16969">
        <f>TEXT(16968, "[$-0E0000]yyyy-mm-dd")</f>
        <v/>
      </c>
      <c r="C16969" t="inlineStr">
        <is>
          <t>1946-05-17</t>
        </is>
      </c>
    </row>
    <row r="16970">
      <c r="A16970" s="1" t="n">
        <v>16969</v>
      </c>
      <c r="B16970">
        <f>TEXT(16969, "[$-0E0000]yyyy-mm-dd")</f>
        <v/>
      </c>
      <c r="C16970" t="inlineStr">
        <is>
          <t>1946-05-18</t>
        </is>
      </c>
    </row>
    <row r="16971">
      <c r="A16971" s="1" t="n">
        <v>16970</v>
      </c>
      <c r="B16971">
        <f>TEXT(16970, "[$-0E0000]yyyy-mm-dd")</f>
        <v/>
      </c>
      <c r="C16971" t="inlineStr">
        <is>
          <t>1946-05-19</t>
        </is>
      </c>
    </row>
    <row r="16972">
      <c r="A16972" s="1" t="n">
        <v>16971</v>
      </c>
      <c r="B16972">
        <f>TEXT(16971, "[$-0E0000]yyyy-mm-dd")</f>
        <v/>
      </c>
      <c r="C16972" t="inlineStr">
        <is>
          <t>1946-05-20</t>
        </is>
      </c>
    </row>
    <row r="16973">
      <c r="A16973" s="1" t="n">
        <v>16972</v>
      </c>
      <c r="B16973">
        <f>TEXT(16972, "[$-0E0000]yyyy-mm-dd")</f>
        <v/>
      </c>
      <c r="C16973" t="inlineStr">
        <is>
          <t>1946-05-21</t>
        </is>
      </c>
    </row>
    <row r="16974">
      <c r="A16974" s="1" t="n">
        <v>16973</v>
      </c>
      <c r="B16974">
        <f>TEXT(16973, "[$-0E0000]yyyy-mm-dd")</f>
        <v/>
      </c>
      <c r="C16974" t="inlineStr">
        <is>
          <t>1946-05-22</t>
        </is>
      </c>
    </row>
    <row r="16975">
      <c r="A16975" s="1" t="n">
        <v>16974</v>
      </c>
      <c r="B16975">
        <f>TEXT(16974, "[$-0E0000]yyyy-mm-dd")</f>
        <v/>
      </c>
      <c r="C16975" t="inlineStr">
        <is>
          <t>1946-05-23</t>
        </is>
      </c>
    </row>
    <row r="16976">
      <c r="A16976" s="1" t="n">
        <v>16975</v>
      </c>
      <c r="B16976">
        <f>TEXT(16975, "[$-0E0000]yyyy-mm-dd")</f>
        <v/>
      </c>
      <c r="C16976" t="inlineStr">
        <is>
          <t>1946-05-24</t>
        </is>
      </c>
    </row>
    <row r="16977">
      <c r="A16977" s="1" t="n">
        <v>16976</v>
      </c>
      <c r="B16977">
        <f>TEXT(16976, "[$-0E0000]yyyy-mm-dd")</f>
        <v/>
      </c>
      <c r="C16977" t="inlineStr">
        <is>
          <t>1946-05-25</t>
        </is>
      </c>
    </row>
    <row r="16978">
      <c r="A16978" s="1" t="n">
        <v>16977</v>
      </c>
      <c r="B16978">
        <f>TEXT(16977, "[$-0E0000]yyyy-mm-dd")</f>
        <v/>
      </c>
      <c r="C16978" t="inlineStr">
        <is>
          <t>1946-05-26</t>
        </is>
      </c>
    </row>
    <row r="16979">
      <c r="A16979" s="1" t="n">
        <v>16978</v>
      </c>
      <c r="B16979">
        <f>TEXT(16978, "[$-0E0000]yyyy-mm-dd")</f>
        <v/>
      </c>
      <c r="C16979" t="inlineStr">
        <is>
          <t>1946-05-27</t>
        </is>
      </c>
    </row>
    <row r="16980">
      <c r="A16980" s="1" t="n">
        <v>16979</v>
      </c>
      <c r="B16980">
        <f>TEXT(16979, "[$-0E0000]yyyy-mm-dd")</f>
        <v/>
      </c>
      <c r="C16980" t="inlineStr">
        <is>
          <t>1946-05-28</t>
        </is>
      </c>
    </row>
    <row r="16981">
      <c r="A16981" s="1" t="n">
        <v>16980</v>
      </c>
      <c r="B16981">
        <f>TEXT(16980, "[$-0E0000]yyyy-mm-dd")</f>
        <v/>
      </c>
      <c r="C16981" t="inlineStr">
        <is>
          <t>1946-05-29</t>
        </is>
      </c>
    </row>
    <row r="16982">
      <c r="A16982" s="1" t="n">
        <v>16981</v>
      </c>
      <c r="B16982">
        <f>TEXT(16981, "[$-0E0000]yyyy-mm-dd")</f>
        <v/>
      </c>
      <c r="C16982" t="inlineStr">
        <is>
          <t>1946-06-01</t>
        </is>
      </c>
    </row>
    <row r="16983">
      <c r="A16983" s="1" t="n">
        <v>16982</v>
      </c>
      <c r="B16983">
        <f>TEXT(16982, "[$-0E0000]yyyy-mm-dd")</f>
        <v/>
      </c>
      <c r="C16983" t="inlineStr">
        <is>
          <t>1946-06-02</t>
        </is>
      </c>
    </row>
    <row r="16984">
      <c r="A16984" s="1" t="n">
        <v>16983</v>
      </c>
      <c r="B16984">
        <f>TEXT(16983, "[$-0E0000]yyyy-mm-dd")</f>
        <v/>
      </c>
      <c r="C16984" t="inlineStr">
        <is>
          <t>1946-06-03</t>
        </is>
      </c>
    </row>
    <row r="16985">
      <c r="A16985" s="1" t="n">
        <v>16984</v>
      </c>
      <c r="B16985">
        <f>TEXT(16984, "[$-0E0000]yyyy-mm-dd")</f>
        <v/>
      </c>
      <c r="C16985" t="inlineStr">
        <is>
          <t>1946-06-04</t>
        </is>
      </c>
    </row>
    <row r="16986">
      <c r="A16986" s="1" t="n">
        <v>16985</v>
      </c>
      <c r="B16986">
        <f>TEXT(16985, "[$-0E0000]yyyy-mm-dd")</f>
        <v/>
      </c>
      <c r="C16986" t="inlineStr">
        <is>
          <t>1946-06-05</t>
        </is>
      </c>
    </row>
    <row r="16987">
      <c r="A16987" s="1" t="n">
        <v>16986</v>
      </c>
      <c r="B16987">
        <f>TEXT(16986, "[$-0E0000]yyyy-mm-dd")</f>
        <v/>
      </c>
      <c r="C16987" t="inlineStr">
        <is>
          <t>1946-06-06</t>
        </is>
      </c>
    </row>
    <row r="16988">
      <c r="A16988" s="1" t="n">
        <v>16987</v>
      </c>
      <c r="B16988">
        <f>TEXT(16987, "[$-0E0000]yyyy-mm-dd")</f>
        <v/>
      </c>
      <c r="C16988" t="inlineStr">
        <is>
          <t>1946-06-07</t>
        </is>
      </c>
    </row>
    <row r="16989">
      <c r="A16989" s="1" t="n">
        <v>16988</v>
      </c>
      <c r="B16989">
        <f>TEXT(16988, "[$-0E0000]yyyy-mm-dd")</f>
        <v/>
      </c>
      <c r="C16989" t="inlineStr">
        <is>
          <t>1946-06-08</t>
        </is>
      </c>
    </row>
    <row r="16990">
      <c r="A16990" s="1" t="n">
        <v>16989</v>
      </c>
      <c r="B16990">
        <f>TEXT(16989, "[$-0E0000]yyyy-mm-dd")</f>
        <v/>
      </c>
      <c r="C16990" t="inlineStr">
        <is>
          <t>1946-06-09</t>
        </is>
      </c>
    </row>
    <row r="16991">
      <c r="A16991" s="1" t="n">
        <v>16990</v>
      </c>
      <c r="B16991">
        <f>TEXT(16990, "[$-0E0000]yyyy-mm-dd")</f>
        <v/>
      </c>
      <c r="C16991" t="inlineStr">
        <is>
          <t>1946-06-10</t>
        </is>
      </c>
    </row>
    <row r="16992">
      <c r="A16992" s="1" t="n">
        <v>16991</v>
      </c>
      <c r="B16992">
        <f>TEXT(16991, "[$-0E0000]yyyy-mm-dd")</f>
        <v/>
      </c>
      <c r="C16992" t="inlineStr">
        <is>
          <t>1946-06-11</t>
        </is>
      </c>
    </row>
    <row r="16993">
      <c r="A16993" s="1" t="n">
        <v>16992</v>
      </c>
      <c r="B16993">
        <f>TEXT(16992, "[$-0E0000]yyyy-mm-dd")</f>
        <v/>
      </c>
      <c r="C16993" t="inlineStr">
        <is>
          <t>1946-06-12</t>
        </is>
      </c>
    </row>
    <row r="16994">
      <c r="A16994" s="1" t="n">
        <v>16993</v>
      </c>
      <c r="B16994">
        <f>TEXT(16993, "[$-0E0000]yyyy-mm-dd")</f>
        <v/>
      </c>
      <c r="C16994" t="inlineStr">
        <is>
          <t>1946-06-13</t>
        </is>
      </c>
    </row>
    <row r="16995">
      <c r="A16995" s="1" t="n">
        <v>16994</v>
      </c>
      <c r="B16995">
        <f>TEXT(16994, "[$-0E0000]yyyy-mm-dd")</f>
        <v/>
      </c>
      <c r="C16995" t="inlineStr">
        <is>
          <t>1946-06-14</t>
        </is>
      </c>
    </row>
    <row r="16996">
      <c r="A16996" s="1" t="n">
        <v>16995</v>
      </c>
      <c r="B16996">
        <f>TEXT(16995, "[$-0E0000]yyyy-mm-dd")</f>
        <v/>
      </c>
      <c r="C16996" t="inlineStr">
        <is>
          <t>1946-06-15</t>
        </is>
      </c>
    </row>
    <row r="16997">
      <c r="A16997" s="1" t="n">
        <v>16996</v>
      </c>
      <c r="B16997">
        <f>TEXT(16996, "[$-0E0000]yyyy-mm-dd")</f>
        <v/>
      </c>
      <c r="C16997" t="inlineStr">
        <is>
          <t>1946-06-16</t>
        </is>
      </c>
    </row>
    <row r="16998">
      <c r="A16998" s="1" t="n">
        <v>16997</v>
      </c>
      <c r="B16998">
        <f>TEXT(16997, "[$-0E0000]yyyy-mm-dd")</f>
        <v/>
      </c>
      <c r="C16998" t="inlineStr">
        <is>
          <t>1946-06-17</t>
        </is>
      </c>
    </row>
    <row r="16999">
      <c r="A16999" s="1" t="n">
        <v>16998</v>
      </c>
      <c r="B16999">
        <f>TEXT(16998, "[$-0E0000]yyyy-mm-dd")</f>
        <v/>
      </c>
      <c r="C16999" t="inlineStr">
        <is>
          <t>1946-06-18</t>
        </is>
      </c>
    </row>
    <row r="17000">
      <c r="A17000" s="1" t="n">
        <v>16999</v>
      </c>
      <c r="B17000">
        <f>TEXT(16999, "[$-0E0000]yyyy-mm-dd")</f>
        <v/>
      </c>
      <c r="C17000" t="inlineStr">
        <is>
          <t>1946-06-19</t>
        </is>
      </c>
    </row>
    <row r="17001">
      <c r="A17001" s="1" t="n">
        <v>17000</v>
      </c>
      <c r="B17001">
        <f>TEXT(17000, "[$-0E0000]yyyy-mm-dd")</f>
        <v/>
      </c>
      <c r="C17001" t="inlineStr">
        <is>
          <t>1946-06-20</t>
        </is>
      </c>
    </row>
    <row r="17002">
      <c r="A17002" s="1" t="n">
        <v>17001</v>
      </c>
      <c r="B17002">
        <f>TEXT(17001, "[$-0E0000]yyyy-mm-dd")</f>
        <v/>
      </c>
      <c r="C17002" t="inlineStr">
        <is>
          <t>1946-06-21</t>
        </is>
      </c>
    </row>
    <row r="17003">
      <c r="A17003" s="1" t="n">
        <v>17002</v>
      </c>
      <c r="B17003">
        <f>TEXT(17002, "[$-0E0000]yyyy-mm-dd")</f>
        <v/>
      </c>
      <c r="C17003" t="inlineStr">
        <is>
          <t>1946-06-22</t>
        </is>
      </c>
    </row>
    <row r="17004">
      <c r="A17004" s="1" t="n">
        <v>17003</v>
      </c>
      <c r="B17004">
        <f>TEXT(17003, "[$-0E0000]yyyy-mm-dd")</f>
        <v/>
      </c>
      <c r="C17004" t="inlineStr">
        <is>
          <t>1946-06-23</t>
        </is>
      </c>
    </row>
    <row r="17005">
      <c r="A17005" s="1" t="n">
        <v>17004</v>
      </c>
      <c r="B17005">
        <f>TEXT(17004, "[$-0E0000]yyyy-mm-dd")</f>
        <v/>
      </c>
      <c r="C17005" t="inlineStr">
        <is>
          <t>1946-06-24</t>
        </is>
      </c>
    </row>
    <row r="17006">
      <c r="A17006" s="1" t="n">
        <v>17005</v>
      </c>
      <c r="B17006">
        <f>TEXT(17005, "[$-0E0000]yyyy-mm-dd")</f>
        <v/>
      </c>
      <c r="C17006" t="inlineStr">
        <is>
          <t>1946-06-25</t>
        </is>
      </c>
    </row>
    <row r="17007">
      <c r="A17007" s="1" t="n">
        <v>17006</v>
      </c>
      <c r="B17007">
        <f>TEXT(17006, "[$-0E0000]yyyy-mm-dd")</f>
        <v/>
      </c>
      <c r="C17007" t="inlineStr">
        <is>
          <t>1946-06-26</t>
        </is>
      </c>
    </row>
    <row r="17008">
      <c r="A17008" s="1" t="n">
        <v>17007</v>
      </c>
      <c r="B17008">
        <f>TEXT(17007, "[$-0E0000]yyyy-mm-dd")</f>
        <v/>
      </c>
      <c r="C17008" t="inlineStr">
        <is>
          <t>1946-06-27</t>
        </is>
      </c>
    </row>
    <row r="17009">
      <c r="A17009" s="1" t="n">
        <v>17008</v>
      </c>
      <c r="B17009">
        <f>TEXT(17008, "[$-0E0000]yyyy-mm-dd")</f>
        <v/>
      </c>
      <c r="C17009" t="inlineStr">
        <is>
          <t>1946-06-28</t>
        </is>
      </c>
    </row>
    <row r="17010">
      <c r="A17010" s="1" t="n">
        <v>17009</v>
      </c>
      <c r="B17010">
        <f>TEXT(17009, "[$-0E0000]yyyy-mm-dd")</f>
        <v/>
      </c>
      <c r="C17010" t="inlineStr">
        <is>
          <t>1946-06-29</t>
        </is>
      </c>
    </row>
    <row r="17011">
      <c r="A17011" s="1" t="n">
        <v>17010</v>
      </c>
      <c r="B17011">
        <f>TEXT(17010, "[$-0E0000]yyyy-mm-dd")</f>
        <v/>
      </c>
      <c r="C17011" t="inlineStr">
        <is>
          <t>1946-07-01</t>
        </is>
      </c>
    </row>
    <row r="17012">
      <c r="A17012" s="1" t="n">
        <v>17011</v>
      </c>
      <c r="B17012">
        <f>TEXT(17011, "[$-0E0000]yyyy-mm-dd")</f>
        <v/>
      </c>
      <c r="C17012" t="inlineStr">
        <is>
          <t>1946-07-02</t>
        </is>
      </c>
    </row>
    <row r="17013">
      <c r="A17013" s="1" t="n">
        <v>17012</v>
      </c>
      <c r="B17013">
        <f>TEXT(17012, "[$-0E0000]yyyy-mm-dd")</f>
        <v/>
      </c>
      <c r="C17013" t="inlineStr">
        <is>
          <t>1946-07-03</t>
        </is>
      </c>
    </row>
    <row r="17014">
      <c r="A17014" s="1" t="n">
        <v>17013</v>
      </c>
      <c r="B17014">
        <f>TEXT(17013, "[$-0E0000]yyyy-mm-dd")</f>
        <v/>
      </c>
      <c r="C17014" t="inlineStr">
        <is>
          <t>1946-07-04</t>
        </is>
      </c>
    </row>
    <row r="17015">
      <c r="A17015" s="1" t="n">
        <v>17014</v>
      </c>
      <c r="B17015">
        <f>TEXT(17014, "[$-0E0000]yyyy-mm-dd")</f>
        <v/>
      </c>
      <c r="C17015" t="inlineStr">
        <is>
          <t>1946-07-05</t>
        </is>
      </c>
    </row>
    <row r="17016">
      <c r="A17016" s="1" t="n">
        <v>17015</v>
      </c>
      <c r="B17016">
        <f>TEXT(17015, "[$-0E0000]yyyy-mm-dd")</f>
        <v/>
      </c>
      <c r="C17016" t="inlineStr">
        <is>
          <t>1946-07-06</t>
        </is>
      </c>
    </row>
    <row r="17017">
      <c r="A17017" s="1" t="n">
        <v>17016</v>
      </c>
      <c r="B17017">
        <f>TEXT(17016, "[$-0E0000]yyyy-mm-dd")</f>
        <v/>
      </c>
      <c r="C17017" t="inlineStr">
        <is>
          <t>1946-07-07</t>
        </is>
      </c>
    </row>
    <row r="17018">
      <c r="A17018" s="1" t="n">
        <v>17017</v>
      </c>
      <c r="B17018">
        <f>TEXT(17017, "[$-0E0000]yyyy-mm-dd")</f>
        <v/>
      </c>
      <c r="C17018" t="inlineStr">
        <is>
          <t>1946-07-08</t>
        </is>
      </c>
    </row>
    <row r="17019">
      <c r="A17019" s="1" t="n">
        <v>17018</v>
      </c>
      <c r="B17019">
        <f>TEXT(17018, "[$-0E0000]yyyy-mm-dd")</f>
        <v/>
      </c>
      <c r="C17019" t="inlineStr">
        <is>
          <t>1946-07-09</t>
        </is>
      </c>
    </row>
    <row r="17020">
      <c r="A17020" s="1" t="n">
        <v>17019</v>
      </c>
      <c r="B17020">
        <f>TEXT(17019, "[$-0E0000]yyyy-mm-dd")</f>
        <v/>
      </c>
      <c r="C17020" t="inlineStr">
        <is>
          <t>1946-07-10</t>
        </is>
      </c>
    </row>
    <row r="17021">
      <c r="A17021" s="1" t="n">
        <v>17020</v>
      </c>
      <c r="B17021">
        <f>TEXT(17020, "[$-0E0000]yyyy-mm-dd")</f>
        <v/>
      </c>
      <c r="C17021" t="inlineStr">
        <is>
          <t>1946-07-11</t>
        </is>
      </c>
    </row>
    <row r="17022">
      <c r="A17022" s="1" t="n">
        <v>17021</v>
      </c>
      <c r="B17022">
        <f>TEXT(17021, "[$-0E0000]yyyy-mm-dd")</f>
        <v/>
      </c>
      <c r="C17022" t="inlineStr">
        <is>
          <t>1946-07-12</t>
        </is>
      </c>
    </row>
    <row r="17023">
      <c r="A17023" s="1" t="n">
        <v>17022</v>
      </c>
      <c r="B17023">
        <f>TEXT(17022, "[$-0E0000]yyyy-mm-dd")</f>
        <v/>
      </c>
      <c r="C17023" t="inlineStr">
        <is>
          <t>1946-07-13</t>
        </is>
      </c>
    </row>
    <row r="17024">
      <c r="A17024" s="1" t="n">
        <v>17023</v>
      </c>
      <c r="B17024">
        <f>TEXT(17023, "[$-0E0000]yyyy-mm-dd")</f>
        <v/>
      </c>
      <c r="C17024" t="inlineStr">
        <is>
          <t>1946-07-14</t>
        </is>
      </c>
    </row>
    <row r="17025">
      <c r="A17025" s="1" t="n">
        <v>17024</v>
      </c>
      <c r="B17025">
        <f>TEXT(17024, "[$-0E0000]yyyy-mm-dd")</f>
        <v/>
      </c>
      <c r="C17025" t="inlineStr">
        <is>
          <t>1946-07-15</t>
        </is>
      </c>
    </row>
    <row r="17026">
      <c r="A17026" s="1" t="n">
        <v>17025</v>
      </c>
      <c r="B17026">
        <f>TEXT(17025, "[$-0E0000]yyyy-mm-dd")</f>
        <v/>
      </c>
      <c r="C17026" t="inlineStr">
        <is>
          <t>1946-07-16</t>
        </is>
      </c>
    </row>
    <row r="17027">
      <c r="A17027" s="1" t="n">
        <v>17026</v>
      </c>
      <c r="B17027">
        <f>TEXT(17026, "[$-0E0000]yyyy-mm-dd")</f>
        <v/>
      </c>
      <c r="C17027" t="inlineStr">
        <is>
          <t>1946-07-17</t>
        </is>
      </c>
    </row>
    <row r="17028">
      <c r="A17028" s="1" t="n">
        <v>17027</v>
      </c>
      <c r="B17028">
        <f>TEXT(17027, "[$-0E0000]yyyy-mm-dd")</f>
        <v/>
      </c>
      <c r="C17028" t="inlineStr">
        <is>
          <t>1946-07-18</t>
        </is>
      </c>
    </row>
    <row r="17029">
      <c r="A17029" s="1" t="n">
        <v>17028</v>
      </c>
      <c r="B17029">
        <f>TEXT(17028, "[$-0E0000]yyyy-mm-dd")</f>
        <v/>
      </c>
      <c r="C17029" t="inlineStr">
        <is>
          <t>1946-07-19</t>
        </is>
      </c>
    </row>
    <row r="17030">
      <c r="A17030" s="1" t="n">
        <v>17029</v>
      </c>
      <c r="B17030">
        <f>TEXT(17029, "[$-0E0000]yyyy-mm-dd")</f>
        <v/>
      </c>
      <c r="C17030" t="inlineStr">
        <is>
          <t>1946-07-20</t>
        </is>
      </c>
    </row>
    <row r="17031">
      <c r="A17031" s="1" t="n">
        <v>17030</v>
      </c>
      <c r="B17031">
        <f>TEXT(17030, "[$-0E0000]yyyy-mm-dd")</f>
        <v/>
      </c>
      <c r="C17031" t="inlineStr">
        <is>
          <t>1946-07-21</t>
        </is>
      </c>
    </row>
    <row r="17032">
      <c r="A17032" s="1" t="n">
        <v>17031</v>
      </c>
      <c r="B17032">
        <f>TEXT(17031, "[$-0E0000]yyyy-mm-dd")</f>
        <v/>
      </c>
      <c r="C17032" t="inlineStr">
        <is>
          <t>1946-07-22</t>
        </is>
      </c>
    </row>
    <row r="17033">
      <c r="A17033" s="1" t="n">
        <v>17032</v>
      </c>
      <c r="B17033">
        <f>TEXT(17032, "[$-0E0000]yyyy-mm-dd")</f>
        <v/>
      </c>
      <c r="C17033" t="inlineStr">
        <is>
          <t>1946-07-23</t>
        </is>
      </c>
    </row>
    <row r="17034">
      <c r="A17034" s="1" t="n">
        <v>17033</v>
      </c>
      <c r="B17034">
        <f>TEXT(17033, "[$-0E0000]yyyy-mm-dd")</f>
        <v/>
      </c>
      <c r="C17034" t="inlineStr">
        <is>
          <t>1946-07-24</t>
        </is>
      </c>
    </row>
    <row r="17035">
      <c r="A17035" s="1" t="n">
        <v>17034</v>
      </c>
      <c r="B17035">
        <f>TEXT(17034, "[$-0E0000]yyyy-mm-dd")</f>
        <v/>
      </c>
      <c r="C17035" t="inlineStr">
        <is>
          <t>1946-07-25</t>
        </is>
      </c>
    </row>
    <row r="17036">
      <c r="A17036" s="1" t="n">
        <v>17035</v>
      </c>
      <c r="B17036">
        <f>TEXT(17035, "[$-0E0000]yyyy-mm-dd")</f>
        <v/>
      </c>
      <c r="C17036" t="inlineStr">
        <is>
          <t>1946-07-26</t>
        </is>
      </c>
    </row>
    <row r="17037">
      <c r="A17037" s="1" t="n">
        <v>17036</v>
      </c>
      <c r="B17037">
        <f>TEXT(17036, "[$-0E0000]yyyy-mm-dd")</f>
        <v/>
      </c>
      <c r="C17037" t="inlineStr">
        <is>
          <t>1946-07-27</t>
        </is>
      </c>
    </row>
    <row r="17038">
      <c r="A17038" s="1" t="n">
        <v>17037</v>
      </c>
      <c r="B17038">
        <f>TEXT(17037, "[$-0E0000]yyyy-mm-dd")</f>
        <v/>
      </c>
      <c r="C17038" t="inlineStr">
        <is>
          <t>1946-07-28</t>
        </is>
      </c>
    </row>
    <row r="17039">
      <c r="A17039" s="1" t="n">
        <v>17038</v>
      </c>
      <c r="B17039">
        <f>TEXT(17038, "[$-0E0000]yyyy-mm-dd")</f>
        <v/>
      </c>
      <c r="C17039" t="inlineStr">
        <is>
          <t>1946-07-29</t>
        </is>
      </c>
    </row>
    <row r="17040">
      <c r="A17040" s="1" t="n">
        <v>17039</v>
      </c>
      <c r="B17040">
        <f>TEXT(17039, "[$-0E0000]yyyy-mm-dd")</f>
        <v/>
      </c>
      <c r="C17040" t="inlineStr">
        <is>
          <t>1946-07-30</t>
        </is>
      </c>
    </row>
    <row r="17041">
      <c r="A17041" s="1" t="n">
        <v>17040</v>
      </c>
      <c r="B17041">
        <f>TEXT(17040, "[$-0E0000]yyyy-mm-dd")</f>
        <v/>
      </c>
      <c r="C17041" t="inlineStr">
        <is>
          <t>1946-08-01</t>
        </is>
      </c>
    </row>
    <row r="17042">
      <c r="A17042" s="1" t="n">
        <v>17041</v>
      </c>
      <c r="B17042">
        <f>TEXT(17041, "[$-0E0000]yyyy-mm-dd")</f>
        <v/>
      </c>
      <c r="C17042" t="inlineStr">
        <is>
          <t>1946-08-02</t>
        </is>
      </c>
    </row>
    <row r="17043">
      <c r="A17043" s="1" t="n">
        <v>17042</v>
      </c>
      <c r="B17043">
        <f>TEXT(17042, "[$-0E0000]yyyy-mm-dd")</f>
        <v/>
      </c>
      <c r="C17043" t="inlineStr">
        <is>
          <t>1946-08-03</t>
        </is>
      </c>
    </row>
    <row r="17044">
      <c r="A17044" s="1" t="n">
        <v>17043</v>
      </c>
      <c r="B17044">
        <f>TEXT(17043, "[$-0E0000]yyyy-mm-dd")</f>
        <v/>
      </c>
      <c r="C17044" t="inlineStr">
        <is>
          <t>1946-08-04</t>
        </is>
      </c>
    </row>
    <row r="17045">
      <c r="A17045" s="1" t="n">
        <v>17044</v>
      </c>
      <c r="B17045">
        <f>TEXT(17044, "[$-0E0000]yyyy-mm-dd")</f>
        <v/>
      </c>
      <c r="C17045" t="inlineStr">
        <is>
          <t>1946-08-05</t>
        </is>
      </c>
    </row>
    <row r="17046">
      <c r="A17046" s="1" t="n">
        <v>17045</v>
      </c>
      <c r="B17046">
        <f>TEXT(17045, "[$-0E0000]yyyy-mm-dd")</f>
        <v/>
      </c>
      <c r="C17046" t="inlineStr">
        <is>
          <t>1946-08-06</t>
        </is>
      </c>
    </row>
    <row r="17047">
      <c r="A17047" s="1" t="n">
        <v>17046</v>
      </c>
      <c r="B17047">
        <f>TEXT(17046, "[$-0E0000]yyyy-mm-dd")</f>
        <v/>
      </c>
      <c r="C17047" t="inlineStr">
        <is>
          <t>1946-08-07</t>
        </is>
      </c>
    </row>
    <row r="17048">
      <c r="A17048" s="1" t="n">
        <v>17047</v>
      </c>
      <c r="B17048">
        <f>TEXT(17047, "[$-0E0000]yyyy-mm-dd")</f>
        <v/>
      </c>
      <c r="C17048" t="inlineStr">
        <is>
          <t>1946-08-08</t>
        </is>
      </c>
    </row>
    <row r="17049">
      <c r="A17049" s="1" t="n">
        <v>17048</v>
      </c>
      <c r="B17049">
        <f>TEXT(17048, "[$-0E0000]yyyy-mm-dd")</f>
        <v/>
      </c>
      <c r="C17049" t="inlineStr">
        <is>
          <t>1946-08-09</t>
        </is>
      </c>
    </row>
    <row r="17050">
      <c r="A17050" s="1" t="n">
        <v>17049</v>
      </c>
      <c r="B17050">
        <f>TEXT(17049, "[$-0E0000]yyyy-mm-dd")</f>
        <v/>
      </c>
      <c r="C17050" t="inlineStr">
        <is>
          <t>1946-08-10</t>
        </is>
      </c>
    </row>
    <row r="17051">
      <c r="A17051" s="1" t="n">
        <v>17050</v>
      </c>
      <c r="B17051">
        <f>TEXT(17050, "[$-0E0000]yyyy-mm-dd")</f>
        <v/>
      </c>
      <c r="C17051" t="inlineStr">
        <is>
          <t>1946-08-11</t>
        </is>
      </c>
    </row>
    <row r="17052">
      <c r="A17052" s="1" t="n">
        <v>17051</v>
      </c>
      <c r="B17052">
        <f>TEXT(17051, "[$-0E0000]yyyy-mm-dd")</f>
        <v/>
      </c>
      <c r="C17052" t="inlineStr">
        <is>
          <t>1946-08-12</t>
        </is>
      </c>
    </row>
    <row r="17053">
      <c r="A17053" s="1" t="n">
        <v>17052</v>
      </c>
      <c r="B17053">
        <f>TEXT(17052, "[$-0E0000]yyyy-mm-dd")</f>
        <v/>
      </c>
      <c r="C17053" t="inlineStr">
        <is>
          <t>1946-08-13</t>
        </is>
      </c>
    </row>
    <row r="17054">
      <c r="A17054" s="1" t="n">
        <v>17053</v>
      </c>
      <c r="B17054">
        <f>TEXT(17053, "[$-0E0000]yyyy-mm-dd")</f>
        <v/>
      </c>
      <c r="C17054" t="inlineStr">
        <is>
          <t>1946-08-14</t>
        </is>
      </c>
    </row>
    <row r="17055">
      <c r="A17055" s="1" t="n">
        <v>17054</v>
      </c>
      <c r="B17055">
        <f>TEXT(17054, "[$-0E0000]yyyy-mm-dd")</f>
        <v/>
      </c>
      <c r="C17055" t="inlineStr">
        <is>
          <t>1946-08-15</t>
        </is>
      </c>
    </row>
    <row r="17056">
      <c r="A17056" s="1" t="n">
        <v>17055</v>
      </c>
      <c r="B17056">
        <f>TEXT(17055, "[$-0E0000]yyyy-mm-dd")</f>
        <v/>
      </c>
      <c r="C17056" t="inlineStr">
        <is>
          <t>1946-08-16</t>
        </is>
      </c>
    </row>
    <row r="17057">
      <c r="A17057" s="1" t="n">
        <v>17056</v>
      </c>
      <c r="B17057">
        <f>TEXT(17056, "[$-0E0000]yyyy-mm-dd")</f>
        <v/>
      </c>
      <c r="C17057" t="inlineStr">
        <is>
          <t>1946-08-17</t>
        </is>
      </c>
    </row>
    <row r="17058">
      <c r="A17058" s="1" t="n">
        <v>17057</v>
      </c>
      <c r="B17058">
        <f>TEXT(17057, "[$-0E0000]yyyy-mm-dd")</f>
        <v/>
      </c>
      <c r="C17058" t="inlineStr">
        <is>
          <t>1946-08-18</t>
        </is>
      </c>
    </row>
    <row r="17059">
      <c r="A17059" s="1" t="n">
        <v>17058</v>
      </c>
      <c r="B17059">
        <f>TEXT(17058, "[$-0E0000]yyyy-mm-dd")</f>
        <v/>
      </c>
      <c r="C17059" t="inlineStr">
        <is>
          <t>1946-08-19</t>
        </is>
      </c>
    </row>
    <row r="17060">
      <c r="A17060" s="1" t="n">
        <v>17059</v>
      </c>
      <c r="B17060">
        <f>TEXT(17059, "[$-0E0000]yyyy-mm-dd")</f>
        <v/>
      </c>
      <c r="C17060" t="inlineStr">
        <is>
          <t>1946-08-20</t>
        </is>
      </c>
    </row>
    <row r="17061">
      <c r="A17061" s="1" t="n">
        <v>17060</v>
      </c>
      <c r="B17061">
        <f>TEXT(17060, "[$-0E0000]yyyy-mm-dd")</f>
        <v/>
      </c>
      <c r="C17061" t="inlineStr">
        <is>
          <t>1946-08-21</t>
        </is>
      </c>
    </row>
    <row r="17062">
      <c r="A17062" s="1" t="n">
        <v>17061</v>
      </c>
      <c r="B17062">
        <f>TEXT(17061, "[$-0E0000]yyyy-mm-dd")</f>
        <v/>
      </c>
      <c r="C17062" t="inlineStr">
        <is>
          <t>1946-08-22</t>
        </is>
      </c>
    </row>
    <row r="17063">
      <c r="A17063" s="1" t="n">
        <v>17062</v>
      </c>
      <c r="B17063">
        <f>TEXT(17062, "[$-0E0000]yyyy-mm-dd")</f>
        <v/>
      </c>
      <c r="C17063" t="inlineStr">
        <is>
          <t>1946-08-23</t>
        </is>
      </c>
    </row>
    <row r="17064">
      <c r="A17064" s="1" t="n">
        <v>17063</v>
      </c>
      <c r="B17064">
        <f>TEXT(17063, "[$-0E0000]yyyy-mm-dd")</f>
        <v/>
      </c>
      <c r="C17064" t="inlineStr">
        <is>
          <t>1946-08-24</t>
        </is>
      </c>
    </row>
    <row r="17065">
      <c r="A17065" s="1" t="n">
        <v>17064</v>
      </c>
      <c r="B17065">
        <f>TEXT(17064, "[$-0E0000]yyyy-mm-dd")</f>
        <v/>
      </c>
      <c r="C17065" t="inlineStr">
        <is>
          <t>1946-08-25</t>
        </is>
      </c>
    </row>
    <row r="17066">
      <c r="A17066" s="1" t="n">
        <v>17065</v>
      </c>
      <c r="B17066">
        <f>TEXT(17065, "[$-0E0000]yyyy-mm-dd")</f>
        <v/>
      </c>
      <c r="C17066" t="inlineStr">
        <is>
          <t>1946-08-26</t>
        </is>
      </c>
    </row>
    <row r="17067">
      <c r="A17067" s="1" t="n">
        <v>17066</v>
      </c>
      <c r="B17067">
        <f>TEXT(17066, "[$-0E0000]yyyy-mm-dd")</f>
        <v/>
      </c>
      <c r="C17067" t="inlineStr">
        <is>
          <t>1946-08-27</t>
        </is>
      </c>
    </row>
    <row r="17068">
      <c r="A17068" s="1" t="n">
        <v>17067</v>
      </c>
      <c r="B17068">
        <f>TEXT(17067, "[$-0E0000]yyyy-mm-dd")</f>
        <v/>
      </c>
      <c r="C17068" t="inlineStr">
        <is>
          <t>1946-08-28</t>
        </is>
      </c>
    </row>
    <row r="17069">
      <c r="A17069" s="1" t="n">
        <v>17068</v>
      </c>
      <c r="B17069">
        <f>TEXT(17068, "[$-0E0000]yyyy-mm-dd")</f>
        <v/>
      </c>
      <c r="C17069" t="inlineStr">
        <is>
          <t>1946-08-29</t>
        </is>
      </c>
    </row>
    <row r="17070">
      <c r="A17070" s="1" t="n">
        <v>17069</v>
      </c>
      <c r="B17070">
        <f>TEXT(17069, "[$-0E0000]yyyy-mm-dd")</f>
        <v/>
      </c>
      <c r="C17070" t="inlineStr">
        <is>
          <t>1946-09-01</t>
        </is>
      </c>
    </row>
    <row r="17071">
      <c r="A17071" s="1" t="n">
        <v>17070</v>
      </c>
      <c r="B17071">
        <f>TEXT(17070, "[$-0E0000]yyyy-mm-dd")</f>
        <v/>
      </c>
      <c r="C17071" t="inlineStr">
        <is>
          <t>1946-09-02</t>
        </is>
      </c>
    </row>
    <row r="17072">
      <c r="A17072" s="1" t="n">
        <v>17071</v>
      </c>
      <c r="B17072">
        <f>TEXT(17071, "[$-0E0000]yyyy-mm-dd")</f>
        <v/>
      </c>
      <c r="C17072" t="inlineStr">
        <is>
          <t>1946-09-03</t>
        </is>
      </c>
    </row>
    <row r="17073">
      <c r="A17073" s="1" t="n">
        <v>17072</v>
      </c>
      <c r="B17073">
        <f>TEXT(17072, "[$-0E0000]yyyy-mm-dd")</f>
        <v/>
      </c>
      <c r="C17073" t="inlineStr">
        <is>
          <t>1946-09-04</t>
        </is>
      </c>
    </row>
    <row r="17074">
      <c r="A17074" s="1" t="n">
        <v>17073</v>
      </c>
      <c r="B17074">
        <f>TEXT(17073, "[$-0E0000]yyyy-mm-dd")</f>
        <v/>
      </c>
      <c r="C17074" t="inlineStr">
        <is>
          <t>1946-09-05</t>
        </is>
      </c>
    </row>
    <row r="17075">
      <c r="A17075" s="1" t="n">
        <v>17074</v>
      </c>
      <c r="B17075">
        <f>TEXT(17074, "[$-0E0000]yyyy-mm-dd")</f>
        <v/>
      </c>
      <c r="C17075" t="inlineStr">
        <is>
          <t>1946-09-06</t>
        </is>
      </c>
    </row>
    <row r="17076">
      <c r="A17076" s="1" t="n">
        <v>17075</v>
      </c>
      <c r="B17076">
        <f>TEXT(17075, "[$-0E0000]yyyy-mm-dd")</f>
        <v/>
      </c>
      <c r="C17076" t="inlineStr">
        <is>
          <t>1946-09-07</t>
        </is>
      </c>
    </row>
    <row r="17077">
      <c r="A17077" s="1" t="n">
        <v>17076</v>
      </c>
      <c r="B17077">
        <f>TEXT(17076, "[$-0E0000]yyyy-mm-dd")</f>
        <v/>
      </c>
      <c r="C17077" t="inlineStr">
        <is>
          <t>1946-09-08</t>
        </is>
      </c>
    </row>
    <row r="17078">
      <c r="A17078" s="1" t="n">
        <v>17077</v>
      </c>
      <c r="B17078">
        <f>TEXT(17077, "[$-0E0000]yyyy-mm-dd")</f>
        <v/>
      </c>
      <c r="C17078" t="inlineStr">
        <is>
          <t>1946-09-09</t>
        </is>
      </c>
    </row>
    <row r="17079">
      <c r="A17079" s="1" t="n">
        <v>17078</v>
      </c>
      <c r="B17079">
        <f>TEXT(17078, "[$-0E0000]yyyy-mm-dd")</f>
        <v/>
      </c>
      <c r="C17079" t="inlineStr">
        <is>
          <t>1946-09-10</t>
        </is>
      </c>
    </row>
    <row r="17080">
      <c r="A17080" s="1" t="n">
        <v>17079</v>
      </c>
      <c r="B17080">
        <f>TEXT(17079, "[$-0E0000]yyyy-mm-dd")</f>
        <v/>
      </c>
      <c r="C17080" t="inlineStr">
        <is>
          <t>1946-09-11</t>
        </is>
      </c>
    </row>
    <row r="17081">
      <c r="A17081" s="1" t="n">
        <v>17080</v>
      </c>
      <c r="B17081">
        <f>TEXT(17080, "[$-0E0000]yyyy-mm-dd")</f>
        <v/>
      </c>
      <c r="C17081" t="inlineStr">
        <is>
          <t>1946-09-12</t>
        </is>
      </c>
    </row>
    <row r="17082">
      <c r="A17082" s="1" t="n">
        <v>17081</v>
      </c>
      <c r="B17082">
        <f>TEXT(17081, "[$-0E0000]yyyy-mm-dd")</f>
        <v/>
      </c>
      <c r="C17082" t="inlineStr">
        <is>
          <t>1946-09-13</t>
        </is>
      </c>
    </row>
    <row r="17083">
      <c r="A17083" s="1" t="n">
        <v>17082</v>
      </c>
      <c r="B17083">
        <f>TEXT(17082, "[$-0E0000]yyyy-mm-dd")</f>
        <v/>
      </c>
      <c r="C17083" t="inlineStr">
        <is>
          <t>1946-09-14</t>
        </is>
      </c>
    </row>
    <row r="17084">
      <c r="A17084" s="1" t="n">
        <v>17083</v>
      </c>
      <c r="B17084">
        <f>TEXT(17083, "[$-0E0000]yyyy-mm-dd")</f>
        <v/>
      </c>
      <c r="C17084" t="inlineStr">
        <is>
          <t>1946-09-15</t>
        </is>
      </c>
    </row>
    <row r="17085">
      <c r="A17085" s="1" t="n">
        <v>17084</v>
      </c>
      <c r="B17085">
        <f>TEXT(17084, "[$-0E0000]yyyy-mm-dd")</f>
        <v/>
      </c>
      <c r="C17085" t="inlineStr">
        <is>
          <t>1946-09-16</t>
        </is>
      </c>
    </row>
    <row r="17086">
      <c r="A17086" s="1" t="n">
        <v>17085</v>
      </c>
      <c r="B17086">
        <f>TEXT(17085, "[$-0E0000]yyyy-mm-dd")</f>
        <v/>
      </c>
      <c r="C17086" t="inlineStr">
        <is>
          <t>1946-09-17</t>
        </is>
      </c>
    </row>
    <row r="17087">
      <c r="A17087" s="1" t="n">
        <v>17086</v>
      </c>
      <c r="B17087">
        <f>TEXT(17086, "[$-0E0000]yyyy-mm-dd")</f>
        <v/>
      </c>
      <c r="C17087" t="inlineStr">
        <is>
          <t>1946-09-18</t>
        </is>
      </c>
    </row>
    <row r="17088">
      <c r="A17088" s="1" t="n">
        <v>17087</v>
      </c>
      <c r="B17088">
        <f>TEXT(17087, "[$-0E0000]yyyy-mm-dd")</f>
        <v/>
      </c>
      <c r="C17088" t="inlineStr">
        <is>
          <t>1946-09-19</t>
        </is>
      </c>
    </row>
    <row r="17089">
      <c r="A17089" s="1" t="n">
        <v>17088</v>
      </c>
      <c r="B17089">
        <f>TEXT(17088, "[$-0E0000]yyyy-mm-dd")</f>
        <v/>
      </c>
      <c r="C17089" t="inlineStr">
        <is>
          <t>1946-09-20</t>
        </is>
      </c>
    </row>
    <row r="17090">
      <c r="A17090" s="1" t="n">
        <v>17089</v>
      </c>
      <c r="B17090">
        <f>TEXT(17089, "[$-0E0000]yyyy-mm-dd")</f>
        <v/>
      </c>
      <c r="C17090" t="inlineStr">
        <is>
          <t>1946-09-21</t>
        </is>
      </c>
    </row>
    <row r="17091">
      <c r="A17091" s="1" t="n">
        <v>17090</v>
      </c>
      <c r="B17091">
        <f>TEXT(17090, "[$-0E0000]yyyy-mm-dd")</f>
        <v/>
      </c>
      <c r="C17091" t="inlineStr">
        <is>
          <t>1946-09-22</t>
        </is>
      </c>
    </row>
    <row r="17092">
      <c r="A17092" s="1" t="n">
        <v>17091</v>
      </c>
      <c r="B17092">
        <f>TEXT(17091, "[$-0E0000]yyyy-mm-dd")</f>
        <v/>
      </c>
      <c r="C17092" t="inlineStr">
        <is>
          <t>1946-09-23</t>
        </is>
      </c>
    </row>
    <row r="17093">
      <c r="A17093" s="1" t="n">
        <v>17092</v>
      </c>
      <c r="B17093">
        <f>TEXT(17092, "[$-0E0000]yyyy-mm-dd")</f>
        <v/>
      </c>
      <c r="C17093" t="inlineStr">
        <is>
          <t>1946-09-24</t>
        </is>
      </c>
    </row>
    <row r="17094">
      <c r="A17094" s="1" t="n">
        <v>17093</v>
      </c>
      <c r="B17094">
        <f>TEXT(17093, "[$-0E0000]yyyy-mm-dd")</f>
        <v/>
      </c>
      <c r="C17094" t="inlineStr">
        <is>
          <t>1946-09-25</t>
        </is>
      </c>
    </row>
    <row r="17095">
      <c r="A17095" s="1" t="n">
        <v>17094</v>
      </c>
      <c r="B17095">
        <f>TEXT(17094, "[$-0E0000]yyyy-mm-dd")</f>
        <v/>
      </c>
      <c r="C17095" t="inlineStr">
        <is>
          <t>1946-09-26</t>
        </is>
      </c>
    </row>
    <row r="17096">
      <c r="A17096" s="1" t="n">
        <v>17095</v>
      </c>
      <c r="B17096">
        <f>TEXT(17095, "[$-0E0000]yyyy-mm-dd")</f>
        <v/>
      </c>
      <c r="C17096" t="inlineStr">
        <is>
          <t>1946-09-27</t>
        </is>
      </c>
    </row>
    <row r="17097">
      <c r="A17097" s="1" t="n">
        <v>17096</v>
      </c>
      <c r="B17097">
        <f>TEXT(17096, "[$-0E0000]yyyy-mm-dd")</f>
        <v/>
      </c>
      <c r="C17097" t="inlineStr">
        <is>
          <t>1946-09-28</t>
        </is>
      </c>
    </row>
    <row r="17098">
      <c r="A17098" s="1" t="n">
        <v>17097</v>
      </c>
      <c r="B17098">
        <f>TEXT(17097, "[$-0E0000]yyyy-mm-dd")</f>
        <v/>
      </c>
      <c r="C17098" t="inlineStr">
        <is>
          <t>1946-09-29</t>
        </is>
      </c>
    </row>
    <row r="17099">
      <c r="A17099" s="1" t="n">
        <v>17098</v>
      </c>
      <c r="B17099">
        <f>TEXT(17098, "[$-0E0000]yyyy-mm-dd")</f>
        <v/>
      </c>
      <c r="C17099" t="inlineStr">
        <is>
          <t>1946-09-30</t>
        </is>
      </c>
    </row>
    <row r="17100">
      <c r="A17100" s="1" t="n">
        <v>17099</v>
      </c>
      <c r="B17100">
        <f>TEXT(17099, "[$-0E0000]yyyy-mm-dd")</f>
        <v/>
      </c>
      <c r="C17100" t="inlineStr">
        <is>
          <t>1946-10-01</t>
        </is>
      </c>
    </row>
    <row r="17101">
      <c r="A17101" s="1" t="n">
        <v>17100</v>
      </c>
      <c r="B17101">
        <f>TEXT(17100, "[$-0E0000]yyyy-mm-dd")</f>
        <v/>
      </c>
      <c r="C17101" t="inlineStr">
        <is>
          <t>1946-10-02</t>
        </is>
      </c>
    </row>
    <row r="17102">
      <c r="A17102" s="1" t="n">
        <v>17101</v>
      </c>
      <c r="B17102">
        <f>TEXT(17101, "[$-0E0000]yyyy-mm-dd")</f>
        <v/>
      </c>
      <c r="C17102" t="inlineStr">
        <is>
          <t>1946-10-03</t>
        </is>
      </c>
    </row>
    <row r="17103">
      <c r="A17103" s="1" t="n">
        <v>17102</v>
      </c>
      <c r="B17103">
        <f>TEXT(17102, "[$-0E0000]yyyy-mm-dd")</f>
        <v/>
      </c>
      <c r="C17103" t="inlineStr">
        <is>
          <t>1946-10-04</t>
        </is>
      </c>
    </row>
    <row r="17104">
      <c r="A17104" s="1" t="n">
        <v>17103</v>
      </c>
      <c r="B17104">
        <f>TEXT(17103, "[$-0E0000]yyyy-mm-dd")</f>
        <v/>
      </c>
      <c r="C17104" t="inlineStr">
        <is>
          <t>1946-10-05</t>
        </is>
      </c>
    </row>
    <row r="17105">
      <c r="A17105" s="1" t="n">
        <v>17104</v>
      </c>
      <c r="B17105">
        <f>TEXT(17104, "[$-0E0000]yyyy-mm-dd")</f>
        <v/>
      </c>
      <c r="C17105" t="inlineStr">
        <is>
          <t>1946-10-06</t>
        </is>
      </c>
    </row>
    <row r="17106">
      <c r="A17106" s="1" t="n">
        <v>17105</v>
      </c>
      <c r="B17106">
        <f>TEXT(17105, "[$-0E0000]yyyy-mm-dd")</f>
        <v/>
      </c>
      <c r="C17106" t="inlineStr">
        <is>
          <t>1946-10-07</t>
        </is>
      </c>
    </row>
    <row r="17107">
      <c r="A17107" s="1" t="n">
        <v>17106</v>
      </c>
      <c r="B17107">
        <f>TEXT(17106, "[$-0E0000]yyyy-mm-dd")</f>
        <v/>
      </c>
      <c r="C17107" t="inlineStr">
        <is>
          <t>1946-10-08</t>
        </is>
      </c>
    </row>
    <row r="17108">
      <c r="A17108" s="1" t="n">
        <v>17107</v>
      </c>
      <c r="B17108">
        <f>TEXT(17107, "[$-0E0000]yyyy-mm-dd")</f>
        <v/>
      </c>
      <c r="C17108" t="inlineStr">
        <is>
          <t>1946-10-09</t>
        </is>
      </c>
    </row>
    <row r="17109">
      <c r="A17109" s="1" t="n">
        <v>17108</v>
      </c>
      <c r="B17109">
        <f>TEXT(17108, "[$-0E0000]yyyy-mm-dd")</f>
        <v/>
      </c>
      <c r="C17109" t="inlineStr">
        <is>
          <t>1946-10-10</t>
        </is>
      </c>
    </row>
    <row r="17110">
      <c r="A17110" s="1" t="n">
        <v>17109</v>
      </c>
      <c r="B17110">
        <f>TEXT(17109, "[$-0E0000]yyyy-mm-dd")</f>
        <v/>
      </c>
      <c r="C17110" t="inlineStr">
        <is>
          <t>1946-10-11</t>
        </is>
      </c>
    </row>
    <row r="17111">
      <c r="A17111" s="1" t="n">
        <v>17110</v>
      </c>
      <c r="B17111">
        <f>TEXT(17110, "[$-0E0000]yyyy-mm-dd")</f>
        <v/>
      </c>
      <c r="C17111" t="inlineStr">
        <is>
          <t>1946-10-12</t>
        </is>
      </c>
    </row>
    <row r="17112">
      <c r="A17112" s="1" t="n">
        <v>17111</v>
      </c>
      <c r="B17112">
        <f>TEXT(17111, "[$-0E0000]yyyy-mm-dd")</f>
        <v/>
      </c>
      <c r="C17112" t="inlineStr">
        <is>
          <t>1946-10-13</t>
        </is>
      </c>
    </row>
    <row r="17113">
      <c r="A17113" s="1" t="n">
        <v>17112</v>
      </c>
      <c r="B17113">
        <f>TEXT(17112, "[$-0E0000]yyyy-mm-dd")</f>
        <v/>
      </c>
      <c r="C17113" t="inlineStr">
        <is>
          <t>1946-10-14</t>
        </is>
      </c>
    </row>
    <row r="17114">
      <c r="A17114" s="1" t="n">
        <v>17113</v>
      </c>
      <c r="B17114">
        <f>TEXT(17113, "[$-0E0000]yyyy-mm-dd")</f>
        <v/>
      </c>
      <c r="C17114" t="inlineStr">
        <is>
          <t>1946-10-15</t>
        </is>
      </c>
    </row>
    <row r="17115">
      <c r="A17115" s="1" t="n">
        <v>17114</v>
      </c>
      <c r="B17115">
        <f>TEXT(17114, "[$-0E0000]yyyy-mm-dd")</f>
        <v/>
      </c>
      <c r="C17115" t="inlineStr">
        <is>
          <t>1946-10-16</t>
        </is>
      </c>
    </row>
    <row r="17116">
      <c r="A17116" s="1" t="n">
        <v>17115</v>
      </c>
      <c r="B17116">
        <f>TEXT(17115, "[$-0E0000]yyyy-mm-dd")</f>
        <v/>
      </c>
      <c r="C17116" t="inlineStr">
        <is>
          <t>1946-10-17</t>
        </is>
      </c>
    </row>
    <row r="17117">
      <c r="A17117" s="1" t="n">
        <v>17116</v>
      </c>
      <c r="B17117">
        <f>TEXT(17116, "[$-0E0000]yyyy-mm-dd")</f>
        <v/>
      </c>
      <c r="C17117" t="inlineStr">
        <is>
          <t>1946-10-18</t>
        </is>
      </c>
    </row>
    <row r="17118">
      <c r="A17118" s="1" t="n">
        <v>17117</v>
      </c>
      <c r="B17118">
        <f>TEXT(17117, "[$-0E0000]yyyy-mm-dd")</f>
        <v/>
      </c>
      <c r="C17118" t="inlineStr">
        <is>
          <t>1946-10-19</t>
        </is>
      </c>
    </row>
    <row r="17119">
      <c r="A17119" s="1" t="n">
        <v>17118</v>
      </c>
      <c r="B17119">
        <f>TEXT(17118, "[$-0E0000]yyyy-mm-dd")</f>
        <v/>
      </c>
      <c r="C17119" t="inlineStr">
        <is>
          <t>1946-10-20</t>
        </is>
      </c>
    </row>
    <row r="17120">
      <c r="A17120" s="1" t="n">
        <v>17119</v>
      </c>
      <c r="B17120">
        <f>TEXT(17119, "[$-0E0000]yyyy-mm-dd")</f>
        <v/>
      </c>
      <c r="C17120" t="inlineStr">
        <is>
          <t>1946-10-21</t>
        </is>
      </c>
    </row>
    <row r="17121">
      <c r="A17121" s="1" t="n">
        <v>17120</v>
      </c>
      <c r="B17121">
        <f>TEXT(17120, "[$-0E0000]yyyy-mm-dd")</f>
        <v/>
      </c>
      <c r="C17121" t="inlineStr">
        <is>
          <t>1946-10-22</t>
        </is>
      </c>
    </row>
    <row r="17122">
      <c r="A17122" s="1" t="n">
        <v>17121</v>
      </c>
      <c r="B17122">
        <f>TEXT(17121, "[$-0E0000]yyyy-mm-dd")</f>
        <v/>
      </c>
      <c r="C17122" t="inlineStr">
        <is>
          <t>1946-10-23</t>
        </is>
      </c>
    </row>
    <row r="17123">
      <c r="A17123" s="1" t="n">
        <v>17122</v>
      </c>
      <c r="B17123">
        <f>TEXT(17122, "[$-0E0000]yyyy-mm-dd")</f>
        <v/>
      </c>
      <c r="C17123" t="inlineStr">
        <is>
          <t>1946-10-24</t>
        </is>
      </c>
    </row>
    <row r="17124">
      <c r="A17124" s="1" t="n">
        <v>17123</v>
      </c>
      <c r="B17124">
        <f>TEXT(17123, "[$-0E0000]yyyy-mm-dd")</f>
        <v/>
      </c>
      <c r="C17124" t="inlineStr">
        <is>
          <t>1946-10-25</t>
        </is>
      </c>
    </row>
    <row r="17125">
      <c r="A17125" s="1" t="n">
        <v>17124</v>
      </c>
      <c r="B17125">
        <f>TEXT(17124, "[$-0E0000]yyyy-mm-dd")</f>
        <v/>
      </c>
      <c r="C17125" t="inlineStr">
        <is>
          <t>1946-10-26</t>
        </is>
      </c>
    </row>
    <row r="17126">
      <c r="A17126" s="1" t="n">
        <v>17125</v>
      </c>
      <c r="B17126">
        <f>TEXT(17125, "[$-0E0000]yyyy-mm-dd")</f>
        <v/>
      </c>
      <c r="C17126" t="inlineStr">
        <is>
          <t>1946-10-27</t>
        </is>
      </c>
    </row>
    <row r="17127">
      <c r="A17127" s="1" t="n">
        <v>17126</v>
      </c>
      <c r="B17127">
        <f>TEXT(17126, "[$-0E0000]yyyy-mm-dd")</f>
        <v/>
      </c>
      <c r="C17127" t="inlineStr">
        <is>
          <t>1946-10-28</t>
        </is>
      </c>
    </row>
    <row r="17128">
      <c r="A17128" s="1" t="n">
        <v>17127</v>
      </c>
      <c r="B17128">
        <f>TEXT(17127, "[$-0E0000]yyyy-mm-dd")</f>
        <v/>
      </c>
      <c r="C17128" t="inlineStr">
        <is>
          <t>1946-10-29</t>
        </is>
      </c>
    </row>
    <row r="17129">
      <c r="A17129" s="1" t="n">
        <v>17128</v>
      </c>
      <c r="B17129">
        <f>TEXT(17128, "[$-0E0000]yyyy-mm-dd")</f>
        <v/>
      </c>
      <c r="C17129" t="inlineStr">
        <is>
          <t>1946-10-30</t>
        </is>
      </c>
    </row>
    <row r="17130">
      <c r="A17130" s="1" t="n">
        <v>17129</v>
      </c>
      <c r="B17130">
        <f>TEXT(17129, "[$-0E0000]yyyy-mm-dd")</f>
        <v/>
      </c>
      <c r="C17130" t="inlineStr">
        <is>
          <t>1946-11-01</t>
        </is>
      </c>
    </row>
    <row r="17131">
      <c r="A17131" s="1" t="n">
        <v>17130</v>
      </c>
      <c r="B17131">
        <f>TEXT(17130, "[$-0E0000]yyyy-mm-dd")</f>
        <v/>
      </c>
      <c r="C17131" t="inlineStr">
        <is>
          <t>1946-11-02</t>
        </is>
      </c>
    </row>
    <row r="17132">
      <c r="A17132" s="1" t="n">
        <v>17131</v>
      </c>
      <c r="B17132">
        <f>TEXT(17131, "[$-0E0000]yyyy-mm-dd")</f>
        <v/>
      </c>
      <c r="C17132" t="inlineStr">
        <is>
          <t>1946-11-03</t>
        </is>
      </c>
    </row>
    <row r="17133">
      <c r="A17133" s="1" t="n">
        <v>17132</v>
      </c>
      <c r="B17133">
        <f>TEXT(17132, "[$-0E0000]yyyy-mm-dd")</f>
        <v/>
      </c>
      <c r="C17133" t="inlineStr">
        <is>
          <t>1946-11-04</t>
        </is>
      </c>
    </row>
    <row r="17134">
      <c r="A17134" s="1" t="n">
        <v>17133</v>
      </c>
      <c r="B17134">
        <f>TEXT(17133, "[$-0E0000]yyyy-mm-dd")</f>
        <v/>
      </c>
      <c r="C17134" t="inlineStr">
        <is>
          <t>1946-11-05</t>
        </is>
      </c>
    </row>
    <row r="17135">
      <c r="A17135" s="1" t="n">
        <v>17134</v>
      </c>
      <c r="B17135">
        <f>TEXT(17134, "[$-0E0000]yyyy-mm-dd")</f>
        <v/>
      </c>
      <c r="C17135" t="inlineStr">
        <is>
          <t>1946-11-06</t>
        </is>
      </c>
    </row>
    <row r="17136">
      <c r="A17136" s="1" t="n">
        <v>17135</v>
      </c>
      <c r="B17136">
        <f>TEXT(17135, "[$-0E0000]yyyy-mm-dd")</f>
        <v/>
      </c>
      <c r="C17136" t="inlineStr">
        <is>
          <t>1946-11-07</t>
        </is>
      </c>
    </row>
    <row r="17137">
      <c r="A17137" s="1" t="n">
        <v>17136</v>
      </c>
      <c r="B17137">
        <f>TEXT(17136, "[$-0E0000]yyyy-mm-dd")</f>
        <v/>
      </c>
      <c r="C17137" t="inlineStr">
        <is>
          <t>1946-11-08</t>
        </is>
      </c>
    </row>
    <row r="17138">
      <c r="A17138" s="1" t="n">
        <v>17137</v>
      </c>
      <c r="B17138">
        <f>TEXT(17137, "[$-0E0000]yyyy-mm-dd")</f>
        <v/>
      </c>
      <c r="C17138" t="inlineStr">
        <is>
          <t>1946-11-09</t>
        </is>
      </c>
    </row>
    <row r="17139">
      <c r="A17139" s="1" t="n">
        <v>17138</v>
      </c>
      <c r="B17139">
        <f>TEXT(17138, "[$-0E0000]yyyy-mm-dd")</f>
        <v/>
      </c>
      <c r="C17139" t="inlineStr">
        <is>
          <t>1946-11-10</t>
        </is>
      </c>
    </row>
    <row r="17140">
      <c r="A17140" s="1" t="n">
        <v>17139</v>
      </c>
      <c r="B17140">
        <f>TEXT(17139, "[$-0E0000]yyyy-mm-dd")</f>
        <v/>
      </c>
      <c r="C17140" t="inlineStr">
        <is>
          <t>1946-11-11</t>
        </is>
      </c>
    </row>
    <row r="17141">
      <c r="A17141" s="1" t="n">
        <v>17140</v>
      </c>
      <c r="B17141">
        <f>TEXT(17140, "[$-0E0000]yyyy-mm-dd")</f>
        <v/>
      </c>
      <c r="C17141" t="inlineStr">
        <is>
          <t>1946-11-12</t>
        </is>
      </c>
    </row>
    <row r="17142">
      <c r="A17142" s="1" t="n">
        <v>17141</v>
      </c>
      <c r="B17142">
        <f>TEXT(17141, "[$-0E0000]yyyy-mm-dd")</f>
        <v/>
      </c>
      <c r="C17142" t="inlineStr">
        <is>
          <t>1946-11-13</t>
        </is>
      </c>
    </row>
    <row r="17143">
      <c r="A17143" s="1" t="n">
        <v>17142</v>
      </c>
      <c r="B17143">
        <f>TEXT(17142, "[$-0E0000]yyyy-mm-dd")</f>
        <v/>
      </c>
      <c r="C17143" t="inlineStr">
        <is>
          <t>1946-11-14</t>
        </is>
      </c>
    </row>
    <row r="17144">
      <c r="A17144" s="1" t="n">
        <v>17143</v>
      </c>
      <c r="B17144">
        <f>TEXT(17143, "[$-0E0000]yyyy-mm-dd")</f>
        <v/>
      </c>
      <c r="C17144" t="inlineStr">
        <is>
          <t>1946-11-15</t>
        </is>
      </c>
    </row>
    <row r="17145">
      <c r="A17145" s="1" t="n">
        <v>17144</v>
      </c>
      <c r="B17145">
        <f>TEXT(17144, "[$-0E0000]yyyy-mm-dd")</f>
        <v/>
      </c>
      <c r="C17145" t="inlineStr">
        <is>
          <t>1946-11-16</t>
        </is>
      </c>
    </row>
    <row r="17146">
      <c r="A17146" s="1" t="n">
        <v>17145</v>
      </c>
      <c r="B17146">
        <f>TEXT(17145, "[$-0E0000]yyyy-mm-dd")</f>
        <v/>
      </c>
      <c r="C17146" t="inlineStr">
        <is>
          <t>1946-11-17</t>
        </is>
      </c>
    </row>
    <row r="17147">
      <c r="A17147" s="1" t="n">
        <v>17146</v>
      </c>
      <c r="B17147">
        <f>TEXT(17146, "[$-0E0000]yyyy-mm-dd")</f>
        <v/>
      </c>
      <c r="C17147" t="inlineStr">
        <is>
          <t>1946-11-18</t>
        </is>
      </c>
    </row>
    <row r="17148">
      <c r="A17148" s="1" t="n">
        <v>17147</v>
      </c>
      <c r="B17148">
        <f>TEXT(17147, "[$-0E0000]yyyy-mm-dd")</f>
        <v/>
      </c>
      <c r="C17148" t="inlineStr">
        <is>
          <t>1946-11-19</t>
        </is>
      </c>
    </row>
    <row r="17149">
      <c r="A17149" s="1" t="n">
        <v>17148</v>
      </c>
      <c r="B17149">
        <f>TEXT(17148, "[$-0E0000]yyyy-mm-dd")</f>
        <v/>
      </c>
      <c r="C17149" t="inlineStr">
        <is>
          <t>1946-11-20</t>
        </is>
      </c>
    </row>
    <row r="17150">
      <c r="A17150" s="1" t="n">
        <v>17149</v>
      </c>
      <c r="B17150">
        <f>TEXT(17149, "[$-0E0000]yyyy-mm-dd")</f>
        <v/>
      </c>
      <c r="C17150" t="inlineStr">
        <is>
          <t>1946-11-21</t>
        </is>
      </c>
    </row>
    <row r="17151">
      <c r="A17151" s="1" t="n">
        <v>17150</v>
      </c>
      <c r="B17151">
        <f>TEXT(17150, "[$-0E0000]yyyy-mm-dd")</f>
        <v/>
      </c>
      <c r="C17151" t="inlineStr">
        <is>
          <t>1946-11-22</t>
        </is>
      </c>
    </row>
    <row r="17152">
      <c r="A17152" s="1" t="n">
        <v>17151</v>
      </c>
      <c r="B17152">
        <f>TEXT(17151, "[$-0E0000]yyyy-mm-dd")</f>
        <v/>
      </c>
      <c r="C17152" t="inlineStr">
        <is>
          <t>1946-11-23</t>
        </is>
      </c>
    </row>
    <row r="17153">
      <c r="A17153" s="1" t="n">
        <v>17152</v>
      </c>
      <c r="B17153">
        <f>TEXT(17152, "[$-0E0000]yyyy-mm-dd")</f>
        <v/>
      </c>
      <c r="C17153" t="inlineStr">
        <is>
          <t>1946-11-24</t>
        </is>
      </c>
    </row>
    <row r="17154">
      <c r="A17154" s="1" t="n">
        <v>17153</v>
      </c>
      <c r="B17154">
        <f>TEXT(17153, "[$-0E0000]yyyy-mm-dd")</f>
        <v/>
      </c>
      <c r="C17154" t="inlineStr">
        <is>
          <t>1946-11-25</t>
        </is>
      </c>
    </row>
    <row r="17155">
      <c r="A17155" s="1" t="n">
        <v>17154</v>
      </c>
      <c r="B17155">
        <f>TEXT(17154, "[$-0E0000]yyyy-mm-dd")</f>
        <v/>
      </c>
      <c r="C17155" t="inlineStr">
        <is>
          <t>1946-11-26</t>
        </is>
      </c>
    </row>
    <row r="17156">
      <c r="A17156" s="1" t="n">
        <v>17155</v>
      </c>
      <c r="B17156">
        <f>TEXT(17155, "[$-0E0000]yyyy-mm-dd")</f>
        <v/>
      </c>
      <c r="C17156" t="inlineStr">
        <is>
          <t>1946-11-27</t>
        </is>
      </c>
    </row>
    <row r="17157">
      <c r="A17157" s="1" t="n">
        <v>17156</v>
      </c>
      <c r="B17157">
        <f>TEXT(17156, "[$-0E0000]yyyy-mm-dd")</f>
        <v/>
      </c>
      <c r="C17157" t="inlineStr">
        <is>
          <t>1946-11-28</t>
        </is>
      </c>
    </row>
    <row r="17158">
      <c r="A17158" s="1" t="n">
        <v>17157</v>
      </c>
      <c r="B17158">
        <f>TEXT(17157, "[$-0E0000]yyyy-mm-dd")</f>
        <v/>
      </c>
      <c r="C17158" t="inlineStr">
        <is>
          <t>1946-11-29</t>
        </is>
      </c>
    </row>
    <row r="17159">
      <c r="A17159" s="1" t="n">
        <v>17158</v>
      </c>
      <c r="B17159">
        <f>TEXT(17158, "[$-0E0000]yyyy-mm-dd")</f>
        <v/>
      </c>
      <c r="C17159" t="inlineStr">
        <is>
          <t>1946-12-01</t>
        </is>
      </c>
    </row>
    <row r="17160">
      <c r="A17160" s="1" t="n">
        <v>17159</v>
      </c>
      <c r="B17160">
        <f>TEXT(17159, "[$-0E0000]yyyy-mm-dd")</f>
        <v/>
      </c>
      <c r="C17160" t="inlineStr">
        <is>
          <t>1946-12-02</t>
        </is>
      </c>
    </row>
    <row r="17161">
      <c r="A17161" s="1" t="n">
        <v>17160</v>
      </c>
      <c r="B17161">
        <f>TEXT(17160, "[$-0E0000]yyyy-mm-dd")</f>
        <v/>
      </c>
      <c r="C17161" t="inlineStr">
        <is>
          <t>1946-12-03</t>
        </is>
      </c>
    </row>
    <row r="17162">
      <c r="A17162" s="1" t="n">
        <v>17161</v>
      </c>
      <c r="B17162">
        <f>TEXT(17161, "[$-0E0000]yyyy-mm-dd")</f>
        <v/>
      </c>
      <c r="C17162" t="inlineStr">
        <is>
          <t>1946-12-04</t>
        </is>
      </c>
    </row>
    <row r="17163">
      <c r="A17163" s="1" t="n">
        <v>17162</v>
      </c>
      <c r="B17163">
        <f>TEXT(17162, "[$-0E0000]yyyy-mm-dd")</f>
        <v/>
      </c>
      <c r="C17163" t="inlineStr">
        <is>
          <t>1946-12-05</t>
        </is>
      </c>
    </row>
    <row r="17164">
      <c r="A17164" s="1" t="n">
        <v>17163</v>
      </c>
      <c r="B17164">
        <f>TEXT(17163, "[$-0E0000]yyyy-mm-dd")</f>
        <v/>
      </c>
      <c r="C17164" t="inlineStr">
        <is>
          <t>1946-12-06</t>
        </is>
      </c>
    </row>
    <row r="17165">
      <c r="A17165" s="1" t="n">
        <v>17164</v>
      </c>
      <c r="B17165">
        <f>TEXT(17164, "[$-0E0000]yyyy-mm-dd")</f>
        <v/>
      </c>
      <c r="C17165" t="inlineStr">
        <is>
          <t>1946-12-07</t>
        </is>
      </c>
    </row>
    <row r="17166">
      <c r="A17166" s="1" t="n">
        <v>17165</v>
      </c>
      <c r="B17166">
        <f>TEXT(17165, "[$-0E0000]yyyy-mm-dd")</f>
        <v/>
      </c>
      <c r="C17166" t="inlineStr">
        <is>
          <t>1946-12-08</t>
        </is>
      </c>
    </row>
    <row r="17167">
      <c r="A17167" s="1" t="n">
        <v>17166</v>
      </c>
      <c r="B17167">
        <f>TEXT(17166, "[$-0E0000]yyyy-mm-dd")</f>
        <v/>
      </c>
      <c r="C17167" t="inlineStr">
        <is>
          <t>1946-12-09</t>
        </is>
      </c>
    </row>
    <row r="17168">
      <c r="A17168" s="1" t="n">
        <v>17167</v>
      </c>
      <c r="B17168">
        <f>TEXT(17167, "[$-0E0000]yyyy-mm-dd")</f>
        <v/>
      </c>
      <c r="C17168" t="inlineStr">
        <is>
          <t>1946-12-10</t>
        </is>
      </c>
    </row>
    <row r="17169">
      <c r="A17169" s="1" t="n">
        <v>17168</v>
      </c>
      <c r="B17169">
        <f>TEXT(17168, "[$-0E0000]yyyy-mm-dd")</f>
        <v/>
      </c>
      <c r="C17169" t="inlineStr">
        <is>
          <t>1946-12-11</t>
        </is>
      </c>
    </row>
    <row r="17170">
      <c r="A17170" s="1" t="n">
        <v>17169</v>
      </c>
      <c r="B17170">
        <f>TEXT(17169, "[$-0E0000]yyyy-mm-dd")</f>
        <v/>
      </c>
      <c r="C17170" t="inlineStr">
        <is>
          <t>1946-12-12</t>
        </is>
      </c>
    </row>
    <row r="17171">
      <c r="A17171" s="1" t="n">
        <v>17170</v>
      </c>
      <c r="B17171">
        <f>TEXT(17170, "[$-0E0000]yyyy-mm-dd")</f>
        <v/>
      </c>
      <c r="C17171" t="inlineStr">
        <is>
          <t>1946-12-13</t>
        </is>
      </c>
    </row>
    <row r="17172">
      <c r="A17172" s="1" t="n">
        <v>17171</v>
      </c>
      <c r="B17172">
        <f>TEXT(17171, "[$-0E0000]yyyy-mm-dd")</f>
        <v/>
      </c>
      <c r="C17172" t="inlineStr">
        <is>
          <t>1946-12-14</t>
        </is>
      </c>
    </row>
    <row r="17173">
      <c r="A17173" s="1" t="n">
        <v>17172</v>
      </c>
      <c r="B17173">
        <f>TEXT(17172, "[$-0E0000]yyyy-mm-dd")</f>
        <v/>
      </c>
      <c r="C17173" t="inlineStr">
        <is>
          <t>1946-12-15</t>
        </is>
      </c>
    </row>
    <row r="17174">
      <c r="A17174" s="1" t="n">
        <v>17173</v>
      </c>
      <c r="B17174">
        <f>TEXT(17173, "[$-0E0000]yyyy-mm-dd")</f>
        <v/>
      </c>
      <c r="C17174" t="inlineStr">
        <is>
          <t>1946-12-16</t>
        </is>
      </c>
    </row>
    <row r="17175">
      <c r="A17175" s="1" t="n">
        <v>17174</v>
      </c>
      <c r="B17175">
        <f>TEXT(17174, "[$-0E0000]yyyy-mm-dd")</f>
        <v/>
      </c>
      <c r="C17175" t="inlineStr">
        <is>
          <t>1946-12-17</t>
        </is>
      </c>
    </row>
    <row r="17176">
      <c r="A17176" s="1" t="n">
        <v>17175</v>
      </c>
      <c r="B17176">
        <f>TEXT(17175, "[$-0E0000]yyyy-mm-dd")</f>
        <v/>
      </c>
      <c r="C17176" t="inlineStr">
        <is>
          <t>1946-12-18</t>
        </is>
      </c>
    </row>
    <row r="17177">
      <c r="A17177" s="1" t="n">
        <v>17176</v>
      </c>
      <c r="B17177">
        <f>TEXT(17176, "[$-0E0000]yyyy-mm-dd")</f>
        <v/>
      </c>
      <c r="C17177" t="inlineStr">
        <is>
          <t>1946-12-19</t>
        </is>
      </c>
    </row>
    <row r="17178">
      <c r="A17178" s="1" t="n">
        <v>17177</v>
      </c>
      <c r="B17178">
        <f>TEXT(17177, "[$-0E0000]yyyy-mm-dd")</f>
        <v/>
      </c>
      <c r="C17178" t="inlineStr">
        <is>
          <t>1946-12-20</t>
        </is>
      </c>
    </row>
    <row r="17179">
      <c r="A17179" s="1" t="n">
        <v>17178</v>
      </c>
      <c r="B17179">
        <f>TEXT(17178, "[$-0E0000]yyyy-mm-dd")</f>
        <v/>
      </c>
      <c r="C17179" t="inlineStr">
        <is>
          <t>1946-12-21</t>
        </is>
      </c>
    </row>
    <row r="17180">
      <c r="A17180" s="1" t="n">
        <v>17179</v>
      </c>
      <c r="B17180">
        <f>TEXT(17179, "[$-0E0000]yyyy-mm-dd")</f>
        <v/>
      </c>
      <c r="C17180" t="inlineStr">
        <is>
          <t>1946-12-22</t>
        </is>
      </c>
    </row>
    <row r="17181">
      <c r="A17181" s="1" t="n">
        <v>17180</v>
      </c>
      <c r="B17181">
        <f>TEXT(17180, "[$-0E0000]yyyy-mm-dd")</f>
        <v/>
      </c>
      <c r="C17181" t="inlineStr">
        <is>
          <t>1946-12-23</t>
        </is>
      </c>
    </row>
    <row r="17182">
      <c r="A17182" s="1" t="n">
        <v>17181</v>
      </c>
      <c r="B17182">
        <f>TEXT(17181, "[$-0E0000]yyyy-mm-dd")</f>
        <v/>
      </c>
      <c r="C17182" t="inlineStr">
        <is>
          <t>1946-12-24</t>
        </is>
      </c>
    </row>
    <row r="17183">
      <c r="A17183" s="1" t="n">
        <v>17182</v>
      </c>
      <c r="B17183">
        <f>TEXT(17182, "[$-0E0000]yyyy-mm-dd")</f>
        <v/>
      </c>
      <c r="C17183" t="inlineStr">
        <is>
          <t>1946-12-25</t>
        </is>
      </c>
    </row>
    <row r="17184">
      <c r="A17184" s="1" t="n">
        <v>17183</v>
      </c>
      <c r="B17184">
        <f>TEXT(17183, "[$-0E0000]yyyy-mm-dd")</f>
        <v/>
      </c>
      <c r="C17184" t="inlineStr">
        <is>
          <t>1946-12-26</t>
        </is>
      </c>
    </row>
    <row r="17185">
      <c r="A17185" s="1" t="n">
        <v>17184</v>
      </c>
      <c r="B17185">
        <f>TEXT(17184, "[$-0E0000]yyyy-mm-dd")</f>
        <v/>
      </c>
      <c r="C17185" t="inlineStr">
        <is>
          <t>1946-12-27</t>
        </is>
      </c>
    </row>
    <row r="17186">
      <c r="A17186" s="1" t="n">
        <v>17185</v>
      </c>
      <c r="B17186">
        <f>TEXT(17185, "[$-0E0000]yyyy-mm-dd")</f>
        <v/>
      </c>
      <c r="C17186" t="inlineStr">
        <is>
          <t>1946-12-28</t>
        </is>
      </c>
    </row>
    <row r="17187">
      <c r="A17187" s="1" t="n">
        <v>17186</v>
      </c>
      <c r="B17187">
        <f>TEXT(17186, "[$-0E0000]yyyy-mm-dd")</f>
        <v/>
      </c>
      <c r="C17187" t="inlineStr">
        <is>
          <t>1946-12-29</t>
        </is>
      </c>
    </row>
    <row r="17188">
      <c r="A17188" s="1" t="n">
        <v>17187</v>
      </c>
      <c r="B17188">
        <f>TEXT(17187, "[$-0E0000]yyyy-mm-dd")</f>
        <v/>
      </c>
      <c r="C17188" t="inlineStr">
        <is>
          <t>1946-12-30</t>
        </is>
      </c>
    </row>
    <row r="17189">
      <c r="A17189" s="1" t="n">
        <v>17188</v>
      </c>
      <c r="B17189">
        <f>TEXT(17188, "[$-0E0000]yyyy-mm-dd")</f>
        <v/>
      </c>
      <c r="C17189" t="inlineStr">
        <is>
          <t>1947-01-01</t>
        </is>
      </c>
    </row>
    <row r="17190">
      <c r="A17190" s="1" t="n">
        <v>17189</v>
      </c>
      <c r="B17190">
        <f>TEXT(17189, "[$-0E0000]yyyy-mm-dd")</f>
        <v/>
      </c>
      <c r="C17190" t="inlineStr">
        <is>
          <t>1947-01-02</t>
        </is>
      </c>
    </row>
    <row r="17191">
      <c r="A17191" s="1" t="n">
        <v>17190</v>
      </c>
      <c r="B17191">
        <f>TEXT(17190, "[$-0E0000]yyyy-mm-dd")</f>
        <v/>
      </c>
      <c r="C17191" t="inlineStr">
        <is>
          <t>1947-01-03</t>
        </is>
      </c>
    </row>
    <row r="17192">
      <c r="A17192" s="1" t="n">
        <v>17191</v>
      </c>
      <c r="B17192">
        <f>TEXT(17191, "[$-0E0000]yyyy-mm-dd")</f>
        <v/>
      </c>
      <c r="C17192" t="inlineStr">
        <is>
          <t>1947-01-04</t>
        </is>
      </c>
    </row>
    <row r="17193">
      <c r="A17193" s="1" t="n">
        <v>17192</v>
      </c>
      <c r="B17193">
        <f>TEXT(17192, "[$-0E0000]yyyy-mm-dd")</f>
        <v/>
      </c>
      <c r="C17193" t="inlineStr">
        <is>
          <t>1947-01-05</t>
        </is>
      </c>
    </row>
    <row r="17194">
      <c r="A17194" s="1" t="n">
        <v>17193</v>
      </c>
      <c r="B17194">
        <f>TEXT(17193, "[$-0E0000]yyyy-mm-dd")</f>
        <v/>
      </c>
      <c r="C17194" t="inlineStr">
        <is>
          <t>1947-01-06</t>
        </is>
      </c>
    </row>
    <row r="17195">
      <c r="A17195" s="1" t="n">
        <v>17194</v>
      </c>
      <c r="B17195">
        <f>TEXT(17194, "[$-0E0000]yyyy-mm-dd")</f>
        <v/>
      </c>
      <c r="C17195" t="inlineStr">
        <is>
          <t>1947-01-07</t>
        </is>
      </c>
    </row>
    <row r="17196">
      <c r="A17196" s="1" t="n">
        <v>17195</v>
      </c>
      <c r="B17196">
        <f>TEXT(17195, "[$-0E0000]yyyy-mm-dd")</f>
        <v/>
      </c>
      <c r="C17196" t="inlineStr">
        <is>
          <t>1947-01-08</t>
        </is>
      </c>
    </row>
    <row r="17197">
      <c r="A17197" s="1" t="n">
        <v>17196</v>
      </c>
      <c r="B17197">
        <f>TEXT(17196, "[$-0E0000]yyyy-mm-dd")</f>
        <v/>
      </c>
      <c r="C17197" t="inlineStr">
        <is>
          <t>1947-01-09</t>
        </is>
      </c>
    </row>
    <row r="17198">
      <c r="A17198" s="1" t="n">
        <v>17197</v>
      </c>
      <c r="B17198">
        <f>TEXT(17197, "[$-0E0000]yyyy-mm-dd")</f>
        <v/>
      </c>
      <c r="C17198" t="inlineStr">
        <is>
          <t>1947-01-10</t>
        </is>
      </c>
    </row>
    <row r="17199">
      <c r="A17199" s="1" t="n">
        <v>17198</v>
      </c>
      <c r="B17199">
        <f>TEXT(17198, "[$-0E0000]yyyy-mm-dd")</f>
        <v/>
      </c>
      <c r="C17199" t="inlineStr">
        <is>
          <t>1947-01-11</t>
        </is>
      </c>
    </row>
    <row r="17200">
      <c r="A17200" s="1" t="n">
        <v>17199</v>
      </c>
      <c r="B17200">
        <f>TEXT(17199, "[$-0E0000]yyyy-mm-dd")</f>
        <v/>
      </c>
      <c r="C17200" t="inlineStr">
        <is>
          <t>1947-01-12</t>
        </is>
      </c>
    </row>
    <row r="17201">
      <c r="A17201" s="1" t="n">
        <v>17200</v>
      </c>
      <c r="B17201">
        <f>TEXT(17200, "[$-0E0000]yyyy-mm-dd")</f>
        <v/>
      </c>
      <c r="C17201" t="inlineStr">
        <is>
          <t>1947-01-13</t>
        </is>
      </c>
    </row>
    <row r="17202">
      <c r="A17202" s="1" t="n">
        <v>17201</v>
      </c>
      <c r="B17202">
        <f>TEXT(17201, "[$-0E0000]yyyy-mm-dd")</f>
        <v/>
      </c>
      <c r="C17202" t="inlineStr">
        <is>
          <t>1947-01-14</t>
        </is>
      </c>
    </row>
    <row r="17203">
      <c r="A17203" s="1" t="n">
        <v>17202</v>
      </c>
      <c r="B17203">
        <f>TEXT(17202, "[$-0E0000]yyyy-mm-dd")</f>
        <v/>
      </c>
      <c r="C17203" t="inlineStr">
        <is>
          <t>1947-01-15</t>
        </is>
      </c>
    </row>
    <row r="17204">
      <c r="A17204" s="1" t="n">
        <v>17203</v>
      </c>
      <c r="B17204">
        <f>TEXT(17203, "[$-0E0000]yyyy-mm-dd")</f>
        <v/>
      </c>
      <c r="C17204" t="inlineStr">
        <is>
          <t>1947-01-16</t>
        </is>
      </c>
    </row>
    <row r="17205">
      <c r="A17205" s="1" t="n">
        <v>17204</v>
      </c>
      <c r="B17205">
        <f>TEXT(17204, "[$-0E0000]yyyy-mm-dd")</f>
        <v/>
      </c>
      <c r="C17205" t="inlineStr">
        <is>
          <t>1947-01-17</t>
        </is>
      </c>
    </row>
    <row r="17206">
      <c r="A17206" s="1" t="n">
        <v>17205</v>
      </c>
      <c r="B17206">
        <f>TEXT(17205, "[$-0E0000]yyyy-mm-dd")</f>
        <v/>
      </c>
      <c r="C17206" t="inlineStr">
        <is>
          <t>1947-01-18</t>
        </is>
      </c>
    </row>
    <row r="17207">
      <c r="A17207" s="1" t="n">
        <v>17206</v>
      </c>
      <c r="B17207">
        <f>TEXT(17206, "[$-0E0000]yyyy-mm-dd")</f>
        <v/>
      </c>
      <c r="C17207" t="inlineStr">
        <is>
          <t>1947-01-19</t>
        </is>
      </c>
    </row>
    <row r="17208">
      <c r="A17208" s="1" t="n">
        <v>17207</v>
      </c>
      <c r="B17208">
        <f>TEXT(17207, "[$-0E0000]yyyy-mm-dd")</f>
        <v/>
      </c>
      <c r="C17208" t="inlineStr">
        <is>
          <t>1947-01-20</t>
        </is>
      </c>
    </row>
    <row r="17209">
      <c r="A17209" s="1" t="n">
        <v>17208</v>
      </c>
      <c r="B17209">
        <f>TEXT(17208, "[$-0E0000]yyyy-mm-dd")</f>
        <v/>
      </c>
      <c r="C17209" t="inlineStr">
        <is>
          <t>1947-01-21</t>
        </is>
      </c>
    </row>
    <row r="17210">
      <c r="A17210" s="1" t="n">
        <v>17209</v>
      </c>
      <c r="B17210">
        <f>TEXT(17209, "[$-0E0000]yyyy-mm-dd")</f>
        <v/>
      </c>
      <c r="C17210" t="inlineStr">
        <is>
          <t>1947-01-22</t>
        </is>
      </c>
    </row>
    <row r="17211">
      <c r="A17211" s="1" t="n">
        <v>17210</v>
      </c>
      <c r="B17211">
        <f>TEXT(17210, "[$-0E0000]yyyy-mm-dd")</f>
        <v/>
      </c>
      <c r="C17211" t="inlineStr">
        <is>
          <t>1947-01-23</t>
        </is>
      </c>
    </row>
    <row r="17212">
      <c r="A17212" s="1" t="n">
        <v>17211</v>
      </c>
      <c r="B17212">
        <f>TEXT(17211, "[$-0E0000]yyyy-mm-dd")</f>
        <v/>
      </c>
      <c r="C17212" t="inlineStr">
        <is>
          <t>1947-01-24</t>
        </is>
      </c>
    </row>
    <row r="17213">
      <c r="A17213" s="1" t="n">
        <v>17212</v>
      </c>
      <c r="B17213">
        <f>TEXT(17212, "[$-0E0000]yyyy-mm-dd")</f>
        <v/>
      </c>
      <c r="C17213" t="inlineStr">
        <is>
          <t>1947-01-25</t>
        </is>
      </c>
    </row>
    <row r="17214">
      <c r="A17214" s="1" t="n">
        <v>17213</v>
      </c>
      <c r="B17214">
        <f>TEXT(17213, "[$-0E0000]yyyy-mm-dd")</f>
        <v/>
      </c>
      <c r="C17214" t="inlineStr">
        <is>
          <t>1947-01-26</t>
        </is>
      </c>
    </row>
    <row r="17215">
      <c r="A17215" s="1" t="n">
        <v>17214</v>
      </c>
      <c r="B17215">
        <f>TEXT(17214, "[$-0E0000]yyyy-mm-dd")</f>
        <v/>
      </c>
      <c r="C17215" t="inlineStr">
        <is>
          <t>1947-01-27</t>
        </is>
      </c>
    </row>
    <row r="17216">
      <c r="A17216" s="1" t="n">
        <v>17215</v>
      </c>
      <c r="B17216">
        <f>TEXT(17215, "[$-0E0000]yyyy-mm-dd")</f>
        <v/>
      </c>
      <c r="C17216" t="inlineStr">
        <is>
          <t>1947-01-28</t>
        </is>
      </c>
    </row>
    <row r="17217">
      <c r="A17217" s="1" t="n">
        <v>17216</v>
      </c>
      <c r="B17217">
        <f>TEXT(17216, "[$-0E0000]yyyy-mm-dd")</f>
        <v/>
      </c>
      <c r="C17217" t="inlineStr">
        <is>
          <t>1947-01-29</t>
        </is>
      </c>
    </row>
    <row r="17218">
      <c r="A17218" s="1" t="n">
        <v>17217</v>
      </c>
      <c r="B17218">
        <f>TEXT(17217, "[$-0E0000]yyyy-mm-dd")</f>
        <v/>
      </c>
      <c r="C17218" t="inlineStr">
        <is>
          <t>1947-01-30</t>
        </is>
      </c>
    </row>
    <row r="17219">
      <c r="A17219" s="1" t="n">
        <v>17218</v>
      </c>
      <c r="B17219">
        <f>TEXT(17218, "[$-0E0000]yyyy-mm-dd")</f>
        <v/>
      </c>
      <c r="C17219" t="inlineStr">
        <is>
          <t>1947-02-01</t>
        </is>
      </c>
    </row>
    <row r="17220">
      <c r="A17220" s="1" t="n">
        <v>17219</v>
      </c>
      <c r="B17220">
        <f>TEXT(17219, "[$-0E0000]yyyy-mm-dd")</f>
        <v/>
      </c>
      <c r="C17220" t="inlineStr">
        <is>
          <t>1947-02-02</t>
        </is>
      </c>
    </row>
    <row r="17221">
      <c r="A17221" s="1" t="n">
        <v>17220</v>
      </c>
      <c r="B17221">
        <f>TEXT(17220, "[$-0E0000]yyyy-mm-dd")</f>
        <v/>
      </c>
      <c r="C17221" t="inlineStr">
        <is>
          <t>1947-02-03</t>
        </is>
      </c>
    </row>
    <row r="17222">
      <c r="A17222" s="1" t="n">
        <v>17221</v>
      </c>
      <c r="B17222">
        <f>TEXT(17221, "[$-0E0000]yyyy-mm-dd")</f>
        <v/>
      </c>
      <c r="C17222" t="inlineStr">
        <is>
          <t>1947-02-04</t>
        </is>
      </c>
    </row>
    <row r="17223">
      <c r="A17223" s="1" t="n">
        <v>17222</v>
      </c>
      <c r="B17223">
        <f>TEXT(17222, "[$-0E0000]yyyy-mm-dd")</f>
        <v/>
      </c>
      <c r="C17223" t="inlineStr">
        <is>
          <t>1947-02-05</t>
        </is>
      </c>
    </row>
    <row r="17224">
      <c r="A17224" s="1" t="n">
        <v>17223</v>
      </c>
      <c r="B17224">
        <f>TEXT(17223, "[$-0E0000]yyyy-mm-dd")</f>
        <v/>
      </c>
      <c r="C17224" t="inlineStr">
        <is>
          <t>1947-02-06</t>
        </is>
      </c>
    </row>
    <row r="17225">
      <c r="A17225" s="1" t="n">
        <v>17224</v>
      </c>
      <c r="B17225">
        <f>TEXT(17224, "[$-0E0000]yyyy-mm-dd")</f>
        <v/>
      </c>
      <c r="C17225" t="inlineStr">
        <is>
          <t>1947-02-07</t>
        </is>
      </c>
    </row>
    <row r="17226">
      <c r="A17226" s="1" t="n">
        <v>17225</v>
      </c>
      <c r="B17226">
        <f>TEXT(17225, "[$-0E0000]yyyy-mm-dd")</f>
        <v/>
      </c>
      <c r="C17226" t="inlineStr">
        <is>
          <t>1947-02-08</t>
        </is>
      </c>
    </row>
    <row r="17227">
      <c r="A17227" s="1" t="n">
        <v>17226</v>
      </c>
      <c r="B17227">
        <f>TEXT(17226, "[$-0E0000]yyyy-mm-dd")</f>
        <v/>
      </c>
      <c r="C17227" t="inlineStr">
        <is>
          <t>1947-02-09</t>
        </is>
      </c>
    </row>
    <row r="17228">
      <c r="A17228" s="1" t="n">
        <v>17227</v>
      </c>
      <c r="B17228">
        <f>TEXT(17227, "[$-0E0000]yyyy-mm-dd")</f>
        <v/>
      </c>
      <c r="C17228" t="inlineStr">
        <is>
          <t>1947-02-10</t>
        </is>
      </c>
    </row>
    <row r="17229">
      <c r="A17229" s="1" t="n">
        <v>17228</v>
      </c>
      <c r="B17229">
        <f>TEXT(17228, "[$-0E0000]yyyy-mm-dd")</f>
        <v/>
      </c>
      <c r="C17229" t="inlineStr">
        <is>
          <t>1947-02-11</t>
        </is>
      </c>
    </row>
    <row r="17230">
      <c r="A17230" s="1" t="n">
        <v>17229</v>
      </c>
      <c r="B17230">
        <f>TEXT(17229, "[$-0E0000]yyyy-mm-dd")</f>
        <v/>
      </c>
      <c r="C17230" t="inlineStr">
        <is>
          <t>1947-02-12</t>
        </is>
      </c>
    </row>
    <row r="17231">
      <c r="A17231" s="1" t="n">
        <v>17230</v>
      </c>
      <c r="B17231">
        <f>TEXT(17230, "[$-0E0000]yyyy-mm-dd")</f>
        <v/>
      </c>
      <c r="C17231" t="inlineStr">
        <is>
          <t>1947-02-13</t>
        </is>
      </c>
    </row>
    <row r="17232">
      <c r="A17232" s="1" t="n">
        <v>17231</v>
      </c>
      <c r="B17232">
        <f>TEXT(17231, "[$-0E0000]yyyy-mm-dd")</f>
        <v/>
      </c>
      <c r="C17232" t="inlineStr">
        <is>
          <t>1947-02-14</t>
        </is>
      </c>
    </row>
    <row r="17233">
      <c r="A17233" s="1" t="n">
        <v>17232</v>
      </c>
      <c r="B17233">
        <f>TEXT(17232, "[$-0E0000]yyyy-mm-dd")</f>
        <v/>
      </c>
      <c r="C17233" t="inlineStr">
        <is>
          <t>1947-02-15</t>
        </is>
      </c>
    </row>
    <row r="17234">
      <c r="A17234" s="1" t="n">
        <v>17233</v>
      </c>
      <c r="B17234">
        <f>TEXT(17233, "[$-0E0000]yyyy-mm-dd")</f>
        <v/>
      </c>
      <c r="C17234" t="inlineStr">
        <is>
          <t>1947-02-16</t>
        </is>
      </c>
    </row>
    <row r="17235">
      <c r="A17235" s="1" t="n">
        <v>17234</v>
      </c>
      <c r="B17235">
        <f>TEXT(17234, "[$-0E0000]yyyy-mm-dd")</f>
        <v/>
      </c>
      <c r="C17235" t="inlineStr">
        <is>
          <t>1947-02-17</t>
        </is>
      </c>
    </row>
    <row r="17236">
      <c r="A17236" s="1" t="n">
        <v>17235</v>
      </c>
      <c r="B17236">
        <f>TEXT(17235, "[$-0E0000]yyyy-mm-dd")</f>
        <v/>
      </c>
      <c r="C17236" t="inlineStr">
        <is>
          <t>1947-02-18</t>
        </is>
      </c>
    </row>
    <row r="17237">
      <c r="A17237" s="1" t="n">
        <v>17236</v>
      </c>
      <c r="B17237">
        <f>TEXT(17236, "[$-0E0000]yyyy-mm-dd")</f>
        <v/>
      </c>
      <c r="C17237" t="inlineStr">
        <is>
          <t>1947-02-19</t>
        </is>
      </c>
    </row>
    <row r="17238">
      <c r="A17238" s="1" t="n">
        <v>17237</v>
      </c>
      <c r="B17238">
        <f>TEXT(17237, "[$-0E0000]yyyy-mm-dd")</f>
        <v/>
      </c>
      <c r="C17238" t="inlineStr">
        <is>
          <t>1947-02-20</t>
        </is>
      </c>
    </row>
    <row r="17239">
      <c r="A17239" s="1" t="n">
        <v>17238</v>
      </c>
      <c r="B17239">
        <f>TEXT(17238, "[$-0E0000]yyyy-mm-dd")</f>
        <v/>
      </c>
      <c r="C17239" t="inlineStr">
        <is>
          <t>1947-02-21</t>
        </is>
      </c>
    </row>
    <row r="17240">
      <c r="A17240" s="1" t="n">
        <v>17239</v>
      </c>
      <c r="B17240">
        <f>TEXT(17239, "[$-0E0000]yyyy-mm-dd")</f>
        <v/>
      </c>
      <c r="C17240" t="inlineStr">
        <is>
          <t>1947-02-22</t>
        </is>
      </c>
    </row>
    <row r="17241">
      <c r="A17241" s="1" t="n">
        <v>17240</v>
      </c>
      <c r="B17241">
        <f>TEXT(17240, "[$-0E0000]yyyy-mm-dd")</f>
        <v/>
      </c>
      <c r="C17241" t="inlineStr">
        <is>
          <t>1947-02-23</t>
        </is>
      </c>
    </row>
    <row r="17242">
      <c r="A17242" s="1" t="n">
        <v>17241</v>
      </c>
      <c r="B17242">
        <f>TEXT(17241, "[$-0E0000]yyyy-mm-dd")</f>
        <v/>
      </c>
      <c r="C17242" t="inlineStr">
        <is>
          <t>1947-02-24</t>
        </is>
      </c>
    </row>
    <row r="17243">
      <c r="A17243" s="1" t="n">
        <v>17242</v>
      </c>
      <c r="B17243">
        <f>TEXT(17242, "[$-0E0000]yyyy-mm-dd")</f>
        <v/>
      </c>
      <c r="C17243" t="inlineStr">
        <is>
          <t>1947-02-25</t>
        </is>
      </c>
    </row>
    <row r="17244">
      <c r="A17244" s="1" t="n">
        <v>17243</v>
      </c>
      <c r="B17244">
        <f>TEXT(17243, "[$-0E0000]yyyy-mm-dd")</f>
        <v/>
      </c>
      <c r="C17244" t="inlineStr">
        <is>
          <t>1947-02-26</t>
        </is>
      </c>
    </row>
    <row r="17245">
      <c r="A17245" s="1" t="n">
        <v>17244</v>
      </c>
      <c r="B17245">
        <f>TEXT(17244, "[$-0E0000]yyyy-mm-dd")</f>
        <v/>
      </c>
      <c r="C17245" t="inlineStr">
        <is>
          <t>1947-02-27</t>
        </is>
      </c>
    </row>
    <row r="17246">
      <c r="A17246" s="1" t="n">
        <v>17245</v>
      </c>
      <c r="B17246">
        <f>TEXT(17245, "[$-0E0000]yyyy-mm-dd")</f>
        <v/>
      </c>
      <c r="C17246" t="inlineStr">
        <is>
          <t>1947-02-28</t>
        </is>
      </c>
    </row>
    <row r="17247">
      <c r="A17247" s="1" t="n">
        <v>17246</v>
      </c>
      <c r="B17247">
        <f>TEXT(17246, "[$-0E0000]yyyy-mm-dd")</f>
        <v/>
      </c>
      <c r="C17247" t="inlineStr">
        <is>
          <t>1947-02-29</t>
        </is>
      </c>
    </row>
    <row r="17248">
      <c r="A17248" s="1" t="n">
        <v>17247</v>
      </c>
      <c r="B17248">
        <f>TEXT(17247, "[$-0E0000]yyyy-mm-dd")</f>
        <v/>
      </c>
      <c r="C17248" t="inlineStr">
        <is>
          <t>1947-02-30</t>
        </is>
      </c>
    </row>
    <row r="17249">
      <c r="A17249" s="1" t="n">
        <v>17248</v>
      </c>
      <c r="B17249">
        <f>TEXT(17248, "[$-0E0000]yyyy-mm-dd")</f>
        <v/>
      </c>
      <c r="C17249" t="inlineStr">
        <is>
          <t>1947-02-01</t>
        </is>
      </c>
    </row>
    <row r="17250">
      <c r="A17250" s="1" t="n">
        <v>17249</v>
      </c>
      <c r="B17250">
        <f>TEXT(17249, "[$-0E0000]yyyy-mm-dd")</f>
        <v/>
      </c>
      <c r="C17250" t="inlineStr">
        <is>
          <t>1947-02-02</t>
        </is>
      </c>
    </row>
    <row r="17251">
      <c r="A17251" s="1" t="n">
        <v>17250</v>
      </c>
      <c r="B17251">
        <f>TEXT(17250, "[$-0E0000]yyyy-mm-dd")</f>
        <v/>
      </c>
      <c r="C17251" t="inlineStr">
        <is>
          <t>1947-02-03</t>
        </is>
      </c>
    </row>
    <row r="17252">
      <c r="A17252" s="1" t="n">
        <v>17251</v>
      </c>
      <c r="B17252">
        <f>TEXT(17251, "[$-0E0000]yyyy-mm-dd")</f>
        <v/>
      </c>
      <c r="C17252" t="inlineStr">
        <is>
          <t>1947-02-04</t>
        </is>
      </c>
    </row>
    <row r="17253">
      <c r="A17253" s="1" t="n">
        <v>17252</v>
      </c>
      <c r="B17253">
        <f>TEXT(17252, "[$-0E0000]yyyy-mm-dd")</f>
        <v/>
      </c>
      <c r="C17253" t="inlineStr">
        <is>
          <t>1947-02-05</t>
        </is>
      </c>
    </row>
    <row r="17254">
      <c r="A17254" s="1" t="n">
        <v>17253</v>
      </c>
      <c r="B17254">
        <f>TEXT(17253, "[$-0E0000]yyyy-mm-dd")</f>
        <v/>
      </c>
      <c r="C17254" t="inlineStr">
        <is>
          <t>1947-02-06</t>
        </is>
      </c>
    </row>
    <row r="17255">
      <c r="A17255" s="1" t="n">
        <v>17254</v>
      </c>
      <c r="B17255">
        <f>TEXT(17254, "[$-0E0000]yyyy-mm-dd")</f>
        <v/>
      </c>
      <c r="C17255" t="inlineStr">
        <is>
          <t>1947-02-07</t>
        </is>
      </c>
    </row>
    <row r="17256">
      <c r="A17256" s="1" t="n">
        <v>17255</v>
      </c>
      <c r="B17256">
        <f>TEXT(17255, "[$-0E0000]yyyy-mm-dd")</f>
        <v/>
      </c>
      <c r="C17256" t="inlineStr">
        <is>
          <t>1947-02-08</t>
        </is>
      </c>
    </row>
    <row r="17257">
      <c r="A17257" s="1" t="n">
        <v>17256</v>
      </c>
      <c r="B17257">
        <f>TEXT(17256, "[$-0E0000]yyyy-mm-dd")</f>
        <v/>
      </c>
      <c r="C17257" t="inlineStr">
        <is>
          <t>1947-02-09</t>
        </is>
      </c>
    </row>
    <row r="17258">
      <c r="A17258" s="1" t="n">
        <v>17257</v>
      </c>
      <c r="B17258">
        <f>TEXT(17257, "[$-0E0000]yyyy-mm-dd")</f>
        <v/>
      </c>
      <c r="C17258" t="inlineStr">
        <is>
          <t>1947-02-10</t>
        </is>
      </c>
    </row>
    <row r="17259">
      <c r="A17259" s="1" t="n">
        <v>17258</v>
      </c>
      <c r="B17259">
        <f>TEXT(17258, "[$-0E0000]yyyy-mm-dd")</f>
        <v/>
      </c>
      <c r="C17259" t="inlineStr">
        <is>
          <t>1947-02-11</t>
        </is>
      </c>
    </row>
    <row r="17260">
      <c r="A17260" s="1" t="n">
        <v>17259</v>
      </c>
      <c r="B17260">
        <f>TEXT(17259, "[$-0E0000]yyyy-mm-dd")</f>
        <v/>
      </c>
      <c r="C17260" t="inlineStr">
        <is>
          <t>1947-02-12</t>
        </is>
      </c>
    </row>
    <row r="17261">
      <c r="A17261" s="1" t="n">
        <v>17260</v>
      </c>
      <c r="B17261">
        <f>TEXT(17260, "[$-0E0000]yyyy-mm-dd")</f>
        <v/>
      </c>
      <c r="C17261" t="inlineStr">
        <is>
          <t>1947-02-13</t>
        </is>
      </c>
    </row>
    <row r="17262">
      <c r="A17262" s="1" t="n">
        <v>17261</v>
      </c>
      <c r="B17262">
        <f>TEXT(17261, "[$-0E0000]yyyy-mm-dd")</f>
        <v/>
      </c>
      <c r="C17262" t="inlineStr">
        <is>
          <t>1947-02-14</t>
        </is>
      </c>
    </row>
    <row r="17263">
      <c r="A17263" s="1" t="n">
        <v>17262</v>
      </c>
      <c r="B17263">
        <f>TEXT(17262, "[$-0E0000]yyyy-mm-dd")</f>
        <v/>
      </c>
      <c r="C17263" t="inlineStr">
        <is>
          <t>1947-02-15</t>
        </is>
      </c>
    </row>
    <row r="17264">
      <c r="A17264" s="1" t="n">
        <v>17263</v>
      </c>
      <c r="B17264">
        <f>TEXT(17263, "[$-0E0000]yyyy-mm-dd")</f>
        <v/>
      </c>
      <c r="C17264" t="inlineStr">
        <is>
          <t>1947-02-16</t>
        </is>
      </c>
    </row>
    <row r="17265">
      <c r="A17265" s="1" t="n">
        <v>17264</v>
      </c>
      <c r="B17265">
        <f>TEXT(17264, "[$-0E0000]yyyy-mm-dd")</f>
        <v/>
      </c>
      <c r="C17265" t="inlineStr">
        <is>
          <t>1947-02-17</t>
        </is>
      </c>
    </row>
    <row r="17266">
      <c r="A17266" s="1" t="n">
        <v>17265</v>
      </c>
      <c r="B17266">
        <f>TEXT(17265, "[$-0E0000]yyyy-mm-dd")</f>
        <v/>
      </c>
      <c r="C17266" t="inlineStr">
        <is>
          <t>1947-02-18</t>
        </is>
      </c>
    </row>
    <row r="17267">
      <c r="A17267" s="1" t="n">
        <v>17266</v>
      </c>
      <c r="B17267">
        <f>TEXT(17266, "[$-0E0000]yyyy-mm-dd")</f>
        <v/>
      </c>
      <c r="C17267" t="inlineStr">
        <is>
          <t>1947-02-19</t>
        </is>
      </c>
    </row>
    <row r="17268">
      <c r="A17268" s="1" t="n">
        <v>17267</v>
      </c>
      <c r="B17268">
        <f>TEXT(17267, "[$-0E0000]yyyy-mm-dd")</f>
        <v/>
      </c>
      <c r="C17268" t="inlineStr">
        <is>
          <t>1947-02-20</t>
        </is>
      </c>
    </row>
    <row r="17269">
      <c r="A17269" s="1" t="n">
        <v>17268</v>
      </c>
      <c r="B17269">
        <f>TEXT(17268, "[$-0E0000]yyyy-mm-dd")</f>
        <v/>
      </c>
      <c r="C17269" t="inlineStr">
        <is>
          <t>1947-02-21</t>
        </is>
      </c>
    </row>
    <row r="17270">
      <c r="A17270" s="1" t="n">
        <v>17269</v>
      </c>
      <c r="B17270">
        <f>TEXT(17269, "[$-0E0000]yyyy-mm-dd")</f>
        <v/>
      </c>
      <c r="C17270" t="inlineStr">
        <is>
          <t>1947-02-22</t>
        </is>
      </c>
    </row>
    <row r="17271">
      <c r="A17271" s="1" t="n">
        <v>17270</v>
      </c>
      <c r="B17271">
        <f>TEXT(17270, "[$-0E0000]yyyy-mm-dd")</f>
        <v/>
      </c>
      <c r="C17271" t="inlineStr">
        <is>
          <t>1947-02-23</t>
        </is>
      </c>
    </row>
    <row r="17272">
      <c r="A17272" s="1" t="n">
        <v>17271</v>
      </c>
      <c r="B17272">
        <f>TEXT(17271, "[$-0E0000]yyyy-mm-dd")</f>
        <v/>
      </c>
      <c r="C17272" t="inlineStr">
        <is>
          <t>1947-02-24</t>
        </is>
      </c>
    </row>
    <row r="17273">
      <c r="A17273" s="1" t="n">
        <v>17272</v>
      </c>
      <c r="B17273">
        <f>TEXT(17272, "[$-0E0000]yyyy-mm-dd")</f>
        <v/>
      </c>
      <c r="C17273" t="inlineStr">
        <is>
          <t>1947-02-25</t>
        </is>
      </c>
    </row>
    <row r="17274">
      <c r="A17274" s="1" t="n">
        <v>17273</v>
      </c>
      <c r="B17274">
        <f>TEXT(17273, "[$-0E0000]yyyy-mm-dd")</f>
        <v/>
      </c>
      <c r="C17274" t="inlineStr">
        <is>
          <t>1947-02-26</t>
        </is>
      </c>
    </row>
    <row r="17275">
      <c r="A17275" s="1" t="n">
        <v>17274</v>
      </c>
      <c r="B17275">
        <f>TEXT(17274, "[$-0E0000]yyyy-mm-dd")</f>
        <v/>
      </c>
      <c r="C17275" t="inlineStr">
        <is>
          <t>1947-02-27</t>
        </is>
      </c>
    </row>
    <row r="17276">
      <c r="A17276" s="1" t="n">
        <v>17275</v>
      </c>
      <c r="B17276">
        <f>TEXT(17275, "[$-0E0000]yyyy-mm-dd")</f>
        <v/>
      </c>
      <c r="C17276" t="inlineStr">
        <is>
          <t>1947-02-28</t>
        </is>
      </c>
    </row>
    <row r="17277">
      <c r="A17277" s="1" t="n">
        <v>17276</v>
      </c>
      <c r="B17277">
        <f>TEXT(17276, "[$-0E0000]yyyy-mm-dd")</f>
        <v/>
      </c>
      <c r="C17277" t="inlineStr">
        <is>
          <t>1947-02-29</t>
        </is>
      </c>
    </row>
    <row r="17278">
      <c r="A17278" s="1" t="n">
        <v>17277</v>
      </c>
      <c r="B17278">
        <f>TEXT(17277, "[$-0E0000]yyyy-mm-dd")</f>
        <v/>
      </c>
      <c r="C17278" t="inlineStr">
        <is>
          <t>1947-03-01</t>
        </is>
      </c>
    </row>
    <row r="17279">
      <c r="A17279" s="1" t="n">
        <v>17278</v>
      </c>
      <c r="B17279">
        <f>TEXT(17278, "[$-0E0000]yyyy-mm-dd")</f>
        <v/>
      </c>
      <c r="C17279" t="inlineStr">
        <is>
          <t>1947-03-02</t>
        </is>
      </c>
    </row>
    <row r="17280">
      <c r="A17280" s="1" t="n">
        <v>17279</v>
      </c>
      <c r="B17280">
        <f>TEXT(17279, "[$-0E0000]yyyy-mm-dd")</f>
        <v/>
      </c>
      <c r="C17280" t="inlineStr">
        <is>
          <t>1947-03-03</t>
        </is>
      </c>
    </row>
    <row r="17281">
      <c r="A17281" s="1" t="n">
        <v>17280</v>
      </c>
      <c r="B17281">
        <f>TEXT(17280, "[$-0E0000]yyyy-mm-dd")</f>
        <v/>
      </c>
      <c r="C17281" t="inlineStr">
        <is>
          <t>1947-03-04</t>
        </is>
      </c>
    </row>
    <row r="17282">
      <c r="A17282" s="1" t="n">
        <v>17281</v>
      </c>
      <c r="B17282">
        <f>TEXT(17281, "[$-0E0000]yyyy-mm-dd")</f>
        <v/>
      </c>
      <c r="C17282" t="inlineStr">
        <is>
          <t>1947-03-05</t>
        </is>
      </c>
    </row>
    <row r="17283">
      <c r="A17283" s="1" t="n">
        <v>17282</v>
      </c>
      <c r="B17283">
        <f>TEXT(17282, "[$-0E0000]yyyy-mm-dd")</f>
        <v/>
      </c>
      <c r="C17283" t="inlineStr">
        <is>
          <t>1947-03-06</t>
        </is>
      </c>
    </row>
    <row r="17284">
      <c r="A17284" s="1" t="n">
        <v>17283</v>
      </c>
      <c r="B17284">
        <f>TEXT(17283, "[$-0E0000]yyyy-mm-dd")</f>
        <v/>
      </c>
      <c r="C17284" t="inlineStr">
        <is>
          <t>1947-03-07</t>
        </is>
      </c>
    </row>
    <row r="17285">
      <c r="A17285" s="1" t="n">
        <v>17284</v>
      </c>
      <c r="B17285">
        <f>TEXT(17284, "[$-0E0000]yyyy-mm-dd")</f>
        <v/>
      </c>
      <c r="C17285" t="inlineStr">
        <is>
          <t>1947-03-08</t>
        </is>
      </c>
    </row>
    <row r="17286">
      <c r="A17286" s="1" t="n">
        <v>17285</v>
      </c>
      <c r="B17286">
        <f>TEXT(17285, "[$-0E0000]yyyy-mm-dd")</f>
        <v/>
      </c>
      <c r="C17286" t="inlineStr">
        <is>
          <t>1947-03-09</t>
        </is>
      </c>
    </row>
    <row r="17287">
      <c r="A17287" s="1" t="n">
        <v>17286</v>
      </c>
      <c r="B17287">
        <f>TEXT(17286, "[$-0E0000]yyyy-mm-dd")</f>
        <v/>
      </c>
      <c r="C17287" t="inlineStr">
        <is>
          <t>1947-03-10</t>
        </is>
      </c>
    </row>
    <row r="17288">
      <c r="A17288" s="1" t="n">
        <v>17287</v>
      </c>
      <c r="B17288">
        <f>TEXT(17287, "[$-0E0000]yyyy-mm-dd")</f>
        <v/>
      </c>
      <c r="C17288" t="inlineStr">
        <is>
          <t>1947-03-11</t>
        </is>
      </c>
    </row>
    <row r="17289">
      <c r="A17289" s="1" t="n">
        <v>17288</v>
      </c>
      <c r="B17289">
        <f>TEXT(17288, "[$-0E0000]yyyy-mm-dd")</f>
        <v/>
      </c>
      <c r="C17289" t="inlineStr">
        <is>
          <t>1947-03-12</t>
        </is>
      </c>
    </row>
    <row r="17290">
      <c r="A17290" s="1" t="n">
        <v>17289</v>
      </c>
      <c r="B17290">
        <f>TEXT(17289, "[$-0E0000]yyyy-mm-dd")</f>
        <v/>
      </c>
      <c r="C17290" t="inlineStr">
        <is>
          <t>1947-03-13</t>
        </is>
      </c>
    </row>
    <row r="17291">
      <c r="A17291" s="1" t="n">
        <v>17290</v>
      </c>
      <c r="B17291">
        <f>TEXT(17290, "[$-0E0000]yyyy-mm-dd")</f>
        <v/>
      </c>
      <c r="C17291" t="inlineStr">
        <is>
          <t>1947-03-14</t>
        </is>
      </c>
    </row>
    <row r="17292">
      <c r="A17292" s="1" t="n">
        <v>17291</v>
      </c>
      <c r="B17292">
        <f>TEXT(17291, "[$-0E0000]yyyy-mm-dd")</f>
        <v/>
      </c>
      <c r="C17292" t="inlineStr">
        <is>
          <t>1947-03-15</t>
        </is>
      </c>
    </row>
    <row r="17293">
      <c r="A17293" s="1" t="n">
        <v>17292</v>
      </c>
      <c r="B17293">
        <f>TEXT(17292, "[$-0E0000]yyyy-mm-dd")</f>
        <v/>
      </c>
      <c r="C17293" t="inlineStr">
        <is>
          <t>1947-03-16</t>
        </is>
      </c>
    </row>
    <row r="17294">
      <c r="A17294" s="1" t="n">
        <v>17293</v>
      </c>
      <c r="B17294">
        <f>TEXT(17293, "[$-0E0000]yyyy-mm-dd")</f>
        <v/>
      </c>
      <c r="C17294" t="inlineStr">
        <is>
          <t>1947-03-17</t>
        </is>
      </c>
    </row>
    <row r="17295">
      <c r="A17295" s="1" t="n">
        <v>17294</v>
      </c>
      <c r="B17295">
        <f>TEXT(17294, "[$-0E0000]yyyy-mm-dd")</f>
        <v/>
      </c>
      <c r="C17295" t="inlineStr">
        <is>
          <t>1947-03-18</t>
        </is>
      </c>
    </row>
    <row r="17296">
      <c r="A17296" s="1" t="n">
        <v>17295</v>
      </c>
      <c r="B17296">
        <f>TEXT(17295, "[$-0E0000]yyyy-mm-dd")</f>
        <v/>
      </c>
      <c r="C17296" t="inlineStr">
        <is>
          <t>1947-03-19</t>
        </is>
      </c>
    </row>
    <row r="17297">
      <c r="A17297" s="1" t="n">
        <v>17296</v>
      </c>
      <c r="B17297">
        <f>TEXT(17296, "[$-0E0000]yyyy-mm-dd")</f>
        <v/>
      </c>
      <c r="C17297" t="inlineStr">
        <is>
          <t>1947-03-20</t>
        </is>
      </c>
    </row>
    <row r="17298">
      <c r="A17298" s="1" t="n">
        <v>17297</v>
      </c>
      <c r="B17298">
        <f>TEXT(17297, "[$-0E0000]yyyy-mm-dd")</f>
        <v/>
      </c>
      <c r="C17298" t="inlineStr">
        <is>
          <t>1947-03-21</t>
        </is>
      </c>
    </row>
    <row r="17299">
      <c r="A17299" s="1" t="n">
        <v>17298</v>
      </c>
      <c r="B17299">
        <f>TEXT(17298, "[$-0E0000]yyyy-mm-dd")</f>
        <v/>
      </c>
      <c r="C17299" t="inlineStr">
        <is>
          <t>1947-03-22</t>
        </is>
      </c>
    </row>
    <row r="17300">
      <c r="A17300" s="1" t="n">
        <v>17299</v>
      </c>
      <c r="B17300">
        <f>TEXT(17299, "[$-0E0000]yyyy-mm-dd")</f>
        <v/>
      </c>
      <c r="C17300" t="inlineStr">
        <is>
          <t>1947-03-23</t>
        </is>
      </c>
    </row>
    <row r="17301">
      <c r="A17301" s="1" t="n">
        <v>17300</v>
      </c>
      <c r="B17301">
        <f>TEXT(17300, "[$-0E0000]yyyy-mm-dd")</f>
        <v/>
      </c>
      <c r="C17301" t="inlineStr">
        <is>
          <t>1947-03-24</t>
        </is>
      </c>
    </row>
    <row r="17302">
      <c r="A17302" s="1" t="n">
        <v>17301</v>
      </c>
      <c r="B17302">
        <f>TEXT(17301, "[$-0E0000]yyyy-mm-dd")</f>
        <v/>
      </c>
      <c r="C17302" t="inlineStr">
        <is>
          <t>1947-03-25</t>
        </is>
      </c>
    </row>
    <row r="17303">
      <c r="A17303" s="1" t="n">
        <v>17302</v>
      </c>
      <c r="B17303">
        <f>TEXT(17302, "[$-0E0000]yyyy-mm-dd")</f>
        <v/>
      </c>
      <c r="C17303" t="inlineStr">
        <is>
          <t>1947-03-26</t>
        </is>
      </c>
    </row>
    <row r="17304">
      <c r="A17304" s="1" t="n">
        <v>17303</v>
      </c>
      <c r="B17304">
        <f>TEXT(17303, "[$-0E0000]yyyy-mm-dd")</f>
        <v/>
      </c>
      <c r="C17304" t="inlineStr">
        <is>
          <t>1947-03-27</t>
        </is>
      </c>
    </row>
    <row r="17305">
      <c r="A17305" s="1" t="n">
        <v>17304</v>
      </c>
      <c r="B17305">
        <f>TEXT(17304, "[$-0E0000]yyyy-mm-dd")</f>
        <v/>
      </c>
      <c r="C17305" t="inlineStr">
        <is>
          <t>1947-03-28</t>
        </is>
      </c>
    </row>
    <row r="17306">
      <c r="A17306" s="1" t="n">
        <v>17305</v>
      </c>
      <c r="B17306">
        <f>TEXT(17305, "[$-0E0000]yyyy-mm-dd")</f>
        <v/>
      </c>
      <c r="C17306" t="inlineStr">
        <is>
          <t>1947-03-29</t>
        </is>
      </c>
    </row>
    <row r="17307">
      <c r="A17307" s="1" t="n">
        <v>17306</v>
      </c>
      <c r="B17307">
        <f>TEXT(17306, "[$-0E0000]yyyy-mm-dd")</f>
        <v/>
      </c>
      <c r="C17307" t="inlineStr">
        <is>
          <t>1947-04-01</t>
        </is>
      </c>
    </row>
    <row r="17308">
      <c r="A17308" s="1" t="n">
        <v>17307</v>
      </c>
      <c r="B17308">
        <f>TEXT(17307, "[$-0E0000]yyyy-mm-dd")</f>
        <v/>
      </c>
      <c r="C17308" t="inlineStr">
        <is>
          <t>1947-04-02</t>
        </is>
      </c>
    </row>
    <row r="17309">
      <c r="A17309" s="1" t="n">
        <v>17308</v>
      </c>
      <c r="B17309">
        <f>TEXT(17308, "[$-0E0000]yyyy-mm-dd")</f>
        <v/>
      </c>
      <c r="C17309" t="inlineStr">
        <is>
          <t>1947-04-03</t>
        </is>
      </c>
    </row>
    <row r="17310">
      <c r="A17310" s="1" t="n">
        <v>17309</v>
      </c>
      <c r="B17310">
        <f>TEXT(17309, "[$-0E0000]yyyy-mm-dd")</f>
        <v/>
      </c>
      <c r="C17310" t="inlineStr">
        <is>
          <t>1947-04-04</t>
        </is>
      </c>
    </row>
    <row r="17311">
      <c r="A17311" s="1" t="n">
        <v>17310</v>
      </c>
      <c r="B17311">
        <f>TEXT(17310, "[$-0E0000]yyyy-mm-dd")</f>
        <v/>
      </c>
      <c r="C17311" t="inlineStr">
        <is>
          <t>1947-04-05</t>
        </is>
      </c>
    </row>
    <row r="17312">
      <c r="A17312" s="1" t="n">
        <v>17311</v>
      </c>
      <c r="B17312">
        <f>TEXT(17311, "[$-0E0000]yyyy-mm-dd")</f>
        <v/>
      </c>
      <c r="C17312" t="inlineStr">
        <is>
          <t>1947-04-06</t>
        </is>
      </c>
    </row>
    <row r="17313">
      <c r="A17313" s="1" t="n">
        <v>17312</v>
      </c>
      <c r="B17313">
        <f>TEXT(17312, "[$-0E0000]yyyy-mm-dd")</f>
        <v/>
      </c>
      <c r="C17313" t="inlineStr">
        <is>
          <t>1947-04-07</t>
        </is>
      </c>
    </row>
    <row r="17314">
      <c r="A17314" s="1" t="n">
        <v>17313</v>
      </c>
      <c r="B17314">
        <f>TEXT(17313, "[$-0E0000]yyyy-mm-dd")</f>
        <v/>
      </c>
      <c r="C17314" t="inlineStr">
        <is>
          <t>1947-04-08</t>
        </is>
      </c>
    </row>
    <row r="17315">
      <c r="A17315" s="1" t="n">
        <v>17314</v>
      </c>
      <c r="B17315">
        <f>TEXT(17314, "[$-0E0000]yyyy-mm-dd")</f>
        <v/>
      </c>
      <c r="C17315" t="inlineStr">
        <is>
          <t>1947-04-09</t>
        </is>
      </c>
    </row>
    <row r="17316">
      <c r="A17316" s="1" t="n">
        <v>17315</v>
      </c>
      <c r="B17316">
        <f>TEXT(17315, "[$-0E0000]yyyy-mm-dd")</f>
        <v/>
      </c>
      <c r="C17316" t="inlineStr">
        <is>
          <t>1947-04-10</t>
        </is>
      </c>
    </row>
    <row r="17317">
      <c r="A17317" s="1" t="n">
        <v>17316</v>
      </c>
      <c r="B17317">
        <f>TEXT(17316, "[$-0E0000]yyyy-mm-dd")</f>
        <v/>
      </c>
      <c r="C17317" t="inlineStr">
        <is>
          <t>1947-04-11</t>
        </is>
      </c>
    </row>
    <row r="17318">
      <c r="A17318" s="1" t="n">
        <v>17317</v>
      </c>
      <c r="B17318">
        <f>TEXT(17317, "[$-0E0000]yyyy-mm-dd")</f>
        <v/>
      </c>
      <c r="C17318" t="inlineStr">
        <is>
          <t>1947-04-12</t>
        </is>
      </c>
    </row>
    <row r="17319">
      <c r="A17319" s="1" t="n">
        <v>17318</v>
      </c>
      <c r="B17319">
        <f>TEXT(17318, "[$-0E0000]yyyy-mm-dd")</f>
        <v/>
      </c>
      <c r="C17319" t="inlineStr">
        <is>
          <t>1947-04-13</t>
        </is>
      </c>
    </row>
    <row r="17320">
      <c r="A17320" s="1" t="n">
        <v>17319</v>
      </c>
      <c r="B17320">
        <f>TEXT(17319, "[$-0E0000]yyyy-mm-dd")</f>
        <v/>
      </c>
      <c r="C17320" t="inlineStr">
        <is>
          <t>1947-04-14</t>
        </is>
      </c>
    </row>
    <row r="17321">
      <c r="A17321" s="1" t="n">
        <v>17320</v>
      </c>
      <c r="B17321">
        <f>TEXT(17320, "[$-0E0000]yyyy-mm-dd")</f>
        <v/>
      </c>
      <c r="C17321" t="inlineStr">
        <is>
          <t>1947-04-15</t>
        </is>
      </c>
    </row>
    <row r="17322">
      <c r="A17322" s="1" t="n">
        <v>17321</v>
      </c>
      <c r="B17322">
        <f>TEXT(17321, "[$-0E0000]yyyy-mm-dd")</f>
        <v/>
      </c>
      <c r="C17322" t="inlineStr">
        <is>
          <t>1947-04-16</t>
        </is>
      </c>
    </row>
    <row r="17323">
      <c r="A17323" s="1" t="n">
        <v>17322</v>
      </c>
      <c r="B17323">
        <f>TEXT(17322, "[$-0E0000]yyyy-mm-dd")</f>
        <v/>
      </c>
      <c r="C17323" t="inlineStr">
        <is>
          <t>1947-04-17</t>
        </is>
      </c>
    </row>
    <row r="17324">
      <c r="A17324" s="1" t="n">
        <v>17323</v>
      </c>
      <c r="B17324">
        <f>TEXT(17323, "[$-0E0000]yyyy-mm-dd")</f>
        <v/>
      </c>
      <c r="C17324" t="inlineStr">
        <is>
          <t>1947-04-18</t>
        </is>
      </c>
    </row>
    <row r="17325">
      <c r="A17325" s="1" t="n">
        <v>17324</v>
      </c>
      <c r="B17325">
        <f>TEXT(17324, "[$-0E0000]yyyy-mm-dd")</f>
        <v/>
      </c>
      <c r="C17325" t="inlineStr">
        <is>
          <t>1947-04-19</t>
        </is>
      </c>
    </row>
    <row r="17326">
      <c r="A17326" s="1" t="n">
        <v>17325</v>
      </c>
      <c r="B17326">
        <f>TEXT(17325, "[$-0E0000]yyyy-mm-dd")</f>
        <v/>
      </c>
      <c r="C17326" t="inlineStr">
        <is>
          <t>1947-04-20</t>
        </is>
      </c>
    </row>
    <row r="17327">
      <c r="A17327" s="1" t="n">
        <v>17326</v>
      </c>
      <c r="B17327">
        <f>TEXT(17326, "[$-0E0000]yyyy-mm-dd")</f>
        <v/>
      </c>
      <c r="C17327" t="inlineStr">
        <is>
          <t>1947-04-21</t>
        </is>
      </c>
    </row>
    <row r="17328">
      <c r="A17328" s="1" t="n">
        <v>17327</v>
      </c>
      <c r="B17328">
        <f>TEXT(17327, "[$-0E0000]yyyy-mm-dd")</f>
        <v/>
      </c>
      <c r="C17328" t="inlineStr">
        <is>
          <t>1947-04-22</t>
        </is>
      </c>
    </row>
    <row r="17329">
      <c r="A17329" s="1" t="n">
        <v>17328</v>
      </c>
      <c r="B17329">
        <f>TEXT(17328, "[$-0E0000]yyyy-mm-dd")</f>
        <v/>
      </c>
      <c r="C17329" t="inlineStr">
        <is>
          <t>1947-04-23</t>
        </is>
      </c>
    </row>
    <row r="17330">
      <c r="A17330" s="1" t="n">
        <v>17329</v>
      </c>
      <c r="B17330">
        <f>TEXT(17329, "[$-0E0000]yyyy-mm-dd")</f>
        <v/>
      </c>
      <c r="C17330" t="inlineStr">
        <is>
          <t>1947-04-24</t>
        </is>
      </c>
    </row>
    <row r="17331">
      <c r="A17331" s="1" t="n">
        <v>17330</v>
      </c>
      <c r="B17331">
        <f>TEXT(17330, "[$-0E0000]yyyy-mm-dd")</f>
        <v/>
      </c>
      <c r="C17331" t="inlineStr">
        <is>
          <t>1947-04-25</t>
        </is>
      </c>
    </row>
    <row r="17332">
      <c r="A17332" s="1" t="n">
        <v>17331</v>
      </c>
      <c r="B17332">
        <f>TEXT(17331, "[$-0E0000]yyyy-mm-dd")</f>
        <v/>
      </c>
      <c r="C17332" t="inlineStr">
        <is>
          <t>1947-04-26</t>
        </is>
      </c>
    </row>
    <row r="17333">
      <c r="A17333" s="1" t="n">
        <v>17332</v>
      </c>
      <c r="B17333">
        <f>TEXT(17332, "[$-0E0000]yyyy-mm-dd")</f>
        <v/>
      </c>
      <c r="C17333" t="inlineStr">
        <is>
          <t>1947-04-27</t>
        </is>
      </c>
    </row>
    <row r="17334">
      <c r="A17334" s="1" t="n">
        <v>17333</v>
      </c>
      <c r="B17334">
        <f>TEXT(17333, "[$-0E0000]yyyy-mm-dd")</f>
        <v/>
      </c>
      <c r="C17334" t="inlineStr">
        <is>
          <t>1947-04-28</t>
        </is>
      </c>
    </row>
    <row r="17335">
      <c r="A17335" s="1" t="n">
        <v>17334</v>
      </c>
      <c r="B17335">
        <f>TEXT(17334, "[$-0E0000]yyyy-mm-dd")</f>
        <v/>
      </c>
      <c r="C17335" t="inlineStr">
        <is>
          <t>1947-04-29</t>
        </is>
      </c>
    </row>
    <row r="17336">
      <c r="A17336" s="1" t="n">
        <v>17335</v>
      </c>
      <c r="B17336">
        <f>TEXT(17335, "[$-0E0000]yyyy-mm-dd")</f>
        <v/>
      </c>
      <c r="C17336" t="inlineStr">
        <is>
          <t>1947-04-30</t>
        </is>
      </c>
    </row>
    <row r="17337">
      <c r="A17337" s="1" t="n">
        <v>17336</v>
      </c>
      <c r="B17337">
        <f>TEXT(17336, "[$-0E0000]yyyy-mm-dd")</f>
        <v/>
      </c>
      <c r="C17337" t="inlineStr">
        <is>
          <t>1947-05-01</t>
        </is>
      </c>
    </row>
    <row r="17338">
      <c r="A17338" s="1" t="n">
        <v>17337</v>
      </c>
      <c r="B17338">
        <f>TEXT(17337, "[$-0E0000]yyyy-mm-dd")</f>
        <v/>
      </c>
      <c r="C17338" t="inlineStr">
        <is>
          <t>1947-05-02</t>
        </is>
      </c>
    </row>
    <row r="17339">
      <c r="A17339" s="1" t="n">
        <v>17338</v>
      </c>
      <c r="B17339">
        <f>TEXT(17338, "[$-0E0000]yyyy-mm-dd")</f>
        <v/>
      </c>
      <c r="C17339" t="inlineStr">
        <is>
          <t>1947-05-03</t>
        </is>
      </c>
    </row>
    <row r="17340">
      <c r="A17340" s="1" t="n">
        <v>17339</v>
      </c>
      <c r="B17340">
        <f>TEXT(17339, "[$-0E0000]yyyy-mm-dd")</f>
        <v/>
      </c>
      <c r="C17340" t="inlineStr">
        <is>
          <t>1947-05-04</t>
        </is>
      </c>
    </row>
    <row r="17341">
      <c r="A17341" s="1" t="n">
        <v>17340</v>
      </c>
      <c r="B17341">
        <f>TEXT(17340, "[$-0E0000]yyyy-mm-dd")</f>
        <v/>
      </c>
      <c r="C17341" t="inlineStr">
        <is>
          <t>1947-05-05</t>
        </is>
      </c>
    </row>
    <row r="17342">
      <c r="A17342" s="1" t="n">
        <v>17341</v>
      </c>
      <c r="B17342">
        <f>TEXT(17341, "[$-0E0000]yyyy-mm-dd")</f>
        <v/>
      </c>
      <c r="C17342" t="inlineStr">
        <is>
          <t>1947-05-06</t>
        </is>
      </c>
    </row>
    <row r="17343">
      <c r="A17343" s="1" t="n">
        <v>17342</v>
      </c>
      <c r="B17343">
        <f>TEXT(17342, "[$-0E0000]yyyy-mm-dd")</f>
        <v/>
      </c>
      <c r="C17343" t="inlineStr">
        <is>
          <t>1947-05-07</t>
        </is>
      </c>
    </row>
    <row r="17344">
      <c r="A17344" s="1" t="n">
        <v>17343</v>
      </c>
      <c r="B17344">
        <f>TEXT(17343, "[$-0E0000]yyyy-mm-dd")</f>
        <v/>
      </c>
      <c r="C17344" t="inlineStr">
        <is>
          <t>1947-05-08</t>
        </is>
      </c>
    </row>
    <row r="17345">
      <c r="A17345" s="1" t="n">
        <v>17344</v>
      </c>
      <c r="B17345">
        <f>TEXT(17344, "[$-0E0000]yyyy-mm-dd")</f>
        <v/>
      </c>
      <c r="C17345" t="inlineStr">
        <is>
          <t>1947-05-09</t>
        </is>
      </c>
    </row>
    <row r="17346">
      <c r="A17346" s="1" t="n">
        <v>17345</v>
      </c>
      <c r="B17346">
        <f>TEXT(17345, "[$-0E0000]yyyy-mm-dd")</f>
        <v/>
      </c>
      <c r="C17346" t="inlineStr">
        <is>
          <t>1947-05-10</t>
        </is>
      </c>
    </row>
    <row r="17347">
      <c r="A17347" s="1" t="n">
        <v>17346</v>
      </c>
      <c r="B17347">
        <f>TEXT(17346, "[$-0E0000]yyyy-mm-dd")</f>
        <v/>
      </c>
      <c r="C17347" t="inlineStr">
        <is>
          <t>1947-05-11</t>
        </is>
      </c>
    </row>
    <row r="17348">
      <c r="A17348" s="1" t="n">
        <v>17347</v>
      </c>
      <c r="B17348">
        <f>TEXT(17347, "[$-0E0000]yyyy-mm-dd")</f>
        <v/>
      </c>
      <c r="C17348" t="inlineStr">
        <is>
          <t>1947-05-12</t>
        </is>
      </c>
    </row>
    <row r="17349">
      <c r="A17349" s="1" t="n">
        <v>17348</v>
      </c>
      <c r="B17349">
        <f>TEXT(17348, "[$-0E0000]yyyy-mm-dd")</f>
        <v/>
      </c>
      <c r="C17349" t="inlineStr">
        <is>
          <t>1947-05-13</t>
        </is>
      </c>
    </row>
    <row r="17350">
      <c r="A17350" s="1" t="n">
        <v>17349</v>
      </c>
      <c r="B17350">
        <f>TEXT(17349, "[$-0E0000]yyyy-mm-dd")</f>
        <v/>
      </c>
      <c r="C17350" t="inlineStr">
        <is>
          <t>1947-05-14</t>
        </is>
      </c>
    </row>
    <row r="17351">
      <c r="A17351" s="1" t="n">
        <v>17350</v>
      </c>
      <c r="B17351">
        <f>TEXT(17350, "[$-0E0000]yyyy-mm-dd")</f>
        <v/>
      </c>
      <c r="C17351" t="inlineStr">
        <is>
          <t>1947-05-15</t>
        </is>
      </c>
    </row>
    <row r="17352">
      <c r="A17352" s="1" t="n">
        <v>17351</v>
      </c>
      <c r="B17352">
        <f>TEXT(17351, "[$-0E0000]yyyy-mm-dd")</f>
        <v/>
      </c>
      <c r="C17352" t="inlineStr">
        <is>
          <t>1947-05-16</t>
        </is>
      </c>
    </row>
    <row r="17353">
      <c r="A17353" s="1" t="n">
        <v>17352</v>
      </c>
      <c r="B17353">
        <f>TEXT(17352, "[$-0E0000]yyyy-mm-dd")</f>
        <v/>
      </c>
      <c r="C17353" t="inlineStr">
        <is>
          <t>1947-05-17</t>
        </is>
      </c>
    </row>
    <row r="17354">
      <c r="A17354" s="1" t="n">
        <v>17353</v>
      </c>
      <c r="B17354">
        <f>TEXT(17353, "[$-0E0000]yyyy-mm-dd")</f>
        <v/>
      </c>
      <c r="C17354" t="inlineStr">
        <is>
          <t>1947-05-18</t>
        </is>
      </c>
    </row>
    <row r="17355">
      <c r="A17355" s="1" t="n">
        <v>17354</v>
      </c>
      <c r="B17355">
        <f>TEXT(17354, "[$-0E0000]yyyy-mm-dd")</f>
        <v/>
      </c>
      <c r="C17355" t="inlineStr">
        <is>
          <t>1947-05-19</t>
        </is>
      </c>
    </row>
    <row r="17356">
      <c r="A17356" s="1" t="n">
        <v>17355</v>
      </c>
      <c r="B17356">
        <f>TEXT(17355, "[$-0E0000]yyyy-mm-dd")</f>
        <v/>
      </c>
      <c r="C17356" t="inlineStr">
        <is>
          <t>1947-05-20</t>
        </is>
      </c>
    </row>
    <row r="17357">
      <c r="A17357" s="1" t="n">
        <v>17356</v>
      </c>
      <c r="B17357">
        <f>TEXT(17356, "[$-0E0000]yyyy-mm-dd")</f>
        <v/>
      </c>
      <c r="C17357" t="inlineStr">
        <is>
          <t>1947-05-21</t>
        </is>
      </c>
    </row>
    <row r="17358">
      <c r="A17358" s="1" t="n">
        <v>17357</v>
      </c>
      <c r="B17358">
        <f>TEXT(17357, "[$-0E0000]yyyy-mm-dd")</f>
        <v/>
      </c>
      <c r="C17358" t="inlineStr">
        <is>
          <t>1947-05-22</t>
        </is>
      </c>
    </row>
    <row r="17359">
      <c r="A17359" s="1" t="n">
        <v>17358</v>
      </c>
      <c r="B17359">
        <f>TEXT(17358, "[$-0E0000]yyyy-mm-dd")</f>
        <v/>
      </c>
      <c r="C17359" t="inlineStr">
        <is>
          <t>1947-05-23</t>
        </is>
      </c>
    </row>
    <row r="17360">
      <c r="A17360" s="1" t="n">
        <v>17359</v>
      </c>
      <c r="B17360">
        <f>TEXT(17359, "[$-0E0000]yyyy-mm-dd")</f>
        <v/>
      </c>
      <c r="C17360" t="inlineStr">
        <is>
          <t>1947-05-24</t>
        </is>
      </c>
    </row>
    <row r="17361">
      <c r="A17361" s="1" t="n">
        <v>17360</v>
      </c>
      <c r="B17361">
        <f>TEXT(17360, "[$-0E0000]yyyy-mm-dd")</f>
        <v/>
      </c>
      <c r="C17361" t="inlineStr">
        <is>
          <t>1947-05-25</t>
        </is>
      </c>
    </row>
    <row r="17362">
      <c r="A17362" s="1" t="n">
        <v>17361</v>
      </c>
      <c r="B17362">
        <f>TEXT(17361, "[$-0E0000]yyyy-mm-dd")</f>
        <v/>
      </c>
      <c r="C17362" t="inlineStr">
        <is>
          <t>1947-05-26</t>
        </is>
      </c>
    </row>
    <row r="17363">
      <c r="A17363" s="1" t="n">
        <v>17362</v>
      </c>
      <c r="B17363">
        <f>TEXT(17362, "[$-0E0000]yyyy-mm-dd")</f>
        <v/>
      </c>
      <c r="C17363" t="inlineStr">
        <is>
          <t>1947-05-27</t>
        </is>
      </c>
    </row>
    <row r="17364">
      <c r="A17364" s="1" t="n">
        <v>17363</v>
      </c>
      <c r="B17364">
        <f>TEXT(17363, "[$-0E0000]yyyy-mm-dd")</f>
        <v/>
      </c>
      <c r="C17364" t="inlineStr">
        <is>
          <t>1947-05-28</t>
        </is>
      </c>
    </row>
    <row r="17365">
      <c r="A17365" s="1" t="n">
        <v>17364</v>
      </c>
      <c r="B17365">
        <f>TEXT(17364, "[$-0E0000]yyyy-mm-dd")</f>
        <v/>
      </c>
      <c r="C17365" t="inlineStr">
        <is>
          <t>1947-05-29</t>
        </is>
      </c>
    </row>
    <row r="17366">
      <c r="A17366" s="1" t="n">
        <v>17365</v>
      </c>
      <c r="B17366">
        <f>TEXT(17365, "[$-0E0000]yyyy-mm-dd")</f>
        <v/>
      </c>
      <c r="C17366" t="inlineStr">
        <is>
          <t>1947-06-01</t>
        </is>
      </c>
    </row>
    <row r="17367">
      <c r="A17367" s="1" t="n">
        <v>17366</v>
      </c>
      <c r="B17367">
        <f>TEXT(17366, "[$-0E0000]yyyy-mm-dd")</f>
        <v/>
      </c>
      <c r="C17367" t="inlineStr">
        <is>
          <t>1947-06-02</t>
        </is>
      </c>
    </row>
    <row r="17368">
      <c r="A17368" s="1" t="n">
        <v>17367</v>
      </c>
      <c r="B17368">
        <f>TEXT(17367, "[$-0E0000]yyyy-mm-dd")</f>
        <v/>
      </c>
      <c r="C17368" t="inlineStr">
        <is>
          <t>1947-06-03</t>
        </is>
      </c>
    </row>
    <row r="17369">
      <c r="A17369" s="1" t="n">
        <v>17368</v>
      </c>
      <c r="B17369">
        <f>TEXT(17368, "[$-0E0000]yyyy-mm-dd")</f>
        <v/>
      </c>
      <c r="C17369" t="inlineStr">
        <is>
          <t>1947-06-04</t>
        </is>
      </c>
    </row>
    <row r="17370">
      <c r="A17370" s="1" t="n">
        <v>17369</v>
      </c>
      <c r="B17370">
        <f>TEXT(17369, "[$-0E0000]yyyy-mm-dd")</f>
        <v/>
      </c>
      <c r="C17370" t="inlineStr">
        <is>
          <t>1947-06-05</t>
        </is>
      </c>
    </row>
    <row r="17371">
      <c r="A17371" s="1" t="n">
        <v>17370</v>
      </c>
      <c r="B17371">
        <f>TEXT(17370, "[$-0E0000]yyyy-mm-dd")</f>
        <v/>
      </c>
      <c r="C17371" t="inlineStr">
        <is>
          <t>1947-06-06</t>
        </is>
      </c>
    </row>
    <row r="17372">
      <c r="A17372" s="1" t="n">
        <v>17371</v>
      </c>
      <c r="B17372">
        <f>TEXT(17371, "[$-0E0000]yyyy-mm-dd")</f>
        <v/>
      </c>
      <c r="C17372" t="inlineStr">
        <is>
          <t>1947-06-07</t>
        </is>
      </c>
    </row>
    <row r="17373">
      <c r="A17373" s="1" t="n">
        <v>17372</v>
      </c>
      <c r="B17373">
        <f>TEXT(17372, "[$-0E0000]yyyy-mm-dd")</f>
        <v/>
      </c>
      <c r="C17373" t="inlineStr">
        <is>
          <t>1947-06-08</t>
        </is>
      </c>
    </row>
    <row r="17374">
      <c r="A17374" s="1" t="n">
        <v>17373</v>
      </c>
      <c r="B17374">
        <f>TEXT(17373, "[$-0E0000]yyyy-mm-dd")</f>
        <v/>
      </c>
      <c r="C17374" t="inlineStr">
        <is>
          <t>1947-06-09</t>
        </is>
      </c>
    </row>
    <row r="17375">
      <c r="A17375" s="1" t="n">
        <v>17374</v>
      </c>
      <c r="B17375">
        <f>TEXT(17374, "[$-0E0000]yyyy-mm-dd")</f>
        <v/>
      </c>
      <c r="C17375" t="inlineStr">
        <is>
          <t>1947-06-10</t>
        </is>
      </c>
    </row>
    <row r="17376">
      <c r="A17376" s="1" t="n">
        <v>17375</v>
      </c>
      <c r="B17376">
        <f>TEXT(17375, "[$-0E0000]yyyy-mm-dd")</f>
        <v/>
      </c>
      <c r="C17376" t="inlineStr">
        <is>
          <t>1947-06-11</t>
        </is>
      </c>
    </row>
    <row r="17377">
      <c r="A17377" s="1" t="n">
        <v>17376</v>
      </c>
      <c r="B17377">
        <f>TEXT(17376, "[$-0E0000]yyyy-mm-dd")</f>
        <v/>
      </c>
      <c r="C17377" t="inlineStr">
        <is>
          <t>1947-06-12</t>
        </is>
      </c>
    </row>
    <row r="17378">
      <c r="A17378" s="1" t="n">
        <v>17377</v>
      </c>
      <c r="B17378">
        <f>TEXT(17377, "[$-0E0000]yyyy-mm-dd")</f>
        <v/>
      </c>
      <c r="C17378" t="inlineStr">
        <is>
          <t>1947-06-13</t>
        </is>
      </c>
    </row>
    <row r="17379">
      <c r="A17379" s="1" t="n">
        <v>17378</v>
      </c>
      <c r="B17379">
        <f>TEXT(17378, "[$-0E0000]yyyy-mm-dd")</f>
        <v/>
      </c>
      <c r="C17379" t="inlineStr">
        <is>
          <t>1947-06-14</t>
        </is>
      </c>
    </row>
    <row r="17380">
      <c r="A17380" s="1" t="n">
        <v>17379</v>
      </c>
      <c r="B17380">
        <f>TEXT(17379, "[$-0E0000]yyyy-mm-dd")</f>
        <v/>
      </c>
      <c r="C17380" t="inlineStr">
        <is>
          <t>1947-06-15</t>
        </is>
      </c>
    </row>
    <row r="17381">
      <c r="A17381" s="1" t="n">
        <v>17380</v>
      </c>
      <c r="B17381">
        <f>TEXT(17380, "[$-0E0000]yyyy-mm-dd")</f>
        <v/>
      </c>
      <c r="C17381" t="inlineStr">
        <is>
          <t>1947-06-16</t>
        </is>
      </c>
    </row>
    <row r="17382">
      <c r="A17382" s="1" t="n">
        <v>17381</v>
      </c>
      <c r="B17382">
        <f>TEXT(17381, "[$-0E0000]yyyy-mm-dd")</f>
        <v/>
      </c>
      <c r="C17382" t="inlineStr">
        <is>
          <t>1947-06-17</t>
        </is>
      </c>
    </row>
    <row r="17383">
      <c r="A17383" s="1" t="n">
        <v>17382</v>
      </c>
      <c r="B17383">
        <f>TEXT(17382, "[$-0E0000]yyyy-mm-dd")</f>
        <v/>
      </c>
      <c r="C17383" t="inlineStr">
        <is>
          <t>1947-06-18</t>
        </is>
      </c>
    </row>
    <row r="17384">
      <c r="A17384" s="1" t="n">
        <v>17383</v>
      </c>
      <c r="B17384">
        <f>TEXT(17383, "[$-0E0000]yyyy-mm-dd")</f>
        <v/>
      </c>
      <c r="C17384" t="inlineStr">
        <is>
          <t>1947-06-19</t>
        </is>
      </c>
    </row>
    <row r="17385">
      <c r="A17385" s="1" t="n">
        <v>17384</v>
      </c>
      <c r="B17385">
        <f>TEXT(17384, "[$-0E0000]yyyy-mm-dd")</f>
        <v/>
      </c>
      <c r="C17385" t="inlineStr">
        <is>
          <t>1947-06-20</t>
        </is>
      </c>
    </row>
    <row r="17386">
      <c r="A17386" s="1" t="n">
        <v>17385</v>
      </c>
      <c r="B17386">
        <f>TEXT(17385, "[$-0E0000]yyyy-mm-dd")</f>
        <v/>
      </c>
      <c r="C17386" t="inlineStr">
        <is>
          <t>1947-06-21</t>
        </is>
      </c>
    </row>
    <row r="17387">
      <c r="A17387" s="1" t="n">
        <v>17386</v>
      </c>
      <c r="B17387">
        <f>TEXT(17386, "[$-0E0000]yyyy-mm-dd")</f>
        <v/>
      </c>
      <c r="C17387" t="inlineStr">
        <is>
          <t>1947-06-22</t>
        </is>
      </c>
    </row>
    <row r="17388">
      <c r="A17388" s="1" t="n">
        <v>17387</v>
      </c>
      <c r="B17388">
        <f>TEXT(17387, "[$-0E0000]yyyy-mm-dd")</f>
        <v/>
      </c>
      <c r="C17388" t="inlineStr">
        <is>
          <t>1947-06-23</t>
        </is>
      </c>
    </row>
    <row r="17389">
      <c r="A17389" s="1" t="n">
        <v>17388</v>
      </c>
      <c r="B17389">
        <f>TEXT(17388, "[$-0E0000]yyyy-mm-dd")</f>
        <v/>
      </c>
      <c r="C17389" t="inlineStr">
        <is>
          <t>1947-06-24</t>
        </is>
      </c>
    </row>
    <row r="17390">
      <c r="A17390" s="1" t="n">
        <v>17389</v>
      </c>
      <c r="B17390">
        <f>TEXT(17389, "[$-0E0000]yyyy-mm-dd")</f>
        <v/>
      </c>
      <c r="C17390" t="inlineStr">
        <is>
          <t>1947-06-25</t>
        </is>
      </c>
    </row>
    <row r="17391">
      <c r="A17391" s="1" t="n">
        <v>17390</v>
      </c>
      <c r="B17391">
        <f>TEXT(17390, "[$-0E0000]yyyy-mm-dd")</f>
        <v/>
      </c>
      <c r="C17391" t="inlineStr">
        <is>
          <t>1947-06-26</t>
        </is>
      </c>
    </row>
    <row r="17392">
      <c r="A17392" s="1" t="n">
        <v>17391</v>
      </c>
      <c r="B17392">
        <f>TEXT(17391, "[$-0E0000]yyyy-mm-dd")</f>
        <v/>
      </c>
      <c r="C17392" t="inlineStr">
        <is>
          <t>1947-06-27</t>
        </is>
      </c>
    </row>
    <row r="17393">
      <c r="A17393" s="1" t="n">
        <v>17392</v>
      </c>
      <c r="B17393">
        <f>TEXT(17392, "[$-0E0000]yyyy-mm-dd")</f>
        <v/>
      </c>
      <c r="C17393" t="inlineStr">
        <is>
          <t>1947-06-28</t>
        </is>
      </c>
    </row>
    <row r="17394">
      <c r="A17394" s="1" t="n">
        <v>17393</v>
      </c>
      <c r="B17394">
        <f>TEXT(17393, "[$-0E0000]yyyy-mm-dd")</f>
        <v/>
      </c>
      <c r="C17394" t="inlineStr">
        <is>
          <t>1947-06-29</t>
        </is>
      </c>
    </row>
    <row r="17395">
      <c r="A17395" s="1" t="n">
        <v>17394</v>
      </c>
      <c r="B17395">
        <f>TEXT(17394, "[$-0E0000]yyyy-mm-dd")</f>
        <v/>
      </c>
      <c r="C17395" t="inlineStr">
        <is>
          <t>1947-07-01</t>
        </is>
      </c>
    </row>
    <row r="17396">
      <c r="A17396" s="1" t="n">
        <v>17395</v>
      </c>
      <c r="B17396">
        <f>TEXT(17395, "[$-0E0000]yyyy-mm-dd")</f>
        <v/>
      </c>
      <c r="C17396" t="inlineStr">
        <is>
          <t>1947-07-02</t>
        </is>
      </c>
    </row>
    <row r="17397">
      <c r="A17397" s="1" t="n">
        <v>17396</v>
      </c>
      <c r="B17397">
        <f>TEXT(17396, "[$-0E0000]yyyy-mm-dd")</f>
        <v/>
      </c>
      <c r="C17397" t="inlineStr">
        <is>
          <t>1947-07-03</t>
        </is>
      </c>
    </row>
    <row r="17398">
      <c r="A17398" s="1" t="n">
        <v>17397</v>
      </c>
      <c r="B17398">
        <f>TEXT(17397, "[$-0E0000]yyyy-mm-dd")</f>
        <v/>
      </c>
      <c r="C17398" t="inlineStr">
        <is>
          <t>1947-07-04</t>
        </is>
      </c>
    </row>
    <row r="17399">
      <c r="A17399" s="1" t="n">
        <v>17398</v>
      </c>
      <c r="B17399">
        <f>TEXT(17398, "[$-0E0000]yyyy-mm-dd")</f>
        <v/>
      </c>
      <c r="C17399" t="inlineStr">
        <is>
          <t>1947-07-05</t>
        </is>
      </c>
    </row>
    <row r="17400">
      <c r="A17400" s="1" t="n">
        <v>17399</v>
      </c>
      <c r="B17400">
        <f>TEXT(17399, "[$-0E0000]yyyy-mm-dd")</f>
        <v/>
      </c>
      <c r="C17400" t="inlineStr">
        <is>
          <t>1947-07-06</t>
        </is>
      </c>
    </row>
    <row r="17401">
      <c r="A17401" s="1" t="n">
        <v>17400</v>
      </c>
      <c r="B17401">
        <f>TEXT(17400, "[$-0E0000]yyyy-mm-dd")</f>
        <v/>
      </c>
      <c r="C17401" t="inlineStr">
        <is>
          <t>1947-07-07</t>
        </is>
      </c>
    </row>
    <row r="17402">
      <c r="A17402" s="1" t="n">
        <v>17401</v>
      </c>
      <c r="B17402">
        <f>TEXT(17401, "[$-0E0000]yyyy-mm-dd")</f>
        <v/>
      </c>
      <c r="C17402" t="inlineStr">
        <is>
          <t>1947-07-08</t>
        </is>
      </c>
    </row>
    <row r="17403">
      <c r="A17403" s="1" t="n">
        <v>17402</v>
      </c>
      <c r="B17403">
        <f>TEXT(17402, "[$-0E0000]yyyy-mm-dd")</f>
        <v/>
      </c>
      <c r="C17403" t="inlineStr">
        <is>
          <t>1947-07-09</t>
        </is>
      </c>
    </row>
    <row r="17404">
      <c r="A17404" s="1" t="n">
        <v>17403</v>
      </c>
      <c r="B17404">
        <f>TEXT(17403, "[$-0E0000]yyyy-mm-dd")</f>
        <v/>
      </c>
      <c r="C17404" t="inlineStr">
        <is>
          <t>1947-07-10</t>
        </is>
      </c>
    </row>
    <row r="17405">
      <c r="A17405" s="1" t="n">
        <v>17404</v>
      </c>
      <c r="B17405">
        <f>TEXT(17404, "[$-0E0000]yyyy-mm-dd")</f>
        <v/>
      </c>
      <c r="C17405" t="inlineStr">
        <is>
          <t>1947-07-11</t>
        </is>
      </c>
    </row>
    <row r="17406">
      <c r="A17406" s="1" t="n">
        <v>17405</v>
      </c>
      <c r="B17406">
        <f>TEXT(17405, "[$-0E0000]yyyy-mm-dd")</f>
        <v/>
      </c>
      <c r="C17406" t="inlineStr">
        <is>
          <t>1947-07-12</t>
        </is>
      </c>
    </row>
    <row r="17407">
      <c r="A17407" s="1" t="n">
        <v>17406</v>
      </c>
      <c r="B17407">
        <f>TEXT(17406, "[$-0E0000]yyyy-mm-dd")</f>
        <v/>
      </c>
      <c r="C17407" t="inlineStr">
        <is>
          <t>1947-07-13</t>
        </is>
      </c>
    </row>
    <row r="17408">
      <c r="A17408" s="1" t="n">
        <v>17407</v>
      </c>
      <c r="B17408">
        <f>TEXT(17407, "[$-0E0000]yyyy-mm-dd")</f>
        <v/>
      </c>
      <c r="C17408" t="inlineStr">
        <is>
          <t>1947-07-14</t>
        </is>
      </c>
    </row>
    <row r="17409">
      <c r="A17409" s="1" t="n">
        <v>17408</v>
      </c>
      <c r="B17409">
        <f>TEXT(17408, "[$-0E0000]yyyy-mm-dd")</f>
        <v/>
      </c>
      <c r="C17409" t="inlineStr">
        <is>
          <t>1947-07-15</t>
        </is>
      </c>
    </row>
    <row r="17410">
      <c r="A17410" s="1" t="n">
        <v>17409</v>
      </c>
      <c r="B17410">
        <f>TEXT(17409, "[$-0E0000]yyyy-mm-dd")</f>
        <v/>
      </c>
      <c r="C17410" t="inlineStr">
        <is>
          <t>1947-07-16</t>
        </is>
      </c>
    </row>
    <row r="17411">
      <c r="A17411" s="1" t="n">
        <v>17410</v>
      </c>
      <c r="B17411">
        <f>TEXT(17410, "[$-0E0000]yyyy-mm-dd")</f>
        <v/>
      </c>
      <c r="C17411" t="inlineStr">
        <is>
          <t>1947-07-17</t>
        </is>
      </c>
    </row>
    <row r="17412">
      <c r="A17412" s="1" t="n">
        <v>17411</v>
      </c>
      <c r="B17412">
        <f>TEXT(17411, "[$-0E0000]yyyy-mm-dd")</f>
        <v/>
      </c>
      <c r="C17412" t="inlineStr">
        <is>
          <t>1947-07-18</t>
        </is>
      </c>
    </row>
    <row r="17413">
      <c r="A17413" s="1" t="n">
        <v>17412</v>
      </c>
      <c r="B17413">
        <f>TEXT(17412, "[$-0E0000]yyyy-mm-dd")</f>
        <v/>
      </c>
      <c r="C17413" t="inlineStr">
        <is>
          <t>1947-07-19</t>
        </is>
      </c>
    </row>
    <row r="17414">
      <c r="A17414" s="1" t="n">
        <v>17413</v>
      </c>
      <c r="B17414">
        <f>TEXT(17413, "[$-0E0000]yyyy-mm-dd")</f>
        <v/>
      </c>
      <c r="C17414" t="inlineStr">
        <is>
          <t>1947-07-20</t>
        </is>
      </c>
    </row>
    <row r="17415">
      <c r="A17415" s="1" t="n">
        <v>17414</v>
      </c>
      <c r="B17415">
        <f>TEXT(17414, "[$-0E0000]yyyy-mm-dd")</f>
        <v/>
      </c>
      <c r="C17415" t="inlineStr">
        <is>
          <t>1947-07-21</t>
        </is>
      </c>
    </row>
    <row r="17416">
      <c r="A17416" s="1" t="n">
        <v>17415</v>
      </c>
      <c r="B17416">
        <f>TEXT(17415, "[$-0E0000]yyyy-mm-dd")</f>
        <v/>
      </c>
      <c r="C17416" t="inlineStr">
        <is>
          <t>1947-07-22</t>
        </is>
      </c>
    </row>
    <row r="17417">
      <c r="A17417" s="1" t="n">
        <v>17416</v>
      </c>
      <c r="B17417">
        <f>TEXT(17416, "[$-0E0000]yyyy-mm-dd")</f>
        <v/>
      </c>
      <c r="C17417" t="inlineStr">
        <is>
          <t>1947-07-23</t>
        </is>
      </c>
    </row>
    <row r="17418">
      <c r="A17418" s="1" t="n">
        <v>17417</v>
      </c>
      <c r="B17418">
        <f>TEXT(17417, "[$-0E0000]yyyy-mm-dd")</f>
        <v/>
      </c>
      <c r="C17418" t="inlineStr">
        <is>
          <t>1947-07-24</t>
        </is>
      </c>
    </row>
    <row r="17419">
      <c r="A17419" s="1" t="n">
        <v>17418</v>
      </c>
      <c r="B17419">
        <f>TEXT(17418, "[$-0E0000]yyyy-mm-dd")</f>
        <v/>
      </c>
      <c r="C17419" t="inlineStr">
        <is>
          <t>1947-07-25</t>
        </is>
      </c>
    </row>
    <row r="17420">
      <c r="A17420" s="1" t="n">
        <v>17419</v>
      </c>
      <c r="B17420">
        <f>TEXT(17419, "[$-0E0000]yyyy-mm-dd")</f>
        <v/>
      </c>
      <c r="C17420" t="inlineStr">
        <is>
          <t>1947-07-26</t>
        </is>
      </c>
    </row>
    <row r="17421">
      <c r="A17421" s="1" t="n">
        <v>17420</v>
      </c>
      <c r="B17421">
        <f>TEXT(17420, "[$-0E0000]yyyy-mm-dd")</f>
        <v/>
      </c>
      <c r="C17421" t="inlineStr">
        <is>
          <t>1947-07-27</t>
        </is>
      </c>
    </row>
    <row r="17422">
      <c r="A17422" s="1" t="n">
        <v>17421</v>
      </c>
      <c r="B17422">
        <f>TEXT(17421, "[$-0E0000]yyyy-mm-dd")</f>
        <v/>
      </c>
      <c r="C17422" t="inlineStr">
        <is>
          <t>1947-07-28</t>
        </is>
      </c>
    </row>
    <row r="17423">
      <c r="A17423" s="1" t="n">
        <v>17422</v>
      </c>
      <c r="B17423">
        <f>TEXT(17422, "[$-0E0000]yyyy-mm-dd")</f>
        <v/>
      </c>
      <c r="C17423" t="inlineStr">
        <is>
          <t>1947-07-29</t>
        </is>
      </c>
    </row>
    <row r="17424">
      <c r="A17424" s="1" t="n">
        <v>17423</v>
      </c>
      <c r="B17424">
        <f>TEXT(17423, "[$-0E0000]yyyy-mm-dd")</f>
        <v/>
      </c>
      <c r="C17424" t="inlineStr">
        <is>
          <t>1947-07-30</t>
        </is>
      </c>
    </row>
    <row r="17425">
      <c r="A17425" s="1" t="n">
        <v>17424</v>
      </c>
      <c r="B17425">
        <f>TEXT(17424, "[$-0E0000]yyyy-mm-dd")</f>
        <v/>
      </c>
      <c r="C17425" t="inlineStr">
        <is>
          <t>1947-08-01</t>
        </is>
      </c>
    </row>
    <row r="17426">
      <c r="A17426" s="1" t="n">
        <v>17425</v>
      </c>
      <c r="B17426">
        <f>TEXT(17425, "[$-0E0000]yyyy-mm-dd")</f>
        <v/>
      </c>
      <c r="C17426" t="inlineStr">
        <is>
          <t>1947-08-02</t>
        </is>
      </c>
    </row>
    <row r="17427">
      <c r="A17427" s="1" t="n">
        <v>17426</v>
      </c>
      <c r="B17427">
        <f>TEXT(17426, "[$-0E0000]yyyy-mm-dd")</f>
        <v/>
      </c>
      <c r="C17427" t="inlineStr">
        <is>
          <t>1947-08-03</t>
        </is>
      </c>
    </row>
    <row r="17428">
      <c r="A17428" s="1" t="n">
        <v>17427</v>
      </c>
      <c r="B17428">
        <f>TEXT(17427, "[$-0E0000]yyyy-mm-dd")</f>
        <v/>
      </c>
      <c r="C17428" t="inlineStr">
        <is>
          <t>1947-08-04</t>
        </is>
      </c>
    </row>
    <row r="17429">
      <c r="A17429" s="1" t="n">
        <v>17428</v>
      </c>
      <c r="B17429">
        <f>TEXT(17428, "[$-0E0000]yyyy-mm-dd")</f>
        <v/>
      </c>
      <c r="C17429" t="inlineStr">
        <is>
          <t>1947-08-05</t>
        </is>
      </c>
    </row>
    <row r="17430">
      <c r="A17430" s="1" t="n">
        <v>17429</v>
      </c>
      <c r="B17430">
        <f>TEXT(17429, "[$-0E0000]yyyy-mm-dd")</f>
        <v/>
      </c>
      <c r="C17430" t="inlineStr">
        <is>
          <t>1947-08-06</t>
        </is>
      </c>
    </row>
    <row r="17431">
      <c r="A17431" s="1" t="n">
        <v>17430</v>
      </c>
      <c r="B17431">
        <f>TEXT(17430, "[$-0E0000]yyyy-mm-dd")</f>
        <v/>
      </c>
      <c r="C17431" t="inlineStr">
        <is>
          <t>1947-08-07</t>
        </is>
      </c>
    </row>
    <row r="17432">
      <c r="A17432" s="1" t="n">
        <v>17431</v>
      </c>
      <c r="B17432">
        <f>TEXT(17431, "[$-0E0000]yyyy-mm-dd")</f>
        <v/>
      </c>
      <c r="C17432" t="inlineStr">
        <is>
          <t>1947-08-08</t>
        </is>
      </c>
    </row>
    <row r="17433">
      <c r="A17433" s="1" t="n">
        <v>17432</v>
      </c>
      <c r="B17433">
        <f>TEXT(17432, "[$-0E0000]yyyy-mm-dd")</f>
        <v/>
      </c>
      <c r="C17433" t="inlineStr">
        <is>
          <t>1947-08-09</t>
        </is>
      </c>
    </row>
    <row r="17434">
      <c r="A17434" s="1" t="n">
        <v>17433</v>
      </c>
      <c r="B17434">
        <f>TEXT(17433, "[$-0E0000]yyyy-mm-dd")</f>
        <v/>
      </c>
      <c r="C17434" t="inlineStr">
        <is>
          <t>1947-08-10</t>
        </is>
      </c>
    </row>
    <row r="17435">
      <c r="A17435" s="1" t="n">
        <v>17434</v>
      </c>
      <c r="B17435">
        <f>TEXT(17434, "[$-0E0000]yyyy-mm-dd")</f>
        <v/>
      </c>
      <c r="C17435" t="inlineStr">
        <is>
          <t>1947-08-11</t>
        </is>
      </c>
    </row>
    <row r="17436">
      <c r="A17436" s="1" t="n">
        <v>17435</v>
      </c>
      <c r="B17436">
        <f>TEXT(17435, "[$-0E0000]yyyy-mm-dd")</f>
        <v/>
      </c>
      <c r="C17436" t="inlineStr">
        <is>
          <t>1947-08-12</t>
        </is>
      </c>
    </row>
    <row r="17437">
      <c r="A17437" s="1" t="n">
        <v>17436</v>
      </c>
      <c r="B17437">
        <f>TEXT(17436, "[$-0E0000]yyyy-mm-dd")</f>
        <v/>
      </c>
      <c r="C17437" t="inlineStr">
        <is>
          <t>1947-08-13</t>
        </is>
      </c>
    </row>
    <row r="17438">
      <c r="A17438" s="1" t="n">
        <v>17437</v>
      </c>
      <c r="B17438">
        <f>TEXT(17437, "[$-0E0000]yyyy-mm-dd")</f>
        <v/>
      </c>
      <c r="C17438" t="inlineStr">
        <is>
          <t>1947-08-14</t>
        </is>
      </c>
    </row>
    <row r="17439">
      <c r="A17439" s="1" t="n">
        <v>17438</v>
      </c>
      <c r="B17439">
        <f>TEXT(17438, "[$-0E0000]yyyy-mm-dd")</f>
        <v/>
      </c>
      <c r="C17439" t="inlineStr">
        <is>
          <t>1947-08-15</t>
        </is>
      </c>
    </row>
    <row r="17440">
      <c r="A17440" s="1" t="n">
        <v>17439</v>
      </c>
      <c r="B17440">
        <f>TEXT(17439, "[$-0E0000]yyyy-mm-dd")</f>
        <v/>
      </c>
      <c r="C17440" t="inlineStr">
        <is>
          <t>1947-08-16</t>
        </is>
      </c>
    </row>
    <row r="17441">
      <c r="A17441" s="1" t="n">
        <v>17440</v>
      </c>
      <c r="B17441">
        <f>TEXT(17440, "[$-0E0000]yyyy-mm-dd")</f>
        <v/>
      </c>
      <c r="C17441" t="inlineStr">
        <is>
          <t>1947-08-17</t>
        </is>
      </c>
    </row>
    <row r="17442">
      <c r="A17442" s="1" t="n">
        <v>17441</v>
      </c>
      <c r="B17442">
        <f>TEXT(17441, "[$-0E0000]yyyy-mm-dd")</f>
        <v/>
      </c>
      <c r="C17442" t="inlineStr">
        <is>
          <t>1947-08-18</t>
        </is>
      </c>
    </row>
    <row r="17443">
      <c r="A17443" s="1" t="n">
        <v>17442</v>
      </c>
      <c r="B17443">
        <f>TEXT(17442, "[$-0E0000]yyyy-mm-dd")</f>
        <v/>
      </c>
      <c r="C17443" t="inlineStr">
        <is>
          <t>1947-08-19</t>
        </is>
      </c>
    </row>
    <row r="17444">
      <c r="A17444" s="1" t="n">
        <v>17443</v>
      </c>
      <c r="B17444">
        <f>TEXT(17443, "[$-0E0000]yyyy-mm-dd")</f>
        <v/>
      </c>
      <c r="C17444" t="inlineStr">
        <is>
          <t>1947-08-20</t>
        </is>
      </c>
    </row>
    <row r="17445">
      <c r="A17445" s="1" t="n">
        <v>17444</v>
      </c>
      <c r="B17445">
        <f>TEXT(17444, "[$-0E0000]yyyy-mm-dd")</f>
        <v/>
      </c>
      <c r="C17445" t="inlineStr">
        <is>
          <t>1947-08-21</t>
        </is>
      </c>
    </row>
    <row r="17446">
      <c r="A17446" s="1" t="n">
        <v>17445</v>
      </c>
      <c r="B17446">
        <f>TEXT(17445, "[$-0E0000]yyyy-mm-dd")</f>
        <v/>
      </c>
      <c r="C17446" t="inlineStr">
        <is>
          <t>1947-08-22</t>
        </is>
      </c>
    </row>
    <row r="17447">
      <c r="A17447" s="1" t="n">
        <v>17446</v>
      </c>
      <c r="B17447">
        <f>TEXT(17446, "[$-0E0000]yyyy-mm-dd")</f>
        <v/>
      </c>
      <c r="C17447" t="inlineStr">
        <is>
          <t>1947-08-23</t>
        </is>
      </c>
    </row>
    <row r="17448">
      <c r="A17448" s="1" t="n">
        <v>17447</v>
      </c>
      <c r="B17448">
        <f>TEXT(17447, "[$-0E0000]yyyy-mm-dd")</f>
        <v/>
      </c>
      <c r="C17448" t="inlineStr">
        <is>
          <t>1947-08-24</t>
        </is>
      </c>
    </row>
    <row r="17449">
      <c r="A17449" s="1" t="n">
        <v>17448</v>
      </c>
      <c r="B17449">
        <f>TEXT(17448, "[$-0E0000]yyyy-mm-dd")</f>
        <v/>
      </c>
      <c r="C17449" t="inlineStr">
        <is>
          <t>1947-08-25</t>
        </is>
      </c>
    </row>
    <row r="17450">
      <c r="A17450" s="1" t="n">
        <v>17449</v>
      </c>
      <c r="B17450">
        <f>TEXT(17449, "[$-0E0000]yyyy-mm-dd")</f>
        <v/>
      </c>
      <c r="C17450" t="inlineStr">
        <is>
          <t>1947-08-26</t>
        </is>
      </c>
    </row>
    <row r="17451">
      <c r="A17451" s="1" t="n">
        <v>17450</v>
      </c>
      <c r="B17451">
        <f>TEXT(17450, "[$-0E0000]yyyy-mm-dd")</f>
        <v/>
      </c>
      <c r="C17451" t="inlineStr">
        <is>
          <t>1947-08-27</t>
        </is>
      </c>
    </row>
    <row r="17452">
      <c r="A17452" s="1" t="n">
        <v>17451</v>
      </c>
      <c r="B17452">
        <f>TEXT(17451, "[$-0E0000]yyyy-mm-dd")</f>
        <v/>
      </c>
      <c r="C17452" t="inlineStr">
        <is>
          <t>1947-08-28</t>
        </is>
      </c>
    </row>
    <row r="17453">
      <c r="A17453" s="1" t="n">
        <v>17452</v>
      </c>
      <c r="B17453">
        <f>TEXT(17452, "[$-0E0000]yyyy-mm-dd")</f>
        <v/>
      </c>
      <c r="C17453" t="inlineStr">
        <is>
          <t>1947-08-29</t>
        </is>
      </c>
    </row>
    <row r="17454">
      <c r="A17454" s="1" t="n">
        <v>17453</v>
      </c>
      <c r="B17454">
        <f>TEXT(17453, "[$-0E0000]yyyy-mm-dd")</f>
        <v/>
      </c>
      <c r="C17454" t="inlineStr">
        <is>
          <t>1947-09-01</t>
        </is>
      </c>
    </row>
    <row r="17455">
      <c r="A17455" s="1" t="n">
        <v>17454</v>
      </c>
      <c r="B17455">
        <f>TEXT(17454, "[$-0E0000]yyyy-mm-dd")</f>
        <v/>
      </c>
      <c r="C17455" t="inlineStr">
        <is>
          <t>1947-09-02</t>
        </is>
      </c>
    </row>
    <row r="17456">
      <c r="A17456" s="1" t="n">
        <v>17455</v>
      </c>
      <c r="B17456">
        <f>TEXT(17455, "[$-0E0000]yyyy-mm-dd")</f>
        <v/>
      </c>
      <c r="C17456" t="inlineStr">
        <is>
          <t>1947-09-03</t>
        </is>
      </c>
    </row>
    <row r="17457">
      <c r="A17457" s="1" t="n">
        <v>17456</v>
      </c>
      <c r="B17457">
        <f>TEXT(17456, "[$-0E0000]yyyy-mm-dd")</f>
        <v/>
      </c>
      <c r="C17457" t="inlineStr">
        <is>
          <t>1947-09-04</t>
        </is>
      </c>
    </row>
    <row r="17458">
      <c r="A17458" s="1" t="n">
        <v>17457</v>
      </c>
      <c r="B17458">
        <f>TEXT(17457, "[$-0E0000]yyyy-mm-dd")</f>
        <v/>
      </c>
      <c r="C17458" t="inlineStr">
        <is>
          <t>1947-09-05</t>
        </is>
      </c>
    </row>
    <row r="17459">
      <c r="A17459" s="1" t="n">
        <v>17458</v>
      </c>
      <c r="B17459">
        <f>TEXT(17458, "[$-0E0000]yyyy-mm-dd")</f>
        <v/>
      </c>
      <c r="C17459" t="inlineStr">
        <is>
          <t>1947-09-06</t>
        </is>
      </c>
    </row>
    <row r="17460">
      <c r="A17460" s="1" t="n">
        <v>17459</v>
      </c>
      <c r="B17460">
        <f>TEXT(17459, "[$-0E0000]yyyy-mm-dd")</f>
        <v/>
      </c>
      <c r="C17460" t="inlineStr">
        <is>
          <t>1947-09-07</t>
        </is>
      </c>
    </row>
    <row r="17461">
      <c r="A17461" s="1" t="n">
        <v>17460</v>
      </c>
      <c r="B17461">
        <f>TEXT(17460, "[$-0E0000]yyyy-mm-dd")</f>
        <v/>
      </c>
      <c r="C17461" t="inlineStr">
        <is>
          <t>1947-09-08</t>
        </is>
      </c>
    </row>
    <row r="17462">
      <c r="A17462" s="1" t="n">
        <v>17461</v>
      </c>
      <c r="B17462">
        <f>TEXT(17461, "[$-0E0000]yyyy-mm-dd")</f>
        <v/>
      </c>
      <c r="C17462" t="inlineStr">
        <is>
          <t>1947-09-09</t>
        </is>
      </c>
    </row>
    <row r="17463">
      <c r="A17463" s="1" t="n">
        <v>17462</v>
      </c>
      <c r="B17463">
        <f>TEXT(17462, "[$-0E0000]yyyy-mm-dd")</f>
        <v/>
      </c>
      <c r="C17463" t="inlineStr">
        <is>
          <t>1947-09-10</t>
        </is>
      </c>
    </row>
    <row r="17464">
      <c r="A17464" s="1" t="n">
        <v>17463</v>
      </c>
      <c r="B17464">
        <f>TEXT(17463, "[$-0E0000]yyyy-mm-dd")</f>
        <v/>
      </c>
      <c r="C17464" t="inlineStr">
        <is>
          <t>1947-09-11</t>
        </is>
      </c>
    </row>
    <row r="17465">
      <c r="A17465" s="1" t="n">
        <v>17464</v>
      </c>
      <c r="B17465">
        <f>TEXT(17464, "[$-0E0000]yyyy-mm-dd")</f>
        <v/>
      </c>
      <c r="C17465" t="inlineStr">
        <is>
          <t>1947-09-12</t>
        </is>
      </c>
    </row>
    <row r="17466">
      <c r="A17466" s="1" t="n">
        <v>17465</v>
      </c>
      <c r="B17466">
        <f>TEXT(17465, "[$-0E0000]yyyy-mm-dd")</f>
        <v/>
      </c>
      <c r="C17466" t="inlineStr">
        <is>
          <t>1947-09-13</t>
        </is>
      </c>
    </row>
    <row r="17467">
      <c r="A17467" s="1" t="n">
        <v>17466</v>
      </c>
      <c r="B17467">
        <f>TEXT(17466, "[$-0E0000]yyyy-mm-dd")</f>
        <v/>
      </c>
      <c r="C17467" t="inlineStr">
        <is>
          <t>1947-09-14</t>
        </is>
      </c>
    </row>
    <row r="17468">
      <c r="A17468" s="1" t="n">
        <v>17467</v>
      </c>
      <c r="B17468">
        <f>TEXT(17467, "[$-0E0000]yyyy-mm-dd")</f>
        <v/>
      </c>
      <c r="C17468" t="inlineStr">
        <is>
          <t>1947-09-15</t>
        </is>
      </c>
    </row>
    <row r="17469">
      <c r="A17469" s="1" t="n">
        <v>17468</v>
      </c>
      <c r="B17469">
        <f>TEXT(17468, "[$-0E0000]yyyy-mm-dd")</f>
        <v/>
      </c>
      <c r="C17469" t="inlineStr">
        <is>
          <t>1947-09-16</t>
        </is>
      </c>
    </row>
    <row r="17470">
      <c r="A17470" s="1" t="n">
        <v>17469</v>
      </c>
      <c r="B17470">
        <f>TEXT(17469, "[$-0E0000]yyyy-mm-dd")</f>
        <v/>
      </c>
      <c r="C17470" t="inlineStr">
        <is>
          <t>1947-09-17</t>
        </is>
      </c>
    </row>
    <row r="17471">
      <c r="A17471" s="1" t="n">
        <v>17470</v>
      </c>
      <c r="B17471">
        <f>TEXT(17470, "[$-0E0000]yyyy-mm-dd")</f>
        <v/>
      </c>
      <c r="C17471" t="inlineStr">
        <is>
          <t>1947-09-18</t>
        </is>
      </c>
    </row>
    <row r="17472">
      <c r="A17472" s="1" t="n">
        <v>17471</v>
      </c>
      <c r="B17472">
        <f>TEXT(17471, "[$-0E0000]yyyy-mm-dd")</f>
        <v/>
      </c>
      <c r="C17472" t="inlineStr">
        <is>
          <t>1947-09-19</t>
        </is>
      </c>
    </row>
    <row r="17473">
      <c r="A17473" s="1" t="n">
        <v>17472</v>
      </c>
      <c r="B17473">
        <f>TEXT(17472, "[$-0E0000]yyyy-mm-dd")</f>
        <v/>
      </c>
      <c r="C17473" t="inlineStr">
        <is>
          <t>1947-09-20</t>
        </is>
      </c>
    </row>
    <row r="17474">
      <c r="A17474" s="1" t="n">
        <v>17473</v>
      </c>
      <c r="B17474">
        <f>TEXT(17473, "[$-0E0000]yyyy-mm-dd")</f>
        <v/>
      </c>
      <c r="C17474" t="inlineStr">
        <is>
          <t>1947-09-21</t>
        </is>
      </c>
    </row>
    <row r="17475">
      <c r="A17475" s="1" t="n">
        <v>17474</v>
      </c>
      <c r="B17475">
        <f>TEXT(17474, "[$-0E0000]yyyy-mm-dd")</f>
        <v/>
      </c>
      <c r="C17475" t="inlineStr">
        <is>
          <t>1947-09-22</t>
        </is>
      </c>
    </row>
    <row r="17476">
      <c r="A17476" s="1" t="n">
        <v>17475</v>
      </c>
      <c r="B17476">
        <f>TEXT(17475, "[$-0E0000]yyyy-mm-dd")</f>
        <v/>
      </c>
      <c r="C17476" t="inlineStr">
        <is>
          <t>1947-09-23</t>
        </is>
      </c>
    </row>
    <row r="17477">
      <c r="A17477" s="1" t="n">
        <v>17476</v>
      </c>
      <c r="B17477">
        <f>TEXT(17476, "[$-0E0000]yyyy-mm-dd")</f>
        <v/>
      </c>
      <c r="C17477" t="inlineStr">
        <is>
          <t>1947-09-24</t>
        </is>
      </c>
    </row>
    <row r="17478">
      <c r="A17478" s="1" t="n">
        <v>17477</v>
      </c>
      <c r="B17478">
        <f>TEXT(17477, "[$-0E0000]yyyy-mm-dd")</f>
        <v/>
      </c>
      <c r="C17478" t="inlineStr">
        <is>
          <t>1947-09-25</t>
        </is>
      </c>
    </row>
    <row r="17479">
      <c r="A17479" s="1" t="n">
        <v>17478</v>
      </c>
      <c r="B17479">
        <f>TEXT(17478, "[$-0E0000]yyyy-mm-dd")</f>
        <v/>
      </c>
      <c r="C17479" t="inlineStr">
        <is>
          <t>1947-09-26</t>
        </is>
      </c>
    </row>
    <row r="17480">
      <c r="A17480" s="1" t="n">
        <v>17479</v>
      </c>
      <c r="B17480">
        <f>TEXT(17479, "[$-0E0000]yyyy-mm-dd")</f>
        <v/>
      </c>
      <c r="C17480" t="inlineStr">
        <is>
          <t>1947-09-27</t>
        </is>
      </c>
    </row>
    <row r="17481">
      <c r="A17481" s="1" t="n">
        <v>17480</v>
      </c>
      <c r="B17481">
        <f>TEXT(17480, "[$-0E0000]yyyy-mm-dd")</f>
        <v/>
      </c>
      <c r="C17481" t="inlineStr">
        <is>
          <t>1947-09-28</t>
        </is>
      </c>
    </row>
    <row r="17482">
      <c r="A17482" s="1" t="n">
        <v>17481</v>
      </c>
      <c r="B17482">
        <f>TEXT(17481, "[$-0E0000]yyyy-mm-dd")</f>
        <v/>
      </c>
      <c r="C17482" t="inlineStr">
        <is>
          <t>1947-09-29</t>
        </is>
      </c>
    </row>
    <row r="17483">
      <c r="A17483" s="1" t="n">
        <v>17482</v>
      </c>
      <c r="B17483">
        <f>TEXT(17482, "[$-0E0000]yyyy-mm-dd")</f>
        <v/>
      </c>
      <c r="C17483" t="inlineStr">
        <is>
          <t>1947-09-30</t>
        </is>
      </c>
    </row>
    <row r="17484">
      <c r="A17484" s="1" t="n">
        <v>17483</v>
      </c>
      <c r="B17484">
        <f>TEXT(17483, "[$-0E0000]yyyy-mm-dd")</f>
        <v/>
      </c>
      <c r="C17484" t="inlineStr">
        <is>
          <t>1947-10-01</t>
        </is>
      </c>
    </row>
    <row r="17485">
      <c r="A17485" s="1" t="n">
        <v>17484</v>
      </c>
      <c r="B17485">
        <f>TEXT(17484, "[$-0E0000]yyyy-mm-dd")</f>
        <v/>
      </c>
      <c r="C17485" t="inlineStr">
        <is>
          <t>1947-10-02</t>
        </is>
      </c>
    </row>
    <row r="17486">
      <c r="A17486" s="1" t="n">
        <v>17485</v>
      </c>
      <c r="B17486">
        <f>TEXT(17485, "[$-0E0000]yyyy-mm-dd")</f>
        <v/>
      </c>
      <c r="C17486" t="inlineStr">
        <is>
          <t>1947-10-03</t>
        </is>
      </c>
    </row>
    <row r="17487">
      <c r="A17487" s="1" t="n">
        <v>17486</v>
      </c>
      <c r="B17487">
        <f>TEXT(17486, "[$-0E0000]yyyy-mm-dd")</f>
        <v/>
      </c>
      <c r="C17487" t="inlineStr">
        <is>
          <t>1947-10-04</t>
        </is>
      </c>
    </row>
    <row r="17488">
      <c r="A17488" s="1" t="n">
        <v>17487</v>
      </c>
      <c r="B17488">
        <f>TEXT(17487, "[$-0E0000]yyyy-mm-dd")</f>
        <v/>
      </c>
      <c r="C17488" t="inlineStr">
        <is>
          <t>1947-10-05</t>
        </is>
      </c>
    </row>
    <row r="17489">
      <c r="A17489" s="1" t="n">
        <v>17488</v>
      </c>
      <c r="B17489">
        <f>TEXT(17488, "[$-0E0000]yyyy-mm-dd")</f>
        <v/>
      </c>
      <c r="C17489" t="inlineStr">
        <is>
          <t>1947-10-06</t>
        </is>
      </c>
    </row>
    <row r="17490">
      <c r="A17490" s="1" t="n">
        <v>17489</v>
      </c>
      <c r="B17490">
        <f>TEXT(17489, "[$-0E0000]yyyy-mm-dd")</f>
        <v/>
      </c>
      <c r="C17490" t="inlineStr">
        <is>
          <t>1947-10-07</t>
        </is>
      </c>
    </row>
    <row r="17491">
      <c r="A17491" s="1" t="n">
        <v>17490</v>
      </c>
      <c r="B17491">
        <f>TEXT(17490, "[$-0E0000]yyyy-mm-dd")</f>
        <v/>
      </c>
      <c r="C17491" t="inlineStr">
        <is>
          <t>1947-10-08</t>
        </is>
      </c>
    </row>
    <row r="17492">
      <c r="A17492" s="1" t="n">
        <v>17491</v>
      </c>
      <c r="B17492">
        <f>TEXT(17491, "[$-0E0000]yyyy-mm-dd")</f>
        <v/>
      </c>
      <c r="C17492" t="inlineStr">
        <is>
          <t>1947-10-09</t>
        </is>
      </c>
    </row>
    <row r="17493">
      <c r="A17493" s="1" t="n">
        <v>17492</v>
      </c>
      <c r="B17493">
        <f>TEXT(17492, "[$-0E0000]yyyy-mm-dd")</f>
        <v/>
      </c>
      <c r="C17493" t="inlineStr">
        <is>
          <t>1947-10-10</t>
        </is>
      </c>
    </row>
    <row r="17494">
      <c r="A17494" s="1" t="n">
        <v>17493</v>
      </c>
      <c r="B17494">
        <f>TEXT(17493, "[$-0E0000]yyyy-mm-dd")</f>
        <v/>
      </c>
      <c r="C17494" t="inlineStr">
        <is>
          <t>1947-10-11</t>
        </is>
      </c>
    </row>
    <row r="17495">
      <c r="A17495" s="1" t="n">
        <v>17494</v>
      </c>
      <c r="B17495">
        <f>TEXT(17494, "[$-0E0000]yyyy-mm-dd")</f>
        <v/>
      </c>
      <c r="C17495" t="inlineStr">
        <is>
          <t>1947-10-12</t>
        </is>
      </c>
    </row>
    <row r="17496">
      <c r="A17496" s="1" t="n">
        <v>17495</v>
      </c>
      <c r="B17496">
        <f>TEXT(17495, "[$-0E0000]yyyy-mm-dd")</f>
        <v/>
      </c>
      <c r="C17496" t="inlineStr">
        <is>
          <t>1947-10-13</t>
        </is>
      </c>
    </row>
    <row r="17497">
      <c r="A17497" s="1" t="n">
        <v>17496</v>
      </c>
      <c r="B17497">
        <f>TEXT(17496, "[$-0E0000]yyyy-mm-dd")</f>
        <v/>
      </c>
      <c r="C17497" t="inlineStr">
        <is>
          <t>1947-10-14</t>
        </is>
      </c>
    </row>
    <row r="17498">
      <c r="A17498" s="1" t="n">
        <v>17497</v>
      </c>
      <c r="B17498">
        <f>TEXT(17497, "[$-0E0000]yyyy-mm-dd")</f>
        <v/>
      </c>
      <c r="C17498" t="inlineStr">
        <is>
          <t>1947-10-15</t>
        </is>
      </c>
    </row>
    <row r="17499">
      <c r="A17499" s="1" t="n">
        <v>17498</v>
      </c>
      <c r="B17499">
        <f>TEXT(17498, "[$-0E0000]yyyy-mm-dd")</f>
        <v/>
      </c>
      <c r="C17499" t="inlineStr">
        <is>
          <t>1947-10-16</t>
        </is>
      </c>
    </row>
    <row r="17500">
      <c r="A17500" s="1" t="n">
        <v>17499</v>
      </c>
      <c r="B17500">
        <f>TEXT(17499, "[$-0E0000]yyyy-mm-dd")</f>
        <v/>
      </c>
      <c r="C17500" t="inlineStr">
        <is>
          <t>1947-10-17</t>
        </is>
      </c>
    </row>
    <row r="17501">
      <c r="A17501" s="1" t="n">
        <v>17500</v>
      </c>
      <c r="B17501">
        <f>TEXT(17500, "[$-0E0000]yyyy-mm-dd")</f>
        <v/>
      </c>
      <c r="C17501" t="inlineStr">
        <is>
          <t>1947-10-18</t>
        </is>
      </c>
    </row>
    <row r="17502">
      <c r="A17502" s="1" t="n">
        <v>17501</v>
      </c>
      <c r="B17502">
        <f>TEXT(17501, "[$-0E0000]yyyy-mm-dd")</f>
        <v/>
      </c>
      <c r="C17502" t="inlineStr">
        <is>
          <t>1947-10-19</t>
        </is>
      </c>
    </row>
    <row r="17503">
      <c r="A17503" s="1" t="n">
        <v>17502</v>
      </c>
      <c r="B17503">
        <f>TEXT(17502, "[$-0E0000]yyyy-mm-dd")</f>
        <v/>
      </c>
      <c r="C17503" t="inlineStr">
        <is>
          <t>1947-10-20</t>
        </is>
      </c>
    </row>
    <row r="17504">
      <c r="A17504" s="1" t="n">
        <v>17503</v>
      </c>
      <c r="B17504">
        <f>TEXT(17503, "[$-0E0000]yyyy-mm-dd")</f>
        <v/>
      </c>
      <c r="C17504" t="inlineStr">
        <is>
          <t>1947-10-21</t>
        </is>
      </c>
    </row>
    <row r="17505">
      <c r="A17505" s="1" t="n">
        <v>17504</v>
      </c>
      <c r="B17505">
        <f>TEXT(17504, "[$-0E0000]yyyy-mm-dd")</f>
        <v/>
      </c>
      <c r="C17505" t="inlineStr">
        <is>
          <t>1947-10-22</t>
        </is>
      </c>
    </row>
    <row r="17506">
      <c r="A17506" s="1" t="n">
        <v>17505</v>
      </c>
      <c r="B17506">
        <f>TEXT(17505, "[$-0E0000]yyyy-mm-dd")</f>
        <v/>
      </c>
      <c r="C17506" t="inlineStr">
        <is>
          <t>1947-10-23</t>
        </is>
      </c>
    </row>
    <row r="17507">
      <c r="A17507" s="1" t="n">
        <v>17506</v>
      </c>
      <c r="B17507">
        <f>TEXT(17506, "[$-0E0000]yyyy-mm-dd")</f>
        <v/>
      </c>
      <c r="C17507" t="inlineStr">
        <is>
          <t>1947-10-24</t>
        </is>
      </c>
    </row>
    <row r="17508">
      <c r="A17508" s="1" t="n">
        <v>17507</v>
      </c>
      <c r="B17508">
        <f>TEXT(17507, "[$-0E0000]yyyy-mm-dd")</f>
        <v/>
      </c>
      <c r="C17508" t="inlineStr">
        <is>
          <t>1947-10-25</t>
        </is>
      </c>
    </row>
    <row r="17509">
      <c r="A17509" s="1" t="n">
        <v>17508</v>
      </c>
      <c r="B17509">
        <f>TEXT(17508, "[$-0E0000]yyyy-mm-dd")</f>
        <v/>
      </c>
      <c r="C17509" t="inlineStr">
        <is>
          <t>1947-10-26</t>
        </is>
      </c>
    </row>
    <row r="17510">
      <c r="A17510" s="1" t="n">
        <v>17509</v>
      </c>
      <c r="B17510">
        <f>TEXT(17509, "[$-0E0000]yyyy-mm-dd")</f>
        <v/>
      </c>
      <c r="C17510" t="inlineStr">
        <is>
          <t>1947-10-27</t>
        </is>
      </c>
    </row>
    <row r="17511">
      <c r="A17511" s="1" t="n">
        <v>17510</v>
      </c>
      <c r="B17511">
        <f>TEXT(17510, "[$-0E0000]yyyy-mm-dd")</f>
        <v/>
      </c>
      <c r="C17511" t="inlineStr">
        <is>
          <t>1947-10-28</t>
        </is>
      </c>
    </row>
    <row r="17512">
      <c r="A17512" s="1" t="n">
        <v>17511</v>
      </c>
      <c r="B17512">
        <f>TEXT(17511, "[$-0E0000]yyyy-mm-dd")</f>
        <v/>
      </c>
      <c r="C17512" t="inlineStr">
        <is>
          <t>1947-10-29</t>
        </is>
      </c>
    </row>
    <row r="17513">
      <c r="A17513" s="1" t="n">
        <v>17512</v>
      </c>
      <c r="B17513">
        <f>TEXT(17512, "[$-0E0000]yyyy-mm-dd")</f>
        <v/>
      </c>
      <c r="C17513" t="inlineStr">
        <is>
          <t>1947-11-01</t>
        </is>
      </c>
    </row>
    <row r="17514">
      <c r="A17514" s="1" t="n">
        <v>17513</v>
      </c>
      <c r="B17514">
        <f>TEXT(17513, "[$-0E0000]yyyy-mm-dd")</f>
        <v/>
      </c>
      <c r="C17514" t="inlineStr">
        <is>
          <t>1947-11-02</t>
        </is>
      </c>
    </row>
    <row r="17515">
      <c r="A17515" s="1" t="n">
        <v>17514</v>
      </c>
      <c r="B17515">
        <f>TEXT(17514, "[$-0E0000]yyyy-mm-dd")</f>
        <v/>
      </c>
      <c r="C17515" t="inlineStr">
        <is>
          <t>1947-11-03</t>
        </is>
      </c>
    </row>
    <row r="17516">
      <c r="A17516" s="1" t="n">
        <v>17515</v>
      </c>
      <c r="B17516">
        <f>TEXT(17515, "[$-0E0000]yyyy-mm-dd")</f>
        <v/>
      </c>
      <c r="C17516" t="inlineStr">
        <is>
          <t>1947-11-04</t>
        </is>
      </c>
    </row>
    <row r="17517">
      <c r="A17517" s="1" t="n">
        <v>17516</v>
      </c>
      <c r="B17517">
        <f>TEXT(17516, "[$-0E0000]yyyy-mm-dd")</f>
        <v/>
      </c>
      <c r="C17517" t="inlineStr">
        <is>
          <t>1947-11-05</t>
        </is>
      </c>
    </row>
    <row r="17518">
      <c r="A17518" s="1" t="n">
        <v>17517</v>
      </c>
      <c r="B17518">
        <f>TEXT(17517, "[$-0E0000]yyyy-mm-dd")</f>
        <v/>
      </c>
      <c r="C17518" t="inlineStr">
        <is>
          <t>1947-11-06</t>
        </is>
      </c>
    </row>
    <row r="17519">
      <c r="A17519" s="1" t="n">
        <v>17518</v>
      </c>
      <c r="B17519">
        <f>TEXT(17518, "[$-0E0000]yyyy-mm-dd")</f>
        <v/>
      </c>
      <c r="C17519" t="inlineStr">
        <is>
          <t>1947-11-07</t>
        </is>
      </c>
    </row>
    <row r="17520">
      <c r="A17520" s="1" t="n">
        <v>17519</v>
      </c>
      <c r="B17520">
        <f>TEXT(17519, "[$-0E0000]yyyy-mm-dd")</f>
        <v/>
      </c>
      <c r="C17520" t="inlineStr">
        <is>
          <t>1947-11-08</t>
        </is>
      </c>
    </row>
    <row r="17521">
      <c r="A17521" s="1" t="n">
        <v>17520</v>
      </c>
      <c r="B17521">
        <f>TEXT(17520, "[$-0E0000]yyyy-mm-dd")</f>
        <v/>
      </c>
      <c r="C17521" t="inlineStr">
        <is>
          <t>1947-11-09</t>
        </is>
      </c>
    </row>
    <row r="17522">
      <c r="A17522" s="1" t="n">
        <v>17521</v>
      </c>
      <c r="B17522">
        <f>TEXT(17521, "[$-0E0000]yyyy-mm-dd")</f>
        <v/>
      </c>
      <c r="C17522" t="inlineStr">
        <is>
          <t>1947-11-10</t>
        </is>
      </c>
    </row>
    <row r="17523">
      <c r="A17523" s="1" t="n">
        <v>17522</v>
      </c>
      <c r="B17523">
        <f>TEXT(17522, "[$-0E0000]yyyy-mm-dd")</f>
        <v/>
      </c>
      <c r="C17523" t="inlineStr">
        <is>
          <t>1947-11-11</t>
        </is>
      </c>
    </row>
    <row r="17524">
      <c r="A17524" s="1" t="n">
        <v>17523</v>
      </c>
      <c r="B17524">
        <f>TEXT(17523, "[$-0E0000]yyyy-mm-dd")</f>
        <v/>
      </c>
      <c r="C17524" t="inlineStr">
        <is>
          <t>1947-11-12</t>
        </is>
      </c>
    </row>
    <row r="17525">
      <c r="A17525" s="1" t="n">
        <v>17524</v>
      </c>
      <c r="B17525">
        <f>TEXT(17524, "[$-0E0000]yyyy-mm-dd")</f>
        <v/>
      </c>
      <c r="C17525" t="inlineStr">
        <is>
          <t>1947-11-13</t>
        </is>
      </c>
    </row>
    <row r="17526">
      <c r="A17526" s="1" t="n">
        <v>17525</v>
      </c>
      <c r="B17526">
        <f>TEXT(17525, "[$-0E0000]yyyy-mm-dd")</f>
        <v/>
      </c>
      <c r="C17526" t="inlineStr">
        <is>
          <t>1947-11-14</t>
        </is>
      </c>
    </row>
    <row r="17527">
      <c r="A17527" s="1" t="n">
        <v>17526</v>
      </c>
      <c r="B17527">
        <f>TEXT(17526, "[$-0E0000]yyyy-mm-dd")</f>
        <v/>
      </c>
      <c r="C17527" t="inlineStr">
        <is>
          <t>1947-11-15</t>
        </is>
      </c>
    </row>
    <row r="17528">
      <c r="A17528" s="1" t="n">
        <v>17527</v>
      </c>
      <c r="B17528">
        <f>TEXT(17527, "[$-0E0000]yyyy-mm-dd")</f>
        <v/>
      </c>
      <c r="C17528" t="inlineStr">
        <is>
          <t>1947-11-16</t>
        </is>
      </c>
    </row>
    <row r="17529">
      <c r="A17529" s="1" t="n">
        <v>17528</v>
      </c>
      <c r="B17529">
        <f>TEXT(17528, "[$-0E0000]yyyy-mm-dd")</f>
        <v/>
      </c>
      <c r="C17529" t="inlineStr">
        <is>
          <t>1947-11-17</t>
        </is>
      </c>
    </row>
    <row r="17530">
      <c r="A17530" s="1" t="n">
        <v>17529</v>
      </c>
      <c r="B17530">
        <f>TEXT(17529, "[$-0E0000]yyyy-mm-dd")</f>
        <v/>
      </c>
      <c r="C17530" t="inlineStr">
        <is>
          <t>1947-11-18</t>
        </is>
      </c>
    </row>
    <row r="17531">
      <c r="A17531" s="1" t="n">
        <v>17530</v>
      </c>
      <c r="B17531">
        <f>TEXT(17530, "[$-0E0000]yyyy-mm-dd")</f>
        <v/>
      </c>
      <c r="C17531" t="inlineStr">
        <is>
          <t>1947-11-19</t>
        </is>
      </c>
    </row>
    <row r="17532">
      <c r="A17532" s="1" t="n">
        <v>17531</v>
      </c>
      <c r="B17532">
        <f>TEXT(17531, "[$-0E0000]yyyy-mm-dd")</f>
        <v/>
      </c>
      <c r="C17532" t="inlineStr">
        <is>
          <t>1947-11-20</t>
        </is>
      </c>
    </row>
    <row r="17533">
      <c r="A17533" s="1" t="n">
        <v>17532</v>
      </c>
      <c r="B17533">
        <f>TEXT(17532, "[$-0E0000]yyyy-mm-dd")</f>
        <v/>
      </c>
      <c r="C17533" t="inlineStr">
        <is>
          <t>1947-11-21</t>
        </is>
      </c>
    </row>
    <row r="17534">
      <c r="A17534" s="1" t="n">
        <v>17533</v>
      </c>
      <c r="B17534">
        <f>TEXT(17533, "[$-0E0000]yyyy-mm-dd")</f>
        <v/>
      </c>
      <c r="C17534" t="inlineStr">
        <is>
          <t>1947-11-22</t>
        </is>
      </c>
    </row>
    <row r="17535">
      <c r="A17535" s="1" t="n">
        <v>17534</v>
      </c>
      <c r="B17535">
        <f>TEXT(17534, "[$-0E0000]yyyy-mm-dd")</f>
        <v/>
      </c>
      <c r="C17535" t="inlineStr">
        <is>
          <t>1947-11-23</t>
        </is>
      </c>
    </row>
    <row r="17536">
      <c r="A17536" s="1" t="n">
        <v>17535</v>
      </c>
      <c r="B17536">
        <f>TEXT(17535, "[$-0E0000]yyyy-mm-dd")</f>
        <v/>
      </c>
      <c r="C17536" t="inlineStr">
        <is>
          <t>1947-11-24</t>
        </is>
      </c>
    </row>
    <row r="17537">
      <c r="A17537" s="1" t="n">
        <v>17536</v>
      </c>
      <c r="B17537">
        <f>TEXT(17536, "[$-0E0000]yyyy-mm-dd")</f>
        <v/>
      </c>
      <c r="C17537" t="inlineStr">
        <is>
          <t>1947-11-25</t>
        </is>
      </c>
    </row>
    <row r="17538">
      <c r="A17538" s="1" t="n">
        <v>17537</v>
      </c>
      <c r="B17538">
        <f>TEXT(17537, "[$-0E0000]yyyy-mm-dd")</f>
        <v/>
      </c>
      <c r="C17538" t="inlineStr">
        <is>
          <t>1947-11-26</t>
        </is>
      </c>
    </row>
    <row r="17539">
      <c r="A17539" s="1" t="n">
        <v>17538</v>
      </c>
      <c r="B17539">
        <f>TEXT(17538, "[$-0E0000]yyyy-mm-dd")</f>
        <v/>
      </c>
      <c r="C17539" t="inlineStr">
        <is>
          <t>1947-11-27</t>
        </is>
      </c>
    </row>
    <row r="17540">
      <c r="A17540" s="1" t="n">
        <v>17539</v>
      </c>
      <c r="B17540">
        <f>TEXT(17539, "[$-0E0000]yyyy-mm-dd")</f>
        <v/>
      </c>
      <c r="C17540" t="inlineStr">
        <is>
          <t>1947-11-28</t>
        </is>
      </c>
    </row>
    <row r="17541">
      <c r="A17541" s="1" t="n">
        <v>17540</v>
      </c>
      <c r="B17541">
        <f>TEXT(17540, "[$-0E0000]yyyy-mm-dd")</f>
        <v/>
      </c>
      <c r="C17541" t="inlineStr">
        <is>
          <t>1947-11-29</t>
        </is>
      </c>
    </row>
    <row r="17542">
      <c r="A17542" s="1" t="n">
        <v>17541</v>
      </c>
      <c r="B17542">
        <f>TEXT(17541, "[$-0E0000]yyyy-mm-dd")</f>
        <v/>
      </c>
      <c r="C17542" t="inlineStr">
        <is>
          <t>1947-11-30</t>
        </is>
      </c>
    </row>
    <row r="17543">
      <c r="A17543" s="1" t="n">
        <v>17542</v>
      </c>
      <c r="B17543">
        <f>TEXT(17542, "[$-0E0000]yyyy-mm-dd")</f>
        <v/>
      </c>
      <c r="C17543" t="inlineStr">
        <is>
          <t>1947-12-01</t>
        </is>
      </c>
    </row>
    <row r="17544">
      <c r="A17544" s="1" t="n">
        <v>17543</v>
      </c>
      <c r="B17544">
        <f>TEXT(17543, "[$-0E0000]yyyy-mm-dd")</f>
        <v/>
      </c>
      <c r="C17544" t="inlineStr">
        <is>
          <t>1947-12-02</t>
        </is>
      </c>
    </row>
    <row r="17545">
      <c r="A17545" s="1" t="n">
        <v>17544</v>
      </c>
      <c r="B17545">
        <f>TEXT(17544, "[$-0E0000]yyyy-mm-dd")</f>
        <v/>
      </c>
      <c r="C17545" t="inlineStr">
        <is>
          <t>1947-12-03</t>
        </is>
      </c>
    </row>
    <row r="17546">
      <c r="A17546" s="1" t="n">
        <v>17545</v>
      </c>
      <c r="B17546">
        <f>TEXT(17545, "[$-0E0000]yyyy-mm-dd")</f>
        <v/>
      </c>
      <c r="C17546" t="inlineStr">
        <is>
          <t>1947-12-04</t>
        </is>
      </c>
    </row>
    <row r="17547">
      <c r="A17547" s="1" t="n">
        <v>17546</v>
      </c>
      <c r="B17547">
        <f>TEXT(17546, "[$-0E0000]yyyy-mm-dd")</f>
        <v/>
      </c>
      <c r="C17547" t="inlineStr">
        <is>
          <t>1947-12-05</t>
        </is>
      </c>
    </row>
    <row r="17548">
      <c r="A17548" s="1" t="n">
        <v>17547</v>
      </c>
      <c r="B17548">
        <f>TEXT(17547, "[$-0E0000]yyyy-mm-dd")</f>
        <v/>
      </c>
      <c r="C17548" t="inlineStr">
        <is>
          <t>1947-12-06</t>
        </is>
      </c>
    </row>
    <row r="17549">
      <c r="A17549" s="1" t="n">
        <v>17548</v>
      </c>
      <c r="B17549">
        <f>TEXT(17548, "[$-0E0000]yyyy-mm-dd")</f>
        <v/>
      </c>
      <c r="C17549" t="inlineStr">
        <is>
          <t>1947-12-07</t>
        </is>
      </c>
    </row>
    <row r="17550">
      <c r="A17550" s="1" t="n">
        <v>17549</v>
      </c>
      <c r="B17550">
        <f>TEXT(17549, "[$-0E0000]yyyy-mm-dd")</f>
        <v/>
      </c>
      <c r="C17550" t="inlineStr">
        <is>
          <t>1947-12-08</t>
        </is>
      </c>
    </row>
    <row r="17551">
      <c r="A17551" s="1" t="n">
        <v>17550</v>
      </c>
      <c r="B17551">
        <f>TEXT(17550, "[$-0E0000]yyyy-mm-dd")</f>
        <v/>
      </c>
      <c r="C17551" t="inlineStr">
        <is>
          <t>1947-12-09</t>
        </is>
      </c>
    </row>
    <row r="17552">
      <c r="A17552" s="1" t="n">
        <v>17551</v>
      </c>
      <c r="B17552">
        <f>TEXT(17551, "[$-0E0000]yyyy-mm-dd")</f>
        <v/>
      </c>
      <c r="C17552" t="inlineStr">
        <is>
          <t>1947-12-10</t>
        </is>
      </c>
    </row>
    <row r="17553">
      <c r="A17553" s="1" t="n">
        <v>17552</v>
      </c>
      <c r="B17553">
        <f>TEXT(17552, "[$-0E0000]yyyy-mm-dd")</f>
        <v/>
      </c>
      <c r="C17553" t="inlineStr">
        <is>
          <t>1947-12-11</t>
        </is>
      </c>
    </row>
    <row r="17554">
      <c r="A17554" s="1" t="n">
        <v>17553</v>
      </c>
      <c r="B17554">
        <f>TEXT(17553, "[$-0E0000]yyyy-mm-dd")</f>
        <v/>
      </c>
      <c r="C17554" t="inlineStr">
        <is>
          <t>1947-12-12</t>
        </is>
      </c>
    </row>
    <row r="17555">
      <c r="A17555" s="1" t="n">
        <v>17554</v>
      </c>
      <c r="B17555">
        <f>TEXT(17554, "[$-0E0000]yyyy-mm-dd")</f>
        <v/>
      </c>
      <c r="C17555" t="inlineStr">
        <is>
          <t>1947-12-13</t>
        </is>
      </c>
    </row>
    <row r="17556">
      <c r="A17556" s="1" t="n">
        <v>17555</v>
      </c>
      <c r="B17556">
        <f>TEXT(17555, "[$-0E0000]yyyy-mm-dd")</f>
        <v/>
      </c>
      <c r="C17556" t="inlineStr">
        <is>
          <t>1947-12-14</t>
        </is>
      </c>
    </row>
    <row r="17557">
      <c r="A17557" s="1" t="n">
        <v>17556</v>
      </c>
      <c r="B17557">
        <f>TEXT(17556, "[$-0E0000]yyyy-mm-dd")</f>
        <v/>
      </c>
      <c r="C17557" t="inlineStr">
        <is>
          <t>1947-12-15</t>
        </is>
      </c>
    </row>
    <row r="17558">
      <c r="A17558" s="1" t="n">
        <v>17557</v>
      </c>
      <c r="B17558">
        <f>TEXT(17557, "[$-0E0000]yyyy-mm-dd")</f>
        <v/>
      </c>
      <c r="C17558" t="inlineStr">
        <is>
          <t>1947-12-16</t>
        </is>
      </c>
    </row>
    <row r="17559">
      <c r="A17559" s="1" t="n">
        <v>17558</v>
      </c>
      <c r="B17559">
        <f>TEXT(17558, "[$-0E0000]yyyy-mm-dd")</f>
        <v/>
      </c>
      <c r="C17559" t="inlineStr">
        <is>
          <t>1947-12-17</t>
        </is>
      </c>
    </row>
    <row r="17560">
      <c r="A17560" s="1" t="n">
        <v>17559</v>
      </c>
      <c r="B17560">
        <f>TEXT(17559, "[$-0E0000]yyyy-mm-dd")</f>
        <v/>
      </c>
      <c r="C17560" t="inlineStr">
        <is>
          <t>1947-12-18</t>
        </is>
      </c>
    </row>
    <row r="17561">
      <c r="A17561" s="1" t="n">
        <v>17560</v>
      </c>
      <c r="B17561">
        <f>TEXT(17560, "[$-0E0000]yyyy-mm-dd")</f>
        <v/>
      </c>
      <c r="C17561" t="inlineStr">
        <is>
          <t>1947-12-19</t>
        </is>
      </c>
    </row>
    <row r="17562">
      <c r="A17562" s="1" t="n">
        <v>17561</v>
      </c>
      <c r="B17562">
        <f>TEXT(17561, "[$-0E0000]yyyy-mm-dd")</f>
        <v/>
      </c>
      <c r="C17562" t="inlineStr">
        <is>
          <t>1947-12-20</t>
        </is>
      </c>
    </row>
    <row r="17563">
      <c r="A17563" s="1" t="n">
        <v>17562</v>
      </c>
      <c r="B17563">
        <f>TEXT(17562, "[$-0E0000]yyyy-mm-dd")</f>
        <v/>
      </c>
      <c r="C17563" t="inlineStr">
        <is>
          <t>1947-12-21</t>
        </is>
      </c>
    </row>
    <row r="17564">
      <c r="A17564" s="1" t="n">
        <v>17563</v>
      </c>
      <c r="B17564">
        <f>TEXT(17563, "[$-0E0000]yyyy-mm-dd")</f>
        <v/>
      </c>
      <c r="C17564" t="inlineStr">
        <is>
          <t>1947-12-22</t>
        </is>
      </c>
    </row>
    <row r="17565">
      <c r="A17565" s="1" t="n">
        <v>17564</v>
      </c>
      <c r="B17565">
        <f>TEXT(17564, "[$-0E0000]yyyy-mm-dd")</f>
        <v/>
      </c>
      <c r="C17565" t="inlineStr">
        <is>
          <t>1947-12-23</t>
        </is>
      </c>
    </row>
    <row r="17566">
      <c r="A17566" s="1" t="n">
        <v>17565</v>
      </c>
      <c r="B17566">
        <f>TEXT(17565, "[$-0E0000]yyyy-mm-dd")</f>
        <v/>
      </c>
      <c r="C17566" t="inlineStr">
        <is>
          <t>1947-12-24</t>
        </is>
      </c>
    </row>
    <row r="17567">
      <c r="A17567" s="1" t="n">
        <v>17566</v>
      </c>
      <c r="B17567">
        <f>TEXT(17566, "[$-0E0000]yyyy-mm-dd")</f>
        <v/>
      </c>
      <c r="C17567" t="inlineStr">
        <is>
          <t>1947-12-25</t>
        </is>
      </c>
    </row>
    <row r="17568">
      <c r="A17568" s="1" t="n">
        <v>17567</v>
      </c>
      <c r="B17568">
        <f>TEXT(17567, "[$-0E0000]yyyy-mm-dd")</f>
        <v/>
      </c>
      <c r="C17568" t="inlineStr">
        <is>
          <t>1947-12-26</t>
        </is>
      </c>
    </row>
    <row r="17569">
      <c r="A17569" s="1" t="n">
        <v>17568</v>
      </c>
      <c r="B17569">
        <f>TEXT(17568, "[$-0E0000]yyyy-mm-dd")</f>
        <v/>
      </c>
      <c r="C17569" t="inlineStr">
        <is>
          <t>1947-12-27</t>
        </is>
      </c>
    </row>
    <row r="17570">
      <c r="A17570" s="1" t="n">
        <v>17569</v>
      </c>
      <c r="B17570">
        <f>TEXT(17569, "[$-0E0000]yyyy-mm-dd")</f>
        <v/>
      </c>
      <c r="C17570" t="inlineStr">
        <is>
          <t>1947-12-28</t>
        </is>
      </c>
    </row>
    <row r="17571">
      <c r="A17571" s="1" t="n">
        <v>17570</v>
      </c>
      <c r="B17571">
        <f>TEXT(17570, "[$-0E0000]yyyy-mm-dd")</f>
        <v/>
      </c>
      <c r="C17571" t="inlineStr">
        <is>
          <t>1947-12-29</t>
        </is>
      </c>
    </row>
    <row r="17572">
      <c r="A17572" s="1" t="n">
        <v>17571</v>
      </c>
      <c r="B17572">
        <f>TEXT(17571, "[$-0E0000]yyyy-mm-dd")</f>
        <v/>
      </c>
      <c r="C17572" t="inlineStr">
        <is>
          <t>1947-12-30</t>
        </is>
      </c>
    </row>
    <row r="17573">
      <c r="A17573" s="1" t="n">
        <v>17572</v>
      </c>
      <c r="B17573">
        <f>TEXT(17572, "[$-0E0000]yyyy-mm-dd")</f>
        <v/>
      </c>
      <c r="C17573" t="inlineStr">
        <is>
          <t>1948-01-01</t>
        </is>
      </c>
    </row>
    <row r="17574">
      <c r="A17574" s="1" t="n">
        <v>17573</v>
      </c>
      <c r="B17574">
        <f>TEXT(17573, "[$-0E0000]yyyy-mm-dd")</f>
        <v/>
      </c>
      <c r="C17574" t="inlineStr">
        <is>
          <t>1948-01-02</t>
        </is>
      </c>
    </row>
    <row r="17575">
      <c r="A17575" s="1" t="n">
        <v>17574</v>
      </c>
      <c r="B17575">
        <f>TEXT(17574, "[$-0E0000]yyyy-mm-dd")</f>
        <v/>
      </c>
      <c r="C17575" t="inlineStr">
        <is>
          <t>1948-01-03</t>
        </is>
      </c>
    </row>
    <row r="17576">
      <c r="A17576" s="1" t="n">
        <v>17575</v>
      </c>
      <c r="B17576">
        <f>TEXT(17575, "[$-0E0000]yyyy-mm-dd")</f>
        <v/>
      </c>
      <c r="C17576" t="inlineStr">
        <is>
          <t>1948-01-04</t>
        </is>
      </c>
    </row>
    <row r="17577">
      <c r="A17577" s="1" t="n">
        <v>17576</v>
      </c>
      <c r="B17577">
        <f>TEXT(17576, "[$-0E0000]yyyy-mm-dd")</f>
        <v/>
      </c>
      <c r="C17577" t="inlineStr">
        <is>
          <t>1948-01-05</t>
        </is>
      </c>
    </row>
    <row r="17578">
      <c r="A17578" s="1" t="n">
        <v>17577</v>
      </c>
      <c r="B17578">
        <f>TEXT(17577, "[$-0E0000]yyyy-mm-dd")</f>
        <v/>
      </c>
      <c r="C17578" t="inlineStr">
        <is>
          <t>1948-01-06</t>
        </is>
      </c>
    </row>
    <row r="17579">
      <c r="A17579" s="1" t="n">
        <v>17578</v>
      </c>
      <c r="B17579">
        <f>TEXT(17578, "[$-0E0000]yyyy-mm-dd")</f>
        <v/>
      </c>
      <c r="C17579" t="inlineStr">
        <is>
          <t>1948-01-07</t>
        </is>
      </c>
    </row>
    <row r="17580">
      <c r="A17580" s="1" t="n">
        <v>17579</v>
      </c>
      <c r="B17580">
        <f>TEXT(17579, "[$-0E0000]yyyy-mm-dd")</f>
        <v/>
      </c>
      <c r="C17580" t="inlineStr">
        <is>
          <t>1948-01-08</t>
        </is>
      </c>
    </row>
    <row r="17581">
      <c r="A17581" s="1" t="n">
        <v>17580</v>
      </c>
      <c r="B17581">
        <f>TEXT(17580, "[$-0E0000]yyyy-mm-dd")</f>
        <v/>
      </c>
      <c r="C17581" t="inlineStr">
        <is>
          <t>1948-01-09</t>
        </is>
      </c>
    </row>
    <row r="17582">
      <c r="A17582" s="1" t="n">
        <v>17581</v>
      </c>
      <c r="B17582">
        <f>TEXT(17581, "[$-0E0000]yyyy-mm-dd")</f>
        <v/>
      </c>
      <c r="C17582" t="inlineStr">
        <is>
          <t>1948-01-10</t>
        </is>
      </c>
    </row>
    <row r="17583">
      <c r="A17583" s="1" t="n">
        <v>17582</v>
      </c>
      <c r="B17583">
        <f>TEXT(17582, "[$-0E0000]yyyy-mm-dd")</f>
        <v/>
      </c>
      <c r="C17583" t="inlineStr">
        <is>
          <t>1948-01-11</t>
        </is>
      </c>
    </row>
    <row r="17584">
      <c r="A17584" s="1" t="n">
        <v>17583</v>
      </c>
      <c r="B17584">
        <f>TEXT(17583, "[$-0E0000]yyyy-mm-dd")</f>
        <v/>
      </c>
      <c r="C17584" t="inlineStr">
        <is>
          <t>1948-01-12</t>
        </is>
      </c>
    </row>
    <row r="17585">
      <c r="A17585" s="1" t="n">
        <v>17584</v>
      </c>
      <c r="B17585">
        <f>TEXT(17584, "[$-0E0000]yyyy-mm-dd")</f>
        <v/>
      </c>
      <c r="C17585" t="inlineStr">
        <is>
          <t>1948-01-13</t>
        </is>
      </c>
    </row>
    <row r="17586">
      <c r="A17586" s="1" t="n">
        <v>17585</v>
      </c>
      <c r="B17586">
        <f>TEXT(17585, "[$-0E0000]yyyy-mm-dd")</f>
        <v/>
      </c>
      <c r="C17586" t="inlineStr">
        <is>
          <t>1948-01-14</t>
        </is>
      </c>
    </row>
    <row r="17587">
      <c r="A17587" s="1" t="n">
        <v>17586</v>
      </c>
      <c r="B17587">
        <f>TEXT(17586, "[$-0E0000]yyyy-mm-dd")</f>
        <v/>
      </c>
      <c r="C17587" t="inlineStr">
        <is>
          <t>1948-01-15</t>
        </is>
      </c>
    </row>
    <row r="17588">
      <c r="A17588" s="1" t="n">
        <v>17587</v>
      </c>
      <c r="B17588">
        <f>TEXT(17587, "[$-0E0000]yyyy-mm-dd")</f>
        <v/>
      </c>
      <c r="C17588" t="inlineStr">
        <is>
          <t>1948-01-16</t>
        </is>
      </c>
    </row>
    <row r="17589">
      <c r="A17589" s="1" t="n">
        <v>17588</v>
      </c>
      <c r="B17589">
        <f>TEXT(17588, "[$-0E0000]yyyy-mm-dd")</f>
        <v/>
      </c>
      <c r="C17589" t="inlineStr">
        <is>
          <t>1948-01-17</t>
        </is>
      </c>
    </row>
    <row r="17590">
      <c r="A17590" s="1" t="n">
        <v>17589</v>
      </c>
      <c r="B17590">
        <f>TEXT(17589, "[$-0E0000]yyyy-mm-dd")</f>
        <v/>
      </c>
      <c r="C17590" t="inlineStr">
        <is>
          <t>1948-01-18</t>
        </is>
      </c>
    </row>
    <row r="17591">
      <c r="A17591" s="1" t="n">
        <v>17590</v>
      </c>
      <c r="B17591">
        <f>TEXT(17590, "[$-0E0000]yyyy-mm-dd")</f>
        <v/>
      </c>
      <c r="C17591" t="inlineStr">
        <is>
          <t>1948-01-19</t>
        </is>
      </c>
    </row>
    <row r="17592">
      <c r="A17592" s="1" t="n">
        <v>17591</v>
      </c>
      <c r="B17592">
        <f>TEXT(17591, "[$-0E0000]yyyy-mm-dd")</f>
        <v/>
      </c>
      <c r="C17592" t="inlineStr">
        <is>
          <t>1948-01-20</t>
        </is>
      </c>
    </row>
    <row r="17593">
      <c r="A17593" s="1" t="n">
        <v>17592</v>
      </c>
      <c r="B17593">
        <f>TEXT(17592, "[$-0E0000]yyyy-mm-dd")</f>
        <v/>
      </c>
      <c r="C17593" t="inlineStr">
        <is>
          <t>1948-01-21</t>
        </is>
      </c>
    </row>
    <row r="17594">
      <c r="A17594" s="1" t="n">
        <v>17593</v>
      </c>
      <c r="B17594">
        <f>TEXT(17593, "[$-0E0000]yyyy-mm-dd")</f>
        <v/>
      </c>
      <c r="C17594" t="inlineStr">
        <is>
          <t>1948-01-22</t>
        </is>
      </c>
    </row>
    <row r="17595">
      <c r="A17595" s="1" t="n">
        <v>17594</v>
      </c>
      <c r="B17595">
        <f>TEXT(17594, "[$-0E0000]yyyy-mm-dd")</f>
        <v/>
      </c>
      <c r="C17595" t="inlineStr">
        <is>
          <t>1948-01-23</t>
        </is>
      </c>
    </row>
    <row r="17596">
      <c r="A17596" s="1" t="n">
        <v>17595</v>
      </c>
      <c r="B17596">
        <f>TEXT(17595, "[$-0E0000]yyyy-mm-dd")</f>
        <v/>
      </c>
      <c r="C17596" t="inlineStr">
        <is>
          <t>1948-01-24</t>
        </is>
      </c>
    </row>
    <row r="17597">
      <c r="A17597" s="1" t="n">
        <v>17596</v>
      </c>
      <c r="B17597">
        <f>TEXT(17596, "[$-0E0000]yyyy-mm-dd")</f>
        <v/>
      </c>
      <c r="C17597" t="inlineStr">
        <is>
          <t>1948-01-25</t>
        </is>
      </c>
    </row>
    <row r="17598">
      <c r="A17598" s="1" t="n">
        <v>17597</v>
      </c>
      <c r="B17598">
        <f>TEXT(17597, "[$-0E0000]yyyy-mm-dd")</f>
        <v/>
      </c>
      <c r="C17598" t="inlineStr">
        <is>
          <t>1948-01-26</t>
        </is>
      </c>
    </row>
    <row r="17599">
      <c r="A17599" s="1" t="n">
        <v>17598</v>
      </c>
      <c r="B17599">
        <f>TEXT(17598, "[$-0E0000]yyyy-mm-dd")</f>
        <v/>
      </c>
      <c r="C17599" t="inlineStr">
        <is>
          <t>1948-01-27</t>
        </is>
      </c>
    </row>
    <row r="17600">
      <c r="A17600" s="1" t="n">
        <v>17599</v>
      </c>
      <c r="B17600">
        <f>TEXT(17599, "[$-0E0000]yyyy-mm-dd")</f>
        <v/>
      </c>
      <c r="C17600" t="inlineStr">
        <is>
          <t>1948-01-28</t>
        </is>
      </c>
    </row>
    <row r="17601">
      <c r="A17601" s="1" t="n">
        <v>17600</v>
      </c>
      <c r="B17601">
        <f>TEXT(17600, "[$-0E0000]yyyy-mm-dd")</f>
        <v/>
      </c>
      <c r="C17601" t="inlineStr">
        <is>
          <t>1948-01-29</t>
        </is>
      </c>
    </row>
    <row r="17602">
      <c r="A17602" s="1" t="n">
        <v>17601</v>
      </c>
      <c r="B17602">
        <f>TEXT(17601, "[$-0E0000]yyyy-mm-dd")</f>
        <v/>
      </c>
      <c r="C17602" t="inlineStr">
        <is>
          <t>1948-01-30</t>
        </is>
      </c>
    </row>
    <row r="17603">
      <c r="A17603" s="1" t="n">
        <v>17602</v>
      </c>
      <c r="B17603">
        <f>TEXT(17602, "[$-0E0000]yyyy-mm-dd")</f>
        <v/>
      </c>
      <c r="C17603" t="inlineStr">
        <is>
          <t>1948-02-01</t>
        </is>
      </c>
    </row>
    <row r="17604">
      <c r="A17604" s="1" t="n">
        <v>17603</v>
      </c>
      <c r="B17604">
        <f>TEXT(17603, "[$-0E0000]yyyy-mm-dd")</f>
        <v/>
      </c>
      <c r="C17604" t="inlineStr">
        <is>
          <t>1948-02-02</t>
        </is>
      </c>
    </row>
    <row r="17605">
      <c r="A17605" s="1" t="n">
        <v>17604</v>
      </c>
      <c r="B17605">
        <f>TEXT(17604, "[$-0E0000]yyyy-mm-dd")</f>
        <v/>
      </c>
      <c r="C17605" t="inlineStr">
        <is>
          <t>1948-02-03</t>
        </is>
      </c>
    </row>
    <row r="17606">
      <c r="A17606" s="1" t="n">
        <v>17605</v>
      </c>
      <c r="B17606">
        <f>TEXT(17605, "[$-0E0000]yyyy-mm-dd")</f>
        <v/>
      </c>
      <c r="C17606" t="inlineStr">
        <is>
          <t>1948-02-04</t>
        </is>
      </c>
    </row>
    <row r="17607">
      <c r="A17607" s="1" t="n">
        <v>17606</v>
      </c>
      <c r="B17607">
        <f>TEXT(17606, "[$-0E0000]yyyy-mm-dd")</f>
        <v/>
      </c>
      <c r="C17607" t="inlineStr">
        <is>
          <t>1948-02-05</t>
        </is>
      </c>
    </row>
    <row r="17608">
      <c r="A17608" s="1" t="n">
        <v>17607</v>
      </c>
      <c r="B17608">
        <f>TEXT(17607, "[$-0E0000]yyyy-mm-dd")</f>
        <v/>
      </c>
      <c r="C17608" t="inlineStr">
        <is>
          <t>1948-02-06</t>
        </is>
      </c>
    </row>
    <row r="17609">
      <c r="A17609" s="1" t="n">
        <v>17608</v>
      </c>
      <c r="B17609">
        <f>TEXT(17608, "[$-0E0000]yyyy-mm-dd")</f>
        <v/>
      </c>
      <c r="C17609" t="inlineStr">
        <is>
          <t>1948-02-07</t>
        </is>
      </c>
    </row>
    <row r="17610">
      <c r="A17610" s="1" t="n">
        <v>17609</v>
      </c>
      <c r="B17610">
        <f>TEXT(17609, "[$-0E0000]yyyy-mm-dd")</f>
        <v/>
      </c>
      <c r="C17610" t="inlineStr">
        <is>
          <t>1948-02-08</t>
        </is>
      </c>
    </row>
    <row r="17611">
      <c r="A17611" s="1" t="n">
        <v>17610</v>
      </c>
      <c r="B17611">
        <f>TEXT(17610, "[$-0E0000]yyyy-mm-dd")</f>
        <v/>
      </c>
      <c r="C17611" t="inlineStr">
        <is>
          <t>1948-02-09</t>
        </is>
      </c>
    </row>
    <row r="17612">
      <c r="A17612" s="1" t="n">
        <v>17611</v>
      </c>
      <c r="B17612">
        <f>TEXT(17611, "[$-0E0000]yyyy-mm-dd")</f>
        <v/>
      </c>
      <c r="C17612" t="inlineStr">
        <is>
          <t>1948-02-10</t>
        </is>
      </c>
    </row>
    <row r="17613">
      <c r="A17613" s="1" t="n">
        <v>17612</v>
      </c>
      <c r="B17613">
        <f>TEXT(17612, "[$-0E0000]yyyy-mm-dd")</f>
        <v/>
      </c>
      <c r="C17613" t="inlineStr">
        <is>
          <t>1948-02-11</t>
        </is>
      </c>
    </row>
    <row r="17614">
      <c r="A17614" s="1" t="n">
        <v>17613</v>
      </c>
      <c r="B17614">
        <f>TEXT(17613, "[$-0E0000]yyyy-mm-dd")</f>
        <v/>
      </c>
      <c r="C17614" t="inlineStr">
        <is>
          <t>1948-02-12</t>
        </is>
      </c>
    </row>
    <row r="17615">
      <c r="A17615" s="1" t="n">
        <v>17614</v>
      </c>
      <c r="B17615">
        <f>TEXT(17614, "[$-0E0000]yyyy-mm-dd")</f>
        <v/>
      </c>
      <c r="C17615" t="inlineStr">
        <is>
          <t>1948-02-13</t>
        </is>
      </c>
    </row>
    <row r="17616">
      <c r="A17616" s="1" t="n">
        <v>17615</v>
      </c>
      <c r="B17616">
        <f>TEXT(17615, "[$-0E0000]yyyy-mm-dd")</f>
        <v/>
      </c>
      <c r="C17616" t="inlineStr">
        <is>
          <t>1948-02-14</t>
        </is>
      </c>
    </row>
    <row r="17617">
      <c r="A17617" s="1" t="n">
        <v>17616</v>
      </c>
      <c r="B17617">
        <f>TEXT(17616, "[$-0E0000]yyyy-mm-dd")</f>
        <v/>
      </c>
      <c r="C17617" t="inlineStr">
        <is>
          <t>1948-02-15</t>
        </is>
      </c>
    </row>
    <row r="17618">
      <c r="A17618" s="1" t="n">
        <v>17617</v>
      </c>
      <c r="B17618">
        <f>TEXT(17617, "[$-0E0000]yyyy-mm-dd")</f>
        <v/>
      </c>
      <c r="C17618" t="inlineStr">
        <is>
          <t>1948-02-16</t>
        </is>
      </c>
    </row>
    <row r="17619">
      <c r="A17619" s="1" t="n">
        <v>17618</v>
      </c>
      <c r="B17619">
        <f>TEXT(17618, "[$-0E0000]yyyy-mm-dd")</f>
        <v/>
      </c>
      <c r="C17619" t="inlineStr">
        <is>
          <t>1948-02-17</t>
        </is>
      </c>
    </row>
    <row r="17620">
      <c r="A17620" s="1" t="n">
        <v>17619</v>
      </c>
      <c r="B17620">
        <f>TEXT(17619, "[$-0E0000]yyyy-mm-dd")</f>
        <v/>
      </c>
      <c r="C17620" t="inlineStr">
        <is>
          <t>1948-02-18</t>
        </is>
      </c>
    </row>
    <row r="17621">
      <c r="A17621" s="1" t="n">
        <v>17620</v>
      </c>
      <c r="B17621">
        <f>TEXT(17620, "[$-0E0000]yyyy-mm-dd")</f>
        <v/>
      </c>
      <c r="C17621" t="inlineStr">
        <is>
          <t>1948-02-19</t>
        </is>
      </c>
    </row>
    <row r="17622">
      <c r="A17622" s="1" t="n">
        <v>17621</v>
      </c>
      <c r="B17622">
        <f>TEXT(17621, "[$-0E0000]yyyy-mm-dd")</f>
        <v/>
      </c>
      <c r="C17622" t="inlineStr">
        <is>
          <t>1948-02-20</t>
        </is>
      </c>
    </row>
    <row r="17623">
      <c r="A17623" s="1" t="n">
        <v>17622</v>
      </c>
      <c r="B17623">
        <f>TEXT(17622, "[$-0E0000]yyyy-mm-dd")</f>
        <v/>
      </c>
      <c r="C17623" t="inlineStr">
        <is>
          <t>1948-02-21</t>
        </is>
      </c>
    </row>
    <row r="17624">
      <c r="A17624" s="1" t="n">
        <v>17623</v>
      </c>
      <c r="B17624">
        <f>TEXT(17623, "[$-0E0000]yyyy-mm-dd")</f>
        <v/>
      </c>
      <c r="C17624" t="inlineStr">
        <is>
          <t>1948-02-22</t>
        </is>
      </c>
    </row>
    <row r="17625">
      <c r="A17625" s="1" t="n">
        <v>17624</v>
      </c>
      <c r="B17625">
        <f>TEXT(17624, "[$-0E0000]yyyy-mm-dd")</f>
        <v/>
      </c>
      <c r="C17625" t="inlineStr">
        <is>
          <t>1948-02-23</t>
        </is>
      </c>
    </row>
    <row r="17626">
      <c r="A17626" s="1" t="n">
        <v>17625</v>
      </c>
      <c r="B17626">
        <f>TEXT(17625, "[$-0E0000]yyyy-mm-dd")</f>
        <v/>
      </c>
      <c r="C17626" t="inlineStr">
        <is>
          <t>1948-02-24</t>
        </is>
      </c>
    </row>
    <row r="17627">
      <c r="A17627" s="1" t="n">
        <v>17626</v>
      </c>
      <c r="B17627">
        <f>TEXT(17626, "[$-0E0000]yyyy-mm-dd")</f>
        <v/>
      </c>
      <c r="C17627" t="inlineStr">
        <is>
          <t>1948-02-25</t>
        </is>
      </c>
    </row>
    <row r="17628">
      <c r="A17628" s="1" t="n">
        <v>17627</v>
      </c>
      <c r="B17628">
        <f>TEXT(17627, "[$-0E0000]yyyy-mm-dd")</f>
        <v/>
      </c>
      <c r="C17628" t="inlineStr">
        <is>
          <t>1948-02-26</t>
        </is>
      </c>
    </row>
    <row r="17629">
      <c r="A17629" s="1" t="n">
        <v>17628</v>
      </c>
      <c r="B17629">
        <f>TEXT(17628, "[$-0E0000]yyyy-mm-dd")</f>
        <v/>
      </c>
      <c r="C17629" t="inlineStr">
        <is>
          <t>1948-02-27</t>
        </is>
      </c>
    </row>
    <row r="17630">
      <c r="A17630" s="1" t="n">
        <v>17629</v>
      </c>
      <c r="B17630">
        <f>TEXT(17629, "[$-0E0000]yyyy-mm-dd")</f>
        <v/>
      </c>
      <c r="C17630" t="inlineStr">
        <is>
          <t>1948-02-28</t>
        </is>
      </c>
    </row>
    <row r="17631">
      <c r="A17631" s="1" t="n">
        <v>17630</v>
      </c>
      <c r="B17631">
        <f>TEXT(17630, "[$-0E0000]yyyy-mm-dd")</f>
        <v/>
      </c>
      <c r="C17631" t="inlineStr">
        <is>
          <t>1948-02-29</t>
        </is>
      </c>
    </row>
    <row r="17632">
      <c r="A17632" s="1" t="n">
        <v>17631</v>
      </c>
      <c r="B17632">
        <f>TEXT(17631, "[$-0E0000]yyyy-mm-dd")</f>
        <v/>
      </c>
      <c r="C17632" t="inlineStr">
        <is>
          <t>1948-03-01</t>
        </is>
      </c>
    </row>
    <row r="17633">
      <c r="A17633" s="1" t="n">
        <v>17632</v>
      </c>
      <c r="B17633">
        <f>TEXT(17632, "[$-0E0000]yyyy-mm-dd")</f>
        <v/>
      </c>
      <c r="C17633" t="inlineStr">
        <is>
          <t>1948-03-02</t>
        </is>
      </c>
    </row>
    <row r="17634">
      <c r="A17634" s="1" t="n">
        <v>17633</v>
      </c>
      <c r="B17634">
        <f>TEXT(17633, "[$-0E0000]yyyy-mm-dd")</f>
        <v/>
      </c>
      <c r="C17634" t="inlineStr">
        <is>
          <t>1948-03-03</t>
        </is>
      </c>
    </row>
    <row r="17635">
      <c r="A17635" s="1" t="n">
        <v>17634</v>
      </c>
      <c r="B17635">
        <f>TEXT(17634, "[$-0E0000]yyyy-mm-dd")</f>
        <v/>
      </c>
      <c r="C17635" t="inlineStr">
        <is>
          <t>1948-03-04</t>
        </is>
      </c>
    </row>
    <row r="17636">
      <c r="A17636" s="1" t="n">
        <v>17635</v>
      </c>
      <c r="B17636">
        <f>TEXT(17635, "[$-0E0000]yyyy-mm-dd")</f>
        <v/>
      </c>
      <c r="C17636" t="inlineStr">
        <is>
          <t>1948-03-05</t>
        </is>
      </c>
    </row>
    <row r="17637">
      <c r="A17637" s="1" t="n">
        <v>17636</v>
      </c>
      <c r="B17637">
        <f>TEXT(17636, "[$-0E0000]yyyy-mm-dd")</f>
        <v/>
      </c>
      <c r="C17637" t="inlineStr">
        <is>
          <t>1948-03-06</t>
        </is>
      </c>
    </row>
    <row r="17638">
      <c r="A17638" s="1" t="n">
        <v>17637</v>
      </c>
      <c r="B17638">
        <f>TEXT(17637, "[$-0E0000]yyyy-mm-dd")</f>
        <v/>
      </c>
      <c r="C17638" t="inlineStr">
        <is>
          <t>1948-03-07</t>
        </is>
      </c>
    </row>
    <row r="17639">
      <c r="A17639" s="1" t="n">
        <v>17638</v>
      </c>
      <c r="B17639">
        <f>TEXT(17638, "[$-0E0000]yyyy-mm-dd")</f>
        <v/>
      </c>
      <c r="C17639" t="inlineStr">
        <is>
          <t>1948-03-08</t>
        </is>
      </c>
    </row>
    <row r="17640">
      <c r="A17640" s="1" t="n">
        <v>17639</v>
      </c>
      <c r="B17640">
        <f>TEXT(17639, "[$-0E0000]yyyy-mm-dd")</f>
        <v/>
      </c>
      <c r="C17640" t="inlineStr">
        <is>
          <t>1948-03-09</t>
        </is>
      </c>
    </row>
    <row r="17641">
      <c r="A17641" s="1" t="n">
        <v>17640</v>
      </c>
      <c r="B17641">
        <f>TEXT(17640, "[$-0E0000]yyyy-mm-dd")</f>
        <v/>
      </c>
      <c r="C17641" t="inlineStr">
        <is>
          <t>1948-03-10</t>
        </is>
      </c>
    </row>
    <row r="17642">
      <c r="A17642" s="1" t="n">
        <v>17641</v>
      </c>
      <c r="B17642">
        <f>TEXT(17641, "[$-0E0000]yyyy-mm-dd")</f>
        <v/>
      </c>
      <c r="C17642" t="inlineStr">
        <is>
          <t>1948-03-11</t>
        </is>
      </c>
    </row>
    <row r="17643">
      <c r="A17643" s="1" t="n">
        <v>17642</v>
      </c>
      <c r="B17643">
        <f>TEXT(17642, "[$-0E0000]yyyy-mm-dd")</f>
        <v/>
      </c>
      <c r="C17643" t="inlineStr">
        <is>
          <t>1948-03-12</t>
        </is>
      </c>
    </row>
    <row r="17644">
      <c r="A17644" s="1" t="n">
        <v>17643</v>
      </c>
      <c r="B17644">
        <f>TEXT(17643, "[$-0E0000]yyyy-mm-dd")</f>
        <v/>
      </c>
      <c r="C17644" t="inlineStr">
        <is>
          <t>1948-03-13</t>
        </is>
      </c>
    </row>
    <row r="17645">
      <c r="A17645" s="1" t="n">
        <v>17644</v>
      </c>
      <c r="B17645">
        <f>TEXT(17644, "[$-0E0000]yyyy-mm-dd")</f>
        <v/>
      </c>
      <c r="C17645" t="inlineStr">
        <is>
          <t>1948-03-14</t>
        </is>
      </c>
    </row>
    <row r="17646">
      <c r="A17646" s="1" t="n">
        <v>17645</v>
      </c>
      <c r="B17646">
        <f>TEXT(17645, "[$-0E0000]yyyy-mm-dd")</f>
        <v/>
      </c>
      <c r="C17646" t="inlineStr">
        <is>
          <t>1948-03-15</t>
        </is>
      </c>
    </row>
    <row r="17647">
      <c r="A17647" s="1" t="n">
        <v>17646</v>
      </c>
      <c r="B17647">
        <f>TEXT(17646, "[$-0E0000]yyyy-mm-dd")</f>
        <v/>
      </c>
      <c r="C17647" t="inlineStr">
        <is>
          <t>1948-03-16</t>
        </is>
      </c>
    </row>
    <row r="17648">
      <c r="A17648" s="1" t="n">
        <v>17647</v>
      </c>
      <c r="B17648">
        <f>TEXT(17647, "[$-0E0000]yyyy-mm-dd")</f>
        <v/>
      </c>
      <c r="C17648" t="inlineStr">
        <is>
          <t>1948-03-17</t>
        </is>
      </c>
    </row>
    <row r="17649">
      <c r="A17649" s="1" t="n">
        <v>17648</v>
      </c>
      <c r="B17649">
        <f>TEXT(17648, "[$-0E0000]yyyy-mm-dd")</f>
        <v/>
      </c>
      <c r="C17649" t="inlineStr">
        <is>
          <t>1948-03-18</t>
        </is>
      </c>
    </row>
    <row r="17650">
      <c r="A17650" s="1" t="n">
        <v>17649</v>
      </c>
      <c r="B17650">
        <f>TEXT(17649, "[$-0E0000]yyyy-mm-dd")</f>
        <v/>
      </c>
      <c r="C17650" t="inlineStr">
        <is>
          <t>1948-03-19</t>
        </is>
      </c>
    </row>
    <row r="17651">
      <c r="A17651" s="1" t="n">
        <v>17650</v>
      </c>
      <c r="B17651">
        <f>TEXT(17650, "[$-0E0000]yyyy-mm-dd")</f>
        <v/>
      </c>
      <c r="C17651" t="inlineStr">
        <is>
          <t>1948-03-20</t>
        </is>
      </c>
    </row>
    <row r="17652">
      <c r="A17652" s="1" t="n">
        <v>17651</v>
      </c>
      <c r="B17652">
        <f>TEXT(17651, "[$-0E0000]yyyy-mm-dd")</f>
        <v/>
      </c>
      <c r="C17652" t="inlineStr">
        <is>
          <t>1948-03-21</t>
        </is>
      </c>
    </row>
    <row r="17653">
      <c r="A17653" s="1" t="n">
        <v>17652</v>
      </c>
      <c r="B17653">
        <f>TEXT(17652, "[$-0E0000]yyyy-mm-dd")</f>
        <v/>
      </c>
      <c r="C17653" t="inlineStr">
        <is>
          <t>1948-03-22</t>
        </is>
      </c>
    </row>
    <row r="17654">
      <c r="A17654" s="1" t="n">
        <v>17653</v>
      </c>
      <c r="B17654">
        <f>TEXT(17653, "[$-0E0000]yyyy-mm-dd")</f>
        <v/>
      </c>
      <c r="C17654" t="inlineStr">
        <is>
          <t>1948-03-23</t>
        </is>
      </c>
    </row>
    <row r="17655">
      <c r="A17655" s="1" t="n">
        <v>17654</v>
      </c>
      <c r="B17655">
        <f>TEXT(17654, "[$-0E0000]yyyy-mm-dd")</f>
        <v/>
      </c>
      <c r="C17655" t="inlineStr">
        <is>
          <t>1948-03-24</t>
        </is>
      </c>
    </row>
    <row r="17656">
      <c r="A17656" s="1" t="n">
        <v>17655</v>
      </c>
      <c r="B17656">
        <f>TEXT(17655, "[$-0E0000]yyyy-mm-dd")</f>
        <v/>
      </c>
      <c r="C17656" t="inlineStr">
        <is>
          <t>1948-03-25</t>
        </is>
      </c>
    </row>
    <row r="17657">
      <c r="A17657" s="1" t="n">
        <v>17656</v>
      </c>
      <c r="B17657">
        <f>TEXT(17656, "[$-0E0000]yyyy-mm-dd")</f>
        <v/>
      </c>
      <c r="C17657" t="inlineStr">
        <is>
          <t>1948-03-26</t>
        </is>
      </c>
    </row>
    <row r="17658">
      <c r="A17658" s="1" t="n">
        <v>17657</v>
      </c>
      <c r="B17658">
        <f>TEXT(17657, "[$-0E0000]yyyy-mm-dd")</f>
        <v/>
      </c>
      <c r="C17658" t="inlineStr">
        <is>
          <t>1948-03-27</t>
        </is>
      </c>
    </row>
    <row r="17659">
      <c r="A17659" s="1" t="n">
        <v>17658</v>
      </c>
      <c r="B17659">
        <f>TEXT(17658, "[$-0E0000]yyyy-mm-dd")</f>
        <v/>
      </c>
      <c r="C17659" t="inlineStr">
        <is>
          <t>1948-03-28</t>
        </is>
      </c>
    </row>
    <row r="17660">
      <c r="A17660" s="1" t="n">
        <v>17659</v>
      </c>
      <c r="B17660">
        <f>TEXT(17659, "[$-0E0000]yyyy-mm-dd")</f>
        <v/>
      </c>
      <c r="C17660" t="inlineStr">
        <is>
          <t>1948-03-29</t>
        </is>
      </c>
    </row>
    <row r="17661">
      <c r="A17661" s="1" t="n">
        <v>17660</v>
      </c>
      <c r="B17661">
        <f>TEXT(17660, "[$-0E0000]yyyy-mm-dd")</f>
        <v/>
      </c>
      <c r="C17661" t="inlineStr">
        <is>
          <t>1948-03-30</t>
        </is>
      </c>
    </row>
    <row r="17662">
      <c r="A17662" s="1" t="n">
        <v>17661</v>
      </c>
      <c r="B17662">
        <f>TEXT(17661, "[$-0E0000]yyyy-mm-dd")</f>
        <v/>
      </c>
      <c r="C17662" t="inlineStr">
        <is>
          <t>1948-04-01</t>
        </is>
      </c>
    </row>
    <row r="17663">
      <c r="A17663" s="1" t="n">
        <v>17662</v>
      </c>
      <c r="B17663">
        <f>TEXT(17662, "[$-0E0000]yyyy-mm-dd")</f>
        <v/>
      </c>
      <c r="C17663" t="inlineStr">
        <is>
          <t>1948-04-02</t>
        </is>
      </c>
    </row>
    <row r="17664">
      <c r="A17664" s="1" t="n">
        <v>17663</v>
      </c>
      <c r="B17664">
        <f>TEXT(17663, "[$-0E0000]yyyy-mm-dd")</f>
        <v/>
      </c>
      <c r="C17664" t="inlineStr">
        <is>
          <t>1948-04-03</t>
        </is>
      </c>
    </row>
    <row r="17665">
      <c r="A17665" s="1" t="n">
        <v>17664</v>
      </c>
      <c r="B17665">
        <f>TEXT(17664, "[$-0E0000]yyyy-mm-dd")</f>
        <v/>
      </c>
      <c r="C17665" t="inlineStr">
        <is>
          <t>1948-04-04</t>
        </is>
      </c>
    </row>
    <row r="17666">
      <c r="A17666" s="1" t="n">
        <v>17665</v>
      </c>
      <c r="B17666">
        <f>TEXT(17665, "[$-0E0000]yyyy-mm-dd")</f>
        <v/>
      </c>
      <c r="C17666" t="inlineStr">
        <is>
          <t>1948-04-05</t>
        </is>
      </c>
    </row>
    <row r="17667">
      <c r="A17667" s="1" t="n">
        <v>17666</v>
      </c>
      <c r="B17667">
        <f>TEXT(17666, "[$-0E0000]yyyy-mm-dd")</f>
        <v/>
      </c>
      <c r="C17667" t="inlineStr">
        <is>
          <t>1948-04-06</t>
        </is>
      </c>
    </row>
    <row r="17668">
      <c r="A17668" s="1" t="n">
        <v>17667</v>
      </c>
      <c r="B17668">
        <f>TEXT(17667, "[$-0E0000]yyyy-mm-dd")</f>
        <v/>
      </c>
      <c r="C17668" t="inlineStr">
        <is>
          <t>1948-04-07</t>
        </is>
      </c>
    </row>
    <row r="17669">
      <c r="A17669" s="1" t="n">
        <v>17668</v>
      </c>
      <c r="B17669">
        <f>TEXT(17668, "[$-0E0000]yyyy-mm-dd")</f>
        <v/>
      </c>
      <c r="C17669" t="inlineStr">
        <is>
          <t>1948-04-08</t>
        </is>
      </c>
    </row>
    <row r="17670">
      <c r="A17670" s="1" t="n">
        <v>17669</v>
      </c>
      <c r="B17670">
        <f>TEXT(17669, "[$-0E0000]yyyy-mm-dd")</f>
        <v/>
      </c>
      <c r="C17670" t="inlineStr">
        <is>
          <t>1948-04-09</t>
        </is>
      </c>
    </row>
    <row r="17671">
      <c r="A17671" s="1" t="n">
        <v>17670</v>
      </c>
      <c r="B17671">
        <f>TEXT(17670, "[$-0E0000]yyyy-mm-dd")</f>
        <v/>
      </c>
      <c r="C17671" t="inlineStr">
        <is>
          <t>1948-04-10</t>
        </is>
      </c>
    </row>
    <row r="17672">
      <c r="A17672" s="1" t="n">
        <v>17671</v>
      </c>
      <c r="B17672">
        <f>TEXT(17671, "[$-0E0000]yyyy-mm-dd")</f>
        <v/>
      </c>
      <c r="C17672" t="inlineStr">
        <is>
          <t>1948-04-11</t>
        </is>
      </c>
    </row>
    <row r="17673">
      <c r="A17673" s="1" t="n">
        <v>17672</v>
      </c>
      <c r="B17673">
        <f>TEXT(17672, "[$-0E0000]yyyy-mm-dd")</f>
        <v/>
      </c>
      <c r="C17673" t="inlineStr">
        <is>
          <t>1948-04-12</t>
        </is>
      </c>
    </row>
    <row r="17674">
      <c r="A17674" s="1" t="n">
        <v>17673</v>
      </c>
      <c r="B17674">
        <f>TEXT(17673, "[$-0E0000]yyyy-mm-dd")</f>
        <v/>
      </c>
      <c r="C17674" t="inlineStr">
        <is>
          <t>1948-04-13</t>
        </is>
      </c>
    </row>
    <row r="17675">
      <c r="A17675" s="1" t="n">
        <v>17674</v>
      </c>
      <c r="B17675">
        <f>TEXT(17674, "[$-0E0000]yyyy-mm-dd")</f>
        <v/>
      </c>
      <c r="C17675" t="inlineStr">
        <is>
          <t>1948-04-14</t>
        </is>
      </c>
    </row>
    <row r="17676">
      <c r="A17676" s="1" t="n">
        <v>17675</v>
      </c>
      <c r="B17676">
        <f>TEXT(17675, "[$-0E0000]yyyy-mm-dd")</f>
        <v/>
      </c>
      <c r="C17676" t="inlineStr">
        <is>
          <t>1948-04-15</t>
        </is>
      </c>
    </row>
    <row r="17677">
      <c r="A17677" s="1" t="n">
        <v>17676</v>
      </c>
      <c r="B17677">
        <f>TEXT(17676, "[$-0E0000]yyyy-mm-dd")</f>
        <v/>
      </c>
      <c r="C17677" t="inlineStr">
        <is>
          <t>1948-04-16</t>
        </is>
      </c>
    </row>
    <row r="17678">
      <c r="A17678" s="1" t="n">
        <v>17677</v>
      </c>
      <c r="B17678">
        <f>TEXT(17677, "[$-0E0000]yyyy-mm-dd")</f>
        <v/>
      </c>
      <c r="C17678" t="inlineStr">
        <is>
          <t>1948-04-17</t>
        </is>
      </c>
    </row>
    <row r="17679">
      <c r="A17679" s="1" t="n">
        <v>17678</v>
      </c>
      <c r="B17679">
        <f>TEXT(17678, "[$-0E0000]yyyy-mm-dd")</f>
        <v/>
      </c>
      <c r="C17679" t="inlineStr">
        <is>
          <t>1948-04-18</t>
        </is>
      </c>
    </row>
    <row r="17680">
      <c r="A17680" s="1" t="n">
        <v>17679</v>
      </c>
      <c r="B17680">
        <f>TEXT(17679, "[$-0E0000]yyyy-mm-dd")</f>
        <v/>
      </c>
      <c r="C17680" t="inlineStr">
        <is>
          <t>1948-04-19</t>
        </is>
      </c>
    </row>
    <row r="17681">
      <c r="A17681" s="1" t="n">
        <v>17680</v>
      </c>
      <c r="B17681">
        <f>TEXT(17680, "[$-0E0000]yyyy-mm-dd")</f>
        <v/>
      </c>
      <c r="C17681" t="inlineStr">
        <is>
          <t>1948-04-20</t>
        </is>
      </c>
    </row>
    <row r="17682">
      <c r="A17682" s="1" t="n">
        <v>17681</v>
      </c>
      <c r="B17682">
        <f>TEXT(17681, "[$-0E0000]yyyy-mm-dd")</f>
        <v/>
      </c>
      <c r="C17682" t="inlineStr">
        <is>
          <t>1948-04-21</t>
        </is>
      </c>
    </row>
    <row r="17683">
      <c r="A17683" s="1" t="n">
        <v>17682</v>
      </c>
      <c r="B17683">
        <f>TEXT(17682, "[$-0E0000]yyyy-mm-dd")</f>
        <v/>
      </c>
      <c r="C17683" t="inlineStr">
        <is>
          <t>1948-04-22</t>
        </is>
      </c>
    </row>
    <row r="17684">
      <c r="A17684" s="1" t="n">
        <v>17683</v>
      </c>
      <c r="B17684">
        <f>TEXT(17683, "[$-0E0000]yyyy-mm-dd")</f>
        <v/>
      </c>
      <c r="C17684" t="inlineStr">
        <is>
          <t>1948-04-23</t>
        </is>
      </c>
    </row>
    <row r="17685">
      <c r="A17685" s="1" t="n">
        <v>17684</v>
      </c>
      <c r="B17685">
        <f>TEXT(17684, "[$-0E0000]yyyy-mm-dd")</f>
        <v/>
      </c>
      <c r="C17685" t="inlineStr">
        <is>
          <t>1948-04-24</t>
        </is>
      </c>
    </row>
    <row r="17686">
      <c r="A17686" s="1" t="n">
        <v>17685</v>
      </c>
      <c r="B17686">
        <f>TEXT(17685, "[$-0E0000]yyyy-mm-dd")</f>
        <v/>
      </c>
      <c r="C17686" t="inlineStr">
        <is>
          <t>1948-04-25</t>
        </is>
      </c>
    </row>
    <row r="17687">
      <c r="A17687" s="1" t="n">
        <v>17686</v>
      </c>
      <c r="B17687">
        <f>TEXT(17686, "[$-0E0000]yyyy-mm-dd")</f>
        <v/>
      </c>
      <c r="C17687" t="inlineStr">
        <is>
          <t>1948-04-26</t>
        </is>
      </c>
    </row>
    <row r="17688">
      <c r="A17688" s="1" t="n">
        <v>17687</v>
      </c>
      <c r="B17688">
        <f>TEXT(17687, "[$-0E0000]yyyy-mm-dd")</f>
        <v/>
      </c>
      <c r="C17688" t="inlineStr">
        <is>
          <t>1948-04-27</t>
        </is>
      </c>
    </row>
    <row r="17689">
      <c r="A17689" s="1" t="n">
        <v>17688</v>
      </c>
      <c r="B17689">
        <f>TEXT(17688, "[$-0E0000]yyyy-mm-dd")</f>
        <v/>
      </c>
      <c r="C17689" t="inlineStr">
        <is>
          <t>1948-04-28</t>
        </is>
      </c>
    </row>
    <row r="17690">
      <c r="A17690" s="1" t="n">
        <v>17689</v>
      </c>
      <c r="B17690">
        <f>TEXT(17689, "[$-0E0000]yyyy-mm-dd")</f>
        <v/>
      </c>
      <c r="C17690" t="inlineStr">
        <is>
          <t>1948-04-29</t>
        </is>
      </c>
    </row>
    <row r="17691">
      <c r="A17691" s="1" t="n">
        <v>17690</v>
      </c>
      <c r="B17691">
        <f>TEXT(17690, "[$-0E0000]yyyy-mm-dd")</f>
        <v/>
      </c>
      <c r="C17691" t="inlineStr">
        <is>
          <t>1948-05-01</t>
        </is>
      </c>
    </row>
    <row r="17692">
      <c r="A17692" s="1" t="n">
        <v>17691</v>
      </c>
      <c r="B17692">
        <f>TEXT(17691, "[$-0E0000]yyyy-mm-dd")</f>
        <v/>
      </c>
      <c r="C17692" t="inlineStr">
        <is>
          <t>1948-05-02</t>
        </is>
      </c>
    </row>
    <row r="17693">
      <c r="A17693" s="1" t="n">
        <v>17692</v>
      </c>
      <c r="B17693">
        <f>TEXT(17692, "[$-0E0000]yyyy-mm-dd")</f>
        <v/>
      </c>
      <c r="C17693" t="inlineStr">
        <is>
          <t>1948-05-03</t>
        </is>
      </c>
    </row>
    <row r="17694">
      <c r="A17694" s="1" t="n">
        <v>17693</v>
      </c>
      <c r="B17694">
        <f>TEXT(17693, "[$-0E0000]yyyy-mm-dd")</f>
        <v/>
      </c>
      <c r="C17694" t="inlineStr">
        <is>
          <t>1948-05-04</t>
        </is>
      </c>
    </row>
    <row r="17695">
      <c r="A17695" s="1" t="n">
        <v>17694</v>
      </c>
      <c r="B17695">
        <f>TEXT(17694, "[$-0E0000]yyyy-mm-dd")</f>
        <v/>
      </c>
      <c r="C17695" t="inlineStr">
        <is>
          <t>1948-05-05</t>
        </is>
      </c>
    </row>
    <row r="17696">
      <c r="A17696" s="1" t="n">
        <v>17695</v>
      </c>
      <c r="B17696">
        <f>TEXT(17695, "[$-0E0000]yyyy-mm-dd")</f>
        <v/>
      </c>
      <c r="C17696" t="inlineStr">
        <is>
          <t>1948-05-06</t>
        </is>
      </c>
    </row>
    <row r="17697">
      <c r="A17697" s="1" t="n">
        <v>17696</v>
      </c>
      <c r="B17697">
        <f>TEXT(17696, "[$-0E0000]yyyy-mm-dd")</f>
        <v/>
      </c>
      <c r="C17697" t="inlineStr">
        <is>
          <t>1948-05-07</t>
        </is>
      </c>
    </row>
    <row r="17698">
      <c r="A17698" s="1" t="n">
        <v>17697</v>
      </c>
      <c r="B17698">
        <f>TEXT(17697, "[$-0E0000]yyyy-mm-dd")</f>
        <v/>
      </c>
      <c r="C17698" t="inlineStr">
        <is>
          <t>1948-05-08</t>
        </is>
      </c>
    </row>
    <row r="17699">
      <c r="A17699" s="1" t="n">
        <v>17698</v>
      </c>
      <c r="B17699">
        <f>TEXT(17698, "[$-0E0000]yyyy-mm-dd")</f>
        <v/>
      </c>
      <c r="C17699" t="inlineStr">
        <is>
          <t>1948-05-09</t>
        </is>
      </c>
    </row>
    <row r="17700">
      <c r="A17700" s="1" t="n">
        <v>17699</v>
      </c>
      <c r="B17700">
        <f>TEXT(17699, "[$-0E0000]yyyy-mm-dd")</f>
        <v/>
      </c>
      <c r="C17700" t="inlineStr">
        <is>
          <t>1948-05-10</t>
        </is>
      </c>
    </row>
    <row r="17701">
      <c r="A17701" s="1" t="n">
        <v>17700</v>
      </c>
      <c r="B17701">
        <f>TEXT(17700, "[$-0E0000]yyyy-mm-dd")</f>
        <v/>
      </c>
      <c r="C17701" t="inlineStr">
        <is>
          <t>1948-05-11</t>
        </is>
      </c>
    </row>
    <row r="17702">
      <c r="A17702" s="1" t="n">
        <v>17701</v>
      </c>
      <c r="B17702">
        <f>TEXT(17701, "[$-0E0000]yyyy-mm-dd")</f>
        <v/>
      </c>
      <c r="C17702" t="inlineStr">
        <is>
          <t>1948-05-12</t>
        </is>
      </c>
    </row>
    <row r="17703">
      <c r="A17703" s="1" t="n">
        <v>17702</v>
      </c>
      <c r="B17703">
        <f>TEXT(17702, "[$-0E0000]yyyy-mm-dd")</f>
        <v/>
      </c>
      <c r="C17703" t="inlineStr">
        <is>
          <t>1948-05-13</t>
        </is>
      </c>
    </row>
    <row r="17704">
      <c r="A17704" s="1" t="n">
        <v>17703</v>
      </c>
      <c r="B17704">
        <f>TEXT(17703, "[$-0E0000]yyyy-mm-dd")</f>
        <v/>
      </c>
      <c r="C17704" t="inlineStr">
        <is>
          <t>1948-05-14</t>
        </is>
      </c>
    </row>
    <row r="17705">
      <c r="A17705" s="1" t="n">
        <v>17704</v>
      </c>
      <c r="B17705">
        <f>TEXT(17704, "[$-0E0000]yyyy-mm-dd")</f>
        <v/>
      </c>
      <c r="C17705" t="inlineStr">
        <is>
          <t>1948-05-15</t>
        </is>
      </c>
    </row>
    <row r="17706">
      <c r="A17706" s="1" t="n">
        <v>17705</v>
      </c>
      <c r="B17706">
        <f>TEXT(17705, "[$-0E0000]yyyy-mm-dd")</f>
        <v/>
      </c>
      <c r="C17706" t="inlineStr">
        <is>
          <t>1948-05-16</t>
        </is>
      </c>
    </row>
    <row r="17707">
      <c r="A17707" s="1" t="n">
        <v>17706</v>
      </c>
      <c r="B17707">
        <f>TEXT(17706, "[$-0E0000]yyyy-mm-dd")</f>
        <v/>
      </c>
      <c r="C17707" t="inlineStr">
        <is>
          <t>1948-05-17</t>
        </is>
      </c>
    </row>
    <row r="17708">
      <c r="A17708" s="1" t="n">
        <v>17707</v>
      </c>
      <c r="B17708">
        <f>TEXT(17707, "[$-0E0000]yyyy-mm-dd")</f>
        <v/>
      </c>
      <c r="C17708" t="inlineStr">
        <is>
          <t>1948-05-18</t>
        </is>
      </c>
    </row>
    <row r="17709">
      <c r="A17709" s="1" t="n">
        <v>17708</v>
      </c>
      <c r="B17709">
        <f>TEXT(17708, "[$-0E0000]yyyy-mm-dd")</f>
        <v/>
      </c>
      <c r="C17709" t="inlineStr">
        <is>
          <t>1948-05-19</t>
        </is>
      </c>
    </row>
    <row r="17710">
      <c r="A17710" s="1" t="n">
        <v>17709</v>
      </c>
      <c r="B17710">
        <f>TEXT(17709, "[$-0E0000]yyyy-mm-dd")</f>
        <v/>
      </c>
      <c r="C17710" t="inlineStr">
        <is>
          <t>1948-05-20</t>
        </is>
      </c>
    </row>
    <row r="17711">
      <c r="A17711" s="1" t="n">
        <v>17710</v>
      </c>
      <c r="B17711">
        <f>TEXT(17710, "[$-0E0000]yyyy-mm-dd")</f>
        <v/>
      </c>
      <c r="C17711" t="inlineStr">
        <is>
          <t>1948-05-21</t>
        </is>
      </c>
    </row>
    <row r="17712">
      <c r="A17712" s="1" t="n">
        <v>17711</v>
      </c>
      <c r="B17712">
        <f>TEXT(17711, "[$-0E0000]yyyy-mm-dd")</f>
        <v/>
      </c>
      <c r="C17712" t="inlineStr">
        <is>
          <t>1948-05-22</t>
        </is>
      </c>
    </row>
    <row r="17713">
      <c r="A17713" s="1" t="n">
        <v>17712</v>
      </c>
      <c r="B17713">
        <f>TEXT(17712, "[$-0E0000]yyyy-mm-dd")</f>
        <v/>
      </c>
      <c r="C17713" t="inlineStr">
        <is>
          <t>1948-05-23</t>
        </is>
      </c>
    </row>
    <row r="17714">
      <c r="A17714" s="1" t="n">
        <v>17713</v>
      </c>
      <c r="B17714">
        <f>TEXT(17713, "[$-0E0000]yyyy-mm-dd")</f>
        <v/>
      </c>
      <c r="C17714" t="inlineStr">
        <is>
          <t>1948-05-24</t>
        </is>
      </c>
    </row>
    <row r="17715">
      <c r="A17715" s="1" t="n">
        <v>17714</v>
      </c>
      <c r="B17715">
        <f>TEXT(17714, "[$-0E0000]yyyy-mm-dd")</f>
        <v/>
      </c>
      <c r="C17715" t="inlineStr">
        <is>
          <t>1948-05-25</t>
        </is>
      </c>
    </row>
    <row r="17716">
      <c r="A17716" s="1" t="n">
        <v>17715</v>
      </c>
      <c r="B17716">
        <f>TEXT(17715, "[$-0E0000]yyyy-mm-dd")</f>
        <v/>
      </c>
      <c r="C17716" t="inlineStr">
        <is>
          <t>1948-05-26</t>
        </is>
      </c>
    </row>
    <row r="17717">
      <c r="A17717" s="1" t="n">
        <v>17716</v>
      </c>
      <c r="B17717">
        <f>TEXT(17716, "[$-0E0000]yyyy-mm-dd")</f>
        <v/>
      </c>
      <c r="C17717" t="inlineStr">
        <is>
          <t>1948-05-27</t>
        </is>
      </c>
    </row>
    <row r="17718">
      <c r="A17718" s="1" t="n">
        <v>17717</v>
      </c>
      <c r="B17718">
        <f>TEXT(17717, "[$-0E0000]yyyy-mm-dd")</f>
        <v/>
      </c>
      <c r="C17718" t="inlineStr">
        <is>
          <t>1948-05-28</t>
        </is>
      </c>
    </row>
    <row r="17719">
      <c r="A17719" s="1" t="n">
        <v>17718</v>
      </c>
      <c r="B17719">
        <f>TEXT(17718, "[$-0E0000]yyyy-mm-dd")</f>
        <v/>
      </c>
      <c r="C17719" t="inlineStr">
        <is>
          <t>1948-05-29</t>
        </is>
      </c>
    </row>
    <row r="17720">
      <c r="A17720" s="1" t="n">
        <v>17719</v>
      </c>
      <c r="B17720">
        <f>TEXT(17719, "[$-0E0000]yyyy-mm-dd")</f>
        <v/>
      </c>
      <c r="C17720" t="inlineStr">
        <is>
          <t>1948-05-30</t>
        </is>
      </c>
    </row>
    <row r="17721">
      <c r="A17721" s="1" t="n">
        <v>17720</v>
      </c>
      <c r="B17721">
        <f>TEXT(17720, "[$-0E0000]yyyy-mm-dd")</f>
        <v/>
      </c>
      <c r="C17721" t="inlineStr">
        <is>
          <t>1948-06-01</t>
        </is>
      </c>
    </row>
    <row r="17722">
      <c r="A17722" s="1" t="n">
        <v>17721</v>
      </c>
      <c r="B17722">
        <f>TEXT(17721, "[$-0E0000]yyyy-mm-dd")</f>
        <v/>
      </c>
      <c r="C17722" t="inlineStr">
        <is>
          <t>1948-06-02</t>
        </is>
      </c>
    </row>
    <row r="17723">
      <c r="A17723" s="1" t="n">
        <v>17722</v>
      </c>
      <c r="B17723">
        <f>TEXT(17722, "[$-0E0000]yyyy-mm-dd")</f>
        <v/>
      </c>
      <c r="C17723" t="inlineStr">
        <is>
          <t>1948-06-03</t>
        </is>
      </c>
    </row>
    <row r="17724">
      <c r="A17724" s="1" t="n">
        <v>17723</v>
      </c>
      <c r="B17724">
        <f>TEXT(17723, "[$-0E0000]yyyy-mm-dd")</f>
        <v/>
      </c>
      <c r="C17724" t="inlineStr">
        <is>
          <t>1948-06-04</t>
        </is>
      </c>
    </row>
    <row r="17725">
      <c r="A17725" s="1" t="n">
        <v>17724</v>
      </c>
      <c r="B17725">
        <f>TEXT(17724, "[$-0E0000]yyyy-mm-dd")</f>
        <v/>
      </c>
      <c r="C17725" t="inlineStr">
        <is>
          <t>1948-06-05</t>
        </is>
      </c>
    </row>
    <row r="17726">
      <c r="A17726" s="1" t="n">
        <v>17725</v>
      </c>
      <c r="B17726">
        <f>TEXT(17725, "[$-0E0000]yyyy-mm-dd")</f>
        <v/>
      </c>
      <c r="C17726" t="inlineStr">
        <is>
          <t>1948-06-06</t>
        </is>
      </c>
    </row>
    <row r="17727">
      <c r="A17727" s="1" t="n">
        <v>17726</v>
      </c>
      <c r="B17727">
        <f>TEXT(17726, "[$-0E0000]yyyy-mm-dd")</f>
        <v/>
      </c>
      <c r="C17727" t="inlineStr">
        <is>
          <t>1948-06-07</t>
        </is>
      </c>
    </row>
    <row r="17728">
      <c r="A17728" s="1" t="n">
        <v>17727</v>
      </c>
      <c r="B17728">
        <f>TEXT(17727, "[$-0E0000]yyyy-mm-dd")</f>
        <v/>
      </c>
      <c r="C17728" t="inlineStr">
        <is>
          <t>1948-06-08</t>
        </is>
      </c>
    </row>
    <row r="17729">
      <c r="A17729" s="1" t="n">
        <v>17728</v>
      </c>
      <c r="B17729">
        <f>TEXT(17728, "[$-0E0000]yyyy-mm-dd")</f>
        <v/>
      </c>
      <c r="C17729" t="inlineStr">
        <is>
          <t>1948-06-09</t>
        </is>
      </c>
    </row>
    <row r="17730">
      <c r="A17730" s="1" t="n">
        <v>17729</v>
      </c>
      <c r="B17730">
        <f>TEXT(17729, "[$-0E0000]yyyy-mm-dd")</f>
        <v/>
      </c>
      <c r="C17730" t="inlineStr">
        <is>
          <t>1948-06-10</t>
        </is>
      </c>
    </row>
    <row r="17731">
      <c r="A17731" s="1" t="n">
        <v>17730</v>
      </c>
      <c r="B17731">
        <f>TEXT(17730, "[$-0E0000]yyyy-mm-dd")</f>
        <v/>
      </c>
      <c r="C17731" t="inlineStr">
        <is>
          <t>1948-06-11</t>
        </is>
      </c>
    </row>
    <row r="17732">
      <c r="A17732" s="1" t="n">
        <v>17731</v>
      </c>
      <c r="B17732">
        <f>TEXT(17731, "[$-0E0000]yyyy-mm-dd")</f>
        <v/>
      </c>
      <c r="C17732" t="inlineStr">
        <is>
          <t>1948-06-12</t>
        </is>
      </c>
    </row>
    <row r="17733">
      <c r="A17733" s="1" t="n">
        <v>17732</v>
      </c>
      <c r="B17733">
        <f>TEXT(17732, "[$-0E0000]yyyy-mm-dd")</f>
        <v/>
      </c>
      <c r="C17733" t="inlineStr">
        <is>
          <t>1948-06-13</t>
        </is>
      </c>
    </row>
    <row r="17734">
      <c r="A17734" s="1" t="n">
        <v>17733</v>
      </c>
      <c r="B17734">
        <f>TEXT(17733, "[$-0E0000]yyyy-mm-dd")</f>
        <v/>
      </c>
      <c r="C17734" t="inlineStr">
        <is>
          <t>1948-06-14</t>
        </is>
      </c>
    </row>
    <row r="17735">
      <c r="A17735" s="1" t="n">
        <v>17734</v>
      </c>
      <c r="B17735">
        <f>TEXT(17734, "[$-0E0000]yyyy-mm-dd")</f>
        <v/>
      </c>
      <c r="C17735" t="inlineStr">
        <is>
          <t>1948-06-15</t>
        </is>
      </c>
    </row>
    <row r="17736">
      <c r="A17736" s="1" t="n">
        <v>17735</v>
      </c>
      <c r="B17736">
        <f>TEXT(17735, "[$-0E0000]yyyy-mm-dd")</f>
        <v/>
      </c>
      <c r="C17736" t="inlineStr">
        <is>
          <t>1948-06-16</t>
        </is>
      </c>
    </row>
    <row r="17737">
      <c r="A17737" s="1" t="n">
        <v>17736</v>
      </c>
      <c r="B17737">
        <f>TEXT(17736, "[$-0E0000]yyyy-mm-dd")</f>
        <v/>
      </c>
      <c r="C17737" t="inlineStr">
        <is>
          <t>1948-06-17</t>
        </is>
      </c>
    </row>
    <row r="17738">
      <c r="A17738" s="1" t="n">
        <v>17737</v>
      </c>
      <c r="B17738">
        <f>TEXT(17737, "[$-0E0000]yyyy-mm-dd")</f>
        <v/>
      </c>
      <c r="C17738" t="inlineStr">
        <is>
          <t>1948-06-18</t>
        </is>
      </c>
    </row>
    <row r="17739">
      <c r="A17739" s="1" t="n">
        <v>17738</v>
      </c>
      <c r="B17739">
        <f>TEXT(17738, "[$-0E0000]yyyy-mm-dd")</f>
        <v/>
      </c>
      <c r="C17739" t="inlineStr">
        <is>
          <t>1948-06-19</t>
        </is>
      </c>
    </row>
    <row r="17740">
      <c r="A17740" s="1" t="n">
        <v>17739</v>
      </c>
      <c r="B17740">
        <f>TEXT(17739, "[$-0E0000]yyyy-mm-dd")</f>
        <v/>
      </c>
      <c r="C17740" t="inlineStr">
        <is>
          <t>1948-06-20</t>
        </is>
      </c>
    </row>
    <row r="17741">
      <c r="A17741" s="1" t="n">
        <v>17740</v>
      </c>
      <c r="B17741">
        <f>TEXT(17740, "[$-0E0000]yyyy-mm-dd")</f>
        <v/>
      </c>
      <c r="C17741" t="inlineStr">
        <is>
          <t>1948-06-21</t>
        </is>
      </c>
    </row>
    <row r="17742">
      <c r="A17742" s="1" t="n">
        <v>17741</v>
      </c>
      <c r="B17742">
        <f>TEXT(17741, "[$-0E0000]yyyy-mm-dd")</f>
        <v/>
      </c>
      <c r="C17742" t="inlineStr">
        <is>
          <t>1948-06-22</t>
        </is>
      </c>
    </row>
    <row r="17743">
      <c r="A17743" s="1" t="n">
        <v>17742</v>
      </c>
      <c r="B17743">
        <f>TEXT(17742, "[$-0E0000]yyyy-mm-dd")</f>
        <v/>
      </c>
      <c r="C17743" t="inlineStr">
        <is>
          <t>1948-06-23</t>
        </is>
      </c>
    </row>
    <row r="17744">
      <c r="A17744" s="1" t="n">
        <v>17743</v>
      </c>
      <c r="B17744">
        <f>TEXT(17743, "[$-0E0000]yyyy-mm-dd")</f>
        <v/>
      </c>
      <c r="C17744" t="inlineStr">
        <is>
          <t>1948-06-24</t>
        </is>
      </c>
    </row>
    <row r="17745">
      <c r="A17745" s="1" t="n">
        <v>17744</v>
      </c>
      <c r="B17745">
        <f>TEXT(17744, "[$-0E0000]yyyy-mm-dd")</f>
        <v/>
      </c>
      <c r="C17745" t="inlineStr">
        <is>
          <t>1948-06-25</t>
        </is>
      </c>
    </row>
    <row r="17746">
      <c r="A17746" s="1" t="n">
        <v>17745</v>
      </c>
      <c r="B17746">
        <f>TEXT(17745, "[$-0E0000]yyyy-mm-dd")</f>
        <v/>
      </c>
      <c r="C17746" t="inlineStr">
        <is>
          <t>1948-06-26</t>
        </is>
      </c>
    </row>
    <row r="17747">
      <c r="A17747" s="1" t="n">
        <v>17746</v>
      </c>
      <c r="B17747">
        <f>TEXT(17746, "[$-0E0000]yyyy-mm-dd")</f>
        <v/>
      </c>
      <c r="C17747" t="inlineStr">
        <is>
          <t>1948-06-27</t>
        </is>
      </c>
    </row>
    <row r="17748">
      <c r="A17748" s="1" t="n">
        <v>17747</v>
      </c>
      <c r="B17748">
        <f>TEXT(17747, "[$-0E0000]yyyy-mm-dd")</f>
        <v/>
      </c>
      <c r="C17748" t="inlineStr">
        <is>
          <t>1948-06-28</t>
        </is>
      </c>
    </row>
    <row r="17749">
      <c r="A17749" s="1" t="n">
        <v>17748</v>
      </c>
      <c r="B17749">
        <f>TEXT(17748, "[$-0E0000]yyyy-mm-dd")</f>
        <v/>
      </c>
      <c r="C17749" t="inlineStr">
        <is>
          <t>1948-06-29</t>
        </is>
      </c>
    </row>
    <row r="17750">
      <c r="A17750" s="1" t="n">
        <v>17749</v>
      </c>
      <c r="B17750">
        <f>TEXT(17749, "[$-0E0000]yyyy-mm-dd")</f>
        <v/>
      </c>
      <c r="C17750" t="inlineStr">
        <is>
          <t>1948-07-01</t>
        </is>
      </c>
    </row>
    <row r="17751">
      <c r="A17751" s="1" t="n">
        <v>17750</v>
      </c>
      <c r="B17751">
        <f>TEXT(17750, "[$-0E0000]yyyy-mm-dd")</f>
        <v/>
      </c>
      <c r="C17751" t="inlineStr">
        <is>
          <t>1948-07-02</t>
        </is>
      </c>
    </row>
    <row r="17752">
      <c r="A17752" s="1" t="n">
        <v>17751</v>
      </c>
      <c r="B17752">
        <f>TEXT(17751, "[$-0E0000]yyyy-mm-dd")</f>
        <v/>
      </c>
      <c r="C17752" t="inlineStr">
        <is>
          <t>1948-07-03</t>
        </is>
      </c>
    </row>
    <row r="17753">
      <c r="A17753" s="1" t="n">
        <v>17752</v>
      </c>
      <c r="B17753">
        <f>TEXT(17752, "[$-0E0000]yyyy-mm-dd")</f>
        <v/>
      </c>
      <c r="C17753" t="inlineStr">
        <is>
          <t>1948-07-04</t>
        </is>
      </c>
    </row>
    <row r="17754">
      <c r="A17754" s="1" t="n">
        <v>17753</v>
      </c>
      <c r="B17754">
        <f>TEXT(17753, "[$-0E0000]yyyy-mm-dd")</f>
        <v/>
      </c>
      <c r="C17754" t="inlineStr">
        <is>
          <t>1948-07-05</t>
        </is>
      </c>
    </row>
    <row r="17755">
      <c r="A17755" s="1" t="n">
        <v>17754</v>
      </c>
      <c r="B17755">
        <f>TEXT(17754, "[$-0E0000]yyyy-mm-dd")</f>
        <v/>
      </c>
      <c r="C17755" t="inlineStr">
        <is>
          <t>1948-07-06</t>
        </is>
      </c>
    </row>
    <row r="17756">
      <c r="A17756" s="1" t="n">
        <v>17755</v>
      </c>
      <c r="B17756">
        <f>TEXT(17755, "[$-0E0000]yyyy-mm-dd")</f>
        <v/>
      </c>
      <c r="C17756" t="inlineStr">
        <is>
          <t>1948-07-07</t>
        </is>
      </c>
    </row>
    <row r="17757">
      <c r="A17757" s="1" t="n">
        <v>17756</v>
      </c>
      <c r="B17757">
        <f>TEXT(17756, "[$-0E0000]yyyy-mm-dd")</f>
        <v/>
      </c>
      <c r="C17757" t="inlineStr">
        <is>
          <t>1948-07-08</t>
        </is>
      </c>
    </row>
    <row r="17758">
      <c r="A17758" s="1" t="n">
        <v>17757</v>
      </c>
      <c r="B17758">
        <f>TEXT(17757, "[$-0E0000]yyyy-mm-dd")</f>
        <v/>
      </c>
      <c r="C17758" t="inlineStr">
        <is>
          <t>1948-07-09</t>
        </is>
      </c>
    </row>
    <row r="17759">
      <c r="A17759" s="1" t="n">
        <v>17758</v>
      </c>
      <c r="B17759">
        <f>TEXT(17758, "[$-0E0000]yyyy-mm-dd")</f>
        <v/>
      </c>
      <c r="C17759" t="inlineStr">
        <is>
          <t>1948-07-10</t>
        </is>
      </c>
    </row>
    <row r="17760">
      <c r="A17760" s="1" t="n">
        <v>17759</v>
      </c>
      <c r="B17760">
        <f>TEXT(17759, "[$-0E0000]yyyy-mm-dd")</f>
        <v/>
      </c>
      <c r="C17760" t="inlineStr">
        <is>
          <t>1948-07-11</t>
        </is>
      </c>
    </row>
    <row r="17761">
      <c r="A17761" s="1" t="n">
        <v>17760</v>
      </c>
      <c r="B17761">
        <f>TEXT(17760, "[$-0E0000]yyyy-mm-dd")</f>
        <v/>
      </c>
      <c r="C17761" t="inlineStr">
        <is>
          <t>1948-07-12</t>
        </is>
      </c>
    </row>
    <row r="17762">
      <c r="A17762" s="1" t="n">
        <v>17761</v>
      </c>
      <c r="B17762">
        <f>TEXT(17761, "[$-0E0000]yyyy-mm-dd")</f>
        <v/>
      </c>
      <c r="C17762" t="inlineStr">
        <is>
          <t>1948-07-13</t>
        </is>
      </c>
    </row>
    <row r="17763">
      <c r="A17763" s="1" t="n">
        <v>17762</v>
      </c>
      <c r="B17763">
        <f>TEXT(17762, "[$-0E0000]yyyy-mm-dd")</f>
        <v/>
      </c>
      <c r="C17763" t="inlineStr">
        <is>
          <t>1948-07-14</t>
        </is>
      </c>
    </row>
    <row r="17764">
      <c r="A17764" s="1" t="n">
        <v>17763</v>
      </c>
      <c r="B17764">
        <f>TEXT(17763, "[$-0E0000]yyyy-mm-dd")</f>
        <v/>
      </c>
      <c r="C17764" t="inlineStr">
        <is>
          <t>1948-07-15</t>
        </is>
      </c>
    </row>
    <row r="17765">
      <c r="A17765" s="1" t="n">
        <v>17764</v>
      </c>
      <c r="B17765">
        <f>TEXT(17764, "[$-0E0000]yyyy-mm-dd")</f>
        <v/>
      </c>
      <c r="C17765" t="inlineStr">
        <is>
          <t>1948-07-16</t>
        </is>
      </c>
    </row>
    <row r="17766">
      <c r="A17766" s="1" t="n">
        <v>17765</v>
      </c>
      <c r="B17766">
        <f>TEXT(17765, "[$-0E0000]yyyy-mm-dd")</f>
        <v/>
      </c>
      <c r="C17766" t="inlineStr">
        <is>
          <t>1948-07-17</t>
        </is>
      </c>
    </row>
    <row r="17767">
      <c r="A17767" s="1" t="n">
        <v>17766</v>
      </c>
      <c r="B17767">
        <f>TEXT(17766, "[$-0E0000]yyyy-mm-dd")</f>
        <v/>
      </c>
      <c r="C17767" t="inlineStr">
        <is>
          <t>1948-07-18</t>
        </is>
      </c>
    </row>
    <row r="17768">
      <c r="A17768" s="1" t="n">
        <v>17767</v>
      </c>
      <c r="B17768">
        <f>TEXT(17767, "[$-0E0000]yyyy-mm-dd")</f>
        <v/>
      </c>
      <c r="C17768" t="inlineStr">
        <is>
          <t>1948-07-19</t>
        </is>
      </c>
    </row>
    <row r="17769">
      <c r="A17769" s="1" t="n">
        <v>17768</v>
      </c>
      <c r="B17769">
        <f>TEXT(17768, "[$-0E0000]yyyy-mm-dd")</f>
        <v/>
      </c>
      <c r="C17769" t="inlineStr">
        <is>
          <t>1948-07-20</t>
        </is>
      </c>
    </row>
    <row r="17770">
      <c r="A17770" s="1" t="n">
        <v>17769</v>
      </c>
      <c r="B17770">
        <f>TEXT(17769, "[$-0E0000]yyyy-mm-dd")</f>
        <v/>
      </c>
      <c r="C17770" t="inlineStr">
        <is>
          <t>1948-07-21</t>
        </is>
      </c>
    </row>
    <row r="17771">
      <c r="A17771" s="1" t="n">
        <v>17770</v>
      </c>
      <c r="B17771">
        <f>TEXT(17770, "[$-0E0000]yyyy-mm-dd")</f>
        <v/>
      </c>
      <c r="C17771" t="inlineStr">
        <is>
          <t>1948-07-22</t>
        </is>
      </c>
    </row>
    <row r="17772">
      <c r="A17772" s="1" t="n">
        <v>17771</v>
      </c>
      <c r="B17772">
        <f>TEXT(17771, "[$-0E0000]yyyy-mm-dd")</f>
        <v/>
      </c>
      <c r="C17772" t="inlineStr">
        <is>
          <t>1948-07-23</t>
        </is>
      </c>
    </row>
    <row r="17773">
      <c r="A17773" s="1" t="n">
        <v>17772</v>
      </c>
      <c r="B17773">
        <f>TEXT(17772, "[$-0E0000]yyyy-mm-dd")</f>
        <v/>
      </c>
      <c r="C17773" t="inlineStr">
        <is>
          <t>1948-07-24</t>
        </is>
      </c>
    </row>
    <row r="17774">
      <c r="A17774" s="1" t="n">
        <v>17773</v>
      </c>
      <c r="B17774">
        <f>TEXT(17773, "[$-0E0000]yyyy-mm-dd")</f>
        <v/>
      </c>
      <c r="C17774" t="inlineStr">
        <is>
          <t>1948-07-25</t>
        </is>
      </c>
    </row>
    <row r="17775">
      <c r="A17775" s="1" t="n">
        <v>17774</v>
      </c>
      <c r="B17775">
        <f>TEXT(17774, "[$-0E0000]yyyy-mm-dd")</f>
        <v/>
      </c>
      <c r="C17775" t="inlineStr">
        <is>
          <t>1948-07-26</t>
        </is>
      </c>
    </row>
    <row r="17776">
      <c r="A17776" s="1" t="n">
        <v>17775</v>
      </c>
      <c r="B17776">
        <f>TEXT(17775, "[$-0E0000]yyyy-mm-dd")</f>
        <v/>
      </c>
      <c r="C17776" t="inlineStr">
        <is>
          <t>1948-07-27</t>
        </is>
      </c>
    </row>
    <row r="17777">
      <c r="A17777" s="1" t="n">
        <v>17776</v>
      </c>
      <c r="B17777">
        <f>TEXT(17776, "[$-0E0000]yyyy-mm-dd")</f>
        <v/>
      </c>
      <c r="C17777" t="inlineStr">
        <is>
          <t>1948-07-28</t>
        </is>
      </c>
    </row>
    <row r="17778">
      <c r="A17778" s="1" t="n">
        <v>17777</v>
      </c>
      <c r="B17778">
        <f>TEXT(17777, "[$-0E0000]yyyy-mm-dd")</f>
        <v/>
      </c>
      <c r="C17778" t="inlineStr">
        <is>
          <t>1948-07-29</t>
        </is>
      </c>
    </row>
    <row r="17779">
      <c r="A17779" s="1" t="n">
        <v>17778</v>
      </c>
      <c r="B17779">
        <f>TEXT(17778, "[$-0E0000]yyyy-mm-dd")</f>
        <v/>
      </c>
      <c r="C17779" t="inlineStr">
        <is>
          <t>1948-08-01</t>
        </is>
      </c>
    </row>
    <row r="17780">
      <c r="A17780" s="1" t="n">
        <v>17779</v>
      </c>
      <c r="B17780">
        <f>TEXT(17779, "[$-0E0000]yyyy-mm-dd")</f>
        <v/>
      </c>
      <c r="C17780" t="inlineStr">
        <is>
          <t>1948-08-02</t>
        </is>
      </c>
    </row>
    <row r="17781">
      <c r="A17781" s="1" t="n">
        <v>17780</v>
      </c>
      <c r="B17781">
        <f>TEXT(17780, "[$-0E0000]yyyy-mm-dd")</f>
        <v/>
      </c>
      <c r="C17781" t="inlineStr">
        <is>
          <t>1948-08-03</t>
        </is>
      </c>
    </row>
    <row r="17782">
      <c r="A17782" s="1" t="n">
        <v>17781</v>
      </c>
      <c r="B17782">
        <f>TEXT(17781, "[$-0E0000]yyyy-mm-dd")</f>
        <v/>
      </c>
      <c r="C17782" t="inlineStr">
        <is>
          <t>1948-08-04</t>
        </is>
      </c>
    </row>
    <row r="17783">
      <c r="A17783" s="1" t="n">
        <v>17782</v>
      </c>
      <c r="B17783">
        <f>TEXT(17782, "[$-0E0000]yyyy-mm-dd")</f>
        <v/>
      </c>
      <c r="C17783" t="inlineStr">
        <is>
          <t>1948-08-05</t>
        </is>
      </c>
    </row>
    <row r="17784">
      <c r="A17784" s="1" t="n">
        <v>17783</v>
      </c>
      <c r="B17784">
        <f>TEXT(17783, "[$-0E0000]yyyy-mm-dd")</f>
        <v/>
      </c>
      <c r="C17784" t="inlineStr">
        <is>
          <t>1948-08-06</t>
        </is>
      </c>
    </row>
    <row r="17785">
      <c r="A17785" s="1" t="n">
        <v>17784</v>
      </c>
      <c r="B17785">
        <f>TEXT(17784, "[$-0E0000]yyyy-mm-dd")</f>
        <v/>
      </c>
      <c r="C17785" t="inlineStr">
        <is>
          <t>1948-08-07</t>
        </is>
      </c>
    </row>
    <row r="17786">
      <c r="A17786" s="1" t="n">
        <v>17785</v>
      </c>
      <c r="B17786">
        <f>TEXT(17785, "[$-0E0000]yyyy-mm-dd")</f>
        <v/>
      </c>
      <c r="C17786" t="inlineStr">
        <is>
          <t>1948-08-08</t>
        </is>
      </c>
    </row>
    <row r="17787">
      <c r="A17787" s="1" t="n">
        <v>17786</v>
      </c>
      <c r="B17787">
        <f>TEXT(17786, "[$-0E0000]yyyy-mm-dd")</f>
        <v/>
      </c>
      <c r="C17787" t="inlineStr">
        <is>
          <t>1948-08-09</t>
        </is>
      </c>
    </row>
    <row r="17788">
      <c r="A17788" s="1" t="n">
        <v>17787</v>
      </c>
      <c r="B17788">
        <f>TEXT(17787, "[$-0E0000]yyyy-mm-dd")</f>
        <v/>
      </c>
      <c r="C17788" t="inlineStr">
        <is>
          <t>1948-08-10</t>
        </is>
      </c>
    </row>
    <row r="17789">
      <c r="A17789" s="1" t="n">
        <v>17788</v>
      </c>
      <c r="B17789">
        <f>TEXT(17788, "[$-0E0000]yyyy-mm-dd")</f>
        <v/>
      </c>
      <c r="C17789" t="inlineStr">
        <is>
          <t>1948-08-11</t>
        </is>
      </c>
    </row>
    <row r="17790">
      <c r="A17790" s="1" t="n">
        <v>17789</v>
      </c>
      <c r="B17790">
        <f>TEXT(17789, "[$-0E0000]yyyy-mm-dd")</f>
        <v/>
      </c>
      <c r="C17790" t="inlineStr">
        <is>
          <t>1948-08-12</t>
        </is>
      </c>
    </row>
    <row r="17791">
      <c r="A17791" s="1" t="n">
        <v>17790</v>
      </c>
      <c r="B17791">
        <f>TEXT(17790, "[$-0E0000]yyyy-mm-dd")</f>
        <v/>
      </c>
      <c r="C17791" t="inlineStr">
        <is>
          <t>1948-08-13</t>
        </is>
      </c>
    </row>
    <row r="17792">
      <c r="A17792" s="1" t="n">
        <v>17791</v>
      </c>
      <c r="B17792">
        <f>TEXT(17791, "[$-0E0000]yyyy-mm-dd")</f>
        <v/>
      </c>
      <c r="C17792" t="inlineStr">
        <is>
          <t>1948-08-14</t>
        </is>
      </c>
    </row>
    <row r="17793">
      <c r="A17793" s="1" t="n">
        <v>17792</v>
      </c>
      <c r="B17793">
        <f>TEXT(17792, "[$-0E0000]yyyy-mm-dd")</f>
        <v/>
      </c>
      <c r="C17793" t="inlineStr">
        <is>
          <t>1948-08-15</t>
        </is>
      </c>
    </row>
    <row r="17794">
      <c r="A17794" s="1" t="n">
        <v>17793</v>
      </c>
      <c r="B17794">
        <f>TEXT(17793, "[$-0E0000]yyyy-mm-dd")</f>
        <v/>
      </c>
      <c r="C17794" t="inlineStr">
        <is>
          <t>1948-08-16</t>
        </is>
      </c>
    </row>
    <row r="17795">
      <c r="A17795" s="1" t="n">
        <v>17794</v>
      </c>
      <c r="B17795">
        <f>TEXT(17794, "[$-0E0000]yyyy-mm-dd")</f>
        <v/>
      </c>
      <c r="C17795" t="inlineStr">
        <is>
          <t>1948-08-17</t>
        </is>
      </c>
    </row>
    <row r="17796">
      <c r="A17796" s="1" t="n">
        <v>17795</v>
      </c>
      <c r="B17796">
        <f>TEXT(17795, "[$-0E0000]yyyy-mm-dd")</f>
        <v/>
      </c>
      <c r="C17796" t="inlineStr">
        <is>
          <t>1948-08-18</t>
        </is>
      </c>
    </row>
    <row r="17797">
      <c r="A17797" s="1" t="n">
        <v>17796</v>
      </c>
      <c r="B17797">
        <f>TEXT(17796, "[$-0E0000]yyyy-mm-dd")</f>
        <v/>
      </c>
      <c r="C17797" t="inlineStr">
        <is>
          <t>1948-08-19</t>
        </is>
      </c>
    </row>
    <row r="17798">
      <c r="A17798" s="1" t="n">
        <v>17797</v>
      </c>
      <c r="B17798">
        <f>TEXT(17797, "[$-0E0000]yyyy-mm-dd")</f>
        <v/>
      </c>
      <c r="C17798" t="inlineStr">
        <is>
          <t>1948-08-20</t>
        </is>
      </c>
    </row>
    <row r="17799">
      <c r="A17799" s="1" t="n">
        <v>17798</v>
      </c>
      <c r="B17799">
        <f>TEXT(17798, "[$-0E0000]yyyy-mm-dd")</f>
        <v/>
      </c>
      <c r="C17799" t="inlineStr">
        <is>
          <t>1948-08-21</t>
        </is>
      </c>
    </row>
    <row r="17800">
      <c r="A17800" s="1" t="n">
        <v>17799</v>
      </c>
      <c r="B17800">
        <f>TEXT(17799, "[$-0E0000]yyyy-mm-dd")</f>
        <v/>
      </c>
      <c r="C17800" t="inlineStr">
        <is>
          <t>1948-08-22</t>
        </is>
      </c>
    </row>
    <row r="17801">
      <c r="A17801" s="1" t="n">
        <v>17800</v>
      </c>
      <c r="B17801">
        <f>TEXT(17800, "[$-0E0000]yyyy-mm-dd")</f>
        <v/>
      </c>
      <c r="C17801" t="inlineStr">
        <is>
          <t>1948-08-23</t>
        </is>
      </c>
    </row>
    <row r="17802">
      <c r="A17802" s="1" t="n">
        <v>17801</v>
      </c>
      <c r="B17802">
        <f>TEXT(17801, "[$-0E0000]yyyy-mm-dd")</f>
        <v/>
      </c>
      <c r="C17802" t="inlineStr">
        <is>
          <t>1948-08-24</t>
        </is>
      </c>
    </row>
    <row r="17803">
      <c r="A17803" s="1" t="n">
        <v>17802</v>
      </c>
      <c r="B17803">
        <f>TEXT(17802, "[$-0E0000]yyyy-mm-dd")</f>
        <v/>
      </c>
      <c r="C17803" t="inlineStr">
        <is>
          <t>1948-08-25</t>
        </is>
      </c>
    </row>
    <row r="17804">
      <c r="A17804" s="1" t="n">
        <v>17803</v>
      </c>
      <c r="B17804">
        <f>TEXT(17803, "[$-0E0000]yyyy-mm-dd")</f>
        <v/>
      </c>
      <c r="C17804" t="inlineStr">
        <is>
          <t>1948-08-26</t>
        </is>
      </c>
    </row>
    <row r="17805">
      <c r="A17805" s="1" t="n">
        <v>17804</v>
      </c>
      <c r="B17805">
        <f>TEXT(17804, "[$-0E0000]yyyy-mm-dd")</f>
        <v/>
      </c>
      <c r="C17805" t="inlineStr">
        <is>
          <t>1948-08-27</t>
        </is>
      </c>
    </row>
    <row r="17806">
      <c r="A17806" s="1" t="n">
        <v>17805</v>
      </c>
      <c r="B17806">
        <f>TEXT(17805, "[$-0E0000]yyyy-mm-dd")</f>
        <v/>
      </c>
      <c r="C17806" t="inlineStr">
        <is>
          <t>1948-08-28</t>
        </is>
      </c>
    </row>
    <row r="17807">
      <c r="A17807" s="1" t="n">
        <v>17806</v>
      </c>
      <c r="B17807">
        <f>TEXT(17806, "[$-0E0000]yyyy-mm-dd")</f>
        <v/>
      </c>
      <c r="C17807" t="inlineStr">
        <is>
          <t>1948-08-29</t>
        </is>
      </c>
    </row>
    <row r="17808">
      <c r="A17808" s="1" t="n">
        <v>17807</v>
      </c>
      <c r="B17808">
        <f>TEXT(17807, "[$-0E0000]yyyy-mm-dd")</f>
        <v/>
      </c>
      <c r="C17808" t="inlineStr">
        <is>
          <t>1948-08-30</t>
        </is>
      </c>
    </row>
    <row r="17809">
      <c r="A17809" s="1" t="n">
        <v>17808</v>
      </c>
      <c r="B17809">
        <f>TEXT(17808, "[$-0E0000]yyyy-mm-dd")</f>
        <v/>
      </c>
      <c r="C17809" t="inlineStr">
        <is>
          <t>1948-09-01</t>
        </is>
      </c>
    </row>
    <row r="17810">
      <c r="A17810" s="1" t="n">
        <v>17809</v>
      </c>
      <c r="B17810">
        <f>TEXT(17809, "[$-0E0000]yyyy-mm-dd")</f>
        <v/>
      </c>
      <c r="C17810" t="inlineStr">
        <is>
          <t>1948-09-02</t>
        </is>
      </c>
    </row>
    <row r="17811">
      <c r="A17811" s="1" t="n">
        <v>17810</v>
      </c>
      <c r="B17811">
        <f>TEXT(17810, "[$-0E0000]yyyy-mm-dd")</f>
        <v/>
      </c>
      <c r="C17811" t="inlineStr">
        <is>
          <t>1948-09-03</t>
        </is>
      </c>
    </row>
    <row r="17812">
      <c r="A17812" s="1" t="n">
        <v>17811</v>
      </c>
      <c r="B17812">
        <f>TEXT(17811, "[$-0E0000]yyyy-mm-dd")</f>
        <v/>
      </c>
      <c r="C17812" t="inlineStr">
        <is>
          <t>1948-09-04</t>
        </is>
      </c>
    </row>
    <row r="17813">
      <c r="A17813" s="1" t="n">
        <v>17812</v>
      </c>
      <c r="B17813">
        <f>TEXT(17812, "[$-0E0000]yyyy-mm-dd")</f>
        <v/>
      </c>
      <c r="C17813" t="inlineStr">
        <is>
          <t>1948-09-05</t>
        </is>
      </c>
    </row>
    <row r="17814">
      <c r="A17814" s="1" t="n">
        <v>17813</v>
      </c>
      <c r="B17814">
        <f>TEXT(17813, "[$-0E0000]yyyy-mm-dd")</f>
        <v/>
      </c>
      <c r="C17814" t="inlineStr">
        <is>
          <t>1948-09-06</t>
        </is>
      </c>
    </row>
    <row r="17815">
      <c r="A17815" s="1" t="n">
        <v>17814</v>
      </c>
      <c r="B17815">
        <f>TEXT(17814, "[$-0E0000]yyyy-mm-dd")</f>
        <v/>
      </c>
      <c r="C17815" t="inlineStr">
        <is>
          <t>1948-09-07</t>
        </is>
      </c>
    </row>
    <row r="17816">
      <c r="A17816" s="1" t="n">
        <v>17815</v>
      </c>
      <c r="B17816">
        <f>TEXT(17815, "[$-0E0000]yyyy-mm-dd")</f>
        <v/>
      </c>
      <c r="C17816" t="inlineStr">
        <is>
          <t>1948-09-08</t>
        </is>
      </c>
    </row>
    <row r="17817">
      <c r="A17817" s="1" t="n">
        <v>17816</v>
      </c>
      <c r="B17817">
        <f>TEXT(17816, "[$-0E0000]yyyy-mm-dd")</f>
        <v/>
      </c>
      <c r="C17817" t="inlineStr">
        <is>
          <t>1948-09-09</t>
        </is>
      </c>
    </row>
    <row r="17818">
      <c r="A17818" s="1" t="n">
        <v>17817</v>
      </c>
      <c r="B17818">
        <f>TEXT(17817, "[$-0E0000]yyyy-mm-dd")</f>
        <v/>
      </c>
      <c r="C17818" t="inlineStr">
        <is>
          <t>1948-09-10</t>
        </is>
      </c>
    </row>
    <row r="17819">
      <c r="A17819" s="1" t="n">
        <v>17818</v>
      </c>
      <c r="B17819">
        <f>TEXT(17818, "[$-0E0000]yyyy-mm-dd")</f>
        <v/>
      </c>
      <c r="C17819" t="inlineStr">
        <is>
          <t>1948-09-11</t>
        </is>
      </c>
    </row>
    <row r="17820">
      <c r="A17820" s="1" t="n">
        <v>17819</v>
      </c>
      <c r="B17820">
        <f>TEXT(17819, "[$-0E0000]yyyy-mm-dd")</f>
        <v/>
      </c>
      <c r="C17820" t="inlineStr">
        <is>
          <t>1948-09-12</t>
        </is>
      </c>
    </row>
    <row r="17821">
      <c r="A17821" s="1" t="n">
        <v>17820</v>
      </c>
      <c r="B17821">
        <f>TEXT(17820, "[$-0E0000]yyyy-mm-dd")</f>
        <v/>
      </c>
      <c r="C17821" t="inlineStr">
        <is>
          <t>1948-09-13</t>
        </is>
      </c>
    </row>
    <row r="17822">
      <c r="A17822" s="1" t="n">
        <v>17821</v>
      </c>
      <c r="B17822">
        <f>TEXT(17821, "[$-0E0000]yyyy-mm-dd")</f>
        <v/>
      </c>
      <c r="C17822" t="inlineStr">
        <is>
          <t>1948-09-14</t>
        </is>
      </c>
    </row>
    <row r="17823">
      <c r="A17823" s="1" t="n">
        <v>17822</v>
      </c>
      <c r="B17823">
        <f>TEXT(17822, "[$-0E0000]yyyy-mm-dd")</f>
        <v/>
      </c>
      <c r="C17823" t="inlineStr">
        <is>
          <t>1948-09-15</t>
        </is>
      </c>
    </row>
    <row r="17824">
      <c r="A17824" s="1" t="n">
        <v>17823</v>
      </c>
      <c r="B17824">
        <f>TEXT(17823, "[$-0E0000]yyyy-mm-dd")</f>
        <v/>
      </c>
      <c r="C17824" t="inlineStr">
        <is>
          <t>1948-09-16</t>
        </is>
      </c>
    </row>
    <row r="17825">
      <c r="A17825" s="1" t="n">
        <v>17824</v>
      </c>
      <c r="B17825">
        <f>TEXT(17824, "[$-0E0000]yyyy-mm-dd")</f>
        <v/>
      </c>
      <c r="C17825" t="inlineStr">
        <is>
          <t>1948-09-17</t>
        </is>
      </c>
    </row>
    <row r="17826">
      <c r="A17826" s="1" t="n">
        <v>17825</v>
      </c>
      <c r="B17826">
        <f>TEXT(17825, "[$-0E0000]yyyy-mm-dd")</f>
        <v/>
      </c>
      <c r="C17826" t="inlineStr">
        <is>
          <t>1948-09-18</t>
        </is>
      </c>
    </row>
    <row r="17827">
      <c r="A17827" s="1" t="n">
        <v>17826</v>
      </c>
      <c r="B17827">
        <f>TEXT(17826, "[$-0E0000]yyyy-mm-dd")</f>
        <v/>
      </c>
      <c r="C17827" t="inlineStr">
        <is>
          <t>1948-09-19</t>
        </is>
      </c>
    </row>
    <row r="17828">
      <c r="A17828" s="1" t="n">
        <v>17827</v>
      </c>
      <c r="B17828">
        <f>TEXT(17827, "[$-0E0000]yyyy-mm-dd")</f>
        <v/>
      </c>
      <c r="C17828" t="inlineStr">
        <is>
          <t>1948-09-20</t>
        </is>
      </c>
    </row>
    <row r="17829">
      <c r="A17829" s="1" t="n">
        <v>17828</v>
      </c>
      <c r="B17829">
        <f>TEXT(17828, "[$-0E0000]yyyy-mm-dd")</f>
        <v/>
      </c>
      <c r="C17829" t="inlineStr">
        <is>
          <t>1948-09-21</t>
        </is>
      </c>
    </row>
    <row r="17830">
      <c r="A17830" s="1" t="n">
        <v>17829</v>
      </c>
      <c r="B17830">
        <f>TEXT(17829, "[$-0E0000]yyyy-mm-dd")</f>
        <v/>
      </c>
      <c r="C17830" t="inlineStr">
        <is>
          <t>1948-09-22</t>
        </is>
      </c>
    </row>
    <row r="17831">
      <c r="A17831" s="1" t="n">
        <v>17830</v>
      </c>
      <c r="B17831">
        <f>TEXT(17830, "[$-0E0000]yyyy-mm-dd")</f>
        <v/>
      </c>
      <c r="C17831" t="inlineStr">
        <is>
          <t>1948-09-23</t>
        </is>
      </c>
    </row>
    <row r="17832">
      <c r="A17832" s="1" t="n">
        <v>17831</v>
      </c>
      <c r="B17832">
        <f>TEXT(17831, "[$-0E0000]yyyy-mm-dd")</f>
        <v/>
      </c>
      <c r="C17832" t="inlineStr">
        <is>
          <t>1948-09-24</t>
        </is>
      </c>
    </row>
    <row r="17833">
      <c r="A17833" s="1" t="n">
        <v>17832</v>
      </c>
      <c r="B17833">
        <f>TEXT(17832, "[$-0E0000]yyyy-mm-dd")</f>
        <v/>
      </c>
      <c r="C17833" t="inlineStr">
        <is>
          <t>1948-09-25</t>
        </is>
      </c>
    </row>
    <row r="17834">
      <c r="A17834" s="1" t="n">
        <v>17833</v>
      </c>
      <c r="B17834">
        <f>TEXT(17833, "[$-0E0000]yyyy-mm-dd")</f>
        <v/>
      </c>
      <c r="C17834" t="inlineStr">
        <is>
          <t>1948-09-26</t>
        </is>
      </c>
    </row>
    <row r="17835">
      <c r="A17835" s="1" t="n">
        <v>17834</v>
      </c>
      <c r="B17835">
        <f>TEXT(17834, "[$-0E0000]yyyy-mm-dd")</f>
        <v/>
      </c>
      <c r="C17835" t="inlineStr">
        <is>
          <t>1948-09-27</t>
        </is>
      </c>
    </row>
    <row r="17836">
      <c r="A17836" s="1" t="n">
        <v>17835</v>
      </c>
      <c r="B17836">
        <f>TEXT(17835, "[$-0E0000]yyyy-mm-dd")</f>
        <v/>
      </c>
      <c r="C17836" t="inlineStr">
        <is>
          <t>1948-09-28</t>
        </is>
      </c>
    </row>
    <row r="17837">
      <c r="A17837" s="1" t="n">
        <v>17836</v>
      </c>
      <c r="B17837">
        <f>TEXT(17836, "[$-0E0000]yyyy-mm-dd")</f>
        <v/>
      </c>
      <c r="C17837" t="inlineStr">
        <is>
          <t>1948-09-29</t>
        </is>
      </c>
    </row>
    <row r="17838">
      <c r="A17838" s="1" t="n">
        <v>17837</v>
      </c>
      <c r="B17838">
        <f>TEXT(17837, "[$-0E0000]yyyy-mm-dd")</f>
        <v/>
      </c>
      <c r="C17838" t="inlineStr">
        <is>
          <t>1948-10-01</t>
        </is>
      </c>
    </row>
    <row r="17839">
      <c r="A17839" s="1" t="n">
        <v>17838</v>
      </c>
      <c r="B17839">
        <f>TEXT(17838, "[$-0E0000]yyyy-mm-dd")</f>
        <v/>
      </c>
      <c r="C17839" t="inlineStr">
        <is>
          <t>1948-10-02</t>
        </is>
      </c>
    </row>
    <row r="17840">
      <c r="A17840" s="1" t="n">
        <v>17839</v>
      </c>
      <c r="B17840">
        <f>TEXT(17839, "[$-0E0000]yyyy-mm-dd")</f>
        <v/>
      </c>
      <c r="C17840" t="inlineStr">
        <is>
          <t>1948-10-03</t>
        </is>
      </c>
    </row>
    <row r="17841">
      <c r="A17841" s="1" t="n">
        <v>17840</v>
      </c>
      <c r="B17841">
        <f>TEXT(17840, "[$-0E0000]yyyy-mm-dd")</f>
        <v/>
      </c>
      <c r="C17841" t="inlineStr">
        <is>
          <t>1948-10-04</t>
        </is>
      </c>
    </row>
    <row r="17842">
      <c r="A17842" s="1" t="n">
        <v>17841</v>
      </c>
      <c r="B17842">
        <f>TEXT(17841, "[$-0E0000]yyyy-mm-dd")</f>
        <v/>
      </c>
      <c r="C17842" t="inlineStr">
        <is>
          <t>1948-10-05</t>
        </is>
      </c>
    </row>
    <row r="17843">
      <c r="A17843" s="1" t="n">
        <v>17842</v>
      </c>
      <c r="B17843">
        <f>TEXT(17842, "[$-0E0000]yyyy-mm-dd")</f>
        <v/>
      </c>
      <c r="C17843" t="inlineStr">
        <is>
          <t>1948-10-06</t>
        </is>
      </c>
    </row>
    <row r="17844">
      <c r="A17844" s="1" t="n">
        <v>17843</v>
      </c>
      <c r="B17844">
        <f>TEXT(17843, "[$-0E0000]yyyy-mm-dd")</f>
        <v/>
      </c>
      <c r="C17844" t="inlineStr">
        <is>
          <t>1948-10-07</t>
        </is>
      </c>
    </row>
    <row r="17845">
      <c r="A17845" s="1" t="n">
        <v>17844</v>
      </c>
      <c r="B17845">
        <f>TEXT(17844, "[$-0E0000]yyyy-mm-dd")</f>
        <v/>
      </c>
      <c r="C17845" t="inlineStr">
        <is>
          <t>1948-10-08</t>
        </is>
      </c>
    </row>
    <row r="17846">
      <c r="A17846" s="1" t="n">
        <v>17845</v>
      </c>
      <c r="B17846">
        <f>TEXT(17845, "[$-0E0000]yyyy-mm-dd")</f>
        <v/>
      </c>
      <c r="C17846" t="inlineStr">
        <is>
          <t>1948-10-09</t>
        </is>
      </c>
    </row>
    <row r="17847">
      <c r="A17847" s="1" t="n">
        <v>17846</v>
      </c>
      <c r="B17847">
        <f>TEXT(17846, "[$-0E0000]yyyy-mm-dd")</f>
        <v/>
      </c>
      <c r="C17847" t="inlineStr">
        <is>
          <t>1948-10-10</t>
        </is>
      </c>
    </row>
    <row r="17848">
      <c r="A17848" s="1" t="n">
        <v>17847</v>
      </c>
      <c r="B17848">
        <f>TEXT(17847, "[$-0E0000]yyyy-mm-dd")</f>
        <v/>
      </c>
      <c r="C17848" t="inlineStr">
        <is>
          <t>1948-10-11</t>
        </is>
      </c>
    </row>
    <row r="17849">
      <c r="A17849" s="1" t="n">
        <v>17848</v>
      </c>
      <c r="B17849">
        <f>TEXT(17848, "[$-0E0000]yyyy-mm-dd")</f>
        <v/>
      </c>
      <c r="C17849" t="inlineStr">
        <is>
          <t>1948-10-12</t>
        </is>
      </c>
    </row>
    <row r="17850">
      <c r="A17850" s="1" t="n">
        <v>17849</v>
      </c>
      <c r="B17850">
        <f>TEXT(17849, "[$-0E0000]yyyy-mm-dd")</f>
        <v/>
      </c>
      <c r="C17850" t="inlineStr">
        <is>
          <t>1948-10-13</t>
        </is>
      </c>
    </row>
    <row r="17851">
      <c r="A17851" s="1" t="n">
        <v>17850</v>
      </c>
      <c r="B17851">
        <f>TEXT(17850, "[$-0E0000]yyyy-mm-dd")</f>
        <v/>
      </c>
      <c r="C17851" t="inlineStr">
        <is>
          <t>1948-10-14</t>
        </is>
      </c>
    </row>
    <row r="17852">
      <c r="A17852" s="1" t="n">
        <v>17851</v>
      </c>
      <c r="B17852">
        <f>TEXT(17851, "[$-0E0000]yyyy-mm-dd")</f>
        <v/>
      </c>
      <c r="C17852" t="inlineStr">
        <is>
          <t>1948-10-15</t>
        </is>
      </c>
    </row>
    <row r="17853">
      <c r="A17853" s="1" t="n">
        <v>17852</v>
      </c>
      <c r="B17853">
        <f>TEXT(17852, "[$-0E0000]yyyy-mm-dd")</f>
        <v/>
      </c>
      <c r="C17853" t="inlineStr">
        <is>
          <t>1948-10-16</t>
        </is>
      </c>
    </row>
    <row r="17854">
      <c r="A17854" s="1" t="n">
        <v>17853</v>
      </c>
      <c r="B17854">
        <f>TEXT(17853, "[$-0E0000]yyyy-mm-dd")</f>
        <v/>
      </c>
      <c r="C17854" t="inlineStr">
        <is>
          <t>1948-10-17</t>
        </is>
      </c>
    </row>
    <row r="17855">
      <c r="A17855" s="1" t="n">
        <v>17854</v>
      </c>
      <c r="B17855">
        <f>TEXT(17854, "[$-0E0000]yyyy-mm-dd")</f>
        <v/>
      </c>
      <c r="C17855" t="inlineStr">
        <is>
          <t>1948-10-18</t>
        </is>
      </c>
    </row>
    <row r="17856">
      <c r="A17856" s="1" t="n">
        <v>17855</v>
      </c>
      <c r="B17856">
        <f>TEXT(17855, "[$-0E0000]yyyy-mm-dd")</f>
        <v/>
      </c>
      <c r="C17856" t="inlineStr">
        <is>
          <t>1948-10-19</t>
        </is>
      </c>
    </row>
    <row r="17857">
      <c r="A17857" s="1" t="n">
        <v>17856</v>
      </c>
      <c r="B17857">
        <f>TEXT(17856, "[$-0E0000]yyyy-mm-dd")</f>
        <v/>
      </c>
      <c r="C17857" t="inlineStr">
        <is>
          <t>1948-10-20</t>
        </is>
      </c>
    </row>
    <row r="17858">
      <c r="A17858" s="1" t="n">
        <v>17857</v>
      </c>
      <c r="B17858">
        <f>TEXT(17857, "[$-0E0000]yyyy-mm-dd")</f>
        <v/>
      </c>
      <c r="C17858" t="inlineStr">
        <is>
          <t>1948-10-21</t>
        </is>
      </c>
    </row>
    <row r="17859">
      <c r="A17859" s="1" t="n">
        <v>17858</v>
      </c>
      <c r="B17859">
        <f>TEXT(17858, "[$-0E0000]yyyy-mm-dd")</f>
        <v/>
      </c>
      <c r="C17859" t="inlineStr">
        <is>
          <t>1948-10-22</t>
        </is>
      </c>
    </row>
    <row r="17860">
      <c r="A17860" s="1" t="n">
        <v>17859</v>
      </c>
      <c r="B17860">
        <f>TEXT(17859, "[$-0E0000]yyyy-mm-dd")</f>
        <v/>
      </c>
      <c r="C17860" t="inlineStr">
        <is>
          <t>1948-10-23</t>
        </is>
      </c>
    </row>
    <row r="17861">
      <c r="A17861" s="1" t="n">
        <v>17860</v>
      </c>
      <c r="B17861">
        <f>TEXT(17860, "[$-0E0000]yyyy-mm-dd")</f>
        <v/>
      </c>
      <c r="C17861" t="inlineStr">
        <is>
          <t>1948-10-24</t>
        </is>
      </c>
    </row>
    <row r="17862">
      <c r="A17862" s="1" t="n">
        <v>17861</v>
      </c>
      <c r="B17862">
        <f>TEXT(17861, "[$-0E0000]yyyy-mm-dd")</f>
        <v/>
      </c>
      <c r="C17862" t="inlineStr">
        <is>
          <t>1948-10-25</t>
        </is>
      </c>
    </row>
    <row r="17863">
      <c r="A17863" s="1" t="n">
        <v>17862</v>
      </c>
      <c r="B17863">
        <f>TEXT(17862, "[$-0E0000]yyyy-mm-dd")</f>
        <v/>
      </c>
      <c r="C17863" t="inlineStr">
        <is>
          <t>1948-10-26</t>
        </is>
      </c>
    </row>
    <row r="17864">
      <c r="A17864" s="1" t="n">
        <v>17863</v>
      </c>
      <c r="B17864">
        <f>TEXT(17863, "[$-0E0000]yyyy-mm-dd")</f>
        <v/>
      </c>
      <c r="C17864" t="inlineStr">
        <is>
          <t>1948-10-27</t>
        </is>
      </c>
    </row>
    <row r="17865">
      <c r="A17865" s="1" t="n">
        <v>17864</v>
      </c>
      <c r="B17865">
        <f>TEXT(17864, "[$-0E0000]yyyy-mm-dd")</f>
        <v/>
      </c>
      <c r="C17865" t="inlineStr">
        <is>
          <t>1948-10-28</t>
        </is>
      </c>
    </row>
    <row r="17866">
      <c r="A17866" s="1" t="n">
        <v>17865</v>
      </c>
      <c r="B17866">
        <f>TEXT(17865, "[$-0E0000]yyyy-mm-dd")</f>
        <v/>
      </c>
      <c r="C17866" t="inlineStr">
        <is>
          <t>1948-10-29</t>
        </is>
      </c>
    </row>
    <row r="17867">
      <c r="A17867" s="1" t="n">
        <v>17866</v>
      </c>
      <c r="B17867">
        <f>TEXT(17866, "[$-0E0000]yyyy-mm-dd")</f>
        <v/>
      </c>
      <c r="C17867" t="inlineStr">
        <is>
          <t>1948-10-30</t>
        </is>
      </c>
    </row>
    <row r="17868">
      <c r="A17868" s="1" t="n">
        <v>17867</v>
      </c>
      <c r="B17868">
        <f>TEXT(17867, "[$-0E0000]yyyy-mm-dd")</f>
        <v/>
      </c>
      <c r="C17868" t="inlineStr">
        <is>
          <t>1948-11-01</t>
        </is>
      </c>
    </row>
    <row r="17869">
      <c r="A17869" s="1" t="n">
        <v>17868</v>
      </c>
      <c r="B17869">
        <f>TEXT(17868, "[$-0E0000]yyyy-mm-dd")</f>
        <v/>
      </c>
      <c r="C17869" t="inlineStr">
        <is>
          <t>1948-11-02</t>
        </is>
      </c>
    </row>
    <row r="17870">
      <c r="A17870" s="1" t="n">
        <v>17869</v>
      </c>
      <c r="B17870">
        <f>TEXT(17869, "[$-0E0000]yyyy-mm-dd")</f>
        <v/>
      </c>
      <c r="C17870" t="inlineStr">
        <is>
          <t>1948-11-03</t>
        </is>
      </c>
    </row>
    <row r="17871">
      <c r="A17871" s="1" t="n">
        <v>17870</v>
      </c>
      <c r="B17871">
        <f>TEXT(17870, "[$-0E0000]yyyy-mm-dd")</f>
        <v/>
      </c>
      <c r="C17871" t="inlineStr">
        <is>
          <t>1948-11-04</t>
        </is>
      </c>
    </row>
    <row r="17872">
      <c r="A17872" s="1" t="n">
        <v>17871</v>
      </c>
      <c r="B17872">
        <f>TEXT(17871, "[$-0E0000]yyyy-mm-dd")</f>
        <v/>
      </c>
      <c r="C17872" t="inlineStr">
        <is>
          <t>1948-11-05</t>
        </is>
      </c>
    </row>
    <row r="17873">
      <c r="A17873" s="1" t="n">
        <v>17872</v>
      </c>
      <c r="B17873">
        <f>TEXT(17872, "[$-0E0000]yyyy-mm-dd")</f>
        <v/>
      </c>
      <c r="C17873" t="inlineStr">
        <is>
          <t>1948-11-06</t>
        </is>
      </c>
    </row>
    <row r="17874">
      <c r="A17874" s="1" t="n">
        <v>17873</v>
      </c>
      <c r="B17874">
        <f>TEXT(17873, "[$-0E0000]yyyy-mm-dd")</f>
        <v/>
      </c>
      <c r="C17874" t="inlineStr">
        <is>
          <t>1948-11-07</t>
        </is>
      </c>
    </row>
    <row r="17875">
      <c r="A17875" s="1" t="n">
        <v>17874</v>
      </c>
      <c r="B17875">
        <f>TEXT(17874, "[$-0E0000]yyyy-mm-dd")</f>
        <v/>
      </c>
      <c r="C17875" t="inlineStr">
        <is>
          <t>1948-11-08</t>
        </is>
      </c>
    </row>
    <row r="17876">
      <c r="A17876" s="1" t="n">
        <v>17875</v>
      </c>
      <c r="B17876">
        <f>TEXT(17875, "[$-0E0000]yyyy-mm-dd")</f>
        <v/>
      </c>
      <c r="C17876" t="inlineStr">
        <is>
          <t>1948-11-09</t>
        </is>
      </c>
    </row>
    <row r="17877">
      <c r="A17877" s="1" t="n">
        <v>17876</v>
      </c>
      <c r="B17877">
        <f>TEXT(17876, "[$-0E0000]yyyy-mm-dd")</f>
        <v/>
      </c>
      <c r="C17877" t="inlineStr">
        <is>
          <t>1948-11-10</t>
        </is>
      </c>
    </row>
    <row r="17878">
      <c r="A17878" s="1" t="n">
        <v>17877</v>
      </c>
      <c r="B17878">
        <f>TEXT(17877, "[$-0E0000]yyyy-mm-dd")</f>
        <v/>
      </c>
      <c r="C17878" t="inlineStr">
        <is>
          <t>1948-11-11</t>
        </is>
      </c>
    </row>
    <row r="17879">
      <c r="A17879" s="1" t="n">
        <v>17878</v>
      </c>
      <c r="B17879">
        <f>TEXT(17878, "[$-0E0000]yyyy-mm-dd")</f>
        <v/>
      </c>
      <c r="C17879" t="inlineStr">
        <is>
          <t>1948-11-12</t>
        </is>
      </c>
    </row>
    <row r="17880">
      <c r="A17880" s="1" t="n">
        <v>17879</v>
      </c>
      <c r="B17880">
        <f>TEXT(17879, "[$-0E0000]yyyy-mm-dd")</f>
        <v/>
      </c>
      <c r="C17880" t="inlineStr">
        <is>
          <t>1948-11-13</t>
        </is>
      </c>
    </row>
    <row r="17881">
      <c r="A17881" s="1" t="n">
        <v>17880</v>
      </c>
      <c r="B17881">
        <f>TEXT(17880, "[$-0E0000]yyyy-mm-dd")</f>
        <v/>
      </c>
      <c r="C17881" t="inlineStr">
        <is>
          <t>1948-11-14</t>
        </is>
      </c>
    </row>
    <row r="17882">
      <c r="A17882" s="1" t="n">
        <v>17881</v>
      </c>
      <c r="B17882">
        <f>TEXT(17881, "[$-0E0000]yyyy-mm-dd")</f>
        <v/>
      </c>
      <c r="C17882" t="inlineStr">
        <is>
          <t>1948-11-15</t>
        </is>
      </c>
    </row>
    <row r="17883">
      <c r="A17883" s="1" t="n">
        <v>17882</v>
      </c>
      <c r="B17883">
        <f>TEXT(17882, "[$-0E0000]yyyy-mm-dd")</f>
        <v/>
      </c>
      <c r="C17883" t="inlineStr">
        <is>
          <t>1948-11-16</t>
        </is>
      </c>
    </row>
    <row r="17884">
      <c r="A17884" s="1" t="n">
        <v>17883</v>
      </c>
      <c r="B17884">
        <f>TEXT(17883, "[$-0E0000]yyyy-mm-dd")</f>
        <v/>
      </c>
      <c r="C17884" t="inlineStr">
        <is>
          <t>1948-11-17</t>
        </is>
      </c>
    </row>
    <row r="17885">
      <c r="A17885" s="1" t="n">
        <v>17884</v>
      </c>
      <c r="B17885">
        <f>TEXT(17884, "[$-0E0000]yyyy-mm-dd")</f>
        <v/>
      </c>
      <c r="C17885" t="inlineStr">
        <is>
          <t>1948-11-18</t>
        </is>
      </c>
    </row>
    <row r="17886">
      <c r="A17886" s="1" t="n">
        <v>17885</v>
      </c>
      <c r="B17886">
        <f>TEXT(17885, "[$-0E0000]yyyy-mm-dd")</f>
        <v/>
      </c>
      <c r="C17886" t="inlineStr">
        <is>
          <t>1948-11-19</t>
        </is>
      </c>
    </row>
    <row r="17887">
      <c r="A17887" s="1" t="n">
        <v>17886</v>
      </c>
      <c r="B17887">
        <f>TEXT(17886, "[$-0E0000]yyyy-mm-dd")</f>
        <v/>
      </c>
      <c r="C17887" t="inlineStr">
        <is>
          <t>1948-11-20</t>
        </is>
      </c>
    </row>
    <row r="17888">
      <c r="A17888" s="1" t="n">
        <v>17887</v>
      </c>
      <c r="B17888">
        <f>TEXT(17887, "[$-0E0000]yyyy-mm-dd")</f>
        <v/>
      </c>
      <c r="C17888" t="inlineStr">
        <is>
          <t>1948-11-21</t>
        </is>
      </c>
    </row>
    <row r="17889">
      <c r="A17889" s="1" t="n">
        <v>17888</v>
      </c>
      <c r="B17889">
        <f>TEXT(17888, "[$-0E0000]yyyy-mm-dd")</f>
        <v/>
      </c>
      <c r="C17889" t="inlineStr">
        <is>
          <t>1948-11-22</t>
        </is>
      </c>
    </row>
    <row r="17890">
      <c r="A17890" s="1" t="n">
        <v>17889</v>
      </c>
      <c r="B17890">
        <f>TEXT(17889, "[$-0E0000]yyyy-mm-dd")</f>
        <v/>
      </c>
      <c r="C17890" t="inlineStr">
        <is>
          <t>1948-11-23</t>
        </is>
      </c>
    </row>
    <row r="17891">
      <c r="A17891" s="1" t="n">
        <v>17890</v>
      </c>
      <c r="B17891">
        <f>TEXT(17890, "[$-0E0000]yyyy-mm-dd")</f>
        <v/>
      </c>
      <c r="C17891" t="inlineStr">
        <is>
          <t>1948-11-24</t>
        </is>
      </c>
    </row>
    <row r="17892">
      <c r="A17892" s="1" t="n">
        <v>17891</v>
      </c>
      <c r="B17892">
        <f>TEXT(17891, "[$-0E0000]yyyy-mm-dd")</f>
        <v/>
      </c>
      <c r="C17892" t="inlineStr">
        <is>
          <t>1948-11-25</t>
        </is>
      </c>
    </row>
    <row r="17893">
      <c r="A17893" s="1" t="n">
        <v>17892</v>
      </c>
      <c r="B17893">
        <f>TEXT(17892, "[$-0E0000]yyyy-mm-dd")</f>
        <v/>
      </c>
      <c r="C17893" t="inlineStr">
        <is>
          <t>1948-11-26</t>
        </is>
      </c>
    </row>
    <row r="17894">
      <c r="A17894" s="1" t="n">
        <v>17893</v>
      </c>
      <c r="B17894">
        <f>TEXT(17893, "[$-0E0000]yyyy-mm-dd")</f>
        <v/>
      </c>
      <c r="C17894" t="inlineStr">
        <is>
          <t>1948-11-27</t>
        </is>
      </c>
    </row>
    <row r="17895">
      <c r="A17895" s="1" t="n">
        <v>17894</v>
      </c>
      <c r="B17895">
        <f>TEXT(17894, "[$-0E0000]yyyy-mm-dd")</f>
        <v/>
      </c>
      <c r="C17895" t="inlineStr">
        <is>
          <t>1948-11-28</t>
        </is>
      </c>
    </row>
    <row r="17896">
      <c r="A17896" s="1" t="n">
        <v>17895</v>
      </c>
      <c r="B17896">
        <f>TEXT(17895, "[$-0E0000]yyyy-mm-dd")</f>
        <v/>
      </c>
      <c r="C17896" t="inlineStr">
        <is>
          <t>1948-11-29</t>
        </is>
      </c>
    </row>
    <row r="17897">
      <c r="A17897" s="1" t="n">
        <v>17896</v>
      </c>
      <c r="B17897">
        <f>TEXT(17896, "[$-0E0000]yyyy-mm-dd")</f>
        <v/>
      </c>
      <c r="C17897" t="inlineStr">
        <is>
          <t>1948-12-01</t>
        </is>
      </c>
    </row>
    <row r="17898">
      <c r="A17898" s="1" t="n">
        <v>17897</v>
      </c>
      <c r="B17898">
        <f>TEXT(17897, "[$-0E0000]yyyy-mm-dd")</f>
        <v/>
      </c>
      <c r="C17898" t="inlineStr">
        <is>
          <t>1948-12-02</t>
        </is>
      </c>
    </row>
    <row r="17899">
      <c r="A17899" s="1" t="n">
        <v>17898</v>
      </c>
      <c r="B17899">
        <f>TEXT(17898, "[$-0E0000]yyyy-mm-dd")</f>
        <v/>
      </c>
      <c r="C17899" t="inlineStr">
        <is>
          <t>1948-12-03</t>
        </is>
      </c>
    </row>
    <row r="17900">
      <c r="A17900" s="1" t="n">
        <v>17899</v>
      </c>
      <c r="B17900">
        <f>TEXT(17899, "[$-0E0000]yyyy-mm-dd")</f>
        <v/>
      </c>
      <c r="C17900" t="inlineStr">
        <is>
          <t>1948-12-04</t>
        </is>
      </c>
    </row>
    <row r="17901">
      <c r="A17901" s="1" t="n">
        <v>17900</v>
      </c>
      <c r="B17901">
        <f>TEXT(17900, "[$-0E0000]yyyy-mm-dd")</f>
        <v/>
      </c>
      <c r="C17901" t="inlineStr">
        <is>
          <t>1948-12-05</t>
        </is>
      </c>
    </row>
    <row r="17902">
      <c r="A17902" s="1" t="n">
        <v>17901</v>
      </c>
      <c r="B17902">
        <f>TEXT(17901, "[$-0E0000]yyyy-mm-dd")</f>
        <v/>
      </c>
      <c r="C17902" t="inlineStr">
        <is>
          <t>1948-12-06</t>
        </is>
      </c>
    </row>
    <row r="17903">
      <c r="A17903" s="1" t="n">
        <v>17902</v>
      </c>
      <c r="B17903">
        <f>TEXT(17902, "[$-0E0000]yyyy-mm-dd")</f>
        <v/>
      </c>
      <c r="C17903" t="inlineStr">
        <is>
          <t>1948-12-07</t>
        </is>
      </c>
    </row>
    <row r="17904">
      <c r="A17904" s="1" t="n">
        <v>17903</v>
      </c>
      <c r="B17904">
        <f>TEXT(17903, "[$-0E0000]yyyy-mm-dd")</f>
        <v/>
      </c>
      <c r="C17904" t="inlineStr">
        <is>
          <t>1948-12-08</t>
        </is>
      </c>
    </row>
    <row r="17905">
      <c r="A17905" s="1" t="n">
        <v>17904</v>
      </c>
      <c r="B17905">
        <f>TEXT(17904, "[$-0E0000]yyyy-mm-dd")</f>
        <v/>
      </c>
      <c r="C17905" t="inlineStr">
        <is>
          <t>1948-12-09</t>
        </is>
      </c>
    </row>
    <row r="17906">
      <c r="A17906" s="1" t="n">
        <v>17905</v>
      </c>
      <c r="B17906">
        <f>TEXT(17905, "[$-0E0000]yyyy-mm-dd")</f>
        <v/>
      </c>
      <c r="C17906" t="inlineStr">
        <is>
          <t>1948-12-10</t>
        </is>
      </c>
    </row>
    <row r="17907">
      <c r="A17907" s="1" t="n">
        <v>17906</v>
      </c>
      <c r="B17907">
        <f>TEXT(17906, "[$-0E0000]yyyy-mm-dd")</f>
        <v/>
      </c>
      <c r="C17907" t="inlineStr">
        <is>
          <t>1948-12-11</t>
        </is>
      </c>
    </row>
    <row r="17908">
      <c r="A17908" s="1" t="n">
        <v>17907</v>
      </c>
      <c r="B17908">
        <f>TEXT(17907, "[$-0E0000]yyyy-mm-dd")</f>
        <v/>
      </c>
      <c r="C17908" t="inlineStr">
        <is>
          <t>1948-12-12</t>
        </is>
      </c>
    </row>
    <row r="17909">
      <c r="A17909" s="1" t="n">
        <v>17908</v>
      </c>
      <c r="B17909">
        <f>TEXT(17908, "[$-0E0000]yyyy-mm-dd")</f>
        <v/>
      </c>
      <c r="C17909" t="inlineStr">
        <is>
          <t>1948-12-13</t>
        </is>
      </c>
    </row>
    <row r="17910">
      <c r="A17910" s="1" t="n">
        <v>17909</v>
      </c>
      <c r="B17910">
        <f>TEXT(17909, "[$-0E0000]yyyy-mm-dd")</f>
        <v/>
      </c>
      <c r="C17910" t="inlineStr">
        <is>
          <t>1948-12-14</t>
        </is>
      </c>
    </row>
    <row r="17911">
      <c r="A17911" s="1" t="n">
        <v>17910</v>
      </c>
      <c r="B17911">
        <f>TEXT(17910, "[$-0E0000]yyyy-mm-dd")</f>
        <v/>
      </c>
      <c r="C17911" t="inlineStr">
        <is>
          <t>1948-12-15</t>
        </is>
      </c>
    </row>
    <row r="17912">
      <c r="A17912" s="1" t="n">
        <v>17911</v>
      </c>
      <c r="B17912">
        <f>TEXT(17911, "[$-0E0000]yyyy-mm-dd")</f>
        <v/>
      </c>
      <c r="C17912" t="inlineStr">
        <is>
          <t>1948-12-16</t>
        </is>
      </c>
    </row>
    <row r="17913">
      <c r="A17913" s="1" t="n">
        <v>17912</v>
      </c>
      <c r="B17913">
        <f>TEXT(17912, "[$-0E0000]yyyy-mm-dd")</f>
        <v/>
      </c>
      <c r="C17913" t="inlineStr">
        <is>
          <t>1948-12-17</t>
        </is>
      </c>
    </row>
    <row r="17914">
      <c r="A17914" s="1" t="n">
        <v>17913</v>
      </c>
      <c r="B17914">
        <f>TEXT(17913, "[$-0E0000]yyyy-mm-dd")</f>
        <v/>
      </c>
      <c r="C17914" t="inlineStr">
        <is>
          <t>1948-12-18</t>
        </is>
      </c>
    </row>
    <row r="17915">
      <c r="A17915" s="1" t="n">
        <v>17914</v>
      </c>
      <c r="B17915">
        <f>TEXT(17914, "[$-0E0000]yyyy-mm-dd")</f>
        <v/>
      </c>
      <c r="C17915" t="inlineStr">
        <is>
          <t>1948-12-19</t>
        </is>
      </c>
    </row>
    <row r="17916">
      <c r="A17916" s="1" t="n">
        <v>17915</v>
      </c>
      <c r="B17916">
        <f>TEXT(17915, "[$-0E0000]yyyy-mm-dd")</f>
        <v/>
      </c>
      <c r="C17916" t="inlineStr">
        <is>
          <t>1948-12-20</t>
        </is>
      </c>
    </row>
    <row r="17917">
      <c r="A17917" s="1" t="n">
        <v>17916</v>
      </c>
      <c r="B17917">
        <f>TEXT(17916, "[$-0E0000]yyyy-mm-dd")</f>
        <v/>
      </c>
      <c r="C17917" t="inlineStr">
        <is>
          <t>1948-12-21</t>
        </is>
      </c>
    </row>
    <row r="17918">
      <c r="A17918" s="1" t="n">
        <v>17917</v>
      </c>
      <c r="B17918">
        <f>TEXT(17917, "[$-0E0000]yyyy-mm-dd")</f>
        <v/>
      </c>
      <c r="C17918" t="inlineStr">
        <is>
          <t>1948-12-22</t>
        </is>
      </c>
    </row>
    <row r="17919">
      <c r="A17919" s="1" t="n">
        <v>17918</v>
      </c>
      <c r="B17919">
        <f>TEXT(17918, "[$-0E0000]yyyy-mm-dd")</f>
        <v/>
      </c>
      <c r="C17919" t="inlineStr">
        <is>
          <t>1948-12-23</t>
        </is>
      </c>
    </row>
    <row r="17920">
      <c r="A17920" s="1" t="n">
        <v>17919</v>
      </c>
      <c r="B17920">
        <f>TEXT(17919, "[$-0E0000]yyyy-mm-dd")</f>
        <v/>
      </c>
      <c r="C17920" t="inlineStr">
        <is>
          <t>1948-12-24</t>
        </is>
      </c>
    </row>
    <row r="17921">
      <c r="A17921" s="1" t="n">
        <v>17920</v>
      </c>
      <c r="B17921">
        <f>TEXT(17920, "[$-0E0000]yyyy-mm-dd")</f>
        <v/>
      </c>
      <c r="C17921" t="inlineStr">
        <is>
          <t>1948-12-25</t>
        </is>
      </c>
    </row>
    <row r="17922">
      <c r="A17922" s="1" t="n">
        <v>17921</v>
      </c>
      <c r="B17922">
        <f>TEXT(17921, "[$-0E0000]yyyy-mm-dd")</f>
        <v/>
      </c>
      <c r="C17922" t="inlineStr">
        <is>
          <t>1948-12-26</t>
        </is>
      </c>
    </row>
    <row r="17923">
      <c r="A17923" s="1" t="n">
        <v>17922</v>
      </c>
      <c r="B17923">
        <f>TEXT(17922, "[$-0E0000]yyyy-mm-dd")</f>
        <v/>
      </c>
      <c r="C17923" t="inlineStr">
        <is>
          <t>1948-12-27</t>
        </is>
      </c>
    </row>
    <row r="17924">
      <c r="A17924" s="1" t="n">
        <v>17923</v>
      </c>
      <c r="B17924">
        <f>TEXT(17923, "[$-0E0000]yyyy-mm-dd")</f>
        <v/>
      </c>
      <c r="C17924" t="inlineStr">
        <is>
          <t>1948-12-28</t>
        </is>
      </c>
    </row>
    <row r="17925">
      <c r="A17925" s="1" t="n">
        <v>17924</v>
      </c>
      <c r="B17925">
        <f>TEXT(17924, "[$-0E0000]yyyy-mm-dd")</f>
        <v/>
      </c>
      <c r="C17925" t="inlineStr">
        <is>
          <t>1948-12-29</t>
        </is>
      </c>
    </row>
    <row r="17926">
      <c r="A17926" s="1" t="n">
        <v>17925</v>
      </c>
      <c r="B17926">
        <f>TEXT(17925, "[$-0E0000]yyyy-mm-dd")</f>
        <v/>
      </c>
      <c r="C17926" t="inlineStr">
        <is>
          <t>1948-12-30</t>
        </is>
      </c>
    </row>
    <row r="17927">
      <c r="A17927" s="1" t="n">
        <v>17926</v>
      </c>
      <c r="B17927">
        <f>TEXT(17926, "[$-0E0000]yyyy-mm-dd")</f>
        <v/>
      </c>
      <c r="C17927" t="inlineStr">
        <is>
          <t>1949-01-01</t>
        </is>
      </c>
    </row>
    <row r="17928">
      <c r="A17928" s="1" t="n">
        <v>17927</v>
      </c>
      <c r="B17928">
        <f>TEXT(17927, "[$-0E0000]yyyy-mm-dd")</f>
        <v/>
      </c>
      <c r="C17928" t="inlineStr">
        <is>
          <t>1949-01-02</t>
        </is>
      </c>
    </row>
    <row r="17929">
      <c r="A17929" s="1" t="n">
        <v>17928</v>
      </c>
      <c r="B17929">
        <f>TEXT(17928, "[$-0E0000]yyyy-mm-dd")</f>
        <v/>
      </c>
      <c r="C17929" t="inlineStr">
        <is>
          <t>1949-01-03</t>
        </is>
      </c>
    </row>
    <row r="17930">
      <c r="A17930" s="1" t="n">
        <v>17929</v>
      </c>
      <c r="B17930">
        <f>TEXT(17929, "[$-0E0000]yyyy-mm-dd")</f>
        <v/>
      </c>
      <c r="C17930" t="inlineStr">
        <is>
          <t>1949-01-04</t>
        </is>
      </c>
    </row>
    <row r="17931">
      <c r="A17931" s="1" t="n">
        <v>17930</v>
      </c>
      <c r="B17931">
        <f>TEXT(17930, "[$-0E0000]yyyy-mm-dd")</f>
        <v/>
      </c>
      <c r="C17931" t="inlineStr">
        <is>
          <t>1949-01-05</t>
        </is>
      </c>
    </row>
    <row r="17932">
      <c r="A17932" s="1" t="n">
        <v>17931</v>
      </c>
      <c r="B17932">
        <f>TEXT(17931, "[$-0E0000]yyyy-mm-dd")</f>
        <v/>
      </c>
      <c r="C17932" t="inlineStr">
        <is>
          <t>1949-01-06</t>
        </is>
      </c>
    </row>
    <row r="17933">
      <c r="A17933" s="1" t="n">
        <v>17932</v>
      </c>
      <c r="B17933">
        <f>TEXT(17932, "[$-0E0000]yyyy-mm-dd")</f>
        <v/>
      </c>
      <c r="C17933" t="inlineStr">
        <is>
          <t>1949-01-07</t>
        </is>
      </c>
    </row>
    <row r="17934">
      <c r="A17934" s="1" t="n">
        <v>17933</v>
      </c>
      <c r="B17934">
        <f>TEXT(17933, "[$-0E0000]yyyy-mm-dd")</f>
        <v/>
      </c>
      <c r="C17934" t="inlineStr">
        <is>
          <t>1949-01-08</t>
        </is>
      </c>
    </row>
    <row r="17935">
      <c r="A17935" s="1" t="n">
        <v>17934</v>
      </c>
      <c r="B17935">
        <f>TEXT(17934, "[$-0E0000]yyyy-mm-dd")</f>
        <v/>
      </c>
      <c r="C17935" t="inlineStr">
        <is>
          <t>1949-01-09</t>
        </is>
      </c>
    </row>
    <row r="17936">
      <c r="A17936" s="1" t="n">
        <v>17935</v>
      </c>
      <c r="B17936">
        <f>TEXT(17935, "[$-0E0000]yyyy-mm-dd")</f>
        <v/>
      </c>
      <c r="C17936" t="inlineStr">
        <is>
          <t>1949-01-10</t>
        </is>
      </c>
    </row>
    <row r="17937">
      <c r="A17937" s="1" t="n">
        <v>17936</v>
      </c>
      <c r="B17937">
        <f>TEXT(17936, "[$-0E0000]yyyy-mm-dd")</f>
        <v/>
      </c>
      <c r="C17937" t="inlineStr">
        <is>
          <t>1949-01-11</t>
        </is>
      </c>
    </row>
    <row r="17938">
      <c r="A17938" s="1" t="n">
        <v>17937</v>
      </c>
      <c r="B17938">
        <f>TEXT(17937, "[$-0E0000]yyyy-mm-dd")</f>
        <v/>
      </c>
      <c r="C17938" t="inlineStr">
        <is>
          <t>1949-01-12</t>
        </is>
      </c>
    </row>
    <row r="17939">
      <c r="A17939" s="1" t="n">
        <v>17938</v>
      </c>
      <c r="B17939">
        <f>TEXT(17938, "[$-0E0000]yyyy-mm-dd")</f>
        <v/>
      </c>
      <c r="C17939" t="inlineStr">
        <is>
          <t>1949-01-13</t>
        </is>
      </c>
    </row>
    <row r="17940">
      <c r="A17940" s="1" t="n">
        <v>17939</v>
      </c>
      <c r="B17940">
        <f>TEXT(17939, "[$-0E0000]yyyy-mm-dd")</f>
        <v/>
      </c>
      <c r="C17940" t="inlineStr">
        <is>
          <t>1949-01-14</t>
        </is>
      </c>
    </row>
    <row r="17941">
      <c r="A17941" s="1" t="n">
        <v>17940</v>
      </c>
      <c r="B17941">
        <f>TEXT(17940, "[$-0E0000]yyyy-mm-dd")</f>
        <v/>
      </c>
      <c r="C17941" t="inlineStr">
        <is>
          <t>1949-01-15</t>
        </is>
      </c>
    </row>
    <row r="17942">
      <c r="A17942" s="1" t="n">
        <v>17941</v>
      </c>
      <c r="B17942">
        <f>TEXT(17941, "[$-0E0000]yyyy-mm-dd")</f>
        <v/>
      </c>
      <c r="C17942" t="inlineStr">
        <is>
          <t>1949-01-16</t>
        </is>
      </c>
    </row>
    <row r="17943">
      <c r="A17943" s="1" t="n">
        <v>17942</v>
      </c>
      <c r="B17943">
        <f>TEXT(17942, "[$-0E0000]yyyy-mm-dd")</f>
        <v/>
      </c>
      <c r="C17943" t="inlineStr">
        <is>
          <t>1949-01-17</t>
        </is>
      </c>
    </row>
    <row r="17944">
      <c r="A17944" s="1" t="n">
        <v>17943</v>
      </c>
      <c r="B17944">
        <f>TEXT(17943, "[$-0E0000]yyyy-mm-dd")</f>
        <v/>
      </c>
      <c r="C17944" t="inlineStr">
        <is>
          <t>1949-01-18</t>
        </is>
      </c>
    </row>
    <row r="17945">
      <c r="A17945" s="1" t="n">
        <v>17944</v>
      </c>
      <c r="B17945">
        <f>TEXT(17944, "[$-0E0000]yyyy-mm-dd")</f>
        <v/>
      </c>
      <c r="C17945" t="inlineStr">
        <is>
          <t>1949-01-19</t>
        </is>
      </c>
    </row>
    <row r="17946">
      <c r="A17946" s="1" t="n">
        <v>17945</v>
      </c>
      <c r="B17946">
        <f>TEXT(17945, "[$-0E0000]yyyy-mm-dd")</f>
        <v/>
      </c>
      <c r="C17946" t="inlineStr">
        <is>
          <t>1949-01-20</t>
        </is>
      </c>
    </row>
    <row r="17947">
      <c r="A17947" s="1" t="n">
        <v>17946</v>
      </c>
      <c r="B17947">
        <f>TEXT(17946, "[$-0E0000]yyyy-mm-dd")</f>
        <v/>
      </c>
      <c r="C17947" t="inlineStr">
        <is>
          <t>1949-01-21</t>
        </is>
      </c>
    </row>
    <row r="17948">
      <c r="A17948" s="1" t="n">
        <v>17947</v>
      </c>
      <c r="B17948">
        <f>TEXT(17947, "[$-0E0000]yyyy-mm-dd")</f>
        <v/>
      </c>
      <c r="C17948" t="inlineStr">
        <is>
          <t>1949-01-22</t>
        </is>
      </c>
    </row>
    <row r="17949">
      <c r="A17949" s="1" t="n">
        <v>17948</v>
      </c>
      <c r="B17949">
        <f>TEXT(17948, "[$-0E0000]yyyy-mm-dd")</f>
        <v/>
      </c>
      <c r="C17949" t="inlineStr">
        <is>
          <t>1949-01-23</t>
        </is>
      </c>
    </row>
    <row r="17950">
      <c r="A17950" s="1" t="n">
        <v>17949</v>
      </c>
      <c r="B17950">
        <f>TEXT(17949, "[$-0E0000]yyyy-mm-dd")</f>
        <v/>
      </c>
      <c r="C17950" t="inlineStr">
        <is>
          <t>1949-01-24</t>
        </is>
      </c>
    </row>
    <row r="17951">
      <c r="A17951" s="1" t="n">
        <v>17950</v>
      </c>
      <c r="B17951">
        <f>TEXT(17950, "[$-0E0000]yyyy-mm-dd")</f>
        <v/>
      </c>
      <c r="C17951" t="inlineStr">
        <is>
          <t>1949-01-25</t>
        </is>
      </c>
    </row>
    <row r="17952">
      <c r="A17952" s="1" t="n">
        <v>17951</v>
      </c>
      <c r="B17952">
        <f>TEXT(17951, "[$-0E0000]yyyy-mm-dd")</f>
        <v/>
      </c>
      <c r="C17952" t="inlineStr">
        <is>
          <t>1949-01-26</t>
        </is>
      </c>
    </row>
    <row r="17953">
      <c r="A17953" s="1" t="n">
        <v>17952</v>
      </c>
      <c r="B17953">
        <f>TEXT(17952, "[$-0E0000]yyyy-mm-dd")</f>
        <v/>
      </c>
      <c r="C17953" t="inlineStr">
        <is>
          <t>1949-01-27</t>
        </is>
      </c>
    </row>
    <row r="17954">
      <c r="A17954" s="1" t="n">
        <v>17953</v>
      </c>
      <c r="B17954">
        <f>TEXT(17953, "[$-0E0000]yyyy-mm-dd")</f>
        <v/>
      </c>
      <c r="C17954" t="inlineStr">
        <is>
          <t>1949-01-28</t>
        </is>
      </c>
    </row>
    <row r="17955">
      <c r="A17955" s="1" t="n">
        <v>17954</v>
      </c>
      <c r="B17955">
        <f>TEXT(17954, "[$-0E0000]yyyy-mm-dd")</f>
        <v/>
      </c>
      <c r="C17955" t="inlineStr">
        <is>
          <t>1949-01-29</t>
        </is>
      </c>
    </row>
    <row r="17956">
      <c r="A17956" s="1" t="n">
        <v>17955</v>
      </c>
      <c r="B17956">
        <f>TEXT(17955, "[$-0E0000]yyyy-mm-dd")</f>
        <v/>
      </c>
      <c r="C17956" t="inlineStr">
        <is>
          <t>1949-01-30</t>
        </is>
      </c>
    </row>
    <row r="17957">
      <c r="A17957" s="1" t="n">
        <v>17956</v>
      </c>
      <c r="B17957">
        <f>TEXT(17956, "[$-0E0000]yyyy-mm-dd")</f>
        <v/>
      </c>
      <c r="C17957" t="inlineStr">
        <is>
          <t>1949-02-01</t>
        </is>
      </c>
    </row>
    <row r="17958">
      <c r="A17958" s="1" t="n">
        <v>17957</v>
      </c>
      <c r="B17958">
        <f>TEXT(17957, "[$-0E0000]yyyy-mm-dd")</f>
        <v/>
      </c>
      <c r="C17958" t="inlineStr">
        <is>
          <t>1949-02-02</t>
        </is>
      </c>
    </row>
    <row r="17959">
      <c r="A17959" s="1" t="n">
        <v>17958</v>
      </c>
      <c r="B17959">
        <f>TEXT(17958, "[$-0E0000]yyyy-mm-dd")</f>
        <v/>
      </c>
      <c r="C17959" t="inlineStr">
        <is>
          <t>1949-02-03</t>
        </is>
      </c>
    </row>
    <row r="17960">
      <c r="A17960" s="1" t="n">
        <v>17959</v>
      </c>
      <c r="B17960">
        <f>TEXT(17959, "[$-0E0000]yyyy-mm-dd")</f>
        <v/>
      </c>
      <c r="C17960" t="inlineStr">
        <is>
          <t>1949-02-04</t>
        </is>
      </c>
    </row>
    <row r="17961">
      <c r="A17961" s="1" t="n">
        <v>17960</v>
      </c>
      <c r="B17961">
        <f>TEXT(17960, "[$-0E0000]yyyy-mm-dd")</f>
        <v/>
      </c>
      <c r="C17961" t="inlineStr">
        <is>
          <t>1949-02-05</t>
        </is>
      </c>
    </row>
    <row r="17962">
      <c r="A17962" s="1" t="n">
        <v>17961</v>
      </c>
      <c r="B17962">
        <f>TEXT(17961, "[$-0E0000]yyyy-mm-dd")</f>
        <v/>
      </c>
      <c r="C17962" t="inlineStr">
        <is>
          <t>1949-02-06</t>
        </is>
      </c>
    </row>
    <row r="17963">
      <c r="A17963" s="1" t="n">
        <v>17962</v>
      </c>
      <c r="B17963">
        <f>TEXT(17962, "[$-0E0000]yyyy-mm-dd")</f>
        <v/>
      </c>
      <c r="C17963" t="inlineStr">
        <is>
          <t>1949-02-07</t>
        </is>
      </c>
    </row>
    <row r="17964">
      <c r="A17964" s="1" t="n">
        <v>17963</v>
      </c>
      <c r="B17964">
        <f>TEXT(17963, "[$-0E0000]yyyy-mm-dd")</f>
        <v/>
      </c>
      <c r="C17964" t="inlineStr">
        <is>
          <t>1949-02-08</t>
        </is>
      </c>
    </row>
    <row r="17965">
      <c r="A17965" s="1" t="n">
        <v>17964</v>
      </c>
      <c r="B17965">
        <f>TEXT(17964, "[$-0E0000]yyyy-mm-dd")</f>
        <v/>
      </c>
      <c r="C17965" t="inlineStr">
        <is>
          <t>1949-02-09</t>
        </is>
      </c>
    </row>
    <row r="17966">
      <c r="A17966" s="1" t="n">
        <v>17965</v>
      </c>
      <c r="B17966">
        <f>TEXT(17965, "[$-0E0000]yyyy-mm-dd")</f>
        <v/>
      </c>
      <c r="C17966" t="inlineStr">
        <is>
          <t>1949-02-10</t>
        </is>
      </c>
    </row>
    <row r="17967">
      <c r="A17967" s="1" t="n">
        <v>17966</v>
      </c>
      <c r="B17967">
        <f>TEXT(17966, "[$-0E0000]yyyy-mm-dd")</f>
        <v/>
      </c>
      <c r="C17967" t="inlineStr">
        <is>
          <t>1949-02-11</t>
        </is>
      </c>
    </row>
    <row r="17968">
      <c r="A17968" s="1" t="n">
        <v>17967</v>
      </c>
      <c r="B17968">
        <f>TEXT(17967, "[$-0E0000]yyyy-mm-dd")</f>
        <v/>
      </c>
      <c r="C17968" t="inlineStr">
        <is>
          <t>1949-02-12</t>
        </is>
      </c>
    </row>
    <row r="17969">
      <c r="A17969" s="1" t="n">
        <v>17968</v>
      </c>
      <c r="B17969">
        <f>TEXT(17968, "[$-0E0000]yyyy-mm-dd")</f>
        <v/>
      </c>
      <c r="C17969" t="inlineStr">
        <is>
          <t>1949-02-13</t>
        </is>
      </c>
    </row>
    <row r="17970">
      <c r="A17970" s="1" t="n">
        <v>17969</v>
      </c>
      <c r="B17970">
        <f>TEXT(17969, "[$-0E0000]yyyy-mm-dd")</f>
        <v/>
      </c>
      <c r="C17970" t="inlineStr">
        <is>
          <t>1949-02-14</t>
        </is>
      </c>
    </row>
    <row r="17971">
      <c r="A17971" s="1" t="n">
        <v>17970</v>
      </c>
      <c r="B17971">
        <f>TEXT(17970, "[$-0E0000]yyyy-mm-dd")</f>
        <v/>
      </c>
      <c r="C17971" t="inlineStr">
        <is>
          <t>1949-02-15</t>
        </is>
      </c>
    </row>
    <row r="17972">
      <c r="A17972" s="1" t="n">
        <v>17971</v>
      </c>
      <c r="B17972">
        <f>TEXT(17971, "[$-0E0000]yyyy-mm-dd")</f>
        <v/>
      </c>
      <c r="C17972" t="inlineStr">
        <is>
          <t>1949-02-16</t>
        </is>
      </c>
    </row>
    <row r="17973">
      <c r="A17973" s="1" t="n">
        <v>17972</v>
      </c>
      <c r="B17973">
        <f>TEXT(17972, "[$-0E0000]yyyy-mm-dd")</f>
        <v/>
      </c>
      <c r="C17973" t="inlineStr">
        <is>
          <t>1949-02-17</t>
        </is>
      </c>
    </row>
    <row r="17974">
      <c r="A17974" s="1" t="n">
        <v>17973</v>
      </c>
      <c r="B17974">
        <f>TEXT(17973, "[$-0E0000]yyyy-mm-dd")</f>
        <v/>
      </c>
      <c r="C17974" t="inlineStr">
        <is>
          <t>1949-02-18</t>
        </is>
      </c>
    </row>
    <row r="17975">
      <c r="A17975" s="1" t="n">
        <v>17974</v>
      </c>
      <c r="B17975">
        <f>TEXT(17974, "[$-0E0000]yyyy-mm-dd")</f>
        <v/>
      </c>
      <c r="C17975" t="inlineStr">
        <is>
          <t>1949-02-19</t>
        </is>
      </c>
    </row>
    <row r="17976">
      <c r="A17976" s="1" t="n">
        <v>17975</v>
      </c>
      <c r="B17976">
        <f>TEXT(17975, "[$-0E0000]yyyy-mm-dd")</f>
        <v/>
      </c>
      <c r="C17976" t="inlineStr">
        <is>
          <t>1949-02-20</t>
        </is>
      </c>
    </row>
    <row r="17977">
      <c r="A17977" s="1" t="n">
        <v>17976</v>
      </c>
      <c r="B17977">
        <f>TEXT(17976, "[$-0E0000]yyyy-mm-dd")</f>
        <v/>
      </c>
      <c r="C17977" t="inlineStr">
        <is>
          <t>1949-02-21</t>
        </is>
      </c>
    </row>
    <row r="17978">
      <c r="A17978" s="1" t="n">
        <v>17977</v>
      </c>
      <c r="B17978">
        <f>TEXT(17977, "[$-0E0000]yyyy-mm-dd")</f>
        <v/>
      </c>
      <c r="C17978" t="inlineStr">
        <is>
          <t>1949-02-22</t>
        </is>
      </c>
    </row>
    <row r="17979">
      <c r="A17979" s="1" t="n">
        <v>17978</v>
      </c>
      <c r="B17979">
        <f>TEXT(17978, "[$-0E0000]yyyy-mm-dd")</f>
        <v/>
      </c>
      <c r="C17979" t="inlineStr">
        <is>
          <t>1949-02-23</t>
        </is>
      </c>
    </row>
    <row r="17980">
      <c r="A17980" s="1" t="n">
        <v>17979</v>
      </c>
      <c r="B17980">
        <f>TEXT(17979, "[$-0E0000]yyyy-mm-dd")</f>
        <v/>
      </c>
      <c r="C17980" t="inlineStr">
        <is>
          <t>1949-02-24</t>
        </is>
      </c>
    </row>
    <row r="17981">
      <c r="A17981" s="1" t="n">
        <v>17980</v>
      </c>
      <c r="B17981">
        <f>TEXT(17980, "[$-0E0000]yyyy-mm-dd")</f>
        <v/>
      </c>
      <c r="C17981" t="inlineStr">
        <is>
          <t>1949-02-25</t>
        </is>
      </c>
    </row>
    <row r="17982">
      <c r="A17982" s="1" t="n">
        <v>17981</v>
      </c>
      <c r="B17982">
        <f>TEXT(17981, "[$-0E0000]yyyy-mm-dd")</f>
        <v/>
      </c>
      <c r="C17982" t="inlineStr">
        <is>
          <t>1949-02-26</t>
        </is>
      </c>
    </row>
    <row r="17983">
      <c r="A17983" s="1" t="n">
        <v>17982</v>
      </c>
      <c r="B17983">
        <f>TEXT(17982, "[$-0E0000]yyyy-mm-dd")</f>
        <v/>
      </c>
      <c r="C17983" t="inlineStr">
        <is>
          <t>1949-02-27</t>
        </is>
      </c>
    </row>
    <row r="17984">
      <c r="A17984" s="1" t="n">
        <v>17983</v>
      </c>
      <c r="B17984">
        <f>TEXT(17983, "[$-0E0000]yyyy-mm-dd")</f>
        <v/>
      </c>
      <c r="C17984" t="inlineStr">
        <is>
          <t>1949-02-28</t>
        </is>
      </c>
    </row>
    <row r="17985">
      <c r="A17985" s="1" t="n">
        <v>17984</v>
      </c>
      <c r="B17985">
        <f>TEXT(17984, "[$-0E0000]yyyy-mm-dd")</f>
        <v/>
      </c>
      <c r="C17985" t="inlineStr">
        <is>
          <t>1949-02-29</t>
        </is>
      </c>
    </row>
    <row r="17986">
      <c r="A17986" s="1" t="n">
        <v>17985</v>
      </c>
      <c r="B17986">
        <f>TEXT(17985, "[$-0E0000]yyyy-mm-dd")</f>
        <v/>
      </c>
      <c r="C17986" t="inlineStr">
        <is>
          <t>1949-03-01</t>
        </is>
      </c>
    </row>
    <row r="17987">
      <c r="A17987" s="1" t="n">
        <v>17986</v>
      </c>
      <c r="B17987">
        <f>TEXT(17986, "[$-0E0000]yyyy-mm-dd")</f>
        <v/>
      </c>
      <c r="C17987" t="inlineStr">
        <is>
          <t>1949-03-02</t>
        </is>
      </c>
    </row>
    <row r="17988">
      <c r="A17988" s="1" t="n">
        <v>17987</v>
      </c>
      <c r="B17988">
        <f>TEXT(17987, "[$-0E0000]yyyy-mm-dd")</f>
        <v/>
      </c>
      <c r="C17988" t="inlineStr">
        <is>
          <t>1949-03-03</t>
        </is>
      </c>
    </row>
    <row r="17989">
      <c r="A17989" s="1" t="n">
        <v>17988</v>
      </c>
      <c r="B17989">
        <f>TEXT(17988, "[$-0E0000]yyyy-mm-dd")</f>
        <v/>
      </c>
      <c r="C17989" t="inlineStr">
        <is>
          <t>1949-03-04</t>
        </is>
      </c>
    </row>
    <row r="17990">
      <c r="A17990" s="1" t="n">
        <v>17989</v>
      </c>
      <c r="B17990">
        <f>TEXT(17989, "[$-0E0000]yyyy-mm-dd")</f>
        <v/>
      </c>
      <c r="C17990" t="inlineStr">
        <is>
          <t>1949-03-05</t>
        </is>
      </c>
    </row>
    <row r="17991">
      <c r="A17991" s="1" t="n">
        <v>17990</v>
      </c>
      <c r="B17991">
        <f>TEXT(17990, "[$-0E0000]yyyy-mm-dd")</f>
        <v/>
      </c>
      <c r="C17991" t="inlineStr">
        <is>
          <t>1949-03-06</t>
        </is>
      </c>
    </row>
    <row r="17992">
      <c r="A17992" s="1" t="n">
        <v>17991</v>
      </c>
      <c r="B17992">
        <f>TEXT(17991, "[$-0E0000]yyyy-mm-dd")</f>
        <v/>
      </c>
      <c r="C17992" t="inlineStr">
        <is>
          <t>1949-03-07</t>
        </is>
      </c>
    </row>
    <row r="17993">
      <c r="A17993" s="1" t="n">
        <v>17992</v>
      </c>
      <c r="B17993">
        <f>TEXT(17992, "[$-0E0000]yyyy-mm-dd")</f>
        <v/>
      </c>
      <c r="C17993" t="inlineStr">
        <is>
          <t>1949-03-08</t>
        </is>
      </c>
    </row>
    <row r="17994">
      <c r="A17994" s="1" t="n">
        <v>17993</v>
      </c>
      <c r="B17994">
        <f>TEXT(17993, "[$-0E0000]yyyy-mm-dd")</f>
        <v/>
      </c>
      <c r="C17994" t="inlineStr">
        <is>
          <t>1949-03-09</t>
        </is>
      </c>
    </row>
    <row r="17995">
      <c r="A17995" s="1" t="n">
        <v>17994</v>
      </c>
      <c r="B17995">
        <f>TEXT(17994, "[$-0E0000]yyyy-mm-dd")</f>
        <v/>
      </c>
      <c r="C17995" t="inlineStr">
        <is>
          <t>1949-03-10</t>
        </is>
      </c>
    </row>
    <row r="17996">
      <c r="A17996" s="1" t="n">
        <v>17995</v>
      </c>
      <c r="B17996">
        <f>TEXT(17995, "[$-0E0000]yyyy-mm-dd")</f>
        <v/>
      </c>
      <c r="C17996" t="inlineStr">
        <is>
          <t>1949-03-11</t>
        </is>
      </c>
    </row>
    <row r="17997">
      <c r="A17997" s="1" t="n">
        <v>17996</v>
      </c>
      <c r="B17997">
        <f>TEXT(17996, "[$-0E0000]yyyy-mm-dd")</f>
        <v/>
      </c>
      <c r="C17997" t="inlineStr">
        <is>
          <t>1949-03-12</t>
        </is>
      </c>
    </row>
    <row r="17998">
      <c r="A17998" s="1" t="n">
        <v>17997</v>
      </c>
      <c r="B17998">
        <f>TEXT(17997, "[$-0E0000]yyyy-mm-dd")</f>
        <v/>
      </c>
      <c r="C17998" t="inlineStr">
        <is>
          <t>1949-03-13</t>
        </is>
      </c>
    </row>
    <row r="17999">
      <c r="A17999" s="1" t="n">
        <v>17998</v>
      </c>
      <c r="B17999">
        <f>TEXT(17998, "[$-0E0000]yyyy-mm-dd")</f>
        <v/>
      </c>
      <c r="C17999" t="inlineStr">
        <is>
          <t>1949-03-14</t>
        </is>
      </c>
    </row>
    <row r="18000">
      <c r="A18000" s="1" t="n">
        <v>17999</v>
      </c>
      <c r="B18000">
        <f>TEXT(17999, "[$-0E0000]yyyy-mm-dd")</f>
        <v/>
      </c>
      <c r="C18000" t="inlineStr">
        <is>
          <t>1949-03-15</t>
        </is>
      </c>
    </row>
    <row r="18001">
      <c r="A18001" s="1" t="n">
        <v>18000</v>
      </c>
      <c r="B18001">
        <f>TEXT(18000, "[$-0E0000]yyyy-mm-dd")</f>
        <v/>
      </c>
      <c r="C18001" t="inlineStr">
        <is>
          <t>1949-03-16</t>
        </is>
      </c>
    </row>
    <row r="18002">
      <c r="A18002" s="1" t="n">
        <v>18001</v>
      </c>
      <c r="B18002">
        <f>TEXT(18001, "[$-0E0000]yyyy-mm-dd")</f>
        <v/>
      </c>
      <c r="C18002" t="inlineStr">
        <is>
          <t>1949-03-17</t>
        </is>
      </c>
    </row>
    <row r="18003">
      <c r="A18003" s="1" t="n">
        <v>18002</v>
      </c>
      <c r="B18003">
        <f>TEXT(18002, "[$-0E0000]yyyy-mm-dd")</f>
        <v/>
      </c>
      <c r="C18003" t="inlineStr">
        <is>
          <t>1949-03-18</t>
        </is>
      </c>
    </row>
    <row r="18004">
      <c r="A18004" s="1" t="n">
        <v>18003</v>
      </c>
      <c r="B18004">
        <f>TEXT(18003, "[$-0E0000]yyyy-mm-dd")</f>
        <v/>
      </c>
      <c r="C18004" t="inlineStr">
        <is>
          <t>1949-03-19</t>
        </is>
      </c>
    </row>
    <row r="18005">
      <c r="A18005" s="1" t="n">
        <v>18004</v>
      </c>
      <c r="B18005">
        <f>TEXT(18004, "[$-0E0000]yyyy-mm-dd")</f>
        <v/>
      </c>
      <c r="C18005" t="inlineStr">
        <is>
          <t>1949-03-20</t>
        </is>
      </c>
    </row>
    <row r="18006">
      <c r="A18006" s="1" t="n">
        <v>18005</v>
      </c>
      <c r="B18006">
        <f>TEXT(18005, "[$-0E0000]yyyy-mm-dd")</f>
        <v/>
      </c>
      <c r="C18006" t="inlineStr">
        <is>
          <t>1949-03-21</t>
        </is>
      </c>
    </row>
    <row r="18007">
      <c r="A18007" s="1" t="n">
        <v>18006</v>
      </c>
      <c r="B18007">
        <f>TEXT(18006, "[$-0E0000]yyyy-mm-dd")</f>
        <v/>
      </c>
      <c r="C18007" t="inlineStr">
        <is>
          <t>1949-03-22</t>
        </is>
      </c>
    </row>
    <row r="18008">
      <c r="A18008" s="1" t="n">
        <v>18007</v>
      </c>
      <c r="B18008">
        <f>TEXT(18007, "[$-0E0000]yyyy-mm-dd")</f>
        <v/>
      </c>
      <c r="C18008" t="inlineStr">
        <is>
          <t>1949-03-23</t>
        </is>
      </c>
    </row>
    <row r="18009">
      <c r="A18009" s="1" t="n">
        <v>18008</v>
      </c>
      <c r="B18009">
        <f>TEXT(18008, "[$-0E0000]yyyy-mm-dd")</f>
        <v/>
      </c>
      <c r="C18009" t="inlineStr">
        <is>
          <t>1949-03-24</t>
        </is>
      </c>
    </row>
    <row r="18010">
      <c r="A18010" s="1" t="n">
        <v>18009</v>
      </c>
      <c r="B18010">
        <f>TEXT(18009, "[$-0E0000]yyyy-mm-dd")</f>
        <v/>
      </c>
      <c r="C18010" t="inlineStr">
        <is>
          <t>1949-03-25</t>
        </is>
      </c>
    </row>
    <row r="18011">
      <c r="A18011" s="1" t="n">
        <v>18010</v>
      </c>
      <c r="B18011">
        <f>TEXT(18010, "[$-0E0000]yyyy-mm-dd")</f>
        <v/>
      </c>
      <c r="C18011" t="inlineStr">
        <is>
          <t>1949-03-26</t>
        </is>
      </c>
    </row>
    <row r="18012">
      <c r="A18012" s="1" t="n">
        <v>18011</v>
      </c>
      <c r="B18012">
        <f>TEXT(18011, "[$-0E0000]yyyy-mm-dd")</f>
        <v/>
      </c>
      <c r="C18012" t="inlineStr">
        <is>
          <t>1949-03-27</t>
        </is>
      </c>
    </row>
    <row r="18013">
      <c r="A18013" s="1" t="n">
        <v>18012</v>
      </c>
      <c r="B18013">
        <f>TEXT(18012, "[$-0E0000]yyyy-mm-dd")</f>
        <v/>
      </c>
      <c r="C18013" t="inlineStr">
        <is>
          <t>1949-03-28</t>
        </is>
      </c>
    </row>
    <row r="18014">
      <c r="A18014" s="1" t="n">
        <v>18013</v>
      </c>
      <c r="B18014">
        <f>TEXT(18013, "[$-0E0000]yyyy-mm-dd")</f>
        <v/>
      </c>
      <c r="C18014" t="inlineStr">
        <is>
          <t>1949-03-29</t>
        </is>
      </c>
    </row>
    <row r="18015">
      <c r="A18015" s="1" t="n">
        <v>18014</v>
      </c>
      <c r="B18015">
        <f>TEXT(18014, "[$-0E0000]yyyy-mm-dd")</f>
        <v/>
      </c>
      <c r="C18015" t="inlineStr">
        <is>
          <t>1949-03-30</t>
        </is>
      </c>
    </row>
    <row r="18016">
      <c r="A18016" s="1" t="n">
        <v>18015</v>
      </c>
      <c r="B18016">
        <f>TEXT(18015, "[$-0E0000]yyyy-mm-dd")</f>
        <v/>
      </c>
      <c r="C18016" t="inlineStr">
        <is>
          <t>1949-04-01</t>
        </is>
      </c>
    </row>
    <row r="18017">
      <c r="A18017" s="1" t="n">
        <v>18016</v>
      </c>
      <c r="B18017">
        <f>TEXT(18016, "[$-0E0000]yyyy-mm-dd")</f>
        <v/>
      </c>
      <c r="C18017" t="inlineStr">
        <is>
          <t>1949-04-02</t>
        </is>
      </c>
    </row>
    <row r="18018">
      <c r="A18018" s="1" t="n">
        <v>18017</v>
      </c>
      <c r="B18018">
        <f>TEXT(18017, "[$-0E0000]yyyy-mm-dd")</f>
        <v/>
      </c>
      <c r="C18018" t="inlineStr">
        <is>
          <t>1949-04-03</t>
        </is>
      </c>
    </row>
    <row r="18019">
      <c r="A18019" s="1" t="n">
        <v>18018</v>
      </c>
      <c r="B18019">
        <f>TEXT(18018, "[$-0E0000]yyyy-mm-dd")</f>
        <v/>
      </c>
      <c r="C18019" t="inlineStr">
        <is>
          <t>1949-04-04</t>
        </is>
      </c>
    </row>
    <row r="18020">
      <c r="A18020" s="1" t="n">
        <v>18019</v>
      </c>
      <c r="B18020">
        <f>TEXT(18019, "[$-0E0000]yyyy-mm-dd")</f>
        <v/>
      </c>
      <c r="C18020" t="inlineStr">
        <is>
          <t>1949-04-05</t>
        </is>
      </c>
    </row>
    <row r="18021">
      <c r="A18021" s="1" t="n">
        <v>18020</v>
      </c>
      <c r="B18021">
        <f>TEXT(18020, "[$-0E0000]yyyy-mm-dd")</f>
        <v/>
      </c>
      <c r="C18021" t="inlineStr">
        <is>
          <t>1949-04-06</t>
        </is>
      </c>
    </row>
    <row r="18022">
      <c r="A18022" s="1" t="n">
        <v>18021</v>
      </c>
      <c r="B18022">
        <f>TEXT(18021, "[$-0E0000]yyyy-mm-dd")</f>
        <v/>
      </c>
      <c r="C18022" t="inlineStr">
        <is>
          <t>1949-04-07</t>
        </is>
      </c>
    </row>
    <row r="18023">
      <c r="A18023" s="1" t="n">
        <v>18022</v>
      </c>
      <c r="B18023">
        <f>TEXT(18022, "[$-0E0000]yyyy-mm-dd")</f>
        <v/>
      </c>
      <c r="C18023" t="inlineStr">
        <is>
          <t>1949-04-08</t>
        </is>
      </c>
    </row>
    <row r="18024">
      <c r="A18024" s="1" t="n">
        <v>18023</v>
      </c>
      <c r="B18024">
        <f>TEXT(18023, "[$-0E0000]yyyy-mm-dd")</f>
        <v/>
      </c>
      <c r="C18024" t="inlineStr">
        <is>
          <t>1949-04-09</t>
        </is>
      </c>
    </row>
    <row r="18025">
      <c r="A18025" s="1" t="n">
        <v>18024</v>
      </c>
      <c r="B18025">
        <f>TEXT(18024, "[$-0E0000]yyyy-mm-dd")</f>
        <v/>
      </c>
      <c r="C18025" t="inlineStr">
        <is>
          <t>1949-04-10</t>
        </is>
      </c>
    </row>
    <row r="18026">
      <c r="A18026" s="1" t="n">
        <v>18025</v>
      </c>
      <c r="B18026">
        <f>TEXT(18025, "[$-0E0000]yyyy-mm-dd")</f>
        <v/>
      </c>
      <c r="C18026" t="inlineStr">
        <is>
          <t>1949-04-11</t>
        </is>
      </c>
    </row>
    <row r="18027">
      <c r="A18027" s="1" t="n">
        <v>18026</v>
      </c>
      <c r="B18027">
        <f>TEXT(18026, "[$-0E0000]yyyy-mm-dd")</f>
        <v/>
      </c>
      <c r="C18027" t="inlineStr">
        <is>
          <t>1949-04-12</t>
        </is>
      </c>
    </row>
    <row r="18028">
      <c r="A18028" s="1" t="n">
        <v>18027</v>
      </c>
      <c r="B18028">
        <f>TEXT(18027, "[$-0E0000]yyyy-mm-dd")</f>
        <v/>
      </c>
      <c r="C18028" t="inlineStr">
        <is>
          <t>1949-04-13</t>
        </is>
      </c>
    </row>
    <row r="18029">
      <c r="A18029" s="1" t="n">
        <v>18028</v>
      </c>
      <c r="B18029">
        <f>TEXT(18028, "[$-0E0000]yyyy-mm-dd")</f>
        <v/>
      </c>
      <c r="C18029" t="inlineStr">
        <is>
          <t>1949-04-14</t>
        </is>
      </c>
    </row>
    <row r="18030">
      <c r="A18030" s="1" t="n">
        <v>18029</v>
      </c>
      <c r="B18030">
        <f>TEXT(18029, "[$-0E0000]yyyy-mm-dd")</f>
        <v/>
      </c>
      <c r="C18030" t="inlineStr">
        <is>
          <t>1949-04-15</t>
        </is>
      </c>
    </row>
    <row r="18031">
      <c r="A18031" s="1" t="n">
        <v>18030</v>
      </c>
      <c r="B18031">
        <f>TEXT(18030, "[$-0E0000]yyyy-mm-dd")</f>
        <v/>
      </c>
      <c r="C18031" t="inlineStr">
        <is>
          <t>1949-04-16</t>
        </is>
      </c>
    </row>
    <row r="18032">
      <c r="A18032" s="1" t="n">
        <v>18031</v>
      </c>
      <c r="B18032">
        <f>TEXT(18031, "[$-0E0000]yyyy-mm-dd")</f>
        <v/>
      </c>
      <c r="C18032" t="inlineStr">
        <is>
          <t>1949-04-17</t>
        </is>
      </c>
    </row>
    <row r="18033">
      <c r="A18033" s="1" t="n">
        <v>18032</v>
      </c>
      <c r="B18033">
        <f>TEXT(18032, "[$-0E0000]yyyy-mm-dd")</f>
        <v/>
      </c>
      <c r="C18033" t="inlineStr">
        <is>
          <t>1949-04-18</t>
        </is>
      </c>
    </row>
    <row r="18034">
      <c r="A18034" s="1" t="n">
        <v>18033</v>
      </c>
      <c r="B18034">
        <f>TEXT(18033, "[$-0E0000]yyyy-mm-dd")</f>
        <v/>
      </c>
      <c r="C18034" t="inlineStr">
        <is>
          <t>1949-04-19</t>
        </is>
      </c>
    </row>
    <row r="18035">
      <c r="A18035" s="1" t="n">
        <v>18034</v>
      </c>
      <c r="B18035">
        <f>TEXT(18034, "[$-0E0000]yyyy-mm-dd")</f>
        <v/>
      </c>
      <c r="C18035" t="inlineStr">
        <is>
          <t>1949-04-20</t>
        </is>
      </c>
    </row>
    <row r="18036">
      <c r="A18036" s="1" t="n">
        <v>18035</v>
      </c>
      <c r="B18036">
        <f>TEXT(18035, "[$-0E0000]yyyy-mm-dd")</f>
        <v/>
      </c>
      <c r="C18036" t="inlineStr">
        <is>
          <t>1949-04-21</t>
        </is>
      </c>
    </row>
    <row r="18037">
      <c r="A18037" s="1" t="n">
        <v>18036</v>
      </c>
      <c r="B18037">
        <f>TEXT(18036, "[$-0E0000]yyyy-mm-dd")</f>
        <v/>
      </c>
      <c r="C18037" t="inlineStr">
        <is>
          <t>1949-04-22</t>
        </is>
      </c>
    </row>
    <row r="18038">
      <c r="A18038" s="1" t="n">
        <v>18037</v>
      </c>
      <c r="B18038">
        <f>TEXT(18037, "[$-0E0000]yyyy-mm-dd")</f>
        <v/>
      </c>
      <c r="C18038" t="inlineStr">
        <is>
          <t>1949-04-23</t>
        </is>
      </c>
    </row>
    <row r="18039">
      <c r="A18039" s="1" t="n">
        <v>18038</v>
      </c>
      <c r="B18039">
        <f>TEXT(18038, "[$-0E0000]yyyy-mm-dd")</f>
        <v/>
      </c>
      <c r="C18039" t="inlineStr">
        <is>
          <t>1949-04-24</t>
        </is>
      </c>
    </row>
    <row r="18040">
      <c r="A18040" s="1" t="n">
        <v>18039</v>
      </c>
      <c r="B18040">
        <f>TEXT(18039, "[$-0E0000]yyyy-mm-dd")</f>
        <v/>
      </c>
      <c r="C18040" t="inlineStr">
        <is>
          <t>1949-04-25</t>
        </is>
      </c>
    </row>
    <row r="18041">
      <c r="A18041" s="1" t="n">
        <v>18040</v>
      </c>
      <c r="B18041">
        <f>TEXT(18040, "[$-0E0000]yyyy-mm-dd")</f>
        <v/>
      </c>
      <c r="C18041" t="inlineStr">
        <is>
          <t>1949-04-26</t>
        </is>
      </c>
    </row>
    <row r="18042">
      <c r="A18042" s="1" t="n">
        <v>18041</v>
      </c>
      <c r="B18042">
        <f>TEXT(18041, "[$-0E0000]yyyy-mm-dd")</f>
        <v/>
      </c>
      <c r="C18042" t="inlineStr">
        <is>
          <t>1949-04-27</t>
        </is>
      </c>
    </row>
    <row r="18043">
      <c r="A18043" s="1" t="n">
        <v>18042</v>
      </c>
      <c r="B18043">
        <f>TEXT(18042, "[$-0E0000]yyyy-mm-dd")</f>
        <v/>
      </c>
      <c r="C18043" t="inlineStr">
        <is>
          <t>1949-04-28</t>
        </is>
      </c>
    </row>
    <row r="18044">
      <c r="A18044" s="1" t="n">
        <v>18043</v>
      </c>
      <c r="B18044">
        <f>TEXT(18043, "[$-0E0000]yyyy-mm-dd")</f>
        <v/>
      </c>
      <c r="C18044" t="inlineStr">
        <is>
          <t>1949-04-29</t>
        </is>
      </c>
    </row>
    <row r="18045">
      <c r="A18045" s="1" t="n">
        <v>18044</v>
      </c>
      <c r="B18045">
        <f>TEXT(18044, "[$-0E0000]yyyy-mm-dd")</f>
        <v/>
      </c>
      <c r="C18045" t="inlineStr">
        <is>
          <t>1949-04-30</t>
        </is>
      </c>
    </row>
    <row r="18046">
      <c r="A18046" s="1" t="n">
        <v>18045</v>
      </c>
      <c r="B18046">
        <f>TEXT(18045, "[$-0E0000]yyyy-mm-dd")</f>
        <v/>
      </c>
      <c r="C18046" t="inlineStr">
        <is>
          <t>1949-05-01</t>
        </is>
      </c>
    </row>
    <row r="18047">
      <c r="A18047" s="1" t="n">
        <v>18046</v>
      </c>
      <c r="B18047">
        <f>TEXT(18046, "[$-0E0000]yyyy-mm-dd")</f>
        <v/>
      </c>
      <c r="C18047" t="inlineStr">
        <is>
          <t>1949-05-02</t>
        </is>
      </c>
    </row>
    <row r="18048">
      <c r="A18048" s="1" t="n">
        <v>18047</v>
      </c>
      <c r="B18048">
        <f>TEXT(18047, "[$-0E0000]yyyy-mm-dd")</f>
        <v/>
      </c>
      <c r="C18048" t="inlineStr">
        <is>
          <t>1949-05-03</t>
        </is>
      </c>
    </row>
    <row r="18049">
      <c r="A18049" s="1" t="n">
        <v>18048</v>
      </c>
      <c r="B18049">
        <f>TEXT(18048, "[$-0E0000]yyyy-mm-dd")</f>
        <v/>
      </c>
      <c r="C18049" t="inlineStr">
        <is>
          <t>1949-05-04</t>
        </is>
      </c>
    </row>
    <row r="18050">
      <c r="A18050" s="1" t="n">
        <v>18049</v>
      </c>
      <c r="B18050">
        <f>TEXT(18049, "[$-0E0000]yyyy-mm-dd")</f>
        <v/>
      </c>
      <c r="C18050" t="inlineStr">
        <is>
          <t>1949-05-05</t>
        </is>
      </c>
    </row>
    <row r="18051">
      <c r="A18051" s="1" t="n">
        <v>18050</v>
      </c>
      <c r="B18051">
        <f>TEXT(18050, "[$-0E0000]yyyy-mm-dd")</f>
        <v/>
      </c>
      <c r="C18051" t="inlineStr">
        <is>
          <t>1949-05-06</t>
        </is>
      </c>
    </row>
    <row r="18052">
      <c r="A18052" s="1" t="n">
        <v>18051</v>
      </c>
      <c r="B18052">
        <f>TEXT(18051, "[$-0E0000]yyyy-mm-dd")</f>
        <v/>
      </c>
      <c r="C18052" t="inlineStr">
        <is>
          <t>1949-05-07</t>
        </is>
      </c>
    </row>
    <row r="18053">
      <c r="A18053" s="1" t="n">
        <v>18052</v>
      </c>
      <c r="B18053">
        <f>TEXT(18052, "[$-0E0000]yyyy-mm-dd")</f>
        <v/>
      </c>
      <c r="C18053" t="inlineStr">
        <is>
          <t>1949-05-08</t>
        </is>
      </c>
    </row>
    <row r="18054">
      <c r="A18054" s="1" t="n">
        <v>18053</v>
      </c>
      <c r="B18054">
        <f>TEXT(18053, "[$-0E0000]yyyy-mm-dd")</f>
        <v/>
      </c>
      <c r="C18054" t="inlineStr">
        <is>
          <t>1949-05-09</t>
        </is>
      </c>
    </row>
    <row r="18055">
      <c r="A18055" s="1" t="n">
        <v>18054</v>
      </c>
      <c r="B18055">
        <f>TEXT(18054, "[$-0E0000]yyyy-mm-dd")</f>
        <v/>
      </c>
      <c r="C18055" t="inlineStr">
        <is>
          <t>1949-05-10</t>
        </is>
      </c>
    </row>
    <row r="18056">
      <c r="A18056" s="1" t="n">
        <v>18055</v>
      </c>
      <c r="B18056">
        <f>TEXT(18055, "[$-0E0000]yyyy-mm-dd")</f>
        <v/>
      </c>
      <c r="C18056" t="inlineStr">
        <is>
          <t>1949-05-11</t>
        </is>
      </c>
    </row>
    <row r="18057">
      <c r="A18057" s="1" t="n">
        <v>18056</v>
      </c>
      <c r="B18057">
        <f>TEXT(18056, "[$-0E0000]yyyy-mm-dd")</f>
        <v/>
      </c>
      <c r="C18057" t="inlineStr">
        <is>
          <t>1949-05-12</t>
        </is>
      </c>
    </row>
    <row r="18058">
      <c r="A18058" s="1" t="n">
        <v>18057</v>
      </c>
      <c r="B18058">
        <f>TEXT(18057, "[$-0E0000]yyyy-mm-dd")</f>
        <v/>
      </c>
      <c r="C18058" t="inlineStr">
        <is>
          <t>1949-05-13</t>
        </is>
      </c>
    </row>
    <row r="18059">
      <c r="A18059" s="1" t="n">
        <v>18058</v>
      </c>
      <c r="B18059">
        <f>TEXT(18058, "[$-0E0000]yyyy-mm-dd")</f>
        <v/>
      </c>
      <c r="C18059" t="inlineStr">
        <is>
          <t>1949-05-14</t>
        </is>
      </c>
    </row>
    <row r="18060">
      <c r="A18060" s="1" t="n">
        <v>18059</v>
      </c>
      <c r="B18060">
        <f>TEXT(18059, "[$-0E0000]yyyy-mm-dd")</f>
        <v/>
      </c>
      <c r="C18060" t="inlineStr">
        <is>
          <t>1949-05-15</t>
        </is>
      </c>
    </row>
    <row r="18061">
      <c r="A18061" s="1" t="n">
        <v>18060</v>
      </c>
      <c r="B18061">
        <f>TEXT(18060, "[$-0E0000]yyyy-mm-dd")</f>
        <v/>
      </c>
      <c r="C18061" t="inlineStr">
        <is>
          <t>1949-05-16</t>
        </is>
      </c>
    </row>
    <row r="18062">
      <c r="A18062" s="1" t="n">
        <v>18061</v>
      </c>
      <c r="B18062">
        <f>TEXT(18061, "[$-0E0000]yyyy-mm-dd")</f>
        <v/>
      </c>
      <c r="C18062" t="inlineStr">
        <is>
          <t>1949-05-17</t>
        </is>
      </c>
    </row>
    <row r="18063">
      <c r="A18063" s="1" t="n">
        <v>18062</v>
      </c>
      <c r="B18063">
        <f>TEXT(18062, "[$-0E0000]yyyy-mm-dd")</f>
        <v/>
      </c>
      <c r="C18063" t="inlineStr">
        <is>
          <t>1949-05-18</t>
        </is>
      </c>
    </row>
    <row r="18064">
      <c r="A18064" s="1" t="n">
        <v>18063</v>
      </c>
      <c r="B18064">
        <f>TEXT(18063, "[$-0E0000]yyyy-mm-dd")</f>
        <v/>
      </c>
      <c r="C18064" t="inlineStr">
        <is>
          <t>1949-05-19</t>
        </is>
      </c>
    </row>
    <row r="18065">
      <c r="A18065" s="1" t="n">
        <v>18064</v>
      </c>
      <c r="B18065">
        <f>TEXT(18064, "[$-0E0000]yyyy-mm-dd")</f>
        <v/>
      </c>
      <c r="C18065" t="inlineStr">
        <is>
          <t>1949-05-20</t>
        </is>
      </c>
    </row>
    <row r="18066">
      <c r="A18066" s="1" t="n">
        <v>18065</v>
      </c>
      <c r="B18066">
        <f>TEXT(18065, "[$-0E0000]yyyy-mm-dd")</f>
        <v/>
      </c>
      <c r="C18066" t="inlineStr">
        <is>
          <t>1949-05-21</t>
        </is>
      </c>
    </row>
    <row r="18067">
      <c r="A18067" s="1" t="n">
        <v>18066</v>
      </c>
      <c r="B18067">
        <f>TEXT(18066, "[$-0E0000]yyyy-mm-dd")</f>
        <v/>
      </c>
      <c r="C18067" t="inlineStr">
        <is>
          <t>1949-05-22</t>
        </is>
      </c>
    </row>
    <row r="18068">
      <c r="A18068" s="1" t="n">
        <v>18067</v>
      </c>
      <c r="B18068">
        <f>TEXT(18067, "[$-0E0000]yyyy-mm-dd")</f>
        <v/>
      </c>
      <c r="C18068" t="inlineStr">
        <is>
          <t>1949-05-23</t>
        </is>
      </c>
    </row>
    <row r="18069">
      <c r="A18069" s="1" t="n">
        <v>18068</v>
      </c>
      <c r="B18069">
        <f>TEXT(18068, "[$-0E0000]yyyy-mm-dd")</f>
        <v/>
      </c>
      <c r="C18069" t="inlineStr">
        <is>
          <t>1949-05-24</t>
        </is>
      </c>
    </row>
    <row r="18070">
      <c r="A18070" s="1" t="n">
        <v>18069</v>
      </c>
      <c r="B18070">
        <f>TEXT(18069, "[$-0E0000]yyyy-mm-dd")</f>
        <v/>
      </c>
      <c r="C18070" t="inlineStr">
        <is>
          <t>1949-05-25</t>
        </is>
      </c>
    </row>
    <row r="18071">
      <c r="A18071" s="1" t="n">
        <v>18070</v>
      </c>
      <c r="B18071">
        <f>TEXT(18070, "[$-0E0000]yyyy-mm-dd")</f>
        <v/>
      </c>
      <c r="C18071" t="inlineStr">
        <is>
          <t>1949-05-26</t>
        </is>
      </c>
    </row>
    <row r="18072">
      <c r="A18072" s="1" t="n">
        <v>18071</v>
      </c>
      <c r="B18072">
        <f>TEXT(18071, "[$-0E0000]yyyy-mm-dd")</f>
        <v/>
      </c>
      <c r="C18072" t="inlineStr">
        <is>
          <t>1949-05-27</t>
        </is>
      </c>
    </row>
    <row r="18073">
      <c r="A18073" s="1" t="n">
        <v>18072</v>
      </c>
      <c r="B18073">
        <f>TEXT(18072, "[$-0E0000]yyyy-mm-dd")</f>
        <v/>
      </c>
      <c r="C18073" t="inlineStr">
        <is>
          <t>1949-05-28</t>
        </is>
      </c>
    </row>
    <row r="18074">
      <c r="A18074" s="1" t="n">
        <v>18073</v>
      </c>
      <c r="B18074">
        <f>TEXT(18073, "[$-0E0000]yyyy-mm-dd")</f>
        <v/>
      </c>
      <c r="C18074" t="inlineStr">
        <is>
          <t>1949-05-29</t>
        </is>
      </c>
    </row>
    <row r="18075">
      <c r="A18075" s="1" t="n">
        <v>18074</v>
      </c>
      <c r="B18075">
        <f>TEXT(18074, "[$-0E0000]yyyy-mm-dd")</f>
        <v/>
      </c>
      <c r="C18075" t="inlineStr">
        <is>
          <t>1949-06-01</t>
        </is>
      </c>
    </row>
    <row r="18076">
      <c r="A18076" s="1" t="n">
        <v>18075</v>
      </c>
      <c r="B18076">
        <f>TEXT(18075, "[$-0E0000]yyyy-mm-dd")</f>
        <v/>
      </c>
      <c r="C18076" t="inlineStr">
        <is>
          <t>1949-06-02</t>
        </is>
      </c>
    </row>
    <row r="18077">
      <c r="A18077" s="1" t="n">
        <v>18076</v>
      </c>
      <c r="B18077">
        <f>TEXT(18076, "[$-0E0000]yyyy-mm-dd")</f>
        <v/>
      </c>
      <c r="C18077" t="inlineStr">
        <is>
          <t>1949-06-03</t>
        </is>
      </c>
    </row>
    <row r="18078">
      <c r="A18078" s="1" t="n">
        <v>18077</v>
      </c>
      <c r="B18078">
        <f>TEXT(18077, "[$-0E0000]yyyy-mm-dd")</f>
        <v/>
      </c>
      <c r="C18078" t="inlineStr">
        <is>
          <t>1949-06-04</t>
        </is>
      </c>
    </row>
    <row r="18079">
      <c r="A18079" s="1" t="n">
        <v>18078</v>
      </c>
      <c r="B18079">
        <f>TEXT(18078, "[$-0E0000]yyyy-mm-dd")</f>
        <v/>
      </c>
      <c r="C18079" t="inlineStr">
        <is>
          <t>1949-06-05</t>
        </is>
      </c>
    </row>
    <row r="18080">
      <c r="A18080" s="1" t="n">
        <v>18079</v>
      </c>
      <c r="B18080">
        <f>TEXT(18079, "[$-0E0000]yyyy-mm-dd")</f>
        <v/>
      </c>
      <c r="C18080" t="inlineStr">
        <is>
          <t>1949-06-06</t>
        </is>
      </c>
    </row>
    <row r="18081">
      <c r="A18081" s="1" t="n">
        <v>18080</v>
      </c>
      <c r="B18081">
        <f>TEXT(18080, "[$-0E0000]yyyy-mm-dd")</f>
        <v/>
      </c>
      <c r="C18081" t="inlineStr">
        <is>
          <t>1949-06-07</t>
        </is>
      </c>
    </row>
    <row r="18082">
      <c r="A18082" s="1" t="n">
        <v>18081</v>
      </c>
      <c r="B18082">
        <f>TEXT(18081, "[$-0E0000]yyyy-mm-dd")</f>
        <v/>
      </c>
      <c r="C18082" t="inlineStr">
        <is>
          <t>1949-06-08</t>
        </is>
      </c>
    </row>
    <row r="18083">
      <c r="A18083" s="1" t="n">
        <v>18082</v>
      </c>
      <c r="B18083">
        <f>TEXT(18082, "[$-0E0000]yyyy-mm-dd")</f>
        <v/>
      </c>
      <c r="C18083" t="inlineStr">
        <is>
          <t>1949-06-09</t>
        </is>
      </c>
    </row>
    <row r="18084">
      <c r="A18084" s="1" t="n">
        <v>18083</v>
      </c>
      <c r="B18084">
        <f>TEXT(18083, "[$-0E0000]yyyy-mm-dd")</f>
        <v/>
      </c>
      <c r="C18084" t="inlineStr">
        <is>
          <t>1949-06-10</t>
        </is>
      </c>
    </row>
    <row r="18085">
      <c r="A18085" s="1" t="n">
        <v>18084</v>
      </c>
      <c r="B18085">
        <f>TEXT(18084, "[$-0E0000]yyyy-mm-dd")</f>
        <v/>
      </c>
      <c r="C18085" t="inlineStr">
        <is>
          <t>1949-06-11</t>
        </is>
      </c>
    </row>
    <row r="18086">
      <c r="A18086" s="1" t="n">
        <v>18085</v>
      </c>
      <c r="B18086">
        <f>TEXT(18085, "[$-0E0000]yyyy-mm-dd")</f>
        <v/>
      </c>
      <c r="C18086" t="inlineStr">
        <is>
          <t>1949-06-12</t>
        </is>
      </c>
    </row>
    <row r="18087">
      <c r="A18087" s="1" t="n">
        <v>18086</v>
      </c>
      <c r="B18087">
        <f>TEXT(18086, "[$-0E0000]yyyy-mm-dd")</f>
        <v/>
      </c>
      <c r="C18087" t="inlineStr">
        <is>
          <t>1949-06-13</t>
        </is>
      </c>
    </row>
    <row r="18088">
      <c r="A18088" s="1" t="n">
        <v>18087</v>
      </c>
      <c r="B18088">
        <f>TEXT(18087, "[$-0E0000]yyyy-mm-dd")</f>
        <v/>
      </c>
      <c r="C18088" t="inlineStr">
        <is>
          <t>1949-06-14</t>
        </is>
      </c>
    </row>
    <row r="18089">
      <c r="A18089" s="1" t="n">
        <v>18088</v>
      </c>
      <c r="B18089">
        <f>TEXT(18088, "[$-0E0000]yyyy-mm-dd")</f>
        <v/>
      </c>
      <c r="C18089" t="inlineStr">
        <is>
          <t>1949-06-15</t>
        </is>
      </c>
    </row>
    <row r="18090">
      <c r="A18090" s="1" t="n">
        <v>18089</v>
      </c>
      <c r="B18090">
        <f>TEXT(18089, "[$-0E0000]yyyy-mm-dd")</f>
        <v/>
      </c>
      <c r="C18090" t="inlineStr">
        <is>
          <t>1949-06-16</t>
        </is>
      </c>
    </row>
    <row r="18091">
      <c r="A18091" s="1" t="n">
        <v>18090</v>
      </c>
      <c r="B18091">
        <f>TEXT(18090, "[$-0E0000]yyyy-mm-dd")</f>
        <v/>
      </c>
      <c r="C18091" t="inlineStr">
        <is>
          <t>1949-06-17</t>
        </is>
      </c>
    </row>
    <row r="18092">
      <c r="A18092" s="1" t="n">
        <v>18091</v>
      </c>
      <c r="B18092">
        <f>TEXT(18091, "[$-0E0000]yyyy-mm-dd")</f>
        <v/>
      </c>
      <c r="C18092" t="inlineStr">
        <is>
          <t>1949-06-18</t>
        </is>
      </c>
    </row>
    <row r="18093">
      <c r="A18093" s="1" t="n">
        <v>18092</v>
      </c>
      <c r="B18093">
        <f>TEXT(18092, "[$-0E0000]yyyy-mm-dd")</f>
        <v/>
      </c>
      <c r="C18093" t="inlineStr">
        <is>
          <t>1949-06-19</t>
        </is>
      </c>
    </row>
    <row r="18094">
      <c r="A18094" s="1" t="n">
        <v>18093</v>
      </c>
      <c r="B18094">
        <f>TEXT(18093, "[$-0E0000]yyyy-mm-dd")</f>
        <v/>
      </c>
      <c r="C18094" t="inlineStr">
        <is>
          <t>1949-06-20</t>
        </is>
      </c>
    </row>
    <row r="18095">
      <c r="A18095" s="1" t="n">
        <v>18094</v>
      </c>
      <c r="B18095">
        <f>TEXT(18094, "[$-0E0000]yyyy-mm-dd")</f>
        <v/>
      </c>
      <c r="C18095" t="inlineStr">
        <is>
          <t>1949-06-21</t>
        </is>
      </c>
    </row>
    <row r="18096">
      <c r="A18096" s="1" t="n">
        <v>18095</v>
      </c>
      <c r="B18096">
        <f>TEXT(18095, "[$-0E0000]yyyy-mm-dd")</f>
        <v/>
      </c>
      <c r="C18096" t="inlineStr">
        <is>
          <t>1949-06-22</t>
        </is>
      </c>
    </row>
    <row r="18097">
      <c r="A18097" s="1" t="n">
        <v>18096</v>
      </c>
      <c r="B18097">
        <f>TEXT(18096, "[$-0E0000]yyyy-mm-dd")</f>
        <v/>
      </c>
      <c r="C18097" t="inlineStr">
        <is>
          <t>1949-06-23</t>
        </is>
      </c>
    </row>
    <row r="18098">
      <c r="A18098" s="1" t="n">
        <v>18097</v>
      </c>
      <c r="B18098">
        <f>TEXT(18097, "[$-0E0000]yyyy-mm-dd")</f>
        <v/>
      </c>
      <c r="C18098" t="inlineStr">
        <is>
          <t>1949-06-24</t>
        </is>
      </c>
    </row>
    <row r="18099">
      <c r="A18099" s="1" t="n">
        <v>18098</v>
      </c>
      <c r="B18099">
        <f>TEXT(18098, "[$-0E0000]yyyy-mm-dd")</f>
        <v/>
      </c>
      <c r="C18099" t="inlineStr">
        <is>
          <t>1949-06-25</t>
        </is>
      </c>
    </row>
    <row r="18100">
      <c r="A18100" s="1" t="n">
        <v>18099</v>
      </c>
      <c r="B18100">
        <f>TEXT(18099, "[$-0E0000]yyyy-mm-dd")</f>
        <v/>
      </c>
      <c r="C18100" t="inlineStr">
        <is>
          <t>1949-06-26</t>
        </is>
      </c>
    </row>
    <row r="18101">
      <c r="A18101" s="1" t="n">
        <v>18100</v>
      </c>
      <c r="B18101">
        <f>TEXT(18100, "[$-0E0000]yyyy-mm-dd")</f>
        <v/>
      </c>
      <c r="C18101" t="inlineStr">
        <is>
          <t>1949-06-27</t>
        </is>
      </c>
    </row>
    <row r="18102">
      <c r="A18102" s="1" t="n">
        <v>18101</v>
      </c>
      <c r="B18102">
        <f>TEXT(18101, "[$-0E0000]yyyy-mm-dd")</f>
        <v/>
      </c>
      <c r="C18102" t="inlineStr">
        <is>
          <t>1949-06-28</t>
        </is>
      </c>
    </row>
    <row r="18103">
      <c r="A18103" s="1" t="n">
        <v>18102</v>
      </c>
      <c r="B18103">
        <f>TEXT(18102, "[$-0E0000]yyyy-mm-dd")</f>
        <v/>
      </c>
      <c r="C18103" t="inlineStr">
        <is>
          <t>1949-06-29</t>
        </is>
      </c>
    </row>
    <row r="18104">
      <c r="A18104" s="1" t="n">
        <v>18103</v>
      </c>
      <c r="B18104">
        <f>TEXT(18103, "[$-0E0000]yyyy-mm-dd")</f>
        <v/>
      </c>
      <c r="C18104" t="inlineStr">
        <is>
          <t>1949-06-30</t>
        </is>
      </c>
    </row>
    <row r="18105">
      <c r="A18105" s="1" t="n">
        <v>18104</v>
      </c>
      <c r="B18105">
        <f>TEXT(18104, "[$-0E0000]yyyy-mm-dd")</f>
        <v/>
      </c>
      <c r="C18105" t="inlineStr">
        <is>
          <t>1949-07-01</t>
        </is>
      </c>
    </row>
    <row r="18106">
      <c r="A18106" s="1" t="n">
        <v>18105</v>
      </c>
      <c r="B18106">
        <f>TEXT(18105, "[$-0E0000]yyyy-mm-dd")</f>
        <v/>
      </c>
      <c r="C18106" t="inlineStr">
        <is>
          <t>1949-07-02</t>
        </is>
      </c>
    </row>
    <row r="18107">
      <c r="A18107" s="1" t="n">
        <v>18106</v>
      </c>
      <c r="B18107">
        <f>TEXT(18106, "[$-0E0000]yyyy-mm-dd")</f>
        <v/>
      </c>
      <c r="C18107" t="inlineStr">
        <is>
          <t>1949-07-03</t>
        </is>
      </c>
    </row>
    <row r="18108">
      <c r="A18108" s="1" t="n">
        <v>18107</v>
      </c>
      <c r="B18108">
        <f>TEXT(18107, "[$-0E0000]yyyy-mm-dd")</f>
        <v/>
      </c>
      <c r="C18108" t="inlineStr">
        <is>
          <t>1949-07-04</t>
        </is>
      </c>
    </row>
    <row r="18109">
      <c r="A18109" s="1" t="n">
        <v>18108</v>
      </c>
      <c r="B18109">
        <f>TEXT(18108, "[$-0E0000]yyyy-mm-dd")</f>
        <v/>
      </c>
      <c r="C18109" t="inlineStr">
        <is>
          <t>1949-07-05</t>
        </is>
      </c>
    </row>
    <row r="18110">
      <c r="A18110" s="1" t="n">
        <v>18109</v>
      </c>
      <c r="B18110">
        <f>TEXT(18109, "[$-0E0000]yyyy-mm-dd")</f>
        <v/>
      </c>
      <c r="C18110" t="inlineStr">
        <is>
          <t>1949-07-06</t>
        </is>
      </c>
    </row>
    <row r="18111">
      <c r="A18111" s="1" t="n">
        <v>18110</v>
      </c>
      <c r="B18111">
        <f>TEXT(18110, "[$-0E0000]yyyy-mm-dd")</f>
        <v/>
      </c>
      <c r="C18111" t="inlineStr">
        <is>
          <t>1949-07-07</t>
        </is>
      </c>
    </row>
    <row r="18112">
      <c r="A18112" s="1" t="n">
        <v>18111</v>
      </c>
      <c r="B18112">
        <f>TEXT(18111, "[$-0E0000]yyyy-mm-dd")</f>
        <v/>
      </c>
      <c r="C18112" t="inlineStr">
        <is>
          <t>1949-07-08</t>
        </is>
      </c>
    </row>
    <row r="18113">
      <c r="A18113" s="1" t="n">
        <v>18112</v>
      </c>
      <c r="B18113">
        <f>TEXT(18112, "[$-0E0000]yyyy-mm-dd")</f>
        <v/>
      </c>
      <c r="C18113" t="inlineStr">
        <is>
          <t>1949-07-09</t>
        </is>
      </c>
    </row>
    <row r="18114">
      <c r="A18114" s="1" t="n">
        <v>18113</v>
      </c>
      <c r="B18114">
        <f>TEXT(18113, "[$-0E0000]yyyy-mm-dd")</f>
        <v/>
      </c>
      <c r="C18114" t="inlineStr">
        <is>
          <t>1949-07-10</t>
        </is>
      </c>
    </row>
    <row r="18115">
      <c r="A18115" s="1" t="n">
        <v>18114</v>
      </c>
      <c r="B18115">
        <f>TEXT(18114, "[$-0E0000]yyyy-mm-dd")</f>
        <v/>
      </c>
      <c r="C18115" t="inlineStr">
        <is>
          <t>1949-07-11</t>
        </is>
      </c>
    </row>
    <row r="18116">
      <c r="A18116" s="1" t="n">
        <v>18115</v>
      </c>
      <c r="B18116">
        <f>TEXT(18115, "[$-0E0000]yyyy-mm-dd")</f>
        <v/>
      </c>
      <c r="C18116" t="inlineStr">
        <is>
          <t>1949-07-12</t>
        </is>
      </c>
    </row>
    <row r="18117">
      <c r="A18117" s="1" t="n">
        <v>18116</v>
      </c>
      <c r="B18117">
        <f>TEXT(18116, "[$-0E0000]yyyy-mm-dd")</f>
        <v/>
      </c>
      <c r="C18117" t="inlineStr">
        <is>
          <t>1949-07-13</t>
        </is>
      </c>
    </row>
    <row r="18118">
      <c r="A18118" s="1" t="n">
        <v>18117</v>
      </c>
      <c r="B18118">
        <f>TEXT(18117, "[$-0E0000]yyyy-mm-dd")</f>
        <v/>
      </c>
      <c r="C18118" t="inlineStr">
        <is>
          <t>1949-07-14</t>
        </is>
      </c>
    </row>
    <row r="18119">
      <c r="A18119" s="1" t="n">
        <v>18118</v>
      </c>
      <c r="B18119">
        <f>TEXT(18118, "[$-0E0000]yyyy-mm-dd")</f>
        <v/>
      </c>
      <c r="C18119" t="inlineStr">
        <is>
          <t>1949-07-15</t>
        </is>
      </c>
    </row>
    <row r="18120">
      <c r="A18120" s="1" t="n">
        <v>18119</v>
      </c>
      <c r="B18120">
        <f>TEXT(18119, "[$-0E0000]yyyy-mm-dd")</f>
        <v/>
      </c>
      <c r="C18120" t="inlineStr">
        <is>
          <t>1949-07-16</t>
        </is>
      </c>
    </row>
    <row r="18121">
      <c r="A18121" s="1" t="n">
        <v>18120</v>
      </c>
      <c r="B18121">
        <f>TEXT(18120, "[$-0E0000]yyyy-mm-dd")</f>
        <v/>
      </c>
      <c r="C18121" t="inlineStr">
        <is>
          <t>1949-07-17</t>
        </is>
      </c>
    </row>
    <row r="18122">
      <c r="A18122" s="1" t="n">
        <v>18121</v>
      </c>
      <c r="B18122">
        <f>TEXT(18121, "[$-0E0000]yyyy-mm-dd")</f>
        <v/>
      </c>
      <c r="C18122" t="inlineStr">
        <is>
          <t>1949-07-18</t>
        </is>
      </c>
    </row>
    <row r="18123">
      <c r="A18123" s="1" t="n">
        <v>18122</v>
      </c>
      <c r="B18123">
        <f>TEXT(18122, "[$-0E0000]yyyy-mm-dd")</f>
        <v/>
      </c>
      <c r="C18123" t="inlineStr">
        <is>
          <t>1949-07-19</t>
        </is>
      </c>
    </row>
    <row r="18124">
      <c r="A18124" s="1" t="n">
        <v>18123</v>
      </c>
      <c r="B18124">
        <f>TEXT(18123, "[$-0E0000]yyyy-mm-dd")</f>
        <v/>
      </c>
      <c r="C18124" t="inlineStr">
        <is>
          <t>1949-07-20</t>
        </is>
      </c>
    </row>
    <row r="18125">
      <c r="A18125" s="1" t="n">
        <v>18124</v>
      </c>
      <c r="B18125">
        <f>TEXT(18124, "[$-0E0000]yyyy-mm-dd")</f>
        <v/>
      </c>
      <c r="C18125" t="inlineStr">
        <is>
          <t>1949-07-21</t>
        </is>
      </c>
    </row>
    <row r="18126">
      <c r="A18126" s="1" t="n">
        <v>18125</v>
      </c>
      <c r="B18126">
        <f>TEXT(18125, "[$-0E0000]yyyy-mm-dd")</f>
        <v/>
      </c>
      <c r="C18126" t="inlineStr">
        <is>
          <t>1949-07-22</t>
        </is>
      </c>
    </row>
    <row r="18127">
      <c r="A18127" s="1" t="n">
        <v>18126</v>
      </c>
      <c r="B18127">
        <f>TEXT(18126, "[$-0E0000]yyyy-mm-dd")</f>
        <v/>
      </c>
      <c r="C18127" t="inlineStr">
        <is>
          <t>1949-07-23</t>
        </is>
      </c>
    </row>
    <row r="18128">
      <c r="A18128" s="1" t="n">
        <v>18127</v>
      </c>
      <c r="B18128">
        <f>TEXT(18127, "[$-0E0000]yyyy-mm-dd")</f>
        <v/>
      </c>
      <c r="C18128" t="inlineStr">
        <is>
          <t>1949-07-24</t>
        </is>
      </c>
    </row>
    <row r="18129">
      <c r="A18129" s="1" t="n">
        <v>18128</v>
      </c>
      <c r="B18129">
        <f>TEXT(18128, "[$-0E0000]yyyy-mm-dd")</f>
        <v/>
      </c>
      <c r="C18129" t="inlineStr">
        <is>
          <t>1949-07-25</t>
        </is>
      </c>
    </row>
    <row r="18130">
      <c r="A18130" s="1" t="n">
        <v>18129</v>
      </c>
      <c r="B18130">
        <f>TEXT(18129, "[$-0E0000]yyyy-mm-dd")</f>
        <v/>
      </c>
      <c r="C18130" t="inlineStr">
        <is>
          <t>1949-07-26</t>
        </is>
      </c>
    </row>
    <row r="18131">
      <c r="A18131" s="1" t="n">
        <v>18130</v>
      </c>
      <c r="B18131">
        <f>TEXT(18130, "[$-0E0000]yyyy-mm-dd")</f>
        <v/>
      </c>
      <c r="C18131" t="inlineStr">
        <is>
          <t>1949-07-27</t>
        </is>
      </c>
    </row>
    <row r="18132">
      <c r="A18132" s="1" t="n">
        <v>18131</v>
      </c>
      <c r="B18132">
        <f>TEXT(18131, "[$-0E0000]yyyy-mm-dd")</f>
        <v/>
      </c>
      <c r="C18132" t="inlineStr">
        <is>
          <t>1949-07-28</t>
        </is>
      </c>
    </row>
    <row r="18133">
      <c r="A18133" s="1" t="n">
        <v>18132</v>
      </c>
      <c r="B18133">
        <f>TEXT(18132, "[$-0E0000]yyyy-mm-dd")</f>
        <v/>
      </c>
      <c r="C18133" t="inlineStr">
        <is>
          <t>1949-07-29</t>
        </is>
      </c>
    </row>
    <row r="18134">
      <c r="A18134" s="1" t="n">
        <v>18133</v>
      </c>
      <c r="B18134">
        <f>TEXT(18133, "[$-0E0000]yyyy-mm-dd")</f>
        <v/>
      </c>
      <c r="C18134" t="inlineStr">
        <is>
          <t>1949-07-01</t>
        </is>
      </c>
    </row>
    <row r="18135">
      <c r="A18135" s="1" t="n">
        <v>18134</v>
      </c>
      <c r="B18135">
        <f>TEXT(18134, "[$-0E0000]yyyy-mm-dd")</f>
        <v/>
      </c>
      <c r="C18135" t="inlineStr">
        <is>
          <t>1949-07-02</t>
        </is>
      </c>
    </row>
    <row r="18136">
      <c r="A18136" s="1" t="n">
        <v>18135</v>
      </c>
      <c r="B18136">
        <f>TEXT(18135, "[$-0E0000]yyyy-mm-dd")</f>
        <v/>
      </c>
      <c r="C18136" t="inlineStr">
        <is>
          <t>1949-07-03</t>
        </is>
      </c>
    </row>
    <row r="18137">
      <c r="A18137" s="1" t="n">
        <v>18136</v>
      </c>
      <c r="B18137">
        <f>TEXT(18136, "[$-0E0000]yyyy-mm-dd")</f>
        <v/>
      </c>
      <c r="C18137" t="inlineStr">
        <is>
          <t>1949-07-04</t>
        </is>
      </c>
    </row>
    <row r="18138">
      <c r="A18138" s="1" t="n">
        <v>18137</v>
      </c>
      <c r="B18138">
        <f>TEXT(18137, "[$-0E0000]yyyy-mm-dd")</f>
        <v/>
      </c>
      <c r="C18138" t="inlineStr">
        <is>
          <t>1949-07-05</t>
        </is>
      </c>
    </row>
    <row r="18139">
      <c r="A18139" s="1" t="n">
        <v>18138</v>
      </c>
      <c r="B18139">
        <f>TEXT(18138, "[$-0E0000]yyyy-mm-dd")</f>
        <v/>
      </c>
      <c r="C18139" t="inlineStr">
        <is>
          <t>1949-07-06</t>
        </is>
      </c>
    </row>
    <row r="18140">
      <c r="A18140" s="1" t="n">
        <v>18139</v>
      </c>
      <c r="B18140">
        <f>TEXT(18139, "[$-0E0000]yyyy-mm-dd")</f>
        <v/>
      </c>
      <c r="C18140" t="inlineStr">
        <is>
          <t>1949-07-07</t>
        </is>
      </c>
    </row>
    <row r="18141">
      <c r="A18141" s="1" t="n">
        <v>18140</v>
      </c>
      <c r="B18141">
        <f>TEXT(18140, "[$-0E0000]yyyy-mm-dd")</f>
        <v/>
      </c>
      <c r="C18141" t="inlineStr">
        <is>
          <t>1949-07-08</t>
        </is>
      </c>
    </row>
    <row r="18142">
      <c r="A18142" s="1" t="n">
        <v>18141</v>
      </c>
      <c r="B18142">
        <f>TEXT(18141, "[$-0E0000]yyyy-mm-dd")</f>
        <v/>
      </c>
      <c r="C18142" t="inlineStr">
        <is>
          <t>1949-07-09</t>
        </is>
      </c>
    </row>
    <row r="18143">
      <c r="A18143" s="1" t="n">
        <v>18142</v>
      </c>
      <c r="B18143">
        <f>TEXT(18142, "[$-0E0000]yyyy-mm-dd")</f>
        <v/>
      </c>
      <c r="C18143" t="inlineStr">
        <is>
          <t>1949-07-10</t>
        </is>
      </c>
    </row>
    <row r="18144">
      <c r="A18144" s="1" t="n">
        <v>18143</v>
      </c>
      <c r="B18144">
        <f>TEXT(18143, "[$-0E0000]yyyy-mm-dd")</f>
        <v/>
      </c>
      <c r="C18144" t="inlineStr">
        <is>
          <t>1949-07-11</t>
        </is>
      </c>
    </row>
    <row r="18145">
      <c r="A18145" s="1" t="n">
        <v>18144</v>
      </c>
      <c r="B18145">
        <f>TEXT(18144, "[$-0E0000]yyyy-mm-dd")</f>
        <v/>
      </c>
      <c r="C18145" t="inlineStr">
        <is>
          <t>1949-07-12</t>
        </is>
      </c>
    </row>
    <row r="18146">
      <c r="A18146" s="1" t="n">
        <v>18145</v>
      </c>
      <c r="B18146">
        <f>TEXT(18145, "[$-0E0000]yyyy-mm-dd")</f>
        <v/>
      </c>
      <c r="C18146" t="inlineStr">
        <is>
          <t>1949-07-13</t>
        </is>
      </c>
    </row>
    <row r="18147">
      <c r="A18147" s="1" t="n">
        <v>18146</v>
      </c>
      <c r="B18147">
        <f>TEXT(18146, "[$-0E0000]yyyy-mm-dd")</f>
        <v/>
      </c>
      <c r="C18147" t="inlineStr">
        <is>
          <t>1949-07-14</t>
        </is>
      </c>
    </row>
    <row r="18148">
      <c r="A18148" s="1" t="n">
        <v>18147</v>
      </c>
      <c r="B18148">
        <f>TEXT(18147, "[$-0E0000]yyyy-mm-dd")</f>
        <v/>
      </c>
      <c r="C18148" t="inlineStr">
        <is>
          <t>1949-07-15</t>
        </is>
      </c>
    </row>
    <row r="18149">
      <c r="A18149" s="1" t="n">
        <v>18148</v>
      </c>
      <c r="B18149">
        <f>TEXT(18148, "[$-0E0000]yyyy-mm-dd")</f>
        <v/>
      </c>
      <c r="C18149" t="inlineStr">
        <is>
          <t>1949-07-16</t>
        </is>
      </c>
    </row>
    <row r="18150">
      <c r="A18150" s="1" t="n">
        <v>18149</v>
      </c>
      <c r="B18150">
        <f>TEXT(18149, "[$-0E0000]yyyy-mm-dd")</f>
        <v/>
      </c>
      <c r="C18150" t="inlineStr">
        <is>
          <t>1949-07-17</t>
        </is>
      </c>
    </row>
    <row r="18151">
      <c r="A18151" s="1" t="n">
        <v>18150</v>
      </c>
      <c r="B18151">
        <f>TEXT(18150, "[$-0E0000]yyyy-mm-dd")</f>
        <v/>
      </c>
      <c r="C18151" t="inlineStr">
        <is>
          <t>1949-07-18</t>
        </is>
      </c>
    </row>
    <row r="18152">
      <c r="A18152" s="1" t="n">
        <v>18151</v>
      </c>
      <c r="B18152">
        <f>TEXT(18151, "[$-0E0000]yyyy-mm-dd")</f>
        <v/>
      </c>
      <c r="C18152" t="inlineStr">
        <is>
          <t>1949-07-19</t>
        </is>
      </c>
    </row>
    <row r="18153">
      <c r="A18153" s="1" t="n">
        <v>18152</v>
      </c>
      <c r="B18153">
        <f>TEXT(18152, "[$-0E0000]yyyy-mm-dd")</f>
        <v/>
      </c>
      <c r="C18153" t="inlineStr">
        <is>
          <t>1949-07-20</t>
        </is>
      </c>
    </row>
    <row r="18154">
      <c r="A18154" s="1" t="n">
        <v>18153</v>
      </c>
      <c r="B18154">
        <f>TEXT(18153, "[$-0E0000]yyyy-mm-dd")</f>
        <v/>
      </c>
      <c r="C18154" t="inlineStr">
        <is>
          <t>1949-07-21</t>
        </is>
      </c>
    </row>
    <row r="18155">
      <c r="A18155" s="1" t="n">
        <v>18154</v>
      </c>
      <c r="B18155">
        <f>TEXT(18154, "[$-0E0000]yyyy-mm-dd")</f>
        <v/>
      </c>
      <c r="C18155" t="inlineStr">
        <is>
          <t>1949-07-22</t>
        </is>
      </c>
    </row>
    <row r="18156">
      <c r="A18156" s="1" t="n">
        <v>18155</v>
      </c>
      <c r="B18156">
        <f>TEXT(18155, "[$-0E0000]yyyy-mm-dd")</f>
        <v/>
      </c>
      <c r="C18156" t="inlineStr">
        <is>
          <t>1949-07-23</t>
        </is>
      </c>
    </row>
    <row r="18157">
      <c r="A18157" s="1" t="n">
        <v>18156</v>
      </c>
      <c r="B18157">
        <f>TEXT(18156, "[$-0E0000]yyyy-mm-dd")</f>
        <v/>
      </c>
      <c r="C18157" t="inlineStr">
        <is>
          <t>1949-07-24</t>
        </is>
      </c>
    </row>
    <row r="18158">
      <c r="A18158" s="1" t="n">
        <v>18157</v>
      </c>
      <c r="B18158">
        <f>TEXT(18157, "[$-0E0000]yyyy-mm-dd")</f>
        <v/>
      </c>
      <c r="C18158" t="inlineStr">
        <is>
          <t>1949-07-25</t>
        </is>
      </c>
    </row>
    <row r="18159">
      <c r="A18159" s="1" t="n">
        <v>18158</v>
      </c>
      <c r="B18159">
        <f>TEXT(18158, "[$-0E0000]yyyy-mm-dd")</f>
        <v/>
      </c>
      <c r="C18159" t="inlineStr">
        <is>
          <t>1949-07-26</t>
        </is>
      </c>
    </row>
    <row r="18160">
      <c r="A18160" s="1" t="n">
        <v>18159</v>
      </c>
      <c r="B18160">
        <f>TEXT(18159, "[$-0E0000]yyyy-mm-dd")</f>
        <v/>
      </c>
      <c r="C18160" t="inlineStr">
        <is>
          <t>1949-07-27</t>
        </is>
      </c>
    </row>
    <row r="18161">
      <c r="A18161" s="1" t="n">
        <v>18160</v>
      </c>
      <c r="B18161">
        <f>TEXT(18160, "[$-0E0000]yyyy-mm-dd")</f>
        <v/>
      </c>
      <c r="C18161" t="inlineStr">
        <is>
          <t>1949-07-28</t>
        </is>
      </c>
    </row>
    <row r="18162">
      <c r="A18162" s="1" t="n">
        <v>18161</v>
      </c>
      <c r="B18162">
        <f>TEXT(18161, "[$-0E0000]yyyy-mm-dd")</f>
        <v/>
      </c>
      <c r="C18162" t="inlineStr">
        <is>
          <t>1949-07-29</t>
        </is>
      </c>
    </row>
    <row r="18163">
      <c r="A18163" s="1" t="n">
        <v>18162</v>
      </c>
      <c r="B18163">
        <f>TEXT(18162, "[$-0E0000]yyyy-mm-dd")</f>
        <v/>
      </c>
      <c r="C18163" t="inlineStr">
        <is>
          <t>1949-08-01</t>
        </is>
      </c>
    </row>
    <row r="18164">
      <c r="A18164" s="1" t="n">
        <v>18163</v>
      </c>
      <c r="B18164">
        <f>TEXT(18163, "[$-0E0000]yyyy-mm-dd")</f>
        <v/>
      </c>
      <c r="C18164" t="inlineStr">
        <is>
          <t>1949-08-02</t>
        </is>
      </c>
    </row>
    <row r="18165">
      <c r="A18165" s="1" t="n">
        <v>18164</v>
      </c>
      <c r="B18165">
        <f>TEXT(18164, "[$-0E0000]yyyy-mm-dd")</f>
        <v/>
      </c>
      <c r="C18165" t="inlineStr">
        <is>
          <t>1949-08-03</t>
        </is>
      </c>
    </row>
    <row r="18166">
      <c r="A18166" s="1" t="n">
        <v>18165</v>
      </c>
      <c r="B18166">
        <f>TEXT(18165, "[$-0E0000]yyyy-mm-dd")</f>
        <v/>
      </c>
      <c r="C18166" t="inlineStr">
        <is>
          <t>1949-08-04</t>
        </is>
      </c>
    </row>
    <row r="18167">
      <c r="A18167" s="1" t="n">
        <v>18166</v>
      </c>
      <c r="B18167">
        <f>TEXT(18166, "[$-0E0000]yyyy-mm-dd")</f>
        <v/>
      </c>
      <c r="C18167" t="inlineStr">
        <is>
          <t>1949-08-05</t>
        </is>
      </c>
    </row>
    <row r="18168">
      <c r="A18168" s="1" t="n">
        <v>18167</v>
      </c>
      <c r="B18168">
        <f>TEXT(18167, "[$-0E0000]yyyy-mm-dd")</f>
        <v/>
      </c>
      <c r="C18168" t="inlineStr">
        <is>
          <t>1949-08-06</t>
        </is>
      </c>
    </row>
    <row r="18169">
      <c r="A18169" s="1" t="n">
        <v>18168</v>
      </c>
      <c r="B18169">
        <f>TEXT(18168, "[$-0E0000]yyyy-mm-dd")</f>
        <v/>
      </c>
      <c r="C18169" t="inlineStr">
        <is>
          <t>1949-08-07</t>
        </is>
      </c>
    </row>
    <row r="18170">
      <c r="A18170" s="1" t="n">
        <v>18169</v>
      </c>
      <c r="B18170">
        <f>TEXT(18169, "[$-0E0000]yyyy-mm-dd")</f>
        <v/>
      </c>
      <c r="C18170" t="inlineStr">
        <is>
          <t>1949-08-08</t>
        </is>
      </c>
    </row>
    <row r="18171">
      <c r="A18171" s="1" t="n">
        <v>18170</v>
      </c>
      <c r="B18171">
        <f>TEXT(18170, "[$-0E0000]yyyy-mm-dd")</f>
        <v/>
      </c>
      <c r="C18171" t="inlineStr">
        <is>
          <t>1949-08-09</t>
        </is>
      </c>
    </row>
    <row r="18172">
      <c r="A18172" s="1" t="n">
        <v>18171</v>
      </c>
      <c r="B18172">
        <f>TEXT(18171, "[$-0E0000]yyyy-mm-dd")</f>
        <v/>
      </c>
      <c r="C18172" t="inlineStr">
        <is>
          <t>1949-08-10</t>
        </is>
      </c>
    </row>
    <row r="18173">
      <c r="A18173" s="1" t="n">
        <v>18172</v>
      </c>
      <c r="B18173">
        <f>TEXT(18172, "[$-0E0000]yyyy-mm-dd")</f>
        <v/>
      </c>
      <c r="C18173" t="inlineStr">
        <is>
          <t>1949-08-11</t>
        </is>
      </c>
    </row>
    <row r="18174">
      <c r="A18174" s="1" t="n">
        <v>18173</v>
      </c>
      <c r="B18174">
        <f>TEXT(18173, "[$-0E0000]yyyy-mm-dd")</f>
        <v/>
      </c>
      <c r="C18174" t="inlineStr">
        <is>
          <t>1949-08-12</t>
        </is>
      </c>
    </row>
    <row r="18175">
      <c r="A18175" s="1" t="n">
        <v>18174</v>
      </c>
      <c r="B18175">
        <f>TEXT(18174, "[$-0E0000]yyyy-mm-dd")</f>
        <v/>
      </c>
      <c r="C18175" t="inlineStr">
        <is>
          <t>1949-08-13</t>
        </is>
      </c>
    </row>
    <row r="18176">
      <c r="A18176" s="1" t="n">
        <v>18175</v>
      </c>
      <c r="B18176">
        <f>TEXT(18175, "[$-0E0000]yyyy-mm-dd")</f>
        <v/>
      </c>
      <c r="C18176" t="inlineStr">
        <is>
          <t>1949-08-14</t>
        </is>
      </c>
    </row>
    <row r="18177">
      <c r="A18177" s="1" t="n">
        <v>18176</v>
      </c>
      <c r="B18177">
        <f>TEXT(18176, "[$-0E0000]yyyy-mm-dd")</f>
        <v/>
      </c>
      <c r="C18177" t="inlineStr">
        <is>
          <t>1949-08-15</t>
        </is>
      </c>
    </row>
    <row r="18178">
      <c r="A18178" s="1" t="n">
        <v>18177</v>
      </c>
      <c r="B18178">
        <f>TEXT(18177, "[$-0E0000]yyyy-mm-dd")</f>
        <v/>
      </c>
      <c r="C18178" t="inlineStr">
        <is>
          <t>1949-08-16</t>
        </is>
      </c>
    </row>
    <row r="18179">
      <c r="A18179" s="1" t="n">
        <v>18178</v>
      </c>
      <c r="B18179">
        <f>TEXT(18178, "[$-0E0000]yyyy-mm-dd")</f>
        <v/>
      </c>
      <c r="C18179" t="inlineStr">
        <is>
          <t>1949-08-17</t>
        </is>
      </c>
    </row>
    <row r="18180">
      <c r="A18180" s="1" t="n">
        <v>18179</v>
      </c>
      <c r="B18180">
        <f>TEXT(18179, "[$-0E0000]yyyy-mm-dd")</f>
        <v/>
      </c>
      <c r="C18180" t="inlineStr">
        <is>
          <t>1949-08-18</t>
        </is>
      </c>
    </row>
    <row r="18181">
      <c r="A18181" s="1" t="n">
        <v>18180</v>
      </c>
      <c r="B18181">
        <f>TEXT(18180, "[$-0E0000]yyyy-mm-dd")</f>
        <v/>
      </c>
      <c r="C18181" t="inlineStr">
        <is>
          <t>1949-08-19</t>
        </is>
      </c>
    </row>
    <row r="18182">
      <c r="A18182" s="1" t="n">
        <v>18181</v>
      </c>
      <c r="B18182">
        <f>TEXT(18181, "[$-0E0000]yyyy-mm-dd")</f>
        <v/>
      </c>
      <c r="C18182" t="inlineStr">
        <is>
          <t>1949-08-20</t>
        </is>
      </c>
    </row>
    <row r="18183">
      <c r="A18183" s="1" t="n">
        <v>18182</v>
      </c>
      <c r="B18183">
        <f>TEXT(18182, "[$-0E0000]yyyy-mm-dd")</f>
        <v/>
      </c>
      <c r="C18183" t="inlineStr">
        <is>
          <t>1949-08-21</t>
        </is>
      </c>
    </row>
    <row r="18184">
      <c r="A18184" s="1" t="n">
        <v>18183</v>
      </c>
      <c r="B18184">
        <f>TEXT(18183, "[$-0E0000]yyyy-mm-dd")</f>
        <v/>
      </c>
      <c r="C18184" t="inlineStr">
        <is>
          <t>1949-08-22</t>
        </is>
      </c>
    </row>
    <row r="18185">
      <c r="A18185" s="1" t="n">
        <v>18184</v>
      </c>
      <c r="B18185">
        <f>TEXT(18184, "[$-0E0000]yyyy-mm-dd")</f>
        <v/>
      </c>
      <c r="C18185" t="inlineStr">
        <is>
          <t>1949-08-23</t>
        </is>
      </c>
    </row>
    <row r="18186">
      <c r="A18186" s="1" t="n">
        <v>18185</v>
      </c>
      <c r="B18186">
        <f>TEXT(18185, "[$-0E0000]yyyy-mm-dd")</f>
        <v/>
      </c>
      <c r="C18186" t="inlineStr">
        <is>
          <t>1949-08-24</t>
        </is>
      </c>
    </row>
    <row r="18187">
      <c r="A18187" s="1" t="n">
        <v>18186</v>
      </c>
      <c r="B18187">
        <f>TEXT(18186, "[$-0E0000]yyyy-mm-dd")</f>
        <v/>
      </c>
      <c r="C18187" t="inlineStr">
        <is>
          <t>1949-08-25</t>
        </is>
      </c>
    </row>
    <row r="18188">
      <c r="A18188" s="1" t="n">
        <v>18187</v>
      </c>
      <c r="B18188">
        <f>TEXT(18187, "[$-0E0000]yyyy-mm-dd")</f>
        <v/>
      </c>
      <c r="C18188" t="inlineStr">
        <is>
          <t>1949-08-26</t>
        </is>
      </c>
    </row>
    <row r="18189">
      <c r="A18189" s="1" t="n">
        <v>18188</v>
      </c>
      <c r="B18189">
        <f>TEXT(18188, "[$-0E0000]yyyy-mm-dd")</f>
        <v/>
      </c>
      <c r="C18189" t="inlineStr">
        <is>
          <t>1949-08-27</t>
        </is>
      </c>
    </row>
    <row r="18190">
      <c r="A18190" s="1" t="n">
        <v>18189</v>
      </c>
      <c r="B18190">
        <f>TEXT(18189, "[$-0E0000]yyyy-mm-dd")</f>
        <v/>
      </c>
      <c r="C18190" t="inlineStr">
        <is>
          <t>1949-08-28</t>
        </is>
      </c>
    </row>
    <row r="18191">
      <c r="A18191" s="1" t="n">
        <v>18190</v>
      </c>
      <c r="B18191">
        <f>TEXT(18190, "[$-0E0000]yyyy-mm-dd")</f>
        <v/>
      </c>
      <c r="C18191" t="inlineStr">
        <is>
          <t>1949-08-29</t>
        </is>
      </c>
    </row>
    <row r="18192">
      <c r="A18192" s="1" t="n">
        <v>18191</v>
      </c>
      <c r="B18192">
        <f>TEXT(18191, "[$-0E0000]yyyy-mm-dd")</f>
        <v/>
      </c>
      <c r="C18192" t="inlineStr">
        <is>
          <t>1949-08-30</t>
        </is>
      </c>
    </row>
    <row r="18193">
      <c r="A18193" s="1" t="n">
        <v>18192</v>
      </c>
      <c r="B18193">
        <f>TEXT(18192, "[$-0E0000]yyyy-mm-dd")</f>
        <v/>
      </c>
      <c r="C18193" t="inlineStr">
        <is>
          <t>1949-09-01</t>
        </is>
      </c>
    </row>
    <row r="18194">
      <c r="A18194" s="1" t="n">
        <v>18193</v>
      </c>
      <c r="B18194">
        <f>TEXT(18193, "[$-0E0000]yyyy-mm-dd")</f>
        <v/>
      </c>
      <c r="C18194" t="inlineStr">
        <is>
          <t>1949-09-02</t>
        </is>
      </c>
    </row>
    <row r="18195">
      <c r="A18195" s="1" t="n">
        <v>18194</v>
      </c>
      <c r="B18195">
        <f>TEXT(18194, "[$-0E0000]yyyy-mm-dd")</f>
        <v/>
      </c>
      <c r="C18195" t="inlineStr">
        <is>
          <t>1949-09-03</t>
        </is>
      </c>
    </row>
    <row r="18196">
      <c r="A18196" s="1" t="n">
        <v>18195</v>
      </c>
      <c r="B18196">
        <f>TEXT(18195, "[$-0E0000]yyyy-mm-dd")</f>
        <v/>
      </c>
      <c r="C18196" t="inlineStr">
        <is>
          <t>1949-09-04</t>
        </is>
      </c>
    </row>
    <row r="18197">
      <c r="A18197" s="1" t="n">
        <v>18196</v>
      </c>
      <c r="B18197">
        <f>TEXT(18196, "[$-0E0000]yyyy-mm-dd")</f>
        <v/>
      </c>
      <c r="C18197" t="inlineStr">
        <is>
          <t>1949-09-05</t>
        </is>
      </c>
    </row>
    <row r="18198">
      <c r="A18198" s="1" t="n">
        <v>18197</v>
      </c>
      <c r="B18198">
        <f>TEXT(18197, "[$-0E0000]yyyy-mm-dd")</f>
        <v/>
      </c>
      <c r="C18198" t="inlineStr">
        <is>
          <t>1949-09-06</t>
        </is>
      </c>
    </row>
    <row r="18199">
      <c r="A18199" s="1" t="n">
        <v>18198</v>
      </c>
      <c r="B18199">
        <f>TEXT(18198, "[$-0E0000]yyyy-mm-dd")</f>
        <v/>
      </c>
      <c r="C18199" t="inlineStr">
        <is>
          <t>1949-09-07</t>
        </is>
      </c>
    </row>
    <row r="18200">
      <c r="A18200" s="1" t="n">
        <v>18199</v>
      </c>
      <c r="B18200">
        <f>TEXT(18199, "[$-0E0000]yyyy-mm-dd")</f>
        <v/>
      </c>
      <c r="C18200" t="inlineStr">
        <is>
          <t>1949-09-08</t>
        </is>
      </c>
    </row>
    <row r="18201">
      <c r="A18201" s="1" t="n">
        <v>18200</v>
      </c>
      <c r="B18201">
        <f>TEXT(18200, "[$-0E0000]yyyy-mm-dd")</f>
        <v/>
      </c>
      <c r="C18201" t="inlineStr">
        <is>
          <t>1949-09-09</t>
        </is>
      </c>
    </row>
    <row r="18202">
      <c r="A18202" s="1" t="n">
        <v>18201</v>
      </c>
      <c r="B18202">
        <f>TEXT(18201, "[$-0E0000]yyyy-mm-dd")</f>
        <v/>
      </c>
      <c r="C18202" t="inlineStr">
        <is>
          <t>1949-09-10</t>
        </is>
      </c>
    </row>
    <row r="18203">
      <c r="A18203" s="1" t="n">
        <v>18202</v>
      </c>
      <c r="B18203">
        <f>TEXT(18202, "[$-0E0000]yyyy-mm-dd")</f>
        <v/>
      </c>
      <c r="C18203" t="inlineStr">
        <is>
          <t>1949-09-11</t>
        </is>
      </c>
    </row>
    <row r="18204">
      <c r="A18204" s="1" t="n">
        <v>18203</v>
      </c>
      <c r="B18204">
        <f>TEXT(18203, "[$-0E0000]yyyy-mm-dd")</f>
        <v/>
      </c>
      <c r="C18204" t="inlineStr">
        <is>
          <t>1949-09-12</t>
        </is>
      </c>
    </row>
    <row r="18205">
      <c r="A18205" s="1" t="n">
        <v>18204</v>
      </c>
      <c r="B18205">
        <f>TEXT(18204, "[$-0E0000]yyyy-mm-dd")</f>
        <v/>
      </c>
      <c r="C18205" t="inlineStr">
        <is>
          <t>1949-09-13</t>
        </is>
      </c>
    </row>
    <row r="18206">
      <c r="A18206" s="1" t="n">
        <v>18205</v>
      </c>
      <c r="B18206">
        <f>TEXT(18205, "[$-0E0000]yyyy-mm-dd")</f>
        <v/>
      </c>
      <c r="C18206" t="inlineStr">
        <is>
          <t>1949-09-14</t>
        </is>
      </c>
    </row>
    <row r="18207">
      <c r="A18207" s="1" t="n">
        <v>18206</v>
      </c>
      <c r="B18207">
        <f>TEXT(18206, "[$-0E0000]yyyy-mm-dd")</f>
        <v/>
      </c>
      <c r="C18207" t="inlineStr">
        <is>
          <t>1949-09-15</t>
        </is>
      </c>
    </row>
    <row r="18208">
      <c r="A18208" s="1" t="n">
        <v>18207</v>
      </c>
      <c r="B18208">
        <f>TEXT(18207, "[$-0E0000]yyyy-mm-dd")</f>
        <v/>
      </c>
      <c r="C18208" t="inlineStr">
        <is>
          <t>1949-09-16</t>
        </is>
      </c>
    </row>
    <row r="18209">
      <c r="A18209" s="1" t="n">
        <v>18208</v>
      </c>
      <c r="B18209">
        <f>TEXT(18208, "[$-0E0000]yyyy-mm-dd")</f>
        <v/>
      </c>
      <c r="C18209" t="inlineStr">
        <is>
          <t>1949-09-17</t>
        </is>
      </c>
    </row>
    <row r="18210">
      <c r="A18210" s="1" t="n">
        <v>18209</v>
      </c>
      <c r="B18210">
        <f>TEXT(18209, "[$-0E0000]yyyy-mm-dd")</f>
        <v/>
      </c>
      <c r="C18210" t="inlineStr">
        <is>
          <t>1949-09-18</t>
        </is>
      </c>
    </row>
    <row r="18211">
      <c r="A18211" s="1" t="n">
        <v>18210</v>
      </c>
      <c r="B18211">
        <f>TEXT(18210, "[$-0E0000]yyyy-mm-dd")</f>
        <v/>
      </c>
      <c r="C18211" t="inlineStr">
        <is>
          <t>1949-09-19</t>
        </is>
      </c>
    </row>
    <row r="18212">
      <c r="A18212" s="1" t="n">
        <v>18211</v>
      </c>
      <c r="B18212">
        <f>TEXT(18211, "[$-0E0000]yyyy-mm-dd")</f>
        <v/>
      </c>
      <c r="C18212" t="inlineStr">
        <is>
          <t>1949-09-20</t>
        </is>
      </c>
    </row>
    <row r="18213">
      <c r="A18213" s="1" t="n">
        <v>18212</v>
      </c>
      <c r="B18213">
        <f>TEXT(18212, "[$-0E0000]yyyy-mm-dd")</f>
        <v/>
      </c>
      <c r="C18213" t="inlineStr">
        <is>
          <t>1949-09-21</t>
        </is>
      </c>
    </row>
    <row r="18214">
      <c r="A18214" s="1" t="n">
        <v>18213</v>
      </c>
      <c r="B18214">
        <f>TEXT(18213, "[$-0E0000]yyyy-mm-dd")</f>
        <v/>
      </c>
      <c r="C18214" t="inlineStr">
        <is>
          <t>1949-09-22</t>
        </is>
      </c>
    </row>
    <row r="18215">
      <c r="A18215" s="1" t="n">
        <v>18214</v>
      </c>
      <c r="B18215">
        <f>TEXT(18214, "[$-0E0000]yyyy-mm-dd")</f>
        <v/>
      </c>
      <c r="C18215" t="inlineStr">
        <is>
          <t>1949-09-23</t>
        </is>
      </c>
    </row>
    <row r="18216">
      <c r="A18216" s="1" t="n">
        <v>18215</v>
      </c>
      <c r="B18216">
        <f>TEXT(18215, "[$-0E0000]yyyy-mm-dd")</f>
        <v/>
      </c>
      <c r="C18216" t="inlineStr">
        <is>
          <t>1949-09-24</t>
        </is>
      </c>
    </row>
    <row r="18217">
      <c r="A18217" s="1" t="n">
        <v>18216</v>
      </c>
      <c r="B18217">
        <f>TEXT(18216, "[$-0E0000]yyyy-mm-dd")</f>
        <v/>
      </c>
      <c r="C18217" t="inlineStr">
        <is>
          <t>1949-09-25</t>
        </is>
      </c>
    </row>
    <row r="18218">
      <c r="A18218" s="1" t="n">
        <v>18217</v>
      </c>
      <c r="B18218">
        <f>TEXT(18217, "[$-0E0000]yyyy-mm-dd")</f>
        <v/>
      </c>
      <c r="C18218" t="inlineStr">
        <is>
          <t>1949-09-26</t>
        </is>
      </c>
    </row>
    <row r="18219">
      <c r="A18219" s="1" t="n">
        <v>18218</v>
      </c>
      <c r="B18219">
        <f>TEXT(18218, "[$-0E0000]yyyy-mm-dd")</f>
        <v/>
      </c>
      <c r="C18219" t="inlineStr">
        <is>
          <t>1949-09-27</t>
        </is>
      </c>
    </row>
    <row r="18220">
      <c r="A18220" s="1" t="n">
        <v>18219</v>
      </c>
      <c r="B18220">
        <f>TEXT(18219, "[$-0E0000]yyyy-mm-dd")</f>
        <v/>
      </c>
      <c r="C18220" t="inlineStr">
        <is>
          <t>1949-09-28</t>
        </is>
      </c>
    </row>
    <row r="18221">
      <c r="A18221" s="1" t="n">
        <v>18220</v>
      </c>
      <c r="B18221">
        <f>TEXT(18220, "[$-0E0000]yyyy-mm-dd")</f>
        <v/>
      </c>
      <c r="C18221" t="inlineStr">
        <is>
          <t>1949-09-29</t>
        </is>
      </c>
    </row>
    <row r="18222">
      <c r="A18222" s="1" t="n">
        <v>18221</v>
      </c>
      <c r="B18222">
        <f>TEXT(18221, "[$-0E0000]yyyy-mm-dd")</f>
        <v/>
      </c>
      <c r="C18222" t="inlineStr">
        <is>
          <t>1949-10-01</t>
        </is>
      </c>
    </row>
    <row r="18223">
      <c r="A18223" s="1" t="n">
        <v>18222</v>
      </c>
      <c r="B18223">
        <f>TEXT(18222, "[$-0E0000]yyyy-mm-dd")</f>
        <v/>
      </c>
      <c r="C18223" t="inlineStr">
        <is>
          <t>1949-10-02</t>
        </is>
      </c>
    </row>
    <row r="18224">
      <c r="A18224" s="1" t="n">
        <v>18223</v>
      </c>
      <c r="B18224">
        <f>TEXT(18223, "[$-0E0000]yyyy-mm-dd")</f>
        <v/>
      </c>
      <c r="C18224" t="inlineStr">
        <is>
          <t>1949-10-03</t>
        </is>
      </c>
    </row>
    <row r="18225">
      <c r="A18225" s="1" t="n">
        <v>18224</v>
      </c>
      <c r="B18225">
        <f>TEXT(18224, "[$-0E0000]yyyy-mm-dd")</f>
        <v/>
      </c>
      <c r="C18225" t="inlineStr">
        <is>
          <t>1949-10-04</t>
        </is>
      </c>
    </row>
    <row r="18226">
      <c r="A18226" s="1" t="n">
        <v>18225</v>
      </c>
      <c r="B18226">
        <f>TEXT(18225, "[$-0E0000]yyyy-mm-dd")</f>
        <v/>
      </c>
      <c r="C18226" t="inlineStr">
        <is>
          <t>1949-10-05</t>
        </is>
      </c>
    </row>
    <row r="18227">
      <c r="A18227" s="1" t="n">
        <v>18226</v>
      </c>
      <c r="B18227">
        <f>TEXT(18226, "[$-0E0000]yyyy-mm-dd")</f>
        <v/>
      </c>
      <c r="C18227" t="inlineStr">
        <is>
          <t>1949-10-06</t>
        </is>
      </c>
    </row>
    <row r="18228">
      <c r="A18228" s="1" t="n">
        <v>18227</v>
      </c>
      <c r="B18228">
        <f>TEXT(18227, "[$-0E0000]yyyy-mm-dd")</f>
        <v/>
      </c>
      <c r="C18228" t="inlineStr">
        <is>
          <t>1949-10-07</t>
        </is>
      </c>
    </row>
    <row r="18229">
      <c r="A18229" s="1" t="n">
        <v>18228</v>
      </c>
      <c r="B18229">
        <f>TEXT(18228, "[$-0E0000]yyyy-mm-dd")</f>
        <v/>
      </c>
      <c r="C18229" t="inlineStr">
        <is>
          <t>1949-10-08</t>
        </is>
      </c>
    </row>
    <row r="18230">
      <c r="A18230" s="1" t="n">
        <v>18229</v>
      </c>
      <c r="B18230">
        <f>TEXT(18229, "[$-0E0000]yyyy-mm-dd")</f>
        <v/>
      </c>
      <c r="C18230" t="inlineStr">
        <is>
          <t>1949-10-09</t>
        </is>
      </c>
    </row>
    <row r="18231">
      <c r="A18231" s="1" t="n">
        <v>18230</v>
      </c>
      <c r="B18231">
        <f>TEXT(18230, "[$-0E0000]yyyy-mm-dd")</f>
        <v/>
      </c>
      <c r="C18231" t="inlineStr">
        <is>
          <t>1949-10-10</t>
        </is>
      </c>
    </row>
    <row r="18232">
      <c r="A18232" s="1" t="n">
        <v>18231</v>
      </c>
      <c r="B18232">
        <f>TEXT(18231, "[$-0E0000]yyyy-mm-dd")</f>
        <v/>
      </c>
      <c r="C18232" t="inlineStr">
        <is>
          <t>1949-10-11</t>
        </is>
      </c>
    </row>
    <row r="18233">
      <c r="A18233" s="1" t="n">
        <v>18232</v>
      </c>
      <c r="B18233">
        <f>TEXT(18232, "[$-0E0000]yyyy-mm-dd")</f>
        <v/>
      </c>
      <c r="C18233" t="inlineStr">
        <is>
          <t>1949-10-12</t>
        </is>
      </c>
    </row>
    <row r="18234">
      <c r="A18234" s="1" t="n">
        <v>18233</v>
      </c>
      <c r="B18234">
        <f>TEXT(18233, "[$-0E0000]yyyy-mm-dd")</f>
        <v/>
      </c>
      <c r="C18234" t="inlineStr">
        <is>
          <t>1949-10-13</t>
        </is>
      </c>
    </row>
    <row r="18235">
      <c r="A18235" s="1" t="n">
        <v>18234</v>
      </c>
      <c r="B18235">
        <f>TEXT(18234, "[$-0E0000]yyyy-mm-dd")</f>
        <v/>
      </c>
      <c r="C18235" t="inlineStr">
        <is>
          <t>1949-10-14</t>
        </is>
      </c>
    </row>
    <row r="18236">
      <c r="A18236" s="1" t="n">
        <v>18235</v>
      </c>
      <c r="B18236">
        <f>TEXT(18235, "[$-0E0000]yyyy-mm-dd")</f>
        <v/>
      </c>
      <c r="C18236" t="inlineStr">
        <is>
          <t>1949-10-15</t>
        </is>
      </c>
    </row>
    <row r="18237">
      <c r="A18237" s="1" t="n">
        <v>18236</v>
      </c>
      <c r="B18237">
        <f>TEXT(18236, "[$-0E0000]yyyy-mm-dd")</f>
        <v/>
      </c>
      <c r="C18237" t="inlineStr">
        <is>
          <t>1949-10-16</t>
        </is>
      </c>
    </row>
    <row r="18238">
      <c r="A18238" s="1" t="n">
        <v>18237</v>
      </c>
      <c r="B18238">
        <f>TEXT(18237, "[$-0E0000]yyyy-mm-dd")</f>
        <v/>
      </c>
      <c r="C18238" t="inlineStr">
        <is>
          <t>1949-10-17</t>
        </is>
      </c>
    </row>
    <row r="18239">
      <c r="A18239" s="1" t="n">
        <v>18238</v>
      </c>
      <c r="B18239">
        <f>TEXT(18238, "[$-0E0000]yyyy-mm-dd")</f>
        <v/>
      </c>
      <c r="C18239" t="inlineStr">
        <is>
          <t>1949-10-18</t>
        </is>
      </c>
    </row>
    <row r="18240">
      <c r="A18240" s="1" t="n">
        <v>18239</v>
      </c>
      <c r="B18240">
        <f>TEXT(18239, "[$-0E0000]yyyy-mm-dd")</f>
        <v/>
      </c>
      <c r="C18240" t="inlineStr">
        <is>
          <t>1949-10-19</t>
        </is>
      </c>
    </row>
    <row r="18241">
      <c r="A18241" s="1" t="n">
        <v>18240</v>
      </c>
      <c r="B18241">
        <f>TEXT(18240, "[$-0E0000]yyyy-mm-dd")</f>
        <v/>
      </c>
      <c r="C18241" t="inlineStr">
        <is>
          <t>1949-10-20</t>
        </is>
      </c>
    </row>
    <row r="18242">
      <c r="A18242" s="1" t="n">
        <v>18241</v>
      </c>
      <c r="B18242">
        <f>TEXT(18241, "[$-0E0000]yyyy-mm-dd")</f>
        <v/>
      </c>
      <c r="C18242" t="inlineStr">
        <is>
          <t>1949-10-21</t>
        </is>
      </c>
    </row>
    <row r="18243">
      <c r="A18243" s="1" t="n">
        <v>18242</v>
      </c>
      <c r="B18243">
        <f>TEXT(18242, "[$-0E0000]yyyy-mm-dd")</f>
        <v/>
      </c>
      <c r="C18243" t="inlineStr">
        <is>
          <t>1949-10-22</t>
        </is>
      </c>
    </row>
    <row r="18244">
      <c r="A18244" s="1" t="n">
        <v>18243</v>
      </c>
      <c r="B18244">
        <f>TEXT(18243, "[$-0E0000]yyyy-mm-dd")</f>
        <v/>
      </c>
      <c r="C18244" t="inlineStr">
        <is>
          <t>1949-10-23</t>
        </is>
      </c>
    </row>
    <row r="18245">
      <c r="A18245" s="1" t="n">
        <v>18244</v>
      </c>
      <c r="B18245">
        <f>TEXT(18244, "[$-0E0000]yyyy-mm-dd")</f>
        <v/>
      </c>
      <c r="C18245" t="inlineStr">
        <is>
          <t>1949-10-24</t>
        </is>
      </c>
    </row>
    <row r="18246">
      <c r="A18246" s="1" t="n">
        <v>18245</v>
      </c>
      <c r="B18246">
        <f>TEXT(18245, "[$-0E0000]yyyy-mm-dd")</f>
        <v/>
      </c>
      <c r="C18246" t="inlineStr">
        <is>
          <t>1949-10-25</t>
        </is>
      </c>
    </row>
    <row r="18247">
      <c r="A18247" s="1" t="n">
        <v>18246</v>
      </c>
      <c r="B18247">
        <f>TEXT(18246, "[$-0E0000]yyyy-mm-dd")</f>
        <v/>
      </c>
      <c r="C18247" t="inlineStr">
        <is>
          <t>1949-10-26</t>
        </is>
      </c>
    </row>
    <row r="18248">
      <c r="A18248" s="1" t="n">
        <v>18247</v>
      </c>
      <c r="B18248">
        <f>TEXT(18247, "[$-0E0000]yyyy-mm-dd")</f>
        <v/>
      </c>
      <c r="C18248" t="inlineStr">
        <is>
          <t>1949-10-27</t>
        </is>
      </c>
    </row>
    <row r="18249">
      <c r="A18249" s="1" t="n">
        <v>18248</v>
      </c>
      <c r="B18249">
        <f>TEXT(18248, "[$-0E0000]yyyy-mm-dd")</f>
        <v/>
      </c>
      <c r="C18249" t="inlineStr">
        <is>
          <t>1949-10-28</t>
        </is>
      </c>
    </row>
    <row r="18250">
      <c r="A18250" s="1" t="n">
        <v>18249</v>
      </c>
      <c r="B18250">
        <f>TEXT(18249, "[$-0E0000]yyyy-mm-dd")</f>
        <v/>
      </c>
      <c r="C18250" t="inlineStr">
        <is>
          <t>1949-10-29</t>
        </is>
      </c>
    </row>
    <row r="18251">
      <c r="A18251" s="1" t="n">
        <v>18250</v>
      </c>
      <c r="B18251">
        <f>TEXT(18250, "[$-0E0000]yyyy-mm-dd")</f>
        <v/>
      </c>
      <c r="C18251" t="inlineStr">
        <is>
          <t>1949-10-30</t>
        </is>
      </c>
    </row>
    <row r="18252">
      <c r="A18252" s="1" t="n">
        <v>18251</v>
      </c>
      <c r="B18252">
        <f>TEXT(18251, "[$-0E0000]yyyy-mm-dd")</f>
        <v/>
      </c>
      <c r="C18252" t="inlineStr">
        <is>
          <t>1949-11-01</t>
        </is>
      </c>
    </row>
    <row r="18253">
      <c r="A18253" s="1" t="n">
        <v>18252</v>
      </c>
      <c r="B18253">
        <f>TEXT(18252, "[$-0E0000]yyyy-mm-dd")</f>
        <v/>
      </c>
      <c r="C18253" t="inlineStr">
        <is>
          <t>1949-11-02</t>
        </is>
      </c>
    </row>
    <row r="18254">
      <c r="A18254" s="1" t="n">
        <v>18253</v>
      </c>
      <c r="B18254">
        <f>TEXT(18253, "[$-0E0000]yyyy-mm-dd")</f>
        <v/>
      </c>
      <c r="C18254" t="inlineStr">
        <is>
          <t>1949-11-03</t>
        </is>
      </c>
    </row>
    <row r="18255">
      <c r="A18255" s="1" t="n">
        <v>18254</v>
      </c>
      <c r="B18255">
        <f>TEXT(18254, "[$-0E0000]yyyy-mm-dd")</f>
        <v/>
      </c>
      <c r="C18255" t="inlineStr">
        <is>
          <t>1949-11-04</t>
        </is>
      </c>
    </row>
    <row r="18256">
      <c r="A18256" s="1" t="n">
        <v>18255</v>
      </c>
      <c r="B18256">
        <f>TEXT(18255, "[$-0E0000]yyyy-mm-dd")</f>
        <v/>
      </c>
      <c r="C18256" t="inlineStr">
        <is>
          <t>1949-11-05</t>
        </is>
      </c>
    </row>
    <row r="18257">
      <c r="A18257" s="1" t="n">
        <v>18256</v>
      </c>
      <c r="B18257">
        <f>TEXT(18256, "[$-0E0000]yyyy-mm-dd")</f>
        <v/>
      </c>
      <c r="C18257" t="inlineStr">
        <is>
          <t>1949-11-06</t>
        </is>
      </c>
    </row>
    <row r="18258">
      <c r="A18258" s="1" t="n">
        <v>18257</v>
      </c>
      <c r="B18258">
        <f>TEXT(18257, "[$-0E0000]yyyy-mm-dd")</f>
        <v/>
      </c>
      <c r="C18258" t="inlineStr">
        <is>
          <t>1949-11-07</t>
        </is>
      </c>
    </row>
    <row r="18259">
      <c r="A18259" s="1" t="n">
        <v>18258</v>
      </c>
      <c r="B18259">
        <f>TEXT(18258, "[$-0E0000]yyyy-mm-dd")</f>
        <v/>
      </c>
      <c r="C18259" t="inlineStr">
        <is>
          <t>1949-11-08</t>
        </is>
      </c>
    </row>
    <row r="18260">
      <c r="A18260" s="1" t="n">
        <v>18259</v>
      </c>
      <c r="B18260">
        <f>TEXT(18259, "[$-0E0000]yyyy-mm-dd")</f>
        <v/>
      </c>
      <c r="C18260" t="inlineStr">
        <is>
          <t>1949-11-09</t>
        </is>
      </c>
    </row>
    <row r="18261">
      <c r="A18261" s="1" t="n">
        <v>18260</v>
      </c>
      <c r="B18261">
        <f>TEXT(18260, "[$-0E0000]yyyy-mm-dd")</f>
        <v/>
      </c>
      <c r="C18261" t="inlineStr">
        <is>
          <t>1949-11-10</t>
        </is>
      </c>
    </row>
    <row r="18262">
      <c r="A18262" s="1" t="n">
        <v>18261</v>
      </c>
      <c r="B18262">
        <f>TEXT(18261, "[$-0E0000]yyyy-mm-dd")</f>
        <v/>
      </c>
      <c r="C18262" t="inlineStr">
        <is>
          <t>1949-11-11</t>
        </is>
      </c>
    </row>
    <row r="18263">
      <c r="A18263" s="1" t="n">
        <v>18262</v>
      </c>
      <c r="B18263">
        <f>TEXT(18262, "[$-0E0000]yyyy-mm-dd")</f>
        <v/>
      </c>
      <c r="C18263" t="inlineStr">
        <is>
          <t>1949-11-12</t>
        </is>
      </c>
    </row>
    <row r="18264">
      <c r="A18264" s="1" t="n">
        <v>18263</v>
      </c>
      <c r="B18264">
        <f>TEXT(18263, "[$-0E0000]yyyy-mm-dd")</f>
        <v/>
      </c>
      <c r="C18264" t="inlineStr">
        <is>
          <t>1949-11-13</t>
        </is>
      </c>
    </row>
    <row r="18265">
      <c r="A18265" s="1" t="n">
        <v>18264</v>
      </c>
      <c r="B18265">
        <f>TEXT(18264, "[$-0E0000]yyyy-mm-dd")</f>
        <v/>
      </c>
      <c r="C18265" t="inlineStr">
        <is>
          <t>1949-11-14</t>
        </is>
      </c>
    </row>
    <row r="18266">
      <c r="A18266" s="1" t="n">
        <v>18265</v>
      </c>
      <c r="B18266">
        <f>TEXT(18265, "[$-0E0000]yyyy-mm-dd")</f>
        <v/>
      </c>
      <c r="C18266" t="inlineStr">
        <is>
          <t>1949-11-15</t>
        </is>
      </c>
    </row>
    <row r="18267">
      <c r="A18267" s="1" t="n">
        <v>18266</v>
      </c>
      <c r="B18267">
        <f>TEXT(18266, "[$-0E0000]yyyy-mm-dd")</f>
        <v/>
      </c>
      <c r="C18267" t="inlineStr">
        <is>
          <t>1949-11-16</t>
        </is>
      </c>
    </row>
    <row r="18268">
      <c r="A18268" s="1" t="n">
        <v>18267</v>
      </c>
      <c r="B18268">
        <f>TEXT(18267, "[$-0E0000]yyyy-mm-dd")</f>
        <v/>
      </c>
      <c r="C18268" t="inlineStr">
        <is>
          <t>1949-11-17</t>
        </is>
      </c>
    </row>
    <row r="18269">
      <c r="A18269" s="1" t="n">
        <v>18268</v>
      </c>
      <c r="B18269">
        <f>TEXT(18268, "[$-0E0000]yyyy-mm-dd")</f>
        <v/>
      </c>
      <c r="C18269" t="inlineStr">
        <is>
          <t>1949-11-18</t>
        </is>
      </c>
    </row>
    <row r="18270">
      <c r="A18270" s="1" t="n">
        <v>18269</v>
      </c>
      <c r="B18270">
        <f>TEXT(18269, "[$-0E0000]yyyy-mm-dd")</f>
        <v/>
      </c>
      <c r="C18270" t="inlineStr">
        <is>
          <t>1949-11-19</t>
        </is>
      </c>
    </row>
    <row r="18271">
      <c r="A18271" s="1" t="n">
        <v>18270</v>
      </c>
      <c r="B18271">
        <f>TEXT(18270, "[$-0E0000]yyyy-mm-dd")</f>
        <v/>
      </c>
      <c r="C18271" t="inlineStr">
        <is>
          <t>1949-11-20</t>
        </is>
      </c>
    </row>
    <row r="18272">
      <c r="A18272" s="1" t="n">
        <v>18271</v>
      </c>
      <c r="B18272">
        <f>TEXT(18271, "[$-0E0000]yyyy-mm-dd")</f>
        <v/>
      </c>
      <c r="C18272" t="inlineStr">
        <is>
          <t>1949-11-21</t>
        </is>
      </c>
    </row>
    <row r="18273">
      <c r="A18273" s="1" t="n">
        <v>18272</v>
      </c>
      <c r="B18273">
        <f>TEXT(18272, "[$-0E0000]yyyy-mm-dd")</f>
        <v/>
      </c>
      <c r="C18273" t="inlineStr">
        <is>
          <t>1949-11-22</t>
        </is>
      </c>
    </row>
    <row r="18274">
      <c r="A18274" s="1" t="n">
        <v>18273</v>
      </c>
      <c r="B18274">
        <f>TEXT(18273, "[$-0E0000]yyyy-mm-dd")</f>
        <v/>
      </c>
      <c r="C18274" t="inlineStr">
        <is>
          <t>1949-11-23</t>
        </is>
      </c>
    </row>
    <row r="18275">
      <c r="A18275" s="1" t="n">
        <v>18274</v>
      </c>
      <c r="B18275">
        <f>TEXT(18274, "[$-0E0000]yyyy-mm-dd")</f>
        <v/>
      </c>
      <c r="C18275" t="inlineStr">
        <is>
          <t>1949-11-24</t>
        </is>
      </c>
    </row>
    <row r="18276">
      <c r="A18276" s="1" t="n">
        <v>18275</v>
      </c>
      <c r="B18276">
        <f>TEXT(18275, "[$-0E0000]yyyy-mm-dd")</f>
        <v/>
      </c>
      <c r="C18276" t="inlineStr">
        <is>
          <t>1949-11-25</t>
        </is>
      </c>
    </row>
    <row r="18277">
      <c r="A18277" s="1" t="n">
        <v>18276</v>
      </c>
      <c r="B18277">
        <f>TEXT(18276, "[$-0E0000]yyyy-mm-dd")</f>
        <v/>
      </c>
      <c r="C18277" t="inlineStr">
        <is>
          <t>1949-11-26</t>
        </is>
      </c>
    </row>
    <row r="18278">
      <c r="A18278" s="1" t="n">
        <v>18277</v>
      </c>
      <c r="B18278">
        <f>TEXT(18277, "[$-0E0000]yyyy-mm-dd")</f>
        <v/>
      </c>
      <c r="C18278" t="inlineStr">
        <is>
          <t>1949-11-27</t>
        </is>
      </c>
    </row>
    <row r="18279">
      <c r="A18279" s="1" t="n">
        <v>18278</v>
      </c>
      <c r="B18279">
        <f>TEXT(18278, "[$-0E0000]yyyy-mm-dd")</f>
        <v/>
      </c>
      <c r="C18279" t="inlineStr">
        <is>
          <t>1949-11-28</t>
        </is>
      </c>
    </row>
    <row r="18280">
      <c r="A18280" s="1" t="n">
        <v>18279</v>
      </c>
      <c r="B18280">
        <f>TEXT(18279, "[$-0E0000]yyyy-mm-dd")</f>
        <v/>
      </c>
      <c r="C18280" t="inlineStr">
        <is>
          <t>1949-11-29</t>
        </is>
      </c>
    </row>
    <row r="18281">
      <c r="A18281" s="1" t="n">
        <v>18280</v>
      </c>
      <c r="B18281">
        <f>TEXT(18280, "[$-0E0000]yyyy-mm-dd")</f>
        <v/>
      </c>
      <c r="C18281" t="inlineStr">
        <is>
          <t>1949-12-01</t>
        </is>
      </c>
    </row>
    <row r="18282">
      <c r="A18282" s="1" t="n">
        <v>18281</v>
      </c>
      <c r="B18282">
        <f>TEXT(18281, "[$-0E0000]yyyy-mm-dd")</f>
        <v/>
      </c>
      <c r="C18282" t="inlineStr">
        <is>
          <t>1949-12-02</t>
        </is>
      </c>
    </row>
    <row r="18283">
      <c r="A18283" s="1" t="n">
        <v>18282</v>
      </c>
      <c r="B18283">
        <f>TEXT(18282, "[$-0E0000]yyyy-mm-dd")</f>
        <v/>
      </c>
      <c r="C18283" t="inlineStr">
        <is>
          <t>1949-12-03</t>
        </is>
      </c>
    </row>
    <row r="18284">
      <c r="A18284" s="1" t="n">
        <v>18283</v>
      </c>
      <c r="B18284">
        <f>TEXT(18283, "[$-0E0000]yyyy-mm-dd")</f>
        <v/>
      </c>
      <c r="C18284" t="inlineStr">
        <is>
          <t>1949-12-04</t>
        </is>
      </c>
    </row>
    <row r="18285">
      <c r="A18285" s="1" t="n">
        <v>18284</v>
      </c>
      <c r="B18285">
        <f>TEXT(18284, "[$-0E0000]yyyy-mm-dd")</f>
        <v/>
      </c>
      <c r="C18285" t="inlineStr">
        <is>
          <t>1949-12-05</t>
        </is>
      </c>
    </row>
    <row r="18286">
      <c r="A18286" s="1" t="n">
        <v>18285</v>
      </c>
      <c r="B18286">
        <f>TEXT(18285, "[$-0E0000]yyyy-mm-dd")</f>
        <v/>
      </c>
      <c r="C18286" t="inlineStr">
        <is>
          <t>1949-12-06</t>
        </is>
      </c>
    </row>
    <row r="18287">
      <c r="A18287" s="1" t="n">
        <v>18286</v>
      </c>
      <c r="B18287">
        <f>TEXT(18286, "[$-0E0000]yyyy-mm-dd")</f>
        <v/>
      </c>
      <c r="C18287" t="inlineStr">
        <is>
          <t>1949-12-07</t>
        </is>
      </c>
    </row>
    <row r="18288">
      <c r="A18288" s="1" t="n">
        <v>18287</v>
      </c>
      <c r="B18288">
        <f>TEXT(18287, "[$-0E0000]yyyy-mm-dd")</f>
        <v/>
      </c>
      <c r="C18288" t="inlineStr">
        <is>
          <t>1949-12-08</t>
        </is>
      </c>
    </row>
    <row r="18289">
      <c r="A18289" s="1" t="n">
        <v>18288</v>
      </c>
      <c r="B18289">
        <f>TEXT(18288, "[$-0E0000]yyyy-mm-dd")</f>
        <v/>
      </c>
      <c r="C18289" t="inlineStr">
        <is>
          <t>1949-12-09</t>
        </is>
      </c>
    </row>
    <row r="18290">
      <c r="A18290" s="1" t="n">
        <v>18289</v>
      </c>
      <c r="B18290">
        <f>TEXT(18289, "[$-0E0000]yyyy-mm-dd")</f>
        <v/>
      </c>
      <c r="C18290" t="inlineStr">
        <is>
          <t>1949-12-10</t>
        </is>
      </c>
    </row>
    <row r="18291">
      <c r="A18291" s="1" t="n">
        <v>18290</v>
      </c>
      <c r="B18291">
        <f>TEXT(18290, "[$-0E0000]yyyy-mm-dd")</f>
        <v/>
      </c>
      <c r="C18291" t="inlineStr">
        <is>
          <t>1949-12-11</t>
        </is>
      </c>
    </row>
    <row r="18292">
      <c r="A18292" s="1" t="n">
        <v>18291</v>
      </c>
      <c r="B18292">
        <f>TEXT(18291, "[$-0E0000]yyyy-mm-dd")</f>
        <v/>
      </c>
      <c r="C18292" t="inlineStr">
        <is>
          <t>1949-12-12</t>
        </is>
      </c>
    </row>
    <row r="18293">
      <c r="A18293" s="1" t="n">
        <v>18292</v>
      </c>
      <c r="B18293">
        <f>TEXT(18292, "[$-0E0000]yyyy-mm-dd")</f>
        <v/>
      </c>
      <c r="C18293" t="inlineStr">
        <is>
          <t>1949-12-13</t>
        </is>
      </c>
    </row>
    <row r="18294">
      <c r="A18294" s="1" t="n">
        <v>18293</v>
      </c>
      <c r="B18294">
        <f>TEXT(18293, "[$-0E0000]yyyy-mm-dd")</f>
        <v/>
      </c>
      <c r="C18294" t="inlineStr">
        <is>
          <t>1949-12-14</t>
        </is>
      </c>
    </row>
    <row r="18295">
      <c r="A18295" s="1" t="n">
        <v>18294</v>
      </c>
      <c r="B18295">
        <f>TEXT(18294, "[$-0E0000]yyyy-mm-dd")</f>
        <v/>
      </c>
      <c r="C18295" t="inlineStr">
        <is>
          <t>1949-12-15</t>
        </is>
      </c>
    </row>
    <row r="18296">
      <c r="A18296" s="1" t="n">
        <v>18295</v>
      </c>
      <c r="B18296">
        <f>TEXT(18295, "[$-0E0000]yyyy-mm-dd")</f>
        <v/>
      </c>
      <c r="C18296" t="inlineStr">
        <is>
          <t>1949-12-16</t>
        </is>
      </c>
    </row>
    <row r="18297">
      <c r="A18297" s="1" t="n">
        <v>18296</v>
      </c>
      <c r="B18297">
        <f>TEXT(18296, "[$-0E0000]yyyy-mm-dd")</f>
        <v/>
      </c>
      <c r="C18297" t="inlineStr">
        <is>
          <t>1949-12-17</t>
        </is>
      </c>
    </row>
    <row r="18298">
      <c r="A18298" s="1" t="n">
        <v>18297</v>
      </c>
      <c r="B18298">
        <f>TEXT(18297, "[$-0E0000]yyyy-mm-dd")</f>
        <v/>
      </c>
      <c r="C18298" t="inlineStr">
        <is>
          <t>1949-12-18</t>
        </is>
      </c>
    </row>
    <row r="18299">
      <c r="A18299" s="1" t="n">
        <v>18298</v>
      </c>
      <c r="B18299">
        <f>TEXT(18298, "[$-0E0000]yyyy-mm-dd")</f>
        <v/>
      </c>
      <c r="C18299" t="inlineStr">
        <is>
          <t>1949-12-19</t>
        </is>
      </c>
    </row>
    <row r="18300">
      <c r="A18300" s="1" t="n">
        <v>18299</v>
      </c>
      <c r="B18300">
        <f>TEXT(18299, "[$-0E0000]yyyy-mm-dd")</f>
        <v/>
      </c>
      <c r="C18300" t="inlineStr">
        <is>
          <t>1949-12-20</t>
        </is>
      </c>
    </row>
    <row r="18301">
      <c r="A18301" s="1" t="n">
        <v>18300</v>
      </c>
      <c r="B18301">
        <f>TEXT(18300, "[$-0E0000]yyyy-mm-dd")</f>
        <v/>
      </c>
      <c r="C18301" t="inlineStr">
        <is>
          <t>1949-12-21</t>
        </is>
      </c>
    </row>
    <row r="18302">
      <c r="A18302" s="1" t="n">
        <v>18301</v>
      </c>
      <c r="B18302">
        <f>TEXT(18301, "[$-0E0000]yyyy-mm-dd")</f>
        <v/>
      </c>
      <c r="C18302" t="inlineStr">
        <is>
          <t>1949-12-22</t>
        </is>
      </c>
    </row>
    <row r="18303">
      <c r="A18303" s="1" t="n">
        <v>18302</v>
      </c>
      <c r="B18303">
        <f>TEXT(18302, "[$-0E0000]yyyy-mm-dd")</f>
        <v/>
      </c>
      <c r="C18303" t="inlineStr">
        <is>
          <t>1949-12-23</t>
        </is>
      </c>
    </row>
    <row r="18304">
      <c r="A18304" s="1" t="n">
        <v>18303</v>
      </c>
      <c r="B18304">
        <f>TEXT(18303, "[$-0E0000]yyyy-mm-dd")</f>
        <v/>
      </c>
      <c r="C18304" t="inlineStr">
        <is>
          <t>1949-12-24</t>
        </is>
      </c>
    </row>
    <row r="18305">
      <c r="A18305" s="1" t="n">
        <v>18304</v>
      </c>
      <c r="B18305">
        <f>TEXT(18304, "[$-0E0000]yyyy-mm-dd")</f>
        <v/>
      </c>
      <c r="C18305" t="inlineStr">
        <is>
          <t>1949-12-25</t>
        </is>
      </c>
    </row>
    <row r="18306">
      <c r="A18306" s="1" t="n">
        <v>18305</v>
      </c>
      <c r="B18306">
        <f>TEXT(18305, "[$-0E0000]yyyy-mm-dd")</f>
        <v/>
      </c>
      <c r="C18306" t="inlineStr">
        <is>
          <t>1949-12-26</t>
        </is>
      </c>
    </row>
    <row r="18307">
      <c r="A18307" s="1" t="n">
        <v>18306</v>
      </c>
      <c r="B18307">
        <f>TEXT(18306, "[$-0E0000]yyyy-mm-dd")</f>
        <v/>
      </c>
      <c r="C18307" t="inlineStr">
        <is>
          <t>1949-12-27</t>
        </is>
      </c>
    </row>
    <row r="18308">
      <c r="A18308" s="1" t="n">
        <v>18307</v>
      </c>
      <c r="B18308">
        <f>TEXT(18307, "[$-0E0000]yyyy-mm-dd")</f>
        <v/>
      </c>
      <c r="C18308" t="inlineStr">
        <is>
          <t>1949-12-28</t>
        </is>
      </c>
    </row>
    <row r="18309">
      <c r="A18309" s="1" t="n">
        <v>18308</v>
      </c>
      <c r="B18309">
        <f>TEXT(18308, "[$-0E0000]yyyy-mm-dd")</f>
        <v/>
      </c>
      <c r="C18309" t="inlineStr">
        <is>
          <t>1949-12-29</t>
        </is>
      </c>
    </row>
    <row r="18310">
      <c r="A18310" s="1" t="n">
        <v>18309</v>
      </c>
      <c r="B18310">
        <f>TEXT(18309, "[$-0E0000]yyyy-mm-dd")</f>
        <v/>
      </c>
      <c r="C18310" t="inlineStr">
        <is>
          <t>1949-12-30</t>
        </is>
      </c>
    </row>
    <row r="18311">
      <c r="A18311" s="1" t="n">
        <v>18310</v>
      </c>
      <c r="B18311">
        <f>TEXT(18310, "[$-0E0000]yyyy-mm-dd")</f>
        <v/>
      </c>
      <c r="C18311" t="inlineStr">
        <is>
          <t>1950-01-01</t>
        </is>
      </c>
    </row>
    <row r="18312">
      <c r="A18312" s="1" t="n">
        <v>18311</v>
      </c>
      <c r="B18312">
        <f>TEXT(18311, "[$-0E0000]yyyy-mm-dd")</f>
        <v/>
      </c>
      <c r="C18312" t="inlineStr">
        <is>
          <t>1950-01-02</t>
        </is>
      </c>
    </row>
    <row r="18313">
      <c r="A18313" s="1" t="n">
        <v>18312</v>
      </c>
      <c r="B18313">
        <f>TEXT(18312, "[$-0E0000]yyyy-mm-dd")</f>
        <v/>
      </c>
      <c r="C18313" t="inlineStr">
        <is>
          <t>1950-01-03</t>
        </is>
      </c>
    </row>
    <row r="18314">
      <c r="A18314" s="1" t="n">
        <v>18313</v>
      </c>
      <c r="B18314">
        <f>TEXT(18313, "[$-0E0000]yyyy-mm-dd")</f>
        <v/>
      </c>
      <c r="C18314" t="inlineStr">
        <is>
          <t>1950-01-04</t>
        </is>
      </c>
    </row>
    <row r="18315">
      <c r="A18315" s="1" t="n">
        <v>18314</v>
      </c>
      <c r="B18315">
        <f>TEXT(18314, "[$-0E0000]yyyy-mm-dd")</f>
        <v/>
      </c>
      <c r="C18315" t="inlineStr">
        <is>
          <t>1950-01-05</t>
        </is>
      </c>
    </row>
    <row r="18316">
      <c r="A18316" s="1" t="n">
        <v>18315</v>
      </c>
      <c r="B18316">
        <f>TEXT(18315, "[$-0E0000]yyyy-mm-dd")</f>
        <v/>
      </c>
      <c r="C18316" t="inlineStr">
        <is>
          <t>1950-01-06</t>
        </is>
      </c>
    </row>
    <row r="18317">
      <c r="A18317" s="1" t="n">
        <v>18316</v>
      </c>
      <c r="B18317">
        <f>TEXT(18316, "[$-0E0000]yyyy-mm-dd")</f>
        <v/>
      </c>
      <c r="C18317" t="inlineStr">
        <is>
          <t>1950-01-07</t>
        </is>
      </c>
    </row>
    <row r="18318">
      <c r="A18318" s="1" t="n">
        <v>18317</v>
      </c>
      <c r="B18318">
        <f>TEXT(18317, "[$-0E0000]yyyy-mm-dd")</f>
        <v/>
      </c>
      <c r="C18318" t="inlineStr">
        <is>
          <t>1950-01-08</t>
        </is>
      </c>
    </row>
    <row r="18319">
      <c r="A18319" s="1" t="n">
        <v>18318</v>
      </c>
      <c r="B18319">
        <f>TEXT(18318, "[$-0E0000]yyyy-mm-dd")</f>
        <v/>
      </c>
      <c r="C18319" t="inlineStr">
        <is>
          <t>1950-01-09</t>
        </is>
      </c>
    </row>
    <row r="18320">
      <c r="A18320" s="1" t="n">
        <v>18319</v>
      </c>
      <c r="B18320">
        <f>TEXT(18319, "[$-0E0000]yyyy-mm-dd")</f>
        <v/>
      </c>
      <c r="C18320" t="inlineStr">
        <is>
          <t>1950-01-10</t>
        </is>
      </c>
    </row>
    <row r="18321">
      <c r="A18321" s="1" t="n">
        <v>18320</v>
      </c>
      <c r="B18321">
        <f>TEXT(18320, "[$-0E0000]yyyy-mm-dd")</f>
        <v/>
      </c>
      <c r="C18321" t="inlineStr">
        <is>
          <t>1950-01-11</t>
        </is>
      </c>
    </row>
    <row r="18322">
      <c r="A18322" s="1" t="n">
        <v>18321</v>
      </c>
      <c r="B18322">
        <f>TEXT(18321, "[$-0E0000]yyyy-mm-dd")</f>
        <v/>
      </c>
      <c r="C18322" t="inlineStr">
        <is>
          <t>1950-01-12</t>
        </is>
      </c>
    </row>
    <row r="18323">
      <c r="A18323" s="1" t="n">
        <v>18322</v>
      </c>
      <c r="B18323">
        <f>TEXT(18322, "[$-0E0000]yyyy-mm-dd")</f>
        <v/>
      </c>
      <c r="C18323" t="inlineStr">
        <is>
          <t>1950-01-13</t>
        </is>
      </c>
    </row>
    <row r="18324">
      <c r="A18324" s="1" t="n">
        <v>18323</v>
      </c>
      <c r="B18324">
        <f>TEXT(18323, "[$-0E0000]yyyy-mm-dd")</f>
        <v/>
      </c>
      <c r="C18324" t="inlineStr">
        <is>
          <t>1950-01-14</t>
        </is>
      </c>
    </row>
    <row r="18325">
      <c r="A18325" s="1" t="n">
        <v>18324</v>
      </c>
      <c r="B18325">
        <f>TEXT(18324, "[$-0E0000]yyyy-mm-dd")</f>
        <v/>
      </c>
      <c r="C18325" t="inlineStr">
        <is>
          <t>1950-01-15</t>
        </is>
      </c>
    </row>
    <row r="18326">
      <c r="A18326" s="1" t="n">
        <v>18325</v>
      </c>
      <c r="B18326">
        <f>TEXT(18325, "[$-0E0000]yyyy-mm-dd")</f>
        <v/>
      </c>
      <c r="C18326" t="inlineStr">
        <is>
          <t>1950-01-16</t>
        </is>
      </c>
    </row>
    <row r="18327">
      <c r="A18327" s="1" t="n">
        <v>18326</v>
      </c>
      <c r="B18327">
        <f>TEXT(18326, "[$-0E0000]yyyy-mm-dd")</f>
        <v/>
      </c>
      <c r="C18327" t="inlineStr">
        <is>
          <t>1950-01-17</t>
        </is>
      </c>
    </row>
    <row r="18328">
      <c r="A18328" s="1" t="n">
        <v>18327</v>
      </c>
      <c r="B18328">
        <f>TEXT(18327, "[$-0E0000]yyyy-mm-dd")</f>
        <v/>
      </c>
      <c r="C18328" t="inlineStr">
        <is>
          <t>1950-01-18</t>
        </is>
      </c>
    </row>
    <row r="18329">
      <c r="A18329" s="1" t="n">
        <v>18328</v>
      </c>
      <c r="B18329">
        <f>TEXT(18328, "[$-0E0000]yyyy-mm-dd")</f>
        <v/>
      </c>
      <c r="C18329" t="inlineStr">
        <is>
          <t>1950-01-19</t>
        </is>
      </c>
    </row>
    <row r="18330">
      <c r="A18330" s="1" t="n">
        <v>18329</v>
      </c>
      <c r="B18330">
        <f>TEXT(18329, "[$-0E0000]yyyy-mm-dd")</f>
        <v/>
      </c>
      <c r="C18330" t="inlineStr">
        <is>
          <t>1950-01-20</t>
        </is>
      </c>
    </row>
    <row r="18331">
      <c r="A18331" s="1" t="n">
        <v>18330</v>
      </c>
      <c r="B18331">
        <f>TEXT(18330, "[$-0E0000]yyyy-mm-dd")</f>
        <v/>
      </c>
      <c r="C18331" t="inlineStr">
        <is>
          <t>1950-01-21</t>
        </is>
      </c>
    </row>
    <row r="18332">
      <c r="A18332" s="1" t="n">
        <v>18331</v>
      </c>
      <c r="B18332">
        <f>TEXT(18331, "[$-0E0000]yyyy-mm-dd")</f>
        <v/>
      </c>
      <c r="C18332" t="inlineStr">
        <is>
          <t>1950-01-22</t>
        </is>
      </c>
    </row>
    <row r="18333">
      <c r="A18333" s="1" t="n">
        <v>18332</v>
      </c>
      <c r="B18333">
        <f>TEXT(18332, "[$-0E0000]yyyy-mm-dd")</f>
        <v/>
      </c>
      <c r="C18333" t="inlineStr">
        <is>
          <t>1950-01-23</t>
        </is>
      </c>
    </row>
    <row r="18334">
      <c r="A18334" s="1" t="n">
        <v>18333</v>
      </c>
      <c r="B18334">
        <f>TEXT(18333, "[$-0E0000]yyyy-mm-dd")</f>
        <v/>
      </c>
      <c r="C18334" t="inlineStr">
        <is>
          <t>1950-01-24</t>
        </is>
      </c>
    </row>
    <row r="18335">
      <c r="A18335" s="1" t="n">
        <v>18334</v>
      </c>
      <c r="B18335">
        <f>TEXT(18334, "[$-0E0000]yyyy-mm-dd")</f>
        <v/>
      </c>
      <c r="C18335" t="inlineStr">
        <is>
          <t>1950-01-25</t>
        </is>
      </c>
    </row>
    <row r="18336">
      <c r="A18336" s="1" t="n">
        <v>18335</v>
      </c>
      <c r="B18336">
        <f>TEXT(18335, "[$-0E0000]yyyy-mm-dd")</f>
        <v/>
      </c>
      <c r="C18336" t="inlineStr">
        <is>
          <t>1950-01-26</t>
        </is>
      </c>
    </row>
    <row r="18337">
      <c r="A18337" s="1" t="n">
        <v>18336</v>
      </c>
      <c r="B18337">
        <f>TEXT(18336, "[$-0E0000]yyyy-mm-dd")</f>
        <v/>
      </c>
      <c r="C18337" t="inlineStr">
        <is>
          <t>1950-01-27</t>
        </is>
      </c>
    </row>
    <row r="18338">
      <c r="A18338" s="1" t="n">
        <v>18337</v>
      </c>
      <c r="B18338">
        <f>TEXT(18337, "[$-0E0000]yyyy-mm-dd")</f>
        <v/>
      </c>
      <c r="C18338" t="inlineStr">
        <is>
          <t>1950-01-28</t>
        </is>
      </c>
    </row>
    <row r="18339">
      <c r="A18339" s="1" t="n">
        <v>18338</v>
      </c>
      <c r="B18339">
        <f>TEXT(18338, "[$-0E0000]yyyy-mm-dd")</f>
        <v/>
      </c>
      <c r="C18339" t="inlineStr">
        <is>
          <t>1950-01-29</t>
        </is>
      </c>
    </row>
    <row r="18340">
      <c r="A18340" s="1" t="n">
        <v>18339</v>
      </c>
      <c r="B18340">
        <f>TEXT(18339, "[$-0E0000]yyyy-mm-dd")</f>
        <v/>
      </c>
      <c r="C18340" t="inlineStr">
        <is>
          <t>1950-02-01</t>
        </is>
      </c>
    </row>
    <row r="18341">
      <c r="A18341" s="1" t="n">
        <v>18340</v>
      </c>
      <c r="B18341">
        <f>TEXT(18340, "[$-0E0000]yyyy-mm-dd")</f>
        <v/>
      </c>
      <c r="C18341" t="inlineStr">
        <is>
          <t>1950-02-02</t>
        </is>
      </c>
    </row>
    <row r="18342">
      <c r="A18342" s="1" t="n">
        <v>18341</v>
      </c>
      <c r="B18342">
        <f>TEXT(18341, "[$-0E0000]yyyy-mm-dd")</f>
        <v/>
      </c>
      <c r="C18342" t="inlineStr">
        <is>
          <t>1950-02-03</t>
        </is>
      </c>
    </row>
    <row r="18343">
      <c r="A18343" s="1" t="n">
        <v>18342</v>
      </c>
      <c r="B18343">
        <f>TEXT(18342, "[$-0E0000]yyyy-mm-dd")</f>
        <v/>
      </c>
      <c r="C18343" t="inlineStr">
        <is>
          <t>1950-02-04</t>
        </is>
      </c>
    </row>
    <row r="18344">
      <c r="A18344" s="1" t="n">
        <v>18343</v>
      </c>
      <c r="B18344">
        <f>TEXT(18343, "[$-0E0000]yyyy-mm-dd")</f>
        <v/>
      </c>
      <c r="C18344" t="inlineStr">
        <is>
          <t>1950-02-05</t>
        </is>
      </c>
    </row>
    <row r="18345">
      <c r="A18345" s="1" t="n">
        <v>18344</v>
      </c>
      <c r="B18345">
        <f>TEXT(18344, "[$-0E0000]yyyy-mm-dd")</f>
        <v/>
      </c>
      <c r="C18345" t="inlineStr">
        <is>
          <t>1950-02-06</t>
        </is>
      </c>
    </row>
    <row r="18346">
      <c r="A18346" s="1" t="n">
        <v>18345</v>
      </c>
      <c r="B18346">
        <f>TEXT(18345, "[$-0E0000]yyyy-mm-dd")</f>
        <v/>
      </c>
      <c r="C18346" t="inlineStr">
        <is>
          <t>1950-02-07</t>
        </is>
      </c>
    </row>
    <row r="18347">
      <c r="A18347" s="1" t="n">
        <v>18346</v>
      </c>
      <c r="B18347">
        <f>TEXT(18346, "[$-0E0000]yyyy-mm-dd")</f>
        <v/>
      </c>
      <c r="C18347" t="inlineStr">
        <is>
          <t>1950-02-08</t>
        </is>
      </c>
    </row>
    <row r="18348">
      <c r="A18348" s="1" t="n">
        <v>18347</v>
      </c>
      <c r="B18348">
        <f>TEXT(18347, "[$-0E0000]yyyy-mm-dd")</f>
        <v/>
      </c>
      <c r="C18348" t="inlineStr">
        <is>
          <t>1950-02-09</t>
        </is>
      </c>
    </row>
    <row r="18349">
      <c r="A18349" s="1" t="n">
        <v>18348</v>
      </c>
      <c r="B18349">
        <f>TEXT(18348, "[$-0E0000]yyyy-mm-dd")</f>
        <v/>
      </c>
      <c r="C18349" t="inlineStr">
        <is>
          <t>1950-02-10</t>
        </is>
      </c>
    </row>
    <row r="18350">
      <c r="A18350" s="1" t="n">
        <v>18349</v>
      </c>
      <c r="B18350">
        <f>TEXT(18349, "[$-0E0000]yyyy-mm-dd")</f>
        <v/>
      </c>
      <c r="C18350" t="inlineStr">
        <is>
          <t>1950-02-11</t>
        </is>
      </c>
    </row>
    <row r="18351">
      <c r="A18351" s="1" t="n">
        <v>18350</v>
      </c>
      <c r="B18351">
        <f>TEXT(18350, "[$-0E0000]yyyy-mm-dd")</f>
        <v/>
      </c>
      <c r="C18351" t="inlineStr">
        <is>
          <t>1950-02-12</t>
        </is>
      </c>
    </row>
    <row r="18352">
      <c r="A18352" s="1" t="n">
        <v>18351</v>
      </c>
      <c r="B18352">
        <f>TEXT(18351, "[$-0E0000]yyyy-mm-dd")</f>
        <v/>
      </c>
      <c r="C18352" t="inlineStr">
        <is>
          <t>1950-02-13</t>
        </is>
      </c>
    </row>
    <row r="18353">
      <c r="A18353" s="1" t="n">
        <v>18352</v>
      </c>
      <c r="B18353">
        <f>TEXT(18352, "[$-0E0000]yyyy-mm-dd")</f>
        <v/>
      </c>
      <c r="C18353" t="inlineStr">
        <is>
          <t>1950-02-14</t>
        </is>
      </c>
    </row>
    <row r="18354">
      <c r="A18354" s="1" t="n">
        <v>18353</v>
      </c>
      <c r="B18354">
        <f>TEXT(18353, "[$-0E0000]yyyy-mm-dd")</f>
        <v/>
      </c>
      <c r="C18354" t="inlineStr">
        <is>
          <t>1950-02-15</t>
        </is>
      </c>
    </row>
    <row r="18355">
      <c r="A18355" s="1" t="n">
        <v>18354</v>
      </c>
      <c r="B18355">
        <f>TEXT(18354, "[$-0E0000]yyyy-mm-dd")</f>
        <v/>
      </c>
      <c r="C18355" t="inlineStr">
        <is>
          <t>1950-02-16</t>
        </is>
      </c>
    </row>
    <row r="18356">
      <c r="A18356" s="1" t="n">
        <v>18355</v>
      </c>
      <c r="B18356">
        <f>TEXT(18355, "[$-0E0000]yyyy-mm-dd")</f>
        <v/>
      </c>
      <c r="C18356" t="inlineStr">
        <is>
          <t>1950-02-17</t>
        </is>
      </c>
    </row>
    <row r="18357">
      <c r="A18357" s="1" t="n">
        <v>18356</v>
      </c>
      <c r="B18357">
        <f>TEXT(18356, "[$-0E0000]yyyy-mm-dd")</f>
        <v/>
      </c>
      <c r="C18357" t="inlineStr">
        <is>
          <t>1950-02-18</t>
        </is>
      </c>
    </row>
    <row r="18358">
      <c r="A18358" s="1" t="n">
        <v>18357</v>
      </c>
      <c r="B18358">
        <f>TEXT(18357, "[$-0E0000]yyyy-mm-dd")</f>
        <v/>
      </c>
      <c r="C18358" t="inlineStr">
        <is>
          <t>1950-02-19</t>
        </is>
      </c>
    </row>
    <row r="18359">
      <c r="A18359" s="1" t="n">
        <v>18358</v>
      </c>
      <c r="B18359">
        <f>TEXT(18358, "[$-0E0000]yyyy-mm-dd")</f>
        <v/>
      </c>
      <c r="C18359" t="inlineStr">
        <is>
          <t>1950-02-20</t>
        </is>
      </c>
    </row>
    <row r="18360">
      <c r="A18360" s="1" t="n">
        <v>18359</v>
      </c>
      <c r="B18360">
        <f>TEXT(18359, "[$-0E0000]yyyy-mm-dd")</f>
        <v/>
      </c>
      <c r="C18360" t="inlineStr">
        <is>
          <t>1950-02-21</t>
        </is>
      </c>
    </row>
    <row r="18361">
      <c r="A18361" s="1" t="n">
        <v>18360</v>
      </c>
      <c r="B18361">
        <f>TEXT(18360, "[$-0E0000]yyyy-mm-dd")</f>
        <v/>
      </c>
      <c r="C18361" t="inlineStr">
        <is>
          <t>1950-02-22</t>
        </is>
      </c>
    </row>
    <row r="18362">
      <c r="A18362" s="1" t="n">
        <v>18361</v>
      </c>
      <c r="B18362">
        <f>TEXT(18361, "[$-0E0000]yyyy-mm-dd")</f>
        <v/>
      </c>
      <c r="C18362" t="inlineStr">
        <is>
          <t>1950-02-23</t>
        </is>
      </c>
    </row>
    <row r="18363">
      <c r="A18363" s="1" t="n">
        <v>18362</v>
      </c>
      <c r="B18363">
        <f>TEXT(18362, "[$-0E0000]yyyy-mm-dd")</f>
        <v/>
      </c>
      <c r="C18363" t="inlineStr">
        <is>
          <t>1950-02-24</t>
        </is>
      </c>
    </row>
    <row r="18364">
      <c r="A18364" s="1" t="n">
        <v>18363</v>
      </c>
      <c r="B18364">
        <f>TEXT(18363, "[$-0E0000]yyyy-mm-dd")</f>
        <v/>
      </c>
      <c r="C18364" t="inlineStr">
        <is>
          <t>1950-02-25</t>
        </is>
      </c>
    </row>
    <row r="18365">
      <c r="A18365" s="1" t="n">
        <v>18364</v>
      </c>
      <c r="B18365">
        <f>TEXT(18364, "[$-0E0000]yyyy-mm-dd")</f>
        <v/>
      </c>
      <c r="C18365" t="inlineStr">
        <is>
          <t>1950-02-26</t>
        </is>
      </c>
    </row>
    <row r="18366">
      <c r="A18366" s="1" t="n">
        <v>18365</v>
      </c>
      <c r="B18366">
        <f>TEXT(18365, "[$-0E0000]yyyy-mm-dd")</f>
        <v/>
      </c>
      <c r="C18366" t="inlineStr">
        <is>
          <t>1950-02-27</t>
        </is>
      </c>
    </row>
    <row r="18367">
      <c r="A18367" s="1" t="n">
        <v>18366</v>
      </c>
      <c r="B18367">
        <f>TEXT(18366, "[$-0E0000]yyyy-mm-dd")</f>
        <v/>
      </c>
      <c r="C18367" t="inlineStr">
        <is>
          <t>1950-02-28</t>
        </is>
      </c>
    </row>
    <row r="18368">
      <c r="A18368" s="1" t="n">
        <v>18367</v>
      </c>
      <c r="B18368">
        <f>TEXT(18367, "[$-0E0000]yyyy-mm-dd")</f>
        <v/>
      </c>
      <c r="C18368" t="inlineStr">
        <is>
          <t>1950-02-29</t>
        </is>
      </c>
    </row>
    <row r="18369">
      <c r="A18369" s="1" t="n">
        <v>18368</v>
      </c>
      <c r="B18369">
        <f>TEXT(18368, "[$-0E0000]yyyy-mm-dd")</f>
        <v/>
      </c>
      <c r="C18369" t="inlineStr">
        <is>
          <t>1950-02-30</t>
        </is>
      </c>
    </row>
    <row r="18370">
      <c r="A18370" s="1" t="n">
        <v>18369</v>
      </c>
      <c r="B18370">
        <f>TEXT(18369, "[$-0E0000]yyyy-mm-dd")</f>
        <v/>
      </c>
      <c r="C18370" t="inlineStr">
        <is>
          <t>1950-03-01</t>
        </is>
      </c>
    </row>
    <row r="18371">
      <c r="A18371" s="1" t="n">
        <v>18370</v>
      </c>
      <c r="B18371">
        <f>TEXT(18370, "[$-0E0000]yyyy-mm-dd")</f>
        <v/>
      </c>
      <c r="C18371" t="inlineStr">
        <is>
          <t>1950-03-02</t>
        </is>
      </c>
    </row>
    <row r="18372">
      <c r="A18372" s="1" t="n">
        <v>18371</v>
      </c>
      <c r="B18372">
        <f>TEXT(18371, "[$-0E0000]yyyy-mm-dd")</f>
        <v/>
      </c>
      <c r="C18372" t="inlineStr">
        <is>
          <t>1950-03-03</t>
        </is>
      </c>
    </row>
    <row r="18373">
      <c r="A18373" s="1" t="n">
        <v>18372</v>
      </c>
      <c r="B18373">
        <f>TEXT(18372, "[$-0E0000]yyyy-mm-dd")</f>
        <v/>
      </c>
      <c r="C18373" t="inlineStr">
        <is>
          <t>1950-03-04</t>
        </is>
      </c>
    </row>
    <row r="18374">
      <c r="A18374" s="1" t="n">
        <v>18373</v>
      </c>
      <c r="B18374">
        <f>TEXT(18373, "[$-0E0000]yyyy-mm-dd")</f>
        <v/>
      </c>
      <c r="C18374" t="inlineStr">
        <is>
          <t>1950-03-05</t>
        </is>
      </c>
    </row>
    <row r="18375">
      <c r="A18375" s="1" t="n">
        <v>18374</v>
      </c>
      <c r="B18375">
        <f>TEXT(18374, "[$-0E0000]yyyy-mm-dd")</f>
        <v/>
      </c>
      <c r="C18375" t="inlineStr">
        <is>
          <t>1950-03-06</t>
        </is>
      </c>
    </row>
    <row r="18376">
      <c r="A18376" s="1" t="n">
        <v>18375</v>
      </c>
      <c r="B18376">
        <f>TEXT(18375, "[$-0E0000]yyyy-mm-dd")</f>
        <v/>
      </c>
      <c r="C18376" t="inlineStr">
        <is>
          <t>1950-03-07</t>
        </is>
      </c>
    </row>
    <row r="18377">
      <c r="A18377" s="1" t="n">
        <v>18376</v>
      </c>
      <c r="B18377">
        <f>TEXT(18376, "[$-0E0000]yyyy-mm-dd")</f>
        <v/>
      </c>
      <c r="C18377" t="inlineStr">
        <is>
          <t>1950-03-08</t>
        </is>
      </c>
    </row>
    <row r="18378">
      <c r="A18378" s="1" t="n">
        <v>18377</v>
      </c>
      <c r="B18378">
        <f>TEXT(18377, "[$-0E0000]yyyy-mm-dd")</f>
        <v/>
      </c>
      <c r="C18378" t="inlineStr">
        <is>
          <t>1950-03-09</t>
        </is>
      </c>
    </row>
    <row r="18379">
      <c r="A18379" s="1" t="n">
        <v>18378</v>
      </c>
      <c r="B18379">
        <f>TEXT(18378, "[$-0E0000]yyyy-mm-dd")</f>
        <v/>
      </c>
      <c r="C18379" t="inlineStr">
        <is>
          <t>1950-03-10</t>
        </is>
      </c>
    </row>
    <row r="18380">
      <c r="A18380" s="1" t="n">
        <v>18379</v>
      </c>
      <c r="B18380">
        <f>TEXT(18379, "[$-0E0000]yyyy-mm-dd")</f>
        <v/>
      </c>
      <c r="C18380" t="inlineStr">
        <is>
          <t>1950-03-11</t>
        </is>
      </c>
    </row>
    <row r="18381">
      <c r="A18381" s="1" t="n">
        <v>18380</v>
      </c>
      <c r="B18381">
        <f>TEXT(18380, "[$-0E0000]yyyy-mm-dd")</f>
        <v/>
      </c>
      <c r="C18381" t="inlineStr">
        <is>
          <t>1950-03-12</t>
        </is>
      </c>
    </row>
    <row r="18382">
      <c r="A18382" s="1" t="n">
        <v>18381</v>
      </c>
      <c r="B18382">
        <f>TEXT(18381, "[$-0E0000]yyyy-mm-dd")</f>
        <v/>
      </c>
      <c r="C18382" t="inlineStr">
        <is>
          <t>1950-03-13</t>
        </is>
      </c>
    </row>
    <row r="18383">
      <c r="A18383" s="1" t="n">
        <v>18382</v>
      </c>
      <c r="B18383">
        <f>TEXT(18382, "[$-0E0000]yyyy-mm-dd")</f>
        <v/>
      </c>
      <c r="C18383" t="inlineStr">
        <is>
          <t>1950-03-14</t>
        </is>
      </c>
    </row>
    <row r="18384">
      <c r="A18384" s="1" t="n">
        <v>18383</v>
      </c>
      <c r="B18384">
        <f>TEXT(18383, "[$-0E0000]yyyy-mm-dd")</f>
        <v/>
      </c>
      <c r="C18384" t="inlineStr">
        <is>
          <t>1950-03-15</t>
        </is>
      </c>
    </row>
    <row r="18385">
      <c r="A18385" s="1" t="n">
        <v>18384</v>
      </c>
      <c r="B18385">
        <f>TEXT(18384, "[$-0E0000]yyyy-mm-dd")</f>
        <v/>
      </c>
      <c r="C18385" t="inlineStr">
        <is>
          <t>1950-03-16</t>
        </is>
      </c>
    </row>
    <row r="18386">
      <c r="A18386" s="1" t="n">
        <v>18385</v>
      </c>
      <c r="B18386">
        <f>TEXT(18385, "[$-0E0000]yyyy-mm-dd")</f>
        <v/>
      </c>
      <c r="C18386" t="inlineStr">
        <is>
          <t>1950-03-17</t>
        </is>
      </c>
    </row>
    <row r="18387">
      <c r="A18387" s="1" t="n">
        <v>18386</v>
      </c>
      <c r="B18387">
        <f>TEXT(18386, "[$-0E0000]yyyy-mm-dd")</f>
        <v/>
      </c>
      <c r="C18387" t="inlineStr">
        <is>
          <t>1950-03-18</t>
        </is>
      </c>
    </row>
    <row r="18388">
      <c r="A18388" s="1" t="n">
        <v>18387</v>
      </c>
      <c r="B18388">
        <f>TEXT(18387, "[$-0E0000]yyyy-mm-dd")</f>
        <v/>
      </c>
      <c r="C18388" t="inlineStr">
        <is>
          <t>1950-03-19</t>
        </is>
      </c>
    </row>
    <row r="18389">
      <c r="A18389" s="1" t="n">
        <v>18388</v>
      </c>
      <c r="B18389">
        <f>TEXT(18388, "[$-0E0000]yyyy-mm-dd")</f>
        <v/>
      </c>
      <c r="C18389" t="inlineStr">
        <is>
          <t>1950-03-20</t>
        </is>
      </c>
    </row>
    <row r="18390">
      <c r="A18390" s="1" t="n">
        <v>18389</v>
      </c>
      <c r="B18390">
        <f>TEXT(18389, "[$-0E0000]yyyy-mm-dd")</f>
        <v/>
      </c>
      <c r="C18390" t="inlineStr">
        <is>
          <t>1950-03-21</t>
        </is>
      </c>
    </row>
    <row r="18391">
      <c r="A18391" s="1" t="n">
        <v>18390</v>
      </c>
      <c r="B18391">
        <f>TEXT(18390, "[$-0E0000]yyyy-mm-dd")</f>
        <v/>
      </c>
      <c r="C18391" t="inlineStr">
        <is>
          <t>1950-03-22</t>
        </is>
      </c>
    </row>
    <row r="18392">
      <c r="A18392" s="1" t="n">
        <v>18391</v>
      </c>
      <c r="B18392">
        <f>TEXT(18391, "[$-0E0000]yyyy-mm-dd")</f>
        <v/>
      </c>
      <c r="C18392" t="inlineStr">
        <is>
          <t>1950-03-23</t>
        </is>
      </c>
    </row>
    <row r="18393">
      <c r="A18393" s="1" t="n">
        <v>18392</v>
      </c>
      <c r="B18393">
        <f>TEXT(18392, "[$-0E0000]yyyy-mm-dd")</f>
        <v/>
      </c>
      <c r="C18393" t="inlineStr">
        <is>
          <t>1950-03-24</t>
        </is>
      </c>
    </row>
    <row r="18394">
      <c r="A18394" s="1" t="n">
        <v>18393</v>
      </c>
      <c r="B18394">
        <f>TEXT(18393, "[$-0E0000]yyyy-mm-dd")</f>
        <v/>
      </c>
      <c r="C18394" t="inlineStr">
        <is>
          <t>1950-03-25</t>
        </is>
      </c>
    </row>
    <row r="18395">
      <c r="A18395" s="1" t="n">
        <v>18394</v>
      </c>
      <c r="B18395">
        <f>TEXT(18394, "[$-0E0000]yyyy-mm-dd")</f>
        <v/>
      </c>
      <c r="C18395" t="inlineStr">
        <is>
          <t>1950-03-26</t>
        </is>
      </c>
    </row>
    <row r="18396">
      <c r="A18396" s="1" t="n">
        <v>18395</v>
      </c>
      <c r="B18396">
        <f>TEXT(18395, "[$-0E0000]yyyy-mm-dd")</f>
        <v/>
      </c>
      <c r="C18396" t="inlineStr">
        <is>
          <t>1950-03-27</t>
        </is>
      </c>
    </row>
    <row r="18397">
      <c r="A18397" s="1" t="n">
        <v>18396</v>
      </c>
      <c r="B18397">
        <f>TEXT(18396, "[$-0E0000]yyyy-mm-dd")</f>
        <v/>
      </c>
      <c r="C18397" t="inlineStr">
        <is>
          <t>1950-03-28</t>
        </is>
      </c>
    </row>
    <row r="18398">
      <c r="A18398" s="1" t="n">
        <v>18397</v>
      </c>
      <c r="B18398">
        <f>TEXT(18397, "[$-0E0000]yyyy-mm-dd")</f>
        <v/>
      </c>
      <c r="C18398" t="inlineStr">
        <is>
          <t>1950-03-29</t>
        </is>
      </c>
    </row>
    <row r="18399">
      <c r="A18399" s="1" t="n">
        <v>18398</v>
      </c>
      <c r="B18399">
        <f>TEXT(18398, "[$-0E0000]yyyy-mm-dd")</f>
        <v/>
      </c>
      <c r="C18399" t="inlineStr">
        <is>
          <t>1950-03-30</t>
        </is>
      </c>
    </row>
    <row r="18400">
      <c r="A18400" s="1" t="n">
        <v>18399</v>
      </c>
      <c r="B18400">
        <f>TEXT(18399, "[$-0E0000]yyyy-mm-dd")</f>
        <v/>
      </c>
      <c r="C18400" t="inlineStr">
        <is>
          <t>1950-04-01</t>
        </is>
      </c>
    </row>
    <row r="18401">
      <c r="A18401" s="1" t="n">
        <v>18400</v>
      </c>
      <c r="B18401">
        <f>TEXT(18400, "[$-0E0000]yyyy-mm-dd")</f>
        <v/>
      </c>
      <c r="C18401" t="inlineStr">
        <is>
          <t>1950-04-02</t>
        </is>
      </c>
    </row>
    <row r="18402">
      <c r="A18402" s="1" t="n">
        <v>18401</v>
      </c>
      <c r="B18402">
        <f>TEXT(18401, "[$-0E0000]yyyy-mm-dd")</f>
        <v/>
      </c>
      <c r="C18402" t="inlineStr">
        <is>
          <t>1950-04-03</t>
        </is>
      </c>
    </row>
    <row r="18403">
      <c r="A18403" s="1" t="n">
        <v>18402</v>
      </c>
      <c r="B18403">
        <f>TEXT(18402, "[$-0E0000]yyyy-mm-dd")</f>
        <v/>
      </c>
      <c r="C18403" t="inlineStr">
        <is>
          <t>1950-04-04</t>
        </is>
      </c>
    </row>
    <row r="18404">
      <c r="A18404" s="1" t="n">
        <v>18403</v>
      </c>
      <c r="B18404">
        <f>TEXT(18403, "[$-0E0000]yyyy-mm-dd")</f>
        <v/>
      </c>
      <c r="C18404" t="inlineStr">
        <is>
          <t>1950-04-05</t>
        </is>
      </c>
    </row>
    <row r="18405">
      <c r="A18405" s="1" t="n">
        <v>18404</v>
      </c>
      <c r="B18405">
        <f>TEXT(18404, "[$-0E0000]yyyy-mm-dd")</f>
        <v/>
      </c>
      <c r="C18405" t="inlineStr">
        <is>
          <t>1950-04-06</t>
        </is>
      </c>
    </row>
    <row r="18406">
      <c r="A18406" s="1" t="n">
        <v>18405</v>
      </c>
      <c r="B18406">
        <f>TEXT(18405, "[$-0E0000]yyyy-mm-dd")</f>
        <v/>
      </c>
      <c r="C18406" t="inlineStr">
        <is>
          <t>1950-04-07</t>
        </is>
      </c>
    </row>
    <row r="18407">
      <c r="A18407" s="1" t="n">
        <v>18406</v>
      </c>
      <c r="B18407">
        <f>TEXT(18406, "[$-0E0000]yyyy-mm-dd")</f>
        <v/>
      </c>
      <c r="C18407" t="inlineStr">
        <is>
          <t>1950-04-08</t>
        </is>
      </c>
    </row>
    <row r="18408">
      <c r="A18408" s="1" t="n">
        <v>18407</v>
      </c>
      <c r="B18408">
        <f>TEXT(18407, "[$-0E0000]yyyy-mm-dd")</f>
        <v/>
      </c>
      <c r="C18408" t="inlineStr">
        <is>
          <t>1950-04-09</t>
        </is>
      </c>
    </row>
    <row r="18409">
      <c r="A18409" s="1" t="n">
        <v>18408</v>
      </c>
      <c r="B18409">
        <f>TEXT(18408, "[$-0E0000]yyyy-mm-dd")</f>
        <v/>
      </c>
      <c r="C18409" t="inlineStr">
        <is>
          <t>1950-04-10</t>
        </is>
      </c>
    </row>
    <row r="18410">
      <c r="A18410" s="1" t="n">
        <v>18409</v>
      </c>
      <c r="B18410">
        <f>TEXT(18409, "[$-0E0000]yyyy-mm-dd")</f>
        <v/>
      </c>
      <c r="C18410" t="inlineStr">
        <is>
          <t>1950-04-11</t>
        </is>
      </c>
    </row>
    <row r="18411">
      <c r="A18411" s="1" t="n">
        <v>18410</v>
      </c>
      <c r="B18411">
        <f>TEXT(18410, "[$-0E0000]yyyy-mm-dd")</f>
        <v/>
      </c>
      <c r="C18411" t="inlineStr">
        <is>
          <t>1950-04-12</t>
        </is>
      </c>
    </row>
    <row r="18412">
      <c r="A18412" s="1" t="n">
        <v>18411</v>
      </c>
      <c r="B18412">
        <f>TEXT(18411, "[$-0E0000]yyyy-mm-dd")</f>
        <v/>
      </c>
      <c r="C18412" t="inlineStr">
        <is>
          <t>1950-04-13</t>
        </is>
      </c>
    </row>
    <row r="18413">
      <c r="A18413" s="1" t="n">
        <v>18412</v>
      </c>
      <c r="B18413">
        <f>TEXT(18412, "[$-0E0000]yyyy-mm-dd")</f>
        <v/>
      </c>
      <c r="C18413" t="inlineStr">
        <is>
          <t>1950-04-14</t>
        </is>
      </c>
    </row>
    <row r="18414">
      <c r="A18414" s="1" t="n">
        <v>18413</v>
      </c>
      <c r="B18414">
        <f>TEXT(18413, "[$-0E0000]yyyy-mm-dd")</f>
        <v/>
      </c>
      <c r="C18414" t="inlineStr">
        <is>
          <t>1950-04-15</t>
        </is>
      </c>
    </row>
    <row r="18415">
      <c r="A18415" s="1" t="n">
        <v>18414</v>
      </c>
      <c r="B18415">
        <f>TEXT(18414, "[$-0E0000]yyyy-mm-dd")</f>
        <v/>
      </c>
      <c r="C18415" t="inlineStr">
        <is>
          <t>1950-04-16</t>
        </is>
      </c>
    </row>
    <row r="18416">
      <c r="A18416" s="1" t="n">
        <v>18415</v>
      </c>
      <c r="B18416">
        <f>TEXT(18415, "[$-0E0000]yyyy-mm-dd")</f>
        <v/>
      </c>
      <c r="C18416" t="inlineStr">
        <is>
          <t>1950-04-17</t>
        </is>
      </c>
    </row>
    <row r="18417">
      <c r="A18417" s="1" t="n">
        <v>18416</v>
      </c>
      <c r="B18417">
        <f>TEXT(18416, "[$-0E0000]yyyy-mm-dd")</f>
        <v/>
      </c>
      <c r="C18417" t="inlineStr">
        <is>
          <t>1950-04-18</t>
        </is>
      </c>
    </row>
    <row r="18418">
      <c r="A18418" s="1" t="n">
        <v>18417</v>
      </c>
      <c r="B18418">
        <f>TEXT(18417, "[$-0E0000]yyyy-mm-dd")</f>
        <v/>
      </c>
      <c r="C18418" t="inlineStr">
        <is>
          <t>1950-04-19</t>
        </is>
      </c>
    </row>
    <row r="18419">
      <c r="A18419" s="1" t="n">
        <v>18418</v>
      </c>
      <c r="B18419">
        <f>TEXT(18418, "[$-0E0000]yyyy-mm-dd")</f>
        <v/>
      </c>
      <c r="C18419" t="inlineStr">
        <is>
          <t>1950-04-20</t>
        </is>
      </c>
    </row>
    <row r="18420">
      <c r="A18420" s="1" t="n">
        <v>18419</v>
      </c>
      <c r="B18420">
        <f>TEXT(18419, "[$-0E0000]yyyy-mm-dd")</f>
        <v/>
      </c>
      <c r="C18420" t="inlineStr">
        <is>
          <t>1950-04-21</t>
        </is>
      </c>
    </row>
    <row r="18421">
      <c r="A18421" s="1" t="n">
        <v>18420</v>
      </c>
      <c r="B18421">
        <f>TEXT(18420, "[$-0E0000]yyyy-mm-dd")</f>
        <v/>
      </c>
      <c r="C18421" t="inlineStr">
        <is>
          <t>1950-04-22</t>
        </is>
      </c>
    </row>
    <row r="18422">
      <c r="A18422" s="1" t="n">
        <v>18421</v>
      </c>
      <c r="B18422">
        <f>TEXT(18421, "[$-0E0000]yyyy-mm-dd")</f>
        <v/>
      </c>
      <c r="C18422" t="inlineStr">
        <is>
          <t>1950-04-23</t>
        </is>
      </c>
    </row>
    <row r="18423">
      <c r="A18423" s="1" t="n">
        <v>18422</v>
      </c>
      <c r="B18423">
        <f>TEXT(18422, "[$-0E0000]yyyy-mm-dd")</f>
        <v/>
      </c>
      <c r="C18423" t="inlineStr">
        <is>
          <t>1950-04-24</t>
        </is>
      </c>
    </row>
    <row r="18424">
      <c r="A18424" s="1" t="n">
        <v>18423</v>
      </c>
      <c r="B18424">
        <f>TEXT(18423, "[$-0E0000]yyyy-mm-dd")</f>
        <v/>
      </c>
      <c r="C18424" t="inlineStr">
        <is>
          <t>1950-04-25</t>
        </is>
      </c>
    </row>
    <row r="18425">
      <c r="A18425" s="1" t="n">
        <v>18424</v>
      </c>
      <c r="B18425">
        <f>TEXT(18424, "[$-0E0000]yyyy-mm-dd")</f>
        <v/>
      </c>
      <c r="C18425" t="inlineStr">
        <is>
          <t>1950-04-26</t>
        </is>
      </c>
    </row>
    <row r="18426">
      <c r="A18426" s="1" t="n">
        <v>18425</v>
      </c>
      <c r="B18426">
        <f>TEXT(18425, "[$-0E0000]yyyy-mm-dd")</f>
        <v/>
      </c>
      <c r="C18426" t="inlineStr">
        <is>
          <t>1950-04-27</t>
        </is>
      </c>
    </row>
    <row r="18427">
      <c r="A18427" s="1" t="n">
        <v>18426</v>
      </c>
      <c r="B18427">
        <f>TEXT(18426, "[$-0E0000]yyyy-mm-dd")</f>
        <v/>
      </c>
      <c r="C18427" t="inlineStr">
        <is>
          <t>1950-04-28</t>
        </is>
      </c>
    </row>
    <row r="18428">
      <c r="A18428" s="1" t="n">
        <v>18427</v>
      </c>
      <c r="B18428">
        <f>TEXT(18427, "[$-0E0000]yyyy-mm-dd")</f>
        <v/>
      </c>
      <c r="C18428" t="inlineStr">
        <is>
          <t>1950-04-29</t>
        </is>
      </c>
    </row>
    <row r="18429">
      <c r="A18429" s="1" t="n">
        <v>18428</v>
      </c>
      <c r="B18429">
        <f>TEXT(18428, "[$-0E0000]yyyy-mm-dd")</f>
        <v/>
      </c>
      <c r="C18429" t="inlineStr">
        <is>
          <t>1950-05-01</t>
        </is>
      </c>
    </row>
    <row r="18430">
      <c r="A18430" s="1" t="n">
        <v>18429</v>
      </c>
      <c r="B18430">
        <f>TEXT(18429, "[$-0E0000]yyyy-mm-dd")</f>
        <v/>
      </c>
      <c r="C18430" t="inlineStr">
        <is>
          <t>1950-05-02</t>
        </is>
      </c>
    </row>
    <row r="18431">
      <c r="A18431" s="1" t="n">
        <v>18430</v>
      </c>
      <c r="B18431">
        <f>TEXT(18430, "[$-0E0000]yyyy-mm-dd")</f>
        <v/>
      </c>
      <c r="C18431" t="inlineStr">
        <is>
          <t>1950-05-03</t>
        </is>
      </c>
    </row>
    <row r="18432">
      <c r="A18432" s="1" t="n">
        <v>18431</v>
      </c>
      <c r="B18432">
        <f>TEXT(18431, "[$-0E0000]yyyy-mm-dd")</f>
        <v/>
      </c>
      <c r="C18432" t="inlineStr">
        <is>
          <t>1950-05-04</t>
        </is>
      </c>
    </row>
    <row r="18433">
      <c r="A18433" s="1" t="n">
        <v>18432</v>
      </c>
      <c r="B18433">
        <f>TEXT(18432, "[$-0E0000]yyyy-mm-dd")</f>
        <v/>
      </c>
      <c r="C18433" t="inlineStr">
        <is>
          <t>1950-05-05</t>
        </is>
      </c>
    </row>
    <row r="18434">
      <c r="A18434" s="1" t="n">
        <v>18433</v>
      </c>
      <c r="B18434">
        <f>TEXT(18433, "[$-0E0000]yyyy-mm-dd")</f>
        <v/>
      </c>
      <c r="C18434" t="inlineStr">
        <is>
          <t>1950-05-06</t>
        </is>
      </c>
    </row>
    <row r="18435">
      <c r="A18435" s="1" t="n">
        <v>18434</v>
      </c>
      <c r="B18435">
        <f>TEXT(18434, "[$-0E0000]yyyy-mm-dd")</f>
        <v/>
      </c>
      <c r="C18435" t="inlineStr">
        <is>
          <t>1950-05-07</t>
        </is>
      </c>
    </row>
    <row r="18436">
      <c r="A18436" s="1" t="n">
        <v>18435</v>
      </c>
      <c r="B18436">
        <f>TEXT(18435, "[$-0E0000]yyyy-mm-dd")</f>
        <v/>
      </c>
      <c r="C18436" t="inlineStr">
        <is>
          <t>1950-05-08</t>
        </is>
      </c>
    </row>
    <row r="18437">
      <c r="A18437" s="1" t="n">
        <v>18436</v>
      </c>
      <c r="B18437">
        <f>TEXT(18436, "[$-0E0000]yyyy-mm-dd")</f>
        <v/>
      </c>
      <c r="C18437" t="inlineStr">
        <is>
          <t>1950-05-09</t>
        </is>
      </c>
    </row>
    <row r="18438">
      <c r="A18438" s="1" t="n">
        <v>18437</v>
      </c>
      <c r="B18438">
        <f>TEXT(18437, "[$-0E0000]yyyy-mm-dd")</f>
        <v/>
      </c>
      <c r="C18438" t="inlineStr">
        <is>
          <t>1950-05-10</t>
        </is>
      </c>
    </row>
    <row r="18439">
      <c r="A18439" s="1" t="n">
        <v>18438</v>
      </c>
      <c r="B18439">
        <f>TEXT(18438, "[$-0E0000]yyyy-mm-dd")</f>
        <v/>
      </c>
      <c r="C18439" t="inlineStr">
        <is>
          <t>1950-05-11</t>
        </is>
      </c>
    </row>
    <row r="18440">
      <c r="A18440" s="1" t="n">
        <v>18439</v>
      </c>
      <c r="B18440">
        <f>TEXT(18439, "[$-0E0000]yyyy-mm-dd")</f>
        <v/>
      </c>
      <c r="C18440" t="inlineStr">
        <is>
          <t>1950-05-12</t>
        </is>
      </c>
    </row>
    <row r="18441">
      <c r="A18441" s="1" t="n">
        <v>18440</v>
      </c>
      <c r="B18441">
        <f>TEXT(18440, "[$-0E0000]yyyy-mm-dd")</f>
        <v/>
      </c>
      <c r="C18441" t="inlineStr">
        <is>
          <t>1950-05-13</t>
        </is>
      </c>
    </row>
    <row r="18442">
      <c r="A18442" s="1" t="n">
        <v>18441</v>
      </c>
      <c r="B18442">
        <f>TEXT(18441, "[$-0E0000]yyyy-mm-dd")</f>
        <v/>
      </c>
      <c r="C18442" t="inlineStr">
        <is>
          <t>1950-05-14</t>
        </is>
      </c>
    </row>
    <row r="18443">
      <c r="A18443" s="1" t="n">
        <v>18442</v>
      </c>
      <c r="B18443">
        <f>TEXT(18442, "[$-0E0000]yyyy-mm-dd")</f>
        <v/>
      </c>
      <c r="C18443" t="inlineStr">
        <is>
          <t>1950-05-15</t>
        </is>
      </c>
    </row>
    <row r="18444">
      <c r="A18444" s="1" t="n">
        <v>18443</v>
      </c>
      <c r="B18444">
        <f>TEXT(18443, "[$-0E0000]yyyy-mm-dd")</f>
        <v/>
      </c>
      <c r="C18444" t="inlineStr">
        <is>
          <t>1950-05-16</t>
        </is>
      </c>
    </row>
    <row r="18445">
      <c r="A18445" s="1" t="n">
        <v>18444</v>
      </c>
      <c r="B18445">
        <f>TEXT(18444, "[$-0E0000]yyyy-mm-dd")</f>
        <v/>
      </c>
      <c r="C18445" t="inlineStr">
        <is>
          <t>1950-05-17</t>
        </is>
      </c>
    </row>
    <row r="18446">
      <c r="A18446" s="1" t="n">
        <v>18445</v>
      </c>
      <c r="B18446">
        <f>TEXT(18445, "[$-0E0000]yyyy-mm-dd")</f>
        <v/>
      </c>
      <c r="C18446" t="inlineStr">
        <is>
          <t>1950-05-18</t>
        </is>
      </c>
    </row>
    <row r="18447">
      <c r="A18447" s="1" t="n">
        <v>18446</v>
      </c>
      <c r="B18447">
        <f>TEXT(18446, "[$-0E0000]yyyy-mm-dd")</f>
        <v/>
      </c>
      <c r="C18447" t="inlineStr">
        <is>
          <t>1950-05-19</t>
        </is>
      </c>
    </row>
    <row r="18448">
      <c r="A18448" s="1" t="n">
        <v>18447</v>
      </c>
      <c r="B18448">
        <f>TEXT(18447, "[$-0E0000]yyyy-mm-dd")</f>
        <v/>
      </c>
      <c r="C18448" t="inlineStr">
        <is>
          <t>1950-05-20</t>
        </is>
      </c>
    </row>
    <row r="18449">
      <c r="A18449" s="1" t="n">
        <v>18448</v>
      </c>
      <c r="B18449">
        <f>TEXT(18448, "[$-0E0000]yyyy-mm-dd")</f>
        <v/>
      </c>
      <c r="C18449" t="inlineStr">
        <is>
          <t>1950-05-21</t>
        </is>
      </c>
    </row>
    <row r="18450">
      <c r="A18450" s="1" t="n">
        <v>18449</v>
      </c>
      <c r="B18450">
        <f>TEXT(18449, "[$-0E0000]yyyy-mm-dd")</f>
        <v/>
      </c>
      <c r="C18450" t="inlineStr">
        <is>
          <t>1950-05-22</t>
        </is>
      </c>
    </row>
    <row r="18451">
      <c r="A18451" s="1" t="n">
        <v>18450</v>
      </c>
      <c r="B18451">
        <f>TEXT(18450, "[$-0E0000]yyyy-mm-dd")</f>
        <v/>
      </c>
      <c r="C18451" t="inlineStr">
        <is>
          <t>1950-05-23</t>
        </is>
      </c>
    </row>
    <row r="18452">
      <c r="A18452" s="1" t="n">
        <v>18451</v>
      </c>
      <c r="B18452">
        <f>TEXT(18451, "[$-0E0000]yyyy-mm-dd")</f>
        <v/>
      </c>
      <c r="C18452" t="inlineStr">
        <is>
          <t>1950-05-24</t>
        </is>
      </c>
    </row>
    <row r="18453">
      <c r="A18453" s="1" t="n">
        <v>18452</v>
      </c>
      <c r="B18453">
        <f>TEXT(18452, "[$-0E0000]yyyy-mm-dd")</f>
        <v/>
      </c>
      <c r="C18453" t="inlineStr">
        <is>
          <t>1950-05-25</t>
        </is>
      </c>
    </row>
    <row r="18454">
      <c r="A18454" s="1" t="n">
        <v>18453</v>
      </c>
      <c r="B18454">
        <f>TEXT(18453, "[$-0E0000]yyyy-mm-dd")</f>
        <v/>
      </c>
      <c r="C18454" t="inlineStr">
        <is>
          <t>1950-05-26</t>
        </is>
      </c>
    </row>
    <row r="18455">
      <c r="A18455" s="1" t="n">
        <v>18454</v>
      </c>
      <c r="B18455">
        <f>TEXT(18454, "[$-0E0000]yyyy-mm-dd")</f>
        <v/>
      </c>
      <c r="C18455" t="inlineStr">
        <is>
          <t>1950-05-27</t>
        </is>
      </c>
    </row>
    <row r="18456">
      <c r="A18456" s="1" t="n">
        <v>18455</v>
      </c>
      <c r="B18456">
        <f>TEXT(18455, "[$-0E0000]yyyy-mm-dd")</f>
        <v/>
      </c>
      <c r="C18456" t="inlineStr">
        <is>
          <t>1950-05-28</t>
        </is>
      </c>
    </row>
    <row r="18457">
      <c r="A18457" s="1" t="n">
        <v>18456</v>
      </c>
      <c r="B18457">
        <f>TEXT(18456, "[$-0E0000]yyyy-mm-dd")</f>
        <v/>
      </c>
      <c r="C18457" t="inlineStr">
        <is>
          <t>1950-05-29</t>
        </is>
      </c>
    </row>
    <row r="18458">
      <c r="A18458" s="1" t="n">
        <v>18457</v>
      </c>
      <c r="B18458">
        <f>TEXT(18457, "[$-0E0000]yyyy-mm-dd")</f>
        <v/>
      </c>
      <c r="C18458" t="inlineStr">
        <is>
          <t>1950-05-30</t>
        </is>
      </c>
    </row>
    <row r="18459">
      <c r="A18459" s="1" t="n">
        <v>18458</v>
      </c>
      <c r="B18459">
        <f>TEXT(18458, "[$-0E0000]yyyy-mm-dd")</f>
        <v/>
      </c>
      <c r="C18459" t="inlineStr">
        <is>
          <t>1950-06-01</t>
        </is>
      </c>
    </row>
    <row r="18460">
      <c r="A18460" s="1" t="n">
        <v>18459</v>
      </c>
      <c r="B18460">
        <f>TEXT(18459, "[$-0E0000]yyyy-mm-dd")</f>
        <v/>
      </c>
      <c r="C18460" t="inlineStr">
        <is>
          <t>1950-06-02</t>
        </is>
      </c>
    </row>
    <row r="18461">
      <c r="A18461" s="1" t="n">
        <v>18460</v>
      </c>
      <c r="B18461">
        <f>TEXT(18460, "[$-0E0000]yyyy-mm-dd")</f>
        <v/>
      </c>
      <c r="C18461" t="inlineStr">
        <is>
          <t>1950-06-03</t>
        </is>
      </c>
    </row>
    <row r="18462">
      <c r="A18462" s="1" t="n">
        <v>18461</v>
      </c>
      <c r="B18462">
        <f>TEXT(18461, "[$-0E0000]yyyy-mm-dd")</f>
        <v/>
      </c>
      <c r="C18462" t="inlineStr">
        <is>
          <t>1950-06-04</t>
        </is>
      </c>
    </row>
    <row r="18463">
      <c r="A18463" s="1" t="n">
        <v>18462</v>
      </c>
      <c r="B18463">
        <f>TEXT(18462, "[$-0E0000]yyyy-mm-dd")</f>
        <v/>
      </c>
      <c r="C18463" t="inlineStr">
        <is>
          <t>1950-06-05</t>
        </is>
      </c>
    </row>
    <row r="18464">
      <c r="A18464" s="1" t="n">
        <v>18463</v>
      </c>
      <c r="B18464">
        <f>TEXT(18463, "[$-0E0000]yyyy-mm-dd")</f>
        <v/>
      </c>
      <c r="C18464" t="inlineStr">
        <is>
          <t>1950-06-06</t>
        </is>
      </c>
    </row>
    <row r="18465">
      <c r="A18465" s="1" t="n">
        <v>18464</v>
      </c>
      <c r="B18465">
        <f>TEXT(18464, "[$-0E0000]yyyy-mm-dd")</f>
        <v/>
      </c>
      <c r="C18465" t="inlineStr">
        <is>
          <t>1950-06-07</t>
        </is>
      </c>
    </row>
    <row r="18466">
      <c r="A18466" s="1" t="n">
        <v>18465</v>
      </c>
      <c r="B18466">
        <f>TEXT(18465, "[$-0E0000]yyyy-mm-dd")</f>
        <v/>
      </c>
      <c r="C18466" t="inlineStr">
        <is>
          <t>1950-06-08</t>
        </is>
      </c>
    </row>
    <row r="18467">
      <c r="A18467" s="1" t="n">
        <v>18466</v>
      </c>
      <c r="B18467">
        <f>TEXT(18466, "[$-0E0000]yyyy-mm-dd")</f>
        <v/>
      </c>
      <c r="C18467" t="inlineStr">
        <is>
          <t>1950-06-09</t>
        </is>
      </c>
    </row>
    <row r="18468">
      <c r="A18468" s="1" t="n">
        <v>18467</v>
      </c>
      <c r="B18468">
        <f>TEXT(18467, "[$-0E0000]yyyy-mm-dd")</f>
        <v/>
      </c>
      <c r="C18468" t="inlineStr">
        <is>
          <t>1950-06-10</t>
        </is>
      </c>
    </row>
    <row r="18469">
      <c r="A18469" s="1" t="n">
        <v>18468</v>
      </c>
      <c r="B18469">
        <f>TEXT(18468, "[$-0E0000]yyyy-mm-dd")</f>
        <v/>
      </c>
      <c r="C18469" t="inlineStr">
        <is>
          <t>1950-06-11</t>
        </is>
      </c>
    </row>
    <row r="18470">
      <c r="A18470" s="1" t="n">
        <v>18469</v>
      </c>
      <c r="B18470">
        <f>TEXT(18469, "[$-0E0000]yyyy-mm-dd")</f>
        <v/>
      </c>
      <c r="C18470" t="inlineStr">
        <is>
          <t>1950-06-12</t>
        </is>
      </c>
    </row>
    <row r="18471">
      <c r="A18471" s="1" t="n">
        <v>18470</v>
      </c>
      <c r="B18471">
        <f>TEXT(18470, "[$-0E0000]yyyy-mm-dd")</f>
        <v/>
      </c>
      <c r="C18471" t="inlineStr">
        <is>
          <t>1950-06-13</t>
        </is>
      </c>
    </row>
    <row r="18472">
      <c r="A18472" s="1" t="n">
        <v>18471</v>
      </c>
      <c r="B18472">
        <f>TEXT(18471, "[$-0E0000]yyyy-mm-dd")</f>
        <v/>
      </c>
      <c r="C18472" t="inlineStr">
        <is>
          <t>1950-06-14</t>
        </is>
      </c>
    </row>
    <row r="18473">
      <c r="A18473" s="1" t="n">
        <v>18472</v>
      </c>
      <c r="B18473">
        <f>TEXT(18472, "[$-0E0000]yyyy-mm-dd")</f>
        <v/>
      </c>
      <c r="C18473" t="inlineStr">
        <is>
          <t>1950-06-15</t>
        </is>
      </c>
    </row>
    <row r="18474">
      <c r="A18474" s="1" t="n">
        <v>18473</v>
      </c>
      <c r="B18474">
        <f>TEXT(18473, "[$-0E0000]yyyy-mm-dd")</f>
        <v/>
      </c>
      <c r="C18474" t="inlineStr">
        <is>
          <t>1950-06-16</t>
        </is>
      </c>
    </row>
    <row r="18475">
      <c r="A18475" s="1" t="n">
        <v>18474</v>
      </c>
      <c r="B18475">
        <f>TEXT(18474, "[$-0E0000]yyyy-mm-dd")</f>
        <v/>
      </c>
      <c r="C18475" t="inlineStr">
        <is>
          <t>1950-06-17</t>
        </is>
      </c>
    </row>
    <row r="18476">
      <c r="A18476" s="1" t="n">
        <v>18475</v>
      </c>
      <c r="B18476">
        <f>TEXT(18475, "[$-0E0000]yyyy-mm-dd")</f>
        <v/>
      </c>
      <c r="C18476" t="inlineStr">
        <is>
          <t>1950-06-18</t>
        </is>
      </c>
    </row>
    <row r="18477">
      <c r="A18477" s="1" t="n">
        <v>18476</v>
      </c>
      <c r="B18477">
        <f>TEXT(18476, "[$-0E0000]yyyy-mm-dd")</f>
        <v/>
      </c>
      <c r="C18477" t="inlineStr">
        <is>
          <t>1950-06-19</t>
        </is>
      </c>
    </row>
    <row r="18478">
      <c r="A18478" s="1" t="n">
        <v>18477</v>
      </c>
      <c r="B18478">
        <f>TEXT(18477, "[$-0E0000]yyyy-mm-dd")</f>
        <v/>
      </c>
      <c r="C18478" t="inlineStr">
        <is>
          <t>1950-06-20</t>
        </is>
      </c>
    </row>
    <row r="18479">
      <c r="A18479" s="1" t="n">
        <v>18478</v>
      </c>
      <c r="B18479">
        <f>TEXT(18478, "[$-0E0000]yyyy-mm-dd")</f>
        <v/>
      </c>
      <c r="C18479" t="inlineStr">
        <is>
          <t>1950-06-21</t>
        </is>
      </c>
    </row>
    <row r="18480">
      <c r="A18480" s="1" t="n">
        <v>18479</v>
      </c>
      <c r="B18480">
        <f>TEXT(18479, "[$-0E0000]yyyy-mm-dd")</f>
        <v/>
      </c>
      <c r="C18480" t="inlineStr">
        <is>
          <t>1950-06-22</t>
        </is>
      </c>
    </row>
    <row r="18481">
      <c r="A18481" s="1" t="n">
        <v>18480</v>
      </c>
      <c r="B18481">
        <f>TEXT(18480, "[$-0E0000]yyyy-mm-dd")</f>
        <v/>
      </c>
      <c r="C18481" t="inlineStr">
        <is>
          <t>1950-06-23</t>
        </is>
      </c>
    </row>
    <row r="18482">
      <c r="A18482" s="1" t="n">
        <v>18481</v>
      </c>
      <c r="B18482">
        <f>TEXT(18481, "[$-0E0000]yyyy-mm-dd")</f>
        <v/>
      </c>
      <c r="C18482" t="inlineStr">
        <is>
          <t>1950-06-24</t>
        </is>
      </c>
    </row>
    <row r="18483">
      <c r="A18483" s="1" t="n">
        <v>18482</v>
      </c>
      <c r="B18483">
        <f>TEXT(18482, "[$-0E0000]yyyy-mm-dd")</f>
        <v/>
      </c>
      <c r="C18483" t="inlineStr">
        <is>
          <t>1950-06-25</t>
        </is>
      </c>
    </row>
    <row r="18484">
      <c r="A18484" s="1" t="n">
        <v>18483</v>
      </c>
      <c r="B18484">
        <f>TEXT(18483, "[$-0E0000]yyyy-mm-dd")</f>
        <v/>
      </c>
      <c r="C18484" t="inlineStr">
        <is>
          <t>1950-06-26</t>
        </is>
      </c>
    </row>
    <row r="18485">
      <c r="A18485" s="1" t="n">
        <v>18484</v>
      </c>
      <c r="B18485">
        <f>TEXT(18484, "[$-0E0000]yyyy-mm-dd")</f>
        <v/>
      </c>
      <c r="C18485" t="inlineStr">
        <is>
          <t>1950-06-27</t>
        </is>
      </c>
    </row>
    <row r="18486">
      <c r="A18486" s="1" t="n">
        <v>18485</v>
      </c>
      <c r="B18486">
        <f>TEXT(18485, "[$-0E0000]yyyy-mm-dd")</f>
        <v/>
      </c>
      <c r="C18486" t="inlineStr">
        <is>
          <t>1950-06-28</t>
        </is>
      </c>
    </row>
    <row r="18487">
      <c r="A18487" s="1" t="n">
        <v>18486</v>
      </c>
      <c r="B18487">
        <f>TEXT(18486, "[$-0E0000]yyyy-mm-dd")</f>
        <v/>
      </c>
      <c r="C18487" t="inlineStr">
        <is>
          <t>1950-06-29</t>
        </is>
      </c>
    </row>
    <row r="18488">
      <c r="A18488" s="1" t="n">
        <v>18487</v>
      </c>
      <c r="B18488">
        <f>TEXT(18487, "[$-0E0000]yyyy-mm-dd")</f>
        <v/>
      </c>
      <c r="C18488" t="inlineStr">
        <is>
          <t>1950-06-30</t>
        </is>
      </c>
    </row>
    <row r="18489">
      <c r="A18489" s="1" t="n">
        <v>18488</v>
      </c>
      <c r="B18489">
        <f>TEXT(18488, "[$-0E0000]yyyy-mm-dd")</f>
        <v/>
      </c>
      <c r="C18489" t="inlineStr">
        <is>
          <t>1950-07-01</t>
        </is>
      </c>
    </row>
    <row r="18490">
      <c r="A18490" s="1" t="n">
        <v>18489</v>
      </c>
      <c r="B18490">
        <f>TEXT(18489, "[$-0E0000]yyyy-mm-dd")</f>
        <v/>
      </c>
      <c r="C18490" t="inlineStr">
        <is>
          <t>1950-07-02</t>
        </is>
      </c>
    </row>
    <row r="18491">
      <c r="A18491" s="1" t="n">
        <v>18490</v>
      </c>
      <c r="B18491">
        <f>TEXT(18490, "[$-0E0000]yyyy-mm-dd")</f>
        <v/>
      </c>
      <c r="C18491" t="inlineStr">
        <is>
          <t>1950-07-03</t>
        </is>
      </c>
    </row>
    <row r="18492">
      <c r="A18492" s="1" t="n">
        <v>18491</v>
      </c>
      <c r="B18492">
        <f>TEXT(18491, "[$-0E0000]yyyy-mm-dd")</f>
        <v/>
      </c>
      <c r="C18492" t="inlineStr">
        <is>
          <t>1950-07-04</t>
        </is>
      </c>
    </row>
    <row r="18493">
      <c r="A18493" s="1" t="n">
        <v>18492</v>
      </c>
      <c r="B18493">
        <f>TEXT(18492, "[$-0E0000]yyyy-mm-dd")</f>
        <v/>
      </c>
      <c r="C18493" t="inlineStr">
        <is>
          <t>1950-07-05</t>
        </is>
      </c>
    </row>
    <row r="18494">
      <c r="A18494" s="1" t="n">
        <v>18493</v>
      </c>
      <c r="B18494">
        <f>TEXT(18493, "[$-0E0000]yyyy-mm-dd")</f>
        <v/>
      </c>
      <c r="C18494" t="inlineStr">
        <is>
          <t>1950-07-06</t>
        </is>
      </c>
    </row>
    <row r="18495">
      <c r="A18495" s="1" t="n">
        <v>18494</v>
      </c>
      <c r="B18495">
        <f>TEXT(18494, "[$-0E0000]yyyy-mm-dd")</f>
        <v/>
      </c>
      <c r="C18495" t="inlineStr">
        <is>
          <t>1950-07-07</t>
        </is>
      </c>
    </row>
    <row r="18496">
      <c r="A18496" s="1" t="n">
        <v>18495</v>
      </c>
      <c r="B18496">
        <f>TEXT(18495, "[$-0E0000]yyyy-mm-dd")</f>
        <v/>
      </c>
      <c r="C18496" t="inlineStr">
        <is>
          <t>1950-07-08</t>
        </is>
      </c>
    </row>
    <row r="18497">
      <c r="A18497" s="1" t="n">
        <v>18496</v>
      </c>
      <c r="B18497">
        <f>TEXT(18496, "[$-0E0000]yyyy-mm-dd")</f>
        <v/>
      </c>
      <c r="C18497" t="inlineStr">
        <is>
          <t>1950-07-09</t>
        </is>
      </c>
    </row>
    <row r="18498">
      <c r="A18498" s="1" t="n">
        <v>18497</v>
      </c>
      <c r="B18498">
        <f>TEXT(18497, "[$-0E0000]yyyy-mm-dd")</f>
        <v/>
      </c>
      <c r="C18498" t="inlineStr">
        <is>
          <t>1950-07-10</t>
        </is>
      </c>
    </row>
    <row r="18499">
      <c r="A18499" s="1" t="n">
        <v>18498</v>
      </c>
      <c r="B18499">
        <f>TEXT(18498, "[$-0E0000]yyyy-mm-dd")</f>
        <v/>
      </c>
      <c r="C18499" t="inlineStr">
        <is>
          <t>1950-07-11</t>
        </is>
      </c>
    </row>
    <row r="18500">
      <c r="A18500" s="1" t="n">
        <v>18499</v>
      </c>
      <c r="B18500">
        <f>TEXT(18499, "[$-0E0000]yyyy-mm-dd")</f>
        <v/>
      </c>
      <c r="C18500" t="inlineStr">
        <is>
          <t>1950-07-12</t>
        </is>
      </c>
    </row>
    <row r="18501">
      <c r="A18501" s="1" t="n">
        <v>18500</v>
      </c>
      <c r="B18501">
        <f>TEXT(18500, "[$-0E0000]yyyy-mm-dd")</f>
        <v/>
      </c>
      <c r="C18501" t="inlineStr">
        <is>
          <t>1950-07-13</t>
        </is>
      </c>
    </row>
    <row r="18502">
      <c r="A18502" s="1" t="n">
        <v>18501</v>
      </c>
      <c r="B18502">
        <f>TEXT(18501, "[$-0E0000]yyyy-mm-dd")</f>
        <v/>
      </c>
      <c r="C18502" t="inlineStr">
        <is>
          <t>1950-07-14</t>
        </is>
      </c>
    </row>
    <row r="18503">
      <c r="A18503" s="1" t="n">
        <v>18502</v>
      </c>
      <c r="B18503">
        <f>TEXT(18502, "[$-0E0000]yyyy-mm-dd")</f>
        <v/>
      </c>
      <c r="C18503" t="inlineStr">
        <is>
          <t>1950-07-15</t>
        </is>
      </c>
    </row>
    <row r="18504">
      <c r="A18504" s="1" t="n">
        <v>18503</v>
      </c>
      <c r="B18504">
        <f>TEXT(18503, "[$-0E0000]yyyy-mm-dd")</f>
        <v/>
      </c>
      <c r="C18504" t="inlineStr">
        <is>
          <t>1950-07-16</t>
        </is>
      </c>
    </row>
    <row r="18505">
      <c r="A18505" s="1" t="n">
        <v>18504</v>
      </c>
      <c r="B18505">
        <f>TEXT(18504, "[$-0E0000]yyyy-mm-dd")</f>
        <v/>
      </c>
      <c r="C18505" t="inlineStr">
        <is>
          <t>1950-07-17</t>
        </is>
      </c>
    </row>
    <row r="18506">
      <c r="A18506" s="1" t="n">
        <v>18505</v>
      </c>
      <c r="B18506">
        <f>TEXT(18505, "[$-0E0000]yyyy-mm-dd")</f>
        <v/>
      </c>
      <c r="C18506" t="inlineStr">
        <is>
          <t>1950-07-18</t>
        </is>
      </c>
    </row>
    <row r="18507">
      <c r="A18507" s="1" t="n">
        <v>18506</v>
      </c>
      <c r="B18507">
        <f>TEXT(18506, "[$-0E0000]yyyy-mm-dd")</f>
        <v/>
      </c>
      <c r="C18507" t="inlineStr">
        <is>
          <t>1950-07-19</t>
        </is>
      </c>
    </row>
    <row r="18508">
      <c r="A18508" s="1" t="n">
        <v>18507</v>
      </c>
      <c r="B18508">
        <f>TEXT(18507, "[$-0E0000]yyyy-mm-dd")</f>
        <v/>
      </c>
      <c r="C18508" t="inlineStr">
        <is>
          <t>1950-07-20</t>
        </is>
      </c>
    </row>
    <row r="18509">
      <c r="A18509" s="1" t="n">
        <v>18508</v>
      </c>
      <c r="B18509">
        <f>TEXT(18508, "[$-0E0000]yyyy-mm-dd")</f>
        <v/>
      </c>
      <c r="C18509" t="inlineStr">
        <is>
          <t>1950-07-21</t>
        </is>
      </c>
    </row>
    <row r="18510">
      <c r="A18510" s="1" t="n">
        <v>18509</v>
      </c>
      <c r="B18510">
        <f>TEXT(18509, "[$-0E0000]yyyy-mm-dd")</f>
        <v/>
      </c>
      <c r="C18510" t="inlineStr">
        <is>
          <t>1950-07-22</t>
        </is>
      </c>
    </row>
    <row r="18511">
      <c r="A18511" s="1" t="n">
        <v>18510</v>
      </c>
      <c r="B18511">
        <f>TEXT(18510, "[$-0E0000]yyyy-mm-dd")</f>
        <v/>
      </c>
      <c r="C18511" t="inlineStr">
        <is>
          <t>1950-07-23</t>
        </is>
      </c>
    </row>
    <row r="18512">
      <c r="A18512" s="1" t="n">
        <v>18511</v>
      </c>
      <c r="B18512">
        <f>TEXT(18511, "[$-0E0000]yyyy-mm-dd")</f>
        <v/>
      </c>
      <c r="C18512" t="inlineStr">
        <is>
          <t>1950-07-24</t>
        </is>
      </c>
    </row>
    <row r="18513">
      <c r="A18513" s="1" t="n">
        <v>18512</v>
      </c>
      <c r="B18513">
        <f>TEXT(18512, "[$-0E0000]yyyy-mm-dd")</f>
        <v/>
      </c>
      <c r="C18513" t="inlineStr">
        <is>
          <t>1950-07-25</t>
        </is>
      </c>
    </row>
    <row r="18514">
      <c r="A18514" s="1" t="n">
        <v>18513</v>
      </c>
      <c r="B18514">
        <f>TEXT(18513, "[$-0E0000]yyyy-mm-dd")</f>
        <v/>
      </c>
      <c r="C18514" t="inlineStr">
        <is>
          <t>1950-07-26</t>
        </is>
      </c>
    </row>
    <row r="18515">
      <c r="A18515" s="1" t="n">
        <v>18514</v>
      </c>
      <c r="B18515">
        <f>TEXT(18514, "[$-0E0000]yyyy-mm-dd")</f>
        <v/>
      </c>
      <c r="C18515" t="inlineStr">
        <is>
          <t>1950-07-27</t>
        </is>
      </c>
    </row>
    <row r="18516">
      <c r="A18516" s="1" t="n">
        <v>18515</v>
      </c>
      <c r="B18516">
        <f>TEXT(18515, "[$-0E0000]yyyy-mm-dd")</f>
        <v/>
      </c>
      <c r="C18516" t="inlineStr">
        <is>
          <t>1950-07-28</t>
        </is>
      </c>
    </row>
    <row r="18517">
      <c r="A18517" s="1" t="n">
        <v>18516</v>
      </c>
      <c r="B18517">
        <f>TEXT(18516, "[$-0E0000]yyyy-mm-dd")</f>
        <v/>
      </c>
      <c r="C18517" t="inlineStr">
        <is>
          <t>1950-07-29</t>
        </is>
      </c>
    </row>
    <row r="18518">
      <c r="A18518" s="1" t="n">
        <v>18517</v>
      </c>
      <c r="B18518">
        <f>TEXT(18517, "[$-0E0000]yyyy-mm-dd")</f>
        <v/>
      </c>
      <c r="C18518" t="inlineStr">
        <is>
          <t>1950-08-01</t>
        </is>
      </c>
    </row>
    <row r="18519">
      <c r="A18519" s="1" t="n">
        <v>18518</v>
      </c>
      <c r="B18519">
        <f>TEXT(18518, "[$-0E0000]yyyy-mm-dd")</f>
        <v/>
      </c>
      <c r="C18519" t="inlineStr">
        <is>
          <t>1950-08-02</t>
        </is>
      </c>
    </row>
    <row r="18520">
      <c r="A18520" s="1" t="n">
        <v>18519</v>
      </c>
      <c r="B18520">
        <f>TEXT(18519, "[$-0E0000]yyyy-mm-dd")</f>
        <v/>
      </c>
      <c r="C18520" t="inlineStr">
        <is>
          <t>1950-08-03</t>
        </is>
      </c>
    </row>
    <row r="18521">
      <c r="A18521" s="1" t="n">
        <v>18520</v>
      </c>
      <c r="B18521">
        <f>TEXT(18520, "[$-0E0000]yyyy-mm-dd")</f>
        <v/>
      </c>
      <c r="C18521" t="inlineStr">
        <is>
          <t>1950-08-04</t>
        </is>
      </c>
    </row>
    <row r="18522">
      <c r="A18522" s="1" t="n">
        <v>18521</v>
      </c>
      <c r="B18522">
        <f>TEXT(18521, "[$-0E0000]yyyy-mm-dd")</f>
        <v/>
      </c>
      <c r="C18522" t="inlineStr">
        <is>
          <t>1950-08-05</t>
        </is>
      </c>
    </row>
    <row r="18523">
      <c r="A18523" s="1" t="n">
        <v>18522</v>
      </c>
      <c r="B18523">
        <f>TEXT(18522, "[$-0E0000]yyyy-mm-dd")</f>
        <v/>
      </c>
      <c r="C18523" t="inlineStr">
        <is>
          <t>1950-08-06</t>
        </is>
      </c>
    </row>
    <row r="18524">
      <c r="A18524" s="1" t="n">
        <v>18523</v>
      </c>
      <c r="B18524">
        <f>TEXT(18523, "[$-0E0000]yyyy-mm-dd")</f>
        <v/>
      </c>
      <c r="C18524" t="inlineStr">
        <is>
          <t>1950-08-07</t>
        </is>
      </c>
    </row>
    <row r="18525">
      <c r="A18525" s="1" t="n">
        <v>18524</v>
      </c>
      <c r="B18525">
        <f>TEXT(18524, "[$-0E0000]yyyy-mm-dd")</f>
        <v/>
      </c>
      <c r="C18525" t="inlineStr">
        <is>
          <t>1950-08-08</t>
        </is>
      </c>
    </row>
    <row r="18526">
      <c r="A18526" s="1" t="n">
        <v>18525</v>
      </c>
      <c r="B18526">
        <f>TEXT(18525, "[$-0E0000]yyyy-mm-dd")</f>
        <v/>
      </c>
      <c r="C18526" t="inlineStr">
        <is>
          <t>1950-08-09</t>
        </is>
      </c>
    </row>
    <row r="18527">
      <c r="A18527" s="1" t="n">
        <v>18526</v>
      </c>
      <c r="B18527">
        <f>TEXT(18526, "[$-0E0000]yyyy-mm-dd")</f>
        <v/>
      </c>
      <c r="C18527" t="inlineStr">
        <is>
          <t>1950-08-10</t>
        </is>
      </c>
    </row>
    <row r="18528">
      <c r="A18528" s="1" t="n">
        <v>18527</v>
      </c>
      <c r="B18528">
        <f>TEXT(18527, "[$-0E0000]yyyy-mm-dd")</f>
        <v/>
      </c>
      <c r="C18528" t="inlineStr">
        <is>
          <t>1950-08-11</t>
        </is>
      </c>
    </row>
    <row r="18529">
      <c r="A18529" s="1" t="n">
        <v>18528</v>
      </c>
      <c r="B18529">
        <f>TEXT(18528, "[$-0E0000]yyyy-mm-dd")</f>
        <v/>
      </c>
      <c r="C18529" t="inlineStr">
        <is>
          <t>1950-08-12</t>
        </is>
      </c>
    </row>
    <row r="18530">
      <c r="A18530" s="1" t="n">
        <v>18529</v>
      </c>
      <c r="B18530">
        <f>TEXT(18529, "[$-0E0000]yyyy-mm-dd")</f>
        <v/>
      </c>
      <c r="C18530" t="inlineStr">
        <is>
          <t>1950-08-13</t>
        </is>
      </c>
    </row>
    <row r="18531">
      <c r="A18531" s="1" t="n">
        <v>18530</v>
      </c>
      <c r="B18531">
        <f>TEXT(18530, "[$-0E0000]yyyy-mm-dd")</f>
        <v/>
      </c>
      <c r="C18531" t="inlineStr">
        <is>
          <t>1950-08-14</t>
        </is>
      </c>
    </row>
    <row r="18532">
      <c r="A18532" s="1" t="n">
        <v>18531</v>
      </c>
      <c r="B18532">
        <f>TEXT(18531, "[$-0E0000]yyyy-mm-dd")</f>
        <v/>
      </c>
      <c r="C18532" t="inlineStr">
        <is>
          <t>1950-08-15</t>
        </is>
      </c>
    </row>
    <row r="18533">
      <c r="A18533" s="1" t="n">
        <v>18532</v>
      </c>
      <c r="B18533">
        <f>TEXT(18532, "[$-0E0000]yyyy-mm-dd")</f>
        <v/>
      </c>
      <c r="C18533" t="inlineStr">
        <is>
          <t>1950-08-16</t>
        </is>
      </c>
    </row>
    <row r="18534">
      <c r="A18534" s="1" t="n">
        <v>18533</v>
      </c>
      <c r="B18534">
        <f>TEXT(18533, "[$-0E0000]yyyy-mm-dd")</f>
        <v/>
      </c>
      <c r="C18534" t="inlineStr">
        <is>
          <t>1950-08-17</t>
        </is>
      </c>
    </row>
    <row r="18535">
      <c r="A18535" s="1" t="n">
        <v>18534</v>
      </c>
      <c r="B18535">
        <f>TEXT(18534, "[$-0E0000]yyyy-mm-dd")</f>
        <v/>
      </c>
      <c r="C18535" t="inlineStr">
        <is>
          <t>1950-08-18</t>
        </is>
      </c>
    </row>
    <row r="18536">
      <c r="A18536" s="1" t="n">
        <v>18535</v>
      </c>
      <c r="B18536">
        <f>TEXT(18535, "[$-0E0000]yyyy-mm-dd")</f>
        <v/>
      </c>
      <c r="C18536" t="inlineStr">
        <is>
          <t>1950-08-19</t>
        </is>
      </c>
    </row>
    <row r="18537">
      <c r="A18537" s="1" t="n">
        <v>18536</v>
      </c>
      <c r="B18537">
        <f>TEXT(18536, "[$-0E0000]yyyy-mm-dd")</f>
        <v/>
      </c>
      <c r="C18537" t="inlineStr">
        <is>
          <t>1950-08-20</t>
        </is>
      </c>
    </row>
    <row r="18538">
      <c r="A18538" s="1" t="n">
        <v>18537</v>
      </c>
      <c r="B18538">
        <f>TEXT(18537, "[$-0E0000]yyyy-mm-dd")</f>
        <v/>
      </c>
      <c r="C18538" t="inlineStr">
        <is>
          <t>1950-08-21</t>
        </is>
      </c>
    </row>
    <row r="18539">
      <c r="A18539" s="1" t="n">
        <v>18538</v>
      </c>
      <c r="B18539">
        <f>TEXT(18538, "[$-0E0000]yyyy-mm-dd")</f>
        <v/>
      </c>
      <c r="C18539" t="inlineStr">
        <is>
          <t>1950-08-22</t>
        </is>
      </c>
    </row>
    <row r="18540">
      <c r="A18540" s="1" t="n">
        <v>18539</v>
      </c>
      <c r="B18540">
        <f>TEXT(18539, "[$-0E0000]yyyy-mm-dd")</f>
        <v/>
      </c>
      <c r="C18540" t="inlineStr">
        <is>
          <t>1950-08-23</t>
        </is>
      </c>
    </row>
    <row r="18541">
      <c r="A18541" s="1" t="n">
        <v>18540</v>
      </c>
      <c r="B18541">
        <f>TEXT(18540, "[$-0E0000]yyyy-mm-dd")</f>
        <v/>
      </c>
      <c r="C18541" t="inlineStr">
        <is>
          <t>1950-08-24</t>
        </is>
      </c>
    </row>
    <row r="18542">
      <c r="A18542" s="1" t="n">
        <v>18541</v>
      </c>
      <c r="B18542">
        <f>TEXT(18541, "[$-0E0000]yyyy-mm-dd")</f>
        <v/>
      </c>
      <c r="C18542" t="inlineStr">
        <is>
          <t>1950-08-25</t>
        </is>
      </c>
    </row>
    <row r="18543">
      <c r="A18543" s="1" t="n">
        <v>18542</v>
      </c>
      <c r="B18543">
        <f>TEXT(18542, "[$-0E0000]yyyy-mm-dd")</f>
        <v/>
      </c>
      <c r="C18543" t="inlineStr">
        <is>
          <t>1950-08-26</t>
        </is>
      </c>
    </row>
    <row r="18544">
      <c r="A18544" s="1" t="n">
        <v>18543</v>
      </c>
      <c r="B18544">
        <f>TEXT(18543, "[$-0E0000]yyyy-mm-dd")</f>
        <v/>
      </c>
      <c r="C18544" t="inlineStr">
        <is>
          <t>1950-08-27</t>
        </is>
      </c>
    </row>
    <row r="18545">
      <c r="A18545" s="1" t="n">
        <v>18544</v>
      </c>
      <c r="B18545">
        <f>TEXT(18544, "[$-0E0000]yyyy-mm-dd")</f>
        <v/>
      </c>
      <c r="C18545" t="inlineStr">
        <is>
          <t>1950-08-28</t>
        </is>
      </c>
    </row>
    <row r="18546">
      <c r="A18546" s="1" t="n">
        <v>18545</v>
      </c>
      <c r="B18546">
        <f>TEXT(18545, "[$-0E0000]yyyy-mm-dd")</f>
        <v/>
      </c>
      <c r="C18546" t="inlineStr">
        <is>
          <t>1950-08-29</t>
        </is>
      </c>
    </row>
    <row r="18547">
      <c r="A18547" s="1" t="n">
        <v>18546</v>
      </c>
      <c r="B18547">
        <f>TEXT(18546, "[$-0E0000]yyyy-mm-dd")</f>
        <v/>
      </c>
      <c r="C18547" t="inlineStr">
        <is>
          <t>1950-09-01</t>
        </is>
      </c>
    </row>
    <row r="18548">
      <c r="A18548" s="1" t="n">
        <v>18547</v>
      </c>
      <c r="B18548">
        <f>TEXT(18547, "[$-0E0000]yyyy-mm-dd")</f>
        <v/>
      </c>
      <c r="C18548" t="inlineStr">
        <is>
          <t>1950-09-02</t>
        </is>
      </c>
    </row>
    <row r="18549">
      <c r="A18549" s="1" t="n">
        <v>18548</v>
      </c>
      <c r="B18549">
        <f>TEXT(18548, "[$-0E0000]yyyy-mm-dd")</f>
        <v/>
      </c>
      <c r="C18549" t="inlineStr">
        <is>
          <t>1950-09-03</t>
        </is>
      </c>
    </row>
    <row r="18550">
      <c r="A18550" s="1" t="n">
        <v>18549</v>
      </c>
      <c r="B18550">
        <f>TEXT(18549, "[$-0E0000]yyyy-mm-dd")</f>
        <v/>
      </c>
      <c r="C18550" t="inlineStr">
        <is>
          <t>1950-09-04</t>
        </is>
      </c>
    </row>
    <row r="18551">
      <c r="A18551" s="1" t="n">
        <v>18550</v>
      </c>
      <c r="B18551">
        <f>TEXT(18550, "[$-0E0000]yyyy-mm-dd")</f>
        <v/>
      </c>
      <c r="C18551" t="inlineStr">
        <is>
          <t>1950-09-05</t>
        </is>
      </c>
    </row>
    <row r="18552">
      <c r="A18552" s="1" t="n">
        <v>18551</v>
      </c>
      <c r="B18552">
        <f>TEXT(18551, "[$-0E0000]yyyy-mm-dd")</f>
        <v/>
      </c>
      <c r="C18552" t="inlineStr">
        <is>
          <t>1950-09-06</t>
        </is>
      </c>
    </row>
    <row r="18553">
      <c r="A18553" s="1" t="n">
        <v>18552</v>
      </c>
      <c r="B18553">
        <f>TEXT(18552, "[$-0E0000]yyyy-mm-dd")</f>
        <v/>
      </c>
      <c r="C18553" t="inlineStr">
        <is>
          <t>1950-09-07</t>
        </is>
      </c>
    </row>
    <row r="18554">
      <c r="A18554" s="1" t="n">
        <v>18553</v>
      </c>
      <c r="B18554">
        <f>TEXT(18553, "[$-0E0000]yyyy-mm-dd")</f>
        <v/>
      </c>
      <c r="C18554" t="inlineStr">
        <is>
          <t>1950-09-08</t>
        </is>
      </c>
    </row>
    <row r="18555">
      <c r="A18555" s="1" t="n">
        <v>18554</v>
      </c>
      <c r="B18555">
        <f>TEXT(18554, "[$-0E0000]yyyy-mm-dd")</f>
        <v/>
      </c>
      <c r="C18555" t="inlineStr">
        <is>
          <t>1950-09-09</t>
        </is>
      </c>
    </row>
    <row r="18556">
      <c r="A18556" s="1" t="n">
        <v>18555</v>
      </c>
      <c r="B18556">
        <f>TEXT(18555, "[$-0E0000]yyyy-mm-dd")</f>
        <v/>
      </c>
      <c r="C18556" t="inlineStr">
        <is>
          <t>1950-09-10</t>
        </is>
      </c>
    </row>
    <row r="18557">
      <c r="A18557" s="1" t="n">
        <v>18556</v>
      </c>
      <c r="B18557">
        <f>TEXT(18556, "[$-0E0000]yyyy-mm-dd")</f>
        <v/>
      </c>
      <c r="C18557" t="inlineStr">
        <is>
          <t>1950-09-11</t>
        </is>
      </c>
    </row>
    <row r="18558">
      <c r="A18558" s="1" t="n">
        <v>18557</v>
      </c>
      <c r="B18558">
        <f>TEXT(18557, "[$-0E0000]yyyy-mm-dd")</f>
        <v/>
      </c>
      <c r="C18558" t="inlineStr">
        <is>
          <t>1950-09-12</t>
        </is>
      </c>
    </row>
    <row r="18559">
      <c r="A18559" s="1" t="n">
        <v>18558</v>
      </c>
      <c r="B18559">
        <f>TEXT(18558, "[$-0E0000]yyyy-mm-dd")</f>
        <v/>
      </c>
      <c r="C18559" t="inlineStr">
        <is>
          <t>1950-09-13</t>
        </is>
      </c>
    </row>
    <row r="18560">
      <c r="A18560" s="1" t="n">
        <v>18559</v>
      </c>
      <c r="B18560">
        <f>TEXT(18559, "[$-0E0000]yyyy-mm-dd")</f>
        <v/>
      </c>
      <c r="C18560" t="inlineStr">
        <is>
          <t>1950-09-14</t>
        </is>
      </c>
    </row>
    <row r="18561">
      <c r="A18561" s="1" t="n">
        <v>18560</v>
      </c>
      <c r="B18561">
        <f>TEXT(18560, "[$-0E0000]yyyy-mm-dd")</f>
        <v/>
      </c>
      <c r="C18561" t="inlineStr">
        <is>
          <t>1950-09-15</t>
        </is>
      </c>
    </row>
    <row r="18562">
      <c r="A18562" s="1" t="n">
        <v>18561</v>
      </c>
      <c r="B18562">
        <f>TEXT(18561, "[$-0E0000]yyyy-mm-dd")</f>
        <v/>
      </c>
      <c r="C18562" t="inlineStr">
        <is>
          <t>1950-09-16</t>
        </is>
      </c>
    </row>
    <row r="18563">
      <c r="A18563" s="1" t="n">
        <v>18562</v>
      </c>
      <c r="B18563">
        <f>TEXT(18562, "[$-0E0000]yyyy-mm-dd")</f>
        <v/>
      </c>
      <c r="C18563" t="inlineStr">
        <is>
          <t>1950-09-17</t>
        </is>
      </c>
    </row>
    <row r="18564">
      <c r="A18564" s="1" t="n">
        <v>18563</v>
      </c>
      <c r="B18564">
        <f>TEXT(18563, "[$-0E0000]yyyy-mm-dd")</f>
        <v/>
      </c>
      <c r="C18564" t="inlineStr">
        <is>
          <t>1950-09-18</t>
        </is>
      </c>
    </row>
    <row r="18565">
      <c r="A18565" s="1" t="n">
        <v>18564</v>
      </c>
      <c r="B18565">
        <f>TEXT(18564, "[$-0E0000]yyyy-mm-dd")</f>
        <v/>
      </c>
      <c r="C18565" t="inlineStr">
        <is>
          <t>1950-09-19</t>
        </is>
      </c>
    </row>
    <row r="18566">
      <c r="A18566" s="1" t="n">
        <v>18565</v>
      </c>
      <c r="B18566">
        <f>TEXT(18565, "[$-0E0000]yyyy-mm-dd")</f>
        <v/>
      </c>
      <c r="C18566" t="inlineStr">
        <is>
          <t>1950-09-20</t>
        </is>
      </c>
    </row>
    <row r="18567">
      <c r="A18567" s="1" t="n">
        <v>18566</v>
      </c>
      <c r="B18567">
        <f>TEXT(18566, "[$-0E0000]yyyy-mm-dd")</f>
        <v/>
      </c>
      <c r="C18567" t="inlineStr">
        <is>
          <t>1950-09-21</t>
        </is>
      </c>
    </row>
    <row r="18568">
      <c r="A18568" s="1" t="n">
        <v>18567</v>
      </c>
      <c r="B18568">
        <f>TEXT(18567, "[$-0E0000]yyyy-mm-dd")</f>
        <v/>
      </c>
      <c r="C18568" t="inlineStr">
        <is>
          <t>1950-09-22</t>
        </is>
      </c>
    </row>
    <row r="18569">
      <c r="A18569" s="1" t="n">
        <v>18568</v>
      </c>
      <c r="B18569">
        <f>TEXT(18568, "[$-0E0000]yyyy-mm-dd")</f>
        <v/>
      </c>
      <c r="C18569" t="inlineStr">
        <is>
          <t>1950-09-23</t>
        </is>
      </c>
    </row>
    <row r="18570">
      <c r="A18570" s="1" t="n">
        <v>18569</v>
      </c>
      <c r="B18570">
        <f>TEXT(18569, "[$-0E0000]yyyy-mm-dd")</f>
        <v/>
      </c>
      <c r="C18570" t="inlineStr">
        <is>
          <t>1950-09-24</t>
        </is>
      </c>
    </row>
    <row r="18571">
      <c r="A18571" s="1" t="n">
        <v>18570</v>
      </c>
      <c r="B18571">
        <f>TEXT(18570, "[$-0E0000]yyyy-mm-dd")</f>
        <v/>
      </c>
      <c r="C18571" t="inlineStr">
        <is>
          <t>1950-09-25</t>
        </is>
      </c>
    </row>
    <row r="18572">
      <c r="A18572" s="1" t="n">
        <v>18571</v>
      </c>
      <c r="B18572">
        <f>TEXT(18571, "[$-0E0000]yyyy-mm-dd")</f>
        <v/>
      </c>
      <c r="C18572" t="inlineStr">
        <is>
          <t>1950-09-26</t>
        </is>
      </c>
    </row>
    <row r="18573">
      <c r="A18573" s="1" t="n">
        <v>18572</v>
      </c>
      <c r="B18573">
        <f>TEXT(18572, "[$-0E0000]yyyy-mm-dd")</f>
        <v/>
      </c>
      <c r="C18573" t="inlineStr">
        <is>
          <t>1950-09-27</t>
        </is>
      </c>
    </row>
    <row r="18574">
      <c r="A18574" s="1" t="n">
        <v>18573</v>
      </c>
      <c r="B18574">
        <f>TEXT(18573, "[$-0E0000]yyyy-mm-dd")</f>
        <v/>
      </c>
      <c r="C18574" t="inlineStr">
        <is>
          <t>1950-09-28</t>
        </is>
      </c>
    </row>
    <row r="18575">
      <c r="A18575" s="1" t="n">
        <v>18574</v>
      </c>
      <c r="B18575">
        <f>TEXT(18574, "[$-0E0000]yyyy-mm-dd")</f>
        <v/>
      </c>
      <c r="C18575" t="inlineStr">
        <is>
          <t>1950-09-29</t>
        </is>
      </c>
    </row>
    <row r="18576">
      <c r="A18576" s="1" t="n">
        <v>18575</v>
      </c>
      <c r="B18576">
        <f>TEXT(18575, "[$-0E0000]yyyy-mm-dd")</f>
        <v/>
      </c>
      <c r="C18576" t="inlineStr">
        <is>
          <t>1950-09-30</t>
        </is>
      </c>
    </row>
    <row r="18577">
      <c r="A18577" s="1" t="n">
        <v>18576</v>
      </c>
      <c r="B18577">
        <f>TEXT(18576, "[$-0E0000]yyyy-mm-dd")</f>
        <v/>
      </c>
      <c r="C18577" t="inlineStr">
        <is>
          <t>1950-10-01</t>
        </is>
      </c>
    </row>
    <row r="18578">
      <c r="A18578" s="1" t="n">
        <v>18577</v>
      </c>
      <c r="B18578">
        <f>TEXT(18577, "[$-0E0000]yyyy-mm-dd")</f>
        <v/>
      </c>
      <c r="C18578" t="inlineStr">
        <is>
          <t>1950-10-02</t>
        </is>
      </c>
    </row>
    <row r="18579">
      <c r="A18579" s="1" t="n">
        <v>18578</v>
      </c>
      <c r="B18579">
        <f>TEXT(18578, "[$-0E0000]yyyy-mm-dd")</f>
        <v/>
      </c>
      <c r="C18579" t="inlineStr">
        <is>
          <t>1950-10-03</t>
        </is>
      </c>
    </row>
    <row r="18580">
      <c r="A18580" s="1" t="n">
        <v>18579</v>
      </c>
      <c r="B18580">
        <f>TEXT(18579, "[$-0E0000]yyyy-mm-dd")</f>
        <v/>
      </c>
      <c r="C18580" t="inlineStr">
        <is>
          <t>1950-10-04</t>
        </is>
      </c>
    </row>
    <row r="18581">
      <c r="A18581" s="1" t="n">
        <v>18580</v>
      </c>
      <c r="B18581">
        <f>TEXT(18580, "[$-0E0000]yyyy-mm-dd")</f>
        <v/>
      </c>
      <c r="C18581" t="inlineStr">
        <is>
          <t>1950-10-05</t>
        </is>
      </c>
    </row>
    <row r="18582">
      <c r="A18582" s="1" t="n">
        <v>18581</v>
      </c>
      <c r="B18582">
        <f>TEXT(18581, "[$-0E0000]yyyy-mm-dd")</f>
        <v/>
      </c>
      <c r="C18582" t="inlineStr">
        <is>
          <t>1950-10-06</t>
        </is>
      </c>
    </row>
    <row r="18583">
      <c r="A18583" s="1" t="n">
        <v>18582</v>
      </c>
      <c r="B18583">
        <f>TEXT(18582, "[$-0E0000]yyyy-mm-dd")</f>
        <v/>
      </c>
      <c r="C18583" t="inlineStr">
        <is>
          <t>1950-10-07</t>
        </is>
      </c>
    </row>
    <row r="18584">
      <c r="A18584" s="1" t="n">
        <v>18583</v>
      </c>
      <c r="B18584">
        <f>TEXT(18583, "[$-0E0000]yyyy-mm-dd")</f>
        <v/>
      </c>
      <c r="C18584" t="inlineStr">
        <is>
          <t>1950-10-08</t>
        </is>
      </c>
    </row>
    <row r="18585">
      <c r="A18585" s="1" t="n">
        <v>18584</v>
      </c>
      <c r="B18585">
        <f>TEXT(18584, "[$-0E0000]yyyy-mm-dd")</f>
        <v/>
      </c>
      <c r="C18585" t="inlineStr">
        <is>
          <t>1950-10-09</t>
        </is>
      </c>
    </row>
    <row r="18586">
      <c r="A18586" s="1" t="n">
        <v>18585</v>
      </c>
      <c r="B18586">
        <f>TEXT(18585, "[$-0E0000]yyyy-mm-dd")</f>
        <v/>
      </c>
      <c r="C18586" t="inlineStr">
        <is>
          <t>1950-10-10</t>
        </is>
      </c>
    </row>
    <row r="18587">
      <c r="A18587" s="1" t="n">
        <v>18586</v>
      </c>
      <c r="B18587">
        <f>TEXT(18586, "[$-0E0000]yyyy-mm-dd")</f>
        <v/>
      </c>
      <c r="C18587" t="inlineStr">
        <is>
          <t>1950-10-11</t>
        </is>
      </c>
    </row>
    <row r="18588">
      <c r="A18588" s="1" t="n">
        <v>18587</v>
      </c>
      <c r="B18588">
        <f>TEXT(18587, "[$-0E0000]yyyy-mm-dd")</f>
        <v/>
      </c>
      <c r="C18588" t="inlineStr">
        <is>
          <t>1950-10-12</t>
        </is>
      </c>
    </row>
    <row r="18589">
      <c r="A18589" s="1" t="n">
        <v>18588</v>
      </c>
      <c r="B18589">
        <f>TEXT(18588, "[$-0E0000]yyyy-mm-dd")</f>
        <v/>
      </c>
      <c r="C18589" t="inlineStr">
        <is>
          <t>1950-10-13</t>
        </is>
      </c>
    </row>
    <row r="18590">
      <c r="A18590" s="1" t="n">
        <v>18589</v>
      </c>
      <c r="B18590">
        <f>TEXT(18589, "[$-0E0000]yyyy-mm-dd")</f>
        <v/>
      </c>
      <c r="C18590" t="inlineStr">
        <is>
          <t>1950-10-14</t>
        </is>
      </c>
    </row>
    <row r="18591">
      <c r="A18591" s="1" t="n">
        <v>18590</v>
      </c>
      <c r="B18591">
        <f>TEXT(18590, "[$-0E0000]yyyy-mm-dd")</f>
        <v/>
      </c>
      <c r="C18591" t="inlineStr">
        <is>
          <t>1950-10-15</t>
        </is>
      </c>
    </row>
    <row r="18592">
      <c r="A18592" s="1" t="n">
        <v>18591</v>
      </c>
      <c r="B18592">
        <f>TEXT(18591, "[$-0E0000]yyyy-mm-dd")</f>
        <v/>
      </c>
      <c r="C18592" t="inlineStr">
        <is>
          <t>1950-10-16</t>
        </is>
      </c>
    </row>
    <row r="18593">
      <c r="A18593" s="1" t="n">
        <v>18592</v>
      </c>
      <c r="B18593">
        <f>TEXT(18592, "[$-0E0000]yyyy-mm-dd")</f>
        <v/>
      </c>
      <c r="C18593" t="inlineStr">
        <is>
          <t>1950-10-17</t>
        </is>
      </c>
    </row>
    <row r="18594">
      <c r="A18594" s="1" t="n">
        <v>18593</v>
      </c>
      <c r="B18594">
        <f>TEXT(18593, "[$-0E0000]yyyy-mm-dd")</f>
        <v/>
      </c>
      <c r="C18594" t="inlineStr">
        <is>
          <t>1950-10-18</t>
        </is>
      </c>
    </row>
    <row r="18595">
      <c r="A18595" s="1" t="n">
        <v>18594</v>
      </c>
      <c r="B18595">
        <f>TEXT(18594, "[$-0E0000]yyyy-mm-dd")</f>
        <v/>
      </c>
      <c r="C18595" t="inlineStr">
        <is>
          <t>1950-10-19</t>
        </is>
      </c>
    </row>
    <row r="18596">
      <c r="A18596" s="1" t="n">
        <v>18595</v>
      </c>
      <c r="B18596">
        <f>TEXT(18595, "[$-0E0000]yyyy-mm-dd")</f>
        <v/>
      </c>
      <c r="C18596" t="inlineStr">
        <is>
          <t>1950-10-20</t>
        </is>
      </c>
    </row>
    <row r="18597">
      <c r="A18597" s="1" t="n">
        <v>18596</v>
      </c>
      <c r="B18597">
        <f>TEXT(18596, "[$-0E0000]yyyy-mm-dd")</f>
        <v/>
      </c>
      <c r="C18597" t="inlineStr">
        <is>
          <t>1950-10-21</t>
        </is>
      </c>
    </row>
    <row r="18598">
      <c r="A18598" s="1" t="n">
        <v>18597</v>
      </c>
      <c r="B18598">
        <f>TEXT(18597, "[$-0E0000]yyyy-mm-dd")</f>
        <v/>
      </c>
      <c r="C18598" t="inlineStr">
        <is>
          <t>1950-10-22</t>
        </is>
      </c>
    </row>
    <row r="18599">
      <c r="A18599" s="1" t="n">
        <v>18598</v>
      </c>
      <c r="B18599">
        <f>TEXT(18598, "[$-0E0000]yyyy-mm-dd")</f>
        <v/>
      </c>
      <c r="C18599" t="inlineStr">
        <is>
          <t>1950-10-23</t>
        </is>
      </c>
    </row>
    <row r="18600">
      <c r="A18600" s="1" t="n">
        <v>18599</v>
      </c>
      <c r="B18600">
        <f>TEXT(18599, "[$-0E0000]yyyy-mm-dd")</f>
        <v/>
      </c>
      <c r="C18600" t="inlineStr">
        <is>
          <t>1950-10-24</t>
        </is>
      </c>
    </row>
    <row r="18601">
      <c r="A18601" s="1" t="n">
        <v>18600</v>
      </c>
      <c r="B18601">
        <f>TEXT(18600, "[$-0E0000]yyyy-mm-dd")</f>
        <v/>
      </c>
      <c r="C18601" t="inlineStr">
        <is>
          <t>1950-10-25</t>
        </is>
      </c>
    </row>
    <row r="18602">
      <c r="A18602" s="1" t="n">
        <v>18601</v>
      </c>
      <c r="B18602">
        <f>TEXT(18601, "[$-0E0000]yyyy-mm-dd")</f>
        <v/>
      </c>
      <c r="C18602" t="inlineStr">
        <is>
          <t>1950-10-26</t>
        </is>
      </c>
    </row>
    <row r="18603">
      <c r="A18603" s="1" t="n">
        <v>18602</v>
      </c>
      <c r="B18603">
        <f>TEXT(18602, "[$-0E0000]yyyy-mm-dd")</f>
        <v/>
      </c>
      <c r="C18603" t="inlineStr">
        <is>
          <t>1950-10-27</t>
        </is>
      </c>
    </row>
    <row r="18604">
      <c r="A18604" s="1" t="n">
        <v>18603</v>
      </c>
      <c r="B18604">
        <f>TEXT(18603, "[$-0E0000]yyyy-mm-dd")</f>
        <v/>
      </c>
      <c r="C18604" t="inlineStr">
        <is>
          <t>1950-10-28</t>
        </is>
      </c>
    </row>
    <row r="18605">
      <c r="A18605" s="1" t="n">
        <v>18604</v>
      </c>
      <c r="B18605">
        <f>TEXT(18604, "[$-0E0000]yyyy-mm-dd")</f>
        <v/>
      </c>
      <c r="C18605" t="inlineStr">
        <is>
          <t>1950-10-29</t>
        </is>
      </c>
    </row>
    <row r="18606">
      <c r="A18606" s="1" t="n">
        <v>18605</v>
      </c>
      <c r="B18606">
        <f>TEXT(18605, "[$-0E0000]yyyy-mm-dd")</f>
        <v/>
      </c>
      <c r="C18606" t="inlineStr">
        <is>
          <t>1950-11-01</t>
        </is>
      </c>
    </row>
    <row r="18607">
      <c r="A18607" s="1" t="n">
        <v>18606</v>
      </c>
      <c r="B18607">
        <f>TEXT(18606, "[$-0E0000]yyyy-mm-dd")</f>
        <v/>
      </c>
      <c r="C18607" t="inlineStr">
        <is>
          <t>1950-11-02</t>
        </is>
      </c>
    </row>
    <row r="18608">
      <c r="A18608" s="1" t="n">
        <v>18607</v>
      </c>
      <c r="B18608">
        <f>TEXT(18607, "[$-0E0000]yyyy-mm-dd")</f>
        <v/>
      </c>
      <c r="C18608" t="inlineStr">
        <is>
          <t>1950-11-03</t>
        </is>
      </c>
    </row>
    <row r="18609">
      <c r="A18609" s="1" t="n">
        <v>18608</v>
      </c>
      <c r="B18609">
        <f>TEXT(18608, "[$-0E0000]yyyy-mm-dd")</f>
        <v/>
      </c>
      <c r="C18609" t="inlineStr">
        <is>
          <t>1950-11-04</t>
        </is>
      </c>
    </row>
    <row r="18610">
      <c r="A18610" s="1" t="n">
        <v>18609</v>
      </c>
      <c r="B18610">
        <f>TEXT(18609, "[$-0E0000]yyyy-mm-dd")</f>
        <v/>
      </c>
      <c r="C18610" t="inlineStr">
        <is>
          <t>1950-11-05</t>
        </is>
      </c>
    </row>
    <row r="18611">
      <c r="A18611" s="1" t="n">
        <v>18610</v>
      </c>
      <c r="B18611">
        <f>TEXT(18610, "[$-0E0000]yyyy-mm-dd")</f>
        <v/>
      </c>
      <c r="C18611" t="inlineStr">
        <is>
          <t>1950-11-06</t>
        </is>
      </c>
    </row>
    <row r="18612">
      <c r="A18612" s="1" t="n">
        <v>18611</v>
      </c>
      <c r="B18612">
        <f>TEXT(18611, "[$-0E0000]yyyy-mm-dd")</f>
        <v/>
      </c>
      <c r="C18612" t="inlineStr">
        <is>
          <t>1950-11-07</t>
        </is>
      </c>
    </row>
    <row r="18613">
      <c r="A18613" s="1" t="n">
        <v>18612</v>
      </c>
      <c r="B18613">
        <f>TEXT(18612, "[$-0E0000]yyyy-mm-dd")</f>
        <v/>
      </c>
      <c r="C18613" t="inlineStr">
        <is>
          <t>1950-11-08</t>
        </is>
      </c>
    </row>
    <row r="18614">
      <c r="A18614" s="1" t="n">
        <v>18613</v>
      </c>
      <c r="B18614">
        <f>TEXT(18613, "[$-0E0000]yyyy-mm-dd")</f>
        <v/>
      </c>
      <c r="C18614" t="inlineStr">
        <is>
          <t>1950-11-09</t>
        </is>
      </c>
    </row>
    <row r="18615">
      <c r="A18615" s="1" t="n">
        <v>18614</v>
      </c>
      <c r="B18615">
        <f>TEXT(18614, "[$-0E0000]yyyy-mm-dd")</f>
        <v/>
      </c>
      <c r="C18615" t="inlineStr">
        <is>
          <t>1950-11-10</t>
        </is>
      </c>
    </row>
    <row r="18616">
      <c r="A18616" s="1" t="n">
        <v>18615</v>
      </c>
      <c r="B18616">
        <f>TEXT(18615, "[$-0E0000]yyyy-mm-dd")</f>
        <v/>
      </c>
      <c r="C18616" t="inlineStr">
        <is>
          <t>1950-11-11</t>
        </is>
      </c>
    </row>
    <row r="18617">
      <c r="A18617" s="1" t="n">
        <v>18616</v>
      </c>
      <c r="B18617">
        <f>TEXT(18616, "[$-0E0000]yyyy-mm-dd")</f>
        <v/>
      </c>
      <c r="C18617" t="inlineStr">
        <is>
          <t>1950-11-12</t>
        </is>
      </c>
    </row>
    <row r="18618">
      <c r="A18618" s="1" t="n">
        <v>18617</v>
      </c>
      <c r="B18618">
        <f>TEXT(18617, "[$-0E0000]yyyy-mm-dd")</f>
        <v/>
      </c>
      <c r="C18618" t="inlineStr">
        <is>
          <t>1950-11-13</t>
        </is>
      </c>
    </row>
    <row r="18619">
      <c r="A18619" s="1" t="n">
        <v>18618</v>
      </c>
      <c r="B18619">
        <f>TEXT(18618, "[$-0E0000]yyyy-mm-dd")</f>
        <v/>
      </c>
      <c r="C18619" t="inlineStr">
        <is>
          <t>1950-11-14</t>
        </is>
      </c>
    </row>
    <row r="18620">
      <c r="A18620" s="1" t="n">
        <v>18619</v>
      </c>
      <c r="B18620">
        <f>TEXT(18619, "[$-0E0000]yyyy-mm-dd")</f>
        <v/>
      </c>
      <c r="C18620" t="inlineStr">
        <is>
          <t>1950-11-15</t>
        </is>
      </c>
    </row>
    <row r="18621">
      <c r="A18621" s="1" t="n">
        <v>18620</v>
      </c>
      <c r="B18621">
        <f>TEXT(18620, "[$-0E0000]yyyy-mm-dd")</f>
        <v/>
      </c>
      <c r="C18621" t="inlineStr">
        <is>
          <t>1950-11-16</t>
        </is>
      </c>
    </row>
    <row r="18622">
      <c r="A18622" s="1" t="n">
        <v>18621</v>
      </c>
      <c r="B18622">
        <f>TEXT(18621, "[$-0E0000]yyyy-mm-dd")</f>
        <v/>
      </c>
      <c r="C18622" t="inlineStr">
        <is>
          <t>1950-11-17</t>
        </is>
      </c>
    </row>
    <row r="18623">
      <c r="A18623" s="1" t="n">
        <v>18622</v>
      </c>
      <c r="B18623">
        <f>TEXT(18622, "[$-0E0000]yyyy-mm-dd")</f>
        <v/>
      </c>
      <c r="C18623" t="inlineStr">
        <is>
          <t>1950-11-18</t>
        </is>
      </c>
    </row>
    <row r="18624">
      <c r="A18624" s="1" t="n">
        <v>18623</v>
      </c>
      <c r="B18624">
        <f>TEXT(18623, "[$-0E0000]yyyy-mm-dd")</f>
        <v/>
      </c>
      <c r="C18624" t="inlineStr">
        <is>
          <t>1950-11-19</t>
        </is>
      </c>
    </row>
    <row r="18625">
      <c r="A18625" s="1" t="n">
        <v>18624</v>
      </c>
      <c r="B18625">
        <f>TEXT(18624, "[$-0E0000]yyyy-mm-dd")</f>
        <v/>
      </c>
      <c r="C18625" t="inlineStr">
        <is>
          <t>1950-11-20</t>
        </is>
      </c>
    </row>
    <row r="18626">
      <c r="A18626" s="1" t="n">
        <v>18625</v>
      </c>
      <c r="B18626">
        <f>TEXT(18625, "[$-0E0000]yyyy-mm-dd")</f>
        <v/>
      </c>
      <c r="C18626" t="inlineStr">
        <is>
          <t>1950-11-21</t>
        </is>
      </c>
    </row>
    <row r="18627">
      <c r="A18627" s="1" t="n">
        <v>18626</v>
      </c>
      <c r="B18627">
        <f>TEXT(18626, "[$-0E0000]yyyy-mm-dd")</f>
        <v/>
      </c>
      <c r="C18627" t="inlineStr">
        <is>
          <t>1950-11-22</t>
        </is>
      </c>
    </row>
    <row r="18628">
      <c r="A18628" s="1" t="n">
        <v>18627</v>
      </c>
      <c r="B18628">
        <f>TEXT(18627, "[$-0E0000]yyyy-mm-dd")</f>
        <v/>
      </c>
      <c r="C18628" t="inlineStr">
        <is>
          <t>1950-11-23</t>
        </is>
      </c>
    </row>
    <row r="18629">
      <c r="A18629" s="1" t="n">
        <v>18628</v>
      </c>
      <c r="B18629">
        <f>TEXT(18628, "[$-0E0000]yyyy-mm-dd")</f>
        <v/>
      </c>
      <c r="C18629" t="inlineStr">
        <is>
          <t>1950-11-24</t>
        </is>
      </c>
    </row>
    <row r="18630">
      <c r="A18630" s="1" t="n">
        <v>18629</v>
      </c>
      <c r="B18630">
        <f>TEXT(18629, "[$-0E0000]yyyy-mm-dd")</f>
        <v/>
      </c>
      <c r="C18630" t="inlineStr">
        <is>
          <t>1950-11-25</t>
        </is>
      </c>
    </row>
    <row r="18631">
      <c r="A18631" s="1" t="n">
        <v>18630</v>
      </c>
      <c r="B18631">
        <f>TEXT(18630, "[$-0E0000]yyyy-mm-dd")</f>
        <v/>
      </c>
      <c r="C18631" t="inlineStr">
        <is>
          <t>1950-11-26</t>
        </is>
      </c>
    </row>
    <row r="18632">
      <c r="A18632" s="1" t="n">
        <v>18631</v>
      </c>
      <c r="B18632">
        <f>TEXT(18631, "[$-0E0000]yyyy-mm-dd")</f>
        <v/>
      </c>
      <c r="C18632" t="inlineStr">
        <is>
          <t>1950-11-27</t>
        </is>
      </c>
    </row>
    <row r="18633">
      <c r="A18633" s="1" t="n">
        <v>18632</v>
      </c>
      <c r="B18633">
        <f>TEXT(18632, "[$-0E0000]yyyy-mm-dd")</f>
        <v/>
      </c>
      <c r="C18633" t="inlineStr">
        <is>
          <t>1950-11-28</t>
        </is>
      </c>
    </row>
    <row r="18634">
      <c r="A18634" s="1" t="n">
        <v>18633</v>
      </c>
      <c r="B18634">
        <f>TEXT(18633, "[$-0E0000]yyyy-mm-dd")</f>
        <v/>
      </c>
      <c r="C18634" t="inlineStr">
        <is>
          <t>1950-11-29</t>
        </is>
      </c>
    </row>
    <row r="18635">
      <c r="A18635" s="1" t="n">
        <v>18634</v>
      </c>
      <c r="B18635">
        <f>TEXT(18634, "[$-0E0000]yyyy-mm-dd")</f>
        <v/>
      </c>
      <c r="C18635" t="inlineStr">
        <is>
          <t>1950-11-30</t>
        </is>
      </c>
    </row>
    <row r="18636">
      <c r="A18636" s="1" t="n">
        <v>18635</v>
      </c>
      <c r="B18636">
        <f>TEXT(18635, "[$-0E0000]yyyy-mm-dd")</f>
        <v/>
      </c>
      <c r="C18636" t="inlineStr">
        <is>
          <t>1950-12-01</t>
        </is>
      </c>
    </row>
    <row r="18637">
      <c r="A18637" s="1" t="n">
        <v>18636</v>
      </c>
      <c r="B18637">
        <f>TEXT(18636, "[$-0E0000]yyyy-mm-dd")</f>
        <v/>
      </c>
      <c r="C18637" t="inlineStr">
        <is>
          <t>1950-12-02</t>
        </is>
      </c>
    </row>
    <row r="18638">
      <c r="A18638" s="1" t="n">
        <v>18637</v>
      </c>
      <c r="B18638">
        <f>TEXT(18637, "[$-0E0000]yyyy-mm-dd")</f>
        <v/>
      </c>
      <c r="C18638" t="inlineStr">
        <is>
          <t>1950-12-03</t>
        </is>
      </c>
    </row>
    <row r="18639">
      <c r="A18639" s="1" t="n">
        <v>18638</v>
      </c>
      <c r="B18639">
        <f>TEXT(18638, "[$-0E0000]yyyy-mm-dd")</f>
        <v/>
      </c>
      <c r="C18639" t="inlineStr">
        <is>
          <t>1950-12-04</t>
        </is>
      </c>
    </row>
    <row r="18640">
      <c r="A18640" s="1" t="n">
        <v>18639</v>
      </c>
      <c r="B18640">
        <f>TEXT(18639, "[$-0E0000]yyyy-mm-dd")</f>
        <v/>
      </c>
      <c r="C18640" t="inlineStr">
        <is>
          <t>1950-12-05</t>
        </is>
      </c>
    </row>
    <row r="18641">
      <c r="A18641" s="1" t="n">
        <v>18640</v>
      </c>
      <c r="B18641">
        <f>TEXT(18640, "[$-0E0000]yyyy-mm-dd")</f>
        <v/>
      </c>
      <c r="C18641" t="inlineStr">
        <is>
          <t>1950-12-06</t>
        </is>
      </c>
    </row>
    <row r="18642">
      <c r="A18642" s="1" t="n">
        <v>18641</v>
      </c>
      <c r="B18642">
        <f>TEXT(18641, "[$-0E0000]yyyy-mm-dd")</f>
        <v/>
      </c>
      <c r="C18642" t="inlineStr">
        <is>
          <t>1950-12-07</t>
        </is>
      </c>
    </row>
    <row r="18643">
      <c r="A18643" s="1" t="n">
        <v>18642</v>
      </c>
      <c r="B18643">
        <f>TEXT(18642, "[$-0E0000]yyyy-mm-dd")</f>
        <v/>
      </c>
      <c r="C18643" t="inlineStr">
        <is>
          <t>1950-12-08</t>
        </is>
      </c>
    </row>
    <row r="18644">
      <c r="A18644" s="1" t="n">
        <v>18643</v>
      </c>
      <c r="B18644">
        <f>TEXT(18643, "[$-0E0000]yyyy-mm-dd")</f>
        <v/>
      </c>
      <c r="C18644" t="inlineStr">
        <is>
          <t>1950-12-09</t>
        </is>
      </c>
    </row>
    <row r="18645">
      <c r="A18645" s="1" t="n">
        <v>18644</v>
      </c>
      <c r="B18645">
        <f>TEXT(18644, "[$-0E0000]yyyy-mm-dd")</f>
        <v/>
      </c>
      <c r="C18645" t="inlineStr">
        <is>
          <t>1950-12-10</t>
        </is>
      </c>
    </row>
    <row r="18646">
      <c r="A18646" s="1" t="n">
        <v>18645</v>
      </c>
      <c r="B18646">
        <f>TEXT(18645, "[$-0E0000]yyyy-mm-dd")</f>
        <v/>
      </c>
      <c r="C18646" t="inlineStr">
        <is>
          <t>1950-12-11</t>
        </is>
      </c>
    </row>
    <row r="18647">
      <c r="A18647" s="1" t="n">
        <v>18646</v>
      </c>
      <c r="B18647">
        <f>TEXT(18646, "[$-0E0000]yyyy-mm-dd")</f>
        <v/>
      </c>
      <c r="C18647" t="inlineStr">
        <is>
          <t>1950-12-12</t>
        </is>
      </c>
    </row>
    <row r="18648">
      <c r="A18648" s="1" t="n">
        <v>18647</v>
      </c>
      <c r="B18648">
        <f>TEXT(18647, "[$-0E0000]yyyy-mm-dd")</f>
        <v/>
      </c>
      <c r="C18648" t="inlineStr">
        <is>
          <t>1950-12-13</t>
        </is>
      </c>
    </row>
    <row r="18649">
      <c r="A18649" s="1" t="n">
        <v>18648</v>
      </c>
      <c r="B18649">
        <f>TEXT(18648, "[$-0E0000]yyyy-mm-dd")</f>
        <v/>
      </c>
      <c r="C18649" t="inlineStr">
        <is>
          <t>1950-12-14</t>
        </is>
      </c>
    </row>
    <row r="18650">
      <c r="A18650" s="1" t="n">
        <v>18649</v>
      </c>
      <c r="B18650">
        <f>TEXT(18649, "[$-0E0000]yyyy-mm-dd")</f>
        <v/>
      </c>
      <c r="C18650" t="inlineStr">
        <is>
          <t>1950-12-15</t>
        </is>
      </c>
    </row>
    <row r="18651">
      <c r="A18651" s="1" t="n">
        <v>18650</v>
      </c>
      <c r="B18651">
        <f>TEXT(18650, "[$-0E0000]yyyy-mm-dd")</f>
        <v/>
      </c>
      <c r="C18651" t="inlineStr">
        <is>
          <t>1950-12-16</t>
        </is>
      </c>
    </row>
    <row r="18652">
      <c r="A18652" s="1" t="n">
        <v>18651</v>
      </c>
      <c r="B18652">
        <f>TEXT(18651, "[$-0E0000]yyyy-mm-dd")</f>
        <v/>
      </c>
      <c r="C18652" t="inlineStr">
        <is>
          <t>1950-12-17</t>
        </is>
      </c>
    </row>
    <row r="18653">
      <c r="A18653" s="1" t="n">
        <v>18652</v>
      </c>
      <c r="B18653">
        <f>TEXT(18652, "[$-0E0000]yyyy-mm-dd")</f>
        <v/>
      </c>
      <c r="C18653" t="inlineStr">
        <is>
          <t>1950-12-18</t>
        </is>
      </c>
    </row>
    <row r="18654">
      <c r="A18654" s="1" t="n">
        <v>18653</v>
      </c>
      <c r="B18654">
        <f>TEXT(18653, "[$-0E0000]yyyy-mm-dd")</f>
        <v/>
      </c>
      <c r="C18654" t="inlineStr">
        <is>
          <t>1950-12-19</t>
        </is>
      </c>
    </row>
    <row r="18655">
      <c r="A18655" s="1" t="n">
        <v>18654</v>
      </c>
      <c r="B18655">
        <f>TEXT(18654, "[$-0E0000]yyyy-mm-dd")</f>
        <v/>
      </c>
      <c r="C18655" t="inlineStr">
        <is>
          <t>1950-12-20</t>
        </is>
      </c>
    </row>
    <row r="18656">
      <c r="A18656" s="1" t="n">
        <v>18655</v>
      </c>
      <c r="B18656">
        <f>TEXT(18655, "[$-0E0000]yyyy-mm-dd")</f>
        <v/>
      </c>
      <c r="C18656" t="inlineStr">
        <is>
          <t>1950-12-21</t>
        </is>
      </c>
    </row>
    <row r="18657">
      <c r="A18657" s="1" t="n">
        <v>18656</v>
      </c>
      <c r="B18657">
        <f>TEXT(18656, "[$-0E0000]yyyy-mm-dd")</f>
        <v/>
      </c>
      <c r="C18657" t="inlineStr">
        <is>
          <t>1950-12-22</t>
        </is>
      </c>
    </row>
    <row r="18658">
      <c r="A18658" s="1" t="n">
        <v>18657</v>
      </c>
      <c r="B18658">
        <f>TEXT(18657, "[$-0E0000]yyyy-mm-dd")</f>
        <v/>
      </c>
      <c r="C18658" t="inlineStr">
        <is>
          <t>1950-12-23</t>
        </is>
      </c>
    </row>
    <row r="18659">
      <c r="A18659" s="1" t="n">
        <v>18658</v>
      </c>
      <c r="B18659">
        <f>TEXT(18658, "[$-0E0000]yyyy-mm-dd")</f>
        <v/>
      </c>
      <c r="C18659" t="inlineStr">
        <is>
          <t>1950-12-24</t>
        </is>
      </c>
    </row>
    <row r="18660">
      <c r="A18660" s="1" t="n">
        <v>18659</v>
      </c>
      <c r="B18660">
        <f>TEXT(18659, "[$-0E0000]yyyy-mm-dd")</f>
        <v/>
      </c>
      <c r="C18660" t="inlineStr">
        <is>
          <t>1950-12-25</t>
        </is>
      </c>
    </row>
    <row r="18661">
      <c r="A18661" s="1" t="n">
        <v>18660</v>
      </c>
      <c r="B18661">
        <f>TEXT(18660, "[$-0E0000]yyyy-mm-dd")</f>
        <v/>
      </c>
      <c r="C18661" t="inlineStr">
        <is>
          <t>1950-12-26</t>
        </is>
      </c>
    </row>
    <row r="18662">
      <c r="A18662" s="1" t="n">
        <v>18661</v>
      </c>
      <c r="B18662">
        <f>TEXT(18661, "[$-0E0000]yyyy-mm-dd")</f>
        <v/>
      </c>
      <c r="C18662" t="inlineStr">
        <is>
          <t>1950-12-27</t>
        </is>
      </c>
    </row>
    <row r="18663">
      <c r="A18663" s="1" t="n">
        <v>18662</v>
      </c>
      <c r="B18663">
        <f>TEXT(18662, "[$-0E0000]yyyy-mm-dd")</f>
        <v/>
      </c>
      <c r="C18663" t="inlineStr">
        <is>
          <t>1950-12-28</t>
        </is>
      </c>
    </row>
    <row r="18664">
      <c r="A18664" s="1" t="n">
        <v>18663</v>
      </c>
      <c r="B18664">
        <f>TEXT(18663, "[$-0E0000]yyyy-mm-dd")</f>
        <v/>
      </c>
      <c r="C18664" t="inlineStr">
        <is>
          <t>1950-12-29</t>
        </is>
      </c>
    </row>
    <row r="18665">
      <c r="A18665" s="1" t="n">
        <v>18664</v>
      </c>
      <c r="B18665">
        <f>TEXT(18664, "[$-0E0000]yyyy-mm-dd")</f>
        <v/>
      </c>
      <c r="C18665" t="inlineStr">
        <is>
          <t>1951-01-01</t>
        </is>
      </c>
    </row>
    <row r="18666">
      <c r="A18666" s="1" t="n">
        <v>18665</v>
      </c>
      <c r="B18666">
        <f>TEXT(18665, "[$-0E0000]yyyy-mm-dd")</f>
        <v/>
      </c>
      <c r="C18666" t="inlineStr">
        <is>
          <t>1951-01-02</t>
        </is>
      </c>
    </row>
    <row r="18667">
      <c r="A18667" s="1" t="n">
        <v>18666</v>
      </c>
      <c r="B18667">
        <f>TEXT(18666, "[$-0E0000]yyyy-mm-dd")</f>
        <v/>
      </c>
      <c r="C18667" t="inlineStr">
        <is>
          <t>1951-01-03</t>
        </is>
      </c>
    </row>
    <row r="18668">
      <c r="A18668" s="1" t="n">
        <v>18667</v>
      </c>
      <c r="B18668">
        <f>TEXT(18667, "[$-0E0000]yyyy-mm-dd")</f>
        <v/>
      </c>
      <c r="C18668" t="inlineStr">
        <is>
          <t>1951-01-04</t>
        </is>
      </c>
    </row>
    <row r="18669">
      <c r="A18669" s="1" t="n">
        <v>18668</v>
      </c>
      <c r="B18669">
        <f>TEXT(18668, "[$-0E0000]yyyy-mm-dd")</f>
        <v/>
      </c>
      <c r="C18669" t="inlineStr">
        <is>
          <t>1951-01-05</t>
        </is>
      </c>
    </row>
    <row r="18670">
      <c r="A18670" s="1" t="n">
        <v>18669</v>
      </c>
      <c r="B18670">
        <f>TEXT(18669, "[$-0E0000]yyyy-mm-dd")</f>
        <v/>
      </c>
      <c r="C18670" t="inlineStr">
        <is>
          <t>1951-01-06</t>
        </is>
      </c>
    </row>
    <row r="18671">
      <c r="A18671" s="1" t="n">
        <v>18670</v>
      </c>
      <c r="B18671">
        <f>TEXT(18670, "[$-0E0000]yyyy-mm-dd")</f>
        <v/>
      </c>
      <c r="C18671" t="inlineStr">
        <is>
          <t>1951-01-07</t>
        </is>
      </c>
    </row>
    <row r="18672">
      <c r="A18672" s="1" t="n">
        <v>18671</v>
      </c>
      <c r="B18672">
        <f>TEXT(18671, "[$-0E0000]yyyy-mm-dd")</f>
        <v/>
      </c>
      <c r="C18672" t="inlineStr">
        <is>
          <t>1951-01-08</t>
        </is>
      </c>
    </row>
    <row r="18673">
      <c r="A18673" s="1" t="n">
        <v>18672</v>
      </c>
      <c r="B18673">
        <f>TEXT(18672, "[$-0E0000]yyyy-mm-dd")</f>
        <v/>
      </c>
      <c r="C18673" t="inlineStr">
        <is>
          <t>1951-01-09</t>
        </is>
      </c>
    </row>
    <row r="18674">
      <c r="A18674" s="1" t="n">
        <v>18673</v>
      </c>
      <c r="B18674">
        <f>TEXT(18673, "[$-0E0000]yyyy-mm-dd")</f>
        <v/>
      </c>
      <c r="C18674" t="inlineStr">
        <is>
          <t>1951-01-10</t>
        </is>
      </c>
    </row>
    <row r="18675">
      <c r="A18675" s="1" t="n">
        <v>18674</v>
      </c>
      <c r="B18675">
        <f>TEXT(18674, "[$-0E0000]yyyy-mm-dd")</f>
        <v/>
      </c>
      <c r="C18675" t="inlineStr">
        <is>
          <t>1951-01-11</t>
        </is>
      </c>
    </row>
    <row r="18676">
      <c r="A18676" s="1" t="n">
        <v>18675</v>
      </c>
      <c r="B18676">
        <f>TEXT(18675, "[$-0E0000]yyyy-mm-dd")</f>
        <v/>
      </c>
      <c r="C18676" t="inlineStr">
        <is>
          <t>1951-01-12</t>
        </is>
      </c>
    </row>
    <row r="18677">
      <c r="A18677" s="1" t="n">
        <v>18676</v>
      </c>
      <c r="B18677">
        <f>TEXT(18676, "[$-0E0000]yyyy-mm-dd")</f>
        <v/>
      </c>
      <c r="C18677" t="inlineStr">
        <is>
          <t>1951-01-13</t>
        </is>
      </c>
    </row>
    <row r="18678">
      <c r="A18678" s="1" t="n">
        <v>18677</v>
      </c>
      <c r="B18678">
        <f>TEXT(18677, "[$-0E0000]yyyy-mm-dd")</f>
        <v/>
      </c>
      <c r="C18678" t="inlineStr">
        <is>
          <t>1951-01-14</t>
        </is>
      </c>
    </row>
    <row r="18679">
      <c r="A18679" s="1" t="n">
        <v>18678</v>
      </c>
      <c r="B18679">
        <f>TEXT(18678, "[$-0E0000]yyyy-mm-dd")</f>
        <v/>
      </c>
      <c r="C18679" t="inlineStr">
        <is>
          <t>1951-01-15</t>
        </is>
      </c>
    </row>
    <row r="18680">
      <c r="A18680" s="1" t="n">
        <v>18679</v>
      </c>
      <c r="B18680">
        <f>TEXT(18679, "[$-0E0000]yyyy-mm-dd")</f>
        <v/>
      </c>
      <c r="C18680" t="inlineStr">
        <is>
          <t>1951-01-16</t>
        </is>
      </c>
    </row>
    <row r="18681">
      <c r="A18681" s="1" t="n">
        <v>18680</v>
      </c>
      <c r="B18681">
        <f>TEXT(18680, "[$-0E0000]yyyy-mm-dd")</f>
        <v/>
      </c>
      <c r="C18681" t="inlineStr">
        <is>
          <t>1951-01-17</t>
        </is>
      </c>
    </row>
    <row r="18682">
      <c r="A18682" s="1" t="n">
        <v>18681</v>
      </c>
      <c r="B18682">
        <f>TEXT(18681, "[$-0E0000]yyyy-mm-dd")</f>
        <v/>
      </c>
      <c r="C18682" t="inlineStr">
        <is>
          <t>1951-01-18</t>
        </is>
      </c>
    </row>
    <row r="18683">
      <c r="A18683" s="1" t="n">
        <v>18682</v>
      </c>
      <c r="B18683">
        <f>TEXT(18682, "[$-0E0000]yyyy-mm-dd")</f>
        <v/>
      </c>
      <c r="C18683" t="inlineStr">
        <is>
          <t>1951-01-19</t>
        </is>
      </c>
    </row>
    <row r="18684">
      <c r="A18684" s="1" t="n">
        <v>18683</v>
      </c>
      <c r="B18684">
        <f>TEXT(18683, "[$-0E0000]yyyy-mm-dd")</f>
        <v/>
      </c>
      <c r="C18684" t="inlineStr">
        <is>
          <t>1951-01-20</t>
        </is>
      </c>
    </row>
    <row r="18685">
      <c r="A18685" s="1" t="n">
        <v>18684</v>
      </c>
      <c r="B18685">
        <f>TEXT(18684, "[$-0E0000]yyyy-mm-dd")</f>
        <v/>
      </c>
      <c r="C18685" t="inlineStr">
        <is>
          <t>1951-01-21</t>
        </is>
      </c>
    </row>
    <row r="18686">
      <c r="A18686" s="1" t="n">
        <v>18685</v>
      </c>
      <c r="B18686">
        <f>TEXT(18685, "[$-0E0000]yyyy-mm-dd")</f>
        <v/>
      </c>
      <c r="C18686" t="inlineStr">
        <is>
          <t>1951-01-22</t>
        </is>
      </c>
    </row>
    <row r="18687">
      <c r="A18687" s="1" t="n">
        <v>18686</v>
      </c>
      <c r="B18687">
        <f>TEXT(18686, "[$-0E0000]yyyy-mm-dd")</f>
        <v/>
      </c>
      <c r="C18687" t="inlineStr">
        <is>
          <t>1951-01-23</t>
        </is>
      </c>
    </row>
    <row r="18688">
      <c r="A18688" s="1" t="n">
        <v>18687</v>
      </c>
      <c r="B18688">
        <f>TEXT(18687, "[$-0E0000]yyyy-mm-dd")</f>
        <v/>
      </c>
      <c r="C18688" t="inlineStr">
        <is>
          <t>1951-01-24</t>
        </is>
      </c>
    </row>
    <row r="18689">
      <c r="A18689" s="1" t="n">
        <v>18688</v>
      </c>
      <c r="B18689">
        <f>TEXT(18688, "[$-0E0000]yyyy-mm-dd")</f>
        <v/>
      </c>
      <c r="C18689" t="inlineStr">
        <is>
          <t>1951-01-25</t>
        </is>
      </c>
    </row>
    <row r="18690">
      <c r="A18690" s="1" t="n">
        <v>18689</v>
      </c>
      <c r="B18690">
        <f>TEXT(18689, "[$-0E0000]yyyy-mm-dd")</f>
        <v/>
      </c>
      <c r="C18690" t="inlineStr">
        <is>
          <t>1951-01-26</t>
        </is>
      </c>
    </row>
    <row r="18691">
      <c r="A18691" s="1" t="n">
        <v>18690</v>
      </c>
      <c r="B18691">
        <f>TEXT(18690, "[$-0E0000]yyyy-mm-dd")</f>
        <v/>
      </c>
      <c r="C18691" t="inlineStr">
        <is>
          <t>1951-01-27</t>
        </is>
      </c>
    </row>
    <row r="18692">
      <c r="A18692" s="1" t="n">
        <v>18691</v>
      </c>
      <c r="B18692">
        <f>TEXT(18691, "[$-0E0000]yyyy-mm-dd")</f>
        <v/>
      </c>
      <c r="C18692" t="inlineStr">
        <is>
          <t>1951-01-28</t>
        </is>
      </c>
    </row>
    <row r="18693">
      <c r="A18693" s="1" t="n">
        <v>18692</v>
      </c>
      <c r="B18693">
        <f>TEXT(18692, "[$-0E0000]yyyy-mm-dd")</f>
        <v/>
      </c>
      <c r="C18693" t="inlineStr">
        <is>
          <t>1951-01-29</t>
        </is>
      </c>
    </row>
    <row r="18694">
      <c r="A18694" s="1" t="n">
        <v>18693</v>
      </c>
      <c r="B18694">
        <f>TEXT(18693, "[$-0E0000]yyyy-mm-dd")</f>
        <v/>
      </c>
      <c r="C18694" t="inlineStr">
        <is>
          <t>1951-01-30</t>
        </is>
      </c>
    </row>
    <row r="18695">
      <c r="A18695" s="1" t="n">
        <v>18694</v>
      </c>
      <c r="B18695">
        <f>TEXT(18694, "[$-0E0000]yyyy-mm-dd")</f>
        <v/>
      </c>
      <c r="C18695" t="inlineStr">
        <is>
          <t>1951-02-01</t>
        </is>
      </c>
    </row>
    <row r="18696">
      <c r="A18696" s="1" t="n">
        <v>18695</v>
      </c>
      <c r="B18696">
        <f>TEXT(18695, "[$-0E0000]yyyy-mm-dd")</f>
        <v/>
      </c>
      <c r="C18696" t="inlineStr">
        <is>
          <t>1951-02-02</t>
        </is>
      </c>
    </row>
    <row r="18697">
      <c r="A18697" s="1" t="n">
        <v>18696</v>
      </c>
      <c r="B18697">
        <f>TEXT(18696, "[$-0E0000]yyyy-mm-dd")</f>
        <v/>
      </c>
      <c r="C18697" t="inlineStr">
        <is>
          <t>1951-02-03</t>
        </is>
      </c>
    </row>
    <row r="18698">
      <c r="A18698" s="1" t="n">
        <v>18697</v>
      </c>
      <c r="B18698">
        <f>TEXT(18697, "[$-0E0000]yyyy-mm-dd")</f>
        <v/>
      </c>
      <c r="C18698" t="inlineStr">
        <is>
          <t>1951-02-04</t>
        </is>
      </c>
    </row>
    <row r="18699">
      <c r="A18699" s="1" t="n">
        <v>18698</v>
      </c>
      <c r="B18699">
        <f>TEXT(18698, "[$-0E0000]yyyy-mm-dd")</f>
        <v/>
      </c>
      <c r="C18699" t="inlineStr">
        <is>
          <t>1951-02-05</t>
        </is>
      </c>
    </row>
    <row r="18700">
      <c r="A18700" s="1" t="n">
        <v>18699</v>
      </c>
      <c r="B18700">
        <f>TEXT(18699, "[$-0E0000]yyyy-mm-dd")</f>
        <v/>
      </c>
      <c r="C18700" t="inlineStr">
        <is>
          <t>1951-02-06</t>
        </is>
      </c>
    </row>
    <row r="18701">
      <c r="A18701" s="1" t="n">
        <v>18700</v>
      </c>
      <c r="B18701">
        <f>TEXT(18700, "[$-0E0000]yyyy-mm-dd")</f>
        <v/>
      </c>
      <c r="C18701" t="inlineStr">
        <is>
          <t>1951-02-07</t>
        </is>
      </c>
    </row>
    <row r="18702">
      <c r="A18702" s="1" t="n">
        <v>18701</v>
      </c>
      <c r="B18702">
        <f>TEXT(18701, "[$-0E0000]yyyy-mm-dd")</f>
        <v/>
      </c>
      <c r="C18702" t="inlineStr">
        <is>
          <t>1951-02-08</t>
        </is>
      </c>
    </row>
    <row r="18703">
      <c r="A18703" s="1" t="n">
        <v>18702</v>
      </c>
      <c r="B18703">
        <f>TEXT(18702, "[$-0E0000]yyyy-mm-dd")</f>
        <v/>
      </c>
      <c r="C18703" t="inlineStr">
        <is>
          <t>1951-02-09</t>
        </is>
      </c>
    </row>
    <row r="18704">
      <c r="A18704" s="1" t="n">
        <v>18703</v>
      </c>
      <c r="B18704">
        <f>TEXT(18703, "[$-0E0000]yyyy-mm-dd")</f>
        <v/>
      </c>
      <c r="C18704" t="inlineStr">
        <is>
          <t>1951-02-10</t>
        </is>
      </c>
    </row>
    <row r="18705">
      <c r="A18705" s="1" t="n">
        <v>18704</v>
      </c>
      <c r="B18705">
        <f>TEXT(18704, "[$-0E0000]yyyy-mm-dd")</f>
        <v/>
      </c>
      <c r="C18705" t="inlineStr">
        <is>
          <t>1951-02-11</t>
        </is>
      </c>
    </row>
    <row r="18706">
      <c r="A18706" s="1" t="n">
        <v>18705</v>
      </c>
      <c r="B18706">
        <f>TEXT(18705, "[$-0E0000]yyyy-mm-dd")</f>
        <v/>
      </c>
      <c r="C18706" t="inlineStr">
        <is>
          <t>1951-02-12</t>
        </is>
      </c>
    </row>
    <row r="18707">
      <c r="A18707" s="1" t="n">
        <v>18706</v>
      </c>
      <c r="B18707">
        <f>TEXT(18706, "[$-0E0000]yyyy-mm-dd")</f>
        <v/>
      </c>
      <c r="C18707" t="inlineStr">
        <is>
          <t>1951-02-13</t>
        </is>
      </c>
    </row>
    <row r="18708">
      <c r="A18708" s="1" t="n">
        <v>18707</v>
      </c>
      <c r="B18708">
        <f>TEXT(18707, "[$-0E0000]yyyy-mm-dd")</f>
        <v/>
      </c>
      <c r="C18708" t="inlineStr">
        <is>
          <t>1951-02-14</t>
        </is>
      </c>
    </row>
    <row r="18709">
      <c r="A18709" s="1" t="n">
        <v>18708</v>
      </c>
      <c r="B18709">
        <f>TEXT(18708, "[$-0E0000]yyyy-mm-dd")</f>
        <v/>
      </c>
      <c r="C18709" t="inlineStr">
        <is>
          <t>1951-02-15</t>
        </is>
      </c>
    </row>
    <row r="18710">
      <c r="A18710" s="1" t="n">
        <v>18709</v>
      </c>
      <c r="B18710">
        <f>TEXT(18709, "[$-0E0000]yyyy-mm-dd")</f>
        <v/>
      </c>
      <c r="C18710" t="inlineStr">
        <is>
          <t>1951-02-16</t>
        </is>
      </c>
    </row>
    <row r="18711">
      <c r="A18711" s="1" t="n">
        <v>18710</v>
      </c>
      <c r="B18711">
        <f>TEXT(18710, "[$-0E0000]yyyy-mm-dd")</f>
        <v/>
      </c>
      <c r="C18711" t="inlineStr">
        <is>
          <t>1951-02-17</t>
        </is>
      </c>
    </row>
    <row r="18712">
      <c r="A18712" s="1" t="n">
        <v>18711</v>
      </c>
      <c r="B18712">
        <f>TEXT(18711, "[$-0E0000]yyyy-mm-dd")</f>
        <v/>
      </c>
      <c r="C18712" t="inlineStr">
        <is>
          <t>1951-02-18</t>
        </is>
      </c>
    </row>
    <row r="18713">
      <c r="A18713" s="1" t="n">
        <v>18712</v>
      </c>
      <c r="B18713">
        <f>TEXT(18712, "[$-0E0000]yyyy-mm-dd")</f>
        <v/>
      </c>
      <c r="C18713" t="inlineStr">
        <is>
          <t>1951-02-19</t>
        </is>
      </c>
    </row>
    <row r="18714">
      <c r="A18714" s="1" t="n">
        <v>18713</v>
      </c>
      <c r="B18714">
        <f>TEXT(18713, "[$-0E0000]yyyy-mm-dd")</f>
        <v/>
      </c>
      <c r="C18714" t="inlineStr">
        <is>
          <t>1951-02-20</t>
        </is>
      </c>
    </row>
    <row r="18715">
      <c r="A18715" s="1" t="n">
        <v>18714</v>
      </c>
      <c r="B18715">
        <f>TEXT(18714, "[$-0E0000]yyyy-mm-dd")</f>
        <v/>
      </c>
      <c r="C18715" t="inlineStr">
        <is>
          <t>1951-02-21</t>
        </is>
      </c>
    </row>
    <row r="18716">
      <c r="A18716" s="1" t="n">
        <v>18715</v>
      </c>
      <c r="B18716">
        <f>TEXT(18715, "[$-0E0000]yyyy-mm-dd")</f>
        <v/>
      </c>
      <c r="C18716" t="inlineStr">
        <is>
          <t>1951-02-22</t>
        </is>
      </c>
    </row>
    <row r="18717">
      <c r="A18717" s="1" t="n">
        <v>18716</v>
      </c>
      <c r="B18717">
        <f>TEXT(18716, "[$-0E0000]yyyy-mm-dd")</f>
        <v/>
      </c>
      <c r="C18717" t="inlineStr">
        <is>
          <t>1951-02-23</t>
        </is>
      </c>
    </row>
    <row r="18718">
      <c r="A18718" s="1" t="n">
        <v>18717</v>
      </c>
      <c r="B18718">
        <f>TEXT(18717, "[$-0E0000]yyyy-mm-dd")</f>
        <v/>
      </c>
      <c r="C18718" t="inlineStr">
        <is>
          <t>1951-02-24</t>
        </is>
      </c>
    </row>
    <row r="18719">
      <c r="A18719" s="1" t="n">
        <v>18718</v>
      </c>
      <c r="B18719">
        <f>TEXT(18718, "[$-0E0000]yyyy-mm-dd")</f>
        <v/>
      </c>
      <c r="C18719" t="inlineStr">
        <is>
          <t>1951-02-25</t>
        </is>
      </c>
    </row>
    <row r="18720">
      <c r="A18720" s="1" t="n">
        <v>18719</v>
      </c>
      <c r="B18720">
        <f>TEXT(18719, "[$-0E0000]yyyy-mm-dd")</f>
        <v/>
      </c>
      <c r="C18720" t="inlineStr">
        <is>
          <t>1951-02-26</t>
        </is>
      </c>
    </row>
    <row r="18721">
      <c r="A18721" s="1" t="n">
        <v>18720</v>
      </c>
      <c r="B18721">
        <f>TEXT(18720, "[$-0E0000]yyyy-mm-dd")</f>
        <v/>
      </c>
      <c r="C18721" t="inlineStr">
        <is>
          <t>1951-02-27</t>
        </is>
      </c>
    </row>
    <row r="18722">
      <c r="A18722" s="1" t="n">
        <v>18721</v>
      </c>
      <c r="B18722">
        <f>TEXT(18721, "[$-0E0000]yyyy-mm-dd")</f>
        <v/>
      </c>
      <c r="C18722" t="inlineStr">
        <is>
          <t>1951-02-28</t>
        </is>
      </c>
    </row>
    <row r="18723">
      <c r="A18723" s="1" t="n">
        <v>18722</v>
      </c>
      <c r="B18723">
        <f>TEXT(18722, "[$-0E0000]yyyy-mm-dd")</f>
        <v/>
      </c>
      <c r="C18723" t="inlineStr">
        <is>
          <t>1951-02-29</t>
        </is>
      </c>
    </row>
    <row r="18724">
      <c r="A18724" s="1" t="n">
        <v>18723</v>
      </c>
      <c r="B18724">
        <f>TEXT(18723, "[$-0E0000]yyyy-mm-dd")</f>
        <v/>
      </c>
      <c r="C18724" t="inlineStr">
        <is>
          <t>1951-03-01</t>
        </is>
      </c>
    </row>
    <row r="18725">
      <c r="A18725" s="1" t="n">
        <v>18724</v>
      </c>
      <c r="B18725">
        <f>TEXT(18724, "[$-0E0000]yyyy-mm-dd")</f>
        <v/>
      </c>
      <c r="C18725" t="inlineStr">
        <is>
          <t>1951-03-02</t>
        </is>
      </c>
    </row>
    <row r="18726">
      <c r="A18726" s="1" t="n">
        <v>18725</v>
      </c>
      <c r="B18726">
        <f>TEXT(18725, "[$-0E0000]yyyy-mm-dd")</f>
        <v/>
      </c>
      <c r="C18726" t="inlineStr">
        <is>
          <t>1951-03-03</t>
        </is>
      </c>
    </row>
    <row r="18727">
      <c r="A18727" s="1" t="n">
        <v>18726</v>
      </c>
      <c r="B18727">
        <f>TEXT(18726, "[$-0E0000]yyyy-mm-dd")</f>
        <v/>
      </c>
      <c r="C18727" t="inlineStr">
        <is>
          <t>1951-03-04</t>
        </is>
      </c>
    </row>
    <row r="18728">
      <c r="A18728" s="1" t="n">
        <v>18727</v>
      </c>
      <c r="B18728">
        <f>TEXT(18727, "[$-0E0000]yyyy-mm-dd")</f>
        <v/>
      </c>
      <c r="C18728" t="inlineStr">
        <is>
          <t>1951-03-05</t>
        </is>
      </c>
    </row>
    <row r="18729">
      <c r="A18729" s="1" t="n">
        <v>18728</v>
      </c>
      <c r="B18729">
        <f>TEXT(18728, "[$-0E0000]yyyy-mm-dd")</f>
        <v/>
      </c>
      <c r="C18729" t="inlineStr">
        <is>
          <t>1951-03-06</t>
        </is>
      </c>
    </row>
    <row r="18730">
      <c r="A18730" s="1" t="n">
        <v>18729</v>
      </c>
      <c r="B18730">
        <f>TEXT(18729, "[$-0E0000]yyyy-mm-dd")</f>
        <v/>
      </c>
      <c r="C18730" t="inlineStr">
        <is>
          <t>1951-03-07</t>
        </is>
      </c>
    </row>
    <row r="18731">
      <c r="A18731" s="1" t="n">
        <v>18730</v>
      </c>
      <c r="B18731">
        <f>TEXT(18730, "[$-0E0000]yyyy-mm-dd")</f>
        <v/>
      </c>
      <c r="C18731" t="inlineStr">
        <is>
          <t>1951-03-08</t>
        </is>
      </c>
    </row>
    <row r="18732">
      <c r="A18732" s="1" t="n">
        <v>18731</v>
      </c>
      <c r="B18732">
        <f>TEXT(18731, "[$-0E0000]yyyy-mm-dd")</f>
        <v/>
      </c>
      <c r="C18732" t="inlineStr">
        <is>
          <t>1951-03-09</t>
        </is>
      </c>
    </row>
    <row r="18733">
      <c r="A18733" s="1" t="n">
        <v>18732</v>
      </c>
      <c r="B18733">
        <f>TEXT(18732, "[$-0E0000]yyyy-mm-dd")</f>
        <v/>
      </c>
      <c r="C18733" t="inlineStr">
        <is>
          <t>1951-03-10</t>
        </is>
      </c>
    </row>
    <row r="18734">
      <c r="A18734" s="1" t="n">
        <v>18733</v>
      </c>
      <c r="B18734">
        <f>TEXT(18733, "[$-0E0000]yyyy-mm-dd")</f>
        <v/>
      </c>
      <c r="C18734" t="inlineStr">
        <is>
          <t>1951-03-11</t>
        </is>
      </c>
    </row>
    <row r="18735">
      <c r="A18735" s="1" t="n">
        <v>18734</v>
      </c>
      <c r="B18735">
        <f>TEXT(18734, "[$-0E0000]yyyy-mm-dd")</f>
        <v/>
      </c>
      <c r="C18735" t="inlineStr">
        <is>
          <t>1951-03-12</t>
        </is>
      </c>
    </row>
    <row r="18736">
      <c r="A18736" s="1" t="n">
        <v>18735</v>
      </c>
      <c r="B18736">
        <f>TEXT(18735, "[$-0E0000]yyyy-mm-dd")</f>
        <v/>
      </c>
      <c r="C18736" t="inlineStr">
        <is>
          <t>1951-03-13</t>
        </is>
      </c>
    </row>
    <row r="18737">
      <c r="A18737" s="1" t="n">
        <v>18736</v>
      </c>
      <c r="B18737">
        <f>TEXT(18736, "[$-0E0000]yyyy-mm-dd")</f>
        <v/>
      </c>
      <c r="C18737" t="inlineStr">
        <is>
          <t>1951-03-14</t>
        </is>
      </c>
    </row>
    <row r="18738">
      <c r="A18738" s="1" t="n">
        <v>18737</v>
      </c>
      <c r="B18738">
        <f>TEXT(18737, "[$-0E0000]yyyy-mm-dd")</f>
        <v/>
      </c>
      <c r="C18738" t="inlineStr">
        <is>
          <t>1951-03-15</t>
        </is>
      </c>
    </row>
    <row r="18739">
      <c r="A18739" s="1" t="n">
        <v>18738</v>
      </c>
      <c r="B18739">
        <f>TEXT(18738, "[$-0E0000]yyyy-mm-dd")</f>
        <v/>
      </c>
      <c r="C18739" t="inlineStr">
        <is>
          <t>1951-03-16</t>
        </is>
      </c>
    </row>
    <row r="18740">
      <c r="A18740" s="1" t="n">
        <v>18739</v>
      </c>
      <c r="B18740">
        <f>TEXT(18739, "[$-0E0000]yyyy-mm-dd")</f>
        <v/>
      </c>
      <c r="C18740" t="inlineStr">
        <is>
          <t>1951-03-17</t>
        </is>
      </c>
    </row>
    <row r="18741">
      <c r="A18741" s="1" t="n">
        <v>18740</v>
      </c>
      <c r="B18741">
        <f>TEXT(18740, "[$-0E0000]yyyy-mm-dd")</f>
        <v/>
      </c>
      <c r="C18741" t="inlineStr">
        <is>
          <t>1951-03-18</t>
        </is>
      </c>
    </row>
    <row r="18742">
      <c r="A18742" s="1" t="n">
        <v>18741</v>
      </c>
      <c r="B18742">
        <f>TEXT(18741, "[$-0E0000]yyyy-mm-dd")</f>
        <v/>
      </c>
      <c r="C18742" t="inlineStr">
        <is>
          <t>1951-03-19</t>
        </is>
      </c>
    </row>
    <row r="18743">
      <c r="A18743" s="1" t="n">
        <v>18742</v>
      </c>
      <c r="B18743">
        <f>TEXT(18742, "[$-0E0000]yyyy-mm-dd")</f>
        <v/>
      </c>
      <c r="C18743" t="inlineStr">
        <is>
          <t>1951-03-20</t>
        </is>
      </c>
    </row>
    <row r="18744">
      <c r="A18744" s="1" t="n">
        <v>18743</v>
      </c>
      <c r="B18744">
        <f>TEXT(18743, "[$-0E0000]yyyy-mm-dd")</f>
        <v/>
      </c>
      <c r="C18744" t="inlineStr">
        <is>
          <t>1951-03-21</t>
        </is>
      </c>
    </row>
    <row r="18745">
      <c r="A18745" s="1" t="n">
        <v>18744</v>
      </c>
      <c r="B18745">
        <f>TEXT(18744, "[$-0E0000]yyyy-mm-dd")</f>
        <v/>
      </c>
      <c r="C18745" t="inlineStr">
        <is>
          <t>1951-03-22</t>
        </is>
      </c>
    </row>
    <row r="18746">
      <c r="A18746" s="1" t="n">
        <v>18745</v>
      </c>
      <c r="B18746">
        <f>TEXT(18745, "[$-0E0000]yyyy-mm-dd")</f>
        <v/>
      </c>
      <c r="C18746" t="inlineStr">
        <is>
          <t>1951-03-23</t>
        </is>
      </c>
    </row>
    <row r="18747">
      <c r="A18747" s="1" t="n">
        <v>18746</v>
      </c>
      <c r="B18747">
        <f>TEXT(18746, "[$-0E0000]yyyy-mm-dd")</f>
        <v/>
      </c>
      <c r="C18747" t="inlineStr">
        <is>
          <t>1951-03-24</t>
        </is>
      </c>
    </row>
    <row r="18748">
      <c r="A18748" s="1" t="n">
        <v>18747</v>
      </c>
      <c r="B18748">
        <f>TEXT(18747, "[$-0E0000]yyyy-mm-dd")</f>
        <v/>
      </c>
      <c r="C18748" t="inlineStr">
        <is>
          <t>1951-03-25</t>
        </is>
      </c>
    </row>
    <row r="18749">
      <c r="A18749" s="1" t="n">
        <v>18748</v>
      </c>
      <c r="B18749">
        <f>TEXT(18748, "[$-0E0000]yyyy-mm-dd")</f>
        <v/>
      </c>
      <c r="C18749" t="inlineStr">
        <is>
          <t>1951-03-26</t>
        </is>
      </c>
    </row>
    <row r="18750">
      <c r="A18750" s="1" t="n">
        <v>18749</v>
      </c>
      <c r="B18750">
        <f>TEXT(18749, "[$-0E0000]yyyy-mm-dd")</f>
        <v/>
      </c>
      <c r="C18750" t="inlineStr">
        <is>
          <t>1951-03-27</t>
        </is>
      </c>
    </row>
    <row r="18751">
      <c r="A18751" s="1" t="n">
        <v>18750</v>
      </c>
      <c r="B18751">
        <f>TEXT(18750, "[$-0E0000]yyyy-mm-dd")</f>
        <v/>
      </c>
      <c r="C18751" t="inlineStr">
        <is>
          <t>1951-03-28</t>
        </is>
      </c>
    </row>
    <row r="18752">
      <c r="A18752" s="1" t="n">
        <v>18751</v>
      </c>
      <c r="B18752">
        <f>TEXT(18751, "[$-0E0000]yyyy-mm-dd")</f>
        <v/>
      </c>
      <c r="C18752" t="inlineStr">
        <is>
          <t>1951-03-29</t>
        </is>
      </c>
    </row>
    <row r="18753">
      <c r="A18753" s="1" t="n">
        <v>18752</v>
      </c>
      <c r="B18753">
        <f>TEXT(18752, "[$-0E0000]yyyy-mm-dd")</f>
        <v/>
      </c>
      <c r="C18753" t="inlineStr">
        <is>
          <t>1951-03-30</t>
        </is>
      </c>
    </row>
    <row r="18754">
      <c r="A18754" s="1" t="n">
        <v>18753</v>
      </c>
      <c r="B18754">
        <f>TEXT(18753, "[$-0E0000]yyyy-mm-dd")</f>
        <v/>
      </c>
      <c r="C18754" t="inlineStr">
        <is>
          <t>1951-04-01</t>
        </is>
      </c>
    </row>
    <row r="18755">
      <c r="A18755" s="1" t="n">
        <v>18754</v>
      </c>
      <c r="B18755">
        <f>TEXT(18754, "[$-0E0000]yyyy-mm-dd")</f>
        <v/>
      </c>
      <c r="C18755" t="inlineStr">
        <is>
          <t>1951-04-02</t>
        </is>
      </c>
    </row>
    <row r="18756">
      <c r="A18756" s="1" t="n">
        <v>18755</v>
      </c>
      <c r="B18756">
        <f>TEXT(18755, "[$-0E0000]yyyy-mm-dd")</f>
        <v/>
      </c>
      <c r="C18756" t="inlineStr">
        <is>
          <t>1951-04-03</t>
        </is>
      </c>
    </row>
    <row r="18757">
      <c r="A18757" s="1" t="n">
        <v>18756</v>
      </c>
      <c r="B18757">
        <f>TEXT(18756, "[$-0E0000]yyyy-mm-dd")</f>
        <v/>
      </c>
      <c r="C18757" t="inlineStr">
        <is>
          <t>1951-04-04</t>
        </is>
      </c>
    </row>
    <row r="18758">
      <c r="A18758" s="1" t="n">
        <v>18757</v>
      </c>
      <c r="B18758">
        <f>TEXT(18757, "[$-0E0000]yyyy-mm-dd")</f>
        <v/>
      </c>
      <c r="C18758" t="inlineStr">
        <is>
          <t>1951-04-05</t>
        </is>
      </c>
    </row>
    <row r="18759">
      <c r="A18759" s="1" t="n">
        <v>18758</v>
      </c>
      <c r="B18759">
        <f>TEXT(18758, "[$-0E0000]yyyy-mm-dd")</f>
        <v/>
      </c>
      <c r="C18759" t="inlineStr">
        <is>
          <t>1951-04-06</t>
        </is>
      </c>
    </row>
    <row r="18760">
      <c r="A18760" s="1" t="n">
        <v>18759</v>
      </c>
      <c r="B18760">
        <f>TEXT(18759, "[$-0E0000]yyyy-mm-dd")</f>
        <v/>
      </c>
      <c r="C18760" t="inlineStr">
        <is>
          <t>1951-04-07</t>
        </is>
      </c>
    </row>
    <row r="18761">
      <c r="A18761" s="1" t="n">
        <v>18760</v>
      </c>
      <c r="B18761">
        <f>TEXT(18760, "[$-0E0000]yyyy-mm-dd")</f>
        <v/>
      </c>
      <c r="C18761" t="inlineStr">
        <is>
          <t>1951-04-08</t>
        </is>
      </c>
    </row>
    <row r="18762">
      <c r="A18762" s="1" t="n">
        <v>18761</v>
      </c>
      <c r="B18762">
        <f>TEXT(18761, "[$-0E0000]yyyy-mm-dd")</f>
        <v/>
      </c>
      <c r="C18762" t="inlineStr">
        <is>
          <t>1951-04-09</t>
        </is>
      </c>
    </row>
    <row r="18763">
      <c r="A18763" s="1" t="n">
        <v>18762</v>
      </c>
      <c r="B18763">
        <f>TEXT(18762, "[$-0E0000]yyyy-mm-dd")</f>
        <v/>
      </c>
      <c r="C18763" t="inlineStr">
        <is>
          <t>1951-04-10</t>
        </is>
      </c>
    </row>
    <row r="18764">
      <c r="A18764" s="1" t="n">
        <v>18763</v>
      </c>
      <c r="B18764">
        <f>TEXT(18763, "[$-0E0000]yyyy-mm-dd")</f>
        <v/>
      </c>
      <c r="C18764" t="inlineStr">
        <is>
          <t>1951-04-11</t>
        </is>
      </c>
    </row>
    <row r="18765">
      <c r="A18765" s="1" t="n">
        <v>18764</v>
      </c>
      <c r="B18765">
        <f>TEXT(18764, "[$-0E0000]yyyy-mm-dd")</f>
        <v/>
      </c>
      <c r="C18765" t="inlineStr">
        <is>
          <t>1951-04-12</t>
        </is>
      </c>
    </row>
    <row r="18766">
      <c r="A18766" s="1" t="n">
        <v>18765</v>
      </c>
      <c r="B18766">
        <f>TEXT(18765, "[$-0E0000]yyyy-mm-dd")</f>
        <v/>
      </c>
      <c r="C18766" t="inlineStr">
        <is>
          <t>1951-04-13</t>
        </is>
      </c>
    </row>
    <row r="18767">
      <c r="A18767" s="1" t="n">
        <v>18766</v>
      </c>
      <c r="B18767">
        <f>TEXT(18766, "[$-0E0000]yyyy-mm-dd")</f>
        <v/>
      </c>
      <c r="C18767" t="inlineStr">
        <is>
          <t>1951-04-14</t>
        </is>
      </c>
    </row>
    <row r="18768">
      <c r="A18768" s="1" t="n">
        <v>18767</v>
      </c>
      <c r="B18768">
        <f>TEXT(18767, "[$-0E0000]yyyy-mm-dd")</f>
        <v/>
      </c>
      <c r="C18768" t="inlineStr">
        <is>
          <t>1951-04-15</t>
        </is>
      </c>
    </row>
    <row r="18769">
      <c r="A18769" s="1" t="n">
        <v>18768</v>
      </c>
      <c r="B18769">
        <f>TEXT(18768, "[$-0E0000]yyyy-mm-dd")</f>
        <v/>
      </c>
      <c r="C18769" t="inlineStr">
        <is>
          <t>1951-04-16</t>
        </is>
      </c>
    </row>
    <row r="18770">
      <c r="A18770" s="1" t="n">
        <v>18769</v>
      </c>
      <c r="B18770">
        <f>TEXT(18769, "[$-0E0000]yyyy-mm-dd")</f>
        <v/>
      </c>
      <c r="C18770" t="inlineStr">
        <is>
          <t>1951-04-17</t>
        </is>
      </c>
    </row>
    <row r="18771">
      <c r="A18771" s="1" t="n">
        <v>18770</v>
      </c>
      <c r="B18771">
        <f>TEXT(18770, "[$-0E0000]yyyy-mm-dd")</f>
        <v/>
      </c>
      <c r="C18771" t="inlineStr">
        <is>
          <t>1951-04-18</t>
        </is>
      </c>
    </row>
    <row r="18772">
      <c r="A18772" s="1" t="n">
        <v>18771</v>
      </c>
      <c r="B18772">
        <f>TEXT(18771, "[$-0E0000]yyyy-mm-dd")</f>
        <v/>
      </c>
      <c r="C18772" t="inlineStr">
        <is>
          <t>1951-04-19</t>
        </is>
      </c>
    </row>
    <row r="18773">
      <c r="A18773" s="1" t="n">
        <v>18772</v>
      </c>
      <c r="B18773">
        <f>TEXT(18772, "[$-0E0000]yyyy-mm-dd")</f>
        <v/>
      </c>
      <c r="C18773" t="inlineStr">
        <is>
          <t>1951-04-20</t>
        </is>
      </c>
    </row>
    <row r="18774">
      <c r="A18774" s="1" t="n">
        <v>18773</v>
      </c>
      <c r="B18774">
        <f>TEXT(18773, "[$-0E0000]yyyy-mm-dd")</f>
        <v/>
      </c>
      <c r="C18774" t="inlineStr">
        <is>
          <t>1951-04-21</t>
        </is>
      </c>
    </row>
    <row r="18775">
      <c r="A18775" s="1" t="n">
        <v>18774</v>
      </c>
      <c r="B18775">
        <f>TEXT(18774, "[$-0E0000]yyyy-mm-dd")</f>
        <v/>
      </c>
      <c r="C18775" t="inlineStr">
        <is>
          <t>1951-04-22</t>
        </is>
      </c>
    </row>
    <row r="18776">
      <c r="A18776" s="1" t="n">
        <v>18775</v>
      </c>
      <c r="B18776">
        <f>TEXT(18775, "[$-0E0000]yyyy-mm-dd")</f>
        <v/>
      </c>
      <c r="C18776" t="inlineStr">
        <is>
          <t>1951-04-23</t>
        </is>
      </c>
    </row>
    <row r="18777">
      <c r="A18777" s="1" t="n">
        <v>18776</v>
      </c>
      <c r="B18777">
        <f>TEXT(18776, "[$-0E0000]yyyy-mm-dd")</f>
        <v/>
      </c>
      <c r="C18777" t="inlineStr">
        <is>
          <t>1951-04-24</t>
        </is>
      </c>
    </row>
    <row r="18778">
      <c r="A18778" s="1" t="n">
        <v>18777</v>
      </c>
      <c r="B18778">
        <f>TEXT(18777, "[$-0E0000]yyyy-mm-dd")</f>
        <v/>
      </c>
      <c r="C18778" t="inlineStr">
        <is>
          <t>1951-04-25</t>
        </is>
      </c>
    </row>
    <row r="18779">
      <c r="A18779" s="1" t="n">
        <v>18778</v>
      </c>
      <c r="B18779">
        <f>TEXT(18778, "[$-0E0000]yyyy-mm-dd")</f>
        <v/>
      </c>
      <c r="C18779" t="inlineStr">
        <is>
          <t>1951-04-26</t>
        </is>
      </c>
    </row>
    <row r="18780">
      <c r="A18780" s="1" t="n">
        <v>18779</v>
      </c>
      <c r="B18780">
        <f>TEXT(18779, "[$-0E0000]yyyy-mm-dd")</f>
        <v/>
      </c>
      <c r="C18780" t="inlineStr">
        <is>
          <t>1951-04-27</t>
        </is>
      </c>
    </row>
    <row r="18781">
      <c r="A18781" s="1" t="n">
        <v>18780</v>
      </c>
      <c r="B18781">
        <f>TEXT(18780, "[$-0E0000]yyyy-mm-dd")</f>
        <v/>
      </c>
      <c r="C18781" t="inlineStr">
        <is>
          <t>1951-04-28</t>
        </is>
      </c>
    </row>
    <row r="18782">
      <c r="A18782" s="1" t="n">
        <v>18781</v>
      </c>
      <c r="B18782">
        <f>TEXT(18781, "[$-0E0000]yyyy-mm-dd")</f>
        <v/>
      </c>
      <c r="C18782" t="inlineStr">
        <is>
          <t>1951-04-29</t>
        </is>
      </c>
    </row>
    <row r="18783">
      <c r="A18783" s="1" t="n">
        <v>18782</v>
      </c>
      <c r="B18783">
        <f>TEXT(18782, "[$-0E0000]yyyy-mm-dd")</f>
        <v/>
      </c>
      <c r="C18783" t="inlineStr">
        <is>
          <t>1951-04-30</t>
        </is>
      </c>
    </row>
    <row r="18784">
      <c r="A18784" s="1" t="n">
        <v>18783</v>
      </c>
      <c r="B18784">
        <f>TEXT(18783, "[$-0E0000]yyyy-mm-dd")</f>
        <v/>
      </c>
      <c r="C18784" t="inlineStr">
        <is>
          <t>1951-05-01</t>
        </is>
      </c>
    </row>
    <row r="18785">
      <c r="A18785" s="1" t="n">
        <v>18784</v>
      </c>
      <c r="B18785">
        <f>TEXT(18784, "[$-0E0000]yyyy-mm-dd")</f>
        <v/>
      </c>
      <c r="C18785" t="inlineStr">
        <is>
          <t>1951-05-02</t>
        </is>
      </c>
    </row>
    <row r="18786">
      <c r="A18786" s="1" t="n">
        <v>18785</v>
      </c>
      <c r="B18786">
        <f>TEXT(18785, "[$-0E0000]yyyy-mm-dd")</f>
        <v/>
      </c>
      <c r="C18786" t="inlineStr">
        <is>
          <t>1951-05-03</t>
        </is>
      </c>
    </row>
    <row r="18787">
      <c r="A18787" s="1" t="n">
        <v>18786</v>
      </c>
      <c r="B18787">
        <f>TEXT(18786, "[$-0E0000]yyyy-mm-dd")</f>
        <v/>
      </c>
      <c r="C18787" t="inlineStr">
        <is>
          <t>1951-05-04</t>
        </is>
      </c>
    </row>
    <row r="18788">
      <c r="A18788" s="1" t="n">
        <v>18787</v>
      </c>
      <c r="B18788">
        <f>TEXT(18787, "[$-0E0000]yyyy-mm-dd")</f>
        <v/>
      </c>
      <c r="C18788" t="inlineStr">
        <is>
          <t>1951-05-05</t>
        </is>
      </c>
    </row>
    <row r="18789">
      <c r="A18789" s="1" t="n">
        <v>18788</v>
      </c>
      <c r="B18789">
        <f>TEXT(18788, "[$-0E0000]yyyy-mm-dd")</f>
        <v/>
      </c>
      <c r="C18789" t="inlineStr">
        <is>
          <t>1951-05-06</t>
        </is>
      </c>
    </row>
    <row r="18790">
      <c r="A18790" s="1" t="n">
        <v>18789</v>
      </c>
      <c r="B18790">
        <f>TEXT(18789, "[$-0E0000]yyyy-mm-dd")</f>
        <v/>
      </c>
      <c r="C18790" t="inlineStr">
        <is>
          <t>1951-05-07</t>
        </is>
      </c>
    </row>
    <row r="18791">
      <c r="A18791" s="1" t="n">
        <v>18790</v>
      </c>
      <c r="B18791">
        <f>TEXT(18790, "[$-0E0000]yyyy-mm-dd")</f>
        <v/>
      </c>
      <c r="C18791" t="inlineStr">
        <is>
          <t>1951-05-08</t>
        </is>
      </c>
    </row>
    <row r="18792">
      <c r="A18792" s="1" t="n">
        <v>18791</v>
      </c>
      <c r="B18792">
        <f>TEXT(18791, "[$-0E0000]yyyy-mm-dd")</f>
        <v/>
      </c>
      <c r="C18792" t="inlineStr">
        <is>
          <t>1951-05-09</t>
        </is>
      </c>
    </row>
    <row r="18793">
      <c r="A18793" s="1" t="n">
        <v>18792</v>
      </c>
      <c r="B18793">
        <f>TEXT(18792, "[$-0E0000]yyyy-mm-dd")</f>
        <v/>
      </c>
      <c r="C18793" t="inlineStr">
        <is>
          <t>1951-05-10</t>
        </is>
      </c>
    </row>
    <row r="18794">
      <c r="A18794" s="1" t="n">
        <v>18793</v>
      </c>
      <c r="B18794">
        <f>TEXT(18793, "[$-0E0000]yyyy-mm-dd")</f>
        <v/>
      </c>
      <c r="C18794" t="inlineStr">
        <is>
          <t>1951-05-11</t>
        </is>
      </c>
    </row>
    <row r="18795">
      <c r="A18795" s="1" t="n">
        <v>18794</v>
      </c>
      <c r="B18795">
        <f>TEXT(18794, "[$-0E0000]yyyy-mm-dd")</f>
        <v/>
      </c>
      <c r="C18795" t="inlineStr">
        <is>
          <t>1951-05-12</t>
        </is>
      </c>
    </row>
    <row r="18796">
      <c r="A18796" s="1" t="n">
        <v>18795</v>
      </c>
      <c r="B18796">
        <f>TEXT(18795, "[$-0E0000]yyyy-mm-dd")</f>
        <v/>
      </c>
      <c r="C18796" t="inlineStr">
        <is>
          <t>1951-05-13</t>
        </is>
      </c>
    </row>
    <row r="18797">
      <c r="A18797" s="1" t="n">
        <v>18796</v>
      </c>
      <c r="B18797">
        <f>TEXT(18796, "[$-0E0000]yyyy-mm-dd")</f>
        <v/>
      </c>
      <c r="C18797" t="inlineStr">
        <is>
          <t>1951-05-14</t>
        </is>
      </c>
    </row>
    <row r="18798">
      <c r="A18798" s="1" t="n">
        <v>18797</v>
      </c>
      <c r="B18798">
        <f>TEXT(18797, "[$-0E0000]yyyy-mm-dd")</f>
        <v/>
      </c>
      <c r="C18798" t="inlineStr">
        <is>
          <t>1951-05-15</t>
        </is>
      </c>
    </row>
    <row r="18799">
      <c r="A18799" s="1" t="n">
        <v>18798</v>
      </c>
      <c r="B18799">
        <f>TEXT(18798, "[$-0E0000]yyyy-mm-dd")</f>
        <v/>
      </c>
      <c r="C18799" t="inlineStr">
        <is>
          <t>1951-05-16</t>
        </is>
      </c>
    </row>
    <row r="18800">
      <c r="A18800" s="1" t="n">
        <v>18799</v>
      </c>
      <c r="B18800">
        <f>TEXT(18799, "[$-0E0000]yyyy-mm-dd")</f>
        <v/>
      </c>
      <c r="C18800" t="inlineStr">
        <is>
          <t>1951-05-17</t>
        </is>
      </c>
    </row>
    <row r="18801">
      <c r="A18801" s="1" t="n">
        <v>18800</v>
      </c>
      <c r="B18801">
        <f>TEXT(18800, "[$-0E0000]yyyy-mm-dd")</f>
        <v/>
      </c>
      <c r="C18801" t="inlineStr">
        <is>
          <t>1951-05-18</t>
        </is>
      </c>
    </row>
    <row r="18802">
      <c r="A18802" s="1" t="n">
        <v>18801</v>
      </c>
      <c r="B18802">
        <f>TEXT(18801, "[$-0E0000]yyyy-mm-dd")</f>
        <v/>
      </c>
      <c r="C18802" t="inlineStr">
        <is>
          <t>1951-05-19</t>
        </is>
      </c>
    </row>
    <row r="18803">
      <c r="A18803" s="1" t="n">
        <v>18802</v>
      </c>
      <c r="B18803">
        <f>TEXT(18802, "[$-0E0000]yyyy-mm-dd")</f>
        <v/>
      </c>
      <c r="C18803" t="inlineStr">
        <is>
          <t>1951-05-20</t>
        </is>
      </c>
    </row>
    <row r="18804">
      <c r="A18804" s="1" t="n">
        <v>18803</v>
      </c>
      <c r="B18804">
        <f>TEXT(18803, "[$-0E0000]yyyy-mm-dd")</f>
        <v/>
      </c>
      <c r="C18804" t="inlineStr">
        <is>
          <t>1951-05-21</t>
        </is>
      </c>
    </row>
    <row r="18805">
      <c r="A18805" s="1" t="n">
        <v>18804</v>
      </c>
      <c r="B18805">
        <f>TEXT(18804, "[$-0E0000]yyyy-mm-dd")</f>
        <v/>
      </c>
      <c r="C18805" t="inlineStr">
        <is>
          <t>1951-05-22</t>
        </is>
      </c>
    </row>
    <row r="18806">
      <c r="A18806" s="1" t="n">
        <v>18805</v>
      </c>
      <c r="B18806">
        <f>TEXT(18805, "[$-0E0000]yyyy-mm-dd")</f>
        <v/>
      </c>
      <c r="C18806" t="inlineStr">
        <is>
          <t>1951-05-23</t>
        </is>
      </c>
    </row>
    <row r="18807">
      <c r="A18807" s="1" t="n">
        <v>18806</v>
      </c>
      <c r="B18807">
        <f>TEXT(18806, "[$-0E0000]yyyy-mm-dd")</f>
        <v/>
      </c>
      <c r="C18807" t="inlineStr">
        <is>
          <t>1951-05-24</t>
        </is>
      </c>
    </row>
    <row r="18808">
      <c r="A18808" s="1" t="n">
        <v>18807</v>
      </c>
      <c r="B18808">
        <f>TEXT(18807, "[$-0E0000]yyyy-mm-dd")</f>
        <v/>
      </c>
      <c r="C18808" t="inlineStr">
        <is>
          <t>1951-05-25</t>
        </is>
      </c>
    </row>
    <row r="18809">
      <c r="A18809" s="1" t="n">
        <v>18808</v>
      </c>
      <c r="B18809">
        <f>TEXT(18808, "[$-0E0000]yyyy-mm-dd")</f>
        <v/>
      </c>
      <c r="C18809" t="inlineStr">
        <is>
          <t>1951-05-26</t>
        </is>
      </c>
    </row>
    <row r="18810">
      <c r="A18810" s="1" t="n">
        <v>18809</v>
      </c>
      <c r="B18810">
        <f>TEXT(18809, "[$-0E0000]yyyy-mm-dd")</f>
        <v/>
      </c>
      <c r="C18810" t="inlineStr">
        <is>
          <t>1951-05-27</t>
        </is>
      </c>
    </row>
    <row r="18811">
      <c r="A18811" s="1" t="n">
        <v>18810</v>
      </c>
      <c r="B18811">
        <f>TEXT(18810, "[$-0E0000]yyyy-mm-dd")</f>
        <v/>
      </c>
      <c r="C18811" t="inlineStr">
        <is>
          <t>1951-05-28</t>
        </is>
      </c>
    </row>
    <row r="18812">
      <c r="A18812" s="1" t="n">
        <v>18811</v>
      </c>
      <c r="B18812">
        <f>TEXT(18811, "[$-0E0000]yyyy-mm-dd")</f>
        <v/>
      </c>
      <c r="C18812" t="inlineStr">
        <is>
          <t>1951-05-29</t>
        </is>
      </c>
    </row>
    <row r="18813">
      <c r="A18813" s="1" t="n">
        <v>18812</v>
      </c>
      <c r="B18813">
        <f>TEXT(18812, "[$-0E0000]yyyy-mm-dd")</f>
        <v/>
      </c>
      <c r="C18813" t="inlineStr">
        <is>
          <t>1951-06-01</t>
        </is>
      </c>
    </row>
    <row r="18814">
      <c r="A18814" s="1" t="n">
        <v>18813</v>
      </c>
      <c r="B18814">
        <f>TEXT(18813, "[$-0E0000]yyyy-mm-dd")</f>
        <v/>
      </c>
      <c r="C18814" t="inlineStr">
        <is>
          <t>1951-06-02</t>
        </is>
      </c>
    </row>
    <row r="18815">
      <c r="A18815" s="1" t="n">
        <v>18814</v>
      </c>
      <c r="B18815">
        <f>TEXT(18814, "[$-0E0000]yyyy-mm-dd")</f>
        <v/>
      </c>
      <c r="C18815" t="inlineStr">
        <is>
          <t>1951-06-03</t>
        </is>
      </c>
    </row>
    <row r="18816">
      <c r="A18816" s="1" t="n">
        <v>18815</v>
      </c>
      <c r="B18816">
        <f>TEXT(18815, "[$-0E0000]yyyy-mm-dd")</f>
        <v/>
      </c>
      <c r="C18816" t="inlineStr">
        <is>
          <t>1951-06-04</t>
        </is>
      </c>
    </row>
    <row r="18817">
      <c r="A18817" s="1" t="n">
        <v>18816</v>
      </c>
      <c r="B18817">
        <f>TEXT(18816, "[$-0E0000]yyyy-mm-dd")</f>
        <v/>
      </c>
      <c r="C18817" t="inlineStr">
        <is>
          <t>1951-06-05</t>
        </is>
      </c>
    </row>
    <row r="18818">
      <c r="A18818" s="1" t="n">
        <v>18817</v>
      </c>
      <c r="B18818">
        <f>TEXT(18817, "[$-0E0000]yyyy-mm-dd")</f>
        <v/>
      </c>
      <c r="C18818" t="inlineStr">
        <is>
          <t>1951-06-06</t>
        </is>
      </c>
    </row>
    <row r="18819">
      <c r="A18819" s="1" t="n">
        <v>18818</v>
      </c>
      <c r="B18819">
        <f>TEXT(18818, "[$-0E0000]yyyy-mm-dd")</f>
        <v/>
      </c>
      <c r="C18819" t="inlineStr">
        <is>
          <t>1951-06-07</t>
        </is>
      </c>
    </row>
    <row r="18820">
      <c r="A18820" s="1" t="n">
        <v>18819</v>
      </c>
      <c r="B18820">
        <f>TEXT(18819, "[$-0E0000]yyyy-mm-dd")</f>
        <v/>
      </c>
      <c r="C18820" t="inlineStr">
        <is>
          <t>1951-06-08</t>
        </is>
      </c>
    </row>
    <row r="18821">
      <c r="A18821" s="1" t="n">
        <v>18820</v>
      </c>
      <c r="B18821">
        <f>TEXT(18820, "[$-0E0000]yyyy-mm-dd")</f>
        <v/>
      </c>
      <c r="C18821" t="inlineStr">
        <is>
          <t>1951-06-09</t>
        </is>
      </c>
    </row>
    <row r="18822">
      <c r="A18822" s="1" t="n">
        <v>18821</v>
      </c>
      <c r="B18822">
        <f>TEXT(18821, "[$-0E0000]yyyy-mm-dd")</f>
        <v/>
      </c>
      <c r="C18822" t="inlineStr">
        <is>
          <t>1951-06-10</t>
        </is>
      </c>
    </row>
    <row r="18823">
      <c r="A18823" s="1" t="n">
        <v>18822</v>
      </c>
      <c r="B18823">
        <f>TEXT(18822, "[$-0E0000]yyyy-mm-dd")</f>
        <v/>
      </c>
      <c r="C18823" t="inlineStr">
        <is>
          <t>1951-06-11</t>
        </is>
      </c>
    </row>
    <row r="18824">
      <c r="A18824" s="1" t="n">
        <v>18823</v>
      </c>
      <c r="B18824">
        <f>TEXT(18823, "[$-0E0000]yyyy-mm-dd")</f>
        <v/>
      </c>
      <c r="C18824" t="inlineStr">
        <is>
          <t>1951-06-12</t>
        </is>
      </c>
    </row>
    <row r="18825">
      <c r="A18825" s="1" t="n">
        <v>18824</v>
      </c>
      <c r="B18825">
        <f>TEXT(18824, "[$-0E0000]yyyy-mm-dd")</f>
        <v/>
      </c>
      <c r="C18825" t="inlineStr">
        <is>
          <t>1951-06-13</t>
        </is>
      </c>
    </row>
    <row r="18826">
      <c r="A18826" s="1" t="n">
        <v>18825</v>
      </c>
      <c r="B18826">
        <f>TEXT(18825, "[$-0E0000]yyyy-mm-dd")</f>
        <v/>
      </c>
      <c r="C18826" t="inlineStr">
        <is>
          <t>1951-06-14</t>
        </is>
      </c>
    </row>
    <row r="18827">
      <c r="A18827" s="1" t="n">
        <v>18826</v>
      </c>
      <c r="B18827">
        <f>TEXT(18826, "[$-0E0000]yyyy-mm-dd")</f>
        <v/>
      </c>
      <c r="C18827" t="inlineStr">
        <is>
          <t>1951-06-15</t>
        </is>
      </c>
    </row>
    <row r="18828">
      <c r="A18828" s="1" t="n">
        <v>18827</v>
      </c>
      <c r="B18828">
        <f>TEXT(18827, "[$-0E0000]yyyy-mm-dd")</f>
        <v/>
      </c>
      <c r="C18828" t="inlineStr">
        <is>
          <t>1951-06-16</t>
        </is>
      </c>
    </row>
    <row r="18829">
      <c r="A18829" s="1" t="n">
        <v>18828</v>
      </c>
      <c r="B18829">
        <f>TEXT(18828, "[$-0E0000]yyyy-mm-dd")</f>
        <v/>
      </c>
      <c r="C18829" t="inlineStr">
        <is>
          <t>1951-06-17</t>
        </is>
      </c>
    </row>
    <row r="18830">
      <c r="A18830" s="1" t="n">
        <v>18829</v>
      </c>
      <c r="B18830">
        <f>TEXT(18829, "[$-0E0000]yyyy-mm-dd")</f>
        <v/>
      </c>
      <c r="C18830" t="inlineStr">
        <is>
          <t>1951-06-18</t>
        </is>
      </c>
    </row>
    <row r="18831">
      <c r="A18831" s="1" t="n">
        <v>18830</v>
      </c>
      <c r="B18831">
        <f>TEXT(18830, "[$-0E0000]yyyy-mm-dd")</f>
        <v/>
      </c>
      <c r="C18831" t="inlineStr">
        <is>
          <t>1951-06-19</t>
        </is>
      </c>
    </row>
    <row r="18832">
      <c r="A18832" s="1" t="n">
        <v>18831</v>
      </c>
      <c r="B18832">
        <f>TEXT(18831, "[$-0E0000]yyyy-mm-dd")</f>
        <v/>
      </c>
      <c r="C18832" t="inlineStr">
        <is>
          <t>1951-06-20</t>
        </is>
      </c>
    </row>
    <row r="18833">
      <c r="A18833" s="1" t="n">
        <v>18832</v>
      </c>
      <c r="B18833">
        <f>TEXT(18832, "[$-0E0000]yyyy-mm-dd")</f>
        <v/>
      </c>
      <c r="C18833" t="inlineStr">
        <is>
          <t>1951-06-21</t>
        </is>
      </c>
    </row>
    <row r="18834">
      <c r="A18834" s="1" t="n">
        <v>18833</v>
      </c>
      <c r="B18834">
        <f>TEXT(18833, "[$-0E0000]yyyy-mm-dd")</f>
        <v/>
      </c>
      <c r="C18834" t="inlineStr">
        <is>
          <t>1951-06-22</t>
        </is>
      </c>
    </row>
    <row r="18835">
      <c r="A18835" s="1" t="n">
        <v>18834</v>
      </c>
      <c r="B18835">
        <f>TEXT(18834, "[$-0E0000]yyyy-mm-dd")</f>
        <v/>
      </c>
      <c r="C18835" t="inlineStr">
        <is>
          <t>1951-06-23</t>
        </is>
      </c>
    </row>
    <row r="18836">
      <c r="A18836" s="1" t="n">
        <v>18835</v>
      </c>
      <c r="B18836">
        <f>TEXT(18835, "[$-0E0000]yyyy-mm-dd")</f>
        <v/>
      </c>
      <c r="C18836" t="inlineStr">
        <is>
          <t>1951-06-24</t>
        </is>
      </c>
    </row>
    <row r="18837">
      <c r="A18837" s="1" t="n">
        <v>18836</v>
      </c>
      <c r="B18837">
        <f>TEXT(18836, "[$-0E0000]yyyy-mm-dd")</f>
        <v/>
      </c>
      <c r="C18837" t="inlineStr">
        <is>
          <t>1951-06-25</t>
        </is>
      </c>
    </row>
    <row r="18838">
      <c r="A18838" s="1" t="n">
        <v>18837</v>
      </c>
      <c r="B18838">
        <f>TEXT(18837, "[$-0E0000]yyyy-mm-dd")</f>
        <v/>
      </c>
      <c r="C18838" t="inlineStr">
        <is>
          <t>1951-06-26</t>
        </is>
      </c>
    </row>
    <row r="18839">
      <c r="A18839" s="1" t="n">
        <v>18838</v>
      </c>
      <c r="B18839">
        <f>TEXT(18838, "[$-0E0000]yyyy-mm-dd")</f>
        <v/>
      </c>
      <c r="C18839" t="inlineStr">
        <is>
          <t>1951-06-27</t>
        </is>
      </c>
    </row>
    <row r="18840">
      <c r="A18840" s="1" t="n">
        <v>18839</v>
      </c>
      <c r="B18840">
        <f>TEXT(18839, "[$-0E0000]yyyy-mm-dd")</f>
        <v/>
      </c>
      <c r="C18840" t="inlineStr">
        <is>
          <t>1951-06-28</t>
        </is>
      </c>
    </row>
    <row r="18841">
      <c r="A18841" s="1" t="n">
        <v>18840</v>
      </c>
      <c r="B18841">
        <f>TEXT(18840, "[$-0E0000]yyyy-mm-dd")</f>
        <v/>
      </c>
      <c r="C18841" t="inlineStr">
        <is>
          <t>1951-06-29</t>
        </is>
      </c>
    </row>
    <row r="18842">
      <c r="A18842" s="1" t="n">
        <v>18841</v>
      </c>
      <c r="B18842">
        <f>TEXT(18841, "[$-0E0000]yyyy-mm-dd")</f>
        <v/>
      </c>
      <c r="C18842" t="inlineStr">
        <is>
          <t>1951-06-30</t>
        </is>
      </c>
    </row>
    <row r="18843">
      <c r="A18843" s="1" t="n">
        <v>18842</v>
      </c>
      <c r="B18843">
        <f>TEXT(18842, "[$-0E0000]yyyy-mm-dd")</f>
        <v/>
      </c>
      <c r="C18843" t="inlineStr">
        <is>
          <t>1951-07-01</t>
        </is>
      </c>
    </row>
    <row r="18844">
      <c r="A18844" s="1" t="n">
        <v>18843</v>
      </c>
      <c r="B18844">
        <f>TEXT(18843, "[$-0E0000]yyyy-mm-dd")</f>
        <v/>
      </c>
      <c r="C18844" t="inlineStr">
        <is>
          <t>1951-07-02</t>
        </is>
      </c>
    </row>
    <row r="18845">
      <c r="A18845" s="1" t="n">
        <v>18844</v>
      </c>
      <c r="B18845">
        <f>TEXT(18844, "[$-0E0000]yyyy-mm-dd")</f>
        <v/>
      </c>
      <c r="C18845" t="inlineStr">
        <is>
          <t>1951-07-03</t>
        </is>
      </c>
    </row>
    <row r="18846">
      <c r="A18846" s="1" t="n">
        <v>18845</v>
      </c>
      <c r="B18846">
        <f>TEXT(18845, "[$-0E0000]yyyy-mm-dd")</f>
        <v/>
      </c>
      <c r="C18846" t="inlineStr">
        <is>
          <t>1951-07-04</t>
        </is>
      </c>
    </row>
    <row r="18847">
      <c r="A18847" s="1" t="n">
        <v>18846</v>
      </c>
      <c r="B18847">
        <f>TEXT(18846, "[$-0E0000]yyyy-mm-dd")</f>
        <v/>
      </c>
      <c r="C18847" t="inlineStr">
        <is>
          <t>1951-07-05</t>
        </is>
      </c>
    </row>
    <row r="18848">
      <c r="A18848" s="1" t="n">
        <v>18847</v>
      </c>
      <c r="B18848">
        <f>TEXT(18847, "[$-0E0000]yyyy-mm-dd")</f>
        <v/>
      </c>
      <c r="C18848" t="inlineStr">
        <is>
          <t>1951-07-06</t>
        </is>
      </c>
    </row>
    <row r="18849">
      <c r="A18849" s="1" t="n">
        <v>18848</v>
      </c>
      <c r="B18849">
        <f>TEXT(18848, "[$-0E0000]yyyy-mm-dd")</f>
        <v/>
      </c>
      <c r="C18849" t="inlineStr">
        <is>
          <t>1951-07-07</t>
        </is>
      </c>
    </row>
    <row r="18850">
      <c r="A18850" s="1" t="n">
        <v>18849</v>
      </c>
      <c r="B18850">
        <f>TEXT(18849, "[$-0E0000]yyyy-mm-dd")</f>
        <v/>
      </c>
      <c r="C18850" t="inlineStr">
        <is>
          <t>1951-07-08</t>
        </is>
      </c>
    </row>
    <row r="18851">
      <c r="A18851" s="1" t="n">
        <v>18850</v>
      </c>
      <c r="B18851">
        <f>TEXT(18850, "[$-0E0000]yyyy-mm-dd")</f>
        <v/>
      </c>
      <c r="C18851" t="inlineStr">
        <is>
          <t>1951-07-09</t>
        </is>
      </c>
    </row>
    <row r="18852">
      <c r="A18852" s="1" t="n">
        <v>18851</v>
      </c>
      <c r="B18852">
        <f>TEXT(18851, "[$-0E0000]yyyy-mm-dd")</f>
        <v/>
      </c>
      <c r="C18852" t="inlineStr">
        <is>
          <t>1951-07-10</t>
        </is>
      </c>
    </row>
    <row r="18853">
      <c r="A18853" s="1" t="n">
        <v>18852</v>
      </c>
      <c r="B18853">
        <f>TEXT(18852, "[$-0E0000]yyyy-mm-dd")</f>
        <v/>
      </c>
      <c r="C18853" t="inlineStr">
        <is>
          <t>1951-07-11</t>
        </is>
      </c>
    </row>
    <row r="18854">
      <c r="A18854" s="1" t="n">
        <v>18853</v>
      </c>
      <c r="B18854">
        <f>TEXT(18853, "[$-0E0000]yyyy-mm-dd")</f>
        <v/>
      </c>
      <c r="C18854" t="inlineStr">
        <is>
          <t>1951-07-12</t>
        </is>
      </c>
    </row>
    <row r="18855">
      <c r="A18855" s="1" t="n">
        <v>18854</v>
      </c>
      <c r="B18855">
        <f>TEXT(18854, "[$-0E0000]yyyy-mm-dd")</f>
        <v/>
      </c>
      <c r="C18855" t="inlineStr">
        <is>
          <t>1951-07-13</t>
        </is>
      </c>
    </row>
    <row r="18856">
      <c r="A18856" s="1" t="n">
        <v>18855</v>
      </c>
      <c r="B18856">
        <f>TEXT(18855, "[$-0E0000]yyyy-mm-dd")</f>
        <v/>
      </c>
      <c r="C18856" t="inlineStr">
        <is>
          <t>1951-07-14</t>
        </is>
      </c>
    </row>
    <row r="18857">
      <c r="A18857" s="1" t="n">
        <v>18856</v>
      </c>
      <c r="B18857">
        <f>TEXT(18856, "[$-0E0000]yyyy-mm-dd")</f>
        <v/>
      </c>
      <c r="C18857" t="inlineStr">
        <is>
          <t>1951-07-15</t>
        </is>
      </c>
    </row>
    <row r="18858">
      <c r="A18858" s="1" t="n">
        <v>18857</v>
      </c>
      <c r="B18858">
        <f>TEXT(18857, "[$-0E0000]yyyy-mm-dd")</f>
        <v/>
      </c>
      <c r="C18858" t="inlineStr">
        <is>
          <t>1951-07-16</t>
        </is>
      </c>
    </row>
    <row r="18859">
      <c r="A18859" s="1" t="n">
        <v>18858</v>
      </c>
      <c r="B18859">
        <f>TEXT(18858, "[$-0E0000]yyyy-mm-dd")</f>
        <v/>
      </c>
      <c r="C18859" t="inlineStr">
        <is>
          <t>1951-07-17</t>
        </is>
      </c>
    </row>
    <row r="18860">
      <c r="A18860" s="1" t="n">
        <v>18859</v>
      </c>
      <c r="B18860">
        <f>TEXT(18859, "[$-0E0000]yyyy-mm-dd")</f>
        <v/>
      </c>
      <c r="C18860" t="inlineStr">
        <is>
          <t>1951-07-18</t>
        </is>
      </c>
    </row>
    <row r="18861">
      <c r="A18861" s="1" t="n">
        <v>18860</v>
      </c>
      <c r="B18861">
        <f>TEXT(18860, "[$-0E0000]yyyy-mm-dd")</f>
        <v/>
      </c>
      <c r="C18861" t="inlineStr">
        <is>
          <t>1951-07-19</t>
        </is>
      </c>
    </row>
    <row r="18862">
      <c r="A18862" s="1" t="n">
        <v>18861</v>
      </c>
      <c r="B18862">
        <f>TEXT(18861, "[$-0E0000]yyyy-mm-dd")</f>
        <v/>
      </c>
      <c r="C18862" t="inlineStr">
        <is>
          <t>1951-07-20</t>
        </is>
      </c>
    </row>
    <row r="18863">
      <c r="A18863" s="1" t="n">
        <v>18862</v>
      </c>
      <c r="B18863">
        <f>TEXT(18862, "[$-0E0000]yyyy-mm-dd")</f>
        <v/>
      </c>
      <c r="C18863" t="inlineStr">
        <is>
          <t>1951-07-21</t>
        </is>
      </c>
    </row>
    <row r="18864">
      <c r="A18864" s="1" t="n">
        <v>18863</v>
      </c>
      <c r="B18864">
        <f>TEXT(18863, "[$-0E0000]yyyy-mm-dd")</f>
        <v/>
      </c>
      <c r="C18864" t="inlineStr">
        <is>
          <t>1951-07-22</t>
        </is>
      </c>
    </row>
    <row r="18865">
      <c r="A18865" s="1" t="n">
        <v>18864</v>
      </c>
      <c r="B18865">
        <f>TEXT(18864, "[$-0E0000]yyyy-mm-dd")</f>
        <v/>
      </c>
      <c r="C18865" t="inlineStr">
        <is>
          <t>1951-07-23</t>
        </is>
      </c>
    </row>
    <row r="18866">
      <c r="A18866" s="1" t="n">
        <v>18865</v>
      </c>
      <c r="B18866">
        <f>TEXT(18865, "[$-0E0000]yyyy-mm-dd")</f>
        <v/>
      </c>
      <c r="C18866" t="inlineStr">
        <is>
          <t>1951-07-24</t>
        </is>
      </c>
    </row>
    <row r="18867">
      <c r="A18867" s="1" t="n">
        <v>18866</v>
      </c>
      <c r="B18867">
        <f>TEXT(18866, "[$-0E0000]yyyy-mm-dd")</f>
        <v/>
      </c>
      <c r="C18867" t="inlineStr">
        <is>
          <t>1951-07-25</t>
        </is>
      </c>
    </row>
    <row r="18868">
      <c r="A18868" s="1" t="n">
        <v>18867</v>
      </c>
      <c r="B18868">
        <f>TEXT(18867, "[$-0E0000]yyyy-mm-dd")</f>
        <v/>
      </c>
      <c r="C18868" t="inlineStr">
        <is>
          <t>1951-07-26</t>
        </is>
      </c>
    </row>
    <row r="18869">
      <c r="A18869" s="1" t="n">
        <v>18868</v>
      </c>
      <c r="B18869">
        <f>TEXT(18868, "[$-0E0000]yyyy-mm-dd")</f>
        <v/>
      </c>
      <c r="C18869" t="inlineStr">
        <is>
          <t>1951-07-27</t>
        </is>
      </c>
    </row>
    <row r="18870">
      <c r="A18870" s="1" t="n">
        <v>18869</v>
      </c>
      <c r="B18870">
        <f>TEXT(18869, "[$-0E0000]yyyy-mm-dd")</f>
        <v/>
      </c>
      <c r="C18870" t="inlineStr">
        <is>
          <t>1951-07-28</t>
        </is>
      </c>
    </row>
    <row r="18871">
      <c r="A18871" s="1" t="n">
        <v>18870</v>
      </c>
      <c r="B18871">
        <f>TEXT(18870, "[$-0E0000]yyyy-mm-dd")</f>
        <v/>
      </c>
      <c r="C18871" t="inlineStr">
        <is>
          <t>1951-07-29</t>
        </is>
      </c>
    </row>
    <row r="18872">
      <c r="A18872" s="1" t="n">
        <v>18871</v>
      </c>
      <c r="B18872">
        <f>TEXT(18871, "[$-0E0000]yyyy-mm-dd")</f>
        <v/>
      </c>
      <c r="C18872" t="inlineStr">
        <is>
          <t>1951-08-01</t>
        </is>
      </c>
    </row>
    <row r="18873">
      <c r="A18873" s="1" t="n">
        <v>18872</v>
      </c>
      <c r="B18873">
        <f>TEXT(18872, "[$-0E0000]yyyy-mm-dd")</f>
        <v/>
      </c>
      <c r="C18873" t="inlineStr">
        <is>
          <t>1951-08-02</t>
        </is>
      </c>
    </row>
    <row r="18874">
      <c r="A18874" s="1" t="n">
        <v>18873</v>
      </c>
      <c r="B18874">
        <f>TEXT(18873, "[$-0E0000]yyyy-mm-dd")</f>
        <v/>
      </c>
      <c r="C18874" t="inlineStr">
        <is>
          <t>1951-08-03</t>
        </is>
      </c>
    </row>
    <row r="18875">
      <c r="A18875" s="1" t="n">
        <v>18874</v>
      </c>
      <c r="B18875">
        <f>TEXT(18874, "[$-0E0000]yyyy-mm-dd")</f>
        <v/>
      </c>
      <c r="C18875" t="inlineStr">
        <is>
          <t>1951-08-04</t>
        </is>
      </c>
    </row>
    <row r="18876">
      <c r="A18876" s="1" t="n">
        <v>18875</v>
      </c>
      <c r="B18876">
        <f>TEXT(18875, "[$-0E0000]yyyy-mm-dd")</f>
        <v/>
      </c>
      <c r="C18876" t="inlineStr">
        <is>
          <t>1951-08-05</t>
        </is>
      </c>
    </row>
    <row r="18877">
      <c r="A18877" s="1" t="n">
        <v>18876</v>
      </c>
      <c r="B18877">
        <f>TEXT(18876, "[$-0E0000]yyyy-mm-dd")</f>
        <v/>
      </c>
      <c r="C18877" t="inlineStr">
        <is>
          <t>1951-08-06</t>
        </is>
      </c>
    </row>
    <row r="18878">
      <c r="A18878" s="1" t="n">
        <v>18877</v>
      </c>
      <c r="B18878">
        <f>TEXT(18877, "[$-0E0000]yyyy-mm-dd")</f>
        <v/>
      </c>
      <c r="C18878" t="inlineStr">
        <is>
          <t>1951-08-07</t>
        </is>
      </c>
    </row>
    <row r="18879">
      <c r="A18879" s="1" t="n">
        <v>18878</v>
      </c>
      <c r="B18879">
        <f>TEXT(18878, "[$-0E0000]yyyy-mm-dd")</f>
        <v/>
      </c>
      <c r="C18879" t="inlineStr">
        <is>
          <t>1951-08-08</t>
        </is>
      </c>
    </row>
    <row r="18880">
      <c r="A18880" s="1" t="n">
        <v>18879</v>
      </c>
      <c r="B18880">
        <f>TEXT(18879, "[$-0E0000]yyyy-mm-dd")</f>
        <v/>
      </c>
      <c r="C18880" t="inlineStr">
        <is>
          <t>1951-08-09</t>
        </is>
      </c>
    </row>
    <row r="18881">
      <c r="A18881" s="1" t="n">
        <v>18880</v>
      </c>
      <c r="B18881">
        <f>TEXT(18880, "[$-0E0000]yyyy-mm-dd")</f>
        <v/>
      </c>
      <c r="C18881" t="inlineStr">
        <is>
          <t>1951-08-10</t>
        </is>
      </c>
    </row>
    <row r="18882">
      <c r="A18882" s="1" t="n">
        <v>18881</v>
      </c>
      <c r="B18882">
        <f>TEXT(18881, "[$-0E0000]yyyy-mm-dd")</f>
        <v/>
      </c>
      <c r="C18882" t="inlineStr">
        <is>
          <t>1951-08-11</t>
        </is>
      </c>
    </row>
    <row r="18883">
      <c r="A18883" s="1" t="n">
        <v>18882</v>
      </c>
      <c r="B18883">
        <f>TEXT(18882, "[$-0E0000]yyyy-mm-dd")</f>
        <v/>
      </c>
      <c r="C18883" t="inlineStr">
        <is>
          <t>1951-08-12</t>
        </is>
      </c>
    </row>
    <row r="18884">
      <c r="A18884" s="1" t="n">
        <v>18883</v>
      </c>
      <c r="B18884">
        <f>TEXT(18883, "[$-0E0000]yyyy-mm-dd")</f>
        <v/>
      </c>
      <c r="C18884" t="inlineStr">
        <is>
          <t>1951-08-13</t>
        </is>
      </c>
    </row>
    <row r="18885">
      <c r="A18885" s="1" t="n">
        <v>18884</v>
      </c>
      <c r="B18885">
        <f>TEXT(18884, "[$-0E0000]yyyy-mm-dd")</f>
        <v/>
      </c>
      <c r="C18885" t="inlineStr">
        <is>
          <t>1951-08-14</t>
        </is>
      </c>
    </row>
    <row r="18886">
      <c r="A18886" s="1" t="n">
        <v>18885</v>
      </c>
      <c r="B18886">
        <f>TEXT(18885, "[$-0E0000]yyyy-mm-dd")</f>
        <v/>
      </c>
      <c r="C18886" t="inlineStr">
        <is>
          <t>1951-08-15</t>
        </is>
      </c>
    </row>
    <row r="18887">
      <c r="A18887" s="1" t="n">
        <v>18886</v>
      </c>
      <c r="B18887">
        <f>TEXT(18886, "[$-0E0000]yyyy-mm-dd")</f>
        <v/>
      </c>
      <c r="C18887" t="inlineStr">
        <is>
          <t>1951-08-16</t>
        </is>
      </c>
    </row>
    <row r="18888">
      <c r="A18888" s="1" t="n">
        <v>18887</v>
      </c>
      <c r="B18888">
        <f>TEXT(18887, "[$-0E0000]yyyy-mm-dd")</f>
        <v/>
      </c>
      <c r="C18888" t="inlineStr">
        <is>
          <t>1951-08-17</t>
        </is>
      </c>
    </row>
    <row r="18889">
      <c r="A18889" s="1" t="n">
        <v>18888</v>
      </c>
      <c r="B18889">
        <f>TEXT(18888, "[$-0E0000]yyyy-mm-dd")</f>
        <v/>
      </c>
      <c r="C18889" t="inlineStr">
        <is>
          <t>1951-08-18</t>
        </is>
      </c>
    </row>
    <row r="18890">
      <c r="A18890" s="1" t="n">
        <v>18889</v>
      </c>
      <c r="B18890">
        <f>TEXT(18889, "[$-0E0000]yyyy-mm-dd")</f>
        <v/>
      </c>
      <c r="C18890" t="inlineStr">
        <is>
          <t>1951-08-19</t>
        </is>
      </c>
    </row>
    <row r="18891">
      <c r="A18891" s="1" t="n">
        <v>18890</v>
      </c>
      <c r="B18891">
        <f>TEXT(18890, "[$-0E0000]yyyy-mm-dd")</f>
        <v/>
      </c>
      <c r="C18891" t="inlineStr">
        <is>
          <t>1951-08-20</t>
        </is>
      </c>
    </row>
    <row r="18892">
      <c r="A18892" s="1" t="n">
        <v>18891</v>
      </c>
      <c r="B18892">
        <f>TEXT(18891, "[$-0E0000]yyyy-mm-dd")</f>
        <v/>
      </c>
      <c r="C18892" t="inlineStr">
        <is>
          <t>1951-08-21</t>
        </is>
      </c>
    </row>
    <row r="18893">
      <c r="A18893" s="1" t="n">
        <v>18892</v>
      </c>
      <c r="B18893">
        <f>TEXT(18892, "[$-0E0000]yyyy-mm-dd")</f>
        <v/>
      </c>
      <c r="C18893" t="inlineStr">
        <is>
          <t>1951-08-22</t>
        </is>
      </c>
    </row>
    <row r="18894">
      <c r="A18894" s="1" t="n">
        <v>18893</v>
      </c>
      <c r="B18894">
        <f>TEXT(18893, "[$-0E0000]yyyy-mm-dd")</f>
        <v/>
      </c>
      <c r="C18894" t="inlineStr">
        <is>
          <t>1951-08-23</t>
        </is>
      </c>
    </row>
    <row r="18895">
      <c r="A18895" s="1" t="n">
        <v>18894</v>
      </c>
      <c r="B18895">
        <f>TEXT(18894, "[$-0E0000]yyyy-mm-dd")</f>
        <v/>
      </c>
      <c r="C18895" t="inlineStr">
        <is>
          <t>1951-08-24</t>
        </is>
      </c>
    </row>
    <row r="18896">
      <c r="A18896" s="1" t="n">
        <v>18895</v>
      </c>
      <c r="B18896">
        <f>TEXT(18895, "[$-0E0000]yyyy-mm-dd")</f>
        <v/>
      </c>
      <c r="C18896" t="inlineStr">
        <is>
          <t>1951-08-25</t>
        </is>
      </c>
    </row>
    <row r="18897">
      <c r="A18897" s="1" t="n">
        <v>18896</v>
      </c>
      <c r="B18897">
        <f>TEXT(18896, "[$-0E0000]yyyy-mm-dd")</f>
        <v/>
      </c>
      <c r="C18897" t="inlineStr">
        <is>
          <t>1951-08-26</t>
        </is>
      </c>
    </row>
    <row r="18898">
      <c r="A18898" s="1" t="n">
        <v>18897</v>
      </c>
      <c r="B18898">
        <f>TEXT(18897, "[$-0E0000]yyyy-mm-dd")</f>
        <v/>
      </c>
      <c r="C18898" t="inlineStr">
        <is>
          <t>1951-08-27</t>
        </is>
      </c>
    </row>
    <row r="18899">
      <c r="A18899" s="1" t="n">
        <v>18898</v>
      </c>
      <c r="B18899">
        <f>TEXT(18898, "[$-0E0000]yyyy-mm-dd")</f>
        <v/>
      </c>
      <c r="C18899" t="inlineStr">
        <is>
          <t>1951-08-28</t>
        </is>
      </c>
    </row>
    <row r="18900">
      <c r="A18900" s="1" t="n">
        <v>18899</v>
      </c>
      <c r="B18900">
        <f>TEXT(18899, "[$-0E0000]yyyy-mm-dd")</f>
        <v/>
      </c>
      <c r="C18900" t="inlineStr">
        <is>
          <t>1951-08-29</t>
        </is>
      </c>
    </row>
    <row r="18901">
      <c r="A18901" s="1" t="n">
        <v>18900</v>
      </c>
      <c r="B18901">
        <f>TEXT(18900, "[$-0E0000]yyyy-mm-dd")</f>
        <v/>
      </c>
      <c r="C18901" t="inlineStr">
        <is>
          <t>1951-08-30</t>
        </is>
      </c>
    </row>
    <row r="18902">
      <c r="A18902" s="1" t="n">
        <v>18901</v>
      </c>
      <c r="B18902">
        <f>TEXT(18901, "[$-0E0000]yyyy-mm-dd")</f>
        <v/>
      </c>
      <c r="C18902" t="inlineStr">
        <is>
          <t>1951-09-01</t>
        </is>
      </c>
    </row>
    <row r="18903">
      <c r="A18903" s="1" t="n">
        <v>18902</v>
      </c>
      <c r="B18903">
        <f>TEXT(18902, "[$-0E0000]yyyy-mm-dd")</f>
        <v/>
      </c>
      <c r="C18903" t="inlineStr">
        <is>
          <t>1951-09-02</t>
        </is>
      </c>
    </row>
    <row r="18904">
      <c r="A18904" s="1" t="n">
        <v>18903</v>
      </c>
      <c r="B18904">
        <f>TEXT(18903, "[$-0E0000]yyyy-mm-dd")</f>
        <v/>
      </c>
      <c r="C18904" t="inlineStr">
        <is>
          <t>1951-09-03</t>
        </is>
      </c>
    </row>
    <row r="18905">
      <c r="A18905" s="1" t="n">
        <v>18904</v>
      </c>
      <c r="B18905">
        <f>TEXT(18904, "[$-0E0000]yyyy-mm-dd")</f>
        <v/>
      </c>
      <c r="C18905" t="inlineStr">
        <is>
          <t>1951-09-04</t>
        </is>
      </c>
    </row>
    <row r="18906">
      <c r="A18906" s="1" t="n">
        <v>18905</v>
      </c>
      <c r="B18906">
        <f>TEXT(18905, "[$-0E0000]yyyy-mm-dd")</f>
        <v/>
      </c>
      <c r="C18906" t="inlineStr">
        <is>
          <t>1951-09-05</t>
        </is>
      </c>
    </row>
    <row r="18907">
      <c r="A18907" s="1" t="n">
        <v>18906</v>
      </c>
      <c r="B18907">
        <f>TEXT(18906, "[$-0E0000]yyyy-mm-dd")</f>
        <v/>
      </c>
      <c r="C18907" t="inlineStr">
        <is>
          <t>1951-09-06</t>
        </is>
      </c>
    </row>
    <row r="18908">
      <c r="A18908" s="1" t="n">
        <v>18907</v>
      </c>
      <c r="B18908">
        <f>TEXT(18907, "[$-0E0000]yyyy-mm-dd")</f>
        <v/>
      </c>
      <c r="C18908" t="inlineStr">
        <is>
          <t>1951-09-07</t>
        </is>
      </c>
    </row>
    <row r="18909">
      <c r="A18909" s="1" t="n">
        <v>18908</v>
      </c>
      <c r="B18909">
        <f>TEXT(18908, "[$-0E0000]yyyy-mm-dd")</f>
        <v/>
      </c>
      <c r="C18909" t="inlineStr">
        <is>
          <t>1951-09-08</t>
        </is>
      </c>
    </row>
    <row r="18910">
      <c r="A18910" s="1" t="n">
        <v>18909</v>
      </c>
      <c r="B18910">
        <f>TEXT(18909, "[$-0E0000]yyyy-mm-dd")</f>
        <v/>
      </c>
      <c r="C18910" t="inlineStr">
        <is>
          <t>1951-09-09</t>
        </is>
      </c>
    </row>
    <row r="18911">
      <c r="A18911" s="1" t="n">
        <v>18910</v>
      </c>
      <c r="B18911">
        <f>TEXT(18910, "[$-0E0000]yyyy-mm-dd")</f>
        <v/>
      </c>
      <c r="C18911" t="inlineStr">
        <is>
          <t>1951-09-10</t>
        </is>
      </c>
    </row>
    <row r="18912">
      <c r="A18912" s="1" t="n">
        <v>18911</v>
      </c>
      <c r="B18912">
        <f>TEXT(18911, "[$-0E0000]yyyy-mm-dd")</f>
        <v/>
      </c>
      <c r="C18912" t="inlineStr">
        <is>
          <t>1951-09-11</t>
        </is>
      </c>
    </row>
    <row r="18913">
      <c r="A18913" s="1" t="n">
        <v>18912</v>
      </c>
      <c r="B18913">
        <f>TEXT(18912, "[$-0E0000]yyyy-mm-dd")</f>
        <v/>
      </c>
      <c r="C18913" t="inlineStr">
        <is>
          <t>1951-09-12</t>
        </is>
      </c>
    </row>
    <row r="18914">
      <c r="A18914" s="1" t="n">
        <v>18913</v>
      </c>
      <c r="B18914">
        <f>TEXT(18913, "[$-0E0000]yyyy-mm-dd")</f>
        <v/>
      </c>
      <c r="C18914" t="inlineStr">
        <is>
          <t>1951-09-13</t>
        </is>
      </c>
    </row>
    <row r="18915">
      <c r="A18915" s="1" t="n">
        <v>18914</v>
      </c>
      <c r="B18915">
        <f>TEXT(18914, "[$-0E0000]yyyy-mm-dd")</f>
        <v/>
      </c>
      <c r="C18915" t="inlineStr">
        <is>
          <t>1951-09-14</t>
        </is>
      </c>
    </row>
    <row r="18916">
      <c r="A18916" s="1" t="n">
        <v>18915</v>
      </c>
      <c r="B18916">
        <f>TEXT(18915, "[$-0E0000]yyyy-mm-dd")</f>
        <v/>
      </c>
      <c r="C18916" t="inlineStr">
        <is>
          <t>1951-09-15</t>
        </is>
      </c>
    </row>
    <row r="18917">
      <c r="A18917" s="1" t="n">
        <v>18916</v>
      </c>
      <c r="B18917">
        <f>TEXT(18916, "[$-0E0000]yyyy-mm-dd")</f>
        <v/>
      </c>
      <c r="C18917" t="inlineStr">
        <is>
          <t>1951-09-16</t>
        </is>
      </c>
    </row>
    <row r="18918">
      <c r="A18918" s="1" t="n">
        <v>18917</v>
      </c>
      <c r="B18918">
        <f>TEXT(18917, "[$-0E0000]yyyy-mm-dd")</f>
        <v/>
      </c>
      <c r="C18918" t="inlineStr">
        <is>
          <t>1951-09-17</t>
        </is>
      </c>
    </row>
    <row r="18919">
      <c r="A18919" s="1" t="n">
        <v>18918</v>
      </c>
      <c r="B18919">
        <f>TEXT(18918, "[$-0E0000]yyyy-mm-dd")</f>
        <v/>
      </c>
      <c r="C18919" t="inlineStr">
        <is>
          <t>1951-09-18</t>
        </is>
      </c>
    </row>
    <row r="18920">
      <c r="A18920" s="1" t="n">
        <v>18919</v>
      </c>
      <c r="B18920">
        <f>TEXT(18919, "[$-0E0000]yyyy-mm-dd")</f>
        <v/>
      </c>
      <c r="C18920" t="inlineStr">
        <is>
          <t>1951-09-19</t>
        </is>
      </c>
    </row>
    <row r="18921">
      <c r="A18921" s="1" t="n">
        <v>18920</v>
      </c>
      <c r="B18921">
        <f>TEXT(18920, "[$-0E0000]yyyy-mm-dd")</f>
        <v/>
      </c>
      <c r="C18921" t="inlineStr">
        <is>
          <t>1951-09-20</t>
        </is>
      </c>
    </row>
    <row r="18922">
      <c r="A18922" s="1" t="n">
        <v>18921</v>
      </c>
      <c r="B18922">
        <f>TEXT(18921, "[$-0E0000]yyyy-mm-dd")</f>
        <v/>
      </c>
      <c r="C18922" t="inlineStr">
        <is>
          <t>1951-09-21</t>
        </is>
      </c>
    </row>
    <row r="18923">
      <c r="A18923" s="1" t="n">
        <v>18922</v>
      </c>
      <c r="B18923">
        <f>TEXT(18922, "[$-0E0000]yyyy-mm-dd")</f>
        <v/>
      </c>
      <c r="C18923" t="inlineStr">
        <is>
          <t>1951-09-22</t>
        </is>
      </c>
    </row>
    <row r="18924">
      <c r="A18924" s="1" t="n">
        <v>18923</v>
      </c>
      <c r="B18924">
        <f>TEXT(18923, "[$-0E0000]yyyy-mm-dd")</f>
        <v/>
      </c>
      <c r="C18924" t="inlineStr">
        <is>
          <t>1951-09-23</t>
        </is>
      </c>
    </row>
    <row r="18925">
      <c r="A18925" s="1" t="n">
        <v>18924</v>
      </c>
      <c r="B18925">
        <f>TEXT(18924, "[$-0E0000]yyyy-mm-dd")</f>
        <v/>
      </c>
      <c r="C18925" t="inlineStr">
        <is>
          <t>1951-09-24</t>
        </is>
      </c>
    </row>
    <row r="18926">
      <c r="A18926" s="1" t="n">
        <v>18925</v>
      </c>
      <c r="B18926">
        <f>TEXT(18925, "[$-0E0000]yyyy-mm-dd")</f>
        <v/>
      </c>
      <c r="C18926" t="inlineStr">
        <is>
          <t>1951-09-25</t>
        </is>
      </c>
    </row>
    <row r="18927">
      <c r="A18927" s="1" t="n">
        <v>18926</v>
      </c>
      <c r="B18927">
        <f>TEXT(18926, "[$-0E0000]yyyy-mm-dd")</f>
        <v/>
      </c>
      <c r="C18927" t="inlineStr">
        <is>
          <t>1951-09-26</t>
        </is>
      </c>
    </row>
    <row r="18928">
      <c r="A18928" s="1" t="n">
        <v>18927</v>
      </c>
      <c r="B18928">
        <f>TEXT(18927, "[$-0E0000]yyyy-mm-dd")</f>
        <v/>
      </c>
      <c r="C18928" t="inlineStr">
        <is>
          <t>1951-09-27</t>
        </is>
      </c>
    </row>
    <row r="18929">
      <c r="A18929" s="1" t="n">
        <v>18928</v>
      </c>
      <c r="B18929">
        <f>TEXT(18928, "[$-0E0000]yyyy-mm-dd")</f>
        <v/>
      </c>
      <c r="C18929" t="inlineStr">
        <is>
          <t>1951-09-28</t>
        </is>
      </c>
    </row>
    <row r="18930">
      <c r="A18930" s="1" t="n">
        <v>18929</v>
      </c>
      <c r="B18930">
        <f>TEXT(18929, "[$-0E0000]yyyy-mm-dd")</f>
        <v/>
      </c>
      <c r="C18930" t="inlineStr">
        <is>
          <t>1951-09-29</t>
        </is>
      </c>
    </row>
    <row r="18931">
      <c r="A18931" s="1" t="n">
        <v>18930</v>
      </c>
      <c r="B18931">
        <f>TEXT(18930, "[$-0E0000]yyyy-mm-dd")</f>
        <v/>
      </c>
      <c r="C18931" t="inlineStr">
        <is>
          <t>1951-10-01</t>
        </is>
      </c>
    </row>
    <row r="18932">
      <c r="A18932" s="1" t="n">
        <v>18931</v>
      </c>
      <c r="B18932">
        <f>TEXT(18931, "[$-0E0000]yyyy-mm-dd")</f>
        <v/>
      </c>
      <c r="C18932" t="inlineStr">
        <is>
          <t>1951-10-02</t>
        </is>
      </c>
    </row>
    <row r="18933">
      <c r="A18933" s="1" t="n">
        <v>18932</v>
      </c>
      <c r="B18933">
        <f>TEXT(18932, "[$-0E0000]yyyy-mm-dd")</f>
        <v/>
      </c>
      <c r="C18933" t="inlineStr">
        <is>
          <t>1951-10-03</t>
        </is>
      </c>
    </row>
    <row r="18934">
      <c r="A18934" s="1" t="n">
        <v>18933</v>
      </c>
      <c r="B18934">
        <f>TEXT(18933, "[$-0E0000]yyyy-mm-dd")</f>
        <v/>
      </c>
      <c r="C18934" t="inlineStr">
        <is>
          <t>1951-10-04</t>
        </is>
      </c>
    </row>
    <row r="18935">
      <c r="A18935" s="1" t="n">
        <v>18934</v>
      </c>
      <c r="B18935">
        <f>TEXT(18934, "[$-0E0000]yyyy-mm-dd")</f>
        <v/>
      </c>
      <c r="C18935" t="inlineStr">
        <is>
          <t>1951-10-05</t>
        </is>
      </c>
    </row>
    <row r="18936">
      <c r="A18936" s="1" t="n">
        <v>18935</v>
      </c>
      <c r="B18936">
        <f>TEXT(18935, "[$-0E0000]yyyy-mm-dd")</f>
        <v/>
      </c>
      <c r="C18936" t="inlineStr">
        <is>
          <t>1951-10-06</t>
        </is>
      </c>
    </row>
    <row r="18937">
      <c r="A18937" s="1" t="n">
        <v>18936</v>
      </c>
      <c r="B18937">
        <f>TEXT(18936, "[$-0E0000]yyyy-mm-dd")</f>
        <v/>
      </c>
      <c r="C18937" t="inlineStr">
        <is>
          <t>1951-10-07</t>
        </is>
      </c>
    </row>
    <row r="18938">
      <c r="A18938" s="1" t="n">
        <v>18937</v>
      </c>
      <c r="B18938">
        <f>TEXT(18937, "[$-0E0000]yyyy-mm-dd")</f>
        <v/>
      </c>
      <c r="C18938" t="inlineStr">
        <is>
          <t>1951-10-08</t>
        </is>
      </c>
    </row>
    <row r="18939">
      <c r="A18939" s="1" t="n">
        <v>18938</v>
      </c>
      <c r="B18939">
        <f>TEXT(18938, "[$-0E0000]yyyy-mm-dd")</f>
        <v/>
      </c>
      <c r="C18939" t="inlineStr">
        <is>
          <t>1951-10-09</t>
        </is>
      </c>
    </row>
    <row r="18940">
      <c r="A18940" s="1" t="n">
        <v>18939</v>
      </c>
      <c r="B18940">
        <f>TEXT(18939, "[$-0E0000]yyyy-mm-dd")</f>
        <v/>
      </c>
      <c r="C18940" t="inlineStr">
        <is>
          <t>1951-10-10</t>
        </is>
      </c>
    </row>
    <row r="18941">
      <c r="A18941" s="1" t="n">
        <v>18940</v>
      </c>
      <c r="B18941">
        <f>TEXT(18940, "[$-0E0000]yyyy-mm-dd")</f>
        <v/>
      </c>
      <c r="C18941" t="inlineStr">
        <is>
          <t>1951-10-11</t>
        </is>
      </c>
    </row>
    <row r="18942">
      <c r="A18942" s="1" t="n">
        <v>18941</v>
      </c>
      <c r="B18942">
        <f>TEXT(18941, "[$-0E0000]yyyy-mm-dd")</f>
        <v/>
      </c>
      <c r="C18942" t="inlineStr">
        <is>
          <t>1951-10-12</t>
        </is>
      </c>
    </row>
    <row r="18943">
      <c r="A18943" s="1" t="n">
        <v>18942</v>
      </c>
      <c r="B18943">
        <f>TEXT(18942, "[$-0E0000]yyyy-mm-dd")</f>
        <v/>
      </c>
      <c r="C18943" t="inlineStr">
        <is>
          <t>1951-10-13</t>
        </is>
      </c>
    </row>
    <row r="18944">
      <c r="A18944" s="1" t="n">
        <v>18943</v>
      </c>
      <c r="B18944">
        <f>TEXT(18943, "[$-0E0000]yyyy-mm-dd")</f>
        <v/>
      </c>
      <c r="C18944" t="inlineStr">
        <is>
          <t>1951-10-14</t>
        </is>
      </c>
    </row>
    <row r="18945">
      <c r="A18945" s="1" t="n">
        <v>18944</v>
      </c>
      <c r="B18945">
        <f>TEXT(18944, "[$-0E0000]yyyy-mm-dd")</f>
        <v/>
      </c>
      <c r="C18945" t="inlineStr">
        <is>
          <t>1951-10-15</t>
        </is>
      </c>
    </row>
    <row r="18946">
      <c r="A18946" s="1" t="n">
        <v>18945</v>
      </c>
      <c r="B18946">
        <f>TEXT(18945, "[$-0E0000]yyyy-mm-dd")</f>
        <v/>
      </c>
      <c r="C18946" t="inlineStr">
        <is>
          <t>1951-10-16</t>
        </is>
      </c>
    </row>
    <row r="18947">
      <c r="A18947" s="1" t="n">
        <v>18946</v>
      </c>
      <c r="B18947">
        <f>TEXT(18946, "[$-0E0000]yyyy-mm-dd")</f>
        <v/>
      </c>
      <c r="C18947" t="inlineStr">
        <is>
          <t>1951-10-17</t>
        </is>
      </c>
    </row>
    <row r="18948">
      <c r="A18948" s="1" t="n">
        <v>18947</v>
      </c>
      <c r="B18948">
        <f>TEXT(18947, "[$-0E0000]yyyy-mm-dd")</f>
        <v/>
      </c>
      <c r="C18948" t="inlineStr">
        <is>
          <t>1951-10-18</t>
        </is>
      </c>
    </row>
    <row r="18949">
      <c r="A18949" s="1" t="n">
        <v>18948</v>
      </c>
      <c r="B18949">
        <f>TEXT(18948, "[$-0E0000]yyyy-mm-dd")</f>
        <v/>
      </c>
      <c r="C18949" t="inlineStr">
        <is>
          <t>1951-10-19</t>
        </is>
      </c>
    </row>
    <row r="18950">
      <c r="A18950" s="1" t="n">
        <v>18949</v>
      </c>
      <c r="B18950">
        <f>TEXT(18949, "[$-0E0000]yyyy-mm-dd")</f>
        <v/>
      </c>
      <c r="C18950" t="inlineStr">
        <is>
          <t>1951-10-20</t>
        </is>
      </c>
    </row>
    <row r="18951">
      <c r="A18951" s="1" t="n">
        <v>18950</v>
      </c>
      <c r="B18951">
        <f>TEXT(18950, "[$-0E0000]yyyy-mm-dd")</f>
        <v/>
      </c>
      <c r="C18951" t="inlineStr">
        <is>
          <t>1951-10-21</t>
        </is>
      </c>
    </row>
    <row r="18952">
      <c r="A18952" s="1" t="n">
        <v>18951</v>
      </c>
      <c r="B18952">
        <f>TEXT(18951, "[$-0E0000]yyyy-mm-dd")</f>
        <v/>
      </c>
      <c r="C18952" t="inlineStr">
        <is>
          <t>1951-10-22</t>
        </is>
      </c>
    </row>
    <row r="18953">
      <c r="A18953" s="1" t="n">
        <v>18952</v>
      </c>
      <c r="B18953">
        <f>TEXT(18952, "[$-0E0000]yyyy-mm-dd")</f>
        <v/>
      </c>
      <c r="C18953" t="inlineStr">
        <is>
          <t>1951-10-23</t>
        </is>
      </c>
    </row>
    <row r="18954">
      <c r="A18954" s="1" t="n">
        <v>18953</v>
      </c>
      <c r="B18954">
        <f>TEXT(18953, "[$-0E0000]yyyy-mm-dd")</f>
        <v/>
      </c>
      <c r="C18954" t="inlineStr">
        <is>
          <t>1951-10-24</t>
        </is>
      </c>
    </row>
    <row r="18955">
      <c r="A18955" s="1" t="n">
        <v>18954</v>
      </c>
      <c r="B18955">
        <f>TEXT(18954, "[$-0E0000]yyyy-mm-dd")</f>
        <v/>
      </c>
      <c r="C18955" t="inlineStr">
        <is>
          <t>1951-10-25</t>
        </is>
      </c>
    </row>
    <row r="18956">
      <c r="A18956" s="1" t="n">
        <v>18955</v>
      </c>
      <c r="B18956">
        <f>TEXT(18955, "[$-0E0000]yyyy-mm-dd")</f>
        <v/>
      </c>
      <c r="C18956" t="inlineStr">
        <is>
          <t>1951-10-26</t>
        </is>
      </c>
    </row>
    <row r="18957">
      <c r="A18957" s="1" t="n">
        <v>18956</v>
      </c>
      <c r="B18957">
        <f>TEXT(18956, "[$-0E0000]yyyy-mm-dd")</f>
        <v/>
      </c>
      <c r="C18957" t="inlineStr">
        <is>
          <t>1951-10-27</t>
        </is>
      </c>
    </row>
    <row r="18958">
      <c r="A18958" s="1" t="n">
        <v>18957</v>
      </c>
      <c r="B18958">
        <f>TEXT(18957, "[$-0E0000]yyyy-mm-dd")</f>
        <v/>
      </c>
      <c r="C18958" t="inlineStr">
        <is>
          <t>1951-10-28</t>
        </is>
      </c>
    </row>
    <row r="18959">
      <c r="A18959" s="1" t="n">
        <v>18958</v>
      </c>
      <c r="B18959">
        <f>TEXT(18958, "[$-0E0000]yyyy-mm-dd")</f>
        <v/>
      </c>
      <c r="C18959" t="inlineStr">
        <is>
          <t>1951-10-29</t>
        </is>
      </c>
    </row>
    <row r="18960">
      <c r="A18960" s="1" t="n">
        <v>18959</v>
      </c>
      <c r="B18960">
        <f>TEXT(18959, "[$-0E0000]yyyy-mm-dd")</f>
        <v/>
      </c>
      <c r="C18960" t="inlineStr">
        <is>
          <t>1951-10-30</t>
        </is>
      </c>
    </row>
    <row r="18961">
      <c r="A18961" s="1" t="n">
        <v>18960</v>
      </c>
      <c r="B18961">
        <f>TEXT(18960, "[$-0E0000]yyyy-mm-dd")</f>
        <v/>
      </c>
      <c r="C18961" t="inlineStr">
        <is>
          <t>1951-11-01</t>
        </is>
      </c>
    </row>
    <row r="18962">
      <c r="A18962" s="1" t="n">
        <v>18961</v>
      </c>
      <c r="B18962">
        <f>TEXT(18961, "[$-0E0000]yyyy-mm-dd")</f>
        <v/>
      </c>
      <c r="C18962" t="inlineStr">
        <is>
          <t>1951-11-02</t>
        </is>
      </c>
    </row>
    <row r="18963">
      <c r="A18963" s="1" t="n">
        <v>18962</v>
      </c>
      <c r="B18963">
        <f>TEXT(18962, "[$-0E0000]yyyy-mm-dd")</f>
        <v/>
      </c>
      <c r="C18963" t="inlineStr">
        <is>
          <t>1951-11-03</t>
        </is>
      </c>
    </row>
    <row r="18964">
      <c r="A18964" s="1" t="n">
        <v>18963</v>
      </c>
      <c r="B18964">
        <f>TEXT(18963, "[$-0E0000]yyyy-mm-dd")</f>
        <v/>
      </c>
      <c r="C18964" t="inlineStr">
        <is>
          <t>1951-11-04</t>
        </is>
      </c>
    </row>
    <row r="18965">
      <c r="A18965" s="1" t="n">
        <v>18964</v>
      </c>
      <c r="B18965">
        <f>TEXT(18964, "[$-0E0000]yyyy-mm-dd")</f>
        <v/>
      </c>
      <c r="C18965" t="inlineStr">
        <is>
          <t>1951-11-05</t>
        </is>
      </c>
    </row>
    <row r="18966">
      <c r="A18966" s="1" t="n">
        <v>18965</v>
      </c>
      <c r="B18966">
        <f>TEXT(18965, "[$-0E0000]yyyy-mm-dd")</f>
        <v/>
      </c>
      <c r="C18966" t="inlineStr">
        <is>
          <t>1951-11-06</t>
        </is>
      </c>
    </row>
    <row r="18967">
      <c r="A18967" s="1" t="n">
        <v>18966</v>
      </c>
      <c r="B18967">
        <f>TEXT(18966, "[$-0E0000]yyyy-mm-dd")</f>
        <v/>
      </c>
      <c r="C18967" t="inlineStr">
        <is>
          <t>1951-11-07</t>
        </is>
      </c>
    </row>
    <row r="18968">
      <c r="A18968" s="1" t="n">
        <v>18967</v>
      </c>
      <c r="B18968">
        <f>TEXT(18967, "[$-0E0000]yyyy-mm-dd")</f>
        <v/>
      </c>
      <c r="C18968" t="inlineStr">
        <is>
          <t>1951-11-08</t>
        </is>
      </c>
    </row>
    <row r="18969">
      <c r="A18969" s="1" t="n">
        <v>18968</v>
      </c>
      <c r="B18969">
        <f>TEXT(18968, "[$-0E0000]yyyy-mm-dd")</f>
        <v/>
      </c>
      <c r="C18969" t="inlineStr">
        <is>
          <t>1951-11-09</t>
        </is>
      </c>
    </row>
    <row r="18970">
      <c r="A18970" s="1" t="n">
        <v>18969</v>
      </c>
      <c r="B18970">
        <f>TEXT(18969, "[$-0E0000]yyyy-mm-dd")</f>
        <v/>
      </c>
      <c r="C18970" t="inlineStr">
        <is>
          <t>1951-11-10</t>
        </is>
      </c>
    </row>
    <row r="18971">
      <c r="A18971" s="1" t="n">
        <v>18970</v>
      </c>
      <c r="B18971">
        <f>TEXT(18970, "[$-0E0000]yyyy-mm-dd")</f>
        <v/>
      </c>
      <c r="C18971" t="inlineStr">
        <is>
          <t>1951-11-11</t>
        </is>
      </c>
    </row>
    <row r="18972">
      <c r="A18972" s="1" t="n">
        <v>18971</v>
      </c>
      <c r="B18972">
        <f>TEXT(18971, "[$-0E0000]yyyy-mm-dd")</f>
        <v/>
      </c>
      <c r="C18972" t="inlineStr">
        <is>
          <t>1951-11-12</t>
        </is>
      </c>
    </row>
    <row r="18973">
      <c r="A18973" s="1" t="n">
        <v>18972</v>
      </c>
      <c r="B18973">
        <f>TEXT(18972, "[$-0E0000]yyyy-mm-dd")</f>
        <v/>
      </c>
      <c r="C18973" t="inlineStr">
        <is>
          <t>1951-11-13</t>
        </is>
      </c>
    </row>
    <row r="18974">
      <c r="A18974" s="1" t="n">
        <v>18973</v>
      </c>
      <c r="B18974">
        <f>TEXT(18973, "[$-0E0000]yyyy-mm-dd")</f>
        <v/>
      </c>
      <c r="C18974" t="inlineStr">
        <is>
          <t>1951-11-14</t>
        </is>
      </c>
    </row>
    <row r="18975">
      <c r="A18975" s="1" t="n">
        <v>18974</v>
      </c>
      <c r="B18975">
        <f>TEXT(18974, "[$-0E0000]yyyy-mm-dd")</f>
        <v/>
      </c>
      <c r="C18975" t="inlineStr">
        <is>
          <t>1951-11-15</t>
        </is>
      </c>
    </row>
    <row r="18976">
      <c r="A18976" s="1" t="n">
        <v>18975</v>
      </c>
      <c r="B18976">
        <f>TEXT(18975, "[$-0E0000]yyyy-mm-dd")</f>
        <v/>
      </c>
      <c r="C18976" t="inlineStr">
        <is>
          <t>1951-11-16</t>
        </is>
      </c>
    </row>
    <row r="18977">
      <c r="A18977" s="1" t="n">
        <v>18976</v>
      </c>
      <c r="B18977">
        <f>TEXT(18976, "[$-0E0000]yyyy-mm-dd")</f>
        <v/>
      </c>
      <c r="C18977" t="inlineStr">
        <is>
          <t>1951-11-17</t>
        </is>
      </c>
    </row>
    <row r="18978">
      <c r="A18978" s="1" t="n">
        <v>18977</v>
      </c>
      <c r="B18978">
        <f>TEXT(18977, "[$-0E0000]yyyy-mm-dd")</f>
        <v/>
      </c>
      <c r="C18978" t="inlineStr">
        <is>
          <t>1951-11-18</t>
        </is>
      </c>
    </row>
    <row r="18979">
      <c r="A18979" s="1" t="n">
        <v>18978</v>
      </c>
      <c r="B18979">
        <f>TEXT(18978, "[$-0E0000]yyyy-mm-dd")</f>
        <v/>
      </c>
      <c r="C18979" t="inlineStr">
        <is>
          <t>1951-11-19</t>
        </is>
      </c>
    </row>
    <row r="18980">
      <c r="A18980" s="1" t="n">
        <v>18979</v>
      </c>
      <c r="B18980">
        <f>TEXT(18979, "[$-0E0000]yyyy-mm-dd")</f>
        <v/>
      </c>
      <c r="C18980" t="inlineStr">
        <is>
          <t>1951-11-20</t>
        </is>
      </c>
    </row>
    <row r="18981">
      <c r="A18981" s="1" t="n">
        <v>18980</v>
      </c>
      <c r="B18981">
        <f>TEXT(18980, "[$-0E0000]yyyy-mm-dd")</f>
        <v/>
      </c>
      <c r="C18981" t="inlineStr">
        <is>
          <t>1951-11-21</t>
        </is>
      </c>
    </row>
    <row r="18982">
      <c r="A18982" s="1" t="n">
        <v>18981</v>
      </c>
      <c r="B18982">
        <f>TEXT(18981, "[$-0E0000]yyyy-mm-dd")</f>
        <v/>
      </c>
      <c r="C18982" t="inlineStr">
        <is>
          <t>1951-11-22</t>
        </is>
      </c>
    </row>
    <row r="18983">
      <c r="A18983" s="1" t="n">
        <v>18982</v>
      </c>
      <c r="B18983">
        <f>TEXT(18982, "[$-0E0000]yyyy-mm-dd")</f>
        <v/>
      </c>
      <c r="C18983" t="inlineStr">
        <is>
          <t>1951-11-23</t>
        </is>
      </c>
    </row>
    <row r="18984">
      <c r="A18984" s="1" t="n">
        <v>18983</v>
      </c>
      <c r="B18984">
        <f>TEXT(18983, "[$-0E0000]yyyy-mm-dd")</f>
        <v/>
      </c>
      <c r="C18984" t="inlineStr">
        <is>
          <t>1951-11-24</t>
        </is>
      </c>
    </row>
    <row r="18985">
      <c r="A18985" s="1" t="n">
        <v>18984</v>
      </c>
      <c r="B18985">
        <f>TEXT(18984, "[$-0E0000]yyyy-mm-dd")</f>
        <v/>
      </c>
      <c r="C18985" t="inlineStr">
        <is>
          <t>1951-11-25</t>
        </is>
      </c>
    </row>
    <row r="18986">
      <c r="A18986" s="1" t="n">
        <v>18985</v>
      </c>
      <c r="B18986">
        <f>TEXT(18985, "[$-0E0000]yyyy-mm-dd")</f>
        <v/>
      </c>
      <c r="C18986" t="inlineStr">
        <is>
          <t>1951-11-26</t>
        </is>
      </c>
    </row>
    <row r="18987">
      <c r="A18987" s="1" t="n">
        <v>18986</v>
      </c>
      <c r="B18987">
        <f>TEXT(18986, "[$-0E0000]yyyy-mm-dd")</f>
        <v/>
      </c>
      <c r="C18987" t="inlineStr">
        <is>
          <t>1951-11-27</t>
        </is>
      </c>
    </row>
    <row r="18988">
      <c r="A18988" s="1" t="n">
        <v>18987</v>
      </c>
      <c r="B18988">
        <f>TEXT(18987, "[$-0E0000]yyyy-mm-dd")</f>
        <v/>
      </c>
      <c r="C18988" t="inlineStr">
        <is>
          <t>1951-11-28</t>
        </is>
      </c>
    </row>
    <row r="18989">
      <c r="A18989" s="1" t="n">
        <v>18988</v>
      </c>
      <c r="B18989">
        <f>TEXT(18988, "[$-0E0000]yyyy-mm-dd")</f>
        <v/>
      </c>
      <c r="C18989" t="inlineStr">
        <is>
          <t>1951-11-29</t>
        </is>
      </c>
    </row>
    <row r="18990">
      <c r="A18990" s="1" t="n">
        <v>18989</v>
      </c>
      <c r="B18990">
        <f>TEXT(18989, "[$-0E0000]yyyy-mm-dd")</f>
        <v/>
      </c>
      <c r="C18990" t="inlineStr">
        <is>
          <t>1951-12-01</t>
        </is>
      </c>
    </row>
    <row r="18991">
      <c r="A18991" s="1" t="n">
        <v>18990</v>
      </c>
      <c r="B18991">
        <f>TEXT(18990, "[$-0E0000]yyyy-mm-dd")</f>
        <v/>
      </c>
      <c r="C18991" t="inlineStr">
        <is>
          <t>1951-12-02</t>
        </is>
      </c>
    </row>
    <row r="18992">
      <c r="A18992" s="1" t="n">
        <v>18991</v>
      </c>
      <c r="B18992">
        <f>TEXT(18991, "[$-0E0000]yyyy-mm-dd")</f>
        <v/>
      </c>
      <c r="C18992" t="inlineStr">
        <is>
          <t>1951-12-03</t>
        </is>
      </c>
    </row>
    <row r="18993">
      <c r="A18993" s="1" t="n">
        <v>18992</v>
      </c>
      <c r="B18993">
        <f>TEXT(18992, "[$-0E0000]yyyy-mm-dd")</f>
        <v/>
      </c>
      <c r="C18993" t="inlineStr">
        <is>
          <t>1951-12-04</t>
        </is>
      </c>
    </row>
    <row r="18994">
      <c r="A18994" s="1" t="n">
        <v>18993</v>
      </c>
      <c r="B18994">
        <f>TEXT(18993, "[$-0E0000]yyyy-mm-dd")</f>
        <v/>
      </c>
      <c r="C18994" t="inlineStr">
        <is>
          <t>1951-12-05</t>
        </is>
      </c>
    </row>
    <row r="18995">
      <c r="A18995" s="1" t="n">
        <v>18994</v>
      </c>
      <c r="B18995">
        <f>TEXT(18994, "[$-0E0000]yyyy-mm-dd")</f>
        <v/>
      </c>
      <c r="C18995" t="inlineStr">
        <is>
          <t>1951-12-06</t>
        </is>
      </c>
    </row>
    <row r="18996">
      <c r="A18996" s="1" t="n">
        <v>18995</v>
      </c>
      <c r="B18996">
        <f>TEXT(18995, "[$-0E0000]yyyy-mm-dd")</f>
        <v/>
      </c>
      <c r="C18996" t="inlineStr">
        <is>
          <t>1951-12-07</t>
        </is>
      </c>
    </row>
    <row r="18997">
      <c r="A18997" s="1" t="n">
        <v>18996</v>
      </c>
      <c r="B18997">
        <f>TEXT(18996, "[$-0E0000]yyyy-mm-dd")</f>
        <v/>
      </c>
      <c r="C18997" t="inlineStr">
        <is>
          <t>1951-12-08</t>
        </is>
      </c>
    </row>
    <row r="18998">
      <c r="A18998" s="1" t="n">
        <v>18997</v>
      </c>
      <c r="B18998">
        <f>TEXT(18997, "[$-0E0000]yyyy-mm-dd")</f>
        <v/>
      </c>
      <c r="C18998" t="inlineStr">
        <is>
          <t>1951-12-09</t>
        </is>
      </c>
    </row>
    <row r="18999">
      <c r="A18999" s="1" t="n">
        <v>18998</v>
      </c>
      <c r="B18999">
        <f>TEXT(18998, "[$-0E0000]yyyy-mm-dd")</f>
        <v/>
      </c>
      <c r="C18999" t="inlineStr">
        <is>
          <t>1951-12-10</t>
        </is>
      </c>
    </row>
    <row r="19000">
      <c r="A19000" s="1" t="n">
        <v>18999</v>
      </c>
      <c r="B19000">
        <f>TEXT(18999, "[$-0E0000]yyyy-mm-dd")</f>
        <v/>
      </c>
      <c r="C19000" t="inlineStr">
        <is>
          <t>1951-12-11</t>
        </is>
      </c>
    </row>
    <row r="19001">
      <c r="A19001" s="1" t="n">
        <v>19000</v>
      </c>
      <c r="B19001">
        <f>TEXT(19000, "[$-0E0000]yyyy-mm-dd")</f>
        <v/>
      </c>
      <c r="C19001" t="inlineStr">
        <is>
          <t>1951-12-12</t>
        </is>
      </c>
    </row>
    <row r="19002">
      <c r="A19002" s="1" t="n">
        <v>19001</v>
      </c>
      <c r="B19002">
        <f>TEXT(19001, "[$-0E0000]yyyy-mm-dd")</f>
        <v/>
      </c>
      <c r="C19002" t="inlineStr">
        <is>
          <t>1951-12-13</t>
        </is>
      </c>
    </row>
    <row r="19003">
      <c r="A19003" s="1" t="n">
        <v>19002</v>
      </c>
      <c r="B19003">
        <f>TEXT(19002, "[$-0E0000]yyyy-mm-dd")</f>
        <v/>
      </c>
      <c r="C19003" t="inlineStr">
        <is>
          <t>1951-12-14</t>
        </is>
      </c>
    </row>
    <row r="19004">
      <c r="A19004" s="1" t="n">
        <v>19003</v>
      </c>
      <c r="B19004">
        <f>TEXT(19003, "[$-0E0000]yyyy-mm-dd")</f>
        <v/>
      </c>
      <c r="C19004" t="inlineStr">
        <is>
          <t>1951-12-15</t>
        </is>
      </c>
    </row>
    <row r="19005">
      <c r="A19005" s="1" t="n">
        <v>19004</v>
      </c>
      <c r="B19005">
        <f>TEXT(19004, "[$-0E0000]yyyy-mm-dd")</f>
        <v/>
      </c>
      <c r="C19005" t="inlineStr">
        <is>
          <t>1951-12-16</t>
        </is>
      </c>
    </row>
    <row r="19006">
      <c r="A19006" s="1" t="n">
        <v>19005</v>
      </c>
      <c r="B19006">
        <f>TEXT(19005, "[$-0E0000]yyyy-mm-dd")</f>
        <v/>
      </c>
      <c r="C19006" t="inlineStr">
        <is>
          <t>1951-12-17</t>
        </is>
      </c>
    </row>
    <row r="19007">
      <c r="A19007" s="1" t="n">
        <v>19006</v>
      </c>
      <c r="B19007">
        <f>TEXT(19006, "[$-0E0000]yyyy-mm-dd")</f>
        <v/>
      </c>
      <c r="C19007" t="inlineStr">
        <is>
          <t>1951-12-18</t>
        </is>
      </c>
    </row>
    <row r="19008">
      <c r="A19008" s="1" t="n">
        <v>19007</v>
      </c>
      <c r="B19008">
        <f>TEXT(19007, "[$-0E0000]yyyy-mm-dd")</f>
        <v/>
      </c>
      <c r="C19008" t="inlineStr">
        <is>
          <t>1951-12-19</t>
        </is>
      </c>
    </row>
    <row r="19009">
      <c r="A19009" s="1" t="n">
        <v>19008</v>
      </c>
      <c r="B19009">
        <f>TEXT(19008, "[$-0E0000]yyyy-mm-dd")</f>
        <v/>
      </c>
      <c r="C19009" t="inlineStr">
        <is>
          <t>1951-12-20</t>
        </is>
      </c>
    </row>
    <row r="19010">
      <c r="A19010" s="1" t="n">
        <v>19009</v>
      </c>
      <c r="B19010">
        <f>TEXT(19009, "[$-0E0000]yyyy-mm-dd")</f>
        <v/>
      </c>
      <c r="C19010" t="inlineStr">
        <is>
          <t>1951-12-21</t>
        </is>
      </c>
    </row>
    <row r="19011">
      <c r="A19011" s="1" t="n">
        <v>19010</v>
      </c>
      <c r="B19011">
        <f>TEXT(19010, "[$-0E0000]yyyy-mm-dd")</f>
        <v/>
      </c>
      <c r="C19011" t="inlineStr">
        <is>
          <t>1951-12-22</t>
        </is>
      </c>
    </row>
    <row r="19012">
      <c r="A19012" s="1" t="n">
        <v>19011</v>
      </c>
      <c r="B19012">
        <f>TEXT(19011, "[$-0E0000]yyyy-mm-dd")</f>
        <v/>
      </c>
      <c r="C19012" t="inlineStr">
        <is>
          <t>1951-12-23</t>
        </is>
      </c>
    </row>
    <row r="19013">
      <c r="A19013" s="1" t="n">
        <v>19012</v>
      </c>
      <c r="B19013">
        <f>TEXT(19012, "[$-0E0000]yyyy-mm-dd")</f>
        <v/>
      </c>
      <c r="C19013" t="inlineStr">
        <is>
          <t>1951-12-24</t>
        </is>
      </c>
    </row>
    <row r="19014">
      <c r="A19014" s="1" t="n">
        <v>19013</v>
      </c>
      <c r="B19014">
        <f>TEXT(19013, "[$-0E0000]yyyy-mm-dd")</f>
        <v/>
      </c>
      <c r="C19014" t="inlineStr">
        <is>
          <t>1951-12-25</t>
        </is>
      </c>
    </row>
    <row r="19015">
      <c r="A19015" s="1" t="n">
        <v>19014</v>
      </c>
      <c r="B19015">
        <f>TEXT(19014, "[$-0E0000]yyyy-mm-dd")</f>
        <v/>
      </c>
      <c r="C19015" t="inlineStr">
        <is>
          <t>1951-12-26</t>
        </is>
      </c>
    </row>
    <row r="19016">
      <c r="A19016" s="1" t="n">
        <v>19015</v>
      </c>
      <c r="B19016">
        <f>TEXT(19015, "[$-0E0000]yyyy-mm-dd")</f>
        <v/>
      </c>
      <c r="C19016" t="inlineStr">
        <is>
          <t>1951-12-27</t>
        </is>
      </c>
    </row>
    <row r="19017">
      <c r="A19017" s="1" t="n">
        <v>19016</v>
      </c>
      <c r="B19017">
        <f>TEXT(19016, "[$-0E0000]yyyy-mm-dd")</f>
        <v/>
      </c>
      <c r="C19017" t="inlineStr">
        <is>
          <t>1951-12-28</t>
        </is>
      </c>
    </row>
    <row r="19018">
      <c r="A19018" s="1" t="n">
        <v>19017</v>
      </c>
      <c r="B19018">
        <f>TEXT(19017, "[$-0E0000]yyyy-mm-dd")</f>
        <v/>
      </c>
      <c r="C19018" t="inlineStr">
        <is>
          <t>1951-12-29</t>
        </is>
      </c>
    </row>
    <row r="19019">
      <c r="A19019" s="1" t="n">
        <v>19018</v>
      </c>
      <c r="B19019">
        <f>TEXT(19018, "[$-0E0000]yyyy-mm-dd")</f>
        <v/>
      </c>
      <c r="C19019" t="inlineStr">
        <is>
          <t>1951-12-30</t>
        </is>
      </c>
    </row>
    <row r="19020">
      <c r="A19020" s="1" t="n">
        <v>19019</v>
      </c>
      <c r="B19020">
        <f>TEXT(19019, "[$-0E0000]yyyy-mm-dd")</f>
        <v/>
      </c>
      <c r="C19020" t="inlineStr">
        <is>
          <t>1952-01-01</t>
        </is>
      </c>
    </row>
    <row r="19021">
      <c r="A19021" s="1" t="n">
        <v>19020</v>
      </c>
      <c r="B19021">
        <f>TEXT(19020, "[$-0E0000]yyyy-mm-dd")</f>
        <v/>
      </c>
      <c r="C19021" t="inlineStr">
        <is>
          <t>1952-01-02</t>
        </is>
      </c>
    </row>
    <row r="19022">
      <c r="A19022" s="1" t="n">
        <v>19021</v>
      </c>
      <c r="B19022">
        <f>TEXT(19021, "[$-0E0000]yyyy-mm-dd")</f>
        <v/>
      </c>
      <c r="C19022" t="inlineStr">
        <is>
          <t>1952-01-03</t>
        </is>
      </c>
    </row>
    <row r="19023">
      <c r="A19023" s="1" t="n">
        <v>19022</v>
      </c>
      <c r="B19023">
        <f>TEXT(19022, "[$-0E0000]yyyy-mm-dd")</f>
        <v/>
      </c>
      <c r="C19023" t="inlineStr">
        <is>
          <t>1952-01-04</t>
        </is>
      </c>
    </row>
    <row r="19024">
      <c r="A19024" s="1" t="n">
        <v>19023</v>
      </c>
      <c r="B19024">
        <f>TEXT(19023, "[$-0E0000]yyyy-mm-dd")</f>
        <v/>
      </c>
      <c r="C19024" t="inlineStr">
        <is>
          <t>1952-01-05</t>
        </is>
      </c>
    </row>
    <row r="19025">
      <c r="A19025" s="1" t="n">
        <v>19024</v>
      </c>
      <c r="B19025">
        <f>TEXT(19024, "[$-0E0000]yyyy-mm-dd")</f>
        <v/>
      </c>
      <c r="C19025" t="inlineStr">
        <is>
          <t>1952-01-06</t>
        </is>
      </c>
    </row>
    <row r="19026">
      <c r="A19026" s="1" t="n">
        <v>19025</v>
      </c>
      <c r="B19026">
        <f>TEXT(19025, "[$-0E0000]yyyy-mm-dd")</f>
        <v/>
      </c>
      <c r="C19026" t="inlineStr">
        <is>
          <t>1952-01-07</t>
        </is>
      </c>
    </row>
    <row r="19027">
      <c r="A19027" s="1" t="n">
        <v>19026</v>
      </c>
      <c r="B19027">
        <f>TEXT(19026, "[$-0E0000]yyyy-mm-dd")</f>
        <v/>
      </c>
      <c r="C19027" t="inlineStr">
        <is>
          <t>1952-01-08</t>
        </is>
      </c>
    </row>
    <row r="19028">
      <c r="A19028" s="1" t="n">
        <v>19027</v>
      </c>
      <c r="B19028">
        <f>TEXT(19027, "[$-0E0000]yyyy-mm-dd")</f>
        <v/>
      </c>
      <c r="C19028" t="inlineStr">
        <is>
          <t>1952-01-09</t>
        </is>
      </c>
    </row>
    <row r="19029">
      <c r="A19029" s="1" t="n">
        <v>19028</v>
      </c>
      <c r="B19029">
        <f>TEXT(19028, "[$-0E0000]yyyy-mm-dd")</f>
        <v/>
      </c>
      <c r="C19029" t="inlineStr">
        <is>
          <t>1952-01-10</t>
        </is>
      </c>
    </row>
    <row r="19030">
      <c r="A19030" s="1" t="n">
        <v>19029</v>
      </c>
      <c r="B19030">
        <f>TEXT(19029, "[$-0E0000]yyyy-mm-dd")</f>
        <v/>
      </c>
      <c r="C19030" t="inlineStr">
        <is>
          <t>1952-01-11</t>
        </is>
      </c>
    </row>
    <row r="19031">
      <c r="A19031" s="1" t="n">
        <v>19030</v>
      </c>
      <c r="B19031">
        <f>TEXT(19030, "[$-0E0000]yyyy-mm-dd")</f>
        <v/>
      </c>
      <c r="C19031" t="inlineStr">
        <is>
          <t>1952-01-12</t>
        </is>
      </c>
    </row>
    <row r="19032">
      <c r="A19032" s="1" t="n">
        <v>19031</v>
      </c>
      <c r="B19032">
        <f>TEXT(19031, "[$-0E0000]yyyy-mm-dd")</f>
        <v/>
      </c>
      <c r="C19032" t="inlineStr">
        <is>
          <t>1952-01-13</t>
        </is>
      </c>
    </row>
    <row r="19033">
      <c r="A19033" s="1" t="n">
        <v>19032</v>
      </c>
      <c r="B19033">
        <f>TEXT(19032, "[$-0E0000]yyyy-mm-dd")</f>
        <v/>
      </c>
      <c r="C19033" t="inlineStr">
        <is>
          <t>1952-01-14</t>
        </is>
      </c>
    </row>
    <row r="19034">
      <c r="A19034" s="1" t="n">
        <v>19033</v>
      </c>
      <c r="B19034">
        <f>TEXT(19033, "[$-0E0000]yyyy-mm-dd")</f>
        <v/>
      </c>
      <c r="C19034" t="inlineStr">
        <is>
          <t>1952-01-15</t>
        </is>
      </c>
    </row>
    <row r="19035">
      <c r="A19035" s="1" t="n">
        <v>19034</v>
      </c>
      <c r="B19035">
        <f>TEXT(19034, "[$-0E0000]yyyy-mm-dd")</f>
        <v/>
      </c>
      <c r="C19035" t="inlineStr">
        <is>
          <t>1952-01-16</t>
        </is>
      </c>
    </row>
    <row r="19036">
      <c r="A19036" s="1" t="n">
        <v>19035</v>
      </c>
      <c r="B19036">
        <f>TEXT(19035, "[$-0E0000]yyyy-mm-dd")</f>
        <v/>
      </c>
      <c r="C19036" t="inlineStr">
        <is>
          <t>1952-01-17</t>
        </is>
      </c>
    </row>
    <row r="19037">
      <c r="A19037" s="1" t="n">
        <v>19036</v>
      </c>
      <c r="B19037">
        <f>TEXT(19036, "[$-0E0000]yyyy-mm-dd")</f>
        <v/>
      </c>
      <c r="C19037" t="inlineStr">
        <is>
          <t>1952-01-18</t>
        </is>
      </c>
    </row>
    <row r="19038">
      <c r="A19038" s="1" t="n">
        <v>19037</v>
      </c>
      <c r="B19038">
        <f>TEXT(19037, "[$-0E0000]yyyy-mm-dd")</f>
        <v/>
      </c>
      <c r="C19038" t="inlineStr">
        <is>
          <t>1952-01-19</t>
        </is>
      </c>
    </row>
    <row r="19039">
      <c r="A19039" s="1" t="n">
        <v>19038</v>
      </c>
      <c r="B19039">
        <f>TEXT(19038, "[$-0E0000]yyyy-mm-dd")</f>
        <v/>
      </c>
      <c r="C19039" t="inlineStr">
        <is>
          <t>1952-01-20</t>
        </is>
      </c>
    </row>
    <row r="19040">
      <c r="A19040" s="1" t="n">
        <v>19039</v>
      </c>
      <c r="B19040">
        <f>TEXT(19039, "[$-0E0000]yyyy-mm-dd")</f>
        <v/>
      </c>
      <c r="C19040" t="inlineStr">
        <is>
          <t>1952-01-21</t>
        </is>
      </c>
    </row>
    <row r="19041">
      <c r="A19041" s="1" t="n">
        <v>19040</v>
      </c>
      <c r="B19041">
        <f>TEXT(19040, "[$-0E0000]yyyy-mm-dd")</f>
        <v/>
      </c>
      <c r="C19041" t="inlineStr">
        <is>
          <t>1952-01-22</t>
        </is>
      </c>
    </row>
    <row r="19042">
      <c r="A19042" s="1" t="n">
        <v>19041</v>
      </c>
      <c r="B19042">
        <f>TEXT(19041, "[$-0E0000]yyyy-mm-dd")</f>
        <v/>
      </c>
      <c r="C19042" t="inlineStr">
        <is>
          <t>1952-01-23</t>
        </is>
      </c>
    </row>
    <row r="19043">
      <c r="A19043" s="1" t="n">
        <v>19042</v>
      </c>
      <c r="B19043">
        <f>TEXT(19042, "[$-0E0000]yyyy-mm-dd")</f>
        <v/>
      </c>
      <c r="C19043" t="inlineStr">
        <is>
          <t>1952-01-24</t>
        </is>
      </c>
    </row>
    <row r="19044">
      <c r="A19044" s="1" t="n">
        <v>19043</v>
      </c>
      <c r="B19044">
        <f>TEXT(19043, "[$-0E0000]yyyy-mm-dd")</f>
        <v/>
      </c>
      <c r="C19044" t="inlineStr">
        <is>
          <t>1952-01-25</t>
        </is>
      </c>
    </row>
    <row r="19045">
      <c r="A19045" s="1" t="n">
        <v>19044</v>
      </c>
      <c r="B19045">
        <f>TEXT(19044, "[$-0E0000]yyyy-mm-dd")</f>
        <v/>
      </c>
      <c r="C19045" t="inlineStr">
        <is>
          <t>1952-01-26</t>
        </is>
      </c>
    </row>
    <row r="19046">
      <c r="A19046" s="1" t="n">
        <v>19045</v>
      </c>
      <c r="B19046">
        <f>TEXT(19045, "[$-0E0000]yyyy-mm-dd")</f>
        <v/>
      </c>
      <c r="C19046" t="inlineStr">
        <is>
          <t>1952-01-27</t>
        </is>
      </c>
    </row>
    <row r="19047">
      <c r="A19047" s="1" t="n">
        <v>19046</v>
      </c>
      <c r="B19047">
        <f>TEXT(19046, "[$-0E0000]yyyy-mm-dd")</f>
        <v/>
      </c>
      <c r="C19047" t="inlineStr">
        <is>
          <t>1952-01-28</t>
        </is>
      </c>
    </row>
    <row r="19048">
      <c r="A19048" s="1" t="n">
        <v>19047</v>
      </c>
      <c r="B19048">
        <f>TEXT(19047, "[$-0E0000]yyyy-mm-dd")</f>
        <v/>
      </c>
      <c r="C19048" t="inlineStr">
        <is>
          <t>1952-01-29</t>
        </is>
      </c>
    </row>
    <row r="19049">
      <c r="A19049" s="1" t="n">
        <v>19048</v>
      </c>
      <c r="B19049">
        <f>TEXT(19048, "[$-0E0000]yyyy-mm-dd")</f>
        <v/>
      </c>
      <c r="C19049" t="inlineStr">
        <is>
          <t>1952-02-01</t>
        </is>
      </c>
    </row>
    <row r="19050">
      <c r="A19050" s="1" t="n">
        <v>19049</v>
      </c>
      <c r="B19050">
        <f>TEXT(19049, "[$-0E0000]yyyy-mm-dd")</f>
        <v/>
      </c>
      <c r="C19050" t="inlineStr">
        <is>
          <t>1952-02-02</t>
        </is>
      </c>
    </row>
    <row r="19051">
      <c r="A19051" s="1" t="n">
        <v>19050</v>
      </c>
      <c r="B19051">
        <f>TEXT(19050, "[$-0E0000]yyyy-mm-dd")</f>
        <v/>
      </c>
      <c r="C19051" t="inlineStr">
        <is>
          <t>1952-02-03</t>
        </is>
      </c>
    </row>
    <row r="19052">
      <c r="A19052" s="1" t="n">
        <v>19051</v>
      </c>
      <c r="B19052">
        <f>TEXT(19051, "[$-0E0000]yyyy-mm-dd")</f>
        <v/>
      </c>
      <c r="C19052" t="inlineStr">
        <is>
          <t>1952-02-04</t>
        </is>
      </c>
    </row>
    <row r="19053">
      <c r="A19053" s="1" t="n">
        <v>19052</v>
      </c>
      <c r="B19053">
        <f>TEXT(19052, "[$-0E0000]yyyy-mm-dd")</f>
        <v/>
      </c>
      <c r="C19053" t="inlineStr">
        <is>
          <t>1952-02-05</t>
        </is>
      </c>
    </row>
    <row r="19054">
      <c r="A19054" s="1" t="n">
        <v>19053</v>
      </c>
      <c r="B19054">
        <f>TEXT(19053, "[$-0E0000]yyyy-mm-dd")</f>
        <v/>
      </c>
      <c r="C19054" t="inlineStr">
        <is>
          <t>1952-02-06</t>
        </is>
      </c>
    </row>
    <row r="19055">
      <c r="A19055" s="1" t="n">
        <v>19054</v>
      </c>
      <c r="B19055">
        <f>TEXT(19054, "[$-0E0000]yyyy-mm-dd")</f>
        <v/>
      </c>
      <c r="C19055" t="inlineStr">
        <is>
          <t>1952-02-07</t>
        </is>
      </c>
    </row>
    <row r="19056">
      <c r="A19056" s="1" t="n">
        <v>19055</v>
      </c>
      <c r="B19056">
        <f>TEXT(19055, "[$-0E0000]yyyy-mm-dd")</f>
        <v/>
      </c>
      <c r="C19056" t="inlineStr">
        <is>
          <t>1952-02-08</t>
        </is>
      </c>
    </row>
    <row r="19057">
      <c r="A19057" s="1" t="n">
        <v>19056</v>
      </c>
      <c r="B19057">
        <f>TEXT(19056, "[$-0E0000]yyyy-mm-dd")</f>
        <v/>
      </c>
      <c r="C19057" t="inlineStr">
        <is>
          <t>1952-02-09</t>
        </is>
      </c>
    </row>
    <row r="19058">
      <c r="A19058" s="1" t="n">
        <v>19057</v>
      </c>
      <c r="B19058">
        <f>TEXT(19057, "[$-0E0000]yyyy-mm-dd")</f>
        <v/>
      </c>
      <c r="C19058" t="inlineStr">
        <is>
          <t>1952-02-10</t>
        </is>
      </c>
    </row>
    <row r="19059">
      <c r="A19059" s="1" t="n">
        <v>19058</v>
      </c>
      <c r="B19059">
        <f>TEXT(19058, "[$-0E0000]yyyy-mm-dd")</f>
        <v/>
      </c>
      <c r="C19059" t="inlineStr">
        <is>
          <t>1952-02-11</t>
        </is>
      </c>
    </row>
    <row r="19060">
      <c r="A19060" s="1" t="n">
        <v>19059</v>
      </c>
      <c r="B19060">
        <f>TEXT(19059, "[$-0E0000]yyyy-mm-dd")</f>
        <v/>
      </c>
      <c r="C19060" t="inlineStr">
        <is>
          <t>1952-02-12</t>
        </is>
      </c>
    </row>
    <row r="19061">
      <c r="A19061" s="1" t="n">
        <v>19060</v>
      </c>
      <c r="B19061">
        <f>TEXT(19060, "[$-0E0000]yyyy-mm-dd")</f>
        <v/>
      </c>
      <c r="C19061" t="inlineStr">
        <is>
          <t>1952-02-13</t>
        </is>
      </c>
    </row>
    <row r="19062">
      <c r="A19062" s="1" t="n">
        <v>19061</v>
      </c>
      <c r="B19062">
        <f>TEXT(19061, "[$-0E0000]yyyy-mm-dd")</f>
        <v/>
      </c>
      <c r="C19062" t="inlineStr">
        <is>
          <t>1952-02-14</t>
        </is>
      </c>
    </row>
    <row r="19063">
      <c r="A19063" s="1" t="n">
        <v>19062</v>
      </c>
      <c r="B19063">
        <f>TEXT(19062, "[$-0E0000]yyyy-mm-dd")</f>
        <v/>
      </c>
      <c r="C19063" t="inlineStr">
        <is>
          <t>1952-02-15</t>
        </is>
      </c>
    </row>
    <row r="19064">
      <c r="A19064" s="1" t="n">
        <v>19063</v>
      </c>
      <c r="B19064">
        <f>TEXT(19063, "[$-0E0000]yyyy-mm-dd")</f>
        <v/>
      </c>
      <c r="C19064" t="inlineStr">
        <is>
          <t>1952-02-16</t>
        </is>
      </c>
    </row>
    <row r="19065">
      <c r="A19065" s="1" t="n">
        <v>19064</v>
      </c>
      <c r="B19065">
        <f>TEXT(19064, "[$-0E0000]yyyy-mm-dd")</f>
        <v/>
      </c>
      <c r="C19065" t="inlineStr">
        <is>
          <t>1952-02-17</t>
        </is>
      </c>
    </row>
    <row r="19066">
      <c r="A19066" s="1" t="n">
        <v>19065</v>
      </c>
      <c r="B19066">
        <f>TEXT(19065, "[$-0E0000]yyyy-mm-dd")</f>
        <v/>
      </c>
      <c r="C19066" t="inlineStr">
        <is>
          <t>1952-02-18</t>
        </is>
      </c>
    </row>
    <row r="19067">
      <c r="A19067" s="1" t="n">
        <v>19066</v>
      </c>
      <c r="B19067">
        <f>TEXT(19066, "[$-0E0000]yyyy-mm-dd")</f>
        <v/>
      </c>
      <c r="C19067" t="inlineStr">
        <is>
          <t>1952-02-19</t>
        </is>
      </c>
    </row>
    <row r="19068">
      <c r="A19068" s="1" t="n">
        <v>19067</v>
      </c>
      <c r="B19068">
        <f>TEXT(19067, "[$-0E0000]yyyy-mm-dd")</f>
        <v/>
      </c>
      <c r="C19068" t="inlineStr">
        <is>
          <t>1952-02-20</t>
        </is>
      </c>
    </row>
    <row r="19069">
      <c r="A19069" s="1" t="n">
        <v>19068</v>
      </c>
      <c r="B19069">
        <f>TEXT(19068, "[$-0E0000]yyyy-mm-dd")</f>
        <v/>
      </c>
      <c r="C19069" t="inlineStr">
        <is>
          <t>1952-02-21</t>
        </is>
      </c>
    </row>
    <row r="19070">
      <c r="A19070" s="1" t="n">
        <v>19069</v>
      </c>
      <c r="B19070">
        <f>TEXT(19069, "[$-0E0000]yyyy-mm-dd")</f>
        <v/>
      </c>
      <c r="C19070" t="inlineStr">
        <is>
          <t>1952-02-22</t>
        </is>
      </c>
    </row>
    <row r="19071">
      <c r="A19071" s="1" t="n">
        <v>19070</v>
      </c>
      <c r="B19071">
        <f>TEXT(19070, "[$-0E0000]yyyy-mm-dd")</f>
        <v/>
      </c>
      <c r="C19071" t="inlineStr">
        <is>
          <t>1952-02-23</t>
        </is>
      </c>
    </row>
    <row r="19072">
      <c r="A19072" s="1" t="n">
        <v>19071</v>
      </c>
      <c r="B19072">
        <f>TEXT(19071, "[$-0E0000]yyyy-mm-dd")</f>
        <v/>
      </c>
      <c r="C19072" t="inlineStr">
        <is>
          <t>1952-02-24</t>
        </is>
      </c>
    </row>
    <row r="19073">
      <c r="A19073" s="1" t="n">
        <v>19072</v>
      </c>
      <c r="B19073">
        <f>TEXT(19072, "[$-0E0000]yyyy-mm-dd")</f>
        <v/>
      </c>
      <c r="C19073" t="inlineStr">
        <is>
          <t>1952-02-25</t>
        </is>
      </c>
    </row>
    <row r="19074">
      <c r="A19074" s="1" t="n">
        <v>19073</v>
      </c>
      <c r="B19074">
        <f>TEXT(19073, "[$-0E0000]yyyy-mm-dd")</f>
        <v/>
      </c>
      <c r="C19074" t="inlineStr">
        <is>
          <t>1952-02-26</t>
        </is>
      </c>
    </row>
    <row r="19075">
      <c r="A19075" s="1" t="n">
        <v>19074</v>
      </c>
      <c r="B19075">
        <f>TEXT(19074, "[$-0E0000]yyyy-mm-dd")</f>
        <v/>
      </c>
      <c r="C19075" t="inlineStr">
        <is>
          <t>1952-02-27</t>
        </is>
      </c>
    </row>
    <row r="19076">
      <c r="A19076" s="1" t="n">
        <v>19075</v>
      </c>
      <c r="B19076">
        <f>TEXT(19075, "[$-0E0000]yyyy-mm-dd")</f>
        <v/>
      </c>
      <c r="C19076" t="inlineStr">
        <is>
          <t>1952-02-28</t>
        </is>
      </c>
    </row>
    <row r="19077">
      <c r="A19077" s="1" t="n">
        <v>19076</v>
      </c>
      <c r="B19077">
        <f>TEXT(19076, "[$-0E0000]yyyy-mm-dd")</f>
        <v/>
      </c>
      <c r="C19077" t="inlineStr">
        <is>
          <t>1952-02-29</t>
        </is>
      </c>
    </row>
    <row r="19078">
      <c r="A19078" s="1" t="n">
        <v>19077</v>
      </c>
      <c r="B19078">
        <f>TEXT(19077, "[$-0E0000]yyyy-mm-dd")</f>
        <v/>
      </c>
      <c r="C19078" t="inlineStr">
        <is>
          <t>1952-02-30</t>
        </is>
      </c>
    </row>
    <row r="19079">
      <c r="A19079" s="1" t="n">
        <v>19078</v>
      </c>
      <c r="B19079">
        <f>TEXT(19078, "[$-0E0000]yyyy-mm-dd")</f>
        <v/>
      </c>
      <c r="C19079" t="inlineStr">
        <is>
          <t>1952-03-01</t>
        </is>
      </c>
    </row>
    <row r="19080">
      <c r="A19080" s="1" t="n">
        <v>19079</v>
      </c>
      <c r="B19080">
        <f>TEXT(19079, "[$-0E0000]yyyy-mm-dd")</f>
        <v/>
      </c>
      <c r="C19080" t="inlineStr">
        <is>
          <t>1952-03-02</t>
        </is>
      </c>
    </row>
    <row r="19081">
      <c r="A19081" s="1" t="n">
        <v>19080</v>
      </c>
      <c r="B19081">
        <f>TEXT(19080, "[$-0E0000]yyyy-mm-dd")</f>
        <v/>
      </c>
      <c r="C19081" t="inlineStr">
        <is>
          <t>1952-03-03</t>
        </is>
      </c>
    </row>
    <row r="19082">
      <c r="A19082" s="1" t="n">
        <v>19081</v>
      </c>
      <c r="B19082">
        <f>TEXT(19081, "[$-0E0000]yyyy-mm-dd")</f>
        <v/>
      </c>
      <c r="C19082" t="inlineStr">
        <is>
          <t>1952-03-04</t>
        </is>
      </c>
    </row>
    <row r="19083">
      <c r="A19083" s="1" t="n">
        <v>19082</v>
      </c>
      <c r="B19083">
        <f>TEXT(19082, "[$-0E0000]yyyy-mm-dd")</f>
        <v/>
      </c>
      <c r="C19083" t="inlineStr">
        <is>
          <t>1952-03-05</t>
        </is>
      </c>
    </row>
    <row r="19084">
      <c r="A19084" s="1" t="n">
        <v>19083</v>
      </c>
      <c r="B19084">
        <f>TEXT(19083, "[$-0E0000]yyyy-mm-dd")</f>
        <v/>
      </c>
      <c r="C19084" t="inlineStr">
        <is>
          <t>1952-03-06</t>
        </is>
      </c>
    </row>
    <row r="19085">
      <c r="A19085" s="1" t="n">
        <v>19084</v>
      </c>
      <c r="B19085">
        <f>TEXT(19084, "[$-0E0000]yyyy-mm-dd")</f>
        <v/>
      </c>
      <c r="C19085" t="inlineStr">
        <is>
          <t>1952-03-07</t>
        </is>
      </c>
    </row>
    <row r="19086">
      <c r="A19086" s="1" t="n">
        <v>19085</v>
      </c>
      <c r="B19086">
        <f>TEXT(19085, "[$-0E0000]yyyy-mm-dd")</f>
        <v/>
      </c>
      <c r="C19086" t="inlineStr">
        <is>
          <t>1952-03-08</t>
        </is>
      </c>
    </row>
    <row r="19087">
      <c r="A19087" s="1" t="n">
        <v>19086</v>
      </c>
      <c r="B19087">
        <f>TEXT(19086, "[$-0E0000]yyyy-mm-dd")</f>
        <v/>
      </c>
      <c r="C19087" t="inlineStr">
        <is>
          <t>1952-03-09</t>
        </is>
      </c>
    </row>
    <row r="19088">
      <c r="A19088" s="1" t="n">
        <v>19087</v>
      </c>
      <c r="B19088">
        <f>TEXT(19087, "[$-0E0000]yyyy-mm-dd")</f>
        <v/>
      </c>
      <c r="C19088" t="inlineStr">
        <is>
          <t>1952-03-10</t>
        </is>
      </c>
    </row>
    <row r="19089">
      <c r="A19089" s="1" t="n">
        <v>19088</v>
      </c>
      <c r="B19089">
        <f>TEXT(19088, "[$-0E0000]yyyy-mm-dd")</f>
        <v/>
      </c>
      <c r="C19089" t="inlineStr">
        <is>
          <t>1952-03-11</t>
        </is>
      </c>
    </row>
    <row r="19090">
      <c r="A19090" s="1" t="n">
        <v>19089</v>
      </c>
      <c r="B19090">
        <f>TEXT(19089, "[$-0E0000]yyyy-mm-dd")</f>
        <v/>
      </c>
      <c r="C19090" t="inlineStr">
        <is>
          <t>1952-03-12</t>
        </is>
      </c>
    </row>
    <row r="19091">
      <c r="A19091" s="1" t="n">
        <v>19090</v>
      </c>
      <c r="B19091">
        <f>TEXT(19090, "[$-0E0000]yyyy-mm-dd")</f>
        <v/>
      </c>
      <c r="C19091" t="inlineStr">
        <is>
          <t>1952-03-13</t>
        </is>
      </c>
    </row>
    <row r="19092">
      <c r="A19092" s="1" t="n">
        <v>19091</v>
      </c>
      <c r="B19092">
        <f>TEXT(19091, "[$-0E0000]yyyy-mm-dd")</f>
        <v/>
      </c>
      <c r="C19092" t="inlineStr">
        <is>
          <t>1952-03-14</t>
        </is>
      </c>
    </row>
    <row r="19093">
      <c r="A19093" s="1" t="n">
        <v>19092</v>
      </c>
      <c r="B19093">
        <f>TEXT(19092, "[$-0E0000]yyyy-mm-dd")</f>
        <v/>
      </c>
      <c r="C19093" t="inlineStr">
        <is>
          <t>1952-03-15</t>
        </is>
      </c>
    </row>
    <row r="19094">
      <c r="A19094" s="1" t="n">
        <v>19093</v>
      </c>
      <c r="B19094">
        <f>TEXT(19093, "[$-0E0000]yyyy-mm-dd")</f>
        <v/>
      </c>
      <c r="C19094" t="inlineStr">
        <is>
          <t>1952-03-16</t>
        </is>
      </c>
    </row>
    <row r="19095">
      <c r="A19095" s="1" t="n">
        <v>19094</v>
      </c>
      <c r="B19095">
        <f>TEXT(19094, "[$-0E0000]yyyy-mm-dd")</f>
        <v/>
      </c>
      <c r="C19095" t="inlineStr">
        <is>
          <t>1952-03-17</t>
        </is>
      </c>
    </row>
    <row r="19096">
      <c r="A19096" s="1" t="n">
        <v>19095</v>
      </c>
      <c r="B19096">
        <f>TEXT(19095, "[$-0E0000]yyyy-mm-dd")</f>
        <v/>
      </c>
      <c r="C19096" t="inlineStr">
        <is>
          <t>1952-03-18</t>
        </is>
      </c>
    </row>
    <row r="19097">
      <c r="A19097" s="1" t="n">
        <v>19096</v>
      </c>
      <c r="B19097">
        <f>TEXT(19096, "[$-0E0000]yyyy-mm-dd")</f>
        <v/>
      </c>
      <c r="C19097" t="inlineStr">
        <is>
          <t>1952-03-19</t>
        </is>
      </c>
    </row>
    <row r="19098">
      <c r="A19098" s="1" t="n">
        <v>19097</v>
      </c>
      <c r="B19098">
        <f>TEXT(19097, "[$-0E0000]yyyy-mm-dd")</f>
        <v/>
      </c>
      <c r="C19098" t="inlineStr">
        <is>
          <t>1952-03-20</t>
        </is>
      </c>
    </row>
    <row r="19099">
      <c r="A19099" s="1" t="n">
        <v>19098</v>
      </c>
      <c r="B19099">
        <f>TEXT(19098, "[$-0E0000]yyyy-mm-dd")</f>
        <v/>
      </c>
      <c r="C19099" t="inlineStr">
        <is>
          <t>1952-03-21</t>
        </is>
      </c>
    </row>
    <row r="19100">
      <c r="A19100" s="1" t="n">
        <v>19099</v>
      </c>
      <c r="B19100">
        <f>TEXT(19099, "[$-0E0000]yyyy-mm-dd")</f>
        <v/>
      </c>
      <c r="C19100" t="inlineStr">
        <is>
          <t>1952-03-22</t>
        </is>
      </c>
    </row>
    <row r="19101">
      <c r="A19101" s="1" t="n">
        <v>19100</v>
      </c>
      <c r="B19101">
        <f>TEXT(19100, "[$-0E0000]yyyy-mm-dd")</f>
        <v/>
      </c>
      <c r="C19101" t="inlineStr">
        <is>
          <t>1952-03-23</t>
        </is>
      </c>
    </row>
    <row r="19102">
      <c r="A19102" s="1" t="n">
        <v>19101</v>
      </c>
      <c r="B19102">
        <f>TEXT(19101, "[$-0E0000]yyyy-mm-dd")</f>
        <v/>
      </c>
      <c r="C19102" t="inlineStr">
        <is>
          <t>1952-03-24</t>
        </is>
      </c>
    </row>
    <row r="19103">
      <c r="A19103" s="1" t="n">
        <v>19102</v>
      </c>
      <c r="B19103">
        <f>TEXT(19102, "[$-0E0000]yyyy-mm-dd")</f>
        <v/>
      </c>
      <c r="C19103" t="inlineStr">
        <is>
          <t>1952-03-25</t>
        </is>
      </c>
    </row>
    <row r="19104">
      <c r="A19104" s="1" t="n">
        <v>19103</v>
      </c>
      <c r="B19104">
        <f>TEXT(19103, "[$-0E0000]yyyy-mm-dd")</f>
        <v/>
      </c>
      <c r="C19104" t="inlineStr">
        <is>
          <t>1952-03-26</t>
        </is>
      </c>
    </row>
    <row r="19105">
      <c r="A19105" s="1" t="n">
        <v>19104</v>
      </c>
      <c r="B19105">
        <f>TEXT(19104, "[$-0E0000]yyyy-mm-dd")</f>
        <v/>
      </c>
      <c r="C19105" t="inlineStr">
        <is>
          <t>1952-03-27</t>
        </is>
      </c>
    </row>
    <row r="19106">
      <c r="A19106" s="1" t="n">
        <v>19105</v>
      </c>
      <c r="B19106">
        <f>TEXT(19105, "[$-0E0000]yyyy-mm-dd")</f>
        <v/>
      </c>
      <c r="C19106" t="inlineStr">
        <is>
          <t>1952-03-28</t>
        </is>
      </c>
    </row>
    <row r="19107">
      <c r="A19107" s="1" t="n">
        <v>19106</v>
      </c>
      <c r="B19107">
        <f>TEXT(19106, "[$-0E0000]yyyy-mm-dd")</f>
        <v/>
      </c>
      <c r="C19107" t="inlineStr">
        <is>
          <t>1952-03-29</t>
        </is>
      </c>
    </row>
    <row r="19108">
      <c r="A19108" s="1" t="n">
        <v>19107</v>
      </c>
      <c r="B19108">
        <f>TEXT(19107, "[$-0E0000]yyyy-mm-dd")</f>
        <v/>
      </c>
      <c r="C19108" t="inlineStr">
        <is>
          <t>1952-04-01</t>
        </is>
      </c>
    </row>
    <row r="19109">
      <c r="A19109" s="1" t="n">
        <v>19108</v>
      </c>
      <c r="B19109">
        <f>TEXT(19108, "[$-0E0000]yyyy-mm-dd")</f>
        <v/>
      </c>
      <c r="C19109" t="inlineStr">
        <is>
          <t>1952-04-02</t>
        </is>
      </c>
    </row>
    <row r="19110">
      <c r="A19110" s="1" t="n">
        <v>19109</v>
      </c>
      <c r="B19110">
        <f>TEXT(19109, "[$-0E0000]yyyy-mm-dd")</f>
        <v/>
      </c>
      <c r="C19110" t="inlineStr">
        <is>
          <t>1952-04-03</t>
        </is>
      </c>
    </row>
    <row r="19111">
      <c r="A19111" s="1" t="n">
        <v>19110</v>
      </c>
      <c r="B19111">
        <f>TEXT(19110, "[$-0E0000]yyyy-mm-dd")</f>
        <v/>
      </c>
      <c r="C19111" t="inlineStr">
        <is>
          <t>1952-04-04</t>
        </is>
      </c>
    </row>
    <row r="19112">
      <c r="A19112" s="1" t="n">
        <v>19111</v>
      </c>
      <c r="B19112">
        <f>TEXT(19111, "[$-0E0000]yyyy-mm-dd")</f>
        <v/>
      </c>
      <c r="C19112" t="inlineStr">
        <is>
          <t>1952-04-05</t>
        </is>
      </c>
    </row>
    <row r="19113">
      <c r="A19113" s="1" t="n">
        <v>19112</v>
      </c>
      <c r="B19113">
        <f>TEXT(19112, "[$-0E0000]yyyy-mm-dd")</f>
        <v/>
      </c>
      <c r="C19113" t="inlineStr">
        <is>
          <t>1952-04-06</t>
        </is>
      </c>
    </row>
    <row r="19114">
      <c r="A19114" s="1" t="n">
        <v>19113</v>
      </c>
      <c r="B19114">
        <f>TEXT(19113, "[$-0E0000]yyyy-mm-dd")</f>
        <v/>
      </c>
      <c r="C19114" t="inlineStr">
        <is>
          <t>1952-04-07</t>
        </is>
      </c>
    </row>
    <row r="19115">
      <c r="A19115" s="1" t="n">
        <v>19114</v>
      </c>
      <c r="B19115">
        <f>TEXT(19114, "[$-0E0000]yyyy-mm-dd")</f>
        <v/>
      </c>
      <c r="C19115" t="inlineStr">
        <is>
          <t>1952-04-08</t>
        </is>
      </c>
    </row>
    <row r="19116">
      <c r="A19116" s="1" t="n">
        <v>19115</v>
      </c>
      <c r="B19116">
        <f>TEXT(19115, "[$-0E0000]yyyy-mm-dd")</f>
        <v/>
      </c>
      <c r="C19116" t="inlineStr">
        <is>
          <t>1952-04-09</t>
        </is>
      </c>
    </row>
    <row r="19117">
      <c r="A19117" s="1" t="n">
        <v>19116</v>
      </c>
      <c r="B19117">
        <f>TEXT(19116, "[$-0E0000]yyyy-mm-dd")</f>
        <v/>
      </c>
      <c r="C19117" t="inlineStr">
        <is>
          <t>1952-04-10</t>
        </is>
      </c>
    </row>
    <row r="19118">
      <c r="A19118" s="1" t="n">
        <v>19117</v>
      </c>
      <c r="B19118">
        <f>TEXT(19117, "[$-0E0000]yyyy-mm-dd")</f>
        <v/>
      </c>
      <c r="C19118" t="inlineStr">
        <is>
          <t>1952-04-11</t>
        </is>
      </c>
    </row>
    <row r="19119">
      <c r="A19119" s="1" t="n">
        <v>19118</v>
      </c>
      <c r="B19119">
        <f>TEXT(19118, "[$-0E0000]yyyy-mm-dd")</f>
        <v/>
      </c>
      <c r="C19119" t="inlineStr">
        <is>
          <t>1952-04-12</t>
        </is>
      </c>
    </row>
    <row r="19120">
      <c r="A19120" s="1" t="n">
        <v>19119</v>
      </c>
      <c r="B19120">
        <f>TEXT(19119, "[$-0E0000]yyyy-mm-dd")</f>
        <v/>
      </c>
      <c r="C19120" t="inlineStr">
        <is>
          <t>1952-04-13</t>
        </is>
      </c>
    </row>
    <row r="19121">
      <c r="A19121" s="1" t="n">
        <v>19120</v>
      </c>
      <c r="B19121">
        <f>TEXT(19120, "[$-0E0000]yyyy-mm-dd")</f>
        <v/>
      </c>
      <c r="C19121" t="inlineStr">
        <is>
          <t>1952-04-14</t>
        </is>
      </c>
    </row>
    <row r="19122">
      <c r="A19122" s="1" t="n">
        <v>19121</v>
      </c>
      <c r="B19122">
        <f>TEXT(19121, "[$-0E0000]yyyy-mm-dd")</f>
        <v/>
      </c>
      <c r="C19122" t="inlineStr">
        <is>
          <t>1952-04-15</t>
        </is>
      </c>
    </row>
    <row r="19123">
      <c r="A19123" s="1" t="n">
        <v>19122</v>
      </c>
      <c r="B19123">
        <f>TEXT(19122, "[$-0E0000]yyyy-mm-dd")</f>
        <v/>
      </c>
      <c r="C19123" t="inlineStr">
        <is>
          <t>1952-04-16</t>
        </is>
      </c>
    </row>
    <row r="19124">
      <c r="A19124" s="1" t="n">
        <v>19123</v>
      </c>
      <c r="B19124">
        <f>TEXT(19123, "[$-0E0000]yyyy-mm-dd")</f>
        <v/>
      </c>
      <c r="C19124" t="inlineStr">
        <is>
          <t>1952-04-17</t>
        </is>
      </c>
    </row>
    <row r="19125">
      <c r="A19125" s="1" t="n">
        <v>19124</v>
      </c>
      <c r="B19125">
        <f>TEXT(19124, "[$-0E0000]yyyy-mm-dd")</f>
        <v/>
      </c>
      <c r="C19125" t="inlineStr">
        <is>
          <t>1952-04-18</t>
        </is>
      </c>
    </row>
    <row r="19126">
      <c r="A19126" s="1" t="n">
        <v>19125</v>
      </c>
      <c r="B19126">
        <f>TEXT(19125, "[$-0E0000]yyyy-mm-dd")</f>
        <v/>
      </c>
      <c r="C19126" t="inlineStr">
        <is>
          <t>1952-04-19</t>
        </is>
      </c>
    </row>
    <row r="19127">
      <c r="A19127" s="1" t="n">
        <v>19126</v>
      </c>
      <c r="B19127">
        <f>TEXT(19126, "[$-0E0000]yyyy-mm-dd")</f>
        <v/>
      </c>
      <c r="C19127" t="inlineStr">
        <is>
          <t>1952-04-20</t>
        </is>
      </c>
    </row>
    <row r="19128">
      <c r="A19128" s="1" t="n">
        <v>19127</v>
      </c>
      <c r="B19128">
        <f>TEXT(19127, "[$-0E0000]yyyy-mm-dd")</f>
        <v/>
      </c>
      <c r="C19128" t="inlineStr">
        <is>
          <t>1952-04-21</t>
        </is>
      </c>
    </row>
    <row r="19129">
      <c r="A19129" s="1" t="n">
        <v>19128</v>
      </c>
      <c r="B19129">
        <f>TEXT(19128, "[$-0E0000]yyyy-mm-dd")</f>
        <v/>
      </c>
      <c r="C19129" t="inlineStr">
        <is>
          <t>1952-04-22</t>
        </is>
      </c>
    </row>
    <row r="19130">
      <c r="A19130" s="1" t="n">
        <v>19129</v>
      </c>
      <c r="B19130">
        <f>TEXT(19129, "[$-0E0000]yyyy-mm-dd")</f>
        <v/>
      </c>
      <c r="C19130" t="inlineStr">
        <is>
          <t>1952-04-23</t>
        </is>
      </c>
    </row>
    <row r="19131">
      <c r="A19131" s="1" t="n">
        <v>19130</v>
      </c>
      <c r="B19131">
        <f>TEXT(19130, "[$-0E0000]yyyy-mm-dd")</f>
        <v/>
      </c>
      <c r="C19131" t="inlineStr">
        <is>
          <t>1952-04-24</t>
        </is>
      </c>
    </row>
    <row r="19132">
      <c r="A19132" s="1" t="n">
        <v>19131</v>
      </c>
      <c r="B19132">
        <f>TEXT(19131, "[$-0E0000]yyyy-mm-dd")</f>
        <v/>
      </c>
      <c r="C19132" t="inlineStr">
        <is>
          <t>1952-04-25</t>
        </is>
      </c>
    </row>
    <row r="19133">
      <c r="A19133" s="1" t="n">
        <v>19132</v>
      </c>
      <c r="B19133">
        <f>TEXT(19132, "[$-0E0000]yyyy-mm-dd")</f>
        <v/>
      </c>
      <c r="C19133" t="inlineStr">
        <is>
          <t>1952-04-26</t>
        </is>
      </c>
    </row>
    <row r="19134">
      <c r="A19134" s="1" t="n">
        <v>19133</v>
      </c>
      <c r="B19134">
        <f>TEXT(19133, "[$-0E0000]yyyy-mm-dd")</f>
        <v/>
      </c>
      <c r="C19134" t="inlineStr">
        <is>
          <t>1952-04-27</t>
        </is>
      </c>
    </row>
    <row r="19135">
      <c r="A19135" s="1" t="n">
        <v>19134</v>
      </c>
      <c r="B19135">
        <f>TEXT(19134, "[$-0E0000]yyyy-mm-dd")</f>
        <v/>
      </c>
      <c r="C19135" t="inlineStr">
        <is>
          <t>1952-04-28</t>
        </is>
      </c>
    </row>
    <row r="19136">
      <c r="A19136" s="1" t="n">
        <v>19135</v>
      </c>
      <c r="B19136">
        <f>TEXT(19135, "[$-0E0000]yyyy-mm-dd")</f>
        <v/>
      </c>
      <c r="C19136" t="inlineStr">
        <is>
          <t>1952-04-29</t>
        </is>
      </c>
    </row>
    <row r="19137">
      <c r="A19137" s="1" t="n">
        <v>19136</v>
      </c>
      <c r="B19137">
        <f>TEXT(19136, "[$-0E0000]yyyy-mm-dd")</f>
        <v/>
      </c>
      <c r="C19137" t="inlineStr">
        <is>
          <t>1952-04-30</t>
        </is>
      </c>
    </row>
    <row r="19138">
      <c r="A19138" s="1" t="n">
        <v>19137</v>
      </c>
      <c r="B19138">
        <f>TEXT(19137, "[$-0E0000]yyyy-mm-dd")</f>
        <v/>
      </c>
      <c r="C19138" t="inlineStr">
        <is>
          <t>1952-05-01</t>
        </is>
      </c>
    </row>
    <row r="19139">
      <c r="A19139" s="1" t="n">
        <v>19138</v>
      </c>
      <c r="B19139">
        <f>TEXT(19138, "[$-0E0000]yyyy-mm-dd")</f>
        <v/>
      </c>
      <c r="C19139" t="inlineStr">
        <is>
          <t>1952-05-02</t>
        </is>
      </c>
    </row>
    <row r="19140">
      <c r="A19140" s="1" t="n">
        <v>19139</v>
      </c>
      <c r="B19140">
        <f>TEXT(19139, "[$-0E0000]yyyy-mm-dd")</f>
        <v/>
      </c>
      <c r="C19140" t="inlineStr">
        <is>
          <t>1952-05-03</t>
        </is>
      </c>
    </row>
    <row r="19141">
      <c r="A19141" s="1" t="n">
        <v>19140</v>
      </c>
      <c r="B19141">
        <f>TEXT(19140, "[$-0E0000]yyyy-mm-dd")</f>
        <v/>
      </c>
      <c r="C19141" t="inlineStr">
        <is>
          <t>1952-05-04</t>
        </is>
      </c>
    </row>
    <row r="19142">
      <c r="A19142" s="1" t="n">
        <v>19141</v>
      </c>
      <c r="B19142">
        <f>TEXT(19141, "[$-0E0000]yyyy-mm-dd")</f>
        <v/>
      </c>
      <c r="C19142" t="inlineStr">
        <is>
          <t>1952-05-05</t>
        </is>
      </c>
    </row>
    <row r="19143">
      <c r="A19143" s="1" t="n">
        <v>19142</v>
      </c>
      <c r="B19143">
        <f>TEXT(19142, "[$-0E0000]yyyy-mm-dd")</f>
        <v/>
      </c>
      <c r="C19143" t="inlineStr">
        <is>
          <t>1952-05-06</t>
        </is>
      </c>
    </row>
    <row r="19144">
      <c r="A19144" s="1" t="n">
        <v>19143</v>
      </c>
      <c r="B19144">
        <f>TEXT(19143, "[$-0E0000]yyyy-mm-dd")</f>
        <v/>
      </c>
      <c r="C19144" t="inlineStr">
        <is>
          <t>1952-05-07</t>
        </is>
      </c>
    </row>
    <row r="19145">
      <c r="A19145" s="1" t="n">
        <v>19144</v>
      </c>
      <c r="B19145">
        <f>TEXT(19144, "[$-0E0000]yyyy-mm-dd")</f>
        <v/>
      </c>
      <c r="C19145" t="inlineStr">
        <is>
          <t>1952-05-08</t>
        </is>
      </c>
    </row>
    <row r="19146">
      <c r="A19146" s="1" t="n">
        <v>19145</v>
      </c>
      <c r="B19146">
        <f>TEXT(19145, "[$-0E0000]yyyy-mm-dd")</f>
        <v/>
      </c>
      <c r="C19146" t="inlineStr">
        <is>
          <t>1952-05-09</t>
        </is>
      </c>
    </row>
    <row r="19147">
      <c r="A19147" s="1" t="n">
        <v>19146</v>
      </c>
      <c r="B19147">
        <f>TEXT(19146, "[$-0E0000]yyyy-mm-dd")</f>
        <v/>
      </c>
      <c r="C19147" t="inlineStr">
        <is>
          <t>1952-05-10</t>
        </is>
      </c>
    </row>
    <row r="19148">
      <c r="A19148" s="1" t="n">
        <v>19147</v>
      </c>
      <c r="B19148">
        <f>TEXT(19147, "[$-0E0000]yyyy-mm-dd")</f>
        <v/>
      </c>
      <c r="C19148" t="inlineStr">
        <is>
          <t>1952-05-11</t>
        </is>
      </c>
    </row>
    <row r="19149">
      <c r="A19149" s="1" t="n">
        <v>19148</v>
      </c>
      <c r="B19149">
        <f>TEXT(19148, "[$-0E0000]yyyy-mm-dd")</f>
        <v/>
      </c>
      <c r="C19149" t="inlineStr">
        <is>
          <t>1952-05-12</t>
        </is>
      </c>
    </row>
    <row r="19150">
      <c r="A19150" s="1" t="n">
        <v>19149</v>
      </c>
      <c r="B19150">
        <f>TEXT(19149, "[$-0E0000]yyyy-mm-dd")</f>
        <v/>
      </c>
      <c r="C19150" t="inlineStr">
        <is>
          <t>1952-05-13</t>
        </is>
      </c>
    </row>
    <row r="19151">
      <c r="A19151" s="1" t="n">
        <v>19150</v>
      </c>
      <c r="B19151">
        <f>TEXT(19150, "[$-0E0000]yyyy-mm-dd")</f>
        <v/>
      </c>
      <c r="C19151" t="inlineStr">
        <is>
          <t>1952-05-14</t>
        </is>
      </c>
    </row>
    <row r="19152">
      <c r="A19152" s="1" t="n">
        <v>19151</v>
      </c>
      <c r="B19152">
        <f>TEXT(19151, "[$-0E0000]yyyy-mm-dd")</f>
        <v/>
      </c>
      <c r="C19152" t="inlineStr">
        <is>
          <t>1952-05-15</t>
        </is>
      </c>
    </row>
    <row r="19153">
      <c r="A19153" s="1" t="n">
        <v>19152</v>
      </c>
      <c r="B19153">
        <f>TEXT(19152, "[$-0E0000]yyyy-mm-dd")</f>
        <v/>
      </c>
      <c r="C19153" t="inlineStr">
        <is>
          <t>1952-05-16</t>
        </is>
      </c>
    </row>
    <row r="19154">
      <c r="A19154" s="1" t="n">
        <v>19153</v>
      </c>
      <c r="B19154">
        <f>TEXT(19153, "[$-0E0000]yyyy-mm-dd")</f>
        <v/>
      </c>
      <c r="C19154" t="inlineStr">
        <is>
          <t>1952-05-17</t>
        </is>
      </c>
    </row>
    <row r="19155">
      <c r="A19155" s="1" t="n">
        <v>19154</v>
      </c>
      <c r="B19155">
        <f>TEXT(19154, "[$-0E0000]yyyy-mm-dd")</f>
        <v/>
      </c>
      <c r="C19155" t="inlineStr">
        <is>
          <t>1952-05-18</t>
        </is>
      </c>
    </row>
    <row r="19156">
      <c r="A19156" s="1" t="n">
        <v>19155</v>
      </c>
      <c r="B19156">
        <f>TEXT(19155, "[$-0E0000]yyyy-mm-dd")</f>
        <v/>
      </c>
      <c r="C19156" t="inlineStr">
        <is>
          <t>1952-05-19</t>
        </is>
      </c>
    </row>
    <row r="19157">
      <c r="A19157" s="1" t="n">
        <v>19156</v>
      </c>
      <c r="B19157">
        <f>TEXT(19156, "[$-0E0000]yyyy-mm-dd")</f>
        <v/>
      </c>
      <c r="C19157" t="inlineStr">
        <is>
          <t>1952-05-20</t>
        </is>
      </c>
    </row>
    <row r="19158">
      <c r="A19158" s="1" t="n">
        <v>19157</v>
      </c>
      <c r="B19158">
        <f>TEXT(19157, "[$-0E0000]yyyy-mm-dd")</f>
        <v/>
      </c>
      <c r="C19158" t="inlineStr">
        <is>
          <t>1952-05-21</t>
        </is>
      </c>
    </row>
    <row r="19159">
      <c r="A19159" s="1" t="n">
        <v>19158</v>
      </c>
      <c r="B19159">
        <f>TEXT(19158, "[$-0E0000]yyyy-mm-dd")</f>
        <v/>
      </c>
      <c r="C19159" t="inlineStr">
        <is>
          <t>1952-05-22</t>
        </is>
      </c>
    </row>
    <row r="19160">
      <c r="A19160" s="1" t="n">
        <v>19159</v>
      </c>
      <c r="B19160">
        <f>TEXT(19159, "[$-0E0000]yyyy-mm-dd")</f>
        <v/>
      </c>
      <c r="C19160" t="inlineStr">
        <is>
          <t>1952-05-23</t>
        </is>
      </c>
    </row>
    <row r="19161">
      <c r="A19161" s="1" t="n">
        <v>19160</v>
      </c>
      <c r="B19161">
        <f>TEXT(19160, "[$-0E0000]yyyy-mm-dd")</f>
        <v/>
      </c>
      <c r="C19161" t="inlineStr">
        <is>
          <t>1952-05-24</t>
        </is>
      </c>
    </row>
    <row r="19162">
      <c r="A19162" s="1" t="n">
        <v>19161</v>
      </c>
      <c r="B19162">
        <f>TEXT(19161, "[$-0E0000]yyyy-mm-dd")</f>
        <v/>
      </c>
      <c r="C19162" t="inlineStr">
        <is>
          <t>1952-05-25</t>
        </is>
      </c>
    </row>
    <row r="19163">
      <c r="A19163" s="1" t="n">
        <v>19162</v>
      </c>
      <c r="B19163">
        <f>TEXT(19162, "[$-0E0000]yyyy-mm-dd")</f>
        <v/>
      </c>
      <c r="C19163" t="inlineStr">
        <is>
          <t>1952-05-26</t>
        </is>
      </c>
    </row>
    <row r="19164">
      <c r="A19164" s="1" t="n">
        <v>19163</v>
      </c>
      <c r="B19164">
        <f>TEXT(19163, "[$-0E0000]yyyy-mm-dd")</f>
        <v/>
      </c>
      <c r="C19164" t="inlineStr">
        <is>
          <t>1952-05-27</t>
        </is>
      </c>
    </row>
    <row r="19165">
      <c r="A19165" s="1" t="n">
        <v>19164</v>
      </c>
      <c r="B19165">
        <f>TEXT(19164, "[$-0E0000]yyyy-mm-dd")</f>
        <v/>
      </c>
      <c r="C19165" t="inlineStr">
        <is>
          <t>1952-05-28</t>
        </is>
      </c>
    </row>
    <row r="19166">
      <c r="A19166" s="1" t="n">
        <v>19165</v>
      </c>
      <c r="B19166">
        <f>TEXT(19165, "[$-0E0000]yyyy-mm-dd")</f>
        <v/>
      </c>
      <c r="C19166" t="inlineStr">
        <is>
          <t>1952-05-29</t>
        </is>
      </c>
    </row>
    <row r="19167">
      <c r="A19167" s="1" t="n">
        <v>19166</v>
      </c>
      <c r="B19167">
        <f>TEXT(19166, "[$-0E0000]yyyy-mm-dd")</f>
        <v/>
      </c>
      <c r="C19167" t="inlineStr">
        <is>
          <t>1952-05-01</t>
        </is>
      </c>
    </row>
    <row r="19168">
      <c r="A19168" s="1" t="n">
        <v>19167</v>
      </c>
      <c r="B19168">
        <f>TEXT(19167, "[$-0E0000]yyyy-mm-dd")</f>
        <v/>
      </c>
      <c r="C19168" t="inlineStr">
        <is>
          <t>1952-05-02</t>
        </is>
      </c>
    </row>
    <row r="19169">
      <c r="A19169" s="1" t="n">
        <v>19168</v>
      </c>
      <c r="B19169">
        <f>TEXT(19168, "[$-0E0000]yyyy-mm-dd")</f>
        <v/>
      </c>
      <c r="C19169" t="inlineStr">
        <is>
          <t>1952-05-03</t>
        </is>
      </c>
    </row>
    <row r="19170">
      <c r="A19170" s="1" t="n">
        <v>19169</v>
      </c>
      <c r="B19170">
        <f>TEXT(19169, "[$-0E0000]yyyy-mm-dd")</f>
        <v/>
      </c>
      <c r="C19170" t="inlineStr">
        <is>
          <t>1952-05-04</t>
        </is>
      </c>
    </row>
    <row r="19171">
      <c r="A19171" s="1" t="n">
        <v>19170</v>
      </c>
      <c r="B19171">
        <f>TEXT(19170, "[$-0E0000]yyyy-mm-dd")</f>
        <v/>
      </c>
      <c r="C19171" t="inlineStr">
        <is>
          <t>1952-05-05</t>
        </is>
      </c>
    </row>
    <row r="19172">
      <c r="A19172" s="1" t="n">
        <v>19171</v>
      </c>
      <c r="B19172">
        <f>TEXT(19171, "[$-0E0000]yyyy-mm-dd")</f>
        <v/>
      </c>
      <c r="C19172" t="inlineStr">
        <is>
          <t>1952-05-06</t>
        </is>
      </c>
    </row>
    <row r="19173">
      <c r="A19173" s="1" t="n">
        <v>19172</v>
      </c>
      <c r="B19173">
        <f>TEXT(19172, "[$-0E0000]yyyy-mm-dd")</f>
        <v/>
      </c>
      <c r="C19173" t="inlineStr">
        <is>
          <t>1952-05-07</t>
        </is>
      </c>
    </row>
    <row r="19174">
      <c r="A19174" s="1" t="n">
        <v>19173</v>
      </c>
      <c r="B19174">
        <f>TEXT(19173, "[$-0E0000]yyyy-mm-dd")</f>
        <v/>
      </c>
      <c r="C19174" t="inlineStr">
        <is>
          <t>1952-05-08</t>
        </is>
      </c>
    </row>
    <row r="19175">
      <c r="A19175" s="1" t="n">
        <v>19174</v>
      </c>
      <c r="B19175">
        <f>TEXT(19174, "[$-0E0000]yyyy-mm-dd")</f>
        <v/>
      </c>
      <c r="C19175" t="inlineStr">
        <is>
          <t>1952-05-09</t>
        </is>
      </c>
    </row>
    <row r="19176">
      <c r="A19176" s="1" t="n">
        <v>19175</v>
      </c>
      <c r="B19176">
        <f>TEXT(19175, "[$-0E0000]yyyy-mm-dd")</f>
        <v/>
      </c>
      <c r="C19176" t="inlineStr">
        <is>
          <t>1952-05-10</t>
        </is>
      </c>
    </row>
    <row r="19177">
      <c r="A19177" s="1" t="n">
        <v>19176</v>
      </c>
      <c r="B19177">
        <f>TEXT(19176, "[$-0E0000]yyyy-mm-dd")</f>
        <v/>
      </c>
      <c r="C19177" t="inlineStr">
        <is>
          <t>1952-05-11</t>
        </is>
      </c>
    </row>
    <row r="19178">
      <c r="A19178" s="1" t="n">
        <v>19177</v>
      </c>
      <c r="B19178">
        <f>TEXT(19177, "[$-0E0000]yyyy-mm-dd")</f>
        <v/>
      </c>
      <c r="C19178" t="inlineStr">
        <is>
          <t>1952-05-12</t>
        </is>
      </c>
    </row>
    <row r="19179">
      <c r="A19179" s="1" t="n">
        <v>19178</v>
      </c>
      <c r="B19179">
        <f>TEXT(19178, "[$-0E0000]yyyy-mm-dd")</f>
        <v/>
      </c>
      <c r="C19179" t="inlineStr">
        <is>
          <t>1952-05-13</t>
        </is>
      </c>
    </row>
    <row r="19180">
      <c r="A19180" s="1" t="n">
        <v>19179</v>
      </c>
      <c r="B19180">
        <f>TEXT(19179, "[$-0E0000]yyyy-mm-dd")</f>
        <v/>
      </c>
      <c r="C19180" t="inlineStr">
        <is>
          <t>1952-05-14</t>
        </is>
      </c>
    </row>
    <row r="19181">
      <c r="A19181" s="1" t="n">
        <v>19180</v>
      </c>
      <c r="B19181">
        <f>TEXT(19180, "[$-0E0000]yyyy-mm-dd")</f>
        <v/>
      </c>
      <c r="C19181" t="inlineStr">
        <is>
          <t>1952-05-15</t>
        </is>
      </c>
    </row>
    <row r="19182">
      <c r="A19182" s="1" t="n">
        <v>19181</v>
      </c>
      <c r="B19182">
        <f>TEXT(19181, "[$-0E0000]yyyy-mm-dd")</f>
        <v/>
      </c>
      <c r="C19182" t="inlineStr">
        <is>
          <t>1952-05-16</t>
        </is>
      </c>
    </row>
    <row r="19183">
      <c r="A19183" s="1" t="n">
        <v>19182</v>
      </c>
      <c r="B19183">
        <f>TEXT(19182, "[$-0E0000]yyyy-mm-dd")</f>
        <v/>
      </c>
      <c r="C19183" t="inlineStr">
        <is>
          <t>1952-05-17</t>
        </is>
      </c>
    </row>
    <row r="19184">
      <c r="A19184" s="1" t="n">
        <v>19183</v>
      </c>
      <c r="B19184">
        <f>TEXT(19183, "[$-0E0000]yyyy-mm-dd")</f>
        <v/>
      </c>
      <c r="C19184" t="inlineStr">
        <is>
          <t>1952-05-18</t>
        </is>
      </c>
    </row>
    <row r="19185">
      <c r="A19185" s="1" t="n">
        <v>19184</v>
      </c>
      <c r="B19185">
        <f>TEXT(19184, "[$-0E0000]yyyy-mm-dd")</f>
        <v/>
      </c>
      <c r="C19185" t="inlineStr">
        <is>
          <t>1952-05-19</t>
        </is>
      </c>
    </row>
    <row r="19186">
      <c r="A19186" s="1" t="n">
        <v>19185</v>
      </c>
      <c r="B19186">
        <f>TEXT(19185, "[$-0E0000]yyyy-mm-dd")</f>
        <v/>
      </c>
      <c r="C19186" t="inlineStr">
        <is>
          <t>1952-05-20</t>
        </is>
      </c>
    </row>
    <row r="19187">
      <c r="A19187" s="1" t="n">
        <v>19186</v>
      </c>
      <c r="B19187">
        <f>TEXT(19186, "[$-0E0000]yyyy-mm-dd")</f>
        <v/>
      </c>
      <c r="C19187" t="inlineStr">
        <is>
          <t>1952-05-21</t>
        </is>
      </c>
    </row>
    <row r="19188">
      <c r="A19188" s="1" t="n">
        <v>19187</v>
      </c>
      <c r="B19188">
        <f>TEXT(19187, "[$-0E0000]yyyy-mm-dd")</f>
        <v/>
      </c>
      <c r="C19188" t="inlineStr">
        <is>
          <t>1952-05-22</t>
        </is>
      </c>
    </row>
    <row r="19189">
      <c r="A19189" s="1" t="n">
        <v>19188</v>
      </c>
      <c r="B19189">
        <f>TEXT(19188, "[$-0E0000]yyyy-mm-dd")</f>
        <v/>
      </c>
      <c r="C19189" t="inlineStr">
        <is>
          <t>1952-05-23</t>
        </is>
      </c>
    </row>
    <row r="19190">
      <c r="A19190" s="1" t="n">
        <v>19189</v>
      </c>
      <c r="B19190">
        <f>TEXT(19189, "[$-0E0000]yyyy-mm-dd")</f>
        <v/>
      </c>
      <c r="C19190" t="inlineStr">
        <is>
          <t>1952-05-24</t>
        </is>
      </c>
    </row>
    <row r="19191">
      <c r="A19191" s="1" t="n">
        <v>19190</v>
      </c>
      <c r="B19191">
        <f>TEXT(19190, "[$-0E0000]yyyy-mm-dd")</f>
        <v/>
      </c>
      <c r="C19191" t="inlineStr">
        <is>
          <t>1952-05-25</t>
        </is>
      </c>
    </row>
    <row r="19192">
      <c r="A19192" s="1" t="n">
        <v>19191</v>
      </c>
      <c r="B19192">
        <f>TEXT(19191, "[$-0E0000]yyyy-mm-dd")</f>
        <v/>
      </c>
      <c r="C19192" t="inlineStr">
        <is>
          <t>1952-05-26</t>
        </is>
      </c>
    </row>
    <row r="19193">
      <c r="A19193" s="1" t="n">
        <v>19192</v>
      </c>
      <c r="B19193">
        <f>TEXT(19192, "[$-0E0000]yyyy-mm-dd")</f>
        <v/>
      </c>
      <c r="C19193" t="inlineStr">
        <is>
          <t>1952-05-27</t>
        </is>
      </c>
    </row>
    <row r="19194">
      <c r="A19194" s="1" t="n">
        <v>19193</v>
      </c>
      <c r="B19194">
        <f>TEXT(19193, "[$-0E0000]yyyy-mm-dd")</f>
        <v/>
      </c>
      <c r="C19194" t="inlineStr">
        <is>
          <t>1952-05-28</t>
        </is>
      </c>
    </row>
    <row r="19195">
      <c r="A19195" s="1" t="n">
        <v>19194</v>
      </c>
      <c r="B19195">
        <f>TEXT(19194, "[$-0E0000]yyyy-mm-dd")</f>
        <v/>
      </c>
      <c r="C19195" t="inlineStr">
        <is>
          <t>1952-05-29</t>
        </is>
      </c>
    </row>
    <row r="19196">
      <c r="A19196" s="1" t="n">
        <v>19195</v>
      </c>
      <c r="B19196">
        <f>TEXT(19195, "[$-0E0000]yyyy-mm-dd")</f>
        <v/>
      </c>
      <c r="C19196" t="inlineStr">
        <is>
          <t>1952-05-30</t>
        </is>
      </c>
    </row>
    <row r="19197">
      <c r="A19197" s="1" t="n">
        <v>19196</v>
      </c>
      <c r="B19197">
        <f>TEXT(19196, "[$-0E0000]yyyy-mm-dd")</f>
        <v/>
      </c>
      <c r="C19197" t="inlineStr">
        <is>
          <t>1952-06-01</t>
        </is>
      </c>
    </row>
    <row r="19198">
      <c r="A19198" s="1" t="n">
        <v>19197</v>
      </c>
      <c r="B19198">
        <f>TEXT(19197, "[$-0E0000]yyyy-mm-dd")</f>
        <v/>
      </c>
      <c r="C19198" t="inlineStr">
        <is>
          <t>1952-06-02</t>
        </is>
      </c>
    </row>
    <row r="19199">
      <c r="A19199" s="1" t="n">
        <v>19198</v>
      </c>
      <c r="B19199">
        <f>TEXT(19198, "[$-0E0000]yyyy-mm-dd")</f>
        <v/>
      </c>
      <c r="C19199" t="inlineStr">
        <is>
          <t>1952-06-03</t>
        </is>
      </c>
    </row>
    <row r="19200">
      <c r="A19200" s="1" t="n">
        <v>19199</v>
      </c>
      <c r="B19200">
        <f>TEXT(19199, "[$-0E0000]yyyy-mm-dd")</f>
        <v/>
      </c>
      <c r="C19200" t="inlineStr">
        <is>
          <t>1952-06-04</t>
        </is>
      </c>
    </row>
    <row r="19201">
      <c r="A19201" s="1" t="n">
        <v>19200</v>
      </c>
      <c r="B19201">
        <f>TEXT(19200, "[$-0E0000]yyyy-mm-dd")</f>
        <v/>
      </c>
      <c r="C19201" t="inlineStr">
        <is>
          <t>1952-06-05</t>
        </is>
      </c>
    </row>
    <row r="19202">
      <c r="A19202" s="1" t="n">
        <v>19201</v>
      </c>
      <c r="B19202">
        <f>TEXT(19201, "[$-0E0000]yyyy-mm-dd")</f>
        <v/>
      </c>
      <c r="C19202" t="inlineStr">
        <is>
          <t>1952-06-06</t>
        </is>
      </c>
    </row>
    <row r="19203">
      <c r="A19203" s="1" t="n">
        <v>19202</v>
      </c>
      <c r="B19203">
        <f>TEXT(19202, "[$-0E0000]yyyy-mm-dd")</f>
        <v/>
      </c>
      <c r="C19203" t="inlineStr">
        <is>
          <t>1952-06-07</t>
        </is>
      </c>
    </row>
    <row r="19204">
      <c r="A19204" s="1" t="n">
        <v>19203</v>
      </c>
      <c r="B19204">
        <f>TEXT(19203, "[$-0E0000]yyyy-mm-dd")</f>
        <v/>
      </c>
      <c r="C19204" t="inlineStr">
        <is>
          <t>1952-06-08</t>
        </is>
      </c>
    </row>
    <row r="19205">
      <c r="A19205" s="1" t="n">
        <v>19204</v>
      </c>
      <c r="B19205">
        <f>TEXT(19204, "[$-0E0000]yyyy-mm-dd")</f>
        <v/>
      </c>
      <c r="C19205" t="inlineStr">
        <is>
          <t>1952-06-09</t>
        </is>
      </c>
    </row>
    <row r="19206">
      <c r="A19206" s="1" t="n">
        <v>19205</v>
      </c>
      <c r="B19206">
        <f>TEXT(19205, "[$-0E0000]yyyy-mm-dd")</f>
        <v/>
      </c>
      <c r="C19206" t="inlineStr">
        <is>
          <t>1952-06-10</t>
        </is>
      </c>
    </row>
    <row r="19207">
      <c r="A19207" s="1" t="n">
        <v>19206</v>
      </c>
      <c r="B19207">
        <f>TEXT(19206, "[$-0E0000]yyyy-mm-dd")</f>
        <v/>
      </c>
      <c r="C19207" t="inlineStr">
        <is>
          <t>1952-06-11</t>
        </is>
      </c>
    </row>
    <row r="19208">
      <c r="A19208" s="1" t="n">
        <v>19207</v>
      </c>
      <c r="B19208">
        <f>TEXT(19207, "[$-0E0000]yyyy-mm-dd")</f>
        <v/>
      </c>
      <c r="C19208" t="inlineStr">
        <is>
          <t>1952-06-12</t>
        </is>
      </c>
    </row>
    <row r="19209">
      <c r="A19209" s="1" t="n">
        <v>19208</v>
      </c>
      <c r="B19209">
        <f>TEXT(19208, "[$-0E0000]yyyy-mm-dd")</f>
        <v/>
      </c>
      <c r="C19209" t="inlineStr">
        <is>
          <t>1952-06-13</t>
        </is>
      </c>
    </row>
    <row r="19210">
      <c r="A19210" s="1" t="n">
        <v>19209</v>
      </c>
      <c r="B19210">
        <f>TEXT(19209, "[$-0E0000]yyyy-mm-dd")</f>
        <v/>
      </c>
      <c r="C19210" t="inlineStr">
        <is>
          <t>1952-06-14</t>
        </is>
      </c>
    </row>
    <row r="19211">
      <c r="A19211" s="1" t="n">
        <v>19210</v>
      </c>
      <c r="B19211">
        <f>TEXT(19210, "[$-0E0000]yyyy-mm-dd")</f>
        <v/>
      </c>
      <c r="C19211" t="inlineStr">
        <is>
          <t>1952-06-15</t>
        </is>
      </c>
    </row>
    <row r="19212">
      <c r="A19212" s="1" t="n">
        <v>19211</v>
      </c>
      <c r="B19212">
        <f>TEXT(19211, "[$-0E0000]yyyy-mm-dd")</f>
        <v/>
      </c>
      <c r="C19212" t="inlineStr">
        <is>
          <t>1952-06-16</t>
        </is>
      </c>
    </row>
    <row r="19213">
      <c r="A19213" s="1" t="n">
        <v>19212</v>
      </c>
      <c r="B19213">
        <f>TEXT(19212, "[$-0E0000]yyyy-mm-dd")</f>
        <v/>
      </c>
      <c r="C19213" t="inlineStr">
        <is>
          <t>1952-06-17</t>
        </is>
      </c>
    </row>
    <row r="19214">
      <c r="A19214" s="1" t="n">
        <v>19213</v>
      </c>
      <c r="B19214">
        <f>TEXT(19213, "[$-0E0000]yyyy-mm-dd")</f>
        <v/>
      </c>
      <c r="C19214" t="inlineStr">
        <is>
          <t>1952-06-18</t>
        </is>
      </c>
    </row>
    <row r="19215">
      <c r="A19215" s="1" t="n">
        <v>19214</v>
      </c>
      <c r="B19215">
        <f>TEXT(19214, "[$-0E0000]yyyy-mm-dd")</f>
        <v/>
      </c>
      <c r="C19215" t="inlineStr">
        <is>
          <t>1952-06-19</t>
        </is>
      </c>
    </row>
    <row r="19216">
      <c r="A19216" s="1" t="n">
        <v>19215</v>
      </c>
      <c r="B19216">
        <f>TEXT(19215, "[$-0E0000]yyyy-mm-dd")</f>
        <v/>
      </c>
      <c r="C19216" t="inlineStr">
        <is>
          <t>1952-06-20</t>
        </is>
      </c>
    </row>
    <row r="19217">
      <c r="A19217" s="1" t="n">
        <v>19216</v>
      </c>
      <c r="B19217">
        <f>TEXT(19216, "[$-0E0000]yyyy-mm-dd")</f>
        <v/>
      </c>
      <c r="C19217" t="inlineStr">
        <is>
          <t>1952-06-21</t>
        </is>
      </c>
    </row>
    <row r="19218">
      <c r="A19218" s="1" t="n">
        <v>19217</v>
      </c>
      <c r="B19218">
        <f>TEXT(19217, "[$-0E0000]yyyy-mm-dd")</f>
        <v/>
      </c>
      <c r="C19218" t="inlineStr">
        <is>
          <t>1952-06-22</t>
        </is>
      </c>
    </row>
    <row r="19219">
      <c r="A19219" s="1" t="n">
        <v>19218</v>
      </c>
      <c r="B19219">
        <f>TEXT(19218, "[$-0E0000]yyyy-mm-dd")</f>
        <v/>
      </c>
      <c r="C19219" t="inlineStr">
        <is>
          <t>1952-06-23</t>
        </is>
      </c>
    </row>
    <row r="19220">
      <c r="A19220" s="1" t="n">
        <v>19219</v>
      </c>
      <c r="B19220">
        <f>TEXT(19219, "[$-0E0000]yyyy-mm-dd")</f>
        <v/>
      </c>
      <c r="C19220" t="inlineStr">
        <is>
          <t>1952-06-24</t>
        </is>
      </c>
    </row>
    <row r="19221">
      <c r="A19221" s="1" t="n">
        <v>19220</v>
      </c>
      <c r="B19221">
        <f>TEXT(19220, "[$-0E0000]yyyy-mm-dd")</f>
        <v/>
      </c>
      <c r="C19221" t="inlineStr">
        <is>
          <t>1952-06-25</t>
        </is>
      </c>
    </row>
    <row r="19222">
      <c r="A19222" s="1" t="n">
        <v>19221</v>
      </c>
      <c r="B19222">
        <f>TEXT(19221, "[$-0E0000]yyyy-mm-dd")</f>
        <v/>
      </c>
      <c r="C19222" t="inlineStr">
        <is>
          <t>1952-06-26</t>
        </is>
      </c>
    </row>
    <row r="19223">
      <c r="A19223" s="1" t="n">
        <v>19222</v>
      </c>
      <c r="B19223">
        <f>TEXT(19222, "[$-0E0000]yyyy-mm-dd")</f>
        <v/>
      </c>
      <c r="C19223" t="inlineStr">
        <is>
          <t>1952-06-27</t>
        </is>
      </c>
    </row>
    <row r="19224">
      <c r="A19224" s="1" t="n">
        <v>19223</v>
      </c>
      <c r="B19224">
        <f>TEXT(19223, "[$-0E0000]yyyy-mm-dd")</f>
        <v/>
      </c>
      <c r="C19224" t="inlineStr">
        <is>
          <t>1952-06-28</t>
        </is>
      </c>
    </row>
    <row r="19225">
      <c r="A19225" s="1" t="n">
        <v>19224</v>
      </c>
      <c r="B19225">
        <f>TEXT(19224, "[$-0E0000]yyyy-mm-dd")</f>
        <v/>
      </c>
      <c r="C19225" t="inlineStr">
        <is>
          <t>1952-06-29</t>
        </is>
      </c>
    </row>
    <row r="19226">
      <c r="A19226" s="1" t="n">
        <v>19225</v>
      </c>
      <c r="B19226">
        <f>TEXT(19225, "[$-0E0000]yyyy-mm-dd")</f>
        <v/>
      </c>
      <c r="C19226" t="inlineStr">
        <is>
          <t>1952-07-01</t>
        </is>
      </c>
    </row>
    <row r="19227">
      <c r="A19227" s="1" t="n">
        <v>19226</v>
      </c>
      <c r="B19227">
        <f>TEXT(19226, "[$-0E0000]yyyy-mm-dd")</f>
        <v/>
      </c>
      <c r="C19227" t="inlineStr">
        <is>
          <t>1952-07-02</t>
        </is>
      </c>
    </row>
    <row r="19228">
      <c r="A19228" s="1" t="n">
        <v>19227</v>
      </c>
      <c r="B19228">
        <f>TEXT(19227, "[$-0E0000]yyyy-mm-dd")</f>
        <v/>
      </c>
      <c r="C19228" t="inlineStr">
        <is>
          <t>1952-07-03</t>
        </is>
      </c>
    </row>
    <row r="19229">
      <c r="A19229" s="1" t="n">
        <v>19228</v>
      </c>
      <c r="B19229">
        <f>TEXT(19228, "[$-0E0000]yyyy-mm-dd")</f>
        <v/>
      </c>
      <c r="C19229" t="inlineStr">
        <is>
          <t>1952-07-04</t>
        </is>
      </c>
    </row>
    <row r="19230">
      <c r="A19230" s="1" t="n">
        <v>19229</v>
      </c>
      <c r="B19230">
        <f>TEXT(19229, "[$-0E0000]yyyy-mm-dd")</f>
        <v/>
      </c>
      <c r="C19230" t="inlineStr">
        <is>
          <t>1952-07-05</t>
        </is>
      </c>
    </row>
    <row r="19231">
      <c r="A19231" s="1" t="n">
        <v>19230</v>
      </c>
      <c r="B19231">
        <f>TEXT(19230, "[$-0E0000]yyyy-mm-dd")</f>
        <v/>
      </c>
      <c r="C19231" t="inlineStr">
        <is>
          <t>1952-07-06</t>
        </is>
      </c>
    </row>
    <row r="19232">
      <c r="A19232" s="1" t="n">
        <v>19231</v>
      </c>
      <c r="B19232">
        <f>TEXT(19231, "[$-0E0000]yyyy-mm-dd")</f>
        <v/>
      </c>
      <c r="C19232" t="inlineStr">
        <is>
          <t>1952-07-07</t>
        </is>
      </c>
    </row>
    <row r="19233">
      <c r="A19233" s="1" t="n">
        <v>19232</v>
      </c>
      <c r="B19233">
        <f>TEXT(19232, "[$-0E0000]yyyy-mm-dd")</f>
        <v/>
      </c>
      <c r="C19233" t="inlineStr">
        <is>
          <t>1952-07-08</t>
        </is>
      </c>
    </row>
    <row r="19234">
      <c r="A19234" s="1" t="n">
        <v>19233</v>
      </c>
      <c r="B19234">
        <f>TEXT(19233, "[$-0E0000]yyyy-mm-dd")</f>
        <v/>
      </c>
      <c r="C19234" t="inlineStr">
        <is>
          <t>1952-07-09</t>
        </is>
      </c>
    </row>
    <row r="19235">
      <c r="A19235" s="1" t="n">
        <v>19234</v>
      </c>
      <c r="B19235">
        <f>TEXT(19234, "[$-0E0000]yyyy-mm-dd")</f>
        <v/>
      </c>
      <c r="C19235" t="inlineStr">
        <is>
          <t>1952-07-10</t>
        </is>
      </c>
    </row>
    <row r="19236">
      <c r="A19236" s="1" t="n">
        <v>19235</v>
      </c>
      <c r="B19236">
        <f>TEXT(19235, "[$-0E0000]yyyy-mm-dd")</f>
        <v/>
      </c>
      <c r="C19236" t="inlineStr">
        <is>
          <t>1952-07-11</t>
        </is>
      </c>
    </row>
    <row r="19237">
      <c r="A19237" s="1" t="n">
        <v>19236</v>
      </c>
      <c r="B19237">
        <f>TEXT(19236, "[$-0E0000]yyyy-mm-dd")</f>
        <v/>
      </c>
      <c r="C19237" t="inlineStr">
        <is>
          <t>1952-07-12</t>
        </is>
      </c>
    </row>
    <row r="19238">
      <c r="A19238" s="1" t="n">
        <v>19237</v>
      </c>
      <c r="B19238">
        <f>TEXT(19237, "[$-0E0000]yyyy-mm-dd")</f>
        <v/>
      </c>
      <c r="C19238" t="inlineStr">
        <is>
          <t>1952-07-13</t>
        </is>
      </c>
    </row>
    <row r="19239">
      <c r="A19239" s="1" t="n">
        <v>19238</v>
      </c>
      <c r="B19239">
        <f>TEXT(19238, "[$-0E0000]yyyy-mm-dd")</f>
        <v/>
      </c>
      <c r="C19239" t="inlineStr">
        <is>
          <t>1952-07-14</t>
        </is>
      </c>
    </row>
    <row r="19240">
      <c r="A19240" s="1" t="n">
        <v>19239</v>
      </c>
      <c r="B19240">
        <f>TEXT(19239, "[$-0E0000]yyyy-mm-dd")</f>
        <v/>
      </c>
      <c r="C19240" t="inlineStr">
        <is>
          <t>1952-07-15</t>
        </is>
      </c>
    </row>
    <row r="19241">
      <c r="A19241" s="1" t="n">
        <v>19240</v>
      </c>
      <c r="B19241">
        <f>TEXT(19240, "[$-0E0000]yyyy-mm-dd")</f>
        <v/>
      </c>
      <c r="C19241" t="inlineStr">
        <is>
          <t>1952-07-16</t>
        </is>
      </c>
    </row>
    <row r="19242">
      <c r="A19242" s="1" t="n">
        <v>19241</v>
      </c>
      <c r="B19242">
        <f>TEXT(19241, "[$-0E0000]yyyy-mm-dd")</f>
        <v/>
      </c>
      <c r="C19242" t="inlineStr">
        <is>
          <t>1952-07-17</t>
        </is>
      </c>
    </row>
    <row r="19243">
      <c r="A19243" s="1" t="n">
        <v>19242</v>
      </c>
      <c r="B19243">
        <f>TEXT(19242, "[$-0E0000]yyyy-mm-dd")</f>
        <v/>
      </c>
      <c r="C19243" t="inlineStr">
        <is>
          <t>1952-07-18</t>
        </is>
      </c>
    </row>
    <row r="19244">
      <c r="A19244" s="1" t="n">
        <v>19243</v>
      </c>
      <c r="B19244">
        <f>TEXT(19243, "[$-0E0000]yyyy-mm-dd")</f>
        <v/>
      </c>
      <c r="C19244" t="inlineStr">
        <is>
          <t>1952-07-19</t>
        </is>
      </c>
    </row>
    <row r="19245">
      <c r="A19245" s="1" t="n">
        <v>19244</v>
      </c>
      <c r="B19245">
        <f>TEXT(19244, "[$-0E0000]yyyy-mm-dd")</f>
        <v/>
      </c>
      <c r="C19245" t="inlineStr">
        <is>
          <t>1952-07-20</t>
        </is>
      </c>
    </row>
    <row r="19246">
      <c r="A19246" s="1" t="n">
        <v>19245</v>
      </c>
      <c r="B19246">
        <f>TEXT(19245, "[$-0E0000]yyyy-mm-dd")</f>
        <v/>
      </c>
      <c r="C19246" t="inlineStr">
        <is>
          <t>1952-07-21</t>
        </is>
      </c>
    </row>
    <row r="19247">
      <c r="A19247" s="1" t="n">
        <v>19246</v>
      </c>
      <c r="B19247">
        <f>TEXT(19246, "[$-0E0000]yyyy-mm-dd")</f>
        <v/>
      </c>
      <c r="C19247" t="inlineStr">
        <is>
          <t>1952-07-22</t>
        </is>
      </c>
    </row>
    <row r="19248">
      <c r="A19248" s="1" t="n">
        <v>19247</v>
      </c>
      <c r="B19248">
        <f>TEXT(19247, "[$-0E0000]yyyy-mm-dd")</f>
        <v/>
      </c>
      <c r="C19248" t="inlineStr">
        <is>
          <t>1952-07-23</t>
        </is>
      </c>
    </row>
    <row r="19249">
      <c r="A19249" s="1" t="n">
        <v>19248</v>
      </c>
      <c r="B19249">
        <f>TEXT(19248, "[$-0E0000]yyyy-mm-dd")</f>
        <v/>
      </c>
      <c r="C19249" t="inlineStr">
        <is>
          <t>1952-07-24</t>
        </is>
      </c>
    </row>
    <row r="19250">
      <c r="A19250" s="1" t="n">
        <v>19249</v>
      </c>
      <c r="B19250">
        <f>TEXT(19249, "[$-0E0000]yyyy-mm-dd")</f>
        <v/>
      </c>
      <c r="C19250" t="inlineStr">
        <is>
          <t>1952-07-25</t>
        </is>
      </c>
    </row>
    <row r="19251">
      <c r="A19251" s="1" t="n">
        <v>19250</v>
      </c>
      <c r="B19251">
        <f>TEXT(19250, "[$-0E0000]yyyy-mm-dd")</f>
        <v/>
      </c>
      <c r="C19251" t="inlineStr">
        <is>
          <t>1952-07-26</t>
        </is>
      </c>
    </row>
    <row r="19252">
      <c r="A19252" s="1" t="n">
        <v>19251</v>
      </c>
      <c r="B19252">
        <f>TEXT(19251, "[$-0E0000]yyyy-mm-dd")</f>
        <v/>
      </c>
      <c r="C19252" t="inlineStr">
        <is>
          <t>1952-07-27</t>
        </is>
      </c>
    </row>
    <row r="19253">
      <c r="A19253" s="1" t="n">
        <v>19252</v>
      </c>
      <c r="B19253">
        <f>TEXT(19252, "[$-0E0000]yyyy-mm-dd")</f>
        <v/>
      </c>
      <c r="C19253" t="inlineStr">
        <is>
          <t>1952-07-28</t>
        </is>
      </c>
    </row>
    <row r="19254">
      <c r="A19254" s="1" t="n">
        <v>19253</v>
      </c>
      <c r="B19254">
        <f>TEXT(19253, "[$-0E0000]yyyy-mm-dd")</f>
        <v/>
      </c>
      <c r="C19254" t="inlineStr">
        <is>
          <t>1952-07-29</t>
        </is>
      </c>
    </row>
    <row r="19255">
      <c r="A19255" s="1" t="n">
        <v>19254</v>
      </c>
      <c r="B19255">
        <f>TEXT(19254, "[$-0E0000]yyyy-mm-dd")</f>
        <v/>
      </c>
      <c r="C19255" t="inlineStr">
        <is>
          <t>1952-07-30</t>
        </is>
      </c>
    </row>
    <row r="19256">
      <c r="A19256" s="1" t="n">
        <v>19255</v>
      </c>
      <c r="B19256">
        <f>TEXT(19255, "[$-0E0000]yyyy-mm-dd")</f>
        <v/>
      </c>
      <c r="C19256" t="inlineStr">
        <is>
          <t>1952-08-01</t>
        </is>
      </c>
    </row>
    <row r="19257">
      <c r="A19257" s="1" t="n">
        <v>19256</v>
      </c>
      <c r="B19257">
        <f>TEXT(19256, "[$-0E0000]yyyy-mm-dd")</f>
        <v/>
      </c>
      <c r="C19257" t="inlineStr">
        <is>
          <t>1952-08-02</t>
        </is>
      </c>
    </row>
    <row r="19258">
      <c r="A19258" s="1" t="n">
        <v>19257</v>
      </c>
      <c r="B19258">
        <f>TEXT(19257, "[$-0E0000]yyyy-mm-dd")</f>
        <v/>
      </c>
      <c r="C19258" t="inlineStr">
        <is>
          <t>1952-08-03</t>
        </is>
      </c>
    </row>
    <row r="19259">
      <c r="A19259" s="1" t="n">
        <v>19258</v>
      </c>
      <c r="B19259">
        <f>TEXT(19258, "[$-0E0000]yyyy-mm-dd")</f>
        <v/>
      </c>
      <c r="C19259" t="inlineStr">
        <is>
          <t>1952-08-04</t>
        </is>
      </c>
    </row>
    <row r="19260">
      <c r="A19260" s="1" t="n">
        <v>19259</v>
      </c>
      <c r="B19260">
        <f>TEXT(19259, "[$-0E0000]yyyy-mm-dd")</f>
        <v/>
      </c>
      <c r="C19260" t="inlineStr">
        <is>
          <t>1952-08-05</t>
        </is>
      </c>
    </row>
    <row r="19261">
      <c r="A19261" s="1" t="n">
        <v>19260</v>
      </c>
      <c r="B19261">
        <f>TEXT(19260, "[$-0E0000]yyyy-mm-dd")</f>
        <v/>
      </c>
      <c r="C19261" t="inlineStr">
        <is>
          <t>1952-08-06</t>
        </is>
      </c>
    </row>
    <row r="19262">
      <c r="A19262" s="1" t="n">
        <v>19261</v>
      </c>
      <c r="B19262">
        <f>TEXT(19261, "[$-0E0000]yyyy-mm-dd")</f>
        <v/>
      </c>
      <c r="C19262" t="inlineStr">
        <is>
          <t>1952-08-07</t>
        </is>
      </c>
    </row>
    <row r="19263">
      <c r="A19263" s="1" t="n">
        <v>19262</v>
      </c>
      <c r="B19263">
        <f>TEXT(19262, "[$-0E0000]yyyy-mm-dd")</f>
        <v/>
      </c>
      <c r="C19263" t="inlineStr">
        <is>
          <t>1952-08-08</t>
        </is>
      </c>
    </row>
    <row r="19264">
      <c r="A19264" s="1" t="n">
        <v>19263</v>
      </c>
      <c r="B19264">
        <f>TEXT(19263, "[$-0E0000]yyyy-mm-dd")</f>
        <v/>
      </c>
      <c r="C19264" t="inlineStr">
        <is>
          <t>1952-08-09</t>
        </is>
      </c>
    </row>
    <row r="19265">
      <c r="A19265" s="1" t="n">
        <v>19264</v>
      </c>
      <c r="B19265">
        <f>TEXT(19264, "[$-0E0000]yyyy-mm-dd")</f>
        <v/>
      </c>
      <c r="C19265" t="inlineStr">
        <is>
          <t>1952-08-10</t>
        </is>
      </c>
    </row>
    <row r="19266">
      <c r="A19266" s="1" t="n">
        <v>19265</v>
      </c>
      <c r="B19266">
        <f>TEXT(19265, "[$-0E0000]yyyy-mm-dd")</f>
        <v/>
      </c>
      <c r="C19266" t="inlineStr">
        <is>
          <t>1952-08-11</t>
        </is>
      </c>
    </row>
    <row r="19267">
      <c r="A19267" s="1" t="n">
        <v>19266</v>
      </c>
      <c r="B19267">
        <f>TEXT(19266, "[$-0E0000]yyyy-mm-dd")</f>
        <v/>
      </c>
      <c r="C19267" t="inlineStr">
        <is>
          <t>1952-08-12</t>
        </is>
      </c>
    </row>
    <row r="19268">
      <c r="A19268" s="1" t="n">
        <v>19267</v>
      </c>
      <c r="B19268">
        <f>TEXT(19267, "[$-0E0000]yyyy-mm-dd")</f>
        <v/>
      </c>
      <c r="C19268" t="inlineStr">
        <is>
          <t>1952-08-13</t>
        </is>
      </c>
    </row>
    <row r="19269">
      <c r="A19269" s="1" t="n">
        <v>19268</v>
      </c>
      <c r="B19269">
        <f>TEXT(19268, "[$-0E0000]yyyy-mm-dd")</f>
        <v/>
      </c>
      <c r="C19269" t="inlineStr">
        <is>
          <t>1952-08-14</t>
        </is>
      </c>
    </row>
    <row r="19270">
      <c r="A19270" s="1" t="n">
        <v>19269</v>
      </c>
      <c r="B19270">
        <f>TEXT(19269, "[$-0E0000]yyyy-mm-dd")</f>
        <v/>
      </c>
      <c r="C19270" t="inlineStr">
        <is>
          <t>1952-08-15</t>
        </is>
      </c>
    </row>
    <row r="19271">
      <c r="A19271" s="1" t="n">
        <v>19270</v>
      </c>
      <c r="B19271">
        <f>TEXT(19270, "[$-0E0000]yyyy-mm-dd")</f>
        <v/>
      </c>
      <c r="C19271" t="inlineStr">
        <is>
          <t>1952-08-16</t>
        </is>
      </c>
    </row>
    <row r="19272">
      <c r="A19272" s="1" t="n">
        <v>19271</v>
      </c>
      <c r="B19272">
        <f>TEXT(19271, "[$-0E0000]yyyy-mm-dd")</f>
        <v/>
      </c>
      <c r="C19272" t="inlineStr">
        <is>
          <t>1952-08-17</t>
        </is>
      </c>
    </row>
    <row r="19273">
      <c r="A19273" s="1" t="n">
        <v>19272</v>
      </c>
      <c r="B19273">
        <f>TEXT(19272, "[$-0E0000]yyyy-mm-dd")</f>
        <v/>
      </c>
      <c r="C19273" t="inlineStr">
        <is>
          <t>1952-08-18</t>
        </is>
      </c>
    </row>
    <row r="19274">
      <c r="A19274" s="1" t="n">
        <v>19273</v>
      </c>
      <c r="B19274">
        <f>TEXT(19273, "[$-0E0000]yyyy-mm-dd")</f>
        <v/>
      </c>
      <c r="C19274" t="inlineStr">
        <is>
          <t>1952-08-19</t>
        </is>
      </c>
    </row>
    <row r="19275">
      <c r="A19275" s="1" t="n">
        <v>19274</v>
      </c>
      <c r="B19275">
        <f>TEXT(19274, "[$-0E0000]yyyy-mm-dd")</f>
        <v/>
      </c>
      <c r="C19275" t="inlineStr">
        <is>
          <t>1952-08-20</t>
        </is>
      </c>
    </row>
    <row r="19276">
      <c r="A19276" s="1" t="n">
        <v>19275</v>
      </c>
      <c r="B19276">
        <f>TEXT(19275, "[$-0E0000]yyyy-mm-dd")</f>
        <v/>
      </c>
      <c r="C19276" t="inlineStr">
        <is>
          <t>1952-08-21</t>
        </is>
      </c>
    </row>
    <row r="19277">
      <c r="A19277" s="1" t="n">
        <v>19276</v>
      </c>
      <c r="B19277">
        <f>TEXT(19276, "[$-0E0000]yyyy-mm-dd")</f>
        <v/>
      </c>
      <c r="C19277" t="inlineStr">
        <is>
          <t>1952-08-22</t>
        </is>
      </c>
    </row>
    <row r="19278">
      <c r="A19278" s="1" t="n">
        <v>19277</v>
      </c>
      <c r="B19278">
        <f>TEXT(19277, "[$-0E0000]yyyy-mm-dd")</f>
        <v/>
      </c>
      <c r="C19278" t="inlineStr">
        <is>
          <t>1952-08-23</t>
        </is>
      </c>
    </row>
    <row r="19279">
      <c r="A19279" s="1" t="n">
        <v>19278</v>
      </c>
      <c r="B19279">
        <f>TEXT(19278, "[$-0E0000]yyyy-mm-dd")</f>
        <v/>
      </c>
      <c r="C19279" t="inlineStr">
        <is>
          <t>1952-08-24</t>
        </is>
      </c>
    </row>
    <row r="19280">
      <c r="A19280" s="1" t="n">
        <v>19279</v>
      </c>
      <c r="B19280">
        <f>TEXT(19279, "[$-0E0000]yyyy-mm-dd")</f>
        <v/>
      </c>
      <c r="C19280" t="inlineStr">
        <is>
          <t>1952-08-25</t>
        </is>
      </c>
    </row>
    <row r="19281">
      <c r="A19281" s="1" t="n">
        <v>19280</v>
      </c>
      <c r="B19281">
        <f>TEXT(19280, "[$-0E0000]yyyy-mm-dd")</f>
        <v/>
      </c>
      <c r="C19281" t="inlineStr">
        <is>
          <t>1952-08-26</t>
        </is>
      </c>
    </row>
    <row r="19282">
      <c r="A19282" s="1" t="n">
        <v>19281</v>
      </c>
      <c r="B19282">
        <f>TEXT(19281, "[$-0E0000]yyyy-mm-dd")</f>
        <v/>
      </c>
      <c r="C19282" t="inlineStr">
        <is>
          <t>1952-08-27</t>
        </is>
      </c>
    </row>
    <row r="19283">
      <c r="A19283" s="1" t="n">
        <v>19282</v>
      </c>
      <c r="B19283">
        <f>TEXT(19282, "[$-0E0000]yyyy-mm-dd")</f>
        <v/>
      </c>
      <c r="C19283" t="inlineStr">
        <is>
          <t>1952-08-28</t>
        </is>
      </c>
    </row>
    <row r="19284">
      <c r="A19284" s="1" t="n">
        <v>19283</v>
      </c>
      <c r="B19284">
        <f>TEXT(19283, "[$-0E0000]yyyy-mm-dd")</f>
        <v/>
      </c>
      <c r="C19284" t="inlineStr">
        <is>
          <t>1952-08-29</t>
        </is>
      </c>
    </row>
    <row r="19285">
      <c r="A19285" s="1" t="n">
        <v>19284</v>
      </c>
      <c r="B19285">
        <f>TEXT(19284, "[$-0E0000]yyyy-mm-dd")</f>
        <v/>
      </c>
      <c r="C19285" t="inlineStr">
        <is>
          <t>1952-08-30</t>
        </is>
      </c>
    </row>
    <row r="19286">
      <c r="A19286" s="1" t="n">
        <v>19285</v>
      </c>
      <c r="B19286">
        <f>TEXT(19285, "[$-0E0000]yyyy-mm-dd")</f>
        <v/>
      </c>
      <c r="C19286" t="inlineStr">
        <is>
          <t>1952-09-01</t>
        </is>
      </c>
    </row>
    <row r="19287">
      <c r="A19287" s="1" t="n">
        <v>19286</v>
      </c>
      <c r="B19287">
        <f>TEXT(19286, "[$-0E0000]yyyy-mm-dd")</f>
        <v/>
      </c>
      <c r="C19287" t="inlineStr">
        <is>
          <t>1952-09-02</t>
        </is>
      </c>
    </row>
    <row r="19288">
      <c r="A19288" s="1" t="n">
        <v>19287</v>
      </c>
      <c r="B19288">
        <f>TEXT(19287, "[$-0E0000]yyyy-mm-dd")</f>
        <v/>
      </c>
      <c r="C19288" t="inlineStr">
        <is>
          <t>1952-09-03</t>
        </is>
      </c>
    </row>
    <row r="19289">
      <c r="A19289" s="1" t="n">
        <v>19288</v>
      </c>
      <c r="B19289">
        <f>TEXT(19288, "[$-0E0000]yyyy-mm-dd")</f>
        <v/>
      </c>
      <c r="C19289" t="inlineStr">
        <is>
          <t>1952-09-04</t>
        </is>
      </c>
    </row>
    <row r="19290">
      <c r="A19290" s="1" t="n">
        <v>19289</v>
      </c>
      <c r="B19290">
        <f>TEXT(19289, "[$-0E0000]yyyy-mm-dd")</f>
        <v/>
      </c>
      <c r="C19290" t="inlineStr">
        <is>
          <t>1952-09-05</t>
        </is>
      </c>
    </row>
    <row r="19291">
      <c r="A19291" s="1" t="n">
        <v>19290</v>
      </c>
      <c r="B19291">
        <f>TEXT(19290, "[$-0E0000]yyyy-mm-dd")</f>
        <v/>
      </c>
      <c r="C19291" t="inlineStr">
        <is>
          <t>1952-09-06</t>
        </is>
      </c>
    </row>
    <row r="19292">
      <c r="A19292" s="1" t="n">
        <v>19291</v>
      </c>
      <c r="B19292">
        <f>TEXT(19291, "[$-0E0000]yyyy-mm-dd")</f>
        <v/>
      </c>
      <c r="C19292" t="inlineStr">
        <is>
          <t>1952-09-07</t>
        </is>
      </c>
    </row>
    <row r="19293">
      <c r="A19293" s="1" t="n">
        <v>19292</v>
      </c>
      <c r="B19293">
        <f>TEXT(19292, "[$-0E0000]yyyy-mm-dd")</f>
        <v/>
      </c>
      <c r="C19293" t="inlineStr">
        <is>
          <t>1952-09-08</t>
        </is>
      </c>
    </row>
    <row r="19294">
      <c r="A19294" s="1" t="n">
        <v>19293</v>
      </c>
      <c r="B19294">
        <f>TEXT(19293, "[$-0E0000]yyyy-mm-dd")</f>
        <v/>
      </c>
      <c r="C19294" t="inlineStr">
        <is>
          <t>1952-09-09</t>
        </is>
      </c>
    </row>
    <row r="19295">
      <c r="A19295" s="1" t="n">
        <v>19294</v>
      </c>
      <c r="B19295">
        <f>TEXT(19294, "[$-0E0000]yyyy-mm-dd")</f>
        <v/>
      </c>
      <c r="C19295" t="inlineStr">
        <is>
          <t>1952-09-10</t>
        </is>
      </c>
    </row>
    <row r="19296">
      <c r="A19296" s="1" t="n">
        <v>19295</v>
      </c>
      <c r="B19296">
        <f>TEXT(19295, "[$-0E0000]yyyy-mm-dd")</f>
        <v/>
      </c>
      <c r="C19296" t="inlineStr">
        <is>
          <t>1952-09-11</t>
        </is>
      </c>
    </row>
    <row r="19297">
      <c r="A19297" s="1" t="n">
        <v>19296</v>
      </c>
      <c r="B19297">
        <f>TEXT(19296, "[$-0E0000]yyyy-mm-dd")</f>
        <v/>
      </c>
      <c r="C19297" t="inlineStr">
        <is>
          <t>1952-09-12</t>
        </is>
      </c>
    </row>
    <row r="19298">
      <c r="A19298" s="1" t="n">
        <v>19297</v>
      </c>
      <c r="B19298">
        <f>TEXT(19297, "[$-0E0000]yyyy-mm-dd")</f>
        <v/>
      </c>
      <c r="C19298" t="inlineStr">
        <is>
          <t>1952-09-13</t>
        </is>
      </c>
    </row>
    <row r="19299">
      <c r="A19299" s="1" t="n">
        <v>19298</v>
      </c>
      <c r="B19299">
        <f>TEXT(19298, "[$-0E0000]yyyy-mm-dd")</f>
        <v/>
      </c>
      <c r="C19299" t="inlineStr">
        <is>
          <t>1952-09-14</t>
        </is>
      </c>
    </row>
    <row r="19300">
      <c r="A19300" s="1" t="n">
        <v>19299</v>
      </c>
      <c r="B19300">
        <f>TEXT(19299, "[$-0E0000]yyyy-mm-dd")</f>
        <v/>
      </c>
      <c r="C19300" t="inlineStr">
        <is>
          <t>1952-09-15</t>
        </is>
      </c>
    </row>
    <row r="19301">
      <c r="A19301" s="1" t="n">
        <v>19300</v>
      </c>
      <c r="B19301">
        <f>TEXT(19300, "[$-0E0000]yyyy-mm-dd")</f>
        <v/>
      </c>
      <c r="C19301" t="inlineStr">
        <is>
          <t>1952-09-16</t>
        </is>
      </c>
    </row>
    <row r="19302">
      <c r="A19302" s="1" t="n">
        <v>19301</v>
      </c>
      <c r="B19302">
        <f>TEXT(19301, "[$-0E0000]yyyy-mm-dd")</f>
        <v/>
      </c>
      <c r="C19302" t="inlineStr">
        <is>
          <t>1952-09-17</t>
        </is>
      </c>
    </row>
    <row r="19303">
      <c r="A19303" s="1" t="n">
        <v>19302</v>
      </c>
      <c r="B19303">
        <f>TEXT(19302, "[$-0E0000]yyyy-mm-dd")</f>
        <v/>
      </c>
      <c r="C19303" t="inlineStr">
        <is>
          <t>1952-09-18</t>
        </is>
      </c>
    </row>
    <row r="19304">
      <c r="A19304" s="1" t="n">
        <v>19303</v>
      </c>
      <c r="B19304">
        <f>TEXT(19303, "[$-0E0000]yyyy-mm-dd")</f>
        <v/>
      </c>
      <c r="C19304" t="inlineStr">
        <is>
          <t>1952-09-19</t>
        </is>
      </c>
    </row>
    <row r="19305">
      <c r="A19305" s="1" t="n">
        <v>19304</v>
      </c>
      <c r="B19305">
        <f>TEXT(19304, "[$-0E0000]yyyy-mm-dd")</f>
        <v/>
      </c>
      <c r="C19305" t="inlineStr">
        <is>
          <t>1952-09-20</t>
        </is>
      </c>
    </row>
    <row r="19306">
      <c r="A19306" s="1" t="n">
        <v>19305</v>
      </c>
      <c r="B19306">
        <f>TEXT(19305, "[$-0E0000]yyyy-mm-dd")</f>
        <v/>
      </c>
      <c r="C19306" t="inlineStr">
        <is>
          <t>1952-09-21</t>
        </is>
      </c>
    </row>
    <row r="19307">
      <c r="A19307" s="1" t="n">
        <v>19306</v>
      </c>
      <c r="B19307">
        <f>TEXT(19306, "[$-0E0000]yyyy-mm-dd")</f>
        <v/>
      </c>
      <c r="C19307" t="inlineStr">
        <is>
          <t>1952-09-22</t>
        </is>
      </c>
    </row>
    <row r="19308">
      <c r="A19308" s="1" t="n">
        <v>19307</v>
      </c>
      <c r="B19308">
        <f>TEXT(19307, "[$-0E0000]yyyy-mm-dd")</f>
        <v/>
      </c>
      <c r="C19308" t="inlineStr">
        <is>
          <t>1952-09-23</t>
        </is>
      </c>
    </row>
    <row r="19309">
      <c r="A19309" s="1" t="n">
        <v>19308</v>
      </c>
      <c r="B19309">
        <f>TEXT(19308, "[$-0E0000]yyyy-mm-dd")</f>
        <v/>
      </c>
      <c r="C19309" t="inlineStr">
        <is>
          <t>1952-09-24</t>
        </is>
      </c>
    </row>
    <row r="19310">
      <c r="A19310" s="1" t="n">
        <v>19309</v>
      </c>
      <c r="B19310">
        <f>TEXT(19309, "[$-0E0000]yyyy-mm-dd")</f>
        <v/>
      </c>
      <c r="C19310" t="inlineStr">
        <is>
          <t>1952-09-25</t>
        </is>
      </c>
    </row>
    <row r="19311">
      <c r="A19311" s="1" t="n">
        <v>19310</v>
      </c>
      <c r="B19311">
        <f>TEXT(19310, "[$-0E0000]yyyy-mm-dd")</f>
        <v/>
      </c>
      <c r="C19311" t="inlineStr">
        <is>
          <t>1952-09-26</t>
        </is>
      </c>
    </row>
    <row r="19312">
      <c r="A19312" s="1" t="n">
        <v>19311</v>
      </c>
      <c r="B19312">
        <f>TEXT(19311, "[$-0E0000]yyyy-mm-dd")</f>
        <v/>
      </c>
      <c r="C19312" t="inlineStr">
        <is>
          <t>1952-09-27</t>
        </is>
      </c>
    </row>
    <row r="19313">
      <c r="A19313" s="1" t="n">
        <v>19312</v>
      </c>
      <c r="B19313">
        <f>TEXT(19312, "[$-0E0000]yyyy-mm-dd")</f>
        <v/>
      </c>
      <c r="C19313" t="inlineStr">
        <is>
          <t>1952-09-28</t>
        </is>
      </c>
    </row>
    <row r="19314">
      <c r="A19314" s="1" t="n">
        <v>19313</v>
      </c>
      <c r="B19314">
        <f>TEXT(19313, "[$-0E0000]yyyy-mm-dd")</f>
        <v/>
      </c>
      <c r="C19314" t="inlineStr">
        <is>
          <t>1952-09-29</t>
        </is>
      </c>
    </row>
    <row r="19315">
      <c r="A19315" s="1" t="n">
        <v>19314</v>
      </c>
      <c r="B19315">
        <f>TEXT(19314, "[$-0E0000]yyyy-mm-dd")</f>
        <v/>
      </c>
      <c r="C19315" t="inlineStr">
        <is>
          <t>1952-10-01</t>
        </is>
      </c>
    </row>
    <row r="19316">
      <c r="A19316" s="1" t="n">
        <v>19315</v>
      </c>
      <c r="B19316">
        <f>TEXT(19315, "[$-0E0000]yyyy-mm-dd")</f>
        <v/>
      </c>
      <c r="C19316" t="inlineStr">
        <is>
          <t>1952-10-02</t>
        </is>
      </c>
    </row>
    <row r="19317">
      <c r="A19317" s="1" t="n">
        <v>19316</v>
      </c>
      <c r="B19317">
        <f>TEXT(19316, "[$-0E0000]yyyy-mm-dd")</f>
        <v/>
      </c>
      <c r="C19317" t="inlineStr">
        <is>
          <t>1952-10-03</t>
        </is>
      </c>
    </row>
    <row r="19318">
      <c r="A19318" s="1" t="n">
        <v>19317</v>
      </c>
      <c r="B19318">
        <f>TEXT(19317, "[$-0E0000]yyyy-mm-dd")</f>
        <v/>
      </c>
      <c r="C19318" t="inlineStr">
        <is>
          <t>1952-10-04</t>
        </is>
      </c>
    </row>
    <row r="19319">
      <c r="A19319" s="1" t="n">
        <v>19318</v>
      </c>
      <c r="B19319">
        <f>TEXT(19318, "[$-0E0000]yyyy-mm-dd")</f>
        <v/>
      </c>
      <c r="C19319" t="inlineStr">
        <is>
          <t>1952-10-05</t>
        </is>
      </c>
    </row>
    <row r="19320">
      <c r="A19320" s="1" t="n">
        <v>19319</v>
      </c>
      <c r="B19320">
        <f>TEXT(19319, "[$-0E0000]yyyy-mm-dd")</f>
        <v/>
      </c>
      <c r="C19320" t="inlineStr">
        <is>
          <t>1952-10-06</t>
        </is>
      </c>
    </row>
    <row r="19321">
      <c r="A19321" s="1" t="n">
        <v>19320</v>
      </c>
      <c r="B19321">
        <f>TEXT(19320, "[$-0E0000]yyyy-mm-dd")</f>
        <v/>
      </c>
      <c r="C19321" t="inlineStr">
        <is>
          <t>1952-10-07</t>
        </is>
      </c>
    </row>
    <row r="19322">
      <c r="A19322" s="1" t="n">
        <v>19321</v>
      </c>
      <c r="B19322">
        <f>TEXT(19321, "[$-0E0000]yyyy-mm-dd")</f>
        <v/>
      </c>
      <c r="C19322" t="inlineStr">
        <is>
          <t>1952-10-08</t>
        </is>
      </c>
    </row>
    <row r="19323">
      <c r="A19323" s="1" t="n">
        <v>19322</v>
      </c>
      <c r="B19323">
        <f>TEXT(19322, "[$-0E0000]yyyy-mm-dd")</f>
        <v/>
      </c>
      <c r="C19323" t="inlineStr">
        <is>
          <t>1952-10-09</t>
        </is>
      </c>
    </row>
    <row r="19324">
      <c r="A19324" s="1" t="n">
        <v>19323</v>
      </c>
      <c r="B19324">
        <f>TEXT(19323, "[$-0E0000]yyyy-mm-dd")</f>
        <v/>
      </c>
      <c r="C19324" t="inlineStr">
        <is>
          <t>1952-10-10</t>
        </is>
      </c>
    </row>
    <row r="19325">
      <c r="A19325" s="1" t="n">
        <v>19324</v>
      </c>
      <c r="B19325">
        <f>TEXT(19324, "[$-0E0000]yyyy-mm-dd")</f>
        <v/>
      </c>
      <c r="C19325" t="inlineStr">
        <is>
          <t>1952-10-11</t>
        </is>
      </c>
    </row>
    <row r="19326">
      <c r="A19326" s="1" t="n">
        <v>19325</v>
      </c>
      <c r="B19326">
        <f>TEXT(19325, "[$-0E0000]yyyy-mm-dd")</f>
        <v/>
      </c>
      <c r="C19326" t="inlineStr">
        <is>
          <t>1952-10-12</t>
        </is>
      </c>
    </row>
    <row r="19327">
      <c r="A19327" s="1" t="n">
        <v>19326</v>
      </c>
      <c r="B19327">
        <f>TEXT(19326, "[$-0E0000]yyyy-mm-dd")</f>
        <v/>
      </c>
      <c r="C19327" t="inlineStr">
        <is>
          <t>1952-10-13</t>
        </is>
      </c>
    </row>
    <row r="19328">
      <c r="A19328" s="1" t="n">
        <v>19327</v>
      </c>
      <c r="B19328">
        <f>TEXT(19327, "[$-0E0000]yyyy-mm-dd")</f>
        <v/>
      </c>
      <c r="C19328" t="inlineStr">
        <is>
          <t>1952-10-14</t>
        </is>
      </c>
    </row>
    <row r="19329">
      <c r="A19329" s="1" t="n">
        <v>19328</v>
      </c>
      <c r="B19329">
        <f>TEXT(19328, "[$-0E0000]yyyy-mm-dd")</f>
        <v/>
      </c>
      <c r="C19329" t="inlineStr">
        <is>
          <t>1952-10-15</t>
        </is>
      </c>
    </row>
    <row r="19330">
      <c r="A19330" s="1" t="n">
        <v>19329</v>
      </c>
      <c r="B19330">
        <f>TEXT(19329, "[$-0E0000]yyyy-mm-dd")</f>
        <v/>
      </c>
      <c r="C19330" t="inlineStr">
        <is>
          <t>1952-10-16</t>
        </is>
      </c>
    </row>
    <row r="19331">
      <c r="A19331" s="1" t="n">
        <v>19330</v>
      </c>
      <c r="B19331">
        <f>TEXT(19330, "[$-0E0000]yyyy-mm-dd")</f>
        <v/>
      </c>
      <c r="C19331" t="inlineStr">
        <is>
          <t>1952-10-17</t>
        </is>
      </c>
    </row>
    <row r="19332">
      <c r="A19332" s="1" t="n">
        <v>19331</v>
      </c>
      <c r="B19332">
        <f>TEXT(19331, "[$-0E0000]yyyy-mm-dd")</f>
        <v/>
      </c>
      <c r="C19332" t="inlineStr">
        <is>
          <t>1952-10-18</t>
        </is>
      </c>
    </row>
    <row r="19333">
      <c r="A19333" s="1" t="n">
        <v>19332</v>
      </c>
      <c r="B19333">
        <f>TEXT(19332, "[$-0E0000]yyyy-mm-dd")</f>
        <v/>
      </c>
      <c r="C19333" t="inlineStr">
        <is>
          <t>1952-10-19</t>
        </is>
      </c>
    </row>
    <row r="19334">
      <c r="A19334" s="1" t="n">
        <v>19333</v>
      </c>
      <c r="B19334">
        <f>TEXT(19333, "[$-0E0000]yyyy-mm-dd")</f>
        <v/>
      </c>
      <c r="C19334" t="inlineStr">
        <is>
          <t>1952-10-20</t>
        </is>
      </c>
    </row>
    <row r="19335">
      <c r="A19335" s="1" t="n">
        <v>19334</v>
      </c>
      <c r="B19335">
        <f>TEXT(19334, "[$-0E0000]yyyy-mm-dd")</f>
        <v/>
      </c>
      <c r="C19335" t="inlineStr">
        <is>
          <t>1952-10-21</t>
        </is>
      </c>
    </row>
    <row r="19336">
      <c r="A19336" s="1" t="n">
        <v>19335</v>
      </c>
      <c r="B19336">
        <f>TEXT(19335, "[$-0E0000]yyyy-mm-dd")</f>
        <v/>
      </c>
      <c r="C19336" t="inlineStr">
        <is>
          <t>1952-10-22</t>
        </is>
      </c>
    </row>
    <row r="19337">
      <c r="A19337" s="1" t="n">
        <v>19336</v>
      </c>
      <c r="B19337">
        <f>TEXT(19336, "[$-0E0000]yyyy-mm-dd")</f>
        <v/>
      </c>
      <c r="C19337" t="inlineStr">
        <is>
          <t>1952-10-23</t>
        </is>
      </c>
    </row>
    <row r="19338">
      <c r="A19338" s="1" t="n">
        <v>19337</v>
      </c>
      <c r="B19338">
        <f>TEXT(19337, "[$-0E0000]yyyy-mm-dd")</f>
        <v/>
      </c>
      <c r="C19338" t="inlineStr">
        <is>
          <t>1952-10-24</t>
        </is>
      </c>
    </row>
    <row r="19339">
      <c r="A19339" s="1" t="n">
        <v>19338</v>
      </c>
      <c r="B19339">
        <f>TEXT(19338, "[$-0E0000]yyyy-mm-dd")</f>
        <v/>
      </c>
      <c r="C19339" t="inlineStr">
        <is>
          <t>1952-10-25</t>
        </is>
      </c>
    </row>
    <row r="19340">
      <c r="A19340" s="1" t="n">
        <v>19339</v>
      </c>
      <c r="B19340">
        <f>TEXT(19339, "[$-0E0000]yyyy-mm-dd")</f>
        <v/>
      </c>
      <c r="C19340" t="inlineStr">
        <is>
          <t>1952-10-26</t>
        </is>
      </c>
    </row>
    <row r="19341">
      <c r="A19341" s="1" t="n">
        <v>19340</v>
      </c>
      <c r="B19341">
        <f>TEXT(19340, "[$-0E0000]yyyy-mm-dd")</f>
        <v/>
      </c>
      <c r="C19341" t="inlineStr">
        <is>
          <t>1952-10-27</t>
        </is>
      </c>
    </row>
    <row r="19342">
      <c r="A19342" s="1" t="n">
        <v>19341</v>
      </c>
      <c r="B19342">
        <f>TEXT(19341, "[$-0E0000]yyyy-mm-dd")</f>
        <v/>
      </c>
      <c r="C19342" t="inlineStr">
        <is>
          <t>1952-10-28</t>
        </is>
      </c>
    </row>
    <row r="19343">
      <c r="A19343" s="1" t="n">
        <v>19342</v>
      </c>
      <c r="B19343">
        <f>TEXT(19342, "[$-0E0000]yyyy-mm-dd")</f>
        <v/>
      </c>
      <c r="C19343" t="inlineStr">
        <is>
          <t>1952-10-29</t>
        </is>
      </c>
    </row>
    <row r="19344">
      <c r="A19344" s="1" t="n">
        <v>19343</v>
      </c>
      <c r="B19344">
        <f>TEXT(19343, "[$-0E0000]yyyy-mm-dd")</f>
        <v/>
      </c>
      <c r="C19344" t="inlineStr">
        <is>
          <t>1952-10-30</t>
        </is>
      </c>
    </row>
    <row r="19345">
      <c r="A19345" s="1" t="n">
        <v>19344</v>
      </c>
      <c r="B19345">
        <f>TEXT(19344, "[$-0E0000]yyyy-mm-dd")</f>
        <v/>
      </c>
      <c r="C19345" t="inlineStr">
        <is>
          <t>1952-11-01</t>
        </is>
      </c>
    </row>
    <row r="19346">
      <c r="A19346" s="1" t="n">
        <v>19345</v>
      </c>
      <c r="B19346">
        <f>TEXT(19345, "[$-0E0000]yyyy-mm-dd")</f>
        <v/>
      </c>
      <c r="C19346" t="inlineStr">
        <is>
          <t>1952-11-02</t>
        </is>
      </c>
    </row>
    <row r="19347">
      <c r="A19347" s="1" t="n">
        <v>19346</v>
      </c>
      <c r="B19347">
        <f>TEXT(19346, "[$-0E0000]yyyy-mm-dd")</f>
        <v/>
      </c>
      <c r="C19347" t="inlineStr">
        <is>
          <t>1952-11-03</t>
        </is>
      </c>
    </row>
    <row r="19348">
      <c r="A19348" s="1" t="n">
        <v>19347</v>
      </c>
      <c r="B19348">
        <f>TEXT(19347, "[$-0E0000]yyyy-mm-dd")</f>
        <v/>
      </c>
      <c r="C19348" t="inlineStr">
        <is>
          <t>1952-11-04</t>
        </is>
      </c>
    </row>
    <row r="19349">
      <c r="A19349" s="1" t="n">
        <v>19348</v>
      </c>
      <c r="B19349">
        <f>TEXT(19348, "[$-0E0000]yyyy-mm-dd")</f>
        <v/>
      </c>
      <c r="C19349" t="inlineStr">
        <is>
          <t>1952-11-05</t>
        </is>
      </c>
    </row>
    <row r="19350">
      <c r="A19350" s="1" t="n">
        <v>19349</v>
      </c>
      <c r="B19350">
        <f>TEXT(19349, "[$-0E0000]yyyy-mm-dd")</f>
        <v/>
      </c>
      <c r="C19350" t="inlineStr">
        <is>
          <t>1952-11-06</t>
        </is>
      </c>
    </row>
    <row r="19351">
      <c r="A19351" s="1" t="n">
        <v>19350</v>
      </c>
      <c r="B19351">
        <f>TEXT(19350, "[$-0E0000]yyyy-mm-dd")</f>
        <v/>
      </c>
      <c r="C19351" t="inlineStr">
        <is>
          <t>1952-11-07</t>
        </is>
      </c>
    </row>
    <row r="19352">
      <c r="A19352" s="1" t="n">
        <v>19351</v>
      </c>
      <c r="B19352">
        <f>TEXT(19351, "[$-0E0000]yyyy-mm-dd")</f>
        <v/>
      </c>
      <c r="C19352" t="inlineStr">
        <is>
          <t>1952-11-08</t>
        </is>
      </c>
    </row>
    <row r="19353">
      <c r="A19353" s="1" t="n">
        <v>19352</v>
      </c>
      <c r="B19353">
        <f>TEXT(19352, "[$-0E0000]yyyy-mm-dd")</f>
        <v/>
      </c>
      <c r="C19353" t="inlineStr">
        <is>
          <t>1952-11-09</t>
        </is>
      </c>
    </row>
    <row r="19354">
      <c r="A19354" s="1" t="n">
        <v>19353</v>
      </c>
      <c r="B19354">
        <f>TEXT(19353, "[$-0E0000]yyyy-mm-dd")</f>
        <v/>
      </c>
      <c r="C19354" t="inlineStr">
        <is>
          <t>1952-11-10</t>
        </is>
      </c>
    </row>
    <row r="19355">
      <c r="A19355" s="1" t="n">
        <v>19354</v>
      </c>
      <c r="B19355">
        <f>TEXT(19354, "[$-0E0000]yyyy-mm-dd")</f>
        <v/>
      </c>
      <c r="C19355" t="inlineStr">
        <is>
          <t>1952-11-11</t>
        </is>
      </c>
    </row>
    <row r="19356">
      <c r="A19356" s="1" t="n">
        <v>19355</v>
      </c>
      <c r="B19356">
        <f>TEXT(19355, "[$-0E0000]yyyy-mm-dd")</f>
        <v/>
      </c>
      <c r="C19356" t="inlineStr">
        <is>
          <t>1952-11-12</t>
        </is>
      </c>
    </row>
    <row r="19357">
      <c r="A19357" s="1" t="n">
        <v>19356</v>
      </c>
      <c r="B19357">
        <f>TEXT(19356, "[$-0E0000]yyyy-mm-dd")</f>
        <v/>
      </c>
      <c r="C19357" t="inlineStr">
        <is>
          <t>1952-11-13</t>
        </is>
      </c>
    </row>
    <row r="19358">
      <c r="A19358" s="1" t="n">
        <v>19357</v>
      </c>
      <c r="B19358">
        <f>TEXT(19357, "[$-0E0000]yyyy-mm-dd")</f>
        <v/>
      </c>
      <c r="C19358" t="inlineStr">
        <is>
          <t>1952-11-14</t>
        </is>
      </c>
    </row>
    <row r="19359">
      <c r="A19359" s="1" t="n">
        <v>19358</v>
      </c>
      <c r="B19359">
        <f>TEXT(19358, "[$-0E0000]yyyy-mm-dd")</f>
        <v/>
      </c>
      <c r="C19359" t="inlineStr">
        <is>
          <t>1952-11-15</t>
        </is>
      </c>
    </row>
    <row r="19360">
      <c r="A19360" s="1" t="n">
        <v>19359</v>
      </c>
      <c r="B19360">
        <f>TEXT(19359, "[$-0E0000]yyyy-mm-dd")</f>
        <v/>
      </c>
      <c r="C19360" t="inlineStr">
        <is>
          <t>1952-11-16</t>
        </is>
      </c>
    </row>
    <row r="19361">
      <c r="A19361" s="1" t="n">
        <v>19360</v>
      </c>
      <c r="B19361">
        <f>TEXT(19360, "[$-0E0000]yyyy-mm-dd")</f>
        <v/>
      </c>
      <c r="C19361" t="inlineStr">
        <is>
          <t>1952-11-17</t>
        </is>
      </c>
    </row>
    <row r="19362">
      <c r="A19362" s="1" t="n">
        <v>19361</v>
      </c>
      <c r="B19362">
        <f>TEXT(19361, "[$-0E0000]yyyy-mm-dd")</f>
        <v/>
      </c>
      <c r="C19362" t="inlineStr">
        <is>
          <t>1952-11-18</t>
        </is>
      </c>
    </row>
    <row r="19363">
      <c r="A19363" s="1" t="n">
        <v>19362</v>
      </c>
      <c r="B19363">
        <f>TEXT(19362, "[$-0E0000]yyyy-mm-dd")</f>
        <v/>
      </c>
      <c r="C19363" t="inlineStr">
        <is>
          <t>1952-11-19</t>
        </is>
      </c>
    </row>
    <row r="19364">
      <c r="A19364" s="1" t="n">
        <v>19363</v>
      </c>
      <c r="B19364">
        <f>TEXT(19363, "[$-0E0000]yyyy-mm-dd")</f>
        <v/>
      </c>
      <c r="C19364" t="inlineStr">
        <is>
          <t>1952-11-20</t>
        </is>
      </c>
    </row>
    <row r="19365">
      <c r="A19365" s="1" t="n">
        <v>19364</v>
      </c>
      <c r="B19365">
        <f>TEXT(19364, "[$-0E0000]yyyy-mm-dd")</f>
        <v/>
      </c>
      <c r="C19365" t="inlineStr">
        <is>
          <t>1952-11-21</t>
        </is>
      </c>
    </row>
    <row r="19366">
      <c r="A19366" s="1" t="n">
        <v>19365</v>
      </c>
      <c r="B19366">
        <f>TEXT(19365, "[$-0E0000]yyyy-mm-dd")</f>
        <v/>
      </c>
      <c r="C19366" t="inlineStr">
        <is>
          <t>1952-11-22</t>
        </is>
      </c>
    </row>
    <row r="19367">
      <c r="A19367" s="1" t="n">
        <v>19366</v>
      </c>
      <c r="B19367">
        <f>TEXT(19366, "[$-0E0000]yyyy-mm-dd")</f>
        <v/>
      </c>
      <c r="C19367" t="inlineStr">
        <is>
          <t>1952-11-23</t>
        </is>
      </c>
    </row>
    <row r="19368">
      <c r="A19368" s="1" t="n">
        <v>19367</v>
      </c>
      <c r="B19368">
        <f>TEXT(19367, "[$-0E0000]yyyy-mm-dd")</f>
        <v/>
      </c>
      <c r="C19368" t="inlineStr">
        <is>
          <t>1952-11-24</t>
        </is>
      </c>
    </row>
    <row r="19369">
      <c r="A19369" s="1" t="n">
        <v>19368</v>
      </c>
      <c r="B19369">
        <f>TEXT(19368, "[$-0E0000]yyyy-mm-dd")</f>
        <v/>
      </c>
      <c r="C19369" t="inlineStr">
        <is>
          <t>1952-11-25</t>
        </is>
      </c>
    </row>
    <row r="19370">
      <c r="A19370" s="1" t="n">
        <v>19369</v>
      </c>
      <c r="B19370">
        <f>TEXT(19369, "[$-0E0000]yyyy-mm-dd")</f>
        <v/>
      </c>
      <c r="C19370" t="inlineStr">
        <is>
          <t>1952-11-26</t>
        </is>
      </c>
    </row>
    <row r="19371">
      <c r="A19371" s="1" t="n">
        <v>19370</v>
      </c>
      <c r="B19371">
        <f>TEXT(19370, "[$-0E0000]yyyy-mm-dd")</f>
        <v/>
      </c>
      <c r="C19371" t="inlineStr">
        <is>
          <t>1952-11-27</t>
        </is>
      </c>
    </row>
    <row r="19372">
      <c r="A19372" s="1" t="n">
        <v>19371</v>
      </c>
      <c r="B19372">
        <f>TEXT(19371, "[$-0E0000]yyyy-mm-dd")</f>
        <v/>
      </c>
      <c r="C19372" t="inlineStr">
        <is>
          <t>1952-11-28</t>
        </is>
      </c>
    </row>
    <row r="19373">
      <c r="A19373" s="1" t="n">
        <v>19372</v>
      </c>
      <c r="B19373">
        <f>TEXT(19372, "[$-0E0000]yyyy-mm-dd")</f>
        <v/>
      </c>
      <c r="C19373" t="inlineStr">
        <is>
          <t>1952-11-29</t>
        </is>
      </c>
    </row>
    <row r="19374">
      <c r="A19374" s="1" t="n">
        <v>19373</v>
      </c>
      <c r="B19374">
        <f>TEXT(19373, "[$-0E0000]yyyy-mm-dd")</f>
        <v/>
      </c>
      <c r="C19374" t="inlineStr">
        <is>
          <t>1952-12-01</t>
        </is>
      </c>
    </row>
    <row r="19375">
      <c r="A19375" s="1" t="n">
        <v>19374</v>
      </c>
      <c r="B19375">
        <f>TEXT(19374, "[$-0E0000]yyyy-mm-dd")</f>
        <v/>
      </c>
      <c r="C19375" t="inlineStr">
        <is>
          <t>1952-12-02</t>
        </is>
      </c>
    </row>
    <row r="19376">
      <c r="A19376" s="1" t="n">
        <v>19375</v>
      </c>
      <c r="B19376">
        <f>TEXT(19375, "[$-0E0000]yyyy-mm-dd")</f>
        <v/>
      </c>
      <c r="C19376" t="inlineStr">
        <is>
          <t>1952-12-03</t>
        </is>
      </c>
    </row>
    <row r="19377">
      <c r="A19377" s="1" t="n">
        <v>19376</v>
      </c>
      <c r="B19377">
        <f>TEXT(19376, "[$-0E0000]yyyy-mm-dd")</f>
        <v/>
      </c>
      <c r="C19377" t="inlineStr">
        <is>
          <t>1952-12-04</t>
        </is>
      </c>
    </row>
    <row r="19378">
      <c r="A19378" s="1" t="n">
        <v>19377</v>
      </c>
      <c r="B19378">
        <f>TEXT(19377, "[$-0E0000]yyyy-mm-dd")</f>
        <v/>
      </c>
      <c r="C19378" t="inlineStr">
        <is>
          <t>1952-12-05</t>
        </is>
      </c>
    </row>
    <row r="19379">
      <c r="A19379" s="1" t="n">
        <v>19378</v>
      </c>
      <c r="B19379">
        <f>TEXT(19378, "[$-0E0000]yyyy-mm-dd")</f>
        <v/>
      </c>
      <c r="C19379" t="inlineStr">
        <is>
          <t>1952-12-06</t>
        </is>
      </c>
    </row>
    <row r="19380">
      <c r="A19380" s="1" t="n">
        <v>19379</v>
      </c>
      <c r="B19380">
        <f>TEXT(19379, "[$-0E0000]yyyy-mm-dd")</f>
        <v/>
      </c>
      <c r="C19380" t="inlineStr">
        <is>
          <t>1952-12-07</t>
        </is>
      </c>
    </row>
    <row r="19381">
      <c r="A19381" s="1" t="n">
        <v>19380</v>
      </c>
      <c r="B19381">
        <f>TEXT(19380, "[$-0E0000]yyyy-mm-dd")</f>
        <v/>
      </c>
      <c r="C19381" t="inlineStr">
        <is>
          <t>1952-12-08</t>
        </is>
      </c>
    </row>
    <row r="19382">
      <c r="A19382" s="1" t="n">
        <v>19381</v>
      </c>
      <c r="B19382">
        <f>TEXT(19381, "[$-0E0000]yyyy-mm-dd")</f>
        <v/>
      </c>
      <c r="C19382" t="inlineStr">
        <is>
          <t>1952-12-09</t>
        </is>
      </c>
    </row>
    <row r="19383">
      <c r="A19383" s="1" t="n">
        <v>19382</v>
      </c>
      <c r="B19383">
        <f>TEXT(19382, "[$-0E0000]yyyy-mm-dd")</f>
        <v/>
      </c>
      <c r="C19383" t="inlineStr">
        <is>
          <t>1952-12-10</t>
        </is>
      </c>
    </row>
    <row r="19384">
      <c r="A19384" s="1" t="n">
        <v>19383</v>
      </c>
      <c r="B19384">
        <f>TEXT(19383, "[$-0E0000]yyyy-mm-dd")</f>
        <v/>
      </c>
      <c r="C19384" t="inlineStr">
        <is>
          <t>1952-12-11</t>
        </is>
      </c>
    </row>
    <row r="19385">
      <c r="A19385" s="1" t="n">
        <v>19384</v>
      </c>
      <c r="B19385">
        <f>TEXT(19384, "[$-0E0000]yyyy-mm-dd")</f>
        <v/>
      </c>
      <c r="C19385" t="inlineStr">
        <is>
          <t>1952-12-12</t>
        </is>
      </c>
    </row>
    <row r="19386">
      <c r="A19386" s="1" t="n">
        <v>19385</v>
      </c>
      <c r="B19386">
        <f>TEXT(19385, "[$-0E0000]yyyy-mm-dd")</f>
        <v/>
      </c>
      <c r="C19386" t="inlineStr">
        <is>
          <t>1952-12-13</t>
        </is>
      </c>
    </row>
    <row r="19387">
      <c r="A19387" s="1" t="n">
        <v>19386</v>
      </c>
      <c r="B19387">
        <f>TEXT(19386, "[$-0E0000]yyyy-mm-dd")</f>
        <v/>
      </c>
      <c r="C19387" t="inlineStr">
        <is>
          <t>1952-12-14</t>
        </is>
      </c>
    </row>
    <row r="19388">
      <c r="A19388" s="1" t="n">
        <v>19387</v>
      </c>
      <c r="B19388">
        <f>TEXT(19387, "[$-0E0000]yyyy-mm-dd")</f>
        <v/>
      </c>
      <c r="C19388" t="inlineStr">
        <is>
          <t>1952-12-15</t>
        </is>
      </c>
    </row>
    <row r="19389">
      <c r="A19389" s="1" t="n">
        <v>19388</v>
      </c>
      <c r="B19389">
        <f>TEXT(19388, "[$-0E0000]yyyy-mm-dd")</f>
        <v/>
      </c>
      <c r="C19389" t="inlineStr">
        <is>
          <t>1952-12-16</t>
        </is>
      </c>
    </row>
    <row r="19390">
      <c r="A19390" s="1" t="n">
        <v>19389</v>
      </c>
      <c r="B19390">
        <f>TEXT(19389, "[$-0E0000]yyyy-mm-dd")</f>
        <v/>
      </c>
      <c r="C19390" t="inlineStr">
        <is>
          <t>1952-12-17</t>
        </is>
      </c>
    </row>
    <row r="19391">
      <c r="A19391" s="1" t="n">
        <v>19390</v>
      </c>
      <c r="B19391">
        <f>TEXT(19390, "[$-0E0000]yyyy-mm-dd")</f>
        <v/>
      </c>
      <c r="C19391" t="inlineStr">
        <is>
          <t>1952-12-18</t>
        </is>
      </c>
    </row>
    <row r="19392">
      <c r="A19392" s="1" t="n">
        <v>19391</v>
      </c>
      <c r="B19392">
        <f>TEXT(19391, "[$-0E0000]yyyy-mm-dd")</f>
        <v/>
      </c>
      <c r="C19392" t="inlineStr">
        <is>
          <t>1952-12-19</t>
        </is>
      </c>
    </row>
    <row r="19393">
      <c r="A19393" s="1" t="n">
        <v>19392</v>
      </c>
      <c r="B19393">
        <f>TEXT(19392, "[$-0E0000]yyyy-mm-dd")</f>
        <v/>
      </c>
      <c r="C19393" t="inlineStr">
        <is>
          <t>1952-12-20</t>
        </is>
      </c>
    </row>
    <row r="19394">
      <c r="A19394" s="1" t="n">
        <v>19393</v>
      </c>
      <c r="B19394">
        <f>TEXT(19393, "[$-0E0000]yyyy-mm-dd")</f>
        <v/>
      </c>
      <c r="C19394" t="inlineStr">
        <is>
          <t>1952-12-21</t>
        </is>
      </c>
    </row>
    <row r="19395">
      <c r="A19395" s="1" t="n">
        <v>19394</v>
      </c>
      <c r="B19395">
        <f>TEXT(19394, "[$-0E0000]yyyy-mm-dd")</f>
        <v/>
      </c>
      <c r="C19395" t="inlineStr">
        <is>
          <t>1952-12-22</t>
        </is>
      </c>
    </row>
    <row r="19396">
      <c r="A19396" s="1" t="n">
        <v>19395</v>
      </c>
      <c r="B19396">
        <f>TEXT(19395, "[$-0E0000]yyyy-mm-dd")</f>
        <v/>
      </c>
      <c r="C19396" t="inlineStr">
        <is>
          <t>1952-12-23</t>
        </is>
      </c>
    </row>
    <row r="19397">
      <c r="A19397" s="1" t="n">
        <v>19396</v>
      </c>
      <c r="B19397">
        <f>TEXT(19396, "[$-0E0000]yyyy-mm-dd")</f>
        <v/>
      </c>
      <c r="C19397" t="inlineStr">
        <is>
          <t>1952-12-24</t>
        </is>
      </c>
    </row>
    <row r="19398">
      <c r="A19398" s="1" t="n">
        <v>19397</v>
      </c>
      <c r="B19398">
        <f>TEXT(19397, "[$-0E0000]yyyy-mm-dd")</f>
        <v/>
      </c>
      <c r="C19398" t="inlineStr">
        <is>
          <t>1952-12-25</t>
        </is>
      </c>
    </row>
    <row r="19399">
      <c r="A19399" s="1" t="n">
        <v>19398</v>
      </c>
      <c r="B19399">
        <f>TEXT(19398, "[$-0E0000]yyyy-mm-dd")</f>
        <v/>
      </c>
      <c r="C19399" t="inlineStr">
        <is>
          <t>1952-12-26</t>
        </is>
      </c>
    </row>
    <row r="19400">
      <c r="A19400" s="1" t="n">
        <v>19399</v>
      </c>
      <c r="B19400">
        <f>TEXT(19399, "[$-0E0000]yyyy-mm-dd")</f>
        <v/>
      </c>
      <c r="C19400" t="inlineStr">
        <is>
          <t>1952-12-27</t>
        </is>
      </c>
    </row>
    <row r="19401">
      <c r="A19401" s="1" t="n">
        <v>19400</v>
      </c>
      <c r="B19401">
        <f>TEXT(19400, "[$-0E0000]yyyy-mm-dd")</f>
        <v/>
      </c>
      <c r="C19401" t="inlineStr">
        <is>
          <t>1952-12-28</t>
        </is>
      </c>
    </row>
    <row r="19402">
      <c r="A19402" s="1" t="n">
        <v>19401</v>
      </c>
      <c r="B19402">
        <f>TEXT(19401, "[$-0E0000]yyyy-mm-dd")</f>
        <v/>
      </c>
      <c r="C19402" t="inlineStr">
        <is>
          <t>1952-12-29</t>
        </is>
      </c>
    </row>
    <row r="19403">
      <c r="A19403" s="1" t="n">
        <v>19402</v>
      </c>
      <c r="B19403">
        <f>TEXT(19402, "[$-0E0000]yyyy-mm-dd")</f>
        <v/>
      </c>
      <c r="C19403" t="inlineStr">
        <is>
          <t>1952-12-30</t>
        </is>
      </c>
    </row>
    <row r="19404">
      <c r="A19404" s="1" t="n">
        <v>19403</v>
      </c>
      <c r="B19404">
        <f>TEXT(19403, "[$-0E0000]yyyy-mm-dd")</f>
        <v/>
      </c>
      <c r="C19404" t="inlineStr">
        <is>
          <t>1953-01-01</t>
        </is>
      </c>
    </row>
    <row r="19405">
      <c r="A19405" s="1" t="n">
        <v>19404</v>
      </c>
      <c r="B19405">
        <f>TEXT(19404, "[$-0E0000]yyyy-mm-dd")</f>
        <v/>
      </c>
      <c r="C19405" t="inlineStr">
        <is>
          <t>1953-01-02</t>
        </is>
      </c>
    </row>
    <row r="19406">
      <c r="A19406" s="1" t="n">
        <v>19405</v>
      </c>
      <c r="B19406">
        <f>TEXT(19405, "[$-0E0000]yyyy-mm-dd")</f>
        <v/>
      </c>
      <c r="C19406" t="inlineStr">
        <is>
          <t>1953-01-03</t>
        </is>
      </c>
    </row>
    <row r="19407">
      <c r="A19407" s="1" t="n">
        <v>19406</v>
      </c>
      <c r="B19407">
        <f>TEXT(19406, "[$-0E0000]yyyy-mm-dd")</f>
        <v/>
      </c>
      <c r="C19407" t="inlineStr">
        <is>
          <t>1953-01-04</t>
        </is>
      </c>
    </row>
    <row r="19408">
      <c r="A19408" s="1" t="n">
        <v>19407</v>
      </c>
      <c r="B19408">
        <f>TEXT(19407, "[$-0E0000]yyyy-mm-dd")</f>
        <v/>
      </c>
      <c r="C19408" t="inlineStr">
        <is>
          <t>1953-01-05</t>
        </is>
      </c>
    </row>
    <row r="19409">
      <c r="A19409" s="1" t="n">
        <v>19408</v>
      </c>
      <c r="B19409">
        <f>TEXT(19408, "[$-0E0000]yyyy-mm-dd")</f>
        <v/>
      </c>
      <c r="C19409" t="inlineStr">
        <is>
          <t>1953-01-06</t>
        </is>
      </c>
    </row>
    <row r="19410">
      <c r="A19410" s="1" t="n">
        <v>19409</v>
      </c>
      <c r="B19410">
        <f>TEXT(19409, "[$-0E0000]yyyy-mm-dd")</f>
        <v/>
      </c>
      <c r="C19410" t="inlineStr">
        <is>
          <t>1953-01-07</t>
        </is>
      </c>
    </row>
    <row r="19411">
      <c r="A19411" s="1" t="n">
        <v>19410</v>
      </c>
      <c r="B19411">
        <f>TEXT(19410, "[$-0E0000]yyyy-mm-dd")</f>
        <v/>
      </c>
      <c r="C19411" t="inlineStr">
        <is>
          <t>1953-01-08</t>
        </is>
      </c>
    </row>
    <row r="19412">
      <c r="A19412" s="1" t="n">
        <v>19411</v>
      </c>
      <c r="B19412">
        <f>TEXT(19411, "[$-0E0000]yyyy-mm-dd")</f>
        <v/>
      </c>
      <c r="C19412" t="inlineStr">
        <is>
          <t>1953-01-09</t>
        </is>
      </c>
    </row>
    <row r="19413">
      <c r="A19413" s="1" t="n">
        <v>19412</v>
      </c>
      <c r="B19413">
        <f>TEXT(19412, "[$-0E0000]yyyy-mm-dd")</f>
        <v/>
      </c>
      <c r="C19413" t="inlineStr">
        <is>
          <t>1953-01-10</t>
        </is>
      </c>
    </row>
    <row r="19414">
      <c r="A19414" s="1" t="n">
        <v>19413</v>
      </c>
      <c r="B19414">
        <f>TEXT(19413, "[$-0E0000]yyyy-mm-dd")</f>
        <v/>
      </c>
      <c r="C19414" t="inlineStr">
        <is>
          <t>1953-01-11</t>
        </is>
      </c>
    </row>
    <row r="19415">
      <c r="A19415" s="1" t="n">
        <v>19414</v>
      </c>
      <c r="B19415">
        <f>TEXT(19414, "[$-0E0000]yyyy-mm-dd")</f>
        <v/>
      </c>
      <c r="C19415" t="inlineStr">
        <is>
          <t>1953-01-12</t>
        </is>
      </c>
    </row>
    <row r="19416">
      <c r="A19416" s="1" t="n">
        <v>19415</v>
      </c>
      <c r="B19416">
        <f>TEXT(19415, "[$-0E0000]yyyy-mm-dd")</f>
        <v/>
      </c>
      <c r="C19416" t="inlineStr">
        <is>
          <t>1953-01-13</t>
        </is>
      </c>
    </row>
    <row r="19417">
      <c r="A19417" s="1" t="n">
        <v>19416</v>
      </c>
      <c r="B19417">
        <f>TEXT(19416, "[$-0E0000]yyyy-mm-dd")</f>
        <v/>
      </c>
      <c r="C19417" t="inlineStr">
        <is>
          <t>1953-01-14</t>
        </is>
      </c>
    </row>
    <row r="19418">
      <c r="A19418" s="1" t="n">
        <v>19417</v>
      </c>
      <c r="B19418">
        <f>TEXT(19417, "[$-0E0000]yyyy-mm-dd")</f>
        <v/>
      </c>
      <c r="C19418" t="inlineStr">
        <is>
          <t>1953-01-15</t>
        </is>
      </c>
    </row>
    <row r="19419">
      <c r="A19419" s="1" t="n">
        <v>19418</v>
      </c>
      <c r="B19419">
        <f>TEXT(19418, "[$-0E0000]yyyy-mm-dd")</f>
        <v/>
      </c>
      <c r="C19419" t="inlineStr">
        <is>
          <t>1953-01-16</t>
        </is>
      </c>
    </row>
    <row r="19420">
      <c r="A19420" s="1" t="n">
        <v>19419</v>
      </c>
      <c r="B19420">
        <f>TEXT(19419, "[$-0E0000]yyyy-mm-dd")</f>
        <v/>
      </c>
      <c r="C19420" t="inlineStr">
        <is>
          <t>1953-01-17</t>
        </is>
      </c>
    </row>
    <row r="19421">
      <c r="A19421" s="1" t="n">
        <v>19420</v>
      </c>
      <c r="B19421">
        <f>TEXT(19420, "[$-0E0000]yyyy-mm-dd")</f>
        <v/>
      </c>
      <c r="C19421" t="inlineStr">
        <is>
          <t>1953-01-18</t>
        </is>
      </c>
    </row>
    <row r="19422">
      <c r="A19422" s="1" t="n">
        <v>19421</v>
      </c>
      <c r="B19422">
        <f>TEXT(19421, "[$-0E0000]yyyy-mm-dd")</f>
        <v/>
      </c>
      <c r="C19422" t="inlineStr">
        <is>
          <t>1953-01-19</t>
        </is>
      </c>
    </row>
    <row r="19423">
      <c r="A19423" s="1" t="n">
        <v>19422</v>
      </c>
      <c r="B19423">
        <f>TEXT(19422, "[$-0E0000]yyyy-mm-dd")</f>
        <v/>
      </c>
      <c r="C19423" t="inlineStr">
        <is>
          <t>1953-01-20</t>
        </is>
      </c>
    </row>
    <row r="19424">
      <c r="A19424" s="1" t="n">
        <v>19423</v>
      </c>
      <c r="B19424">
        <f>TEXT(19423, "[$-0E0000]yyyy-mm-dd")</f>
        <v/>
      </c>
      <c r="C19424" t="inlineStr">
        <is>
          <t>1953-01-21</t>
        </is>
      </c>
    </row>
    <row r="19425">
      <c r="A19425" s="1" t="n">
        <v>19424</v>
      </c>
      <c r="B19425">
        <f>TEXT(19424, "[$-0E0000]yyyy-mm-dd")</f>
        <v/>
      </c>
      <c r="C19425" t="inlineStr">
        <is>
          <t>1953-01-22</t>
        </is>
      </c>
    </row>
    <row r="19426">
      <c r="A19426" s="1" t="n">
        <v>19425</v>
      </c>
      <c r="B19426">
        <f>TEXT(19425, "[$-0E0000]yyyy-mm-dd")</f>
        <v/>
      </c>
      <c r="C19426" t="inlineStr">
        <is>
          <t>1953-01-23</t>
        </is>
      </c>
    </row>
    <row r="19427">
      <c r="A19427" s="1" t="n">
        <v>19426</v>
      </c>
      <c r="B19427">
        <f>TEXT(19426, "[$-0E0000]yyyy-mm-dd")</f>
        <v/>
      </c>
      <c r="C19427" t="inlineStr">
        <is>
          <t>1953-01-24</t>
        </is>
      </c>
    </row>
    <row r="19428">
      <c r="A19428" s="1" t="n">
        <v>19427</v>
      </c>
      <c r="B19428">
        <f>TEXT(19427, "[$-0E0000]yyyy-mm-dd")</f>
        <v/>
      </c>
      <c r="C19428" t="inlineStr">
        <is>
          <t>1953-01-25</t>
        </is>
      </c>
    </row>
    <row r="19429">
      <c r="A19429" s="1" t="n">
        <v>19428</v>
      </c>
      <c r="B19429">
        <f>TEXT(19428, "[$-0E0000]yyyy-mm-dd")</f>
        <v/>
      </c>
      <c r="C19429" t="inlineStr">
        <is>
          <t>1953-01-26</t>
        </is>
      </c>
    </row>
    <row r="19430">
      <c r="A19430" s="1" t="n">
        <v>19429</v>
      </c>
      <c r="B19430">
        <f>TEXT(19429, "[$-0E0000]yyyy-mm-dd")</f>
        <v/>
      </c>
      <c r="C19430" t="inlineStr">
        <is>
          <t>1953-01-27</t>
        </is>
      </c>
    </row>
    <row r="19431">
      <c r="A19431" s="1" t="n">
        <v>19430</v>
      </c>
      <c r="B19431">
        <f>TEXT(19430, "[$-0E0000]yyyy-mm-dd")</f>
        <v/>
      </c>
      <c r="C19431" t="inlineStr">
        <is>
          <t>1953-01-28</t>
        </is>
      </c>
    </row>
    <row r="19432">
      <c r="A19432" s="1" t="n">
        <v>19431</v>
      </c>
      <c r="B19432">
        <f>TEXT(19431, "[$-0E0000]yyyy-mm-dd")</f>
        <v/>
      </c>
      <c r="C19432" t="inlineStr">
        <is>
          <t>1953-01-29</t>
        </is>
      </c>
    </row>
    <row r="19433">
      <c r="A19433" s="1" t="n">
        <v>19432</v>
      </c>
      <c r="B19433">
        <f>TEXT(19432, "[$-0E0000]yyyy-mm-dd")</f>
        <v/>
      </c>
      <c r="C19433" t="inlineStr">
        <is>
          <t>1953-02-01</t>
        </is>
      </c>
    </row>
    <row r="19434">
      <c r="A19434" s="1" t="n">
        <v>19433</v>
      </c>
      <c r="B19434">
        <f>TEXT(19433, "[$-0E0000]yyyy-mm-dd")</f>
        <v/>
      </c>
      <c r="C19434" t="inlineStr">
        <is>
          <t>1953-02-02</t>
        </is>
      </c>
    </row>
    <row r="19435">
      <c r="A19435" s="1" t="n">
        <v>19434</v>
      </c>
      <c r="B19435">
        <f>TEXT(19434, "[$-0E0000]yyyy-mm-dd")</f>
        <v/>
      </c>
      <c r="C19435" t="inlineStr">
        <is>
          <t>1953-02-03</t>
        </is>
      </c>
    </row>
    <row r="19436">
      <c r="A19436" s="1" t="n">
        <v>19435</v>
      </c>
      <c r="B19436">
        <f>TEXT(19435, "[$-0E0000]yyyy-mm-dd")</f>
        <v/>
      </c>
      <c r="C19436" t="inlineStr">
        <is>
          <t>1953-02-04</t>
        </is>
      </c>
    </row>
    <row r="19437">
      <c r="A19437" s="1" t="n">
        <v>19436</v>
      </c>
      <c r="B19437">
        <f>TEXT(19436, "[$-0E0000]yyyy-mm-dd")</f>
        <v/>
      </c>
      <c r="C19437" t="inlineStr">
        <is>
          <t>1953-02-05</t>
        </is>
      </c>
    </row>
    <row r="19438">
      <c r="A19438" s="1" t="n">
        <v>19437</v>
      </c>
      <c r="B19438">
        <f>TEXT(19437, "[$-0E0000]yyyy-mm-dd")</f>
        <v/>
      </c>
      <c r="C19438" t="inlineStr">
        <is>
          <t>1953-02-06</t>
        </is>
      </c>
    </row>
    <row r="19439">
      <c r="A19439" s="1" t="n">
        <v>19438</v>
      </c>
      <c r="B19439">
        <f>TEXT(19438, "[$-0E0000]yyyy-mm-dd")</f>
        <v/>
      </c>
      <c r="C19439" t="inlineStr">
        <is>
          <t>1953-02-07</t>
        </is>
      </c>
    </row>
    <row r="19440">
      <c r="A19440" s="1" t="n">
        <v>19439</v>
      </c>
      <c r="B19440">
        <f>TEXT(19439, "[$-0E0000]yyyy-mm-dd")</f>
        <v/>
      </c>
      <c r="C19440" t="inlineStr">
        <is>
          <t>1953-02-08</t>
        </is>
      </c>
    </row>
    <row r="19441">
      <c r="A19441" s="1" t="n">
        <v>19440</v>
      </c>
      <c r="B19441">
        <f>TEXT(19440, "[$-0E0000]yyyy-mm-dd")</f>
        <v/>
      </c>
      <c r="C19441" t="inlineStr">
        <is>
          <t>1953-02-09</t>
        </is>
      </c>
    </row>
    <row r="19442">
      <c r="A19442" s="1" t="n">
        <v>19441</v>
      </c>
      <c r="B19442">
        <f>TEXT(19441, "[$-0E0000]yyyy-mm-dd")</f>
        <v/>
      </c>
      <c r="C19442" t="inlineStr">
        <is>
          <t>1953-02-10</t>
        </is>
      </c>
    </row>
    <row r="19443">
      <c r="A19443" s="1" t="n">
        <v>19442</v>
      </c>
      <c r="B19443">
        <f>TEXT(19442, "[$-0E0000]yyyy-mm-dd")</f>
        <v/>
      </c>
      <c r="C19443" t="inlineStr">
        <is>
          <t>1953-02-11</t>
        </is>
      </c>
    </row>
    <row r="19444">
      <c r="A19444" s="1" t="n">
        <v>19443</v>
      </c>
      <c r="B19444">
        <f>TEXT(19443, "[$-0E0000]yyyy-mm-dd")</f>
        <v/>
      </c>
      <c r="C19444" t="inlineStr">
        <is>
          <t>1953-02-12</t>
        </is>
      </c>
    </row>
    <row r="19445">
      <c r="A19445" s="1" t="n">
        <v>19444</v>
      </c>
      <c r="B19445">
        <f>TEXT(19444, "[$-0E0000]yyyy-mm-dd")</f>
        <v/>
      </c>
      <c r="C19445" t="inlineStr">
        <is>
          <t>1953-02-13</t>
        </is>
      </c>
    </row>
    <row r="19446">
      <c r="A19446" s="1" t="n">
        <v>19445</v>
      </c>
      <c r="B19446">
        <f>TEXT(19445, "[$-0E0000]yyyy-mm-dd")</f>
        <v/>
      </c>
      <c r="C19446" t="inlineStr">
        <is>
          <t>1953-02-14</t>
        </is>
      </c>
    </row>
    <row r="19447">
      <c r="A19447" s="1" t="n">
        <v>19446</v>
      </c>
      <c r="B19447">
        <f>TEXT(19446, "[$-0E0000]yyyy-mm-dd")</f>
        <v/>
      </c>
      <c r="C19447" t="inlineStr">
        <is>
          <t>1953-02-15</t>
        </is>
      </c>
    </row>
    <row r="19448">
      <c r="A19448" s="1" t="n">
        <v>19447</v>
      </c>
      <c r="B19448">
        <f>TEXT(19447, "[$-0E0000]yyyy-mm-dd")</f>
        <v/>
      </c>
      <c r="C19448" t="inlineStr">
        <is>
          <t>1953-02-16</t>
        </is>
      </c>
    </row>
    <row r="19449">
      <c r="A19449" s="1" t="n">
        <v>19448</v>
      </c>
      <c r="B19449">
        <f>TEXT(19448, "[$-0E0000]yyyy-mm-dd")</f>
        <v/>
      </c>
      <c r="C19449" t="inlineStr">
        <is>
          <t>1953-02-17</t>
        </is>
      </c>
    </row>
    <row r="19450">
      <c r="A19450" s="1" t="n">
        <v>19449</v>
      </c>
      <c r="B19450">
        <f>TEXT(19449, "[$-0E0000]yyyy-mm-dd")</f>
        <v/>
      </c>
      <c r="C19450" t="inlineStr">
        <is>
          <t>1953-02-18</t>
        </is>
      </c>
    </row>
    <row r="19451">
      <c r="A19451" s="1" t="n">
        <v>19450</v>
      </c>
      <c r="B19451">
        <f>TEXT(19450, "[$-0E0000]yyyy-mm-dd")</f>
        <v/>
      </c>
      <c r="C19451" t="inlineStr">
        <is>
          <t>1953-02-19</t>
        </is>
      </c>
    </row>
    <row r="19452">
      <c r="A19452" s="1" t="n">
        <v>19451</v>
      </c>
      <c r="B19452">
        <f>TEXT(19451, "[$-0E0000]yyyy-mm-dd")</f>
        <v/>
      </c>
      <c r="C19452" t="inlineStr">
        <is>
          <t>1953-02-20</t>
        </is>
      </c>
    </row>
    <row r="19453">
      <c r="A19453" s="1" t="n">
        <v>19452</v>
      </c>
      <c r="B19453">
        <f>TEXT(19452, "[$-0E0000]yyyy-mm-dd")</f>
        <v/>
      </c>
      <c r="C19453" t="inlineStr">
        <is>
          <t>1953-02-21</t>
        </is>
      </c>
    </row>
    <row r="19454">
      <c r="A19454" s="1" t="n">
        <v>19453</v>
      </c>
      <c r="B19454">
        <f>TEXT(19453, "[$-0E0000]yyyy-mm-dd")</f>
        <v/>
      </c>
      <c r="C19454" t="inlineStr">
        <is>
          <t>1953-02-22</t>
        </is>
      </c>
    </row>
    <row r="19455">
      <c r="A19455" s="1" t="n">
        <v>19454</v>
      </c>
      <c r="B19455">
        <f>TEXT(19454, "[$-0E0000]yyyy-mm-dd")</f>
        <v/>
      </c>
      <c r="C19455" t="inlineStr">
        <is>
          <t>1953-02-23</t>
        </is>
      </c>
    </row>
    <row r="19456">
      <c r="A19456" s="1" t="n">
        <v>19455</v>
      </c>
      <c r="B19456">
        <f>TEXT(19455, "[$-0E0000]yyyy-mm-dd")</f>
        <v/>
      </c>
      <c r="C19456" t="inlineStr">
        <is>
          <t>1953-02-24</t>
        </is>
      </c>
    </row>
    <row r="19457">
      <c r="A19457" s="1" t="n">
        <v>19456</v>
      </c>
      <c r="B19457">
        <f>TEXT(19456, "[$-0E0000]yyyy-mm-dd")</f>
        <v/>
      </c>
      <c r="C19457" t="inlineStr">
        <is>
          <t>1953-02-25</t>
        </is>
      </c>
    </row>
    <row r="19458">
      <c r="A19458" s="1" t="n">
        <v>19457</v>
      </c>
      <c r="B19458">
        <f>TEXT(19457, "[$-0E0000]yyyy-mm-dd")</f>
        <v/>
      </c>
      <c r="C19458" t="inlineStr">
        <is>
          <t>1953-02-26</t>
        </is>
      </c>
    </row>
    <row r="19459">
      <c r="A19459" s="1" t="n">
        <v>19458</v>
      </c>
      <c r="B19459">
        <f>TEXT(19458, "[$-0E0000]yyyy-mm-dd")</f>
        <v/>
      </c>
      <c r="C19459" t="inlineStr">
        <is>
          <t>1953-02-27</t>
        </is>
      </c>
    </row>
    <row r="19460">
      <c r="A19460" s="1" t="n">
        <v>19459</v>
      </c>
      <c r="B19460">
        <f>TEXT(19459, "[$-0E0000]yyyy-mm-dd")</f>
        <v/>
      </c>
      <c r="C19460" t="inlineStr">
        <is>
          <t>1953-02-28</t>
        </is>
      </c>
    </row>
    <row r="19461">
      <c r="A19461" s="1" t="n">
        <v>19460</v>
      </c>
      <c r="B19461">
        <f>TEXT(19460, "[$-0E0000]yyyy-mm-dd")</f>
        <v/>
      </c>
      <c r="C19461" t="inlineStr">
        <is>
          <t>1953-02-29</t>
        </is>
      </c>
    </row>
    <row r="19462">
      <c r="A19462" s="1" t="n">
        <v>19461</v>
      </c>
      <c r="B19462">
        <f>TEXT(19461, "[$-0E0000]yyyy-mm-dd")</f>
        <v/>
      </c>
      <c r="C19462" t="inlineStr">
        <is>
          <t>1953-02-30</t>
        </is>
      </c>
    </row>
    <row r="19463">
      <c r="A19463" s="1" t="n">
        <v>19462</v>
      </c>
      <c r="B19463">
        <f>TEXT(19462, "[$-0E0000]yyyy-mm-dd")</f>
        <v/>
      </c>
      <c r="C19463" t="inlineStr">
        <is>
          <t>1953-03-01</t>
        </is>
      </c>
    </row>
    <row r="19464">
      <c r="A19464" s="1" t="n">
        <v>19463</v>
      </c>
      <c r="B19464">
        <f>TEXT(19463, "[$-0E0000]yyyy-mm-dd")</f>
        <v/>
      </c>
      <c r="C19464" t="inlineStr">
        <is>
          <t>1953-03-02</t>
        </is>
      </c>
    </row>
    <row r="19465">
      <c r="A19465" s="1" t="n">
        <v>19464</v>
      </c>
      <c r="B19465">
        <f>TEXT(19464, "[$-0E0000]yyyy-mm-dd")</f>
        <v/>
      </c>
      <c r="C19465" t="inlineStr">
        <is>
          <t>1953-03-03</t>
        </is>
      </c>
    </row>
    <row r="19466">
      <c r="A19466" s="1" t="n">
        <v>19465</v>
      </c>
      <c r="B19466">
        <f>TEXT(19465, "[$-0E0000]yyyy-mm-dd")</f>
        <v/>
      </c>
      <c r="C19466" t="inlineStr">
        <is>
          <t>1953-03-04</t>
        </is>
      </c>
    </row>
    <row r="19467">
      <c r="A19467" s="1" t="n">
        <v>19466</v>
      </c>
      <c r="B19467">
        <f>TEXT(19466, "[$-0E0000]yyyy-mm-dd")</f>
        <v/>
      </c>
      <c r="C19467" t="inlineStr">
        <is>
          <t>1953-03-05</t>
        </is>
      </c>
    </row>
    <row r="19468">
      <c r="A19468" s="1" t="n">
        <v>19467</v>
      </c>
      <c r="B19468">
        <f>TEXT(19467, "[$-0E0000]yyyy-mm-dd")</f>
        <v/>
      </c>
      <c r="C19468" t="inlineStr">
        <is>
          <t>1953-03-06</t>
        </is>
      </c>
    </row>
    <row r="19469">
      <c r="A19469" s="1" t="n">
        <v>19468</v>
      </c>
      <c r="B19469">
        <f>TEXT(19468, "[$-0E0000]yyyy-mm-dd")</f>
        <v/>
      </c>
      <c r="C19469" t="inlineStr">
        <is>
          <t>1953-03-07</t>
        </is>
      </c>
    </row>
    <row r="19470">
      <c r="A19470" s="1" t="n">
        <v>19469</v>
      </c>
      <c r="B19470">
        <f>TEXT(19469, "[$-0E0000]yyyy-mm-dd")</f>
        <v/>
      </c>
      <c r="C19470" t="inlineStr">
        <is>
          <t>1953-03-08</t>
        </is>
      </c>
    </row>
    <row r="19471">
      <c r="A19471" s="1" t="n">
        <v>19470</v>
      </c>
      <c r="B19471">
        <f>TEXT(19470, "[$-0E0000]yyyy-mm-dd")</f>
        <v/>
      </c>
      <c r="C19471" t="inlineStr">
        <is>
          <t>1953-03-09</t>
        </is>
      </c>
    </row>
    <row r="19472">
      <c r="A19472" s="1" t="n">
        <v>19471</v>
      </c>
      <c r="B19472">
        <f>TEXT(19471, "[$-0E0000]yyyy-mm-dd")</f>
        <v/>
      </c>
      <c r="C19472" t="inlineStr">
        <is>
          <t>1953-03-10</t>
        </is>
      </c>
    </row>
    <row r="19473">
      <c r="A19473" s="1" t="n">
        <v>19472</v>
      </c>
      <c r="B19473">
        <f>TEXT(19472, "[$-0E0000]yyyy-mm-dd")</f>
        <v/>
      </c>
      <c r="C19473" t="inlineStr">
        <is>
          <t>1953-03-11</t>
        </is>
      </c>
    </row>
    <row r="19474">
      <c r="A19474" s="1" t="n">
        <v>19473</v>
      </c>
      <c r="B19474">
        <f>TEXT(19473, "[$-0E0000]yyyy-mm-dd")</f>
        <v/>
      </c>
      <c r="C19474" t="inlineStr">
        <is>
          <t>1953-03-12</t>
        </is>
      </c>
    </row>
    <row r="19475">
      <c r="A19475" s="1" t="n">
        <v>19474</v>
      </c>
      <c r="B19475">
        <f>TEXT(19474, "[$-0E0000]yyyy-mm-dd")</f>
        <v/>
      </c>
      <c r="C19475" t="inlineStr">
        <is>
          <t>1953-03-13</t>
        </is>
      </c>
    </row>
    <row r="19476">
      <c r="A19476" s="1" t="n">
        <v>19475</v>
      </c>
      <c r="B19476">
        <f>TEXT(19475, "[$-0E0000]yyyy-mm-dd")</f>
        <v/>
      </c>
      <c r="C19476" t="inlineStr">
        <is>
          <t>1953-03-14</t>
        </is>
      </c>
    </row>
    <row r="19477">
      <c r="A19477" s="1" t="n">
        <v>19476</v>
      </c>
      <c r="B19477">
        <f>TEXT(19476, "[$-0E0000]yyyy-mm-dd")</f>
        <v/>
      </c>
      <c r="C19477" t="inlineStr">
        <is>
          <t>1953-03-15</t>
        </is>
      </c>
    </row>
    <row r="19478">
      <c r="A19478" s="1" t="n">
        <v>19477</v>
      </c>
      <c r="B19478">
        <f>TEXT(19477, "[$-0E0000]yyyy-mm-dd")</f>
        <v/>
      </c>
      <c r="C19478" t="inlineStr">
        <is>
          <t>1953-03-16</t>
        </is>
      </c>
    </row>
    <row r="19479">
      <c r="A19479" s="1" t="n">
        <v>19478</v>
      </c>
      <c r="B19479">
        <f>TEXT(19478, "[$-0E0000]yyyy-mm-dd")</f>
        <v/>
      </c>
      <c r="C19479" t="inlineStr">
        <is>
          <t>1953-03-17</t>
        </is>
      </c>
    </row>
    <row r="19480">
      <c r="A19480" s="1" t="n">
        <v>19479</v>
      </c>
      <c r="B19480">
        <f>TEXT(19479, "[$-0E0000]yyyy-mm-dd")</f>
        <v/>
      </c>
      <c r="C19480" t="inlineStr">
        <is>
          <t>1953-03-18</t>
        </is>
      </c>
    </row>
    <row r="19481">
      <c r="A19481" s="1" t="n">
        <v>19480</v>
      </c>
      <c r="B19481">
        <f>TEXT(19480, "[$-0E0000]yyyy-mm-dd")</f>
        <v/>
      </c>
      <c r="C19481" t="inlineStr">
        <is>
          <t>1953-03-19</t>
        </is>
      </c>
    </row>
    <row r="19482">
      <c r="A19482" s="1" t="n">
        <v>19481</v>
      </c>
      <c r="B19482">
        <f>TEXT(19481, "[$-0E0000]yyyy-mm-dd")</f>
        <v/>
      </c>
      <c r="C19482" t="inlineStr">
        <is>
          <t>1953-03-20</t>
        </is>
      </c>
    </row>
    <row r="19483">
      <c r="A19483" s="1" t="n">
        <v>19482</v>
      </c>
      <c r="B19483">
        <f>TEXT(19482, "[$-0E0000]yyyy-mm-dd")</f>
        <v/>
      </c>
      <c r="C19483" t="inlineStr">
        <is>
          <t>1953-03-21</t>
        </is>
      </c>
    </row>
    <row r="19484">
      <c r="A19484" s="1" t="n">
        <v>19483</v>
      </c>
      <c r="B19484">
        <f>TEXT(19483, "[$-0E0000]yyyy-mm-dd")</f>
        <v/>
      </c>
      <c r="C19484" t="inlineStr">
        <is>
          <t>1953-03-22</t>
        </is>
      </c>
    </row>
    <row r="19485">
      <c r="A19485" s="1" t="n">
        <v>19484</v>
      </c>
      <c r="B19485">
        <f>TEXT(19484, "[$-0E0000]yyyy-mm-dd")</f>
        <v/>
      </c>
      <c r="C19485" t="inlineStr">
        <is>
          <t>1953-03-23</t>
        </is>
      </c>
    </row>
    <row r="19486">
      <c r="A19486" s="1" t="n">
        <v>19485</v>
      </c>
      <c r="B19486">
        <f>TEXT(19485, "[$-0E0000]yyyy-mm-dd")</f>
        <v/>
      </c>
      <c r="C19486" t="inlineStr">
        <is>
          <t>1953-03-24</t>
        </is>
      </c>
    </row>
    <row r="19487">
      <c r="A19487" s="1" t="n">
        <v>19486</v>
      </c>
      <c r="B19487">
        <f>TEXT(19486, "[$-0E0000]yyyy-mm-dd")</f>
        <v/>
      </c>
      <c r="C19487" t="inlineStr">
        <is>
          <t>1953-03-25</t>
        </is>
      </c>
    </row>
    <row r="19488">
      <c r="A19488" s="1" t="n">
        <v>19487</v>
      </c>
      <c r="B19488">
        <f>TEXT(19487, "[$-0E0000]yyyy-mm-dd")</f>
        <v/>
      </c>
      <c r="C19488" t="inlineStr">
        <is>
          <t>1953-03-26</t>
        </is>
      </c>
    </row>
    <row r="19489">
      <c r="A19489" s="1" t="n">
        <v>19488</v>
      </c>
      <c r="B19489">
        <f>TEXT(19488, "[$-0E0000]yyyy-mm-dd")</f>
        <v/>
      </c>
      <c r="C19489" t="inlineStr">
        <is>
          <t>1953-03-27</t>
        </is>
      </c>
    </row>
    <row r="19490">
      <c r="A19490" s="1" t="n">
        <v>19489</v>
      </c>
      <c r="B19490">
        <f>TEXT(19489, "[$-0E0000]yyyy-mm-dd")</f>
        <v/>
      </c>
      <c r="C19490" t="inlineStr">
        <is>
          <t>1953-03-28</t>
        </is>
      </c>
    </row>
    <row r="19491">
      <c r="A19491" s="1" t="n">
        <v>19490</v>
      </c>
      <c r="B19491">
        <f>TEXT(19490, "[$-0E0000]yyyy-mm-dd")</f>
        <v/>
      </c>
      <c r="C19491" t="inlineStr">
        <is>
          <t>1953-03-29</t>
        </is>
      </c>
    </row>
    <row r="19492">
      <c r="A19492" s="1" t="n">
        <v>19491</v>
      </c>
      <c r="B19492">
        <f>TEXT(19491, "[$-0E0000]yyyy-mm-dd")</f>
        <v/>
      </c>
      <c r="C19492" t="inlineStr">
        <is>
          <t>1953-04-01</t>
        </is>
      </c>
    </row>
    <row r="19493">
      <c r="A19493" s="1" t="n">
        <v>19492</v>
      </c>
      <c r="B19493">
        <f>TEXT(19492, "[$-0E0000]yyyy-mm-dd")</f>
        <v/>
      </c>
      <c r="C19493" t="inlineStr">
        <is>
          <t>1953-04-02</t>
        </is>
      </c>
    </row>
    <row r="19494">
      <c r="A19494" s="1" t="n">
        <v>19493</v>
      </c>
      <c r="B19494">
        <f>TEXT(19493, "[$-0E0000]yyyy-mm-dd")</f>
        <v/>
      </c>
      <c r="C19494" t="inlineStr">
        <is>
          <t>1953-04-03</t>
        </is>
      </c>
    </row>
    <row r="19495">
      <c r="A19495" s="1" t="n">
        <v>19494</v>
      </c>
      <c r="B19495">
        <f>TEXT(19494, "[$-0E0000]yyyy-mm-dd")</f>
        <v/>
      </c>
      <c r="C19495" t="inlineStr">
        <is>
          <t>1953-04-04</t>
        </is>
      </c>
    </row>
    <row r="19496">
      <c r="A19496" s="1" t="n">
        <v>19495</v>
      </c>
      <c r="B19496">
        <f>TEXT(19495, "[$-0E0000]yyyy-mm-dd")</f>
        <v/>
      </c>
      <c r="C19496" t="inlineStr">
        <is>
          <t>1953-04-05</t>
        </is>
      </c>
    </row>
    <row r="19497">
      <c r="A19497" s="1" t="n">
        <v>19496</v>
      </c>
      <c r="B19497">
        <f>TEXT(19496, "[$-0E0000]yyyy-mm-dd")</f>
        <v/>
      </c>
      <c r="C19497" t="inlineStr">
        <is>
          <t>1953-04-06</t>
        </is>
      </c>
    </row>
    <row r="19498">
      <c r="A19498" s="1" t="n">
        <v>19497</v>
      </c>
      <c r="B19498">
        <f>TEXT(19497, "[$-0E0000]yyyy-mm-dd")</f>
        <v/>
      </c>
      <c r="C19498" t="inlineStr">
        <is>
          <t>1953-04-07</t>
        </is>
      </c>
    </row>
    <row r="19499">
      <c r="A19499" s="1" t="n">
        <v>19498</v>
      </c>
      <c r="B19499">
        <f>TEXT(19498, "[$-0E0000]yyyy-mm-dd")</f>
        <v/>
      </c>
      <c r="C19499" t="inlineStr">
        <is>
          <t>1953-04-08</t>
        </is>
      </c>
    </row>
    <row r="19500">
      <c r="A19500" s="1" t="n">
        <v>19499</v>
      </c>
      <c r="B19500">
        <f>TEXT(19499, "[$-0E0000]yyyy-mm-dd")</f>
        <v/>
      </c>
      <c r="C19500" t="inlineStr">
        <is>
          <t>1953-04-09</t>
        </is>
      </c>
    </row>
    <row r="19501">
      <c r="A19501" s="1" t="n">
        <v>19500</v>
      </c>
      <c r="B19501">
        <f>TEXT(19500, "[$-0E0000]yyyy-mm-dd")</f>
        <v/>
      </c>
      <c r="C19501" t="inlineStr">
        <is>
          <t>1953-04-10</t>
        </is>
      </c>
    </row>
    <row r="19502">
      <c r="A19502" s="1" t="n">
        <v>19501</v>
      </c>
      <c r="B19502">
        <f>TEXT(19501, "[$-0E0000]yyyy-mm-dd")</f>
        <v/>
      </c>
      <c r="C19502" t="inlineStr">
        <is>
          <t>1953-04-11</t>
        </is>
      </c>
    </row>
    <row r="19503">
      <c r="A19503" s="1" t="n">
        <v>19502</v>
      </c>
      <c r="B19503">
        <f>TEXT(19502, "[$-0E0000]yyyy-mm-dd")</f>
        <v/>
      </c>
      <c r="C19503" t="inlineStr">
        <is>
          <t>1953-04-12</t>
        </is>
      </c>
    </row>
    <row r="19504">
      <c r="A19504" s="1" t="n">
        <v>19503</v>
      </c>
      <c r="B19504">
        <f>TEXT(19503, "[$-0E0000]yyyy-mm-dd")</f>
        <v/>
      </c>
      <c r="C19504" t="inlineStr">
        <is>
          <t>1953-04-13</t>
        </is>
      </c>
    </row>
    <row r="19505">
      <c r="A19505" s="1" t="n">
        <v>19504</v>
      </c>
      <c r="B19505">
        <f>TEXT(19504, "[$-0E0000]yyyy-mm-dd")</f>
        <v/>
      </c>
      <c r="C19505" t="inlineStr">
        <is>
          <t>1953-04-14</t>
        </is>
      </c>
    </row>
    <row r="19506">
      <c r="A19506" s="1" t="n">
        <v>19505</v>
      </c>
      <c r="B19506">
        <f>TEXT(19505, "[$-0E0000]yyyy-mm-dd")</f>
        <v/>
      </c>
      <c r="C19506" t="inlineStr">
        <is>
          <t>1953-04-15</t>
        </is>
      </c>
    </row>
    <row r="19507">
      <c r="A19507" s="1" t="n">
        <v>19506</v>
      </c>
      <c r="B19507">
        <f>TEXT(19506, "[$-0E0000]yyyy-mm-dd")</f>
        <v/>
      </c>
      <c r="C19507" t="inlineStr">
        <is>
          <t>1953-04-16</t>
        </is>
      </c>
    </row>
    <row r="19508">
      <c r="A19508" s="1" t="n">
        <v>19507</v>
      </c>
      <c r="B19508">
        <f>TEXT(19507, "[$-0E0000]yyyy-mm-dd")</f>
        <v/>
      </c>
      <c r="C19508" t="inlineStr">
        <is>
          <t>1953-04-17</t>
        </is>
      </c>
    </row>
    <row r="19509">
      <c r="A19509" s="1" t="n">
        <v>19508</v>
      </c>
      <c r="B19509">
        <f>TEXT(19508, "[$-0E0000]yyyy-mm-dd")</f>
        <v/>
      </c>
      <c r="C19509" t="inlineStr">
        <is>
          <t>1953-04-18</t>
        </is>
      </c>
    </row>
    <row r="19510">
      <c r="A19510" s="1" t="n">
        <v>19509</v>
      </c>
      <c r="B19510">
        <f>TEXT(19509, "[$-0E0000]yyyy-mm-dd")</f>
        <v/>
      </c>
      <c r="C19510" t="inlineStr">
        <is>
          <t>1953-04-19</t>
        </is>
      </c>
    </row>
    <row r="19511">
      <c r="A19511" s="1" t="n">
        <v>19510</v>
      </c>
      <c r="B19511">
        <f>TEXT(19510, "[$-0E0000]yyyy-mm-dd")</f>
        <v/>
      </c>
      <c r="C19511" t="inlineStr">
        <is>
          <t>1953-04-20</t>
        </is>
      </c>
    </row>
    <row r="19512">
      <c r="A19512" s="1" t="n">
        <v>19511</v>
      </c>
      <c r="B19512">
        <f>TEXT(19511, "[$-0E0000]yyyy-mm-dd")</f>
        <v/>
      </c>
      <c r="C19512" t="inlineStr">
        <is>
          <t>1953-04-21</t>
        </is>
      </c>
    </row>
    <row r="19513">
      <c r="A19513" s="1" t="n">
        <v>19512</v>
      </c>
      <c r="B19513">
        <f>TEXT(19512, "[$-0E0000]yyyy-mm-dd")</f>
        <v/>
      </c>
      <c r="C19513" t="inlineStr">
        <is>
          <t>1953-04-22</t>
        </is>
      </c>
    </row>
    <row r="19514">
      <c r="A19514" s="1" t="n">
        <v>19513</v>
      </c>
      <c r="B19514">
        <f>TEXT(19513, "[$-0E0000]yyyy-mm-dd")</f>
        <v/>
      </c>
      <c r="C19514" t="inlineStr">
        <is>
          <t>1953-04-23</t>
        </is>
      </c>
    </row>
    <row r="19515">
      <c r="A19515" s="1" t="n">
        <v>19514</v>
      </c>
      <c r="B19515">
        <f>TEXT(19514, "[$-0E0000]yyyy-mm-dd")</f>
        <v/>
      </c>
      <c r="C19515" t="inlineStr">
        <is>
          <t>1953-04-24</t>
        </is>
      </c>
    </row>
    <row r="19516">
      <c r="A19516" s="1" t="n">
        <v>19515</v>
      </c>
      <c r="B19516">
        <f>TEXT(19515, "[$-0E0000]yyyy-mm-dd")</f>
        <v/>
      </c>
      <c r="C19516" t="inlineStr">
        <is>
          <t>1953-04-25</t>
        </is>
      </c>
    </row>
    <row r="19517">
      <c r="A19517" s="1" t="n">
        <v>19516</v>
      </c>
      <c r="B19517">
        <f>TEXT(19516, "[$-0E0000]yyyy-mm-dd")</f>
        <v/>
      </c>
      <c r="C19517" t="inlineStr">
        <is>
          <t>1953-04-26</t>
        </is>
      </c>
    </row>
    <row r="19518">
      <c r="A19518" s="1" t="n">
        <v>19517</v>
      </c>
      <c r="B19518">
        <f>TEXT(19517, "[$-0E0000]yyyy-mm-dd")</f>
        <v/>
      </c>
      <c r="C19518" t="inlineStr">
        <is>
          <t>1953-04-27</t>
        </is>
      </c>
    </row>
    <row r="19519">
      <c r="A19519" s="1" t="n">
        <v>19518</v>
      </c>
      <c r="B19519">
        <f>TEXT(19518, "[$-0E0000]yyyy-mm-dd")</f>
        <v/>
      </c>
      <c r="C19519" t="inlineStr">
        <is>
          <t>1953-04-28</t>
        </is>
      </c>
    </row>
    <row r="19520">
      <c r="A19520" s="1" t="n">
        <v>19519</v>
      </c>
      <c r="B19520">
        <f>TEXT(19519, "[$-0E0000]yyyy-mm-dd")</f>
        <v/>
      </c>
      <c r="C19520" t="inlineStr">
        <is>
          <t>1953-04-29</t>
        </is>
      </c>
    </row>
    <row r="19521">
      <c r="A19521" s="1" t="n">
        <v>19520</v>
      </c>
      <c r="B19521">
        <f>TEXT(19520, "[$-0E0000]yyyy-mm-dd")</f>
        <v/>
      </c>
      <c r="C19521" t="inlineStr">
        <is>
          <t>1953-05-01</t>
        </is>
      </c>
    </row>
    <row r="19522">
      <c r="A19522" s="1" t="n">
        <v>19521</v>
      </c>
      <c r="B19522">
        <f>TEXT(19521, "[$-0E0000]yyyy-mm-dd")</f>
        <v/>
      </c>
      <c r="C19522" t="inlineStr">
        <is>
          <t>1953-05-02</t>
        </is>
      </c>
    </row>
    <row r="19523">
      <c r="A19523" s="1" t="n">
        <v>19522</v>
      </c>
      <c r="B19523">
        <f>TEXT(19522, "[$-0E0000]yyyy-mm-dd")</f>
        <v/>
      </c>
      <c r="C19523" t="inlineStr">
        <is>
          <t>1953-05-03</t>
        </is>
      </c>
    </row>
    <row r="19524">
      <c r="A19524" s="1" t="n">
        <v>19523</v>
      </c>
      <c r="B19524">
        <f>TEXT(19523, "[$-0E0000]yyyy-mm-dd")</f>
        <v/>
      </c>
      <c r="C19524" t="inlineStr">
        <is>
          <t>1953-05-04</t>
        </is>
      </c>
    </row>
    <row r="19525">
      <c r="A19525" s="1" t="n">
        <v>19524</v>
      </c>
      <c r="B19525">
        <f>TEXT(19524, "[$-0E0000]yyyy-mm-dd")</f>
        <v/>
      </c>
      <c r="C19525" t="inlineStr">
        <is>
          <t>1953-05-05</t>
        </is>
      </c>
    </row>
    <row r="19526">
      <c r="A19526" s="1" t="n">
        <v>19525</v>
      </c>
      <c r="B19526">
        <f>TEXT(19525, "[$-0E0000]yyyy-mm-dd")</f>
        <v/>
      </c>
      <c r="C19526" t="inlineStr">
        <is>
          <t>1953-05-06</t>
        </is>
      </c>
    </row>
    <row r="19527">
      <c r="A19527" s="1" t="n">
        <v>19526</v>
      </c>
      <c r="B19527">
        <f>TEXT(19526, "[$-0E0000]yyyy-mm-dd")</f>
        <v/>
      </c>
      <c r="C19527" t="inlineStr">
        <is>
          <t>1953-05-07</t>
        </is>
      </c>
    </row>
    <row r="19528">
      <c r="A19528" s="1" t="n">
        <v>19527</v>
      </c>
      <c r="B19528">
        <f>TEXT(19527, "[$-0E0000]yyyy-mm-dd")</f>
        <v/>
      </c>
      <c r="C19528" t="inlineStr">
        <is>
          <t>1953-05-08</t>
        </is>
      </c>
    </row>
    <row r="19529">
      <c r="A19529" s="1" t="n">
        <v>19528</v>
      </c>
      <c r="B19529">
        <f>TEXT(19528, "[$-0E0000]yyyy-mm-dd")</f>
        <v/>
      </c>
      <c r="C19529" t="inlineStr">
        <is>
          <t>1953-05-09</t>
        </is>
      </c>
    </row>
    <row r="19530">
      <c r="A19530" s="1" t="n">
        <v>19529</v>
      </c>
      <c r="B19530">
        <f>TEXT(19529, "[$-0E0000]yyyy-mm-dd")</f>
        <v/>
      </c>
      <c r="C19530" t="inlineStr">
        <is>
          <t>1953-05-10</t>
        </is>
      </c>
    </row>
    <row r="19531">
      <c r="A19531" s="1" t="n">
        <v>19530</v>
      </c>
      <c r="B19531">
        <f>TEXT(19530, "[$-0E0000]yyyy-mm-dd")</f>
        <v/>
      </c>
      <c r="C19531" t="inlineStr">
        <is>
          <t>1953-05-11</t>
        </is>
      </c>
    </row>
    <row r="19532">
      <c r="A19532" s="1" t="n">
        <v>19531</v>
      </c>
      <c r="B19532">
        <f>TEXT(19531, "[$-0E0000]yyyy-mm-dd")</f>
        <v/>
      </c>
      <c r="C19532" t="inlineStr">
        <is>
          <t>1953-05-12</t>
        </is>
      </c>
    </row>
    <row r="19533">
      <c r="A19533" s="1" t="n">
        <v>19532</v>
      </c>
      <c r="B19533">
        <f>TEXT(19532, "[$-0E0000]yyyy-mm-dd")</f>
        <v/>
      </c>
      <c r="C19533" t="inlineStr">
        <is>
          <t>1953-05-13</t>
        </is>
      </c>
    </row>
    <row r="19534">
      <c r="A19534" s="1" t="n">
        <v>19533</v>
      </c>
      <c r="B19534">
        <f>TEXT(19533, "[$-0E0000]yyyy-mm-dd")</f>
        <v/>
      </c>
      <c r="C19534" t="inlineStr">
        <is>
          <t>1953-05-14</t>
        </is>
      </c>
    </row>
    <row r="19535">
      <c r="A19535" s="1" t="n">
        <v>19534</v>
      </c>
      <c r="B19535">
        <f>TEXT(19534, "[$-0E0000]yyyy-mm-dd")</f>
        <v/>
      </c>
      <c r="C19535" t="inlineStr">
        <is>
          <t>1953-05-15</t>
        </is>
      </c>
    </row>
    <row r="19536">
      <c r="A19536" s="1" t="n">
        <v>19535</v>
      </c>
      <c r="B19536">
        <f>TEXT(19535, "[$-0E0000]yyyy-mm-dd")</f>
        <v/>
      </c>
      <c r="C19536" t="inlineStr">
        <is>
          <t>1953-05-16</t>
        </is>
      </c>
    </row>
    <row r="19537">
      <c r="A19537" s="1" t="n">
        <v>19536</v>
      </c>
      <c r="B19537">
        <f>TEXT(19536, "[$-0E0000]yyyy-mm-dd")</f>
        <v/>
      </c>
      <c r="C19537" t="inlineStr">
        <is>
          <t>1953-05-17</t>
        </is>
      </c>
    </row>
    <row r="19538">
      <c r="A19538" s="1" t="n">
        <v>19537</v>
      </c>
      <c r="B19538">
        <f>TEXT(19537, "[$-0E0000]yyyy-mm-dd")</f>
        <v/>
      </c>
      <c r="C19538" t="inlineStr">
        <is>
          <t>1953-05-18</t>
        </is>
      </c>
    </row>
    <row r="19539">
      <c r="A19539" s="1" t="n">
        <v>19538</v>
      </c>
      <c r="B19539">
        <f>TEXT(19538, "[$-0E0000]yyyy-mm-dd")</f>
        <v/>
      </c>
      <c r="C19539" t="inlineStr">
        <is>
          <t>1953-05-19</t>
        </is>
      </c>
    </row>
    <row r="19540">
      <c r="A19540" s="1" t="n">
        <v>19539</v>
      </c>
      <c r="B19540">
        <f>TEXT(19539, "[$-0E0000]yyyy-mm-dd")</f>
        <v/>
      </c>
      <c r="C19540" t="inlineStr">
        <is>
          <t>1953-05-20</t>
        </is>
      </c>
    </row>
    <row r="19541">
      <c r="A19541" s="1" t="n">
        <v>19540</v>
      </c>
      <c r="B19541">
        <f>TEXT(19540, "[$-0E0000]yyyy-mm-dd")</f>
        <v/>
      </c>
      <c r="C19541" t="inlineStr">
        <is>
          <t>1953-05-21</t>
        </is>
      </c>
    </row>
    <row r="19542">
      <c r="A19542" s="1" t="n">
        <v>19541</v>
      </c>
      <c r="B19542">
        <f>TEXT(19541, "[$-0E0000]yyyy-mm-dd")</f>
        <v/>
      </c>
      <c r="C19542" t="inlineStr">
        <is>
          <t>1953-05-22</t>
        </is>
      </c>
    </row>
    <row r="19543">
      <c r="A19543" s="1" t="n">
        <v>19542</v>
      </c>
      <c r="B19543">
        <f>TEXT(19542, "[$-0E0000]yyyy-mm-dd")</f>
        <v/>
      </c>
      <c r="C19543" t="inlineStr">
        <is>
          <t>1953-05-23</t>
        </is>
      </c>
    </row>
    <row r="19544">
      <c r="A19544" s="1" t="n">
        <v>19543</v>
      </c>
      <c r="B19544">
        <f>TEXT(19543, "[$-0E0000]yyyy-mm-dd")</f>
        <v/>
      </c>
      <c r="C19544" t="inlineStr">
        <is>
          <t>1953-05-24</t>
        </is>
      </c>
    </row>
    <row r="19545">
      <c r="A19545" s="1" t="n">
        <v>19544</v>
      </c>
      <c r="B19545">
        <f>TEXT(19544, "[$-0E0000]yyyy-mm-dd")</f>
        <v/>
      </c>
      <c r="C19545" t="inlineStr">
        <is>
          <t>1953-05-25</t>
        </is>
      </c>
    </row>
    <row r="19546">
      <c r="A19546" s="1" t="n">
        <v>19545</v>
      </c>
      <c r="B19546">
        <f>TEXT(19545, "[$-0E0000]yyyy-mm-dd")</f>
        <v/>
      </c>
      <c r="C19546" t="inlineStr">
        <is>
          <t>1953-05-26</t>
        </is>
      </c>
    </row>
    <row r="19547">
      <c r="A19547" s="1" t="n">
        <v>19546</v>
      </c>
      <c r="B19547">
        <f>TEXT(19546, "[$-0E0000]yyyy-mm-dd")</f>
        <v/>
      </c>
      <c r="C19547" t="inlineStr">
        <is>
          <t>1953-05-27</t>
        </is>
      </c>
    </row>
    <row r="19548">
      <c r="A19548" s="1" t="n">
        <v>19547</v>
      </c>
      <c r="B19548">
        <f>TEXT(19547, "[$-0E0000]yyyy-mm-dd")</f>
        <v/>
      </c>
      <c r="C19548" t="inlineStr">
        <is>
          <t>1953-05-28</t>
        </is>
      </c>
    </row>
    <row r="19549">
      <c r="A19549" s="1" t="n">
        <v>19548</v>
      </c>
      <c r="B19549">
        <f>TEXT(19548, "[$-0E0000]yyyy-mm-dd")</f>
        <v/>
      </c>
      <c r="C19549" t="inlineStr">
        <is>
          <t>1953-05-29</t>
        </is>
      </c>
    </row>
    <row r="19550">
      <c r="A19550" s="1" t="n">
        <v>19549</v>
      </c>
      <c r="B19550">
        <f>TEXT(19549, "[$-0E0000]yyyy-mm-dd")</f>
        <v/>
      </c>
      <c r="C19550" t="inlineStr">
        <is>
          <t>1953-05-30</t>
        </is>
      </c>
    </row>
    <row r="19551">
      <c r="A19551" s="1" t="n">
        <v>19550</v>
      </c>
      <c r="B19551">
        <f>TEXT(19550, "[$-0E0000]yyyy-mm-dd")</f>
        <v/>
      </c>
      <c r="C19551" t="inlineStr">
        <is>
          <t>1953-06-01</t>
        </is>
      </c>
    </row>
    <row r="19552">
      <c r="A19552" s="1" t="n">
        <v>19551</v>
      </c>
      <c r="B19552">
        <f>TEXT(19551, "[$-0E0000]yyyy-mm-dd")</f>
        <v/>
      </c>
      <c r="C19552" t="inlineStr">
        <is>
          <t>1953-06-02</t>
        </is>
      </c>
    </row>
    <row r="19553">
      <c r="A19553" s="1" t="n">
        <v>19552</v>
      </c>
      <c r="B19553">
        <f>TEXT(19552, "[$-0E0000]yyyy-mm-dd")</f>
        <v/>
      </c>
      <c r="C19553" t="inlineStr">
        <is>
          <t>1953-06-03</t>
        </is>
      </c>
    </row>
    <row r="19554">
      <c r="A19554" s="1" t="n">
        <v>19553</v>
      </c>
      <c r="B19554">
        <f>TEXT(19553, "[$-0E0000]yyyy-mm-dd")</f>
        <v/>
      </c>
      <c r="C19554" t="inlineStr">
        <is>
          <t>1953-06-04</t>
        </is>
      </c>
    </row>
    <row r="19555">
      <c r="A19555" s="1" t="n">
        <v>19554</v>
      </c>
      <c r="B19555">
        <f>TEXT(19554, "[$-0E0000]yyyy-mm-dd")</f>
        <v/>
      </c>
      <c r="C19555" t="inlineStr">
        <is>
          <t>1953-06-05</t>
        </is>
      </c>
    </row>
    <row r="19556">
      <c r="A19556" s="1" t="n">
        <v>19555</v>
      </c>
      <c r="B19556">
        <f>TEXT(19555, "[$-0E0000]yyyy-mm-dd")</f>
        <v/>
      </c>
      <c r="C19556" t="inlineStr">
        <is>
          <t>1953-06-06</t>
        </is>
      </c>
    </row>
    <row r="19557">
      <c r="A19557" s="1" t="n">
        <v>19556</v>
      </c>
      <c r="B19557">
        <f>TEXT(19556, "[$-0E0000]yyyy-mm-dd")</f>
        <v/>
      </c>
      <c r="C19557" t="inlineStr">
        <is>
          <t>1953-06-07</t>
        </is>
      </c>
    </row>
    <row r="19558">
      <c r="A19558" s="1" t="n">
        <v>19557</v>
      </c>
      <c r="B19558">
        <f>TEXT(19557, "[$-0E0000]yyyy-mm-dd")</f>
        <v/>
      </c>
      <c r="C19558" t="inlineStr">
        <is>
          <t>1953-06-08</t>
        </is>
      </c>
    </row>
    <row r="19559">
      <c r="A19559" s="1" t="n">
        <v>19558</v>
      </c>
      <c r="B19559">
        <f>TEXT(19558, "[$-0E0000]yyyy-mm-dd")</f>
        <v/>
      </c>
      <c r="C19559" t="inlineStr">
        <is>
          <t>1953-06-09</t>
        </is>
      </c>
    </row>
    <row r="19560">
      <c r="A19560" s="1" t="n">
        <v>19559</v>
      </c>
      <c r="B19560">
        <f>TEXT(19559, "[$-0E0000]yyyy-mm-dd")</f>
        <v/>
      </c>
      <c r="C19560" t="inlineStr">
        <is>
          <t>1953-06-10</t>
        </is>
      </c>
    </row>
    <row r="19561">
      <c r="A19561" s="1" t="n">
        <v>19560</v>
      </c>
      <c r="B19561">
        <f>TEXT(19560, "[$-0E0000]yyyy-mm-dd")</f>
        <v/>
      </c>
      <c r="C19561" t="inlineStr">
        <is>
          <t>1953-06-11</t>
        </is>
      </c>
    </row>
    <row r="19562">
      <c r="A19562" s="1" t="n">
        <v>19561</v>
      </c>
      <c r="B19562">
        <f>TEXT(19561, "[$-0E0000]yyyy-mm-dd")</f>
        <v/>
      </c>
      <c r="C19562" t="inlineStr">
        <is>
          <t>1953-06-12</t>
        </is>
      </c>
    </row>
    <row r="19563">
      <c r="A19563" s="1" t="n">
        <v>19562</v>
      </c>
      <c r="B19563">
        <f>TEXT(19562, "[$-0E0000]yyyy-mm-dd")</f>
        <v/>
      </c>
      <c r="C19563" t="inlineStr">
        <is>
          <t>1953-06-13</t>
        </is>
      </c>
    </row>
    <row r="19564">
      <c r="A19564" s="1" t="n">
        <v>19563</v>
      </c>
      <c r="B19564">
        <f>TEXT(19563, "[$-0E0000]yyyy-mm-dd")</f>
        <v/>
      </c>
      <c r="C19564" t="inlineStr">
        <is>
          <t>1953-06-14</t>
        </is>
      </c>
    </row>
    <row r="19565">
      <c r="A19565" s="1" t="n">
        <v>19564</v>
      </c>
      <c r="B19565">
        <f>TEXT(19564, "[$-0E0000]yyyy-mm-dd")</f>
        <v/>
      </c>
      <c r="C19565" t="inlineStr">
        <is>
          <t>1953-06-15</t>
        </is>
      </c>
    </row>
    <row r="19566">
      <c r="A19566" s="1" t="n">
        <v>19565</v>
      </c>
      <c r="B19566">
        <f>TEXT(19565, "[$-0E0000]yyyy-mm-dd")</f>
        <v/>
      </c>
      <c r="C19566" t="inlineStr">
        <is>
          <t>1953-06-16</t>
        </is>
      </c>
    </row>
    <row r="19567">
      <c r="A19567" s="1" t="n">
        <v>19566</v>
      </c>
      <c r="B19567">
        <f>TEXT(19566, "[$-0E0000]yyyy-mm-dd")</f>
        <v/>
      </c>
      <c r="C19567" t="inlineStr">
        <is>
          <t>1953-06-17</t>
        </is>
      </c>
    </row>
    <row r="19568">
      <c r="A19568" s="1" t="n">
        <v>19567</v>
      </c>
      <c r="B19568">
        <f>TEXT(19567, "[$-0E0000]yyyy-mm-dd")</f>
        <v/>
      </c>
      <c r="C19568" t="inlineStr">
        <is>
          <t>1953-06-18</t>
        </is>
      </c>
    </row>
    <row r="19569">
      <c r="A19569" s="1" t="n">
        <v>19568</v>
      </c>
      <c r="B19569">
        <f>TEXT(19568, "[$-0E0000]yyyy-mm-dd")</f>
        <v/>
      </c>
      <c r="C19569" t="inlineStr">
        <is>
          <t>1953-06-19</t>
        </is>
      </c>
    </row>
    <row r="19570">
      <c r="A19570" s="1" t="n">
        <v>19569</v>
      </c>
      <c r="B19570">
        <f>TEXT(19569, "[$-0E0000]yyyy-mm-dd")</f>
        <v/>
      </c>
      <c r="C19570" t="inlineStr">
        <is>
          <t>1953-06-20</t>
        </is>
      </c>
    </row>
    <row r="19571">
      <c r="A19571" s="1" t="n">
        <v>19570</v>
      </c>
      <c r="B19571">
        <f>TEXT(19570, "[$-0E0000]yyyy-mm-dd")</f>
        <v/>
      </c>
      <c r="C19571" t="inlineStr">
        <is>
          <t>1953-06-21</t>
        </is>
      </c>
    </row>
    <row r="19572">
      <c r="A19572" s="1" t="n">
        <v>19571</v>
      </c>
      <c r="B19572">
        <f>TEXT(19571, "[$-0E0000]yyyy-mm-dd")</f>
        <v/>
      </c>
      <c r="C19572" t="inlineStr">
        <is>
          <t>1953-06-22</t>
        </is>
      </c>
    </row>
    <row r="19573">
      <c r="A19573" s="1" t="n">
        <v>19572</v>
      </c>
      <c r="B19573">
        <f>TEXT(19572, "[$-0E0000]yyyy-mm-dd")</f>
        <v/>
      </c>
      <c r="C19573" t="inlineStr">
        <is>
          <t>1953-06-23</t>
        </is>
      </c>
    </row>
    <row r="19574">
      <c r="A19574" s="1" t="n">
        <v>19573</v>
      </c>
      <c r="B19574">
        <f>TEXT(19573, "[$-0E0000]yyyy-mm-dd")</f>
        <v/>
      </c>
      <c r="C19574" t="inlineStr">
        <is>
          <t>1953-06-24</t>
        </is>
      </c>
    </row>
    <row r="19575">
      <c r="A19575" s="1" t="n">
        <v>19574</v>
      </c>
      <c r="B19575">
        <f>TEXT(19574, "[$-0E0000]yyyy-mm-dd")</f>
        <v/>
      </c>
      <c r="C19575" t="inlineStr">
        <is>
          <t>1953-06-25</t>
        </is>
      </c>
    </row>
    <row r="19576">
      <c r="A19576" s="1" t="n">
        <v>19575</v>
      </c>
      <c r="B19576">
        <f>TEXT(19575, "[$-0E0000]yyyy-mm-dd")</f>
        <v/>
      </c>
      <c r="C19576" t="inlineStr">
        <is>
          <t>1953-06-26</t>
        </is>
      </c>
    </row>
    <row r="19577">
      <c r="A19577" s="1" t="n">
        <v>19576</v>
      </c>
      <c r="B19577">
        <f>TEXT(19576, "[$-0E0000]yyyy-mm-dd")</f>
        <v/>
      </c>
      <c r="C19577" t="inlineStr">
        <is>
          <t>1953-06-27</t>
        </is>
      </c>
    </row>
    <row r="19578">
      <c r="A19578" s="1" t="n">
        <v>19577</v>
      </c>
      <c r="B19578">
        <f>TEXT(19577, "[$-0E0000]yyyy-mm-dd")</f>
        <v/>
      </c>
      <c r="C19578" t="inlineStr">
        <is>
          <t>1953-06-28</t>
        </is>
      </c>
    </row>
    <row r="19579">
      <c r="A19579" s="1" t="n">
        <v>19578</v>
      </c>
      <c r="B19579">
        <f>TEXT(19578, "[$-0E0000]yyyy-mm-dd")</f>
        <v/>
      </c>
      <c r="C19579" t="inlineStr">
        <is>
          <t>1953-06-29</t>
        </is>
      </c>
    </row>
    <row r="19580">
      <c r="A19580" s="1" t="n">
        <v>19579</v>
      </c>
      <c r="B19580">
        <f>TEXT(19579, "[$-0E0000]yyyy-mm-dd")</f>
        <v/>
      </c>
      <c r="C19580" t="inlineStr">
        <is>
          <t>1953-06-30</t>
        </is>
      </c>
    </row>
    <row r="19581">
      <c r="A19581" s="1" t="n">
        <v>19580</v>
      </c>
      <c r="B19581">
        <f>TEXT(19580, "[$-0E0000]yyyy-mm-dd")</f>
        <v/>
      </c>
      <c r="C19581" t="inlineStr">
        <is>
          <t>1953-07-01</t>
        </is>
      </c>
    </row>
    <row r="19582">
      <c r="A19582" s="1" t="n">
        <v>19581</v>
      </c>
      <c r="B19582">
        <f>TEXT(19581, "[$-0E0000]yyyy-mm-dd")</f>
        <v/>
      </c>
      <c r="C19582" t="inlineStr">
        <is>
          <t>1953-07-02</t>
        </is>
      </c>
    </row>
    <row r="19583">
      <c r="A19583" s="1" t="n">
        <v>19582</v>
      </c>
      <c r="B19583">
        <f>TEXT(19582, "[$-0E0000]yyyy-mm-dd")</f>
        <v/>
      </c>
      <c r="C19583" t="inlineStr">
        <is>
          <t>1953-07-03</t>
        </is>
      </c>
    </row>
    <row r="19584">
      <c r="A19584" s="1" t="n">
        <v>19583</v>
      </c>
      <c r="B19584">
        <f>TEXT(19583, "[$-0E0000]yyyy-mm-dd")</f>
        <v/>
      </c>
      <c r="C19584" t="inlineStr">
        <is>
          <t>1953-07-04</t>
        </is>
      </c>
    </row>
    <row r="19585">
      <c r="A19585" s="1" t="n">
        <v>19584</v>
      </c>
      <c r="B19585">
        <f>TEXT(19584, "[$-0E0000]yyyy-mm-dd")</f>
        <v/>
      </c>
      <c r="C19585" t="inlineStr">
        <is>
          <t>1953-07-05</t>
        </is>
      </c>
    </row>
    <row r="19586">
      <c r="A19586" s="1" t="n">
        <v>19585</v>
      </c>
      <c r="B19586">
        <f>TEXT(19585, "[$-0E0000]yyyy-mm-dd")</f>
        <v/>
      </c>
      <c r="C19586" t="inlineStr">
        <is>
          <t>1953-07-06</t>
        </is>
      </c>
    </row>
    <row r="19587">
      <c r="A19587" s="1" t="n">
        <v>19586</v>
      </c>
      <c r="B19587">
        <f>TEXT(19586, "[$-0E0000]yyyy-mm-dd")</f>
        <v/>
      </c>
      <c r="C19587" t="inlineStr">
        <is>
          <t>1953-07-07</t>
        </is>
      </c>
    </row>
    <row r="19588">
      <c r="A19588" s="1" t="n">
        <v>19587</v>
      </c>
      <c r="B19588">
        <f>TEXT(19587, "[$-0E0000]yyyy-mm-dd")</f>
        <v/>
      </c>
      <c r="C19588" t="inlineStr">
        <is>
          <t>1953-07-08</t>
        </is>
      </c>
    </row>
    <row r="19589">
      <c r="A19589" s="1" t="n">
        <v>19588</v>
      </c>
      <c r="B19589">
        <f>TEXT(19588, "[$-0E0000]yyyy-mm-dd")</f>
        <v/>
      </c>
      <c r="C19589" t="inlineStr">
        <is>
          <t>1953-07-09</t>
        </is>
      </c>
    </row>
    <row r="19590">
      <c r="A19590" s="1" t="n">
        <v>19589</v>
      </c>
      <c r="B19590">
        <f>TEXT(19589, "[$-0E0000]yyyy-mm-dd")</f>
        <v/>
      </c>
      <c r="C19590" t="inlineStr">
        <is>
          <t>1953-07-10</t>
        </is>
      </c>
    </row>
    <row r="19591">
      <c r="A19591" s="1" t="n">
        <v>19590</v>
      </c>
      <c r="B19591">
        <f>TEXT(19590, "[$-0E0000]yyyy-mm-dd")</f>
        <v/>
      </c>
      <c r="C19591" t="inlineStr">
        <is>
          <t>1953-07-11</t>
        </is>
      </c>
    </row>
    <row r="19592">
      <c r="A19592" s="1" t="n">
        <v>19591</v>
      </c>
      <c r="B19592">
        <f>TEXT(19591, "[$-0E0000]yyyy-mm-dd")</f>
        <v/>
      </c>
      <c r="C19592" t="inlineStr">
        <is>
          <t>1953-07-12</t>
        </is>
      </c>
    </row>
    <row r="19593">
      <c r="A19593" s="1" t="n">
        <v>19592</v>
      </c>
      <c r="B19593">
        <f>TEXT(19592, "[$-0E0000]yyyy-mm-dd")</f>
        <v/>
      </c>
      <c r="C19593" t="inlineStr">
        <is>
          <t>1953-07-13</t>
        </is>
      </c>
    </row>
    <row r="19594">
      <c r="A19594" s="1" t="n">
        <v>19593</v>
      </c>
      <c r="B19594">
        <f>TEXT(19593, "[$-0E0000]yyyy-mm-dd")</f>
        <v/>
      </c>
      <c r="C19594" t="inlineStr">
        <is>
          <t>1953-07-14</t>
        </is>
      </c>
    </row>
    <row r="19595">
      <c r="A19595" s="1" t="n">
        <v>19594</v>
      </c>
      <c r="B19595">
        <f>TEXT(19594, "[$-0E0000]yyyy-mm-dd")</f>
        <v/>
      </c>
      <c r="C19595" t="inlineStr">
        <is>
          <t>1953-07-15</t>
        </is>
      </c>
    </row>
    <row r="19596">
      <c r="A19596" s="1" t="n">
        <v>19595</v>
      </c>
      <c r="B19596">
        <f>TEXT(19595, "[$-0E0000]yyyy-mm-dd")</f>
        <v/>
      </c>
      <c r="C19596" t="inlineStr">
        <is>
          <t>1953-07-16</t>
        </is>
      </c>
    </row>
    <row r="19597">
      <c r="A19597" s="1" t="n">
        <v>19596</v>
      </c>
      <c r="B19597">
        <f>TEXT(19596, "[$-0E0000]yyyy-mm-dd")</f>
        <v/>
      </c>
      <c r="C19597" t="inlineStr">
        <is>
          <t>1953-07-17</t>
        </is>
      </c>
    </row>
    <row r="19598">
      <c r="A19598" s="1" t="n">
        <v>19597</v>
      </c>
      <c r="B19598">
        <f>TEXT(19597, "[$-0E0000]yyyy-mm-dd")</f>
        <v/>
      </c>
      <c r="C19598" t="inlineStr">
        <is>
          <t>1953-07-18</t>
        </is>
      </c>
    </row>
    <row r="19599">
      <c r="A19599" s="1" t="n">
        <v>19598</v>
      </c>
      <c r="B19599">
        <f>TEXT(19598, "[$-0E0000]yyyy-mm-dd")</f>
        <v/>
      </c>
      <c r="C19599" t="inlineStr">
        <is>
          <t>1953-07-19</t>
        </is>
      </c>
    </row>
    <row r="19600">
      <c r="A19600" s="1" t="n">
        <v>19599</v>
      </c>
      <c r="B19600">
        <f>TEXT(19599, "[$-0E0000]yyyy-mm-dd")</f>
        <v/>
      </c>
      <c r="C19600" t="inlineStr">
        <is>
          <t>1953-07-20</t>
        </is>
      </c>
    </row>
    <row r="19601">
      <c r="A19601" s="1" t="n">
        <v>19600</v>
      </c>
      <c r="B19601">
        <f>TEXT(19600, "[$-0E0000]yyyy-mm-dd")</f>
        <v/>
      </c>
      <c r="C19601" t="inlineStr">
        <is>
          <t>1953-07-21</t>
        </is>
      </c>
    </row>
    <row r="19602">
      <c r="A19602" s="1" t="n">
        <v>19601</v>
      </c>
      <c r="B19602">
        <f>TEXT(19601, "[$-0E0000]yyyy-mm-dd")</f>
        <v/>
      </c>
      <c r="C19602" t="inlineStr">
        <is>
          <t>1953-07-22</t>
        </is>
      </c>
    </row>
    <row r="19603">
      <c r="A19603" s="1" t="n">
        <v>19602</v>
      </c>
      <c r="B19603">
        <f>TEXT(19602, "[$-0E0000]yyyy-mm-dd")</f>
        <v/>
      </c>
      <c r="C19603" t="inlineStr">
        <is>
          <t>1953-07-23</t>
        </is>
      </c>
    </row>
    <row r="19604">
      <c r="A19604" s="1" t="n">
        <v>19603</v>
      </c>
      <c r="B19604">
        <f>TEXT(19603, "[$-0E0000]yyyy-mm-dd")</f>
        <v/>
      </c>
      <c r="C19604" t="inlineStr">
        <is>
          <t>1953-07-24</t>
        </is>
      </c>
    </row>
    <row r="19605">
      <c r="A19605" s="1" t="n">
        <v>19604</v>
      </c>
      <c r="B19605">
        <f>TEXT(19604, "[$-0E0000]yyyy-mm-dd")</f>
        <v/>
      </c>
      <c r="C19605" t="inlineStr">
        <is>
          <t>1953-07-25</t>
        </is>
      </c>
    </row>
    <row r="19606">
      <c r="A19606" s="1" t="n">
        <v>19605</v>
      </c>
      <c r="B19606">
        <f>TEXT(19605, "[$-0E0000]yyyy-mm-dd")</f>
        <v/>
      </c>
      <c r="C19606" t="inlineStr">
        <is>
          <t>1953-07-26</t>
        </is>
      </c>
    </row>
    <row r="19607">
      <c r="A19607" s="1" t="n">
        <v>19606</v>
      </c>
      <c r="B19607">
        <f>TEXT(19606, "[$-0E0000]yyyy-mm-dd")</f>
        <v/>
      </c>
      <c r="C19607" t="inlineStr">
        <is>
          <t>1953-07-27</t>
        </is>
      </c>
    </row>
    <row r="19608">
      <c r="A19608" s="1" t="n">
        <v>19607</v>
      </c>
      <c r="B19608">
        <f>TEXT(19607, "[$-0E0000]yyyy-mm-dd")</f>
        <v/>
      </c>
      <c r="C19608" t="inlineStr">
        <is>
          <t>1953-07-28</t>
        </is>
      </c>
    </row>
    <row r="19609">
      <c r="A19609" s="1" t="n">
        <v>19608</v>
      </c>
      <c r="B19609">
        <f>TEXT(19608, "[$-0E0000]yyyy-mm-dd")</f>
        <v/>
      </c>
      <c r="C19609" t="inlineStr">
        <is>
          <t>1953-07-29</t>
        </is>
      </c>
    </row>
    <row r="19610">
      <c r="A19610" s="1" t="n">
        <v>19609</v>
      </c>
      <c r="B19610">
        <f>TEXT(19609, "[$-0E0000]yyyy-mm-dd")</f>
        <v/>
      </c>
      <c r="C19610" t="inlineStr">
        <is>
          <t>1953-08-01</t>
        </is>
      </c>
    </row>
    <row r="19611">
      <c r="A19611" s="1" t="n">
        <v>19610</v>
      </c>
      <c r="B19611">
        <f>TEXT(19610, "[$-0E0000]yyyy-mm-dd")</f>
        <v/>
      </c>
      <c r="C19611" t="inlineStr">
        <is>
          <t>1953-08-02</t>
        </is>
      </c>
    </row>
    <row r="19612">
      <c r="A19612" s="1" t="n">
        <v>19611</v>
      </c>
      <c r="B19612">
        <f>TEXT(19611, "[$-0E0000]yyyy-mm-dd")</f>
        <v/>
      </c>
      <c r="C19612" t="inlineStr">
        <is>
          <t>1953-08-03</t>
        </is>
      </c>
    </row>
    <row r="19613">
      <c r="A19613" s="1" t="n">
        <v>19612</v>
      </c>
      <c r="B19613">
        <f>TEXT(19612, "[$-0E0000]yyyy-mm-dd")</f>
        <v/>
      </c>
      <c r="C19613" t="inlineStr">
        <is>
          <t>1953-08-04</t>
        </is>
      </c>
    </row>
    <row r="19614">
      <c r="A19614" s="1" t="n">
        <v>19613</v>
      </c>
      <c r="B19614">
        <f>TEXT(19613, "[$-0E0000]yyyy-mm-dd")</f>
        <v/>
      </c>
      <c r="C19614" t="inlineStr">
        <is>
          <t>1953-08-05</t>
        </is>
      </c>
    </row>
    <row r="19615">
      <c r="A19615" s="1" t="n">
        <v>19614</v>
      </c>
      <c r="B19615">
        <f>TEXT(19614, "[$-0E0000]yyyy-mm-dd")</f>
        <v/>
      </c>
      <c r="C19615" t="inlineStr">
        <is>
          <t>1953-08-06</t>
        </is>
      </c>
    </row>
    <row r="19616">
      <c r="A19616" s="1" t="n">
        <v>19615</v>
      </c>
      <c r="B19616">
        <f>TEXT(19615, "[$-0E0000]yyyy-mm-dd")</f>
        <v/>
      </c>
      <c r="C19616" t="inlineStr">
        <is>
          <t>1953-08-07</t>
        </is>
      </c>
    </row>
    <row r="19617">
      <c r="A19617" s="1" t="n">
        <v>19616</v>
      </c>
      <c r="B19617">
        <f>TEXT(19616, "[$-0E0000]yyyy-mm-dd")</f>
        <v/>
      </c>
      <c r="C19617" t="inlineStr">
        <is>
          <t>1953-08-08</t>
        </is>
      </c>
    </row>
    <row r="19618">
      <c r="A19618" s="1" t="n">
        <v>19617</v>
      </c>
      <c r="B19618">
        <f>TEXT(19617, "[$-0E0000]yyyy-mm-dd")</f>
        <v/>
      </c>
      <c r="C19618" t="inlineStr">
        <is>
          <t>1953-08-09</t>
        </is>
      </c>
    </row>
    <row r="19619">
      <c r="A19619" s="1" t="n">
        <v>19618</v>
      </c>
      <c r="B19619">
        <f>TEXT(19618, "[$-0E0000]yyyy-mm-dd")</f>
        <v/>
      </c>
      <c r="C19619" t="inlineStr">
        <is>
          <t>1953-08-10</t>
        </is>
      </c>
    </row>
    <row r="19620">
      <c r="A19620" s="1" t="n">
        <v>19619</v>
      </c>
      <c r="B19620">
        <f>TEXT(19619, "[$-0E0000]yyyy-mm-dd")</f>
        <v/>
      </c>
      <c r="C19620" t="inlineStr">
        <is>
          <t>1953-08-11</t>
        </is>
      </c>
    </row>
    <row r="19621">
      <c r="A19621" s="1" t="n">
        <v>19620</v>
      </c>
      <c r="B19621">
        <f>TEXT(19620, "[$-0E0000]yyyy-mm-dd")</f>
        <v/>
      </c>
      <c r="C19621" t="inlineStr">
        <is>
          <t>1953-08-12</t>
        </is>
      </c>
    </row>
    <row r="19622">
      <c r="A19622" s="1" t="n">
        <v>19621</v>
      </c>
      <c r="B19622">
        <f>TEXT(19621, "[$-0E0000]yyyy-mm-dd")</f>
        <v/>
      </c>
      <c r="C19622" t="inlineStr">
        <is>
          <t>1953-08-13</t>
        </is>
      </c>
    </row>
    <row r="19623">
      <c r="A19623" s="1" t="n">
        <v>19622</v>
      </c>
      <c r="B19623">
        <f>TEXT(19622, "[$-0E0000]yyyy-mm-dd")</f>
        <v/>
      </c>
      <c r="C19623" t="inlineStr">
        <is>
          <t>1953-08-14</t>
        </is>
      </c>
    </row>
    <row r="19624">
      <c r="A19624" s="1" t="n">
        <v>19623</v>
      </c>
      <c r="B19624">
        <f>TEXT(19623, "[$-0E0000]yyyy-mm-dd")</f>
        <v/>
      </c>
      <c r="C19624" t="inlineStr">
        <is>
          <t>1953-08-15</t>
        </is>
      </c>
    </row>
    <row r="19625">
      <c r="A19625" s="1" t="n">
        <v>19624</v>
      </c>
      <c r="B19625">
        <f>TEXT(19624, "[$-0E0000]yyyy-mm-dd")</f>
        <v/>
      </c>
      <c r="C19625" t="inlineStr">
        <is>
          <t>1953-08-16</t>
        </is>
      </c>
    </row>
    <row r="19626">
      <c r="A19626" s="1" t="n">
        <v>19625</v>
      </c>
      <c r="B19626">
        <f>TEXT(19625, "[$-0E0000]yyyy-mm-dd")</f>
        <v/>
      </c>
      <c r="C19626" t="inlineStr">
        <is>
          <t>1953-08-17</t>
        </is>
      </c>
    </row>
    <row r="19627">
      <c r="A19627" s="1" t="n">
        <v>19626</v>
      </c>
      <c r="B19627">
        <f>TEXT(19626, "[$-0E0000]yyyy-mm-dd")</f>
        <v/>
      </c>
      <c r="C19627" t="inlineStr">
        <is>
          <t>1953-08-18</t>
        </is>
      </c>
    </row>
    <row r="19628">
      <c r="A19628" s="1" t="n">
        <v>19627</v>
      </c>
      <c r="B19628">
        <f>TEXT(19627, "[$-0E0000]yyyy-mm-dd")</f>
        <v/>
      </c>
      <c r="C19628" t="inlineStr">
        <is>
          <t>1953-08-19</t>
        </is>
      </c>
    </row>
    <row r="19629">
      <c r="A19629" s="1" t="n">
        <v>19628</v>
      </c>
      <c r="B19629">
        <f>TEXT(19628, "[$-0E0000]yyyy-mm-dd")</f>
        <v/>
      </c>
      <c r="C19629" t="inlineStr">
        <is>
          <t>1953-08-20</t>
        </is>
      </c>
    </row>
    <row r="19630">
      <c r="A19630" s="1" t="n">
        <v>19629</v>
      </c>
      <c r="B19630">
        <f>TEXT(19629, "[$-0E0000]yyyy-mm-dd")</f>
        <v/>
      </c>
      <c r="C19630" t="inlineStr">
        <is>
          <t>1953-08-21</t>
        </is>
      </c>
    </row>
    <row r="19631">
      <c r="A19631" s="1" t="n">
        <v>19630</v>
      </c>
      <c r="B19631">
        <f>TEXT(19630, "[$-0E0000]yyyy-mm-dd")</f>
        <v/>
      </c>
      <c r="C19631" t="inlineStr">
        <is>
          <t>1953-08-22</t>
        </is>
      </c>
    </row>
    <row r="19632">
      <c r="A19632" s="1" t="n">
        <v>19631</v>
      </c>
      <c r="B19632">
        <f>TEXT(19631, "[$-0E0000]yyyy-mm-dd")</f>
        <v/>
      </c>
      <c r="C19632" t="inlineStr">
        <is>
          <t>1953-08-23</t>
        </is>
      </c>
    </row>
    <row r="19633">
      <c r="A19633" s="1" t="n">
        <v>19632</v>
      </c>
      <c r="B19633">
        <f>TEXT(19632, "[$-0E0000]yyyy-mm-dd")</f>
        <v/>
      </c>
      <c r="C19633" t="inlineStr">
        <is>
          <t>1953-08-24</t>
        </is>
      </c>
    </row>
    <row r="19634">
      <c r="A19634" s="1" t="n">
        <v>19633</v>
      </c>
      <c r="B19634">
        <f>TEXT(19633, "[$-0E0000]yyyy-mm-dd")</f>
        <v/>
      </c>
      <c r="C19634" t="inlineStr">
        <is>
          <t>1953-08-25</t>
        </is>
      </c>
    </row>
    <row r="19635">
      <c r="A19635" s="1" t="n">
        <v>19634</v>
      </c>
      <c r="B19635">
        <f>TEXT(19634, "[$-0E0000]yyyy-mm-dd")</f>
        <v/>
      </c>
      <c r="C19635" t="inlineStr">
        <is>
          <t>1953-08-26</t>
        </is>
      </c>
    </row>
    <row r="19636">
      <c r="A19636" s="1" t="n">
        <v>19635</v>
      </c>
      <c r="B19636">
        <f>TEXT(19635, "[$-0E0000]yyyy-mm-dd")</f>
        <v/>
      </c>
      <c r="C19636" t="inlineStr">
        <is>
          <t>1953-08-27</t>
        </is>
      </c>
    </row>
    <row r="19637">
      <c r="A19637" s="1" t="n">
        <v>19636</v>
      </c>
      <c r="B19637">
        <f>TEXT(19636, "[$-0E0000]yyyy-mm-dd")</f>
        <v/>
      </c>
      <c r="C19637" t="inlineStr">
        <is>
          <t>1953-08-28</t>
        </is>
      </c>
    </row>
    <row r="19638">
      <c r="A19638" s="1" t="n">
        <v>19637</v>
      </c>
      <c r="B19638">
        <f>TEXT(19637, "[$-0E0000]yyyy-mm-dd")</f>
        <v/>
      </c>
      <c r="C19638" t="inlineStr">
        <is>
          <t>1953-08-29</t>
        </is>
      </c>
    </row>
    <row r="19639">
      <c r="A19639" s="1" t="n">
        <v>19638</v>
      </c>
      <c r="B19639">
        <f>TEXT(19638, "[$-0E0000]yyyy-mm-dd")</f>
        <v/>
      </c>
      <c r="C19639" t="inlineStr">
        <is>
          <t>1953-08-30</t>
        </is>
      </c>
    </row>
    <row r="19640">
      <c r="A19640" s="1" t="n">
        <v>19639</v>
      </c>
      <c r="B19640">
        <f>TEXT(19639, "[$-0E0000]yyyy-mm-dd")</f>
        <v/>
      </c>
      <c r="C19640" t="inlineStr">
        <is>
          <t>1953-09-01</t>
        </is>
      </c>
    </row>
    <row r="19641">
      <c r="A19641" s="1" t="n">
        <v>19640</v>
      </c>
      <c r="B19641">
        <f>TEXT(19640, "[$-0E0000]yyyy-mm-dd")</f>
        <v/>
      </c>
      <c r="C19641" t="inlineStr">
        <is>
          <t>1953-09-02</t>
        </is>
      </c>
    </row>
    <row r="19642">
      <c r="A19642" s="1" t="n">
        <v>19641</v>
      </c>
      <c r="B19642">
        <f>TEXT(19641, "[$-0E0000]yyyy-mm-dd")</f>
        <v/>
      </c>
      <c r="C19642" t="inlineStr">
        <is>
          <t>1953-09-03</t>
        </is>
      </c>
    </row>
    <row r="19643">
      <c r="A19643" s="1" t="n">
        <v>19642</v>
      </c>
      <c r="B19643">
        <f>TEXT(19642, "[$-0E0000]yyyy-mm-dd")</f>
        <v/>
      </c>
      <c r="C19643" t="inlineStr">
        <is>
          <t>1953-09-04</t>
        </is>
      </c>
    </row>
    <row r="19644">
      <c r="A19644" s="1" t="n">
        <v>19643</v>
      </c>
      <c r="B19644">
        <f>TEXT(19643, "[$-0E0000]yyyy-mm-dd")</f>
        <v/>
      </c>
      <c r="C19644" t="inlineStr">
        <is>
          <t>1953-09-05</t>
        </is>
      </c>
    </row>
    <row r="19645">
      <c r="A19645" s="1" t="n">
        <v>19644</v>
      </c>
      <c r="B19645">
        <f>TEXT(19644, "[$-0E0000]yyyy-mm-dd")</f>
        <v/>
      </c>
      <c r="C19645" t="inlineStr">
        <is>
          <t>1953-09-06</t>
        </is>
      </c>
    </row>
    <row r="19646">
      <c r="A19646" s="1" t="n">
        <v>19645</v>
      </c>
      <c r="B19646">
        <f>TEXT(19645, "[$-0E0000]yyyy-mm-dd")</f>
        <v/>
      </c>
      <c r="C19646" t="inlineStr">
        <is>
          <t>1953-09-07</t>
        </is>
      </c>
    </row>
    <row r="19647">
      <c r="A19647" s="1" t="n">
        <v>19646</v>
      </c>
      <c r="B19647">
        <f>TEXT(19646, "[$-0E0000]yyyy-mm-dd")</f>
        <v/>
      </c>
      <c r="C19647" t="inlineStr">
        <is>
          <t>1953-09-08</t>
        </is>
      </c>
    </row>
    <row r="19648">
      <c r="A19648" s="1" t="n">
        <v>19647</v>
      </c>
      <c r="B19648">
        <f>TEXT(19647, "[$-0E0000]yyyy-mm-dd")</f>
        <v/>
      </c>
      <c r="C19648" t="inlineStr">
        <is>
          <t>1953-09-09</t>
        </is>
      </c>
    </row>
    <row r="19649">
      <c r="A19649" s="1" t="n">
        <v>19648</v>
      </c>
      <c r="B19649">
        <f>TEXT(19648, "[$-0E0000]yyyy-mm-dd")</f>
        <v/>
      </c>
      <c r="C19649" t="inlineStr">
        <is>
          <t>1953-09-10</t>
        </is>
      </c>
    </row>
    <row r="19650">
      <c r="A19650" s="1" t="n">
        <v>19649</v>
      </c>
      <c r="B19650">
        <f>TEXT(19649, "[$-0E0000]yyyy-mm-dd")</f>
        <v/>
      </c>
      <c r="C19650" t="inlineStr">
        <is>
          <t>1953-09-11</t>
        </is>
      </c>
    </row>
    <row r="19651">
      <c r="A19651" s="1" t="n">
        <v>19650</v>
      </c>
      <c r="B19651">
        <f>TEXT(19650, "[$-0E0000]yyyy-mm-dd")</f>
        <v/>
      </c>
      <c r="C19651" t="inlineStr">
        <is>
          <t>1953-09-12</t>
        </is>
      </c>
    </row>
    <row r="19652">
      <c r="A19652" s="1" t="n">
        <v>19651</v>
      </c>
      <c r="B19652">
        <f>TEXT(19651, "[$-0E0000]yyyy-mm-dd")</f>
        <v/>
      </c>
      <c r="C19652" t="inlineStr">
        <is>
          <t>1953-09-13</t>
        </is>
      </c>
    </row>
    <row r="19653">
      <c r="A19653" s="1" t="n">
        <v>19652</v>
      </c>
      <c r="B19653">
        <f>TEXT(19652, "[$-0E0000]yyyy-mm-dd")</f>
        <v/>
      </c>
      <c r="C19653" t="inlineStr">
        <is>
          <t>1953-09-14</t>
        </is>
      </c>
    </row>
    <row r="19654">
      <c r="A19654" s="1" t="n">
        <v>19653</v>
      </c>
      <c r="B19654">
        <f>TEXT(19653, "[$-0E0000]yyyy-mm-dd")</f>
        <v/>
      </c>
      <c r="C19654" t="inlineStr">
        <is>
          <t>1953-09-15</t>
        </is>
      </c>
    </row>
    <row r="19655">
      <c r="A19655" s="1" t="n">
        <v>19654</v>
      </c>
      <c r="B19655">
        <f>TEXT(19654, "[$-0E0000]yyyy-mm-dd")</f>
        <v/>
      </c>
      <c r="C19655" t="inlineStr">
        <is>
          <t>1953-09-16</t>
        </is>
      </c>
    </row>
    <row r="19656">
      <c r="A19656" s="1" t="n">
        <v>19655</v>
      </c>
      <c r="B19656">
        <f>TEXT(19655, "[$-0E0000]yyyy-mm-dd")</f>
        <v/>
      </c>
      <c r="C19656" t="inlineStr">
        <is>
          <t>1953-09-17</t>
        </is>
      </c>
    </row>
    <row r="19657">
      <c r="A19657" s="1" t="n">
        <v>19656</v>
      </c>
      <c r="B19657">
        <f>TEXT(19656, "[$-0E0000]yyyy-mm-dd")</f>
        <v/>
      </c>
      <c r="C19657" t="inlineStr">
        <is>
          <t>1953-09-18</t>
        </is>
      </c>
    </row>
    <row r="19658">
      <c r="A19658" s="1" t="n">
        <v>19657</v>
      </c>
      <c r="B19658">
        <f>TEXT(19657, "[$-0E0000]yyyy-mm-dd")</f>
        <v/>
      </c>
      <c r="C19658" t="inlineStr">
        <is>
          <t>1953-09-19</t>
        </is>
      </c>
    </row>
    <row r="19659">
      <c r="A19659" s="1" t="n">
        <v>19658</v>
      </c>
      <c r="B19659">
        <f>TEXT(19658, "[$-0E0000]yyyy-mm-dd")</f>
        <v/>
      </c>
      <c r="C19659" t="inlineStr">
        <is>
          <t>1953-09-20</t>
        </is>
      </c>
    </row>
    <row r="19660">
      <c r="A19660" s="1" t="n">
        <v>19659</v>
      </c>
      <c r="B19660">
        <f>TEXT(19659, "[$-0E0000]yyyy-mm-dd")</f>
        <v/>
      </c>
      <c r="C19660" t="inlineStr">
        <is>
          <t>1953-09-21</t>
        </is>
      </c>
    </row>
    <row r="19661">
      <c r="A19661" s="1" t="n">
        <v>19660</v>
      </c>
      <c r="B19661">
        <f>TEXT(19660, "[$-0E0000]yyyy-mm-dd")</f>
        <v/>
      </c>
      <c r="C19661" t="inlineStr">
        <is>
          <t>1953-09-22</t>
        </is>
      </c>
    </row>
    <row r="19662">
      <c r="A19662" s="1" t="n">
        <v>19661</v>
      </c>
      <c r="B19662">
        <f>TEXT(19661, "[$-0E0000]yyyy-mm-dd")</f>
        <v/>
      </c>
      <c r="C19662" t="inlineStr">
        <is>
          <t>1953-09-23</t>
        </is>
      </c>
    </row>
    <row r="19663">
      <c r="A19663" s="1" t="n">
        <v>19662</v>
      </c>
      <c r="B19663">
        <f>TEXT(19662, "[$-0E0000]yyyy-mm-dd")</f>
        <v/>
      </c>
      <c r="C19663" t="inlineStr">
        <is>
          <t>1953-09-24</t>
        </is>
      </c>
    </row>
    <row r="19664">
      <c r="A19664" s="1" t="n">
        <v>19663</v>
      </c>
      <c r="B19664">
        <f>TEXT(19663, "[$-0E0000]yyyy-mm-dd")</f>
        <v/>
      </c>
      <c r="C19664" t="inlineStr">
        <is>
          <t>1953-09-25</t>
        </is>
      </c>
    </row>
    <row r="19665">
      <c r="A19665" s="1" t="n">
        <v>19664</v>
      </c>
      <c r="B19665">
        <f>TEXT(19664, "[$-0E0000]yyyy-mm-dd")</f>
        <v/>
      </c>
      <c r="C19665" t="inlineStr">
        <is>
          <t>1953-09-26</t>
        </is>
      </c>
    </row>
    <row r="19666">
      <c r="A19666" s="1" t="n">
        <v>19665</v>
      </c>
      <c r="B19666">
        <f>TEXT(19665, "[$-0E0000]yyyy-mm-dd")</f>
        <v/>
      </c>
      <c r="C19666" t="inlineStr">
        <is>
          <t>1953-09-27</t>
        </is>
      </c>
    </row>
    <row r="19667">
      <c r="A19667" s="1" t="n">
        <v>19666</v>
      </c>
      <c r="B19667">
        <f>TEXT(19666, "[$-0E0000]yyyy-mm-dd")</f>
        <v/>
      </c>
      <c r="C19667" t="inlineStr">
        <is>
          <t>1953-09-28</t>
        </is>
      </c>
    </row>
    <row r="19668">
      <c r="A19668" s="1" t="n">
        <v>19667</v>
      </c>
      <c r="B19668">
        <f>TEXT(19667, "[$-0E0000]yyyy-mm-dd")</f>
        <v/>
      </c>
      <c r="C19668" t="inlineStr">
        <is>
          <t>1953-09-29</t>
        </is>
      </c>
    </row>
    <row r="19669">
      <c r="A19669" s="1" t="n">
        <v>19668</v>
      </c>
      <c r="B19669">
        <f>TEXT(19668, "[$-0E0000]yyyy-mm-dd")</f>
        <v/>
      </c>
      <c r="C19669" t="inlineStr">
        <is>
          <t>1953-09-30</t>
        </is>
      </c>
    </row>
    <row r="19670">
      <c r="A19670" s="1" t="n">
        <v>19669</v>
      </c>
      <c r="B19670">
        <f>TEXT(19669, "[$-0E0000]yyyy-mm-dd")</f>
        <v/>
      </c>
      <c r="C19670" t="inlineStr">
        <is>
          <t>1953-10-01</t>
        </is>
      </c>
    </row>
    <row r="19671">
      <c r="A19671" s="1" t="n">
        <v>19670</v>
      </c>
      <c r="B19671">
        <f>TEXT(19670, "[$-0E0000]yyyy-mm-dd")</f>
        <v/>
      </c>
      <c r="C19671" t="inlineStr">
        <is>
          <t>1953-10-02</t>
        </is>
      </c>
    </row>
    <row r="19672">
      <c r="A19672" s="1" t="n">
        <v>19671</v>
      </c>
      <c r="B19672">
        <f>TEXT(19671, "[$-0E0000]yyyy-mm-dd")</f>
        <v/>
      </c>
      <c r="C19672" t="inlineStr">
        <is>
          <t>1953-10-03</t>
        </is>
      </c>
    </row>
    <row r="19673">
      <c r="A19673" s="1" t="n">
        <v>19672</v>
      </c>
      <c r="B19673">
        <f>TEXT(19672, "[$-0E0000]yyyy-mm-dd")</f>
        <v/>
      </c>
      <c r="C19673" t="inlineStr">
        <is>
          <t>1953-10-04</t>
        </is>
      </c>
    </row>
    <row r="19674">
      <c r="A19674" s="1" t="n">
        <v>19673</v>
      </c>
      <c r="B19674">
        <f>TEXT(19673, "[$-0E0000]yyyy-mm-dd")</f>
        <v/>
      </c>
      <c r="C19674" t="inlineStr">
        <is>
          <t>1953-10-05</t>
        </is>
      </c>
    </row>
    <row r="19675">
      <c r="A19675" s="1" t="n">
        <v>19674</v>
      </c>
      <c r="B19675">
        <f>TEXT(19674, "[$-0E0000]yyyy-mm-dd")</f>
        <v/>
      </c>
      <c r="C19675" t="inlineStr">
        <is>
          <t>1953-10-06</t>
        </is>
      </c>
    </row>
    <row r="19676">
      <c r="A19676" s="1" t="n">
        <v>19675</v>
      </c>
      <c r="B19676">
        <f>TEXT(19675, "[$-0E0000]yyyy-mm-dd")</f>
        <v/>
      </c>
      <c r="C19676" t="inlineStr">
        <is>
          <t>1953-10-07</t>
        </is>
      </c>
    </row>
    <row r="19677">
      <c r="A19677" s="1" t="n">
        <v>19676</v>
      </c>
      <c r="B19677">
        <f>TEXT(19676, "[$-0E0000]yyyy-mm-dd")</f>
        <v/>
      </c>
      <c r="C19677" t="inlineStr">
        <is>
          <t>1953-10-08</t>
        </is>
      </c>
    </row>
    <row r="19678">
      <c r="A19678" s="1" t="n">
        <v>19677</v>
      </c>
      <c r="B19678">
        <f>TEXT(19677, "[$-0E0000]yyyy-mm-dd")</f>
        <v/>
      </c>
      <c r="C19678" t="inlineStr">
        <is>
          <t>1953-10-09</t>
        </is>
      </c>
    </row>
    <row r="19679">
      <c r="A19679" s="1" t="n">
        <v>19678</v>
      </c>
      <c r="B19679">
        <f>TEXT(19678, "[$-0E0000]yyyy-mm-dd")</f>
        <v/>
      </c>
      <c r="C19679" t="inlineStr">
        <is>
          <t>1953-10-10</t>
        </is>
      </c>
    </row>
    <row r="19680">
      <c r="A19680" s="1" t="n">
        <v>19679</v>
      </c>
      <c r="B19680">
        <f>TEXT(19679, "[$-0E0000]yyyy-mm-dd")</f>
        <v/>
      </c>
      <c r="C19680" t="inlineStr">
        <is>
          <t>1953-10-11</t>
        </is>
      </c>
    </row>
    <row r="19681">
      <c r="A19681" s="1" t="n">
        <v>19680</v>
      </c>
      <c r="B19681">
        <f>TEXT(19680, "[$-0E0000]yyyy-mm-dd")</f>
        <v/>
      </c>
      <c r="C19681" t="inlineStr">
        <is>
          <t>1953-10-12</t>
        </is>
      </c>
    </row>
    <row r="19682">
      <c r="A19682" s="1" t="n">
        <v>19681</v>
      </c>
      <c r="B19682">
        <f>TEXT(19681, "[$-0E0000]yyyy-mm-dd")</f>
        <v/>
      </c>
      <c r="C19682" t="inlineStr">
        <is>
          <t>1953-10-13</t>
        </is>
      </c>
    </row>
    <row r="19683">
      <c r="A19683" s="1" t="n">
        <v>19682</v>
      </c>
      <c r="B19683">
        <f>TEXT(19682, "[$-0E0000]yyyy-mm-dd")</f>
        <v/>
      </c>
      <c r="C19683" t="inlineStr">
        <is>
          <t>1953-10-14</t>
        </is>
      </c>
    </row>
    <row r="19684">
      <c r="A19684" s="1" t="n">
        <v>19683</v>
      </c>
      <c r="B19684">
        <f>TEXT(19683, "[$-0E0000]yyyy-mm-dd")</f>
        <v/>
      </c>
      <c r="C19684" t="inlineStr">
        <is>
          <t>1953-10-15</t>
        </is>
      </c>
    </row>
    <row r="19685">
      <c r="A19685" s="1" t="n">
        <v>19684</v>
      </c>
      <c r="B19685">
        <f>TEXT(19684, "[$-0E0000]yyyy-mm-dd")</f>
        <v/>
      </c>
      <c r="C19685" t="inlineStr">
        <is>
          <t>1953-10-16</t>
        </is>
      </c>
    </row>
    <row r="19686">
      <c r="A19686" s="1" t="n">
        <v>19685</v>
      </c>
      <c r="B19686">
        <f>TEXT(19685, "[$-0E0000]yyyy-mm-dd")</f>
        <v/>
      </c>
      <c r="C19686" t="inlineStr">
        <is>
          <t>1953-10-17</t>
        </is>
      </c>
    </row>
    <row r="19687">
      <c r="A19687" s="1" t="n">
        <v>19686</v>
      </c>
      <c r="B19687">
        <f>TEXT(19686, "[$-0E0000]yyyy-mm-dd")</f>
        <v/>
      </c>
      <c r="C19687" t="inlineStr">
        <is>
          <t>1953-10-18</t>
        </is>
      </c>
    </row>
    <row r="19688">
      <c r="A19688" s="1" t="n">
        <v>19687</v>
      </c>
      <c r="B19688">
        <f>TEXT(19687, "[$-0E0000]yyyy-mm-dd")</f>
        <v/>
      </c>
      <c r="C19688" t="inlineStr">
        <is>
          <t>1953-10-19</t>
        </is>
      </c>
    </row>
    <row r="19689">
      <c r="A19689" s="1" t="n">
        <v>19688</v>
      </c>
      <c r="B19689">
        <f>TEXT(19688, "[$-0E0000]yyyy-mm-dd")</f>
        <v/>
      </c>
      <c r="C19689" t="inlineStr">
        <is>
          <t>1953-10-20</t>
        </is>
      </c>
    </row>
    <row r="19690">
      <c r="A19690" s="1" t="n">
        <v>19689</v>
      </c>
      <c r="B19690">
        <f>TEXT(19689, "[$-0E0000]yyyy-mm-dd")</f>
        <v/>
      </c>
      <c r="C19690" t="inlineStr">
        <is>
          <t>1953-10-21</t>
        </is>
      </c>
    </row>
    <row r="19691">
      <c r="A19691" s="1" t="n">
        <v>19690</v>
      </c>
      <c r="B19691">
        <f>TEXT(19690, "[$-0E0000]yyyy-mm-dd")</f>
        <v/>
      </c>
      <c r="C19691" t="inlineStr">
        <is>
          <t>1953-10-22</t>
        </is>
      </c>
    </row>
    <row r="19692">
      <c r="A19692" s="1" t="n">
        <v>19691</v>
      </c>
      <c r="B19692">
        <f>TEXT(19691, "[$-0E0000]yyyy-mm-dd")</f>
        <v/>
      </c>
      <c r="C19692" t="inlineStr">
        <is>
          <t>1953-10-23</t>
        </is>
      </c>
    </row>
    <row r="19693">
      <c r="A19693" s="1" t="n">
        <v>19692</v>
      </c>
      <c r="B19693">
        <f>TEXT(19692, "[$-0E0000]yyyy-mm-dd")</f>
        <v/>
      </c>
      <c r="C19693" t="inlineStr">
        <is>
          <t>1953-10-24</t>
        </is>
      </c>
    </row>
    <row r="19694">
      <c r="A19694" s="1" t="n">
        <v>19693</v>
      </c>
      <c r="B19694">
        <f>TEXT(19693, "[$-0E0000]yyyy-mm-dd")</f>
        <v/>
      </c>
      <c r="C19694" t="inlineStr">
        <is>
          <t>1953-10-25</t>
        </is>
      </c>
    </row>
    <row r="19695">
      <c r="A19695" s="1" t="n">
        <v>19694</v>
      </c>
      <c r="B19695">
        <f>TEXT(19694, "[$-0E0000]yyyy-mm-dd")</f>
        <v/>
      </c>
      <c r="C19695" t="inlineStr">
        <is>
          <t>1953-10-26</t>
        </is>
      </c>
    </row>
    <row r="19696">
      <c r="A19696" s="1" t="n">
        <v>19695</v>
      </c>
      <c r="B19696">
        <f>TEXT(19695, "[$-0E0000]yyyy-mm-dd")</f>
        <v/>
      </c>
      <c r="C19696" t="inlineStr">
        <is>
          <t>1953-10-27</t>
        </is>
      </c>
    </row>
    <row r="19697">
      <c r="A19697" s="1" t="n">
        <v>19696</v>
      </c>
      <c r="B19697">
        <f>TEXT(19696, "[$-0E0000]yyyy-mm-dd")</f>
        <v/>
      </c>
      <c r="C19697" t="inlineStr">
        <is>
          <t>1953-10-28</t>
        </is>
      </c>
    </row>
    <row r="19698">
      <c r="A19698" s="1" t="n">
        <v>19697</v>
      </c>
      <c r="B19698">
        <f>TEXT(19697, "[$-0E0000]yyyy-mm-dd")</f>
        <v/>
      </c>
      <c r="C19698" t="inlineStr">
        <is>
          <t>1953-10-29</t>
        </is>
      </c>
    </row>
    <row r="19699">
      <c r="A19699" s="1" t="n">
        <v>19698</v>
      </c>
      <c r="B19699">
        <f>TEXT(19698, "[$-0E0000]yyyy-mm-dd")</f>
        <v/>
      </c>
      <c r="C19699" t="inlineStr">
        <is>
          <t>1953-11-01</t>
        </is>
      </c>
    </row>
    <row r="19700">
      <c r="A19700" s="1" t="n">
        <v>19699</v>
      </c>
      <c r="B19700">
        <f>TEXT(19699, "[$-0E0000]yyyy-mm-dd")</f>
        <v/>
      </c>
      <c r="C19700" t="inlineStr">
        <is>
          <t>1953-11-02</t>
        </is>
      </c>
    </row>
    <row r="19701">
      <c r="A19701" s="1" t="n">
        <v>19700</v>
      </c>
      <c r="B19701">
        <f>TEXT(19700, "[$-0E0000]yyyy-mm-dd")</f>
        <v/>
      </c>
      <c r="C19701" t="inlineStr">
        <is>
          <t>1953-11-03</t>
        </is>
      </c>
    </row>
    <row r="19702">
      <c r="A19702" s="1" t="n">
        <v>19701</v>
      </c>
      <c r="B19702">
        <f>TEXT(19701, "[$-0E0000]yyyy-mm-dd")</f>
        <v/>
      </c>
      <c r="C19702" t="inlineStr">
        <is>
          <t>1953-11-04</t>
        </is>
      </c>
    </row>
    <row r="19703">
      <c r="A19703" s="1" t="n">
        <v>19702</v>
      </c>
      <c r="B19703">
        <f>TEXT(19702, "[$-0E0000]yyyy-mm-dd")</f>
        <v/>
      </c>
      <c r="C19703" t="inlineStr">
        <is>
          <t>1953-11-05</t>
        </is>
      </c>
    </row>
    <row r="19704">
      <c r="A19704" s="1" t="n">
        <v>19703</v>
      </c>
      <c r="B19704">
        <f>TEXT(19703, "[$-0E0000]yyyy-mm-dd")</f>
        <v/>
      </c>
      <c r="C19704" t="inlineStr">
        <is>
          <t>1953-11-06</t>
        </is>
      </c>
    </row>
    <row r="19705">
      <c r="A19705" s="1" t="n">
        <v>19704</v>
      </c>
      <c r="B19705">
        <f>TEXT(19704, "[$-0E0000]yyyy-mm-dd")</f>
        <v/>
      </c>
      <c r="C19705" t="inlineStr">
        <is>
          <t>1953-11-07</t>
        </is>
      </c>
    </row>
    <row r="19706">
      <c r="A19706" s="1" t="n">
        <v>19705</v>
      </c>
      <c r="B19706">
        <f>TEXT(19705, "[$-0E0000]yyyy-mm-dd")</f>
        <v/>
      </c>
      <c r="C19706" t="inlineStr">
        <is>
          <t>1953-11-08</t>
        </is>
      </c>
    </row>
    <row r="19707">
      <c r="A19707" s="1" t="n">
        <v>19706</v>
      </c>
      <c r="B19707">
        <f>TEXT(19706, "[$-0E0000]yyyy-mm-dd")</f>
        <v/>
      </c>
      <c r="C19707" t="inlineStr">
        <is>
          <t>1953-11-09</t>
        </is>
      </c>
    </row>
    <row r="19708">
      <c r="A19708" s="1" t="n">
        <v>19707</v>
      </c>
      <c r="B19708">
        <f>TEXT(19707, "[$-0E0000]yyyy-mm-dd")</f>
        <v/>
      </c>
      <c r="C19708" t="inlineStr">
        <is>
          <t>1953-11-10</t>
        </is>
      </c>
    </row>
    <row r="19709">
      <c r="A19709" s="1" t="n">
        <v>19708</v>
      </c>
      <c r="B19709">
        <f>TEXT(19708, "[$-0E0000]yyyy-mm-dd")</f>
        <v/>
      </c>
      <c r="C19709" t="inlineStr">
        <is>
          <t>1953-11-11</t>
        </is>
      </c>
    </row>
    <row r="19710">
      <c r="A19710" s="1" t="n">
        <v>19709</v>
      </c>
      <c r="B19710">
        <f>TEXT(19709, "[$-0E0000]yyyy-mm-dd")</f>
        <v/>
      </c>
      <c r="C19710" t="inlineStr">
        <is>
          <t>1953-11-12</t>
        </is>
      </c>
    </row>
    <row r="19711">
      <c r="A19711" s="1" t="n">
        <v>19710</v>
      </c>
      <c r="B19711">
        <f>TEXT(19710, "[$-0E0000]yyyy-mm-dd")</f>
        <v/>
      </c>
      <c r="C19711" t="inlineStr">
        <is>
          <t>1953-11-13</t>
        </is>
      </c>
    </row>
    <row r="19712">
      <c r="A19712" s="1" t="n">
        <v>19711</v>
      </c>
      <c r="B19712">
        <f>TEXT(19711, "[$-0E0000]yyyy-mm-dd")</f>
        <v/>
      </c>
      <c r="C19712" t="inlineStr">
        <is>
          <t>1953-11-14</t>
        </is>
      </c>
    </row>
    <row r="19713">
      <c r="A19713" s="1" t="n">
        <v>19712</v>
      </c>
      <c r="B19713">
        <f>TEXT(19712, "[$-0E0000]yyyy-mm-dd")</f>
        <v/>
      </c>
      <c r="C19713" t="inlineStr">
        <is>
          <t>1953-11-15</t>
        </is>
      </c>
    </row>
    <row r="19714">
      <c r="A19714" s="1" t="n">
        <v>19713</v>
      </c>
      <c r="B19714">
        <f>TEXT(19713, "[$-0E0000]yyyy-mm-dd")</f>
        <v/>
      </c>
      <c r="C19714" t="inlineStr">
        <is>
          <t>1953-11-16</t>
        </is>
      </c>
    </row>
    <row r="19715">
      <c r="A19715" s="1" t="n">
        <v>19714</v>
      </c>
      <c r="B19715">
        <f>TEXT(19714, "[$-0E0000]yyyy-mm-dd")</f>
        <v/>
      </c>
      <c r="C19715" t="inlineStr">
        <is>
          <t>1953-11-17</t>
        </is>
      </c>
    </row>
    <row r="19716">
      <c r="A19716" s="1" t="n">
        <v>19715</v>
      </c>
      <c r="B19716">
        <f>TEXT(19715, "[$-0E0000]yyyy-mm-dd")</f>
        <v/>
      </c>
      <c r="C19716" t="inlineStr">
        <is>
          <t>1953-11-18</t>
        </is>
      </c>
    </row>
    <row r="19717">
      <c r="A19717" s="1" t="n">
        <v>19716</v>
      </c>
      <c r="B19717">
        <f>TEXT(19716, "[$-0E0000]yyyy-mm-dd")</f>
        <v/>
      </c>
      <c r="C19717" t="inlineStr">
        <is>
          <t>1953-11-19</t>
        </is>
      </c>
    </row>
    <row r="19718">
      <c r="A19718" s="1" t="n">
        <v>19717</v>
      </c>
      <c r="B19718">
        <f>TEXT(19717, "[$-0E0000]yyyy-mm-dd")</f>
        <v/>
      </c>
      <c r="C19718" t="inlineStr">
        <is>
          <t>1953-11-20</t>
        </is>
      </c>
    </row>
    <row r="19719">
      <c r="A19719" s="1" t="n">
        <v>19718</v>
      </c>
      <c r="B19719">
        <f>TEXT(19718, "[$-0E0000]yyyy-mm-dd")</f>
        <v/>
      </c>
      <c r="C19719" t="inlineStr">
        <is>
          <t>1953-11-21</t>
        </is>
      </c>
    </row>
    <row r="19720">
      <c r="A19720" s="1" t="n">
        <v>19719</v>
      </c>
      <c r="B19720">
        <f>TEXT(19719, "[$-0E0000]yyyy-mm-dd")</f>
        <v/>
      </c>
      <c r="C19720" t="inlineStr">
        <is>
          <t>1953-11-22</t>
        </is>
      </c>
    </row>
    <row r="19721">
      <c r="A19721" s="1" t="n">
        <v>19720</v>
      </c>
      <c r="B19721">
        <f>TEXT(19720, "[$-0E0000]yyyy-mm-dd")</f>
        <v/>
      </c>
      <c r="C19721" t="inlineStr">
        <is>
          <t>1953-11-23</t>
        </is>
      </c>
    </row>
    <row r="19722">
      <c r="A19722" s="1" t="n">
        <v>19721</v>
      </c>
      <c r="B19722">
        <f>TEXT(19721, "[$-0E0000]yyyy-mm-dd")</f>
        <v/>
      </c>
      <c r="C19722" t="inlineStr">
        <is>
          <t>1953-11-24</t>
        </is>
      </c>
    </row>
    <row r="19723">
      <c r="A19723" s="1" t="n">
        <v>19722</v>
      </c>
      <c r="B19723">
        <f>TEXT(19722, "[$-0E0000]yyyy-mm-dd")</f>
        <v/>
      </c>
      <c r="C19723" t="inlineStr">
        <is>
          <t>1953-11-25</t>
        </is>
      </c>
    </row>
    <row r="19724">
      <c r="A19724" s="1" t="n">
        <v>19723</v>
      </c>
      <c r="B19724">
        <f>TEXT(19723, "[$-0E0000]yyyy-mm-dd")</f>
        <v/>
      </c>
      <c r="C19724" t="inlineStr">
        <is>
          <t>1953-11-26</t>
        </is>
      </c>
    </row>
    <row r="19725">
      <c r="A19725" s="1" t="n">
        <v>19724</v>
      </c>
      <c r="B19725">
        <f>TEXT(19724, "[$-0E0000]yyyy-mm-dd")</f>
        <v/>
      </c>
      <c r="C19725" t="inlineStr">
        <is>
          <t>1953-11-27</t>
        </is>
      </c>
    </row>
    <row r="19726">
      <c r="A19726" s="1" t="n">
        <v>19725</v>
      </c>
      <c r="B19726">
        <f>TEXT(19725, "[$-0E0000]yyyy-mm-dd")</f>
        <v/>
      </c>
      <c r="C19726" t="inlineStr">
        <is>
          <t>1953-11-28</t>
        </is>
      </c>
    </row>
    <row r="19727">
      <c r="A19727" s="1" t="n">
        <v>19726</v>
      </c>
      <c r="B19727">
        <f>TEXT(19726, "[$-0E0000]yyyy-mm-dd")</f>
        <v/>
      </c>
      <c r="C19727" t="inlineStr">
        <is>
          <t>1953-11-29</t>
        </is>
      </c>
    </row>
    <row r="19728">
      <c r="A19728" s="1" t="n">
        <v>19727</v>
      </c>
      <c r="B19728">
        <f>TEXT(19727, "[$-0E0000]yyyy-mm-dd")</f>
        <v/>
      </c>
      <c r="C19728" t="inlineStr">
        <is>
          <t>1953-11-30</t>
        </is>
      </c>
    </row>
    <row r="19729">
      <c r="A19729" s="1" t="n">
        <v>19728</v>
      </c>
      <c r="B19729">
        <f>TEXT(19728, "[$-0E0000]yyyy-mm-dd")</f>
        <v/>
      </c>
      <c r="C19729" t="inlineStr">
        <is>
          <t>1953-12-01</t>
        </is>
      </c>
    </row>
    <row r="19730">
      <c r="A19730" s="1" t="n">
        <v>19729</v>
      </c>
      <c r="B19730">
        <f>TEXT(19729, "[$-0E0000]yyyy-mm-dd")</f>
        <v/>
      </c>
      <c r="C19730" t="inlineStr">
        <is>
          <t>1953-12-02</t>
        </is>
      </c>
    </row>
    <row r="19731">
      <c r="A19731" s="1" t="n">
        <v>19730</v>
      </c>
      <c r="B19731">
        <f>TEXT(19730, "[$-0E0000]yyyy-mm-dd")</f>
        <v/>
      </c>
      <c r="C19731" t="inlineStr">
        <is>
          <t>1953-12-03</t>
        </is>
      </c>
    </row>
    <row r="19732">
      <c r="A19732" s="1" t="n">
        <v>19731</v>
      </c>
      <c r="B19732">
        <f>TEXT(19731, "[$-0E0000]yyyy-mm-dd")</f>
        <v/>
      </c>
      <c r="C19732" t="inlineStr">
        <is>
          <t>1953-12-04</t>
        </is>
      </c>
    </row>
    <row r="19733">
      <c r="A19733" s="1" t="n">
        <v>19732</v>
      </c>
      <c r="B19733">
        <f>TEXT(19732, "[$-0E0000]yyyy-mm-dd")</f>
        <v/>
      </c>
      <c r="C19733" t="inlineStr">
        <is>
          <t>1953-12-05</t>
        </is>
      </c>
    </row>
    <row r="19734">
      <c r="A19734" s="1" t="n">
        <v>19733</v>
      </c>
      <c r="B19734">
        <f>TEXT(19733, "[$-0E0000]yyyy-mm-dd")</f>
        <v/>
      </c>
      <c r="C19734" t="inlineStr">
        <is>
          <t>1953-12-06</t>
        </is>
      </c>
    </row>
    <row r="19735">
      <c r="A19735" s="1" t="n">
        <v>19734</v>
      </c>
      <c r="B19735">
        <f>TEXT(19734, "[$-0E0000]yyyy-mm-dd")</f>
        <v/>
      </c>
      <c r="C19735" t="inlineStr">
        <is>
          <t>1953-12-07</t>
        </is>
      </c>
    </row>
    <row r="19736">
      <c r="A19736" s="1" t="n">
        <v>19735</v>
      </c>
      <c r="B19736">
        <f>TEXT(19735, "[$-0E0000]yyyy-mm-dd")</f>
        <v/>
      </c>
      <c r="C19736" t="inlineStr">
        <is>
          <t>1953-12-08</t>
        </is>
      </c>
    </row>
    <row r="19737">
      <c r="A19737" s="1" t="n">
        <v>19736</v>
      </c>
      <c r="B19737">
        <f>TEXT(19736, "[$-0E0000]yyyy-mm-dd")</f>
        <v/>
      </c>
      <c r="C19737" t="inlineStr">
        <is>
          <t>1953-12-09</t>
        </is>
      </c>
    </row>
    <row r="19738">
      <c r="A19738" s="1" t="n">
        <v>19737</v>
      </c>
      <c r="B19738">
        <f>TEXT(19737, "[$-0E0000]yyyy-mm-dd")</f>
        <v/>
      </c>
      <c r="C19738" t="inlineStr">
        <is>
          <t>1953-12-10</t>
        </is>
      </c>
    </row>
    <row r="19739">
      <c r="A19739" s="1" t="n">
        <v>19738</v>
      </c>
      <c r="B19739">
        <f>TEXT(19738, "[$-0E0000]yyyy-mm-dd")</f>
        <v/>
      </c>
      <c r="C19739" t="inlineStr">
        <is>
          <t>1953-12-11</t>
        </is>
      </c>
    </row>
    <row r="19740">
      <c r="A19740" s="1" t="n">
        <v>19739</v>
      </c>
      <c r="B19740">
        <f>TEXT(19739, "[$-0E0000]yyyy-mm-dd")</f>
        <v/>
      </c>
      <c r="C19740" t="inlineStr">
        <is>
          <t>1953-12-12</t>
        </is>
      </c>
    </row>
    <row r="19741">
      <c r="A19741" s="1" t="n">
        <v>19740</v>
      </c>
      <c r="B19741">
        <f>TEXT(19740, "[$-0E0000]yyyy-mm-dd")</f>
        <v/>
      </c>
      <c r="C19741" t="inlineStr">
        <is>
          <t>1953-12-13</t>
        </is>
      </c>
    </row>
    <row r="19742">
      <c r="A19742" s="1" t="n">
        <v>19741</v>
      </c>
      <c r="B19742">
        <f>TEXT(19741, "[$-0E0000]yyyy-mm-dd")</f>
        <v/>
      </c>
      <c r="C19742" t="inlineStr">
        <is>
          <t>1953-12-14</t>
        </is>
      </c>
    </row>
    <row r="19743">
      <c r="A19743" s="1" t="n">
        <v>19742</v>
      </c>
      <c r="B19743">
        <f>TEXT(19742, "[$-0E0000]yyyy-mm-dd")</f>
        <v/>
      </c>
      <c r="C19743" t="inlineStr">
        <is>
          <t>1953-12-15</t>
        </is>
      </c>
    </row>
    <row r="19744">
      <c r="A19744" s="1" t="n">
        <v>19743</v>
      </c>
      <c r="B19744">
        <f>TEXT(19743, "[$-0E0000]yyyy-mm-dd")</f>
        <v/>
      </c>
      <c r="C19744" t="inlineStr">
        <is>
          <t>1953-12-16</t>
        </is>
      </c>
    </row>
    <row r="19745">
      <c r="A19745" s="1" t="n">
        <v>19744</v>
      </c>
      <c r="B19745">
        <f>TEXT(19744, "[$-0E0000]yyyy-mm-dd")</f>
        <v/>
      </c>
      <c r="C19745" t="inlineStr">
        <is>
          <t>1953-12-17</t>
        </is>
      </c>
    </row>
    <row r="19746">
      <c r="A19746" s="1" t="n">
        <v>19745</v>
      </c>
      <c r="B19746">
        <f>TEXT(19745, "[$-0E0000]yyyy-mm-dd")</f>
        <v/>
      </c>
      <c r="C19746" t="inlineStr">
        <is>
          <t>1953-12-18</t>
        </is>
      </c>
    </row>
    <row r="19747">
      <c r="A19747" s="1" t="n">
        <v>19746</v>
      </c>
      <c r="B19747">
        <f>TEXT(19746, "[$-0E0000]yyyy-mm-dd")</f>
        <v/>
      </c>
      <c r="C19747" t="inlineStr">
        <is>
          <t>1953-12-19</t>
        </is>
      </c>
    </row>
    <row r="19748">
      <c r="A19748" s="1" t="n">
        <v>19747</v>
      </c>
      <c r="B19748">
        <f>TEXT(19747, "[$-0E0000]yyyy-mm-dd")</f>
        <v/>
      </c>
      <c r="C19748" t="inlineStr">
        <is>
          <t>1953-12-20</t>
        </is>
      </c>
    </row>
    <row r="19749">
      <c r="A19749" s="1" t="n">
        <v>19748</v>
      </c>
      <c r="B19749">
        <f>TEXT(19748, "[$-0E0000]yyyy-mm-dd")</f>
        <v/>
      </c>
      <c r="C19749" t="inlineStr">
        <is>
          <t>1953-12-21</t>
        </is>
      </c>
    </row>
    <row r="19750">
      <c r="A19750" s="1" t="n">
        <v>19749</v>
      </c>
      <c r="B19750">
        <f>TEXT(19749, "[$-0E0000]yyyy-mm-dd")</f>
        <v/>
      </c>
      <c r="C19750" t="inlineStr">
        <is>
          <t>1953-12-22</t>
        </is>
      </c>
    </row>
    <row r="19751">
      <c r="A19751" s="1" t="n">
        <v>19750</v>
      </c>
      <c r="B19751">
        <f>TEXT(19750, "[$-0E0000]yyyy-mm-dd")</f>
        <v/>
      </c>
      <c r="C19751" t="inlineStr">
        <is>
          <t>1953-12-23</t>
        </is>
      </c>
    </row>
    <row r="19752">
      <c r="A19752" s="1" t="n">
        <v>19751</v>
      </c>
      <c r="B19752">
        <f>TEXT(19751, "[$-0E0000]yyyy-mm-dd")</f>
        <v/>
      </c>
      <c r="C19752" t="inlineStr">
        <is>
          <t>1953-12-24</t>
        </is>
      </c>
    </row>
    <row r="19753">
      <c r="A19753" s="1" t="n">
        <v>19752</v>
      </c>
      <c r="B19753">
        <f>TEXT(19752, "[$-0E0000]yyyy-mm-dd")</f>
        <v/>
      </c>
      <c r="C19753" t="inlineStr">
        <is>
          <t>1953-12-25</t>
        </is>
      </c>
    </row>
    <row r="19754">
      <c r="A19754" s="1" t="n">
        <v>19753</v>
      </c>
      <c r="B19754">
        <f>TEXT(19753, "[$-0E0000]yyyy-mm-dd")</f>
        <v/>
      </c>
      <c r="C19754" t="inlineStr">
        <is>
          <t>1953-12-26</t>
        </is>
      </c>
    </row>
    <row r="19755">
      <c r="A19755" s="1" t="n">
        <v>19754</v>
      </c>
      <c r="B19755">
        <f>TEXT(19754, "[$-0E0000]yyyy-mm-dd")</f>
        <v/>
      </c>
      <c r="C19755" t="inlineStr">
        <is>
          <t>1953-12-27</t>
        </is>
      </c>
    </row>
    <row r="19756">
      <c r="A19756" s="1" t="n">
        <v>19755</v>
      </c>
      <c r="B19756">
        <f>TEXT(19755, "[$-0E0000]yyyy-mm-dd")</f>
        <v/>
      </c>
      <c r="C19756" t="inlineStr">
        <is>
          <t>1953-12-28</t>
        </is>
      </c>
    </row>
    <row r="19757">
      <c r="A19757" s="1" t="n">
        <v>19756</v>
      </c>
      <c r="B19757">
        <f>TEXT(19756, "[$-0E0000]yyyy-mm-dd")</f>
        <v/>
      </c>
      <c r="C19757" t="inlineStr">
        <is>
          <t>1953-12-29</t>
        </is>
      </c>
    </row>
    <row r="19758">
      <c r="A19758" s="1" t="n">
        <v>19757</v>
      </c>
      <c r="B19758">
        <f>TEXT(19757, "[$-0E0000]yyyy-mm-dd")</f>
        <v/>
      </c>
      <c r="C19758" t="inlineStr">
        <is>
          <t>1954-01-01</t>
        </is>
      </c>
    </row>
    <row r="19759">
      <c r="A19759" s="1" t="n">
        <v>19758</v>
      </c>
      <c r="B19759">
        <f>TEXT(19758, "[$-0E0000]yyyy-mm-dd")</f>
        <v/>
      </c>
      <c r="C19759" t="inlineStr">
        <is>
          <t>1954-01-02</t>
        </is>
      </c>
    </row>
    <row r="19760">
      <c r="A19760" s="1" t="n">
        <v>19759</v>
      </c>
      <c r="B19760">
        <f>TEXT(19759, "[$-0E0000]yyyy-mm-dd")</f>
        <v/>
      </c>
      <c r="C19760" t="inlineStr">
        <is>
          <t>1954-01-03</t>
        </is>
      </c>
    </row>
    <row r="19761">
      <c r="A19761" s="1" t="n">
        <v>19760</v>
      </c>
      <c r="B19761">
        <f>TEXT(19760, "[$-0E0000]yyyy-mm-dd")</f>
        <v/>
      </c>
      <c r="C19761" t="inlineStr">
        <is>
          <t>1954-01-04</t>
        </is>
      </c>
    </row>
    <row r="19762">
      <c r="A19762" s="1" t="n">
        <v>19761</v>
      </c>
      <c r="B19762">
        <f>TEXT(19761, "[$-0E0000]yyyy-mm-dd")</f>
        <v/>
      </c>
      <c r="C19762" t="inlineStr">
        <is>
          <t>1954-01-05</t>
        </is>
      </c>
    </row>
    <row r="19763">
      <c r="A19763" s="1" t="n">
        <v>19762</v>
      </c>
      <c r="B19763">
        <f>TEXT(19762, "[$-0E0000]yyyy-mm-dd")</f>
        <v/>
      </c>
      <c r="C19763" t="inlineStr">
        <is>
          <t>1954-01-06</t>
        </is>
      </c>
    </row>
    <row r="19764">
      <c r="A19764" s="1" t="n">
        <v>19763</v>
      </c>
      <c r="B19764">
        <f>TEXT(19763, "[$-0E0000]yyyy-mm-dd")</f>
        <v/>
      </c>
      <c r="C19764" t="inlineStr">
        <is>
          <t>1954-01-07</t>
        </is>
      </c>
    </row>
    <row r="19765">
      <c r="A19765" s="1" t="n">
        <v>19764</v>
      </c>
      <c r="B19765">
        <f>TEXT(19764, "[$-0E0000]yyyy-mm-dd")</f>
        <v/>
      </c>
      <c r="C19765" t="inlineStr">
        <is>
          <t>1954-01-08</t>
        </is>
      </c>
    </row>
    <row r="19766">
      <c r="A19766" s="1" t="n">
        <v>19765</v>
      </c>
      <c r="B19766">
        <f>TEXT(19765, "[$-0E0000]yyyy-mm-dd")</f>
        <v/>
      </c>
      <c r="C19766" t="inlineStr">
        <is>
          <t>1954-01-09</t>
        </is>
      </c>
    </row>
    <row r="19767">
      <c r="A19767" s="1" t="n">
        <v>19766</v>
      </c>
      <c r="B19767">
        <f>TEXT(19766, "[$-0E0000]yyyy-mm-dd")</f>
        <v/>
      </c>
      <c r="C19767" t="inlineStr">
        <is>
          <t>1954-01-10</t>
        </is>
      </c>
    </row>
    <row r="19768">
      <c r="A19768" s="1" t="n">
        <v>19767</v>
      </c>
      <c r="B19768">
        <f>TEXT(19767, "[$-0E0000]yyyy-mm-dd")</f>
        <v/>
      </c>
      <c r="C19768" t="inlineStr">
        <is>
          <t>1954-01-11</t>
        </is>
      </c>
    </row>
    <row r="19769">
      <c r="A19769" s="1" t="n">
        <v>19768</v>
      </c>
      <c r="B19769">
        <f>TEXT(19768, "[$-0E0000]yyyy-mm-dd")</f>
        <v/>
      </c>
      <c r="C19769" t="inlineStr">
        <is>
          <t>1954-01-12</t>
        </is>
      </c>
    </row>
    <row r="19770">
      <c r="A19770" s="1" t="n">
        <v>19769</v>
      </c>
      <c r="B19770">
        <f>TEXT(19769, "[$-0E0000]yyyy-mm-dd")</f>
        <v/>
      </c>
      <c r="C19770" t="inlineStr">
        <is>
          <t>1954-01-13</t>
        </is>
      </c>
    </row>
    <row r="19771">
      <c r="A19771" s="1" t="n">
        <v>19770</v>
      </c>
      <c r="B19771">
        <f>TEXT(19770, "[$-0E0000]yyyy-mm-dd")</f>
        <v/>
      </c>
      <c r="C19771" t="inlineStr">
        <is>
          <t>1954-01-14</t>
        </is>
      </c>
    </row>
    <row r="19772">
      <c r="A19772" s="1" t="n">
        <v>19771</v>
      </c>
      <c r="B19772">
        <f>TEXT(19771, "[$-0E0000]yyyy-mm-dd")</f>
        <v/>
      </c>
      <c r="C19772" t="inlineStr">
        <is>
          <t>1954-01-15</t>
        </is>
      </c>
    </row>
    <row r="19773">
      <c r="A19773" s="1" t="n">
        <v>19772</v>
      </c>
      <c r="B19773">
        <f>TEXT(19772, "[$-0E0000]yyyy-mm-dd")</f>
        <v/>
      </c>
      <c r="C19773" t="inlineStr">
        <is>
          <t>1954-01-16</t>
        </is>
      </c>
    </row>
    <row r="19774">
      <c r="A19774" s="1" t="n">
        <v>19773</v>
      </c>
      <c r="B19774">
        <f>TEXT(19773, "[$-0E0000]yyyy-mm-dd")</f>
        <v/>
      </c>
      <c r="C19774" t="inlineStr">
        <is>
          <t>1954-01-17</t>
        </is>
      </c>
    </row>
    <row r="19775">
      <c r="A19775" s="1" t="n">
        <v>19774</v>
      </c>
      <c r="B19775">
        <f>TEXT(19774, "[$-0E0000]yyyy-mm-dd")</f>
        <v/>
      </c>
      <c r="C19775" t="inlineStr">
        <is>
          <t>1954-01-18</t>
        </is>
      </c>
    </row>
    <row r="19776">
      <c r="A19776" s="1" t="n">
        <v>19775</v>
      </c>
      <c r="B19776">
        <f>TEXT(19775, "[$-0E0000]yyyy-mm-dd")</f>
        <v/>
      </c>
      <c r="C19776" t="inlineStr">
        <is>
          <t>1954-01-19</t>
        </is>
      </c>
    </row>
    <row r="19777">
      <c r="A19777" s="1" t="n">
        <v>19776</v>
      </c>
      <c r="B19777">
        <f>TEXT(19776, "[$-0E0000]yyyy-mm-dd")</f>
        <v/>
      </c>
      <c r="C19777" t="inlineStr">
        <is>
          <t>1954-01-20</t>
        </is>
      </c>
    </row>
    <row r="19778">
      <c r="A19778" s="1" t="n">
        <v>19777</v>
      </c>
      <c r="B19778">
        <f>TEXT(19777, "[$-0E0000]yyyy-mm-dd")</f>
        <v/>
      </c>
      <c r="C19778" t="inlineStr">
        <is>
          <t>1954-01-21</t>
        </is>
      </c>
    </row>
    <row r="19779">
      <c r="A19779" s="1" t="n">
        <v>19778</v>
      </c>
      <c r="B19779">
        <f>TEXT(19778, "[$-0E0000]yyyy-mm-dd")</f>
        <v/>
      </c>
      <c r="C19779" t="inlineStr">
        <is>
          <t>1954-01-22</t>
        </is>
      </c>
    </row>
    <row r="19780">
      <c r="A19780" s="1" t="n">
        <v>19779</v>
      </c>
      <c r="B19780">
        <f>TEXT(19779, "[$-0E0000]yyyy-mm-dd")</f>
        <v/>
      </c>
      <c r="C19780" t="inlineStr">
        <is>
          <t>1954-01-23</t>
        </is>
      </c>
    </row>
    <row r="19781">
      <c r="A19781" s="1" t="n">
        <v>19780</v>
      </c>
      <c r="B19781">
        <f>TEXT(19780, "[$-0E0000]yyyy-mm-dd")</f>
        <v/>
      </c>
      <c r="C19781" t="inlineStr">
        <is>
          <t>1954-01-24</t>
        </is>
      </c>
    </row>
    <row r="19782">
      <c r="A19782" s="1" t="n">
        <v>19781</v>
      </c>
      <c r="B19782">
        <f>TEXT(19781, "[$-0E0000]yyyy-mm-dd")</f>
        <v/>
      </c>
      <c r="C19782" t="inlineStr">
        <is>
          <t>1954-01-25</t>
        </is>
      </c>
    </row>
    <row r="19783">
      <c r="A19783" s="1" t="n">
        <v>19782</v>
      </c>
      <c r="B19783">
        <f>TEXT(19782, "[$-0E0000]yyyy-mm-dd")</f>
        <v/>
      </c>
      <c r="C19783" t="inlineStr">
        <is>
          <t>1954-01-26</t>
        </is>
      </c>
    </row>
    <row r="19784">
      <c r="A19784" s="1" t="n">
        <v>19783</v>
      </c>
      <c r="B19784">
        <f>TEXT(19783, "[$-0E0000]yyyy-mm-dd")</f>
        <v/>
      </c>
      <c r="C19784" t="inlineStr">
        <is>
          <t>1954-01-27</t>
        </is>
      </c>
    </row>
    <row r="19785">
      <c r="A19785" s="1" t="n">
        <v>19784</v>
      </c>
      <c r="B19785">
        <f>TEXT(19784, "[$-0E0000]yyyy-mm-dd")</f>
        <v/>
      </c>
      <c r="C19785" t="inlineStr">
        <is>
          <t>1954-01-28</t>
        </is>
      </c>
    </row>
    <row r="19786">
      <c r="A19786" s="1" t="n">
        <v>19785</v>
      </c>
      <c r="B19786">
        <f>TEXT(19785, "[$-0E0000]yyyy-mm-dd")</f>
        <v/>
      </c>
      <c r="C19786" t="inlineStr">
        <is>
          <t>1954-01-29</t>
        </is>
      </c>
    </row>
    <row r="19787">
      <c r="A19787" s="1" t="n">
        <v>19786</v>
      </c>
      <c r="B19787">
        <f>TEXT(19786, "[$-0E0000]yyyy-mm-dd")</f>
        <v/>
      </c>
      <c r="C19787" t="inlineStr">
        <is>
          <t>1954-01-30</t>
        </is>
      </c>
    </row>
    <row r="19788">
      <c r="A19788" s="1" t="n">
        <v>19787</v>
      </c>
      <c r="B19788">
        <f>TEXT(19787, "[$-0E0000]yyyy-mm-dd")</f>
        <v/>
      </c>
      <c r="C19788" t="inlineStr">
        <is>
          <t>1954-02-01</t>
        </is>
      </c>
    </row>
    <row r="19789">
      <c r="A19789" s="1" t="n">
        <v>19788</v>
      </c>
      <c r="B19789">
        <f>TEXT(19788, "[$-0E0000]yyyy-mm-dd")</f>
        <v/>
      </c>
      <c r="C19789" t="inlineStr">
        <is>
          <t>1954-02-02</t>
        </is>
      </c>
    </row>
    <row r="19790">
      <c r="A19790" s="1" t="n">
        <v>19789</v>
      </c>
      <c r="B19790">
        <f>TEXT(19789, "[$-0E0000]yyyy-mm-dd")</f>
        <v/>
      </c>
      <c r="C19790" t="inlineStr">
        <is>
          <t>1954-02-03</t>
        </is>
      </c>
    </row>
    <row r="19791">
      <c r="A19791" s="1" t="n">
        <v>19790</v>
      </c>
      <c r="B19791">
        <f>TEXT(19790, "[$-0E0000]yyyy-mm-dd")</f>
        <v/>
      </c>
      <c r="C19791" t="inlineStr">
        <is>
          <t>1954-02-04</t>
        </is>
      </c>
    </row>
    <row r="19792">
      <c r="A19792" s="1" t="n">
        <v>19791</v>
      </c>
      <c r="B19792">
        <f>TEXT(19791, "[$-0E0000]yyyy-mm-dd")</f>
        <v/>
      </c>
      <c r="C19792" t="inlineStr">
        <is>
          <t>1954-02-05</t>
        </is>
      </c>
    </row>
    <row r="19793">
      <c r="A19793" s="1" t="n">
        <v>19792</v>
      </c>
      <c r="B19793">
        <f>TEXT(19792, "[$-0E0000]yyyy-mm-dd")</f>
        <v/>
      </c>
      <c r="C19793" t="inlineStr">
        <is>
          <t>1954-02-06</t>
        </is>
      </c>
    </row>
    <row r="19794">
      <c r="A19794" s="1" t="n">
        <v>19793</v>
      </c>
      <c r="B19794">
        <f>TEXT(19793, "[$-0E0000]yyyy-mm-dd")</f>
        <v/>
      </c>
      <c r="C19794" t="inlineStr">
        <is>
          <t>1954-02-07</t>
        </is>
      </c>
    </row>
    <row r="19795">
      <c r="A19795" s="1" t="n">
        <v>19794</v>
      </c>
      <c r="B19795">
        <f>TEXT(19794, "[$-0E0000]yyyy-mm-dd")</f>
        <v/>
      </c>
      <c r="C19795" t="inlineStr">
        <is>
          <t>1954-02-08</t>
        </is>
      </c>
    </row>
    <row r="19796">
      <c r="A19796" s="1" t="n">
        <v>19795</v>
      </c>
      <c r="B19796">
        <f>TEXT(19795, "[$-0E0000]yyyy-mm-dd")</f>
        <v/>
      </c>
      <c r="C19796" t="inlineStr">
        <is>
          <t>1954-02-09</t>
        </is>
      </c>
    </row>
    <row r="19797">
      <c r="A19797" s="1" t="n">
        <v>19796</v>
      </c>
      <c r="B19797">
        <f>TEXT(19796, "[$-0E0000]yyyy-mm-dd")</f>
        <v/>
      </c>
      <c r="C19797" t="inlineStr">
        <is>
          <t>1954-02-10</t>
        </is>
      </c>
    </row>
    <row r="19798">
      <c r="A19798" s="1" t="n">
        <v>19797</v>
      </c>
      <c r="B19798">
        <f>TEXT(19797, "[$-0E0000]yyyy-mm-dd")</f>
        <v/>
      </c>
      <c r="C19798" t="inlineStr">
        <is>
          <t>1954-02-11</t>
        </is>
      </c>
    </row>
    <row r="19799">
      <c r="A19799" s="1" t="n">
        <v>19798</v>
      </c>
      <c r="B19799">
        <f>TEXT(19798, "[$-0E0000]yyyy-mm-dd")</f>
        <v/>
      </c>
      <c r="C19799" t="inlineStr">
        <is>
          <t>1954-02-12</t>
        </is>
      </c>
    </row>
    <row r="19800">
      <c r="A19800" s="1" t="n">
        <v>19799</v>
      </c>
      <c r="B19800">
        <f>TEXT(19799, "[$-0E0000]yyyy-mm-dd")</f>
        <v/>
      </c>
      <c r="C19800" t="inlineStr">
        <is>
          <t>1954-02-13</t>
        </is>
      </c>
    </row>
    <row r="19801">
      <c r="A19801" s="1" t="n">
        <v>19800</v>
      </c>
      <c r="B19801">
        <f>TEXT(19800, "[$-0E0000]yyyy-mm-dd")</f>
        <v/>
      </c>
      <c r="C19801" t="inlineStr">
        <is>
          <t>1954-02-14</t>
        </is>
      </c>
    </row>
    <row r="19802">
      <c r="A19802" s="1" t="n">
        <v>19801</v>
      </c>
      <c r="B19802">
        <f>TEXT(19801, "[$-0E0000]yyyy-mm-dd")</f>
        <v/>
      </c>
      <c r="C19802" t="inlineStr">
        <is>
          <t>1954-02-15</t>
        </is>
      </c>
    </row>
    <row r="19803">
      <c r="A19803" s="1" t="n">
        <v>19802</v>
      </c>
      <c r="B19803">
        <f>TEXT(19802, "[$-0E0000]yyyy-mm-dd")</f>
        <v/>
      </c>
      <c r="C19803" t="inlineStr">
        <is>
          <t>1954-02-16</t>
        </is>
      </c>
    </row>
    <row r="19804">
      <c r="A19804" s="1" t="n">
        <v>19803</v>
      </c>
      <c r="B19804">
        <f>TEXT(19803, "[$-0E0000]yyyy-mm-dd")</f>
        <v/>
      </c>
      <c r="C19804" t="inlineStr">
        <is>
          <t>1954-02-17</t>
        </is>
      </c>
    </row>
    <row r="19805">
      <c r="A19805" s="1" t="n">
        <v>19804</v>
      </c>
      <c r="B19805">
        <f>TEXT(19804, "[$-0E0000]yyyy-mm-dd")</f>
        <v/>
      </c>
      <c r="C19805" t="inlineStr">
        <is>
          <t>1954-02-18</t>
        </is>
      </c>
    </row>
    <row r="19806">
      <c r="A19806" s="1" t="n">
        <v>19805</v>
      </c>
      <c r="B19806">
        <f>TEXT(19805, "[$-0E0000]yyyy-mm-dd")</f>
        <v/>
      </c>
      <c r="C19806" t="inlineStr">
        <is>
          <t>1954-02-19</t>
        </is>
      </c>
    </row>
    <row r="19807">
      <c r="A19807" s="1" t="n">
        <v>19806</v>
      </c>
      <c r="B19807">
        <f>TEXT(19806, "[$-0E0000]yyyy-mm-dd")</f>
        <v/>
      </c>
      <c r="C19807" t="inlineStr">
        <is>
          <t>1954-02-20</t>
        </is>
      </c>
    </row>
    <row r="19808">
      <c r="A19808" s="1" t="n">
        <v>19807</v>
      </c>
      <c r="B19808">
        <f>TEXT(19807, "[$-0E0000]yyyy-mm-dd")</f>
        <v/>
      </c>
      <c r="C19808" t="inlineStr">
        <is>
          <t>1954-02-21</t>
        </is>
      </c>
    </row>
    <row r="19809">
      <c r="A19809" s="1" t="n">
        <v>19808</v>
      </c>
      <c r="B19809">
        <f>TEXT(19808, "[$-0E0000]yyyy-mm-dd")</f>
        <v/>
      </c>
      <c r="C19809" t="inlineStr">
        <is>
          <t>1954-02-22</t>
        </is>
      </c>
    </row>
    <row r="19810">
      <c r="A19810" s="1" t="n">
        <v>19809</v>
      </c>
      <c r="B19810">
        <f>TEXT(19809, "[$-0E0000]yyyy-mm-dd")</f>
        <v/>
      </c>
      <c r="C19810" t="inlineStr">
        <is>
          <t>1954-02-23</t>
        </is>
      </c>
    </row>
    <row r="19811">
      <c r="A19811" s="1" t="n">
        <v>19810</v>
      </c>
      <c r="B19811">
        <f>TEXT(19810, "[$-0E0000]yyyy-mm-dd")</f>
        <v/>
      </c>
      <c r="C19811" t="inlineStr">
        <is>
          <t>1954-02-24</t>
        </is>
      </c>
    </row>
    <row r="19812">
      <c r="A19812" s="1" t="n">
        <v>19811</v>
      </c>
      <c r="B19812">
        <f>TEXT(19811, "[$-0E0000]yyyy-mm-dd")</f>
        <v/>
      </c>
      <c r="C19812" t="inlineStr">
        <is>
          <t>1954-02-25</t>
        </is>
      </c>
    </row>
    <row r="19813">
      <c r="A19813" s="1" t="n">
        <v>19812</v>
      </c>
      <c r="B19813">
        <f>TEXT(19812, "[$-0E0000]yyyy-mm-dd")</f>
        <v/>
      </c>
      <c r="C19813" t="inlineStr">
        <is>
          <t>1954-02-26</t>
        </is>
      </c>
    </row>
    <row r="19814">
      <c r="A19814" s="1" t="n">
        <v>19813</v>
      </c>
      <c r="B19814">
        <f>TEXT(19813, "[$-0E0000]yyyy-mm-dd")</f>
        <v/>
      </c>
      <c r="C19814" t="inlineStr">
        <is>
          <t>1954-02-27</t>
        </is>
      </c>
    </row>
    <row r="19815">
      <c r="A19815" s="1" t="n">
        <v>19814</v>
      </c>
      <c r="B19815">
        <f>TEXT(19814, "[$-0E0000]yyyy-mm-dd")</f>
        <v/>
      </c>
      <c r="C19815" t="inlineStr">
        <is>
          <t>1954-02-28</t>
        </is>
      </c>
    </row>
    <row r="19816">
      <c r="A19816" s="1" t="n">
        <v>19815</v>
      </c>
      <c r="B19816">
        <f>TEXT(19815, "[$-0E0000]yyyy-mm-dd")</f>
        <v/>
      </c>
      <c r="C19816" t="inlineStr">
        <is>
          <t>1954-02-29</t>
        </is>
      </c>
    </row>
    <row r="19817">
      <c r="A19817" s="1" t="n">
        <v>19816</v>
      </c>
      <c r="B19817">
        <f>TEXT(19816, "[$-0E0000]yyyy-mm-dd")</f>
        <v/>
      </c>
      <c r="C19817" t="inlineStr">
        <is>
          <t>1954-03-01</t>
        </is>
      </c>
    </row>
    <row r="19818">
      <c r="A19818" s="1" t="n">
        <v>19817</v>
      </c>
      <c r="B19818">
        <f>TEXT(19817, "[$-0E0000]yyyy-mm-dd")</f>
        <v/>
      </c>
      <c r="C19818" t="inlineStr">
        <is>
          <t>1954-03-02</t>
        </is>
      </c>
    </row>
    <row r="19819">
      <c r="A19819" s="1" t="n">
        <v>19818</v>
      </c>
      <c r="B19819">
        <f>TEXT(19818, "[$-0E0000]yyyy-mm-dd")</f>
        <v/>
      </c>
      <c r="C19819" t="inlineStr">
        <is>
          <t>1954-03-03</t>
        </is>
      </c>
    </row>
    <row r="19820">
      <c r="A19820" s="1" t="n">
        <v>19819</v>
      </c>
      <c r="B19820">
        <f>TEXT(19819, "[$-0E0000]yyyy-mm-dd")</f>
        <v/>
      </c>
      <c r="C19820" t="inlineStr">
        <is>
          <t>1954-03-04</t>
        </is>
      </c>
    </row>
    <row r="19821">
      <c r="A19821" s="1" t="n">
        <v>19820</v>
      </c>
      <c r="B19821">
        <f>TEXT(19820, "[$-0E0000]yyyy-mm-dd")</f>
        <v/>
      </c>
      <c r="C19821" t="inlineStr">
        <is>
          <t>1954-03-05</t>
        </is>
      </c>
    </row>
    <row r="19822">
      <c r="A19822" s="1" t="n">
        <v>19821</v>
      </c>
      <c r="B19822">
        <f>TEXT(19821, "[$-0E0000]yyyy-mm-dd")</f>
        <v/>
      </c>
      <c r="C19822" t="inlineStr">
        <is>
          <t>1954-03-06</t>
        </is>
      </c>
    </row>
    <row r="19823">
      <c r="A19823" s="1" t="n">
        <v>19822</v>
      </c>
      <c r="B19823">
        <f>TEXT(19822, "[$-0E0000]yyyy-mm-dd")</f>
        <v/>
      </c>
      <c r="C19823" t="inlineStr">
        <is>
          <t>1954-03-07</t>
        </is>
      </c>
    </row>
    <row r="19824">
      <c r="A19824" s="1" t="n">
        <v>19823</v>
      </c>
      <c r="B19824">
        <f>TEXT(19823, "[$-0E0000]yyyy-mm-dd")</f>
        <v/>
      </c>
      <c r="C19824" t="inlineStr">
        <is>
          <t>1954-03-08</t>
        </is>
      </c>
    </row>
    <row r="19825">
      <c r="A19825" s="1" t="n">
        <v>19824</v>
      </c>
      <c r="B19825">
        <f>TEXT(19824, "[$-0E0000]yyyy-mm-dd")</f>
        <v/>
      </c>
      <c r="C19825" t="inlineStr">
        <is>
          <t>1954-03-09</t>
        </is>
      </c>
    </row>
    <row r="19826">
      <c r="A19826" s="1" t="n">
        <v>19825</v>
      </c>
      <c r="B19826">
        <f>TEXT(19825, "[$-0E0000]yyyy-mm-dd")</f>
        <v/>
      </c>
      <c r="C19826" t="inlineStr">
        <is>
          <t>1954-03-10</t>
        </is>
      </c>
    </row>
    <row r="19827">
      <c r="A19827" s="1" t="n">
        <v>19826</v>
      </c>
      <c r="B19827">
        <f>TEXT(19826, "[$-0E0000]yyyy-mm-dd")</f>
        <v/>
      </c>
      <c r="C19827" t="inlineStr">
        <is>
          <t>1954-03-11</t>
        </is>
      </c>
    </row>
    <row r="19828">
      <c r="A19828" s="1" t="n">
        <v>19827</v>
      </c>
      <c r="B19828">
        <f>TEXT(19827, "[$-0E0000]yyyy-mm-dd")</f>
        <v/>
      </c>
      <c r="C19828" t="inlineStr">
        <is>
          <t>1954-03-12</t>
        </is>
      </c>
    </row>
    <row r="19829">
      <c r="A19829" s="1" t="n">
        <v>19828</v>
      </c>
      <c r="B19829">
        <f>TEXT(19828, "[$-0E0000]yyyy-mm-dd")</f>
        <v/>
      </c>
      <c r="C19829" t="inlineStr">
        <is>
          <t>1954-03-13</t>
        </is>
      </c>
    </row>
    <row r="19830">
      <c r="A19830" s="1" t="n">
        <v>19829</v>
      </c>
      <c r="B19830">
        <f>TEXT(19829, "[$-0E0000]yyyy-mm-dd")</f>
        <v/>
      </c>
      <c r="C19830" t="inlineStr">
        <is>
          <t>1954-03-14</t>
        </is>
      </c>
    </row>
    <row r="19831">
      <c r="A19831" s="1" t="n">
        <v>19830</v>
      </c>
      <c r="B19831">
        <f>TEXT(19830, "[$-0E0000]yyyy-mm-dd")</f>
        <v/>
      </c>
      <c r="C19831" t="inlineStr">
        <is>
          <t>1954-03-15</t>
        </is>
      </c>
    </row>
    <row r="19832">
      <c r="A19832" s="1" t="n">
        <v>19831</v>
      </c>
      <c r="B19832">
        <f>TEXT(19831, "[$-0E0000]yyyy-mm-dd")</f>
        <v/>
      </c>
      <c r="C19832" t="inlineStr">
        <is>
          <t>1954-03-16</t>
        </is>
      </c>
    </row>
    <row r="19833">
      <c r="A19833" s="1" t="n">
        <v>19832</v>
      </c>
      <c r="B19833">
        <f>TEXT(19832, "[$-0E0000]yyyy-mm-dd")</f>
        <v/>
      </c>
      <c r="C19833" t="inlineStr">
        <is>
          <t>1954-03-17</t>
        </is>
      </c>
    </row>
    <row r="19834">
      <c r="A19834" s="1" t="n">
        <v>19833</v>
      </c>
      <c r="B19834">
        <f>TEXT(19833, "[$-0E0000]yyyy-mm-dd")</f>
        <v/>
      </c>
      <c r="C19834" t="inlineStr">
        <is>
          <t>1954-03-18</t>
        </is>
      </c>
    </row>
    <row r="19835">
      <c r="A19835" s="1" t="n">
        <v>19834</v>
      </c>
      <c r="B19835">
        <f>TEXT(19834, "[$-0E0000]yyyy-mm-dd")</f>
        <v/>
      </c>
      <c r="C19835" t="inlineStr">
        <is>
          <t>1954-03-19</t>
        </is>
      </c>
    </row>
    <row r="19836">
      <c r="A19836" s="1" t="n">
        <v>19835</v>
      </c>
      <c r="B19836">
        <f>TEXT(19835, "[$-0E0000]yyyy-mm-dd")</f>
        <v/>
      </c>
      <c r="C19836" t="inlineStr">
        <is>
          <t>1954-03-20</t>
        </is>
      </c>
    </row>
    <row r="19837">
      <c r="A19837" s="1" t="n">
        <v>19836</v>
      </c>
      <c r="B19837">
        <f>TEXT(19836, "[$-0E0000]yyyy-mm-dd")</f>
        <v/>
      </c>
      <c r="C19837" t="inlineStr">
        <is>
          <t>1954-03-21</t>
        </is>
      </c>
    </row>
    <row r="19838">
      <c r="A19838" s="1" t="n">
        <v>19837</v>
      </c>
      <c r="B19838">
        <f>TEXT(19837, "[$-0E0000]yyyy-mm-dd")</f>
        <v/>
      </c>
      <c r="C19838" t="inlineStr">
        <is>
          <t>1954-03-22</t>
        </is>
      </c>
    </row>
    <row r="19839">
      <c r="A19839" s="1" t="n">
        <v>19838</v>
      </c>
      <c r="B19839">
        <f>TEXT(19838, "[$-0E0000]yyyy-mm-dd")</f>
        <v/>
      </c>
      <c r="C19839" t="inlineStr">
        <is>
          <t>1954-03-23</t>
        </is>
      </c>
    </row>
    <row r="19840">
      <c r="A19840" s="1" t="n">
        <v>19839</v>
      </c>
      <c r="B19840">
        <f>TEXT(19839, "[$-0E0000]yyyy-mm-dd")</f>
        <v/>
      </c>
      <c r="C19840" t="inlineStr">
        <is>
          <t>1954-03-24</t>
        </is>
      </c>
    </row>
    <row r="19841">
      <c r="A19841" s="1" t="n">
        <v>19840</v>
      </c>
      <c r="B19841">
        <f>TEXT(19840, "[$-0E0000]yyyy-mm-dd")</f>
        <v/>
      </c>
      <c r="C19841" t="inlineStr">
        <is>
          <t>1954-03-25</t>
        </is>
      </c>
    </row>
    <row r="19842">
      <c r="A19842" s="1" t="n">
        <v>19841</v>
      </c>
      <c r="B19842">
        <f>TEXT(19841, "[$-0E0000]yyyy-mm-dd")</f>
        <v/>
      </c>
      <c r="C19842" t="inlineStr">
        <is>
          <t>1954-03-26</t>
        </is>
      </c>
    </row>
    <row r="19843">
      <c r="A19843" s="1" t="n">
        <v>19842</v>
      </c>
      <c r="B19843">
        <f>TEXT(19842, "[$-0E0000]yyyy-mm-dd")</f>
        <v/>
      </c>
      <c r="C19843" t="inlineStr">
        <is>
          <t>1954-03-27</t>
        </is>
      </c>
    </row>
    <row r="19844">
      <c r="A19844" s="1" t="n">
        <v>19843</v>
      </c>
      <c r="B19844">
        <f>TEXT(19843, "[$-0E0000]yyyy-mm-dd")</f>
        <v/>
      </c>
      <c r="C19844" t="inlineStr">
        <is>
          <t>1954-03-28</t>
        </is>
      </c>
    </row>
    <row r="19845">
      <c r="A19845" s="1" t="n">
        <v>19844</v>
      </c>
      <c r="B19845">
        <f>TEXT(19844, "[$-0E0000]yyyy-mm-dd")</f>
        <v/>
      </c>
      <c r="C19845" t="inlineStr">
        <is>
          <t>1954-03-29</t>
        </is>
      </c>
    </row>
    <row r="19846">
      <c r="A19846" s="1" t="n">
        <v>19845</v>
      </c>
      <c r="B19846">
        <f>TEXT(19845, "[$-0E0000]yyyy-mm-dd")</f>
        <v/>
      </c>
      <c r="C19846" t="inlineStr">
        <is>
          <t>1954-03-30</t>
        </is>
      </c>
    </row>
    <row r="19847">
      <c r="A19847" s="1" t="n">
        <v>19846</v>
      </c>
      <c r="B19847">
        <f>TEXT(19846, "[$-0E0000]yyyy-mm-dd")</f>
        <v/>
      </c>
      <c r="C19847" t="inlineStr">
        <is>
          <t>1954-04-01</t>
        </is>
      </c>
    </row>
    <row r="19848">
      <c r="A19848" s="1" t="n">
        <v>19847</v>
      </c>
      <c r="B19848">
        <f>TEXT(19847, "[$-0E0000]yyyy-mm-dd")</f>
        <v/>
      </c>
      <c r="C19848" t="inlineStr">
        <is>
          <t>1954-04-02</t>
        </is>
      </c>
    </row>
    <row r="19849">
      <c r="A19849" s="1" t="n">
        <v>19848</v>
      </c>
      <c r="B19849">
        <f>TEXT(19848, "[$-0E0000]yyyy-mm-dd")</f>
        <v/>
      </c>
      <c r="C19849" t="inlineStr">
        <is>
          <t>1954-04-03</t>
        </is>
      </c>
    </row>
    <row r="19850">
      <c r="A19850" s="1" t="n">
        <v>19849</v>
      </c>
      <c r="B19850">
        <f>TEXT(19849, "[$-0E0000]yyyy-mm-dd")</f>
        <v/>
      </c>
      <c r="C19850" t="inlineStr">
        <is>
          <t>1954-04-04</t>
        </is>
      </c>
    </row>
    <row r="19851">
      <c r="A19851" s="1" t="n">
        <v>19850</v>
      </c>
      <c r="B19851">
        <f>TEXT(19850, "[$-0E0000]yyyy-mm-dd")</f>
        <v/>
      </c>
      <c r="C19851" t="inlineStr">
        <is>
          <t>1954-04-05</t>
        </is>
      </c>
    </row>
    <row r="19852">
      <c r="A19852" s="1" t="n">
        <v>19851</v>
      </c>
      <c r="B19852">
        <f>TEXT(19851, "[$-0E0000]yyyy-mm-dd")</f>
        <v/>
      </c>
      <c r="C19852" t="inlineStr">
        <is>
          <t>1954-04-06</t>
        </is>
      </c>
    </row>
    <row r="19853">
      <c r="A19853" s="1" t="n">
        <v>19852</v>
      </c>
      <c r="B19853">
        <f>TEXT(19852, "[$-0E0000]yyyy-mm-dd")</f>
        <v/>
      </c>
      <c r="C19853" t="inlineStr">
        <is>
          <t>1954-04-07</t>
        </is>
      </c>
    </row>
    <row r="19854">
      <c r="A19854" s="1" t="n">
        <v>19853</v>
      </c>
      <c r="B19854">
        <f>TEXT(19853, "[$-0E0000]yyyy-mm-dd")</f>
        <v/>
      </c>
      <c r="C19854" t="inlineStr">
        <is>
          <t>1954-04-08</t>
        </is>
      </c>
    </row>
    <row r="19855">
      <c r="A19855" s="1" t="n">
        <v>19854</v>
      </c>
      <c r="B19855">
        <f>TEXT(19854, "[$-0E0000]yyyy-mm-dd")</f>
        <v/>
      </c>
      <c r="C19855" t="inlineStr">
        <is>
          <t>1954-04-09</t>
        </is>
      </c>
    </row>
    <row r="19856">
      <c r="A19856" s="1" t="n">
        <v>19855</v>
      </c>
      <c r="B19856">
        <f>TEXT(19855, "[$-0E0000]yyyy-mm-dd")</f>
        <v/>
      </c>
      <c r="C19856" t="inlineStr">
        <is>
          <t>1954-04-10</t>
        </is>
      </c>
    </row>
    <row r="19857">
      <c r="A19857" s="1" t="n">
        <v>19856</v>
      </c>
      <c r="B19857">
        <f>TEXT(19856, "[$-0E0000]yyyy-mm-dd")</f>
        <v/>
      </c>
      <c r="C19857" t="inlineStr">
        <is>
          <t>1954-04-11</t>
        </is>
      </c>
    </row>
    <row r="19858">
      <c r="A19858" s="1" t="n">
        <v>19857</v>
      </c>
      <c r="B19858">
        <f>TEXT(19857, "[$-0E0000]yyyy-mm-dd")</f>
        <v/>
      </c>
      <c r="C19858" t="inlineStr">
        <is>
          <t>1954-04-12</t>
        </is>
      </c>
    </row>
    <row r="19859">
      <c r="A19859" s="1" t="n">
        <v>19858</v>
      </c>
      <c r="B19859">
        <f>TEXT(19858, "[$-0E0000]yyyy-mm-dd")</f>
        <v/>
      </c>
      <c r="C19859" t="inlineStr">
        <is>
          <t>1954-04-13</t>
        </is>
      </c>
    </row>
    <row r="19860">
      <c r="A19860" s="1" t="n">
        <v>19859</v>
      </c>
      <c r="B19860">
        <f>TEXT(19859, "[$-0E0000]yyyy-mm-dd")</f>
        <v/>
      </c>
      <c r="C19860" t="inlineStr">
        <is>
          <t>1954-04-14</t>
        </is>
      </c>
    </row>
    <row r="19861">
      <c r="A19861" s="1" t="n">
        <v>19860</v>
      </c>
      <c r="B19861">
        <f>TEXT(19860, "[$-0E0000]yyyy-mm-dd")</f>
        <v/>
      </c>
      <c r="C19861" t="inlineStr">
        <is>
          <t>1954-04-15</t>
        </is>
      </c>
    </row>
    <row r="19862">
      <c r="A19862" s="1" t="n">
        <v>19861</v>
      </c>
      <c r="B19862">
        <f>TEXT(19861, "[$-0E0000]yyyy-mm-dd")</f>
        <v/>
      </c>
      <c r="C19862" t="inlineStr">
        <is>
          <t>1954-04-16</t>
        </is>
      </c>
    </row>
    <row r="19863">
      <c r="A19863" s="1" t="n">
        <v>19862</v>
      </c>
      <c r="B19863">
        <f>TEXT(19862, "[$-0E0000]yyyy-mm-dd")</f>
        <v/>
      </c>
      <c r="C19863" t="inlineStr">
        <is>
          <t>1954-04-17</t>
        </is>
      </c>
    </row>
    <row r="19864">
      <c r="A19864" s="1" t="n">
        <v>19863</v>
      </c>
      <c r="B19864">
        <f>TEXT(19863, "[$-0E0000]yyyy-mm-dd")</f>
        <v/>
      </c>
      <c r="C19864" t="inlineStr">
        <is>
          <t>1954-04-18</t>
        </is>
      </c>
    </row>
    <row r="19865">
      <c r="A19865" s="1" t="n">
        <v>19864</v>
      </c>
      <c r="B19865">
        <f>TEXT(19864, "[$-0E0000]yyyy-mm-dd")</f>
        <v/>
      </c>
      <c r="C19865" t="inlineStr">
        <is>
          <t>1954-04-19</t>
        </is>
      </c>
    </row>
    <row r="19866">
      <c r="A19866" s="1" t="n">
        <v>19865</v>
      </c>
      <c r="B19866">
        <f>TEXT(19865, "[$-0E0000]yyyy-mm-dd")</f>
        <v/>
      </c>
      <c r="C19866" t="inlineStr">
        <is>
          <t>1954-04-20</t>
        </is>
      </c>
    </row>
    <row r="19867">
      <c r="A19867" s="1" t="n">
        <v>19866</v>
      </c>
      <c r="B19867">
        <f>TEXT(19866, "[$-0E0000]yyyy-mm-dd")</f>
        <v/>
      </c>
      <c r="C19867" t="inlineStr">
        <is>
          <t>1954-04-21</t>
        </is>
      </c>
    </row>
    <row r="19868">
      <c r="A19868" s="1" t="n">
        <v>19867</v>
      </c>
      <c r="B19868">
        <f>TEXT(19867, "[$-0E0000]yyyy-mm-dd")</f>
        <v/>
      </c>
      <c r="C19868" t="inlineStr">
        <is>
          <t>1954-04-22</t>
        </is>
      </c>
    </row>
    <row r="19869">
      <c r="A19869" s="1" t="n">
        <v>19868</v>
      </c>
      <c r="B19869">
        <f>TEXT(19868, "[$-0E0000]yyyy-mm-dd")</f>
        <v/>
      </c>
      <c r="C19869" t="inlineStr">
        <is>
          <t>1954-04-23</t>
        </is>
      </c>
    </row>
    <row r="19870">
      <c r="A19870" s="1" t="n">
        <v>19869</v>
      </c>
      <c r="B19870">
        <f>TEXT(19869, "[$-0E0000]yyyy-mm-dd")</f>
        <v/>
      </c>
      <c r="C19870" t="inlineStr">
        <is>
          <t>1954-04-24</t>
        </is>
      </c>
    </row>
    <row r="19871">
      <c r="A19871" s="1" t="n">
        <v>19870</v>
      </c>
      <c r="B19871">
        <f>TEXT(19870, "[$-0E0000]yyyy-mm-dd")</f>
        <v/>
      </c>
      <c r="C19871" t="inlineStr">
        <is>
          <t>1954-04-25</t>
        </is>
      </c>
    </row>
    <row r="19872">
      <c r="A19872" s="1" t="n">
        <v>19871</v>
      </c>
      <c r="B19872">
        <f>TEXT(19871, "[$-0E0000]yyyy-mm-dd")</f>
        <v/>
      </c>
      <c r="C19872" t="inlineStr">
        <is>
          <t>1954-04-26</t>
        </is>
      </c>
    </row>
    <row r="19873">
      <c r="A19873" s="1" t="n">
        <v>19872</v>
      </c>
      <c r="B19873">
        <f>TEXT(19872, "[$-0E0000]yyyy-mm-dd")</f>
        <v/>
      </c>
      <c r="C19873" t="inlineStr">
        <is>
          <t>1954-04-27</t>
        </is>
      </c>
    </row>
    <row r="19874">
      <c r="A19874" s="1" t="n">
        <v>19873</v>
      </c>
      <c r="B19874">
        <f>TEXT(19873, "[$-0E0000]yyyy-mm-dd")</f>
        <v/>
      </c>
      <c r="C19874" t="inlineStr">
        <is>
          <t>1954-04-28</t>
        </is>
      </c>
    </row>
    <row r="19875">
      <c r="A19875" s="1" t="n">
        <v>19874</v>
      </c>
      <c r="B19875">
        <f>TEXT(19874, "[$-0E0000]yyyy-mm-dd")</f>
        <v/>
      </c>
      <c r="C19875" t="inlineStr">
        <is>
          <t>1954-04-29</t>
        </is>
      </c>
    </row>
    <row r="19876">
      <c r="A19876" s="1" t="n">
        <v>19875</v>
      </c>
      <c r="B19876">
        <f>TEXT(19875, "[$-0E0000]yyyy-mm-dd")</f>
        <v/>
      </c>
      <c r="C19876" t="inlineStr">
        <is>
          <t>1954-05-01</t>
        </is>
      </c>
    </row>
    <row r="19877">
      <c r="A19877" s="1" t="n">
        <v>19876</v>
      </c>
      <c r="B19877">
        <f>TEXT(19876, "[$-0E0000]yyyy-mm-dd")</f>
        <v/>
      </c>
      <c r="C19877" t="inlineStr">
        <is>
          <t>1954-05-02</t>
        </is>
      </c>
    </row>
    <row r="19878">
      <c r="A19878" s="1" t="n">
        <v>19877</v>
      </c>
      <c r="B19878">
        <f>TEXT(19877, "[$-0E0000]yyyy-mm-dd")</f>
        <v/>
      </c>
      <c r="C19878" t="inlineStr">
        <is>
          <t>1954-05-03</t>
        </is>
      </c>
    </row>
    <row r="19879">
      <c r="A19879" s="1" t="n">
        <v>19878</v>
      </c>
      <c r="B19879">
        <f>TEXT(19878, "[$-0E0000]yyyy-mm-dd")</f>
        <v/>
      </c>
      <c r="C19879" t="inlineStr">
        <is>
          <t>1954-05-04</t>
        </is>
      </c>
    </row>
    <row r="19880">
      <c r="A19880" s="1" t="n">
        <v>19879</v>
      </c>
      <c r="B19880">
        <f>TEXT(19879, "[$-0E0000]yyyy-mm-dd")</f>
        <v/>
      </c>
      <c r="C19880" t="inlineStr">
        <is>
          <t>1954-05-05</t>
        </is>
      </c>
    </row>
    <row r="19881">
      <c r="A19881" s="1" t="n">
        <v>19880</v>
      </c>
      <c r="B19881">
        <f>TEXT(19880, "[$-0E0000]yyyy-mm-dd")</f>
        <v/>
      </c>
      <c r="C19881" t="inlineStr">
        <is>
          <t>1954-05-06</t>
        </is>
      </c>
    </row>
    <row r="19882">
      <c r="A19882" s="1" t="n">
        <v>19881</v>
      </c>
      <c r="B19882">
        <f>TEXT(19881, "[$-0E0000]yyyy-mm-dd")</f>
        <v/>
      </c>
      <c r="C19882" t="inlineStr">
        <is>
          <t>1954-05-07</t>
        </is>
      </c>
    </row>
    <row r="19883">
      <c r="A19883" s="1" t="n">
        <v>19882</v>
      </c>
      <c r="B19883">
        <f>TEXT(19882, "[$-0E0000]yyyy-mm-dd")</f>
        <v/>
      </c>
      <c r="C19883" t="inlineStr">
        <is>
          <t>1954-05-08</t>
        </is>
      </c>
    </row>
    <row r="19884">
      <c r="A19884" s="1" t="n">
        <v>19883</v>
      </c>
      <c r="B19884">
        <f>TEXT(19883, "[$-0E0000]yyyy-mm-dd")</f>
        <v/>
      </c>
      <c r="C19884" t="inlineStr">
        <is>
          <t>1954-05-09</t>
        </is>
      </c>
    </row>
    <row r="19885">
      <c r="A19885" s="1" t="n">
        <v>19884</v>
      </c>
      <c r="B19885">
        <f>TEXT(19884, "[$-0E0000]yyyy-mm-dd")</f>
        <v/>
      </c>
      <c r="C19885" t="inlineStr">
        <is>
          <t>1954-05-10</t>
        </is>
      </c>
    </row>
    <row r="19886">
      <c r="A19886" s="1" t="n">
        <v>19885</v>
      </c>
      <c r="B19886">
        <f>TEXT(19885, "[$-0E0000]yyyy-mm-dd")</f>
        <v/>
      </c>
      <c r="C19886" t="inlineStr">
        <is>
          <t>1954-05-11</t>
        </is>
      </c>
    </row>
    <row r="19887">
      <c r="A19887" s="1" t="n">
        <v>19886</v>
      </c>
      <c r="B19887">
        <f>TEXT(19886, "[$-0E0000]yyyy-mm-dd")</f>
        <v/>
      </c>
      <c r="C19887" t="inlineStr">
        <is>
          <t>1954-05-12</t>
        </is>
      </c>
    </row>
    <row r="19888">
      <c r="A19888" s="1" t="n">
        <v>19887</v>
      </c>
      <c r="B19888">
        <f>TEXT(19887, "[$-0E0000]yyyy-mm-dd")</f>
        <v/>
      </c>
      <c r="C19888" t="inlineStr">
        <is>
          <t>1954-05-13</t>
        </is>
      </c>
    </row>
    <row r="19889">
      <c r="A19889" s="1" t="n">
        <v>19888</v>
      </c>
      <c r="B19889">
        <f>TEXT(19888, "[$-0E0000]yyyy-mm-dd")</f>
        <v/>
      </c>
      <c r="C19889" t="inlineStr">
        <is>
          <t>1954-05-14</t>
        </is>
      </c>
    </row>
    <row r="19890">
      <c r="A19890" s="1" t="n">
        <v>19889</v>
      </c>
      <c r="B19890">
        <f>TEXT(19889, "[$-0E0000]yyyy-mm-dd")</f>
        <v/>
      </c>
      <c r="C19890" t="inlineStr">
        <is>
          <t>1954-05-15</t>
        </is>
      </c>
    </row>
    <row r="19891">
      <c r="A19891" s="1" t="n">
        <v>19890</v>
      </c>
      <c r="B19891">
        <f>TEXT(19890, "[$-0E0000]yyyy-mm-dd")</f>
        <v/>
      </c>
      <c r="C19891" t="inlineStr">
        <is>
          <t>1954-05-16</t>
        </is>
      </c>
    </row>
    <row r="19892">
      <c r="A19892" s="1" t="n">
        <v>19891</v>
      </c>
      <c r="B19892">
        <f>TEXT(19891, "[$-0E0000]yyyy-mm-dd")</f>
        <v/>
      </c>
      <c r="C19892" t="inlineStr">
        <is>
          <t>1954-05-17</t>
        </is>
      </c>
    </row>
    <row r="19893">
      <c r="A19893" s="1" t="n">
        <v>19892</v>
      </c>
      <c r="B19893">
        <f>TEXT(19892, "[$-0E0000]yyyy-mm-dd")</f>
        <v/>
      </c>
      <c r="C19893" t="inlineStr">
        <is>
          <t>1954-05-18</t>
        </is>
      </c>
    </row>
    <row r="19894">
      <c r="A19894" s="1" t="n">
        <v>19893</v>
      </c>
      <c r="B19894">
        <f>TEXT(19893, "[$-0E0000]yyyy-mm-dd")</f>
        <v/>
      </c>
      <c r="C19894" t="inlineStr">
        <is>
          <t>1954-05-19</t>
        </is>
      </c>
    </row>
    <row r="19895">
      <c r="A19895" s="1" t="n">
        <v>19894</v>
      </c>
      <c r="B19895">
        <f>TEXT(19894, "[$-0E0000]yyyy-mm-dd")</f>
        <v/>
      </c>
      <c r="C19895" t="inlineStr">
        <is>
          <t>1954-05-20</t>
        </is>
      </c>
    </row>
    <row r="19896">
      <c r="A19896" s="1" t="n">
        <v>19895</v>
      </c>
      <c r="B19896">
        <f>TEXT(19895, "[$-0E0000]yyyy-mm-dd")</f>
        <v/>
      </c>
      <c r="C19896" t="inlineStr">
        <is>
          <t>1954-05-21</t>
        </is>
      </c>
    </row>
    <row r="19897">
      <c r="A19897" s="1" t="n">
        <v>19896</v>
      </c>
      <c r="B19897">
        <f>TEXT(19896, "[$-0E0000]yyyy-mm-dd")</f>
        <v/>
      </c>
      <c r="C19897" t="inlineStr">
        <is>
          <t>1954-05-22</t>
        </is>
      </c>
    </row>
    <row r="19898">
      <c r="A19898" s="1" t="n">
        <v>19897</v>
      </c>
      <c r="B19898">
        <f>TEXT(19897, "[$-0E0000]yyyy-mm-dd")</f>
        <v/>
      </c>
      <c r="C19898" t="inlineStr">
        <is>
          <t>1954-05-23</t>
        </is>
      </c>
    </row>
    <row r="19899">
      <c r="A19899" s="1" t="n">
        <v>19898</v>
      </c>
      <c r="B19899">
        <f>TEXT(19898, "[$-0E0000]yyyy-mm-dd")</f>
        <v/>
      </c>
      <c r="C19899" t="inlineStr">
        <is>
          <t>1954-05-24</t>
        </is>
      </c>
    </row>
    <row r="19900">
      <c r="A19900" s="1" t="n">
        <v>19899</v>
      </c>
      <c r="B19900">
        <f>TEXT(19899, "[$-0E0000]yyyy-mm-dd")</f>
        <v/>
      </c>
      <c r="C19900" t="inlineStr">
        <is>
          <t>1954-05-25</t>
        </is>
      </c>
    </row>
    <row r="19901">
      <c r="A19901" s="1" t="n">
        <v>19900</v>
      </c>
      <c r="B19901">
        <f>TEXT(19900, "[$-0E0000]yyyy-mm-dd")</f>
        <v/>
      </c>
      <c r="C19901" t="inlineStr">
        <is>
          <t>1954-05-26</t>
        </is>
      </c>
    </row>
    <row r="19902">
      <c r="A19902" s="1" t="n">
        <v>19901</v>
      </c>
      <c r="B19902">
        <f>TEXT(19901, "[$-0E0000]yyyy-mm-dd")</f>
        <v/>
      </c>
      <c r="C19902" t="inlineStr">
        <is>
          <t>1954-05-27</t>
        </is>
      </c>
    </row>
    <row r="19903">
      <c r="A19903" s="1" t="n">
        <v>19902</v>
      </c>
      <c r="B19903">
        <f>TEXT(19902, "[$-0E0000]yyyy-mm-dd")</f>
        <v/>
      </c>
      <c r="C19903" t="inlineStr">
        <is>
          <t>1954-05-28</t>
        </is>
      </c>
    </row>
    <row r="19904">
      <c r="A19904" s="1" t="n">
        <v>19903</v>
      </c>
      <c r="B19904">
        <f>TEXT(19903, "[$-0E0000]yyyy-mm-dd")</f>
        <v/>
      </c>
      <c r="C19904" t="inlineStr">
        <is>
          <t>1954-05-29</t>
        </is>
      </c>
    </row>
    <row r="19905">
      <c r="A19905" s="1" t="n">
        <v>19904</v>
      </c>
      <c r="B19905">
        <f>TEXT(19904, "[$-0E0000]yyyy-mm-dd")</f>
        <v/>
      </c>
      <c r="C19905" t="inlineStr">
        <is>
          <t>1954-06-01</t>
        </is>
      </c>
    </row>
    <row r="19906">
      <c r="A19906" s="1" t="n">
        <v>19905</v>
      </c>
      <c r="B19906">
        <f>TEXT(19905, "[$-0E0000]yyyy-mm-dd")</f>
        <v/>
      </c>
      <c r="C19906" t="inlineStr">
        <is>
          <t>1954-06-02</t>
        </is>
      </c>
    </row>
    <row r="19907">
      <c r="A19907" s="1" t="n">
        <v>19906</v>
      </c>
      <c r="B19907">
        <f>TEXT(19906, "[$-0E0000]yyyy-mm-dd")</f>
        <v/>
      </c>
      <c r="C19907" t="inlineStr">
        <is>
          <t>1954-06-03</t>
        </is>
      </c>
    </row>
    <row r="19908">
      <c r="A19908" s="1" t="n">
        <v>19907</v>
      </c>
      <c r="B19908">
        <f>TEXT(19907, "[$-0E0000]yyyy-mm-dd")</f>
        <v/>
      </c>
      <c r="C19908" t="inlineStr">
        <is>
          <t>1954-06-04</t>
        </is>
      </c>
    </row>
    <row r="19909">
      <c r="A19909" s="1" t="n">
        <v>19908</v>
      </c>
      <c r="B19909">
        <f>TEXT(19908, "[$-0E0000]yyyy-mm-dd")</f>
        <v/>
      </c>
      <c r="C19909" t="inlineStr">
        <is>
          <t>1954-06-05</t>
        </is>
      </c>
    </row>
    <row r="19910">
      <c r="A19910" s="1" t="n">
        <v>19909</v>
      </c>
      <c r="B19910">
        <f>TEXT(19909, "[$-0E0000]yyyy-mm-dd")</f>
        <v/>
      </c>
      <c r="C19910" t="inlineStr">
        <is>
          <t>1954-06-06</t>
        </is>
      </c>
    </row>
    <row r="19911">
      <c r="A19911" s="1" t="n">
        <v>19910</v>
      </c>
      <c r="B19911">
        <f>TEXT(19910, "[$-0E0000]yyyy-mm-dd")</f>
        <v/>
      </c>
      <c r="C19911" t="inlineStr">
        <is>
          <t>1954-06-07</t>
        </is>
      </c>
    </row>
    <row r="19912">
      <c r="A19912" s="1" t="n">
        <v>19911</v>
      </c>
      <c r="B19912">
        <f>TEXT(19911, "[$-0E0000]yyyy-mm-dd")</f>
        <v/>
      </c>
      <c r="C19912" t="inlineStr">
        <is>
          <t>1954-06-08</t>
        </is>
      </c>
    </row>
    <row r="19913">
      <c r="A19913" s="1" t="n">
        <v>19912</v>
      </c>
      <c r="B19913">
        <f>TEXT(19912, "[$-0E0000]yyyy-mm-dd")</f>
        <v/>
      </c>
      <c r="C19913" t="inlineStr">
        <is>
          <t>1954-06-09</t>
        </is>
      </c>
    </row>
    <row r="19914">
      <c r="A19914" s="1" t="n">
        <v>19913</v>
      </c>
      <c r="B19914">
        <f>TEXT(19913, "[$-0E0000]yyyy-mm-dd")</f>
        <v/>
      </c>
      <c r="C19914" t="inlineStr">
        <is>
          <t>1954-06-10</t>
        </is>
      </c>
    </row>
    <row r="19915">
      <c r="A19915" s="1" t="n">
        <v>19914</v>
      </c>
      <c r="B19915">
        <f>TEXT(19914, "[$-0E0000]yyyy-mm-dd")</f>
        <v/>
      </c>
      <c r="C19915" t="inlineStr">
        <is>
          <t>1954-06-11</t>
        </is>
      </c>
    </row>
    <row r="19916">
      <c r="A19916" s="1" t="n">
        <v>19915</v>
      </c>
      <c r="B19916">
        <f>TEXT(19915, "[$-0E0000]yyyy-mm-dd")</f>
        <v/>
      </c>
      <c r="C19916" t="inlineStr">
        <is>
          <t>1954-06-12</t>
        </is>
      </c>
    </row>
    <row r="19917">
      <c r="A19917" s="1" t="n">
        <v>19916</v>
      </c>
      <c r="B19917">
        <f>TEXT(19916, "[$-0E0000]yyyy-mm-dd")</f>
        <v/>
      </c>
      <c r="C19917" t="inlineStr">
        <is>
          <t>1954-06-13</t>
        </is>
      </c>
    </row>
    <row r="19918">
      <c r="A19918" s="1" t="n">
        <v>19917</v>
      </c>
      <c r="B19918">
        <f>TEXT(19917, "[$-0E0000]yyyy-mm-dd")</f>
        <v/>
      </c>
      <c r="C19918" t="inlineStr">
        <is>
          <t>1954-06-14</t>
        </is>
      </c>
    </row>
    <row r="19919">
      <c r="A19919" s="1" t="n">
        <v>19918</v>
      </c>
      <c r="B19919">
        <f>TEXT(19918, "[$-0E0000]yyyy-mm-dd")</f>
        <v/>
      </c>
      <c r="C19919" t="inlineStr">
        <is>
          <t>1954-06-15</t>
        </is>
      </c>
    </row>
    <row r="19920">
      <c r="A19920" s="1" t="n">
        <v>19919</v>
      </c>
      <c r="B19920">
        <f>TEXT(19919, "[$-0E0000]yyyy-mm-dd")</f>
        <v/>
      </c>
      <c r="C19920" t="inlineStr">
        <is>
          <t>1954-06-16</t>
        </is>
      </c>
    </row>
    <row r="19921">
      <c r="A19921" s="1" t="n">
        <v>19920</v>
      </c>
      <c r="B19921">
        <f>TEXT(19920, "[$-0E0000]yyyy-mm-dd")</f>
        <v/>
      </c>
      <c r="C19921" t="inlineStr">
        <is>
          <t>1954-06-17</t>
        </is>
      </c>
    </row>
    <row r="19922">
      <c r="A19922" s="1" t="n">
        <v>19921</v>
      </c>
      <c r="B19922">
        <f>TEXT(19921, "[$-0E0000]yyyy-mm-dd")</f>
        <v/>
      </c>
      <c r="C19922" t="inlineStr">
        <is>
          <t>1954-06-18</t>
        </is>
      </c>
    </row>
    <row r="19923">
      <c r="A19923" s="1" t="n">
        <v>19922</v>
      </c>
      <c r="B19923">
        <f>TEXT(19922, "[$-0E0000]yyyy-mm-dd")</f>
        <v/>
      </c>
      <c r="C19923" t="inlineStr">
        <is>
          <t>1954-06-19</t>
        </is>
      </c>
    </row>
    <row r="19924">
      <c r="A19924" s="1" t="n">
        <v>19923</v>
      </c>
      <c r="B19924">
        <f>TEXT(19923, "[$-0E0000]yyyy-mm-dd")</f>
        <v/>
      </c>
      <c r="C19924" t="inlineStr">
        <is>
          <t>1954-06-20</t>
        </is>
      </c>
    </row>
    <row r="19925">
      <c r="A19925" s="1" t="n">
        <v>19924</v>
      </c>
      <c r="B19925">
        <f>TEXT(19924, "[$-0E0000]yyyy-mm-dd")</f>
        <v/>
      </c>
      <c r="C19925" t="inlineStr">
        <is>
          <t>1954-06-21</t>
        </is>
      </c>
    </row>
    <row r="19926">
      <c r="A19926" s="1" t="n">
        <v>19925</v>
      </c>
      <c r="B19926">
        <f>TEXT(19925, "[$-0E0000]yyyy-mm-dd")</f>
        <v/>
      </c>
      <c r="C19926" t="inlineStr">
        <is>
          <t>1954-06-22</t>
        </is>
      </c>
    </row>
    <row r="19927">
      <c r="A19927" s="1" t="n">
        <v>19926</v>
      </c>
      <c r="B19927">
        <f>TEXT(19926, "[$-0E0000]yyyy-mm-dd")</f>
        <v/>
      </c>
      <c r="C19927" t="inlineStr">
        <is>
          <t>1954-06-23</t>
        </is>
      </c>
    </row>
    <row r="19928">
      <c r="A19928" s="1" t="n">
        <v>19927</v>
      </c>
      <c r="B19928">
        <f>TEXT(19927, "[$-0E0000]yyyy-mm-dd")</f>
        <v/>
      </c>
      <c r="C19928" t="inlineStr">
        <is>
          <t>1954-06-24</t>
        </is>
      </c>
    </row>
    <row r="19929">
      <c r="A19929" s="1" t="n">
        <v>19928</v>
      </c>
      <c r="B19929">
        <f>TEXT(19928, "[$-0E0000]yyyy-mm-dd")</f>
        <v/>
      </c>
      <c r="C19929" t="inlineStr">
        <is>
          <t>1954-06-25</t>
        </is>
      </c>
    </row>
    <row r="19930">
      <c r="A19930" s="1" t="n">
        <v>19929</v>
      </c>
      <c r="B19930">
        <f>TEXT(19929, "[$-0E0000]yyyy-mm-dd")</f>
        <v/>
      </c>
      <c r="C19930" t="inlineStr">
        <is>
          <t>1954-06-26</t>
        </is>
      </c>
    </row>
    <row r="19931">
      <c r="A19931" s="1" t="n">
        <v>19930</v>
      </c>
      <c r="B19931">
        <f>TEXT(19930, "[$-0E0000]yyyy-mm-dd")</f>
        <v/>
      </c>
      <c r="C19931" t="inlineStr">
        <is>
          <t>1954-06-27</t>
        </is>
      </c>
    </row>
    <row r="19932">
      <c r="A19932" s="1" t="n">
        <v>19931</v>
      </c>
      <c r="B19932">
        <f>TEXT(19931, "[$-0E0000]yyyy-mm-dd")</f>
        <v/>
      </c>
      <c r="C19932" t="inlineStr">
        <is>
          <t>1954-06-28</t>
        </is>
      </c>
    </row>
    <row r="19933">
      <c r="A19933" s="1" t="n">
        <v>19932</v>
      </c>
      <c r="B19933">
        <f>TEXT(19932, "[$-0E0000]yyyy-mm-dd")</f>
        <v/>
      </c>
      <c r="C19933" t="inlineStr">
        <is>
          <t>1954-06-29</t>
        </is>
      </c>
    </row>
    <row r="19934">
      <c r="A19934" s="1" t="n">
        <v>19933</v>
      </c>
      <c r="B19934">
        <f>TEXT(19933, "[$-0E0000]yyyy-mm-dd")</f>
        <v/>
      </c>
      <c r="C19934" t="inlineStr">
        <is>
          <t>1954-06-30</t>
        </is>
      </c>
    </row>
    <row r="19935">
      <c r="A19935" s="1" t="n">
        <v>19934</v>
      </c>
      <c r="B19935">
        <f>TEXT(19934, "[$-0E0000]yyyy-mm-dd")</f>
        <v/>
      </c>
      <c r="C19935" t="inlineStr">
        <is>
          <t>1954-07-01</t>
        </is>
      </c>
    </row>
    <row r="19936">
      <c r="A19936" s="1" t="n">
        <v>19935</v>
      </c>
      <c r="B19936">
        <f>TEXT(19935, "[$-0E0000]yyyy-mm-dd")</f>
        <v/>
      </c>
      <c r="C19936" t="inlineStr">
        <is>
          <t>1954-07-02</t>
        </is>
      </c>
    </row>
    <row r="19937">
      <c r="A19937" s="1" t="n">
        <v>19936</v>
      </c>
      <c r="B19937">
        <f>TEXT(19936, "[$-0E0000]yyyy-mm-dd")</f>
        <v/>
      </c>
      <c r="C19937" t="inlineStr">
        <is>
          <t>1954-07-03</t>
        </is>
      </c>
    </row>
    <row r="19938">
      <c r="A19938" s="1" t="n">
        <v>19937</v>
      </c>
      <c r="B19938">
        <f>TEXT(19937, "[$-0E0000]yyyy-mm-dd")</f>
        <v/>
      </c>
      <c r="C19938" t="inlineStr">
        <is>
          <t>1954-07-04</t>
        </is>
      </c>
    </row>
    <row r="19939">
      <c r="A19939" s="1" t="n">
        <v>19938</v>
      </c>
      <c r="B19939">
        <f>TEXT(19938, "[$-0E0000]yyyy-mm-dd")</f>
        <v/>
      </c>
      <c r="C19939" t="inlineStr">
        <is>
          <t>1954-07-05</t>
        </is>
      </c>
    </row>
    <row r="19940">
      <c r="A19940" s="1" t="n">
        <v>19939</v>
      </c>
      <c r="B19940">
        <f>TEXT(19939, "[$-0E0000]yyyy-mm-dd")</f>
        <v/>
      </c>
      <c r="C19940" t="inlineStr">
        <is>
          <t>1954-07-06</t>
        </is>
      </c>
    </row>
    <row r="19941">
      <c r="A19941" s="1" t="n">
        <v>19940</v>
      </c>
      <c r="B19941">
        <f>TEXT(19940, "[$-0E0000]yyyy-mm-dd")</f>
        <v/>
      </c>
      <c r="C19941" t="inlineStr">
        <is>
          <t>1954-07-07</t>
        </is>
      </c>
    </row>
    <row r="19942">
      <c r="A19942" s="1" t="n">
        <v>19941</v>
      </c>
      <c r="B19942">
        <f>TEXT(19941, "[$-0E0000]yyyy-mm-dd")</f>
        <v/>
      </c>
      <c r="C19942" t="inlineStr">
        <is>
          <t>1954-07-08</t>
        </is>
      </c>
    </row>
    <row r="19943">
      <c r="A19943" s="1" t="n">
        <v>19942</v>
      </c>
      <c r="B19943">
        <f>TEXT(19942, "[$-0E0000]yyyy-mm-dd")</f>
        <v/>
      </c>
      <c r="C19943" t="inlineStr">
        <is>
          <t>1954-07-09</t>
        </is>
      </c>
    </row>
    <row r="19944">
      <c r="A19944" s="1" t="n">
        <v>19943</v>
      </c>
      <c r="B19944">
        <f>TEXT(19943, "[$-0E0000]yyyy-mm-dd")</f>
        <v/>
      </c>
      <c r="C19944" t="inlineStr">
        <is>
          <t>1954-07-10</t>
        </is>
      </c>
    </row>
    <row r="19945">
      <c r="A19945" s="1" t="n">
        <v>19944</v>
      </c>
      <c r="B19945">
        <f>TEXT(19944, "[$-0E0000]yyyy-mm-dd")</f>
        <v/>
      </c>
      <c r="C19945" t="inlineStr">
        <is>
          <t>1954-07-11</t>
        </is>
      </c>
    </row>
    <row r="19946">
      <c r="A19946" s="1" t="n">
        <v>19945</v>
      </c>
      <c r="B19946">
        <f>TEXT(19945, "[$-0E0000]yyyy-mm-dd")</f>
        <v/>
      </c>
      <c r="C19946" t="inlineStr">
        <is>
          <t>1954-07-12</t>
        </is>
      </c>
    </row>
    <row r="19947">
      <c r="A19947" s="1" t="n">
        <v>19946</v>
      </c>
      <c r="B19947">
        <f>TEXT(19946, "[$-0E0000]yyyy-mm-dd")</f>
        <v/>
      </c>
      <c r="C19947" t="inlineStr">
        <is>
          <t>1954-07-13</t>
        </is>
      </c>
    </row>
    <row r="19948">
      <c r="A19948" s="1" t="n">
        <v>19947</v>
      </c>
      <c r="B19948">
        <f>TEXT(19947, "[$-0E0000]yyyy-mm-dd")</f>
        <v/>
      </c>
      <c r="C19948" t="inlineStr">
        <is>
          <t>1954-07-14</t>
        </is>
      </c>
    </row>
    <row r="19949">
      <c r="A19949" s="1" t="n">
        <v>19948</v>
      </c>
      <c r="B19949">
        <f>TEXT(19948, "[$-0E0000]yyyy-mm-dd")</f>
        <v/>
      </c>
      <c r="C19949" t="inlineStr">
        <is>
          <t>1954-07-15</t>
        </is>
      </c>
    </row>
    <row r="19950">
      <c r="A19950" s="1" t="n">
        <v>19949</v>
      </c>
      <c r="B19950">
        <f>TEXT(19949, "[$-0E0000]yyyy-mm-dd")</f>
        <v/>
      </c>
      <c r="C19950" t="inlineStr">
        <is>
          <t>1954-07-16</t>
        </is>
      </c>
    </row>
    <row r="19951">
      <c r="A19951" s="1" t="n">
        <v>19950</v>
      </c>
      <c r="B19951">
        <f>TEXT(19950, "[$-0E0000]yyyy-mm-dd")</f>
        <v/>
      </c>
      <c r="C19951" t="inlineStr">
        <is>
          <t>1954-07-17</t>
        </is>
      </c>
    </row>
    <row r="19952">
      <c r="A19952" s="1" t="n">
        <v>19951</v>
      </c>
      <c r="B19952">
        <f>TEXT(19951, "[$-0E0000]yyyy-mm-dd")</f>
        <v/>
      </c>
      <c r="C19952" t="inlineStr">
        <is>
          <t>1954-07-18</t>
        </is>
      </c>
    </row>
    <row r="19953">
      <c r="A19953" s="1" t="n">
        <v>19952</v>
      </c>
      <c r="B19953">
        <f>TEXT(19952, "[$-0E0000]yyyy-mm-dd")</f>
        <v/>
      </c>
      <c r="C19953" t="inlineStr">
        <is>
          <t>1954-07-19</t>
        </is>
      </c>
    </row>
    <row r="19954">
      <c r="A19954" s="1" t="n">
        <v>19953</v>
      </c>
      <c r="B19954">
        <f>TEXT(19953, "[$-0E0000]yyyy-mm-dd")</f>
        <v/>
      </c>
      <c r="C19954" t="inlineStr">
        <is>
          <t>1954-07-20</t>
        </is>
      </c>
    </row>
    <row r="19955">
      <c r="A19955" s="1" t="n">
        <v>19954</v>
      </c>
      <c r="B19955">
        <f>TEXT(19954, "[$-0E0000]yyyy-mm-dd")</f>
        <v/>
      </c>
      <c r="C19955" t="inlineStr">
        <is>
          <t>1954-07-21</t>
        </is>
      </c>
    </row>
    <row r="19956">
      <c r="A19956" s="1" t="n">
        <v>19955</v>
      </c>
      <c r="B19956">
        <f>TEXT(19955, "[$-0E0000]yyyy-mm-dd")</f>
        <v/>
      </c>
      <c r="C19956" t="inlineStr">
        <is>
          <t>1954-07-22</t>
        </is>
      </c>
    </row>
    <row r="19957">
      <c r="A19957" s="1" t="n">
        <v>19956</v>
      </c>
      <c r="B19957">
        <f>TEXT(19956, "[$-0E0000]yyyy-mm-dd")</f>
        <v/>
      </c>
      <c r="C19957" t="inlineStr">
        <is>
          <t>1954-07-23</t>
        </is>
      </c>
    </row>
    <row r="19958">
      <c r="A19958" s="1" t="n">
        <v>19957</v>
      </c>
      <c r="B19958">
        <f>TEXT(19957, "[$-0E0000]yyyy-mm-dd")</f>
        <v/>
      </c>
      <c r="C19958" t="inlineStr">
        <is>
          <t>1954-07-24</t>
        </is>
      </c>
    </row>
    <row r="19959">
      <c r="A19959" s="1" t="n">
        <v>19958</v>
      </c>
      <c r="B19959">
        <f>TEXT(19958, "[$-0E0000]yyyy-mm-dd")</f>
        <v/>
      </c>
      <c r="C19959" t="inlineStr">
        <is>
          <t>1954-07-25</t>
        </is>
      </c>
    </row>
    <row r="19960">
      <c r="A19960" s="1" t="n">
        <v>19959</v>
      </c>
      <c r="B19960">
        <f>TEXT(19959, "[$-0E0000]yyyy-mm-dd")</f>
        <v/>
      </c>
      <c r="C19960" t="inlineStr">
        <is>
          <t>1954-07-26</t>
        </is>
      </c>
    </row>
    <row r="19961">
      <c r="A19961" s="1" t="n">
        <v>19960</v>
      </c>
      <c r="B19961">
        <f>TEXT(19960, "[$-0E0000]yyyy-mm-dd")</f>
        <v/>
      </c>
      <c r="C19961" t="inlineStr">
        <is>
          <t>1954-07-27</t>
        </is>
      </c>
    </row>
    <row r="19962">
      <c r="A19962" s="1" t="n">
        <v>19961</v>
      </c>
      <c r="B19962">
        <f>TEXT(19961, "[$-0E0000]yyyy-mm-dd")</f>
        <v/>
      </c>
      <c r="C19962" t="inlineStr">
        <is>
          <t>1954-07-28</t>
        </is>
      </c>
    </row>
    <row r="19963">
      <c r="A19963" s="1" t="n">
        <v>19962</v>
      </c>
      <c r="B19963">
        <f>TEXT(19962, "[$-0E0000]yyyy-mm-dd")</f>
        <v/>
      </c>
      <c r="C19963" t="inlineStr">
        <is>
          <t>1954-07-29</t>
        </is>
      </c>
    </row>
    <row r="19964">
      <c r="A19964" s="1" t="n">
        <v>19963</v>
      </c>
      <c r="B19964">
        <f>TEXT(19963, "[$-0E0000]yyyy-mm-dd")</f>
        <v/>
      </c>
      <c r="C19964" t="inlineStr">
        <is>
          <t>1954-08-01</t>
        </is>
      </c>
    </row>
    <row r="19965">
      <c r="A19965" s="1" t="n">
        <v>19964</v>
      </c>
      <c r="B19965">
        <f>TEXT(19964, "[$-0E0000]yyyy-mm-dd")</f>
        <v/>
      </c>
      <c r="C19965" t="inlineStr">
        <is>
          <t>1954-08-02</t>
        </is>
      </c>
    </row>
    <row r="19966">
      <c r="A19966" s="1" t="n">
        <v>19965</v>
      </c>
      <c r="B19966">
        <f>TEXT(19965, "[$-0E0000]yyyy-mm-dd")</f>
        <v/>
      </c>
      <c r="C19966" t="inlineStr">
        <is>
          <t>1954-08-03</t>
        </is>
      </c>
    </row>
    <row r="19967">
      <c r="A19967" s="1" t="n">
        <v>19966</v>
      </c>
      <c r="B19967">
        <f>TEXT(19966, "[$-0E0000]yyyy-mm-dd")</f>
        <v/>
      </c>
      <c r="C19967" t="inlineStr">
        <is>
          <t>1954-08-04</t>
        </is>
      </c>
    </row>
    <row r="19968">
      <c r="A19968" s="1" t="n">
        <v>19967</v>
      </c>
      <c r="B19968">
        <f>TEXT(19967, "[$-0E0000]yyyy-mm-dd")</f>
        <v/>
      </c>
      <c r="C19968" t="inlineStr">
        <is>
          <t>1954-08-05</t>
        </is>
      </c>
    </row>
    <row r="19969">
      <c r="A19969" s="1" t="n">
        <v>19968</v>
      </c>
      <c r="B19969">
        <f>TEXT(19968, "[$-0E0000]yyyy-mm-dd")</f>
        <v/>
      </c>
      <c r="C19969" t="inlineStr">
        <is>
          <t>1954-08-06</t>
        </is>
      </c>
    </row>
    <row r="19970">
      <c r="A19970" s="1" t="n">
        <v>19969</v>
      </c>
      <c r="B19970">
        <f>TEXT(19969, "[$-0E0000]yyyy-mm-dd")</f>
        <v/>
      </c>
      <c r="C19970" t="inlineStr">
        <is>
          <t>1954-08-07</t>
        </is>
      </c>
    </row>
    <row r="19971">
      <c r="A19971" s="1" t="n">
        <v>19970</v>
      </c>
      <c r="B19971">
        <f>TEXT(19970, "[$-0E0000]yyyy-mm-dd")</f>
        <v/>
      </c>
      <c r="C19971" t="inlineStr">
        <is>
          <t>1954-08-08</t>
        </is>
      </c>
    </row>
    <row r="19972">
      <c r="A19972" s="1" t="n">
        <v>19971</v>
      </c>
      <c r="B19972">
        <f>TEXT(19971, "[$-0E0000]yyyy-mm-dd")</f>
        <v/>
      </c>
      <c r="C19972" t="inlineStr">
        <is>
          <t>1954-08-09</t>
        </is>
      </c>
    </row>
    <row r="19973">
      <c r="A19973" s="1" t="n">
        <v>19972</v>
      </c>
      <c r="B19973">
        <f>TEXT(19972, "[$-0E0000]yyyy-mm-dd")</f>
        <v/>
      </c>
      <c r="C19973" t="inlineStr">
        <is>
          <t>1954-08-10</t>
        </is>
      </c>
    </row>
    <row r="19974">
      <c r="A19974" s="1" t="n">
        <v>19973</v>
      </c>
      <c r="B19974">
        <f>TEXT(19973, "[$-0E0000]yyyy-mm-dd")</f>
        <v/>
      </c>
      <c r="C19974" t="inlineStr">
        <is>
          <t>1954-08-11</t>
        </is>
      </c>
    </row>
    <row r="19975">
      <c r="A19975" s="1" t="n">
        <v>19974</v>
      </c>
      <c r="B19975">
        <f>TEXT(19974, "[$-0E0000]yyyy-mm-dd")</f>
        <v/>
      </c>
      <c r="C19975" t="inlineStr">
        <is>
          <t>1954-08-12</t>
        </is>
      </c>
    </row>
    <row r="19976">
      <c r="A19976" s="1" t="n">
        <v>19975</v>
      </c>
      <c r="B19976">
        <f>TEXT(19975, "[$-0E0000]yyyy-mm-dd")</f>
        <v/>
      </c>
      <c r="C19976" t="inlineStr">
        <is>
          <t>1954-08-13</t>
        </is>
      </c>
    </row>
    <row r="19977">
      <c r="A19977" s="1" t="n">
        <v>19976</v>
      </c>
      <c r="B19977">
        <f>TEXT(19976, "[$-0E0000]yyyy-mm-dd")</f>
        <v/>
      </c>
      <c r="C19977" t="inlineStr">
        <is>
          <t>1954-08-14</t>
        </is>
      </c>
    </row>
    <row r="19978">
      <c r="A19978" s="1" t="n">
        <v>19977</v>
      </c>
      <c r="B19978">
        <f>TEXT(19977, "[$-0E0000]yyyy-mm-dd")</f>
        <v/>
      </c>
      <c r="C19978" t="inlineStr">
        <is>
          <t>1954-08-15</t>
        </is>
      </c>
    </row>
    <row r="19979">
      <c r="A19979" s="1" t="n">
        <v>19978</v>
      </c>
      <c r="B19979">
        <f>TEXT(19978, "[$-0E0000]yyyy-mm-dd")</f>
        <v/>
      </c>
      <c r="C19979" t="inlineStr">
        <is>
          <t>1954-08-16</t>
        </is>
      </c>
    </row>
    <row r="19980">
      <c r="A19980" s="1" t="n">
        <v>19979</v>
      </c>
      <c r="B19980">
        <f>TEXT(19979, "[$-0E0000]yyyy-mm-dd")</f>
        <v/>
      </c>
      <c r="C19980" t="inlineStr">
        <is>
          <t>1954-08-17</t>
        </is>
      </c>
    </row>
    <row r="19981">
      <c r="A19981" s="1" t="n">
        <v>19980</v>
      </c>
      <c r="B19981">
        <f>TEXT(19980, "[$-0E0000]yyyy-mm-dd")</f>
        <v/>
      </c>
      <c r="C19981" t="inlineStr">
        <is>
          <t>1954-08-18</t>
        </is>
      </c>
    </row>
    <row r="19982">
      <c r="A19982" s="1" t="n">
        <v>19981</v>
      </c>
      <c r="B19982">
        <f>TEXT(19981, "[$-0E0000]yyyy-mm-dd")</f>
        <v/>
      </c>
      <c r="C19982" t="inlineStr">
        <is>
          <t>1954-08-19</t>
        </is>
      </c>
    </row>
    <row r="19983">
      <c r="A19983" s="1" t="n">
        <v>19982</v>
      </c>
      <c r="B19983">
        <f>TEXT(19982, "[$-0E0000]yyyy-mm-dd")</f>
        <v/>
      </c>
      <c r="C19983" t="inlineStr">
        <is>
          <t>1954-08-20</t>
        </is>
      </c>
    </row>
    <row r="19984">
      <c r="A19984" s="1" t="n">
        <v>19983</v>
      </c>
      <c r="B19984">
        <f>TEXT(19983, "[$-0E0000]yyyy-mm-dd")</f>
        <v/>
      </c>
      <c r="C19984" t="inlineStr">
        <is>
          <t>1954-08-21</t>
        </is>
      </c>
    </row>
    <row r="19985">
      <c r="A19985" s="1" t="n">
        <v>19984</v>
      </c>
      <c r="B19985">
        <f>TEXT(19984, "[$-0E0000]yyyy-mm-dd")</f>
        <v/>
      </c>
      <c r="C19985" t="inlineStr">
        <is>
          <t>1954-08-22</t>
        </is>
      </c>
    </row>
    <row r="19986">
      <c r="A19986" s="1" t="n">
        <v>19985</v>
      </c>
      <c r="B19986">
        <f>TEXT(19985, "[$-0E0000]yyyy-mm-dd")</f>
        <v/>
      </c>
      <c r="C19986" t="inlineStr">
        <is>
          <t>1954-08-23</t>
        </is>
      </c>
    </row>
    <row r="19987">
      <c r="A19987" s="1" t="n">
        <v>19986</v>
      </c>
      <c r="B19987">
        <f>TEXT(19986, "[$-0E0000]yyyy-mm-dd")</f>
        <v/>
      </c>
      <c r="C19987" t="inlineStr">
        <is>
          <t>1954-08-24</t>
        </is>
      </c>
    </row>
    <row r="19988">
      <c r="A19988" s="1" t="n">
        <v>19987</v>
      </c>
      <c r="B19988">
        <f>TEXT(19987, "[$-0E0000]yyyy-mm-dd")</f>
        <v/>
      </c>
      <c r="C19988" t="inlineStr">
        <is>
          <t>1954-08-25</t>
        </is>
      </c>
    </row>
    <row r="19989">
      <c r="A19989" s="1" t="n">
        <v>19988</v>
      </c>
      <c r="B19989">
        <f>TEXT(19988, "[$-0E0000]yyyy-mm-dd")</f>
        <v/>
      </c>
      <c r="C19989" t="inlineStr">
        <is>
          <t>1954-08-26</t>
        </is>
      </c>
    </row>
    <row r="19990">
      <c r="A19990" s="1" t="n">
        <v>19989</v>
      </c>
      <c r="B19990">
        <f>TEXT(19989, "[$-0E0000]yyyy-mm-dd")</f>
        <v/>
      </c>
      <c r="C19990" t="inlineStr">
        <is>
          <t>1954-08-27</t>
        </is>
      </c>
    </row>
    <row r="19991">
      <c r="A19991" s="1" t="n">
        <v>19990</v>
      </c>
      <c r="B19991">
        <f>TEXT(19990, "[$-0E0000]yyyy-mm-dd")</f>
        <v/>
      </c>
      <c r="C19991" t="inlineStr">
        <is>
          <t>1954-08-28</t>
        </is>
      </c>
    </row>
    <row r="19992">
      <c r="A19992" s="1" t="n">
        <v>19991</v>
      </c>
      <c r="B19992">
        <f>TEXT(19991, "[$-0E0000]yyyy-mm-dd")</f>
        <v/>
      </c>
      <c r="C19992" t="inlineStr">
        <is>
          <t>1954-08-29</t>
        </is>
      </c>
    </row>
    <row r="19993">
      <c r="A19993" s="1" t="n">
        <v>19992</v>
      </c>
      <c r="B19993">
        <f>TEXT(19992, "[$-0E0000]yyyy-mm-dd")</f>
        <v/>
      </c>
      <c r="C19993" t="inlineStr">
        <is>
          <t>1954-08-30</t>
        </is>
      </c>
    </row>
    <row r="19994">
      <c r="A19994" s="1" t="n">
        <v>19993</v>
      </c>
      <c r="B19994">
        <f>TEXT(19993, "[$-0E0000]yyyy-mm-dd")</f>
        <v/>
      </c>
      <c r="C19994" t="inlineStr">
        <is>
          <t>1954-09-01</t>
        </is>
      </c>
    </row>
    <row r="19995">
      <c r="A19995" s="1" t="n">
        <v>19994</v>
      </c>
      <c r="B19995">
        <f>TEXT(19994, "[$-0E0000]yyyy-mm-dd")</f>
        <v/>
      </c>
      <c r="C19995" t="inlineStr">
        <is>
          <t>1954-09-02</t>
        </is>
      </c>
    </row>
    <row r="19996">
      <c r="A19996" s="1" t="n">
        <v>19995</v>
      </c>
      <c r="B19996">
        <f>TEXT(19995, "[$-0E0000]yyyy-mm-dd")</f>
        <v/>
      </c>
      <c r="C19996" t="inlineStr">
        <is>
          <t>1954-09-03</t>
        </is>
      </c>
    </row>
    <row r="19997">
      <c r="A19997" s="1" t="n">
        <v>19996</v>
      </c>
      <c r="B19997">
        <f>TEXT(19996, "[$-0E0000]yyyy-mm-dd")</f>
        <v/>
      </c>
      <c r="C19997" t="inlineStr">
        <is>
          <t>1954-09-04</t>
        </is>
      </c>
    </row>
    <row r="19998">
      <c r="A19998" s="1" t="n">
        <v>19997</v>
      </c>
      <c r="B19998">
        <f>TEXT(19997, "[$-0E0000]yyyy-mm-dd")</f>
        <v/>
      </c>
      <c r="C19998" t="inlineStr">
        <is>
          <t>1954-09-05</t>
        </is>
      </c>
    </row>
    <row r="19999">
      <c r="A19999" s="1" t="n">
        <v>19998</v>
      </c>
      <c r="B19999">
        <f>TEXT(19998, "[$-0E0000]yyyy-mm-dd")</f>
        <v/>
      </c>
      <c r="C19999" t="inlineStr">
        <is>
          <t>1954-09-06</t>
        </is>
      </c>
    </row>
    <row r="20000">
      <c r="A20000" s="1" t="n">
        <v>19999</v>
      </c>
      <c r="B20000">
        <f>TEXT(19999, "[$-0E0000]yyyy-mm-dd")</f>
        <v/>
      </c>
      <c r="C20000" t="inlineStr">
        <is>
          <t>1954-09-07</t>
        </is>
      </c>
    </row>
    <row r="20001">
      <c r="A20001" s="1" t="n">
        <v>20000</v>
      </c>
      <c r="B20001">
        <f>TEXT(20000, "[$-0E0000]yyyy-mm-dd")</f>
        <v/>
      </c>
      <c r="C20001" t="inlineStr">
        <is>
          <t>1954-09-08</t>
        </is>
      </c>
    </row>
    <row r="20002">
      <c r="A20002" s="1" t="n">
        <v>20001</v>
      </c>
      <c r="B20002">
        <f>TEXT(20001, "[$-0E0000]yyyy-mm-dd")</f>
        <v/>
      </c>
      <c r="C20002" t="inlineStr">
        <is>
          <t>1954-09-09</t>
        </is>
      </c>
    </row>
    <row r="20003">
      <c r="A20003" s="1" t="n">
        <v>20002</v>
      </c>
      <c r="B20003">
        <f>TEXT(20002, "[$-0E0000]yyyy-mm-dd")</f>
        <v/>
      </c>
      <c r="C20003" t="inlineStr">
        <is>
          <t>1954-09-10</t>
        </is>
      </c>
    </row>
    <row r="20004">
      <c r="A20004" s="1" t="n">
        <v>20003</v>
      </c>
      <c r="B20004">
        <f>TEXT(20003, "[$-0E0000]yyyy-mm-dd")</f>
        <v/>
      </c>
      <c r="C20004" t="inlineStr">
        <is>
          <t>1954-09-11</t>
        </is>
      </c>
    </row>
    <row r="20005">
      <c r="A20005" s="1" t="n">
        <v>20004</v>
      </c>
      <c r="B20005">
        <f>TEXT(20004, "[$-0E0000]yyyy-mm-dd")</f>
        <v/>
      </c>
      <c r="C20005" t="inlineStr">
        <is>
          <t>1954-09-12</t>
        </is>
      </c>
    </row>
    <row r="20006">
      <c r="A20006" s="1" t="n">
        <v>20005</v>
      </c>
      <c r="B20006">
        <f>TEXT(20005, "[$-0E0000]yyyy-mm-dd")</f>
        <v/>
      </c>
      <c r="C20006" t="inlineStr">
        <is>
          <t>1954-09-13</t>
        </is>
      </c>
    </row>
    <row r="20007">
      <c r="A20007" s="1" t="n">
        <v>20006</v>
      </c>
      <c r="B20007">
        <f>TEXT(20006, "[$-0E0000]yyyy-mm-dd")</f>
        <v/>
      </c>
      <c r="C20007" t="inlineStr">
        <is>
          <t>1954-09-14</t>
        </is>
      </c>
    </row>
    <row r="20008">
      <c r="A20008" s="1" t="n">
        <v>20007</v>
      </c>
      <c r="B20008">
        <f>TEXT(20007, "[$-0E0000]yyyy-mm-dd")</f>
        <v/>
      </c>
      <c r="C20008" t="inlineStr">
        <is>
          <t>1954-09-15</t>
        </is>
      </c>
    </row>
    <row r="20009">
      <c r="A20009" s="1" t="n">
        <v>20008</v>
      </c>
      <c r="B20009">
        <f>TEXT(20008, "[$-0E0000]yyyy-mm-dd")</f>
        <v/>
      </c>
      <c r="C20009" t="inlineStr">
        <is>
          <t>1954-09-16</t>
        </is>
      </c>
    </row>
    <row r="20010">
      <c r="A20010" s="1" t="n">
        <v>20009</v>
      </c>
      <c r="B20010">
        <f>TEXT(20009, "[$-0E0000]yyyy-mm-dd")</f>
        <v/>
      </c>
      <c r="C20010" t="inlineStr">
        <is>
          <t>1954-09-17</t>
        </is>
      </c>
    </row>
    <row r="20011">
      <c r="A20011" s="1" t="n">
        <v>20010</v>
      </c>
      <c r="B20011">
        <f>TEXT(20010, "[$-0E0000]yyyy-mm-dd")</f>
        <v/>
      </c>
      <c r="C20011" t="inlineStr">
        <is>
          <t>1954-09-18</t>
        </is>
      </c>
    </row>
    <row r="20012">
      <c r="A20012" s="1" t="n">
        <v>20011</v>
      </c>
      <c r="B20012">
        <f>TEXT(20011, "[$-0E0000]yyyy-mm-dd")</f>
        <v/>
      </c>
      <c r="C20012" t="inlineStr">
        <is>
          <t>1954-09-19</t>
        </is>
      </c>
    </row>
    <row r="20013">
      <c r="A20013" s="1" t="n">
        <v>20012</v>
      </c>
      <c r="B20013">
        <f>TEXT(20012, "[$-0E0000]yyyy-mm-dd")</f>
        <v/>
      </c>
      <c r="C20013" t="inlineStr">
        <is>
          <t>1954-09-20</t>
        </is>
      </c>
    </row>
    <row r="20014">
      <c r="A20014" s="1" t="n">
        <v>20013</v>
      </c>
      <c r="B20014">
        <f>TEXT(20013, "[$-0E0000]yyyy-mm-dd")</f>
        <v/>
      </c>
      <c r="C20014" t="inlineStr">
        <is>
          <t>1954-09-21</t>
        </is>
      </c>
    </row>
    <row r="20015">
      <c r="A20015" s="1" t="n">
        <v>20014</v>
      </c>
      <c r="B20015">
        <f>TEXT(20014, "[$-0E0000]yyyy-mm-dd")</f>
        <v/>
      </c>
      <c r="C20015" t="inlineStr">
        <is>
          <t>1954-09-22</t>
        </is>
      </c>
    </row>
    <row r="20016">
      <c r="A20016" s="1" t="n">
        <v>20015</v>
      </c>
      <c r="B20016">
        <f>TEXT(20015, "[$-0E0000]yyyy-mm-dd")</f>
        <v/>
      </c>
      <c r="C20016" t="inlineStr">
        <is>
          <t>1954-09-23</t>
        </is>
      </c>
    </row>
    <row r="20017">
      <c r="A20017" s="1" t="n">
        <v>20016</v>
      </c>
      <c r="B20017">
        <f>TEXT(20016, "[$-0E0000]yyyy-mm-dd")</f>
        <v/>
      </c>
      <c r="C20017" t="inlineStr">
        <is>
          <t>1954-09-24</t>
        </is>
      </c>
    </row>
    <row r="20018">
      <c r="A20018" s="1" t="n">
        <v>20017</v>
      </c>
      <c r="B20018">
        <f>TEXT(20017, "[$-0E0000]yyyy-mm-dd")</f>
        <v/>
      </c>
      <c r="C20018" t="inlineStr">
        <is>
          <t>1954-09-25</t>
        </is>
      </c>
    </row>
    <row r="20019">
      <c r="A20019" s="1" t="n">
        <v>20018</v>
      </c>
      <c r="B20019">
        <f>TEXT(20018, "[$-0E0000]yyyy-mm-dd")</f>
        <v/>
      </c>
      <c r="C20019" t="inlineStr">
        <is>
          <t>1954-09-26</t>
        </is>
      </c>
    </row>
    <row r="20020">
      <c r="A20020" s="1" t="n">
        <v>20019</v>
      </c>
      <c r="B20020">
        <f>TEXT(20019, "[$-0E0000]yyyy-mm-dd")</f>
        <v/>
      </c>
      <c r="C20020" t="inlineStr">
        <is>
          <t>1954-09-27</t>
        </is>
      </c>
    </row>
    <row r="20021">
      <c r="A20021" s="1" t="n">
        <v>20020</v>
      </c>
      <c r="B20021">
        <f>TEXT(20020, "[$-0E0000]yyyy-mm-dd")</f>
        <v/>
      </c>
      <c r="C20021" t="inlineStr">
        <is>
          <t>1954-09-28</t>
        </is>
      </c>
    </row>
    <row r="20022">
      <c r="A20022" s="1" t="n">
        <v>20021</v>
      </c>
      <c r="B20022">
        <f>TEXT(20021, "[$-0E0000]yyyy-mm-dd")</f>
        <v/>
      </c>
      <c r="C20022" t="inlineStr">
        <is>
          <t>1954-09-29</t>
        </is>
      </c>
    </row>
    <row r="20023">
      <c r="A20023" s="1" t="n">
        <v>20022</v>
      </c>
      <c r="B20023">
        <f>TEXT(20022, "[$-0E0000]yyyy-mm-dd")</f>
        <v/>
      </c>
      <c r="C20023" t="inlineStr">
        <is>
          <t>1954-09-30</t>
        </is>
      </c>
    </row>
    <row r="20024">
      <c r="A20024" s="1" t="n">
        <v>20023</v>
      </c>
      <c r="B20024">
        <f>TEXT(20023, "[$-0E0000]yyyy-mm-dd")</f>
        <v/>
      </c>
      <c r="C20024" t="inlineStr">
        <is>
          <t>1954-10-01</t>
        </is>
      </c>
    </row>
    <row r="20025">
      <c r="A20025" s="1" t="n">
        <v>20024</v>
      </c>
      <c r="B20025">
        <f>TEXT(20024, "[$-0E0000]yyyy-mm-dd")</f>
        <v/>
      </c>
      <c r="C20025" t="inlineStr">
        <is>
          <t>1954-10-02</t>
        </is>
      </c>
    </row>
    <row r="20026">
      <c r="A20026" s="1" t="n">
        <v>20025</v>
      </c>
      <c r="B20026">
        <f>TEXT(20025, "[$-0E0000]yyyy-mm-dd")</f>
        <v/>
      </c>
      <c r="C20026" t="inlineStr">
        <is>
          <t>1954-10-03</t>
        </is>
      </c>
    </row>
    <row r="20027">
      <c r="A20027" s="1" t="n">
        <v>20026</v>
      </c>
      <c r="B20027">
        <f>TEXT(20026, "[$-0E0000]yyyy-mm-dd")</f>
        <v/>
      </c>
      <c r="C20027" t="inlineStr">
        <is>
          <t>1954-10-04</t>
        </is>
      </c>
    </row>
    <row r="20028">
      <c r="A20028" s="1" t="n">
        <v>20027</v>
      </c>
      <c r="B20028">
        <f>TEXT(20027, "[$-0E0000]yyyy-mm-dd")</f>
        <v/>
      </c>
      <c r="C20028" t="inlineStr">
        <is>
          <t>1954-10-05</t>
        </is>
      </c>
    </row>
    <row r="20029">
      <c r="A20029" s="1" t="n">
        <v>20028</v>
      </c>
      <c r="B20029">
        <f>TEXT(20028, "[$-0E0000]yyyy-mm-dd")</f>
        <v/>
      </c>
      <c r="C20029" t="inlineStr">
        <is>
          <t>1954-10-06</t>
        </is>
      </c>
    </row>
    <row r="20030">
      <c r="A20030" s="1" t="n">
        <v>20029</v>
      </c>
      <c r="B20030">
        <f>TEXT(20029, "[$-0E0000]yyyy-mm-dd")</f>
        <v/>
      </c>
      <c r="C20030" t="inlineStr">
        <is>
          <t>1954-10-07</t>
        </is>
      </c>
    </row>
    <row r="20031">
      <c r="A20031" s="1" t="n">
        <v>20030</v>
      </c>
      <c r="B20031">
        <f>TEXT(20030, "[$-0E0000]yyyy-mm-dd")</f>
        <v/>
      </c>
      <c r="C20031" t="inlineStr">
        <is>
          <t>1954-10-08</t>
        </is>
      </c>
    </row>
    <row r="20032">
      <c r="A20032" s="1" t="n">
        <v>20031</v>
      </c>
      <c r="B20032">
        <f>TEXT(20031, "[$-0E0000]yyyy-mm-dd")</f>
        <v/>
      </c>
      <c r="C20032" t="inlineStr">
        <is>
          <t>1954-10-09</t>
        </is>
      </c>
    </row>
    <row r="20033">
      <c r="A20033" s="1" t="n">
        <v>20032</v>
      </c>
      <c r="B20033">
        <f>TEXT(20032, "[$-0E0000]yyyy-mm-dd")</f>
        <v/>
      </c>
      <c r="C20033" t="inlineStr">
        <is>
          <t>1954-10-10</t>
        </is>
      </c>
    </row>
    <row r="20034">
      <c r="A20034" s="1" t="n">
        <v>20033</v>
      </c>
      <c r="B20034">
        <f>TEXT(20033, "[$-0E0000]yyyy-mm-dd")</f>
        <v/>
      </c>
      <c r="C20034" t="inlineStr">
        <is>
          <t>1954-10-11</t>
        </is>
      </c>
    </row>
    <row r="20035">
      <c r="A20035" s="1" t="n">
        <v>20034</v>
      </c>
      <c r="B20035">
        <f>TEXT(20034, "[$-0E0000]yyyy-mm-dd")</f>
        <v/>
      </c>
      <c r="C20035" t="inlineStr">
        <is>
          <t>1954-10-12</t>
        </is>
      </c>
    </row>
    <row r="20036">
      <c r="A20036" s="1" t="n">
        <v>20035</v>
      </c>
      <c r="B20036">
        <f>TEXT(20035, "[$-0E0000]yyyy-mm-dd")</f>
        <v/>
      </c>
      <c r="C20036" t="inlineStr">
        <is>
          <t>1954-10-13</t>
        </is>
      </c>
    </row>
    <row r="20037">
      <c r="A20037" s="1" t="n">
        <v>20036</v>
      </c>
      <c r="B20037">
        <f>TEXT(20036, "[$-0E0000]yyyy-mm-dd")</f>
        <v/>
      </c>
      <c r="C20037" t="inlineStr">
        <is>
          <t>1954-10-14</t>
        </is>
      </c>
    </row>
    <row r="20038">
      <c r="A20038" s="1" t="n">
        <v>20037</v>
      </c>
      <c r="B20038">
        <f>TEXT(20037, "[$-0E0000]yyyy-mm-dd")</f>
        <v/>
      </c>
      <c r="C20038" t="inlineStr">
        <is>
          <t>1954-10-15</t>
        </is>
      </c>
    </row>
    <row r="20039">
      <c r="A20039" s="1" t="n">
        <v>20038</v>
      </c>
      <c r="B20039">
        <f>TEXT(20038, "[$-0E0000]yyyy-mm-dd")</f>
        <v/>
      </c>
      <c r="C20039" t="inlineStr">
        <is>
          <t>1954-10-16</t>
        </is>
      </c>
    </row>
    <row r="20040">
      <c r="A20040" s="1" t="n">
        <v>20039</v>
      </c>
      <c r="B20040">
        <f>TEXT(20039, "[$-0E0000]yyyy-mm-dd")</f>
        <v/>
      </c>
      <c r="C20040" t="inlineStr">
        <is>
          <t>1954-10-17</t>
        </is>
      </c>
    </row>
    <row r="20041">
      <c r="A20041" s="1" t="n">
        <v>20040</v>
      </c>
      <c r="B20041">
        <f>TEXT(20040, "[$-0E0000]yyyy-mm-dd")</f>
        <v/>
      </c>
      <c r="C20041" t="inlineStr">
        <is>
          <t>1954-10-18</t>
        </is>
      </c>
    </row>
    <row r="20042">
      <c r="A20042" s="1" t="n">
        <v>20041</v>
      </c>
      <c r="B20042">
        <f>TEXT(20041, "[$-0E0000]yyyy-mm-dd")</f>
        <v/>
      </c>
      <c r="C20042" t="inlineStr">
        <is>
          <t>1954-10-19</t>
        </is>
      </c>
    </row>
    <row r="20043">
      <c r="A20043" s="1" t="n">
        <v>20042</v>
      </c>
      <c r="B20043">
        <f>TEXT(20042, "[$-0E0000]yyyy-mm-dd")</f>
        <v/>
      </c>
      <c r="C20043" t="inlineStr">
        <is>
          <t>1954-10-20</t>
        </is>
      </c>
    </row>
    <row r="20044">
      <c r="A20044" s="1" t="n">
        <v>20043</v>
      </c>
      <c r="B20044">
        <f>TEXT(20043, "[$-0E0000]yyyy-mm-dd")</f>
        <v/>
      </c>
      <c r="C20044" t="inlineStr">
        <is>
          <t>1954-10-21</t>
        </is>
      </c>
    </row>
    <row r="20045">
      <c r="A20045" s="1" t="n">
        <v>20044</v>
      </c>
      <c r="B20045">
        <f>TEXT(20044, "[$-0E0000]yyyy-mm-dd")</f>
        <v/>
      </c>
      <c r="C20045" t="inlineStr">
        <is>
          <t>1954-10-22</t>
        </is>
      </c>
    </row>
    <row r="20046">
      <c r="A20046" s="1" t="n">
        <v>20045</v>
      </c>
      <c r="B20046">
        <f>TEXT(20045, "[$-0E0000]yyyy-mm-dd")</f>
        <v/>
      </c>
      <c r="C20046" t="inlineStr">
        <is>
          <t>1954-10-23</t>
        </is>
      </c>
    </row>
    <row r="20047">
      <c r="A20047" s="1" t="n">
        <v>20046</v>
      </c>
      <c r="B20047">
        <f>TEXT(20046, "[$-0E0000]yyyy-mm-dd")</f>
        <v/>
      </c>
      <c r="C20047" t="inlineStr">
        <is>
          <t>1954-10-24</t>
        </is>
      </c>
    </row>
    <row r="20048">
      <c r="A20048" s="1" t="n">
        <v>20047</v>
      </c>
      <c r="B20048">
        <f>TEXT(20047, "[$-0E0000]yyyy-mm-dd")</f>
        <v/>
      </c>
      <c r="C20048" t="inlineStr">
        <is>
          <t>1954-10-25</t>
        </is>
      </c>
    </row>
    <row r="20049">
      <c r="A20049" s="1" t="n">
        <v>20048</v>
      </c>
      <c r="B20049">
        <f>TEXT(20048, "[$-0E0000]yyyy-mm-dd")</f>
        <v/>
      </c>
      <c r="C20049" t="inlineStr">
        <is>
          <t>1954-10-26</t>
        </is>
      </c>
    </row>
    <row r="20050">
      <c r="A20050" s="1" t="n">
        <v>20049</v>
      </c>
      <c r="B20050">
        <f>TEXT(20049, "[$-0E0000]yyyy-mm-dd")</f>
        <v/>
      </c>
      <c r="C20050" t="inlineStr">
        <is>
          <t>1954-10-27</t>
        </is>
      </c>
    </row>
    <row r="20051">
      <c r="A20051" s="1" t="n">
        <v>20050</v>
      </c>
      <c r="B20051">
        <f>TEXT(20050, "[$-0E0000]yyyy-mm-dd")</f>
        <v/>
      </c>
      <c r="C20051" t="inlineStr">
        <is>
          <t>1954-10-28</t>
        </is>
      </c>
    </row>
    <row r="20052">
      <c r="A20052" s="1" t="n">
        <v>20051</v>
      </c>
      <c r="B20052">
        <f>TEXT(20051, "[$-0E0000]yyyy-mm-dd")</f>
        <v/>
      </c>
      <c r="C20052" t="inlineStr">
        <is>
          <t>1954-10-29</t>
        </is>
      </c>
    </row>
    <row r="20053">
      <c r="A20053" s="1" t="n">
        <v>20052</v>
      </c>
      <c r="B20053">
        <f>TEXT(20052, "[$-0E0000]yyyy-mm-dd")</f>
        <v/>
      </c>
      <c r="C20053" t="inlineStr">
        <is>
          <t>1954-11-01</t>
        </is>
      </c>
    </row>
    <row r="20054">
      <c r="A20054" s="1" t="n">
        <v>20053</v>
      </c>
      <c r="B20054">
        <f>TEXT(20053, "[$-0E0000]yyyy-mm-dd")</f>
        <v/>
      </c>
      <c r="C20054" t="inlineStr">
        <is>
          <t>1954-11-02</t>
        </is>
      </c>
    </row>
    <row r="20055">
      <c r="A20055" s="1" t="n">
        <v>20054</v>
      </c>
      <c r="B20055">
        <f>TEXT(20054, "[$-0E0000]yyyy-mm-dd")</f>
        <v/>
      </c>
      <c r="C20055" t="inlineStr">
        <is>
          <t>1954-11-03</t>
        </is>
      </c>
    </row>
    <row r="20056">
      <c r="A20056" s="1" t="n">
        <v>20055</v>
      </c>
      <c r="B20056">
        <f>TEXT(20055, "[$-0E0000]yyyy-mm-dd")</f>
        <v/>
      </c>
      <c r="C20056" t="inlineStr">
        <is>
          <t>1954-11-04</t>
        </is>
      </c>
    </row>
    <row r="20057">
      <c r="A20057" s="1" t="n">
        <v>20056</v>
      </c>
      <c r="B20057">
        <f>TEXT(20056, "[$-0E0000]yyyy-mm-dd")</f>
        <v/>
      </c>
      <c r="C20057" t="inlineStr">
        <is>
          <t>1954-11-05</t>
        </is>
      </c>
    </row>
    <row r="20058">
      <c r="A20058" s="1" t="n">
        <v>20057</v>
      </c>
      <c r="B20058">
        <f>TEXT(20057, "[$-0E0000]yyyy-mm-dd")</f>
        <v/>
      </c>
      <c r="C20058" t="inlineStr">
        <is>
          <t>1954-11-06</t>
        </is>
      </c>
    </row>
    <row r="20059">
      <c r="A20059" s="1" t="n">
        <v>20058</v>
      </c>
      <c r="B20059">
        <f>TEXT(20058, "[$-0E0000]yyyy-mm-dd")</f>
        <v/>
      </c>
      <c r="C20059" t="inlineStr">
        <is>
          <t>1954-11-07</t>
        </is>
      </c>
    </row>
    <row r="20060">
      <c r="A20060" s="1" t="n">
        <v>20059</v>
      </c>
      <c r="B20060">
        <f>TEXT(20059, "[$-0E0000]yyyy-mm-dd")</f>
        <v/>
      </c>
      <c r="C20060" t="inlineStr">
        <is>
          <t>1954-11-08</t>
        </is>
      </c>
    </row>
    <row r="20061">
      <c r="A20061" s="1" t="n">
        <v>20060</v>
      </c>
      <c r="B20061">
        <f>TEXT(20060, "[$-0E0000]yyyy-mm-dd")</f>
        <v/>
      </c>
      <c r="C20061" t="inlineStr">
        <is>
          <t>1954-11-09</t>
        </is>
      </c>
    </row>
    <row r="20062">
      <c r="A20062" s="1" t="n">
        <v>20061</v>
      </c>
      <c r="B20062">
        <f>TEXT(20061, "[$-0E0000]yyyy-mm-dd")</f>
        <v/>
      </c>
      <c r="C20062" t="inlineStr">
        <is>
          <t>1954-11-10</t>
        </is>
      </c>
    </row>
    <row r="20063">
      <c r="A20063" s="1" t="n">
        <v>20062</v>
      </c>
      <c r="B20063">
        <f>TEXT(20062, "[$-0E0000]yyyy-mm-dd")</f>
        <v/>
      </c>
      <c r="C20063" t="inlineStr">
        <is>
          <t>1954-11-11</t>
        </is>
      </c>
    </row>
    <row r="20064">
      <c r="A20064" s="1" t="n">
        <v>20063</v>
      </c>
      <c r="B20064">
        <f>TEXT(20063, "[$-0E0000]yyyy-mm-dd")</f>
        <v/>
      </c>
      <c r="C20064" t="inlineStr">
        <is>
          <t>1954-11-12</t>
        </is>
      </c>
    </row>
    <row r="20065">
      <c r="A20065" s="1" t="n">
        <v>20064</v>
      </c>
      <c r="B20065">
        <f>TEXT(20064, "[$-0E0000]yyyy-mm-dd")</f>
        <v/>
      </c>
      <c r="C20065" t="inlineStr">
        <is>
          <t>1954-11-13</t>
        </is>
      </c>
    </row>
    <row r="20066">
      <c r="A20066" s="1" t="n">
        <v>20065</v>
      </c>
      <c r="B20066">
        <f>TEXT(20065, "[$-0E0000]yyyy-mm-dd")</f>
        <v/>
      </c>
      <c r="C20066" t="inlineStr">
        <is>
          <t>1954-11-14</t>
        </is>
      </c>
    </row>
    <row r="20067">
      <c r="A20067" s="1" t="n">
        <v>20066</v>
      </c>
      <c r="B20067">
        <f>TEXT(20066, "[$-0E0000]yyyy-mm-dd")</f>
        <v/>
      </c>
      <c r="C20067" t="inlineStr">
        <is>
          <t>1954-11-15</t>
        </is>
      </c>
    </row>
    <row r="20068">
      <c r="A20068" s="1" t="n">
        <v>20067</v>
      </c>
      <c r="B20068">
        <f>TEXT(20067, "[$-0E0000]yyyy-mm-dd")</f>
        <v/>
      </c>
      <c r="C20068" t="inlineStr">
        <is>
          <t>1954-11-16</t>
        </is>
      </c>
    </row>
    <row r="20069">
      <c r="A20069" s="1" t="n">
        <v>20068</v>
      </c>
      <c r="B20069">
        <f>TEXT(20068, "[$-0E0000]yyyy-mm-dd")</f>
        <v/>
      </c>
      <c r="C20069" t="inlineStr">
        <is>
          <t>1954-11-17</t>
        </is>
      </c>
    </row>
    <row r="20070">
      <c r="A20070" s="1" t="n">
        <v>20069</v>
      </c>
      <c r="B20070">
        <f>TEXT(20069, "[$-0E0000]yyyy-mm-dd")</f>
        <v/>
      </c>
      <c r="C20070" t="inlineStr">
        <is>
          <t>1954-11-18</t>
        </is>
      </c>
    </row>
    <row r="20071">
      <c r="A20071" s="1" t="n">
        <v>20070</v>
      </c>
      <c r="B20071">
        <f>TEXT(20070, "[$-0E0000]yyyy-mm-dd")</f>
        <v/>
      </c>
      <c r="C20071" t="inlineStr">
        <is>
          <t>1954-11-19</t>
        </is>
      </c>
    </row>
    <row r="20072">
      <c r="A20072" s="1" t="n">
        <v>20071</v>
      </c>
      <c r="B20072">
        <f>TEXT(20071, "[$-0E0000]yyyy-mm-dd")</f>
        <v/>
      </c>
      <c r="C20072" t="inlineStr">
        <is>
          <t>1954-11-20</t>
        </is>
      </c>
    </row>
    <row r="20073">
      <c r="A20073" s="1" t="n">
        <v>20072</v>
      </c>
      <c r="B20073">
        <f>TEXT(20072, "[$-0E0000]yyyy-mm-dd")</f>
        <v/>
      </c>
      <c r="C20073" t="inlineStr">
        <is>
          <t>1954-11-21</t>
        </is>
      </c>
    </row>
    <row r="20074">
      <c r="A20074" s="1" t="n">
        <v>20073</v>
      </c>
      <c r="B20074">
        <f>TEXT(20073, "[$-0E0000]yyyy-mm-dd")</f>
        <v/>
      </c>
      <c r="C20074" t="inlineStr">
        <is>
          <t>1954-11-22</t>
        </is>
      </c>
    </row>
    <row r="20075">
      <c r="A20075" s="1" t="n">
        <v>20074</v>
      </c>
      <c r="B20075">
        <f>TEXT(20074, "[$-0E0000]yyyy-mm-dd")</f>
        <v/>
      </c>
      <c r="C20075" t="inlineStr">
        <is>
          <t>1954-11-23</t>
        </is>
      </c>
    </row>
    <row r="20076">
      <c r="A20076" s="1" t="n">
        <v>20075</v>
      </c>
      <c r="B20076">
        <f>TEXT(20075, "[$-0E0000]yyyy-mm-dd")</f>
        <v/>
      </c>
      <c r="C20076" t="inlineStr">
        <is>
          <t>1954-11-24</t>
        </is>
      </c>
    </row>
    <row r="20077">
      <c r="A20077" s="1" t="n">
        <v>20076</v>
      </c>
      <c r="B20077">
        <f>TEXT(20076, "[$-0E0000]yyyy-mm-dd")</f>
        <v/>
      </c>
      <c r="C20077" t="inlineStr">
        <is>
          <t>1954-11-25</t>
        </is>
      </c>
    </row>
    <row r="20078">
      <c r="A20078" s="1" t="n">
        <v>20077</v>
      </c>
      <c r="B20078">
        <f>TEXT(20077, "[$-0E0000]yyyy-mm-dd")</f>
        <v/>
      </c>
      <c r="C20078" t="inlineStr">
        <is>
          <t>1954-11-26</t>
        </is>
      </c>
    </row>
    <row r="20079">
      <c r="A20079" s="1" t="n">
        <v>20078</v>
      </c>
      <c r="B20079">
        <f>TEXT(20078, "[$-0E0000]yyyy-mm-dd")</f>
        <v/>
      </c>
      <c r="C20079" t="inlineStr">
        <is>
          <t>1954-11-27</t>
        </is>
      </c>
    </row>
    <row r="20080">
      <c r="A20080" s="1" t="n">
        <v>20079</v>
      </c>
      <c r="B20080">
        <f>TEXT(20079, "[$-0E0000]yyyy-mm-dd")</f>
        <v/>
      </c>
      <c r="C20080" t="inlineStr">
        <is>
          <t>1954-11-28</t>
        </is>
      </c>
    </row>
    <row r="20081">
      <c r="A20081" s="1" t="n">
        <v>20080</v>
      </c>
      <c r="B20081">
        <f>TEXT(20080, "[$-0E0000]yyyy-mm-dd")</f>
        <v/>
      </c>
      <c r="C20081" t="inlineStr">
        <is>
          <t>1954-11-29</t>
        </is>
      </c>
    </row>
    <row r="20082">
      <c r="A20082" s="1" t="n">
        <v>20081</v>
      </c>
      <c r="B20082">
        <f>TEXT(20081, "[$-0E0000]yyyy-mm-dd")</f>
        <v/>
      </c>
      <c r="C20082" t="inlineStr">
        <is>
          <t>1954-11-30</t>
        </is>
      </c>
    </row>
    <row r="20083">
      <c r="A20083" s="1" t="n">
        <v>20082</v>
      </c>
      <c r="B20083">
        <f>TEXT(20082, "[$-0E0000]yyyy-mm-dd")</f>
        <v/>
      </c>
      <c r="C20083" t="inlineStr">
        <is>
          <t>1954-12-01</t>
        </is>
      </c>
    </row>
    <row r="20084">
      <c r="A20084" s="1" t="n">
        <v>20083</v>
      </c>
      <c r="B20084">
        <f>TEXT(20083, "[$-0E0000]yyyy-mm-dd")</f>
        <v/>
      </c>
      <c r="C20084" t="inlineStr">
        <is>
          <t>1954-12-02</t>
        </is>
      </c>
    </row>
    <row r="20085">
      <c r="A20085" s="1" t="n">
        <v>20084</v>
      </c>
      <c r="B20085">
        <f>TEXT(20084, "[$-0E0000]yyyy-mm-dd")</f>
        <v/>
      </c>
      <c r="C20085" t="inlineStr">
        <is>
          <t>1954-12-03</t>
        </is>
      </c>
    </row>
    <row r="20086">
      <c r="A20086" s="1" t="n">
        <v>20085</v>
      </c>
      <c r="B20086">
        <f>TEXT(20085, "[$-0E0000]yyyy-mm-dd")</f>
        <v/>
      </c>
      <c r="C20086" t="inlineStr">
        <is>
          <t>1954-12-04</t>
        </is>
      </c>
    </row>
    <row r="20087">
      <c r="A20087" s="1" t="n">
        <v>20086</v>
      </c>
      <c r="B20087">
        <f>TEXT(20086, "[$-0E0000]yyyy-mm-dd")</f>
        <v/>
      </c>
      <c r="C20087" t="inlineStr">
        <is>
          <t>1954-12-05</t>
        </is>
      </c>
    </row>
    <row r="20088">
      <c r="A20088" s="1" t="n">
        <v>20087</v>
      </c>
      <c r="B20088">
        <f>TEXT(20087, "[$-0E0000]yyyy-mm-dd")</f>
        <v/>
      </c>
      <c r="C20088" t="inlineStr">
        <is>
          <t>1954-12-06</t>
        </is>
      </c>
    </row>
    <row r="20089">
      <c r="A20089" s="1" t="n">
        <v>20088</v>
      </c>
      <c r="B20089">
        <f>TEXT(20088, "[$-0E0000]yyyy-mm-dd")</f>
        <v/>
      </c>
      <c r="C20089" t="inlineStr">
        <is>
          <t>1954-12-07</t>
        </is>
      </c>
    </row>
    <row r="20090">
      <c r="A20090" s="1" t="n">
        <v>20089</v>
      </c>
      <c r="B20090">
        <f>TEXT(20089, "[$-0E0000]yyyy-mm-dd")</f>
        <v/>
      </c>
      <c r="C20090" t="inlineStr">
        <is>
          <t>1954-12-08</t>
        </is>
      </c>
    </row>
    <row r="20091">
      <c r="A20091" s="1" t="n">
        <v>20090</v>
      </c>
      <c r="B20091">
        <f>TEXT(20090, "[$-0E0000]yyyy-mm-dd")</f>
        <v/>
      </c>
      <c r="C20091" t="inlineStr">
        <is>
          <t>1954-12-09</t>
        </is>
      </c>
    </row>
    <row r="20092">
      <c r="A20092" s="1" t="n">
        <v>20091</v>
      </c>
      <c r="B20092">
        <f>TEXT(20091, "[$-0E0000]yyyy-mm-dd")</f>
        <v/>
      </c>
      <c r="C20092" t="inlineStr">
        <is>
          <t>1954-12-10</t>
        </is>
      </c>
    </row>
    <row r="20093">
      <c r="A20093" s="1" t="n">
        <v>20092</v>
      </c>
      <c r="B20093">
        <f>TEXT(20092, "[$-0E0000]yyyy-mm-dd")</f>
        <v/>
      </c>
      <c r="C20093" t="inlineStr">
        <is>
          <t>1954-12-11</t>
        </is>
      </c>
    </row>
    <row r="20094">
      <c r="A20094" s="1" t="n">
        <v>20093</v>
      </c>
      <c r="B20094">
        <f>TEXT(20093, "[$-0E0000]yyyy-mm-dd")</f>
        <v/>
      </c>
      <c r="C20094" t="inlineStr">
        <is>
          <t>1954-12-12</t>
        </is>
      </c>
    </row>
    <row r="20095">
      <c r="A20095" s="1" t="n">
        <v>20094</v>
      </c>
      <c r="B20095">
        <f>TEXT(20094, "[$-0E0000]yyyy-mm-dd")</f>
        <v/>
      </c>
      <c r="C20095" t="inlineStr">
        <is>
          <t>1954-12-13</t>
        </is>
      </c>
    </row>
    <row r="20096">
      <c r="A20096" s="1" t="n">
        <v>20095</v>
      </c>
      <c r="B20096">
        <f>TEXT(20095, "[$-0E0000]yyyy-mm-dd")</f>
        <v/>
      </c>
      <c r="C20096" t="inlineStr">
        <is>
          <t>1954-12-14</t>
        </is>
      </c>
    </row>
    <row r="20097">
      <c r="A20097" s="1" t="n">
        <v>20096</v>
      </c>
      <c r="B20097">
        <f>TEXT(20096, "[$-0E0000]yyyy-mm-dd")</f>
        <v/>
      </c>
      <c r="C20097" t="inlineStr">
        <is>
          <t>1954-12-15</t>
        </is>
      </c>
    </row>
    <row r="20098">
      <c r="A20098" s="1" t="n">
        <v>20097</v>
      </c>
      <c r="B20098">
        <f>TEXT(20097, "[$-0E0000]yyyy-mm-dd")</f>
        <v/>
      </c>
      <c r="C20098" t="inlineStr">
        <is>
          <t>1954-12-16</t>
        </is>
      </c>
    </row>
    <row r="20099">
      <c r="A20099" s="1" t="n">
        <v>20098</v>
      </c>
      <c r="B20099">
        <f>TEXT(20098, "[$-0E0000]yyyy-mm-dd")</f>
        <v/>
      </c>
      <c r="C20099" t="inlineStr">
        <is>
          <t>1954-12-17</t>
        </is>
      </c>
    </row>
    <row r="20100">
      <c r="A20100" s="1" t="n">
        <v>20099</v>
      </c>
      <c r="B20100">
        <f>TEXT(20099, "[$-0E0000]yyyy-mm-dd")</f>
        <v/>
      </c>
      <c r="C20100" t="inlineStr">
        <is>
          <t>1954-12-18</t>
        </is>
      </c>
    </row>
    <row r="20101">
      <c r="A20101" s="1" t="n">
        <v>20100</v>
      </c>
      <c r="B20101">
        <f>TEXT(20100, "[$-0E0000]yyyy-mm-dd")</f>
        <v/>
      </c>
      <c r="C20101" t="inlineStr">
        <is>
          <t>1954-12-19</t>
        </is>
      </c>
    </row>
    <row r="20102">
      <c r="A20102" s="1" t="n">
        <v>20101</v>
      </c>
      <c r="B20102">
        <f>TEXT(20101, "[$-0E0000]yyyy-mm-dd")</f>
        <v/>
      </c>
      <c r="C20102" t="inlineStr">
        <is>
          <t>1954-12-20</t>
        </is>
      </c>
    </row>
    <row r="20103">
      <c r="A20103" s="1" t="n">
        <v>20102</v>
      </c>
      <c r="B20103">
        <f>TEXT(20102, "[$-0E0000]yyyy-mm-dd")</f>
        <v/>
      </c>
      <c r="C20103" t="inlineStr">
        <is>
          <t>1954-12-21</t>
        </is>
      </c>
    </row>
    <row r="20104">
      <c r="A20104" s="1" t="n">
        <v>20103</v>
      </c>
      <c r="B20104">
        <f>TEXT(20103, "[$-0E0000]yyyy-mm-dd")</f>
        <v/>
      </c>
      <c r="C20104" t="inlineStr">
        <is>
          <t>1954-12-22</t>
        </is>
      </c>
    </row>
    <row r="20105">
      <c r="A20105" s="1" t="n">
        <v>20104</v>
      </c>
      <c r="B20105">
        <f>TEXT(20104, "[$-0E0000]yyyy-mm-dd")</f>
        <v/>
      </c>
      <c r="C20105" t="inlineStr">
        <is>
          <t>1954-12-23</t>
        </is>
      </c>
    </row>
    <row r="20106">
      <c r="A20106" s="1" t="n">
        <v>20105</v>
      </c>
      <c r="B20106">
        <f>TEXT(20105, "[$-0E0000]yyyy-mm-dd")</f>
        <v/>
      </c>
      <c r="C20106" t="inlineStr">
        <is>
          <t>1954-12-24</t>
        </is>
      </c>
    </row>
    <row r="20107">
      <c r="A20107" s="1" t="n">
        <v>20106</v>
      </c>
      <c r="B20107">
        <f>TEXT(20106, "[$-0E0000]yyyy-mm-dd")</f>
        <v/>
      </c>
      <c r="C20107" t="inlineStr">
        <is>
          <t>1954-12-25</t>
        </is>
      </c>
    </row>
    <row r="20108">
      <c r="A20108" s="1" t="n">
        <v>20107</v>
      </c>
      <c r="B20108">
        <f>TEXT(20107, "[$-0E0000]yyyy-mm-dd")</f>
        <v/>
      </c>
      <c r="C20108" t="inlineStr">
        <is>
          <t>1954-12-26</t>
        </is>
      </c>
    </row>
    <row r="20109">
      <c r="A20109" s="1" t="n">
        <v>20108</v>
      </c>
      <c r="B20109">
        <f>TEXT(20108, "[$-0E0000]yyyy-mm-dd")</f>
        <v/>
      </c>
      <c r="C20109" t="inlineStr">
        <is>
          <t>1954-12-27</t>
        </is>
      </c>
    </row>
    <row r="20110">
      <c r="A20110" s="1" t="n">
        <v>20109</v>
      </c>
      <c r="B20110">
        <f>TEXT(20109, "[$-0E0000]yyyy-mm-dd")</f>
        <v/>
      </c>
      <c r="C20110" t="inlineStr">
        <is>
          <t>1954-12-28</t>
        </is>
      </c>
    </row>
    <row r="20111">
      <c r="A20111" s="1" t="n">
        <v>20110</v>
      </c>
      <c r="B20111">
        <f>TEXT(20110, "[$-0E0000]yyyy-mm-dd")</f>
        <v/>
      </c>
      <c r="C20111" t="inlineStr">
        <is>
          <t>1954-12-29</t>
        </is>
      </c>
    </row>
    <row r="20112">
      <c r="A20112" s="1" t="n">
        <v>20111</v>
      </c>
      <c r="B20112">
        <f>TEXT(20111, "[$-0E0000]yyyy-mm-dd")</f>
        <v/>
      </c>
      <c r="C20112" t="inlineStr">
        <is>
          <t>1954-12-30</t>
        </is>
      </c>
    </row>
    <row r="20113">
      <c r="A20113" s="1" t="n">
        <v>20112</v>
      </c>
      <c r="B20113">
        <f>TEXT(20112, "[$-0E0000]yyyy-mm-dd")</f>
        <v/>
      </c>
      <c r="C20113" t="inlineStr">
        <is>
          <t>1955-01-01</t>
        </is>
      </c>
    </row>
    <row r="20114">
      <c r="A20114" s="1" t="n">
        <v>20113</v>
      </c>
      <c r="B20114">
        <f>TEXT(20113, "[$-0E0000]yyyy-mm-dd")</f>
        <v/>
      </c>
      <c r="C20114" t="inlineStr">
        <is>
          <t>1955-01-02</t>
        </is>
      </c>
    </row>
    <row r="20115">
      <c r="A20115" s="1" t="n">
        <v>20114</v>
      </c>
      <c r="B20115">
        <f>TEXT(20114, "[$-0E0000]yyyy-mm-dd")</f>
        <v/>
      </c>
      <c r="C20115" t="inlineStr">
        <is>
          <t>1955-01-03</t>
        </is>
      </c>
    </row>
    <row r="20116">
      <c r="A20116" s="1" t="n">
        <v>20115</v>
      </c>
      <c r="B20116">
        <f>TEXT(20115, "[$-0E0000]yyyy-mm-dd")</f>
        <v/>
      </c>
      <c r="C20116" t="inlineStr">
        <is>
          <t>1955-01-04</t>
        </is>
      </c>
    </row>
    <row r="20117">
      <c r="A20117" s="1" t="n">
        <v>20116</v>
      </c>
      <c r="B20117">
        <f>TEXT(20116, "[$-0E0000]yyyy-mm-dd")</f>
        <v/>
      </c>
      <c r="C20117" t="inlineStr">
        <is>
          <t>1955-01-05</t>
        </is>
      </c>
    </row>
    <row r="20118">
      <c r="A20118" s="1" t="n">
        <v>20117</v>
      </c>
      <c r="B20118">
        <f>TEXT(20117, "[$-0E0000]yyyy-mm-dd")</f>
        <v/>
      </c>
      <c r="C20118" t="inlineStr">
        <is>
          <t>1955-01-06</t>
        </is>
      </c>
    </row>
    <row r="20119">
      <c r="A20119" s="1" t="n">
        <v>20118</v>
      </c>
      <c r="B20119">
        <f>TEXT(20118, "[$-0E0000]yyyy-mm-dd")</f>
        <v/>
      </c>
      <c r="C20119" t="inlineStr">
        <is>
          <t>1955-01-07</t>
        </is>
      </c>
    </row>
    <row r="20120">
      <c r="A20120" s="1" t="n">
        <v>20119</v>
      </c>
      <c r="B20120">
        <f>TEXT(20119, "[$-0E0000]yyyy-mm-dd")</f>
        <v/>
      </c>
      <c r="C20120" t="inlineStr">
        <is>
          <t>1955-01-08</t>
        </is>
      </c>
    </row>
    <row r="20121">
      <c r="A20121" s="1" t="n">
        <v>20120</v>
      </c>
      <c r="B20121">
        <f>TEXT(20120, "[$-0E0000]yyyy-mm-dd")</f>
        <v/>
      </c>
      <c r="C20121" t="inlineStr">
        <is>
          <t>1955-01-09</t>
        </is>
      </c>
    </row>
    <row r="20122">
      <c r="A20122" s="1" t="n">
        <v>20121</v>
      </c>
      <c r="B20122">
        <f>TEXT(20121, "[$-0E0000]yyyy-mm-dd")</f>
        <v/>
      </c>
      <c r="C20122" t="inlineStr">
        <is>
          <t>1955-01-10</t>
        </is>
      </c>
    </row>
    <row r="20123">
      <c r="A20123" s="1" t="n">
        <v>20122</v>
      </c>
      <c r="B20123">
        <f>TEXT(20122, "[$-0E0000]yyyy-mm-dd")</f>
        <v/>
      </c>
      <c r="C20123" t="inlineStr">
        <is>
          <t>1955-01-11</t>
        </is>
      </c>
    </row>
    <row r="20124">
      <c r="A20124" s="1" t="n">
        <v>20123</v>
      </c>
      <c r="B20124">
        <f>TEXT(20123, "[$-0E0000]yyyy-mm-dd")</f>
        <v/>
      </c>
      <c r="C20124" t="inlineStr">
        <is>
          <t>1955-01-12</t>
        </is>
      </c>
    </row>
    <row r="20125">
      <c r="A20125" s="1" t="n">
        <v>20124</v>
      </c>
      <c r="B20125">
        <f>TEXT(20124, "[$-0E0000]yyyy-mm-dd")</f>
        <v/>
      </c>
      <c r="C20125" t="inlineStr">
        <is>
          <t>1955-01-13</t>
        </is>
      </c>
    </row>
    <row r="20126">
      <c r="A20126" s="1" t="n">
        <v>20125</v>
      </c>
      <c r="B20126">
        <f>TEXT(20125, "[$-0E0000]yyyy-mm-dd")</f>
        <v/>
      </c>
      <c r="C20126" t="inlineStr">
        <is>
          <t>1955-01-14</t>
        </is>
      </c>
    </row>
    <row r="20127">
      <c r="A20127" s="1" t="n">
        <v>20126</v>
      </c>
      <c r="B20127">
        <f>TEXT(20126, "[$-0E0000]yyyy-mm-dd")</f>
        <v/>
      </c>
      <c r="C20127" t="inlineStr">
        <is>
          <t>1955-01-15</t>
        </is>
      </c>
    </row>
    <row r="20128">
      <c r="A20128" s="1" t="n">
        <v>20127</v>
      </c>
      <c r="B20128">
        <f>TEXT(20127, "[$-0E0000]yyyy-mm-dd")</f>
        <v/>
      </c>
      <c r="C20128" t="inlineStr">
        <is>
          <t>1955-01-16</t>
        </is>
      </c>
    </row>
    <row r="20129">
      <c r="A20129" s="1" t="n">
        <v>20128</v>
      </c>
      <c r="B20129">
        <f>TEXT(20128, "[$-0E0000]yyyy-mm-dd")</f>
        <v/>
      </c>
      <c r="C20129" t="inlineStr">
        <is>
          <t>1955-01-17</t>
        </is>
      </c>
    </row>
    <row r="20130">
      <c r="A20130" s="1" t="n">
        <v>20129</v>
      </c>
      <c r="B20130">
        <f>TEXT(20129, "[$-0E0000]yyyy-mm-dd")</f>
        <v/>
      </c>
      <c r="C20130" t="inlineStr">
        <is>
          <t>1955-01-18</t>
        </is>
      </c>
    </row>
    <row r="20131">
      <c r="A20131" s="1" t="n">
        <v>20130</v>
      </c>
      <c r="B20131">
        <f>TEXT(20130, "[$-0E0000]yyyy-mm-dd")</f>
        <v/>
      </c>
      <c r="C20131" t="inlineStr">
        <is>
          <t>1955-01-19</t>
        </is>
      </c>
    </row>
    <row r="20132">
      <c r="A20132" s="1" t="n">
        <v>20131</v>
      </c>
      <c r="B20132">
        <f>TEXT(20131, "[$-0E0000]yyyy-mm-dd")</f>
        <v/>
      </c>
      <c r="C20132" t="inlineStr">
        <is>
          <t>1955-01-20</t>
        </is>
      </c>
    </row>
    <row r="20133">
      <c r="A20133" s="1" t="n">
        <v>20132</v>
      </c>
      <c r="B20133">
        <f>TEXT(20132, "[$-0E0000]yyyy-mm-dd")</f>
        <v/>
      </c>
      <c r="C20133" t="inlineStr">
        <is>
          <t>1955-01-21</t>
        </is>
      </c>
    </row>
    <row r="20134">
      <c r="A20134" s="1" t="n">
        <v>20133</v>
      </c>
      <c r="B20134">
        <f>TEXT(20133, "[$-0E0000]yyyy-mm-dd")</f>
        <v/>
      </c>
      <c r="C20134" t="inlineStr">
        <is>
          <t>1955-01-22</t>
        </is>
      </c>
    </row>
    <row r="20135">
      <c r="A20135" s="1" t="n">
        <v>20134</v>
      </c>
      <c r="B20135">
        <f>TEXT(20134, "[$-0E0000]yyyy-mm-dd")</f>
        <v/>
      </c>
      <c r="C20135" t="inlineStr">
        <is>
          <t>1955-01-23</t>
        </is>
      </c>
    </row>
    <row r="20136">
      <c r="A20136" s="1" t="n">
        <v>20135</v>
      </c>
      <c r="B20136">
        <f>TEXT(20135, "[$-0E0000]yyyy-mm-dd")</f>
        <v/>
      </c>
      <c r="C20136" t="inlineStr">
        <is>
          <t>1955-01-24</t>
        </is>
      </c>
    </row>
    <row r="20137">
      <c r="A20137" s="1" t="n">
        <v>20136</v>
      </c>
      <c r="B20137">
        <f>TEXT(20136, "[$-0E0000]yyyy-mm-dd")</f>
        <v/>
      </c>
      <c r="C20137" t="inlineStr">
        <is>
          <t>1955-01-25</t>
        </is>
      </c>
    </row>
    <row r="20138">
      <c r="A20138" s="1" t="n">
        <v>20137</v>
      </c>
      <c r="B20138">
        <f>TEXT(20137, "[$-0E0000]yyyy-mm-dd")</f>
        <v/>
      </c>
      <c r="C20138" t="inlineStr">
        <is>
          <t>1955-01-26</t>
        </is>
      </c>
    </row>
    <row r="20139">
      <c r="A20139" s="1" t="n">
        <v>20138</v>
      </c>
      <c r="B20139">
        <f>TEXT(20138, "[$-0E0000]yyyy-mm-dd")</f>
        <v/>
      </c>
      <c r="C20139" t="inlineStr">
        <is>
          <t>1955-01-27</t>
        </is>
      </c>
    </row>
    <row r="20140">
      <c r="A20140" s="1" t="n">
        <v>20139</v>
      </c>
      <c r="B20140">
        <f>TEXT(20139, "[$-0E0000]yyyy-mm-dd")</f>
        <v/>
      </c>
      <c r="C20140" t="inlineStr">
        <is>
          <t>1955-01-28</t>
        </is>
      </c>
    </row>
    <row r="20141">
      <c r="A20141" s="1" t="n">
        <v>20140</v>
      </c>
      <c r="B20141">
        <f>TEXT(20140, "[$-0E0000]yyyy-mm-dd")</f>
        <v/>
      </c>
      <c r="C20141" t="inlineStr">
        <is>
          <t>1955-01-29</t>
        </is>
      </c>
    </row>
    <row r="20142">
      <c r="A20142" s="1" t="n">
        <v>20141</v>
      </c>
      <c r="B20142">
        <f>TEXT(20141, "[$-0E0000]yyyy-mm-dd")</f>
        <v/>
      </c>
      <c r="C20142" t="inlineStr">
        <is>
          <t>1955-02-01</t>
        </is>
      </c>
    </row>
    <row r="20143">
      <c r="A20143" s="1" t="n">
        <v>20142</v>
      </c>
      <c r="B20143">
        <f>TEXT(20142, "[$-0E0000]yyyy-mm-dd")</f>
        <v/>
      </c>
      <c r="C20143" t="inlineStr">
        <is>
          <t>1955-02-02</t>
        </is>
      </c>
    </row>
    <row r="20144">
      <c r="A20144" s="1" t="n">
        <v>20143</v>
      </c>
      <c r="B20144">
        <f>TEXT(20143, "[$-0E0000]yyyy-mm-dd")</f>
        <v/>
      </c>
      <c r="C20144" t="inlineStr">
        <is>
          <t>1955-02-03</t>
        </is>
      </c>
    </row>
    <row r="20145">
      <c r="A20145" s="1" t="n">
        <v>20144</v>
      </c>
      <c r="B20145">
        <f>TEXT(20144, "[$-0E0000]yyyy-mm-dd")</f>
        <v/>
      </c>
      <c r="C20145" t="inlineStr">
        <is>
          <t>1955-02-04</t>
        </is>
      </c>
    </row>
    <row r="20146">
      <c r="A20146" s="1" t="n">
        <v>20145</v>
      </c>
      <c r="B20146">
        <f>TEXT(20145, "[$-0E0000]yyyy-mm-dd")</f>
        <v/>
      </c>
      <c r="C20146" t="inlineStr">
        <is>
          <t>1955-02-05</t>
        </is>
      </c>
    </row>
    <row r="20147">
      <c r="A20147" s="1" t="n">
        <v>20146</v>
      </c>
      <c r="B20147">
        <f>TEXT(20146, "[$-0E0000]yyyy-mm-dd")</f>
        <v/>
      </c>
      <c r="C20147" t="inlineStr">
        <is>
          <t>1955-02-06</t>
        </is>
      </c>
    </row>
    <row r="20148">
      <c r="A20148" s="1" t="n">
        <v>20147</v>
      </c>
      <c r="B20148">
        <f>TEXT(20147, "[$-0E0000]yyyy-mm-dd")</f>
        <v/>
      </c>
      <c r="C20148" t="inlineStr">
        <is>
          <t>1955-02-07</t>
        </is>
      </c>
    </row>
    <row r="20149">
      <c r="A20149" s="1" t="n">
        <v>20148</v>
      </c>
      <c r="B20149">
        <f>TEXT(20148, "[$-0E0000]yyyy-mm-dd")</f>
        <v/>
      </c>
      <c r="C20149" t="inlineStr">
        <is>
          <t>1955-02-08</t>
        </is>
      </c>
    </row>
    <row r="20150">
      <c r="A20150" s="1" t="n">
        <v>20149</v>
      </c>
      <c r="B20150">
        <f>TEXT(20149, "[$-0E0000]yyyy-mm-dd")</f>
        <v/>
      </c>
      <c r="C20150" t="inlineStr">
        <is>
          <t>1955-02-09</t>
        </is>
      </c>
    </row>
    <row r="20151">
      <c r="A20151" s="1" t="n">
        <v>20150</v>
      </c>
      <c r="B20151">
        <f>TEXT(20150, "[$-0E0000]yyyy-mm-dd")</f>
        <v/>
      </c>
      <c r="C20151" t="inlineStr">
        <is>
          <t>1955-02-10</t>
        </is>
      </c>
    </row>
    <row r="20152">
      <c r="A20152" s="1" t="n">
        <v>20151</v>
      </c>
      <c r="B20152">
        <f>TEXT(20151, "[$-0E0000]yyyy-mm-dd")</f>
        <v/>
      </c>
      <c r="C20152" t="inlineStr">
        <is>
          <t>1955-02-11</t>
        </is>
      </c>
    </row>
    <row r="20153">
      <c r="A20153" s="1" t="n">
        <v>20152</v>
      </c>
      <c r="B20153">
        <f>TEXT(20152, "[$-0E0000]yyyy-mm-dd")</f>
        <v/>
      </c>
      <c r="C20153" t="inlineStr">
        <is>
          <t>1955-02-12</t>
        </is>
      </c>
    </row>
    <row r="20154">
      <c r="A20154" s="1" t="n">
        <v>20153</v>
      </c>
      <c r="B20154">
        <f>TEXT(20153, "[$-0E0000]yyyy-mm-dd")</f>
        <v/>
      </c>
      <c r="C20154" t="inlineStr">
        <is>
          <t>1955-02-13</t>
        </is>
      </c>
    </row>
    <row r="20155">
      <c r="A20155" s="1" t="n">
        <v>20154</v>
      </c>
      <c r="B20155">
        <f>TEXT(20154, "[$-0E0000]yyyy-mm-dd")</f>
        <v/>
      </c>
      <c r="C20155" t="inlineStr">
        <is>
          <t>1955-02-14</t>
        </is>
      </c>
    </row>
    <row r="20156">
      <c r="A20156" s="1" t="n">
        <v>20155</v>
      </c>
      <c r="B20156">
        <f>TEXT(20155, "[$-0E0000]yyyy-mm-dd")</f>
        <v/>
      </c>
      <c r="C20156" t="inlineStr">
        <is>
          <t>1955-02-15</t>
        </is>
      </c>
    </row>
    <row r="20157">
      <c r="A20157" s="1" t="n">
        <v>20156</v>
      </c>
      <c r="B20157">
        <f>TEXT(20156, "[$-0E0000]yyyy-mm-dd")</f>
        <v/>
      </c>
      <c r="C20157" t="inlineStr">
        <is>
          <t>1955-02-16</t>
        </is>
      </c>
    </row>
    <row r="20158">
      <c r="A20158" s="1" t="n">
        <v>20157</v>
      </c>
      <c r="B20158">
        <f>TEXT(20157, "[$-0E0000]yyyy-mm-dd")</f>
        <v/>
      </c>
      <c r="C20158" t="inlineStr">
        <is>
          <t>1955-02-17</t>
        </is>
      </c>
    </row>
    <row r="20159">
      <c r="A20159" s="1" t="n">
        <v>20158</v>
      </c>
      <c r="B20159">
        <f>TEXT(20158, "[$-0E0000]yyyy-mm-dd")</f>
        <v/>
      </c>
      <c r="C20159" t="inlineStr">
        <is>
          <t>1955-02-18</t>
        </is>
      </c>
    </row>
    <row r="20160">
      <c r="A20160" s="1" t="n">
        <v>20159</v>
      </c>
      <c r="B20160">
        <f>TEXT(20159, "[$-0E0000]yyyy-mm-dd")</f>
        <v/>
      </c>
      <c r="C20160" t="inlineStr">
        <is>
          <t>1955-02-19</t>
        </is>
      </c>
    </row>
    <row r="20161">
      <c r="A20161" s="1" t="n">
        <v>20160</v>
      </c>
      <c r="B20161">
        <f>TEXT(20160, "[$-0E0000]yyyy-mm-dd")</f>
        <v/>
      </c>
      <c r="C20161" t="inlineStr">
        <is>
          <t>1955-02-20</t>
        </is>
      </c>
    </row>
    <row r="20162">
      <c r="A20162" s="1" t="n">
        <v>20161</v>
      </c>
      <c r="B20162">
        <f>TEXT(20161, "[$-0E0000]yyyy-mm-dd")</f>
        <v/>
      </c>
      <c r="C20162" t="inlineStr">
        <is>
          <t>1955-02-21</t>
        </is>
      </c>
    </row>
    <row r="20163">
      <c r="A20163" s="1" t="n">
        <v>20162</v>
      </c>
      <c r="B20163">
        <f>TEXT(20162, "[$-0E0000]yyyy-mm-dd")</f>
        <v/>
      </c>
      <c r="C20163" t="inlineStr">
        <is>
          <t>1955-02-22</t>
        </is>
      </c>
    </row>
    <row r="20164">
      <c r="A20164" s="1" t="n">
        <v>20163</v>
      </c>
      <c r="B20164">
        <f>TEXT(20163, "[$-0E0000]yyyy-mm-dd")</f>
        <v/>
      </c>
      <c r="C20164" t="inlineStr">
        <is>
          <t>1955-02-23</t>
        </is>
      </c>
    </row>
    <row r="20165">
      <c r="A20165" s="1" t="n">
        <v>20164</v>
      </c>
      <c r="B20165">
        <f>TEXT(20164, "[$-0E0000]yyyy-mm-dd")</f>
        <v/>
      </c>
      <c r="C20165" t="inlineStr">
        <is>
          <t>1955-02-24</t>
        </is>
      </c>
    </row>
    <row r="20166">
      <c r="A20166" s="1" t="n">
        <v>20165</v>
      </c>
      <c r="B20166">
        <f>TEXT(20165, "[$-0E0000]yyyy-mm-dd")</f>
        <v/>
      </c>
      <c r="C20166" t="inlineStr">
        <is>
          <t>1955-02-25</t>
        </is>
      </c>
    </row>
    <row r="20167">
      <c r="A20167" s="1" t="n">
        <v>20166</v>
      </c>
      <c r="B20167">
        <f>TEXT(20166, "[$-0E0000]yyyy-mm-dd")</f>
        <v/>
      </c>
      <c r="C20167" t="inlineStr">
        <is>
          <t>1955-02-26</t>
        </is>
      </c>
    </row>
    <row r="20168">
      <c r="A20168" s="1" t="n">
        <v>20167</v>
      </c>
      <c r="B20168">
        <f>TEXT(20167, "[$-0E0000]yyyy-mm-dd")</f>
        <v/>
      </c>
      <c r="C20168" t="inlineStr">
        <is>
          <t>1955-02-27</t>
        </is>
      </c>
    </row>
    <row r="20169">
      <c r="A20169" s="1" t="n">
        <v>20168</v>
      </c>
      <c r="B20169">
        <f>TEXT(20168, "[$-0E0000]yyyy-mm-dd")</f>
        <v/>
      </c>
      <c r="C20169" t="inlineStr">
        <is>
          <t>1955-02-28</t>
        </is>
      </c>
    </row>
    <row r="20170">
      <c r="A20170" s="1" t="n">
        <v>20169</v>
      </c>
      <c r="B20170">
        <f>TEXT(20169, "[$-0E0000]yyyy-mm-dd")</f>
        <v/>
      </c>
      <c r="C20170" t="inlineStr">
        <is>
          <t>1955-02-29</t>
        </is>
      </c>
    </row>
    <row r="20171">
      <c r="A20171" s="1" t="n">
        <v>20170</v>
      </c>
      <c r="B20171">
        <f>TEXT(20170, "[$-0E0000]yyyy-mm-dd")</f>
        <v/>
      </c>
      <c r="C20171" t="inlineStr">
        <is>
          <t>1955-02-30</t>
        </is>
      </c>
    </row>
    <row r="20172">
      <c r="A20172" s="1" t="n">
        <v>20171</v>
      </c>
      <c r="B20172">
        <f>TEXT(20171, "[$-0E0000]yyyy-mm-dd")</f>
        <v/>
      </c>
      <c r="C20172" t="inlineStr">
        <is>
          <t>1955-03-01</t>
        </is>
      </c>
    </row>
    <row r="20173">
      <c r="A20173" s="1" t="n">
        <v>20172</v>
      </c>
      <c r="B20173">
        <f>TEXT(20172, "[$-0E0000]yyyy-mm-dd")</f>
        <v/>
      </c>
      <c r="C20173" t="inlineStr">
        <is>
          <t>1955-03-02</t>
        </is>
      </c>
    </row>
    <row r="20174">
      <c r="A20174" s="1" t="n">
        <v>20173</v>
      </c>
      <c r="B20174">
        <f>TEXT(20173, "[$-0E0000]yyyy-mm-dd")</f>
        <v/>
      </c>
      <c r="C20174" t="inlineStr">
        <is>
          <t>1955-03-03</t>
        </is>
      </c>
    </row>
    <row r="20175">
      <c r="A20175" s="1" t="n">
        <v>20174</v>
      </c>
      <c r="B20175">
        <f>TEXT(20174, "[$-0E0000]yyyy-mm-dd")</f>
        <v/>
      </c>
      <c r="C20175" t="inlineStr">
        <is>
          <t>1955-03-04</t>
        </is>
      </c>
    </row>
    <row r="20176">
      <c r="A20176" s="1" t="n">
        <v>20175</v>
      </c>
      <c r="B20176">
        <f>TEXT(20175, "[$-0E0000]yyyy-mm-dd")</f>
        <v/>
      </c>
      <c r="C20176" t="inlineStr">
        <is>
          <t>1955-03-05</t>
        </is>
      </c>
    </row>
    <row r="20177">
      <c r="A20177" s="1" t="n">
        <v>20176</v>
      </c>
      <c r="B20177">
        <f>TEXT(20176, "[$-0E0000]yyyy-mm-dd")</f>
        <v/>
      </c>
      <c r="C20177" t="inlineStr">
        <is>
          <t>1955-03-06</t>
        </is>
      </c>
    </row>
    <row r="20178">
      <c r="A20178" s="1" t="n">
        <v>20177</v>
      </c>
      <c r="B20178">
        <f>TEXT(20177, "[$-0E0000]yyyy-mm-dd")</f>
        <v/>
      </c>
      <c r="C20178" t="inlineStr">
        <is>
          <t>1955-03-07</t>
        </is>
      </c>
    </row>
    <row r="20179">
      <c r="A20179" s="1" t="n">
        <v>20178</v>
      </c>
      <c r="B20179">
        <f>TEXT(20178, "[$-0E0000]yyyy-mm-dd")</f>
        <v/>
      </c>
      <c r="C20179" t="inlineStr">
        <is>
          <t>1955-03-08</t>
        </is>
      </c>
    </row>
    <row r="20180">
      <c r="A20180" s="1" t="n">
        <v>20179</v>
      </c>
      <c r="B20180">
        <f>TEXT(20179, "[$-0E0000]yyyy-mm-dd")</f>
        <v/>
      </c>
      <c r="C20180" t="inlineStr">
        <is>
          <t>1955-03-09</t>
        </is>
      </c>
    </row>
    <row r="20181">
      <c r="A20181" s="1" t="n">
        <v>20180</v>
      </c>
      <c r="B20181">
        <f>TEXT(20180, "[$-0E0000]yyyy-mm-dd")</f>
        <v/>
      </c>
      <c r="C20181" t="inlineStr">
        <is>
          <t>1955-03-10</t>
        </is>
      </c>
    </row>
    <row r="20182">
      <c r="A20182" s="1" t="n">
        <v>20181</v>
      </c>
      <c r="B20182">
        <f>TEXT(20181, "[$-0E0000]yyyy-mm-dd")</f>
        <v/>
      </c>
      <c r="C20182" t="inlineStr">
        <is>
          <t>1955-03-11</t>
        </is>
      </c>
    </row>
    <row r="20183">
      <c r="A20183" s="1" t="n">
        <v>20182</v>
      </c>
      <c r="B20183">
        <f>TEXT(20182, "[$-0E0000]yyyy-mm-dd")</f>
        <v/>
      </c>
      <c r="C20183" t="inlineStr">
        <is>
          <t>1955-03-12</t>
        </is>
      </c>
    </row>
    <row r="20184">
      <c r="A20184" s="1" t="n">
        <v>20183</v>
      </c>
      <c r="B20184">
        <f>TEXT(20183, "[$-0E0000]yyyy-mm-dd")</f>
        <v/>
      </c>
      <c r="C20184" t="inlineStr">
        <is>
          <t>1955-03-13</t>
        </is>
      </c>
    </row>
    <row r="20185">
      <c r="A20185" s="1" t="n">
        <v>20184</v>
      </c>
      <c r="B20185">
        <f>TEXT(20184, "[$-0E0000]yyyy-mm-dd")</f>
        <v/>
      </c>
      <c r="C20185" t="inlineStr">
        <is>
          <t>1955-03-14</t>
        </is>
      </c>
    </row>
    <row r="20186">
      <c r="A20186" s="1" t="n">
        <v>20185</v>
      </c>
      <c r="B20186">
        <f>TEXT(20185, "[$-0E0000]yyyy-mm-dd")</f>
        <v/>
      </c>
      <c r="C20186" t="inlineStr">
        <is>
          <t>1955-03-15</t>
        </is>
      </c>
    </row>
    <row r="20187">
      <c r="A20187" s="1" t="n">
        <v>20186</v>
      </c>
      <c r="B20187">
        <f>TEXT(20186, "[$-0E0000]yyyy-mm-dd")</f>
        <v/>
      </c>
      <c r="C20187" t="inlineStr">
        <is>
          <t>1955-03-16</t>
        </is>
      </c>
    </row>
    <row r="20188">
      <c r="A20188" s="1" t="n">
        <v>20187</v>
      </c>
      <c r="B20188">
        <f>TEXT(20187, "[$-0E0000]yyyy-mm-dd")</f>
        <v/>
      </c>
      <c r="C20188" t="inlineStr">
        <is>
          <t>1955-03-17</t>
        </is>
      </c>
    </row>
    <row r="20189">
      <c r="A20189" s="1" t="n">
        <v>20188</v>
      </c>
      <c r="B20189">
        <f>TEXT(20188, "[$-0E0000]yyyy-mm-dd")</f>
        <v/>
      </c>
      <c r="C20189" t="inlineStr">
        <is>
          <t>1955-03-18</t>
        </is>
      </c>
    </row>
    <row r="20190">
      <c r="A20190" s="1" t="n">
        <v>20189</v>
      </c>
      <c r="B20190">
        <f>TEXT(20189, "[$-0E0000]yyyy-mm-dd")</f>
        <v/>
      </c>
      <c r="C20190" t="inlineStr">
        <is>
          <t>1955-03-19</t>
        </is>
      </c>
    </row>
    <row r="20191">
      <c r="A20191" s="1" t="n">
        <v>20190</v>
      </c>
      <c r="B20191">
        <f>TEXT(20190, "[$-0E0000]yyyy-mm-dd")</f>
        <v/>
      </c>
      <c r="C20191" t="inlineStr">
        <is>
          <t>1955-03-20</t>
        </is>
      </c>
    </row>
    <row r="20192">
      <c r="A20192" s="1" t="n">
        <v>20191</v>
      </c>
      <c r="B20192">
        <f>TEXT(20191, "[$-0E0000]yyyy-mm-dd")</f>
        <v/>
      </c>
      <c r="C20192" t="inlineStr">
        <is>
          <t>1955-03-21</t>
        </is>
      </c>
    </row>
    <row r="20193">
      <c r="A20193" s="1" t="n">
        <v>20192</v>
      </c>
      <c r="B20193">
        <f>TEXT(20192, "[$-0E0000]yyyy-mm-dd")</f>
        <v/>
      </c>
      <c r="C20193" t="inlineStr">
        <is>
          <t>1955-03-22</t>
        </is>
      </c>
    </row>
    <row r="20194">
      <c r="A20194" s="1" t="n">
        <v>20193</v>
      </c>
      <c r="B20194">
        <f>TEXT(20193, "[$-0E0000]yyyy-mm-dd")</f>
        <v/>
      </c>
      <c r="C20194" t="inlineStr">
        <is>
          <t>1955-03-23</t>
        </is>
      </c>
    </row>
    <row r="20195">
      <c r="A20195" s="1" t="n">
        <v>20194</v>
      </c>
      <c r="B20195">
        <f>TEXT(20194, "[$-0E0000]yyyy-mm-dd")</f>
        <v/>
      </c>
      <c r="C20195" t="inlineStr">
        <is>
          <t>1955-03-24</t>
        </is>
      </c>
    </row>
    <row r="20196">
      <c r="A20196" s="1" t="n">
        <v>20195</v>
      </c>
      <c r="B20196">
        <f>TEXT(20195, "[$-0E0000]yyyy-mm-dd")</f>
        <v/>
      </c>
      <c r="C20196" t="inlineStr">
        <is>
          <t>1955-03-25</t>
        </is>
      </c>
    </row>
    <row r="20197">
      <c r="A20197" s="1" t="n">
        <v>20196</v>
      </c>
      <c r="B20197">
        <f>TEXT(20196, "[$-0E0000]yyyy-mm-dd")</f>
        <v/>
      </c>
      <c r="C20197" t="inlineStr">
        <is>
          <t>1955-03-26</t>
        </is>
      </c>
    </row>
    <row r="20198">
      <c r="A20198" s="1" t="n">
        <v>20197</v>
      </c>
      <c r="B20198">
        <f>TEXT(20197, "[$-0E0000]yyyy-mm-dd")</f>
        <v/>
      </c>
      <c r="C20198" t="inlineStr">
        <is>
          <t>1955-03-27</t>
        </is>
      </c>
    </row>
    <row r="20199">
      <c r="A20199" s="1" t="n">
        <v>20198</v>
      </c>
      <c r="B20199">
        <f>TEXT(20198, "[$-0E0000]yyyy-mm-dd")</f>
        <v/>
      </c>
      <c r="C20199" t="inlineStr">
        <is>
          <t>1955-03-28</t>
        </is>
      </c>
    </row>
    <row r="20200">
      <c r="A20200" s="1" t="n">
        <v>20199</v>
      </c>
      <c r="B20200">
        <f>TEXT(20199, "[$-0E0000]yyyy-mm-dd")</f>
        <v/>
      </c>
      <c r="C20200" t="inlineStr">
        <is>
          <t>1955-03-29</t>
        </is>
      </c>
    </row>
    <row r="20201">
      <c r="A20201" s="1" t="n">
        <v>20200</v>
      </c>
      <c r="B20201">
        <f>TEXT(20200, "[$-0E0000]yyyy-mm-dd")</f>
        <v/>
      </c>
      <c r="C20201" t="inlineStr">
        <is>
          <t>1955-03-01</t>
        </is>
      </c>
    </row>
    <row r="20202">
      <c r="A20202" s="1" t="n">
        <v>20201</v>
      </c>
      <c r="B20202">
        <f>TEXT(20201, "[$-0E0000]yyyy-mm-dd")</f>
        <v/>
      </c>
      <c r="C20202" t="inlineStr">
        <is>
          <t>1955-03-02</t>
        </is>
      </c>
    </row>
    <row r="20203">
      <c r="A20203" s="1" t="n">
        <v>20202</v>
      </c>
      <c r="B20203">
        <f>TEXT(20202, "[$-0E0000]yyyy-mm-dd")</f>
        <v/>
      </c>
      <c r="C20203" t="inlineStr">
        <is>
          <t>1955-03-03</t>
        </is>
      </c>
    </row>
    <row r="20204">
      <c r="A20204" s="1" t="n">
        <v>20203</v>
      </c>
      <c r="B20204">
        <f>TEXT(20203, "[$-0E0000]yyyy-mm-dd")</f>
        <v/>
      </c>
      <c r="C20204" t="inlineStr">
        <is>
          <t>1955-03-04</t>
        </is>
      </c>
    </row>
    <row r="20205">
      <c r="A20205" s="1" t="n">
        <v>20204</v>
      </c>
      <c r="B20205">
        <f>TEXT(20204, "[$-0E0000]yyyy-mm-dd")</f>
        <v/>
      </c>
      <c r="C20205" t="inlineStr">
        <is>
          <t>1955-03-05</t>
        </is>
      </c>
    </row>
    <row r="20206">
      <c r="A20206" s="1" t="n">
        <v>20205</v>
      </c>
      <c r="B20206">
        <f>TEXT(20205, "[$-0E0000]yyyy-mm-dd")</f>
        <v/>
      </c>
      <c r="C20206" t="inlineStr">
        <is>
          <t>1955-03-06</t>
        </is>
      </c>
    </row>
    <row r="20207">
      <c r="A20207" s="1" t="n">
        <v>20206</v>
      </c>
      <c r="B20207">
        <f>TEXT(20206, "[$-0E0000]yyyy-mm-dd")</f>
        <v/>
      </c>
      <c r="C20207" t="inlineStr">
        <is>
          <t>1955-03-07</t>
        </is>
      </c>
    </row>
    <row r="20208">
      <c r="A20208" s="1" t="n">
        <v>20207</v>
      </c>
      <c r="B20208">
        <f>TEXT(20207, "[$-0E0000]yyyy-mm-dd")</f>
        <v/>
      </c>
      <c r="C20208" t="inlineStr">
        <is>
          <t>1955-03-08</t>
        </is>
      </c>
    </row>
    <row r="20209">
      <c r="A20209" s="1" t="n">
        <v>20208</v>
      </c>
      <c r="B20209">
        <f>TEXT(20208, "[$-0E0000]yyyy-mm-dd")</f>
        <v/>
      </c>
      <c r="C20209" t="inlineStr">
        <is>
          <t>1955-03-09</t>
        </is>
      </c>
    </row>
    <row r="20210">
      <c r="A20210" s="1" t="n">
        <v>20209</v>
      </c>
      <c r="B20210">
        <f>TEXT(20209, "[$-0E0000]yyyy-mm-dd")</f>
        <v/>
      </c>
      <c r="C20210" t="inlineStr">
        <is>
          <t>1955-03-10</t>
        </is>
      </c>
    </row>
    <row r="20211">
      <c r="A20211" s="1" t="n">
        <v>20210</v>
      </c>
      <c r="B20211">
        <f>TEXT(20210, "[$-0E0000]yyyy-mm-dd")</f>
        <v/>
      </c>
      <c r="C20211" t="inlineStr">
        <is>
          <t>1955-03-11</t>
        </is>
      </c>
    </row>
    <row r="20212">
      <c r="A20212" s="1" t="n">
        <v>20211</v>
      </c>
      <c r="B20212">
        <f>TEXT(20211, "[$-0E0000]yyyy-mm-dd")</f>
        <v/>
      </c>
      <c r="C20212" t="inlineStr">
        <is>
          <t>1955-03-12</t>
        </is>
      </c>
    </row>
    <row r="20213">
      <c r="A20213" s="1" t="n">
        <v>20212</v>
      </c>
      <c r="B20213">
        <f>TEXT(20212, "[$-0E0000]yyyy-mm-dd")</f>
        <v/>
      </c>
      <c r="C20213" t="inlineStr">
        <is>
          <t>1955-03-13</t>
        </is>
      </c>
    </row>
    <row r="20214">
      <c r="A20214" s="1" t="n">
        <v>20213</v>
      </c>
      <c r="B20214">
        <f>TEXT(20213, "[$-0E0000]yyyy-mm-dd")</f>
        <v/>
      </c>
      <c r="C20214" t="inlineStr">
        <is>
          <t>1955-03-14</t>
        </is>
      </c>
    </row>
    <row r="20215">
      <c r="A20215" s="1" t="n">
        <v>20214</v>
      </c>
      <c r="B20215">
        <f>TEXT(20214, "[$-0E0000]yyyy-mm-dd")</f>
        <v/>
      </c>
      <c r="C20215" t="inlineStr">
        <is>
          <t>1955-03-15</t>
        </is>
      </c>
    </row>
    <row r="20216">
      <c r="A20216" s="1" t="n">
        <v>20215</v>
      </c>
      <c r="B20216">
        <f>TEXT(20215, "[$-0E0000]yyyy-mm-dd")</f>
        <v/>
      </c>
      <c r="C20216" t="inlineStr">
        <is>
          <t>1955-03-16</t>
        </is>
      </c>
    </row>
    <row r="20217">
      <c r="A20217" s="1" t="n">
        <v>20216</v>
      </c>
      <c r="B20217">
        <f>TEXT(20216, "[$-0E0000]yyyy-mm-dd")</f>
        <v/>
      </c>
      <c r="C20217" t="inlineStr">
        <is>
          <t>1955-03-17</t>
        </is>
      </c>
    </row>
    <row r="20218">
      <c r="A20218" s="1" t="n">
        <v>20217</v>
      </c>
      <c r="B20218">
        <f>TEXT(20217, "[$-0E0000]yyyy-mm-dd")</f>
        <v/>
      </c>
      <c r="C20218" t="inlineStr">
        <is>
          <t>1955-03-18</t>
        </is>
      </c>
    </row>
    <row r="20219">
      <c r="A20219" s="1" t="n">
        <v>20218</v>
      </c>
      <c r="B20219">
        <f>TEXT(20218, "[$-0E0000]yyyy-mm-dd")</f>
        <v/>
      </c>
      <c r="C20219" t="inlineStr">
        <is>
          <t>1955-03-19</t>
        </is>
      </c>
    </row>
    <row r="20220">
      <c r="A20220" s="1" t="n">
        <v>20219</v>
      </c>
      <c r="B20220">
        <f>TEXT(20219, "[$-0E0000]yyyy-mm-dd")</f>
        <v/>
      </c>
      <c r="C20220" t="inlineStr">
        <is>
          <t>1955-03-20</t>
        </is>
      </c>
    </row>
    <row r="20221">
      <c r="A20221" s="1" t="n">
        <v>20220</v>
      </c>
      <c r="B20221">
        <f>TEXT(20220, "[$-0E0000]yyyy-mm-dd")</f>
        <v/>
      </c>
      <c r="C20221" t="inlineStr">
        <is>
          <t>1955-03-21</t>
        </is>
      </c>
    </row>
    <row r="20222">
      <c r="A20222" s="1" t="n">
        <v>20221</v>
      </c>
      <c r="B20222">
        <f>TEXT(20221, "[$-0E0000]yyyy-mm-dd")</f>
        <v/>
      </c>
      <c r="C20222" t="inlineStr">
        <is>
          <t>1955-03-22</t>
        </is>
      </c>
    </row>
    <row r="20223">
      <c r="A20223" s="1" t="n">
        <v>20222</v>
      </c>
      <c r="B20223">
        <f>TEXT(20222, "[$-0E0000]yyyy-mm-dd")</f>
        <v/>
      </c>
      <c r="C20223" t="inlineStr">
        <is>
          <t>1955-03-23</t>
        </is>
      </c>
    </row>
    <row r="20224">
      <c r="A20224" s="1" t="n">
        <v>20223</v>
      </c>
      <c r="B20224">
        <f>TEXT(20223, "[$-0E0000]yyyy-mm-dd")</f>
        <v/>
      </c>
      <c r="C20224" t="inlineStr">
        <is>
          <t>1955-03-24</t>
        </is>
      </c>
    </row>
    <row r="20225">
      <c r="A20225" s="1" t="n">
        <v>20224</v>
      </c>
      <c r="B20225">
        <f>TEXT(20224, "[$-0E0000]yyyy-mm-dd")</f>
        <v/>
      </c>
      <c r="C20225" t="inlineStr">
        <is>
          <t>1955-03-25</t>
        </is>
      </c>
    </row>
    <row r="20226">
      <c r="A20226" s="1" t="n">
        <v>20225</v>
      </c>
      <c r="B20226">
        <f>TEXT(20225, "[$-0E0000]yyyy-mm-dd")</f>
        <v/>
      </c>
      <c r="C20226" t="inlineStr">
        <is>
          <t>1955-03-26</t>
        </is>
      </c>
    </row>
    <row r="20227">
      <c r="A20227" s="1" t="n">
        <v>20226</v>
      </c>
      <c r="B20227">
        <f>TEXT(20226, "[$-0E0000]yyyy-mm-dd")</f>
        <v/>
      </c>
      <c r="C20227" t="inlineStr">
        <is>
          <t>1955-03-27</t>
        </is>
      </c>
    </row>
    <row r="20228">
      <c r="A20228" s="1" t="n">
        <v>20227</v>
      </c>
      <c r="B20228">
        <f>TEXT(20227, "[$-0E0000]yyyy-mm-dd")</f>
        <v/>
      </c>
      <c r="C20228" t="inlineStr">
        <is>
          <t>1955-03-28</t>
        </is>
      </c>
    </row>
    <row r="20229">
      <c r="A20229" s="1" t="n">
        <v>20228</v>
      </c>
      <c r="B20229">
        <f>TEXT(20228, "[$-0E0000]yyyy-mm-dd")</f>
        <v/>
      </c>
      <c r="C20229" t="inlineStr">
        <is>
          <t>1955-03-29</t>
        </is>
      </c>
    </row>
    <row r="20230">
      <c r="A20230" s="1" t="n">
        <v>20229</v>
      </c>
      <c r="B20230">
        <f>TEXT(20229, "[$-0E0000]yyyy-mm-dd")</f>
        <v/>
      </c>
      <c r="C20230" t="inlineStr">
        <is>
          <t>1955-03-30</t>
        </is>
      </c>
    </row>
    <row r="20231">
      <c r="A20231" s="1" t="n">
        <v>20230</v>
      </c>
      <c r="B20231">
        <f>TEXT(20230, "[$-0E0000]yyyy-mm-dd")</f>
        <v/>
      </c>
      <c r="C20231" t="inlineStr">
        <is>
          <t>1955-04-01</t>
        </is>
      </c>
    </row>
    <row r="20232">
      <c r="A20232" s="1" t="n">
        <v>20231</v>
      </c>
      <c r="B20232">
        <f>TEXT(20231, "[$-0E0000]yyyy-mm-dd")</f>
        <v/>
      </c>
      <c r="C20232" t="inlineStr">
        <is>
          <t>1955-04-02</t>
        </is>
      </c>
    </row>
    <row r="20233">
      <c r="A20233" s="1" t="n">
        <v>20232</v>
      </c>
      <c r="B20233">
        <f>TEXT(20232, "[$-0E0000]yyyy-mm-dd")</f>
        <v/>
      </c>
      <c r="C20233" t="inlineStr">
        <is>
          <t>1955-04-03</t>
        </is>
      </c>
    </row>
    <row r="20234">
      <c r="A20234" s="1" t="n">
        <v>20233</v>
      </c>
      <c r="B20234">
        <f>TEXT(20233, "[$-0E0000]yyyy-mm-dd")</f>
        <v/>
      </c>
      <c r="C20234" t="inlineStr">
        <is>
          <t>1955-04-04</t>
        </is>
      </c>
    </row>
    <row r="20235">
      <c r="A20235" s="1" t="n">
        <v>20234</v>
      </c>
      <c r="B20235">
        <f>TEXT(20234, "[$-0E0000]yyyy-mm-dd")</f>
        <v/>
      </c>
      <c r="C20235" t="inlineStr">
        <is>
          <t>1955-04-05</t>
        </is>
      </c>
    </row>
    <row r="20236">
      <c r="A20236" s="1" t="n">
        <v>20235</v>
      </c>
      <c r="B20236">
        <f>TEXT(20235, "[$-0E0000]yyyy-mm-dd")</f>
        <v/>
      </c>
      <c r="C20236" t="inlineStr">
        <is>
          <t>1955-04-06</t>
        </is>
      </c>
    </row>
    <row r="20237">
      <c r="A20237" s="1" t="n">
        <v>20236</v>
      </c>
      <c r="B20237">
        <f>TEXT(20236, "[$-0E0000]yyyy-mm-dd")</f>
        <v/>
      </c>
      <c r="C20237" t="inlineStr">
        <is>
          <t>1955-04-07</t>
        </is>
      </c>
    </row>
    <row r="20238">
      <c r="A20238" s="1" t="n">
        <v>20237</v>
      </c>
      <c r="B20238">
        <f>TEXT(20237, "[$-0E0000]yyyy-mm-dd")</f>
        <v/>
      </c>
      <c r="C20238" t="inlineStr">
        <is>
          <t>1955-04-08</t>
        </is>
      </c>
    </row>
    <row r="20239">
      <c r="A20239" s="1" t="n">
        <v>20238</v>
      </c>
      <c r="B20239">
        <f>TEXT(20238, "[$-0E0000]yyyy-mm-dd")</f>
        <v/>
      </c>
      <c r="C20239" t="inlineStr">
        <is>
          <t>1955-04-09</t>
        </is>
      </c>
    </row>
    <row r="20240">
      <c r="A20240" s="1" t="n">
        <v>20239</v>
      </c>
      <c r="B20240">
        <f>TEXT(20239, "[$-0E0000]yyyy-mm-dd")</f>
        <v/>
      </c>
      <c r="C20240" t="inlineStr">
        <is>
          <t>1955-04-10</t>
        </is>
      </c>
    </row>
    <row r="20241">
      <c r="A20241" s="1" t="n">
        <v>20240</v>
      </c>
      <c r="B20241">
        <f>TEXT(20240, "[$-0E0000]yyyy-mm-dd")</f>
        <v/>
      </c>
      <c r="C20241" t="inlineStr">
        <is>
          <t>1955-04-11</t>
        </is>
      </c>
    </row>
    <row r="20242">
      <c r="A20242" s="1" t="n">
        <v>20241</v>
      </c>
      <c r="B20242">
        <f>TEXT(20241, "[$-0E0000]yyyy-mm-dd")</f>
        <v/>
      </c>
      <c r="C20242" t="inlineStr">
        <is>
          <t>1955-04-12</t>
        </is>
      </c>
    </row>
    <row r="20243">
      <c r="A20243" s="1" t="n">
        <v>20242</v>
      </c>
      <c r="B20243">
        <f>TEXT(20242, "[$-0E0000]yyyy-mm-dd")</f>
        <v/>
      </c>
      <c r="C20243" t="inlineStr">
        <is>
          <t>1955-04-13</t>
        </is>
      </c>
    </row>
    <row r="20244">
      <c r="A20244" s="1" t="n">
        <v>20243</v>
      </c>
      <c r="B20244">
        <f>TEXT(20243, "[$-0E0000]yyyy-mm-dd")</f>
        <v/>
      </c>
      <c r="C20244" t="inlineStr">
        <is>
          <t>1955-04-14</t>
        </is>
      </c>
    </row>
    <row r="20245">
      <c r="A20245" s="1" t="n">
        <v>20244</v>
      </c>
      <c r="B20245">
        <f>TEXT(20244, "[$-0E0000]yyyy-mm-dd")</f>
        <v/>
      </c>
      <c r="C20245" t="inlineStr">
        <is>
          <t>1955-04-15</t>
        </is>
      </c>
    </row>
    <row r="20246">
      <c r="A20246" s="1" t="n">
        <v>20245</v>
      </c>
      <c r="B20246">
        <f>TEXT(20245, "[$-0E0000]yyyy-mm-dd")</f>
        <v/>
      </c>
      <c r="C20246" t="inlineStr">
        <is>
          <t>1955-04-16</t>
        </is>
      </c>
    </row>
    <row r="20247">
      <c r="A20247" s="1" t="n">
        <v>20246</v>
      </c>
      <c r="B20247">
        <f>TEXT(20246, "[$-0E0000]yyyy-mm-dd")</f>
        <v/>
      </c>
      <c r="C20247" t="inlineStr">
        <is>
          <t>1955-04-17</t>
        </is>
      </c>
    </row>
    <row r="20248">
      <c r="A20248" s="1" t="n">
        <v>20247</v>
      </c>
      <c r="B20248">
        <f>TEXT(20247, "[$-0E0000]yyyy-mm-dd")</f>
        <v/>
      </c>
      <c r="C20248" t="inlineStr">
        <is>
          <t>1955-04-18</t>
        </is>
      </c>
    </row>
    <row r="20249">
      <c r="A20249" s="1" t="n">
        <v>20248</v>
      </c>
      <c r="B20249">
        <f>TEXT(20248, "[$-0E0000]yyyy-mm-dd")</f>
        <v/>
      </c>
      <c r="C20249" t="inlineStr">
        <is>
          <t>1955-04-19</t>
        </is>
      </c>
    </row>
    <row r="20250">
      <c r="A20250" s="1" t="n">
        <v>20249</v>
      </c>
      <c r="B20250">
        <f>TEXT(20249, "[$-0E0000]yyyy-mm-dd")</f>
        <v/>
      </c>
      <c r="C20250" t="inlineStr">
        <is>
          <t>1955-04-20</t>
        </is>
      </c>
    </row>
    <row r="20251">
      <c r="A20251" s="1" t="n">
        <v>20250</v>
      </c>
      <c r="B20251">
        <f>TEXT(20250, "[$-0E0000]yyyy-mm-dd")</f>
        <v/>
      </c>
      <c r="C20251" t="inlineStr">
        <is>
          <t>1955-04-21</t>
        </is>
      </c>
    </row>
    <row r="20252">
      <c r="A20252" s="1" t="n">
        <v>20251</v>
      </c>
      <c r="B20252">
        <f>TEXT(20251, "[$-0E0000]yyyy-mm-dd")</f>
        <v/>
      </c>
      <c r="C20252" t="inlineStr">
        <is>
          <t>1955-04-22</t>
        </is>
      </c>
    </row>
    <row r="20253">
      <c r="A20253" s="1" t="n">
        <v>20252</v>
      </c>
      <c r="B20253">
        <f>TEXT(20252, "[$-0E0000]yyyy-mm-dd")</f>
        <v/>
      </c>
      <c r="C20253" t="inlineStr">
        <is>
          <t>1955-04-23</t>
        </is>
      </c>
    </row>
    <row r="20254">
      <c r="A20254" s="1" t="n">
        <v>20253</v>
      </c>
      <c r="B20254">
        <f>TEXT(20253, "[$-0E0000]yyyy-mm-dd")</f>
        <v/>
      </c>
      <c r="C20254" t="inlineStr">
        <is>
          <t>1955-04-24</t>
        </is>
      </c>
    </row>
    <row r="20255">
      <c r="A20255" s="1" t="n">
        <v>20254</v>
      </c>
      <c r="B20255">
        <f>TEXT(20254, "[$-0E0000]yyyy-mm-dd")</f>
        <v/>
      </c>
      <c r="C20255" t="inlineStr">
        <is>
          <t>1955-04-25</t>
        </is>
      </c>
    </row>
    <row r="20256">
      <c r="A20256" s="1" t="n">
        <v>20255</v>
      </c>
      <c r="B20256">
        <f>TEXT(20255, "[$-0E0000]yyyy-mm-dd")</f>
        <v/>
      </c>
      <c r="C20256" t="inlineStr">
        <is>
          <t>1955-04-26</t>
        </is>
      </c>
    </row>
    <row r="20257">
      <c r="A20257" s="1" t="n">
        <v>20256</v>
      </c>
      <c r="B20257">
        <f>TEXT(20256, "[$-0E0000]yyyy-mm-dd")</f>
        <v/>
      </c>
      <c r="C20257" t="inlineStr">
        <is>
          <t>1955-04-27</t>
        </is>
      </c>
    </row>
    <row r="20258">
      <c r="A20258" s="1" t="n">
        <v>20257</v>
      </c>
      <c r="B20258">
        <f>TEXT(20257, "[$-0E0000]yyyy-mm-dd")</f>
        <v/>
      </c>
      <c r="C20258" t="inlineStr">
        <is>
          <t>1955-04-28</t>
        </is>
      </c>
    </row>
    <row r="20259">
      <c r="A20259" s="1" t="n">
        <v>20258</v>
      </c>
      <c r="B20259">
        <f>TEXT(20258, "[$-0E0000]yyyy-mm-dd")</f>
        <v/>
      </c>
      <c r="C20259" t="inlineStr">
        <is>
          <t>1955-04-29</t>
        </is>
      </c>
    </row>
    <row r="20260">
      <c r="A20260" s="1" t="n">
        <v>20259</v>
      </c>
      <c r="B20260">
        <f>TEXT(20259, "[$-0E0000]yyyy-mm-dd")</f>
        <v/>
      </c>
      <c r="C20260" t="inlineStr">
        <is>
          <t>1955-05-01</t>
        </is>
      </c>
    </row>
    <row r="20261">
      <c r="A20261" s="1" t="n">
        <v>20260</v>
      </c>
      <c r="B20261">
        <f>TEXT(20260, "[$-0E0000]yyyy-mm-dd")</f>
        <v/>
      </c>
      <c r="C20261" t="inlineStr">
        <is>
          <t>1955-05-02</t>
        </is>
      </c>
    </row>
    <row r="20262">
      <c r="A20262" s="1" t="n">
        <v>20261</v>
      </c>
      <c r="B20262">
        <f>TEXT(20261, "[$-0E0000]yyyy-mm-dd")</f>
        <v/>
      </c>
      <c r="C20262" t="inlineStr">
        <is>
          <t>1955-05-03</t>
        </is>
      </c>
    </row>
    <row r="20263">
      <c r="A20263" s="1" t="n">
        <v>20262</v>
      </c>
      <c r="B20263">
        <f>TEXT(20262, "[$-0E0000]yyyy-mm-dd")</f>
        <v/>
      </c>
      <c r="C20263" t="inlineStr">
        <is>
          <t>1955-05-04</t>
        </is>
      </c>
    </row>
    <row r="20264">
      <c r="A20264" s="1" t="n">
        <v>20263</v>
      </c>
      <c r="B20264">
        <f>TEXT(20263, "[$-0E0000]yyyy-mm-dd")</f>
        <v/>
      </c>
      <c r="C20264" t="inlineStr">
        <is>
          <t>1955-05-05</t>
        </is>
      </c>
    </row>
    <row r="20265">
      <c r="A20265" s="1" t="n">
        <v>20264</v>
      </c>
      <c r="B20265">
        <f>TEXT(20264, "[$-0E0000]yyyy-mm-dd")</f>
        <v/>
      </c>
      <c r="C20265" t="inlineStr">
        <is>
          <t>1955-05-06</t>
        </is>
      </c>
    </row>
    <row r="20266">
      <c r="A20266" s="1" t="n">
        <v>20265</v>
      </c>
      <c r="B20266">
        <f>TEXT(20265, "[$-0E0000]yyyy-mm-dd")</f>
        <v/>
      </c>
      <c r="C20266" t="inlineStr">
        <is>
          <t>1955-05-07</t>
        </is>
      </c>
    </row>
    <row r="20267">
      <c r="A20267" s="1" t="n">
        <v>20266</v>
      </c>
      <c r="B20267">
        <f>TEXT(20266, "[$-0E0000]yyyy-mm-dd")</f>
        <v/>
      </c>
      <c r="C20267" t="inlineStr">
        <is>
          <t>1955-05-08</t>
        </is>
      </c>
    </row>
    <row r="20268">
      <c r="A20268" s="1" t="n">
        <v>20267</v>
      </c>
      <c r="B20268">
        <f>TEXT(20267, "[$-0E0000]yyyy-mm-dd")</f>
        <v/>
      </c>
      <c r="C20268" t="inlineStr">
        <is>
          <t>1955-05-09</t>
        </is>
      </c>
    </row>
    <row r="20269">
      <c r="A20269" s="1" t="n">
        <v>20268</v>
      </c>
      <c r="B20269">
        <f>TEXT(20268, "[$-0E0000]yyyy-mm-dd")</f>
        <v/>
      </c>
      <c r="C20269" t="inlineStr">
        <is>
          <t>1955-05-10</t>
        </is>
      </c>
    </row>
    <row r="20270">
      <c r="A20270" s="1" t="n">
        <v>20269</v>
      </c>
      <c r="B20270">
        <f>TEXT(20269, "[$-0E0000]yyyy-mm-dd")</f>
        <v/>
      </c>
      <c r="C20270" t="inlineStr">
        <is>
          <t>1955-05-11</t>
        </is>
      </c>
    </row>
    <row r="20271">
      <c r="A20271" s="1" t="n">
        <v>20270</v>
      </c>
      <c r="B20271">
        <f>TEXT(20270, "[$-0E0000]yyyy-mm-dd")</f>
        <v/>
      </c>
      <c r="C20271" t="inlineStr">
        <is>
          <t>1955-05-12</t>
        </is>
      </c>
    </row>
    <row r="20272">
      <c r="A20272" s="1" t="n">
        <v>20271</v>
      </c>
      <c r="B20272">
        <f>TEXT(20271, "[$-0E0000]yyyy-mm-dd")</f>
        <v/>
      </c>
      <c r="C20272" t="inlineStr">
        <is>
          <t>1955-05-13</t>
        </is>
      </c>
    </row>
    <row r="20273">
      <c r="A20273" s="1" t="n">
        <v>20272</v>
      </c>
      <c r="B20273">
        <f>TEXT(20272, "[$-0E0000]yyyy-mm-dd")</f>
        <v/>
      </c>
      <c r="C20273" t="inlineStr">
        <is>
          <t>1955-05-14</t>
        </is>
      </c>
    </row>
    <row r="20274">
      <c r="A20274" s="1" t="n">
        <v>20273</v>
      </c>
      <c r="B20274">
        <f>TEXT(20273, "[$-0E0000]yyyy-mm-dd")</f>
        <v/>
      </c>
      <c r="C20274" t="inlineStr">
        <is>
          <t>1955-05-15</t>
        </is>
      </c>
    </row>
    <row r="20275">
      <c r="A20275" s="1" t="n">
        <v>20274</v>
      </c>
      <c r="B20275">
        <f>TEXT(20274, "[$-0E0000]yyyy-mm-dd")</f>
        <v/>
      </c>
      <c r="C20275" t="inlineStr">
        <is>
          <t>1955-05-16</t>
        </is>
      </c>
    </row>
    <row r="20276">
      <c r="A20276" s="1" t="n">
        <v>20275</v>
      </c>
      <c r="B20276">
        <f>TEXT(20275, "[$-0E0000]yyyy-mm-dd")</f>
        <v/>
      </c>
      <c r="C20276" t="inlineStr">
        <is>
          <t>1955-05-17</t>
        </is>
      </c>
    </row>
    <row r="20277">
      <c r="A20277" s="1" t="n">
        <v>20276</v>
      </c>
      <c r="B20277">
        <f>TEXT(20276, "[$-0E0000]yyyy-mm-dd")</f>
        <v/>
      </c>
      <c r="C20277" t="inlineStr">
        <is>
          <t>1955-05-18</t>
        </is>
      </c>
    </row>
    <row r="20278">
      <c r="A20278" s="1" t="n">
        <v>20277</v>
      </c>
      <c r="B20278">
        <f>TEXT(20277, "[$-0E0000]yyyy-mm-dd")</f>
        <v/>
      </c>
      <c r="C20278" t="inlineStr">
        <is>
          <t>1955-05-19</t>
        </is>
      </c>
    </row>
    <row r="20279">
      <c r="A20279" s="1" t="n">
        <v>20278</v>
      </c>
      <c r="B20279">
        <f>TEXT(20278, "[$-0E0000]yyyy-mm-dd")</f>
        <v/>
      </c>
      <c r="C20279" t="inlineStr">
        <is>
          <t>1955-05-20</t>
        </is>
      </c>
    </row>
    <row r="20280">
      <c r="A20280" s="1" t="n">
        <v>20279</v>
      </c>
      <c r="B20280">
        <f>TEXT(20279, "[$-0E0000]yyyy-mm-dd")</f>
        <v/>
      </c>
      <c r="C20280" t="inlineStr">
        <is>
          <t>1955-05-21</t>
        </is>
      </c>
    </row>
    <row r="20281">
      <c r="A20281" s="1" t="n">
        <v>20280</v>
      </c>
      <c r="B20281">
        <f>TEXT(20280, "[$-0E0000]yyyy-mm-dd")</f>
        <v/>
      </c>
      <c r="C20281" t="inlineStr">
        <is>
          <t>1955-05-22</t>
        </is>
      </c>
    </row>
    <row r="20282">
      <c r="A20282" s="1" t="n">
        <v>20281</v>
      </c>
      <c r="B20282">
        <f>TEXT(20281, "[$-0E0000]yyyy-mm-dd")</f>
        <v/>
      </c>
      <c r="C20282" t="inlineStr">
        <is>
          <t>1955-05-23</t>
        </is>
      </c>
    </row>
    <row r="20283">
      <c r="A20283" s="1" t="n">
        <v>20282</v>
      </c>
      <c r="B20283">
        <f>TEXT(20282, "[$-0E0000]yyyy-mm-dd")</f>
        <v/>
      </c>
      <c r="C20283" t="inlineStr">
        <is>
          <t>1955-05-24</t>
        </is>
      </c>
    </row>
    <row r="20284">
      <c r="A20284" s="1" t="n">
        <v>20283</v>
      </c>
      <c r="B20284">
        <f>TEXT(20283, "[$-0E0000]yyyy-mm-dd")</f>
        <v/>
      </c>
      <c r="C20284" t="inlineStr">
        <is>
          <t>1955-05-25</t>
        </is>
      </c>
    </row>
    <row r="20285">
      <c r="A20285" s="1" t="n">
        <v>20284</v>
      </c>
      <c r="B20285">
        <f>TEXT(20284, "[$-0E0000]yyyy-mm-dd")</f>
        <v/>
      </c>
      <c r="C20285" t="inlineStr">
        <is>
          <t>1955-05-26</t>
        </is>
      </c>
    </row>
    <row r="20286">
      <c r="A20286" s="1" t="n">
        <v>20285</v>
      </c>
      <c r="B20286">
        <f>TEXT(20285, "[$-0E0000]yyyy-mm-dd")</f>
        <v/>
      </c>
      <c r="C20286" t="inlineStr">
        <is>
          <t>1955-05-27</t>
        </is>
      </c>
    </row>
    <row r="20287">
      <c r="A20287" s="1" t="n">
        <v>20286</v>
      </c>
      <c r="B20287">
        <f>TEXT(20286, "[$-0E0000]yyyy-mm-dd")</f>
        <v/>
      </c>
      <c r="C20287" t="inlineStr">
        <is>
          <t>1955-05-28</t>
        </is>
      </c>
    </row>
    <row r="20288">
      <c r="A20288" s="1" t="n">
        <v>20287</v>
      </c>
      <c r="B20288">
        <f>TEXT(20287, "[$-0E0000]yyyy-mm-dd")</f>
        <v/>
      </c>
      <c r="C20288" t="inlineStr">
        <is>
          <t>1955-05-29</t>
        </is>
      </c>
    </row>
    <row r="20289">
      <c r="A20289" s="1" t="n">
        <v>20288</v>
      </c>
      <c r="B20289">
        <f>TEXT(20288, "[$-0E0000]yyyy-mm-dd")</f>
        <v/>
      </c>
      <c r="C20289" t="inlineStr">
        <is>
          <t>1955-06-01</t>
        </is>
      </c>
    </row>
    <row r="20290">
      <c r="A20290" s="1" t="n">
        <v>20289</v>
      </c>
      <c r="B20290">
        <f>TEXT(20289, "[$-0E0000]yyyy-mm-dd")</f>
        <v/>
      </c>
      <c r="C20290" t="inlineStr">
        <is>
          <t>1955-06-02</t>
        </is>
      </c>
    </row>
    <row r="20291">
      <c r="A20291" s="1" t="n">
        <v>20290</v>
      </c>
      <c r="B20291">
        <f>TEXT(20290, "[$-0E0000]yyyy-mm-dd")</f>
        <v/>
      </c>
      <c r="C20291" t="inlineStr">
        <is>
          <t>1955-06-03</t>
        </is>
      </c>
    </row>
    <row r="20292">
      <c r="A20292" s="1" t="n">
        <v>20291</v>
      </c>
      <c r="B20292">
        <f>TEXT(20291, "[$-0E0000]yyyy-mm-dd")</f>
        <v/>
      </c>
      <c r="C20292" t="inlineStr">
        <is>
          <t>1955-06-04</t>
        </is>
      </c>
    </row>
    <row r="20293">
      <c r="A20293" s="1" t="n">
        <v>20292</v>
      </c>
      <c r="B20293">
        <f>TEXT(20292, "[$-0E0000]yyyy-mm-dd")</f>
        <v/>
      </c>
      <c r="C20293" t="inlineStr">
        <is>
          <t>1955-06-05</t>
        </is>
      </c>
    </row>
    <row r="20294">
      <c r="A20294" s="1" t="n">
        <v>20293</v>
      </c>
      <c r="B20294">
        <f>TEXT(20293, "[$-0E0000]yyyy-mm-dd")</f>
        <v/>
      </c>
      <c r="C20294" t="inlineStr">
        <is>
          <t>1955-06-06</t>
        </is>
      </c>
    </row>
    <row r="20295">
      <c r="A20295" s="1" t="n">
        <v>20294</v>
      </c>
      <c r="B20295">
        <f>TEXT(20294, "[$-0E0000]yyyy-mm-dd")</f>
        <v/>
      </c>
      <c r="C20295" t="inlineStr">
        <is>
          <t>1955-06-07</t>
        </is>
      </c>
    </row>
    <row r="20296">
      <c r="A20296" s="1" t="n">
        <v>20295</v>
      </c>
      <c r="B20296">
        <f>TEXT(20295, "[$-0E0000]yyyy-mm-dd")</f>
        <v/>
      </c>
      <c r="C20296" t="inlineStr">
        <is>
          <t>1955-06-08</t>
        </is>
      </c>
    </row>
    <row r="20297">
      <c r="A20297" s="1" t="n">
        <v>20296</v>
      </c>
      <c r="B20297">
        <f>TEXT(20296, "[$-0E0000]yyyy-mm-dd")</f>
        <v/>
      </c>
      <c r="C20297" t="inlineStr">
        <is>
          <t>1955-06-09</t>
        </is>
      </c>
    </row>
    <row r="20298">
      <c r="A20298" s="1" t="n">
        <v>20297</v>
      </c>
      <c r="B20298">
        <f>TEXT(20297, "[$-0E0000]yyyy-mm-dd")</f>
        <v/>
      </c>
      <c r="C20298" t="inlineStr">
        <is>
          <t>1955-06-10</t>
        </is>
      </c>
    </row>
    <row r="20299">
      <c r="A20299" s="1" t="n">
        <v>20298</v>
      </c>
      <c r="B20299">
        <f>TEXT(20298, "[$-0E0000]yyyy-mm-dd")</f>
        <v/>
      </c>
      <c r="C20299" t="inlineStr">
        <is>
          <t>1955-06-11</t>
        </is>
      </c>
    </row>
    <row r="20300">
      <c r="A20300" s="1" t="n">
        <v>20299</v>
      </c>
      <c r="B20300">
        <f>TEXT(20299, "[$-0E0000]yyyy-mm-dd")</f>
        <v/>
      </c>
      <c r="C20300" t="inlineStr">
        <is>
          <t>1955-06-12</t>
        </is>
      </c>
    </row>
    <row r="20301">
      <c r="A20301" s="1" t="n">
        <v>20300</v>
      </c>
      <c r="B20301">
        <f>TEXT(20300, "[$-0E0000]yyyy-mm-dd")</f>
        <v/>
      </c>
      <c r="C20301" t="inlineStr">
        <is>
          <t>1955-06-13</t>
        </is>
      </c>
    </row>
    <row r="20302">
      <c r="A20302" s="1" t="n">
        <v>20301</v>
      </c>
      <c r="B20302">
        <f>TEXT(20301, "[$-0E0000]yyyy-mm-dd")</f>
        <v/>
      </c>
      <c r="C20302" t="inlineStr">
        <is>
          <t>1955-06-14</t>
        </is>
      </c>
    </row>
    <row r="20303">
      <c r="A20303" s="1" t="n">
        <v>20302</v>
      </c>
      <c r="B20303">
        <f>TEXT(20302, "[$-0E0000]yyyy-mm-dd")</f>
        <v/>
      </c>
      <c r="C20303" t="inlineStr">
        <is>
          <t>1955-06-15</t>
        </is>
      </c>
    </row>
    <row r="20304">
      <c r="A20304" s="1" t="n">
        <v>20303</v>
      </c>
      <c r="B20304">
        <f>TEXT(20303, "[$-0E0000]yyyy-mm-dd")</f>
        <v/>
      </c>
      <c r="C20304" t="inlineStr">
        <is>
          <t>1955-06-16</t>
        </is>
      </c>
    </row>
    <row r="20305">
      <c r="A20305" s="1" t="n">
        <v>20304</v>
      </c>
      <c r="B20305">
        <f>TEXT(20304, "[$-0E0000]yyyy-mm-dd")</f>
        <v/>
      </c>
      <c r="C20305" t="inlineStr">
        <is>
          <t>1955-06-17</t>
        </is>
      </c>
    </row>
    <row r="20306">
      <c r="A20306" s="1" t="n">
        <v>20305</v>
      </c>
      <c r="B20306">
        <f>TEXT(20305, "[$-0E0000]yyyy-mm-dd")</f>
        <v/>
      </c>
      <c r="C20306" t="inlineStr">
        <is>
          <t>1955-06-18</t>
        </is>
      </c>
    </row>
    <row r="20307">
      <c r="A20307" s="1" t="n">
        <v>20306</v>
      </c>
      <c r="B20307">
        <f>TEXT(20306, "[$-0E0000]yyyy-mm-dd")</f>
        <v/>
      </c>
      <c r="C20307" t="inlineStr">
        <is>
          <t>1955-06-19</t>
        </is>
      </c>
    </row>
    <row r="20308">
      <c r="A20308" s="1" t="n">
        <v>20307</v>
      </c>
      <c r="B20308">
        <f>TEXT(20307, "[$-0E0000]yyyy-mm-dd")</f>
        <v/>
      </c>
      <c r="C20308" t="inlineStr">
        <is>
          <t>1955-06-20</t>
        </is>
      </c>
    </row>
    <row r="20309">
      <c r="A20309" s="1" t="n">
        <v>20308</v>
      </c>
      <c r="B20309">
        <f>TEXT(20308, "[$-0E0000]yyyy-mm-dd")</f>
        <v/>
      </c>
      <c r="C20309" t="inlineStr">
        <is>
          <t>1955-06-21</t>
        </is>
      </c>
    </row>
    <row r="20310">
      <c r="A20310" s="1" t="n">
        <v>20309</v>
      </c>
      <c r="B20310">
        <f>TEXT(20309, "[$-0E0000]yyyy-mm-dd")</f>
        <v/>
      </c>
      <c r="C20310" t="inlineStr">
        <is>
          <t>1955-06-22</t>
        </is>
      </c>
    </row>
    <row r="20311">
      <c r="A20311" s="1" t="n">
        <v>20310</v>
      </c>
      <c r="B20311">
        <f>TEXT(20310, "[$-0E0000]yyyy-mm-dd")</f>
        <v/>
      </c>
      <c r="C20311" t="inlineStr">
        <is>
          <t>1955-06-23</t>
        </is>
      </c>
    </row>
    <row r="20312">
      <c r="A20312" s="1" t="n">
        <v>20311</v>
      </c>
      <c r="B20312">
        <f>TEXT(20311, "[$-0E0000]yyyy-mm-dd")</f>
        <v/>
      </c>
      <c r="C20312" t="inlineStr">
        <is>
          <t>1955-06-24</t>
        </is>
      </c>
    </row>
    <row r="20313">
      <c r="A20313" s="1" t="n">
        <v>20312</v>
      </c>
      <c r="B20313">
        <f>TEXT(20312, "[$-0E0000]yyyy-mm-dd")</f>
        <v/>
      </c>
      <c r="C20313" t="inlineStr">
        <is>
          <t>1955-06-25</t>
        </is>
      </c>
    </row>
    <row r="20314">
      <c r="A20314" s="1" t="n">
        <v>20313</v>
      </c>
      <c r="B20314">
        <f>TEXT(20313, "[$-0E0000]yyyy-mm-dd")</f>
        <v/>
      </c>
      <c r="C20314" t="inlineStr">
        <is>
          <t>1955-06-26</t>
        </is>
      </c>
    </row>
    <row r="20315">
      <c r="A20315" s="1" t="n">
        <v>20314</v>
      </c>
      <c r="B20315">
        <f>TEXT(20314, "[$-0E0000]yyyy-mm-dd")</f>
        <v/>
      </c>
      <c r="C20315" t="inlineStr">
        <is>
          <t>1955-06-27</t>
        </is>
      </c>
    </row>
    <row r="20316">
      <c r="A20316" s="1" t="n">
        <v>20315</v>
      </c>
      <c r="B20316">
        <f>TEXT(20315, "[$-0E0000]yyyy-mm-dd")</f>
        <v/>
      </c>
      <c r="C20316" t="inlineStr">
        <is>
          <t>1955-06-28</t>
        </is>
      </c>
    </row>
    <row r="20317">
      <c r="A20317" s="1" t="n">
        <v>20316</v>
      </c>
      <c r="B20317">
        <f>TEXT(20316, "[$-0E0000]yyyy-mm-dd")</f>
        <v/>
      </c>
      <c r="C20317" t="inlineStr">
        <is>
          <t>1955-06-29</t>
        </is>
      </c>
    </row>
    <row r="20318">
      <c r="A20318" s="1" t="n">
        <v>20317</v>
      </c>
      <c r="B20318">
        <f>TEXT(20317, "[$-0E0000]yyyy-mm-dd")</f>
        <v/>
      </c>
      <c r="C20318" t="inlineStr">
        <is>
          <t>1955-06-30</t>
        </is>
      </c>
    </row>
    <row r="20319">
      <c r="A20319" s="1" t="n">
        <v>20318</v>
      </c>
      <c r="B20319">
        <f>TEXT(20318, "[$-0E0000]yyyy-mm-dd")</f>
        <v/>
      </c>
      <c r="C20319" t="inlineStr">
        <is>
          <t>1955-07-01</t>
        </is>
      </c>
    </row>
    <row r="20320">
      <c r="A20320" s="1" t="n">
        <v>20319</v>
      </c>
      <c r="B20320">
        <f>TEXT(20319, "[$-0E0000]yyyy-mm-dd")</f>
        <v/>
      </c>
      <c r="C20320" t="inlineStr">
        <is>
          <t>1955-07-02</t>
        </is>
      </c>
    </row>
    <row r="20321">
      <c r="A20321" s="1" t="n">
        <v>20320</v>
      </c>
      <c r="B20321">
        <f>TEXT(20320, "[$-0E0000]yyyy-mm-dd")</f>
        <v/>
      </c>
      <c r="C20321" t="inlineStr">
        <is>
          <t>1955-07-03</t>
        </is>
      </c>
    </row>
    <row r="20322">
      <c r="A20322" s="1" t="n">
        <v>20321</v>
      </c>
      <c r="B20322">
        <f>TEXT(20321, "[$-0E0000]yyyy-mm-dd")</f>
        <v/>
      </c>
      <c r="C20322" t="inlineStr">
        <is>
          <t>1955-07-04</t>
        </is>
      </c>
    </row>
    <row r="20323">
      <c r="A20323" s="1" t="n">
        <v>20322</v>
      </c>
      <c r="B20323">
        <f>TEXT(20322, "[$-0E0000]yyyy-mm-dd")</f>
        <v/>
      </c>
      <c r="C20323" t="inlineStr">
        <is>
          <t>1955-07-05</t>
        </is>
      </c>
    </row>
    <row r="20324">
      <c r="A20324" s="1" t="n">
        <v>20323</v>
      </c>
      <c r="B20324">
        <f>TEXT(20323, "[$-0E0000]yyyy-mm-dd")</f>
        <v/>
      </c>
      <c r="C20324" t="inlineStr">
        <is>
          <t>1955-07-06</t>
        </is>
      </c>
    </row>
    <row r="20325">
      <c r="A20325" s="1" t="n">
        <v>20324</v>
      </c>
      <c r="B20325">
        <f>TEXT(20324, "[$-0E0000]yyyy-mm-dd")</f>
        <v/>
      </c>
      <c r="C20325" t="inlineStr">
        <is>
          <t>1955-07-07</t>
        </is>
      </c>
    </row>
    <row r="20326">
      <c r="A20326" s="1" t="n">
        <v>20325</v>
      </c>
      <c r="B20326">
        <f>TEXT(20325, "[$-0E0000]yyyy-mm-dd")</f>
        <v/>
      </c>
      <c r="C20326" t="inlineStr">
        <is>
          <t>1955-07-08</t>
        </is>
      </c>
    </row>
    <row r="20327">
      <c r="A20327" s="1" t="n">
        <v>20326</v>
      </c>
      <c r="B20327">
        <f>TEXT(20326, "[$-0E0000]yyyy-mm-dd")</f>
        <v/>
      </c>
      <c r="C20327" t="inlineStr">
        <is>
          <t>1955-07-09</t>
        </is>
      </c>
    </row>
    <row r="20328">
      <c r="A20328" s="1" t="n">
        <v>20327</v>
      </c>
      <c r="B20328">
        <f>TEXT(20327, "[$-0E0000]yyyy-mm-dd")</f>
        <v/>
      </c>
      <c r="C20328" t="inlineStr">
        <is>
          <t>1955-07-10</t>
        </is>
      </c>
    </row>
    <row r="20329">
      <c r="A20329" s="1" t="n">
        <v>20328</v>
      </c>
      <c r="B20329">
        <f>TEXT(20328, "[$-0E0000]yyyy-mm-dd")</f>
        <v/>
      </c>
      <c r="C20329" t="inlineStr">
        <is>
          <t>1955-07-11</t>
        </is>
      </c>
    </row>
    <row r="20330">
      <c r="A20330" s="1" t="n">
        <v>20329</v>
      </c>
      <c r="B20330">
        <f>TEXT(20329, "[$-0E0000]yyyy-mm-dd")</f>
        <v/>
      </c>
      <c r="C20330" t="inlineStr">
        <is>
          <t>1955-07-12</t>
        </is>
      </c>
    </row>
    <row r="20331">
      <c r="A20331" s="1" t="n">
        <v>20330</v>
      </c>
      <c r="B20331">
        <f>TEXT(20330, "[$-0E0000]yyyy-mm-dd")</f>
        <v/>
      </c>
      <c r="C20331" t="inlineStr">
        <is>
          <t>1955-07-13</t>
        </is>
      </c>
    </row>
    <row r="20332">
      <c r="A20332" s="1" t="n">
        <v>20331</v>
      </c>
      <c r="B20332">
        <f>TEXT(20331, "[$-0E0000]yyyy-mm-dd")</f>
        <v/>
      </c>
      <c r="C20332" t="inlineStr">
        <is>
          <t>1955-07-14</t>
        </is>
      </c>
    </row>
    <row r="20333">
      <c r="A20333" s="1" t="n">
        <v>20332</v>
      </c>
      <c r="B20333">
        <f>TEXT(20332, "[$-0E0000]yyyy-mm-dd")</f>
        <v/>
      </c>
      <c r="C20333" t="inlineStr">
        <is>
          <t>1955-07-15</t>
        </is>
      </c>
    </row>
    <row r="20334">
      <c r="A20334" s="1" t="n">
        <v>20333</v>
      </c>
      <c r="B20334">
        <f>TEXT(20333, "[$-0E0000]yyyy-mm-dd")</f>
        <v/>
      </c>
      <c r="C20334" t="inlineStr">
        <is>
          <t>1955-07-16</t>
        </is>
      </c>
    </row>
    <row r="20335">
      <c r="A20335" s="1" t="n">
        <v>20334</v>
      </c>
      <c r="B20335">
        <f>TEXT(20334, "[$-0E0000]yyyy-mm-dd")</f>
        <v/>
      </c>
      <c r="C20335" t="inlineStr">
        <is>
          <t>1955-07-17</t>
        </is>
      </c>
    </row>
    <row r="20336">
      <c r="A20336" s="1" t="n">
        <v>20335</v>
      </c>
      <c r="B20336">
        <f>TEXT(20335, "[$-0E0000]yyyy-mm-dd")</f>
        <v/>
      </c>
      <c r="C20336" t="inlineStr">
        <is>
          <t>1955-07-18</t>
        </is>
      </c>
    </row>
    <row r="20337">
      <c r="A20337" s="1" t="n">
        <v>20336</v>
      </c>
      <c r="B20337">
        <f>TEXT(20336, "[$-0E0000]yyyy-mm-dd")</f>
        <v/>
      </c>
      <c r="C20337" t="inlineStr">
        <is>
          <t>1955-07-19</t>
        </is>
      </c>
    </row>
    <row r="20338">
      <c r="A20338" s="1" t="n">
        <v>20337</v>
      </c>
      <c r="B20338">
        <f>TEXT(20337, "[$-0E0000]yyyy-mm-dd")</f>
        <v/>
      </c>
      <c r="C20338" t="inlineStr">
        <is>
          <t>1955-07-20</t>
        </is>
      </c>
    </row>
    <row r="20339">
      <c r="A20339" s="1" t="n">
        <v>20338</v>
      </c>
      <c r="B20339">
        <f>TEXT(20338, "[$-0E0000]yyyy-mm-dd")</f>
        <v/>
      </c>
      <c r="C20339" t="inlineStr">
        <is>
          <t>1955-07-21</t>
        </is>
      </c>
    </row>
    <row r="20340">
      <c r="A20340" s="1" t="n">
        <v>20339</v>
      </c>
      <c r="B20340">
        <f>TEXT(20339, "[$-0E0000]yyyy-mm-dd")</f>
        <v/>
      </c>
      <c r="C20340" t="inlineStr">
        <is>
          <t>1955-07-22</t>
        </is>
      </c>
    </row>
    <row r="20341">
      <c r="A20341" s="1" t="n">
        <v>20340</v>
      </c>
      <c r="B20341">
        <f>TEXT(20340, "[$-0E0000]yyyy-mm-dd")</f>
        <v/>
      </c>
      <c r="C20341" t="inlineStr">
        <is>
          <t>1955-07-23</t>
        </is>
      </c>
    </row>
    <row r="20342">
      <c r="A20342" s="1" t="n">
        <v>20341</v>
      </c>
      <c r="B20342">
        <f>TEXT(20341, "[$-0E0000]yyyy-mm-dd")</f>
        <v/>
      </c>
      <c r="C20342" t="inlineStr">
        <is>
          <t>1955-07-24</t>
        </is>
      </c>
    </row>
    <row r="20343">
      <c r="A20343" s="1" t="n">
        <v>20342</v>
      </c>
      <c r="B20343">
        <f>TEXT(20342, "[$-0E0000]yyyy-mm-dd")</f>
        <v/>
      </c>
      <c r="C20343" t="inlineStr">
        <is>
          <t>1955-07-25</t>
        </is>
      </c>
    </row>
    <row r="20344">
      <c r="A20344" s="1" t="n">
        <v>20343</v>
      </c>
      <c r="B20344">
        <f>TEXT(20343, "[$-0E0000]yyyy-mm-dd")</f>
        <v/>
      </c>
      <c r="C20344" t="inlineStr">
        <is>
          <t>1955-07-26</t>
        </is>
      </c>
    </row>
    <row r="20345">
      <c r="A20345" s="1" t="n">
        <v>20344</v>
      </c>
      <c r="B20345">
        <f>TEXT(20344, "[$-0E0000]yyyy-mm-dd")</f>
        <v/>
      </c>
      <c r="C20345" t="inlineStr">
        <is>
          <t>1955-07-27</t>
        </is>
      </c>
    </row>
    <row r="20346">
      <c r="A20346" s="1" t="n">
        <v>20345</v>
      </c>
      <c r="B20346">
        <f>TEXT(20345, "[$-0E0000]yyyy-mm-dd")</f>
        <v/>
      </c>
      <c r="C20346" t="inlineStr">
        <is>
          <t>1955-07-28</t>
        </is>
      </c>
    </row>
    <row r="20347">
      <c r="A20347" s="1" t="n">
        <v>20346</v>
      </c>
      <c r="B20347">
        <f>TEXT(20346, "[$-0E0000]yyyy-mm-dd")</f>
        <v/>
      </c>
      <c r="C20347" t="inlineStr">
        <is>
          <t>1955-07-29</t>
        </is>
      </c>
    </row>
    <row r="20348">
      <c r="A20348" s="1" t="n">
        <v>20347</v>
      </c>
      <c r="B20348">
        <f>TEXT(20347, "[$-0E0000]yyyy-mm-dd")</f>
        <v/>
      </c>
      <c r="C20348" t="inlineStr">
        <is>
          <t>1955-08-01</t>
        </is>
      </c>
    </row>
    <row r="20349">
      <c r="A20349" s="1" t="n">
        <v>20348</v>
      </c>
      <c r="B20349">
        <f>TEXT(20348, "[$-0E0000]yyyy-mm-dd")</f>
        <v/>
      </c>
      <c r="C20349" t="inlineStr">
        <is>
          <t>1955-08-02</t>
        </is>
      </c>
    </row>
    <row r="20350">
      <c r="A20350" s="1" t="n">
        <v>20349</v>
      </c>
      <c r="B20350">
        <f>TEXT(20349, "[$-0E0000]yyyy-mm-dd")</f>
        <v/>
      </c>
      <c r="C20350" t="inlineStr">
        <is>
          <t>1955-08-03</t>
        </is>
      </c>
    </row>
    <row r="20351">
      <c r="A20351" s="1" t="n">
        <v>20350</v>
      </c>
      <c r="B20351">
        <f>TEXT(20350, "[$-0E0000]yyyy-mm-dd")</f>
        <v/>
      </c>
      <c r="C20351" t="inlineStr">
        <is>
          <t>1955-08-04</t>
        </is>
      </c>
    </row>
    <row r="20352">
      <c r="A20352" s="1" t="n">
        <v>20351</v>
      </c>
      <c r="B20352">
        <f>TEXT(20351, "[$-0E0000]yyyy-mm-dd")</f>
        <v/>
      </c>
      <c r="C20352" t="inlineStr">
        <is>
          <t>1955-08-05</t>
        </is>
      </c>
    </row>
    <row r="20353">
      <c r="A20353" s="1" t="n">
        <v>20352</v>
      </c>
      <c r="B20353">
        <f>TEXT(20352, "[$-0E0000]yyyy-mm-dd")</f>
        <v/>
      </c>
      <c r="C20353" t="inlineStr">
        <is>
          <t>1955-08-06</t>
        </is>
      </c>
    </row>
    <row r="20354">
      <c r="A20354" s="1" t="n">
        <v>20353</v>
      </c>
      <c r="B20354">
        <f>TEXT(20353, "[$-0E0000]yyyy-mm-dd")</f>
        <v/>
      </c>
      <c r="C20354" t="inlineStr">
        <is>
          <t>1955-08-07</t>
        </is>
      </c>
    </row>
    <row r="20355">
      <c r="A20355" s="1" t="n">
        <v>20354</v>
      </c>
      <c r="B20355">
        <f>TEXT(20354, "[$-0E0000]yyyy-mm-dd")</f>
        <v/>
      </c>
      <c r="C20355" t="inlineStr">
        <is>
          <t>1955-08-08</t>
        </is>
      </c>
    </row>
    <row r="20356">
      <c r="A20356" s="1" t="n">
        <v>20355</v>
      </c>
      <c r="B20356">
        <f>TEXT(20355, "[$-0E0000]yyyy-mm-dd")</f>
        <v/>
      </c>
      <c r="C20356" t="inlineStr">
        <is>
          <t>1955-08-09</t>
        </is>
      </c>
    </row>
    <row r="20357">
      <c r="A20357" s="1" t="n">
        <v>20356</v>
      </c>
      <c r="B20357">
        <f>TEXT(20356, "[$-0E0000]yyyy-mm-dd")</f>
        <v/>
      </c>
      <c r="C20357" t="inlineStr">
        <is>
          <t>1955-08-10</t>
        </is>
      </c>
    </row>
    <row r="20358">
      <c r="A20358" s="1" t="n">
        <v>20357</v>
      </c>
      <c r="B20358">
        <f>TEXT(20357, "[$-0E0000]yyyy-mm-dd")</f>
        <v/>
      </c>
      <c r="C20358" t="inlineStr">
        <is>
          <t>1955-08-11</t>
        </is>
      </c>
    </row>
    <row r="20359">
      <c r="A20359" s="1" t="n">
        <v>20358</v>
      </c>
      <c r="B20359">
        <f>TEXT(20358, "[$-0E0000]yyyy-mm-dd")</f>
        <v/>
      </c>
      <c r="C20359" t="inlineStr">
        <is>
          <t>1955-08-12</t>
        </is>
      </c>
    </row>
    <row r="20360">
      <c r="A20360" s="1" t="n">
        <v>20359</v>
      </c>
      <c r="B20360">
        <f>TEXT(20359, "[$-0E0000]yyyy-mm-dd")</f>
        <v/>
      </c>
      <c r="C20360" t="inlineStr">
        <is>
          <t>1955-08-13</t>
        </is>
      </c>
    </row>
    <row r="20361">
      <c r="A20361" s="1" t="n">
        <v>20360</v>
      </c>
      <c r="B20361">
        <f>TEXT(20360, "[$-0E0000]yyyy-mm-dd")</f>
        <v/>
      </c>
      <c r="C20361" t="inlineStr">
        <is>
          <t>1955-08-14</t>
        </is>
      </c>
    </row>
    <row r="20362">
      <c r="A20362" s="1" t="n">
        <v>20361</v>
      </c>
      <c r="B20362">
        <f>TEXT(20361, "[$-0E0000]yyyy-mm-dd")</f>
        <v/>
      </c>
      <c r="C20362" t="inlineStr">
        <is>
          <t>1955-08-15</t>
        </is>
      </c>
    </row>
    <row r="20363">
      <c r="A20363" s="1" t="n">
        <v>20362</v>
      </c>
      <c r="B20363">
        <f>TEXT(20362, "[$-0E0000]yyyy-mm-dd")</f>
        <v/>
      </c>
      <c r="C20363" t="inlineStr">
        <is>
          <t>1955-08-16</t>
        </is>
      </c>
    </row>
    <row r="20364">
      <c r="A20364" s="1" t="n">
        <v>20363</v>
      </c>
      <c r="B20364">
        <f>TEXT(20363, "[$-0E0000]yyyy-mm-dd")</f>
        <v/>
      </c>
      <c r="C20364" t="inlineStr">
        <is>
          <t>1955-08-17</t>
        </is>
      </c>
    </row>
    <row r="20365">
      <c r="A20365" s="1" t="n">
        <v>20364</v>
      </c>
      <c r="B20365">
        <f>TEXT(20364, "[$-0E0000]yyyy-mm-dd")</f>
        <v/>
      </c>
      <c r="C20365" t="inlineStr">
        <is>
          <t>1955-08-18</t>
        </is>
      </c>
    </row>
    <row r="20366">
      <c r="A20366" s="1" t="n">
        <v>20365</v>
      </c>
      <c r="B20366">
        <f>TEXT(20365, "[$-0E0000]yyyy-mm-dd")</f>
        <v/>
      </c>
      <c r="C20366" t="inlineStr">
        <is>
          <t>1955-08-19</t>
        </is>
      </c>
    </row>
    <row r="20367">
      <c r="A20367" s="1" t="n">
        <v>20366</v>
      </c>
      <c r="B20367">
        <f>TEXT(20366, "[$-0E0000]yyyy-mm-dd")</f>
        <v/>
      </c>
      <c r="C20367" t="inlineStr">
        <is>
          <t>1955-08-20</t>
        </is>
      </c>
    </row>
    <row r="20368">
      <c r="A20368" s="1" t="n">
        <v>20367</v>
      </c>
      <c r="B20368">
        <f>TEXT(20367, "[$-0E0000]yyyy-mm-dd")</f>
        <v/>
      </c>
      <c r="C20368" t="inlineStr">
        <is>
          <t>1955-08-21</t>
        </is>
      </c>
    </row>
    <row r="20369">
      <c r="A20369" s="1" t="n">
        <v>20368</v>
      </c>
      <c r="B20369">
        <f>TEXT(20368, "[$-0E0000]yyyy-mm-dd")</f>
        <v/>
      </c>
      <c r="C20369" t="inlineStr">
        <is>
          <t>1955-08-22</t>
        </is>
      </c>
    </row>
    <row r="20370">
      <c r="A20370" s="1" t="n">
        <v>20369</v>
      </c>
      <c r="B20370">
        <f>TEXT(20369, "[$-0E0000]yyyy-mm-dd")</f>
        <v/>
      </c>
      <c r="C20370" t="inlineStr">
        <is>
          <t>1955-08-23</t>
        </is>
      </c>
    </row>
    <row r="20371">
      <c r="A20371" s="1" t="n">
        <v>20370</v>
      </c>
      <c r="B20371">
        <f>TEXT(20370, "[$-0E0000]yyyy-mm-dd")</f>
        <v/>
      </c>
      <c r="C20371" t="inlineStr">
        <is>
          <t>1955-08-24</t>
        </is>
      </c>
    </row>
    <row r="20372">
      <c r="A20372" s="1" t="n">
        <v>20371</v>
      </c>
      <c r="B20372">
        <f>TEXT(20371, "[$-0E0000]yyyy-mm-dd")</f>
        <v/>
      </c>
      <c r="C20372" t="inlineStr">
        <is>
          <t>1955-08-25</t>
        </is>
      </c>
    </row>
    <row r="20373">
      <c r="A20373" s="1" t="n">
        <v>20372</v>
      </c>
      <c r="B20373">
        <f>TEXT(20372, "[$-0E0000]yyyy-mm-dd")</f>
        <v/>
      </c>
      <c r="C20373" t="inlineStr">
        <is>
          <t>1955-08-26</t>
        </is>
      </c>
    </row>
    <row r="20374">
      <c r="A20374" s="1" t="n">
        <v>20373</v>
      </c>
      <c r="B20374">
        <f>TEXT(20373, "[$-0E0000]yyyy-mm-dd")</f>
        <v/>
      </c>
      <c r="C20374" t="inlineStr">
        <is>
          <t>1955-08-27</t>
        </is>
      </c>
    </row>
    <row r="20375">
      <c r="A20375" s="1" t="n">
        <v>20374</v>
      </c>
      <c r="B20375">
        <f>TEXT(20374, "[$-0E0000]yyyy-mm-dd")</f>
        <v/>
      </c>
      <c r="C20375" t="inlineStr">
        <is>
          <t>1955-08-28</t>
        </is>
      </c>
    </row>
    <row r="20376">
      <c r="A20376" s="1" t="n">
        <v>20375</v>
      </c>
      <c r="B20376">
        <f>TEXT(20375, "[$-0E0000]yyyy-mm-dd")</f>
        <v/>
      </c>
      <c r="C20376" t="inlineStr">
        <is>
          <t>1955-08-29</t>
        </is>
      </c>
    </row>
    <row r="20377">
      <c r="A20377" s="1" t="n">
        <v>20376</v>
      </c>
      <c r="B20377">
        <f>TEXT(20376, "[$-0E0000]yyyy-mm-dd")</f>
        <v/>
      </c>
      <c r="C20377" t="inlineStr">
        <is>
          <t>1955-08-30</t>
        </is>
      </c>
    </row>
    <row r="20378">
      <c r="A20378" s="1" t="n">
        <v>20377</v>
      </c>
      <c r="B20378">
        <f>TEXT(20377, "[$-0E0000]yyyy-mm-dd")</f>
        <v/>
      </c>
      <c r="C20378" t="inlineStr">
        <is>
          <t>1955-09-01</t>
        </is>
      </c>
    </row>
    <row r="20379">
      <c r="A20379" s="1" t="n">
        <v>20378</v>
      </c>
      <c r="B20379">
        <f>TEXT(20378, "[$-0E0000]yyyy-mm-dd")</f>
        <v/>
      </c>
      <c r="C20379" t="inlineStr">
        <is>
          <t>1955-09-02</t>
        </is>
      </c>
    </row>
    <row r="20380">
      <c r="A20380" s="1" t="n">
        <v>20379</v>
      </c>
      <c r="B20380">
        <f>TEXT(20379, "[$-0E0000]yyyy-mm-dd")</f>
        <v/>
      </c>
      <c r="C20380" t="inlineStr">
        <is>
          <t>1955-09-03</t>
        </is>
      </c>
    </row>
    <row r="20381">
      <c r="A20381" s="1" t="n">
        <v>20380</v>
      </c>
      <c r="B20381">
        <f>TEXT(20380, "[$-0E0000]yyyy-mm-dd")</f>
        <v/>
      </c>
      <c r="C20381" t="inlineStr">
        <is>
          <t>1955-09-04</t>
        </is>
      </c>
    </row>
    <row r="20382">
      <c r="A20382" s="1" t="n">
        <v>20381</v>
      </c>
      <c r="B20382">
        <f>TEXT(20381, "[$-0E0000]yyyy-mm-dd")</f>
        <v/>
      </c>
      <c r="C20382" t="inlineStr">
        <is>
          <t>1955-09-05</t>
        </is>
      </c>
    </row>
    <row r="20383">
      <c r="A20383" s="1" t="n">
        <v>20382</v>
      </c>
      <c r="B20383">
        <f>TEXT(20382, "[$-0E0000]yyyy-mm-dd")</f>
        <v/>
      </c>
      <c r="C20383" t="inlineStr">
        <is>
          <t>1955-09-06</t>
        </is>
      </c>
    </row>
    <row r="20384">
      <c r="A20384" s="1" t="n">
        <v>20383</v>
      </c>
      <c r="B20384">
        <f>TEXT(20383, "[$-0E0000]yyyy-mm-dd")</f>
        <v/>
      </c>
      <c r="C20384" t="inlineStr">
        <is>
          <t>1955-09-07</t>
        </is>
      </c>
    </row>
    <row r="20385">
      <c r="A20385" s="1" t="n">
        <v>20384</v>
      </c>
      <c r="B20385">
        <f>TEXT(20384, "[$-0E0000]yyyy-mm-dd")</f>
        <v/>
      </c>
      <c r="C20385" t="inlineStr">
        <is>
          <t>1955-09-08</t>
        </is>
      </c>
    </row>
    <row r="20386">
      <c r="A20386" s="1" t="n">
        <v>20385</v>
      </c>
      <c r="B20386">
        <f>TEXT(20385, "[$-0E0000]yyyy-mm-dd")</f>
        <v/>
      </c>
      <c r="C20386" t="inlineStr">
        <is>
          <t>1955-09-09</t>
        </is>
      </c>
    </row>
    <row r="20387">
      <c r="A20387" s="1" t="n">
        <v>20386</v>
      </c>
      <c r="B20387">
        <f>TEXT(20386, "[$-0E0000]yyyy-mm-dd")</f>
        <v/>
      </c>
      <c r="C20387" t="inlineStr">
        <is>
          <t>1955-09-10</t>
        </is>
      </c>
    </row>
    <row r="20388">
      <c r="A20388" s="1" t="n">
        <v>20387</v>
      </c>
      <c r="B20388">
        <f>TEXT(20387, "[$-0E0000]yyyy-mm-dd")</f>
        <v/>
      </c>
      <c r="C20388" t="inlineStr">
        <is>
          <t>1955-09-11</t>
        </is>
      </c>
    </row>
    <row r="20389">
      <c r="A20389" s="1" t="n">
        <v>20388</v>
      </c>
      <c r="B20389">
        <f>TEXT(20388, "[$-0E0000]yyyy-mm-dd")</f>
        <v/>
      </c>
      <c r="C20389" t="inlineStr">
        <is>
          <t>1955-09-12</t>
        </is>
      </c>
    </row>
    <row r="20390">
      <c r="A20390" s="1" t="n">
        <v>20389</v>
      </c>
      <c r="B20390">
        <f>TEXT(20389, "[$-0E0000]yyyy-mm-dd")</f>
        <v/>
      </c>
      <c r="C20390" t="inlineStr">
        <is>
          <t>1955-09-13</t>
        </is>
      </c>
    </row>
    <row r="20391">
      <c r="A20391" s="1" t="n">
        <v>20390</v>
      </c>
      <c r="B20391">
        <f>TEXT(20390, "[$-0E0000]yyyy-mm-dd")</f>
        <v/>
      </c>
      <c r="C20391" t="inlineStr">
        <is>
          <t>1955-09-14</t>
        </is>
      </c>
    </row>
    <row r="20392">
      <c r="A20392" s="1" t="n">
        <v>20391</v>
      </c>
      <c r="B20392">
        <f>TEXT(20391, "[$-0E0000]yyyy-mm-dd")</f>
        <v/>
      </c>
      <c r="C20392" t="inlineStr">
        <is>
          <t>1955-09-15</t>
        </is>
      </c>
    </row>
    <row r="20393">
      <c r="A20393" s="1" t="n">
        <v>20392</v>
      </c>
      <c r="B20393">
        <f>TEXT(20392, "[$-0E0000]yyyy-mm-dd")</f>
        <v/>
      </c>
      <c r="C20393" t="inlineStr">
        <is>
          <t>1955-09-16</t>
        </is>
      </c>
    </row>
    <row r="20394">
      <c r="A20394" s="1" t="n">
        <v>20393</v>
      </c>
      <c r="B20394">
        <f>TEXT(20393, "[$-0E0000]yyyy-mm-dd")</f>
        <v/>
      </c>
      <c r="C20394" t="inlineStr">
        <is>
          <t>1955-09-17</t>
        </is>
      </c>
    </row>
    <row r="20395">
      <c r="A20395" s="1" t="n">
        <v>20394</v>
      </c>
      <c r="B20395">
        <f>TEXT(20394, "[$-0E0000]yyyy-mm-dd")</f>
        <v/>
      </c>
      <c r="C20395" t="inlineStr">
        <is>
          <t>1955-09-18</t>
        </is>
      </c>
    </row>
    <row r="20396">
      <c r="A20396" s="1" t="n">
        <v>20395</v>
      </c>
      <c r="B20396">
        <f>TEXT(20395, "[$-0E0000]yyyy-mm-dd")</f>
        <v/>
      </c>
      <c r="C20396" t="inlineStr">
        <is>
          <t>1955-09-19</t>
        </is>
      </c>
    </row>
    <row r="20397">
      <c r="A20397" s="1" t="n">
        <v>20396</v>
      </c>
      <c r="B20397">
        <f>TEXT(20396, "[$-0E0000]yyyy-mm-dd")</f>
        <v/>
      </c>
      <c r="C20397" t="inlineStr">
        <is>
          <t>1955-09-20</t>
        </is>
      </c>
    </row>
    <row r="20398">
      <c r="A20398" s="1" t="n">
        <v>20397</v>
      </c>
      <c r="B20398">
        <f>TEXT(20397, "[$-0E0000]yyyy-mm-dd")</f>
        <v/>
      </c>
      <c r="C20398" t="inlineStr">
        <is>
          <t>1955-09-21</t>
        </is>
      </c>
    </row>
    <row r="20399">
      <c r="A20399" s="1" t="n">
        <v>20398</v>
      </c>
      <c r="B20399">
        <f>TEXT(20398, "[$-0E0000]yyyy-mm-dd")</f>
        <v/>
      </c>
      <c r="C20399" t="inlineStr">
        <is>
          <t>1955-09-22</t>
        </is>
      </c>
    </row>
    <row r="20400">
      <c r="A20400" s="1" t="n">
        <v>20399</v>
      </c>
      <c r="B20400">
        <f>TEXT(20399, "[$-0E0000]yyyy-mm-dd")</f>
        <v/>
      </c>
      <c r="C20400" t="inlineStr">
        <is>
          <t>1955-09-23</t>
        </is>
      </c>
    </row>
    <row r="20401">
      <c r="A20401" s="1" t="n">
        <v>20400</v>
      </c>
      <c r="B20401">
        <f>TEXT(20400, "[$-0E0000]yyyy-mm-dd")</f>
        <v/>
      </c>
      <c r="C20401" t="inlineStr">
        <is>
          <t>1955-09-24</t>
        </is>
      </c>
    </row>
    <row r="20402">
      <c r="A20402" s="1" t="n">
        <v>20401</v>
      </c>
      <c r="B20402">
        <f>TEXT(20401, "[$-0E0000]yyyy-mm-dd")</f>
        <v/>
      </c>
      <c r="C20402" t="inlineStr">
        <is>
          <t>1955-09-25</t>
        </is>
      </c>
    </row>
    <row r="20403">
      <c r="A20403" s="1" t="n">
        <v>20402</v>
      </c>
      <c r="B20403">
        <f>TEXT(20402, "[$-0E0000]yyyy-mm-dd")</f>
        <v/>
      </c>
      <c r="C20403" t="inlineStr">
        <is>
          <t>1955-09-26</t>
        </is>
      </c>
    </row>
    <row r="20404">
      <c r="A20404" s="1" t="n">
        <v>20403</v>
      </c>
      <c r="B20404">
        <f>TEXT(20403, "[$-0E0000]yyyy-mm-dd")</f>
        <v/>
      </c>
      <c r="C20404" t="inlineStr">
        <is>
          <t>1955-09-27</t>
        </is>
      </c>
    </row>
    <row r="20405">
      <c r="A20405" s="1" t="n">
        <v>20404</v>
      </c>
      <c r="B20405">
        <f>TEXT(20404, "[$-0E0000]yyyy-mm-dd")</f>
        <v/>
      </c>
      <c r="C20405" t="inlineStr">
        <is>
          <t>1955-09-28</t>
        </is>
      </c>
    </row>
    <row r="20406">
      <c r="A20406" s="1" t="n">
        <v>20405</v>
      </c>
      <c r="B20406">
        <f>TEXT(20405, "[$-0E0000]yyyy-mm-dd")</f>
        <v/>
      </c>
      <c r="C20406" t="inlineStr">
        <is>
          <t>1955-09-29</t>
        </is>
      </c>
    </row>
    <row r="20407">
      <c r="A20407" s="1" t="n">
        <v>20406</v>
      </c>
      <c r="B20407">
        <f>TEXT(20406, "[$-0E0000]yyyy-mm-dd")</f>
        <v/>
      </c>
      <c r="C20407" t="inlineStr">
        <is>
          <t>1955-10-01</t>
        </is>
      </c>
    </row>
    <row r="20408">
      <c r="A20408" s="1" t="n">
        <v>20407</v>
      </c>
      <c r="B20408">
        <f>TEXT(20407, "[$-0E0000]yyyy-mm-dd")</f>
        <v/>
      </c>
      <c r="C20408" t="inlineStr">
        <is>
          <t>1955-10-02</t>
        </is>
      </c>
    </row>
    <row r="20409">
      <c r="A20409" s="1" t="n">
        <v>20408</v>
      </c>
      <c r="B20409">
        <f>TEXT(20408, "[$-0E0000]yyyy-mm-dd")</f>
        <v/>
      </c>
      <c r="C20409" t="inlineStr">
        <is>
          <t>1955-10-03</t>
        </is>
      </c>
    </row>
    <row r="20410">
      <c r="A20410" s="1" t="n">
        <v>20409</v>
      </c>
      <c r="B20410">
        <f>TEXT(20409, "[$-0E0000]yyyy-mm-dd")</f>
        <v/>
      </c>
      <c r="C20410" t="inlineStr">
        <is>
          <t>1955-10-04</t>
        </is>
      </c>
    </row>
    <row r="20411">
      <c r="A20411" s="1" t="n">
        <v>20410</v>
      </c>
      <c r="B20411">
        <f>TEXT(20410, "[$-0E0000]yyyy-mm-dd")</f>
        <v/>
      </c>
      <c r="C20411" t="inlineStr">
        <is>
          <t>1955-10-05</t>
        </is>
      </c>
    </row>
    <row r="20412">
      <c r="A20412" s="1" t="n">
        <v>20411</v>
      </c>
      <c r="B20412">
        <f>TEXT(20411, "[$-0E0000]yyyy-mm-dd")</f>
        <v/>
      </c>
      <c r="C20412" t="inlineStr">
        <is>
          <t>1955-10-06</t>
        </is>
      </c>
    </row>
    <row r="20413">
      <c r="A20413" s="1" t="n">
        <v>20412</v>
      </c>
      <c r="B20413">
        <f>TEXT(20412, "[$-0E0000]yyyy-mm-dd")</f>
        <v/>
      </c>
      <c r="C20413" t="inlineStr">
        <is>
          <t>1955-10-07</t>
        </is>
      </c>
    </row>
    <row r="20414">
      <c r="A20414" s="1" t="n">
        <v>20413</v>
      </c>
      <c r="B20414">
        <f>TEXT(20413, "[$-0E0000]yyyy-mm-dd")</f>
        <v/>
      </c>
      <c r="C20414" t="inlineStr">
        <is>
          <t>1955-10-08</t>
        </is>
      </c>
    </row>
    <row r="20415">
      <c r="A20415" s="1" t="n">
        <v>20414</v>
      </c>
      <c r="B20415">
        <f>TEXT(20414, "[$-0E0000]yyyy-mm-dd")</f>
        <v/>
      </c>
      <c r="C20415" t="inlineStr">
        <is>
          <t>1955-10-09</t>
        </is>
      </c>
    </row>
    <row r="20416">
      <c r="A20416" s="1" t="n">
        <v>20415</v>
      </c>
      <c r="B20416">
        <f>TEXT(20415, "[$-0E0000]yyyy-mm-dd")</f>
        <v/>
      </c>
      <c r="C20416" t="inlineStr">
        <is>
          <t>1955-10-10</t>
        </is>
      </c>
    </row>
    <row r="20417">
      <c r="A20417" s="1" t="n">
        <v>20416</v>
      </c>
      <c r="B20417">
        <f>TEXT(20416, "[$-0E0000]yyyy-mm-dd")</f>
        <v/>
      </c>
      <c r="C20417" t="inlineStr">
        <is>
          <t>1955-10-11</t>
        </is>
      </c>
    </row>
    <row r="20418">
      <c r="A20418" s="1" t="n">
        <v>20417</v>
      </c>
      <c r="B20418">
        <f>TEXT(20417, "[$-0E0000]yyyy-mm-dd")</f>
        <v/>
      </c>
      <c r="C20418" t="inlineStr">
        <is>
          <t>1955-10-12</t>
        </is>
      </c>
    </row>
    <row r="20419">
      <c r="A20419" s="1" t="n">
        <v>20418</v>
      </c>
      <c r="B20419">
        <f>TEXT(20418, "[$-0E0000]yyyy-mm-dd")</f>
        <v/>
      </c>
      <c r="C20419" t="inlineStr">
        <is>
          <t>1955-10-13</t>
        </is>
      </c>
    </row>
    <row r="20420">
      <c r="A20420" s="1" t="n">
        <v>20419</v>
      </c>
      <c r="B20420">
        <f>TEXT(20419, "[$-0E0000]yyyy-mm-dd")</f>
        <v/>
      </c>
      <c r="C20420" t="inlineStr">
        <is>
          <t>1955-10-14</t>
        </is>
      </c>
    </row>
    <row r="20421">
      <c r="A20421" s="1" t="n">
        <v>20420</v>
      </c>
      <c r="B20421">
        <f>TEXT(20420, "[$-0E0000]yyyy-mm-dd")</f>
        <v/>
      </c>
      <c r="C20421" t="inlineStr">
        <is>
          <t>1955-10-15</t>
        </is>
      </c>
    </row>
    <row r="20422">
      <c r="A20422" s="1" t="n">
        <v>20421</v>
      </c>
      <c r="B20422">
        <f>TEXT(20421, "[$-0E0000]yyyy-mm-dd")</f>
        <v/>
      </c>
      <c r="C20422" t="inlineStr">
        <is>
          <t>1955-10-16</t>
        </is>
      </c>
    </row>
    <row r="20423">
      <c r="A20423" s="1" t="n">
        <v>20422</v>
      </c>
      <c r="B20423">
        <f>TEXT(20422, "[$-0E0000]yyyy-mm-dd")</f>
        <v/>
      </c>
      <c r="C20423" t="inlineStr">
        <is>
          <t>1955-10-17</t>
        </is>
      </c>
    </row>
    <row r="20424">
      <c r="A20424" s="1" t="n">
        <v>20423</v>
      </c>
      <c r="B20424">
        <f>TEXT(20423, "[$-0E0000]yyyy-mm-dd")</f>
        <v/>
      </c>
      <c r="C20424" t="inlineStr">
        <is>
          <t>1955-10-18</t>
        </is>
      </c>
    </row>
    <row r="20425">
      <c r="A20425" s="1" t="n">
        <v>20424</v>
      </c>
      <c r="B20425">
        <f>TEXT(20424, "[$-0E0000]yyyy-mm-dd")</f>
        <v/>
      </c>
      <c r="C20425" t="inlineStr">
        <is>
          <t>1955-10-19</t>
        </is>
      </c>
    </row>
    <row r="20426">
      <c r="A20426" s="1" t="n">
        <v>20425</v>
      </c>
      <c r="B20426">
        <f>TEXT(20425, "[$-0E0000]yyyy-mm-dd")</f>
        <v/>
      </c>
      <c r="C20426" t="inlineStr">
        <is>
          <t>1955-10-20</t>
        </is>
      </c>
    </row>
    <row r="20427">
      <c r="A20427" s="1" t="n">
        <v>20426</v>
      </c>
      <c r="B20427">
        <f>TEXT(20426, "[$-0E0000]yyyy-mm-dd")</f>
        <v/>
      </c>
      <c r="C20427" t="inlineStr">
        <is>
          <t>1955-10-21</t>
        </is>
      </c>
    </row>
    <row r="20428">
      <c r="A20428" s="1" t="n">
        <v>20427</v>
      </c>
      <c r="B20428">
        <f>TEXT(20427, "[$-0E0000]yyyy-mm-dd")</f>
        <v/>
      </c>
      <c r="C20428" t="inlineStr">
        <is>
          <t>1955-10-22</t>
        </is>
      </c>
    </row>
    <row r="20429">
      <c r="A20429" s="1" t="n">
        <v>20428</v>
      </c>
      <c r="B20429">
        <f>TEXT(20428, "[$-0E0000]yyyy-mm-dd")</f>
        <v/>
      </c>
      <c r="C20429" t="inlineStr">
        <is>
          <t>1955-10-23</t>
        </is>
      </c>
    </row>
    <row r="20430">
      <c r="A20430" s="1" t="n">
        <v>20429</v>
      </c>
      <c r="B20430">
        <f>TEXT(20429, "[$-0E0000]yyyy-mm-dd")</f>
        <v/>
      </c>
      <c r="C20430" t="inlineStr">
        <is>
          <t>1955-10-24</t>
        </is>
      </c>
    </row>
    <row r="20431">
      <c r="A20431" s="1" t="n">
        <v>20430</v>
      </c>
      <c r="B20431">
        <f>TEXT(20430, "[$-0E0000]yyyy-mm-dd")</f>
        <v/>
      </c>
      <c r="C20431" t="inlineStr">
        <is>
          <t>1955-10-25</t>
        </is>
      </c>
    </row>
    <row r="20432">
      <c r="A20432" s="1" t="n">
        <v>20431</v>
      </c>
      <c r="B20432">
        <f>TEXT(20431, "[$-0E0000]yyyy-mm-dd")</f>
        <v/>
      </c>
      <c r="C20432" t="inlineStr">
        <is>
          <t>1955-10-26</t>
        </is>
      </c>
    </row>
    <row r="20433">
      <c r="A20433" s="1" t="n">
        <v>20432</v>
      </c>
      <c r="B20433">
        <f>TEXT(20432, "[$-0E0000]yyyy-mm-dd")</f>
        <v/>
      </c>
      <c r="C20433" t="inlineStr">
        <is>
          <t>1955-10-27</t>
        </is>
      </c>
    </row>
    <row r="20434">
      <c r="A20434" s="1" t="n">
        <v>20433</v>
      </c>
      <c r="B20434">
        <f>TEXT(20433, "[$-0E0000]yyyy-mm-dd")</f>
        <v/>
      </c>
      <c r="C20434" t="inlineStr">
        <is>
          <t>1955-10-28</t>
        </is>
      </c>
    </row>
    <row r="20435">
      <c r="A20435" s="1" t="n">
        <v>20434</v>
      </c>
      <c r="B20435">
        <f>TEXT(20434, "[$-0E0000]yyyy-mm-dd")</f>
        <v/>
      </c>
      <c r="C20435" t="inlineStr">
        <is>
          <t>1955-10-29</t>
        </is>
      </c>
    </row>
    <row r="20436">
      <c r="A20436" s="1" t="n">
        <v>20435</v>
      </c>
      <c r="B20436">
        <f>TEXT(20435, "[$-0E0000]yyyy-mm-dd")</f>
        <v/>
      </c>
      <c r="C20436" t="inlineStr">
        <is>
          <t>1955-10-30</t>
        </is>
      </c>
    </row>
    <row r="20437">
      <c r="A20437" s="1" t="n">
        <v>20436</v>
      </c>
      <c r="B20437">
        <f>TEXT(20436, "[$-0E0000]yyyy-mm-dd")</f>
        <v/>
      </c>
      <c r="C20437" t="inlineStr">
        <is>
          <t>1955-11-01</t>
        </is>
      </c>
    </row>
    <row r="20438">
      <c r="A20438" s="1" t="n">
        <v>20437</v>
      </c>
      <c r="B20438">
        <f>TEXT(20437, "[$-0E0000]yyyy-mm-dd")</f>
        <v/>
      </c>
      <c r="C20438" t="inlineStr">
        <is>
          <t>1955-11-02</t>
        </is>
      </c>
    </row>
    <row r="20439">
      <c r="A20439" s="1" t="n">
        <v>20438</v>
      </c>
      <c r="B20439">
        <f>TEXT(20438, "[$-0E0000]yyyy-mm-dd")</f>
        <v/>
      </c>
      <c r="C20439" t="inlineStr">
        <is>
          <t>1955-11-03</t>
        </is>
      </c>
    </row>
    <row r="20440">
      <c r="A20440" s="1" t="n">
        <v>20439</v>
      </c>
      <c r="B20440">
        <f>TEXT(20439, "[$-0E0000]yyyy-mm-dd")</f>
        <v/>
      </c>
      <c r="C20440" t="inlineStr">
        <is>
          <t>1955-11-04</t>
        </is>
      </c>
    </row>
    <row r="20441">
      <c r="A20441" s="1" t="n">
        <v>20440</v>
      </c>
      <c r="B20441">
        <f>TEXT(20440, "[$-0E0000]yyyy-mm-dd")</f>
        <v/>
      </c>
      <c r="C20441" t="inlineStr">
        <is>
          <t>1955-11-05</t>
        </is>
      </c>
    </row>
    <row r="20442">
      <c r="A20442" s="1" t="n">
        <v>20441</v>
      </c>
      <c r="B20442">
        <f>TEXT(20441, "[$-0E0000]yyyy-mm-dd")</f>
        <v/>
      </c>
      <c r="C20442" t="inlineStr">
        <is>
          <t>1955-11-06</t>
        </is>
      </c>
    </row>
    <row r="20443">
      <c r="A20443" s="1" t="n">
        <v>20442</v>
      </c>
      <c r="B20443">
        <f>TEXT(20442, "[$-0E0000]yyyy-mm-dd")</f>
        <v/>
      </c>
      <c r="C20443" t="inlineStr">
        <is>
          <t>1955-11-07</t>
        </is>
      </c>
    </row>
    <row r="20444">
      <c r="A20444" s="1" t="n">
        <v>20443</v>
      </c>
      <c r="B20444">
        <f>TEXT(20443, "[$-0E0000]yyyy-mm-dd")</f>
        <v/>
      </c>
      <c r="C20444" t="inlineStr">
        <is>
          <t>1955-11-08</t>
        </is>
      </c>
    </row>
    <row r="20445">
      <c r="A20445" s="1" t="n">
        <v>20444</v>
      </c>
      <c r="B20445">
        <f>TEXT(20444, "[$-0E0000]yyyy-mm-dd")</f>
        <v/>
      </c>
      <c r="C20445" t="inlineStr">
        <is>
          <t>1955-11-09</t>
        </is>
      </c>
    </row>
    <row r="20446">
      <c r="A20446" s="1" t="n">
        <v>20445</v>
      </c>
      <c r="B20446">
        <f>TEXT(20445, "[$-0E0000]yyyy-mm-dd")</f>
        <v/>
      </c>
      <c r="C20446" t="inlineStr">
        <is>
          <t>1955-11-10</t>
        </is>
      </c>
    </row>
    <row r="20447">
      <c r="A20447" s="1" t="n">
        <v>20446</v>
      </c>
      <c r="B20447">
        <f>TEXT(20446, "[$-0E0000]yyyy-mm-dd")</f>
        <v/>
      </c>
      <c r="C20447" t="inlineStr">
        <is>
          <t>1955-11-11</t>
        </is>
      </c>
    </row>
    <row r="20448">
      <c r="A20448" s="1" t="n">
        <v>20447</v>
      </c>
      <c r="B20448">
        <f>TEXT(20447, "[$-0E0000]yyyy-mm-dd")</f>
        <v/>
      </c>
      <c r="C20448" t="inlineStr">
        <is>
          <t>1955-11-12</t>
        </is>
      </c>
    </row>
    <row r="20449">
      <c r="A20449" s="1" t="n">
        <v>20448</v>
      </c>
      <c r="B20449">
        <f>TEXT(20448, "[$-0E0000]yyyy-mm-dd")</f>
        <v/>
      </c>
      <c r="C20449" t="inlineStr">
        <is>
          <t>1955-11-13</t>
        </is>
      </c>
    </row>
    <row r="20450">
      <c r="A20450" s="1" t="n">
        <v>20449</v>
      </c>
      <c r="B20450">
        <f>TEXT(20449, "[$-0E0000]yyyy-mm-dd")</f>
        <v/>
      </c>
      <c r="C20450" t="inlineStr">
        <is>
          <t>1955-11-14</t>
        </is>
      </c>
    </row>
    <row r="20451">
      <c r="A20451" s="1" t="n">
        <v>20450</v>
      </c>
      <c r="B20451">
        <f>TEXT(20450, "[$-0E0000]yyyy-mm-dd")</f>
        <v/>
      </c>
      <c r="C20451" t="inlineStr">
        <is>
          <t>1955-11-15</t>
        </is>
      </c>
    </row>
    <row r="20452">
      <c r="A20452" s="1" t="n">
        <v>20451</v>
      </c>
      <c r="B20452">
        <f>TEXT(20451, "[$-0E0000]yyyy-mm-dd")</f>
        <v/>
      </c>
      <c r="C20452" t="inlineStr">
        <is>
          <t>1955-11-16</t>
        </is>
      </c>
    </row>
    <row r="20453">
      <c r="A20453" s="1" t="n">
        <v>20452</v>
      </c>
      <c r="B20453">
        <f>TEXT(20452, "[$-0E0000]yyyy-mm-dd")</f>
        <v/>
      </c>
      <c r="C20453" t="inlineStr">
        <is>
          <t>1955-11-17</t>
        </is>
      </c>
    </row>
    <row r="20454">
      <c r="A20454" s="1" t="n">
        <v>20453</v>
      </c>
      <c r="B20454">
        <f>TEXT(20453, "[$-0E0000]yyyy-mm-dd")</f>
        <v/>
      </c>
      <c r="C20454" t="inlineStr">
        <is>
          <t>1955-11-18</t>
        </is>
      </c>
    </row>
    <row r="20455">
      <c r="A20455" s="1" t="n">
        <v>20454</v>
      </c>
      <c r="B20455">
        <f>TEXT(20454, "[$-0E0000]yyyy-mm-dd")</f>
        <v/>
      </c>
      <c r="C20455" t="inlineStr">
        <is>
          <t>1955-11-19</t>
        </is>
      </c>
    </row>
    <row r="20456">
      <c r="A20456" s="1" t="n">
        <v>20455</v>
      </c>
      <c r="B20456">
        <f>TEXT(20455, "[$-0E0000]yyyy-mm-dd")</f>
        <v/>
      </c>
      <c r="C20456" t="inlineStr">
        <is>
          <t>1955-11-20</t>
        </is>
      </c>
    </row>
    <row r="20457">
      <c r="A20457" s="1" t="n">
        <v>20456</v>
      </c>
      <c r="B20457">
        <f>TEXT(20456, "[$-0E0000]yyyy-mm-dd")</f>
        <v/>
      </c>
      <c r="C20457" t="inlineStr">
        <is>
          <t>1955-11-21</t>
        </is>
      </c>
    </row>
    <row r="20458">
      <c r="A20458" s="1" t="n">
        <v>20457</v>
      </c>
      <c r="B20458">
        <f>TEXT(20457, "[$-0E0000]yyyy-mm-dd")</f>
        <v/>
      </c>
      <c r="C20458" t="inlineStr">
        <is>
          <t>1955-11-22</t>
        </is>
      </c>
    </row>
    <row r="20459">
      <c r="A20459" s="1" t="n">
        <v>20458</v>
      </c>
      <c r="B20459">
        <f>TEXT(20458, "[$-0E0000]yyyy-mm-dd")</f>
        <v/>
      </c>
      <c r="C20459" t="inlineStr">
        <is>
          <t>1955-11-23</t>
        </is>
      </c>
    </row>
    <row r="20460">
      <c r="A20460" s="1" t="n">
        <v>20459</v>
      </c>
      <c r="B20460">
        <f>TEXT(20459, "[$-0E0000]yyyy-mm-dd")</f>
        <v/>
      </c>
      <c r="C20460" t="inlineStr">
        <is>
          <t>1955-11-24</t>
        </is>
      </c>
    </row>
    <row r="20461">
      <c r="A20461" s="1" t="n">
        <v>20460</v>
      </c>
      <c r="B20461">
        <f>TEXT(20460, "[$-0E0000]yyyy-mm-dd")</f>
        <v/>
      </c>
      <c r="C20461" t="inlineStr">
        <is>
          <t>1955-11-25</t>
        </is>
      </c>
    </row>
    <row r="20462">
      <c r="A20462" s="1" t="n">
        <v>20461</v>
      </c>
      <c r="B20462">
        <f>TEXT(20461, "[$-0E0000]yyyy-mm-dd")</f>
        <v/>
      </c>
      <c r="C20462" t="inlineStr">
        <is>
          <t>1955-11-26</t>
        </is>
      </c>
    </row>
    <row r="20463">
      <c r="A20463" s="1" t="n">
        <v>20462</v>
      </c>
      <c r="B20463">
        <f>TEXT(20462, "[$-0E0000]yyyy-mm-dd")</f>
        <v/>
      </c>
      <c r="C20463" t="inlineStr">
        <is>
          <t>1955-11-27</t>
        </is>
      </c>
    </row>
    <row r="20464">
      <c r="A20464" s="1" t="n">
        <v>20463</v>
      </c>
      <c r="B20464">
        <f>TEXT(20463, "[$-0E0000]yyyy-mm-dd")</f>
        <v/>
      </c>
      <c r="C20464" t="inlineStr">
        <is>
          <t>1955-11-28</t>
        </is>
      </c>
    </row>
    <row r="20465">
      <c r="A20465" s="1" t="n">
        <v>20464</v>
      </c>
      <c r="B20465">
        <f>TEXT(20464, "[$-0E0000]yyyy-mm-dd")</f>
        <v/>
      </c>
      <c r="C20465" t="inlineStr">
        <is>
          <t>1955-11-29</t>
        </is>
      </c>
    </row>
    <row r="20466">
      <c r="A20466" s="1" t="n">
        <v>20465</v>
      </c>
      <c r="B20466">
        <f>TEXT(20465, "[$-0E0000]yyyy-mm-dd")</f>
        <v/>
      </c>
      <c r="C20466" t="inlineStr">
        <is>
          <t>1955-11-30</t>
        </is>
      </c>
    </row>
    <row r="20467">
      <c r="A20467" s="1" t="n">
        <v>20466</v>
      </c>
      <c r="B20467">
        <f>TEXT(20466, "[$-0E0000]yyyy-mm-dd")</f>
        <v/>
      </c>
      <c r="C20467" t="inlineStr">
        <is>
          <t>1955-12-01</t>
        </is>
      </c>
    </row>
    <row r="20468">
      <c r="A20468" s="1" t="n">
        <v>20467</v>
      </c>
      <c r="B20468">
        <f>TEXT(20467, "[$-0E0000]yyyy-mm-dd")</f>
        <v/>
      </c>
      <c r="C20468" t="inlineStr">
        <is>
          <t>1955-12-02</t>
        </is>
      </c>
    </row>
    <row r="20469">
      <c r="A20469" s="1" t="n">
        <v>20468</v>
      </c>
      <c r="B20469">
        <f>TEXT(20468, "[$-0E0000]yyyy-mm-dd")</f>
        <v/>
      </c>
      <c r="C20469" t="inlineStr">
        <is>
          <t>1955-12-03</t>
        </is>
      </c>
    </row>
    <row r="20470">
      <c r="A20470" s="1" t="n">
        <v>20469</v>
      </c>
      <c r="B20470">
        <f>TEXT(20469, "[$-0E0000]yyyy-mm-dd")</f>
        <v/>
      </c>
      <c r="C20470" t="inlineStr">
        <is>
          <t>1955-12-04</t>
        </is>
      </c>
    </row>
    <row r="20471">
      <c r="A20471" s="1" t="n">
        <v>20470</v>
      </c>
      <c r="B20471">
        <f>TEXT(20470, "[$-0E0000]yyyy-mm-dd")</f>
        <v/>
      </c>
      <c r="C20471" t="inlineStr">
        <is>
          <t>1955-12-05</t>
        </is>
      </c>
    </row>
    <row r="20472">
      <c r="A20472" s="1" t="n">
        <v>20471</v>
      </c>
      <c r="B20472">
        <f>TEXT(20471, "[$-0E0000]yyyy-mm-dd")</f>
        <v/>
      </c>
      <c r="C20472" t="inlineStr">
        <is>
          <t>1955-12-06</t>
        </is>
      </c>
    </row>
    <row r="20473">
      <c r="A20473" s="1" t="n">
        <v>20472</v>
      </c>
      <c r="B20473">
        <f>TEXT(20472, "[$-0E0000]yyyy-mm-dd")</f>
        <v/>
      </c>
      <c r="C20473" t="inlineStr">
        <is>
          <t>1955-12-07</t>
        </is>
      </c>
    </row>
    <row r="20474">
      <c r="A20474" s="1" t="n">
        <v>20473</v>
      </c>
      <c r="B20474">
        <f>TEXT(20473, "[$-0E0000]yyyy-mm-dd")</f>
        <v/>
      </c>
      <c r="C20474" t="inlineStr">
        <is>
          <t>1955-12-08</t>
        </is>
      </c>
    </row>
    <row r="20475">
      <c r="A20475" s="1" t="n">
        <v>20474</v>
      </c>
      <c r="B20475">
        <f>TEXT(20474, "[$-0E0000]yyyy-mm-dd")</f>
        <v/>
      </c>
      <c r="C20475" t="inlineStr">
        <is>
          <t>1955-12-09</t>
        </is>
      </c>
    </row>
    <row r="20476">
      <c r="A20476" s="1" t="n">
        <v>20475</v>
      </c>
      <c r="B20476">
        <f>TEXT(20475, "[$-0E0000]yyyy-mm-dd")</f>
        <v/>
      </c>
      <c r="C20476" t="inlineStr">
        <is>
          <t>1955-12-10</t>
        </is>
      </c>
    </row>
    <row r="20477">
      <c r="A20477" s="1" t="n">
        <v>20476</v>
      </c>
      <c r="B20477">
        <f>TEXT(20476, "[$-0E0000]yyyy-mm-dd")</f>
        <v/>
      </c>
      <c r="C20477" t="inlineStr">
        <is>
          <t>1955-12-11</t>
        </is>
      </c>
    </row>
    <row r="20478">
      <c r="A20478" s="1" t="n">
        <v>20477</v>
      </c>
      <c r="B20478">
        <f>TEXT(20477, "[$-0E0000]yyyy-mm-dd")</f>
        <v/>
      </c>
      <c r="C20478" t="inlineStr">
        <is>
          <t>1955-12-12</t>
        </is>
      </c>
    </row>
    <row r="20479">
      <c r="A20479" s="1" t="n">
        <v>20478</v>
      </c>
      <c r="B20479">
        <f>TEXT(20478, "[$-0E0000]yyyy-mm-dd")</f>
        <v/>
      </c>
      <c r="C20479" t="inlineStr">
        <is>
          <t>1955-12-13</t>
        </is>
      </c>
    </row>
    <row r="20480">
      <c r="A20480" s="1" t="n">
        <v>20479</v>
      </c>
      <c r="B20480">
        <f>TEXT(20479, "[$-0E0000]yyyy-mm-dd")</f>
        <v/>
      </c>
      <c r="C20480" t="inlineStr">
        <is>
          <t>1955-12-14</t>
        </is>
      </c>
    </row>
    <row r="20481">
      <c r="A20481" s="1" t="n">
        <v>20480</v>
      </c>
      <c r="B20481">
        <f>TEXT(20480, "[$-0E0000]yyyy-mm-dd")</f>
        <v/>
      </c>
      <c r="C20481" t="inlineStr">
        <is>
          <t>1955-12-15</t>
        </is>
      </c>
    </row>
    <row r="20482">
      <c r="A20482" s="1" t="n">
        <v>20481</v>
      </c>
      <c r="B20482">
        <f>TEXT(20481, "[$-0E0000]yyyy-mm-dd")</f>
        <v/>
      </c>
      <c r="C20482" t="inlineStr">
        <is>
          <t>1955-12-16</t>
        </is>
      </c>
    </row>
    <row r="20483">
      <c r="A20483" s="1" t="n">
        <v>20482</v>
      </c>
      <c r="B20483">
        <f>TEXT(20482, "[$-0E0000]yyyy-mm-dd")</f>
        <v/>
      </c>
      <c r="C20483" t="inlineStr">
        <is>
          <t>1955-12-17</t>
        </is>
      </c>
    </row>
    <row r="20484">
      <c r="A20484" s="1" t="n">
        <v>20483</v>
      </c>
      <c r="B20484">
        <f>TEXT(20483, "[$-0E0000]yyyy-mm-dd")</f>
        <v/>
      </c>
      <c r="C20484" t="inlineStr">
        <is>
          <t>1955-12-18</t>
        </is>
      </c>
    </row>
    <row r="20485">
      <c r="A20485" s="1" t="n">
        <v>20484</v>
      </c>
      <c r="B20485">
        <f>TEXT(20484, "[$-0E0000]yyyy-mm-dd")</f>
        <v/>
      </c>
      <c r="C20485" t="inlineStr">
        <is>
          <t>1955-12-19</t>
        </is>
      </c>
    </row>
    <row r="20486">
      <c r="A20486" s="1" t="n">
        <v>20485</v>
      </c>
      <c r="B20486">
        <f>TEXT(20485, "[$-0E0000]yyyy-mm-dd")</f>
        <v/>
      </c>
      <c r="C20486" t="inlineStr">
        <is>
          <t>1955-12-20</t>
        </is>
      </c>
    </row>
    <row r="20487">
      <c r="A20487" s="1" t="n">
        <v>20486</v>
      </c>
      <c r="B20487">
        <f>TEXT(20486, "[$-0E0000]yyyy-mm-dd")</f>
        <v/>
      </c>
      <c r="C20487" t="inlineStr">
        <is>
          <t>1955-12-21</t>
        </is>
      </c>
    </row>
    <row r="20488">
      <c r="A20488" s="1" t="n">
        <v>20487</v>
      </c>
      <c r="B20488">
        <f>TEXT(20487, "[$-0E0000]yyyy-mm-dd")</f>
        <v/>
      </c>
      <c r="C20488" t="inlineStr">
        <is>
          <t>1955-12-22</t>
        </is>
      </c>
    </row>
    <row r="20489">
      <c r="A20489" s="1" t="n">
        <v>20488</v>
      </c>
      <c r="B20489">
        <f>TEXT(20488, "[$-0E0000]yyyy-mm-dd")</f>
        <v/>
      </c>
      <c r="C20489" t="inlineStr">
        <is>
          <t>1955-12-23</t>
        </is>
      </c>
    </row>
    <row r="20490">
      <c r="A20490" s="1" t="n">
        <v>20489</v>
      </c>
      <c r="B20490">
        <f>TEXT(20489, "[$-0E0000]yyyy-mm-dd")</f>
        <v/>
      </c>
      <c r="C20490" t="inlineStr">
        <is>
          <t>1955-12-24</t>
        </is>
      </c>
    </row>
    <row r="20491">
      <c r="A20491" s="1" t="n">
        <v>20490</v>
      </c>
      <c r="B20491">
        <f>TEXT(20490, "[$-0E0000]yyyy-mm-dd")</f>
        <v/>
      </c>
      <c r="C20491" t="inlineStr">
        <is>
          <t>1955-12-25</t>
        </is>
      </c>
    </row>
    <row r="20492">
      <c r="A20492" s="1" t="n">
        <v>20491</v>
      </c>
      <c r="B20492">
        <f>TEXT(20491, "[$-0E0000]yyyy-mm-dd")</f>
        <v/>
      </c>
      <c r="C20492" t="inlineStr">
        <is>
          <t>1955-12-26</t>
        </is>
      </c>
    </row>
    <row r="20493">
      <c r="A20493" s="1" t="n">
        <v>20492</v>
      </c>
      <c r="B20493">
        <f>TEXT(20492, "[$-0E0000]yyyy-mm-dd")</f>
        <v/>
      </c>
      <c r="C20493" t="inlineStr">
        <is>
          <t>1955-12-27</t>
        </is>
      </c>
    </row>
    <row r="20494">
      <c r="A20494" s="1" t="n">
        <v>20493</v>
      </c>
      <c r="B20494">
        <f>TEXT(20493, "[$-0E0000]yyyy-mm-dd")</f>
        <v/>
      </c>
      <c r="C20494" t="inlineStr">
        <is>
          <t>1955-12-28</t>
        </is>
      </c>
    </row>
    <row r="20495">
      <c r="A20495" s="1" t="n">
        <v>20494</v>
      </c>
      <c r="B20495">
        <f>TEXT(20494, "[$-0E0000]yyyy-mm-dd")</f>
        <v/>
      </c>
      <c r="C20495" t="inlineStr">
        <is>
          <t>1955-12-29</t>
        </is>
      </c>
    </row>
    <row r="20496">
      <c r="A20496" s="1" t="n">
        <v>20495</v>
      </c>
      <c r="B20496">
        <f>TEXT(20495, "[$-0E0000]yyyy-mm-dd")</f>
        <v/>
      </c>
      <c r="C20496" t="inlineStr">
        <is>
          <t>1955-12-30</t>
        </is>
      </c>
    </row>
    <row r="20497">
      <c r="A20497" s="1" t="n">
        <v>20496</v>
      </c>
      <c r="B20497">
        <f>TEXT(20496, "[$-0E0000]yyyy-mm-dd")</f>
        <v/>
      </c>
      <c r="C20497" t="inlineStr">
        <is>
          <t>1956-01-01</t>
        </is>
      </c>
    </row>
    <row r="20498">
      <c r="A20498" s="1" t="n">
        <v>20497</v>
      </c>
      <c r="B20498">
        <f>TEXT(20497, "[$-0E0000]yyyy-mm-dd")</f>
        <v/>
      </c>
      <c r="C20498" t="inlineStr">
        <is>
          <t>1956-01-02</t>
        </is>
      </c>
    </row>
    <row r="20499">
      <c r="A20499" s="1" t="n">
        <v>20498</v>
      </c>
      <c r="B20499">
        <f>TEXT(20498, "[$-0E0000]yyyy-mm-dd")</f>
        <v/>
      </c>
      <c r="C20499" t="inlineStr">
        <is>
          <t>1956-01-03</t>
        </is>
      </c>
    </row>
    <row r="20500">
      <c r="A20500" s="1" t="n">
        <v>20499</v>
      </c>
      <c r="B20500">
        <f>TEXT(20499, "[$-0E0000]yyyy-mm-dd")</f>
        <v/>
      </c>
      <c r="C20500" t="inlineStr">
        <is>
          <t>1956-01-04</t>
        </is>
      </c>
    </row>
    <row r="20501">
      <c r="A20501" s="1" t="n">
        <v>20500</v>
      </c>
      <c r="B20501">
        <f>TEXT(20500, "[$-0E0000]yyyy-mm-dd")</f>
        <v/>
      </c>
      <c r="C20501" t="inlineStr">
        <is>
          <t>1956-01-05</t>
        </is>
      </c>
    </row>
    <row r="20502">
      <c r="A20502" s="1" t="n">
        <v>20501</v>
      </c>
      <c r="B20502">
        <f>TEXT(20501, "[$-0E0000]yyyy-mm-dd")</f>
        <v/>
      </c>
      <c r="C20502" t="inlineStr">
        <is>
          <t>1956-01-06</t>
        </is>
      </c>
    </row>
    <row r="20503">
      <c r="A20503" s="1" t="n">
        <v>20502</v>
      </c>
      <c r="B20503">
        <f>TEXT(20502, "[$-0E0000]yyyy-mm-dd")</f>
        <v/>
      </c>
      <c r="C20503" t="inlineStr">
        <is>
          <t>1956-01-07</t>
        </is>
      </c>
    </row>
    <row r="20504">
      <c r="A20504" s="1" t="n">
        <v>20503</v>
      </c>
      <c r="B20504">
        <f>TEXT(20503, "[$-0E0000]yyyy-mm-dd")</f>
        <v/>
      </c>
      <c r="C20504" t="inlineStr">
        <is>
          <t>1956-01-08</t>
        </is>
      </c>
    </row>
    <row r="20505">
      <c r="A20505" s="1" t="n">
        <v>20504</v>
      </c>
      <c r="B20505">
        <f>TEXT(20504, "[$-0E0000]yyyy-mm-dd")</f>
        <v/>
      </c>
      <c r="C20505" t="inlineStr">
        <is>
          <t>1956-01-09</t>
        </is>
      </c>
    </row>
    <row r="20506">
      <c r="A20506" s="1" t="n">
        <v>20505</v>
      </c>
      <c r="B20506">
        <f>TEXT(20505, "[$-0E0000]yyyy-mm-dd")</f>
        <v/>
      </c>
      <c r="C20506" t="inlineStr">
        <is>
          <t>1956-01-10</t>
        </is>
      </c>
    </row>
    <row r="20507">
      <c r="A20507" s="1" t="n">
        <v>20506</v>
      </c>
      <c r="B20507">
        <f>TEXT(20506, "[$-0E0000]yyyy-mm-dd")</f>
        <v/>
      </c>
      <c r="C20507" t="inlineStr">
        <is>
          <t>1956-01-11</t>
        </is>
      </c>
    </row>
    <row r="20508">
      <c r="A20508" s="1" t="n">
        <v>20507</v>
      </c>
      <c r="B20508">
        <f>TEXT(20507, "[$-0E0000]yyyy-mm-dd")</f>
        <v/>
      </c>
      <c r="C20508" t="inlineStr">
        <is>
          <t>1956-01-12</t>
        </is>
      </c>
    </row>
    <row r="20509">
      <c r="A20509" s="1" t="n">
        <v>20508</v>
      </c>
      <c r="B20509">
        <f>TEXT(20508, "[$-0E0000]yyyy-mm-dd")</f>
        <v/>
      </c>
      <c r="C20509" t="inlineStr">
        <is>
          <t>1956-01-13</t>
        </is>
      </c>
    </row>
    <row r="20510">
      <c r="A20510" s="1" t="n">
        <v>20509</v>
      </c>
      <c r="B20510">
        <f>TEXT(20509, "[$-0E0000]yyyy-mm-dd")</f>
        <v/>
      </c>
      <c r="C20510" t="inlineStr">
        <is>
          <t>1956-01-14</t>
        </is>
      </c>
    </row>
    <row r="20511">
      <c r="A20511" s="1" t="n">
        <v>20510</v>
      </c>
      <c r="B20511">
        <f>TEXT(20510, "[$-0E0000]yyyy-mm-dd")</f>
        <v/>
      </c>
      <c r="C20511" t="inlineStr">
        <is>
          <t>1956-01-15</t>
        </is>
      </c>
    </row>
    <row r="20512">
      <c r="A20512" s="1" t="n">
        <v>20511</v>
      </c>
      <c r="B20512">
        <f>TEXT(20511, "[$-0E0000]yyyy-mm-dd")</f>
        <v/>
      </c>
      <c r="C20512" t="inlineStr">
        <is>
          <t>1956-01-16</t>
        </is>
      </c>
    </row>
    <row r="20513">
      <c r="A20513" s="1" t="n">
        <v>20512</v>
      </c>
      <c r="B20513">
        <f>TEXT(20512, "[$-0E0000]yyyy-mm-dd")</f>
        <v/>
      </c>
      <c r="C20513" t="inlineStr">
        <is>
          <t>1956-01-17</t>
        </is>
      </c>
    </row>
    <row r="20514">
      <c r="A20514" s="1" t="n">
        <v>20513</v>
      </c>
      <c r="B20514">
        <f>TEXT(20513, "[$-0E0000]yyyy-mm-dd")</f>
        <v/>
      </c>
      <c r="C20514" t="inlineStr">
        <is>
          <t>1956-01-18</t>
        </is>
      </c>
    </row>
    <row r="20515">
      <c r="A20515" s="1" t="n">
        <v>20514</v>
      </c>
      <c r="B20515">
        <f>TEXT(20514, "[$-0E0000]yyyy-mm-dd")</f>
        <v/>
      </c>
      <c r="C20515" t="inlineStr">
        <is>
          <t>1956-01-19</t>
        </is>
      </c>
    </row>
    <row r="20516">
      <c r="A20516" s="1" t="n">
        <v>20515</v>
      </c>
      <c r="B20516">
        <f>TEXT(20515, "[$-0E0000]yyyy-mm-dd")</f>
        <v/>
      </c>
      <c r="C20516" t="inlineStr">
        <is>
          <t>1956-01-20</t>
        </is>
      </c>
    </row>
    <row r="20517">
      <c r="A20517" s="1" t="n">
        <v>20516</v>
      </c>
      <c r="B20517">
        <f>TEXT(20516, "[$-0E0000]yyyy-mm-dd")</f>
        <v/>
      </c>
      <c r="C20517" t="inlineStr">
        <is>
          <t>1956-01-21</t>
        </is>
      </c>
    </row>
    <row r="20518">
      <c r="A20518" s="1" t="n">
        <v>20517</v>
      </c>
      <c r="B20518">
        <f>TEXT(20517, "[$-0E0000]yyyy-mm-dd")</f>
        <v/>
      </c>
      <c r="C20518" t="inlineStr">
        <is>
          <t>1956-01-22</t>
        </is>
      </c>
    </row>
    <row r="20519">
      <c r="A20519" s="1" t="n">
        <v>20518</v>
      </c>
      <c r="B20519">
        <f>TEXT(20518, "[$-0E0000]yyyy-mm-dd")</f>
        <v/>
      </c>
      <c r="C20519" t="inlineStr">
        <is>
          <t>1956-01-23</t>
        </is>
      </c>
    </row>
    <row r="20520">
      <c r="A20520" s="1" t="n">
        <v>20519</v>
      </c>
      <c r="B20520">
        <f>TEXT(20519, "[$-0E0000]yyyy-mm-dd")</f>
        <v/>
      </c>
      <c r="C20520" t="inlineStr">
        <is>
          <t>1956-01-24</t>
        </is>
      </c>
    </row>
    <row r="20521">
      <c r="A20521" s="1" t="n">
        <v>20520</v>
      </c>
      <c r="B20521">
        <f>TEXT(20520, "[$-0E0000]yyyy-mm-dd")</f>
        <v/>
      </c>
      <c r="C20521" t="inlineStr">
        <is>
          <t>1956-01-25</t>
        </is>
      </c>
    </row>
    <row r="20522">
      <c r="A20522" s="1" t="n">
        <v>20521</v>
      </c>
      <c r="B20522">
        <f>TEXT(20521, "[$-0E0000]yyyy-mm-dd")</f>
        <v/>
      </c>
      <c r="C20522" t="inlineStr">
        <is>
          <t>1956-01-26</t>
        </is>
      </c>
    </row>
    <row r="20523">
      <c r="A20523" s="1" t="n">
        <v>20522</v>
      </c>
      <c r="B20523">
        <f>TEXT(20522, "[$-0E0000]yyyy-mm-dd")</f>
        <v/>
      </c>
      <c r="C20523" t="inlineStr">
        <is>
          <t>1956-01-27</t>
        </is>
      </c>
    </row>
    <row r="20524">
      <c r="A20524" s="1" t="n">
        <v>20523</v>
      </c>
      <c r="B20524">
        <f>TEXT(20523, "[$-0E0000]yyyy-mm-dd")</f>
        <v/>
      </c>
      <c r="C20524" t="inlineStr">
        <is>
          <t>1956-01-28</t>
        </is>
      </c>
    </row>
    <row r="20525">
      <c r="A20525" s="1" t="n">
        <v>20524</v>
      </c>
      <c r="B20525">
        <f>TEXT(20524, "[$-0E0000]yyyy-mm-dd")</f>
        <v/>
      </c>
      <c r="C20525" t="inlineStr">
        <is>
          <t>1956-01-29</t>
        </is>
      </c>
    </row>
    <row r="20526">
      <c r="A20526" s="1" t="n">
        <v>20525</v>
      </c>
      <c r="B20526">
        <f>TEXT(20525, "[$-0E0000]yyyy-mm-dd")</f>
        <v/>
      </c>
      <c r="C20526" t="inlineStr">
        <is>
          <t>1956-02-01</t>
        </is>
      </c>
    </row>
    <row r="20527">
      <c r="A20527" s="1" t="n">
        <v>20526</v>
      </c>
      <c r="B20527">
        <f>TEXT(20526, "[$-0E0000]yyyy-mm-dd")</f>
        <v/>
      </c>
      <c r="C20527" t="inlineStr">
        <is>
          <t>1956-02-02</t>
        </is>
      </c>
    </row>
    <row r="20528">
      <c r="A20528" s="1" t="n">
        <v>20527</v>
      </c>
      <c r="B20528">
        <f>TEXT(20527, "[$-0E0000]yyyy-mm-dd")</f>
        <v/>
      </c>
      <c r="C20528" t="inlineStr">
        <is>
          <t>1956-02-03</t>
        </is>
      </c>
    </row>
    <row r="20529">
      <c r="A20529" s="1" t="n">
        <v>20528</v>
      </c>
      <c r="B20529">
        <f>TEXT(20528, "[$-0E0000]yyyy-mm-dd")</f>
        <v/>
      </c>
      <c r="C20529" t="inlineStr">
        <is>
          <t>1956-02-04</t>
        </is>
      </c>
    </row>
    <row r="20530">
      <c r="A20530" s="1" t="n">
        <v>20529</v>
      </c>
      <c r="B20530">
        <f>TEXT(20529, "[$-0E0000]yyyy-mm-dd")</f>
        <v/>
      </c>
      <c r="C20530" t="inlineStr">
        <is>
          <t>1956-02-05</t>
        </is>
      </c>
    </row>
    <row r="20531">
      <c r="A20531" s="1" t="n">
        <v>20530</v>
      </c>
      <c r="B20531">
        <f>TEXT(20530, "[$-0E0000]yyyy-mm-dd")</f>
        <v/>
      </c>
      <c r="C20531" t="inlineStr">
        <is>
          <t>1956-02-06</t>
        </is>
      </c>
    </row>
    <row r="20532">
      <c r="A20532" s="1" t="n">
        <v>20531</v>
      </c>
      <c r="B20532">
        <f>TEXT(20531, "[$-0E0000]yyyy-mm-dd")</f>
        <v/>
      </c>
      <c r="C20532" t="inlineStr">
        <is>
          <t>1956-02-07</t>
        </is>
      </c>
    </row>
    <row r="20533">
      <c r="A20533" s="1" t="n">
        <v>20532</v>
      </c>
      <c r="B20533">
        <f>TEXT(20532, "[$-0E0000]yyyy-mm-dd")</f>
        <v/>
      </c>
      <c r="C20533" t="inlineStr">
        <is>
          <t>1956-02-08</t>
        </is>
      </c>
    </row>
    <row r="20534">
      <c r="A20534" s="1" t="n">
        <v>20533</v>
      </c>
      <c r="B20534">
        <f>TEXT(20533, "[$-0E0000]yyyy-mm-dd")</f>
        <v/>
      </c>
      <c r="C20534" t="inlineStr">
        <is>
          <t>1956-02-09</t>
        </is>
      </c>
    </row>
    <row r="20535">
      <c r="A20535" s="1" t="n">
        <v>20534</v>
      </c>
      <c r="B20535">
        <f>TEXT(20534, "[$-0E0000]yyyy-mm-dd")</f>
        <v/>
      </c>
      <c r="C20535" t="inlineStr">
        <is>
          <t>1956-02-10</t>
        </is>
      </c>
    </row>
    <row r="20536">
      <c r="A20536" s="1" t="n">
        <v>20535</v>
      </c>
      <c r="B20536">
        <f>TEXT(20535, "[$-0E0000]yyyy-mm-dd")</f>
        <v/>
      </c>
      <c r="C20536" t="inlineStr">
        <is>
          <t>1956-02-11</t>
        </is>
      </c>
    </row>
    <row r="20537">
      <c r="A20537" s="1" t="n">
        <v>20536</v>
      </c>
      <c r="B20537">
        <f>TEXT(20536, "[$-0E0000]yyyy-mm-dd")</f>
        <v/>
      </c>
      <c r="C20537" t="inlineStr">
        <is>
          <t>1956-02-12</t>
        </is>
      </c>
    </row>
    <row r="20538">
      <c r="A20538" s="1" t="n">
        <v>20537</v>
      </c>
      <c r="B20538">
        <f>TEXT(20537, "[$-0E0000]yyyy-mm-dd")</f>
        <v/>
      </c>
      <c r="C20538" t="inlineStr">
        <is>
          <t>1956-02-13</t>
        </is>
      </c>
    </row>
    <row r="20539">
      <c r="A20539" s="1" t="n">
        <v>20538</v>
      </c>
      <c r="B20539">
        <f>TEXT(20538, "[$-0E0000]yyyy-mm-dd")</f>
        <v/>
      </c>
      <c r="C20539" t="inlineStr">
        <is>
          <t>1956-02-14</t>
        </is>
      </c>
    </row>
    <row r="20540">
      <c r="A20540" s="1" t="n">
        <v>20539</v>
      </c>
      <c r="B20540">
        <f>TEXT(20539, "[$-0E0000]yyyy-mm-dd")</f>
        <v/>
      </c>
      <c r="C20540" t="inlineStr">
        <is>
          <t>1956-02-15</t>
        </is>
      </c>
    </row>
    <row r="20541">
      <c r="A20541" s="1" t="n">
        <v>20540</v>
      </c>
      <c r="B20541">
        <f>TEXT(20540, "[$-0E0000]yyyy-mm-dd")</f>
        <v/>
      </c>
      <c r="C20541" t="inlineStr">
        <is>
          <t>1956-02-16</t>
        </is>
      </c>
    </row>
    <row r="20542">
      <c r="A20542" s="1" t="n">
        <v>20541</v>
      </c>
      <c r="B20542">
        <f>TEXT(20541, "[$-0E0000]yyyy-mm-dd")</f>
        <v/>
      </c>
      <c r="C20542" t="inlineStr">
        <is>
          <t>1956-02-17</t>
        </is>
      </c>
    </row>
    <row r="20543">
      <c r="A20543" s="1" t="n">
        <v>20542</v>
      </c>
      <c r="B20543">
        <f>TEXT(20542, "[$-0E0000]yyyy-mm-dd")</f>
        <v/>
      </c>
      <c r="C20543" t="inlineStr">
        <is>
          <t>1956-02-18</t>
        </is>
      </c>
    </row>
    <row r="20544">
      <c r="A20544" s="1" t="n">
        <v>20543</v>
      </c>
      <c r="B20544">
        <f>TEXT(20543, "[$-0E0000]yyyy-mm-dd")</f>
        <v/>
      </c>
      <c r="C20544" t="inlineStr">
        <is>
          <t>1956-02-19</t>
        </is>
      </c>
    </row>
    <row r="20545">
      <c r="A20545" s="1" t="n">
        <v>20544</v>
      </c>
      <c r="B20545">
        <f>TEXT(20544, "[$-0E0000]yyyy-mm-dd")</f>
        <v/>
      </c>
      <c r="C20545" t="inlineStr">
        <is>
          <t>1956-02-20</t>
        </is>
      </c>
    </row>
    <row r="20546">
      <c r="A20546" s="1" t="n">
        <v>20545</v>
      </c>
      <c r="B20546">
        <f>TEXT(20545, "[$-0E0000]yyyy-mm-dd")</f>
        <v/>
      </c>
      <c r="C20546" t="inlineStr">
        <is>
          <t>1956-02-21</t>
        </is>
      </c>
    </row>
    <row r="20547">
      <c r="A20547" s="1" t="n">
        <v>20546</v>
      </c>
      <c r="B20547">
        <f>TEXT(20546, "[$-0E0000]yyyy-mm-dd")</f>
        <v/>
      </c>
      <c r="C20547" t="inlineStr">
        <is>
          <t>1956-02-22</t>
        </is>
      </c>
    </row>
    <row r="20548">
      <c r="A20548" s="1" t="n">
        <v>20547</v>
      </c>
      <c r="B20548">
        <f>TEXT(20547, "[$-0E0000]yyyy-mm-dd")</f>
        <v/>
      </c>
      <c r="C20548" t="inlineStr">
        <is>
          <t>1956-02-23</t>
        </is>
      </c>
    </row>
    <row r="20549">
      <c r="A20549" s="1" t="n">
        <v>20548</v>
      </c>
      <c r="B20549">
        <f>TEXT(20548, "[$-0E0000]yyyy-mm-dd")</f>
        <v/>
      </c>
      <c r="C20549" t="inlineStr">
        <is>
          <t>1956-02-24</t>
        </is>
      </c>
    </row>
    <row r="20550">
      <c r="A20550" s="1" t="n">
        <v>20549</v>
      </c>
      <c r="B20550">
        <f>TEXT(20549, "[$-0E0000]yyyy-mm-dd")</f>
        <v/>
      </c>
      <c r="C20550" t="inlineStr">
        <is>
          <t>1956-02-25</t>
        </is>
      </c>
    </row>
    <row r="20551">
      <c r="A20551" s="1" t="n">
        <v>20550</v>
      </c>
      <c r="B20551">
        <f>TEXT(20550, "[$-0E0000]yyyy-mm-dd")</f>
        <v/>
      </c>
      <c r="C20551" t="inlineStr">
        <is>
          <t>1956-02-26</t>
        </is>
      </c>
    </row>
    <row r="20552">
      <c r="A20552" s="1" t="n">
        <v>20551</v>
      </c>
      <c r="B20552">
        <f>TEXT(20551, "[$-0E0000]yyyy-mm-dd")</f>
        <v/>
      </c>
      <c r="C20552" t="inlineStr">
        <is>
          <t>1956-02-27</t>
        </is>
      </c>
    </row>
    <row r="20553">
      <c r="A20553" s="1" t="n">
        <v>20552</v>
      </c>
      <c r="B20553">
        <f>TEXT(20552, "[$-0E0000]yyyy-mm-dd")</f>
        <v/>
      </c>
      <c r="C20553" t="inlineStr">
        <is>
          <t>1956-02-28</t>
        </is>
      </c>
    </row>
    <row r="20554">
      <c r="A20554" s="1" t="n">
        <v>20553</v>
      </c>
      <c r="B20554">
        <f>TEXT(20553, "[$-0E0000]yyyy-mm-dd")</f>
        <v/>
      </c>
      <c r="C20554" t="inlineStr">
        <is>
          <t>1956-02-29</t>
        </is>
      </c>
    </row>
    <row r="20555">
      <c r="A20555" s="1" t="n">
        <v>20554</v>
      </c>
      <c r="B20555">
        <f>TEXT(20554, "[$-0E0000]yyyy-mm-dd")</f>
        <v/>
      </c>
      <c r="C20555" t="inlineStr">
        <is>
          <t>1956-02-30</t>
        </is>
      </c>
    </row>
    <row r="20556">
      <c r="A20556" s="1" t="n">
        <v>20555</v>
      </c>
      <c r="B20556">
        <f>TEXT(20555, "[$-0E0000]yyyy-mm-dd")</f>
        <v/>
      </c>
      <c r="C20556" t="inlineStr">
        <is>
          <t>1956-03-01</t>
        </is>
      </c>
    </row>
    <row r="20557">
      <c r="A20557" s="1" t="n">
        <v>20556</v>
      </c>
      <c r="B20557">
        <f>TEXT(20556, "[$-0E0000]yyyy-mm-dd")</f>
        <v/>
      </c>
      <c r="C20557" t="inlineStr">
        <is>
          <t>1956-03-02</t>
        </is>
      </c>
    </row>
    <row r="20558">
      <c r="A20558" s="1" t="n">
        <v>20557</v>
      </c>
      <c r="B20558">
        <f>TEXT(20557, "[$-0E0000]yyyy-mm-dd")</f>
        <v/>
      </c>
      <c r="C20558" t="inlineStr">
        <is>
          <t>1956-03-03</t>
        </is>
      </c>
    </row>
    <row r="20559">
      <c r="A20559" s="1" t="n">
        <v>20558</v>
      </c>
      <c r="B20559">
        <f>TEXT(20558, "[$-0E0000]yyyy-mm-dd")</f>
        <v/>
      </c>
      <c r="C20559" t="inlineStr">
        <is>
          <t>1956-03-04</t>
        </is>
      </c>
    </row>
    <row r="20560">
      <c r="A20560" s="1" t="n">
        <v>20559</v>
      </c>
      <c r="B20560">
        <f>TEXT(20559, "[$-0E0000]yyyy-mm-dd")</f>
        <v/>
      </c>
      <c r="C20560" t="inlineStr">
        <is>
          <t>1956-03-05</t>
        </is>
      </c>
    </row>
    <row r="20561">
      <c r="A20561" s="1" t="n">
        <v>20560</v>
      </c>
      <c r="B20561">
        <f>TEXT(20560, "[$-0E0000]yyyy-mm-dd")</f>
        <v/>
      </c>
      <c r="C20561" t="inlineStr">
        <is>
          <t>1956-03-06</t>
        </is>
      </c>
    </row>
    <row r="20562">
      <c r="A20562" s="1" t="n">
        <v>20561</v>
      </c>
      <c r="B20562">
        <f>TEXT(20561, "[$-0E0000]yyyy-mm-dd")</f>
        <v/>
      </c>
      <c r="C20562" t="inlineStr">
        <is>
          <t>1956-03-07</t>
        </is>
      </c>
    </row>
    <row r="20563">
      <c r="A20563" s="1" t="n">
        <v>20562</v>
      </c>
      <c r="B20563">
        <f>TEXT(20562, "[$-0E0000]yyyy-mm-dd")</f>
        <v/>
      </c>
      <c r="C20563" t="inlineStr">
        <is>
          <t>1956-03-08</t>
        </is>
      </c>
    </row>
    <row r="20564">
      <c r="A20564" s="1" t="n">
        <v>20563</v>
      </c>
      <c r="B20564">
        <f>TEXT(20563, "[$-0E0000]yyyy-mm-dd")</f>
        <v/>
      </c>
      <c r="C20564" t="inlineStr">
        <is>
          <t>1956-03-09</t>
        </is>
      </c>
    </row>
    <row r="20565">
      <c r="A20565" s="1" t="n">
        <v>20564</v>
      </c>
      <c r="B20565">
        <f>TEXT(20564, "[$-0E0000]yyyy-mm-dd")</f>
        <v/>
      </c>
      <c r="C20565" t="inlineStr">
        <is>
          <t>1956-03-10</t>
        </is>
      </c>
    </row>
    <row r="20566">
      <c r="A20566" s="1" t="n">
        <v>20565</v>
      </c>
      <c r="B20566">
        <f>TEXT(20565, "[$-0E0000]yyyy-mm-dd")</f>
        <v/>
      </c>
      <c r="C20566" t="inlineStr">
        <is>
          <t>1956-03-11</t>
        </is>
      </c>
    </row>
    <row r="20567">
      <c r="A20567" s="1" t="n">
        <v>20566</v>
      </c>
      <c r="B20567">
        <f>TEXT(20566, "[$-0E0000]yyyy-mm-dd")</f>
        <v/>
      </c>
      <c r="C20567" t="inlineStr">
        <is>
          <t>1956-03-12</t>
        </is>
      </c>
    </row>
    <row r="20568">
      <c r="A20568" s="1" t="n">
        <v>20567</v>
      </c>
      <c r="B20568">
        <f>TEXT(20567, "[$-0E0000]yyyy-mm-dd")</f>
        <v/>
      </c>
      <c r="C20568" t="inlineStr">
        <is>
          <t>1956-03-13</t>
        </is>
      </c>
    </row>
    <row r="20569">
      <c r="A20569" s="1" t="n">
        <v>20568</v>
      </c>
      <c r="B20569">
        <f>TEXT(20568, "[$-0E0000]yyyy-mm-dd")</f>
        <v/>
      </c>
      <c r="C20569" t="inlineStr">
        <is>
          <t>1956-03-14</t>
        </is>
      </c>
    </row>
    <row r="20570">
      <c r="A20570" s="1" t="n">
        <v>20569</v>
      </c>
      <c r="B20570">
        <f>TEXT(20569, "[$-0E0000]yyyy-mm-dd")</f>
        <v/>
      </c>
      <c r="C20570" t="inlineStr">
        <is>
          <t>1956-03-15</t>
        </is>
      </c>
    </row>
    <row r="20571">
      <c r="A20571" s="1" t="n">
        <v>20570</v>
      </c>
      <c r="B20571">
        <f>TEXT(20570, "[$-0E0000]yyyy-mm-dd")</f>
        <v/>
      </c>
      <c r="C20571" t="inlineStr">
        <is>
          <t>1956-03-16</t>
        </is>
      </c>
    </row>
    <row r="20572">
      <c r="A20572" s="1" t="n">
        <v>20571</v>
      </c>
      <c r="B20572">
        <f>TEXT(20571, "[$-0E0000]yyyy-mm-dd")</f>
        <v/>
      </c>
      <c r="C20572" t="inlineStr">
        <is>
          <t>1956-03-17</t>
        </is>
      </c>
    </row>
    <row r="20573">
      <c r="A20573" s="1" t="n">
        <v>20572</v>
      </c>
      <c r="B20573">
        <f>TEXT(20572, "[$-0E0000]yyyy-mm-dd")</f>
        <v/>
      </c>
      <c r="C20573" t="inlineStr">
        <is>
          <t>1956-03-18</t>
        </is>
      </c>
    </row>
    <row r="20574">
      <c r="A20574" s="1" t="n">
        <v>20573</v>
      </c>
      <c r="B20574">
        <f>TEXT(20573, "[$-0E0000]yyyy-mm-dd")</f>
        <v/>
      </c>
      <c r="C20574" t="inlineStr">
        <is>
          <t>1956-03-19</t>
        </is>
      </c>
    </row>
    <row r="20575">
      <c r="A20575" s="1" t="n">
        <v>20574</v>
      </c>
      <c r="B20575">
        <f>TEXT(20574, "[$-0E0000]yyyy-mm-dd")</f>
        <v/>
      </c>
      <c r="C20575" t="inlineStr">
        <is>
          <t>1956-03-20</t>
        </is>
      </c>
    </row>
    <row r="20576">
      <c r="A20576" s="1" t="n">
        <v>20575</v>
      </c>
      <c r="B20576">
        <f>TEXT(20575, "[$-0E0000]yyyy-mm-dd")</f>
        <v/>
      </c>
      <c r="C20576" t="inlineStr">
        <is>
          <t>1956-03-21</t>
        </is>
      </c>
    </row>
    <row r="20577">
      <c r="A20577" s="1" t="n">
        <v>20576</v>
      </c>
      <c r="B20577">
        <f>TEXT(20576, "[$-0E0000]yyyy-mm-dd")</f>
        <v/>
      </c>
      <c r="C20577" t="inlineStr">
        <is>
          <t>1956-03-22</t>
        </is>
      </c>
    </row>
    <row r="20578">
      <c r="A20578" s="1" t="n">
        <v>20577</v>
      </c>
      <c r="B20578">
        <f>TEXT(20577, "[$-0E0000]yyyy-mm-dd")</f>
        <v/>
      </c>
      <c r="C20578" t="inlineStr">
        <is>
          <t>1956-03-23</t>
        </is>
      </c>
    </row>
    <row r="20579">
      <c r="A20579" s="1" t="n">
        <v>20578</v>
      </c>
      <c r="B20579">
        <f>TEXT(20578, "[$-0E0000]yyyy-mm-dd")</f>
        <v/>
      </c>
      <c r="C20579" t="inlineStr">
        <is>
          <t>1956-03-24</t>
        </is>
      </c>
    </row>
    <row r="20580">
      <c r="A20580" s="1" t="n">
        <v>20579</v>
      </c>
      <c r="B20580">
        <f>TEXT(20579, "[$-0E0000]yyyy-mm-dd")</f>
        <v/>
      </c>
      <c r="C20580" t="inlineStr">
        <is>
          <t>1956-03-25</t>
        </is>
      </c>
    </row>
    <row r="20581">
      <c r="A20581" s="1" t="n">
        <v>20580</v>
      </c>
      <c r="B20581">
        <f>TEXT(20580, "[$-0E0000]yyyy-mm-dd")</f>
        <v/>
      </c>
      <c r="C20581" t="inlineStr">
        <is>
          <t>1956-03-26</t>
        </is>
      </c>
    </row>
    <row r="20582">
      <c r="A20582" s="1" t="n">
        <v>20581</v>
      </c>
      <c r="B20582">
        <f>TEXT(20581, "[$-0E0000]yyyy-mm-dd")</f>
        <v/>
      </c>
      <c r="C20582" t="inlineStr">
        <is>
          <t>1956-03-27</t>
        </is>
      </c>
    </row>
    <row r="20583">
      <c r="A20583" s="1" t="n">
        <v>20582</v>
      </c>
      <c r="B20583">
        <f>TEXT(20582, "[$-0E0000]yyyy-mm-dd")</f>
        <v/>
      </c>
      <c r="C20583" t="inlineStr">
        <is>
          <t>1956-03-28</t>
        </is>
      </c>
    </row>
    <row r="20584">
      <c r="A20584" s="1" t="n">
        <v>20583</v>
      </c>
      <c r="B20584">
        <f>TEXT(20583, "[$-0E0000]yyyy-mm-dd")</f>
        <v/>
      </c>
      <c r="C20584" t="inlineStr">
        <is>
          <t>1956-03-29</t>
        </is>
      </c>
    </row>
    <row r="20585">
      <c r="A20585" s="1" t="n">
        <v>20584</v>
      </c>
      <c r="B20585">
        <f>TEXT(20584, "[$-0E0000]yyyy-mm-dd")</f>
        <v/>
      </c>
      <c r="C20585" t="inlineStr">
        <is>
          <t>1956-04-01</t>
        </is>
      </c>
    </row>
    <row r="20586">
      <c r="A20586" s="1" t="n">
        <v>20585</v>
      </c>
      <c r="B20586">
        <f>TEXT(20585, "[$-0E0000]yyyy-mm-dd")</f>
        <v/>
      </c>
      <c r="C20586" t="inlineStr">
        <is>
          <t>1956-04-02</t>
        </is>
      </c>
    </row>
    <row r="20587">
      <c r="A20587" s="1" t="n">
        <v>20586</v>
      </c>
      <c r="B20587">
        <f>TEXT(20586, "[$-0E0000]yyyy-mm-dd")</f>
        <v/>
      </c>
      <c r="C20587" t="inlineStr">
        <is>
          <t>1956-04-03</t>
        </is>
      </c>
    </row>
    <row r="20588">
      <c r="A20588" s="1" t="n">
        <v>20587</v>
      </c>
      <c r="B20588">
        <f>TEXT(20587, "[$-0E0000]yyyy-mm-dd")</f>
        <v/>
      </c>
      <c r="C20588" t="inlineStr">
        <is>
          <t>1956-04-04</t>
        </is>
      </c>
    </row>
    <row r="20589">
      <c r="A20589" s="1" t="n">
        <v>20588</v>
      </c>
      <c r="B20589">
        <f>TEXT(20588, "[$-0E0000]yyyy-mm-dd")</f>
        <v/>
      </c>
      <c r="C20589" t="inlineStr">
        <is>
          <t>1956-04-05</t>
        </is>
      </c>
    </row>
    <row r="20590">
      <c r="A20590" s="1" t="n">
        <v>20589</v>
      </c>
      <c r="B20590">
        <f>TEXT(20589, "[$-0E0000]yyyy-mm-dd")</f>
        <v/>
      </c>
      <c r="C20590" t="inlineStr">
        <is>
          <t>1956-04-06</t>
        </is>
      </c>
    </row>
    <row r="20591">
      <c r="A20591" s="1" t="n">
        <v>20590</v>
      </c>
      <c r="B20591">
        <f>TEXT(20590, "[$-0E0000]yyyy-mm-dd")</f>
        <v/>
      </c>
      <c r="C20591" t="inlineStr">
        <is>
          <t>1956-04-07</t>
        </is>
      </c>
    </row>
    <row r="20592">
      <c r="A20592" s="1" t="n">
        <v>20591</v>
      </c>
      <c r="B20592">
        <f>TEXT(20591, "[$-0E0000]yyyy-mm-dd")</f>
        <v/>
      </c>
      <c r="C20592" t="inlineStr">
        <is>
          <t>1956-04-08</t>
        </is>
      </c>
    </row>
    <row r="20593">
      <c r="A20593" s="1" t="n">
        <v>20592</v>
      </c>
      <c r="B20593">
        <f>TEXT(20592, "[$-0E0000]yyyy-mm-dd")</f>
        <v/>
      </c>
      <c r="C20593" t="inlineStr">
        <is>
          <t>1956-04-09</t>
        </is>
      </c>
    </row>
    <row r="20594">
      <c r="A20594" s="1" t="n">
        <v>20593</v>
      </c>
      <c r="B20594">
        <f>TEXT(20593, "[$-0E0000]yyyy-mm-dd")</f>
        <v/>
      </c>
      <c r="C20594" t="inlineStr">
        <is>
          <t>1956-04-10</t>
        </is>
      </c>
    </row>
    <row r="20595">
      <c r="A20595" s="1" t="n">
        <v>20594</v>
      </c>
      <c r="B20595">
        <f>TEXT(20594, "[$-0E0000]yyyy-mm-dd")</f>
        <v/>
      </c>
      <c r="C20595" t="inlineStr">
        <is>
          <t>1956-04-11</t>
        </is>
      </c>
    </row>
    <row r="20596">
      <c r="A20596" s="1" t="n">
        <v>20595</v>
      </c>
      <c r="B20596">
        <f>TEXT(20595, "[$-0E0000]yyyy-mm-dd")</f>
        <v/>
      </c>
      <c r="C20596" t="inlineStr">
        <is>
          <t>1956-04-12</t>
        </is>
      </c>
    </row>
    <row r="20597">
      <c r="A20597" s="1" t="n">
        <v>20596</v>
      </c>
      <c r="B20597">
        <f>TEXT(20596, "[$-0E0000]yyyy-mm-dd")</f>
        <v/>
      </c>
      <c r="C20597" t="inlineStr">
        <is>
          <t>1956-04-13</t>
        </is>
      </c>
    </row>
    <row r="20598">
      <c r="A20598" s="1" t="n">
        <v>20597</v>
      </c>
      <c r="B20598">
        <f>TEXT(20597, "[$-0E0000]yyyy-mm-dd")</f>
        <v/>
      </c>
      <c r="C20598" t="inlineStr">
        <is>
          <t>1956-04-14</t>
        </is>
      </c>
    </row>
    <row r="20599">
      <c r="A20599" s="1" t="n">
        <v>20598</v>
      </c>
      <c r="B20599">
        <f>TEXT(20598, "[$-0E0000]yyyy-mm-dd")</f>
        <v/>
      </c>
      <c r="C20599" t="inlineStr">
        <is>
          <t>1956-04-15</t>
        </is>
      </c>
    </row>
    <row r="20600">
      <c r="A20600" s="1" t="n">
        <v>20599</v>
      </c>
      <c r="B20600">
        <f>TEXT(20599, "[$-0E0000]yyyy-mm-dd")</f>
        <v/>
      </c>
      <c r="C20600" t="inlineStr">
        <is>
          <t>1956-04-16</t>
        </is>
      </c>
    </row>
    <row r="20601">
      <c r="A20601" s="1" t="n">
        <v>20600</v>
      </c>
      <c r="B20601">
        <f>TEXT(20600, "[$-0E0000]yyyy-mm-dd")</f>
        <v/>
      </c>
      <c r="C20601" t="inlineStr">
        <is>
          <t>1956-04-17</t>
        </is>
      </c>
    </row>
    <row r="20602">
      <c r="A20602" s="1" t="n">
        <v>20601</v>
      </c>
      <c r="B20602">
        <f>TEXT(20601, "[$-0E0000]yyyy-mm-dd")</f>
        <v/>
      </c>
      <c r="C20602" t="inlineStr">
        <is>
          <t>1956-04-18</t>
        </is>
      </c>
    </row>
    <row r="20603">
      <c r="A20603" s="1" t="n">
        <v>20602</v>
      </c>
      <c r="B20603">
        <f>TEXT(20602, "[$-0E0000]yyyy-mm-dd")</f>
        <v/>
      </c>
      <c r="C20603" t="inlineStr">
        <is>
          <t>1956-04-19</t>
        </is>
      </c>
    </row>
    <row r="20604">
      <c r="A20604" s="1" t="n">
        <v>20603</v>
      </c>
      <c r="B20604">
        <f>TEXT(20603, "[$-0E0000]yyyy-mm-dd")</f>
        <v/>
      </c>
      <c r="C20604" t="inlineStr">
        <is>
          <t>1956-04-20</t>
        </is>
      </c>
    </row>
    <row r="20605">
      <c r="A20605" s="1" t="n">
        <v>20604</v>
      </c>
      <c r="B20605">
        <f>TEXT(20604, "[$-0E0000]yyyy-mm-dd")</f>
        <v/>
      </c>
      <c r="C20605" t="inlineStr">
        <is>
          <t>1956-04-21</t>
        </is>
      </c>
    </row>
    <row r="20606">
      <c r="A20606" s="1" t="n">
        <v>20605</v>
      </c>
      <c r="B20606">
        <f>TEXT(20605, "[$-0E0000]yyyy-mm-dd")</f>
        <v/>
      </c>
      <c r="C20606" t="inlineStr">
        <is>
          <t>1956-04-22</t>
        </is>
      </c>
    </row>
    <row r="20607">
      <c r="A20607" s="1" t="n">
        <v>20606</v>
      </c>
      <c r="B20607">
        <f>TEXT(20606, "[$-0E0000]yyyy-mm-dd")</f>
        <v/>
      </c>
      <c r="C20607" t="inlineStr">
        <is>
          <t>1956-04-23</t>
        </is>
      </c>
    </row>
    <row r="20608">
      <c r="A20608" s="1" t="n">
        <v>20607</v>
      </c>
      <c r="B20608">
        <f>TEXT(20607, "[$-0E0000]yyyy-mm-dd")</f>
        <v/>
      </c>
      <c r="C20608" t="inlineStr">
        <is>
          <t>1956-04-24</t>
        </is>
      </c>
    </row>
    <row r="20609">
      <c r="A20609" s="1" t="n">
        <v>20608</v>
      </c>
      <c r="B20609">
        <f>TEXT(20608, "[$-0E0000]yyyy-mm-dd")</f>
        <v/>
      </c>
      <c r="C20609" t="inlineStr">
        <is>
          <t>1956-04-25</t>
        </is>
      </c>
    </row>
    <row r="20610">
      <c r="A20610" s="1" t="n">
        <v>20609</v>
      </c>
      <c r="B20610">
        <f>TEXT(20609, "[$-0E0000]yyyy-mm-dd")</f>
        <v/>
      </c>
      <c r="C20610" t="inlineStr">
        <is>
          <t>1956-04-26</t>
        </is>
      </c>
    </row>
    <row r="20611">
      <c r="A20611" s="1" t="n">
        <v>20610</v>
      </c>
      <c r="B20611">
        <f>TEXT(20610, "[$-0E0000]yyyy-mm-dd")</f>
        <v/>
      </c>
      <c r="C20611" t="inlineStr">
        <is>
          <t>1956-04-27</t>
        </is>
      </c>
    </row>
    <row r="20612">
      <c r="A20612" s="1" t="n">
        <v>20611</v>
      </c>
      <c r="B20612">
        <f>TEXT(20611, "[$-0E0000]yyyy-mm-dd")</f>
        <v/>
      </c>
      <c r="C20612" t="inlineStr">
        <is>
          <t>1956-04-28</t>
        </is>
      </c>
    </row>
    <row r="20613">
      <c r="A20613" s="1" t="n">
        <v>20612</v>
      </c>
      <c r="B20613">
        <f>TEXT(20612, "[$-0E0000]yyyy-mm-dd")</f>
        <v/>
      </c>
      <c r="C20613" t="inlineStr">
        <is>
          <t>1956-04-29</t>
        </is>
      </c>
    </row>
    <row r="20614">
      <c r="A20614" s="1" t="n">
        <v>20613</v>
      </c>
      <c r="B20614">
        <f>TEXT(20613, "[$-0E0000]yyyy-mm-dd")</f>
        <v/>
      </c>
      <c r="C20614" t="inlineStr">
        <is>
          <t>1956-04-30</t>
        </is>
      </c>
    </row>
    <row r="20615">
      <c r="A20615" s="1" t="n">
        <v>20614</v>
      </c>
      <c r="B20615">
        <f>TEXT(20614, "[$-0E0000]yyyy-mm-dd")</f>
        <v/>
      </c>
      <c r="C20615" t="inlineStr">
        <is>
          <t>1956-05-01</t>
        </is>
      </c>
    </row>
    <row r="20616">
      <c r="A20616" s="1" t="n">
        <v>20615</v>
      </c>
      <c r="B20616">
        <f>TEXT(20615, "[$-0E0000]yyyy-mm-dd")</f>
        <v/>
      </c>
      <c r="C20616" t="inlineStr">
        <is>
          <t>1956-05-02</t>
        </is>
      </c>
    </row>
    <row r="20617">
      <c r="A20617" s="1" t="n">
        <v>20616</v>
      </c>
      <c r="B20617">
        <f>TEXT(20616, "[$-0E0000]yyyy-mm-dd")</f>
        <v/>
      </c>
      <c r="C20617" t="inlineStr">
        <is>
          <t>1956-05-03</t>
        </is>
      </c>
    </row>
    <row r="20618">
      <c r="A20618" s="1" t="n">
        <v>20617</v>
      </c>
      <c r="B20618">
        <f>TEXT(20617, "[$-0E0000]yyyy-mm-dd")</f>
        <v/>
      </c>
      <c r="C20618" t="inlineStr">
        <is>
          <t>1956-05-04</t>
        </is>
      </c>
    </row>
    <row r="20619">
      <c r="A20619" s="1" t="n">
        <v>20618</v>
      </c>
      <c r="B20619">
        <f>TEXT(20618, "[$-0E0000]yyyy-mm-dd")</f>
        <v/>
      </c>
      <c r="C20619" t="inlineStr">
        <is>
          <t>1956-05-05</t>
        </is>
      </c>
    </row>
    <row r="20620">
      <c r="A20620" s="1" t="n">
        <v>20619</v>
      </c>
      <c r="B20620">
        <f>TEXT(20619, "[$-0E0000]yyyy-mm-dd")</f>
        <v/>
      </c>
      <c r="C20620" t="inlineStr">
        <is>
          <t>1956-05-06</t>
        </is>
      </c>
    </row>
    <row r="20621">
      <c r="A20621" s="1" t="n">
        <v>20620</v>
      </c>
      <c r="B20621">
        <f>TEXT(20620, "[$-0E0000]yyyy-mm-dd")</f>
        <v/>
      </c>
      <c r="C20621" t="inlineStr">
        <is>
          <t>1956-05-07</t>
        </is>
      </c>
    </row>
    <row r="20622">
      <c r="A20622" s="1" t="n">
        <v>20621</v>
      </c>
      <c r="B20622">
        <f>TEXT(20621, "[$-0E0000]yyyy-mm-dd")</f>
        <v/>
      </c>
      <c r="C20622" t="inlineStr">
        <is>
          <t>1956-05-08</t>
        </is>
      </c>
    </row>
    <row r="20623">
      <c r="A20623" s="1" t="n">
        <v>20622</v>
      </c>
      <c r="B20623">
        <f>TEXT(20622, "[$-0E0000]yyyy-mm-dd")</f>
        <v/>
      </c>
      <c r="C20623" t="inlineStr">
        <is>
          <t>1956-05-09</t>
        </is>
      </c>
    </row>
    <row r="20624">
      <c r="A20624" s="1" t="n">
        <v>20623</v>
      </c>
      <c r="B20624">
        <f>TEXT(20623, "[$-0E0000]yyyy-mm-dd")</f>
        <v/>
      </c>
      <c r="C20624" t="inlineStr">
        <is>
          <t>1956-05-10</t>
        </is>
      </c>
    </row>
    <row r="20625">
      <c r="A20625" s="1" t="n">
        <v>20624</v>
      </c>
      <c r="B20625">
        <f>TEXT(20624, "[$-0E0000]yyyy-mm-dd")</f>
        <v/>
      </c>
      <c r="C20625" t="inlineStr">
        <is>
          <t>1956-05-11</t>
        </is>
      </c>
    </row>
    <row r="20626">
      <c r="A20626" s="1" t="n">
        <v>20625</v>
      </c>
      <c r="B20626">
        <f>TEXT(20625, "[$-0E0000]yyyy-mm-dd")</f>
        <v/>
      </c>
      <c r="C20626" t="inlineStr">
        <is>
          <t>1956-05-12</t>
        </is>
      </c>
    </row>
    <row r="20627">
      <c r="A20627" s="1" t="n">
        <v>20626</v>
      </c>
      <c r="B20627">
        <f>TEXT(20626, "[$-0E0000]yyyy-mm-dd")</f>
        <v/>
      </c>
      <c r="C20627" t="inlineStr">
        <is>
          <t>1956-05-13</t>
        </is>
      </c>
    </row>
    <row r="20628">
      <c r="A20628" s="1" t="n">
        <v>20627</v>
      </c>
      <c r="B20628">
        <f>TEXT(20627, "[$-0E0000]yyyy-mm-dd")</f>
        <v/>
      </c>
      <c r="C20628" t="inlineStr">
        <is>
          <t>1956-05-14</t>
        </is>
      </c>
    </row>
    <row r="20629">
      <c r="A20629" s="1" t="n">
        <v>20628</v>
      </c>
      <c r="B20629">
        <f>TEXT(20628, "[$-0E0000]yyyy-mm-dd")</f>
        <v/>
      </c>
      <c r="C20629" t="inlineStr">
        <is>
          <t>1956-05-15</t>
        </is>
      </c>
    </row>
    <row r="20630">
      <c r="A20630" s="1" t="n">
        <v>20629</v>
      </c>
      <c r="B20630">
        <f>TEXT(20629, "[$-0E0000]yyyy-mm-dd")</f>
        <v/>
      </c>
      <c r="C20630" t="inlineStr">
        <is>
          <t>1956-05-16</t>
        </is>
      </c>
    </row>
    <row r="20631">
      <c r="A20631" s="1" t="n">
        <v>20630</v>
      </c>
      <c r="B20631">
        <f>TEXT(20630, "[$-0E0000]yyyy-mm-dd")</f>
        <v/>
      </c>
      <c r="C20631" t="inlineStr">
        <is>
          <t>1956-05-17</t>
        </is>
      </c>
    </row>
    <row r="20632">
      <c r="A20632" s="1" t="n">
        <v>20631</v>
      </c>
      <c r="B20632">
        <f>TEXT(20631, "[$-0E0000]yyyy-mm-dd")</f>
        <v/>
      </c>
      <c r="C20632" t="inlineStr">
        <is>
          <t>1956-05-18</t>
        </is>
      </c>
    </row>
    <row r="20633">
      <c r="A20633" s="1" t="n">
        <v>20632</v>
      </c>
      <c r="B20633">
        <f>TEXT(20632, "[$-0E0000]yyyy-mm-dd")</f>
        <v/>
      </c>
      <c r="C20633" t="inlineStr">
        <is>
          <t>1956-05-19</t>
        </is>
      </c>
    </row>
    <row r="20634">
      <c r="A20634" s="1" t="n">
        <v>20633</v>
      </c>
      <c r="B20634">
        <f>TEXT(20633, "[$-0E0000]yyyy-mm-dd")</f>
        <v/>
      </c>
      <c r="C20634" t="inlineStr">
        <is>
          <t>1956-05-20</t>
        </is>
      </c>
    </row>
    <row r="20635">
      <c r="A20635" s="1" t="n">
        <v>20634</v>
      </c>
      <c r="B20635">
        <f>TEXT(20634, "[$-0E0000]yyyy-mm-dd")</f>
        <v/>
      </c>
      <c r="C20635" t="inlineStr">
        <is>
          <t>1956-05-21</t>
        </is>
      </c>
    </row>
    <row r="20636">
      <c r="A20636" s="1" t="n">
        <v>20635</v>
      </c>
      <c r="B20636">
        <f>TEXT(20635, "[$-0E0000]yyyy-mm-dd")</f>
        <v/>
      </c>
      <c r="C20636" t="inlineStr">
        <is>
          <t>1956-05-22</t>
        </is>
      </c>
    </row>
    <row r="20637">
      <c r="A20637" s="1" t="n">
        <v>20636</v>
      </c>
      <c r="B20637">
        <f>TEXT(20636, "[$-0E0000]yyyy-mm-dd")</f>
        <v/>
      </c>
      <c r="C20637" t="inlineStr">
        <is>
          <t>1956-05-23</t>
        </is>
      </c>
    </row>
    <row r="20638">
      <c r="A20638" s="1" t="n">
        <v>20637</v>
      </c>
      <c r="B20638">
        <f>TEXT(20637, "[$-0E0000]yyyy-mm-dd")</f>
        <v/>
      </c>
      <c r="C20638" t="inlineStr">
        <is>
          <t>1956-05-24</t>
        </is>
      </c>
    </row>
    <row r="20639">
      <c r="A20639" s="1" t="n">
        <v>20638</v>
      </c>
      <c r="B20639">
        <f>TEXT(20638, "[$-0E0000]yyyy-mm-dd")</f>
        <v/>
      </c>
      <c r="C20639" t="inlineStr">
        <is>
          <t>1956-05-25</t>
        </is>
      </c>
    </row>
    <row r="20640">
      <c r="A20640" s="1" t="n">
        <v>20639</v>
      </c>
      <c r="B20640">
        <f>TEXT(20639, "[$-0E0000]yyyy-mm-dd")</f>
        <v/>
      </c>
      <c r="C20640" t="inlineStr">
        <is>
          <t>1956-05-26</t>
        </is>
      </c>
    </row>
    <row r="20641">
      <c r="A20641" s="1" t="n">
        <v>20640</v>
      </c>
      <c r="B20641">
        <f>TEXT(20640, "[$-0E0000]yyyy-mm-dd")</f>
        <v/>
      </c>
      <c r="C20641" t="inlineStr">
        <is>
          <t>1956-05-27</t>
        </is>
      </c>
    </row>
    <row r="20642">
      <c r="A20642" s="1" t="n">
        <v>20641</v>
      </c>
      <c r="B20642">
        <f>TEXT(20641, "[$-0E0000]yyyy-mm-dd")</f>
        <v/>
      </c>
      <c r="C20642" t="inlineStr">
        <is>
          <t>1956-05-28</t>
        </is>
      </c>
    </row>
    <row r="20643">
      <c r="A20643" s="1" t="n">
        <v>20642</v>
      </c>
      <c r="B20643">
        <f>TEXT(20642, "[$-0E0000]yyyy-mm-dd")</f>
        <v/>
      </c>
      <c r="C20643" t="inlineStr">
        <is>
          <t>1956-05-29</t>
        </is>
      </c>
    </row>
    <row r="20644">
      <c r="A20644" s="1" t="n">
        <v>20643</v>
      </c>
      <c r="B20644">
        <f>TEXT(20643, "[$-0E0000]yyyy-mm-dd")</f>
        <v/>
      </c>
      <c r="C20644" t="inlineStr">
        <is>
          <t>1956-06-01</t>
        </is>
      </c>
    </row>
    <row r="20645">
      <c r="A20645" s="1" t="n">
        <v>20644</v>
      </c>
      <c r="B20645">
        <f>TEXT(20644, "[$-0E0000]yyyy-mm-dd")</f>
        <v/>
      </c>
      <c r="C20645" t="inlineStr">
        <is>
          <t>1956-06-02</t>
        </is>
      </c>
    </row>
    <row r="20646">
      <c r="A20646" s="1" t="n">
        <v>20645</v>
      </c>
      <c r="B20646">
        <f>TEXT(20645, "[$-0E0000]yyyy-mm-dd")</f>
        <v/>
      </c>
      <c r="C20646" t="inlineStr">
        <is>
          <t>1956-06-03</t>
        </is>
      </c>
    </row>
    <row r="20647">
      <c r="A20647" s="1" t="n">
        <v>20646</v>
      </c>
      <c r="B20647">
        <f>TEXT(20646, "[$-0E0000]yyyy-mm-dd")</f>
        <v/>
      </c>
      <c r="C20647" t="inlineStr">
        <is>
          <t>1956-06-04</t>
        </is>
      </c>
    </row>
    <row r="20648">
      <c r="A20648" s="1" t="n">
        <v>20647</v>
      </c>
      <c r="B20648">
        <f>TEXT(20647, "[$-0E0000]yyyy-mm-dd")</f>
        <v/>
      </c>
      <c r="C20648" t="inlineStr">
        <is>
          <t>1956-06-05</t>
        </is>
      </c>
    </row>
    <row r="20649">
      <c r="A20649" s="1" t="n">
        <v>20648</v>
      </c>
      <c r="B20649">
        <f>TEXT(20648, "[$-0E0000]yyyy-mm-dd")</f>
        <v/>
      </c>
      <c r="C20649" t="inlineStr">
        <is>
          <t>1956-06-06</t>
        </is>
      </c>
    </row>
    <row r="20650">
      <c r="A20650" s="1" t="n">
        <v>20649</v>
      </c>
      <c r="B20650">
        <f>TEXT(20649, "[$-0E0000]yyyy-mm-dd")</f>
        <v/>
      </c>
      <c r="C20650" t="inlineStr">
        <is>
          <t>1956-06-07</t>
        </is>
      </c>
    </row>
    <row r="20651">
      <c r="A20651" s="1" t="n">
        <v>20650</v>
      </c>
      <c r="B20651">
        <f>TEXT(20650, "[$-0E0000]yyyy-mm-dd")</f>
        <v/>
      </c>
      <c r="C20651" t="inlineStr">
        <is>
          <t>1956-06-08</t>
        </is>
      </c>
    </row>
    <row r="20652">
      <c r="A20652" s="1" t="n">
        <v>20651</v>
      </c>
      <c r="B20652">
        <f>TEXT(20651, "[$-0E0000]yyyy-mm-dd")</f>
        <v/>
      </c>
      <c r="C20652" t="inlineStr">
        <is>
          <t>1956-06-09</t>
        </is>
      </c>
    </row>
    <row r="20653">
      <c r="A20653" s="1" t="n">
        <v>20652</v>
      </c>
      <c r="B20653">
        <f>TEXT(20652, "[$-0E0000]yyyy-mm-dd")</f>
        <v/>
      </c>
      <c r="C20653" t="inlineStr">
        <is>
          <t>1956-06-10</t>
        </is>
      </c>
    </row>
    <row r="20654">
      <c r="A20654" s="1" t="n">
        <v>20653</v>
      </c>
      <c r="B20654">
        <f>TEXT(20653, "[$-0E0000]yyyy-mm-dd")</f>
        <v/>
      </c>
      <c r="C20654" t="inlineStr">
        <is>
          <t>1956-06-11</t>
        </is>
      </c>
    </row>
    <row r="20655">
      <c r="A20655" s="1" t="n">
        <v>20654</v>
      </c>
      <c r="B20655">
        <f>TEXT(20654, "[$-0E0000]yyyy-mm-dd")</f>
        <v/>
      </c>
      <c r="C20655" t="inlineStr">
        <is>
          <t>1956-06-12</t>
        </is>
      </c>
    </row>
    <row r="20656">
      <c r="A20656" s="1" t="n">
        <v>20655</v>
      </c>
      <c r="B20656">
        <f>TEXT(20655, "[$-0E0000]yyyy-mm-dd")</f>
        <v/>
      </c>
      <c r="C20656" t="inlineStr">
        <is>
          <t>1956-06-13</t>
        </is>
      </c>
    </row>
    <row r="20657">
      <c r="A20657" s="1" t="n">
        <v>20656</v>
      </c>
      <c r="B20657">
        <f>TEXT(20656, "[$-0E0000]yyyy-mm-dd")</f>
        <v/>
      </c>
      <c r="C20657" t="inlineStr">
        <is>
          <t>1956-06-14</t>
        </is>
      </c>
    </row>
    <row r="20658">
      <c r="A20658" s="1" t="n">
        <v>20657</v>
      </c>
      <c r="B20658">
        <f>TEXT(20657, "[$-0E0000]yyyy-mm-dd")</f>
        <v/>
      </c>
      <c r="C20658" t="inlineStr">
        <is>
          <t>1956-06-15</t>
        </is>
      </c>
    </row>
    <row r="20659">
      <c r="A20659" s="1" t="n">
        <v>20658</v>
      </c>
      <c r="B20659">
        <f>TEXT(20658, "[$-0E0000]yyyy-mm-dd")</f>
        <v/>
      </c>
      <c r="C20659" t="inlineStr">
        <is>
          <t>1956-06-16</t>
        </is>
      </c>
    </row>
    <row r="20660">
      <c r="A20660" s="1" t="n">
        <v>20659</v>
      </c>
      <c r="B20660">
        <f>TEXT(20659, "[$-0E0000]yyyy-mm-dd")</f>
        <v/>
      </c>
      <c r="C20660" t="inlineStr">
        <is>
          <t>1956-06-17</t>
        </is>
      </c>
    </row>
    <row r="20661">
      <c r="A20661" s="1" t="n">
        <v>20660</v>
      </c>
      <c r="B20661">
        <f>TEXT(20660, "[$-0E0000]yyyy-mm-dd")</f>
        <v/>
      </c>
      <c r="C20661" t="inlineStr">
        <is>
          <t>1956-06-18</t>
        </is>
      </c>
    </row>
    <row r="20662">
      <c r="A20662" s="1" t="n">
        <v>20661</v>
      </c>
      <c r="B20662">
        <f>TEXT(20661, "[$-0E0000]yyyy-mm-dd")</f>
        <v/>
      </c>
      <c r="C20662" t="inlineStr">
        <is>
          <t>1956-06-19</t>
        </is>
      </c>
    </row>
    <row r="20663">
      <c r="A20663" s="1" t="n">
        <v>20662</v>
      </c>
      <c r="B20663">
        <f>TEXT(20662, "[$-0E0000]yyyy-mm-dd")</f>
        <v/>
      </c>
      <c r="C20663" t="inlineStr">
        <is>
          <t>1956-06-20</t>
        </is>
      </c>
    </row>
    <row r="20664">
      <c r="A20664" s="1" t="n">
        <v>20663</v>
      </c>
      <c r="B20664">
        <f>TEXT(20663, "[$-0E0000]yyyy-mm-dd")</f>
        <v/>
      </c>
      <c r="C20664" t="inlineStr">
        <is>
          <t>1956-06-21</t>
        </is>
      </c>
    </row>
    <row r="20665">
      <c r="A20665" s="1" t="n">
        <v>20664</v>
      </c>
      <c r="B20665">
        <f>TEXT(20664, "[$-0E0000]yyyy-mm-dd")</f>
        <v/>
      </c>
      <c r="C20665" t="inlineStr">
        <is>
          <t>1956-06-22</t>
        </is>
      </c>
    </row>
    <row r="20666">
      <c r="A20666" s="1" t="n">
        <v>20665</v>
      </c>
      <c r="B20666">
        <f>TEXT(20665, "[$-0E0000]yyyy-mm-dd")</f>
        <v/>
      </c>
      <c r="C20666" t="inlineStr">
        <is>
          <t>1956-06-23</t>
        </is>
      </c>
    </row>
    <row r="20667">
      <c r="A20667" s="1" t="n">
        <v>20666</v>
      </c>
      <c r="B20667">
        <f>TEXT(20666, "[$-0E0000]yyyy-mm-dd")</f>
        <v/>
      </c>
      <c r="C20667" t="inlineStr">
        <is>
          <t>1956-06-24</t>
        </is>
      </c>
    </row>
    <row r="20668">
      <c r="A20668" s="1" t="n">
        <v>20667</v>
      </c>
      <c r="B20668">
        <f>TEXT(20667, "[$-0E0000]yyyy-mm-dd")</f>
        <v/>
      </c>
      <c r="C20668" t="inlineStr">
        <is>
          <t>1956-06-25</t>
        </is>
      </c>
    </row>
    <row r="20669">
      <c r="A20669" s="1" t="n">
        <v>20668</v>
      </c>
      <c r="B20669">
        <f>TEXT(20668, "[$-0E0000]yyyy-mm-dd")</f>
        <v/>
      </c>
      <c r="C20669" t="inlineStr">
        <is>
          <t>1956-06-26</t>
        </is>
      </c>
    </row>
    <row r="20670">
      <c r="A20670" s="1" t="n">
        <v>20669</v>
      </c>
      <c r="B20670">
        <f>TEXT(20669, "[$-0E0000]yyyy-mm-dd")</f>
        <v/>
      </c>
      <c r="C20670" t="inlineStr">
        <is>
          <t>1956-06-27</t>
        </is>
      </c>
    </row>
    <row r="20671">
      <c r="A20671" s="1" t="n">
        <v>20670</v>
      </c>
      <c r="B20671">
        <f>TEXT(20670, "[$-0E0000]yyyy-mm-dd")</f>
        <v/>
      </c>
      <c r="C20671" t="inlineStr">
        <is>
          <t>1956-06-28</t>
        </is>
      </c>
    </row>
    <row r="20672">
      <c r="A20672" s="1" t="n">
        <v>20671</v>
      </c>
      <c r="B20672">
        <f>TEXT(20671, "[$-0E0000]yyyy-mm-dd")</f>
        <v/>
      </c>
      <c r="C20672" t="inlineStr">
        <is>
          <t>1956-06-29</t>
        </is>
      </c>
    </row>
    <row r="20673">
      <c r="A20673" s="1" t="n">
        <v>20672</v>
      </c>
      <c r="B20673">
        <f>TEXT(20672, "[$-0E0000]yyyy-mm-dd")</f>
        <v/>
      </c>
      <c r="C20673" t="inlineStr">
        <is>
          <t>1956-07-01</t>
        </is>
      </c>
    </row>
    <row r="20674">
      <c r="A20674" s="1" t="n">
        <v>20673</v>
      </c>
      <c r="B20674">
        <f>TEXT(20673, "[$-0E0000]yyyy-mm-dd")</f>
        <v/>
      </c>
      <c r="C20674" t="inlineStr">
        <is>
          <t>1956-07-02</t>
        </is>
      </c>
    </row>
    <row r="20675">
      <c r="A20675" s="1" t="n">
        <v>20674</v>
      </c>
      <c r="B20675">
        <f>TEXT(20674, "[$-0E0000]yyyy-mm-dd")</f>
        <v/>
      </c>
      <c r="C20675" t="inlineStr">
        <is>
          <t>1956-07-03</t>
        </is>
      </c>
    </row>
    <row r="20676">
      <c r="A20676" s="1" t="n">
        <v>20675</v>
      </c>
      <c r="B20676">
        <f>TEXT(20675, "[$-0E0000]yyyy-mm-dd")</f>
        <v/>
      </c>
      <c r="C20676" t="inlineStr">
        <is>
          <t>1956-07-04</t>
        </is>
      </c>
    </row>
    <row r="20677">
      <c r="A20677" s="1" t="n">
        <v>20676</v>
      </c>
      <c r="B20677">
        <f>TEXT(20676, "[$-0E0000]yyyy-mm-dd")</f>
        <v/>
      </c>
      <c r="C20677" t="inlineStr">
        <is>
          <t>1956-07-05</t>
        </is>
      </c>
    </row>
    <row r="20678">
      <c r="A20678" s="1" t="n">
        <v>20677</v>
      </c>
      <c r="B20678">
        <f>TEXT(20677, "[$-0E0000]yyyy-mm-dd")</f>
        <v/>
      </c>
      <c r="C20678" t="inlineStr">
        <is>
          <t>1956-07-06</t>
        </is>
      </c>
    </row>
    <row r="20679">
      <c r="A20679" s="1" t="n">
        <v>20678</v>
      </c>
      <c r="B20679">
        <f>TEXT(20678, "[$-0E0000]yyyy-mm-dd")</f>
        <v/>
      </c>
      <c r="C20679" t="inlineStr">
        <is>
          <t>1956-07-07</t>
        </is>
      </c>
    </row>
    <row r="20680">
      <c r="A20680" s="1" t="n">
        <v>20679</v>
      </c>
      <c r="B20680">
        <f>TEXT(20679, "[$-0E0000]yyyy-mm-dd")</f>
        <v/>
      </c>
      <c r="C20680" t="inlineStr">
        <is>
          <t>1956-07-08</t>
        </is>
      </c>
    </row>
    <row r="20681">
      <c r="A20681" s="1" t="n">
        <v>20680</v>
      </c>
      <c r="B20681">
        <f>TEXT(20680, "[$-0E0000]yyyy-mm-dd")</f>
        <v/>
      </c>
      <c r="C20681" t="inlineStr">
        <is>
          <t>1956-07-09</t>
        </is>
      </c>
    </row>
    <row r="20682">
      <c r="A20682" s="1" t="n">
        <v>20681</v>
      </c>
      <c r="B20682">
        <f>TEXT(20681, "[$-0E0000]yyyy-mm-dd")</f>
        <v/>
      </c>
      <c r="C20682" t="inlineStr">
        <is>
          <t>1956-07-10</t>
        </is>
      </c>
    </row>
    <row r="20683">
      <c r="A20683" s="1" t="n">
        <v>20682</v>
      </c>
      <c r="B20683">
        <f>TEXT(20682, "[$-0E0000]yyyy-mm-dd")</f>
        <v/>
      </c>
      <c r="C20683" t="inlineStr">
        <is>
          <t>1956-07-11</t>
        </is>
      </c>
    </row>
    <row r="20684">
      <c r="A20684" s="1" t="n">
        <v>20683</v>
      </c>
      <c r="B20684">
        <f>TEXT(20683, "[$-0E0000]yyyy-mm-dd")</f>
        <v/>
      </c>
      <c r="C20684" t="inlineStr">
        <is>
          <t>1956-07-12</t>
        </is>
      </c>
    </row>
    <row r="20685">
      <c r="A20685" s="1" t="n">
        <v>20684</v>
      </c>
      <c r="B20685">
        <f>TEXT(20684, "[$-0E0000]yyyy-mm-dd")</f>
        <v/>
      </c>
      <c r="C20685" t="inlineStr">
        <is>
          <t>1956-07-13</t>
        </is>
      </c>
    </row>
    <row r="20686">
      <c r="A20686" s="1" t="n">
        <v>20685</v>
      </c>
      <c r="B20686">
        <f>TEXT(20685, "[$-0E0000]yyyy-mm-dd")</f>
        <v/>
      </c>
      <c r="C20686" t="inlineStr">
        <is>
          <t>1956-07-14</t>
        </is>
      </c>
    </row>
    <row r="20687">
      <c r="A20687" s="1" t="n">
        <v>20686</v>
      </c>
      <c r="B20687">
        <f>TEXT(20686, "[$-0E0000]yyyy-mm-dd")</f>
        <v/>
      </c>
      <c r="C20687" t="inlineStr">
        <is>
          <t>1956-07-15</t>
        </is>
      </c>
    </row>
    <row r="20688">
      <c r="A20688" s="1" t="n">
        <v>20687</v>
      </c>
      <c r="B20688">
        <f>TEXT(20687, "[$-0E0000]yyyy-mm-dd")</f>
        <v/>
      </c>
      <c r="C20688" t="inlineStr">
        <is>
          <t>1956-07-16</t>
        </is>
      </c>
    </row>
    <row r="20689">
      <c r="A20689" s="1" t="n">
        <v>20688</v>
      </c>
      <c r="B20689">
        <f>TEXT(20688, "[$-0E0000]yyyy-mm-dd")</f>
        <v/>
      </c>
      <c r="C20689" t="inlineStr">
        <is>
          <t>1956-07-17</t>
        </is>
      </c>
    </row>
    <row r="20690">
      <c r="A20690" s="1" t="n">
        <v>20689</v>
      </c>
      <c r="B20690">
        <f>TEXT(20689, "[$-0E0000]yyyy-mm-dd")</f>
        <v/>
      </c>
      <c r="C20690" t="inlineStr">
        <is>
          <t>1956-07-18</t>
        </is>
      </c>
    </row>
    <row r="20691">
      <c r="A20691" s="1" t="n">
        <v>20690</v>
      </c>
      <c r="B20691">
        <f>TEXT(20690, "[$-0E0000]yyyy-mm-dd")</f>
        <v/>
      </c>
      <c r="C20691" t="inlineStr">
        <is>
          <t>1956-07-19</t>
        </is>
      </c>
    </row>
    <row r="20692">
      <c r="A20692" s="1" t="n">
        <v>20691</v>
      </c>
      <c r="B20692">
        <f>TEXT(20691, "[$-0E0000]yyyy-mm-dd")</f>
        <v/>
      </c>
      <c r="C20692" t="inlineStr">
        <is>
          <t>1956-07-20</t>
        </is>
      </c>
    </row>
    <row r="20693">
      <c r="A20693" s="1" t="n">
        <v>20692</v>
      </c>
      <c r="B20693">
        <f>TEXT(20692, "[$-0E0000]yyyy-mm-dd")</f>
        <v/>
      </c>
      <c r="C20693" t="inlineStr">
        <is>
          <t>1956-07-21</t>
        </is>
      </c>
    </row>
    <row r="20694">
      <c r="A20694" s="1" t="n">
        <v>20693</v>
      </c>
      <c r="B20694">
        <f>TEXT(20693, "[$-0E0000]yyyy-mm-dd")</f>
        <v/>
      </c>
      <c r="C20694" t="inlineStr">
        <is>
          <t>1956-07-22</t>
        </is>
      </c>
    </row>
    <row r="20695">
      <c r="A20695" s="1" t="n">
        <v>20694</v>
      </c>
      <c r="B20695">
        <f>TEXT(20694, "[$-0E0000]yyyy-mm-dd")</f>
        <v/>
      </c>
      <c r="C20695" t="inlineStr">
        <is>
          <t>1956-07-23</t>
        </is>
      </c>
    </row>
    <row r="20696">
      <c r="A20696" s="1" t="n">
        <v>20695</v>
      </c>
      <c r="B20696">
        <f>TEXT(20695, "[$-0E0000]yyyy-mm-dd")</f>
        <v/>
      </c>
      <c r="C20696" t="inlineStr">
        <is>
          <t>1956-07-24</t>
        </is>
      </c>
    </row>
    <row r="20697">
      <c r="A20697" s="1" t="n">
        <v>20696</v>
      </c>
      <c r="B20697">
        <f>TEXT(20696, "[$-0E0000]yyyy-mm-dd")</f>
        <v/>
      </c>
      <c r="C20697" t="inlineStr">
        <is>
          <t>1956-07-25</t>
        </is>
      </c>
    </row>
    <row r="20698">
      <c r="A20698" s="1" t="n">
        <v>20697</v>
      </c>
      <c r="B20698">
        <f>TEXT(20697, "[$-0E0000]yyyy-mm-dd")</f>
        <v/>
      </c>
      <c r="C20698" t="inlineStr">
        <is>
          <t>1956-07-26</t>
        </is>
      </c>
    </row>
    <row r="20699">
      <c r="A20699" s="1" t="n">
        <v>20698</v>
      </c>
      <c r="B20699">
        <f>TEXT(20698, "[$-0E0000]yyyy-mm-dd")</f>
        <v/>
      </c>
      <c r="C20699" t="inlineStr">
        <is>
          <t>1956-07-27</t>
        </is>
      </c>
    </row>
    <row r="20700">
      <c r="A20700" s="1" t="n">
        <v>20699</v>
      </c>
      <c r="B20700">
        <f>TEXT(20699, "[$-0E0000]yyyy-mm-dd")</f>
        <v/>
      </c>
      <c r="C20700" t="inlineStr">
        <is>
          <t>1956-07-28</t>
        </is>
      </c>
    </row>
    <row r="20701">
      <c r="A20701" s="1" t="n">
        <v>20700</v>
      </c>
      <c r="B20701">
        <f>TEXT(20700, "[$-0E0000]yyyy-mm-dd")</f>
        <v/>
      </c>
      <c r="C20701" t="inlineStr">
        <is>
          <t>1956-07-29</t>
        </is>
      </c>
    </row>
    <row r="20702">
      <c r="A20702" s="1" t="n">
        <v>20701</v>
      </c>
      <c r="B20702">
        <f>TEXT(20701, "[$-0E0000]yyyy-mm-dd")</f>
        <v/>
      </c>
      <c r="C20702" t="inlineStr">
        <is>
          <t>1956-07-30</t>
        </is>
      </c>
    </row>
    <row r="20703">
      <c r="A20703" s="1" t="n">
        <v>20702</v>
      </c>
      <c r="B20703">
        <f>TEXT(20702, "[$-0E0000]yyyy-mm-dd")</f>
        <v/>
      </c>
      <c r="C20703" t="inlineStr">
        <is>
          <t>1956-08-01</t>
        </is>
      </c>
    </row>
    <row r="20704">
      <c r="A20704" s="1" t="n">
        <v>20703</v>
      </c>
      <c r="B20704">
        <f>TEXT(20703, "[$-0E0000]yyyy-mm-dd")</f>
        <v/>
      </c>
      <c r="C20704" t="inlineStr">
        <is>
          <t>1956-08-02</t>
        </is>
      </c>
    </row>
    <row r="20705">
      <c r="A20705" s="1" t="n">
        <v>20704</v>
      </c>
      <c r="B20705">
        <f>TEXT(20704, "[$-0E0000]yyyy-mm-dd")</f>
        <v/>
      </c>
      <c r="C20705" t="inlineStr">
        <is>
          <t>1956-08-03</t>
        </is>
      </c>
    </row>
    <row r="20706">
      <c r="A20706" s="1" t="n">
        <v>20705</v>
      </c>
      <c r="B20706">
        <f>TEXT(20705, "[$-0E0000]yyyy-mm-dd")</f>
        <v/>
      </c>
      <c r="C20706" t="inlineStr">
        <is>
          <t>1956-08-04</t>
        </is>
      </c>
    </row>
    <row r="20707">
      <c r="A20707" s="1" t="n">
        <v>20706</v>
      </c>
      <c r="B20707">
        <f>TEXT(20706, "[$-0E0000]yyyy-mm-dd")</f>
        <v/>
      </c>
      <c r="C20707" t="inlineStr">
        <is>
          <t>1956-08-05</t>
        </is>
      </c>
    </row>
    <row r="20708">
      <c r="A20708" s="1" t="n">
        <v>20707</v>
      </c>
      <c r="B20708">
        <f>TEXT(20707, "[$-0E0000]yyyy-mm-dd")</f>
        <v/>
      </c>
      <c r="C20708" t="inlineStr">
        <is>
          <t>1956-08-06</t>
        </is>
      </c>
    </row>
    <row r="20709">
      <c r="A20709" s="1" t="n">
        <v>20708</v>
      </c>
      <c r="B20709">
        <f>TEXT(20708, "[$-0E0000]yyyy-mm-dd")</f>
        <v/>
      </c>
      <c r="C20709" t="inlineStr">
        <is>
          <t>1956-08-07</t>
        </is>
      </c>
    </row>
    <row r="20710">
      <c r="A20710" s="1" t="n">
        <v>20709</v>
      </c>
      <c r="B20710">
        <f>TEXT(20709, "[$-0E0000]yyyy-mm-dd")</f>
        <v/>
      </c>
      <c r="C20710" t="inlineStr">
        <is>
          <t>1956-08-08</t>
        </is>
      </c>
    </row>
    <row r="20711">
      <c r="A20711" s="1" t="n">
        <v>20710</v>
      </c>
      <c r="B20711">
        <f>TEXT(20710, "[$-0E0000]yyyy-mm-dd")</f>
        <v/>
      </c>
      <c r="C20711" t="inlineStr">
        <is>
          <t>1956-08-09</t>
        </is>
      </c>
    </row>
    <row r="20712">
      <c r="A20712" s="1" t="n">
        <v>20711</v>
      </c>
      <c r="B20712">
        <f>TEXT(20711, "[$-0E0000]yyyy-mm-dd")</f>
        <v/>
      </c>
      <c r="C20712" t="inlineStr">
        <is>
          <t>1956-08-10</t>
        </is>
      </c>
    </row>
    <row r="20713">
      <c r="A20713" s="1" t="n">
        <v>20712</v>
      </c>
      <c r="B20713">
        <f>TEXT(20712, "[$-0E0000]yyyy-mm-dd")</f>
        <v/>
      </c>
      <c r="C20713" t="inlineStr">
        <is>
          <t>1956-08-11</t>
        </is>
      </c>
    </row>
    <row r="20714">
      <c r="A20714" s="1" t="n">
        <v>20713</v>
      </c>
      <c r="B20714">
        <f>TEXT(20713, "[$-0E0000]yyyy-mm-dd")</f>
        <v/>
      </c>
      <c r="C20714" t="inlineStr">
        <is>
          <t>1956-08-12</t>
        </is>
      </c>
    </row>
    <row r="20715">
      <c r="A20715" s="1" t="n">
        <v>20714</v>
      </c>
      <c r="B20715">
        <f>TEXT(20714, "[$-0E0000]yyyy-mm-dd")</f>
        <v/>
      </c>
      <c r="C20715" t="inlineStr">
        <is>
          <t>1956-08-13</t>
        </is>
      </c>
    </row>
    <row r="20716">
      <c r="A20716" s="1" t="n">
        <v>20715</v>
      </c>
      <c r="B20716">
        <f>TEXT(20715, "[$-0E0000]yyyy-mm-dd")</f>
        <v/>
      </c>
      <c r="C20716" t="inlineStr">
        <is>
          <t>1956-08-14</t>
        </is>
      </c>
    </row>
    <row r="20717">
      <c r="A20717" s="1" t="n">
        <v>20716</v>
      </c>
      <c r="B20717">
        <f>TEXT(20716, "[$-0E0000]yyyy-mm-dd")</f>
        <v/>
      </c>
      <c r="C20717" t="inlineStr">
        <is>
          <t>1956-08-15</t>
        </is>
      </c>
    </row>
    <row r="20718">
      <c r="A20718" s="1" t="n">
        <v>20717</v>
      </c>
      <c r="B20718">
        <f>TEXT(20717, "[$-0E0000]yyyy-mm-dd")</f>
        <v/>
      </c>
      <c r="C20718" t="inlineStr">
        <is>
          <t>1956-08-16</t>
        </is>
      </c>
    </row>
    <row r="20719">
      <c r="A20719" s="1" t="n">
        <v>20718</v>
      </c>
      <c r="B20719">
        <f>TEXT(20718, "[$-0E0000]yyyy-mm-dd")</f>
        <v/>
      </c>
      <c r="C20719" t="inlineStr">
        <is>
          <t>1956-08-17</t>
        </is>
      </c>
    </row>
    <row r="20720">
      <c r="A20720" s="1" t="n">
        <v>20719</v>
      </c>
      <c r="B20720">
        <f>TEXT(20719, "[$-0E0000]yyyy-mm-dd")</f>
        <v/>
      </c>
      <c r="C20720" t="inlineStr">
        <is>
          <t>1956-08-18</t>
        </is>
      </c>
    </row>
    <row r="20721">
      <c r="A20721" s="1" t="n">
        <v>20720</v>
      </c>
      <c r="B20721">
        <f>TEXT(20720, "[$-0E0000]yyyy-mm-dd")</f>
        <v/>
      </c>
      <c r="C20721" t="inlineStr">
        <is>
          <t>1956-08-19</t>
        </is>
      </c>
    </row>
    <row r="20722">
      <c r="A20722" s="1" t="n">
        <v>20721</v>
      </c>
      <c r="B20722">
        <f>TEXT(20721, "[$-0E0000]yyyy-mm-dd")</f>
        <v/>
      </c>
      <c r="C20722" t="inlineStr">
        <is>
          <t>1956-08-20</t>
        </is>
      </c>
    </row>
    <row r="20723">
      <c r="A20723" s="1" t="n">
        <v>20722</v>
      </c>
      <c r="B20723">
        <f>TEXT(20722, "[$-0E0000]yyyy-mm-dd")</f>
        <v/>
      </c>
      <c r="C20723" t="inlineStr">
        <is>
          <t>1956-08-21</t>
        </is>
      </c>
    </row>
    <row r="20724">
      <c r="A20724" s="1" t="n">
        <v>20723</v>
      </c>
      <c r="B20724">
        <f>TEXT(20723, "[$-0E0000]yyyy-mm-dd")</f>
        <v/>
      </c>
      <c r="C20724" t="inlineStr">
        <is>
          <t>1956-08-22</t>
        </is>
      </c>
    </row>
    <row r="20725">
      <c r="A20725" s="1" t="n">
        <v>20724</v>
      </c>
      <c r="B20725">
        <f>TEXT(20724, "[$-0E0000]yyyy-mm-dd")</f>
        <v/>
      </c>
      <c r="C20725" t="inlineStr">
        <is>
          <t>1956-08-23</t>
        </is>
      </c>
    </row>
    <row r="20726">
      <c r="A20726" s="1" t="n">
        <v>20725</v>
      </c>
      <c r="B20726">
        <f>TEXT(20725, "[$-0E0000]yyyy-mm-dd")</f>
        <v/>
      </c>
      <c r="C20726" t="inlineStr">
        <is>
          <t>1956-08-24</t>
        </is>
      </c>
    </row>
    <row r="20727">
      <c r="A20727" s="1" t="n">
        <v>20726</v>
      </c>
      <c r="B20727">
        <f>TEXT(20726, "[$-0E0000]yyyy-mm-dd")</f>
        <v/>
      </c>
      <c r="C20727" t="inlineStr">
        <is>
          <t>1956-08-25</t>
        </is>
      </c>
    </row>
    <row r="20728">
      <c r="A20728" s="1" t="n">
        <v>20727</v>
      </c>
      <c r="B20728">
        <f>TEXT(20727, "[$-0E0000]yyyy-mm-dd")</f>
        <v/>
      </c>
      <c r="C20728" t="inlineStr">
        <is>
          <t>1956-08-26</t>
        </is>
      </c>
    </row>
    <row r="20729">
      <c r="A20729" s="1" t="n">
        <v>20728</v>
      </c>
      <c r="B20729">
        <f>TEXT(20728, "[$-0E0000]yyyy-mm-dd")</f>
        <v/>
      </c>
      <c r="C20729" t="inlineStr">
        <is>
          <t>1956-08-27</t>
        </is>
      </c>
    </row>
    <row r="20730">
      <c r="A20730" s="1" t="n">
        <v>20729</v>
      </c>
      <c r="B20730">
        <f>TEXT(20729, "[$-0E0000]yyyy-mm-dd")</f>
        <v/>
      </c>
      <c r="C20730" t="inlineStr">
        <is>
          <t>1956-08-28</t>
        </is>
      </c>
    </row>
    <row r="20731">
      <c r="A20731" s="1" t="n">
        <v>20730</v>
      </c>
      <c r="B20731">
        <f>TEXT(20730, "[$-0E0000]yyyy-mm-dd")</f>
        <v/>
      </c>
      <c r="C20731" t="inlineStr">
        <is>
          <t>1956-08-29</t>
        </is>
      </c>
    </row>
    <row r="20732">
      <c r="A20732" s="1" t="n">
        <v>20731</v>
      </c>
      <c r="B20732">
        <f>TEXT(20731, "[$-0E0000]yyyy-mm-dd")</f>
        <v/>
      </c>
      <c r="C20732" t="inlineStr">
        <is>
          <t>1956-09-01</t>
        </is>
      </c>
    </row>
    <row r="20733">
      <c r="A20733" s="1" t="n">
        <v>20732</v>
      </c>
      <c r="B20733">
        <f>TEXT(20732, "[$-0E0000]yyyy-mm-dd")</f>
        <v/>
      </c>
      <c r="C20733" t="inlineStr">
        <is>
          <t>1956-09-02</t>
        </is>
      </c>
    </row>
    <row r="20734">
      <c r="A20734" s="1" t="n">
        <v>20733</v>
      </c>
      <c r="B20734">
        <f>TEXT(20733, "[$-0E0000]yyyy-mm-dd")</f>
        <v/>
      </c>
      <c r="C20734" t="inlineStr">
        <is>
          <t>1956-09-03</t>
        </is>
      </c>
    </row>
    <row r="20735">
      <c r="A20735" s="1" t="n">
        <v>20734</v>
      </c>
      <c r="B20735">
        <f>TEXT(20734, "[$-0E0000]yyyy-mm-dd")</f>
        <v/>
      </c>
      <c r="C20735" t="inlineStr">
        <is>
          <t>1956-09-04</t>
        </is>
      </c>
    </row>
    <row r="20736">
      <c r="A20736" s="1" t="n">
        <v>20735</v>
      </c>
      <c r="B20736">
        <f>TEXT(20735, "[$-0E0000]yyyy-mm-dd")</f>
        <v/>
      </c>
      <c r="C20736" t="inlineStr">
        <is>
          <t>1956-09-05</t>
        </is>
      </c>
    </row>
    <row r="20737">
      <c r="A20737" s="1" t="n">
        <v>20736</v>
      </c>
      <c r="B20737">
        <f>TEXT(20736, "[$-0E0000]yyyy-mm-dd")</f>
        <v/>
      </c>
      <c r="C20737" t="inlineStr">
        <is>
          <t>1956-09-06</t>
        </is>
      </c>
    </row>
    <row r="20738">
      <c r="A20738" s="1" t="n">
        <v>20737</v>
      </c>
      <c r="B20738">
        <f>TEXT(20737, "[$-0E0000]yyyy-mm-dd")</f>
        <v/>
      </c>
      <c r="C20738" t="inlineStr">
        <is>
          <t>1956-09-07</t>
        </is>
      </c>
    </row>
    <row r="20739">
      <c r="A20739" s="1" t="n">
        <v>20738</v>
      </c>
      <c r="B20739">
        <f>TEXT(20738, "[$-0E0000]yyyy-mm-dd")</f>
        <v/>
      </c>
      <c r="C20739" t="inlineStr">
        <is>
          <t>1956-09-08</t>
        </is>
      </c>
    </row>
    <row r="20740">
      <c r="A20740" s="1" t="n">
        <v>20739</v>
      </c>
      <c r="B20740">
        <f>TEXT(20739, "[$-0E0000]yyyy-mm-dd")</f>
        <v/>
      </c>
      <c r="C20740" t="inlineStr">
        <is>
          <t>1956-09-09</t>
        </is>
      </c>
    </row>
    <row r="20741">
      <c r="A20741" s="1" t="n">
        <v>20740</v>
      </c>
      <c r="B20741">
        <f>TEXT(20740, "[$-0E0000]yyyy-mm-dd")</f>
        <v/>
      </c>
      <c r="C20741" t="inlineStr">
        <is>
          <t>1956-09-10</t>
        </is>
      </c>
    </row>
    <row r="20742">
      <c r="A20742" s="1" t="n">
        <v>20741</v>
      </c>
      <c r="B20742">
        <f>TEXT(20741, "[$-0E0000]yyyy-mm-dd")</f>
        <v/>
      </c>
      <c r="C20742" t="inlineStr">
        <is>
          <t>1956-09-11</t>
        </is>
      </c>
    </row>
    <row r="20743">
      <c r="A20743" s="1" t="n">
        <v>20742</v>
      </c>
      <c r="B20743">
        <f>TEXT(20742, "[$-0E0000]yyyy-mm-dd")</f>
        <v/>
      </c>
      <c r="C20743" t="inlineStr">
        <is>
          <t>1956-09-12</t>
        </is>
      </c>
    </row>
    <row r="20744">
      <c r="A20744" s="1" t="n">
        <v>20743</v>
      </c>
      <c r="B20744">
        <f>TEXT(20743, "[$-0E0000]yyyy-mm-dd")</f>
        <v/>
      </c>
      <c r="C20744" t="inlineStr">
        <is>
          <t>1956-09-13</t>
        </is>
      </c>
    </row>
    <row r="20745">
      <c r="A20745" s="1" t="n">
        <v>20744</v>
      </c>
      <c r="B20745">
        <f>TEXT(20744, "[$-0E0000]yyyy-mm-dd")</f>
        <v/>
      </c>
      <c r="C20745" t="inlineStr">
        <is>
          <t>1956-09-14</t>
        </is>
      </c>
    </row>
    <row r="20746">
      <c r="A20746" s="1" t="n">
        <v>20745</v>
      </c>
      <c r="B20746">
        <f>TEXT(20745, "[$-0E0000]yyyy-mm-dd")</f>
        <v/>
      </c>
      <c r="C20746" t="inlineStr">
        <is>
          <t>1956-09-15</t>
        </is>
      </c>
    </row>
    <row r="20747">
      <c r="A20747" s="1" t="n">
        <v>20746</v>
      </c>
      <c r="B20747">
        <f>TEXT(20746, "[$-0E0000]yyyy-mm-dd")</f>
        <v/>
      </c>
      <c r="C20747" t="inlineStr">
        <is>
          <t>1956-09-16</t>
        </is>
      </c>
    </row>
    <row r="20748">
      <c r="A20748" s="1" t="n">
        <v>20747</v>
      </c>
      <c r="B20748">
        <f>TEXT(20747, "[$-0E0000]yyyy-mm-dd")</f>
        <v/>
      </c>
      <c r="C20748" t="inlineStr">
        <is>
          <t>1956-09-17</t>
        </is>
      </c>
    </row>
    <row r="20749">
      <c r="A20749" s="1" t="n">
        <v>20748</v>
      </c>
      <c r="B20749">
        <f>TEXT(20748, "[$-0E0000]yyyy-mm-dd")</f>
        <v/>
      </c>
      <c r="C20749" t="inlineStr">
        <is>
          <t>1956-09-18</t>
        </is>
      </c>
    </row>
    <row r="20750">
      <c r="A20750" s="1" t="n">
        <v>20749</v>
      </c>
      <c r="B20750">
        <f>TEXT(20749, "[$-0E0000]yyyy-mm-dd")</f>
        <v/>
      </c>
      <c r="C20750" t="inlineStr">
        <is>
          <t>1956-09-19</t>
        </is>
      </c>
    </row>
    <row r="20751">
      <c r="A20751" s="1" t="n">
        <v>20750</v>
      </c>
      <c r="B20751">
        <f>TEXT(20750, "[$-0E0000]yyyy-mm-dd")</f>
        <v/>
      </c>
      <c r="C20751" t="inlineStr">
        <is>
          <t>1956-09-20</t>
        </is>
      </c>
    </row>
    <row r="20752">
      <c r="A20752" s="1" t="n">
        <v>20751</v>
      </c>
      <c r="B20752">
        <f>TEXT(20751, "[$-0E0000]yyyy-mm-dd")</f>
        <v/>
      </c>
      <c r="C20752" t="inlineStr">
        <is>
          <t>1956-09-21</t>
        </is>
      </c>
    </row>
    <row r="20753">
      <c r="A20753" s="1" t="n">
        <v>20752</v>
      </c>
      <c r="B20753">
        <f>TEXT(20752, "[$-0E0000]yyyy-mm-dd")</f>
        <v/>
      </c>
      <c r="C20753" t="inlineStr">
        <is>
          <t>1956-09-22</t>
        </is>
      </c>
    </row>
    <row r="20754">
      <c r="A20754" s="1" t="n">
        <v>20753</v>
      </c>
      <c r="B20754">
        <f>TEXT(20753, "[$-0E0000]yyyy-mm-dd")</f>
        <v/>
      </c>
      <c r="C20754" t="inlineStr">
        <is>
          <t>1956-09-23</t>
        </is>
      </c>
    </row>
    <row r="20755">
      <c r="A20755" s="1" t="n">
        <v>20754</v>
      </c>
      <c r="B20755">
        <f>TEXT(20754, "[$-0E0000]yyyy-mm-dd")</f>
        <v/>
      </c>
      <c r="C20755" t="inlineStr">
        <is>
          <t>1956-09-24</t>
        </is>
      </c>
    </row>
    <row r="20756">
      <c r="A20756" s="1" t="n">
        <v>20755</v>
      </c>
      <c r="B20756">
        <f>TEXT(20755, "[$-0E0000]yyyy-mm-dd")</f>
        <v/>
      </c>
      <c r="C20756" t="inlineStr">
        <is>
          <t>1956-09-25</t>
        </is>
      </c>
    </row>
    <row r="20757">
      <c r="A20757" s="1" t="n">
        <v>20756</v>
      </c>
      <c r="B20757">
        <f>TEXT(20756, "[$-0E0000]yyyy-mm-dd")</f>
        <v/>
      </c>
      <c r="C20757" t="inlineStr">
        <is>
          <t>1956-09-26</t>
        </is>
      </c>
    </row>
    <row r="20758">
      <c r="A20758" s="1" t="n">
        <v>20757</v>
      </c>
      <c r="B20758">
        <f>TEXT(20757, "[$-0E0000]yyyy-mm-dd")</f>
        <v/>
      </c>
      <c r="C20758" t="inlineStr">
        <is>
          <t>1956-09-27</t>
        </is>
      </c>
    </row>
    <row r="20759">
      <c r="A20759" s="1" t="n">
        <v>20758</v>
      </c>
      <c r="B20759">
        <f>TEXT(20758, "[$-0E0000]yyyy-mm-dd")</f>
        <v/>
      </c>
      <c r="C20759" t="inlineStr">
        <is>
          <t>1956-09-28</t>
        </is>
      </c>
    </row>
    <row r="20760">
      <c r="A20760" s="1" t="n">
        <v>20759</v>
      </c>
      <c r="B20760">
        <f>TEXT(20759, "[$-0E0000]yyyy-mm-dd")</f>
        <v/>
      </c>
      <c r="C20760" t="inlineStr">
        <is>
          <t>1956-09-29</t>
        </is>
      </c>
    </row>
    <row r="20761">
      <c r="A20761" s="1" t="n">
        <v>20760</v>
      </c>
      <c r="B20761">
        <f>TEXT(20760, "[$-0E0000]yyyy-mm-dd")</f>
        <v/>
      </c>
      <c r="C20761" t="inlineStr">
        <is>
          <t>1956-09-30</t>
        </is>
      </c>
    </row>
    <row r="20762">
      <c r="A20762" s="1" t="n">
        <v>20761</v>
      </c>
      <c r="B20762">
        <f>TEXT(20761, "[$-0E0000]yyyy-mm-dd")</f>
        <v/>
      </c>
      <c r="C20762" t="inlineStr">
        <is>
          <t>1956-10-01</t>
        </is>
      </c>
    </row>
    <row r="20763">
      <c r="A20763" s="1" t="n">
        <v>20762</v>
      </c>
      <c r="B20763">
        <f>TEXT(20762, "[$-0E0000]yyyy-mm-dd")</f>
        <v/>
      </c>
      <c r="C20763" t="inlineStr">
        <is>
          <t>1956-10-02</t>
        </is>
      </c>
    </row>
    <row r="20764">
      <c r="A20764" s="1" t="n">
        <v>20763</v>
      </c>
      <c r="B20764">
        <f>TEXT(20763, "[$-0E0000]yyyy-mm-dd")</f>
        <v/>
      </c>
      <c r="C20764" t="inlineStr">
        <is>
          <t>1956-10-03</t>
        </is>
      </c>
    </row>
    <row r="20765">
      <c r="A20765" s="1" t="n">
        <v>20764</v>
      </c>
      <c r="B20765">
        <f>TEXT(20764, "[$-0E0000]yyyy-mm-dd")</f>
        <v/>
      </c>
      <c r="C20765" t="inlineStr">
        <is>
          <t>1956-10-04</t>
        </is>
      </c>
    </row>
    <row r="20766">
      <c r="A20766" s="1" t="n">
        <v>20765</v>
      </c>
      <c r="B20766">
        <f>TEXT(20765, "[$-0E0000]yyyy-mm-dd")</f>
        <v/>
      </c>
      <c r="C20766" t="inlineStr">
        <is>
          <t>1956-10-05</t>
        </is>
      </c>
    </row>
    <row r="20767">
      <c r="A20767" s="1" t="n">
        <v>20766</v>
      </c>
      <c r="B20767">
        <f>TEXT(20766, "[$-0E0000]yyyy-mm-dd")</f>
        <v/>
      </c>
      <c r="C20767" t="inlineStr">
        <is>
          <t>1956-10-06</t>
        </is>
      </c>
    </row>
    <row r="20768">
      <c r="A20768" s="1" t="n">
        <v>20767</v>
      </c>
      <c r="B20768">
        <f>TEXT(20767, "[$-0E0000]yyyy-mm-dd")</f>
        <v/>
      </c>
      <c r="C20768" t="inlineStr">
        <is>
          <t>1956-10-07</t>
        </is>
      </c>
    </row>
    <row r="20769">
      <c r="A20769" s="1" t="n">
        <v>20768</v>
      </c>
      <c r="B20769">
        <f>TEXT(20768, "[$-0E0000]yyyy-mm-dd")</f>
        <v/>
      </c>
      <c r="C20769" t="inlineStr">
        <is>
          <t>1956-10-08</t>
        </is>
      </c>
    </row>
    <row r="20770">
      <c r="A20770" s="1" t="n">
        <v>20769</v>
      </c>
      <c r="B20770">
        <f>TEXT(20769, "[$-0E0000]yyyy-mm-dd")</f>
        <v/>
      </c>
      <c r="C20770" t="inlineStr">
        <is>
          <t>1956-10-09</t>
        </is>
      </c>
    </row>
    <row r="20771">
      <c r="A20771" s="1" t="n">
        <v>20770</v>
      </c>
      <c r="B20771">
        <f>TEXT(20770, "[$-0E0000]yyyy-mm-dd")</f>
        <v/>
      </c>
      <c r="C20771" t="inlineStr">
        <is>
          <t>1956-10-10</t>
        </is>
      </c>
    </row>
    <row r="20772">
      <c r="A20772" s="1" t="n">
        <v>20771</v>
      </c>
      <c r="B20772">
        <f>TEXT(20771, "[$-0E0000]yyyy-mm-dd")</f>
        <v/>
      </c>
      <c r="C20772" t="inlineStr">
        <is>
          <t>1956-10-11</t>
        </is>
      </c>
    </row>
    <row r="20773">
      <c r="A20773" s="1" t="n">
        <v>20772</v>
      </c>
      <c r="B20773">
        <f>TEXT(20772, "[$-0E0000]yyyy-mm-dd")</f>
        <v/>
      </c>
      <c r="C20773" t="inlineStr">
        <is>
          <t>1956-10-12</t>
        </is>
      </c>
    </row>
    <row r="20774">
      <c r="A20774" s="1" t="n">
        <v>20773</v>
      </c>
      <c r="B20774">
        <f>TEXT(20773, "[$-0E0000]yyyy-mm-dd")</f>
        <v/>
      </c>
      <c r="C20774" t="inlineStr">
        <is>
          <t>1956-10-13</t>
        </is>
      </c>
    </row>
    <row r="20775">
      <c r="A20775" s="1" t="n">
        <v>20774</v>
      </c>
      <c r="B20775">
        <f>TEXT(20774, "[$-0E0000]yyyy-mm-dd")</f>
        <v/>
      </c>
      <c r="C20775" t="inlineStr">
        <is>
          <t>1956-10-14</t>
        </is>
      </c>
    </row>
    <row r="20776">
      <c r="A20776" s="1" t="n">
        <v>20775</v>
      </c>
      <c r="B20776">
        <f>TEXT(20775, "[$-0E0000]yyyy-mm-dd")</f>
        <v/>
      </c>
      <c r="C20776" t="inlineStr">
        <is>
          <t>1956-10-15</t>
        </is>
      </c>
    </row>
    <row r="20777">
      <c r="A20777" s="1" t="n">
        <v>20776</v>
      </c>
      <c r="B20777">
        <f>TEXT(20776, "[$-0E0000]yyyy-mm-dd")</f>
        <v/>
      </c>
      <c r="C20777" t="inlineStr">
        <is>
          <t>1956-10-16</t>
        </is>
      </c>
    </row>
    <row r="20778">
      <c r="A20778" s="1" t="n">
        <v>20777</v>
      </c>
      <c r="B20778">
        <f>TEXT(20777, "[$-0E0000]yyyy-mm-dd")</f>
        <v/>
      </c>
      <c r="C20778" t="inlineStr">
        <is>
          <t>1956-10-17</t>
        </is>
      </c>
    </row>
    <row r="20779">
      <c r="A20779" s="1" t="n">
        <v>20778</v>
      </c>
      <c r="B20779">
        <f>TEXT(20778, "[$-0E0000]yyyy-mm-dd")</f>
        <v/>
      </c>
      <c r="C20779" t="inlineStr">
        <is>
          <t>1956-10-18</t>
        </is>
      </c>
    </row>
    <row r="20780">
      <c r="A20780" s="1" t="n">
        <v>20779</v>
      </c>
      <c r="B20780">
        <f>TEXT(20779, "[$-0E0000]yyyy-mm-dd")</f>
        <v/>
      </c>
      <c r="C20780" t="inlineStr">
        <is>
          <t>1956-10-19</t>
        </is>
      </c>
    </row>
    <row r="20781">
      <c r="A20781" s="1" t="n">
        <v>20780</v>
      </c>
      <c r="B20781">
        <f>TEXT(20780, "[$-0E0000]yyyy-mm-dd")</f>
        <v/>
      </c>
      <c r="C20781" t="inlineStr">
        <is>
          <t>1956-10-20</t>
        </is>
      </c>
    </row>
    <row r="20782">
      <c r="A20782" s="1" t="n">
        <v>20781</v>
      </c>
      <c r="B20782">
        <f>TEXT(20781, "[$-0E0000]yyyy-mm-dd")</f>
        <v/>
      </c>
      <c r="C20782" t="inlineStr">
        <is>
          <t>1956-10-21</t>
        </is>
      </c>
    </row>
    <row r="20783">
      <c r="A20783" s="1" t="n">
        <v>20782</v>
      </c>
      <c r="B20783">
        <f>TEXT(20782, "[$-0E0000]yyyy-mm-dd")</f>
        <v/>
      </c>
      <c r="C20783" t="inlineStr">
        <is>
          <t>1956-10-22</t>
        </is>
      </c>
    </row>
    <row r="20784">
      <c r="A20784" s="1" t="n">
        <v>20783</v>
      </c>
      <c r="B20784">
        <f>TEXT(20783, "[$-0E0000]yyyy-mm-dd")</f>
        <v/>
      </c>
      <c r="C20784" t="inlineStr">
        <is>
          <t>1956-10-23</t>
        </is>
      </c>
    </row>
    <row r="20785">
      <c r="A20785" s="1" t="n">
        <v>20784</v>
      </c>
      <c r="B20785">
        <f>TEXT(20784, "[$-0E0000]yyyy-mm-dd")</f>
        <v/>
      </c>
      <c r="C20785" t="inlineStr">
        <is>
          <t>1956-10-24</t>
        </is>
      </c>
    </row>
    <row r="20786">
      <c r="A20786" s="1" t="n">
        <v>20785</v>
      </c>
      <c r="B20786">
        <f>TEXT(20785, "[$-0E0000]yyyy-mm-dd")</f>
        <v/>
      </c>
      <c r="C20786" t="inlineStr">
        <is>
          <t>1956-10-25</t>
        </is>
      </c>
    </row>
    <row r="20787">
      <c r="A20787" s="1" t="n">
        <v>20786</v>
      </c>
      <c r="B20787">
        <f>TEXT(20786, "[$-0E0000]yyyy-mm-dd")</f>
        <v/>
      </c>
      <c r="C20787" t="inlineStr">
        <is>
          <t>1956-10-26</t>
        </is>
      </c>
    </row>
    <row r="20788">
      <c r="A20788" s="1" t="n">
        <v>20787</v>
      </c>
      <c r="B20788">
        <f>TEXT(20787, "[$-0E0000]yyyy-mm-dd")</f>
        <v/>
      </c>
      <c r="C20788" t="inlineStr">
        <is>
          <t>1956-10-27</t>
        </is>
      </c>
    </row>
    <row r="20789">
      <c r="A20789" s="1" t="n">
        <v>20788</v>
      </c>
      <c r="B20789">
        <f>TEXT(20788, "[$-0E0000]yyyy-mm-dd")</f>
        <v/>
      </c>
      <c r="C20789" t="inlineStr">
        <is>
          <t>1956-10-28</t>
        </is>
      </c>
    </row>
    <row r="20790">
      <c r="A20790" s="1" t="n">
        <v>20789</v>
      </c>
      <c r="B20790">
        <f>TEXT(20789, "[$-0E0000]yyyy-mm-dd")</f>
        <v/>
      </c>
      <c r="C20790" t="inlineStr">
        <is>
          <t>1956-10-29</t>
        </is>
      </c>
    </row>
    <row r="20791">
      <c r="A20791" s="1" t="n">
        <v>20790</v>
      </c>
      <c r="B20791">
        <f>TEXT(20790, "[$-0E0000]yyyy-mm-dd")</f>
        <v/>
      </c>
      <c r="C20791" t="inlineStr">
        <is>
          <t>1956-11-01</t>
        </is>
      </c>
    </row>
    <row r="20792">
      <c r="A20792" s="1" t="n">
        <v>20791</v>
      </c>
      <c r="B20792">
        <f>TEXT(20791, "[$-0E0000]yyyy-mm-dd")</f>
        <v/>
      </c>
      <c r="C20792" t="inlineStr">
        <is>
          <t>1956-11-02</t>
        </is>
      </c>
    </row>
    <row r="20793">
      <c r="A20793" s="1" t="n">
        <v>20792</v>
      </c>
      <c r="B20793">
        <f>TEXT(20792, "[$-0E0000]yyyy-mm-dd")</f>
        <v/>
      </c>
      <c r="C20793" t="inlineStr">
        <is>
          <t>1956-11-03</t>
        </is>
      </c>
    </row>
    <row r="20794">
      <c r="A20794" s="1" t="n">
        <v>20793</v>
      </c>
      <c r="B20794">
        <f>TEXT(20793, "[$-0E0000]yyyy-mm-dd")</f>
        <v/>
      </c>
      <c r="C20794" t="inlineStr">
        <is>
          <t>1956-11-04</t>
        </is>
      </c>
    </row>
    <row r="20795">
      <c r="A20795" s="1" t="n">
        <v>20794</v>
      </c>
      <c r="B20795">
        <f>TEXT(20794, "[$-0E0000]yyyy-mm-dd")</f>
        <v/>
      </c>
      <c r="C20795" t="inlineStr">
        <is>
          <t>1956-11-05</t>
        </is>
      </c>
    </row>
    <row r="20796">
      <c r="A20796" s="1" t="n">
        <v>20795</v>
      </c>
      <c r="B20796">
        <f>TEXT(20795, "[$-0E0000]yyyy-mm-dd")</f>
        <v/>
      </c>
      <c r="C20796" t="inlineStr">
        <is>
          <t>1956-11-06</t>
        </is>
      </c>
    </row>
    <row r="20797">
      <c r="A20797" s="1" t="n">
        <v>20796</v>
      </c>
      <c r="B20797">
        <f>TEXT(20796, "[$-0E0000]yyyy-mm-dd")</f>
        <v/>
      </c>
      <c r="C20797" t="inlineStr">
        <is>
          <t>1956-11-07</t>
        </is>
      </c>
    </row>
    <row r="20798">
      <c r="A20798" s="1" t="n">
        <v>20797</v>
      </c>
      <c r="B20798">
        <f>TEXT(20797, "[$-0E0000]yyyy-mm-dd")</f>
        <v/>
      </c>
      <c r="C20798" t="inlineStr">
        <is>
          <t>1956-11-08</t>
        </is>
      </c>
    </row>
    <row r="20799">
      <c r="A20799" s="1" t="n">
        <v>20798</v>
      </c>
      <c r="B20799">
        <f>TEXT(20798, "[$-0E0000]yyyy-mm-dd")</f>
        <v/>
      </c>
      <c r="C20799" t="inlineStr">
        <is>
          <t>1956-11-09</t>
        </is>
      </c>
    </row>
    <row r="20800">
      <c r="A20800" s="1" t="n">
        <v>20799</v>
      </c>
      <c r="B20800">
        <f>TEXT(20799, "[$-0E0000]yyyy-mm-dd")</f>
        <v/>
      </c>
      <c r="C20800" t="inlineStr">
        <is>
          <t>1956-11-10</t>
        </is>
      </c>
    </row>
    <row r="20801">
      <c r="A20801" s="1" t="n">
        <v>20800</v>
      </c>
      <c r="B20801">
        <f>TEXT(20800, "[$-0E0000]yyyy-mm-dd")</f>
        <v/>
      </c>
      <c r="C20801" t="inlineStr">
        <is>
          <t>1956-11-11</t>
        </is>
      </c>
    </row>
    <row r="20802">
      <c r="A20802" s="1" t="n">
        <v>20801</v>
      </c>
      <c r="B20802">
        <f>TEXT(20801, "[$-0E0000]yyyy-mm-dd")</f>
        <v/>
      </c>
      <c r="C20802" t="inlineStr">
        <is>
          <t>1956-11-12</t>
        </is>
      </c>
    </row>
    <row r="20803">
      <c r="A20803" s="1" t="n">
        <v>20802</v>
      </c>
      <c r="B20803">
        <f>TEXT(20802, "[$-0E0000]yyyy-mm-dd")</f>
        <v/>
      </c>
      <c r="C20803" t="inlineStr">
        <is>
          <t>1956-11-13</t>
        </is>
      </c>
    </row>
    <row r="20804">
      <c r="A20804" s="1" t="n">
        <v>20803</v>
      </c>
      <c r="B20804">
        <f>TEXT(20803, "[$-0E0000]yyyy-mm-dd")</f>
        <v/>
      </c>
      <c r="C20804" t="inlineStr">
        <is>
          <t>1956-11-14</t>
        </is>
      </c>
    </row>
    <row r="20805">
      <c r="A20805" s="1" t="n">
        <v>20804</v>
      </c>
      <c r="B20805">
        <f>TEXT(20804, "[$-0E0000]yyyy-mm-dd")</f>
        <v/>
      </c>
      <c r="C20805" t="inlineStr">
        <is>
          <t>1956-11-15</t>
        </is>
      </c>
    </row>
    <row r="20806">
      <c r="A20806" s="1" t="n">
        <v>20805</v>
      </c>
      <c r="B20806">
        <f>TEXT(20805, "[$-0E0000]yyyy-mm-dd")</f>
        <v/>
      </c>
      <c r="C20806" t="inlineStr">
        <is>
          <t>1956-11-16</t>
        </is>
      </c>
    </row>
    <row r="20807">
      <c r="A20807" s="1" t="n">
        <v>20806</v>
      </c>
      <c r="B20807">
        <f>TEXT(20806, "[$-0E0000]yyyy-mm-dd")</f>
        <v/>
      </c>
      <c r="C20807" t="inlineStr">
        <is>
          <t>1956-11-17</t>
        </is>
      </c>
    </row>
    <row r="20808">
      <c r="A20808" s="1" t="n">
        <v>20807</v>
      </c>
      <c r="B20808">
        <f>TEXT(20807, "[$-0E0000]yyyy-mm-dd")</f>
        <v/>
      </c>
      <c r="C20808" t="inlineStr">
        <is>
          <t>1956-11-18</t>
        </is>
      </c>
    </row>
    <row r="20809">
      <c r="A20809" s="1" t="n">
        <v>20808</v>
      </c>
      <c r="B20809">
        <f>TEXT(20808, "[$-0E0000]yyyy-mm-dd")</f>
        <v/>
      </c>
      <c r="C20809" t="inlineStr">
        <is>
          <t>1956-11-19</t>
        </is>
      </c>
    </row>
    <row r="20810">
      <c r="A20810" s="1" t="n">
        <v>20809</v>
      </c>
      <c r="B20810">
        <f>TEXT(20809, "[$-0E0000]yyyy-mm-dd")</f>
        <v/>
      </c>
      <c r="C20810" t="inlineStr">
        <is>
          <t>1956-11-20</t>
        </is>
      </c>
    </row>
    <row r="20811">
      <c r="A20811" s="1" t="n">
        <v>20810</v>
      </c>
      <c r="B20811">
        <f>TEXT(20810, "[$-0E0000]yyyy-mm-dd")</f>
        <v/>
      </c>
      <c r="C20811" t="inlineStr">
        <is>
          <t>1956-11-21</t>
        </is>
      </c>
    </row>
    <row r="20812">
      <c r="A20812" s="1" t="n">
        <v>20811</v>
      </c>
      <c r="B20812">
        <f>TEXT(20811, "[$-0E0000]yyyy-mm-dd")</f>
        <v/>
      </c>
      <c r="C20812" t="inlineStr">
        <is>
          <t>1956-11-22</t>
        </is>
      </c>
    </row>
    <row r="20813">
      <c r="A20813" s="1" t="n">
        <v>20812</v>
      </c>
      <c r="B20813">
        <f>TEXT(20812, "[$-0E0000]yyyy-mm-dd")</f>
        <v/>
      </c>
      <c r="C20813" t="inlineStr">
        <is>
          <t>1956-11-23</t>
        </is>
      </c>
    </row>
    <row r="20814">
      <c r="A20814" s="1" t="n">
        <v>20813</v>
      </c>
      <c r="B20814">
        <f>TEXT(20813, "[$-0E0000]yyyy-mm-dd")</f>
        <v/>
      </c>
      <c r="C20814" t="inlineStr">
        <is>
          <t>1956-11-24</t>
        </is>
      </c>
    </row>
    <row r="20815">
      <c r="A20815" s="1" t="n">
        <v>20814</v>
      </c>
      <c r="B20815">
        <f>TEXT(20814, "[$-0E0000]yyyy-mm-dd")</f>
        <v/>
      </c>
      <c r="C20815" t="inlineStr">
        <is>
          <t>1956-11-25</t>
        </is>
      </c>
    </row>
    <row r="20816">
      <c r="A20816" s="1" t="n">
        <v>20815</v>
      </c>
      <c r="B20816">
        <f>TEXT(20815, "[$-0E0000]yyyy-mm-dd")</f>
        <v/>
      </c>
      <c r="C20816" t="inlineStr">
        <is>
          <t>1956-11-26</t>
        </is>
      </c>
    </row>
    <row r="20817">
      <c r="A20817" s="1" t="n">
        <v>20816</v>
      </c>
      <c r="B20817">
        <f>TEXT(20816, "[$-0E0000]yyyy-mm-dd")</f>
        <v/>
      </c>
      <c r="C20817" t="inlineStr">
        <is>
          <t>1956-11-27</t>
        </is>
      </c>
    </row>
    <row r="20818">
      <c r="A20818" s="1" t="n">
        <v>20817</v>
      </c>
      <c r="B20818">
        <f>TEXT(20817, "[$-0E0000]yyyy-mm-dd")</f>
        <v/>
      </c>
      <c r="C20818" t="inlineStr">
        <is>
          <t>1956-11-28</t>
        </is>
      </c>
    </row>
    <row r="20819">
      <c r="A20819" s="1" t="n">
        <v>20818</v>
      </c>
      <c r="B20819">
        <f>TEXT(20818, "[$-0E0000]yyyy-mm-dd")</f>
        <v/>
      </c>
      <c r="C20819" t="inlineStr">
        <is>
          <t>1956-11-29</t>
        </is>
      </c>
    </row>
    <row r="20820">
      <c r="A20820" s="1" t="n">
        <v>20819</v>
      </c>
      <c r="B20820">
        <f>TEXT(20819, "[$-0E0000]yyyy-mm-dd")</f>
        <v/>
      </c>
      <c r="C20820" t="inlineStr">
        <is>
          <t>1956-11-30</t>
        </is>
      </c>
    </row>
    <row r="20821">
      <c r="A20821" s="1" t="n">
        <v>20820</v>
      </c>
      <c r="B20821">
        <f>TEXT(20820, "[$-0E0000]yyyy-mm-dd")</f>
        <v/>
      </c>
      <c r="C20821" t="inlineStr">
        <is>
          <t>1956-12-01</t>
        </is>
      </c>
    </row>
    <row r="20822">
      <c r="A20822" s="1" t="n">
        <v>20821</v>
      </c>
      <c r="B20822">
        <f>TEXT(20821, "[$-0E0000]yyyy-mm-dd")</f>
        <v/>
      </c>
      <c r="C20822" t="inlineStr">
        <is>
          <t>1956-12-02</t>
        </is>
      </c>
    </row>
    <row r="20823">
      <c r="A20823" s="1" t="n">
        <v>20822</v>
      </c>
      <c r="B20823">
        <f>TEXT(20822, "[$-0E0000]yyyy-mm-dd")</f>
        <v/>
      </c>
      <c r="C20823" t="inlineStr">
        <is>
          <t>1956-12-03</t>
        </is>
      </c>
    </row>
    <row r="20824">
      <c r="A20824" s="1" t="n">
        <v>20823</v>
      </c>
      <c r="B20824">
        <f>TEXT(20823, "[$-0E0000]yyyy-mm-dd")</f>
        <v/>
      </c>
      <c r="C20824" t="inlineStr">
        <is>
          <t>1956-12-04</t>
        </is>
      </c>
    </row>
    <row r="20825">
      <c r="A20825" s="1" t="n">
        <v>20824</v>
      </c>
      <c r="B20825">
        <f>TEXT(20824, "[$-0E0000]yyyy-mm-dd")</f>
        <v/>
      </c>
      <c r="C20825" t="inlineStr">
        <is>
          <t>1956-12-05</t>
        </is>
      </c>
    </row>
    <row r="20826">
      <c r="A20826" s="1" t="n">
        <v>20825</v>
      </c>
      <c r="B20826">
        <f>TEXT(20825, "[$-0E0000]yyyy-mm-dd")</f>
        <v/>
      </c>
      <c r="C20826" t="inlineStr">
        <is>
          <t>1956-12-06</t>
        </is>
      </c>
    </row>
    <row r="20827">
      <c r="A20827" s="1" t="n">
        <v>20826</v>
      </c>
      <c r="B20827">
        <f>TEXT(20826, "[$-0E0000]yyyy-mm-dd")</f>
        <v/>
      </c>
      <c r="C20827" t="inlineStr">
        <is>
          <t>1956-12-07</t>
        </is>
      </c>
    </row>
    <row r="20828">
      <c r="A20828" s="1" t="n">
        <v>20827</v>
      </c>
      <c r="B20828">
        <f>TEXT(20827, "[$-0E0000]yyyy-mm-dd")</f>
        <v/>
      </c>
      <c r="C20828" t="inlineStr">
        <is>
          <t>1956-12-08</t>
        </is>
      </c>
    </row>
    <row r="20829">
      <c r="A20829" s="1" t="n">
        <v>20828</v>
      </c>
      <c r="B20829">
        <f>TEXT(20828, "[$-0E0000]yyyy-mm-dd")</f>
        <v/>
      </c>
      <c r="C20829" t="inlineStr">
        <is>
          <t>1956-12-09</t>
        </is>
      </c>
    </row>
    <row r="20830">
      <c r="A20830" s="1" t="n">
        <v>20829</v>
      </c>
      <c r="B20830">
        <f>TEXT(20829, "[$-0E0000]yyyy-mm-dd")</f>
        <v/>
      </c>
      <c r="C20830" t="inlineStr">
        <is>
          <t>1956-12-10</t>
        </is>
      </c>
    </row>
    <row r="20831">
      <c r="A20831" s="1" t="n">
        <v>20830</v>
      </c>
      <c r="B20831">
        <f>TEXT(20830, "[$-0E0000]yyyy-mm-dd")</f>
        <v/>
      </c>
      <c r="C20831" t="inlineStr">
        <is>
          <t>1956-12-11</t>
        </is>
      </c>
    </row>
    <row r="20832">
      <c r="A20832" s="1" t="n">
        <v>20831</v>
      </c>
      <c r="B20832">
        <f>TEXT(20831, "[$-0E0000]yyyy-mm-dd")</f>
        <v/>
      </c>
      <c r="C20832" t="inlineStr">
        <is>
          <t>1956-12-12</t>
        </is>
      </c>
    </row>
    <row r="20833">
      <c r="A20833" s="1" t="n">
        <v>20832</v>
      </c>
      <c r="B20833">
        <f>TEXT(20832, "[$-0E0000]yyyy-mm-dd")</f>
        <v/>
      </c>
      <c r="C20833" t="inlineStr">
        <is>
          <t>1956-12-13</t>
        </is>
      </c>
    </row>
    <row r="20834">
      <c r="A20834" s="1" t="n">
        <v>20833</v>
      </c>
      <c r="B20834">
        <f>TEXT(20833, "[$-0E0000]yyyy-mm-dd")</f>
        <v/>
      </c>
      <c r="C20834" t="inlineStr">
        <is>
          <t>1956-12-14</t>
        </is>
      </c>
    </row>
    <row r="20835">
      <c r="A20835" s="1" t="n">
        <v>20834</v>
      </c>
      <c r="B20835">
        <f>TEXT(20834, "[$-0E0000]yyyy-mm-dd")</f>
        <v/>
      </c>
      <c r="C20835" t="inlineStr">
        <is>
          <t>1956-12-15</t>
        </is>
      </c>
    </row>
    <row r="20836">
      <c r="A20836" s="1" t="n">
        <v>20835</v>
      </c>
      <c r="B20836">
        <f>TEXT(20835, "[$-0E0000]yyyy-mm-dd")</f>
        <v/>
      </c>
      <c r="C20836" t="inlineStr">
        <is>
          <t>1956-12-16</t>
        </is>
      </c>
    </row>
    <row r="20837">
      <c r="A20837" s="1" t="n">
        <v>20836</v>
      </c>
      <c r="B20837">
        <f>TEXT(20836, "[$-0E0000]yyyy-mm-dd")</f>
        <v/>
      </c>
      <c r="C20837" t="inlineStr">
        <is>
          <t>1956-12-17</t>
        </is>
      </c>
    </row>
    <row r="20838">
      <c r="A20838" s="1" t="n">
        <v>20837</v>
      </c>
      <c r="B20838">
        <f>TEXT(20837, "[$-0E0000]yyyy-mm-dd")</f>
        <v/>
      </c>
      <c r="C20838" t="inlineStr">
        <is>
          <t>1956-12-18</t>
        </is>
      </c>
    </row>
    <row r="20839">
      <c r="A20839" s="1" t="n">
        <v>20838</v>
      </c>
      <c r="B20839">
        <f>TEXT(20838, "[$-0E0000]yyyy-mm-dd")</f>
        <v/>
      </c>
      <c r="C20839" t="inlineStr">
        <is>
          <t>1956-12-19</t>
        </is>
      </c>
    </row>
    <row r="20840">
      <c r="A20840" s="1" t="n">
        <v>20839</v>
      </c>
      <c r="B20840">
        <f>TEXT(20839, "[$-0E0000]yyyy-mm-dd")</f>
        <v/>
      </c>
      <c r="C20840" t="inlineStr">
        <is>
          <t>1956-12-20</t>
        </is>
      </c>
    </row>
    <row r="20841">
      <c r="A20841" s="1" t="n">
        <v>20840</v>
      </c>
      <c r="B20841">
        <f>TEXT(20840, "[$-0E0000]yyyy-mm-dd")</f>
        <v/>
      </c>
      <c r="C20841" t="inlineStr">
        <is>
          <t>1956-12-21</t>
        </is>
      </c>
    </row>
    <row r="20842">
      <c r="A20842" s="1" t="n">
        <v>20841</v>
      </c>
      <c r="B20842">
        <f>TEXT(20841, "[$-0E0000]yyyy-mm-dd")</f>
        <v/>
      </c>
      <c r="C20842" t="inlineStr">
        <is>
          <t>1956-12-22</t>
        </is>
      </c>
    </row>
    <row r="20843">
      <c r="A20843" s="1" t="n">
        <v>20842</v>
      </c>
      <c r="B20843">
        <f>TEXT(20842, "[$-0E0000]yyyy-mm-dd")</f>
        <v/>
      </c>
      <c r="C20843" t="inlineStr">
        <is>
          <t>1956-12-23</t>
        </is>
      </c>
    </row>
    <row r="20844">
      <c r="A20844" s="1" t="n">
        <v>20843</v>
      </c>
      <c r="B20844">
        <f>TEXT(20843, "[$-0E0000]yyyy-mm-dd")</f>
        <v/>
      </c>
      <c r="C20844" t="inlineStr">
        <is>
          <t>1956-12-24</t>
        </is>
      </c>
    </row>
    <row r="20845">
      <c r="A20845" s="1" t="n">
        <v>20844</v>
      </c>
      <c r="B20845">
        <f>TEXT(20844, "[$-0E0000]yyyy-mm-dd")</f>
        <v/>
      </c>
      <c r="C20845" t="inlineStr">
        <is>
          <t>1956-12-25</t>
        </is>
      </c>
    </row>
    <row r="20846">
      <c r="A20846" s="1" t="n">
        <v>20845</v>
      </c>
      <c r="B20846">
        <f>TEXT(20845, "[$-0E0000]yyyy-mm-dd")</f>
        <v/>
      </c>
      <c r="C20846" t="inlineStr">
        <is>
          <t>1956-12-26</t>
        </is>
      </c>
    </row>
    <row r="20847">
      <c r="A20847" s="1" t="n">
        <v>20846</v>
      </c>
      <c r="B20847">
        <f>TEXT(20846, "[$-0E0000]yyyy-mm-dd")</f>
        <v/>
      </c>
      <c r="C20847" t="inlineStr">
        <is>
          <t>1956-12-27</t>
        </is>
      </c>
    </row>
    <row r="20848">
      <c r="A20848" s="1" t="n">
        <v>20847</v>
      </c>
      <c r="B20848">
        <f>TEXT(20847, "[$-0E0000]yyyy-mm-dd")</f>
        <v/>
      </c>
      <c r="C20848" t="inlineStr">
        <is>
          <t>1956-12-28</t>
        </is>
      </c>
    </row>
    <row r="20849">
      <c r="A20849" s="1" t="n">
        <v>20848</v>
      </c>
      <c r="B20849">
        <f>TEXT(20848, "[$-0E0000]yyyy-mm-dd")</f>
        <v/>
      </c>
      <c r="C20849" t="inlineStr">
        <is>
          <t>1956-12-29</t>
        </is>
      </c>
    </row>
    <row r="20850">
      <c r="A20850" s="1" t="n">
        <v>20849</v>
      </c>
      <c r="B20850">
        <f>TEXT(20849, "[$-0E0000]yyyy-mm-dd")</f>
        <v/>
      </c>
      <c r="C20850" t="inlineStr">
        <is>
          <t>1956-12-30</t>
        </is>
      </c>
    </row>
    <row r="20851">
      <c r="A20851" s="1" t="n">
        <v>20850</v>
      </c>
      <c r="B20851">
        <f>TEXT(20850, "[$-0E0000]yyyy-mm-dd")</f>
        <v/>
      </c>
      <c r="C20851" t="inlineStr">
        <is>
          <t>1957-01-01</t>
        </is>
      </c>
    </row>
    <row r="20852">
      <c r="A20852" s="1" t="n">
        <v>20851</v>
      </c>
      <c r="B20852">
        <f>TEXT(20851, "[$-0E0000]yyyy-mm-dd")</f>
        <v/>
      </c>
      <c r="C20852" t="inlineStr">
        <is>
          <t>1957-01-02</t>
        </is>
      </c>
    </row>
    <row r="20853">
      <c r="A20853" s="1" t="n">
        <v>20852</v>
      </c>
      <c r="B20853">
        <f>TEXT(20852, "[$-0E0000]yyyy-mm-dd")</f>
        <v/>
      </c>
      <c r="C20853" t="inlineStr">
        <is>
          <t>1957-01-03</t>
        </is>
      </c>
    </row>
    <row r="20854">
      <c r="A20854" s="1" t="n">
        <v>20853</v>
      </c>
      <c r="B20854">
        <f>TEXT(20853, "[$-0E0000]yyyy-mm-dd")</f>
        <v/>
      </c>
      <c r="C20854" t="inlineStr">
        <is>
          <t>1957-01-04</t>
        </is>
      </c>
    </row>
    <row r="20855">
      <c r="A20855" s="1" t="n">
        <v>20854</v>
      </c>
      <c r="B20855">
        <f>TEXT(20854, "[$-0E0000]yyyy-mm-dd")</f>
        <v/>
      </c>
      <c r="C20855" t="inlineStr">
        <is>
          <t>1957-01-05</t>
        </is>
      </c>
    </row>
    <row r="20856">
      <c r="A20856" s="1" t="n">
        <v>20855</v>
      </c>
      <c r="B20856">
        <f>TEXT(20855, "[$-0E0000]yyyy-mm-dd")</f>
        <v/>
      </c>
      <c r="C20856" t="inlineStr">
        <is>
          <t>1957-01-06</t>
        </is>
      </c>
    </row>
    <row r="20857">
      <c r="A20857" s="1" t="n">
        <v>20856</v>
      </c>
      <c r="B20857">
        <f>TEXT(20856, "[$-0E0000]yyyy-mm-dd")</f>
        <v/>
      </c>
      <c r="C20857" t="inlineStr">
        <is>
          <t>1957-01-07</t>
        </is>
      </c>
    </row>
    <row r="20858">
      <c r="A20858" s="1" t="n">
        <v>20857</v>
      </c>
      <c r="B20858">
        <f>TEXT(20857, "[$-0E0000]yyyy-mm-dd")</f>
        <v/>
      </c>
      <c r="C20858" t="inlineStr">
        <is>
          <t>1957-01-08</t>
        </is>
      </c>
    </row>
    <row r="20859">
      <c r="A20859" s="1" t="n">
        <v>20858</v>
      </c>
      <c r="B20859">
        <f>TEXT(20858, "[$-0E0000]yyyy-mm-dd")</f>
        <v/>
      </c>
      <c r="C20859" t="inlineStr">
        <is>
          <t>1957-01-09</t>
        </is>
      </c>
    </row>
    <row r="20860">
      <c r="A20860" s="1" t="n">
        <v>20859</v>
      </c>
      <c r="B20860">
        <f>TEXT(20859, "[$-0E0000]yyyy-mm-dd")</f>
        <v/>
      </c>
      <c r="C20860" t="inlineStr">
        <is>
          <t>1957-01-10</t>
        </is>
      </c>
    </row>
    <row r="20861">
      <c r="A20861" s="1" t="n">
        <v>20860</v>
      </c>
      <c r="B20861">
        <f>TEXT(20860, "[$-0E0000]yyyy-mm-dd")</f>
        <v/>
      </c>
      <c r="C20861" t="inlineStr">
        <is>
          <t>1957-01-11</t>
        </is>
      </c>
    </row>
    <row r="20862">
      <c r="A20862" s="1" t="n">
        <v>20861</v>
      </c>
      <c r="B20862">
        <f>TEXT(20861, "[$-0E0000]yyyy-mm-dd")</f>
        <v/>
      </c>
      <c r="C20862" t="inlineStr">
        <is>
          <t>1957-01-12</t>
        </is>
      </c>
    </row>
    <row r="20863">
      <c r="A20863" s="1" t="n">
        <v>20862</v>
      </c>
      <c r="B20863">
        <f>TEXT(20862, "[$-0E0000]yyyy-mm-dd")</f>
        <v/>
      </c>
      <c r="C20863" t="inlineStr">
        <is>
          <t>1957-01-13</t>
        </is>
      </c>
    </row>
    <row r="20864">
      <c r="A20864" s="1" t="n">
        <v>20863</v>
      </c>
      <c r="B20864">
        <f>TEXT(20863, "[$-0E0000]yyyy-mm-dd")</f>
        <v/>
      </c>
      <c r="C20864" t="inlineStr">
        <is>
          <t>1957-01-14</t>
        </is>
      </c>
    </row>
    <row r="20865">
      <c r="A20865" s="1" t="n">
        <v>20864</v>
      </c>
      <c r="B20865">
        <f>TEXT(20864, "[$-0E0000]yyyy-mm-dd")</f>
        <v/>
      </c>
      <c r="C20865" t="inlineStr">
        <is>
          <t>1957-01-15</t>
        </is>
      </c>
    </row>
    <row r="20866">
      <c r="A20866" s="1" t="n">
        <v>20865</v>
      </c>
      <c r="B20866">
        <f>TEXT(20865, "[$-0E0000]yyyy-mm-dd")</f>
        <v/>
      </c>
      <c r="C20866" t="inlineStr">
        <is>
          <t>1957-01-16</t>
        </is>
      </c>
    </row>
    <row r="20867">
      <c r="A20867" s="1" t="n">
        <v>20866</v>
      </c>
      <c r="B20867">
        <f>TEXT(20866, "[$-0E0000]yyyy-mm-dd")</f>
        <v/>
      </c>
      <c r="C20867" t="inlineStr">
        <is>
          <t>1957-01-17</t>
        </is>
      </c>
    </row>
    <row r="20868">
      <c r="A20868" s="1" t="n">
        <v>20867</v>
      </c>
      <c r="B20868">
        <f>TEXT(20867, "[$-0E0000]yyyy-mm-dd")</f>
        <v/>
      </c>
      <c r="C20868" t="inlineStr">
        <is>
          <t>1957-01-18</t>
        </is>
      </c>
    </row>
    <row r="20869">
      <c r="A20869" s="1" t="n">
        <v>20868</v>
      </c>
      <c r="B20869">
        <f>TEXT(20868, "[$-0E0000]yyyy-mm-dd")</f>
        <v/>
      </c>
      <c r="C20869" t="inlineStr">
        <is>
          <t>1957-01-19</t>
        </is>
      </c>
    </row>
    <row r="20870">
      <c r="A20870" s="1" t="n">
        <v>20869</v>
      </c>
      <c r="B20870">
        <f>TEXT(20869, "[$-0E0000]yyyy-mm-dd")</f>
        <v/>
      </c>
      <c r="C20870" t="inlineStr">
        <is>
          <t>1957-01-20</t>
        </is>
      </c>
    </row>
    <row r="20871">
      <c r="A20871" s="1" t="n">
        <v>20870</v>
      </c>
      <c r="B20871">
        <f>TEXT(20870, "[$-0E0000]yyyy-mm-dd")</f>
        <v/>
      </c>
      <c r="C20871" t="inlineStr">
        <is>
          <t>1957-01-21</t>
        </is>
      </c>
    </row>
    <row r="20872">
      <c r="A20872" s="1" t="n">
        <v>20871</v>
      </c>
      <c r="B20872">
        <f>TEXT(20871, "[$-0E0000]yyyy-mm-dd")</f>
        <v/>
      </c>
      <c r="C20872" t="inlineStr">
        <is>
          <t>1957-01-22</t>
        </is>
      </c>
    </row>
    <row r="20873">
      <c r="A20873" s="1" t="n">
        <v>20872</v>
      </c>
      <c r="B20873">
        <f>TEXT(20872, "[$-0E0000]yyyy-mm-dd")</f>
        <v/>
      </c>
      <c r="C20873" t="inlineStr">
        <is>
          <t>1957-01-23</t>
        </is>
      </c>
    </row>
    <row r="20874">
      <c r="A20874" s="1" t="n">
        <v>20873</v>
      </c>
      <c r="B20874">
        <f>TEXT(20873, "[$-0E0000]yyyy-mm-dd")</f>
        <v/>
      </c>
      <c r="C20874" t="inlineStr">
        <is>
          <t>1957-01-24</t>
        </is>
      </c>
    </row>
    <row r="20875">
      <c r="A20875" s="1" t="n">
        <v>20874</v>
      </c>
      <c r="B20875">
        <f>TEXT(20874, "[$-0E0000]yyyy-mm-dd")</f>
        <v/>
      </c>
      <c r="C20875" t="inlineStr">
        <is>
          <t>1957-01-25</t>
        </is>
      </c>
    </row>
    <row r="20876">
      <c r="A20876" s="1" t="n">
        <v>20875</v>
      </c>
      <c r="B20876">
        <f>TEXT(20875, "[$-0E0000]yyyy-mm-dd")</f>
        <v/>
      </c>
      <c r="C20876" t="inlineStr">
        <is>
          <t>1957-01-26</t>
        </is>
      </c>
    </row>
    <row r="20877">
      <c r="A20877" s="1" t="n">
        <v>20876</v>
      </c>
      <c r="B20877">
        <f>TEXT(20876, "[$-0E0000]yyyy-mm-dd")</f>
        <v/>
      </c>
      <c r="C20877" t="inlineStr">
        <is>
          <t>1957-01-27</t>
        </is>
      </c>
    </row>
    <row r="20878">
      <c r="A20878" s="1" t="n">
        <v>20877</v>
      </c>
      <c r="B20878">
        <f>TEXT(20877, "[$-0E0000]yyyy-mm-dd")</f>
        <v/>
      </c>
      <c r="C20878" t="inlineStr">
        <is>
          <t>1957-01-28</t>
        </is>
      </c>
    </row>
    <row r="20879">
      <c r="A20879" s="1" t="n">
        <v>20878</v>
      </c>
      <c r="B20879">
        <f>TEXT(20878, "[$-0E0000]yyyy-mm-dd")</f>
        <v/>
      </c>
      <c r="C20879" t="inlineStr">
        <is>
          <t>1957-01-29</t>
        </is>
      </c>
    </row>
    <row r="20880">
      <c r="A20880" s="1" t="n">
        <v>20879</v>
      </c>
      <c r="B20880">
        <f>TEXT(20879, "[$-0E0000]yyyy-mm-dd")</f>
        <v/>
      </c>
      <c r="C20880" t="inlineStr">
        <is>
          <t>1957-01-30</t>
        </is>
      </c>
    </row>
    <row r="20881">
      <c r="A20881" s="1" t="n">
        <v>20880</v>
      </c>
      <c r="B20881">
        <f>TEXT(20880, "[$-0E0000]yyyy-mm-dd")</f>
        <v/>
      </c>
      <c r="C20881" t="inlineStr">
        <is>
          <t>1957-02-01</t>
        </is>
      </c>
    </row>
    <row r="20882">
      <c r="A20882" s="1" t="n">
        <v>20881</v>
      </c>
      <c r="B20882">
        <f>TEXT(20881, "[$-0E0000]yyyy-mm-dd")</f>
        <v/>
      </c>
      <c r="C20882" t="inlineStr">
        <is>
          <t>1957-02-02</t>
        </is>
      </c>
    </row>
    <row r="20883">
      <c r="A20883" s="1" t="n">
        <v>20882</v>
      </c>
      <c r="B20883">
        <f>TEXT(20882, "[$-0E0000]yyyy-mm-dd")</f>
        <v/>
      </c>
      <c r="C20883" t="inlineStr">
        <is>
          <t>1957-02-03</t>
        </is>
      </c>
    </row>
    <row r="20884">
      <c r="A20884" s="1" t="n">
        <v>20883</v>
      </c>
      <c r="B20884">
        <f>TEXT(20883, "[$-0E0000]yyyy-mm-dd")</f>
        <v/>
      </c>
      <c r="C20884" t="inlineStr">
        <is>
          <t>1957-02-04</t>
        </is>
      </c>
    </row>
    <row r="20885">
      <c r="A20885" s="1" t="n">
        <v>20884</v>
      </c>
      <c r="B20885">
        <f>TEXT(20884, "[$-0E0000]yyyy-mm-dd")</f>
        <v/>
      </c>
      <c r="C20885" t="inlineStr">
        <is>
          <t>1957-02-05</t>
        </is>
      </c>
    </row>
    <row r="20886">
      <c r="A20886" s="1" t="n">
        <v>20885</v>
      </c>
      <c r="B20886">
        <f>TEXT(20885, "[$-0E0000]yyyy-mm-dd")</f>
        <v/>
      </c>
      <c r="C20886" t="inlineStr">
        <is>
          <t>1957-02-06</t>
        </is>
      </c>
    </row>
    <row r="20887">
      <c r="A20887" s="1" t="n">
        <v>20886</v>
      </c>
      <c r="B20887">
        <f>TEXT(20886, "[$-0E0000]yyyy-mm-dd")</f>
        <v/>
      </c>
      <c r="C20887" t="inlineStr">
        <is>
          <t>1957-02-07</t>
        </is>
      </c>
    </row>
    <row r="20888">
      <c r="A20888" s="1" t="n">
        <v>20887</v>
      </c>
      <c r="B20888">
        <f>TEXT(20887, "[$-0E0000]yyyy-mm-dd")</f>
        <v/>
      </c>
      <c r="C20888" t="inlineStr">
        <is>
          <t>1957-02-08</t>
        </is>
      </c>
    </row>
    <row r="20889">
      <c r="A20889" s="1" t="n">
        <v>20888</v>
      </c>
      <c r="B20889">
        <f>TEXT(20888, "[$-0E0000]yyyy-mm-dd")</f>
        <v/>
      </c>
      <c r="C20889" t="inlineStr">
        <is>
          <t>1957-02-09</t>
        </is>
      </c>
    </row>
    <row r="20890">
      <c r="A20890" s="1" t="n">
        <v>20889</v>
      </c>
      <c r="B20890">
        <f>TEXT(20889, "[$-0E0000]yyyy-mm-dd")</f>
        <v/>
      </c>
      <c r="C20890" t="inlineStr">
        <is>
          <t>1957-02-10</t>
        </is>
      </c>
    </row>
    <row r="20891">
      <c r="A20891" s="1" t="n">
        <v>20890</v>
      </c>
      <c r="B20891">
        <f>TEXT(20890, "[$-0E0000]yyyy-mm-dd")</f>
        <v/>
      </c>
      <c r="C20891" t="inlineStr">
        <is>
          <t>1957-02-11</t>
        </is>
      </c>
    </row>
    <row r="20892">
      <c r="A20892" s="1" t="n">
        <v>20891</v>
      </c>
      <c r="B20892">
        <f>TEXT(20891, "[$-0E0000]yyyy-mm-dd")</f>
        <v/>
      </c>
      <c r="C20892" t="inlineStr">
        <is>
          <t>1957-02-12</t>
        </is>
      </c>
    </row>
    <row r="20893">
      <c r="A20893" s="1" t="n">
        <v>20892</v>
      </c>
      <c r="B20893">
        <f>TEXT(20892, "[$-0E0000]yyyy-mm-dd")</f>
        <v/>
      </c>
      <c r="C20893" t="inlineStr">
        <is>
          <t>1957-02-13</t>
        </is>
      </c>
    </row>
    <row r="20894">
      <c r="A20894" s="1" t="n">
        <v>20893</v>
      </c>
      <c r="B20894">
        <f>TEXT(20893, "[$-0E0000]yyyy-mm-dd")</f>
        <v/>
      </c>
      <c r="C20894" t="inlineStr">
        <is>
          <t>1957-02-14</t>
        </is>
      </c>
    </row>
    <row r="20895">
      <c r="A20895" s="1" t="n">
        <v>20894</v>
      </c>
      <c r="B20895">
        <f>TEXT(20894, "[$-0E0000]yyyy-mm-dd")</f>
        <v/>
      </c>
      <c r="C20895" t="inlineStr">
        <is>
          <t>1957-02-15</t>
        </is>
      </c>
    </row>
    <row r="20896">
      <c r="A20896" s="1" t="n">
        <v>20895</v>
      </c>
      <c r="B20896">
        <f>TEXT(20895, "[$-0E0000]yyyy-mm-dd")</f>
        <v/>
      </c>
      <c r="C20896" t="inlineStr">
        <is>
          <t>1957-02-16</t>
        </is>
      </c>
    </row>
    <row r="20897">
      <c r="A20897" s="1" t="n">
        <v>20896</v>
      </c>
      <c r="B20897">
        <f>TEXT(20896, "[$-0E0000]yyyy-mm-dd")</f>
        <v/>
      </c>
      <c r="C20897" t="inlineStr">
        <is>
          <t>1957-02-17</t>
        </is>
      </c>
    </row>
    <row r="20898">
      <c r="A20898" s="1" t="n">
        <v>20897</v>
      </c>
      <c r="B20898">
        <f>TEXT(20897, "[$-0E0000]yyyy-mm-dd")</f>
        <v/>
      </c>
      <c r="C20898" t="inlineStr">
        <is>
          <t>1957-02-18</t>
        </is>
      </c>
    </row>
    <row r="20899">
      <c r="A20899" s="1" t="n">
        <v>20898</v>
      </c>
      <c r="B20899">
        <f>TEXT(20898, "[$-0E0000]yyyy-mm-dd")</f>
        <v/>
      </c>
      <c r="C20899" t="inlineStr">
        <is>
          <t>1957-02-19</t>
        </is>
      </c>
    </row>
    <row r="20900">
      <c r="A20900" s="1" t="n">
        <v>20899</v>
      </c>
      <c r="B20900">
        <f>TEXT(20899, "[$-0E0000]yyyy-mm-dd")</f>
        <v/>
      </c>
      <c r="C20900" t="inlineStr">
        <is>
          <t>1957-02-20</t>
        </is>
      </c>
    </row>
    <row r="20901">
      <c r="A20901" s="1" t="n">
        <v>20900</v>
      </c>
      <c r="B20901">
        <f>TEXT(20900, "[$-0E0000]yyyy-mm-dd")</f>
        <v/>
      </c>
      <c r="C20901" t="inlineStr">
        <is>
          <t>1957-02-21</t>
        </is>
      </c>
    </row>
    <row r="20902">
      <c r="A20902" s="1" t="n">
        <v>20901</v>
      </c>
      <c r="B20902">
        <f>TEXT(20901, "[$-0E0000]yyyy-mm-dd")</f>
        <v/>
      </c>
      <c r="C20902" t="inlineStr">
        <is>
          <t>1957-02-22</t>
        </is>
      </c>
    </row>
    <row r="20903">
      <c r="A20903" s="1" t="n">
        <v>20902</v>
      </c>
      <c r="B20903">
        <f>TEXT(20902, "[$-0E0000]yyyy-mm-dd")</f>
        <v/>
      </c>
      <c r="C20903" t="inlineStr">
        <is>
          <t>1957-02-23</t>
        </is>
      </c>
    </row>
    <row r="20904">
      <c r="A20904" s="1" t="n">
        <v>20903</v>
      </c>
      <c r="B20904">
        <f>TEXT(20903, "[$-0E0000]yyyy-mm-dd")</f>
        <v/>
      </c>
      <c r="C20904" t="inlineStr">
        <is>
          <t>1957-02-24</t>
        </is>
      </c>
    </row>
    <row r="20905">
      <c r="A20905" s="1" t="n">
        <v>20904</v>
      </c>
      <c r="B20905">
        <f>TEXT(20904, "[$-0E0000]yyyy-mm-dd")</f>
        <v/>
      </c>
      <c r="C20905" t="inlineStr">
        <is>
          <t>1957-02-25</t>
        </is>
      </c>
    </row>
    <row r="20906">
      <c r="A20906" s="1" t="n">
        <v>20905</v>
      </c>
      <c r="B20906">
        <f>TEXT(20905, "[$-0E0000]yyyy-mm-dd")</f>
        <v/>
      </c>
      <c r="C20906" t="inlineStr">
        <is>
          <t>1957-02-26</t>
        </is>
      </c>
    </row>
    <row r="20907">
      <c r="A20907" s="1" t="n">
        <v>20906</v>
      </c>
      <c r="B20907">
        <f>TEXT(20906, "[$-0E0000]yyyy-mm-dd")</f>
        <v/>
      </c>
      <c r="C20907" t="inlineStr">
        <is>
          <t>1957-02-27</t>
        </is>
      </c>
    </row>
    <row r="20908">
      <c r="A20908" s="1" t="n">
        <v>20907</v>
      </c>
      <c r="B20908">
        <f>TEXT(20907, "[$-0E0000]yyyy-mm-dd")</f>
        <v/>
      </c>
      <c r="C20908" t="inlineStr">
        <is>
          <t>1957-02-28</t>
        </is>
      </c>
    </row>
    <row r="20909">
      <c r="A20909" s="1" t="n">
        <v>20908</v>
      </c>
      <c r="B20909">
        <f>TEXT(20908, "[$-0E0000]yyyy-mm-dd")</f>
        <v/>
      </c>
      <c r="C20909" t="inlineStr">
        <is>
          <t>1957-02-29</t>
        </is>
      </c>
    </row>
    <row r="20910">
      <c r="A20910" s="1" t="n">
        <v>20909</v>
      </c>
      <c r="B20910">
        <f>TEXT(20909, "[$-0E0000]yyyy-mm-dd")</f>
        <v/>
      </c>
      <c r="C20910" t="inlineStr">
        <is>
          <t>1957-03-01</t>
        </is>
      </c>
    </row>
    <row r="20911">
      <c r="A20911" s="1" t="n">
        <v>20910</v>
      </c>
      <c r="B20911">
        <f>TEXT(20910, "[$-0E0000]yyyy-mm-dd")</f>
        <v/>
      </c>
      <c r="C20911" t="inlineStr">
        <is>
          <t>1957-03-02</t>
        </is>
      </c>
    </row>
    <row r="20912">
      <c r="A20912" s="1" t="n">
        <v>20911</v>
      </c>
      <c r="B20912">
        <f>TEXT(20911, "[$-0E0000]yyyy-mm-dd")</f>
        <v/>
      </c>
      <c r="C20912" t="inlineStr">
        <is>
          <t>1957-03-03</t>
        </is>
      </c>
    </row>
    <row r="20913">
      <c r="A20913" s="1" t="n">
        <v>20912</v>
      </c>
      <c r="B20913">
        <f>TEXT(20912, "[$-0E0000]yyyy-mm-dd")</f>
        <v/>
      </c>
      <c r="C20913" t="inlineStr">
        <is>
          <t>1957-03-04</t>
        </is>
      </c>
    </row>
    <row r="20914">
      <c r="A20914" s="1" t="n">
        <v>20913</v>
      </c>
      <c r="B20914">
        <f>TEXT(20913, "[$-0E0000]yyyy-mm-dd")</f>
        <v/>
      </c>
      <c r="C20914" t="inlineStr">
        <is>
          <t>1957-03-05</t>
        </is>
      </c>
    </row>
    <row r="20915">
      <c r="A20915" s="1" t="n">
        <v>20914</v>
      </c>
      <c r="B20915">
        <f>TEXT(20914, "[$-0E0000]yyyy-mm-dd")</f>
        <v/>
      </c>
      <c r="C20915" t="inlineStr">
        <is>
          <t>1957-03-06</t>
        </is>
      </c>
    </row>
    <row r="20916">
      <c r="A20916" s="1" t="n">
        <v>20915</v>
      </c>
      <c r="B20916">
        <f>TEXT(20915, "[$-0E0000]yyyy-mm-dd")</f>
        <v/>
      </c>
      <c r="C20916" t="inlineStr">
        <is>
          <t>1957-03-07</t>
        </is>
      </c>
    </row>
    <row r="20917">
      <c r="A20917" s="1" t="n">
        <v>20916</v>
      </c>
      <c r="B20917">
        <f>TEXT(20916, "[$-0E0000]yyyy-mm-dd")</f>
        <v/>
      </c>
      <c r="C20917" t="inlineStr">
        <is>
          <t>1957-03-08</t>
        </is>
      </c>
    </row>
    <row r="20918">
      <c r="A20918" s="1" t="n">
        <v>20917</v>
      </c>
      <c r="B20918">
        <f>TEXT(20917, "[$-0E0000]yyyy-mm-dd")</f>
        <v/>
      </c>
      <c r="C20918" t="inlineStr">
        <is>
          <t>1957-03-09</t>
        </is>
      </c>
    </row>
    <row r="20919">
      <c r="A20919" s="1" t="n">
        <v>20918</v>
      </c>
      <c r="B20919">
        <f>TEXT(20918, "[$-0E0000]yyyy-mm-dd")</f>
        <v/>
      </c>
      <c r="C20919" t="inlineStr">
        <is>
          <t>1957-03-10</t>
        </is>
      </c>
    </row>
    <row r="20920">
      <c r="A20920" s="1" t="n">
        <v>20919</v>
      </c>
      <c r="B20920">
        <f>TEXT(20919, "[$-0E0000]yyyy-mm-dd")</f>
        <v/>
      </c>
      <c r="C20920" t="inlineStr">
        <is>
          <t>1957-03-11</t>
        </is>
      </c>
    </row>
    <row r="20921">
      <c r="A20921" s="1" t="n">
        <v>20920</v>
      </c>
      <c r="B20921">
        <f>TEXT(20920, "[$-0E0000]yyyy-mm-dd")</f>
        <v/>
      </c>
      <c r="C20921" t="inlineStr">
        <is>
          <t>1957-03-12</t>
        </is>
      </c>
    </row>
    <row r="20922">
      <c r="A20922" s="1" t="n">
        <v>20921</v>
      </c>
      <c r="B20922">
        <f>TEXT(20921, "[$-0E0000]yyyy-mm-dd")</f>
        <v/>
      </c>
      <c r="C20922" t="inlineStr">
        <is>
          <t>1957-03-13</t>
        </is>
      </c>
    </row>
    <row r="20923">
      <c r="A20923" s="1" t="n">
        <v>20922</v>
      </c>
      <c r="B20923">
        <f>TEXT(20922, "[$-0E0000]yyyy-mm-dd")</f>
        <v/>
      </c>
      <c r="C20923" t="inlineStr">
        <is>
          <t>1957-03-14</t>
        </is>
      </c>
    </row>
    <row r="20924">
      <c r="A20924" s="1" t="n">
        <v>20923</v>
      </c>
      <c r="B20924">
        <f>TEXT(20923, "[$-0E0000]yyyy-mm-dd")</f>
        <v/>
      </c>
      <c r="C20924" t="inlineStr">
        <is>
          <t>1957-03-15</t>
        </is>
      </c>
    </row>
    <row r="20925">
      <c r="A20925" s="1" t="n">
        <v>20924</v>
      </c>
      <c r="B20925">
        <f>TEXT(20924, "[$-0E0000]yyyy-mm-dd")</f>
        <v/>
      </c>
      <c r="C20925" t="inlineStr">
        <is>
          <t>1957-03-16</t>
        </is>
      </c>
    </row>
    <row r="20926">
      <c r="A20926" s="1" t="n">
        <v>20925</v>
      </c>
      <c r="B20926">
        <f>TEXT(20925, "[$-0E0000]yyyy-mm-dd")</f>
        <v/>
      </c>
      <c r="C20926" t="inlineStr">
        <is>
          <t>1957-03-17</t>
        </is>
      </c>
    </row>
    <row r="20927">
      <c r="A20927" s="1" t="n">
        <v>20926</v>
      </c>
      <c r="B20927">
        <f>TEXT(20926, "[$-0E0000]yyyy-mm-dd")</f>
        <v/>
      </c>
      <c r="C20927" t="inlineStr">
        <is>
          <t>1957-03-18</t>
        </is>
      </c>
    </row>
    <row r="20928">
      <c r="A20928" s="1" t="n">
        <v>20927</v>
      </c>
      <c r="B20928">
        <f>TEXT(20927, "[$-0E0000]yyyy-mm-dd")</f>
        <v/>
      </c>
      <c r="C20928" t="inlineStr">
        <is>
          <t>1957-03-19</t>
        </is>
      </c>
    </row>
    <row r="20929">
      <c r="A20929" s="1" t="n">
        <v>20928</v>
      </c>
      <c r="B20929">
        <f>TEXT(20928, "[$-0E0000]yyyy-mm-dd")</f>
        <v/>
      </c>
      <c r="C20929" t="inlineStr">
        <is>
          <t>1957-03-20</t>
        </is>
      </c>
    </row>
    <row r="20930">
      <c r="A20930" s="1" t="n">
        <v>20929</v>
      </c>
      <c r="B20930">
        <f>TEXT(20929, "[$-0E0000]yyyy-mm-dd")</f>
        <v/>
      </c>
      <c r="C20930" t="inlineStr">
        <is>
          <t>1957-03-21</t>
        </is>
      </c>
    </row>
    <row r="20931">
      <c r="A20931" s="1" t="n">
        <v>20930</v>
      </c>
      <c r="B20931">
        <f>TEXT(20930, "[$-0E0000]yyyy-mm-dd")</f>
        <v/>
      </c>
      <c r="C20931" t="inlineStr">
        <is>
          <t>1957-03-22</t>
        </is>
      </c>
    </row>
    <row r="20932">
      <c r="A20932" s="1" t="n">
        <v>20931</v>
      </c>
      <c r="B20932">
        <f>TEXT(20931, "[$-0E0000]yyyy-mm-dd")</f>
        <v/>
      </c>
      <c r="C20932" t="inlineStr">
        <is>
          <t>1957-03-23</t>
        </is>
      </c>
    </row>
    <row r="20933">
      <c r="A20933" s="1" t="n">
        <v>20932</v>
      </c>
      <c r="B20933">
        <f>TEXT(20932, "[$-0E0000]yyyy-mm-dd")</f>
        <v/>
      </c>
      <c r="C20933" t="inlineStr">
        <is>
          <t>1957-03-24</t>
        </is>
      </c>
    </row>
    <row r="20934">
      <c r="A20934" s="1" t="n">
        <v>20933</v>
      </c>
      <c r="B20934">
        <f>TEXT(20933, "[$-0E0000]yyyy-mm-dd")</f>
        <v/>
      </c>
      <c r="C20934" t="inlineStr">
        <is>
          <t>1957-03-25</t>
        </is>
      </c>
    </row>
    <row r="20935">
      <c r="A20935" s="1" t="n">
        <v>20934</v>
      </c>
      <c r="B20935">
        <f>TEXT(20934, "[$-0E0000]yyyy-mm-dd")</f>
        <v/>
      </c>
      <c r="C20935" t="inlineStr">
        <is>
          <t>1957-03-26</t>
        </is>
      </c>
    </row>
    <row r="20936">
      <c r="A20936" s="1" t="n">
        <v>20935</v>
      </c>
      <c r="B20936">
        <f>TEXT(20935, "[$-0E0000]yyyy-mm-dd")</f>
        <v/>
      </c>
      <c r="C20936" t="inlineStr">
        <is>
          <t>1957-03-27</t>
        </is>
      </c>
    </row>
    <row r="20937">
      <c r="A20937" s="1" t="n">
        <v>20936</v>
      </c>
      <c r="B20937">
        <f>TEXT(20936, "[$-0E0000]yyyy-mm-dd")</f>
        <v/>
      </c>
      <c r="C20937" t="inlineStr">
        <is>
          <t>1957-03-28</t>
        </is>
      </c>
    </row>
    <row r="20938">
      <c r="A20938" s="1" t="n">
        <v>20937</v>
      </c>
      <c r="B20938">
        <f>TEXT(20937, "[$-0E0000]yyyy-mm-dd")</f>
        <v/>
      </c>
      <c r="C20938" t="inlineStr">
        <is>
          <t>1957-03-29</t>
        </is>
      </c>
    </row>
    <row r="20939">
      <c r="A20939" s="1" t="n">
        <v>20938</v>
      </c>
      <c r="B20939">
        <f>TEXT(20938, "[$-0E0000]yyyy-mm-dd")</f>
        <v/>
      </c>
      <c r="C20939" t="inlineStr">
        <is>
          <t>1957-03-30</t>
        </is>
      </c>
    </row>
    <row r="20940">
      <c r="A20940" s="1" t="n">
        <v>20939</v>
      </c>
      <c r="B20940">
        <f>TEXT(20939, "[$-0E0000]yyyy-mm-dd")</f>
        <v/>
      </c>
      <c r="C20940" t="inlineStr">
        <is>
          <t>1957-04-01</t>
        </is>
      </c>
    </row>
    <row r="20941">
      <c r="A20941" s="1" t="n">
        <v>20940</v>
      </c>
      <c r="B20941">
        <f>TEXT(20940, "[$-0E0000]yyyy-mm-dd")</f>
        <v/>
      </c>
      <c r="C20941" t="inlineStr">
        <is>
          <t>1957-04-02</t>
        </is>
      </c>
    </row>
    <row r="20942">
      <c r="A20942" s="1" t="n">
        <v>20941</v>
      </c>
      <c r="B20942">
        <f>TEXT(20941, "[$-0E0000]yyyy-mm-dd")</f>
        <v/>
      </c>
      <c r="C20942" t="inlineStr">
        <is>
          <t>1957-04-03</t>
        </is>
      </c>
    </row>
    <row r="20943">
      <c r="A20943" s="1" t="n">
        <v>20942</v>
      </c>
      <c r="B20943">
        <f>TEXT(20942, "[$-0E0000]yyyy-mm-dd")</f>
        <v/>
      </c>
      <c r="C20943" t="inlineStr">
        <is>
          <t>1957-04-04</t>
        </is>
      </c>
    </row>
    <row r="20944">
      <c r="A20944" s="1" t="n">
        <v>20943</v>
      </c>
      <c r="B20944">
        <f>TEXT(20943, "[$-0E0000]yyyy-mm-dd")</f>
        <v/>
      </c>
      <c r="C20944" t="inlineStr">
        <is>
          <t>1957-04-05</t>
        </is>
      </c>
    </row>
    <row r="20945">
      <c r="A20945" s="1" t="n">
        <v>20944</v>
      </c>
      <c r="B20945">
        <f>TEXT(20944, "[$-0E0000]yyyy-mm-dd")</f>
        <v/>
      </c>
      <c r="C20945" t="inlineStr">
        <is>
          <t>1957-04-06</t>
        </is>
      </c>
    </row>
    <row r="20946">
      <c r="A20946" s="1" t="n">
        <v>20945</v>
      </c>
      <c r="B20946">
        <f>TEXT(20945, "[$-0E0000]yyyy-mm-dd")</f>
        <v/>
      </c>
      <c r="C20946" t="inlineStr">
        <is>
          <t>1957-04-07</t>
        </is>
      </c>
    </row>
    <row r="20947">
      <c r="A20947" s="1" t="n">
        <v>20946</v>
      </c>
      <c r="B20947">
        <f>TEXT(20946, "[$-0E0000]yyyy-mm-dd")</f>
        <v/>
      </c>
      <c r="C20947" t="inlineStr">
        <is>
          <t>1957-04-08</t>
        </is>
      </c>
    </row>
    <row r="20948">
      <c r="A20948" s="1" t="n">
        <v>20947</v>
      </c>
      <c r="B20948">
        <f>TEXT(20947, "[$-0E0000]yyyy-mm-dd")</f>
        <v/>
      </c>
      <c r="C20948" t="inlineStr">
        <is>
          <t>1957-04-09</t>
        </is>
      </c>
    </row>
    <row r="20949">
      <c r="A20949" s="1" t="n">
        <v>20948</v>
      </c>
      <c r="B20949">
        <f>TEXT(20948, "[$-0E0000]yyyy-mm-dd")</f>
        <v/>
      </c>
      <c r="C20949" t="inlineStr">
        <is>
          <t>1957-04-10</t>
        </is>
      </c>
    </row>
    <row r="20950">
      <c r="A20950" s="1" t="n">
        <v>20949</v>
      </c>
      <c r="B20950">
        <f>TEXT(20949, "[$-0E0000]yyyy-mm-dd")</f>
        <v/>
      </c>
      <c r="C20950" t="inlineStr">
        <is>
          <t>1957-04-11</t>
        </is>
      </c>
    </row>
    <row r="20951">
      <c r="A20951" s="1" t="n">
        <v>20950</v>
      </c>
      <c r="B20951">
        <f>TEXT(20950, "[$-0E0000]yyyy-mm-dd")</f>
        <v/>
      </c>
      <c r="C20951" t="inlineStr">
        <is>
          <t>1957-04-12</t>
        </is>
      </c>
    </row>
    <row r="20952">
      <c r="A20952" s="1" t="n">
        <v>20951</v>
      </c>
      <c r="B20952">
        <f>TEXT(20951, "[$-0E0000]yyyy-mm-dd")</f>
        <v/>
      </c>
      <c r="C20952" t="inlineStr">
        <is>
          <t>1957-04-13</t>
        </is>
      </c>
    </row>
    <row r="20953">
      <c r="A20953" s="1" t="n">
        <v>20952</v>
      </c>
      <c r="B20953">
        <f>TEXT(20952, "[$-0E0000]yyyy-mm-dd")</f>
        <v/>
      </c>
      <c r="C20953" t="inlineStr">
        <is>
          <t>1957-04-14</t>
        </is>
      </c>
    </row>
    <row r="20954">
      <c r="A20954" s="1" t="n">
        <v>20953</v>
      </c>
      <c r="B20954">
        <f>TEXT(20953, "[$-0E0000]yyyy-mm-dd")</f>
        <v/>
      </c>
      <c r="C20954" t="inlineStr">
        <is>
          <t>1957-04-15</t>
        </is>
      </c>
    </row>
    <row r="20955">
      <c r="A20955" s="1" t="n">
        <v>20954</v>
      </c>
      <c r="B20955">
        <f>TEXT(20954, "[$-0E0000]yyyy-mm-dd")</f>
        <v/>
      </c>
      <c r="C20955" t="inlineStr">
        <is>
          <t>1957-04-16</t>
        </is>
      </c>
    </row>
    <row r="20956">
      <c r="A20956" s="1" t="n">
        <v>20955</v>
      </c>
      <c r="B20956">
        <f>TEXT(20955, "[$-0E0000]yyyy-mm-dd")</f>
        <v/>
      </c>
      <c r="C20956" t="inlineStr">
        <is>
          <t>1957-04-17</t>
        </is>
      </c>
    </row>
    <row r="20957">
      <c r="A20957" s="1" t="n">
        <v>20956</v>
      </c>
      <c r="B20957">
        <f>TEXT(20956, "[$-0E0000]yyyy-mm-dd")</f>
        <v/>
      </c>
      <c r="C20957" t="inlineStr">
        <is>
          <t>1957-04-18</t>
        </is>
      </c>
    </row>
    <row r="20958">
      <c r="A20958" s="1" t="n">
        <v>20957</v>
      </c>
      <c r="B20958">
        <f>TEXT(20957, "[$-0E0000]yyyy-mm-dd")</f>
        <v/>
      </c>
      <c r="C20958" t="inlineStr">
        <is>
          <t>1957-04-19</t>
        </is>
      </c>
    </row>
    <row r="20959">
      <c r="A20959" s="1" t="n">
        <v>20958</v>
      </c>
      <c r="B20959">
        <f>TEXT(20958, "[$-0E0000]yyyy-mm-dd")</f>
        <v/>
      </c>
      <c r="C20959" t="inlineStr">
        <is>
          <t>1957-04-20</t>
        </is>
      </c>
    </row>
    <row r="20960">
      <c r="A20960" s="1" t="n">
        <v>20959</v>
      </c>
      <c r="B20960">
        <f>TEXT(20959, "[$-0E0000]yyyy-mm-dd")</f>
        <v/>
      </c>
      <c r="C20960" t="inlineStr">
        <is>
          <t>1957-04-21</t>
        </is>
      </c>
    </row>
    <row r="20961">
      <c r="A20961" s="1" t="n">
        <v>20960</v>
      </c>
      <c r="B20961">
        <f>TEXT(20960, "[$-0E0000]yyyy-mm-dd")</f>
        <v/>
      </c>
      <c r="C20961" t="inlineStr">
        <is>
          <t>1957-04-22</t>
        </is>
      </c>
    </row>
    <row r="20962">
      <c r="A20962" s="1" t="n">
        <v>20961</v>
      </c>
      <c r="B20962">
        <f>TEXT(20961, "[$-0E0000]yyyy-mm-dd")</f>
        <v/>
      </c>
      <c r="C20962" t="inlineStr">
        <is>
          <t>1957-04-23</t>
        </is>
      </c>
    </row>
    <row r="20963">
      <c r="A20963" s="1" t="n">
        <v>20962</v>
      </c>
      <c r="B20963">
        <f>TEXT(20962, "[$-0E0000]yyyy-mm-dd")</f>
        <v/>
      </c>
      <c r="C20963" t="inlineStr">
        <is>
          <t>1957-04-24</t>
        </is>
      </c>
    </row>
    <row r="20964">
      <c r="A20964" s="1" t="n">
        <v>20963</v>
      </c>
      <c r="B20964">
        <f>TEXT(20963, "[$-0E0000]yyyy-mm-dd")</f>
        <v/>
      </c>
      <c r="C20964" t="inlineStr">
        <is>
          <t>1957-04-25</t>
        </is>
      </c>
    </row>
    <row r="20965">
      <c r="A20965" s="1" t="n">
        <v>20964</v>
      </c>
      <c r="B20965">
        <f>TEXT(20964, "[$-0E0000]yyyy-mm-dd")</f>
        <v/>
      </c>
      <c r="C20965" t="inlineStr">
        <is>
          <t>1957-04-26</t>
        </is>
      </c>
    </row>
    <row r="20966">
      <c r="A20966" s="1" t="n">
        <v>20965</v>
      </c>
      <c r="B20966">
        <f>TEXT(20965, "[$-0E0000]yyyy-mm-dd")</f>
        <v/>
      </c>
      <c r="C20966" t="inlineStr">
        <is>
          <t>1957-04-27</t>
        </is>
      </c>
    </row>
    <row r="20967">
      <c r="A20967" s="1" t="n">
        <v>20966</v>
      </c>
      <c r="B20967">
        <f>TEXT(20966, "[$-0E0000]yyyy-mm-dd")</f>
        <v/>
      </c>
      <c r="C20967" t="inlineStr">
        <is>
          <t>1957-04-28</t>
        </is>
      </c>
    </row>
    <row r="20968">
      <c r="A20968" s="1" t="n">
        <v>20967</v>
      </c>
      <c r="B20968">
        <f>TEXT(20967, "[$-0E0000]yyyy-mm-dd")</f>
        <v/>
      </c>
      <c r="C20968" t="inlineStr">
        <is>
          <t>1957-04-29</t>
        </is>
      </c>
    </row>
    <row r="20969">
      <c r="A20969" s="1" t="n">
        <v>20968</v>
      </c>
      <c r="B20969">
        <f>TEXT(20968, "[$-0E0000]yyyy-mm-dd")</f>
        <v/>
      </c>
      <c r="C20969" t="inlineStr">
        <is>
          <t>1957-05-01</t>
        </is>
      </c>
    </row>
    <row r="20970">
      <c r="A20970" s="1" t="n">
        <v>20969</v>
      </c>
      <c r="B20970">
        <f>TEXT(20969, "[$-0E0000]yyyy-mm-dd")</f>
        <v/>
      </c>
      <c r="C20970" t="inlineStr">
        <is>
          <t>1957-05-02</t>
        </is>
      </c>
    </row>
    <row r="20971">
      <c r="A20971" s="1" t="n">
        <v>20970</v>
      </c>
      <c r="B20971">
        <f>TEXT(20970, "[$-0E0000]yyyy-mm-dd")</f>
        <v/>
      </c>
      <c r="C20971" t="inlineStr">
        <is>
          <t>1957-05-03</t>
        </is>
      </c>
    </row>
    <row r="20972">
      <c r="A20972" s="1" t="n">
        <v>20971</v>
      </c>
      <c r="B20972">
        <f>TEXT(20971, "[$-0E0000]yyyy-mm-dd")</f>
        <v/>
      </c>
      <c r="C20972" t="inlineStr">
        <is>
          <t>1957-05-04</t>
        </is>
      </c>
    </row>
    <row r="20973">
      <c r="A20973" s="1" t="n">
        <v>20972</v>
      </c>
      <c r="B20973">
        <f>TEXT(20972, "[$-0E0000]yyyy-mm-dd")</f>
        <v/>
      </c>
      <c r="C20973" t="inlineStr">
        <is>
          <t>1957-05-05</t>
        </is>
      </c>
    </row>
    <row r="20974">
      <c r="A20974" s="1" t="n">
        <v>20973</v>
      </c>
      <c r="B20974">
        <f>TEXT(20973, "[$-0E0000]yyyy-mm-dd")</f>
        <v/>
      </c>
      <c r="C20974" t="inlineStr">
        <is>
          <t>1957-05-06</t>
        </is>
      </c>
    </row>
    <row r="20975">
      <c r="A20975" s="1" t="n">
        <v>20974</v>
      </c>
      <c r="B20975">
        <f>TEXT(20974, "[$-0E0000]yyyy-mm-dd")</f>
        <v/>
      </c>
      <c r="C20975" t="inlineStr">
        <is>
          <t>1957-05-07</t>
        </is>
      </c>
    </row>
    <row r="20976">
      <c r="A20976" s="1" t="n">
        <v>20975</v>
      </c>
      <c r="B20976">
        <f>TEXT(20975, "[$-0E0000]yyyy-mm-dd")</f>
        <v/>
      </c>
      <c r="C20976" t="inlineStr">
        <is>
          <t>1957-05-08</t>
        </is>
      </c>
    </row>
    <row r="20977">
      <c r="A20977" s="1" t="n">
        <v>20976</v>
      </c>
      <c r="B20977">
        <f>TEXT(20976, "[$-0E0000]yyyy-mm-dd")</f>
        <v/>
      </c>
      <c r="C20977" t="inlineStr">
        <is>
          <t>1957-05-09</t>
        </is>
      </c>
    </row>
    <row r="20978">
      <c r="A20978" s="1" t="n">
        <v>20977</v>
      </c>
      <c r="B20978">
        <f>TEXT(20977, "[$-0E0000]yyyy-mm-dd")</f>
        <v/>
      </c>
      <c r="C20978" t="inlineStr">
        <is>
          <t>1957-05-10</t>
        </is>
      </c>
    </row>
    <row r="20979">
      <c r="A20979" s="1" t="n">
        <v>20978</v>
      </c>
      <c r="B20979">
        <f>TEXT(20978, "[$-0E0000]yyyy-mm-dd")</f>
        <v/>
      </c>
      <c r="C20979" t="inlineStr">
        <is>
          <t>1957-05-11</t>
        </is>
      </c>
    </row>
    <row r="20980">
      <c r="A20980" s="1" t="n">
        <v>20979</v>
      </c>
      <c r="B20980">
        <f>TEXT(20979, "[$-0E0000]yyyy-mm-dd")</f>
        <v/>
      </c>
      <c r="C20980" t="inlineStr">
        <is>
          <t>1957-05-12</t>
        </is>
      </c>
    </row>
    <row r="20981">
      <c r="A20981" s="1" t="n">
        <v>20980</v>
      </c>
      <c r="B20981">
        <f>TEXT(20980, "[$-0E0000]yyyy-mm-dd")</f>
        <v/>
      </c>
      <c r="C20981" t="inlineStr">
        <is>
          <t>1957-05-13</t>
        </is>
      </c>
    </row>
    <row r="20982">
      <c r="A20982" s="1" t="n">
        <v>20981</v>
      </c>
      <c r="B20982">
        <f>TEXT(20981, "[$-0E0000]yyyy-mm-dd")</f>
        <v/>
      </c>
      <c r="C20982" t="inlineStr">
        <is>
          <t>1957-05-14</t>
        </is>
      </c>
    </row>
    <row r="20983">
      <c r="A20983" s="1" t="n">
        <v>20982</v>
      </c>
      <c r="B20983">
        <f>TEXT(20982, "[$-0E0000]yyyy-mm-dd")</f>
        <v/>
      </c>
      <c r="C20983" t="inlineStr">
        <is>
          <t>1957-05-15</t>
        </is>
      </c>
    </row>
    <row r="20984">
      <c r="A20984" s="1" t="n">
        <v>20983</v>
      </c>
      <c r="B20984">
        <f>TEXT(20983, "[$-0E0000]yyyy-mm-dd")</f>
        <v/>
      </c>
      <c r="C20984" t="inlineStr">
        <is>
          <t>1957-05-16</t>
        </is>
      </c>
    </row>
    <row r="20985">
      <c r="A20985" s="1" t="n">
        <v>20984</v>
      </c>
      <c r="B20985">
        <f>TEXT(20984, "[$-0E0000]yyyy-mm-dd")</f>
        <v/>
      </c>
      <c r="C20985" t="inlineStr">
        <is>
          <t>1957-05-17</t>
        </is>
      </c>
    </row>
    <row r="20986">
      <c r="A20986" s="1" t="n">
        <v>20985</v>
      </c>
      <c r="B20986">
        <f>TEXT(20985, "[$-0E0000]yyyy-mm-dd")</f>
        <v/>
      </c>
      <c r="C20986" t="inlineStr">
        <is>
          <t>1957-05-18</t>
        </is>
      </c>
    </row>
    <row r="20987">
      <c r="A20987" s="1" t="n">
        <v>20986</v>
      </c>
      <c r="B20987">
        <f>TEXT(20986, "[$-0E0000]yyyy-mm-dd")</f>
        <v/>
      </c>
      <c r="C20987" t="inlineStr">
        <is>
          <t>1957-05-19</t>
        </is>
      </c>
    </row>
    <row r="20988">
      <c r="A20988" s="1" t="n">
        <v>20987</v>
      </c>
      <c r="B20988">
        <f>TEXT(20987, "[$-0E0000]yyyy-mm-dd")</f>
        <v/>
      </c>
      <c r="C20988" t="inlineStr">
        <is>
          <t>1957-05-20</t>
        </is>
      </c>
    </row>
    <row r="20989">
      <c r="A20989" s="1" t="n">
        <v>20988</v>
      </c>
      <c r="B20989">
        <f>TEXT(20988, "[$-0E0000]yyyy-mm-dd")</f>
        <v/>
      </c>
      <c r="C20989" t="inlineStr">
        <is>
          <t>1957-05-21</t>
        </is>
      </c>
    </row>
    <row r="20990">
      <c r="A20990" s="1" t="n">
        <v>20989</v>
      </c>
      <c r="B20990">
        <f>TEXT(20989, "[$-0E0000]yyyy-mm-dd")</f>
        <v/>
      </c>
      <c r="C20990" t="inlineStr">
        <is>
          <t>1957-05-22</t>
        </is>
      </c>
    </row>
    <row r="20991">
      <c r="A20991" s="1" t="n">
        <v>20990</v>
      </c>
      <c r="B20991">
        <f>TEXT(20990, "[$-0E0000]yyyy-mm-dd")</f>
        <v/>
      </c>
      <c r="C20991" t="inlineStr">
        <is>
          <t>1957-05-23</t>
        </is>
      </c>
    </row>
    <row r="20992">
      <c r="A20992" s="1" t="n">
        <v>20991</v>
      </c>
      <c r="B20992">
        <f>TEXT(20991, "[$-0E0000]yyyy-mm-dd")</f>
        <v/>
      </c>
      <c r="C20992" t="inlineStr">
        <is>
          <t>1957-05-24</t>
        </is>
      </c>
    </row>
    <row r="20993">
      <c r="A20993" s="1" t="n">
        <v>20992</v>
      </c>
      <c r="B20993">
        <f>TEXT(20992, "[$-0E0000]yyyy-mm-dd")</f>
        <v/>
      </c>
      <c r="C20993" t="inlineStr">
        <is>
          <t>1957-05-25</t>
        </is>
      </c>
    </row>
    <row r="20994">
      <c r="A20994" s="1" t="n">
        <v>20993</v>
      </c>
      <c r="B20994">
        <f>TEXT(20993, "[$-0E0000]yyyy-mm-dd")</f>
        <v/>
      </c>
      <c r="C20994" t="inlineStr">
        <is>
          <t>1957-05-26</t>
        </is>
      </c>
    </row>
    <row r="20995">
      <c r="A20995" s="1" t="n">
        <v>20994</v>
      </c>
      <c r="B20995">
        <f>TEXT(20994, "[$-0E0000]yyyy-mm-dd")</f>
        <v/>
      </c>
      <c r="C20995" t="inlineStr">
        <is>
          <t>1957-05-27</t>
        </is>
      </c>
    </row>
    <row r="20996">
      <c r="A20996" s="1" t="n">
        <v>20995</v>
      </c>
      <c r="B20996">
        <f>TEXT(20995, "[$-0E0000]yyyy-mm-dd")</f>
        <v/>
      </c>
      <c r="C20996" t="inlineStr">
        <is>
          <t>1957-05-28</t>
        </is>
      </c>
    </row>
    <row r="20997">
      <c r="A20997" s="1" t="n">
        <v>20996</v>
      </c>
      <c r="B20997">
        <f>TEXT(20996, "[$-0E0000]yyyy-mm-dd")</f>
        <v/>
      </c>
      <c r="C20997" t="inlineStr">
        <is>
          <t>1957-05-29</t>
        </is>
      </c>
    </row>
    <row r="20998">
      <c r="A20998" s="1" t="n">
        <v>20997</v>
      </c>
      <c r="B20998">
        <f>TEXT(20997, "[$-0E0000]yyyy-mm-dd")</f>
        <v/>
      </c>
      <c r="C20998" t="inlineStr">
        <is>
          <t>1957-05-30</t>
        </is>
      </c>
    </row>
    <row r="20999">
      <c r="A20999" s="1" t="n">
        <v>20998</v>
      </c>
      <c r="B20999">
        <f>TEXT(20998, "[$-0E0000]yyyy-mm-dd")</f>
        <v/>
      </c>
      <c r="C20999" t="inlineStr">
        <is>
          <t>1957-06-01</t>
        </is>
      </c>
    </row>
    <row r="21000">
      <c r="A21000" s="1" t="n">
        <v>20999</v>
      </c>
      <c r="B21000">
        <f>TEXT(20999, "[$-0E0000]yyyy-mm-dd")</f>
        <v/>
      </c>
      <c r="C21000" t="inlineStr">
        <is>
          <t>1957-06-02</t>
        </is>
      </c>
    </row>
    <row r="21001">
      <c r="A21001" s="1" t="n">
        <v>21000</v>
      </c>
      <c r="B21001">
        <f>TEXT(21000, "[$-0E0000]yyyy-mm-dd")</f>
        <v/>
      </c>
      <c r="C21001" t="inlineStr">
        <is>
          <t>1957-06-03</t>
        </is>
      </c>
    </row>
    <row r="21002">
      <c r="A21002" s="1" t="n">
        <v>21001</v>
      </c>
      <c r="B21002">
        <f>TEXT(21001, "[$-0E0000]yyyy-mm-dd")</f>
        <v/>
      </c>
      <c r="C21002" t="inlineStr">
        <is>
          <t>1957-06-04</t>
        </is>
      </c>
    </row>
    <row r="21003">
      <c r="A21003" s="1" t="n">
        <v>21002</v>
      </c>
      <c r="B21003">
        <f>TEXT(21002, "[$-0E0000]yyyy-mm-dd")</f>
        <v/>
      </c>
      <c r="C21003" t="inlineStr">
        <is>
          <t>1957-06-05</t>
        </is>
      </c>
    </row>
    <row r="21004">
      <c r="A21004" s="1" t="n">
        <v>21003</v>
      </c>
      <c r="B21004">
        <f>TEXT(21003, "[$-0E0000]yyyy-mm-dd")</f>
        <v/>
      </c>
      <c r="C21004" t="inlineStr">
        <is>
          <t>1957-06-06</t>
        </is>
      </c>
    </row>
    <row r="21005">
      <c r="A21005" s="1" t="n">
        <v>21004</v>
      </c>
      <c r="B21005">
        <f>TEXT(21004, "[$-0E0000]yyyy-mm-dd")</f>
        <v/>
      </c>
      <c r="C21005" t="inlineStr">
        <is>
          <t>1957-06-07</t>
        </is>
      </c>
    </row>
    <row r="21006">
      <c r="A21006" s="1" t="n">
        <v>21005</v>
      </c>
      <c r="B21006">
        <f>TEXT(21005, "[$-0E0000]yyyy-mm-dd")</f>
        <v/>
      </c>
      <c r="C21006" t="inlineStr">
        <is>
          <t>1957-06-08</t>
        </is>
      </c>
    </row>
    <row r="21007">
      <c r="A21007" s="1" t="n">
        <v>21006</v>
      </c>
      <c r="B21007">
        <f>TEXT(21006, "[$-0E0000]yyyy-mm-dd")</f>
        <v/>
      </c>
      <c r="C21007" t="inlineStr">
        <is>
          <t>1957-06-09</t>
        </is>
      </c>
    </row>
    <row r="21008">
      <c r="A21008" s="1" t="n">
        <v>21007</v>
      </c>
      <c r="B21008">
        <f>TEXT(21007, "[$-0E0000]yyyy-mm-dd")</f>
        <v/>
      </c>
      <c r="C21008" t="inlineStr">
        <is>
          <t>1957-06-10</t>
        </is>
      </c>
    </row>
    <row r="21009">
      <c r="A21009" s="1" t="n">
        <v>21008</v>
      </c>
      <c r="B21009">
        <f>TEXT(21008, "[$-0E0000]yyyy-mm-dd")</f>
        <v/>
      </c>
      <c r="C21009" t="inlineStr">
        <is>
          <t>1957-06-11</t>
        </is>
      </c>
    </row>
    <row r="21010">
      <c r="A21010" s="1" t="n">
        <v>21009</v>
      </c>
      <c r="B21010">
        <f>TEXT(21009, "[$-0E0000]yyyy-mm-dd")</f>
        <v/>
      </c>
      <c r="C21010" t="inlineStr">
        <is>
          <t>1957-06-12</t>
        </is>
      </c>
    </row>
    <row r="21011">
      <c r="A21011" s="1" t="n">
        <v>21010</v>
      </c>
      <c r="B21011">
        <f>TEXT(21010, "[$-0E0000]yyyy-mm-dd")</f>
        <v/>
      </c>
      <c r="C21011" t="inlineStr">
        <is>
          <t>1957-06-13</t>
        </is>
      </c>
    </row>
    <row r="21012">
      <c r="A21012" s="1" t="n">
        <v>21011</v>
      </c>
      <c r="B21012">
        <f>TEXT(21011, "[$-0E0000]yyyy-mm-dd")</f>
        <v/>
      </c>
      <c r="C21012" t="inlineStr">
        <is>
          <t>1957-06-14</t>
        </is>
      </c>
    </row>
    <row r="21013">
      <c r="A21013" s="1" t="n">
        <v>21012</v>
      </c>
      <c r="B21013">
        <f>TEXT(21012, "[$-0E0000]yyyy-mm-dd")</f>
        <v/>
      </c>
      <c r="C21013" t="inlineStr">
        <is>
          <t>1957-06-15</t>
        </is>
      </c>
    </row>
    <row r="21014">
      <c r="A21014" s="1" t="n">
        <v>21013</v>
      </c>
      <c r="B21014">
        <f>TEXT(21013, "[$-0E0000]yyyy-mm-dd")</f>
        <v/>
      </c>
      <c r="C21014" t="inlineStr">
        <is>
          <t>1957-06-16</t>
        </is>
      </c>
    </row>
    <row r="21015">
      <c r="A21015" s="1" t="n">
        <v>21014</v>
      </c>
      <c r="B21015">
        <f>TEXT(21014, "[$-0E0000]yyyy-mm-dd")</f>
        <v/>
      </c>
      <c r="C21015" t="inlineStr">
        <is>
          <t>1957-06-17</t>
        </is>
      </c>
    </row>
    <row r="21016">
      <c r="A21016" s="1" t="n">
        <v>21015</v>
      </c>
      <c r="B21016">
        <f>TEXT(21015, "[$-0E0000]yyyy-mm-dd")</f>
        <v/>
      </c>
      <c r="C21016" t="inlineStr">
        <is>
          <t>1957-06-18</t>
        </is>
      </c>
    </row>
    <row r="21017">
      <c r="A21017" s="1" t="n">
        <v>21016</v>
      </c>
      <c r="B21017">
        <f>TEXT(21016, "[$-0E0000]yyyy-mm-dd")</f>
        <v/>
      </c>
      <c r="C21017" t="inlineStr">
        <is>
          <t>1957-06-19</t>
        </is>
      </c>
    </row>
    <row r="21018">
      <c r="A21018" s="1" t="n">
        <v>21017</v>
      </c>
      <c r="B21018">
        <f>TEXT(21017, "[$-0E0000]yyyy-mm-dd")</f>
        <v/>
      </c>
      <c r="C21018" t="inlineStr">
        <is>
          <t>1957-06-20</t>
        </is>
      </c>
    </row>
    <row r="21019">
      <c r="A21019" s="1" t="n">
        <v>21018</v>
      </c>
      <c r="B21019">
        <f>TEXT(21018, "[$-0E0000]yyyy-mm-dd")</f>
        <v/>
      </c>
      <c r="C21019" t="inlineStr">
        <is>
          <t>1957-06-21</t>
        </is>
      </c>
    </row>
    <row r="21020">
      <c r="A21020" s="1" t="n">
        <v>21019</v>
      </c>
      <c r="B21020">
        <f>TEXT(21019, "[$-0E0000]yyyy-mm-dd")</f>
        <v/>
      </c>
      <c r="C21020" t="inlineStr">
        <is>
          <t>1957-06-22</t>
        </is>
      </c>
    </row>
    <row r="21021">
      <c r="A21021" s="1" t="n">
        <v>21020</v>
      </c>
      <c r="B21021">
        <f>TEXT(21020, "[$-0E0000]yyyy-mm-dd")</f>
        <v/>
      </c>
      <c r="C21021" t="inlineStr">
        <is>
          <t>1957-06-23</t>
        </is>
      </c>
    </row>
    <row r="21022">
      <c r="A21022" s="1" t="n">
        <v>21021</v>
      </c>
      <c r="B21022">
        <f>TEXT(21021, "[$-0E0000]yyyy-mm-dd")</f>
        <v/>
      </c>
      <c r="C21022" t="inlineStr">
        <is>
          <t>1957-06-24</t>
        </is>
      </c>
    </row>
    <row r="21023">
      <c r="A21023" s="1" t="n">
        <v>21022</v>
      </c>
      <c r="B21023">
        <f>TEXT(21022, "[$-0E0000]yyyy-mm-dd")</f>
        <v/>
      </c>
      <c r="C21023" t="inlineStr">
        <is>
          <t>1957-06-25</t>
        </is>
      </c>
    </row>
    <row r="21024">
      <c r="A21024" s="1" t="n">
        <v>21023</v>
      </c>
      <c r="B21024">
        <f>TEXT(21023, "[$-0E0000]yyyy-mm-dd")</f>
        <v/>
      </c>
      <c r="C21024" t="inlineStr">
        <is>
          <t>1957-06-26</t>
        </is>
      </c>
    </row>
    <row r="21025">
      <c r="A21025" s="1" t="n">
        <v>21024</v>
      </c>
      <c r="B21025">
        <f>TEXT(21024, "[$-0E0000]yyyy-mm-dd")</f>
        <v/>
      </c>
      <c r="C21025" t="inlineStr">
        <is>
          <t>1957-06-27</t>
        </is>
      </c>
    </row>
    <row r="21026">
      <c r="A21026" s="1" t="n">
        <v>21025</v>
      </c>
      <c r="B21026">
        <f>TEXT(21025, "[$-0E0000]yyyy-mm-dd")</f>
        <v/>
      </c>
      <c r="C21026" t="inlineStr">
        <is>
          <t>1957-06-28</t>
        </is>
      </c>
    </row>
    <row r="21027">
      <c r="A21027" s="1" t="n">
        <v>21026</v>
      </c>
      <c r="B21027">
        <f>TEXT(21026, "[$-0E0000]yyyy-mm-dd")</f>
        <v/>
      </c>
      <c r="C21027" t="inlineStr">
        <is>
          <t>1957-06-29</t>
        </is>
      </c>
    </row>
    <row r="21028">
      <c r="A21028" s="1" t="n">
        <v>21027</v>
      </c>
      <c r="B21028">
        <f>TEXT(21027, "[$-0E0000]yyyy-mm-dd")</f>
        <v/>
      </c>
      <c r="C21028" t="inlineStr">
        <is>
          <t>1957-07-01</t>
        </is>
      </c>
    </row>
    <row r="21029">
      <c r="A21029" s="1" t="n">
        <v>21028</v>
      </c>
      <c r="B21029">
        <f>TEXT(21028, "[$-0E0000]yyyy-mm-dd")</f>
        <v/>
      </c>
      <c r="C21029" t="inlineStr">
        <is>
          <t>1957-07-02</t>
        </is>
      </c>
    </row>
    <row r="21030">
      <c r="A21030" s="1" t="n">
        <v>21029</v>
      </c>
      <c r="B21030">
        <f>TEXT(21029, "[$-0E0000]yyyy-mm-dd")</f>
        <v/>
      </c>
      <c r="C21030" t="inlineStr">
        <is>
          <t>1957-07-03</t>
        </is>
      </c>
    </row>
    <row r="21031">
      <c r="A21031" s="1" t="n">
        <v>21030</v>
      </c>
      <c r="B21031">
        <f>TEXT(21030, "[$-0E0000]yyyy-mm-dd")</f>
        <v/>
      </c>
      <c r="C21031" t="inlineStr">
        <is>
          <t>1957-07-04</t>
        </is>
      </c>
    </row>
    <row r="21032">
      <c r="A21032" s="1" t="n">
        <v>21031</v>
      </c>
      <c r="B21032">
        <f>TEXT(21031, "[$-0E0000]yyyy-mm-dd")</f>
        <v/>
      </c>
      <c r="C21032" t="inlineStr">
        <is>
          <t>1957-07-05</t>
        </is>
      </c>
    </row>
    <row r="21033">
      <c r="A21033" s="1" t="n">
        <v>21032</v>
      </c>
      <c r="B21033">
        <f>TEXT(21032, "[$-0E0000]yyyy-mm-dd")</f>
        <v/>
      </c>
      <c r="C21033" t="inlineStr">
        <is>
          <t>1957-07-06</t>
        </is>
      </c>
    </row>
    <row r="21034">
      <c r="A21034" s="1" t="n">
        <v>21033</v>
      </c>
      <c r="B21034">
        <f>TEXT(21033, "[$-0E0000]yyyy-mm-dd")</f>
        <v/>
      </c>
      <c r="C21034" t="inlineStr">
        <is>
          <t>1957-07-07</t>
        </is>
      </c>
    </row>
    <row r="21035">
      <c r="A21035" s="1" t="n">
        <v>21034</v>
      </c>
      <c r="B21035">
        <f>TEXT(21034, "[$-0E0000]yyyy-mm-dd")</f>
        <v/>
      </c>
      <c r="C21035" t="inlineStr">
        <is>
          <t>1957-07-08</t>
        </is>
      </c>
    </row>
    <row r="21036">
      <c r="A21036" s="1" t="n">
        <v>21035</v>
      </c>
      <c r="B21036">
        <f>TEXT(21035, "[$-0E0000]yyyy-mm-dd")</f>
        <v/>
      </c>
      <c r="C21036" t="inlineStr">
        <is>
          <t>1957-07-09</t>
        </is>
      </c>
    </row>
    <row r="21037">
      <c r="A21037" s="1" t="n">
        <v>21036</v>
      </c>
      <c r="B21037">
        <f>TEXT(21036, "[$-0E0000]yyyy-mm-dd")</f>
        <v/>
      </c>
      <c r="C21037" t="inlineStr">
        <is>
          <t>1957-07-10</t>
        </is>
      </c>
    </row>
    <row r="21038">
      <c r="A21038" s="1" t="n">
        <v>21037</v>
      </c>
      <c r="B21038">
        <f>TEXT(21037, "[$-0E0000]yyyy-mm-dd")</f>
        <v/>
      </c>
      <c r="C21038" t="inlineStr">
        <is>
          <t>1957-07-11</t>
        </is>
      </c>
    </row>
    <row r="21039">
      <c r="A21039" s="1" t="n">
        <v>21038</v>
      </c>
      <c r="B21039">
        <f>TEXT(21038, "[$-0E0000]yyyy-mm-dd")</f>
        <v/>
      </c>
      <c r="C21039" t="inlineStr">
        <is>
          <t>1957-07-12</t>
        </is>
      </c>
    </row>
    <row r="21040">
      <c r="A21040" s="1" t="n">
        <v>21039</v>
      </c>
      <c r="B21040">
        <f>TEXT(21039, "[$-0E0000]yyyy-mm-dd")</f>
        <v/>
      </c>
      <c r="C21040" t="inlineStr">
        <is>
          <t>1957-07-13</t>
        </is>
      </c>
    </row>
    <row r="21041">
      <c r="A21041" s="1" t="n">
        <v>21040</v>
      </c>
      <c r="B21041">
        <f>TEXT(21040, "[$-0E0000]yyyy-mm-dd")</f>
        <v/>
      </c>
      <c r="C21041" t="inlineStr">
        <is>
          <t>1957-07-14</t>
        </is>
      </c>
    </row>
    <row r="21042">
      <c r="A21042" s="1" t="n">
        <v>21041</v>
      </c>
      <c r="B21042">
        <f>TEXT(21041, "[$-0E0000]yyyy-mm-dd")</f>
        <v/>
      </c>
      <c r="C21042" t="inlineStr">
        <is>
          <t>1957-07-15</t>
        </is>
      </c>
    </row>
    <row r="21043">
      <c r="A21043" s="1" t="n">
        <v>21042</v>
      </c>
      <c r="B21043">
        <f>TEXT(21042, "[$-0E0000]yyyy-mm-dd")</f>
        <v/>
      </c>
      <c r="C21043" t="inlineStr">
        <is>
          <t>1957-07-16</t>
        </is>
      </c>
    </row>
    <row r="21044">
      <c r="A21044" s="1" t="n">
        <v>21043</v>
      </c>
      <c r="B21044">
        <f>TEXT(21043, "[$-0E0000]yyyy-mm-dd")</f>
        <v/>
      </c>
      <c r="C21044" t="inlineStr">
        <is>
          <t>1957-07-17</t>
        </is>
      </c>
    </row>
    <row r="21045">
      <c r="A21045" s="1" t="n">
        <v>21044</v>
      </c>
      <c r="B21045">
        <f>TEXT(21044, "[$-0E0000]yyyy-mm-dd")</f>
        <v/>
      </c>
      <c r="C21045" t="inlineStr">
        <is>
          <t>1957-07-18</t>
        </is>
      </c>
    </row>
    <row r="21046">
      <c r="A21046" s="1" t="n">
        <v>21045</v>
      </c>
      <c r="B21046">
        <f>TEXT(21045, "[$-0E0000]yyyy-mm-dd")</f>
        <v/>
      </c>
      <c r="C21046" t="inlineStr">
        <is>
          <t>1957-07-19</t>
        </is>
      </c>
    </row>
    <row r="21047">
      <c r="A21047" s="1" t="n">
        <v>21046</v>
      </c>
      <c r="B21047">
        <f>TEXT(21046, "[$-0E0000]yyyy-mm-dd")</f>
        <v/>
      </c>
      <c r="C21047" t="inlineStr">
        <is>
          <t>1957-07-20</t>
        </is>
      </c>
    </row>
    <row r="21048">
      <c r="A21048" s="1" t="n">
        <v>21047</v>
      </c>
      <c r="B21048">
        <f>TEXT(21047, "[$-0E0000]yyyy-mm-dd")</f>
        <v/>
      </c>
      <c r="C21048" t="inlineStr">
        <is>
          <t>1957-07-21</t>
        </is>
      </c>
    </row>
    <row r="21049">
      <c r="A21049" s="1" t="n">
        <v>21048</v>
      </c>
      <c r="B21049">
        <f>TEXT(21048, "[$-0E0000]yyyy-mm-dd")</f>
        <v/>
      </c>
      <c r="C21049" t="inlineStr">
        <is>
          <t>1957-07-22</t>
        </is>
      </c>
    </row>
    <row r="21050">
      <c r="A21050" s="1" t="n">
        <v>21049</v>
      </c>
      <c r="B21050">
        <f>TEXT(21049, "[$-0E0000]yyyy-mm-dd")</f>
        <v/>
      </c>
      <c r="C21050" t="inlineStr">
        <is>
          <t>1957-07-23</t>
        </is>
      </c>
    </row>
    <row r="21051">
      <c r="A21051" s="1" t="n">
        <v>21050</v>
      </c>
      <c r="B21051">
        <f>TEXT(21050, "[$-0E0000]yyyy-mm-dd")</f>
        <v/>
      </c>
      <c r="C21051" t="inlineStr">
        <is>
          <t>1957-07-24</t>
        </is>
      </c>
    </row>
    <row r="21052">
      <c r="A21052" s="1" t="n">
        <v>21051</v>
      </c>
      <c r="B21052">
        <f>TEXT(21051, "[$-0E0000]yyyy-mm-dd")</f>
        <v/>
      </c>
      <c r="C21052" t="inlineStr">
        <is>
          <t>1957-07-25</t>
        </is>
      </c>
    </row>
    <row r="21053">
      <c r="A21053" s="1" t="n">
        <v>21052</v>
      </c>
      <c r="B21053">
        <f>TEXT(21052, "[$-0E0000]yyyy-mm-dd")</f>
        <v/>
      </c>
      <c r="C21053" t="inlineStr">
        <is>
          <t>1957-07-26</t>
        </is>
      </c>
    </row>
    <row r="21054">
      <c r="A21054" s="1" t="n">
        <v>21053</v>
      </c>
      <c r="B21054">
        <f>TEXT(21053, "[$-0E0000]yyyy-mm-dd")</f>
        <v/>
      </c>
      <c r="C21054" t="inlineStr">
        <is>
          <t>1957-07-27</t>
        </is>
      </c>
    </row>
    <row r="21055">
      <c r="A21055" s="1" t="n">
        <v>21054</v>
      </c>
      <c r="B21055">
        <f>TEXT(21054, "[$-0E0000]yyyy-mm-dd")</f>
        <v/>
      </c>
      <c r="C21055" t="inlineStr">
        <is>
          <t>1957-07-28</t>
        </is>
      </c>
    </row>
    <row r="21056">
      <c r="A21056" s="1" t="n">
        <v>21055</v>
      </c>
      <c r="B21056">
        <f>TEXT(21055, "[$-0E0000]yyyy-mm-dd")</f>
        <v/>
      </c>
      <c r="C21056" t="inlineStr">
        <is>
          <t>1957-07-29</t>
        </is>
      </c>
    </row>
    <row r="21057">
      <c r="A21057" s="1" t="n">
        <v>21056</v>
      </c>
      <c r="B21057">
        <f>TEXT(21056, "[$-0E0000]yyyy-mm-dd")</f>
        <v/>
      </c>
      <c r="C21057" t="inlineStr">
        <is>
          <t>1957-08-01</t>
        </is>
      </c>
    </row>
    <row r="21058">
      <c r="A21058" s="1" t="n">
        <v>21057</v>
      </c>
      <c r="B21058">
        <f>TEXT(21057, "[$-0E0000]yyyy-mm-dd")</f>
        <v/>
      </c>
      <c r="C21058" t="inlineStr">
        <is>
          <t>1957-08-02</t>
        </is>
      </c>
    </row>
    <row r="21059">
      <c r="A21059" s="1" t="n">
        <v>21058</v>
      </c>
      <c r="B21059">
        <f>TEXT(21058, "[$-0E0000]yyyy-mm-dd")</f>
        <v/>
      </c>
      <c r="C21059" t="inlineStr">
        <is>
          <t>1957-08-03</t>
        </is>
      </c>
    </row>
    <row r="21060">
      <c r="A21060" s="1" t="n">
        <v>21059</v>
      </c>
      <c r="B21060">
        <f>TEXT(21059, "[$-0E0000]yyyy-mm-dd")</f>
        <v/>
      </c>
      <c r="C21060" t="inlineStr">
        <is>
          <t>1957-08-04</t>
        </is>
      </c>
    </row>
    <row r="21061">
      <c r="A21061" s="1" t="n">
        <v>21060</v>
      </c>
      <c r="B21061">
        <f>TEXT(21060, "[$-0E0000]yyyy-mm-dd")</f>
        <v/>
      </c>
      <c r="C21061" t="inlineStr">
        <is>
          <t>1957-08-05</t>
        </is>
      </c>
    </row>
    <row r="21062">
      <c r="A21062" s="1" t="n">
        <v>21061</v>
      </c>
      <c r="B21062">
        <f>TEXT(21061, "[$-0E0000]yyyy-mm-dd")</f>
        <v/>
      </c>
      <c r="C21062" t="inlineStr">
        <is>
          <t>1957-08-06</t>
        </is>
      </c>
    </row>
    <row r="21063">
      <c r="A21063" s="1" t="n">
        <v>21062</v>
      </c>
      <c r="B21063">
        <f>TEXT(21062, "[$-0E0000]yyyy-mm-dd")</f>
        <v/>
      </c>
      <c r="C21063" t="inlineStr">
        <is>
          <t>1957-08-07</t>
        </is>
      </c>
    </row>
    <row r="21064">
      <c r="A21064" s="1" t="n">
        <v>21063</v>
      </c>
      <c r="B21064">
        <f>TEXT(21063, "[$-0E0000]yyyy-mm-dd")</f>
        <v/>
      </c>
      <c r="C21064" t="inlineStr">
        <is>
          <t>1957-08-08</t>
        </is>
      </c>
    </row>
    <row r="21065">
      <c r="A21065" s="1" t="n">
        <v>21064</v>
      </c>
      <c r="B21065">
        <f>TEXT(21064, "[$-0E0000]yyyy-mm-dd")</f>
        <v/>
      </c>
      <c r="C21065" t="inlineStr">
        <is>
          <t>1957-08-09</t>
        </is>
      </c>
    </row>
    <row r="21066">
      <c r="A21066" s="1" t="n">
        <v>21065</v>
      </c>
      <c r="B21066">
        <f>TEXT(21065, "[$-0E0000]yyyy-mm-dd")</f>
        <v/>
      </c>
      <c r="C21066" t="inlineStr">
        <is>
          <t>1957-08-10</t>
        </is>
      </c>
    </row>
    <row r="21067">
      <c r="A21067" s="1" t="n">
        <v>21066</v>
      </c>
      <c r="B21067">
        <f>TEXT(21066, "[$-0E0000]yyyy-mm-dd")</f>
        <v/>
      </c>
      <c r="C21067" t="inlineStr">
        <is>
          <t>1957-08-11</t>
        </is>
      </c>
    </row>
    <row r="21068">
      <c r="A21068" s="1" t="n">
        <v>21067</v>
      </c>
      <c r="B21068">
        <f>TEXT(21067, "[$-0E0000]yyyy-mm-dd")</f>
        <v/>
      </c>
      <c r="C21068" t="inlineStr">
        <is>
          <t>1957-08-12</t>
        </is>
      </c>
    </row>
    <row r="21069">
      <c r="A21069" s="1" t="n">
        <v>21068</v>
      </c>
      <c r="B21069">
        <f>TEXT(21068, "[$-0E0000]yyyy-mm-dd")</f>
        <v/>
      </c>
      <c r="C21069" t="inlineStr">
        <is>
          <t>1957-08-13</t>
        </is>
      </c>
    </row>
    <row r="21070">
      <c r="A21070" s="1" t="n">
        <v>21069</v>
      </c>
      <c r="B21070">
        <f>TEXT(21069, "[$-0E0000]yyyy-mm-dd")</f>
        <v/>
      </c>
      <c r="C21070" t="inlineStr">
        <is>
          <t>1957-08-14</t>
        </is>
      </c>
    </row>
    <row r="21071">
      <c r="A21071" s="1" t="n">
        <v>21070</v>
      </c>
      <c r="B21071">
        <f>TEXT(21070, "[$-0E0000]yyyy-mm-dd")</f>
        <v/>
      </c>
      <c r="C21071" t="inlineStr">
        <is>
          <t>1957-08-15</t>
        </is>
      </c>
    </row>
    <row r="21072">
      <c r="A21072" s="1" t="n">
        <v>21071</v>
      </c>
      <c r="B21072">
        <f>TEXT(21071, "[$-0E0000]yyyy-mm-dd")</f>
        <v/>
      </c>
      <c r="C21072" t="inlineStr">
        <is>
          <t>1957-08-16</t>
        </is>
      </c>
    </row>
    <row r="21073">
      <c r="A21073" s="1" t="n">
        <v>21072</v>
      </c>
      <c r="B21073">
        <f>TEXT(21072, "[$-0E0000]yyyy-mm-dd")</f>
        <v/>
      </c>
      <c r="C21073" t="inlineStr">
        <is>
          <t>1957-08-17</t>
        </is>
      </c>
    </row>
    <row r="21074">
      <c r="A21074" s="1" t="n">
        <v>21073</v>
      </c>
      <c r="B21074">
        <f>TEXT(21073, "[$-0E0000]yyyy-mm-dd")</f>
        <v/>
      </c>
      <c r="C21074" t="inlineStr">
        <is>
          <t>1957-08-18</t>
        </is>
      </c>
    </row>
    <row r="21075">
      <c r="A21075" s="1" t="n">
        <v>21074</v>
      </c>
      <c r="B21075">
        <f>TEXT(21074, "[$-0E0000]yyyy-mm-dd")</f>
        <v/>
      </c>
      <c r="C21075" t="inlineStr">
        <is>
          <t>1957-08-19</t>
        </is>
      </c>
    </row>
    <row r="21076">
      <c r="A21076" s="1" t="n">
        <v>21075</v>
      </c>
      <c r="B21076">
        <f>TEXT(21075, "[$-0E0000]yyyy-mm-dd")</f>
        <v/>
      </c>
      <c r="C21076" t="inlineStr">
        <is>
          <t>1957-08-20</t>
        </is>
      </c>
    </row>
    <row r="21077">
      <c r="A21077" s="1" t="n">
        <v>21076</v>
      </c>
      <c r="B21077">
        <f>TEXT(21076, "[$-0E0000]yyyy-mm-dd")</f>
        <v/>
      </c>
      <c r="C21077" t="inlineStr">
        <is>
          <t>1957-08-21</t>
        </is>
      </c>
    </row>
    <row r="21078">
      <c r="A21078" s="1" t="n">
        <v>21077</v>
      </c>
      <c r="B21078">
        <f>TEXT(21077, "[$-0E0000]yyyy-mm-dd")</f>
        <v/>
      </c>
      <c r="C21078" t="inlineStr">
        <is>
          <t>1957-08-22</t>
        </is>
      </c>
    </row>
    <row r="21079">
      <c r="A21079" s="1" t="n">
        <v>21078</v>
      </c>
      <c r="B21079">
        <f>TEXT(21078, "[$-0E0000]yyyy-mm-dd")</f>
        <v/>
      </c>
      <c r="C21079" t="inlineStr">
        <is>
          <t>1957-08-23</t>
        </is>
      </c>
    </row>
    <row r="21080">
      <c r="A21080" s="1" t="n">
        <v>21079</v>
      </c>
      <c r="B21080">
        <f>TEXT(21079, "[$-0E0000]yyyy-mm-dd")</f>
        <v/>
      </c>
      <c r="C21080" t="inlineStr">
        <is>
          <t>1957-08-24</t>
        </is>
      </c>
    </row>
    <row r="21081">
      <c r="A21081" s="1" t="n">
        <v>21080</v>
      </c>
      <c r="B21081">
        <f>TEXT(21080, "[$-0E0000]yyyy-mm-dd")</f>
        <v/>
      </c>
      <c r="C21081" t="inlineStr">
        <is>
          <t>1957-08-25</t>
        </is>
      </c>
    </row>
    <row r="21082">
      <c r="A21082" s="1" t="n">
        <v>21081</v>
      </c>
      <c r="B21082">
        <f>TEXT(21081, "[$-0E0000]yyyy-mm-dd")</f>
        <v/>
      </c>
      <c r="C21082" t="inlineStr">
        <is>
          <t>1957-08-26</t>
        </is>
      </c>
    </row>
    <row r="21083">
      <c r="A21083" s="1" t="n">
        <v>21082</v>
      </c>
      <c r="B21083">
        <f>TEXT(21082, "[$-0E0000]yyyy-mm-dd")</f>
        <v/>
      </c>
      <c r="C21083" t="inlineStr">
        <is>
          <t>1957-08-27</t>
        </is>
      </c>
    </row>
    <row r="21084">
      <c r="A21084" s="1" t="n">
        <v>21083</v>
      </c>
      <c r="B21084">
        <f>TEXT(21083, "[$-0E0000]yyyy-mm-dd")</f>
        <v/>
      </c>
      <c r="C21084" t="inlineStr">
        <is>
          <t>1957-08-28</t>
        </is>
      </c>
    </row>
    <row r="21085">
      <c r="A21085" s="1" t="n">
        <v>21084</v>
      </c>
      <c r="B21085">
        <f>TEXT(21084, "[$-0E0000]yyyy-mm-dd")</f>
        <v/>
      </c>
      <c r="C21085" t="inlineStr">
        <is>
          <t>1957-08-29</t>
        </is>
      </c>
    </row>
    <row r="21086">
      <c r="A21086" s="1" t="n">
        <v>21085</v>
      </c>
      <c r="B21086">
        <f>TEXT(21085, "[$-0E0000]yyyy-mm-dd")</f>
        <v/>
      </c>
      <c r="C21086" t="inlineStr">
        <is>
          <t>1957-08-30</t>
        </is>
      </c>
    </row>
    <row r="21087">
      <c r="A21087" s="1" t="n">
        <v>21086</v>
      </c>
      <c r="B21087">
        <f>TEXT(21086, "[$-0E0000]yyyy-mm-dd")</f>
        <v/>
      </c>
      <c r="C21087" t="inlineStr">
        <is>
          <t>1957-08-01</t>
        </is>
      </c>
    </row>
    <row r="21088">
      <c r="A21088" s="1" t="n">
        <v>21087</v>
      </c>
      <c r="B21088">
        <f>TEXT(21087, "[$-0E0000]yyyy-mm-dd")</f>
        <v/>
      </c>
      <c r="C21088" t="inlineStr">
        <is>
          <t>1957-08-02</t>
        </is>
      </c>
    </row>
    <row r="21089">
      <c r="A21089" s="1" t="n">
        <v>21088</v>
      </c>
      <c r="B21089">
        <f>TEXT(21088, "[$-0E0000]yyyy-mm-dd")</f>
        <v/>
      </c>
      <c r="C21089" t="inlineStr">
        <is>
          <t>1957-08-03</t>
        </is>
      </c>
    </row>
    <row r="21090">
      <c r="A21090" s="1" t="n">
        <v>21089</v>
      </c>
      <c r="B21090">
        <f>TEXT(21089, "[$-0E0000]yyyy-mm-dd")</f>
        <v/>
      </c>
      <c r="C21090" t="inlineStr">
        <is>
          <t>1957-08-04</t>
        </is>
      </c>
    </row>
    <row r="21091">
      <c r="A21091" s="1" t="n">
        <v>21090</v>
      </c>
      <c r="B21091">
        <f>TEXT(21090, "[$-0E0000]yyyy-mm-dd")</f>
        <v/>
      </c>
      <c r="C21091" t="inlineStr">
        <is>
          <t>1957-08-05</t>
        </is>
      </c>
    </row>
    <row r="21092">
      <c r="A21092" s="1" t="n">
        <v>21091</v>
      </c>
      <c r="B21092">
        <f>TEXT(21091, "[$-0E0000]yyyy-mm-dd")</f>
        <v/>
      </c>
      <c r="C21092" t="inlineStr">
        <is>
          <t>1957-08-06</t>
        </is>
      </c>
    </row>
    <row r="21093">
      <c r="A21093" s="1" t="n">
        <v>21092</v>
      </c>
      <c r="B21093">
        <f>TEXT(21092, "[$-0E0000]yyyy-mm-dd")</f>
        <v/>
      </c>
      <c r="C21093" t="inlineStr">
        <is>
          <t>1957-08-07</t>
        </is>
      </c>
    </row>
    <row r="21094">
      <c r="A21094" s="1" t="n">
        <v>21093</v>
      </c>
      <c r="B21094">
        <f>TEXT(21093, "[$-0E0000]yyyy-mm-dd")</f>
        <v/>
      </c>
      <c r="C21094" t="inlineStr">
        <is>
          <t>1957-08-08</t>
        </is>
      </c>
    </row>
    <row r="21095">
      <c r="A21095" s="1" t="n">
        <v>21094</v>
      </c>
      <c r="B21095">
        <f>TEXT(21094, "[$-0E0000]yyyy-mm-dd")</f>
        <v/>
      </c>
      <c r="C21095" t="inlineStr">
        <is>
          <t>1957-08-09</t>
        </is>
      </c>
    </row>
    <row r="21096">
      <c r="A21096" s="1" t="n">
        <v>21095</v>
      </c>
      <c r="B21096">
        <f>TEXT(21095, "[$-0E0000]yyyy-mm-dd")</f>
        <v/>
      </c>
      <c r="C21096" t="inlineStr">
        <is>
          <t>1957-08-10</t>
        </is>
      </c>
    </row>
    <row r="21097">
      <c r="A21097" s="1" t="n">
        <v>21096</v>
      </c>
      <c r="B21097">
        <f>TEXT(21096, "[$-0E0000]yyyy-mm-dd")</f>
        <v/>
      </c>
      <c r="C21097" t="inlineStr">
        <is>
          <t>1957-08-11</t>
        </is>
      </c>
    </row>
    <row r="21098">
      <c r="A21098" s="1" t="n">
        <v>21097</v>
      </c>
      <c r="B21098">
        <f>TEXT(21097, "[$-0E0000]yyyy-mm-dd")</f>
        <v/>
      </c>
      <c r="C21098" t="inlineStr">
        <is>
          <t>1957-08-12</t>
        </is>
      </c>
    </row>
    <row r="21099">
      <c r="A21099" s="1" t="n">
        <v>21098</v>
      </c>
      <c r="B21099">
        <f>TEXT(21098, "[$-0E0000]yyyy-mm-dd")</f>
        <v/>
      </c>
      <c r="C21099" t="inlineStr">
        <is>
          <t>1957-08-13</t>
        </is>
      </c>
    </row>
    <row r="21100">
      <c r="A21100" s="1" t="n">
        <v>21099</v>
      </c>
      <c r="B21100">
        <f>TEXT(21099, "[$-0E0000]yyyy-mm-dd")</f>
        <v/>
      </c>
      <c r="C21100" t="inlineStr">
        <is>
          <t>1957-08-14</t>
        </is>
      </c>
    </row>
    <row r="21101">
      <c r="A21101" s="1" t="n">
        <v>21100</v>
      </c>
      <c r="B21101">
        <f>TEXT(21100, "[$-0E0000]yyyy-mm-dd")</f>
        <v/>
      </c>
      <c r="C21101" t="inlineStr">
        <is>
          <t>1957-08-15</t>
        </is>
      </c>
    </row>
    <row r="21102">
      <c r="A21102" s="1" t="n">
        <v>21101</v>
      </c>
      <c r="B21102">
        <f>TEXT(21101, "[$-0E0000]yyyy-mm-dd")</f>
        <v/>
      </c>
      <c r="C21102" t="inlineStr">
        <is>
          <t>1957-08-16</t>
        </is>
      </c>
    </row>
    <row r="21103">
      <c r="A21103" s="1" t="n">
        <v>21102</v>
      </c>
      <c r="B21103">
        <f>TEXT(21102, "[$-0E0000]yyyy-mm-dd")</f>
        <v/>
      </c>
      <c r="C21103" t="inlineStr">
        <is>
          <t>1957-08-17</t>
        </is>
      </c>
    </row>
    <row r="21104">
      <c r="A21104" s="1" t="n">
        <v>21103</v>
      </c>
      <c r="B21104">
        <f>TEXT(21103, "[$-0E0000]yyyy-mm-dd")</f>
        <v/>
      </c>
      <c r="C21104" t="inlineStr">
        <is>
          <t>1957-08-18</t>
        </is>
      </c>
    </row>
    <row r="21105">
      <c r="A21105" s="1" t="n">
        <v>21104</v>
      </c>
      <c r="B21105">
        <f>TEXT(21104, "[$-0E0000]yyyy-mm-dd")</f>
        <v/>
      </c>
      <c r="C21105" t="inlineStr">
        <is>
          <t>1957-08-19</t>
        </is>
      </c>
    </row>
    <row r="21106">
      <c r="A21106" s="1" t="n">
        <v>21105</v>
      </c>
      <c r="B21106">
        <f>TEXT(21105, "[$-0E0000]yyyy-mm-dd")</f>
        <v/>
      </c>
      <c r="C21106" t="inlineStr">
        <is>
          <t>1957-08-20</t>
        </is>
      </c>
    </row>
    <row r="21107">
      <c r="A21107" s="1" t="n">
        <v>21106</v>
      </c>
      <c r="B21107">
        <f>TEXT(21106, "[$-0E0000]yyyy-mm-dd")</f>
        <v/>
      </c>
      <c r="C21107" t="inlineStr">
        <is>
          <t>1957-08-21</t>
        </is>
      </c>
    </row>
    <row r="21108">
      <c r="A21108" s="1" t="n">
        <v>21107</v>
      </c>
      <c r="B21108">
        <f>TEXT(21107, "[$-0E0000]yyyy-mm-dd")</f>
        <v/>
      </c>
      <c r="C21108" t="inlineStr">
        <is>
          <t>1957-08-22</t>
        </is>
      </c>
    </row>
    <row r="21109">
      <c r="A21109" s="1" t="n">
        <v>21108</v>
      </c>
      <c r="B21109">
        <f>TEXT(21108, "[$-0E0000]yyyy-mm-dd")</f>
        <v/>
      </c>
      <c r="C21109" t="inlineStr">
        <is>
          <t>1957-08-23</t>
        </is>
      </c>
    </row>
    <row r="21110">
      <c r="A21110" s="1" t="n">
        <v>21109</v>
      </c>
      <c r="B21110">
        <f>TEXT(21109, "[$-0E0000]yyyy-mm-dd")</f>
        <v/>
      </c>
      <c r="C21110" t="inlineStr">
        <is>
          <t>1957-08-24</t>
        </is>
      </c>
    </row>
    <row r="21111">
      <c r="A21111" s="1" t="n">
        <v>21110</v>
      </c>
      <c r="B21111">
        <f>TEXT(21110, "[$-0E0000]yyyy-mm-dd")</f>
        <v/>
      </c>
      <c r="C21111" t="inlineStr">
        <is>
          <t>1957-08-25</t>
        </is>
      </c>
    </row>
    <row r="21112">
      <c r="A21112" s="1" t="n">
        <v>21111</v>
      </c>
      <c r="B21112">
        <f>TEXT(21111, "[$-0E0000]yyyy-mm-dd")</f>
        <v/>
      </c>
      <c r="C21112" t="inlineStr">
        <is>
          <t>1957-08-26</t>
        </is>
      </c>
    </row>
    <row r="21113">
      <c r="A21113" s="1" t="n">
        <v>21112</v>
      </c>
      <c r="B21113">
        <f>TEXT(21112, "[$-0E0000]yyyy-mm-dd")</f>
        <v/>
      </c>
      <c r="C21113" t="inlineStr">
        <is>
          <t>1957-08-27</t>
        </is>
      </c>
    </row>
    <row r="21114">
      <c r="A21114" s="1" t="n">
        <v>21113</v>
      </c>
      <c r="B21114">
        <f>TEXT(21113, "[$-0E0000]yyyy-mm-dd")</f>
        <v/>
      </c>
      <c r="C21114" t="inlineStr">
        <is>
          <t>1957-08-28</t>
        </is>
      </c>
    </row>
    <row r="21115">
      <c r="A21115" s="1" t="n">
        <v>21114</v>
      </c>
      <c r="B21115">
        <f>TEXT(21114, "[$-0E0000]yyyy-mm-dd")</f>
        <v/>
      </c>
      <c r="C21115" t="inlineStr">
        <is>
          <t>1957-08-29</t>
        </is>
      </c>
    </row>
    <row r="21116">
      <c r="A21116" s="1" t="n">
        <v>21115</v>
      </c>
      <c r="B21116">
        <f>TEXT(21115, "[$-0E0000]yyyy-mm-dd")</f>
        <v/>
      </c>
      <c r="C21116" t="inlineStr">
        <is>
          <t>1957-09-01</t>
        </is>
      </c>
    </row>
    <row r="21117">
      <c r="A21117" s="1" t="n">
        <v>21116</v>
      </c>
      <c r="B21117">
        <f>TEXT(21116, "[$-0E0000]yyyy-mm-dd")</f>
        <v/>
      </c>
      <c r="C21117" t="inlineStr">
        <is>
          <t>1957-09-02</t>
        </is>
      </c>
    </row>
    <row r="21118">
      <c r="A21118" s="1" t="n">
        <v>21117</v>
      </c>
      <c r="B21118">
        <f>TEXT(21117, "[$-0E0000]yyyy-mm-dd")</f>
        <v/>
      </c>
      <c r="C21118" t="inlineStr">
        <is>
          <t>1957-09-03</t>
        </is>
      </c>
    </row>
    <row r="21119">
      <c r="A21119" s="1" t="n">
        <v>21118</v>
      </c>
      <c r="B21119">
        <f>TEXT(21118, "[$-0E0000]yyyy-mm-dd")</f>
        <v/>
      </c>
      <c r="C21119" t="inlineStr">
        <is>
          <t>1957-09-04</t>
        </is>
      </c>
    </row>
    <row r="21120">
      <c r="A21120" s="1" t="n">
        <v>21119</v>
      </c>
      <c r="B21120">
        <f>TEXT(21119, "[$-0E0000]yyyy-mm-dd")</f>
        <v/>
      </c>
      <c r="C21120" t="inlineStr">
        <is>
          <t>1957-09-05</t>
        </is>
      </c>
    </row>
    <row r="21121">
      <c r="A21121" s="1" t="n">
        <v>21120</v>
      </c>
      <c r="B21121">
        <f>TEXT(21120, "[$-0E0000]yyyy-mm-dd")</f>
        <v/>
      </c>
      <c r="C21121" t="inlineStr">
        <is>
          <t>1957-09-06</t>
        </is>
      </c>
    </row>
    <row r="21122">
      <c r="A21122" s="1" t="n">
        <v>21121</v>
      </c>
      <c r="B21122">
        <f>TEXT(21121, "[$-0E0000]yyyy-mm-dd")</f>
        <v/>
      </c>
      <c r="C21122" t="inlineStr">
        <is>
          <t>1957-09-07</t>
        </is>
      </c>
    </row>
    <row r="21123">
      <c r="A21123" s="1" t="n">
        <v>21122</v>
      </c>
      <c r="B21123">
        <f>TEXT(21122, "[$-0E0000]yyyy-mm-dd")</f>
        <v/>
      </c>
      <c r="C21123" t="inlineStr">
        <is>
          <t>1957-09-08</t>
        </is>
      </c>
    </row>
    <row r="21124">
      <c r="A21124" s="1" t="n">
        <v>21123</v>
      </c>
      <c r="B21124">
        <f>TEXT(21123, "[$-0E0000]yyyy-mm-dd")</f>
        <v/>
      </c>
      <c r="C21124" t="inlineStr">
        <is>
          <t>1957-09-09</t>
        </is>
      </c>
    </row>
    <row r="21125">
      <c r="A21125" s="1" t="n">
        <v>21124</v>
      </c>
      <c r="B21125">
        <f>TEXT(21124, "[$-0E0000]yyyy-mm-dd")</f>
        <v/>
      </c>
      <c r="C21125" t="inlineStr">
        <is>
          <t>1957-09-10</t>
        </is>
      </c>
    </row>
    <row r="21126">
      <c r="A21126" s="1" t="n">
        <v>21125</v>
      </c>
      <c r="B21126">
        <f>TEXT(21125, "[$-0E0000]yyyy-mm-dd")</f>
        <v/>
      </c>
      <c r="C21126" t="inlineStr">
        <is>
          <t>1957-09-11</t>
        </is>
      </c>
    </row>
    <row r="21127">
      <c r="A21127" s="1" t="n">
        <v>21126</v>
      </c>
      <c r="B21127">
        <f>TEXT(21126, "[$-0E0000]yyyy-mm-dd")</f>
        <v/>
      </c>
      <c r="C21127" t="inlineStr">
        <is>
          <t>1957-09-12</t>
        </is>
      </c>
    </row>
    <row r="21128">
      <c r="A21128" s="1" t="n">
        <v>21127</v>
      </c>
      <c r="B21128">
        <f>TEXT(21127, "[$-0E0000]yyyy-mm-dd")</f>
        <v/>
      </c>
      <c r="C21128" t="inlineStr">
        <is>
          <t>1957-09-13</t>
        </is>
      </c>
    </row>
    <row r="21129">
      <c r="A21129" s="1" t="n">
        <v>21128</v>
      </c>
      <c r="B21129">
        <f>TEXT(21128, "[$-0E0000]yyyy-mm-dd")</f>
        <v/>
      </c>
      <c r="C21129" t="inlineStr">
        <is>
          <t>1957-09-14</t>
        </is>
      </c>
    </row>
    <row r="21130">
      <c r="A21130" s="1" t="n">
        <v>21129</v>
      </c>
      <c r="B21130">
        <f>TEXT(21129, "[$-0E0000]yyyy-mm-dd")</f>
        <v/>
      </c>
      <c r="C21130" t="inlineStr">
        <is>
          <t>1957-09-15</t>
        </is>
      </c>
    </row>
    <row r="21131">
      <c r="A21131" s="1" t="n">
        <v>21130</v>
      </c>
      <c r="B21131">
        <f>TEXT(21130, "[$-0E0000]yyyy-mm-dd")</f>
        <v/>
      </c>
      <c r="C21131" t="inlineStr">
        <is>
          <t>1957-09-16</t>
        </is>
      </c>
    </row>
    <row r="21132">
      <c r="A21132" s="1" t="n">
        <v>21131</v>
      </c>
      <c r="B21132">
        <f>TEXT(21131, "[$-0E0000]yyyy-mm-dd")</f>
        <v/>
      </c>
      <c r="C21132" t="inlineStr">
        <is>
          <t>1957-09-17</t>
        </is>
      </c>
    </row>
    <row r="21133">
      <c r="A21133" s="1" t="n">
        <v>21132</v>
      </c>
      <c r="B21133">
        <f>TEXT(21132, "[$-0E0000]yyyy-mm-dd")</f>
        <v/>
      </c>
      <c r="C21133" t="inlineStr">
        <is>
          <t>1957-09-18</t>
        </is>
      </c>
    </row>
    <row r="21134">
      <c r="A21134" s="1" t="n">
        <v>21133</v>
      </c>
      <c r="B21134">
        <f>TEXT(21133, "[$-0E0000]yyyy-mm-dd")</f>
        <v/>
      </c>
      <c r="C21134" t="inlineStr">
        <is>
          <t>1957-09-19</t>
        </is>
      </c>
    </row>
    <row r="21135">
      <c r="A21135" s="1" t="n">
        <v>21134</v>
      </c>
      <c r="B21135">
        <f>TEXT(21134, "[$-0E0000]yyyy-mm-dd")</f>
        <v/>
      </c>
      <c r="C21135" t="inlineStr">
        <is>
          <t>1957-09-20</t>
        </is>
      </c>
    </row>
    <row r="21136">
      <c r="A21136" s="1" t="n">
        <v>21135</v>
      </c>
      <c r="B21136">
        <f>TEXT(21135, "[$-0E0000]yyyy-mm-dd")</f>
        <v/>
      </c>
      <c r="C21136" t="inlineStr">
        <is>
          <t>1957-09-21</t>
        </is>
      </c>
    </row>
    <row r="21137">
      <c r="A21137" s="1" t="n">
        <v>21136</v>
      </c>
      <c r="B21137">
        <f>TEXT(21136, "[$-0E0000]yyyy-mm-dd")</f>
        <v/>
      </c>
      <c r="C21137" t="inlineStr">
        <is>
          <t>1957-09-22</t>
        </is>
      </c>
    </row>
    <row r="21138">
      <c r="A21138" s="1" t="n">
        <v>21137</v>
      </c>
      <c r="B21138">
        <f>TEXT(21137, "[$-0E0000]yyyy-mm-dd")</f>
        <v/>
      </c>
      <c r="C21138" t="inlineStr">
        <is>
          <t>1957-09-23</t>
        </is>
      </c>
    </row>
    <row r="21139">
      <c r="A21139" s="1" t="n">
        <v>21138</v>
      </c>
      <c r="B21139">
        <f>TEXT(21138, "[$-0E0000]yyyy-mm-dd")</f>
        <v/>
      </c>
      <c r="C21139" t="inlineStr">
        <is>
          <t>1957-09-24</t>
        </is>
      </c>
    </row>
    <row r="21140">
      <c r="A21140" s="1" t="n">
        <v>21139</v>
      </c>
      <c r="B21140">
        <f>TEXT(21139, "[$-0E0000]yyyy-mm-dd")</f>
        <v/>
      </c>
      <c r="C21140" t="inlineStr">
        <is>
          <t>1957-09-25</t>
        </is>
      </c>
    </row>
    <row r="21141">
      <c r="A21141" s="1" t="n">
        <v>21140</v>
      </c>
      <c r="B21141">
        <f>TEXT(21140, "[$-0E0000]yyyy-mm-dd")</f>
        <v/>
      </c>
      <c r="C21141" t="inlineStr">
        <is>
          <t>1957-09-26</t>
        </is>
      </c>
    </row>
    <row r="21142">
      <c r="A21142" s="1" t="n">
        <v>21141</v>
      </c>
      <c r="B21142">
        <f>TEXT(21141, "[$-0E0000]yyyy-mm-dd")</f>
        <v/>
      </c>
      <c r="C21142" t="inlineStr">
        <is>
          <t>1957-09-27</t>
        </is>
      </c>
    </row>
    <row r="21143">
      <c r="A21143" s="1" t="n">
        <v>21142</v>
      </c>
      <c r="B21143">
        <f>TEXT(21142, "[$-0E0000]yyyy-mm-dd")</f>
        <v/>
      </c>
      <c r="C21143" t="inlineStr">
        <is>
          <t>1957-09-28</t>
        </is>
      </c>
    </row>
    <row r="21144">
      <c r="A21144" s="1" t="n">
        <v>21143</v>
      </c>
      <c r="B21144">
        <f>TEXT(21143, "[$-0E0000]yyyy-mm-dd")</f>
        <v/>
      </c>
      <c r="C21144" t="inlineStr">
        <is>
          <t>1957-09-29</t>
        </is>
      </c>
    </row>
    <row r="21145">
      <c r="A21145" s="1" t="n">
        <v>21144</v>
      </c>
      <c r="B21145">
        <f>TEXT(21144, "[$-0E0000]yyyy-mm-dd")</f>
        <v/>
      </c>
      <c r="C21145" t="inlineStr">
        <is>
          <t>1957-09-30</t>
        </is>
      </c>
    </row>
    <row r="21146">
      <c r="A21146" s="1" t="n">
        <v>21145</v>
      </c>
      <c r="B21146">
        <f>TEXT(21145, "[$-0E0000]yyyy-mm-dd")</f>
        <v/>
      </c>
      <c r="C21146" t="inlineStr">
        <is>
          <t>1957-10-01</t>
        </is>
      </c>
    </row>
    <row r="21147">
      <c r="A21147" s="1" t="n">
        <v>21146</v>
      </c>
      <c r="B21147">
        <f>TEXT(21146, "[$-0E0000]yyyy-mm-dd")</f>
        <v/>
      </c>
      <c r="C21147" t="inlineStr">
        <is>
          <t>1957-10-02</t>
        </is>
      </c>
    </row>
    <row r="21148">
      <c r="A21148" s="1" t="n">
        <v>21147</v>
      </c>
      <c r="B21148">
        <f>TEXT(21147, "[$-0E0000]yyyy-mm-dd")</f>
        <v/>
      </c>
      <c r="C21148" t="inlineStr">
        <is>
          <t>1957-10-03</t>
        </is>
      </c>
    </row>
    <row r="21149">
      <c r="A21149" s="1" t="n">
        <v>21148</v>
      </c>
      <c r="B21149">
        <f>TEXT(21148, "[$-0E0000]yyyy-mm-dd")</f>
        <v/>
      </c>
      <c r="C21149" t="inlineStr">
        <is>
          <t>1957-10-04</t>
        </is>
      </c>
    </row>
    <row r="21150">
      <c r="A21150" s="1" t="n">
        <v>21149</v>
      </c>
      <c r="B21150">
        <f>TEXT(21149, "[$-0E0000]yyyy-mm-dd")</f>
        <v/>
      </c>
      <c r="C21150" t="inlineStr">
        <is>
          <t>1957-10-05</t>
        </is>
      </c>
    </row>
    <row r="21151">
      <c r="A21151" s="1" t="n">
        <v>21150</v>
      </c>
      <c r="B21151">
        <f>TEXT(21150, "[$-0E0000]yyyy-mm-dd")</f>
        <v/>
      </c>
      <c r="C21151" t="inlineStr">
        <is>
          <t>1957-10-06</t>
        </is>
      </c>
    </row>
    <row r="21152">
      <c r="A21152" s="1" t="n">
        <v>21151</v>
      </c>
      <c r="B21152">
        <f>TEXT(21151, "[$-0E0000]yyyy-mm-dd")</f>
        <v/>
      </c>
      <c r="C21152" t="inlineStr">
        <is>
          <t>1957-10-07</t>
        </is>
      </c>
    </row>
    <row r="21153">
      <c r="A21153" s="1" t="n">
        <v>21152</v>
      </c>
      <c r="B21153">
        <f>TEXT(21152, "[$-0E0000]yyyy-mm-dd")</f>
        <v/>
      </c>
      <c r="C21153" t="inlineStr">
        <is>
          <t>1957-10-08</t>
        </is>
      </c>
    </row>
    <row r="21154">
      <c r="A21154" s="1" t="n">
        <v>21153</v>
      </c>
      <c r="B21154">
        <f>TEXT(21153, "[$-0E0000]yyyy-mm-dd")</f>
        <v/>
      </c>
      <c r="C21154" t="inlineStr">
        <is>
          <t>1957-10-09</t>
        </is>
      </c>
    </row>
    <row r="21155">
      <c r="A21155" s="1" t="n">
        <v>21154</v>
      </c>
      <c r="B21155">
        <f>TEXT(21154, "[$-0E0000]yyyy-mm-dd")</f>
        <v/>
      </c>
      <c r="C21155" t="inlineStr">
        <is>
          <t>1957-10-10</t>
        </is>
      </c>
    </row>
    <row r="21156">
      <c r="A21156" s="1" t="n">
        <v>21155</v>
      </c>
      <c r="B21156">
        <f>TEXT(21155, "[$-0E0000]yyyy-mm-dd")</f>
        <v/>
      </c>
      <c r="C21156" t="inlineStr">
        <is>
          <t>1957-10-11</t>
        </is>
      </c>
    </row>
    <row r="21157">
      <c r="A21157" s="1" t="n">
        <v>21156</v>
      </c>
      <c r="B21157">
        <f>TEXT(21156, "[$-0E0000]yyyy-mm-dd")</f>
        <v/>
      </c>
      <c r="C21157" t="inlineStr">
        <is>
          <t>1957-10-12</t>
        </is>
      </c>
    </row>
    <row r="21158">
      <c r="A21158" s="1" t="n">
        <v>21157</v>
      </c>
      <c r="B21158">
        <f>TEXT(21157, "[$-0E0000]yyyy-mm-dd")</f>
        <v/>
      </c>
      <c r="C21158" t="inlineStr">
        <is>
          <t>1957-10-13</t>
        </is>
      </c>
    </row>
    <row r="21159">
      <c r="A21159" s="1" t="n">
        <v>21158</v>
      </c>
      <c r="B21159">
        <f>TEXT(21158, "[$-0E0000]yyyy-mm-dd")</f>
        <v/>
      </c>
      <c r="C21159" t="inlineStr">
        <is>
          <t>1957-10-14</t>
        </is>
      </c>
    </row>
    <row r="21160">
      <c r="A21160" s="1" t="n">
        <v>21159</v>
      </c>
      <c r="B21160">
        <f>TEXT(21159, "[$-0E0000]yyyy-mm-dd")</f>
        <v/>
      </c>
      <c r="C21160" t="inlineStr">
        <is>
          <t>1957-10-15</t>
        </is>
      </c>
    </row>
    <row r="21161">
      <c r="A21161" s="1" t="n">
        <v>21160</v>
      </c>
      <c r="B21161">
        <f>TEXT(21160, "[$-0E0000]yyyy-mm-dd")</f>
        <v/>
      </c>
      <c r="C21161" t="inlineStr">
        <is>
          <t>1957-10-16</t>
        </is>
      </c>
    </row>
    <row r="21162">
      <c r="A21162" s="1" t="n">
        <v>21161</v>
      </c>
      <c r="B21162">
        <f>TEXT(21161, "[$-0E0000]yyyy-mm-dd")</f>
        <v/>
      </c>
      <c r="C21162" t="inlineStr">
        <is>
          <t>1957-10-17</t>
        </is>
      </c>
    </row>
    <row r="21163">
      <c r="A21163" s="1" t="n">
        <v>21162</v>
      </c>
      <c r="B21163">
        <f>TEXT(21162, "[$-0E0000]yyyy-mm-dd")</f>
        <v/>
      </c>
      <c r="C21163" t="inlineStr">
        <is>
          <t>1957-10-18</t>
        </is>
      </c>
    </row>
    <row r="21164">
      <c r="A21164" s="1" t="n">
        <v>21163</v>
      </c>
      <c r="B21164">
        <f>TEXT(21163, "[$-0E0000]yyyy-mm-dd")</f>
        <v/>
      </c>
      <c r="C21164" t="inlineStr">
        <is>
          <t>1957-10-19</t>
        </is>
      </c>
    </row>
    <row r="21165">
      <c r="A21165" s="1" t="n">
        <v>21164</v>
      </c>
      <c r="B21165">
        <f>TEXT(21164, "[$-0E0000]yyyy-mm-dd")</f>
        <v/>
      </c>
      <c r="C21165" t="inlineStr">
        <is>
          <t>1957-10-20</t>
        </is>
      </c>
    </row>
    <row r="21166">
      <c r="A21166" s="1" t="n">
        <v>21165</v>
      </c>
      <c r="B21166">
        <f>TEXT(21165, "[$-0E0000]yyyy-mm-dd")</f>
        <v/>
      </c>
      <c r="C21166" t="inlineStr">
        <is>
          <t>1957-10-21</t>
        </is>
      </c>
    </row>
    <row r="21167">
      <c r="A21167" s="1" t="n">
        <v>21166</v>
      </c>
      <c r="B21167">
        <f>TEXT(21166, "[$-0E0000]yyyy-mm-dd")</f>
        <v/>
      </c>
      <c r="C21167" t="inlineStr">
        <is>
          <t>1957-10-22</t>
        </is>
      </c>
    </row>
    <row r="21168">
      <c r="A21168" s="1" t="n">
        <v>21167</v>
      </c>
      <c r="B21168">
        <f>TEXT(21167, "[$-0E0000]yyyy-mm-dd")</f>
        <v/>
      </c>
      <c r="C21168" t="inlineStr">
        <is>
          <t>1957-10-23</t>
        </is>
      </c>
    </row>
    <row r="21169">
      <c r="A21169" s="1" t="n">
        <v>21168</v>
      </c>
      <c r="B21169">
        <f>TEXT(21168, "[$-0E0000]yyyy-mm-dd")</f>
        <v/>
      </c>
      <c r="C21169" t="inlineStr">
        <is>
          <t>1957-10-24</t>
        </is>
      </c>
    </row>
    <row r="21170">
      <c r="A21170" s="1" t="n">
        <v>21169</v>
      </c>
      <c r="B21170">
        <f>TEXT(21169, "[$-0E0000]yyyy-mm-dd")</f>
        <v/>
      </c>
      <c r="C21170" t="inlineStr">
        <is>
          <t>1957-10-25</t>
        </is>
      </c>
    </row>
    <row r="21171">
      <c r="A21171" s="1" t="n">
        <v>21170</v>
      </c>
      <c r="B21171">
        <f>TEXT(21170, "[$-0E0000]yyyy-mm-dd")</f>
        <v/>
      </c>
      <c r="C21171" t="inlineStr">
        <is>
          <t>1957-10-26</t>
        </is>
      </c>
    </row>
    <row r="21172">
      <c r="A21172" s="1" t="n">
        <v>21171</v>
      </c>
      <c r="B21172">
        <f>TEXT(21171, "[$-0E0000]yyyy-mm-dd")</f>
        <v/>
      </c>
      <c r="C21172" t="inlineStr">
        <is>
          <t>1957-10-27</t>
        </is>
      </c>
    </row>
    <row r="21173">
      <c r="A21173" s="1" t="n">
        <v>21172</v>
      </c>
      <c r="B21173">
        <f>TEXT(21172, "[$-0E0000]yyyy-mm-dd")</f>
        <v/>
      </c>
      <c r="C21173" t="inlineStr">
        <is>
          <t>1957-10-28</t>
        </is>
      </c>
    </row>
    <row r="21174">
      <c r="A21174" s="1" t="n">
        <v>21173</v>
      </c>
      <c r="B21174">
        <f>TEXT(21173, "[$-0E0000]yyyy-mm-dd")</f>
        <v/>
      </c>
      <c r="C21174" t="inlineStr">
        <is>
          <t>1957-10-29</t>
        </is>
      </c>
    </row>
    <row r="21175">
      <c r="A21175" s="1" t="n">
        <v>21174</v>
      </c>
      <c r="B21175">
        <f>TEXT(21174, "[$-0E0000]yyyy-mm-dd")</f>
        <v/>
      </c>
      <c r="C21175" t="inlineStr">
        <is>
          <t>1957-11-01</t>
        </is>
      </c>
    </row>
    <row r="21176">
      <c r="A21176" s="1" t="n">
        <v>21175</v>
      </c>
      <c r="B21176">
        <f>TEXT(21175, "[$-0E0000]yyyy-mm-dd")</f>
        <v/>
      </c>
      <c r="C21176" t="inlineStr">
        <is>
          <t>1957-11-02</t>
        </is>
      </c>
    </row>
    <row r="21177">
      <c r="A21177" s="1" t="n">
        <v>21176</v>
      </c>
      <c r="B21177">
        <f>TEXT(21176, "[$-0E0000]yyyy-mm-dd")</f>
        <v/>
      </c>
      <c r="C21177" t="inlineStr">
        <is>
          <t>1957-11-03</t>
        </is>
      </c>
    </row>
    <row r="21178">
      <c r="A21178" s="1" t="n">
        <v>21177</v>
      </c>
      <c r="B21178">
        <f>TEXT(21177, "[$-0E0000]yyyy-mm-dd")</f>
        <v/>
      </c>
      <c r="C21178" t="inlineStr">
        <is>
          <t>1957-11-04</t>
        </is>
      </c>
    </row>
    <row r="21179">
      <c r="A21179" s="1" t="n">
        <v>21178</v>
      </c>
      <c r="B21179">
        <f>TEXT(21178, "[$-0E0000]yyyy-mm-dd")</f>
        <v/>
      </c>
      <c r="C21179" t="inlineStr">
        <is>
          <t>1957-11-05</t>
        </is>
      </c>
    </row>
    <row r="21180">
      <c r="A21180" s="1" t="n">
        <v>21179</v>
      </c>
      <c r="B21180">
        <f>TEXT(21179, "[$-0E0000]yyyy-mm-dd")</f>
        <v/>
      </c>
      <c r="C21180" t="inlineStr">
        <is>
          <t>1957-11-06</t>
        </is>
      </c>
    </row>
    <row r="21181">
      <c r="A21181" s="1" t="n">
        <v>21180</v>
      </c>
      <c r="B21181">
        <f>TEXT(21180, "[$-0E0000]yyyy-mm-dd")</f>
        <v/>
      </c>
      <c r="C21181" t="inlineStr">
        <is>
          <t>1957-11-07</t>
        </is>
      </c>
    </row>
    <row r="21182">
      <c r="A21182" s="1" t="n">
        <v>21181</v>
      </c>
      <c r="B21182">
        <f>TEXT(21181, "[$-0E0000]yyyy-mm-dd")</f>
        <v/>
      </c>
      <c r="C21182" t="inlineStr">
        <is>
          <t>1957-11-08</t>
        </is>
      </c>
    </row>
    <row r="21183">
      <c r="A21183" s="1" t="n">
        <v>21182</v>
      </c>
      <c r="B21183">
        <f>TEXT(21182, "[$-0E0000]yyyy-mm-dd")</f>
        <v/>
      </c>
      <c r="C21183" t="inlineStr">
        <is>
          <t>1957-11-09</t>
        </is>
      </c>
    </row>
    <row r="21184">
      <c r="A21184" s="1" t="n">
        <v>21183</v>
      </c>
      <c r="B21184">
        <f>TEXT(21183, "[$-0E0000]yyyy-mm-dd")</f>
        <v/>
      </c>
      <c r="C21184" t="inlineStr">
        <is>
          <t>1957-11-10</t>
        </is>
      </c>
    </row>
    <row r="21185">
      <c r="A21185" s="1" t="n">
        <v>21184</v>
      </c>
      <c r="B21185">
        <f>TEXT(21184, "[$-0E0000]yyyy-mm-dd")</f>
        <v/>
      </c>
      <c r="C21185" t="inlineStr">
        <is>
          <t>1957-11-11</t>
        </is>
      </c>
    </row>
    <row r="21186">
      <c r="A21186" s="1" t="n">
        <v>21185</v>
      </c>
      <c r="B21186">
        <f>TEXT(21185, "[$-0E0000]yyyy-mm-dd")</f>
        <v/>
      </c>
      <c r="C21186" t="inlineStr">
        <is>
          <t>1957-11-12</t>
        </is>
      </c>
    </row>
    <row r="21187">
      <c r="A21187" s="1" t="n">
        <v>21186</v>
      </c>
      <c r="B21187">
        <f>TEXT(21186, "[$-0E0000]yyyy-mm-dd")</f>
        <v/>
      </c>
      <c r="C21187" t="inlineStr">
        <is>
          <t>1957-11-13</t>
        </is>
      </c>
    </row>
    <row r="21188">
      <c r="A21188" s="1" t="n">
        <v>21187</v>
      </c>
      <c r="B21188">
        <f>TEXT(21187, "[$-0E0000]yyyy-mm-dd")</f>
        <v/>
      </c>
      <c r="C21188" t="inlineStr">
        <is>
          <t>1957-11-14</t>
        </is>
      </c>
    </row>
    <row r="21189">
      <c r="A21189" s="1" t="n">
        <v>21188</v>
      </c>
      <c r="B21189">
        <f>TEXT(21188, "[$-0E0000]yyyy-mm-dd")</f>
        <v/>
      </c>
      <c r="C21189" t="inlineStr">
        <is>
          <t>1957-11-15</t>
        </is>
      </c>
    </row>
    <row r="21190">
      <c r="A21190" s="1" t="n">
        <v>21189</v>
      </c>
      <c r="B21190">
        <f>TEXT(21189, "[$-0E0000]yyyy-mm-dd")</f>
        <v/>
      </c>
      <c r="C21190" t="inlineStr">
        <is>
          <t>1957-11-16</t>
        </is>
      </c>
    </row>
    <row r="21191">
      <c r="A21191" s="1" t="n">
        <v>21190</v>
      </c>
      <c r="B21191">
        <f>TEXT(21190, "[$-0E0000]yyyy-mm-dd")</f>
        <v/>
      </c>
      <c r="C21191" t="inlineStr">
        <is>
          <t>1957-11-17</t>
        </is>
      </c>
    </row>
    <row r="21192">
      <c r="A21192" s="1" t="n">
        <v>21191</v>
      </c>
      <c r="B21192">
        <f>TEXT(21191, "[$-0E0000]yyyy-mm-dd")</f>
        <v/>
      </c>
      <c r="C21192" t="inlineStr">
        <is>
          <t>1957-11-18</t>
        </is>
      </c>
    </row>
    <row r="21193">
      <c r="A21193" s="1" t="n">
        <v>21192</v>
      </c>
      <c r="B21193">
        <f>TEXT(21192, "[$-0E0000]yyyy-mm-dd")</f>
        <v/>
      </c>
      <c r="C21193" t="inlineStr">
        <is>
          <t>1957-11-19</t>
        </is>
      </c>
    </row>
    <row r="21194">
      <c r="A21194" s="1" t="n">
        <v>21193</v>
      </c>
      <c r="B21194">
        <f>TEXT(21193, "[$-0E0000]yyyy-mm-dd")</f>
        <v/>
      </c>
      <c r="C21194" t="inlineStr">
        <is>
          <t>1957-11-20</t>
        </is>
      </c>
    </row>
    <row r="21195">
      <c r="A21195" s="1" t="n">
        <v>21194</v>
      </c>
      <c r="B21195">
        <f>TEXT(21194, "[$-0E0000]yyyy-mm-dd")</f>
        <v/>
      </c>
      <c r="C21195" t="inlineStr">
        <is>
          <t>1957-11-21</t>
        </is>
      </c>
    </row>
    <row r="21196">
      <c r="A21196" s="1" t="n">
        <v>21195</v>
      </c>
      <c r="B21196">
        <f>TEXT(21195, "[$-0E0000]yyyy-mm-dd")</f>
        <v/>
      </c>
      <c r="C21196" t="inlineStr">
        <is>
          <t>1957-11-22</t>
        </is>
      </c>
    </row>
    <row r="21197">
      <c r="A21197" s="1" t="n">
        <v>21196</v>
      </c>
      <c r="B21197">
        <f>TEXT(21196, "[$-0E0000]yyyy-mm-dd")</f>
        <v/>
      </c>
      <c r="C21197" t="inlineStr">
        <is>
          <t>1957-11-23</t>
        </is>
      </c>
    </row>
    <row r="21198">
      <c r="A21198" s="1" t="n">
        <v>21197</v>
      </c>
      <c r="B21198">
        <f>TEXT(21197, "[$-0E0000]yyyy-mm-dd")</f>
        <v/>
      </c>
      <c r="C21198" t="inlineStr">
        <is>
          <t>1957-11-24</t>
        </is>
      </c>
    </row>
    <row r="21199">
      <c r="A21199" s="1" t="n">
        <v>21198</v>
      </c>
      <c r="B21199">
        <f>TEXT(21198, "[$-0E0000]yyyy-mm-dd")</f>
        <v/>
      </c>
      <c r="C21199" t="inlineStr">
        <is>
          <t>1957-11-25</t>
        </is>
      </c>
    </row>
    <row r="21200">
      <c r="A21200" s="1" t="n">
        <v>21199</v>
      </c>
      <c r="B21200">
        <f>TEXT(21199, "[$-0E0000]yyyy-mm-dd")</f>
        <v/>
      </c>
      <c r="C21200" t="inlineStr">
        <is>
          <t>1957-11-26</t>
        </is>
      </c>
    </row>
    <row r="21201">
      <c r="A21201" s="1" t="n">
        <v>21200</v>
      </c>
      <c r="B21201">
        <f>TEXT(21200, "[$-0E0000]yyyy-mm-dd")</f>
        <v/>
      </c>
      <c r="C21201" t="inlineStr">
        <is>
          <t>1957-11-27</t>
        </is>
      </c>
    </row>
    <row r="21202">
      <c r="A21202" s="1" t="n">
        <v>21201</v>
      </c>
      <c r="B21202">
        <f>TEXT(21201, "[$-0E0000]yyyy-mm-dd")</f>
        <v/>
      </c>
      <c r="C21202" t="inlineStr">
        <is>
          <t>1957-11-28</t>
        </is>
      </c>
    </row>
    <row r="21203">
      <c r="A21203" s="1" t="n">
        <v>21202</v>
      </c>
      <c r="B21203">
        <f>TEXT(21202, "[$-0E0000]yyyy-mm-dd")</f>
        <v/>
      </c>
      <c r="C21203" t="inlineStr">
        <is>
          <t>1957-11-29</t>
        </is>
      </c>
    </row>
    <row r="21204">
      <c r="A21204" s="1" t="n">
        <v>21203</v>
      </c>
      <c r="B21204">
        <f>TEXT(21203, "[$-0E0000]yyyy-mm-dd")</f>
        <v/>
      </c>
      <c r="C21204" t="inlineStr">
        <is>
          <t>1957-11-30</t>
        </is>
      </c>
    </row>
    <row r="21205">
      <c r="A21205" s="1" t="n">
        <v>21204</v>
      </c>
      <c r="B21205">
        <f>TEXT(21204, "[$-0E0000]yyyy-mm-dd")</f>
        <v/>
      </c>
      <c r="C21205" t="inlineStr">
        <is>
          <t>1957-12-01</t>
        </is>
      </c>
    </row>
    <row r="21206">
      <c r="A21206" s="1" t="n">
        <v>21205</v>
      </c>
      <c r="B21206">
        <f>TEXT(21205, "[$-0E0000]yyyy-mm-dd")</f>
        <v/>
      </c>
      <c r="C21206" t="inlineStr">
        <is>
          <t>1957-12-02</t>
        </is>
      </c>
    </row>
    <row r="21207">
      <c r="A21207" s="1" t="n">
        <v>21206</v>
      </c>
      <c r="B21207">
        <f>TEXT(21206, "[$-0E0000]yyyy-mm-dd")</f>
        <v/>
      </c>
      <c r="C21207" t="inlineStr">
        <is>
          <t>1957-12-03</t>
        </is>
      </c>
    </row>
    <row r="21208">
      <c r="A21208" s="1" t="n">
        <v>21207</v>
      </c>
      <c r="B21208">
        <f>TEXT(21207, "[$-0E0000]yyyy-mm-dd")</f>
        <v/>
      </c>
      <c r="C21208" t="inlineStr">
        <is>
          <t>1957-12-04</t>
        </is>
      </c>
    </row>
    <row r="21209">
      <c r="A21209" s="1" t="n">
        <v>21208</v>
      </c>
      <c r="B21209">
        <f>TEXT(21208, "[$-0E0000]yyyy-mm-dd")</f>
        <v/>
      </c>
      <c r="C21209" t="inlineStr">
        <is>
          <t>1957-12-05</t>
        </is>
      </c>
    </row>
    <row r="21210">
      <c r="A21210" s="1" t="n">
        <v>21209</v>
      </c>
      <c r="B21210">
        <f>TEXT(21209, "[$-0E0000]yyyy-mm-dd")</f>
        <v/>
      </c>
      <c r="C21210" t="inlineStr">
        <is>
          <t>1957-12-06</t>
        </is>
      </c>
    </row>
    <row r="21211">
      <c r="A21211" s="1" t="n">
        <v>21210</v>
      </c>
      <c r="B21211">
        <f>TEXT(21210, "[$-0E0000]yyyy-mm-dd")</f>
        <v/>
      </c>
      <c r="C21211" t="inlineStr">
        <is>
          <t>1957-12-07</t>
        </is>
      </c>
    </row>
    <row r="21212">
      <c r="A21212" s="1" t="n">
        <v>21211</v>
      </c>
      <c r="B21212">
        <f>TEXT(21211, "[$-0E0000]yyyy-mm-dd")</f>
        <v/>
      </c>
      <c r="C21212" t="inlineStr">
        <is>
          <t>1957-12-08</t>
        </is>
      </c>
    </row>
    <row r="21213">
      <c r="A21213" s="1" t="n">
        <v>21212</v>
      </c>
      <c r="B21213">
        <f>TEXT(21212, "[$-0E0000]yyyy-mm-dd")</f>
        <v/>
      </c>
      <c r="C21213" t="inlineStr">
        <is>
          <t>1957-12-09</t>
        </is>
      </c>
    </row>
    <row r="21214">
      <c r="A21214" s="1" t="n">
        <v>21213</v>
      </c>
      <c r="B21214">
        <f>TEXT(21213, "[$-0E0000]yyyy-mm-dd")</f>
        <v/>
      </c>
      <c r="C21214" t="inlineStr">
        <is>
          <t>1957-12-10</t>
        </is>
      </c>
    </row>
    <row r="21215">
      <c r="A21215" s="1" t="n">
        <v>21214</v>
      </c>
      <c r="B21215">
        <f>TEXT(21214, "[$-0E0000]yyyy-mm-dd")</f>
        <v/>
      </c>
      <c r="C21215" t="inlineStr">
        <is>
          <t>1957-12-11</t>
        </is>
      </c>
    </row>
    <row r="21216">
      <c r="A21216" s="1" t="n">
        <v>21215</v>
      </c>
      <c r="B21216">
        <f>TEXT(21215, "[$-0E0000]yyyy-mm-dd")</f>
        <v/>
      </c>
      <c r="C21216" t="inlineStr">
        <is>
          <t>1957-12-12</t>
        </is>
      </c>
    </row>
    <row r="21217">
      <c r="A21217" s="1" t="n">
        <v>21216</v>
      </c>
      <c r="B21217">
        <f>TEXT(21216, "[$-0E0000]yyyy-mm-dd")</f>
        <v/>
      </c>
      <c r="C21217" t="inlineStr">
        <is>
          <t>1957-12-13</t>
        </is>
      </c>
    </row>
    <row r="21218">
      <c r="A21218" s="1" t="n">
        <v>21217</v>
      </c>
      <c r="B21218">
        <f>TEXT(21217, "[$-0E0000]yyyy-mm-dd")</f>
        <v/>
      </c>
      <c r="C21218" t="inlineStr">
        <is>
          <t>1957-12-14</t>
        </is>
      </c>
    </row>
    <row r="21219">
      <c r="A21219" s="1" t="n">
        <v>21218</v>
      </c>
      <c r="B21219">
        <f>TEXT(21218, "[$-0E0000]yyyy-mm-dd")</f>
        <v/>
      </c>
      <c r="C21219" t="inlineStr">
        <is>
          <t>1957-12-15</t>
        </is>
      </c>
    </row>
    <row r="21220">
      <c r="A21220" s="1" t="n">
        <v>21219</v>
      </c>
      <c r="B21220">
        <f>TEXT(21219, "[$-0E0000]yyyy-mm-dd")</f>
        <v/>
      </c>
      <c r="C21220" t="inlineStr">
        <is>
          <t>1957-12-16</t>
        </is>
      </c>
    </row>
    <row r="21221">
      <c r="A21221" s="1" t="n">
        <v>21220</v>
      </c>
      <c r="B21221">
        <f>TEXT(21220, "[$-0E0000]yyyy-mm-dd")</f>
        <v/>
      </c>
      <c r="C21221" t="inlineStr">
        <is>
          <t>1957-12-17</t>
        </is>
      </c>
    </row>
    <row r="21222">
      <c r="A21222" s="1" t="n">
        <v>21221</v>
      </c>
      <c r="B21222">
        <f>TEXT(21221, "[$-0E0000]yyyy-mm-dd")</f>
        <v/>
      </c>
      <c r="C21222" t="inlineStr">
        <is>
          <t>1957-12-18</t>
        </is>
      </c>
    </row>
    <row r="21223">
      <c r="A21223" s="1" t="n">
        <v>21222</v>
      </c>
      <c r="B21223">
        <f>TEXT(21222, "[$-0E0000]yyyy-mm-dd")</f>
        <v/>
      </c>
      <c r="C21223" t="inlineStr">
        <is>
          <t>1957-12-19</t>
        </is>
      </c>
    </row>
    <row r="21224">
      <c r="A21224" s="1" t="n">
        <v>21223</v>
      </c>
      <c r="B21224">
        <f>TEXT(21223, "[$-0E0000]yyyy-mm-dd")</f>
        <v/>
      </c>
      <c r="C21224" t="inlineStr">
        <is>
          <t>1957-12-20</t>
        </is>
      </c>
    </row>
    <row r="21225">
      <c r="A21225" s="1" t="n">
        <v>21224</v>
      </c>
      <c r="B21225">
        <f>TEXT(21224, "[$-0E0000]yyyy-mm-dd")</f>
        <v/>
      </c>
      <c r="C21225" t="inlineStr">
        <is>
          <t>1957-12-21</t>
        </is>
      </c>
    </row>
    <row r="21226">
      <c r="A21226" s="1" t="n">
        <v>21225</v>
      </c>
      <c r="B21226">
        <f>TEXT(21225, "[$-0E0000]yyyy-mm-dd")</f>
        <v/>
      </c>
      <c r="C21226" t="inlineStr">
        <is>
          <t>1957-12-22</t>
        </is>
      </c>
    </row>
    <row r="21227">
      <c r="A21227" s="1" t="n">
        <v>21226</v>
      </c>
      <c r="B21227">
        <f>TEXT(21226, "[$-0E0000]yyyy-mm-dd")</f>
        <v/>
      </c>
      <c r="C21227" t="inlineStr">
        <is>
          <t>1957-12-23</t>
        </is>
      </c>
    </row>
    <row r="21228">
      <c r="A21228" s="1" t="n">
        <v>21227</v>
      </c>
      <c r="B21228">
        <f>TEXT(21227, "[$-0E0000]yyyy-mm-dd")</f>
        <v/>
      </c>
      <c r="C21228" t="inlineStr">
        <is>
          <t>1957-12-24</t>
        </is>
      </c>
    </row>
    <row r="21229">
      <c r="A21229" s="1" t="n">
        <v>21228</v>
      </c>
      <c r="B21229">
        <f>TEXT(21228, "[$-0E0000]yyyy-mm-dd")</f>
        <v/>
      </c>
      <c r="C21229" t="inlineStr">
        <is>
          <t>1957-12-25</t>
        </is>
      </c>
    </row>
    <row r="21230">
      <c r="A21230" s="1" t="n">
        <v>21229</v>
      </c>
      <c r="B21230">
        <f>TEXT(21229, "[$-0E0000]yyyy-mm-dd")</f>
        <v/>
      </c>
      <c r="C21230" t="inlineStr">
        <is>
          <t>1957-12-26</t>
        </is>
      </c>
    </row>
    <row r="21231">
      <c r="A21231" s="1" t="n">
        <v>21230</v>
      </c>
      <c r="B21231">
        <f>TEXT(21230, "[$-0E0000]yyyy-mm-dd")</f>
        <v/>
      </c>
      <c r="C21231" t="inlineStr">
        <is>
          <t>1957-12-27</t>
        </is>
      </c>
    </row>
    <row r="21232">
      <c r="A21232" s="1" t="n">
        <v>21231</v>
      </c>
      <c r="B21232">
        <f>TEXT(21231, "[$-0E0000]yyyy-mm-dd")</f>
        <v/>
      </c>
      <c r="C21232" t="inlineStr">
        <is>
          <t>1957-12-28</t>
        </is>
      </c>
    </row>
    <row r="21233">
      <c r="A21233" s="1" t="n">
        <v>21232</v>
      </c>
      <c r="B21233">
        <f>TEXT(21232, "[$-0E0000]yyyy-mm-dd")</f>
        <v/>
      </c>
      <c r="C21233" t="inlineStr">
        <is>
          <t>1957-12-29</t>
        </is>
      </c>
    </row>
    <row r="21234">
      <c r="A21234" s="1" t="n">
        <v>21233</v>
      </c>
      <c r="B21234">
        <f>TEXT(21233, "[$-0E0000]yyyy-mm-dd")</f>
        <v/>
      </c>
      <c r="C21234" t="inlineStr">
        <is>
          <t>1958-01-01</t>
        </is>
      </c>
    </row>
    <row r="21235">
      <c r="A21235" s="1" t="n">
        <v>21234</v>
      </c>
      <c r="B21235">
        <f>TEXT(21234, "[$-0E0000]yyyy-mm-dd")</f>
        <v/>
      </c>
      <c r="C21235" t="inlineStr">
        <is>
          <t>1958-01-02</t>
        </is>
      </c>
    </row>
    <row r="21236">
      <c r="A21236" s="1" t="n">
        <v>21235</v>
      </c>
      <c r="B21236">
        <f>TEXT(21235, "[$-0E0000]yyyy-mm-dd")</f>
        <v/>
      </c>
      <c r="C21236" t="inlineStr">
        <is>
          <t>1958-01-03</t>
        </is>
      </c>
    </row>
    <row r="21237">
      <c r="A21237" s="1" t="n">
        <v>21236</v>
      </c>
      <c r="B21237">
        <f>TEXT(21236, "[$-0E0000]yyyy-mm-dd")</f>
        <v/>
      </c>
      <c r="C21237" t="inlineStr">
        <is>
          <t>1958-01-04</t>
        </is>
      </c>
    </row>
    <row r="21238">
      <c r="A21238" s="1" t="n">
        <v>21237</v>
      </c>
      <c r="B21238">
        <f>TEXT(21237, "[$-0E0000]yyyy-mm-dd")</f>
        <v/>
      </c>
      <c r="C21238" t="inlineStr">
        <is>
          <t>1958-01-05</t>
        </is>
      </c>
    </row>
    <row r="21239">
      <c r="A21239" s="1" t="n">
        <v>21238</v>
      </c>
      <c r="B21239">
        <f>TEXT(21238, "[$-0E0000]yyyy-mm-dd")</f>
        <v/>
      </c>
      <c r="C21239" t="inlineStr">
        <is>
          <t>1958-01-06</t>
        </is>
      </c>
    </row>
    <row r="21240">
      <c r="A21240" s="1" t="n">
        <v>21239</v>
      </c>
      <c r="B21240">
        <f>TEXT(21239, "[$-0E0000]yyyy-mm-dd")</f>
        <v/>
      </c>
      <c r="C21240" t="inlineStr">
        <is>
          <t>1958-01-07</t>
        </is>
      </c>
    </row>
    <row r="21241">
      <c r="A21241" s="1" t="n">
        <v>21240</v>
      </c>
      <c r="B21241">
        <f>TEXT(21240, "[$-0E0000]yyyy-mm-dd")</f>
        <v/>
      </c>
      <c r="C21241" t="inlineStr">
        <is>
          <t>1958-01-08</t>
        </is>
      </c>
    </row>
    <row r="21242">
      <c r="A21242" s="1" t="n">
        <v>21241</v>
      </c>
      <c r="B21242">
        <f>TEXT(21241, "[$-0E0000]yyyy-mm-dd")</f>
        <v/>
      </c>
      <c r="C21242" t="inlineStr">
        <is>
          <t>1958-01-09</t>
        </is>
      </c>
    </row>
    <row r="21243">
      <c r="A21243" s="1" t="n">
        <v>21242</v>
      </c>
      <c r="B21243">
        <f>TEXT(21242, "[$-0E0000]yyyy-mm-dd")</f>
        <v/>
      </c>
      <c r="C21243" t="inlineStr">
        <is>
          <t>1958-01-10</t>
        </is>
      </c>
    </row>
    <row r="21244">
      <c r="A21244" s="1" t="n">
        <v>21243</v>
      </c>
      <c r="B21244">
        <f>TEXT(21243, "[$-0E0000]yyyy-mm-dd")</f>
        <v/>
      </c>
      <c r="C21244" t="inlineStr">
        <is>
          <t>1958-01-11</t>
        </is>
      </c>
    </row>
    <row r="21245">
      <c r="A21245" s="1" t="n">
        <v>21244</v>
      </c>
      <c r="B21245">
        <f>TEXT(21244, "[$-0E0000]yyyy-mm-dd")</f>
        <v/>
      </c>
      <c r="C21245" t="inlineStr">
        <is>
          <t>1958-01-12</t>
        </is>
      </c>
    </row>
    <row r="21246">
      <c r="A21246" s="1" t="n">
        <v>21245</v>
      </c>
      <c r="B21246">
        <f>TEXT(21245, "[$-0E0000]yyyy-mm-dd")</f>
        <v/>
      </c>
      <c r="C21246" t="inlineStr">
        <is>
          <t>1958-01-13</t>
        </is>
      </c>
    </row>
    <row r="21247">
      <c r="A21247" s="1" t="n">
        <v>21246</v>
      </c>
      <c r="B21247">
        <f>TEXT(21246, "[$-0E0000]yyyy-mm-dd")</f>
        <v/>
      </c>
      <c r="C21247" t="inlineStr">
        <is>
          <t>1958-01-14</t>
        </is>
      </c>
    </row>
    <row r="21248">
      <c r="A21248" s="1" t="n">
        <v>21247</v>
      </c>
      <c r="B21248">
        <f>TEXT(21247, "[$-0E0000]yyyy-mm-dd")</f>
        <v/>
      </c>
      <c r="C21248" t="inlineStr">
        <is>
          <t>1958-01-15</t>
        </is>
      </c>
    </row>
    <row r="21249">
      <c r="A21249" s="1" t="n">
        <v>21248</v>
      </c>
      <c r="B21249">
        <f>TEXT(21248, "[$-0E0000]yyyy-mm-dd")</f>
        <v/>
      </c>
      <c r="C21249" t="inlineStr">
        <is>
          <t>1958-01-16</t>
        </is>
      </c>
    </row>
    <row r="21250">
      <c r="A21250" s="1" t="n">
        <v>21249</v>
      </c>
      <c r="B21250">
        <f>TEXT(21249, "[$-0E0000]yyyy-mm-dd")</f>
        <v/>
      </c>
      <c r="C21250" t="inlineStr">
        <is>
          <t>1958-01-17</t>
        </is>
      </c>
    </row>
    <row r="21251">
      <c r="A21251" s="1" t="n">
        <v>21250</v>
      </c>
      <c r="B21251">
        <f>TEXT(21250, "[$-0E0000]yyyy-mm-dd")</f>
        <v/>
      </c>
      <c r="C21251" t="inlineStr">
        <is>
          <t>1958-01-18</t>
        </is>
      </c>
    </row>
    <row r="21252">
      <c r="A21252" s="1" t="n">
        <v>21251</v>
      </c>
      <c r="B21252">
        <f>TEXT(21251, "[$-0E0000]yyyy-mm-dd")</f>
        <v/>
      </c>
      <c r="C21252" t="inlineStr">
        <is>
          <t>1958-01-19</t>
        </is>
      </c>
    </row>
    <row r="21253">
      <c r="A21253" s="1" t="n">
        <v>21252</v>
      </c>
      <c r="B21253">
        <f>TEXT(21252, "[$-0E0000]yyyy-mm-dd")</f>
        <v/>
      </c>
      <c r="C21253" t="inlineStr">
        <is>
          <t>1958-01-20</t>
        </is>
      </c>
    </row>
    <row r="21254">
      <c r="A21254" s="1" t="n">
        <v>21253</v>
      </c>
      <c r="B21254">
        <f>TEXT(21253, "[$-0E0000]yyyy-mm-dd")</f>
        <v/>
      </c>
      <c r="C21254" t="inlineStr">
        <is>
          <t>1958-01-21</t>
        </is>
      </c>
    </row>
    <row r="21255">
      <c r="A21255" s="1" t="n">
        <v>21254</v>
      </c>
      <c r="B21255">
        <f>TEXT(21254, "[$-0E0000]yyyy-mm-dd")</f>
        <v/>
      </c>
      <c r="C21255" t="inlineStr">
        <is>
          <t>1958-01-22</t>
        </is>
      </c>
    </row>
    <row r="21256">
      <c r="A21256" s="1" t="n">
        <v>21255</v>
      </c>
      <c r="B21256">
        <f>TEXT(21255, "[$-0E0000]yyyy-mm-dd")</f>
        <v/>
      </c>
      <c r="C21256" t="inlineStr">
        <is>
          <t>1958-01-23</t>
        </is>
      </c>
    </row>
    <row r="21257">
      <c r="A21257" s="1" t="n">
        <v>21256</v>
      </c>
      <c r="B21257">
        <f>TEXT(21256, "[$-0E0000]yyyy-mm-dd")</f>
        <v/>
      </c>
      <c r="C21257" t="inlineStr">
        <is>
          <t>1958-01-24</t>
        </is>
      </c>
    </row>
    <row r="21258">
      <c r="A21258" s="1" t="n">
        <v>21257</v>
      </c>
      <c r="B21258">
        <f>TEXT(21257, "[$-0E0000]yyyy-mm-dd")</f>
        <v/>
      </c>
      <c r="C21258" t="inlineStr">
        <is>
          <t>1958-01-25</t>
        </is>
      </c>
    </row>
    <row r="21259">
      <c r="A21259" s="1" t="n">
        <v>21258</v>
      </c>
      <c r="B21259">
        <f>TEXT(21258, "[$-0E0000]yyyy-mm-dd")</f>
        <v/>
      </c>
      <c r="C21259" t="inlineStr">
        <is>
          <t>1958-01-26</t>
        </is>
      </c>
    </row>
    <row r="21260">
      <c r="A21260" s="1" t="n">
        <v>21259</v>
      </c>
      <c r="B21260">
        <f>TEXT(21259, "[$-0E0000]yyyy-mm-dd")</f>
        <v/>
      </c>
      <c r="C21260" t="inlineStr">
        <is>
          <t>1958-01-27</t>
        </is>
      </c>
    </row>
    <row r="21261">
      <c r="A21261" s="1" t="n">
        <v>21260</v>
      </c>
      <c r="B21261">
        <f>TEXT(21260, "[$-0E0000]yyyy-mm-dd")</f>
        <v/>
      </c>
      <c r="C21261" t="inlineStr">
        <is>
          <t>1958-01-28</t>
        </is>
      </c>
    </row>
    <row r="21262">
      <c r="A21262" s="1" t="n">
        <v>21261</v>
      </c>
      <c r="B21262">
        <f>TEXT(21261, "[$-0E0000]yyyy-mm-dd")</f>
        <v/>
      </c>
      <c r="C21262" t="inlineStr">
        <is>
          <t>1958-01-29</t>
        </is>
      </c>
    </row>
    <row r="21263">
      <c r="A21263" s="1" t="n">
        <v>21262</v>
      </c>
      <c r="B21263">
        <f>TEXT(21262, "[$-0E0000]yyyy-mm-dd")</f>
        <v/>
      </c>
      <c r="C21263" t="inlineStr">
        <is>
          <t>1958-01-30</t>
        </is>
      </c>
    </row>
    <row r="21264">
      <c r="A21264" s="1" t="n">
        <v>21263</v>
      </c>
      <c r="B21264">
        <f>TEXT(21263, "[$-0E0000]yyyy-mm-dd")</f>
        <v/>
      </c>
      <c r="C21264" t="inlineStr">
        <is>
          <t>1958-02-01</t>
        </is>
      </c>
    </row>
    <row r="21265">
      <c r="A21265" s="1" t="n">
        <v>21264</v>
      </c>
      <c r="B21265">
        <f>TEXT(21264, "[$-0E0000]yyyy-mm-dd")</f>
        <v/>
      </c>
      <c r="C21265" t="inlineStr">
        <is>
          <t>1958-02-02</t>
        </is>
      </c>
    </row>
    <row r="21266">
      <c r="A21266" s="1" t="n">
        <v>21265</v>
      </c>
      <c r="B21266">
        <f>TEXT(21265, "[$-0E0000]yyyy-mm-dd")</f>
        <v/>
      </c>
      <c r="C21266" t="inlineStr">
        <is>
          <t>1958-02-03</t>
        </is>
      </c>
    </row>
    <row r="21267">
      <c r="A21267" s="1" t="n">
        <v>21266</v>
      </c>
      <c r="B21267">
        <f>TEXT(21266, "[$-0E0000]yyyy-mm-dd")</f>
        <v/>
      </c>
      <c r="C21267" t="inlineStr">
        <is>
          <t>1958-02-04</t>
        </is>
      </c>
    </row>
    <row r="21268">
      <c r="A21268" s="1" t="n">
        <v>21267</v>
      </c>
      <c r="B21268">
        <f>TEXT(21267, "[$-0E0000]yyyy-mm-dd")</f>
        <v/>
      </c>
      <c r="C21268" t="inlineStr">
        <is>
          <t>1958-02-05</t>
        </is>
      </c>
    </row>
    <row r="21269">
      <c r="A21269" s="1" t="n">
        <v>21268</v>
      </c>
      <c r="B21269">
        <f>TEXT(21268, "[$-0E0000]yyyy-mm-dd")</f>
        <v/>
      </c>
      <c r="C21269" t="inlineStr">
        <is>
          <t>1958-02-06</t>
        </is>
      </c>
    </row>
    <row r="21270">
      <c r="A21270" s="1" t="n">
        <v>21269</v>
      </c>
      <c r="B21270">
        <f>TEXT(21269, "[$-0E0000]yyyy-mm-dd")</f>
        <v/>
      </c>
      <c r="C21270" t="inlineStr">
        <is>
          <t>1958-02-07</t>
        </is>
      </c>
    </row>
    <row r="21271">
      <c r="A21271" s="1" t="n">
        <v>21270</v>
      </c>
      <c r="B21271">
        <f>TEXT(21270, "[$-0E0000]yyyy-mm-dd")</f>
        <v/>
      </c>
      <c r="C21271" t="inlineStr">
        <is>
          <t>1958-02-08</t>
        </is>
      </c>
    </row>
    <row r="21272">
      <c r="A21272" s="1" t="n">
        <v>21271</v>
      </c>
      <c r="B21272">
        <f>TEXT(21271, "[$-0E0000]yyyy-mm-dd")</f>
        <v/>
      </c>
      <c r="C21272" t="inlineStr">
        <is>
          <t>1958-02-09</t>
        </is>
      </c>
    </row>
    <row r="21273">
      <c r="A21273" s="1" t="n">
        <v>21272</v>
      </c>
      <c r="B21273">
        <f>TEXT(21272, "[$-0E0000]yyyy-mm-dd")</f>
        <v/>
      </c>
      <c r="C21273" t="inlineStr">
        <is>
          <t>1958-02-10</t>
        </is>
      </c>
    </row>
    <row r="21274">
      <c r="A21274" s="1" t="n">
        <v>21273</v>
      </c>
      <c r="B21274">
        <f>TEXT(21273, "[$-0E0000]yyyy-mm-dd")</f>
        <v/>
      </c>
      <c r="C21274" t="inlineStr">
        <is>
          <t>1958-02-11</t>
        </is>
      </c>
    </row>
    <row r="21275">
      <c r="A21275" s="1" t="n">
        <v>21274</v>
      </c>
      <c r="B21275">
        <f>TEXT(21274, "[$-0E0000]yyyy-mm-dd")</f>
        <v/>
      </c>
      <c r="C21275" t="inlineStr">
        <is>
          <t>1958-02-12</t>
        </is>
      </c>
    </row>
    <row r="21276">
      <c r="A21276" s="1" t="n">
        <v>21275</v>
      </c>
      <c r="B21276">
        <f>TEXT(21275, "[$-0E0000]yyyy-mm-dd")</f>
        <v/>
      </c>
      <c r="C21276" t="inlineStr">
        <is>
          <t>1958-02-13</t>
        </is>
      </c>
    </row>
    <row r="21277">
      <c r="A21277" s="1" t="n">
        <v>21276</v>
      </c>
      <c r="B21277">
        <f>TEXT(21276, "[$-0E0000]yyyy-mm-dd")</f>
        <v/>
      </c>
      <c r="C21277" t="inlineStr">
        <is>
          <t>1958-02-14</t>
        </is>
      </c>
    </row>
    <row r="21278">
      <c r="A21278" s="1" t="n">
        <v>21277</v>
      </c>
      <c r="B21278">
        <f>TEXT(21277, "[$-0E0000]yyyy-mm-dd")</f>
        <v/>
      </c>
      <c r="C21278" t="inlineStr">
        <is>
          <t>1958-02-15</t>
        </is>
      </c>
    </row>
    <row r="21279">
      <c r="A21279" s="1" t="n">
        <v>21278</v>
      </c>
      <c r="B21279">
        <f>TEXT(21278, "[$-0E0000]yyyy-mm-dd")</f>
        <v/>
      </c>
      <c r="C21279" t="inlineStr">
        <is>
          <t>1958-02-16</t>
        </is>
      </c>
    </row>
    <row r="21280">
      <c r="A21280" s="1" t="n">
        <v>21279</v>
      </c>
      <c r="B21280">
        <f>TEXT(21279, "[$-0E0000]yyyy-mm-dd")</f>
        <v/>
      </c>
      <c r="C21280" t="inlineStr">
        <is>
          <t>1958-02-17</t>
        </is>
      </c>
    </row>
    <row r="21281">
      <c r="A21281" s="1" t="n">
        <v>21280</v>
      </c>
      <c r="B21281">
        <f>TEXT(21280, "[$-0E0000]yyyy-mm-dd")</f>
        <v/>
      </c>
      <c r="C21281" t="inlineStr">
        <is>
          <t>1958-02-18</t>
        </is>
      </c>
    </row>
    <row r="21282">
      <c r="A21282" s="1" t="n">
        <v>21281</v>
      </c>
      <c r="B21282">
        <f>TEXT(21281, "[$-0E0000]yyyy-mm-dd")</f>
        <v/>
      </c>
      <c r="C21282" t="inlineStr">
        <is>
          <t>1958-02-19</t>
        </is>
      </c>
    </row>
    <row r="21283">
      <c r="A21283" s="1" t="n">
        <v>21282</v>
      </c>
      <c r="B21283">
        <f>TEXT(21282, "[$-0E0000]yyyy-mm-dd")</f>
        <v/>
      </c>
      <c r="C21283" t="inlineStr">
        <is>
          <t>1958-02-20</t>
        </is>
      </c>
    </row>
    <row r="21284">
      <c r="A21284" s="1" t="n">
        <v>21283</v>
      </c>
      <c r="B21284">
        <f>TEXT(21283, "[$-0E0000]yyyy-mm-dd")</f>
        <v/>
      </c>
      <c r="C21284" t="inlineStr">
        <is>
          <t>1958-02-21</t>
        </is>
      </c>
    </row>
    <row r="21285">
      <c r="A21285" s="1" t="n">
        <v>21284</v>
      </c>
      <c r="B21285">
        <f>TEXT(21284, "[$-0E0000]yyyy-mm-dd")</f>
        <v/>
      </c>
      <c r="C21285" t="inlineStr">
        <is>
          <t>1958-02-22</t>
        </is>
      </c>
    </row>
    <row r="21286">
      <c r="A21286" s="1" t="n">
        <v>21285</v>
      </c>
      <c r="B21286">
        <f>TEXT(21285, "[$-0E0000]yyyy-mm-dd")</f>
        <v/>
      </c>
      <c r="C21286" t="inlineStr">
        <is>
          <t>1958-02-23</t>
        </is>
      </c>
    </row>
    <row r="21287">
      <c r="A21287" s="1" t="n">
        <v>21286</v>
      </c>
      <c r="B21287">
        <f>TEXT(21286, "[$-0E0000]yyyy-mm-dd")</f>
        <v/>
      </c>
      <c r="C21287" t="inlineStr">
        <is>
          <t>1958-02-24</t>
        </is>
      </c>
    </row>
    <row r="21288">
      <c r="A21288" s="1" t="n">
        <v>21287</v>
      </c>
      <c r="B21288">
        <f>TEXT(21287, "[$-0E0000]yyyy-mm-dd")</f>
        <v/>
      </c>
      <c r="C21288" t="inlineStr">
        <is>
          <t>1958-02-25</t>
        </is>
      </c>
    </row>
    <row r="21289">
      <c r="A21289" s="1" t="n">
        <v>21288</v>
      </c>
      <c r="B21289">
        <f>TEXT(21288, "[$-0E0000]yyyy-mm-dd")</f>
        <v/>
      </c>
      <c r="C21289" t="inlineStr">
        <is>
          <t>1958-02-26</t>
        </is>
      </c>
    </row>
    <row r="21290">
      <c r="A21290" s="1" t="n">
        <v>21289</v>
      </c>
      <c r="B21290">
        <f>TEXT(21289, "[$-0E0000]yyyy-mm-dd")</f>
        <v/>
      </c>
      <c r="C21290" t="inlineStr">
        <is>
          <t>1958-02-27</t>
        </is>
      </c>
    </row>
    <row r="21291">
      <c r="A21291" s="1" t="n">
        <v>21290</v>
      </c>
      <c r="B21291">
        <f>TEXT(21290, "[$-0E0000]yyyy-mm-dd")</f>
        <v/>
      </c>
      <c r="C21291" t="inlineStr">
        <is>
          <t>1958-02-28</t>
        </is>
      </c>
    </row>
    <row r="21292">
      <c r="A21292" s="1" t="n">
        <v>21291</v>
      </c>
      <c r="B21292">
        <f>TEXT(21291, "[$-0E0000]yyyy-mm-dd")</f>
        <v/>
      </c>
      <c r="C21292" t="inlineStr">
        <is>
          <t>1958-02-29</t>
        </is>
      </c>
    </row>
    <row r="21293">
      <c r="A21293" s="1" t="n">
        <v>21292</v>
      </c>
      <c r="B21293">
        <f>TEXT(21292, "[$-0E0000]yyyy-mm-dd")</f>
        <v/>
      </c>
      <c r="C21293" t="inlineStr">
        <is>
          <t>1958-02-30</t>
        </is>
      </c>
    </row>
    <row r="21294">
      <c r="A21294" s="1" t="n">
        <v>21293</v>
      </c>
      <c r="B21294">
        <f>TEXT(21293, "[$-0E0000]yyyy-mm-dd")</f>
        <v/>
      </c>
      <c r="C21294" t="inlineStr">
        <is>
          <t>1958-03-01</t>
        </is>
      </c>
    </row>
    <row r="21295">
      <c r="A21295" s="1" t="n">
        <v>21294</v>
      </c>
      <c r="B21295">
        <f>TEXT(21294, "[$-0E0000]yyyy-mm-dd")</f>
        <v/>
      </c>
      <c r="C21295" t="inlineStr">
        <is>
          <t>1958-03-02</t>
        </is>
      </c>
    </row>
    <row r="21296">
      <c r="A21296" s="1" t="n">
        <v>21295</v>
      </c>
      <c r="B21296">
        <f>TEXT(21295, "[$-0E0000]yyyy-mm-dd")</f>
        <v/>
      </c>
      <c r="C21296" t="inlineStr">
        <is>
          <t>1958-03-03</t>
        </is>
      </c>
    </row>
    <row r="21297">
      <c r="A21297" s="1" t="n">
        <v>21296</v>
      </c>
      <c r="B21297">
        <f>TEXT(21296, "[$-0E0000]yyyy-mm-dd")</f>
        <v/>
      </c>
      <c r="C21297" t="inlineStr">
        <is>
          <t>1958-03-04</t>
        </is>
      </c>
    </row>
    <row r="21298">
      <c r="A21298" s="1" t="n">
        <v>21297</v>
      </c>
      <c r="B21298">
        <f>TEXT(21297, "[$-0E0000]yyyy-mm-dd")</f>
        <v/>
      </c>
      <c r="C21298" t="inlineStr">
        <is>
          <t>1958-03-05</t>
        </is>
      </c>
    </row>
    <row r="21299">
      <c r="A21299" s="1" t="n">
        <v>21298</v>
      </c>
      <c r="B21299">
        <f>TEXT(21298, "[$-0E0000]yyyy-mm-dd")</f>
        <v/>
      </c>
      <c r="C21299" t="inlineStr">
        <is>
          <t>1958-03-06</t>
        </is>
      </c>
    </row>
    <row r="21300">
      <c r="A21300" s="1" t="n">
        <v>21299</v>
      </c>
      <c r="B21300">
        <f>TEXT(21299, "[$-0E0000]yyyy-mm-dd")</f>
        <v/>
      </c>
      <c r="C21300" t="inlineStr">
        <is>
          <t>1958-03-07</t>
        </is>
      </c>
    </row>
    <row r="21301">
      <c r="A21301" s="1" t="n">
        <v>21300</v>
      </c>
      <c r="B21301">
        <f>TEXT(21300, "[$-0E0000]yyyy-mm-dd")</f>
        <v/>
      </c>
      <c r="C21301" t="inlineStr">
        <is>
          <t>1958-03-08</t>
        </is>
      </c>
    </row>
    <row r="21302">
      <c r="A21302" s="1" t="n">
        <v>21301</v>
      </c>
      <c r="B21302">
        <f>TEXT(21301, "[$-0E0000]yyyy-mm-dd")</f>
        <v/>
      </c>
      <c r="C21302" t="inlineStr">
        <is>
          <t>1958-03-09</t>
        </is>
      </c>
    </row>
    <row r="21303">
      <c r="A21303" s="1" t="n">
        <v>21302</v>
      </c>
      <c r="B21303">
        <f>TEXT(21302, "[$-0E0000]yyyy-mm-dd")</f>
        <v/>
      </c>
      <c r="C21303" t="inlineStr">
        <is>
          <t>1958-03-10</t>
        </is>
      </c>
    </row>
    <row r="21304">
      <c r="A21304" s="1" t="n">
        <v>21303</v>
      </c>
      <c r="B21304">
        <f>TEXT(21303, "[$-0E0000]yyyy-mm-dd")</f>
        <v/>
      </c>
      <c r="C21304" t="inlineStr">
        <is>
          <t>1958-03-11</t>
        </is>
      </c>
    </row>
    <row r="21305">
      <c r="A21305" s="1" t="n">
        <v>21304</v>
      </c>
      <c r="B21305">
        <f>TEXT(21304, "[$-0E0000]yyyy-mm-dd")</f>
        <v/>
      </c>
      <c r="C21305" t="inlineStr">
        <is>
          <t>1958-03-12</t>
        </is>
      </c>
    </row>
    <row r="21306">
      <c r="A21306" s="1" t="n">
        <v>21305</v>
      </c>
      <c r="B21306">
        <f>TEXT(21305, "[$-0E0000]yyyy-mm-dd")</f>
        <v/>
      </c>
      <c r="C21306" t="inlineStr">
        <is>
          <t>1958-03-13</t>
        </is>
      </c>
    </row>
    <row r="21307">
      <c r="A21307" s="1" t="n">
        <v>21306</v>
      </c>
      <c r="B21307">
        <f>TEXT(21306, "[$-0E0000]yyyy-mm-dd")</f>
        <v/>
      </c>
      <c r="C21307" t="inlineStr">
        <is>
          <t>1958-03-14</t>
        </is>
      </c>
    </row>
    <row r="21308">
      <c r="A21308" s="1" t="n">
        <v>21307</v>
      </c>
      <c r="B21308">
        <f>TEXT(21307, "[$-0E0000]yyyy-mm-dd")</f>
        <v/>
      </c>
      <c r="C21308" t="inlineStr">
        <is>
          <t>1958-03-15</t>
        </is>
      </c>
    </row>
    <row r="21309">
      <c r="A21309" s="1" t="n">
        <v>21308</v>
      </c>
      <c r="B21309">
        <f>TEXT(21308, "[$-0E0000]yyyy-mm-dd")</f>
        <v/>
      </c>
      <c r="C21309" t="inlineStr">
        <is>
          <t>1958-03-16</t>
        </is>
      </c>
    </row>
    <row r="21310">
      <c r="A21310" s="1" t="n">
        <v>21309</v>
      </c>
      <c r="B21310">
        <f>TEXT(21309, "[$-0E0000]yyyy-mm-dd")</f>
        <v/>
      </c>
      <c r="C21310" t="inlineStr">
        <is>
          <t>1958-03-17</t>
        </is>
      </c>
    </row>
    <row r="21311">
      <c r="A21311" s="1" t="n">
        <v>21310</v>
      </c>
      <c r="B21311">
        <f>TEXT(21310, "[$-0E0000]yyyy-mm-dd")</f>
        <v/>
      </c>
      <c r="C21311" t="inlineStr">
        <is>
          <t>1958-03-18</t>
        </is>
      </c>
    </row>
    <row r="21312">
      <c r="A21312" s="1" t="n">
        <v>21311</v>
      </c>
      <c r="B21312">
        <f>TEXT(21311, "[$-0E0000]yyyy-mm-dd")</f>
        <v/>
      </c>
      <c r="C21312" t="inlineStr">
        <is>
          <t>1958-03-19</t>
        </is>
      </c>
    </row>
    <row r="21313">
      <c r="A21313" s="1" t="n">
        <v>21312</v>
      </c>
      <c r="B21313">
        <f>TEXT(21312, "[$-0E0000]yyyy-mm-dd")</f>
        <v/>
      </c>
      <c r="C21313" t="inlineStr">
        <is>
          <t>1958-03-20</t>
        </is>
      </c>
    </row>
    <row r="21314">
      <c r="A21314" s="1" t="n">
        <v>21313</v>
      </c>
      <c r="B21314">
        <f>TEXT(21313, "[$-0E0000]yyyy-mm-dd")</f>
        <v/>
      </c>
      <c r="C21314" t="inlineStr">
        <is>
          <t>1958-03-21</t>
        </is>
      </c>
    </row>
    <row r="21315">
      <c r="A21315" s="1" t="n">
        <v>21314</v>
      </c>
      <c r="B21315">
        <f>TEXT(21314, "[$-0E0000]yyyy-mm-dd")</f>
        <v/>
      </c>
      <c r="C21315" t="inlineStr">
        <is>
          <t>1958-03-22</t>
        </is>
      </c>
    </row>
    <row r="21316">
      <c r="A21316" s="1" t="n">
        <v>21315</v>
      </c>
      <c r="B21316">
        <f>TEXT(21315, "[$-0E0000]yyyy-mm-dd")</f>
        <v/>
      </c>
      <c r="C21316" t="inlineStr">
        <is>
          <t>1958-03-23</t>
        </is>
      </c>
    </row>
    <row r="21317">
      <c r="A21317" s="1" t="n">
        <v>21316</v>
      </c>
      <c r="B21317">
        <f>TEXT(21316, "[$-0E0000]yyyy-mm-dd")</f>
        <v/>
      </c>
      <c r="C21317" t="inlineStr">
        <is>
          <t>1958-03-24</t>
        </is>
      </c>
    </row>
    <row r="21318">
      <c r="A21318" s="1" t="n">
        <v>21317</v>
      </c>
      <c r="B21318">
        <f>TEXT(21317, "[$-0E0000]yyyy-mm-dd")</f>
        <v/>
      </c>
      <c r="C21318" t="inlineStr">
        <is>
          <t>1958-03-25</t>
        </is>
      </c>
    </row>
    <row r="21319">
      <c r="A21319" s="1" t="n">
        <v>21318</v>
      </c>
      <c r="B21319">
        <f>TEXT(21318, "[$-0E0000]yyyy-mm-dd")</f>
        <v/>
      </c>
      <c r="C21319" t="inlineStr">
        <is>
          <t>1958-03-26</t>
        </is>
      </c>
    </row>
    <row r="21320">
      <c r="A21320" s="1" t="n">
        <v>21319</v>
      </c>
      <c r="B21320">
        <f>TEXT(21319, "[$-0E0000]yyyy-mm-dd")</f>
        <v/>
      </c>
      <c r="C21320" t="inlineStr">
        <is>
          <t>1958-03-27</t>
        </is>
      </c>
    </row>
    <row r="21321">
      <c r="A21321" s="1" t="n">
        <v>21320</v>
      </c>
      <c r="B21321">
        <f>TEXT(21320, "[$-0E0000]yyyy-mm-dd")</f>
        <v/>
      </c>
      <c r="C21321" t="inlineStr">
        <is>
          <t>1958-03-28</t>
        </is>
      </c>
    </row>
    <row r="21322">
      <c r="A21322" s="1" t="n">
        <v>21321</v>
      </c>
      <c r="B21322">
        <f>TEXT(21321, "[$-0E0000]yyyy-mm-dd")</f>
        <v/>
      </c>
      <c r="C21322" t="inlineStr">
        <is>
          <t>1958-03-29</t>
        </is>
      </c>
    </row>
    <row r="21323">
      <c r="A21323" s="1" t="n">
        <v>21322</v>
      </c>
      <c r="B21323">
        <f>TEXT(21322, "[$-0E0000]yyyy-mm-dd")</f>
        <v/>
      </c>
      <c r="C21323" t="inlineStr">
        <is>
          <t>1958-03-30</t>
        </is>
      </c>
    </row>
    <row r="21324">
      <c r="A21324" s="1" t="n">
        <v>21323</v>
      </c>
      <c r="B21324">
        <f>TEXT(21323, "[$-0E0000]yyyy-mm-dd")</f>
        <v/>
      </c>
      <c r="C21324" t="inlineStr">
        <is>
          <t>1958-04-01</t>
        </is>
      </c>
    </row>
    <row r="21325">
      <c r="A21325" s="1" t="n">
        <v>21324</v>
      </c>
      <c r="B21325">
        <f>TEXT(21324, "[$-0E0000]yyyy-mm-dd")</f>
        <v/>
      </c>
      <c r="C21325" t="inlineStr">
        <is>
          <t>1958-04-02</t>
        </is>
      </c>
    </row>
    <row r="21326">
      <c r="A21326" s="1" t="n">
        <v>21325</v>
      </c>
      <c r="B21326">
        <f>TEXT(21325, "[$-0E0000]yyyy-mm-dd")</f>
        <v/>
      </c>
      <c r="C21326" t="inlineStr">
        <is>
          <t>1958-04-03</t>
        </is>
      </c>
    </row>
    <row r="21327">
      <c r="A21327" s="1" t="n">
        <v>21326</v>
      </c>
      <c r="B21327">
        <f>TEXT(21326, "[$-0E0000]yyyy-mm-dd")</f>
        <v/>
      </c>
      <c r="C21327" t="inlineStr">
        <is>
          <t>1958-04-04</t>
        </is>
      </c>
    </row>
    <row r="21328">
      <c r="A21328" s="1" t="n">
        <v>21327</v>
      </c>
      <c r="B21328">
        <f>TEXT(21327, "[$-0E0000]yyyy-mm-dd")</f>
        <v/>
      </c>
      <c r="C21328" t="inlineStr">
        <is>
          <t>1958-04-05</t>
        </is>
      </c>
    </row>
    <row r="21329">
      <c r="A21329" s="1" t="n">
        <v>21328</v>
      </c>
      <c r="B21329">
        <f>TEXT(21328, "[$-0E0000]yyyy-mm-dd")</f>
        <v/>
      </c>
      <c r="C21329" t="inlineStr">
        <is>
          <t>1958-04-06</t>
        </is>
      </c>
    </row>
    <row r="21330">
      <c r="A21330" s="1" t="n">
        <v>21329</v>
      </c>
      <c r="B21330">
        <f>TEXT(21329, "[$-0E0000]yyyy-mm-dd")</f>
        <v/>
      </c>
      <c r="C21330" t="inlineStr">
        <is>
          <t>1958-04-07</t>
        </is>
      </c>
    </row>
    <row r="21331">
      <c r="A21331" s="1" t="n">
        <v>21330</v>
      </c>
      <c r="B21331">
        <f>TEXT(21330, "[$-0E0000]yyyy-mm-dd")</f>
        <v/>
      </c>
      <c r="C21331" t="inlineStr">
        <is>
          <t>1958-04-08</t>
        </is>
      </c>
    </row>
    <row r="21332">
      <c r="A21332" s="1" t="n">
        <v>21331</v>
      </c>
      <c r="B21332">
        <f>TEXT(21331, "[$-0E0000]yyyy-mm-dd")</f>
        <v/>
      </c>
      <c r="C21332" t="inlineStr">
        <is>
          <t>1958-04-09</t>
        </is>
      </c>
    </row>
    <row r="21333">
      <c r="A21333" s="1" t="n">
        <v>21332</v>
      </c>
      <c r="B21333">
        <f>TEXT(21332, "[$-0E0000]yyyy-mm-dd")</f>
        <v/>
      </c>
      <c r="C21333" t="inlineStr">
        <is>
          <t>1958-04-10</t>
        </is>
      </c>
    </row>
    <row r="21334">
      <c r="A21334" s="1" t="n">
        <v>21333</v>
      </c>
      <c r="B21334">
        <f>TEXT(21333, "[$-0E0000]yyyy-mm-dd")</f>
        <v/>
      </c>
      <c r="C21334" t="inlineStr">
        <is>
          <t>1958-04-11</t>
        </is>
      </c>
    </row>
    <row r="21335">
      <c r="A21335" s="1" t="n">
        <v>21334</v>
      </c>
      <c r="B21335">
        <f>TEXT(21334, "[$-0E0000]yyyy-mm-dd")</f>
        <v/>
      </c>
      <c r="C21335" t="inlineStr">
        <is>
          <t>1958-04-12</t>
        </is>
      </c>
    </row>
    <row r="21336">
      <c r="A21336" s="1" t="n">
        <v>21335</v>
      </c>
      <c r="B21336">
        <f>TEXT(21335, "[$-0E0000]yyyy-mm-dd")</f>
        <v/>
      </c>
      <c r="C21336" t="inlineStr">
        <is>
          <t>1958-04-13</t>
        </is>
      </c>
    </row>
    <row r="21337">
      <c r="A21337" s="1" t="n">
        <v>21336</v>
      </c>
      <c r="B21337">
        <f>TEXT(21336, "[$-0E0000]yyyy-mm-dd")</f>
        <v/>
      </c>
      <c r="C21337" t="inlineStr">
        <is>
          <t>1958-04-14</t>
        </is>
      </c>
    </row>
    <row r="21338">
      <c r="A21338" s="1" t="n">
        <v>21337</v>
      </c>
      <c r="B21338">
        <f>TEXT(21337, "[$-0E0000]yyyy-mm-dd")</f>
        <v/>
      </c>
      <c r="C21338" t="inlineStr">
        <is>
          <t>1958-04-15</t>
        </is>
      </c>
    </row>
    <row r="21339">
      <c r="A21339" s="1" t="n">
        <v>21338</v>
      </c>
      <c r="B21339">
        <f>TEXT(21338, "[$-0E0000]yyyy-mm-dd")</f>
        <v/>
      </c>
      <c r="C21339" t="inlineStr">
        <is>
          <t>1958-04-16</t>
        </is>
      </c>
    </row>
    <row r="21340">
      <c r="A21340" s="1" t="n">
        <v>21339</v>
      </c>
      <c r="B21340">
        <f>TEXT(21339, "[$-0E0000]yyyy-mm-dd")</f>
        <v/>
      </c>
      <c r="C21340" t="inlineStr">
        <is>
          <t>1958-04-17</t>
        </is>
      </c>
    </row>
    <row r="21341">
      <c r="A21341" s="1" t="n">
        <v>21340</v>
      </c>
      <c r="B21341">
        <f>TEXT(21340, "[$-0E0000]yyyy-mm-dd")</f>
        <v/>
      </c>
      <c r="C21341" t="inlineStr">
        <is>
          <t>1958-04-18</t>
        </is>
      </c>
    </row>
    <row r="21342">
      <c r="A21342" s="1" t="n">
        <v>21341</v>
      </c>
      <c r="B21342">
        <f>TEXT(21341, "[$-0E0000]yyyy-mm-dd")</f>
        <v/>
      </c>
      <c r="C21342" t="inlineStr">
        <is>
          <t>1958-04-19</t>
        </is>
      </c>
    </row>
    <row r="21343">
      <c r="A21343" s="1" t="n">
        <v>21342</v>
      </c>
      <c r="B21343">
        <f>TEXT(21342, "[$-0E0000]yyyy-mm-dd")</f>
        <v/>
      </c>
      <c r="C21343" t="inlineStr">
        <is>
          <t>1958-04-20</t>
        </is>
      </c>
    </row>
    <row r="21344">
      <c r="A21344" s="1" t="n">
        <v>21343</v>
      </c>
      <c r="B21344">
        <f>TEXT(21343, "[$-0E0000]yyyy-mm-dd")</f>
        <v/>
      </c>
      <c r="C21344" t="inlineStr">
        <is>
          <t>1958-04-21</t>
        </is>
      </c>
    </row>
    <row r="21345">
      <c r="A21345" s="1" t="n">
        <v>21344</v>
      </c>
      <c r="B21345">
        <f>TEXT(21344, "[$-0E0000]yyyy-mm-dd")</f>
        <v/>
      </c>
      <c r="C21345" t="inlineStr">
        <is>
          <t>1958-04-22</t>
        </is>
      </c>
    </row>
    <row r="21346">
      <c r="A21346" s="1" t="n">
        <v>21345</v>
      </c>
      <c r="B21346">
        <f>TEXT(21345, "[$-0E0000]yyyy-mm-dd")</f>
        <v/>
      </c>
      <c r="C21346" t="inlineStr">
        <is>
          <t>1958-04-23</t>
        </is>
      </c>
    </row>
    <row r="21347">
      <c r="A21347" s="1" t="n">
        <v>21346</v>
      </c>
      <c r="B21347">
        <f>TEXT(21346, "[$-0E0000]yyyy-mm-dd")</f>
        <v/>
      </c>
      <c r="C21347" t="inlineStr">
        <is>
          <t>1958-04-24</t>
        </is>
      </c>
    </row>
    <row r="21348">
      <c r="A21348" s="1" t="n">
        <v>21347</v>
      </c>
      <c r="B21348">
        <f>TEXT(21347, "[$-0E0000]yyyy-mm-dd")</f>
        <v/>
      </c>
      <c r="C21348" t="inlineStr">
        <is>
          <t>1958-04-25</t>
        </is>
      </c>
    </row>
    <row r="21349">
      <c r="A21349" s="1" t="n">
        <v>21348</v>
      </c>
      <c r="B21349">
        <f>TEXT(21348, "[$-0E0000]yyyy-mm-dd")</f>
        <v/>
      </c>
      <c r="C21349" t="inlineStr">
        <is>
          <t>1958-04-26</t>
        </is>
      </c>
    </row>
    <row r="21350">
      <c r="A21350" s="1" t="n">
        <v>21349</v>
      </c>
      <c r="B21350">
        <f>TEXT(21349, "[$-0E0000]yyyy-mm-dd")</f>
        <v/>
      </c>
      <c r="C21350" t="inlineStr">
        <is>
          <t>1958-04-27</t>
        </is>
      </c>
    </row>
    <row r="21351">
      <c r="A21351" s="1" t="n">
        <v>21350</v>
      </c>
      <c r="B21351">
        <f>TEXT(21350, "[$-0E0000]yyyy-mm-dd")</f>
        <v/>
      </c>
      <c r="C21351" t="inlineStr">
        <is>
          <t>1958-04-28</t>
        </is>
      </c>
    </row>
    <row r="21352">
      <c r="A21352" s="1" t="n">
        <v>21351</v>
      </c>
      <c r="B21352">
        <f>TEXT(21351, "[$-0E0000]yyyy-mm-dd")</f>
        <v/>
      </c>
      <c r="C21352" t="inlineStr">
        <is>
          <t>1958-04-29</t>
        </is>
      </c>
    </row>
    <row r="21353">
      <c r="A21353" s="1" t="n">
        <v>21352</v>
      </c>
      <c r="B21353">
        <f>TEXT(21352, "[$-0E0000]yyyy-mm-dd")</f>
        <v/>
      </c>
      <c r="C21353" t="inlineStr">
        <is>
          <t>1958-05-01</t>
        </is>
      </c>
    </row>
    <row r="21354">
      <c r="A21354" s="1" t="n">
        <v>21353</v>
      </c>
      <c r="B21354">
        <f>TEXT(21353, "[$-0E0000]yyyy-mm-dd")</f>
        <v/>
      </c>
      <c r="C21354" t="inlineStr">
        <is>
          <t>1958-05-02</t>
        </is>
      </c>
    </row>
    <row r="21355">
      <c r="A21355" s="1" t="n">
        <v>21354</v>
      </c>
      <c r="B21355">
        <f>TEXT(21354, "[$-0E0000]yyyy-mm-dd")</f>
        <v/>
      </c>
      <c r="C21355" t="inlineStr">
        <is>
          <t>1958-05-03</t>
        </is>
      </c>
    </row>
    <row r="21356">
      <c r="A21356" s="1" t="n">
        <v>21355</v>
      </c>
      <c r="B21356">
        <f>TEXT(21355, "[$-0E0000]yyyy-mm-dd")</f>
        <v/>
      </c>
      <c r="C21356" t="inlineStr">
        <is>
          <t>1958-05-04</t>
        </is>
      </c>
    </row>
    <row r="21357">
      <c r="A21357" s="1" t="n">
        <v>21356</v>
      </c>
      <c r="B21357">
        <f>TEXT(21356, "[$-0E0000]yyyy-mm-dd")</f>
        <v/>
      </c>
      <c r="C21357" t="inlineStr">
        <is>
          <t>1958-05-05</t>
        </is>
      </c>
    </row>
    <row r="21358">
      <c r="A21358" s="1" t="n">
        <v>21357</v>
      </c>
      <c r="B21358">
        <f>TEXT(21357, "[$-0E0000]yyyy-mm-dd")</f>
        <v/>
      </c>
      <c r="C21358" t="inlineStr">
        <is>
          <t>1958-05-06</t>
        </is>
      </c>
    </row>
    <row r="21359">
      <c r="A21359" s="1" t="n">
        <v>21358</v>
      </c>
      <c r="B21359">
        <f>TEXT(21358, "[$-0E0000]yyyy-mm-dd")</f>
        <v/>
      </c>
      <c r="C21359" t="inlineStr">
        <is>
          <t>1958-05-07</t>
        </is>
      </c>
    </row>
    <row r="21360">
      <c r="A21360" s="1" t="n">
        <v>21359</v>
      </c>
      <c r="B21360">
        <f>TEXT(21359, "[$-0E0000]yyyy-mm-dd")</f>
        <v/>
      </c>
      <c r="C21360" t="inlineStr">
        <is>
          <t>1958-05-08</t>
        </is>
      </c>
    </row>
    <row r="21361">
      <c r="A21361" s="1" t="n">
        <v>21360</v>
      </c>
      <c r="B21361">
        <f>TEXT(21360, "[$-0E0000]yyyy-mm-dd")</f>
        <v/>
      </c>
      <c r="C21361" t="inlineStr">
        <is>
          <t>1958-05-09</t>
        </is>
      </c>
    </row>
    <row r="21362">
      <c r="A21362" s="1" t="n">
        <v>21361</v>
      </c>
      <c r="B21362">
        <f>TEXT(21361, "[$-0E0000]yyyy-mm-dd")</f>
        <v/>
      </c>
      <c r="C21362" t="inlineStr">
        <is>
          <t>1958-05-10</t>
        </is>
      </c>
    </row>
    <row r="21363">
      <c r="A21363" s="1" t="n">
        <v>21362</v>
      </c>
      <c r="B21363">
        <f>TEXT(21362, "[$-0E0000]yyyy-mm-dd")</f>
        <v/>
      </c>
      <c r="C21363" t="inlineStr">
        <is>
          <t>1958-05-11</t>
        </is>
      </c>
    </row>
    <row r="21364">
      <c r="A21364" s="1" t="n">
        <v>21363</v>
      </c>
      <c r="B21364">
        <f>TEXT(21363, "[$-0E0000]yyyy-mm-dd")</f>
        <v/>
      </c>
      <c r="C21364" t="inlineStr">
        <is>
          <t>1958-05-12</t>
        </is>
      </c>
    </row>
    <row r="21365">
      <c r="A21365" s="1" t="n">
        <v>21364</v>
      </c>
      <c r="B21365">
        <f>TEXT(21364, "[$-0E0000]yyyy-mm-dd")</f>
        <v/>
      </c>
      <c r="C21365" t="inlineStr">
        <is>
          <t>1958-05-13</t>
        </is>
      </c>
    </row>
    <row r="21366">
      <c r="A21366" s="1" t="n">
        <v>21365</v>
      </c>
      <c r="B21366">
        <f>TEXT(21365, "[$-0E0000]yyyy-mm-dd")</f>
        <v/>
      </c>
      <c r="C21366" t="inlineStr">
        <is>
          <t>1958-05-14</t>
        </is>
      </c>
    </row>
    <row r="21367">
      <c r="A21367" s="1" t="n">
        <v>21366</v>
      </c>
      <c r="B21367">
        <f>TEXT(21366, "[$-0E0000]yyyy-mm-dd")</f>
        <v/>
      </c>
      <c r="C21367" t="inlineStr">
        <is>
          <t>1958-05-15</t>
        </is>
      </c>
    </row>
    <row r="21368">
      <c r="A21368" s="1" t="n">
        <v>21367</v>
      </c>
      <c r="B21368">
        <f>TEXT(21367, "[$-0E0000]yyyy-mm-dd")</f>
        <v/>
      </c>
      <c r="C21368" t="inlineStr">
        <is>
          <t>1958-05-16</t>
        </is>
      </c>
    </row>
    <row r="21369">
      <c r="A21369" s="1" t="n">
        <v>21368</v>
      </c>
      <c r="B21369">
        <f>TEXT(21368, "[$-0E0000]yyyy-mm-dd")</f>
        <v/>
      </c>
      <c r="C21369" t="inlineStr">
        <is>
          <t>1958-05-17</t>
        </is>
      </c>
    </row>
    <row r="21370">
      <c r="A21370" s="1" t="n">
        <v>21369</v>
      </c>
      <c r="B21370">
        <f>TEXT(21369, "[$-0E0000]yyyy-mm-dd")</f>
        <v/>
      </c>
      <c r="C21370" t="inlineStr">
        <is>
          <t>1958-05-18</t>
        </is>
      </c>
    </row>
    <row r="21371">
      <c r="A21371" s="1" t="n">
        <v>21370</v>
      </c>
      <c r="B21371">
        <f>TEXT(21370, "[$-0E0000]yyyy-mm-dd")</f>
        <v/>
      </c>
      <c r="C21371" t="inlineStr">
        <is>
          <t>1958-05-19</t>
        </is>
      </c>
    </row>
    <row r="21372">
      <c r="A21372" s="1" t="n">
        <v>21371</v>
      </c>
      <c r="B21372">
        <f>TEXT(21371, "[$-0E0000]yyyy-mm-dd")</f>
        <v/>
      </c>
      <c r="C21372" t="inlineStr">
        <is>
          <t>1958-05-20</t>
        </is>
      </c>
    </row>
    <row r="21373">
      <c r="A21373" s="1" t="n">
        <v>21372</v>
      </c>
      <c r="B21373">
        <f>TEXT(21372, "[$-0E0000]yyyy-mm-dd")</f>
        <v/>
      </c>
      <c r="C21373" t="inlineStr">
        <is>
          <t>1958-05-21</t>
        </is>
      </c>
    </row>
    <row r="21374">
      <c r="A21374" s="1" t="n">
        <v>21373</v>
      </c>
      <c r="B21374">
        <f>TEXT(21373, "[$-0E0000]yyyy-mm-dd")</f>
        <v/>
      </c>
      <c r="C21374" t="inlineStr">
        <is>
          <t>1958-05-22</t>
        </is>
      </c>
    </row>
    <row r="21375">
      <c r="A21375" s="1" t="n">
        <v>21374</v>
      </c>
      <c r="B21375">
        <f>TEXT(21374, "[$-0E0000]yyyy-mm-dd")</f>
        <v/>
      </c>
      <c r="C21375" t="inlineStr">
        <is>
          <t>1958-05-23</t>
        </is>
      </c>
    </row>
    <row r="21376">
      <c r="A21376" s="1" t="n">
        <v>21375</v>
      </c>
      <c r="B21376">
        <f>TEXT(21375, "[$-0E0000]yyyy-mm-dd")</f>
        <v/>
      </c>
      <c r="C21376" t="inlineStr">
        <is>
          <t>1958-05-24</t>
        </is>
      </c>
    </row>
    <row r="21377">
      <c r="A21377" s="1" t="n">
        <v>21376</v>
      </c>
      <c r="B21377">
        <f>TEXT(21376, "[$-0E0000]yyyy-mm-dd")</f>
        <v/>
      </c>
      <c r="C21377" t="inlineStr">
        <is>
          <t>1958-05-25</t>
        </is>
      </c>
    </row>
    <row r="21378">
      <c r="A21378" s="1" t="n">
        <v>21377</v>
      </c>
      <c r="B21378">
        <f>TEXT(21377, "[$-0E0000]yyyy-mm-dd")</f>
        <v/>
      </c>
      <c r="C21378" t="inlineStr">
        <is>
          <t>1958-05-26</t>
        </is>
      </c>
    </row>
    <row r="21379">
      <c r="A21379" s="1" t="n">
        <v>21378</v>
      </c>
      <c r="B21379">
        <f>TEXT(21378, "[$-0E0000]yyyy-mm-dd")</f>
        <v/>
      </c>
      <c r="C21379" t="inlineStr">
        <is>
          <t>1958-05-27</t>
        </is>
      </c>
    </row>
    <row r="21380">
      <c r="A21380" s="1" t="n">
        <v>21379</v>
      </c>
      <c r="B21380">
        <f>TEXT(21379, "[$-0E0000]yyyy-mm-dd")</f>
        <v/>
      </c>
      <c r="C21380" t="inlineStr">
        <is>
          <t>1958-05-28</t>
        </is>
      </c>
    </row>
    <row r="21381">
      <c r="A21381" s="1" t="n">
        <v>21380</v>
      </c>
      <c r="B21381">
        <f>TEXT(21380, "[$-0E0000]yyyy-mm-dd")</f>
        <v/>
      </c>
      <c r="C21381" t="inlineStr">
        <is>
          <t>1958-05-29</t>
        </is>
      </c>
    </row>
    <row r="21382">
      <c r="A21382" s="1" t="n">
        <v>21381</v>
      </c>
      <c r="B21382">
        <f>TEXT(21381, "[$-0E0000]yyyy-mm-dd")</f>
        <v/>
      </c>
      <c r="C21382" t="inlineStr">
        <is>
          <t>1958-05-30</t>
        </is>
      </c>
    </row>
    <row r="21383">
      <c r="A21383" s="1" t="n">
        <v>21382</v>
      </c>
      <c r="B21383">
        <f>TEXT(21382, "[$-0E0000]yyyy-mm-dd")</f>
        <v/>
      </c>
      <c r="C21383" t="inlineStr">
        <is>
          <t>1958-06-01</t>
        </is>
      </c>
    </row>
    <row r="21384">
      <c r="A21384" s="1" t="n">
        <v>21383</v>
      </c>
      <c r="B21384">
        <f>TEXT(21383, "[$-0E0000]yyyy-mm-dd")</f>
        <v/>
      </c>
      <c r="C21384" t="inlineStr">
        <is>
          <t>1958-06-02</t>
        </is>
      </c>
    </row>
    <row r="21385">
      <c r="A21385" s="1" t="n">
        <v>21384</v>
      </c>
      <c r="B21385">
        <f>TEXT(21384, "[$-0E0000]yyyy-mm-dd")</f>
        <v/>
      </c>
      <c r="C21385" t="inlineStr">
        <is>
          <t>1958-06-03</t>
        </is>
      </c>
    </row>
    <row r="21386">
      <c r="A21386" s="1" t="n">
        <v>21385</v>
      </c>
      <c r="B21386">
        <f>TEXT(21385, "[$-0E0000]yyyy-mm-dd")</f>
        <v/>
      </c>
      <c r="C21386" t="inlineStr">
        <is>
          <t>1958-06-04</t>
        </is>
      </c>
    </row>
    <row r="21387">
      <c r="A21387" s="1" t="n">
        <v>21386</v>
      </c>
      <c r="B21387">
        <f>TEXT(21386, "[$-0E0000]yyyy-mm-dd")</f>
        <v/>
      </c>
      <c r="C21387" t="inlineStr">
        <is>
          <t>1958-06-05</t>
        </is>
      </c>
    </row>
    <row r="21388">
      <c r="A21388" s="1" t="n">
        <v>21387</v>
      </c>
      <c r="B21388">
        <f>TEXT(21387, "[$-0E0000]yyyy-mm-dd")</f>
        <v/>
      </c>
      <c r="C21388" t="inlineStr">
        <is>
          <t>1958-06-06</t>
        </is>
      </c>
    </row>
    <row r="21389">
      <c r="A21389" s="1" t="n">
        <v>21388</v>
      </c>
      <c r="B21389">
        <f>TEXT(21388, "[$-0E0000]yyyy-mm-dd")</f>
        <v/>
      </c>
      <c r="C21389" t="inlineStr">
        <is>
          <t>1958-06-07</t>
        </is>
      </c>
    </row>
    <row r="21390">
      <c r="A21390" s="1" t="n">
        <v>21389</v>
      </c>
      <c r="B21390">
        <f>TEXT(21389, "[$-0E0000]yyyy-mm-dd")</f>
        <v/>
      </c>
      <c r="C21390" t="inlineStr">
        <is>
          <t>1958-06-08</t>
        </is>
      </c>
    </row>
    <row r="21391">
      <c r="A21391" s="1" t="n">
        <v>21390</v>
      </c>
      <c r="B21391">
        <f>TEXT(21390, "[$-0E0000]yyyy-mm-dd")</f>
        <v/>
      </c>
      <c r="C21391" t="inlineStr">
        <is>
          <t>1958-06-09</t>
        </is>
      </c>
    </row>
    <row r="21392">
      <c r="A21392" s="1" t="n">
        <v>21391</v>
      </c>
      <c r="B21392">
        <f>TEXT(21391, "[$-0E0000]yyyy-mm-dd")</f>
        <v/>
      </c>
      <c r="C21392" t="inlineStr">
        <is>
          <t>1958-06-10</t>
        </is>
      </c>
    </row>
    <row r="21393">
      <c r="A21393" s="1" t="n">
        <v>21392</v>
      </c>
      <c r="B21393">
        <f>TEXT(21392, "[$-0E0000]yyyy-mm-dd")</f>
        <v/>
      </c>
      <c r="C21393" t="inlineStr">
        <is>
          <t>1958-06-11</t>
        </is>
      </c>
    </row>
    <row r="21394">
      <c r="A21394" s="1" t="n">
        <v>21393</v>
      </c>
      <c r="B21394">
        <f>TEXT(21393, "[$-0E0000]yyyy-mm-dd")</f>
        <v/>
      </c>
      <c r="C21394" t="inlineStr">
        <is>
          <t>1958-06-12</t>
        </is>
      </c>
    </row>
    <row r="21395">
      <c r="A21395" s="1" t="n">
        <v>21394</v>
      </c>
      <c r="B21395">
        <f>TEXT(21394, "[$-0E0000]yyyy-mm-dd")</f>
        <v/>
      </c>
      <c r="C21395" t="inlineStr">
        <is>
          <t>1958-06-13</t>
        </is>
      </c>
    </row>
    <row r="21396">
      <c r="A21396" s="1" t="n">
        <v>21395</v>
      </c>
      <c r="B21396">
        <f>TEXT(21395, "[$-0E0000]yyyy-mm-dd")</f>
        <v/>
      </c>
      <c r="C21396" t="inlineStr">
        <is>
          <t>1958-06-14</t>
        </is>
      </c>
    </row>
    <row r="21397">
      <c r="A21397" s="1" t="n">
        <v>21396</v>
      </c>
      <c r="B21397">
        <f>TEXT(21396, "[$-0E0000]yyyy-mm-dd")</f>
        <v/>
      </c>
      <c r="C21397" t="inlineStr">
        <is>
          <t>1958-06-15</t>
        </is>
      </c>
    </row>
    <row r="21398">
      <c r="A21398" s="1" t="n">
        <v>21397</v>
      </c>
      <c r="B21398">
        <f>TEXT(21397, "[$-0E0000]yyyy-mm-dd")</f>
        <v/>
      </c>
      <c r="C21398" t="inlineStr">
        <is>
          <t>1958-06-16</t>
        </is>
      </c>
    </row>
    <row r="21399">
      <c r="A21399" s="1" t="n">
        <v>21398</v>
      </c>
      <c r="B21399">
        <f>TEXT(21398, "[$-0E0000]yyyy-mm-dd")</f>
        <v/>
      </c>
      <c r="C21399" t="inlineStr">
        <is>
          <t>1958-06-17</t>
        </is>
      </c>
    </row>
    <row r="21400">
      <c r="A21400" s="1" t="n">
        <v>21399</v>
      </c>
      <c r="B21400">
        <f>TEXT(21399, "[$-0E0000]yyyy-mm-dd")</f>
        <v/>
      </c>
      <c r="C21400" t="inlineStr">
        <is>
          <t>1958-06-18</t>
        </is>
      </c>
    </row>
    <row r="21401">
      <c r="A21401" s="1" t="n">
        <v>21400</v>
      </c>
      <c r="B21401">
        <f>TEXT(21400, "[$-0E0000]yyyy-mm-dd")</f>
        <v/>
      </c>
      <c r="C21401" t="inlineStr">
        <is>
          <t>1958-06-19</t>
        </is>
      </c>
    </row>
    <row r="21402">
      <c r="A21402" s="1" t="n">
        <v>21401</v>
      </c>
      <c r="B21402">
        <f>TEXT(21401, "[$-0E0000]yyyy-mm-dd")</f>
        <v/>
      </c>
      <c r="C21402" t="inlineStr">
        <is>
          <t>1958-06-20</t>
        </is>
      </c>
    </row>
    <row r="21403">
      <c r="A21403" s="1" t="n">
        <v>21402</v>
      </c>
      <c r="B21403">
        <f>TEXT(21402, "[$-0E0000]yyyy-mm-dd")</f>
        <v/>
      </c>
      <c r="C21403" t="inlineStr">
        <is>
          <t>1958-06-21</t>
        </is>
      </c>
    </row>
    <row r="21404">
      <c r="A21404" s="1" t="n">
        <v>21403</v>
      </c>
      <c r="B21404">
        <f>TEXT(21403, "[$-0E0000]yyyy-mm-dd")</f>
        <v/>
      </c>
      <c r="C21404" t="inlineStr">
        <is>
          <t>1958-06-22</t>
        </is>
      </c>
    </row>
    <row r="21405">
      <c r="A21405" s="1" t="n">
        <v>21404</v>
      </c>
      <c r="B21405">
        <f>TEXT(21404, "[$-0E0000]yyyy-mm-dd")</f>
        <v/>
      </c>
      <c r="C21405" t="inlineStr">
        <is>
          <t>1958-06-23</t>
        </is>
      </c>
    </row>
    <row r="21406">
      <c r="A21406" s="1" t="n">
        <v>21405</v>
      </c>
      <c r="B21406">
        <f>TEXT(21405, "[$-0E0000]yyyy-mm-dd")</f>
        <v/>
      </c>
      <c r="C21406" t="inlineStr">
        <is>
          <t>1958-06-24</t>
        </is>
      </c>
    </row>
    <row r="21407">
      <c r="A21407" s="1" t="n">
        <v>21406</v>
      </c>
      <c r="B21407">
        <f>TEXT(21406, "[$-0E0000]yyyy-mm-dd")</f>
        <v/>
      </c>
      <c r="C21407" t="inlineStr">
        <is>
          <t>1958-06-25</t>
        </is>
      </c>
    </row>
    <row r="21408">
      <c r="A21408" s="1" t="n">
        <v>21407</v>
      </c>
      <c r="B21408">
        <f>TEXT(21407, "[$-0E0000]yyyy-mm-dd")</f>
        <v/>
      </c>
      <c r="C21408" t="inlineStr">
        <is>
          <t>1958-06-26</t>
        </is>
      </c>
    </row>
    <row r="21409">
      <c r="A21409" s="1" t="n">
        <v>21408</v>
      </c>
      <c r="B21409">
        <f>TEXT(21408, "[$-0E0000]yyyy-mm-dd")</f>
        <v/>
      </c>
      <c r="C21409" t="inlineStr">
        <is>
          <t>1958-06-27</t>
        </is>
      </c>
    </row>
    <row r="21410">
      <c r="A21410" s="1" t="n">
        <v>21409</v>
      </c>
      <c r="B21410">
        <f>TEXT(21409, "[$-0E0000]yyyy-mm-dd")</f>
        <v/>
      </c>
      <c r="C21410" t="inlineStr">
        <is>
          <t>1958-06-28</t>
        </is>
      </c>
    </row>
    <row r="21411">
      <c r="A21411" s="1" t="n">
        <v>21410</v>
      </c>
      <c r="B21411">
        <f>TEXT(21410, "[$-0E0000]yyyy-mm-dd")</f>
        <v/>
      </c>
      <c r="C21411" t="inlineStr">
        <is>
          <t>1958-06-29</t>
        </is>
      </c>
    </row>
    <row r="21412">
      <c r="A21412" s="1" t="n">
        <v>21411</v>
      </c>
      <c r="B21412">
        <f>TEXT(21411, "[$-0E0000]yyyy-mm-dd")</f>
        <v/>
      </c>
      <c r="C21412" t="inlineStr">
        <is>
          <t>1958-07-01</t>
        </is>
      </c>
    </row>
    <row r="21413">
      <c r="A21413" s="1" t="n">
        <v>21412</v>
      </c>
      <c r="B21413">
        <f>TEXT(21412, "[$-0E0000]yyyy-mm-dd")</f>
        <v/>
      </c>
      <c r="C21413" t="inlineStr">
        <is>
          <t>1958-07-02</t>
        </is>
      </c>
    </row>
    <row r="21414">
      <c r="A21414" s="1" t="n">
        <v>21413</v>
      </c>
      <c r="B21414">
        <f>TEXT(21413, "[$-0E0000]yyyy-mm-dd")</f>
        <v/>
      </c>
      <c r="C21414" t="inlineStr">
        <is>
          <t>1958-07-03</t>
        </is>
      </c>
    </row>
    <row r="21415">
      <c r="A21415" s="1" t="n">
        <v>21414</v>
      </c>
      <c r="B21415">
        <f>TEXT(21414, "[$-0E0000]yyyy-mm-dd")</f>
        <v/>
      </c>
      <c r="C21415" t="inlineStr">
        <is>
          <t>1958-07-04</t>
        </is>
      </c>
    </row>
    <row r="21416">
      <c r="A21416" s="1" t="n">
        <v>21415</v>
      </c>
      <c r="B21416">
        <f>TEXT(21415, "[$-0E0000]yyyy-mm-dd")</f>
        <v/>
      </c>
      <c r="C21416" t="inlineStr">
        <is>
          <t>1958-07-05</t>
        </is>
      </c>
    </row>
    <row r="21417">
      <c r="A21417" s="1" t="n">
        <v>21416</v>
      </c>
      <c r="B21417">
        <f>TEXT(21416, "[$-0E0000]yyyy-mm-dd")</f>
        <v/>
      </c>
      <c r="C21417" t="inlineStr">
        <is>
          <t>1958-07-06</t>
        </is>
      </c>
    </row>
    <row r="21418">
      <c r="A21418" s="1" t="n">
        <v>21417</v>
      </c>
      <c r="B21418">
        <f>TEXT(21417, "[$-0E0000]yyyy-mm-dd")</f>
        <v/>
      </c>
      <c r="C21418" t="inlineStr">
        <is>
          <t>1958-07-07</t>
        </is>
      </c>
    </row>
    <row r="21419">
      <c r="A21419" s="1" t="n">
        <v>21418</v>
      </c>
      <c r="B21419">
        <f>TEXT(21418, "[$-0E0000]yyyy-mm-dd")</f>
        <v/>
      </c>
      <c r="C21419" t="inlineStr">
        <is>
          <t>1958-07-08</t>
        </is>
      </c>
    </row>
    <row r="21420">
      <c r="A21420" s="1" t="n">
        <v>21419</v>
      </c>
      <c r="B21420">
        <f>TEXT(21419, "[$-0E0000]yyyy-mm-dd")</f>
        <v/>
      </c>
      <c r="C21420" t="inlineStr">
        <is>
          <t>1958-07-09</t>
        </is>
      </c>
    </row>
    <row r="21421">
      <c r="A21421" s="1" t="n">
        <v>21420</v>
      </c>
      <c r="B21421">
        <f>TEXT(21420, "[$-0E0000]yyyy-mm-dd")</f>
        <v/>
      </c>
      <c r="C21421" t="inlineStr">
        <is>
          <t>1958-07-10</t>
        </is>
      </c>
    </row>
    <row r="21422">
      <c r="A21422" s="1" t="n">
        <v>21421</v>
      </c>
      <c r="B21422">
        <f>TEXT(21421, "[$-0E0000]yyyy-mm-dd")</f>
        <v/>
      </c>
      <c r="C21422" t="inlineStr">
        <is>
          <t>1958-07-11</t>
        </is>
      </c>
    </row>
    <row r="21423">
      <c r="A21423" s="1" t="n">
        <v>21422</v>
      </c>
      <c r="B21423">
        <f>TEXT(21422, "[$-0E0000]yyyy-mm-dd")</f>
        <v/>
      </c>
      <c r="C21423" t="inlineStr">
        <is>
          <t>1958-07-12</t>
        </is>
      </c>
    </row>
    <row r="21424">
      <c r="A21424" s="1" t="n">
        <v>21423</v>
      </c>
      <c r="B21424">
        <f>TEXT(21423, "[$-0E0000]yyyy-mm-dd")</f>
        <v/>
      </c>
      <c r="C21424" t="inlineStr">
        <is>
          <t>1958-07-13</t>
        </is>
      </c>
    </row>
    <row r="21425">
      <c r="A21425" s="1" t="n">
        <v>21424</v>
      </c>
      <c r="B21425">
        <f>TEXT(21424, "[$-0E0000]yyyy-mm-dd")</f>
        <v/>
      </c>
      <c r="C21425" t="inlineStr">
        <is>
          <t>1958-07-14</t>
        </is>
      </c>
    </row>
    <row r="21426">
      <c r="A21426" s="1" t="n">
        <v>21425</v>
      </c>
      <c r="B21426">
        <f>TEXT(21425, "[$-0E0000]yyyy-mm-dd")</f>
        <v/>
      </c>
      <c r="C21426" t="inlineStr">
        <is>
          <t>1958-07-15</t>
        </is>
      </c>
    </row>
    <row r="21427">
      <c r="A21427" s="1" t="n">
        <v>21426</v>
      </c>
      <c r="B21427">
        <f>TEXT(21426, "[$-0E0000]yyyy-mm-dd")</f>
        <v/>
      </c>
      <c r="C21427" t="inlineStr">
        <is>
          <t>1958-07-16</t>
        </is>
      </c>
    </row>
    <row r="21428">
      <c r="A21428" s="1" t="n">
        <v>21427</v>
      </c>
      <c r="B21428">
        <f>TEXT(21427, "[$-0E0000]yyyy-mm-dd")</f>
        <v/>
      </c>
      <c r="C21428" t="inlineStr">
        <is>
          <t>1958-07-17</t>
        </is>
      </c>
    </row>
    <row r="21429">
      <c r="A21429" s="1" t="n">
        <v>21428</v>
      </c>
      <c r="B21429">
        <f>TEXT(21428, "[$-0E0000]yyyy-mm-dd")</f>
        <v/>
      </c>
      <c r="C21429" t="inlineStr">
        <is>
          <t>1958-07-18</t>
        </is>
      </c>
    </row>
    <row r="21430">
      <c r="A21430" s="1" t="n">
        <v>21429</v>
      </c>
      <c r="B21430">
        <f>TEXT(21429, "[$-0E0000]yyyy-mm-dd")</f>
        <v/>
      </c>
      <c r="C21430" t="inlineStr">
        <is>
          <t>1958-07-19</t>
        </is>
      </c>
    </row>
    <row r="21431">
      <c r="A21431" s="1" t="n">
        <v>21430</v>
      </c>
      <c r="B21431">
        <f>TEXT(21430, "[$-0E0000]yyyy-mm-dd")</f>
        <v/>
      </c>
      <c r="C21431" t="inlineStr">
        <is>
          <t>1958-07-20</t>
        </is>
      </c>
    </row>
    <row r="21432">
      <c r="A21432" s="1" t="n">
        <v>21431</v>
      </c>
      <c r="B21432">
        <f>TEXT(21431, "[$-0E0000]yyyy-mm-dd")</f>
        <v/>
      </c>
      <c r="C21432" t="inlineStr">
        <is>
          <t>1958-07-21</t>
        </is>
      </c>
    </row>
    <row r="21433">
      <c r="A21433" s="1" t="n">
        <v>21432</v>
      </c>
      <c r="B21433">
        <f>TEXT(21432, "[$-0E0000]yyyy-mm-dd")</f>
        <v/>
      </c>
      <c r="C21433" t="inlineStr">
        <is>
          <t>1958-07-22</t>
        </is>
      </c>
    </row>
    <row r="21434">
      <c r="A21434" s="1" t="n">
        <v>21433</v>
      </c>
      <c r="B21434">
        <f>TEXT(21433, "[$-0E0000]yyyy-mm-dd")</f>
        <v/>
      </c>
      <c r="C21434" t="inlineStr">
        <is>
          <t>1958-07-23</t>
        </is>
      </c>
    </row>
    <row r="21435">
      <c r="A21435" s="1" t="n">
        <v>21434</v>
      </c>
      <c r="B21435">
        <f>TEXT(21434, "[$-0E0000]yyyy-mm-dd")</f>
        <v/>
      </c>
      <c r="C21435" t="inlineStr">
        <is>
          <t>1958-07-24</t>
        </is>
      </c>
    </row>
    <row r="21436">
      <c r="A21436" s="1" t="n">
        <v>21435</v>
      </c>
      <c r="B21436">
        <f>TEXT(21435, "[$-0E0000]yyyy-mm-dd")</f>
        <v/>
      </c>
      <c r="C21436" t="inlineStr">
        <is>
          <t>1958-07-25</t>
        </is>
      </c>
    </row>
    <row r="21437">
      <c r="A21437" s="1" t="n">
        <v>21436</v>
      </c>
      <c r="B21437">
        <f>TEXT(21436, "[$-0E0000]yyyy-mm-dd")</f>
        <v/>
      </c>
      <c r="C21437" t="inlineStr">
        <is>
          <t>1958-07-26</t>
        </is>
      </c>
    </row>
    <row r="21438">
      <c r="A21438" s="1" t="n">
        <v>21437</v>
      </c>
      <c r="B21438">
        <f>TEXT(21437, "[$-0E0000]yyyy-mm-dd")</f>
        <v/>
      </c>
      <c r="C21438" t="inlineStr">
        <is>
          <t>1958-07-27</t>
        </is>
      </c>
    </row>
    <row r="21439">
      <c r="A21439" s="1" t="n">
        <v>21438</v>
      </c>
      <c r="B21439">
        <f>TEXT(21438, "[$-0E0000]yyyy-mm-dd")</f>
        <v/>
      </c>
      <c r="C21439" t="inlineStr">
        <is>
          <t>1958-07-28</t>
        </is>
      </c>
    </row>
    <row r="21440">
      <c r="A21440" s="1" t="n">
        <v>21439</v>
      </c>
      <c r="B21440">
        <f>TEXT(21439, "[$-0E0000]yyyy-mm-dd")</f>
        <v/>
      </c>
      <c r="C21440" t="inlineStr">
        <is>
          <t>1958-07-29</t>
        </is>
      </c>
    </row>
    <row r="21441">
      <c r="A21441" s="1" t="n">
        <v>21440</v>
      </c>
      <c r="B21441">
        <f>TEXT(21440, "[$-0E0000]yyyy-mm-dd")</f>
        <v/>
      </c>
      <c r="C21441" t="inlineStr">
        <is>
          <t>1958-08-01</t>
        </is>
      </c>
    </row>
    <row r="21442">
      <c r="A21442" s="1" t="n">
        <v>21441</v>
      </c>
      <c r="B21442">
        <f>TEXT(21441, "[$-0E0000]yyyy-mm-dd")</f>
        <v/>
      </c>
      <c r="C21442" t="inlineStr">
        <is>
          <t>1958-08-02</t>
        </is>
      </c>
    </row>
    <row r="21443">
      <c r="A21443" s="1" t="n">
        <v>21442</v>
      </c>
      <c r="B21443">
        <f>TEXT(21442, "[$-0E0000]yyyy-mm-dd")</f>
        <v/>
      </c>
      <c r="C21443" t="inlineStr">
        <is>
          <t>1958-08-03</t>
        </is>
      </c>
    </row>
    <row r="21444">
      <c r="A21444" s="1" t="n">
        <v>21443</v>
      </c>
      <c r="B21444">
        <f>TEXT(21443, "[$-0E0000]yyyy-mm-dd")</f>
        <v/>
      </c>
      <c r="C21444" t="inlineStr">
        <is>
          <t>1958-08-04</t>
        </is>
      </c>
    </row>
    <row r="21445">
      <c r="A21445" s="1" t="n">
        <v>21444</v>
      </c>
      <c r="B21445">
        <f>TEXT(21444, "[$-0E0000]yyyy-mm-dd")</f>
        <v/>
      </c>
      <c r="C21445" t="inlineStr">
        <is>
          <t>1958-08-05</t>
        </is>
      </c>
    </row>
    <row r="21446">
      <c r="A21446" s="1" t="n">
        <v>21445</v>
      </c>
      <c r="B21446">
        <f>TEXT(21445, "[$-0E0000]yyyy-mm-dd")</f>
        <v/>
      </c>
      <c r="C21446" t="inlineStr">
        <is>
          <t>1958-08-06</t>
        </is>
      </c>
    </row>
    <row r="21447">
      <c r="A21447" s="1" t="n">
        <v>21446</v>
      </c>
      <c r="B21447">
        <f>TEXT(21446, "[$-0E0000]yyyy-mm-dd")</f>
        <v/>
      </c>
      <c r="C21447" t="inlineStr">
        <is>
          <t>1958-08-07</t>
        </is>
      </c>
    </row>
    <row r="21448">
      <c r="A21448" s="1" t="n">
        <v>21447</v>
      </c>
      <c r="B21448">
        <f>TEXT(21447, "[$-0E0000]yyyy-mm-dd")</f>
        <v/>
      </c>
      <c r="C21448" t="inlineStr">
        <is>
          <t>1958-08-08</t>
        </is>
      </c>
    </row>
    <row r="21449">
      <c r="A21449" s="1" t="n">
        <v>21448</v>
      </c>
      <c r="B21449">
        <f>TEXT(21448, "[$-0E0000]yyyy-mm-dd")</f>
        <v/>
      </c>
      <c r="C21449" t="inlineStr">
        <is>
          <t>1958-08-09</t>
        </is>
      </c>
    </row>
    <row r="21450">
      <c r="A21450" s="1" t="n">
        <v>21449</v>
      </c>
      <c r="B21450">
        <f>TEXT(21449, "[$-0E0000]yyyy-mm-dd")</f>
        <v/>
      </c>
      <c r="C21450" t="inlineStr">
        <is>
          <t>1958-08-10</t>
        </is>
      </c>
    </row>
    <row r="21451">
      <c r="A21451" s="1" t="n">
        <v>21450</v>
      </c>
      <c r="B21451">
        <f>TEXT(21450, "[$-0E0000]yyyy-mm-dd")</f>
        <v/>
      </c>
      <c r="C21451" t="inlineStr">
        <is>
          <t>1958-08-11</t>
        </is>
      </c>
    </row>
    <row r="21452">
      <c r="A21452" s="1" t="n">
        <v>21451</v>
      </c>
      <c r="B21452">
        <f>TEXT(21451, "[$-0E0000]yyyy-mm-dd")</f>
        <v/>
      </c>
      <c r="C21452" t="inlineStr">
        <is>
          <t>1958-08-12</t>
        </is>
      </c>
    </row>
    <row r="21453">
      <c r="A21453" s="1" t="n">
        <v>21452</v>
      </c>
      <c r="B21453">
        <f>TEXT(21452, "[$-0E0000]yyyy-mm-dd")</f>
        <v/>
      </c>
      <c r="C21453" t="inlineStr">
        <is>
          <t>1958-08-13</t>
        </is>
      </c>
    </row>
    <row r="21454">
      <c r="A21454" s="1" t="n">
        <v>21453</v>
      </c>
      <c r="B21454">
        <f>TEXT(21453, "[$-0E0000]yyyy-mm-dd")</f>
        <v/>
      </c>
      <c r="C21454" t="inlineStr">
        <is>
          <t>1958-08-14</t>
        </is>
      </c>
    </row>
    <row r="21455">
      <c r="A21455" s="1" t="n">
        <v>21454</v>
      </c>
      <c r="B21455">
        <f>TEXT(21454, "[$-0E0000]yyyy-mm-dd")</f>
        <v/>
      </c>
      <c r="C21455" t="inlineStr">
        <is>
          <t>1958-08-15</t>
        </is>
      </c>
    </row>
    <row r="21456">
      <c r="A21456" s="1" t="n">
        <v>21455</v>
      </c>
      <c r="B21456">
        <f>TEXT(21455, "[$-0E0000]yyyy-mm-dd")</f>
        <v/>
      </c>
      <c r="C21456" t="inlineStr">
        <is>
          <t>1958-08-16</t>
        </is>
      </c>
    </row>
    <row r="21457">
      <c r="A21457" s="1" t="n">
        <v>21456</v>
      </c>
      <c r="B21457">
        <f>TEXT(21456, "[$-0E0000]yyyy-mm-dd")</f>
        <v/>
      </c>
      <c r="C21457" t="inlineStr">
        <is>
          <t>1958-08-17</t>
        </is>
      </c>
    </row>
    <row r="21458">
      <c r="A21458" s="1" t="n">
        <v>21457</v>
      </c>
      <c r="B21458">
        <f>TEXT(21457, "[$-0E0000]yyyy-mm-dd")</f>
        <v/>
      </c>
      <c r="C21458" t="inlineStr">
        <is>
          <t>1958-08-18</t>
        </is>
      </c>
    </row>
    <row r="21459">
      <c r="A21459" s="1" t="n">
        <v>21458</v>
      </c>
      <c r="B21459">
        <f>TEXT(21458, "[$-0E0000]yyyy-mm-dd")</f>
        <v/>
      </c>
      <c r="C21459" t="inlineStr">
        <is>
          <t>1958-08-19</t>
        </is>
      </c>
    </row>
    <row r="21460">
      <c r="A21460" s="1" t="n">
        <v>21459</v>
      </c>
      <c r="B21460">
        <f>TEXT(21459, "[$-0E0000]yyyy-mm-dd")</f>
        <v/>
      </c>
      <c r="C21460" t="inlineStr">
        <is>
          <t>1958-08-20</t>
        </is>
      </c>
    </row>
    <row r="21461">
      <c r="A21461" s="1" t="n">
        <v>21460</v>
      </c>
      <c r="B21461">
        <f>TEXT(21460, "[$-0E0000]yyyy-mm-dd")</f>
        <v/>
      </c>
      <c r="C21461" t="inlineStr">
        <is>
          <t>1958-08-21</t>
        </is>
      </c>
    </row>
    <row r="21462">
      <c r="A21462" s="1" t="n">
        <v>21461</v>
      </c>
      <c r="B21462">
        <f>TEXT(21461, "[$-0E0000]yyyy-mm-dd")</f>
        <v/>
      </c>
      <c r="C21462" t="inlineStr">
        <is>
          <t>1958-08-22</t>
        </is>
      </c>
    </row>
    <row r="21463">
      <c r="A21463" s="1" t="n">
        <v>21462</v>
      </c>
      <c r="B21463">
        <f>TEXT(21462, "[$-0E0000]yyyy-mm-dd")</f>
        <v/>
      </c>
      <c r="C21463" t="inlineStr">
        <is>
          <t>1958-08-23</t>
        </is>
      </c>
    </row>
    <row r="21464">
      <c r="A21464" s="1" t="n">
        <v>21463</v>
      </c>
      <c r="B21464">
        <f>TEXT(21463, "[$-0E0000]yyyy-mm-dd")</f>
        <v/>
      </c>
      <c r="C21464" t="inlineStr">
        <is>
          <t>1958-08-24</t>
        </is>
      </c>
    </row>
    <row r="21465">
      <c r="A21465" s="1" t="n">
        <v>21464</v>
      </c>
      <c r="B21465">
        <f>TEXT(21464, "[$-0E0000]yyyy-mm-dd")</f>
        <v/>
      </c>
      <c r="C21465" t="inlineStr">
        <is>
          <t>1958-08-25</t>
        </is>
      </c>
    </row>
    <row r="21466">
      <c r="A21466" s="1" t="n">
        <v>21465</v>
      </c>
      <c r="B21466">
        <f>TEXT(21465, "[$-0E0000]yyyy-mm-dd")</f>
        <v/>
      </c>
      <c r="C21466" t="inlineStr">
        <is>
          <t>1958-08-26</t>
        </is>
      </c>
    </row>
    <row r="21467">
      <c r="A21467" s="1" t="n">
        <v>21466</v>
      </c>
      <c r="B21467">
        <f>TEXT(21466, "[$-0E0000]yyyy-mm-dd")</f>
        <v/>
      </c>
      <c r="C21467" t="inlineStr">
        <is>
          <t>1958-08-27</t>
        </is>
      </c>
    </row>
    <row r="21468">
      <c r="A21468" s="1" t="n">
        <v>21467</v>
      </c>
      <c r="B21468">
        <f>TEXT(21467, "[$-0E0000]yyyy-mm-dd")</f>
        <v/>
      </c>
      <c r="C21468" t="inlineStr">
        <is>
          <t>1958-08-28</t>
        </is>
      </c>
    </row>
    <row r="21469">
      <c r="A21469" s="1" t="n">
        <v>21468</v>
      </c>
      <c r="B21469">
        <f>TEXT(21468, "[$-0E0000]yyyy-mm-dd")</f>
        <v/>
      </c>
      <c r="C21469" t="inlineStr">
        <is>
          <t>1958-08-29</t>
        </is>
      </c>
    </row>
    <row r="21470">
      <c r="A21470" s="1" t="n">
        <v>21469</v>
      </c>
      <c r="B21470">
        <f>TEXT(21469, "[$-0E0000]yyyy-mm-dd")</f>
        <v/>
      </c>
      <c r="C21470" t="inlineStr">
        <is>
          <t>1958-08-30</t>
        </is>
      </c>
    </row>
    <row r="21471">
      <c r="A21471" s="1" t="n">
        <v>21470</v>
      </c>
      <c r="B21471">
        <f>TEXT(21470, "[$-0E0000]yyyy-mm-dd")</f>
        <v/>
      </c>
      <c r="C21471" t="inlineStr">
        <is>
          <t>1958-09-01</t>
        </is>
      </c>
    </row>
    <row r="21472">
      <c r="A21472" s="1" t="n">
        <v>21471</v>
      </c>
      <c r="B21472">
        <f>TEXT(21471, "[$-0E0000]yyyy-mm-dd")</f>
        <v/>
      </c>
      <c r="C21472" t="inlineStr">
        <is>
          <t>1958-09-02</t>
        </is>
      </c>
    </row>
    <row r="21473">
      <c r="A21473" s="1" t="n">
        <v>21472</v>
      </c>
      <c r="B21473">
        <f>TEXT(21472, "[$-0E0000]yyyy-mm-dd")</f>
        <v/>
      </c>
      <c r="C21473" t="inlineStr">
        <is>
          <t>1958-09-03</t>
        </is>
      </c>
    </row>
    <row r="21474">
      <c r="A21474" s="1" t="n">
        <v>21473</v>
      </c>
      <c r="B21474">
        <f>TEXT(21473, "[$-0E0000]yyyy-mm-dd")</f>
        <v/>
      </c>
      <c r="C21474" t="inlineStr">
        <is>
          <t>1958-09-04</t>
        </is>
      </c>
    </row>
    <row r="21475">
      <c r="A21475" s="1" t="n">
        <v>21474</v>
      </c>
      <c r="B21475">
        <f>TEXT(21474, "[$-0E0000]yyyy-mm-dd")</f>
        <v/>
      </c>
      <c r="C21475" t="inlineStr">
        <is>
          <t>1958-09-05</t>
        </is>
      </c>
    </row>
    <row r="21476">
      <c r="A21476" s="1" t="n">
        <v>21475</v>
      </c>
      <c r="B21476">
        <f>TEXT(21475, "[$-0E0000]yyyy-mm-dd")</f>
        <v/>
      </c>
      <c r="C21476" t="inlineStr">
        <is>
          <t>1958-09-06</t>
        </is>
      </c>
    </row>
    <row r="21477">
      <c r="A21477" s="1" t="n">
        <v>21476</v>
      </c>
      <c r="B21477">
        <f>TEXT(21476, "[$-0E0000]yyyy-mm-dd")</f>
        <v/>
      </c>
      <c r="C21477" t="inlineStr">
        <is>
          <t>1958-09-07</t>
        </is>
      </c>
    </row>
    <row r="21478">
      <c r="A21478" s="1" t="n">
        <v>21477</v>
      </c>
      <c r="B21478">
        <f>TEXT(21477, "[$-0E0000]yyyy-mm-dd")</f>
        <v/>
      </c>
      <c r="C21478" t="inlineStr">
        <is>
          <t>1958-09-08</t>
        </is>
      </c>
    </row>
    <row r="21479">
      <c r="A21479" s="1" t="n">
        <v>21478</v>
      </c>
      <c r="B21479">
        <f>TEXT(21478, "[$-0E0000]yyyy-mm-dd")</f>
        <v/>
      </c>
      <c r="C21479" t="inlineStr">
        <is>
          <t>1958-09-09</t>
        </is>
      </c>
    </row>
    <row r="21480">
      <c r="A21480" s="1" t="n">
        <v>21479</v>
      </c>
      <c r="B21480">
        <f>TEXT(21479, "[$-0E0000]yyyy-mm-dd")</f>
        <v/>
      </c>
      <c r="C21480" t="inlineStr">
        <is>
          <t>1958-09-10</t>
        </is>
      </c>
    </row>
    <row r="21481">
      <c r="A21481" s="1" t="n">
        <v>21480</v>
      </c>
      <c r="B21481">
        <f>TEXT(21480, "[$-0E0000]yyyy-mm-dd")</f>
        <v/>
      </c>
      <c r="C21481" t="inlineStr">
        <is>
          <t>1958-09-11</t>
        </is>
      </c>
    </row>
    <row r="21482">
      <c r="A21482" s="1" t="n">
        <v>21481</v>
      </c>
      <c r="B21482">
        <f>TEXT(21481, "[$-0E0000]yyyy-mm-dd")</f>
        <v/>
      </c>
      <c r="C21482" t="inlineStr">
        <is>
          <t>1958-09-12</t>
        </is>
      </c>
    </row>
    <row r="21483">
      <c r="A21483" s="1" t="n">
        <v>21482</v>
      </c>
      <c r="B21483">
        <f>TEXT(21482, "[$-0E0000]yyyy-mm-dd")</f>
        <v/>
      </c>
      <c r="C21483" t="inlineStr">
        <is>
          <t>1958-09-13</t>
        </is>
      </c>
    </row>
    <row r="21484">
      <c r="A21484" s="1" t="n">
        <v>21483</v>
      </c>
      <c r="B21484">
        <f>TEXT(21483, "[$-0E0000]yyyy-mm-dd")</f>
        <v/>
      </c>
      <c r="C21484" t="inlineStr">
        <is>
          <t>1958-09-14</t>
        </is>
      </c>
    </row>
    <row r="21485">
      <c r="A21485" s="1" t="n">
        <v>21484</v>
      </c>
      <c r="B21485">
        <f>TEXT(21484, "[$-0E0000]yyyy-mm-dd")</f>
        <v/>
      </c>
      <c r="C21485" t="inlineStr">
        <is>
          <t>1958-09-15</t>
        </is>
      </c>
    </row>
    <row r="21486">
      <c r="A21486" s="1" t="n">
        <v>21485</v>
      </c>
      <c r="B21486">
        <f>TEXT(21485, "[$-0E0000]yyyy-mm-dd")</f>
        <v/>
      </c>
      <c r="C21486" t="inlineStr">
        <is>
          <t>1958-09-16</t>
        </is>
      </c>
    </row>
    <row r="21487">
      <c r="A21487" s="1" t="n">
        <v>21486</v>
      </c>
      <c r="B21487">
        <f>TEXT(21486, "[$-0E0000]yyyy-mm-dd")</f>
        <v/>
      </c>
      <c r="C21487" t="inlineStr">
        <is>
          <t>1958-09-17</t>
        </is>
      </c>
    </row>
    <row r="21488">
      <c r="A21488" s="1" t="n">
        <v>21487</v>
      </c>
      <c r="B21488">
        <f>TEXT(21487, "[$-0E0000]yyyy-mm-dd")</f>
        <v/>
      </c>
      <c r="C21488" t="inlineStr">
        <is>
          <t>1958-09-18</t>
        </is>
      </c>
    </row>
    <row r="21489">
      <c r="A21489" s="1" t="n">
        <v>21488</v>
      </c>
      <c r="B21489">
        <f>TEXT(21488, "[$-0E0000]yyyy-mm-dd")</f>
        <v/>
      </c>
      <c r="C21489" t="inlineStr">
        <is>
          <t>1958-09-19</t>
        </is>
      </c>
    </row>
    <row r="21490">
      <c r="A21490" s="1" t="n">
        <v>21489</v>
      </c>
      <c r="B21490">
        <f>TEXT(21489, "[$-0E0000]yyyy-mm-dd")</f>
        <v/>
      </c>
      <c r="C21490" t="inlineStr">
        <is>
          <t>1958-09-20</t>
        </is>
      </c>
    </row>
    <row r="21491">
      <c r="A21491" s="1" t="n">
        <v>21490</v>
      </c>
      <c r="B21491">
        <f>TEXT(21490, "[$-0E0000]yyyy-mm-dd")</f>
        <v/>
      </c>
      <c r="C21491" t="inlineStr">
        <is>
          <t>1958-09-21</t>
        </is>
      </c>
    </row>
    <row r="21492">
      <c r="A21492" s="1" t="n">
        <v>21491</v>
      </c>
      <c r="B21492">
        <f>TEXT(21491, "[$-0E0000]yyyy-mm-dd")</f>
        <v/>
      </c>
      <c r="C21492" t="inlineStr">
        <is>
          <t>1958-09-22</t>
        </is>
      </c>
    </row>
    <row r="21493">
      <c r="A21493" s="1" t="n">
        <v>21492</v>
      </c>
      <c r="B21493">
        <f>TEXT(21492, "[$-0E0000]yyyy-mm-dd")</f>
        <v/>
      </c>
      <c r="C21493" t="inlineStr">
        <is>
          <t>1958-09-23</t>
        </is>
      </c>
    </row>
    <row r="21494">
      <c r="A21494" s="1" t="n">
        <v>21493</v>
      </c>
      <c r="B21494">
        <f>TEXT(21493, "[$-0E0000]yyyy-mm-dd")</f>
        <v/>
      </c>
      <c r="C21494" t="inlineStr">
        <is>
          <t>1958-09-24</t>
        </is>
      </c>
    </row>
    <row r="21495">
      <c r="A21495" s="1" t="n">
        <v>21494</v>
      </c>
      <c r="B21495">
        <f>TEXT(21494, "[$-0E0000]yyyy-mm-dd")</f>
        <v/>
      </c>
      <c r="C21495" t="inlineStr">
        <is>
          <t>1958-09-25</t>
        </is>
      </c>
    </row>
    <row r="21496">
      <c r="A21496" s="1" t="n">
        <v>21495</v>
      </c>
      <c r="B21496">
        <f>TEXT(21495, "[$-0E0000]yyyy-mm-dd")</f>
        <v/>
      </c>
      <c r="C21496" t="inlineStr">
        <is>
          <t>1958-09-26</t>
        </is>
      </c>
    </row>
    <row r="21497">
      <c r="A21497" s="1" t="n">
        <v>21496</v>
      </c>
      <c r="B21497">
        <f>TEXT(21496, "[$-0E0000]yyyy-mm-dd")</f>
        <v/>
      </c>
      <c r="C21497" t="inlineStr">
        <is>
          <t>1958-09-27</t>
        </is>
      </c>
    </row>
    <row r="21498">
      <c r="A21498" s="1" t="n">
        <v>21497</v>
      </c>
      <c r="B21498">
        <f>TEXT(21497, "[$-0E0000]yyyy-mm-dd")</f>
        <v/>
      </c>
      <c r="C21498" t="inlineStr">
        <is>
          <t>1958-09-28</t>
        </is>
      </c>
    </row>
    <row r="21499">
      <c r="A21499" s="1" t="n">
        <v>21498</v>
      </c>
      <c r="B21499">
        <f>TEXT(21498, "[$-0E0000]yyyy-mm-dd")</f>
        <v/>
      </c>
      <c r="C21499" t="inlineStr">
        <is>
          <t>1958-09-29</t>
        </is>
      </c>
    </row>
    <row r="21500">
      <c r="A21500" s="1" t="n">
        <v>21499</v>
      </c>
      <c r="B21500">
        <f>TEXT(21499, "[$-0E0000]yyyy-mm-dd")</f>
        <v/>
      </c>
      <c r="C21500" t="inlineStr">
        <is>
          <t>1958-10-01</t>
        </is>
      </c>
    </row>
    <row r="21501">
      <c r="A21501" s="1" t="n">
        <v>21500</v>
      </c>
      <c r="B21501">
        <f>TEXT(21500, "[$-0E0000]yyyy-mm-dd")</f>
        <v/>
      </c>
      <c r="C21501" t="inlineStr">
        <is>
          <t>1958-10-02</t>
        </is>
      </c>
    </row>
    <row r="21502">
      <c r="A21502" s="1" t="n">
        <v>21501</v>
      </c>
      <c r="B21502">
        <f>TEXT(21501, "[$-0E0000]yyyy-mm-dd")</f>
        <v/>
      </c>
      <c r="C21502" t="inlineStr">
        <is>
          <t>1958-10-03</t>
        </is>
      </c>
    </row>
    <row r="21503">
      <c r="A21503" s="1" t="n">
        <v>21502</v>
      </c>
      <c r="B21503">
        <f>TEXT(21502, "[$-0E0000]yyyy-mm-dd")</f>
        <v/>
      </c>
      <c r="C21503" t="inlineStr">
        <is>
          <t>1958-10-04</t>
        </is>
      </c>
    </row>
    <row r="21504">
      <c r="A21504" s="1" t="n">
        <v>21503</v>
      </c>
      <c r="B21504">
        <f>TEXT(21503, "[$-0E0000]yyyy-mm-dd")</f>
        <v/>
      </c>
      <c r="C21504" t="inlineStr">
        <is>
          <t>1958-10-05</t>
        </is>
      </c>
    </row>
    <row r="21505">
      <c r="A21505" s="1" t="n">
        <v>21504</v>
      </c>
      <c r="B21505">
        <f>TEXT(21504, "[$-0E0000]yyyy-mm-dd")</f>
        <v/>
      </c>
      <c r="C21505" t="inlineStr">
        <is>
          <t>1958-10-06</t>
        </is>
      </c>
    </row>
    <row r="21506">
      <c r="A21506" s="1" t="n">
        <v>21505</v>
      </c>
      <c r="B21506">
        <f>TEXT(21505, "[$-0E0000]yyyy-mm-dd")</f>
        <v/>
      </c>
      <c r="C21506" t="inlineStr">
        <is>
          <t>1958-10-07</t>
        </is>
      </c>
    </row>
    <row r="21507">
      <c r="A21507" s="1" t="n">
        <v>21506</v>
      </c>
      <c r="B21507">
        <f>TEXT(21506, "[$-0E0000]yyyy-mm-dd")</f>
        <v/>
      </c>
      <c r="C21507" t="inlineStr">
        <is>
          <t>1958-10-08</t>
        </is>
      </c>
    </row>
    <row r="21508">
      <c r="A21508" s="1" t="n">
        <v>21507</v>
      </c>
      <c r="B21508">
        <f>TEXT(21507, "[$-0E0000]yyyy-mm-dd")</f>
        <v/>
      </c>
      <c r="C21508" t="inlineStr">
        <is>
          <t>1958-10-09</t>
        </is>
      </c>
    </row>
    <row r="21509">
      <c r="A21509" s="1" t="n">
        <v>21508</v>
      </c>
      <c r="B21509">
        <f>TEXT(21508, "[$-0E0000]yyyy-mm-dd")</f>
        <v/>
      </c>
      <c r="C21509" t="inlineStr">
        <is>
          <t>1958-10-10</t>
        </is>
      </c>
    </row>
    <row r="21510">
      <c r="A21510" s="1" t="n">
        <v>21509</v>
      </c>
      <c r="B21510">
        <f>TEXT(21509, "[$-0E0000]yyyy-mm-dd")</f>
        <v/>
      </c>
      <c r="C21510" t="inlineStr">
        <is>
          <t>1958-10-11</t>
        </is>
      </c>
    </row>
    <row r="21511">
      <c r="A21511" s="1" t="n">
        <v>21510</v>
      </c>
      <c r="B21511">
        <f>TEXT(21510, "[$-0E0000]yyyy-mm-dd")</f>
        <v/>
      </c>
      <c r="C21511" t="inlineStr">
        <is>
          <t>1958-10-12</t>
        </is>
      </c>
    </row>
    <row r="21512">
      <c r="A21512" s="1" t="n">
        <v>21511</v>
      </c>
      <c r="B21512">
        <f>TEXT(21511, "[$-0E0000]yyyy-mm-dd")</f>
        <v/>
      </c>
      <c r="C21512" t="inlineStr">
        <is>
          <t>1958-10-13</t>
        </is>
      </c>
    </row>
    <row r="21513">
      <c r="A21513" s="1" t="n">
        <v>21512</v>
      </c>
      <c r="B21513">
        <f>TEXT(21512, "[$-0E0000]yyyy-mm-dd")</f>
        <v/>
      </c>
      <c r="C21513" t="inlineStr">
        <is>
          <t>1958-10-14</t>
        </is>
      </c>
    </row>
    <row r="21514">
      <c r="A21514" s="1" t="n">
        <v>21513</v>
      </c>
      <c r="B21514">
        <f>TEXT(21513, "[$-0E0000]yyyy-mm-dd")</f>
        <v/>
      </c>
      <c r="C21514" t="inlineStr">
        <is>
          <t>1958-10-15</t>
        </is>
      </c>
    </row>
    <row r="21515">
      <c r="A21515" s="1" t="n">
        <v>21514</v>
      </c>
      <c r="B21515">
        <f>TEXT(21514, "[$-0E0000]yyyy-mm-dd")</f>
        <v/>
      </c>
      <c r="C21515" t="inlineStr">
        <is>
          <t>1958-10-16</t>
        </is>
      </c>
    </row>
    <row r="21516">
      <c r="A21516" s="1" t="n">
        <v>21515</v>
      </c>
      <c r="B21516">
        <f>TEXT(21515, "[$-0E0000]yyyy-mm-dd")</f>
        <v/>
      </c>
      <c r="C21516" t="inlineStr">
        <is>
          <t>1958-10-17</t>
        </is>
      </c>
    </row>
    <row r="21517">
      <c r="A21517" s="1" t="n">
        <v>21516</v>
      </c>
      <c r="B21517">
        <f>TEXT(21516, "[$-0E0000]yyyy-mm-dd")</f>
        <v/>
      </c>
      <c r="C21517" t="inlineStr">
        <is>
          <t>1958-10-18</t>
        </is>
      </c>
    </row>
    <row r="21518">
      <c r="A21518" s="1" t="n">
        <v>21517</v>
      </c>
      <c r="B21518">
        <f>TEXT(21517, "[$-0E0000]yyyy-mm-dd")</f>
        <v/>
      </c>
      <c r="C21518" t="inlineStr">
        <is>
          <t>1958-10-19</t>
        </is>
      </c>
    </row>
    <row r="21519">
      <c r="A21519" s="1" t="n">
        <v>21518</v>
      </c>
      <c r="B21519">
        <f>TEXT(21518, "[$-0E0000]yyyy-mm-dd")</f>
        <v/>
      </c>
      <c r="C21519" t="inlineStr">
        <is>
          <t>1958-10-20</t>
        </is>
      </c>
    </row>
    <row r="21520">
      <c r="A21520" s="1" t="n">
        <v>21519</v>
      </c>
      <c r="B21520">
        <f>TEXT(21519, "[$-0E0000]yyyy-mm-dd")</f>
        <v/>
      </c>
      <c r="C21520" t="inlineStr">
        <is>
          <t>1958-10-21</t>
        </is>
      </c>
    </row>
    <row r="21521">
      <c r="A21521" s="1" t="n">
        <v>21520</v>
      </c>
      <c r="B21521">
        <f>TEXT(21520, "[$-0E0000]yyyy-mm-dd")</f>
        <v/>
      </c>
      <c r="C21521" t="inlineStr">
        <is>
          <t>1958-10-22</t>
        </is>
      </c>
    </row>
    <row r="21522">
      <c r="A21522" s="1" t="n">
        <v>21521</v>
      </c>
      <c r="B21522">
        <f>TEXT(21521, "[$-0E0000]yyyy-mm-dd")</f>
        <v/>
      </c>
      <c r="C21522" t="inlineStr">
        <is>
          <t>1958-10-23</t>
        </is>
      </c>
    </row>
    <row r="21523">
      <c r="A21523" s="1" t="n">
        <v>21522</v>
      </c>
      <c r="B21523">
        <f>TEXT(21522, "[$-0E0000]yyyy-mm-dd")</f>
        <v/>
      </c>
      <c r="C21523" t="inlineStr">
        <is>
          <t>1958-10-24</t>
        </is>
      </c>
    </row>
    <row r="21524">
      <c r="A21524" s="1" t="n">
        <v>21523</v>
      </c>
      <c r="B21524">
        <f>TEXT(21523, "[$-0E0000]yyyy-mm-dd")</f>
        <v/>
      </c>
      <c r="C21524" t="inlineStr">
        <is>
          <t>1958-10-25</t>
        </is>
      </c>
    </row>
    <row r="21525">
      <c r="A21525" s="1" t="n">
        <v>21524</v>
      </c>
      <c r="B21525">
        <f>TEXT(21524, "[$-0E0000]yyyy-mm-dd")</f>
        <v/>
      </c>
      <c r="C21525" t="inlineStr">
        <is>
          <t>1958-10-26</t>
        </is>
      </c>
    </row>
    <row r="21526">
      <c r="A21526" s="1" t="n">
        <v>21525</v>
      </c>
      <c r="B21526">
        <f>TEXT(21525, "[$-0E0000]yyyy-mm-dd")</f>
        <v/>
      </c>
      <c r="C21526" t="inlineStr">
        <is>
          <t>1958-10-27</t>
        </is>
      </c>
    </row>
    <row r="21527">
      <c r="A21527" s="1" t="n">
        <v>21526</v>
      </c>
      <c r="B21527">
        <f>TEXT(21526, "[$-0E0000]yyyy-mm-dd")</f>
        <v/>
      </c>
      <c r="C21527" t="inlineStr">
        <is>
          <t>1958-10-28</t>
        </is>
      </c>
    </row>
    <row r="21528">
      <c r="A21528" s="1" t="n">
        <v>21527</v>
      </c>
      <c r="B21528">
        <f>TEXT(21527, "[$-0E0000]yyyy-mm-dd")</f>
        <v/>
      </c>
      <c r="C21528" t="inlineStr">
        <is>
          <t>1958-10-29</t>
        </is>
      </c>
    </row>
    <row r="21529">
      <c r="A21529" s="1" t="n">
        <v>21528</v>
      </c>
      <c r="B21529">
        <f>TEXT(21528, "[$-0E0000]yyyy-mm-dd")</f>
        <v/>
      </c>
      <c r="C21529" t="inlineStr">
        <is>
          <t>1958-10-30</t>
        </is>
      </c>
    </row>
    <row r="21530">
      <c r="A21530" s="1" t="n">
        <v>21529</v>
      </c>
      <c r="B21530">
        <f>TEXT(21529, "[$-0E0000]yyyy-mm-dd")</f>
        <v/>
      </c>
      <c r="C21530" t="inlineStr">
        <is>
          <t>1958-11-01</t>
        </is>
      </c>
    </row>
    <row r="21531">
      <c r="A21531" s="1" t="n">
        <v>21530</v>
      </c>
      <c r="B21531">
        <f>TEXT(21530, "[$-0E0000]yyyy-mm-dd")</f>
        <v/>
      </c>
      <c r="C21531" t="inlineStr">
        <is>
          <t>1958-11-02</t>
        </is>
      </c>
    </row>
    <row r="21532">
      <c r="A21532" s="1" t="n">
        <v>21531</v>
      </c>
      <c r="B21532">
        <f>TEXT(21531, "[$-0E0000]yyyy-mm-dd")</f>
        <v/>
      </c>
      <c r="C21532" t="inlineStr">
        <is>
          <t>1958-11-03</t>
        </is>
      </c>
    </row>
    <row r="21533">
      <c r="A21533" s="1" t="n">
        <v>21532</v>
      </c>
      <c r="B21533">
        <f>TEXT(21532, "[$-0E0000]yyyy-mm-dd")</f>
        <v/>
      </c>
      <c r="C21533" t="inlineStr">
        <is>
          <t>1958-11-04</t>
        </is>
      </c>
    </row>
    <row r="21534">
      <c r="A21534" s="1" t="n">
        <v>21533</v>
      </c>
      <c r="B21534">
        <f>TEXT(21533, "[$-0E0000]yyyy-mm-dd")</f>
        <v/>
      </c>
      <c r="C21534" t="inlineStr">
        <is>
          <t>1958-11-05</t>
        </is>
      </c>
    </row>
    <row r="21535">
      <c r="A21535" s="1" t="n">
        <v>21534</v>
      </c>
      <c r="B21535">
        <f>TEXT(21534, "[$-0E0000]yyyy-mm-dd")</f>
        <v/>
      </c>
      <c r="C21535" t="inlineStr">
        <is>
          <t>1958-11-06</t>
        </is>
      </c>
    </row>
    <row r="21536">
      <c r="A21536" s="1" t="n">
        <v>21535</v>
      </c>
      <c r="B21536">
        <f>TEXT(21535, "[$-0E0000]yyyy-mm-dd")</f>
        <v/>
      </c>
      <c r="C21536" t="inlineStr">
        <is>
          <t>1958-11-07</t>
        </is>
      </c>
    </row>
    <row r="21537">
      <c r="A21537" s="1" t="n">
        <v>21536</v>
      </c>
      <c r="B21537">
        <f>TEXT(21536, "[$-0E0000]yyyy-mm-dd")</f>
        <v/>
      </c>
      <c r="C21537" t="inlineStr">
        <is>
          <t>1958-11-08</t>
        </is>
      </c>
    </row>
    <row r="21538">
      <c r="A21538" s="1" t="n">
        <v>21537</v>
      </c>
      <c r="B21538">
        <f>TEXT(21537, "[$-0E0000]yyyy-mm-dd")</f>
        <v/>
      </c>
      <c r="C21538" t="inlineStr">
        <is>
          <t>1958-11-09</t>
        </is>
      </c>
    </row>
    <row r="21539">
      <c r="A21539" s="1" t="n">
        <v>21538</v>
      </c>
      <c r="B21539">
        <f>TEXT(21538, "[$-0E0000]yyyy-mm-dd")</f>
        <v/>
      </c>
      <c r="C21539" t="inlineStr">
        <is>
          <t>1958-11-10</t>
        </is>
      </c>
    </row>
    <row r="21540">
      <c r="A21540" s="1" t="n">
        <v>21539</v>
      </c>
      <c r="B21540">
        <f>TEXT(21539, "[$-0E0000]yyyy-mm-dd")</f>
        <v/>
      </c>
      <c r="C21540" t="inlineStr">
        <is>
          <t>1958-11-11</t>
        </is>
      </c>
    </row>
    <row r="21541">
      <c r="A21541" s="1" t="n">
        <v>21540</v>
      </c>
      <c r="B21541">
        <f>TEXT(21540, "[$-0E0000]yyyy-mm-dd")</f>
        <v/>
      </c>
      <c r="C21541" t="inlineStr">
        <is>
          <t>1958-11-12</t>
        </is>
      </c>
    </row>
    <row r="21542">
      <c r="A21542" s="1" t="n">
        <v>21541</v>
      </c>
      <c r="B21542">
        <f>TEXT(21541, "[$-0E0000]yyyy-mm-dd")</f>
        <v/>
      </c>
      <c r="C21542" t="inlineStr">
        <is>
          <t>1958-11-13</t>
        </is>
      </c>
    </row>
    <row r="21543">
      <c r="A21543" s="1" t="n">
        <v>21542</v>
      </c>
      <c r="B21543">
        <f>TEXT(21542, "[$-0E0000]yyyy-mm-dd")</f>
        <v/>
      </c>
      <c r="C21543" t="inlineStr">
        <is>
          <t>1958-11-14</t>
        </is>
      </c>
    </row>
    <row r="21544">
      <c r="A21544" s="1" t="n">
        <v>21543</v>
      </c>
      <c r="B21544">
        <f>TEXT(21543, "[$-0E0000]yyyy-mm-dd")</f>
        <v/>
      </c>
      <c r="C21544" t="inlineStr">
        <is>
          <t>1958-11-15</t>
        </is>
      </c>
    </row>
    <row r="21545">
      <c r="A21545" s="1" t="n">
        <v>21544</v>
      </c>
      <c r="B21545">
        <f>TEXT(21544, "[$-0E0000]yyyy-mm-dd")</f>
        <v/>
      </c>
      <c r="C21545" t="inlineStr">
        <is>
          <t>1958-11-16</t>
        </is>
      </c>
    </row>
    <row r="21546">
      <c r="A21546" s="1" t="n">
        <v>21545</v>
      </c>
      <c r="B21546">
        <f>TEXT(21545, "[$-0E0000]yyyy-mm-dd")</f>
        <v/>
      </c>
      <c r="C21546" t="inlineStr">
        <is>
          <t>1958-11-17</t>
        </is>
      </c>
    </row>
    <row r="21547">
      <c r="A21547" s="1" t="n">
        <v>21546</v>
      </c>
      <c r="B21547">
        <f>TEXT(21546, "[$-0E0000]yyyy-mm-dd")</f>
        <v/>
      </c>
      <c r="C21547" t="inlineStr">
        <is>
          <t>1958-11-18</t>
        </is>
      </c>
    </row>
    <row r="21548">
      <c r="A21548" s="1" t="n">
        <v>21547</v>
      </c>
      <c r="B21548">
        <f>TEXT(21547, "[$-0E0000]yyyy-mm-dd")</f>
        <v/>
      </c>
      <c r="C21548" t="inlineStr">
        <is>
          <t>1958-11-19</t>
        </is>
      </c>
    </row>
    <row r="21549">
      <c r="A21549" s="1" t="n">
        <v>21548</v>
      </c>
      <c r="B21549">
        <f>TEXT(21548, "[$-0E0000]yyyy-mm-dd")</f>
        <v/>
      </c>
      <c r="C21549" t="inlineStr">
        <is>
          <t>1958-11-20</t>
        </is>
      </c>
    </row>
    <row r="21550">
      <c r="A21550" s="1" t="n">
        <v>21549</v>
      </c>
      <c r="B21550">
        <f>TEXT(21549, "[$-0E0000]yyyy-mm-dd")</f>
        <v/>
      </c>
      <c r="C21550" t="inlineStr">
        <is>
          <t>1958-11-21</t>
        </is>
      </c>
    </row>
    <row r="21551">
      <c r="A21551" s="1" t="n">
        <v>21550</v>
      </c>
      <c r="B21551">
        <f>TEXT(21550, "[$-0E0000]yyyy-mm-dd")</f>
        <v/>
      </c>
      <c r="C21551" t="inlineStr">
        <is>
          <t>1958-11-22</t>
        </is>
      </c>
    </row>
    <row r="21552">
      <c r="A21552" s="1" t="n">
        <v>21551</v>
      </c>
      <c r="B21552">
        <f>TEXT(21551, "[$-0E0000]yyyy-mm-dd")</f>
        <v/>
      </c>
      <c r="C21552" t="inlineStr">
        <is>
          <t>1958-11-23</t>
        </is>
      </c>
    </row>
    <row r="21553">
      <c r="A21553" s="1" t="n">
        <v>21552</v>
      </c>
      <c r="B21553">
        <f>TEXT(21552, "[$-0E0000]yyyy-mm-dd")</f>
        <v/>
      </c>
      <c r="C21553" t="inlineStr">
        <is>
          <t>1958-11-24</t>
        </is>
      </c>
    </row>
    <row r="21554">
      <c r="A21554" s="1" t="n">
        <v>21553</v>
      </c>
      <c r="B21554">
        <f>TEXT(21553, "[$-0E0000]yyyy-mm-dd")</f>
        <v/>
      </c>
      <c r="C21554" t="inlineStr">
        <is>
          <t>1958-11-25</t>
        </is>
      </c>
    </row>
    <row r="21555">
      <c r="A21555" s="1" t="n">
        <v>21554</v>
      </c>
      <c r="B21555">
        <f>TEXT(21554, "[$-0E0000]yyyy-mm-dd")</f>
        <v/>
      </c>
      <c r="C21555" t="inlineStr">
        <is>
          <t>1958-11-26</t>
        </is>
      </c>
    </row>
    <row r="21556">
      <c r="A21556" s="1" t="n">
        <v>21555</v>
      </c>
      <c r="B21556">
        <f>TEXT(21555, "[$-0E0000]yyyy-mm-dd")</f>
        <v/>
      </c>
      <c r="C21556" t="inlineStr">
        <is>
          <t>1958-11-27</t>
        </is>
      </c>
    </row>
    <row r="21557">
      <c r="A21557" s="1" t="n">
        <v>21556</v>
      </c>
      <c r="B21557">
        <f>TEXT(21556, "[$-0E0000]yyyy-mm-dd")</f>
        <v/>
      </c>
      <c r="C21557" t="inlineStr">
        <is>
          <t>1958-11-28</t>
        </is>
      </c>
    </row>
    <row r="21558">
      <c r="A21558" s="1" t="n">
        <v>21557</v>
      </c>
      <c r="B21558">
        <f>TEXT(21557, "[$-0E0000]yyyy-mm-dd")</f>
        <v/>
      </c>
      <c r="C21558" t="inlineStr">
        <is>
          <t>1958-11-29</t>
        </is>
      </c>
    </row>
    <row r="21559">
      <c r="A21559" s="1" t="n">
        <v>21558</v>
      </c>
      <c r="B21559">
        <f>TEXT(21558, "[$-0E0000]yyyy-mm-dd")</f>
        <v/>
      </c>
      <c r="C21559" t="inlineStr">
        <is>
          <t>1958-12-01</t>
        </is>
      </c>
    </row>
    <row r="21560">
      <c r="A21560" s="1" t="n">
        <v>21559</v>
      </c>
      <c r="B21560">
        <f>TEXT(21559, "[$-0E0000]yyyy-mm-dd")</f>
        <v/>
      </c>
      <c r="C21560" t="inlineStr">
        <is>
          <t>1958-12-02</t>
        </is>
      </c>
    </row>
    <row r="21561">
      <c r="A21561" s="1" t="n">
        <v>21560</v>
      </c>
      <c r="B21561">
        <f>TEXT(21560, "[$-0E0000]yyyy-mm-dd")</f>
        <v/>
      </c>
      <c r="C21561" t="inlineStr">
        <is>
          <t>1958-12-03</t>
        </is>
      </c>
    </row>
    <row r="21562">
      <c r="A21562" s="1" t="n">
        <v>21561</v>
      </c>
      <c r="B21562">
        <f>TEXT(21561, "[$-0E0000]yyyy-mm-dd")</f>
        <v/>
      </c>
      <c r="C21562" t="inlineStr">
        <is>
          <t>1958-12-04</t>
        </is>
      </c>
    </row>
    <row r="21563">
      <c r="A21563" s="1" t="n">
        <v>21562</v>
      </c>
      <c r="B21563">
        <f>TEXT(21562, "[$-0E0000]yyyy-mm-dd")</f>
        <v/>
      </c>
      <c r="C21563" t="inlineStr">
        <is>
          <t>1958-12-05</t>
        </is>
      </c>
    </row>
    <row r="21564">
      <c r="A21564" s="1" t="n">
        <v>21563</v>
      </c>
      <c r="B21564">
        <f>TEXT(21563, "[$-0E0000]yyyy-mm-dd")</f>
        <v/>
      </c>
      <c r="C21564" t="inlineStr">
        <is>
          <t>1958-12-06</t>
        </is>
      </c>
    </row>
    <row r="21565">
      <c r="A21565" s="1" t="n">
        <v>21564</v>
      </c>
      <c r="B21565">
        <f>TEXT(21564, "[$-0E0000]yyyy-mm-dd")</f>
        <v/>
      </c>
      <c r="C21565" t="inlineStr">
        <is>
          <t>1958-12-07</t>
        </is>
      </c>
    </row>
    <row r="21566">
      <c r="A21566" s="1" t="n">
        <v>21565</v>
      </c>
      <c r="B21566">
        <f>TEXT(21565, "[$-0E0000]yyyy-mm-dd")</f>
        <v/>
      </c>
      <c r="C21566" t="inlineStr">
        <is>
          <t>1958-12-08</t>
        </is>
      </c>
    </row>
    <row r="21567">
      <c r="A21567" s="1" t="n">
        <v>21566</v>
      </c>
      <c r="B21567">
        <f>TEXT(21566, "[$-0E0000]yyyy-mm-dd")</f>
        <v/>
      </c>
      <c r="C21567" t="inlineStr">
        <is>
          <t>1958-12-09</t>
        </is>
      </c>
    </row>
    <row r="21568">
      <c r="A21568" s="1" t="n">
        <v>21567</v>
      </c>
      <c r="B21568">
        <f>TEXT(21567, "[$-0E0000]yyyy-mm-dd")</f>
        <v/>
      </c>
      <c r="C21568" t="inlineStr">
        <is>
          <t>1958-12-10</t>
        </is>
      </c>
    </row>
    <row r="21569">
      <c r="A21569" s="1" t="n">
        <v>21568</v>
      </c>
      <c r="B21569">
        <f>TEXT(21568, "[$-0E0000]yyyy-mm-dd")</f>
        <v/>
      </c>
      <c r="C21569" t="inlineStr">
        <is>
          <t>1958-12-11</t>
        </is>
      </c>
    </row>
    <row r="21570">
      <c r="A21570" s="1" t="n">
        <v>21569</v>
      </c>
      <c r="B21570">
        <f>TEXT(21569, "[$-0E0000]yyyy-mm-dd")</f>
        <v/>
      </c>
      <c r="C21570" t="inlineStr">
        <is>
          <t>1958-12-12</t>
        </is>
      </c>
    </row>
    <row r="21571">
      <c r="A21571" s="1" t="n">
        <v>21570</v>
      </c>
      <c r="B21571">
        <f>TEXT(21570, "[$-0E0000]yyyy-mm-dd")</f>
        <v/>
      </c>
      <c r="C21571" t="inlineStr">
        <is>
          <t>1958-12-13</t>
        </is>
      </c>
    </row>
    <row r="21572">
      <c r="A21572" s="1" t="n">
        <v>21571</v>
      </c>
      <c r="B21572">
        <f>TEXT(21571, "[$-0E0000]yyyy-mm-dd")</f>
        <v/>
      </c>
      <c r="C21572" t="inlineStr">
        <is>
          <t>1958-12-14</t>
        </is>
      </c>
    </row>
    <row r="21573">
      <c r="A21573" s="1" t="n">
        <v>21572</v>
      </c>
      <c r="B21573">
        <f>TEXT(21572, "[$-0E0000]yyyy-mm-dd")</f>
        <v/>
      </c>
      <c r="C21573" t="inlineStr">
        <is>
          <t>1958-12-15</t>
        </is>
      </c>
    </row>
    <row r="21574">
      <c r="A21574" s="1" t="n">
        <v>21573</v>
      </c>
      <c r="B21574">
        <f>TEXT(21573, "[$-0E0000]yyyy-mm-dd")</f>
        <v/>
      </c>
      <c r="C21574" t="inlineStr">
        <is>
          <t>1958-12-16</t>
        </is>
      </c>
    </row>
    <row r="21575">
      <c r="A21575" s="1" t="n">
        <v>21574</v>
      </c>
      <c r="B21575">
        <f>TEXT(21574, "[$-0E0000]yyyy-mm-dd")</f>
        <v/>
      </c>
      <c r="C21575" t="inlineStr">
        <is>
          <t>1958-12-17</t>
        </is>
      </c>
    </row>
    <row r="21576">
      <c r="A21576" s="1" t="n">
        <v>21575</v>
      </c>
      <c r="B21576">
        <f>TEXT(21575, "[$-0E0000]yyyy-mm-dd")</f>
        <v/>
      </c>
      <c r="C21576" t="inlineStr">
        <is>
          <t>1958-12-18</t>
        </is>
      </c>
    </row>
    <row r="21577">
      <c r="A21577" s="1" t="n">
        <v>21576</v>
      </c>
      <c r="B21577">
        <f>TEXT(21576, "[$-0E0000]yyyy-mm-dd")</f>
        <v/>
      </c>
      <c r="C21577" t="inlineStr">
        <is>
          <t>1958-12-19</t>
        </is>
      </c>
    </row>
    <row r="21578">
      <c r="A21578" s="1" t="n">
        <v>21577</v>
      </c>
      <c r="B21578">
        <f>TEXT(21577, "[$-0E0000]yyyy-mm-dd")</f>
        <v/>
      </c>
      <c r="C21578" t="inlineStr">
        <is>
          <t>1958-12-20</t>
        </is>
      </c>
    </row>
    <row r="21579">
      <c r="A21579" s="1" t="n">
        <v>21578</v>
      </c>
      <c r="B21579">
        <f>TEXT(21578, "[$-0E0000]yyyy-mm-dd")</f>
        <v/>
      </c>
      <c r="C21579" t="inlineStr">
        <is>
          <t>1958-12-21</t>
        </is>
      </c>
    </row>
    <row r="21580">
      <c r="A21580" s="1" t="n">
        <v>21579</v>
      </c>
      <c r="B21580">
        <f>TEXT(21579, "[$-0E0000]yyyy-mm-dd")</f>
        <v/>
      </c>
      <c r="C21580" t="inlineStr">
        <is>
          <t>1958-12-22</t>
        </is>
      </c>
    </row>
    <row r="21581">
      <c r="A21581" s="1" t="n">
        <v>21580</v>
      </c>
      <c r="B21581">
        <f>TEXT(21580, "[$-0E0000]yyyy-mm-dd")</f>
        <v/>
      </c>
      <c r="C21581" t="inlineStr">
        <is>
          <t>1958-12-23</t>
        </is>
      </c>
    </row>
    <row r="21582">
      <c r="A21582" s="1" t="n">
        <v>21581</v>
      </c>
      <c r="B21582">
        <f>TEXT(21581, "[$-0E0000]yyyy-mm-dd")</f>
        <v/>
      </c>
      <c r="C21582" t="inlineStr">
        <is>
          <t>1958-12-24</t>
        </is>
      </c>
    </row>
    <row r="21583">
      <c r="A21583" s="1" t="n">
        <v>21582</v>
      </c>
      <c r="B21583">
        <f>TEXT(21582, "[$-0E0000]yyyy-mm-dd")</f>
        <v/>
      </c>
      <c r="C21583" t="inlineStr">
        <is>
          <t>1958-12-25</t>
        </is>
      </c>
    </row>
    <row r="21584">
      <c r="A21584" s="1" t="n">
        <v>21583</v>
      </c>
      <c r="B21584">
        <f>TEXT(21583, "[$-0E0000]yyyy-mm-dd")</f>
        <v/>
      </c>
      <c r="C21584" t="inlineStr">
        <is>
          <t>1958-12-26</t>
        </is>
      </c>
    </row>
    <row r="21585">
      <c r="A21585" s="1" t="n">
        <v>21584</v>
      </c>
      <c r="B21585">
        <f>TEXT(21584, "[$-0E0000]yyyy-mm-dd")</f>
        <v/>
      </c>
      <c r="C21585" t="inlineStr">
        <is>
          <t>1958-12-27</t>
        </is>
      </c>
    </row>
    <row r="21586">
      <c r="A21586" s="1" t="n">
        <v>21585</v>
      </c>
      <c r="B21586">
        <f>TEXT(21585, "[$-0E0000]yyyy-mm-dd")</f>
        <v/>
      </c>
      <c r="C21586" t="inlineStr">
        <is>
          <t>1958-12-28</t>
        </is>
      </c>
    </row>
    <row r="21587">
      <c r="A21587" s="1" t="n">
        <v>21586</v>
      </c>
      <c r="B21587">
        <f>TEXT(21586, "[$-0E0000]yyyy-mm-dd")</f>
        <v/>
      </c>
      <c r="C21587" t="inlineStr">
        <is>
          <t>1958-12-29</t>
        </is>
      </c>
    </row>
    <row r="21588">
      <c r="A21588" s="1" t="n">
        <v>21587</v>
      </c>
      <c r="B21588">
        <f>TEXT(21587, "[$-0E0000]yyyy-mm-dd")</f>
        <v/>
      </c>
      <c r="C21588" t="inlineStr">
        <is>
          <t>1958-12-30</t>
        </is>
      </c>
    </row>
    <row r="21589">
      <c r="A21589" s="1" t="n">
        <v>21588</v>
      </c>
      <c r="B21589">
        <f>TEXT(21588, "[$-0E0000]yyyy-mm-dd")</f>
        <v/>
      </c>
      <c r="C21589" t="inlineStr">
        <is>
          <t>1959-01-01</t>
        </is>
      </c>
    </row>
    <row r="21590">
      <c r="A21590" s="1" t="n">
        <v>21589</v>
      </c>
      <c r="B21590">
        <f>TEXT(21589, "[$-0E0000]yyyy-mm-dd")</f>
        <v/>
      </c>
      <c r="C21590" t="inlineStr">
        <is>
          <t>1959-01-02</t>
        </is>
      </c>
    </row>
    <row r="21591">
      <c r="A21591" s="1" t="n">
        <v>21590</v>
      </c>
      <c r="B21591">
        <f>TEXT(21590, "[$-0E0000]yyyy-mm-dd")</f>
        <v/>
      </c>
      <c r="C21591" t="inlineStr">
        <is>
          <t>1959-01-03</t>
        </is>
      </c>
    </row>
    <row r="21592">
      <c r="A21592" s="1" t="n">
        <v>21591</v>
      </c>
      <c r="B21592">
        <f>TEXT(21591, "[$-0E0000]yyyy-mm-dd")</f>
        <v/>
      </c>
      <c r="C21592" t="inlineStr">
        <is>
          <t>1959-01-04</t>
        </is>
      </c>
    </row>
    <row r="21593">
      <c r="A21593" s="1" t="n">
        <v>21592</v>
      </c>
      <c r="B21593">
        <f>TEXT(21592, "[$-0E0000]yyyy-mm-dd")</f>
        <v/>
      </c>
      <c r="C21593" t="inlineStr">
        <is>
          <t>1959-01-05</t>
        </is>
      </c>
    </row>
    <row r="21594">
      <c r="A21594" s="1" t="n">
        <v>21593</v>
      </c>
      <c r="B21594">
        <f>TEXT(21593, "[$-0E0000]yyyy-mm-dd")</f>
        <v/>
      </c>
      <c r="C21594" t="inlineStr">
        <is>
          <t>1959-01-06</t>
        </is>
      </c>
    </row>
    <row r="21595">
      <c r="A21595" s="1" t="n">
        <v>21594</v>
      </c>
      <c r="B21595">
        <f>TEXT(21594, "[$-0E0000]yyyy-mm-dd")</f>
        <v/>
      </c>
      <c r="C21595" t="inlineStr">
        <is>
          <t>1959-01-07</t>
        </is>
      </c>
    </row>
    <row r="21596">
      <c r="A21596" s="1" t="n">
        <v>21595</v>
      </c>
      <c r="B21596">
        <f>TEXT(21595, "[$-0E0000]yyyy-mm-dd")</f>
        <v/>
      </c>
      <c r="C21596" t="inlineStr">
        <is>
          <t>1959-01-08</t>
        </is>
      </c>
    </row>
    <row r="21597">
      <c r="A21597" s="1" t="n">
        <v>21596</v>
      </c>
      <c r="B21597">
        <f>TEXT(21596, "[$-0E0000]yyyy-mm-dd")</f>
        <v/>
      </c>
      <c r="C21597" t="inlineStr">
        <is>
          <t>1959-01-09</t>
        </is>
      </c>
    </row>
    <row r="21598">
      <c r="A21598" s="1" t="n">
        <v>21597</v>
      </c>
      <c r="B21598">
        <f>TEXT(21597, "[$-0E0000]yyyy-mm-dd")</f>
        <v/>
      </c>
      <c r="C21598" t="inlineStr">
        <is>
          <t>1959-01-10</t>
        </is>
      </c>
    </row>
    <row r="21599">
      <c r="A21599" s="1" t="n">
        <v>21598</v>
      </c>
      <c r="B21599">
        <f>TEXT(21598, "[$-0E0000]yyyy-mm-dd")</f>
        <v/>
      </c>
      <c r="C21599" t="inlineStr">
        <is>
          <t>1959-01-11</t>
        </is>
      </c>
    </row>
    <row r="21600">
      <c r="A21600" s="1" t="n">
        <v>21599</v>
      </c>
      <c r="B21600">
        <f>TEXT(21599, "[$-0E0000]yyyy-mm-dd")</f>
        <v/>
      </c>
      <c r="C21600" t="inlineStr">
        <is>
          <t>1959-01-12</t>
        </is>
      </c>
    </row>
    <row r="21601">
      <c r="A21601" s="1" t="n">
        <v>21600</v>
      </c>
      <c r="B21601">
        <f>TEXT(21600, "[$-0E0000]yyyy-mm-dd")</f>
        <v/>
      </c>
      <c r="C21601" t="inlineStr">
        <is>
          <t>1959-01-13</t>
        </is>
      </c>
    </row>
    <row r="21602">
      <c r="A21602" s="1" t="n">
        <v>21601</v>
      </c>
      <c r="B21602">
        <f>TEXT(21601, "[$-0E0000]yyyy-mm-dd")</f>
        <v/>
      </c>
      <c r="C21602" t="inlineStr">
        <is>
          <t>1959-01-14</t>
        </is>
      </c>
    </row>
    <row r="21603">
      <c r="A21603" s="1" t="n">
        <v>21602</v>
      </c>
      <c r="B21603">
        <f>TEXT(21602, "[$-0E0000]yyyy-mm-dd")</f>
        <v/>
      </c>
      <c r="C21603" t="inlineStr">
        <is>
          <t>1959-01-15</t>
        </is>
      </c>
    </row>
    <row r="21604">
      <c r="A21604" s="1" t="n">
        <v>21603</v>
      </c>
      <c r="B21604">
        <f>TEXT(21603, "[$-0E0000]yyyy-mm-dd")</f>
        <v/>
      </c>
      <c r="C21604" t="inlineStr">
        <is>
          <t>1959-01-16</t>
        </is>
      </c>
    </row>
    <row r="21605">
      <c r="A21605" s="1" t="n">
        <v>21604</v>
      </c>
      <c r="B21605">
        <f>TEXT(21604, "[$-0E0000]yyyy-mm-dd")</f>
        <v/>
      </c>
      <c r="C21605" t="inlineStr">
        <is>
          <t>1959-01-17</t>
        </is>
      </c>
    </row>
    <row r="21606">
      <c r="A21606" s="1" t="n">
        <v>21605</v>
      </c>
      <c r="B21606">
        <f>TEXT(21605, "[$-0E0000]yyyy-mm-dd")</f>
        <v/>
      </c>
      <c r="C21606" t="inlineStr">
        <is>
          <t>1959-01-18</t>
        </is>
      </c>
    </row>
    <row r="21607">
      <c r="A21607" s="1" t="n">
        <v>21606</v>
      </c>
      <c r="B21607">
        <f>TEXT(21606, "[$-0E0000]yyyy-mm-dd")</f>
        <v/>
      </c>
      <c r="C21607" t="inlineStr">
        <is>
          <t>1959-01-19</t>
        </is>
      </c>
    </row>
    <row r="21608">
      <c r="A21608" s="1" t="n">
        <v>21607</v>
      </c>
      <c r="B21608">
        <f>TEXT(21607, "[$-0E0000]yyyy-mm-dd")</f>
        <v/>
      </c>
      <c r="C21608" t="inlineStr">
        <is>
          <t>1959-01-20</t>
        </is>
      </c>
    </row>
    <row r="21609">
      <c r="A21609" s="1" t="n">
        <v>21608</v>
      </c>
      <c r="B21609">
        <f>TEXT(21608, "[$-0E0000]yyyy-mm-dd")</f>
        <v/>
      </c>
      <c r="C21609" t="inlineStr">
        <is>
          <t>1959-01-21</t>
        </is>
      </c>
    </row>
    <row r="21610">
      <c r="A21610" s="1" t="n">
        <v>21609</v>
      </c>
      <c r="B21610">
        <f>TEXT(21609, "[$-0E0000]yyyy-mm-dd")</f>
        <v/>
      </c>
      <c r="C21610" t="inlineStr">
        <is>
          <t>1959-01-22</t>
        </is>
      </c>
    </row>
    <row r="21611">
      <c r="A21611" s="1" t="n">
        <v>21610</v>
      </c>
      <c r="B21611">
        <f>TEXT(21610, "[$-0E0000]yyyy-mm-dd")</f>
        <v/>
      </c>
      <c r="C21611" t="inlineStr">
        <is>
          <t>1959-01-23</t>
        </is>
      </c>
    </row>
    <row r="21612">
      <c r="A21612" s="1" t="n">
        <v>21611</v>
      </c>
      <c r="B21612">
        <f>TEXT(21611, "[$-0E0000]yyyy-mm-dd")</f>
        <v/>
      </c>
      <c r="C21612" t="inlineStr">
        <is>
          <t>1959-01-24</t>
        </is>
      </c>
    </row>
    <row r="21613">
      <c r="A21613" s="1" t="n">
        <v>21612</v>
      </c>
      <c r="B21613">
        <f>TEXT(21612, "[$-0E0000]yyyy-mm-dd")</f>
        <v/>
      </c>
      <c r="C21613" t="inlineStr">
        <is>
          <t>1959-01-25</t>
        </is>
      </c>
    </row>
    <row r="21614">
      <c r="A21614" s="1" t="n">
        <v>21613</v>
      </c>
      <c r="B21614">
        <f>TEXT(21613, "[$-0E0000]yyyy-mm-dd")</f>
        <v/>
      </c>
      <c r="C21614" t="inlineStr">
        <is>
          <t>1959-01-26</t>
        </is>
      </c>
    </row>
    <row r="21615">
      <c r="A21615" s="1" t="n">
        <v>21614</v>
      </c>
      <c r="B21615">
        <f>TEXT(21614, "[$-0E0000]yyyy-mm-dd")</f>
        <v/>
      </c>
      <c r="C21615" t="inlineStr">
        <is>
          <t>1959-01-27</t>
        </is>
      </c>
    </row>
    <row r="21616">
      <c r="A21616" s="1" t="n">
        <v>21615</v>
      </c>
      <c r="B21616">
        <f>TEXT(21615, "[$-0E0000]yyyy-mm-dd")</f>
        <v/>
      </c>
      <c r="C21616" t="inlineStr">
        <is>
          <t>1959-01-28</t>
        </is>
      </c>
    </row>
    <row r="21617">
      <c r="A21617" s="1" t="n">
        <v>21616</v>
      </c>
      <c r="B21617">
        <f>TEXT(21616, "[$-0E0000]yyyy-mm-dd")</f>
        <v/>
      </c>
      <c r="C21617" t="inlineStr">
        <is>
          <t>1959-01-29</t>
        </is>
      </c>
    </row>
    <row r="21618">
      <c r="A21618" s="1" t="n">
        <v>21617</v>
      </c>
      <c r="B21618">
        <f>TEXT(21617, "[$-0E0000]yyyy-mm-dd")</f>
        <v/>
      </c>
      <c r="C21618" t="inlineStr">
        <is>
          <t>1959-02-01</t>
        </is>
      </c>
    </row>
    <row r="21619">
      <c r="A21619" s="1" t="n">
        <v>21618</v>
      </c>
      <c r="B21619">
        <f>TEXT(21618, "[$-0E0000]yyyy-mm-dd")</f>
        <v/>
      </c>
      <c r="C21619" t="inlineStr">
        <is>
          <t>1959-02-02</t>
        </is>
      </c>
    </row>
    <row r="21620">
      <c r="A21620" s="1" t="n">
        <v>21619</v>
      </c>
      <c r="B21620">
        <f>TEXT(21619, "[$-0E0000]yyyy-mm-dd")</f>
        <v/>
      </c>
      <c r="C21620" t="inlineStr">
        <is>
          <t>1959-02-03</t>
        </is>
      </c>
    </row>
    <row r="21621">
      <c r="A21621" s="1" t="n">
        <v>21620</v>
      </c>
      <c r="B21621">
        <f>TEXT(21620, "[$-0E0000]yyyy-mm-dd")</f>
        <v/>
      </c>
      <c r="C21621" t="inlineStr">
        <is>
          <t>1959-02-04</t>
        </is>
      </c>
    </row>
    <row r="21622">
      <c r="A21622" s="1" t="n">
        <v>21621</v>
      </c>
      <c r="B21622">
        <f>TEXT(21621, "[$-0E0000]yyyy-mm-dd")</f>
        <v/>
      </c>
      <c r="C21622" t="inlineStr">
        <is>
          <t>1959-02-05</t>
        </is>
      </c>
    </row>
    <row r="21623">
      <c r="A21623" s="1" t="n">
        <v>21622</v>
      </c>
      <c r="B21623">
        <f>TEXT(21622, "[$-0E0000]yyyy-mm-dd")</f>
        <v/>
      </c>
      <c r="C21623" t="inlineStr">
        <is>
          <t>1959-02-06</t>
        </is>
      </c>
    </row>
    <row r="21624">
      <c r="A21624" s="1" t="n">
        <v>21623</v>
      </c>
      <c r="B21624">
        <f>TEXT(21623, "[$-0E0000]yyyy-mm-dd")</f>
        <v/>
      </c>
      <c r="C21624" t="inlineStr">
        <is>
          <t>1959-02-07</t>
        </is>
      </c>
    </row>
    <row r="21625">
      <c r="A21625" s="1" t="n">
        <v>21624</v>
      </c>
      <c r="B21625">
        <f>TEXT(21624, "[$-0E0000]yyyy-mm-dd")</f>
        <v/>
      </c>
      <c r="C21625" t="inlineStr">
        <is>
          <t>1959-02-08</t>
        </is>
      </c>
    </row>
    <row r="21626">
      <c r="A21626" s="1" t="n">
        <v>21625</v>
      </c>
      <c r="B21626">
        <f>TEXT(21625, "[$-0E0000]yyyy-mm-dd")</f>
        <v/>
      </c>
      <c r="C21626" t="inlineStr">
        <is>
          <t>1959-02-09</t>
        </is>
      </c>
    </row>
    <row r="21627">
      <c r="A21627" s="1" t="n">
        <v>21626</v>
      </c>
      <c r="B21627">
        <f>TEXT(21626, "[$-0E0000]yyyy-mm-dd")</f>
        <v/>
      </c>
      <c r="C21627" t="inlineStr">
        <is>
          <t>1959-02-10</t>
        </is>
      </c>
    </row>
    <row r="21628">
      <c r="A21628" s="1" t="n">
        <v>21627</v>
      </c>
      <c r="B21628">
        <f>TEXT(21627, "[$-0E0000]yyyy-mm-dd")</f>
        <v/>
      </c>
      <c r="C21628" t="inlineStr">
        <is>
          <t>1959-02-11</t>
        </is>
      </c>
    </row>
    <row r="21629">
      <c r="A21629" s="1" t="n">
        <v>21628</v>
      </c>
      <c r="B21629">
        <f>TEXT(21628, "[$-0E0000]yyyy-mm-dd")</f>
        <v/>
      </c>
      <c r="C21629" t="inlineStr">
        <is>
          <t>1959-02-12</t>
        </is>
      </c>
    </row>
    <row r="21630">
      <c r="A21630" s="1" t="n">
        <v>21629</v>
      </c>
      <c r="B21630">
        <f>TEXT(21629, "[$-0E0000]yyyy-mm-dd")</f>
        <v/>
      </c>
      <c r="C21630" t="inlineStr">
        <is>
          <t>1959-02-13</t>
        </is>
      </c>
    </row>
    <row r="21631">
      <c r="A21631" s="1" t="n">
        <v>21630</v>
      </c>
      <c r="B21631">
        <f>TEXT(21630, "[$-0E0000]yyyy-mm-dd")</f>
        <v/>
      </c>
      <c r="C21631" t="inlineStr">
        <is>
          <t>1959-02-14</t>
        </is>
      </c>
    </row>
    <row r="21632">
      <c r="A21632" s="1" t="n">
        <v>21631</v>
      </c>
      <c r="B21632">
        <f>TEXT(21631, "[$-0E0000]yyyy-mm-dd")</f>
        <v/>
      </c>
      <c r="C21632" t="inlineStr">
        <is>
          <t>1959-02-15</t>
        </is>
      </c>
    </row>
    <row r="21633">
      <c r="A21633" s="1" t="n">
        <v>21632</v>
      </c>
      <c r="B21633">
        <f>TEXT(21632, "[$-0E0000]yyyy-mm-dd")</f>
        <v/>
      </c>
      <c r="C21633" t="inlineStr">
        <is>
          <t>1959-02-16</t>
        </is>
      </c>
    </row>
    <row r="21634">
      <c r="A21634" s="1" t="n">
        <v>21633</v>
      </c>
      <c r="B21634">
        <f>TEXT(21633, "[$-0E0000]yyyy-mm-dd")</f>
        <v/>
      </c>
      <c r="C21634" t="inlineStr">
        <is>
          <t>1959-02-17</t>
        </is>
      </c>
    </row>
    <row r="21635">
      <c r="A21635" s="1" t="n">
        <v>21634</v>
      </c>
      <c r="B21635">
        <f>TEXT(21634, "[$-0E0000]yyyy-mm-dd")</f>
        <v/>
      </c>
      <c r="C21635" t="inlineStr">
        <is>
          <t>1959-02-18</t>
        </is>
      </c>
    </row>
    <row r="21636">
      <c r="A21636" s="1" t="n">
        <v>21635</v>
      </c>
      <c r="B21636">
        <f>TEXT(21635, "[$-0E0000]yyyy-mm-dd")</f>
        <v/>
      </c>
      <c r="C21636" t="inlineStr">
        <is>
          <t>1959-02-19</t>
        </is>
      </c>
    </row>
    <row r="21637">
      <c r="A21637" s="1" t="n">
        <v>21636</v>
      </c>
      <c r="B21637">
        <f>TEXT(21636, "[$-0E0000]yyyy-mm-dd")</f>
        <v/>
      </c>
      <c r="C21637" t="inlineStr">
        <is>
          <t>1959-02-20</t>
        </is>
      </c>
    </row>
    <row r="21638">
      <c r="A21638" s="1" t="n">
        <v>21637</v>
      </c>
      <c r="B21638">
        <f>TEXT(21637, "[$-0E0000]yyyy-mm-dd")</f>
        <v/>
      </c>
      <c r="C21638" t="inlineStr">
        <is>
          <t>1959-02-21</t>
        </is>
      </c>
    </row>
    <row r="21639">
      <c r="A21639" s="1" t="n">
        <v>21638</v>
      </c>
      <c r="B21639">
        <f>TEXT(21638, "[$-0E0000]yyyy-mm-dd")</f>
        <v/>
      </c>
      <c r="C21639" t="inlineStr">
        <is>
          <t>1959-02-22</t>
        </is>
      </c>
    </row>
    <row r="21640">
      <c r="A21640" s="1" t="n">
        <v>21639</v>
      </c>
      <c r="B21640">
        <f>TEXT(21639, "[$-0E0000]yyyy-mm-dd")</f>
        <v/>
      </c>
      <c r="C21640" t="inlineStr">
        <is>
          <t>1959-02-23</t>
        </is>
      </c>
    </row>
    <row r="21641">
      <c r="A21641" s="1" t="n">
        <v>21640</v>
      </c>
      <c r="B21641">
        <f>TEXT(21640, "[$-0E0000]yyyy-mm-dd")</f>
        <v/>
      </c>
      <c r="C21641" t="inlineStr">
        <is>
          <t>1959-02-24</t>
        </is>
      </c>
    </row>
    <row r="21642">
      <c r="A21642" s="1" t="n">
        <v>21641</v>
      </c>
      <c r="B21642">
        <f>TEXT(21641, "[$-0E0000]yyyy-mm-dd")</f>
        <v/>
      </c>
      <c r="C21642" t="inlineStr">
        <is>
          <t>1959-02-25</t>
        </is>
      </c>
    </row>
    <row r="21643">
      <c r="A21643" s="1" t="n">
        <v>21642</v>
      </c>
      <c r="B21643">
        <f>TEXT(21642, "[$-0E0000]yyyy-mm-dd")</f>
        <v/>
      </c>
      <c r="C21643" t="inlineStr">
        <is>
          <t>1959-02-26</t>
        </is>
      </c>
    </row>
    <row r="21644">
      <c r="A21644" s="1" t="n">
        <v>21643</v>
      </c>
      <c r="B21644">
        <f>TEXT(21643, "[$-0E0000]yyyy-mm-dd")</f>
        <v/>
      </c>
      <c r="C21644" t="inlineStr">
        <is>
          <t>1959-02-27</t>
        </is>
      </c>
    </row>
    <row r="21645">
      <c r="A21645" s="1" t="n">
        <v>21644</v>
      </c>
      <c r="B21645">
        <f>TEXT(21644, "[$-0E0000]yyyy-mm-dd")</f>
        <v/>
      </c>
      <c r="C21645" t="inlineStr">
        <is>
          <t>1959-02-28</t>
        </is>
      </c>
    </row>
    <row r="21646">
      <c r="A21646" s="1" t="n">
        <v>21645</v>
      </c>
      <c r="B21646">
        <f>TEXT(21645, "[$-0E0000]yyyy-mm-dd")</f>
        <v/>
      </c>
      <c r="C21646" t="inlineStr">
        <is>
          <t>1959-02-29</t>
        </is>
      </c>
    </row>
    <row r="21647">
      <c r="A21647" s="1" t="n">
        <v>21646</v>
      </c>
      <c r="B21647">
        <f>TEXT(21646, "[$-0E0000]yyyy-mm-dd")</f>
        <v/>
      </c>
      <c r="C21647" t="inlineStr">
        <is>
          <t>1959-02-30</t>
        </is>
      </c>
    </row>
    <row r="21648">
      <c r="A21648" s="1" t="n">
        <v>21647</v>
      </c>
      <c r="B21648">
        <f>TEXT(21647, "[$-0E0000]yyyy-mm-dd")</f>
        <v/>
      </c>
      <c r="C21648" t="inlineStr">
        <is>
          <t>1959-03-01</t>
        </is>
      </c>
    </row>
    <row r="21649">
      <c r="A21649" s="1" t="n">
        <v>21648</v>
      </c>
      <c r="B21649">
        <f>TEXT(21648, "[$-0E0000]yyyy-mm-dd")</f>
        <v/>
      </c>
      <c r="C21649" t="inlineStr">
        <is>
          <t>1959-03-02</t>
        </is>
      </c>
    </row>
    <row r="21650">
      <c r="A21650" s="1" t="n">
        <v>21649</v>
      </c>
      <c r="B21650">
        <f>TEXT(21649, "[$-0E0000]yyyy-mm-dd")</f>
        <v/>
      </c>
      <c r="C21650" t="inlineStr">
        <is>
          <t>1959-03-03</t>
        </is>
      </c>
    </row>
    <row r="21651">
      <c r="A21651" s="1" t="n">
        <v>21650</v>
      </c>
      <c r="B21651">
        <f>TEXT(21650, "[$-0E0000]yyyy-mm-dd")</f>
        <v/>
      </c>
      <c r="C21651" t="inlineStr">
        <is>
          <t>1959-03-04</t>
        </is>
      </c>
    </row>
    <row r="21652">
      <c r="A21652" s="1" t="n">
        <v>21651</v>
      </c>
      <c r="B21652">
        <f>TEXT(21651, "[$-0E0000]yyyy-mm-dd")</f>
        <v/>
      </c>
      <c r="C21652" t="inlineStr">
        <is>
          <t>1959-03-05</t>
        </is>
      </c>
    </row>
    <row r="21653">
      <c r="A21653" s="1" t="n">
        <v>21652</v>
      </c>
      <c r="B21653">
        <f>TEXT(21652, "[$-0E0000]yyyy-mm-dd")</f>
        <v/>
      </c>
      <c r="C21653" t="inlineStr">
        <is>
          <t>1959-03-06</t>
        </is>
      </c>
    </row>
    <row r="21654">
      <c r="A21654" s="1" t="n">
        <v>21653</v>
      </c>
      <c r="B21654">
        <f>TEXT(21653, "[$-0E0000]yyyy-mm-dd")</f>
        <v/>
      </c>
      <c r="C21654" t="inlineStr">
        <is>
          <t>1959-03-07</t>
        </is>
      </c>
    </row>
    <row r="21655">
      <c r="A21655" s="1" t="n">
        <v>21654</v>
      </c>
      <c r="B21655">
        <f>TEXT(21654, "[$-0E0000]yyyy-mm-dd")</f>
        <v/>
      </c>
      <c r="C21655" t="inlineStr">
        <is>
          <t>1959-03-08</t>
        </is>
      </c>
    </row>
    <row r="21656">
      <c r="A21656" s="1" t="n">
        <v>21655</v>
      </c>
      <c r="B21656">
        <f>TEXT(21655, "[$-0E0000]yyyy-mm-dd")</f>
        <v/>
      </c>
      <c r="C21656" t="inlineStr">
        <is>
          <t>1959-03-09</t>
        </is>
      </c>
    </row>
    <row r="21657">
      <c r="A21657" s="1" t="n">
        <v>21656</v>
      </c>
      <c r="B21657">
        <f>TEXT(21656, "[$-0E0000]yyyy-mm-dd")</f>
        <v/>
      </c>
      <c r="C21657" t="inlineStr">
        <is>
          <t>1959-03-10</t>
        </is>
      </c>
    </row>
    <row r="21658">
      <c r="A21658" s="1" t="n">
        <v>21657</v>
      </c>
      <c r="B21658">
        <f>TEXT(21657, "[$-0E0000]yyyy-mm-dd")</f>
        <v/>
      </c>
      <c r="C21658" t="inlineStr">
        <is>
          <t>1959-03-11</t>
        </is>
      </c>
    </row>
    <row r="21659">
      <c r="A21659" s="1" t="n">
        <v>21658</v>
      </c>
      <c r="B21659">
        <f>TEXT(21658, "[$-0E0000]yyyy-mm-dd")</f>
        <v/>
      </c>
      <c r="C21659" t="inlineStr">
        <is>
          <t>1959-03-12</t>
        </is>
      </c>
    </row>
    <row r="21660">
      <c r="A21660" s="1" t="n">
        <v>21659</v>
      </c>
      <c r="B21660">
        <f>TEXT(21659, "[$-0E0000]yyyy-mm-dd")</f>
        <v/>
      </c>
      <c r="C21660" t="inlineStr">
        <is>
          <t>1959-03-13</t>
        </is>
      </c>
    </row>
    <row r="21661">
      <c r="A21661" s="1" t="n">
        <v>21660</v>
      </c>
      <c r="B21661">
        <f>TEXT(21660, "[$-0E0000]yyyy-mm-dd")</f>
        <v/>
      </c>
      <c r="C21661" t="inlineStr">
        <is>
          <t>1959-03-14</t>
        </is>
      </c>
    </row>
    <row r="21662">
      <c r="A21662" s="1" t="n">
        <v>21661</v>
      </c>
      <c r="B21662">
        <f>TEXT(21661, "[$-0E0000]yyyy-mm-dd")</f>
        <v/>
      </c>
      <c r="C21662" t="inlineStr">
        <is>
          <t>1959-03-15</t>
        </is>
      </c>
    </row>
    <row r="21663">
      <c r="A21663" s="1" t="n">
        <v>21662</v>
      </c>
      <c r="B21663">
        <f>TEXT(21662, "[$-0E0000]yyyy-mm-dd")</f>
        <v/>
      </c>
      <c r="C21663" t="inlineStr">
        <is>
          <t>1959-03-16</t>
        </is>
      </c>
    </row>
    <row r="21664">
      <c r="A21664" s="1" t="n">
        <v>21663</v>
      </c>
      <c r="B21664">
        <f>TEXT(21663, "[$-0E0000]yyyy-mm-dd")</f>
        <v/>
      </c>
      <c r="C21664" t="inlineStr">
        <is>
          <t>1959-03-17</t>
        </is>
      </c>
    </row>
    <row r="21665">
      <c r="A21665" s="1" t="n">
        <v>21664</v>
      </c>
      <c r="B21665">
        <f>TEXT(21664, "[$-0E0000]yyyy-mm-dd")</f>
        <v/>
      </c>
      <c r="C21665" t="inlineStr">
        <is>
          <t>1959-03-18</t>
        </is>
      </c>
    </row>
    <row r="21666">
      <c r="A21666" s="1" t="n">
        <v>21665</v>
      </c>
      <c r="B21666">
        <f>TEXT(21665, "[$-0E0000]yyyy-mm-dd")</f>
        <v/>
      </c>
      <c r="C21666" t="inlineStr">
        <is>
          <t>1959-03-19</t>
        </is>
      </c>
    </row>
    <row r="21667">
      <c r="A21667" s="1" t="n">
        <v>21666</v>
      </c>
      <c r="B21667">
        <f>TEXT(21666, "[$-0E0000]yyyy-mm-dd")</f>
        <v/>
      </c>
      <c r="C21667" t="inlineStr">
        <is>
          <t>1959-03-20</t>
        </is>
      </c>
    </row>
    <row r="21668">
      <c r="A21668" s="1" t="n">
        <v>21667</v>
      </c>
      <c r="B21668">
        <f>TEXT(21667, "[$-0E0000]yyyy-mm-dd")</f>
        <v/>
      </c>
      <c r="C21668" t="inlineStr">
        <is>
          <t>1959-03-21</t>
        </is>
      </c>
    </row>
    <row r="21669">
      <c r="A21669" s="1" t="n">
        <v>21668</v>
      </c>
      <c r="B21669">
        <f>TEXT(21668, "[$-0E0000]yyyy-mm-dd")</f>
        <v/>
      </c>
      <c r="C21669" t="inlineStr">
        <is>
          <t>1959-03-22</t>
        </is>
      </c>
    </row>
    <row r="21670">
      <c r="A21670" s="1" t="n">
        <v>21669</v>
      </c>
      <c r="B21670">
        <f>TEXT(21669, "[$-0E0000]yyyy-mm-dd")</f>
        <v/>
      </c>
      <c r="C21670" t="inlineStr">
        <is>
          <t>1959-03-23</t>
        </is>
      </c>
    </row>
    <row r="21671">
      <c r="A21671" s="1" t="n">
        <v>21670</v>
      </c>
      <c r="B21671">
        <f>TEXT(21670, "[$-0E0000]yyyy-mm-dd")</f>
        <v/>
      </c>
      <c r="C21671" t="inlineStr">
        <is>
          <t>1959-03-24</t>
        </is>
      </c>
    </row>
    <row r="21672">
      <c r="A21672" s="1" t="n">
        <v>21671</v>
      </c>
      <c r="B21672">
        <f>TEXT(21671, "[$-0E0000]yyyy-mm-dd")</f>
        <v/>
      </c>
      <c r="C21672" t="inlineStr">
        <is>
          <t>1959-03-25</t>
        </is>
      </c>
    </row>
    <row r="21673">
      <c r="A21673" s="1" t="n">
        <v>21672</v>
      </c>
      <c r="B21673">
        <f>TEXT(21672, "[$-0E0000]yyyy-mm-dd")</f>
        <v/>
      </c>
      <c r="C21673" t="inlineStr">
        <is>
          <t>1959-03-26</t>
        </is>
      </c>
    </row>
    <row r="21674">
      <c r="A21674" s="1" t="n">
        <v>21673</v>
      </c>
      <c r="B21674">
        <f>TEXT(21673, "[$-0E0000]yyyy-mm-dd")</f>
        <v/>
      </c>
      <c r="C21674" t="inlineStr">
        <is>
          <t>1959-03-27</t>
        </is>
      </c>
    </row>
    <row r="21675">
      <c r="A21675" s="1" t="n">
        <v>21674</v>
      </c>
      <c r="B21675">
        <f>TEXT(21674, "[$-0E0000]yyyy-mm-dd")</f>
        <v/>
      </c>
      <c r="C21675" t="inlineStr">
        <is>
          <t>1959-03-28</t>
        </is>
      </c>
    </row>
    <row r="21676">
      <c r="A21676" s="1" t="n">
        <v>21675</v>
      </c>
      <c r="B21676">
        <f>TEXT(21675, "[$-0E0000]yyyy-mm-dd")</f>
        <v/>
      </c>
      <c r="C21676" t="inlineStr">
        <is>
          <t>1959-03-29</t>
        </is>
      </c>
    </row>
    <row r="21677">
      <c r="A21677" s="1" t="n">
        <v>21676</v>
      </c>
      <c r="B21677">
        <f>TEXT(21676, "[$-0E0000]yyyy-mm-dd")</f>
        <v/>
      </c>
      <c r="C21677" t="inlineStr">
        <is>
          <t>1959-03-30</t>
        </is>
      </c>
    </row>
    <row r="21678">
      <c r="A21678" s="1" t="n">
        <v>21677</v>
      </c>
      <c r="B21678">
        <f>TEXT(21677, "[$-0E0000]yyyy-mm-dd")</f>
        <v/>
      </c>
      <c r="C21678" t="inlineStr">
        <is>
          <t>1959-04-01</t>
        </is>
      </c>
    </row>
    <row r="21679">
      <c r="A21679" s="1" t="n">
        <v>21678</v>
      </c>
      <c r="B21679">
        <f>TEXT(21678, "[$-0E0000]yyyy-mm-dd")</f>
        <v/>
      </c>
      <c r="C21679" t="inlineStr">
        <is>
          <t>1959-04-02</t>
        </is>
      </c>
    </row>
    <row r="21680">
      <c r="A21680" s="1" t="n">
        <v>21679</v>
      </c>
      <c r="B21680">
        <f>TEXT(21679, "[$-0E0000]yyyy-mm-dd")</f>
        <v/>
      </c>
      <c r="C21680" t="inlineStr">
        <is>
          <t>1959-04-03</t>
        </is>
      </c>
    </row>
    <row r="21681">
      <c r="A21681" s="1" t="n">
        <v>21680</v>
      </c>
      <c r="B21681">
        <f>TEXT(21680, "[$-0E0000]yyyy-mm-dd")</f>
        <v/>
      </c>
      <c r="C21681" t="inlineStr">
        <is>
          <t>1959-04-04</t>
        </is>
      </c>
    </row>
    <row r="21682">
      <c r="A21682" s="1" t="n">
        <v>21681</v>
      </c>
      <c r="B21682">
        <f>TEXT(21681, "[$-0E0000]yyyy-mm-dd")</f>
        <v/>
      </c>
      <c r="C21682" t="inlineStr">
        <is>
          <t>1959-04-05</t>
        </is>
      </c>
    </row>
    <row r="21683">
      <c r="A21683" s="1" t="n">
        <v>21682</v>
      </c>
      <c r="B21683">
        <f>TEXT(21682, "[$-0E0000]yyyy-mm-dd")</f>
        <v/>
      </c>
      <c r="C21683" t="inlineStr">
        <is>
          <t>1959-04-06</t>
        </is>
      </c>
    </row>
    <row r="21684">
      <c r="A21684" s="1" t="n">
        <v>21683</v>
      </c>
      <c r="B21684">
        <f>TEXT(21683, "[$-0E0000]yyyy-mm-dd")</f>
        <v/>
      </c>
      <c r="C21684" t="inlineStr">
        <is>
          <t>1959-04-07</t>
        </is>
      </c>
    </row>
    <row r="21685">
      <c r="A21685" s="1" t="n">
        <v>21684</v>
      </c>
      <c r="B21685">
        <f>TEXT(21684, "[$-0E0000]yyyy-mm-dd")</f>
        <v/>
      </c>
      <c r="C21685" t="inlineStr">
        <is>
          <t>1959-04-08</t>
        </is>
      </c>
    </row>
    <row r="21686">
      <c r="A21686" s="1" t="n">
        <v>21685</v>
      </c>
      <c r="B21686">
        <f>TEXT(21685, "[$-0E0000]yyyy-mm-dd")</f>
        <v/>
      </c>
      <c r="C21686" t="inlineStr">
        <is>
          <t>1959-04-09</t>
        </is>
      </c>
    </row>
    <row r="21687">
      <c r="A21687" s="1" t="n">
        <v>21686</v>
      </c>
      <c r="B21687">
        <f>TEXT(21686, "[$-0E0000]yyyy-mm-dd")</f>
        <v/>
      </c>
      <c r="C21687" t="inlineStr">
        <is>
          <t>1959-04-10</t>
        </is>
      </c>
    </row>
    <row r="21688">
      <c r="A21688" s="1" t="n">
        <v>21687</v>
      </c>
      <c r="B21688">
        <f>TEXT(21687, "[$-0E0000]yyyy-mm-dd")</f>
        <v/>
      </c>
      <c r="C21688" t="inlineStr">
        <is>
          <t>1959-04-11</t>
        </is>
      </c>
    </row>
    <row r="21689">
      <c r="A21689" s="1" t="n">
        <v>21688</v>
      </c>
      <c r="B21689">
        <f>TEXT(21688, "[$-0E0000]yyyy-mm-dd")</f>
        <v/>
      </c>
      <c r="C21689" t="inlineStr">
        <is>
          <t>1959-04-12</t>
        </is>
      </c>
    </row>
    <row r="21690">
      <c r="A21690" s="1" t="n">
        <v>21689</v>
      </c>
      <c r="B21690">
        <f>TEXT(21689, "[$-0E0000]yyyy-mm-dd")</f>
        <v/>
      </c>
      <c r="C21690" t="inlineStr">
        <is>
          <t>1959-04-13</t>
        </is>
      </c>
    </row>
    <row r="21691">
      <c r="A21691" s="1" t="n">
        <v>21690</v>
      </c>
      <c r="B21691">
        <f>TEXT(21690, "[$-0E0000]yyyy-mm-dd")</f>
        <v/>
      </c>
      <c r="C21691" t="inlineStr">
        <is>
          <t>1959-04-14</t>
        </is>
      </c>
    </row>
    <row r="21692">
      <c r="A21692" s="1" t="n">
        <v>21691</v>
      </c>
      <c r="B21692">
        <f>TEXT(21691, "[$-0E0000]yyyy-mm-dd")</f>
        <v/>
      </c>
      <c r="C21692" t="inlineStr">
        <is>
          <t>1959-04-15</t>
        </is>
      </c>
    </row>
    <row r="21693">
      <c r="A21693" s="1" t="n">
        <v>21692</v>
      </c>
      <c r="B21693">
        <f>TEXT(21692, "[$-0E0000]yyyy-mm-dd")</f>
        <v/>
      </c>
      <c r="C21693" t="inlineStr">
        <is>
          <t>1959-04-16</t>
        </is>
      </c>
    </row>
    <row r="21694">
      <c r="A21694" s="1" t="n">
        <v>21693</v>
      </c>
      <c r="B21694">
        <f>TEXT(21693, "[$-0E0000]yyyy-mm-dd")</f>
        <v/>
      </c>
      <c r="C21694" t="inlineStr">
        <is>
          <t>1959-04-17</t>
        </is>
      </c>
    </row>
    <row r="21695">
      <c r="A21695" s="1" t="n">
        <v>21694</v>
      </c>
      <c r="B21695">
        <f>TEXT(21694, "[$-0E0000]yyyy-mm-dd")</f>
        <v/>
      </c>
      <c r="C21695" t="inlineStr">
        <is>
          <t>1959-04-18</t>
        </is>
      </c>
    </row>
    <row r="21696">
      <c r="A21696" s="1" t="n">
        <v>21695</v>
      </c>
      <c r="B21696">
        <f>TEXT(21695, "[$-0E0000]yyyy-mm-dd")</f>
        <v/>
      </c>
      <c r="C21696" t="inlineStr">
        <is>
          <t>1959-04-19</t>
        </is>
      </c>
    </row>
    <row r="21697">
      <c r="A21697" s="1" t="n">
        <v>21696</v>
      </c>
      <c r="B21697">
        <f>TEXT(21696, "[$-0E0000]yyyy-mm-dd")</f>
        <v/>
      </c>
      <c r="C21697" t="inlineStr">
        <is>
          <t>1959-04-20</t>
        </is>
      </c>
    </row>
    <row r="21698">
      <c r="A21698" s="1" t="n">
        <v>21697</v>
      </c>
      <c r="B21698">
        <f>TEXT(21697, "[$-0E0000]yyyy-mm-dd")</f>
        <v/>
      </c>
      <c r="C21698" t="inlineStr">
        <is>
          <t>1959-04-21</t>
        </is>
      </c>
    </row>
    <row r="21699">
      <c r="A21699" s="1" t="n">
        <v>21698</v>
      </c>
      <c r="B21699">
        <f>TEXT(21698, "[$-0E0000]yyyy-mm-dd")</f>
        <v/>
      </c>
      <c r="C21699" t="inlineStr">
        <is>
          <t>1959-04-22</t>
        </is>
      </c>
    </row>
    <row r="21700">
      <c r="A21700" s="1" t="n">
        <v>21699</v>
      </c>
      <c r="B21700">
        <f>TEXT(21699, "[$-0E0000]yyyy-mm-dd")</f>
        <v/>
      </c>
      <c r="C21700" t="inlineStr">
        <is>
          <t>1959-04-23</t>
        </is>
      </c>
    </row>
    <row r="21701">
      <c r="A21701" s="1" t="n">
        <v>21700</v>
      </c>
      <c r="B21701">
        <f>TEXT(21700, "[$-0E0000]yyyy-mm-dd")</f>
        <v/>
      </c>
      <c r="C21701" t="inlineStr">
        <is>
          <t>1959-04-24</t>
        </is>
      </c>
    </row>
    <row r="21702">
      <c r="A21702" s="1" t="n">
        <v>21701</v>
      </c>
      <c r="B21702">
        <f>TEXT(21701, "[$-0E0000]yyyy-mm-dd")</f>
        <v/>
      </c>
      <c r="C21702" t="inlineStr">
        <is>
          <t>1959-04-25</t>
        </is>
      </c>
    </row>
    <row r="21703">
      <c r="A21703" s="1" t="n">
        <v>21702</v>
      </c>
      <c r="B21703">
        <f>TEXT(21702, "[$-0E0000]yyyy-mm-dd")</f>
        <v/>
      </c>
      <c r="C21703" t="inlineStr">
        <is>
          <t>1959-04-26</t>
        </is>
      </c>
    </row>
    <row r="21704">
      <c r="A21704" s="1" t="n">
        <v>21703</v>
      </c>
      <c r="B21704">
        <f>TEXT(21703, "[$-0E0000]yyyy-mm-dd")</f>
        <v/>
      </c>
      <c r="C21704" t="inlineStr">
        <is>
          <t>1959-04-27</t>
        </is>
      </c>
    </row>
    <row r="21705">
      <c r="A21705" s="1" t="n">
        <v>21704</v>
      </c>
      <c r="B21705">
        <f>TEXT(21704, "[$-0E0000]yyyy-mm-dd")</f>
        <v/>
      </c>
      <c r="C21705" t="inlineStr">
        <is>
          <t>1959-04-28</t>
        </is>
      </c>
    </row>
    <row r="21706">
      <c r="A21706" s="1" t="n">
        <v>21705</v>
      </c>
      <c r="B21706">
        <f>TEXT(21705, "[$-0E0000]yyyy-mm-dd")</f>
        <v/>
      </c>
      <c r="C21706" t="inlineStr">
        <is>
          <t>1959-04-29</t>
        </is>
      </c>
    </row>
    <row r="21707">
      <c r="A21707" s="1" t="n">
        <v>21706</v>
      </c>
      <c r="B21707">
        <f>TEXT(21706, "[$-0E0000]yyyy-mm-dd")</f>
        <v/>
      </c>
      <c r="C21707" t="inlineStr">
        <is>
          <t>1959-05-01</t>
        </is>
      </c>
    </row>
    <row r="21708">
      <c r="A21708" s="1" t="n">
        <v>21707</v>
      </c>
      <c r="B21708">
        <f>TEXT(21707, "[$-0E0000]yyyy-mm-dd")</f>
        <v/>
      </c>
      <c r="C21708" t="inlineStr">
        <is>
          <t>1959-05-02</t>
        </is>
      </c>
    </row>
    <row r="21709">
      <c r="A21709" s="1" t="n">
        <v>21708</v>
      </c>
      <c r="B21709">
        <f>TEXT(21708, "[$-0E0000]yyyy-mm-dd")</f>
        <v/>
      </c>
      <c r="C21709" t="inlineStr">
        <is>
          <t>1959-05-03</t>
        </is>
      </c>
    </row>
    <row r="21710">
      <c r="A21710" s="1" t="n">
        <v>21709</v>
      </c>
      <c r="B21710">
        <f>TEXT(21709, "[$-0E0000]yyyy-mm-dd")</f>
        <v/>
      </c>
      <c r="C21710" t="inlineStr">
        <is>
          <t>1959-05-04</t>
        </is>
      </c>
    </row>
    <row r="21711">
      <c r="A21711" s="1" t="n">
        <v>21710</v>
      </c>
      <c r="B21711">
        <f>TEXT(21710, "[$-0E0000]yyyy-mm-dd")</f>
        <v/>
      </c>
      <c r="C21711" t="inlineStr">
        <is>
          <t>1959-05-05</t>
        </is>
      </c>
    </row>
    <row r="21712">
      <c r="A21712" s="1" t="n">
        <v>21711</v>
      </c>
      <c r="B21712">
        <f>TEXT(21711, "[$-0E0000]yyyy-mm-dd")</f>
        <v/>
      </c>
      <c r="C21712" t="inlineStr">
        <is>
          <t>1959-05-06</t>
        </is>
      </c>
    </row>
    <row r="21713">
      <c r="A21713" s="1" t="n">
        <v>21712</v>
      </c>
      <c r="B21713">
        <f>TEXT(21712, "[$-0E0000]yyyy-mm-dd")</f>
        <v/>
      </c>
      <c r="C21713" t="inlineStr">
        <is>
          <t>1959-05-07</t>
        </is>
      </c>
    </row>
    <row r="21714">
      <c r="A21714" s="1" t="n">
        <v>21713</v>
      </c>
      <c r="B21714">
        <f>TEXT(21713, "[$-0E0000]yyyy-mm-dd")</f>
        <v/>
      </c>
      <c r="C21714" t="inlineStr">
        <is>
          <t>1959-05-08</t>
        </is>
      </c>
    </row>
    <row r="21715">
      <c r="A21715" s="1" t="n">
        <v>21714</v>
      </c>
      <c r="B21715">
        <f>TEXT(21714, "[$-0E0000]yyyy-mm-dd")</f>
        <v/>
      </c>
      <c r="C21715" t="inlineStr">
        <is>
          <t>1959-05-09</t>
        </is>
      </c>
    </row>
    <row r="21716">
      <c r="A21716" s="1" t="n">
        <v>21715</v>
      </c>
      <c r="B21716">
        <f>TEXT(21715, "[$-0E0000]yyyy-mm-dd")</f>
        <v/>
      </c>
      <c r="C21716" t="inlineStr">
        <is>
          <t>1959-05-10</t>
        </is>
      </c>
    </row>
    <row r="21717">
      <c r="A21717" s="1" t="n">
        <v>21716</v>
      </c>
      <c r="B21717">
        <f>TEXT(21716, "[$-0E0000]yyyy-mm-dd")</f>
        <v/>
      </c>
      <c r="C21717" t="inlineStr">
        <is>
          <t>1959-05-11</t>
        </is>
      </c>
    </row>
    <row r="21718">
      <c r="A21718" s="1" t="n">
        <v>21717</v>
      </c>
      <c r="B21718">
        <f>TEXT(21717, "[$-0E0000]yyyy-mm-dd")</f>
        <v/>
      </c>
      <c r="C21718" t="inlineStr">
        <is>
          <t>1959-05-12</t>
        </is>
      </c>
    </row>
    <row r="21719">
      <c r="A21719" s="1" t="n">
        <v>21718</v>
      </c>
      <c r="B21719">
        <f>TEXT(21718, "[$-0E0000]yyyy-mm-dd")</f>
        <v/>
      </c>
      <c r="C21719" t="inlineStr">
        <is>
          <t>1959-05-13</t>
        </is>
      </c>
    </row>
    <row r="21720">
      <c r="A21720" s="1" t="n">
        <v>21719</v>
      </c>
      <c r="B21720">
        <f>TEXT(21719, "[$-0E0000]yyyy-mm-dd")</f>
        <v/>
      </c>
      <c r="C21720" t="inlineStr">
        <is>
          <t>1959-05-14</t>
        </is>
      </c>
    </row>
    <row r="21721">
      <c r="A21721" s="1" t="n">
        <v>21720</v>
      </c>
      <c r="B21721">
        <f>TEXT(21720, "[$-0E0000]yyyy-mm-dd")</f>
        <v/>
      </c>
      <c r="C21721" t="inlineStr">
        <is>
          <t>1959-05-15</t>
        </is>
      </c>
    </row>
    <row r="21722">
      <c r="A21722" s="1" t="n">
        <v>21721</v>
      </c>
      <c r="B21722">
        <f>TEXT(21721, "[$-0E0000]yyyy-mm-dd")</f>
        <v/>
      </c>
      <c r="C21722" t="inlineStr">
        <is>
          <t>1959-05-16</t>
        </is>
      </c>
    </row>
    <row r="21723">
      <c r="A21723" s="1" t="n">
        <v>21722</v>
      </c>
      <c r="B21723">
        <f>TEXT(21722, "[$-0E0000]yyyy-mm-dd")</f>
        <v/>
      </c>
      <c r="C21723" t="inlineStr">
        <is>
          <t>1959-05-17</t>
        </is>
      </c>
    </row>
    <row r="21724">
      <c r="A21724" s="1" t="n">
        <v>21723</v>
      </c>
      <c r="B21724">
        <f>TEXT(21723, "[$-0E0000]yyyy-mm-dd")</f>
        <v/>
      </c>
      <c r="C21724" t="inlineStr">
        <is>
          <t>1959-05-18</t>
        </is>
      </c>
    </row>
    <row r="21725">
      <c r="A21725" s="1" t="n">
        <v>21724</v>
      </c>
      <c r="B21725">
        <f>TEXT(21724, "[$-0E0000]yyyy-mm-dd")</f>
        <v/>
      </c>
      <c r="C21725" t="inlineStr">
        <is>
          <t>1959-05-19</t>
        </is>
      </c>
    </row>
    <row r="21726">
      <c r="A21726" s="1" t="n">
        <v>21725</v>
      </c>
      <c r="B21726">
        <f>TEXT(21725, "[$-0E0000]yyyy-mm-dd")</f>
        <v/>
      </c>
      <c r="C21726" t="inlineStr">
        <is>
          <t>1959-05-20</t>
        </is>
      </c>
    </row>
    <row r="21727">
      <c r="A21727" s="1" t="n">
        <v>21726</v>
      </c>
      <c r="B21727">
        <f>TEXT(21726, "[$-0E0000]yyyy-mm-dd")</f>
        <v/>
      </c>
      <c r="C21727" t="inlineStr">
        <is>
          <t>1959-05-21</t>
        </is>
      </c>
    </row>
    <row r="21728">
      <c r="A21728" s="1" t="n">
        <v>21727</v>
      </c>
      <c r="B21728">
        <f>TEXT(21727, "[$-0E0000]yyyy-mm-dd")</f>
        <v/>
      </c>
      <c r="C21728" t="inlineStr">
        <is>
          <t>1959-05-22</t>
        </is>
      </c>
    </row>
    <row r="21729">
      <c r="A21729" s="1" t="n">
        <v>21728</v>
      </c>
      <c r="B21729">
        <f>TEXT(21728, "[$-0E0000]yyyy-mm-dd")</f>
        <v/>
      </c>
      <c r="C21729" t="inlineStr">
        <is>
          <t>1959-05-23</t>
        </is>
      </c>
    </row>
    <row r="21730">
      <c r="A21730" s="1" t="n">
        <v>21729</v>
      </c>
      <c r="B21730">
        <f>TEXT(21729, "[$-0E0000]yyyy-mm-dd")</f>
        <v/>
      </c>
      <c r="C21730" t="inlineStr">
        <is>
          <t>1959-05-24</t>
        </is>
      </c>
    </row>
    <row r="21731">
      <c r="A21731" s="1" t="n">
        <v>21730</v>
      </c>
      <c r="B21731">
        <f>TEXT(21730, "[$-0E0000]yyyy-mm-dd")</f>
        <v/>
      </c>
      <c r="C21731" t="inlineStr">
        <is>
          <t>1959-05-25</t>
        </is>
      </c>
    </row>
    <row r="21732">
      <c r="A21732" s="1" t="n">
        <v>21731</v>
      </c>
      <c r="B21732">
        <f>TEXT(21731, "[$-0E0000]yyyy-mm-dd")</f>
        <v/>
      </c>
      <c r="C21732" t="inlineStr">
        <is>
          <t>1959-05-26</t>
        </is>
      </c>
    </row>
    <row r="21733">
      <c r="A21733" s="1" t="n">
        <v>21732</v>
      </c>
      <c r="B21733">
        <f>TEXT(21732, "[$-0E0000]yyyy-mm-dd")</f>
        <v/>
      </c>
      <c r="C21733" t="inlineStr">
        <is>
          <t>1959-05-27</t>
        </is>
      </c>
    </row>
    <row r="21734">
      <c r="A21734" s="1" t="n">
        <v>21733</v>
      </c>
      <c r="B21734">
        <f>TEXT(21733, "[$-0E0000]yyyy-mm-dd")</f>
        <v/>
      </c>
      <c r="C21734" t="inlineStr">
        <is>
          <t>1959-05-28</t>
        </is>
      </c>
    </row>
    <row r="21735">
      <c r="A21735" s="1" t="n">
        <v>21734</v>
      </c>
      <c r="B21735">
        <f>TEXT(21734, "[$-0E0000]yyyy-mm-dd")</f>
        <v/>
      </c>
      <c r="C21735" t="inlineStr">
        <is>
          <t>1959-05-29</t>
        </is>
      </c>
    </row>
    <row r="21736">
      <c r="A21736" s="1" t="n">
        <v>21735</v>
      </c>
      <c r="B21736">
        <f>TEXT(21735, "[$-0E0000]yyyy-mm-dd")</f>
        <v/>
      </c>
      <c r="C21736" t="inlineStr">
        <is>
          <t>1959-05-30</t>
        </is>
      </c>
    </row>
    <row r="21737">
      <c r="A21737" s="1" t="n">
        <v>21736</v>
      </c>
      <c r="B21737">
        <f>TEXT(21736, "[$-0E0000]yyyy-mm-dd")</f>
        <v/>
      </c>
      <c r="C21737" t="inlineStr">
        <is>
          <t>1959-06-01</t>
        </is>
      </c>
    </row>
    <row r="21738">
      <c r="A21738" s="1" t="n">
        <v>21737</v>
      </c>
      <c r="B21738">
        <f>TEXT(21737, "[$-0E0000]yyyy-mm-dd")</f>
        <v/>
      </c>
      <c r="C21738" t="inlineStr">
        <is>
          <t>1959-06-02</t>
        </is>
      </c>
    </row>
    <row r="21739">
      <c r="A21739" s="1" t="n">
        <v>21738</v>
      </c>
      <c r="B21739">
        <f>TEXT(21738, "[$-0E0000]yyyy-mm-dd")</f>
        <v/>
      </c>
      <c r="C21739" t="inlineStr">
        <is>
          <t>1959-06-03</t>
        </is>
      </c>
    </row>
    <row r="21740">
      <c r="A21740" s="1" t="n">
        <v>21739</v>
      </c>
      <c r="B21740">
        <f>TEXT(21739, "[$-0E0000]yyyy-mm-dd")</f>
        <v/>
      </c>
      <c r="C21740" t="inlineStr">
        <is>
          <t>1959-06-04</t>
        </is>
      </c>
    </row>
    <row r="21741">
      <c r="A21741" s="1" t="n">
        <v>21740</v>
      </c>
      <c r="B21741">
        <f>TEXT(21740, "[$-0E0000]yyyy-mm-dd")</f>
        <v/>
      </c>
      <c r="C21741" t="inlineStr">
        <is>
          <t>1959-06-05</t>
        </is>
      </c>
    </row>
    <row r="21742">
      <c r="A21742" s="1" t="n">
        <v>21741</v>
      </c>
      <c r="B21742">
        <f>TEXT(21741, "[$-0E0000]yyyy-mm-dd")</f>
        <v/>
      </c>
      <c r="C21742" t="inlineStr">
        <is>
          <t>1959-06-06</t>
        </is>
      </c>
    </row>
    <row r="21743">
      <c r="A21743" s="1" t="n">
        <v>21742</v>
      </c>
      <c r="B21743">
        <f>TEXT(21742, "[$-0E0000]yyyy-mm-dd")</f>
        <v/>
      </c>
      <c r="C21743" t="inlineStr">
        <is>
          <t>1959-06-07</t>
        </is>
      </c>
    </row>
    <row r="21744">
      <c r="A21744" s="1" t="n">
        <v>21743</v>
      </c>
      <c r="B21744">
        <f>TEXT(21743, "[$-0E0000]yyyy-mm-dd")</f>
        <v/>
      </c>
      <c r="C21744" t="inlineStr">
        <is>
          <t>1959-06-08</t>
        </is>
      </c>
    </row>
    <row r="21745">
      <c r="A21745" s="1" t="n">
        <v>21744</v>
      </c>
      <c r="B21745">
        <f>TEXT(21744, "[$-0E0000]yyyy-mm-dd")</f>
        <v/>
      </c>
      <c r="C21745" t="inlineStr">
        <is>
          <t>1959-06-09</t>
        </is>
      </c>
    </row>
    <row r="21746">
      <c r="A21746" s="1" t="n">
        <v>21745</v>
      </c>
      <c r="B21746">
        <f>TEXT(21745, "[$-0E0000]yyyy-mm-dd")</f>
        <v/>
      </c>
      <c r="C21746" t="inlineStr">
        <is>
          <t>1959-06-10</t>
        </is>
      </c>
    </row>
    <row r="21747">
      <c r="A21747" s="1" t="n">
        <v>21746</v>
      </c>
      <c r="B21747">
        <f>TEXT(21746, "[$-0E0000]yyyy-mm-dd")</f>
        <v/>
      </c>
      <c r="C21747" t="inlineStr">
        <is>
          <t>1959-06-11</t>
        </is>
      </c>
    </row>
    <row r="21748">
      <c r="A21748" s="1" t="n">
        <v>21747</v>
      </c>
      <c r="B21748">
        <f>TEXT(21747, "[$-0E0000]yyyy-mm-dd")</f>
        <v/>
      </c>
      <c r="C21748" t="inlineStr">
        <is>
          <t>1959-06-12</t>
        </is>
      </c>
    </row>
    <row r="21749">
      <c r="A21749" s="1" t="n">
        <v>21748</v>
      </c>
      <c r="B21749">
        <f>TEXT(21748, "[$-0E0000]yyyy-mm-dd")</f>
        <v/>
      </c>
      <c r="C21749" t="inlineStr">
        <is>
          <t>1959-06-13</t>
        </is>
      </c>
    </row>
    <row r="21750">
      <c r="A21750" s="1" t="n">
        <v>21749</v>
      </c>
      <c r="B21750">
        <f>TEXT(21749, "[$-0E0000]yyyy-mm-dd")</f>
        <v/>
      </c>
      <c r="C21750" t="inlineStr">
        <is>
          <t>1959-06-14</t>
        </is>
      </c>
    </row>
    <row r="21751">
      <c r="A21751" s="1" t="n">
        <v>21750</v>
      </c>
      <c r="B21751">
        <f>TEXT(21750, "[$-0E0000]yyyy-mm-dd")</f>
        <v/>
      </c>
      <c r="C21751" t="inlineStr">
        <is>
          <t>1959-06-15</t>
        </is>
      </c>
    </row>
    <row r="21752">
      <c r="A21752" s="1" t="n">
        <v>21751</v>
      </c>
      <c r="B21752">
        <f>TEXT(21751, "[$-0E0000]yyyy-mm-dd")</f>
        <v/>
      </c>
      <c r="C21752" t="inlineStr">
        <is>
          <t>1959-06-16</t>
        </is>
      </c>
    </row>
    <row r="21753">
      <c r="A21753" s="1" t="n">
        <v>21752</v>
      </c>
      <c r="B21753">
        <f>TEXT(21752, "[$-0E0000]yyyy-mm-dd")</f>
        <v/>
      </c>
      <c r="C21753" t="inlineStr">
        <is>
          <t>1959-06-17</t>
        </is>
      </c>
    </row>
    <row r="21754">
      <c r="A21754" s="1" t="n">
        <v>21753</v>
      </c>
      <c r="B21754">
        <f>TEXT(21753, "[$-0E0000]yyyy-mm-dd")</f>
        <v/>
      </c>
      <c r="C21754" t="inlineStr">
        <is>
          <t>1959-06-18</t>
        </is>
      </c>
    </row>
    <row r="21755">
      <c r="A21755" s="1" t="n">
        <v>21754</v>
      </c>
      <c r="B21755">
        <f>TEXT(21754, "[$-0E0000]yyyy-mm-dd")</f>
        <v/>
      </c>
      <c r="C21755" t="inlineStr">
        <is>
          <t>1959-06-19</t>
        </is>
      </c>
    </row>
    <row r="21756">
      <c r="A21756" s="1" t="n">
        <v>21755</v>
      </c>
      <c r="B21756">
        <f>TEXT(21755, "[$-0E0000]yyyy-mm-dd")</f>
        <v/>
      </c>
      <c r="C21756" t="inlineStr">
        <is>
          <t>1959-06-20</t>
        </is>
      </c>
    </row>
    <row r="21757">
      <c r="A21757" s="1" t="n">
        <v>21756</v>
      </c>
      <c r="B21757">
        <f>TEXT(21756, "[$-0E0000]yyyy-mm-dd")</f>
        <v/>
      </c>
      <c r="C21757" t="inlineStr">
        <is>
          <t>1959-06-21</t>
        </is>
      </c>
    </row>
    <row r="21758">
      <c r="A21758" s="1" t="n">
        <v>21757</v>
      </c>
      <c r="B21758">
        <f>TEXT(21757, "[$-0E0000]yyyy-mm-dd")</f>
        <v/>
      </c>
      <c r="C21758" t="inlineStr">
        <is>
          <t>1959-06-22</t>
        </is>
      </c>
    </row>
    <row r="21759">
      <c r="A21759" s="1" t="n">
        <v>21758</v>
      </c>
      <c r="B21759">
        <f>TEXT(21758, "[$-0E0000]yyyy-mm-dd")</f>
        <v/>
      </c>
      <c r="C21759" t="inlineStr">
        <is>
          <t>1959-06-23</t>
        </is>
      </c>
    </row>
    <row r="21760">
      <c r="A21760" s="1" t="n">
        <v>21759</v>
      </c>
      <c r="B21760">
        <f>TEXT(21759, "[$-0E0000]yyyy-mm-dd")</f>
        <v/>
      </c>
      <c r="C21760" t="inlineStr">
        <is>
          <t>1959-06-24</t>
        </is>
      </c>
    </row>
    <row r="21761">
      <c r="A21761" s="1" t="n">
        <v>21760</v>
      </c>
      <c r="B21761">
        <f>TEXT(21760, "[$-0E0000]yyyy-mm-dd")</f>
        <v/>
      </c>
      <c r="C21761" t="inlineStr">
        <is>
          <t>1959-06-25</t>
        </is>
      </c>
    </row>
    <row r="21762">
      <c r="A21762" s="1" t="n">
        <v>21761</v>
      </c>
      <c r="B21762">
        <f>TEXT(21761, "[$-0E0000]yyyy-mm-dd")</f>
        <v/>
      </c>
      <c r="C21762" t="inlineStr">
        <is>
          <t>1959-06-26</t>
        </is>
      </c>
    </row>
    <row r="21763">
      <c r="A21763" s="1" t="n">
        <v>21762</v>
      </c>
      <c r="B21763">
        <f>TEXT(21762, "[$-0E0000]yyyy-mm-dd")</f>
        <v/>
      </c>
      <c r="C21763" t="inlineStr">
        <is>
          <t>1959-06-27</t>
        </is>
      </c>
    </row>
    <row r="21764">
      <c r="A21764" s="1" t="n">
        <v>21763</v>
      </c>
      <c r="B21764">
        <f>TEXT(21763, "[$-0E0000]yyyy-mm-dd")</f>
        <v/>
      </c>
      <c r="C21764" t="inlineStr">
        <is>
          <t>1959-06-28</t>
        </is>
      </c>
    </row>
    <row r="21765">
      <c r="A21765" s="1" t="n">
        <v>21764</v>
      </c>
      <c r="B21765">
        <f>TEXT(21764, "[$-0E0000]yyyy-mm-dd")</f>
        <v/>
      </c>
      <c r="C21765" t="inlineStr">
        <is>
          <t>1959-06-29</t>
        </is>
      </c>
    </row>
    <row r="21766">
      <c r="A21766" s="1" t="n">
        <v>21765</v>
      </c>
      <c r="B21766">
        <f>TEXT(21765, "[$-0E0000]yyyy-mm-dd")</f>
        <v/>
      </c>
      <c r="C21766" t="inlineStr">
        <is>
          <t>1959-07-01</t>
        </is>
      </c>
    </row>
    <row r="21767">
      <c r="A21767" s="1" t="n">
        <v>21766</v>
      </c>
      <c r="B21767">
        <f>TEXT(21766, "[$-0E0000]yyyy-mm-dd")</f>
        <v/>
      </c>
      <c r="C21767" t="inlineStr">
        <is>
          <t>1959-07-02</t>
        </is>
      </c>
    </row>
    <row r="21768">
      <c r="A21768" s="1" t="n">
        <v>21767</v>
      </c>
      <c r="B21768">
        <f>TEXT(21767, "[$-0E0000]yyyy-mm-dd")</f>
        <v/>
      </c>
      <c r="C21768" t="inlineStr">
        <is>
          <t>1959-07-03</t>
        </is>
      </c>
    </row>
    <row r="21769">
      <c r="A21769" s="1" t="n">
        <v>21768</v>
      </c>
      <c r="B21769">
        <f>TEXT(21768, "[$-0E0000]yyyy-mm-dd")</f>
        <v/>
      </c>
      <c r="C21769" t="inlineStr">
        <is>
          <t>1959-07-04</t>
        </is>
      </c>
    </row>
    <row r="21770">
      <c r="A21770" s="1" t="n">
        <v>21769</v>
      </c>
      <c r="B21770">
        <f>TEXT(21769, "[$-0E0000]yyyy-mm-dd")</f>
        <v/>
      </c>
      <c r="C21770" t="inlineStr">
        <is>
          <t>1959-07-05</t>
        </is>
      </c>
    </row>
    <row r="21771">
      <c r="A21771" s="1" t="n">
        <v>21770</v>
      </c>
      <c r="B21771">
        <f>TEXT(21770, "[$-0E0000]yyyy-mm-dd")</f>
        <v/>
      </c>
      <c r="C21771" t="inlineStr">
        <is>
          <t>1959-07-06</t>
        </is>
      </c>
    </row>
    <row r="21772">
      <c r="A21772" s="1" t="n">
        <v>21771</v>
      </c>
      <c r="B21772">
        <f>TEXT(21771, "[$-0E0000]yyyy-mm-dd")</f>
        <v/>
      </c>
      <c r="C21772" t="inlineStr">
        <is>
          <t>1959-07-07</t>
        </is>
      </c>
    </row>
    <row r="21773">
      <c r="A21773" s="1" t="n">
        <v>21772</v>
      </c>
      <c r="B21773">
        <f>TEXT(21772, "[$-0E0000]yyyy-mm-dd")</f>
        <v/>
      </c>
      <c r="C21773" t="inlineStr">
        <is>
          <t>1959-07-08</t>
        </is>
      </c>
    </row>
    <row r="21774">
      <c r="A21774" s="1" t="n">
        <v>21773</v>
      </c>
      <c r="B21774">
        <f>TEXT(21773, "[$-0E0000]yyyy-mm-dd")</f>
        <v/>
      </c>
      <c r="C21774" t="inlineStr">
        <is>
          <t>1959-07-09</t>
        </is>
      </c>
    </row>
    <row r="21775">
      <c r="A21775" s="1" t="n">
        <v>21774</v>
      </c>
      <c r="B21775">
        <f>TEXT(21774, "[$-0E0000]yyyy-mm-dd")</f>
        <v/>
      </c>
      <c r="C21775" t="inlineStr">
        <is>
          <t>1959-07-10</t>
        </is>
      </c>
    </row>
    <row r="21776">
      <c r="A21776" s="1" t="n">
        <v>21775</v>
      </c>
      <c r="B21776">
        <f>TEXT(21775, "[$-0E0000]yyyy-mm-dd")</f>
        <v/>
      </c>
      <c r="C21776" t="inlineStr">
        <is>
          <t>1959-07-11</t>
        </is>
      </c>
    </row>
    <row r="21777">
      <c r="A21777" s="1" t="n">
        <v>21776</v>
      </c>
      <c r="B21777">
        <f>TEXT(21776, "[$-0E0000]yyyy-mm-dd")</f>
        <v/>
      </c>
      <c r="C21777" t="inlineStr">
        <is>
          <t>1959-07-12</t>
        </is>
      </c>
    </row>
    <row r="21778">
      <c r="A21778" s="1" t="n">
        <v>21777</v>
      </c>
      <c r="B21778">
        <f>TEXT(21777, "[$-0E0000]yyyy-mm-dd")</f>
        <v/>
      </c>
      <c r="C21778" t="inlineStr">
        <is>
          <t>1959-07-13</t>
        </is>
      </c>
    </row>
    <row r="21779">
      <c r="A21779" s="1" t="n">
        <v>21778</v>
      </c>
      <c r="B21779">
        <f>TEXT(21778, "[$-0E0000]yyyy-mm-dd")</f>
        <v/>
      </c>
      <c r="C21779" t="inlineStr">
        <is>
          <t>1959-07-14</t>
        </is>
      </c>
    </row>
    <row r="21780">
      <c r="A21780" s="1" t="n">
        <v>21779</v>
      </c>
      <c r="B21780">
        <f>TEXT(21779, "[$-0E0000]yyyy-mm-dd")</f>
        <v/>
      </c>
      <c r="C21780" t="inlineStr">
        <is>
          <t>1959-07-15</t>
        </is>
      </c>
    </row>
    <row r="21781">
      <c r="A21781" s="1" t="n">
        <v>21780</v>
      </c>
      <c r="B21781">
        <f>TEXT(21780, "[$-0E0000]yyyy-mm-dd")</f>
        <v/>
      </c>
      <c r="C21781" t="inlineStr">
        <is>
          <t>1959-07-16</t>
        </is>
      </c>
    </row>
    <row r="21782">
      <c r="A21782" s="1" t="n">
        <v>21781</v>
      </c>
      <c r="B21782">
        <f>TEXT(21781, "[$-0E0000]yyyy-mm-dd")</f>
        <v/>
      </c>
      <c r="C21782" t="inlineStr">
        <is>
          <t>1959-07-17</t>
        </is>
      </c>
    </row>
    <row r="21783">
      <c r="A21783" s="1" t="n">
        <v>21782</v>
      </c>
      <c r="B21783">
        <f>TEXT(21782, "[$-0E0000]yyyy-mm-dd")</f>
        <v/>
      </c>
      <c r="C21783" t="inlineStr">
        <is>
          <t>1959-07-18</t>
        </is>
      </c>
    </row>
    <row r="21784">
      <c r="A21784" s="1" t="n">
        <v>21783</v>
      </c>
      <c r="B21784">
        <f>TEXT(21783, "[$-0E0000]yyyy-mm-dd")</f>
        <v/>
      </c>
      <c r="C21784" t="inlineStr">
        <is>
          <t>1959-07-19</t>
        </is>
      </c>
    </row>
    <row r="21785">
      <c r="A21785" s="1" t="n">
        <v>21784</v>
      </c>
      <c r="B21785">
        <f>TEXT(21784, "[$-0E0000]yyyy-mm-dd")</f>
        <v/>
      </c>
      <c r="C21785" t="inlineStr">
        <is>
          <t>1959-07-20</t>
        </is>
      </c>
    </row>
    <row r="21786">
      <c r="A21786" s="1" t="n">
        <v>21785</v>
      </c>
      <c r="B21786">
        <f>TEXT(21785, "[$-0E0000]yyyy-mm-dd")</f>
        <v/>
      </c>
      <c r="C21786" t="inlineStr">
        <is>
          <t>1959-07-21</t>
        </is>
      </c>
    </row>
    <row r="21787">
      <c r="A21787" s="1" t="n">
        <v>21786</v>
      </c>
      <c r="B21787">
        <f>TEXT(21786, "[$-0E0000]yyyy-mm-dd")</f>
        <v/>
      </c>
      <c r="C21787" t="inlineStr">
        <is>
          <t>1959-07-22</t>
        </is>
      </c>
    </row>
    <row r="21788">
      <c r="A21788" s="1" t="n">
        <v>21787</v>
      </c>
      <c r="B21788">
        <f>TEXT(21787, "[$-0E0000]yyyy-mm-dd")</f>
        <v/>
      </c>
      <c r="C21788" t="inlineStr">
        <is>
          <t>1959-07-23</t>
        </is>
      </c>
    </row>
    <row r="21789">
      <c r="A21789" s="1" t="n">
        <v>21788</v>
      </c>
      <c r="B21789">
        <f>TEXT(21788, "[$-0E0000]yyyy-mm-dd")</f>
        <v/>
      </c>
      <c r="C21789" t="inlineStr">
        <is>
          <t>1959-07-24</t>
        </is>
      </c>
    </row>
    <row r="21790">
      <c r="A21790" s="1" t="n">
        <v>21789</v>
      </c>
      <c r="B21790">
        <f>TEXT(21789, "[$-0E0000]yyyy-mm-dd")</f>
        <v/>
      </c>
      <c r="C21790" t="inlineStr">
        <is>
          <t>1959-07-25</t>
        </is>
      </c>
    </row>
    <row r="21791">
      <c r="A21791" s="1" t="n">
        <v>21790</v>
      </c>
      <c r="B21791">
        <f>TEXT(21790, "[$-0E0000]yyyy-mm-dd")</f>
        <v/>
      </c>
      <c r="C21791" t="inlineStr">
        <is>
          <t>1959-07-26</t>
        </is>
      </c>
    </row>
    <row r="21792">
      <c r="A21792" s="1" t="n">
        <v>21791</v>
      </c>
      <c r="B21792">
        <f>TEXT(21791, "[$-0E0000]yyyy-mm-dd")</f>
        <v/>
      </c>
      <c r="C21792" t="inlineStr">
        <is>
          <t>1959-07-27</t>
        </is>
      </c>
    </row>
    <row r="21793">
      <c r="A21793" s="1" t="n">
        <v>21792</v>
      </c>
      <c r="B21793">
        <f>TEXT(21792, "[$-0E0000]yyyy-mm-dd")</f>
        <v/>
      </c>
      <c r="C21793" t="inlineStr">
        <is>
          <t>1959-07-28</t>
        </is>
      </c>
    </row>
    <row r="21794">
      <c r="A21794" s="1" t="n">
        <v>21793</v>
      </c>
      <c r="B21794">
        <f>TEXT(21793, "[$-0E0000]yyyy-mm-dd")</f>
        <v/>
      </c>
      <c r="C21794" t="inlineStr">
        <is>
          <t>1959-07-29</t>
        </is>
      </c>
    </row>
    <row r="21795">
      <c r="A21795" s="1" t="n">
        <v>21794</v>
      </c>
      <c r="B21795">
        <f>TEXT(21794, "[$-0E0000]yyyy-mm-dd")</f>
        <v/>
      </c>
      <c r="C21795" t="inlineStr">
        <is>
          <t>1959-07-30</t>
        </is>
      </c>
    </row>
    <row r="21796">
      <c r="A21796" s="1" t="n">
        <v>21795</v>
      </c>
      <c r="B21796">
        <f>TEXT(21795, "[$-0E0000]yyyy-mm-dd")</f>
        <v/>
      </c>
      <c r="C21796" t="inlineStr">
        <is>
          <t>1959-08-01</t>
        </is>
      </c>
    </row>
    <row r="21797">
      <c r="A21797" s="1" t="n">
        <v>21796</v>
      </c>
      <c r="B21797">
        <f>TEXT(21796, "[$-0E0000]yyyy-mm-dd")</f>
        <v/>
      </c>
      <c r="C21797" t="inlineStr">
        <is>
          <t>1959-08-02</t>
        </is>
      </c>
    </row>
    <row r="21798">
      <c r="A21798" s="1" t="n">
        <v>21797</v>
      </c>
      <c r="B21798">
        <f>TEXT(21797, "[$-0E0000]yyyy-mm-dd")</f>
        <v/>
      </c>
      <c r="C21798" t="inlineStr">
        <is>
          <t>1959-08-03</t>
        </is>
      </c>
    </row>
    <row r="21799">
      <c r="A21799" s="1" t="n">
        <v>21798</v>
      </c>
      <c r="B21799">
        <f>TEXT(21798, "[$-0E0000]yyyy-mm-dd")</f>
        <v/>
      </c>
      <c r="C21799" t="inlineStr">
        <is>
          <t>1959-08-04</t>
        </is>
      </c>
    </row>
    <row r="21800">
      <c r="A21800" s="1" t="n">
        <v>21799</v>
      </c>
      <c r="B21800">
        <f>TEXT(21799, "[$-0E0000]yyyy-mm-dd")</f>
        <v/>
      </c>
      <c r="C21800" t="inlineStr">
        <is>
          <t>1959-08-05</t>
        </is>
      </c>
    </row>
    <row r="21801">
      <c r="A21801" s="1" t="n">
        <v>21800</v>
      </c>
      <c r="B21801">
        <f>TEXT(21800, "[$-0E0000]yyyy-mm-dd")</f>
        <v/>
      </c>
      <c r="C21801" t="inlineStr">
        <is>
          <t>1959-08-06</t>
        </is>
      </c>
    </row>
    <row r="21802">
      <c r="A21802" s="1" t="n">
        <v>21801</v>
      </c>
      <c r="B21802">
        <f>TEXT(21801, "[$-0E0000]yyyy-mm-dd")</f>
        <v/>
      </c>
      <c r="C21802" t="inlineStr">
        <is>
          <t>1959-08-07</t>
        </is>
      </c>
    </row>
    <row r="21803">
      <c r="A21803" s="1" t="n">
        <v>21802</v>
      </c>
      <c r="B21803">
        <f>TEXT(21802, "[$-0E0000]yyyy-mm-dd")</f>
        <v/>
      </c>
      <c r="C21803" t="inlineStr">
        <is>
          <t>1959-08-08</t>
        </is>
      </c>
    </row>
    <row r="21804">
      <c r="A21804" s="1" t="n">
        <v>21803</v>
      </c>
      <c r="B21804">
        <f>TEXT(21803, "[$-0E0000]yyyy-mm-dd")</f>
        <v/>
      </c>
      <c r="C21804" t="inlineStr">
        <is>
          <t>1959-08-09</t>
        </is>
      </c>
    </row>
    <row r="21805">
      <c r="A21805" s="1" t="n">
        <v>21804</v>
      </c>
      <c r="B21805">
        <f>TEXT(21804, "[$-0E0000]yyyy-mm-dd")</f>
        <v/>
      </c>
      <c r="C21805" t="inlineStr">
        <is>
          <t>1959-08-10</t>
        </is>
      </c>
    </row>
    <row r="21806">
      <c r="A21806" s="1" t="n">
        <v>21805</v>
      </c>
      <c r="B21806">
        <f>TEXT(21805, "[$-0E0000]yyyy-mm-dd")</f>
        <v/>
      </c>
      <c r="C21806" t="inlineStr">
        <is>
          <t>1959-08-11</t>
        </is>
      </c>
    </row>
    <row r="21807">
      <c r="A21807" s="1" t="n">
        <v>21806</v>
      </c>
      <c r="B21807">
        <f>TEXT(21806, "[$-0E0000]yyyy-mm-dd")</f>
        <v/>
      </c>
      <c r="C21807" t="inlineStr">
        <is>
          <t>1959-08-12</t>
        </is>
      </c>
    </row>
    <row r="21808">
      <c r="A21808" s="1" t="n">
        <v>21807</v>
      </c>
      <c r="B21808">
        <f>TEXT(21807, "[$-0E0000]yyyy-mm-dd")</f>
        <v/>
      </c>
      <c r="C21808" t="inlineStr">
        <is>
          <t>1959-08-13</t>
        </is>
      </c>
    </row>
    <row r="21809">
      <c r="A21809" s="1" t="n">
        <v>21808</v>
      </c>
      <c r="B21809">
        <f>TEXT(21808, "[$-0E0000]yyyy-mm-dd")</f>
        <v/>
      </c>
      <c r="C21809" t="inlineStr">
        <is>
          <t>1959-08-14</t>
        </is>
      </c>
    </row>
    <row r="21810">
      <c r="A21810" s="1" t="n">
        <v>21809</v>
      </c>
      <c r="B21810">
        <f>TEXT(21809, "[$-0E0000]yyyy-mm-dd")</f>
        <v/>
      </c>
      <c r="C21810" t="inlineStr">
        <is>
          <t>1959-08-15</t>
        </is>
      </c>
    </row>
    <row r="21811">
      <c r="A21811" s="1" t="n">
        <v>21810</v>
      </c>
      <c r="B21811">
        <f>TEXT(21810, "[$-0E0000]yyyy-mm-dd")</f>
        <v/>
      </c>
      <c r="C21811" t="inlineStr">
        <is>
          <t>1959-08-16</t>
        </is>
      </c>
    </row>
    <row r="21812">
      <c r="A21812" s="1" t="n">
        <v>21811</v>
      </c>
      <c r="B21812">
        <f>TEXT(21811, "[$-0E0000]yyyy-mm-dd")</f>
        <v/>
      </c>
      <c r="C21812" t="inlineStr">
        <is>
          <t>1959-08-17</t>
        </is>
      </c>
    </row>
    <row r="21813">
      <c r="A21813" s="1" t="n">
        <v>21812</v>
      </c>
      <c r="B21813">
        <f>TEXT(21812, "[$-0E0000]yyyy-mm-dd")</f>
        <v/>
      </c>
      <c r="C21813" t="inlineStr">
        <is>
          <t>1959-08-18</t>
        </is>
      </c>
    </row>
    <row r="21814">
      <c r="A21814" s="1" t="n">
        <v>21813</v>
      </c>
      <c r="B21814">
        <f>TEXT(21813, "[$-0E0000]yyyy-mm-dd")</f>
        <v/>
      </c>
      <c r="C21814" t="inlineStr">
        <is>
          <t>1959-08-19</t>
        </is>
      </c>
    </row>
    <row r="21815">
      <c r="A21815" s="1" t="n">
        <v>21814</v>
      </c>
      <c r="B21815">
        <f>TEXT(21814, "[$-0E0000]yyyy-mm-dd")</f>
        <v/>
      </c>
      <c r="C21815" t="inlineStr">
        <is>
          <t>1959-08-20</t>
        </is>
      </c>
    </row>
    <row r="21816">
      <c r="A21816" s="1" t="n">
        <v>21815</v>
      </c>
      <c r="B21816">
        <f>TEXT(21815, "[$-0E0000]yyyy-mm-dd")</f>
        <v/>
      </c>
      <c r="C21816" t="inlineStr">
        <is>
          <t>1959-08-21</t>
        </is>
      </c>
    </row>
    <row r="21817">
      <c r="A21817" s="1" t="n">
        <v>21816</v>
      </c>
      <c r="B21817">
        <f>TEXT(21816, "[$-0E0000]yyyy-mm-dd")</f>
        <v/>
      </c>
      <c r="C21817" t="inlineStr">
        <is>
          <t>1959-08-22</t>
        </is>
      </c>
    </row>
    <row r="21818">
      <c r="A21818" s="1" t="n">
        <v>21817</v>
      </c>
      <c r="B21818">
        <f>TEXT(21817, "[$-0E0000]yyyy-mm-dd")</f>
        <v/>
      </c>
      <c r="C21818" t="inlineStr">
        <is>
          <t>1959-08-23</t>
        </is>
      </c>
    </row>
    <row r="21819">
      <c r="A21819" s="1" t="n">
        <v>21818</v>
      </c>
      <c r="B21819">
        <f>TEXT(21818, "[$-0E0000]yyyy-mm-dd")</f>
        <v/>
      </c>
      <c r="C21819" t="inlineStr">
        <is>
          <t>1959-08-24</t>
        </is>
      </c>
    </row>
    <row r="21820">
      <c r="A21820" s="1" t="n">
        <v>21819</v>
      </c>
      <c r="B21820">
        <f>TEXT(21819, "[$-0E0000]yyyy-mm-dd")</f>
        <v/>
      </c>
      <c r="C21820" t="inlineStr">
        <is>
          <t>1959-08-25</t>
        </is>
      </c>
    </row>
    <row r="21821">
      <c r="A21821" s="1" t="n">
        <v>21820</v>
      </c>
      <c r="B21821">
        <f>TEXT(21820, "[$-0E0000]yyyy-mm-dd")</f>
        <v/>
      </c>
      <c r="C21821" t="inlineStr">
        <is>
          <t>1959-08-26</t>
        </is>
      </c>
    </row>
    <row r="21822">
      <c r="A21822" s="1" t="n">
        <v>21821</v>
      </c>
      <c r="B21822">
        <f>TEXT(21821, "[$-0E0000]yyyy-mm-dd")</f>
        <v/>
      </c>
      <c r="C21822" t="inlineStr">
        <is>
          <t>1959-08-27</t>
        </is>
      </c>
    </row>
    <row r="21823">
      <c r="A21823" s="1" t="n">
        <v>21822</v>
      </c>
      <c r="B21823">
        <f>TEXT(21822, "[$-0E0000]yyyy-mm-dd")</f>
        <v/>
      </c>
      <c r="C21823" t="inlineStr">
        <is>
          <t>1959-08-28</t>
        </is>
      </c>
    </row>
    <row r="21824">
      <c r="A21824" s="1" t="n">
        <v>21823</v>
      </c>
      <c r="B21824">
        <f>TEXT(21823, "[$-0E0000]yyyy-mm-dd")</f>
        <v/>
      </c>
      <c r="C21824" t="inlineStr">
        <is>
          <t>1959-08-29</t>
        </is>
      </c>
    </row>
    <row r="21825">
      <c r="A21825" s="1" t="n">
        <v>21824</v>
      </c>
      <c r="B21825">
        <f>TEXT(21824, "[$-0E0000]yyyy-mm-dd")</f>
        <v/>
      </c>
      <c r="C21825" t="inlineStr">
        <is>
          <t>1959-09-01</t>
        </is>
      </c>
    </row>
    <row r="21826">
      <c r="A21826" s="1" t="n">
        <v>21825</v>
      </c>
      <c r="B21826">
        <f>TEXT(21825, "[$-0E0000]yyyy-mm-dd")</f>
        <v/>
      </c>
      <c r="C21826" t="inlineStr">
        <is>
          <t>1959-09-02</t>
        </is>
      </c>
    </row>
    <row r="21827">
      <c r="A21827" s="1" t="n">
        <v>21826</v>
      </c>
      <c r="B21827">
        <f>TEXT(21826, "[$-0E0000]yyyy-mm-dd")</f>
        <v/>
      </c>
      <c r="C21827" t="inlineStr">
        <is>
          <t>1959-09-03</t>
        </is>
      </c>
    </row>
    <row r="21828">
      <c r="A21828" s="1" t="n">
        <v>21827</v>
      </c>
      <c r="B21828">
        <f>TEXT(21827, "[$-0E0000]yyyy-mm-dd")</f>
        <v/>
      </c>
      <c r="C21828" t="inlineStr">
        <is>
          <t>1959-09-04</t>
        </is>
      </c>
    </row>
    <row r="21829">
      <c r="A21829" s="1" t="n">
        <v>21828</v>
      </c>
      <c r="B21829">
        <f>TEXT(21828, "[$-0E0000]yyyy-mm-dd")</f>
        <v/>
      </c>
      <c r="C21829" t="inlineStr">
        <is>
          <t>1959-09-05</t>
        </is>
      </c>
    </row>
    <row r="21830">
      <c r="A21830" s="1" t="n">
        <v>21829</v>
      </c>
      <c r="B21830">
        <f>TEXT(21829, "[$-0E0000]yyyy-mm-dd")</f>
        <v/>
      </c>
      <c r="C21830" t="inlineStr">
        <is>
          <t>1959-09-06</t>
        </is>
      </c>
    </row>
    <row r="21831">
      <c r="A21831" s="1" t="n">
        <v>21830</v>
      </c>
      <c r="B21831">
        <f>TEXT(21830, "[$-0E0000]yyyy-mm-dd")</f>
        <v/>
      </c>
      <c r="C21831" t="inlineStr">
        <is>
          <t>1959-09-07</t>
        </is>
      </c>
    </row>
    <row r="21832">
      <c r="A21832" s="1" t="n">
        <v>21831</v>
      </c>
      <c r="B21832">
        <f>TEXT(21831, "[$-0E0000]yyyy-mm-dd")</f>
        <v/>
      </c>
      <c r="C21832" t="inlineStr">
        <is>
          <t>1959-09-08</t>
        </is>
      </c>
    </row>
    <row r="21833">
      <c r="A21833" s="1" t="n">
        <v>21832</v>
      </c>
      <c r="B21833">
        <f>TEXT(21832, "[$-0E0000]yyyy-mm-dd")</f>
        <v/>
      </c>
      <c r="C21833" t="inlineStr">
        <is>
          <t>1959-09-09</t>
        </is>
      </c>
    </row>
    <row r="21834">
      <c r="A21834" s="1" t="n">
        <v>21833</v>
      </c>
      <c r="B21834">
        <f>TEXT(21833, "[$-0E0000]yyyy-mm-dd")</f>
        <v/>
      </c>
      <c r="C21834" t="inlineStr">
        <is>
          <t>1959-09-10</t>
        </is>
      </c>
    </row>
    <row r="21835">
      <c r="A21835" s="1" t="n">
        <v>21834</v>
      </c>
      <c r="B21835">
        <f>TEXT(21834, "[$-0E0000]yyyy-mm-dd")</f>
        <v/>
      </c>
      <c r="C21835" t="inlineStr">
        <is>
          <t>1959-09-11</t>
        </is>
      </c>
    </row>
    <row r="21836">
      <c r="A21836" s="1" t="n">
        <v>21835</v>
      </c>
      <c r="B21836">
        <f>TEXT(21835, "[$-0E0000]yyyy-mm-dd")</f>
        <v/>
      </c>
      <c r="C21836" t="inlineStr">
        <is>
          <t>1959-09-12</t>
        </is>
      </c>
    </row>
    <row r="21837">
      <c r="A21837" s="1" t="n">
        <v>21836</v>
      </c>
      <c r="B21837">
        <f>TEXT(21836, "[$-0E0000]yyyy-mm-dd")</f>
        <v/>
      </c>
      <c r="C21837" t="inlineStr">
        <is>
          <t>1959-09-13</t>
        </is>
      </c>
    </row>
    <row r="21838">
      <c r="A21838" s="1" t="n">
        <v>21837</v>
      </c>
      <c r="B21838">
        <f>TEXT(21837, "[$-0E0000]yyyy-mm-dd")</f>
        <v/>
      </c>
      <c r="C21838" t="inlineStr">
        <is>
          <t>1959-09-14</t>
        </is>
      </c>
    </row>
    <row r="21839">
      <c r="A21839" s="1" t="n">
        <v>21838</v>
      </c>
      <c r="B21839">
        <f>TEXT(21838, "[$-0E0000]yyyy-mm-dd")</f>
        <v/>
      </c>
      <c r="C21839" t="inlineStr">
        <is>
          <t>1959-09-15</t>
        </is>
      </c>
    </row>
    <row r="21840">
      <c r="A21840" s="1" t="n">
        <v>21839</v>
      </c>
      <c r="B21840">
        <f>TEXT(21839, "[$-0E0000]yyyy-mm-dd")</f>
        <v/>
      </c>
      <c r="C21840" t="inlineStr">
        <is>
          <t>1959-09-16</t>
        </is>
      </c>
    </row>
    <row r="21841">
      <c r="A21841" s="1" t="n">
        <v>21840</v>
      </c>
      <c r="B21841">
        <f>TEXT(21840, "[$-0E0000]yyyy-mm-dd")</f>
        <v/>
      </c>
      <c r="C21841" t="inlineStr">
        <is>
          <t>1959-09-17</t>
        </is>
      </c>
    </row>
    <row r="21842">
      <c r="A21842" s="1" t="n">
        <v>21841</v>
      </c>
      <c r="B21842">
        <f>TEXT(21841, "[$-0E0000]yyyy-mm-dd")</f>
        <v/>
      </c>
      <c r="C21842" t="inlineStr">
        <is>
          <t>1959-09-18</t>
        </is>
      </c>
    </row>
    <row r="21843">
      <c r="A21843" s="1" t="n">
        <v>21842</v>
      </c>
      <c r="B21843">
        <f>TEXT(21842, "[$-0E0000]yyyy-mm-dd")</f>
        <v/>
      </c>
      <c r="C21843" t="inlineStr">
        <is>
          <t>1959-09-19</t>
        </is>
      </c>
    </row>
    <row r="21844">
      <c r="A21844" s="1" t="n">
        <v>21843</v>
      </c>
      <c r="B21844">
        <f>TEXT(21843, "[$-0E0000]yyyy-mm-dd")</f>
        <v/>
      </c>
      <c r="C21844" t="inlineStr">
        <is>
          <t>1959-09-20</t>
        </is>
      </c>
    </row>
    <row r="21845">
      <c r="A21845" s="1" t="n">
        <v>21844</v>
      </c>
      <c r="B21845">
        <f>TEXT(21844, "[$-0E0000]yyyy-mm-dd")</f>
        <v/>
      </c>
      <c r="C21845" t="inlineStr">
        <is>
          <t>1959-09-21</t>
        </is>
      </c>
    </row>
    <row r="21846">
      <c r="A21846" s="1" t="n">
        <v>21845</v>
      </c>
      <c r="B21846">
        <f>TEXT(21845, "[$-0E0000]yyyy-mm-dd")</f>
        <v/>
      </c>
      <c r="C21846" t="inlineStr">
        <is>
          <t>1959-09-22</t>
        </is>
      </c>
    </row>
    <row r="21847">
      <c r="A21847" s="1" t="n">
        <v>21846</v>
      </c>
      <c r="B21847">
        <f>TEXT(21846, "[$-0E0000]yyyy-mm-dd")</f>
        <v/>
      </c>
      <c r="C21847" t="inlineStr">
        <is>
          <t>1959-09-23</t>
        </is>
      </c>
    </row>
    <row r="21848">
      <c r="A21848" s="1" t="n">
        <v>21847</v>
      </c>
      <c r="B21848">
        <f>TEXT(21847, "[$-0E0000]yyyy-mm-dd")</f>
        <v/>
      </c>
      <c r="C21848" t="inlineStr">
        <is>
          <t>1959-09-24</t>
        </is>
      </c>
    </row>
    <row r="21849">
      <c r="A21849" s="1" t="n">
        <v>21848</v>
      </c>
      <c r="B21849">
        <f>TEXT(21848, "[$-0E0000]yyyy-mm-dd")</f>
        <v/>
      </c>
      <c r="C21849" t="inlineStr">
        <is>
          <t>1959-09-25</t>
        </is>
      </c>
    </row>
    <row r="21850">
      <c r="A21850" s="1" t="n">
        <v>21849</v>
      </c>
      <c r="B21850">
        <f>TEXT(21849, "[$-0E0000]yyyy-mm-dd")</f>
        <v/>
      </c>
      <c r="C21850" t="inlineStr">
        <is>
          <t>1959-09-26</t>
        </is>
      </c>
    </row>
    <row r="21851">
      <c r="A21851" s="1" t="n">
        <v>21850</v>
      </c>
      <c r="B21851">
        <f>TEXT(21850, "[$-0E0000]yyyy-mm-dd")</f>
        <v/>
      </c>
      <c r="C21851" t="inlineStr">
        <is>
          <t>1959-09-27</t>
        </is>
      </c>
    </row>
    <row r="21852">
      <c r="A21852" s="1" t="n">
        <v>21851</v>
      </c>
      <c r="B21852">
        <f>TEXT(21851, "[$-0E0000]yyyy-mm-dd")</f>
        <v/>
      </c>
      <c r="C21852" t="inlineStr">
        <is>
          <t>1959-09-28</t>
        </is>
      </c>
    </row>
    <row r="21853">
      <c r="A21853" s="1" t="n">
        <v>21852</v>
      </c>
      <c r="B21853">
        <f>TEXT(21852, "[$-0E0000]yyyy-mm-dd")</f>
        <v/>
      </c>
      <c r="C21853" t="inlineStr">
        <is>
          <t>1959-09-29</t>
        </is>
      </c>
    </row>
    <row r="21854">
      <c r="A21854" s="1" t="n">
        <v>21853</v>
      </c>
      <c r="B21854">
        <f>TEXT(21853, "[$-0E0000]yyyy-mm-dd")</f>
        <v/>
      </c>
      <c r="C21854" t="inlineStr">
        <is>
          <t>1959-09-30</t>
        </is>
      </c>
    </row>
    <row r="21855">
      <c r="A21855" s="1" t="n">
        <v>21854</v>
      </c>
      <c r="B21855">
        <f>TEXT(21854, "[$-0E0000]yyyy-mm-dd")</f>
        <v/>
      </c>
      <c r="C21855" t="inlineStr">
        <is>
          <t>1959-10-01</t>
        </is>
      </c>
    </row>
    <row r="21856">
      <c r="A21856" s="1" t="n">
        <v>21855</v>
      </c>
      <c r="B21856">
        <f>TEXT(21855, "[$-0E0000]yyyy-mm-dd")</f>
        <v/>
      </c>
      <c r="C21856" t="inlineStr">
        <is>
          <t>1959-10-02</t>
        </is>
      </c>
    </row>
    <row r="21857">
      <c r="A21857" s="1" t="n">
        <v>21856</v>
      </c>
      <c r="B21857">
        <f>TEXT(21856, "[$-0E0000]yyyy-mm-dd")</f>
        <v/>
      </c>
      <c r="C21857" t="inlineStr">
        <is>
          <t>1959-10-03</t>
        </is>
      </c>
    </row>
    <row r="21858">
      <c r="A21858" s="1" t="n">
        <v>21857</v>
      </c>
      <c r="B21858">
        <f>TEXT(21857, "[$-0E0000]yyyy-mm-dd")</f>
        <v/>
      </c>
      <c r="C21858" t="inlineStr">
        <is>
          <t>1959-10-04</t>
        </is>
      </c>
    </row>
    <row r="21859">
      <c r="A21859" s="1" t="n">
        <v>21858</v>
      </c>
      <c r="B21859">
        <f>TEXT(21858, "[$-0E0000]yyyy-mm-dd")</f>
        <v/>
      </c>
      <c r="C21859" t="inlineStr">
        <is>
          <t>1959-10-05</t>
        </is>
      </c>
    </row>
    <row r="21860">
      <c r="A21860" s="1" t="n">
        <v>21859</v>
      </c>
      <c r="B21860">
        <f>TEXT(21859, "[$-0E0000]yyyy-mm-dd")</f>
        <v/>
      </c>
      <c r="C21860" t="inlineStr">
        <is>
          <t>1959-10-06</t>
        </is>
      </c>
    </row>
    <row r="21861">
      <c r="A21861" s="1" t="n">
        <v>21860</v>
      </c>
      <c r="B21861">
        <f>TEXT(21860, "[$-0E0000]yyyy-mm-dd")</f>
        <v/>
      </c>
      <c r="C21861" t="inlineStr">
        <is>
          <t>1959-10-07</t>
        </is>
      </c>
    </row>
    <row r="21862">
      <c r="A21862" s="1" t="n">
        <v>21861</v>
      </c>
      <c r="B21862">
        <f>TEXT(21861, "[$-0E0000]yyyy-mm-dd")</f>
        <v/>
      </c>
      <c r="C21862" t="inlineStr">
        <is>
          <t>1959-10-08</t>
        </is>
      </c>
    </row>
    <row r="21863">
      <c r="A21863" s="1" t="n">
        <v>21862</v>
      </c>
      <c r="B21863">
        <f>TEXT(21862, "[$-0E0000]yyyy-mm-dd")</f>
        <v/>
      </c>
      <c r="C21863" t="inlineStr">
        <is>
          <t>1959-10-09</t>
        </is>
      </c>
    </row>
    <row r="21864">
      <c r="A21864" s="1" t="n">
        <v>21863</v>
      </c>
      <c r="B21864">
        <f>TEXT(21863, "[$-0E0000]yyyy-mm-dd")</f>
        <v/>
      </c>
      <c r="C21864" t="inlineStr">
        <is>
          <t>1959-10-10</t>
        </is>
      </c>
    </row>
    <row r="21865">
      <c r="A21865" s="1" t="n">
        <v>21864</v>
      </c>
      <c r="B21865">
        <f>TEXT(21864, "[$-0E0000]yyyy-mm-dd")</f>
        <v/>
      </c>
      <c r="C21865" t="inlineStr">
        <is>
          <t>1959-10-11</t>
        </is>
      </c>
    </row>
    <row r="21866">
      <c r="A21866" s="1" t="n">
        <v>21865</v>
      </c>
      <c r="B21866">
        <f>TEXT(21865, "[$-0E0000]yyyy-mm-dd")</f>
        <v/>
      </c>
      <c r="C21866" t="inlineStr">
        <is>
          <t>1959-10-12</t>
        </is>
      </c>
    </row>
    <row r="21867">
      <c r="A21867" s="1" t="n">
        <v>21866</v>
      </c>
      <c r="B21867">
        <f>TEXT(21866, "[$-0E0000]yyyy-mm-dd")</f>
        <v/>
      </c>
      <c r="C21867" t="inlineStr">
        <is>
          <t>1959-10-13</t>
        </is>
      </c>
    </row>
    <row r="21868">
      <c r="A21868" s="1" t="n">
        <v>21867</v>
      </c>
      <c r="B21868">
        <f>TEXT(21867, "[$-0E0000]yyyy-mm-dd")</f>
        <v/>
      </c>
      <c r="C21868" t="inlineStr">
        <is>
          <t>1959-10-14</t>
        </is>
      </c>
    </row>
    <row r="21869">
      <c r="A21869" s="1" t="n">
        <v>21868</v>
      </c>
      <c r="B21869">
        <f>TEXT(21868, "[$-0E0000]yyyy-mm-dd")</f>
        <v/>
      </c>
      <c r="C21869" t="inlineStr">
        <is>
          <t>1959-10-15</t>
        </is>
      </c>
    </row>
    <row r="21870">
      <c r="A21870" s="1" t="n">
        <v>21869</v>
      </c>
      <c r="B21870">
        <f>TEXT(21869, "[$-0E0000]yyyy-mm-dd")</f>
        <v/>
      </c>
      <c r="C21870" t="inlineStr">
        <is>
          <t>1959-10-16</t>
        </is>
      </c>
    </row>
    <row r="21871">
      <c r="A21871" s="1" t="n">
        <v>21870</v>
      </c>
      <c r="B21871">
        <f>TEXT(21870, "[$-0E0000]yyyy-mm-dd")</f>
        <v/>
      </c>
      <c r="C21871" t="inlineStr">
        <is>
          <t>1959-10-17</t>
        </is>
      </c>
    </row>
    <row r="21872">
      <c r="A21872" s="1" t="n">
        <v>21871</v>
      </c>
      <c r="B21872">
        <f>TEXT(21871, "[$-0E0000]yyyy-mm-dd")</f>
        <v/>
      </c>
      <c r="C21872" t="inlineStr">
        <is>
          <t>1959-10-18</t>
        </is>
      </c>
    </row>
    <row r="21873">
      <c r="A21873" s="1" t="n">
        <v>21872</v>
      </c>
      <c r="B21873">
        <f>TEXT(21872, "[$-0E0000]yyyy-mm-dd")</f>
        <v/>
      </c>
      <c r="C21873" t="inlineStr">
        <is>
          <t>1959-10-19</t>
        </is>
      </c>
    </row>
    <row r="21874">
      <c r="A21874" s="1" t="n">
        <v>21873</v>
      </c>
      <c r="B21874">
        <f>TEXT(21873, "[$-0E0000]yyyy-mm-dd")</f>
        <v/>
      </c>
      <c r="C21874" t="inlineStr">
        <is>
          <t>1959-10-20</t>
        </is>
      </c>
    </row>
    <row r="21875">
      <c r="A21875" s="1" t="n">
        <v>21874</v>
      </c>
      <c r="B21875">
        <f>TEXT(21874, "[$-0E0000]yyyy-mm-dd")</f>
        <v/>
      </c>
      <c r="C21875" t="inlineStr">
        <is>
          <t>1959-10-21</t>
        </is>
      </c>
    </row>
    <row r="21876">
      <c r="A21876" s="1" t="n">
        <v>21875</v>
      </c>
      <c r="B21876">
        <f>TEXT(21875, "[$-0E0000]yyyy-mm-dd")</f>
        <v/>
      </c>
      <c r="C21876" t="inlineStr">
        <is>
          <t>1959-10-22</t>
        </is>
      </c>
    </row>
    <row r="21877">
      <c r="A21877" s="1" t="n">
        <v>21876</v>
      </c>
      <c r="B21877">
        <f>TEXT(21876, "[$-0E0000]yyyy-mm-dd")</f>
        <v/>
      </c>
      <c r="C21877" t="inlineStr">
        <is>
          <t>1959-10-23</t>
        </is>
      </c>
    </row>
    <row r="21878">
      <c r="A21878" s="1" t="n">
        <v>21877</v>
      </c>
      <c r="B21878">
        <f>TEXT(21877, "[$-0E0000]yyyy-mm-dd")</f>
        <v/>
      </c>
      <c r="C21878" t="inlineStr">
        <is>
          <t>1959-10-24</t>
        </is>
      </c>
    </row>
    <row r="21879">
      <c r="A21879" s="1" t="n">
        <v>21878</v>
      </c>
      <c r="B21879">
        <f>TEXT(21878, "[$-0E0000]yyyy-mm-dd")</f>
        <v/>
      </c>
      <c r="C21879" t="inlineStr">
        <is>
          <t>1959-10-25</t>
        </is>
      </c>
    </row>
    <row r="21880">
      <c r="A21880" s="1" t="n">
        <v>21879</v>
      </c>
      <c r="B21880">
        <f>TEXT(21879, "[$-0E0000]yyyy-mm-dd")</f>
        <v/>
      </c>
      <c r="C21880" t="inlineStr">
        <is>
          <t>1959-10-26</t>
        </is>
      </c>
    </row>
    <row r="21881">
      <c r="A21881" s="1" t="n">
        <v>21880</v>
      </c>
      <c r="B21881">
        <f>TEXT(21880, "[$-0E0000]yyyy-mm-dd")</f>
        <v/>
      </c>
      <c r="C21881" t="inlineStr">
        <is>
          <t>1959-10-27</t>
        </is>
      </c>
    </row>
    <row r="21882">
      <c r="A21882" s="1" t="n">
        <v>21881</v>
      </c>
      <c r="B21882">
        <f>TEXT(21881, "[$-0E0000]yyyy-mm-dd")</f>
        <v/>
      </c>
      <c r="C21882" t="inlineStr">
        <is>
          <t>1959-10-28</t>
        </is>
      </c>
    </row>
    <row r="21883">
      <c r="A21883" s="1" t="n">
        <v>21882</v>
      </c>
      <c r="B21883">
        <f>TEXT(21882, "[$-0E0000]yyyy-mm-dd")</f>
        <v/>
      </c>
      <c r="C21883" t="inlineStr">
        <is>
          <t>1959-10-29</t>
        </is>
      </c>
    </row>
    <row r="21884">
      <c r="A21884" s="1" t="n">
        <v>21883</v>
      </c>
      <c r="B21884">
        <f>TEXT(21883, "[$-0E0000]yyyy-mm-dd")</f>
        <v/>
      </c>
      <c r="C21884" t="inlineStr">
        <is>
          <t>1959-11-01</t>
        </is>
      </c>
    </row>
    <row r="21885">
      <c r="A21885" s="1" t="n">
        <v>21884</v>
      </c>
      <c r="B21885">
        <f>TEXT(21884, "[$-0E0000]yyyy-mm-dd")</f>
        <v/>
      </c>
      <c r="C21885" t="inlineStr">
        <is>
          <t>1959-11-02</t>
        </is>
      </c>
    </row>
    <row r="21886">
      <c r="A21886" s="1" t="n">
        <v>21885</v>
      </c>
      <c r="B21886">
        <f>TEXT(21885, "[$-0E0000]yyyy-mm-dd")</f>
        <v/>
      </c>
      <c r="C21886" t="inlineStr">
        <is>
          <t>1959-11-03</t>
        </is>
      </c>
    </row>
    <row r="21887">
      <c r="A21887" s="1" t="n">
        <v>21886</v>
      </c>
      <c r="B21887">
        <f>TEXT(21886, "[$-0E0000]yyyy-mm-dd")</f>
        <v/>
      </c>
      <c r="C21887" t="inlineStr">
        <is>
          <t>1959-11-04</t>
        </is>
      </c>
    </row>
    <row r="21888">
      <c r="A21888" s="1" t="n">
        <v>21887</v>
      </c>
      <c r="B21888">
        <f>TEXT(21887, "[$-0E0000]yyyy-mm-dd")</f>
        <v/>
      </c>
      <c r="C21888" t="inlineStr">
        <is>
          <t>1959-11-05</t>
        </is>
      </c>
    </row>
    <row r="21889">
      <c r="A21889" s="1" t="n">
        <v>21888</v>
      </c>
      <c r="B21889">
        <f>TEXT(21888, "[$-0E0000]yyyy-mm-dd")</f>
        <v/>
      </c>
      <c r="C21889" t="inlineStr">
        <is>
          <t>1959-11-06</t>
        </is>
      </c>
    </row>
    <row r="21890">
      <c r="A21890" s="1" t="n">
        <v>21889</v>
      </c>
      <c r="B21890">
        <f>TEXT(21889, "[$-0E0000]yyyy-mm-dd")</f>
        <v/>
      </c>
      <c r="C21890" t="inlineStr">
        <is>
          <t>1959-11-07</t>
        </is>
      </c>
    </row>
    <row r="21891">
      <c r="A21891" s="1" t="n">
        <v>21890</v>
      </c>
      <c r="B21891">
        <f>TEXT(21890, "[$-0E0000]yyyy-mm-dd")</f>
        <v/>
      </c>
      <c r="C21891" t="inlineStr">
        <is>
          <t>1959-11-08</t>
        </is>
      </c>
    </row>
    <row r="21892">
      <c r="A21892" s="1" t="n">
        <v>21891</v>
      </c>
      <c r="B21892">
        <f>TEXT(21891, "[$-0E0000]yyyy-mm-dd")</f>
        <v/>
      </c>
      <c r="C21892" t="inlineStr">
        <is>
          <t>1959-11-09</t>
        </is>
      </c>
    </row>
    <row r="21893">
      <c r="A21893" s="1" t="n">
        <v>21892</v>
      </c>
      <c r="B21893">
        <f>TEXT(21892, "[$-0E0000]yyyy-mm-dd")</f>
        <v/>
      </c>
      <c r="C21893" t="inlineStr">
        <is>
          <t>1959-11-10</t>
        </is>
      </c>
    </row>
    <row r="21894">
      <c r="A21894" s="1" t="n">
        <v>21893</v>
      </c>
      <c r="B21894">
        <f>TEXT(21893, "[$-0E0000]yyyy-mm-dd")</f>
        <v/>
      </c>
      <c r="C21894" t="inlineStr">
        <is>
          <t>1959-11-11</t>
        </is>
      </c>
    </row>
    <row r="21895">
      <c r="A21895" s="1" t="n">
        <v>21894</v>
      </c>
      <c r="B21895">
        <f>TEXT(21894, "[$-0E0000]yyyy-mm-dd")</f>
        <v/>
      </c>
      <c r="C21895" t="inlineStr">
        <is>
          <t>1959-11-12</t>
        </is>
      </c>
    </row>
    <row r="21896">
      <c r="A21896" s="1" t="n">
        <v>21895</v>
      </c>
      <c r="B21896">
        <f>TEXT(21895, "[$-0E0000]yyyy-mm-dd")</f>
        <v/>
      </c>
      <c r="C21896" t="inlineStr">
        <is>
          <t>1959-11-13</t>
        </is>
      </c>
    </row>
    <row r="21897">
      <c r="A21897" s="1" t="n">
        <v>21896</v>
      </c>
      <c r="B21897">
        <f>TEXT(21896, "[$-0E0000]yyyy-mm-dd")</f>
        <v/>
      </c>
      <c r="C21897" t="inlineStr">
        <is>
          <t>1959-11-14</t>
        </is>
      </c>
    </row>
    <row r="21898">
      <c r="A21898" s="1" t="n">
        <v>21897</v>
      </c>
      <c r="B21898">
        <f>TEXT(21897, "[$-0E0000]yyyy-mm-dd")</f>
        <v/>
      </c>
      <c r="C21898" t="inlineStr">
        <is>
          <t>1959-11-15</t>
        </is>
      </c>
    </row>
    <row r="21899">
      <c r="A21899" s="1" t="n">
        <v>21898</v>
      </c>
      <c r="B21899">
        <f>TEXT(21898, "[$-0E0000]yyyy-mm-dd")</f>
        <v/>
      </c>
      <c r="C21899" t="inlineStr">
        <is>
          <t>1959-11-16</t>
        </is>
      </c>
    </row>
    <row r="21900">
      <c r="A21900" s="1" t="n">
        <v>21899</v>
      </c>
      <c r="B21900">
        <f>TEXT(21899, "[$-0E0000]yyyy-mm-dd")</f>
        <v/>
      </c>
      <c r="C21900" t="inlineStr">
        <is>
          <t>1959-11-17</t>
        </is>
      </c>
    </row>
    <row r="21901">
      <c r="A21901" s="1" t="n">
        <v>21900</v>
      </c>
      <c r="B21901">
        <f>TEXT(21900, "[$-0E0000]yyyy-mm-dd")</f>
        <v/>
      </c>
      <c r="C21901" t="inlineStr">
        <is>
          <t>1959-11-18</t>
        </is>
      </c>
    </row>
    <row r="21902">
      <c r="A21902" s="1" t="n">
        <v>21901</v>
      </c>
      <c r="B21902">
        <f>TEXT(21901, "[$-0E0000]yyyy-mm-dd")</f>
        <v/>
      </c>
      <c r="C21902" t="inlineStr">
        <is>
          <t>1959-11-19</t>
        </is>
      </c>
    </row>
    <row r="21903">
      <c r="A21903" s="1" t="n">
        <v>21902</v>
      </c>
      <c r="B21903">
        <f>TEXT(21902, "[$-0E0000]yyyy-mm-dd")</f>
        <v/>
      </c>
      <c r="C21903" t="inlineStr">
        <is>
          <t>1959-11-20</t>
        </is>
      </c>
    </row>
    <row r="21904">
      <c r="A21904" s="1" t="n">
        <v>21903</v>
      </c>
      <c r="B21904">
        <f>TEXT(21903, "[$-0E0000]yyyy-mm-dd")</f>
        <v/>
      </c>
      <c r="C21904" t="inlineStr">
        <is>
          <t>1959-11-21</t>
        </is>
      </c>
    </row>
    <row r="21905">
      <c r="A21905" s="1" t="n">
        <v>21904</v>
      </c>
      <c r="B21905">
        <f>TEXT(21904, "[$-0E0000]yyyy-mm-dd")</f>
        <v/>
      </c>
      <c r="C21905" t="inlineStr">
        <is>
          <t>1959-11-22</t>
        </is>
      </c>
    </row>
    <row r="21906">
      <c r="A21906" s="1" t="n">
        <v>21905</v>
      </c>
      <c r="B21906">
        <f>TEXT(21905, "[$-0E0000]yyyy-mm-dd")</f>
        <v/>
      </c>
      <c r="C21906" t="inlineStr">
        <is>
          <t>1959-11-23</t>
        </is>
      </c>
    </row>
    <row r="21907">
      <c r="A21907" s="1" t="n">
        <v>21906</v>
      </c>
      <c r="B21907">
        <f>TEXT(21906, "[$-0E0000]yyyy-mm-dd")</f>
        <v/>
      </c>
      <c r="C21907" t="inlineStr">
        <is>
          <t>1959-11-24</t>
        </is>
      </c>
    </row>
    <row r="21908">
      <c r="A21908" s="1" t="n">
        <v>21907</v>
      </c>
      <c r="B21908">
        <f>TEXT(21907, "[$-0E0000]yyyy-mm-dd")</f>
        <v/>
      </c>
      <c r="C21908" t="inlineStr">
        <is>
          <t>1959-11-25</t>
        </is>
      </c>
    </row>
    <row r="21909">
      <c r="A21909" s="1" t="n">
        <v>21908</v>
      </c>
      <c r="B21909">
        <f>TEXT(21908, "[$-0E0000]yyyy-mm-dd")</f>
        <v/>
      </c>
      <c r="C21909" t="inlineStr">
        <is>
          <t>1959-11-26</t>
        </is>
      </c>
    </row>
    <row r="21910">
      <c r="A21910" s="1" t="n">
        <v>21909</v>
      </c>
      <c r="B21910">
        <f>TEXT(21909, "[$-0E0000]yyyy-mm-dd")</f>
        <v/>
      </c>
      <c r="C21910" t="inlineStr">
        <is>
          <t>1959-11-27</t>
        </is>
      </c>
    </row>
    <row r="21911">
      <c r="A21911" s="1" t="n">
        <v>21910</v>
      </c>
      <c r="B21911">
        <f>TEXT(21910, "[$-0E0000]yyyy-mm-dd")</f>
        <v/>
      </c>
      <c r="C21911" t="inlineStr">
        <is>
          <t>1959-11-28</t>
        </is>
      </c>
    </row>
    <row r="21912">
      <c r="A21912" s="1" t="n">
        <v>21911</v>
      </c>
      <c r="B21912">
        <f>TEXT(21911, "[$-0E0000]yyyy-mm-dd")</f>
        <v/>
      </c>
      <c r="C21912" t="inlineStr">
        <is>
          <t>1959-11-29</t>
        </is>
      </c>
    </row>
    <row r="21913">
      <c r="A21913" s="1" t="n">
        <v>21912</v>
      </c>
      <c r="B21913">
        <f>TEXT(21912, "[$-0E0000]yyyy-mm-dd")</f>
        <v/>
      </c>
      <c r="C21913" t="inlineStr">
        <is>
          <t>1959-11-30</t>
        </is>
      </c>
    </row>
    <row r="21914">
      <c r="A21914" s="1" t="n">
        <v>21913</v>
      </c>
      <c r="B21914">
        <f>TEXT(21913, "[$-0E0000]yyyy-mm-dd")</f>
        <v/>
      </c>
      <c r="C21914" t="inlineStr">
        <is>
          <t>1959-12-01</t>
        </is>
      </c>
    </row>
    <row r="21915">
      <c r="A21915" s="1" t="n">
        <v>21914</v>
      </c>
      <c r="B21915">
        <f>TEXT(21914, "[$-0E0000]yyyy-mm-dd")</f>
        <v/>
      </c>
      <c r="C21915" t="inlineStr">
        <is>
          <t>1959-12-02</t>
        </is>
      </c>
    </row>
    <row r="21916">
      <c r="A21916" s="1" t="n">
        <v>21915</v>
      </c>
      <c r="B21916">
        <f>TEXT(21915, "[$-0E0000]yyyy-mm-dd")</f>
        <v/>
      </c>
      <c r="C21916" t="inlineStr">
        <is>
          <t>1959-12-03</t>
        </is>
      </c>
    </row>
    <row r="21917">
      <c r="A21917" s="1" t="n">
        <v>21916</v>
      </c>
      <c r="B21917">
        <f>TEXT(21916, "[$-0E0000]yyyy-mm-dd")</f>
        <v/>
      </c>
      <c r="C21917" t="inlineStr">
        <is>
          <t>1959-12-04</t>
        </is>
      </c>
    </row>
    <row r="21918">
      <c r="A21918" s="1" t="n">
        <v>21917</v>
      </c>
      <c r="B21918">
        <f>TEXT(21917, "[$-0E0000]yyyy-mm-dd")</f>
        <v/>
      </c>
      <c r="C21918" t="inlineStr">
        <is>
          <t>1959-12-05</t>
        </is>
      </c>
    </row>
    <row r="21919">
      <c r="A21919" s="1" t="n">
        <v>21918</v>
      </c>
      <c r="B21919">
        <f>TEXT(21918, "[$-0E0000]yyyy-mm-dd")</f>
        <v/>
      </c>
      <c r="C21919" t="inlineStr">
        <is>
          <t>1959-12-06</t>
        </is>
      </c>
    </row>
    <row r="21920">
      <c r="A21920" s="1" t="n">
        <v>21919</v>
      </c>
      <c r="B21920">
        <f>TEXT(21919, "[$-0E0000]yyyy-mm-dd")</f>
        <v/>
      </c>
      <c r="C21920" t="inlineStr">
        <is>
          <t>1959-12-07</t>
        </is>
      </c>
    </row>
    <row r="21921">
      <c r="A21921" s="1" t="n">
        <v>21920</v>
      </c>
      <c r="B21921">
        <f>TEXT(21920, "[$-0E0000]yyyy-mm-dd")</f>
        <v/>
      </c>
      <c r="C21921" t="inlineStr">
        <is>
          <t>1959-12-08</t>
        </is>
      </c>
    </row>
    <row r="21922">
      <c r="A21922" s="1" t="n">
        <v>21921</v>
      </c>
      <c r="B21922">
        <f>TEXT(21921, "[$-0E0000]yyyy-mm-dd")</f>
        <v/>
      </c>
      <c r="C21922" t="inlineStr">
        <is>
          <t>1959-12-09</t>
        </is>
      </c>
    </row>
    <row r="21923">
      <c r="A21923" s="1" t="n">
        <v>21922</v>
      </c>
      <c r="B21923">
        <f>TEXT(21922, "[$-0E0000]yyyy-mm-dd")</f>
        <v/>
      </c>
      <c r="C21923" t="inlineStr">
        <is>
          <t>1959-12-10</t>
        </is>
      </c>
    </row>
    <row r="21924">
      <c r="A21924" s="1" t="n">
        <v>21923</v>
      </c>
      <c r="B21924">
        <f>TEXT(21923, "[$-0E0000]yyyy-mm-dd")</f>
        <v/>
      </c>
      <c r="C21924" t="inlineStr">
        <is>
          <t>1959-12-11</t>
        </is>
      </c>
    </row>
    <row r="21925">
      <c r="A21925" s="1" t="n">
        <v>21924</v>
      </c>
      <c r="B21925">
        <f>TEXT(21924, "[$-0E0000]yyyy-mm-dd")</f>
        <v/>
      </c>
      <c r="C21925" t="inlineStr">
        <is>
          <t>1959-12-12</t>
        </is>
      </c>
    </row>
    <row r="21926">
      <c r="A21926" s="1" t="n">
        <v>21925</v>
      </c>
      <c r="B21926">
        <f>TEXT(21925, "[$-0E0000]yyyy-mm-dd")</f>
        <v/>
      </c>
      <c r="C21926" t="inlineStr">
        <is>
          <t>1959-12-13</t>
        </is>
      </c>
    </row>
    <row r="21927">
      <c r="A21927" s="1" t="n">
        <v>21926</v>
      </c>
      <c r="B21927">
        <f>TEXT(21926, "[$-0E0000]yyyy-mm-dd")</f>
        <v/>
      </c>
      <c r="C21927" t="inlineStr">
        <is>
          <t>1959-12-14</t>
        </is>
      </c>
    </row>
    <row r="21928">
      <c r="A21928" s="1" t="n">
        <v>21927</v>
      </c>
      <c r="B21928">
        <f>TEXT(21927, "[$-0E0000]yyyy-mm-dd")</f>
        <v/>
      </c>
      <c r="C21928" t="inlineStr">
        <is>
          <t>1959-12-15</t>
        </is>
      </c>
    </row>
    <row r="21929">
      <c r="A21929" s="1" t="n">
        <v>21928</v>
      </c>
      <c r="B21929">
        <f>TEXT(21928, "[$-0E0000]yyyy-mm-dd")</f>
        <v/>
      </c>
      <c r="C21929" t="inlineStr">
        <is>
          <t>1959-12-16</t>
        </is>
      </c>
    </row>
    <row r="21930">
      <c r="A21930" s="1" t="n">
        <v>21929</v>
      </c>
      <c r="B21930">
        <f>TEXT(21929, "[$-0E0000]yyyy-mm-dd")</f>
        <v/>
      </c>
      <c r="C21930" t="inlineStr">
        <is>
          <t>1959-12-17</t>
        </is>
      </c>
    </row>
    <row r="21931">
      <c r="A21931" s="1" t="n">
        <v>21930</v>
      </c>
      <c r="B21931">
        <f>TEXT(21930, "[$-0E0000]yyyy-mm-dd")</f>
        <v/>
      </c>
      <c r="C21931" t="inlineStr">
        <is>
          <t>1959-12-18</t>
        </is>
      </c>
    </row>
    <row r="21932">
      <c r="A21932" s="1" t="n">
        <v>21931</v>
      </c>
      <c r="B21932">
        <f>TEXT(21931, "[$-0E0000]yyyy-mm-dd")</f>
        <v/>
      </c>
      <c r="C21932" t="inlineStr">
        <is>
          <t>1959-12-19</t>
        </is>
      </c>
    </row>
    <row r="21933">
      <c r="A21933" s="1" t="n">
        <v>21932</v>
      </c>
      <c r="B21933">
        <f>TEXT(21932, "[$-0E0000]yyyy-mm-dd")</f>
        <v/>
      </c>
      <c r="C21933" t="inlineStr">
        <is>
          <t>1959-12-20</t>
        </is>
      </c>
    </row>
    <row r="21934">
      <c r="A21934" s="1" t="n">
        <v>21933</v>
      </c>
      <c r="B21934">
        <f>TEXT(21933, "[$-0E0000]yyyy-mm-dd")</f>
        <v/>
      </c>
      <c r="C21934" t="inlineStr">
        <is>
          <t>1959-12-21</t>
        </is>
      </c>
    </row>
    <row r="21935">
      <c r="A21935" s="1" t="n">
        <v>21934</v>
      </c>
      <c r="B21935">
        <f>TEXT(21934, "[$-0E0000]yyyy-mm-dd")</f>
        <v/>
      </c>
      <c r="C21935" t="inlineStr">
        <is>
          <t>1959-12-22</t>
        </is>
      </c>
    </row>
    <row r="21936">
      <c r="A21936" s="1" t="n">
        <v>21935</v>
      </c>
      <c r="B21936">
        <f>TEXT(21935, "[$-0E0000]yyyy-mm-dd")</f>
        <v/>
      </c>
      <c r="C21936" t="inlineStr">
        <is>
          <t>1959-12-23</t>
        </is>
      </c>
    </row>
    <row r="21937">
      <c r="A21937" s="1" t="n">
        <v>21936</v>
      </c>
      <c r="B21937">
        <f>TEXT(21936, "[$-0E0000]yyyy-mm-dd")</f>
        <v/>
      </c>
      <c r="C21937" t="inlineStr">
        <is>
          <t>1959-12-24</t>
        </is>
      </c>
    </row>
    <row r="21938">
      <c r="A21938" s="1" t="n">
        <v>21937</v>
      </c>
      <c r="B21938">
        <f>TEXT(21937, "[$-0E0000]yyyy-mm-dd")</f>
        <v/>
      </c>
      <c r="C21938" t="inlineStr">
        <is>
          <t>1959-12-25</t>
        </is>
      </c>
    </row>
    <row r="21939">
      <c r="A21939" s="1" t="n">
        <v>21938</v>
      </c>
      <c r="B21939">
        <f>TEXT(21938, "[$-0E0000]yyyy-mm-dd")</f>
        <v/>
      </c>
      <c r="C21939" t="inlineStr">
        <is>
          <t>1959-12-26</t>
        </is>
      </c>
    </row>
    <row r="21940">
      <c r="A21940" s="1" t="n">
        <v>21939</v>
      </c>
      <c r="B21940">
        <f>TEXT(21939, "[$-0E0000]yyyy-mm-dd")</f>
        <v/>
      </c>
      <c r="C21940" t="inlineStr">
        <is>
          <t>1959-12-27</t>
        </is>
      </c>
    </row>
    <row r="21941">
      <c r="A21941" s="1" t="n">
        <v>21940</v>
      </c>
      <c r="B21941">
        <f>TEXT(21940, "[$-0E0000]yyyy-mm-dd")</f>
        <v/>
      </c>
      <c r="C21941" t="inlineStr">
        <is>
          <t>1959-12-28</t>
        </is>
      </c>
    </row>
    <row r="21942">
      <c r="A21942" s="1" t="n">
        <v>21941</v>
      </c>
      <c r="B21942">
        <f>TEXT(21941, "[$-0E0000]yyyy-mm-dd")</f>
        <v/>
      </c>
      <c r="C21942" t="inlineStr">
        <is>
          <t>1959-12-29</t>
        </is>
      </c>
    </row>
    <row r="21943">
      <c r="A21943" s="1" t="n">
        <v>21942</v>
      </c>
      <c r="B21943">
        <f>TEXT(21942, "[$-0E0000]yyyy-mm-dd")</f>
        <v/>
      </c>
      <c r="C21943" t="inlineStr">
        <is>
          <t>1960-01-01</t>
        </is>
      </c>
    </row>
    <row r="21944">
      <c r="A21944" s="1" t="n">
        <v>21943</v>
      </c>
      <c r="B21944">
        <f>TEXT(21943, "[$-0E0000]yyyy-mm-dd")</f>
        <v/>
      </c>
      <c r="C21944" t="inlineStr">
        <is>
          <t>1960-01-02</t>
        </is>
      </c>
    </row>
    <row r="21945">
      <c r="A21945" s="1" t="n">
        <v>21944</v>
      </c>
      <c r="B21945">
        <f>TEXT(21944, "[$-0E0000]yyyy-mm-dd")</f>
        <v/>
      </c>
      <c r="C21945" t="inlineStr">
        <is>
          <t>1960-01-03</t>
        </is>
      </c>
    </row>
    <row r="21946">
      <c r="A21946" s="1" t="n">
        <v>21945</v>
      </c>
      <c r="B21946">
        <f>TEXT(21945, "[$-0E0000]yyyy-mm-dd")</f>
        <v/>
      </c>
      <c r="C21946" t="inlineStr">
        <is>
          <t>1960-01-04</t>
        </is>
      </c>
    </row>
    <row r="21947">
      <c r="A21947" s="1" t="n">
        <v>21946</v>
      </c>
      <c r="B21947">
        <f>TEXT(21946, "[$-0E0000]yyyy-mm-dd")</f>
        <v/>
      </c>
      <c r="C21947" t="inlineStr">
        <is>
          <t>1960-01-05</t>
        </is>
      </c>
    </row>
    <row r="21948">
      <c r="A21948" s="1" t="n">
        <v>21947</v>
      </c>
      <c r="B21948">
        <f>TEXT(21947, "[$-0E0000]yyyy-mm-dd")</f>
        <v/>
      </c>
      <c r="C21948" t="inlineStr">
        <is>
          <t>1960-01-06</t>
        </is>
      </c>
    </row>
    <row r="21949">
      <c r="A21949" s="1" t="n">
        <v>21948</v>
      </c>
      <c r="B21949">
        <f>TEXT(21948, "[$-0E0000]yyyy-mm-dd")</f>
        <v/>
      </c>
      <c r="C21949" t="inlineStr">
        <is>
          <t>1960-01-07</t>
        </is>
      </c>
    </row>
    <row r="21950">
      <c r="A21950" s="1" t="n">
        <v>21949</v>
      </c>
      <c r="B21950">
        <f>TEXT(21949, "[$-0E0000]yyyy-mm-dd")</f>
        <v/>
      </c>
      <c r="C21950" t="inlineStr">
        <is>
          <t>1960-01-08</t>
        </is>
      </c>
    </row>
    <row r="21951">
      <c r="A21951" s="1" t="n">
        <v>21950</v>
      </c>
      <c r="B21951">
        <f>TEXT(21950, "[$-0E0000]yyyy-mm-dd")</f>
        <v/>
      </c>
      <c r="C21951" t="inlineStr">
        <is>
          <t>1960-01-09</t>
        </is>
      </c>
    </row>
    <row r="21952">
      <c r="A21952" s="1" t="n">
        <v>21951</v>
      </c>
      <c r="B21952">
        <f>TEXT(21951, "[$-0E0000]yyyy-mm-dd")</f>
        <v/>
      </c>
      <c r="C21952" t="inlineStr">
        <is>
          <t>1960-01-10</t>
        </is>
      </c>
    </row>
    <row r="21953">
      <c r="A21953" s="1" t="n">
        <v>21952</v>
      </c>
      <c r="B21953">
        <f>TEXT(21952, "[$-0E0000]yyyy-mm-dd")</f>
        <v/>
      </c>
      <c r="C21953" t="inlineStr">
        <is>
          <t>1960-01-11</t>
        </is>
      </c>
    </row>
    <row r="21954">
      <c r="A21954" s="1" t="n">
        <v>21953</v>
      </c>
      <c r="B21954">
        <f>TEXT(21953, "[$-0E0000]yyyy-mm-dd")</f>
        <v/>
      </c>
      <c r="C21954" t="inlineStr">
        <is>
          <t>1960-01-12</t>
        </is>
      </c>
    </row>
    <row r="21955">
      <c r="A21955" s="1" t="n">
        <v>21954</v>
      </c>
      <c r="B21955">
        <f>TEXT(21954, "[$-0E0000]yyyy-mm-dd")</f>
        <v/>
      </c>
      <c r="C21955" t="inlineStr">
        <is>
          <t>1960-01-13</t>
        </is>
      </c>
    </row>
    <row r="21956">
      <c r="A21956" s="1" t="n">
        <v>21955</v>
      </c>
      <c r="B21956">
        <f>TEXT(21955, "[$-0E0000]yyyy-mm-dd")</f>
        <v/>
      </c>
      <c r="C21956" t="inlineStr">
        <is>
          <t>1960-01-14</t>
        </is>
      </c>
    </row>
    <row r="21957">
      <c r="A21957" s="1" t="n">
        <v>21956</v>
      </c>
      <c r="B21957">
        <f>TEXT(21956, "[$-0E0000]yyyy-mm-dd")</f>
        <v/>
      </c>
      <c r="C21957" t="inlineStr">
        <is>
          <t>1960-01-15</t>
        </is>
      </c>
    </row>
    <row r="21958">
      <c r="A21958" s="1" t="n">
        <v>21957</v>
      </c>
      <c r="B21958">
        <f>TEXT(21957, "[$-0E0000]yyyy-mm-dd")</f>
        <v/>
      </c>
      <c r="C21958" t="inlineStr">
        <is>
          <t>1960-01-16</t>
        </is>
      </c>
    </row>
    <row r="21959">
      <c r="A21959" s="1" t="n">
        <v>21958</v>
      </c>
      <c r="B21959">
        <f>TEXT(21958, "[$-0E0000]yyyy-mm-dd")</f>
        <v/>
      </c>
      <c r="C21959" t="inlineStr">
        <is>
          <t>1960-01-17</t>
        </is>
      </c>
    </row>
    <row r="21960">
      <c r="A21960" s="1" t="n">
        <v>21959</v>
      </c>
      <c r="B21960">
        <f>TEXT(21959, "[$-0E0000]yyyy-mm-dd")</f>
        <v/>
      </c>
      <c r="C21960" t="inlineStr">
        <is>
          <t>1960-01-18</t>
        </is>
      </c>
    </row>
    <row r="21961">
      <c r="A21961" s="1" t="n">
        <v>21960</v>
      </c>
      <c r="B21961">
        <f>TEXT(21960, "[$-0E0000]yyyy-mm-dd")</f>
        <v/>
      </c>
      <c r="C21961" t="inlineStr">
        <is>
          <t>1960-01-19</t>
        </is>
      </c>
    </row>
    <row r="21962">
      <c r="A21962" s="1" t="n">
        <v>21961</v>
      </c>
      <c r="B21962">
        <f>TEXT(21961, "[$-0E0000]yyyy-mm-dd")</f>
        <v/>
      </c>
      <c r="C21962" t="inlineStr">
        <is>
          <t>1960-01-20</t>
        </is>
      </c>
    </row>
    <row r="21963">
      <c r="A21963" s="1" t="n">
        <v>21962</v>
      </c>
      <c r="B21963">
        <f>TEXT(21962, "[$-0E0000]yyyy-mm-dd")</f>
        <v/>
      </c>
      <c r="C21963" t="inlineStr">
        <is>
          <t>1960-01-21</t>
        </is>
      </c>
    </row>
    <row r="21964">
      <c r="A21964" s="1" t="n">
        <v>21963</v>
      </c>
      <c r="B21964">
        <f>TEXT(21963, "[$-0E0000]yyyy-mm-dd")</f>
        <v/>
      </c>
      <c r="C21964" t="inlineStr">
        <is>
          <t>1960-01-22</t>
        </is>
      </c>
    </row>
    <row r="21965">
      <c r="A21965" s="1" t="n">
        <v>21964</v>
      </c>
      <c r="B21965">
        <f>TEXT(21964, "[$-0E0000]yyyy-mm-dd")</f>
        <v/>
      </c>
      <c r="C21965" t="inlineStr">
        <is>
          <t>1960-01-23</t>
        </is>
      </c>
    </row>
    <row r="21966">
      <c r="A21966" s="1" t="n">
        <v>21965</v>
      </c>
      <c r="B21966">
        <f>TEXT(21965, "[$-0E0000]yyyy-mm-dd")</f>
        <v/>
      </c>
      <c r="C21966" t="inlineStr">
        <is>
          <t>1960-01-24</t>
        </is>
      </c>
    </row>
    <row r="21967">
      <c r="A21967" s="1" t="n">
        <v>21966</v>
      </c>
      <c r="B21967">
        <f>TEXT(21966, "[$-0E0000]yyyy-mm-dd")</f>
        <v/>
      </c>
      <c r="C21967" t="inlineStr">
        <is>
          <t>1960-01-25</t>
        </is>
      </c>
    </row>
    <row r="21968">
      <c r="A21968" s="1" t="n">
        <v>21967</v>
      </c>
      <c r="B21968">
        <f>TEXT(21967, "[$-0E0000]yyyy-mm-dd")</f>
        <v/>
      </c>
      <c r="C21968" t="inlineStr">
        <is>
          <t>1960-01-26</t>
        </is>
      </c>
    </row>
    <row r="21969">
      <c r="A21969" s="1" t="n">
        <v>21968</v>
      </c>
      <c r="B21969">
        <f>TEXT(21968, "[$-0E0000]yyyy-mm-dd")</f>
        <v/>
      </c>
      <c r="C21969" t="inlineStr">
        <is>
          <t>1960-01-27</t>
        </is>
      </c>
    </row>
    <row r="21970">
      <c r="A21970" s="1" t="n">
        <v>21969</v>
      </c>
      <c r="B21970">
        <f>TEXT(21969, "[$-0E0000]yyyy-mm-dd")</f>
        <v/>
      </c>
      <c r="C21970" t="inlineStr">
        <is>
          <t>1960-01-28</t>
        </is>
      </c>
    </row>
    <row r="21971">
      <c r="A21971" s="1" t="n">
        <v>21970</v>
      </c>
      <c r="B21971">
        <f>TEXT(21970, "[$-0E0000]yyyy-mm-dd")</f>
        <v/>
      </c>
      <c r="C21971" t="inlineStr">
        <is>
          <t>1960-01-29</t>
        </is>
      </c>
    </row>
    <row r="21972">
      <c r="A21972" s="1" t="n">
        <v>21971</v>
      </c>
      <c r="B21972">
        <f>TEXT(21971, "[$-0E0000]yyyy-mm-dd")</f>
        <v/>
      </c>
      <c r="C21972" t="inlineStr">
        <is>
          <t>1960-01-30</t>
        </is>
      </c>
    </row>
    <row r="21973">
      <c r="A21973" s="1" t="n">
        <v>21972</v>
      </c>
      <c r="B21973">
        <f>TEXT(21972, "[$-0E0000]yyyy-mm-dd")</f>
        <v/>
      </c>
      <c r="C21973" t="inlineStr">
        <is>
          <t>1960-02-01</t>
        </is>
      </c>
    </row>
    <row r="21974">
      <c r="A21974" s="1" t="n">
        <v>21973</v>
      </c>
      <c r="B21974">
        <f>TEXT(21973, "[$-0E0000]yyyy-mm-dd")</f>
        <v/>
      </c>
      <c r="C21974" t="inlineStr">
        <is>
          <t>1960-02-02</t>
        </is>
      </c>
    </row>
    <row r="21975">
      <c r="A21975" s="1" t="n">
        <v>21974</v>
      </c>
      <c r="B21975">
        <f>TEXT(21974, "[$-0E0000]yyyy-mm-dd")</f>
        <v/>
      </c>
      <c r="C21975" t="inlineStr">
        <is>
          <t>1960-02-03</t>
        </is>
      </c>
    </row>
    <row r="21976">
      <c r="A21976" s="1" t="n">
        <v>21975</v>
      </c>
      <c r="B21976">
        <f>TEXT(21975, "[$-0E0000]yyyy-mm-dd")</f>
        <v/>
      </c>
      <c r="C21976" t="inlineStr">
        <is>
          <t>1960-02-04</t>
        </is>
      </c>
    </row>
    <row r="21977">
      <c r="A21977" s="1" t="n">
        <v>21976</v>
      </c>
      <c r="B21977">
        <f>TEXT(21976, "[$-0E0000]yyyy-mm-dd")</f>
        <v/>
      </c>
      <c r="C21977" t="inlineStr">
        <is>
          <t>1960-02-05</t>
        </is>
      </c>
    </row>
    <row r="21978">
      <c r="A21978" s="1" t="n">
        <v>21977</v>
      </c>
      <c r="B21978">
        <f>TEXT(21977, "[$-0E0000]yyyy-mm-dd")</f>
        <v/>
      </c>
      <c r="C21978" t="inlineStr">
        <is>
          <t>1960-02-06</t>
        </is>
      </c>
    </row>
    <row r="21979">
      <c r="A21979" s="1" t="n">
        <v>21978</v>
      </c>
      <c r="B21979">
        <f>TEXT(21978, "[$-0E0000]yyyy-mm-dd")</f>
        <v/>
      </c>
      <c r="C21979" t="inlineStr">
        <is>
          <t>1960-02-07</t>
        </is>
      </c>
    </row>
    <row r="21980">
      <c r="A21980" s="1" t="n">
        <v>21979</v>
      </c>
      <c r="B21980">
        <f>TEXT(21979, "[$-0E0000]yyyy-mm-dd")</f>
        <v/>
      </c>
      <c r="C21980" t="inlineStr">
        <is>
          <t>1960-02-08</t>
        </is>
      </c>
    </row>
    <row r="21981">
      <c r="A21981" s="1" t="n">
        <v>21980</v>
      </c>
      <c r="B21981">
        <f>TEXT(21980, "[$-0E0000]yyyy-mm-dd")</f>
        <v/>
      </c>
      <c r="C21981" t="inlineStr">
        <is>
          <t>1960-02-09</t>
        </is>
      </c>
    </row>
    <row r="21982">
      <c r="A21982" s="1" t="n">
        <v>21981</v>
      </c>
      <c r="B21982">
        <f>TEXT(21981, "[$-0E0000]yyyy-mm-dd")</f>
        <v/>
      </c>
      <c r="C21982" t="inlineStr">
        <is>
          <t>1960-02-10</t>
        </is>
      </c>
    </row>
    <row r="21983">
      <c r="A21983" s="1" t="n">
        <v>21982</v>
      </c>
      <c r="B21983">
        <f>TEXT(21982, "[$-0E0000]yyyy-mm-dd")</f>
        <v/>
      </c>
      <c r="C21983" t="inlineStr">
        <is>
          <t>1960-02-11</t>
        </is>
      </c>
    </row>
    <row r="21984">
      <c r="A21984" s="1" t="n">
        <v>21983</v>
      </c>
      <c r="B21984">
        <f>TEXT(21983, "[$-0E0000]yyyy-mm-dd")</f>
        <v/>
      </c>
      <c r="C21984" t="inlineStr">
        <is>
          <t>1960-02-12</t>
        </is>
      </c>
    </row>
    <row r="21985">
      <c r="A21985" s="1" t="n">
        <v>21984</v>
      </c>
      <c r="B21985">
        <f>TEXT(21984, "[$-0E0000]yyyy-mm-dd")</f>
        <v/>
      </c>
      <c r="C21985" t="inlineStr">
        <is>
          <t>1960-02-13</t>
        </is>
      </c>
    </row>
    <row r="21986">
      <c r="A21986" s="1" t="n">
        <v>21985</v>
      </c>
      <c r="B21986">
        <f>TEXT(21985, "[$-0E0000]yyyy-mm-dd")</f>
        <v/>
      </c>
      <c r="C21986" t="inlineStr">
        <is>
          <t>1960-02-14</t>
        </is>
      </c>
    </row>
    <row r="21987">
      <c r="A21987" s="1" t="n">
        <v>21986</v>
      </c>
      <c r="B21987">
        <f>TEXT(21986, "[$-0E0000]yyyy-mm-dd")</f>
        <v/>
      </c>
      <c r="C21987" t="inlineStr">
        <is>
          <t>1960-02-15</t>
        </is>
      </c>
    </row>
    <row r="21988">
      <c r="A21988" s="1" t="n">
        <v>21987</v>
      </c>
      <c r="B21988">
        <f>TEXT(21987, "[$-0E0000]yyyy-mm-dd")</f>
        <v/>
      </c>
      <c r="C21988" t="inlineStr">
        <is>
          <t>1960-02-16</t>
        </is>
      </c>
    </row>
    <row r="21989">
      <c r="A21989" s="1" t="n">
        <v>21988</v>
      </c>
      <c r="B21989">
        <f>TEXT(21988, "[$-0E0000]yyyy-mm-dd")</f>
        <v/>
      </c>
      <c r="C21989" t="inlineStr">
        <is>
          <t>1960-02-17</t>
        </is>
      </c>
    </row>
    <row r="21990">
      <c r="A21990" s="1" t="n">
        <v>21989</v>
      </c>
      <c r="B21990">
        <f>TEXT(21989, "[$-0E0000]yyyy-mm-dd")</f>
        <v/>
      </c>
      <c r="C21990" t="inlineStr">
        <is>
          <t>1960-02-18</t>
        </is>
      </c>
    </row>
    <row r="21991">
      <c r="A21991" s="1" t="n">
        <v>21990</v>
      </c>
      <c r="B21991">
        <f>TEXT(21990, "[$-0E0000]yyyy-mm-dd")</f>
        <v/>
      </c>
      <c r="C21991" t="inlineStr">
        <is>
          <t>1960-02-19</t>
        </is>
      </c>
    </row>
    <row r="21992">
      <c r="A21992" s="1" t="n">
        <v>21991</v>
      </c>
      <c r="B21992">
        <f>TEXT(21991, "[$-0E0000]yyyy-mm-dd")</f>
        <v/>
      </c>
      <c r="C21992" t="inlineStr">
        <is>
          <t>1960-02-20</t>
        </is>
      </c>
    </row>
    <row r="21993">
      <c r="A21993" s="1" t="n">
        <v>21992</v>
      </c>
      <c r="B21993">
        <f>TEXT(21992, "[$-0E0000]yyyy-mm-dd")</f>
        <v/>
      </c>
      <c r="C21993" t="inlineStr">
        <is>
          <t>1960-02-21</t>
        </is>
      </c>
    </row>
    <row r="21994">
      <c r="A21994" s="1" t="n">
        <v>21993</v>
      </c>
      <c r="B21994">
        <f>TEXT(21993, "[$-0E0000]yyyy-mm-dd")</f>
        <v/>
      </c>
      <c r="C21994" t="inlineStr">
        <is>
          <t>1960-02-22</t>
        </is>
      </c>
    </row>
    <row r="21995">
      <c r="A21995" s="1" t="n">
        <v>21994</v>
      </c>
      <c r="B21995">
        <f>TEXT(21994, "[$-0E0000]yyyy-mm-dd")</f>
        <v/>
      </c>
      <c r="C21995" t="inlineStr">
        <is>
          <t>1960-02-23</t>
        </is>
      </c>
    </row>
    <row r="21996">
      <c r="A21996" s="1" t="n">
        <v>21995</v>
      </c>
      <c r="B21996">
        <f>TEXT(21995, "[$-0E0000]yyyy-mm-dd")</f>
        <v/>
      </c>
      <c r="C21996" t="inlineStr">
        <is>
          <t>1960-02-24</t>
        </is>
      </c>
    </row>
    <row r="21997">
      <c r="A21997" s="1" t="n">
        <v>21996</v>
      </c>
      <c r="B21997">
        <f>TEXT(21996, "[$-0E0000]yyyy-mm-dd")</f>
        <v/>
      </c>
      <c r="C21997" t="inlineStr">
        <is>
          <t>1960-02-25</t>
        </is>
      </c>
    </row>
    <row r="21998">
      <c r="A21998" s="1" t="n">
        <v>21997</v>
      </c>
      <c r="B21998">
        <f>TEXT(21997, "[$-0E0000]yyyy-mm-dd")</f>
        <v/>
      </c>
      <c r="C21998" t="inlineStr">
        <is>
          <t>1960-02-26</t>
        </is>
      </c>
    </row>
    <row r="21999">
      <c r="A21999" s="1" t="n">
        <v>21998</v>
      </c>
      <c r="B21999">
        <f>TEXT(21998, "[$-0E0000]yyyy-mm-dd")</f>
        <v/>
      </c>
      <c r="C21999" t="inlineStr">
        <is>
          <t>1960-02-27</t>
        </is>
      </c>
    </row>
    <row r="22000">
      <c r="A22000" s="1" t="n">
        <v>21999</v>
      </c>
      <c r="B22000">
        <f>TEXT(21999, "[$-0E0000]yyyy-mm-dd")</f>
        <v/>
      </c>
      <c r="C22000" t="inlineStr">
        <is>
          <t>1960-02-28</t>
        </is>
      </c>
    </row>
    <row r="22001">
      <c r="A22001" s="1" t="n">
        <v>22000</v>
      </c>
      <c r="B22001">
        <f>TEXT(22000, "[$-0E0000]yyyy-mm-dd")</f>
        <v/>
      </c>
      <c r="C22001" t="inlineStr">
        <is>
          <t>1960-02-29</t>
        </is>
      </c>
    </row>
    <row r="22002">
      <c r="A22002" s="1" t="n">
        <v>22001</v>
      </c>
      <c r="B22002">
        <f>TEXT(22001, "[$-0E0000]yyyy-mm-dd")</f>
        <v/>
      </c>
      <c r="C22002" t="inlineStr">
        <is>
          <t>1960-03-01</t>
        </is>
      </c>
    </row>
    <row r="22003">
      <c r="A22003" s="1" t="n">
        <v>22002</v>
      </c>
      <c r="B22003">
        <f>TEXT(22002, "[$-0E0000]yyyy-mm-dd")</f>
        <v/>
      </c>
      <c r="C22003" t="inlineStr">
        <is>
          <t>1960-03-02</t>
        </is>
      </c>
    </row>
    <row r="22004">
      <c r="A22004" s="1" t="n">
        <v>22003</v>
      </c>
      <c r="B22004">
        <f>TEXT(22003, "[$-0E0000]yyyy-mm-dd")</f>
        <v/>
      </c>
      <c r="C22004" t="inlineStr">
        <is>
          <t>1960-03-03</t>
        </is>
      </c>
    </row>
    <row r="22005">
      <c r="A22005" s="1" t="n">
        <v>22004</v>
      </c>
      <c r="B22005">
        <f>TEXT(22004, "[$-0E0000]yyyy-mm-dd")</f>
        <v/>
      </c>
      <c r="C22005" t="inlineStr">
        <is>
          <t>1960-03-04</t>
        </is>
      </c>
    </row>
    <row r="22006">
      <c r="A22006" s="1" t="n">
        <v>22005</v>
      </c>
      <c r="B22006">
        <f>TEXT(22005, "[$-0E0000]yyyy-mm-dd")</f>
        <v/>
      </c>
      <c r="C22006" t="inlineStr">
        <is>
          <t>1960-03-05</t>
        </is>
      </c>
    </row>
    <row r="22007">
      <c r="A22007" s="1" t="n">
        <v>22006</v>
      </c>
      <c r="B22007">
        <f>TEXT(22006, "[$-0E0000]yyyy-mm-dd")</f>
        <v/>
      </c>
      <c r="C22007" t="inlineStr">
        <is>
          <t>1960-03-06</t>
        </is>
      </c>
    </row>
    <row r="22008">
      <c r="A22008" s="1" t="n">
        <v>22007</v>
      </c>
      <c r="B22008">
        <f>TEXT(22007, "[$-0E0000]yyyy-mm-dd")</f>
        <v/>
      </c>
      <c r="C22008" t="inlineStr">
        <is>
          <t>1960-03-07</t>
        </is>
      </c>
    </row>
    <row r="22009">
      <c r="A22009" s="1" t="n">
        <v>22008</v>
      </c>
      <c r="B22009">
        <f>TEXT(22008, "[$-0E0000]yyyy-mm-dd")</f>
        <v/>
      </c>
      <c r="C22009" t="inlineStr">
        <is>
          <t>1960-03-08</t>
        </is>
      </c>
    </row>
    <row r="22010">
      <c r="A22010" s="1" t="n">
        <v>22009</v>
      </c>
      <c r="B22010">
        <f>TEXT(22009, "[$-0E0000]yyyy-mm-dd")</f>
        <v/>
      </c>
      <c r="C22010" t="inlineStr">
        <is>
          <t>1960-03-09</t>
        </is>
      </c>
    </row>
    <row r="22011">
      <c r="A22011" s="1" t="n">
        <v>22010</v>
      </c>
      <c r="B22011">
        <f>TEXT(22010, "[$-0E0000]yyyy-mm-dd")</f>
        <v/>
      </c>
      <c r="C22011" t="inlineStr">
        <is>
          <t>1960-03-10</t>
        </is>
      </c>
    </row>
    <row r="22012">
      <c r="A22012" s="1" t="n">
        <v>22011</v>
      </c>
      <c r="B22012">
        <f>TEXT(22011, "[$-0E0000]yyyy-mm-dd")</f>
        <v/>
      </c>
      <c r="C22012" t="inlineStr">
        <is>
          <t>1960-03-11</t>
        </is>
      </c>
    </row>
    <row r="22013">
      <c r="A22013" s="1" t="n">
        <v>22012</v>
      </c>
      <c r="B22013">
        <f>TEXT(22012, "[$-0E0000]yyyy-mm-dd")</f>
        <v/>
      </c>
      <c r="C22013" t="inlineStr">
        <is>
          <t>1960-03-12</t>
        </is>
      </c>
    </row>
    <row r="22014">
      <c r="A22014" s="1" t="n">
        <v>22013</v>
      </c>
      <c r="B22014">
        <f>TEXT(22013, "[$-0E0000]yyyy-mm-dd")</f>
        <v/>
      </c>
      <c r="C22014" t="inlineStr">
        <is>
          <t>1960-03-13</t>
        </is>
      </c>
    </row>
    <row r="22015">
      <c r="A22015" s="1" t="n">
        <v>22014</v>
      </c>
      <c r="B22015">
        <f>TEXT(22014, "[$-0E0000]yyyy-mm-dd")</f>
        <v/>
      </c>
      <c r="C22015" t="inlineStr">
        <is>
          <t>1960-03-14</t>
        </is>
      </c>
    </row>
    <row r="22016">
      <c r="A22016" s="1" t="n">
        <v>22015</v>
      </c>
      <c r="B22016">
        <f>TEXT(22015, "[$-0E0000]yyyy-mm-dd")</f>
        <v/>
      </c>
      <c r="C22016" t="inlineStr">
        <is>
          <t>1960-03-15</t>
        </is>
      </c>
    </row>
    <row r="22017">
      <c r="A22017" s="1" t="n">
        <v>22016</v>
      </c>
      <c r="B22017">
        <f>TEXT(22016, "[$-0E0000]yyyy-mm-dd")</f>
        <v/>
      </c>
      <c r="C22017" t="inlineStr">
        <is>
          <t>1960-03-16</t>
        </is>
      </c>
    </row>
    <row r="22018">
      <c r="A22018" s="1" t="n">
        <v>22017</v>
      </c>
      <c r="B22018">
        <f>TEXT(22017, "[$-0E0000]yyyy-mm-dd")</f>
        <v/>
      </c>
      <c r="C22018" t="inlineStr">
        <is>
          <t>1960-03-17</t>
        </is>
      </c>
    </row>
    <row r="22019">
      <c r="A22019" s="1" t="n">
        <v>22018</v>
      </c>
      <c r="B22019">
        <f>TEXT(22018, "[$-0E0000]yyyy-mm-dd")</f>
        <v/>
      </c>
      <c r="C22019" t="inlineStr">
        <is>
          <t>1960-03-18</t>
        </is>
      </c>
    </row>
    <row r="22020">
      <c r="A22020" s="1" t="n">
        <v>22019</v>
      </c>
      <c r="B22020">
        <f>TEXT(22019, "[$-0E0000]yyyy-mm-dd")</f>
        <v/>
      </c>
      <c r="C22020" t="inlineStr">
        <is>
          <t>1960-03-19</t>
        </is>
      </c>
    </row>
    <row r="22021">
      <c r="A22021" s="1" t="n">
        <v>22020</v>
      </c>
      <c r="B22021">
        <f>TEXT(22020, "[$-0E0000]yyyy-mm-dd")</f>
        <v/>
      </c>
      <c r="C22021" t="inlineStr">
        <is>
          <t>1960-03-20</t>
        </is>
      </c>
    </row>
    <row r="22022">
      <c r="A22022" s="1" t="n">
        <v>22021</v>
      </c>
      <c r="B22022">
        <f>TEXT(22021, "[$-0E0000]yyyy-mm-dd")</f>
        <v/>
      </c>
      <c r="C22022" t="inlineStr">
        <is>
          <t>1960-03-21</t>
        </is>
      </c>
    </row>
    <row r="22023">
      <c r="A22023" s="1" t="n">
        <v>22022</v>
      </c>
      <c r="B22023">
        <f>TEXT(22022, "[$-0E0000]yyyy-mm-dd")</f>
        <v/>
      </c>
      <c r="C22023" t="inlineStr">
        <is>
          <t>1960-03-22</t>
        </is>
      </c>
    </row>
    <row r="22024">
      <c r="A22024" s="1" t="n">
        <v>22023</v>
      </c>
      <c r="B22024">
        <f>TEXT(22023, "[$-0E0000]yyyy-mm-dd")</f>
        <v/>
      </c>
      <c r="C22024" t="inlineStr">
        <is>
          <t>1960-03-23</t>
        </is>
      </c>
    </row>
    <row r="22025">
      <c r="A22025" s="1" t="n">
        <v>22024</v>
      </c>
      <c r="B22025">
        <f>TEXT(22024, "[$-0E0000]yyyy-mm-dd")</f>
        <v/>
      </c>
      <c r="C22025" t="inlineStr">
        <is>
          <t>1960-03-24</t>
        </is>
      </c>
    </row>
    <row r="22026">
      <c r="A22026" s="1" t="n">
        <v>22025</v>
      </c>
      <c r="B22026">
        <f>TEXT(22025, "[$-0E0000]yyyy-mm-dd")</f>
        <v/>
      </c>
      <c r="C22026" t="inlineStr">
        <is>
          <t>1960-03-25</t>
        </is>
      </c>
    </row>
    <row r="22027">
      <c r="A22027" s="1" t="n">
        <v>22026</v>
      </c>
      <c r="B22027">
        <f>TEXT(22026, "[$-0E0000]yyyy-mm-dd")</f>
        <v/>
      </c>
      <c r="C22027" t="inlineStr">
        <is>
          <t>1960-03-26</t>
        </is>
      </c>
    </row>
    <row r="22028">
      <c r="A22028" s="1" t="n">
        <v>22027</v>
      </c>
      <c r="B22028">
        <f>TEXT(22027, "[$-0E0000]yyyy-mm-dd")</f>
        <v/>
      </c>
      <c r="C22028" t="inlineStr">
        <is>
          <t>1960-03-27</t>
        </is>
      </c>
    </row>
    <row r="22029">
      <c r="A22029" s="1" t="n">
        <v>22028</v>
      </c>
      <c r="B22029">
        <f>TEXT(22028, "[$-0E0000]yyyy-mm-dd")</f>
        <v/>
      </c>
      <c r="C22029" t="inlineStr">
        <is>
          <t>1960-03-28</t>
        </is>
      </c>
    </row>
    <row r="22030">
      <c r="A22030" s="1" t="n">
        <v>22029</v>
      </c>
      <c r="B22030">
        <f>TEXT(22029, "[$-0E0000]yyyy-mm-dd")</f>
        <v/>
      </c>
      <c r="C22030" t="inlineStr">
        <is>
          <t>1960-03-29</t>
        </is>
      </c>
    </row>
    <row r="22031">
      <c r="A22031" s="1" t="n">
        <v>22030</v>
      </c>
      <c r="B22031">
        <f>TEXT(22030, "[$-0E0000]yyyy-mm-dd")</f>
        <v/>
      </c>
      <c r="C22031" t="inlineStr">
        <is>
          <t>1960-03-30</t>
        </is>
      </c>
    </row>
    <row r="22032">
      <c r="A22032" s="1" t="n">
        <v>22031</v>
      </c>
      <c r="B22032">
        <f>TEXT(22031, "[$-0E0000]yyyy-mm-dd")</f>
        <v/>
      </c>
      <c r="C22032" t="inlineStr">
        <is>
          <t>1960-04-01</t>
        </is>
      </c>
    </row>
    <row r="22033">
      <c r="A22033" s="1" t="n">
        <v>22032</v>
      </c>
      <c r="B22033">
        <f>TEXT(22032, "[$-0E0000]yyyy-mm-dd")</f>
        <v/>
      </c>
      <c r="C22033" t="inlineStr">
        <is>
          <t>1960-04-02</t>
        </is>
      </c>
    </row>
    <row r="22034">
      <c r="A22034" s="1" t="n">
        <v>22033</v>
      </c>
      <c r="B22034">
        <f>TEXT(22033, "[$-0E0000]yyyy-mm-dd")</f>
        <v/>
      </c>
      <c r="C22034" t="inlineStr">
        <is>
          <t>1960-04-03</t>
        </is>
      </c>
    </row>
    <row r="22035">
      <c r="A22035" s="1" t="n">
        <v>22034</v>
      </c>
      <c r="B22035">
        <f>TEXT(22034, "[$-0E0000]yyyy-mm-dd")</f>
        <v/>
      </c>
      <c r="C22035" t="inlineStr">
        <is>
          <t>1960-04-04</t>
        </is>
      </c>
    </row>
    <row r="22036">
      <c r="A22036" s="1" t="n">
        <v>22035</v>
      </c>
      <c r="B22036">
        <f>TEXT(22035, "[$-0E0000]yyyy-mm-dd")</f>
        <v/>
      </c>
      <c r="C22036" t="inlineStr">
        <is>
          <t>1960-04-05</t>
        </is>
      </c>
    </row>
    <row r="22037">
      <c r="A22037" s="1" t="n">
        <v>22036</v>
      </c>
      <c r="B22037">
        <f>TEXT(22036, "[$-0E0000]yyyy-mm-dd")</f>
        <v/>
      </c>
      <c r="C22037" t="inlineStr">
        <is>
          <t>1960-04-06</t>
        </is>
      </c>
    </row>
    <row r="22038">
      <c r="A22038" s="1" t="n">
        <v>22037</v>
      </c>
      <c r="B22038">
        <f>TEXT(22037, "[$-0E0000]yyyy-mm-dd")</f>
        <v/>
      </c>
      <c r="C22038" t="inlineStr">
        <is>
          <t>1960-04-07</t>
        </is>
      </c>
    </row>
    <row r="22039">
      <c r="A22039" s="1" t="n">
        <v>22038</v>
      </c>
      <c r="B22039">
        <f>TEXT(22038, "[$-0E0000]yyyy-mm-dd")</f>
        <v/>
      </c>
      <c r="C22039" t="inlineStr">
        <is>
          <t>1960-04-08</t>
        </is>
      </c>
    </row>
    <row r="22040">
      <c r="A22040" s="1" t="n">
        <v>22039</v>
      </c>
      <c r="B22040">
        <f>TEXT(22039, "[$-0E0000]yyyy-mm-dd")</f>
        <v/>
      </c>
      <c r="C22040" t="inlineStr">
        <is>
          <t>1960-04-09</t>
        </is>
      </c>
    </row>
    <row r="22041">
      <c r="A22041" s="1" t="n">
        <v>22040</v>
      </c>
      <c r="B22041">
        <f>TEXT(22040, "[$-0E0000]yyyy-mm-dd")</f>
        <v/>
      </c>
      <c r="C22041" t="inlineStr">
        <is>
          <t>1960-04-10</t>
        </is>
      </c>
    </row>
    <row r="22042">
      <c r="A22042" s="1" t="n">
        <v>22041</v>
      </c>
      <c r="B22042">
        <f>TEXT(22041, "[$-0E0000]yyyy-mm-dd")</f>
        <v/>
      </c>
      <c r="C22042" t="inlineStr">
        <is>
          <t>1960-04-11</t>
        </is>
      </c>
    </row>
    <row r="22043">
      <c r="A22043" s="1" t="n">
        <v>22042</v>
      </c>
      <c r="B22043">
        <f>TEXT(22042, "[$-0E0000]yyyy-mm-dd")</f>
        <v/>
      </c>
      <c r="C22043" t="inlineStr">
        <is>
          <t>1960-04-12</t>
        </is>
      </c>
    </row>
    <row r="22044">
      <c r="A22044" s="1" t="n">
        <v>22043</v>
      </c>
      <c r="B22044">
        <f>TEXT(22043, "[$-0E0000]yyyy-mm-dd")</f>
        <v/>
      </c>
      <c r="C22044" t="inlineStr">
        <is>
          <t>1960-04-13</t>
        </is>
      </c>
    </row>
    <row r="22045">
      <c r="A22045" s="1" t="n">
        <v>22044</v>
      </c>
      <c r="B22045">
        <f>TEXT(22044, "[$-0E0000]yyyy-mm-dd")</f>
        <v/>
      </c>
      <c r="C22045" t="inlineStr">
        <is>
          <t>1960-04-14</t>
        </is>
      </c>
    </row>
    <row r="22046">
      <c r="A22046" s="1" t="n">
        <v>22045</v>
      </c>
      <c r="B22046">
        <f>TEXT(22045, "[$-0E0000]yyyy-mm-dd")</f>
        <v/>
      </c>
      <c r="C22046" t="inlineStr">
        <is>
          <t>1960-04-15</t>
        </is>
      </c>
    </row>
    <row r="22047">
      <c r="A22047" s="1" t="n">
        <v>22046</v>
      </c>
      <c r="B22047">
        <f>TEXT(22046, "[$-0E0000]yyyy-mm-dd")</f>
        <v/>
      </c>
      <c r="C22047" t="inlineStr">
        <is>
          <t>1960-04-16</t>
        </is>
      </c>
    </row>
    <row r="22048">
      <c r="A22048" s="1" t="n">
        <v>22047</v>
      </c>
      <c r="B22048">
        <f>TEXT(22047, "[$-0E0000]yyyy-mm-dd")</f>
        <v/>
      </c>
      <c r="C22048" t="inlineStr">
        <is>
          <t>1960-04-17</t>
        </is>
      </c>
    </row>
    <row r="22049">
      <c r="A22049" s="1" t="n">
        <v>22048</v>
      </c>
      <c r="B22049">
        <f>TEXT(22048, "[$-0E0000]yyyy-mm-dd")</f>
        <v/>
      </c>
      <c r="C22049" t="inlineStr">
        <is>
          <t>1960-04-18</t>
        </is>
      </c>
    </row>
    <row r="22050">
      <c r="A22050" s="1" t="n">
        <v>22049</v>
      </c>
      <c r="B22050">
        <f>TEXT(22049, "[$-0E0000]yyyy-mm-dd")</f>
        <v/>
      </c>
      <c r="C22050" t="inlineStr">
        <is>
          <t>1960-04-19</t>
        </is>
      </c>
    </row>
    <row r="22051">
      <c r="A22051" s="1" t="n">
        <v>22050</v>
      </c>
      <c r="B22051">
        <f>TEXT(22050, "[$-0E0000]yyyy-mm-dd")</f>
        <v/>
      </c>
      <c r="C22051" t="inlineStr">
        <is>
          <t>1960-04-20</t>
        </is>
      </c>
    </row>
    <row r="22052">
      <c r="A22052" s="1" t="n">
        <v>22051</v>
      </c>
      <c r="B22052">
        <f>TEXT(22051, "[$-0E0000]yyyy-mm-dd")</f>
        <v/>
      </c>
      <c r="C22052" t="inlineStr">
        <is>
          <t>1960-04-21</t>
        </is>
      </c>
    </row>
    <row r="22053">
      <c r="A22053" s="1" t="n">
        <v>22052</v>
      </c>
      <c r="B22053">
        <f>TEXT(22052, "[$-0E0000]yyyy-mm-dd")</f>
        <v/>
      </c>
      <c r="C22053" t="inlineStr">
        <is>
          <t>1960-04-22</t>
        </is>
      </c>
    </row>
    <row r="22054">
      <c r="A22054" s="1" t="n">
        <v>22053</v>
      </c>
      <c r="B22054">
        <f>TEXT(22053, "[$-0E0000]yyyy-mm-dd")</f>
        <v/>
      </c>
      <c r="C22054" t="inlineStr">
        <is>
          <t>1960-04-23</t>
        </is>
      </c>
    </row>
    <row r="22055">
      <c r="A22055" s="1" t="n">
        <v>22054</v>
      </c>
      <c r="B22055">
        <f>TEXT(22054, "[$-0E0000]yyyy-mm-dd")</f>
        <v/>
      </c>
      <c r="C22055" t="inlineStr">
        <is>
          <t>1960-04-24</t>
        </is>
      </c>
    </row>
    <row r="22056">
      <c r="A22056" s="1" t="n">
        <v>22055</v>
      </c>
      <c r="B22056">
        <f>TEXT(22055, "[$-0E0000]yyyy-mm-dd")</f>
        <v/>
      </c>
      <c r="C22056" t="inlineStr">
        <is>
          <t>1960-04-25</t>
        </is>
      </c>
    </row>
    <row r="22057">
      <c r="A22057" s="1" t="n">
        <v>22056</v>
      </c>
      <c r="B22057">
        <f>TEXT(22056, "[$-0E0000]yyyy-mm-dd")</f>
        <v/>
      </c>
      <c r="C22057" t="inlineStr">
        <is>
          <t>1960-04-26</t>
        </is>
      </c>
    </row>
    <row r="22058">
      <c r="A22058" s="1" t="n">
        <v>22057</v>
      </c>
      <c r="B22058">
        <f>TEXT(22057, "[$-0E0000]yyyy-mm-dd")</f>
        <v/>
      </c>
      <c r="C22058" t="inlineStr">
        <is>
          <t>1960-04-27</t>
        </is>
      </c>
    </row>
    <row r="22059">
      <c r="A22059" s="1" t="n">
        <v>22058</v>
      </c>
      <c r="B22059">
        <f>TEXT(22058, "[$-0E0000]yyyy-mm-dd")</f>
        <v/>
      </c>
      <c r="C22059" t="inlineStr">
        <is>
          <t>1960-04-28</t>
        </is>
      </c>
    </row>
    <row r="22060">
      <c r="A22060" s="1" t="n">
        <v>22059</v>
      </c>
      <c r="B22060">
        <f>TEXT(22059, "[$-0E0000]yyyy-mm-dd")</f>
        <v/>
      </c>
      <c r="C22060" t="inlineStr">
        <is>
          <t>1960-04-29</t>
        </is>
      </c>
    </row>
    <row r="22061">
      <c r="A22061" s="1" t="n">
        <v>22060</v>
      </c>
      <c r="B22061">
        <f>TEXT(22060, "[$-0E0000]yyyy-mm-dd")</f>
        <v/>
      </c>
      <c r="C22061" t="inlineStr">
        <is>
          <t>1960-05-01</t>
        </is>
      </c>
    </row>
    <row r="22062">
      <c r="A22062" s="1" t="n">
        <v>22061</v>
      </c>
      <c r="B22062">
        <f>TEXT(22061, "[$-0E0000]yyyy-mm-dd")</f>
        <v/>
      </c>
      <c r="C22062" t="inlineStr">
        <is>
          <t>1960-05-02</t>
        </is>
      </c>
    </row>
    <row r="22063">
      <c r="A22063" s="1" t="n">
        <v>22062</v>
      </c>
      <c r="B22063">
        <f>TEXT(22062, "[$-0E0000]yyyy-mm-dd")</f>
        <v/>
      </c>
      <c r="C22063" t="inlineStr">
        <is>
          <t>1960-05-03</t>
        </is>
      </c>
    </row>
    <row r="22064">
      <c r="A22064" s="1" t="n">
        <v>22063</v>
      </c>
      <c r="B22064">
        <f>TEXT(22063, "[$-0E0000]yyyy-mm-dd")</f>
        <v/>
      </c>
      <c r="C22064" t="inlineStr">
        <is>
          <t>1960-05-04</t>
        </is>
      </c>
    </row>
    <row r="22065">
      <c r="A22065" s="1" t="n">
        <v>22064</v>
      </c>
      <c r="B22065">
        <f>TEXT(22064, "[$-0E0000]yyyy-mm-dd")</f>
        <v/>
      </c>
      <c r="C22065" t="inlineStr">
        <is>
          <t>1960-05-05</t>
        </is>
      </c>
    </row>
    <row r="22066">
      <c r="A22066" s="1" t="n">
        <v>22065</v>
      </c>
      <c r="B22066">
        <f>TEXT(22065, "[$-0E0000]yyyy-mm-dd")</f>
        <v/>
      </c>
      <c r="C22066" t="inlineStr">
        <is>
          <t>1960-05-06</t>
        </is>
      </c>
    </row>
    <row r="22067">
      <c r="A22067" s="1" t="n">
        <v>22066</v>
      </c>
      <c r="B22067">
        <f>TEXT(22066, "[$-0E0000]yyyy-mm-dd")</f>
        <v/>
      </c>
      <c r="C22067" t="inlineStr">
        <is>
          <t>1960-05-07</t>
        </is>
      </c>
    </row>
    <row r="22068">
      <c r="A22068" s="1" t="n">
        <v>22067</v>
      </c>
      <c r="B22068">
        <f>TEXT(22067, "[$-0E0000]yyyy-mm-dd")</f>
        <v/>
      </c>
      <c r="C22068" t="inlineStr">
        <is>
          <t>1960-05-08</t>
        </is>
      </c>
    </row>
    <row r="22069">
      <c r="A22069" s="1" t="n">
        <v>22068</v>
      </c>
      <c r="B22069">
        <f>TEXT(22068, "[$-0E0000]yyyy-mm-dd")</f>
        <v/>
      </c>
      <c r="C22069" t="inlineStr">
        <is>
          <t>1960-05-09</t>
        </is>
      </c>
    </row>
    <row r="22070">
      <c r="A22070" s="1" t="n">
        <v>22069</v>
      </c>
      <c r="B22070">
        <f>TEXT(22069, "[$-0E0000]yyyy-mm-dd")</f>
        <v/>
      </c>
      <c r="C22070" t="inlineStr">
        <is>
          <t>1960-05-10</t>
        </is>
      </c>
    </row>
    <row r="22071">
      <c r="A22071" s="1" t="n">
        <v>22070</v>
      </c>
      <c r="B22071">
        <f>TEXT(22070, "[$-0E0000]yyyy-mm-dd")</f>
        <v/>
      </c>
      <c r="C22071" t="inlineStr">
        <is>
          <t>1960-05-11</t>
        </is>
      </c>
    </row>
    <row r="22072">
      <c r="A22072" s="1" t="n">
        <v>22071</v>
      </c>
      <c r="B22072">
        <f>TEXT(22071, "[$-0E0000]yyyy-mm-dd")</f>
        <v/>
      </c>
      <c r="C22072" t="inlineStr">
        <is>
          <t>1960-05-12</t>
        </is>
      </c>
    </row>
    <row r="22073">
      <c r="A22073" s="1" t="n">
        <v>22072</v>
      </c>
      <c r="B22073">
        <f>TEXT(22072, "[$-0E0000]yyyy-mm-dd")</f>
        <v/>
      </c>
      <c r="C22073" t="inlineStr">
        <is>
          <t>1960-05-13</t>
        </is>
      </c>
    </row>
    <row r="22074">
      <c r="A22074" s="1" t="n">
        <v>22073</v>
      </c>
      <c r="B22074">
        <f>TEXT(22073, "[$-0E0000]yyyy-mm-dd")</f>
        <v/>
      </c>
      <c r="C22074" t="inlineStr">
        <is>
          <t>1960-05-14</t>
        </is>
      </c>
    </row>
    <row r="22075">
      <c r="A22075" s="1" t="n">
        <v>22074</v>
      </c>
      <c r="B22075">
        <f>TEXT(22074, "[$-0E0000]yyyy-mm-dd")</f>
        <v/>
      </c>
      <c r="C22075" t="inlineStr">
        <is>
          <t>1960-05-15</t>
        </is>
      </c>
    </row>
    <row r="22076">
      <c r="A22076" s="1" t="n">
        <v>22075</v>
      </c>
      <c r="B22076">
        <f>TEXT(22075, "[$-0E0000]yyyy-mm-dd")</f>
        <v/>
      </c>
      <c r="C22076" t="inlineStr">
        <is>
          <t>1960-05-16</t>
        </is>
      </c>
    </row>
    <row r="22077">
      <c r="A22077" s="1" t="n">
        <v>22076</v>
      </c>
      <c r="B22077">
        <f>TEXT(22076, "[$-0E0000]yyyy-mm-dd")</f>
        <v/>
      </c>
      <c r="C22077" t="inlineStr">
        <is>
          <t>1960-05-17</t>
        </is>
      </c>
    </row>
    <row r="22078">
      <c r="A22078" s="1" t="n">
        <v>22077</v>
      </c>
      <c r="B22078">
        <f>TEXT(22077, "[$-0E0000]yyyy-mm-dd")</f>
        <v/>
      </c>
      <c r="C22078" t="inlineStr">
        <is>
          <t>1960-05-18</t>
        </is>
      </c>
    </row>
    <row r="22079">
      <c r="A22079" s="1" t="n">
        <v>22078</v>
      </c>
      <c r="B22079">
        <f>TEXT(22078, "[$-0E0000]yyyy-mm-dd")</f>
        <v/>
      </c>
      <c r="C22079" t="inlineStr">
        <is>
          <t>1960-05-19</t>
        </is>
      </c>
    </row>
    <row r="22080">
      <c r="A22080" s="1" t="n">
        <v>22079</v>
      </c>
      <c r="B22080">
        <f>TEXT(22079, "[$-0E0000]yyyy-mm-dd")</f>
        <v/>
      </c>
      <c r="C22080" t="inlineStr">
        <is>
          <t>1960-05-20</t>
        </is>
      </c>
    </row>
    <row r="22081">
      <c r="A22081" s="1" t="n">
        <v>22080</v>
      </c>
      <c r="B22081">
        <f>TEXT(22080, "[$-0E0000]yyyy-mm-dd")</f>
        <v/>
      </c>
      <c r="C22081" t="inlineStr">
        <is>
          <t>1960-05-21</t>
        </is>
      </c>
    </row>
    <row r="22082">
      <c r="A22082" s="1" t="n">
        <v>22081</v>
      </c>
      <c r="B22082">
        <f>TEXT(22081, "[$-0E0000]yyyy-mm-dd")</f>
        <v/>
      </c>
      <c r="C22082" t="inlineStr">
        <is>
          <t>1960-05-22</t>
        </is>
      </c>
    </row>
    <row r="22083">
      <c r="A22083" s="1" t="n">
        <v>22082</v>
      </c>
      <c r="B22083">
        <f>TEXT(22082, "[$-0E0000]yyyy-mm-dd")</f>
        <v/>
      </c>
      <c r="C22083" t="inlineStr">
        <is>
          <t>1960-05-23</t>
        </is>
      </c>
    </row>
    <row r="22084">
      <c r="A22084" s="1" t="n">
        <v>22083</v>
      </c>
      <c r="B22084">
        <f>TEXT(22083, "[$-0E0000]yyyy-mm-dd")</f>
        <v/>
      </c>
      <c r="C22084" t="inlineStr">
        <is>
          <t>1960-05-24</t>
        </is>
      </c>
    </row>
    <row r="22085">
      <c r="A22085" s="1" t="n">
        <v>22084</v>
      </c>
      <c r="B22085">
        <f>TEXT(22084, "[$-0E0000]yyyy-mm-dd")</f>
        <v/>
      </c>
      <c r="C22085" t="inlineStr">
        <is>
          <t>1960-05-25</t>
        </is>
      </c>
    </row>
    <row r="22086">
      <c r="A22086" s="1" t="n">
        <v>22085</v>
      </c>
      <c r="B22086">
        <f>TEXT(22085, "[$-0E0000]yyyy-mm-dd")</f>
        <v/>
      </c>
      <c r="C22086" t="inlineStr">
        <is>
          <t>1960-05-26</t>
        </is>
      </c>
    </row>
    <row r="22087">
      <c r="A22087" s="1" t="n">
        <v>22086</v>
      </c>
      <c r="B22087">
        <f>TEXT(22086, "[$-0E0000]yyyy-mm-dd")</f>
        <v/>
      </c>
      <c r="C22087" t="inlineStr">
        <is>
          <t>1960-05-27</t>
        </is>
      </c>
    </row>
    <row r="22088">
      <c r="A22088" s="1" t="n">
        <v>22087</v>
      </c>
      <c r="B22088">
        <f>TEXT(22087, "[$-0E0000]yyyy-mm-dd")</f>
        <v/>
      </c>
      <c r="C22088" t="inlineStr">
        <is>
          <t>1960-05-28</t>
        </is>
      </c>
    </row>
    <row r="22089">
      <c r="A22089" s="1" t="n">
        <v>22088</v>
      </c>
      <c r="B22089">
        <f>TEXT(22088, "[$-0E0000]yyyy-mm-dd")</f>
        <v/>
      </c>
      <c r="C22089" t="inlineStr">
        <is>
          <t>1960-05-29</t>
        </is>
      </c>
    </row>
    <row r="22090">
      <c r="A22090" s="1" t="n">
        <v>22089</v>
      </c>
      <c r="B22090">
        <f>TEXT(22089, "[$-0E0000]yyyy-mm-dd")</f>
        <v/>
      </c>
      <c r="C22090" t="inlineStr">
        <is>
          <t>1960-05-30</t>
        </is>
      </c>
    </row>
    <row r="22091">
      <c r="A22091" s="1" t="n">
        <v>22090</v>
      </c>
      <c r="B22091">
        <f>TEXT(22090, "[$-0E0000]yyyy-mm-dd")</f>
        <v/>
      </c>
      <c r="C22091" t="inlineStr">
        <is>
          <t>1960-06-01</t>
        </is>
      </c>
    </row>
    <row r="22092">
      <c r="A22092" s="1" t="n">
        <v>22091</v>
      </c>
      <c r="B22092">
        <f>TEXT(22091, "[$-0E0000]yyyy-mm-dd")</f>
        <v/>
      </c>
      <c r="C22092" t="inlineStr">
        <is>
          <t>1960-06-02</t>
        </is>
      </c>
    </row>
    <row r="22093">
      <c r="A22093" s="1" t="n">
        <v>22092</v>
      </c>
      <c r="B22093">
        <f>TEXT(22092, "[$-0E0000]yyyy-mm-dd")</f>
        <v/>
      </c>
      <c r="C22093" t="inlineStr">
        <is>
          <t>1960-06-03</t>
        </is>
      </c>
    </row>
    <row r="22094">
      <c r="A22094" s="1" t="n">
        <v>22093</v>
      </c>
      <c r="B22094">
        <f>TEXT(22093, "[$-0E0000]yyyy-mm-dd")</f>
        <v/>
      </c>
      <c r="C22094" t="inlineStr">
        <is>
          <t>1960-06-04</t>
        </is>
      </c>
    </row>
    <row r="22095">
      <c r="A22095" s="1" t="n">
        <v>22094</v>
      </c>
      <c r="B22095">
        <f>TEXT(22094, "[$-0E0000]yyyy-mm-dd")</f>
        <v/>
      </c>
      <c r="C22095" t="inlineStr">
        <is>
          <t>1960-06-05</t>
        </is>
      </c>
    </row>
    <row r="22096">
      <c r="A22096" s="1" t="n">
        <v>22095</v>
      </c>
      <c r="B22096">
        <f>TEXT(22095, "[$-0E0000]yyyy-mm-dd")</f>
        <v/>
      </c>
      <c r="C22096" t="inlineStr">
        <is>
          <t>1960-06-06</t>
        </is>
      </c>
    </row>
    <row r="22097">
      <c r="A22097" s="1" t="n">
        <v>22096</v>
      </c>
      <c r="B22097">
        <f>TEXT(22096, "[$-0E0000]yyyy-mm-dd")</f>
        <v/>
      </c>
      <c r="C22097" t="inlineStr">
        <is>
          <t>1960-06-07</t>
        </is>
      </c>
    </row>
    <row r="22098">
      <c r="A22098" s="1" t="n">
        <v>22097</v>
      </c>
      <c r="B22098">
        <f>TEXT(22097, "[$-0E0000]yyyy-mm-dd")</f>
        <v/>
      </c>
      <c r="C22098" t="inlineStr">
        <is>
          <t>1960-06-08</t>
        </is>
      </c>
    </row>
    <row r="22099">
      <c r="A22099" s="1" t="n">
        <v>22098</v>
      </c>
      <c r="B22099">
        <f>TEXT(22098, "[$-0E0000]yyyy-mm-dd")</f>
        <v/>
      </c>
      <c r="C22099" t="inlineStr">
        <is>
          <t>1960-06-09</t>
        </is>
      </c>
    </row>
    <row r="22100">
      <c r="A22100" s="1" t="n">
        <v>22099</v>
      </c>
      <c r="B22100">
        <f>TEXT(22099, "[$-0E0000]yyyy-mm-dd")</f>
        <v/>
      </c>
      <c r="C22100" t="inlineStr">
        <is>
          <t>1960-06-10</t>
        </is>
      </c>
    </row>
    <row r="22101">
      <c r="A22101" s="1" t="n">
        <v>22100</v>
      </c>
      <c r="B22101">
        <f>TEXT(22100, "[$-0E0000]yyyy-mm-dd")</f>
        <v/>
      </c>
      <c r="C22101" t="inlineStr">
        <is>
          <t>1960-06-11</t>
        </is>
      </c>
    </row>
    <row r="22102">
      <c r="A22102" s="1" t="n">
        <v>22101</v>
      </c>
      <c r="B22102">
        <f>TEXT(22101, "[$-0E0000]yyyy-mm-dd")</f>
        <v/>
      </c>
      <c r="C22102" t="inlineStr">
        <is>
          <t>1960-06-12</t>
        </is>
      </c>
    </row>
    <row r="22103">
      <c r="A22103" s="1" t="n">
        <v>22102</v>
      </c>
      <c r="B22103">
        <f>TEXT(22102, "[$-0E0000]yyyy-mm-dd")</f>
        <v/>
      </c>
      <c r="C22103" t="inlineStr">
        <is>
          <t>1960-06-13</t>
        </is>
      </c>
    </row>
    <row r="22104">
      <c r="A22104" s="1" t="n">
        <v>22103</v>
      </c>
      <c r="B22104">
        <f>TEXT(22103, "[$-0E0000]yyyy-mm-dd")</f>
        <v/>
      </c>
      <c r="C22104" t="inlineStr">
        <is>
          <t>1960-06-14</t>
        </is>
      </c>
    </row>
    <row r="22105">
      <c r="A22105" s="1" t="n">
        <v>22104</v>
      </c>
      <c r="B22105">
        <f>TEXT(22104, "[$-0E0000]yyyy-mm-dd")</f>
        <v/>
      </c>
      <c r="C22105" t="inlineStr">
        <is>
          <t>1960-06-15</t>
        </is>
      </c>
    </row>
    <row r="22106">
      <c r="A22106" s="1" t="n">
        <v>22105</v>
      </c>
      <c r="B22106">
        <f>TEXT(22105, "[$-0E0000]yyyy-mm-dd")</f>
        <v/>
      </c>
      <c r="C22106" t="inlineStr">
        <is>
          <t>1960-06-16</t>
        </is>
      </c>
    </row>
    <row r="22107">
      <c r="A22107" s="1" t="n">
        <v>22106</v>
      </c>
      <c r="B22107">
        <f>TEXT(22106, "[$-0E0000]yyyy-mm-dd")</f>
        <v/>
      </c>
      <c r="C22107" t="inlineStr">
        <is>
          <t>1960-06-17</t>
        </is>
      </c>
    </row>
    <row r="22108">
      <c r="A22108" s="1" t="n">
        <v>22107</v>
      </c>
      <c r="B22108">
        <f>TEXT(22107, "[$-0E0000]yyyy-mm-dd")</f>
        <v/>
      </c>
      <c r="C22108" t="inlineStr">
        <is>
          <t>1960-06-18</t>
        </is>
      </c>
    </row>
    <row r="22109">
      <c r="A22109" s="1" t="n">
        <v>22108</v>
      </c>
      <c r="B22109">
        <f>TEXT(22108, "[$-0E0000]yyyy-mm-dd")</f>
        <v/>
      </c>
      <c r="C22109" t="inlineStr">
        <is>
          <t>1960-06-19</t>
        </is>
      </c>
    </row>
    <row r="22110">
      <c r="A22110" s="1" t="n">
        <v>22109</v>
      </c>
      <c r="B22110">
        <f>TEXT(22109, "[$-0E0000]yyyy-mm-dd")</f>
        <v/>
      </c>
      <c r="C22110" t="inlineStr">
        <is>
          <t>1960-06-20</t>
        </is>
      </c>
    </row>
    <row r="22111">
      <c r="A22111" s="1" t="n">
        <v>22110</v>
      </c>
      <c r="B22111">
        <f>TEXT(22110, "[$-0E0000]yyyy-mm-dd")</f>
        <v/>
      </c>
      <c r="C22111" t="inlineStr">
        <is>
          <t>1960-06-21</t>
        </is>
      </c>
    </row>
    <row r="22112">
      <c r="A22112" s="1" t="n">
        <v>22111</v>
      </c>
      <c r="B22112">
        <f>TEXT(22111, "[$-0E0000]yyyy-mm-dd")</f>
        <v/>
      </c>
      <c r="C22112" t="inlineStr">
        <is>
          <t>1960-06-22</t>
        </is>
      </c>
    </row>
    <row r="22113">
      <c r="A22113" s="1" t="n">
        <v>22112</v>
      </c>
      <c r="B22113">
        <f>TEXT(22112, "[$-0E0000]yyyy-mm-dd")</f>
        <v/>
      </c>
      <c r="C22113" t="inlineStr">
        <is>
          <t>1960-06-23</t>
        </is>
      </c>
    </row>
    <row r="22114">
      <c r="A22114" s="1" t="n">
        <v>22113</v>
      </c>
      <c r="B22114">
        <f>TEXT(22113, "[$-0E0000]yyyy-mm-dd")</f>
        <v/>
      </c>
      <c r="C22114" t="inlineStr">
        <is>
          <t>1960-06-24</t>
        </is>
      </c>
    </row>
    <row r="22115">
      <c r="A22115" s="1" t="n">
        <v>22114</v>
      </c>
      <c r="B22115">
        <f>TEXT(22114, "[$-0E0000]yyyy-mm-dd")</f>
        <v/>
      </c>
      <c r="C22115" t="inlineStr">
        <is>
          <t>1960-06-25</t>
        </is>
      </c>
    </row>
    <row r="22116">
      <c r="A22116" s="1" t="n">
        <v>22115</v>
      </c>
      <c r="B22116">
        <f>TEXT(22115, "[$-0E0000]yyyy-mm-dd")</f>
        <v/>
      </c>
      <c r="C22116" t="inlineStr">
        <is>
          <t>1960-06-26</t>
        </is>
      </c>
    </row>
    <row r="22117">
      <c r="A22117" s="1" t="n">
        <v>22116</v>
      </c>
      <c r="B22117">
        <f>TEXT(22116, "[$-0E0000]yyyy-mm-dd")</f>
        <v/>
      </c>
      <c r="C22117" t="inlineStr">
        <is>
          <t>1960-06-27</t>
        </is>
      </c>
    </row>
    <row r="22118">
      <c r="A22118" s="1" t="n">
        <v>22117</v>
      </c>
      <c r="B22118">
        <f>TEXT(22117, "[$-0E0000]yyyy-mm-dd")</f>
        <v/>
      </c>
      <c r="C22118" t="inlineStr">
        <is>
          <t>1960-06-28</t>
        </is>
      </c>
    </row>
    <row r="22119">
      <c r="A22119" s="1" t="n">
        <v>22118</v>
      </c>
      <c r="B22119">
        <f>TEXT(22118, "[$-0E0000]yyyy-mm-dd")</f>
        <v/>
      </c>
      <c r="C22119" t="inlineStr">
        <is>
          <t>1960-06-29</t>
        </is>
      </c>
    </row>
    <row r="22120">
      <c r="A22120" s="1" t="n">
        <v>22119</v>
      </c>
      <c r="B22120">
        <f>TEXT(22119, "[$-0E0000]yyyy-mm-dd")</f>
        <v/>
      </c>
      <c r="C22120" t="inlineStr">
        <is>
          <t>1960-06-30</t>
        </is>
      </c>
    </row>
    <row r="22121">
      <c r="A22121" s="1" t="n">
        <v>22120</v>
      </c>
      <c r="B22121">
        <f>TEXT(22120, "[$-0E0000]yyyy-mm-dd")</f>
        <v/>
      </c>
      <c r="C22121" t="inlineStr">
        <is>
          <t>1960-06-01</t>
        </is>
      </c>
    </row>
    <row r="22122">
      <c r="A22122" s="1" t="n">
        <v>22121</v>
      </c>
      <c r="B22122">
        <f>TEXT(22121, "[$-0E0000]yyyy-mm-dd")</f>
        <v/>
      </c>
      <c r="C22122" t="inlineStr">
        <is>
          <t>1960-06-02</t>
        </is>
      </c>
    </row>
    <row r="22123">
      <c r="A22123" s="1" t="n">
        <v>22122</v>
      </c>
      <c r="B22123">
        <f>TEXT(22122, "[$-0E0000]yyyy-mm-dd")</f>
        <v/>
      </c>
      <c r="C22123" t="inlineStr">
        <is>
          <t>1960-06-03</t>
        </is>
      </c>
    </row>
    <row r="22124">
      <c r="A22124" s="1" t="n">
        <v>22123</v>
      </c>
      <c r="B22124">
        <f>TEXT(22123, "[$-0E0000]yyyy-mm-dd")</f>
        <v/>
      </c>
      <c r="C22124" t="inlineStr">
        <is>
          <t>1960-06-04</t>
        </is>
      </c>
    </row>
    <row r="22125">
      <c r="A22125" s="1" t="n">
        <v>22124</v>
      </c>
      <c r="B22125">
        <f>TEXT(22124, "[$-0E0000]yyyy-mm-dd")</f>
        <v/>
      </c>
      <c r="C22125" t="inlineStr">
        <is>
          <t>1960-06-05</t>
        </is>
      </c>
    </row>
    <row r="22126">
      <c r="A22126" s="1" t="n">
        <v>22125</v>
      </c>
      <c r="B22126">
        <f>TEXT(22125, "[$-0E0000]yyyy-mm-dd")</f>
        <v/>
      </c>
      <c r="C22126" t="inlineStr">
        <is>
          <t>1960-06-06</t>
        </is>
      </c>
    </row>
    <row r="22127">
      <c r="A22127" s="1" t="n">
        <v>22126</v>
      </c>
      <c r="B22127">
        <f>TEXT(22126, "[$-0E0000]yyyy-mm-dd")</f>
        <v/>
      </c>
      <c r="C22127" t="inlineStr">
        <is>
          <t>1960-06-07</t>
        </is>
      </c>
    </row>
    <row r="22128">
      <c r="A22128" s="1" t="n">
        <v>22127</v>
      </c>
      <c r="B22128">
        <f>TEXT(22127, "[$-0E0000]yyyy-mm-dd")</f>
        <v/>
      </c>
      <c r="C22128" t="inlineStr">
        <is>
          <t>1960-06-08</t>
        </is>
      </c>
    </row>
    <row r="22129">
      <c r="A22129" s="1" t="n">
        <v>22128</v>
      </c>
      <c r="B22129">
        <f>TEXT(22128, "[$-0E0000]yyyy-mm-dd")</f>
        <v/>
      </c>
      <c r="C22129" t="inlineStr">
        <is>
          <t>1960-06-09</t>
        </is>
      </c>
    </row>
    <row r="22130">
      <c r="A22130" s="1" t="n">
        <v>22129</v>
      </c>
      <c r="B22130">
        <f>TEXT(22129, "[$-0E0000]yyyy-mm-dd")</f>
        <v/>
      </c>
      <c r="C22130" t="inlineStr">
        <is>
          <t>1960-06-10</t>
        </is>
      </c>
    </row>
    <row r="22131">
      <c r="A22131" s="1" t="n">
        <v>22130</v>
      </c>
      <c r="B22131">
        <f>TEXT(22130, "[$-0E0000]yyyy-mm-dd")</f>
        <v/>
      </c>
      <c r="C22131" t="inlineStr">
        <is>
          <t>1960-06-11</t>
        </is>
      </c>
    </row>
    <row r="22132">
      <c r="A22132" s="1" t="n">
        <v>22131</v>
      </c>
      <c r="B22132">
        <f>TEXT(22131, "[$-0E0000]yyyy-mm-dd")</f>
        <v/>
      </c>
      <c r="C22132" t="inlineStr">
        <is>
          <t>1960-06-12</t>
        </is>
      </c>
    </row>
    <row r="22133">
      <c r="A22133" s="1" t="n">
        <v>22132</v>
      </c>
      <c r="B22133">
        <f>TEXT(22132, "[$-0E0000]yyyy-mm-dd")</f>
        <v/>
      </c>
      <c r="C22133" t="inlineStr">
        <is>
          <t>1960-06-13</t>
        </is>
      </c>
    </row>
    <row r="22134">
      <c r="A22134" s="1" t="n">
        <v>22133</v>
      </c>
      <c r="B22134">
        <f>TEXT(22133, "[$-0E0000]yyyy-mm-dd")</f>
        <v/>
      </c>
      <c r="C22134" t="inlineStr">
        <is>
          <t>1960-06-14</t>
        </is>
      </c>
    </row>
    <row r="22135">
      <c r="A22135" s="1" t="n">
        <v>22134</v>
      </c>
      <c r="B22135">
        <f>TEXT(22134, "[$-0E0000]yyyy-mm-dd")</f>
        <v/>
      </c>
      <c r="C22135" t="inlineStr">
        <is>
          <t>1960-06-15</t>
        </is>
      </c>
    </row>
    <row r="22136">
      <c r="A22136" s="1" t="n">
        <v>22135</v>
      </c>
      <c r="B22136">
        <f>TEXT(22135, "[$-0E0000]yyyy-mm-dd")</f>
        <v/>
      </c>
      <c r="C22136" t="inlineStr">
        <is>
          <t>1960-06-16</t>
        </is>
      </c>
    </row>
    <row r="22137">
      <c r="A22137" s="1" t="n">
        <v>22136</v>
      </c>
      <c r="B22137">
        <f>TEXT(22136, "[$-0E0000]yyyy-mm-dd")</f>
        <v/>
      </c>
      <c r="C22137" t="inlineStr">
        <is>
          <t>1960-06-17</t>
        </is>
      </c>
    </row>
    <row r="22138">
      <c r="A22138" s="1" t="n">
        <v>22137</v>
      </c>
      <c r="B22138">
        <f>TEXT(22137, "[$-0E0000]yyyy-mm-dd")</f>
        <v/>
      </c>
      <c r="C22138" t="inlineStr">
        <is>
          <t>1960-06-18</t>
        </is>
      </c>
    </row>
    <row r="22139">
      <c r="A22139" s="1" t="n">
        <v>22138</v>
      </c>
      <c r="B22139">
        <f>TEXT(22138, "[$-0E0000]yyyy-mm-dd")</f>
        <v/>
      </c>
      <c r="C22139" t="inlineStr">
        <is>
          <t>1960-06-19</t>
        </is>
      </c>
    </row>
    <row r="22140">
      <c r="A22140" s="1" t="n">
        <v>22139</v>
      </c>
      <c r="B22140">
        <f>TEXT(22139, "[$-0E0000]yyyy-mm-dd")</f>
        <v/>
      </c>
      <c r="C22140" t="inlineStr">
        <is>
          <t>1960-06-20</t>
        </is>
      </c>
    </row>
    <row r="22141">
      <c r="A22141" s="1" t="n">
        <v>22140</v>
      </c>
      <c r="B22141">
        <f>TEXT(22140, "[$-0E0000]yyyy-mm-dd")</f>
        <v/>
      </c>
      <c r="C22141" t="inlineStr">
        <is>
          <t>1960-06-21</t>
        </is>
      </c>
    </row>
    <row r="22142">
      <c r="A22142" s="1" t="n">
        <v>22141</v>
      </c>
      <c r="B22142">
        <f>TEXT(22141, "[$-0E0000]yyyy-mm-dd")</f>
        <v/>
      </c>
      <c r="C22142" t="inlineStr">
        <is>
          <t>1960-06-22</t>
        </is>
      </c>
    </row>
    <row r="22143">
      <c r="A22143" s="1" t="n">
        <v>22142</v>
      </c>
      <c r="B22143">
        <f>TEXT(22142, "[$-0E0000]yyyy-mm-dd")</f>
        <v/>
      </c>
      <c r="C22143" t="inlineStr">
        <is>
          <t>1960-06-23</t>
        </is>
      </c>
    </row>
    <row r="22144">
      <c r="A22144" s="1" t="n">
        <v>22143</v>
      </c>
      <c r="B22144">
        <f>TEXT(22143, "[$-0E0000]yyyy-mm-dd")</f>
        <v/>
      </c>
      <c r="C22144" t="inlineStr">
        <is>
          <t>1960-06-24</t>
        </is>
      </c>
    </row>
    <row r="22145">
      <c r="A22145" s="1" t="n">
        <v>22144</v>
      </c>
      <c r="B22145">
        <f>TEXT(22144, "[$-0E0000]yyyy-mm-dd")</f>
        <v/>
      </c>
      <c r="C22145" t="inlineStr">
        <is>
          <t>1960-06-25</t>
        </is>
      </c>
    </row>
    <row r="22146">
      <c r="A22146" s="1" t="n">
        <v>22145</v>
      </c>
      <c r="B22146">
        <f>TEXT(22145, "[$-0E0000]yyyy-mm-dd")</f>
        <v/>
      </c>
      <c r="C22146" t="inlineStr">
        <is>
          <t>1960-06-26</t>
        </is>
      </c>
    </row>
    <row r="22147">
      <c r="A22147" s="1" t="n">
        <v>22146</v>
      </c>
      <c r="B22147">
        <f>TEXT(22146, "[$-0E0000]yyyy-mm-dd")</f>
        <v/>
      </c>
      <c r="C22147" t="inlineStr">
        <is>
          <t>1960-06-27</t>
        </is>
      </c>
    </row>
    <row r="22148">
      <c r="A22148" s="1" t="n">
        <v>22147</v>
      </c>
      <c r="B22148">
        <f>TEXT(22147, "[$-0E0000]yyyy-mm-dd")</f>
        <v/>
      </c>
      <c r="C22148" t="inlineStr">
        <is>
          <t>1960-06-28</t>
        </is>
      </c>
    </row>
    <row r="22149">
      <c r="A22149" s="1" t="n">
        <v>22148</v>
      </c>
      <c r="B22149">
        <f>TEXT(22148, "[$-0E0000]yyyy-mm-dd")</f>
        <v/>
      </c>
      <c r="C22149" t="inlineStr">
        <is>
          <t>1960-06-29</t>
        </is>
      </c>
    </row>
    <row r="22150">
      <c r="A22150" s="1" t="n">
        <v>22149</v>
      </c>
      <c r="B22150">
        <f>TEXT(22149, "[$-0E0000]yyyy-mm-dd")</f>
        <v/>
      </c>
      <c r="C22150" t="inlineStr">
        <is>
          <t>1960-07-01</t>
        </is>
      </c>
    </row>
    <row r="22151">
      <c r="A22151" s="1" t="n">
        <v>22150</v>
      </c>
      <c r="B22151">
        <f>TEXT(22150, "[$-0E0000]yyyy-mm-dd")</f>
        <v/>
      </c>
      <c r="C22151" t="inlineStr">
        <is>
          <t>1960-07-02</t>
        </is>
      </c>
    </row>
    <row r="22152">
      <c r="A22152" s="1" t="n">
        <v>22151</v>
      </c>
      <c r="B22152">
        <f>TEXT(22151, "[$-0E0000]yyyy-mm-dd")</f>
        <v/>
      </c>
      <c r="C22152" t="inlineStr">
        <is>
          <t>1960-07-03</t>
        </is>
      </c>
    </row>
    <row r="22153">
      <c r="A22153" s="1" t="n">
        <v>22152</v>
      </c>
      <c r="B22153">
        <f>TEXT(22152, "[$-0E0000]yyyy-mm-dd")</f>
        <v/>
      </c>
      <c r="C22153" t="inlineStr">
        <is>
          <t>1960-07-04</t>
        </is>
      </c>
    </row>
    <row r="22154">
      <c r="A22154" s="1" t="n">
        <v>22153</v>
      </c>
      <c r="B22154">
        <f>TEXT(22153, "[$-0E0000]yyyy-mm-dd")</f>
        <v/>
      </c>
      <c r="C22154" t="inlineStr">
        <is>
          <t>1960-07-05</t>
        </is>
      </c>
    </row>
    <row r="22155">
      <c r="A22155" s="1" t="n">
        <v>22154</v>
      </c>
      <c r="B22155">
        <f>TEXT(22154, "[$-0E0000]yyyy-mm-dd")</f>
        <v/>
      </c>
      <c r="C22155" t="inlineStr">
        <is>
          <t>1960-07-06</t>
        </is>
      </c>
    </row>
    <row r="22156">
      <c r="A22156" s="1" t="n">
        <v>22155</v>
      </c>
      <c r="B22156">
        <f>TEXT(22155, "[$-0E0000]yyyy-mm-dd")</f>
        <v/>
      </c>
      <c r="C22156" t="inlineStr">
        <is>
          <t>1960-07-07</t>
        </is>
      </c>
    </row>
    <row r="22157">
      <c r="A22157" s="1" t="n">
        <v>22156</v>
      </c>
      <c r="B22157">
        <f>TEXT(22156, "[$-0E0000]yyyy-mm-dd")</f>
        <v/>
      </c>
      <c r="C22157" t="inlineStr">
        <is>
          <t>1960-07-08</t>
        </is>
      </c>
    </row>
    <row r="22158">
      <c r="A22158" s="1" t="n">
        <v>22157</v>
      </c>
      <c r="B22158">
        <f>TEXT(22157, "[$-0E0000]yyyy-mm-dd")</f>
        <v/>
      </c>
      <c r="C22158" t="inlineStr">
        <is>
          <t>1960-07-09</t>
        </is>
      </c>
    </row>
    <row r="22159">
      <c r="A22159" s="1" t="n">
        <v>22158</v>
      </c>
      <c r="B22159">
        <f>TEXT(22158, "[$-0E0000]yyyy-mm-dd")</f>
        <v/>
      </c>
      <c r="C22159" t="inlineStr">
        <is>
          <t>1960-07-10</t>
        </is>
      </c>
    </row>
    <row r="22160">
      <c r="A22160" s="1" t="n">
        <v>22159</v>
      </c>
      <c r="B22160">
        <f>TEXT(22159, "[$-0E0000]yyyy-mm-dd")</f>
        <v/>
      </c>
      <c r="C22160" t="inlineStr">
        <is>
          <t>1960-07-11</t>
        </is>
      </c>
    </row>
    <row r="22161">
      <c r="A22161" s="1" t="n">
        <v>22160</v>
      </c>
      <c r="B22161">
        <f>TEXT(22160, "[$-0E0000]yyyy-mm-dd")</f>
        <v/>
      </c>
      <c r="C22161" t="inlineStr">
        <is>
          <t>1960-07-12</t>
        </is>
      </c>
    </row>
    <row r="22162">
      <c r="A22162" s="1" t="n">
        <v>22161</v>
      </c>
      <c r="B22162">
        <f>TEXT(22161, "[$-0E0000]yyyy-mm-dd")</f>
        <v/>
      </c>
      <c r="C22162" t="inlineStr">
        <is>
          <t>1960-07-13</t>
        </is>
      </c>
    </row>
    <row r="22163">
      <c r="A22163" s="1" t="n">
        <v>22162</v>
      </c>
      <c r="B22163">
        <f>TEXT(22162, "[$-0E0000]yyyy-mm-dd")</f>
        <v/>
      </c>
      <c r="C22163" t="inlineStr">
        <is>
          <t>1960-07-14</t>
        </is>
      </c>
    </row>
    <row r="22164">
      <c r="A22164" s="1" t="n">
        <v>22163</v>
      </c>
      <c r="B22164">
        <f>TEXT(22163, "[$-0E0000]yyyy-mm-dd")</f>
        <v/>
      </c>
      <c r="C22164" t="inlineStr">
        <is>
          <t>1960-07-15</t>
        </is>
      </c>
    </row>
    <row r="22165">
      <c r="A22165" s="1" t="n">
        <v>22164</v>
      </c>
      <c r="B22165">
        <f>TEXT(22164, "[$-0E0000]yyyy-mm-dd")</f>
        <v/>
      </c>
      <c r="C22165" t="inlineStr">
        <is>
          <t>1960-07-16</t>
        </is>
      </c>
    </row>
    <row r="22166">
      <c r="A22166" s="1" t="n">
        <v>22165</v>
      </c>
      <c r="B22166">
        <f>TEXT(22165, "[$-0E0000]yyyy-mm-dd")</f>
        <v/>
      </c>
      <c r="C22166" t="inlineStr">
        <is>
          <t>1960-07-17</t>
        </is>
      </c>
    </row>
    <row r="22167">
      <c r="A22167" s="1" t="n">
        <v>22166</v>
      </c>
      <c r="B22167">
        <f>TEXT(22166, "[$-0E0000]yyyy-mm-dd")</f>
        <v/>
      </c>
      <c r="C22167" t="inlineStr">
        <is>
          <t>1960-07-18</t>
        </is>
      </c>
    </row>
    <row r="22168">
      <c r="A22168" s="1" t="n">
        <v>22167</v>
      </c>
      <c r="B22168">
        <f>TEXT(22167, "[$-0E0000]yyyy-mm-dd")</f>
        <v/>
      </c>
      <c r="C22168" t="inlineStr">
        <is>
          <t>1960-07-19</t>
        </is>
      </c>
    </row>
    <row r="22169">
      <c r="A22169" s="1" t="n">
        <v>22168</v>
      </c>
      <c r="B22169">
        <f>TEXT(22168, "[$-0E0000]yyyy-mm-dd")</f>
        <v/>
      </c>
      <c r="C22169" t="inlineStr">
        <is>
          <t>1960-07-20</t>
        </is>
      </c>
    </row>
    <row r="22170">
      <c r="A22170" s="1" t="n">
        <v>22169</v>
      </c>
      <c r="B22170">
        <f>TEXT(22169, "[$-0E0000]yyyy-mm-dd")</f>
        <v/>
      </c>
      <c r="C22170" t="inlineStr">
        <is>
          <t>1960-07-21</t>
        </is>
      </c>
    </row>
    <row r="22171">
      <c r="A22171" s="1" t="n">
        <v>22170</v>
      </c>
      <c r="B22171">
        <f>TEXT(22170, "[$-0E0000]yyyy-mm-dd")</f>
        <v/>
      </c>
      <c r="C22171" t="inlineStr">
        <is>
          <t>1960-07-22</t>
        </is>
      </c>
    </row>
    <row r="22172">
      <c r="A22172" s="1" t="n">
        <v>22171</v>
      </c>
      <c r="B22172">
        <f>TEXT(22171, "[$-0E0000]yyyy-mm-dd")</f>
        <v/>
      </c>
      <c r="C22172" t="inlineStr">
        <is>
          <t>1960-07-23</t>
        </is>
      </c>
    </row>
    <row r="22173">
      <c r="A22173" s="1" t="n">
        <v>22172</v>
      </c>
      <c r="B22173">
        <f>TEXT(22172, "[$-0E0000]yyyy-mm-dd")</f>
        <v/>
      </c>
      <c r="C22173" t="inlineStr">
        <is>
          <t>1960-07-24</t>
        </is>
      </c>
    </row>
    <row r="22174">
      <c r="A22174" s="1" t="n">
        <v>22173</v>
      </c>
      <c r="B22174">
        <f>TEXT(22173, "[$-0E0000]yyyy-mm-dd")</f>
        <v/>
      </c>
      <c r="C22174" t="inlineStr">
        <is>
          <t>1960-07-25</t>
        </is>
      </c>
    </row>
    <row r="22175">
      <c r="A22175" s="1" t="n">
        <v>22174</v>
      </c>
      <c r="B22175">
        <f>TEXT(22174, "[$-0E0000]yyyy-mm-dd")</f>
        <v/>
      </c>
      <c r="C22175" t="inlineStr">
        <is>
          <t>1960-07-26</t>
        </is>
      </c>
    </row>
    <row r="22176">
      <c r="A22176" s="1" t="n">
        <v>22175</v>
      </c>
      <c r="B22176">
        <f>TEXT(22175, "[$-0E0000]yyyy-mm-dd")</f>
        <v/>
      </c>
      <c r="C22176" t="inlineStr">
        <is>
          <t>1960-07-27</t>
        </is>
      </c>
    </row>
    <row r="22177">
      <c r="A22177" s="1" t="n">
        <v>22176</v>
      </c>
      <c r="B22177">
        <f>TEXT(22176, "[$-0E0000]yyyy-mm-dd")</f>
        <v/>
      </c>
      <c r="C22177" t="inlineStr">
        <is>
          <t>1960-07-28</t>
        </is>
      </c>
    </row>
    <row r="22178">
      <c r="A22178" s="1" t="n">
        <v>22177</v>
      </c>
      <c r="B22178">
        <f>TEXT(22177, "[$-0E0000]yyyy-mm-dd")</f>
        <v/>
      </c>
      <c r="C22178" t="inlineStr">
        <is>
          <t>1960-07-29</t>
        </is>
      </c>
    </row>
    <row r="22179">
      <c r="A22179" s="1" t="n">
        <v>22178</v>
      </c>
      <c r="B22179">
        <f>TEXT(22178, "[$-0E0000]yyyy-mm-dd")</f>
        <v/>
      </c>
      <c r="C22179" t="inlineStr">
        <is>
          <t>1960-07-30</t>
        </is>
      </c>
    </row>
    <row r="22180">
      <c r="A22180" s="1" t="n">
        <v>22179</v>
      </c>
      <c r="B22180">
        <f>TEXT(22179, "[$-0E0000]yyyy-mm-dd")</f>
        <v/>
      </c>
      <c r="C22180" t="inlineStr">
        <is>
          <t>1960-08-01</t>
        </is>
      </c>
    </row>
    <row r="22181">
      <c r="A22181" s="1" t="n">
        <v>22180</v>
      </c>
      <c r="B22181">
        <f>TEXT(22180, "[$-0E0000]yyyy-mm-dd")</f>
        <v/>
      </c>
      <c r="C22181" t="inlineStr">
        <is>
          <t>1960-08-02</t>
        </is>
      </c>
    </row>
    <row r="22182">
      <c r="A22182" s="1" t="n">
        <v>22181</v>
      </c>
      <c r="B22182">
        <f>TEXT(22181, "[$-0E0000]yyyy-mm-dd")</f>
        <v/>
      </c>
      <c r="C22182" t="inlineStr">
        <is>
          <t>1960-08-03</t>
        </is>
      </c>
    </row>
    <row r="22183">
      <c r="A22183" s="1" t="n">
        <v>22182</v>
      </c>
      <c r="B22183">
        <f>TEXT(22182, "[$-0E0000]yyyy-mm-dd")</f>
        <v/>
      </c>
      <c r="C22183" t="inlineStr">
        <is>
          <t>1960-08-04</t>
        </is>
      </c>
    </row>
    <row r="22184">
      <c r="A22184" s="1" t="n">
        <v>22183</v>
      </c>
      <c r="B22184">
        <f>TEXT(22183, "[$-0E0000]yyyy-mm-dd")</f>
        <v/>
      </c>
      <c r="C22184" t="inlineStr">
        <is>
          <t>1960-08-05</t>
        </is>
      </c>
    </row>
    <row r="22185">
      <c r="A22185" s="1" t="n">
        <v>22184</v>
      </c>
      <c r="B22185">
        <f>TEXT(22184, "[$-0E0000]yyyy-mm-dd")</f>
        <v/>
      </c>
      <c r="C22185" t="inlineStr">
        <is>
          <t>1960-08-06</t>
        </is>
      </c>
    </row>
    <row r="22186">
      <c r="A22186" s="1" t="n">
        <v>22185</v>
      </c>
      <c r="B22186">
        <f>TEXT(22185, "[$-0E0000]yyyy-mm-dd")</f>
        <v/>
      </c>
      <c r="C22186" t="inlineStr">
        <is>
          <t>1960-08-07</t>
        </is>
      </c>
    </row>
    <row r="22187">
      <c r="A22187" s="1" t="n">
        <v>22186</v>
      </c>
      <c r="B22187">
        <f>TEXT(22186, "[$-0E0000]yyyy-mm-dd")</f>
        <v/>
      </c>
      <c r="C22187" t="inlineStr">
        <is>
          <t>1960-08-08</t>
        </is>
      </c>
    </row>
    <row r="22188">
      <c r="A22188" s="1" t="n">
        <v>22187</v>
      </c>
      <c r="B22188">
        <f>TEXT(22187, "[$-0E0000]yyyy-mm-dd")</f>
        <v/>
      </c>
      <c r="C22188" t="inlineStr">
        <is>
          <t>1960-08-09</t>
        </is>
      </c>
    </row>
    <row r="22189">
      <c r="A22189" s="1" t="n">
        <v>22188</v>
      </c>
      <c r="B22189">
        <f>TEXT(22188, "[$-0E0000]yyyy-mm-dd")</f>
        <v/>
      </c>
      <c r="C22189" t="inlineStr">
        <is>
          <t>1960-08-10</t>
        </is>
      </c>
    </row>
    <row r="22190">
      <c r="A22190" s="1" t="n">
        <v>22189</v>
      </c>
      <c r="B22190">
        <f>TEXT(22189, "[$-0E0000]yyyy-mm-dd")</f>
        <v/>
      </c>
      <c r="C22190" t="inlineStr">
        <is>
          <t>1960-08-11</t>
        </is>
      </c>
    </row>
    <row r="22191">
      <c r="A22191" s="1" t="n">
        <v>22190</v>
      </c>
      <c r="B22191">
        <f>TEXT(22190, "[$-0E0000]yyyy-mm-dd")</f>
        <v/>
      </c>
      <c r="C22191" t="inlineStr">
        <is>
          <t>1960-08-12</t>
        </is>
      </c>
    </row>
    <row r="22192">
      <c r="A22192" s="1" t="n">
        <v>22191</v>
      </c>
      <c r="B22192">
        <f>TEXT(22191, "[$-0E0000]yyyy-mm-dd")</f>
        <v/>
      </c>
      <c r="C22192" t="inlineStr">
        <is>
          <t>1960-08-13</t>
        </is>
      </c>
    </row>
    <row r="22193">
      <c r="A22193" s="1" t="n">
        <v>22192</v>
      </c>
      <c r="B22193">
        <f>TEXT(22192, "[$-0E0000]yyyy-mm-dd")</f>
        <v/>
      </c>
      <c r="C22193" t="inlineStr">
        <is>
          <t>1960-08-14</t>
        </is>
      </c>
    </row>
    <row r="22194">
      <c r="A22194" s="1" t="n">
        <v>22193</v>
      </c>
      <c r="B22194">
        <f>TEXT(22193, "[$-0E0000]yyyy-mm-dd")</f>
        <v/>
      </c>
      <c r="C22194" t="inlineStr">
        <is>
          <t>1960-08-15</t>
        </is>
      </c>
    </row>
    <row r="22195">
      <c r="A22195" s="1" t="n">
        <v>22194</v>
      </c>
      <c r="B22195">
        <f>TEXT(22194, "[$-0E0000]yyyy-mm-dd")</f>
        <v/>
      </c>
      <c r="C22195" t="inlineStr">
        <is>
          <t>1960-08-16</t>
        </is>
      </c>
    </row>
    <row r="22196">
      <c r="A22196" s="1" t="n">
        <v>22195</v>
      </c>
      <c r="B22196">
        <f>TEXT(22195, "[$-0E0000]yyyy-mm-dd")</f>
        <v/>
      </c>
      <c r="C22196" t="inlineStr">
        <is>
          <t>1960-08-17</t>
        </is>
      </c>
    </row>
    <row r="22197">
      <c r="A22197" s="1" t="n">
        <v>22196</v>
      </c>
      <c r="B22197">
        <f>TEXT(22196, "[$-0E0000]yyyy-mm-dd")</f>
        <v/>
      </c>
      <c r="C22197" t="inlineStr">
        <is>
          <t>1960-08-18</t>
        </is>
      </c>
    </row>
    <row r="22198">
      <c r="A22198" s="1" t="n">
        <v>22197</v>
      </c>
      <c r="B22198">
        <f>TEXT(22197, "[$-0E0000]yyyy-mm-dd")</f>
        <v/>
      </c>
      <c r="C22198" t="inlineStr">
        <is>
          <t>1960-08-19</t>
        </is>
      </c>
    </row>
    <row r="22199">
      <c r="A22199" s="1" t="n">
        <v>22198</v>
      </c>
      <c r="B22199">
        <f>TEXT(22198, "[$-0E0000]yyyy-mm-dd")</f>
        <v/>
      </c>
      <c r="C22199" t="inlineStr">
        <is>
          <t>1960-08-20</t>
        </is>
      </c>
    </row>
    <row r="22200">
      <c r="A22200" s="1" t="n">
        <v>22199</v>
      </c>
      <c r="B22200">
        <f>TEXT(22199, "[$-0E0000]yyyy-mm-dd")</f>
        <v/>
      </c>
      <c r="C22200" t="inlineStr">
        <is>
          <t>1960-08-21</t>
        </is>
      </c>
    </row>
    <row r="22201">
      <c r="A22201" s="1" t="n">
        <v>22200</v>
      </c>
      <c r="B22201">
        <f>TEXT(22200, "[$-0E0000]yyyy-mm-dd")</f>
        <v/>
      </c>
      <c r="C22201" t="inlineStr">
        <is>
          <t>1960-08-22</t>
        </is>
      </c>
    </row>
    <row r="22202">
      <c r="A22202" s="1" t="n">
        <v>22201</v>
      </c>
      <c r="B22202">
        <f>TEXT(22201, "[$-0E0000]yyyy-mm-dd")</f>
        <v/>
      </c>
      <c r="C22202" t="inlineStr">
        <is>
          <t>1960-08-23</t>
        </is>
      </c>
    </row>
    <row r="22203">
      <c r="A22203" s="1" t="n">
        <v>22202</v>
      </c>
      <c r="B22203">
        <f>TEXT(22202, "[$-0E0000]yyyy-mm-dd")</f>
        <v/>
      </c>
      <c r="C22203" t="inlineStr">
        <is>
          <t>1960-08-24</t>
        </is>
      </c>
    </row>
    <row r="22204">
      <c r="A22204" s="1" t="n">
        <v>22203</v>
      </c>
      <c r="B22204">
        <f>TEXT(22203, "[$-0E0000]yyyy-mm-dd")</f>
        <v/>
      </c>
      <c r="C22204" t="inlineStr">
        <is>
          <t>1960-08-25</t>
        </is>
      </c>
    </row>
    <row r="22205">
      <c r="A22205" s="1" t="n">
        <v>22204</v>
      </c>
      <c r="B22205">
        <f>TEXT(22204, "[$-0E0000]yyyy-mm-dd")</f>
        <v/>
      </c>
      <c r="C22205" t="inlineStr">
        <is>
          <t>1960-08-26</t>
        </is>
      </c>
    </row>
    <row r="22206">
      <c r="A22206" s="1" t="n">
        <v>22205</v>
      </c>
      <c r="B22206">
        <f>TEXT(22205, "[$-0E0000]yyyy-mm-dd")</f>
        <v/>
      </c>
      <c r="C22206" t="inlineStr">
        <is>
          <t>1960-08-27</t>
        </is>
      </c>
    </row>
    <row r="22207">
      <c r="A22207" s="1" t="n">
        <v>22206</v>
      </c>
      <c r="B22207">
        <f>TEXT(22206, "[$-0E0000]yyyy-mm-dd")</f>
        <v/>
      </c>
      <c r="C22207" t="inlineStr">
        <is>
          <t>1960-08-28</t>
        </is>
      </c>
    </row>
    <row r="22208">
      <c r="A22208" s="1" t="n">
        <v>22207</v>
      </c>
      <c r="B22208">
        <f>TEXT(22207, "[$-0E0000]yyyy-mm-dd")</f>
        <v/>
      </c>
      <c r="C22208" t="inlineStr">
        <is>
          <t>1960-08-29</t>
        </is>
      </c>
    </row>
    <row r="22209">
      <c r="A22209" s="1" t="n">
        <v>22208</v>
      </c>
      <c r="B22209">
        <f>TEXT(22208, "[$-0E0000]yyyy-mm-dd")</f>
        <v/>
      </c>
      <c r="C22209" t="inlineStr">
        <is>
          <t>1960-09-01</t>
        </is>
      </c>
    </row>
    <row r="22210">
      <c r="A22210" s="1" t="n">
        <v>22209</v>
      </c>
      <c r="B22210">
        <f>TEXT(22209, "[$-0E0000]yyyy-mm-dd")</f>
        <v/>
      </c>
      <c r="C22210" t="inlineStr">
        <is>
          <t>1960-09-02</t>
        </is>
      </c>
    </row>
    <row r="22211">
      <c r="A22211" s="1" t="n">
        <v>22210</v>
      </c>
      <c r="B22211">
        <f>TEXT(22210, "[$-0E0000]yyyy-mm-dd")</f>
        <v/>
      </c>
      <c r="C22211" t="inlineStr">
        <is>
          <t>1960-09-03</t>
        </is>
      </c>
    </row>
    <row r="22212">
      <c r="A22212" s="1" t="n">
        <v>22211</v>
      </c>
      <c r="B22212">
        <f>TEXT(22211, "[$-0E0000]yyyy-mm-dd")</f>
        <v/>
      </c>
      <c r="C22212" t="inlineStr">
        <is>
          <t>1960-09-04</t>
        </is>
      </c>
    </row>
    <row r="22213">
      <c r="A22213" s="1" t="n">
        <v>22212</v>
      </c>
      <c r="B22213">
        <f>TEXT(22212, "[$-0E0000]yyyy-mm-dd")</f>
        <v/>
      </c>
      <c r="C22213" t="inlineStr">
        <is>
          <t>1960-09-05</t>
        </is>
      </c>
    </row>
    <row r="22214">
      <c r="A22214" s="1" t="n">
        <v>22213</v>
      </c>
      <c r="B22214">
        <f>TEXT(22213, "[$-0E0000]yyyy-mm-dd")</f>
        <v/>
      </c>
      <c r="C22214" t="inlineStr">
        <is>
          <t>1960-09-06</t>
        </is>
      </c>
    </row>
    <row r="22215">
      <c r="A22215" s="1" t="n">
        <v>22214</v>
      </c>
      <c r="B22215">
        <f>TEXT(22214, "[$-0E0000]yyyy-mm-dd")</f>
        <v/>
      </c>
      <c r="C22215" t="inlineStr">
        <is>
          <t>1960-09-07</t>
        </is>
      </c>
    </row>
    <row r="22216">
      <c r="A22216" s="1" t="n">
        <v>22215</v>
      </c>
      <c r="B22216">
        <f>TEXT(22215, "[$-0E0000]yyyy-mm-dd")</f>
        <v/>
      </c>
      <c r="C22216" t="inlineStr">
        <is>
          <t>1960-09-08</t>
        </is>
      </c>
    </row>
    <row r="22217">
      <c r="A22217" s="1" t="n">
        <v>22216</v>
      </c>
      <c r="B22217">
        <f>TEXT(22216, "[$-0E0000]yyyy-mm-dd")</f>
        <v/>
      </c>
      <c r="C22217" t="inlineStr">
        <is>
          <t>1960-09-09</t>
        </is>
      </c>
    </row>
    <row r="22218">
      <c r="A22218" s="1" t="n">
        <v>22217</v>
      </c>
      <c r="B22218">
        <f>TEXT(22217, "[$-0E0000]yyyy-mm-dd")</f>
        <v/>
      </c>
      <c r="C22218" t="inlineStr">
        <is>
          <t>1960-09-10</t>
        </is>
      </c>
    </row>
    <row r="22219">
      <c r="A22219" s="1" t="n">
        <v>22218</v>
      </c>
      <c r="B22219">
        <f>TEXT(22218, "[$-0E0000]yyyy-mm-dd")</f>
        <v/>
      </c>
      <c r="C22219" t="inlineStr">
        <is>
          <t>1960-09-11</t>
        </is>
      </c>
    </row>
    <row r="22220">
      <c r="A22220" s="1" t="n">
        <v>22219</v>
      </c>
      <c r="B22220">
        <f>TEXT(22219, "[$-0E0000]yyyy-mm-dd")</f>
        <v/>
      </c>
      <c r="C22220" t="inlineStr">
        <is>
          <t>1960-09-12</t>
        </is>
      </c>
    </row>
    <row r="22221">
      <c r="A22221" s="1" t="n">
        <v>22220</v>
      </c>
      <c r="B22221">
        <f>TEXT(22220, "[$-0E0000]yyyy-mm-dd")</f>
        <v/>
      </c>
      <c r="C22221" t="inlineStr">
        <is>
          <t>1960-09-13</t>
        </is>
      </c>
    </row>
    <row r="22222">
      <c r="A22222" s="1" t="n">
        <v>22221</v>
      </c>
      <c r="B22222">
        <f>TEXT(22221, "[$-0E0000]yyyy-mm-dd")</f>
        <v/>
      </c>
      <c r="C22222" t="inlineStr">
        <is>
          <t>1960-09-14</t>
        </is>
      </c>
    </row>
    <row r="22223">
      <c r="A22223" s="1" t="n">
        <v>22222</v>
      </c>
      <c r="B22223">
        <f>TEXT(22222, "[$-0E0000]yyyy-mm-dd")</f>
        <v/>
      </c>
      <c r="C22223" t="inlineStr">
        <is>
          <t>1960-09-15</t>
        </is>
      </c>
    </row>
    <row r="22224">
      <c r="A22224" s="1" t="n">
        <v>22223</v>
      </c>
      <c r="B22224">
        <f>TEXT(22223, "[$-0E0000]yyyy-mm-dd")</f>
        <v/>
      </c>
      <c r="C22224" t="inlineStr">
        <is>
          <t>1960-09-16</t>
        </is>
      </c>
    </row>
    <row r="22225">
      <c r="A22225" s="1" t="n">
        <v>22224</v>
      </c>
      <c r="B22225">
        <f>TEXT(22224, "[$-0E0000]yyyy-mm-dd")</f>
        <v/>
      </c>
      <c r="C22225" t="inlineStr">
        <is>
          <t>1960-09-17</t>
        </is>
      </c>
    </row>
    <row r="22226">
      <c r="A22226" s="1" t="n">
        <v>22225</v>
      </c>
      <c r="B22226">
        <f>TEXT(22225, "[$-0E0000]yyyy-mm-dd")</f>
        <v/>
      </c>
      <c r="C22226" t="inlineStr">
        <is>
          <t>1960-09-18</t>
        </is>
      </c>
    </row>
    <row r="22227">
      <c r="A22227" s="1" t="n">
        <v>22226</v>
      </c>
      <c r="B22227">
        <f>TEXT(22226, "[$-0E0000]yyyy-mm-dd")</f>
        <v/>
      </c>
      <c r="C22227" t="inlineStr">
        <is>
          <t>1960-09-19</t>
        </is>
      </c>
    </row>
    <row r="22228">
      <c r="A22228" s="1" t="n">
        <v>22227</v>
      </c>
      <c r="B22228">
        <f>TEXT(22227, "[$-0E0000]yyyy-mm-dd")</f>
        <v/>
      </c>
      <c r="C22228" t="inlineStr">
        <is>
          <t>1960-09-20</t>
        </is>
      </c>
    </row>
    <row r="22229">
      <c r="A22229" s="1" t="n">
        <v>22228</v>
      </c>
      <c r="B22229">
        <f>TEXT(22228, "[$-0E0000]yyyy-mm-dd")</f>
        <v/>
      </c>
      <c r="C22229" t="inlineStr">
        <is>
          <t>1960-09-21</t>
        </is>
      </c>
    </row>
    <row r="22230">
      <c r="A22230" s="1" t="n">
        <v>22229</v>
      </c>
      <c r="B22230">
        <f>TEXT(22229, "[$-0E0000]yyyy-mm-dd")</f>
        <v/>
      </c>
      <c r="C22230" t="inlineStr">
        <is>
          <t>1960-09-22</t>
        </is>
      </c>
    </row>
    <row r="22231">
      <c r="A22231" s="1" t="n">
        <v>22230</v>
      </c>
      <c r="B22231">
        <f>TEXT(22230, "[$-0E0000]yyyy-mm-dd")</f>
        <v/>
      </c>
      <c r="C22231" t="inlineStr">
        <is>
          <t>1960-09-23</t>
        </is>
      </c>
    </row>
    <row r="22232">
      <c r="A22232" s="1" t="n">
        <v>22231</v>
      </c>
      <c r="B22232">
        <f>TEXT(22231, "[$-0E0000]yyyy-mm-dd")</f>
        <v/>
      </c>
      <c r="C22232" t="inlineStr">
        <is>
          <t>1960-09-24</t>
        </is>
      </c>
    </row>
    <row r="22233">
      <c r="A22233" s="1" t="n">
        <v>22232</v>
      </c>
      <c r="B22233">
        <f>TEXT(22232, "[$-0E0000]yyyy-mm-dd")</f>
        <v/>
      </c>
      <c r="C22233" t="inlineStr">
        <is>
          <t>1960-09-25</t>
        </is>
      </c>
    </row>
    <row r="22234">
      <c r="A22234" s="1" t="n">
        <v>22233</v>
      </c>
      <c r="B22234">
        <f>TEXT(22233, "[$-0E0000]yyyy-mm-dd")</f>
        <v/>
      </c>
      <c r="C22234" t="inlineStr">
        <is>
          <t>1960-09-26</t>
        </is>
      </c>
    </row>
    <row r="22235">
      <c r="A22235" s="1" t="n">
        <v>22234</v>
      </c>
      <c r="B22235">
        <f>TEXT(22234, "[$-0E0000]yyyy-mm-dd")</f>
        <v/>
      </c>
      <c r="C22235" t="inlineStr">
        <is>
          <t>1960-09-27</t>
        </is>
      </c>
    </row>
    <row r="22236">
      <c r="A22236" s="1" t="n">
        <v>22235</v>
      </c>
      <c r="B22236">
        <f>TEXT(22235, "[$-0E0000]yyyy-mm-dd")</f>
        <v/>
      </c>
      <c r="C22236" t="inlineStr">
        <is>
          <t>1960-09-28</t>
        </is>
      </c>
    </row>
    <row r="22237">
      <c r="A22237" s="1" t="n">
        <v>22236</v>
      </c>
      <c r="B22237">
        <f>TEXT(22236, "[$-0E0000]yyyy-mm-dd")</f>
        <v/>
      </c>
      <c r="C22237" t="inlineStr">
        <is>
          <t>1960-09-29</t>
        </is>
      </c>
    </row>
    <row r="22238">
      <c r="A22238" s="1" t="n">
        <v>22237</v>
      </c>
      <c r="B22238">
        <f>TEXT(22237, "[$-0E0000]yyyy-mm-dd")</f>
        <v/>
      </c>
      <c r="C22238" t="inlineStr">
        <is>
          <t>1960-09-30</t>
        </is>
      </c>
    </row>
    <row r="22239">
      <c r="A22239" s="1" t="n">
        <v>22238</v>
      </c>
      <c r="B22239">
        <f>TEXT(22238, "[$-0E0000]yyyy-mm-dd")</f>
        <v/>
      </c>
      <c r="C22239" t="inlineStr">
        <is>
          <t>1960-10-01</t>
        </is>
      </c>
    </row>
    <row r="22240">
      <c r="A22240" s="1" t="n">
        <v>22239</v>
      </c>
      <c r="B22240">
        <f>TEXT(22239, "[$-0E0000]yyyy-mm-dd")</f>
        <v/>
      </c>
      <c r="C22240" t="inlineStr">
        <is>
          <t>1960-10-02</t>
        </is>
      </c>
    </row>
    <row r="22241">
      <c r="A22241" s="1" t="n">
        <v>22240</v>
      </c>
      <c r="B22241">
        <f>TEXT(22240, "[$-0E0000]yyyy-mm-dd")</f>
        <v/>
      </c>
      <c r="C22241" t="inlineStr">
        <is>
          <t>1960-10-03</t>
        </is>
      </c>
    </row>
    <row r="22242">
      <c r="A22242" s="1" t="n">
        <v>22241</v>
      </c>
      <c r="B22242">
        <f>TEXT(22241, "[$-0E0000]yyyy-mm-dd")</f>
        <v/>
      </c>
      <c r="C22242" t="inlineStr">
        <is>
          <t>1960-10-04</t>
        </is>
      </c>
    </row>
    <row r="22243">
      <c r="A22243" s="1" t="n">
        <v>22242</v>
      </c>
      <c r="B22243">
        <f>TEXT(22242, "[$-0E0000]yyyy-mm-dd")</f>
        <v/>
      </c>
      <c r="C22243" t="inlineStr">
        <is>
          <t>1960-10-05</t>
        </is>
      </c>
    </row>
    <row r="22244">
      <c r="A22244" s="1" t="n">
        <v>22243</v>
      </c>
      <c r="B22244">
        <f>TEXT(22243, "[$-0E0000]yyyy-mm-dd")</f>
        <v/>
      </c>
      <c r="C22244" t="inlineStr">
        <is>
          <t>1960-10-06</t>
        </is>
      </c>
    </row>
    <row r="22245">
      <c r="A22245" s="1" t="n">
        <v>22244</v>
      </c>
      <c r="B22245">
        <f>TEXT(22244, "[$-0E0000]yyyy-mm-dd")</f>
        <v/>
      </c>
      <c r="C22245" t="inlineStr">
        <is>
          <t>1960-10-07</t>
        </is>
      </c>
    </row>
    <row r="22246">
      <c r="A22246" s="1" t="n">
        <v>22245</v>
      </c>
      <c r="B22246">
        <f>TEXT(22245, "[$-0E0000]yyyy-mm-dd")</f>
        <v/>
      </c>
      <c r="C22246" t="inlineStr">
        <is>
          <t>1960-10-08</t>
        </is>
      </c>
    </row>
    <row r="22247">
      <c r="A22247" s="1" t="n">
        <v>22246</v>
      </c>
      <c r="B22247">
        <f>TEXT(22246, "[$-0E0000]yyyy-mm-dd")</f>
        <v/>
      </c>
      <c r="C22247" t="inlineStr">
        <is>
          <t>1960-10-09</t>
        </is>
      </c>
    </row>
    <row r="22248">
      <c r="A22248" s="1" t="n">
        <v>22247</v>
      </c>
      <c r="B22248">
        <f>TEXT(22247, "[$-0E0000]yyyy-mm-dd")</f>
        <v/>
      </c>
      <c r="C22248" t="inlineStr">
        <is>
          <t>1960-10-10</t>
        </is>
      </c>
    </row>
    <row r="22249">
      <c r="A22249" s="1" t="n">
        <v>22248</v>
      </c>
      <c r="B22249">
        <f>TEXT(22248, "[$-0E0000]yyyy-mm-dd")</f>
        <v/>
      </c>
      <c r="C22249" t="inlineStr">
        <is>
          <t>1960-10-11</t>
        </is>
      </c>
    </row>
    <row r="22250">
      <c r="A22250" s="1" t="n">
        <v>22249</v>
      </c>
      <c r="B22250">
        <f>TEXT(22249, "[$-0E0000]yyyy-mm-dd")</f>
        <v/>
      </c>
      <c r="C22250" t="inlineStr">
        <is>
          <t>1960-10-12</t>
        </is>
      </c>
    </row>
    <row r="22251">
      <c r="A22251" s="1" t="n">
        <v>22250</v>
      </c>
      <c r="B22251">
        <f>TEXT(22250, "[$-0E0000]yyyy-mm-dd")</f>
        <v/>
      </c>
      <c r="C22251" t="inlineStr">
        <is>
          <t>1960-10-13</t>
        </is>
      </c>
    </row>
    <row r="22252">
      <c r="A22252" s="1" t="n">
        <v>22251</v>
      </c>
      <c r="B22252">
        <f>TEXT(22251, "[$-0E0000]yyyy-mm-dd")</f>
        <v/>
      </c>
      <c r="C22252" t="inlineStr">
        <is>
          <t>1960-10-14</t>
        </is>
      </c>
    </row>
    <row r="22253">
      <c r="A22253" s="1" t="n">
        <v>22252</v>
      </c>
      <c r="B22253">
        <f>TEXT(22252, "[$-0E0000]yyyy-mm-dd")</f>
        <v/>
      </c>
      <c r="C22253" t="inlineStr">
        <is>
          <t>1960-10-15</t>
        </is>
      </c>
    </row>
    <row r="22254">
      <c r="A22254" s="1" t="n">
        <v>22253</v>
      </c>
      <c r="B22254">
        <f>TEXT(22253, "[$-0E0000]yyyy-mm-dd")</f>
        <v/>
      </c>
      <c r="C22254" t="inlineStr">
        <is>
          <t>1960-10-16</t>
        </is>
      </c>
    </row>
    <row r="22255">
      <c r="A22255" s="1" t="n">
        <v>22254</v>
      </c>
      <c r="B22255">
        <f>TEXT(22254, "[$-0E0000]yyyy-mm-dd")</f>
        <v/>
      </c>
      <c r="C22255" t="inlineStr">
        <is>
          <t>1960-10-17</t>
        </is>
      </c>
    </row>
    <row r="22256">
      <c r="A22256" s="1" t="n">
        <v>22255</v>
      </c>
      <c r="B22256">
        <f>TEXT(22255, "[$-0E0000]yyyy-mm-dd")</f>
        <v/>
      </c>
      <c r="C22256" t="inlineStr">
        <is>
          <t>1960-10-18</t>
        </is>
      </c>
    </row>
    <row r="22257">
      <c r="A22257" s="1" t="n">
        <v>22256</v>
      </c>
      <c r="B22257">
        <f>TEXT(22256, "[$-0E0000]yyyy-mm-dd")</f>
        <v/>
      </c>
      <c r="C22257" t="inlineStr">
        <is>
          <t>1960-10-19</t>
        </is>
      </c>
    </row>
    <row r="22258">
      <c r="A22258" s="1" t="n">
        <v>22257</v>
      </c>
      <c r="B22258">
        <f>TEXT(22257, "[$-0E0000]yyyy-mm-dd")</f>
        <v/>
      </c>
      <c r="C22258" t="inlineStr">
        <is>
          <t>1960-10-20</t>
        </is>
      </c>
    </row>
    <row r="22259">
      <c r="A22259" s="1" t="n">
        <v>22258</v>
      </c>
      <c r="B22259">
        <f>TEXT(22258, "[$-0E0000]yyyy-mm-dd")</f>
        <v/>
      </c>
      <c r="C22259" t="inlineStr">
        <is>
          <t>1960-10-21</t>
        </is>
      </c>
    </row>
    <row r="22260">
      <c r="A22260" s="1" t="n">
        <v>22259</v>
      </c>
      <c r="B22260">
        <f>TEXT(22259, "[$-0E0000]yyyy-mm-dd")</f>
        <v/>
      </c>
      <c r="C22260" t="inlineStr">
        <is>
          <t>1960-10-22</t>
        </is>
      </c>
    </row>
    <row r="22261">
      <c r="A22261" s="1" t="n">
        <v>22260</v>
      </c>
      <c r="B22261">
        <f>TEXT(22260, "[$-0E0000]yyyy-mm-dd")</f>
        <v/>
      </c>
      <c r="C22261" t="inlineStr">
        <is>
          <t>1960-10-23</t>
        </is>
      </c>
    </row>
    <row r="22262">
      <c r="A22262" s="1" t="n">
        <v>22261</v>
      </c>
      <c r="B22262">
        <f>TEXT(22261, "[$-0E0000]yyyy-mm-dd")</f>
        <v/>
      </c>
      <c r="C22262" t="inlineStr">
        <is>
          <t>1960-10-24</t>
        </is>
      </c>
    </row>
    <row r="22263">
      <c r="A22263" s="1" t="n">
        <v>22262</v>
      </c>
      <c r="B22263">
        <f>TEXT(22262, "[$-0E0000]yyyy-mm-dd")</f>
        <v/>
      </c>
      <c r="C22263" t="inlineStr">
        <is>
          <t>1960-10-25</t>
        </is>
      </c>
    </row>
    <row r="22264">
      <c r="A22264" s="1" t="n">
        <v>22263</v>
      </c>
      <c r="B22264">
        <f>TEXT(22263, "[$-0E0000]yyyy-mm-dd")</f>
        <v/>
      </c>
      <c r="C22264" t="inlineStr">
        <is>
          <t>1960-10-26</t>
        </is>
      </c>
    </row>
    <row r="22265">
      <c r="A22265" s="1" t="n">
        <v>22264</v>
      </c>
      <c r="B22265">
        <f>TEXT(22264, "[$-0E0000]yyyy-mm-dd")</f>
        <v/>
      </c>
      <c r="C22265" t="inlineStr">
        <is>
          <t>1960-10-27</t>
        </is>
      </c>
    </row>
    <row r="22266">
      <c r="A22266" s="1" t="n">
        <v>22265</v>
      </c>
      <c r="B22266">
        <f>TEXT(22265, "[$-0E0000]yyyy-mm-dd")</f>
        <v/>
      </c>
      <c r="C22266" t="inlineStr">
        <is>
          <t>1960-10-28</t>
        </is>
      </c>
    </row>
    <row r="22267">
      <c r="A22267" s="1" t="n">
        <v>22266</v>
      </c>
      <c r="B22267">
        <f>TEXT(22266, "[$-0E0000]yyyy-mm-dd")</f>
        <v/>
      </c>
      <c r="C22267" t="inlineStr">
        <is>
          <t>1960-10-29</t>
        </is>
      </c>
    </row>
    <row r="22268">
      <c r="A22268" s="1" t="n">
        <v>22267</v>
      </c>
      <c r="B22268">
        <f>TEXT(22267, "[$-0E0000]yyyy-mm-dd")</f>
        <v/>
      </c>
      <c r="C22268" t="inlineStr">
        <is>
          <t>1960-11-01</t>
        </is>
      </c>
    </row>
    <row r="22269">
      <c r="A22269" s="1" t="n">
        <v>22268</v>
      </c>
      <c r="B22269">
        <f>TEXT(22268, "[$-0E0000]yyyy-mm-dd")</f>
        <v/>
      </c>
      <c r="C22269" t="inlineStr">
        <is>
          <t>1960-11-02</t>
        </is>
      </c>
    </row>
    <row r="22270">
      <c r="A22270" s="1" t="n">
        <v>22269</v>
      </c>
      <c r="B22270">
        <f>TEXT(22269, "[$-0E0000]yyyy-mm-dd")</f>
        <v/>
      </c>
      <c r="C22270" t="inlineStr">
        <is>
          <t>1960-11-03</t>
        </is>
      </c>
    </row>
    <row r="22271">
      <c r="A22271" s="1" t="n">
        <v>22270</v>
      </c>
      <c r="B22271">
        <f>TEXT(22270, "[$-0E0000]yyyy-mm-dd")</f>
        <v/>
      </c>
      <c r="C22271" t="inlineStr">
        <is>
          <t>1960-11-04</t>
        </is>
      </c>
    </row>
    <row r="22272">
      <c r="A22272" s="1" t="n">
        <v>22271</v>
      </c>
      <c r="B22272">
        <f>TEXT(22271, "[$-0E0000]yyyy-mm-dd")</f>
        <v/>
      </c>
      <c r="C22272" t="inlineStr">
        <is>
          <t>1960-11-05</t>
        </is>
      </c>
    </row>
    <row r="22273">
      <c r="A22273" s="1" t="n">
        <v>22272</v>
      </c>
      <c r="B22273">
        <f>TEXT(22272, "[$-0E0000]yyyy-mm-dd")</f>
        <v/>
      </c>
      <c r="C22273" t="inlineStr">
        <is>
          <t>1960-11-06</t>
        </is>
      </c>
    </row>
    <row r="22274">
      <c r="A22274" s="1" t="n">
        <v>22273</v>
      </c>
      <c r="B22274">
        <f>TEXT(22273, "[$-0E0000]yyyy-mm-dd")</f>
        <v/>
      </c>
      <c r="C22274" t="inlineStr">
        <is>
          <t>1960-11-07</t>
        </is>
      </c>
    </row>
    <row r="22275">
      <c r="A22275" s="1" t="n">
        <v>22274</v>
      </c>
      <c r="B22275">
        <f>TEXT(22274, "[$-0E0000]yyyy-mm-dd")</f>
        <v/>
      </c>
      <c r="C22275" t="inlineStr">
        <is>
          <t>1960-11-08</t>
        </is>
      </c>
    </row>
    <row r="22276">
      <c r="A22276" s="1" t="n">
        <v>22275</v>
      </c>
      <c r="B22276">
        <f>TEXT(22275, "[$-0E0000]yyyy-mm-dd")</f>
        <v/>
      </c>
      <c r="C22276" t="inlineStr">
        <is>
          <t>1960-11-09</t>
        </is>
      </c>
    </row>
    <row r="22277">
      <c r="A22277" s="1" t="n">
        <v>22276</v>
      </c>
      <c r="B22277">
        <f>TEXT(22276, "[$-0E0000]yyyy-mm-dd")</f>
        <v/>
      </c>
      <c r="C22277" t="inlineStr">
        <is>
          <t>1960-11-10</t>
        </is>
      </c>
    </row>
    <row r="22278">
      <c r="A22278" s="1" t="n">
        <v>22277</v>
      </c>
      <c r="B22278">
        <f>TEXT(22277, "[$-0E0000]yyyy-mm-dd")</f>
        <v/>
      </c>
      <c r="C22278" t="inlineStr">
        <is>
          <t>1960-11-11</t>
        </is>
      </c>
    </row>
    <row r="22279">
      <c r="A22279" s="1" t="n">
        <v>22278</v>
      </c>
      <c r="B22279">
        <f>TEXT(22278, "[$-0E0000]yyyy-mm-dd")</f>
        <v/>
      </c>
      <c r="C22279" t="inlineStr">
        <is>
          <t>1960-11-12</t>
        </is>
      </c>
    </row>
    <row r="22280">
      <c r="A22280" s="1" t="n">
        <v>22279</v>
      </c>
      <c r="B22280">
        <f>TEXT(22279, "[$-0E0000]yyyy-mm-dd")</f>
        <v/>
      </c>
      <c r="C22280" t="inlineStr">
        <is>
          <t>1960-11-13</t>
        </is>
      </c>
    </row>
    <row r="22281">
      <c r="A22281" s="1" t="n">
        <v>22280</v>
      </c>
      <c r="B22281">
        <f>TEXT(22280, "[$-0E0000]yyyy-mm-dd")</f>
        <v/>
      </c>
      <c r="C22281" t="inlineStr">
        <is>
          <t>1960-11-14</t>
        </is>
      </c>
    </row>
    <row r="22282">
      <c r="A22282" s="1" t="n">
        <v>22281</v>
      </c>
      <c r="B22282">
        <f>TEXT(22281, "[$-0E0000]yyyy-mm-dd")</f>
        <v/>
      </c>
      <c r="C22282" t="inlineStr">
        <is>
          <t>1960-11-15</t>
        </is>
      </c>
    </row>
    <row r="22283">
      <c r="A22283" s="1" t="n">
        <v>22282</v>
      </c>
      <c r="B22283">
        <f>TEXT(22282, "[$-0E0000]yyyy-mm-dd")</f>
        <v/>
      </c>
      <c r="C22283" t="inlineStr">
        <is>
          <t>1960-11-16</t>
        </is>
      </c>
    </row>
    <row r="22284">
      <c r="A22284" s="1" t="n">
        <v>22283</v>
      </c>
      <c r="B22284">
        <f>TEXT(22283, "[$-0E0000]yyyy-mm-dd")</f>
        <v/>
      </c>
      <c r="C22284" t="inlineStr">
        <is>
          <t>1960-11-17</t>
        </is>
      </c>
    </row>
    <row r="22285">
      <c r="A22285" s="1" t="n">
        <v>22284</v>
      </c>
      <c r="B22285">
        <f>TEXT(22284, "[$-0E0000]yyyy-mm-dd")</f>
        <v/>
      </c>
      <c r="C22285" t="inlineStr">
        <is>
          <t>1960-11-18</t>
        </is>
      </c>
    </row>
    <row r="22286">
      <c r="A22286" s="1" t="n">
        <v>22285</v>
      </c>
      <c r="B22286">
        <f>TEXT(22285, "[$-0E0000]yyyy-mm-dd")</f>
        <v/>
      </c>
      <c r="C22286" t="inlineStr">
        <is>
          <t>1960-11-19</t>
        </is>
      </c>
    </row>
    <row r="22287">
      <c r="A22287" s="1" t="n">
        <v>22286</v>
      </c>
      <c r="B22287">
        <f>TEXT(22286, "[$-0E0000]yyyy-mm-dd")</f>
        <v/>
      </c>
      <c r="C22287" t="inlineStr">
        <is>
          <t>1960-11-20</t>
        </is>
      </c>
    </row>
    <row r="22288">
      <c r="A22288" s="1" t="n">
        <v>22287</v>
      </c>
      <c r="B22288">
        <f>TEXT(22287, "[$-0E0000]yyyy-mm-dd")</f>
        <v/>
      </c>
      <c r="C22288" t="inlineStr">
        <is>
          <t>1960-11-21</t>
        </is>
      </c>
    </row>
    <row r="22289">
      <c r="A22289" s="1" t="n">
        <v>22288</v>
      </c>
      <c r="B22289">
        <f>TEXT(22288, "[$-0E0000]yyyy-mm-dd")</f>
        <v/>
      </c>
      <c r="C22289" t="inlineStr">
        <is>
          <t>1960-11-22</t>
        </is>
      </c>
    </row>
    <row r="22290">
      <c r="A22290" s="1" t="n">
        <v>22289</v>
      </c>
      <c r="B22290">
        <f>TEXT(22289, "[$-0E0000]yyyy-mm-dd")</f>
        <v/>
      </c>
      <c r="C22290" t="inlineStr">
        <is>
          <t>1960-11-23</t>
        </is>
      </c>
    </row>
    <row r="22291">
      <c r="A22291" s="1" t="n">
        <v>22290</v>
      </c>
      <c r="B22291">
        <f>TEXT(22290, "[$-0E0000]yyyy-mm-dd")</f>
        <v/>
      </c>
      <c r="C22291" t="inlineStr">
        <is>
          <t>1960-11-24</t>
        </is>
      </c>
    </row>
    <row r="22292">
      <c r="A22292" s="1" t="n">
        <v>22291</v>
      </c>
      <c r="B22292">
        <f>TEXT(22291, "[$-0E0000]yyyy-mm-dd")</f>
        <v/>
      </c>
      <c r="C22292" t="inlineStr">
        <is>
          <t>1960-11-25</t>
        </is>
      </c>
    </row>
    <row r="22293">
      <c r="A22293" s="1" t="n">
        <v>22292</v>
      </c>
      <c r="B22293">
        <f>TEXT(22292, "[$-0E0000]yyyy-mm-dd")</f>
        <v/>
      </c>
      <c r="C22293" t="inlineStr">
        <is>
          <t>1960-11-26</t>
        </is>
      </c>
    </row>
    <row r="22294">
      <c r="A22294" s="1" t="n">
        <v>22293</v>
      </c>
      <c r="B22294">
        <f>TEXT(22293, "[$-0E0000]yyyy-mm-dd")</f>
        <v/>
      </c>
      <c r="C22294" t="inlineStr">
        <is>
          <t>1960-11-27</t>
        </is>
      </c>
    </row>
    <row r="22295">
      <c r="A22295" s="1" t="n">
        <v>22294</v>
      </c>
      <c r="B22295">
        <f>TEXT(22294, "[$-0E0000]yyyy-mm-dd")</f>
        <v/>
      </c>
      <c r="C22295" t="inlineStr">
        <is>
          <t>1960-11-28</t>
        </is>
      </c>
    </row>
    <row r="22296">
      <c r="A22296" s="1" t="n">
        <v>22295</v>
      </c>
      <c r="B22296">
        <f>TEXT(22295, "[$-0E0000]yyyy-mm-dd")</f>
        <v/>
      </c>
      <c r="C22296" t="inlineStr">
        <is>
          <t>1960-11-29</t>
        </is>
      </c>
    </row>
    <row r="22297">
      <c r="A22297" s="1" t="n">
        <v>22296</v>
      </c>
      <c r="B22297">
        <f>TEXT(22296, "[$-0E0000]yyyy-mm-dd")</f>
        <v/>
      </c>
      <c r="C22297" t="inlineStr">
        <is>
          <t>1960-11-30</t>
        </is>
      </c>
    </row>
    <row r="22298">
      <c r="A22298" s="1" t="n">
        <v>22297</v>
      </c>
      <c r="B22298">
        <f>TEXT(22297, "[$-0E0000]yyyy-mm-dd")</f>
        <v/>
      </c>
      <c r="C22298" t="inlineStr">
        <is>
          <t>1960-12-01</t>
        </is>
      </c>
    </row>
    <row r="22299">
      <c r="A22299" s="1" t="n">
        <v>22298</v>
      </c>
      <c r="B22299">
        <f>TEXT(22298, "[$-0E0000]yyyy-mm-dd")</f>
        <v/>
      </c>
      <c r="C22299" t="inlineStr">
        <is>
          <t>1960-12-02</t>
        </is>
      </c>
    </row>
    <row r="22300">
      <c r="A22300" s="1" t="n">
        <v>22299</v>
      </c>
      <c r="B22300">
        <f>TEXT(22299, "[$-0E0000]yyyy-mm-dd")</f>
        <v/>
      </c>
      <c r="C22300" t="inlineStr">
        <is>
          <t>1960-12-03</t>
        </is>
      </c>
    </row>
    <row r="22301">
      <c r="A22301" s="1" t="n">
        <v>22300</v>
      </c>
      <c r="B22301">
        <f>TEXT(22300, "[$-0E0000]yyyy-mm-dd")</f>
        <v/>
      </c>
      <c r="C22301" t="inlineStr">
        <is>
          <t>1960-12-04</t>
        </is>
      </c>
    </row>
    <row r="22302">
      <c r="A22302" s="1" t="n">
        <v>22301</v>
      </c>
      <c r="B22302">
        <f>TEXT(22301, "[$-0E0000]yyyy-mm-dd")</f>
        <v/>
      </c>
      <c r="C22302" t="inlineStr">
        <is>
          <t>1960-12-05</t>
        </is>
      </c>
    </row>
    <row r="22303">
      <c r="A22303" s="1" t="n">
        <v>22302</v>
      </c>
      <c r="B22303">
        <f>TEXT(22302, "[$-0E0000]yyyy-mm-dd")</f>
        <v/>
      </c>
      <c r="C22303" t="inlineStr">
        <is>
          <t>1960-12-06</t>
        </is>
      </c>
    </row>
    <row r="22304">
      <c r="A22304" s="1" t="n">
        <v>22303</v>
      </c>
      <c r="B22304">
        <f>TEXT(22303, "[$-0E0000]yyyy-mm-dd")</f>
        <v/>
      </c>
      <c r="C22304" t="inlineStr">
        <is>
          <t>1960-12-07</t>
        </is>
      </c>
    </row>
    <row r="22305">
      <c r="A22305" s="1" t="n">
        <v>22304</v>
      </c>
      <c r="B22305">
        <f>TEXT(22304, "[$-0E0000]yyyy-mm-dd")</f>
        <v/>
      </c>
      <c r="C22305" t="inlineStr">
        <is>
          <t>1960-12-08</t>
        </is>
      </c>
    </row>
    <row r="22306">
      <c r="A22306" s="1" t="n">
        <v>22305</v>
      </c>
      <c r="B22306">
        <f>TEXT(22305, "[$-0E0000]yyyy-mm-dd")</f>
        <v/>
      </c>
      <c r="C22306" t="inlineStr">
        <is>
          <t>1960-12-09</t>
        </is>
      </c>
    </row>
    <row r="22307">
      <c r="A22307" s="1" t="n">
        <v>22306</v>
      </c>
      <c r="B22307">
        <f>TEXT(22306, "[$-0E0000]yyyy-mm-dd")</f>
        <v/>
      </c>
      <c r="C22307" t="inlineStr">
        <is>
          <t>1960-12-10</t>
        </is>
      </c>
    </row>
    <row r="22308">
      <c r="A22308" s="1" t="n">
        <v>22307</v>
      </c>
      <c r="B22308">
        <f>TEXT(22307, "[$-0E0000]yyyy-mm-dd")</f>
        <v/>
      </c>
      <c r="C22308" t="inlineStr">
        <is>
          <t>1960-12-11</t>
        </is>
      </c>
    </row>
    <row r="22309">
      <c r="A22309" s="1" t="n">
        <v>22308</v>
      </c>
      <c r="B22309">
        <f>TEXT(22308, "[$-0E0000]yyyy-mm-dd")</f>
        <v/>
      </c>
      <c r="C22309" t="inlineStr">
        <is>
          <t>1960-12-12</t>
        </is>
      </c>
    </row>
    <row r="22310">
      <c r="A22310" s="1" t="n">
        <v>22309</v>
      </c>
      <c r="B22310">
        <f>TEXT(22309, "[$-0E0000]yyyy-mm-dd")</f>
        <v/>
      </c>
      <c r="C22310" t="inlineStr">
        <is>
          <t>1960-12-13</t>
        </is>
      </c>
    </row>
    <row r="22311">
      <c r="A22311" s="1" t="n">
        <v>22310</v>
      </c>
      <c r="B22311">
        <f>TEXT(22310, "[$-0E0000]yyyy-mm-dd")</f>
        <v/>
      </c>
      <c r="C22311" t="inlineStr">
        <is>
          <t>1960-12-14</t>
        </is>
      </c>
    </row>
    <row r="22312">
      <c r="A22312" s="1" t="n">
        <v>22311</v>
      </c>
      <c r="B22312">
        <f>TEXT(22311, "[$-0E0000]yyyy-mm-dd")</f>
        <v/>
      </c>
      <c r="C22312" t="inlineStr">
        <is>
          <t>1960-12-15</t>
        </is>
      </c>
    </row>
    <row r="22313">
      <c r="A22313" s="1" t="n">
        <v>22312</v>
      </c>
      <c r="B22313">
        <f>TEXT(22312, "[$-0E0000]yyyy-mm-dd")</f>
        <v/>
      </c>
      <c r="C22313" t="inlineStr">
        <is>
          <t>1960-12-16</t>
        </is>
      </c>
    </row>
    <row r="22314">
      <c r="A22314" s="1" t="n">
        <v>22313</v>
      </c>
      <c r="B22314">
        <f>TEXT(22313, "[$-0E0000]yyyy-mm-dd")</f>
        <v/>
      </c>
      <c r="C22314" t="inlineStr">
        <is>
          <t>1960-12-17</t>
        </is>
      </c>
    </row>
    <row r="22315">
      <c r="A22315" s="1" t="n">
        <v>22314</v>
      </c>
      <c r="B22315">
        <f>TEXT(22314, "[$-0E0000]yyyy-mm-dd")</f>
        <v/>
      </c>
      <c r="C22315" t="inlineStr">
        <is>
          <t>1960-12-18</t>
        </is>
      </c>
    </row>
    <row r="22316">
      <c r="A22316" s="1" t="n">
        <v>22315</v>
      </c>
      <c r="B22316">
        <f>TEXT(22315, "[$-0E0000]yyyy-mm-dd")</f>
        <v/>
      </c>
      <c r="C22316" t="inlineStr">
        <is>
          <t>1960-12-19</t>
        </is>
      </c>
    </row>
    <row r="22317">
      <c r="A22317" s="1" t="n">
        <v>22316</v>
      </c>
      <c r="B22317">
        <f>TEXT(22316, "[$-0E0000]yyyy-mm-dd")</f>
        <v/>
      </c>
      <c r="C22317" t="inlineStr">
        <is>
          <t>1960-12-20</t>
        </is>
      </c>
    </row>
    <row r="22318">
      <c r="A22318" s="1" t="n">
        <v>22317</v>
      </c>
      <c r="B22318">
        <f>TEXT(22317, "[$-0E0000]yyyy-mm-dd")</f>
        <v/>
      </c>
      <c r="C22318" t="inlineStr">
        <is>
          <t>1960-12-21</t>
        </is>
      </c>
    </row>
    <row r="22319">
      <c r="A22319" s="1" t="n">
        <v>22318</v>
      </c>
      <c r="B22319">
        <f>TEXT(22318, "[$-0E0000]yyyy-mm-dd")</f>
        <v/>
      </c>
      <c r="C22319" t="inlineStr">
        <is>
          <t>1960-12-22</t>
        </is>
      </c>
    </row>
    <row r="22320">
      <c r="A22320" s="1" t="n">
        <v>22319</v>
      </c>
      <c r="B22320">
        <f>TEXT(22319, "[$-0E0000]yyyy-mm-dd")</f>
        <v/>
      </c>
      <c r="C22320" t="inlineStr">
        <is>
          <t>1960-12-23</t>
        </is>
      </c>
    </row>
    <row r="22321">
      <c r="A22321" s="1" t="n">
        <v>22320</v>
      </c>
      <c r="B22321">
        <f>TEXT(22320, "[$-0E0000]yyyy-mm-dd")</f>
        <v/>
      </c>
      <c r="C22321" t="inlineStr">
        <is>
          <t>1960-12-24</t>
        </is>
      </c>
    </row>
    <row r="22322">
      <c r="A22322" s="1" t="n">
        <v>22321</v>
      </c>
      <c r="B22322">
        <f>TEXT(22321, "[$-0E0000]yyyy-mm-dd")</f>
        <v/>
      </c>
      <c r="C22322" t="inlineStr">
        <is>
          <t>1960-12-25</t>
        </is>
      </c>
    </row>
    <row r="22323">
      <c r="A22323" s="1" t="n">
        <v>22322</v>
      </c>
      <c r="B22323">
        <f>TEXT(22322, "[$-0E0000]yyyy-mm-dd")</f>
        <v/>
      </c>
      <c r="C22323" t="inlineStr">
        <is>
          <t>1960-12-26</t>
        </is>
      </c>
    </row>
    <row r="22324">
      <c r="A22324" s="1" t="n">
        <v>22323</v>
      </c>
      <c r="B22324">
        <f>TEXT(22323, "[$-0E0000]yyyy-mm-dd")</f>
        <v/>
      </c>
      <c r="C22324" t="inlineStr">
        <is>
          <t>1960-12-27</t>
        </is>
      </c>
    </row>
    <row r="22325">
      <c r="A22325" s="1" t="n">
        <v>22324</v>
      </c>
      <c r="B22325">
        <f>TEXT(22324, "[$-0E0000]yyyy-mm-dd")</f>
        <v/>
      </c>
      <c r="C22325" t="inlineStr">
        <is>
          <t>1960-12-28</t>
        </is>
      </c>
    </row>
    <row r="22326">
      <c r="A22326" s="1" t="n">
        <v>22325</v>
      </c>
      <c r="B22326">
        <f>TEXT(22325, "[$-0E0000]yyyy-mm-dd")</f>
        <v/>
      </c>
      <c r="C22326" t="inlineStr">
        <is>
          <t>1960-12-29</t>
        </is>
      </c>
    </row>
    <row r="22327">
      <c r="A22327" s="1" t="n">
        <v>22326</v>
      </c>
      <c r="B22327">
        <f>TEXT(22326, "[$-0E0000]yyyy-mm-dd")</f>
        <v/>
      </c>
      <c r="C22327" t="inlineStr">
        <is>
          <t>1961-01-01</t>
        </is>
      </c>
    </row>
    <row r="22328">
      <c r="A22328" s="1" t="n">
        <v>22327</v>
      </c>
      <c r="B22328">
        <f>TEXT(22327, "[$-0E0000]yyyy-mm-dd")</f>
        <v/>
      </c>
      <c r="C22328" t="inlineStr">
        <is>
          <t>1961-01-02</t>
        </is>
      </c>
    </row>
    <row r="22329">
      <c r="A22329" s="1" t="n">
        <v>22328</v>
      </c>
      <c r="B22329">
        <f>TEXT(22328, "[$-0E0000]yyyy-mm-dd")</f>
        <v/>
      </c>
      <c r="C22329" t="inlineStr">
        <is>
          <t>1961-01-03</t>
        </is>
      </c>
    </row>
    <row r="22330">
      <c r="A22330" s="1" t="n">
        <v>22329</v>
      </c>
      <c r="B22330">
        <f>TEXT(22329, "[$-0E0000]yyyy-mm-dd")</f>
        <v/>
      </c>
      <c r="C22330" t="inlineStr">
        <is>
          <t>1961-01-04</t>
        </is>
      </c>
    </row>
    <row r="22331">
      <c r="A22331" s="1" t="n">
        <v>22330</v>
      </c>
      <c r="B22331">
        <f>TEXT(22330, "[$-0E0000]yyyy-mm-dd")</f>
        <v/>
      </c>
      <c r="C22331" t="inlineStr">
        <is>
          <t>1961-01-05</t>
        </is>
      </c>
    </row>
    <row r="22332">
      <c r="A22332" s="1" t="n">
        <v>22331</v>
      </c>
      <c r="B22332">
        <f>TEXT(22331, "[$-0E0000]yyyy-mm-dd")</f>
        <v/>
      </c>
      <c r="C22332" t="inlineStr">
        <is>
          <t>1961-01-06</t>
        </is>
      </c>
    </row>
    <row r="22333">
      <c r="A22333" s="1" t="n">
        <v>22332</v>
      </c>
      <c r="B22333">
        <f>TEXT(22332, "[$-0E0000]yyyy-mm-dd")</f>
        <v/>
      </c>
      <c r="C22333" t="inlineStr">
        <is>
          <t>1961-01-07</t>
        </is>
      </c>
    </row>
    <row r="22334">
      <c r="A22334" s="1" t="n">
        <v>22333</v>
      </c>
      <c r="B22334">
        <f>TEXT(22333, "[$-0E0000]yyyy-mm-dd")</f>
        <v/>
      </c>
      <c r="C22334" t="inlineStr">
        <is>
          <t>1961-01-08</t>
        </is>
      </c>
    </row>
    <row r="22335">
      <c r="A22335" s="1" t="n">
        <v>22334</v>
      </c>
      <c r="B22335">
        <f>TEXT(22334, "[$-0E0000]yyyy-mm-dd")</f>
        <v/>
      </c>
      <c r="C22335" t="inlineStr">
        <is>
          <t>1961-01-09</t>
        </is>
      </c>
    </row>
    <row r="22336">
      <c r="A22336" s="1" t="n">
        <v>22335</v>
      </c>
      <c r="B22336">
        <f>TEXT(22335, "[$-0E0000]yyyy-mm-dd")</f>
        <v/>
      </c>
      <c r="C22336" t="inlineStr">
        <is>
          <t>1961-01-10</t>
        </is>
      </c>
    </row>
    <row r="22337">
      <c r="A22337" s="1" t="n">
        <v>22336</v>
      </c>
      <c r="B22337">
        <f>TEXT(22336, "[$-0E0000]yyyy-mm-dd")</f>
        <v/>
      </c>
      <c r="C22337" t="inlineStr">
        <is>
          <t>1961-01-11</t>
        </is>
      </c>
    </row>
    <row r="22338">
      <c r="A22338" s="1" t="n">
        <v>22337</v>
      </c>
      <c r="B22338">
        <f>TEXT(22337, "[$-0E0000]yyyy-mm-dd")</f>
        <v/>
      </c>
      <c r="C22338" t="inlineStr">
        <is>
          <t>1961-01-12</t>
        </is>
      </c>
    </row>
    <row r="22339">
      <c r="A22339" s="1" t="n">
        <v>22338</v>
      </c>
      <c r="B22339">
        <f>TEXT(22338, "[$-0E0000]yyyy-mm-dd")</f>
        <v/>
      </c>
      <c r="C22339" t="inlineStr">
        <is>
          <t>1961-01-13</t>
        </is>
      </c>
    </row>
    <row r="22340">
      <c r="A22340" s="1" t="n">
        <v>22339</v>
      </c>
      <c r="B22340">
        <f>TEXT(22339, "[$-0E0000]yyyy-mm-dd")</f>
        <v/>
      </c>
      <c r="C22340" t="inlineStr">
        <is>
          <t>1961-01-14</t>
        </is>
      </c>
    </row>
    <row r="22341">
      <c r="A22341" s="1" t="n">
        <v>22340</v>
      </c>
      <c r="B22341">
        <f>TEXT(22340, "[$-0E0000]yyyy-mm-dd")</f>
        <v/>
      </c>
      <c r="C22341" t="inlineStr">
        <is>
          <t>1961-01-15</t>
        </is>
      </c>
    </row>
    <row r="22342">
      <c r="A22342" s="1" t="n">
        <v>22341</v>
      </c>
      <c r="B22342">
        <f>TEXT(22341, "[$-0E0000]yyyy-mm-dd")</f>
        <v/>
      </c>
      <c r="C22342" t="inlineStr">
        <is>
          <t>1961-01-16</t>
        </is>
      </c>
    </row>
    <row r="22343">
      <c r="A22343" s="1" t="n">
        <v>22342</v>
      </c>
      <c r="B22343">
        <f>TEXT(22342, "[$-0E0000]yyyy-mm-dd")</f>
        <v/>
      </c>
      <c r="C22343" t="inlineStr">
        <is>
          <t>1961-01-17</t>
        </is>
      </c>
    </row>
    <row r="22344">
      <c r="A22344" s="1" t="n">
        <v>22343</v>
      </c>
      <c r="B22344">
        <f>TEXT(22343, "[$-0E0000]yyyy-mm-dd")</f>
        <v/>
      </c>
      <c r="C22344" t="inlineStr">
        <is>
          <t>1961-01-18</t>
        </is>
      </c>
    </row>
    <row r="22345">
      <c r="A22345" s="1" t="n">
        <v>22344</v>
      </c>
      <c r="B22345">
        <f>TEXT(22344, "[$-0E0000]yyyy-mm-dd")</f>
        <v/>
      </c>
      <c r="C22345" t="inlineStr">
        <is>
          <t>1961-01-19</t>
        </is>
      </c>
    </row>
    <row r="22346">
      <c r="A22346" s="1" t="n">
        <v>22345</v>
      </c>
      <c r="B22346">
        <f>TEXT(22345, "[$-0E0000]yyyy-mm-dd")</f>
        <v/>
      </c>
      <c r="C22346" t="inlineStr">
        <is>
          <t>1961-01-20</t>
        </is>
      </c>
    </row>
    <row r="22347">
      <c r="A22347" s="1" t="n">
        <v>22346</v>
      </c>
      <c r="B22347">
        <f>TEXT(22346, "[$-0E0000]yyyy-mm-dd")</f>
        <v/>
      </c>
      <c r="C22347" t="inlineStr">
        <is>
          <t>1961-01-21</t>
        </is>
      </c>
    </row>
    <row r="22348">
      <c r="A22348" s="1" t="n">
        <v>22347</v>
      </c>
      <c r="B22348">
        <f>TEXT(22347, "[$-0E0000]yyyy-mm-dd")</f>
        <v/>
      </c>
      <c r="C22348" t="inlineStr">
        <is>
          <t>1961-01-22</t>
        </is>
      </c>
    </row>
    <row r="22349">
      <c r="A22349" s="1" t="n">
        <v>22348</v>
      </c>
      <c r="B22349">
        <f>TEXT(22348, "[$-0E0000]yyyy-mm-dd")</f>
        <v/>
      </c>
      <c r="C22349" t="inlineStr">
        <is>
          <t>1961-01-23</t>
        </is>
      </c>
    </row>
    <row r="22350">
      <c r="A22350" s="1" t="n">
        <v>22349</v>
      </c>
      <c r="B22350">
        <f>TEXT(22349, "[$-0E0000]yyyy-mm-dd")</f>
        <v/>
      </c>
      <c r="C22350" t="inlineStr">
        <is>
          <t>1961-01-24</t>
        </is>
      </c>
    </row>
    <row r="22351">
      <c r="A22351" s="1" t="n">
        <v>22350</v>
      </c>
      <c r="B22351">
        <f>TEXT(22350, "[$-0E0000]yyyy-mm-dd")</f>
        <v/>
      </c>
      <c r="C22351" t="inlineStr">
        <is>
          <t>1961-01-25</t>
        </is>
      </c>
    </row>
    <row r="22352">
      <c r="A22352" s="1" t="n">
        <v>22351</v>
      </c>
      <c r="B22352">
        <f>TEXT(22351, "[$-0E0000]yyyy-mm-dd")</f>
        <v/>
      </c>
      <c r="C22352" t="inlineStr">
        <is>
          <t>1961-01-26</t>
        </is>
      </c>
    </row>
    <row r="22353">
      <c r="A22353" s="1" t="n">
        <v>22352</v>
      </c>
      <c r="B22353">
        <f>TEXT(22352, "[$-0E0000]yyyy-mm-dd")</f>
        <v/>
      </c>
      <c r="C22353" t="inlineStr">
        <is>
          <t>1961-01-27</t>
        </is>
      </c>
    </row>
    <row r="22354">
      <c r="A22354" s="1" t="n">
        <v>22353</v>
      </c>
      <c r="B22354">
        <f>TEXT(22353, "[$-0E0000]yyyy-mm-dd")</f>
        <v/>
      </c>
      <c r="C22354" t="inlineStr">
        <is>
          <t>1961-01-28</t>
        </is>
      </c>
    </row>
    <row r="22355">
      <c r="A22355" s="1" t="n">
        <v>22354</v>
      </c>
      <c r="B22355">
        <f>TEXT(22354, "[$-0E0000]yyyy-mm-dd")</f>
        <v/>
      </c>
      <c r="C22355" t="inlineStr">
        <is>
          <t>1961-01-29</t>
        </is>
      </c>
    </row>
    <row r="22356">
      <c r="A22356" s="1" t="n">
        <v>22355</v>
      </c>
      <c r="B22356">
        <f>TEXT(22355, "[$-0E0000]yyyy-mm-dd")</f>
        <v/>
      </c>
      <c r="C22356" t="inlineStr">
        <is>
          <t>1961-01-30</t>
        </is>
      </c>
    </row>
    <row r="22357">
      <c r="A22357" s="1" t="n">
        <v>22356</v>
      </c>
      <c r="B22357">
        <f>TEXT(22356, "[$-0E0000]yyyy-mm-dd")</f>
        <v/>
      </c>
      <c r="C22357" t="inlineStr">
        <is>
          <t>1961-02-01</t>
        </is>
      </c>
    </row>
    <row r="22358">
      <c r="A22358" s="1" t="n">
        <v>22357</v>
      </c>
      <c r="B22358">
        <f>TEXT(22357, "[$-0E0000]yyyy-mm-dd")</f>
        <v/>
      </c>
      <c r="C22358" t="inlineStr">
        <is>
          <t>1961-02-02</t>
        </is>
      </c>
    </row>
    <row r="22359">
      <c r="A22359" s="1" t="n">
        <v>22358</v>
      </c>
      <c r="B22359">
        <f>TEXT(22358, "[$-0E0000]yyyy-mm-dd")</f>
        <v/>
      </c>
      <c r="C22359" t="inlineStr">
        <is>
          <t>1961-02-03</t>
        </is>
      </c>
    </row>
    <row r="22360">
      <c r="A22360" s="1" t="n">
        <v>22359</v>
      </c>
      <c r="B22360">
        <f>TEXT(22359, "[$-0E0000]yyyy-mm-dd")</f>
        <v/>
      </c>
      <c r="C22360" t="inlineStr">
        <is>
          <t>1961-02-04</t>
        </is>
      </c>
    </row>
    <row r="22361">
      <c r="A22361" s="1" t="n">
        <v>22360</v>
      </c>
      <c r="B22361">
        <f>TEXT(22360, "[$-0E0000]yyyy-mm-dd")</f>
        <v/>
      </c>
      <c r="C22361" t="inlineStr">
        <is>
          <t>1961-02-05</t>
        </is>
      </c>
    </row>
    <row r="22362">
      <c r="A22362" s="1" t="n">
        <v>22361</v>
      </c>
      <c r="B22362">
        <f>TEXT(22361, "[$-0E0000]yyyy-mm-dd")</f>
        <v/>
      </c>
      <c r="C22362" t="inlineStr">
        <is>
          <t>1961-02-06</t>
        </is>
      </c>
    </row>
    <row r="22363">
      <c r="A22363" s="1" t="n">
        <v>22362</v>
      </c>
      <c r="B22363">
        <f>TEXT(22362, "[$-0E0000]yyyy-mm-dd")</f>
        <v/>
      </c>
      <c r="C22363" t="inlineStr">
        <is>
          <t>1961-02-07</t>
        </is>
      </c>
    </row>
    <row r="22364">
      <c r="A22364" s="1" t="n">
        <v>22363</v>
      </c>
      <c r="B22364">
        <f>TEXT(22363, "[$-0E0000]yyyy-mm-dd")</f>
        <v/>
      </c>
      <c r="C22364" t="inlineStr">
        <is>
          <t>1961-02-08</t>
        </is>
      </c>
    </row>
    <row r="22365">
      <c r="A22365" s="1" t="n">
        <v>22364</v>
      </c>
      <c r="B22365">
        <f>TEXT(22364, "[$-0E0000]yyyy-mm-dd")</f>
        <v/>
      </c>
      <c r="C22365" t="inlineStr">
        <is>
          <t>1961-02-09</t>
        </is>
      </c>
    </row>
    <row r="22366">
      <c r="A22366" s="1" t="n">
        <v>22365</v>
      </c>
      <c r="B22366">
        <f>TEXT(22365, "[$-0E0000]yyyy-mm-dd")</f>
        <v/>
      </c>
      <c r="C22366" t="inlineStr">
        <is>
          <t>1961-02-10</t>
        </is>
      </c>
    </row>
    <row r="22367">
      <c r="A22367" s="1" t="n">
        <v>22366</v>
      </c>
      <c r="B22367">
        <f>TEXT(22366, "[$-0E0000]yyyy-mm-dd")</f>
        <v/>
      </c>
      <c r="C22367" t="inlineStr">
        <is>
          <t>1961-02-11</t>
        </is>
      </c>
    </row>
    <row r="22368">
      <c r="A22368" s="1" t="n">
        <v>22367</v>
      </c>
      <c r="B22368">
        <f>TEXT(22367, "[$-0E0000]yyyy-mm-dd")</f>
        <v/>
      </c>
      <c r="C22368" t="inlineStr">
        <is>
          <t>1961-02-12</t>
        </is>
      </c>
    </row>
    <row r="22369">
      <c r="A22369" s="1" t="n">
        <v>22368</v>
      </c>
      <c r="B22369">
        <f>TEXT(22368, "[$-0E0000]yyyy-mm-dd")</f>
        <v/>
      </c>
      <c r="C22369" t="inlineStr">
        <is>
          <t>1961-02-13</t>
        </is>
      </c>
    </row>
    <row r="22370">
      <c r="A22370" s="1" t="n">
        <v>22369</v>
      </c>
      <c r="B22370">
        <f>TEXT(22369, "[$-0E0000]yyyy-mm-dd")</f>
        <v/>
      </c>
      <c r="C22370" t="inlineStr">
        <is>
          <t>1961-02-14</t>
        </is>
      </c>
    </row>
    <row r="22371">
      <c r="A22371" s="1" t="n">
        <v>22370</v>
      </c>
      <c r="B22371">
        <f>TEXT(22370, "[$-0E0000]yyyy-mm-dd")</f>
        <v/>
      </c>
      <c r="C22371" t="inlineStr">
        <is>
          <t>1961-02-15</t>
        </is>
      </c>
    </row>
    <row r="22372">
      <c r="A22372" s="1" t="n">
        <v>22371</v>
      </c>
      <c r="B22372">
        <f>TEXT(22371, "[$-0E0000]yyyy-mm-dd")</f>
        <v/>
      </c>
      <c r="C22372" t="inlineStr">
        <is>
          <t>1961-02-16</t>
        </is>
      </c>
    </row>
    <row r="22373">
      <c r="A22373" s="1" t="n">
        <v>22372</v>
      </c>
      <c r="B22373">
        <f>TEXT(22372, "[$-0E0000]yyyy-mm-dd")</f>
        <v/>
      </c>
      <c r="C22373" t="inlineStr">
        <is>
          <t>1961-02-17</t>
        </is>
      </c>
    </row>
    <row r="22374">
      <c r="A22374" s="1" t="n">
        <v>22373</v>
      </c>
      <c r="B22374">
        <f>TEXT(22373, "[$-0E0000]yyyy-mm-dd")</f>
        <v/>
      </c>
      <c r="C22374" t="inlineStr">
        <is>
          <t>1961-02-18</t>
        </is>
      </c>
    </row>
    <row r="22375">
      <c r="A22375" s="1" t="n">
        <v>22374</v>
      </c>
      <c r="B22375">
        <f>TEXT(22374, "[$-0E0000]yyyy-mm-dd")</f>
        <v/>
      </c>
      <c r="C22375" t="inlineStr">
        <is>
          <t>1961-02-19</t>
        </is>
      </c>
    </row>
    <row r="22376">
      <c r="A22376" s="1" t="n">
        <v>22375</v>
      </c>
      <c r="B22376">
        <f>TEXT(22375, "[$-0E0000]yyyy-mm-dd")</f>
        <v/>
      </c>
      <c r="C22376" t="inlineStr">
        <is>
          <t>1961-02-20</t>
        </is>
      </c>
    </row>
    <row r="22377">
      <c r="A22377" s="1" t="n">
        <v>22376</v>
      </c>
      <c r="B22377">
        <f>TEXT(22376, "[$-0E0000]yyyy-mm-dd")</f>
        <v/>
      </c>
      <c r="C22377" t="inlineStr">
        <is>
          <t>1961-02-21</t>
        </is>
      </c>
    </row>
    <row r="22378">
      <c r="A22378" s="1" t="n">
        <v>22377</v>
      </c>
      <c r="B22378">
        <f>TEXT(22377, "[$-0E0000]yyyy-mm-dd")</f>
        <v/>
      </c>
      <c r="C22378" t="inlineStr">
        <is>
          <t>1961-02-22</t>
        </is>
      </c>
    </row>
    <row r="22379">
      <c r="A22379" s="1" t="n">
        <v>22378</v>
      </c>
      <c r="B22379">
        <f>TEXT(22378, "[$-0E0000]yyyy-mm-dd")</f>
        <v/>
      </c>
      <c r="C22379" t="inlineStr">
        <is>
          <t>1961-02-23</t>
        </is>
      </c>
    </row>
    <row r="22380">
      <c r="A22380" s="1" t="n">
        <v>22379</v>
      </c>
      <c r="B22380">
        <f>TEXT(22379, "[$-0E0000]yyyy-mm-dd")</f>
        <v/>
      </c>
      <c r="C22380" t="inlineStr">
        <is>
          <t>1961-02-24</t>
        </is>
      </c>
    </row>
    <row r="22381">
      <c r="A22381" s="1" t="n">
        <v>22380</v>
      </c>
      <c r="B22381">
        <f>TEXT(22380, "[$-0E0000]yyyy-mm-dd")</f>
        <v/>
      </c>
      <c r="C22381" t="inlineStr">
        <is>
          <t>1961-02-25</t>
        </is>
      </c>
    </row>
    <row r="22382">
      <c r="A22382" s="1" t="n">
        <v>22381</v>
      </c>
      <c r="B22382">
        <f>TEXT(22381, "[$-0E0000]yyyy-mm-dd")</f>
        <v/>
      </c>
      <c r="C22382" t="inlineStr">
        <is>
          <t>1961-02-26</t>
        </is>
      </c>
    </row>
    <row r="22383">
      <c r="A22383" s="1" t="n">
        <v>22382</v>
      </c>
      <c r="B22383">
        <f>TEXT(22382, "[$-0E0000]yyyy-mm-dd")</f>
        <v/>
      </c>
      <c r="C22383" t="inlineStr">
        <is>
          <t>1961-02-27</t>
        </is>
      </c>
    </row>
    <row r="22384">
      <c r="A22384" s="1" t="n">
        <v>22383</v>
      </c>
      <c r="B22384">
        <f>TEXT(22383, "[$-0E0000]yyyy-mm-dd")</f>
        <v/>
      </c>
      <c r="C22384" t="inlineStr">
        <is>
          <t>1961-02-28</t>
        </is>
      </c>
    </row>
    <row r="22385">
      <c r="A22385" s="1" t="n">
        <v>22384</v>
      </c>
      <c r="B22385">
        <f>TEXT(22384, "[$-0E0000]yyyy-mm-dd")</f>
        <v/>
      </c>
      <c r="C22385" t="inlineStr">
        <is>
          <t>1961-02-29</t>
        </is>
      </c>
    </row>
    <row r="22386">
      <c r="A22386" s="1" t="n">
        <v>22385</v>
      </c>
      <c r="B22386">
        <f>TEXT(22385, "[$-0E0000]yyyy-mm-dd")</f>
        <v/>
      </c>
      <c r="C22386" t="inlineStr">
        <is>
          <t>1961-03-01</t>
        </is>
      </c>
    </row>
    <row r="22387">
      <c r="A22387" s="1" t="n">
        <v>22386</v>
      </c>
      <c r="B22387">
        <f>TEXT(22386, "[$-0E0000]yyyy-mm-dd")</f>
        <v/>
      </c>
      <c r="C22387" t="inlineStr">
        <is>
          <t>1961-03-02</t>
        </is>
      </c>
    </row>
    <row r="22388">
      <c r="A22388" s="1" t="n">
        <v>22387</v>
      </c>
      <c r="B22388">
        <f>TEXT(22387, "[$-0E0000]yyyy-mm-dd")</f>
        <v/>
      </c>
      <c r="C22388" t="inlineStr">
        <is>
          <t>1961-03-03</t>
        </is>
      </c>
    </row>
    <row r="22389">
      <c r="A22389" s="1" t="n">
        <v>22388</v>
      </c>
      <c r="B22389">
        <f>TEXT(22388, "[$-0E0000]yyyy-mm-dd")</f>
        <v/>
      </c>
      <c r="C22389" t="inlineStr">
        <is>
          <t>1961-03-04</t>
        </is>
      </c>
    </row>
    <row r="22390">
      <c r="A22390" s="1" t="n">
        <v>22389</v>
      </c>
      <c r="B22390">
        <f>TEXT(22389, "[$-0E0000]yyyy-mm-dd")</f>
        <v/>
      </c>
      <c r="C22390" t="inlineStr">
        <is>
          <t>1961-03-05</t>
        </is>
      </c>
    </row>
    <row r="22391">
      <c r="A22391" s="1" t="n">
        <v>22390</v>
      </c>
      <c r="B22391">
        <f>TEXT(22390, "[$-0E0000]yyyy-mm-dd")</f>
        <v/>
      </c>
      <c r="C22391" t="inlineStr">
        <is>
          <t>1961-03-06</t>
        </is>
      </c>
    </row>
    <row r="22392">
      <c r="A22392" s="1" t="n">
        <v>22391</v>
      </c>
      <c r="B22392">
        <f>TEXT(22391, "[$-0E0000]yyyy-mm-dd")</f>
        <v/>
      </c>
      <c r="C22392" t="inlineStr">
        <is>
          <t>1961-03-07</t>
        </is>
      </c>
    </row>
    <row r="22393">
      <c r="A22393" s="1" t="n">
        <v>22392</v>
      </c>
      <c r="B22393">
        <f>TEXT(22392, "[$-0E0000]yyyy-mm-dd")</f>
        <v/>
      </c>
      <c r="C22393" t="inlineStr">
        <is>
          <t>1961-03-08</t>
        </is>
      </c>
    </row>
    <row r="22394">
      <c r="A22394" s="1" t="n">
        <v>22393</v>
      </c>
      <c r="B22394">
        <f>TEXT(22393, "[$-0E0000]yyyy-mm-dd")</f>
        <v/>
      </c>
      <c r="C22394" t="inlineStr">
        <is>
          <t>1961-03-09</t>
        </is>
      </c>
    </row>
    <row r="22395">
      <c r="A22395" s="1" t="n">
        <v>22394</v>
      </c>
      <c r="B22395">
        <f>TEXT(22394, "[$-0E0000]yyyy-mm-dd")</f>
        <v/>
      </c>
      <c r="C22395" t="inlineStr">
        <is>
          <t>1961-03-10</t>
        </is>
      </c>
    </row>
    <row r="22396">
      <c r="A22396" s="1" t="n">
        <v>22395</v>
      </c>
      <c r="B22396">
        <f>TEXT(22395, "[$-0E0000]yyyy-mm-dd")</f>
        <v/>
      </c>
      <c r="C22396" t="inlineStr">
        <is>
          <t>1961-03-11</t>
        </is>
      </c>
    </row>
    <row r="22397">
      <c r="A22397" s="1" t="n">
        <v>22396</v>
      </c>
      <c r="B22397">
        <f>TEXT(22396, "[$-0E0000]yyyy-mm-dd")</f>
        <v/>
      </c>
      <c r="C22397" t="inlineStr">
        <is>
          <t>1961-03-12</t>
        </is>
      </c>
    </row>
    <row r="22398">
      <c r="A22398" s="1" t="n">
        <v>22397</v>
      </c>
      <c r="B22398">
        <f>TEXT(22397, "[$-0E0000]yyyy-mm-dd")</f>
        <v/>
      </c>
      <c r="C22398" t="inlineStr">
        <is>
          <t>1961-03-13</t>
        </is>
      </c>
    </row>
    <row r="22399">
      <c r="A22399" s="1" t="n">
        <v>22398</v>
      </c>
      <c r="B22399">
        <f>TEXT(22398, "[$-0E0000]yyyy-mm-dd")</f>
        <v/>
      </c>
      <c r="C22399" t="inlineStr">
        <is>
          <t>1961-03-14</t>
        </is>
      </c>
    </row>
    <row r="22400">
      <c r="A22400" s="1" t="n">
        <v>22399</v>
      </c>
      <c r="B22400">
        <f>TEXT(22399, "[$-0E0000]yyyy-mm-dd")</f>
        <v/>
      </c>
      <c r="C22400" t="inlineStr">
        <is>
          <t>1961-03-15</t>
        </is>
      </c>
    </row>
    <row r="22401">
      <c r="A22401" s="1" t="n">
        <v>22400</v>
      </c>
      <c r="B22401">
        <f>TEXT(22400, "[$-0E0000]yyyy-mm-dd")</f>
        <v/>
      </c>
      <c r="C22401" t="inlineStr">
        <is>
          <t>1961-03-16</t>
        </is>
      </c>
    </row>
    <row r="22402">
      <c r="A22402" s="1" t="n">
        <v>22401</v>
      </c>
      <c r="B22402">
        <f>TEXT(22401, "[$-0E0000]yyyy-mm-dd")</f>
        <v/>
      </c>
      <c r="C22402" t="inlineStr">
        <is>
          <t>1961-03-17</t>
        </is>
      </c>
    </row>
    <row r="22403">
      <c r="A22403" s="1" t="n">
        <v>22402</v>
      </c>
      <c r="B22403">
        <f>TEXT(22402, "[$-0E0000]yyyy-mm-dd")</f>
        <v/>
      </c>
      <c r="C22403" t="inlineStr">
        <is>
          <t>1961-03-18</t>
        </is>
      </c>
    </row>
    <row r="22404">
      <c r="A22404" s="1" t="n">
        <v>22403</v>
      </c>
      <c r="B22404">
        <f>TEXT(22403, "[$-0E0000]yyyy-mm-dd")</f>
        <v/>
      </c>
      <c r="C22404" t="inlineStr">
        <is>
          <t>1961-03-19</t>
        </is>
      </c>
    </row>
    <row r="22405">
      <c r="A22405" s="1" t="n">
        <v>22404</v>
      </c>
      <c r="B22405">
        <f>TEXT(22404, "[$-0E0000]yyyy-mm-dd")</f>
        <v/>
      </c>
      <c r="C22405" t="inlineStr">
        <is>
          <t>1961-03-20</t>
        </is>
      </c>
    </row>
    <row r="22406">
      <c r="A22406" s="1" t="n">
        <v>22405</v>
      </c>
      <c r="B22406">
        <f>TEXT(22405, "[$-0E0000]yyyy-mm-dd")</f>
        <v/>
      </c>
      <c r="C22406" t="inlineStr">
        <is>
          <t>1961-03-21</t>
        </is>
      </c>
    </row>
    <row r="22407">
      <c r="A22407" s="1" t="n">
        <v>22406</v>
      </c>
      <c r="B22407">
        <f>TEXT(22406, "[$-0E0000]yyyy-mm-dd")</f>
        <v/>
      </c>
      <c r="C22407" t="inlineStr">
        <is>
          <t>1961-03-22</t>
        </is>
      </c>
    </row>
    <row r="22408">
      <c r="A22408" s="1" t="n">
        <v>22407</v>
      </c>
      <c r="B22408">
        <f>TEXT(22407, "[$-0E0000]yyyy-mm-dd")</f>
        <v/>
      </c>
      <c r="C22408" t="inlineStr">
        <is>
          <t>1961-03-23</t>
        </is>
      </c>
    </row>
    <row r="22409">
      <c r="A22409" s="1" t="n">
        <v>22408</v>
      </c>
      <c r="B22409">
        <f>TEXT(22408, "[$-0E0000]yyyy-mm-dd")</f>
        <v/>
      </c>
      <c r="C22409" t="inlineStr">
        <is>
          <t>1961-03-24</t>
        </is>
      </c>
    </row>
    <row r="22410">
      <c r="A22410" s="1" t="n">
        <v>22409</v>
      </c>
      <c r="B22410">
        <f>TEXT(22409, "[$-0E0000]yyyy-mm-dd")</f>
        <v/>
      </c>
      <c r="C22410" t="inlineStr">
        <is>
          <t>1961-03-25</t>
        </is>
      </c>
    </row>
    <row r="22411">
      <c r="A22411" s="1" t="n">
        <v>22410</v>
      </c>
      <c r="B22411">
        <f>TEXT(22410, "[$-0E0000]yyyy-mm-dd")</f>
        <v/>
      </c>
      <c r="C22411" t="inlineStr">
        <is>
          <t>1961-03-26</t>
        </is>
      </c>
    </row>
    <row r="22412">
      <c r="A22412" s="1" t="n">
        <v>22411</v>
      </c>
      <c r="B22412">
        <f>TEXT(22411, "[$-0E0000]yyyy-mm-dd")</f>
        <v/>
      </c>
      <c r="C22412" t="inlineStr">
        <is>
          <t>1961-03-27</t>
        </is>
      </c>
    </row>
    <row r="22413">
      <c r="A22413" s="1" t="n">
        <v>22412</v>
      </c>
      <c r="B22413">
        <f>TEXT(22412, "[$-0E0000]yyyy-mm-dd")</f>
        <v/>
      </c>
      <c r="C22413" t="inlineStr">
        <is>
          <t>1961-03-28</t>
        </is>
      </c>
    </row>
    <row r="22414">
      <c r="A22414" s="1" t="n">
        <v>22413</v>
      </c>
      <c r="B22414">
        <f>TEXT(22413, "[$-0E0000]yyyy-mm-dd")</f>
        <v/>
      </c>
      <c r="C22414" t="inlineStr">
        <is>
          <t>1961-03-29</t>
        </is>
      </c>
    </row>
    <row r="22415">
      <c r="A22415" s="1" t="n">
        <v>22414</v>
      </c>
      <c r="B22415">
        <f>TEXT(22414, "[$-0E0000]yyyy-mm-dd")</f>
        <v/>
      </c>
      <c r="C22415" t="inlineStr">
        <is>
          <t>1961-03-30</t>
        </is>
      </c>
    </row>
    <row r="22416">
      <c r="A22416" s="1" t="n">
        <v>22415</v>
      </c>
      <c r="B22416">
        <f>TEXT(22415, "[$-0E0000]yyyy-mm-dd")</f>
        <v/>
      </c>
      <c r="C22416" t="inlineStr">
        <is>
          <t>1961-04-01</t>
        </is>
      </c>
    </row>
    <row r="22417">
      <c r="A22417" s="1" t="n">
        <v>22416</v>
      </c>
      <c r="B22417">
        <f>TEXT(22416, "[$-0E0000]yyyy-mm-dd")</f>
        <v/>
      </c>
      <c r="C22417" t="inlineStr">
        <is>
          <t>1961-04-02</t>
        </is>
      </c>
    </row>
    <row r="22418">
      <c r="A22418" s="1" t="n">
        <v>22417</v>
      </c>
      <c r="B22418">
        <f>TEXT(22417, "[$-0E0000]yyyy-mm-dd")</f>
        <v/>
      </c>
      <c r="C22418" t="inlineStr">
        <is>
          <t>1961-04-03</t>
        </is>
      </c>
    </row>
    <row r="22419">
      <c r="A22419" s="1" t="n">
        <v>22418</v>
      </c>
      <c r="B22419">
        <f>TEXT(22418, "[$-0E0000]yyyy-mm-dd")</f>
        <v/>
      </c>
      <c r="C22419" t="inlineStr">
        <is>
          <t>1961-04-04</t>
        </is>
      </c>
    </row>
    <row r="22420">
      <c r="A22420" s="1" t="n">
        <v>22419</v>
      </c>
      <c r="B22420">
        <f>TEXT(22419, "[$-0E0000]yyyy-mm-dd")</f>
        <v/>
      </c>
      <c r="C22420" t="inlineStr">
        <is>
          <t>1961-04-05</t>
        </is>
      </c>
    </row>
    <row r="22421">
      <c r="A22421" s="1" t="n">
        <v>22420</v>
      </c>
      <c r="B22421">
        <f>TEXT(22420, "[$-0E0000]yyyy-mm-dd")</f>
        <v/>
      </c>
      <c r="C22421" t="inlineStr">
        <is>
          <t>1961-04-06</t>
        </is>
      </c>
    </row>
    <row r="22422">
      <c r="A22422" s="1" t="n">
        <v>22421</v>
      </c>
      <c r="B22422">
        <f>TEXT(22421, "[$-0E0000]yyyy-mm-dd")</f>
        <v/>
      </c>
      <c r="C22422" t="inlineStr">
        <is>
          <t>1961-04-07</t>
        </is>
      </c>
    </row>
    <row r="22423">
      <c r="A22423" s="1" t="n">
        <v>22422</v>
      </c>
      <c r="B22423">
        <f>TEXT(22422, "[$-0E0000]yyyy-mm-dd")</f>
        <v/>
      </c>
      <c r="C22423" t="inlineStr">
        <is>
          <t>1961-04-08</t>
        </is>
      </c>
    </row>
    <row r="22424">
      <c r="A22424" s="1" t="n">
        <v>22423</v>
      </c>
      <c r="B22424">
        <f>TEXT(22423, "[$-0E0000]yyyy-mm-dd")</f>
        <v/>
      </c>
      <c r="C22424" t="inlineStr">
        <is>
          <t>1961-04-09</t>
        </is>
      </c>
    </row>
    <row r="22425">
      <c r="A22425" s="1" t="n">
        <v>22424</v>
      </c>
      <c r="B22425">
        <f>TEXT(22424, "[$-0E0000]yyyy-mm-dd")</f>
        <v/>
      </c>
      <c r="C22425" t="inlineStr">
        <is>
          <t>1961-04-10</t>
        </is>
      </c>
    </row>
    <row r="22426">
      <c r="A22426" s="1" t="n">
        <v>22425</v>
      </c>
      <c r="B22426">
        <f>TEXT(22425, "[$-0E0000]yyyy-mm-dd")</f>
        <v/>
      </c>
      <c r="C22426" t="inlineStr">
        <is>
          <t>1961-04-11</t>
        </is>
      </c>
    </row>
    <row r="22427">
      <c r="A22427" s="1" t="n">
        <v>22426</v>
      </c>
      <c r="B22427">
        <f>TEXT(22426, "[$-0E0000]yyyy-mm-dd")</f>
        <v/>
      </c>
      <c r="C22427" t="inlineStr">
        <is>
          <t>1961-04-12</t>
        </is>
      </c>
    </row>
    <row r="22428">
      <c r="A22428" s="1" t="n">
        <v>22427</v>
      </c>
      <c r="B22428">
        <f>TEXT(22427, "[$-0E0000]yyyy-mm-dd")</f>
        <v/>
      </c>
      <c r="C22428" t="inlineStr">
        <is>
          <t>1961-04-13</t>
        </is>
      </c>
    </row>
    <row r="22429">
      <c r="A22429" s="1" t="n">
        <v>22428</v>
      </c>
      <c r="B22429">
        <f>TEXT(22428, "[$-0E0000]yyyy-mm-dd")</f>
        <v/>
      </c>
      <c r="C22429" t="inlineStr">
        <is>
          <t>1961-04-14</t>
        </is>
      </c>
    </row>
    <row r="22430">
      <c r="A22430" s="1" t="n">
        <v>22429</v>
      </c>
      <c r="B22430">
        <f>TEXT(22429, "[$-0E0000]yyyy-mm-dd")</f>
        <v/>
      </c>
      <c r="C22430" t="inlineStr">
        <is>
          <t>1961-04-15</t>
        </is>
      </c>
    </row>
    <row r="22431">
      <c r="A22431" s="1" t="n">
        <v>22430</v>
      </c>
      <c r="B22431">
        <f>TEXT(22430, "[$-0E0000]yyyy-mm-dd")</f>
        <v/>
      </c>
      <c r="C22431" t="inlineStr">
        <is>
          <t>1961-04-16</t>
        </is>
      </c>
    </row>
    <row r="22432">
      <c r="A22432" s="1" t="n">
        <v>22431</v>
      </c>
      <c r="B22432">
        <f>TEXT(22431, "[$-0E0000]yyyy-mm-dd")</f>
        <v/>
      </c>
      <c r="C22432" t="inlineStr">
        <is>
          <t>1961-04-17</t>
        </is>
      </c>
    </row>
    <row r="22433">
      <c r="A22433" s="1" t="n">
        <v>22432</v>
      </c>
      <c r="B22433">
        <f>TEXT(22432, "[$-0E0000]yyyy-mm-dd")</f>
        <v/>
      </c>
      <c r="C22433" t="inlineStr">
        <is>
          <t>1961-04-18</t>
        </is>
      </c>
    </row>
    <row r="22434">
      <c r="A22434" s="1" t="n">
        <v>22433</v>
      </c>
      <c r="B22434">
        <f>TEXT(22433, "[$-0E0000]yyyy-mm-dd")</f>
        <v/>
      </c>
      <c r="C22434" t="inlineStr">
        <is>
          <t>1961-04-19</t>
        </is>
      </c>
    </row>
    <row r="22435">
      <c r="A22435" s="1" t="n">
        <v>22434</v>
      </c>
      <c r="B22435">
        <f>TEXT(22434, "[$-0E0000]yyyy-mm-dd")</f>
        <v/>
      </c>
      <c r="C22435" t="inlineStr">
        <is>
          <t>1961-04-20</t>
        </is>
      </c>
    </row>
    <row r="22436">
      <c r="A22436" s="1" t="n">
        <v>22435</v>
      </c>
      <c r="B22436">
        <f>TEXT(22435, "[$-0E0000]yyyy-mm-dd")</f>
        <v/>
      </c>
      <c r="C22436" t="inlineStr">
        <is>
          <t>1961-04-21</t>
        </is>
      </c>
    </row>
    <row r="22437">
      <c r="A22437" s="1" t="n">
        <v>22436</v>
      </c>
      <c r="B22437">
        <f>TEXT(22436, "[$-0E0000]yyyy-mm-dd")</f>
        <v/>
      </c>
      <c r="C22437" t="inlineStr">
        <is>
          <t>1961-04-22</t>
        </is>
      </c>
    </row>
    <row r="22438">
      <c r="A22438" s="1" t="n">
        <v>22437</v>
      </c>
      <c r="B22438">
        <f>TEXT(22437, "[$-0E0000]yyyy-mm-dd")</f>
        <v/>
      </c>
      <c r="C22438" t="inlineStr">
        <is>
          <t>1961-04-23</t>
        </is>
      </c>
    </row>
    <row r="22439">
      <c r="A22439" s="1" t="n">
        <v>22438</v>
      </c>
      <c r="B22439">
        <f>TEXT(22438, "[$-0E0000]yyyy-mm-dd")</f>
        <v/>
      </c>
      <c r="C22439" t="inlineStr">
        <is>
          <t>1961-04-24</t>
        </is>
      </c>
    </row>
    <row r="22440">
      <c r="A22440" s="1" t="n">
        <v>22439</v>
      </c>
      <c r="B22440">
        <f>TEXT(22439, "[$-0E0000]yyyy-mm-dd")</f>
        <v/>
      </c>
      <c r="C22440" t="inlineStr">
        <is>
          <t>1961-04-25</t>
        </is>
      </c>
    </row>
    <row r="22441">
      <c r="A22441" s="1" t="n">
        <v>22440</v>
      </c>
      <c r="B22441">
        <f>TEXT(22440, "[$-0E0000]yyyy-mm-dd")</f>
        <v/>
      </c>
      <c r="C22441" t="inlineStr">
        <is>
          <t>1961-04-26</t>
        </is>
      </c>
    </row>
    <row r="22442">
      <c r="A22442" s="1" t="n">
        <v>22441</v>
      </c>
      <c r="B22442">
        <f>TEXT(22441, "[$-0E0000]yyyy-mm-dd")</f>
        <v/>
      </c>
      <c r="C22442" t="inlineStr">
        <is>
          <t>1961-04-27</t>
        </is>
      </c>
    </row>
    <row r="22443">
      <c r="A22443" s="1" t="n">
        <v>22442</v>
      </c>
      <c r="B22443">
        <f>TEXT(22442, "[$-0E0000]yyyy-mm-dd")</f>
        <v/>
      </c>
      <c r="C22443" t="inlineStr">
        <is>
          <t>1961-04-28</t>
        </is>
      </c>
    </row>
    <row r="22444">
      <c r="A22444" s="1" t="n">
        <v>22443</v>
      </c>
      <c r="B22444">
        <f>TEXT(22443, "[$-0E0000]yyyy-mm-dd")</f>
        <v/>
      </c>
      <c r="C22444" t="inlineStr">
        <is>
          <t>1961-04-29</t>
        </is>
      </c>
    </row>
    <row r="22445">
      <c r="A22445" s="1" t="n">
        <v>22444</v>
      </c>
      <c r="B22445">
        <f>TEXT(22444, "[$-0E0000]yyyy-mm-dd")</f>
        <v/>
      </c>
      <c r="C22445" t="inlineStr">
        <is>
          <t>1961-05-01</t>
        </is>
      </c>
    </row>
    <row r="22446">
      <c r="A22446" s="1" t="n">
        <v>22445</v>
      </c>
      <c r="B22446">
        <f>TEXT(22445, "[$-0E0000]yyyy-mm-dd")</f>
        <v/>
      </c>
      <c r="C22446" t="inlineStr">
        <is>
          <t>1961-05-02</t>
        </is>
      </c>
    </row>
    <row r="22447">
      <c r="A22447" s="1" t="n">
        <v>22446</v>
      </c>
      <c r="B22447">
        <f>TEXT(22446, "[$-0E0000]yyyy-mm-dd")</f>
        <v/>
      </c>
      <c r="C22447" t="inlineStr">
        <is>
          <t>1961-05-03</t>
        </is>
      </c>
    </row>
    <row r="22448">
      <c r="A22448" s="1" t="n">
        <v>22447</v>
      </c>
      <c r="B22448">
        <f>TEXT(22447, "[$-0E0000]yyyy-mm-dd")</f>
        <v/>
      </c>
      <c r="C22448" t="inlineStr">
        <is>
          <t>1961-05-04</t>
        </is>
      </c>
    </row>
    <row r="22449">
      <c r="A22449" s="1" t="n">
        <v>22448</v>
      </c>
      <c r="B22449">
        <f>TEXT(22448, "[$-0E0000]yyyy-mm-dd")</f>
        <v/>
      </c>
      <c r="C22449" t="inlineStr">
        <is>
          <t>1961-05-05</t>
        </is>
      </c>
    </row>
    <row r="22450">
      <c r="A22450" s="1" t="n">
        <v>22449</v>
      </c>
      <c r="B22450">
        <f>TEXT(22449, "[$-0E0000]yyyy-mm-dd")</f>
        <v/>
      </c>
      <c r="C22450" t="inlineStr">
        <is>
          <t>1961-05-06</t>
        </is>
      </c>
    </row>
    <row r="22451">
      <c r="A22451" s="1" t="n">
        <v>22450</v>
      </c>
      <c r="B22451">
        <f>TEXT(22450, "[$-0E0000]yyyy-mm-dd")</f>
        <v/>
      </c>
      <c r="C22451" t="inlineStr">
        <is>
          <t>1961-05-07</t>
        </is>
      </c>
    </row>
    <row r="22452">
      <c r="A22452" s="1" t="n">
        <v>22451</v>
      </c>
      <c r="B22452">
        <f>TEXT(22451, "[$-0E0000]yyyy-mm-dd")</f>
        <v/>
      </c>
      <c r="C22452" t="inlineStr">
        <is>
          <t>1961-05-08</t>
        </is>
      </c>
    </row>
    <row r="22453">
      <c r="A22453" s="1" t="n">
        <v>22452</v>
      </c>
      <c r="B22453">
        <f>TEXT(22452, "[$-0E0000]yyyy-mm-dd")</f>
        <v/>
      </c>
      <c r="C22453" t="inlineStr">
        <is>
          <t>1961-05-09</t>
        </is>
      </c>
    </row>
    <row r="22454">
      <c r="A22454" s="1" t="n">
        <v>22453</v>
      </c>
      <c r="B22454">
        <f>TEXT(22453, "[$-0E0000]yyyy-mm-dd")</f>
        <v/>
      </c>
      <c r="C22454" t="inlineStr">
        <is>
          <t>1961-05-10</t>
        </is>
      </c>
    </row>
    <row r="22455">
      <c r="A22455" s="1" t="n">
        <v>22454</v>
      </c>
      <c r="B22455">
        <f>TEXT(22454, "[$-0E0000]yyyy-mm-dd")</f>
        <v/>
      </c>
      <c r="C22455" t="inlineStr">
        <is>
          <t>1961-05-11</t>
        </is>
      </c>
    </row>
    <row r="22456">
      <c r="A22456" s="1" t="n">
        <v>22455</v>
      </c>
      <c r="B22456">
        <f>TEXT(22455, "[$-0E0000]yyyy-mm-dd")</f>
        <v/>
      </c>
      <c r="C22456" t="inlineStr">
        <is>
          <t>1961-05-12</t>
        </is>
      </c>
    </row>
    <row r="22457">
      <c r="A22457" s="1" t="n">
        <v>22456</v>
      </c>
      <c r="B22457">
        <f>TEXT(22456, "[$-0E0000]yyyy-mm-dd")</f>
        <v/>
      </c>
      <c r="C22457" t="inlineStr">
        <is>
          <t>1961-05-13</t>
        </is>
      </c>
    </row>
    <row r="22458">
      <c r="A22458" s="1" t="n">
        <v>22457</v>
      </c>
      <c r="B22458">
        <f>TEXT(22457, "[$-0E0000]yyyy-mm-dd")</f>
        <v/>
      </c>
      <c r="C22458" t="inlineStr">
        <is>
          <t>1961-05-14</t>
        </is>
      </c>
    </row>
    <row r="22459">
      <c r="A22459" s="1" t="n">
        <v>22458</v>
      </c>
      <c r="B22459">
        <f>TEXT(22458, "[$-0E0000]yyyy-mm-dd")</f>
        <v/>
      </c>
      <c r="C22459" t="inlineStr">
        <is>
          <t>1961-05-15</t>
        </is>
      </c>
    </row>
    <row r="22460">
      <c r="A22460" s="1" t="n">
        <v>22459</v>
      </c>
      <c r="B22460">
        <f>TEXT(22459, "[$-0E0000]yyyy-mm-dd")</f>
        <v/>
      </c>
      <c r="C22460" t="inlineStr">
        <is>
          <t>1961-05-16</t>
        </is>
      </c>
    </row>
    <row r="22461">
      <c r="A22461" s="1" t="n">
        <v>22460</v>
      </c>
      <c r="B22461">
        <f>TEXT(22460, "[$-0E0000]yyyy-mm-dd")</f>
        <v/>
      </c>
      <c r="C22461" t="inlineStr">
        <is>
          <t>1961-05-17</t>
        </is>
      </c>
    </row>
    <row r="22462">
      <c r="A22462" s="1" t="n">
        <v>22461</v>
      </c>
      <c r="B22462">
        <f>TEXT(22461, "[$-0E0000]yyyy-mm-dd")</f>
        <v/>
      </c>
      <c r="C22462" t="inlineStr">
        <is>
          <t>1961-05-18</t>
        </is>
      </c>
    </row>
    <row r="22463">
      <c r="A22463" s="1" t="n">
        <v>22462</v>
      </c>
      <c r="B22463">
        <f>TEXT(22462, "[$-0E0000]yyyy-mm-dd")</f>
        <v/>
      </c>
      <c r="C22463" t="inlineStr">
        <is>
          <t>1961-05-19</t>
        </is>
      </c>
    </row>
    <row r="22464">
      <c r="A22464" s="1" t="n">
        <v>22463</v>
      </c>
      <c r="B22464">
        <f>TEXT(22463, "[$-0E0000]yyyy-mm-dd")</f>
        <v/>
      </c>
      <c r="C22464" t="inlineStr">
        <is>
          <t>1961-05-20</t>
        </is>
      </c>
    </row>
    <row r="22465">
      <c r="A22465" s="1" t="n">
        <v>22464</v>
      </c>
      <c r="B22465">
        <f>TEXT(22464, "[$-0E0000]yyyy-mm-dd")</f>
        <v/>
      </c>
      <c r="C22465" t="inlineStr">
        <is>
          <t>1961-05-21</t>
        </is>
      </c>
    </row>
    <row r="22466">
      <c r="A22466" s="1" t="n">
        <v>22465</v>
      </c>
      <c r="B22466">
        <f>TEXT(22465, "[$-0E0000]yyyy-mm-dd")</f>
        <v/>
      </c>
      <c r="C22466" t="inlineStr">
        <is>
          <t>1961-05-22</t>
        </is>
      </c>
    </row>
    <row r="22467">
      <c r="A22467" s="1" t="n">
        <v>22466</v>
      </c>
      <c r="B22467">
        <f>TEXT(22466, "[$-0E0000]yyyy-mm-dd")</f>
        <v/>
      </c>
      <c r="C22467" t="inlineStr">
        <is>
          <t>1961-05-23</t>
        </is>
      </c>
    </row>
    <row r="22468">
      <c r="A22468" s="1" t="n">
        <v>22467</v>
      </c>
      <c r="B22468">
        <f>TEXT(22467, "[$-0E0000]yyyy-mm-dd")</f>
        <v/>
      </c>
      <c r="C22468" t="inlineStr">
        <is>
          <t>1961-05-24</t>
        </is>
      </c>
    </row>
    <row r="22469">
      <c r="A22469" s="1" t="n">
        <v>22468</v>
      </c>
      <c r="B22469">
        <f>TEXT(22468, "[$-0E0000]yyyy-mm-dd")</f>
        <v/>
      </c>
      <c r="C22469" t="inlineStr">
        <is>
          <t>1961-05-25</t>
        </is>
      </c>
    </row>
    <row r="22470">
      <c r="A22470" s="1" t="n">
        <v>22469</v>
      </c>
      <c r="B22470">
        <f>TEXT(22469, "[$-0E0000]yyyy-mm-dd")</f>
        <v/>
      </c>
      <c r="C22470" t="inlineStr">
        <is>
          <t>1961-05-26</t>
        </is>
      </c>
    </row>
    <row r="22471">
      <c r="A22471" s="1" t="n">
        <v>22470</v>
      </c>
      <c r="B22471">
        <f>TEXT(22470, "[$-0E0000]yyyy-mm-dd")</f>
        <v/>
      </c>
      <c r="C22471" t="inlineStr">
        <is>
          <t>1961-05-27</t>
        </is>
      </c>
    </row>
    <row r="22472">
      <c r="A22472" s="1" t="n">
        <v>22471</v>
      </c>
      <c r="B22472">
        <f>TEXT(22471, "[$-0E0000]yyyy-mm-dd")</f>
        <v/>
      </c>
      <c r="C22472" t="inlineStr">
        <is>
          <t>1961-05-28</t>
        </is>
      </c>
    </row>
    <row r="22473">
      <c r="A22473" s="1" t="n">
        <v>22472</v>
      </c>
      <c r="B22473">
        <f>TEXT(22472, "[$-0E0000]yyyy-mm-dd")</f>
        <v/>
      </c>
      <c r="C22473" t="inlineStr">
        <is>
          <t>1961-05-29</t>
        </is>
      </c>
    </row>
    <row r="22474">
      <c r="A22474" s="1" t="n">
        <v>22473</v>
      </c>
      <c r="B22474">
        <f>TEXT(22473, "[$-0E0000]yyyy-mm-dd")</f>
        <v/>
      </c>
      <c r="C22474" t="inlineStr">
        <is>
          <t>1961-05-30</t>
        </is>
      </c>
    </row>
    <row r="22475">
      <c r="A22475" s="1" t="n">
        <v>22474</v>
      </c>
      <c r="B22475">
        <f>TEXT(22474, "[$-0E0000]yyyy-mm-dd")</f>
        <v/>
      </c>
      <c r="C22475" t="inlineStr">
        <is>
          <t>1961-06-01</t>
        </is>
      </c>
    </row>
    <row r="22476">
      <c r="A22476" s="1" t="n">
        <v>22475</v>
      </c>
      <c r="B22476">
        <f>TEXT(22475, "[$-0E0000]yyyy-mm-dd")</f>
        <v/>
      </c>
      <c r="C22476" t="inlineStr">
        <is>
          <t>1961-06-02</t>
        </is>
      </c>
    </row>
    <row r="22477">
      <c r="A22477" s="1" t="n">
        <v>22476</v>
      </c>
      <c r="B22477">
        <f>TEXT(22476, "[$-0E0000]yyyy-mm-dd")</f>
        <v/>
      </c>
      <c r="C22477" t="inlineStr">
        <is>
          <t>1961-06-03</t>
        </is>
      </c>
    </row>
    <row r="22478">
      <c r="A22478" s="1" t="n">
        <v>22477</v>
      </c>
      <c r="B22478">
        <f>TEXT(22477, "[$-0E0000]yyyy-mm-dd")</f>
        <v/>
      </c>
      <c r="C22478" t="inlineStr">
        <is>
          <t>1961-06-04</t>
        </is>
      </c>
    </row>
    <row r="22479">
      <c r="A22479" s="1" t="n">
        <v>22478</v>
      </c>
      <c r="B22479">
        <f>TEXT(22478, "[$-0E0000]yyyy-mm-dd")</f>
        <v/>
      </c>
      <c r="C22479" t="inlineStr">
        <is>
          <t>1961-06-05</t>
        </is>
      </c>
    </row>
    <row r="22480">
      <c r="A22480" s="1" t="n">
        <v>22479</v>
      </c>
      <c r="B22480">
        <f>TEXT(22479, "[$-0E0000]yyyy-mm-dd")</f>
        <v/>
      </c>
      <c r="C22480" t="inlineStr">
        <is>
          <t>1961-06-06</t>
        </is>
      </c>
    </row>
    <row r="22481">
      <c r="A22481" s="1" t="n">
        <v>22480</v>
      </c>
      <c r="B22481">
        <f>TEXT(22480, "[$-0E0000]yyyy-mm-dd")</f>
        <v/>
      </c>
      <c r="C22481" t="inlineStr">
        <is>
          <t>1961-06-07</t>
        </is>
      </c>
    </row>
    <row r="22482">
      <c r="A22482" s="1" t="n">
        <v>22481</v>
      </c>
      <c r="B22482">
        <f>TEXT(22481, "[$-0E0000]yyyy-mm-dd")</f>
        <v/>
      </c>
      <c r="C22482" t="inlineStr">
        <is>
          <t>1961-06-08</t>
        </is>
      </c>
    </row>
    <row r="22483">
      <c r="A22483" s="1" t="n">
        <v>22482</v>
      </c>
      <c r="B22483">
        <f>TEXT(22482, "[$-0E0000]yyyy-mm-dd")</f>
        <v/>
      </c>
      <c r="C22483" t="inlineStr">
        <is>
          <t>1961-06-09</t>
        </is>
      </c>
    </row>
    <row r="22484">
      <c r="A22484" s="1" t="n">
        <v>22483</v>
      </c>
      <c r="B22484">
        <f>TEXT(22483, "[$-0E0000]yyyy-mm-dd")</f>
        <v/>
      </c>
      <c r="C22484" t="inlineStr">
        <is>
          <t>1961-06-10</t>
        </is>
      </c>
    </row>
    <row r="22485">
      <c r="A22485" s="1" t="n">
        <v>22484</v>
      </c>
      <c r="B22485">
        <f>TEXT(22484, "[$-0E0000]yyyy-mm-dd")</f>
        <v/>
      </c>
      <c r="C22485" t="inlineStr">
        <is>
          <t>1961-06-11</t>
        </is>
      </c>
    </row>
    <row r="22486">
      <c r="A22486" s="1" t="n">
        <v>22485</v>
      </c>
      <c r="B22486">
        <f>TEXT(22485, "[$-0E0000]yyyy-mm-dd")</f>
        <v/>
      </c>
      <c r="C22486" t="inlineStr">
        <is>
          <t>1961-06-12</t>
        </is>
      </c>
    </row>
    <row r="22487">
      <c r="A22487" s="1" t="n">
        <v>22486</v>
      </c>
      <c r="B22487">
        <f>TEXT(22486, "[$-0E0000]yyyy-mm-dd")</f>
        <v/>
      </c>
      <c r="C22487" t="inlineStr">
        <is>
          <t>1961-06-13</t>
        </is>
      </c>
    </row>
    <row r="22488">
      <c r="A22488" s="1" t="n">
        <v>22487</v>
      </c>
      <c r="B22488">
        <f>TEXT(22487, "[$-0E0000]yyyy-mm-dd")</f>
        <v/>
      </c>
      <c r="C22488" t="inlineStr">
        <is>
          <t>1961-06-14</t>
        </is>
      </c>
    </row>
    <row r="22489">
      <c r="A22489" s="1" t="n">
        <v>22488</v>
      </c>
      <c r="B22489">
        <f>TEXT(22488, "[$-0E0000]yyyy-mm-dd")</f>
        <v/>
      </c>
      <c r="C22489" t="inlineStr">
        <is>
          <t>1961-06-15</t>
        </is>
      </c>
    </row>
    <row r="22490">
      <c r="A22490" s="1" t="n">
        <v>22489</v>
      </c>
      <c r="B22490">
        <f>TEXT(22489, "[$-0E0000]yyyy-mm-dd")</f>
        <v/>
      </c>
      <c r="C22490" t="inlineStr">
        <is>
          <t>1961-06-16</t>
        </is>
      </c>
    </row>
    <row r="22491">
      <c r="A22491" s="1" t="n">
        <v>22490</v>
      </c>
      <c r="B22491">
        <f>TEXT(22490, "[$-0E0000]yyyy-mm-dd")</f>
        <v/>
      </c>
      <c r="C22491" t="inlineStr">
        <is>
          <t>1961-06-17</t>
        </is>
      </c>
    </row>
    <row r="22492">
      <c r="A22492" s="1" t="n">
        <v>22491</v>
      </c>
      <c r="B22492">
        <f>TEXT(22491, "[$-0E0000]yyyy-mm-dd")</f>
        <v/>
      </c>
      <c r="C22492" t="inlineStr">
        <is>
          <t>1961-06-18</t>
        </is>
      </c>
    </row>
    <row r="22493">
      <c r="A22493" s="1" t="n">
        <v>22492</v>
      </c>
      <c r="B22493">
        <f>TEXT(22492, "[$-0E0000]yyyy-mm-dd")</f>
        <v/>
      </c>
      <c r="C22493" t="inlineStr">
        <is>
          <t>1961-06-19</t>
        </is>
      </c>
    </row>
    <row r="22494">
      <c r="A22494" s="1" t="n">
        <v>22493</v>
      </c>
      <c r="B22494">
        <f>TEXT(22493, "[$-0E0000]yyyy-mm-dd")</f>
        <v/>
      </c>
      <c r="C22494" t="inlineStr">
        <is>
          <t>1961-06-20</t>
        </is>
      </c>
    </row>
    <row r="22495">
      <c r="A22495" s="1" t="n">
        <v>22494</v>
      </c>
      <c r="B22495">
        <f>TEXT(22494, "[$-0E0000]yyyy-mm-dd")</f>
        <v/>
      </c>
      <c r="C22495" t="inlineStr">
        <is>
          <t>1961-06-21</t>
        </is>
      </c>
    </row>
    <row r="22496">
      <c r="A22496" s="1" t="n">
        <v>22495</v>
      </c>
      <c r="B22496">
        <f>TEXT(22495, "[$-0E0000]yyyy-mm-dd")</f>
        <v/>
      </c>
      <c r="C22496" t="inlineStr">
        <is>
          <t>1961-06-22</t>
        </is>
      </c>
    </row>
    <row r="22497">
      <c r="A22497" s="1" t="n">
        <v>22496</v>
      </c>
      <c r="B22497">
        <f>TEXT(22496, "[$-0E0000]yyyy-mm-dd")</f>
        <v/>
      </c>
      <c r="C22497" t="inlineStr">
        <is>
          <t>1961-06-23</t>
        </is>
      </c>
    </row>
    <row r="22498">
      <c r="A22498" s="1" t="n">
        <v>22497</v>
      </c>
      <c r="B22498">
        <f>TEXT(22497, "[$-0E0000]yyyy-mm-dd")</f>
        <v/>
      </c>
      <c r="C22498" t="inlineStr">
        <is>
          <t>1961-06-24</t>
        </is>
      </c>
    </row>
    <row r="22499">
      <c r="A22499" s="1" t="n">
        <v>22498</v>
      </c>
      <c r="B22499">
        <f>TEXT(22498, "[$-0E0000]yyyy-mm-dd")</f>
        <v/>
      </c>
      <c r="C22499" t="inlineStr">
        <is>
          <t>1961-06-25</t>
        </is>
      </c>
    </row>
    <row r="22500">
      <c r="A22500" s="1" t="n">
        <v>22499</v>
      </c>
      <c r="B22500">
        <f>TEXT(22499, "[$-0E0000]yyyy-mm-dd")</f>
        <v/>
      </c>
      <c r="C22500" t="inlineStr">
        <is>
          <t>1961-06-26</t>
        </is>
      </c>
    </row>
    <row r="22501">
      <c r="A22501" s="1" t="n">
        <v>22500</v>
      </c>
      <c r="B22501">
        <f>TEXT(22500, "[$-0E0000]yyyy-mm-dd")</f>
        <v/>
      </c>
      <c r="C22501" t="inlineStr">
        <is>
          <t>1961-06-27</t>
        </is>
      </c>
    </row>
    <row r="22502">
      <c r="A22502" s="1" t="n">
        <v>22501</v>
      </c>
      <c r="B22502">
        <f>TEXT(22501, "[$-0E0000]yyyy-mm-dd")</f>
        <v/>
      </c>
      <c r="C22502" t="inlineStr">
        <is>
          <t>1961-06-28</t>
        </is>
      </c>
    </row>
    <row r="22503">
      <c r="A22503" s="1" t="n">
        <v>22502</v>
      </c>
      <c r="B22503">
        <f>TEXT(22502, "[$-0E0000]yyyy-mm-dd")</f>
        <v/>
      </c>
      <c r="C22503" t="inlineStr">
        <is>
          <t>1961-06-29</t>
        </is>
      </c>
    </row>
    <row r="22504">
      <c r="A22504" s="1" t="n">
        <v>22503</v>
      </c>
      <c r="B22504">
        <f>TEXT(22503, "[$-0E0000]yyyy-mm-dd")</f>
        <v/>
      </c>
      <c r="C22504" t="inlineStr">
        <is>
          <t>1961-07-01</t>
        </is>
      </c>
    </row>
    <row r="22505">
      <c r="A22505" s="1" t="n">
        <v>22504</v>
      </c>
      <c r="B22505">
        <f>TEXT(22504, "[$-0E0000]yyyy-mm-dd")</f>
        <v/>
      </c>
      <c r="C22505" t="inlineStr">
        <is>
          <t>1961-07-02</t>
        </is>
      </c>
    </row>
    <row r="22506">
      <c r="A22506" s="1" t="n">
        <v>22505</v>
      </c>
      <c r="B22506">
        <f>TEXT(22505, "[$-0E0000]yyyy-mm-dd")</f>
        <v/>
      </c>
      <c r="C22506" t="inlineStr">
        <is>
          <t>1961-07-03</t>
        </is>
      </c>
    </row>
    <row r="22507">
      <c r="A22507" s="1" t="n">
        <v>22506</v>
      </c>
      <c r="B22507">
        <f>TEXT(22506, "[$-0E0000]yyyy-mm-dd")</f>
        <v/>
      </c>
      <c r="C22507" t="inlineStr">
        <is>
          <t>1961-07-04</t>
        </is>
      </c>
    </row>
    <row r="22508">
      <c r="A22508" s="1" t="n">
        <v>22507</v>
      </c>
      <c r="B22508">
        <f>TEXT(22507, "[$-0E0000]yyyy-mm-dd")</f>
        <v/>
      </c>
      <c r="C22508" t="inlineStr">
        <is>
          <t>1961-07-05</t>
        </is>
      </c>
    </row>
    <row r="22509">
      <c r="A22509" s="1" t="n">
        <v>22508</v>
      </c>
      <c r="B22509">
        <f>TEXT(22508, "[$-0E0000]yyyy-mm-dd")</f>
        <v/>
      </c>
      <c r="C22509" t="inlineStr">
        <is>
          <t>1961-07-06</t>
        </is>
      </c>
    </row>
    <row r="22510">
      <c r="A22510" s="1" t="n">
        <v>22509</v>
      </c>
      <c r="B22510">
        <f>TEXT(22509, "[$-0E0000]yyyy-mm-dd")</f>
        <v/>
      </c>
      <c r="C22510" t="inlineStr">
        <is>
          <t>1961-07-07</t>
        </is>
      </c>
    </row>
    <row r="22511">
      <c r="A22511" s="1" t="n">
        <v>22510</v>
      </c>
      <c r="B22511">
        <f>TEXT(22510, "[$-0E0000]yyyy-mm-dd")</f>
        <v/>
      </c>
      <c r="C22511" t="inlineStr">
        <is>
          <t>1961-07-08</t>
        </is>
      </c>
    </row>
    <row r="22512">
      <c r="A22512" s="1" t="n">
        <v>22511</v>
      </c>
      <c r="B22512">
        <f>TEXT(22511, "[$-0E0000]yyyy-mm-dd")</f>
        <v/>
      </c>
      <c r="C22512" t="inlineStr">
        <is>
          <t>1961-07-09</t>
        </is>
      </c>
    </row>
    <row r="22513">
      <c r="A22513" s="1" t="n">
        <v>22512</v>
      </c>
      <c r="B22513">
        <f>TEXT(22512, "[$-0E0000]yyyy-mm-dd")</f>
        <v/>
      </c>
      <c r="C22513" t="inlineStr">
        <is>
          <t>1961-07-10</t>
        </is>
      </c>
    </row>
    <row r="22514">
      <c r="A22514" s="1" t="n">
        <v>22513</v>
      </c>
      <c r="B22514">
        <f>TEXT(22513, "[$-0E0000]yyyy-mm-dd")</f>
        <v/>
      </c>
      <c r="C22514" t="inlineStr">
        <is>
          <t>1961-07-11</t>
        </is>
      </c>
    </row>
    <row r="22515">
      <c r="A22515" s="1" t="n">
        <v>22514</v>
      </c>
      <c r="B22515">
        <f>TEXT(22514, "[$-0E0000]yyyy-mm-dd")</f>
        <v/>
      </c>
      <c r="C22515" t="inlineStr">
        <is>
          <t>1961-07-12</t>
        </is>
      </c>
    </row>
    <row r="22516">
      <c r="A22516" s="1" t="n">
        <v>22515</v>
      </c>
      <c r="B22516">
        <f>TEXT(22515, "[$-0E0000]yyyy-mm-dd")</f>
        <v/>
      </c>
      <c r="C22516" t="inlineStr">
        <is>
          <t>1961-07-13</t>
        </is>
      </c>
    </row>
    <row r="22517">
      <c r="A22517" s="1" t="n">
        <v>22516</v>
      </c>
      <c r="B22517">
        <f>TEXT(22516, "[$-0E0000]yyyy-mm-dd")</f>
        <v/>
      </c>
      <c r="C22517" t="inlineStr">
        <is>
          <t>1961-07-14</t>
        </is>
      </c>
    </row>
    <row r="22518">
      <c r="A22518" s="1" t="n">
        <v>22517</v>
      </c>
      <c r="B22518">
        <f>TEXT(22517, "[$-0E0000]yyyy-mm-dd")</f>
        <v/>
      </c>
      <c r="C22518" t="inlineStr">
        <is>
          <t>1961-07-15</t>
        </is>
      </c>
    </row>
    <row r="22519">
      <c r="A22519" s="1" t="n">
        <v>22518</v>
      </c>
      <c r="B22519">
        <f>TEXT(22518, "[$-0E0000]yyyy-mm-dd")</f>
        <v/>
      </c>
      <c r="C22519" t="inlineStr">
        <is>
          <t>1961-07-16</t>
        </is>
      </c>
    </row>
    <row r="22520">
      <c r="A22520" s="1" t="n">
        <v>22519</v>
      </c>
      <c r="B22520">
        <f>TEXT(22519, "[$-0E0000]yyyy-mm-dd")</f>
        <v/>
      </c>
      <c r="C22520" t="inlineStr">
        <is>
          <t>1961-07-17</t>
        </is>
      </c>
    </row>
    <row r="22521">
      <c r="A22521" s="1" t="n">
        <v>22520</v>
      </c>
      <c r="B22521">
        <f>TEXT(22520, "[$-0E0000]yyyy-mm-dd")</f>
        <v/>
      </c>
      <c r="C22521" t="inlineStr">
        <is>
          <t>1961-07-18</t>
        </is>
      </c>
    </row>
    <row r="22522">
      <c r="A22522" s="1" t="n">
        <v>22521</v>
      </c>
      <c r="B22522">
        <f>TEXT(22521, "[$-0E0000]yyyy-mm-dd")</f>
        <v/>
      </c>
      <c r="C22522" t="inlineStr">
        <is>
          <t>1961-07-19</t>
        </is>
      </c>
    </row>
    <row r="22523">
      <c r="A22523" s="1" t="n">
        <v>22522</v>
      </c>
      <c r="B22523">
        <f>TEXT(22522, "[$-0E0000]yyyy-mm-dd")</f>
        <v/>
      </c>
      <c r="C22523" t="inlineStr">
        <is>
          <t>1961-07-20</t>
        </is>
      </c>
    </row>
    <row r="22524">
      <c r="A22524" s="1" t="n">
        <v>22523</v>
      </c>
      <c r="B22524">
        <f>TEXT(22523, "[$-0E0000]yyyy-mm-dd")</f>
        <v/>
      </c>
      <c r="C22524" t="inlineStr">
        <is>
          <t>1961-07-21</t>
        </is>
      </c>
    </row>
    <row r="22525">
      <c r="A22525" s="1" t="n">
        <v>22524</v>
      </c>
      <c r="B22525">
        <f>TEXT(22524, "[$-0E0000]yyyy-mm-dd")</f>
        <v/>
      </c>
      <c r="C22525" t="inlineStr">
        <is>
          <t>1961-07-22</t>
        </is>
      </c>
    </row>
    <row r="22526">
      <c r="A22526" s="1" t="n">
        <v>22525</v>
      </c>
      <c r="B22526">
        <f>TEXT(22525, "[$-0E0000]yyyy-mm-dd")</f>
        <v/>
      </c>
      <c r="C22526" t="inlineStr">
        <is>
          <t>1961-07-23</t>
        </is>
      </c>
    </row>
    <row r="22527">
      <c r="A22527" s="1" t="n">
        <v>22526</v>
      </c>
      <c r="B22527">
        <f>TEXT(22526, "[$-0E0000]yyyy-mm-dd")</f>
        <v/>
      </c>
      <c r="C22527" t="inlineStr">
        <is>
          <t>1961-07-24</t>
        </is>
      </c>
    </row>
    <row r="22528">
      <c r="A22528" s="1" t="n">
        <v>22527</v>
      </c>
      <c r="B22528">
        <f>TEXT(22527, "[$-0E0000]yyyy-mm-dd")</f>
        <v/>
      </c>
      <c r="C22528" t="inlineStr">
        <is>
          <t>1961-07-25</t>
        </is>
      </c>
    </row>
    <row r="22529">
      <c r="A22529" s="1" t="n">
        <v>22528</v>
      </c>
      <c r="B22529">
        <f>TEXT(22528, "[$-0E0000]yyyy-mm-dd")</f>
        <v/>
      </c>
      <c r="C22529" t="inlineStr">
        <is>
          <t>1961-07-26</t>
        </is>
      </c>
    </row>
    <row r="22530">
      <c r="A22530" s="1" t="n">
        <v>22529</v>
      </c>
      <c r="B22530">
        <f>TEXT(22529, "[$-0E0000]yyyy-mm-dd")</f>
        <v/>
      </c>
      <c r="C22530" t="inlineStr">
        <is>
          <t>1961-07-27</t>
        </is>
      </c>
    </row>
    <row r="22531">
      <c r="A22531" s="1" t="n">
        <v>22530</v>
      </c>
      <c r="B22531">
        <f>TEXT(22530, "[$-0E0000]yyyy-mm-dd")</f>
        <v/>
      </c>
      <c r="C22531" t="inlineStr">
        <is>
          <t>1961-07-28</t>
        </is>
      </c>
    </row>
    <row r="22532">
      <c r="A22532" s="1" t="n">
        <v>22531</v>
      </c>
      <c r="B22532">
        <f>TEXT(22531, "[$-0E0000]yyyy-mm-dd")</f>
        <v/>
      </c>
      <c r="C22532" t="inlineStr">
        <is>
          <t>1961-07-29</t>
        </is>
      </c>
    </row>
    <row r="22533">
      <c r="A22533" s="1" t="n">
        <v>22532</v>
      </c>
      <c r="B22533">
        <f>TEXT(22532, "[$-0E0000]yyyy-mm-dd")</f>
        <v/>
      </c>
      <c r="C22533" t="inlineStr">
        <is>
          <t>1961-07-30</t>
        </is>
      </c>
    </row>
    <row r="22534">
      <c r="A22534" s="1" t="n">
        <v>22533</v>
      </c>
      <c r="B22534">
        <f>TEXT(22533, "[$-0E0000]yyyy-mm-dd")</f>
        <v/>
      </c>
      <c r="C22534" t="inlineStr">
        <is>
          <t>1961-08-01</t>
        </is>
      </c>
    </row>
    <row r="22535">
      <c r="A22535" s="1" t="n">
        <v>22534</v>
      </c>
      <c r="B22535">
        <f>TEXT(22534, "[$-0E0000]yyyy-mm-dd")</f>
        <v/>
      </c>
      <c r="C22535" t="inlineStr">
        <is>
          <t>1961-08-02</t>
        </is>
      </c>
    </row>
    <row r="22536">
      <c r="A22536" s="1" t="n">
        <v>22535</v>
      </c>
      <c r="B22536">
        <f>TEXT(22535, "[$-0E0000]yyyy-mm-dd")</f>
        <v/>
      </c>
      <c r="C22536" t="inlineStr">
        <is>
          <t>1961-08-03</t>
        </is>
      </c>
    </row>
    <row r="22537">
      <c r="A22537" s="1" t="n">
        <v>22536</v>
      </c>
      <c r="B22537">
        <f>TEXT(22536, "[$-0E0000]yyyy-mm-dd")</f>
        <v/>
      </c>
      <c r="C22537" t="inlineStr">
        <is>
          <t>1961-08-04</t>
        </is>
      </c>
    </row>
    <row r="22538">
      <c r="A22538" s="1" t="n">
        <v>22537</v>
      </c>
      <c r="B22538">
        <f>TEXT(22537, "[$-0E0000]yyyy-mm-dd")</f>
        <v/>
      </c>
      <c r="C22538" t="inlineStr">
        <is>
          <t>1961-08-05</t>
        </is>
      </c>
    </row>
    <row r="22539">
      <c r="A22539" s="1" t="n">
        <v>22538</v>
      </c>
      <c r="B22539">
        <f>TEXT(22538, "[$-0E0000]yyyy-mm-dd")</f>
        <v/>
      </c>
      <c r="C22539" t="inlineStr">
        <is>
          <t>1961-08-06</t>
        </is>
      </c>
    </row>
    <row r="22540">
      <c r="A22540" s="1" t="n">
        <v>22539</v>
      </c>
      <c r="B22540">
        <f>TEXT(22539, "[$-0E0000]yyyy-mm-dd")</f>
        <v/>
      </c>
      <c r="C22540" t="inlineStr">
        <is>
          <t>1961-08-07</t>
        </is>
      </c>
    </row>
    <row r="22541">
      <c r="A22541" s="1" t="n">
        <v>22540</v>
      </c>
      <c r="B22541">
        <f>TEXT(22540, "[$-0E0000]yyyy-mm-dd")</f>
        <v/>
      </c>
      <c r="C22541" t="inlineStr">
        <is>
          <t>1961-08-08</t>
        </is>
      </c>
    </row>
    <row r="22542">
      <c r="A22542" s="1" t="n">
        <v>22541</v>
      </c>
      <c r="B22542">
        <f>TEXT(22541, "[$-0E0000]yyyy-mm-dd")</f>
        <v/>
      </c>
      <c r="C22542" t="inlineStr">
        <is>
          <t>1961-08-09</t>
        </is>
      </c>
    </row>
    <row r="22543">
      <c r="A22543" s="1" t="n">
        <v>22542</v>
      </c>
      <c r="B22543">
        <f>TEXT(22542, "[$-0E0000]yyyy-mm-dd")</f>
        <v/>
      </c>
      <c r="C22543" t="inlineStr">
        <is>
          <t>1961-08-10</t>
        </is>
      </c>
    </row>
    <row r="22544">
      <c r="A22544" s="1" t="n">
        <v>22543</v>
      </c>
      <c r="B22544">
        <f>TEXT(22543, "[$-0E0000]yyyy-mm-dd")</f>
        <v/>
      </c>
      <c r="C22544" t="inlineStr">
        <is>
          <t>1961-08-11</t>
        </is>
      </c>
    </row>
    <row r="22545">
      <c r="A22545" s="1" t="n">
        <v>22544</v>
      </c>
      <c r="B22545">
        <f>TEXT(22544, "[$-0E0000]yyyy-mm-dd")</f>
        <v/>
      </c>
      <c r="C22545" t="inlineStr">
        <is>
          <t>1961-08-12</t>
        </is>
      </c>
    </row>
    <row r="22546">
      <c r="A22546" s="1" t="n">
        <v>22545</v>
      </c>
      <c r="B22546">
        <f>TEXT(22545, "[$-0E0000]yyyy-mm-dd")</f>
        <v/>
      </c>
      <c r="C22546" t="inlineStr">
        <is>
          <t>1961-08-13</t>
        </is>
      </c>
    </row>
    <row r="22547">
      <c r="A22547" s="1" t="n">
        <v>22546</v>
      </c>
      <c r="B22547">
        <f>TEXT(22546, "[$-0E0000]yyyy-mm-dd")</f>
        <v/>
      </c>
      <c r="C22547" t="inlineStr">
        <is>
          <t>1961-08-14</t>
        </is>
      </c>
    </row>
    <row r="22548">
      <c r="A22548" s="1" t="n">
        <v>22547</v>
      </c>
      <c r="B22548">
        <f>TEXT(22547, "[$-0E0000]yyyy-mm-dd")</f>
        <v/>
      </c>
      <c r="C22548" t="inlineStr">
        <is>
          <t>1961-08-15</t>
        </is>
      </c>
    </row>
    <row r="22549">
      <c r="A22549" s="1" t="n">
        <v>22548</v>
      </c>
      <c r="B22549">
        <f>TEXT(22548, "[$-0E0000]yyyy-mm-dd")</f>
        <v/>
      </c>
      <c r="C22549" t="inlineStr">
        <is>
          <t>1961-08-16</t>
        </is>
      </c>
    </row>
    <row r="22550">
      <c r="A22550" s="1" t="n">
        <v>22549</v>
      </c>
      <c r="B22550">
        <f>TEXT(22549, "[$-0E0000]yyyy-mm-dd")</f>
        <v/>
      </c>
      <c r="C22550" t="inlineStr">
        <is>
          <t>1961-08-17</t>
        </is>
      </c>
    </row>
    <row r="22551">
      <c r="A22551" s="1" t="n">
        <v>22550</v>
      </c>
      <c r="B22551">
        <f>TEXT(22550, "[$-0E0000]yyyy-mm-dd")</f>
        <v/>
      </c>
      <c r="C22551" t="inlineStr">
        <is>
          <t>1961-08-18</t>
        </is>
      </c>
    </row>
    <row r="22552">
      <c r="A22552" s="1" t="n">
        <v>22551</v>
      </c>
      <c r="B22552">
        <f>TEXT(22551, "[$-0E0000]yyyy-mm-dd")</f>
        <v/>
      </c>
      <c r="C22552" t="inlineStr">
        <is>
          <t>1961-08-19</t>
        </is>
      </c>
    </row>
    <row r="22553">
      <c r="A22553" s="1" t="n">
        <v>22552</v>
      </c>
      <c r="B22553">
        <f>TEXT(22552, "[$-0E0000]yyyy-mm-dd")</f>
        <v/>
      </c>
      <c r="C22553" t="inlineStr">
        <is>
          <t>1961-08-20</t>
        </is>
      </c>
    </row>
    <row r="22554">
      <c r="A22554" s="1" t="n">
        <v>22553</v>
      </c>
      <c r="B22554">
        <f>TEXT(22553, "[$-0E0000]yyyy-mm-dd")</f>
        <v/>
      </c>
      <c r="C22554" t="inlineStr">
        <is>
          <t>1961-08-21</t>
        </is>
      </c>
    </row>
    <row r="22555">
      <c r="A22555" s="1" t="n">
        <v>22554</v>
      </c>
      <c r="B22555">
        <f>TEXT(22554, "[$-0E0000]yyyy-mm-dd")</f>
        <v/>
      </c>
      <c r="C22555" t="inlineStr">
        <is>
          <t>1961-08-22</t>
        </is>
      </c>
    </row>
    <row r="22556">
      <c r="A22556" s="1" t="n">
        <v>22555</v>
      </c>
      <c r="B22556">
        <f>TEXT(22555, "[$-0E0000]yyyy-mm-dd")</f>
        <v/>
      </c>
      <c r="C22556" t="inlineStr">
        <is>
          <t>1961-08-23</t>
        </is>
      </c>
    </row>
    <row r="22557">
      <c r="A22557" s="1" t="n">
        <v>22556</v>
      </c>
      <c r="B22557">
        <f>TEXT(22556, "[$-0E0000]yyyy-mm-dd")</f>
        <v/>
      </c>
      <c r="C22557" t="inlineStr">
        <is>
          <t>1961-08-24</t>
        </is>
      </c>
    </row>
    <row r="22558">
      <c r="A22558" s="1" t="n">
        <v>22557</v>
      </c>
      <c r="B22558">
        <f>TEXT(22557, "[$-0E0000]yyyy-mm-dd")</f>
        <v/>
      </c>
      <c r="C22558" t="inlineStr">
        <is>
          <t>1961-08-25</t>
        </is>
      </c>
    </row>
    <row r="22559">
      <c r="A22559" s="1" t="n">
        <v>22558</v>
      </c>
      <c r="B22559">
        <f>TEXT(22558, "[$-0E0000]yyyy-mm-dd")</f>
        <v/>
      </c>
      <c r="C22559" t="inlineStr">
        <is>
          <t>1961-08-26</t>
        </is>
      </c>
    </row>
    <row r="22560">
      <c r="A22560" s="1" t="n">
        <v>22559</v>
      </c>
      <c r="B22560">
        <f>TEXT(22559, "[$-0E0000]yyyy-mm-dd")</f>
        <v/>
      </c>
      <c r="C22560" t="inlineStr">
        <is>
          <t>1961-08-27</t>
        </is>
      </c>
    </row>
    <row r="22561">
      <c r="A22561" s="1" t="n">
        <v>22560</v>
      </c>
      <c r="B22561">
        <f>TEXT(22560, "[$-0E0000]yyyy-mm-dd")</f>
        <v/>
      </c>
      <c r="C22561" t="inlineStr">
        <is>
          <t>1961-08-28</t>
        </is>
      </c>
    </row>
    <row r="22562">
      <c r="A22562" s="1" t="n">
        <v>22561</v>
      </c>
      <c r="B22562">
        <f>TEXT(22561, "[$-0E0000]yyyy-mm-dd")</f>
        <v/>
      </c>
      <c r="C22562" t="inlineStr">
        <is>
          <t>1961-08-29</t>
        </is>
      </c>
    </row>
    <row r="22563">
      <c r="A22563" s="1" t="n">
        <v>22562</v>
      </c>
      <c r="B22563">
        <f>TEXT(22562, "[$-0E0000]yyyy-mm-dd")</f>
        <v/>
      </c>
      <c r="C22563" t="inlineStr">
        <is>
          <t>1961-08-30</t>
        </is>
      </c>
    </row>
    <row r="22564">
      <c r="A22564" s="1" t="n">
        <v>22563</v>
      </c>
      <c r="B22564">
        <f>TEXT(22563, "[$-0E0000]yyyy-mm-dd")</f>
        <v/>
      </c>
      <c r="C22564" t="inlineStr">
        <is>
          <t>1961-09-01</t>
        </is>
      </c>
    </row>
    <row r="22565">
      <c r="A22565" s="1" t="n">
        <v>22564</v>
      </c>
      <c r="B22565">
        <f>TEXT(22564, "[$-0E0000]yyyy-mm-dd")</f>
        <v/>
      </c>
      <c r="C22565" t="inlineStr">
        <is>
          <t>1961-09-02</t>
        </is>
      </c>
    </row>
    <row r="22566">
      <c r="A22566" s="1" t="n">
        <v>22565</v>
      </c>
      <c r="B22566">
        <f>TEXT(22565, "[$-0E0000]yyyy-mm-dd")</f>
        <v/>
      </c>
      <c r="C22566" t="inlineStr">
        <is>
          <t>1961-09-03</t>
        </is>
      </c>
    </row>
    <row r="22567">
      <c r="A22567" s="1" t="n">
        <v>22566</v>
      </c>
      <c r="B22567">
        <f>TEXT(22566, "[$-0E0000]yyyy-mm-dd")</f>
        <v/>
      </c>
      <c r="C22567" t="inlineStr">
        <is>
          <t>1961-09-04</t>
        </is>
      </c>
    </row>
    <row r="22568">
      <c r="A22568" s="1" t="n">
        <v>22567</v>
      </c>
      <c r="B22568">
        <f>TEXT(22567, "[$-0E0000]yyyy-mm-dd")</f>
        <v/>
      </c>
      <c r="C22568" t="inlineStr">
        <is>
          <t>1961-09-05</t>
        </is>
      </c>
    </row>
    <row r="22569">
      <c r="A22569" s="1" t="n">
        <v>22568</v>
      </c>
      <c r="B22569">
        <f>TEXT(22568, "[$-0E0000]yyyy-mm-dd")</f>
        <v/>
      </c>
      <c r="C22569" t="inlineStr">
        <is>
          <t>1961-09-06</t>
        </is>
      </c>
    </row>
    <row r="22570">
      <c r="A22570" s="1" t="n">
        <v>22569</v>
      </c>
      <c r="B22570">
        <f>TEXT(22569, "[$-0E0000]yyyy-mm-dd")</f>
        <v/>
      </c>
      <c r="C22570" t="inlineStr">
        <is>
          <t>1961-09-07</t>
        </is>
      </c>
    </row>
    <row r="22571">
      <c r="A22571" s="1" t="n">
        <v>22570</v>
      </c>
      <c r="B22571">
        <f>TEXT(22570, "[$-0E0000]yyyy-mm-dd")</f>
        <v/>
      </c>
      <c r="C22571" t="inlineStr">
        <is>
          <t>1961-09-08</t>
        </is>
      </c>
    </row>
    <row r="22572">
      <c r="A22572" s="1" t="n">
        <v>22571</v>
      </c>
      <c r="B22572">
        <f>TEXT(22571, "[$-0E0000]yyyy-mm-dd")</f>
        <v/>
      </c>
      <c r="C22572" t="inlineStr">
        <is>
          <t>1961-09-09</t>
        </is>
      </c>
    </row>
    <row r="22573">
      <c r="A22573" s="1" t="n">
        <v>22572</v>
      </c>
      <c r="B22573">
        <f>TEXT(22572, "[$-0E0000]yyyy-mm-dd")</f>
        <v/>
      </c>
      <c r="C22573" t="inlineStr">
        <is>
          <t>1961-09-10</t>
        </is>
      </c>
    </row>
    <row r="22574">
      <c r="A22574" s="1" t="n">
        <v>22573</v>
      </c>
      <c r="B22574">
        <f>TEXT(22573, "[$-0E0000]yyyy-mm-dd")</f>
        <v/>
      </c>
      <c r="C22574" t="inlineStr">
        <is>
          <t>1961-09-11</t>
        </is>
      </c>
    </row>
    <row r="22575">
      <c r="A22575" s="1" t="n">
        <v>22574</v>
      </c>
      <c r="B22575">
        <f>TEXT(22574, "[$-0E0000]yyyy-mm-dd")</f>
        <v/>
      </c>
      <c r="C22575" t="inlineStr">
        <is>
          <t>1961-09-12</t>
        </is>
      </c>
    </row>
    <row r="22576">
      <c r="A22576" s="1" t="n">
        <v>22575</v>
      </c>
      <c r="B22576">
        <f>TEXT(22575, "[$-0E0000]yyyy-mm-dd")</f>
        <v/>
      </c>
      <c r="C22576" t="inlineStr">
        <is>
          <t>1961-09-13</t>
        </is>
      </c>
    </row>
    <row r="22577">
      <c r="A22577" s="1" t="n">
        <v>22576</v>
      </c>
      <c r="B22577">
        <f>TEXT(22576, "[$-0E0000]yyyy-mm-dd")</f>
        <v/>
      </c>
      <c r="C22577" t="inlineStr">
        <is>
          <t>1961-09-14</t>
        </is>
      </c>
    </row>
    <row r="22578">
      <c r="A22578" s="1" t="n">
        <v>22577</v>
      </c>
      <c r="B22578">
        <f>TEXT(22577, "[$-0E0000]yyyy-mm-dd")</f>
        <v/>
      </c>
      <c r="C22578" t="inlineStr">
        <is>
          <t>1961-09-15</t>
        </is>
      </c>
    </row>
    <row r="22579">
      <c r="A22579" s="1" t="n">
        <v>22578</v>
      </c>
      <c r="B22579">
        <f>TEXT(22578, "[$-0E0000]yyyy-mm-dd")</f>
        <v/>
      </c>
      <c r="C22579" t="inlineStr">
        <is>
          <t>1961-09-16</t>
        </is>
      </c>
    </row>
    <row r="22580">
      <c r="A22580" s="1" t="n">
        <v>22579</v>
      </c>
      <c r="B22580">
        <f>TEXT(22579, "[$-0E0000]yyyy-mm-dd")</f>
        <v/>
      </c>
      <c r="C22580" t="inlineStr">
        <is>
          <t>1961-09-17</t>
        </is>
      </c>
    </row>
    <row r="22581">
      <c r="A22581" s="1" t="n">
        <v>22580</v>
      </c>
      <c r="B22581">
        <f>TEXT(22580, "[$-0E0000]yyyy-mm-dd")</f>
        <v/>
      </c>
      <c r="C22581" t="inlineStr">
        <is>
          <t>1961-09-18</t>
        </is>
      </c>
    </row>
    <row r="22582">
      <c r="A22582" s="1" t="n">
        <v>22581</v>
      </c>
      <c r="B22582">
        <f>TEXT(22581, "[$-0E0000]yyyy-mm-dd")</f>
        <v/>
      </c>
      <c r="C22582" t="inlineStr">
        <is>
          <t>1961-09-19</t>
        </is>
      </c>
    </row>
    <row r="22583">
      <c r="A22583" s="1" t="n">
        <v>22582</v>
      </c>
      <c r="B22583">
        <f>TEXT(22582, "[$-0E0000]yyyy-mm-dd")</f>
        <v/>
      </c>
      <c r="C22583" t="inlineStr">
        <is>
          <t>1961-09-20</t>
        </is>
      </c>
    </row>
    <row r="22584">
      <c r="A22584" s="1" t="n">
        <v>22583</v>
      </c>
      <c r="B22584">
        <f>TEXT(22583, "[$-0E0000]yyyy-mm-dd")</f>
        <v/>
      </c>
      <c r="C22584" t="inlineStr">
        <is>
          <t>1961-09-21</t>
        </is>
      </c>
    </row>
    <row r="22585">
      <c r="A22585" s="1" t="n">
        <v>22584</v>
      </c>
      <c r="B22585">
        <f>TEXT(22584, "[$-0E0000]yyyy-mm-dd")</f>
        <v/>
      </c>
      <c r="C22585" t="inlineStr">
        <is>
          <t>1961-09-22</t>
        </is>
      </c>
    </row>
    <row r="22586">
      <c r="A22586" s="1" t="n">
        <v>22585</v>
      </c>
      <c r="B22586">
        <f>TEXT(22585, "[$-0E0000]yyyy-mm-dd")</f>
        <v/>
      </c>
      <c r="C22586" t="inlineStr">
        <is>
          <t>1961-09-23</t>
        </is>
      </c>
    </row>
    <row r="22587">
      <c r="A22587" s="1" t="n">
        <v>22586</v>
      </c>
      <c r="B22587">
        <f>TEXT(22586, "[$-0E0000]yyyy-mm-dd")</f>
        <v/>
      </c>
      <c r="C22587" t="inlineStr">
        <is>
          <t>1961-09-24</t>
        </is>
      </c>
    </row>
    <row r="22588">
      <c r="A22588" s="1" t="n">
        <v>22587</v>
      </c>
      <c r="B22588">
        <f>TEXT(22587, "[$-0E0000]yyyy-mm-dd")</f>
        <v/>
      </c>
      <c r="C22588" t="inlineStr">
        <is>
          <t>1961-09-25</t>
        </is>
      </c>
    </row>
    <row r="22589">
      <c r="A22589" s="1" t="n">
        <v>22588</v>
      </c>
      <c r="B22589">
        <f>TEXT(22588, "[$-0E0000]yyyy-mm-dd")</f>
        <v/>
      </c>
      <c r="C22589" t="inlineStr">
        <is>
          <t>1961-09-26</t>
        </is>
      </c>
    </row>
    <row r="22590">
      <c r="A22590" s="1" t="n">
        <v>22589</v>
      </c>
      <c r="B22590">
        <f>TEXT(22589, "[$-0E0000]yyyy-mm-dd")</f>
        <v/>
      </c>
      <c r="C22590" t="inlineStr">
        <is>
          <t>1961-09-27</t>
        </is>
      </c>
    </row>
    <row r="22591">
      <c r="A22591" s="1" t="n">
        <v>22590</v>
      </c>
      <c r="B22591">
        <f>TEXT(22590, "[$-0E0000]yyyy-mm-dd")</f>
        <v/>
      </c>
      <c r="C22591" t="inlineStr">
        <is>
          <t>1961-09-28</t>
        </is>
      </c>
    </row>
    <row r="22592">
      <c r="A22592" s="1" t="n">
        <v>22591</v>
      </c>
      <c r="B22592">
        <f>TEXT(22591, "[$-0E0000]yyyy-mm-dd")</f>
        <v/>
      </c>
      <c r="C22592" t="inlineStr">
        <is>
          <t>1961-09-29</t>
        </is>
      </c>
    </row>
    <row r="22593">
      <c r="A22593" s="1" t="n">
        <v>22592</v>
      </c>
      <c r="B22593">
        <f>TEXT(22592, "[$-0E0000]yyyy-mm-dd")</f>
        <v/>
      </c>
      <c r="C22593" t="inlineStr">
        <is>
          <t>1961-10-01</t>
        </is>
      </c>
    </row>
    <row r="22594">
      <c r="A22594" s="1" t="n">
        <v>22593</v>
      </c>
      <c r="B22594">
        <f>TEXT(22593, "[$-0E0000]yyyy-mm-dd")</f>
        <v/>
      </c>
      <c r="C22594" t="inlineStr">
        <is>
          <t>1961-10-02</t>
        </is>
      </c>
    </row>
    <row r="22595">
      <c r="A22595" s="1" t="n">
        <v>22594</v>
      </c>
      <c r="B22595">
        <f>TEXT(22594, "[$-0E0000]yyyy-mm-dd")</f>
        <v/>
      </c>
      <c r="C22595" t="inlineStr">
        <is>
          <t>1961-10-03</t>
        </is>
      </c>
    </row>
    <row r="22596">
      <c r="A22596" s="1" t="n">
        <v>22595</v>
      </c>
      <c r="B22596">
        <f>TEXT(22595, "[$-0E0000]yyyy-mm-dd")</f>
        <v/>
      </c>
      <c r="C22596" t="inlineStr">
        <is>
          <t>1961-10-04</t>
        </is>
      </c>
    </row>
    <row r="22597">
      <c r="A22597" s="1" t="n">
        <v>22596</v>
      </c>
      <c r="B22597">
        <f>TEXT(22596, "[$-0E0000]yyyy-mm-dd")</f>
        <v/>
      </c>
      <c r="C22597" t="inlineStr">
        <is>
          <t>1961-10-05</t>
        </is>
      </c>
    </row>
    <row r="22598">
      <c r="A22598" s="1" t="n">
        <v>22597</v>
      </c>
      <c r="B22598">
        <f>TEXT(22597, "[$-0E0000]yyyy-mm-dd")</f>
        <v/>
      </c>
      <c r="C22598" t="inlineStr">
        <is>
          <t>1961-10-06</t>
        </is>
      </c>
    </row>
    <row r="22599">
      <c r="A22599" s="1" t="n">
        <v>22598</v>
      </c>
      <c r="B22599">
        <f>TEXT(22598, "[$-0E0000]yyyy-mm-dd")</f>
        <v/>
      </c>
      <c r="C22599" t="inlineStr">
        <is>
          <t>1961-10-07</t>
        </is>
      </c>
    </row>
    <row r="22600">
      <c r="A22600" s="1" t="n">
        <v>22599</v>
      </c>
      <c r="B22600">
        <f>TEXT(22599, "[$-0E0000]yyyy-mm-dd")</f>
        <v/>
      </c>
      <c r="C22600" t="inlineStr">
        <is>
          <t>1961-10-08</t>
        </is>
      </c>
    </row>
    <row r="22601">
      <c r="A22601" s="1" t="n">
        <v>22600</v>
      </c>
      <c r="B22601">
        <f>TEXT(22600, "[$-0E0000]yyyy-mm-dd")</f>
        <v/>
      </c>
      <c r="C22601" t="inlineStr">
        <is>
          <t>1961-10-09</t>
        </is>
      </c>
    </row>
    <row r="22602">
      <c r="A22602" s="1" t="n">
        <v>22601</v>
      </c>
      <c r="B22602">
        <f>TEXT(22601, "[$-0E0000]yyyy-mm-dd")</f>
        <v/>
      </c>
      <c r="C22602" t="inlineStr">
        <is>
          <t>1961-10-10</t>
        </is>
      </c>
    </row>
    <row r="22603">
      <c r="A22603" s="1" t="n">
        <v>22602</v>
      </c>
      <c r="B22603">
        <f>TEXT(22602, "[$-0E0000]yyyy-mm-dd")</f>
        <v/>
      </c>
      <c r="C22603" t="inlineStr">
        <is>
          <t>1961-10-11</t>
        </is>
      </c>
    </row>
    <row r="22604">
      <c r="A22604" s="1" t="n">
        <v>22603</v>
      </c>
      <c r="B22604">
        <f>TEXT(22603, "[$-0E0000]yyyy-mm-dd")</f>
        <v/>
      </c>
      <c r="C22604" t="inlineStr">
        <is>
          <t>1961-10-12</t>
        </is>
      </c>
    </row>
    <row r="22605">
      <c r="A22605" s="1" t="n">
        <v>22604</v>
      </c>
      <c r="B22605">
        <f>TEXT(22604, "[$-0E0000]yyyy-mm-dd")</f>
        <v/>
      </c>
      <c r="C22605" t="inlineStr">
        <is>
          <t>1961-10-13</t>
        </is>
      </c>
    </row>
    <row r="22606">
      <c r="A22606" s="1" t="n">
        <v>22605</v>
      </c>
      <c r="B22606">
        <f>TEXT(22605, "[$-0E0000]yyyy-mm-dd")</f>
        <v/>
      </c>
      <c r="C22606" t="inlineStr">
        <is>
          <t>1961-10-14</t>
        </is>
      </c>
    </row>
    <row r="22607">
      <c r="A22607" s="1" t="n">
        <v>22606</v>
      </c>
      <c r="B22607">
        <f>TEXT(22606, "[$-0E0000]yyyy-mm-dd")</f>
        <v/>
      </c>
      <c r="C22607" t="inlineStr">
        <is>
          <t>1961-10-15</t>
        </is>
      </c>
    </row>
    <row r="22608">
      <c r="A22608" s="1" t="n">
        <v>22607</v>
      </c>
      <c r="B22608">
        <f>TEXT(22607, "[$-0E0000]yyyy-mm-dd")</f>
        <v/>
      </c>
      <c r="C22608" t="inlineStr">
        <is>
          <t>1961-10-16</t>
        </is>
      </c>
    </row>
    <row r="22609">
      <c r="A22609" s="1" t="n">
        <v>22608</v>
      </c>
      <c r="B22609">
        <f>TEXT(22608, "[$-0E0000]yyyy-mm-dd")</f>
        <v/>
      </c>
      <c r="C22609" t="inlineStr">
        <is>
          <t>1961-10-17</t>
        </is>
      </c>
    </row>
    <row r="22610">
      <c r="A22610" s="1" t="n">
        <v>22609</v>
      </c>
      <c r="B22610">
        <f>TEXT(22609, "[$-0E0000]yyyy-mm-dd")</f>
        <v/>
      </c>
      <c r="C22610" t="inlineStr">
        <is>
          <t>1961-10-18</t>
        </is>
      </c>
    </row>
    <row r="22611">
      <c r="A22611" s="1" t="n">
        <v>22610</v>
      </c>
      <c r="B22611">
        <f>TEXT(22610, "[$-0E0000]yyyy-mm-dd")</f>
        <v/>
      </c>
      <c r="C22611" t="inlineStr">
        <is>
          <t>1961-10-19</t>
        </is>
      </c>
    </row>
    <row r="22612">
      <c r="A22612" s="1" t="n">
        <v>22611</v>
      </c>
      <c r="B22612">
        <f>TEXT(22611, "[$-0E0000]yyyy-mm-dd")</f>
        <v/>
      </c>
      <c r="C22612" t="inlineStr">
        <is>
          <t>1961-10-20</t>
        </is>
      </c>
    </row>
    <row r="22613">
      <c r="A22613" s="1" t="n">
        <v>22612</v>
      </c>
      <c r="B22613">
        <f>TEXT(22612, "[$-0E0000]yyyy-mm-dd")</f>
        <v/>
      </c>
      <c r="C22613" t="inlineStr">
        <is>
          <t>1961-10-21</t>
        </is>
      </c>
    </row>
    <row r="22614">
      <c r="A22614" s="1" t="n">
        <v>22613</v>
      </c>
      <c r="B22614">
        <f>TEXT(22613, "[$-0E0000]yyyy-mm-dd")</f>
        <v/>
      </c>
      <c r="C22614" t="inlineStr">
        <is>
          <t>1961-10-22</t>
        </is>
      </c>
    </row>
    <row r="22615">
      <c r="A22615" s="1" t="n">
        <v>22614</v>
      </c>
      <c r="B22615">
        <f>TEXT(22614, "[$-0E0000]yyyy-mm-dd")</f>
        <v/>
      </c>
      <c r="C22615" t="inlineStr">
        <is>
          <t>1961-10-23</t>
        </is>
      </c>
    </row>
    <row r="22616">
      <c r="A22616" s="1" t="n">
        <v>22615</v>
      </c>
      <c r="B22616">
        <f>TEXT(22615, "[$-0E0000]yyyy-mm-dd")</f>
        <v/>
      </c>
      <c r="C22616" t="inlineStr">
        <is>
          <t>1961-10-24</t>
        </is>
      </c>
    </row>
    <row r="22617">
      <c r="A22617" s="1" t="n">
        <v>22616</v>
      </c>
      <c r="B22617">
        <f>TEXT(22616, "[$-0E0000]yyyy-mm-dd")</f>
        <v/>
      </c>
      <c r="C22617" t="inlineStr">
        <is>
          <t>1961-10-25</t>
        </is>
      </c>
    </row>
    <row r="22618">
      <c r="A22618" s="1" t="n">
        <v>22617</v>
      </c>
      <c r="B22618">
        <f>TEXT(22617, "[$-0E0000]yyyy-mm-dd")</f>
        <v/>
      </c>
      <c r="C22618" t="inlineStr">
        <is>
          <t>1961-10-26</t>
        </is>
      </c>
    </row>
    <row r="22619">
      <c r="A22619" s="1" t="n">
        <v>22618</v>
      </c>
      <c r="B22619">
        <f>TEXT(22618, "[$-0E0000]yyyy-mm-dd")</f>
        <v/>
      </c>
      <c r="C22619" t="inlineStr">
        <is>
          <t>1961-10-27</t>
        </is>
      </c>
    </row>
    <row r="22620">
      <c r="A22620" s="1" t="n">
        <v>22619</v>
      </c>
      <c r="B22620">
        <f>TEXT(22619, "[$-0E0000]yyyy-mm-dd")</f>
        <v/>
      </c>
      <c r="C22620" t="inlineStr">
        <is>
          <t>1961-10-28</t>
        </is>
      </c>
    </row>
    <row r="22621">
      <c r="A22621" s="1" t="n">
        <v>22620</v>
      </c>
      <c r="B22621">
        <f>TEXT(22620, "[$-0E0000]yyyy-mm-dd")</f>
        <v/>
      </c>
      <c r="C22621" t="inlineStr">
        <is>
          <t>1961-10-29</t>
        </is>
      </c>
    </row>
    <row r="22622">
      <c r="A22622" s="1" t="n">
        <v>22621</v>
      </c>
      <c r="B22622">
        <f>TEXT(22621, "[$-0E0000]yyyy-mm-dd")</f>
        <v/>
      </c>
      <c r="C22622" t="inlineStr">
        <is>
          <t>1961-10-30</t>
        </is>
      </c>
    </row>
    <row r="22623">
      <c r="A22623" s="1" t="n">
        <v>22622</v>
      </c>
      <c r="B22623">
        <f>TEXT(22622, "[$-0E0000]yyyy-mm-dd")</f>
        <v/>
      </c>
      <c r="C22623" t="inlineStr">
        <is>
          <t>1961-11-01</t>
        </is>
      </c>
    </row>
    <row r="22624">
      <c r="A22624" s="1" t="n">
        <v>22623</v>
      </c>
      <c r="B22624">
        <f>TEXT(22623, "[$-0E0000]yyyy-mm-dd")</f>
        <v/>
      </c>
      <c r="C22624" t="inlineStr">
        <is>
          <t>1961-11-02</t>
        </is>
      </c>
    </row>
    <row r="22625">
      <c r="A22625" s="1" t="n">
        <v>22624</v>
      </c>
      <c r="B22625">
        <f>TEXT(22624, "[$-0E0000]yyyy-mm-dd")</f>
        <v/>
      </c>
      <c r="C22625" t="inlineStr">
        <is>
          <t>1961-11-03</t>
        </is>
      </c>
    </row>
    <row r="22626">
      <c r="A22626" s="1" t="n">
        <v>22625</v>
      </c>
      <c r="B22626">
        <f>TEXT(22625, "[$-0E0000]yyyy-mm-dd")</f>
        <v/>
      </c>
      <c r="C22626" t="inlineStr">
        <is>
          <t>1961-11-04</t>
        </is>
      </c>
    </row>
    <row r="22627">
      <c r="A22627" s="1" t="n">
        <v>22626</v>
      </c>
      <c r="B22627">
        <f>TEXT(22626, "[$-0E0000]yyyy-mm-dd")</f>
        <v/>
      </c>
      <c r="C22627" t="inlineStr">
        <is>
          <t>1961-11-05</t>
        </is>
      </c>
    </row>
    <row r="22628">
      <c r="A22628" s="1" t="n">
        <v>22627</v>
      </c>
      <c r="B22628">
        <f>TEXT(22627, "[$-0E0000]yyyy-mm-dd")</f>
        <v/>
      </c>
      <c r="C22628" t="inlineStr">
        <is>
          <t>1961-11-06</t>
        </is>
      </c>
    </row>
    <row r="22629">
      <c r="A22629" s="1" t="n">
        <v>22628</v>
      </c>
      <c r="B22629">
        <f>TEXT(22628, "[$-0E0000]yyyy-mm-dd")</f>
        <v/>
      </c>
      <c r="C22629" t="inlineStr">
        <is>
          <t>1961-11-07</t>
        </is>
      </c>
    </row>
    <row r="22630">
      <c r="A22630" s="1" t="n">
        <v>22629</v>
      </c>
      <c r="B22630">
        <f>TEXT(22629, "[$-0E0000]yyyy-mm-dd")</f>
        <v/>
      </c>
      <c r="C22630" t="inlineStr">
        <is>
          <t>1961-11-08</t>
        </is>
      </c>
    </row>
    <row r="22631">
      <c r="A22631" s="1" t="n">
        <v>22630</v>
      </c>
      <c r="B22631">
        <f>TEXT(22630, "[$-0E0000]yyyy-mm-dd")</f>
        <v/>
      </c>
      <c r="C22631" t="inlineStr">
        <is>
          <t>1961-11-09</t>
        </is>
      </c>
    </row>
    <row r="22632">
      <c r="A22632" s="1" t="n">
        <v>22631</v>
      </c>
      <c r="B22632">
        <f>TEXT(22631, "[$-0E0000]yyyy-mm-dd")</f>
        <v/>
      </c>
      <c r="C22632" t="inlineStr">
        <is>
          <t>1961-11-10</t>
        </is>
      </c>
    </row>
    <row r="22633">
      <c r="A22633" s="1" t="n">
        <v>22632</v>
      </c>
      <c r="B22633">
        <f>TEXT(22632, "[$-0E0000]yyyy-mm-dd")</f>
        <v/>
      </c>
      <c r="C22633" t="inlineStr">
        <is>
          <t>1961-11-11</t>
        </is>
      </c>
    </row>
    <row r="22634">
      <c r="A22634" s="1" t="n">
        <v>22633</v>
      </c>
      <c r="B22634">
        <f>TEXT(22633, "[$-0E0000]yyyy-mm-dd")</f>
        <v/>
      </c>
      <c r="C22634" t="inlineStr">
        <is>
          <t>1961-11-12</t>
        </is>
      </c>
    </row>
    <row r="22635">
      <c r="A22635" s="1" t="n">
        <v>22634</v>
      </c>
      <c r="B22635">
        <f>TEXT(22634, "[$-0E0000]yyyy-mm-dd")</f>
        <v/>
      </c>
      <c r="C22635" t="inlineStr">
        <is>
          <t>1961-11-13</t>
        </is>
      </c>
    </row>
    <row r="22636">
      <c r="A22636" s="1" t="n">
        <v>22635</v>
      </c>
      <c r="B22636">
        <f>TEXT(22635, "[$-0E0000]yyyy-mm-dd")</f>
        <v/>
      </c>
      <c r="C22636" t="inlineStr">
        <is>
          <t>1961-11-14</t>
        </is>
      </c>
    </row>
    <row r="22637">
      <c r="A22637" s="1" t="n">
        <v>22636</v>
      </c>
      <c r="B22637">
        <f>TEXT(22636, "[$-0E0000]yyyy-mm-dd")</f>
        <v/>
      </c>
      <c r="C22637" t="inlineStr">
        <is>
          <t>1961-11-15</t>
        </is>
      </c>
    </row>
    <row r="22638">
      <c r="A22638" s="1" t="n">
        <v>22637</v>
      </c>
      <c r="B22638">
        <f>TEXT(22637, "[$-0E0000]yyyy-mm-dd")</f>
        <v/>
      </c>
      <c r="C22638" t="inlineStr">
        <is>
          <t>1961-11-16</t>
        </is>
      </c>
    </row>
    <row r="22639">
      <c r="A22639" s="1" t="n">
        <v>22638</v>
      </c>
      <c r="B22639">
        <f>TEXT(22638, "[$-0E0000]yyyy-mm-dd")</f>
        <v/>
      </c>
      <c r="C22639" t="inlineStr">
        <is>
          <t>1961-11-17</t>
        </is>
      </c>
    </row>
    <row r="22640">
      <c r="A22640" s="1" t="n">
        <v>22639</v>
      </c>
      <c r="B22640">
        <f>TEXT(22639, "[$-0E0000]yyyy-mm-dd")</f>
        <v/>
      </c>
      <c r="C22640" t="inlineStr">
        <is>
          <t>1961-11-18</t>
        </is>
      </c>
    </row>
    <row r="22641">
      <c r="A22641" s="1" t="n">
        <v>22640</v>
      </c>
      <c r="B22641">
        <f>TEXT(22640, "[$-0E0000]yyyy-mm-dd")</f>
        <v/>
      </c>
      <c r="C22641" t="inlineStr">
        <is>
          <t>1961-11-19</t>
        </is>
      </c>
    </row>
    <row r="22642">
      <c r="A22642" s="1" t="n">
        <v>22641</v>
      </c>
      <c r="B22642">
        <f>TEXT(22641, "[$-0E0000]yyyy-mm-dd")</f>
        <v/>
      </c>
      <c r="C22642" t="inlineStr">
        <is>
          <t>1961-11-20</t>
        </is>
      </c>
    </row>
    <row r="22643">
      <c r="A22643" s="1" t="n">
        <v>22642</v>
      </c>
      <c r="B22643">
        <f>TEXT(22642, "[$-0E0000]yyyy-mm-dd")</f>
        <v/>
      </c>
      <c r="C22643" t="inlineStr">
        <is>
          <t>1961-11-21</t>
        </is>
      </c>
    </row>
    <row r="22644">
      <c r="A22644" s="1" t="n">
        <v>22643</v>
      </c>
      <c r="B22644">
        <f>TEXT(22643, "[$-0E0000]yyyy-mm-dd")</f>
        <v/>
      </c>
      <c r="C22644" t="inlineStr">
        <is>
          <t>1961-11-22</t>
        </is>
      </c>
    </row>
    <row r="22645">
      <c r="A22645" s="1" t="n">
        <v>22644</v>
      </c>
      <c r="B22645">
        <f>TEXT(22644, "[$-0E0000]yyyy-mm-dd")</f>
        <v/>
      </c>
      <c r="C22645" t="inlineStr">
        <is>
          <t>1961-11-23</t>
        </is>
      </c>
    </row>
    <row r="22646">
      <c r="A22646" s="1" t="n">
        <v>22645</v>
      </c>
      <c r="B22646">
        <f>TEXT(22645, "[$-0E0000]yyyy-mm-dd")</f>
        <v/>
      </c>
      <c r="C22646" t="inlineStr">
        <is>
          <t>1961-11-24</t>
        </is>
      </c>
    </row>
    <row r="22647">
      <c r="A22647" s="1" t="n">
        <v>22646</v>
      </c>
      <c r="B22647">
        <f>TEXT(22646, "[$-0E0000]yyyy-mm-dd")</f>
        <v/>
      </c>
      <c r="C22647" t="inlineStr">
        <is>
          <t>1961-11-25</t>
        </is>
      </c>
    </row>
    <row r="22648">
      <c r="A22648" s="1" t="n">
        <v>22647</v>
      </c>
      <c r="B22648">
        <f>TEXT(22647, "[$-0E0000]yyyy-mm-dd")</f>
        <v/>
      </c>
      <c r="C22648" t="inlineStr">
        <is>
          <t>1961-11-26</t>
        </is>
      </c>
    </row>
    <row r="22649">
      <c r="A22649" s="1" t="n">
        <v>22648</v>
      </c>
      <c r="B22649">
        <f>TEXT(22648, "[$-0E0000]yyyy-mm-dd")</f>
        <v/>
      </c>
      <c r="C22649" t="inlineStr">
        <is>
          <t>1961-11-27</t>
        </is>
      </c>
    </row>
    <row r="22650">
      <c r="A22650" s="1" t="n">
        <v>22649</v>
      </c>
      <c r="B22650">
        <f>TEXT(22649, "[$-0E0000]yyyy-mm-dd")</f>
        <v/>
      </c>
      <c r="C22650" t="inlineStr">
        <is>
          <t>1961-11-28</t>
        </is>
      </c>
    </row>
    <row r="22651">
      <c r="A22651" s="1" t="n">
        <v>22650</v>
      </c>
      <c r="B22651">
        <f>TEXT(22650, "[$-0E0000]yyyy-mm-dd")</f>
        <v/>
      </c>
      <c r="C22651" t="inlineStr">
        <is>
          <t>1961-11-29</t>
        </is>
      </c>
    </row>
    <row r="22652">
      <c r="A22652" s="1" t="n">
        <v>22651</v>
      </c>
      <c r="B22652">
        <f>TEXT(22651, "[$-0E0000]yyyy-mm-dd")</f>
        <v/>
      </c>
      <c r="C22652" t="inlineStr">
        <is>
          <t>1961-12-01</t>
        </is>
      </c>
    </row>
    <row r="22653">
      <c r="A22653" s="1" t="n">
        <v>22652</v>
      </c>
      <c r="B22653">
        <f>TEXT(22652, "[$-0E0000]yyyy-mm-dd")</f>
        <v/>
      </c>
      <c r="C22653" t="inlineStr">
        <is>
          <t>1961-12-02</t>
        </is>
      </c>
    </row>
    <row r="22654">
      <c r="A22654" s="1" t="n">
        <v>22653</v>
      </c>
      <c r="B22654">
        <f>TEXT(22653, "[$-0E0000]yyyy-mm-dd")</f>
        <v/>
      </c>
      <c r="C22654" t="inlineStr">
        <is>
          <t>1961-12-03</t>
        </is>
      </c>
    </row>
    <row r="22655">
      <c r="A22655" s="1" t="n">
        <v>22654</v>
      </c>
      <c r="B22655">
        <f>TEXT(22654, "[$-0E0000]yyyy-mm-dd")</f>
        <v/>
      </c>
      <c r="C22655" t="inlineStr">
        <is>
          <t>1961-12-04</t>
        </is>
      </c>
    </row>
    <row r="22656">
      <c r="A22656" s="1" t="n">
        <v>22655</v>
      </c>
      <c r="B22656">
        <f>TEXT(22655, "[$-0E0000]yyyy-mm-dd")</f>
        <v/>
      </c>
      <c r="C22656" t="inlineStr">
        <is>
          <t>1961-12-05</t>
        </is>
      </c>
    </row>
    <row r="22657">
      <c r="A22657" s="1" t="n">
        <v>22656</v>
      </c>
      <c r="B22657">
        <f>TEXT(22656, "[$-0E0000]yyyy-mm-dd")</f>
        <v/>
      </c>
      <c r="C22657" t="inlineStr">
        <is>
          <t>1961-12-06</t>
        </is>
      </c>
    </row>
    <row r="22658">
      <c r="A22658" s="1" t="n">
        <v>22657</v>
      </c>
      <c r="B22658">
        <f>TEXT(22657, "[$-0E0000]yyyy-mm-dd")</f>
        <v/>
      </c>
      <c r="C22658" t="inlineStr">
        <is>
          <t>1961-12-07</t>
        </is>
      </c>
    </row>
    <row r="22659">
      <c r="A22659" s="1" t="n">
        <v>22658</v>
      </c>
      <c r="B22659">
        <f>TEXT(22658, "[$-0E0000]yyyy-mm-dd")</f>
        <v/>
      </c>
      <c r="C22659" t="inlineStr">
        <is>
          <t>1961-12-08</t>
        </is>
      </c>
    </row>
    <row r="22660">
      <c r="A22660" s="1" t="n">
        <v>22659</v>
      </c>
      <c r="B22660">
        <f>TEXT(22659, "[$-0E0000]yyyy-mm-dd")</f>
        <v/>
      </c>
      <c r="C22660" t="inlineStr">
        <is>
          <t>1961-12-09</t>
        </is>
      </c>
    </row>
    <row r="22661">
      <c r="A22661" s="1" t="n">
        <v>22660</v>
      </c>
      <c r="B22661">
        <f>TEXT(22660, "[$-0E0000]yyyy-mm-dd")</f>
        <v/>
      </c>
      <c r="C22661" t="inlineStr">
        <is>
          <t>1961-12-10</t>
        </is>
      </c>
    </row>
    <row r="22662">
      <c r="A22662" s="1" t="n">
        <v>22661</v>
      </c>
      <c r="B22662">
        <f>TEXT(22661, "[$-0E0000]yyyy-mm-dd")</f>
        <v/>
      </c>
      <c r="C22662" t="inlineStr">
        <is>
          <t>1961-12-11</t>
        </is>
      </c>
    </row>
    <row r="22663">
      <c r="A22663" s="1" t="n">
        <v>22662</v>
      </c>
      <c r="B22663">
        <f>TEXT(22662, "[$-0E0000]yyyy-mm-dd")</f>
        <v/>
      </c>
      <c r="C22663" t="inlineStr">
        <is>
          <t>1961-12-12</t>
        </is>
      </c>
    </row>
    <row r="22664">
      <c r="A22664" s="1" t="n">
        <v>22663</v>
      </c>
      <c r="B22664">
        <f>TEXT(22663, "[$-0E0000]yyyy-mm-dd")</f>
        <v/>
      </c>
      <c r="C22664" t="inlineStr">
        <is>
          <t>1961-12-13</t>
        </is>
      </c>
    </row>
    <row r="22665">
      <c r="A22665" s="1" t="n">
        <v>22664</v>
      </c>
      <c r="B22665">
        <f>TEXT(22664, "[$-0E0000]yyyy-mm-dd")</f>
        <v/>
      </c>
      <c r="C22665" t="inlineStr">
        <is>
          <t>1961-12-14</t>
        </is>
      </c>
    </row>
    <row r="22666">
      <c r="A22666" s="1" t="n">
        <v>22665</v>
      </c>
      <c r="B22666">
        <f>TEXT(22665, "[$-0E0000]yyyy-mm-dd")</f>
        <v/>
      </c>
      <c r="C22666" t="inlineStr">
        <is>
          <t>1961-12-15</t>
        </is>
      </c>
    </row>
    <row r="22667">
      <c r="A22667" s="1" t="n">
        <v>22666</v>
      </c>
      <c r="B22667">
        <f>TEXT(22666, "[$-0E0000]yyyy-mm-dd")</f>
        <v/>
      </c>
      <c r="C22667" t="inlineStr">
        <is>
          <t>1961-12-16</t>
        </is>
      </c>
    </row>
    <row r="22668">
      <c r="A22668" s="1" t="n">
        <v>22667</v>
      </c>
      <c r="B22668">
        <f>TEXT(22667, "[$-0E0000]yyyy-mm-dd")</f>
        <v/>
      </c>
      <c r="C22668" t="inlineStr">
        <is>
          <t>1961-12-17</t>
        </is>
      </c>
    </row>
    <row r="22669">
      <c r="A22669" s="1" t="n">
        <v>22668</v>
      </c>
      <c r="B22669">
        <f>TEXT(22668, "[$-0E0000]yyyy-mm-dd")</f>
        <v/>
      </c>
      <c r="C22669" t="inlineStr">
        <is>
          <t>1961-12-18</t>
        </is>
      </c>
    </row>
    <row r="22670">
      <c r="A22670" s="1" t="n">
        <v>22669</v>
      </c>
      <c r="B22670">
        <f>TEXT(22669, "[$-0E0000]yyyy-mm-dd")</f>
        <v/>
      </c>
      <c r="C22670" t="inlineStr">
        <is>
          <t>1961-12-19</t>
        </is>
      </c>
    </row>
    <row r="22671">
      <c r="A22671" s="1" t="n">
        <v>22670</v>
      </c>
      <c r="B22671">
        <f>TEXT(22670, "[$-0E0000]yyyy-mm-dd")</f>
        <v/>
      </c>
      <c r="C22671" t="inlineStr">
        <is>
          <t>1961-12-20</t>
        </is>
      </c>
    </row>
    <row r="22672">
      <c r="A22672" s="1" t="n">
        <v>22671</v>
      </c>
      <c r="B22672">
        <f>TEXT(22671, "[$-0E0000]yyyy-mm-dd")</f>
        <v/>
      </c>
      <c r="C22672" t="inlineStr">
        <is>
          <t>1961-12-21</t>
        </is>
      </c>
    </row>
    <row r="22673">
      <c r="A22673" s="1" t="n">
        <v>22672</v>
      </c>
      <c r="B22673">
        <f>TEXT(22672, "[$-0E0000]yyyy-mm-dd")</f>
        <v/>
      </c>
      <c r="C22673" t="inlineStr">
        <is>
          <t>1961-12-22</t>
        </is>
      </c>
    </row>
    <row r="22674">
      <c r="A22674" s="1" t="n">
        <v>22673</v>
      </c>
      <c r="B22674">
        <f>TEXT(22673, "[$-0E0000]yyyy-mm-dd")</f>
        <v/>
      </c>
      <c r="C22674" t="inlineStr">
        <is>
          <t>1961-12-23</t>
        </is>
      </c>
    </row>
    <row r="22675">
      <c r="A22675" s="1" t="n">
        <v>22674</v>
      </c>
      <c r="B22675">
        <f>TEXT(22674, "[$-0E0000]yyyy-mm-dd")</f>
        <v/>
      </c>
      <c r="C22675" t="inlineStr">
        <is>
          <t>1961-12-24</t>
        </is>
      </c>
    </row>
    <row r="22676">
      <c r="A22676" s="1" t="n">
        <v>22675</v>
      </c>
      <c r="B22676">
        <f>TEXT(22675, "[$-0E0000]yyyy-mm-dd")</f>
        <v/>
      </c>
      <c r="C22676" t="inlineStr">
        <is>
          <t>1961-12-25</t>
        </is>
      </c>
    </row>
    <row r="22677">
      <c r="A22677" s="1" t="n">
        <v>22676</v>
      </c>
      <c r="B22677">
        <f>TEXT(22676, "[$-0E0000]yyyy-mm-dd")</f>
        <v/>
      </c>
      <c r="C22677" t="inlineStr">
        <is>
          <t>1961-12-26</t>
        </is>
      </c>
    </row>
    <row r="22678">
      <c r="A22678" s="1" t="n">
        <v>22677</v>
      </c>
      <c r="B22678">
        <f>TEXT(22677, "[$-0E0000]yyyy-mm-dd")</f>
        <v/>
      </c>
      <c r="C22678" t="inlineStr">
        <is>
          <t>1961-12-27</t>
        </is>
      </c>
    </row>
    <row r="22679">
      <c r="A22679" s="1" t="n">
        <v>22678</v>
      </c>
      <c r="B22679">
        <f>TEXT(22678, "[$-0E0000]yyyy-mm-dd")</f>
        <v/>
      </c>
      <c r="C22679" t="inlineStr">
        <is>
          <t>1961-12-28</t>
        </is>
      </c>
    </row>
    <row r="22680">
      <c r="A22680" s="1" t="n">
        <v>22679</v>
      </c>
      <c r="B22680">
        <f>TEXT(22679, "[$-0E0000]yyyy-mm-dd")</f>
        <v/>
      </c>
      <c r="C22680" t="inlineStr">
        <is>
          <t>1961-12-29</t>
        </is>
      </c>
    </row>
    <row r="22681">
      <c r="A22681" s="1" t="n">
        <v>22680</v>
      </c>
      <c r="B22681">
        <f>TEXT(22680, "[$-0E0000]yyyy-mm-dd")</f>
        <v/>
      </c>
      <c r="C22681" t="inlineStr">
        <is>
          <t>1961-12-30</t>
        </is>
      </c>
    </row>
    <row r="22682">
      <c r="A22682" s="1" t="n">
        <v>22681</v>
      </c>
      <c r="B22682">
        <f>TEXT(22681, "[$-0E0000]yyyy-mm-dd")</f>
        <v/>
      </c>
      <c r="C22682" t="inlineStr">
        <is>
          <t>1962-01-01</t>
        </is>
      </c>
    </row>
    <row r="22683">
      <c r="A22683" s="1" t="n">
        <v>22682</v>
      </c>
      <c r="B22683">
        <f>TEXT(22682, "[$-0E0000]yyyy-mm-dd")</f>
        <v/>
      </c>
      <c r="C22683" t="inlineStr">
        <is>
          <t>1962-01-02</t>
        </is>
      </c>
    </row>
    <row r="22684">
      <c r="A22684" s="1" t="n">
        <v>22683</v>
      </c>
      <c r="B22684">
        <f>TEXT(22683, "[$-0E0000]yyyy-mm-dd")</f>
        <v/>
      </c>
      <c r="C22684" t="inlineStr">
        <is>
          <t>1962-01-03</t>
        </is>
      </c>
    </row>
    <row r="22685">
      <c r="A22685" s="1" t="n">
        <v>22684</v>
      </c>
      <c r="B22685">
        <f>TEXT(22684, "[$-0E0000]yyyy-mm-dd")</f>
        <v/>
      </c>
      <c r="C22685" t="inlineStr">
        <is>
          <t>1962-01-04</t>
        </is>
      </c>
    </row>
    <row r="22686">
      <c r="A22686" s="1" t="n">
        <v>22685</v>
      </c>
      <c r="B22686">
        <f>TEXT(22685, "[$-0E0000]yyyy-mm-dd")</f>
        <v/>
      </c>
      <c r="C22686" t="inlineStr">
        <is>
          <t>1962-01-05</t>
        </is>
      </c>
    </row>
    <row r="22687">
      <c r="A22687" s="1" t="n">
        <v>22686</v>
      </c>
      <c r="B22687">
        <f>TEXT(22686, "[$-0E0000]yyyy-mm-dd")</f>
        <v/>
      </c>
      <c r="C22687" t="inlineStr">
        <is>
          <t>1962-01-06</t>
        </is>
      </c>
    </row>
    <row r="22688">
      <c r="A22688" s="1" t="n">
        <v>22687</v>
      </c>
      <c r="B22688">
        <f>TEXT(22687, "[$-0E0000]yyyy-mm-dd")</f>
        <v/>
      </c>
      <c r="C22688" t="inlineStr">
        <is>
          <t>1962-01-07</t>
        </is>
      </c>
    </row>
    <row r="22689">
      <c r="A22689" s="1" t="n">
        <v>22688</v>
      </c>
      <c r="B22689">
        <f>TEXT(22688, "[$-0E0000]yyyy-mm-dd")</f>
        <v/>
      </c>
      <c r="C22689" t="inlineStr">
        <is>
          <t>1962-01-08</t>
        </is>
      </c>
    </row>
    <row r="22690">
      <c r="A22690" s="1" t="n">
        <v>22689</v>
      </c>
      <c r="B22690">
        <f>TEXT(22689, "[$-0E0000]yyyy-mm-dd")</f>
        <v/>
      </c>
      <c r="C22690" t="inlineStr">
        <is>
          <t>1962-01-09</t>
        </is>
      </c>
    </row>
    <row r="22691">
      <c r="A22691" s="1" t="n">
        <v>22690</v>
      </c>
      <c r="B22691">
        <f>TEXT(22690, "[$-0E0000]yyyy-mm-dd")</f>
        <v/>
      </c>
      <c r="C22691" t="inlineStr">
        <is>
          <t>1962-01-10</t>
        </is>
      </c>
    </row>
    <row r="22692">
      <c r="A22692" s="1" t="n">
        <v>22691</v>
      </c>
      <c r="B22692">
        <f>TEXT(22691, "[$-0E0000]yyyy-mm-dd")</f>
        <v/>
      </c>
      <c r="C22692" t="inlineStr">
        <is>
          <t>1962-01-11</t>
        </is>
      </c>
    </row>
    <row r="22693">
      <c r="A22693" s="1" t="n">
        <v>22692</v>
      </c>
      <c r="B22693">
        <f>TEXT(22692, "[$-0E0000]yyyy-mm-dd")</f>
        <v/>
      </c>
      <c r="C22693" t="inlineStr">
        <is>
          <t>1962-01-12</t>
        </is>
      </c>
    </row>
    <row r="22694">
      <c r="A22694" s="1" t="n">
        <v>22693</v>
      </c>
      <c r="B22694">
        <f>TEXT(22693, "[$-0E0000]yyyy-mm-dd")</f>
        <v/>
      </c>
      <c r="C22694" t="inlineStr">
        <is>
          <t>1962-01-13</t>
        </is>
      </c>
    </row>
    <row r="22695">
      <c r="A22695" s="1" t="n">
        <v>22694</v>
      </c>
      <c r="B22695">
        <f>TEXT(22694, "[$-0E0000]yyyy-mm-dd")</f>
        <v/>
      </c>
      <c r="C22695" t="inlineStr">
        <is>
          <t>1962-01-14</t>
        </is>
      </c>
    </row>
    <row r="22696">
      <c r="A22696" s="1" t="n">
        <v>22695</v>
      </c>
      <c r="B22696">
        <f>TEXT(22695, "[$-0E0000]yyyy-mm-dd")</f>
        <v/>
      </c>
      <c r="C22696" t="inlineStr">
        <is>
          <t>1962-01-15</t>
        </is>
      </c>
    </row>
    <row r="22697">
      <c r="A22697" s="1" t="n">
        <v>22696</v>
      </c>
      <c r="B22697">
        <f>TEXT(22696, "[$-0E0000]yyyy-mm-dd")</f>
        <v/>
      </c>
      <c r="C22697" t="inlineStr">
        <is>
          <t>1962-01-16</t>
        </is>
      </c>
    </row>
    <row r="22698">
      <c r="A22698" s="1" t="n">
        <v>22697</v>
      </c>
      <c r="B22698">
        <f>TEXT(22697, "[$-0E0000]yyyy-mm-dd")</f>
        <v/>
      </c>
      <c r="C22698" t="inlineStr">
        <is>
          <t>1962-01-17</t>
        </is>
      </c>
    </row>
    <row r="22699">
      <c r="A22699" s="1" t="n">
        <v>22698</v>
      </c>
      <c r="B22699">
        <f>TEXT(22698, "[$-0E0000]yyyy-mm-dd")</f>
        <v/>
      </c>
      <c r="C22699" t="inlineStr">
        <is>
          <t>1962-01-18</t>
        </is>
      </c>
    </row>
    <row r="22700">
      <c r="A22700" s="1" t="n">
        <v>22699</v>
      </c>
      <c r="B22700">
        <f>TEXT(22699, "[$-0E0000]yyyy-mm-dd")</f>
        <v/>
      </c>
      <c r="C22700" t="inlineStr">
        <is>
          <t>1962-01-19</t>
        </is>
      </c>
    </row>
    <row r="22701">
      <c r="A22701" s="1" t="n">
        <v>22700</v>
      </c>
      <c r="B22701">
        <f>TEXT(22700, "[$-0E0000]yyyy-mm-dd")</f>
        <v/>
      </c>
      <c r="C22701" t="inlineStr">
        <is>
          <t>1962-01-20</t>
        </is>
      </c>
    </row>
    <row r="22702">
      <c r="A22702" s="1" t="n">
        <v>22701</v>
      </c>
      <c r="B22702">
        <f>TEXT(22701, "[$-0E0000]yyyy-mm-dd")</f>
        <v/>
      </c>
      <c r="C22702" t="inlineStr">
        <is>
          <t>1962-01-21</t>
        </is>
      </c>
    </row>
    <row r="22703">
      <c r="A22703" s="1" t="n">
        <v>22702</v>
      </c>
      <c r="B22703">
        <f>TEXT(22702, "[$-0E0000]yyyy-mm-dd")</f>
        <v/>
      </c>
      <c r="C22703" t="inlineStr">
        <is>
          <t>1962-01-22</t>
        </is>
      </c>
    </row>
    <row r="22704">
      <c r="A22704" s="1" t="n">
        <v>22703</v>
      </c>
      <c r="B22704">
        <f>TEXT(22703, "[$-0E0000]yyyy-mm-dd")</f>
        <v/>
      </c>
      <c r="C22704" t="inlineStr">
        <is>
          <t>1962-01-23</t>
        </is>
      </c>
    </row>
    <row r="22705">
      <c r="A22705" s="1" t="n">
        <v>22704</v>
      </c>
      <c r="B22705">
        <f>TEXT(22704, "[$-0E0000]yyyy-mm-dd")</f>
        <v/>
      </c>
      <c r="C22705" t="inlineStr">
        <is>
          <t>1962-01-24</t>
        </is>
      </c>
    </row>
    <row r="22706">
      <c r="A22706" s="1" t="n">
        <v>22705</v>
      </c>
      <c r="B22706">
        <f>TEXT(22705, "[$-0E0000]yyyy-mm-dd")</f>
        <v/>
      </c>
      <c r="C22706" t="inlineStr">
        <is>
          <t>1962-01-25</t>
        </is>
      </c>
    </row>
    <row r="22707">
      <c r="A22707" s="1" t="n">
        <v>22706</v>
      </c>
      <c r="B22707">
        <f>TEXT(22706, "[$-0E0000]yyyy-mm-dd")</f>
        <v/>
      </c>
      <c r="C22707" t="inlineStr">
        <is>
          <t>1962-01-26</t>
        </is>
      </c>
    </row>
    <row r="22708">
      <c r="A22708" s="1" t="n">
        <v>22707</v>
      </c>
      <c r="B22708">
        <f>TEXT(22707, "[$-0E0000]yyyy-mm-dd")</f>
        <v/>
      </c>
      <c r="C22708" t="inlineStr">
        <is>
          <t>1962-01-27</t>
        </is>
      </c>
    </row>
    <row r="22709">
      <c r="A22709" s="1" t="n">
        <v>22708</v>
      </c>
      <c r="B22709">
        <f>TEXT(22708, "[$-0E0000]yyyy-mm-dd")</f>
        <v/>
      </c>
      <c r="C22709" t="inlineStr">
        <is>
          <t>1962-01-28</t>
        </is>
      </c>
    </row>
    <row r="22710">
      <c r="A22710" s="1" t="n">
        <v>22709</v>
      </c>
      <c r="B22710">
        <f>TEXT(22709, "[$-0E0000]yyyy-mm-dd")</f>
        <v/>
      </c>
      <c r="C22710" t="inlineStr">
        <is>
          <t>1962-01-29</t>
        </is>
      </c>
    </row>
    <row r="22711">
      <c r="A22711" s="1" t="n">
        <v>22710</v>
      </c>
      <c r="B22711">
        <f>TEXT(22710, "[$-0E0000]yyyy-mm-dd")</f>
        <v/>
      </c>
      <c r="C22711" t="inlineStr">
        <is>
          <t>1962-02-01</t>
        </is>
      </c>
    </row>
    <row r="22712">
      <c r="A22712" s="1" t="n">
        <v>22711</v>
      </c>
      <c r="B22712">
        <f>TEXT(22711, "[$-0E0000]yyyy-mm-dd")</f>
        <v/>
      </c>
      <c r="C22712" t="inlineStr">
        <is>
          <t>1962-02-02</t>
        </is>
      </c>
    </row>
    <row r="22713">
      <c r="A22713" s="1" t="n">
        <v>22712</v>
      </c>
      <c r="B22713">
        <f>TEXT(22712, "[$-0E0000]yyyy-mm-dd")</f>
        <v/>
      </c>
      <c r="C22713" t="inlineStr">
        <is>
          <t>1962-02-03</t>
        </is>
      </c>
    </row>
    <row r="22714">
      <c r="A22714" s="1" t="n">
        <v>22713</v>
      </c>
      <c r="B22714">
        <f>TEXT(22713, "[$-0E0000]yyyy-mm-dd")</f>
        <v/>
      </c>
      <c r="C22714" t="inlineStr">
        <is>
          <t>1962-02-04</t>
        </is>
      </c>
    </row>
    <row r="22715">
      <c r="A22715" s="1" t="n">
        <v>22714</v>
      </c>
      <c r="B22715">
        <f>TEXT(22714, "[$-0E0000]yyyy-mm-dd")</f>
        <v/>
      </c>
      <c r="C22715" t="inlineStr">
        <is>
          <t>1962-02-05</t>
        </is>
      </c>
    </row>
    <row r="22716">
      <c r="A22716" s="1" t="n">
        <v>22715</v>
      </c>
      <c r="B22716">
        <f>TEXT(22715, "[$-0E0000]yyyy-mm-dd")</f>
        <v/>
      </c>
      <c r="C22716" t="inlineStr">
        <is>
          <t>1962-02-06</t>
        </is>
      </c>
    </row>
    <row r="22717">
      <c r="A22717" s="1" t="n">
        <v>22716</v>
      </c>
      <c r="B22717">
        <f>TEXT(22716, "[$-0E0000]yyyy-mm-dd")</f>
        <v/>
      </c>
      <c r="C22717" t="inlineStr">
        <is>
          <t>1962-02-07</t>
        </is>
      </c>
    </row>
    <row r="22718">
      <c r="A22718" s="1" t="n">
        <v>22717</v>
      </c>
      <c r="B22718">
        <f>TEXT(22717, "[$-0E0000]yyyy-mm-dd")</f>
        <v/>
      </c>
      <c r="C22718" t="inlineStr">
        <is>
          <t>1962-02-08</t>
        </is>
      </c>
    </row>
    <row r="22719">
      <c r="A22719" s="1" t="n">
        <v>22718</v>
      </c>
      <c r="B22719">
        <f>TEXT(22718, "[$-0E0000]yyyy-mm-dd")</f>
        <v/>
      </c>
      <c r="C22719" t="inlineStr">
        <is>
          <t>1962-02-09</t>
        </is>
      </c>
    </row>
    <row r="22720">
      <c r="A22720" s="1" t="n">
        <v>22719</v>
      </c>
      <c r="B22720">
        <f>TEXT(22719, "[$-0E0000]yyyy-mm-dd")</f>
        <v/>
      </c>
      <c r="C22720" t="inlineStr">
        <is>
          <t>1962-02-10</t>
        </is>
      </c>
    </row>
    <row r="22721">
      <c r="A22721" s="1" t="n">
        <v>22720</v>
      </c>
      <c r="B22721">
        <f>TEXT(22720, "[$-0E0000]yyyy-mm-dd")</f>
        <v/>
      </c>
      <c r="C22721" t="inlineStr">
        <is>
          <t>1962-02-11</t>
        </is>
      </c>
    </row>
    <row r="22722">
      <c r="A22722" s="1" t="n">
        <v>22721</v>
      </c>
      <c r="B22722">
        <f>TEXT(22721, "[$-0E0000]yyyy-mm-dd")</f>
        <v/>
      </c>
      <c r="C22722" t="inlineStr">
        <is>
          <t>1962-02-12</t>
        </is>
      </c>
    </row>
    <row r="22723">
      <c r="A22723" s="1" t="n">
        <v>22722</v>
      </c>
      <c r="B22723">
        <f>TEXT(22722, "[$-0E0000]yyyy-mm-dd")</f>
        <v/>
      </c>
      <c r="C22723" t="inlineStr">
        <is>
          <t>1962-02-13</t>
        </is>
      </c>
    </row>
    <row r="22724">
      <c r="A22724" s="1" t="n">
        <v>22723</v>
      </c>
      <c r="B22724">
        <f>TEXT(22723, "[$-0E0000]yyyy-mm-dd")</f>
        <v/>
      </c>
      <c r="C22724" t="inlineStr">
        <is>
          <t>1962-02-14</t>
        </is>
      </c>
    </row>
    <row r="22725">
      <c r="A22725" s="1" t="n">
        <v>22724</v>
      </c>
      <c r="B22725">
        <f>TEXT(22724, "[$-0E0000]yyyy-mm-dd")</f>
        <v/>
      </c>
      <c r="C22725" t="inlineStr">
        <is>
          <t>1962-02-15</t>
        </is>
      </c>
    </row>
    <row r="22726">
      <c r="A22726" s="1" t="n">
        <v>22725</v>
      </c>
      <c r="B22726">
        <f>TEXT(22725, "[$-0E0000]yyyy-mm-dd")</f>
        <v/>
      </c>
      <c r="C22726" t="inlineStr">
        <is>
          <t>1962-02-16</t>
        </is>
      </c>
    </row>
    <row r="22727">
      <c r="A22727" s="1" t="n">
        <v>22726</v>
      </c>
      <c r="B22727">
        <f>TEXT(22726, "[$-0E0000]yyyy-mm-dd")</f>
        <v/>
      </c>
      <c r="C22727" t="inlineStr">
        <is>
          <t>1962-02-17</t>
        </is>
      </c>
    </row>
    <row r="22728">
      <c r="A22728" s="1" t="n">
        <v>22727</v>
      </c>
      <c r="B22728">
        <f>TEXT(22727, "[$-0E0000]yyyy-mm-dd")</f>
        <v/>
      </c>
      <c r="C22728" t="inlineStr">
        <is>
          <t>1962-02-18</t>
        </is>
      </c>
    </row>
    <row r="22729">
      <c r="A22729" s="1" t="n">
        <v>22728</v>
      </c>
      <c r="B22729">
        <f>TEXT(22728, "[$-0E0000]yyyy-mm-dd")</f>
        <v/>
      </c>
      <c r="C22729" t="inlineStr">
        <is>
          <t>1962-02-19</t>
        </is>
      </c>
    </row>
    <row r="22730">
      <c r="A22730" s="1" t="n">
        <v>22729</v>
      </c>
      <c r="B22730">
        <f>TEXT(22729, "[$-0E0000]yyyy-mm-dd")</f>
        <v/>
      </c>
      <c r="C22730" t="inlineStr">
        <is>
          <t>1962-02-20</t>
        </is>
      </c>
    </row>
    <row r="22731">
      <c r="A22731" s="1" t="n">
        <v>22730</v>
      </c>
      <c r="B22731">
        <f>TEXT(22730, "[$-0E0000]yyyy-mm-dd")</f>
        <v/>
      </c>
      <c r="C22731" t="inlineStr">
        <is>
          <t>1962-02-21</t>
        </is>
      </c>
    </row>
    <row r="22732">
      <c r="A22732" s="1" t="n">
        <v>22731</v>
      </c>
      <c r="B22732">
        <f>TEXT(22731, "[$-0E0000]yyyy-mm-dd")</f>
        <v/>
      </c>
      <c r="C22732" t="inlineStr">
        <is>
          <t>1962-02-22</t>
        </is>
      </c>
    </row>
    <row r="22733">
      <c r="A22733" s="1" t="n">
        <v>22732</v>
      </c>
      <c r="B22733">
        <f>TEXT(22732, "[$-0E0000]yyyy-mm-dd")</f>
        <v/>
      </c>
      <c r="C22733" t="inlineStr">
        <is>
          <t>1962-02-23</t>
        </is>
      </c>
    </row>
    <row r="22734">
      <c r="A22734" s="1" t="n">
        <v>22733</v>
      </c>
      <c r="B22734">
        <f>TEXT(22733, "[$-0E0000]yyyy-mm-dd")</f>
        <v/>
      </c>
      <c r="C22734" t="inlineStr">
        <is>
          <t>1962-02-24</t>
        </is>
      </c>
    </row>
    <row r="22735">
      <c r="A22735" s="1" t="n">
        <v>22734</v>
      </c>
      <c r="B22735">
        <f>TEXT(22734, "[$-0E0000]yyyy-mm-dd")</f>
        <v/>
      </c>
      <c r="C22735" t="inlineStr">
        <is>
          <t>1962-02-25</t>
        </is>
      </c>
    </row>
    <row r="22736">
      <c r="A22736" s="1" t="n">
        <v>22735</v>
      </c>
      <c r="B22736">
        <f>TEXT(22735, "[$-0E0000]yyyy-mm-dd")</f>
        <v/>
      </c>
      <c r="C22736" t="inlineStr">
        <is>
          <t>1962-02-26</t>
        </is>
      </c>
    </row>
    <row r="22737">
      <c r="A22737" s="1" t="n">
        <v>22736</v>
      </c>
      <c r="B22737">
        <f>TEXT(22736, "[$-0E0000]yyyy-mm-dd")</f>
        <v/>
      </c>
      <c r="C22737" t="inlineStr">
        <is>
          <t>1962-02-27</t>
        </is>
      </c>
    </row>
    <row r="22738">
      <c r="A22738" s="1" t="n">
        <v>22737</v>
      </c>
      <c r="B22738">
        <f>TEXT(22737, "[$-0E0000]yyyy-mm-dd")</f>
        <v/>
      </c>
      <c r="C22738" t="inlineStr">
        <is>
          <t>1962-02-28</t>
        </is>
      </c>
    </row>
    <row r="22739">
      <c r="A22739" s="1" t="n">
        <v>22738</v>
      </c>
      <c r="B22739">
        <f>TEXT(22738, "[$-0E0000]yyyy-mm-dd")</f>
        <v/>
      </c>
      <c r="C22739" t="inlineStr">
        <is>
          <t>1962-02-29</t>
        </is>
      </c>
    </row>
    <row r="22740">
      <c r="A22740" s="1" t="n">
        <v>22739</v>
      </c>
      <c r="B22740">
        <f>TEXT(22739, "[$-0E0000]yyyy-mm-dd")</f>
        <v/>
      </c>
      <c r="C22740" t="inlineStr">
        <is>
          <t>1962-02-30</t>
        </is>
      </c>
    </row>
    <row r="22741">
      <c r="A22741" s="1" t="n">
        <v>22740</v>
      </c>
      <c r="B22741">
        <f>TEXT(22740, "[$-0E0000]yyyy-mm-dd")</f>
        <v/>
      </c>
      <c r="C22741" t="inlineStr">
        <is>
          <t>1962-03-01</t>
        </is>
      </c>
    </row>
    <row r="22742">
      <c r="A22742" s="1" t="n">
        <v>22741</v>
      </c>
      <c r="B22742">
        <f>TEXT(22741, "[$-0E0000]yyyy-mm-dd")</f>
        <v/>
      </c>
      <c r="C22742" t="inlineStr">
        <is>
          <t>1962-03-02</t>
        </is>
      </c>
    </row>
    <row r="22743">
      <c r="A22743" s="1" t="n">
        <v>22742</v>
      </c>
      <c r="B22743">
        <f>TEXT(22742, "[$-0E0000]yyyy-mm-dd")</f>
        <v/>
      </c>
      <c r="C22743" t="inlineStr">
        <is>
          <t>1962-03-03</t>
        </is>
      </c>
    </row>
    <row r="22744">
      <c r="A22744" s="1" t="n">
        <v>22743</v>
      </c>
      <c r="B22744">
        <f>TEXT(22743, "[$-0E0000]yyyy-mm-dd")</f>
        <v/>
      </c>
      <c r="C22744" t="inlineStr">
        <is>
          <t>1962-03-04</t>
        </is>
      </c>
    </row>
    <row r="22745">
      <c r="A22745" s="1" t="n">
        <v>22744</v>
      </c>
      <c r="B22745">
        <f>TEXT(22744, "[$-0E0000]yyyy-mm-dd")</f>
        <v/>
      </c>
      <c r="C22745" t="inlineStr">
        <is>
          <t>1962-03-05</t>
        </is>
      </c>
    </row>
    <row r="22746">
      <c r="A22746" s="1" t="n">
        <v>22745</v>
      </c>
      <c r="B22746">
        <f>TEXT(22745, "[$-0E0000]yyyy-mm-dd")</f>
        <v/>
      </c>
      <c r="C22746" t="inlineStr">
        <is>
          <t>1962-03-06</t>
        </is>
      </c>
    </row>
    <row r="22747">
      <c r="A22747" s="1" t="n">
        <v>22746</v>
      </c>
      <c r="B22747">
        <f>TEXT(22746, "[$-0E0000]yyyy-mm-dd")</f>
        <v/>
      </c>
      <c r="C22747" t="inlineStr">
        <is>
          <t>1962-03-07</t>
        </is>
      </c>
    </row>
    <row r="22748">
      <c r="A22748" s="1" t="n">
        <v>22747</v>
      </c>
      <c r="B22748">
        <f>TEXT(22747, "[$-0E0000]yyyy-mm-dd")</f>
        <v/>
      </c>
      <c r="C22748" t="inlineStr">
        <is>
          <t>1962-03-08</t>
        </is>
      </c>
    </row>
    <row r="22749">
      <c r="A22749" s="1" t="n">
        <v>22748</v>
      </c>
      <c r="B22749">
        <f>TEXT(22748, "[$-0E0000]yyyy-mm-dd")</f>
        <v/>
      </c>
      <c r="C22749" t="inlineStr">
        <is>
          <t>1962-03-09</t>
        </is>
      </c>
    </row>
    <row r="22750">
      <c r="A22750" s="1" t="n">
        <v>22749</v>
      </c>
      <c r="B22750">
        <f>TEXT(22749, "[$-0E0000]yyyy-mm-dd")</f>
        <v/>
      </c>
      <c r="C22750" t="inlineStr">
        <is>
          <t>1962-03-10</t>
        </is>
      </c>
    </row>
    <row r="22751">
      <c r="A22751" s="1" t="n">
        <v>22750</v>
      </c>
      <c r="B22751">
        <f>TEXT(22750, "[$-0E0000]yyyy-mm-dd")</f>
        <v/>
      </c>
      <c r="C22751" t="inlineStr">
        <is>
          <t>1962-03-11</t>
        </is>
      </c>
    </row>
    <row r="22752">
      <c r="A22752" s="1" t="n">
        <v>22751</v>
      </c>
      <c r="B22752">
        <f>TEXT(22751, "[$-0E0000]yyyy-mm-dd")</f>
        <v/>
      </c>
      <c r="C22752" t="inlineStr">
        <is>
          <t>1962-03-12</t>
        </is>
      </c>
    </row>
    <row r="22753">
      <c r="A22753" s="1" t="n">
        <v>22752</v>
      </c>
      <c r="B22753">
        <f>TEXT(22752, "[$-0E0000]yyyy-mm-dd")</f>
        <v/>
      </c>
      <c r="C22753" t="inlineStr">
        <is>
          <t>1962-03-13</t>
        </is>
      </c>
    </row>
    <row r="22754">
      <c r="A22754" s="1" t="n">
        <v>22753</v>
      </c>
      <c r="B22754">
        <f>TEXT(22753, "[$-0E0000]yyyy-mm-dd")</f>
        <v/>
      </c>
      <c r="C22754" t="inlineStr">
        <is>
          <t>1962-03-14</t>
        </is>
      </c>
    </row>
    <row r="22755">
      <c r="A22755" s="1" t="n">
        <v>22754</v>
      </c>
      <c r="B22755">
        <f>TEXT(22754, "[$-0E0000]yyyy-mm-dd")</f>
        <v/>
      </c>
      <c r="C22755" t="inlineStr">
        <is>
          <t>1962-03-15</t>
        </is>
      </c>
    </row>
    <row r="22756">
      <c r="A22756" s="1" t="n">
        <v>22755</v>
      </c>
      <c r="B22756">
        <f>TEXT(22755, "[$-0E0000]yyyy-mm-dd")</f>
        <v/>
      </c>
      <c r="C22756" t="inlineStr">
        <is>
          <t>1962-03-16</t>
        </is>
      </c>
    </row>
    <row r="22757">
      <c r="A22757" s="1" t="n">
        <v>22756</v>
      </c>
      <c r="B22757">
        <f>TEXT(22756, "[$-0E0000]yyyy-mm-dd")</f>
        <v/>
      </c>
      <c r="C22757" t="inlineStr">
        <is>
          <t>1962-03-17</t>
        </is>
      </c>
    </row>
    <row r="22758">
      <c r="A22758" s="1" t="n">
        <v>22757</v>
      </c>
      <c r="B22758">
        <f>TEXT(22757, "[$-0E0000]yyyy-mm-dd")</f>
        <v/>
      </c>
      <c r="C22758" t="inlineStr">
        <is>
          <t>1962-03-18</t>
        </is>
      </c>
    </row>
    <row r="22759">
      <c r="A22759" s="1" t="n">
        <v>22758</v>
      </c>
      <c r="B22759">
        <f>TEXT(22758, "[$-0E0000]yyyy-mm-dd")</f>
        <v/>
      </c>
      <c r="C22759" t="inlineStr">
        <is>
          <t>1962-03-19</t>
        </is>
      </c>
    </row>
    <row r="22760">
      <c r="A22760" s="1" t="n">
        <v>22759</v>
      </c>
      <c r="B22760">
        <f>TEXT(22759, "[$-0E0000]yyyy-mm-dd")</f>
        <v/>
      </c>
      <c r="C22760" t="inlineStr">
        <is>
          <t>1962-03-20</t>
        </is>
      </c>
    </row>
    <row r="22761">
      <c r="A22761" s="1" t="n">
        <v>22760</v>
      </c>
      <c r="B22761">
        <f>TEXT(22760, "[$-0E0000]yyyy-mm-dd")</f>
        <v/>
      </c>
      <c r="C22761" t="inlineStr">
        <is>
          <t>1962-03-21</t>
        </is>
      </c>
    </row>
    <row r="22762">
      <c r="A22762" s="1" t="n">
        <v>22761</v>
      </c>
      <c r="B22762">
        <f>TEXT(22761, "[$-0E0000]yyyy-mm-dd")</f>
        <v/>
      </c>
      <c r="C22762" t="inlineStr">
        <is>
          <t>1962-03-22</t>
        </is>
      </c>
    </row>
    <row r="22763">
      <c r="A22763" s="1" t="n">
        <v>22762</v>
      </c>
      <c r="B22763">
        <f>TEXT(22762, "[$-0E0000]yyyy-mm-dd")</f>
        <v/>
      </c>
      <c r="C22763" t="inlineStr">
        <is>
          <t>1962-03-23</t>
        </is>
      </c>
    </row>
    <row r="22764">
      <c r="A22764" s="1" t="n">
        <v>22763</v>
      </c>
      <c r="B22764">
        <f>TEXT(22763, "[$-0E0000]yyyy-mm-dd")</f>
        <v/>
      </c>
      <c r="C22764" t="inlineStr">
        <is>
          <t>1962-03-24</t>
        </is>
      </c>
    </row>
    <row r="22765">
      <c r="A22765" s="1" t="n">
        <v>22764</v>
      </c>
      <c r="B22765">
        <f>TEXT(22764, "[$-0E0000]yyyy-mm-dd")</f>
        <v/>
      </c>
      <c r="C22765" t="inlineStr">
        <is>
          <t>1962-03-25</t>
        </is>
      </c>
    </row>
    <row r="22766">
      <c r="A22766" s="1" t="n">
        <v>22765</v>
      </c>
      <c r="B22766">
        <f>TEXT(22765, "[$-0E0000]yyyy-mm-dd")</f>
        <v/>
      </c>
      <c r="C22766" t="inlineStr">
        <is>
          <t>1962-03-26</t>
        </is>
      </c>
    </row>
    <row r="22767">
      <c r="A22767" s="1" t="n">
        <v>22766</v>
      </c>
      <c r="B22767">
        <f>TEXT(22766, "[$-0E0000]yyyy-mm-dd")</f>
        <v/>
      </c>
      <c r="C22767" t="inlineStr">
        <is>
          <t>1962-03-27</t>
        </is>
      </c>
    </row>
    <row r="22768">
      <c r="A22768" s="1" t="n">
        <v>22767</v>
      </c>
      <c r="B22768">
        <f>TEXT(22767, "[$-0E0000]yyyy-mm-dd")</f>
        <v/>
      </c>
      <c r="C22768" t="inlineStr">
        <is>
          <t>1962-03-28</t>
        </is>
      </c>
    </row>
    <row r="22769">
      <c r="A22769" s="1" t="n">
        <v>22768</v>
      </c>
      <c r="B22769">
        <f>TEXT(22768, "[$-0E0000]yyyy-mm-dd")</f>
        <v/>
      </c>
      <c r="C22769" t="inlineStr">
        <is>
          <t>1962-03-29</t>
        </is>
      </c>
    </row>
    <row r="22770">
      <c r="A22770" s="1" t="n">
        <v>22769</v>
      </c>
      <c r="B22770">
        <f>TEXT(22769, "[$-0E0000]yyyy-mm-dd")</f>
        <v/>
      </c>
      <c r="C22770" t="inlineStr">
        <is>
          <t>1962-04-01</t>
        </is>
      </c>
    </row>
    <row r="22771">
      <c r="A22771" s="1" t="n">
        <v>22770</v>
      </c>
      <c r="B22771">
        <f>TEXT(22770, "[$-0E0000]yyyy-mm-dd")</f>
        <v/>
      </c>
      <c r="C22771" t="inlineStr">
        <is>
          <t>1962-04-02</t>
        </is>
      </c>
    </row>
    <row r="22772">
      <c r="A22772" s="1" t="n">
        <v>22771</v>
      </c>
      <c r="B22772">
        <f>TEXT(22771, "[$-0E0000]yyyy-mm-dd")</f>
        <v/>
      </c>
      <c r="C22772" t="inlineStr">
        <is>
          <t>1962-04-03</t>
        </is>
      </c>
    </row>
    <row r="22773">
      <c r="A22773" s="1" t="n">
        <v>22772</v>
      </c>
      <c r="B22773">
        <f>TEXT(22772, "[$-0E0000]yyyy-mm-dd")</f>
        <v/>
      </c>
      <c r="C22773" t="inlineStr">
        <is>
          <t>1962-04-04</t>
        </is>
      </c>
    </row>
    <row r="22774">
      <c r="A22774" s="1" t="n">
        <v>22773</v>
      </c>
      <c r="B22774">
        <f>TEXT(22773, "[$-0E0000]yyyy-mm-dd")</f>
        <v/>
      </c>
      <c r="C22774" t="inlineStr">
        <is>
          <t>1962-04-05</t>
        </is>
      </c>
    </row>
    <row r="22775">
      <c r="A22775" s="1" t="n">
        <v>22774</v>
      </c>
      <c r="B22775">
        <f>TEXT(22774, "[$-0E0000]yyyy-mm-dd")</f>
        <v/>
      </c>
      <c r="C22775" t="inlineStr">
        <is>
          <t>1962-04-06</t>
        </is>
      </c>
    </row>
    <row r="22776">
      <c r="A22776" s="1" t="n">
        <v>22775</v>
      </c>
      <c r="B22776">
        <f>TEXT(22775, "[$-0E0000]yyyy-mm-dd")</f>
        <v/>
      </c>
      <c r="C22776" t="inlineStr">
        <is>
          <t>1962-04-07</t>
        </is>
      </c>
    </row>
    <row r="22777">
      <c r="A22777" s="1" t="n">
        <v>22776</v>
      </c>
      <c r="B22777">
        <f>TEXT(22776, "[$-0E0000]yyyy-mm-dd")</f>
        <v/>
      </c>
      <c r="C22777" t="inlineStr">
        <is>
          <t>1962-04-08</t>
        </is>
      </c>
    </row>
    <row r="22778">
      <c r="A22778" s="1" t="n">
        <v>22777</v>
      </c>
      <c r="B22778">
        <f>TEXT(22777, "[$-0E0000]yyyy-mm-dd")</f>
        <v/>
      </c>
      <c r="C22778" t="inlineStr">
        <is>
          <t>1962-04-09</t>
        </is>
      </c>
    </row>
    <row r="22779">
      <c r="A22779" s="1" t="n">
        <v>22778</v>
      </c>
      <c r="B22779">
        <f>TEXT(22778, "[$-0E0000]yyyy-mm-dd")</f>
        <v/>
      </c>
      <c r="C22779" t="inlineStr">
        <is>
          <t>1962-04-10</t>
        </is>
      </c>
    </row>
    <row r="22780">
      <c r="A22780" s="1" t="n">
        <v>22779</v>
      </c>
      <c r="B22780">
        <f>TEXT(22779, "[$-0E0000]yyyy-mm-dd")</f>
        <v/>
      </c>
      <c r="C22780" t="inlineStr">
        <is>
          <t>1962-04-11</t>
        </is>
      </c>
    </row>
    <row r="22781">
      <c r="A22781" s="1" t="n">
        <v>22780</v>
      </c>
      <c r="B22781">
        <f>TEXT(22780, "[$-0E0000]yyyy-mm-dd")</f>
        <v/>
      </c>
      <c r="C22781" t="inlineStr">
        <is>
          <t>1962-04-12</t>
        </is>
      </c>
    </row>
    <row r="22782">
      <c r="A22782" s="1" t="n">
        <v>22781</v>
      </c>
      <c r="B22782">
        <f>TEXT(22781, "[$-0E0000]yyyy-mm-dd")</f>
        <v/>
      </c>
      <c r="C22782" t="inlineStr">
        <is>
          <t>1962-04-13</t>
        </is>
      </c>
    </row>
    <row r="22783">
      <c r="A22783" s="1" t="n">
        <v>22782</v>
      </c>
      <c r="B22783">
        <f>TEXT(22782, "[$-0E0000]yyyy-mm-dd")</f>
        <v/>
      </c>
      <c r="C22783" t="inlineStr">
        <is>
          <t>1962-04-14</t>
        </is>
      </c>
    </row>
    <row r="22784">
      <c r="A22784" s="1" t="n">
        <v>22783</v>
      </c>
      <c r="B22784">
        <f>TEXT(22783, "[$-0E0000]yyyy-mm-dd")</f>
        <v/>
      </c>
      <c r="C22784" t="inlineStr">
        <is>
          <t>1962-04-15</t>
        </is>
      </c>
    </row>
    <row r="22785">
      <c r="A22785" s="1" t="n">
        <v>22784</v>
      </c>
      <c r="B22785">
        <f>TEXT(22784, "[$-0E0000]yyyy-mm-dd")</f>
        <v/>
      </c>
      <c r="C22785" t="inlineStr">
        <is>
          <t>1962-04-16</t>
        </is>
      </c>
    </row>
    <row r="22786">
      <c r="A22786" s="1" t="n">
        <v>22785</v>
      </c>
      <c r="B22786">
        <f>TEXT(22785, "[$-0E0000]yyyy-mm-dd")</f>
        <v/>
      </c>
      <c r="C22786" t="inlineStr">
        <is>
          <t>1962-04-17</t>
        </is>
      </c>
    </row>
    <row r="22787">
      <c r="A22787" s="1" t="n">
        <v>22786</v>
      </c>
      <c r="B22787">
        <f>TEXT(22786, "[$-0E0000]yyyy-mm-dd")</f>
        <v/>
      </c>
      <c r="C22787" t="inlineStr">
        <is>
          <t>1962-04-18</t>
        </is>
      </c>
    </row>
    <row r="22788">
      <c r="A22788" s="1" t="n">
        <v>22787</v>
      </c>
      <c r="B22788">
        <f>TEXT(22787, "[$-0E0000]yyyy-mm-dd")</f>
        <v/>
      </c>
      <c r="C22788" t="inlineStr">
        <is>
          <t>1962-04-19</t>
        </is>
      </c>
    </row>
    <row r="22789">
      <c r="A22789" s="1" t="n">
        <v>22788</v>
      </c>
      <c r="B22789">
        <f>TEXT(22788, "[$-0E0000]yyyy-mm-dd")</f>
        <v/>
      </c>
      <c r="C22789" t="inlineStr">
        <is>
          <t>1962-04-20</t>
        </is>
      </c>
    </row>
    <row r="22790">
      <c r="A22790" s="1" t="n">
        <v>22789</v>
      </c>
      <c r="B22790">
        <f>TEXT(22789, "[$-0E0000]yyyy-mm-dd")</f>
        <v/>
      </c>
      <c r="C22790" t="inlineStr">
        <is>
          <t>1962-04-21</t>
        </is>
      </c>
    </row>
    <row r="22791">
      <c r="A22791" s="1" t="n">
        <v>22790</v>
      </c>
      <c r="B22791">
        <f>TEXT(22790, "[$-0E0000]yyyy-mm-dd")</f>
        <v/>
      </c>
      <c r="C22791" t="inlineStr">
        <is>
          <t>1962-04-22</t>
        </is>
      </c>
    </row>
    <row r="22792">
      <c r="A22792" s="1" t="n">
        <v>22791</v>
      </c>
      <c r="B22792">
        <f>TEXT(22791, "[$-0E0000]yyyy-mm-dd")</f>
        <v/>
      </c>
      <c r="C22792" t="inlineStr">
        <is>
          <t>1962-04-23</t>
        </is>
      </c>
    </row>
    <row r="22793">
      <c r="A22793" s="1" t="n">
        <v>22792</v>
      </c>
      <c r="B22793">
        <f>TEXT(22792, "[$-0E0000]yyyy-mm-dd")</f>
        <v/>
      </c>
      <c r="C22793" t="inlineStr">
        <is>
          <t>1962-04-24</t>
        </is>
      </c>
    </row>
    <row r="22794">
      <c r="A22794" s="1" t="n">
        <v>22793</v>
      </c>
      <c r="B22794">
        <f>TEXT(22793, "[$-0E0000]yyyy-mm-dd")</f>
        <v/>
      </c>
      <c r="C22794" t="inlineStr">
        <is>
          <t>1962-04-25</t>
        </is>
      </c>
    </row>
    <row r="22795">
      <c r="A22795" s="1" t="n">
        <v>22794</v>
      </c>
      <c r="B22795">
        <f>TEXT(22794, "[$-0E0000]yyyy-mm-dd")</f>
        <v/>
      </c>
      <c r="C22795" t="inlineStr">
        <is>
          <t>1962-04-26</t>
        </is>
      </c>
    </row>
    <row r="22796">
      <c r="A22796" s="1" t="n">
        <v>22795</v>
      </c>
      <c r="B22796">
        <f>TEXT(22795, "[$-0E0000]yyyy-mm-dd")</f>
        <v/>
      </c>
      <c r="C22796" t="inlineStr">
        <is>
          <t>1962-04-27</t>
        </is>
      </c>
    </row>
    <row r="22797">
      <c r="A22797" s="1" t="n">
        <v>22796</v>
      </c>
      <c r="B22797">
        <f>TEXT(22796, "[$-0E0000]yyyy-mm-dd")</f>
        <v/>
      </c>
      <c r="C22797" t="inlineStr">
        <is>
          <t>1962-04-28</t>
        </is>
      </c>
    </row>
    <row r="22798">
      <c r="A22798" s="1" t="n">
        <v>22797</v>
      </c>
      <c r="B22798">
        <f>TEXT(22797, "[$-0E0000]yyyy-mm-dd")</f>
        <v/>
      </c>
      <c r="C22798" t="inlineStr">
        <is>
          <t>1962-04-29</t>
        </is>
      </c>
    </row>
    <row r="22799">
      <c r="A22799" s="1" t="n">
        <v>22798</v>
      </c>
      <c r="B22799">
        <f>TEXT(22798, "[$-0E0000]yyyy-mm-dd")</f>
        <v/>
      </c>
      <c r="C22799" t="inlineStr">
        <is>
          <t>1962-05-01</t>
        </is>
      </c>
    </row>
    <row r="22800">
      <c r="A22800" s="1" t="n">
        <v>22799</v>
      </c>
      <c r="B22800">
        <f>TEXT(22799, "[$-0E0000]yyyy-mm-dd")</f>
        <v/>
      </c>
      <c r="C22800" t="inlineStr">
        <is>
          <t>1962-05-02</t>
        </is>
      </c>
    </row>
    <row r="22801">
      <c r="A22801" s="1" t="n">
        <v>22800</v>
      </c>
      <c r="B22801">
        <f>TEXT(22800, "[$-0E0000]yyyy-mm-dd")</f>
        <v/>
      </c>
      <c r="C22801" t="inlineStr">
        <is>
          <t>1962-05-03</t>
        </is>
      </c>
    </row>
    <row r="22802">
      <c r="A22802" s="1" t="n">
        <v>22801</v>
      </c>
      <c r="B22802">
        <f>TEXT(22801, "[$-0E0000]yyyy-mm-dd")</f>
        <v/>
      </c>
      <c r="C22802" t="inlineStr">
        <is>
          <t>1962-05-04</t>
        </is>
      </c>
    </row>
    <row r="22803">
      <c r="A22803" s="1" t="n">
        <v>22802</v>
      </c>
      <c r="B22803">
        <f>TEXT(22802, "[$-0E0000]yyyy-mm-dd")</f>
        <v/>
      </c>
      <c r="C22803" t="inlineStr">
        <is>
          <t>1962-05-05</t>
        </is>
      </c>
    </row>
    <row r="22804">
      <c r="A22804" s="1" t="n">
        <v>22803</v>
      </c>
      <c r="B22804">
        <f>TEXT(22803, "[$-0E0000]yyyy-mm-dd")</f>
        <v/>
      </c>
      <c r="C22804" t="inlineStr">
        <is>
          <t>1962-05-06</t>
        </is>
      </c>
    </row>
    <row r="22805">
      <c r="A22805" s="1" t="n">
        <v>22804</v>
      </c>
      <c r="B22805">
        <f>TEXT(22804, "[$-0E0000]yyyy-mm-dd")</f>
        <v/>
      </c>
      <c r="C22805" t="inlineStr">
        <is>
          <t>1962-05-07</t>
        </is>
      </c>
    </row>
    <row r="22806">
      <c r="A22806" s="1" t="n">
        <v>22805</v>
      </c>
      <c r="B22806">
        <f>TEXT(22805, "[$-0E0000]yyyy-mm-dd")</f>
        <v/>
      </c>
      <c r="C22806" t="inlineStr">
        <is>
          <t>1962-05-08</t>
        </is>
      </c>
    </row>
    <row r="22807">
      <c r="A22807" s="1" t="n">
        <v>22806</v>
      </c>
      <c r="B22807">
        <f>TEXT(22806, "[$-0E0000]yyyy-mm-dd")</f>
        <v/>
      </c>
      <c r="C22807" t="inlineStr">
        <is>
          <t>1962-05-09</t>
        </is>
      </c>
    </row>
    <row r="22808">
      <c r="A22808" s="1" t="n">
        <v>22807</v>
      </c>
      <c r="B22808">
        <f>TEXT(22807, "[$-0E0000]yyyy-mm-dd")</f>
        <v/>
      </c>
      <c r="C22808" t="inlineStr">
        <is>
          <t>1962-05-10</t>
        </is>
      </c>
    </row>
    <row r="22809">
      <c r="A22809" s="1" t="n">
        <v>22808</v>
      </c>
      <c r="B22809">
        <f>TEXT(22808, "[$-0E0000]yyyy-mm-dd")</f>
        <v/>
      </c>
      <c r="C22809" t="inlineStr">
        <is>
          <t>1962-05-11</t>
        </is>
      </c>
    </row>
    <row r="22810">
      <c r="A22810" s="1" t="n">
        <v>22809</v>
      </c>
      <c r="B22810">
        <f>TEXT(22809, "[$-0E0000]yyyy-mm-dd")</f>
        <v/>
      </c>
      <c r="C22810" t="inlineStr">
        <is>
          <t>1962-05-12</t>
        </is>
      </c>
    </row>
    <row r="22811">
      <c r="A22811" s="1" t="n">
        <v>22810</v>
      </c>
      <c r="B22811">
        <f>TEXT(22810, "[$-0E0000]yyyy-mm-dd")</f>
        <v/>
      </c>
      <c r="C22811" t="inlineStr">
        <is>
          <t>1962-05-13</t>
        </is>
      </c>
    </row>
    <row r="22812">
      <c r="A22812" s="1" t="n">
        <v>22811</v>
      </c>
      <c r="B22812">
        <f>TEXT(22811, "[$-0E0000]yyyy-mm-dd")</f>
        <v/>
      </c>
      <c r="C22812" t="inlineStr">
        <is>
          <t>1962-05-14</t>
        </is>
      </c>
    </row>
    <row r="22813">
      <c r="A22813" s="1" t="n">
        <v>22812</v>
      </c>
      <c r="B22813">
        <f>TEXT(22812, "[$-0E0000]yyyy-mm-dd")</f>
        <v/>
      </c>
      <c r="C22813" t="inlineStr">
        <is>
          <t>1962-05-15</t>
        </is>
      </c>
    </row>
    <row r="22814">
      <c r="A22814" s="1" t="n">
        <v>22813</v>
      </c>
      <c r="B22814">
        <f>TEXT(22813, "[$-0E0000]yyyy-mm-dd")</f>
        <v/>
      </c>
      <c r="C22814" t="inlineStr">
        <is>
          <t>1962-05-16</t>
        </is>
      </c>
    </row>
    <row r="22815">
      <c r="A22815" s="1" t="n">
        <v>22814</v>
      </c>
      <c r="B22815">
        <f>TEXT(22814, "[$-0E0000]yyyy-mm-dd")</f>
        <v/>
      </c>
      <c r="C22815" t="inlineStr">
        <is>
          <t>1962-05-17</t>
        </is>
      </c>
    </row>
    <row r="22816">
      <c r="A22816" s="1" t="n">
        <v>22815</v>
      </c>
      <c r="B22816">
        <f>TEXT(22815, "[$-0E0000]yyyy-mm-dd")</f>
        <v/>
      </c>
      <c r="C22816" t="inlineStr">
        <is>
          <t>1962-05-18</t>
        </is>
      </c>
    </row>
    <row r="22817">
      <c r="A22817" s="1" t="n">
        <v>22816</v>
      </c>
      <c r="B22817">
        <f>TEXT(22816, "[$-0E0000]yyyy-mm-dd")</f>
        <v/>
      </c>
      <c r="C22817" t="inlineStr">
        <is>
          <t>1962-05-19</t>
        </is>
      </c>
    </row>
    <row r="22818">
      <c r="A22818" s="1" t="n">
        <v>22817</v>
      </c>
      <c r="B22818">
        <f>TEXT(22817, "[$-0E0000]yyyy-mm-dd")</f>
        <v/>
      </c>
      <c r="C22818" t="inlineStr">
        <is>
          <t>1962-05-20</t>
        </is>
      </c>
    </row>
    <row r="22819">
      <c r="A22819" s="1" t="n">
        <v>22818</v>
      </c>
      <c r="B22819">
        <f>TEXT(22818, "[$-0E0000]yyyy-mm-dd")</f>
        <v/>
      </c>
      <c r="C22819" t="inlineStr">
        <is>
          <t>1962-05-21</t>
        </is>
      </c>
    </row>
    <row r="22820">
      <c r="A22820" s="1" t="n">
        <v>22819</v>
      </c>
      <c r="B22820">
        <f>TEXT(22819, "[$-0E0000]yyyy-mm-dd")</f>
        <v/>
      </c>
      <c r="C22820" t="inlineStr">
        <is>
          <t>1962-05-22</t>
        </is>
      </c>
    </row>
    <row r="22821">
      <c r="A22821" s="1" t="n">
        <v>22820</v>
      </c>
      <c r="B22821">
        <f>TEXT(22820, "[$-0E0000]yyyy-mm-dd")</f>
        <v/>
      </c>
      <c r="C22821" t="inlineStr">
        <is>
          <t>1962-05-23</t>
        </is>
      </c>
    </row>
    <row r="22822">
      <c r="A22822" s="1" t="n">
        <v>22821</v>
      </c>
      <c r="B22822">
        <f>TEXT(22821, "[$-0E0000]yyyy-mm-dd")</f>
        <v/>
      </c>
      <c r="C22822" t="inlineStr">
        <is>
          <t>1962-05-24</t>
        </is>
      </c>
    </row>
    <row r="22823">
      <c r="A22823" s="1" t="n">
        <v>22822</v>
      </c>
      <c r="B22823">
        <f>TEXT(22822, "[$-0E0000]yyyy-mm-dd")</f>
        <v/>
      </c>
      <c r="C22823" t="inlineStr">
        <is>
          <t>1962-05-25</t>
        </is>
      </c>
    </row>
    <row r="22824">
      <c r="A22824" s="1" t="n">
        <v>22823</v>
      </c>
      <c r="B22824">
        <f>TEXT(22823, "[$-0E0000]yyyy-mm-dd")</f>
        <v/>
      </c>
      <c r="C22824" t="inlineStr">
        <is>
          <t>1962-05-26</t>
        </is>
      </c>
    </row>
    <row r="22825">
      <c r="A22825" s="1" t="n">
        <v>22824</v>
      </c>
      <c r="B22825">
        <f>TEXT(22824, "[$-0E0000]yyyy-mm-dd")</f>
        <v/>
      </c>
      <c r="C22825" t="inlineStr">
        <is>
          <t>1962-05-27</t>
        </is>
      </c>
    </row>
    <row r="22826">
      <c r="A22826" s="1" t="n">
        <v>22825</v>
      </c>
      <c r="B22826">
        <f>TEXT(22825, "[$-0E0000]yyyy-mm-dd")</f>
        <v/>
      </c>
      <c r="C22826" t="inlineStr">
        <is>
          <t>1962-05-28</t>
        </is>
      </c>
    </row>
    <row r="22827">
      <c r="A22827" s="1" t="n">
        <v>22826</v>
      </c>
      <c r="B22827">
        <f>TEXT(22826, "[$-0E0000]yyyy-mm-dd")</f>
        <v/>
      </c>
      <c r="C22827" t="inlineStr">
        <is>
          <t>1962-05-29</t>
        </is>
      </c>
    </row>
    <row r="22828">
      <c r="A22828" s="1" t="n">
        <v>22827</v>
      </c>
      <c r="B22828">
        <f>TEXT(22827, "[$-0E0000]yyyy-mm-dd")</f>
        <v/>
      </c>
      <c r="C22828" t="inlineStr">
        <is>
          <t>1962-05-30</t>
        </is>
      </c>
    </row>
    <row r="22829">
      <c r="A22829" s="1" t="n">
        <v>22828</v>
      </c>
      <c r="B22829">
        <f>TEXT(22828, "[$-0E0000]yyyy-mm-dd")</f>
        <v/>
      </c>
      <c r="C22829" t="inlineStr">
        <is>
          <t>1962-06-01</t>
        </is>
      </c>
    </row>
    <row r="22830">
      <c r="A22830" s="1" t="n">
        <v>22829</v>
      </c>
      <c r="B22830">
        <f>TEXT(22829, "[$-0E0000]yyyy-mm-dd")</f>
        <v/>
      </c>
      <c r="C22830" t="inlineStr">
        <is>
          <t>1962-06-02</t>
        </is>
      </c>
    </row>
    <row r="22831">
      <c r="A22831" s="1" t="n">
        <v>22830</v>
      </c>
      <c r="B22831">
        <f>TEXT(22830, "[$-0E0000]yyyy-mm-dd")</f>
        <v/>
      </c>
      <c r="C22831" t="inlineStr">
        <is>
          <t>1962-06-03</t>
        </is>
      </c>
    </row>
    <row r="22832">
      <c r="A22832" s="1" t="n">
        <v>22831</v>
      </c>
      <c r="B22832">
        <f>TEXT(22831, "[$-0E0000]yyyy-mm-dd")</f>
        <v/>
      </c>
      <c r="C22832" t="inlineStr">
        <is>
          <t>1962-06-04</t>
        </is>
      </c>
    </row>
    <row r="22833">
      <c r="A22833" s="1" t="n">
        <v>22832</v>
      </c>
      <c r="B22833">
        <f>TEXT(22832, "[$-0E0000]yyyy-mm-dd")</f>
        <v/>
      </c>
      <c r="C22833" t="inlineStr">
        <is>
          <t>1962-06-05</t>
        </is>
      </c>
    </row>
    <row r="22834">
      <c r="A22834" s="1" t="n">
        <v>22833</v>
      </c>
      <c r="B22834">
        <f>TEXT(22833, "[$-0E0000]yyyy-mm-dd")</f>
        <v/>
      </c>
      <c r="C22834" t="inlineStr">
        <is>
          <t>1962-06-06</t>
        </is>
      </c>
    </row>
    <row r="22835">
      <c r="A22835" s="1" t="n">
        <v>22834</v>
      </c>
      <c r="B22835">
        <f>TEXT(22834, "[$-0E0000]yyyy-mm-dd")</f>
        <v/>
      </c>
      <c r="C22835" t="inlineStr">
        <is>
          <t>1962-06-07</t>
        </is>
      </c>
    </row>
    <row r="22836">
      <c r="A22836" s="1" t="n">
        <v>22835</v>
      </c>
      <c r="B22836">
        <f>TEXT(22835, "[$-0E0000]yyyy-mm-dd")</f>
        <v/>
      </c>
      <c r="C22836" t="inlineStr">
        <is>
          <t>1962-06-08</t>
        </is>
      </c>
    </row>
    <row r="22837">
      <c r="A22837" s="1" t="n">
        <v>22836</v>
      </c>
      <c r="B22837">
        <f>TEXT(22836, "[$-0E0000]yyyy-mm-dd")</f>
        <v/>
      </c>
      <c r="C22837" t="inlineStr">
        <is>
          <t>1962-06-09</t>
        </is>
      </c>
    </row>
    <row r="22838">
      <c r="A22838" s="1" t="n">
        <v>22837</v>
      </c>
      <c r="B22838">
        <f>TEXT(22837, "[$-0E0000]yyyy-mm-dd")</f>
        <v/>
      </c>
      <c r="C22838" t="inlineStr">
        <is>
          <t>1962-06-10</t>
        </is>
      </c>
    </row>
    <row r="22839">
      <c r="A22839" s="1" t="n">
        <v>22838</v>
      </c>
      <c r="B22839">
        <f>TEXT(22838, "[$-0E0000]yyyy-mm-dd")</f>
        <v/>
      </c>
      <c r="C22839" t="inlineStr">
        <is>
          <t>1962-06-11</t>
        </is>
      </c>
    </row>
    <row r="22840">
      <c r="A22840" s="1" t="n">
        <v>22839</v>
      </c>
      <c r="B22840">
        <f>TEXT(22839, "[$-0E0000]yyyy-mm-dd")</f>
        <v/>
      </c>
      <c r="C22840" t="inlineStr">
        <is>
          <t>1962-06-12</t>
        </is>
      </c>
    </row>
    <row r="22841">
      <c r="A22841" s="1" t="n">
        <v>22840</v>
      </c>
      <c r="B22841">
        <f>TEXT(22840, "[$-0E0000]yyyy-mm-dd")</f>
        <v/>
      </c>
      <c r="C22841" t="inlineStr">
        <is>
          <t>1962-06-13</t>
        </is>
      </c>
    </row>
    <row r="22842">
      <c r="A22842" s="1" t="n">
        <v>22841</v>
      </c>
      <c r="B22842">
        <f>TEXT(22841, "[$-0E0000]yyyy-mm-dd")</f>
        <v/>
      </c>
      <c r="C22842" t="inlineStr">
        <is>
          <t>1962-06-14</t>
        </is>
      </c>
    </row>
    <row r="22843">
      <c r="A22843" s="1" t="n">
        <v>22842</v>
      </c>
      <c r="B22843">
        <f>TEXT(22842, "[$-0E0000]yyyy-mm-dd")</f>
        <v/>
      </c>
      <c r="C22843" t="inlineStr">
        <is>
          <t>1962-06-15</t>
        </is>
      </c>
    </row>
    <row r="22844">
      <c r="A22844" s="1" t="n">
        <v>22843</v>
      </c>
      <c r="B22844">
        <f>TEXT(22843, "[$-0E0000]yyyy-mm-dd")</f>
        <v/>
      </c>
      <c r="C22844" t="inlineStr">
        <is>
          <t>1962-06-16</t>
        </is>
      </c>
    </row>
    <row r="22845">
      <c r="A22845" s="1" t="n">
        <v>22844</v>
      </c>
      <c r="B22845">
        <f>TEXT(22844, "[$-0E0000]yyyy-mm-dd")</f>
        <v/>
      </c>
      <c r="C22845" t="inlineStr">
        <is>
          <t>1962-06-17</t>
        </is>
      </c>
    </row>
    <row r="22846">
      <c r="A22846" s="1" t="n">
        <v>22845</v>
      </c>
      <c r="B22846">
        <f>TEXT(22845, "[$-0E0000]yyyy-mm-dd")</f>
        <v/>
      </c>
      <c r="C22846" t="inlineStr">
        <is>
          <t>1962-06-18</t>
        </is>
      </c>
    </row>
    <row r="22847">
      <c r="A22847" s="1" t="n">
        <v>22846</v>
      </c>
      <c r="B22847">
        <f>TEXT(22846, "[$-0E0000]yyyy-mm-dd")</f>
        <v/>
      </c>
      <c r="C22847" t="inlineStr">
        <is>
          <t>1962-06-19</t>
        </is>
      </c>
    </row>
    <row r="22848">
      <c r="A22848" s="1" t="n">
        <v>22847</v>
      </c>
      <c r="B22848">
        <f>TEXT(22847, "[$-0E0000]yyyy-mm-dd")</f>
        <v/>
      </c>
      <c r="C22848" t="inlineStr">
        <is>
          <t>1962-06-20</t>
        </is>
      </c>
    </row>
    <row r="22849">
      <c r="A22849" s="1" t="n">
        <v>22848</v>
      </c>
      <c r="B22849">
        <f>TEXT(22848, "[$-0E0000]yyyy-mm-dd")</f>
        <v/>
      </c>
      <c r="C22849" t="inlineStr">
        <is>
          <t>1962-06-21</t>
        </is>
      </c>
    </row>
    <row r="22850">
      <c r="A22850" s="1" t="n">
        <v>22849</v>
      </c>
      <c r="B22850">
        <f>TEXT(22849, "[$-0E0000]yyyy-mm-dd")</f>
        <v/>
      </c>
      <c r="C22850" t="inlineStr">
        <is>
          <t>1962-06-22</t>
        </is>
      </c>
    </row>
    <row r="22851">
      <c r="A22851" s="1" t="n">
        <v>22850</v>
      </c>
      <c r="B22851">
        <f>TEXT(22850, "[$-0E0000]yyyy-mm-dd")</f>
        <v/>
      </c>
      <c r="C22851" t="inlineStr">
        <is>
          <t>1962-06-23</t>
        </is>
      </c>
    </row>
    <row r="22852">
      <c r="A22852" s="1" t="n">
        <v>22851</v>
      </c>
      <c r="B22852">
        <f>TEXT(22851, "[$-0E0000]yyyy-mm-dd")</f>
        <v/>
      </c>
      <c r="C22852" t="inlineStr">
        <is>
          <t>1962-06-24</t>
        </is>
      </c>
    </row>
    <row r="22853">
      <c r="A22853" s="1" t="n">
        <v>22852</v>
      </c>
      <c r="B22853">
        <f>TEXT(22852, "[$-0E0000]yyyy-mm-dd")</f>
        <v/>
      </c>
      <c r="C22853" t="inlineStr">
        <is>
          <t>1962-06-25</t>
        </is>
      </c>
    </row>
    <row r="22854">
      <c r="A22854" s="1" t="n">
        <v>22853</v>
      </c>
      <c r="B22854">
        <f>TEXT(22853, "[$-0E0000]yyyy-mm-dd")</f>
        <v/>
      </c>
      <c r="C22854" t="inlineStr">
        <is>
          <t>1962-06-26</t>
        </is>
      </c>
    </row>
    <row r="22855">
      <c r="A22855" s="1" t="n">
        <v>22854</v>
      </c>
      <c r="B22855">
        <f>TEXT(22854, "[$-0E0000]yyyy-mm-dd")</f>
        <v/>
      </c>
      <c r="C22855" t="inlineStr">
        <is>
          <t>1962-06-27</t>
        </is>
      </c>
    </row>
    <row r="22856">
      <c r="A22856" s="1" t="n">
        <v>22855</v>
      </c>
      <c r="B22856">
        <f>TEXT(22855, "[$-0E0000]yyyy-mm-dd")</f>
        <v/>
      </c>
      <c r="C22856" t="inlineStr">
        <is>
          <t>1962-06-28</t>
        </is>
      </c>
    </row>
    <row r="22857">
      <c r="A22857" s="1" t="n">
        <v>22856</v>
      </c>
      <c r="B22857">
        <f>TEXT(22856, "[$-0E0000]yyyy-mm-dd")</f>
        <v/>
      </c>
      <c r="C22857" t="inlineStr">
        <is>
          <t>1962-06-29</t>
        </is>
      </c>
    </row>
    <row r="22858">
      <c r="A22858" s="1" t="n">
        <v>22857</v>
      </c>
      <c r="B22858">
        <f>TEXT(22857, "[$-0E0000]yyyy-mm-dd")</f>
        <v/>
      </c>
      <c r="C22858" t="inlineStr">
        <is>
          <t>1962-07-01</t>
        </is>
      </c>
    </row>
    <row r="22859">
      <c r="A22859" s="1" t="n">
        <v>22858</v>
      </c>
      <c r="B22859">
        <f>TEXT(22858, "[$-0E0000]yyyy-mm-dd")</f>
        <v/>
      </c>
      <c r="C22859" t="inlineStr">
        <is>
          <t>1962-07-02</t>
        </is>
      </c>
    </row>
    <row r="22860">
      <c r="A22860" s="1" t="n">
        <v>22859</v>
      </c>
      <c r="B22860">
        <f>TEXT(22859, "[$-0E0000]yyyy-mm-dd")</f>
        <v/>
      </c>
      <c r="C22860" t="inlineStr">
        <is>
          <t>1962-07-03</t>
        </is>
      </c>
    </row>
    <row r="22861">
      <c r="A22861" s="1" t="n">
        <v>22860</v>
      </c>
      <c r="B22861">
        <f>TEXT(22860, "[$-0E0000]yyyy-mm-dd")</f>
        <v/>
      </c>
      <c r="C22861" t="inlineStr">
        <is>
          <t>1962-07-04</t>
        </is>
      </c>
    </row>
    <row r="22862">
      <c r="A22862" s="1" t="n">
        <v>22861</v>
      </c>
      <c r="B22862">
        <f>TEXT(22861, "[$-0E0000]yyyy-mm-dd")</f>
        <v/>
      </c>
      <c r="C22862" t="inlineStr">
        <is>
          <t>1962-07-05</t>
        </is>
      </c>
    </row>
    <row r="22863">
      <c r="A22863" s="1" t="n">
        <v>22862</v>
      </c>
      <c r="B22863">
        <f>TEXT(22862, "[$-0E0000]yyyy-mm-dd")</f>
        <v/>
      </c>
      <c r="C22863" t="inlineStr">
        <is>
          <t>1962-07-06</t>
        </is>
      </c>
    </row>
    <row r="22864">
      <c r="A22864" s="1" t="n">
        <v>22863</v>
      </c>
      <c r="B22864">
        <f>TEXT(22863, "[$-0E0000]yyyy-mm-dd")</f>
        <v/>
      </c>
      <c r="C22864" t="inlineStr">
        <is>
          <t>1962-07-07</t>
        </is>
      </c>
    </row>
    <row r="22865">
      <c r="A22865" s="1" t="n">
        <v>22864</v>
      </c>
      <c r="B22865">
        <f>TEXT(22864, "[$-0E0000]yyyy-mm-dd")</f>
        <v/>
      </c>
      <c r="C22865" t="inlineStr">
        <is>
          <t>1962-07-08</t>
        </is>
      </c>
    </row>
    <row r="22866">
      <c r="A22866" s="1" t="n">
        <v>22865</v>
      </c>
      <c r="B22866">
        <f>TEXT(22865, "[$-0E0000]yyyy-mm-dd")</f>
        <v/>
      </c>
      <c r="C22866" t="inlineStr">
        <is>
          <t>1962-07-09</t>
        </is>
      </c>
    </row>
    <row r="22867">
      <c r="A22867" s="1" t="n">
        <v>22866</v>
      </c>
      <c r="B22867">
        <f>TEXT(22866, "[$-0E0000]yyyy-mm-dd")</f>
        <v/>
      </c>
      <c r="C22867" t="inlineStr">
        <is>
          <t>1962-07-10</t>
        </is>
      </c>
    </row>
    <row r="22868">
      <c r="A22868" s="1" t="n">
        <v>22867</v>
      </c>
      <c r="B22868">
        <f>TEXT(22867, "[$-0E0000]yyyy-mm-dd")</f>
        <v/>
      </c>
      <c r="C22868" t="inlineStr">
        <is>
          <t>1962-07-11</t>
        </is>
      </c>
    </row>
    <row r="22869">
      <c r="A22869" s="1" t="n">
        <v>22868</v>
      </c>
      <c r="B22869">
        <f>TEXT(22868, "[$-0E0000]yyyy-mm-dd")</f>
        <v/>
      </c>
      <c r="C22869" t="inlineStr">
        <is>
          <t>1962-07-12</t>
        </is>
      </c>
    </row>
    <row r="22870">
      <c r="A22870" s="1" t="n">
        <v>22869</v>
      </c>
      <c r="B22870">
        <f>TEXT(22869, "[$-0E0000]yyyy-mm-dd")</f>
        <v/>
      </c>
      <c r="C22870" t="inlineStr">
        <is>
          <t>1962-07-13</t>
        </is>
      </c>
    </row>
    <row r="22871">
      <c r="A22871" s="1" t="n">
        <v>22870</v>
      </c>
      <c r="B22871">
        <f>TEXT(22870, "[$-0E0000]yyyy-mm-dd")</f>
        <v/>
      </c>
      <c r="C22871" t="inlineStr">
        <is>
          <t>1962-07-14</t>
        </is>
      </c>
    </row>
    <row r="22872">
      <c r="A22872" s="1" t="n">
        <v>22871</v>
      </c>
      <c r="B22872">
        <f>TEXT(22871, "[$-0E0000]yyyy-mm-dd")</f>
        <v/>
      </c>
      <c r="C22872" t="inlineStr">
        <is>
          <t>1962-07-15</t>
        </is>
      </c>
    </row>
    <row r="22873">
      <c r="A22873" s="1" t="n">
        <v>22872</v>
      </c>
      <c r="B22873">
        <f>TEXT(22872, "[$-0E0000]yyyy-mm-dd")</f>
        <v/>
      </c>
      <c r="C22873" t="inlineStr">
        <is>
          <t>1962-07-16</t>
        </is>
      </c>
    </row>
    <row r="22874">
      <c r="A22874" s="1" t="n">
        <v>22873</v>
      </c>
      <c r="B22874">
        <f>TEXT(22873, "[$-0E0000]yyyy-mm-dd")</f>
        <v/>
      </c>
      <c r="C22874" t="inlineStr">
        <is>
          <t>1962-07-17</t>
        </is>
      </c>
    </row>
    <row r="22875">
      <c r="A22875" s="1" t="n">
        <v>22874</v>
      </c>
      <c r="B22875">
        <f>TEXT(22874, "[$-0E0000]yyyy-mm-dd")</f>
        <v/>
      </c>
      <c r="C22875" t="inlineStr">
        <is>
          <t>1962-07-18</t>
        </is>
      </c>
    </row>
    <row r="22876">
      <c r="A22876" s="1" t="n">
        <v>22875</v>
      </c>
      <c r="B22876">
        <f>TEXT(22875, "[$-0E0000]yyyy-mm-dd")</f>
        <v/>
      </c>
      <c r="C22876" t="inlineStr">
        <is>
          <t>1962-07-19</t>
        </is>
      </c>
    </row>
    <row r="22877">
      <c r="A22877" s="1" t="n">
        <v>22876</v>
      </c>
      <c r="B22877">
        <f>TEXT(22876, "[$-0E0000]yyyy-mm-dd")</f>
        <v/>
      </c>
      <c r="C22877" t="inlineStr">
        <is>
          <t>1962-07-20</t>
        </is>
      </c>
    </row>
    <row r="22878">
      <c r="A22878" s="1" t="n">
        <v>22877</v>
      </c>
      <c r="B22878">
        <f>TEXT(22877, "[$-0E0000]yyyy-mm-dd")</f>
        <v/>
      </c>
      <c r="C22878" t="inlineStr">
        <is>
          <t>1962-07-21</t>
        </is>
      </c>
    </row>
    <row r="22879">
      <c r="A22879" s="1" t="n">
        <v>22878</v>
      </c>
      <c r="B22879">
        <f>TEXT(22878, "[$-0E0000]yyyy-mm-dd")</f>
        <v/>
      </c>
      <c r="C22879" t="inlineStr">
        <is>
          <t>1962-07-22</t>
        </is>
      </c>
    </row>
    <row r="22880">
      <c r="A22880" s="1" t="n">
        <v>22879</v>
      </c>
      <c r="B22880">
        <f>TEXT(22879, "[$-0E0000]yyyy-mm-dd")</f>
        <v/>
      </c>
      <c r="C22880" t="inlineStr">
        <is>
          <t>1962-07-23</t>
        </is>
      </c>
    </row>
    <row r="22881">
      <c r="A22881" s="1" t="n">
        <v>22880</v>
      </c>
      <c r="B22881">
        <f>TEXT(22880, "[$-0E0000]yyyy-mm-dd")</f>
        <v/>
      </c>
      <c r="C22881" t="inlineStr">
        <is>
          <t>1962-07-24</t>
        </is>
      </c>
    </row>
    <row r="22882">
      <c r="A22882" s="1" t="n">
        <v>22881</v>
      </c>
      <c r="B22882">
        <f>TEXT(22881, "[$-0E0000]yyyy-mm-dd")</f>
        <v/>
      </c>
      <c r="C22882" t="inlineStr">
        <is>
          <t>1962-07-25</t>
        </is>
      </c>
    </row>
    <row r="22883">
      <c r="A22883" s="1" t="n">
        <v>22882</v>
      </c>
      <c r="B22883">
        <f>TEXT(22882, "[$-0E0000]yyyy-mm-dd")</f>
        <v/>
      </c>
      <c r="C22883" t="inlineStr">
        <is>
          <t>1962-07-26</t>
        </is>
      </c>
    </row>
    <row r="22884">
      <c r="A22884" s="1" t="n">
        <v>22883</v>
      </c>
      <c r="B22884">
        <f>TEXT(22883, "[$-0E0000]yyyy-mm-dd")</f>
        <v/>
      </c>
      <c r="C22884" t="inlineStr">
        <is>
          <t>1962-07-27</t>
        </is>
      </c>
    </row>
    <row r="22885">
      <c r="A22885" s="1" t="n">
        <v>22884</v>
      </c>
      <c r="B22885">
        <f>TEXT(22884, "[$-0E0000]yyyy-mm-dd")</f>
        <v/>
      </c>
      <c r="C22885" t="inlineStr">
        <is>
          <t>1962-07-28</t>
        </is>
      </c>
    </row>
    <row r="22886">
      <c r="A22886" s="1" t="n">
        <v>22885</v>
      </c>
      <c r="B22886">
        <f>TEXT(22885, "[$-0E0000]yyyy-mm-dd")</f>
        <v/>
      </c>
      <c r="C22886" t="inlineStr">
        <is>
          <t>1962-07-29</t>
        </is>
      </c>
    </row>
    <row r="22887">
      <c r="A22887" s="1" t="n">
        <v>22886</v>
      </c>
      <c r="B22887">
        <f>TEXT(22886, "[$-0E0000]yyyy-mm-dd")</f>
        <v/>
      </c>
      <c r="C22887" t="inlineStr">
        <is>
          <t>1962-07-30</t>
        </is>
      </c>
    </row>
    <row r="22888">
      <c r="A22888" s="1" t="n">
        <v>22887</v>
      </c>
      <c r="B22888">
        <f>TEXT(22887, "[$-0E0000]yyyy-mm-dd")</f>
        <v/>
      </c>
      <c r="C22888" t="inlineStr">
        <is>
          <t>1962-08-01</t>
        </is>
      </c>
    </row>
    <row r="22889">
      <c r="A22889" s="1" t="n">
        <v>22888</v>
      </c>
      <c r="B22889">
        <f>TEXT(22888, "[$-0E0000]yyyy-mm-dd")</f>
        <v/>
      </c>
      <c r="C22889" t="inlineStr">
        <is>
          <t>1962-08-02</t>
        </is>
      </c>
    </row>
    <row r="22890">
      <c r="A22890" s="1" t="n">
        <v>22889</v>
      </c>
      <c r="B22890">
        <f>TEXT(22889, "[$-0E0000]yyyy-mm-dd")</f>
        <v/>
      </c>
      <c r="C22890" t="inlineStr">
        <is>
          <t>1962-08-03</t>
        </is>
      </c>
    </row>
    <row r="22891">
      <c r="A22891" s="1" t="n">
        <v>22890</v>
      </c>
      <c r="B22891">
        <f>TEXT(22890, "[$-0E0000]yyyy-mm-dd")</f>
        <v/>
      </c>
      <c r="C22891" t="inlineStr">
        <is>
          <t>1962-08-04</t>
        </is>
      </c>
    </row>
    <row r="22892">
      <c r="A22892" s="1" t="n">
        <v>22891</v>
      </c>
      <c r="B22892">
        <f>TEXT(22891, "[$-0E0000]yyyy-mm-dd")</f>
        <v/>
      </c>
      <c r="C22892" t="inlineStr">
        <is>
          <t>1962-08-05</t>
        </is>
      </c>
    </row>
    <row r="22893">
      <c r="A22893" s="1" t="n">
        <v>22892</v>
      </c>
      <c r="B22893">
        <f>TEXT(22892, "[$-0E0000]yyyy-mm-dd")</f>
        <v/>
      </c>
      <c r="C22893" t="inlineStr">
        <is>
          <t>1962-08-06</t>
        </is>
      </c>
    </row>
    <row r="22894">
      <c r="A22894" s="1" t="n">
        <v>22893</v>
      </c>
      <c r="B22894">
        <f>TEXT(22893, "[$-0E0000]yyyy-mm-dd")</f>
        <v/>
      </c>
      <c r="C22894" t="inlineStr">
        <is>
          <t>1962-08-07</t>
        </is>
      </c>
    </row>
    <row r="22895">
      <c r="A22895" s="1" t="n">
        <v>22894</v>
      </c>
      <c r="B22895">
        <f>TEXT(22894, "[$-0E0000]yyyy-mm-dd")</f>
        <v/>
      </c>
      <c r="C22895" t="inlineStr">
        <is>
          <t>1962-08-08</t>
        </is>
      </c>
    </row>
    <row r="22896">
      <c r="A22896" s="1" t="n">
        <v>22895</v>
      </c>
      <c r="B22896">
        <f>TEXT(22895, "[$-0E0000]yyyy-mm-dd")</f>
        <v/>
      </c>
      <c r="C22896" t="inlineStr">
        <is>
          <t>1962-08-09</t>
        </is>
      </c>
    </row>
    <row r="22897">
      <c r="A22897" s="1" t="n">
        <v>22896</v>
      </c>
      <c r="B22897">
        <f>TEXT(22896, "[$-0E0000]yyyy-mm-dd")</f>
        <v/>
      </c>
      <c r="C22897" t="inlineStr">
        <is>
          <t>1962-08-10</t>
        </is>
      </c>
    </row>
    <row r="22898">
      <c r="A22898" s="1" t="n">
        <v>22897</v>
      </c>
      <c r="B22898">
        <f>TEXT(22897, "[$-0E0000]yyyy-mm-dd")</f>
        <v/>
      </c>
      <c r="C22898" t="inlineStr">
        <is>
          <t>1962-08-11</t>
        </is>
      </c>
    </row>
    <row r="22899">
      <c r="A22899" s="1" t="n">
        <v>22898</v>
      </c>
      <c r="B22899">
        <f>TEXT(22898, "[$-0E0000]yyyy-mm-dd")</f>
        <v/>
      </c>
      <c r="C22899" t="inlineStr">
        <is>
          <t>1962-08-12</t>
        </is>
      </c>
    </row>
    <row r="22900">
      <c r="A22900" s="1" t="n">
        <v>22899</v>
      </c>
      <c r="B22900">
        <f>TEXT(22899, "[$-0E0000]yyyy-mm-dd")</f>
        <v/>
      </c>
      <c r="C22900" t="inlineStr">
        <is>
          <t>1962-08-13</t>
        </is>
      </c>
    </row>
    <row r="22901">
      <c r="A22901" s="1" t="n">
        <v>22900</v>
      </c>
      <c r="B22901">
        <f>TEXT(22900, "[$-0E0000]yyyy-mm-dd")</f>
        <v/>
      </c>
      <c r="C22901" t="inlineStr">
        <is>
          <t>1962-08-14</t>
        </is>
      </c>
    </row>
    <row r="22902">
      <c r="A22902" s="1" t="n">
        <v>22901</v>
      </c>
      <c r="B22902">
        <f>TEXT(22901, "[$-0E0000]yyyy-mm-dd")</f>
        <v/>
      </c>
      <c r="C22902" t="inlineStr">
        <is>
          <t>1962-08-15</t>
        </is>
      </c>
    </row>
    <row r="22903">
      <c r="A22903" s="1" t="n">
        <v>22902</v>
      </c>
      <c r="B22903">
        <f>TEXT(22902, "[$-0E0000]yyyy-mm-dd")</f>
        <v/>
      </c>
      <c r="C22903" t="inlineStr">
        <is>
          <t>1962-08-16</t>
        </is>
      </c>
    </row>
    <row r="22904">
      <c r="A22904" s="1" t="n">
        <v>22903</v>
      </c>
      <c r="B22904">
        <f>TEXT(22903, "[$-0E0000]yyyy-mm-dd")</f>
        <v/>
      </c>
      <c r="C22904" t="inlineStr">
        <is>
          <t>1962-08-17</t>
        </is>
      </c>
    </row>
    <row r="22905">
      <c r="A22905" s="1" t="n">
        <v>22904</v>
      </c>
      <c r="B22905">
        <f>TEXT(22904, "[$-0E0000]yyyy-mm-dd")</f>
        <v/>
      </c>
      <c r="C22905" t="inlineStr">
        <is>
          <t>1962-08-18</t>
        </is>
      </c>
    </row>
    <row r="22906">
      <c r="A22906" s="1" t="n">
        <v>22905</v>
      </c>
      <c r="B22906">
        <f>TEXT(22905, "[$-0E0000]yyyy-mm-dd")</f>
        <v/>
      </c>
      <c r="C22906" t="inlineStr">
        <is>
          <t>1962-08-19</t>
        </is>
      </c>
    </row>
    <row r="22907">
      <c r="A22907" s="1" t="n">
        <v>22906</v>
      </c>
      <c r="B22907">
        <f>TEXT(22906, "[$-0E0000]yyyy-mm-dd")</f>
        <v/>
      </c>
      <c r="C22907" t="inlineStr">
        <is>
          <t>1962-08-20</t>
        </is>
      </c>
    </row>
    <row r="22908">
      <c r="A22908" s="1" t="n">
        <v>22907</v>
      </c>
      <c r="B22908">
        <f>TEXT(22907, "[$-0E0000]yyyy-mm-dd")</f>
        <v/>
      </c>
      <c r="C22908" t="inlineStr">
        <is>
          <t>1962-08-21</t>
        </is>
      </c>
    </row>
    <row r="22909">
      <c r="A22909" s="1" t="n">
        <v>22908</v>
      </c>
      <c r="B22909">
        <f>TEXT(22908, "[$-0E0000]yyyy-mm-dd")</f>
        <v/>
      </c>
      <c r="C22909" t="inlineStr">
        <is>
          <t>1962-08-22</t>
        </is>
      </c>
    </row>
    <row r="22910">
      <c r="A22910" s="1" t="n">
        <v>22909</v>
      </c>
      <c r="B22910">
        <f>TEXT(22909, "[$-0E0000]yyyy-mm-dd")</f>
        <v/>
      </c>
      <c r="C22910" t="inlineStr">
        <is>
          <t>1962-08-23</t>
        </is>
      </c>
    </row>
    <row r="22911">
      <c r="A22911" s="1" t="n">
        <v>22910</v>
      </c>
      <c r="B22911">
        <f>TEXT(22910, "[$-0E0000]yyyy-mm-dd")</f>
        <v/>
      </c>
      <c r="C22911" t="inlineStr">
        <is>
          <t>1962-08-24</t>
        </is>
      </c>
    </row>
    <row r="22912">
      <c r="A22912" s="1" t="n">
        <v>22911</v>
      </c>
      <c r="B22912">
        <f>TEXT(22911, "[$-0E0000]yyyy-mm-dd")</f>
        <v/>
      </c>
      <c r="C22912" t="inlineStr">
        <is>
          <t>1962-08-25</t>
        </is>
      </c>
    </row>
    <row r="22913">
      <c r="A22913" s="1" t="n">
        <v>22912</v>
      </c>
      <c r="B22913">
        <f>TEXT(22912, "[$-0E0000]yyyy-mm-dd")</f>
        <v/>
      </c>
      <c r="C22913" t="inlineStr">
        <is>
          <t>1962-08-26</t>
        </is>
      </c>
    </row>
    <row r="22914">
      <c r="A22914" s="1" t="n">
        <v>22913</v>
      </c>
      <c r="B22914">
        <f>TEXT(22913, "[$-0E0000]yyyy-mm-dd")</f>
        <v/>
      </c>
      <c r="C22914" t="inlineStr">
        <is>
          <t>1962-08-27</t>
        </is>
      </c>
    </row>
    <row r="22915">
      <c r="A22915" s="1" t="n">
        <v>22914</v>
      </c>
      <c r="B22915">
        <f>TEXT(22914, "[$-0E0000]yyyy-mm-dd")</f>
        <v/>
      </c>
      <c r="C22915" t="inlineStr">
        <is>
          <t>1962-08-28</t>
        </is>
      </c>
    </row>
    <row r="22916">
      <c r="A22916" s="1" t="n">
        <v>22915</v>
      </c>
      <c r="B22916">
        <f>TEXT(22915, "[$-0E0000]yyyy-mm-dd")</f>
        <v/>
      </c>
      <c r="C22916" t="inlineStr">
        <is>
          <t>1962-08-29</t>
        </is>
      </c>
    </row>
    <row r="22917">
      <c r="A22917" s="1" t="n">
        <v>22916</v>
      </c>
      <c r="B22917">
        <f>TEXT(22916, "[$-0E0000]yyyy-mm-dd")</f>
        <v/>
      </c>
      <c r="C22917" t="inlineStr">
        <is>
          <t>1962-08-30</t>
        </is>
      </c>
    </row>
    <row r="22918">
      <c r="A22918" s="1" t="n">
        <v>22917</v>
      </c>
      <c r="B22918">
        <f>TEXT(22917, "[$-0E0000]yyyy-mm-dd")</f>
        <v/>
      </c>
      <c r="C22918" t="inlineStr">
        <is>
          <t>1962-09-01</t>
        </is>
      </c>
    </row>
    <row r="22919">
      <c r="A22919" s="1" t="n">
        <v>22918</v>
      </c>
      <c r="B22919">
        <f>TEXT(22918, "[$-0E0000]yyyy-mm-dd")</f>
        <v/>
      </c>
      <c r="C22919" t="inlineStr">
        <is>
          <t>1962-09-02</t>
        </is>
      </c>
    </row>
    <row r="22920">
      <c r="A22920" s="1" t="n">
        <v>22919</v>
      </c>
      <c r="B22920">
        <f>TEXT(22919, "[$-0E0000]yyyy-mm-dd")</f>
        <v/>
      </c>
      <c r="C22920" t="inlineStr">
        <is>
          <t>1962-09-03</t>
        </is>
      </c>
    </row>
    <row r="22921">
      <c r="A22921" s="1" t="n">
        <v>22920</v>
      </c>
      <c r="B22921">
        <f>TEXT(22920, "[$-0E0000]yyyy-mm-dd")</f>
        <v/>
      </c>
      <c r="C22921" t="inlineStr">
        <is>
          <t>1962-09-04</t>
        </is>
      </c>
    </row>
    <row r="22922">
      <c r="A22922" s="1" t="n">
        <v>22921</v>
      </c>
      <c r="B22922">
        <f>TEXT(22921, "[$-0E0000]yyyy-mm-dd")</f>
        <v/>
      </c>
      <c r="C22922" t="inlineStr">
        <is>
          <t>1962-09-05</t>
        </is>
      </c>
    </row>
    <row r="22923">
      <c r="A22923" s="1" t="n">
        <v>22922</v>
      </c>
      <c r="B22923">
        <f>TEXT(22922, "[$-0E0000]yyyy-mm-dd")</f>
        <v/>
      </c>
      <c r="C22923" t="inlineStr">
        <is>
          <t>1962-09-06</t>
        </is>
      </c>
    </row>
    <row r="22924">
      <c r="A22924" s="1" t="n">
        <v>22923</v>
      </c>
      <c r="B22924">
        <f>TEXT(22923, "[$-0E0000]yyyy-mm-dd")</f>
        <v/>
      </c>
      <c r="C22924" t="inlineStr">
        <is>
          <t>1962-09-07</t>
        </is>
      </c>
    </row>
    <row r="22925">
      <c r="A22925" s="1" t="n">
        <v>22924</v>
      </c>
      <c r="B22925">
        <f>TEXT(22924, "[$-0E0000]yyyy-mm-dd")</f>
        <v/>
      </c>
      <c r="C22925" t="inlineStr">
        <is>
          <t>1962-09-08</t>
        </is>
      </c>
    </row>
    <row r="22926">
      <c r="A22926" s="1" t="n">
        <v>22925</v>
      </c>
      <c r="B22926">
        <f>TEXT(22925, "[$-0E0000]yyyy-mm-dd")</f>
        <v/>
      </c>
      <c r="C22926" t="inlineStr">
        <is>
          <t>1962-09-09</t>
        </is>
      </c>
    </row>
    <row r="22927">
      <c r="A22927" s="1" t="n">
        <v>22926</v>
      </c>
      <c r="B22927">
        <f>TEXT(22926, "[$-0E0000]yyyy-mm-dd")</f>
        <v/>
      </c>
      <c r="C22927" t="inlineStr">
        <is>
          <t>1962-09-10</t>
        </is>
      </c>
    </row>
    <row r="22928">
      <c r="A22928" s="1" t="n">
        <v>22927</v>
      </c>
      <c r="B22928">
        <f>TEXT(22927, "[$-0E0000]yyyy-mm-dd")</f>
        <v/>
      </c>
      <c r="C22928" t="inlineStr">
        <is>
          <t>1962-09-11</t>
        </is>
      </c>
    </row>
    <row r="22929">
      <c r="A22929" s="1" t="n">
        <v>22928</v>
      </c>
      <c r="B22929">
        <f>TEXT(22928, "[$-0E0000]yyyy-mm-dd")</f>
        <v/>
      </c>
      <c r="C22929" t="inlineStr">
        <is>
          <t>1962-09-12</t>
        </is>
      </c>
    </row>
    <row r="22930">
      <c r="A22930" s="1" t="n">
        <v>22929</v>
      </c>
      <c r="B22930">
        <f>TEXT(22929, "[$-0E0000]yyyy-mm-dd")</f>
        <v/>
      </c>
      <c r="C22930" t="inlineStr">
        <is>
          <t>1962-09-13</t>
        </is>
      </c>
    </row>
    <row r="22931">
      <c r="A22931" s="1" t="n">
        <v>22930</v>
      </c>
      <c r="B22931">
        <f>TEXT(22930, "[$-0E0000]yyyy-mm-dd")</f>
        <v/>
      </c>
      <c r="C22931" t="inlineStr">
        <is>
          <t>1962-09-14</t>
        </is>
      </c>
    </row>
    <row r="22932">
      <c r="A22932" s="1" t="n">
        <v>22931</v>
      </c>
      <c r="B22932">
        <f>TEXT(22931, "[$-0E0000]yyyy-mm-dd")</f>
        <v/>
      </c>
      <c r="C22932" t="inlineStr">
        <is>
          <t>1962-09-15</t>
        </is>
      </c>
    </row>
    <row r="22933">
      <c r="A22933" s="1" t="n">
        <v>22932</v>
      </c>
      <c r="B22933">
        <f>TEXT(22932, "[$-0E0000]yyyy-mm-dd")</f>
        <v/>
      </c>
      <c r="C22933" t="inlineStr">
        <is>
          <t>1962-09-16</t>
        </is>
      </c>
    </row>
    <row r="22934">
      <c r="A22934" s="1" t="n">
        <v>22933</v>
      </c>
      <c r="B22934">
        <f>TEXT(22933, "[$-0E0000]yyyy-mm-dd")</f>
        <v/>
      </c>
      <c r="C22934" t="inlineStr">
        <is>
          <t>1962-09-17</t>
        </is>
      </c>
    </row>
    <row r="22935">
      <c r="A22935" s="1" t="n">
        <v>22934</v>
      </c>
      <c r="B22935">
        <f>TEXT(22934, "[$-0E0000]yyyy-mm-dd")</f>
        <v/>
      </c>
      <c r="C22935" t="inlineStr">
        <is>
          <t>1962-09-18</t>
        </is>
      </c>
    </row>
    <row r="22936">
      <c r="A22936" s="1" t="n">
        <v>22935</v>
      </c>
      <c r="B22936">
        <f>TEXT(22935, "[$-0E0000]yyyy-mm-dd")</f>
        <v/>
      </c>
      <c r="C22936" t="inlineStr">
        <is>
          <t>1962-09-19</t>
        </is>
      </c>
    </row>
    <row r="22937">
      <c r="A22937" s="1" t="n">
        <v>22936</v>
      </c>
      <c r="B22937">
        <f>TEXT(22936, "[$-0E0000]yyyy-mm-dd")</f>
        <v/>
      </c>
      <c r="C22937" t="inlineStr">
        <is>
          <t>1962-09-20</t>
        </is>
      </c>
    </row>
    <row r="22938">
      <c r="A22938" s="1" t="n">
        <v>22937</v>
      </c>
      <c r="B22938">
        <f>TEXT(22937, "[$-0E0000]yyyy-mm-dd")</f>
        <v/>
      </c>
      <c r="C22938" t="inlineStr">
        <is>
          <t>1962-09-21</t>
        </is>
      </c>
    </row>
    <row r="22939">
      <c r="A22939" s="1" t="n">
        <v>22938</v>
      </c>
      <c r="B22939">
        <f>TEXT(22938, "[$-0E0000]yyyy-mm-dd")</f>
        <v/>
      </c>
      <c r="C22939" t="inlineStr">
        <is>
          <t>1962-09-22</t>
        </is>
      </c>
    </row>
    <row r="22940">
      <c r="A22940" s="1" t="n">
        <v>22939</v>
      </c>
      <c r="B22940">
        <f>TEXT(22939, "[$-0E0000]yyyy-mm-dd")</f>
        <v/>
      </c>
      <c r="C22940" t="inlineStr">
        <is>
          <t>1962-09-23</t>
        </is>
      </c>
    </row>
    <row r="22941">
      <c r="A22941" s="1" t="n">
        <v>22940</v>
      </c>
      <c r="B22941">
        <f>TEXT(22940, "[$-0E0000]yyyy-mm-dd")</f>
        <v/>
      </c>
      <c r="C22941" t="inlineStr">
        <is>
          <t>1962-09-24</t>
        </is>
      </c>
    </row>
    <row r="22942">
      <c r="A22942" s="1" t="n">
        <v>22941</v>
      </c>
      <c r="B22942">
        <f>TEXT(22941, "[$-0E0000]yyyy-mm-dd")</f>
        <v/>
      </c>
      <c r="C22942" t="inlineStr">
        <is>
          <t>1962-09-25</t>
        </is>
      </c>
    </row>
    <row r="22943">
      <c r="A22943" s="1" t="n">
        <v>22942</v>
      </c>
      <c r="B22943">
        <f>TEXT(22942, "[$-0E0000]yyyy-mm-dd")</f>
        <v/>
      </c>
      <c r="C22943" t="inlineStr">
        <is>
          <t>1962-09-26</t>
        </is>
      </c>
    </row>
    <row r="22944">
      <c r="A22944" s="1" t="n">
        <v>22943</v>
      </c>
      <c r="B22944">
        <f>TEXT(22943, "[$-0E0000]yyyy-mm-dd")</f>
        <v/>
      </c>
      <c r="C22944" t="inlineStr">
        <is>
          <t>1962-09-27</t>
        </is>
      </c>
    </row>
    <row r="22945">
      <c r="A22945" s="1" t="n">
        <v>22944</v>
      </c>
      <c r="B22945">
        <f>TEXT(22944, "[$-0E0000]yyyy-mm-dd")</f>
        <v/>
      </c>
      <c r="C22945" t="inlineStr">
        <is>
          <t>1962-09-28</t>
        </is>
      </c>
    </row>
    <row r="22946">
      <c r="A22946" s="1" t="n">
        <v>22945</v>
      </c>
      <c r="B22946">
        <f>TEXT(22945, "[$-0E0000]yyyy-mm-dd")</f>
        <v/>
      </c>
      <c r="C22946" t="inlineStr">
        <is>
          <t>1962-09-29</t>
        </is>
      </c>
    </row>
    <row r="22947">
      <c r="A22947" s="1" t="n">
        <v>22946</v>
      </c>
      <c r="B22947">
        <f>TEXT(22946, "[$-0E0000]yyyy-mm-dd")</f>
        <v/>
      </c>
      <c r="C22947" t="inlineStr">
        <is>
          <t>1962-10-01</t>
        </is>
      </c>
    </row>
    <row r="22948">
      <c r="A22948" s="1" t="n">
        <v>22947</v>
      </c>
      <c r="B22948">
        <f>TEXT(22947, "[$-0E0000]yyyy-mm-dd")</f>
        <v/>
      </c>
      <c r="C22948" t="inlineStr">
        <is>
          <t>1962-10-02</t>
        </is>
      </c>
    </row>
    <row r="22949">
      <c r="A22949" s="1" t="n">
        <v>22948</v>
      </c>
      <c r="B22949">
        <f>TEXT(22948, "[$-0E0000]yyyy-mm-dd")</f>
        <v/>
      </c>
      <c r="C22949" t="inlineStr">
        <is>
          <t>1962-10-03</t>
        </is>
      </c>
    </row>
    <row r="22950">
      <c r="A22950" s="1" t="n">
        <v>22949</v>
      </c>
      <c r="B22950">
        <f>TEXT(22949, "[$-0E0000]yyyy-mm-dd")</f>
        <v/>
      </c>
      <c r="C22950" t="inlineStr">
        <is>
          <t>1962-10-04</t>
        </is>
      </c>
    </row>
    <row r="22951">
      <c r="A22951" s="1" t="n">
        <v>22950</v>
      </c>
      <c r="B22951">
        <f>TEXT(22950, "[$-0E0000]yyyy-mm-dd")</f>
        <v/>
      </c>
      <c r="C22951" t="inlineStr">
        <is>
          <t>1962-10-05</t>
        </is>
      </c>
    </row>
    <row r="22952">
      <c r="A22952" s="1" t="n">
        <v>22951</v>
      </c>
      <c r="B22952">
        <f>TEXT(22951, "[$-0E0000]yyyy-mm-dd")</f>
        <v/>
      </c>
      <c r="C22952" t="inlineStr">
        <is>
          <t>1962-10-06</t>
        </is>
      </c>
    </row>
    <row r="22953">
      <c r="A22953" s="1" t="n">
        <v>22952</v>
      </c>
      <c r="B22953">
        <f>TEXT(22952, "[$-0E0000]yyyy-mm-dd")</f>
        <v/>
      </c>
      <c r="C22953" t="inlineStr">
        <is>
          <t>1962-10-07</t>
        </is>
      </c>
    </row>
    <row r="22954">
      <c r="A22954" s="1" t="n">
        <v>22953</v>
      </c>
      <c r="B22954">
        <f>TEXT(22953, "[$-0E0000]yyyy-mm-dd")</f>
        <v/>
      </c>
      <c r="C22954" t="inlineStr">
        <is>
          <t>1962-10-08</t>
        </is>
      </c>
    </row>
    <row r="22955">
      <c r="A22955" s="1" t="n">
        <v>22954</v>
      </c>
      <c r="B22955">
        <f>TEXT(22954, "[$-0E0000]yyyy-mm-dd")</f>
        <v/>
      </c>
      <c r="C22955" t="inlineStr">
        <is>
          <t>1962-10-09</t>
        </is>
      </c>
    </row>
    <row r="22956">
      <c r="A22956" s="1" t="n">
        <v>22955</v>
      </c>
      <c r="B22956">
        <f>TEXT(22955, "[$-0E0000]yyyy-mm-dd")</f>
        <v/>
      </c>
      <c r="C22956" t="inlineStr">
        <is>
          <t>1962-10-10</t>
        </is>
      </c>
    </row>
    <row r="22957">
      <c r="A22957" s="1" t="n">
        <v>22956</v>
      </c>
      <c r="B22957">
        <f>TEXT(22956, "[$-0E0000]yyyy-mm-dd")</f>
        <v/>
      </c>
      <c r="C22957" t="inlineStr">
        <is>
          <t>1962-10-11</t>
        </is>
      </c>
    </row>
    <row r="22958">
      <c r="A22958" s="1" t="n">
        <v>22957</v>
      </c>
      <c r="B22958">
        <f>TEXT(22957, "[$-0E0000]yyyy-mm-dd")</f>
        <v/>
      </c>
      <c r="C22958" t="inlineStr">
        <is>
          <t>1962-10-12</t>
        </is>
      </c>
    </row>
    <row r="22959">
      <c r="A22959" s="1" t="n">
        <v>22958</v>
      </c>
      <c r="B22959">
        <f>TEXT(22958, "[$-0E0000]yyyy-mm-dd")</f>
        <v/>
      </c>
      <c r="C22959" t="inlineStr">
        <is>
          <t>1962-10-13</t>
        </is>
      </c>
    </row>
    <row r="22960">
      <c r="A22960" s="1" t="n">
        <v>22959</v>
      </c>
      <c r="B22960">
        <f>TEXT(22959, "[$-0E0000]yyyy-mm-dd")</f>
        <v/>
      </c>
      <c r="C22960" t="inlineStr">
        <is>
          <t>1962-10-14</t>
        </is>
      </c>
    </row>
    <row r="22961">
      <c r="A22961" s="1" t="n">
        <v>22960</v>
      </c>
      <c r="B22961">
        <f>TEXT(22960, "[$-0E0000]yyyy-mm-dd")</f>
        <v/>
      </c>
      <c r="C22961" t="inlineStr">
        <is>
          <t>1962-10-15</t>
        </is>
      </c>
    </row>
    <row r="22962">
      <c r="A22962" s="1" t="n">
        <v>22961</v>
      </c>
      <c r="B22962">
        <f>TEXT(22961, "[$-0E0000]yyyy-mm-dd")</f>
        <v/>
      </c>
      <c r="C22962" t="inlineStr">
        <is>
          <t>1962-10-16</t>
        </is>
      </c>
    </row>
    <row r="22963">
      <c r="A22963" s="1" t="n">
        <v>22962</v>
      </c>
      <c r="B22963">
        <f>TEXT(22962, "[$-0E0000]yyyy-mm-dd")</f>
        <v/>
      </c>
      <c r="C22963" t="inlineStr">
        <is>
          <t>1962-10-17</t>
        </is>
      </c>
    </row>
    <row r="22964">
      <c r="A22964" s="1" t="n">
        <v>22963</v>
      </c>
      <c r="B22964">
        <f>TEXT(22963, "[$-0E0000]yyyy-mm-dd")</f>
        <v/>
      </c>
      <c r="C22964" t="inlineStr">
        <is>
          <t>1962-10-18</t>
        </is>
      </c>
    </row>
    <row r="22965">
      <c r="A22965" s="1" t="n">
        <v>22964</v>
      </c>
      <c r="B22965">
        <f>TEXT(22964, "[$-0E0000]yyyy-mm-dd")</f>
        <v/>
      </c>
      <c r="C22965" t="inlineStr">
        <is>
          <t>1962-10-19</t>
        </is>
      </c>
    </row>
    <row r="22966">
      <c r="A22966" s="1" t="n">
        <v>22965</v>
      </c>
      <c r="B22966">
        <f>TEXT(22965, "[$-0E0000]yyyy-mm-dd")</f>
        <v/>
      </c>
      <c r="C22966" t="inlineStr">
        <is>
          <t>1962-10-20</t>
        </is>
      </c>
    </row>
    <row r="22967">
      <c r="A22967" s="1" t="n">
        <v>22966</v>
      </c>
      <c r="B22967">
        <f>TEXT(22966, "[$-0E0000]yyyy-mm-dd")</f>
        <v/>
      </c>
      <c r="C22967" t="inlineStr">
        <is>
          <t>1962-10-21</t>
        </is>
      </c>
    </row>
    <row r="22968">
      <c r="A22968" s="1" t="n">
        <v>22967</v>
      </c>
      <c r="B22968">
        <f>TEXT(22967, "[$-0E0000]yyyy-mm-dd")</f>
        <v/>
      </c>
      <c r="C22968" t="inlineStr">
        <is>
          <t>1962-10-22</t>
        </is>
      </c>
    </row>
    <row r="22969">
      <c r="A22969" s="1" t="n">
        <v>22968</v>
      </c>
      <c r="B22969">
        <f>TEXT(22968, "[$-0E0000]yyyy-mm-dd")</f>
        <v/>
      </c>
      <c r="C22969" t="inlineStr">
        <is>
          <t>1962-10-23</t>
        </is>
      </c>
    </row>
    <row r="22970">
      <c r="A22970" s="1" t="n">
        <v>22969</v>
      </c>
      <c r="B22970">
        <f>TEXT(22969, "[$-0E0000]yyyy-mm-dd")</f>
        <v/>
      </c>
      <c r="C22970" t="inlineStr">
        <is>
          <t>1962-10-24</t>
        </is>
      </c>
    </row>
    <row r="22971">
      <c r="A22971" s="1" t="n">
        <v>22970</v>
      </c>
      <c r="B22971">
        <f>TEXT(22970, "[$-0E0000]yyyy-mm-dd")</f>
        <v/>
      </c>
      <c r="C22971" t="inlineStr">
        <is>
          <t>1962-10-25</t>
        </is>
      </c>
    </row>
    <row r="22972">
      <c r="A22972" s="1" t="n">
        <v>22971</v>
      </c>
      <c r="B22972">
        <f>TEXT(22971, "[$-0E0000]yyyy-mm-dd")</f>
        <v/>
      </c>
      <c r="C22972" t="inlineStr">
        <is>
          <t>1962-10-26</t>
        </is>
      </c>
    </row>
    <row r="22973">
      <c r="A22973" s="1" t="n">
        <v>22972</v>
      </c>
      <c r="B22973">
        <f>TEXT(22972, "[$-0E0000]yyyy-mm-dd")</f>
        <v/>
      </c>
      <c r="C22973" t="inlineStr">
        <is>
          <t>1962-10-27</t>
        </is>
      </c>
    </row>
    <row r="22974">
      <c r="A22974" s="1" t="n">
        <v>22973</v>
      </c>
      <c r="B22974">
        <f>TEXT(22973, "[$-0E0000]yyyy-mm-dd")</f>
        <v/>
      </c>
      <c r="C22974" t="inlineStr">
        <is>
          <t>1962-10-28</t>
        </is>
      </c>
    </row>
    <row r="22975">
      <c r="A22975" s="1" t="n">
        <v>22974</v>
      </c>
      <c r="B22975">
        <f>TEXT(22974, "[$-0E0000]yyyy-mm-dd")</f>
        <v/>
      </c>
      <c r="C22975" t="inlineStr">
        <is>
          <t>1962-10-29</t>
        </is>
      </c>
    </row>
    <row r="22976">
      <c r="A22976" s="1" t="n">
        <v>22975</v>
      </c>
      <c r="B22976">
        <f>TEXT(22975, "[$-0E0000]yyyy-mm-dd")</f>
        <v/>
      </c>
      <c r="C22976" t="inlineStr">
        <is>
          <t>1962-10-30</t>
        </is>
      </c>
    </row>
    <row r="22977">
      <c r="A22977" s="1" t="n">
        <v>22976</v>
      </c>
      <c r="B22977">
        <f>TEXT(22976, "[$-0E0000]yyyy-mm-dd")</f>
        <v/>
      </c>
      <c r="C22977" t="inlineStr">
        <is>
          <t>1962-11-01</t>
        </is>
      </c>
    </row>
    <row r="22978">
      <c r="A22978" s="1" t="n">
        <v>22977</v>
      </c>
      <c r="B22978">
        <f>TEXT(22977, "[$-0E0000]yyyy-mm-dd")</f>
        <v/>
      </c>
      <c r="C22978" t="inlineStr">
        <is>
          <t>1962-11-02</t>
        </is>
      </c>
    </row>
    <row r="22979">
      <c r="A22979" s="1" t="n">
        <v>22978</v>
      </c>
      <c r="B22979">
        <f>TEXT(22978, "[$-0E0000]yyyy-mm-dd")</f>
        <v/>
      </c>
      <c r="C22979" t="inlineStr">
        <is>
          <t>1962-11-03</t>
        </is>
      </c>
    </row>
    <row r="22980">
      <c r="A22980" s="1" t="n">
        <v>22979</v>
      </c>
      <c r="B22980">
        <f>TEXT(22979, "[$-0E0000]yyyy-mm-dd")</f>
        <v/>
      </c>
      <c r="C22980" t="inlineStr">
        <is>
          <t>1962-11-04</t>
        </is>
      </c>
    </row>
    <row r="22981">
      <c r="A22981" s="1" t="n">
        <v>22980</v>
      </c>
      <c r="B22981">
        <f>TEXT(22980, "[$-0E0000]yyyy-mm-dd")</f>
        <v/>
      </c>
      <c r="C22981" t="inlineStr">
        <is>
          <t>1962-11-05</t>
        </is>
      </c>
    </row>
    <row r="22982">
      <c r="A22982" s="1" t="n">
        <v>22981</v>
      </c>
      <c r="B22982">
        <f>TEXT(22981, "[$-0E0000]yyyy-mm-dd")</f>
        <v/>
      </c>
      <c r="C22982" t="inlineStr">
        <is>
          <t>1962-11-06</t>
        </is>
      </c>
    </row>
    <row r="22983">
      <c r="A22983" s="1" t="n">
        <v>22982</v>
      </c>
      <c r="B22983">
        <f>TEXT(22982, "[$-0E0000]yyyy-mm-dd")</f>
        <v/>
      </c>
      <c r="C22983" t="inlineStr">
        <is>
          <t>1962-11-07</t>
        </is>
      </c>
    </row>
    <row r="22984">
      <c r="A22984" s="1" t="n">
        <v>22983</v>
      </c>
      <c r="B22984">
        <f>TEXT(22983, "[$-0E0000]yyyy-mm-dd")</f>
        <v/>
      </c>
      <c r="C22984" t="inlineStr">
        <is>
          <t>1962-11-08</t>
        </is>
      </c>
    </row>
    <row r="22985">
      <c r="A22985" s="1" t="n">
        <v>22984</v>
      </c>
      <c r="B22985">
        <f>TEXT(22984, "[$-0E0000]yyyy-mm-dd")</f>
        <v/>
      </c>
      <c r="C22985" t="inlineStr">
        <is>
          <t>1962-11-09</t>
        </is>
      </c>
    </row>
    <row r="22986">
      <c r="A22986" s="1" t="n">
        <v>22985</v>
      </c>
      <c r="B22986">
        <f>TEXT(22985, "[$-0E0000]yyyy-mm-dd")</f>
        <v/>
      </c>
      <c r="C22986" t="inlineStr">
        <is>
          <t>1962-11-10</t>
        </is>
      </c>
    </row>
    <row r="22987">
      <c r="A22987" s="1" t="n">
        <v>22986</v>
      </c>
      <c r="B22987">
        <f>TEXT(22986, "[$-0E0000]yyyy-mm-dd")</f>
        <v/>
      </c>
      <c r="C22987" t="inlineStr">
        <is>
          <t>1962-11-11</t>
        </is>
      </c>
    </row>
    <row r="22988">
      <c r="A22988" s="1" t="n">
        <v>22987</v>
      </c>
      <c r="B22988">
        <f>TEXT(22987, "[$-0E0000]yyyy-mm-dd")</f>
        <v/>
      </c>
      <c r="C22988" t="inlineStr">
        <is>
          <t>1962-11-12</t>
        </is>
      </c>
    </row>
    <row r="22989">
      <c r="A22989" s="1" t="n">
        <v>22988</v>
      </c>
      <c r="B22989">
        <f>TEXT(22988, "[$-0E0000]yyyy-mm-dd")</f>
        <v/>
      </c>
      <c r="C22989" t="inlineStr">
        <is>
          <t>1962-11-13</t>
        </is>
      </c>
    </row>
    <row r="22990">
      <c r="A22990" s="1" t="n">
        <v>22989</v>
      </c>
      <c r="B22990">
        <f>TEXT(22989, "[$-0E0000]yyyy-mm-dd")</f>
        <v/>
      </c>
      <c r="C22990" t="inlineStr">
        <is>
          <t>1962-11-14</t>
        </is>
      </c>
    </row>
    <row r="22991">
      <c r="A22991" s="1" t="n">
        <v>22990</v>
      </c>
      <c r="B22991">
        <f>TEXT(22990, "[$-0E0000]yyyy-mm-dd")</f>
        <v/>
      </c>
      <c r="C22991" t="inlineStr">
        <is>
          <t>1962-11-15</t>
        </is>
      </c>
    </row>
    <row r="22992">
      <c r="A22992" s="1" t="n">
        <v>22991</v>
      </c>
      <c r="B22992">
        <f>TEXT(22991, "[$-0E0000]yyyy-mm-dd")</f>
        <v/>
      </c>
      <c r="C22992" t="inlineStr">
        <is>
          <t>1962-11-16</t>
        </is>
      </c>
    </row>
    <row r="22993">
      <c r="A22993" s="1" t="n">
        <v>22992</v>
      </c>
      <c r="B22993">
        <f>TEXT(22992, "[$-0E0000]yyyy-mm-dd")</f>
        <v/>
      </c>
      <c r="C22993" t="inlineStr">
        <is>
          <t>1962-11-17</t>
        </is>
      </c>
    </row>
    <row r="22994">
      <c r="A22994" s="1" t="n">
        <v>22993</v>
      </c>
      <c r="B22994">
        <f>TEXT(22993, "[$-0E0000]yyyy-mm-dd")</f>
        <v/>
      </c>
      <c r="C22994" t="inlineStr">
        <is>
          <t>1962-11-18</t>
        </is>
      </c>
    </row>
    <row r="22995">
      <c r="A22995" s="1" t="n">
        <v>22994</v>
      </c>
      <c r="B22995">
        <f>TEXT(22994, "[$-0E0000]yyyy-mm-dd")</f>
        <v/>
      </c>
      <c r="C22995" t="inlineStr">
        <is>
          <t>1962-11-19</t>
        </is>
      </c>
    </row>
    <row r="22996">
      <c r="A22996" s="1" t="n">
        <v>22995</v>
      </c>
      <c r="B22996">
        <f>TEXT(22995, "[$-0E0000]yyyy-mm-dd")</f>
        <v/>
      </c>
      <c r="C22996" t="inlineStr">
        <is>
          <t>1962-11-20</t>
        </is>
      </c>
    </row>
    <row r="22997">
      <c r="A22997" s="1" t="n">
        <v>22996</v>
      </c>
      <c r="B22997">
        <f>TEXT(22996, "[$-0E0000]yyyy-mm-dd")</f>
        <v/>
      </c>
      <c r="C22997" t="inlineStr">
        <is>
          <t>1962-11-21</t>
        </is>
      </c>
    </row>
    <row r="22998">
      <c r="A22998" s="1" t="n">
        <v>22997</v>
      </c>
      <c r="B22998">
        <f>TEXT(22997, "[$-0E0000]yyyy-mm-dd")</f>
        <v/>
      </c>
      <c r="C22998" t="inlineStr">
        <is>
          <t>1962-11-22</t>
        </is>
      </c>
    </row>
    <row r="22999">
      <c r="A22999" s="1" t="n">
        <v>22998</v>
      </c>
      <c r="B22999">
        <f>TEXT(22998, "[$-0E0000]yyyy-mm-dd")</f>
        <v/>
      </c>
      <c r="C22999" t="inlineStr">
        <is>
          <t>1962-11-23</t>
        </is>
      </c>
    </row>
    <row r="23000">
      <c r="A23000" s="1" t="n">
        <v>22999</v>
      </c>
      <c r="B23000">
        <f>TEXT(22999, "[$-0E0000]yyyy-mm-dd")</f>
        <v/>
      </c>
      <c r="C23000" t="inlineStr">
        <is>
          <t>1962-11-24</t>
        </is>
      </c>
    </row>
    <row r="23001">
      <c r="A23001" s="1" t="n">
        <v>23000</v>
      </c>
      <c r="B23001">
        <f>TEXT(23000, "[$-0E0000]yyyy-mm-dd")</f>
        <v/>
      </c>
      <c r="C23001" t="inlineStr">
        <is>
          <t>1962-11-25</t>
        </is>
      </c>
    </row>
    <row r="23002">
      <c r="A23002" s="1" t="n">
        <v>23001</v>
      </c>
      <c r="B23002">
        <f>TEXT(23001, "[$-0E0000]yyyy-mm-dd")</f>
        <v/>
      </c>
      <c r="C23002" t="inlineStr">
        <is>
          <t>1962-11-26</t>
        </is>
      </c>
    </row>
    <row r="23003">
      <c r="A23003" s="1" t="n">
        <v>23002</v>
      </c>
      <c r="B23003">
        <f>TEXT(23002, "[$-0E0000]yyyy-mm-dd")</f>
        <v/>
      </c>
      <c r="C23003" t="inlineStr">
        <is>
          <t>1962-11-27</t>
        </is>
      </c>
    </row>
    <row r="23004">
      <c r="A23004" s="1" t="n">
        <v>23003</v>
      </c>
      <c r="B23004">
        <f>TEXT(23003, "[$-0E0000]yyyy-mm-dd")</f>
        <v/>
      </c>
      <c r="C23004" t="inlineStr">
        <is>
          <t>1962-11-28</t>
        </is>
      </c>
    </row>
    <row r="23005">
      <c r="A23005" s="1" t="n">
        <v>23004</v>
      </c>
      <c r="B23005">
        <f>TEXT(23004, "[$-0E0000]yyyy-mm-dd")</f>
        <v/>
      </c>
      <c r="C23005" t="inlineStr">
        <is>
          <t>1962-11-29</t>
        </is>
      </c>
    </row>
    <row r="23006">
      <c r="A23006" s="1" t="n">
        <v>23005</v>
      </c>
      <c r="B23006">
        <f>TEXT(23005, "[$-0E0000]yyyy-mm-dd")</f>
        <v/>
      </c>
      <c r="C23006" t="inlineStr">
        <is>
          <t>1962-11-30</t>
        </is>
      </c>
    </row>
    <row r="23007">
      <c r="A23007" s="1" t="n">
        <v>23006</v>
      </c>
      <c r="B23007">
        <f>TEXT(23006, "[$-0E0000]yyyy-mm-dd")</f>
        <v/>
      </c>
      <c r="C23007" t="inlineStr">
        <is>
          <t>1962-12-01</t>
        </is>
      </c>
    </row>
    <row r="23008">
      <c r="A23008" s="1" t="n">
        <v>23007</v>
      </c>
      <c r="B23008">
        <f>TEXT(23007, "[$-0E0000]yyyy-mm-dd")</f>
        <v/>
      </c>
      <c r="C23008" t="inlineStr">
        <is>
          <t>1962-12-02</t>
        </is>
      </c>
    </row>
    <row r="23009">
      <c r="A23009" s="1" t="n">
        <v>23008</v>
      </c>
      <c r="B23009">
        <f>TEXT(23008, "[$-0E0000]yyyy-mm-dd")</f>
        <v/>
      </c>
      <c r="C23009" t="inlineStr">
        <is>
          <t>1962-12-03</t>
        </is>
      </c>
    </row>
    <row r="23010">
      <c r="A23010" s="1" t="n">
        <v>23009</v>
      </c>
      <c r="B23010">
        <f>TEXT(23009, "[$-0E0000]yyyy-mm-dd")</f>
        <v/>
      </c>
      <c r="C23010" t="inlineStr">
        <is>
          <t>1962-12-04</t>
        </is>
      </c>
    </row>
    <row r="23011">
      <c r="A23011" s="1" t="n">
        <v>23010</v>
      </c>
      <c r="B23011">
        <f>TEXT(23010, "[$-0E0000]yyyy-mm-dd")</f>
        <v/>
      </c>
      <c r="C23011" t="inlineStr">
        <is>
          <t>1962-12-05</t>
        </is>
      </c>
    </row>
    <row r="23012">
      <c r="A23012" s="1" t="n">
        <v>23011</v>
      </c>
      <c r="B23012">
        <f>TEXT(23011, "[$-0E0000]yyyy-mm-dd")</f>
        <v/>
      </c>
      <c r="C23012" t="inlineStr">
        <is>
          <t>1962-12-06</t>
        </is>
      </c>
    </row>
    <row r="23013">
      <c r="A23013" s="1" t="n">
        <v>23012</v>
      </c>
      <c r="B23013">
        <f>TEXT(23012, "[$-0E0000]yyyy-mm-dd")</f>
        <v/>
      </c>
      <c r="C23013" t="inlineStr">
        <is>
          <t>1962-12-07</t>
        </is>
      </c>
    </row>
    <row r="23014">
      <c r="A23014" s="1" t="n">
        <v>23013</v>
      </c>
      <c r="B23014">
        <f>TEXT(23013, "[$-0E0000]yyyy-mm-dd")</f>
        <v/>
      </c>
      <c r="C23014" t="inlineStr">
        <is>
          <t>1962-12-08</t>
        </is>
      </c>
    </row>
    <row r="23015">
      <c r="A23015" s="1" t="n">
        <v>23014</v>
      </c>
      <c r="B23015">
        <f>TEXT(23014, "[$-0E0000]yyyy-mm-dd")</f>
        <v/>
      </c>
      <c r="C23015" t="inlineStr">
        <is>
          <t>1962-12-09</t>
        </is>
      </c>
    </row>
    <row r="23016">
      <c r="A23016" s="1" t="n">
        <v>23015</v>
      </c>
      <c r="B23016">
        <f>TEXT(23015, "[$-0E0000]yyyy-mm-dd")</f>
        <v/>
      </c>
      <c r="C23016" t="inlineStr">
        <is>
          <t>1962-12-10</t>
        </is>
      </c>
    </row>
    <row r="23017">
      <c r="A23017" s="1" t="n">
        <v>23016</v>
      </c>
      <c r="B23017">
        <f>TEXT(23016, "[$-0E0000]yyyy-mm-dd")</f>
        <v/>
      </c>
      <c r="C23017" t="inlineStr">
        <is>
          <t>1962-12-11</t>
        </is>
      </c>
    </row>
    <row r="23018">
      <c r="A23018" s="1" t="n">
        <v>23017</v>
      </c>
      <c r="B23018">
        <f>TEXT(23017, "[$-0E0000]yyyy-mm-dd")</f>
        <v/>
      </c>
      <c r="C23018" t="inlineStr">
        <is>
          <t>1962-12-12</t>
        </is>
      </c>
    </row>
    <row r="23019">
      <c r="A23019" s="1" t="n">
        <v>23018</v>
      </c>
      <c r="B23019">
        <f>TEXT(23018, "[$-0E0000]yyyy-mm-dd")</f>
        <v/>
      </c>
      <c r="C23019" t="inlineStr">
        <is>
          <t>1962-12-13</t>
        </is>
      </c>
    </row>
    <row r="23020">
      <c r="A23020" s="1" t="n">
        <v>23019</v>
      </c>
      <c r="B23020">
        <f>TEXT(23019, "[$-0E0000]yyyy-mm-dd")</f>
        <v/>
      </c>
      <c r="C23020" t="inlineStr">
        <is>
          <t>1962-12-14</t>
        </is>
      </c>
    </row>
    <row r="23021">
      <c r="A23021" s="1" t="n">
        <v>23020</v>
      </c>
      <c r="B23021">
        <f>TEXT(23020, "[$-0E0000]yyyy-mm-dd")</f>
        <v/>
      </c>
      <c r="C23021" t="inlineStr">
        <is>
          <t>1962-12-15</t>
        </is>
      </c>
    </row>
    <row r="23022">
      <c r="A23022" s="1" t="n">
        <v>23021</v>
      </c>
      <c r="B23022">
        <f>TEXT(23021, "[$-0E0000]yyyy-mm-dd")</f>
        <v/>
      </c>
      <c r="C23022" t="inlineStr">
        <is>
          <t>1962-12-16</t>
        </is>
      </c>
    </row>
    <row r="23023">
      <c r="A23023" s="1" t="n">
        <v>23022</v>
      </c>
      <c r="B23023">
        <f>TEXT(23022, "[$-0E0000]yyyy-mm-dd")</f>
        <v/>
      </c>
      <c r="C23023" t="inlineStr">
        <is>
          <t>1962-12-17</t>
        </is>
      </c>
    </row>
    <row r="23024">
      <c r="A23024" s="1" t="n">
        <v>23023</v>
      </c>
      <c r="B23024">
        <f>TEXT(23023, "[$-0E0000]yyyy-mm-dd")</f>
        <v/>
      </c>
      <c r="C23024" t="inlineStr">
        <is>
          <t>1962-12-18</t>
        </is>
      </c>
    </row>
    <row r="23025">
      <c r="A23025" s="1" t="n">
        <v>23024</v>
      </c>
      <c r="B23025">
        <f>TEXT(23024, "[$-0E0000]yyyy-mm-dd")</f>
        <v/>
      </c>
      <c r="C23025" t="inlineStr">
        <is>
          <t>1962-12-19</t>
        </is>
      </c>
    </row>
    <row r="23026">
      <c r="A23026" s="1" t="n">
        <v>23025</v>
      </c>
      <c r="B23026">
        <f>TEXT(23025, "[$-0E0000]yyyy-mm-dd")</f>
        <v/>
      </c>
      <c r="C23026" t="inlineStr">
        <is>
          <t>1962-12-20</t>
        </is>
      </c>
    </row>
    <row r="23027">
      <c r="A23027" s="1" t="n">
        <v>23026</v>
      </c>
      <c r="B23027">
        <f>TEXT(23026, "[$-0E0000]yyyy-mm-dd")</f>
        <v/>
      </c>
      <c r="C23027" t="inlineStr">
        <is>
          <t>1962-12-21</t>
        </is>
      </c>
    </row>
    <row r="23028">
      <c r="A23028" s="1" t="n">
        <v>23027</v>
      </c>
      <c r="B23028">
        <f>TEXT(23027, "[$-0E0000]yyyy-mm-dd")</f>
        <v/>
      </c>
      <c r="C23028" t="inlineStr">
        <is>
          <t>1962-12-22</t>
        </is>
      </c>
    </row>
    <row r="23029">
      <c r="A23029" s="1" t="n">
        <v>23028</v>
      </c>
      <c r="B23029">
        <f>TEXT(23028, "[$-0E0000]yyyy-mm-dd")</f>
        <v/>
      </c>
      <c r="C23029" t="inlineStr">
        <is>
          <t>1962-12-23</t>
        </is>
      </c>
    </row>
    <row r="23030">
      <c r="A23030" s="1" t="n">
        <v>23029</v>
      </c>
      <c r="B23030">
        <f>TEXT(23029, "[$-0E0000]yyyy-mm-dd")</f>
        <v/>
      </c>
      <c r="C23030" t="inlineStr">
        <is>
          <t>1962-12-24</t>
        </is>
      </c>
    </row>
    <row r="23031">
      <c r="A23031" s="1" t="n">
        <v>23030</v>
      </c>
      <c r="B23031">
        <f>TEXT(23030, "[$-0E0000]yyyy-mm-dd")</f>
        <v/>
      </c>
      <c r="C23031" t="inlineStr">
        <is>
          <t>1962-12-25</t>
        </is>
      </c>
    </row>
    <row r="23032">
      <c r="A23032" s="1" t="n">
        <v>23031</v>
      </c>
      <c r="B23032">
        <f>TEXT(23031, "[$-0E0000]yyyy-mm-dd")</f>
        <v/>
      </c>
      <c r="C23032" t="inlineStr">
        <is>
          <t>1962-12-26</t>
        </is>
      </c>
    </row>
    <row r="23033">
      <c r="A23033" s="1" t="n">
        <v>23032</v>
      </c>
      <c r="B23033">
        <f>TEXT(23032, "[$-0E0000]yyyy-mm-dd")</f>
        <v/>
      </c>
      <c r="C23033" t="inlineStr">
        <is>
          <t>1962-12-27</t>
        </is>
      </c>
    </row>
    <row r="23034">
      <c r="A23034" s="1" t="n">
        <v>23033</v>
      </c>
      <c r="B23034">
        <f>TEXT(23033, "[$-0E0000]yyyy-mm-dd")</f>
        <v/>
      </c>
      <c r="C23034" t="inlineStr">
        <is>
          <t>1962-12-28</t>
        </is>
      </c>
    </row>
    <row r="23035">
      <c r="A23035" s="1" t="n">
        <v>23034</v>
      </c>
      <c r="B23035">
        <f>TEXT(23034, "[$-0E0000]yyyy-mm-dd")</f>
        <v/>
      </c>
      <c r="C23035" t="inlineStr">
        <is>
          <t>1962-12-29</t>
        </is>
      </c>
    </row>
    <row r="23036">
      <c r="A23036" s="1" t="n">
        <v>23035</v>
      </c>
      <c r="B23036">
        <f>TEXT(23035, "[$-0E0000]yyyy-mm-dd")</f>
        <v/>
      </c>
      <c r="C23036" t="inlineStr">
        <is>
          <t>1963-01-01</t>
        </is>
      </c>
    </row>
    <row r="23037">
      <c r="A23037" s="1" t="n">
        <v>23036</v>
      </c>
      <c r="B23037">
        <f>TEXT(23036, "[$-0E0000]yyyy-mm-dd")</f>
        <v/>
      </c>
      <c r="C23037" t="inlineStr">
        <is>
          <t>1963-01-02</t>
        </is>
      </c>
    </row>
    <row r="23038">
      <c r="A23038" s="1" t="n">
        <v>23037</v>
      </c>
      <c r="B23038">
        <f>TEXT(23037, "[$-0E0000]yyyy-mm-dd")</f>
        <v/>
      </c>
      <c r="C23038" t="inlineStr">
        <is>
          <t>1963-01-03</t>
        </is>
      </c>
    </row>
    <row r="23039">
      <c r="A23039" s="1" t="n">
        <v>23038</v>
      </c>
      <c r="B23039">
        <f>TEXT(23038, "[$-0E0000]yyyy-mm-dd")</f>
        <v/>
      </c>
      <c r="C23039" t="inlineStr">
        <is>
          <t>1963-01-04</t>
        </is>
      </c>
    </row>
    <row r="23040">
      <c r="A23040" s="1" t="n">
        <v>23039</v>
      </c>
      <c r="B23040">
        <f>TEXT(23039, "[$-0E0000]yyyy-mm-dd")</f>
        <v/>
      </c>
      <c r="C23040" t="inlineStr">
        <is>
          <t>1963-01-05</t>
        </is>
      </c>
    </row>
    <row r="23041">
      <c r="A23041" s="1" t="n">
        <v>23040</v>
      </c>
      <c r="B23041">
        <f>TEXT(23040, "[$-0E0000]yyyy-mm-dd")</f>
        <v/>
      </c>
      <c r="C23041" t="inlineStr">
        <is>
          <t>1963-01-06</t>
        </is>
      </c>
    </row>
    <row r="23042">
      <c r="A23042" s="1" t="n">
        <v>23041</v>
      </c>
      <c r="B23042">
        <f>TEXT(23041, "[$-0E0000]yyyy-mm-dd")</f>
        <v/>
      </c>
      <c r="C23042" t="inlineStr">
        <is>
          <t>1963-01-07</t>
        </is>
      </c>
    </row>
    <row r="23043">
      <c r="A23043" s="1" t="n">
        <v>23042</v>
      </c>
      <c r="B23043">
        <f>TEXT(23042, "[$-0E0000]yyyy-mm-dd")</f>
        <v/>
      </c>
      <c r="C23043" t="inlineStr">
        <is>
          <t>1963-01-08</t>
        </is>
      </c>
    </row>
    <row r="23044">
      <c r="A23044" s="1" t="n">
        <v>23043</v>
      </c>
      <c r="B23044">
        <f>TEXT(23043, "[$-0E0000]yyyy-mm-dd")</f>
        <v/>
      </c>
      <c r="C23044" t="inlineStr">
        <is>
          <t>1963-01-09</t>
        </is>
      </c>
    </row>
    <row r="23045">
      <c r="A23045" s="1" t="n">
        <v>23044</v>
      </c>
      <c r="B23045">
        <f>TEXT(23044, "[$-0E0000]yyyy-mm-dd")</f>
        <v/>
      </c>
      <c r="C23045" t="inlineStr">
        <is>
          <t>1963-01-10</t>
        </is>
      </c>
    </row>
    <row r="23046">
      <c r="A23046" s="1" t="n">
        <v>23045</v>
      </c>
      <c r="B23046">
        <f>TEXT(23045, "[$-0E0000]yyyy-mm-dd")</f>
        <v/>
      </c>
      <c r="C23046" t="inlineStr">
        <is>
          <t>1963-01-11</t>
        </is>
      </c>
    </row>
    <row r="23047">
      <c r="A23047" s="1" t="n">
        <v>23046</v>
      </c>
      <c r="B23047">
        <f>TEXT(23046, "[$-0E0000]yyyy-mm-dd")</f>
        <v/>
      </c>
      <c r="C23047" t="inlineStr">
        <is>
          <t>1963-01-12</t>
        </is>
      </c>
    </row>
    <row r="23048">
      <c r="A23048" s="1" t="n">
        <v>23047</v>
      </c>
      <c r="B23048">
        <f>TEXT(23047, "[$-0E0000]yyyy-mm-dd")</f>
        <v/>
      </c>
      <c r="C23048" t="inlineStr">
        <is>
          <t>1963-01-13</t>
        </is>
      </c>
    </row>
    <row r="23049">
      <c r="A23049" s="1" t="n">
        <v>23048</v>
      </c>
      <c r="B23049">
        <f>TEXT(23048, "[$-0E0000]yyyy-mm-dd")</f>
        <v/>
      </c>
      <c r="C23049" t="inlineStr">
        <is>
          <t>1963-01-14</t>
        </is>
      </c>
    </row>
    <row r="23050">
      <c r="A23050" s="1" t="n">
        <v>23049</v>
      </c>
      <c r="B23050">
        <f>TEXT(23049, "[$-0E0000]yyyy-mm-dd")</f>
        <v/>
      </c>
      <c r="C23050" t="inlineStr">
        <is>
          <t>1963-01-15</t>
        </is>
      </c>
    </row>
    <row r="23051">
      <c r="A23051" s="1" t="n">
        <v>23050</v>
      </c>
      <c r="B23051">
        <f>TEXT(23050, "[$-0E0000]yyyy-mm-dd")</f>
        <v/>
      </c>
      <c r="C23051" t="inlineStr">
        <is>
          <t>1963-01-16</t>
        </is>
      </c>
    </row>
    <row r="23052">
      <c r="A23052" s="1" t="n">
        <v>23051</v>
      </c>
      <c r="B23052">
        <f>TEXT(23051, "[$-0E0000]yyyy-mm-dd")</f>
        <v/>
      </c>
      <c r="C23052" t="inlineStr">
        <is>
          <t>1963-01-17</t>
        </is>
      </c>
    </row>
    <row r="23053">
      <c r="A23053" s="1" t="n">
        <v>23052</v>
      </c>
      <c r="B23053">
        <f>TEXT(23052, "[$-0E0000]yyyy-mm-dd")</f>
        <v/>
      </c>
      <c r="C23053" t="inlineStr">
        <is>
          <t>1963-01-18</t>
        </is>
      </c>
    </row>
    <row r="23054">
      <c r="A23054" s="1" t="n">
        <v>23053</v>
      </c>
      <c r="B23054">
        <f>TEXT(23053, "[$-0E0000]yyyy-mm-dd")</f>
        <v/>
      </c>
      <c r="C23054" t="inlineStr">
        <is>
          <t>1963-01-19</t>
        </is>
      </c>
    </row>
    <row r="23055">
      <c r="A23055" s="1" t="n">
        <v>23054</v>
      </c>
      <c r="B23055">
        <f>TEXT(23054, "[$-0E0000]yyyy-mm-dd")</f>
        <v/>
      </c>
      <c r="C23055" t="inlineStr">
        <is>
          <t>1963-01-20</t>
        </is>
      </c>
    </row>
    <row r="23056">
      <c r="A23056" s="1" t="n">
        <v>23055</v>
      </c>
      <c r="B23056">
        <f>TEXT(23055, "[$-0E0000]yyyy-mm-dd")</f>
        <v/>
      </c>
      <c r="C23056" t="inlineStr">
        <is>
          <t>1963-01-21</t>
        </is>
      </c>
    </row>
    <row r="23057">
      <c r="A23057" s="1" t="n">
        <v>23056</v>
      </c>
      <c r="B23057">
        <f>TEXT(23056, "[$-0E0000]yyyy-mm-dd")</f>
        <v/>
      </c>
      <c r="C23057" t="inlineStr">
        <is>
          <t>1963-01-22</t>
        </is>
      </c>
    </row>
    <row r="23058">
      <c r="A23058" s="1" t="n">
        <v>23057</v>
      </c>
      <c r="B23058">
        <f>TEXT(23057, "[$-0E0000]yyyy-mm-dd")</f>
        <v/>
      </c>
      <c r="C23058" t="inlineStr">
        <is>
          <t>1963-01-23</t>
        </is>
      </c>
    </row>
    <row r="23059">
      <c r="A23059" s="1" t="n">
        <v>23058</v>
      </c>
      <c r="B23059">
        <f>TEXT(23058, "[$-0E0000]yyyy-mm-dd")</f>
        <v/>
      </c>
      <c r="C23059" t="inlineStr">
        <is>
          <t>1963-01-24</t>
        </is>
      </c>
    </row>
    <row r="23060">
      <c r="A23060" s="1" t="n">
        <v>23059</v>
      </c>
      <c r="B23060">
        <f>TEXT(23059, "[$-0E0000]yyyy-mm-dd")</f>
        <v/>
      </c>
      <c r="C23060" t="inlineStr">
        <is>
          <t>1963-01-25</t>
        </is>
      </c>
    </row>
    <row r="23061">
      <c r="A23061" s="1" t="n">
        <v>23060</v>
      </c>
      <c r="B23061">
        <f>TEXT(23060, "[$-0E0000]yyyy-mm-dd")</f>
        <v/>
      </c>
      <c r="C23061" t="inlineStr">
        <is>
          <t>1963-01-26</t>
        </is>
      </c>
    </row>
    <row r="23062">
      <c r="A23062" s="1" t="n">
        <v>23061</v>
      </c>
      <c r="B23062">
        <f>TEXT(23061, "[$-0E0000]yyyy-mm-dd")</f>
        <v/>
      </c>
      <c r="C23062" t="inlineStr">
        <is>
          <t>1963-01-27</t>
        </is>
      </c>
    </row>
    <row r="23063">
      <c r="A23063" s="1" t="n">
        <v>23062</v>
      </c>
      <c r="B23063">
        <f>TEXT(23062, "[$-0E0000]yyyy-mm-dd")</f>
        <v/>
      </c>
      <c r="C23063" t="inlineStr">
        <is>
          <t>1963-01-28</t>
        </is>
      </c>
    </row>
    <row r="23064">
      <c r="A23064" s="1" t="n">
        <v>23063</v>
      </c>
      <c r="B23064">
        <f>TEXT(23063, "[$-0E0000]yyyy-mm-dd")</f>
        <v/>
      </c>
      <c r="C23064" t="inlineStr">
        <is>
          <t>1963-01-29</t>
        </is>
      </c>
    </row>
    <row r="23065">
      <c r="A23065" s="1" t="n">
        <v>23064</v>
      </c>
      <c r="B23065">
        <f>TEXT(23064, "[$-0E0000]yyyy-mm-dd")</f>
        <v/>
      </c>
      <c r="C23065" t="inlineStr">
        <is>
          <t>1963-01-30</t>
        </is>
      </c>
    </row>
    <row r="23066">
      <c r="A23066" s="1" t="n">
        <v>23065</v>
      </c>
      <c r="B23066">
        <f>TEXT(23065, "[$-0E0000]yyyy-mm-dd")</f>
        <v/>
      </c>
      <c r="C23066" t="inlineStr">
        <is>
          <t>1963-02-01</t>
        </is>
      </c>
    </row>
    <row r="23067">
      <c r="A23067" s="1" t="n">
        <v>23066</v>
      </c>
      <c r="B23067">
        <f>TEXT(23066, "[$-0E0000]yyyy-mm-dd")</f>
        <v/>
      </c>
      <c r="C23067" t="inlineStr">
        <is>
          <t>1963-02-02</t>
        </is>
      </c>
    </row>
    <row r="23068">
      <c r="A23068" s="1" t="n">
        <v>23067</v>
      </c>
      <c r="B23068">
        <f>TEXT(23067, "[$-0E0000]yyyy-mm-dd")</f>
        <v/>
      </c>
      <c r="C23068" t="inlineStr">
        <is>
          <t>1963-02-03</t>
        </is>
      </c>
    </row>
    <row r="23069">
      <c r="A23069" s="1" t="n">
        <v>23068</v>
      </c>
      <c r="B23069">
        <f>TEXT(23068, "[$-0E0000]yyyy-mm-dd")</f>
        <v/>
      </c>
      <c r="C23069" t="inlineStr">
        <is>
          <t>1963-02-04</t>
        </is>
      </c>
    </row>
    <row r="23070">
      <c r="A23070" s="1" t="n">
        <v>23069</v>
      </c>
      <c r="B23070">
        <f>TEXT(23069, "[$-0E0000]yyyy-mm-dd")</f>
        <v/>
      </c>
      <c r="C23070" t="inlineStr">
        <is>
          <t>1963-02-05</t>
        </is>
      </c>
    </row>
    <row r="23071">
      <c r="A23071" s="1" t="n">
        <v>23070</v>
      </c>
      <c r="B23071">
        <f>TEXT(23070, "[$-0E0000]yyyy-mm-dd")</f>
        <v/>
      </c>
      <c r="C23071" t="inlineStr">
        <is>
          <t>1963-02-06</t>
        </is>
      </c>
    </row>
    <row r="23072">
      <c r="A23072" s="1" t="n">
        <v>23071</v>
      </c>
      <c r="B23072">
        <f>TEXT(23071, "[$-0E0000]yyyy-mm-dd")</f>
        <v/>
      </c>
      <c r="C23072" t="inlineStr">
        <is>
          <t>1963-02-07</t>
        </is>
      </c>
    </row>
    <row r="23073">
      <c r="A23073" s="1" t="n">
        <v>23072</v>
      </c>
      <c r="B23073">
        <f>TEXT(23072, "[$-0E0000]yyyy-mm-dd")</f>
        <v/>
      </c>
      <c r="C23073" t="inlineStr">
        <is>
          <t>1963-02-08</t>
        </is>
      </c>
    </row>
    <row r="23074">
      <c r="A23074" s="1" t="n">
        <v>23073</v>
      </c>
      <c r="B23074">
        <f>TEXT(23073, "[$-0E0000]yyyy-mm-dd")</f>
        <v/>
      </c>
      <c r="C23074" t="inlineStr">
        <is>
          <t>1963-02-09</t>
        </is>
      </c>
    </row>
    <row r="23075">
      <c r="A23075" s="1" t="n">
        <v>23074</v>
      </c>
      <c r="B23075">
        <f>TEXT(23074, "[$-0E0000]yyyy-mm-dd")</f>
        <v/>
      </c>
      <c r="C23075" t="inlineStr">
        <is>
          <t>1963-02-10</t>
        </is>
      </c>
    </row>
    <row r="23076">
      <c r="A23076" s="1" t="n">
        <v>23075</v>
      </c>
      <c r="B23076">
        <f>TEXT(23075, "[$-0E0000]yyyy-mm-dd")</f>
        <v/>
      </c>
      <c r="C23076" t="inlineStr">
        <is>
          <t>1963-02-11</t>
        </is>
      </c>
    </row>
    <row r="23077">
      <c r="A23077" s="1" t="n">
        <v>23076</v>
      </c>
      <c r="B23077">
        <f>TEXT(23076, "[$-0E0000]yyyy-mm-dd")</f>
        <v/>
      </c>
      <c r="C23077" t="inlineStr">
        <is>
          <t>1963-02-12</t>
        </is>
      </c>
    </row>
    <row r="23078">
      <c r="A23078" s="1" t="n">
        <v>23077</v>
      </c>
      <c r="B23078">
        <f>TEXT(23077, "[$-0E0000]yyyy-mm-dd")</f>
        <v/>
      </c>
      <c r="C23078" t="inlineStr">
        <is>
          <t>1963-02-13</t>
        </is>
      </c>
    </row>
    <row r="23079">
      <c r="A23079" s="1" t="n">
        <v>23078</v>
      </c>
      <c r="B23079">
        <f>TEXT(23078, "[$-0E0000]yyyy-mm-dd")</f>
        <v/>
      </c>
      <c r="C23079" t="inlineStr">
        <is>
          <t>1963-02-14</t>
        </is>
      </c>
    </row>
    <row r="23080">
      <c r="A23080" s="1" t="n">
        <v>23079</v>
      </c>
      <c r="B23080">
        <f>TEXT(23079, "[$-0E0000]yyyy-mm-dd")</f>
        <v/>
      </c>
      <c r="C23080" t="inlineStr">
        <is>
          <t>1963-02-15</t>
        </is>
      </c>
    </row>
    <row r="23081">
      <c r="A23081" s="1" t="n">
        <v>23080</v>
      </c>
      <c r="B23081">
        <f>TEXT(23080, "[$-0E0000]yyyy-mm-dd")</f>
        <v/>
      </c>
      <c r="C23081" t="inlineStr">
        <is>
          <t>1963-02-16</t>
        </is>
      </c>
    </row>
    <row r="23082">
      <c r="A23082" s="1" t="n">
        <v>23081</v>
      </c>
      <c r="B23082">
        <f>TEXT(23081, "[$-0E0000]yyyy-mm-dd")</f>
        <v/>
      </c>
      <c r="C23082" t="inlineStr">
        <is>
          <t>1963-02-17</t>
        </is>
      </c>
    </row>
    <row r="23083">
      <c r="A23083" s="1" t="n">
        <v>23082</v>
      </c>
      <c r="B23083">
        <f>TEXT(23082, "[$-0E0000]yyyy-mm-dd")</f>
        <v/>
      </c>
      <c r="C23083" t="inlineStr">
        <is>
          <t>1963-02-18</t>
        </is>
      </c>
    </row>
    <row r="23084">
      <c r="A23084" s="1" t="n">
        <v>23083</v>
      </c>
      <c r="B23084">
        <f>TEXT(23083, "[$-0E0000]yyyy-mm-dd")</f>
        <v/>
      </c>
      <c r="C23084" t="inlineStr">
        <is>
          <t>1963-02-19</t>
        </is>
      </c>
    </row>
    <row r="23085">
      <c r="A23085" s="1" t="n">
        <v>23084</v>
      </c>
      <c r="B23085">
        <f>TEXT(23084, "[$-0E0000]yyyy-mm-dd")</f>
        <v/>
      </c>
      <c r="C23085" t="inlineStr">
        <is>
          <t>1963-02-20</t>
        </is>
      </c>
    </row>
    <row r="23086">
      <c r="A23086" s="1" t="n">
        <v>23085</v>
      </c>
      <c r="B23086">
        <f>TEXT(23085, "[$-0E0000]yyyy-mm-dd")</f>
        <v/>
      </c>
      <c r="C23086" t="inlineStr">
        <is>
          <t>1963-02-21</t>
        </is>
      </c>
    </row>
    <row r="23087">
      <c r="A23087" s="1" t="n">
        <v>23086</v>
      </c>
      <c r="B23087">
        <f>TEXT(23086, "[$-0E0000]yyyy-mm-dd")</f>
        <v/>
      </c>
      <c r="C23087" t="inlineStr">
        <is>
          <t>1963-02-22</t>
        </is>
      </c>
    </row>
    <row r="23088">
      <c r="A23088" s="1" t="n">
        <v>23087</v>
      </c>
      <c r="B23088">
        <f>TEXT(23087, "[$-0E0000]yyyy-mm-dd")</f>
        <v/>
      </c>
      <c r="C23088" t="inlineStr">
        <is>
          <t>1963-02-23</t>
        </is>
      </c>
    </row>
    <row r="23089">
      <c r="A23089" s="1" t="n">
        <v>23088</v>
      </c>
      <c r="B23089">
        <f>TEXT(23088, "[$-0E0000]yyyy-mm-dd")</f>
        <v/>
      </c>
      <c r="C23089" t="inlineStr">
        <is>
          <t>1963-02-24</t>
        </is>
      </c>
    </row>
    <row r="23090">
      <c r="A23090" s="1" t="n">
        <v>23089</v>
      </c>
      <c r="B23090">
        <f>TEXT(23089, "[$-0E0000]yyyy-mm-dd")</f>
        <v/>
      </c>
      <c r="C23090" t="inlineStr">
        <is>
          <t>1963-02-25</t>
        </is>
      </c>
    </row>
    <row r="23091">
      <c r="A23091" s="1" t="n">
        <v>23090</v>
      </c>
      <c r="B23091">
        <f>TEXT(23090, "[$-0E0000]yyyy-mm-dd")</f>
        <v/>
      </c>
      <c r="C23091" t="inlineStr">
        <is>
          <t>1963-02-26</t>
        </is>
      </c>
    </row>
    <row r="23092">
      <c r="A23092" s="1" t="n">
        <v>23091</v>
      </c>
      <c r="B23092">
        <f>TEXT(23091, "[$-0E0000]yyyy-mm-dd")</f>
        <v/>
      </c>
      <c r="C23092" t="inlineStr">
        <is>
          <t>1963-02-27</t>
        </is>
      </c>
    </row>
    <row r="23093">
      <c r="A23093" s="1" t="n">
        <v>23092</v>
      </c>
      <c r="B23093">
        <f>TEXT(23092, "[$-0E0000]yyyy-mm-dd")</f>
        <v/>
      </c>
      <c r="C23093" t="inlineStr">
        <is>
          <t>1963-02-28</t>
        </is>
      </c>
    </row>
    <row r="23094">
      <c r="A23094" s="1" t="n">
        <v>23093</v>
      </c>
      <c r="B23094">
        <f>TEXT(23093, "[$-0E0000]yyyy-mm-dd")</f>
        <v/>
      </c>
      <c r="C23094" t="inlineStr">
        <is>
          <t>1963-02-29</t>
        </is>
      </c>
    </row>
    <row r="23095">
      <c r="A23095" s="1" t="n">
        <v>23094</v>
      </c>
      <c r="B23095">
        <f>TEXT(23094, "[$-0E0000]yyyy-mm-dd")</f>
        <v/>
      </c>
      <c r="C23095" t="inlineStr">
        <is>
          <t>1963-03-01</t>
        </is>
      </c>
    </row>
    <row r="23096">
      <c r="A23096" s="1" t="n">
        <v>23095</v>
      </c>
      <c r="B23096">
        <f>TEXT(23095, "[$-0E0000]yyyy-mm-dd")</f>
        <v/>
      </c>
      <c r="C23096" t="inlineStr">
        <is>
          <t>1963-03-02</t>
        </is>
      </c>
    </row>
    <row r="23097">
      <c r="A23097" s="1" t="n">
        <v>23096</v>
      </c>
      <c r="B23097">
        <f>TEXT(23096, "[$-0E0000]yyyy-mm-dd")</f>
        <v/>
      </c>
      <c r="C23097" t="inlineStr">
        <is>
          <t>1963-03-03</t>
        </is>
      </c>
    </row>
    <row r="23098">
      <c r="A23098" s="1" t="n">
        <v>23097</v>
      </c>
      <c r="B23098">
        <f>TEXT(23097, "[$-0E0000]yyyy-mm-dd")</f>
        <v/>
      </c>
      <c r="C23098" t="inlineStr">
        <is>
          <t>1963-03-04</t>
        </is>
      </c>
    </row>
    <row r="23099">
      <c r="A23099" s="1" t="n">
        <v>23098</v>
      </c>
      <c r="B23099">
        <f>TEXT(23098, "[$-0E0000]yyyy-mm-dd")</f>
        <v/>
      </c>
      <c r="C23099" t="inlineStr">
        <is>
          <t>1963-03-05</t>
        </is>
      </c>
    </row>
    <row r="23100">
      <c r="A23100" s="1" t="n">
        <v>23099</v>
      </c>
      <c r="B23100">
        <f>TEXT(23099, "[$-0E0000]yyyy-mm-dd")</f>
        <v/>
      </c>
      <c r="C23100" t="inlineStr">
        <is>
          <t>1963-03-06</t>
        </is>
      </c>
    </row>
    <row r="23101">
      <c r="A23101" s="1" t="n">
        <v>23100</v>
      </c>
      <c r="B23101">
        <f>TEXT(23100, "[$-0E0000]yyyy-mm-dd")</f>
        <v/>
      </c>
      <c r="C23101" t="inlineStr">
        <is>
          <t>1963-03-07</t>
        </is>
      </c>
    </row>
    <row r="23102">
      <c r="A23102" s="1" t="n">
        <v>23101</v>
      </c>
      <c r="B23102">
        <f>TEXT(23101, "[$-0E0000]yyyy-mm-dd")</f>
        <v/>
      </c>
      <c r="C23102" t="inlineStr">
        <is>
          <t>1963-03-08</t>
        </is>
      </c>
    </row>
    <row r="23103">
      <c r="A23103" s="1" t="n">
        <v>23102</v>
      </c>
      <c r="B23103">
        <f>TEXT(23102, "[$-0E0000]yyyy-mm-dd")</f>
        <v/>
      </c>
      <c r="C23103" t="inlineStr">
        <is>
          <t>1963-03-09</t>
        </is>
      </c>
    </row>
    <row r="23104">
      <c r="A23104" s="1" t="n">
        <v>23103</v>
      </c>
      <c r="B23104">
        <f>TEXT(23103, "[$-0E0000]yyyy-mm-dd")</f>
        <v/>
      </c>
      <c r="C23104" t="inlineStr">
        <is>
          <t>1963-03-10</t>
        </is>
      </c>
    </row>
    <row r="23105">
      <c r="A23105" s="1" t="n">
        <v>23104</v>
      </c>
      <c r="B23105">
        <f>TEXT(23104, "[$-0E0000]yyyy-mm-dd")</f>
        <v/>
      </c>
      <c r="C23105" t="inlineStr">
        <is>
          <t>1963-03-11</t>
        </is>
      </c>
    </row>
    <row r="23106">
      <c r="A23106" s="1" t="n">
        <v>23105</v>
      </c>
      <c r="B23106">
        <f>TEXT(23105, "[$-0E0000]yyyy-mm-dd")</f>
        <v/>
      </c>
      <c r="C23106" t="inlineStr">
        <is>
          <t>1963-03-12</t>
        </is>
      </c>
    </row>
    <row r="23107">
      <c r="A23107" s="1" t="n">
        <v>23106</v>
      </c>
      <c r="B23107">
        <f>TEXT(23106, "[$-0E0000]yyyy-mm-dd")</f>
        <v/>
      </c>
      <c r="C23107" t="inlineStr">
        <is>
          <t>1963-03-13</t>
        </is>
      </c>
    </row>
    <row r="23108">
      <c r="A23108" s="1" t="n">
        <v>23107</v>
      </c>
      <c r="B23108">
        <f>TEXT(23107, "[$-0E0000]yyyy-mm-dd")</f>
        <v/>
      </c>
      <c r="C23108" t="inlineStr">
        <is>
          <t>1963-03-14</t>
        </is>
      </c>
    </row>
    <row r="23109">
      <c r="A23109" s="1" t="n">
        <v>23108</v>
      </c>
      <c r="B23109">
        <f>TEXT(23108, "[$-0E0000]yyyy-mm-dd")</f>
        <v/>
      </c>
      <c r="C23109" t="inlineStr">
        <is>
          <t>1963-03-15</t>
        </is>
      </c>
    </row>
    <row r="23110">
      <c r="A23110" s="1" t="n">
        <v>23109</v>
      </c>
      <c r="B23110">
        <f>TEXT(23109, "[$-0E0000]yyyy-mm-dd")</f>
        <v/>
      </c>
      <c r="C23110" t="inlineStr">
        <is>
          <t>1963-03-16</t>
        </is>
      </c>
    </row>
    <row r="23111">
      <c r="A23111" s="1" t="n">
        <v>23110</v>
      </c>
      <c r="B23111">
        <f>TEXT(23110, "[$-0E0000]yyyy-mm-dd")</f>
        <v/>
      </c>
      <c r="C23111" t="inlineStr">
        <is>
          <t>1963-03-17</t>
        </is>
      </c>
    </row>
    <row r="23112">
      <c r="A23112" s="1" t="n">
        <v>23111</v>
      </c>
      <c r="B23112">
        <f>TEXT(23111, "[$-0E0000]yyyy-mm-dd")</f>
        <v/>
      </c>
      <c r="C23112" t="inlineStr">
        <is>
          <t>1963-03-18</t>
        </is>
      </c>
    </row>
    <row r="23113">
      <c r="A23113" s="1" t="n">
        <v>23112</v>
      </c>
      <c r="B23113">
        <f>TEXT(23112, "[$-0E0000]yyyy-mm-dd")</f>
        <v/>
      </c>
      <c r="C23113" t="inlineStr">
        <is>
          <t>1963-03-19</t>
        </is>
      </c>
    </row>
    <row r="23114">
      <c r="A23114" s="1" t="n">
        <v>23113</v>
      </c>
      <c r="B23114">
        <f>TEXT(23113, "[$-0E0000]yyyy-mm-dd")</f>
        <v/>
      </c>
      <c r="C23114" t="inlineStr">
        <is>
          <t>1963-03-20</t>
        </is>
      </c>
    </row>
    <row r="23115">
      <c r="A23115" s="1" t="n">
        <v>23114</v>
      </c>
      <c r="B23115">
        <f>TEXT(23114, "[$-0E0000]yyyy-mm-dd")</f>
        <v/>
      </c>
      <c r="C23115" t="inlineStr">
        <is>
          <t>1963-03-21</t>
        </is>
      </c>
    </row>
    <row r="23116">
      <c r="A23116" s="1" t="n">
        <v>23115</v>
      </c>
      <c r="B23116">
        <f>TEXT(23115, "[$-0E0000]yyyy-mm-dd")</f>
        <v/>
      </c>
      <c r="C23116" t="inlineStr">
        <is>
          <t>1963-03-22</t>
        </is>
      </c>
    </row>
    <row r="23117">
      <c r="A23117" s="1" t="n">
        <v>23116</v>
      </c>
      <c r="B23117">
        <f>TEXT(23116, "[$-0E0000]yyyy-mm-dd")</f>
        <v/>
      </c>
      <c r="C23117" t="inlineStr">
        <is>
          <t>1963-03-23</t>
        </is>
      </c>
    </row>
    <row r="23118">
      <c r="A23118" s="1" t="n">
        <v>23117</v>
      </c>
      <c r="B23118">
        <f>TEXT(23117, "[$-0E0000]yyyy-mm-dd")</f>
        <v/>
      </c>
      <c r="C23118" t="inlineStr">
        <is>
          <t>1963-03-24</t>
        </is>
      </c>
    </row>
    <row r="23119">
      <c r="A23119" s="1" t="n">
        <v>23118</v>
      </c>
      <c r="B23119">
        <f>TEXT(23118, "[$-0E0000]yyyy-mm-dd")</f>
        <v/>
      </c>
      <c r="C23119" t="inlineStr">
        <is>
          <t>1963-03-25</t>
        </is>
      </c>
    </row>
    <row r="23120">
      <c r="A23120" s="1" t="n">
        <v>23119</v>
      </c>
      <c r="B23120">
        <f>TEXT(23119, "[$-0E0000]yyyy-mm-dd")</f>
        <v/>
      </c>
      <c r="C23120" t="inlineStr">
        <is>
          <t>1963-03-26</t>
        </is>
      </c>
    </row>
    <row r="23121">
      <c r="A23121" s="1" t="n">
        <v>23120</v>
      </c>
      <c r="B23121">
        <f>TEXT(23120, "[$-0E0000]yyyy-mm-dd")</f>
        <v/>
      </c>
      <c r="C23121" t="inlineStr">
        <is>
          <t>1963-03-27</t>
        </is>
      </c>
    </row>
    <row r="23122">
      <c r="A23122" s="1" t="n">
        <v>23121</v>
      </c>
      <c r="B23122">
        <f>TEXT(23121, "[$-0E0000]yyyy-mm-dd")</f>
        <v/>
      </c>
      <c r="C23122" t="inlineStr">
        <is>
          <t>1963-03-28</t>
        </is>
      </c>
    </row>
    <row r="23123">
      <c r="A23123" s="1" t="n">
        <v>23122</v>
      </c>
      <c r="B23123">
        <f>TEXT(23122, "[$-0E0000]yyyy-mm-dd")</f>
        <v/>
      </c>
      <c r="C23123" t="inlineStr">
        <is>
          <t>1963-03-29</t>
        </is>
      </c>
    </row>
    <row r="23124">
      <c r="A23124" s="1" t="n">
        <v>23123</v>
      </c>
      <c r="B23124">
        <f>TEXT(23123, "[$-0E0000]yyyy-mm-dd")</f>
        <v/>
      </c>
      <c r="C23124" t="inlineStr">
        <is>
          <t>1963-03-30</t>
        </is>
      </c>
    </row>
    <row r="23125">
      <c r="A23125" s="1" t="n">
        <v>23124</v>
      </c>
      <c r="B23125">
        <f>TEXT(23124, "[$-0E0000]yyyy-mm-dd")</f>
        <v/>
      </c>
      <c r="C23125" t="inlineStr">
        <is>
          <t>1963-04-01</t>
        </is>
      </c>
    </row>
    <row r="23126">
      <c r="A23126" s="1" t="n">
        <v>23125</v>
      </c>
      <c r="B23126">
        <f>TEXT(23125, "[$-0E0000]yyyy-mm-dd")</f>
        <v/>
      </c>
      <c r="C23126" t="inlineStr">
        <is>
          <t>1963-04-02</t>
        </is>
      </c>
    </row>
    <row r="23127">
      <c r="A23127" s="1" t="n">
        <v>23126</v>
      </c>
      <c r="B23127">
        <f>TEXT(23126, "[$-0E0000]yyyy-mm-dd")</f>
        <v/>
      </c>
      <c r="C23127" t="inlineStr">
        <is>
          <t>1963-04-03</t>
        </is>
      </c>
    </row>
    <row r="23128">
      <c r="A23128" s="1" t="n">
        <v>23127</v>
      </c>
      <c r="B23128">
        <f>TEXT(23127, "[$-0E0000]yyyy-mm-dd")</f>
        <v/>
      </c>
      <c r="C23128" t="inlineStr">
        <is>
          <t>1963-04-04</t>
        </is>
      </c>
    </row>
    <row r="23129">
      <c r="A23129" s="1" t="n">
        <v>23128</v>
      </c>
      <c r="B23129">
        <f>TEXT(23128, "[$-0E0000]yyyy-mm-dd")</f>
        <v/>
      </c>
      <c r="C23129" t="inlineStr">
        <is>
          <t>1963-04-05</t>
        </is>
      </c>
    </row>
    <row r="23130">
      <c r="A23130" s="1" t="n">
        <v>23129</v>
      </c>
      <c r="B23130">
        <f>TEXT(23129, "[$-0E0000]yyyy-mm-dd")</f>
        <v/>
      </c>
      <c r="C23130" t="inlineStr">
        <is>
          <t>1963-04-06</t>
        </is>
      </c>
    </row>
    <row r="23131">
      <c r="A23131" s="1" t="n">
        <v>23130</v>
      </c>
      <c r="B23131">
        <f>TEXT(23130, "[$-0E0000]yyyy-mm-dd")</f>
        <v/>
      </c>
      <c r="C23131" t="inlineStr">
        <is>
          <t>1963-04-07</t>
        </is>
      </c>
    </row>
    <row r="23132">
      <c r="A23132" s="1" t="n">
        <v>23131</v>
      </c>
      <c r="B23132">
        <f>TEXT(23131, "[$-0E0000]yyyy-mm-dd")</f>
        <v/>
      </c>
      <c r="C23132" t="inlineStr">
        <is>
          <t>1963-04-08</t>
        </is>
      </c>
    </row>
    <row r="23133">
      <c r="A23133" s="1" t="n">
        <v>23132</v>
      </c>
      <c r="B23133">
        <f>TEXT(23132, "[$-0E0000]yyyy-mm-dd")</f>
        <v/>
      </c>
      <c r="C23133" t="inlineStr">
        <is>
          <t>1963-04-09</t>
        </is>
      </c>
    </row>
    <row r="23134">
      <c r="A23134" s="1" t="n">
        <v>23133</v>
      </c>
      <c r="B23134">
        <f>TEXT(23133, "[$-0E0000]yyyy-mm-dd")</f>
        <v/>
      </c>
      <c r="C23134" t="inlineStr">
        <is>
          <t>1963-04-10</t>
        </is>
      </c>
    </row>
    <row r="23135">
      <c r="A23135" s="1" t="n">
        <v>23134</v>
      </c>
      <c r="B23135">
        <f>TEXT(23134, "[$-0E0000]yyyy-mm-dd")</f>
        <v/>
      </c>
      <c r="C23135" t="inlineStr">
        <is>
          <t>1963-04-11</t>
        </is>
      </c>
    </row>
    <row r="23136">
      <c r="A23136" s="1" t="n">
        <v>23135</v>
      </c>
      <c r="B23136">
        <f>TEXT(23135, "[$-0E0000]yyyy-mm-dd")</f>
        <v/>
      </c>
      <c r="C23136" t="inlineStr">
        <is>
          <t>1963-04-12</t>
        </is>
      </c>
    </row>
    <row r="23137">
      <c r="A23137" s="1" t="n">
        <v>23136</v>
      </c>
      <c r="B23137">
        <f>TEXT(23136, "[$-0E0000]yyyy-mm-dd")</f>
        <v/>
      </c>
      <c r="C23137" t="inlineStr">
        <is>
          <t>1963-04-13</t>
        </is>
      </c>
    </row>
    <row r="23138">
      <c r="A23138" s="1" t="n">
        <v>23137</v>
      </c>
      <c r="B23138">
        <f>TEXT(23137, "[$-0E0000]yyyy-mm-dd")</f>
        <v/>
      </c>
      <c r="C23138" t="inlineStr">
        <is>
          <t>1963-04-14</t>
        </is>
      </c>
    </row>
    <row r="23139">
      <c r="A23139" s="1" t="n">
        <v>23138</v>
      </c>
      <c r="B23139">
        <f>TEXT(23138, "[$-0E0000]yyyy-mm-dd")</f>
        <v/>
      </c>
      <c r="C23139" t="inlineStr">
        <is>
          <t>1963-04-15</t>
        </is>
      </c>
    </row>
    <row r="23140">
      <c r="A23140" s="1" t="n">
        <v>23139</v>
      </c>
      <c r="B23140">
        <f>TEXT(23139, "[$-0E0000]yyyy-mm-dd")</f>
        <v/>
      </c>
      <c r="C23140" t="inlineStr">
        <is>
          <t>1963-04-16</t>
        </is>
      </c>
    </row>
    <row r="23141">
      <c r="A23141" s="1" t="n">
        <v>23140</v>
      </c>
      <c r="B23141">
        <f>TEXT(23140, "[$-0E0000]yyyy-mm-dd")</f>
        <v/>
      </c>
      <c r="C23141" t="inlineStr">
        <is>
          <t>1963-04-17</t>
        </is>
      </c>
    </row>
    <row r="23142">
      <c r="A23142" s="1" t="n">
        <v>23141</v>
      </c>
      <c r="B23142">
        <f>TEXT(23141, "[$-0E0000]yyyy-mm-dd")</f>
        <v/>
      </c>
      <c r="C23142" t="inlineStr">
        <is>
          <t>1963-04-18</t>
        </is>
      </c>
    </row>
    <row r="23143">
      <c r="A23143" s="1" t="n">
        <v>23142</v>
      </c>
      <c r="B23143">
        <f>TEXT(23142, "[$-0E0000]yyyy-mm-dd")</f>
        <v/>
      </c>
      <c r="C23143" t="inlineStr">
        <is>
          <t>1963-04-19</t>
        </is>
      </c>
    </row>
    <row r="23144">
      <c r="A23144" s="1" t="n">
        <v>23143</v>
      </c>
      <c r="B23144">
        <f>TEXT(23143, "[$-0E0000]yyyy-mm-dd")</f>
        <v/>
      </c>
      <c r="C23144" t="inlineStr">
        <is>
          <t>1963-04-20</t>
        </is>
      </c>
    </row>
    <row r="23145">
      <c r="A23145" s="1" t="n">
        <v>23144</v>
      </c>
      <c r="B23145">
        <f>TEXT(23144, "[$-0E0000]yyyy-mm-dd")</f>
        <v/>
      </c>
      <c r="C23145" t="inlineStr">
        <is>
          <t>1963-04-21</t>
        </is>
      </c>
    </row>
    <row r="23146">
      <c r="A23146" s="1" t="n">
        <v>23145</v>
      </c>
      <c r="B23146">
        <f>TEXT(23145, "[$-0E0000]yyyy-mm-dd")</f>
        <v/>
      </c>
      <c r="C23146" t="inlineStr">
        <is>
          <t>1963-04-22</t>
        </is>
      </c>
    </row>
    <row r="23147">
      <c r="A23147" s="1" t="n">
        <v>23146</v>
      </c>
      <c r="B23147">
        <f>TEXT(23146, "[$-0E0000]yyyy-mm-dd")</f>
        <v/>
      </c>
      <c r="C23147" t="inlineStr">
        <is>
          <t>1963-04-23</t>
        </is>
      </c>
    </row>
    <row r="23148">
      <c r="A23148" s="1" t="n">
        <v>23147</v>
      </c>
      <c r="B23148">
        <f>TEXT(23147, "[$-0E0000]yyyy-mm-dd")</f>
        <v/>
      </c>
      <c r="C23148" t="inlineStr">
        <is>
          <t>1963-04-24</t>
        </is>
      </c>
    </row>
    <row r="23149">
      <c r="A23149" s="1" t="n">
        <v>23148</v>
      </c>
      <c r="B23149">
        <f>TEXT(23148, "[$-0E0000]yyyy-mm-dd")</f>
        <v/>
      </c>
      <c r="C23149" t="inlineStr">
        <is>
          <t>1963-04-25</t>
        </is>
      </c>
    </row>
    <row r="23150">
      <c r="A23150" s="1" t="n">
        <v>23149</v>
      </c>
      <c r="B23150">
        <f>TEXT(23149, "[$-0E0000]yyyy-mm-dd")</f>
        <v/>
      </c>
      <c r="C23150" t="inlineStr">
        <is>
          <t>1963-04-26</t>
        </is>
      </c>
    </row>
    <row r="23151">
      <c r="A23151" s="1" t="n">
        <v>23150</v>
      </c>
      <c r="B23151">
        <f>TEXT(23150, "[$-0E0000]yyyy-mm-dd")</f>
        <v/>
      </c>
      <c r="C23151" t="inlineStr">
        <is>
          <t>1963-04-27</t>
        </is>
      </c>
    </row>
    <row r="23152">
      <c r="A23152" s="1" t="n">
        <v>23151</v>
      </c>
      <c r="B23152">
        <f>TEXT(23151, "[$-0E0000]yyyy-mm-dd")</f>
        <v/>
      </c>
      <c r="C23152" t="inlineStr">
        <is>
          <t>1963-04-28</t>
        </is>
      </c>
    </row>
    <row r="23153">
      <c r="A23153" s="1" t="n">
        <v>23152</v>
      </c>
      <c r="B23153">
        <f>TEXT(23152, "[$-0E0000]yyyy-mm-dd")</f>
        <v/>
      </c>
      <c r="C23153" t="inlineStr">
        <is>
          <t>1963-04-29</t>
        </is>
      </c>
    </row>
    <row r="23154">
      <c r="A23154" s="1" t="n">
        <v>23153</v>
      </c>
      <c r="B23154">
        <f>TEXT(23153, "[$-0E0000]yyyy-mm-dd")</f>
        <v/>
      </c>
      <c r="C23154" t="inlineStr">
        <is>
          <t>1963-04-01</t>
        </is>
      </c>
    </row>
    <row r="23155">
      <c r="A23155" s="1" t="n">
        <v>23154</v>
      </c>
      <c r="B23155">
        <f>TEXT(23154, "[$-0E0000]yyyy-mm-dd")</f>
        <v/>
      </c>
      <c r="C23155" t="inlineStr">
        <is>
          <t>1963-04-02</t>
        </is>
      </c>
    </row>
    <row r="23156">
      <c r="A23156" s="1" t="n">
        <v>23155</v>
      </c>
      <c r="B23156">
        <f>TEXT(23155, "[$-0E0000]yyyy-mm-dd")</f>
        <v/>
      </c>
      <c r="C23156" t="inlineStr">
        <is>
          <t>1963-04-03</t>
        </is>
      </c>
    </row>
    <row r="23157">
      <c r="A23157" s="1" t="n">
        <v>23156</v>
      </c>
      <c r="B23157">
        <f>TEXT(23156, "[$-0E0000]yyyy-mm-dd")</f>
        <v/>
      </c>
      <c r="C23157" t="inlineStr">
        <is>
          <t>1963-04-04</t>
        </is>
      </c>
    </row>
    <row r="23158">
      <c r="A23158" s="1" t="n">
        <v>23157</v>
      </c>
      <c r="B23158">
        <f>TEXT(23157, "[$-0E0000]yyyy-mm-dd")</f>
        <v/>
      </c>
      <c r="C23158" t="inlineStr">
        <is>
          <t>1963-04-05</t>
        </is>
      </c>
    </row>
    <row r="23159">
      <c r="A23159" s="1" t="n">
        <v>23158</v>
      </c>
      <c r="B23159">
        <f>TEXT(23158, "[$-0E0000]yyyy-mm-dd")</f>
        <v/>
      </c>
      <c r="C23159" t="inlineStr">
        <is>
          <t>1963-04-06</t>
        </is>
      </c>
    </row>
    <row r="23160">
      <c r="A23160" s="1" t="n">
        <v>23159</v>
      </c>
      <c r="B23160">
        <f>TEXT(23159, "[$-0E0000]yyyy-mm-dd")</f>
        <v/>
      </c>
      <c r="C23160" t="inlineStr">
        <is>
          <t>1963-04-07</t>
        </is>
      </c>
    </row>
    <row r="23161">
      <c r="A23161" s="1" t="n">
        <v>23160</v>
      </c>
      <c r="B23161">
        <f>TEXT(23160, "[$-0E0000]yyyy-mm-dd")</f>
        <v/>
      </c>
      <c r="C23161" t="inlineStr">
        <is>
          <t>1963-04-08</t>
        </is>
      </c>
    </row>
    <row r="23162">
      <c r="A23162" s="1" t="n">
        <v>23161</v>
      </c>
      <c r="B23162">
        <f>TEXT(23161, "[$-0E0000]yyyy-mm-dd")</f>
        <v/>
      </c>
      <c r="C23162" t="inlineStr">
        <is>
          <t>1963-04-09</t>
        </is>
      </c>
    </row>
    <row r="23163">
      <c r="A23163" s="1" t="n">
        <v>23162</v>
      </c>
      <c r="B23163">
        <f>TEXT(23162, "[$-0E0000]yyyy-mm-dd")</f>
        <v/>
      </c>
      <c r="C23163" t="inlineStr">
        <is>
          <t>1963-04-10</t>
        </is>
      </c>
    </row>
    <row r="23164">
      <c r="A23164" s="1" t="n">
        <v>23163</v>
      </c>
      <c r="B23164">
        <f>TEXT(23163, "[$-0E0000]yyyy-mm-dd")</f>
        <v/>
      </c>
      <c r="C23164" t="inlineStr">
        <is>
          <t>1963-04-11</t>
        </is>
      </c>
    </row>
    <row r="23165">
      <c r="A23165" s="1" t="n">
        <v>23164</v>
      </c>
      <c r="B23165">
        <f>TEXT(23164, "[$-0E0000]yyyy-mm-dd")</f>
        <v/>
      </c>
      <c r="C23165" t="inlineStr">
        <is>
          <t>1963-04-12</t>
        </is>
      </c>
    </row>
    <row r="23166">
      <c r="A23166" s="1" t="n">
        <v>23165</v>
      </c>
      <c r="B23166">
        <f>TEXT(23165, "[$-0E0000]yyyy-mm-dd")</f>
        <v/>
      </c>
      <c r="C23166" t="inlineStr">
        <is>
          <t>1963-04-13</t>
        </is>
      </c>
    </row>
    <row r="23167">
      <c r="A23167" s="1" t="n">
        <v>23166</v>
      </c>
      <c r="B23167">
        <f>TEXT(23166, "[$-0E0000]yyyy-mm-dd")</f>
        <v/>
      </c>
      <c r="C23167" t="inlineStr">
        <is>
          <t>1963-04-14</t>
        </is>
      </c>
    </row>
    <row r="23168">
      <c r="A23168" s="1" t="n">
        <v>23167</v>
      </c>
      <c r="B23168">
        <f>TEXT(23167, "[$-0E0000]yyyy-mm-dd")</f>
        <v/>
      </c>
      <c r="C23168" t="inlineStr">
        <is>
          <t>1963-04-15</t>
        </is>
      </c>
    </row>
    <row r="23169">
      <c r="A23169" s="1" t="n">
        <v>23168</v>
      </c>
      <c r="B23169">
        <f>TEXT(23168, "[$-0E0000]yyyy-mm-dd")</f>
        <v/>
      </c>
      <c r="C23169" t="inlineStr">
        <is>
          <t>1963-04-16</t>
        </is>
      </c>
    </row>
    <row r="23170">
      <c r="A23170" s="1" t="n">
        <v>23169</v>
      </c>
      <c r="B23170">
        <f>TEXT(23169, "[$-0E0000]yyyy-mm-dd")</f>
        <v/>
      </c>
      <c r="C23170" t="inlineStr">
        <is>
          <t>1963-04-17</t>
        </is>
      </c>
    </row>
    <row r="23171">
      <c r="A23171" s="1" t="n">
        <v>23170</v>
      </c>
      <c r="B23171">
        <f>TEXT(23170, "[$-0E0000]yyyy-mm-dd")</f>
        <v/>
      </c>
      <c r="C23171" t="inlineStr">
        <is>
          <t>1963-04-18</t>
        </is>
      </c>
    </row>
    <row r="23172">
      <c r="A23172" s="1" t="n">
        <v>23171</v>
      </c>
      <c r="B23172">
        <f>TEXT(23171, "[$-0E0000]yyyy-mm-dd")</f>
        <v/>
      </c>
      <c r="C23172" t="inlineStr">
        <is>
          <t>1963-04-19</t>
        </is>
      </c>
    </row>
    <row r="23173">
      <c r="A23173" s="1" t="n">
        <v>23172</v>
      </c>
      <c r="B23173">
        <f>TEXT(23172, "[$-0E0000]yyyy-mm-dd")</f>
        <v/>
      </c>
      <c r="C23173" t="inlineStr">
        <is>
          <t>1963-04-20</t>
        </is>
      </c>
    </row>
    <row r="23174">
      <c r="A23174" s="1" t="n">
        <v>23173</v>
      </c>
      <c r="B23174">
        <f>TEXT(23173, "[$-0E0000]yyyy-mm-dd")</f>
        <v/>
      </c>
      <c r="C23174" t="inlineStr">
        <is>
          <t>1963-04-21</t>
        </is>
      </c>
    </row>
    <row r="23175">
      <c r="A23175" s="1" t="n">
        <v>23174</v>
      </c>
      <c r="B23175">
        <f>TEXT(23174, "[$-0E0000]yyyy-mm-dd")</f>
        <v/>
      </c>
      <c r="C23175" t="inlineStr">
        <is>
          <t>1963-04-22</t>
        </is>
      </c>
    </row>
    <row r="23176">
      <c r="A23176" s="1" t="n">
        <v>23175</v>
      </c>
      <c r="B23176">
        <f>TEXT(23175, "[$-0E0000]yyyy-mm-dd")</f>
        <v/>
      </c>
      <c r="C23176" t="inlineStr">
        <is>
          <t>1963-04-23</t>
        </is>
      </c>
    </row>
    <row r="23177">
      <c r="A23177" s="1" t="n">
        <v>23176</v>
      </c>
      <c r="B23177">
        <f>TEXT(23176, "[$-0E0000]yyyy-mm-dd")</f>
        <v/>
      </c>
      <c r="C23177" t="inlineStr">
        <is>
          <t>1963-04-24</t>
        </is>
      </c>
    </row>
    <row r="23178">
      <c r="A23178" s="1" t="n">
        <v>23177</v>
      </c>
      <c r="B23178">
        <f>TEXT(23177, "[$-0E0000]yyyy-mm-dd")</f>
        <v/>
      </c>
      <c r="C23178" t="inlineStr">
        <is>
          <t>1963-04-25</t>
        </is>
      </c>
    </row>
    <row r="23179">
      <c r="A23179" s="1" t="n">
        <v>23178</v>
      </c>
      <c r="B23179">
        <f>TEXT(23178, "[$-0E0000]yyyy-mm-dd")</f>
        <v/>
      </c>
      <c r="C23179" t="inlineStr">
        <is>
          <t>1963-04-26</t>
        </is>
      </c>
    </row>
    <row r="23180">
      <c r="A23180" s="1" t="n">
        <v>23179</v>
      </c>
      <c r="B23180">
        <f>TEXT(23179, "[$-0E0000]yyyy-mm-dd")</f>
        <v/>
      </c>
      <c r="C23180" t="inlineStr">
        <is>
          <t>1963-04-27</t>
        </is>
      </c>
    </row>
    <row r="23181">
      <c r="A23181" s="1" t="n">
        <v>23180</v>
      </c>
      <c r="B23181">
        <f>TEXT(23180, "[$-0E0000]yyyy-mm-dd")</f>
        <v/>
      </c>
      <c r="C23181" t="inlineStr">
        <is>
          <t>1963-04-28</t>
        </is>
      </c>
    </row>
    <row r="23182">
      <c r="A23182" s="1" t="n">
        <v>23181</v>
      </c>
      <c r="B23182">
        <f>TEXT(23181, "[$-0E0000]yyyy-mm-dd")</f>
        <v/>
      </c>
      <c r="C23182" t="inlineStr">
        <is>
          <t>1963-04-29</t>
        </is>
      </c>
    </row>
    <row r="23183">
      <c r="A23183" s="1" t="n">
        <v>23182</v>
      </c>
      <c r="B23183">
        <f>TEXT(23182, "[$-0E0000]yyyy-mm-dd")</f>
        <v/>
      </c>
      <c r="C23183" t="inlineStr">
        <is>
          <t>1963-05-01</t>
        </is>
      </c>
    </row>
    <row r="23184">
      <c r="A23184" s="1" t="n">
        <v>23183</v>
      </c>
      <c r="B23184">
        <f>TEXT(23183, "[$-0E0000]yyyy-mm-dd")</f>
        <v/>
      </c>
      <c r="C23184" t="inlineStr">
        <is>
          <t>1963-05-02</t>
        </is>
      </c>
    </row>
    <row r="23185">
      <c r="A23185" s="1" t="n">
        <v>23184</v>
      </c>
      <c r="B23185">
        <f>TEXT(23184, "[$-0E0000]yyyy-mm-dd")</f>
        <v/>
      </c>
      <c r="C23185" t="inlineStr">
        <is>
          <t>1963-05-03</t>
        </is>
      </c>
    </row>
    <row r="23186">
      <c r="A23186" s="1" t="n">
        <v>23185</v>
      </c>
      <c r="B23186">
        <f>TEXT(23185, "[$-0E0000]yyyy-mm-dd")</f>
        <v/>
      </c>
      <c r="C23186" t="inlineStr">
        <is>
          <t>1963-05-04</t>
        </is>
      </c>
    </row>
    <row r="23187">
      <c r="A23187" s="1" t="n">
        <v>23186</v>
      </c>
      <c r="B23187">
        <f>TEXT(23186, "[$-0E0000]yyyy-mm-dd")</f>
        <v/>
      </c>
      <c r="C23187" t="inlineStr">
        <is>
          <t>1963-05-05</t>
        </is>
      </c>
    </row>
    <row r="23188">
      <c r="A23188" s="1" t="n">
        <v>23187</v>
      </c>
      <c r="B23188">
        <f>TEXT(23187, "[$-0E0000]yyyy-mm-dd")</f>
        <v/>
      </c>
      <c r="C23188" t="inlineStr">
        <is>
          <t>1963-05-06</t>
        </is>
      </c>
    </row>
    <row r="23189">
      <c r="A23189" s="1" t="n">
        <v>23188</v>
      </c>
      <c r="B23189">
        <f>TEXT(23188, "[$-0E0000]yyyy-mm-dd")</f>
        <v/>
      </c>
      <c r="C23189" t="inlineStr">
        <is>
          <t>1963-05-07</t>
        </is>
      </c>
    </row>
    <row r="23190">
      <c r="A23190" s="1" t="n">
        <v>23189</v>
      </c>
      <c r="B23190">
        <f>TEXT(23189, "[$-0E0000]yyyy-mm-dd")</f>
        <v/>
      </c>
      <c r="C23190" t="inlineStr">
        <is>
          <t>1963-05-08</t>
        </is>
      </c>
    </row>
    <row r="23191">
      <c r="A23191" s="1" t="n">
        <v>23190</v>
      </c>
      <c r="B23191">
        <f>TEXT(23190, "[$-0E0000]yyyy-mm-dd")</f>
        <v/>
      </c>
      <c r="C23191" t="inlineStr">
        <is>
          <t>1963-05-09</t>
        </is>
      </c>
    </row>
    <row r="23192">
      <c r="A23192" s="1" t="n">
        <v>23191</v>
      </c>
      <c r="B23192">
        <f>TEXT(23191, "[$-0E0000]yyyy-mm-dd")</f>
        <v/>
      </c>
      <c r="C23192" t="inlineStr">
        <is>
          <t>1963-05-10</t>
        </is>
      </c>
    </row>
    <row r="23193">
      <c r="A23193" s="1" t="n">
        <v>23192</v>
      </c>
      <c r="B23193">
        <f>TEXT(23192, "[$-0E0000]yyyy-mm-dd")</f>
        <v/>
      </c>
      <c r="C23193" t="inlineStr">
        <is>
          <t>1963-05-11</t>
        </is>
      </c>
    </row>
    <row r="23194">
      <c r="A23194" s="1" t="n">
        <v>23193</v>
      </c>
      <c r="B23194">
        <f>TEXT(23193, "[$-0E0000]yyyy-mm-dd")</f>
        <v/>
      </c>
      <c r="C23194" t="inlineStr">
        <is>
          <t>1963-05-12</t>
        </is>
      </c>
    </row>
    <row r="23195">
      <c r="A23195" s="1" t="n">
        <v>23194</v>
      </c>
      <c r="B23195">
        <f>TEXT(23194, "[$-0E0000]yyyy-mm-dd")</f>
        <v/>
      </c>
      <c r="C23195" t="inlineStr">
        <is>
          <t>1963-05-13</t>
        </is>
      </c>
    </row>
    <row r="23196">
      <c r="A23196" s="1" t="n">
        <v>23195</v>
      </c>
      <c r="B23196">
        <f>TEXT(23195, "[$-0E0000]yyyy-mm-dd")</f>
        <v/>
      </c>
      <c r="C23196" t="inlineStr">
        <is>
          <t>1963-05-14</t>
        </is>
      </c>
    </row>
    <row r="23197">
      <c r="A23197" s="1" t="n">
        <v>23196</v>
      </c>
      <c r="B23197">
        <f>TEXT(23196, "[$-0E0000]yyyy-mm-dd")</f>
        <v/>
      </c>
      <c r="C23197" t="inlineStr">
        <is>
          <t>1963-05-15</t>
        </is>
      </c>
    </row>
    <row r="23198">
      <c r="A23198" s="1" t="n">
        <v>23197</v>
      </c>
      <c r="B23198">
        <f>TEXT(23197, "[$-0E0000]yyyy-mm-dd")</f>
        <v/>
      </c>
      <c r="C23198" t="inlineStr">
        <is>
          <t>1963-05-16</t>
        </is>
      </c>
    </row>
    <row r="23199">
      <c r="A23199" s="1" t="n">
        <v>23198</v>
      </c>
      <c r="B23199">
        <f>TEXT(23198, "[$-0E0000]yyyy-mm-dd")</f>
        <v/>
      </c>
      <c r="C23199" t="inlineStr">
        <is>
          <t>1963-05-17</t>
        </is>
      </c>
    </row>
    <row r="23200">
      <c r="A23200" s="1" t="n">
        <v>23199</v>
      </c>
      <c r="B23200">
        <f>TEXT(23199, "[$-0E0000]yyyy-mm-dd")</f>
        <v/>
      </c>
      <c r="C23200" t="inlineStr">
        <is>
          <t>1963-05-18</t>
        </is>
      </c>
    </row>
    <row r="23201">
      <c r="A23201" s="1" t="n">
        <v>23200</v>
      </c>
      <c r="B23201">
        <f>TEXT(23200, "[$-0E0000]yyyy-mm-dd")</f>
        <v/>
      </c>
      <c r="C23201" t="inlineStr">
        <is>
          <t>1963-05-19</t>
        </is>
      </c>
    </row>
    <row r="23202">
      <c r="A23202" s="1" t="n">
        <v>23201</v>
      </c>
      <c r="B23202">
        <f>TEXT(23201, "[$-0E0000]yyyy-mm-dd")</f>
        <v/>
      </c>
      <c r="C23202" t="inlineStr">
        <is>
          <t>1963-05-20</t>
        </is>
      </c>
    </row>
    <row r="23203">
      <c r="A23203" s="1" t="n">
        <v>23202</v>
      </c>
      <c r="B23203">
        <f>TEXT(23202, "[$-0E0000]yyyy-mm-dd")</f>
        <v/>
      </c>
      <c r="C23203" t="inlineStr">
        <is>
          <t>1963-05-21</t>
        </is>
      </c>
    </row>
    <row r="23204">
      <c r="A23204" s="1" t="n">
        <v>23203</v>
      </c>
      <c r="B23204">
        <f>TEXT(23203, "[$-0E0000]yyyy-mm-dd")</f>
        <v/>
      </c>
      <c r="C23204" t="inlineStr">
        <is>
          <t>1963-05-22</t>
        </is>
      </c>
    </row>
    <row r="23205">
      <c r="A23205" s="1" t="n">
        <v>23204</v>
      </c>
      <c r="B23205">
        <f>TEXT(23204, "[$-0E0000]yyyy-mm-dd")</f>
        <v/>
      </c>
      <c r="C23205" t="inlineStr">
        <is>
          <t>1963-05-23</t>
        </is>
      </c>
    </row>
    <row r="23206">
      <c r="A23206" s="1" t="n">
        <v>23205</v>
      </c>
      <c r="B23206">
        <f>TEXT(23205, "[$-0E0000]yyyy-mm-dd")</f>
        <v/>
      </c>
      <c r="C23206" t="inlineStr">
        <is>
          <t>1963-05-24</t>
        </is>
      </c>
    </row>
    <row r="23207">
      <c r="A23207" s="1" t="n">
        <v>23206</v>
      </c>
      <c r="B23207">
        <f>TEXT(23206, "[$-0E0000]yyyy-mm-dd")</f>
        <v/>
      </c>
      <c r="C23207" t="inlineStr">
        <is>
          <t>1963-05-25</t>
        </is>
      </c>
    </row>
    <row r="23208">
      <c r="A23208" s="1" t="n">
        <v>23207</v>
      </c>
      <c r="B23208">
        <f>TEXT(23207, "[$-0E0000]yyyy-mm-dd")</f>
        <v/>
      </c>
      <c r="C23208" t="inlineStr">
        <is>
          <t>1963-05-26</t>
        </is>
      </c>
    </row>
    <row r="23209">
      <c r="A23209" s="1" t="n">
        <v>23208</v>
      </c>
      <c r="B23209">
        <f>TEXT(23208, "[$-0E0000]yyyy-mm-dd")</f>
        <v/>
      </c>
      <c r="C23209" t="inlineStr">
        <is>
          <t>1963-05-27</t>
        </is>
      </c>
    </row>
    <row r="23210">
      <c r="A23210" s="1" t="n">
        <v>23209</v>
      </c>
      <c r="B23210">
        <f>TEXT(23209, "[$-0E0000]yyyy-mm-dd")</f>
        <v/>
      </c>
      <c r="C23210" t="inlineStr">
        <is>
          <t>1963-05-28</t>
        </is>
      </c>
    </row>
    <row r="23211">
      <c r="A23211" s="1" t="n">
        <v>23210</v>
      </c>
      <c r="B23211">
        <f>TEXT(23210, "[$-0E0000]yyyy-mm-dd")</f>
        <v/>
      </c>
      <c r="C23211" t="inlineStr">
        <is>
          <t>1963-05-29</t>
        </is>
      </c>
    </row>
    <row r="23212">
      <c r="A23212" s="1" t="n">
        <v>23211</v>
      </c>
      <c r="B23212">
        <f>TEXT(23211, "[$-0E0000]yyyy-mm-dd")</f>
        <v/>
      </c>
      <c r="C23212" t="inlineStr">
        <is>
          <t>1963-05-30</t>
        </is>
      </c>
    </row>
    <row r="23213">
      <c r="A23213" s="1" t="n">
        <v>23212</v>
      </c>
      <c r="B23213">
        <f>TEXT(23212, "[$-0E0000]yyyy-mm-dd")</f>
        <v/>
      </c>
      <c r="C23213" t="inlineStr">
        <is>
          <t>1963-06-01</t>
        </is>
      </c>
    </row>
    <row r="23214">
      <c r="A23214" s="1" t="n">
        <v>23213</v>
      </c>
      <c r="B23214">
        <f>TEXT(23213, "[$-0E0000]yyyy-mm-dd")</f>
        <v/>
      </c>
      <c r="C23214" t="inlineStr">
        <is>
          <t>1963-06-02</t>
        </is>
      </c>
    </row>
    <row r="23215">
      <c r="A23215" s="1" t="n">
        <v>23214</v>
      </c>
      <c r="B23215">
        <f>TEXT(23214, "[$-0E0000]yyyy-mm-dd")</f>
        <v/>
      </c>
      <c r="C23215" t="inlineStr">
        <is>
          <t>1963-06-03</t>
        </is>
      </c>
    </row>
    <row r="23216">
      <c r="A23216" s="1" t="n">
        <v>23215</v>
      </c>
      <c r="B23216">
        <f>TEXT(23215, "[$-0E0000]yyyy-mm-dd")</f>
        <v/>
      </c>
      <c r="C23216" t="inlineStr">
        <is>
          <t>1963-06-04</t>
        </is>
      </c>
    </row>
    <row r="23217">
      <c r="A23217" s="1" t="n">
        <v>23216</v>
      </c>
      <c r="B23217">
        <f>TEXT(23216, "[$-0E0000]yyyy-mm-dd")</f>
        <v/>
      </c>
      <c r="C23217" t="inlineStr">
        <is>
          <t>1963-06-05</t>
        </is>
      </c>
    </row>
    <row r="23218">
      <c r="A23218" s="1" t="n">
        <v>23217</v>
      </c>
      <c r="B23218">
        <f>TEXT(23217, "[$-0E0000]yyyy-mm-dd")</f>
        <v/>
      </c>
      <c r="C23218" t="inlineStr">
        <is>
          <t>1963-06-06</t>
        </is>
      </c>
    </row>
    <row r="23219">
      <c r="A23219" s="1" t="n">
        <v>23218</v>
      </c>
      <c r="B23219">
        <f>TEXT(23218, "[$-0E0000]yyyy-mm-dd")</f>
        <v/>
      </c>
      <c r="C23219" t="inlineStr">
        <is>
          <t>1963-06-07</t>
        </is>
      </c>
    </row>
    <row r="23220">
      <c r="A23220" s="1" t="n">
        <v>23219</v>
      </c>
      <c r="B23220">
        <f>TEXT(23219, "[$-0E0000]yyyy-mm-dd")</f>
        <v/>
      </c>
      <c r="C23220" t="inlineStr">
        <is>
          <t>1963-06-08</t>
        </is>
      </c>
    </row>
    <row r="23221">
      <c r="A23221" s="1" t="n">
        <v>23220</v>
      </c>
      <c r="B23221">
        <f>TEXT(23220, "[$-0E0000]yyyy-mm-dd")</f>
        <v/>
      </c>
      <c r="C23221" t="inlineStr">
        <is>
          <t>1963-06-09</t>
        </is>
      </c>
    </row>
    <row r="23222">
      <c r="A23222" s="1" t="n">
        <v>23221</v>
      </c>
      <c r="B23222">
        <f>TEXT(23221, "[$-0E0000]yyyy-mm-dd")</f>
        <v/>
      </c>
      <c r="C23222" t="inlineStr">
        <is>
          <t>1963-06-10</t>
        </is>
      </c>
    </row>
    <row r="23223">
      <c r="A23223" s="1" t="n">
        <v>23222</v>
      </c>
      <c r="B23223">
        <f>TEXT(23222, "[$-0E0000]yyyy-mm-dd")</f>
        <v/>
      </c>
      <c r="C23223" t="inlineStr">
        <is>
          <t>1963-06-11</t>
        </is>
      </c>
    </row>
    <row r="23224">
      <c r="A23224" s="1" t="n">
        <v>23223</v>
      </c>
      <c r="B23224">
        <f>TEXT(23223, "[$-0E0000]yyyy-mm-dd")</f>
        <v/>
      </c>
      <c r="C23224" t="inlineStr">
        <is>
          <t>1963-06-12</t>
        </is>
      </c>
    </row>
    <row r="23225">
      <c r="A23225" s="1" t="n">
        <v>23224</v>
      </c>
      <c r="B23225">
        <f>TEXT(23224, "[$-0E0000]yyyy-mm-dd")</f>
        <v/>
      </c>
      <c r="C23225" t="inlineStr">
        <is>
          <t>1963-06-13</t>
        </is>
      </c>
    </row>
    <row r="23226">
      <c r="A23226" s="1" t="n">
        <v>23225</v>
      </c>
      <c r="B23226">
        <f>TEXT(23225, "[$-0E0000]yyyy-mm-dd")</f>
        <v/>
      </c>
      <c r="C23226" t="inlineStr">
        <is>
          <t>1963-06-14</t>
        </is>
      </c>
    </row>
    <row r="23227">
      <c r="A23227" s="1" t="n">
        <v>23226</v>
      </c>
      <c r="B23227">
        <f>TEXT(23226, "[$-0E0000]yyyy-mm-dd")</f>
        <v/>
      </c>
      <c r="C23227" t="inlineStr">
        <is>
          <t>1963-06-15</t>
        </is>
      </c>
    </row>
    <row r="23228">
      <c r="A23228" s="1" t="n">
        <v>23227</v>
      </c>
      <c r="B23228">
        <f>TEXT(23227, "[$-0E0000]yyyy-mm-dd")</f>
        <v/>
      </c>
      <c r="C23228" t="inlineStr">
        <is>
          <t>1963-06-16</t>
        </is>
      </c>
    </row>
    <row r="23229">
      <c r="A23229" s="1" t="n">
        <v>23228</v>
      </c>
      <c r="B23229">
        <f>TEXT(23228, "[$-0E0000]yyyy-mm-dd")</f>
        <v/>
      </c>
      <c r="C23229" t="inlineStr">
        <is>
          <t>1963-06-17</t>
        </is>
      </c>
    </row>
    <row r="23230">
      <c r="A23230" s="1" t="n">
        <v>23229</v>
      </c>
      <c r="B23230">
        <f>TEXT(23229, "[$-0E0000]yyyy-mm-dd")</f>
        <v/>
      </c>
      <c r="C23230" t="inlineStr">
        <is>
          <t>1963-06-18</t>
        </is>
      </c>
    </row>
    <row r="23231">
      <c r="A23231" s="1" t="n">
        <v>23230</v>
      </c>
      <c r="B23231">
        <f>TEXT(23230, "[$-0E0000]yyyy-mm-dd")</f>
        <v/>
      </c>
      <c r="C23231" t="inlineStr">
        <is>
          <t>1963-06-19</t>
        </is>
      </c>
    </row>
    <row r="23232">
      <c r="A23232" s="1" t="n">
        <v>23231</v>
      </c>
      <c r="B23232">
        <f>TEXT(23231, "[$-0E0000]yyyy-mm-dd")</f>
        <v/>
      </c>
      <c r="C23232" t="inlineStr">
        <is>
          <t>1963-06-20</t>
        </is>
      </c>
    </row>
    <row r="23233">
      <c r="A23233" s="1" t="n">
        <v>23232</v>
      </c>
      <c r="B23233">
        <f>TEXT(23232, "[$-0E0000]yyyy-mm-dd")</f>
        <v/>
      </c>
      <c r="C23233" t="inlineStr">
        <is>
          <t>1963-06-21</t>
        </is>
      </c>
    </row>
    <row r="23234">
      <c r="A23234" s="1" t="n">
        <v>23233</v>
      </c>
      <c r="B23234">
        <f>TEXT(23233, "[$-0E0000]yyyy-mm-dd")</f>
        <v/>
      </c>
      <c r="C23234" t="inlineStr">
        <is>
          <t>1963-06-22</t>
        </is>
      </c>
    </row>
    <row r="23235">
      <c r="A23235" s="1" t="n">
        <v>23234</v>
      </c>
      <c r="B23235">
        <f>TEXT(23234, "[$-0E0000]yyyy-mm-dd")</f>
        <v/>
      </c>
      <c r="C23235" t="inlineStr">
        <is>
          <t>1963-06-23</t>
        </is>
      </c>
    </row>
    <row r="23236">
      <c r="A23236" s="1" t="n">
        <v>23235</v>
      </c>
      <c r="B23236">
        <f>TEXT(23235, "[$-0E0000]yyyy-mm-dd")</f>
        <v/>
      </c>
      <c r="C23236" t="inlineStr">
        <is>
          <t>1963-06-24</t>
        </is>
      </c>
    </row>
    <row r="23237">
      <c r="A23237" s="1" t="n">
        <v>23236</v>
      </c>
      <c r="B23237">
        <f>TEXT(23236, "[$-0E0000]yyyy-mm-dd")</f>
        <v/>
      </c>
      <c r="C23237" t="inlineStr">
        <is>
          <t>1963-06-25</t>
        </is>
      </c>
    </row>
    <row r="23238">
      <c r="A23238" s="1" t="n">
        <v>23237</v>
      </c>
      <c r="B23238">
        <f>TEXT(23237, "[$-0E0000]yyyy-mm-dd")</f>
        <v/>
      </c>
      <c r="C23238" t="inlineStr">
        <is>
          <t>1963-06-26</t>
        </is>
      </c>
    </row>
    <row r="23239">
      <c r="A23239" s="1" t="n">
        <v>23238</v>
      </c>
      <c r="B23239">
        <f>TEXT(23238, "[$-0E0000]yyyy-mm-dd")</f>
        <v/>
      </c>
      <c r="C23239" t="inlineStr">
        <is>
          <t>1963-06-27</t>
        </is>
      </c>
    </row>
    <row r="23240">
      <c r="A23240" s="1" t="n">
        <v>23239</v>
      </c>
      <c r="B23240">
        <f>TEXT(23239, "[$-0E0000]yyyy-mm-dd")</f>
        <v/>
      </c>
      <c r="C23240" t="inlineStr">
        <is>
          <t>1963-06-28</t>
        </is>
      </c>
    </row>
    <row r="23241">
      <c r="A23241" s="1" t="n">
        <v>23240</v>
      </c>
      <c r="B23241">
        <f>TEXT(23240, "[$-0E0000]yyyy-mm-dd")</f>
        <v/>
      </c>
      <c r="C23241" t="inlineStr">
        <is>
          <t>1963-06-29</t>
        </is>
      </c>
    </row>
    <row r="23242">
      <c r="A23242" s="1" t="n">
        <v>23241</v>
      </c>
      <c r="B23242">
        <f>TEXT(23241, "[$-0E0000]yyyy-mm-dd")</f>
        <v/>
      </c>
      <c r="C23242" t="inlineStr">
        <is>
          <t>1963-07-01</t>
        </is>
      </c>
    </row>
    <row r="23243">
      <c r="A23243" s="1" t="n">
        <v>23242</v>
      </c>
      <c r="B23243">
        <f>TEXT(23242, "[$-0E0000]yyyy-mm-dd")</f>
        <v/>
      </c>
      <c r="C23243" t="inlineStr">
        <is>
          <t>1963-07-02</t>
        </is>
      </c>
    </row>
    <row r="23244">
      <c r="A23244" s="1" t="n">
        <v>23243</v>
      </c>
      <c r="B23244">
        <f>TEXT(23243, "[$-0E0000]yyyy-mm-dd")</f>
        <v/>
      </c>
      <c r="C23244" t="inlineStr">
        <is>
          <t>1963-07-03</t>
        </is>
      </c>
    </row>
    <row r="23245">
      <c r="A23245" s="1" t="n">
        <v>23244</v>
      </c>
      <c r="B23245">
        <f>TEXT(23244, "[$-0E0000]yyyy-mm-dd")</f>
        <v/>
      </c>
      <c r="C23245" t="inlineStr">
        <is>
          <t>1963-07-04</t>
        </is>
      </c>
    </row>
    <row r="23246">
      <c r="A23246" s="1" t="n">
        <v>23245</v>
      </c>
      <c r="B23246">
        <f>TEXT(23245, "[$-0E0000]yyyy-mm-dd")</f>
        <v/>
      </c>
      <c r="C23246" t="inlineStr">
        <is>
          <t>1963-07-05</t>
        </is>
      </c>
    </row>
    <row r="23247">
      <c r="A23247" s="1" t="n">
        <v>23246</v>
      </c>
      <c r="B23247">
        <f>TEXT(23246, "[$-0E0000]yyyy-mm-dd")</f>
        <v/>
      </c>
      <c r="C23247" t="inlineStr">
        <is>
          <t>1963-07-06</t>
        </is>
      </c>
    </row>
    <row r="23248">
      <c r="A23248" s="1" t="n">
        <v>23247</v>
      </c>
      <c r="B23248">
        <f>TEXT(23247, "[$-0E0000]yyyy-mm-dd")</f>
        <v/>
      </c>
      <c r="C23248" t="inlineStr">
        <is>
          <t>1963-07-07</t>
        </is>
      </c>
    </row>
    <row r="23249">
      <c r="A23249" s="1" t="n">
        <v>23248</v>
      </c>
      <c r="B23249">
        <f>TEXT(23248, "[$-0E0000]yyyy-mm-dd")</f>
        <v/>
      </c>
      <c r="C23249" t="inlineStr">
        <is>
          <t>1963-07-08</t>
        </is>
      </c>
    </row>
    <row r="23250">
      <c r="A23250" s="1" t="n">
        <v>23249</v>
      </c>
      <c r="B23250">
        <f>TEXT(23249, "[$-0E0000]yyyy-mm-dd")</f>
        <v/>
      </c>
      <c r="C23250" t="inlineStr">
        <is>
          <t>1963-07-09</t>
        </is>
      </c>
    </row>
    <row r="23251">
      <c r="A23251" s="1" t="n">
        <v>23250</v>
      </c>
      <c r="B23251">
        <f>TEXT(23250, "[$-0E0000]yyyy-mm-dd")</f>
        <v/>
      </c>
      <c r="C23251" t="inlineStr">
        <is>
          <t>1963-07-10</t>
        </is>
      </c>
    </row>
    <row r="23252">
      <c r="A23252" s="1" t="n">
        <v>23251</v>
      </c>
      <c r="B23252">
        <f>TEXT(23251, "[$-0E0000]yyyy-mm-dd")</f>
        <v/>
      </c>
      <c r="C23252" t="inlineStr">
        <is>
          <t>1963-07-11</t>
        </is>
      </c>
    </row>
    <row r="23253">
      <c r="A23253" s="1" t="n">
        <v>23252</v>
      </c>
      <c r="B23253">
        <f>TEXT(23252, "[$-0E0000]yyyy-mm-dd")</f>
        <v/>
      </c>
      <c r="C23253" t="inlineStr">
        <is>
          <t>1963-07-12</t>
        </is>
      </c>
    </row>
    <row r="23254">
      <c r="A23254" s="1" t="n">
        <v>23253</v>
      </c>
      <c r="B23254">
        <f>TEXT(23253, "[$-0E0000]yyyy-mm-dd")</f>
        <v/>
      </c>
      <c r="C23254" t="inlineStr">
        <is>
          <t>1963-07-13</t>
        </is>
      </c>
    </row>
    <row r="23255">
      <c r="A23255" s="1" t="n">
        <v>23254</v>
      </c>
      <c r="B23255">
        <f>TEXT(23254, "[$-0E0000]yyyy-mm-dd")</f>
        <v/>
      </c>
      <c r="C23255" t="inlineStr">
        <is>
          <t>1963-07-14</t>
        </is>
      </c>
    </row>
    <row r="23256">
      <c r="A23256" s="1" t="n">
        <v>23255</v>
      </c>
      <c r="B23256">
        <f>TEXT(23255, "[$-0E0000]yyyy-mm-dd")</f>
        <v/>
      </c>
      <c r="C23256" t="inlineStr">
        <is>
          <t>1963-07-15</t>
        </is>
      </c>
    </row>
    <row r="23257">
      <c r="A23257" s="1" t="n">
        <v>23256</v>
      </c>
      <c r="B23257">
        <f>TEXT(23256, "[$-0E0000]yyyy-mm-dd")</f>
        <v/>
      </c>
      <c r="C23257" t="inlineStr">
        <is>
          <t>1963-07-16</t>
        </is>
      </c>
    </row>
    <row r="23258">
      <c r="A23258" s="1" t="n">
        <v>23257</v>
      </c>
      <c r="B23258">
        <f>TEXT(23257, "[$-0E0000]yyyy-mm-dd")</f>
        <v/>
      </c>
      <c r="C23258" t="inlineStr">
        <is>
          <t>1963-07-17</t>
        </is>
      </c>
    </row>
    <row r="23259">
      <c r="A23259" s="1" t="n">
        <v>23258</v>
      </c>
      <c r="B23259">
        <f>TEXT(23258, "[$-0E0000]yyyy-mm-dd")</f>
        <v/>
      </c>
      <c r="C23259" t="inlineStr">
        <is>
          <t>1963-07-18</t>
        </is>
      </c>
    </row>
    <row r="23260">
      <c r="A23260" s="1" t="n">
        <v>23259</v>
      </c>
      <c r="B23260">
        <f>TEXT(23259, "[$-0E0000]yyyy-mm-dd")</f>
        <v/>
      </c>
      <c r="C23260" t="inlineStr">
        <is>
          <t>1963-07-19</t>
        </is>
      </c>
    </row>
    <row r="23261">
      <c r="A23261" s="1" t="n">
        <v>23260</v>
      </c>
      <c r="B23261">
        <f>TEXT(23260, "[$-0E0000]yyyy-mm-dd")</f>
        <v/>
      </c>
      <c r="C23261" t="inlineStr">
        <is>
          <t>1963-07-20</t>
        </is>
      </c>
    </row>
    <row r="23262">
      <c r="A23262" s="1" t="n">
        <v>23261</v>
      </c>
      <c r="B23262">
        <f>TEXT(23261, "[$-0E0000]yyyy-mm-dd")</f>
        <v/>
      </c>
      <c r="C23262" t="inlineStr">
        <is>
          <t>1963-07-21</t>
        </is>
      </c>
    </row>
    <row r="23263">
      <c r="A23263" s="1" t="n">
        <v>23262</v>
      </c>
      <c r="B23263">
        <f>TEXT(23262, "[$-0E0000]yyyy-mm-dd")</f>
        <v/>
      </c>
      <c r="C23263" t="inlineStr">
        <is>
          <t>1963-07-22</t>
        </is>
      </c>
    </row>
    <row r="23264">
      <c r="A23264" s="1" t="n">
        <v>23263</v>
      </c>
      <c r="B23264">
        <f>TEXT(23263, "[$-0E0000]yyyy-mm-dd")</f>
        <v/>
      </c>
      <c r="C23264" t="inlineStr">
        <is>
          <t>1963-07-23</t>
        </is>
      </c>
    </row>
    <row r="23265">
      <c r="A23265" s="1" t="n">
        <v>23264</v>
      </c>
      <c r="B23265">
        <f>TEXT(23264, "[$-0E0000]yyyy-mm-dd")</f>
        <v/>
      </c>
      <c r="C23265" t="inlineStr">
        <is>
          <t>1963-07-24</t>
        </is>
      </c>
    </row>
    <row r="23266">
      <c r="A23266" s="1" t="n">
        <v>23265</v>
      </c>
      <c r="B23266">
        <f>TEXT(23265, "[$-0E0000]yyyy-mm-dd")</f>
        <v/>
      </c>
      <c r="C23266" t="inlineStr">
        <is>
          <t>1963-07-25</t>
        </is>
      </c>
    </row>
    <row r="23267">
      <c r="A23267" s="1" t="n">
        <v>23266</v>
      </c>
      <c r="B23267">
        <f>TEXT(23266, "[$-0E0000]yyyy-mm-dd")</f>
        <v/>
      </c>
      <c r="C23267" t="inlineStr">
        <is>
          <t>1963-07-26</t>
        </is>
      </c>
    </row>
    <row r="23268">
      <c r="A23268" s="1" t="n">
        <v>23267</v>
      </c>
      <c r="B23268">
        <f>TEXT(23267, "[$-0E0000]yyyy-mm-dd")</f>
        <v/>
      </c>
      <c r="C23268" t="inlineStr">
        <is>
          <t>1963-07-27</t>
        </is>
      </c>
    </row>
    <row r="23269">
      <c r="A23269" s="1" t="n">
        <v>23268</v>
      </c>
      <c r="B23269">
        <f>TEXT(23268, "[$-0E0000]yyyy-mm-dd")</f>
        <v/>
      </c>
      <c r="C23269" t="inlineStr">
        <is>
          <t>1963-07-28</t>
        </is>
      </c>
    </row>
    <row r="23270">
      <c r="A23270" s="1" t="n">
        <v>23269</v>
      </c>
      <c r="B23270">
        <f>TEXT(23269, "[$-0E0000]yyyy-mm-dd")</f>
        <v/>
      </c>
      <c r="C23270" t="inlineStr">
        <is>
          <t>1963-07-29</t>
        </is>
      </c>
    </row>
    <row r="23271">
      <c r="A23271" s="1" t="n">
        <v>23270</v>
      </c>
      <c r="B23271">
        <f>TEXT(23270, "[$-0E0000]yyyy-mm-dd")</f>
        <v/>
      </c>
      <c r="C23271" t="inlineStr">
        <is>
          <t>1963-07-30</t>
        </is>
      </c>
    </row>
    <row r="23272">
      <c r="A23272" s="1" t="n">
        <v>23271</v>
      </c>
      <c r="B23272">
        <f>TEXT(23271, "[$-0E0000]yyyy-mm-dd")</f>
        <v/>
      </c>
      <c r="C23272" t="inlineStr">
        <is>
          <t>1963-08-01</t>
        </is>
      </c>
    </row>
    <row r="23273">
      <c r="A23273" s="1" t="n">
        <v>23272</v>
      </c>
      <c r="B23273">
        <f>TEXT(23272, "[$-0E0000]yyyy-mm-dd")</f>
        <v/>
      </c>
      <c r="C23273" t="inlineStr">
        <is>
          <t>1963-08-02</t>
        </is>
      </c>
    </row>
    <row r="23274">
      <c r="A23274" s="1" t="n">
        <v>23273</v>
      </c>
      <c r="B23274">
        <f>TEXT(23273, "[$-0E0000]yyyy-mm-dd")</f>
        <v/>
      </c>
      <c r="C23274" t="inlineStr">
        <is>
          <t>1963-08-03</t>
        </is>
      </c>
    </row>
    <row r="23275">
      <c r="A23275" s="1" t="n">
        <v>23274</v>
      </c>
      <c r="B23275">
        <f>TEXT(23274, "[$-0E0000]yyyy-mm-dd")</f>
        <v/>
      </c>
      <c r="C23275" t="inlineStr">
        <is>
          <t>1963-08-04</t>
        </is>
      </c>
    </row>
    <row r="23276">
      <c r="A23276" s="1" t="n">
        <v>23275</v>
      </c>
      <c r="B23276">
        <f>TEXT(23275, "[$-0E0000]yyyy-mm-dd")</f>
        <v/>
      </c>
      <c r="C23276" t="inlineStr">
        <is>
          <t>1963-08-05</t>
        </is>
      </c>
    </row>
    <row r="23277">
      <c r="A23277" s="1" t="n">
        <v>23276</v>
      </c>
      <c r="B23277">
        <f>TEXT(23276, "[$-0E0000]yyyy-mm-dd")</f>
        <v/>
      </c>
      <c r="C23277" t="inlineStr">
        <is>
          <t>1963-08-06</t>
        </is>
      </c>
    </row>
    <row r="23278">
      <c r="A23278" s="1" t="n">
        <v>23277</v>
      </c>
      <c r="B23278">
        <f>TEXT(23277, "[$-0E0000]yyyy-mm-dd")</f>
        <v/>
      </c>
      <c r="C23278" t="inlineStr">
        <is>
          <t>1963-08-07</t>
        </is>
      </c>
    </row>
    <row r="23279">
      <c r="A23279" s="1" t="n">
        <v>23278</v>
      </c>
      <c r="B23279">
        <f>TEXT(23278, "[$-0E0000]yyyy-mm-dd")</f>
        <v/>
      </c>
      <c r="C23279" t="inlineStr">
        <is>
          <t>1963-08-08</t>
        </is>
      </c>
    </row>
    <row r="23280">
      <c r="A23280" s="1" t="n">
        <v>23279</v>
      </c>
      <c r="B23280">
        <f>TEXT(23279, "[$-0E0000]yyyy-mm-dd")</f>
        <v/>
      </c>
      <c r="C23280" t="inlineStr">
        <is>
          <t>1963-08-09</t>
        </is>
      </c>
    </row>
    <row r="23281">
      <c r="A23281" s="1" t="n">
        <v>23280</v>
      </c>
      <c r="B23281">
        <f>TEXT(23280, "[$-0E0000]yyyy-mm-dd")</f>
        <v/>
      </c>
      <c r="C23281" t="inlineStr">
        <is>
          <t>1963-08-10</t>
        </is>
      </c>
    </row>
    <row r="23282">
      <c r="A23282" s="1" t="n">
        <v>23281</v>
      </c>
      <c r="B23282">
        <f>TEXT(23281, "[$-0E0000]yyyy-mm-dd")</f>
        <v/>
      </c>
      <c r="C23282" t="inlineStr">
        <is>
          <t>1963-08-11</t>
        </is>
      </c>
    </row>
    <row r="23283">
      <c r="A23283" s="1" t="n">
        <v>23282</v>
      </c>
      <c r="B23283">
        <f>TEXT(23282, "[$-0E0000]yyyy-mm-dd")</f>
        <v/>
      </c>
      <c r="C23283" t="inlineStr">
        <is>
          <t>1963-08-12</t>
        </is>
      </c>
    </row>
    <row r="23284">
      <c r="A23284" s="1" t="n">
        <v>23283</v>
      </c>
      <c r="B23284">
        <f>TEXT(23283, "[$-0E0000]yyyy-mm-dd")</f>
        <v/>
      </c>
      <c r="C23284" t="inlineStr">
        <is>
          <t>1963-08-13</t>
        </is>
      </c>
    </row>
    <row r="23285">
      <c r="A23285" s="1" t="n">
        <v>23284</v>
      </c>
      <c r="B23285">
        <f>TEXT(23284, "[$-0E0000]yyyy-mm-dd")</f>
        <v/>
      </c>
      <c r="C23285" t="inlineStr">
        <is>
          <t>1963-08-14</t>
        </is>
      </c>
    </row>
    <row r="23286">
      <c r="A23286" s="1" t="n">
        <v>23285</v>
      </c>
      <c r="B23286">
        <f>TEXT(23285, "[$-0E0000]yyyy-mm-dd")</f>
        <v/>
      </c>
      <c r="C23286" t="inlineStr">
        <is>
          <t>1963-08-15</t>
        </is>
      </c>
    </row>
    <row r="23287">
      <c r="A23287" s="1" t="n">
        <v>23286</v>
      </c>
      <c r="B23287">
        <f>TEXT(23286, "[$-0E0000]yyyy-mm-dd")</f>
        <v/>
      </c>
      <c r="C23287" t="inlineStr">
        <is>
          <t>1963-08-16</t>
        </is>
      </c>
    </row>
    <row r="23288">
      <c r="A23288" s="1" t="n">
        <v>23287</v>
      </c>
      <c r="B23288">
        <f>TEXT(23287, "[$-0E0000]yyyy-mm-dd")</f>
        <v/>
      </c>
      <c r="C23288" t="inlineStr">
        <is>
          <t>1963-08-17</t>
        </is>
      </c>
    </row>
    <row r="23289">
      <c r="A23289" s="1" t="n">
        <v>23288</v>
      </c>
      <c r="B23289">
        <f>TEXT(23288, "[$-0E0000]yyyy-mm-dd")</f>
        <v/>
      </c>
      <c r="C23289" t="inlineStr">
        <is>
          <t>1963-08-18</t>
        </is>
      </c>
    </row>
    <row r="23290">
      <c r="A23290" s="1" t="n">
        <v>23289</v>
      </c>
      <c r="B23290">
        <f>TEXT(23289, "[$-0E0000]yyyy-mm-dd")</f>
        <v/>
      </c>
      <c r="C23290" t="inlineStr">
        <is>
          <t>1963-08-19</t>
        </is>
      </c>
    </row>
    <row r="23291">
      <c r="A23291" s="1" t="n">
        <v>23290</v>
      </c>
      <c r="B23291">
        <f>TEXT(23290, "[$-0E0000]yyyy-mm-dd")</f>
        <v/>
      </c>
      <c r="C23291" t="inlineStr">
        <is>
          <t>1963-08-20</t>
        </is>
      </c>
    </row>
    <row r="23292">
      <c r="A23292" s="1" t="n">
        <v>23291</v>
      </c>
      <c r="B23292">
        <f>TEXT(23291, "[$-0E0000]yyyy-mm-dd")</f>
        <v/>
      </c>
      <c r="C23292" t="inlineStr">
        <is>
          <t>1963-08-21</t>
        </is>
      </c>
    </row>
    <row r="23293">
      <c r="A23293" s="1" t="n">
        <v>23292</v>
      </c>
      <c r="B23293">
        <f>TEXT(23292, "[$-0E0000]yyyy-mm-dd")</f>
        <v/>
      </c>
      <c r="C23293" t="inlineStr">
        <is>
          <t>1963-08-22</t>
        </is>
      </c>
    </row>
    <row r="23294">
      <c r="A23294" s="1" t="n">
        <v>23293</v>
      </c>
      <c r="B23294">
        <f>TEXT(23293, "[$-0E0000]yyyy-mm-dd")</f>
        <v/>
      </c>
      <c r="C23294" t="inlineStr">
        <is>
          <t>1963-08-23</t>
        </is>
      </c>
    </row>
    <row r="23295">
      <c r="A23295" s="1" t="n">
        <v>23294</v>
      </c>
      <c r="B23295">
        <f>TEXT(23294, "[$-0E0000]yyyy-mm-dd")</f>
        <v/>
      </c>
      <c r="C23295" t="inlineStr">
        <is>
          <t>1963-08-24</t>
        </is>
      </c>
    </row>
    <row r="23296">
      <c r="A23296" s="1" t="n">
        <v>23295</v>
      </c>
      <c r="B23296">
        <f>TEXT(23295, "[$-0E0000]yyyy-mm-dd")</f>
        <v/>
      </c>
      <c r="C23296" t="inlineStr">
        <is>
          <t>1963-08-25</t>
        </is>
      </c>
    </row>
    <row r="23297">
      <c r="A23297" s="1" t="n">
        <v>23296</v>
      </c>
      <c r="B23297">
        <f>TEXT(23296, "[$-0E0000]yyyy-mm-dd")</f>
        <v/>
      </c>
      <c r="C23297" t="inlineStr">
        <is>
          <t>1963-08-26</t>
        </is>
      </c>
    </row>
    <row r="23298">
      <c r="A23298" s="1" t="n">
        <v>23297</v>
      </c>
      <c r="B23298">
        <f>TEXT(23297, "[$-0E0000]yyyy-mm-dd")</f>
        <v/>
      </c>
      <c r="C23298" t="inlineStr">
        <is>
          <t>1963-08-27</t>
        </is>
      </c>
    </row>
    <row r="23299">
      <c r="A23299" s="1" t="n">
        <v>23298</v>
      </c>
      <c r="B23299">
        <f>TEXT(23298, "[$-0E0000]yyyy-mm-dd")</f>
        <v/>
      </c>
      <c r="C23299" t="inlineStr">
        <is>
          <t>1963-08-28</t>
        </is>
      </c>
    </row>
    <row r="23300">
      <c r="A23300" s="1" t="n">
        <v>23299</v>
      </c>
      <c r="B23300">
        <f>TEXT(23299, "[$-0E0000]yyyy-mm-dd")</f>
        <v/>
      </c>
      <c r="C23300" t="inlineStr">
        <is>
          <t>1963-08-29</t>
        </is>
      </c>
    </row>
    <row r="23301">
      <c r="A23301" s="1" t="n">
        <v>23300</v>
      </c>
      <c r="B23301">
        <f>TEXT(23300, "[$-0E0000]yyyy-mm-dd")</f>
        <v/>
      </c>
      <c r="C23301" t="inlineStr">
        <is>
          <t>1963-09-01</t>
        </is>
      </c>
    </row>
    <row r="23302">
      <c r="A23302" s="1" t="n">
        <v>23301</v>
      </c>
      <c r="B23302">
        <f>TEXT(23301, "[$-0E0000]yyyy-mm-dd")</f>
        <v/>
      </c>
      <c r="C23302" t="inlineStr">
        <is>
          <t>1963-09-02</t>
        </is>
      </c>
    </row>
    <row r="23303">
      <c r="A23303" s="1" t="n">
        <v>23302</v>
      </c>
      <c r="B23303">
        <f>TEXT(23302, "[$-0E0000]yyyy-mm-dd")</f>
        <v/>
      </c>
      <c r="C23303" t="inlineStr">
        <is>
          <t>1963-09-03</t>
        </is>
      </c>
    </row>
    <row r="23304">
      <c r="A23304" s="1" t="n">
        <v>23303</v>
      </c>
      <c r="B23304">
        <f>TEXT(23303, "[$-0E0000]yyyy-mm-dd")</f>
        <v/>
      </c>
      <c r="C23304" t="inlineStr">
        <is>
          <t>1963-09-04</t>
        </is>
      </c>
    </row>
    <row r="23305">
      <c r="A23305" s="1" t="n">
        <v>23304</v>
      </c>
      <c r="B23305">
        <f>TEXT(23304, "[$-0E0000]yyyy-mm-dd")</f>
        <v/>
      </c>
      <c r="C23305" t="inlineStr">
        <is>
          <t>1963-09-05</t>
        </is>
      </c>
    </row>
    <row r="23306">
      <c r="A23306" s="1" t="n">
        <v>23305</v>
      </c>
      <c r="B23306">
        <f>TEXT(23305, "[$-0E0000]yyyy-mm-dd")</f>
        <v/>
      </c>
      <c r="C23306" t="inlineStr">
        <is>
          <t>1963-09-06</t>
        </is>
      </c>
    </row>
    <row r="23307">
      <c r="A23307" s="1" t="n">
        <v>23306</v>
      </c>
      <c r="B23307">
        <f>TEXT(23306, "[$-0E0000]yyyy-mm-dd")</f>
        <v/>
      </c>
      <c r="C23307" t="inlineStr">
        <is>
          <t>1963-09-07</t>
        </is>
      </c>
    </row>
    <row r="23308">
      <c r="A23308" s="1" t="n">
        <v>23307</v>
      </c>
      <c r="B23308">
        <f>TEXT(23307, "[$-0E0000]yyyy-mm-dd")</f>
        <v/>
      </c>
      <c r="C23308" t="inlineStr">
        <is>
          <t>1963-09-08</t>
        </is>
      </c>
    </row>
    <row r="23309">
      <c r="A23309" s="1" t="n">
        <v>23308</v>
      </c>
      <c r="B23309">
        <f>TEXT(23308, "[$-0E0000]yyyy-mm-dd")</f>
        <v/>
      </c>
      <c r="C23309" t="inlineStr">
        <is>
          <t>1963-09-09</t>
        </is>
      </c>
    </row>
    <row r="23310">
      <c r="A23310" s="1" t="n">
        <v>23309</v>
      </c>
      <c r="B23310">
        <f>TEXT(23309, "[$-0E0000]yyyy-mm-dd")</f>
        <v/>
      </c>
      <c r="C23310" t="inlineStr">
        <is>
          <t>1963-09-10</t>
        </is>
      </c>
    </row>
    <row r="23311">
      <c r="A23311" s="1" t="n">
        <v>23310</v>
      </c>
      <c r="B23311">
        <f>TEXT(23310, "[$-0E0000]yyyy-mm-dd")</f>
        <v/>
      </c>
      <c r="C23311" t="inlineStr">
        <is>
          <t>1963-09-11</t>
        </is>
      </c>
    </row>
    <row r="23312">
      <c r="A23312" s="1" t="n">
        <v>23311</v>
      </c>
      <c r="B23312">
        <f>TEXT(23311, "[$-0E0000]yyyy-mm-dd")</f>
        <v/>
      </c>
      <c r="C23312" t="inlineStr">
        <is>
          <t>1963-09-12</t>
        </is>
      </c>
    </row>
    <row r="23313">
      <c r="A23313" s="1" t="n">
        <v>23312</v>
      </c>
      <c r="B23313">
        <f>TEXT(23312, "[$-0E0000]yyyy-mm-dd")</f>
        <v/>
      </c>
      <c r="C23313" t="inlineStr">
        <is>
          <t>1963-09-13</t>
        </is>
      </c>
    </row>
    <row r="23314">
      <c r="A23314" s="1" t="n">
        <v>23313</v>
      </c>
      <c r="B23314">
        <f>TEXT(23313, "[$-0E0000]yyyy-mm-dd")</f>
        <v/>
      </c>
      <c r="C23314" t="inlineStr">
        <is>
          <t>1963-09-14</t>
        </is>
      </c>
    </row>
    <row r="23315">
      <c r="A23315" s="1" t="n">
        <v>23314</v>
      </c>
      <c r="B23315">
        <f>TEXT(23314, "[$-0E0000]yyyy-mm-dd")</f>
        <v/>
      </c>
      <c r="C23315" t="inlineStr">
        <is>
          <t>1963-09-15</t>
        </is>
      </c>
    </row>
    <row r="23316">
      <c r="A23316" s="1" t="n">
        <v>23315</v>
      </c>
      <c r="B23316">
        <f>TEXT(23315, "[$-0E0000]yyyy-mm-dd")</f>
        <v/>
      </c>
      <c r="C23316" t="inlineStr">
        <is>
          <t>1963-09-16</t>
        </is>
      </c>
    </row>
    <row r="23317">
      <c r="A23317" s="1" t="n">
        <v>23316</v>
      </c>
      <c r="B23317">
        <f>TEXT(23316, "[$-0E0000]yyyy-mm-dd")</f>
        <v/>
      </c>
      <c r="C23317" t="inlineStr">
        <is>
          <t>1963-09-17</t>
        </is>
      </c>
    </row>
    <row r="23318">
      <c r="A23318" s="1" t="n">
        <v>23317</v>
      </c>
      <c r="B23318">
        <f>TEXT(23317, "[$-0E0000]yyyy-mm-dd")</f>
        <v/>
      </c>
      <c r="C23318" t="inlineStr">
        <is>
          <t>1963-09-18</t>
        </is>
      </c>
    </row>
    <row r="23319">
      <c r="A23319" s="1" t="n">
        <v>23318</v>
      </c>
      <c r="B23319">
        <f>TEXT(23318, "[$-0E0000]yyyy-mm-dd")</f>
        <v/>
      </c>
      <c r="C23319" t="inlineStr">
        <is>
          <t>1963-09-19</t>
        </is>
      </c>
    </row>
    <row r="23320">
      <c r="A23320" s="1" t="n">
        <v>23319</v>
      </c>
      <c r="B23320">
        <f>TEXT(23319, "[$-0E0000]yyyy-mm-dd")</f>
        <v/>
      </c>
      <c r="C23320" t="inlineStr">
        <is>
          <t>1963-09-20</t>
        </is>
      </c>
    </row>
    <row r="23321">
      <c r="A23321" s="1" t="n">
        <v>23320</v>
      </c>
      <c r="B23321">
        <f>TEXT(23320, "[$-0E0000]yyyy-mm-dd")</f>
        <v/>
      </c>
      <c r="C23321" t="inlineStr">
        <is>
          <t>1963-09-21</t>
        </is>
      </c>
    </row>
    <row r="23322">
      <c r="A23322" s="1" t="n">
        <v>23321</v>
      </c>
      <c r="B23322">
        <f>TEXT(23321, "[$-0E0000]yyyy-mm-dd")</f>
        <v/>
      </c>
      <c r="C23322" t="inlineStr">
        <is>
          <t>1963-09-22</t>
        </is>
      </c>
    </row>
    <row r="23323">
      <c r="A23323" s="1" t="n">
        <v>23322</v>
      </c>
      <c r="B23323">
        <f>TEXT(23322, "[$-0E0000]yyyy-mm-dd")</f>
        <v/>
      </c>
      <c r="C23323" t="inlineStr">
        <is>
          <t>1963-09-23</t>
        </is>
      </c>
    </row>
    <row r="23324">
      <c r="A23324" s="1" t="n">
        <v>23323</v>
      </c>
      <c r="B23324">
        <f>TEXT(23323, "[$-0E0000]yyyy-mm-dd")</f>
        <v/>
      </c>
      <c r="C23324" t="inlineStr">
        <is>
          <t>1963-09-24</t>
        </is>
      </c>
    </row>
    <row r="23325">
      <c r="A23325" s="1" t="n">
        <v>23324</v>
      </c>
      <c r="B23325">
        <f>TEXT(23324, "[$-0E0000]yyyy-mm-dd")</f>
        <v/>
      </c>
      <c r="C23325" t="inlineStr">
        <is>
          <t>1963-09-25</t>
        </is>
      </c>
    </row>
    <row r="23326">
      <c r="A23326" s="1" t="n">
        <v>23325</v>
      </c>
      <c r="B23326">
        <f>TEXT(23325, "[$-0E0000]yyyy-mm-dd")</f>
        <v/>
      </c>
      <c r="C23326" t="inlineStr">
        <is>
          <t>1963-09-26</t>
        </is>
      </c>
    </row>
    <row r="23327">
      <c r="A23327" s="1" t="n">
        <v>23326</v>
      </c>
      <c r="B23327">
        <f>TEXT(23326, "[$-0E0000]yyyy-mm-dd")</f>
        <v/>
      </c>
      <c r="C23327" t="inlineStr">
        <is>
          <t>1963-09-27</t>
        </is>
      </c>
    </row>
    <row r="23328">
      <c r="A23328" s="1" t="n">
        <v>23327</v>
      </c>
      <c r="B23328">
        <f>TEXT(23327, "[$-0E0000]yyyy-mm-dd")</f>
        <v/>
      </c>
      <c r="C23328" t="inlineStr">
        <is>
          <t>1963-09-28</t>
        </is>
      </c>
    </row>
    <row r="23329">
      <c r="A23329" s="1" t="n">
        <v>23328</v>
      </c>
      <c r="B23329">
        <f>TEXT(23328, "[$-0E0000]yyyy-mm-dd")</f>
        <v/>
      </c>
      <c r="C23329" t="inlineStr">
        <is>
          <t>1963-09-29</t>
        </is>
      </c>
    </row>
    <row r="23330">
      <c r="A23330" s="1" t="n">
        <v>23329</v>
      </c>
      <c r="B23330">
        <f>TEXT(23329, "[$-0E0000]yyyy-mm-dd")</f>
        <v/>
      </c>
      <c r="C23330" t="inlineStr">
        <is>
          <t>1963-09-30</t>
        </is>
      </c>
    </row>
    <row r="23331">
      <c r="A23331" s="1" t="n">
        <v>23330</v>
      </c>
      <c r="B23331">
        <f>TEXT(23330, "[$-0E0000]yyyy-mm-dd")</f>
        <v/>
      </c>
      <c r="C23331" t="inlineStr">
        <is>
          <t>1963-10-01</t>
        </is>
      </c>
    </row>
    <row r="23332">
      <c r="A23332" s="1" t="n">
        <v>23331</v>
      </c>
      <c r="B23332">
        <f>TEXT(23331, "[$-0E0000]yyyy-mm-dd")</f>
        <v/>
      </c>
      <c r="C23332" t="inlineStr">
        <is>
          <t>1963-10-02</t>
        </is>
      </c>
    </row>
    <row r="23333">
      <c r="A23333" s="1" t="n">
        <v>23332</v>
      </c>
      <c r="B23333">
        <f>TEXT(23332, "[$-0E0000]yyyy-mm-dd")</f>
        <v/>
      </c>
      <c r="C23333" t="inlineStr">
        <is>
          <t>1963-10-03</t>
        </is>
      </c>
    </row>
    <row r="23334">
      <c r="A23334" s="1" t="n">
        <v>23333</v>
      </c>
      <c r="B23334">
        <f>TEXT(23333, "[$-0E0000]yyyy-mm-dd")</f>
        <v/>
      </c>
      <c r="C23334" t="inlineStr">
        <is>
          <t>1963-10-04</t>
        </is>
      </c>
    </row>
    <row r="23335">
      <c r="A23335" s="1" t="n">
        <v>23334</v>
      </c>
      <c r="B23335">
        <f>TEXT(23334, "[$-0E0000]yyyy-mm-dd")</f>
        <v/>
      </c>
      <c r="C23335" t="inlineStr">
        <is>
          <t>1963-10-05</t>
        </is>
      </c>
    </row>
    <row r="23336">
      <c r="A23336" s="1" t="n">
        <v>23335</v>
      </c>
      <c r="B23336">
        <f>TEXT(23335, "[$-0E0000]yyyy-mm-dd")</f>
        <v/>
      </c>
      <c r="C23336" t="inlineStr">
        <is>
          <t>1963-10-06</t>
        </is>
      </c>
    </row>
    <row r="23337">
      <c r="A23337" s="1" t="n">
        <v>23336</v>
      </c>
      <c r="B23337">
        <f>TEXT(23336, "[$-0E0000]yyyy-mm-dd")</f>
        <v/>
      </c>
      <c r="C23337" t="inlineStr">
        <is>
          <t>1963-10-07</t>
        </is>
      </c>
    </row>
    <row r="23338">
      <c r="A23338" s="1" t="n">
        <v>23337</v>
      </c>
      <c r="B23338">
        <f>TEXT(23337, "[$-0E0000]yyyy-mm-dd")</f>
        <v/>
      </c>
      <c r="C23338" t="inlineStr">
        <is>
          <t>1963-10-08</t>
        </is>
      </c>
    </row>
    <row r="23339">
      <c r="A23339" s="1" t="n">
        <v>23338</v>
      </c>
      <c r="B23339">
        <f>TEXT(23338, "[$-0E0000]yyyy-mm-dd")</f>
        <v/>
      </c>
      <c r="C23339" t="inlineStr">
        <is>
          <t>1963-10-09</t>
        </is>
      </c>
    </row>
    <row r="23340">
      <c r="A23340" s="1" t="n">
        <v>23339</v>
      </c>
      <c r="B23340">
        <f>TEXT(23339, "[$-0E0000]yyyy-mm-dd")</f>
        <v/>
      </c>
      <c r="C23340" t="inlineStr">
        <is>
          <t>1963-10-10</t>
        </is>
      </c>
    </row>
    <row r="23341">
      <c r="A23341" s="1" t="n">
        <v>23340</v>
      </c>
      <c r="B23341">
        <f>TEXT(23340, "[$-0E0000]yyyy-mm-dd")</f>
        <v/>
      </c>
      <c r="C23341" t="inlineStr">
        <is>
          <t>1963-10-11</t>
        </is>
      </c>
    </row>
    <row r="23342">
      <c r="A23342" s="1" t="n">
        <v>23341</v>
      </c>
      <c r="B23342">
        <f>TEXT(23341, "[$-0E0000]yyyy-mm-dd")</f>
        <v/>
      </c>
      <c r="C23342" t="inlineStr">
        <is>
          <t>1963-10-12</t>
        </is>
      </c>
    </row>
    <row r="23343">
      <c r="A23343" s="1" t="n">
        <v>23342</v>
      </c>
      <c r="B23343">
        <f>TEXT(23342, "[$-0E0000]yyyy-mm-dd")</f>
        <v/>
      </c>
      <c r="C23343" t="inlineStr">
        <is>
          <t>1963-10-13</t>
        </is>
      </c>
    </row>
    <row r="23344">
      <c r="A23344" s="1" t="n">
        <v>23343</v>
      </c>
      <c r="B23344">
        <f>TEXT(23343, "[$-0E0000]yyyy-mm-dd")</f>
        <v/>
      </c>
      <c r="C23344" t="inlineStr">
        <is>
          <t>1963-10-14</t>
        </is>
      </c>
    </row>
    <row r="23345">
      <c r="A23345" s="1" t="n">
        <v>23344</v>
      </c>
      <c r="B23345">
        <f>TEXT(23344, "[$-0E0000]yyyy-mm-dd")</f>
        <v/>
      </c>
      <c r="C23345" t="inlineStr">
        <is>
          <t>1963-10-15</t>
        </is>
      </c>
    </row>
    <row r="23346">
      <c r="A23346" s="1" t="n">
        <v>23345</v>
      </c>
      <c r="B23346">
        <f>TEXT(23345, "[$-0E0000]yyyy-mm-dd")</f>
        <v/>
      </c>
      <c r="C23346" t="inlineStr">
        <is>
          <t>1963-10-16</t>
        </is>
      </c>
    </row>
    <row r="23347">
      <c r="A23347" s="1" t="n">
        <v>23346</v>
      </c>
      <c r="B23347">
        <f>TEXT(23346, "[$-0E0000]yyyy-mm-dd")</f>
        <v/>
      </c>
      <c r="C23347" t="inlineStr">
        <is>
          <t>1963-10-17</t>
        </is>
      </c>
    </row>
    <row r="23348">
      <c r="A23348" s="1" t="n">
        <v>23347</v>
      </c>
      <c r="B23348">
        <f>TEXT(23347, "[$-0E0000]yyyy-mm-dd")</f>
        <v/>
      </c>
      <c r="C23348" t="inlineStr">
        <is>
          <t>1963-10-18</t>
        </is>
      </c>
    </row>
    <row r="23349">
      <c r="A23349" s="1" t="n">
        <v>23348</v>
      </c>
      <c r="B23349">
        <f>TEXT(23348, "[$-0E0000]yyyy-mm-dd")</f>
        <v/>
      </c>
      <c r="C23349" t="inlineStr">
        <is>
          <t>1963-10-19</t>
        </is>
      </c>
    </row>
    <row r="23350">
      <c r="A23350" s="1" t="n">
        <v>23349</v>
      </c>
      <c r="B23350">
        <f>TEXT(23349, "[$-0E0000]yyyy-mm-dd")</f>
        <v/>
      </c>
      <c r="C23350" t="inlineStr">
        <is>
          <t>1963-10-20</t>
        </is>
      </c>
    </row>
    <row r="23351">
      <c r="A23351" s="1" t="n">
        <v>23350</v>
      </c>
      <c r="B23351">
        <f>TEXT(23350, "[$-0E0000]yyyy-mm-dd")</f>
        <v/>
      </c>
      <c r="C23351" t="inlineStr">
        <is>
          <t>1963-10-21</t>
        </is>
      </c>
    </row>
    <row r="23352">
      <c r="A23352" s="1" t="n">
        <v>23351</v>
      </c>
      <c r="B23352">
        <f>TEXT(23351, "[$-0E0000]yyyy-mm-dd")</f>
        <v/>
      </c>
      <c r="C23352" t="inlineStr">
        <is>
          <t>1963-10-22</t>
        </is>
      </c>
    </row>
    <row r="23353">
      <c r="A23353" s="1" t="n">
        <v>23352</v>
      </c>
      <c r="B23353">
        <f>TEXT(23352, "[$-0E0000]yyyy-mm-dd")</f>
        <v/>
      </c>
      <c r="C23353" t="inlineStr">
        <is>
          <t>1963-10-23</t>
        </is>
      </c>
    </row>
    <row r="23354">
      <c r="A23354" s="1" t="n">
        <v>23353</v>
      </c>
      <c r="B23354">
        <f>TEXT(23353, "[$-0E0000]yyyy-mm-dd")</f>
        <v/>
      </c>
      <c r="C23354" t="inlineStr">
        <is>
          <t>1963-10-24</t>
        </is>
      </c>
    </row>
    <row r="23355">
      <c r="A23355" s="1" t="n">
        <v>23354</v>
      </c>
      <c r="B23355">
        <f>TEXT(23354, "[$-0E0000]yyyy-mm-dd")</f>
        <v/>
      </c>
      <c r="C23355" t="inlineStr">
        <is>
          <t>1963-10-25</t>
        </is>
      </c>
    </row>
    <row r="23356">
      <c r="A23356" s="1" t="n">
        <v>23355</v>
      </c>
      <c r="B23356">
        <f>TEXT(23355, "[$-0E0000]yyyy-mm-dd")</f>
        <v/>
      </c>
      <c r="C23356" t="inlineStr">
        <is>
          <t>1963-10-26</t>
        </is>
      </c>
    </row>
    <row r="23357">
      <c r="A23357" s="1" t="n">
        <v>23356</v>
      </c>
      <c r="B23357">
        <f>TEXT(23356, "[$-0E0000]yyyy-mm-dd")</f>
        <v/>
      </c>
      <c r="C23357" t="inlineStr">
        <is>
          <t>1963-10-27</t>
        </is>
      </c>
    </row>
    <row r="23358">
      <c r="A23358" s="1" t="n">
        <v>23357</v>
      </c>
      <c r="B23358">
        <f>TEXT(23357, "[$-0E0000]yyyy-mm-dd")</f>
        <v/>
      </c>
      <c r="C23358" t="inlineStr">
        <is>
          <t>1963-10-28</t>
        </is>
      </c>
    </row>
    <row r="23359">
      <c r="A23359" s="1" t="n">
        <v>23358</v>
      </c>
      <c r="B23359">
        <f>TEXT(23358, "[$-0E0000]yyyy-mm-dd")</f>
        <v/>
      </c>
      <c r="C23359" t="inlineStr">
        <is>
          <t>1963-10-29</t>
        </is>
      </c>
    </row>
    <row r="23360">
      <c r="A23360" s="1" t="n">
        <v>23359</v>
      </c>
      <c r="B23360">
        <f>TEXT(23359, "[$-0E0000]yyyy-mm-dd")</f>
        <v/>
      </c>
      <c r="C23360" t="inlineStr">
        <is>
          <t>1963-10-30</t>
        </is>
      </c>
    </row>
    <row r="23361">
      <c r="A23361" s="1" t="n">
        <v>23360</v>
      </c>
      <c r="B23361">
        <f>TEXT(23360, "[$-0E0000]yyyy-mm-dd")</f>
        <v/>
      </c>
      <c r="C23361" t="inlineStr">
        <is>
          <t>1963-11-01</t>
        </is>
      </c>
    </row>
    <row r="23362">
      <c r="A23362" s="1" t="n">
        <v>23361</v>
      </c>
      <c r="B23362">
        <f>TEXT(23361, "[$-0E0000]yyyy-mm-dd")</f>
        <v/>
      </c>
      <c r="C23362" t="inlineStr">
        <is>
          <t>1963-11-02</t>
        </is>
      </c>
    </row>
    <row r="23363">
      <c r="A23363" s="1" t="n">
        <v>23362</v>
      </c>
      <c r="B23363">
        <f>TEXT(23362, "[$-0E0000]yyyy-mm-dd")</f>
        <v/>
      </c>
      <c r="C23363" t="inlineStr">
        <is>
          <t>1963-11-03</t>
        </is>
      </c>
    </row>
    <row r="23364">
      <c r="A23364" s="1" t="n">
        <v>23363</v>
      </c>
      <c r="B23364">
        <f>TEXT(23363, "[$-0E0000]yyyy-mm-dd")</f>
        <v/>
      </c>
      <c r="C23364" t="inlineStr">
        <is>
          <t>1963-11-04</t>
        </is>
      </c>
    </row>
    <row r="23365">
      <c r="A23365" s="1" t="n">
        <v>23364</v>
      </c>
      <c r="B23365">
        <f>TEXT(23364, "[$-0E0000]yyyy-mm-dd")</f>
        <v/>
      </c>
      <c r="C23365" t="inlineStr">
        <is>
          <t>1963-11-05</t>
        </is>
      </c>
    </row>
    <row r="23366">
      <c r="A23366" s="1" t="n">
        <v>23365</v>
      </c>
      <c r="B23366">
        <f>TEXT(23365, "[$-0E0000]yyyy-mm-dd")</f>
        <v/>
      </c>
      <c r="C23366" t="inlineStr">
        <is>
          <t>1963-11-06</t>
        </is>
      </c>
    </row>
    <row r="23367">
      <c r="A23367" s="1" t="n">
        <v>23366</v>
      </c>
      <c r="B23367">
        <f>TEXT(23366, "[$-0E0000]yyyy-mm-dd")</f>
        <v/>
      </c>
      <c r="C23367" t="inlineStr">
        <is>
          <t>1963-11-07</t>
        </is>
      </c>
    </row>
    <row r="23368">
      <c r="A23368" s="1" t="n">
        <v>23367</v>
      </c>
      <c r="B23368">
        <f>TEXT(23367, "[$-0E0000]yyyy-mm-dd")</f>
        <v/>
      </c>
      <c r="C23368" t="inlineStr">
        <is>
          <t>1963-11-08</t>
        </is>
      </c>
    </row>
    <row r="23369">
      <c r="A23369" s="1" t="n">
        <v>23368</v>
      </c>
      <c r="B23369">
        <f>TEXT(23368, "[$-0E0000]yyyy-mm-dd")</f>
        <v/>
      </c>
      <c r="C23369" t="inlineStr">
        <is>
          <t>1963-11-09</t>
        </is>
      </c>
    </row>
    <row r="23370">
      <c r="A23370" s="1" t="n">
        <v>23369</v>
      </c>
      <c r="B23370">
        <f>TEXT(23369, "[$-0E0000]yyyy-mm-dd")</f>
        <v/>
      </c>
      <c r="C23370" t="inlineStr">
        <is>
          <t>1963-11-10</t>
        </is>
      </c>
    </row>
    <row r="23371">
      <c r="A23371" s="1" t="n">
        <v>23370</v>
      </c>
      <c r="B23371">
        <f>TEXT(23370, "[$-0E0000]yyyy-mm-dd")</f>
        <v/>
      </c>
      <c r="C23371" t="inlineStr">
        <is>
          <t>1963-11-11</t>
        </is>
      </c>
    </row>
    <row r="23372">
      <c r="A23372" s="1" t="n">
        <v>23371</v>
      </c>
      <c r="B23372">
        <f>TEXT(23371, "[$-0E0000]yyyy-mm-dd")</f>
        <v/>
      </c>
      <c r="C23372" t="inlineStr">
        <is>
          <t>1963-11-12</t>
        </is>
      </c>
    </row>
    <row r="23373">
      <c r="A23373" s="1" t="n">
        <v>23372</v>
      </c>
      <c r="B23373">
        <f>TEXT(23372, "[$-0E0000]yyyy-mm-dd")</f>
        <v/>
      </c>
      <c r="C23373" t="inlineStr">
        <is>
          <t>1963-11-13</t>
        </is>
      </c>
    </row>
    <row r="23374">
      <c r="A23374" s="1" t="n">
        <v>23373</v>
      </c>
      <c r="B23374">
        <f>TEXT(23373, "[$-0E0000]yyyy-mm-dd")</f>
        <v/>
      </c>
      <c r="C23374" t="inlineStr">
        <is>
          <t>1963-11-14</t>
        </is>
      </c>
    </row>
    <row r="23375">
      <c r="A23375" s="1" t="n">
        <v>23374</v>
      </c>
      <c r="B23375">
        <f>TEXT(23374, "[$-0E0000]yyyy-mm-dd")</f>
        <v/>
      </c>
      <c r="C23375" t="inlineStr">
        <is>
          <t>1963-11-15</t>
        </is>
      </c>
    </row>
    <row r="23376">
      <c r="A23376" s="1" t="n">
        <v>23375</v>
      </c>
      <c r="B23376">
        <f>TEXT(23375, "[$-0E0000]yyyy-mm-dd")</f>
        <v/>
      </c>
      <c r="C23376" t="inlineStr">
        <is>
          <t>1963-11-16</t>
        </is>
      </c>
    </row>
    <row r="23377">
      <c r="A23377" s="1" t="n">
        <v>23376</v>
      </c>
      <c r="B23377">
        <f>TEXT(23376, "[$-0E0000]yyyy-mm-dd")</f>
        <v/>
      </c>
      <c r="C23377" t="inlineStr">
        <is>
          <t>1963-11-17</t>
        </is>
      </c>
    </row>
    <row r="23378">
      <c r="A23378" s="1" t="n">
        <v>23377</v>
      </c>
      <c r="B23378">
        <f>TEXT(23377, "[$-0E0000]yyyy-mm-dd")</f>
        <v/>
      </c>
      <c r="C23378" t="inlineStr">
        <is>
          <t>1963-11-18</t>
        </is>
      </c>
    </row>
    <row r="23379">
      <c r="A23379" s="1" t="n">
        <v>23378</v>
      </c>
      <c r="B23379">
        <f>TEXT(23378, "[$-0E0000]yyyy-mm-dd")</f>
        <v/>
      </c>
      <c r="C23379" t="inlineStr">
        <is>
          <t>1963-11-19</t>
        </is>
      </c>
    </row>
    <row r="23380">
      <c r="A23380" s="1" t="n">
        <v>23379</v>
      </c>
      <c r="B23380">
        <f>TEXT(23379, "[$-0E0000]yyyy-mm-dd")</f>
        <v/>
      </c>
      <c r="C23380" t="inlineStr">
        <is>
          <t>1963-11-20</t>
        </is>
      </c>
    </row>
    <row r="23381">
      <c r="A23381" s="1" t="n">
        <v>23380</v>
      </c>
      <c r="B23381">
        <f>TEXT(23380, "[$-0E0000]yyyy-mm-dd")</f>
        <v/>
      </c>
      <c r="C23381" t="inlineStr">
        <is>
          <t>1963-11-21</t>
        </is>
      </c>
    </row>
    <row r="23382">
      <c r="A23382" s="1" t="n">
        <v>23381</v>
      </c>
      <c r="B23382">
        <f>TEXT(23381, "[$-0E0000]yyyy-mm-dd")</f>
        <v/>
      </c>
      <c r="C23382" t="inlineStr">
        <is>
          <t>1963-11-22</t>
        </is>
      </c>
    </row>
    <row r="23383">
      <c r="A23383" s="1" t="n">
        <v>23382</v>
      </c>
      <c r="B23383">
        <f>TEXT(23382, "[$-0E0000]yyyy-mm-dd")</f>
        <v/>
      </c>
      <c r="C23383" t="inlineStr">
        <is>
          <t>1963-11-23</t>
        </is>
      </c>
    </row>
    <row r="23384">
      <c r="A23384" s="1" t="n">
        <v>23383</v>
      </c>
      <c r="B23384">
        <f>TEXT(23383, "[$-0E0000]yyyy-mm-dd")</f>
        <v/>
      </c>
      <c r="C23384" t="inlineStr">
        <is>
          <t>1963-11-24</t>
        </is>
      </c>
    </row>
    <row r="23385">
      <c r="A23385" s="1" t="n">
        <v>23384</v>
      </c>
      <c r="B23385">
        <f>TEXT(23384, "[$-0E0000]yyyy-mm-dd")</f>
        <v/>
      </c>
      <c r="C23385" t="inlineStr">
        <is>
          <t>1963-11-25</t>
        </is>
      </c>
    </row>
    <row r="23386">
      <c r="A23386" s="1" t="n">
        <v>23385</v>
      </c>
      <c r="B23386">
        <f>TEXT(23385, "[$-0E0000]yyyy-mm-dd")</f>
        <v/>
      </c>
      <c r="C23386" t="inlineStr">
        <is>
          <t>1963-11-26</t>
        </is>
      </c>
    </row>
    <row r="23387">
      <c r="A23387" s="1" t="n">
        <v>23386</v>
      </c>
      <c r="B23387">
        <f>TEXT(23386, "[$-0E0000]yyyy-mm-dd")</f>
        <v/>
      </c>
      <c r="C23387" t="inlineStr">
        <is>
          <t>1963-11-27</t>
        </is>
      </c>
    </row>
    <row r="23388">
      <c r="A23388" s="1" t="n">
        <v>23387</v>
      </c>
      <c r="B23388">
        <f>TEXT(23387, "[$-0E0000]yyyy-mm-dd")</f>
        <v/>
      </c>
      <c r="C23388" t="inlineStr">
        <is>
          <t>1963-11-28</t>
        </is>
      </c>
    </row>
    <row r="23389">
      <c r="A23389" s="1" t="n">
        <v>23388</v>
      </c>
      <c r="B23389">
        <f>TEXT(23388, "[$-0E0000]yyyy-mm-dd")</f>
        <v/>
      </c>
      <c r="C23389" t="inlineStr">
        <is>
          <t>1963-11-29</t>
        </is>
      </c>
    </row>
    <row r="23390">
      <c r="A23390" s="1" t="n">
        <v>23389</v>
      </c>
      <c r="B23390">
        <f>TEXT(23389, "[$-0E0000]yyyy-mm-dd")</f>
        <v/>
      </c>
      <c r="C23390" t="inlineStr">
        <is>
          <t>1963-11-30</t>
        </is>
      </c>
    </row>
    <row r="23391">
      <c r="A23391" s="1" t="n">
        <v>23390</v>
      </c>
      <c r="B23391">
        <f>TEXT(23390, "[$-0E0000]yyyy-mm-dd")</f>
        <v/>
      </c>
      <c r="C23391" t="inlineStr">
        <is>
          <t>1963-12-01</t>
        </is>
      </c>
    </row>
    <row r="23392">
      <c r="A23392" s="1" t="n">
        <v>23391</v>
      </c>
      <c r="B23392">
        <f>TEXT(23391, "[$-0E0000]yyyy-mm-dd")</f>
        <v/>
      </c>
      <c r="C23392" t="inlineStr">
        <is>
          <t>1963-12-02</t>
        </is>
      </c>
    </row>
    <row r="23393">
      <c r="A23393" s="1" t="n">
        <v>23392</v>
      </c>
      <c r="B23393">
        <f>TEXT(23392, "[$-0E0000]yyyy-mm-dd")</f>
        <v/>
      </c>
      <c r="C23393" t="inlineStr">
        <is>
          <t>1963-12-03</t>
        </is>
      </c>
    </row>
    <row r="23394">
      <c r="A23394" s="1" t="n">
        <v>23393</v>
      </c>
      <c r="B23394">
        <f>TEXT(23393, "[$-0E0000]yyyy-mm-dd")</f>
        <v/>
      </c>
      <c r="C23394" t="inlineStr">
        <is>
          <t>1963-12-04</t>
        </is>
      </c>
    </row>
    <row r="23395">
      <c r="A23395" s="1" t="n">
        <v>23394</v>
      </c>
      <c r="B23395">
        <f>TEXT(23394, "[$-0E0000]yyyy-mm-dd")</f>
        <v/>
      </c>
      <c r="C23395" t="inlineStr">
        <is>
          <t>1963-12-05</t>
        </is>
      </c>
    </row>
    <row r="23396">
      <c r="A23396" s="1" t="n">
        <v>23395</v>
      </c>
      <c r="B23396">
        <f>TEXT(23395, "[$-0E0000]yyyy-mm-dd")</f>
        <v/>
      </c>
      <c r="C23396" t="inlineStr">
        <is>
          <t>1963-12-06</t>
        </is>
      </c>
    </row>
    <row r="23397">
      <c r="A23397" s="1" t="n">
        <v>23396</v>
      </c>
      <c r="B23397">
        <f>TEXT(23396, "[$-0E0000]yyyy-mm-dd")</f>
        <v/>
      </c>
      <c r="C23397" t="inlineStr">
        <is>
          <t>1963-12-07</t>
        </is>
      </c>
    </row>
    <row r="23398">
      <c r="A23398" s="1" t="n">
        <v>23397</v>
      </c>
      <c r="B23398">
        <f>TEXT(23397, "[$-0E0000]yyyy-mm-dd")</f>
        <v/>
      </c>
      <c r="C23398" t="inlineStr">
        <is>
          <t>1963-12-08</t>
        </is>
      </c>
    </row>
    <row r="23399">
      <c r="A23399" s="1" t="n">
        <v>23398</v>
      </c>
      <c r="B23399">
        <f>TEXT(23398, "[$-0E0000]yyyy-mm-dd")</f>
        <v/>
      </c>
      <c r="C23399" t="inlineStr">
        <is>
          <t>1963-12-09</t>
        </is>
      </c>
    </row>
    <row r="23400">
      <c r="A23400" s="1" t="n">
        <v>23399</v>
      </c>
      <c r="B23400">
        <f>TEXT(23399, "[$-0E0000]yyyy-mm-dd")</f>
        <v/>
      </c>
      <c r="C23400" t="inlineStr">
        <is>
          <t>1963-12-10</t>
        </is>
      </c>
    </row>
    <row r="23401">
      <c r="A23401" s="1" t="n">
        <v>23400</v>
      </c>
      <c r="B23401">
        <f>TEXT(23400, "[$-0E0000]yyyy-mm-dd")</f>
        <v/>
      </c>
      <c r="C23401" t="inlineStr">
        <is>
          <t>1963-12-11</t>
        </is>
      </c>
    </row>
    <row r="23402">
      <c r="A23402" s="1" t="n">
        <v>23401</v>
      </c>
      <c r="B23402">
        <f>TEXT(23401, "[$-0E0000]yyyy-mm-dd")</f>
        <v/>
      </c>
      <c r="C23402" t="inlineStr">
        <is>
          <t>1963-12-12</t>
        </is>
      </c>
    </row>
    <row r="23403">
      <c r="A23403" s="1" t="n">
        <v>23402</v>
      </c>
      <c r="B23403">
        <f>TEXT(23402, "[$-0E0000]yyyy-mm-dd")</f>
        <v/>
      </c>
      <c r="C23403" t="inlineStr">
        <is>
          <t>1963-12-13</t>
        </is>
      </c>
    </row>
    <row r="23404">
      <c r="A23404" s="1" t="n">
        <v>23403</v>
      </c>
      <c r="B23404">
        <f>TEXT(23403, "[$-0E0000]yyyy-mm-dd")</f>
        <v/>
      </c>
      <c r="C23404" t="inlineStr">
        <is>
          <t>1963-12-14</t>
        </is>
      </c>
    </row>
    <row r="23405">
      <c r="A23405" s="1" t="n">
        <v>23404</v>
      </c>
      <c r="B23405">
        <f>TEXT(23404, "[$-0E0000]yyyy-mm-dd")</f>
        <v/>
      </c>
      <c r="C23405" t="inlineStr">
        <is>
          <t>1963-12-15</t>
        </is>
      </c>
    </row>
    <row r="23406">
      <c r="A23406" s="1" t="n">
        <v>23405</v>
      </c>
      <c r="B23406">
        <f>TEXT(23405, "[$-0E0000]yyyy-mm-dd")</f>
        <v/>
      </c>
      <c r="C23406" t="inlineStr">
        <is>
          <t>1963-12-16</t>
        </is>
      </c>
    </row>
    <row r="23407">
      <c r="A23407" s="1" t="n">
        <v>23406</v>
      </c>
      <c r="B23407">
        <f>TEXT(23406, "[$-0E0000]yyyy-mm-dd")</f>
        <v/>
      </c>
      <c r="C23407" t="inlineStr">
        <is>
          <t>1963-12-17</t>
        </is>
      </c>
    </row>
    <row r="23408">
      <c r="A23408" s="1" t="n">
        <v>23407</v>
      </c>
      <c r="B23408">
        <f>TEXT(23407, "[$-0E0000]yyyy-mm-dd")</f>
        <v/>
      </c>
      <c r="C23408" t="inlineStr">
        <is>
          <t>1963-12-18</t>
        </is>
      </c>
    </row>
    <row r="23409">
      <c r="A23409" s="1" t="n">
        <v>23408</v>
      </c>
      <c r="B23409">
        <f>TEXT(23408, "[$-0E0000]yyyy-mm-dd")</f>
        <v/>
      </c>
      <c r="C23409" t="inlineStr">
        <is>
          <t>1963-12-19</t>
        </is>
      </c>
    </row>
    <row r="23410">
      <c r="A23410" s="1" t="n">
        <v>23409</v>
      </c>
      <c r="B23410">
        <f>TEXT(23409, "[$-0E0000]yyyy-mm-dd")</f>
        <v/>
      </c>
      <c r="C23410" t="inlineStr">
        <is>
          <t>1963-12-20</t>
        </is>
      </c>
    </row>
    <row r="23411">
      <c r="A23411" s="1" t="n">
        <v>23410</v>
      </c>
      <c r="B23411">
        <f>TEXT(23410, "[$-0E0000]yyyy-mm-dd")</f>
        <v/>
      </c>
      <c r="C23411" t="inlineStr">
        <is>
          <t>1963-12-21</t>
        </is>
      </c>
    </row>
    <row r="23412">
      <c r="A23412" s="1" t="n">
        <v>23411</v>
      </c>
      <c r="B23412">
        <f>TEXT(23411, "[$-0E0000]yyyy-mm-dd")</f>
        <v/>
      </c>
      <c r="C23412" t="inlineStr">
        <is>
          <t>1963-12-22</t>
        </is>
      </c>
    </row>
    <row r="23413">
      <c r="A23413" s="1" t="n">
        <v>23412</v>
      </c>
      <c r="B23413">
        <f>TEXT(23412, "[$-0E0000]yyyy-mm-dd")</f>
        <v/>
      </c>
      <c r="C23413" t="inlineStr">
        <is>
          <t>1963-12-23</t>
        </is>
      </c>
    </row>
    <row r="23414">
      <c r="A23414" s="1" t="n">
        <v>23413</v>
      </c>
      <c r="B23414">
        <f>TEXT(23413, "[$-0E0000]yyyy-mm-dd")</f>
        <v/>
      </c>
      <c r="C23414" t="inlineStr">
        <is>
          <t>1963-12-24</t>
        </is>
      </c>
    </row>
    <row r="23415">
      <c r="A23415" s="1" t="n">
        <v>23414</v>
      </c>
      <c r="B23415">
        <f>TEXT(23414, "[$-0E0000]yyyy-mm-dd")</f>
        <v/>
      </c>
      <c r="C23415" t="inlineStr">
        <is>
          <t>1963-12-25</t>
        </is>
      </c>
    </row>
    <row r="23416">
      <c r="A23416" s="1" t="n">
        <v>23415</v>
      </c>
      <c r="B23416">
        <f>TEXT(23415, "[$-0E0000]yyyy-mm-dd")</f>
        <v/>
      </c>
      <c r="C23416" t="inlineStr">
        <is>
          <t>1963-12-26</t>
        </is>
      </c>
    </row>
    <row r="23417">
      <c r="A23417" s="1" t="n">
        <v>23416</v>
      </c>
      <c r="B23417">
        <f>TEXT(23416, "[$-0E0000]yyyy-mm-dd")</f>
        <v/>
      </c>
      <c r="C23417" t="inlineStr">
        <is>
          <t>1963-12-27</t>
        </is>
      </c>
    </row>
    <row r="23418">
      <c r="A23418" s="1" t="n">
        <v>23417</v>
      </c>
      <c r="B23418">
        <f>TEXT(23417, "[$-0E0000]yyyy-mm-dd")</f>
        <v/>
      </c>
      <c r="C23418" t="inlineStr">
        <is>
          <t>1963-12-28</t>
        </is>
      </c>
    </row>
    <row r="23419">
      <c r="A23419" s="1" t="n">
        <v>23418</v>
      </c>
      <c r="B23419">
        <f>TEXT(23418, "[$-0E0000]yyyy-mm-dd")</f>
        <v/>
      </c>
      <c r="C23419" t="inlineStr">
        <is>
          <t>1963-12-29</t>
        </is>
      </c>
    </row>
    <row r="23420">
      <c r="A23420" s="1" t="n">
        <v>23419</v>
      </c>
      <c r="B23420">
        <f>TEXT(23419, "[$-0E0000]yyyy-mm-dd")</f>
        <v/>
      </c>
      <c r="C23420" t="inlineStr">
        <is>
          <t>1964-01-01</t>
        </is>
      </c>
    </row>
    <row r="23421">
      <c r="A23421" s="1" t="n">
        <v>23420</v>
      </c>
      <c r="B23421">
        <f>TEXT(23420, "[$-0E0000]yyyy-mm-dd")</f>
        <v/>
      </c>
      <c r="C23421" t="inlineStr">
        <is>
          <t>1964-01-02</t>
        </is>
      </c>
    </row>
    <row r="23422">
      <c r="A23422" s="1" t="n">
        <v>23421</v>
      </c>
      <c r="B23422">
        <f>TEXT(23421, "[$-0E0000]yyyy-mm-dd")</f>
        <v/>
      </c>
      <c r="C23422" t="inlineStr">
        <is>
          <t>1964-01-03</t>
        </is>
      </c>
    </row>
    <row r="23423">
      <c r="A23423" s="1" t="n">
        <v>23422</v>
      </c>
      <c r="B23423">
        <f>TEXT(23422, "[$-0E0000]yyyy-mm-dd")</f>
        <v/>
      </c>
      <c r="C23423" t="inlineStr">
        <is>
          <t>1964-01-04</t>
        </is>
      </c>
    </row>
    <row r="23424">
      <c r="A23424" s="1" t="n">
        <v>23423</v>
      </c>
      <c r="B23424">
        <f>TEXT(23423, "[$-0E0000]yyyy-mm-dd")</f>
        <v/>
      </c>
      <c r="C23424" t="inlineStr">
        <is>
          <t>1964-01-05</t>
        </is>
      </c>
    </row>
    <row r="23425">
      <c r="A23425" s="1" t="n">
        <v>23424</v>
      </c>
      <c r="B23425">
        <f>TEXT(23424, "[$-0E0000]yyyy-mm-dd")</f>
        <v/>
      </c>
      <c r="C23425" t="inlineStr">
        <is>
          <t>1964-01-06</t>
        </is>
      </c>
    </row>
    <row r="23426">
      <c r="A23426" s="1" t="n">
        <v>23425</v>
      </c>
      <c r="B23426">
        <f>TEXT(23425, "[$-0E0000]yyyy-mm-dd")</f>
        <v/>
      </c>
      <c r="C23426" t="inlineStr">
        <is>
          <t>1964-01-07</t>
        </is>
      </c>
    </row>
    <row r="23427">
      <c r="A23427" s="1" t="n">
        <v>23426</v>
      </c>
      <c r="B23427">
        <f>TEXT(23426, "[$-0E0000]yyyy-mm-dd")</f>
        <v/>
      </c>
      <c r="C23427" t="inlineStr">
        <is>
          <t>1964-01-08</t>
        </is>
      </c>
    </row>
    <row r="23428">
      <c r="A23428" s="1" t="n">
        <v>23427</v>
      </c>
      <c r="B23428">
        <f>TEXT(23427, "[$-0E0000]yyyy-mm-dd")</f>
        <v/>
      </c>
      <c r="C23428" t="inlineStr">
        <is>
          <t>1964-01-09</t>
        </is>
      </c>
    </row>
    <row r="23429">
      <c r="A23429" s="1" t="n">
        <v>23428</v>
      </c>
      <c r="B23429">
        <f>TEXT(23428, "[$-0E0000]yyyy-mm-dd")</f>
        <v/>
      </c>
      <c r="C23429" t="inlineStr">
        <is>
          <t>1964-01-10</t>
        </is>
      </c>
    </row>
    <row r="23430">
      <c r="A23430" s="1" t="n">
        <v>23429</v>
      </c>
      <c r="B23430">
        <f>TEXT(23429, "[$-0E0000]yyyy-mm-dd")</f>
        <v/>
      </c>
      <c r="C23430" t="inlineStr">
        <is>
          <t>1964-01-11</t>
        </is>
      </c>
    </row>
    <row r="23431">
      <c r="A23431" s="1" t="n">
        <v>23430</v>
      </c>
      <c r="B23431">
        <f>TEXT(23430, "[$-0E0000]yyyy-mm-dd")</f>
        <v/>
      </c>
      <c r="C23431" t="inlineStr">
        <is>
          <t>1964-01-12</t>
        </is>
      </c>
    </row>
    <row r="23432">
      <c r="A23432" s="1" t="n">
        <v>23431</v>
      </c>
      <c r="B23432">
        <f>TEXT(23431, "[$-0E0000]yyyy-mm-dd")</f>
        <v/>
      </c>
      <c r="C23432" t="inlineStr">
        <is>
          <t>1964-01-13</t>
        </is>
      </c>
    </row>
    <row r="23433">
      <c r="A23433" s="1" t="n">
        <v>23432</v>
      </c>
      <c r="B23433">
        <f>TEXT(23432, "[$-0E0000]yyyy-mm-dd")</f>
        <v/>
      </c>
      <c r="C23433" t="inlineStr">
        <is>
          <t>1964-01-14</t>
        </is>
      </c>
    </row>
    <row r="23434">
      <c r="A23434" s="1" t="n">
        <v>23433</v>
      </c>
      <c r="B23434">
        <f>TEXT(23433, "[$-0E0000]yyyy-mm-dd")</f>
        <v/>
      </c>
      <c r="C23434" t="inlineStr">
        <is>
          <t>1964-01-15</t>
        </is>
      </c>
    </row>
    <row r="23435">
      <c r="A23435" s="1" t="n">
        <v>23434</v>
      </c>
      <c r="B23435">
        <f>TEXT(23434, "[$-0E0000]yyyy-mm-dd")</f>
        <v/>
      </c>
      <c r="C23435" t="inlineStr">
        <is>
          <t>1964-01-16</t>
        </is>
      </c>
    </row>
    <row r="23436">
      <c r="A23436" s="1" t="n">
        <v>23435</v>
      </c>
      <c r="B23436">
        <f>TEXT(23435, "[$-0E0000]yyyy-mm-dd")</f>
        <v/>
      </c>
      <c r="C23436" t="inlineStr">
        <is>
          <t>1964-01-17</t>
        </is>
      </c>
    </row>
    <row r="23437">
      <c r="A23437" s="1" t="n">
        <v>23436</v>
      </c>
      <c r="B23437">
        <f>TEXT(23436, "[$-0E0000]yyyy-mm-dd")</f>
        <v/>
      </c>
      <c r="C23437" t="inlineStr">
        <is>
          <t>1964-01-18</t>
        </is>
      </c>
    </row>
    <row r="23438">
      <c r="A23438" s="1" t="n">
        <v>23437</v>
      </c>
      <c r="B23438">
        <f>TEXT(23437, "[$-0E0000]yyyy-mm-dd")</f>
        <v/>
      </c>
      <c r="C23438" t="inlineStr">
        <is>
          <t>1964-01-19</t>
        </is>
      </c>
    </row>
    <row r="23439">
      <c r="A23439" s="1" t="n">
        <v>23438</v>
      </c>
      <c r="B23439">
        <f>TEXT(23438, "[$-0E0000]yyyy-mm-dd")</f>
        <v/>
      </c>
      <c r="C23439" t="inlineStr">
        <is>
          <t>1964-01-20</t>
        </is>
      </c>
    </row>
    <row r="23440">
      <c r="A23440" s="1" t="n">
        <v>23439</v>
      </c>
      <c r="B23440">
        <f>TEXT(23439, "[$-0E0000]yyyy-mm-dd")</f>
        <v/>
      </c>
      <c r="C23440" t="inlineStr">
        <is>
          <t>1964-01-21</t>
        </is>
      </c>
    </row>
    <row r="23441">
      <c r="A23441" s="1" t="n">
        <v>23440</v>
      </c>
      <c r="B23441">
        <f>TEXT(23440, "[$-0E0000]yyyy-mm-dd")</f>
        <v/>
      </c>
      <c r="C23441" t="inlineStr">
        <is>
          <t>1964-01-22</t>
        </is>
      </c>
    </row>
    <row r="23442">
      <c r="A23442" s="1" t="n">
        <v>23441</v>
      </c>
      <c r="B23442">
        <f>TEXT(23441, "[$-0E0000]yyyy-mm-dd")</f>
        <v/>
      </c>
      <c r="C23442" t="inlineStr">
        <is>
          <t>1964-01-23</t>
        </is>
      </c>
    </row>
    <row r="23443">
      <c r="A23443" s="1" t="n">
        <v>23442</v>
      </c>
      <c r="B23443">
        <f>TEXT(23442, "[$-0E0000]yyyy-mm-dd")</f>
        <v/>
      </c>
      <c r="C23443" t="inlineStr">
        <is>
          <t>1964-01-24</t>
        </is>
      </c>
    </row>
    <row r="23444">
      <c r="A23444" s="1" t="n">
        <v>23443</v>
      </c>
      <c r="B23444">
        <f>TEXT(23443, "[$-0E0000]yyyy-mm-dd")</f>
        <v/>
      </c>
      <c r="C23444" t="inlineStr">
        <is>
          <t>1964-01-25</t>
        </is>
      </c>
    </row>
    <row r="23445">
      <c r="A23445" s="1" t="n">
        <v>23444</v>
      </c>
      <c r="B23445">
        <f>TEXT(23444, "[$-0E0000]yyyy-mm-dd")</f>
        <v/>
      </c>
      <c r="C23445" t="inlineStr">
        <is>
          <t>1964-01-26</t>
        </is>
      </c>
    </row>
    <row r="23446">
      <c r="A23446" s="1" t="n">
        <v>23445</v>
      </c>
      <c r="B23446">
        <f>TEXT(23445, "[$-0E0000]yyyy-mm-dd")</f>
        <v/>
      </c>
      <c r="C23446" t="inlineStr">
        <is>
          <t>1964-01-27</t>
        </is>
      </c>
    </row>
    <row r="23447">
      <c r="A23447" s="1" t="n">
        <v>23446</v>
      </c>
      <c r="B23447">
        <f>TEXT(23446, "[$-0E0000]yyyy-mm-dd")</f>
        <v/>
      </c>
      <c r="C23447" t="inlineStr">
        <is>
          <t>1964-01-28</t>
        </is>
      </c>
    </row>
    <row r="23448">
      <c r="A23448" s="1" t="n">
        <v>23447</v>
      </c>
      <c r="B23448">
        <f>TEXT(23447, "[$-0E0000]yyyy-mm-dd")</f>
        <v/>
      </c>
      <c r="C23448" t="inlineStr">
        <is>
          <t>1964-01-29</t>
        </is>
      </c>
    </row>
    <row r="23449">
      <c r="A23449" s="1" t="n">
        <v>23448</v>
      </c>
      <c r="B23449">
        <f>TEXT(23448, "[$-0E0000]yyyy-mm-dd")</f>
        <v/>
      </c>
      <c r="C23449" t="inlineStr">
        <is>
          <t>1964-01-30</t>
        </is>
      </c>
    </row>
    <row r="23450">
      <c r="A23450" s="1" t="n">
        <v>23449</v>
      </c>
      <c r="B23450">
        <f>TEXT(23449, "[$-0E0000]yyyy-mm-dd")</f>
        <v/>
      </c>
      <c r="C23450" t="inlineStr">
        <is>
          <t>1964-02-01</t>
        </is>
      </c>
    </row>
    <row r="23451">
      <c r="A23451" s="1" t="n">
        <v>23450</v>
      </c>
      <c r="B23451">
        <f>TEXT(23450, "[$-0E0000]yyyy-mm-dd")</f>
        <v/>
      </c>
      <c r="C23451" t="inlineStr">
        <is>
          <t>1964-02-02</t>
        </is>
      </c>
    </row>
    <row r="23452">
      <c r="A23452" s="1" t="n">
        <v>23451</v>
      </c>
      <c r="B23452">
        <f>TEXT(23451, "[$-0E0000]yyyy-mm-dd")</f>
        <v/>
      </c>
      <c r="C23452" t="inlineStr">
        <is>
          <t>1964-02-03</t>
        </is>
      </c>
    </row>
    <row r="23453">
      <c r="A23453" s="1" t="n">
        <v>23452</v>
      </c>
      <c r="B23453">
        <f>TEXT(23452, "[$-0E0000]yyyy-mm-dd")</f>
        <v/>
      </c>
      <c r="C23453" t="inlineStr">
        <is>
          <t>1964-02-04</t>
        </is>
      </c>
    </row>
    <row r="23454">
      <c r="A23454" s="1" t="n">
        <v>23453</v>
      </c>
      <c r="B23454">
        <f>TEXT(23453, "[$-0E0000]yyyy-mm-dd")</f>
        <v/>
      </c>
      <c r="C23454" t="inlineStr">
        <is>
          <t>1964-02-05</t>
        </is>
      </c>
    </row>
    <row r="23455">
      <c r="A23455" s="1" t="n">
        <v>23454</v>
      </c>
      <c r="B23455">
        <f>TEXT(23454, "[$-0E0000]yyyy-mm-dd")</f>
        <v/>
      </c>
      <c r="C23455" t="inlineStr">
        <is>
          <t>1964-02-06</t>
        </is>
      </c>
    </row>
    <row r="23456">
      <c r="A23456" s="1" t="n">
        <v>23455</v>
      </c>
      <c r="B23456">
        <f>TEXT(23455, "[$-0E0000]yyyy-mm-dd")</f>
        <v/>
      </c>
      <c r="C23456" t="inlineStr">
        <is>
          <t>1964-02-07</t>
        </is>
      </c>
    </row>
    <row r="23457">
      <c r="A23457" s="1" t="n">
        <v>23456</v>
      </c>
      <c r="B23457">
        <f>TEXT(23456, "[$-0E0000]yyyy-mm-dd")</f>
        <v/>
      </c>
      <c r="C23457" t="inlineStr">
        <is>
          <t>1964-02-08</t>
        </is>
      </c>
    </row>
    <row r="23458">
      <c r="A23458" s="1" t="n">
        <v>23457</v>
      </c>
      <c r="B23458">
        <f>TEXT(23457, "[$-0E0000]yyyy-mm-dd")</f>
        <v/>
      </c>
      <c r="C23458" t="inlineStr">
        <is>
          <t>1964-02-09</t>
        </is>
      </c>
    </row>
    <row r="23459">
      <c r="A23459" s="1" t="n">
        <v>23458</v>
      </c>
      <c r="B23459">
        <f>TEXT(23458, "[$-0E0000]yyyy-mm-dd")</f>
        <v/>
      </c>
      <c r="C23459" t="inlineStr">
        <is>
          <t>1964-02-10</t>
        </is>
      </c>
    </row>
    <row r="23460">
      <c r="A23460" s="1" t="n">
        <v>23459</v>
      </c>
      <c r="B23460">
        <f>TEXT(23459, "[$-0E0000]yyyy-mm-dd")</f>
        <v/>
      </c>
      <c r="C23460" t="inlineStr">
        <is>
          <t>1964-02-11</t>
        </is>
      </c>
    </row>
    <row r="23461">
      <c r="A23461" s="1" t="n">
        <v>23460</v>
      </c>
      <c r="B23461">
        <f>TEXT(23460, "[$-0E0000]yyyy-mm-dd")</f>
        <v/>
      </c>
      <c r="C23461" t="inlineStr">
        <is>
          <t>1964-02-12</t>
        </is>
      </c>
    </row>
    <row r="23462">
      <c r="A23462" s="1" t="n">
        <v>23461</v>
      </c>
      <c r="B23462">
        <f>TEXT(23461, "[$-0E0000]yyyy-mm-dd")</f>
        <v/>
      </c>
      <c r="C23462" t="inlineStr">
        <is>
          <t>1964-02-13</t>
        </is>
      </c>
    </row>
    <row r="23463">
      <c r="A23463" s="1" t="n">
        <v>23462</v>
      </c>
      <c r="B23463">
        <f>TEXT(23462, "[$-0E0000]yyyy-mm-dd")</f>
        <v/>
      </c>
      <c r="C23463" t="inlineStr">
        <is>
          <t>1964-02-14</t>
        </is>
      </c>
    </row>
    <row r="23464">
      <c r="A23464" s="1" t="n">
        <v>23463</v>
      </c>
      <c r="B23464">
        <f>TEXT(23463, "[$-0E0000]yyyy-mm-dd")</f>
        <v/>
      </c>
      <c r="C23464" t="inlineStr">
        <is>
          <t>1964-02-15</t>
        </is>
      </c>
    </row>
    <row r="23465">
      <c r="A23465" s="1" t="n">
        <v>23464</v>
      </c>
      <c r="B23465">
        <f>TEXT(23464, "[$-0E0000]yyyy-mm-dd")</f>
        <v/>
      </c>
      <c r="C23465" t="inlineStr">
        <is>
          <t>1964-02-16</t>
        </is>
      </c>
    </row>
    <row r="23466">
      <c r="A23466" s="1" t="n">
        <v>23465</v>
      </c>
      <c r="B23466">
        <f>TEXT(23465, "[$-0E0000]yyyy-mm-dd")</f>
        <v/>
      </c>
      <c r="C23466" t="inlineStr">
        <is>
          <t>1964-02-17</t>
        </is>
      </c>
    </row>
    <row r="23467">
      <c r="A23467" s="1" t="n">
        <v>23466</v>
      </c>
      <c r="B23467">
        <f>TEXT(23466, "[$-0E0000]yyyy-mm-dd")</f>
        <v/>
      </c>
      <c r="C23467" t="inlineStr">
        <is>
          <t>1964-02-18</t>
        </is>
      </c>
    </row>
    <row r="23468">
      <c r="A23468" s="1" t="n">
        <v>23467</v>
      </c>
      <c r="B23468">
        <f>TEXT(23467, "[$-0E0000]yyyy-mm-dd")</f>
        <v/>
      </c>
      <c r="C23468" t="inlineStr">
        <is>
          <t>1964-02-19</t>
        </is>
      </c>
    </row>
    <row r="23469">
      <c r="A23469" s="1" t="n">
        <v>23468</v>
      </c>
      <c r="B23469">
        <f>TEXT(23468, "[$-0E0000]yyyy-mm-dd")</f>
        <v/>
      </c>
      <c r="C23469" t="inlineStr">
        <is>
          <t>1964-02-20</t>
        </is>
      </c>
    </row>
    <row r="23470">
      <c r="A23470" s="1" t="n">
        <v>23469</v>
      </c>
      <c r="B23470">
        <f>TEXT(23469, "[$-0E0000]yyyy-mm-dd")</f>
        <v/>
      </c>
      <c r="C23470" t="inlineStr">
        <is>
          <t>1964-02-21</t>
        </is>
      </c>
    </row>
    <row r="23471">
      <c r="A23471" s="1" t="n">
        <v>23470</v>
      </c>
      <c r="B23471">
        <f>TEXT(23470, "[$-0E0000]yyyy-mm-dd")</f>
        <v/>
      </c>
      <c r="C23471" t="inlineStr">
        <is>
          <t>1964-02-22</t>
        </is>
      </c>
    </row>
    <row r="23472">
      <c r="A23472" s="1" t="n">
        <v>23471</v>
      </c>
      <c r="B23472">
        <f>TEXT(23471, "[$-0E0000]yyyy-mm-dd")</f>
        <v/>
      </c>
      <c r="C23472" t="inlineStr">
        <is>
          <t>1964-02-23</t>
        </is>
      </c>
    </row>
    <row r="23473">
      <c r="A23473" s="1" t="n">
        <v>23472</v>
      </c>
      <c r="B23473">
        <f>TEXT(23472, "[$-0E0000]yyyy-mm-dd")</f>
        <v/>
      </c>
      <c r="C23473" t="inlineStr">
        <is>
          <t>1964-02-24</t>
        </is>
      </c>
    </row>
    <row r="23474">
      <c r="A23474" s="1" t="n">
        <v>23473</v>
      </c>
      <c r="B23474">
        <f>TEXT(23473, "[$-0E0000]yyyy-mm-dd")</f>
        <v/>
      </c>
      <c r="C23474" t="inlineStr">
        <is>
          <t>1964-02-25</t>
        </is>
      </c>
    </row>
    <row r="23475">
      <c r="A23475" s="1" t="n">
        <v>23474</v>
      </c>
      <c r="B23475">
        <f>TEXT(23474, "[$-0E0000]yyyy-mm-dd")</f>
        <v/>
      </c>
      <c r="C23475" t="inlineStr">
        <is>
          <t>1964-02-26</t>
        </is>
      </c>
    </row>
    <row r="23476">
      <c r="A23476" s="1" t="n">
        <v>23475</v>
      </c>
      <c r="B23476">
        <f>TEXT(23475, "[$-0E0000]yyyy-mm-dd")</f>
        <v/>
      </c>
      <c r="C23476" t="inlineStr">
        <is>
          <t>1964-02-27</t>
        </is>
      </c>
    </row>
    <row r="23477">
      <c r="A23477" s="1" t="n">
        <v>23476</v>
      </c>
      <c r="B23477">
        <f>TEXT(23476, "[$-0E0000]yyyy-mm-dd")</f>
        <v/>
      </c>
      <c r="C23477" t="inlineStr">
        <is>
          <t>1964-02-28</t>
        </is>
      </c>
    </row>
    <row r="23478">
      <c r="A23478" s="1" t="n">
        <v>23477</v>
      </c>
      <c r="B23478">
        <f>TEXT(23477, "[$-0E0000]yyyy-mm-dd")</f>
        <v/>
      </c>
      <c r="C23478" t="inlineStr">
        <is>
          <t>1964-02-29</t>
        </is>
      </c>
    </row>
    <row r="23479">
      <c r="A23479" s="1" t="n">
        <v>23478</v>
      </c>
      <c r="B23479">
        <f>TEXT(23478, "[$-0E0000]yyyy-mm-dd")</f>
        <v/>
      </c>
      <c r="C23479" t="inlineStr">
        <is>
          <t>1964-03-01</t>
        </is>
      </c>
    </row>
    <row r="23480">
      <c r="A23480" s="1" t="n">
        <v>23479</v>
      </c>
      <c r="B23480">
        <f>TEXT(23479, "[$-0E0000]yyyy-mm-dd")</f>
        <v/>
      </c>
      <c r="C23480" t="inlineStr">
        <is>
          <t>1964-03-02</t>
        </is>
      </c>
    </row>
    <row r="23481">
      <c r="A23481" s="1" t="n">
        <v>23480</v>
      </c>
      <c r="B23481">
        <f>TEXT(23480, "[$-0E0000]yyyy-mm-dd")</f>
        <v/>
      </c>
      <c r="C23481" t="inlineStr">
        <is>
          <t>1964-03-03</t>
        </is>
      </c>
    </row>
    <row r="23482">
      <c r="A23482" s="1" t="n">
        <v>23481</v>
      </c>
      <c r="B23482">
        <f>TEXT(23481, "[$-0E0000]yyyy-mm-dd")</f>
        <v/>
      </c>
      <c r="C23482" t="inlineStr">
        <is>
          <t>1964-03-04</t>
        </is>
      </c>
    </row>
    <row r="23483">
      <c r="A23483" s="1" t="n">
        <v>23482</v>
      </c>
      <c r="B23483">
        <f>TEXT(23482, "[$-0E0000]yyyy-mm-dd")</f>
        <v/>
      </c>
      <c r="C23483" t="inlineStr">
        <is>
          <t>1964-03-05</t>
        </is>
      </c>
    </row>
    <row r="23484">
      <c r="A23484" s="1" t="n">
        <v>23483</v>
      </c>
      <c r="B23484">
        <f>TEXT(23483, "[$-0E0000]yyyy-mm-dd")</f>
        <v/>
      </c>
      <c r="C23484" t="inlineStr">
        <is>
          <t>1964-03-06</t>
        </is>
      </c>
    </row>
    <row r="23485">
      <c r="A23485" s="1" t="n">
        <v>23484</v>
      </c>
      <c r="B23485">
        <f>TEXT(23484, "[$-0E0000]yyyy-mm-dd")</f>
        <v/>
      </c>
      <c r="C23485" t="inlineStr">
        <is>
          <t>1964-03-07</t>
        </is>
      </c>
    </row>
    <row r="23486">
      <c r="A23486" s="1" t="n">
        <v>23485</v>
      </c>
      <c r="B23486">
        <f>TEXT(23485, "[$-0E0000]yyyy-mm-dd")</f>
        <v/>
      </c>
      <c r="C23486" t="inlineStr">
        <is>
          <t>1964-03-08</t>
        </is>
      </c>
    </row>
    <row r="23487">
      <c r="A23487" s="1" t="n">
        <v>23486</v>
      </c>
      <c r="B23487">
        <f>TEXT(23486, "[$-0E0000]yyyy-mm-dd")</f>
        <v/>
      </c>
      <c r="C23487" t="inlineStr">
        <is>
          <t>1964-03-09</t>
        </is>
      </c>
    </row>
    <row r="23488">
      <c r="A23488" s="1" t="n">
        <v>23487</v>
      </c>
      <c r="B23488">
        <f>TEXT(23487, "[$-0E0000]yyyy-mm-dd")</f>
        <v/>
      </c>
      <c r="C23488" t="inlineStr">
        <is>
          <t>1964-03-10</t>
        </is>
      </c>
    </row>
    <row r="23489">
      <c r="A23489" s="1" t="n">
        <v>23488</v>
      </c>
      <c r="B23489">
        <f>TEXT(23488, "[$-0E0000]yyyy-mm-dd")</f>
        <v/>
      </c>
      <c r="C23489" t="inlineStr">
        <is>
          <t>1964-03-11</t>
        </is>
      </c>
    </row>
    <row r="23490">
      <c r="A23490" s="1" t="n">
        <v>23489</v>
      </c>
      <c r="B23490">
        <f>TEXT(23489, "[$-0E0000]yyyy-mm-dd")</f>
        <v/>
      </c>
      <c r="C23490" t="inlineStr">
        <is>
          <t>1964-03-12</t>
        </is>
      </c>
    </row>
    <row r="23491">
      <c r="A23491" s="1" t="n">
        <v>23490</v>
      </c>
      <c r="B23491">
        <f>TEXT(23490, "[$-0E0000]yyyy-mm-dd")</f>
        <v/>
      </c>
      <c r="C23491" t="inlineStr">
        <is>
          <t>1964-03-13</t>
        </is>
      </c>
    </row>
    <row r="23492">
      <c r="A23492" s="1" t="n">
        <v>23491</v>
      </c>
      <c r="B23492">
        <f>TEXT(23491, "[$-0E0000]yyyy-mm-dd")</f>
        <v/>
      </c>
      <c r="C23492" t="inlineStr">
        <is>
          <t>1964-03-14</t>
        </is>
      </c>
    </row>
    <row r="23493">
      <c r="A23493" s="1" t="n">
        <v>23492</v>
      </c>
      <c r="B23493">
        <f>TEXT(23492, "[$-0E0000]yyyy-mm-dd")</f>
        <v/>
      </c>
      <c r="C23493" t="inlineStr">
        <is>
          <t>1964-03-15</t>
        </is>
      </c>
    </row>
    <row r="23494">
      <c r="A23494" s="1" t="n">
        <v>23493</v>
      </c>
      <c r="B23494">
        <f>TEXT(23493, "[$-0E0000]yyyy-mm-dd")</f>
        <v/>
      </c>
      <c r="C23494" t="inlineStr">
        <is>
          <t>1964-03-16</t>
        </is>
      </c>
    </row>
    <row r="23495">
      <c r="A23495" s="1" t="n">
        <v>23494</v>
      </c>
      <c r="B23495">
        <f>TEXT(23494, "[$-0E0000]yyyy-mm-dd")</f>
        <v/>
      </c>
      <c r="C23495" t="inlineStr">
        <is>
          <t>1964-03-17</t>
        </is>
      </c>
    </row>
    <row r="23496">
      <c r="A23496" s="1" t="n">
        <v>23495</v>
      </c>
      <c r="B23496">
        <f>TEXT(23495, "[$-0E0000]yyyy-mm-dd")</f>
        <v/>
      </c>
      <c r="C23496" t="inlineStr">
        <is>
          <t>1964-03-18</t>
        </is>
      </c>
    </row>
    <row r="23497">
      <c r="A23497" s="1" t="n">
        <v>23496</v>
      </c>
      <c r="B23497">
        <f>TEXT(23496, "[$-0E0000]yyyy-mm-dd")</f>
        <v/>
      </c>
      <c r="C23497" t="inlineStr">
        <is>
          <t>1964-03-19</t>
        </is>
      </c>
    </row>
    <row r="23498">
      <c r="A23498" s="1" t="n">
        <v>23497</v>
      </c>
      <c r="B23498">
        <f>TEXT(23497, "[$-0E0000]yyyy-mm-dd")</f>
        <v/>
      </c>
      <c r="C23498" t="inlineStr">
        <is>
          <t>1964-03-20</t>
        </is>
      </c>
    </row>
    <row r="23499">
      <c r="A23499" s="1" t="n">
        <v>23498</v>
      </c>
      <c r="B23499">
        <f>TEXT(23498, "[$-0E0000]yyyy-mm-dd")</f>
        <v/>
      </c>
      <c r="C23499" t="inlineStr">
        <is>
          <t>1964-03-21</t>
        </is>
      </c>
    </row>
    <row r="23500">
      <c r="A23500" s="1" t="n">
        <v>23499</v>
      </c>
      <c r="B23500">
        <f>TEXT(23499, "[$-0E0000]yyyy-mm-dd")</f>
        <v/>
      </c>
      <c r="C23500" t="inlineStr">
        <is>
          <t>1964-03-22</t>
        </is>
      </c>
    </row>
    <row r="23501">
      <c r="A23501" s="1" t="n">
        <v>23500</v>
      </c>
      <c r="B23501">
        <f>TEXT(23500, "[$-0E0000]yyyy-mm-dd")</f>
        <v/>
      </c>
      <c r="C23501" t="inlineStr">
        <is>
          <t>1964-03-23</t>
        </is>
      </c>
    </row>
    <row r="23502">
      <c r="A23502" s="1" t="n">
        <v>23501</v>
      </c>
      <c r="B23502">
        <f>TEXT(23501, "[$-0E0000]yyyy-mm-dd")</f>
        <v/>
      </c>
      <c r="C23502" t="inlineStr">
        <is>
          <t>1964-03-24</t>
        </is>
      </c>
    </row>
    <row r="23503">
      <c r="A23503" s="1" t="n">
        <v>23502</v>
      </c>
      <c r="B23503">
        <f>TEXT(23502, "[$-0E0000]yyyy-mm-dd")</f>
        <v/>
      </c>
      <c r="C23503" t="inlineStr">
        <is>
          <t>1964-03-25</t>
        </is>
      </c>
    </row>
    <row r="23504">
      <c r="A23504" s="1" t="n">
        <v>23503</v>
      </c>
      <c r="B23504">
        <f>TEXT(23503, "[$-0E0000]yyyy-mm-dd")</f>
        <v/>
      </c>
      <c r="C23504" t="inlineStr">
        <is>
          <t>1964-03-26</t>
        </is>
      </c>
    </row>
    <row r="23505">
      <c r="A23505" s="1" t="n">
        <v>23504</v>
      </c>
      <c r="B23505">
        <f>TEXT(23504, "[$-0E0000]yyyy-mm-dd")</f>
        <v/>
      </c>
      <c r="C23505" t="inlineStr">
        <is>
          <t>1964-03-27</t>
        </is>
      </c>
    </row>
    <row r="23506">
      <c r="A23506" s="1" t="n">
        <v>23505</v>
      </c>
      <c r="B23506">
        <f>TEXT(23505, "[$-0E0000]yyyy-mm-dd")</f>
        <v/>
      </c>
      <c r="C23506" t="inlineStr">
        <is>
          <t>1964-03-28</t>
        </is>
      </c>
    </row>
    <row r="23507">
      <c r="A23507" s="1" t="n">
        <v>23506</v>
      </c>
      <c r="B23507">
        <f>TEXT(23506, "[$-0E0000]yyyy-mm-dd")</f>
        <v/>
      </c>
      <c r="C23507" t="inlineStr">
        <is>
          <t>1964-03-29</t>
        </is>
      </c>
    </row>
    <row r="23508">
      <c r="A23508" s="1" t="n">
        <v>23507</v>
      </c>
      <c r="B23508">
        <f>TEXT(23507, "[$-0E0000]yyyy-mm-dd")</f>
        <v/>
      </c>
      <c r="C23508" t="inlineStr">
        <is>
          <t>1964-03-30</t>
        </is>
      </c>
    </row>
    <row r="23509">
      <c r="A23509" s="1" t="n">
        <v>23508</v>
      </c>
      <c r="B23509">
        <f>TEXT(23508, "[$-0E0000]yyyy-mm-dd")</f>
        <v/>
      </c>
      <c r="C23509" t="inlineStr">
        <is>
          <t>1964-04-01</t>
        </is>
      </c>
    </row>
    <row r="23510">
      <c r="A23510" s="1" t="n">
        <v>23509</v>
      </c>
      <c r="B23510">
        <f>TEXT(23509, "[$-0E0000]yyyy-mm-dd")</f>
        <v/>
      </c>
      <c r="C23510" t="inlineStr">
        <is>
          <t>1964-04-02</t>
        </is>
      </c>
    </row>
    <row r="23511">
      <c r="A23511" s="1" t="n">
        <v>23510</v>
      </c>
      <c r="B23511">
        <f>TEXT(23510, "[$-0E0000]yyyy-mm-dd")</f>
        <v/>
      </c>
      <c r="C23511" t="inlineStr">
        <is>
          <t>1964-04-03</t>
        </is>
      </c>
    </row>
    <row r="23512">
      <c r="A23512" s="1" t="n">
        <v>23511</v>
      </c>
      <c r="B23512">
        <f>TEXT(23511, "[$-0E0000]yyyy-mm-dd")</f>
        <v/>
      </c>
      <c r="C23512" t="inlineStr">
        <is>
          <t>1964-04-04</t>
        </is>
      </c>
    </row>
    <row r="23513">
      <c r="A23513" s="1" t="n">
        <v>23512</v>
      </c>
      <c r="B23513">
        <f>TEXT(23512, "[$-0E0000]yyyy-mm-dd")</f>
        <v/>
      </c>
      <c r="C23513" t="inlineStr">
        <is>
          <t>1964-04-05</t>
        </is>
      </c>
    </row>
    <row r="23514">
      <c r="A23514" s="1" t="n">
        <v>23513</v>
      </c>
      <c r="B23514">
        <f>TEXT(23513, "[$-0E0000]yyyy-mm-dd")</f>
        <v/>
      </c>
      <c r="C23514" t="inlineStr">
        <is>
          <t>1964-04-06</t>
        </is>
      </c>
    </row>
    <row r="23515">
      <c r="A23515" s="1" t="n">
        <v>23514</v>
      </c>
      <c r="B23515">
        <f>TEXT(23514, "[$-0E0000]yyyy-mm-dd")</f>
        <v/>
      </c>
      <c r="C23515" t="inlineStr">
        <is>
          <t>1964-04-07</t>
        </is>
      </c>
    </row>
    <row r="23516">
      <c r="A23516" s="1" t="n">
        <v>23515</v>
      </c>
      <c r="B23516">
        <f>TEXT(23515, "[$-0E0000]yyyy-mm-dd")</f>
        <v/>
      </c>
      <c r="C23516" t="inlineStr">
        <is>
          <t>1964-04-08</t>
        </is>
      </c>
    </row>
    <row r="23517">
      <c r="A23517" s="1" t="n">
        <v>23516</v>
      </c>
      <c r="B23517">
        <f>TEXT(23516, "[$-0E0000]yyyy-mm-dd")</f>
        <v/>
      </c>
      <c r="C23517" t="inlineStr">
        <is>
          <t>1964-04-09</t>
        </is>
      </c>
    </row>
    <row r="23518">
      <c r="A23518" s="1" t="n">
        <v>23517</v>
      </c>
      <c r="B23518">
        <f>TEXT(23517, "[$-0E0000]yyyy-mm-dd")</f>
        <v/>
      </c>
      <c r="C23518" t="inlineStr">
        <is>
          <t>1964-04-10</t>
        </is>
      </c>
    </row>
    <row r="23519">
      <c r="A23519" s="1" t="n">
        <v>23518</v>
      </c>
      <c r="B23519">
        <f>TEXT(23518, "[$-0E0000]yyyy-mm-dd")</f>
        <v/>
      </c>
      <c r="C23519" t="inlineStr">
        <is>
          <t>1964-04-11</t>
        </is>
      </c>
    </row>
    <row r="23520">
      <c r="A23520" s="1" t="n">
        <v>23519</v>
      </c>
      <c r="B23520">
        <f>TEXT(23519, "[$-0E0000]yyyy-mm-dd")</f>
        <v/>
      </c>
      <c r="C23520" t="inlineStr">
        <is>
          <t>1964-04-12</t>
        </is>
      </c>
    </row>
    <row r="23521">
      <c r="A23521" s="1" t="n">
        <v>23520</v>
      </c>
      <c r="B23521">
        <f>TEXT(23520, "[$-0E0000]yyyy-mm-dd")</f>
        <v/>
      </c>
      <c r="C23521" t="inlineStr">
        <is>
          <t>1964-04-13</t>
        </is>
      </c>
    </row>
    <row r="23522">
      <c r="A23522" s="1" t="n">
        <v>23521</v>
      </c>
      <c r="B23522">
        <f>TEXT(23521, "[$-0E0000]yyyy-mm-dd")</f>
        <v/>
      </c>
      <c r="C23522" t="inlineStr">
        <is>
          <t>1964-04-14</t>
        </is>
      </c>
    </row>
    <row r="23523">
      <c r="A23523" s="1" t="n">
        <v>23522</v>
      </c>
      <c r="B23523">
        <f>TEXT(23522, "[$-0E0000]yyyy-mm-dd")</f>
        <v/>
      </c>
      <c r="C23523" t="inlineStr">
        <is>
          <t>1964-04-15</t>
        </is>
      </c>
    </row>
    <row r="23524">
      <c r="A23524" s="1" t="n">
        <v>23523</v>
      </c>
      <c r="B23524">
        <f>TEXT(23523, "[$-0E0000]yyyy-mm-dd")</f>
        <v/>
      </c>
      <c r="C23524" t="inlineStr">
        <is>
          <t>1964-04-16</t>
        </is>
      </c>
    </row>
    <row r="23525">
      <c r="A23525" s="1" t="n">
        <v>23524</v>
      </c>
      <c r="B23525">
        <f>TEXT(23524, "[$-0E0000]yyyy-mm-dd")</f>
        <v/>
      </c>
      <c r="C23525" t="inlineStr">
        <is>
          <t>1964-04-17</t>
        </is>
      </c>
    </row>
    <row r="23526">
      <c r="A23526" s="1" t="n">
        <v>23525</v>
      </c>
      <c r="B23526">
        <f>TEXT(23525, "[$-0E0000]yyyy-mm-dd")</f>
        <v/>
      </c>
      <c r="C23526" t="inlineStr">
        <is>
          <t>1964-04-18</t>
        </is>
      </c>
    </row>
    <row r="23527">
      <c r="A23527" s="1" t="n">
        <v>23526</v>
      </c>
      <c r="B23527">
        <f>TEXT(23526, "[$-0E0000]yyyy-mm-dd")</f>
        <v/>
      </c>
      <c r="C23527" t="inlineStr">
        <is>
          <t>1964-04-19</t>
        </is>
      </c>
    </row>
    <row r="23528">
      <c r="A23528" s="1" t="n">
        <v>23527</v>
      </c>
      <c r="B23528">
        <f>TEXT(23527, "[$-0E0000]yyyy-mm-dd")</f>
        <v/>
      </c>
      <c r="C23528" t="inlineStr">
        <is>
          <t>1964-04-20</t>
        </is>
      </c>
    </row>
    <row r="23529">
      <c r="A23529" s="1" t="n">
        <v>23528</v>
      </c>
      <c r="B23529">
        <f>TEXT(23528, "[$-0E0000]yyyy-mm-dd")</f>
        <v/>
      </c>
      <c r="C23529" t="inlineStr">
        <is>
          <t>1964-04-21</t>
        </is>
      </c>
    </row>
    <row r="23530">
      <c r="A23530" s="1" t="n">
        <v>23529</v>
      </c>
      <c r="B23530">
        <f>TEXT(23529, "[$-0E0000]yyyy-mm-dd")</f>
        <v/>
      </c>
      <c r="C23530" t="inlineStr">
        <is>
          <t>1964-04-22</t>
        </is>
      </c>
    </row>
    <row r="23531">
      <c r="A23531" s="1" t="n">
        <v>23530</v>
      </c>
      <c r="B23531">
        <f>TEXT(23530, "[$-0E0000]yyyy-mm-dd")</f>
        <v/>
      </c>
      <c r="C23531" t="inlineStr">
        <is>
          <t>1964-04-23</t>
        </is>
      </c>
    </row>
    <row r="23532">
      <c r="A23532" s="1" t="n">
        <v>23531</v>
      </c>
      <c r="B23532">
        <f>TEXT(23531, "[$-0E0000]yyyy-mm-dd")</f>
        <v/>
      </c>
      <c r="C23532" t="inlineStr">
        <is>
          <t>1964-04-24</t>
        </is>
      </c>
    </row>
    <row r="23533">
      <c r="A23533" s="1" t="n">
        <v>23532</v>
      </c>
      <c r="B23533">
        <f>TEXT(23532, "[$-0E0000]yyyy-mm-dd")</f>
        <v/>
      </c>
      <c r="C23533" t="inlineStr">
        <is>
          <t>1964-04-25</t>
        </is>
      </c>
    </row>
    <row r="23534">
      <c r="A23534" s="1" t="n">
        <v>23533</v>
      </c>
      <c r="B23534">
        <f>TEXT(23533, "[$-0E0000]yyyy-mm-dd")</f>
        <v/>
      </c>
      <c r="C23534" t="inlineStr">
        <is>
          <t>1964-04-26</t>
        </is>
      </c>
    </row>
    <row r="23535">
      <c r="A23535" s="1" t="n">
        <v>23534</v>
      </c>
      <c r="B23535">
        <f>TEXT(23534, "[$-0E0000]yyyy-mm-dd")</f>
        <v/>
      </c>
      <c r="C23535" t="inlineStr">
        <is>
          <t>1964-04-27</t>
        </is>
      </c>
    </row>
    <row r="23536">
      <c r="A23536" s="1" t="n">
        <v>23535</v>
      </c>
      <c r="B23536">
        <f>TEXT(23535, "[$-0E0000]yyyy-mm-dd")</f>
        <v/>
      </c>
      <c r="C23536" t="inlineStr">
        <is>
          <t>1964-04-28</t>
        </is>
      </c>
    </row>
    <row r="23537">
      <c r="A23537" s="1" t="n">
        <v>23536</v>
      </c>
      <c r="B23537">
        <f>TEXT(23536, "[$-0E0000]yyyy-mm-dd")</f>
        <v/>
      </c>
      <c r="C23537" t="inlineStr">
        <is>
          <t>1964-04-29</t>
        </is>
      </c>
    </row>
    <row r="23538">
      <c r="A23538" s="1" t="n">
        <v>23537</v>
      </c>
      <c r="B23538">
        <f>TEXT(23537, "[$-0E0000]yyyy-mm-dd")</f>
        <v/>
      </c>
      <c r="C23538" t="inlineStr">
        <is>
          <t>1964-05-01</t>
        </is>
      </c>
    </row>
    <row r="23539">
      <c r="A23539" s="1" t="n">
        <v>23538</v>
      </c>
      <c r="B23539">
        <f>TEXT(23538, "[$-0E0000]yyyy-mm-dd")</f>
        <v/>
      </c>
      <c r="C23539" t="inlineStr">
        <is>
          <t>1964-05-02</t>
        </is>
      </c>
    </row>
    <row r="23540">
      <c r="A23540" s="1" t="n">
        <v>23539</v>
      </c>
      <c r="B23540">
        <f>TEXT(23539, "[$-0E0000]yyyy-mm-dd")</f>
        <v/>
      </c>
      <c r="C23540" t="inlineStr">
        <is>
          <t>1964-05-03</t>
        </is>
      </c>
    </row>
    <row r="23541">
      <c r="A23541" s="1" t="n">
        <v>23540</v>
      </c>
      <c r="B23541">
        <f>TEXT(23540, "[$-0E0000]yyyy-mm-dd")</f>
        <v/>
      </c>
      <c r="C23541" t="inlineStr">
        <is>
          <t>1964-05-04</t>
        </is>
      </c>
    </row>
    <row r="23542">
      <c r="A23542" s="1" t="n">
        <v>23541</v>
      </c>
      <c r="B23542">
        <f>TEXT(23541, "[$-0E0000]yyyy-mm-dd")</f>
        <v/>
      </c>
      <c r="C23542" t="inlineStr">
        <is>
          <t>1964-05-05</t>
        </is>
      </c>
    </row>
    <row r="23543">
      <c r="A23543" s="1" t="n">
        <v>23542</v>
      </c>
      <c r="B23543">
        <f>TEXT(23542, "[$-0E0000]yyyy-mm-dd")</f>
        <v/>
      </c>
      <c r="C23543" t="inlineStr">
        <is>
          <t>1964-05-06</t>
        </is>
      </c>
    </row>
    <row r="23544">
      <c r="A23544" s="1" t="n">
        <v>23543</v>
      </c>
      <c r="B23544">
        <f>TEXT(23543, "[$-0E0000]yyyy-mm-dd")</f>
        <v/>
      </c>
      <c r="C23544" t="inlineStr">
        <is>
          <t>1964-05-07</t>
        </is>
      </c>
    </row>
    <row r="23545">
      <c r="A23545" s="1" t="n">
        <v>23544</v>
      </c>
      <c r="B23545">
        <f>TEXT(23544, "[$-0E0000]yyyy-mm-dd")</f>
        <v/>
      </c>
      <c r="C23545" t="inlineStr">
        <is>
          <t>1964-05-08</t>
        </is>
      </c>
    </row>
    <row r="23546">
      <c r="A23546" s="1" t="n">
        <v>23545</v>
      </c>
      <c r="B23546">
        <f>TEXT(23545, "[$-0E0000]yyyy-mm-dd")</f>
        <v/>
      </c>
      <c r="C23546" t="inlineStr">
        <is>
          <t>1964-05-09</t>
        </is>
      </c>
    </row>
    <row r="23547">
      <c r="A23547" s="1" t="n">
        <v>23546</v>
      </c>
      <c r="B23547">
        <f>TEXT(23546, "[$-0E0000]yyyy-mm-dd")</f>
        <v/>
      </c>
      <c r="C23547" t="inlineStr">
        <is>
          <t>1964-05-10</t>
        </is>
      </c>
    </row>
    <row r="23548">
      <c r="A23548" s="1" t="n">
        <v>23547</v>
      </c>
      <c r="B23548">
        <f>TEXT(23547, "[$-0E0000]yyyy-mm-dd")</f>
        <v/>
      </c>
      <c r="C23548" t="inlineStr">
        <is>
          <t>1964-05-11</t>
        </is>
      </c>
    </row>
    <row r="23549">
      <c r="A23549" s="1" t="n">
        <v>23548</v>
      </c>
      <c r="B23549">
        <f>TEXT(23548, "[$-0E0000]yyyy-mm-dd")</f>
        <v/>
      </c>
      <c r="C23549" t="inlineStr">
        <is>
          <t>1964-05-12</t>
        </is>
      </c>
    </row>
    <row r="23550">
      <c r="A23550" s="1" t="n">
        <v>23549</v>
      </c>
      <c r="B23550">
        <f>TEXT(23549, "[$-0E0000]yyyy-mm-dd")</f>
        <v/>
      </c>
      <c r="C23550" t="inlineStr">
        <is>
          <t>1964-05-13</t>
        </is>
      </c>
    </row>
    <row r="23551">
      <c r="A23551" s="1" t="n">
        <v>23550</v>
      </c>
      <c r="B23551">
        <f>TEXT(23550, "[$-0E0000]yyyy-mm-dd")</f>
        <v/>
      </c>
      <c r="C23551" t="inlineStr">
        <is>
          <t>1964-05-14</t>
        </is>
      </c>
    </row>
    <row r="23552">
      <c r="A23552" s="1" t="n">
        <v>23551</v>
      </c>
      <c r="B23552">
        <f>TEXT(23551, "[$-0E0000]yyyy-mm-dd")</f>
        <v/>
      </c>
      <c r="C23552" t="inlineStr">
        <is>
          <t>1964-05-15</t>
        </is>
      </c>
    </row>
    <row r="23553">
      <c r="A23553" s="1" t="n">
        <v>23552</v>
      </c>
      <c r="B23553">
        <f>TEXT(23552, "[$-0E0000]yyyy-mm-dd")</f>
        <v/>
      </c>
      <c r="C23553" t="inlineStr">
        <is>
          <t>1964-05-16</t>
        </is>
      </c>
    </row>
    <row r="23554">
      <c r="A23554" s="1" t="n">
        <v>23553</v>
      </c>
      <c r="B23554">
        <f>TEXT(23553, "[$-0E0000]yyyy-mm-dd")</f>
        <v/>
      </c>
      <c r="C23554" t="inlineStr">
        <is>
          <t>1964-05-17</t>
        </is>
      </c>
    </row>
    <row r="23555">
      <c r="A23555" s="1" t="n">
        <v>23554</v>
      </c>
      <c r="B23555">
        <f>TEXT(23554, "[$-0E0000]yyyy-mm-dd")</f>
        <v/>
      </c>
      <c r="C23555" t="inlineStr">
        <is>
          <t>1964-05-18</t>
        </is>
      </c>
    </row>
    <row r="23556">
      <c r="A23556" s="1" t="n">
        <v>23555</v>
      </c>
      <c r="B23556">
        <f>TEXT(23555, "[$-0E0000]yyyy-mm-dd")</f>
        <v/>
      </c>
      <c r="C23556" t="inlineStr">
        <is>
          <t>1964-05-19</t>
        </is>
      </c>
    </row>
    <row r="23557">
      <c r="A23557" s="1" t="n">
        <v>23556</v>
      </c>
      <c r="B23557">
        <f>TEXT(23556, "[$-0E0000]yyyy-mm-dd")</f>
        <v/>
      </c>
      <c r="C23557" t="inlineStr">
        <is>
          <t>1964-05-20</t>
        </is>
      </c>
    </row>
    <row r="23558">
      <c r="A23558" s="1" t="n">
        <v>23557</v>
      </c>
      <c r="B23558">
        <f>TEXT(23557, "[$-0E0000]yyyy-mm-dd")</f>
        <v/>
      </c>
      <c r="C23558" t="inlineStr">
        <is>
          <t>1964-05-21</t>
        </is>
      </c>
    </row>
    <row r="23559">
      <c r="A23559" s="1" t="n">
        <v>23558</v>
      </c>
      <c r="B23559">
        <f>TEXT(23558, "[$-0E0000]yyyy-mm-dd")</f>
        <v/>
      </c>
      <c r="C23559" t="inlineStr">
        <is>
          <t>1964-05-22</t>
        </is>
      </c>
    </row>
    <row r="23560">
      <c r="A23560" s="1" t="n">
        <v>23559</v>
      </c>
      <c r="B23560">
        <f>TEXT(23559, "[$-0E0000]yyyy-mm-dd")</f>
        <v/>
      </c>
      <c r="C23560" t="inlineStr">
        <is>
          <t>1964-05-23</t>
        </is>
      </c>
    </row>
    <row r="23561">
      <c r="A23561" s="1" t="n">
        <v>23560</v>
      </c>
      <c r="B23561">
        <f>TEXT(23560, "[$-0E0000]yyyy-mm-dd")</f>
        <v/>
      </c>
      <c r="C23561" t="inlineStr">
        <is>
          <t>1964-05-24</t>
        </is>
      </c>
    </row>
    <row r="23562">
      <c r="A23562" s="1" t="n">
        <v>23561</v>
      </c>
      <c r="B23562">
        <f>TEXT(23561, "[$-0E0000]yyyy-mm-dd")</f>
        <v/>
      </c>
      <c r="C23562" t="inlineStr">
        <is>
          <t>1964-05-25</t>
        </is>
      </c>
    </row>
    <row r="23563">
      <c r="A23563" s="1" t="n">
        <v>23562</v>
      </c>
      <c r="B23563">
        <f>TEXT(23562, "[$-0E0000]yyyy-mm-dd")</f>
        <v/>
      </c>
      <c r="C23563" t="inlineStr">
        <is>
          <t>1964-05-26</t>
        </is>
      </c>
    </row>
    <row r="23564">
      <c r="A23564" s="1" t="n">
        <v>23563</v>
      </c>
      <c r="B23564">
        <f>TEXT(23563, "[$-0E0000]yyyy-mm-dd")</f>
        <v/>
      </c>
      <c r="C23564" t="inlineStr">
        <is>
          <t>1964-05-27</t>
        </is>
      </c>
    </row>
    <row r="23565">
      <c r="A23565" s="1" t="n">
        <v>23564</v>
      </c>
      <c r="B23565">
        <f>TEXT(23564, "[$-0E0000]yyyy-mm-dd")</f>
        <v/>
      </c>
      <c r="C23565" t="inlineStr">
        <is>
          <t>1964-05-28</t>
        </is>
      </c>
    </row>
    <row r="23566">
      <c r="A23566" s="1" t="n">
        <v>23565</v>
      </c>
      <c r="B23566">
        <f>TEXT(23565, "[$-0E0000]yyyy-mm-dd")</f>
        <v/>
      </c>
      <c r="C23566" t="inlineStr">
        <is>
          <t>1964-05-29</t>
        </is>
      </c>
    </row>
    <row r="23567">
      <c r="A23567" s="1" t="n">
        <v>23566</v>
      </c>
      <c r="B23567">
        <f>TEXT(23566, "[$-0E0000]yyyy-mm-dd")</f>
        <v/>
      </c>
      <c r="C23567" t="inlineStr">
        <is>
          <t>1964-06-01</t>
        </is>
      </c>
    </row>
    <row r="23568">
      <c r="A23568" s="1" t="n">
        <v>23567</v>
      </c>
      <c r="B23568">
        <f>TEXT(23567, "[$-0E0000]yyyy-mm-dd")</f>
        <v/>
      </c>
      <c r="C23568" t="inlineStr">
        <is>
          <t>1964-06-02</t>
        </is>
      </c>
    </row>
    <row r="23569">
      <c r="A23569" s="1" t="n">
        <v>23568</v>
      </c>
      <c r="B23569">
        <f>TEXT(23568, "[$-0E0000]yyyy-mm-dd")</f>
        <v/>
      </c>
      <c r="C23569" t="inlineStr">
        <is>
          <t>1964-06-03</t>
        </is>
      </c>
    </row>
    <row r="23570">
      <c r="A23570" s="1" t="n">
        <v>23569</v>
      </c>
      <c r="B23570">
        <f>TEXT(23569, "[$-0E0000]yyyy-mm-dd")</f>
        <v/>
      </c>
      <c r="C23570" t="inlineStr">
        <is>
          <t>1964-06-04</t>
        </is>
      </c>
    </row>
    <row r="23571">
      <c r="A23571" s="1" t="n">
        <v>23570</v>
      </c>
      <c r="B23571">
        <f>TEXT(23570, "[$-0E0000]yyyy-mm-dd")</f>
        <v/>
      </c>
      <c r="C23571" t="inlineStr">
        <is>
          <t>1964-06-05</t>
        </is>
      </c>
    </row>
    <row r="23572">
      <c r="A23572" s="1" t="n">
        <v>23571</v>
      </c>
      <c r="B23572">
        <f>TEXT(23571, "[$-0E0000]yyyy-mm-dd")</f>
        <v/>
      </c>
      <c r="C23572" t="inlineStr">
        <is>
          <t>1964-06-06</t>
        </is>
      </c>
    </row>
    <row r="23573">
      <c r="A23573" s="1" t="n">
        <v>23572</v>
      </c>
      <c r="B23573">
        <f>TEXT(23572, "[$-0E0000]yyyy-mm-dd")</f>
        <v/>
      </c>
      <c r="C23573" t="inlineStr">
        <is>
          <t>1964-06-07</t>
        </is>
      </c>
    </row>
    <row r="23574">
      <c r="A23574" s="1" t="n">
        <v>23573</v>
      </c>
      <c r="B23574">
        <f>TEXT(23573, "[$-0E0000]yyyy-mm-dd")</f>
        <v/>
      </c>
      <c r="C23574" t="inlineStr">
        <is>
          <t>1964-06-08</t>
        </is>
      </c>
    </row>
    <row r="23575">
      <c r="A23575" s="1" t="n">
        <v>23574</v>
      </c>
      <c r="B23575">
        <f>TEXT(23574, "[$-0E0000]yyyy-mm-dd")</f>
        <v/>
      </c>
      <c r="C23575" t="inlineStr">
        <is>
          <t>1964-06-09</t>
        </is>
      </c>
    </row>
    <row r="23576">
      <c r="A23576" s="1" t="n">
        <v>23575</v>
      </c>
      <c r="B23576">
        <f>TEXT(23575, "[$-0E0000]yyyy-mm-dd")</f>
        <v/>
      </c>
      <c r="C23576" t="inlineStr">
        <is>
          <t>1964-06-10</t>
        </is>
      </c>
    </row>
    <row r="23577">
      <c r="A23577" s="1" t="n">
        <v>23576</v>
      </c>
      <c r="B23577">
        <f>TEXT(23576, "[$-0E0000]yyyy-mm-dd")</f>
        <v/>
      </c>
      <c r="C23577" t="inlineStr">
        <is>
          <t>1964-06-11</t>
        </is>
      </c>
    </row>
    <row r="23578">
      <c r="A23578" s="1" t="n">
        <v>23577</v>
      </c>
      <c r="B23578">
        <f>TEXT(23577, "[$-0E0000]yyyy-mm-dd")</f>
        <v/>
      </c>
      <c r="C23578" t="inlineStr">
        <is>
          <t>1964-06-12</t>
        </is>
      </c>
    </row>
    <row r="23579">
      <c r="A23579" s="1" t="n">
        <v>23578</v>
      </c>
      <c r="B23579">
        <f>TEXT(23578, "[$-0E0000]yyyy-mm-dd")</f>
        <v/>
      </c>
      <c r="C23579" t="inlineStr">
        <is>
          <t>1964-06-13</t>
        </is>
      </c>
    </row>
    <row r="23580">
      <c r="A23580" s="1" t="n">
        <v>23579</v>
      </c>
      <c r="B23580">
        <f>TEXT(23579, "[$-0E0000]yyyy-mm-dd")</f>
        <v/>
      </c>
      <c r="C23580" t="inlineStr">
        <is>
          <t>1964-06-14</t>
        </is>
      </c>
    </row>
    <row r="23581">
      <c r="A23581" s="1" t="n">
        <v>23580</v>
      </c>
      <c r="B23581">
        <f>TEXT(23580, "[$-0E0000]yyyy-mm-dd")</f>
        <v/>
      </c>
      <c r="C23581" t="inlineStr">
        <is>
          <t>1964-06-15</t>
        </is>
      </c>
    </row>
    <row r="23582">
      <c r="A23582" s="1" t="n">
        <v>23581</v>
      </c>
      <c r="B23582">
        <f>TEXT(23581, "[$-0E0000]yyyy-mm-dd")</f>
        <v/>
      </c>
      <c r="C23582" t="inlineStr">
        <is>
          <t>1964-06-16</t>
        </is>
      </c>
    </row>
    <row r="23583">
      <c r="A23583" s="1" t="n">
        <v>23582</v>
      </c>
      <c r="B23583">
        <f>TEXT(23582, "[$-0E0000]yyyy-mm-dd")</f>
        <v/>
      </c>
      <c r="C23583" t="inlineStr">
        <is>
          <t>1964-06-17</t>
        </is>
      </c>
    </row>
    <row r="23584">
      <c r="A23584" s="1" t="n">
        <v>23583</v>
      </c>
      <c r="B23584">
        <f>TEXT(23583, "[$-0E0000]yyyy-mm-dd")</f>
        <v/>
      </c>
      <c r="C23584" t="inlineStr">
        <is>
          <t>1964-06-18</t>
        </is>
      </c>
    </row>
    <row r="23585">
      <c r="A23585" s="1" t="n">
        <v>23584</v>
      </c>
      <c r="B23585">
        <f>TEXT(23584, "[$-0E0000]yyyy-mm-dd")</f>
        <v/>
      </c>
      <c r="C23585" t="inlineStr">
        <is>
          <t>1964-06-19</t>
        </is>
      </c>
    </row>
    <row r="23586">
      <c r="A23586" s="1" t="n">
        <v>23585</v>
      </c>
      <c r="B23586">
        <f>TEXT(23585, "[$-0E0000]yyyy-mm-dd")</f>
        <v/>
      </c>
      <c r="C23586" t="inlineStr">
        <is>
          <t>1964-06-20</t>
        </is>
      </c>
    </row>
    <row r="23587">
      <c r="A23587" s="1" t="n">
        <v>23586</v>
      </c>
      <c r="B23587">
        <f>TEXT(23586, "[$-0E0000]yyyy-mm-dd")</f>
        <v/>
      </c>
      <c r="C23587" t="inlineStr">
        <is>
          <t>1964-06-21</t>
        </is>
      </c>
    </row>
    <row r="23588">
      <c r="A23588" s="1" t="n">
        <v>23587</v>
      </c>
      <c r="B23588">
        <f>TEXT(23587, "[$-0E0000]yyyy-mm-dd")</f>
        <v/>
      </c>
      <c r="C23588" t="inlineStr">
        <is>
          <t>1964-06-22</t>
        </is>
      </c>
    </row>
    <row r="23589">
      <c r="A23589" s="1" t="n">
        <v>23588</v>
      </c>
      <c r="B23589">
        <f>TEXT(23588, "[$-0E0000]yyyy-mm-dd")</f>
        <v/>
      </c>
      <c r="C23589" t="inlineStr">
        <is>
          <t>1964-06-23</t>
        </is>
      </c>
    </row>
    <row r="23590">
      <c r="A23590" s="1" t="n">
        <v>23589</v>
      </c>
      <c r="B23590">
        <f>TEXT(23589, "[$-0E0000]yyyy-mm-dd")</f>
        <v/>
      </c>
      <c r="C23590" t="inlineStr">
        <is>
          <t>1964-06-24</t>
        </is>
      </c>
    </row>
    <row r="23591">
      <c r="A23591" s="1" t="n">
        <v>23590</v>
      </c>
      <c r="B23591">
        <f>TEXT(23590, "[$-0E0000]yyyy-mm-dd")</f>
        <v/>
      </c>
      <c r="C23591" t="inlineStr">
        <is>
          <t>1964-06-25</t>
        </is>
      </c>
    </row>
    <row r="23592">
      <c r="A23592" s="1" t="n">
        <v>23591</v>
      </c>
      <c r="B23592">
        <f>TEXT(23591, "[$-0E0000]yyyy-mm-dd")</f>
        <v/>
      </c>
      <c r="C23592" t="inlineStr">
        <is>
          <t>1964-06-26</t>
        </is>
      </c>
    </row>
    <row r="23593">
      <c r="A23593" s="1" t="n">
        <v>23592</v>
      </c>
      <c r="B23593">
        <f>TEXT(23592, "[$-0E0000]yyyy-mm-dd")</f>
        <v/>
      </c>
      <c r="C23593" t="inlineStr">
        <is>
          <t>1964-06-27</t>
        </is>
      </c>
    </row>
    <row r="23594">
      <c r="A23594" s="1" t="n">
        <v>23593</v>
      </c>
      <c r="B23594">
        <f>TEXT(23593, "[$-0E0000]yyyy-mm-dd")</f>
        <v/>
      </c>
      <c r="C23594" t="inlineStr">
        <is>
          <t>1964-06-28</t>
        </is>
      </c>
    </row>
    <row r="23595">
      <c r="A23595" s="1" t="n">
        <v>23594</v>
      </c>
      <c r="B23595">
        <f>TEXT(23594, "[$-0E0000]yyyy-mm-dd")</f>
        <v/>
      </c>
      <c r="C23595" t="inlineStr">
        <is>
          <t>1964-06-29</t>
        </is>
      </c>
    </row>
    <row r="23596">
      <c r="A23596" s="1" t="n">
        <v>23595</v>
      </c>
      <c r="B23596">
        <f>TEXT(23595, "[$-0E0000]yyyy-mm-dd")</f>
        <v/>
      </c>
      <c r="C23596" t="inlineStr">
        <is>
          <t>1964-06-30</t>
        </is>
      </c>
    </row>
    <row r="23597">
      <c r="A23597" s="1" t="n">
        <v>23596</v>
      </c>
      <c r="B23597">
        <f>TEXT(23596, "[$-0E0000]yyyy-mm-dd")</f>
        <v/>
      </c>
      <c r="C23597" t="inlineStr">
        <is>
          <t>1964-07-01</t>
        </is>
      </c>
    </row>
    <row r="23598">
      <c r="A23598" s="1" t="n">
        <v>23597</v>
      </c>
      <c r="B23598">
        <f>TEXT(23597, "[$-0E0000]yyyy-mm-dd")</f>
        <v/>
      </c>
      <c r="C23598" t="inlineStr">
        <is>
          <t>1964-07-02</t>
        </is>
      </c>
    </row>
    <row r="23599">
      <c r="A23599" s="1" t="n">
        <v>23598</v>
      </c>
      <c r="B23599">
        <f>TEXT(23598, "[$-0E0000]yyyy-mm-dd")</f>
        <v/>
      </c>
      <c r="C23599" t="inlineStr">
        <is>
          <t>1964-07-03</t>
        </is>
      </c>
    </row>
    <row r="23600">
      <c r="A23600" s="1" t="n">
        <v>23599</v>
      </c>
      <c r="B23600">
        <f>TEXT(23599, "[$-0E0000]yyyy-mm-dd")</f>
        <v/>
      </c>
      <c r="C23600" t="inlineStr">
        <is>
          <t>1964-07-04</t>
        </is>
      </c>
    </row>
    <row r="23601">
      <c r="A23601" s="1" t="n">
        <v>23600</v>
      </c>
      <c r="B23601">
        <f>TEXT(23600, "[$-0E0000]yyyy-mm-dd")</f>
        <v/>
      </c>
      <c r="C23601" t="inlineStr">
        <is>
          <t>1964-07-05</t>
        </is>
      </c>
    </row>
    <row r="23602">
      <c r="A23602" s="1" t="n">
        <v>23601</v>
      </c>
      <c r="B23602">
        <f>TEXT(23601, "[$-0E0000]yyyy-mm-dd")</f>
        <v/>
      </c>
      <c r="C23602" t="inlineStr">
        <is>
          <t>1964-07-06</t>
        </is>
      </c>
    </row>
    <row r="23603">
      <c r="A23603" s="1" t="n">
        <v>23602</v>
      </c>
      <c r="B23603">
        <f>TEXT(23602, "[$-0E0000]yyyy-mm-dd")</f>
        <v/>
      </c>
      <c r="C23603" t="inlineStr">
        <is>
          <t>1964-07-07</t>
        </is>
      </c>
    </row>
    <row r="23604">
      <c r="A23604" s="1" t="n">
        <v>23603</v>
      </c>
      <c r="B23604">
        <f>TEXT(23603, "[$-0E0000]yyyy-mm-dd")</f>
        <v/>
      </c>
      <c r="C23604" t="inlineStr">
        <is>
          <t>1964-07-08</t>
        </is>
      </c>
    </row>
    <row r="23605">
      <c r="A23605" s="1" t="n">
        <v>23604</v>
      </c>
      <c r="B23605">
        <f>TEXT(23604, "[$-0E0000]yyyy-mm-dd")</f>
        <v/>
      </c>
      <c r="C23605" t="inlineStr">
        <is>
          <t>1964-07-09</t>
        </is>
      </c>
    </row>
    <row r="23606">
      <c r="A23606" s="1" t="n">
        <v>23605</v>
      </c>
      <c r="B23606">
        <f>TEXT(23605, "[$-0E0000]yyyy-mm-dd")</f>
        <v/>
      </c>
      <c r="C23606" t="inlineStr">
        <is>
          <t>1964-07-10</t>
        </is>
      </c>
    </row>
    <row r="23607">
      <c r="A23607" s="1" t="n">
        <v>23606</v>
      </c>
      <c r="B23607">
        <f>TEXT(23606, "[$-0E0000]yyyy-mm-dd")</f>
        <v/>
      </c>
      <c r="C23607" t="inlineStr">
        <is>
          <t>1964-07-11</t>
        </is>
      </c>
    </row>
    <row r="23608">
      <c r="A23608" s="1" t="n">
        <v>23607</v>
      </c>
      <c r="B23608">
        <f>TEXT(23607, "[$-0E0000]yyyy-mm-dd")</f>
        <v/>
      </c>
      <c r="C23608" t="inlineStr">
        <is>
          <t>1964-07-12</t>
        </is>
      </c>
    </row>
    <row r="23609">
      <c r="A23609" s="1" t="n">
        <v>23608</v>
      </c>
      <c r="B23609">
        <f>TEXT(23608, "[$-0E0000]yyyy-mm-dd")</f>
        <v/>
      </c>
      <c r="C23609" t="inlineStr">
        <is>
          <t>1964-07-13</t>
        </is>
      </c>
    </row>
    <row r="23610">
      <c r="A23610" s="1" t="n">
        <v>23609</v>
      </c>
      <c r="B23610">
        <f>TEXT(23609, "[$-0E0000]yyyy-mm-dd")</f>
        <v/>
      </c>
      <c r="C23610" t="inlineStr">
        <is>
          <t>1964-07-14</t>
        </is>
      </c>
    </row>
    <row r="23611">
      <c r="A23611" s="1" t="n">
        <v>23610</v>
      </c>
      <c r="B23611">
        <f>TEXT(23610, "[$-0E0000]yyyy-mm-dd")</f>
        <v/>
      </c>
      <c r="C23611" t="inlineStr">
        <is>
          <t>1964-07-15</t>
        </is>
      </c>
    </row>
    <row r="23612">
      <c r="A23612" s="1" t="n">
        <v>23611</v>
      </c>
      <c r="B23612">
        <f>TEXT(23611, "[$-0E0000]yyyy-mm-dd")</f>
        <v/>
      </c>
      <c r="C23612" t="inlineStr">
        <is>
          <t>1964-07-16</t>
        </is>
      </c>
    </row>
    <row r="23613">
      <c r="A23613" s="1" t="n">
        <v>23612</v>
      </c>
      <c r="B23613">
        <f>TEXT(23612, "[$-0E0000]yyyy-mm-dd")</f>
        <v/>
      </c>
      <c r="C23613" t="inlineStr">
        <is>
          <t>1964-07-17</t>
        </is>
      </c>
    </row>
    <row r="23614">
      <c r="A23614" s="1" t="n">
        <v>23613</v>
      </c>
      <c r="B23614">
        <f>TEXT(23613, "[$-0E0000]yyyy-mm-dd")</f>
        <v/>
      </c>
      <c r="C23614" t="inlineStr">
        <is>
          <t>1964-07-18</t>
        </is>
      </c>
    </row>
    <row r="23615">
      <c r="A23615" s="1" t="n">
        <v>23614</v>
      </c>
      <c r="B23615">
        <f>TEXT(23614, "[$-0E0000]yyyy-mm-dd")</f>
        <v/>
      </c>
      <c r="C23615" t="inlineStr">
        <is>
          <t>1964-07-19</t>
        </is>
      </c>
    </row>
    <row r="23616">
      <c r="A23616" s="1" t="n">
        <v>23615</v>
      </c>
      <c r="B23616">
        <f>TEXT(23615, "[$-0E0000]yyyy-mm-dd")</f>
        <v/>
      </c>
      <c r="C23616" t="inlineStr">
        <is>
          <t>1964-07-20</t>
        </is>
      </c>
    </row>
    <row r="23617">
      <c r="A23617" s="1" t="n">
        <v>23616</v>
      </c>
      <c r="B23617">
        <f>TEXT(23616, "[$-0E0000]yyyy-mm-dd")</f>
        <v/>
      </c>
      <c r="C23617" t="inlineStr">
        <is>
          <t>1964-07-21</t>
        </is>
      </c>
    </row>
    <row r="23618">
      <c r="A23618" s="1" t="n">
        <v>23617</v>
      </c>
      <c r="B23618">
        <f>TEXT(23617, "[$-0E0000]yyyy-mm-dd")</f>
        <v/>
      </c>
      <c r="C23618" t="inlineStr">
        <is>
          <t>1964-07-22</t>
        </is>
      </c>
    </row>
    <row r="23619">
      <c r="A23619" s="1" t="n">
        <v>23618</v>
      </c>
      <c r="B23619">
        <f>TEXT(23618, "[$-0E0000]yyyy-mm-dd")</f>
        <v/>
      </c>
      <c r="C23619" t="inlineStr">
        <is>
          <t>1964-07-23</t>
        </is>
      </c>
    </row>
    <row r="23620">
      <c r="A23620" s="1" t="n">
        <v>23619</v>
      </c>
      <c r="B23620">
        <f>TEXT(23619, "[$-0E0000]yyyy-mm-dd")</f>
        <v/>
      </c>
      <c r="C23620" t="inlineStr">
        <is>
          <t>1964-07-24</t>
        </is>
      </c>
    </row>
    <row r="23621">
      <c r="A23621" s="1" t="n">
        <v>23620</v>
      </c>
      <c r="B23621">
        <f>TEXT(23620, "[$-0E0000]yyyy-mm-dd")</f>
        <v/>
      </c>
      <c r="C23621" t="inlineStr">
        <is>
          <t>1964-07-25</t>
        </is>
      </c>
    </row>
    <row r="23622">
      <c r="A23622" s="1" t="n">
        <v>23621</v>
      </c>
      <c r="B23622">
        <f>TEXT(23621, "[$-0E0000]yyyy-mm-dd")</f>
        <v/>
      </c>
      <c r="C23622" t="inlineStr">
        <is>
          <t>1964-07-26</t>
        </is>
      </c>
    </row>
    <row r="23623">
      <c r="A23623" s="1" t="n">
        <v>23622</v>
      </c>
      <c r="B23623">
        <f>TEXT(23622, "[$-0E0000]yyyy-mm-dd")</f>
        <v/>
      </c>
      <c r="C23623" t="inlineStr">
        <is>
          <t>1964-07-27</t>
        </is>
      </c>
    </row>
    <row r="23624">
      <c r="A23624" s="1" t="n">
        <v>23623</v>
      </c>
      <c r="B23624">
        <f>TEXT(23623, "[$-0E0000]yyyy-mm-dd")</f>
        <v/>
      </c>
      <c r="C23624" t="inlineStr">
        <is>
          <t>1964-07-28</t>
        </is>
      </c>
    </row>
    <row r="23625">
      <c r="A23625" s="1" t="n">
        <v>23624</v>
      </c>
      <c r="B23625">
        <f>TEXT(23624, "[$-0E0000]yyyy-mm-dd")</f>
        <v/>
      </c>
      <c r="C23625" t="inlineStr">
        <is>
          <t>1964-07-29</t>
        </is>
      </c>
    </row>
    <row r="23626">
      <c r="A23626" s="1" t="n">
        <v>23625</v>
      </c>
      <c r="B23626">
        <f>TEXT(23625, "[$-0E0000]yyyy-mm-dd")</f>
        <v/>
      </c>
      <c r="C23626" t="inlineStr">
        <is>
          <t>1964-08-01</t>
        </is>
      </c>
    </row>
    <row r="23627">
      <c r="A23627" s="1" t="n">
        <v>23626</v>
      </c>
      <c r="B23627">
        <f>TEXT(23626, "[$-0E0000]yyyy-mm-dd")</f>
        <v/>
      </c>
      <c r="C23627" t="inlineStr">
        <is>
          <t>1964-08-02</t>
        </is>
      </c>
    </row>
    <row r="23628">
      <c r="A23628" s="1" t="n">
        <v>23627</v>
      </c>
      <c r="B23628">
        <f>TEXT(23627, "[$-0E0000]yyyy-mm-dd")</f>
        <v/>
      </c>
      <c r="C23628" t="inlineStr">
        <is>
          <t>1964-08-03</t>
        </is>
      </c>
    </row>
    <row r="23629">
      <c r="A23629" s="1" t="n">
        <v>23628</v>
      </c>
      <c r="B23629">
        <f>TEXT(23628, "[$-0E0000]yyyy-mm-dd")</f>
        <v/>
      </c>
      <c r="C23629" t="inlineStr">
        <is>
          <t>1964-08-04</t>
        </is>
      </c>
    </row>
    <row r="23630">
      <c r="A23630" s="1" t="n">
        <v>23629</v>
      </c>
      <c r="B23630">
        <f>TEXT(23629, "[$-0E0000]yyyy-mm-dd")</f>
        <v/>
      </c>
      <c r="C23630" t="inlineStr">
        <is>
          <t>1964-08-05</t>
        </is>
      </c>
    </row>
    <row r="23631">
      <c r="A23631" s="1" t="n">
        <v>23630</v>
      </c>
      <c r="B23631">
        <f>TEXT(23630, "[$-0E0000]yyyy-mm-dd")</f>
        <v/>
      </c>
      <c r="C23631" t="inlineStr">
        <is>
          <t>1964-08-06</t>
        </is>
      </c>
    </row>
    <row r="23632">
      <c r="A23632" s="1" t="n">
        <v>23631</v>
      </c>
      <c r="B23632">
        <f>TEXT(23631, "[$-0E0000]yyyy-mm-dd")</f>
        <v/>
      </c>
      <c r="C23632" t="inlineStr">
        <is>
          <t>1964-08-07</t>
        </is>
      </c>
    </row>
    <row r="23633">
      <c r="A23633" s="1" t="n">
        <v>23632</v>
      </c>
      <c r="B23633">
        <f>TEXT(23632, "[$-0E0000]yyyy-mm-dd")</f>
        <v/>
      </c>
      <c r="C23633" t="inlineStr">
        <is>
          <t>1964-08-08</t>
        </is>
      </c>
    </row>
    <row r="23634">
      <c r="A23634" s="1" t="n">
        <v>23633</v>
      </c>
      <c r="B23634">
        <f>TEXT(23633, "[$-0E0000]yyyy-mm-dd")</f>
        <v/>
      </c>
      <c r="C23634" t="inlineStr">
        <is>
          <t>1964-08-09</t>
        </is>
      </c>
    </row>
    <row r="23635">
      <c r="A23635" s="1" t="n">
        <v>23634</v>
      </c>
      <c r="B23635">
        <f>TEXT(23634, "[$-0E0000]yyyy-mm-dd")</f>
        <v/>
      </c>
      <c r="C23635" t="inlineStr">
        <is>
          <t>1964-08-10</t>
        </is>
      </c>
    </row>
    <row r="23636">
      <c r="A23636" s="1" t="n">
        <v>23635</v>
      </c>
      <c r="B23636">
        <f>TEXT(23635, "[$-0E0000]yyyy-mm-dd")</f>
        <v/>
      </c>
      <c r="C23636" t="inlineStr">
        <is>
          <t>1964-08-11</t>
        </is>
      </c>
    </row>
    <row r="23637">
      <c r="A23637" s="1" t="n">
        <v>23636</v>
      </c>
      <c r="B23637">
        <f>TEXT(23636, "[$-0E0000]yyyy-mm-dd")</f>
        <v/>
      </c>
      <c r="C23637" t="inlineStr">
        <is>
          <t>1964-08-12</t>
        </is>
      </c>
    </row>
    <row r="23638">
      <c r="A23638" s="1" t="n">
        <v>23637</v>
      </c>
      <c r="B23638">
        <f>TEXT(23637, "[$-0E0000]yyyy-mm-dd")</f>
        <v/>
      </c>
      <c r="C23638" t="inlineStr">
        <is>
          <t>1964-08-13</t>
        </is>
      </c>
    </row>
    <row r="23639">
      <c r="A23639" s="1" t="n">
        <v>23638</v>
      </c>
      <c r="B23639">
        <f>TEXT(23638, "[$-0E0000]yyyy-mm-dd")</f>
        <v/>
      </c>
      <c r="C23639" t="inlineStr">
        <is>
          <t>1964-08-14</t>
        </is>
      </c>
    </row>
    <row r="23640">
      <c r="A23640" s="1" t="n">
        <v>23639</v>
      </c>
      <c r="B23640">
        <f>TEXT(23639, "[$-0E0000]yyyy-mm-dd")</f>
        <v/>
      </c>
      <c r="C23640" t="inlineStr">
        <is>
          <t>1964-08-15</t>
        </is>
      </c>
    </row>
    <row r="23641">
      <c r="A23641" s="1" t="n">
        <v>23640</v>
      </c>
      <c r="B23641">
        <f>TEXT(23640, "[$-0E0000]yyyy-mm-dd")</f>
        <v/>
      </c>
      <c r="C23641" t="inlineStr">
        <is>
          <t>1964-08-16</t>
        </is>
      </c>
    </row>
    <row r="23642">
      <c r="A23642" s="1" t="n">
        <v>23641</v>
      </c>
      <c r="B23642">
        <f>TEXT(23641, "[$-0E0000]yyyy-mm-dd")</f>
        <v/>
      </c>
      <c r="C23642" t="inlineStr">
        <is>
          <t>1964-08-17</t>
        </is>
      </c>
    </row>
    <row r="23643">
      <c r="A23643" s="1" t="n">
        <v>23642</v>
      </c>
      <c r="B23643">
        <f>TEXT(23642, "[$-0E0000]yyyy-mm-dd")</f>
        <v/>
      </c>
      <c r="C23643" t="inlineStr">
        <is>
          <t>1964-08-18</t>
        </is>
      </c>
    </row>
    <row r="23644">
      <c r="A23644" s="1" t="n">
        <v>23643</v>
      </c>
      <c r="B23644">
        <f>TEXT(23643, "[$-0E0000]yyyy-mm-dd")</f>
        <v/>
      </c>
      <c r="C23644" t="inlineStr">
        <is>
          <t>1964-08-19</t>
        </is>
      </c>
    </row>
    <row r="23645">
      <c r="A23645" s="1" t="n">
        <v>23644</v>
      </c>
      <c r="B23645">
        <f>TEXT(23644, "[$-0E0000]yyyy-mm-dd")</f>
        <v/>
      </c>
      <c r="C23645" t="inlineStr">
        <is>
          <t>1964-08-20</t>
        </is>
      </c>
    </row>
    <row r="23646">
      <c r="A23646" s="1" t="n">
        <v>23645</v>
      </c>
      <c r="B23646">
        <f>TEXT(23645, "[$-0E0000]yyyy-mm-dd")</f>
        <v/>
      </c>
      <c r="C23646" t="inlineStr">
        <is>
          <t>1964-08-21</t>
        </is>
      </c>
    </row>
    <row r="23647">
      <c r="A23647" s="1" t="n">
        <v>23646</v>
      </c>
      <c r="B23647">
        <f>TEXT(23646, "[$-0E0000]yyyy-mm-dd")</f>
        <v/>
      </c>
      <c r="C23647" t="inlineStr">
        <is>
          <t>1964-08-22</t>
        </is>
      </c>
    </row>
    <row r="23648">
      <c r="A23648" s="1" t="n">
        <v>23647</v>
      </c>
      <c r="B23648">
        <f>TEXT(23647, "[$-0E0000]yyyy-mm-dd")</f>
        <v/>
      </c>
      <c r="C23648" t="inlineStr">
        <is>
          <t>1964-08-23</t>
        </is>
      </c>
    </row>
    <row r="23649">
      <c r="A23649" s="1" t="n">
        <v>23648</v>
      </c>
      <c r="B23649">
        <f>TEXT(23648, "[$-0E0000]yyyy-mm-dd")</f>
        <v/>
      </c>
      <c r="C23649" t="inlineStr">
        <is>
          <t>1964-08-24</t>
        </is>
      </c>
    </row>
    <row r="23650">
      <c r="A23650" s="1" t="n">
        <v>23649</v>
      </c>
      <c r="B23650">
        <f>TEXT(23649, "[$-0E0000]yyyy-mm-dd")</f>
        <v/>
      </c>
      <c r="C23650" t="inlineStr">
        <is>
          <t>1964-08-25</t>
        </is>
      </c>
    </row>
    <row r="23651">
      <c r="A23651" s="1" t="n">
        <v>23650</v>
      </c>
      <c r="B23651">
        <f>TEXT(23650, "[$-0E0000]yyyy-mm-dd")</f>
        <v/>
      </c>
      <c r="C23651" t="inlineStr">
        <is>
          <t>1964-08-26</t>
        </is>
      </c>
    </row>
    <row r="23652">
      <c r="A23652" s="1" t="n">
        <v>23651</v>
      </c>
      <c r="B23652">
        <f>TEXT(23651, "[$-0E0000]yyyy-mm-dd")</f>
        <v/>
      </c>
      <c r="C23652" t="inlineStr">
        <is>
          <t>1964-08-27</t>
        </is>
      </c>
    </row>
    <row r="23653">
      <c r="A23653" s="1" t="n">
        <v>23652</v>
      </c>
      <c r="B23653">
        <f>TEXT(23652, "[$-0E0000]yyyy-mm-dd")</f>
        <v/>
      </c>
      <c r="C23653" t="inlineStr">
        <is>
          <t>1964-08-28</t>
        </is>
      </c>
    </row>
    <row r="23654">
      <c r="A23654" s="1" t="n">
        <v>23653</v>
      </c>
      <c r="B23654">
        <f>TEXT(23653, "[$-0E0000]yyyy-mm-dd")</f>
        <v/>
      </c>
      <c r="C23654" t="inlineStr">
        <is>
          <t>1964-08-29</t>
        </is>
      </c>
    </row>
    <row r="23655">
      <c r="A23655" s="1" t="n">
        <v>23654</v>
      </c>
      <c r="B23655">
        <f>TEXT(23654, "[$-0E0000]yyyy-mm-dd")</f>
        <v/>
      </c>
      <c r="C23655" t="inlineStr">
        <is>
          <t>1964-08-30</t>
        </is>
      </c>
    </row>
    <row r="23656">
      <c r="A23656" s="1" t="n">
        <v>23655</v>
      </c>
      <c r="B23656">
        <f>TEXT(23655, "[$-0E0000]yyyy-mm-dd")</f>
        <v/>
      </c>
      <c r="C23656" t="inlineStr">
        <is>
          <t>1964-09-01</t>
        </is>
      </c>
    </row>
    <row r="23657">
      <c r="A23657" s="1" t="n">
        <v>23656</v>
      </c>
      <c r="B23657">
        <f>TEXT(23656, "[$-0E0000]yyyy-mm-dd")</f>
        <v/>
      </c>
      <c r="C23657" t="inlineStr">
        <is>
          <t>1964-09-02</t>
        </is>
      </c>
    </row>
    <row r="23658">
      <c r="A23658" s="1" t="n">
        <v>23657</v>
      </c>
      <c r="B23658">
        <f>TEXT(23657, "[$-0E0000]yyyy-mm-dd")</f>
        <v/>
      </c>
      <c r="C23658" t="inlineStr">
        <is>
          <t>1964-09-03</t>
        </is>
      </c>
    </row>
    <row r="23659">
      <c r="A23659" s="1" t="n">
        <v>23658</v>
      </c>
      <c r="B23659">
        <f>TEXT(23658, "[$-0E0000]yyyy-mm-dd")</f>
        <v/>
      </c>
      <c r="C23659" t="inlineStr">
        <is>
          <t>1964-09-04</t>
        </is>
      </c>
    </row>
    <row r="23660">
      <c r="A23660" s="1" t="n">
        <v>23659</v>
      </c>
      <c r="B23660">
        <f>TEXT(23659, "[$-0E0000]yyyy-mm-dd")</f>
        <v/>
      </c>
      <c r="C23660" t="inlineStr">
        <is>
          <t>1964-09-05</t>
        </is>
      </c>
    </row>
    <row r="23661">
      <c r="A23661" s="1" t="n">
        <v>23660</v>
      </c>
      <c r="B23661">
        <f>TEXT(23660, "[$-0E0000]yyyy-mm-dd")</f>
        <v/>
      </c>
      <c r="C23661" t="inlineStr">
        <is>
          <t>1964-09-06</t>
        </is>
      </c>
    </row>
    <row r="23662">
      <c r="A23662" s="1" t="n">
        <v>23661</v>
      </c>
      <c r="B23662">
        <f>TEXT(23661, "[$-0E0000]yyyy-mm-dd")</f>
        <v/>
      </c>
      <c r="C23662" t="inlineStr">
        <is>
          <t>1964-09-07</t>
        </is>
      </c>
    </row>
    <row r="23663">
      <c r="A23663" s="1" t="n">
        <v>23662</v>
      </c>
      <c r="B23663">
        <f>TEXT(23662, "[$-0E0000]yyyy-mm-dd")</f>
        <v/>
      </c>
      <c r="C23663" t="inlineStr">
        <is>
          <t>1964-09-08</t>
        </is>
      </c>
    </row>
    <row r="23664">
      <c r="A23664" s="1" t="n">
        <v>23663</v>
      </c>
      <c r="B23664">
        <f>TEXT(23663, "[$-0E0000]yyyy-mm-dd")</f>
        <v/>
      </c>
      <c r="C23664" t="inlineStr">
        <is>
          <t>1964-09-09</t>
        </is>
      </c>
    </row>
    <row r="23665">
      <c r="A23665" s="1" t="n">
        <v>23664</v>
      </c>
      <c r="B23665">
        <f>TEXT(23664, "[$-0E0000]yyyy-mm-dd")</f>
        <v/>
      </c>
      <c r="C23665" t="inlineStr">
        <is>
          <t>1964-09-10</t>
        </is>
      </c>
    </row>
    <row r="23666">
      <c r="A23666" s="1" t="n">
        <v>23665</v>
      </c>
      <c r="B23666">
        <f>TEXT(23665, "[$-0E0000]yyyy-mm-dd")</f>
        <v/>
      </c>
      <c r="C23666" t="inlineStr">
        <is>
          <t>1964-09-11</t>
        </is>
      </c>
    </row>
    <row r="23667">
      <c r="A23667" s="1" t="n">
        <v>23666</v>
      </c>
      <c r="B23667">
        <f>TEXT(23666, "[$-0E0000]yyyy-mm-dd")</f>
        <v/>
      </c>
      <c r="C23667" t="inlineStr">
        <is>
          <t>1964-09-12</t>
        </is>
      </c>
    </row>
    <row r="23668">
      <c r="A23668" s="1" t="n">
        <v>23667</v>
      </c>
      <c r="B23668">
        <f>TEXT(23667, "[$-0E0000]yyyy-mm-dd")</f>
        <v/>
      </c>
      <c r="C23668" t="inlineStr">
        <is>
          <t>1964-09-13</t>
        </is>
      </c>
    </row>
    <row r="23669">
      <c r="A23669" s="1" t="n">
        <v>23668</v>
      </c>
      <c r="B23669">
        <f>TEXT(23668, "[$-0E0000]yyyy-mm-dd")</f>
        <v/>
      </c>
      <c r="C23669" t="inlineStr">
        <is>
          <t>1964-09-14</t>
        </is>
      </c>
    </row>
    <row r="23670">
      <c r="A23670" s="1" t="n">
        <v>23669</v>
      </c>
      <c r="B23670">
        <f>TEXT(23669, "[$-0E0000]yyyy-mm-dd")</f>
        <v/>
      </c>
      <c r="C23670" t="inlineStr">
        <is>
          <t>1964-09-15</t>
        </is>
      </c>
    </row>
    <row r="23671">
      <c r="A23671" s="1" t="n">
        <v>23670</v>
      </c>
      <c r="B23671">
        <f>TEXT(23670, "[$-0E0000]yyyy-mm-dd")</f>
        <v/>
      </c>
      <c r="C23671" t="inlineStr">
        <is>
          <t>1964-09-16</t>
        </is>
      </c>
    </row>
    <row r="23672">
      <c r="A23672" s="1" t="n">
        <v>23671</v>
      </c>
      <c r="B23672">
        <f>TEXT(23671, "[$-0E0000]yyyy-mm-dd")</f>
        <v/>
      </c>
      <c r="C23672" t="inlineStr">
        <is>
          <t>1964-09-17</t>
        </is>
      </c>
    </row>
    <row r="23673">
      <c r="A23673" s="1" t="n">
        <v>23672</v>
      </c>
      <c r="B23673">
        <f>TEXT(23672, "[$-0E0000]yyyy-mm-dd")</f>
        <v/>
      </c>
      <c r="C23673" t="inlineStr">
        <is>
          <t>1964-09-18</t>
        </is>
      </c>
    </row>
    <row r="23674">
      <c r="A23674" s="1" t="n">
        <v>23673</v>
      </c>
      <c r="B23674">
        <f>TEXT(23673, "[$-0E0000]yyyy-mm-dd")</f>
        <v/>
      </c>
      <c r="C23674" t="inlineStr">
        <is>
          <t>1964-09-19</t>
        </is>
      </c>
    </row>
    <row r="23675">
      <c r="A23675" s="1" t="n">
        <v>23674</v>
      </c>
      <c r="B23675">
        <f>TEXT(23674, "[$-0E0000]yyyy-mm-dd")</f>
        <v/>
      </c>
      <c r="C23675" t="inlineStr">
        <is>
          <t>1964-09-20</t>
        </is>
      </c>
    </row>
    <row r="23676">
      <c r="A23676" s="1" t="n">
        <v>23675</v>
      </c>
      <c r="B23676">
        <f>TEXT(23675, "[$-0E0000]yyyy-mm-dd")</f>
        <v/>
      </c>
      <c r="C23676" t="inlineStr">
        <is>
          <t>1964-09-21</t>
        </is>
      </c>
    </row>
    <row r="23677">
      <c r="A23677" s="1" t="n">
        <v>23676</v>
      </c>
      <c r="B23677">
        <f>TEXT(23676, "[$-0E0000]yyyy-mm-dd")</f>
        <v/>
      </c>
      <c r="C23677" t="inlineStr">
        <is>
          <t>1964-09-22</t>
        </is>
      </c>
    </row>
    <row r="23678">
      <c r="A23678" s="1" t="n">
        <v>23677</v>
      </c>
      <c r="B23678">
        <f>TEXT(23677, "[$-0E0000]yyyy-mm-dd")</f>
        <v/>
      </c>
      <c r="C23678" t="inlineStr">
        <is>
          <t>1964-09-23</t>
        </is>
      </c>
    </row>
    <row r="23679">
      <c r="A23679" s="1" t="n">
        <v>23678</v>
      </c>
      <c r="B23679">
        <f>TEXT(23678, "[$-0E0000]yyyy-mm-dd")</f>
        <v/>
      </c>
      <c r="C23679" t="inlineStr">
        <is>
          <t>1964-09-24</t>
        </is>
      </c>
    </row>
    <row r="23680">
      <c r="A23680" s="1" t="n">
        <v>23679</v>
      </c>
      <c r="B23680">
        <f>TEXT(23679, "[$-0E0000]yyyy-mm-dd")</f>
        <v/>
      </c>
      <c r="C23680" t="inlineStr">
        <is>
          <t>1964-09-25</t>
        </is>
      </c>
    </row>
    <row r="23681">
      <c r="A23681" s="1" t="n">
        <v>23680</v>
      </c>
      <c r="B23681">
        <f>TEXT(23680, "[$-0E0000]yyyy-mm-dd")</f>
        <v/>
      </c>
      <c r="C23681" t="inlineStr">
        <is>
          <t>1964-09-26</t>
        </is>
      </c>
    </row>
    <row r="23682">
      <c r="A23682" s="1" t="n">
        <v>23681</v>
      </c>
      <c r="B23682">
        <f>TEXT(23681, "[$-0E0000]yyyy-mm-dd")</f>
        <v/>
      </c>
      <c r="C23682" t="inlineStr">
        <is>
          <t>1964-09-27</t>
        </is>
      </c>
    </row>
    <row r="23683">
      <c r="A23683" s="1" t="n">
        <v>23682</v>
      </c>
      <c r="B23683">
        <f>TEXT(23682, "[$-0E0000]yyyy-mm-dd")</f>
        <v/>
      </c>
      <c r="C23683" t="inlineStr">
        <is>
          <t>1964-09-28</t>
        </is>
      </c>
    </row>
    <row r="23684">
      <c r="A23684" s="1" t="n">
        <v>23683</v>
      </c>
      <c r="B23684">
        <f>TEXT(23683, "[$-0E0000]yyyy-mm-dd")</f>
        <v/>
      </c>
      <c r="C23684" t="inlineStr">
        <is>
          <t>1964-09-29</t>
        </is>
      </c>
    </row>
    <row r="23685">
      <c r="A23685" s="1" t="n">
        <v>23684</v>
      </c>
      <c r="B23685">
        <f>TEXT(23684, "[$-0E0000]yyyy-mm-dd")</f>
        <v/>
      </c>
      <c r="C23685" t="inlineStr">
        <is>
          <t>1964-10-01</t>
        </is>
      </c>
    </row>
    <row r="23686">
      <c r="A23686" s="1" t="n">
        <v>23685</v>
      </c>
      <c r="B23686">
        <f>TEXT(23685, "[$-0E0000]yyyy-mm-dd")</f>
        <v/>
      </c>
      <c r="C23686" t="inlineStr">
        <is>
          <t>1964-10-02</t>
        </is>
      </c>
    </row>
    <row r="23687">
      <c r="A23687" s="1" t="n">
        <v>23686</v>
      </c>
      <c r="B23687">
        <f>TEXT(23686, "[$-0E0000]yyyy-mm-dd")</f>
        <v/>
      </c>
      <c r="C23687" t="inlineStr">
        <is>
          <t>1964-10-03</t>
        </is>
      </c>
    </row>
    <row r="23688">
      <c r="A23688" s="1" t="n">
        <v>23687</v>
      </c>
      <c r="B23688">
        <f>TEXT(23687, "[$-0E0000]yyyy-mm-dd")</f>
        <v/>
      </c>
      <c r="C23688" t="inlineStr">
        <is>
          <t>1964-10-04</t>
        </is>
      </c>
    </row>
    <row r="23689">
      <c r="A23689" s="1" t="n">
        <v>23688</v>
      </c>
      <c r="B23689">
        <f>TEXT(23688, "[$-0E0000]yyyy-mm-dd")</f>
        <v/>
      </c>
      <c r="C23689" t="inlineStr">
        <is>
          <t>1964-10-05</t>
        </is>
      </c>
    </row>
    <row r="23690">
      <c r="A23690" s="1" t="n">
        <v>23689</v>
      </c>
      <c r="B23690">
        <f>TEXT(23689, "[$-0E0000]yyyy-mm-dd")</f>
        <v/>
      </c>
      <c r="C23690" t="inlineStr">
        <is>
          <t>1964-10-06</t>
        </is>
      </c>
    </row>
    <row r="23691">
      <c r="A23691" s="1" t="n">
        <v>23690</v>
      </c>
      <c r="B23691">
        <f>TEXT(23690, "[$-0E0000]yyyy-mm-dd")</f>
        <v/>
      </c>
      <c r="C23691" t="inlineStr">
        <is>
          <t>1964-10-07</t>
        </is>
      </c>
    </row>
    <row r="23692">
      <c r="A23692" s="1" t="n">
        <v>23691</v>
      </c>
      <c r="B23692">
        <f>TEXT(23691, "[$-0E0000]yyyy-mm-dd")</f>
        <v/>
      </c>
      <c r="C23692" t="inlineStr">
        <is>
          <t>1964-10-08</t>
        </is>
      </c>
    </row>
    <row r="23693">
      <c r="A23693" s="1" t="n">
        <v>23692</v>
      </c>
      <c r="B23693">
        <f>TEXT(23692, "[$-0E0000]yyyy-mm-dd")</f>
        <v/>
      </c>
      <c r="C23693" t="inlineStr">
        <is>
          <t>1964-10-09</t>
        </is>
      </c>
    </row>
    <row r="23694">
      <c r="A23694" s="1" t="n">
        <v>23693</v>
      </c>
      <c r="B23694">
        <f>TEXT(23693, "[$-0E0000]yyyy-mm-dd")</f>
        <v/>
      </c>
      <c r="C23694" t="inlineStr">
        <is>
          <t>1964-10-10</t>
        </is>
      </c>
    </row>
    <row r="23695">
      <c r="A23695" s="1" t="n">
        <v>23694</v>
      </c>
      <c r="B23695">
        <f>TEXT(23694, "[$-0E0000]yyyy-mm-dd")</f>
        <v/>
      </c>
      <c r="C23695" t="inlineStr">
        <is>
          <t>1964-10-11</t>
        </is>
      </c>
    </row>
    <row r="23696">
      <c r="A23696" s="1" t="n">
        <v>23695</v>
      </c>
      <c r="B23696">
        <f>TEXT(23695, "[$-0E0000]yyyy-mm-dd")</f>
        <v/>
      </c>
      <c r="C23696" t="inlineStr">
        <is>
          <t>1964-10-12</t>
        </is>
      </c>
    </row>
    <row r="23697">
      <c r="A23697" s="1" t="n">
        <v>23696</v>
      </c>
      <c r="B23697">
        <f>TEXT(23696, "[$-0E0000]yyyy-mm-dd")</f>
        <v/>
      </c>
      <c r="C23697" t="inlineStr">
        <is>
          <t>1964-10-13</t>
        </is>
      </c>
    </row>
    <row r="23698">
      <c r="A23698" s="1" t="n">
        <v>23697</v>
      </c>
      <c r="B23698">
        <f>TEXT(23697, "[$-0E0000]yyyy-mm-dd")</f>
        <v/>
      </c>
      <c r="C23698" t="inlineStr">
        <is>
          <t>1964-10-14</t>
        </is>
      </c>
    </row>
    <row r="23699">
      <c r="A23699" s="1" t="n">
        <v>23698</v>
      </c>
      <c r="B23699">
        <f>TEXT(23698, "[$-0E0000]yyyy-mm-dd")</f>
        <v/>
      </c>
      <c r="C23699" t="inlineStr">
        <is>
          <t>1964-10-15</t>
        </is>
      </c>
    </row>
    <row r="23700">
      <c r="A23700" s="1" t="n">
        <v>23699</v>
      </c>
      <c r="B23700">
        <f>TEXT(23699, "[$-0E0000]yyyy-mm-dd")</f>
        <v/>
      </c>
      <c r="C23700" t="inlineStr">
        <is>
          <t>1964-10-16</t>
        </is>
      </c>
    </row>
    <row r="23701">
      <c r="A23701" s="1" t="n">
        <v>23700</v>
      </c>
      <c r="B23701">
        <f>TEXT(23700, "[$-0E0000]yyyy-mm-dd")</f>
        <v/>
      </c>
      <c r="C23701" t="inlineStr">
        <is>
          <t>1964-10-17</t>
        </is>
      </c>
    </row>
    <row r="23702">
      <c r="A23702" s="1" t="n">
        <v>23701</v>
      </c>
      <c r="B23702">
        <f>TEXT(23701, "[$-0E0000]yyyy-mm-dd")</f>
        <v/>
      </c>
      <c r="C23702" t="inlineStr">
        <is>
          <t>1964-10-18</t>
        </is>
      </c>
    </row>
    <row r="23703">
      <c r="A23703" s="1" t="n">
        <v>23702</v>
      </c>
      <c r="B23703">
        <f>TEXT(23702, "[$-0E0000]yyyy-mm-dd")</f>
        <v/>
      </c>
      <c r="C23703" t="inlineStr">
        <is>
          <t>1964-10-19</t>
        </is>
      </c>
    </row>
    <row r="23704">
      <c r="A23704" s="1" t="n">
        <v>23703</v>
      </c>
      <c r="B23704">
        <f>TEXT(23703, "[$-0E0000]yyyy-mm-dd")</f>
        <v/>
      </c>
      <c r="C23704" t="inlineStr">
        <is>
          <t>1964-10-20</t>
        </is>
      </c>
    </row>
    <row r="23705">
      <c r="A23705" s="1" t="n">
        <v>23704</v>
      </c>
      <c r="B23705">
        <f>TEXT(23704, "[$-0E0000]yyyy-mm-dd")</f>
        <v/>
      </c>
      <c r="C23705" t="inlineStr">
        <is>
          <t>1964-10-21</t>
        </is>
      </c>
    </row>
    <row r="23706">
      <c r="A23706" s="1" t="n">
        <v>23705</v>
      </c>
      <c r="B23706">
        <f>TEXT(23705, "[$-0E0000]yyyy-mm-dd")</f>
        <v/>
      </c>
      <c r="C23706" t="inlineStr">
        <is>
          <t>1964-10-22</t>
        </is>
      </c>
    </row>
    <row r="23707">
      <c r="A23707" s="1" t="n">
        <v>23706</v>
      </c>
      <c r="B23707">
        <f>TEXT(23706, "[$-0E0000]yyyy-mm-dd")</f>
        <v/>
      </c>
      <c r="C23707" t="inlineStr">
        <is>
          <t>1964-10-23</t>
        </is>
      </c>
    </row>
    <row r="23708">
      <c r="A23708" s="1" t="n">
        <v>23707</v>
      </c>
      <c r="B23708">
        <f>TEXT(23707, "[$-0E0000]yyyy-mm-dd")</f>
        <v/>
      </c>
      <c r="C23708" t="inlineStr">
        <is>
          <t>1964-10-24</t>
        </is>
      </c>
    </row>
    <row r="23709">
      <c r="A23709" s="1" t="n">
        <v>23708</v>
      </c>
      <c r="B23709">
        <f>TEXT(23708, "[$-0E0000]yyyy-mm-dd")</f>
        <v/>
      </c>
      <c r="C23709" t="inlineStr">
        <is>
          <t>1964-10-25</t>
        </is>
      </c>
    </row>
    <row r="23710">
      <c r="A23710" s="1" t="n">
        <v>23709</v>
      </c>
      <c r="B23710">
        <f>TEXT(23709, "[$-0E0000]yyyy-mm-dd")</f>
        <v/>
      </c>
      <c r="C23710" t="inlineStr">
        <is>
          <t>1964-10-26</t>
        </is>
      </c>
    </row>
    <row r="23711">
      <c r="A23711" s="1" t="n">
        <v>23710</v>
      </c>
      <c r="B23711">
        <f>TEXT(23710, "[$-0E0000]yyyy-mm-dd")</f>
        <v/>
      </c>
      <c r="C23711" t="inlineStr">
        <is>
          <t>1964-10-27</t>
        </is>
      </c>
    </row>
    <row r="23712">
      <c r="A23712" s="1" t="n">
        <v>23711</v>
      </c>
      <c r="B23712">
        <f>TEXT(23711, "[$-0E0000]yyyy-mm-dd")</f>
        <v/>
      </c>
      <c r="C23712" t="inlineStr">
        <is>
          <t>1964-10-28</t>
        </is>
      </c>
    </row>
    <row r="23713">
      <c r="A23713" s="1" t="n">
        <v>23712</v>
      </c>
      <c r="B23713">
        <f>TEXT(23712, "[$-0E0000]yyyy-mm-dd")</f>
        <v/>
      </c>
      <c r="C23713" t="inlineStr">
        <is>
          <t>1964-10-29</t>
        </is>
      </c>
    </row>
    <row r="23714">
      <c r="A23714" s="1" t="n">
        <v>23713</v>
      </c>
      <c r="B23714">
        <f>TEXT(23713, "[$-0E0000]yyyy-mm-dd")</f>
        <v/>
      </c>
      <c r="C23714" t="inlineStr">
        <is>
          <t>1964-10-30</t>
        </is>
      </c>
    </row>
    <row r="23715">
      <c r="A23715" s="1" t="n">
        <v>23714</v>
      </c>
      <c r="B23715">
        <f>TEXT(23714, "[$-0E0000]yyyy-mm-dd")</f>
        <v/>
      </c>
      <c r="C23715" t="inlineStr">
        <is>
          <t>1964-11-01</t>
        </is>
      </c>
    </row>
    <row r="23716">
      <c r="A23716" s="1" t="n">
        <v>23715</v>
      </c>
      <c r="B23716">
        <f>TEXT(23715, "[$-0E0000]yyyy-mm-dd")</f>
        <v/>
      </c>
      <c r="C23716" t="inlineStr">
        <is>
          <t>1964-11-02</t>
        </is>
      </c>
    </row>
    <row r="23717">
      <c r="A23717" s="1" t="n">
        <v>23716</v>
      </c>
      <c r="B23717">
        <f>TEXT(23716, "[$-0E0000]yyyy-mm-dd")</f>
        <v/>
      </c>
      <c r="C23717" t="inlineStr">
        <is>
          <t>1964-11-03</t>
        </is>
      </c>
    </row>
    <row r="23718">
      <c r="A23718" s="1" t="n">
        <v>23717</v>
      </c>
      <c r="B23718">
        <f>TEXT(23717, "[$-0E0000]yyyy-mm-dd")</f>
        <v/>
      </c>
      <c r="C23718" t="inlineStr">
        <is>
          <t>1964-11-04</t>
        </is>
      </c>
    </row>
    <row r="23719">
      <c r="A23719" s="1" t="n">
        <v>23718</v>
      </c>
      <c r="B23719">
        <f>TEXT(23718, "[$-0E0000]yyyy-mm-dd")</f>
        <v/>
      </c>
      <c r="C23719" t="inlineStr">
        <is>
          <t>1964-11-05</t>
        </is>
      </c>
    </row>
    <row r="23720">
      <c r="A23720" s="1" t="n">
        <v>23719</v>
      </c>
      <c r="B23720">
        <f>TEXT(23719, "[$-0E0000]yyyy-mm-dd")</f>
        <v/>
      </c>
      <c r="C23720" t="inlineStr">
        <is>
          <t>1964-11-06</t>
        </is>
      </c>
    </row>
    <row r="23721">
      <c r="A23721" s="1" t="n">
        <v>23720</v>
      </c>
      <c r="B23721">
        <f>TEXT(23720, "[$-0E0000]yyyy-mm-dd")</f>
        <v/>
      </c>
      <c r="C23721" t="inlineStr">
        <is>
          <t>1964-11-07</t>
        </is>
      </c>
    </row>
    <row r="23722">
      <c r="A23722" s="1" t="n">
        <v>23721</v>
      </c>
      <c r="B23722">
        <f>TEXT(23721, "[$-0E0000]yyyy-mm-dd")</f>
        <v/>
      </c>
      <c r="C23722" t="inlineStr">
        <is>
          <t>1964-11-08</t>
        </is>
      </c>
    </row>
    <row r="23723">
      <c r="A23723" s="1" t="n">
        <v>23722</v>
      </c>
      <c r="B23723">
        <f>TEXT(23722, "[$-0E0000]yyyy-mm-dd")</f>
        <v/>
      </c>
      <c r="C23723" t="inlineStr">
        <is>
          <t>1964-11-09</t>
        </is>
      </c>
    </row>
    <row r="23724">
      <c r="A23724" s="1" t="n">
        <v>23723</v>
      </c>
      <c r="B23724">
        <f>TEXT(23723, "[$-0E0000]yyyy-mm-dd")</f>
        <v/>
      </c>
      <c r="C23724" t="inlineStr">
        <is>
          <t>1964-11-10</t>
        </is>
      </c>
    </row>
    <row r="23725">
      <c r="A23725" s="1" t="n">
        <v>23724</v>
      </c>
      <c r="B23725">
        <f>TEXT(23724, "[$-0E0000]yyyy-mm-dd")</f>
        <v/>
      </c>
      <c r="C23725" t="inlineStr">
        <is>
          <t>1964-11-11</t>
        </is>
      </c>
    </row>
    <row r="23726">
      <c r="A23726" s="1" t="n">
        <v>23725</v>
      </c>
      <c r="B23726">
        <f>TEXT(23725, "[$-0E0000]yyyy-mm-dd")</f>
        <v/>
      </c>
      <c r="C23726" t="inlineStr">
        <is>
          <t>1964-11-12</t>
        </is>
      </c>
    </row>
    <row r="23727">
      <c r="A23727" s="1" t="n">
        <v>23726</v>
      </c>
      <c r="B23727">
        <f>TEXT(23726, "[$-0E0000]yyyy-mm-dd")</f>
        <v/>
      </c>
      <c r="C23727" t="inlineStr">
        <is>
          <t>1964-11-13</t>
        </is>
      </c>
    </row>
    <row r="23728">
      <c r="A23728" s="1" t="n">
        <v>23727</v>
      </c>
      <c r="B23728">
        <f>TEXT(23727, "[$-0E0000]yyyy-mm-dd")</f>
        <v/>
      </c>
      <c r="C23728" t="inlineStr">
        <is>
          <t>1964-11-14</t>
        </is>
      </c>
    </row>
    <row r="23729">
      <c r="A23729" s="1" t="n">
        <v>23728</v>
      </c>
      <c r="B23729">
        <f>TEXT(23728, "[$-0E0000]yyyy-mm-dd")</f>
        <v/>
      </c>
      <c r="C23729" t="inlineStr">
        <is>
          <t>1964-11-15</t>
        </is>
      </c>
    </row>
    <row r="23730">
      <c r="A23730" s="1" t="n">
        <v>23729</v>
      </c>
      <c r="B23730">
        <f>TEXT(23729, "[$-0E0000]yyyy-mm-dd")</f>
        <v/>
      </c>
      <c r="C23730" t="inlineStr">
        <is>
          <t>1964-11-16</t>
        </is>
      </c>
    </row>
    <row r="23731">
      <c r="A23731" s="1" t="n">
        <v>23730</v>
      </c>
      <c r="B23731">
        <f>TEXT(23730, "[$-0E0000]yyyy-mm-dd")</f>
        <v/>
      </c>
      <c r="C23731" t="inlineStr">
        <is>
          <t>1964-11-17</t>
        </is>
      </c>
    </row>
    <row r="23732">
      <c r="A23732" s="1" t="n">
        <v>23731</v>
      </c>
      <c r="B23732">
        <f>TEXT(23731, "[$-0E0000]yyyy-mm-dd")</f>
        <v/>
      </c>
      <c r="C23732" t="inlineStr">
        <is>
          <t>1964-11-18</t>
        </is>
      </c>
    </row>
    <row r="23733">
      <c r="A23733" s="1" t="n">
        <v>23732</v>
      </c>
      <c r="B23733">
        <f>TEXT(23732, "[$-0E0000]yyyy-mm-dd")</f>
        <v/>
      </c>
      <c r="C23733" t="inlineStr">
        <is>
          <t>1964-11-19</t>
        </is>
      </c>
    </row>
    <row r="23734">
      <c r="A23734" s="1" t="n">
        <v>23733</v>
      </c>
      <c r="B23734">
        <f>TEXT(23733, "[$-0E0000]yyyy-mm-dd")</f>
        <v/>
      </c>
      <c r="C23734" t="inlineStr">
        <is>
          <t>1964-11-20</t>
        </is>
      </c>
    </row>
    <row r="23735">
      <c r="A23735" s="1" t="n">
        <v>23734</v>
      </c>
      <c r="B23735">
        <f>TEXT(23734, "[$-0E0000]yyyy-mm-dd")</f>
        <v/>
      </c>
      <c r="C23735" t="inlineStr">
        <is>
          <t>1964-11-21</t>
        </is>
      </c>
    </row>
    <row r="23736">
      <c r="A23736" s="1" t="n">
        <v>23735</v>
      </c>
      <c r="B23736">
        <f>TEXT(23735, "[$-0E0000]yyyy-mm-dd")</f>
        <v/>
      </c>
      <c r="C23736" t="inlineStr">
        <is>
          <t>1964-11-22</t>
        </is>
      </c>
    </row>
    <row r="23737">
      <c r="A23737" s="1" t="n">
        <v>23736</v>
      </c>
      <c r="B23737">
        <f>TEXT(23736, "[$-0E0000]yyyy-mm-dd")</f>
        <v/>
      </c>
      <c r="C23737" t="inlineStr">
        <is>
          <t>1964-11-23</t>
        </is>
      </c>
    </row>
    <row r="23738">
      <c r="A23738" s="1" t="n">
        <v>23737</v>
      </c>
      <c r="B23738">
        <f>TEXT(23737, "[$-0E0000]yyyy-mm-dd")</f>
        <v/>
      </c>
      <c r="C23738" t="inlineStr">
        <is>
          <t>1964-11-24</t>
        </is>
      </c>
    </row>
    <row r="23739">
      <c r="A23739" s="1" t="n">
        <v>23738</v>
      </c>
      <c r="B23739">
        <f>TEXT(23738, "[$-0E0000]yyyy-mm-dd")</f>
        <v/>
      </c>
      <c r="C23739" t="inlineStr">
        <is>
          <t>1964-11-25</t>
        </is>
      </c>
    </row>
    <row r="23740">
      <c r="A23740" s="1" t="n">
        <v>23739</v>
      </c>
      <c r="B23740">
        <f>TEXT(23739, "[$-0E0000]yyyy-mm-dd")</f>
        <v/>
      </c>
      <c r="C23740" t="inlineStr">
        <is>
          <t>1964-11-26</t>
        </is>
      </c>
    </row>
    <row r="23741">
      <c r="A23741" s="1" t="n">
        <v>23740</v>
      </c>
      <c r="B23741">
        <f>TEXT(23740, "[$-0E0000]yyyy-mm-dd")</f>
        <v/>
      </c>
      <c r="C23741" t="inlineStr">
        <is>
          <t>1964-11-27</t>
        </is>
      </c>
    </row>
    <row r="23742">
      <c r="A23742" s="1" t="n">
        <v>23741</v>
      </c>
      <c r="B23742">
        <f>TEXT(23741, "[$-0E0000]yyyy-mm-dd")</f>
        <v/>
      </c>
      <c r="C23742" t="inlineStr">
        <is>
          <t>1964-11-28</t>
        </is>
      </c>
    </row>
    <row r="23743">
      <c r="A23743" s="1" t="n">
        <v>23742</v>
      </c>
      <c r="B23743">
        <f>TEXT(23742, "[$-0E0000]yyyy-mm-dd")</f>
        <v/>
      </c>
      <c r="C23743" t="inlineStr">
        <is>
          <t>1964-11-29</t>
        </is>
      </c>
    </row>
    <row r="23744">
      <c r="A23744" s="1" t="n">
        <v>23743</v>
      </c>
      <c r="B23744">
        <f>TEXT(23743, "[$-0E0000]yyyy-mm-dd")</f>
        <v/>
      </c>
      <c r="C23744" t="inlineStr">
        <is>
          <t>1964-11-30</t>
        </is>
      </c>
    </row>
    <row r="23745">
      <c r="A23745" s="1" t="n">
        <v>23744</v>
      </c>
      <c r="B23745">
        <f>TEXT(23744, "[$-0E0000]yyyy-mm-dd")</f>
        <v/>
      </c>
      <c r="C23745" t="inlineStr">
        <is>
          <t>1964-12-01</t>
        </is>
      </c>
    </row>
    <row r="23746">
      <c r="A23746" s="1" t="n">
        <v>23745</v>
      </c>
      <c r="B23746">
        <f>TEXT(23745, "[$-0E0000]yyyy-mm-dd")</f>
        <v/>
      </c>
      <c r="C23746" t="inlineStr">
        <is>
          <t>1964-12-02</t>
        </is>
      </c>
    </row>
    <row r="23747">
      <c r="A23747" s="1" t="n">
        <v>23746</v>
      </c>
      <c r="B23747">
        <f>TEXT(23746, "[$-0E0000]yyyy-mm-dd")</f>
        <v/>
      </c>
      <c r="C23747" t="inlineStr">
        <is>
          <t>1964-12-03</t>
        </is>
      </c>
    </row>
    <row r="23748">
      <c r="A23748" s="1" t="n">
        <v>23747</v>
      </c>
      <c r="B23748">
        <f>TEXT(23747, "[$-0E0000]yyyy-mm-dd")</f>
        <v/>
      </c>
      <c r="C23748" t="inlineStr">
        <is>
          <t>1964-12-04</t>
        </is>
      </c>
    </row>
    <row r="23749">
      <c r="A23749" s="1" t="n">
        <v>23748</v>
      </c>
      <c r="B23749">
        <f>TEXT(23748, "[$-0E0000]yyyy-mm-dd")</f>
        <v/>
      </c>
      <c r="C23749" t="inlineStr">
        <is>
          <t>1964-12-05</t>
        </is>
      </c>
    </row>
    <row r="23750">
      <c r="A23750" s="1" t="n">
        <v>23749</v>
      </c>
      <c r="B23750">
        <f>TEXT(23749, "[$-0E0000]yyyy-mm-dd")</f>
        <v/>
      </c>
      <c r="C23750" t="inlineStr">
        <is>
          <t>1964-12-06</t>
        </is>
      </c>
    </row>
    <row r="23751">
      <c r="A23751" s="1" t="n">
        <v>23750</v>
      </c>
      <c r="B23751">
        <f>TEXT(23750, "[$-0E0000]yyyy-mm-dd")</f>
        <v/>
      </c>
      <c r="C23751" t="inlineStr">
        <is>
          <t>1964-12-07</t>
        </is>
      </c>
    </row>
    <row r="23752">
      <c r="A23752" s="1" t="n">
        <v>23751</v>
      </c>
      <c r="B23752">
        <f>TEXT(23751, "[$-0E0000]yyyy-mm-dd")</f>
        <v/>
      </c>
      <c r="C23752" t="inlineStr">
        <is>
          <t>1964-12-08</t>
        </is>
      </c>
    </row>
    <row r="23753">
      <c r="A23753" s="1" t="n">
        <v>23752</v>
      </c>
      <c r="B23753">
        <f>TEXT(23752, "[$-0E0000]yyyy-mm-dd")</f>
        <v/>
      </c>
      <c r="C23753" t="inlineStr">
        <is>
          <t>1964-12-09</t>
        </is>
      </c>
    </row>
    <row r="23754">
      <c r="A23754" s="1" t="n">
        <v>23753</v>
      </c>
      <c r="B23754">
        <f>TEXT(23753, "[$-0E0000]yyyy-mm-dd")</f>
        <v/>
      </c>
      <c r="C23754" t="inlineStr">
        <is>
          <t>1964-12-10</t>
        </is>
      </c>
    </row>
    <row r="23755">
      <c r="A23755" s="1" t="n">
        <v>23754</v>
      </c>
      <c r="B23755">
        <f>TEXT(23754, "[$-0E0000]yyyy-mm-dd")</f>
        <v/>
      </c>
      <c r="C23755" t="inlineStr">
        <is>
          <t>1964-12-11</t>
        </is>
      </c>
    </row>
    <row r="23756">
      <c r="A23756" s="1" t="n">
        <v>23755</v>
      </c>
      <c r="B23756">
        <f>TEXT(23755, "[$-0E0000]yyyy-mm-dd")</f>
        <v/>
      </c>
      <c r="C23756" t="inlineStr">
        <is>
          <t>1964-12-12</t>
        </is>
      </c>
    </row>
    <row r="23757">
      <c r="A23757" s="1" t="n">
        <v>23756</v>
      </c>
      <c r="B23757">
        <f>TEXT(23756, "[$-0E0000]yyyy-mm-dd")</f>
        <v/>
      </c>
      <c r="C23757" t="inlineStr">
        <is>
          <t>1964-12-13</t>
        </is>
      </c>
    </row>
    <row r="23758">
      <c r="A23758" s="1" t="n">
        <v>23757</v>
      </c>
      <c r="B23758">
        <f>TEXT(23757, "[$-0E0000]yyyy-mm-dd")</f>
        <v/>
      </c>
      <c r="C23758" t="inlineStr">
        <is>
          <t>1964-12-14</t>
        </is>
      </c>
    </row>
    <row r="23759">
      <c r="A23759" s="1" t="n">
        <v>23758</v>
      </c>
      <c r="B23759">
        <f>TEXT(23758, "[$-0E0000]yyyy-mm-dd")</f>
        <v/>
      </c>
      <c r="C23759" t="inlineStr">
        <is>
          <t>1964-12-15</t>
        </is>
      </c>
    </row>
    <row r="23760">
      <c r="A23760" s="1" t="n">
        <v>23759</v>
      </c>
      <c r="B23760">
        <f>TEXT(23759, "[$-0E0000]yyyy-mm-dd")</f>
        <v/>
      </c>
      <c r="C23760" t="inlineStr">
        <is>
          <t>1964-12-16</t>
        </is>
      </c>
    </row>
    <row r="23761">
      <c r="A23761" s="1" t="n">
        <v>23760</v>
      </c>
      <c r="B23761">
        <f>TEXT(23760, "[$-0E0000]yyyy-mm-dd")</f>
        <v/>
      </c>
      <c r="C23761" t="inlineStr">
        <is>
          <t>1964-12-17</t>
        </is>
      </c>
    </row>
    <row r="23762">
      <c r="A23762" s="1" t="n">
        <v>23761</v>
      </c>
      <c r="B23762">
        <f>TEXT(23761, "[$-0E0000]yyyy-mm-dd")</f>
        <v/>
      </c>
      <c r="C23762" t="inlineStr">
        <is>
          <t>1964-12-18</t>
        </is>
      </c>
    </row>
    <row r="23763">
      <c r="A23763" s="1" t="n">
        <v>23762</v>
      </c>
      <c r="B23763">
        <f>TEXT(23762, "[$-0E0000]yyyy-mm-dd")</f>
        <v/>
      </c>
      <c r="C23763" t="inlineStr">
        <is>
          <t>1964-12-19</t>
        </is>
      </c>
    </row>
    <row r="23764">
      <c r="A23764" s="1" t="n">
        <v>23763</v>
      </c>
      <c r="B23764">
        <f>TEXT(23763, "[$-0E0000]yyyy-mm-dd")</f>
        <v/>
      </c>
      <c r="C23764" t="inlineStr">
        <is>
          <t>1964-12-20</t>
        </is>
      </c>
    </row>
    <row r="23765">
      <c r="A23765" s="1" t="n">
        <v>23764</v>
      </c>
      <c r="B23765">
        <f>TEXT(23764, "[$-0E0000]yyyy-mm-dd")</f>
        <v/>
      </c>
      <c r="C23765" t="inlineStr">
        <is>
          <t>1964-12-21</t>
        </is>
      </c>
    </row>
    <row r="23766">
      <c r="A23766" s="1" t="n">
        <v>23765</v>
      </c>
      <c r="B23766">
        <f>TEXT(23765, "[$-0E0000]yyyy-mm-dd")</f>
        <v/>
      </c>
      <c r="C23766" t="inlineStr">
        <is>
          <t>1964-12-22</t>
        </is>
      </c>
    </row>
    <row r="23767">
      <c r="A23767" s="1" t="n">
        <v>23766</v>
      </c>
      <c r="B23767">
        <f>TEXT(23766, "[$-0E0000]yyyy-mm-dd")</f>
        <v/>
      </c>
      <c r="C23767" t="inlineStr">
        <is>
          <t>1964-12-23</t>
        </is>
      </c>
    </row>
    <row r="23768">
      <c r="A23768" s="1" t="n">
        <v>23767</v>
      </c>
      <c r="B23768">
        <f>TEXT(23767, "[$-0E0000]yyyy-mm-dd")</f>
        <v/>
      </c>
      <c r="C23768" t="inlineStr">
        <is>
          <t>1964-12-24</t>
        </is>
      </c>
    </row>
    <row r="23769">
      <c r="A23769" s="1" t="n">
        <v>23768</v>
      </c>
      <c r="B23769">
        <f>TEXT(23768, "[$-0E0000]yyyy-mm-dd")</f>
        <v/>
      </c>
      <c r="C23769" t="inlineStr">
        <is>
          <t>1964-12-25</t>
        </is>
      </c>
    </row>
    <row r="23770">
      <c r="A23770" s="1" t="n">
        <v>23769</v>
      </c>
      <c r="B23770">
        <f>TEXT(23769, "[$-0E0000]yyyy-mm-dd")</f>
        <v/>
      </c>
      <c r="C23770" t="inlineStr">
        <is>
          <t>1964-12-26</t>
        </is>
      </c>
    </row>
    <row r="23771">
      <c r="A23771" s="1" t="n">
        <v>23770</v>
      </c>
      <c r="B23771">
        <f>TEXT(23770, "[$-0E0000]yyyy-mm-dd")</f>
        <v/>
      </c>
      <c r="C23771" t="inlineStr">
        <is>
          <t>1964-12-27</t>
        </is>
      </c>
    </row>
    <row r="23772">
      <c r="A23772" s="1" t="n">
        <v>23771</v>
      </c>
      <c r="B23772">
        <f>TEXT(23771, "[$-0E0000]yyyy-mm-dd")</f>
        <v/>
      </c>
      <c r="C23772" t="inlineStr">
        <is>
          <t>1964-12-28</t>
        </is>
      </c>
    </row>
    <row r="23773">
      <c r="A23773" s="1" t="n">
        <v>23772</v>
      </c>
      <c r="B23773">
        <f>TEXT(23772, "[$-0E0000]yyyy-mm-dd")</f>
        <v/>
      </c>
      <c r="C23773" t="inlineStr">
        <is>
          <t>1964-12-29</t>
        </is>
      </c>
    </row>
    <row r="23774">
      <c r="A23774" s="1" t="n">
        <v>23773</v>
      </c>
      <c r="B23774">
        <f>TEXT(23773, "[$-0E0000]yyyy-mm-dd")</f>
        <v/>
      </c>
      <c r="C23774" t="inlineStr">
        <is>
          <t>1964-12-30</t>
        </is>
      </c>
    </row>
    <row r="23775">
      <c r="A23775" s="1" t="n">
        <v>23774</v>
      </c>
      <c r="B23775">
        <f>TEXT(23774, "[$-0E0000]yyyy-mm-dd")</f>
        <v/>
      </c>
      <c r="C23775" t="inlineStr">
        <is>
          <t>1965-01-01</t>
        </is>
      </c>
    </row>
    <row r="23776">
      <c r="A23776" s="1" t="n">
        <v>23775</v>
      </c>
      <c r="B23776">
        <f>TEXT(23775, "[$-0E0000]yyyy-mm-dd")</f>
        <v/>
      </c>
      <c r="C23776" t="inlineStr">
        <is>
          <t>1965-01-02</t>
        </is>
      </c>
    </row>
    <row r="23777">
      <c r="A23777" s="1" t="n">
        <v>23776</v>
      </c>
      <c r="B23777">
        <f>TEXT(23776, "[$-0E0000]yyyy-mm-dd")</f>
        <v/>
      </c>
      <c r="C23777" t="inlineStr">
        <is>
          <t>1965-01-03</t>
        </is>
      </c>
    </row>
    <row r="23778">
      <c r="A23778" s="1" t="n">
        <v>23777</v>
      </c>
      <c r="B23778">
        <f>TEXT(23777, "[$-0E0000]yyyy-mm-dd")</f>
        <v/>
      </c>
      <c r="C23778" t="inlineStr">
        <is>
          <t>1965-01-04</t>
        </is>
      </c>
    </row>
    <row r="23779">
      <c r="A23779" s="1" t="n">
        <v>23778</v>
      </c>
      <c r="B23779">
        <f>TEXT(23778, "[$-0E0000]yyyy-mm-dd")</f>
        <v/>
      </c>
      <c r="C23779" t="inlineStr">
        <is>
          <t>1965-01-05</t>
        </is>
      </c>
    </row>
    <row r="23780">
      <c r="A23780" s="1" t="n">
        <v>23779</v>
      </c>
      <c r="B23780">
        <f>TEXT(23779, "[$-0E0000]yyyy-mm-dd")</f>
        <v/>
      </c>
      <c r="C23780" t="inlineStr">
        <is>
          <t>1965-01-06</t>
        </is>
      </c>
    </row>
    <row r="23781">
      <c r="A23781" s="1" t="n">
        <v>23780</v>
      </c>
      <c r="B23781">
        <f>TEXT(23780, "[$-0E0000]yyyy-mm-dd")</f>
        <v/>
      </c>
      <c r="C23781" t="inlineStr">
        <is>
          <t>1965-01-07</t>
        </is>
      </c>
    </row>
    <row r="23782">
      <c r="A23782" s="1" t="n">
        <v>23781</v>
      </c>
      <c r="B23782">
        <f>TEXT(23781, "[$-0E0000]yyyy-mm-dd")</f>
        <v/>
      </c>
      <c r="C23782" t="inlineStr">
        <is>
          <t>1965-01-08</t>
        </is>
      </c>
    </row>
    <row r="23783">
      <c r="A23783" s="1" t="n">
        <v>23782</v>
      </c>
      <c r="B23783">
        <f>TEXT(23782, "[$-0E0000]yyyy-mm-dd")</f>
        <v/>
      </c>
      <c r="C23783" t="inlineStr">
        <is>
          <t>1965-01-09</t>
        </is>
      </c>
    </row>
    <row r="23784">
      <c r="A23784" s="1" t="n">
        <v>23783</v>
      </c>
      <c r="B23784">
        <f>TEXT(23783, "[$-0E0000]yyyy-mm-dd")</f>
        <v/>
      </c>
      <c r="C23784" t="inlineStr">
        <is>
          <t>1965-01-10</t>
        </is>
      </c>
    </row>
    <row r="23785">
      <c r="A23785" s="1" t="n">
        <v>23784</v>
      </c>
      <c r="B23785">
        <f>TEXT(23784, "[$-0E0000]yyyy-mm-dd")</f>
        <v/>
      </c>
      <c r="C23785" t="inlineStr">
        <is>
          <t>1965-01-11</t>
        </is>
      </c>
    </row>
    <row r="23786">
      <c r="A23786" s="1" t="n">
        <v>23785</v>
      </c>
      <c r="B23786">
        <f>TEXT(23785, "[$-0E0000]yyyy-mm-dd")</f>
        <v/>
      </c>
      <c r="C23786" t="inlineStr">
        <is>
          <t>1965-01-12</t>
        </is>
      </c>
    </row>
    <row r="23787">
      <c r="A23787" s="1" t="n">
        <v>23786</v>
      </c>
      <c r="B23787">
        <f>TEXT(23786, "[$-0E0000]yyyy-mm-dd")</f>
        <v/>
      </c>
      <c r="C23787" t="inlineStr">
        <is>
          <t>1965-01-13</t>
        </is>
      </c>
    </row>
    <row r="23788">
      <c r="A23788" s="1" t="n">
        <v>23787</v>
      </c>
      <c r="B23788">
        <f>TEXT(23787, "[$-0E0000]yyyy-mm-dd")</f>
        <v/>
      </c>
      <c r="C23788" t="inlineStr">
        <is>
          <t>1965-01-14</t>
        </is>
      </c>
    </row>
    <row r="23789">
      <c r="A23789" s="1" t="n">
        <v>23788</v>
      </c>
      <c r="B23789">
        <f>TEXT(23788, "[$-0E0000]yyyy-mm-dd")</f>
        <v/>
      </c>
      <c r="C23789" t="inlineStr">
        <is>
          <t>1965-01-15</t>
        </is>
      </c>
    </row>
    <row r="23790">
      <c r="A23790" s="1" t="n">
        <v>23789</v>
      </c>
      <c r="B23790">
        <f>TEXT(23789, "[$-0E0000]yyyy-mm-dd")</f>
        <v/>
      </c>
      <c r="C23790" t="inlineStr">
        <is>
          <t>1965-01-16</t>
        </is>
      </c>
    </row>
    <row r="23791">
      <c r="A23791" s="1" t="n">
        <v>23790</v>
      </c>
      <c r="B23791">
        <f>TEXT(23790, "[$-0E0000]yyyy-mm-dd")</f>
        <v/>
      </c>
      <c r="C23791" t="inlineStr">
        <is>
          <t>1965-01-17</t>
        </is>
      </c>
    </row>
    <row r="23792">
      <c r="A23792" s="1" t="n">
        <v>23791</v>
      </c>
      <c r="B23792">
        <f>TEXT(23791, "[$-0E0000]yyyy-mm-dd")</f>
        <v/>
      </c>
      <c r="C23792" t="inlineStr">
        <is>
          <t>1965-01-18</t>
        </is>
      </c>
    </row>
    <row r="23793">
      <c r="A23793" s="1" t="n">
        <v>23792</v>
      </c>
      <c r="B23793">
        <f>TEXT(23792, "[$-0E0000]yyyy-mm-dd")</f>
        <v/>
      </c>
      <c r="C23793" t="inlineStr">
        <is>
          <t>1965-01-19</t>
        </is>
      </c>
    </row>
    <row r="23794">
      <c r="A23794" s="1" t="n">
        <v>23793</v>
      </c>
      <c r="B23794">
        <f>TEXT(23793, "[$-0E0000]yyyy-mm-dd")</f>
        <v/>
      </c>
      <c r="C23794" t="inlineStr">
        <is>
          <t>1965-01-20</t>
        </is>
      </c>
    </row>
    <row r="23795">
      <c r="A23795" s="1" t="n">
        <v>23794</v>
      </c>
      <c r="B23795">
        <f>TEXT(23794, "[$-0E0000]yyyy-mm-dd")</f>
        <v/>
      </c>
      <c r="C23795" t="inlineStr">
        <is>
          <t>1965-01-21</t>
        </is>
      </c>
    </row>
    <row r="23796">
      <c r="A23796" s="1" t="n">
        <v>23795</v>
      </c>
      <c r="B23796">
        <f>TEXT(23795, "[$-0E0000]yyyy-mm-dd")</f>
        <v/>
      </c>
      <c r="C23796" t="inlineStr">
        <is>
          <t>1965-01-22</t>
        </is>
      </c>
    </row>
    <row r="23797">
      <c r="A23797" s="1" t="n">
        <v>23796</v>
      </c>
      <c r="B23797">
        <f>TEXT(23796, "[$-0E0000]yyyy-mm-dd")</f>
        <v/>
      </c>
      <c r="C23797" t="inlineStr">
        <is>
          <t>1965-01-23</t>
        </is>
      </c>
    </row>
    <row r="23798">
      <c r="A23798" s="1" t="n">
        <v>23797</v>
      </c>
      <c r="B23798">
        <f>TEXT(23797, "[$-0E0000]yyyy-mm-dd")</f>
        <v/>
      </c>
      <c r="C23798" t="inlineStr">
        <is>
          <t>1965-01-24</t>
        </is>
      </c>
    </row>
    <row r="23799">
      <c r="A23799" s="1" t="n">
        <v>23798</v>
      </c>
      <c r="B23799">
        <f>TEXT(23798, "[$-0E0000]yyyy-mm-dd")</f>
        <v/>
      </c>
      <c r="C23799" t="inlineStr">
        <is>
          <t>1965-01-25</t>
        </is>
      </c>
    </row>
    <row r="23800">
      <c r="A23800" s="1" t="n">
        <v>23799</v>
      </c>
      <c r="B23800">
        <f>TEXT(23799, "[$-0E0000]yyyy-mm-dd")</f>
        <v/>
      </c>
      <c r="C23800" t="inlineStr">
        <is>
          <t>1965-01-26</t>
        </is>
      </c>
    </row>
    <row r="23801">
      <c r="A23801" s="1" t="n">
        <v>23800</v>
      </c>
      <c r="B23801">
        <f>TEXT(23800, "[$-0E0000]yyyy-mm-dd")</f>
        <v/>
      </c>
      <c r="C23801" t="inlineStr">
        <is>
          <t>1965-01-27</t>
        </is>
      </c>
    </row>
    <row r="23802">
      <c r="A23802" s="1" t="n">
        <v>23801</v>
      </c>
      <c r="B23802">
        <f>TEXT(23801, "[$-0E0000]yyyy-mm-dd")</f>
        <v/>
      </c>
      <c r="C23802" t="inlineStr">
        <is>
          <t>1965-01-28</t>
        </is>
      </c>
    </row>
    <row r="23803">
      <c r="A23803" s="1" t="n">
        <v>23802</v>
      </c>
      <c r="B23803">
        <f>TEXT(23802, "[$-0E0000]yyyy-mm-dd")</f>
        <v/>
      </c>
      <c r="C23803" t="inlineStr">
        <is>
          <t>1965-01-29</t>
        </is>
      </c>
    </row>
    <row r="23804">
      <c r="A23804" s="1" t="n">
        <v>23803</v>
      </c>
      <c r="B23804">
        <f>TEXT(23803, "[$-0E0000]yyyy-mm-dd")</f>
        <v/>
      </c>
      <c r="C23804" t="inlineStr">
        <is>
          <t>1965-02-01</t>
        </is>
      </c>
    </row>
    <row r="23805">
      <c r="A23805" s="1" t="n">
        <v>23804</v>
      </c>
      <c r="B23805">
        <f>TEXT(23804, "[$-0E0000]yyyy-mm-dd")</f>
        <v/>
      </c>
      <c r="C23805" t="inlineStr">
        <is>
          <t>1965-02-02</t>
        </is>
      </c>
    </row>
    <row r="23806">
      <c r="A23806" s="1" t="n">
        <v>23805</v>
      </c>
      <c r="B23806">
        <f>TEXT(23805, "[$-0E0000]yyyy-mm-dd")</f>
        <v/>
      </c>
      <c r="C23806" t="inlineStr">
        <is>
          <t>1965-02-03</t>
        </is>
      </c>
    </row>
    <row r="23807">
      <c r="A23807" s="1" t="n">
        <v>23806</v>
      </c>
      <c r="B23807">
        <f>TEXT(23806, "[$-0E0000]yyyy-mm-dd")</f>
        <v/>
      </c>
      <c r="C23807" t="inlineStr">
        <is>
          <t>1965-02-04</t>
        </is>
      </c>
    </row>
    <row r="23808">
      <c r="A23808" s="1" t="n">
        <v>23807</v>
      </c>
      <c r="B23808">
        <f>TEXT(23807, "[$-0E0000]yyyy-mm-dd")</f>
        <v/>
      </c>
      <c r="C23808" t="inlineStr">
        <is>
          <t>1965-02-05</t>
        </is>
      </c>
    </row>
    <row r="23809">
      <c r="A23809" s="1" t="n">
        <v>23808</v>
      </c>
      <c r="B23809">
        <f>TEXT(23808, "[$-0E0000]yyyy-mm-dd")</f>
        <v/>
      </c>
      <c r="C23809" t="inlineStr">
        <is>
          <t>1965-02-06</t>
        </is>
      </c>
    </row>
    <row r="23810">
      <c r="A23810" s="1" t="n">
        <v>23809</v>
      </c>
      <c r="B23810">
        <f>TEXT(23809, "[$-0E0000]yyyy-mm-dd")</f>
        <v/>
      </c>
      <c r="C23810" t="inlineStr">
        <is>
          <t>1965-02-07</t>
        </is>
      </c>
    </row>
    <row r="23811">
      <c r="A23811" s="1" t="n">
        <v>23810</v>
      </c>
      <c r="B23811">
        <f>TEXT(23810, "[$-0E0000]yyyy-mm-dd")</f>
        <v/>
      </c>
      <c r="C23811" t="inlineStr">
        <is>
          <t>1965-02-08</t>
        </is>
      </c>
    </row>
    <row r="23812">
      <c r="A23812" s="1" t="n">
        <v>23811</v>
      </c>
      <c r="B23812">
        <f>TEXT(23811, "[$-0E0000]yyyy-mm-dd")</f>
        <v/>
      </c>
      <c r="C23812" t="inlineStr">
        <is>
          <t>1965-02-09</t>
        </is>
      </c>
    </row>
    <row r="23813">
      <c r="A23813" s="1" t="n">
        <v>23812</v>
      </c>
      <c r="B23813">
        <f>TEXT(23812, "[$-0E0000]yyyy-mm-dd")</f>
        <v/>
      </c>
      <c r="C23813" t="inlineStr">
        <is>
          <t>1965-02-10</t>
        </is>
      </c>
    </row>
    <row r="23814">
      <c r="A23814" s="1" t="n">
        <v>23813</v>
      </c>
      <c r="B23814">
        <f>TEXT(23813, "[$-0E0000]yyyy-mm-dd")</f>
        <v/>
      </c>
      <c r="C23814" t="inlineStr">
        <is>
          <t>1965-02-11</t>
        </is>
      </c>
    </row>
    <row r="23815">
      <c r="A23815" s="1" t="n">
        <v>23814</v>
      </c>
      <c r="B23815">
        <f>TEXT(23814, "[$-0E0000]yyyy-mm-dd")</f>
        <v/>
      </c>
      <c r="C23815" t="inlineStr">
        <is>
          <t>1965-02-12</t>
        </is>
      </c>
    </row>
    <row r="23816">
      <c r="A23816" s="1" t="n">
        <v>23815</v>
      </c>
      <c r="B23816">
        <f>TEXT(23815, "[$-0E0000]yyyy-mm-dd")</f>
        <v/>
      </c>
      <c r="C23816" t="inlineStr">
        <is>
          <t>1965-02-13</t>
        </is>
      </c>
    </row>
    <row r="23817">
      <c r="A23817" s="1" t="n">
        <v>23816</v>
      </c>
      <c r="B23817">
        <f>TEXT(23816, "[$-0E0000]yyyy-mm-dd")</f>
        <v/>
      </c>
      <c r="C23817" t="inlineStr">
        <is>
          <t>1965-02-14</t>
        </is>
      </c>
    </row>
    <row r="23818">
      <c r="A23818" s="1" t="n">
        <v>23817</v>
      </c>
      <c r="B23818">
        <f>TEXT(23817, "[$-0E0000]yyyy-mm-dd")</f>
        <v/>
      </c>
      <c r="C23818" t="inlineStr">
        <is>
          <t>1965-02-15</t>
        </is>
      </c>
    </row>
    <row r="23819">
      <c r="A23819" s="1" t="n">
        <v>23818</v>
      </c>
      <c r="B23819">
        <f>TEXT(23818, "[$-0E0000]yyyy-mm-dd")</f>
        <v/>
      </c>
      <c r="C23819" t="inlineStr">
        <is>
          <t>1965-02-16</t>
        </is>
      </c>
    </row>
    <row r="23820">
      <c r="A23820" s="1" t="n">
        <v>23819</v>
      </c>
      <c r="B23820">
        <f>TEXT(23819, "[$-0E0000]yyyy-mm-dd")</f>
        <v/>
      </c>
      <c r="C23820" t="inlineStr">
        <is>
          <t>1965-02-17</t>
        </is>
      </c>
    </row>
    <row r="23821">
      <c r="A23821" s="1" t="n">
        <v>23820</v>
      </c>
      <c r="B23821">
        <f>TEXT(23820, "[$-0E0000]yyyy-mm-dd")</f>
        <v/>
      </c>
      <c r="C23821" t="inlineStr">
        <is>
          <t>1965-02-18</t>
        </is>
      </c>
    </row>
    <row r="23822">
      <c r="A23822" s="1" t="n">
        <v>23821</v>
      </c>
      <c r="B23822">
        <f>TEXT(23821, "[$-0E0000]yyyy-mm-dd")</f>
        <v/>
      </c>
      <c r="C23822" t="inlineStr">
        <is>
          <t>1965-02-19</t>
        </is>
      </c>
    </row>
    <row r="23823">
      <c r="A23823" s="1" t="n">
        <v>23822</v>
      </c>
      <c r="B23823">
        <f>TEXT(23822, "[$-0E0000]yyyy-mm-dd")</f>
        <v/>
      </c>
      <c r="C23823" t="inlineStr">
        <is>
          <t>1965-02-20</t>
        </is>
      </c>
    </row>
    <row r="23824">
      <c r="A23824" s="1" t="n">
        <v>23823</v>
      </c>
      <c r="B23824">
        <f>TEXT(23823, "[$-0E0000]yyyy-mm-dd")</f>
        <v/>
      </c>
      <c r="C23824" t="inlineStr">
        <is>
          <t>1965-02-21</t>
        </is>
      </c>
    </row>
    <row r="23825">
      <c r="A23825" s="1" t="n">
        <v>23824</v>
      </c>
      <c r="B23825">
        <f>TEXT(23824, "[$-0E0000]yyyy-mm-dd")</f>
        <v/>
      </c>
      <c r="C23825" t="inlineStr">
        <is>
          <t>1965-02-22</t>
        </is>
      </c>
    </row>
    <row r="23826">
      <c r="A23826" s="1" t="n">
        <v>23825</v>
      </c>
      <c r="B23826">
        <f>TEXT(23825, "[$-0E0000]yyyy-mm-dd")</f>
        <v/>
      </c>
      <c r="C23826" t="inlineStr">
        <is>
          <t>1965-02-23</t>
        </is>
      </c>
    </row>
    <row r="23827">
      <c r="A23827" s="1" t="n">
        <v>23826</v>
      </c>
      <c r="B23827">
        <f>TEXT(23826, "[$-0E0000]yyyy-mm-dd")</f>
        <v/>
      </c>
      <c r="C23827" t="inlineStr">
        <is>
          <t>1965-02-24</t>
        </is>
      </c>
    </row>
    <row r="23828">
      <c r="A23828" s="1" t="n">
        <v>23827</v>
      </c>
      <c r="B23828">
        <f>TEXT(23827, "[$-0E0000]yyyy-mm-dd")</f>
        <v/>
      </c>
      <c r="C23828" t="inlineStr">
        <is>
          <t>1965-02-25</t>
        </is>
      </c>
    </row>
    <row r="23829">
      <c r="A23829" s="1" t="n">
        <v>23828</v>
      </c>
      <c r="B23829">
        <f>TEXT(23828, "[$-0E0000]yyyy-mm-dd")</f>
        <v/>
      </c>
      <c r="C23829" t="inlineStr">
        <is>
          <t>1965-02-26</t>
        </is>
      </c>
    </row>
    <row r="23830">
      <c r="A23830" s="1" t="n">
        <v>23829</v>
      </c>
      <c r="B23830">
        <f>TEXT(23829, "[$-0E0000]yyyy-mm-dd")</f>
        <v/>
      </c>
      <c r="C23830" t="inlineStr">
        <is>
          <t>1965-02-27</t>
        </is>
      </c>
    </row>
    <row r="23831">
      <c r="A23831" s="1" t="n">
        <v>23830</v>
      </c>
      <c r="B23831">
        <f>TEXT(23830, "[$-0E0000]yyyy-mm-dd")</f>
        <v/>
      </c>
      <c r="C23831" t="inlineStr">
        <is>
          <t>1965-02-28</t>
        </is>
      </c>
    </row>
    <row r="23832">
      <c r="A23832" s="1" t="n">
        <v>23831</v>
      </c>
      <c r="B23832">
        <f>TEXT(23831, "[$-0E0000]yyyy-mm-dd")</f>
        <v/>
      </c>
      <c r="C23832" t="inlineStr">
        <is>
          <t>1965-02-29</t>
        </is>
      </c>
    </row>
    <row r="23833">
      <c r="A23833" s="1" t="n">
        <v>23832</v>
      </c>
      <c r="B23833">
        <f>TEXT(23832, "[$-0E0000]yyyy-mm-dd")</f>
        <v/>
      </c>
      <c r="C23833" t="inlineStr">
        <is>
          <t>1965-02-30</t>
        </is>
      </c>
    </row>
    <row r="23834">
      <c r="A23834" s="1" t="n">
        <v>23833</v>
      </c>
      <c r="B23834">
        <f>TEXT(23833, "[$-0E0000]yyyy-mm-dd")</f>
        <v/>
      </c>
      <c r="C23834" t="inlineStr">
        <is>
          <t>1965-03-01</t>
        </is>
      </c>
    </row>
    <row r="23835">
      <c r="A23835" s="1" t="n">
        <v>23834</v>
      </c>
      <c r="B23835">
        <f>TEXT(23834, "[$-0E0000]yyyy-mm-dd")</f>
        <v/>
      </c>
      <c r="C23835" t="inlineStr">
        <is>
          <t>1965-03-02</t>
        </is>
      </c>
    </row>
    <row r="23836">
      <c r="A23836" s="1" t="n">
        <v>23835</v>
      </c>
      <c r="B23836">
        <f>TEXT(23835, "[$-0E0000]yyyy-mm-dd")</f>
        <v/>
      </c>
      <c r="C23836" t="inlineStr">
        <is>
          <t>1965-03-03</t>
        </is>
      </c>
    </row>
    <row r="23837">
      <c r="A23837" s="1" t="n">
        <v>23836</v>
      </c>
      <c r="B23837">
        <f>TEXT(23836, "[$-0E0000]yyyy-mm-dd")</f>
        <v/>
      </c>
      <c r="C23837" t="inlineStr">
        <is>
          <t>1965-03-04</t>
        </is>
      </c>
    </row>
    <row r="23838">
      <c r="A23838" s="1" t="n">
        <v>23837</v>
      </c>
      <c r="B23838">
        <f>TEXT(23837, "[$-0E0000]yyyy-mm-dd")</f>
        <v/>
      </c>
      <c r="C23838" t="inlineStr">
        <is>
          <t>1965-03-05</t>
        </is>
      </c>
    </row>
    <row r="23839">
      <c r="A23839" s="1" t="n">
        <v>23838</v>
      </c>
      <c r="B23839">
        <f>TEXT(23838, "[$-0E0000]yyyy-mm-dd")</f>
        <v/>
      </c>
      <c r="C23839" t="inlineStr">
        <is>
          <t>1965-03-06</t>
        </is>
      </c>
    </row>
    <row r="23840">
      <c r="A23840" s="1" t="n">
        <v>23839</v>
      </c>
      <c r="B23840">
        <f>TEXT(23839, "[$-0E0000]yyyy-mm-dd")</f>
        <v/>
      </c>
      <c r="C23840" t="inlineStr">
        <is>
          <t>1965-03-07</t>
        </is>
      </c>
    </row>
    <row r="23841">
      <c r="A23841" s="1" t="n">
        <v>23840</v>
      </c>
      <c r="B23841">
        <f>TEXT(23840, "[$-0E0000]yyyy-mm-dd")</f>
        <v/>
      </c>
      <c r="C23841" t="inlineStr">
        <is>
          <t>1965-03-08</t>
        </is>
      </c>
    </row>
    <row r="23842">
      <c r="A23842" s="1" t="n">
        <v>23841</v>
      </c>
      <c r="B23842">
        <f>TEXT(23841, "[$-0E0000]yyyy-mm-dd")</f>
        <v/>
      </c>
      <c r="C23842" t="inlineStr">
        <is>
          <t>1965-03-09</t>
        </is>
      </c>
    </row>
    <row r="23843">
      <c r="A23843" s="1" t="n">
        <v>23842</v>
      </c>
      <c r="B23843">
        <f>TEXT(23842, "[$-0E0000]yyyy-mm-dd")</f>
        <v/>
      </c>
      <c r="C23843" t="inlineStr">
        <is>
          <t>1965-03-10</t>
        </is>
      </c>
    </row>
    <row r="23844">
      <c r="A23844" s="1" t="n">
        <v>23843</v>
      </c>
      <c r="B23844">
        <f>TEXT(23843, "[$-0E0000]yyyy-mm-dd")</f>
        <v/>
      </c>
      <c r="C23844" t="inlineStr">
        <is>
          <t>1965-03-11</t>
        </is>
      </c>
    </row>
    <row r="23845">
      <c r="A23845" s="1" t="n">
        <v>23844</v>
      </c>
      <c r="B23845">
        <f>TEXT(23844, "[$-0E0000]yyyy-mm-dd")</f>
        <v/>
      </c>
      <c r="C23845" t="inlineStr">
        <is>
          <t>1965-03-12</t>
        </is>
      </c>
    </row>
    <row r="23846">
      <c r="A23846" s="1" t="n">
        <v>23845</v>
      </c>
      <c r="B23846">
        <f>TEXT(23845, "[$-0E0000]yyyy-mm-dd")</f>
        <v/>
      </c>
      <c r="C23846" t="inlineStr">
        <is>
          <t>1965-03-13</t>
        </is>
      </c>
    </row>
    <row r="23847">
      <c r="A23847" s="1" t="n">
        <v>23846</v>
      </c>
      <c r="B23847">
        <f>TEXT(23846, "[$-0E0000]yyyy-mm-dd")</f>
        <v/>
      </c>
      <c r="C23847" t="inlineStr">
        <is>
          <t>1965-03-14</t>
        </is>
      </c>
    </row>
    <row r="23848">
      <c r="A23848" s="1" t="n">
        <v>23847</v>
      </c>
      <c r="B23848">
        <f>TEXT(23847, "[$-0E0000]yyyy-mm-dd")</f>
        <v/>
      </c>
      <c r="C23848" t="inlineStr">
        <is>
          <t>1965-03-15</t>
        </is>
      </c>
    </row>
    <row r="23849">
      <c r="A23849" s="1" t="n">
        <v>23848</v>
      </c>
      <c r="B23849">
        <f>TEXT(23848, "[$-0E0000]yyyy-mm-dd")</f>
        <v/>
      </c>
      <c r="C23849" t="inlineStr">
        <is>
          <t>1965-03-16</t>
        </is>
      </c>
    </row>
    <row r="23850">
      <c r="A23850" s="1" t="n">
        <v>23849</v>
      </c>
      <c r="B23850">
        <f>TEXT(23849, "[$-0E0000]yyyy-mm-dd")</f>
        <v/>
      </c>
      <c r="C23850" t="inlineStr">
        <is>
          <t>1965-03-17</t>
        </is>
      </c>
    </row>
    <row r="23851">
      <c r="A23851" s="1" t="n">
        <v>23850</v>
      </c>
      <c r="B23851">
        <f>TEXT(23850, "[$-0E0000]yyyy-mm-dd")</f>
        <v/>
      </c>
      <c r="C23851" t="inlineStr">
        <is>
          <t>1965-03-18</t>
        </is>
      </c>
    </row>
    <row r="23852">
      <c r="A23852" s="1" t="n">
        <v>23851</v>
      </c>
      <c r="B23852">
        <f>TEXT(23851, "[$-0E0000]yyyy-mm-dd")</f>
        <v/>
      </c>
      <c r="C23852" t="inlineStr">
        <is>
          <t>1965-03-19</t>
        </is>
      </c>
    </row>
    <row r="23853">
      <c r="A23853" s="1" t="n">
        <v>23852</v>
      </c>
      <c r="B23853">
        <f>TEXT(23852, "[$-0E0000]yyyy-mm-dd")</f>
        <v/>
      </c>
      <c r="C23853" t="inlineStr">
        <is>
          <t>1965-03-20</t>
        </is>
      </c>
    </row>
    <row r="23854">
      <c r="A23854" s="1" t="n">
        <v>23853</v>
      </c>
      <c r="B23854">
        <f>TEXT(23853, "[$-0E0000]yyyy-mm-dd")</f>
        <v/>
      </c>
      <c r="C23854" t="inlineStr">
        <is>
          <t>1965-03-21</t>
        </is>
      </c>
    </row>
    <row r="23855">
      <c r="A23855" s="1" t="n">
        <v>23854</v>
      </c>
      <c r="B23855">
        <f>TEXT(23854, "[$-0E0000]yyyy-mm-dd")</f>
        <v/>
      </c>
      <c r="C23855" t="inlineStr">
        <is>
          <t>1965-03-22</t>
        </is>
      </c>
    </row>
    <row r="23856">
      <c r="A23856" s="1" t="n">
        <v>23855</v>
      </c>
      <c r="B23856">
        <f>TEXT(23855, "[$-0E0000]yyyy-mm-dd")</f>
        <v/>
      </c>
      <c r="C23856" t="inlineStr">
        <is>
          <t>1965-03-23</t>
        </is>
      </c>
    </row>
    <row r="23857">
      <c r="A23857" s="1" t="n">
        <v>23856</v>
      </c>
      <c r="B23857">
        <f>TEXT(23856, "[$-0E0000]yyyy-mm-dd")</f>
        <v/>
      </c>
      <c r="C23857" t="inlineStr">
        <is>
          <t>1965-03-24</t>
        </is>
      </c>
    </row>
    <row r="23858">
      <c r="A23858" s="1" t="n">
        <v>23857</v>
      </c>
      <c r="B23858">
        <f>TEXT(23857, "[$-0E0000]yyyy-mm-dd")</f>
        <v/>
      </c>
      <c r="C23858" t="inlineStr">
        <is>
          <t>1965-03-25</t>
        </is>
      </c>
    </row>
    <row r="23859">
      <c r="A23859" s="1" t="n">
        <v>23858</v>
      </c>
      <c r="B23859">
        <f>TEXT(23858, "[$-0E0000]yyyy-mm-dd")</f>
        <v/>
      </c>
      <c r="C23859" t="inlineStr">
        <is>
          <t>1965-03-26</t>
        </is>
      </c>
    </row>
    <row r="23860">
      <c r="A23860" s="1" t="n">
        <v>23859</v>
      </c>
      <c r="B23860">
        <f>TEXT(23859, "[$-0E0000]yyyy-mm-dd")</f>
        <v/>
      </c>
      <c r="C23860" t="inlineStr">
        <is>
          <t>1965-03-27</t>
        </is>
      </c>
    </row>
    <row r="23861">
      <c r="A23861" s="1" t="n">
        <v>23860</v>
      </c>
      <c r="B23861">
        <f>TEXT(23860, "[$-0E0000]yyyy-mm-dd")</f>
        <v/>
      </c>
      <c r="C23861" t="inlineStr">
        <is>
          <t>1965-03-28</t>
        </is>
      </c>
    </row>
    <row r="23862">
      <c r="A23862" s="1" t="n">
        <v>23861</v>
      </c>
      <c r="B23862">
        <f>TEXT(23861, "[$-0E0000]yyyy-mm-dd")</f>
        <v/>
      </c>
      <c r="C23862" t="inlineStr">
        <is>
          <t>1965-03-29</t>
        </is>
      </c>
    </row>
    <row r="23863">
      <c r="A23863" s="1" t="n">
        <v>23862</v>
      </c>
      <c r="B23863">
        <f>TEXT(23862, "[$-0E0000]yyyy-mm-dd")</f>
        <v/>
      </c>
      <c r="C23863" t="inlineStr">
        <is>
          <t>1965-04-01</t>
        </is>
      </c>
    </row>
    <row r="23864">
      <c r="A23864" s="1" t="n">
        <v>23863</v>
      </c>
      <c r="B23864">
        <f>TEXT(23863, "[$-0E0000]yyyy-mm-dd")</f>
        <v/>
      </c>
      <c r="C23864" t="inlineStr">
        <is>
          <t>1965-04-02</t>
        </is>
      </c>
    </row>
    <row r="23865">
      <c r="A23865" s="1" t="n">
        <v>23864</v>
      </c>
      <c r="B23865">
        <f>TEXT(23864, "[$-0E0000]yyyy-mm-dd")</f>
        <v/>
      </c>
      <c r="C23865" t="inlineStr">
        <is>
          <t>1965-04-03</t>
        </is>
      </c>
    </row>
    <row r="23866">
      <c r="A23866" s="1" t="n">
        <v>23865</v>
      </c>
      <c r="B23866">
        <f>TEXT(23865, "[$-0E0000]yyyy-mm-dd")</f>
        <v/>
      </c>
      <c r="C23866" t="inlineStr">
        <is>
          <t>1965-04-04</t>
        </is>
      </c>
    </row>
    <row r="23867">
      <c r="A23867" s="1" t="n">
        <v>23866</v>
      </c>
      <c r="B23867">
        <f>TEXT(23866, "[$-0E0000]yyyy-mm-dd")</f>
        <v/>
      </c>
      <c r="C23867" t="inlineStr">
        <is>
          <t>1965-04-05</t>
        </is>
      </c>
    </row>
    <row r="23868">
      <c r="A23868" s="1" t="n">
        <v>23867</v>
      </c>
      <c r="B23868">
        <f>TEXT(23867, "[$-0E0000]yyyy-mm-dd")</f>
        <v/>
      </c>
      <c r="C23868" t="inlineStr">
        <is>
          <t>1965-04-06</t>
        </is>
      </c>
    </row>
    <row r="23869">
      <c r="A23869" s="1" t="n">
        <v>23868</v>
      </c>
      <c r="B23869">
        <f>TEXT(23868, "[$-0E0000]yyyy-mm-dd")</f>
        <v/>
      </c>
      <c r="C23869" t="inlineStr">
        <is>
          <t>1965-04-07</t>
        </is>
      </c>
    </row>
    <row r="23870">
      <c r="A23870" s="1" t="n">
        <v>23869</v>
      </c>
      <c r="B23870">
        <f>TEXT(23869, "[$-0E0000]yyyy-mm-dd")</f>
        <v/>
      </c>
      <c r="C23870" t="inlineStr">
        <is>
          <t>1965-04-08</t>
        </is>
      </c>
    </row>
    <row r="23871">
      <c r="A23871" s="1" t="n">
        <v>23870</v>
      </c>
      <c r="B23871">
        <f>TEXT(23870, "[$-0E0000]yyyy-mm-dd")</f>
        <v/>
      </c>
      <c r="C23871" t="inlineStr">
        <is>
          <t>1965-04-09</t>
        </is>
      </c>
    </row>
    <row r="23872">
      <c r="A23872" s="1" t="n">
        <v>23871</v>
      </c>
      <c r="B23872">
        <f>TEXT(23871, "[$-0E0000]yyyy-mm-dd")</f>
        <v/>
      </c>
      <c r="C23872" t="inlineStr">
        <is>
          <t>1965-04-10</t>
        </is>
      </c>
    </row>
    <row r="23873">
      <c r="A23873" s="1" t="n">
        <v>23872</v>
      </c>
      <c r="B23873">
        <f>TEXT(23872, "[$-0E0000]yyyy-mm-dd")</f>
        <v/>
      </c>
      <c r="C23873" t="inlineStr">
        <is>
          <t>1965-04-11</t>
        </is>
      </c>
    </row>
    <row r="23874">
      <c r="A23874" s="1" t="n">
        <v>23873</v>
      </c>
      <c r="B23874">
        <f>TEXT(23873, "[$-0E0000]yyyy-mm-dd")</f>
        <v/>
      </c>
      <c r="C23874" t="inlineStr">
        <is>
          <t>1965-04-12</t>
        </is>
      </c>
    </row>
    <row r="23875">
      <c r="A23875" s="1" t="n">
        <v>23874</v>
      </c>
      <c r="B23875">
        <f>TEXT(23874, "[$-0E0000]yyyy-mm-dd")</f>
        <v/>
      </c>
      <c r="C23875" t="inlineStr">
        <is>
          <t>1965-04-13</t>
        </is>
      </c>
    </row>
    <row r="23876">
      <c r="A23876" s="1" t="n">
        <v>23875</v>
      </c>
      <c r="B23876">
        <f>TEXT(23875, "[$-0E0000]yyyy-mm-dd")</f>
        <v/>
      </c>
      <c r="C23876" t="inlineStr">
        <is>
          <t>1965-04-14</t>
        </is>
      </c>
    </row>
    <row r="23877">
      <c r="A23877" s="1" t="n">
        <v>23876</v>
      </c>
      <c r="B23877">
        <f>TEXT(23876, "[$-0E0000]yyyy-mm-dd")</f>
        <v/>
      </c>
      <c r="C23877" t="inlineStr">
        <is>
          <t>1965-04-15</t>
        </is>
      </c>
    </row>
    <row r="23878">
      <c r="A23878" s="1" t="n">
        <v>23877</v>
      </c>
      <c r="B23878">
        <f>TEXT(23877, "[$-0E0000]yyyy-mm-dd")</f>
        <v/>
      </c>
      <c r="C23878" t="inlineStr">
        <is>
          <t>1965-04-16</t>
        </is>
      </c>
    </row>
    <row r="23879">
      <c r="A23879" s="1" t="n">
        <v>23878</v>
      </c>
      <c r="B23879">
        <f>TEXT(23878, "[$-0E0000]yyyy-mm-dd")</f>
        <v/>
      </c>
      <c r="C23879" t="inlineStr">
        <is>
          <t>1965-04-17</t>
        </is>
      </c>
    </row>
    <row r="23880">
      <c r="A23880" s="1" t="n">
        <v>23879</v>
      </c>
      <c r="B23880">
        <f>TEXT(23879, "[$-0E0000]yyyy-mm-dd")</f>
        <v/>
      </c>
      <c r="C23880" t="inlineStr">
        <is>
          <t>1965-04-18</t>
        </is>
      </c>
    </row>
    <row r="23881">
      <c r="A23881" s="1" t="n">
        <v>23880</v>
      </c>
      <c r="B23881">
        <f>TEXT(23880, "[$-0E0000]yyyy-mm-dd")</f>
        <v/>
      </c>
      <c r="C23881" t="inlineStr">
        <is>
          <t>1965-04-19</t>
        </is>
      </c>
    </row>
    <row r="23882">
      <c r="A23882" s="1" t="n">
        <v>23881</v>
      </c>
      <c r="B23882">
        <f>TEXT(23881, "[$-0E0000]yyyy-mm-dd")</f>
        <v/>
      </c>
      <c r="C23882" t="inlineStr">
        <is>
          <t>1965-04-20</t>
        </is>
      </c>
    </row>
    <row r="23883">
      <c r="A23883" s="1" t="n">
        <v>23882</v>
      </c>
      <c r="B23883">
        <f>TEXT(23882, "[$-0E0000]yyyy-mm-dd")</f>
        <v/>
      </c>
      <c r="C23883" t="inlineStr">
        <is>
          <t>1965-04-21</t>
        </is>
      </c>
    </row>
    <row r="23884">
      <c r="A23884" s="1" t="n">
        <v>23883</v>
      </c>
      <c r="B23884">
        <f>TEXT(23883, "[$-0E0000]yyyy-mm-dd")</f>
        <v/>
      </c>
      <c r="C23884" t="inlineStr">
        <is>
          <t>1965-04-22</t>
        </is>
      </c>
    </row>
    <row r="23885">
      <c r="A23885" s="1" t="n">
        <v>23884</v>
      </c>
      <c r="B23885">
        <f>TEXT(23884, "[$-0E0000]yyyy-mm-dd")</f>
        <v/>
      </c>
      <c r="C23885" t="inlineStr">
        <is>
          <t>1965-04-23</t>
        </is>
      </c>
    </row>
    <row r="23886">
      <c r="A23886" s="1" t="n">
        <v>23885</v>
      </c>
      <c r="B23886">
        <f>TEXT(23885, "[$-0E0000]yyyy-mm-dd")</f>
        <v/>
      </c>
      <c r="C23886" t="inlineStr">
        <is>
          <t>1965-04-24</t>
        </is>
      </c>
    </row>
    <row r="23887">
      <c r="A23887" s="1" t="n">
        <v>23886</v>
      </c>
      <c r="B23887">
        <f>TEXT(23886, "[$-0E0000]yyyy-mm-dd")</f>
        <v/>
      </c>
      <c r="C23887" t="inlineStr">
        <is>
          <t>1965-04-25</t>
        </is>
      </c>
    </row>
    <row r="23888">
      <c r="A23888" s="1" t="n">
        <v>23887</v>
      </c>
      <c r="B23888">
        <f>TEXT(23887, "[$-0E0000]yyyy-mm-dd")</f>
        <v/>
      </c>
      <c r="C23888" t="inlineStr">
        <is>
          <t>1965-04-26</t>
        </is>
      </c>
    </row>
    <row r="23889">
      <c r="A23889" s="1" t="n">
        <v>23888</v>
      </c>
      <c r="B23889">
        <f>TEXT(23888, "[$-0E0000]yyyy-mm-dd")</f>
        <v/>
      </c>
      <c r="C23889" t="inlineStr">
        <is>
          <t>1965-04-27</t>
        </is>
      </c>
    </row>
    <row r="23890">
      <c r="A23890" s="1" t="n">
        <v>23889</v>
      </c>
      <c r="B23890">
        <f>TEXT(23889, "[$-0E0000]yyyy-mm-dd")</f>
        <v/>
      </c>
      <c r="C23890" t="inlineStr">
        <is>
          <t>1965-04-28</t>
        </is>
      </c>
    </row>
    <row r="23891">
      <c r="A23891" s="1" t="n">
        <v>23890</v>
      </c>
      <c r="B23891">
        <f>TEXT(23890, "[$-0E0000]yyyy-mm-dd")</f>
        <v/>
      </c>
      <c r="C23891" t="inlineStr">
        <is>
          <t>1965-04-29</t>
        </is>
      </c>
    </row>
    <row r="23892">
      <c r="A23892" s="1" t="n">
        <v>23891</v>
      </c>
      <c r="B23892">
        <f>TEXT(23891, "[$-0E0000]yyyy-mm-dd")</f>
        <v/>
      </c>
      <c r="C23892" t="inlineStr">
        <is>
          <t>1965-04-30</t>
        </is>
      </c>
    </row>
    <row r="23893">
      <c r="A23893" s="1" t="n">
        <v>23892</v>
      </c>
      <c r="B23893">
        <f>TEXT(23892, "[$-0E0000]yyyy-mm-dd")</f>
        <v/>
      </c>
      <c r="C23893" t="inlineStr">
        <is>
          <t>1965-05-01</t>
        </is>
      </c>
    </row>
    <row r="23894">
      <c r="A23894" s="1" t="n">
        <v>23893</v>
      </c>
      <c r="B23894">
        <f>TEXT(23893, "[$-0E0000]yyyy-mm-dd")</f>
        <v/>
      </c>
      <c r="C23894" t="inlineStr">
        <is>
          <t>1965-05-02</t>
        </is>
      </c>
    </row>
    <row r="23895">
      <c r="A23895" s="1" t="n">
        <v>23894</v>
      </c>
      <c r="B23895">
        <f>TEXT(23894, "[$-0E0000]yyyy-mm-dd")</f>
        <v/>
      </c>
      <c r="C23895" t="inlineStr">
        <is>
          <t>1965-05-03</t>
        </is>
      </c>
    </row>
    <row r="23896">
      <c r="A23896" s="1" t="n">
        <v>23895</v>
      </c>
      <c r="B23896">
        <f>TEXT(23895, "[$-0E0000]yyyy-mm-dd")</f>
        <v/>
      </c>
      <c r="C23896" t="inlineStr">
        <is>
          <t>1965-05-04</t>
        </is>
      </c>
    </row>
    <row r="23897">
      <c r="A23897" s="1" t="n">
        <v>23896</v>
      </c>
      <c r="B23897">
        <f>TEXT(23896, "[$-0E0000]yyyy-mm-dd")</f>
        <v/>
      </c>
      <c r="C23897" t="inlineStr">
        <is>
          <t>1965-05-05</t>
        </is>
      </c>
    </row>
    <row r="23898">
      <c r="A23898" s="1" t="n">
        <v>23897</v>
      </c>
      <c r="B23898">
        <f>TEXT(23897, "[$-0E0000]yyyy-mm-dd")</f>
        <v/>
      </c>
      <c r="C23898" t="inlineStr">
        <is>
          <t>1965-05-06</t>
        </is>
      </c>
    </row>
    <row r="23899">
      <c r="A23899" s="1" t="n">
        <v>23898</v>
      </c>
      <c r="B23899">
        <f>TEXT(23898, "[$-0E0000]yyyy-mm-dd")</f>
        <v/>
      </c>
      <c r="C23899" t="inlineStr">
        <is>
          <t>1965-05-07</t>
        </is>
      </c>
    </row>
    <row r="23900">
      <c r="A23900" s="1" t="n">
        <v>23899</v>
      </c>
      <c r="B23900">
        <f>TEXT(23899, "[$-0E0000]yyyy-mm-dd")</f>
        <v/>
      </c>
      <c r="C23900" t="inlineStr">
        <is>
          <t>1965-05-08</t>
        </is>
      </c>
    </row>
    <row r="23901">
      <c r="A23901" s="1" t="n">
        <v>23900</v>
      </c>
      <c r="B23901">
        <f>TEXT(23900, "[$-0E0000]yyyy-mm-dd")</f>
        <v/>
      </c>
      <c r="C23901" t="inlineStr">
        <is>
          <t>1965-05-09</t>
        </is>
      </c>
    </row>
    <row r="23902">
      <c r="A23902" s="1" t="n">
        <v>23901</v>
      </c>
      <c r="B23902">
        <f>TEXT(23901, "[$-0E0000]yyyy-mm-dd")</f>
        <v/>
      </c>
      <c r="C23902" t="inlineStr">
        <is>
          <t>1965-05-10</t>
        </is>
      </c>
    </row>
    <row r="23903">
      <c r="A23903" s="1" t="n">
        <v>23902</v>
      </c>
      <c r="B23903">
        <f>TEXT(23902, "[$-0E0000]yyyy-mm-dd")</f>
        <v/>
      </c>
      <c r="C23903" t="inlineStr">
        <is>
          <t>1965-05-11</t>
        </is>
      </c>
    </row>
    <row r="23904">
      <c r="A23904" s="1" t="n">
        <v>23903</v>
      </c>
      <c r="B23904">
        <f>TEXT(23903, "[$-0E0000]yyyy-mm-dd")</f>
        <v/>
      </c>
      <c r="C23904" t="inlineStr">
        <is>
          <t>1965-05-12</t>
        </is>
      </c>
    </row>
    <row r="23905">
      <c r="A23905" s="1" t="n">
        <v>23904</v>
      </c>
      <c r="B23905">
        <f>TEXT(23904, "[$-0E0000]yyyy-mm-dd")</f>
        <v/>
      </c>
      <c r="C23905" t="inlineStr">
        <is>
          <t>1965-05-13</t>
        </is>
      </c>
    </row>
    <row r="23906">
      <c r="A23906" s="1" t="n">
        <v>23905</v>
      </c>
      <c r="B23906">
        <f>TEXT(23905, "[$-0E0000]yyyy-mm-dd")</f>
        <v/>
      </c>
      <c r="C23906" t="inlineStr">
        <is>
          <t>1965-05-14</t>
        </is>
      </c>
    </row>
    <row r="23907">
      <c r="A23907" s="1" t="n">
        <v>23906</v>
      </c>
      <c r="B23907">
        <f>TEXT(23906, "[$-0E0000]yyyy-mm-dd")</f>
        <v/>
      </c>
      <c r="C23907" t="inlineStr">
        <is>
          <t>1965-05-15</t>
        </is>
      </c>
    </row>
    <row r="23908">
      <c r="A23908" s="1" t="n">
        <v>23907</v>
      </c>
      <c r="B23908">
        <f>TEXT(23907, "[$-0E0000]yyyy-mm-dd")</f>
        <v/>
      </c>
      <c r="C23908" t="inlineStr">
        <is>
          <t>1965-05-16</t>
        </is>
      </c>
    </row>
    <row r="23909">
      <c r="A23909" s="1" t="n">
        <v>23908</v>
      </c>
      <c r="B23909">
        <f>TEXT(23908, "[$-0E0000]yyyy-mm-dd")</f>
        <v/>
      </c>
      <c r="C23909" t="inlineStr">
        <is>
          <t>1965-05-17</t>
        </is>
      </c>
    </row>
    <row r="23910">
      <c r="A23910" s="1" t="n">
        <v>23909</v>
      </c>
      <c r="B23910">
        <f>TEXT(23909, "[$-0E0000]yyyy-mm-dd")</f>
        <v/>
      </c>
      <c r="C23910" t="inlineStr">
        <is>
          <t>1965-05-18</t>
        </is>
      </c>
    </row>
    <row r="23911">
      <c r="A23911" s="1" t="n">
        <v>23910</v>
      </c>
      <c r="B23911">
        <f>TEXT(23910, "[$-0E0000]yyyy-mm-dd")</f>
        <v/>
      </c>
      <c r="C23911" t="inlineStr">
        <is>
          <t>1965-05-19</t>
        </is>
      </c>
    </row>
    <row r="23912">
      <c r="A23912" s="1" t="n">
        <v>23911</v>
      </c>
      <c r="B23912">
        <f>TEXT(23911, "[$-0E0000]yyyy-mm-dd")</f>
        <v/>
      </c>
      <c r="C23912" t="inlineStr">
        <is>
          <t>1965-05-20</t>
        </is>
      </c>
    </row>
    <row r="23913">
      <c r="A23913" s="1" t="n">
        <v>23912</v>
      </c>
      <c r="B23913">
        <f>TEXT(23912, "[$-0E0000]yyyy-mm-dd")</f>
        <v/>
      </c>
      <c r="C23913" t="inlineStr">
        <is>
          <t>1965-05-21</t>
        </is>
      </c>
    </row>
    <row r="23914">
      <c r="A23914" s="1" t="n">
        <v>23913</v>
      </c>
      <c r="B23914">
        <f>TEXT(23913, "[$-0E0000]yyyy-mm-dd")</f>
        <v/>
      </c>
      <c r="C23914" t="inlineStr">
        <is>
          <t>1965-05-22</t>
        </is>
      </c>
    </row>
    <row r="23915">
      <c r="A23915" s="1" t="n">
        <v>23914</v>
      </c>
      <c r="B23915">
        <f>TEXT(23914, "[$-0E0000]yyyy-mm-dd")</f>
        <v/>
      </c>
      <c r="C23915" t="inlineStr">
        <is>
          <t>1965-05-23</t>
        </is>
      </c>
    </row>
    <row r="23916">
      <c r="A23916" s="1" t="n">
        <v>23915</v>
      </c>
      <c r="B23916">
        <f>TEXT(23915, "[$-0E0000]yyyy-mm-dd")</f>
        <v/>
      </c>
      <c r="C23916" t="inlineStr">
        <is>
          <t>1965-05-24</t>
        </is>
      </c>
    </row>
    <row r="23917">
      <c r="A23917" s="1" t="n">
        <v>23916</v>
      </c>
      <c r="B23917">
        <f>TEXT(23916, "[$-0E0000]yyyy-mm-dd")</f>
        <v/>
      </c>
      <c r="C23917" t="inlineStr">
        <is>
          <t>1965-05-25</t>
        </is>
      </c>
    </row>
    <row r="23918">
      <c r="A23918" s="1" t="n">
        <v>23917</v>
      </c>
      <c r="B23918">
        <f>TEXT(23917, "[$-0E0000]yyyy-mm-dd")</f>
        <v/>
      </c>
      <c r="C23918" t="inlineStr">
        <is>
          <t>1965-05-26</t>
        </is>
      </c>
    </row>
    <row r="23919">
      <c r="A23919" s="1" t="n">
        <v>23918</v>
      </c>
      <c r="B23919">
        <f>TEXT(23918, "[$-0E0000]yyyy-mm-dd")</f>
        <v/>
      </c>
      <c r="C23919" t="inlineStr">
        <is>
          <t>1965-05-27</t>
        </is>
      </c>
    </row>
    <row r="23920">
      <c r="A23920" s="1" t="n">
        <v>23919</v>
      </c>
      <c r="B23920">
        <f>TEXT(23919, "[$-0E0000]yyyy-mm-dd")</f>
        <v/>
      </c>
      <c r="C23920" t="inlineStr">
        <is>
          <t>1965-05-28</t>
        </is>
      </c>
    </row>
    <row r="23921">
      <c r="A23921" s="1" t="n">
        <v>23920</v>
      </c>
      <c r="B23921">
        <f>TEXT(23920, "[$-0E0000]yyyy-mm-dd")</f>
        <v/>
      </c>
      <c r="C23921" t="inlineStr">
        <is>
          <t>1965-05-29</t>
        </is>
      </c>
    </row>
    <row r="23922">
      <c r="A23922" s="1" t="n">
        <v>23921</v>
      </c>
      <c r="B23922">
        <f>TEXT(23921, "[$-0E0000]yyyy-mm-dd")</f>
        <v/>
      </c>
      <c r="C23922" t="inlineStr">
        <is>
          <t>1965-06-01</t>
        </is>
      </c>
    </row>
    <row r="23923">
      <c r="A23923" s="1" t="n">
        <v>23922</v>
      </c>
      <c r="B23923">
        <f>TEXT(23922, "[$-0E0000]yyyy-mm-dd")</f>
        <v/>
      </c>
      <c r="C23923" t="inlineStr">
        <is>
          <t>1965-06-02</t>
        </is>
      </c>
    </row>
    <row r="23924">
      <c r="A23924" s="1" t="n">
        <v>23923</v>
      </c>
      <c r="B23924">
        <f>TEXT(23923, "[$-0E0000]yyyy-mm-dd")</f>
        <v/>
      </c>
      <c r="C23924" t="inlineStr">
        <is>
          <t>1965-06-03</t>
        </is>
      </c>
    </row>
    <row r="23925">
      <c r="A23925" s="1" t="n">
        <v>23924</v>
      </c>
      <c r="B23925">
        <f>TEXT(23924, "[$-0E0000]yyyy-mm-dd")</f>
        <v/>
      </c>
      <c r="C23925" t="inlineStr">
        <is>
          <t>1965-06-04</t>
        </is>
      </c>
    </row>
    <row r="23926">
      <c r="A23926" s="1" t="n">
        <v>23925</v>
      </c>
      <c r="B23926">
        <f>TEXT(23925, "[$-0E0000]yyyy-mm-dd")</f>
        <v/>
      </c>
      <c r="C23926" t="inlineStr">
        <is>
          <t>1965-06-05</t>
        </is>
      </c>
    </row>
    <row r="23927">
      <c r="A23927" s="1" t="n">
        <v>23926</v>
      </c>
      <c r="B23927">
        <f>TEXT(23926, "[$-0E0000]yyyy-mm-dd")</f>
        <v/>
      </c>
      <c r="C23927" t="inlineStr">
        <is>
          <t>1965-06-06</t>
        </is>
      </c>
    </row>
    <row r="23928">
      <c r="A23928" s="1" t="n">
        <v>23927</v>
      </c>
      <c r="B23928">
        <f>TEXT(23927, "[$-0E0000]yyyy-mm-dd")</f>
        <v/>
      </c>
      <c r="C23928" t="inlineStr">
        <is>
          <t>1965-06-07</t>
        </is>
      </c>
    </row>
    <row r="23929">
      <c r="A23929" s="1" t="n">
        <v>23928</v>
      </c>
      <c r="B23929">
        <f>TEXT(23928, "[$-0E0000]yyyy-mm-dd")</f>
        <v/>
      </c>
      <c r="C23929" t="inlineStr">
        <is>
          <t>1965-06-08</t>
        </is>
      </c>
    </row>
    <row r="23930">
      <c r="A23930" s="1" t="n">
        <v>23929</v>
      </c>
      <c r="B23930">
        <f>TEXT(23929, "[$-0E0000]yyyy-mm-dd")</f>
        <v/>
      </c>
      <c r="C23930" t="inlineStr">
        <is>
          <t>1965-06-09</t>
        </is>
      </c>
    </row>
    <row r="23931">
      <c r="A23931" s="1" t="n">
        <v>23930</v>
      </c>
      <c r="B23931">
        <f>TEXT(23930, "[$-0E0000]yyyy-mm-dd")</f>
        <v/>
      </c>
      <c r="C23931" t="inlineStr">
        <is>
          <t>1965-06-10</t>
        </is>
      </c>
    </row>
    <row r="23932">
      <c r="A23932" s="1" t="n">
        <v>23931</v>
      </c>
      <c r="B23932">
        <f>TEXT(23931, "[$-0E0000]yyyy-mm-dd")</f>
        <v/>
      </c>
      <c r="C23932" t="inlineStr">
        <is>
          <t>1965-06-11</t>
        </is>
      </c>
    </row>
    <row r="23933">
      <c r="A23933" s="1" t="n">
        <v>23932</v>
      </c>
      <c r="B23933">
        <f>TEXT(23932, "[$-0E0000]yyyy-mm-dd")</f>
        <v/>
      </c>
      <c r="C23933" t="inlineStr">
        <is>
          <t>1965-06-12</t>
        </is>
      </c>
    </row>
    <row r="23934">
      <c r="A23934" s="1" t="n">
        <v>23933</v>
      </c>
      <c r="B23934">
        <f>TEXT(23933, "[$-0E0000]yyyy-mm-dd")</f>
        <v/>
      </c>
      <c r="C23934" t="inlineStr">
        <is>
          <t>1965-06-13</t>
        </is>
      </c>
    </row>
    <row r="23935">
      <c r="A23935" s="1" t="n">
        <v>23934</v>
      </c>
      <c r="B23935">
        <f>TEXT(23934, "[$-0E0000]yyyy-mm-dd")</f>
        <v/>
      </c>
      <c r="C23935" t="inlineStr">
        <is>
          <t>1965-06-14</t>
        </is>
      </c>
    </row>
    <row r="23936">
      <c r="A23936" s="1" t="n">
        <v>23935</v>
      </c>
      <c r="B23936">
        <f>TEXT(23935, "[$-0E0000]yyyy-mm-dd")</f>
        <v/>
      </c>
      <c r="C23936" t="inlineStr">
        <is>
          <t>1965-06-15</t>
        </is>
      </c>
    </row>
    <row r="23937">
      <c r="A23937" s="1" t="n">
        <v>23936</v>
      </c>
      <c r="B23937">
        <f>TEXT(23936, "[$-0E0000]yyyy-mm-dd")</f>
        <v/>
      </c>
      <c r="C23937" t="inlineStr">
        <is>
          <t>1965-06-16</t>
        </is>
      </c>
    </row>
    <row r="23938">
      <c r="A23938" s="1" t="n">
        <v>23937</v>
      </c>
      <c r="B23938">
        <f>TEXT(23937, "[$-0E0000]yyyy-mm-dd")</f>
        <v/>
      </c>
      <c r="C23938" t="inlineStr">
        <is>
          <t>1965-06-17</t>
        </is>
      </c>
    </row>
    <row r="23939">
      <c r="A23939" s="1" t="n">
        <v>23938</v>
      </c>
      <c r="B23939">
        <f>TEXT(23938, "[$-0E0000]yyyy-mm-dd")</f>
        <v/>
      </c>
      <c r="C23939" t="inlineStr">
        <is>
          <t>1965-06-18</t>
        </is>
      </c>
    </row>
    <row r="23940">
      <c r="A23940" s="1" t="n">
        <v>23939</v>
      </c>
      <c r="B23940">
        <f>TEXT(23939, "[$-0E0000]yyyy-mm-dd")</f>
        <v/>
      </c>
      <c r="C23940" t="inlineStr">
        <is>
          <t>1965-06-19</t>
        </is>
      </c>
    </row>
    <row r="23941">
      <c r="A23941" s="1" t="n">
        <v>23940</v>
      </c>
      <c r="B23941">
        <f>TEXT(23940, "[$-0E0000]yyyy-mm-dd")</f>
        <v/>
      </c>
      <c r="C23941" t="inlineStr">
        <is>
          <t>1965-06-20</t>
        </is>
      </c>
    </row>
    <row r="23942">
      <c r="A23942" s="1" t="n">
        <v>23941</v>
      </c>
      <c r="B23942">
        <f>TEXT(23941, "[$-0E0000]yyyy-mm-dd")</f>
        <v/>
      </c>
      <c r="C23942" t="inlineStr">
        <is>
          <t>1965-06-21</t>
        </is>
      </c>
    </row>
    <row r="23943">
      <c r="A23943" s="1" t="n">
        <v>23942</v>
      </c>
      <c r="B23943">
        <f>TEXT(23942, "[$-0E0000]yyyy-mm-dd")</f>
        <v/>
      </c>
      <c r="C23943" t="inlineStr">
        <is>
          <t>1965-06-22</t>
        </is>
      </c>
    </row>
    <row r="23944">
      <c r="A23944" s="1" t="n">
        <v>23943</v>
      </c>
      <c r="B23944">
        <f>TEXT(23943, "[$-0E0000]yyyy-mm-dd")</f>
        <v/>
      </c>
      <c r="C23944" t="inlineStr">
        <is>
          <t>1965-06-23</t>
        </is>
      </c>
    </row>
    <row r="23945">
      <c r="A23945" s="1" t="n">
        <v>23944</v>
      </c>
      <c r="B23945">
        <f>TEXT(23944, "[$-0E0000]yyyy-mm-dd")</f>
        <v/>
      </c>
      <c r="C23945" t="inlineStr">
        <is>
          <t>1965-06-24</t>
        </is>
      </c>
    </row>
    <row r="23946">
      <c r="A23946" s="1" t="n">
        <v>23945</v>
      </c>
      <c r="B23946">
        <f>TEXT(23945, "[$-0E0000]yyyy-mm-dd")</f>
        <v/>
      </c>
      <c r="C23946" t="inlineStr">
        <is>
          <t>1965-06-25</t>
        </is>
      </c>
    </row>
    <row r="23947">
      <c r="A23947" s="1" t="n">
        <v>23946</v>
      </c>
      <c r="B23947">
        <f>TEXT(23946, "[$-0E0000]yyyy-mm-dd")</f>
        <v/>
      </c>
      <c r="C23947" t="inlineStr">
        <is>
          <t>1965-06-26</t>
        </is>
      </c>
    </row>
    <row r="23948">
      <c r="A23948" s="1" t="n">
        <v>23947</v>
      </c>
      <c r="B23948">
        <f>TEXT(23947, "[$-0E0000]yyyy-mm-dd")</f>
        <v/>
      </c>
      <c r="C23948" t="inlineStr">
        <is>
          <t>1965-06-27</t>
        </is>
      </c>
    </row>
    <row r="23949">
      <c r="A23949" s="1" t="n">
        <v>23948</v>
      </c>
      <c r="B23949">
        <f>TEXT(23948, "[$-0E0000]yyyy-mm-dd")</f>
        <v/>
      </c>
      <c r="C23949" t="inlineStr">
        <is>
          <t>1965-06-28</t>
        </is>
      </c>
    </row>
    <row r="23950">
      <c r="A23950" s="1" t="n">
        <v>23949</v>
      </c>
      <c r="B23950">
        <f>TEXT(23949, "[$-0E0000]yyyy-mm-dd")</f>
        <v/>
      </c>
      <c r="C23950" t="inlineStr">
        <is>
          <t>1965-06-29</t>
        </is>
      </c>
    </row>
    <row r="23951">
      <c r="A23951" s="1" t="n">
        <v>23950</v>
      </c>
      <c r="B23951">
        <f>TEXT(23950, "[$-0E0000]yyyy-mm-dd")</f>
        <v/>
      </c>
      <c r="C23951" t="inlineStr">
        <is>
          <t>1965-07-01</t>
        </is>
      </c>
    </row>
    <row r="23952">
      <c r="A23952" s="1" t="n">
        <v>23951</v>
      </c>
      <c r="B23952">
        <f>TEXT(23951, "[$-0E0000]yyyy-mm-dd")</f>
        <v/>
      </c>
      <c r="C23952" t="inlineStr">
        <is>
          <t>1965-07-02</t>
        </is>
      </c>
    </row>
    <row r="23953">
      <c r="A23953" s="1" t="n">
        <v>23952</v>
      </c>
      <c r="B23953">
        <f>TEXT(23952, "[$-0E0000]yyyy-mm-dd")</f>
        <v/>
      </c>
      <c r="C23953" t="inlineStr">
        <is>
          <t>1965-07-03</t>
        </is>
      </c>
    </row>
    <row r="23954">
      <c r="A23954" s="1" t="n">
        <v>23953</v>
      </c>
      <c r="B23954">
        <f>TEXT(23953, "[$-0E0000]yyyy-mm-dd")</f>
        <v/>
      </c>
      <c r="C23954" t="inlineStr">
        <is>
          <t>1965-07-04</t>
        </is>
      </c>
    </row>
    <row r="23955">
      <c r="A23955" s="1" t="n">
        <v>23954</v>
      </c>
      <c r="B23955">
        <f>TEXT(23954, "[$-0E0000]yyyy-mm-dd")</f>
        <v/>
      </c>
      <c r="C23955" t="inlineStr">
        <is>
          <t>1965-07-05</t>
        </is>
      </c>
    </row>
    <row r="23956">
      <c r="A23956" s="1" t="n">
        <v>23955</v>
      </c>
      <c r="B23956">
        <f>TEXT(23955, "[$-0E0000]yyyy-mm-dd")</f>
        <v/>
      </c>
      <c r="C23956" t="inlineStr">
        <is>
          <t>1965-07-06</t>
        </is>
      </c>
    </row>
    <row r="23957">
      <c r="A23957" s="1" t="n">
        <v>23956</v>
      </c>
      <c r="B23957">
        <f>TEXT(23956, "[$-0E0000]yyyy-mm-dd")</f>
        <v/>
      </c>
      <c r="C23957" t="inlineStr">
        <is>
          <t>1965-07-07</t>
        </is>
      </c>
    </row>
    <row r="23958">
      <c r="A23958" s="1" t="n">
        <v>23957</v>
      </c>
      <c r="B23958">
        <f>TEXT(23957, "[$-0E0000]yyyy-mm-dd")</f>
        <v/>
      </c>
      <c r="C23958" t="inlineStr">
        <is>
          <t>1965-07-08</t>
        </is>
      </c>
    </row>
    <row r="23959">
      <c r="A23959" s="1" t="n">
        <v>23958</v>
      </c>
      <c r="B23959">
        <f>TEXT(23958, "[$-0E0000]yyyy-mm-dd")</f>
        <v/>
      </c>
      <c r="C23959" t="inlineStr">
        <is>
          <t>1965-07-09</t>
        </is>
      </c>
    </row>
    <row r="23960">
      <c r="A23960" s="1" t="n">
        <v>23959</v>
      </c>
      <c r="B23960">
        <f>TEXT(23959, "[$-0E0000]yyyy-mm-dd")</f>
        <v/>
      </c>
      <c r="C23960" t="inlineStr">
        <is>
          <t>1965-07-10</t>
        </is>
      </c>
    </row>
    <row r="23961">
      <c r="A23961" s="1" t="n">
        <v>23960</v>
      </c>
      <c r="B23961">
        <f>TEXT(23960, "[$-0E0000]yyyy-mm-dd")</f>
        <v/>
      </c>
      <c r="C23961" t="inlineStr">
        <is>
          <t>1965-07-11</t>
        </is>
      </c>
    </row>
    <row r="23962">
      <c r="A23962" s="1" t="n">
        <v>23961</v>
      </c>
      <c r="B23962">
        <f>TEXT(23961, "[$-0E0000]yyyy-mm-dd")</f>
        <v/>
      </c>
      <c r="C23962" t="inlineStr">
        <is>
          <t>1965-07-12</t>
        </is>
      </c>
    </row>
    <row r="23963">
      <c r="A23963" s="1" t="n">
        <v>23962</v>
      </c>
      <c r="B23963">
        <f>TEXT(23962, "[$-0E0000]yyyy-mm-dd")</f>
        <v/>
      </c>
      <c r="C23963" t="inlineStr">
        <is>
          <t>1965-07-13</t>
        </is>
      </c>
    </row>
    <row r="23964">
      <c r="A23964" s="1" t="n">
        <v>23963</v>
      </c>
      <c r="B23964">
        <f>TEXT(23963, "[$-0E0000]yyyy-mm-dd")</f>
        <v/>
      </c>
      <c r="C23964" t="inlineStr">
        <is>
          <t>1965-07-14</t>
        </is>
      </c>
    </row>
    <row r="23965">
      <c r="A23965" s="1" t="n">
        <v>23964</v>
      </c>
      <c r="B23965">
        <f>TEXT(23964, "[$-0E0000]yyyy-mm-dd")</f>
        <v/>
      </c>
      <c r="C23965" t="inlineStr">
        <is>
          <t>1965-07-15</t>
        </is>
      </c>
    </row>
    <row r="23966">
      <c r="A23966" s="1" t="n">
        <v>23965</v>
      </c>
      <c r="B23966">
        <f>TEXT(23965, "[$-0E0000]yyyy-mm-dd")</f>
        <v/>
      </c>
      <c r="C23966" t="inlineStr">
        <is>
          <t>1965-07-16</t>
        </is>
      </c>
    </row>
    <row r="23967">
      <c r="A23967" s="1" t="n">
        <v>23966</v>
      </c>
      <c r="B23967">
        <f>TEXT(23966, "[$-0E0000]yyyy-mm-dd")</f>
        <v/>
      </c>
      <c r="C23967" t="inlineStr">
        <is>
          <t>1965-07-17</t>
        </is>
      </c>
    </row>
    <row r="23968">
      <c r="A23968" s="1" t="n">
        <v>23967</v>
      </c>
      <c r="B23968">
        <f>TEXT(23967, "[$-0E0000]yyyy-mm-dd")</f>
        <v/>
      </c>
      <c r="C23968" t="inlineStr">
        <is>
          <t>1965-07-18</t>
        </is>
      </c>
    </row>
    <row r="23969">
      <c r="A23969" s="1" t="n">
        <v>23968</v>
      </c>
      <c r="B23969">
        <f>TEXT(23968, "[$-0E0000]yyyy-mm-dd")</f>
        <v/>
      </c>
      <c r="C23969" t="inlineStr">
        <is>
          <t>1965-07-19</t>
        </is>
      </c>
    </row>
    <row r="23970">
      <c r="A23970" s="1" t="n">
        <v>23969</v>
      </c>
      <c r="B23970">
        <f>TEXT(23969, "[$-0E0000]yyyy-mm-dd")</f>
        <v/>
      </c>
      <c r="C23970" t="inlineStr">
        <is>
          <t>1965-07-20</t>
        </is>
      </c>
    </row>
    <row r="23971">
      <c r="A23971" s="1" t="n">
        <v>23970</v>
      </c>
      <c r="B23971">
        <f>TEXT(23970, "[$-0E0000]yyyy-mm-dd")</f>
        <v/>
      </c>
      <c r="C23971" t="inlineStr">
        <is>
          <t>1965-07-21</t>
        </is>
      </c>
    </row>
    <row r="23972">
      <c r="A23972" s="1" t="n">
        <v>23971</v>
      </c>
      <c r="B23972">
        <f>TEXT(23971, "[$-0E0000]yyyy-mm-dd")</f>
        <v/>
      </c>
      <c r="C23972" t="inlineStr">
        <is>
          <t>1965-07-22</t>
        </is>
      </c>
    </row>
    <row r="23973">
      <c r="A23973" s="1" t="n">
        <v>23972</v>
      </c>
      <c r="B23973">
        <f>TEXT(23972, "[$-0E0000]yyyy-mm-dd")</f>
        <v/>
      </c>
      <c r="C23973" t="inlineStr">
        <is>
          <t>1965-07-23</t>
        </is>
      </c>
    </row>
    <row r="23974">
      <c r="A23974" s="1" t="n">
        <v>23973</v>
      </c>
      <c r="B23974">
        <f>TEXT(23973, "[$-0E0000]yyyy-mm-dd")</f>
        <v/>
      </c>
      <c r="C23974" t="inlineStr">
        <is>
          <t>1965-07-24</t>
        </is>
      </c>
    </row>
    <row r="23975">
      <c r="A23975" s="1" t="n">
        <v>23974</v>
      </c>
      <c r="B23975">
        <f>TEXT(23974, "[$-0E0000]yyyy-mm-dd")</f>
        <v/>
      </c>
      <c r="C23975" t="inlineStr">
        <is>
          <t>1965-07-25</t>
        </is>
      </c>
    </row>
    <row r="23976">
      <c r="A23976" s="1" t="n">
        <v>23975</v>
      </c>
      <c r="B23976">
        <f>TEXT(23975, "[$-0E0000]yyyy-mm-dd")</f>
        <v/>
      </c>
      <c r="C23976" t="inlineStr">
        <is>
          <t>1965-07-26</t>
        </is>
      </c>
    </row>
    <row r="23977">
      <c r="A23977" s="1" t="n">
        <v>23976</v>
      </c>
      <c r="B23977">
        <f>TEXT(23976, "[$-0E0000]yyyy-mm-dd")</f>
        <v/>
      </c>
      <c r="C23977" t="inlineStr">
        <is>
          <t>1965-07-27</t>
        </is>
      </c>
    </row>
    <row r="23978">
      <c r="A23978" s="1" t="n">
        <v>23977</v>
      </c>
      <c r="B23978">
        <f>TEXT(23977, "[$-0E0000]yyyy-mm-dd")</f>
        <v/>
      </c>
      <c r="C23978" t="inlineStr">
        <is>
          <t>1965-07-28</t>
        </is>
      </c>
    </row>
    <row r="23979">
      <c r="A23979" s="1" t="n">
        <v>23978</v>
      </c>
      <c r="B23979">
        <f>TEXT(23978, "[$-0E0000]yyyy-mm-dd")</f>
        <v/>
      </c>
      <c r="C23979" t="inlineStr">
        <is>
          <t>1965-07-29</t>
        </is>
      </c>
    </row>
    <row r="23980">
      <c r="A23980" s="1" t="n">
        <v>23979</v>
      </c>
      <c r="B23980">
        <f>TEXT(23979, "[$-0E0000]yyyy-mm-dd")</f>
        <v/>
      </c>
      <c r="C23980" t="inlineStr">
        <is>
          <t>1965-07-30</t>
        </is>
      </c>
    </row>
    <row r="23981">
      <c r="A23981" s="1" t="n">
        <v>23980</v>
      </c>
      <c r="B23981">
        <f>TEXT(23980, "[$-0E0000]yyyy-mm-dd")</f>
        <v/>
      </c>
      <c r="C23981" t="inlineStr">
        <is>
          <t>1965-08-01</t>
        </is>
      </c>
    </row>
    <row r="23982">
      <c r="A23982" s="1" t="n">
        <v>23981</v>
      </c>
      <c r="B23982">
        <f>TEXT(23981, "[$-0E0000]yyyy-mm-dd")</f>
        <v/>
      </c>
      <c r="C23982" t="inlineStr">
        <is>
          <t>1965-08-02</t>
        </is>
      </c>
    </row>
    <row r="23983">
      <c r="A23983" s="1" t="n">
        <v>23982</v>
      </c>
      <c r="B23983">
        <f>TEXT(23982, "[$-0E0000]yyyy-mm-dd")</f>
        <v/>
      </c>
      <c r="C23983" t="inlineStr">
        <is>
          <t>1965-08-03</t>
        </is>
      </c>
    </row>
    <row r="23984">
      <c r="A23984" s="1" t="n">
        <v>23983</v>
      </c>
      <c r="B23984">
        <f>TEXT(23983, "[$-0E0000]yyyy-mm-dd")</f>
        <v/>
      </c>
      <c r="C23984" t="inlineStr">
        <is>
          <t>1965-08-04</t>
        </is>
      </c>
    </row>
    <row r="23985">
      <c r="A23985" s="1" t="n">
        <v>23984</v>
      </c>
      <c r="B23985">
        <f>TEXT(23984, "[$-0E0000]yyyy-mm-dd")</f>
        <v/>
      </c>
      <c r="C23985" t="inlineStr">
        <is>
          <t>1965-08-05</t>
        </is>
      </c>
    </row>
    <row r="23986">
      <c r="A23986" s="1" t="n">
        <v>23985</v>
      </c>
      <c r="B23986">
        <f>TEXT(23985, "[$-0E0000]yyyy-mm-dd")</f>
        <v/>
      </c>
      <c r="C23986" t="inlineStr">
        <is>
          <t>1965-08-06</t>
        </is>
      </c>
    </row>
    <row r="23987">
      <c r="A23987" s="1" t="n">
        <v>23986</v>
      </c>
      <c r="B23987">
        <f>TEXT(23986, "[$-0E0000]yyyy-mm-dd")</f>
        <v/>
      </c>
      <c r="C23987" t="inlineStr">
        <is>
          <t>1965-08-07</t>
        </is>
      </c>
    </row>
    <row r="23988">
      <c r="A23988" s="1" t="n">
        <v>23987</v>
      </c>
      <c r="B23988">
        <f>TEXT(23987, "[$-0E0000]yyyy-mm-dd")</f>
        <v/>
      </c>
      <c r="C23988" t="inlineStr">
        <is>
          <t>1965-08-08</t>
        </is>
      </c>
    </row>
    <row r="23989">
      <c r="A23989" s="1" t="n">
        <v>23988</v>
      </c>
      <c r="B23989">
        <f>TEXT(23988, "[$-0E0000]yyyy-mm-dd")</f>
        <v/>
      </c>
      <c r="C23989" t="inlineStr">
        <is>
          <t>1965-08-09</t>
        </is>
      </c>
    </row>
    <row r="23990">
      <c r="A23990" s="1" t="n">
        <v>23989</v>
      </c>
      <c r="B23990">
        <f>TEXT(23989, "[$-0E0000]yyyy-mm-dd")</f>
        <v/>
      </c>
      <c r="C23990" t="inlineStr">
        <is>
          <t>1965-08-10</t>
        </is>
      </c>
    </row>
    <row r="23991">
      <c r="A23991" s="1" t="n">
        <v>23990</v>
      </c>
      <c r="B23991">
        <f>TEXT(23990, "[$-0E0000]yyyy-mm-dd")</f>
        <v/>
      </c>
      <c r="C23991" t="inlineStr">
        <is>
          <t>1965-08-11</t>
        </is>
      </c>
    </row>
    <row r="23992">
      <c r="A23992" s="1" t="n">
        <v>23991</v>
      </c>
      <c r="B23992">
        <f>TEXT(23991, "[$-0E0000]yyyy-mm-dd")</f>
        <v/>
      </c>
      <c r="C23992" t="inlineStr">
        <is>
          <t>1965-08-12</t>
        </is>
      </c>
    </row>
    <row r="23993">
      <c r="A23993" s="1" t="n">
        <v>23992</v>
      </c>
      <c r="B23993">
        <f>TEXT(23992, "[$-0E0000]yyyy-mm-dd")</f>
        <v/>
      </c>
      <c r="C23993" t="inlineStr">
        <is>
          <t>1965-08-13</t>
        </is>
      </c>
    </row>
    <row r="23994">
      <c r="A23994" s="1" t="n">
        <v>23993</v>
      </c>
      <c r="B23994">
        <f>TEXT(23993, "[$-0E0000]yyyy-mm-dd")</f>
        <v/>
      </c>
      <c r="C23994" t="inlineStr">
        <is>
          <t>1965-08-14</t>
        </is>
      </c>
    </row>
    <row r="23995">
      <c r="A23995" s="1" t="n">
        <v>23994</v>
      </c>
      <c r="B23995">
        <f>TEXT(23994, "[$-0E0000]yyyy-mm-dd")</f>
        <v/>
      </c>
      <c r="C23995" t="inlineStr">
        <is>
          <t>1965-08-15</t>
        </is>
      </c>
    </row>
    <row r="23996">
      <c r="A23996" s="1" t="n">
        <v>23995</v>
      </c>
      <c r="B23996">
        <f>TEXT(23995, "[$-0E0000]yyyy-mm-dd")</f>
        <v/>
      </c>
      <c r="C23996" t="inlineStr">
        <is>
          <t>1965-08-16</t>
        </is>
      </c>
    </row>
    <row r="23997">
      <c r="A23997" s="1" t="n">
        <v>23996</v>
      </c>
      <c r="B23997">
        <f>TEXT(23996, "[$-0E0000]yyyy-mm-dd")</f>
        <v/>
      </c>
      <c r="C23997" t="inlineStr">
        <is>
          <t>1965-08-17</t>
        </is>
      </c>
    </row>
    <row r="23998">
      <c r="A23998" s="1" t="n">
        <v>23997</v>
      </c>
      <c r="B23998">
        <f>TEXT(23997, "[$-0E0000]yyyy-mm-dd")</f>
        <v/>
      </c>
      <c r="C23998" t="inlineStr">
        <is>
          <t>1965-08-18</t>
        </is>
      </c>
    </row>
    <row r="23999">
      <c r="A23999" s="1" t="n">
        <v>23998</v>
      </c>
      <c r="B23999">
        <f>TEXT(23998, "[$-0E0000]yyyy-mm-dd")</f>
        <v/>
      </c>
      <c r="C23999" t="inlineStr">
        <is>
          <t>1965-08-19</t>
        </is>
      </c>
    </row>
    <row r="24000">
      <c r="A24000" s="1" t="n">
        <v>23999</v>
      </c>
      <c r="B24000">
        <f>TEXT(23999, "[$-0E0000]yyyy-mm-dd")</f>
        <v/>
      </c>
      <c r="C24000" t="inlineStr">
        <is>
          <t>1965-08-20</t>
        </is>
      </c>
    </row>
    <row r="24001">
      <c r="A24001" s="1" t="n">
        <v>24000</v>
      </c>
      <c r="B24001">
        <f>TEXT(24000, "[$-0E0000]yyyy-mm-dd")</f>
        <v/>
      </c>
      <c r="C24001" t="inlineStr">
        <is>
          <t>1965-08-21</t>
        </is>
      </c>
    </row>
    <row r="24002">
      <c r="A24002" s="1" t="n">
        <v>24001</v>
      </c>
      <c r="B24002">
        <f>TEXT(24001, "[$-0E0000]yyyy-mm-dd")</f>
        <v/>
      </c>
      <c r="C24002" t="inlineStr">
        <is>
          <t>1965-08-22</t>
        </is>
      </c>
    </row>
    <row r="24003">
      <c r="A24003" s="1" t="n">
        <v>24002</v>
      </c>
      <c r="B24003">
        <f>TEXT(24002, "[$-0E0000]yyyy-mm-dd")</f>
        <v/>
      </c>
      <c r="C24003" t="inlineStr">
        <is>
          <t>1965-08-23</t>
        </is>
      </c>
    </row>
    <row r="24004">
      <c r="A24004" s="1" t="n">
        <v>24003</v>
      </c>
      <c r="B24004">
        <f>TEXT(24003, "[$-0E0000]yyyy-mm-dd")</f>
        <v/>
      </c>
      <c r="C24004" t="inlineStr">
        <is>
          <t>1965-08-24</t>
        </is>
      </c>
    </row>
    <row r="24005">
      <c r="A24005" s="1" t="n">
        <v>24004</v>
      </c>
      <c r="B24005">
        <f>TEXT(24004, "[$-0E0000]yyyy-mm-dd")</f>
        <v/>
      </c>
      <c r="C24005" t="inlineStr">
        <is>
          <t>1965-08-25</t>
        </is>
      </c>
    </row>
    <row r="24006">
      <c r="A24006" s="1" t="n">
        <v>24005</v>
      </c>
      <c r="B24006">
        <f>TEXT(24005, "[$-0E0000]yyyy-mm-dd")</f>
        <v/>
      </c>
      <c r="C24006" t="inlineStr">
        <is>
          <t>1965-08-26</t>
        </is>
      </c>
    </row>
    <row r="24007">
      <c r="A24007" s="1" t="n">
        <v>24006</v>
      </c>
      <c r="B24007">
        <f>TEXT(24006, "[$-0E0000]yyyy-mm-dd")</f>
        <v/>
      </c>
      <c r="C24007" t="inlineStr">
        <is>
          <t>1965-08-27</t>
        </is>
      </c>
    </row>
    <row r="24008">
      <c r="A24008" s="1" t="n">
        <v>24007</v>
      </c>
      <c r="B24008">
        <f>TEXT(24007, "[$-0E0000]yyyy-mm-dd")</f>
        <v/>
      </c>
      <c r="C24008" t="inlineStr">
        <is>
          <t>1965-08-28</t>
        </is>
      </c>
    </row>
    <row r="24009">
      <c r="A24009" s="1" t="n">
        <v>24008</v>
      </c>
      <c r="B24009">
        <f>TEXT(24008, "[$-0E0000]yyyy-mm-dd")</f>
        <v/>
      </c>
      <c r="C24009" t="inlineStr">
        <is>
          <t>1965-08-29</t>
        </is>
      </c>
    </row>
    <row r="24010">
      <c r="A24010" s="1" t="n">
        <v>24009</v>
      </c>
      <c r="B24010">
        <f>TEXT(24009, "[$-0E0000]yyyy-mm-dd")</f>
        <v/>
      </c>
      <c r="C24010" t="inlineStr">
        <is>
          <t>1965-09-01</t>
        </is>
      </c>
    </row>
    <row r="24011">
      <c r="A24011" s="1" t="n">
        <v>24010</v>
      </c>
      <c r="B24011">
        <f>TEXT(24010, "[$-0E0000]yyyy-mm-dd")</f>
        <v/>
      </c>
      <c r="C24011" t="inlineStr">
        <is>
          <t>1965-09-02</t>
        </is>
      </c>
    </row>
    <row r="24012">
      <c r="A24012" s="1" t="n">
        <v>24011</v>
      </c>
      <c r="B24012">
        <f>TEXT(24011, "[$-0E0000]yyyy-mm-dd")</f>
        <v/>
      </c>
      <c r="C24012" t="inlineStr">
        <is>
          <t>1965-09-03</t>
        </is>
      </c>
    </row>
    <row r="24013">
      <c r="A24013" s="1" t="n">
        <v>24012</v>
      </c>
      <c r="B24013">
        <f>TEXT(24012, "[$-0E0000]yyyy-mm-dd")</f>
        <v/>
      </c>
      <c r="C24013" t="inlineStr">
        <is>
          <t>1965-09-04</t>
        </is>
      </c>
    </row>
    <row r="24014">
      <c r="A24014" s="1" t="n">
        <v>24013</v>
      </c>
      <c r="B24014">
        <f>TEXT(24013, "[$-0E0000]yyyy-mm-dd")</f>
        <v/>
      </c>
      <c r="C24014" t="inlineStr">
        <is>
          <t>1965-09-05</t>
        </is>
      </c>
    </row>
    <row r="24015">
      <c r="A24015" s="1" t="n">
        <v>24014</v>
      </c>
      <c r="B24015">
        <f>TEXT(24014, "[$-0E0000]yyyy-mm-dd")</f>
        <v/>
      </c>
      <c r="C24015" t="inlineStr">
        <is>
          <t>1965-09-06</t>
        </is>
      </c>
    </row>
    <row r="24016">
      <c r="A24016" s="1" t="n">
        <v>24015</v>
      </c>
      <c r="B24016">
        <f>TEXT(24015, "[$-0E0000]yyyy-mm-dd")</f>
        <v/>
      </c>
      <c r="C24016" t="inlineStr">
        <is>
          <t>1965-09-07</t>
        </is>
      </c>
    </row>
    <row r="24017">
      <c r="A24017" s="1" t="n">
        <v>24016</v>
      </c>
      <c r="B24017">
        <f>TEXT(24016, "[$-0E0000]yyyy-mm-dd")</f>
        <v/>
      </c>
      <c r="C24017" t="inlineStr">
        <is>
          <t>1965-09-08</t>
        </is>
      </c>
    </row>
    <row r="24018">
      <c r="A24018" s="1" t="n">
        <v>24017</v>
      </c>
      <c r="B24018">
        <f>TEXT(24017, "[$-0E0000]yyyy-mm-dd")</f>
        <v/>
      </c>
      <c r="C24018" t="inlineStr">
        <is>
          <t>1965-09-09</t>
        </is>
      </c>
    </row>
    <row r="24019">
      <c r="A24019" s="1" t="n">
        <v>24018</v>
      </c>
      <c r="B24019">
        <f>TEXT(24018, "[$-0E0000]yyyy-mm-dd")</f>
        <v/>
      </c>
      <c r="C24019" t="inlineStr">
        <is>
          <t>1965-09-10</t>
        </is>
      </c>
    </row>
    <row r="24020">
      <c r="A24020" s="1" t="n">
        <v>24019</v>
      </c>
      <c r="B24020">
        <f>TEXT(24019, "[$-0E0000]yyyy-mm-dd")</f>
        <v/>
      </c>
      <c r="C24020" t="inlineStr">
        <is>
          <t>1965-09-11</t>
        </is>
      </c>
    </row>
    <row r="24021">
      <c r="A24021" s="1" t="n">
        <v>24020</v>
      </c>
      <c r="B24021">
        <f>TEXT(24020, "[$-0E0000]yyyy-mm-dd")</f>
        <v/>
      </c>
      <c r="C24021" t="inlineStr">
        <is>
          <t>1965-09-12</t>
        </is>
      </c>
    </row>
    <row r="24022">
      <c r="A24022" s="1" t="n">
        <v>24021</v>
      </c>
      <c r="B24022">
        <f>TEXT(24021, "[$-0E0000]yyyy-mm-dd")</f>
        <v/>
      </c>
      <c r="C24022" t="inlineStr">
        <is>
          <t>1965-09-13</t>
        </is>
      </c>
    </row>
    <row r="24023">
      <c r="A24023" s="1" t="n">
        <v>24022</v>
      </c>
      <c r="B24023">
        <f>TEXT(24022, "[$-0E0000]yyyy-mm-dd")</f>
        <v/>
      </c>
      <c r="C24023" t="inlineStr">
        <is>
          <t>1965-09-14</t>
        </is>
      </c>
    </row>
    <row r="24024">
      <c r="A24024" s="1" t="n">
        <v>24023</v>
      </c>
      <c r="B24024">
        <f>TEXT(24023, "[$-0E0000]yyyy-mm-dd")</f>
        <v/>
      </c>
      <c r="C24024" t="inlineStr">
        <is>
          <t>1965-09-15</t>
        </is>
      </c>
    </row>
    <row r="24025">
      <c r="A24025" s="1" t="n">
        <v>24024</v>
      </c>
      <c r="B24025">
        <f>TEXT(24024, "[$-0E0000]yyyy-mm-dd")</f>
        <v/>
      </c>
      <c r="C24025" t="inlineStr">
        <is>
          <t>1965-09-16</t>
        </is>
      </c>
    </row>
    <row r="24026">
      <c r="A24026" s="1" t="n">
        <v>24025</v>
      </c>
      <c r="B24026">
        <f>TEXT(24025, "[$-0E0000]yyyy-mm-dd")</f>
        <v/>
      </c>
      <c r="C24026" t="inlineStr">
        <is>
          <t>1965-09-17</t>
        </is>
      </c>
    </row>
    <row r="24027">
      <c r="A24027" s="1" t="n">
        <v>24026</v>
      </c>
      <c r="B24027">
        <f>TEXT(24026, "[$-0E0000]yyyy-mm-dd")</f>
        <v/>
      </c>
      <c r="C24027" t="inlineStr">
        <is>
          <t>1965-09-18</t>
        </is>
      </c>
    </row>
    <row r="24028">
      <c r="A24028" s="1" t="n">
        <v>24027</v>
      </c>
      <c r="B24028">
        <f>TEXT(24027, "[$-0E0000]yyyy-mm-dd")</f>
        <v/>
      </c>
      <c r="C24028" t="inlineStr">
        <is>
          <t>1965-09-19</t>
        </is>
      </c>
    </row>
    <row r="24029">
      <c r="A24029" s="1" t="n">
        <v>24028</v>
      </c>
      <c r="B24029">
        <f>TEXT(24028, "[$-0E0000]yyyy-mm-dd")</f>
        <v/>
      </c>
      <c r="C24029" t="inlineStr">
        <is>
          <t>1965-09-20</t>
        </is>
      </c>
    </row>
    <row r="24030">
      <c r="A24030" s="1" t="n">
        <v>24029</v>
      </c>
      <c r="B24030">
        <f>TEXT(24029, "[$-0E0000]yyyy-mm-dd")</f>
        <v/>
      </c>
      <c r="C24030" t="inlineStr">
        <is>
          <t>1965-09-21</t>
        </is>
      </c>
    </row>
    <row r="24031">
      <c r="A24031" s="1" t="n">
        <v>24030</v>
      </c>
      <c r="B24031">
        <f>TEXT(24030, "[$-0E0000]yyyy-mm-dd")</f>
        <v/>
      </c>
      <c r="C24031" t="inlineStr">
        <is>
          <t>1965-09-22</t>
        </is>
      </c>
    </row>
    <row r="24032">
      <c r="A24032" s="1" t="n">
        <v>24031</v>
      </c>
      <c r="B24032">
        <f>TEXT(24031, "[$-0E0000]yyyy-mm-dd")</f>
        <v/>
      </c>
      <c r="C24032" t="inlineStr">
        <is>
          <t>1965-09-23</t>
        </is>
      </c>
    </row>
    <row r="24033">
      <c r="A24033" s="1" t="n">
        <v>24032</v>
      </c>
      <c r="B24033">
        <f>TEXT(24032, "[$-0E0000]yyyy-mm-dd")</f>
        <v/>
      </c>
      <c r="C24033" t="inlineStr">
        <is>
          <t>1965-09-24</t>
        </is>
      </c>
    </row>
    <row r="24034">
      <c r="A24034" s="1" t="n">
        <v>24033</v>
      </c>
      <c r="B24034">
        <f>TEXT(24033, "[$-0E0000]yyyy-mm-dd")</f>
        <v/>
      </c>
      <c r="C24034" t="inlineStr">
        <is>
          <t>1965-09-25</t>
        </is>
      </c>
    </row>
    <row r="24035">
      <c r="A24035" s="1" t="n">
        <v>24034</v>
      </c>
      <c r="B24035">
        <f>TEXT(24034, "[$-0E0000]yyyy-mm-dd")</f>
        <v/>
      </c>
      <c r="C24035" t="inlineStr">
        <is>
          <t>1965-09-26</t>
        </is>
      </c>
    </row>
    <row r="24036">
      <c r="A24036" s="1" t="n">
        <v>24035</v>
      </c>
      <c r="B24036">
        <f>TEXT(24035, "[$-0E0000]yyyy-mm-dd")</f>
        <v/>
      </c>
      <c r="C24036" t="inlineStr">
        <is>
          <t>1965-09-27</t>
        </is>
      </c>
    </row>
    <row r="24037">
      <c r="A24037" s="1" t="n">
        <v>24036</v>
      </c>
      <c r="B24037">
        <f>TEXT(24036, "[$-0E0000]yyyy-mm-dd")</f>
        <v/>
      </c>
      <c r="C24037" t="inlineStr">
        <is>
          <t>1965-09-28</t>
        </is>
      </c>
    </row>
    <row r="24038">
      <c r="A24038" s="1" t="n">
        <v>24037</v>
      </c>
      <c r="B24038">
        <f>TEXT(24037, "[$-0E0000]yyyy-mm-dd")</f>
        <v/>
      </c>
      <c r="C24038" t="inlineStr">
        <is>
          <t>1965-09-29</t>
        </is>
      </c>
    </row>
    <row r="24039">
      <c r="A24039" s="1" t="n">
        <v>24038</v>
      </c>
      <c r="B24039">
        <f>TEXT(24038, "[$-0E0000]yyyy-mm-dd")</f>
        <v/>
      </c>
      <c r="C24039" t="inlineStr">
        <is>
          <t>1965-10-01</t>
        </is>
      </c>
    </row>
    <row r="24040">
      <c r="A24040" s="1" t="n">
        <v>24039</v>
      </c>
      <c r="B24040">
        <f>TEXT(24039, "[$-0E0000]yyyy-mm-dd")</f>
        <v/>
      </c>
      <c r="C24040" t="inlineStr">
        <is>
          <t>1965-10-02</t>
        </is>
      </c>
    </row>
    <row r="24041">
      <c r="A24041" s="1" t="n">
        <v>24040</v>
      </c>
      <c r="B24041">
        <f>TEXT(24040, "[$-0E0000]yyyy-mm-dd")</f>
        <v/>
      </c>
      <c r="C24041" t="inlineStr">
        <is>
          <t>1965-10-03</t>
        </is>
      </c>
    </row>
    <row r="24042">
      <c r="A24042" s="1" t="n">
        <v>24041</v>
      </c>
      <c r="B24042">
        <f>TEXT(24041, "[$-0E0000]yyyy-mm-dd")</f>
        <v/>
      </c>
      <c r="C24042" t="inlineStr">
        <is>
          <t>1965-10-04</t>
        </is>
      </c>
    </row>
    <row r="24043">
      <c r="A24043" s="1" t="n">
        <v>24042</v>
      </c>
      <c r="B24043">
        <f>TEXT(24042, "[$-0E0000]yyyy-mm-dd")</f>
        <v/>
      </c>
      <c r="C24043" t="inlineStr">
        <is>
          <t>1965-10-05</t>
        </is>
      </c>
    </row>
    <row r="24044">
      <c r="A24044" s="1" t="n">
        <v>24043</v>
      </c>
      <c r="B24044">
        <f>TEXT(24043, "[$-0E0000]yyyy-mm-dd")</f>
        <v/>
      </c>
      <c r="C24044" t="inlineStr">
        <is>
          <t>1965-10-06</t>
        </is>
      </c>
    </row>
    <row r="24045">
      <c r="A24045" s="1" t="n">
        <v>24044</v>
      </c>
      <c r="B24045">
        <f>TEXT(24044, "[$-0E0000]yyyy-mm-dd")</f>
        <v/>
      </c>
      <c r="C24045" t="inlineStr">
        <is>
          <t>1965-10-07</t>
        </is>
      </c>
    </row>
    <row r="24046">
      <c r="A24046" s="1" t="n">
        <v>24045</v>
      </c>
      <c r="B24046">
        <f>TEXT(24045, "[$-0E0000]yyyy-mm-dd")</f>
        <v/>
      </c>
      <c r="C24046" t="inlineStr">
        <is>
          <t>1965-10-08</t>
        </is>
      </c>
    </row>
    <row r="24047">
      <c r="A24047" s="1" t="n">
        <v>24046</v>
      </c>
      <c r="B24047">
        <f>TEXT(24046, "[$-0E0000]yyyy-mm-dd")</f>
        <v/>
      </c>
      <c r="C24047" t="inlineStr">
        <is>
          <t>1965-10-09</t>
        </is>
      </c>
    </row>
    <row r="24048">
      <c r="A24048" s="1" t="n">
        <v>24047</v>
      </c>
      <c r="B24048">
        <f>TEXT(24047, "[$-0E0000]yyyy-mm-dd")</f>
        <v/>
      </c>
      <c r="C24048" t="inlineStr">
        <is>
          <t>1965-10-10</t>
        </is>
      </c>
    </row>
    <row r="24049">
      <c r="A24049" s="1" t="n">
        <v>24048</v>
      </c>
      <c r="B24049">
        <f>TEXT(24048, "[$-0E0000]yyyy-mm-dd")</f>
        <v/>
      </c>
      <c r="C24049" t="inlineStr">
        <is>
          <t>1965-10-11</t>
        </is>
      </c>
    </row>
    <row r="24050">
      <c r="A24050" s="1" t="n">
        <v>24049</v>
      </c>
      <c r="B24050">
        <f>TEXT(24049, "[$-0E0000]yyyy-mm-dd")</f>
        <v/>
      </c>
      <c r="C24050" t="inlineStr">
        <is>
          <t>1965-10-12</t>
        </is>
      </c>
    </row>
    <row r="24051">
      <c r="A24051" s="1" t="n">
        <v>24050</v>
      </c>
      <c r="B24051">
        <f>TEXT(24050, "[$-0E0000]yyyy-mm-dd")</f>
        <v/>
      </c>
      <c r="C24051" t="inlineStr">
        <is>
          <t>1965-10-13</t>
        </is>
      </c>
    </row>
    <row r="24052">
      <c r="A24052" s="1" t="n">
        <v>24051</v>
      </c>
      <c r="B24052">
        <f>TEXT(24051, "[$-0E0000]yyyy-mm-dd")</f>
        <v/>
      </c>
      <c r="C24052" t="inlineStr">
        <is>
          <t>1965-10-14</t>
        </is>
      </c>
    </row>
    <row r="24053">
      <c r="A24053" s="1" t="n">
        <v>24052</v>
      </c>
      <c r="B24053">
        <f>TEXT(24052, "[$-0E0000]yyyy-mm-dd")</f>
        <v/>
      </c>
      <c r="C24053" t="inlineStr">
        <is>
          <t>1965-10-15</t>
        </is>
      </c>
    </row>
    <row r="24054">
      <c r="A24054" s="1" t="n">
        <v>24053</v>
      </c>
      <c r="B24054">
        <f>TEXT(24053, "[$-0E0000]yyyy-mm-dd")</f>
        <v/>
      </c>
      <c r="C24054" t="inlineStr">
        <is>
          <t>1965-10-16</t>
        </is>
      </c>
    </row>
    <row r="24055">
      <c r="A24055" s="1" t="n">
        <v>24054</v>
      </c>
      <c r="B24055">
        <f>TEXT(24054, "[$-0E0000]yyyy-mm-dd")</f>
        <v/>
      </c>
      <c r="C24055" t="inlineStr">
        <is>
          <t>1965-10-17</t>
        </is>
      </c>
    </row>
    <row r="24056">
      <c r="A24056" s="1" t="n">
        <v>24055</v>
      </c>
      <c r="B24056">
        <f>TEXT(24055, "[$-0E0000]yyyy-mm-dd")</f>
        <v/>
      </c>
      <c r="C24056" t="inlineStr">
        <is>
          <t>1965-10-18</t>
        </is>
      </c>
    </row>
    <row r="24057">
      <c r="A24057" s="1" t="n">
        <v>24056</v>
      </c>
      <c r="B24057">
        <f>TEXT(24056, "[$-0E0000]yyyy-mm-dd")</f>
        <v/>
      </c>
      <c r="C24057" t="inlineStr">
        <is>
          <t>1965-10-19</t>
        </is>
      </c>
    </row>
    <row r="24058">
      <c r="A24058" s="1" t="n">
        <v>24057</v>
      </c>
      <c r="B24058">
        <f>TEXT(24057, "[$-0E0000]yyyy-mm-dd")</f>
        <v/>
      </c>
      <c r="C24058" t="inlineStr">
        <is>
          <t>1965-10-20</t>
        </is>
      </c>
    </row>
    <row r="24059">
      <c r="A24059" s="1" t="n">
        <v>24058</v>
      </c>
      <c r="B24059">
        <f>TEXT(24058, "[$-0E0000]yyyy-mm-dd")</f>
        <v/>
      </c>
      <c r="C24059" t="inlineStr">
        <is>
          <t>1965-10-21</t>
        </is>
      </c>
    </row>
    <row r="24060">
      <c r="A24060" s="1" t="n">
        <v>24059</v>
      </c>
      <c r="B24060">
        <f>TEXT(24059, "[$-0E0000]yyyy-mm-dd")</f>
        <v/>
      </c>
      <c r="C24060" t="inlineStr">
        <is>
          <t>1965-10-22</t>
        </is>
      </c>
    </row>
    <row r="24061">
      <c r="A24061" s="1" t="n">
        <v>24060</v>
      </c>
      <c r="B24061">
        <f>TEXT(24060, "[$-0E0000]yyyy-mm-dd")</f>
        <v/>
      </c>
      <c r="C24061" t="inlineStr">
        <is>
          <t>1965-10-23</t>
        </is>
      </c>
    </row>
    <row r="24062">
      <c r="A24062" s="1" t="n">
        <v>24061</v>
      </c>
      <c r="B24062">
        <f>TEXT(24061, "[$-0E0000]yyyy-mm-dd")</f>
        <v/>
      </c>
      <c r="C24062" t="inlineStr">
        <is>
          <t>1965-10-24</t>
        </is>
      </c>
    </row>
    <row r="24063">
      <c r="A24063" s="1" t="n">
        <v>24062</v>
      </c>
      <c r="B24063">
        <f>TEXT(24062, "[$-0E0000]yyyy-mm-dd")</f>
        <v/>
      </c>
      <c r="C24063" t="inlineStr">
        <is>
          <t>1965-10-25</t>
        </is>
      </c>
    </row>
    <row r="24064">
      <c r="A24064" s="1" t="n">
        <v>24063</v>
      </c>
      <c r="B24064">
        <f>TEXT(24063, "[$-0E0000]yyyy-mm-dd")</f>
        <v/>
      </c>
      <c r="C24064" t="inlineStr">
        <is>
          <t>1965-10-26</t>
        </is>
      </c>
    </row>
    <row r="24065">
      <c r="A24065" s="1" t="n">
        <v>24064</v>
      </c>
      <c r="B24065">
        <f>TEXT(24064, "[$-0E0000]yyyy-mm-dd")</f>
        <v/>
      </c>
      <c r="C24065" t="inlineStr">
        <is>
          <t>1965-10-27</t>
        </is>
      </c>
    </row>
    <row r="24066">
      <c r="A24066" s="1" t="n">
        <v>24065</v>
      </c>
      <c r="B24066">
        <f>TEXT(24065, "[$-0E0000]yyyy-mm-dd")</f>
        <v/>
      </c>
      <c r="C24066" t="inlineStr">
        <is>
          <t>1965-10-28</t>
        </is>
      </c>
    </row>
    <row r="24067">
      <c r="A24067" s="1" t="n">
        <v>24066</v>
      </c>
      <c r="B24067">
        <f>TEXT(24066, "[$-0E0000]yyyy-mm-dd")</f>
        <v/>
      </c>
      <c r="C24067" t="inlineStr">
        <is>
          <t>1965-10-29</t>
        </is>
      </c>
    </row>
    <row r="24068">
      <c r="A24068" s="1" t="n">
        <v>24067</v>
      </c>
      <c r="B24068">
        <f>TEXT(24067, "[$-0E0000]yyyy-mm-dd")</f>
        <v/>
      </c>
      <c r="C24068" t="inlineStr">
        <is>
          <t>1965-10-30</t>
        </is>
      </c>
    </row>
    <row r="24069">
      <c r="A24069" s="1" t="n">
        <v>24068</v>
      </c>
      <c r="B24069">
        <f>TEXT(24068, "[$-0E0000]yyyy-mm-dd")</f>
        <v/>
      </c>
      <c r="C24069" t="inlineStr">
        <is>
          <t>1965-11-01</t>
        </is>
      </c>
    </row>
    <row r="24070">
      <c r="A24070" s="1" t="n">
        <v>24069</v>
      </c>
      <c r="B24070">
        <f>TEXT(24069, "[$-0E0000]yyyy-mm-dd")</f>
        <v/>
      </c>
      <c r="C24070" t="inlineStr">
        <is>
          <t>1965-11-02</t>
        </is>
      </c>
    </row>
    <row r="24071">
      <c r="A24071" s="1" t="n">
        <v>24070</v>
      </c>
      <c r="B24071">
        <f>TEXT(24070, "[$-0E0000]yyyy-mm-dd")</f>
        <v/>
      </c>
      <c r="C24071" t="inlineStr">
        <is>
          <t>1965-11-03</t>
        </is>
      </c>
    </row>
    <row r="24072">
      <c r="A24072" s="1" t="n">
        <v>24071</v>
      </c>
      <c r="B24072">
        <f>TEXT(24071, "[$-0E0000]yyyy-mm-dd")</f>
        <v/>
      </c>
      <c r="C24072" t="inlineStr">
        <is>
          <t>1965-11-04</t>
        </is>
      </c>
    </row>
    <row r="24073">
      <c r="A24073" s="1" t="n">
        <v>24072</v>
      </c>
      <c r="B24073">
        <f>TEXT(24072, "[$-0E0000]yyyy-mm-dd")</f>
        <v/>
      </c>
      <c r="C24073" t="inlineStr">
        <is>
          <t>1965-11-05</t>
        </is>
      </c>
    </row>
    <row r="24074">
      <c r="A24074" s="1" t="n">
        <v>24073</v>
      </c>
      <c r="B24074">
        <f>TEXT(24073, "[$-0E0000]yyyy-mm-dd")</f>
        <v/>
      </c>
      <c r="C24074" t="inlineStr">
        <is>
          <t>1965-11-06</t>
        </is>
      </c>
    </row>
    <row r="24075">
      <c r="A24075" s="1" t="n">
        <v>24074</v>
      </c>
      <c r="B24075">
        <f>TEXT(24074, "[$-0E0000]yyyy-mm-dd")</f>
        <v/>
      </c>
      <c r="C24075" t="inlineStr">
        <is>
          <t>1965-11-07</t>
        </is>
      </c>
    </row>
    <row r="24076">
      <c r="A24076" s="1" t="n">
        <v>24075</v>
      </c>
      <c r="B24076">
        <f>TEXT(24075, "[$-0E0000]yyyy-mm-dd")</f>
        <v/>
      </c>
      <c r="C24076" t="inlineStr">
        <is>
          <t>1965-11-08</t>
        </is>
      </c>
    </row>
    <row r="24077">
      <c r="A24077" s="1" t="n">
        <v>24076</v>
      </c>
      <c r="B24077">
        <f>TEXT(24076, "[$-0E0000]yyyy-mm-dd")</f>
        <v/>
      </c>
      <c r="C24077" t="inlineStr">
        <is>
          <t>1965-11-09</t>
        </is>
      </c>
    </row>
    <row r="24078">
      <c r="A24078" s="1" t="n">
        <v>24077</v>
      </c>
      <c r="B24078">
        <f>TEXT(24077, "[$-0E0000]yyyy-mm-dd")</f>
        <v/>
      </c>
      <c r="C24078" t="inlineStr">
        <is>
          <t>1965-11-10</t>
        </is>
      </c>
    </row>
    <row r="24079">
      <c r="A24079" s="1" t="n">
        <v>24078</v>
      </c>
      <c r="B24079">
        <f>TEXT(24078, "[$-0E0000]yyyy-mm-dd")</f>
        <v/>
      </c>
      <c r="C24079" t="inlineStr">
        <is>
          <t>1965-11-11</t>
        </is>
      </c>
    </row>
    <row r="24080">
      <c r="A24080" s="1" t="n">
        <v>24079</v>
      </c>
      <c r="B24080">
        <f>TEXT(24079, "[$-0E0000]yyyy-mm-dd")</f>
        <v/>
      </c>
      <c r="C24080" t="inlineStr">
        <is>
          <t>1965-11-12</t>
        </is>
      </c>
    </row>
    <row r="24081">
      <c r="A24081" s="1" t="n">
        <v>24080</v>
      </c>
      <c r="B24081">
        <f>TEXT(24080, "[$-0E0000]yyyy-mm-dd")</f>
        <v/>
      </c>
      <c r="C24081" t="inlineStr">
        <is>
          <t>1965-11-13</t>
        </is>
      </c>
    </row>
    <row r="24082">
      <c r="A24082" s="1" t="n">
        <v>24081</v>
      </c>
      <c r="B24082">
        <f>TEXT(24081, "[$-0E0000]yyyy-mm-dd")</f>
        <v/>
      </c>
      <c r="C24082" t="inlineStr">
        <is>
          <t>1965-11-14</t>
        </is>
      </c>
    </row>
    <row r="24083">
      <c r="A24083" s="1" t="n">
        <v>24082</v>
      </c>
      <c r="B24083">
        <f>TEXT(24082, "[$-0E0000]yyyy-mm-dd")</f>
        <v/>
      </c>
      <c r="C24083" t="inlineStr">
        <is>
          <t>1965-11-15</t>
        </is>
      </c>
    </row>
    <row r="24084">
      <c r="A24084" s="1" t="n">
        <v>24083</v>
      </c>
      <c r="B24084">
        <f>TEXT(24083, "[$-0E0000]yyyy-mm-dd")</f>
        <v/>
      </c>
      <c r="C24084" t="inlineStr">
        <is>
          <t>1965-11-16</t>
        </is>
      </c>
    </row>
    <row r="24085">
      <c r="A24085" s="1" t="n">
        <v>24084</v>
      </c>
      <c r="B24085">
        <f>TEXT(24084, "[$-0E0000]yyyy-mm-dd")</f>
        <v/>
      </c>
      <c r="C24085" t="inlineStr">
        <is>
          <t>1965-11-17</t>
        </is>
      </c>
    </row>
    <row r="24086">
      <c r="A24086" s="1" t="n">
        <v>24085</v>
      </c>
      <c r="B24086">
        <f>TEXT(24085, "[$-0E0000]yyyy-mm-dd")</f>
        <v/>
      </c>
      <c r="C24086" t="inlineStr">
        <is>
          <t>1965-11-18</t>
        </is>
      </c>
    </row>
    <row r="24087">
      <c r="A24087" s="1" t="n">
        <v>24086</v>
      </c>
      <c r="B24087">
        <f>TEXT(24086, "[$-0E0000]yyyy-mm-dd")</f>
        <v/>
      </c>
      <c r="C24087" t="inlineStr">
        <is>
          <t>1965-11-19</t>
        </is>
      </c>
    </row>
    <row r="24088">
      <c r="A24088" s="1" t="n">
        <v>24087</v>
      </c>
      <c r="B24088">
        <f>TEXT(24087, "[$-0E0000]yyyy-mm-dd")</f>
        <v/>
      </c>
      <c r="C24088" t="inlineStr">
        <is>
          <t>1965-11-20</t>
        </is>
      </c>
    </row>
    <row r="24089">
      <c r="A24089" s="1" t="n">
        <v>24088</v>
      </c>
      <c r="B24089">
        <f>TEXT(24088, "[$-0E0000]yyyy-mm-dd")</f>
        <v/>
      </c>
      <c r="C24089" t="inlineStr">
        <is>
          <t>1965-11-21</t>
        </is>
      </c>
    </row>
    <row r="24090">
      <c r="A24090" s="1" t="n">
        <v>24089</v>
      </c>
      <c r="B24090">
        <f>TEXT(24089, "[$-0E0000]yyyy-mm-dd")</f>
        <v/>
      </c>
      <c r="C24090" t="inlineStr">
        <is>
          <t>1965-11-22</t>
        </is>
      </c>
    </row>
    <row r="24091">
      <c r="A24091" s="1" t="n">
        <v>24090</v>
      </c>
      <c r="B24091">
        <f>TEXT(24090, "[$-0E0000]yyyy-mm-dd")</f>
        <v/>
      </c>
      <c r="C24091" t="inlineStr">
        <is>
          <t>1965-11-23</t>
        </is>
      </c>
    </row>
    <row r="24092">
      <c r="A24092" s="1" t="n">
        <v>24091</v>
      </c>
      <c r="B24092">
        <f>TEXT(24091, "[$-0E0000]yyyy-mm-dd")</f>
        <v/>
      </c>
      <c r="C24092" t="inlineStr">
        <is>
          <t>1965-11-24</t>
        </is>
      </c>
    </row>
    <row r="24093">
      <c r="A24093" s="1" t="n">
        <v>24092</v>
      </c>
      <c r="B24093">
        <f>TEXT(24092, "[$-0E0000]yyyy-mm-dd")</f>
        <v/>
      </c>
      <c r="C24093" t="inlineStr">
        <is>
          <t>1965-11-25</t>
        </is>
      </c>
    </row>
    <row r="24094">
      <c r="A24094" s="1" t="n">
        <v>24093</v>
      </c>
      <c r="B24094">
        <f>TEXT(24093, "[$-0E0000]yyyy-mm-dd")</f>
        <v/>
      </c>
      <c r="C24094" t="inlineStr">
        <is>
          <t>1965-11-26</t>
        </is>
      </c>
    </row>
    <row r="24095">
      <c r="A24095" s="1" t="n">
        <v>24094</v>
      </c>
      <c r="B24095">
        <f>TEXT(24094, "[$-0E0000]yyyy-mm-dd")</f>
        <v/>
      </c>
      <c r="C24095" t="inlineStr">
        <is>
          <t>1965-11-27</t>
        </is>
      </c>
    </row>
    <row r="24096">
      <c r="A24096" s="1" t="n">
        <v>24095</v>
      </c>
      <c r="B24096">
        <f>TEXT(24095, "[$-0E0000]yyyy-mm-dd")</f>
        <v/>
      </c>
      <c r="C24096" t="inlineStr">
        <is>
          <t>1965-11-28</t>
        </is>
      </c>
    </row>
    <row r="24097">
      <c r="A24097" s="1" t="n">
        <v>24096</v>
      </c>
      <c r="B24097">
        <f>TEXT(24096, "[$-0E0000]yyyy-mm-dd")</f>
        <v/>
      </c>
      <c r="C24097" t="inlineStr">
        <is>
          <t>1965-11-29</t>
        </is>
      </c>
    </row>
    <row r="24098">
      <c r="A24098" s="1" t="n">
        <v>24097</v>
      </c>
      <c r="B24098">
        <f>TEXT(24097, "[$-0E0000]yyyy-mm-dd")</f>
        <v/>
      </c>
      <c r="C24098" t="inlineStr">
        <is>
          <t>1965-11-30</t>
        </is>
      </c>
    </row>
    <row r="24099">
      <c r="A24099" s="1" t="n">
        <v>24098</v>
      </c>
      <c r="B24099">
        <f>TEXT(24098, "[$-0E0000]yyyy-mm-dd")</f>
        <v/>
      </c>
      <c r="C24099" t="inlineStr">
        <is>
          <t>1965-12-01</t>
        </is>
      </c>
    </row>
    <row r="24100">
      <c r="A24100" s="1" t="n">
        <v>24099</v>
      </c>
      <c r="B24100">
        <f>TEXT(24099, "[$-0E0000]yyyy-mm-dd")</f>
        <v/>
      </c>
      <c r="C24100" t="inlineStr">
        <is>
          <t>1965-12-02</t>
        </is>
      </c>
    </row>
    <row r="24101">
      <c r="A24101" s="1" t="n">
        <v>24100</v>
      </c>
      <c r="B24101">
        <f>TEXT(24100, "[$-0E0000]yyyy-mm-dd")</f>
        <v/>
      </c>
      <c r="C24101" t="inlineStr">
        <is>
          <t>1965-12-03</t>
        </is>
      </c>
    </row>
    <row r="24102">
      <c r="A24102" s="1" t="n">
        <v>24101</v>
      </c>
      <c r="B24102">
        <f>TEXT(24101, "[$-0E0000]yyyy-mm-dd")</f>
        <v/>
      </c>
      <c r="C24102" t="inlineStr">
        <is>
          <t>1965-12-04</t>
        </is>
      </c>
    </row>
    <row r="24103">
      <c r="A24103" s="1" t="n">
        <v>24102</v>
      </c>
      <c r="B24103">
        <f>TEXT(24102, "[$-0E0000]yyyy-mm-dd")</f>
        <v/>
      </c>
      <c r="C24103" t="inlineStr">
        <is>
          <t>1965-12-05</t>
        </is>
      </c>
    </row>
    <row r="24104">
      <c r="A24104" s="1" t="n">
        <v>24103</v>
      </c>
      <c r="B24104">
        <f>TEXT(24103, "[$-0E0000]yyyy-mm-dd")</f>
        <v/>
      </c>
      <c r="C24104" t="inlineStr">
        <is>
          <t>1965-12-06</t>
        </is>
      </c>
    </row>
    <row r="24105">
      <c r="A24105" s="1" t="n">
        <v>24104</v>
      </c>
      <c r="B24105">
        <f>TEXT(24104, "[$-0E0000]yyyy-mm-dd")</f>
        <v/>
      </c>
      <c r="C24105" t="inlineStr">
        <is>
          <t>1965-12-07</t>
        </is>
      </c>
    </row>
    <row r="24106">
      <c r="A24106" s="1" t="n">
        <v>24105</v>
      </c>
      <c r="B24106">
        <f>TEXT(24105, "[$-0E0000]yyyy-mm-dd")</f>
        <v/>
      </c>
      <c r="C24106" t="inlineStr">
        <is>
          <t>1965-12-08</t>
        </is>
      </c>
    </row>
    <row r="24107">
      <c r="A24107" s="1" t="n">
        <v>24106</v>
      </c>
      <c r="B24107">
        <f>TEXT(24106, "[$-0E0000]yyyy-mm-dd")</f>
        <v/>
      </c>
      <c r="C24107" t="inlineStr">
        <is>
          <t>1965-12-09</t>
        </is>
      </c>
    </row>
    <row r="24108">
      <c r="A24108" s="1" t="n">
        <v>24107</v>
      </c>
      <c r="B24108">
        <f>TEXT(24107, "[$-0E0000]yyyy-mm-dd")</f>
        <v/>
      </c>
      <c r="C24108" t="inlineStr">
        <is>
          <t>1965-12-10</t>
        </is>
      </c>
    </row>
    <row r="24109">
      <c r="A24109" s="1" t="n">
        <v>24108</v>
      </c>
      <c r="B24109">
        <f>TEXT(24108, "[$-0E0000]yyyy-mm-dd")</f>
        <v/>
      </c>
      <c r="C24109" t="inlineStr">
        <is>
          <t>1965-12-11</t>
        </is>
      </c>
    </row>
    <row r="24110">
      <c r="A24110" s="1" t="n">
        <v>24109</v>
      </c>
      <c r="B24110">
        <f>TEXT(24109, "[$-0E0000]yyyy-mm-dd")</f>
        <v/>
      </c>
      <c r="C24110" t="inlineStr">
        <is>
          <t>1965-12-12</t>
        </is>
      </c>
    </row>
    <row r="24111">
      <c r="A24111" s="1" t="n">
        <v>24110</v>
      </c>
      <c r="B24111">
        <f>TEXT(24110, "[$-0E0000]yyyy-mm-dd")</f>
        <v/>
      </c>
      <c r="C24111" t="inlineStr">
        <is>
          <t>1965-12-13</t>
        </is>
      </c>
    </row>
    <row r="24112">
      <c r="A24112" s="1" t="n">
        <v>24111</v>
      </c>
      <c r="B24112">
        <f>TEXT(24111, "[$-0E0000]yyyy-mm-dd")</f>
        <v/>
      </c>
      <c r="C24112" t="inlineStr">
        <is>
          <t>1965-12-14</t>
        </is>
      </c>
    </row>
    <row r="24113">
      <c r="A24113" s="1" t="n">
        <v>24112</v>
      </c>
      <c r="B24113">
        <f>TEXT(24112, "[$-0E0000]yyyy-mm-dd")</f>
        <v/>
      </c>
      <c r="C24113" t="inlineStr">
        <is>
          <t>1965-12-15</t>
        </is>
      </c>
    </row>
    <row r="24114">
      <c r="A24114" s="1" t="n">
        <v>24113</v>
      </c>
      <c r="B24114">
        <f>TEXT(24113, "[$-0E0000]yyyy-mm-dd")</f>
        <v/>
      </c>
      <c r="C24114" t="inlineStr">
        <is>
          <t>1965-12-16</t>
        </is>
      </c>
    </row>
    <row r="24115">
      <c r="A24115" s="1" t="n">
        <v>24114</v>
      </c>
      <c r="B24115">
        <f>TEXT(24114, "[$-0E0000]yyyy-mm-dd")</f>
        <v/>
      </c>
      <c r="C24115" t="inlineStr">
        <is>
          <t>1965-12-17</t>
        </is>
      </c>
    </row>
    <row r="24116">
      <c r="A24116" s="1" t="n">
        <v>24115</v>
      </c>
      <c r="B24116">
        <f>TEXT(24115, "[$-0E0000]yyyy-mm-dd")</f>
        <v/>
      </c>
      <c r="C24116" t="inlineStr">
        <is>
          <t>1965-12-18</t>
        </is>
      </c>
    </row>
    <row r="24117">
      <c r="A24117" s="1" t="n">
        <v>24116</v>
      </c>
      <c r="B24117">
        <f>TEXT(24116, "[$-0E0000]yyyy-mm-dd")</f>
        <v/>
      </c>
      <c r="C24117" t="inlineStr">
        <is>
          <t>1965-12-19</t>
        </is>
      </c>
    </row>
    <row r="24118">
      <c r="A24118" s="1" t="n">
        <v>24117</v>
      </c>
      <c r="B24118">
        <f>TEXT(24117, "[$-0E0000]yyyy-mm-dd")</f>
        <v/>
      </c>
      <c r="C24118" t="inlineStr">
        <is>
          <t>1965-12-20</t>
        </is>
      </c>
    </row>
    <row r="24119">
      <c r="A24119" s="1" t="n">
        <v>24118</v>
      </c>
      <c r="B24119">
        <f>TEXT(24118, "[$-0E0000]yyyy-mm-dd")</f>
        <v/>
      </c>
      <c r="C24119" t="inlineStr">
        <is>
          <t>1965-12-21</t>
        </is>
      </c>
    </row>
    <row r="24120">
      <c r="A24120" s="1" t="n">
        <v>24119</v>
      </c>
      <c r="B24120">
        <f>TEXT(24119, "[$-0E0000]yyyy-mm-dd")</f>
        <v/>
      </c>
      <c r="C24120" t="inlineStr">
        <is>
          <t>1965-12-22</t>
        </is>
      </c>
    </row>
    <row r="24121">
      <c r="A24121" s="1" t="n">
        <v>24120</v>
      </c>
      <c r="B24121">
        <f>TEXT(24120, "[$-0E0000]yyyy-mm-dd")</f>
        <v/>
      </c>
      <c r="C24121" t="inlineStr">
        <is>
          <t>1965-12-23</t>
        </is>
      </c>
    </row>
    <row r="24122">
      <c r="A24122" s="1" t="n">
        <v>24121</v>
      </c>
      <c r="B24122">
        <f>TEXT(24121, "[$-0E0000]yyyy-mm-dd")</f>
        <v/>
      </c>
      <c r="C24122" t="inlineStr">
        <is>
          <t>1965-12-24</t>
        </is>
      </c>
    </row>
    <row r="24123">
      <c r="A24123" s="1" t="n">
        <v>24122</v>
      </c>
      <c r="B24123">
        <f>TEXT(24122, "[$-0E0000]yyyy-mm-dd")</f>
        <v/>
      </c>
      <c r="C24123" t="inlineStr">
        <is>
          <t>1965-12-25</t>
        </is>
      </c>
    </row>
    <row r="24124">
      <c r="A24124" s="1" t="n">
        <v>24123</v>
      </c>
      <c r="B24124">
        <f>TEXT(24123, "[$-0E0000]yyyy-mm-dd")</f>
        <v/>
      </c>
      <c r="C24124" t="inlineStr">
        <is>
          <t>1965-12-26</t>
        </is>
      </c>
    </row>
    <row r="24125">
      <c r="A24125" s="1" t="n">
        <v>24124</v>
      </c>
      <c r="B24125">
        <f>TEXT(24124, "[$-0E0000]yyyy-mm-dd")</f>
        <v/>
      </c>
      <c r="C24125" t="inlineStr">
        <is>
          <t>1965-12-27</t>
        </is>
      </c>
    </row>
    <row r="24126">
      <c r="A24126" s="1" t="n">
        <v>24125</v>
      </c>
      <c r="B24126">
        <f>TEXT(24125, "[$-0E0000]yyyy-mm-dd")</f>
        <v/>
      </c>
      <c r="C24126" t="inlineStr">
        <is>
          <t>1965-12-28</t>
        </is>
      </c>
    </row>
    <row r="24127">
      <c r="A24127" s="1" t="n">
        <v>24126</v>
      </c>
      <c r="B24127">
        <f>TEXT(24126, "[$-0E0000]yyyy-mm-dd")</f>
        <v/>
      </c>
      <c r="C24127" t="inlineStr">
        <is>
          <t>1965-12-29</t>
        </is>
      </c>
    </row>
    <row r="24128">
      <c r="A24128" s="1" t="n">
        <v>24127</v>
      </c>
      <c r="B24128">
        <f>TEXT(24127, "[$-0E0000]yyyy-mm-dd")</f>
        <v/>
      </c>
      <c r="C24128" t="inlineStr">
        <is>
          <t>1966-01-01</t>
        </is>
      </c>
    </row>
    <row r="24129">
      <c r="A24129" s="1" t="n">
        <v>24128</v>
      </c>
      <c r="B24129">
        <f>TEXT(24128, "[$-0E0000]yyyy-mm-dd")</f>
        <v/>
      </c>
      <c r="C24129" t="inlineStr">
        <is>
          <t>1966-01-02</t>
        </is>
      </c>
    </row>
    <row r="24130">
      <c r="A24130" s="1" t="n">
        <v>24129</v>
      </c>
      <c r="B24130">
        <f>TEXT(24129, "[$-0E0000]yyyy-mm-dd")</f>
        <v/>
      </c>
      <c r="C24130" t="inlineStr">
        <is>
          <t>1966-01-03</t>
        </is>
      </c>
    </row>
    <row r="24131">
      <c r="A24131" s="1" t="n">
        <v>24130</v>
      </c>
      <c r="B24131">
        <f>TEXT(24130, "[$-0E0000]yyyy-mm-dd")</f>
        <v/>
      </c>
      <c r="C24131" t="inlineStr">
        <is>
          <t>1966-01-04</t>
        </is>
      </c>
    </row>
    <row r="24132">
      <c r="A24132" s="1" t="n">
        <v>24131</v>
      </c>
      <c r="B24132">
        <f>TEXT(24131, "[$-0E0000]yyyy-mm-dd")</f>
        <v/>
      </c>
      <c r="C24132" t="inlineStr">
        <is>
          <t>1966-01-05</t>
        </is>
      </c>
    </row>
    <row r="24133">
      <c r="A24133" s="1" t="n">
        <v>24132</v>
      </c>
      <c r="B24133">
        <f>TEXT(24132, "[$-0E0000]yyyy-mm-dd")</f>
        <v/>
      </c>
      <c r="C24133" t="inlineStr">
        <is>
          <t>1966-01-06</t>
        </is>
      </c>
    </row>
    <row r="24134">
      <c r="A24134" s="1" t="n">
        <v>24133</v>
      </c>
      <c r="B24134">
        <f>TEXT(24133, "[$-0E0000]yyyy-mm-dd")</f>
        <v/>
      </c>
      <c r="C24134" t="inlineStr">
        <is>
          <t>1966-01-07</t>
        </is>
      </c>
    </row>
    <row r="24135">
      <c r="A24135" s="1" t="n">
        <v>24134</v>
      </c>
      <c r="B24135">
        <f>TEXT(24134, "[$-0E0000]yyyy-mm-dd")</f>
        <v/>
      </c>
      <c r="C24135" t="inlineStr">
        <is>
          <t>1966-01-08</t>
        </is>
      </c>
    </row>
    <row r="24136">
      <c r="A24136" s="1" t="n">
        <v>24135</v>
      </c>
      <c r="B24136">
        <f>TEXT(24135, "[$-0E0000]yyyy-mm-dd")</f>
        <v/>
      </c>
      <c r="C24136" t="inlineStr">
        <is>
          <t>1966-01-09</t>
        </is>
      </c>
    </row>
    <row r="24137">
      <c r="A24137" s="1" t="n">
        <v>24136</v>
      </c>
      <c r="B24137">
        <f>TEXT(24136, "[$-0E0000]yyyy-mm-dd")</f>
        <v/>
      </c>
      <c r="C24137" t="inlineStr">
        <is>
          <t>1966-01-10</t>
        </is>
      </c>
    </row>
    <row r="24138">
      <c r="A24138" s="1" t="n">
        <v>24137</v>
      </c>
      <c r="B24138">
        <f>TEXT(24137, "[$-0E0000]yyyy-mm-dd")</f>
        <v/>
      </c>
      <c r="C24138" t="inlineStr">
        <is>
          <t>1966-01-11</t>
        </is>
      </c>
    </row>
    <row r="24139">
      <c r="A24139" s="1" t="n">
        <v>24138</v>
      </c>
      <c r="B24139">
        <f>TEXT(24138, "[$-0E0000]yyyy-mm-dd")</f>
        <v/>
      </c>
      <c r="C24139" t="inlineStr">
        <is>
          <t>1966-01-12</t>
        </is>
      </c>
    </row>
    <row r="24140">
      <c r="A24140" s="1" t="n">
        <v>24139</v>
      </c>
      <c r="B24140">
        <f>TEXT(24139, "[$-0E0000]yyyy-mm-dd")</f>
        <v/>
      </c>
      <c r="C24140" t="inlineStr">
        <is>
          <t>1966-01-13</t>
        </is>
      </c>
    </row>
    <row r="24141">
      <c r="A24141" s="1" t="n">
        <v>24140</v>
      </c>
      <c r="B24141">
        <f>TEXT(24140, "[$-0E0000]yyyy-mm-dd")</f>
        <v/>
      </c>
      <c r="C24141" t="inlineStr">
        <is>
          <t>1966-01-14</t>
        </is>
      </c>
    </row>
    <row r="24142">
      <c r="A24142" s="1" t="n">
        <v>24141</v>
      </c>
      <c r="B24142">
        <f>TEXT(24141, "[$-0E0000]yyyy-mm-dd")</f>
        <v/>
      </c>
      <c r="C24142" t="inlineStr">
        <is>
          <t>1966-01-15</t>
        </is>
      </c>
    </row>
    <row r="24143">
      <c r="A24143" s="1" t="n">
        <v>24142</v>
      </c>
      <c r="B24143">
        <f>TEXT(24142, "[$-0E0000]yyyy-mm-dd")</f>
        <v/>
      </c>
      <c r="C24143" t="inlineStr">
        <is>
          <t>1966-01-16</t>
        </is>
      </c>
    </row>
    <row r="24144">
      <c r="A24144" s="1" t="n">
        <v>24143</v>
      </c>
      <c r="B24144">
        <f>TEXT(24143, "[$-0E0000]yyyy-mm-dd")</f>
        <v/>
      </c>
      <c r="C24144" t="inlineStr">
        <is>
          <t>1966-01-17</t>
        </is>
      </c>
    </row>
    <row r="24145">
      <c r="A24145" s="1" t="n">
        <v>24144</v>
      </c>
      <c r="B24145">
        <f>TEXT(24144, "[$-0E0000]yyyy-mm-dd")</f>
        <v/>
      </c>
      <c r="C24145" t="inlineStr">
        <is>
          <t>1966-01-18</t>
        </is>
      </c>
    </row>
    <row r="24146">
      <c r="A24146" s="1" t="n">
        <v>24145</v>
      </c>
      <c r="B24146">
        <f>TEXT(24145, "[$-0E0000]yyyy-mm-dd")</f>
        <v/>
      </c>
      <c r="C24146" t="inlineStr">
        <is>
          <t>1966-01-19</t>
        </is>
      </c>
    </row>
    <row r="24147">
      <c r="A24147" s="1" t="n">
        <v>24146</v>
      </c>
      <c r="B24147">
        <f>TEXT(24146, "[$-0E0000]yyyy-mm-dd")</f>
        <v/>
      </c>
      <c r="C24147" t="inlineStr">
        <is>
          <t>1966-01-20</t>
        </is>
      </c>
    </row>
    <row r="24148">
      <c r="A24148" s="1" t="n">
        <v>24147</v>
      </c>
      <c r="B24148">
        <f>TEXT(24147, "[$-0E0000]yyyy-mm-dd")</f>
        <v/>
      </c>
      <c r="C24148" t="inlineStr">
        <is>
          <t>1966-01-21</t>
        </is>
      </c>
    </row>
    <row r="24149">
      <c r="A24149" s="1" t="n">
        <v>24148</v>
      </c>
      <c r="B24149">
        <f>TEXT(24148, "[$-0E0000]yyyy-mm-dd")</f>
        <v/>
      </c>
      <c r="C24149" t="inlineStr">
        <is>
          <t>1966-01-22</t>
        </is>
      </c>
    </row>
    <row r="24150">
      <c r="A24150" s="1" t="n">
        <v>24149</v>
      </c>
      <c r="B24150">
        <f>TEXT(24149, "[$-0E0000]yyyy-mm-dd")</f>
        <v/>
      </c>
      <c r="C24150" t="inlineStr">
        <is>
          <t>1966-01-23</t>
        </is>
      </c>
    </row>
    <row r="24151">
      <c r="A24151" s="1" t="n">
        <v>24150</v>
      </c>
      <c r="B24151">
        <f>TEXT(24150, "[$-0E0000]yyyy-mm-dd")</f>
        <v/>
      </c>
      <c r="C24151" t="inlineStr">
        <is>
          <t>1966-01-24</t>
        </is>
      </c>
    </row>
    <row r="24152">
      <c r="A24152" s="1" t="n">
        <v>24151</v>
      </c>
      <c r="B24152">
        <f>TEXT(24151, "[$-0E0000]yyyy-mm-dd")</f>
        <v/>
      </c>
      <c r="C24152" t="inlineStr">
        <is>
          <t>1966-01-25</t>
        </is>
      </c>
    </row>
    <row r="24153">
      <c r="A24153" s="1" t="n">
        <v>24152</v>
      </c>
      <c r="B24153">
        <f>TEXT(24152, "[$-0E0000]yyyy-mm-dd")</f>
        <v/>
      </c>
      <c r="C24153" t="inlineStr">
        <is>
          <t>1966-01-26</t>
        </is>
      </c>
    </row>
    <row r="24154">
      <c r="A24154" s="1" t="n">
        <v>24153</v>
      </c>
      <c r="B24154">
        <f>TEXT(24153, "[$-0E0000]yyyy-mm-dd")</f>
        <v/>
      </c>
      <c r="C24154" t="inlineStr">
        <is>
          <t>1966-01-27</t>
        </is>
      </c>
    </row>
    <row r="24155">
      <c r="A24155" s="1" t="n">
        <v>24154</v>
      </c>
      <c r="B24155">
        <f>TEXT(24154, "[$-0E0000]yyyy-mm-dd")</f>
        <v/>
      </c>
      <c r="C24155" t="inlineStr">
        <is>
          <t>1966-01-28</t>
        </is>
      </c>
    </row>
    <row r="24156">
      <c r="A24156" s="1" t="n">
        <v>24155</v>
      </c>
      <c r="B24156">
        <f>TEXT(24155, "[$-0E0000]yyyy-mm-dd")</f>
        <v/>
      </c>
      <c r="C24156" t="inlineStr">
        <is>
          <t>1966-01-29</t>
        </is>
      </c>
    </row>
    <row r="24157">
      <c r="A24157" s="1" t="n">
        <v>24156</v>
      </c>
      <c r="B24157">
        <f>TEXT(24156, "[$-0E0000]yyyy-mm-dd")</f>
        <v/>
      </c>
      <c r="C24157" t="inlineStr">
        <is>
          <t>1966-01-30</t>
        </is>
      </c>
    </row>
    <row r="24158">
      <c r="A24158" s="1" t="n">
        <v>24157</v>
      </c>
      <c r="B24158">
        <f>TEXT(24157, "[$-0E0000]yyyy-mm-dd")</f>
        <v/>
      </c>
      <c r="C24158" t="inlineStr">
        <is>
          <t>1966-02-01</t>
        </is>
      </c>
    </row>
    <row r="24159">
      <c r="A24159" s="1" t="n">
        <v>24158</v>
      </c>
      <c r="B24159">
        <f>TEXT(24158, "[$-0E0000]yyyy-mm-dd")</f>
        <v/>
      </c>
      <c r="C24159" t="inlineStr">
        <is>
          <t>1966-02-02</t>
        </is>
      </c>
    </row>
    <row r="24160">
      <c r="A24160" s="1" t="n">
        <v>24159</v>
      </c>
      <c r="B24160">
        <f>TEXT(24159, "[$-0E0000]yyyy-mm-dd")</f>
        <v/>
      </c>
      <c r="C24160" t="inlineStr">
        <is>
          <t>1966-02-03</t>
        </is>
      </c>
    </row>
    <row r="24161">
      <c r="A24161" s="1" t="n">
        <v>24160</v>
      </c>
      <c r="B24161">
        <f>TEXT(24160, "[$-0E0000]yyyy-mm-dd")</f>
        <v/>
      </c>
      <c r="C24161" t="inlineStr">
        <is>
          <t>1966-02-04</t>
        </is>
      </c>
    </row>
    <row r="24162">
      <c r="A24162" s="1" t="n">
        <v>24161</v>
      </c>
      <c r="B24162">
        <f>TEXT(24161, "[$-0E0000]yyyy-mm-dd")</f>
        <v/>
      </c>
      <c r="C24162" t="inlineStr">
        <is>
          <t>1966-02-05</t>
        </is>
      </c>
    </row>
    <row r="24163">
      <c r="A24163" s="1" t="n">
        <v>24162</v>
      </c>
      <c r="B24163">
        <f>TEXT(24162, "[$-0E0000]yyyy-mm-dd")</f>
        <v/>
      </c>
      <c r="C24163" t="inlineStr">
        <is>
          <t>1966-02-06</t>
        </is>
      </c>
    </row>
    <row r="24164">
      <c r="A24164" s="1" t="n">
        <v>24163</v>
      </c>
      <c r="B24164">
        <f>TEXT(24163, "[$-0E0000]yyyy-mm-dd")</f>
        <v/>
      </c>
      <c r="C24164" t="inlineStr">
        <is>
          <t>1966-02-07</t>
        </is>
      </c>
    </row>
    <row r="24165">
      <c r="A24165" s="1" t="n">
        <v>24164</v>
      </c>
      <c r="B24165">
        <f>TEXT(24164, "[$-0E0000]yyyy-mm-dd")</f>
        <v/>
      </c>
      <c r="C24165" t="inlineStr">
        <is>
          <t>1966-02-08</t>
        </is>
      </c>
    </row>
    <row r="24166">
      <c r="A24166" s="1" t="n">
        <v>24165</v>
      </c>
      <c r="B24166">
        <f>TEXT(24165, "[$-0E0000]yyyy-mm-dd")</f>
        <v/>
      </c>
      <c r="C24166" t="inlineStr">
        <is>
          <t>1966-02-09</t>
        </is>
      </c>
    </row>
    <row r="24167">
      <c r="A24167" s="1" t="n">
        <v>24166</v>
      </c>
      <c r="B24167">
        <f>TEXT(24166, "[$-0E0000]yyyy-mm-dd")</f>
        <v/>
      </c>
      <c r="C24167" t="inlineStr">
        <is>
          <t>1966-02-10</t>
        </is>
      </c>
    </row>
    <row r="24168">
      <c r="A24168" s="1" t="n">
        <v>24167</v>
      </c>
      <c r="B24168">
        <f>TEXT(24167, "[$-0E0000]yyyy-mm-dd")</f>
        <v/>
      </c>
      <c r="C24168" t="inlineStr">
        <is>
          <t>1966-02-11</t>
        </is>
      </c>
    </row>
    <row r="24169">
      <c r="A24169" s="1" t="n">
        <v>24168</v>
      </c>
      <c r="B24169">
        <f>TEXT(24168, "[$-0E0000]yyyy-mm-dd")</f>
        <v/>
      </c>
      <c r="C24169" t="inlineStr">
        <is>
          <t>1966-02-12</t>
        </is>
      </c>
    </row>
    <row r="24170">
      <c r="A24170" s="1" t="n">
        <v>24169</v>
      </c>
      <c r="B24170">
        <f>TEXT(24169, "[$-0E0000]yyyy-mm-dd")</f>
        <v/>
      </c>
      <c r="C24170" t="inlineStr">
        <is>
          <t>1966-02-13</t>
        </is>
      </c>
    </row>
    <row r="24171">
      <c r="A24171" s="1" t="n">
        <v>24170</v>
      </c>
      <c r="B24171">
        <f>TEXT(24170, "[$-0E0000]yyyy-mm-dd")</f>
        <v/>
      </c>
      <c r="C24171" t="inlineStr">
        <is>
          <t>1966-02-14</t>
        </is>
      </c>
    </row>
    <row r="24172">
      <c r="A24172" s="1" t="n">
        <v>24171</v>
      </c>
      <c r="B24172">
        <f>TEXT(24171, "[$-0E0000]yyyy-mm-dd")</f>
        <v/>
      </c>
      <c r="C24172" t="inlineStr">
        <is>
          <t>1966-02-15</t>
        </is>
      </c>
    </row>
    <row r="24173">
      <c r="A24173" s="1" t="n">
        <v>24172</v>
      </c>
      <c r="B24173">
        <f>TEXT(24172, "[$-0E0000]yyyy-mm-dd")</f>
        <v/>
      </c>
      <c r="C24173" t="inlineStr">
        <is>
          <t>1966-02-16</t>
        </is>
      </c>
    </row>
    <row r="24174">
      <c r="A24174" s="1" t="n">
        <v>24173</v>
      </c>
      <c r="B24174">
        <f>TEXT(24173, "[$-0E0000]yyyy-mm-dd")</f>
        <v/>
      </c>
      <c r="C24174" t="inlineStr">
        <is>
          <t>1966-02-17</t>
        </is>
      </c>
    </row>
    <row r="24175">
      <c r="A24175" s="1" t="n">
        <v>24174</v>
      </c>
      <c r="B24175">
        <f>TEXT(24174, "[$-0E0000]yyyy-mm-dd")</f>
        <v/>
      </c>
      <c r="C24175" t="inlineStr">
        <is>
          <t>1966-02-18</t>
        </is>
      </c>
    </row>
    <row r="24176">
      <c r="A24176" s="1" t="n">
        <v>24175</v>
      </c>
      <c r="B24176">
        <f>TEXT(24175, "[$-0E0000]yyyy-mm-dd")</f>
        <v/>
      </c>
      <c r="C24176" t="inlineStr">
        <is>
          <t>1966-02-19</t>
        </is>
      </c>
    </row>
    <row r="24177">
      <c r="A24177" s="1" t="n">
        <v>24176</v>
      </c>
      <c r="B24177">
        <f>TEXT(24176, "[$-0E0000]yyyy-mm-dd")</f>
        <v/>
      </c>
      <c r="C24177" t="inlineStr">
        <is>
          <t>1966-02-20</t>
        </is>
      </c>
    </row>
    <row r="24178">
      <c r="A24178" s="1" t="n">
        <v>24177</v>
      </c>
      <c r="B24178">
        <f>TEXT(24177, "[$-0E0000]yyyy-mm-dd")</f>
        <v/>
      </c>
      <c r="C24178" t="inlineStr">
        <is>
          <t>1966-02-21</t>
        </is>
      </c>
    </row>
    <row r="24179">
      <c r="A24179" s="1" t="n">
        <v>24178</v>
      </c>
      <c r="B24179">
        <f>TEXT(24178, "[$-0E0000]yyyy-mm-dd")</f>
        <v/>
      </c>
      <c r="C24179" t="inlineStr">
        <is>
          <t>1966-02-22</t>
        </is>
      </c>
    </row>
    <row r="24180">
      <c r="A24180" s="1" t="n">
        <v>24179</v>
      </c>
      <c r="B24180">
        <f>TEXT(24179, "[$-0E0000]yyyy-mm-dd")</f>
        <v/>
      </c>
      <c r="C24180" t="inlineStr">
        <is>
          <t>1966-02-23</t>
        </is>
      </c>
    </row>
    <row r="24181">
      <c r="A24181" s="1" t="n">
        <v>24180</v>
      </c>
      <c r="B24181">
        <f>TEXT(24180, "[$-0E0000]yyyy-mm-dd")</f>
        <v/>
      </c>
      <c r="C24181" t="inlineStr">
        <is>
          <t>1966-02-24</t>
        </is>
      </c>
    </row>
    <row r="24182">
      <c r="A24182" s="1" t="n">
        <v>24181</v>
      </c>
      <c r="B24182">
        <f>TEXT(24181, "[$-0E0000]yyyy-mm-dd")</f>
        <v/>
      </c>
      <c r="C24182" t="inlineStr">
        <is>
          <t>1966-02-25</t>
        </is>
      </c>
    </row>
    <row r="24183">
      <c r="A24183" s="1" t="n">
        <v>24182</v>
      </c>
      <c r="B24183">
        <f>TEXT(24182, "[$-0E0000]yyyy-mm-dd")</f>
        <v/>
      </c>
      <c r="C24183" t="inlineStr">
        <is>
          <t>1966-02-26</t>
        </is>
      </c>
    </row>
    <row r="24184">
      <c r="A24184" s="1" t="n">
        <v>24183</v>
      </c>
      <c r="B24184">
        <f>TEXT(24183, "[$-0E0000]yyyy-mm-dd")</f>
        <v/>
      </c>
      <c r="C24184" t="inlineStr">
        <is>
          <t>1966-02-27</t>
        </is>
      </c>
    </row>
    <row r="24185">
      <c r="A24185" s="1" t="n">
        <v>24184</v>
      </c>
      <c r="B24185">
        <f>TEXT(24184, "[$-0E0000]yyyy-mm-dd")</f>
        <v/>
      </c>
      <c r="C24185" t="inlineStr">
        <is>
          <t>1966-02-28</t>
        </is>
      </c>
    </row>
    <row r="24186">
      <c r="A24186" s="1" t="n">
        <v>24185</v>
      </c>
      <c r="B24186">
        <f>TEXT(24185, "[$-0E0000]yyyy-mm-dd")</f>
        <v/>
      </c>
      <c r="C24186" t="inlineStr">
        <is>
          <t>1966-02-29</t>
        </is>
      </c>
    </row>
    <row r="24187">
      <c r="A24187" s="1" t="n">
        <v>24186</v>
      </c>
      <c r="B24187">
        <f>TEXT(24186, "[$-0E0000]yyyy-mm-dd")</f>
        <v/>
      </c>
      <c r="C24187" t="inlineStr">
        <is>
          <t>1966-02-30</t>
        </is>
      </c>
    </row>
    <row r="24188">
      <c r="A24188" s="1" t="n">
        <v>24187</v>
      </c>
      <c r="B24188">
        <f>TEXT(24187, "[$-0E0000]yyyy-mm-dd")</f>
        <v/>
      </c>
      <c r="C24188" t="inlineStr">
        <is>
          <t>1966-03-01</t>
        </is>
      </c>
    </row>
    <row r="24189">
      <c r="A24189" s="1" t="n">
        <v>24188</v>
      </c>
      <c r="B24189">
        <f>TEXT(24188, "[$-0E0000]yyyy-mm-dd")</f>
        <v/>
      </c>
      <c r="C24189" t="inlineStr">
        <is>
          <t>1966-03-02</t>
        </is>
      </c>
    </row>
    <row r="24190">
      <c r="A24190" s="1" t="n">
        <v>24189</v>
      </c>
      <c r="B24190">
        <f>TEXT(24189, "[$-0E0000]yyyy-mm-dd")</f>
        <v/>
      </c>
      <c r="C24190" t="inlineStr">
        <is>
          <t>1966-03-03</t>
        </is>
      </c>
    </row>
    <row r="24191">
      <c r="A24191" s="1" t="n">
        <v>24190</v>
      </c>
      <c r="B24191">
        <f>TEXT(24190, "[$-0E0000]yyyy-mm-dd")</f>
        <v/>
      </c>
      <c r="C24191" t="inlineStr">
        <is>
          <t>1966-03-04</t>
        </is>
      </c>
    </row>
    <row r="24192">
      <c r="A24192" s="1" t="n">
        <v>24191</v>
      </c>
      <c r="B24192">
        <f>TEXT(24191, "[$-0E0000]yyyy-mm-dd")</f>
        <v/>
      </c>
      <c r="C24192" t="inlineStr">
        <is>
          <t>1966-03-05</t>
        </is>
      </c>
    </row>
    <row r="24193">
      <c r="A24193" s="1" t="n">
        <v>24192</v>
      </c>
      <c r="B24193">
        <f>TEXT(24192, "[$-0E0000]yyyy-mm-dd")</f>
        <v/>
      </c>
      <c r="C24193" t="inlineStr">
        <is>
          <t>1966-03-06</t>
        </is>
      </c>
    </row>
    <row r="24194">
      <c r="A24194" s="1" t="n">
        <v>24193</v>
      </c>
      <c r="B24194">
        <f>TEXT(24193, "[$-0E0000]yyyy-mm-dd")</f>
        <v/>
      </c>
      <c r="C24194" t="inlineStr">
        <is>
          <t>1966-03-07</t>
        </is>
      </c>
    </row>
    <row r="24195">
      <c r="A24195" s="1" t="n">
        <v>24194</v>
      </c>
      <c r="B24195">
        <f>TEXT(24194, "[$-0E0000]yyyy-mm-dd")</f>
        <v/>
      </c>
      <c r="C24195" t="inlineStr">
        <is>
          <t>1966-03-08</t>
        </is>
      </c>
    </row>
    <row r="24196">
      <c r="A24196" s="1" t="n">
        <v>24195</v>
      </c>
      <c r="B24196">
        <f>TEXT(24195, "[$-0E0000]yyyy-mm-dd")</f>
        <v/>
      </c>
      <c r="C24196" t="inlineStr">
        <is>
          <t>1966-03-09</t>
        </is>
      </c>
    </row>
    <row r="24197">
      <c r="A24197" s="1" t="n">
        <v>24196</v>
      </c>
      <c r="B24197">
        <f>TEXT(24196, "[$-0E0000]yyyy-mm-dd")</f>
        <v/>
      </c>
      <c r="C24197" t="inlineStr">
        <is>
          <t>1966-03-10</t>
        </is>
      </c>
    </row>
    <row r="24198">
      <c r="A24198" s="1" t="n">
        <v>24197</v>
      </c>
      <c r="B24198">
        <f>TEXT(24197, "[$-0E0000]yyyy-mm-dd")</f>
        <v/>
      </c>
      <c r="C24198" t="inlineStr">
        <is>
          <t>1966-03-11</t>
        </is>
      </c>
    </row>
    <row r="24199">
      <c r="A24199" s="1" t="n">
        <v>24198</v>
      </c>
      <c r="B24199">
        <f>TEXT(24198, "[$-0E0000]yyyy-mm-dd")</f>
        <v/>
      </c>
      <c r="C24199" t="inlineStr">
        <is>
          <t>1966-03-12</t>
        </is>
      </c>
    </row>
    <row r="24200">
      <c r="A24200" s="1" t="n">
        <v>24199</v>
      </c>
      <c r="B24200">
        <f>TEXT(24199, "[$-0E0000]yyyy-mm-dd")</f>
        <v/>
      </c>
      <c r="C24200" t="inlineStr">
        <is>
          <t>1966-03-13</t>
        </is>
      </c>
    </row>
    <row r="24201">
      <c r="A24201" s="1" t="n">
        <v>24200</v>
      </c>
      <c r="B24201">
        <f>TEXT(24200, "[$-0E0000]yyyy-mm-dd")</f>
        <v/>
      </c>
      <c r="C24201" t="inlineStr">
        <is>
          <t>1966-03-14</t>
        </is>
      </c>
    </row>
    <row r="24202">
      <c r="A24202" s="1" t="n">
        <v>24201</v>
      </c>
      <c r="B24202">
        <f>TEXT(24201, "[$-0E0000]yyyy-mm-dd")</f>
        <v/>
      </c>
      <c r="C24202" t="inlineStr">
        <is>
          <t>1966-03-15</t>
        </is>
      </c>
    </row>
    <row r="24203">
      <c r="A24203" s="1" t="n">
        <v>24202</v>
      </c>
      <c r="B24203">
        <f>TEXT(24202, "[$-0E0000]yyyy-mm-dd")</f>
        <v/>
      </c>
      <c r="C24203" t="inlineStr">
        <is>
          <t>1966-03-16</t>
        </is>
      </c>
    </row>
    <row r="24204">
      <c r="A24204" s="1" t="n">
        <v>24203</v>
      </c>
      <c r="B24204">
        <f>TEXT(24203, "[$-0E0000]yyyy-mm-dd")</f>
        <v/>
      </c>
      <c r="C24204" t="inlineStr">
        <is>
          <t>1966-03-17</t>
        </is>
      </c>
    </row>
    <row r="24205">
      <c r="A24205" s="1" t="n">
        <v>24204</v>
      </c>
      <c r="B24205">
        <f>TEXT(24204, "[$-0E0000]yyyy-mm-dd")</f>
        <v/>
      </c>
      <c r="C24205" t="inlineStr">
        <is>
          <t>1966-03-18</t>
        </is>
      </c>
    </row>
    <row r="24206">
      <c r="A24206" s="1" t="n">
        <v>24205</v>
      </c>
      <c r="B24206">
        <f>TEXT(24205, "[$-0E0000]yyyy-mm-dd")</f>
        <v/>
      </c>
      <c r="C24206" t="inlineStr">
        <is>
          <t>1966-03-19</t>
        </is>
      </c>
    </row>
    <row r="24207">
      <c r="A24207" s="1" t="n">
        <v>24206</v>
      </c>
      <c r="B24207">
        <f>TEXT(24206, "[$-0E0000]yyyy-mm-dd")</f>
        <v/>
      </c>
      <c r="C24207" t="inlineStr">
        <is>
          <t>1966-03-20</t>
        </is>
      </c>
    </row>
    <row r="24208">
      <c r="A24208" s="1" t="n">
        <v>24207</v>
      </c>
      <c r="B24208">
        <f>TEXT(24207, "[$-0E0000]yyyy-mm-dd")</f>
        <v/>
      </c>
      <c r="C24208" t="inlineStr">
        <is>
          <t>1966-03-21</t>
        </is>
      </c>
    </row>
    <row r="24209">
      <c r="A24209" s="1" t="n">
        <v>24208</v>
      </c>
      <c r="B24209">
        <f>TEXT(24208, "[$-0E0000]yyyy-mm-dd")</f>
        <v/>
      </c>
      <c r="C24209" t="inlineStr">
        <is>
          <t>1966-03-22</t>
        </is>
      </c>
    </row>
    <row r="24210">
      <c r="A24210" s="1" t="n">
        <v>24209</v>
      </c>
      <c r="B24210">
        <f>TEXT(24209, "[$-0E0000]yyyy-mm-dd")</f>
        <v/>
      </c>
      <c r="C24210" t="inlineStr">
        <is>
          <t>1966-03-23</t>
        </is>
      </c>
    </row>
    <row r="24211">
      <c r="A24211" s="1" t="n">
        <v>24210</v>
      </c>
      <c r="B24211">
        <f>TEXT(24210, "[$-0E0000]yyyy-mm-dd")</f>
        <v/>
      </c>
      <c r="C24211" t="inlineStr">
        <is>
          <t>1966-03-24</t>
        </is>
      </c>
    </row>
    <row r="24212">
      <c r="A24212" s="1" t="n">
        <v>24211</v>
      </c>
      <c r="B24212">
        <f>TEXT(24211, "[$-0E0000]yyyy-mm-dd")</f>
        <v/>
      </c>
      <c r="C24212" t="inlineStr">
        <is>
          <t>1966-03-25</t>
        </is>
      </c>
    </row>
    <row r="24213">
      <c r="A24213" s="1" t="n">
        <v>24212</v>
      </c>
      <c r="B24213">
        <f>TEXT(24212, "[$-0E0000]yyyy-mm-dd")</f>
        <v/>
      </c>
      <c r="C24213" t="inlineStr">
        <is>
          <t>1966-03-26</t>
        </is>
      </c>
    </row>
    <row r="24214">
      <c r="A24214" s="1" t="n">
        <v>24213</v>
      </c>
      <c r="B24214">
        <f>TEXT(24213, "[$-0E0000]yyyy-mm-dd")</f>
        <v/>
      </c>
      <c r="C24214" t="inlineStr">
        <is>
          <t>1966-03-27</t>
        </is>
      </c>
    </row>
    <row r="24215">
      <c r="A24215" s="1" t="n">
        <v>24214</v>
      </c>
      <c r="B24215">
        <f>TEXT(24214, "[$-0E0000]yyyy-mm-dd")</f>
        <v/>
      </c>
      <c r="C24215" t="inlineStr">
        <is>
          <t>1966-03-28</t>
        </is>
      </c>
    </row>
    <row r="24216">
      <c r="A24216" s="1" t="n">
        <v>24215</v>
      </c>
      <c r="B24216">
        <f>TEXT(24215, "[$-0E0000]yyyy-mm-dd")</f>
        <v/>
      </c>
      <c r="C24216" t="inlineStr">
        <is>
          <t>1966-03-29</t>
        </is>
      </c>
    </row>
    <row r="24217">
      <c r="A24217" s="1" t="n">
        <v>24216</v>
      </c>
      <c r="B24217">
        <f>TEXT(24216, "[$-0E0000]yyyy-mm-dd")</f>
        <v/>
      </c>
      <c r="C24217" t="inlineStr">
        <is>
          <t>1966-03-30</t>
        </is>
      </c>
    </row>
    <row r="24218">
      <c r="A24218" s="1" t="n">
        <v>24217</v>
      </c>
      <c r="B24218">
        <f>TEXT(24217, "[$-0E0000]yyyy-mm-dd")</f>
        <v/>
      </c>
      <c r="C24218" t="inlineStr">
        <is>
          <t>1966-03-01</t>
        </is>
      </c>
    </row>
    <row r="24219">
      <c r="A24219" s="1" t="n">
        <v>24218</v>
      </c>
      <c r="B24219">
        <f>TEXT(24218, "[$-0E0000]yyyy-mm-dd")</f>
        <v/>
      </c>
      <c r="C24219" t="inlineStr">
        <is>
          <t>1966-03-02</t>
        </is>
      </c>
    </row>
    <row r="24220">
      <c r="A24220" s="1" t="n">
        <v>24219</v>
      </c>
      <c r="B24220">
        <f>TEXT(24219, "[$-0E0000]yyyy-mm-dd")</f>
        <v/>
      </c>
      <c r="C24220" t="inlineStr">
        <is>
          <t>1966-03-03</t>
        </is>
      </c>
    </row>
    <row r="24221">
      <c r="A24221" s="1" t="n">
        <v>24220</v>
      </c>
      <c r="B24221">
        <f>TEXT(24220, "[$-0E0000]yyyy-mm-dd")</f>
        <v/>
      </c>
      <c r="C24221" t="inlineStr">
        <is>
          <t>1966-03-04</t>
        </is>
      </c>
    </row>
    <row r="24222">
      <c r="A24222" s="1" t="n">
        <v>24221</v>
      </c>
      <c r="B24222">
        <f>TEXT(24221, "[$-0E0000]yyyy-mm-dd")</f>
        <v/>
      </c>
      <c r="C24222" t="inlineStr">
        <is>
          <t>1966-03-05</t>
        </is>
      </c>
    </row>
    <row r="24223">
      <c r="A24223" s="1" t="n">
        <v>24222</v>
      </c>
      <c r="B24223">
        <f>TEXT(24222, "[$-0E0000]yyyy-mm-dd")</f>
        <v/>
      </c>
      <c r="C24223" t="inlineStr">
        <is>
          <t>1966-03-06</t>
        </is>
      </c>
    </row>
    <row r="24224">
      <c r="A24224" s="1" t="n">
        <v>24223</v>
      </c>
      <c r="B24224">
        <f>TEXT(24223, "[$-0E0000]yyyy-mm-dd")</f>
        <v/>
      </c>
      <c r="C24224" t="inlineStr">
        <is>
          <t>1966-03-07</t>
        </is>
      </c>
    </row>
    <row r="24225">
      <c r="A24225" s="1" t="n">
        <v>24224</v>
      </c>
      <c r="B24225">
        <f>TEXT(24224, "[$-0E0000]yyyy-mm-dd")</f>
        <v/>
      </c>
      <c r="C24225" t="inlineStr">
        <is>
          <t>1966-03-08</t>
        </is>
      </c>
    </row>
    <row r="24226">
      <c r="A24226" s="1" t="n">
        <v>24225</v>
      </c>
      <c r="B24226">
        <f>TEXT(24225, "[$-0E0000]yyyy-mm-dd")</f>
        <v/>
      </c>
      <c r="C24226" t="inlineStr">
        <is>
          <t>1966-03-09</t>
        </is>
      </c>
    </row>
    <row r="24227">
      <c r="A24227" s="1" t="n">
        <v>24226</v>
      </c>
      <c r="B24227">
        <f>TEXT(24226, "[$-0E0000]yyyy-mm-dd")</f>
        <v/>
      </c>
      <c r="C24227" t="inlineStr">
        <is>
          <t>1966-03-10</t>
        </is>
      </c>
    </row>
    <row r="24228">
      <c r="A24228" s="1" t="n">
        <v>24227</v>
      </c>
      <c r="B24228">
        <f>TEXT(24227, "[$-0E0000]yyyy-mm-dd")</f>
        <v/>
      </c>
      <c r="C24228" t="inlineStr">
        <is>
          <t>1966-03-11</t>
        </is>
      </c>
    </row>
    <row r="24229">
      <c r="A24229" s="1" t="n">
        <v>24228</v>
      </c>
      <c r="B24229">
        <f>TEXT(24228, "[$-0E0000]yyyy-mm-dd")</f>
        <v/>
      </c>
      <c r="C24229" t="inlineStr">
        <is>
          <t>1966-03-12</t>
        </is>
      </c>
    </row>
    <row r="24230">
      <c r="A24230" s="1" t="n">
        <v>24229</v>
      </c>
      <c r="B24230">
        <f>TEXT(24229, "[$-0E0000]yyyy-mm-dd")</f>
        <v/>
      </c>
      <c r="C24230" t="inlineStr">
        <is>
          <t>1966-03-13</t>
        </is>
      </c>
    </row>
    <row r="24231">
      <c r="A24231" s="1" t="n">
        <v>24230</v>
      </c>
      <c r="B24231">
        <f>TEXT(24230, "[$-0E0000]yyyy-mm-dd")</f>
        <v/>
      </c>
      <c r="C24231" t="inlineStr">
        <is>
          <t>1966-03-14</t>
        </is>
      </c>
    </row>
    <row r="24232">
      <c r="A24232" s="1" t="n">
        <v>24231</v>
      </c>
      <c r="B24232">
        <f>TEXT(24231, "[$-0E0000]yyyy-mm-dd")</f>
        <v/>
      </c>
      <c r="C24232" t="inlineStr">
        <is>
          <t>1966-03-15</t>
        </is>
      </c>
    </row>
    <row r="24233">
      <c r="A24233" s="1" t="n">
        <v>24232</v>
      </c>
      <c r="B24233">
        <f>TEXT(24232, "[$-0E0000]yyyy-mm-dd")</f>
        <v/>
      </c>
      <c r="C24233" t="inlineStr">
        <is>
          <t>1966-03-16</t>
        </is>
      </c>
    </row>
    <row r="24234">
      <c r="A24234" s="1" t="n">
        <v>24233</v>
      </c>
      <c r="B24234">
        <f>TEXT(24233, "[$-0E0000]yyyy-mm-dd")</f>
        <v/>
      </c>
      <c r="C24234" t="inlineStr">
        <is>
          <t>1966-03-17</t>
        </is>
      </c>
    </row>
    <row r="24235">
      <c r="A24235" s="1" t="n">
        <v>24234</v>
      </c>
      <c r="B24235">
        <f>TEXT(24234, "[$-0E0000]yyyy-mm-dd")</f>
        <v/>
      </c>
      <c r="C24235" t="inlineStr">
        <is>
          <t>1966-03-18</t>
        </is>
      </c>
    </row>
    <row r="24236">
      <c r="A24236" s="1" t="n">
        <v>24235</v>
      </c>
      <c r="B24236">
        <f>TEXT(24235, "[$-0E0000]yyyy-mm-dd")</f>
        <v/>
      </c>
      <c r="C24236" t="inlineStr">
        <is>
          <t>1966-03-19</t>
        </is>
      </c>
    </row>
    <row r="24237">
      <c r="A24237" s="1" t="n">
        <v>24236</v>
      </c>
      <c r="B24237">
        <f>TEXT(24236, "[$-0E0000]yyyy-mm-dd")</f>
        <v/>
      </c>
      <c r="C24237" t="inlineStr">
        <is>
          <t>1966-03-20</t>
        </is>
      </c>
    </row>
    <row r="24238">
      <c r="A24238" s="1" t="n">
        <v>24237</v>
      </c>
      <c r="B24238">
        <f>TEXT(24237, "[$-0E0000]yyyy-mm-dd")</f>
        <v/>
      </c>
      <c r="C24238" t="inlineStr">
        <is>
          <t>1966-03-21</t>
        </is>
      </c>
    </row>
    <row r="24239">
      <c r="A24239" s="1" t="n">
        <v>24238</v>
      </c>
      <c r="B24239">
        <f>TEXT(24238, "[$-0E0000]yyyy-mm-dd")</f>
        <v/>
      </c>
      <c r="C24239" t="inlineStr">
        <is>
          <t>1966-03-22</t>
        </is>
      </c>
    </row>
    <row r="24240">
      <c r="A24240" s="1" t="n">
        <v>24239</v>
      </c>
      <c r="B24240">
        <f>TEXT(24239, "[$-0E0000]yyyy-mm-dd")</f>
        <v/>
      </c>
      <c r="C24240" t="inlineStr">
        <is>
          <t>1966-03-23</t>
        </is>
      </c>
    </row>
    <row r="24241">
      <c r="A24241" s="1" t="n">
        <v>24240</v>
      </c>
      <c r="B24241">
        <f>TEXT(24240, "[$-0E0000]yyyy-mm-dd")</f>
        <v/>
      </c>
      <c r="C24241" t="inlineStr">
        <is>
          <t>1966-03-24</t>
        </is>
      </c>
    </row>
    <row r="24242">
      <c r="A24242" s="1" t="n">
        <v>24241</v>
      </c>
      <c r="B24242">
        <f>TEXT(24241, "[$-0E0000]yyyy-mm-dd")</f>
        <v/>
      </c>
      <c r="C24242" t="inlineStr">
        <is>
          <t>1966-03-25</t>
        </is>
      </c>
    </row>
    <row r="24243">
      <c r="A24243" s="1" t="n">
        <v>24242</v>
      </c>
      <c r="B24243">
        <f>TEXT(24242, "[$-0E0000]yyyy-mm-dd")</f>
        <v/>
      </c>
      <c r="C24243" t="inlineStr">
        <is>
          <t>1966-03-26</t>
        </is>
      </c>
    </row>
    <row r="24244">
      <c r="A24244" s="1" t="n">
        <v>24243</v>
      </c>
      <c r="B24244">
        <f>TEXT(24243, "[$-0E0000]yyyy-mm-dd")</f>
        <v/>
      </c>
      <c r="C24244" t="inlineStr">
        <is>
          <t>1966-03-27</t>
        </is>
      </c>
    </row>
    <row r="24245">
      <c r="A24245" s="1" t="n">
        <v>24244</v>
      </c>
      <c r="B24245">
        <f>TEXT(24244, "[$-0E0000]yyyy-mm-dd")</f>
        <v/>
      </c>
      <c r="C24245" t="inlineStr">
        <is>
          <t>1966-03-28</t>
        </is>
      </c>
    </row>
    <row r="24246">
      <c r="A24246" s="1" t="n">
        <v>24245</v>
      </c>
      <c r="B24246">
        <f>TEXT(24245, "[$-0E0000]yyyy-mm-dd")</f>
        <v/>
      </c>
      <c r="C24246" t="inlineStr">
        <is>
          <t>1966-03-29</t>
        </is>
      </c>
    </row>
    <row r="24247">
      <c r="A24247" s="1" t="n">
        <v>24246</v>
      </c>
      <c r="B24247">
        <f>TEXT(24246, "[$-0E0000]yyyy-mm-dd")</f>
        <v/>
      </c>
      <c r="C24247" t="inlineStr">
        <is>
          <t>1966-04-01</t>
        </is>
      </c>
    </row>
    <row r="24248">
      <c r="A24248" s="1" t="n">
        <v>24247</v>
      </c>
      <c r="B24248">
        <f>TEXT(24247, "[$-0E0000]yyyy-mm-dd")</f>
        <v/>
      </c>
      <c r="C24248" t="inlineStr">
        <is>
          <t>1966-04-02</t>
        </is>
      </c>
    </row>
    <row r="24249">
      <c r="A24249" s="1" t="n">
        <v>24248</v>
      </c>
      <c r="B24249">
        <f>TEXT(24248, "[$-0E0000]yyyy-mm-dd")</f>
        <v/>
      </c>
      <c r="C24249" t="inlineStr">
        <is>
          <t>1966-04-03</t>
        </is>
      </c>
    </row>
    <row r="24250">
      <c r="A24250" s="1" t="n">
        <v>24249</v>
      </c>
      <c r="B24250">
        <f>TEXT(24249, "[$-0E0000]yyyy-mm-dd")</f>
        <v/>
      </c>
      <c r="C24250" t="inlineStr">
        <is>
          <t>1966-04-04</t>
        </is>
      </c>
    </row>
    <row r="24251">
      <c r="A24251" s="1" t="n">
        <v>24250</v>
      </c>
      <c r="B24251">
        <f>TEXT(24250, "[$-0E0000]yyyy-mm-dd")</f>
        <v/>
      </c>
      <c r="C24251" t="inlineStr">
        <is>
          <t>1966-04-05</t>
        </is>
      </c>
    </row>
    <row r="24252">
      <c r="A24252" s="1" t="n">
        <v>24251</v>
      </c>
      <c r="B24252">
        <f>TEXT(24251, "[$-0E0000]yyyy-mm-dd")</f>
        <v/>
      </c>
      <c r="C24252" t="inlineStr">
        <is>
          <t>1966-04-06</t>
        </is>
      </c>
    </row>
    <row r="24253">
      <c r="A24253" s="1" t="n">
        <v>24252</v>
      </c>
      <c r="B24253">
        <f>TEXT(24252, "[$-0E0000]yyyy-mm-dd")</f>
        <v/>
      </c>
      <c r="C24253" t="inlineStr">
        <is>
          <t>1966-04-07</t>
        </is>
      </c>
    </row>
    <row r="24254">
      <c r="A24254" s="1" t="n">
        <v>24253</v>
      </c>
      <c r="B24254">
        <f>TEXT(24253, "[$-0E0000]yyyy-mm-dd")</f>
        <v/>
      </c>
      <c r="C24254" t="inlineStr">
        <is>
          <t>1966-04-08</t>
        </is>
      </c>
    </row>
    <row r="24255">
      <c r="A24255" s="1" t="n">
        <v>24254</v>
      </c>
      <c r="B24255">
        <f>TEXT(24254, "[$-0E0000]yyyy-mm-dd")</f>
        <v/>
      </c>
      <c r="C24255" t="inlineStr">
        <is>
          <t>1966-04-09</t>
        </is>
      </c>
    </row>
    <row r="24256">
      <c r="A24256" s="1" t="n">
        <v>24255</v>
      </c>
      <c r="B24256">
        <f>TEXT(24255, "[$-0E0000]yyyy-mm-dd")</f>
        <v/>
      </c>
      <c r="C24256" t="inlineStr">
        <is>
          <t>1966-04-10</t>
        </is>
      </c>
    </row>
    <row r="24257">
      <c r="A24257" s="1" t="n">
        <v>24256</v>
      </c>
      <c r="B24257">
        <f>TEXT(24256, "[$-0E0000]yyyy-mm-dd")</f>
        <v/>
      </c>
      <c r="C24257" t="inlineStr">
        <is>
          <t>1966-04-11</t>
        </is>
      </c>
    </row>
    <row r="24258">
      <c r="A24258" s="1" t="n">
        <v>24257</v>
      </c>
      <c r="B24258">
        <f>TEXT(24257, "[$-0E0000]yyyy-mm-dd")</f>
        <v/>
      </c>
      <c r="C24258" t="inlineStr">
        <is>
          <t>1966-04-12</t>
        </is>
      </c>
    </row>
    <row r="24259">
      <c r="A24259" s="1" t="n">
        <v>24258</v>
      </c>
      <c r="B24259">
        <f>TEXT(24258, "[$-0E0000]yyyy-mm-dd")</f>
        <v/>
      </c>
      <c r="C24259" t="inlineStr">
        <is>
          <t>1966-04-13</t>
        </is>
      </c>
    </row>
    <row r="24260">
      <c r="A24260" s="1" t="n">
        <v>24259</v>
      </c>
      <c r="B24260">
        <f>TEXT(24259, "[$-0E0000]yyyy-mm-dd")</f>
        <v/>
      </c>
      <c r="C24260" t="inlineStr">
        <is>
          <t>1966-04-14</t>
        </is>
      </c>
    </row>
    <row r="24261">
      <c r="A24261" s="1" t="n">
        <v>24260</v>
      </c>
      <c r="B24261">
        <f>TEXT(24260, "[$-0E0000]yyyy-mm-dd")</f>
        <v/>
      </c>
      <c r="C24261" t="inlineStr">
        <is>
          <t>1966-04-15</t>
        </is>
      </c>
    </row>
    <row r="24262">
      <c r="A24262" s="1" t="n">
        <v>24261</v>
      </c>
      <c r="B24262">
        <f>TEXT(24261, "[$-0E0000]yyyy-mm-dd")</f>
        <v/>
      </c>
      <c r="C24262" t="inlineStr">
        <is>
          <t>1966-04-16</t>
        </is>
      </c>
    </row>
    <row r="24263">
      <c r="A24263" s="1" t="n">
        <v>24262</v>
      </c>
      <c r="B24263">
        <f>TEXT(24262, "[$-0E0000]yyyy-mm-dd")</f>
        <v/>
      </c>
      <c r="C24263" t="inlineStr">
        <is>
          <t>1966-04-17</t>
        </is>
      </c>
    </row>
    <row r="24264">
      <c r="A24264" s="1" t="n">
        <v>24263</v>
      </c>
      <c r="B24264">
        <f>TEXT(24263, "[$-0E0000]yyyy-mm-dd")</f>
        <v/>
      </c>
      <c r="C24264" t="inlineStr">
        <is>
          <t>1966-04-18</t>
        </is>
      </c>
    </row>
    <row r="24265">
      <c r="A24265" s="1" t="n">
        <v>24264</v>
      </c>
      <c r="B24265">
        <f>TEXT(24264, "[$-0E0000]yyyy-mm-dd")</f>
        <v/>
      </c>
      <c r="C24265" t="inlineStr">
        <is>
          <t>1966-04-19</t>
        </is>
      </c>
    </row>
    <row r="24266">
      <c r="A24266" s="1" t="n">
        <v>24265</v>
      </c>
      <c r="B24266">
        <f>TEXT(24265, "[$-0E0000]yyyy-mm-dd")</f>
        <v/>
      </c>
      <c r="C24266" t="inlineStr">
        <is>
          <t>1966-04-20</t>
        </is>
      </c>
    </row>
    <row r="24267">
      <c r="A24267" s="1" t="n">
        <v>24266</v>
      </c>
      <c r="B24267">
        <f>TEXT(24266, "[$-0E0000]yyyy-mm-dd")</f>
        <v/>
      </c>
      <c r="C24267" t="inlineStr">
        <is>
          <t>1966-04-21</t>
        </is>
      </c>
    </row>
    <row r="24268">
      <c r="A24268" s="1" t="n">
        <v>24267</v>
      </c>
      <c r="B24268">
        <f>TEXT(24267, "[$-0E0000]yyyy-mm-dd")</f>
        <v/>
      </c>
      <c r="C24268" t="inlineStr">
        <is>
          <t>1966-04-22</t>
        </is>
      </c>
    </row>
    <row r="24269">
      <c r="A24269" s="1" t="n">
        <v>24268</v>
      </c>
      <c r="B24269">
        <f>TEXT(24268, "[$-0E0000]yyyy-mm-dd")</f>
        <v/>
      </c>
      <c r="C24269" t="inlineStr">
        <is>
          <t>1966-04-23</t>
        </is>
      </c>
    </row>
    <row r="24270">
      <c r="A24270" s="1" t="n">
        <v>24269</v>
      </c>
      <c r="B24270">
        <f>TEXT(24269, "[$-0E0000]yyyy-mm-dd")</f>
        <v/>
      </c>
      <c r="C24270" t="inlineStr">
        <is>
          <t>1966-04-24</t>
        </is>
      </c>
    </row>
    <row r="24271">
      <c r="A24271" s="1" t="n">
        <v>24270</v>
      </c>
      <c r="B24271">
        <f>TEXT(24270, "[$-0E0000]yyyy-mm-dd")</f>
        <v/>
      </c>
      <c r="C24271" t="inlineStr">
        <is>
          <t>1966-04-25</t>
        </is>
      </c>
    </row>
    <row r="24272">
      <c r="A24272" s="1" t="n">
        <v>24271</v>
      </c>
      <c r="B24272">
        <f>TEXT(24271, "[$-0E0000]yyyy-mm-dd")</f>
        <v/>
      </c>
      <c r="C24272" t="inlineStr">
        <is>
          <t>1966-04-26</t>
        </is>
      </c>
    </row>
    <row r="24273">
      <c r="A24273" s="1" t="n">
        <v>24272</v>
      </c>
      <c r="B24273">
        <f>TEXT(24272, "[$-0E0000]yyyy-mm-dd")</f>
        <v/>
      </c>
      <c r="C24273" t="inlineStr">
        <is>
          <t>1966-04-27</t>
        </is>
      </c>
    </row>
    <row r="24274">
      <c r="A24274" s="1" t="n">
        <v>24273</v>
      </c>
      <c r="B24274">
        <f>TEXT(24273, "[$-0E0000]yyyy-mm-dd")</f>
        <v/>
      </c>
      <c r="C24274" t="inlineStr">
        <is>
          <t>1966-04-28</t>
        </is>
      </c>
    </row>
    <row r="24275">
      <c r="A24275" s="1" t="n">
        <v>24274</v>
      </c>
      <c r="B24275">
        <f>TEXT(24274, "[$-0E0000]yyyy-mm-dd")</f>
        <v/>
      </c>
      <c r="C24275" t="inlineStr">
        <is>
          <t>1966-04-29</t>
        </is>
      </c>
    </row>
    <row r="24276">
      <c r="A24276" s="1" t="n">
        <v>24275</v>
      </c>
      <c r="B24276">
        <f>TEXT(24275, "[$-0E0000]yyyy-mm-dd")</f>
        <v/>
      </c>
      <c r="C24276" t="inlineStr">
        <is>
          <t>1966-04-30</t>
        </is>
      </c>
    </row>
    <row r="24277">
      <c r="A24277" s="1" t="n">
        <v>24276</v>
      </c>
      <c r="B24277">
        <f>TEXT(24276, "[$-0E0000]yyyy-mm-dd")</f>
        <v/>
      </c>
      <c r="C24277" t="inlineStr">
        <is>
          <t>1966-05-01</t>
        </is>
      </c>
    </row>
    <row r="24278">
      <c r="A24278" s="1" t="n">
        <v>24277</v>
      </c>
      <c r="B24278">
        <f>TEXT(24277, "[$-0E0000]yyyy-mm-dd")</f>
        <v/>
      </c>
      <c r="C24278" t="inlineStr">
        <is>
          <t>1966-05-02</t>
        </is>
      </c>
    </row>
    <row r="24279">
      <c r="A24279" s="1" t="n">
        <v>24278</v>
      </c>
      <c r="B24279">
        <f>TEXT(24278, "[$-0E0000]yyyy-mm-dd")</f>
        <v/>
      </c>
      <c r="C24279" t="inlineStr">
        <is>
          <t>1966-05-03</t>
        </is>
      </c>
    </row>
    <row r="24280">
      <c r="A24280" s="1" t="n">
        <v>24279</v>
      </c>
      <c r="B24280">
        <f>TEXT(24279, "[$-0E0000]yyyy-mm-dd")</f>
        <v/>
      </c>
      <c r="C24280" t="inlineStr">
        <is>
          <t>1966-05-04</t>
        </is>
      </c>
    </row>
    <row r="24281">
      <c r="A24281" s="1" t="n">
        <v>24280</v>
      </c>
      <c r="B24281">
        <f>TEXT(24280, "[$-0E0000]yyyy-mm-dd")</f>
        <v/>
      </c>
      <c r="C24281" t="inlineStr">
        <is>
          <t>1966-05-05</t>
        </is>
      </c>
    </row>
    <row r="24282">
      <c r="A24282" s="1" t="n">
        <v>24281</v>
      </c>
      <c r="B24282">
        <f>TEXT(24281, "[$-0E0000]yyyy-mm-dd")</f>
        <v/>
      </c>
      <c r="C24282" t="inlineStr">
        <is>
          <t>1966-05-06</t>
        </is>
      </c>
    </row>
    <row r="24283">
      <c r="A24283" s="1" t="n">
        <v>24282</v>
      </c>
      <c r="B24283">
        <f>TEXT(24282, "[$-0E0000]yyyy-mm-dd")</f>
        <v/>
      </c>
      <c r="C24283" t="inlineStr">
        <is>
          <t>1966-05-07</t>
        </is>
      </c>
    </row>
    <row r="24284">
      <c r="A24284" s="1" t="n">
        <v>24283</v>
      </c>
      <c r="B24284">
        <f>TEXT(24283, "[$-0E0000]yyyy-mm-dd")</f>
        <v/>
      </c>
      <c r="C24284" t="inlineStr">
        <is>
          <t>1966-05-08</t>
        </is>
      </c>
    </row>
    <row r="24285">
      <c r="A24285" s="1" t="n">
        <v>24284</v>
      </c>
      <c r="B24285">
        <f>TEXT(24284, "[$-0E0000]yyyy-mm-dd")</f>
        <v/>
      </c>
      <c r="C24285" t="inlineStr">
        <is>
          <t>1966-05-09</t>
        </is>
      </c>
    </row>
    <row r="24286">
      <c r="A24286" s="1" t="n">
        <v>24285</v>
      </c>
      <c r="B24286">
        <f>TEXT(24285, "[$-0E0000]yyyy-mm-dd")</f>
        <v/>
      </c>
      <c r="C24286" t="inlineStr">
        <is>
          <t>1966-05-10</t>
        </is>
      </c>
    </row>
    <row r="24287">
      <c r="A24287" s="1" t="n">
        <v>24286</v>
      </c>
      <c r="B24287">
        <f>TEXT(24286, "[$-0E0000]yyyy-mm-dd")</f>
        <v/>
      </c>
      <c r="C24287" t="inlineStr">
        <is>
          <t>1966-05-11</t>
        </is>
      </c>
    </row>
    <row r="24288">
      <c r="A24288" s="1" t="n">
        <v>24287</v>
      </c>
      <c r="B24288">
        <f>TEXT(24287, "[$-0E0000]yyyy-mm-dd")</f>
        <v/>
      </c>
      <c r="C24288" t="inlineStr">
        <is>
          <t>1966-05-12</t>
        </is>
      </c>
    </row>
    <row r="24289">
      <c r="A24289" s="1" t="n">
        <v>24288</v>
      </c>
      <c r="B24289">
        <f>TEXT(24288, "[$-0E0000]yyyy-mm-dd")</f>
        <v/>
      </c>
      <c r="C24289" t="inlineStr">
        <is>
          <t>1966-05-13</t>
        </is>
      </c>
    </row>
    <row r="24290">
      <c r="A24290" s="1" t="n">
        <v>24289</v>
      </c>
      <c r="B24290">
        <f>TEXT(24289, "[$-0E0000]yyyy-mm-dd")</f>
        <v/>
      </c>
      <c r="C24290" t="inlineStr">
        <is>
          <t>1966-05-14</t>
        </is>
      </c>
    </row>
    <row r="24291">
      <c r="A24291" s="1" t="n">
        <v>24290</v>
      </c>
      <c r="B24291">
        <f>TEXT(24290, "[$-0E0000]yyyy-mm-dd")</f>
        <v/>
      </c>
      <c r="C24291" t="inlineStr">
        <is>
          <t>1966-05-15</t>
        </is>
      </c>
    </row>
    <row r="24292">
      <c r="A24292" s="1" t="n">
        <v>24291</v>
      </c>
      <c r="B24292">
        <f>TEXT(24291, "[$-0E0000]yyyy-mm-dd")</f>
        <v/>
      </c>
      <c r="C24292" t="inlineStr">
        <is>
          <t>1966-05-16</t>
        </is>
      </c>
    </row>
    <row r="24293">
      <c r="A24293" s="1" t="n">
        <v>24292</v>
      </c>
      <c r="B24293">
        <f>TEXT(24292, "[$-0E0000]yyyy-mm-dd")</f>
        <v/>
      </c>
      <c r="C24293" t="inlineStr">
        <is>
          <t>1966-05-17</t>
        </is>
      </c>
    </row>
    <row r="24294">
      <c r="A24294" s="1" t="n">
        <v>24293</v>
      </c>
      <c r="B24294">
        <f>TEXT(24293, "[$-0E0000]yyyy-mm-dd")</f>
        <v/>
      </c>
      <c r="C24294" t="inlineStr">
        <is>
          <t>1966-05-18</t>
        </is>
      </c>
    </row>
    <row r="24295">
      <c r="A24295" s="1" t="n">
        <v>24294</v>
      </c>
      <c r="B24295">
        <f>TEXT(24294, "[$-0E0000]yyyy-mm-dd")</f>
        <v/>
      </c>
      <c r="C24295" t="inlineStr">
        <is>
          <t>1966-05-19</t>
        </is>
      </c>
    </row>
    <row r="24296">
      <c r="A24296" s="1" t="n">
        <v>24295</v>
      </c>
      <c r="B24296">
        <f>TEXT(24295, "[$-0E0000]yyyy-mm-dd")</f>
        <v/>
      </c>
      <c r="C24296" t="inlineStr">
        <is>
          <t>1966-05-20</t>
        </is>
      </c>
    </row>
    <row r="24297">
      <c r="A24297" s="1" t="n">
        <v>24296</v>
      </c>
      <c r="B24297">
        <f>TEXT(24296, "[$-0E0000]yyyy-mm-dd")</f>
        <v/>
      </c>
      <c r="C24297" t="inlineStr">
        <is>
          <t>1966-05-21</t>
        </is>
      </c>
    </row>
    <row r="24298">
      <c r="A24298" s="1" t="n">
        <v>24297</v>
      </c>
      <c r="B24298">
        <f>TEXT(24297, "[$-0E0000]yyyy-mm-dd")</f>
        <v/>
      </c>
      <c r="C24298" t="inlineStr">
        <is>
          <t>1966-05-22</t>
        </is>
      </c>
    </row>
    <row r="24299">
      <c r="A24299" s="1" t="n">
        <v>24298</v>
      </c>
      <c r="B24299">
        <f>TEXT(24298, "[$-0E0000]yyyy-mm-dd")</f>
        <v/>
      </c>
      <c r="C24299" t="inlineStr">
        <is>
          <t>1966-05-23</t>
        </is>
      </c>
    </row>
    <row r="24300">
      <c r="A24300" s="1" t="n">
        <v>24299</v>
      </c>
      <c r="B24300">
        <f>TEXT(24299, "[$-0E0000]yyyy-mm-dd")</f>
        <v/>
      </c>
      <c r="C24300" t="inlineStr">
        <is>
          <t>1966-05-24</t>
        </is>
      </c>
    </row>
    <row r="24301">
      <c r="A24301" s="1" t="n">
        <v>24300</v>
      </c>
      <c r="B24301">
        <f>TEXT(24300, "[$-0E0000]yyyy-mm-dd")</f>
        <v/>
      </c>
      <c r="C24301" t="inlineStr">
        <is>
          <t>1966-05-25</t>
        </is>
      </c>
    </row>
    <row r="24302">
      <c r="A24302" s="1" t="n">
        <v>24301</v>
      </c>
      <c r="B24302">
        <f>TEXT(24301, "[$-0E0000]yyyy-mm-dd")</f>
        <v/>
      </c>
      <c r="C24302" t="inlineStr">
        <is>
          <t>1966-05-26</t>
        </is>
      </c>
    </row>
    <row r="24303">
      <c r="A24303" s="1" t="n">
        <v>24302</v>
      </c>
      <c r="B24303">
        <f>TEXT(24302, "[$-0E0000]yyyy-mm-dd")</f>
        <v/>
      </c>
      <c r="C24303" t="inlineStr">
        <is>
          <t>1966-05-27</t>
        </is>
      </c>
    </row>
    <row r="24304">
      <c r="A24304" s="1" t="n">
        <v>24303</v>
      </c>
      <c r="B24304">
        <f>TEXT(24303, "[$-0E0000]yyyy-mm-dd")</f>
        <v/>
      </c>
      <c r="C24304" t="inlineStr">
        <is>
          <t>1966-05-28</t>
        </is>
      </c>
    </row>
    <row r="24305">
      <c r="A24305" s="1" t="n">
        <v>24304</v>
      </c>
      <c r="B24305">
        <f>TEXT(24304, "[$-0E0000]yyyy-mm-dd")</f>
        <v/>
      </c>
      <c r="C24305" t="inlineStr">
        <is>
          <t>1966-05-29</t>
        </is>
      </c>
    </row>
    <row r="24306">
      <c r="A24306" s="1" t="n">
        <v>24305</v>
      </c>
      <c r="B24306">
        <f>TEXT(24305, "[$-0E0000]yyyy-mm-dd")</f>
        <v/>
      </c>
      <c r="C24306" t="inlineStr">
        <is>
          <t>1966-06-01</t>
        </is>
      </c>
    </row>
    <row r="24307">
      <c r="A24307" s="1" t="n">
        <v>24306</v>
      </c>
      <c r="B24307">
        <f>TEXT(24306, "[$-0E0000]yyyy-mm-dd")</f>
        <v/>
      </c>
      <c r="C24307" t="inlineStr">
        <is>
          <t>1966-06-02</t>
        </is>
      </c>
    </row>
    <row r="24308">
      <c r="A24308" s="1" t="n">
        <v>24307</v>
      </c>
      <c r="B24308">
        <f>TEXT(24307, "[$-0E0000]yyyy-mm-dd")</f>
        <v/>
      </c>
      <c r="C24308" t="inlineStr">
        <is>
          <t>1966-06-03</t>
        </is>
      </c>
    </row>
    <row r="24309">
      <c r="A24309" s="1" t="n">
        <v>24308</v>
      </c>
      <c r="B24309">
        <f>TEXT(24308, "[$-0E0000]yyyy-mm-dd")</f>
        <v/>
      </c>
      <c r="C24309" t="inlineStr">
        <is>
          <t>1966-06-04</t>
        </is>
      </c>
    </row>
    <row r="24310">
      <c r="A24310" s="1" t="n">
        <v>24309</v>
      </c>
      <c r="B24310">
        <f>TEXT(24309, "[$-0E0000]yyyy-mm-dd")</f>
        <v/>
      </c>
      <c r="C24310" t="inlineStr">
        <is>
          <t>1966-06-05</t>
        </is>
      </c>
    </row>
    <row r="24311">
      <c r="A24311" s="1" t="n">
        <v>24310</v>
      </c>
      <c r="B24311">
        <f>TEXT(24310, "[$-0E0000]yyyy-mm-dd")</f>
        <v/>
      </c>
      <c r="C24311" t="inlineStr">
        <is>
          <t>1966-06-06</t>
        </is>
      </c>
    </row>
    <row r="24312">
      <c r="A24312" s="1" t="n">
        <v>24311</v>
      </c>
      <c r="B24312">
        <f>TEXT(24311, "[$-0E0000]yyyy-mm-dd")</f>
        <v/>
      </c>
      <c r="C24312" t="inlineStr">
        <is>
          <t>1966-06-07</t>
        </is>
      </c>
    </row>
    <row r="24313">
      <c r="A24313" s="1" t="n">
        <v>24312</v>
      </c>
      <c r="B24313">
        <f>TEXT(24312, "[$-0E0000]yyyy-mm-dd")</f>
        <v/>
      </c>
      <c r="C24313" t="inlineStr">
        <is>
          <t>1966-06-08</t>
        </is>
      </c>
    </row>
    <row r="24314">
      <c r="A24314" s="1" t="n">
        <v>24313</v>
      </c>
      <c r="B24314">
        <f>TEXT(24313, "[$-0E0000]yyyy-mm-dd")</f>
        <v/>
      </c>
      <c r="C24314" t="inlineStr">
        <is>
          <t>1966-06-09</t>
        </is>
      </c>
    </row>
    <row r="24315">
      <c r="A24315" s="1" t="n">
        <v>24314</v>
      </c>
      <c r="B24315">
        <f>TEXT(24314, "[$-0E0000]yyyy-mm-dd")</f>
        <v/>
      </c>
      <c r="C24315" t="inlineStr">
        <is>
          <t>1966-06-10</t>
        </is>
      </c>
    </row>
    <row r="24316">
      <c r="A24316" s="1" t="n">
        <v>24315</v>
      </c>
      <c r="B24316">
        <f>TEXT(24315, "[$-0E0000]yyyy-mm-dd")</f>
        <v/>
      </c>
      <c r="C24316" t="inlineStr">
        <is>
          <t>1966-06-11</t>
        </is>
      </c>
    </row>
    <row r="24317">
      <c r="A24317" s="1" t="n">
        <v>24316</v>
      </c>
      <c r="B24317">
        <f>TEXT(24316, "[$-0E0000]yyyy-mm-dd")</f>
        <v/>
      </c>
      <c r="C24317" t="inlineStr">
        <is>
          <t>1966-06-12</t>
        </is>
      </c>
    </row>
    <row r="24318">
      <c r="A24318" s="1" t="n">
        <v>24317</v>
      </c>
      <c r="B24318">
        <f>TEXT(24317, "[$-0E0000]yyyy-mm-dd")</f>
        <v/>
      </c>
      <c r="C24318" t="inlineStr">
        <is>
          <t>1966-06-13</t>
        </is>
      </c>
    </row>
    <row r="24319">
      <c r="A24319" s="1" t="n">
        <v>24318</v>
      </c>
      <c r="B24319">
        <f>TEXT(24318, "[$-0E0000]yyyy-mm-dd")</f>
        <v/>
      </c>
      <c r="C24319" t="inlineStr">
        <is>
          <t>1966-06-14</t>
        </is>
      </c>
    </row>
    <row r="24320">
      <c r="A24320" s="1" t="n">
        <v>24319</v>
      </c>
      <c r="B24320">
        <f>TEXT(24319, "[$-0E0000]yyyy-mm-dd")</f>
        <v/>
      </c>
      <c r="C24320" t="inlineStr">
        <is>
          <t>1966-06-15</t>
        </is>
      </c>
    </row>
    <row r="24321">
      <c r="A24321" s="1" t="n">
        <v>24320</v>
      </c>
      <c r="B24321">
        <f>TEXT(24320, "[$-0E0000]yyyy-mm-dd")</f>
        <v/>
      </c>
      <c r="C24321" t="inlineStr">
        <is>
          <t>1966-06-16</t>
        </is>
      </c>
    </row>
    <row r="24322">
      <c r="A24322" s="1" t="n">
        <v>24321</v>
      </c>
      <c r="B24322">
        <f>TEXT(24321, "[$-0E0000]yyyy-mm-dd")</f>
        <v/>
      </c>
      <c r="C24322" t="inlineStr">
        <is>
          <t>1966-06-17</t>
        </is>
      </c>
    </row>
    <row r="24323">
      <c r="A24323" s="1" t="n">
        <v>24322</v>
      </c>
      <c r="B24323">
        <f>TEXT(24322, "[$-0E0000]yyyy-mm-dd")</f>
        <v/>
      </c>
      <c r="C24323" t="inlineStr">
        <is>
          <t>1966-06-18</t>
        </is>
      </c>
    </row>
    <row r="24324">
      <c r="A24324" s="1" t="n">
        <v>24323</v>
      </c>
      <c r="B24324">
        <f>TEXT(24323, "[$-0E0000]yyyy-mm-dd")</f>
        <v/>
      </c>
      <c r="C24324" t="inlineStr">
        <is>
          <t>1966-06-19</t>
        </is>
      </c>
    </row>
    <row r="24325">
      <c r="A24325" s="1" t="n">
        <v>24324</v>
      </c>
      <c r="B24325">
        <f>TEXT(24324, "[$-0E0000]yyyy-mm-dd")</f>
        <v/>
      </c>
      <c r="C24325" t="inlineStr">
        <is>
          <t>1966-06-20</t>
        </is>
      </c>
    </row>
    <row r="24326">
      <c r="A24326" s="1" t="n">
        <v>24325</v>
      </c>
      <c r="B24326">
        <f>TEXT(24325, "[$-0E0000]yyyy-mm-dd")</f>
        <v/>
      </c>
      <c r="C24326" t="inlineStr">
        <is>
          <t>1966-06-21</t>
        </is>
      </c>
    </row>
    <row r="24327">
      <c r="A24327" s="1" t="n">
        <v>24326</v>
      </c>
      <c r="B24327">
        <f>TEXT(24326, "[$-0E0000]yyyy-mm-dd")</f>
        <v/>
      </c>
      <c r="C24327" t="inlineStr">
        <is>
          <t>1966-06-22</t>
        </is>
      </c>
    </row>
    <row r="24328">
      <c r="A24328" s="1" t="n">
        <v>24327</v>
      </c>
      <c r="B24328">
        <f>TEXT(24327, "[$-0E0000]yyyy-mm-dd")</f>
        <v/>
      </c>
      <c r="C24328" t="inlineStr">
        <is>
          <t>1966-06-23</t>
        </is>
      </c>
    </row>
    <row r="24329">
      <c r="A24329" s="1" t="n">
        <v>24328</v>
      </c>
      <c r="B24329">
        <f>TEXT(24328, "[$-0E0000]yyyy-mm-dd")</f>
        <v/>
      </c>
      <c r="C24329" t="inlineStr">
        <is>
          <t>1966-06-24</t>
        </is>
      </c>
    </row>
    <row r="24330">
      <c r="A24330" s="1" t="n">
        <v>24329</v>
      </c>
      <c r="B24330">
        <f>TEXT(24329, "[$-0E0000]yyyy-mm-dd")</f>
        <v/>
      </c>
      <c r="C24330" t="inlineStr">
        <is>
          <t>1966-06-25</t>
        </is>
      </c>
    </row>
    <row r="24331">
      <c r="A24331" s="1" t="n">
        <v>24330</v>
      </c>
      <c r="B24331">
        <f>TEXT(24330, "[$-0E0000]yyyy-mm-dd")</f>
        <v/>
      </c>
      <c r="C24331" t="inlineStr">
        <is>
          <t>1966-06-26</t>
        </is>
      </c>
    </row>
    <row r="24332">
      <c r="A24332" s="1" t="n">
        <v>24331</v>
      </c>
      <c r="B24332">
        <f>TEXT(24331, "[$-0E0000]yyyy-mm-dd")</f>
        <v/>
      </c>
      <c r="C24332" t="inlineStr">
        <is>
          <t>1966-06-27</t>
        </is>
      </c>
    </row>
    <row r="24333">
      <c r="A24333" s="1" t="n">
        <v>24332</v>
      </c>
      <c r="B24333">
        <f>TEXT(24332, "[$-0E0000]yyyy-mm-dd")</f>
        <v/>
      </c>
      <c r="C24333" t="inlineStr">
        <is>
          <t>1966-06-28</t>
        </is>
      </c>
    </row>
    <row r="24334">
      <c r="A24334" s="1" t="n">
        <v>24333</v>
      </c>
      <c r="B24334">
        <f>TEXT(24333, "[$-0E0000]yyyy-mm-dd")</f>
        <v/>
      </c>
      <c r="C24334" t="inlineStr">
        <is>
          <t>1966-06-29</t>
        </is>
      </c>
    </row>
    <row r="24335">
      <c r="A24335" s="1" t="n">
        <v>24334</v>
      </c>
      <c r="B24335">
        <f>TEXT(24334, "[$-0E0000]yyyy-mm-dd")</f>
        <v/>
      </c>
      <c r="C24335" t="inlineStr">
        <is>
          <t>1966-07-01</t>
        </is>
      </c>
    </row>
    <row r="24336">
      <c r="A24336" s="1" t="n">
        <v>24335</v>
      </c>
      <c r="B24336">
        <f>TEXT(24335, "[$-0E0000]yyyy-mm-dd")</f>
        <v/>
      </c>
      <c r="C24336" t="inlineStr">
        <is>
          <t>1966-07-02</t>
        </is>
      </c>
    </row>
    <row r="24337">
      <c r="A24337" s="1" t="n">
        <v>24336</v>
      </c>
      <c r="B24337">
        <f>TEXT(24336, "[$-0E0000]yyyy-mm-dd")</f>
        <v/>
      </c>
      <c r="C24337" t="inlineStr">
        <is>
          <t>1966-07-03</t>
        </is>
      </c>
    </row>
    <row r="24338">
      <c r="A24338" s="1" t="n">
        <v>24337</v>
      </c>
      <c r="B24338">
        <f>TEXT(24337, "[$-0E0000]yyyy-mm-dd")</f>
        <v/>
      </c>
      <c r="C24338" t="inlineStr">
        <is>
          <t>1966-07-04</t>
        </is>
      </c>
    </row>
    <row r="24339">
      <c r="A24339" s="1" t="n">
        <v>24338</v>
      </c>
      <c r="B24339">
        <f>TEXT(24338, "[$-0E0000]yyyy-mm-dd")</f>
        <v/>
      </c>
      <c r="C24339" t="inlineStr">
        <is>
          <t>1966-07-05</t>
        </is>
      </c>
    </row>
    <row r="24340">
      <c r="A24340" s="1" t="n">
        <v>24339</v>
      </c>
      <c r="B24340">
        <f>TEXT(24339, "[$-0E0000]yyyy-mm-dd")</f>
        <v/>
      </c>
      <c r="C24340" t="inlineStr">
        <is>
          <t>1966-07-06</t>
        </is>
      </c>
    </row>
    <row r="24341">
      <c r="A24341" s="1" t="n">
        <v>24340</v>
      </c>
      <c r="B24341">
        <f>TEXT(24340, "[$-0E0000]yyyy-mm-dd")</f>
        <v/>
      </c>
      <c r="C24341" t="inlineStr">
        <is>
          <t>1966-07-07</t>
        </is>
      </c>
    </row>
    <row r="24342">
      <c r="A24342" s="1" t="n">
        <v>24341</v>
      </c>
      <c r="B24342">
        <f>TEXT(24341, "[$-0E0000]yyyy-mm-dd")</f>
        <v/>
      </c>
      <c r="C24342" t="inlineStr">
        <is>
          <t>1966-07-08</t>
        </is>
      </c>
    </row>
    <row r="24343">
      <c r="A24343" s="1" t="n">
        <v>24342</v>
      </c>
      <c r="B24343">
        <f>TEXT(24342, "[$-0E0000]yyyy-mm-dd")</f>
        <v/>
      </c>
      <c r="C24343" t="inlineStr">
        <is>
          <t>1966-07-09</t>
        </is>
      </c>
    </row>
    <row r="24344">
      <c r="A24344" s="1" t="n">
        <v>24343</v>
      </c>
      <c r="B24344">
        <f>TEXT(24343, "[$-0E0000]yyyy-mm-dd")</f>
        <v/>
      </c>
      <c r="C24344" t="inlineStr">
        <is>
          <t>1966-07-10</t>
        </is>
      </c>
    </row>
    <row r="24345">
      <c r="A24345" s="1" t="n">
        <v>24344</v>
      </c>
      <c r="B24345">
        <f>TEXT(24344, "[$-0E0000]yyyy-mm-dd")</f>
        <v/>
      </c>
      <c r="C24345" t="inlineStr">
        <is>
          <t>1966-07-11</t>
        </is>
      </c>
    </row>
    <row r="24346">
      <c r="A24346" s="1" t="n">
        <v>24345</v>
      </c>
      <c r="B24346">
        <f>TEXT(24345, "[$-0E0000]yyyy-mm-dd")</f>
        <v/>
      </c>
      <c r="C24346" t="inlineStr">
        <is>
          <t>1966-07-12</t>
        </is>
      </c>
    </row>
    <row r="24347">
      <c r="A24347" s="1" t="n">
        <v>24346</v>
      </c>
      <c r="B24347">
        <f>TEXT(24346, "[$-0E0000]yyyy-mm-dd")</f>
        <v/>
      </c>
      <c r="C24347" t="inlineStr">
        <is>
          <t>1966-07-13</t>
        </is>
      </c>
    </row>
    <row r="24348">
      <c r="A24348" s="1" t="n">
        <v>24347</v>
      </c>
      <c r="B24348">
        <f>TEXT(24347, "[$-0E0000]yyyy-mm-dd")</f>
        <v/>
      </c>
      <c r="C24348" t="inlineStr">
        <is>
          <t>1966-07-14</t>
        </is>
      </c>
    </row>
    <row r="24349">
      <c r="A24349" s="1" t="n">
        <v>24348</v>
      </c>
      <c r="B24349">
        <f>TEXT(24348, "[$-0E0000]yyyy-mm-dd")</f>
        <v/>
      </c>
      <c r="C24349" t="inlineStr">
        <is>
          <t>1966-07-15</t>
        </is>
      </c>
    </row>
    <row r="24350">
      <c r="A24350" s="1" t="n">
        <v>24349</v>
      </c>
      <c r="B24350">
        <f>TEXT(24349, "[$-0E0000]yyyy-mm-dd")</f>
        <v/>
      </c>
      <c r="C24350" t="inlineStr">
        <is>
          <t>1966-07-16</t>
        </is>
      </c>
    </row>
    <row r="24351">
      <c r="A24351" s="1" t="n">
        <v>24350</v>
      </c>
      <c r="B24351">
        <f>TEXT(24350, "[$-0E0000]yyyy-mm-dd")</f>
        <v/>
      </c>
      <c r="C24351" t="inlineStr">
        <is>
          <t>1966-07-17</t>
        </is>
      </c>
    </row>
    <row r="24352">
      <c r="A24352" s="1" t="n">
        <v>24351</v>
      </c>
      <c r="B24352">
        <f>TEXT(24351, "[$-0E0000]yyyy-mm-dd")</f>
        <v/>
      </c>
      <c r="C24352" t="inlineStr">
        <is>
          <t>1966-07-18</t>
        </is>
      </c>
    </row>
    <row r="24353">
      <c r="A24353" s="1" t="n">
        <v>24352</v>
      </c>
      <c r="B24353">
        <f>TEXT(24352, "[$-0E0000]yyyy-mm-dd")</f>
        <v/>
      </c>
      <c r="C24353" t="inlineStr">
        <is>
          <t>1966-07-19</t>
        </is>
      </c>
    </row>
    <row r="24354">
      <c r="A24354" s="1" t="n">
        <v>24353</v>
      </c>
      <c r="B24354">
        <f>TEXT(24353, "[$-0E0000]yyyy-mm-dd")</f>
        <v/>
      </c>
      <c r="C24354" t="inlineStr">
        <is>
          <t>1966-07-20</t>
        </is>
      </c>
    </row>
    <row r="24355">
      <c r="A24355" s="1" t="n">
        <v>24354</v>
      </c>
      <c r="B24355">
        <f>TEXT(24354, "[$-0E0000]yyyy-mm-dd")</f>
        <v/>
      </c>
      <c r="C24355" t="inlineStr">
        <is>
          <t>1966-07-21</t>
        </is>
      </c>
    </row>
    <row r="24356">
      <c r="A24356" s="1" t="n">
        <v>24355</v>
      </c>
      <c r="B24356">
        <f>TEXT(24355, "[$-0E0000]yyyy-mm-dd")</f>
        <v/>
      </c>
      <c r="C24356" t="inlineStr">
        <is>
          <t>1966-07-22</t>
        </is>
      </c>
    </row>
    <row r="24357">
      <c r="A24357" s="1" t="n">
        <v>24356</v>
      </c>
      <c r="B24357">
        <f>TEXT(24356, "[$-0E0000]yyyy-mm-dd")</f>
        <v/>
      </c>
      <c r="C24357" t="inlineStr">
        <is>
          <t>1966-07-23</t>
        </is>
      </c>
    </row>
    <row r="24358">
      <c r="A24358" s="1" t="n">
        <v>24357</v>
      </c>
      <c r="B24358">
        <f>TEXT(24357, "[$-0E0000]yyyy-mm-dd")</f>
        <v/>
      </c>
      <c r="C24358" t="inlineStr">
        <is>
          <t>1966-07-24</t>
        </is>
      </c>
    </row>
    <row r="24359">
      <c r="A24359" s="1" t="n">
        <v>24358</v>
      </c>
      <c r="B24359">
        <f>TEXT(24358, "[$-0E0000]yyyy-mm-dd")</f>
        <v/>
      </c>
      <c r="C24359" t="inlineStr">
        <is>
          <t>1966-07-25</t>
        </is>
      </c>
    </row>
    <row r="24360">
      <c r="A24360" s="1" t="n">
        <v>24359</v>
      </c>
      <c r="B24360">
        <f>TEXT(24359, "[$-0E0000]yyyy-mm-dd")</f>
        <v/>
      </c>
      <c r="C24360" t="inlineStr">
        <is>
          <t>1966-07-26</t>
        </is>
      </c>
    </row>
    <row r="24361">
      <c r="A24361" s="1" t="n">
        <v>24360</v>
      </c>
      <c r="B24361">
        <f>TEXT(24360, "[$-0E0000]yyyy-mm-dd")</f>
        <v/>
      </c>
      <c r="C24361" t="inlineStr">
        <is>
          <t>1966-07-27</t>
        </is>
      </c>
    </row>
    <row r="24362">
      <c r="A24362" s="1" t="n">
        <v>24361</v>
      </c>
      <c r="B24362">
        <f>TEXT(24361, "[$-0E0000]yyyy-mm-dd")</f>
        <v/>
      </c>
      <c r="C24362" t="inlineStr">
        <is>
          <t>1966-07-28</t>
        </is>
      </c>
    </row>
    <row r="24363">
      <c r="A24363" s="1" t="n">
        <v>24362</v>
      </c>
      <c r="B24363">
        <f>TEXT(24362, "[$-0E0000]yyyy-mm-dd")</f>
        <v/>
      </c>
      <c r="C24363" t="inlineStr">
        <is>
          <t>1966-07-29</t>
        </is>
      </c>
    </row>
    <row r="24364">
      <c r="A24364" s="1" t="n">
        <v>24363</v>
      </c>
      <c r="B24364">
        <f>TEXT(24363, "[$-0E0000]yyyy-mm-dd")</f>
        <v/>
      </c>
      <c r="C24364" t="inlineStr">
        <is>
          <t>1966-07-30</t>
        </is>
      </c>
    </row>
    <row r="24365">
      <c r="A24365" s="1" t="n">
        <v>24364</v>
      </c>
      <c r="B24365">
        <f>TEXT(24364, "[$-0E0000]yyyy-mm-dd")</f>
        <v/>
      </c>
      <c r="C24365" t="inlineStr">
        <is>
          <t>1966-08-01</t>
        </is>
      </c>
    </row>
    <row r="24366">
      <c r="A24366" s="1" t="n">
        <v>24365</v>
      </c>
      <c r="B24366">
        <f>TEXT(24365, "[$-0E0000]yyyy-mm-dd")</f>
        <v/>
      </c>
      <c r="C24366" t="inlineStr">
        <is>
          <t>1966-08-02</t>
        </is>
      </c>
    </row>
    <row r="24367">
      <c r="A24367" s="1" t="n">
        <v>24366</v>
      </c>
      <c r="B24367">
        <f>TEXT(24366, "[$-0E0000]yyyy-mm-dd")</f>
        <v/>
      </c>
      <c r="C24367" t="inlineStr">
        <is>
          <t>1966-08-03</t>
        </is>
      </c>
    </row>
    <row r="24368">
      <c r="A24368" s="1" t="n">
        <v>24367</v>
      </c>
      <c r="B24368">
        <f>TEXT(24367, "[$-0E0000]yyyy-mm-dd")</f>
        <v/>
      </c>
      <c r="C24368" t="inlineStr">
        <is>
          <t>1966-08-04</t>
        </is>
      </c>
    </row>
    <row r="24369">
      <c r="A24369" s="1" t="n">
        <v>24368</v>
      </c>
      <c r="B24369">
        <f>TEXT(24368, "[$-0E0000]yyyy-mm-dd")</f>
        <v/>
      </c>
      <c r="C24369" t="inlineStr">
        <is>
          <t>1966-08-05</t>
        </is>
      </c>
    </row>
    <row r="24370">
      <c r="A24370" s="1" t="n">
        <v>24369</v>
      </c>
      <c r="B24370">
        <f>TEXT(24369, "[$-0E0000]yyyy-mm-dd")</f>
        <v/>
      </c>
      <c r="C24370" t="inlineStr">
        <is>
          <t>1966-08-06</t>
        </is>
      </c>
    </row>
    <row r="24371">
      <c r="A24371" s="1" t="n">
        <v>24370</v>
      </c>
      <c r="B24371">
        <f>TEXT(24370, "[$-0E0000]yyyy-mm-dd")</f>
        <v/>
      </c>
      <c r="C24371" t="inlineStr">
        <is>
          <t>1966-08-07</t>
        </is>
      </c>
    </row>
    <row r="24372">
      <c r="A24372" s="1" t="n">
        <v>24371</v>
      </c>
      <c r="B24372">
        <f>TEXT(24371, "[$-0E0000]yyyy-mm-dd")</f>
        <v/>
      </c>
      <c r="C24372" t="inlineStr">
        <is>
          <t>1966-08-08</t>
        </is>
      </c>
    </row>
    <row r="24373">
      <c r="A24373" s="1" t="n">
        <v>24372</v>
      </c>
      <c r="B24373">
        <f>TEXT(24372, "[$-0E0000]yyyy-mm-dd")</f>
        <v/>
      </c>
      <c r="C24373" t="inlineStr">
        <is>
          <t>1966-08-09</t>
        </is>
      </c>
    </row>
    <row r="24374">
      <c r="A24374" s="1" t="n">
        <v>24373</v>
      </c>
      <c r="B24374">
        <f>TEXT(24373, "[$-0E0000]yyyy-mm-dd")</f>
        <v/>
      </c>
      <c r="C24374" t="inlineStr">
        <is>
          <t>1966-08-10</t>
        </is>
      </c>
    </row>
    <row r="24375">
      <c r="A24375" s="1" t="n">
        <v>24374</v>
      </c>
      <c r="B24375">
        <f>TEXT(24374, "[$-0E0000]yyyy-mm-dd")</f>
        <v/>
      </c>
      <c r="C24375" t="inlineStr">
        <is>
          <t>1966-08-11</t>
        </is>
      </c>
    </row>
    <row r="24376">
      <c r="A24376" s="1" t="n">
        <v>24375</v>
      </c>
      <c r="B24376">
        <f>TEXT(24375, "[$-0E0000]yyyy-mm-dd")</f>
        <v/>
      </c>
      <c r="C24376" t="inlineStr">
        <is>
          <t>1966-08-12</t>
        </is>
      </c>
    </row>
    <row r="24377">
      <c r="A24377" s="1" t="n">
        <v>24376</v>
      </c>
      <c r="B24377">
        <f>TEXT(24376, "[$-0E0000]yyyy-mm-dd")</f>
        <v/>
      </c>
      <c r="C24377" t="inlineStr">
        <is>
          <t>1966-08-13</t>
        </is>
      </c>
    </row>
    <row r="24378">
      <c r="A24378" s="1" t="n">
        <v>24377</v>
      </c>
      <c r="B24378">
        <f>TEXT(24377, "[$-0E0000]yyyy-mm-dd")</f>
        <v/>
      </c>
      <c r="C24378" t="inlineStr">
        <is>
          <t>1966-08-14</t>
        </is>
      </c>
    </row>
    <row r="24379">
      <c r="A24379" s="1" t="n">
        <v>24378</v>
      </c>
      <c r="B24379">
        <f>TEXT(24378, "[$-0E0000]yyyy-mm-dd")</f>
        <v/>
      </c>
      <c r="C24379" t="inlineStr">
        <is>
          <t>1966-08-15</t>
        </is>
      </c>
    </row>
    <row r="24380">
      <c r="A24380" s="1" t="n">
        <v>24379</v>
      </c>
      <c r="B24380">
        <f>TEXT(24379, "[$-0E0000]yyyy-mm-dd")</f>
        <v/>
      </c>
      <c r="C24380" t="inlineStr">
        <is>
          <t>1966-08-16</t>
        </is>
      </c>
    </row>
    <row r="24381">
      <c r="A24381" s="1" t="n">
        <v>24380</v>
      </c>
      <c r="B24381">
        <f>TEXT(24380, "[$-0E0000]yyyy-mm-dd")</f>
        <v/>
      </c>
      <c r="C24381" t="inlineStr">
        <is>
          <t>1966-08-17</t>
        </is>
      </c>
    </row>
    <row r="24382">
      <c r="A24382" s="1" t="n">
        <v>24381</v>
      </c>
      <c r="B24382">
        <f>TEXT(24381, "[$-0E0000]yyyy-mm-dd")</f>
        <v/>
      </c>
      <c r="C24382" t="inlineStr">
        <is>
          <t>1966-08-18</t>
        </is>
      </c>
    </row>
    <row r="24383">
      <c r="A24383" s="1" t="n">
        <v>24382</v>
      </c>
      <c r="B24383">
        <f>TEXT(24382, "[$-0E0000]yyyy-mm-dd")</f>
        <v/>
      </c>
      <c r="C24383" t="inlineStr">
        <is>
          <t>1966-08-19</t>
        </is>
      </c>
    </row>
    <row r="24384">
      <c r="A24384" s="1" t="n">
        <v>24383</v>
      </c>
      <c r="B24384">
        <f>TEXT(24383, "[$-0E0000]yyyy-mm-dd")</f>
        <v/>
      </c>
      <c r="C24384" t="inlineStr">
        <is>
          <t>1966-08-20</t>
        </is>
      </c>
    </row>
    <row r="24385">
      <c r="A24385" s="1" t="n">
        <v>24384</v>
      </c>
      <c r="B24385">
        <f>TEXT(24384, "[$-0E0000]yyyy-mm-dd")</f>
        <v/>
      </c>
      <c r="C24385" t="inlineStr">
        <is>
          <t>1966-08-21</t>
        </is>
      </c>
    </row>
    <row r="24386">
      <c r="A24386" s="1" t="n">
        <v>24385</v>
      </c>
      <c r="B24386">
        <f>TEXT(24385, "[$-0E0000]yyyy-mm-dd")</f>
        <v/>
      </c>
      <c r="C24386" t="inlineStr">
        <is>
          <t>1966-08-22</t>
        </is>
      </c>
    </row>
    <row r="24387">
      <c r="A24387" s="1" t="n">
        <v>24386</v>
      </c>
      <c r="B24387">
        <f>TEXT(24386, "[$-0E0000]yyyy-mm-dd")</f>
        <v/>
      </c>
      <c r="C24387" t="inlineStr">
        <is>
          <t>1966-08-23</t>
        </is>
      </c>
    </row>
    <row r="24388">
      <c r="A24388" s="1" t="n">
        <v>24387</v>
      </c>
      <c r="B24388">
        <f>TEXT(24387, "[$-0E0000]yyyy-mm-dd")</f>
        <v/>
      </c>
      <c r="C24388" t="inlineStr">
        <is>
          <t>1966-08-24</t>
        </is>
      </c>
    </row>
    <row r="24389">
      <c r="A24389" s="1" t="n">
        <v>24388</v>
      </c>
      <c r="B24389">
        <f>TEXT(24388, "[$-0E0000]yyyy-mm-dd")</f>
        <v/>
      </c>
      <c r="C24389" t="inlineStr">
        <is>
          <t>1966-08-25</t>
        </is>
      </c>
    </row>
    <row r="24390">
      <c r="A24390" s="1" t="n">
        <v>24389</v>
      </c>
      <c r="B24390">
        <f>TEXT(24389, "[$-0E0000]yyyy-mm-dd")</f>
        <v/>
      </c>
      <c r="C24390" t="inlineStr">
        <is>
          <t>1966-08-26</t>
        </is>
      </c>
    </row>
    <row r="24391">
      <c r="A24391" s="1" t="n">
        <v>24390</v>
      </c>
      <c r="B24391">
        <f>TEXT(24390, "[$-0E0000]yyyy-mm-dd")</f>
        <v/>
      </c>
      <c r="C24391" t="inlineStr">
        <is>
          <t>1966-08-27</t>
        </is>
      </c>
    </row>
    <row r="24392">
      <c r="A24392" s="1" t="n">
        <v>24391</v>
      </c>
      <c r="B24392">
        <f>TEXT(24391, "[$-0E0000]yyyy-mm-dd")</f>
        <v/>
      </c>
      <c r="C24392" t="inlineStr">
        <is>
          <t>1966-08-28</t>
        </is>
      </c>
    </row>
    <row r="24393">
      <c r="A24393" s="1" t="n">
        <v>24392</v>
      </c>
      <c r="B24393">
        <f>TEXT(24392, "[$-0E0000]yyyy-mm-dd")</f>
        <v/>
      </c>
      <c r="C24393" t="inlineStr">
        <is>
          <t>1966-08-29</t>
        </is>
      </c>
    </row>
    <row r="24394">
      <c r="A24394" s="1" t="n">
        <v>24393</v>
      </c>
      <c r="B24394">
        <f>TEXT(24393, "[$-0E0000]yyyy-mm-dd")</f>
        <v/>
      </c>
      <c r="C24394" t="inlineStr">
        <is>
          <t>1966-09-01</t>
        </is>
      </c>
    </row>
    <row r="24395">
      <c r="A24395" s="1" t="n">
        <v>24394</v>
      </c>
      <c r="B24395">
        <f>TEXT(24394, "[$-0E0000]yyyy-mm-dd")</f>
        <v/>
      </c>
      <c r="C24395" t="inlineStr">
        <is>
          <t>1966-09-02</t>
        </is>
      </c>
    </row>
    <row r="24396">
      <c r="A24396" s="1" t="n">
        <v>24395</v>
      </c>
      <c r="B24396">
        <f>TEXT(24395, "[$-0E0000]yyyy-mm-dd")</f>
        <v/>
      </c>
      <c r="C24396" t="inlineStr">
        <is>
          <t>1966-09-03</t>
        </is>
      </c>
    </row>
    <row r="24397">
      <c r="A24397" s="1" t="n">
        <v>24396</v>
      </c>
      <c r="B24397">
        <f>TEXT(24396, "[$-0E0000]yyyy-mm-dd")</f>
        <v/>
      </c>
      <c r="C24397" t="inlineStr">
        <is>
          <t>1966-09-04</t>
        </is>
      </c>
    </row>
    <row r="24398">
      <c r="A24398" s="1" t="n">
        <v>24397</v>
      </c>
      <c r="B24398">
        <f>TEXT(24397, "[$-0E0000]yyyy-mm-dd")</f>
        <v/>
      </c>
      <c r="C24398" t="inlineStr">
        <is>
          <t>1966-09-05</t>
        </is>
      </c>
    </row>
    <row r="24399">
      <c r="A24399" s="1" t="n">
        <v>24398</v>
      </c>
      <c r="B24399">
        <f>TEXT(24398, "[$-0E0000]yyyy-mm-dd")</f>
        <v/>
      </c>
      <c r="C24399" t="inlineStr">
        <is>
          <t>1966-09-06</t>
        </is>
      </c>
    </row>
    <row r="24400">
      <c r="A24400" s="1" t="n">
        <v>24399</v>
      </c>
      <c r="B24400">
        <f>TEXT(24399, "[$-0E0000]yyyy-mm-dd")</f>
        <v/>
      </c>
      <c r="C24400" t="inlineStr">
        <is>
          <t>1966-09-07</t>
        </is>
      </c>
    </row>
    <row r="24401">
      <c r="A24401" s="1" t="n">
        <v>24400</v>
      </c>
      <c r="B24401">
        <f>TEXT(24400, "[$-0E0000]yyyy-mm-dd")</f>
        <v/>
      </c>
      <c r="C24401" t="inlineStr">
        <is>
          <t>1966-09-08</t>
        </is>
      </c>
    </row>
    <row r="24402">
      <c r="A24402" s="1" t="n">
        <v>24401</v>
      </c>
      <c r="B24402">
        <f>TEXT(24401, "[$-0E0000]yyyy-mm-dd")</f>
        <v/>
      </c>
      <c r="C24402" t="inlineStr">
        <is>
          <t>1966-09-09</t>
        </is>
      </c>
    </row>
    <row r="24403">
      <c r="A24403" s="1" t="n">
        <v>24402</v>
      </c>
      <c r="B24403">
        <f>TEXT(24402, "[$-0E0000]yyyy-mm-dd")</f>
        <v/>
      </c>
      <c r="C24403" t="inlineStr">
        <is>
          <t>1966-09-10</t>
        </is>
      </c>
    </row>
    <row r="24404">
      <c r="A24404" s="1" t="n">
        <v>24403</v>
      </c>
      <c r="B24404">
        <f>TEXT(24403, "[$-0E0000]yyyy-mm-dd")</f>
        <v/>
      </c>
      <c r="C24404" t="inlineStr">
        <is>
          <t>1966-09-11</t>
        </is>
      </c>
    </row>
    <row r="24405">
      <c r="A24405" s="1" t="n">
        <v>24404</v>
      </c>
      <c r="B24405">
        <f>TEXT(24404, "[$-0E0000]yyyy-mm-dd")</f>
        <v/>
      </c>
      <c r="C24405" t="inlineStr">
        <is>
          <t>1966-09-12</t>
        </is>
      </c>
    </row>
    <row r="24406">
      <c r="A24406" s="1" t="n">
        <v>24405</v>
      </c>
      <c r="B24406">
        <f>TEXT(24405, "[$-0E0000]yyyy-mm-dd")</f>
        <v/>
      </c>
      <c r="C24406" t="inlineStr">
        <is>
          <t>1966-09-13</t>
        </is>
      </c>
    </row>
    <row r="24407">
      <c r="A24407" s="1" t="n">
        <v>24406</v>
      </c>
      <c r="B24407">
        <f>TEXT(24406, "[$-0E0000]yyyy-mm-dd")</f>
        <v/>
      </c>
      <c r="C24407" t="inlineStr">
        <is>
          <t>1966-09-14</t>
        </is>
      </c>
    </row>
    <row r="24408">
      <c r="A24408" s="1" t="n">
        <v>24407</v>
      </c>
      <c r="B24408">
        <f>TEXT(24407, "[$-0E0000]yyyy-mm-dd")</f>
        <v/>
      </c>
      <c r="C24408" t="inlineStr">
        <is>
          <t>1966-09-15</t>
        </is>
      </c>
    </row>
    <row r="24409">
      <c r="A24409" s="1" t="n">
        <v>24408</v>
      </c>
      <c r="B24409">
        <f>TEXT(24408, "[$-0E0000]yyyy-mm-dd")</f>
        <v/>
      </c>
      <c r="C24409" t="inlineStr">
        <is>
          <t>1966-09-16</t>
        </is>
      </c>
    </row>
    <row r="24410">
      <c r="A24410" s="1" t="n">
        <v>24409</v>
      </c>
      <c r="B24410">
        <f>TEXT(24409, "[$-0E0000]yyyy-mm-dd")</f>
        <v/>
      </c>
      <c r="C24410" t="inlineStr">
        <is>
          <t>1966-09-17</t>
        </is>
      </c>
    </row>
    <row r="24411">
      <c r="A24411" s="1" t="n">
        <v>24410</v>
      </c>
      <c r="B24411">
        <f>TEXT(24410, "[$-0E0000]yyyy-mm-dd")</f>
        <v/>
      </c>
      <c r="C24411" t="inlineStr">
        <is>
          <t>1966-09-18</t>
        </is>
      </c>
    </row>
    <row r="24412">
      <c r="A24412" s="1" t="n">
        <v>24411</v>
      </c>
      <c r="B24412">
        <f>TEXT(24411, "[$-0E0000]yyyy-mm-dd")</f>
        <v/>
      </c>
      <c r="C24412" t="inlineStr">
        <is>
          <t>1966-09-19</t>
        </is>
      </c>
    </row>
    <row r="24413">
      <c r="A24413" s="1" t="n">
        <v>24412</v>
      </c>
      <c r="B24413">
        <f>TEXT(24412, "[$-0E0000]yyyy-mm-dd")</f>
        <v/>
      </c>
      <c r="C24413" t="inlineStr">
        <is>
          <t>1966-09-20</t>
        </is>
      </c>
    </row>
    <row r="24414">
      <c r="A24414" s="1" t="n">
        <v>24413</v>
      </c>
      <c r="B24414">
        <f>TEXT(24413, "[$-0E0000]yyyy-mm-dd")</f>
        <v/>
      </c>
      <c r="C24414" t="inlineStr">
        <is>
          <t>1966-09-21</t>
        </is>
      </c>
    </row>
    <row r="24415">
      <c r="A24415" s="1" t="n">
        <v>24414</v>
      </c>
      <c r="B24415">
        <f>TEXT(24414, "[$-0E0000]yyyy-mm-dd")</f>
        <v/>
      </c>
      <c r="C24415" t="inlineStr">
        <is>
          <t>1966-09-22</t>
        </is>
      </c>
    </row>
    <row r="24416">
      <c r="A24416" s="1" t="n">
        <v>24415</v>
      </c>
      <c r="B24416">
        <f>TEXT(24415, "[$-0E0000]yyyy-mm-dd")</f>
        <v/>
      </c>
      <c r="C24416" t="inlineStr">
        <is>
          <t>1966-09-23</t>
        </is>
      </c>
    </row>
    <row r="24417">
      <c r="A24417" s="1" t="n">
        <v>24416</v>
      </c>
      <c r="B24417">
        <f>TEXT(24416, "[$-0E0000]yyyy-mm-dd")</f>
        <v/>
      </c>
      <c r="C24417" t="inlineStr">
        <is>
          <t>1966-09-24</t>
        </is>
      </c>
    </row>
    <row r="24418">
      <c r="A24418" s="1" t="n">
        <v>24417</v>
      </c>
      <c r="B24418">
        <f>TEXT(24417, "[$-0E0000]yyyy-mm-dd")</f>
        <v/>
      </c>
      <c r="C24418" t="inlineStr">
        <is>
          <t>1966-09-25</t>
        </is>
      </c>
    </row>
    <row r="24419">
      <c r="A24419" s="1" t="n">
        <v>24418</v>
      </c>
      <c r="B24419">
        <f>TEXT(24418, "[$-0E0000]yyyy-mm-dd")</f>
        <v/>
      </c>
      <c r="C24419" t="inlineStr">
        <is>
          <t>1966-09-26</t>
        </is>
      </c>
    </row>
    <row r="24420">
      <c r="A24420" s="1" t="n">
        <v>24419</v>
      </c>
      <c r="B24420">
        <f>TEXT(24419, "[$-0E0000]yyyy-mm-dd")</f>
        <v/>
      </c>
      <c r="C24420" t="inlineStr">
        <is>
          <t>1966-09-27</t>
        </is>
      </c>
    </row>
    <row r="24421">
      <c r="A24421" s="1" t="n">
        <v>24420</v>
      </c>
      <c r="B24421">
        <f>TEXT(24420, "[$-0E0000]yyyy-mm-dd")</f>
        <v/>
      </c>
      <c r="C24421" t="inlineStr">
        <is>
          <t>1966-09-28</t>
        </is>
      </c>
    </row>
    <row r="24422">
      <c r="A24422" s="1" t="n">
        <v>24421</v>
      </c>
      <c r="B24422">
        <f>TEXT(24421, "[$-0E0000]yyyy-mm-dd")</f>
        <v/>
      </c>
      <c r="C24422" t="inlineStr">
        <is>
          <t>1966-09-29</t>
        </is>
      </c>
    </row>
    <row r="24423">
      <c r="A24423" s="1" t="n">
        <v>24422</v>
      </c>
      <c r="B24423">
        <f>TEXT(24422, "[$-0E0000]yyyy-mm-dd")</f>
        <v/>
      </c>
      <c r="C24423" t="inlineStr">
        <is>
          <t>1966-10-01</t>
        </is>
      </c>
    </row>
    <row r="24424">
      <c r="A24424" s="1" t="n">
        <v>24423</v>
      </c>
      <c r="B24424">
        <f>TEXT(24423, "[$-0E0000]yyyy-mm-dd")</f>
        <v/>
      </c>
      <c r="C24424" t="inlineStr">
        <is>
          <t>1966-10-02</t>
        </is>
      </c>
    </row>
    <row r="24425">
      <c r="A24425" s="1" t="n">
        <v>24424</v>
      </c>
      <c r="B24425">
        <f>TEXT(24424, "[$-0E0000]yyyy-mm-dd")</f>
        <v/>
      </c>
      <c r="C24425" t="inlineStr">
        <is>
          <t>1966-10-03</t>
        </is>
      </c>
    </row>
    <row r="24426">
      <c r="A24426" s="1" t="n">
        <v>24425</v>
      </c>
      <c r="B24426">
        <f>TEXT(24425, "[$-0E0000]yyyy-mm-dd")</f>
        <v/>
      </c>
      <c r="C24426" t="inlineStr">
        <is>
          <t>1966-10-04</t>
        </is>
      </c>
    </row>
    <row r="24427">
      <c r="A24427" s="1" t="n">
        <v>24426</v>
      </c>
      <c r="B24427">
        <f>TEXT(24426, "[$-0E0000]yyyy-mm-dd")</f>
        <v/>
      </c>
      <c r="C24427" t="inlineStr">
        <is>
          <t>1966-10-05</t>
        </is>
      </c>
    </row>
    <row r="24428">
      <c r="A24428" s="1" t="n">
        <v>24427</v>
      </c>
      <c r="B24428">
        <f>TEXT(24427, "[$-0E0000]yyyy-mm-dd")</f>
        <v/>
      </c>
      <c r="C24428" t="inlineStr">
        <is>
          <t>1966-10-06</t>
        </is>
      </c>
    </row>
    <row r="24429">
      <c r="A24429" s="1" t="n">
        <v>24428</v>
      </c>
      <c r="B24429">
        <f>TEXT(24428, "[$-0E0000]yyyy-mm-dd")</f>
        <v/>
      </c>
      <c r="C24429" t="inlineStr">
        <is>
          <t>1966-10-07</t>
        </is>
      </c>
    </row>
    <row r="24430">
      <c r="A24430" s="1" t="n">
        <v>24429</v>
      </c>
      <c r="B24430">
        <f>TEXT(24429, "[$-0E0000]yyyy-mm-dd")</f>
        <v/>
      </c>
      <c r="C24430" t="inlineStr">
        <is>
          <t>1966-10-08</t>
        </is>
      </c>
    </row>
    <row r="24431">
      <c r="A24431" s="1" t="n">
        <v>24430</v>
      </c>
      <c r="B24431">
        <f>TEXT(24430, "[$-0E0000]yyyy-mm-dd")</f>
        <v/>
      </c>
      <c r="C24431" t="inlineStr">
        <is>
          <t>1966-10-09</t>
        </is>
      </c>
    </row>
    <row r="24432">
      <c r="A24432" s="1" t="n">
        <v>24431</v>
      </c>
      <c r="B24432">
        <f>TEXT(24431, "[$-0E0000]yyyy-mm-dd")</f>
        <v/>
      </c>
      <c r="C24432" t="inlineStr">
        <is>
          <t>1966-10-10</t>
        </is>
      </c>
    </row>
    <row r="24433">
      <c r="A24433" s="1" t="n">
        <v>24432</v>
      </c>
      <c r="B24433">
        <f>TEXT(24432, "[$-0E0000]yyyy-mm-dd")</f>
        <v/>
      </c>
      <c r="C24433" t="inlineStr">
        <is>
          <t>1966-10-11</t>
        </is>
      </c>
    </row>
    <row r="24434">
      <c r="A24434" s="1" t="n">
        <v>24433</v>
      </c>
      <c r="B24434">
        <f>TEXT(24433, "[$-0E0000]yyyy-mm-dd")</f>
        <v/>
      </c>
      <c r="C24434" t="inlineStr">
        <is>
          <t>1966-10-12</t>
        </is>
      </c>
    </row>
    <row r="24435">
      <c r="A24435" s="1" t="n">
        <v>24434</v>
      </c>
      <c r="B24435">
        <f>TEXT(24434, "[$-0E0000]yyyy-mm-dd")</f>
        <v/>
      </c>
      <c r="C24435" t="inlineStr">
        <is>
          <t>1966-10-13</t>
        </is>
      </c>
    </row>
    <row r="24436">
      <c r="A24436" s="1" t="n">
        <v>24435</v>
      </c>
      <c r="B24436">
        <f>TEXT(24435, "[$-0E0000]yyyy-mm-dd")</f>
        <v/>
      </c>
      <c r="C24436" t="inlineStr">
        <is>
          <t>1966-10-14</t>
        </is>
      </c>
    </row>
    <row r="24437">
      <c r="A24437" s="1" t="n">
        <v>24436</v>
      </c>
      <c r="B24437">
        <f>TEXT(24436, "[$-0E0000]yyyy-mm-dd")</f>
        <v/>
      </c>
      <c r="C24437" t="inlineStr">
        <is>
          <t>1966-10-15</t>
        </is>
      </c>
    </row>
    <row r="24438">
      <c r="A24438" s="1" t="n">
        <v>24437</v>
      </c>
      <c r="B24438">
        <f>TEXT(24437, "[$-0E0000]yyyy-mm-dd")</f>
        <v/>
      </c>
      <c r="C24438" t="inlineStr">
        <is>
          <t>1966-10-16</t>
        </is>
      </c>
    </row>
    <row r="24439">
      <c r="A24439" s="1" t="n">
        <v>24438</v>
      </c>
      <c r="B24439">
        <f>TEXT(24438, "[$-0E0000]yyyy-mm-dd")</f>
        <v/>
      </c>
      <c r="C24439" t="inlineStr">
        <is>
          <t>1966-10-17</t>
        </is>
      </c>
    </row>
    <row r="24440">
      <c r="A24440" s="1" t="n">
        <v>24439</v>
      </c>
      <c r="B24440">
        <f>TEXT(24439, "[$-0E0000]yyyy-mm-dd")</f>
        <v/>
      </c>
      <c r="C24440" t="inlineStr">
        <is>
          <t>1966-10-18</t>
        </is>
      </c>
    </row>
    <row r="24441">
      <c r="A24441" s="1" t="n">
        <v>24440</v>
      </c>
      <c r="B24441">
        <f>TEXT(24440, "[$-0E0000]yyyy-mm-dd")</f>
        <v/>
      </c>
      <c r="C24441" t="inlineStr">
        <is>
          <t>1966-10-19</t>
        </is>
      </c>
    </row>
    <row r="24442">
      <c r="A24442" s="1" t="n">
        <v>24441</v>
      </c>
      <c r="B24442">
        <f>TEXT(24441, "[$-0E0000]yyyy-mm-dd")</f>
        <v/>
      </c>
      <c r="C24442" t="inlineStr">
        <is>
          <t>1966-10-20</t>
        </is>
      </c>
    </row>
    <row r="24443">
      <c r="A24443" s="1" t="n">
        <v>24442</v>
      </c>
      <c r="B24443">
        <f>TEXT(24442, "[$-0E0000]yyyy-mm-dd")</f>
        <v/>
      </c>
      <c r="C24443" t="inlineStr">
        <is>
          <t>1966-10-21</t>
        </is>
      </c>
    </row>
    <row r="24444">
      <c r="A24444" s="1" t="n">
        <v>24443</v>
      </c>
      <c r="B24444">
        <f>TEXT(24443, "[$-0E0000]yyyy-mm-dd")</f>
        <v/>
      </c>
      <c r="C24444" t="inlineStr">
        <is>
          <t>1966-10-22</t>
        </is>
      </c>
    </row>
    <row r="24445">
      <c r="A24445" s="1" t="n">
        <v>24444</v>
      </c>
      <c r="B24445">
        <f>TEXT(24444, "[$-0E0000]yyyy-mm-dd")</f>
        <v/>
      </c>
      <c r="C24445" t="inlineStr">
        <is>
          <t>1966-10-23</t>
        </is>
      </c>
    </row>
    <row r="24446">
      <c r="A24446" s="1" t="n">
        <v>24445</v>
      </c>
      <c r="B24446">
        <f>TEXT(24445, "[$-0E0000]yyyy-mm-dd")</f>
        <v/>
      </c>
      <c r="C24446" t="inlineStr">
        <is>
          <t>1966-10-24</t>
        </is>
      </c>
    </row>
    <row r="24447">
      <c r="A24447" s="1" t="n">
        <v>24446</v>
      </c>
      <c r="B24447">
        <f>TEXT(24446, "[$-0E0000]yyyy-mm-dd")</f>
        <v/>
      </c>
      <c r="C24447" t="inlineStr">
        <is>
          <t>1966-10-25</t>
        </is>
      </c>
    </row>
    <row r="24448">
      <c r="A24448" s="1" t="n">
        <v>24447</v>
      </c>
      <c r="B24448">
        <f>TEXT(24447, "[$-0E0000]yyyy-mm-dd")</f>
        <v/>
      </c>
      <c r="C24448" t="inlineStr">
        <is>
          <t>1966-10-26</t>
        </is>
      </c>
    </row>
    <row r="24449">
      <c r="A24449" s="1" t="n">
        <v>24448</v>
      </c>
      <c r="B24449">
        <f>TEXT(24448, "[$-0E0000]yyyy-mm-dd")</f>
        <v/>
      </c>
      <c r="C24449" t="inlineStr">
        <is>
          <t>1966-10-27</t>
        </is>
      </c>
    </row>
    <row r="24450">
      <c r="A24450" s="1" t="n">
        <v>24449</v>
      </c>
      <c r="B24450">
        <f>TEXT(24449, "[$-0E0000]yyyy-mm-dd")</f>
        <v/>
      </c>
      <c r="C24450" t="inlineStr">
        <is>
          <t>1966-10-28</t>
        </is>
      </c>
    </row>
    <row r="24451">
      <c r="A24451" s="1" t="n">
        <v>24450</v>
      </c>
      <c r="B24451">
        <f>TEXT(24450, "[$-0E0000]yyyy-mm-dd")</f>
        <v/>
      </c>
      <c r="C24451" t="inlineStr">
        <is>
          <t>1966-10-29</t>
        </is>
      </c>
    </row>
    <row r="24452">
      <c r="A24452" s="1" t="n">
        <v>24451</v>
      </c>
      <c r="B24452">
        <f>TEXT(24451, "[$-0E0000]yyyy-mm-dd")</f>
        <v/>
      </c>
      <c r="C24452" t="inlineStr">
        <is>
          <t>1966-10-30</t>
        </is>
      </c>
    </row>
    <row r="24453">
      <c r="A24453" s="1" t="n">
        <v>24452</v>
      </c>
      <c r="B24453">
        <f>TEXT(24452, "[$-0E0000]yyyy-mm-dd")</f>
        <v/>
      </c>
      <c r="C24453" t="inlineStr">
        <is>
          <t>1966-11-01</t>
        </is>
      </c>
    </row>
    <row r="24454">
      <c r="A24454" s="1" t="n">
        <v>24453</v>
      </c>
      <c r="B24454">
        <f>TEXT(24453, "[$-0E0000]yyyy-mm-dd")</f>
        <v/>
      </c>
      <c r="C24454" t="inlineStr">
        <is>
          <t>1966-11-02</t>
        </is>
      </c>
    </row>
    <row r="24455">
      <c r="A24455" s="1" t="n">
        <v>24454</v>
      </c>
      <c r="B24455">
        <f>TEXT(24454, "[$-0E0000]yyyy-mm-dd")</f>
        <v/>
      </c>
      <c r="C24455" t="inlineStr">
        <is>
          <t>1966-11-03</t>
        </is>
      </c>
    </row>
    <row r="24456">
      <c r="A24456" s="1" t="n">
        <v>24455</v>
      </c>
      <c r="B24456">
        <f>TEXT(24455, "[$-0E0000]yyyy-mm-dd")</f>
        <v/>
      </c>
      <c r="C24456" t="inlineStr">
        <is>
          <t>1966-11-04</t>
        </is>
      </c>
    </row>
    <row r="24457">
      <c r="A24457" s="1" t="n">
        <v>24456</v>
      </c>
      <c r="B24457">
        <f>TEXT(24456, "[$-0E0000]yyyy-mm-dd")</f>
        <v/>
      </c>
      <c r="C24457" t="inlineStr">
        <is>
          <t>1966-11-05</t>
        </is>
      </c>
    </row>
    <row r="24458">
      <c r="A24458" s="1" t="n">
        <v>24457</v>
      </c>
      <c r="B24458">
        <f>TEXT(24457, "[$-0E0000]yyyy-mm-dd")</f>
        <v/>
      </c>
      <c r="C24458" t="inlineStr">
        <is>
          <t>1966-11-06</t>
        </is>
      </c>
    </row>
    <row r="24459">
      <c r="A24459" s="1" t="n">
        <v>24458</v>
      </c>
      <c r="B24459">
        <f>TEXT(24458, "[$-0E0000]yyyy-mm-dd")</f>
        <v/>
      </c>
      <c r="C24459" t="inlineStr">
        <is>
          <t>1966-11-07</t>
        </is>
      </c>
    </row>
    <row r="24460">
      <c r="A24460" s="1" t="n">
        <v>24459</v>
      </c>
      <c r="B24460">
        <f>TEXT(24459, "[$-0E0000]yyyy-mm-dd")</f>
        <v/>
      </c>
      <c r="C24460" t="inlineStr">
        <is>
          <t>1966-11-08</t>
        </is>
      </c>
    </row>
    <row r="24461">
      <c r="A24461" s="1" t="n">
        <v>24460</v>
      </c>
      <c r="B24461">
        <f>TEXT(24460, "[$-0E0000]yyyy-mm-dd")</f>
        <v/>
      </c>
      <c r="C24461" t="inlineStr">
        <is>
          <t>1966-11-09</t>
        </is>
      </c>
    </row>
    <row r="24462">
      <c r="A24462" s="1" t="n">
        <v>24461</v>
      </c>
      <c r="B24462">
        <f>TEXT(24461, "[$-0E0000]yyyy-mm-dd")</f>
        <v/>
      </c>
      <c r="C24462" t="inlineStr">
        <is>
          <t>1966-11-10</t>
        </is>
      </c>
    </row>
    <row r="24463">
      <c r="A24463" s="1" t="n">
        <v>24462</v>
      </c>
      <c r="B24463">
        <f>TEXT(24462, "[$-0E0000]yyyy-mm-dd")</f>
        <v/>
      </c>
      <c r="C24463" t="inlineStr">
        <is>
          <t>1966-11-11</t>
        </is>
      </c>
    </row>
    <row r="24464">
      <c r="A24464" s="1" t="n">
        <v>24463</v>
      </c>
      <c r="B24464">
        <f>TEXT(24463, "[$-0E0000]yyyy-mm-dd")</f>
        <v/>
      </c>
      <c r="C24464" t="inlineStr">
        <is>
          <t>1966-11-12</t>
        </is>
      </c>
    </row>
    <row r="24465">
      <c r="A24465" s="1" t="n">
        <v>24464</v>
      </c>
      <c r="B24465">
        <f>TEXT(24464, "[$-0E0000]yyyy-mm-dd")</f>
        <v/>
      </c>
      <c r="C24465" t="inlineStr">
        <is>
          <t>1966-11-13</t>
        </is>
      </c>
    </row>
    <row r="24466">
      <c r="A24466" s="1" t="n">
        <v>24465</v>
      </c>
      <c r="B24466">
        <f>TEXT(24465, "[$-0E0000]yyyy-mm-dd")</f>
        <v/>
      </c>
      <c r="C24466" t="inlineStr">
        <is>
          <t>1966-11-14</t>
        </is>
      </c>
    </row>
    <row r="24467">
      <c r="A24467" s="1" t="n">
        <v>24466</v>
      </c>
      <c r="B24467">
        <f>TEXT(24466, "[$-0E0000]yyyy-mm-dd")</f>
        <v/>
      </c>
      <c r="C24467" t="inlineStr">
        <is>
          <t>1966-11-15</t>
        </is>
      </c>
    </row>
    <row r="24468">
      <c r="A24468" s="1" t="n">
        <v>24467</v>
      </c>
      <c r="B24468">
        <f>TEXT(24467, "[$-0E0000]yyyy-mm-dd")</f>
        <v/>
      </c>
      <c r="C24468" t="inlineStr">
        <is>
          <t>1966-11-16</t>
        </is>
      </c>
    </row>
    <row r="24469">
      <c r="A24469" s="1" t="n">
        <v>24468</v>
      </c>
      <c r="B24469">
        <f>TEXT(24468, "[$-0E0000]yyyy-mm-dd")</f>
        <v/>
      </c>
      <c r="C24469" t="inlineStr">
        <is>
          <t>1966-11-17</t>
        </is>
      </c>
    </row>
    <row r="24470">
      <c r="A24470" s="1" t="n">
        <v>24469</v>
      </c>
      <c r="B24470">
        <f>TEXT(24469, "[$-0E0000]yyyy-mm-dd")</f>
        <v/>
      </c>
      <c r="C24470" t="inlineStr">
        <is>
          <t>1966-11-18</t>
        </is>
      </c>
    </row>
    <row r="24471">
      <c r="A24471" s="1" t="n">
        <v>24470</v>
      </c>
      <c r="B24471">
        <f>TEXT(24470, "[$-0E0000]yyyy-mm-dd")</f>
        <v/>
      </c>
      <c r="C24471" t="inlineStr">
        <is>
          <t>1966-11-19</t>
        </is>
      </c>
    </row>
    <row r="24472">
      <c r="A24472" s="1" t="n">
        <v>24471</v>
      </c>
      <c r="B24472">
        <f>TEXT(24471, "[$-0E0000]yyyy-mm-dd")</f>
        <v/>
      </c>
      <c r="C24472" t="inlineStr">
        <is>
          <t>1966-11-20</t>
        </is>
      </c>
    </row>
    <row r="24473">
      <c r="A24473" s="1" t="n">
        <v>24472</v>
      </c>
      <c r="B24473">
        <f>TEXT(24472, "[$-0E0000]yyyy-mm-dd")</f>
        <v/>
      </c>
      <c r="C24473" t="inlineStr">
        <is>
          <t>1966-11-21</t>
        </is>
      </c>
    </row>
    <row r="24474">
      <c r="A24474" s="1" t="n">
        <v>24473</v>
      </c>
      <c r="B24474">
        <f>TEXT(24473, "[$-0E0000]yyyy-mm-dd")</f>
        <v/>
      </c>
      <c r="C24474" t="inlineStr">
        <is>
          <t>1966-11-22</t>
        </is>
      </c>
    </row>
    <row r="24475">
      <c r="A24475" s="1" t="n">
        <v>24474</v>
      </c>
      <c r="B24475">
        <f>TEXT(24474, "[$-0E0000]yyyy-mm-dd")</f>
        <v/>
      </c>
      <c r="C24475" t="inlineStr">
        <is>
          <t>1966-11-23</t>
        </is>
      </c>
    </row>
    <row r="24476">
      <c r="A24476" s="1" t="n">
        <v>24475</v>
      </c>
      <c r="B24476">
        <f>TEXT(24475, "[$-0E0000]yyyy-mm-dd")</f>
        <v/>
      </c>
      <c r="C24476" t="inlineStr">
        <is>
          <t>1966-11-24</t>
        </is>
      </c>
    </row>
    <row r="24477">
      <c r="A24477" s="1" t="n">
        <v>24476</v>
      </c>
      <c r="B24477">
        <f>TEXT(24476, "[$-0E0000]yyyy-mm-dd")</f>
        <v/>
      </c>
      <c r="C24477" t="inlineStr">
        <is>
          <t>1966-11-25</t>
        </is>
      </c>
    </row>
    <row r="24478">
      <c r="A24478" s="1" t="n">
        <v>24477</v>
      </c>
      <c r="B24478">
        <f>TEXT(24477, "[$-0E0000]yyyy-mm-dd")</f>
        <v/>
      </c>
      <c r="C24478" t="inlineStr">
        <is>
          <t>1966-11-26</t>
        </is>
      </c>
    </row>
    <row r="24479">
      <c r="A24479" s="1" t="n">
        <v>24478</v>
      </c>
      <c r="B24479">
        <f>TEXT(24478, "[$-0E0000]yyyy-mm-dd")</f>
        <v/>
      </c>
      <c r="C24479" t="inlineStr">
        <is>
          <t>1966-11-27</t>
        </is>
      </c>
    </row>
    <row r="24480">
      <c r="A24480" s="1" t="n">
        <v>24479</v>
      </c>
      <c r="B24480">
        <f>TEXT(24479, "[$-0E0000]yyyy-mm-dd")</f>
        <v/>
      </c>
      <c r="C24480" t="inlineStr">
        <is>
          <t>1966-11-28</t>
        </is>
      </c>
    </row>
    <row r="24481">
      <c r="A24481" s="1" t="n">
        <v>24480</v>
      </c>
      <c r="B24481">
        <f>TEXT(24480, "[$-0E0000]yyyy-mm-dd")</f>
        <v/>
      </c>
      <c r="C24481" t="inlineStr">
        <is>
          <t>1966-11-29</t>
        </is>
      </c>
    </row>
    <row r="24482">
      <c r="A24482" s="1" t="n">
        <v>24481</v>
      </c>
      <c r="B24482">
        <f>TEXT(24481, "[$-0E0000]yyyy-mm-dd")</f>
        <v/>
      </c>
      <c r="C24482" t="inlineStr">
        <is>
          <t>1966-11-30</t>
        </is>
      </c>
    </row>
    <row r="24483">
      <c r="A24483" s="1" t="n">
        <v>24482</v>
      </c>
      <c r="B24483">
        <f>TEXT(24482, "[$-0E0000]yyyy-mm-dd")</f>
        <v/>
      </c>
      <c r="C24483" t="inlineStr">
        <is>
          <t>1966-12-01</t>
        </is>
      </c>
    </row>
    <row r="24484">
      <c r="A24484" s="1" t="n">
        <v>24483</v>
      </c>
      <c r="B24484">
        <f>TEXT(24483, "[$-0E0000]yyyy-mm-dd")</f>
        <v/>
      </c>
      <c r="C24484" t="inlineStr">
        <is>
          <t>1966-12-02</t>
        </is>
      </c>
    </row>
    <row r="24485">
      <c r="A24485" s="1" t="n">
        <v>24484</v>
      </c>
      <c r="B24485">
        <f>TEXT(24484, "[$-0E0000]yyyy-mm-dd")</f>
        <v/>
      </c>
      <c r="C24485" t="inlineStr">
        <is>
          <t>1966-12-03</t>
        </is>
      </c>
    </row>
    <row r="24486">
      <c r="A24486" s="1" t="n">
        <v>24485</v>
      </c>
      <c r="B24486">
        <f>TEXT(24485, "[$-0E0000]yyyy-mm-dd")</f>
        <v/>
      </c>
      <c r="C24486" t="inlineStr">
        <is>
          <t>1966-12-04</t>
        </is>
      </c>
    </row>
    <row r="24487">
      <c r="A24487" s="1" t="n">
        <v>24486</v>
      </c>
      <c r="B24487">
        <f>TEXT(24486, "[$-0E0000]yyyy-mm-dd")</f>
        <v/>
      </c>
      <c r="C24487" t="inlineStr">
        <is>
          <t>1966-12-05</t>
        </is>
      </c>
    </row>
    <row r="24488">
      <c r="A24488" s="1" t="n">
        <v>24487</v>
      </c>
      <c r="B24488">
        <f>TEXT(24487, "[$-0E0000]yyyy-mm-dd")</f>
        <v/>
      </c>
      <c r="C24488" t="inlineStr">
        <is>
          <t>1966-12-06</t>
        </is>
      </c>
    </row>
    <row r="24489">
      <c r="A24489" s="1" t="n">
        <v>24488</v>
      </c>
      <c r="B24489">
        <f>TEXT(24488, "[$-0E0000]yyyy-mm-dd")</f>
        <v/>
      </c>
      <c r="C24489" t="inlineStr">
        <is>
          <t>1966-12-07</t>
        </is>
      </c>
    </row>
    <row r="24490">
      <c r="A24490" s="1" t="n">
        <v>24489</v>
      </c>
      <c r="B24490">
        <f>TEXT(24489, "[$-0E0000]yyyy-mm-dd")</f>
        <v/>
      </c>
      <c r="C24490" t="inlineStr">
        <is>
          <t>1966-12-08</t>
        </is>
      </c>
    </row>
    <row r="24491">
      <c r="A24491" s="1" t="n">
        <v>24490</v>
      </c>
      <c r="B24491">
        <f>TEXT(24490, "[$-0E0000]yyyy-mm-dd")</f>
        <v/>
      </c>
      <c r="C24491" t="inlineStr">
        <is>
          <t>1966-12-09</t>
        </is>
      </c>
    </row>
    <row r="24492">
      <c r="A24492" s="1" t="n">
        <v>24491</v>
      </c>
      <c r="B24492">
        <f>TEXT(24491, "[$-0E0000]yyyy-mm-dd")</f>
        <v/>
      </c>
      <c r="C24492" t="inlineStr">
        <is>
          <t>1966-12-10</t>
        </is>
      </c>
    </row>
    <row r="24493">
      <c r="A24493" s="1" t="n">
        <v>24492</v>
      </c>
      <c r="B24493">
        <f>TEXT(24492, "[$-0E0000]yyyy-mm-dd")</f>
        <v/>
      </c>
      <c r="C24493" t="inlineStr">
        <is>
          <t>1966-12-11</t>
        </is>
      </c>
    </row>
    <row r="24494">
      <c r="A24494" s="1" t="n">
        <v>24493</v>
      </c>
      <c r="B24494">
        <f>TEXT(24493, "[$-0E0000]yyyy-mm-dd")</f>
        <v/>
      </c>
      <c r="C24494" t="inlineStr">
        <is>
          <t>1966-12-12</t>
        </is>
      </c>
    </row>
    <row r="24495">
      <c r="A24495" s="1" t="n">
        <v>24494</v>
      </c>
      <c r="B24495">
        <f>TEXT(24494, "[$-0E0000]yyyy-mm-dd")</f>
        <v/>
      </c>
      <c r="C24495" t="inlineStr">
        <is>
          <t>1966-12-13</t>
        </is>
      </c>
    </row>
    <row r="24496">
      <c r="A24496" s="1" t="n">
        <v>24495</v>
      </c>
      <c r="B24496">
        <f>TEXT(24495, "[$-0E0000]yyyy-mm-dd")</f>
        <v/>
      </c>
      <c r="C24496" t="inlineStr">
        <is>
          <t>1966-12-14</t>
        </is>
      </c>
    </row>
    <row r="24497">
      <c r="A24497" s="1" t="n">
        <v>24496</v>
      </c>
      <c r="B24497">
        <f>TEXT(24496, "[$-0E0000]yyyy-mm-dd")</f>
        <v/>
      </c>
      <c r="C24497" t="inlineStr">
        <is>
          <t>1966-12-15</t>
        </is>
      </c>
    </row>
    <row r="24498">
      <c r="A24498" s="1" t="n">
        <v>24497</v>
      </c>
      <c r="B24498">
        <f>TEXT(24497, "[$-0E0000]yyyy-mm-dd")</f>
        <v/>
      </c>
      <c r="C24498" t="inlineStr">
        <is>
          <t>1966-12-16</t>
        </is>
      </c>
    </row>
    <row r="24499">
      <c r="A24499" s="1" t="n">
        <v>24498</v>
      </c>
      <c r="B24499">
        <f>TEXT(24498, "[$-0E0000]yyyy-mm-dd")</f>
        <v/>
      </c>
      <c r="C24499" t="inlineStr">
        <is>
          <t>1966-12-17</t>
        </is>
      </c>
    </row>
    <row r="24500">
      <c r="A24500" s="1" t="n">
        <v>24499</v>
      </c>
      <c r="B24500">
        <f>TEXT(24499, "[$-0E0000]yyyy-mm-dd")</f>
        <v/>
      </c>
      <c r="C24500" t="inlineStr">
        <is>
          <t>1966-12-18</t>
        </is>
      </c>
    </row>
    <row r="24501">
      <c r="A24501" s="1" t="n">
        <v>24500</v>
      </c>
      <c r="B24501">
        <f>TEXT(24500, "[$-0E0000]yyyy-mm-dd")</f>
        <v/>
      </c>
      <c r="C24501" t="inlineStr">
        <is>
          <t>1966-12-19</t>
        </is>
      </c>
    </row>
    <row r="24502">
      <c r="A24502" s="1" t="n">
        <v>24501</v>
      </c>
      <c r="B24502">
        <f>TEXT(24501, "[$-0E0000]yyyy-mm-dd")</f>
        <v/>
      </c>
      <c r="C24502" t="inlineStr">
        <is>
          <t>1966-12-20</t>
        </is>
      </c>
    </row>
    <row r="24503">
      <c r="A24503" s="1" t="n">
        <v>24502</v>
      </c>
      <c r="B24503">
        <f>TEXT(24502, "[$-0E0000]yyyy-mm-dd")</f>
        <v/>
      </c>
      <c r="C24503" t="inlineStr">
        <is>
          <t>1966-12-21</t>
        </is>
      </c>
    </row>
    <row r="24504">
      <c r="A24504" s="1" t="n">
        <v>24503</v>
      </c>
      <c r="B24504">
        <f>TEXT(24503, "[$-0E0000]yyyy-mm-dd")</f>
        <v/>
      </c>
      <c r="C24504" t="inlineStr">
        <is>
          <t>1966-12-22</t>
        </is>
      </c>
    </row>
    <row r="24505">
      <c r="A24505" s="1" t="n">
        <v>24504</v>
      </c>
      <c r="B24505">
        <f>TEXT(24504, "[$-0E0000]yyyy-mm-dd")</f>
        <v/>
      </c>
      <c r="C24505" t="inlineStr">
        <is>
          <t>1966-12-23</t>
        </is>
      </c>
    </row>
    <row r="24506">
      <c r="A24506" s="1" t="n">
        <v>24505</v>
      </c>
      <c r="B24506">
        <f>TEXT(24505, "[$-0E0000]yyyy-mm-dd")</f>
        <v/>
      </c>
      <c r="C24506" t="inlineStr">
        <is>
          <t>1966-12-24</t>
        </is>
      </c>
    </row>
    <row r="24507">
      <c r="A24507" s="1" t="n">
        <v>24506</v>
      </c>
      <c r="B24507">
        <f>TEXT(24506, "[$-0E0000]yyyy-mm-dd")</f>
        <v/>
      </c>
      <c r="C24507" t="inlineStr">
        <is>
          <t>1966-12-25</t>
        </is>
      </c>
    </row>
    <row r="24508">
      <c r="A24508" s="1" t="n">
        <v>24507</v>
      </c>
      <c r="B24508">
        <f>TEXT(24507, "[$-0E0000]yyyy-mm-dd")</f>
        <v/>
      </c>
      <c r="C24508" t="inlineStr">
        <is>
          <t>1966-12-26</t>
        </is>
      </c>
    </row>
    <row r="24509">
      <c r="A24509" s="1" t="n">
        <v>24508</v>
      </c>
      <c r="B24509">
        <f>TEXT(24508, "[$-0E0000]yyyy-mm-dd")</f>
        <v/>
      </c>
      <c r="C24509" t="inlineStr">
        <is>
          <t>1966-12-27</t>
        </is>
      </c>
    </row>
    <row r="24510">
      <c r="A24510" s="1" t="n">
        <v>24509</v>
      </c>
      <c r="B24510">
        <f>TEXT(24509, "[$-0E0000]yyyy-mm-dd")</f>
        <v/>
      </c>
      <c r="C24510" t="inlineStr">
        <is>
          <t>1966-12-28</t>
        </is>
      </c>
    </row>
    <row r="24511">
      <c r="A24511" s="1" t="n">
        <v>24510</v>
      </c>
      <c r="B24511">
        <f>TEXT(24510, "[$-0E0000]yyyy-mm-dd")</f>
        <v/>
      </c>
      <c r="C24511" t="inlineStr">
        <is>
          <t>1966-12-29</t>
        </is>
      </c>
    </row>
    <row r="24512">
      <c r="A24512" s="1" t="n">
        <v>24511</v>
      </c>
      <c r="B24512">
        <f>TEXT(24511, "[$-0E0000]yyyy-mm-dd")</f>
        <v/>
      </c>
      <c r="C24512" t="inlineStr">
        <is>
          <t>1967-01-01</t>
        </is>
      </c>
    </row>
    <row r="24513">
      <c r="A24513" s="1" t="n">
        <v>24512</v>
      </c>
      <c r="B24513">
        <f>TEXT(24512, "[$-0E0000]yyyy-mm-dd")</f>
        <v/>
      </c>
      <c r="C24513" t="inlineStr">
        <is>
          <t>1967-01-02</t>
        </is>
      </c>
    </row>
    <row r="24514">
      <c r="A24514" s="1" t="n">
        <v>24513</v>
      </c>
      <c r="B24514">
        <f>TEXT(24513, "[$-0E0000]yyyy-mm-dd")</f>
        <v/>
      </c>
      <c r="C24514" t="inlineStr">
        <is>
          <t>1967-01-03</t>
        </is>
      </c>
    </row>
    <row r="24515">
      <c r="A24515" s="1" t="n">
        <v>24514</v>
      </c>
      <c r="B24515">
        <f>TEXT(24514, "[$-0E0000]yyyy-mm-dd")</f>
        <v/>
      </c>
      <c r="C24515" t="inlineStr">
        <is>
          <t>1967-01-04</t>
        </is>
      </c>
    </row>
    <row r="24516">
      <c r="A24516" s="1" t="n">
        <v>24515</v>
      </c>
      <c r="B24516">
        <f>TEXT(24515, "[$-0E0000]yyyy-mm-dd")</f>
        <v/>
      </c>
      <c r="C24516" t="inlineStr">
        <is>
          <t>1967-01-05</t>
        </is>
      </c>
    </row>
    <row r="24517">
      <c r="A24517" s="1" t="n">
        <v>24516</v>
      </c>
      <c r="B24517">
        <f>TEXT(24516, "[$-0E0000]yyyy-mm-dd")</f>
        <v/>
      </c>
      <c r="C24517" t="inlineStr">
        <is>
          <t>1967-01-06</t>
        </is>
      </c>
    </row>
    <row r="24518">
      <c r="A24518" s="1" t="n">
        <v>24517</v>
      </c>
      <c r="B24518">
        <f>TEXT(24517, "[$-0E0000]yyyy-mm-dd")</f>
        <v/>
      </c>
      <c r="C24518" t="inlineStr">
        <is>
          <t>1967-01-07</t>
        </is>
      </c>
    </row>
    <row r="24519">
      <c r="A24519" s="1" t="n">
        <v>24518</v>
      </c>
      <c r="B24519">
        <f>TEXT(24518, "[$-0E0000]yyyy-mm-dd")</f>
        <v/>
      </c>
      <c r="C24519" t="inlineStr">
        <is>
          <t>1967-01-08</t>
        </is>
      </c>
    </row>
    <row r="24520">
      <c r="A24520" s="1" t="n">
        <v>24519</v>
      </c>
      <c r="B24520">
        <f>TEXT(24519, "[$-0E0000]yyyy-mm-dd")</f>
        <v/>
      </c>
      <c r="C24520" t="inlineStr">
        <is>
          <t>1967-01-09</t>
        </is>
      </c>
    </row>
    <row r="24521">
      <c r="A24521" s="1" t="n">
        <v>24520</v>
      </c>
      <c r="B24521">
        <f>TEXT(24520, "[$-0E0000]yyyy-mm-dd")</f>
        <v/>
      </c>
      <c r="C24521" t="inlineStr">
        <is>
          <t>1967-01-10</t>
        </is>
      </c>
    </row>
    <row r="24522">
      <c r="A24522" s="1" t="n">
        <v>24521</v>
      </c>
      <c r="B24522">
        <f>TEXT(24521, "[$-0E0000]yyyy-mm-dd")</f>
        <v/>
      </c>
      <c r="C24522" t="inlineStr">
        <is>
          <t>1967-01-11</t>
        </is>
      </c>
    </row>
    <row r="24523">
      <c r="A24523" s="1" t="n">
        <v>24522</v>
      </c>
      <c r="B24523">
        <f>TEXT(24522, "[$-0E0000]yyyy-mm-dd")</f>
        <v/>
      </c>
      <c r="C24523" t="inlineStr">
        <is>
          <t>1967-01-12</t>
        </is>
      </c>
    </row>
    <row r="24524">
      <c r="A24524" s="1" t="n">
        <v>24523</v>
      </c>
      <c r="B24524">
        <f>TEXT(24523, "[$-0E0000]yyyy-mm-dd")</f>
        <v/>
      </c>
      <c r="C24524" t="inlineStr">
        <is>
          <t>1967-01-13</t>
        </is>
      </c>
    </row>
    <row r="24525">
      <c r="A24525" s="1" t="n">
        <v>24524</v>
      </c>
      <c r="B24525">
        <f>TEXT(24524, "[$-0E0000]yyyy-mm-dd")</f>
        <v/>
      </c>
      <c r="C24525" t="inlineStr">
        <is>
          <t>1967-01-14</t>
        </is>
      </c>
    </row>
    <row r="24526">
      <c r="A24526" s="1" t="n">
        <v>24525</v>
      </c>
      <c r="B24526">
        <f>TEXT(24525, "[$-0E0000]yyyy-mm-dd")</f>
        <v/>
      </c>
      <c r="C24526" t="inlineStr">
        <is>
          <t>1967-01-15</t>
        </is>
      </c>
    </row>
    <row r="24527">
      <c r="A24527" s="1" t="n">
        <v>24526</v>
      </c>
      <c r="B24527">
        <f>TEXT(24526, "[$-0E0000]yyyy-mm-dd")</f>
        <v/>
      </c>
      <c r="C24527" t="inlineStr">
        <is>
          <t>1967-01-16</t>
        </is>
      </c>
    </row>
    <row r="24528">
      <c r="A24528" s="1" t="n">
        <v>24527</v>
      </c>
      <c r="B24528">
        <f>TEXT(24527, "[$-0E0000]yyyy-mm-dd")</f>
        <v/>
      </c>
      <c r="C24528" t="inlineStr">
        <is>
          <t>1967-01-17</t>
        </is>
      </c>
    </row>
    <row r="24529">
      <c r="A24529" s="1" t="n">
        <v>24528</v>
      </c>
      <c r="B24529">
        <f>TEXT(24528, "[$-0E0000]yyyy-mm-dd")</f>
        <v/>
      </c>
      <c r="C24529" t="inlineStr">
        <is>
          <t>1967-01-18</t>
        </is>
      </c>
    </row>
    <row r="24530">
      <c r="A24530" s="1" t="n">
        <v>24529</v>
      </c>
      <c r="B24530">
        <f>TEXT(24529, "[$-0E0000]yyyy-mm-dd")</f>
        <v/>
      </c>
      <c r="C24530" t="inlineStr">
        <is>
          <t>1967-01-19</t>
        </is>
      </c>
    </row>
    <row r="24531">
      <c r="A24531" s="1" t="n">
        <v>24530</v>
      </c>
      <c r="B24531">
        <f>TEXT(24530, "[$-0E0000]yyyy-mm-dd")</f>
        <v/>
      </c>
      <c r="C24531" t="inlineStr">
        <is>
          <t>1967-01-20</t>
        </is>
      </c>
    </row>
    <row r="24532">
      <c r="A24532" s="1" t="n">
        <v>24531</v>
      </c>
      <c r="B24532">
        <f>TEXT(24531, "[$-0E0000]yyyy-mm-dd")</f>
        <v/>
      </c>
      <c r="C24532" t="inlineStr">
        <is>
          <t>1967-01-21</t>
        </is>
      </c>
    </row>
    <row r="24533">
      <c r="A24533" s="1" t="n">
        <v>24532</v>
      </c>
      <c r="B24533">
        <f>TEXT(24532, "[$-0E0000]yyyy-mm-dd")</f>
        <v/>
      </c>
      <c r="C24533" t="inlineStr">
        <is>
          <t>1967-01-22</t>
        </is>
      </c>
    </row>
    <row r="24534">
      <c r="A24534" s="1" t="n">
        <v>24533</v>
      </c>
      <c r="B24534">
        <f>TEXT(24533, "[$-0E0000]yyyy-mm-dd")</f>
        <v/>
      </c>
      <c r="C24534" t="inlineStr">
        <is>
          <t>1967-01-23</t>
        </is>
      </c>
    </row>
    <row r="24535">
      <c r="A24535" s="1" t="n">
        <v>24534</v>
      </c>
      <c r="B24535">
        <f>TEXT(24534, "[$-0E0000]yyyy-mm-dd")</f>
        <v/>
      </c>
      <c r="C24535" t="inlineStr">
        <is>
          <t>1967-01-24</t>
        </is>
      </c>
    </row>
    <row r="24536">
      <c r="A24536" s="1" t="n">
        <v>24535</v>
      </c>
      <c r="B24536">
        <f>TEXT(24535, "[$-0E0000]yyyy-mm-dd")</f>
        <v/>
      </c>
      <c r="C24536" t="inlineStr">
        <is>
          <t>1967-01-25</t>
        </is>
      </c>
    </row>
    <row r="24537">
      <c r="A24537" s="1" t="n">
        <v>24536</v>
      </c>
      <c r="B24537">
        <f>TEXT(24536, "[$-0E0000]yyyy-mm-dd")</f>
        <v/>
      </c>
      <c r="C24537" t="inlineStr">
        <is>
          <t>1967-01-26</t>
        </is>
      </c>
    </row>
    <row r="24538">
      <c r="A24538" s="1" t="n">
        <v>24537</v>
      </c>
      <c r="B24538">
        <f>TEXT(24537, "[$-0E0000]yyyy-mm-dd")</f>
        <v/>
      </c>
      <c r="C24538" t="inlineStr">
        <is>
          <t>1967-01-27</t>
        </is>
      </c>
    </row>
    <row r="24539">
      <c r="A24539" s="1" t="n">
        <v>24538</v>
      </c>
      <c r="B24539">
        <f>TEXT(24538, "[$-0E0000]yyyy-mm-dd")</f>
        <v/>
      </c>
      <c r="C24539" t="inlineStr">
        <is>
          <t>1967-01-28</t>
        </is>
      </c>
    </row>
    <row r="24540">
      <c r="A24540" s="1" t="n">
        <v>24539</v>
      </c>
      <c r="B24540">
        <f>TEXT(24539, "[$-0E0000]yyyy-mm-dd")</f>
        <v/>
      </c>
      <c r="C24540" t="inlineStr">
        <is>
          <t>1967-01-29</t>
        </is>
      </c>
    </row>
    <row r="24541">
      <c r="A24541" s="1" t="n">
        <v>24540</v>
      </c>
      <c r="B24541">
        <f>TEXT(24540, "[$-0E0000]yyyy-mm-dd")</f>
        <v/>
      </c>
      <c r="C24541" t="inlineStr">
        <is>
          <t>1967-01-30</t>
        </is>
      </c>
    </row>
    <row r="24542">
      <c r="A24542" s="1" t="n">
        <v>24541</v>
      </c>
      <c r="B24542">
        <f>TEXT(24541, "[$-0E0000]yyyy-mm-dd")</f>
        <v/>
      </c>
      <c r="C24542" t="inlineStr">
        <is>
          <t>1967-02-01</t>
        </is>
      </c>
    </row>
    <row r="24543">
      <c r="A24543" s="1" t="n">
        <v>24542</v>
      </c>
      <c r="B24543">
        <f>TEXT(24542, "[$-0E0000]yyyy-mm-dd")</f>
        <v/>
      </c>
      <c r="C24543" t="inlineStr">
        <is>
          <t>1967-02-02</t>
        </is>
      </c>
    </row>
    <row r="24544">
      <c r="A24544" s="1" t="n">
        <v>24543</v>
      </c>
      <c r="B24544">
        <f>TEXT(24543, "[$-0E0000]yyyy-mm-dd")</f>
        <v/>
      </c>
      <c r="C24544" t="inlineStr">
        <is>
          <t>1967-02-03</t>
        </is>
      </c>
    </row>
    <row r="24545">
      <c r="A24545" s="1" t="n">
        <v>24544</v>
      </c>
      <c r="B24545">
        <f>TEXT(24544, "[$-0E0000]yyyy-mm-dd")</f>
        <v/>
      </c>
      <c r="C24545" t="inlineStr">
        <is>
          <t>1967-02-04</t>
        </is>
      </c>
    </row>
    <row r="24546">
      <c r="A24546" s="1" t="n">
        <v>24545</v>
      </c>
      <c r="B24546">
        <f>TEXT(24545, "[$-0E0000]yyyy-mm-dd")</f>
        <v/>
      </c>
      <c r="C24546" t="inlineStr">
        <is>
          <t>1967-02-05</t>
        </is>
      </c>
    </row>
    <row r="24547">
      <c r="A24547" s="1" t="n">
        <v>24546</v>
      </c>
      <c r="B24547">
        <f>TEXT(24546, "[$-0E0000]yyyy-mm-dd")</f>
        <v/>
      </c>
      <c r="C24547" t="inlineStr">
        <is>
          <t>1967-02-06</t>
        </is>
      </c>
    </row>
    <row r="24548">
      <c r="A24548" s="1" t="n">
        <v>24547</v>
      </c>
      <c r="B24548">
        <f>TEXT(24547, "[$-0E0000]yyyy-mm-dd")</f>
        <v/>
      </c>
      <c r="C24548" t="inlineStr">
        <is>
          <t>1967-02-07</t>
        </is>
      </c>
    </row>
    <row r="24549">
      <c r="A24549" s="1" t="n">
        <v>24548</v>
      </c>
      <c r="B24549">
        <f>TEXT(24548, "[$-0E0000]yyyy-mm-dd")</f>
        <v/>
      </c>
      <c r="C24549" t="inlineStr">
        <is>
          <t>1967-02-08</t>
        </is>
      </c>
    </row>
    <row r="24550">
      <c r="A24550" s="1" t="n">
        <v>24549</v>
      </c>
      <c r="B24550">
        <f>TEXT(24549, "[$-0E0000]yyyy-mm-dd")</f>
        <v/>
      </c>
      <c r="C24550" t="inlineStr">
        <is>
          <t>1967-02-09</t>
        </is>
      </c>
    </row>
    <row r="24551">
      <c r="A24551" s="1" t="n">
        <v>24550</v>
      </c>
      <c r="B24551">
        <f>TEXT(24550, "[$-0E0000]yyyy-mm-dd")</f>
        <v/>
      </c>
      <c r="C24551" t="inlineStr">
        <is>
          <t>1967-02-10</t>
        </is>
      </c>
    </row>
    <row r="24552">
      <c r="A24552" s="1" t="n">
        <v>24551</v>
      </c>
      <c r="B24552">
        <f>TEXT(24551, "[$-0E0000]yyyy-mm-dd")</f>
        <v/>
      </c>
      <c r="C24552" t="inlineStr">
        <is>
          <t>1967-02-11</t>
        </is>
      </c>
    </row>
    <row r="24553">
      <c r="A24553" s="1" t="n">
        <v>24552</v>
      </c>
      <c r="B24553">
        <f>TEXT(24552, "[$-0E0000]yyyy-mm-dd")</f>
        <v/>
      </c>
      <c r="C24553" t="inlineStr">
        <is>
          <t>1967-02-12</t>
        </is>
      </c>
    </row>
    <row r="24554">
      <c r="A24554" s="1" t="n">
        <v>24553</v>
      </c>
      <c r="B24554">
        <f>TEXT(24553, "[$-0E0000]yyyy-mm-dd")</f>
        <v/>
      </c>
      <c r="C24554" t="inlineStr">
        <is>
          <t>1967-02-13</t>
        </is>
      </c>
    </row>
    <row r="24555">
      <c r="A24555" s="1" t="n">
        <v>24554</v>
      </c>
      <c r="B24555">
        <f>TEXT(24554, "[$-0E0000]yyyy-mm-dd")</f>
        <v/>
      </c>
      <c r="C24555" t="inlineStr">
        <is>
          <t>1967-02-14</t>
        </is>
      </c>
    </row>
    <row r="24556">
      <c r="A24556" s="1" t="n">
        <v>24555</v>
      </c>
      <c r="B24556">
        <f>TEXT(24555, "[$-0E0000]yyyy-mm-dd")</f>
        <v/>
      </c>
      <c r="C24556" t="inlineStr">
        <is>
          <t>1967-02-15</t>
        </is>
      </c>
    </row>
    <row r="24557">
      <c r="A24557" s="1" t="n">
        <v>24556</v>
      </c>
      <c r="B24557">
        <f>TEXT(24556, "[$-0E0000]yyyy-mm-dd")</f>
        <v/>
      </c>
      <c r="C24557" t="inlineStr">
        <is>
          <t>1967-02-16</t>
        </is>
      </c>
    </row>
    <row r="24558">
      <c r="A24558" s="1" t="n">
        <v>24557</v>
      </c>
      <c r="B24558">
        <f>TEXT(24557, "[$-0E0000]yyyy-mm-dd")</f>
        <v/>
      </c>
      <c r="C24558" t="inlineStr">
        <is>
          <t>1967-02-17</t>
        </is>
      </c>
    </row>
    <row r="24559">
      <c r="A24559" s="1" t="n">
        <v>24558</v>
      </c>
      <c r="B24559">
        <f>TEXT(24558, "[$-0E0000]yyyy-mm-dd")</f>
        <v/>
      </c>
      <c r="C24559" t="inlineStr">
        <is>
          <t>1967-02-18</t>
        </is>
      </c>
    </row>
    <row r="24560">
      <c r="A24560" s="1" t="n">
        <v>24559</v>
      </c>
      <c r="B24560">
        <f>TEXT(24559, "[$-0E0000]yyyy-mm-dd")</f>
        <v/>
      </c>
      <c r="C24560" t="inlineStr">
        <is>
          <t>1967-02-19</t>
        </is>
      </c>
    </row>
    <row r="24561">
      <c r="A24561" s="1" t="n">
        <v>24560</v>
      </c>
      <c r="B24561">
        <f>TEXT(24560, "[$-0E0000]yyyy-mm-dd")</f>
        <v/>
      </c>
      <c r="C24561" t="inlineStr">
        <is>
          <t>1967-02-20</t>
        </is>
      </c>
    </row>
    <row r="24562">
      <c r="A24562" s="1" t="n">
        <v>24561</v>
      </c>
      <c r="B24562">
        <f>TEXT(24561, "[$-0E0000]yyyy-mm-dd")</f>
        <v/>
      </c>
      <c r="C24562" t="inlineStr">
        <is>
          <t>1967-02-21</t>
        </is>
      </c>
    </row>
    <row r="24563">
      <c r="A24563" s="1" t="n">
        <v>24562</v>
      </c>
      <c r="B24563">
        <f>TEXT(24562, "[$-0E0000]yyyy-mm-dd")</f>
        <v/>
      </c>
      <c r="C24563" t="inlineStr">
        <is>
          <t>1967-02-22</t>
        </is>
      </c>
    </row>
    <row r="24564">
      <c r="A24564" s="1" t="n">
        <v>24563</v>
      </c>
      <c r="B24564">
        <f>TEXT(24563, "[$-0E0000]yyyy-mm-dd")</f>
        <v/>
      </c>
      <c r="C24564" t="inlineStr">
        <is>
          <t>1967-02-23</t>
        </is>
      </c>
    </row>
    <row r="24565">
      <c r="A24565" s="1" t="n">
        <v>24564</v>
      </c>
      <c r="B24565">
        <f>TEXT(24564, "[$-0E0000]yyyy-mm-dd")</f>
        <v/>
      </c>
      <c r="C24565" t="inlineStr">
        <is>
          <t>1967-02-24</t>
        </is>
      </c>
    </row>
    <row r="24566">
      <c r="A24566" s="1" t="n">
        <v>24565</v>
      </c>
      <c r="B24566">
        <f>TEXT(24565, "[$-0E0000]yyyy-mm-dd")</f>
        <v/>
      </c>
      <c r="C24566" t="inlineStr">
        <is>
          <t>1967-02-25</t>
        </is>
      </c>
    </row>
    <row r="24567">
      <c r="A24567" s="1" t="n">
        <v>24566</v>
      </c>
      <c r="B24567">
        <f>TEXT(24566, "[$-0E0000]yyyy-mm-dd")</f>
        <v/>
      </c>
      <c r="C24567" t="inlineStr">
        <is>
          <t>1967-02-26</t>
        </is>
      </c>
    </row>
    <row r="24568">
      <c r="A24568" s="1" t="n">
        <v>24567</v>
      </c>
      <c r="B24568">
        <f>TEXT(24567, "[$-0E0000]yyyy-mm-dd")</f>
        <v/>
      </c>
      <c r="C24568" t="inlineStr">
        <is>
          <t>1967-02-27</t>
        </is>
      </c>
    </row>
    <row r="24569">
      <c r="A24569" s="1" t="n">
        <v>24568</v>
      </c>
      <c r="B24569">
        <f>TEXT(24568, "[$-0E0000]yyyy-mm-dd")</f>
        <v/>
      </c>
      <c r="C24569" t="inlineStr">
        <is>
          <t>1967-02-28</t>
        </is>
      </c>
    </row>
    <row r="24570">
      <c r="A24570" s="1" t="n">
        <v>24569</v>
      </c>
      <c r="B24570">
        <f>TEXT(24569, "[$-0E0000]yyyy-mm-dd")</f>
        <v/>
      </c>
      <c r="C24570" t="inlineStr">
        <is>
          <t>1967-02-29</t>
        </is>
      </c>
    </row>
    <row r="24571">
      <c r="A24571" s="1" t="n">
        <v>24570</v>
      </c>
      <c r="B24571">
        <f>TEXT(24570, "[$-0E0000]yyyy-mm-dd")</f>
        <v/>
      </c>
      <c r="C24571" t="inlineStr">
        <is>
          <t>1967-02-30</t>
        </is>
      </c>
    </row>
    <row r="24572">
      <c r="A24572" s="1" t="n">
        <v>24571</v>
      </c>
      <c r="B24572">
        <f>TEXT(24571, "[$-0E0000]yyyy-mm-dd")</f>
        <v/>
      </c>
      <c r="C24572" t="inlineStr">
        <is>
          <t>1967-03-01</t>
        </is>
      </c>
    </row>
    <row r="24573">
      <c r="A24573" s="1" t="n">
        <v>24572</v>
      </c>
      <c r="B24573">
        <f>TEXT(24572, "[$-0E0000]yyyy-mm-dd")</f>
        <v/>
      </c>
      <c r="C24573" t="inlineStr">
        <is>
          <t>1967-03-02</t>
        </is>
      </c>
    </row>
    <row r="24574">
      <c r="A24574" s="1" t="n">
        <v>24573</v>
      </c>
      <c r="B24574">
        <f>TEXT(24573, "[$-0E0000]yyyy-mm-dd")</f>
        <v/>
      </c>
      <c r="C24574" t="inlineStr">
        <is>
          <t>1967-03-03</t>
        </is>
      </c>
    </row>
    <row r="24575">
      <c r="A24575" s="1" t="n">
        <v>24574</v>
      </c>
      <c r="B24575">
        <f>TEXT(24574, "[$-0E0000]yyyy-mm-dd")</f>
        <v/>
      </c>
      <c r="C24575" t="inlineStr">
        <is>
          <t>1967-03-04</t>
        </is>
      </c>
    </row>
    <row r="24576">
      <c r="A24576" s="1" t="n">
        <v>24575</v>
      </c>
      <c r="B24576">
        <f>TEXT(24575, "[$-0E0000]yyyy-mm-dd")</f>
        <v/>
      </c>
      <c r="C24576" t="inlineStr">
        <is>
          <t>1967-03-05</t>
        </is>
      </c>
    </row>
    <row r="24577">
      <c r="A24577" s="1" t="n">
        <v>24576</v>
      </c>
      <c r="B24577">
        <f>TEXT(24576, "[$-0E0000]yyyy-mm-dd")</f>
        <v/>
      </c>
      <c r="C24577" t="inlineStr">
        <is>
          <t>1967-03-06</t>
        </is>
      </c>
    </row>
    <row r="24578">
      <c r="A24578" s="1" t="n">
        <v>24577</v>
      </c>
      <c r="B24578">
        <f>TEXT(24577, "[$-0E0000]yyyy-mm-dd")</f>
        <v/>
      </c>
      <c r="C24578" t="inlineStr">
        <is>
          <t>1967-03-07</t>
        </is>
      </c>
    </row>
    <row r="24579">
      <c r="A24579" s="1" t="n">
        <v>24578</v>
      </c>
      <c r="B24579">
        <f>TEXT(24578, "[$-0E0000]yyyy-mm-dd")</f>
        <v/>
      </c>
      <c r="C24579" t="inlineStr">
        <is>
          <t>1967-03-08</t>
        </is>
      </c>
    </row>
    <row r="24580">
      <c r="A24580" s="1" t="n">
        <v>24579</v>
      </c>
      <c r="B24580">
        <f>TEXT(24579, "[$-0E0000]yyyy-mm-dd")</f>
        <v/>
      </c>
      <c r="C24580" t="inlineStr">
        <is>
          <t>1967-03-09</t>
        </is>
      </c>
    </row>
    <row r="24581">
      <c r="A24581" s="1" t="n">
        <v>24580</v>
      </c>
      <c r="B24581">
        <f>TEXT(24580, "[$-0E0000]yyyy-mm-dd")</f>
        <v/>
      </c>
      <c r="C24581" t="inlineStr">
        <is>
          <t>1967-03-10</t>
        </is>
      </c>
    </row>
    <row r="24582">
      <c r="A24582" s="1" t="n">
        <v>24581</v>
      </c>
      <c r="B24582">
        <f>TEXT(24581, "[$-0E0000]yyyy-mm-dd")</f>
        <v/>
      </c>
      <c r="C24582" t="inlineStr">
        <is>
          <t>1967-03-11</t>
        </is>
      </c>
    </row>
    <row r="24583">
      <c r="A24583" s="1" t="n">
        <v>24582</v>
      </c>
      <c r="B24583">
        <f>TEXT(24582, "[$-0E0000]yyyy-mm-dd")</f>
        <v/>
      </c>
      <c r="C24583" t="inlineStr">
        <is>
          <t>1967-03-12</t>
        </is>
      </c>
    </row>
    <row r="24584">
      <c r="A24584" s="1" t="n">
        <v>24583</v>
      </c>
      <c r="B24584">
        <f>TEXT(24583, "[$-0E0000]yyyy-mm-dd")</f>
        <v/>
      </c>
      <c r="C24584" t="inlineStr">
        <is>
          <t>1967-03-13</t>
        </is>
      </c>
    </row>
    <row r="24585">
      <c r="A24585" s="1" t="n">
        <v>24584</v>
      </c>
      <c r="B24585">
        <f>TEXT(24584, "[$-0E0000]yyyy-mm-dd")</f>
        <v/>
      </c>
      <c r="C24585" t="inlineStr">
        <is>
          <t>1967-03-14</t>
        </is>
      </c>
    </row>
    <row r="24586">
      <c r="A24586" s="1" t="n">
        <v>24585</v>
      </c>
      <c r="B24586">
        <f>TEXT(24585, "[$-0E0000]yyyy-mm-dd")</f>
        <v/>
      </c>
      <c r="C24586" t="inlineStr">
        <is>
          <t>1967-03-15</t>
        </is>
      </c>
    </row>
    <row r="24587">
      <c r="A24587" s="1" t="n">
        <v>24586</v>
      </c>
      <c r="B24587">
        <f>TEXT(24586, "[$-0E0000]yyyy-mm-dd")</f>
        <v/>
      </c>
      <c r="C24587" t="inlineStr">
        <is>
          <t>1967-03-16</t>
        </is>
      </c>
    </row>
    <row r="24588">
      <c r="A24588" s="1" t="n">
        <v>24587</v>
      </c>
      <c r="B24588">
        <f>TEXT(24587, "[$-0E0000]yyyy-mm-dd")</f>
        <v/>
      </c>
      <c r="C24588" t="inlineStr">
        <is>
          <t>1967-03-17</t>
        </is>
      </c>
    </row>
    <row r="24589">
      <c r="A24589" s="1" t="n">
        <v>24588</v>
      </c>
      <c r="B24589">
        <f>TEXT(24588, "[$-0E0000]yyyy-mm-dd")</f>
        <v/>
      </c>
      <c r="C24589" t="inlineStr">
        <is>
          <t>1967-03-18</t>
        </is>
      </c>
    </row>
    <row r="24590">
      <c r="A24590" s="1" t="n">
        <v>24589</v>
      </c>
      <c r="B24590">
        <f>TEXT(24589, "[$-0E0000]yyyy-mm-dd")</f>
        <v/>
      </c>
      <c r="C24590" t="inlineStr">
        <is>
          <t>1967-03-19</t>
        </is>
      </c>
    </row>
    <row r="24591">
      <c r="A24591" s="1" t="n">
        <v>24590</v>
      </c>
      <c r="B24591">
        <f>TEXT(24590, "[$-0E0000]yyyy-mm-dd")</f>
        <v/>
      </c>
      <c r="C24591" t="inlineStr">
        <is>
          <t>1967-03-20</t>
        </is>
      </c>
    </row>
    <row r="24592">
      <c r="A24592" s="1" t="n">
        <v>24591</v>
      </c>
      <c r="B24592">
        <f>TEXT(24591, "[$-0E0000]yyyy-mm-dd")</f>
        <v/>
      </c>
      <c r="C24592" t="inlineStr">
        <is>
          <t>1967-03-21</t>
        </is>
      </c>
    </row>
    <row r="24593">
      <c r="A24593" s="1" t="n">
        <v>24592</v>
      </c>
      <c r="B24593">
        <f>TEXT(24592, "[$-0E0000]yyyy-mm-dd")</f>
        <v/>
      </c>
      <c r="C24593" t="inlineStr">
        <is>
          <t>1967-03-22</t>
        </is>
      </c>
    </row>
    <row r="24594">
      <c r="A24594" s="1" t="n">
        <v>24593</v>
      </c>
      <c r="B24594">
        <f>TEXT(24593, "[$-0E0000]yyyy-mm-dd")</f>
        <v/>
      </c>
      <c r="C24594" t="inlineStr">
        <is>
          <t>1967-03-23</t>
        </is>
      </c>
    </row>
    <row r="24595">
      <c r="A24595" s="1" t="n">
        <v>24594</v>
      </c>
      <c r="B24595">
        <f>TEXT(24594, "[$-0E0000]yyyy-mm-dd")</f>
        <v/>
      </c>
      <c r="C24595" t="inlineStr">
        <is>
          <t>1967-03-24</t>
        </is>
      </c>
    </row>
    <row r="24596">
      <c r="A24596" s="1" t="n">
        <v>24595</v>
      </c>
      <c r="B24596">
        <f>TEXT(24595, "[$-0E0000]yyyy-mm-dd")</f>
        <v/>
      </c>
      <c r="C24596" t="inlineStr">
        <is>
          <t>1967-03-25</t>
        </is>
      </c>
    </row>
    <row r="24597">
      <c r="A24597" s="1" t="n">
        <v>24596</v>
      </c>
      <c r="B24597">
        <f>TEXT(24596, "[$-0E0000]yyyy-mm-dd")</f>
        <v/>
      </c>
      <c r="C24597" t="inlineStr">
        <is>
          <t>1967-03-26</t>
        </is>
      </c>
    </row>
    <row r="24598">
      <c r="A24598" s="1" t="n">
        <v>24597</v>
      </c>
      <c r="B24598">
        <f>TEXT(24597, "[$-0E0000]yyyy-mm-dd")</f>
        <v/>
      </c>
      <c r="C24598" t="inlineStr">
        <is>
          <t>1967-03-27</t>
        </is>
      </c>
    </row>
    <row r="24599">
      <c r="A24599" s="1" t="n">
        <v>24598</v>
      </c>
      <c r="B24599">
        <f>TEXT(24598, "[$-0E0000]yyyy-mm-dd")</f>
        <v/>
      </c>
      <c r="C24599" t="inlineStr">
        <is>
          <t>1967-03-28</t>
        </is>
      </c>
    </row>
    <row r="24600">
      <c r="A24600" s="1" t="n">
        <v>24599</v>
      </c>
      <c r="B24600">
        <f>TEXT(24599, "[$-0E0000]yyyy-mm-dd")</f>
        <v/>
      </c>
      <c r="C24600" t="inlineStr">
        <is>
          <t>1967-03-29</t>
        </is>
      </c>
    </row>
    <row r="24601">
      <c r="A24601" s="1" t="n">
        <v>24600</v>
      </c>
      <c r="B24601">
        <f>TEXT(24600, "[$-0E0000]yyyy-mm-dd")</f>
        <v/>
      </c>
      <c r="C24601" t="inlineStr">
        <is>
          <t>1967-04-01</t>
        </is>
      </c>
    </row>
    <row r="24602">
      <c r="A24602" s="1" t="n">
        <v>24601</v>
      </c>
      <c r="B24602">
        <f>TEXT(24601, "[$-0E0000]yyyy-mm-dd")</f>
        <v/>
      </c>
      <c r="C24602" t="inlineStr">
        <is>
          <t>1967-04-02</t>
        </is>
      </c>
    </row>
    <row r="24603">
      <c r="A24603" s="1" t="n">
        <v>24602</v>
      </c>
      <c r="B24603">
        <f>TEXT(24602, "[$-0E0000]yyyy-mm-dd")</f>
        <v/>
      </c>
      <c r="C24603" t="inlineStr">
        <is>
          <t>1967-04-03</t>
        </is>
      </c>
    </row>
    <row r="24604">
      <c r="A24604" s="1" t="n">
        <v>24603</v>
      </c>
      <c r="B24604">
        <f>TEXT(24603, "[$-0E0000]yyyy-mm-dd")</f>
        <v/>
      </c>
      <c r="C24604" t="inlineStr">
        <is>
          <t>1967-04-04</t>
        </is>
      </c>
    </row>
    <row r="24605">
      <c r="A24605" s="1" t="n">
        <v>24604</v>
      </c>
      <c r="B24605">
        <f>TEXT(24604, "[$-0E0000]yyyy-mm-dd")</f>
        <v/>
      </c>
      <c r="C24605" t="inlineStr">
        <is>
          <t>1967-04-05</t>
        </is>
      </c>
    </row>
    <row r="24606">
      <c r="A24606" s="1" t="n">
        <v>24605</v>
      </c>
      <c r="B24606">
        <f>TEXT(24605, "[$-0E0000]yyyy-mm-dd")</f>
        <v/>
      </c>
      <c r="C24606" t="inlineStr">
        <is>
          <t>1967-04-06</t>
        </is>
      </c>
    </row>
    <row r="24607">
      <c r="A24607" s="1" t="n">
        <v>24606</v>
      </c>
      <c r="B24607">
        <f>TEXT(24606, "[$-0E0000]yyyy-mm-dd")</f>
        <v/>
      </c>
      <c r="C24607" t="inlineStr">
        <is>
          <t>1967-04-07</t>
        </is>
      </c>
    </row>
    <row r="24608">
      <c r="A24608" s="1" t="n">
        <v>24607</v>
      </c>
      <c r="B24608">
        <f>TEXT(24607, "[$-0E0000]yyyy-mm-dd")</f>
        <v/>
      </c>
      <c r="C24608" t="inlineStr">
        <is>
          <t>1967-04-08</t>
        </is>
      </c>
    </row>
    <row r="24609">
      <c r="A24609" s="1" t="n">
        <v>24608</v>
      </c>
      <c r="B24609">
        <f>TEXT(24608, "[$-0E0000]yyyy-mm-dd")</f>
        <v/>
      </c>
      <c r="C24609" t="inlineStr">
        <is>
          <t>1967-04-09</t>
        </is>
      </c>
    </row>
    <row r="24610">
      <c r="A24610" s="1" t="n">
        <v>24609</v>
      </c>
      <c r="B24610">
        <f>TEXT(24609, "[$-0E0000]yyyy-mm-dd")</f>
        <v/>
      </c>
      <c r="C24610" t="inlineStr">
        <is>
          <t>1967-04-10</t>
        </is>
      </c>
    </row>
    <row r="24611">
      <c r="A24611" s="1" t="n">
        <v>24610</v>
      </c>
      <c r="B24611">
        <f>TEXT(24610, "[$-0E0000]yyyy-mm-dd")</f>
        <v/>
      </c>
      <c r="C24611" t="inlineStr">
        <is>
          <t>1967-04-11</t>
        </is>
      </c>
    </row>
    <row r="24612">
      <c r="A24612" s="1" t="n">
        <v>24611</v>
      </c>
      <c r="B24612">
        <f>TEXT(24611, "[$-0E0000]yyyy-mm-dd")</f>
        <v/>
      </c>
      <c r="C24612" t="inlineStr">
        <is>
          <t>1967-04-12</t>
        </is>
      </c>
    </row>
    <row r="24613">
      <c r="A24613" s="1" t="n">
        <v>24612</v>
      </c>
      <c r="B24613">
        <f>TEXT(24612, "[$-0E0000]yyyy-mm-dd")</f>
        <v/>
      </c>
      <c r="C24613" t="inlineStr">
        <is>
          <t>1967-04-13</t>
        </is>
      </c>
    </row>
    <row r="24614">
      <c r="A24614" s="1" t="n">
        <v>24613</v>
      </c>
      <c r="B24614">
        <f>TEXT(24613, "[$-0E0000]yyyy-mm-dd")</f>
        <v/>
      </c>
      <c r="C24614" t="inlineStr">
        <is>
          <t>1967-04-14</t>
        </is>
      </c>
    </row>
    <row r="24615">
      <c r="A24615" s="1" t="n">
        <v>24614</v>
      </c>
      <c r="B24615">
        <f>TEXT(24614, "[$-0E0000]yyyy-mm-dd")</f>
        <v/>
      </c>
      <c r="C24615" t="inlineStr">
        <is>
          <t>1967-04-15</t>
        </is>
      </c>
    </row>
    <row r="24616">
      <c r="A24616" s="1" t="n">
        <v>24615</v>
      </c>
      <c r="B24616">
        <f>TEXT(24615, "[$-0E0000]yyyy-mm-dd")</f>
        <v/>
      </c>
      <c r="C24616" t="inlineStr">
        <is>
          <t>1967-04-16</t>
        </is>
      </c>
    </row>
    <row r="24617">
      <c r="A24617" s="1" t="n">
        <v>24616</v>
      </c>
      <c r="B24617">
        <f>TEXT(24616, "[$-0E0000]yyyy-mm-dd")</f>
        <v/>
      </c>
      <c r="C24617" t="inlineStr">
        <is>
          <t>1967-04-17</t>
        </is>
      </c>
    </row>
    <row r="24618">
      <c r="A24618" s="1" t="n">
        <v>24617</v>
      </c>
      <c r="B24618">
        <f>TEXT(24617, "[$-0E0000]yyyy-mm-dd")</f>
        <v/>
      </c>
      <c r="C24618" t="inlineStr">
        <is>
          <t>1967-04-18</t>
        </is>
      </c>
    </row>
    <row r="24619">
      <c r="A24619" s="1" t="n">
        <v>24618</v>
      </c>
      <c r="B24619">
        <f>TEXT(24618, "[$-0E0000]yyyy-mm-dd")</f>
        <v/>
      </c>
      <c r="C24619" t="inlineStr">
        <is>
          <t>1967-04-19</t>
        </is>
      </c>
    </row>
    <row r="24620">
      <c r="A24620" s="1" t="n">
        <v>24619</v>
      </c>
      <c r="B24620">
        <f>TEXT(24619, "[$-0E0000]yyyy-mm-dd")</f>
        <v/>
      </c>
      <c r="C24620" t="inlineStr">
        <is>
          <t>1967-04-20</t>
        </is>
      </c>
    </row>
    <row r="24621">
      <c r="A24621" s="1" t="n">
        <v>24620</v>
      </c>
      <c r="B24621">
        <f>TEXT(24620, "[$-0E0000]yyyy-mm-dd")</f>
        <v/>
      </c>
      <c r="C24621" t="inlineStr">
        <is>
          <t>1967-04-21</t>
        </is>
      </c>
    </row>
    <row r="24622">
      <c r="A24622" s="1" t="n">
        <v>24621</v>
      </c>
      <c r="B24622">
        <f>TEXT(24621, "[$-0E0000]yyyy-mm-dd")</f>
        <v/>
      </c>
      <c r="C24622" t="inlineStr">
        <is>
          <t>1967-04-22</t>
        </is>
      </c>
    </row>
    <row r="24623">
      <c r="A24623" s="1" t="n">
        <v>24622</v>
      </c>
      <c r="B24623">
        <f>TEXT(24622, "[$-0E0000]yyyy-mm-dd")</f>
        <v/>
      </c>
      <c r="C24623" t="inlineStr">
        <is>
          <t>1967-04-23</t>
        </is>
      </c>
    </row>
    <row r="24624">
      <c r="A24624" s="1" t="n">
        <v>24623</v>
      </c>
      <c r="B24624">
        <f>TEXT(24623, "[$-0E0000]yyyy-mm-dd")</f>
        <v/>
      </c>
      <c r="C24624" t="inlineStr">
        <is>
          <t>1967-04-24</t>
        </is>
      </c>
    </row>
    <row r="24625">
      <c r="A24625" s="1" t="n">
        <v>24624</v>
      </c>
      <c r="B24625">
        <f>TEXT(24624, "[$-0E0000]yyyy-mm-dd")</f>
        <v/>
      </c>
      <c r="C24625" t="inlineStr">
        <is>
          <t>1967-04-25</t>
        </is>
      </c>
    </row>
    <row r="24626">
      <c r="A24626" s="1" t="n">
        <v>24625</v>
      </c>
      <c r="B24626">
        <f>TEXT(24625, "[$-0E0000]yyyy-mm-dd")</f>
        <v/>
      </c>
      <c r="C24626" t="inlineStr">
        <is>
          <t>1967-04-26</t>
        </is>
      </c>
    </row>
    <row r="24627">
      <c r="A24627" s="1" t="n">
        <v>24626</v>
      </c>
      <c r="B24627">
        <f>TEXT(24626, "[$-0E0000]yyyy-mm-dd")</f>
        <v/>
      </c>
      <c r="C24627" t="inlineStr">
        <is>
          <t>1967-04-27</t>
        </is>
      </c>
    </row>
    <row r="24628">
      <c r="A24628" s="1" t="n">
        <v>24627</v>
      </c>
      <c r="B24628">
        <f>TEXT(24627, "[$-0E0000]yyyy-mm-dd")</f>
        <v/>
      </c>
      <c r="C24628" t="inlineStr">
        <is>
          <t>1967-04-28</t>
        </is>
      </c>
    </row>
    <row r="24629">
      <c r="A24629" s="1" t="n">
        <v>24628</v>
      </c>
      <c r="B24629">
        <f>TEXT(24628, "[$-0E0000]yyyy-mm-dd")</f>
        <v/>
      </c>
      <c r="C24629" t="inlineStr">
        <is>
          <t>1967-04-29</t>
        </is>
      </c>
    </row>
    <row r="24630">
      <c r="A24630" s="1" t="n">
        <v>24629</v>
      </c>
      <c r="B24630">
        <f>TEXT(24629, "[$-0E0000]yyyy-mm-dd")</f>
        <v/>
      </c>
      <c r="C24630" t="inlineStr">
        <is>
          <t>1967-04-30</t>
        </is>
      </c>
    </row>
    <row r="24631">
      <c r="A24631" s="1" t="n">
        <v>24630</v>
      </c>
      <c r="B24631">
        <f>TEXT(24630, "[$-0E0000]yyyy-mm-dd")</f>
        <v/>
      </c>
      <c r="C24631" t="inlineStr">
        <is>
          <t>1967-05-01</t>
        </is>
      </c>
    </row>
    <row r="24632">
      <c r="A24632" s="1" t="n">
        <v>24631</v>
      </c>
      <c r="B24632">
        <f>TEXT(24631, "[$-0E0000]yyyy-mm-dd")</f>
        <v/>
      </c>
      <c r="C24632" t="inlineStr">
        <is>
          <t>1967-05-02</t>
        </is>
      </c>
    </row>
    <row r="24633">
      <c r="A24633" s="1" t="n">
        <v>24632</v>
      </c>
      <c r="B24633">
        <f>TEXT(24632, "[$-0E0000]yyyy-mm-dd")</f>
        <v/>
      </c>
      <c r="C24633" t="inlineStr">
        <is>
          <t>1967-05-03</t>
        </is>
      </c>
    </row>
    <row r="24634">
      <c r="A24634" s="1" t="n">
        <v>24633</v>
      </c>
      <c r="B24634">
        <f>TEXT(24633, "[$-0E0000]yyyy-mm-dd")</f>
        <v/>
      </c>
      <c r="C24634" t="inlineStr">
        <is>
          <t>1967-05-04</t>
        </is>
      </c>
    </row>
    <row r="24635">
      <c r="A24635" s="1" t="n">
        <v>24634</v>
      </c>
      <c r="B24635">
        <f>TEXT(24634, "[$-0E0000]yyyy-mm-dd")</f>
        <v/>
      </c>
      <c r="C24635" t="inlineStr">
        <is>
          <t>1967-05-05</t>
        </is>
      </c>
    </row>
    <row r="24636">
      <c r="A24636" s="1" t="n">
        <v>24635</v>
      </c>
      <c r="B24636">
        <f>TEXT(24635, "[$-0E0000]yyyy-mm-dd")</f>
        <v/>
      </c>
      <c r="C24636" t="inlineStr">
        <is>
          <t>1967-05-06</t>
        </is>
      </c>
    </row>
    <row r="24637">
      <c r="A24637" s="1" t="n">
        <v>24636</v>
      </c>
      <c r="B24637">
        <f>TEXT(24636, "[$-0E0000]yyyy-mm-dd")</f>
        <v/>
      </c>
      <c r="C24637" t="inlineStr">
        <is>
          <t>1967-05-07</t>
        </is>
      </c>
    </row>
    <row r="24638">
      <c r="A24638" s="1" t="n">
        <v>24637</v>
      </c>
      <c r="B24638">
        <f>TEXT(24637, "[$-0E0000]yyyy-mm-dd")</f>
        <v/>
      </c>
      <c r="C24638" t="inlineStr">
        <is>
          <t>1967-05-08</t>
        </is>
      </c>
    </row>
    <row r="24639">
      <c r="A24639" s="1" t="n">
        <v>24638</v>
      </c>
      <c r="B24639">
        <f>TEXT(24638, "[$-0E0000]yyyy-mm-dd")</f>
        <v/>
      </c>
      <c r="C24639" t="inlineStr">
        <is>
          <t>1967-05-09</t>
        </is>
      </c>
    </row>
    <row r="24640">
      <c r="A24640" s="1" t="n">
        <v>24639</v>
      </c>
      <c r="B24640">
        <f>TEXT(24639, "[$-0E0000]yyyy-mm-dd")</f>
        <v/>
      </c>
      <c r="C24640" t="inlineStr">
        <is>
          <t>1967-05-10</t>
        </is>
      </c>
    </row>
    <row r="24641">
      <c r="A24641" s="1" t="n">
        <v>24640</v>
      </c>
      <c r="B24641">
        <f>TEXT(24640, "[$-0E0000]yyyy-mm-dd")</f>
        <v/>
      </c>
      <c r="C24641" t="inlineStr">
        <is>
          <t>1967-05-11</t>
        </is>
      </c>
    </row>
    <row r="24642">
      <c r="A24642" s="1" t="n">
        <v>24641</v>
      </c>
      <c r="B24642">
        <f>TEXT(24641, "[$-0E0000]yyyy-mm-dd")</f>
        <v/>
      </c>
      <c r="C24642" t="inlineStr">
        <is>
          <t>1967-05-12</t>
        </is>
      </c>
    </row>
    <row r="24643">
      <c r="A24643" s="1" t="n">
        <v>24642</v>
      </c>
      <c r="B24643">
        <f>TEXT(24642, "[$-0E0000]yyyy-mm-dd")</f>
        <v/>
      </c>
      <c r="C24643" t="inlineStr">
        <is>
          <t>1967-05-13</t>
        </is>
      </c>
    </row>
    <row r="24644">
      <c r="A24644" s="1" t="n">
        <v>24643</v>
      </c>
      <c r="B24644">
        <f>TEXT(24643, "[$-0E0000]yyyy-mm-dd")</f>
        <v/>
      </c>
      <c r="C24644" t="inlineStr">
        <is>
          <t>1967-05-14</t>
        </is>
      </c>
    </row>
    <row r="24645">
      <c r="A24645" s="1" t="n">
        <v>24644</v>
      </c>
      <c r="B24645">
        <f>TEXT(24644, "[$-0E0000]yyyy-mm-dd")</f>
        <v/>
      </c>
      <c r="C24645" t="inlineStr">
        <is>
          <t>1967-05-15</t>
        </is>
      </c>
    </row>
    <row r="24646">
      <c r="A24646" s="1" t="n">
        <v>24645</v>
      </c>
      <c r="B24646">
        <f>TEXT(24645, "[$-0E0000]yyyy-mm-dd")</f>
        <v/>
      </c>
      <c r="C24646" t="inlineStr">
        <is>
          <t>1967-05-16</t>
        </is>
      </c>
    </row>
    <row r="24647">
      <c r="A24647" s="1" t="n">
        <v>24646</v>
      </c>
      <c r="B24647">
        <f>TEXT(24646, "[$-0E0000]yyyy-mm-dd")</f>
        <v/>
      </c>
      <c r="C24647" t="inlineStr">
        <is>
          <t>1967-05-17</t>
        </is>
      </c>
    </row>
    <row r="24648">
      <c r="A24648" s="1" t="n">
        <v>24647</v>
      </c>
      <c r="B24648">
        <f>TEXT(24647, "[$-0E0000]yyyy-mm-dd")</f>
        <v/>
      </c>
      <c r="C24648" t="inlineStr">
        <is>
          <t>1967-05-18</t>
        </is>
      </c>
    </row>
    <row r="24649">
      <c r="A24649" s="1" t="n">
        <v>24648</v>
      </c>
      <c r="B24649">
        <f>TEXT(24648, "[$-0E0000]yyyy-mm-dd")</f>
        <v/>
      </c>
      <c r="C24649" t="inlineStr">
        <is>
          <t>1967-05-19</t>
        </is>
      </c>
    </row>
    <row r="24650">
      <c r="A24650" s="1" t="n">
        <v>24649</v>
      </c>
      <c r="B24650">
        <f>TEXT(24649, "[$-0E0000]yyyy-mm-dd")</f>
        <v/>
      </c>
      <c r="C24650" t="inlineStr">
        <is>
          <t>1967-05-20</t>
        </is>
      </c>
    </row>
    <row r="24651">
      <c r="A24651" s="1" t="n">
        <v>24650</v>
      </c>
      <c r="B24651">
        <f>TEXT(24650, "[$-0E0000]yyyy-mm-dd")</f>
        <v/>
      </c>
      <c r="C24651" t="inlineStr">
        <is>
          <t>1967-05-21</t>
        </is>
      </c>
    </row>
    <row r="24652">
      <c r="A24652" s="1" t="n">
        <v>24651</v>
      </c>
      <c r="B24652">
        <f>TEXT(24651, "[$-0E0000]yyyy-mm-dd")</f>
        <v/>
      </c>
      <c r="C24652" t="inlineStr">
        <is>
          <t>1967-05-22</t>
        </is>
      </c>
    </row>
    <row r="24653">
      <c r="A24653" s="1" t="n">
        <v>24652</v>
      </c>
      <c r="B24653">
        <f>TEXT(24652, "[$-0E0000]yyyy-mm-dd")</f>
        <v/>
      </c>
      <c r="C24653" t="inlineStr">
        <is>
          <t>1967-05-23</t>
        </is>
      </c>
    </row>
    <row r="24654">
      <c r="A24654" s="1" t="n">
        <v>24653</v>
      </c>
      <c r="B24654">
        <f>TEXT(24653, "[$-0E0000]yyyy-mm-dd")</f>
        <v/>
      </c>
      <c r="C24654" t="inlineStr">
        <is>
          <t>1967-05-24</t>
        </is>
      </c>
    </row>
    <row r="24655">
      <c r="A24655" s="1" t="n">
        <v>24654</v>
      </c>
      <c r="B24655">
        <f>TEXT(24654, "[$-0E0000]yyyy-mm-dd")</f>
        <v/>
      </c>
      <c r="C24655" t="inlineStr">
        <is>
          <t>1967-05-25</t>
        </is>
      </c>
    </row>
    <row r="24656">
      <c r="A24656" s="1" t="n">
        <v>24655</v>
      </c>
      <c r="B24656">
        <f>TEXT(24655, "[$-0E0000]yyyy-mm-dd")</f>
        <v/>
      </c>
      <c r="C24656" t="inlineStr">
        <is>
          <t>1967-05-26</t>
        </is>
      </c>
    </row>
    <row r="24657">
      <c r="A24657" s="1" t="n">
        <v>24656</v>
      </c>
      <c r="B24657">
        <f>TEXT(24656, "[$-0E0000]yyyy-mm-dd")</f>
        <v/>
      </c>
      <c r="C24657" t="inlineStr">
        <is>
          <t>1967-05-27</t>
        </is>
      </c>
    </row>
    <row r="24658">
      <c r="A24658" s="1" t="n">
        <v>24657</v>
      </c>
      <c r="B24658">
        <f>TEXT(24657, "[$-0E0000]yyyy-mm-dd")</f>
        <v/>
      </c>
      <c r="C24658" t="inlineStr">
        <is>
          <t>1967-05-28</t>
        </is>
      </c>
    </row>
    <row r="24659">
      <c r="A24659" s="1" t="n">
        <v>24658</v>
      </c>
      <c r="B24659">
        <f>TEXT(24658, "[$-0E0000]yyyy-mm-dd")</f>
        <v/>
      </c>
      <c r="C24659" t="inlineStr">
        <is>
          <t>1967-05-29</t>
        </is>
      </c>
    </row>
    <row r="24660">
      <c r="A24660" s="1" t="n">
        <v>24659</v>
      </c>
      <c r="B24660">
        <f>TEXT(24659, "[$-0E0000]yyyy-mm-dd")</f>
        <v/>
      </c>
      <c r="C24660" t="inlineStr">
        <is>
          <t>1967-05-30</t>
        </is>
      </c>
    </row>
    <row r="24661">
      <c r="A24661" s="1" t="n">
        <v>24660</v>
      </c>
      <c r="B24661">
        <f>TEXT(24660, "[$-0E0000]yyyy-mm-dd")</f>
        <v/>
      </c>
      <c r="C24661" t="inlineStr">
        <is>
          <t>1967-06-01</t>
        </is>
      </c>
    </row>
    <row r="24662">
      <c r="A24662" s="1" t="n">
        <v>24661</v>
      </c>
      <c r="B24662">
        <f>TEXT(24661, "[$-0E0000]yyyy-mm-dd")</f>
        <v/>
      </c>
      <c r="C24662" t="inlineStr">
        <is>
          <t>1967-06-02</t>
        </is>
      </c>
    </row>
    <row r="24663">
      <c r="A24663" s="1" t="n">
        <v>24662</v>
      </c>
      <c r="B24663">
        <f>TEXT(24662, "[$-0E0000]yyyy-mm-dd")</f>
        <v/>
      </c>
      <c r="C24663" t="inlineStr">
        <is>
          <t>1967-06-03</t>
        </is>
      </c>
    </row>
    <row r="24664">
      <c r="A24664" s="1" t="n">
        <v>24663</v>
      </c>
      <c r="B24664">
        <f>TEXT(24663, "[$-0E0000]yyyy-mm-dd")</f>
        <v/>
      </c>
      <c r="C24664" t="inlineStr">
        <is>
          <t>1967-06-04</t>
        </is>
      </c>
    </row>
    <row r="24665">
      <c r="A24665" s="1" t="n">
        <v>24664</v>
      </c>
      <c r="B24665">
        <f>TEXT(24664, "[$-0E0000]yyyy-mm-dd")</f>
        <v/>
      </c>
      <c r="C24665" t="inlineStr">
        <is>
          <t>1967-06-05</t>
        </is>
      </c>
    </row>
    <row r="24666">
      <c r="A24666" s="1" t="n">
        <v>24665</v>
      </c>
      <c r="B24666">
        <f>TEXT(24665, "[$-0E0000]yyyy-mm-dd")</f>
        <v/>
      </c>
      <c r="C24666" t="inlineStr">
        <is>
          <t>1967-06-06</t>
        </is>
      </c>
    </row>
    <row r="24667">
      <c r="A24667" s="1" t="n">
        <v>24666</v>
      </c>
      <c r="B24667">
        <f>TEXT(24666, "[$-0E0000]yyyy-mm-dd")</f>
        <v/>
      </c>
      <c r="C24667" t="inlineStr">
        <is>
          <t>1967-06-07</t>
        </is>
      </c>
    </row>
    <row r="24668">
      <c r="A24668" s="1" t="n">
        <v>24667</v>
      </c>
      <c r="B24668">
        <f>TEXT(24667, "[$-0E0000]yyyy-mm-dd")</f>
        <v/>
      </c>
      <c r="C24668" t="inlineStr">
        <is>
          <t>1967-06-08</t>
        </is>
      </c>
    </row>
    <row r="24669">
      <c r="A24669" s="1" t="n">
        <v>24668</v>
      </c>
      <c r="B24669">
        <f>TEXT(24668, "[$-0E0000]yyyy-mm-dd")</f>
        <v/>
      </c>
      <c r="C24669" t="inlineStr">
        <is>
          <t>1967-06-09</t>
        </is>
      </c>
    </row>
    <row r="24670">
      <c r="A24670" s="1" t="n">
        <v>24669</v>
      </c>
      <c r="B24670">
        <f>TEXT(24669, "[$-0E0000]yyyy-mm-dd")</f>
        <v/>
      </c>
      <c r="C24670" t="inlineStr">
        <is>
          <t>1967-06-10</t>
        </is>
      </c>
    </row>
    <row r="24671">
      <c r="A24671" s="1" t="n">
        <v>24670</v>
      </c>
      <c r="B24671">
        <f>TEXT(24670, "[$-0E0000]yyyy-mm-dd")</f>
        <v/>
      </c>
      <c r="C24671" t="inlineStr">
        <is>
          <t>1967-06-11</t>
        </is>
      </c>
    </row>
    <row r="24672">
      <c r="A24672" s="1" t="n">
        <v>24671</v>
      </c>
      <c r="B24672">
        <f>TEXT(24671, "[$-0E0000]yyyy-mm-dd")</f>
        <v/>
      </c>
      <c r="C24672" t="inlineStr">
        <is>
          <t>1967-06-12</t>
        </is>
      </c>
    </row>
    <row r="24673">
      <c r="A24673" s="1" t="n">
        <v>24672</v>
      </c>
      <c r="B24673">
        <f>TEXT(24672, "[$-0E0000]yyyy-mm-dd")</f>
        <v/>
      </c>
      <c r="C24673" t="inlineStr">
        <is>
          <t>1967-06-13</t>
        </is>
      </c>
    </row>
    <row r="24674">
      <c r="A24674" s="1" t="n">
        <v>24673</v>
      </c>
      <c r="B24674">
        <f>TEXT(24673, "[$-0E0000]yyyy-mm-dd")</f>
        <v/>
      </c>
      <c r="C24674" t="inlineStr">
        <is>
          <t>1967-06-14</t>
        </is>
      </c>
    </row>
    <row r="24675">
      <c r="A24675" s="1" t="n">
        <v>24674</v>
      </c>
      <c r="B24675">
        <f>TEXT(24674, "[$-0E0000]yyyy-mm-dd")</f>
        <v/>
      </c>
      <c r="C24675" t="inlineStr">
        <is>
          <t>1967-06-15</t>
        </is>
      </c>
    </row>
    <row r="24676">
      <c r="A24676" s="1" t="n">
        <v>24675</v>
      </c>
      <c r="B24676">
        <f>TEXT(24675, "[$-0E0000]yyyy-mm-dd")</f>
        <v/>
      </c>
      <c r="C24676" t="inlineStr">
        <is>
          <t>1967-06-16</t>
        </is>
      </c>
    </row>
    <row r="24677">
      <c r="A24677" s="1" t="n">
        <v>24676</v>
      </c>
      <c r="B24677">
        <f>TEXT(24676, "[$-0E0000]yyyy-mm-dd")</f>
        <v/>
      </c>
      <c r="C24677" t="inlineStr">
        <is>
          <t>1967-06-17</t>
        </is>
      </c>
    </row>
    <row r="24678">
      <c r="A24678" s="1" t="n">
        <v>24677</v>
      </c>
      <c r="B24678">
        <f>TEXT(24677, "[$-0E0000]yyyy-mm-dd")</f>
        <v/>
      </c>
      <c r="C24678" t="inlineStr">
        <is>
          <t>1967-06-18</t>
        </is>
      </c>
    </row>
    <row r="24679">
      <c r="A24679" s="1" t="n">
        <v>24678</v>
      </c>
      <c r="B24679">
        <f>TEXT(24678, "[$-0E0000]yyyy-mm-dd")</f>
        <v/>
      </c>
      <c r="C24679" t="inlineStr">
        <is>
          <t>1967-06-19</t>
        </is>
      </c>
    </row>
    <row r="24680">
      <c r="A24680" s="1" t="n">
        <v>24679</v>
      </c>
      <c r="B24680">
        <f>TEXT(24679, "[$-0E0000]yyyy-mm-dd")</f>
        <v/>
      </c>
      <c r="C24680" t="inlineStr">
        <is>
          <t>1967-06-20</t>
        </is>
      </c>
    </row>
    <row r="24681">
      <c r="A24681" s="1" t="n">
        <v>24680</v>
      </c>
      <c r="B24681">
        <f>TEXT(24680, "[$-0E0000]yyyy-mm-dd")</f>
        <v/>
      </c>
      <c r="C24681" t="inlineStr">
        <is>
          <t>1967-06-21</t>
        </is>
      </c>
    </row>
    <row r="24682">
      <c r="A24682" s="1" t="n">
        <v>24681</v>
      </c>
      <c r="B24682">
        <f>TEXT(24681, "[$-0E0000]yyyy-mm-dd")</f>
        <v/>
      </c>
      <c r="C24682" t="inlineStr">
        <is>
          <t>1967-06-22</t>
        </is>
      </c>
    </row>
    <row r="24683">
      <c r="A24683" s="1" t="n">
        <v>24682</v>
      </c>
      <c r="B24683">
        <f>TEXT(24682, "[$-0E0000]yyyy-mm-dd")</f>
        <v/>
      </c>
      <c r="C24683" t="inlineStr">
        <is>
          <t>1967-06-23</t>
        </is>
      </c>
    </row>
    <row r="24684">
      <c r="A24684" s="1" t="n">
        <v>24683</v>
      </c>
      <c r="B24684">
        <f>TEXT(24683, "[$-0E0000]yyyy-mm-dd")</f>
        <v/>
      </c>
      <c r="C24684" t="inlineStr">
        <is>
          <t>1967-06-24</t>
        </is>
      </c>
    </row>
    <row r="24685">
      <c r="A24685" s="1" t="n">
        <v>24684</v>
      </c>
      <c r="B24685">
        <f>TEXT(24684, "[$-0E0000]yyyy-mm-dd")</f>
        <v/>
      </c>
      <c r="C24685" t="inlineStr">
        <is>
          <t>1967-06-25</t>
        </is>
      </c>
    </row>
    <row r="24686">
      <c r="A24686" s="1" t="n">
        <v>24685</v>
      </c>
      <c r="B24686">
        <f>TEXT(24685, "[$-0E0000]yyyy-mm-dd")</f>
        <v/>
      </c>
      <c r="C24686" t="inlineStr">
        <is>
          <t>1967-06-26</t>
        </is>
      </c>
    </row>
    <row r="24687">
      <c r="A24687" s="1" t="n">
        <v>24686</v>
      </c>
      <c r="B24687">
        <f>TEXT(24686, "[$-0E0000]yyyy-mm-dd")</f>
        <v/>
      </c>
      <c r="C24687" t="inlineStr">
        <is>
          <t>1967-06-27</t>
        </is>
      </c>
    </row>
    <row r="24688">
      <c r="A24688" s="1" t="n">
        <v>24687</v>
      </c>
      <c r="B24688">
        <f>TEXT(24687, "[$-0E0000]yyyy-mm-dd")</f>
        <v/>
      </c>
      <c r="C24688" t="inlineStr">
        <is>
          <t>1967-06-28</t>
        </is>
      </c>
    </row>
    <row r="24689">
      <c r="A24689" s="1" t="n">
        <v>24688</v>
      </c>
      <c r="B24689">
        <f>TEXT(24688, "[$-0E0000]yyyy-mm-dd")</f>
        <v/>
      </c>
      <c r="C24689" t="inlineStr">
        <is>
          <t>1967-06-29</t>
        </is>
      </c>
    </row>
    <row r="24690">
      <c r="A24690" s="1" t="n">
        <v>24689</v>
      </c>
      <c r="B24690">
        <f>TEXT(24689, "[$-0E0000]yyyy-mm-dd")</f>
        <v/>
      </c>
      <c r="C24690" t="inlineStr">
        <is>
          <t>1967-07-01</t>
        </is>
      </c>
    </row>
    <row r="24691">
      <c r="A24691" s="1" t="n">
        <v>24690</v>
      </c>
      <c r="B24691">
        <f>TEXT(24690, "[$-0E0000]yyyy-mm-dd")</f>
        <v/>
      </c>
      <c r="C24691" t="inlineStr">
        <is>
          <t>1967-07-02</t>
        </is>
      </c>
    </row>
    <row r="24692">
      <c r="A24692" s="1" t="n">
        <v>24691</v>
      </c>
      <c r="B24692">
        <f>TEXT(24691, "[$-0E0000]yyyy-mm-dd")</f>
        <v/>
      </c>
      <c r="C24692" t="inlineStr">
        <is>
          <t>1967-07-03</t>
        </is>
      </c>
    </row>
    <row r="24693">
      <c r="A24693" s="1" t="n">
        <v>24692</v>
      </c>
      <c r="B24693">
        <f>TEXT(24692, "[$-0E0000]yyyy-mm-dd")</f>
        <v/>
      </c>
      <c r="C24693" t="inlineStr">
        <is>
          <t>1967-07-04</t>
        </is>
      </c>
    </row>
    <row r="24694">
      <c r="A24694" s="1" t="n">
        <v>24693</v>
      </c>
      <c r="B24694">
        <f>TEXT(24693, "[$-0E0000]yyyy-mm-dd")</f>
        <v/>
      </c>
      <c r="C24694" t="inlineStr">
        <is>
          <t>1967-07-05</t>
        </is>
      </c>
    </row>
    <row r="24695">
      <c r="A24695" s="1" t="n">
        <v>24694</v>
      </c>
      <c r="B24695">
        <f>TEXT(24694, "[$-0E0000]yyyy-mm-dd")</f>
        <v/>
      </c>
      <c r="C24695" t="inlineStr">
        <is>
          <t>1967-07-06</t>
        </is>
      </c>
    </row>
    <row r="24696">
      <c r="A24696" s="1" t="n">
        <v>24695</v>
      </c>
      <c r="B24696">
        <f>TEXT(24695, "[$-0E0000]yyyy-mm-dd")</f>
        <v/>
      </c>
      <c r="C24696" t="inlineStr">
        <is>
          <t>1967-07-07</t>
        </is>
      </c>
    </row>
    <row r="24697">
      <c r="A24697" s="1" t="n">
        <v>24696</v>
      </c>
      <c r="B24697">
        <f>TEXT(24696, "[$-0E0000]yyyy-mm-dd")</f>
        <v/>
      </c>
      <c r="C24697" t="inlineStr">
        <is>
          <t>1967-07-08</t>
        </is>
      </c>
    </row>
    <row r="24698">
      <c r="A24698" s="1" t="n">
        <v>24697</v>
      </c>
      <c r="B24698">
        <f>TEXT(24697, "[$-0E0000]yyyy-mm-dd")</f>
        <v/>
      </c>
      <c r="C24698" t="inlineStr">
        <is>
          <t>1967-07-09</t>
        </is>
      </c>
    </row>
    <row r="24699">
      <c r="A24699" s="1" t="n">
        <v>24698</v>
      </c>
      <c r="B24699">
        <f>TEXT(24698, "[$-0E0000]yyyy-mm-dd")</f>
        <v/>
      </c>
      <c r="C24699" t="inlineStr">
        <is>
          <t>1967-07-10</t>
        </is>
      </c>
    </row>
    <row r="24700">
      <c r="A24700" s="1" t="n">
        <v>24699</v>
      </c>
      <c r="B24700">
        <f>TEXT(24699, "[$-0E0000]yyyy-mm-dd")</f>
        <v/>
      </c>
      <c r="C24700" t="inlineStr">
        <is>
          <t>1967-07-11</t>
        </is>
      </c>
    </row>
    <row r="24701">
      <c r="A24701" s="1" t="n">
        <v>24700</v>
      </c>
      <c r="B24701">
        <f>TEXT(24700, "[$-0E0000]yyyy-mm-dd")</f>
        <v/>
      </c>
      <c r="C24701" t="inlineStr">
        <is>
          <t>1967-07-12</t>
        </is>
      </c>
    </row>
    <row r="24702">
      <c r="A24702" s="1" t="n">
        <v>24701</v>
      </c>
      <c r="B24702">
        <f>TEXT(24701, "[$-0E0000]yyyy-mm-dd")</f>
        <v/>
      </c>
      <c r="C24702" t="inlineStr">
        <is>
          <t>1967-07-13</t>
        </is>
      </c>
    </row>
    <row r="24703">
      <c r="A24703" s="1" t="n">
        <v>24702</v>
      </c>
      <c r="B24703">
        <f>TEXT(24702, "[$-0E0000]yyyy-mm-dd")</f>
        <v/>
      </c>
      <c r="C24703" t="inlineStr">
        <is>
          <t>1967-07-14</t>
        </is>
      </c>
    </row>
    <row r="24704">
      <c r="A24704" s="1" t="n">
        <v>24703</v>
      </c>
      <c r="B24704">
        <f>TEXT(24703, "[$-0E0000]yyyy-mm-dd")</f>
        <v/>
      </c>
      <c r="C24704" t="inlineStr">
        <is>
          <t>1967-07-15</t>
        </is>
      </c>
    </row>
    <row r="24705">
      <c r="A24705" s="1" t="n">
        <v>24704</v>
      </c>
      <c r="B24705">
        <f>TEXT(24704, "[$-0E0000]yyyy-mm-dd")</f>
        <v/>
      </c>
      <c r="C24705" t="inlineStr">
        <is>
          <t>1967-07-16</t>
        </is>
      </c>
    </row>
    <row r="24706">
      <c r="A24706" s="1" t="n">
        <v>24705</v>
      </c>
      <c r="B24706">
        <f>TEXT(24705, "[$-0E0000]yyyy-mm-dd")</f>
        <v/>
      </c>
      <c r="C24706" t="inlineStr">
        <is>
          <t>1967-07-17</t>
        </is>
      </c>
    </row>
    <row r="24707">
      <c r="A24707" s="1" t="n">
        <v>24706</v>
      </c>
      <c r="B24707">
        <f>TEXT(24706, "[$-0E0000]yyyy-mm-dd")</f>
        <v/>
      </c>
      <c r="C24707" t="inlineStr">
        <is>
          <t>1967-07-18</t>
        </is>
      </c>
    </row>
    <row r="24708">
      <c r="A24708" s="1" t="n">
        <v>24707</v>
      </c>
      <c r="B24708">
        <f>TEXT(24707, "[$-0E0000]yyyy-mm-dd")</f>
        <v/>
      </c>
      <c r="C24708" t="inlineStr">
        <is>
          <t>1967-07-19</t>
        </is>
      </c>
    </row>
    <row r="24709">
      <c r="A24709" s="1" t="n">
        <v>24708</v>
      </c>
      <c r="B24709">
        <f>TEXT(24708, "[$-0E0000]yyyy-mm-dd")</f>
        <v/>
      </c>
      <c r="C24709" t="inlineStr">
        <is>
          <t>1967-07-20</t>
        </is>
      </c>
    </row>
    <row r="24710">
      <c r="A24710" s="1" t="n">
        <v>24709</v>
      </c>
      <c r="B24710">
        <f>TEXT(24709, "[$-0E0000]yyyy-mm-dd")</f>
        <v/>
      </c>
      <c r="C24710" t="inlineStr">
        <is>
          <t>1967-07-21</t>
        </is>
      </c>
    </row>
    <row r="24711">
      <c r="A24711" s="1" t="n">
        <v>24710</v>
      </c>
      <c r="B24711">
        <f>TEXT(24710, "[$-0E0000]yyyy-mm-dd")</f>
        <v/>
      </c>
      <c r="C24711" t="inlineStr">
        <is>
          <t>1967-07-22</t>
        </is>
      </c>
    </row>
    <row r="24712">
      <c r="A24712" s="1" t="n">
        <v>24711</v>
      </c>
      <c r="B24712">
        <f>TEXT(24711, "[$-0E0000]yyyy-mm-dd")</f>
        <v/>
      </c>
      <c r="C24712" t="inlineStr">
        <is>
          <t>1967-07-23</t>
        </is>
      </c>
    </row>
    <row r="24713">
      <c r="A24713" s="1" t="n">
        <v>24712</v>
      </c>
      <c r="B24713">
        <f>TEXT(24712, "[$-0E0000]yyyy-mm-dd")</f>
        <v/>
      </c>
      <c r="C24713" t="inlineStr">
        <is>
          <t>1967-07-24</t>
        </is>
      </c>
    </row>
    <row r="24714">
      <c r="A24714" s="1" t="n">
        <v>24713</v>
      </c>
      <c r="B24714">
        <f>TEXT(24713, "[$-0E0000]yyyy-mm-dd")</f>
        <v/>
      </c>
      <c r="C24714" t="inlineStr">
        <is>
          <t>1967-07-25</t>
        </is>
      </c>
    </row>
    <row r="24715">
      <c r="A24715" s="1" t="n">
        <v>24714</v>
      </c>
      <c r="B24715">
        <f>TEXT(24714, "[$-0E0000]yyyy-mm-dd")</f>
        <v/>
      </c>
      <c r="C24715" t="inlineStr">
        <is>
          <t>1967-07-26</t>
        </is>
      </c>
    </row>
    <row r="24716">
      <c r="A24716" s="1" t="n">
        <v>24715</v>
      </c>
      <c r="B24716">
        <f>TEXT(24715, "[$-0E0000]yyyy-mm-dd")</f>
        <v/>
      </c>
      <c r="C24716" t="inlineStr">
        <is>
          <t>1967-07-27</t>
        </is>
      </c>
    </row>
    <row r="24717">
      <c r="A24717" s="1" t="n">
        <v>24716</v>
      </c>
      <c r="B24717">
        <f>TEXT(24716, "[$-0E0000]yyyy-mm-dd")</f>
        <v/>
      </c>
      <c r="C24717" t="inlineStr">
        <is>
          <t>1967-07-28</t>
        </is>
      </c>
    </row>
    <row r="24718">
      <c r="A24718" s="1" t="n">
        <v>24717</v>
      </c>
      <c r="B24718">
        <f>TEXT(24717, "[$-0E0000]yyyy-mm-dd")</f>
        <v/>
      </c>
      <c r="C24718" t="inlineStr">
        <is>
          <t>1967-07-29</t>
        </is>
      </c>
    </row>
    <row r="24719">
      <c r="A24719" s="1" t="n">
        <v>24718</v>
      </c>
      <c r="B24719">
        <f>TEXT(24718, "[$-0E0000]yyyy-mm-dd")</f>
        <v/>
      </c>
      <c r="C24719" t="inlineStr">
        <is>
          <t>1967-08-01</t>
        </is>
      </c>
    </row>
    <row r="24720">
      <c r="A24720" s="1" t="n">
        <v>24719</v>
      </c>
      <c r="B24720">
        <f>TEXT(24719, "[$-0E0000]yyyy-mm-dd")</f>
        <v/>
      </c>
      <c r="C24720" t="inlineStr">
        <is>
          <t>1967-08-02</t>
        </is>
      </c>
    </row>
    <row r="24721">
      <c r="A24721" s="1" t="n">
        <v>24720</v>
      </c>
      <c r="B24721">
        <f>TEXT(24720, "[$-0E0000]yyyy-mm-dd")</f>
        <v/>
      </c>
      <c r="C24721" t="inlineStr">
        <is>
          <t>1967-08-03</t>
        </is>
      </c>
    </row>
    <row r="24722">
      <c r="A24722" s="1" t="n">
        <v>24721</v>
      </c>
      <c r="B24722">
        <f>TEXT(24721, "[$-0E0000]yyyy-mm-dd")</f>
        <v/>
      </c>
      <c r="C24722" t="inlineStr">
        <is>
          <t>1967-08-04</t>
        </is>
      </c>
    </row>
    <row r="24723">
      <c r="A24723" s="1" t="n">
        <v>24722</v>
      </c>
      <c r="B24723">
        <f>TEXT(24722, "[$-0E0000]yyyy-mm-dd")</f>
        <v/>
      </c>
      <c r="C24723" t="inlineStr">
        <is>
          <t>1967-08-05</t>
        </is>
      </c>
    </row>
    <row r="24724">
      <c r="A24724" s="1" t="n">
        <v>24723</v>
      </c>
      <c r="B24724">
        <f>TEXT(24723, "[$-0E0000]yyyy-mm-dd")</f>
        <v/>
      </c>
      <c r="C24724" t="inlineStr">
        <is>
          <t>1967-08-06</t>
        </is>
      </c>
    </row>
    <row r="24725">
      <c r="A24725" s="1" t="n">
        <v>24724</v>
      </c>
      <c r="B24725">
        <f>TEXT(24724, "[$-0E0000]yyyy-mm-dd")</f>
        <v/>
      </c>
      <c r="C24725" t="inlineStr">
        <is>
          <t>1967-08-07</t>
        </is>
      </c>
    </row>
    <row r="24726">
      <c r="A24726" s="1" t="n">
        <v>24725</v>
      </c>
      <c r="B24726">
        <f>TEXT(24725, "[$-0E0000]yyyy-mm-dd")</f>
        <v/>
      </c>
      <c r="C24726" t="inlineStr">
        <is>
          <t>1967-08-08</t>
        </is>
      </c>
    </row>
    <row r="24727">
      <c r="A24727" s="1" t="n">
        <v>24726</v>
      </c>
      <c r="B24727">
        <f>TEXT(24726, "[$-0E0000]yyyy-mm-dd")</f>
        <v/>
      </c>
      <c r="C24727" t="inlineStr">
        <is>
          <t>1967-08-09</t>
        </is>
      </c>
    </row>
    <row r="24728">
      <c r="A24728" s="1" t="n">
        <v>24727</v>
      </c>
      <c r="B24728">
        <f>TEXT(24727, "[$-0E0000]yyyy-mm-dd")</f>
        <v/>
      </c>
      <c r="C24728" t="inlineStr">
        <is>
          <t>1967-08-10</t>
        </is>
      </c>
    </row>
    <row r="24729">
      <c r="A24729" s="1" t="n">
        <v>24728</v>
      </c>
      <c r="B24729">
        <f>TEXT(24728, "[$-0E0000]yyyy-mm-dd")</f>
        <v/>
      </c>
      <c r="C24729" t="inlineStr">
        <is>
          <t>1967-08-11</t>
        </is>
      </c>
    </row>
    <row r="24730">
      <c r="A24730" s="1" t="n">
        <v>24729</v>
      </c>
      <c r="B24730">
        <f>TEXT(24729, "[$-0E0000]yyyy-mm-dd")</f>
        <v/>
      </c>
      <c r="C24730" t="inlineStr">
        <is>
          <t>1967-08-12</t>
        </is>
      </c>
    </row>
    <row r="24731">
      <c r="A24731" s="1" t="n">
        <v>24730</v>
      </c>
      <c r="B24731">
        <f>TEXT(24730, "[$-0E0000]yyyy-mm-dd")</f>
        <v/>
      </c>
      <c r="C24731" t="inlineStr">
        <is>
          <t>1967-08-13</t>
        </is>
      </c>
    </row>
    <row r="24732">
      <c r="A24732" s="1" t="n">
        <v>24731</v>
      </c>
      <c r="B24732">
        <f>TEXT(24731, "[$-0E0000]yyyy-mm-dd")</f>
        <v/>
      </c>
      <c r="C24732" t="inlineStr">
        <is>
          <t>1967-08-14</t>
        </is>
      </c>
    </row>
    <row r="24733">
      <c r="A24733" s="1" t="n">
        <v>24732</v>
      </c>
      <c r="B24733">
        <f>TEXT(24732, "[$-0E0000]yyyy-mm-dd")</f>
        <v/>
      </c>
      <c r="C24733" t="inlineStr">
        <is>
          <t>1967-08-15</t>
        </is>
      </c>
    </row>
    <row r="24734">
      <c r="A24734" s="1" t="n">
        <v>24733</v>
      </c>
      <c r="B24734">
        <f>TEXT(24733, "[$-0E0000]yyyy-mm-dd")</f>
        <v/>
      </c>
      <c r="C24734" t="inlineStr">
        <is>
          <t>1967-08-16</t>
        </is>
      </c>
    </row>
    <row r="24735">
      <c r="A24735" s="1" t="n">
        <v>24734</v>
      </c>
      <c r="B24735">
        <f>TEXT(24734, "[$-0E0000]yyyy-mm-dd")</f>
        <v/>
      </c>
      <c r="C24735" t="inlineStr">
        <is>
          <t>1967-08-17</t>
        </is>
      </c>
    </row>
    <row r="24736">
      <c r="A24736" s="1" t="n">
        <v>24735</v>
      </c>
      <c r="B24736">
        <f>TEXT(24735, "[$-0E0000]yyyy-mm-dd")</f>
        <v/>
      </c>
      <c r="C24736" t="inlineStr">
        <is>
          <t>1967-08-18</t>
        </is>
      </c>
    </row>
    <row r="24737">
      <c r="A24737" s="1" t="n">
        <v>24736</v>
      </c>
      <c r="B24737">
        <f>TEXT(24736, "[$-0E0000]yyyy-mm-dd")</f>
        <v/>
      </c>
      <c r="C24737" t="inlineStr">
        <is>
          <t>1967-08-19</t>
        </is>
      </c>
    </row>
    <row r="24738">
      <c r="A24738" s="1" t="n">
        <v>24737</v>
      </c>
      <c r="B24738">
        <f>TEXT(24737, "[$-0E0000]yyyy-mm-dd")</f>
        <v/>
      </c>
      <c r="C24738" t="inlineStr">
        <is>
          <t>1967-08-20</t>
        </is>
      </c>
    </row>
    <row r="24739">
      <c r="A24739" s="1" t="n">
        <v>24738</v>
      </c>
      <c r="B24739">
        <f>TEXT(24738, "[$-0E0000]yyyy-mm-dd")</f>
        <v/>
      </c>
      <c r="C24739" t="inlineStr">
        <is>
          <t>1967-08-21</t>
        </is>
      </c>
    </row>
    <row r="24740">
      <c r="A24740" s="1" t="n">
        <v>24739</v>
      </c>
      <c r="B24740">
        <f>TEXT(24739, "[$-0E0000]yyyy-mm-dd")</f>
        <v/>
      </c>
      <c r="C24740" t="inlineStr">
        <is>
          <t>1967-08-22</t>
        </is>
      </c>
    </row>
    <row r="24741">
      <c r="A24741" s="1" t="n">
        <v>24740</v>
      </c>
      <c r="B24741">
        <f>TEXT(24740, "[$-0E0000]yyyy-mm-dd")</f>
        <v/>
      </c>
      <c r="C24741" t="inlineStr">
        <is>
          <t>1967-08-23</t>
        </is>
      </c>
    </row>
    <row r="24742">
      <c r="A24742" s="1" t="n">
        <v>24741</v>
      </c>
      <c r="B24742">
        <f>TEXT(24741, "[$-0E0000]yyyy-mm-dd")</f>
        <v/>
      </c>
      <c r="C24742" t="inlineStr">
        <is>
          <t>1967-08-24</t>
        </is>
      </c>
    </row>
    <row r="24743">
      <c r="A24743" s="1" t="n">
        <v>24742</v>
      </c>
      <c r="B24743">
        <f>TEXT(24742, "[$-0E0000]yyyy-mm-dd")</f>
        <v/>
      </c>
      <c r="C24743" t="inlineStr">
        <is>
          <t>1967-08-25</t>
        </is>
      </c>
    </row>
    <row r="24744">
      <c r="A24744" s="1" t="n">
        <v>24743</v>
      </c>
      <c r="B24744">
        <f>TEXT(24743, "[$-0E0000]yyyy-mm-dd")</f>
        <v/>
      </c>
      <c r="C24744" t="inlineStr">
        <is>
          <t>1967-08-26</t>
        </is>
      </c>
    </row>
    <row r="24745">
      <c r="A24745" s="1" t="n">
        <v>24744</v>
      </c>
      <c r="B24745">
        <f>TEXT(24744, "[$-0E0000]yyyy-mm-dd")</f>
        <v/>
      </c>
      <c r="C24745" t="inlineStr">
        <is>
          <t>1967-08-27</t>
        </is>
      </c>
    </row>
    <row r="24746">
      <c r="A24746" s="1" t="n">
        <v>24745</v>
      </c>
      <c r="B24746">
        <f>TEXT(24745, "[$-0E0000]yyyy-mm-dd")</f>
        <v/>
      </c>
      <c r="C24746" t="inlineStr">
        <is>
          <t>1967-08-28</t>
        </is>
      </c>
    </row>
    <row r="24747">
      <c r="A24747" s="1" t="n">
        <v>24746</v>
      </c>
      <c r="B24747">
        <f>TEXT(24746, "[$-0E0000]yyyy-mm-dd")</f>
        <v/>
      </c>
      <c r="C24747" t="inlineStr">
        <is>
          <t>1967-08-29</t>
        </is>
      </c>
    </row>
    <row r="24748">
      <c r="A24748" s="1" t="n">
        <v>24747</v>
      </c>
      <c r="B24748">
        <f>TEXT(24747, "[$-0E0000]yyyy-mm-dd")</f>
        <v/>
      </c>
      <c r="C24748" t="inlineStr">
        <is>
          <t>1967-08-30</t>
        </is>
      </c>
    </row>
    <row r="24749">
      <c r="A24749" s="1" t="n">
        <v>24748</v>
      </c>
      <c r="B24749">
        <f>TEXT(24748, "[$-0E0000]yyyy-mm-dd")</f>
        <v/>
      </c>
      <c r="C24749" t="inlineStr">
        <is>
          <t>1967-09-01</t>
        </is>
      </c>
    </row>
    <row r="24750">
      <c r="A24750" s="1" t="n">
        <v>24749</v>
      </c>
      <c r="B24750">
        <f>TEXT(24749, "[$-0E0000]yyyy-mm-dd")</f>
        <v/>
      </c>
      <c r="C24750" t="inlineStr">
        <is>
          <t>1967-09-02</t>
        </is>
      </c>
    </row>
    <row r="24751">
      <c r="A24751" s="1" t="n">
        <v>24750</v>
      </c>
      <c r="B24751">
        <f>TEXT(24750, "[$-0E0000]yyyy-mm-dd")</f>
        <v/>
      </c>
      <c r="C24751" t="inlineStr">
        <is>
          <t>1967-09-03</t>
        </is>
      </c>
    </row>
    <row r="24752">
      <c r="A24752" s="1" t="n">
        <v>24751</v>
      </c>
      <c r="B24752">
        <f>TEXT(24751, "[$-0E0000]yyyy-mm-dd")</f>
        <v/>
      </c>
      <c r="C24752" t="inlineStr">
        <is>
          <t>1967-09-04</t>
        </is>
      </c>
    </row>
    <row r="24753">
      <c r="A24753" s="1" t="n">
        <v>24752</v>
      </c>
      <c r="B24753">
        <f>TEXT(24752, "[$-0E0000]yyyy-mm-dd")</f>
        <v/>
      </c>
      <c r="C24753" t="inlineStr">
        <is>
          <t>1967-09-05</t>
        </is>
      </c>
    </row>
    <row r="24754">
      <c r="A24754" s="1" t="n">
        <v>24753</v>
      </c>
      <c r="B24754">
        <f>TEXT(24753, "[$-0E0000]yyyy-mm-dd")</f>
        <v/>
      </c>
      <c r="C24754" t="inlineStr">
        <is>
          <t>1967-09-06</t>
        </is>
      </c>
    </row>
    <row r="24755">
      <c r="A24755" s="1" t="n">
        <v>24754</v>
      </c>
      <c r="B24755">
        <f>TEXT(24754, "[$-0E0000]yyyy-mm-dd")</f>
        <v/>
      </c>
      <c r="C24755" t="inlineStr">
        <is>
          <t>1967-09-07</t>
        </is>
      </c>
    </row>
    <row r="24756">
      <c r="A24756" s="1" t="n">
        <v>24755</v>
      </c>
      <c r="B24756">
        <f>TEXT(24755, "[$-0E0000]yyyy-mm-dd")</f>
        <v/>
      </c>
      <c r="C24756" t="inlineStr">
        <is>
          <t>1967-09-08</t>
        </is>
      </c>
    </row>
    <row r="24757">
      <c r="A24757" s="1" t="n">
        <v>24756</v>
      </c>
      <c r="B24757">
        <f>TEXT(24756, "[$-0E0000]yyyy-mm-dd")</f>
        <v/>
      </c>
      <c r="C24757" t="inlineStr">
        <is>
          <t>1967-09-09</t>
        </is>
      </c>
    </row>
    <row r="24758">
      <c r="A24758" s="1" t="n">
        <v>24757</v>
      </c>
      <c r="B24758">
        <f>TEXT(24757, "[$-0E0000]yyyy-mm-dd")</f>
        <v/>
      </c>
      <c r="C24758" t="inlineStr">
        <is>
          <t>1967-09-10</t>
        </is>
      </c>
    </row>
    <row r="24759">
      <c r="A24759" s="1" t="n">
        <v>24758</v>
      </c>
      <c r="B24759">
        <f>TEXT(24758, "[$-0E0000]yyyy-mm-dd")</f>
        <v/>
      </c>
      <c r="C24759" t="inlineStr">
        <is>
          <t>1967-09-11</t>
        </is>
      </c>
    </row>
    <row r="24760">
      <c r="A24760" s="1" t="n">
        <v>24759</v>
      </c>
      <c r="B24760">
        <f>TEXT(24759, "[$-0E0000]yyyy-mm-dd")</f>
        <v/>
      </c>
      <c r="C24760" t="inlineStr">
        <is>
          <t>1967-09-12</t>
        </is>
      </c>
    </row>
    <row r="24761">
      <c r="A24761" s="1" t="n">
        <v>24760</v>
      </c>
      <c r="B24761">
        <f>TEXT(24760, "[$-0E0000]yyyy-mm-dd")</f>
        <v/>
      </c>
      <c r="C24761" t="inlineStr">
        <is>
          <t>1967-09-13</t>
        </is>
      </c>
    </row>
    <row r="24762">
      <c r="A24762" s="1" t="n">
        <v>24761</v>
      </c>
      <c r="B24762">
        <f>TEXT(24761, "[$-0E0000]yyyy-mm-dd")</f>
        <v/>
      </c>
      <c r="C24762" t="inlineStr">
        <is>
          <t>1967-09-14</t>
        </is>
      </c>
    </row>
    <row r="24763">
      <c r="A24763" s="1" t="n">
        <v>24762</v>
      </c>
      <c r="B24763">
        <f>TEXT(24762, "[$-0E0000]yyyy-mm-dd")</f>
        <v/>
      </c>
      <c r="C24763" t="inlineStr">
        <is>
          <t>1967-09-15</t>
        </is>
      </c>
    </row>
    <row r="24764">
      <c r="A24764" s="1" t="n">
        <v>24763</v>
      </c>
      <c r="B24764">
        <f>TEXT(24763, "[$-0E0000]yyyy-mm-dd")</f>
        <v/>
      </c>
      <c r="C24764" t="inlineStr">
        <is>
          <t>1967-09-16</t>
        </is>
      </c>
    </row>
    <row r="24765">
      <c r="A24765" s="1" t="n">
        <v>24764</v>
      </c>
      <c r="B24765">
        <f>TEXT(24764, "[$-0E0000]yyyy-mm-dd")</f>
        <v/>
      </c>
      <c r="C24765" t="inlineStr">
        <is>
          <t>1967-09-17</t>
        </is>
      </c>
    </row>
    <row r="24766">
      <c r="A24766" s="1" t="n">
        <v>24765</v>
      </c>
      <c r="B24766">
        <f>TEXT(24765, "[$-0E0000]yyyy-mm-dd")</f>
        <v/>
      </c>
      <c r="C24766" t="inlineStr">
        <is>
          <t>1967-09-18</t>
        </is>
      </c>
    </row>
    <row r="24767">
      <c r="A24767" s="1" t="n">
        <v>24766</v>
      </c>
      <c r="B24767">
        <f>TEXT(24766, "[$-0E0000]yyyy-mm-dd")</f>
        <v/>
      </c>
      <c r="C24767" t="inlineStr">
        <is>
          <t>1967-09-19</t>
        </is>
      </c>
    </row>
    <row r="24768">
      <c r="A24768" s="1" t="n">
        <v>24767</v>
      </c>
      <c r="B24768">
        <f>TEXT(24767, "[$-0E0000]yyyy-mm-dd")</f>
        <v/>
      </c>
      <c r="C24768" t="inlineStr">
        <is>
          <t>1967-09-20</t>
        </is>
      </c>
    </row>
    <row r="24769">
      <c r="A24769" s="1" t="n">
        <v>24768</v>
      </c>
      <c r="B24769">
        <f>TEXT(24768, "[$-0E0000]yyyy-mm-dd")</f>
        <v/>
      </c>
      <c r="C24769" t="inlineStr">
        <is>
          <t>1967-09-21</t>
        </is>
      </c>
    </row>
    <row r="24770">
      <c r="A24770" s="1" t="n">
        <v>24769</v>
      </c>
      <c r="B24770">
        <f>TEXT(24769, "[$-0E0000]yyyy-mm-dd")</f>
        <v/>
      </c>
      <c r="C24770" t="inlineStr">
        <is>
          <t>1967-09-22</t>
        </is>
      </c>
    </row>
    <row r="24771">
      <c r="A24771" s="1" t="n">
        <v>24770</v>
      </c>
      <c r="B24771">
        <f>TEXT(24770, "[$-0E0000]yyyy-mm-dd")</f>
        <v/>
      </c>
      <c r="C24771" t="inlineStr">
        <is>
          <t>1967-09-23</t>
        </is>
      </c>
    </row>
    <row r="24772">
      <c r="A24772" s="1" t="n">
        <v>24771</v>
      </c>
      <c r="B24772">
        <f>TEXT(24771, "[$-0E0000]yyyy-mm-dd")</f>
        <v/>
      </c>
      <c r="C24772" t="inlineStr">
        <is>
          <t>1967-09-24</t>
        </is>
      </c>
    </row>
    <row r="24773">
      <c r="A24773" s="1" t="n">
        <v>24772</v>
      </c>
      <c r="B24773">
        <f>TEXT(24772, "[$-0E0000]yyyy-mm-dd")</f>
        <v/>
      </c>
      <c r="C24773" t="inlineStr">
        <is>
          <t>1967-09-25</t>
        </is>
      </c>
    </row>
    <row r="24774">
      <c r="A24774" s="1" t="n">
        <v>24773</v>
      </c>
      <c r="B24774">
        <f>TEXT(24773, "[$-0E0000]yyyy-mm-dd")</f>
        <v/>
      </c>
      <c r="C24774" t="inlineStr">
        <is>
          <t>1967-09-26</t>
        </is>
      </c>
    </row>
    <row r="24775">
      <c r="A24775" s="1" t="n">
        <v>24774</v>
      </c>
      <c r="B24775">
        <f>TEXT(24774, "[$-0E0000]yyyy-mm-dd")</f>
        <v/>
      </c>
      <c r="C24775" t="inlineStr">
        <is>
          <t>1967-09-27</t>
        </is>
      </c>
    </row>
    <row r="24776">
      <c r="A24776" s="1" t="n">
        <v>24775</v>
      </c>
      <c r="B24776">
        <f>TEXT(24775, "[$-0E0000]yyyy-mm-dd")</f>
        <v/>
      </c>
      <c r="C24776" t="inlineStr">
        <is>
          <t>1967-09-28</t>
        </is>
      </c>
    </row>
    <row r="24777">
      <c r="A24777" s="1" t="n">
        <v>24776</v>
      </c>
      <c r="B24777">
        <f>TEXT(24776, "[$-0E0000]yyyy-mm-dd")</f>
        <v/>
      </c>
      <c r="C24777" t="inlineStr">
        <is>
          <t>1967-09-29</t>
        </is>
      </c>
    </row>
    <row r="24778">
      <c r="A24778" s="1" t="n">
        <v>24777</v>
      </c>
      <c r="B24778">
        <f>TEXT(24777, "[$-0E0000]yyyy-mm-dd")</f>
        <v/>
      </c>
      <c r="C24778" t="inlineStr">
        <is>
          <t>1967-10-01</t>
        </is>
      </c>
    </row>
    <row r="24779">
      <c r="A24779" s="1" t="n">
        <v>24778</v>
      </c>
      <c r="B24779">
        <f>TEXT(24778, "[$-0E0000]yyyy-mm-dd")</f>
        <v/>
      </c>
      <c r="C24779" t="inlineStr">
        <is>
          <t>1967-10-02</t>
        </is>
      </c>
    </row>
    <row r="24780">
      <c r="A24780" s="1" t="n">
        <v>24779</v>
      </c>
      <c r="B24780">
        <f>TEXT(24779, "[$-0E0000]yyyy-mm-dd")</f>
        <v/>
      </c>
      <c r="C24780" t="inlineStr">
        <is>
          <t>1967-10-03</t>
        </is>
      </c>
    </row>
    <row r="24781">
      <c r="A24781" s="1" t="n">
        <v>24780</v>
      </c>
      <c r="B24781">
        <f>TEXT(24780, "[$-0E0000]yyyy-mm-dd")</f>
        <v/>
      </c>
      <c r="C24781" t="inlineStr">
        <is>
          <t>1967-10-04</t>
        </is>
      </c>
    </row>
    <row r="24782">
      <c r="A24782" s="1" t="n">
        <v>24781</v>
      </c>
      <c r="B24782">
        <f>TEXT(24781, "[$-0E0000]yyyy-mm-dd")</f>
        <v/>
      </c>
      <c r="C24782" t="inlineStr">
        <is>
          <t>1967-10-05</t>
        </is>
      </c>
    </row>
    <row r="24783">
      <c r="A24783" s="1" t="n">
        <v>24782</v>
      </c>
      <c r="B24783">
        <f>TEXT(24782, "[$-0E0000]yyyy-mm-dd")</f>
        <v/>
      </c>
      <c r="C24783" t="inlineStr">
        <is>
          <t>1967-10-06</t>
        </is>
      </c>
    </row>
    <row r="24784">
      <c r="A24784" s="1" t="n">
        <v>24783</v>
      </c>
      <c r="B24784">
        <f>TEXT(24783, "[$-0E0000]yyyy-mm-dd")</f>
        <v/>
      </c>
      <c r="C24784" t="inlineStr">
        <is>
          <t>1967-10-07</t>
        </is>
      </c>
    </row>
    <row r="24785">
      <c r="A24785" s="1" t="n">
        <v>24784</v>
      </c>
      <c r="B24785">
        <f>TEXT(24784, "[$-0E0000]yyyy-mm-dd")</f>
        <v/>
      </c>
      <c r="C24785" t="inlineStr">
        <is>
          <t>1967-10-08</t>
        </is>
      </c>
    </row>
    <row r="24786">
      <c r="A24786" s="1" t="n">
        <v>24785</v>
      </c>
      <c r="B24786">
        <f>TEXT(24785, "[$-0E0000]yyyy-mm-dd")</f>
        <v/>
      </c>
      <c r="C24786" t="inlineStr">
        <is>
          <t>1967-10-09</t>
        </is>
      </c>
    </row>
    <row r="24787">
      <c r="A24787" s="1" t="n">
        <v>24786</v>
      </c>
      <c r="B24787">
        <f>TEXT(24786, "[$-0E0000]yyyy-mm-dd")</f>
        <v/>
      </c>
      <c r="C24787" t="inlineStr">
        <is>
          <t>1967-10-10</t>
        </is>
      </c>
    </row>
    <row r="24788">
      <c r="A24788" s="1" t="n">
        <v>24787</v>
      </c>
      <c r="B24788">
        <f>TEXT(24787, "[$-0E0000]yyyy-mm-dd")</f>
        <v/>
      </c>
      <c r="C24788" t="inlineStr">
        <is>
          <t>1967-10-11</t>
        </is>
      </c>
    </row>
    <row r="24789">
      <c r="A24789" s="1" t="n">
        <v>24788</v>
      </c>
      <c r="B24789">
        <f>TEXT(24788, "[$-0E0000]yyyy-mm-dd")</f>
        <v/>
      </c>
      <c r="C24789" t="inlineStr">
        <is>
          <t>1967-10-12</t>
        </is>
      </c>
    </row>
    <row r="24790">
      <c r="A24790" s="1" t="n">
        <v>24789</v>
      </c>
      <c r="B24790">
        <f>TEXT(24789, "[$-0E0000]yyyy-mm-dd")</f>
        <v/>
      </c>
      <c r="C24790" t="inlineStr">
        <is>
          <t>1967-10-13</t>
        </is>
      </c>
    </row>
    <row r="24791">
      <c r="A24791" s="1" t="n">
        <v>24790</v>
      </c>
      <c r="B24791">
        <f>TEXT(24790, "[$-0E0000]yyyy-mm-dd")</f>
        <v/>
      </c>
      <c r="C24791" t="inlineStr">
        <is>
          <t>1967-10-14</t>
        </is>
      </c>
    </row>
    <row r="24792">
      <c r="A24792" s="1" t="n">
        <v>24791</v>
      </c>
      <c r="B24792">
        <f>TEXT(24791, "[$-0E0000]yyyy-mm-dd")</f>
        <v/>
      </c>
      <c r="C24792" t="inlineStr">
        <is>
          <t>1967-10-15</t>
        </is>
      </c>
    </row>
    <row r="24793">
      <c r="A24793" s="1" t="n">
        <v>24792</v>
      </c>
      <c r="B24793">
        <f>TEXT(24792, "[$-0E0000]yyyy-mm-dd")</f>
        <v/>
      </c>
      <c r="C24793" t="inlineStr">
        <is>
          <t>1967-10-16</t>
        </is>
      </c>
    </row>
    <row r="24794">
      <c r="A24794" s="1" t="n">
        <v>24793</v>
      </c>
      <c r="B24794">
        <f>TEXT(24793, "[$-0E0000]yyyy-mm-dd")</f>
        <v/>
      </c>
      <c r="C24794" t="inlineStr">
        <is>
          <t>1967-10-17</t>
        </is>
      </c>
    </row>
    <row r="24795">
      <c r="A24795" s="1" t="n">
        <v>24794</v>
      </c>
      <c r="B24795">
        <f>TEXT(24794, "[$-0E0000]yyyy-mm-dd")</f>
        <v/>
      </c>
      <c r="C24795" t="inlineStr">
        <is>
          <t>1967-10-18</t>
        </is>
      </c>
    </row>
    <row r="24796">
      <c r="A24796" s="1" t="n">
        <v>24795</v>
      </c>
      <c r="B24796">
        <f>TEXT(24795, "[$-0E0000]yyyy-mm-dd")</f>
        <v/>
      </c>
      <c r="C24796" t="inlineStr">
        <is>
          <t>1967-10-19</t>
        </is>
      </c>
    </row>
    <row r="24797">
      <c r="A24797" s="1" t="n">
        <v>24796</v>
      </c>
      <c r="B24797">
        <f>TEXT(24796, "[$-0E0000]yyyy-mm-dd")</f>
        <v/>
      </c>
      <c r="C24797" t="inlineStr">
        <is>
          <t>1967-10-20</t>
        </is>
      </c>
    </row>
    <row r="24798">
      <c r="A24798" s="1" t="n">
        <v>24797</v>
      </c>
      <c r="B24798">
        <f>TEXT(24797, "[$-0E0000]yyyy-mm-dd")</f>
        <v/>
      </c>
      <c r="C24798" t="inlineStr">
        <is>
          <t>1967-10-21</t>
        </is>
      </c>
    </row>
    <row r="24799">
      <c r="A24799" s="1" t="n">
        <v>24798</v>
      </c>
      <c r="B24799">
        <f>TEXT(24798, "[$-0E0000]yyyy-mm-dd")</f>
        <v/>
      </c>
      <c r="C24799" t="inlineStr">
        <is>
          <t>1967-10-22</t>
        </is>
      </c>
    </row>
    <row r="24800">
      <c r="A24800" s="1" t="n">
        <v>24799</v>
      </c>
      <c r="B24800">
        <f>TEXT(24799, "[$-0E0000]yyyy-mm-dd")</f>
        <v/>
      </c>
      <c r="C24800" t="inlineStr">
        <is>
          <t>1967-10-23</t>
        </is>
      </c>
    </row>
    <row r="24801">
      <c r="A24801" s="1" t="n">
        <v>24800</v>
      </c>
      <c r="B24801">
        <f>TEXT(24800, "[$-0E0000]yyyy-mm-dd")</f>
        <v/>
      </c>
      <c r="C24801" t="inlineStr">
        <is>
          <t>1967-10-24</t>
        </is>
      </c>
    </row>
    <row r="24802">
      <c r="A24802" s="1" t="n">
        <v>24801</v>
      </c>
      <c r="B24802">
        <f>TEXT(24801, "[$-0E0000]yyyy-mm-dd")</f>
        <v/>
      </c>
      <c r="C24802" t="inlineStr">
        <is>
          <t>1967-10-25</t>
        </is>
      </c>
    </row>
    <row r="24803">
      <c r="A24803" s="1" t="n">
        <v>24802</v>
      </c>
      <c r="B24803">
        <f>TEXT(24802, "[$-0E0000]yyyy-mm-dd")</f>
        <v/>
      </c>
      <c r="C24803" t="inlineStr">
        <is>
          <t>1967-10-26</t>
        </is>
      </c>
    </row>
    <row r="24804">
      <c r="A24804" s="1" t="n">
        <v>24803</v>
      </c>
      <c r="B24804">
        <f>TEXT(24803, "[$-0E0000]yyyy-mm-dd")</f>
        <v/>
      </c>
      <c r="C24804" t="inlineStr">
        <is>
          <t>1967-10-27</t>
        </is>
      </c>
    </row>
    <row r="24805">
      <c r="A24805" s="1" t="n">
        <v>24804</v>
      </c>
      <c r="B24805">
        <f>TEXT(24804, "[$-0E0000]yyyy-mm-dd")</f>
        <v/>
      </c>
      <c r="C24805" t="inlineStr">
        <is>
          <t>1967-10-28</t>
        </is>
      </c>
    </row>
    <row r="24806">
      <c r="A24806" s="1" t="n">
        <v>24805</v>
      </c>
      <c r="B24806">
        <f>TEXT(24805, "[$-0E0000]yyyy-mm-dd")</f>
        <v/>
      </c>
      <c r="C24806" t="inlineStr">
        <is>
          <t>1967-10-29</t>
        </is>
      </c>
    </row>
    <row r="24807">
      <c r="A24807" s="1" t="n">
        <v>24806</v>
      </c>
      <c r="B24807">
        <f>TEXT(24806, "[$-0E0000]yyyy-mm-dd")</f>
        <v/>
      </c>
      <c r="C24807" t="inlineStr">
        <is>
          <t>1967-10-30</t>
        </is>
      </c>
    </row>
    <row r="24808">
      <c r="A24808" s="1" t="n">
        <v>24807</v>
      </c>
      <c r="B24808">
        <f>TEXT(24807, "[$-0E0000]yyyy-mm-dd")</f>
        <v/>
      </c>
      <c r="C24808" t="inlineStr">
        <is>
          <t>1967-11-01</t>
        </is>
      </c>
    </row>
    <row r="24809">
      <c r="A24809" s="1" t="n">
        <v>24808</v>
      </c>
      <c r="B24809">
        <f>TEXT(24808, "[$-0E0000]yyyy-mm-dd")</f>
        <v/>
      </c>
      <c r="C24809" t="inlineStr">
        <is>
          <t>1967-11-02</t>
        </is>
      </c>
    </row>
    <row r="24810">
      <c r="A24810" s="1" t="n">
        <v>24809</v>
      </c>
      <c r="B24810">
        <f>TEXT(24809, "[$-0E0000]yyyy-mm-dd")</f>
        <v/>
      </c>
      <c r="C24810" t="inlineStr">
        <is>
          <t>1967-11-03</t>
        </is>
      </c>
    </row>
    <row r="24811">
      <c r="A24811" s="1" t="n">
        <v>24810</v>
      </c>
      <c r="B24811">
        <f>TEXT(24810, "[$-0E0000]yyyy-mm-dd")</f>
        <v/>
      </c>
      <c r="C24811" t="inlineStr">
        <is>
          <t>1967-11-04</t>
        </is>
      </c>
    </row>
    <row r="24812">
      <c r="A24812" s="1" t="n">
        <v>24811</v>
      </c>
      <c r="B24812">
        <f>TEXT(24811, "[$-0E0000]yyyy-mm-dd")</f>
        <v/>
      </c>
      <c r="C24812" t="inlineStr">
        <is>
          <t>1967-11-05</t>
        </is>
      </c>
    </row>
    <row r="24813">
      <c r="A24813" s="1" t="n">
        <v>24812</v>
      </c>
      <c r="B24813">
        <f>TEXT(24812, "[$-0E0000]yyyy-mm-dd")</f>
        <v/>
      </c>
      <c r="C24813" t="inlineStr">
        <is>
          <t>1967-11-06</t>
        </is>
      </c>
    </row>
    <row r="24814">
      <c r="A24814" s="1" t="n">
        <v>24813</v>
      </c>
      <c r="B24814">
        <f>TEXT(24813, "[$-0E0000]yyyy-mm-dd")</f>
        <v/>
      </c>
      <c r="C24814" t="inlineStr">
        <is>
          <t>1967-11-07</t>
        </is>
      </c>
    </row>
    <row r="24815">
      <c r="A24815" s="1" t="n">
        <v>24814</v>
      </c>
      <c r="B24815">
        <f>TEXT(24814, "[$-0E0000]yyyy-mm-dd")</f>
        <v/>
      </c>
      <c r="C24815" t="inlineStr">
        <is>
          <t>1967-11-08</t>
        </is>
      </c>
    </row>
    <row r="24816">
      <c r="A24816" s="1" t="n">
        <v>24815</v>
      </c>
      <c r="B24816">
        <f>TEXT(24815, "[$-0E0000]yyyy-mm-dd")</f>
        <v/>
      </c>
      <c r="C24816" t="inlineStr">
        <is>
          <t>1967-11-09</t>
        </is>
      </c>
    </row>
    <row r="24817">
      <c r="A24817" s="1" t="n">
        <v>24816</v>
      </c>
      <c r="B24817">
        <f>TEXT(24816, "[$-0E0000]yyyy-mm-dd")</f>
        <v/>
      </c>
      <c r="C24817" t="inlineStr">
        <is>
          <t>1967-11-10</t>
        </is>
      </c>
    </row>
    <row r="24818">
      <c r="A24818" s="1" t="n">
        <v>24817</v>
      </c>
      <c r="B24818">
        <f>TEXT(24817, "[$-0E0000]yyyy-mm-dd")</f>
        <v/>
      </c>
      <c r="C24818" t="inlineStr">
        <is>
          <t>1967-11-11</t>
        </is>
      </c>
    </row>
    <row r="24819">
      <c r="A24819" s="1" t="n">
        <v>24818</v>
      </c>
      <c r="B24819">
        <f>TEXT(24818, "[$-0E0000]yyyy-mm-dd")</f>
        <v/>
      </c>
      <c r="C24819" t="inlineStr">
        <is>
          <t>1967-11-12</t>
        </is>
      </c>
    </row>
    <row r="24820">
      <c r="A24820" s="1" t="n">
        <v>24819</v>
      </c>
      <c r="B24820">
        <f>TEXT(24819, "[$-0E0000]yyyy-mm-dd")</f>
        <v/>
      </c>
      <c r="C24820" t="inlineStr">
        <is>
          <t>1967-11-13</t>
        </is>
      </c>
    </row>
    <row r="24821">
      <c r="A24821" s="1" t="n">
        <v>24820</v>
      </c>
      <c r="B24821">
        <f>TEXT(24820, "[$-0E0000]yyyy-mm-dd")</f>
        <v/>
      </c>
      <c r="C24821" t="inlineStr">
        <is>
          <t>1967-11-14</t>
        </is>
      </c>
    </row>
    <row r="24822">
      <c r="A24822" s="1" t="n">
        <v>24821</v>
      </c>
      <c r="B24822">
        <f>TEXT(24821, "[$-0E0000]yyyy-mm-dd")</f>
        <v/>
      </c>
      <c r="C24822" t="inlineStr">
        <is>
          <t>1967-11-15</t>
        </is>
      </c>
    </row>
    <row r="24823">
      <c r="A24823" s="1" t="n">
        <v>24822</v>
      </c>
      <c r="B24823">
        <f>TEXT(24822, "[$-0E0000]yyyy-mm-dd")</f>
        <v/>
      </c>
      <c r="C24823" t="inlineStr">
        <is>
          <t>1967-11-16</t>
        </is>
      </c>
    </row>
    <row r="24824">
      <c r="A24824" s="1" t="n">
        <v>24823</v>
      </c>
      <c r="B24824">
        <f>TEXT(24823, "[$-0E0000]yyyy-mm-dd")</f>
        <v/>
      </c>
      <c r="C24824" t="inlineStr">
        <is>
          <t>1967-11-17</t>
        </is>
      </c>
    </row>
    <row r="24825">
      <c r="A24825" s="1" t="n">
        <v>24824</v>
      </c>
      <c r="B24825">
        <f>TEXT(24824, "[$-0E0000]yyyy-mm-dd")</f>
        <v/>
      </c>
      <c r="C24825" t="inlineStr">
        <is>
          <t>1967-11-18</t>
        </is>
      </c>
    </row>
    <row r="24826">
      <c r="A24826" s="1" t="n">
        <v>24825</v>
      </c>
      <c r="B24826">
        <f>TEXT(24825, "[$-0E0000]yyyy-mm-dd")</f>
        <v/>
      </c>
      <c r="C24826" t="inlineStr">
        <is>
          <t>1967-11-19</t>
        </is>
      </c>
    </row>
    <row r="24827">
      <c r="A24827" s="1" t="n">
        <v>24826</v>
      </c>
      <c r="B24827">
        <f>TEXT(24826, "[$-0E0000]yyyy-mm-dd")</f>
        <v/>
      </c>
      <c r="C24827" t="inlineStr">
        <is>
          <t>1967-11-20</t>
        </is>
      </c>
    </row>
    <row r="24828">
      <c r="A24828" s="1" t="n">
        <v>24827</v>
      </c>
      <c r="B24828">
        <f>TEXT(24827, "[$-0E0000]yyyy-mm-dd")</f>
        <v/>
      </c>
      <c r="C24828" t="inlineStr">
        <is>
          <t>1967-11-21</t>
        </is>
      </c>
    </row>
    <row r="24829">
      <c r="A24829" s="1" t="n">
        <v>24828</v>
      </c>
      <c r="B24829">
        <f>TEXT(24828, "[$-0E0000]yyyy-mm-dd")</f>
        <v/>
      </c>
      <c r="C24829" t="inlineStr">
        <is>
          <t>1967-11-22</t>
        </is>
      </c>
    </row>
    <row r="24830">
      <c r="A24830" s="1" t="n">
        <v>24829</v>
      </c>
      <c r="B24830">
        <f>TEXT(24829, "[$-0E0000]yyyy-mm-dd")</f>
        <v/>
      </c>
      <c r="C24830" t="inlineStr">
        <is>
          <t>1967-11-23</t>
        </is>
      </c>
    </row>
    <row r="24831">
      <c r="A24831" s="1" t="n">
        <v>24830</v>
      </c>
      <c r="B24831">
        <f>TEXT(24830, "[$-0E0000]yyyy-mm-dd")</f>
        <v/>
      </c>
      <c r="C24831" t="inlineStr">
        <is>
          <t>1967-11-24</t>
        </is>
      </c>
    </row>
    <row r="24832">
      <c r="A24832" s="1" t="n">
        <v>24831</v>
      </c>
      <c r="B24832">
        <f>TEXT(24831, "[$-0E0000]yyyy-mm-dd")</f>
        <v/>
      </c>
      <c r="C24832" t="inlineStr">
        <is>
          <t>1967-11-25</t>
        </is>
      </c>
    </row>
    <row r="24833">
      <c r="A24833" s="1" t="n">
        <v>24832</v>
      </c>
      <c r="B24833">
        <f>TEXT(24832, "[$-0E0000]yyyy-mm-dd")</f>
        <v/>
      </c>
      <c r="C24833" t="inlineStr">
        <is>
          <t>1967-11-26</t>
        </is>
      </c>
    </row>
    <row r="24834">
      <c r="A24834" s="1" t="n">
        <v>24833</v>
      </c>
      <c r="B24834">
        <f>TEXT(24833, "[$-0E0000]yyyy-mm-dd")</f>
        <v/>
      </c>
      <c r="C24834" t="inlineStr">
        <is>
          <t>1967-11-27</t>
        </is>
      </c>
    </row>
    <row r="24835">
      <c r="A24835" s="1" t="n">
        <v>24834</v>
      </c>
      <c r="B24835">
        <f>TEXT(24834, "[$-0E0000]yyyy-mm-dd")</f>
        <v/>
      </c>
      <c r="C24835" t="inlineStr">
        <is>
          <t>1967-11-28</t>
        </is>
      </c>
    </row>
    <row r="24836">
      <c r="A24836" s="1" t="n">
        <v>24835</v>
      </c>
      <c r="B24836">
        <f>TEXT(24835, "[$-0E0000]yyyy-mm-dd")</f>
        <v/>
      </c>
      <c r="C24836" t="inlineStr">
        <is>
          <t>1967-11-29</t>
        </is>
      </c>
    </row>
    <row r="24837">
      <c r="A24837" s="1" t="n">
        <v>24836</v>
      </c>
      <c r="B24837">
        <f>TEXT(24836, "[$-0E0000]yyyy-mm-dd")</f>
        <v/>
      </c>
      <c r="C24837" t="inlineStr">
        <is>
          <t>1967-12-01</t>
        </is>
      </c>
    </row>
    <row r="24838">
      <c r="A24838" s="1" t="n">
        <v>24837</v>
      </c>
      <c r="B24838">
        <f>TEXT(24837, "[$-0E0000]yyyy-mm-dd")</f>
        <v/>
      </c>
      <c r="C24838" t="inlineStr">
        <is>
          <t>1967-12-02</t>
        </is>
      </c>
    </row>
    <row r="24839">
      <c r="A24839" s="1" t="n">
        <v>24838</v>
      </c>
      <c r="B24839">
        <f>TEXT(24838, "[$-0E0000]yyyy-mm-dd")</f>
        <v/>
      </c>
      <c r="C24839" t="inlineStr">
        <is>
          <t>1967-12-03</t>
        </is>
      </c>
    </row>
    <row r="24840">
      <c r="A24840" s="1" t="n">
        <v>24839</v>
      </c>
      <c r="B24840">
        <f>TEXT(24839, "[$-0E0000]yyyy-mm-dd")</f>
        <v/>
      </c>
      <c r="C24840" t="inlineStr">
        <is>
          <t>1967-12-04</t>
        </is>
      </c>
    </row>
    <row r="24841">
      <c r="A24841" s="1" t="n">
        <v>24840</v>
      </c>
      <c r="B24841">
        <f>TEXT(24840, "[$-0E0000]yyyy-mm-dd")</f>
        <v/>
      </c>
      <c r="C24841" t="inlineStr">
        <is>
          <t>1967-12-05</t>
        </is>
      </c>
    </row>
    <row r="24842">
      <c r="A24842" s="1" t="n">
        <v>24841</v>
      </c>
      <c r="B24842">
        <f>TEXT(24841, "[$-0E0000]yyyy-mm-dd")</f>
        <v/>
      </c>
      <c r="C24842" t="inlineStr">
        <is>
          <t>1967-12-06</t>
        </is>
      </c>
    </row>
    <row r="24843">
      <c r="A24843" s="1" t="n">
        <v>24842</v>
      </c>
      <c r="B24843">
        <f>TEXT(24842, "[$-0E0000]yyyy-mm-dd")</f>
        <v/>
      </c>
      <c r="C24843" t="inlineStr">
        <is>
          <t>1967-12-07</t>
        </is>
      </c>
    </row>
    <row r="24844">
      <c r="A24844" s="1" t="n">
        <v>24843</v>
      </c>
      <c r="B24844">
        <f>TEXT(24843, "[$-0E0000]yyyy-mm-dd")</f>
        <v/>
      </c>
      <c r="C24844" t="inlineStr">
        <is>
          <t>1967-12-08</t>
        </is>
      </c>
    </row>
    <row r="24845">
      <c r="A24845" s="1" t="n">
        <v>24844</v>
      </c>
      <c r="B24845">
        <f>TEXT(24844, "[$-0E0000]yyyy-mm-dd")</f>
        <v/>
      </c>
      <c r="C24845" t="inlineStr">
        <is>
          <t>1967-12-09</t>
        </is>
      </c>
    </row>
    <row r="24846">
      <c r="A24846" s="1" t="n">
        <v>24845</v>
      </c>
      <c r="B24846">
        <f>TEXT(24845, "[$-0E0000]yyyy-mm-dd")</f>
        <v/>
      </c>
      <c r="C24846" t="inlineStr">
        <is>
          <t>1967-12-10</t>
        </is>
      </c>
    </row>
    <row r="24847">
      <c r="A24847" s="1" t="n">
        <v>24846</v>
      </c>
      <c r="B24847">
        <f>TEXT(24846, "[$-0E0000]yyyy-mm-dd")</f>
        <v/>
      </c>
      <c r="C24847" t="inlineStr">
        <is>
          <t>1967-12-11</t>
        </is>
      </c>
    </row>
    <row r="24848">
      <c r="A24848" s="1" t="n">
        <v>24847</v>
      </c>
      <c r="B24848">
        <f>TEXT(24847, "[$-0E0000]yyyy-mm-dd")</f>
        <v/>
      </c>
      <c r="C24848" t="inlineStr">
        <is>
          <t>1967-12-12</t>
        </is>
      </c>
    </row>
    <row r="24849">
      <c r="A24849" s="1" t="n">
        <v>24848</v>
      </c>
      <c r="B24849">
        <f>TEXT(24848, "[$-0E0000]yyyy-mm-dd")</f>
        <v/>
      </c>
      <c r="C24849" t="inlineStr">
        <is>
          <t>1967-12-13</t>
        </is>
      </c>
    </row>
    <row r="24850">
      <c r="A24850" s="1" t="n">
        <v>24849</v>
      </c>
      <c r="B24850">
        <f>TEXT(24849, "[$-0E0000]yyyy-mm-dd")</f>
        <v/>
      </c>
      <c r="C24850" t="inlineStr">
        <is>
          <t>1967-12-14</t>
        </is>
      </c>
    </row>
    <row r="24851">
      <c r="A24851" s="1" t="n">
        <v>24850</v>
      </c>
      <c r="B24851">
        <f>TEXT(24850, "[$-0E0000]yyyy-mm-dd")</f>
        <v/>
      </c>
      <c r="C24851" t="inlineStr">
        <is>
          <t>1967-12-15</t>
        </is>
      </c>
    </row>
    <row r="24852">
      <c r="A24852" s="1" t="n">
        <v>24851</v>
      </c>
      <c r="B24852">
        <f>TEXT(24851, "[$-0E0000]yyyy-mm-dd")</f>
        <v/>
      </c>
      <c r="C24852" t="inlineStr">
        <is>
          <t>1967-12-16</t>
        </is>
      </c>
    </row>
    <row r="24853">
      <c r="A24853" s="1" t="n">
        <v>24852</v>
      </c>
      <c r="B24853">
        <f>TEXT(24852, "[$-0E0000]yyyy-mm-dd")</f>
        <v/>
      </c>
      <c r="C24853" t="inlineStr">
        <is>
          <t>1967-12-17</t>
        </is>
      </c>
    </row>
    <row r="24854">
      <c r="A24854" s="1" t="n">
        <v>24853</v>
      </c>
      <c r="B24854">
        <f>TEXT(24853, "[$-0E0000]yyyy-mm-dd")</f>
        <v/>
      </c>
      <c r="C24854" t="inlineStr">
        <is>
          <t>1967-12-18</t>
        </is>
      </c>
    </row>
    <row r="24855">
      <c r="A24855" s="1" t="n">
        <v>24854</v>
      </c>
      <c r="B24855">
        <f>TEXT(24854, "[$-0E0000]yyyy-mm-dd")</f>
        <v/>
      </c>
      <c r="C24855" t="inlineStr">
        <is>
          <t>1967-12-19</t>
        </is>
      </c>
    </row>
    <row r="24856">
      <c r="A24856" s="1" t="n">
        <v>24855</v>
      </c>
      <c r="B24856">
        <f>TEXT(24855, "[$-0E0000]yyyy-mm-dd")</f>
        <v/>
      </c>
      <c r="C24856" t="inlineStr">
        <is>
          <t>1967-12-20</t>
        </is>
      </c>
    </row>
    <row r="24857">
      <c r="A24857" s="1" t="n">
        <v>24856</v>
      </c>
      <c r="B24857">
        <f>TEXT(24856, "[$-0E0000]yyyy-mm-dd")</f>
        <v/>
      </c>
      <c r="C24857" t="inlineStr">
        <is>
          <t>1967-12-21</t>
        </is>
      </c>
    </row>
    <row r="24858">
      <c r="A24858" s="1" t="n">
        <v>24857</v>
      </c>
      <c r="B24858">
        <f>TEXT(24857, "[$-0E0000]yyyy-mm-dd")</f>
        <v/>
      </c>
      <c r="C24858" t="inlineStr">
        <is>
          <t>1967-12-22</t>
        </is>
      </c>
    </row>
    <row r="24859">
      <c r="A24859" s="1" t="n">
        <v>24858</v>
      </c>
      <c r="B24859">
        <f>TEXT(24858, "[$-0E0000]yyyy-mm-dd")</f>
        <v/>
      </c>
      <c r="C24859" t="inlineStr">
        <is>
          <t>1967-12-23</t>
        </is>
      </c>
    </row>
    <row r="24860">
      <c r="A24860" s="1" t="n">
        <v>24859</v>
      </c>
      <c r="B24860">
        <f>TEXT(24859, "[$-0E0000]yyyy-mm-dd")</f>
        <v/>
      </c>
      <c r="C24860" t="inlineStr">
        <is>
          <t>1967-12-24</t>
        </is>
      </c>
    </row>
    <row r="24861">
      <c r="A24861" s="1" t="n">
        <v>24860</v>
      </c>
      <c r="B24861">
        <f>TEXT(24860, "[$-0E0000]yyyy-mm-dd")</f>
        <v/>
      </c>
      <c r="C24861" t="inlineStr">
        <is>
          <t>1967-12-25</t>
        </is>
      </c>
    </row>
    <row r="24862">
      <c r="A24862" s="1" t="n">
        <v>24861</v>
      </c>
      <c r="B24862">
        <f>TEXT(24861, "[$-0E0000]yyyy-mm-dd")</f>
        <v/>
      </c>
      <c r="C24862" t="inlineStr">
        <is>
          <t>1967-12-26</t>
        </is>
      </c>
    </row>
    <row r="24863">
      <c r="A24863" s="1" t="n">
        <v>24862</v>
      </c>
      <c r="B24863">
        <f>TEXT(24862, "[$-0E0000]yyyy-mm-dd")</f>
        <v/>
      </c>
      <c r="C24863" t="inlineStr">
        <is>
          <t>1967-12-27</t>
        </is>
      </c>
    </row>
    <row r="24864">
      <c r="A24864" s="1" t="n">
        <v>24863</v>
      </c>
      <c r="B24864">
        <f>TEXT(24863, "[$-0E0000]yyyy-mm-dd")</f>
        <v/>
      </c>
      <c r="C24864" t="inlineStr">
        <is>
          <t>1967-12-28</t>
        </is>
      </c>
    </row>
    <row r="24865">
      <c r="A24865" s="1" t="n">
        <v>24864</v>
      </c>
      <c r="B24865">
        <f>TEXT(24864, "[$-0E0000]yyyy-mm-dd")</f>
        <v/>
      </c>
      <c r="C24865" t="inlineStr">
        <is>
          <t>1967-12-29</t>
        </is>
      </c>
    </row>
    <row r="24866">
      <c r="A24866" s="1" t="n">
        <v>24865</v>
      </c>
      <c r="B24866">
        <f>TEXT(24865, "[$-0E0000]yyyy-mm-dd")</f>
        <v/>
      </c>
      <c r="C24866" t="inlineStr">
        <is>
          <t>1967-12-30</t>
        </is>
      </c>
    </row>
    <row r="24867">
      <c r="A24867" s="1" t="n">
        <v>24866</v>
      </c>
      <c r="B24867">
        <f>TEXT(24866, "[$-0E0000]yyyy-mm-dd")</f>
        <v/>
      </c>
      <c r="C24867" t="inlineStr">
        <is>
          <t>1968-01-01</t>
        </is>
      </c>
    </row>
    <row r="24868">
      <c r="A24868" s="1" t="n">
        <v>24867</v>
      </c>
      <c r="B24868">
        <f>TEXT(24867, "[$-0E0000]yyyy-mm-dd")</f>
        <v/>
      </c>
      <c r="C24868" t="inlineStr">
        <is>
          <t>1968-01-02</t>
        </is>
      </c>
    </row>
    <row r="24869">
      <c r="A24869" s="1" t="n">
        <v>24868</v>
      </c>
      <c r="B24869">
        <f>TEXT(24868, "[$-0E0000]yyyy-mm-dd")</f>
        <v/>
      </c>
      <c r="C24869" t="inlineStr">
        <is>
          <t>1968-01-03</t>
        </is>
      </c>
    </row>
    <row r="24870">
      <c r="A24870" s="1" t="n">
        <v>24869</v>
      </c>
      <c r="B24870">
        <f>TEXT(24869, "[$-0E0000]yyyy-mm-dd")</f>
        <v/>
      </c>
      <c r="C24870" t="inlineStr">
        <is>
          <t>1968-01-04</t>
        </is>
      </c>
    </row>
    <row r="24871">
      <c r="A24871" s="1" t="n">
        <v>24870</v>
      </c>
      <c r="B24871">
        <f>TEXT(24870, "[$-0E0000]yyyy-mm-dd")</f>
        <v/>
      </c>
      <c r="C24871" t="inlineStr">
        <is>
          <t>1968-01-05</t>
        </is>
      </c>
    </row>
    <row r="24872">
      <c r="A24872" s="1" t="n">
        <v>24871</v>
      </c>
      <c r="B24872">
        <f>TEXT(24871, "[$-0E0000]yyyy-mm-dd")</f>
        <v/>
      </c>
      <c r="C24872" t="inlineStr">
        <is>
          <t>1968-01-06</t>
        </is>
      </c>
    </row>
    <row r="24873">
      <c r="A24873" s="1" t="n">
        <v>24872</v>
      </c>
      <c r="B24873">
        <f>TEXT(24872, "[$-0E0000]yyyy-mm-dd")</f>
        <v/>
      </c>
      <c r="C24873" t="inlineStr">
        <is>
          <t>1968-01-07</t>
        </is>
      </c>
    </row>
    <row r="24874">
      <c r="A24874" s="1" t="n">
        <v>24873</v>
      </c>
      <c r="B24874">
        <f>TEXT(24873, "[$-0E0000]yyyy-mm-dd")</f>
        <v/>
      </c>
      <c r="C24874" t="inlineStr">
        <is>
          <t>1968-01-08</t>
        </is>
      </c>
    </row>
    <row r="24875">
      <c r="A24875" s="1" t="n">
        <v>24874</v>
      </c>
      <c r="B24875">
        <f>TEXT(24874, "[$-0E0000]yyyy-mm-dd")</f>
        <v/>
      </c>
      <c r="C24875" t="inlineStr">
        <is>
          <t>1968-01-09</t>
        </is>
      </c>
    </row>
    <row r="24876">
      <c r="A24876" s="1" t="n">
        <v>24875</v>
      </c>
      <c r="B24876">
        <f>TEXT(24875, "[$-0E0000]yyyy-mm-dd")</f>
        <v/>
      </c>
      <c r="C24876" t="inlineStr">
        <is>
          <t>1968-01-10</t>
        </is>
      </c>
    </row>
    <row r="24877">
      <c r="A24877" s="1" t="n">
        <v>24876</v>
      </c>
      <c r="B24877">
        <f>TEXT(24876, "[$-0E0000]yyyy-mm-dd")</f>
        <v/>
      </c>
      <c r="C24877" t="inlineStr">
        <is>
          <t>1968-01-11</t>
        </is>
      </c>
    </row>
    <row r="24878">
      <c r="A24878" s="1" t="n">
        <v>24877</v>
      </c>
      <c r="B24878">
        <f>TEXT(24877, "[$-0E0000]yyyy-mm-dd")</f>
        <v/>
      </c>
      <c r="C24878" t="inlineStr">
        <is>
          <t>1968-01-12</t>
        </is>
      </c>
    </row>
    <row r="24879">
      <c r="A24879" s="1" t="n">
        <v>24878</v>
      </c>
      <c r="B24879">
        <f>TEXT(24878, "[$-0E0000]yyyy-mm-dd")</f>
        <v/>
      </c>
      <c r="C24879" t="inlineStr">
        <is>
          <t>1968-01-13</t>
        </is>
      </c>
    </row>
    <row r="24880">
      <c r="A24880" s="1" t="n">
        <v>24879</v>
      </c>
      <c r="B24880">
        <f>TEXT(24879, "[$-0E0000]yyyy-mm-dd")</f>
        <v/>
      </c>
      <c r="C24880" t="inlineStr">
        <is>
          <t>1968-01-14</t>
        </is>
      </c>
    </row>
    <row r="24881">
      <c r="A24881" s="1" t="n">
        <v>24880</v>
      </c>
      <c r="B24881">
        <f>TEXT(24880, "[$-0E0000]yyyy-mm-dd")</f>
        <v/>
      </c>
      <c r="C24881" t="inlineStr">
        <is>
          <t>1968-01-15</t>
        </is>
      </c>
    </row>
    <row r="24882">
      <c r="A24882" s="1" t="n">
        <v>24881</v>
      </c>
      <c r="B24882">
        <f>TEXT(24881, "[$-0E0000]yyyy-mm-dd")</f>
        <v/>
      </c>
      <c r="C24882" t="inlineStr">
        <is>
          <t>1968-01-16</t>
        </is>
      </c>
    </row>
    <row r="24883">
      <c r="A24883" s="1" t="n">
        <v>24882</v>
      </c>
      <c r="B24883">
        <f>TEXT(24882, "[$-0E0000]yyyy-mm-dd")</f>
        <v/>
      </c>
      <c r="C24883" t="inlineStr">
        <is>
          <t>1968-01-17</t>
        </is>
      </c>
    </row>
    <row r="24884">
      <c r="A24884" s="1" t="n">
        <v>24883</v>
      </c>
      <c r="B24884">
        <f>TEXT(24883, "[$-0E0000]yyyy-mm-dd")</f>
        <v/>
      </c>
      <c r="C24884" t="inlineStr">
        <is>
          <t>1968-01-18</t>
        </is>
      </c>
    </row>
    <row r="24885">
      <c r="A24885" s="1" t="n">
        <v>24884</v>
      </c>
      <c r="B24885">
        <f>TEXT(24884, "[$-0E0000]yyyy-mm-dd")</f>
        <v/>
      </c>
      <c r="C24885" t="inlineStr">
        <is>
          <t>1968-01-19</t>
        </is>
      </c>
    </row>
    <row r="24886">
      <c r="A24886" s="1" t="n">
        <v>24885</v>
      </c>
      <c r="B24886">
        <f>TEXT(24885, "[$-0E0000]yyyy-mm-dd")</f>
        <v/>
      </c>
      <c r="C24886" t="inlineStr">
        <is>
          <t>1968-01-20</t>
        </is>
      </c>
    </row>
    <row r="24887">
      <c r="A24887" s="1" t="n">
        <v>24886</v>
      </c>
      <c r="B24887">
        <f>TEXT(24886, "[$-0E0000]yyyy-mm-dd")</f>
        <v/>
      </c>
      <c r="C24887" t="inlineStr">
        <is>
          <t>1968-01-21</t>
        </is>
      </c>
    </row>
    <row r="24888">
      <c r="A24888" s="1" t="n">
        <v>24887</v>
      </c>
      <c r="B24888">
        <f>TEXT(24887, "[$-0E0000]yyyy-mm-dd")</f>
        <v/>
      </c>
      <c r="C24888" t="inlineStr">
        <is>
          <t>1968-01-22</t>
        </is>
      </c>
    </row>
    <row r="24889">
      <c r="A24889" s="1" t="n">
        <v>24888</v>
      </c>
      <c r="B24889">
        <f>TEXT(24888, "[$-0E0000]yyyy-mm-dd")</f>
        <v/>
      </c>
      <c r="C24889" t="inlineStr">
        <is>
          <t>1968-01-23</t>
        </is>
      </c>
    </row>
    <row r="24890">
      <c r="A24890" s="1" t="n">
        <v>24889</v>
      </c>
      <c r="B24890">
        <f>TEXT(24889, "[$-0E0000]yyyy-mm-dd")</f>
        <v/>
      </c>
      <c r="C24890" t="inlineStr">
        <is>
          <t>1968-01-24</t>
        </is>
      </c>
    </row>
    <row r="24891">
      <c r="A24891" s="1" t="n">
        <v>24890</v>
      </c>
      <c r="B24891">
        <f>TEXT(24890, "[$-0E0000]yyyy-mm-dd")</f>
        <v/>
      </c>
      <c r="C24891" t="inlineStr">
        <is>
          <t>1968-01-25</t>
        </is>
      </c>
    </row>
    <row r="24892">
      <c r="A24892" s="1" t="n">
        <v>24891</v>
      </c>
      <c r="B24892">
        <f>TEXT(24891, "[$-0E0000]yyyy-mm-dd")</f>
        <v/>
      </c>
      <c r="C24892" t="inlineStr">
        <is>
          <t>1968-01-26</t>
        </is>
      </c>
    </row>
    <row r="24893">
      <c r="A24893" s="1" t="n">
        <v>24892</v>
      </c>
      <c r="B24893">
        <f>TEXT(24892, "[$-0E0000]yyyy-mm-dd")</f>
        <v/>
      </c>
      <c r="C24893" t="inlineStr">
        <is>
          <t>1968-01-27</t>
        </is>
      </c>
    </row>
    <row r="24894">
      <c r="A24894" s="1" t="n">
        <v>24893</v>
      </c>
      <c r="B24894">
        <f>TEXT(24893, "[$-0E0000]yyyy-mm-dd")</f>
        <v/>
      </c>
      <c r="C24894" t="inlineStr">
        <is>
          <t>1968-01-28</t>
        </is>
      </c>
    </row>
    <row r="24895">
      <c r="A24895" s="1" t="n">
        <v>24894</v>
      </c>
      <c r="B24895">
        <f>TEXT(24894, "[$-0E0000]yyyy-mm-dd")</f>
        <v/>
      </c>
      <c r="C24895" t="inlineStr">
        <is>
          <t>1968-01-29</t>
        </is>
      </c>
    </row>
    <row r="24896">
      <c r="A24896" s="1" t="n">
        <v>24895</v>
      </c>
      <c r="B24896">
        <f>TEXT(24895, "[$-0E0000]yyyy-mm-dd")</f>
        <v/>
      </c>
      <c r="C24896" t="inlineStr">
        <is>
          <t>1968-02-01</t>
        </is>
      </c>
    </row>
    <row r="24897">
      <c r="A24897" s="1" t="n">
        <v>24896</v>
      </c>
      <c r="B24897">
        <f>TEXT(24896, "[$-0E0000]yyyy-mm-dd")</f>
        <v/>
      </c>
      <c r="C24897" t="inlineStr">
        <is>
          <t>1968-02-02</t>
        </is>
      </c>
    </row>
    <row r="24898">
      <c r="A24898" s="1" t="n">
        <v>24897</v>
      </c>
      <c r="B24898">
        <f>TEXT(24897, "[$-0E0000]yyyy-mm-dd")</f>
        <v/>
      </c>
      <c r="C24898" t="inlineStr">
        <is>
          <t>1968-02-03</t>
        </is>
      </c>
    </row>
    <row r="24899">
      <c r="A24899" s="1" t="n">
        <v>24898</v>
      </c>
      <c r="B24899">
        <f>TEXT(24898, "[$-0E0000]yyyy-mm-dd")</f>
        <v/>
      </c>
      <c r="C24899" t="inlineStr">
        <is>
          <t>1968-02-04</t>
        </is>
      </c>
    </row>
    <row r="24900">
      <c r="A24900" s="1" t="n">
        <v>24899</v>
      </c>
      <c r="B24900">
        <f>TEXT(24899, "[$-0E0000]yyyy-mm-dd")</f>
        <v/>
      </c>
      <c r="C24900" t="inlineStr">
        <is>
          <t>1968-02-05</t>
        </is>
      </c>
    </row>
    <row r="24901">
      <c r="A24901" s="1" t="n">
        <v>24900</v>
      </c>
      <c r="B24901">
        <f>TEXT(24900, "[$-0E0000]yyyy-mm-dd")</f>
        <v/>
      </c>
      <c r="C24901" t="inlineStr">
        <is>
          <t>1968-02-06</t>
        </is>
      </c>
    </row>
    <row r="24902">
      <c r="A24902" s="1" t="n">
        <v>24901</v>
      </c>
      <c r="B24902">
        <f>TEXT(24901, "[$-0E0000]yyyy-mm-dd")</f>
        <v/>
      </c>
      <c r="C24902" t="inlineStr">
        <is>
          <t>1968-02-07</t>
        </is>
      </c>
    </row>
    <row r="24903">
      <c r="A24903" s="1" t="n">
        <v>24902</v>
      </c>
      <c r="B24903">
        <f>TEXT(24902, "[$-0E0000]yyyy-mm-dd")</f>
        <v/>
      </c>
      <c r="C24903" t="inlineStr">
        <is>
          <t>1968-02-08</t>
        </is>
      </c>
    </row>
    <row r="24904">
      <c r="A24904" s="1" t="n">
        <v>24903</v>
      </c>
      <c r="B24904">
        <f>TEXT(24903, "[$-0E0000]yyyy-mm-dd")</f>
        <v/>
      </c>
      <c r="C24904" t="inlineStr">
        <is>
          <t>1968-02-09</t>
        </is>
      </c>
    </row>
    <row r="24905">
      <c r="A24905" s="1" t="n">
        <v>24904</v>
      </c>
      <c r="B24905">
        <f>TEXT(24904, "[$-0E0000]yyyy-mm-dd")</f>
        <v/>
      </c>
      <c r="C24905" t="inlineStr">
        <is>
          <t>1968-02-10</t>
        </is>
      </c>
    </row>
    <row r="24906">
      <c r="A24906" s="1" t="n">
        <v>24905</v>
      </c>
      <c r="B24906">
        <f>TEXT(24905, "[$-0E0000]yyyy-mm-dd")</f>
        <v/>
      </c>
      <c r="C24906" t="inlineStr">
        <is>
          <t>1968-02-11</t>
        </is>
      </c>
    </row>
    <row r="24907">
      <c r="A24907" s="1" t="n">
        <v>24906</v>
      </c>
      <c r="B24907">
        <f>TEXT(24906, "[$-0E0000]yyyy-mm-dd")</f>
        <v/>
      </c>
      <c r="C24907" t="inlineStr">
        <is>
          <t>1968-02-12</t>
        </is>
      </c>
    </row>
    <row r="24908">
      <c r="A24908" s="1" t="n">
        <v>24907</v>
      </c>
      <c r="B24908">
        <f>TEXT(24907, "[$-0E0000]yyyy-mm-dd")</f>
        <v/>
      </c>
      <c r="C24908" t="inlineStr">
        <is>
          <t>1968-02-13</t>
        </is>
      </c>
    </row>
    <row r="24909">
      <c r="A24909" s="1" t="n">
        <v>24908</v>
      </c>
      <c r="B24909">
        <f>TEXT(24908, "[$-0E0000]yyyy-mm-dd")</f>
        <v/>
      </c>
      <c r="C24909" t="inlineStr">
        <is>
          <t>1968-02-14</t>
        </is>
      </c>
    </row>
    <row r="24910">
      <c r="A24910" s="1" t="n">
        <v>24909</v>
      </c>
      <c r="B24910">
        <f>TEXT(24909, "[$-0E0000]yyyy-mm-dd")</f>
        <v/>
      </c>
      <c r="C24910" t="inlineStr">
        <is>
          <t>1968-02-15</t>
        </is>
      </c>
    </row>
    <row r="24911">
      <c r="A24911" s="1" t="n">
        <v>24910</v>
      </c>
      <c r="B24911">
        <f>TEXT(24910, "[$-0E0000]yyyy-mm-dd")</f>
        <v/>
      </c>
      <c r="C24911" t="inlineStr">
        <is>
          <t>1968-02-16</t>
        </is>
      </c>
    </row>
    <row r="24912">
      <c r="A24912" s="1" t="n">
        <v>24911</v>
      </c>
      <c r="B24912">
        <f>TEXT(24911, "[$-0E0000]yyyy-mm-dd")</f>
        <v/>
      </c>
      <c r="C24912" t="inlineStr">
        <is>
          <t>1968-02-17</t>
        </is>
      </c>
    </row>
    <row r="24913">
      <c r="A24913" s="1" t="n">
        <v>24912</v>
      </c>
      <c r="B24913">
        <f>TEXT(24912, "[$-0E0000]yyyy-mm-dd")</f>
        <v/>
      </c>
      <c r="C24913" t="inlineStr">
        <is>
          <t>1968-02-18</t>
        </is>
      </c>
    </row>
    <row r="24914">
      <c r="A24914" s="1" t="n">
        <v>24913</v>
      </c>
      <c r="B24914">
        <f>TEXT(24913, "[$-0E0000]yyyy-mm-dd")</f>
        <v/>
      </c>
      <c r="C24914" t="inlineStr">
        <is>
          <t>1968-02-19</t>
        </is>
      </c>
    </row>
    <row r="24915">
      <c r="A24915" s="1" t="n">
        <v>24914</v>
      </c>
      <c r="B24915">
        <f>TEXT(24914, "[$-0E0000]yyyy-mm-dd")</f>
        <v/>
      </c>
      <c r="C24915" t="inlineStr">
        <is>
          <t>1968-02-20</t>
        </is>
      </c>
    </row>
    <row r="24916">
      <c r="A24916" s="1" t="n">
        <v>24915</v>
      </c>
      <c r="B24916">
        <f>TEXT(24915, "[$-0E0000]yyyy-mm-dd")</f>
        <v/>
      </c>
      <c r="C24916" t="inlineStr">
        <is>
          <t>1968-02-21</t>
        </is>
      </c>
    </row>
    <row r="24917">
      <c r="A24917" s="1" t="n">
        <v>24916</v>
      </c>
      <c r="B24917">
        <f>TEXT(24916, "[$-0E0000]yyyy-mm-dd")</f>
        <v/>
      </c>
      <c r="C24917" t="inlineStr">
        <is>
          <t>1968-02-22</t>
        </is>
      </c>
    </row>
    <row r="24918">
      <c r="A24918" s="1" t="n">
        <v>24917</v>
      </c>
      <c r="B24918">
        <f>TEXT(24917, "[$-0E0000]yyyy-mm-dd")</f>
        <v/>
      </c>
      <c r="C24918" t="inlineStr">
        <is>
          <t>1968-02-23</t>
        </is>
      </c>
    </row>
    <row r="24919">
      <c r="A24919" s="1" t="n">
        <v>24918</v>
      </c>
      <c r="B24919">
        <f>TEXT(24918, "[$-0E0000]yyyy-mm-dd")</f>
        <v/>
      </c>
      <c r="C24919" t="inlineStr">
        <is>
          <t>1968-02-24</t>
        </is>
      </c>
    </row>
    <row r="24920">
      <c r="A24920" s="1" t="n">
        <v>24919</v>
      </c>
      <c r="B24920">
        <f>TEXT(24919, "[$-0E0000]yyyy-mm-dd")</f>
        <v/>
      </c>
      <c r="C24920" t="inlineStr">
        <is>
          <t>1968-02-25</t>
        </is>
      </c>
    </row>
    <row r="24921">
      <c r="A24921" s="1" t="n">
        <v>24920</v>
      </c>
      <c r="B24921">
        <f>TEXT(24920, "[$-0E0000]yyyy-mm-dd")</f>
        <v/>
      </c>
      <c r="C24921" t="inlineStr">
        <is>
          <t>1968-02-26</t>
        </is>
      </c>
    </row>
    <row r="24922">
      <c r="A24922" s="1" t="n">
        <v>24921</v>
      </c>
      <c r="B24922">
        <f>TEXT(24921, "[$-0E0000]yyyy-mm-dd")</f>
        <v/>
      </c>
      <c r="C24922" t="inlineStr">
        <is>
          <t>1968-02-27</t>
        </is>
      </c>
    </row>
    <row r="24923">
      <c r="A24923" s="1" t="n">
        <v>24922</v>
      </c>
      <c r="B24923">
        <f>TEXT(24922, "[$-0E0000]yyyy-mm-dd")</f>
        <v/>
      </c>
      <c r="C24923" t="inlineStr">
        <is>
          <t>1968-02-28</t>
        </is>
      </c>
    </row>
    <row r="24924">
      <c r="A24924" s="1" t="n">
        <v>24923</v>
      </c>
      <c r="B24924">
        <f>TEXT(24923, "[$-0E0000]yyyy-mm-dd")</f>
        <v/>
      </c>
      <c r="C24924" t="inlineStr">
        <is>
          <t>1968-02-29</t>
        </is>
      </c>
    </row>
    <row r="24925">
      <c r="A24925" s="1" t="n">
        <v>24924</v>
      </c>
      <c r="B24925">
        <f>TEXT(24924, "[$-0E0000]yyyy-mm-dd")</f>
        <v/>
      </c>
      <c r="C24925" t="inlineStr">
        <is>
          <t>1968-02-30</t>
        </is>
      </c>
    </row>
    <row r="24926">
      <c r="A24926" s="1" t="n">
        <v>24925</v>
      </c>
      <c r="B24926">
        <f>TEXT(24925, "[$-0E0000]yyyy-mm-dd")</f>
        <v/>
      </c>
      <c r="C24926" t="inlineStr">
        <is>
          <t>1968-03-01</t>
        </is>
      </c>
    </row>
    <row r="24927">
      <c r="A24927" s="1" t="n">
        <v>24926</v>
      </c>
      <c r="B24927">
        <f>TEXT(24926, "[$-0E0000]yyyy-mm-dd")</f>
        <v/>
      </c>
      <c r="C24927" t="inlineStr">
        <is>
          <t>1968-03-02</t>
        </is>
      </c>
    </row>
    <row r="24928">
      <c r="A24928" s="1" t="n">
        <v>24927</v>
      </c>
      <c r="B24928">
        <f>TEXT(24927, "[$-0E0000]yyyy-mm-dd")</f>
        <v/>
      </c>
      <c r="C24928" t="inlineStr">
        <is>
          <t>1968-03-03</t>
        </is>
      </c>
    </row>
    <row r="24929">
      <c r="A24929" s="1" t="n">
        <v>24928</v>
      </c>
      <c r="B24929">
        <f>TEXT(24928, "[$-0E0000]yyyy-mm-dd")</f>
        <v/>
      </c>
      <c r="C24929" t="inlineStr">
        <is>
          <t>1968-03-04</t>
        </is>
      </c>
    </row>
    <row r="24930">
      <c r="A24930" s="1" t="n">
        <v>24929</v>
      </c>
      <c r="B24930">
        <f>TEXT(24929, "[$-0E0000]yyyy-mm-dd")</f>
        <v/>
      </c>
      <c r="C24930" t="inlineStr">
        <is>
          <t>1968-03-05</t>
        </is>
      </c>
    </row>
    <row r="24931">
      <c r="A24931" s="1" t="n">
        <v>24930</v>
      </c>
      <c r="B24931">
        <f>TEXT(24930, "[$-0E0000]yyyy-mm-dd")</f>
        <v/>
      </c>
      <c r="C24931" t="inlineStr">
        <is>
          <t>1968-03-06</t>
        </is>
      </c>
    </row>
    <row r="24932">
      <c r="A24932" s="1" t="n">
        <v>24931</v>
      </c>
      <c r="B24932">
        <f>TEXT(24931, "[$-0E0000]yyyy-mm-dd")</f>
        <v/>
      </c>
      <c r="C24932" t="inlineStr">
        <is>
          <t>1968-03-07</t>
        </is>
      </c>
    </row>
    <row r="24933">
      <c r="A24933" s="1" t="n">
        <v>24932</v>
      </c>
      <c r="B24933">
        <f>TEXT(24932, "[$-0E0000]yyyy-mm-dd")</f>
        <v/>
      </c>
      <c r="C24933" t="inlineStr">
        <is>
          <t>1968-03-08</t>
        </is>
      </c>
    </row>
    <row r="24934">
      <c r="A24934" s="1" t="n">
        <v>24933</v>
      </c>
      <c r="B24934">
        <f>TEXT(24933, "[$-0E0000]yyyy-mm-dd")</f>
        <v/>
      </c>
      <c r="C24934" t="inlineStr">
        <is>
          <t>1968-03-09</t>
        </is>
      </c>
    </row>
    <row r="24935">
      <c r="A24935" s="1" t="n">
        <v>24934</v>
      </c>
      <c r="B24935">
        <f>TEXT(24934, "[$-0E0000]yyyy-mm-dd")</f>
        <v/>
      </c>
      <c r="C24935" t="inlineStr">
        <is>
          <t>1968-03-10</t>
        </is>
      </c>
    </row>
    <row r="24936">
      <c r="A24936" s="1" t="n">
        <v>24935</v>
      </c>
      <c r="B24936">
        <f>TEXT(24935, "[$-0E0000]yyyy-mm-dd")</f>
        <v/>
      </c>
      <c r="C24936" t="inlineStr">
        <is>
          <t>1968-03-11</t>
        </is>
      </c>
    </row>
    <row r="24937">
      <c r="A24937" s="1" t="n">
        <v>24936</v>
      </c>
      <c r="B24937">
        <f>TEXT(24936, "[$-0E0000]yyyy-mm-dd")</f>
        <v/>
      </c>
      <c r="C24937" t="inlineStr">
        <is>
          <t>1968-03-12</t>
        </is>
      </c>
    </row>
    <row r="24938">
      <c r="A24938" s="1" t="n">
        <v>24937</v>
      </c>
      <c r="B24938">
        <f>TEXT(24937, "[$-0E0000]yyyy-mm-dd")</f>
        <v/>
      </c>
      <c r="C24938" t="inlineStr">
        <is>
          <t>1968-03-13</t>
        </is>
      </c>
    </row>
    <row r="24939">
      <c r="A24939" s="1" t="n">
        <v>24938</v>
      </c>
      <c r="B24939">
        <f>TEXT(24938, "[$-0E0000]yyyy-mm-dd")</f>
        <v/>
      </c>
      <c r="C24939" t="inlineStr">
        <is>
          <t>1968-03-14</t>
        </is>
      </c>
    </row>
    <row r="24940">
      <c r="A24940" s="1" t="n">
        <v>24939</v>
      </c>
      <c r="B24940">
        <f>TEXT(24939, "[$-0E0000]yyyy-mm-dd")</f>
        <v/>
      </c>
      <c r="C24940" t="inlineStr">
        <is>
          <t>1968-03-15</t>
        </is>
      </c>
    </row>
    <row r="24941">
      <c r="A24941" s="1" t="n">
        <v>24940</v>
      </c>
      <c r="B24941">
        <f>TEXT(24940, "[$-0E0000]yyyy-mm-dd")</f>
        <v/>
      </c>
      <c r="C24941" t="inlineStr">
        <is>
          <t>1968-03-16</t>
        </is>
      </c>
    </row>
    <row r="24942">
      <c r="A24942" s="1" t="n">
        <v>24941</v>
      </c>
      <c r="B24942">
        <f>TEXT(24941, "[$-0E0000]yyyy-mm-dd")</f>
        <v/>
      </c>
      <c r="C24942" t="inlineStr">
        <is>
          <t>1968-03-17</t>
        </is>
      </c>
    </row>
    <row r="24943">
      <c r="A24943" s="1" t="n">
        <v>24942</v>
      </c>
      <c r="B24943">
        <f>TEXT(24942, "[$-0E0000]yyyy-mm-dd")</f>
        <v/>
      </c>
      <c r="C24943" t="inlineStr">
        <is>
          <t>1968-03-18</t>
        </is>
      </c>
    </row>
    <row r="24944">
      <c r="A24944" s="1" t="n">
        <v>24943</v>
      </c>
      <c r="B24944">
        <f>TEXT(24943, "[$-0E0000]yyyy-mm-dd")</f>
        <v/>
      </c>
      <c r="C24944" t="inlineStr">
        <is>
          <t>1968-03-19</t>
        </is>
      </c>
    </row>
    <row r="24945">
      <c r="A24945" s="1" t="n">
        <v>24944</v>
      </c>
      <c r="B24945">
        <f>TEXT(24944, "[$-0E0000]yyyy-mm-dd")</f>
        <v/>
      </c>
      <c r="C24945" t="inlineStr">
        <is>
          <t>1968-03-20</t>
        </is>
      </c>
    </row>
    <row r="24946">
      <c r="A24946" s="1" t="n">
        <v>24945</v>
      </c>
      <c r="B24946">
        <f>TEXT(24945, "[$-0E0000]yyyy-mm-dd")</f>
        <v/>
      </c>
      <c r="C24946" t="inlineStr">
        <is>
          <t>1968-03-21</t>
        </is>
      </c>
    </row>
    <row r="24947">
      <c r="A24947" s="1" t="n">
        <v>24946</v>
      </c>
      <c r="B24947">
        <f>TEXT(24946, "[$-0E0000]yyyy-mm-dd")</f>
        <v/>
      </c>
      <c r="C24947" t="inlineStr">
        <is>
          <t>1968-03-22</t>
        </is>
      </c>
    </row>
    <row r="24948">
      <c r="A24948" s="1" t="n">
        <v>24947</v>
      </c>
      <c r="B24948">
        <f>TEXT(24947, "[$-0E0000]yyyy-mm-dd")</f>
        <v/>
      </c>
      <c r="C24948" t="inlineStr">
        <is>
          <t>1968-03-23</t>
        </is>
      </c>
    </row>
    <row r="24949">
      <c r="A24949" s="1" t="n">
        <v>24948</v>
      </c>
      <c r="B24949">
        <f>TEXT(24948, "[$-0E0000]yyyy-mm-dd")</f>
        <v/>
      </c>
      <c r="C24949" t="inlineStr">
        <is>
          <t>1968-03-24</t>
        </is>
      </c>
    </row>
    <row r="24950">
      <c r="A24950" s="1" t="n">
        <v>24949</v>
      </c>
      <c r="B24950">
        <f>TEXT(24949, "[$-0E0000]yyyy-mm-dd")</f>
        <v/>
      </c>
      <c r="C24950" t="inlineStr">
        <is>
          <t>1968-03-25</t>
        </is>
      </c>
    </row>
    <row r="24951">
      <c r="A24951" s="1" t="n">
        <v>24950</v>
      </c>
      <c r="B24951">
        <f>TEXT(24950, "[$-0E0000]yyyy-mm-dd")</f>
        <v/>
      </c>
      <c r="C24951" t="inlineStr">
        <is>
          <t>1968-03-26</t>
        </is>
      </c>
    </row>
    <row r="24952">
      <c r="A24952" s="1" t="n">
        <v>24951</v>
      </c>
      <c r="B24952">
        <f>TEXT(24951, "[$-0E0000]yyyy-mm-dd")</f>
        <v/>
      </c>
      <c r="C24952" t="inlineStr">
        <is>
          <t>1968-03-27</t>
        </is>
      </c>
    </row>
    <row r="24953">
      <c r="A24953" s="1" t="n">
        <v>24952</v>
      </c>
      <c r="B24953">
        <f>TEXT(24952, "[$-0E0000]yyyy-mm-dd")</f>
        <v/>
      </c>
      <c r="C24953" t="inlineStr">
        <is>
          <t>1968-03-28</t>
        </is>
      </c>
    </row>
    <row r="24954">
      <c r="A24954" s="1" t="n">
        <v>24953</v>
      </c>
      <c r="B24954">
        <f>TEXT(24953, "[$-0E0000]yyyy-mm-dd")</f>
        <v/>
      </c>
      <c r="C24954" t="inlineStr">
        <is>
          <t>1968-03-29</t>
        </is>
      </c>
    </row>
    <row r="24955">
      <c r="A24955" s="1" t="n">
        <v>24954</v>
      </c>
      <c r="B24955">
        <f>TEXT(24954, "[$-0E0000]yyyy-mm-dd")</f>
        <v/>
      </c>
      <c r="C24955" t="inlineStr">
        <is>
          <t>1968-04-01</t>
        </is>
      </c>
    </row>
    <row r="24956">
      <c r="A24956" s="1" t="n">
        <v>24955</v>
      </c>
      <c r="B24956">
        <f>TEXT(24955, "[$-0E0000]yyyy-mm-dd")</f>
        <v/>
      </c>
      <c r="C24956" t="inlineStr">
        <is>
          <t>1968-04-02</t>
        </is>
      </c>
    </row>
    <row r="24957">
      <c r="A24957" s="1" t="n">
        <v>24956</v>
      </c>
      <c r="B24957">
        <f>TEXT(24956, "[$-0E0000]yyyy-mm-dd")</f>
        <v/>
      </c>
      <c r="C24957" t="inlineStr">
        <is>
          <t>1968-04-03</t>
        </is>
      </c>
    </row>
    <row r="24958">
      <c r="A24958" s="1" t="n">
        <v>24957</v>
      </c>
      <c r="B24958">
        <f>TEXT(24957, "[$-0E0000]yyyy-mm-dd")</f>
        <v/>
      </c>
      <c r="C24958" t="inlineStr">
        <is>
          <t>1968-04-04</t>
        </is>
      </c>
    </row>
    <row r="24959">
      <c r="A24959" s="1" t="n">
        <v>24958</v>
      </c>
      <c r="B24959">
        <f>TEXT(24958, "[$-0E0000]yyyy-mm-dd")</f>
        <v/>
      </c>
      <c r="C24959" t="inlineStr">
        <is>
          <t>1968-04-05</t>
        </is>
      </c>
    </row>
    <row r="24960">
      <c r="A24960" s="1" t="n">
        <v>24959</v>
      </c>
      <c r="B24960">
        <f>TEXT(24959, "[$-0E0000]yyyy-mm-dd")</f>
        <v/>
      </c>
      <c r="C24960" t="inlineStr">
        <is>
          <t>1968-04-06</t>
        </is>
      </c>
    </row>
    <row r="24961">
      <c r="A24961" s="1" t="n">
        <v>24960</v>
      </c>
      <c r="B24961">
        <f>TEXT(24960, "[$-0E0000]yyyy-mm-dd")</f>
        <v/>
      </c>
      <c r="C24961" t="inlineStr">
        <is>
          <t>1968-04-07</t>
        </is>
      </c>
    </row>
    <row r="24962">
      <c r="A24962" s="1" t="n">
        <v>24961</v>
      </c>
      <c r="B24962">
        <f>TEXT(24961, "[$-0E0000]yyyy-mm-dd")</f>
        <v/>
      </c>
      <c r="C24962" t="inlineStr">
        <is>
          <t>1968-04-08</t>
        </is>
      </c>
    </row>
    <row r="24963">
      <c r="A24963" s="1" t="n">
        <v>24962</v>
      </c>
      <c r="B24963">
        <f>TEXT(24962, "[$-0E0000]yyyy-mm-dd")</f>
        <v/>
      </c>
      <c r="C24963" t="inlineStr">
        <is>
          <t>1968-04-09</t>
        </is>
      </c>
    </row>
    <row r="24964">
      <c r="A24964" s="1" t="n">
        <v>24963</v>
      </c>
      <c r="B24964">
        <f>TEXT(24963, "[$-0E0000]yyyy-mm-dd")</f>
        <v/>
      </c>
      <c r="C24964" t="inlineStr">
        <is>
          <t>1968-04-10</t>
        </is>
      </c>
    </row>
    <row r="24965">
      <c r="A24965" s="1" t="n">
        <v>24964</v>
      </c>
      <c r="B24965">
        <f>TEXT(24964, "[$-0E0000]yyyy-mm-dd")</f>
        <v/>
      </c>
      <c r="C24965" t="inlineStr">
        <is>
          <t>1968-04-11</t>
        </is>
      </c>
    </row>
    <row r="24966">
      <c r="A24966" s="1" t="n">
        <v>24965</v>
      </c>
      <c r="B24966">
        <f>TEXT(24965, "[$-0E0000]yyyy-mm-dd")</f>
        <v/>
      </c>
      <c r="C24966" t="inlineStr">
        <is>
          <t>1968-04-12</t>
        </is>
      </c>
    </row>
    <row r="24967">
      <c r="A24967" s="1" t="n">
        <v>24966</v>
      </c>
      <c r="B24967">
        <f>TEXT(24966, "[$-0E0000]yyyy-mm-dd")</f>
        <v/>
      </c>
      <c r="C24967" t="inlineStr">
        <is>
          <t>1968-04-13</t>
        </is>
      </c>
    </row>
    <row r="24968">
      <c r="A24968" s="1" t="n">
        <v>24967</v>
      </c>
      <c r="B24968">
        <f>TEXT(24967, "[$-0E0000]yyyy-mm-dd")</f>
        <v/>
      </c>
      <c r="C24968" t="inlineStr">
        <is>
          <t>1968-04-14</t>
        </is>
      </c>
    </row>
    <row r="24969">
      <c r="A24969" s="1" t="n">
        <v>24968</v>
      </c>
      <c r="B24969">
        <f>TEXT(24968, "[$-0E0000]yyyy-mm-dd")</f>
        <v/>
      </c>
      <c r="C24969" t="inlineStr">
        <is>
          <t>1968-04-15</t>
        </is>
      </c>
    </row>
    <row r="24970">
      <c r="A24970" s="1" t="n">
        <v>24969</v>
      </c>
      <c r="B24970">
        <f>TEXT(24969, "[$-0E0000]yyyy-mm-dd")</f>
        <v/>
      </c>
      <c r="C24970" t="inlineStr">
        <is>
          <t>1968-04-16</t>
        </is>
      </c>
    </row>
    <row r="24971">
      <c r="A24971" s="1" t="n">
        <v>24970</v>
      </c>
      <c r="B24971">
        <f>TEXT(24970, "[$-0E0000]yyyy-mm-dd")</f>
        <v/>
      </c>
      <c r="C24971" t="inlineStr">
        <is>
          <t>1968-04-17</t>
        </is>
      </c>
    </row>
    <row r="24972">
      <c r="A24972" s="1" t="n">
        <v>24971</v>
      </c>
      <c r="B24972">
        <f>TEXT(24971, "[$-0E0000]yyyy-mm-dd")</f>
        <v/>
      </c>
      <c r="C24972" t="inlineStr">
        <is>
          <t>1968-04-18</t>
        </is>
      </c>
    </row>
    <row r="24973">
      <c r="A24973" s="1" t="n">
        <v>24972</v>
      </c>
      <c r="B24973">
        <f>TEXT(24972, "[$-0E0000]yyyy-mm-dd")</f>
        <v/>
      </c>
      <c r="C24973" t="inlineStr">
        <is>
          <t>1968-04-19</t>
        </is>
      </c>
    </row>
    <row r="24974">
      <c r="A24974" s="1" t="n">
        <v>24973</v>
      </c>
      <c r="B24974">
        <f>TEXT(24973, "[$-0E0000]yyyy-mm-dd")</f>
        <v/>
      </c>
      <c r="C24974" t="inlineStr">
        <is>
          <t>1968-04-20</t>
        </is>
      </c>
    </row>
    <row r="24975">
      <c r="A24975" s="1" t="n">
        <v>24974</v>
      </c>
      <c r="B24975">
        <f>TEXT(24974, "[$-0E0000]yyyy-mm-dd")</f>
        <v/>
      </c>
      <c r="C24975" t="inlineStr">
        <is>
          <t>1968-04-21</t>
        </is>
      </c>
    </row>
    <row r="24976">
      <c r="A24976" s="1" t="n">
        <v>24975</v>
      </c>
      <c r="B24976">
        <f>TEXT(24975, "[$-0E0000]yyyy-mm-dd")</f>
        <v/>
      </c>
      <c r="C24976" t="inlineStr">
        <is>
          <t>1968-04-22</t>
        </is>
      </c>
    </row>
    <row r="24977">
      <c r="A24977" s="1" t="n">
        <v>24976</v>
      </c>
      <c r="B24977">
        <f>TEXT(24976, "[$-0E0000]yyyy-mm-dd")</f>
        <v/>
      </c>
      <c r="C24977" t="inlineStr">
        <is>
          <t>1968-04-23</t>
        </is>
      </c>
    </row>
    <row r="24978">
      <c r="A24978" s="1" t="n">
        <v>24977</v>
      </c>
      <c r="B24978">
        <f>TEXT(24977, "[$-0E0000]yyyy-mm-dd")</f>
        <v/>
      </c>
      <c r="C24978" t="inlineStr">
        <is>
          <t>1968-04-24</t>
        </is>
      </c>
    </row>
    <row r="24979">
      <c r="A24979" s="1" t="n">
        <v>24978</v>
      </c>
      <c r="B24979">
        <f>TEXT(24978, "[$-0E0000]yyyy-mm-dd")</f>
        <v/>
      </c>
      <c r="C24979" t="inlineStr">
        <is>
          <t>1968-04-25</t>
        </is>
      </c>
    </row>
    <row r="24980">
      <c r="A24980" s="1" t="n">
        <v>24979</v>
      </c>
      <c r="B24980">
        <f>TEXT(24979, "[$-0E0000]yyyy-mm-dd")</f>
        <v/>
      </c>
      <c r="C24980" t="inlineStr">
        <is>
          <t>1968-04-26</t>
        </is>
      </c>
    </row>
    <row r="24981">
      <c r="A24981" s="1" t="n">
        <v>24980</v>
      </c>
      <c r="B24981">
        <f>TEXT(24980, "[$-0E0000]yyyy-mm-dd")</f>
        <v/>
      </c>
      <c r="C24981" t="inlineStr">
        <is>
          <t>1968-04-27</t>
        </is>
      </c>
    </row>
    <row r="24982">
      <c r="A24982" s="1" t="n">
        <v>24981</v>
      </c>
      <c r="B24982">
        <f>TEXT(24981, "[$-0E0000]yyyy-mm-dd")</f>
        <v/>
      </c>
      <c r="C24982" t="inlineStr">
        <is>
          <t>1968-04-28</t>
        </is>
      </c>
    </row>
    <row r="24983">
      <c r="A24983" s="1" t="n">
        <v>24982</v>
      </c>
      <c r="B24983">
        <f>TEXT(24982, "[$-0E0000]yyyy-mm-dd")</f>
        <v/>
      </c>
      <c r="C24983" t="inlineStr">
        <is>
          <t>1968-04-29</t>
        </is>
      </c>
    </row>
    <row r="24984">
      <c r="A24984" s="1" t="n">
        <v>24983</v>
      </c>
      <c r="B24984">
        <f>TEXT(24983, "[$-0E0000]yyyy-mm-dd")</f>
        <v/>
      </c>
      <c r="C24984" t="inlineStr">
        <is>
          <t>1968-04-30</t>
        </is>
      </c>
    </row>
    <row r="24985">
      <c r="A24985" s="1" t="n">
        <v>24984</v>
      </c>
      <c r="B24985">
        <f>TEXT(24984, "[$-0E0000]yyyy-mm-dd")</f>
        <v/>
      </c>
      <c r="C24985" t="inlineStr">
        <is>
          <t>1968-05-01</t>
        </is>
      </c>
    </row>
    <row r="24986">
      <c r="A24986" s="1" t="n">
        <v>24985</v>
      </c>
      <c r="B24986">
        <f>TEXT(24985, "[$-0E0000]yyyy-mm-dd")</f>
        <v/>
      </c>
      <c r="C24986" t="inlineStr">
        <is>
          <t>1968-05-02</t>
        </is>
      </c>
    </row>
    <row r="24987">
      <c r="A24987" s="1" t="n">
        <v>24986</v>
      </c>
      <c r="B24987">
        <f>TEXT(24986, "[$-0E0000]yyyy-mm-dd")</f>
        <v/>
      </c>
      <c r="C24987" t="inlineStr">
        <is>
          <t>1968-05-03</t>
        </is>
      </c>
    </row>
    <row r="24988">
      <c r="A24988" s="1" t="n">
        <v>24987</v>
      </c>
      <c r="B24988">
        <f>TEXT(24987, "[$-0E0000]yyyy-mm-dd")</f>
        <v/>
      </c>
      <c r="C24988" t="inlineStr">
        <is>
          <t>1968-05-04</t>
        </is>
      </c>
    </row>
    <row r="24989">
      <c r="A24989" s="1" t="n">
        <v>24988</v>
      </c>
      <c r="B24989">
        <f>TEXT(24988, "[$-0E0000]yyyy-mm-dd")</f>
        <v/>
      </c>
      <c r="C24989" t="inlineStr">
        <is>
          <t>1968-05-05</t>
        </is>
      </c>
    </row>
    <row r="24990">
      <c r="A24990" s="1" t="n">
        <v>24989</v>
      </c>
      <c r="B24990">
        <f>TEXT(24989, "[$-0E0000]yyyy-mm-dd")</f>
        <v/>
      </c>
      <c r="C24990" t="inlineStr">
        <is>
          <t>1968-05-06</t>
        </is>
      </c>
    </row>
    <row r="24991">
      <c r="A24991" s="1" t="n">
        <v>24990</v>
      </c>
      <c r="B24991">
        <f>TEXT(24990, "[$-0E0000]yyyy-mm-dd")</f>
        <v/>
      </c>
      <c r="C24991" t="inlineStr">
        <is>
          <t>1968-05-07</t>
        </is>
      </c>
    </row>
    <row r="24992">
      <c r="A24992" s="1" t="n">
        <v>24991</v>
      </c>
      <c r="B24992">
        <f>TEXT(24991, "[$-0E0000]yyyy-mm-dd")</f>
        <v/>
      </c>
      <c r="C24992" t="inlineStr">
        <is>
          <t>1968-05-08</t>
        </is>
      </c>
    </row>
    <row r="24993">
      <c r="A24993" s="1" t="n">
        <v>24992</v>
      </c>
      <c r="B24993">
        <f>TEXT(24992, "[$-0E0000]yyyy-mm-dd")</f>
        <v/>
      </c>
      <c r="C24993" t="inlineStr">
        <is>
          <t>1968-05-09</t>
        </is>
      </c>
    </row>
    <row r="24994">
      <c r="A24994" s="1" t="n">
        <v>24993</v>
      </c>
      <c r="B24994">
        <f>TEXT(24993, "[$-0E0000]yyyy-mm-dd")</f>
        <v/>
      </c>
      <c r="C24994" t="inlineStr">
        <is>
          <t>1968-05-10</t>
        </is>
      </c>
    </row>
    <row r="24995">
      <c r="A24995" s="1" t="n">
        <v>24994</v>
      </c>
      <c r="B24995">
        <f>TEXT(24994, "[$-0E0000]yyyy-mm-dd")</f>
        <v/>
      </c>
      <c r="C24995" t="inlineStr">
        <is>
          <t>1968-05-11</t>
        </is>
      </c>
    </row>
    <row r="24996">
      <c r="A24996" s="1" t="n">
        <v>24995</v>
      </c>
      <c r="B24996">
        <f>TEXT(24995, "[$-0E0000]yyyy-mm-dd")</f>
        <v/>
      </c>
      <c r="C24996" t="inlineStr">
        <is>
          <t>1968-05-12</t>
        </is>
      </c>
    </row>
    <row r="24997">
      <c r="A24997" s="1" t="n">
        <v>24996</v>
      </c>
      <c r="B24997">
        <f>TEXT(24996, "[$-0E0000]yyyy-mm-dd")</f>
        <v/>
      </c>
      <c r="C24997" t="inlineStr">
        <is>
          <t>1968-05-13</t>
        </is>
      </c>
    </row>
    <row r="24998">
      <c r="A24998" s="1" t="n">
        <v>24997</v>
      </c>
      <c r="B24998">
        <f>TEXT(24997, "[$-0E0000]yyyy-mm-dd")</f>
        <v/>
      </c>
      <c r="C24998" t="inlineStr">
        <is>
          <t>1968-05-14</t>
        </is>
      </c>
    </row>
    <row r="24999">
      <c r="A24999" s="1" t="n">
        <v>24998</v>
      </c>
      <c r="B24999">
        <f>TEXT(24998, "[$-0E0000]yyyy-mm-dd")</f>
        <v/>
      </c>
      <c r="C24999" t="inlineStr">
        <is>
          <t>1968-05-15</t>
        </is>
      </c>
    </row>
    <row r="25000">
      <c r="A25000" s="1" t="n">
        <v>24999</v>
      </c>
      <c r="B25000">
        <f>TEXT(24999, "[$-0E0000]yyyy-mm-dd")</f>
        <v/>
      </c>
      <c r="C25000" t="inlineStr">
        <is>
          <t>1968-05-16</t>
        </is>
      </c>
    </row>
    <row r="25001">
      <c r="A25001" s="1" t="n">
        <v>25000</v>
      </c>
      <c r="B25001">
        <f>TEXT(25000, "[$-0E0000]yyyy-mm-dd")</f>
        <v/>
      </c>
      <c r="C25001" t="inlineStr">
        <is>
          <t>1968-05-17</t>
        </is>
      </c>
    </row>
    <row r="25002">
      <c r="A25002" s="1" t="n">
        <v>25001</v>
      </c>
      <c r="B25002">
        <f>TEXT(25001, "[$-0E0000]yyyy-mm-dd")</f>
        <v/>
      </c>
      <c r="C25002" t="inlineStr">
        <is>
          <t>1968-05-18</t>
        </is>
      </c>
    </row>
    <row r="25003">
      <c r="A25003" s="1" t="n">
        <v>25002</v>
      </c>
      <c r="B25003">
        <f>TEXT(25002, "[$-0E0000]yyyy-mm-dd")</f>
        <v/>
      </c>
      <c r="C25003" t="inlineStr">
        <is>
          <t>1968-05-19</t>
        </is>
      </c>
    </row>
    <row r="25004">
      <c r="A25004" s="1" t="n">
        <v>25003</v>
      </c>
      <c r="B25004">
        <f>TEXT(25003, "[$-0E0000]yyyy-mm-dd")</f>
        <v/>
      </c>
      <c r="C25004" t="inlineStr">
        <is>
          <t>1968-05-20</t>
        </is>
      </c>
    </row>
    <row r="25005">
      <c r="A25005" s="1" t="n">
        <v>25004</v>
      </c>
      <c r="B25005">
        <f>TEXT(25004, "[$-0E0000]yyyy-mm-dd")</f>
        <v/>
      </c>
      <c r="C25005" t="inlineStr">
        <is>
          <t>1968-05-21</t>
        </is>
      </c>
    </row>
    <row r="25006">
      <c r="A25006" s="1" t="n">
        <v>25005</v>
      </c>
      <c r="B25006">
        <f>TEXT(25005, "[$-0E0000]yyyy-mm-dd")</f>
        <v/>
      </c>
      <c r="C25006" t="inlineStr">
        <is>
          <t>1968-05-22</t>
        </is>
      </c>
    </row>
    <row r="25007">
      <c r="A25007" s="1" t="n">
        <v>25006</v>
      </c>
      <c r="B25007">
        <f>TEXT(25006, "[$-0E0000]yyyy-mm-dd")</f>
        <v/>
      </c>
      <c r="C25007" t="inlineStr">
        <is>
          <t>1968-05-23</t>
        </is>
      </c>
    </row>
    <row r="25008">
      <c r="A25008" s="1" t="n">
        <v>25007</v>
      </c>
      <c r="B25008">
        <f>TEXT(25007, "[$-0E0000]yyyy-mm-dd")</f>
        <v/>
      </c>
      <c r="C25008" t="inlineStr">
        <is>
          <t>1968-05-24</t>
        </is>
      </c>
    </row>
    <row r="25009">
      <c r="A25009" s="1" t="n">
        <v>25008</v>
      </c>
      <c r="B25009">
        <f>TEXT(25008, "[$-0E0000]yyyy-mm-dd")</f>
        <v/>
      </c>
      <c r="C25009" t="inlineStr">
        <is>
          <t>1968-05-25</t>
        </is>
      </c>
    </row>
    <row r="25010">
      <c r="A25010" s="1" t="n">
        <v>25009</v>
      </c>
      <c r="B25010">
        <f>TEXT(25009, "[$-0E0000]yyyy-mm-dd")</f>
        <v/>
      </c>
      <c r="C25010" t="inlineStr">
        <is>
          <t>1968-05-26</t>
        </is>
      </c>
    </row>
    <row r="25011">
      <c r="A25011" s="1" t="n">
        <v>25010</v>
      </c>
      <c r="B25011">
        <f>TEXT(25010, "[$-0E0000]yyyy-mm-dd")</f>
        <v/>
      </c>
      <c r="C25011" t="inlineStr">
        <is>
          <t>1968-05-27</t>
        </is>
      </c>
    </row>
    <row r="25012">
      <c r="A25012" s="1" t="n">
        <v>25011</v>
      </c>
      <c r="B25012">
        <f>TEXT(25011, "[$-0E0000]yyyy-mm-dd")</f>
        <v/>
      </c>
      <c r="C25012" t="inlineStr">
        <is>
          <t>1968-05-28</t>
        </is>
      </c>
    </row>
    <row r="25013">
      <c r="A25013" s="1" t="n">
        <v>25012</v>
      </c>
      <c r="B25013">
        <f>TEXT(25012, "[$-0E0000]yyyy-mm-dd")</f>
        <v/>
      </c>
      <c r="C25013" t="inlineStr">
        <is>
          <t>1968-05-29</t>
        </is>
      </c>
    </row>
    <row r="25014">
      <c r="A25014" s="1" t="n">
        <v>25013</v>
      </c>
      <c r="B25014">
        <f>TEXT(25013, "[$-0E0000]yyyy-mm-dd")</f>
        <v/>
      </c>
      <c r="C25014" t="inlineStr">
        <is>
          <t>1968-05-30</t>
        </is>
      </c>
    </row>
    <row r="25015">
      <c r="A25015" s="1" t="n">
        <v>25014</v>
      </c>
      <c r="B25015">
        <f>TEXT(25014, "[$-0E0000]yyyy-mm-dd")</f>
        <v/>
      </c>
      <c r="C25015" t="inlineStr">
        <is>
          <t>1968-06-01</t>
        </is>
      </c>
    </row>
    <row r="25016">
      <c r="A25016" s="1" t="n">
        <v>25015</v>
      </c>
      <c r="B25016">
        <f>TEXT(25015, "[$-0E0000]yyyy-mm-dd")</f>
        <v/>
      </c>
      <c r="C25016" t="inlineStr">
        <is>
          <t>1968-06-02</t>
        </is>
      </c>
    </row>
    <row r="25017">
      <c r="A25017" s="1" t="n">
        <v>25016</v>
      </c>
      <c r="B25017">
        <f>TEXT(25016, "[$-0E0000]yyyy-mm-dd")</f>
        <v/>
      </c>
      <c r="C25017" t="inlineStr">
        <is>
          <t>1968-06-03</t>
        </is>
      </c>
    </row>
    <row r="25018">
      <c r="A25018" s="1" t="n">
        <v>25017</v>
      </c>
      <c r="B25018">
        <f>TEXT(25017, "[$-0E0000]yyyy-mm-dd")</f>
        <v/>
      </c>
      <c r="C25018" t="inlineStr">
        <is>
          <t>1968-06-04</t>
        </is>
      </c>
    </row>
    <row r="25019">
      <c r="A25019" s="1" t="n">
        <v>25018</v>
      </c>
      <c r="B25019">
        <f>TEXT(25018, "[$-0E0000]yyyy-mm-dd")</f>
        <v/>
      </c>
      <c r="C25019" t="inlineStr">
        <is>
          <t>1968-06-05</t>
        </is>
      </c>
    </row>
    <row r="25020">
      <c r="A25020" s="1" t="n">
        <v>25019</v>
      </c>
      <c r="B25020">
        <f>TEXT(25019, "[$-0E0000]yyyy-mm-dd")</f>
        <v/>
      </c>
      <c r="C25020" t="inlineStr">
        <is>
          <t>1968-06-06</t>
        </is>
      </c>
    </row>
    <row r="25021">
      <c r="A25021" s="1" t="n">
        <v>25020</v>
      </c>
      <c r="B25021">
        <f>TEXT(25020, "[$-0E0000]yyyy-mm-dd")</f>
        <v/>
      </c>
      <c r="C25021" t="inlineStr">
        <is>
          <t>1968-06-07</t>
        </is>
      </c>
    </row>
    <row r="25022">
      <c r="A25022" s="1" t="n">
        <v>25021</v>
      </c>
      <c r="B25022">
        <f>TEXT(25021, "[$-0E0000]yyyy-mm-dd")</f>
        <v/>
      </c>
      <c r="C25022" t="inlineStr">
        <is>
          <t>1968-06-08</t>
        </is>
      </c>
    </row>
    <row r="25023">
      <c r="A25023" s="1" t="n">
        <v>25022</v>
      </c>
      <c r="B25023">
        <f>TEXT(25022, "[$-0E0000]yyyy-mm-dd")</f>
        <v/>
      </c>
      <c r="C25023" t="inlineStr">
        <is>
          <t>1968-06-09</t>
        </is>
      </c>
    </row>
    <row r="25024">
      <c r="A25024" s="1" t="n">
        <v>25023</v>
      </c>
      <c r="B25024">
        <f>TEXT(25023, "[$-0E0000]yyyy-mm-dd")</f>
        <v/>
      </c>
      <c r="C25024" t="inlineStr">
        <is>
          <t>1968-06-10</t>
        </is>
      </c>
    </row>
    <row r="25025">
      <c r="A25025" s="1" t="n">
        <v>25024</v>
      </c>
      <c r="B25025">
        <f>TEXT(25024, "[$-0E0000]yyyy-mm-dd")</f>
        <v/>
      </c>
      <c r="C25025" t="inlineStr">
        <is>
          <t>1968-06-11</t>
        </is>
      </c>
    </row>
    <row r="25026">
      <c r="A25026" s="1" t="n">
        <v>25025</v>
      </c>
      <c r="B25026">
        <f>TEXT(25025, "[$-0E0000]yyyy-mm-dd")</f>
        <v/>
      </c>
      <c r="C25026" t="inlineStr">
        <is>
          <t>1968-06-12</t>
        </is>
      </c>
    </row>
    <row r="25027">
      <c r="A25027" s="1" t="n">
        <v>25026</v>
      </c>
      <c r="B25027">
        <f>TEXT(25026, "[$-0E0000]yyyy-mm-dd")</f>
        <v/>
      </c>
      <c r="C25027" t="inlineStr">
        <is>
          <t>1968-06-13</t>
        </is>
      </c>
    </row>
    <row r="25028">
      <c r="A25028" s="1" t="n">
        <v>25027</v>
      </c>
      <c r="B25028">
        <f>TEXT(25027, "[$-0E0000]yyyy-mm-dd")</f>
        <v/>
      </c>
      <c r="C25028" t="inlineStr">
        <is>
          <t>1968-06-14</t>
        </is>
      </c>
    </row>
    <row r="25029">
      <c r="A25029" s="1" t="n">
        <v>25028</v>
      </c>
      <c r="B25029">
        <f>TEXT(25028, "[$-0E0000]yyyy-mm-dd")</f>
        <v/>
      </c>
      <c r="C25029" t="inlineStr">
        <is>
          <t>1968-06-15</t>
        </is>
      </c>
    </row>
    <row r="25030">
      <c r="A25030" s="1" t="n">
        <v>25029</v>
      </c>
      <c r="B25030">
        <f>TEXT(25029, "[$-0E0000]yyyy-mm-dd")</f>
        <v/>
      </c>
      <c r="C25030" t="inlineStr">
        <is>
          <t>1968-06-16</t>
        </is>
      </c>
    </row>
    <row r="25031">
      <c r="A25031" s="1" t="n">
        <v>25030</v>
      </c>
      <c r="B25031">
        <f>TEXT(25030, "[$-0E0000]yyyy-mm-dd")</f>
        <v/>
      </c>
      <c r="C25031" t="inlineStr">
        <is>
          <t>1968-06-17</t>
        </is>
      </c>
    </row>
    <row r="25032">
      <c r="A25032" s="1" t="n">
        <v>25031</v>
      </c>
      <c r="B25032">
        <f>TEXT(25031, "[$-0E0000]yyyy-mm-dd")</f>
        <v/>
      </c>
      <c r="C25032" t="inlineStr">
        <is>
          <t>1968-06-18</t>
        </is>
      </c>
    </row>
    <row r="25033">
      <c r="A25033" s="1" t="n">
        <v>25032</v>
      </c>
      <c r="B25033">
        <f>TEXT(25032, "[$-0E0000]yyyy-mm-dd")</f>
        <v/>
      </c>
      <c r="C25033" t="inlineStr">
        <is>
          <t>1968-06-19</t>
        </is>
      </c>
    </row>
    <row r="25034">
      <c r="A25034" s="1" t="n">
        <v>25033</v>
      </c>
      <c r="B25034">
        <f>TEXT(25033, "[$-0E0000]yyyy-mm-dd")</f>
        <v/>
      </c>
      <c r="C25034" t="inlineStr">
        <is>
          <t>1968-06-20</t>
        </is>
      </c>
    </row>
    <row r="25035">
      <c r="A25035" s="1" t="n">
        <v>25034</v>
      </c>
      <c r="B25035">
        <f>TEXT(25034, "[$-0E0000]yyyy-mm-dd")</f>
        <v/>
      </c>
      <c r="C25035" t="inlineStr">
        <is>
          <t>1968-06-21</t>
        </is>
      </c>
    </row>
    <row r="25036">
      <c r="A25036" s="1" t="n">
        <v>25035</v>
      </c>
      <c r="B25036">
        <f>TEXT(25035, "[$-0E0000]yyyy-mm-dd")</f>
        <v/>
      </c>
      <c r="C25036" t="inlineStr">
        <is>
          <t>1968-06-22</t>
        </is>
      </c>
    </row>
    <row r="25037">
      <c r="A25037" s="1" t="n">
        <v>25036</v>
      </c>
      <c r="B25037">
        <f>TEXT(25036, "[$-0E0000]yyyy-mm-dd")</f>
        <v/>
      </c>
      <c r="C25037" t="inlineStr">
        <is>
          <t>1968-06-23</t>
        </is>
      </c>
    </row>
    <row r="25038">
      <c r="A25038" s="1" t="n">
        <v>25037</v>
      </c>
      <c r="B25038">
        <f>TEXT(25037, "[$-0E0000]yyyy-mm-dd")</f>
        <v/>
      </c>
      <c r="C25038" t="inlineStr">
        <is>
          <t>1968-06-24</t>
        </is>
      </c>
    </row>
    <row r="25039">
      <c r="A25039" s="1" t="n">
        <v>25038</v>
      </c>
      <c r="B25039">
        <f>TEXT(25038, "[$-0E0000]yyyy-mm-dd")</f>
        <v/>
      </c>
      <c r="C25039" t="inlineStr">
        <is>
          <t>1968-06-25</t>
        </is>
      </c>
    </row>
    <row r="25040">
      <c r="A25040" s="1" t="n">
        <v>25039</v>
      </c>
      <c r="B25040">
        <f>TEXT(25039, "[$-0E0000]yyyy-mm-dd")</f>
        <v/>
      </c>
      <c r="C25040" t="inlineStr">
        <is>
          <t>1968-06-26</t>
        </is>
      </c>
    </row>
    <row r="25041">
      <c r="A25041" s="1" t="n">
        <v>25040</v>
      </c>
      <c r="B25041">
        <f>TEXT(25040, "[$-0E0000]yyyy-mm-dd")</f>
        <v/>
      </c>
      <c r="C25041" t="inlineStr">
        <is>
          <t>1968-06-27</t>
        </is>
      </c>
    </row>
    <row r="25042">
      <c r="A25042" s="1" t="n">
        <v>25041</v>
      </c>
      <c r="B25042">
        <f>TEXT(25041, "[$-0E0000]yyyy-mm-dd")</f>
        <v/>
      </c>
      <c r="C25042" t="inlineStr">
        <is>
          <t>1968-06-28</t>
        </is>
      </c>
    </row>
    <row r="25043">
      <c r="A25043" s="1" t="n">
        <v>25042</v>
      </c>
      <c r="B25043">
        <f>TEXT(25042, "[$-0E0000]yyyy-mm-dd")</f>
        <v/>
      </c>
      <c r="C25043" t="inlineStr">
        <is>
          <t>1968-06-29</t>
        </is>
      </c>
    </row>
    <row r="25044">
      <c r="A25044" s="1" t="n">
        <v>25043</v>
      </c>
      <c r="B25044">
        <f>TEXT(25043, "[$-0E0000]yyyy-mm-dd")</f>
        <v/>
      </c>
      <c r="C25044" t="inlineStr">
        <is>
          <t>1968-07-01</t>
        </is>
      </c>
    </row>
    <row r="25045">
      <c r="A25045" s="1" t="n">
        <v>25044</v>
      </c>
      <c r="B25045">
        <f>TEXT(25044, "[$-0E0000]yyyy-mm-dd")</f>
        <v/>
      </c>
      <c r="C25045" t="inlineStr">
        <is>
          <t>1968-07-02</t>
        </is>
      </c>
    </row>
    <row r="25046">
      <c r="A25046" s="1" t="n">
        <v>25045</v>
      </c>
      <c r="B25046">
        <f>TEXT(25045, "[$-0E0000]yyyy-mm-dd")</f>
        <v/>
      </c>
      <c r="C25046" t="inlineStr">
        <is>
          <t>1968-07-03</t>
        </is>
      </c>
    </row>
    <row r="25047">
      <c r="A25047" s="1" t="n">
        <v>25046</v>
      </c>
      <c r="B25047">
        <f>TEXT(25046, "[$-0E0000]yyyy-mm-dd")</f>
        <v/>
      </c>
      <c r="C25047" t="inlineStr">
        <is>
          <t>1968-07-04</t>
        </is>
      </c>
    </row>
    <row r="25048">
      <c r="A25048" s="1" t="n">
        <v>25047</v>
      </c>
      <c r="B25048">
        <f>TEXT(25047, "[$-0E0000]yyyy-mm-dd")</f>
        <v/>
      </c>
      <c r="C25048" t="inlineStr">
        <is>
          <t>1968-07-05</t>
        </is>
      </c>
    </row>
    <row r="25049">
      <c r="A25049" s="1" t="n">
        <v>25048</v>
      </c>
      <c r="B25049">
        <f>TEXT(25048, "[$-0E0000]yyyy-mm-dd")</f>
        <v/>
      </c>
      <c r="C25049" t="inlineStr">
        <is>
          <t>1968-07-06</t>
        </is>
      </c>
    </row>
    <row r="25050">
      <c r="A25050" s="1" t="n">
        <v>25049</v>
      </c>
      <c r="B25050">
        <f>TEXT(25049, "[$-0E0000]yyyy-mm-dd")</f>
        <v/>
      </c>
      <c r="C25050" t="inlineStr">
        <is>
          <t>1968-07-07</t>
        </is>
      </c>
    </row>
    <row r="25051">
      <c r="A25051" s="1" t="n">
        <v>25050</v>
      </c>
      <c r="B25051">
        <f>TEXT(25050, "[$-0E0000]yyyy-mm-dd")</f>
        <v/>
      </c>
      <c r="C25051" t="inlineStr">
        <is>
          <t>1968-07-08</t>
        </is>
      </c>
    </row>
    <row r="25052">
      <c r="A25052" s="1" t="n">
        <v>25051</v>
      </c>
      <c r="B25052">
        <f>TEXT(25051, "[$-0E0000]yyyy-mm-dd")</f>
        <v/>
      </c>
      <c r="C25052" t="inlineStr">
        <is>
          <t>1968-07-09</t>
        </is>
      </c>
    </row>
    <row r="25053">
      <c r="A25053" s="1" t="n">
        <v>25052</v>
      </c>
      <c r="B25053">
        <f>TEXT(25052, "[$-0E0000]yyyy-mm-dd")</f>
        <v/>
      </c>
      <c r="C25053" t="inlineStr">
        <is>
          <t>1968-07-10</t>
        </is>
      </c>
    </row>
    <row r="25054">
      <c r="A25054" s="1" t="n">
        <v>25053</v>
      </c>
      <c r="B25054">
        <f>TEXT(25053, "[$-0E0000]yyyy-mm-dd")</f>
        <v/>
      </c>
      <c r="C25054" t="inlineStr">
        <is>
          <t>1968-07-11</t>
        </is>
      </c>
    </row>
    <row r="25055">
      <c r="A25055" s="1" t="n">
        <v>25054</v>
      </c>
      <c r="B25055">
        <f>TEXT(25054, "[$-0E0000]yyyy-mm-dd")</f>
        <v/>
      </c>
      <c r="C25055" t="inlineStr">
        <is>
          <t>1968-07-12</t>
        </is>
      </c>
    </row>
    <row r="25056">
      <c r="A25056" s="1" t="n">
        <v>25055</v>
      </c>
      <c r="B25056">
        <f>TEXT(25055, "[$-0E0000]yyyy-mm-dd")</f>
        <v/>
      </c>
      <c r="C25056" t="inlineStr">
        <is>
          <t>1968-07-13</t>
        </is>
      </c>
    </row>
    <row r="25057">
      <c r="A25057" s="1" t="n">
        <v>25056</v>
      </c>
      <c r="B25057">
        <f>TEXT(25056, "[$-0E0000]yyyy-mm-dd")</f>
        <v/>
      </c>
      <c r="C25057" t="inlineStr">
        <is>
          <t>1968-07-14</t>
        </is>
      </c>
    </row>
    <row r="25058">
      <c r="A25058" s="1" t="n">
        <v>25057</v>
      </c>
      <c r="B25058">
        <f>TEXT(25057, "[$-0E0000]yyyy-mm-dd")</f>
        <v/>
      </c>
      <c r="C25058" t="inlineStr">
        <is>
          <t>1968-07-15</t>
        </is>
      </c>
    </row>
    <row r="25059">
      <c r="A25059" s="1" t="n">
        <v>25058</v>
      </c>
      <c r="B25059">
        <f>TEXT(25058, "[$-0E0000]yyyy-mm-dd")</f>
        <v/>
      </c>
      <c r="C25059" t="inlineStr">
        <is>
          <t>1968-07-16</t>
        </is>
      </c>
    </row>
    <row r="25060">
      <c r="A25060" s="1" t="n">
        <v>25059</v>
      </c>
      <c r="B25060">
        <f>TEXT(25059, "[$-0E0000]yyyy-mm-dd")</f>
        <v/>
      </c>
      <c r="C25060" t="inlineStr">
        <is>
          <t>1968-07-17</t>
        </is>
      </c>
    </row>
    <row r="25061">
      <c r="A25061" s="1" t="n">
        <v>25060</v>
      </c>
      <c r="B25061">
        <f>TEXT(25060, "[$-0E0000]yyyy-mm-dd")</f>
        <v/>
      </c>
      <c r="C25061" t="inlineStr">
        <is>
          <t>1968-07-18</t>
        </is>
      </c>
    </row>
    <row r="25062">
      <c r="A25062" s="1" t="n">
        <v>25061</v>
      </c>
      <c r="B25062">
        <f>TEXT(25061, "[$-0E0000]yyyy-mm-dd")</f>
        <v/>
      </c>
      <c r="C25062" t="inlineStr">
        <is>
          <t>1968-07-19</t>
        </is>
      </c>
    </row>
    <row r="25063">
      <c r="A25063" s="1" t="n">
        <v>25062</v>
      </c>
      <c r="B25063">
        <f>TEXT(25062, "[$-0E0000]yyyy-mm-dd")</f>
        <v/>
      </c>
      <c r="C25063" t="inlineStr">
        <is>
          <t>1968-07-20</t>
        </is>
      </c>
    </row>
    <row r="25064">
      <c r="A25064" s="1" t="n">
        <v>25063</v>
      </c>
      <c r="B25064">
        <f>TEXT(25063, "[$-0E0000]yyyy-mm-dd")</f>
        <v/>
      </c>
      <c r="C25064" t="inlineStr">
        <is>
          <t>1968-07-21</t>
        </is>
      </c>
    </row>
    <row r="25065">
      <c r="A25065" s="1" t="n">
        <v>25064</v>
      </c>
      <c r="B25065">
        <f>TEXT(25064, "[$-0E0000]yyyy-mm-dd")</f>
        <v/>
      </c>
      <c r="C25065" t="inlineStr">
        <is>
          <t>1968-07-22</t>
        </is>
      </c>
    </row>
    <row r="25066">
      <c r="A25066" s="1" t="n">
        <v>25065</v>
      </c>
      <c r="B25066">
        <f>TEXT(25065, "[$-0E0000]yyyy-mm-dd")</f>
        <v/>
      </c>
      <c r="C25066" t="inlineStr">
        <is>
          <t>1968-07-23</t>
        </is>
      </c>
    </row>
    <row r="25067">
      <c r="A25067" s="1" t="n">
        <v>25066</v>
      </c>
      <c r="B25067">
        <f>TEXT(25066, "[$-0E0000]yyyy-mm-dd")</f>
        <v/>
      </c>
      <c r="C25067" t="inlineStr">
        <is>
          <t>1968-07-24</t>
        </is>
      </c>
    </row>
    <row r="25068">
      <c r="A25068" s="1" t="n">
        <v>25067</v>
      </c>
      <c r="B25068">
        <f>TEXT(25067, "[$-0E0000]yyyy-mm-dd")</f>
        <v/>
      </c>
      <c r="C25068" t="inlineStr">
        <is>
          <t>1968-07-25</t>
        </is>
      </c>
    </row>
    <row r="25069">
      <c r="A25069" s="1" t="n">
        <v>25068</v>
      </c>
      <c r="B25069">
        <f>TEXT(25068, "[$-0E0000]yyyy-mm-dd")</f>
        <v/>
      </c>
      <c r="C25069" t="inlineStr">
        <is>
          <t>1968-07-26</t>
        </is>
      </c>
    </row>
    <row r="25070">
      <c r="A25070" s="1" t="n">
        <v>25069</v>
      </c>
      <c r="B25070">
        <f>TEXT(25069, "[$-0E0000]yyyy-mm-dd")</f>
        <v/>
      </c>
      <c r="C25070" t="inlineStr">
        <is>
          <t>1968-07-27</t>
        </is>
      </c>
    </row>
    <row r="25071">
      <c r="A25071" s="1" t="n">
        <v>25070</v>
      </c>
      <c r="B25071">
        <f>TEXT(25070, "[$-0E0000]yyyy-mm-dd")</f>
        <v/>
      </c>
      <c r="C25071" t="inlineStr">
        <is>
          <t>1968-07-28</t>
        </is>
      </c>
    </row>
    <row r="25072">
      <c r="A25072" s="1" t="n">
        <v>25071</v>
      </c>
      <c r="B25072">
        <f>TEXT(25071, "[$-0E0000]yyyy-mm-dd")</f>
        <v/>
      </c>
      <c r="C25072" t="inlineStr">
        <is>
          <t>1968-07-29</t>
        </is>
      </c>
    </row>
    <row r="25073">
      <c r="A25073" s="1" t="n">
        <v>25072</v>
      </c>
      <c r="B25073">
        <f>TEXT(25072, "[$-0E0000]yyyy-mm-dd")</f>
        <v/>
      </c>
      <c r="C25073" t="inlineStr">
        <is>
          <t>1968-07-30</t>
        </is>
      </c>
    </row>
    <row r="25074">
      <c r="A25074" s="1" t="n">
        <v>25073</v>
      </c>
      <c r="B25074">
        <f>TEXT(25073, "[$-0E0000]yyyy-mm-dd")</f>
        <v/>
      </c>
      <c r="C25074" t="inlineStr">
        <is>
          <t>1968-07-01</t>
        </is>
      </c>
    </row>
    <row r="25075">
      <c r="A25075" s="1" t="n">
        <v>25074</v>
      </c>
      <c r="B25075">
        <f>TEXT(25074, "[$-0E0000]yyyy-mm-dd")</f>
        <v/>
      </c>
      <c r="C25075" t="inlineStr">
        <is>
          <t>1968-07-02</t>
        </is>
      </c>
    </row>
    <row r="25076">
      <c r="A25076" s="1" t="n">
        <v>25075</v>
      </c>
      <c r="B25076">
        <f>TEXT(25075, "[$-0E0000]yyyy-mm-dd")</f>
        <v/>
      </c>
      <c r="C25076" t="inlineStr">
        <is>
          <t>1968-07-03</t>
        </is>
      </c>
    </row>
    <row r="25077">
      <c r="A25077" s="1" t="n">
        <v>25076</v>
      </c>
      <c r="B25077">
        <f>TEXT(25076, "[$-0E0000]yyyy-mm-dd")</f>
        <v/>
      </c>
      <c r="C25077" t="inlineStr">
        <is>
          <t>1968-07-04</t>
        </is>
      </c>
    </row>
    <row r="25078">
      <c r="A25078" s="1" t="n">
        <v>25077</v>
      </c>
      <c r="B25078">
        <f>TEXT(25077, "[$-0E0000]yyyy-mm-dd")</f>
        <v/>
      </c>
      <c r="C25078" t="inlineStr">
        <is>
          <t>1968-07-05</t>
        </is>
      </c>
    </row>
    <row r="25079">
      <c r="A25079" s="1" t="n">
        <v>25078</v>
      </c>
      <c r="B25079">
        <f>TEXT(25078, "[$-0E0000]yyyy-mm-dd")</f>
        <v/>
      </c>
      <c r="C25079" t="inlineStr">
        <is>
          <t>1968-07-06</t>
        </is>
      </c>
    </row>
    <row r="25080">
      <c r="A25080" s="1" t="n">
        <v>25079</v>
      </c>
      <c r="B25080">
        <f>TEXT(25079, "[$-0E0000]yyyy-mm-dd")</f>
        <v/>
      </c>
      <c r="C25080" t="inlineStr">
        <is>
          <t>1968-07-07</t>
        </is>
      </c>
    </row>
    <row r="25081">
      <c r="A25081" s="1" t="n">
        <v>25080</v>
      </c>
      <c r="B25081">
        <f>TEXT(25080, "[$-0E0000]yyyy-mm-dd")</f>
        <v/>
      </c>
      <c r="C25081" t="inlineStr">
        <is>
          <t>1968-07-08</t>
        </is>
      </c>
    </row>
    <row r="25082">
      <c r="A25082" s="1" t="n">
        <v>25081</v>
      </c>
      <c r="B25082">
        <f>TEXT(25081, "[$-0E0000]yyyy-mm-dd")</f>
        <v/>
      </c>
      <c r="C25082" t="inlineStr">
        <is>
          <t>1968-07-09</t>
        </is>
      </c>
    </row>
    <row r="25083">
      <c r="A25083" s="1" t="n">
        <v>25082</v>
      </c>
      <c r="B25083">
        <f>TEXT(25082, "[$-0E0000]yyyy-mm-dd")</f>
        <v/>
      </c>
      <c r="C25083" t="inlineStr">
        <is>
          <t>1968-07-10</t>
        </is>
      </c>
    </row>
    <row r="25084">
      <c r="A25084" s="1" t="n">
        <v>25083</v>
      </c>
      <c r="B25084">
        <f>TEXT(25083, "[$-0E0000]yyyy-mm-dd")</f>
        <v/>
      </c>
      <c r="C25084" t="inlineStr">
        <is>
          <t>1968-07-11</t>
        </is>
      </c>
    </row>
    <row r="25085">
      <c r="A25085" s="1" t="n">
        <v>25084</v>
      </c>
      <c r="B25085">
        <f>TEXT(25084, "[$-0E0000]yyyy-mm-dd")</f>
        <v/>
      </c>
      <c r="C25085" t="inlineStr">
        <is>
          <t>1968-07-12</t>
        </is>
      </c>
    </row>
    <row r="25086">
      <c r="A25086" s="1" t="n">
        <v>25085</v>
      </c>
      <c r="B25086">
        <f>TEXT(25085, "[$-0E0000]yyyy-mm-dd")</f>
        <v/>
      </c>
      <c r="C25086" t="inlineStr">
        <is>
          <t>1968-07-13</t>
        </is>
      </c>
    </row>
    <row r="25087">
      <c r="A25087" s="1" t="n">
        <v>25086</v>
      </c>
      <c r="B25087">
        <f>TEXT(25086, "[$-0E0000]yyyy-mm-dd")</f>
        <v/>
      </c>
      <c r="C25087" t="inlineStr">
        <is>
          <t>1968-07-14</t>
        </is>
      </c>
    </row>
    <row r="25088">
      <c r="A25088" s="1" t="n">
        <v>25087</v>
      </c>
      <c r="B25088">
        <f>TEXT(25087, "[$-0E0000]yyyy-mm-dd")</f>
        <v/>
      </c>
      <c r="C25088" t="inlineStr">
        <is>
          <t>1968-07-15</t>
        </is>
      </c>
    </row>
    <row r="25089">
      <c r="A25089" s="1" t="n">
        <v>25088</v>
      </c>
      <c r="B25089">
        <f>TEXT(25088, "[$-0E0000]yyyy-mm-dd")</f>
        <v/>
      </c>
      <c r="C25089" t="inlineStr">
        <is>
          <t>1968-07-16</t>
        </is>
      </c>
    </row>
    <row r="25090">
      <c r="A25090" s="1" t="n">
        <v>25089</v>
      </c>
      <c r="B25090">
        <f>TEXT(25089, "[$-0E0000]yyyy-mm-dd")</f>
        <v/>
      </c>
      <c r="C25090" t="inlineStr">
        <is>
          <t>1968-07-17</t>
        </is>
      </c>
    </row>
    <row r="25091">
      <c r="A25091" s="1" t="n">
        <v>25090</v>
      </c>
      <c r="B25091">
        <f>TEXT(25090, "[$-0E0000]yyyy-mm-dd")</f>
        <v/>
      </c>
      <c r="C25091" t="inlineStr">
        <is>
          <t>1968-07-18</t>
        </is>
      </c>
    </row>
    <row r="25092">
      <c r="A25092" s="1" t="n">
        <v>25091</v>
      </c>
      <c r="B25092">
        <f>TEXT(25091, "[$-0E0000]yyyy-mm-dd")</f>
        <v/>
      </c>
      <c r="C25092" t="inlineStr">
        <is>
          <t>1968-07-19</t>
        </is>
      </c>
    </row>
    <row r="25093">
      <c r="A25093" s="1" t="n">
        <v>25092</v>
      </c>
      <c r="B25093">
        <f>TEXT(25092, "[$-0E0000]yyyy-mm-dd")</f>
        <v/>
      </c>
      <c r="C25093" t="inlineStr">
        <is>
          <t>1968-07-20</t>
        </is>
      </c>
    </row>
    <row r="25094">
      <c r="A25094" s="1" t="n">
        <v>25093</v>
      </c>
      <c r="B25094">
        <f>TEXT(25093, "[$-0E0000]yyyy-mm-dd")</f>
        <v/>
      </c>
      <c r="C25094" t="inlineStr">
        <is>
          <t>1968-07-21</t>
        </is>
      </c>
    </row>
    <row r="25095">
      <c r="A25095" s="1" t="n">
        <v>25094</v>
      </c>
      <c r="B25095">
        <f>TEXT(25094, "[$-0E0000]yyyy-mm-dd")</f>
        <v/>
      </c>
      <c r="C25095" t="inlineStr">
        <is>
          <t>1968-07-22</t>
        </is>
      </c>
    </row>
    <row r="25096">
      <c r="A25096" s="1" t="n">
        <v>25095</v>
      </c>
      <c r="B25096">
        <f>TEXT(25095, "[$-0E0000]yyyy-mm-dd")</f>
        <v/>
      </c>
      <c r="C25096" t="inlineStr">
        <is>
          <t>1968-07-23</t>
        </is>
      </c>
    </row>
    <row r="25097">
      <c r="A25097" s="1" t="n">
        <v>25096</v>
      </c>
      <c r="B25097">
        <f>TEXT(25096, "[$-0E0000]yyyy-mm-dd")</f>
        <v/>
      </c>
      <c r="C25097" t="inlineStr">
        <is>
          <t>1968-07-24</t>
        </is>
      </c>
    </row>
    <row r="25098">
      <c r="A25098" s="1" t="n">
        <v>25097</v>
      </c>
      <c r="B25098">
        <f>TEXT(25097, "[$-0E0000]yyyy-mm-dd")</f>
        <v/>
      </c>
      <c r="C25098" t="inlineStr">
        <is>
          <t>1968-07-25</t>
        </is>
      </c>
    </row>
    <row r="25099">
      <c r="A25099" s="1" t="n">
        <v>25098</v>
      </c>
      <c r="B25099">
        <f>TEXT(25098, "[$-0E0000]yyyy-mm-dd")</f>
        <v/>
      </c>
      <c r="C25099" t="inlineStr">
        <is>
          <t>1968-07-26</t>
        </is>
      </c>
    </row>
    <row r="25100">
      <c r="A25100" s="1" t="n">
        <v>25099</v>
      </c>
      <c r="B25100">
        <f>TEXT(25099, "[$-0E0000]yyyy-mm-dd")</f>
        <v/>
      </c>
      <c r="C25100" t="inlineStr">
        <is>
          <t>1968-07-27</t>
        </is>
      </c>
    </row>
    <row r="25101">
      <c r="A25101" s="1" t="n">
        <v>25100</v>
      </c>
      <c r="B25101">
        <f>TEXT(25100, "[$-0E0000]yyyy-mm-dd")</f>
        <v/>
      </c>
      <c r="C25101" t="inlineStr">
        <is>
          <t>1968-07-28</t>
        </is>
      </c>
    </row>
    <row r="25102">
      <c r="A25102" s="1" t="n">
        <v>25101</v>
      </c>
      <c r="B25102">
        <f>TEXT(25101, "[$-0E0000]yyyy-mm-dd")</f>
        <v/>
      </c>
      <c r="C25102" t="inlineStr">
        <is>
          <t>1968-07-29</t>
        </is>
      </c>
    </row>
    <row r="25103">
      <c r="A25103" s="1" t="n">
        <v>25102</v>
      </c>
      <c r="B25103">
        <f>TEXT(25102, "[$-0E0000]yyyy-mm-dd")</f>
        <v/>
      </c>
      <c r="C25103" t="inlineStr">
        <is>
          <t>1968-08-01</t>
        </is>
      </c>
    </row>
    <row r="25104">
      <c r="A25104" s="1" t="n">
        <v>25103</v>
      </c>
      <c r="B25104">
        <f>TEXT(25103, "[$-0E0000]yyyy-mm-dd")</f>
        <v/>
      </c>
      <c r="C25104" t="inlineStr">
        <is>
          <t>1968-08-02</t>
        </is>
      </c>
    </row>
    <row r="25105">
      <c r="A25105" s="1" t="n">
        <v>25104</v>
      </c>
      <c r="B25105">
        <f>TEXT(25104, "[$-0E0000]yyyy-mm-dd")</f>
        <v/>
      </c>
      <c r="C25105" t="inlineStr">
        <is>
          <t>1968-08-03</t>
        </is>
      </c>
    </row>
    <row r="25106">
      <c r="A25106" s="1" t="n">
        <v>25105</v>
      </c>
      <c r="B25106">
        <f>TEXT(25105, "[$-0E0000]yyyy-mm-dd")</f>
        <v/>
      </c>
      <c r="C25106" t="inlineStr">
        <is>
          <t>1968-08-04</t>
        </is>
      </c>
    </row>
    <row r="25107">
      <c r="A25107" s="1" t="n">
        <v>25106</v>
      </c>
      <c r="B25107">
        <f>TEXT(25106, "[$-0E0000]yyyy-mm-dd")</f>
        <v/>
      </c>
      <c r="C25107" t="inlineStr">
        <is>
          <t>1968-08-05</t>
        </is>
      </c>
    </row>
    <row r="25108">
      <c r="A25108" s="1" t="n">
        <v>25107</v>
      </c>
      <c r="B25108">
        <f>TEXT(25107, "[$-0E0000]yyyy-mm-dd")</f>
        <v/>
      </c>
      <c r="C25108" t="inlineStr">
        <is>
          <t>1968-08-06</t>
        </is>
      </c>
    </row>
    <row r="25109">
      <c r="A25109" s="1" t="n">
        <v>25108</v>
      </c>
      <c r="B25109">
        <f>TEXT(25108, "[$-0E0000]yyyy-mm-dd")</f>
        <v/>
      </c>
      <c r="C25109" t="inlineStr">
        <is>
          <t>1968-08-07</t>
        </is>
      </c>
    </row>
    <row r="25110">
      <c r="A25110" s="1" t="n">
        <v>25109</v>
      </c>
      <c r="B25110">
        <f>TEXT(25109, "[$-0E0000]yyyy-mm-dd")</f>
        <v/>
      </c>
      <c r="C25110" t="inlineStr">
        <is>
          <t>1968-08-08</t>
        </is>
      </c>
    </row>
    <row r="25111">
      <c r="A25111" s="1" t="n">
        <v>25110</v>
      </c>
      <c r="B25111">
        <f>TEXT(25110, "[$-0E0000]yyyy-mm-dd")</f>
        <v/>
      </c>
      <c r="C25111" t="inlineStr">
        <is>
          <t>1968-08-09</t>
        </is>
      </c>
    </row>
    <row r="25112">
      <c r="A25112" s="1" t="n">
        <v>25111</v>
      </c>
      <c r="B25112">
        <f>TEXT(25111, "[$-0E0000]yyyy-mm-dd")</f>
        <v/>
      </c>
      <c r="C25112" t="inlineStr">
        <is>
          <t>1968-08-10</t>
        </is>
      </c>
    </row>
    <row r="25113">
      <c r="A25113" s="1" t="n">
        <v>25112</v>
      </c>
      <c r="B25113">
        <f>TEXT(25112, "[$-0E0000]yyyy-mm-dd")</f>
        <v/>
      </c>
      <c r="C25113" t="inlineStr">
        <is>
          <t>1968-08-11</t>
        </is>
      </c>
    </row>
    <row r="25114">
      <c r="A25114" s="1" t="n">
        <v>25113</v>
      </c>
      <c r="B25114">
        <f>TEXT(25113, "[$-0E0000]yyyy-mm-dd")</f>
        <v/>
      </c>
      <c r="C25114" t="inlineStr">
        <is>
          <t>1968-08-12</t>
        </is>
      </c>
    </row>
    <row r="25115">
      <c r="A25115" s="1" t="n">
        <v>25114</v>
      </c>
      <c r="B25115">
        <f>TEXT(25114, "[$-0E0000]yyyy-mm-dd")</f>
        <v/>
      </c>
      <c r="C25115" t="inlineStr">
        <is>
          <t>1968-08-13</t>
        </is>
      </c>
    </row>
    <row r="25116">
      <c r="A25116" s="1" t="n">
        <v>25115</v>
      </c>
      <c r="B25116">
        <f>TEXT(25115, "[$-0E0000]yyyy-mm-dd")</f>
        <v/>
      </c>
      <c r="C25116" t="inlineStr">
        <is>
          <t>1968-08-14</t>
        </is>
      </c>
    </row>
    <row r="25117">
      <c r="A25117" s="1" t="n">
        <v>25116</v>
      </c>
      <c r="B25117">
        <f>TEXT(25116, "[$-0E0000]yyyy-mm-dd")</f>
        <v/>
      </c>
      <c r="C25117" t="inlineStr">
        <is>
          <t>1968-08-15</t>
        </is>
      </c>
    </row>
    <row r="25118">
      <c r="A25118" s="1" t="n">
        <v>25117</v>
      </c>
      <c r="B25118">
        <f>TEXT(25117, "[$-0E0000]yyyy-mm-dd")</f>
        <v/>
      </c>
      <c r="C25118" t="inlineStr">
        <is>
          <t>1968-08-16</t>
        </is>
      </c>
    </row>
    <row r="25119">
      <c r="A25119" s="1" t="n">
        <v>25118</v>
      </c>
      <c r="B25119">
        <f>TEXT(25118, "[$-0E0000]yyyy-mm-dd")</f>
        <v/>
      </c>
      <c r="C25119" t="inlineStr">
        <is>
          <t>1968-08-17</t>
        </is>
      </c>
    </row>
    <row r="25120">
      <c r="A25120" s="1" t="n">
        <v>25119</v>
      </c>
      <c r="B25120">
        <f>TEXT(25119, "[$-0E0000]yyyy-mm-dd")</f>
        <v/>
      </c>
      <c r="C25120" t="inlineStr">
        <is>
          <t>1968-08-18</t>
        </is>
      </c>
    </row>
    <row r="25121">
      <c r="A25121" s="1" t="n">
        <v>25120</v>
      </c>
      <c r="B25121">
        <f>TEXT(25120, "[$-0E0000]yyyy-mm-dd")</f>
        <v/>
      </c>
      <c r="C25121" t="inlineStr">
        <is>
          <t>1968-08-19</t>
        </is>
      </c>
    </row>
    <row r="25122">
      <c r="A25122" s="1" t="n">
        <v>25121</v>
      </c>
      <c r="B25122">
        <f>TEXT(25121, "[$-0E0000]yyyy-mm-dd")</f>
        <v/>
      </c>
      <c r="C25122" t="inlineStr">
        <is>
          <t>1968-08-20</t>
        </is>
      </c>
    </row>
    <row r="25123">
      <c r="A25123" s="1" t="n">
        <v>25122</v>
      </c>
      <c r="B25123">
        <f>TEXT(25122, "[$-0E0000]yyyy-mm-dd")</f>
        <v/>
      </c>
      <c r="C25123" t="inlineStr">
        <is>
          <t>1968-08-21</t>
        </is>
      </c>
    </row>
    <row r="25124">
      <c r="A25124" s="1" t="n">
        <v>25123</v>
      </c>
      <c r="B25124">
        <f>TEXT(25123, "[$-0E0000]yyyy-mm-dd")</f>
        <v/>
      </c>
      <c r="C25124" t="inlineStr">
        <is>
          <t>1968-08-22</t>
        </is>
      </c>
    </row>
    <row r="25125">
      <c r="A25125" s="1" t="n">
        <v>25124</v>
      </c>
      <c r="B25125">
        <f>TEXT(25124, "[$-0E0000]yyyy-mm-dd")</f>
        <v/>
      </c>
      <c r="C25125" t="inlineStr">
        <is>
          <t>1968-08-23</t>
        </is>
      </c>
    </row>
    <row r="25126">
      <c r="A25126" s="1" t="n">
        <v>25125</v>
      </c>
      <c r="B25126">
        <f>TEXT(25125, "[$-0E0000]yyyy-mm-dd")</f>
        <v/>
      </c>
      <c r="C25126" t="inlineStr">
        <is>
          <t>1968-08-24</t>
        </is>
      </c>
    </row>
    <row r="25127">
      <c r="A25127" s="1" t="n">
        <v>25126</v>
      </c>
      <c r="B25127">
        <f>TEXT(25126, "[$-0E0000]yyyy-mm-dd")</f>
        <v/>
      </c>
      <c r="C25127" t="inlineStr">
        <is>
          <t>1968-08-25</t>
        </is>
      </c>
    </row>
    <row r="25128">
      <c r="A25128" s="1" t="n">
        <v>25127</v>
      </c>
      <c r="B25128">
        <f>TEXT(25127, "[$-0E0000]yyyy-mm-dd")</f>
        <v/>
      </c>
      <c r="C25128" t="inlineStr">
        <is>
          <t>1968-08-26</t>
        </is>
      </c>
    </row>
    <row r="25129">
      <c r="A25129" s="1" t="n">
        <v>25128</v>
      </c>
      <c r="B25129">
        <f>TEXT(25128, "[$-0E0000]yyyy-mm-dd")</f>
        <v/>
      </c>
      <c r="C25129" t="inlineStr">
        <is>
          <t>1968-08-27</t>
        </is>
      </c>
    </row>
    <row r="25130">
      <c r="A25130" s="1" t="n">
        <v>25129</v>
      </c>
      <c r="B25130">
        <f>TEXT(25129, "[$-0E0000]yyyy-mm-dd")</f>
        <v/>
      </c>
      <c r="C25130" t="inlineStr">
        <is>
          <t>1968-08-28</t>
        </is>
      </c>
    </row>
    <row r="25131">
      <c r="A25131" s="1" t="n">
        <v>25130</v>
      </c>
      <c r="B25131">
        <f>TEXT(25130, "[$-0E0000]yyyy-mm-dd")</f>
        <v/>
      </c>
      <c r="C25131" t="inlineStr">
        <is>
          <t>1968-08-29</t>
        </is>
      </c>
    </row>
    <row r="25132">
      <c r="A25132" s="1" t="n">
        <v>25131</v>
      </c>
      <c r="B25132">
        <f>TEXT(25131, "[$-0E0000]yyyy-mm-dd")</f>
        <v/>
      </c>
      <c r="C25132" t="inlineStr">
        <is>
          <t>1968-08-30</t>
        </is>
      </c>
    </row>
    <row r="25133">
      <c r="A25133" s="1" t="n">
        <v>25132</v>
      </c>
      <c r="B25133">
        <f>TEXT(25132, "[$-0E0000]yyyy-mm-dd")</f>
        <v/>
      </c>
      <c r="C25133" t="inlineStr">
        <is>
          <t>1968-09-01</t>
        </is>
      </c>
    </row>
    <row r="25134">
      <c r="A25134" s="1" t="n">
        <v>25133</v>
      </c>
      <c r="B25134">
        <f>TEXT(25133, "[$-0E0000]yyyy-mm-dd")</f>
        <v/>
      </c>
      <c r="C25134" t="inlineStr">
        <is>
          <t>1968-09-02</t>
        </is>
      </c>
    </row>
    <row r="25135">
      <c r="A25135" s="1" t="n">
        <v>25134</v>
      </c>
      <c r="B25135">
        <f>TEXT(25134, "[$-0E0000]yyyy-mm-dd")</f>
        <v/>
      </c>
      <c r="C25135" t="inlineStr">
        <is>
          <t>1968-09-03</t>
        </is>
      </c>
    </row>
    <row r="25136">
      <c r="A25136" s="1" t="n">
        <v>25135</v>
      </c>
      <c r="B25136">
        <f>TEXT(25135, "[$-0E0000]yyyy-mm-dd")</f>
        <v/>
      </c>
      <c r="C25136" t="inlineStr">
        <is>
          <t>1968-09-04</t>
        </is>
      </c>
    </row>
    <row r="25137">
      <c r="A25137" s="1" t="n">
        <v>25136</v>
      </c>
      <c r="B25137">
        <f>TEXT(25136, "[$-0E0000]yyyy-mm-dd")</f>
        <v/>
      </c>
      <c r="C25137" t="inlineStr">
        <is>
          <t>1968-09-05</t>
        </is>
      </c>
    </row>
    <row r="25138">
      <c r="A25138" s="1" t="n">
        <v>25137</v>
      </c>
      <c r="B25138">
        <f>TEXT(25137, "[$-0E0000]yyyy-mm-dd")</f>
        <v/>
      </c>
      <c r="C25138" t="inlineStr">
        <is>
          <t>1968-09-06</t>
        </is>
      </c>
    </row>
    <row r="25139">
      <c r="A25139" s="1" t="n">
        <v>25138</v>
      </c>
      <c r="B25139">
        <f>TEXT(25138, "[$-0E0000]yyyy-mm-dd")</f>
        <v/>
      </c>
      <c r="C25139" t="inlineStr">
        <is>
          <t>1968-09-07</t>
        </is>
      </c>
    </row>
    <row r="25140">
      <c r="A25140" s="1" t="n">
        <v>25139</v>
      </c>
      <c r="B25140">
        <f>TEXT(25139, "[$-0E0000]yyyy-mm-dd")</f>
        <v/>
      </c>
      <c r="C25140" t="inlineStr">
        <is>
          <t>1968-09-08</t>
        </is>
      </c>
    </row>
    <row r="25141">
      <c r="A25141" s="1" t="n">
        <v>25140</v>
      </c>
      <c r="B25141">
        <f>TEXT(25140, "[$-0E0000]yyyy-mm-dd")</f>
        <v/>
      </c>
      <c r="C25141" t="inlineStr">
        <is>
          <t>1968-09-09</t>
        </is>
      </c>
    </row>
    <row r="25142">
      <c r="A25142" s="1" t="n">
        <v>25141</v>
      </c>
      <c r="B25142">
        <f>TEXT(25141, "[$-0E0000]yyyy-mm-dd")</f>
        <v/>
      </c>
      <c r="C25142" t="inlineStr">
        <is>
          <t>1968-09-10</t>
        </is>
      </c>
    </row>
    <row r="25143">
      <c r="A25143" s="1" t="n">
        <v>25142</v>
      </c>
      <c r="B25143">
        <f>TEXT(25142, "[$-0E0000]yyyy-mm-dd")</f>
        <v/>
      </c>
      <c r="C25143" t="inlineStr">
        <is>
          <t>1968-09-11</t>
        </is>
      </c>
    </row>
    <row r="25144">
      <c r="A25144" s="1" t="n">
        <v>25143</v>
      </c>
      <c r="B25144">
        <f>TEXT(25143, "[$-0E0000]yyyy-mm-dd")</f>
        <v/>
      </c>
      <c r="C25144" t="inlineStr">
        <is>
          <t>1968-09-12</t>
        </is>
      </c>
    </row>
    <row r="25145">
      <c r="A25145" s="1" t="n">
        <v>25144</v>
      </c>
      <c r="B25145">
        <f>TEXT(25144, "[$-0E0000]yyyy-mm-dd")</f>
        <v/>
      </c>
      <c r="C25145" t="inlineStr">
        <is>
          <t>1968-09-13</t>
        </is>
      </c>
    </row>
    <row r="25146">
      <c r="A25146" s="1" t="n">
        <v>25145</v>
      </c>
      <c r="B25146">
        <f>TEXT(25145, "[$-0E0000]yyyy-mm-dd")</f>
        <v/>
      </c>
      <c r="C25146" t="inlineStr">
        <is>
          <t>1968-09-14</t>
        </is>
      </c>
    </row>
    <row r="25147">
      <c r="A25147" s="1" t="n">
        <v>25146</v>
      </c>
      <c r="B25147">
        <f>TEXT(25146, "[$-0E0000]yyyy-mm-dd")</f>
        <v/>
      </c>
      <c r="C25147" t="inlineStr">
        <is>
          <t>1968-09-15</t>
        </is>
      </c>
    </row>
    <row r="25148">
      <c r="A25148" s="1" t="n">
        <v>25147</v>
      </c>
      <c r="B25148">
        <f>TEXT(25147, "[$-0E0000]yyyy-mm-dd")</f>
        <v/>
      </c>
      <c r="C25148" t="inlineStr">
        <is>
          <t>1968-09-16</t>
        </is>
      </c>
    </row>
    <row r="25149">
      <c r="A25149" s="1" t="n">
        <v>25148</v>
      </c>
      <c r="B25149">
        <f>TEXT(25148, "[$-0E0000]yyyy-mm-dd")</f>
        <v/>
      </c>
      <c r="C25149" t="inlineStr">
        <is>
          <t>1968-09-17</t>
        </is>
      </c>
    </row>
    <row r="25150">
      <c r="A25150" s="1" t="n">
        <v>25149</v>
      </c>
      <c r="B25150">
        <f>TEXT(25149, "[$-0E0000]yyyy-mm-dd")</f>
        <v/>
      </c>
      <c r="C25150" t="inlineStr">
        <is>
          <t>1968-09-18</t>
        </is>
      </c>
    </row>
    <row r="25151">
      <c r="A25151" s="1" t="n">
        <v>25150</v>
      </c>
      <c r="B25151">
        <f>TEXT(25150, "[$-0E0000]yyyy-mm-dd")</f>
        <v/>
      </c>
      <c r="C25151" t="inlineStr">
        <is>
          <t>1968-09-19</t>
        </is>
      </c>
    </row>
    <row r="25152">
      <c r="A25152" s="1" t="n">
        <v>25151</v>
      </c>
      <c r="B25152">
        <f>TEXT(25151, "[$-0E0000]yyyy-mm-dd")</f>
        <v/>
      </c>
      <c r="C25152" t="inlineStr">
        <is>
          <t>1968-09-20</t>
        </is>
      </c>
    </row>
    <row r="25153">
      <c r="A25153" s="1" t="n">
        <v>25152</v>
      </c>
      <c r="B25153">
        <f>TEXT(25152, "[$-0E0000]yyyy-mm-dd")</f>
        <v/>
      </c>
      <c r="C25153" t="inlineStr">
        <is>
          <t>1968-09-21</t>
        </is>
      </c>
    </row>
    <row r="25154">
      <c r="A25154" s="1" t="n">
        <v>25153</v>
      </c>
      <c r="B25154">
        <f>TEXT(25153, "[$-0E0000]yyyy-mm-dd")</f>
        <v/>
      </c>
      <c r="C25154" t="inlineStr">
        <is>
          <t>1968-09-22</t>
        </is>
      </c>
    </row>
    <row r="25155">
      <c r="A25155" s="1" t="n">
        <v>25154</v>
      </c>
      <c r="B25155">
        <f>TEXT(25154, "[$-0E0000]yyyy-mm-dd")</f>
        <v/>
      </c>
      <c r="C25155" t="inlineStr">
        <is>
          <t>1968-09-23</t>
        </is>
      </c>
    </row>
    <row r="25156">
      <c r="A25156" s="1" t="n">
        <v>25155</v>
      </c>
      <c r="B25156">
        <f>TEXT(25155, "[$-0E0000]yyyy-mm-dd")</f>
        <v/>
      </c>
      <c r="C25156" t="inlineStr">
        <is>
          <t>1968-09-24</t>
        </is>
      </c>
    </row>
    <row r="25157">
      <c r="A25157" s="1" t="n">
        <v>25156</v>
      </c>
      <c r="B25157">
        <f>TEXT(25156, "[$-0E0000]yyyy-mm-dd")</f>
        <v/>
      </c>
      <c r="C25157" t="inlineStr">
        <is>
          <t>1968-09-25</t>
        </is>
      </c>
    </row>
    <row r="25158">
      <c r="A25158" s="1" t="n">
        <v>25157</v>
      </c>
      <c r="B25158">
        <f>TEXT(25157, "[$-0E0000]yyyy-mm-dd")</f>
        <v/>
      </c>
      <c r="C25158" t="inlineStr">
        <is>
          <t>1968-09-26</t>
        </is>
      </c>
    </row>
    <row r="25159">
      <c r="A25159" s="1" t="n">
        <v>25158</v>
      </c>
      <c r="B25159">
        <f>TEXT(25158, "[$-0E0000]yyyy-mm-dd")</f>
        <v/>
      </c>
      <c r="C25159" t="inlineStr">
        <is>
          <t>1968-09-27</t>
        </is>
      </c>
    </row>
    <row r="25160">
      <c r="A25160" s="1" t="n">
        <v>25159</v>
      </c>
      <c r="B25160">
        <f>TEXT(25159, "[$-0E0000]yyyy-mm-dd")</f>
        <v/>
      </c>
      <c r="C25160" t="inlineStr">
        <is>
          <t>1968-09-28</t>
        </is>
      </c>
    </row>
    <row r="25161">
      <c r="A25161" s="1" t="n">
        <v>25160</v>
      </c>
      <c r="B25161">
        <f>TEXT(25160, "[$-0E0000]yyyy-mm-dd")</f>
        <v/>
      </c>
      <c r="C25161" t="inlineStr">
        <is>
          <t>1968-09-29</t>
        </is>
      </c>
    </row>
    <row r="25162">
      <c r="A25162" s="1" t="n">
        <v>25161</v>
      </c>
      <c r="B25162">
        <f>TEXT(25161, "[$-0E0000]yyyy-mm-dd")</f>
        <v/>
      </c>
      <c r="C25162" t="inlineStr">
        <is>
          <t>1968-10-01</t>
        </is>
      </c>
    </row>
    <row r="25163">
      <c r="A25163" s="1" t="n">
        <v>25162</v>
      </c>
      <c r="B25163">
        <f>TEXT(25162, "[$-0E0000]yyyy-mm-dd")</f>
        <v/>
      </c>
      <c r="C25163" t="inlineStr">
        <is>
          <t>1968-10-02</t>
        </is>
      </c>
    </row>
    <row r="25164">
      <c r="A25164" s="1" t="n">
        <v>25163</v>
      </c>
      <c r="B25164">
        <f>TEXT(25163, "[$-0E0000]yyyy-mm-dd")</f>
        <v/>
      </c>
      <c r="C25164" t="inlineStr">
        <is>
          <t>1968-10-03</t>
        </is>
      </c>
    </row>
    <row r="25165">
      <c r="A25165" s="1" t="n">
        <v>25164</v>
      </c>
      <c r="B25165">
        <f>TEXT(25164, "[$-0E0000]yyyy-mm-dd")</f>
        <v/>
      </c>
      <c r="C25165" t="inlineStr">
        <is>
          <t>1968-10-04</t>
        </is>
      </c>
    </row>
    <row r="25166">
      <c r="A25166" s="1" t="n">
        <v>25165</v>
      </c>
      <c r="B25166">
        <f>TEXT(25165, "[$-0E0000]yyyy-mm-dd")</f>
        <v/>
      </c>
      <c r="C25166" t="inlineStr">
        <is>
          <t>1968-10-05</t>
        </is>
      </c>
    </row>
    <row r="25167">
      <c r="A25167" s="1" t="n">
        <v>25166</v>
      </c>
      <c r="B25167">
        <f>TEXT(25166, "[$-0E0000]yyyy-mm-dd")</f>
        <v/>
      </c>
      <c r="C25167" t="inlineStr">
        <is>
          <t>1968-10-06</t>
        </is>
      </c>
    </row>
    <row r="25168">
      <c r="A25168" s="1" t="n">
        <v>25167</v>
      </c>
      <c r="B25168">
        <f>TEXT(25167, "[$-0E0000]yyyy-mm-dd")</f>
        <v/>
      </c>
      <c r="C25168" t="inlineStr">
        <is>
          <t>1968-10-07</t>
        </is>
      </c>
    </row>
    <row r="25169">
      <c r="A25169" s="1" t="n">
        <v>25168</v>
      </c>
      <c r="B25169">
        <f>TEXT(25168, "[$-0E0000]yyyy-mm-dd")</f>
        <v/>
      </c>
      <c r="C25169" t="inlineStr">
        <is>
          <t>1968-10-08</t>
        </is>
      </c>
    </row>
    <row r="25170">
      <c r="A25170" s="1" t="n">
        <v>25169</v>
      </c>
      <c r="B25170">
        <f>TEXT(25169, "[$-0E0000]yyyy-mm-dd")</f>
        <v/>
      </c>
      <c r="C25170" t="inlineStr">
        <is>
          <t>1968-10-09</t>
        </is>
      </c>
    </row>
    <row r="25171">
      <c r="A25171" s="1" t="n">
        <v>25170</v>
      </c>
      <c r="B25171">
        <f>TEXT(25170, "[$-0E0000]yyyy-mm-dd")</f>
        <v/>
      </c>
      <c r="C25171" t="inlineStr">
        <is>
          <t>1968-10-10</t>
        </is>
      </c>
    </row>
    <row r="25172">
      <c r="A25172" s="1" t="n">
        <v>25171</v>
      </c>
      <c r="B25172">
        <f>TEXT(25171, "[$-0E0000]yyyy-mm-dd")</f>
        <v/>
      </c>
      <c r="C25172" t="inlineStr">
        <is>
          <t>1968-10-11</t>
        </is>
      </c>
    </row>
    <row r="25173">
      <c r="A25173" s="1" t="n">
        <v>25172</v>
      </c>
      <c r="B25173">
        <f>TEXT(25172, "[$-0E0000]yyyy-mm-dd")</f>
        <v/>
      </c>
      <c r="C25173" t="inlineStr">
        <is>
          <t>1968-10-12</t>
        </is>
      </c>
    </row>
    <row r="25174">
      <c r="A25174" s="1" t="n">
        <v>25173</v>
      </c>
      <c r="B25174">
        <f>TEXT(25173, "[$-0E0000]yyyy-mm-dd")</f>
        <v/>
      </c>
      <c r="C25174" t="inlineStr">
        <is>
          <t>1968-10-13</t>
        </is>
      </c>
    </row>
    <row r="25175">
      <c r="A25175" s="1" t="n">
        <v>25174</v>
      </c>
      <c r="B25175">
        <f>TEXT(25174, "[$-0E0000]yyyy-mm-dd")</f>
        <v/>
      </c>
      <c r="C25175" t="inlineStr">
        <is>
          <t>1968-10-14</t>
        </is>
      </c>
    </row>
    <row r="25176">
      <c r="A25176" s="1" t="n">
        <v>25175</v>
      </c>
      <c r="B25176">
        <f>TEXT(25175, "[$-0E0000]yyyy-mm-dd")</f>
        <v/>
      </c>
      <c r="C25176" t="inlineStr">
        <is>
          <t>1968-10-15</t>
        </is>
      </c>
    </row>
    <row r="25177">
      <c r="A25177" s="1" t="n">
        <v>25176</v>
      </c>
      <c r="B25177">
        <f>TEXT(25176, "[$-0E0000]yyyy-mm-dd")</f>
        <v/>
      </c>
      <c r="C25177" t="inlineStr">
        <is>
          <t>1968-10-16</t>
        </is>
      </c>
    </row>
    <row r="25178">
      <c r="A25178" s="1" t="n">
        <v>25177</v>
      </c>
      <c r="B25178">
        <f>TEXT(25177, "[$-0E0000]yyyy-mm-dd")</f>
        <v/>
      </c>
      <c r="C25178" t="inlineStr">
        <is>
          <t>1968-10-17</t>
        </is>
      </c>
    </row>
    <row r="25179">
      <c r="A25179" s="1" t="n">
        <v>25178</v>
      </c>
      <c r="B25179">
        <f>TEXT(25178, "[$-0E0000]yyyy-mm-dd")</f>
        <v/>
      </c>
      <c r="C25179" t="inlineStr">
        <is>
          <t>1968-10-18</t>
        </is>
      </c>
    </row>
    <row r="25180">
      <c r="A25180" s="1" t="n">
        <v>25179</v>
      </c>
      <c r="B25180">
        <f>TEXT(25179, "[$-0E0000]yyyy-mm-dd")</f>
        <v/>
      </c>
      <c r="C25180" t="inlineStr">
        <is>
          <t>1968-10-19</t>
        </is>
      </c>
    </row>
    <row r="25181">
      <c r="A25181" s="1" t="n">
        <v>25180</v>
      </c>
      <c r="B25181">
        <f>TEXT(25180, "[$-0E0000]yyyy-mm-dd")</f>
        <v/>
      </c>
      <c r="C25181" t="inlineStr">
        <is>
          <t>1968-10-20</t>
        </is>
      </c>
    </row>
    <row r="25182">
      <c r="A25182" s="1" t="n">
        <v>25181</v>
      </c>
      <c r="B25182">
        <f>TEXT(25181, "[$-0E0000]yyyy-mm-dd")</f>
        <v/>
      </c>
      <c r="C25182" t="inlineStr">
        <is>
          <t>1968-10-21</t>
        </is>
      </c>
    </row>
    <row r="25183">
      <c r="A25183" s="1" t="n">
        <v>25182</v>
      </c>
      <c r="B25183">
        <f>TEXT(25182, "[$-0E0000]yyyy-mm-dd")</f>
        <v/>
      </c>
      <c r="C25183" t="inlineStr">
        <is>
          <t>1968-10-22</t>
        </is>
      </c>
    </row>
    <row r="25184">
      <c r="A25184" s="1" t="n">
        <v>25183</v>
      </c>
      <c r="B25184">
        <f>TEXT(25183, "[$-0E0000]yyyy-mm-dd")</f>
        <v/>
      </c>
      <c r="C25184" t="inlineStr">
        <is>
          <t>1968-10-23</t>
        </is>
      </c>
    </row>
    <row r="25185">
      <c r="A25185" s="1" t="n">
        <v>25184</v>
      </c>
      <c r="B25185">
        <f>TEXT(25184, "[$-0E0000]yyyy-mm-dd")</f>
        <v/>
      </c>
      <c r="C25185" t="inlineStr">
        <is>
          <t>1968-10-24</t>
        </is>
      </c>
    </row>
    <row r="25186">
      <c r="A25186" s="1" t="n">
        <v>25185</v>
      </c>
      <c r="B25186">
        <f>TEXT(25185, "[$-0E0000]yyyy-mm-dd")</f>
        <v/>
      </c>
      <c r="C25186" t="inlineStr">
        <is>
          <t>1968-10-25</t>
        </is>
      </c>
    </row>
    <row r="25187">
      <c r="A25187" s="1" t="n">
        <v>25186</v>
      </c>
      <c r="B25187">
        <f>TEXT(25186, "[$-0E0000]yyyy-mm-dd")</f>
        <v/>
      </c>
      <c r="C25187" t="inlineStr">
        <is>
          <t>1968-10-26</t>
        </is>
      </c>
    </row>
    <row r="25188">
      <c r="A25188" s="1" t="n">
        <v>25187</v>
      </c>
      <c r="B25188">
        <f>TEXT(25187, "[$-0E0000]yyyy-mm-dd")</f>
        <v/>
      </c>
      <c r="C25188" t="inlineStr">
        <is>
          <t>1968-10-27</t>
        </is>
      </c>
    </row>
    <row r="25189">
      <c r="A25189" s="1" t="n">
        <v>25188</v>
      </c>
      <c r="B25189">
        <f>TEXT(25188, "[$-0E0000]yyyy-mm-dd")</f>
        <v/>
      </c>
      <c r="C25189" t="inlineStr">
        <is>
          <t>1968-10-28</t>
        </is>
      </c>
    </row>
    <row r="25190">
      <c r="A25190" s="1" t="n">
        <v>25189</v>
      </c>
      <c r="B25190">
        <f>TEXT(25189, "[$-0E0000]yyyy-mm-dd")</f>
        <v/>
      </c>
      <c r="C25190" t="inlineStr">
        <is>
          <t>1968-10-29</t>
        </is>
      </c>
    </row>
    <row r="25191">
      <c r="A25191" s="1" t="n">
        <v>25190</v>
      </c>
      <c r="B25191">
        <f>TEXT(25190, "[$-0E0000]yyyy-mm-dd")</f>
        <v/>
      </c>
      <c r="C25191" t="inlineStr">
        <is>
          <t>1968-10-30</t>
        </is>
      </c>
    </row>
    <row r="25192">
      <c r="A25192" s="1" t="n">
        <v>25191</v>
      </c>
      <c r="B25192">
        <f>TEXT(25191, "[$-0E0000]yyyy-mm-dd")</f>
        <v/>
      </c>
      <c r="C25192" t="inlineStr">
        <is>
          <t>1968-11-01</t>
        </is>
      </c>
    </row>
    <row r="25193">
      <c r="A25193" s="1" t="n">
        <v>25192</v>
      </c>
      <c r="B25193">
        <f>TEXT(25192, "[$-0E0000]yyyy-mm-dd")</f>
        <v/>
      </c>
      <c r="C25193" t="inlineStr">
        <is>
          <t>1968-11-02</t>
        </is>
      </c>
    </row>
    <row r="25194">
      <c r="A25194" s="1" t="n">
        <v>25193</v>
      </c>
      <c r="B25194">
        <f>TEXT(25193, "[$-0E0000]yyyy-mm-dd")</f>
        <v/>
      </c>
      <c r="C25194" t="inlineStr">
        <is>
          <t>1968-11-03</t>
        </is>
      </c>
    </row>
    <row r="25195">
      <c r="A25195" s="1" t="n">
        <v>25194</v>
      </c>
      <c r="B25195">
        <f>TEXT(25194, "[$-0E0000]yyyy-mm-dd")</f>
        <v/>
      </c>
      <c r="C25195" t="inlineStr">
        <is>
          <t>1968-11-04</t>
        </is>
      </c>
    </row>
    <row r="25196">
      <c r="A25196" s="1" t="n">
        <v>25195</v>
      </c>
      <c r="B25196">
        <f>TEXT(25195, "[$-0E0000]yyyy-mm-dd")</f>
        <v/>
      </c>
      <c r="C25196" t="inlineStr">
        <is>
          <t>1968-11-05</t>
        </is>
      </c>
    </row>
    <row r="25197">
      <c r="A25197" s="1" t="n">
        <v>25196</v>
      </c>
      <c r="B25197">
        <f>TEXT(25196, "[$-0E0000]yyyy-mm-dd")</f>
        <v/>
      </c>
      <c r="C25197" t="inlineStr">
        <is>
          <t>1968-11-06</t>
        </is>
      </c>
    </row>
    <row r="25198">
      <c r="A25198" s="1" t="n">
        <v>25197</v>
      </c>
      <c r="B25198">
        <f>TEXT(25197, "[$-0E0000]yyyy-mm-dd")</f>
        <v/>
      </c>
      <c r="C25198" t="inlineStr">
        <is>
          <t>1968-11-07</t>
        </is>
      </c>
    </row>
    <row r="25199">
      <c r="A25199" s="1" t="n">
        <v>25198</v>
      </c>
      <c r="B25199">
        <f>TEXT(25198, "[$-0E0000]yyyy-mm-dd")</f>
        <v/>
      </c>
      <c r="C25199" t="inlineStr">
        <is>
          <t>1968-11-08</t>
        </is>
      </c>
    </row>
    <row r="25200">
      <c r="A25200" s="1" t="n">
        <v>25199</v>
      </c>
      <c r="B25200">
        <f>TEXT(25199, "[$-0E0000]yyyy-mm-dd")</f>
        <v/>
      </c>
      <c r="C25200" t="inlineStr">
        <is>
          <t>1968-11-09</t>
        </is>
      </c>
    </row>
    <row r="25201">
      <c r="A25201" s="1" t="n">
        <v>25200</v>
      </c>
      <c r="B25201">
        <f>TEXT(25200, "[$-0E0000]yyyy-mm-dd")</f>
        <v/>
      </c>
      <c r="C25201" t="inlineStr">
        <is>
          <t>1968-11-10</t>
        </is>
      </c>
    </row>
    <row r="25202">
      <c r="A25202" s="1" t="n">
        <v>25201</v>
      </c>
      <c r="B25202">
        <f>TEXT(25201, "[$-0E0000]yyyy-mm-dd")</f>
        <v/>
      </c>
      <c r="C25202" t="inlineStr">
        <is>
          <t>1968-11-11</t>
        </is>
      </c>
    </row>
    <row r="25203">
      <c r="A25203" s="1" t="n">
        <v>25202</v>
      </c>
      <c r="B25203">
        <f>TEXT(25202, "[$-0E0000]yyyy-mm-dd")</f>
        <v/>
      </c>
      <c r="C25203" t="inlineStr">
        <is>
          <t>1968-11-12</t>
        </is>
      </c>
    </row>
    <row r="25204">
      <c r="A25204" s="1" t="n">
        <v>25203</v>
      </c>
      <c r="B25204">
        <f>TEXT(25203, "[$-0E0000]yyyy-mm-dd")</f>
        <v/>
      </c>
      <c r="C25204" t="inlineStr">
        <is>
          <t>1968-11-13</t>
        </is>
      </c>
    </row>
    <row r="25205">
      <c r="A25205" s="1" t="n">
        <v>25204</v>
      </c>
      <c r="B25205">
        <f>TEXT(25204, "[$-0E0000]yyyy-mm-dd")</f>
        <v/>
      </c>
      <c r="C25205" t="inlineStr">
        <is>
          <t>1968-11-14</t>
        </is>
      </c>
    </row>
    <row r="25206">
      <c r="A25206" s="1" t="n">
        <v>25205</v>
      </c>
      <c r="B25206">
        <f>TEXT(25205, "[$-0E0000]yyyy-mm-dd")</f>
        <v/>
      </c>
      <c r="C25206" t="inlineStr">
        <is>
          <t>1968-11-15</t>
        </is>
      </c>
    </row>
    <row r="25207">
      <c r="A25207" s="1" t="n">
        <v>25206</v>
      </c>
      <c r="B25207">
        <f>TEXT(25206, "[$-0E0000]yyyy-mm-dd")</f>
        <v/>
      </c>
      <c r="C25207" t="inlineStr">
        <is>
          <t>1968-11-16</t>
        </is>
      </c>
    </row>
    <row r="25208">
      <c r="A25208" s="1" t="n">
        <v>25207</v>
      </c>
      <c r="B25208">
        <f>TEXT(25207, "[$-0E0000]yyyy-mm-dd")</f>
        <v/>
      </c>
      <c r="C25208" t="inlineStr">
        <is>
          <t>1968-11-17</t>
        </is>
      </c>
    </row>
    <row r="25209">
      <c r="A25209" s="1" t="n">
        <v>25208</v>
      </c>
      <c r="B25209">
        <f>TEXT(25208, "[$-0E0000]yyyy-mm-dd")</f>
        <v/>
      </c>
      <c r="C25209" t="inlineStr">
        <is>
          <t>1968-11-18</t>
        </is>
      </c>
    </row>
    <row r="25210">
      <c r="A25210" s="1" t="n">
        <v>25209</v>
      </c>
      <c r="B25210">
        <f>TEXT(25209, "[$-0E0000]yyyy-mm-dd")</f>
        <v/>
      </c>
      <c r="C25210" t="inlineStr">
        <is>
          <t>1968-11-19</t>
        </is>
      </c>
    </row>
    <row r="25211">
      <c r="A25211" s="1" t="n">
        <v>25210</v>
      </c>
      <c r="B25211">
        <f>TEXT(25210, "[$-0E0000]yyyy-mm-dd")</f>
        <v/>
      </c>
      <c r="C25211" t="inlineStr">
        <is>
          <t>1968-11-20</t>
        </is>
      </c>
    </row>
    <row r="25212">
      <c r="A25212" s="1" t="n">
        <v>25211</v>
      </c>
      <c r="B25212">
        <f>TEXT(25211, "[$-0E0000]yyyy-mm-dd")</f>
        <v/>
      </c>
      <c r="C25212" t="inlineStr">
        <is>
          <t>1968-11-21</t>
        </is>
      </c>
    </row>
    <row r="25213">
      <c r="A25213" s="1" t="n">
        <v>25212</v>
      </c>
      <c r="B25213">
        <f>TEXT(25212, "[$-0E0000]yyyy-mm-dd")</f>
        <v/>
      </c>
      <c r="C25213" t="inlineStr">
        <is>
          <t>1968-11-22</t>
        </is>
      </c>
    </row>
    <row r="25214">
      <c r="A25214" s="1" t="n">
        <v>25213</v>
      </c>
      <c r="B25214">
        <f>TEXT(25213, "[$-0E0000]yyyy-mm-dd")</f>
        <v/>
      </c>
      <c r="C25214" t="inlineStr">
        <is>
          <t>1968-11-23</t>
        </is>
      </c>
    </row>
    <row r="25215">
      <c r="A25215" s="1" t="n">
        <v>25214</v>
      </c>
      <c r="B25215">
        <f>TEXT(25214, "[$-0E0000]yyyy-mm-dd")</f>
        <v/>
      </c>
      <c r="C25215" t="inlineStr">
        <is>
          <t>1968-11-24</t>
        </is>
      </c>
    </row>
    <row r="25216">
      <c r="A25216" s="1" t="n">
        <v>25215</v>
      </c>
      <c r="B25216">
        <f>TEXT(25215, "[$-0E0000]yyyy-mm-dd")</f>
        <v/>
      </c>
      <c r="C25216" t="inlineStr">
        <is>
          <t>1968-11-25</t>
        </is>
      </c>
    </row>
    <row r="25217">
      <c r="A25217" s="1" t="n">
        <v>25216</v>
      </c>
      <c r="B25217">
        <f>TEXT(25216, "[$-0E0000]yyyy-mm-dd")</f>
        <v/>
      </c>
      <c r="C25217" t="inlineStr">
        <is>
          <t>1968-11-26</t>
        </is>
      </c>
    </row>
    <row r="25218">
      <c r="A25218" s="1" t="n">
        <v>25217</v>
      </c>
      <c r="B25218">
        <f>TEXT(25217, "[$-0E0000]yyyy-mm-dd")</f>
        <v/>
      </c>
      <c r="C25218" t="inlineStr">
        <is>
          <t>1968-11-27</t>
        </is>
      </c>
    </row>
    <row r="25219">
      <c r="A25219" s="1" t="n">
        <v>25218</v>
      </c>
      <c r="B25219">
        <f>TEXT(25218, "[$-0E0000]yyyy-mm-dd")</f>
        <v/>
      </c>
      <c r="C25219" t="inlineStr">
        <is>
          <t>1968-11-28</t>
        </is>
      </c>
    </row>
    <row r="25220">
      <c r="A25220" s="1" t="n">
        <v>25219</v>
      </c>
      <c r="B25220">
        <f>TEXT(25219, "[$-0E0000]yyyy-mm-dd")</f>
        <v/>
      </c>
      <c r="C25220" t="inlineStr">
        <is>
          <t>1968-11-29</t>
        </is>
      </c>
    </row>
    <row r="25221">
      <c r="A25221" s="1" t="n">
        <v>25220</v>
      </c>
      <c r="B25221">
        <f>TEXT(25220, "[$-0E0000]yyyy-mm-dd")</f>
        <v/>
      </c>
      <c r="C25221" t="inlineStr">
        <is>
          <t>1968-12-01</t>
        </is>
      </c>
    </row>
    <row r="25222">
      <c r="A25222" s="1" t="n">
        <v>25221</v>
      </c>
      <c r="B25222">
        <f>TEXT(25221, "[$-0E0000]yyyy-mm-dd")</f>
        <v/>
      </c>
      <c r="C25222" t="inlineStr">
        <is>
          <t>1968-12-02</t>
        </is>
      </c>
    </row>
    <row r="25223">
      <c r="A25223" s="1" t="n">
        <v>25222</v>
      </c>
      <c r="B25223">
        <f>TEXT(25222, "[$-0E0000]yyyy-mm-dd")</f>
        <v/>
      </c>
      <c r="C25223" t="inlineStr">
        <is>
          <t>1968-12-03</t>
        </is>
      </c>
    </row>
    <row r="25224">
      <c r="A25224" s="1" t="n">
        <v>25223</v>
      </c>
      <c r="B25224">
        <f>TEXT(25223, "[$-0E0000]yyyy-mm-dd")</f>
        <v/>
      </c>
      <c r="C25224" t="inlineStr">
        <is>
          <t>1968-12-04</t>
        </is>
      </c>
    </row>
    <row r="25225">
      <c r="A25225" s="1" t="n">
        <v>25224</v>
      </c>
      <c r="B25225">
        <f>TEXT(25224, "[$-0E0000]yyyy-mm-dd")</f>
        <v/>
      </c>
      <c r="C25225" t="inlineStr">
        <is>
          <t>1968-12-05</t>
        </is>
      </c>
    </row>
    <row r="25226">
      <c r="A25226" s="1" t="n">
        <v>25225</v>
      </c>
      <c r="B25226">
        <f>TEXT(25225, "[$-0E0000]yyyy-mm-dd")</f>
        <v/>
      </c>
      <c r="C25226" t="inlineStr">
        <is>
          <t>1968-12-06</t>
        </is>
      </c>
    </row>
    <row r="25227">
      <c r="A25227" s="1" t="n">
        <v>25226</v>
      </c>
      <c r="B25227">
        <f>TEXT(25226, "[$-0E0000]yyyy-mm-dd")</f>
        <v/>
      </c>
      <c r="C25227" t="inlineStr">
        <is>
          <t>1968-12-07</t>
        </is>
      </c>
    </row>
    <row r="25228">
      <c r="A25228" s="1" t="n">
        <v>25227</v>
      </c>
      <c r="B25228">
        <f>TEXT(25227, "[$-0E0000]yyyy-mm-dd")</f>
        <v/>
      </c>
      <c r="C25228" t="inlineStr">
        <is>
          <t>1968-12-08</t>
        </is>
      </c>
    </row>
    <row r="25229">
      <c r="A25229" s="1" t="n">
        <v>25228</v>
      </c>
      <c r="B25229">
        <f>TEXT(25228, "[$-0E0000]yyyy-mm-dd")</f>
        <v/>
      </c>
      <c r="C25229" t="inlineStr">
        <is>
          <t>1968-12-09</t>
        </is>
      </c>
    </row>
    <row r="25230">
      <c r="A25230" s="1" t="n">
        <v>25229</v>
      </c>
      <c r="B25230">
        <f>TEXT(25229, "[$-0E0000]yyyy-mm-dd")</f>
        <v/>
      </c>
      <c r="C25230" t="inlineStr">
        <is>
          <t>1968-12-10</t>
        </is>
      </c>
    </row>
    <row r="25231">
      <c r="A25231" s="1" t="n">
        <v>25230</v>
      </c>
      <c r="B25231">
        <f>TEXT(25230, "[$-0E0000]yyyy-mm-dd")</f>
        <v/>
      </c>
      <c r="C25231" t="inlineStr">
        <is>
          <t>1968-12-11</t>
        </is>
      </c>
    </row>
    <row r="25232">
      <c r="A25232" s="1" t="n">
        <v>25231</v>
      </c>
      <c r="B25232">
        <f>TEXT(25231, "[$-0E0000]yyyy-mm-dd")</f>
        <v/>
      </c>
      <c r="C25232" t="inlineStr">
        <is>
          <t>1968-12-12</t>
        </is>
      </c>
    </row>
    <row r="25233">
      <c r="A25233" s="1" t="n">
        <v>25232</v>
      </c>
      <c r="B25233">
        <f>TEXT(25232, "[$-0E0000]yyyy-mm-dd")</f>
        <v/>
      </c>
      <c r="C25233" t="inlineStr">
        <is>
          <t>1968-12-13</t>
        </is>
      </c>
    </row>
    <row r="25234">
      <c r="A25234" s="1" t="n">
        <v>25233</v>
      </c>
      <c r="B25234">
        <f>TEXT(25233, "[$-0E0000]yyyy-mm-dd")</f>
        <v/>
      </c>
      <c r="C25234" t="inlineStr">
        <is>
          <t>1968-12-14</t>
        </is>
      </c>
    </row>
    <row r="25235">
      <c r="A25235" s="1" t="n">
        <v>25234</v>
      </c>
      <c r="B25235">
        <f>TEXT(25234, "[$-0E0000]yyyy-mm-dd")</f>
        <v/>
      </c>
      <c r="C25235" t="inlineStr">
        <is>
          <t>1968-12-15</t>
        </is>
      </c>
    </row>
    <row r="25236">
      <c r="A25236" s="1" t="n">
        <v>25235</v>
      </c>
      <c r="B25236">
        <f>TEXT(25235, "[$-0E0000]yyyy-mm-dd")</f>
        <v/>
      </c>
      <c r="C25236" t="inlineStr">
        <is>
          <t>1968-12-16</t>
        </is>
      </c>
    </row>
    <row r="25237">
      <c r="A25237" s="1" t="n">
        <v>25236</v>
      </c>
      <c r="B25237">
        <f>TEXT(25236, "[$-0E0000]yyyy-mm-dd")</f>
        <v/>
      </c>
      <c r="C25237" t="inlineStr">
        <is>
          <t>1968-12-17</t>
        </is>
      </c>
    </row>
    <row r="25238">
      <c r="A25238" s="1" t="n">
        <v>25237</v>
      </c>
      <c r="B25238">
        <f>TEXT(25237, "[$-0E0000]yyyy-mm-dd")</f>
        <v/>
      </c>
      <c r="C25238" t="inlineStr">
        <is>
          <t>1968-12-18</t>
        </is>
      </c>
    </row>
    <row r="25239">
      <c r="A25239" s="1" t="n">
        <v>25238</v>
      </c>
      <c r="B25239">
        <f>TEXT(25238, "[$-0E0000]yyyy-mm-dd")</f>
        <v/>
      </c>
      <c r="C25239" t="inlineStr">
        <is>
          <t>1968-12-19</t>
        </is>
      </c>
    </row>
    <row r="25240">
      <c r="A25240" s="1" t="n">
        <v>25239</v>
      </c>
      <c r="B25240">
        <f>TEXT(25239, "[$-0E0000]yyyy-mm-dd")</f>
        <v/>
      </c>
      <c r="C25240" t="inlineStr">
        <is>
          <t>1968-12-20</t>
        </is>
      </c>
    </row>
    <row r="25241">
      <c r="A25241" s="1" t="n">
        <v>25240</v>
      </c>
      <c r="B25241">
        <f>TEXT(25240, "[$-0E0000]yyyy-mm-dd")</f>
        <v/>
      </c>
      <c r="C25241" t="inlineStr">
        <is>
          <t>1968-12-21</t>
        </is>
      </c>
    </row>
    <row r="25242">
      <c r="A25242" s="1" t="n">
        <v>25241</v>
      </c>
      <c r="B25242">
        <f>TEXT(25241, "[$-0E0000]yyyy-mm-dd")</f>
        <v/>
      </c>
      <c r="C25242" t="inlineStr">
        <is>
          <t>1968-12-22</t>
        </is>
      </c>
    </row>
    <row r="25243">
      <c r="A25243" s="1" t="n">
        <v>25242</v>
      </c>
      <c r="B25243">
        <f>TEXT(25242, "[$-0E0000]yyyy-mm-dd")</f>
        <v/>
      </c>
      <c r="C25243" t="inlineStr">
        <is>
          <t>1968-12-23</t>
        </is>
      </c>
    </row>
    <row r="25244">
      <c r="A25244" s="1" t="n">
        <v>25243</v>
      </c>
      <c r="B25244">
        <f>TEXT(25243, "[$-0E0000]yyyy-mm-dd")</f>
        <v/>
      </c>
      <c r="C25244" t="inlineStr">
        <is>
          <t>1968-12-24</t>
        </is>
      </c>
    </row>
    <row r="25245">
      <c r="A25245" s="1" t="n">
        <v>25244</v>
      </c>
      <c r="B25245">
        <f>TEXT(25244, "[$-0E0000]yyyy-mm-dd")</f>
        <v/>
      </c>
      <c r="C25245" t="inlineStr">
        <is>
          <t>1968-12-25</t>
        </is>
      </c>
    </row>
    <row r="25246">
      <c r="A25246" s="1" t="n">
        <v>25245</v>
      </c>
      <c r="B25246">
        <f>TEXT(25245, "[$-0E0000]yyyy-mm-dd")</f>
        <v/>
      </c>
      <c r="C25246" t="inlineStr">
        <is>
          <t>1968-12-26</t>
        </is>
      </c>
    </row>
    <row r="25247">
      <c r="A25247" s="1" t="n">
        <v>25246</v>
      </c>
      <c r="B25247">
        <f>TEXT(25246, "[$-0E0000]yyyy-mm-dd")</f>
        <v/>
      </c>
      <c r="C25247" t="inlineStr">
        <is>
          <t>1968-12-27</t>
        </is>
      </c>
    </row>
    <row r="25248">
      <c r="A25248" s="1" t="n">
        <v>25247</v>
      </c>
      <c r="B25248">
        <f>TEXT(25247, "[$-0E0000]yyyy-mm-dd")</f>
        <v/>
      </c>
      <c r="C25248" t="inlineStr">
        <is>
          <t>1968-12-28</t>
        </is>
      </c>
    </row>
    <row r="25249">
      <c r="A25249" s="1" t="n">
        <v>25248</v>
      </c>
      <c r="B25249">
        <f>TEXT(25248, "[$-0E0000]yyyy-mm-dd")</f>
        <v/>
      </c>
      <c r="C25249" t="inlineStr">
        <is>
          <t>1968-12-29</t>
        </is>
      </c>
    </row>
    <row r="25250">
      <c r="A25250" s="1" t="n">
        <v>25249</v>
      </c>
      <c r="B25250">
        <f>TEXT(25249, "[$-0E0000]yyyy-mm-dd")</f>
        <v/>
      </c>
      <c r="C25250" t="inlineStr">
        <is>
          <t>1968-12-30</t>
        </is>
      </c>
    </row>
    <row r="25251">
      <c r="A25251" s="1" t="n">
        <v>25250</v>
      </c>
      <c r="B25251">
        <f>TEXT(25250, "[$-0E0000]yyyy-mm-dd")</f>
        <v/>
      </c>
      <c r="C25251" t="inlineStr">
        <is>
          <t>1969-01-01</t>
        </is>
      </c>
    </row>
    <row r="25252">
      <c r="A25252" s="1" t="n">
        <v>25251</v>
      </c>
      <c r="B25252">
        <f>TEXT(25251, "[$-0E0000]yyyy-mm-dd")</f>
        <v/>
      </c>
      <c r="C25252" t="inlineStr">
        <is>
          <t>1969-01-02</t>
        </is>
      </c>
    </row>
    <row r="25253">
      <c r="A25253" s="1" t="n">
        <v>25252</v>
      </c>
      <c r="B25253">
        <f>TEXT(25252, "[$-0E0000]yyyy-mm-dd")</f>
        <v/>
      </c>
      <c r="C25253" t="inlineStr">
        <is>
          <t>1969-01-03</t>
        </is>
      </c>
    </row>
    <row r="25254">
      <c r="A25254" s="1" t="n">
        <v>25253</v>
      </c>
      <c r="B25254">
        <f>TEXT(25253, "[$-0E0000]yyyy-mm-dd")</f>
        <v/>
      </c>
      <c r="C25254" t="inlineStr">
        <is>
          <t>1969-01-04</t>
        </is>
      </c>
    </row>
    <row r="25255">
      <c r="A25255" s="1" t="n">
        <v>25254</v>
      </c>
      <c r="B25255">
        <f>TEXT(25254, "[$-0E0000]yyyy-mm-dd")</f>
        <v/>
      </c>
      <c r="C25255" t="inlineStr">
        <is>
          <t>1969-01-05</t>
        </is>
      </c>
    </row>
    <row r="25256">
      <c r="A25256" s="1" t="n">
        <v>25255</v>
      </c>
      <c r="B25256">
        <f>TEXT(25255, "[$-0E0000]yyyy-mm-dd")</f>
        <v/>
      </c>
      <c r="C25256" t="inlineStr">
        <is>
          <t>1969-01-06</t>
        </is>
      </c>
    </row>
    <row r="25257">
      <c r="A25257" s="1" t="n">
        <v>25256</v>
      </c>
      <c r="B25257">
        <f>TEXT(25256, "[$-0E0000]yyyy-mm-dd")</f>
        <v/>
      </c>
      <c r="C25257" t="inlineStr">
        <is>
          <t>1969-01-07</t>
        </is>
      </c>
    </row>
    <row r="25258">
      <c r="A25258" s="1" t="n">
        <v>25257</v>
      </c>
      <c r="B25258">
        <f>TEXT(25257, "[$-0E0000]yyyy-mm-dd")</f>
        <v/>
      </c>
      <c r="C25258" t="inlineStr">
        <is>
          <t>1969-01-08</t>
        </is>
      </c>
    </row>
    <row r="25259">
      <c r="A25259" s="1" t="n">
        <v>25258</v>
      </c>
      <c r="B25259">
        <f>TEXT(25258, "[$-0E0000]yyyy-mm-dd")</f>
        <v/>
      </c>
      <c r="C25259" t="inlineStr">
        <is>
          <t>1969-01-09</t>
        </is>
      </c>
    </row>
    <row r="25260">
      <c r="A25260" s="1" t="n">
        <v>25259</v>
      </c>
      <c r="B25260">
        <f>TEXT(25259, "[$-0E0000]yyyy-mm-dd")</f>
        <v/>
      </c>
      <c r="C25260" t="inlineStr">
        <is>
          <t>1969-01-10</t>
        </is>
      </c>
    </row>
    <row r="25261">
      <c r="A25261" s="1" t="n">
        <v>25260</v>
      </c>
      <c r="B25261">
        <f>TEXT(25260, "[$-0E0000]yyyy-mm-dd")</f>
        <v/>
      </c>
      <c r="C25261" t="inlineStr">
        <is>
          <t>1969-01-11</t>
        </is>
      </c>
    </row>
    <row r="25262">
      <c r="A25262" s="1" t="n">
        <v>25261</v>
      </c>
      <c r="B25262">
        <f>TEXT(25261, "[$-0E0000]yyyy-mm-dd")</f>
        <v/>
      </c>
      <c r="C25262" t="inlineStr">
        <is>
          <t>1969-01-12</t>
        </is>
      </c>
    </row>
    <row r="25263">
      <c r="A25263" s="1" t="n">
        <v>25262</v>
      </c>
      <c r="B25263">
        <f>TEXT(25262, "[$-0E0000]yyyy-mm-dd")</f>
        <v/>
      </c>
      <c r="C25263" t="inlineStr">
        <is>
          <t>1969-01-13</t>
        </is>
      </c>
    </row>
    <row r="25264">
      <c r="A25264" s="1" t="n">
        <v>25263</v>
      </c>
      <c r="B25264">
        <f>TEXT(25263, "[$-0E0000]yyyy-mm-dd")</f>
        <v/>
      </c>
      <c r="C25264" t="inlineStr">
        <is>
          <t>1969-01-14</t>
        </is>
      </c>
    </row>
    <row r="25265">
      <c r="A25265" s="1" t="n">
        <v>25264</v>
      </c>
      <c r="B25265">
        <f>TEXT(25264, "[$-0E0000]yyyy-mm-dd")</f>
        <v/>
      </c>
      <c r="C25265" t="inlineStr">
        <is>
          <t>1969-01-15</t>
        </is>
      </c>
    </row>
    <row r="25266">
      <c r="A25266" s="1" t="n">
        <v>25265</v>
      </c>
      <c r="B25266">
        <f>TEXT(25265, "[$-0E0000]yyyy-mm-dd")</f>
        <v/>
      </c>
      <c r="C25266" t="inlineStr">
        <is>
          <t>1969-01-16</t>
        </is>
      </c>
    </row>
    <row r="25267">
      <c r="A25267" s="1" t="n">
        <v>25266</v>
      </c>
      <c r="B25267">
        <f>TEXT(25266, "[$-0E0000]yyyy-mm-dd")</f>
        <v/>
      </c>
      <c r="C25267" t="inlineStr">
        <is>
          <t>1969-01-17</t>
        </is>
      </c>
    </row>
    <row r="25268">
      <c r="A25268" s="1" t="n">
        <v>25267</v>
      </c>
      <c r="B25268">
        <f>TEXT(25267, "[$-0E0000]yyyy-mm-dd")</f>
        <v/>
      </c>
      <c r="C25268" t="inlineStr">
        <is>
          <t>1969-01-18</t>
        </is>
      </c>
    </row>
    <row r="25269">
      <c r="A25269" s="1" t="n">
        <v>25268</v>
      </c>
      <c r="B25269">
        <f>TEXT(25268, "[$-0E0000]yyyy-mm-dd")</f>
        <v/>
      </c>
      <c r="C25269" t="inlineStr">
        <is>
          <t>1969-01-19</t>
        </is>
      </c>
    </row>
    <row r="25270">
      <c r="A25270" s="1" t="n">
        <v>25269</v>
      </c>
      <c r="B25270">
        <f>TEXT(25269, "[$-0E0000]yyyy-mm-dd")</f>
        <v/>
      </c>
      <c r="C25270" t="inlineStr">
        <is>
          <t>1969-01-20</t>
        </is>
      </c>
    </row>
    <row r="25271">
      <c r="A25271" s="1" t="n">
        <v>25270</v>
      </c>
      <c r="B25271">
        <f>TEXT(25270, "[$-0E0000]yyyy-mm-dd")</f>
        <v/>
      </c>
      <c r="C25271" t="inlineStr">
        <is>
          <t>1969-01-21</t>
        </is>
      </c>
    </row>
    <row r="25272">
      <c r="A25272" s="1" t="n">
        <v>25271</v>
      </c>
      <c r="B25272">
        <f>TEXT(25271, "[$-0E0000]yyyy-mm-dd")</f>
        <v/>
      </c>
      <c r="C25272" t="inlineStr">
        <is>
          <t>1969-01-22</t>
        </is>
      </c>
    </row>
    <row r="25273">
      <c r="A25273" s="1" t="n">
        <v>25272</v>
      </c>
      <c r="B25273">
        <f>TEXT(25272, "[$-0E0000]yyyy-mm-dd")</f>
        <v/>
      </c>
      <c r="C25273" t="inlineStr">
        <is>
          <t>1969-01-23</t>
        </is>
      </c>
    </row>
    <row r="25274">
      <c r="A25274" s="1" t="n">
        <v>25273</v>
      </c>
      <c r="B25274">
        <f>TEXT(25273, "[$-0E0000]yyyy-mm-dd")</f>
        <v/>
      </c>
      <c r="C25274" t="inlineStr">
        <is>
          <t>1969-01-24</t>
        </is>
      </c>
    </row>
    <row r="25275">
      <c r="A25275" s="1" t="n">
        <v>25274</v>
      </c>
      <c r="B25275">
        <f>TEXT(25274, "[$-0E0000]yyyy-mm-dd")</f>
        <v/>
      </c>
      <c r="C25275" t="inlineStr">
        <is>
          <t>1969-01-25</t>
        </is>
      </c>
    </row>
    <row r="25276">
      <c r="A25276" s="1" t="n">
        <v>25275</v>
      </c>
      <c r="B25276">
        <f>TEXT(25275, "[$-0E0000]yyyy-mm-dd")</f>
        <v/>
      </c>
      <c r="C25276" t="inlineStr">
        <is>
          <t>1969-01-26</t>
        </is>
      </c>
    </row>
    <row r="25277">
      <c r="A25277" s="1" t="n">
        <v>25276</v>
      </c>
      <c r="B25277">
        <f>TEXT(25276, "[$-0E0000]yyyy-mm-dd")</f>
        <v/>
      </c>
      <c r="C25277" t="inlineStr">
        <is>
          <t>1969-01-27</t>
        </is>
      </c>
    </row>
    <row r="25278">
      <c r="A25278" s="1" t="n">
        <v>25277</v>
      </c>
      <c r="B25278">
        <f>TEXT(25277, "[$-0E0000]yyyy-mm-dd")</f>
        <v/>
      </c>
      <c r="C25278" t="inlineStr">
        <is>
          <t>1969-01-28</t>
        </is>
      </c>
    </row>
    <row r="25279">
      <c r="A25279" s="1" t="n">
        <v>25278</v>
      </c>
      <c r="B25279">
        <f>TEXT(25278, "[$-0E0000]yyyy-mm-dd")</f>
        <v/>
      </c>
      <c r="C25279" t="inlineStr">
        <is>
          <t>1969-01-29</t>
        </is>
      </c>
    </row>
    <row r="25280">
      <c r="A25280" s="1" t="n">
        <v>25279</v>
      </c>
      <c r="B25280">
        <f>TEXT(25279, "[$-0E0000]yyyy-mm-dd")</f>
        <v/>
      </c>
      <c r="C25280" t="inlineStr">
        <is>
          <t>1969-02-01</t>
        </is>
      </c>
    </row>
    <row r="25281">
      <c r="A25281" s="1" t="n">
        <v>25280</v>
      </c>
      <c r="B25281">
        <f>TEXT(25280, "[$-0E0000]yyyy-mm-dd")</f>
        <v/>
      </c>
      <c r="C25281" t="inlineStr">
        <is>
          <t>1969-02-02</t>
        </is>
      </c>
    </row>
    <row r="25282">
      <c r="A25282" s="1" t="n">
        <v>25281</v>
      </c>
      <c r="B25282">
        <f>TEXT(25281, "[$-0E0000]yyyy-mm-dd")</f>
        <v/>
      </c>
      <c r="C25282" t="inlineStr">
        <is>
          <t>1969-02-03</t>
        </is>
      </c>
    </row>
    <row r="25283">
      <c r="A25283" s="1" t="n">
        <v>25282</v>
      </c>
      <c r="B25283">
        <f>TEXT(25282, "[$-0E0000]yyyy-mm-dd")</f>
        <v/>
      </c>
      <c r="C25283" t="inlineStr">
        <is>
          <t>1969-02-04</t>
        </is>
      </c>
    </row>
    <row r="25284">
      <c r="A25284" s="1" t="n">
        <v>25283</v>
      </c>
      <c r="B25284">
        <f>TEXT(25283, "[$-0E0000]yyyy-mm-dd")</f>
        <v/>
      </c>
      <c r="C25284" t="inlineStr">
        <is>
          <t>1969-02-05</t>
        </is>
      </c>
    </row>
    <row r="25285">
      <c r="A25285" s="1" t="n">
        <v>25284</v>
      </c>
      <c r="B25285">
        <f>TEXT(25284, "[$-0E0000]yyyy-mm-dd")</f>
        <v/>
      </c>
      <c r="C25285" t="inlineStr">
        <is>
          <t>1969-02-06</t>
        </is>
      </c>
    </row>
    <row r="25286">
      <c r="A25286" s="1" t="n">
        <v>25285</v>
      </c>
      <c r="B25286">
        <f>TEXT(25285, "[$-0E0000]yyyy-mm-dd")</f>
        <v/>
      </c>
      <c r="C25286" t="inlineStr">
        <is>
          <t>1969-02-07</t>
        </is>
      </c>
    </row>
    <row r="25287">
      <c r="A25287" s="1" t="n">
        <v>25286</v>
      </c>
      <c r="B25287">
        <f>TEXT(25286, "[$-0E0000]yyyy-mm-dd")</f>
        <v/>
      </c>
      <c r="C25287" t="inlineStr">
        <is>
          <t>1969-02-08</t>
        </is>
      </c>
    </row>
    <row r="25288">
      <c r="A25288" s="1" t="n">
        <v>25287</v>
      </c>
      <c r="B25288">
        <f>TEXT(25287, "[$-0E0000]yyyy-mm-dd")</f>
        <v/>
      </c>
      <c r="C25288" t="inlineStr">
        <is>
          <t>1969-02-09</t>
        </is>
      </c>
    </row>
    <row r="25289">
      <c r="A25289" s="1" t="n">
        <v>25288</v>
      </c>
      <c r="B25289">
        <f>TEXT(25288, "[$-0E0000]yyyy-mm-dd")</f>
        <v/>
      </c>
      <c r="C25289" t="inlineStr">
        <is>
          <t>1969-02-10</t>
        </is>
      </c>
    </row>
    <row r="25290">
      <c r="A25290" s="1" t="n">
        <v>25289</v>
      </c>
      <c r="B25290">
        <f>TEXT(25289, "[$-0E0000]yyyy-mm-dd")</f>
        <v/>
      </c>
      <c r="C25290" t="inlineStr">
        <is>
          <t>1969-02-11</t>
        </is>
      </c>
    </row>
    <row r="25291">
      <c r="A25291" s="1" t="n">
        <v>25290</v>
      </c>
      <c r="B25291">
        <f>TEXT(25290, "[$-0E0000]yyyy-mm-dd")</f>
        <v/>
      </c>
      <c r="C25291" t="inlineStr">
        <is>
          <t>1969-02-12</t>
        </is>
      </c>
    </row>
    <row r="25292">
      <c r="A25292" s="1" t="n">
        <v>25291</v>
      </c>
      <c r="B25292">
        <f>TEXT(25291, "[$-0E0000]yyyy-mm-dd")</f>
        <v/>
      </c>
      <c r="C25292" t="inlineStr">
        <is>
          <t>1969-02-13</t>
        </is>
      </c>
    </row>
    <row r="25293">
      <c r="A25293" s="1" t="n">
        <v>25292</v>
      </c>
      <c r="B25293">
        <f>TEXT(25292, "[$-0E0000]yyyy-mm-dd")</f>
        <v/>
      </c>
      <c r="C25293" t="inlineStr">
        <is>
          <t>1969-02-14</t>
        </is>
      </c>
    </row>
    <row r="25294">
      <c r="A25294" s="1" t="n">
        <v>25293</v>
      </c>
      <c r="B25294">
        <f>TEXT(25293, "[$-0E0000]yyyy-mm-dd")</f>
        <v/>
      </c>
      <c r="C25294" t="inlineStr">
        <is>
          <t>1969-02-15</t>
        </is>
      </c>
    </row>
    <row r="25295">
      <c r="A25295" s="1" t="n">
        <v>25294</v>
      </c>
      <c r="B25295">
        <f>TEXT(25294, "[$-0E0000]yyyy-mm-dd")</f>
        <v/>
      </c>
      <c r="C25295" t="inlineStr">
        <is>
          <t>1969-02-16</t>
        </is>
      </c>
    </row>
    <row r="25296">
      <c r="A25296" s="1" t="n">
        <v>25295</v>
      </c>
      <c r="B25296">
        <f>TEXT(25295, "[$-0E0000]yyyy-mm-dd")</f>
        <v/>
      </c>
      <c r="C25296" t="inlineStr">
        <is>
          <t>1969-02-17</t>
        </is>
      </c>
    </row>
    <row r="25297">
      <c r="A25297" s="1" t="n">
        <v>25296</v>
      </c>
      <c r="B25297">
        <f>TEXT(25296, "[$-0E0000]yyyy-mm-dd")</f>
        <v/>
      </c>
      <c r="C25297" t="inlineStr">
        <is>
          <t>1969-02-18</t>
        </is>
      </c>
    </row>
    <row r="25298">
      <c r="A25298" s="1" t="n">
        <v>25297</v>
      </c>
      <c r="B25298">
        <f>TEXT(25297, "[$-0E0000]yyyy-mm-dd")</f>
        <v/>
      </c>
      <c r="C25298" t="inlineStr">
        <is>
          <t>1969-02-19</t>
        </is>
      </c>
    </row>
    <row r="25299">
      <c r="A25299" s="1" t="n">
        <v>25298</v>
      </c>
      <c r="B25299">
        <f>TEXT(25298, "[$-0E0000]yyyy-mm-dd")</f>
        <v/>
      </c>
      <c r="C25299" t="inlineStr">
        <is>
          <t>1969-02-20</t>
        </is>
      </c>
    </row>
    <row r="25300">
      <c r="A25300" s="1" t="n">
        <v>25299</v>
      </c>
      <c r="B25300">
        <f>TEXT(25299, "[$-0E0000]yyyy-mm-dd")</f>
        <v/>
      </c>
      <c r="C25300" t="inlineStr">
        <is>
          <t>1969-02-21</t>
        </is>
      </c>
    </row>
    <row r="25301">
      <c r="A25301" s="1" t="n">
        <v>25300</v>
      </c>
      <c r="B25301">
        <f>TEXT(25300, "[$-0E0000]yyyy-mm-dd")</f>
        <v/>
      </c>
      <c r="C25301" t="inlineStr">
        <is>
          <t>1969-02-22</t>
        </is>
      </c>
    </row>
    <row r="25302">
      <c r="A25302" s="1" t="n">
        <v>25301</v>
      </c>
      <c r="B25302">
        <f>TEXT(25301, "[$-0E0000]yyyy-mm-dd")</f>
        <v/>
      </c>
      <c r="C25302" t="inlineStr">
        <is>
          <t>1969-02-23</t>
        </is>
      </c>
    </row>
    <row r="25303">
      <c r="A25303" s="1" t="n">
        <v>25302</v>
      </c>
      <c r="B25303">
        <f>TEXT(25302, "[$-0E0000]yyyy-mm-dd")</f>
        <v/>
      </c>
      <c r="C25303" t="inlineStr">
        <is>
          <t>1969-02-24</t>
        </is>
      </c>
    </row>
    <row r="25304">
      <c r="A25304" s="1" t="n">
        <v>25303</v>
      </c>
      <c r="B25304">
        <f>TEXT(25303, "[$-0E0000]yyyy-mm-dd")</f>
        <v/>
      </c>
      <c r="C25304" t="inlineStr">
        <is>
          <t>1969-02-25</t>
        </is>
      </c>
    </row>
    <row r="25305">
      <c r="A25305" s="1" t="n">
        <v>25304</v>
      </c>
      <c r="B25305">
        <f>TEXT(25304, "[$-0E0000]yyyy-mm-dd")</f>
        <v/>
      </c>
      <c r="C25305" t="inlineStr">
        <is>
          <t>1969-02-26</t>
        </is>
      </c>
    </row>
    <row r="25306">
      <c r="A25306" s="1" t="n">
        <v>25305</v>
      </c>
      <c r="B25306">
        <f>TEXT(25305, "[$-0E0000]yyyy-mm-dd")</f>
        <v/>
      </c>
      <c r="C25306" t="inlineStr">
        <is>
          <t>1969-02-27</t>
        </is>
      </c>
    </row>
    <row r="25307">
      <c r="A25307" s="1" t="n">
        <v>25306</v>
      </c>
      <c r="B25307">
        <f>TEXT(25306, "[$-0E0000]yyyy-mm-dd")</f>
        <v/>
      </c>
      <c r="C25307" t="inlineStr">
        <is>
          <t>1969-02-28</t>
        </is>
      </c>
    </row>
    <row r="25308">
      <c r="A25308" s="1" t="n">
        <v>25307</v>
      </c>
      <c r="B25308">
        <f>TEXT(25307, "[$-0E0000]yyyy-mm-dd")</f>
        <v/>
      </c>
      <c r="C25308" t="inlineStr">
        <is>
          <t>1969-02-29</t>
        </is>
      </c>
    </row>
    <row r="25309">
      <c r="A25309" s="1" t="n">
        <v>25308</v>
      </c>
      <c r="B25309">
        <f>TEXT(25308, "[$-0E0000]yyyy-mm-dd")</f>
        <v/>
      </c>
      <c r="C25309" t="inlineStr">
        <is>
          <t>1969-02-30</t>
        </is>
      </c>
    </row>
    <row r="25310">
      <c r="A25310" s="1" t="n">
        <v>25309</v>
      </c>
      <c r="B25310">
        <f>TEXT(25309, "[$-0E0000]yyyy-mm-dd")</f>
        <v/>
      </c>
      <c r="C25310" t="inlineStr">
        <is>
          <t>1969-03-01</t>
        </is>
      </c>
    </row>
    <row r="25311">
      <c r="A25311" s="1" t="n">
        <v>25310</v>
      </c>
      <c r="B25311">
        <f>TEXT(25310, "[$-0E0000]yyyy-mm-dd")</f>
        <v/>
      </c>
      <c r="C25311" t="inlineStr">
        <is>
          <t>1969-03-02</t>
        </is>
      </c>
    </row>
    <row r="25312">
      <c r="A25312" s="1" t="n">
        <v>25311</v>
      </c>
      <c r="B25312">
        <f>TEXT(25311, "[$-0E0000]yyyy-mm-dd")</f>
        <v/>
      </c>
      <c r="C25312" t="inlineStr">
        <is>
          <t>1969-03-03</t>
        </is>
      </c>
    </row>
    <row r="25313">
      <c r="A25313" s="1" t="n">
        <v>25312</v>
      </c>
      <c r="B25313">
        <f>TEXT(25312, "[$-0E0000]yyyy-mm-dd")</f>
        <v/>
      </c>
      <c r="C25313" t="inlineStr">
        <is>
          <t>1969-03-04</t>
        </is>
      </c>
    </row>
    <row r="25314">
      <c r="A25314" s="1" t="n">
        <v>25313</v>
      </c>
      <c r="B25314">
        <f>TEXT(25313, "[$-0E0000]yyyy-mm-dd")</f>
        <v/>
      </c>
      <c r="C25314" t="inlineStr">
        <is>
          <t>1969-03-05</t>
        </is>
      </c>
    </row>
    <row r="25315">
      <c r="A25315" s="1" t="n">
        <v>25314</v>
      </c>
      <c r="B25315">
        <f>TEXT(25314, "[$-0E0000]yyyy-mm-dd")</f>
        <v/>
      </c>
      <c r="C25315" t="inlineStr">
        <is>
          <t>1969-03-06</t>
        </is>
      </c>
    </row>
    <row r="25316">
      <c r="A25316" s="1" t="n">
        <v>25315</v>
      </c>
      <c r="B25316">
        <f>TEXT(25315, "[$-0E0000]yyyy-mm-dd")</f>
        <v/>
      </c>
      <c r="C25316" t="inlineStr">
        <is>
          <t>1969-03-07</t>
        </is>
      </c>
    </row>
    <row r="25317">
      <c r="A25317" s="1" t="n">
        <v>25316</v>
      </c>
      <c r="B25317">
        <f>TEXT(25316, "[$-0E0000]yyyy-mm-dd")</f>
        <v/>
      </c>
      <c r="C25317" t="inlineStr">
        <is>
          <t>1969-03-08</t>
        </is>
      </c>
    </row>
    <row r="25318">
      <c r="A25318" s="1" t="n">
        <v>25317</v>
      </c>
      <c r="B25318">
        <f>TEXT(25317, "[$-0E0000]yyyy-mm-dd")</f>
        <v/>
      </c>
      <c r="C25318" t="inlineStr">
        <is>
          <t>1969-03-09</t>
        </is>
      </c>
    </row>
    <row r="25319">
      <c r="A25319" s="1" t="n">
        <v>25318</v>
      </c>
      <c r="B25319">
        <f>TEXT(25318, "[$-0E0000]yyyy-mm-dd")</f>
        <v/>
      </c>
      <c r="C25319" t="inlineStr">
        <is>
          <t>1969-03-10</t>
        </is>
      </c>
    </row>
    <row r="25320">
      <c r="A25320" s="1" t="n">
        <v>25319</v>
      </c>
      <c r="B25320">
        <f>TEXT(25319, "[$-0E0000]yyyy-mm-dd")</f>
        <v/>
      </c>
      <c r="C25320" t="inlineStr">
        <is>
          <t>1969-03-11</t>
        </is>
      </c>
    </row>
    <row r="25321">
      <c r="A25321" s="1" t="n">
        <v>25320</v>
      </c>
      <c r="B25321">
        <f>TEXT(25320, "[$-0E0000]yyyy-mm-dd")</f>
        <v/>
      </c>
      <c r="C25321" t="inlineStr">
        <is>
          <t>1969-03-12</t>
        </is>
      </c>
    </row>
    <row r="25322">
      <c r="A25322" s="1" t="n">
        <v>25321</v>
      </c>
      <c r="B25322">
        <f>TEXT(25321, "[$-0E0000]yyyy-mm-dd")</f>
        <v/>
      </c>
      <c r="C25322" t="inlineStr">
        <is>
          <t>1969-03-13</t>
        </is>
      </c>
    </row>
    <row r="25323">
      <c r="A25323" s="1" t="n">
        <v>25322</v>
      </c>
      <c r="B25323">
        <f>TEXT(25322, "[$-0E0000]yyyy-mm-dd")</f>
        <v/>
      </c>
      <c r="C25323" t="inlineStr">
        <is>
          <t>1969-03-14</t>
        </is>
      </c>
    </row>
    <row r="25324">
      <c r="A25324" s="1" t="n">
        <v>25323</v>
      </c>
      <c r="B25324">
        <f>TEXT(25323, "[$-0E0000]yyyy-mm-dd")</f>
        <v/>
      </c>
      <c r="C25324" t="inlineStr">
        <is>
          <t>1969-03-15</t>
        </is>
      </c>
    </row>
    <row r="25325">
      <c r="A25325" s="1" t="n">
        <v>25324</v>
      </c>
      <c r="B25325">
        <f>TEXT(25324, "[$-0E0000]yyyy-mm-dd")</f>
        <v/>
      </c>
      <c r="C25325" t="inlineStr">
        <is>
          <t>1969-03-16</t>
        </is>
      </c>
    </row>
    <row r="25326">
      <c r="A25326" s="1" t="n">
        <v>25325</v>
      </c>
      <c r="B25326">
        <f>TEXT(25325, "[$-0E0000]yyyy-mm-dd")</f>
        <v/>
      </c>
      <c r="C25326" t="inlineStr">
        <is>
          <t>1969-03-17</t>
        </is>
      </c>
    </row>
    <row r="25327">
      <c r="A25327" s="1" t="n">
        <v>25326</v>
      </c>
      <c r="B25327">
        <f>TEXT(25326, "[$-0E0000]yyyy-mm-dd")</f>
        <v/>
      </c>
      <c r="C25327" t="inlineStr">
        <is>
          <t>1969-03-18</t>
        </is>
      </c>
    </row>
    <row r="25328">
      <c r="A25328" s="1" t="n">
        <v>25327</v>
      </c>
      <c r="B25328">
        <f>TEXT(25327, "[$-0E0000]yyyy-mm-dd")</f>
        <v/>
      </c>
      <c r="C25328" t="inlineStr">
        <is>
          <t>1969-03-19</t>
        </is>
      </c>
    </row>
    <row r="25329">
      <c r="A25329" s="1" t="n">
        <v>25328</v>
      </c>
      <c r="B25329">
        <f>TEXT(25328, "[$-0E0000]yyyy-mm-dd")</f>
        <v/>
      </c>
      <c r="C25329" t="inlineStr">
        <is>
          <t>1969-03-20</t>
        </is>
      </c>
    </row>
    <row r="25330">
      <c r="A25330" s="1" t="n">
        <v>25329</v>
      </c>
      <c r="B25330">
        <f>TEXT(25329, "[$-0E0000]yyyy-mm-dd")</f>
        <v/>
      </c>
      <c r="C25330" t="inlineStr">
        <is>
          <t>1969-03-21</t>
        </is>
      </c>
    </row>
    <row r="25331">
      <c r="A25331" s="1" t="n">
        <v>25330</v>
      </c>
      <c r="B25331">
        <f>TEXT(25330, "[$-0E0000]yyyy-mm-dd")</f>
        <v/>
      </c>
      <c r="C25331" t="inlineStr">
        <is>
          <t>1969-03-22</t>
        </is>
      </c>
    </row>
    <row r="25332">
      <c r="A25332" s="1" t="n">
        <v>25331</v>
      </c>
      <c r="B25332">
        <f>TEXT(25331, "[$-0E0000]yyyy-mm-dd")</f>
        <v/>
      </c>
      <c r="C25332" t="inlineStr">
        <is>
          <t>1969-03-23</t>
        </is>
      </c>
    </row>
    <row r="25333">
      <c r="A25333" s="1" t="n">
        <v>25332</v>
      </c>
      <c r="B25333">
        <f>TEXT(25332, "[$-0E0000]yyyy-mm-dd")</f>
        <v/>
      </c>
      <c r="C25333" t="inlineStr">
        <is>
          <t>1969-03-24</t>
        </is>
      </c>
    </row>
    <row r="25334">
      <c r="A25334" s="1" t="n">
        <v>25333</v>
      </c>
      <c r="B25334">
        <f>TEXT(25333, "[$-0E0000]yyyy-mm-dd")</f>
        <v/>
      </c>
      <c r="C25334" t="inlineStr">
        <is>
          <t>1969-03-25</t>
        </is>
      </c>
    </row>
    <row r="25335">
      <c r="A25335" s="1" t="n">
        <v>25334</v>
      </c>
      <c r="B25335">
        <f>TEXT(25334, "[$-0E0000]yyyy-mm-dd")</f>
        <v/>
      </c>
      <c r="C25335" t="inlineStr">
        <is>
          <t>1969-03-26</t>
        </is>
      </c>
    </row>
    <row r="25336">
      <c r="A25336" s="1" t="n">
        <v>25335</v>
      </c>
      <c r="B25336">
        <f>TEXT(25335, "[$-0E0000]yyyy-mm-dd")</f>
        <v/>
      </c>
      <c r="C25336" t="inlineStr">
        <is>
          <t>1969-03-27</t>
        </is>
      </c>
    </row>
    <row r="25337">
      <c r="A25337" s="1" t="n">
        <v>25336</v>
      </c>
      <c r="B25337">
        <f>TEXT(25336, "[$-0E0000]yyyy-mm-dd")</f>
        <v/>
      </c>
      <c r="C25337" t="inlineStr">
        <is>
          <t>1969-03-28</t>
        </is>
      </c>
    </row>
    <row r="25338">
      <c r="A25338" s="1" t="n">
        <v>25337</v>
      </c>
      <c r="B25338">
        <f>TEXT(25337, "[$-0E0000]yyyy-mm-dd")</f>
        <v/>
      </c>
      <c r="C25338" t="inlineStr">
        <is>
          <t>1969-03-29</t>
        </is>
      </c>
    </row>
    <row r="25339">
      <c r="A25339" s="1" t="n">
        <v>25338</v>
      </c>
      <c r="B25339">
        <f>TEXT(25338, "[$-0E0000]yyyy-mm-dd")</f>
        <v/>
      </c>
      <c r="C25339" t="inlineStr">
        <is>
          <t>1969-04-01</t>
        </is>
      </c>
    </row>
    <row r="25340">
      <c r="A25340" s="1" t="n">
        <v>25339</v>
      </c>
      <c r="B25340">
        <f>TEXT(25339, "[$-0E0000]yyyy-mm-dd")</f>
        <v/>
      </c>
      <c r="C25340" t="inlineStr">
        <is>
          <t>1969-04-02</t>
        </is>
      </c>
    </row>
    <row r="25341">
      <c r="A25341" s="1" t="n">
        <v>25340</v>
      </c>
      <c r="B25341">
        <f>TEXT(25340, "[$-0E0000]yyyy-mm-dd")</f>
        <v/>
      </c>
      <c r="C25341" t="inlineStr">
        <is>
          <t>1969-04-03</t>
        </is>
      </c>
    </row>
    <row r="25342">
      <c r="A25342" s="1" t="n">
        <v>25341</v>
      </c>
      <c r="B25342">
        <f>TEXT(25341, "[$-0E0000]yyyy-mm-dd")</f>
        <v/>
      </c>
      <c r="C25342" t="inlineStr">
        <is>
          <t>1969-04-04</t>
        </is>
      </c>
    </row>
    <row r="25343">
      <c r="A25343" s="1" t="n">
        <v>25342</v>
      </c>
      <c r="B25343">
        <f>TEXT(25342, "[$-0E0000]yyyy-mm-dd")</f>
        <v/>
      </c>
      <c r="C25343" t="inlineStr">
        <is>
          <t>1969-04-05</t>
        </is>
      </c>
    </row>
    <row r="25344">
      <c r="A25344" s="1" t="n">
        <v>25343</v>
      </c>
      <c r="B25344">
        <f>TEXT(25343, "[$-0E0000]yyyy-mm-dd")</f>
        <v/>
      </c>
      <c r="C25344" t="inlineStr">
        <is>
          <t>1969-04-06</t>
        </is>
      </c>
    </row>
    <row r="25345">
      <c r="A25345" s="1" t="n">
        <v>25344</v>
      </c>
      <c r="B25345">
        <f>TEXT(25344, "[$-0E0000]yyyy-mm-dd")</f>
        <v/>
      </c>
      <c r="C25345" t="inlineStr">
        <is>
          <t>1969-04-07</t>
        </is>
      </c>
    </row>
    <row r="25346">
      <c r="A25346" s="1" t="n">
        <v>25345</v>
      </c>
      <c r="B25346">
        <f>TEXT(25345, "[$-0E0000]yyyy-mm-dd")</f>
        <v/>
      </c>
      <c r="C25346" t="inlineStr">
        <is>
          <t>1969-04-08</t>
        </is>
      </c>
    </row>
    <row r="25347">
      <c r="A25347" s="1" t="n">
        <v>25346</v>
      </c>
      <c r="B25347">
        <f>TEXT(25346, "[$-0E0000]yyyy-mm-dd")</f>
        <v/>
      </c>
      <c r="C25347" t="inlineStr">
        <is>
          <t>1969-04-09</t>
        </is>
      </c>
    </row>
    <row r="25348">
      <c r="A25348" s="1" t="n">
        <v>25347</v>
      </c>
      <c r="B25348">
        <f>TEXT(25347, "[$-0E0000]yyyy-mm-dd")</f>
        <v/>
      </c>
      <c r="C25348" t="inlineStr">
        <is>
          <t>1969-04-10</t>
        </is>
      </c>
    </row>
    <row r="25349">
      <c r="A25349" s="1" t="n">
        <v>25348</v>
      </c>
      <c r="B25349">
        <f>TEXT(25348, "[$-0E0000]yyyy-mm-dd")</f>
        <v/>
      </c>
      <c r="C25349" t="inlineStr">
        <is>
          <t>1969-04-11</t>
        </is>
      </c>
    </row>
    <row r="25350">
      <c r="A25350" s="1" t="n">
        <v>25349</v>
      </c>
      <c r="B25350">
        <f>TEXT(25349, "[$-0E0000]yyyy-mm-dd")</f>
        <v/>
      </c>
      <c r="C25350" t="inlineStr">
        <is>
          <t>1969-04-12</t>
        </is>
      </c>
    </row>
    <row r="25351">
      <c r="A25351" s="1" t="n">
        <v>25350</v>
      </c>
      <c r="B25351">
        <f>TEXT(25350, "[$-0E0000]yyyy-mm-dd")</f>
        <v/>
      </c>
      <c r="C25351" t="inlineStr">
        <is>
          <t>1969-04-13</t>
        </is>
      </c>
    </row>
    <row r="25352">
      <c r="A25352" s="1" t="n">
        <v>25351</v>
      </c>
      <c r="B25352">
        <f>TEXT(25351, "[$-0E0000]yyyy-mm-dd")</f>
        <v/>
      </c>
      <c r="C25352" t="inlineStr">
        <is>
          <t>1969-04-14</t>
        </is>
      </c>
    </row>
    <row r="25353">
      <c r="A25353" s="1" t="n">
        <v>25352</v>
      </c>
      <c r="B25353">
        <f>TEXT(25352, "[$-0E0000]yyyy-mm-dd")</f>
        <v/>
      </c>
      <c r="C25353" t="inlineStr">
        <is>
          <t>1969-04-15</t>
        </is>
      </c>
    </row>
    <row r="25354">
      <c r="A25354" s="1" t="n">
        <v>25353</v>
      </c>
      <c r="B25354">
        <f>TEXT(25353, "[$-0E0000]yyyy-mm-dd")</f>
        <v/>
      </c>
      <c r="C25354" t="inlineStr">
        <is>
          <t>1969-04-16</t>
        </is>
      </c>
    </row>
    <row r="25355">
      <c r="A25355" s="1" t="n">
        <v>25354</v>
      </c>
      <c r="B25355">
        <f>TEXT(25354, "[$-0E0000]yyyy-mm-dd")</f>
        <v/>
      </c>
      <c r="C25355" t="inlineStr">
        <is>
          <t>1969-04-17</t>
        </is>
      </c>
    </row>
    <row r="25356">
      <c r="A25356" s="1" t="n">
        <v>25355</v>
      </c>
      <c r="B25356">
        <f>TEXT(25355, "[$-0E0000]yyyy-mm-dd")</f>
        <v/>
      </c>
      <c r="C25356" t="inlineStr">
        <is>
          <t>1969-04-18</t>
        </is>
      </c>
    </row>
    <row r="25357">
      <c r="A25357" s="1" t="n">
        <v>25356</v>
      </c>
      <c r="B25357">
        <f>TEXT(25356, "[$-0E0000]yyyy-mm-dd")</f>
        <v/>
      </c>
      <c r="C25357" t="inlineStr">
        <is>
          <t>1969-04-19</t>
        </is>
      </c>
    </row>
    <row r="25358">
      <c r="A25358" s="1" t="n">
        <v>25357</v>
      </c>
      <c r="B25358">
        <f>TEXT(25357, "[$-0E0000]yyyy-mm-dd")</f>
        <v/>
      </c>
      <c r="C25358" t="inlineStr">
        <is>
          <t>1969-04-20</t>
        </is>
      </c>
    </row>
    <row r="25359">
      <c r="A25359" s="1" t="n">
        <v>25358</v>
      </c>
      <c r="B25359">
        <f>TEXT(25358, "[$-0E0000]yyyy-mm-dd")</f>
        <v/>
      </c>
      <c r="C25359" t="inlineStr">
        <is>
          <t>1969-04-21</t>
        </is>
      </c>
    </row>
    <row r="25360">
      <c r="A25360" s="1" t="n">
        <v>25359</v>
      </c>
      <c r="B25360">
        <f>TEXT(25359, "[$-0E0000]yyyy-mm-dd")</f>
        <v/>
      </c>
      <c r="C25360" t="inlineStr">
        <is>
          <t>1969-04-22</t>
        </is>
      </c>
    </row>
    <row r="25361">
      <c r="A25361" s="1" t="n">
        <v>25360</v>
      </c>
      <c r="B25361">
        <f>TEXT(25360, "[$-0E0000]yyyy-mm-dd")</f>
        <v/>
      </c>
      <c r="C25361" t="inlineStr">
        <is>
          <t>1969-04-23</t>
        </is>
      </c>
    </row>
    <row r="25362">
      <c r="A25362" s="1" t="n">
        <v>25361</v>
      </c>
      <c r="B25362">
        <f>TEXT(25361, "[$-0E0000]yyyy-mm-dd")</f>
        <v/>
      </c>
      <c r="C25362" t="inlineStr">
        <is>
          <t>1969-04-24</t>
        </is>
      </c>
    </row>
    <row r="25363">
      <c r="A25363" s="1" t="n">
        <v>25362</v>
      </c>
      <c r="B25363">
        <f>TEXT(25362, "[$-0E0000]yyyy-mm-dd")</f>
        <v/>
      </c>
      <c r="C25363" t="inlineStr">
        <is>
          <t>1969-04-25</t>
        </is>
      </c>
    </row>
    <row r="25364">
      <c r="A25364" s="1" t="n">
        <v>25363</v>
      </c>
      <c r="B25364">
        <f>TEXT(25363, "[$-0E0000]yyyy-mm-dd")</f>
        <v/>
      </c>
      <c r="C25364" t="inlineStr">
        <is>
          <t>1969-04-26</t>
        </is>
      </c>
    </row>
    <row r="25365">
      <c r="A25365" s="1" t="n">
        <v>25364</v>
      </c>
      <c r="B25365">
        <f>TEXT(25364, "[$-0E0000]yyyy-mm-dd")</f>
        <v/>
      </c>
      <c r="C25365" t="inlineStr">
        <is>
          <t>1969-04-27</t>
        </is>
      </c>
    </row>
    <row r="25366">
      <c r="A25366" s="1" t="n">
        <v>25365</v>
      </c>
      <c r="B25366">
        <f>TEXT(25365, "[$-0E0000]yyyy-mm-dd")</f>
        <v/>
      </c>
      <c r="C25366" t="inlineStr">
        <is>
          <t>1969-04-28</t>
        </is>
      </c>
    </row>
    <row r="25367">
      <c r="A25367" s="1" t="n">
        <v>25366</v>
      </c>
      <c r="B25367">
        <f>TEXT(25366, "[$-0E0000]yyyy-mm-dd")</f>
        <v/>
      </c>
      <c r="C25367" t="inlineStr">
        <is>
          <t>1969-04-29</t>
        </is>
      </c>
    </row>
    <row r="25368">
      <c r="A25368" s="1" t="n">
        <v>25367</v>
      </c>
      <c r="B25368">
        <f>TEXT(25367, "[$-0E0000]yyyy-mm-dd")</f>
        <v/>
      </c>
      <c r="C25368" t="inlineStr">
        <is>
          <t>1969-04-30</t>
        </is>
      </c>
    </row>
    <row r="25369">
      <c r="A25369" s="1" t="n">
        <v>25368</v>
      </c>
      <c r="B25369">
        <f>TEXT(25368, "[$-0E0000]yyyy-mm-dd")</f>
        <v/>
      </c>
      <c r="C25369" t="inlineStr">
        <is>
          <t>1969-05-01</t>
        </is>
      </c>
    </row>
    <row r="25370">
      <c r="A25370" s="1" t="n">
        <v>25369</v>
      </c>
      <c r="B25370">
        <f>TEXT(25369, "[$-0E0000]yyyy-mm-dd")</f>
        <v/>
      </c>
      <c r="C25370" t="inlineStr">
        <is>
          <t>1969-05-02</t>
        </is>
      </c>
    </row>
    <row r="25371">
      <c r="A25371" s="1" t="n">
        <v>25370</v>
      </c>
      <c r="B25371">
        <f>TEXT(25370, "[$-0E0000]yyyy-mm-dd")</f>
        <v/>
      </c>
      <c r="C25371" t="inlineStr">
        <is>
          <t>1969-05-03</t>
        </is>
      </c>
    </row>
    <row r="25372">
      <c r="A25372" s="1" t="n">
        <v>25371</v>
      </c>
      <c r="B25372">
        <f>TEXT(25371, "[$-0E0000]yyyy-mm-dd")</f>
        <v/>
      </c>
      <c r="C25372" t="inlineStr">
        <is>
          <t>1969-05-04</t>
        </is>
      </c>
    </row>
    <row r="25373">
      <c r="A25373" s="1" t="n">
        <v>25372</v>
      </c>
      <c r="B25373">
        <f>TEXT(25372, "[$-0E0000]yyyy-mm-dd")</f>
        <v/>
      </c>
      <c r="C25373" t="inlineStr">
        <is>
          <t>1969-05-05</t>
        </is>
      </c>
    </row>
    <row r="25374">
      <c r="A25374" s="1" t="n">
        <v>25373</v>
      </c>
      <c r="B25374">
        <f>TEXT(25373, "[$-0E0000]yyyy-mm-dd")</f>
        <v/>
      </c>
      <c r="C25374" t="inlineStr">
        <is>
          <t>1969-05-06</t>
        </is>
      </c>
    </row>
    <row r="25375">
      <c r="A25375" s="1" t="n">
        <v>25374</v>
      </c>
      <c r="B25375">
        <f>TEXT(25374, "[$-0E0000]yyyy-mm-dd")</f>
        <v/>
      </c>
      <c r="C25375" t="inlineStr">
        <is>
          <t>1969-05-07</t>
        </is>
      </c>
    </row>
    <row r="25376">
      <c r="A25376" s="1" t="n">
        <v>25375</v>
      </c>
      <c r="B25376">
        <f>TEXT(25375, "[$-0E0000]yyyy-mm-dd")</f>
        <v/>
      </c>
      <c r="C25376" t="inlineStr">
        <is>
          <t>1969-05-08</t>
        </is>
      </c>
    </row>
    <row r="25377">
      <c r="A25377" s="1" t="n">
        <v>25376</v>
      </c>
      <c r="B25377">
        <f>TEXT(25376, "[$-0E0000]yyyy-mm-dd")</f>
        <v/>
      </c>
      <c r="C25377" t="inlineStr">
        <is>
          <t>1969-05-09</t>
        </is>
      </c>
    </row>
    <row r="25378">
      <c r="A25378" s="1" t="n">
        <v>25377</v>
      </c>
      <c r="B25378">
        <f>TEXT(25377, "[$-0E0000]yyyy-mm-dd")</f>
        <v/>
      </c>
      <c r="C25378" t="inlineStr">
        <is>
          <t>1969-05-10</t>
        </is>
      </c>
    </row>
    <row r="25379">
      <c r="A25379" s="1" t="n">
        <v>25378</v>
      </c>
      <c r="B25379">
        <f>TEXT(25378, "[$-0E0000]yyyy-mm-dd")</f>
        <v/>
      </c>
      <c r="C25379" t="inlineStr">
        <is>
          <t>1969-05-11</t>
        </is>
      </c>
    </row>
    <row r="25380">
      <c r="A25380" s="1" t="n">
        <v>25379</v>
      </c>
      <c r="B25380">
        <f>TEXT(25379, "[$-0E0000]yyyy-mm-dd")</f>
        <v/>
      </c>
      <c r="C25380" t="inlineStr">
        <is>
          <t>1969-05-12</t>
        </is>
      </c>
    </row>
    <row r="25381">
      <c r="A25381" s="1" t="n">
        <v>25380</v>
      </c>
      <c r="B25381">
        <f>TEXT(25380, "[$-0E0000]yyyy-mm-dd")</f>
        <v/>
      </c>
      <c r="C25381" t="inlineStr">
        <is>
          <t>1969-05-13</t>
        </is>
      </c>
    </row>
    <row r="25382">
      <c r="A25382" s="1" t="n">
        <v>25381</v>
      </c>
      <c r="B25382">
        <f>TEXT(25381, "[$-0E0000]yyyy-mm-dd")</f>
        <v/>
      </c>
      <c r="C25382" t="inlineStr">
        <is>
          <t>1969-05-14</t>
        </is>
      </c>
    </row>
    <row r="25383">
      <c r="A25383" s="1" t="n">
        <v>25382</v>
      </c>
      <c r="B25383">
        <f>TEXT(25382, "[$-0E0000]yyyy-mm-dd")</f>
        <v/>
      </c>
      <c r="C25383" t="inlineStr">
        <is>
          <t>1969-05-15</t>
        </is>
      </c>
    </row>
    <row r="25384">
      <c r="A25384" s="1" t="n">
        <v>25383</v>
      </c>
      <c r="B25384">
        <f>TEXT(25383, "[$-0E0000]yyyy-mm-dd")</f>
        <v/>
      </c>
      <c r="C25384" t="inlineStr">
        <is>
          <t>1969-05-16</t>
        </is>
      </c>
    </row>
    <row r="25385">
      <c r="A25385" s="1" t="n">
        <v>25384</v>
      </c>
      <c r="B25385">
        <f>TEXT(25384, "[$-0E0000]yyyy-mm-dd")</f>
        <v/>
      </c>
      <c r="C25385" t="inlineStr">
        <is>
          <t>1969-05-17</t>
        </is>
      </c>
    </row>
    <row r="25386">
      <c r="A25386" s="1" t="n">
        <v>25385</v>
      </c>
      <c r="B25386">
        <f>TEXT(25385, "[$-0E0000]yyyy-mm-dd")</f>
        <v/>
      </c>
      <c r="C25386" t="inlineStr">
        <is>
          <t>1969-05-18</t>
        </is>
      </c>
    </row>
    <row r="25387">
      <c r="A25387" s="1" t="n">
        <v>25386</v>
      </c>
      <c r="B25387">
        <f>TEXT(25386, "[$-0E0000]yyyy-mm-dd")</f>
        <v/>
      </c>
      <c r="C25387" t="inlineStr">
        <is>
          <t>1969-05-19</t>
        </is>
      </c>
    </row>
    <row r="25388">
      <c r="A25388" s="1" t="n">
        <v>25387</v>
      </c>
      <c r="B25388">
        <f>TEXT(25387, "[$-0E0000]yyyy-mm-dd")</f>
        <v/>
      </c>
      <c r="C25388" t="inlineStr">
        <is>
          <t>1969-05-20</t>
        </is>
      </c>
    </row>
    <row r="25389">
      <c r="A25389" s="1" t="n">
        <v>25388</v>
      </c>
      <c r="B25389">
        <f>TEXT(25388, "[$-0E0000]yyyy-mm-dd")</f>
        <v/>
      </c>
      <c r="C25389" t="inlineStr">
        <is>
          <t>1969-05-21</t>
        </is>
      </c>
    </row>
    <row r="25390">
      <c r="A25390" s="1" t="n">
        <v>25389</v>
      </c>
      <c r="B25390">
        <f>TEXT(25389, "[$-0E0000]yyyy-mm-dd")</f>
        <v/>
      </c>
      <c r="C25390" t="inlineStr">
        <is>
          <t>1969-05-22</t>
        </is>
      </c>
    </row>
    <row r="25391">
      <c r="A25391" s="1" t="n">
        <v>25390</v>
      </c>
      <c r="B25391">
        <f>TEXT(25390, "[$-0E0000]yyyy-mm-dd")</f>
        <v/>
      </c>
      <c r="C25391" t="inlineStr">
        <is>
          <t>1969-05-23</t>
        </is>
      </c>
    </row>
    <row r="25392">
      <c r="A25392" s="1" t="n">
        <v>25391</v>
      </c>
      <c r="B25392">
        <f>TEXT(25391, "[$-0E0000]yyyy-mm-dd")</f>
        <v/>
      </c>
      <c r="C25392" t="inlineStr">
        <is>
          <t>1969-05-24</t>
        </is>
      </c>
    </row>
    <row r="25393">
      <c r="A25393" s="1" t="n">
        <v>25392</v>
      </c>
      <c r="B25393">
        <f>TEXT(25392, "[$-0E0000]yyyy-mm-dd")</f>
        <v/>
      </c>
      <c r="C25393" t="inlineStr">
        <is>
          <t>1969-05-25</t>
        </is>
      </c>
    </row>
    <row r="25394">
      <c r="A25394" s="1" t="n">
        <v>25393</v>
      </c>
      <c r="B25394">
        <f>TEXT(25393, "[$-0E0000]yyyy-mm-dd")</f>
        <v/>
      </c>
      <c r="C25394" t="inlineStr">
        <is>
          <t>1969-05-26</t>
        </is>
      </c>
    </row>
    <row r="25395">
      <c r="A25395" s="1" t="n">
        <v>25394</v>
      </c>
      <c r="B25395">
        <f>TEXT(25394, "[$-0E0000]yyyy-mm-dd")</f>
        <v/>
      </c>
      <c r="C25395" t="inlineStr">
        <is>
          <t>1969-05-27</t>
        </is>
      </c>
    </row>
    <row r="25396">
      <c r="A25396" s="1" t="n">
        <v>25395</v>
      </c>
      <c r="B25396">
        <f>TEXT(25395, "[$-0E0000]yyyy-mm-dd")</f>
        <v/>
      </c>
      <c r="C25396" t="inlineStr">
        <is>
          <t>1969-05-28</t>
        </is>
      </c>
    </row>
    <row r="25397">
      <c r="A25397" s="1" t="n">
        <v>25396</v>
      </c>
      <c r="B25397">
        <f>TEXT(25396, "[$-0E0000]yyyy-mm-dd")</f>
        <v/>
      </c>
      <c r="C25397" t="inlineStr">
        <is>
          <t>1969-05-29</t>
        </is>
      </c>
    </row>
    <row r="25398">
      <c r="A25398" s="1" t="n">
        <v>25397</v>
      </c>
      <c r="B25398">
        <f>TEXT(25397, "[$-0E0000]yyyy-mm-dd")</f>
        <v/>
      </c>
      <c r="C25398" t="inlineStr">
        <is>
          <t>1969-06-01</t>
        </is>
      </c>
    </row>
    <row r="25399">
      <c r="A25399" s="1" t="n">
        <v>25398</v>
      </c>
      <c r="B25399">
        <f>TEXT(25398, "[$-0E0000]yyyy-mm-dd")</f>
        <v/>
      </c>
      <c r="C25399" t="inlineStr">
        <is>
          <t>1969-06-02</t>
        </is>
      </c>
    </row>
    <row r="25400">
      <c r="A25400" s="1" t="n">
        <v>25399</v>
      </c>
      <c r="B25400">
        <f>TEXT(25399, "[$-0E0000]yyyy-mm-dd")</f>
        <v/>
      </c>
      <c r="C25400" t="inlineStr">
        <is>
          <t>1969-06-03</t>
        </is>
      </c>
    </row>
    <row r="25401">
      <c r="A25401" s="1" t="n">
        <v>25400</v>
      </c>
      <c r="B25401">
        <f>TEXT(25400, "[$-0E0000]yyyy-mm-dd")</f>
        <v/>
      </c>
      <c r="C25401" t="inlineStr">
        <is>
          <t>1969-06-04</t>
        </is>
      </c>
    </row>
    <row r="25402">
      <c r="A25402" s="1" t="n">
        <v>25401</v>
      </c>
      <c r="B25402">
        <f>TEXT(25401, "[$-0E0000]yyyy-mm-dd")</f>
        <v/>
      </c>
      <c r="C25402" t="inlineStr">
        <is>
          <t>1969-06-05</t>
        </is>
      </c>
    </row>
    <row r="25403">
      <c r="A25403" s="1" t="n">
        <v>25402</v>
      </c>
      <c r="B25403">
        <f>TEXT(25402, "[$-0E0000]yyyy-mm-dd")</f>
        <v/>
      </c>
      <c r="C25403" t="inlineStr">
        <is>
          <t>1969-06-06</t>
        </is>
      </c>
    </row>
    <row r="25404">
      <c r="A25404" s="1" t="n">
        <v>25403</v>
      </c>
      <c r="B25404">
        <f>TEXT(25403, "[$-0E0000]yyyy-mm-dd")</f>
        <v/>
      </c>
      <c r="C25404" t="inlineStr">
        <is>
          <t>1969-06-07</t>
        </is>
      </c>
    </row>
    <row r="25405">
      <c r="A25405" s="1" t="n">
        <v>25404</v>
      </c>
      <c r="B25405">
        <f>TEXT(25404, "[$-0E0000]yyyy-mm-dd")</f>
        <v/>
      </c>
      <c r="C25405" t="inlineStr">
        <is>
          <t>1969-06-08</t>
        </is>
      </c>
    </row>
    <row r="25406">
      <c r="A25406" s="1" t="n">
        <v>25405</v>
      </c>
      <c r="B25406">
        <f>TEXT(25405, "[$-0E0000]yyyy-mm-dd")</f>
        <v/>
      </c>
      <c r="C25406" t="inlineStr">
        <is>
          <t>1969-06-09</t>
        </is>
      </c>
    </row>
    <row r="25407">
      <c r="A25407" s="1" t="n">
        <v>25406</v>
      </c>
      <c r="B25407">
        <f>TEXT(25406, "[$-0E0000]yyyy-mm-dd")</f>
        <v/>
      </c>
      <c r="C25407" t="inlineStr">
        <is>
          <t>1969-06-10</t>
        </is>
      </c>
    </row>
    <row r="25408">
      <c r="A25408" s="1" t="n">
        <v>25407</v>
      </c>
      <c r="B25408">
        <f>TEXT(25407, "[$-0E0000]yyyy-mm-dd")</f>
        <v/>
      </c>
      <c r="C25408" t="inlineStr">
        <is>
          <t>1969-06-11</t>
        </is>
      </c>
    </row>
    <row r="25409">
      <c r="A25409" s="1" t="n">
        <v>25408</v>
      </c>
      <c r="B25409">
        <f>TEXT(25408, "[$-0E0000]yyyy-mm-dd")</f>
        <v/>
      </c>
      <c r="C25409" t="inlineStr">
        <is>
          <t>1969-06-12</t>
        </is>
      </c>
    </row>
    <row r="25410">
      <c r="A25410" s="1" t="n">
        <v>25409</v>
      </c>
      <c r="B25410">
        <f>TEXT(25409, "[$-0E0000]yyyy-mm-dd")</f>
        <v/>
      </c>
      <c r="C25410" t="inlineStr">
        <is>
          <t>1969-06-13</t>
        </is>
      </c>
    </row>
    <row r="25411">
      <c r="A25411" s="1" t="n">
        <v>25410</v>
      </c>
      <c r="B25411">
        <f>TEXT(25410, "[$-0E0000]yyyy-mm-dd")</f>
        <v/>
      </c>
      <c r="C25411" t="inlineStr">
        <is>
          <t>1969-06-14</t>
        </is>
      </c>
    </row>
    <row r="25412">
      <c r="A25412" s="1" t="n">
        <v>25411</v>
      </c>
      <c r="B25412">
        <f>TEXT(25411, "[$-0E0000]yyyy-mm-dd")</f>
        <v/>
      </c>
      <c r="C25412" t="inlineStr">
        <is>
          <t>1969-06-15</t>
        </is>
      </c>
    </row>
    <row r="25413">
      <c r="A25413" s="1" t="n">
        <v>25412</v>
      </c>
      <c r="B25413">
        <f>TEXT(25412, "[$-0E0000]yyyy-mm-dd")</f>
        <v/>
      </c>
      <c r="C25413" t="inlineStr">
        <is>
          <t>1969-06-16</t>
        </is>
      </c>
    </row>
    <row r="25414">
      <c r="A25414" s="1" t="n">
        <v>25413</v>
      </c>
      <c r="B25414">
        <f>TEXT(25413, "[$-0E0000]yyyy-mm-dd")</f>
        <v/>
      </c>
      <c r="C25414" t="inlineStr">
        <is>
          <t>1969-06-17</t>
        </is>
      </c>
    </row>
    <row r="25415">
      <c r="A25415" s="1" t="n">
        <v>25414</v>
      </c>
      <c r="B25415">
        <f>TEXT(25414, "[$-0E0000]yyyy-mm-dd")</f>
        <v/>
      </c>
      <c r="C25415" t="inlineStr">
        <is>
          <t>1969-06-18</t>
        </is>
      </c>
    </row>
    <row r="25416">
      <c r="A25416" s="1" t="n">
        <v>25415</v>
      </c>
      <c r="B25416">
        <f>TEXT(25415, "[$-0E0000]yyyy-mm-dd")</f>
        <v/>
      </c>
      <c r="C25416" t="inlineStr">
        <is>
          <t>1969-06-19</t>
        </is>
      </c>
    </row>
    <row r="25417">
      <c r="A25417" s="1" t="n">
        <v>25416</v>
      </c>
      <c r="B25417">
        <f>TEXT(25416, "[$-0E0000]yyyy-mm-dd")</f>
        <v/>
      </c>
      <c r="C25417" t="inlineStr">
        <is>
          <t>1969-06-20</t>
        </is>
      </c>
    </row>
    <row r="25418">
      <c r="A25418" s="1" t="n">
        <v>25417</v>
      </c>
      <c r="B25418">
        <f>TEXT(25417, "[$-0E0000]yyyy-mm-dd")</f>
        <v/>
      </c>
      <c r="C25418" t="inlineStr">
        <is>
          <t>1969-06-21</t>
        </is>
      </c>
    </row>
    <row r="25419">
      <c r="A25419" s="1" t="n">
        <v>25418</v>
      </c>
      <c r="B25419">
        <f>TEXT(25418, "[$-0E0000]yyyy-mm-dd")</f>
        <v/>
      </c>
      <c r="C25419" t="inlineStr">
        <is>
          <t>1969-06-22</t>
        </is>
      </c>
    </row>
    <row r="25420">
      <c r="A25420" s="1" t="n">
        <v>25419</v>
      </c>
      <c r="B25420">
        <f>TEXT(25419, "[$-0E0000]yyyy-mm-dd")</f>
        <v/>
      </c>
      <c r="C25420" t="inlineStr">
        <is>
          <t>1969-06-23</t>
        </is>
      </c>
    </row>
    <row r="25421">
      <c r="A25421" s="1" t="n">
        <v>25420</v>
      </c>
      <c r="B25421">
        <f>TEXT(25420, "[$-0E0000]yyyy-mm-dd")</f>
        <v/>
      </c>
      <c r="C25421" t="inlineStr">
        <is>
          <t>1969-06-24</t>
        </is>
      </c>
    </row>
    <row r="25422">
      <c r="A25422" s="1" t="n">
        <v>25421</v>
      </c>
      <c r="B25422">
        <f>TEXT(25421, "[$-0E0000]yyyy-mm-dd")</f>
        <v/>
      </c>
      <c r="C25422" t="inlineStr">
        <is>
          <t>1969-06-25</t>
        </is>
      </c>
    </row>
    <row r="25423">
      <c r="A25423" s="1" t="n">
        <v>25422</v>
      </c>
      <c r="B25423">
        <f>TEXT(25422, "[$-0E0000]yyyy-mm-dd")</f>
        <v/>
      </c>
      <c r="C25423" t="inlineStr">
        <is>
          <t>1969-06-26</t>
        </is>
      </c>
    </row>
    <row r="25424">
      <c r="A25424" s="1" t="n">
        <v>25423</v>
      </c>
      <c r="B25424">
        <f>TEXT(25423, "[$-0E0000]yyyy-mm-dd")</f>
        <v/>
      </c>
      <c r="C25424" t="inlineStr">
        <is>
          <t>1969-06-27</t>
        </is>
      </c>
    </row>
    <row r="25425">
      <c r="A25425" s="1" t="n">
        <v>25424</v>
      </c>
      <c r="B25425">
        <f>TEXT(25424, "[$-0E0000]yyyy-mm-dd")</f>
        <v/>
      </c>
      <c r="C25425" t="inlineStr">
        <is>
          <t>1969-06-28</t>
        </is>
      </c>
    </row>
    <row r="25426">
      <c r="A25426" s="1" t="n">
        <v>25425</v>
      </c>
      <c r="B25426">
        <f>TEXT(25425, "[$-0E0000]yyyy-mm-dd")</f>
        <v/>
      </c>
      <c r="C25426" t="inlineStr">
        <is>
          <t>1969-06-29</t>
        </is>
      </c>
    </row>
    <row r="25427">
      <c r="A25427" s="1" t="n">
        <v>25426</v>
      </c>
      <c r="B25427">
        <f>TEXT(25426, "[$-0E0000]yyyy-mm-dd")</f>
        <v/>
      </c>
      <c r="C25427" t="inlineStr">
        <is>
          <t>1969-06-30</t>
        </is>
      </c>
    </row>
    <row r="25428">
      <c r="A25428" s="1" t="n">
        <v>25427</v>
      </c>
      <c r="B25428">
        <f>TEXT(25427, "[$-0E0000]yyyy-mm-dd")</f>
        <v/>
      </c>
      <c r="C25428" t="inlineStr">
        <is>
          <t>1969-07-01</t>
        </is>
      </c>
    </row>
    <row r="25429">
      <c r="A25429" s="1" t="n">
        <v>25428</v>
      </c>
      <c r="B25429">
        <f>TEXT(25428, "[$-0E0000]yyyy-mm-dd")</f>
        <v/>
      </c>
      <c r="C25429" t="inlineStr">
        <is>
          <t>1969-07-02</t>
        </is>
      </c>
    </row>
    <row r="25430">
      <c r="A25430" s="1" t="n">
        <v>25429</v>
      </c>
      <c r="B25430">
        <f>TEXT(25429, "[$-0E0000]yyyy-mm-dd")</f>
        <v/>
      </c>
      <c r="C25430" t="inlineStr">
        <is>
          <t>1969-07-03</t>
        </is>
      </c>
    </row>
    <row r="25431">
      <c r="A25431" s="1" t="n">
        <v>25430</v>
      </c>
      <c r="B25431">
        <f>TEXT(25430, "[$-0E0000]yyyy-mm-dd")</f>
        <v/>
      </c>
      <c r="C25431" t="inlineStr">
        <is>
          <t>1969-07-04</t>
        </is>
      </c>
    </row>
    <row r="25432">
      <c r="A25432" s="1" t="n">
        <v>25431</v>
      </c>
      <c r="B25432">
        <f>TEXT(25431, "[$-0E0000]yyyy-mm-dd")</f>
        <v/>
      </c>
      <c r="C25432" t="inlineStr">
        <is>
          <t>1969-07-05</t>
        </is>
      </c>
    </row>
    <row r="25433">
      <c r="A25433" s="1" t="n">
        <v>25432</v>
      </c>
      <c r="B25433">
        <f>TEXT(25432, "[$-0E0000]yyyy-mm-dd")</f>
        <v/>
      </c>
      <c r="C25433" t="inlineStr">
        <is>
          <t>1969-07-06</t>
        </is>
      </c>
    </row>
    <row r="25434">
      <c r="A25434" s="1" t="n">
        <v>25433</v>
      </c>
      <c r="B25434">
        <f>TEXT(25433, "[$-0E0000]yyyy-mm-dd")</f>
        <v/>
      </c>
      <c r="C25434" t="inlineStr">
        <is>
          <t>1969-07-07</t>
        </is>
      </c>
    </row>
    <row r="25435">
      <c r="A25435" s="1" t="n">
        <v>25434</v>
      </c>
      <c r="B25435">
        <f>TEXT(25434, "[$-0E0000]yyyy-mm-dd")</f>
        <v/>
      </c>
      <c r="C25435" t="inlineStr">
        <is>
          <t>1969-07-08</t>
        </is>
      </c>
    </row>
    <row r="25436">
      <c r="A25436" s="1" t="n">
        <v>25435</v>
      </c>
      <c r="B25436">
        <f>TEXT(25435, "[$-0E0000]yyyy-mm-dd")</f>
        <v/>
      </c>
      <c r="C25436" t="inlineStr">
        <is>
          <t>1969-07-09</t>
        </is>
      </c>
    </row>
    <row r="25437">
      <c r="A25437" s="1" t="n">
        <v>25436</v>
      </c>
      <c r="B25437">
        <f>TEXT(25436, "[$-0E0000]yyyy-mm-dd")</f>
        <v/>
      </c>
      <c r="C25437" t="inlineStr">
        <is>
          <t>1969-07-10</t>
        </is>
      </c>
    </row>
    <row r="25438">
      <c r="A25438" s="1" t="n">
        <v>25437</v>
      </c>
      <c r="B25438">
        <f>TEXT(25437, "[$-0E0000]yyyy-mm-dd")</f>
        <v/>
      </c>
      <c r="C25438" t="inlineStr">
        <is>
          <t>1969-07-11</t>
        </is>
      </c>
    </row>
    <row r="25439">
      <c r="A25439" s="1" t="n">
        <v>25438</v>
      </c>
      <c r="B25439">
        <f>TEXT(25438, "[$-0E0000]yyyy-mm-dd")</f>
        <v/>
      </c>
      <c r="C25439" t="inlineStr">
        <is>
          <t>1969-07-12</t>
        </is>
      </c>
    </row>
    <row r="25440">
      <c r="A25440" s="1" t="n">
        <v>25439</v>
      </c>
      <c r="B25440">
        <f>TEXT(25439, "[$-0E0000]yyyy-mm-dd")</f>
        <v/>
      </c>
      <c r="C25440" t="inlineStr">
        <is>
          <t>1969-07-13</t>
        </is>
      </c>
    </row>
    <row r="25441">
      <c r="A25441" s="1" t="n">
        <v>25440</v>
      </c>
      <c r="B25441">
        <f>TEXT(25440, "[$-0E0000]yyyy-mm-dd")</f>
        <v/>
      </c>
      <c r="C25441" t="inlineStr">
        <is>
          <t>1969-07-14</t>
        </is>
      </c>
    </row>
    <row r="25442">
      <c r="A25442" s="1" t="n">
        <v>25441</v>
      </c>
      <c r="B25442">
        <f>TEXT(25441, "[$-0E0000]yyyy-mm-dd")</f>
        <v/>
      </c>
      <c r="C25442" t="inlineStr">
        <is>
          <t>1969-07-15</t>
        </is>
      </c>
    </row>
    <row r="25443">
      <c r="A25443" s="1" t="n">
        <v>25442</v>
      </c>
      <c r="B25443">
        <f>TEXT(25442, "[$-0E0000]yyyy-mm-dd")</f>
        <v/>
      </c>
      <c r="C25443" t="inlineStr">
        <is>
          <t>1969-07-16</t>
        </is>
      </c>
    </row>
    <row r="25444">
      <c r="A25444" s="1" t="n">
        <v>25443</v>
      </c>
      <c r="B25444">
        <f>TEXT(25443, "[$-0E0000]yyyy-mm-dd")</f>
        <v/>
      </c>
      <c r="C25444" t="inlineStr">
        <is>
          <t>1969-07-17</t>
        </is>
      </c>
    </row>
    <row r="25445">
      <c r="A25445" s="1" t="n">
        <v>25444</v>
      </c>
      <c r="B25445">
        <f>TEXT(25444, "[$-0E0000]yyyy-mm-dd")</f>
        <v/>
      </c>
      <c r="C25445" t="inlineStr">
        <is>
          <t>1969-07-18</t>
        </is>
      </c>
    </row>
    <row r="25446">
      <c r="A25446" s="1" t="n">
        <v>25445</v>
      </c>
      <c r="B25446">
        <f>TEXT(25445, "[$-0E0000]yyyy-mm-dd")</f>
        <v/>
      </c>
      <c r="C25446" t="inlineStr">
        <is>
          <t>1969-07-19</t>
        </is>
      </c>
    </row>
    <row r="25447">
      <c r="A25447" s="1" t="n">
        <v>25446</v>
      </c>
      <c r="B25447">
        <f>TEXT(25446, "[$-0E0000]yyyy-mm-dd")</f>
        <v/>
      </c>
      <c r="C25447" t="inlineStr">
        <is>
          <t>1969-07-20</t>
        </is>
      </c>
    </row>
    <row r="25448">
      <c r="A25448" s="1" t="n">
        <v>25447</v>
      </c>
      <c r="B25448">
        <f>TEXT(25447, "[$-0E0000]yyyy-mm-dd")</f>
        <v/>
      </c>
      <c r="C25448" t="inlineStr">
        <is>
          <t>1969-07-21</t>
        </is>
      </c>
    </row>
    <row r="25449">
      <c r="A25449" s="1" t="n">
        <v>25448</v>
      </c>
      <c r="B25449">
        <f>TEXT(25448, "[$-0E0000]yyyy-mm-dd")</f>
        <v/>
      </c>
      <c r="C25449" t="inlineStr">
        <is>
          <t>1969-07-22</t>
        </is>
      </c>
    </row>
    <row r="25450">
      <c r="A25450" s="1" t="n">
        <v>25449</v>
      </c>
      <c r="B25450">
        <f>TEXT(25449, "[$-0E0000]yyyy-mm-dd")</f>
        <v/>
      </c>
      <c r="C25450" t="inlineStr">
        <is>
          <t>1969-07-23</t>
        </is>
      </c>
    </row>
    <row r="25451">
      <c r="A25451" s="1" t="n">
        <v>25450</v>
      </c>
      <c r="B25451">
        <f>TEXT(25450, "[$-0E0000]yyyy-mm-dd")</f>
        <v/>
      </c>
      <c r="C25451" t="inlineStr">
        <is>
          <t>1969-07-24</t>
        </is>
      </c>
    </row>
    <row r="25452">
      <c r="A25452" s="1" t="n">
        <v>25451</v>
      </c>
      <c r="B25452">
        <f>TEXT(25451, "[$-0E0000]yyyy-mm-dd")</f>
        <v/>
      </c>
      <c r="C25452" t="inlineStr">
        <is>
          <t>1969-07-25</t>
        </is>
      </c>
    </row>
    <row r="25453">
      <c r="A25453" s="1" t="n">
        <v>25452</v>
      </c>
      <c r="B25453">
        <f>TEXT(25452, "[$-0E0000]yyyy-mm-dd")</f>
        <v/>
      </c>
      <c r="C25453" t="inlineStr">
        <is>
          <t>1969-07-26</t>
        </is>
      </c>
    </row>
    <row r="25454">
      <c r="A25454" s="1" t="n">
        <v>25453</v>
      </c>
      <c r="B25454">
        <f>TEXT(25453, "[$-0E0000]yyyy-mm-dd")</f>
        <v/>
      </c>
      <c r="C25454" t="inlineStr">
        <is>
          <t>1969-07-27</t>
        </is>
      </c>
    </row>
    <row r="25455">
      <c r="A25455" s="1" t="n">
        <v>25454</v>
      </c>
      <c r="B25455">
        <f>TEXT(25454, "[$-0E0000]yyyy-mm-dd")</f>
        <v/>
      </c>
      <c r="C25455" t="inlineStr">
        <is>
          <t>1969-07-28</t>
        </is>
      </c>
    </row>
    <row r="25456">
      <c r="A25456" s="1" t="n">
        <v>25455</v>
      </c>
      <c r="B25456">
        <f>TEXT(25455, "[$-0E0000]yyyy-mm-dd")</f>
        <v/>
      </c>
      <c r="C25456" t="inlineStr">
        <is>
          <t>1969-07-29</t>
        </is>
      </c>
    </row>
    <row r="25457">
      <c r="A25457" s="1" t="n">
        <v>25456</v>
      </c>
      <c r="B25457">
        <f>TEXT(25456, "[$-0E0000]yyyy-mm-dd")</f>
        <v/>
      </c>
      <c r="C25457" t="inlineStr">
        <is>
          <t>1969-07-30</t>
        </is>
      </c>
    </row>
    <row r="25458">
      <c r="A25458" s="1" t="n">
        <v>25457</v>
      </c>
      <c r="B25458">
        <f>TEXT(25457, "[$-0E0000]yyyy-mm-dd")</f>
        <v/>
      </c>
      <c r="C25458" t="inlineStr">
        <is>
          <t>1969-08-01</t>
        </is>
      </c>
    </row>
    <row r="25459">
      <c r="A25459" s="1" t="n">
        <v>25458</v>
      </c>
      <c r="B25459">
        <f>TEXT(25458, "[$-0E0000]yyyy-mm-dd")</f>
        <v/>
      </c>
      <c r="C25459" t="inlineStr">
        <is>
          <t>1969-08-02</t>
        </is>
      </c>
    </row>
    <row r="25460">
      <c r="A25460" s="1" t="n">
        <v>25459</v>
      </c>
      <c r="B25460">
        <f>TEXT(25459, "[$-0E0000]yyyy-mm-dd")</f>
        <v/>
      </c>
      <c r="C25460" t="inlineStr">
        <is>
          <t>1969-08-03</t>
        </is>
      </c>
    </row>
    <row r="25461">
      <c r="A25461" s="1" t="n">
        <v>25460</v>
      </c>
      <c r="B25461">
        <f>TEXT(25460, "[$-0E0000]yyyy-mm-dd")</f>
        <v/>
      </c>
      <c r="C25461" t="inlineStr">
        <is>
          <t>1969-08-04</t>
        </is>
      </c>
    </row>
    <row r="25462">
      <c r="A25462" s="1" t="n">
        <v>25461</v>
      </c>
      <c r="B25462">
        <f>TEXT(25461, "[$-0E0000]yyyy-mm-dd")</f>
        <v/>
      </c>
      <c r="C25462" t="inlineStr">
        <is>
          <t>1969-08-05</t>
        </is>
      </c>
    </row>
    <row r="25463">
      <c r="A25463" s="1" t="n">
        <v>25462</v>
      </c>
      <c r="B25463">
        <f>TEXT(25462, "[$-0E0000]yyyy-mm-dd")</f>
        <v/>
      </c>
      <c r="C25463" t="inlineStr">
        <is>
          <t>1969-08-06</t>
        </is>
      </c>
    </row>
    <row r="25464">
      <c r="A25464" s="1" t="n">
        <v>25463</v>
      </c>
      <c r="B25464">
        <f>TEXT(25463, "[$-0E0000]yyyy-mm-dd")</f>
        <v/>
      </c>
      <c r="C25464" t="inlineStr">
        <is>
          <t>1969-08-07</t>
        </is>
      </c>
    </row>
    <row r="25465">
      <c r="A25465" s="1" t="n">
        <v>25464</v>
      </c>
      <c r="B25465">
        <f>TEXT(25464, "[$-0E0000]yyyy-mm-dd")</f>
        <v/>
      </c>
      <c r="C25465" t="inlineStr">
        <is>
          <t>1969-08-08</t>
        </is>
      </c>
    </row>
    <row r="25466">
      <c r="A25466" s="1" t="n">
        <v>25465</v>
      </c>
      <c r="B25466">
        <f>TEXT(25465, "[$-0E0000]yyyy-mm-dd")</f>
        <v/>
      </c>
      <c r="C25466" t="inlineStr">
        <is>
          <t>1969-08-09</t>
        </is>
      </c>
    </row>
    <row r="25467">
      <c r="A25467" s="1" t="n">
        <v>25466</v>
      </c>
      <c r="B25467">
        <f>TEXT(25466, "[$-0E0000]yyyy-mm-dd")</f>
        <v/>
      </c>
      <c r="C25467" t="inlineStr">
        <is>
          <t>1969-08-10</t>
        </is>
      </c>
    </row>
    <row r="25468">
      <c r="A25468" s="1" t="n">
        <v>25467</v>
      </c>
      <c r="B25468">
        <f>TEXT(25467, "[$-0E0000]yyyy-mm-dd")</f>
        <v/>
      </c>
      <c r="C25468" t="inlineStr">
        <is>
          <t>1969-08-11</t>
        </is>
      </c>
    </row>
    <row r="25469">
      <c r="A25469" s="1" t="n">
        <v>25468</v>
      </c>
      <c r="B25469">
        <f>TEXT(25468, "[$-0E0000]yyyy-mm-dd")</f>
        <v/>
      </c>
      <c r="C25469" t="inlineStr">
        <is>
          <t>1969-08-12</t>
        </is>
      </c>
    </row>
    <row r="25470">
      <c r="A25470" s="1" t="n">
        <v>25469</v>
      </c>
      <c r="B25470">
        <f>TEXT(25469, "[$-0E0000]yyyy-mm-dd")</f>
        <v/>
      </c>
      <c r="C25470" t="inlineStr">
        <is>
          <t>1969-08-13</t>
        </is>
      </c>
    </row>
    <row r="25471">
      <c r="A25471" s="1" t="n">
        <v>25470</v>
      </c>
      <c r="B25471">
        <f>TEXT(25470, "[$-0E0000]yyyy-mm-dd")</f>
        <v/>
      </c>
      <c r="C25471" t="inlineStr">
        <is>
          <t>1969-08-14</t>
        </is>
      </c>
    </row>
    <row r="25472">
      <c r="A25472" s="1" t="n">
        <v>25471</v>
      </c>
      <c r="B25472">
        <f>TEXT(25471, "[$-0E0000]yyyy-mm-dd")</f>
        <v/>
      </c>
      <c r="C25472" t="inlineStr">
        <is>
          <t>1969-08-15</t>
        </is>
      </c>
    </row>
    <row r="25473">
      <c r="A25473" s="1" t="n">
        <v>25472</v>
      </c>
      <c r="B25473">
        <f>TEXT(25472, "[$-0E0000]yyyy-mm-dd")</f>
        <v/>
      </c>
      <c r="C25473" t="inlineStr">
        <is>
          <t>1969-08-16</t>
        </is>
      </c>
    </row>
    <row r="25474">
      <c r="A25474" s="1" t="n">
        <v>25473</v>
      </c>
      <c r="B25474">
        <f>TEXT(25473, "[$-0E0000]yyyy-mm-dd")</f>
        <v/>
      </c>
      <c r="C25474" t="inlineStr">
        <is>
          <t>1969-08-17</t>
        </is>
      </c>
    </row>
    <row r="25475">
      <c r="A25475" s="1" t="n">
        <v>25474</v>
      </c>
      <c r="B25475">
        <f>TEXT(25474, "[$-0E0000]yyyy-mm-dd")</f>
        <v/>
      </c>
      <c r="C25475" t="inlineStr">
        <is>
          <t>1969-08-18</t>
        </is>
      </c>
    </row>
    <row r="25476">
      <c r="A25476" s="1" t="n">
        <v>25475</v>
      </c>
      <c r="B25476">
        <f>TEXT(25475, "[$-0E0000]yyyy-mm-dd")</f>
        <v/>
      </c>
      <c r="C25476" t="inlineStr">
        <is>
          <t>1969-08-19</t>
        </is>
      </c>
    </row>
    <row r="25477">
      <c r="A25477" s="1" t="n">
        <v>25476</v>
      </c>
      <c r="B25477">
        <f>TEXT(25476, "[$-0E0000]yyyy-mm-dd")</f>
        <v/>
      </c>
      <c r="C25477" t="inlineStr">
        <is>
          <t>1969-08-20</t>
        </is>
      </c>
    </row>
    <row r="25478">
      <c r="A25478" s="1" t="n">
        <v>25477</v>
      </c>
      <c r="B25478">
        <f>TEXT(25477, "[$-0E0000]yyyy-mm-dd")</f>
        <v/>
      </c>
      <c r="C25478" t="inlineStr">
        <is>
          <t>1969-08-21</t>
        </is>
      </c>
    </row>
    <row r="25479">
      <c r="A25479" s="1" t="n">
        <v>25478</v>
      </c>
      <c r="B25479">
        <f>TEXT(25478, "[$-0E0000]yyyy-mm-dd")</f>
        <v/>
      </c>
      <c r="C25479" t="inlineStr">
        <is>
          <t>1969-08-22</t>
        </is>
      </c>
    </row>
    <row r="25480">
      <c r="A25480" s="1" t="n">
        <v>25479</v>
      </c>
      <c r="B25480">
        <f>TEXT(25479, "[$-0E0000]yyyy-mm-dd")</f>
        <v/>
      </c>
      <c r="C25480" t="inlineStr">
        <is>
          <t>1969-08-23</t>
        </is>
      </c>
    </row>
    <row r="25481">
      <c r="A25481" s="1" t="n">
        <v>25480</v>
      </c>
      <c r="B25481">
        <f>TEXT(25480, "[$-0E0000]yyyy-mm-dd")</f>
        <v/>
      </c>
      <c r="C25481" t="inlineStr">
        <is>
          <t>1969-08-24</t>
        </is>
      </c>
    </row>
    <row r="25482">
      <c r="A25482" s="1" t="n">
        <v>25481</v>
      </c>
      <c r="B25482">
        <f>TEXT(25481, "[$-0E0000]yyyy-mm-dd")</f>
        <v/>
      </c>
      <c r="C25482" t="inlineStr">
        <is>
          <t>1969-08-25</t>
        </is>
      </c>
    </row>
    <row r="25483">
      <c r="A25483" s="1" t="n">
        <v>25482</v>
      </c>
      <c r="B25483">
        <f>TEXT(25482, "[$-0E0000]yyyy-mm-dd")</f>
        <v/>
      </c>
      <c r="C25483" t="inlineStr">
        <is>
          <t>1969-08-26</t>
        </is>
      </c>
    </row>
    <row r="25484">
      <c r="A25484" s="1" t="n">
        <v>25483</v>
      </c>
      <c r="B25484">
        <f>TEXT(25483, "[$-0E0000]yyyy-mm-dd")</f>
        <v/>
      </c>
      <c r="C25484" t="inlineStr">
        <is>
          <t>1969-08-27</t>
        </is>
      </c>
    </row>
    <row r="25485">
      <c r="A25485" s="1" t="n">
        <v>25484</v>
      </c>
      <c r="B25485">
        <f>TEXT(25484, "[$-0E0000]yyyy-mm-dd")</f>
        <v/>
      </c>
      <c r="C25485" t="inlineStr">
        <is>
          <t>1969-08-28</t>
        </is>
      </c>
    </row>
    <row r="25486">
      <c r="A25486" s="1" t="n">
        <v>25485</v>
      </c>
      <c r="B25486">
        <f>TEXT(25485, "[$-0E0000]yyyy-mm-dd")</f>
        <v/>
      </c>
      <c r="C25486" t="inlineStr">
        <is>
          <t>1969-08-29</t>
        </is>
      </c>
    </row>
    <row r="25487">
      <c r="A25487" s="1" t="n">
        <v>25486</v>
      </c>
      <c r="B25487">
        <f>TEXT(25486, "[$-0E0000]yyyy-mm-dd")</f>
        <v/>
      </c>
      <c r="C25487" t="inlineStr">
        <is>
          <t>1969-09-01</t>
        </is>
      </c>
    </row>
    <row r="25488">
      <c r="A25488" s="1" t="n">
        <v>25487</v>
      </c>
      <c r="B25488">
        <f>TEXT(25487, "[$-0E0000]yyyy-mm-dd")</f>
        <v/>
      </c>
      <c r="C25488" t="inlineStr">
        <is>
          <t>1969-09-02</t>
        </is>
      </c>
    </row>
    <row r="25489">
      <c r="A25489" s="1" t="n">
        <v>25488</v>
      </c>
      <c r="B25489">
        <f>TEXT(25488, "[$-0E0000]yyyy-mm-dd")</f>
        <v/>
      </c>
      <c r="C25489" t="inlineStr">
        <is>
          <t>1969-09-03</t>
        </is>
      </c>
    </row>
    <row r="25490">
      <c r="A25490" s="1" t="n">
        <v>25489</v>
      </c>
      <c r="B25490">
        <f>TEXT(25489, "[$-0E0000]yyyy-mm-dd")</f>
        <v/>
      </c>
      <c r="C25490" t="inlineStr">
        <is>
          <t>1969-09-04</t>
        </is>
      </c>
    </row>
    <row r="25491">
      <c r="A25491" s="1" t="n">
        <v>25490</v>
      </c>
      <c r="B25491">
        <f>TEXT(25490, "[$-0E0000]yyyy-mm-dd")</f>
        <v/>
      </c>
      <c r="C25491" t="inlineStr">
        <is>
          <t>1969-09-05</t>
        </is>
      </c>
    </row>
    <row r="25492">
      <c r="A25492" s="1" t="n">
        <v>25491</v>
      </c>
      <c r="B25492">
        <f>TEXT(25491, "[$-0E0000]yyyy-mm-dd")</f>
        <v/>
      </c>
      <c r="C25492" t="inlineStr">
        <is>
          <t>1969-09-06</t>
        </is>
      </c>
    </row>
    <row r="25493">
      <c r="A25493" s="1" t="n">
        <v>25492</v>
      </c>
      <c r="B25493">
        <f>TEXT(25492, "[$-0E0000]yyyy-mm-dd")</f>
        <v/>
      </c>
      <c r="C25493" t="inlineStr">
        <is>
          <t>1969-09-07</t>
        </is>
      </c>
    </row>
    <row r="25494">
      <c r="A25494" s="1" t="n">
        <v>25493</v>
      </c>
      <c r="B25494">
        <f>TEXT(25493, "[$-0E0000]yyyy-mm-dd")</f>
        <v/>
      </c>
      <c r="C25494" t="inlineStr">
        <is>
          <t>1969-09-08</t>
        </is>
      </c>
    </row>
    <row r="25495">
      <c r="A25495" s="1" t="n">
        <v>25494</v>
      </c>
      <c r="B25495">
        <f>TEXT(25494, "[$-0E0000]yyyy-mm-dd")</f>
        <v/>
      </c>
      <c r="C25495" t="inlineStr">
        <is>
          <t>1969-09-09</t>
        </is>
      </c>
    </row>
    <row r="25496">
      <c r="A25496" s="1" t="n">
        <v>25495</v>
      </c>
      <c r="B25496">
        <f>TEXT(25495, "[$-0E0000]yyyy-mm-dd")</f>
        <v/>
      </c>
      <c r="C25496" t="inlineStr">
        <is>
          <t>1969-09-10</t>
        </is>
      </c>
    </row>
    <row r="25497">
      <c r="A25497" s="1" t="n">
        <v>25496</v>
      </c>
      <c r="B25497">
        <f>TEXT(25496, "[$-0E0000]yyyy-mm-dd")</f>
        <v/>
      </c>
      <c r="C25497" t="inlineStr">
        <is>
          <t>1969-09-11</t>
        </is>
      </c>
    </row>
    <row r="25498">
      <c r="A25498" s="1" t="n">
        <v>25497</v>
      </c>
      <c r="B25498">
        <f>TEXT(25497, "[$-0E0000]yyyy-mm-dd")</f>
        <v/>
      </c>
      <c r="C25498" t="inlineStr">
        <is>
          <t>1969-09-12</t>
        </is>
      </c>
    </row>
    <row r="25499">
      <c r="A25499" s="1" t="n">
        <v>25498</v>
      </c>
      <c r="B25499">
        <f>TEXT(25498, "[$-0E0000]yyyy-mm-dd")</f>
        <v/>
      </c>
      <c r="C25499" t="inlineStr">
        <is>
          <t>1969-09-13</t>
        </is>
      </c>
    </row>
    <row r="25500">
      <c r="A25500" s="1" t="n">
        <v>25499</v>
      </c>
      <c r="B25500">
        <f>TEXT(25499, "[$-0E0000]yyyy-mm-dd")</f>
        <v/>
      </c>
      <c r="C25500" t="inlineStr">
        <is>
          <t>1969-09-14</t>
        </is>
      </c>
    </row>
    <row r="25501">
      <c r="A25501" s="1" t="n">
        <v>25500</v>
      </c>
      <c r="B25501">
        <f>TEXT(25500, "[$-0E0000]yyyy-mm-dd")</f>
        <v/>
      </c>
      <c r="C25501" t="inlineStr">
        <is>
          <t>1969-09-15</t>
        </is>
      </c>
    </row>
    <row r="25502">
      <c r="A25502" s="1" t="n">
        <v>25501</v>
      </c>
      <c r="B25502">
        <f>TEXT(25501, "[$-0E0000]yyyy-mm-dd")</f>
        <v/>
      </c>
      <c r="C25502" t="inlineStr">
        <is>
          <t>1969-09-16</t>
        </is>
      </c>
    </row>
    <row r="25503">
      <c r="A25503" s="1" t="n">
        <v>25502</v>
      </c>
      <c r="B25503">
        <f>TEXT(25502, "[$-0E0000]yyyy-mm-dd")</f>
        <v/>
      </c>
      <c r="C25503" t="inlineStr">
        <is>
          <t>1969-09-17</t>
        </is>
      </c>
    </row>
    <row r="25504">
      <c r="A25504" s="1" t="n">
        <v>25503</v>
      </c>
      <c r="B25504">
        <f>TEXT(25503, "[$-0E0000]yyyy-mm-dd")</f>
        <v/>
      </c>
      <c r="C25504" t="inlineStr">
        <is>
          <t>1969-09-18</t>
        </is>
      </c>
    </row>
    <row r="25505">
      <c r="A25505" s="1" t="n">
        <v>25504</v>
      </c>
      <c r="B25505">
        <f>TEXT(25504, "[$-0E0000]yyyy-mm-dd")</f>
        <v/>
      </c>
      <c r="C25505" t="inlineStr">
        <is>
          <t>1969-09-19</t>
        </is>
      </c>
    </row>
    <row r="25506">
      <c r="A25506" s="1" t="n">
        <v>25505</v>
      </c>
      <c r="B25506">
        <f>TEXT(25505, "[$-0E0000]yyyy-mm-dd")</f>
        <v/>
      </c>
      <c r="C25506" t="inlineStr">
        <is>
          <t>1969-09-20</t>
        </is>
      </c>
    </row>
    <row r="25507">
      <c r="A25507" s="1" t="n">
        <v>25506</v>
      </c>
      <c r="B25507">
        <f>TEXT(25506, "[$-0E0000]yyyy-mm-dd")</f>
        <v/>
      </c>
      <c r="C25507" t="inlineStr">
        <is>
          <t>1969-09-21</t>
        </is>
      </c>
    </row>
    <row r="25508">
      <c r="A25508" s="1" t="n">
        <v>25507</v>
      </c>
      <c r="B25508">
        <f>TEXT(25507, "[$-0E0000]yyyy-mm-dd")</f>
        <v/>
      </c>
      <c r="C25508" t="inlineStr">
        <is>
          <t>1969-09-22</t>
        </is>
      </c>
    </row>
    <row r="25509">
      <c r="A25509" s="1" t="n">
        <v>25508</v>
      </c>
      <c r="B25509">
        <f>TEXT(25508, "[$-0E0000]yyyy-mm-dd")</f>
        <v/>
      </c>
      <c r="C25509" t="inlineStr">
        <is>
          <t>1969-09-23</t>
        </is>
      </c>
    </row>
    <row r="25510">
      <c r="A25510" s="1" t="n">
        <v>25509</v>
      </c>
      <c r="B25510">
        <f>TEXT(25509, "[$-0E0000]yyyy-mm-dd")</f>
        <v/>
      </c>
      <c r="C25510" t="inlineStr">
        <is>
          <t>1969-09-24</t>
        </is>
      </c>
    </row>
    <row r="25511">
      <c r="A25511" s="1" t="n">
        <v>25510</v>
      </c>
      <c r="B25511">
        <f>TEXT(25510, "[$-0E0000]yyyy-mm-dd")</f>
        <v/>
      </c>
      <c r="C25511" t="inlineStr">
        <is>
          <t>1969-09-25</t>
        </is>
      </c>
    </row>
    <row r="25512">
      <c r="A25512" s="1" t="n">
        <v>25511</v>
      </c>
      <c r="B25512">
        <f>TEXT(25511, "[$-0E0000]yyyy-mm-dd")</f>
        <v/>
      </c>
      <c r="C25512" t="inlineStr">
        <is>
          <t>1969-09-26</t>
        </is>
      </c>
    </row>
    <row r="25513">
      <c r="A25513" s="1" t="n">
        <v>25512</v>
      </c>
      <c r="B25513">
        <f>TEXT(25512, "[$-0E0000]yyyy-mm-dd")</f>
        <v/>
      </c>
      <c r="C25513" t="inlineStr">
        <is>
          <t>1969-09-27</t>
        </is>
      </c>
    </row>
    <row r="25514">
      <c r="A25514" s="1" t="n">
        <v>25513</v>
      </c>
      <c r="B25514">
        <f>TEXT(25513, "[$-0E0000]yyyy-mm-dd")</f>
        <v/>
      </c>
      <c r="C25514" t="inlineStr">
        <is>
          <t>1969-09-28</t>
        </is>
      </c>
    </row>
    <row r="25515">
      <c r="A25515" s="1" t="n">
        <v>25514</v>
      </c>
      <c r="B25515">
        <f>TEXT(25514, "[$-0E0000]yyyy-mm-dd")</f>
        <v/>
      </c>
      <c r="C25515" t="inlineStr">
        <is>
          <t>1969-09-29</t>
        </is>
      </c>
    </row>
    <row r="25516">
      <c r="A25516" s="1" t="n">
        <v>25515</v>
      </c>
      <c r="B25516">
        <f>TEXT(25515, "[$-0E0000]yyyy-mm-dd")</f>
        <v/>
      </c>
      <c r="C25516" t="inlineStr">
        <is>
          <t>1969-09-30</t>
        </is>
      </c>
    </row>
    <row r="25517">
      <c r="A25517" s="1" t="n">
        <v>25516</v>
      </c>
      <c r="B25517">
        <f>TEXT(25516, "[$-0E0000]yyyy-mm-dd")</f>
        <v/>
      </c>
      <c r="C25517" t="inlineStr">
        <is>
          <t>1969-10-01</t>
        </is>
      </c>
    </row>
    <row r="25518">
      <c r="A25518" s="1" t="n">
        <v>25517</v>
      </c>
      <c r="B25518">
        <f>TEXT(25517, "[$-0E0000]yyyy-mm-dd")</f>
        <v/>
      </c>
      <c r="C25518" t="inlineStr">
        <is>
          <t>1969-10-02</t>
        </is>
      </c>
    </row>
    <row r="25519">
      <c r="A25519" s="1" t="n">
        <v>25518</v>
      </c>
      <c r="B25519">
        <f>TEXT(25518, "[$-0E0000]yyyy-mm-dd")</f>
        <v/>
      </c>
      <c r="C25519" t="inlineStr">
        <is>
          <t>1969-10-03</t>
        </is>
      </c>
    </row>
    <row r="25520">
      <c r="A25520" s="1" t="n">
        <v>25519</v>
      </c>
      <c r="B25520">
        <f>TEXT(25519, "[$-0E0000]yyyy-mm-dd")</f>
        <v/>
      </c>
      <c r="C25520" t="inlineStr">
        <is>
          <t>1969-10-04</t>
        </is>
      </c>
    </row>
    <row r="25521">
      <c r="A25521" s="1" t="n">
        <v>25520</v>
      </c>
      <c r="B25521">
        <f>TEXT(25520, "[$-0E0000]yyyy-mm-dd")</f>
        <v/>
      </c>
      <c r="C25521" t="inlineStr">
        <is>
          <t>1969-10-05</t>
        </is>
      </c>
    </row>
    <row r="25522">
      <c r="A25522" s="1" t="n">
        <v>25521</v>
      </c>
      <c r="B25522">
        <f>TEXT(25521, "[$-0E0000]yyyy-mm-dd")</f>
        <v/>
      </c>
      <c r="C25522" t="inlineStr">
        <is>
          <t>1969-10-06</t>
        </is>
      </c>
    </row>
    <row r="25523">
      <c r="A25523" s="1" t="n">
        <v>25522</v>
      </c>
      <c r="B25523">
        <f>TEXT(25522, "[$-0E0000]yyyy-mm-dd")</f>
        <v/>
      </c>
      <c r="C25523" t="inlineStr">
        <is>
          <t>1969-10-07</t>
        </is>
      </c>
    </row>
    <row r="25524">
      <c r="A25524" s="1" t="n">
        <v>25523</v>
      </c>
      <c r="B25524">
        <f>TEXT(25523, "[$-0E0000]yyyy-mm-dd")</f>
        <v/>
      </c>
      <c r="C25524" t="inlineStr">
        <is>
          <t>1969-10-08</t>
        </is>
      </c>
    </row>
    <row r="25525">
      <c r="A25525" s="1" t="n">
        <v>25524</v>
      </c>
      <c r="B25525">
        <f>TEXT(25524, "[$-0E0000]yyyy-mm-dd")</f>
        <v/>
      </c>
      <c r="C25525" t="inlineStr">
        <is>
          <t>1969-10-09</t>
        </is>
      </c>
    </row>
    <row r="25526">
      <c r="A25526" s="1" t="n">
        <v>25525</v>
      </c>
      <c r="B25526">
        <f>TEXT(25525, "[$-0E0000]yyyy-mm-dd")</f>
        <v/>
      </c>
      <c r="C25526" t="inlineStr">
        <is>
          <t>1969-10-10</t>
        </is>
      </c>
    </row>
    <row r="25527">
      <c r="A25527" s="1" t="n">
        <v>25526</v>
      </c>
      <c r="B25527">
        <f>TEXT(25526, "[$-0E0000]yyyy-mm-dd")</f>
        <v/>
      </c>
      <c r="C25527" t="inlineStr">
        <is>
          <t>1969-10-11</t>
        </is>
      </c>
    </row>
    <row r="25528">
      <c r="A25528" s="1" t="n">
        <v>25527</v>
      </c>
      <c r="B25528">
        <f>TEXT(25527, "[$-0E0000]yyyy-mm-dd")</f>
        <v/>
      </c>
      <c r="C25528" t="inlineStr">
        <is>
          <t>1969-10-12</t>
        </is>
      </c>
    </row>
    <row r="25529">
      <c r="A25529" s="1" t="n">
        <v>25528</v>
      </c>
      <c r="B25529">
        <f>TEXT(25528, "[$-0E0000]yyyy-mm-dd")</f>
        <v/>
      </c>
      <c r="C25529" t="inlineStr">
        <is>
          <t>1969-10-13</t>
        </is>
      </c>
    </row>
    <row r="25530">
      <c r="A25530" s="1" t="n">
        <v>25529</v>
      </c>
      <c r="B25530">
        <f>TEXT(25529, "[$-0E0000]yyyy-mm-dd")</f>
        <v/>
      </c>
      <c r="C25530" t="inlineStr">
        <is>
          <t>1969-10-14</t>
        </is>
      </c>
    </row>
    <row r="25531">
      <c r="A25531" s="1" t="n">
        <v>25530</v>
      </c>
      <c r="B25531">
        <f>TEXT(25530, "[$-0E0000]yyyy-mm-dd")</f>
        <v/>
      </c>
      <c r="C25531" t="inlineStr">
        <is>
          <t>1969-10-15</t>
        </is>
      </c>
    </row>
    <row r="25532">
      <c r="A25532" s="1" t="n">
        <v>25531</v>
      </c>
      <c r="B25532">
        <f>TEXT(25531, "[$-0E0000]yyyy-mm-dd")</f>
        <v/>
      </c>
      <c r="C25532" t="inlineStr">
        <is>
          <t>1969-10-16</t>
        </is>
      </c>
    </row>
    <row r="25533">
      <c r="A25533" s="1" t="n">
        <v>25532</v>
      </c>
      <c r="B25533">
        <f>TEXT(25532, "[$-0E0000]yyyy-mm-dd")</f>
        <v/>
      </c>
      <c r="C25533" t="inlineStr">
        <is>
          <t>1969-10-17</t>
        </is>
      </c>
    </row>
    <row r="25534">
      <c r="A25534" s="1" t="n">
        <v>25533</v>
      </c>
      <c r="B25534">
        <f>TEXT(25533, "[$-0E0000]yyyy-mm-dd")</f>
        <v/>
      </c>
      <c r="C25534" t="inlineStr">
        <is>
          <t>1969-10-18</t>
        </is>
      </c>
    </row>
    <row r="25535">
      <c r="A25535" s="1" t="n">
        <v>25534</v>
      </c>
      <c r="B25535">
        <f>TEXT(25534, "[$-0E0000]yyyy-mm-dd")</f>
        <v/>
      </c>
      <c r="C25535" t="inlineStr">
        <is>
          <t>1969-10-19</t>
        </is>
      </c>
    </row>
    <row r="25536">
      <c r="A25536" s="1" t="n">
        <v>25535</v>
      </c>
      <c r="B25536">
        <f>TEXT(25535, "[$-0E0000]yyyy-mm-dd")</f>
        <v/>
      </c>
      <c r="C25536" t="inlineStr">
        <is>
          <t>1969-10-20</t>
        </is>
      </c>
    </row>
    <row r="25537">
      <c r="A25537" s="1" t="n">
        <v>25536</v>
      </c>
      <c r="B25537">
        <f>TEXT(25536, "[$-0E0000]yyyy-mm-dd")</f>
        <v/>
      </c>
      <c r="C25537" t="inlineStr">
        <is>
          <t>1969-10-21</t>
        </is>
      </c>
    </row>
    <row r="25538">
      <c r="A25538" s="1" t="n">
        <v>25537</v>
      </c>
      <c r="B25538">
        <f>TEXT(25537, "[$-0E0000]yyyy-mm-dd")</f>
        <v/>
      </c>
      <c r="C25538" t="inlineStr">
        <is>
          <t>1969-10-22</t>
        </is>
      </c>
    </row>
    <row r="25539">
      <c r="A25539" s="1" t="n">
        <v>25538</v>
      </c>
      <c r="B25539">
        <f>TEXT(25538, "[$-0E0000]yyyy-mm-dd")</f>
        <v/>
      </c>
      <c r="C25539" t="inlineStr">
        <is>
          <t>1969-10-23</t>
        </is>
      </c>
    </row>
    <row r="25540">
      <c r="A25540" s="1" t="n">
        <v>25539</v>
      </c>
      <c r="B25540">
        <f>TEXT(25539, "[$-0E0000]yyyy-mm-dd")</f>
        <v/>
      </c>
      <c r="C25540" t="inlineStr">
        <is>
          <t>1969-10-24</t>
        </is>
      </c>
    </row>
    <row r="25541">
      <c r="A25541" s="1" t="n">
        <v>25540</v>
      </c>
      <c r="B25541">
        <f>TEXT(25540, "[$-0E0000]yyyy-mm-dd")</f>
        <v/>
      </c>
      <c r="C25541" t="inlineStr">
        <is>
          <t>1969-10-25</t>
        </is>
      </c>
    </row>
    <row r="25542">
      <c r="A25542" s="1" t="n">
        <v>25541</v>
      </c>
      <c r="B25542">
        <f>TEXT(25541, "[$-0E0000]yyyy-mm-dd")</f>
        <v/>
      </c>
      <c r="C25542" t="inlineStr">
        <is>
          <t>1969-10-26</t>
        </is>
      </c>
    </row>
    <row r="25543">
      <c r="A25543" s="1" t="n">
        <v>25542</v>
      </c>
      <c r="B25543">
        <f>TEXT(25542, "[$-0E0000]yyyy-mm-dd")</f>
        <v/>
      </c>
      <c r="C25543" t="inlineStr">
        <is>
          <t>1969-10-27</t>
        </is>
      </c>
    </row>
    <row r="25544">
      <c r="A25544" s="1" t="n">
        <v>25543</v>
      </c>
      <c r="B25544">
        <f>TEXT(25543, "[$-0E0000]yyyy-mm-dd")</f>
        <v/>
      </c>
      <c r="C25544" t="inlineStr">
        <is>
          <t>1969-10-28</t>
        </is>
      </c>
    </row>
    <row r="25545">
      <c r="A25545" s="1" t="n">
        <v>25544</v>
      </c>
      <c r="B25545">
        <f>TEXT(25544, "[$-0E0000]yyyy-mm-dd")</f>
        <v/>
      </c>
      <c r="C25545" t="inlineStr">
        <is>
          <t>1969-10-29</t>
        </is>
      </c>
    </row>
    <row r="25546">
      <c r="A25546" s="1" t="n">
        <v>25545</v>
      </c>
      <c r="B25546">
        <f>TEXT(25545, "[$-0E0000]yyyy-mm-dd")</f>
        <v/>
      </c>
      <c r="C25546" t="inlineStr">
        <is>
          <t>1969-11-01</t>
        </is>
      </c>
    </row>
    <row r="25547">
      <c r="A25547" s="1" t="n">
        <v>25546</v>
      </c>
      <c r="B25547">
        <f>TEXT(25546, "[$-0E0000]yyyy-mm-dd")</f>
        <v/>
      </c>
      <c r="C25547" t="inlineStr">
        <is>
          <t>1969-11-02</t>
        </is>
      </c>
    </row>
    <row r="25548">
      <c r="A25548" s="1" t="n">
        <v>25547</v>
      </c>
      <c r="B25548">
        <f>TEXT(25547, "[$-0E0000]yyyy-mm-dd")</f>
        <v/>
      </c>
      <c r="C25548" t="inlineStr">
        <is>
          <t>1969-11-03</t>
        </is>
      </c>
    </row>
    <row r="25549">
      <c r="A25549" s="1" t="n">
        <v>25548</v>
      </c>
      <c r="B25549">
        <f>TEXT(25548, "[$-0E0000]yyyy-mm-dd")</f>
        <v/>
      </c>
      <c r="C25549" t="inlineStr">
        <is>
          <t>1969-11-04</t>
        </is>
      </c>
    </row>
    <row r="25550">
      <c r="A25550" s="1" t="n">
        <v>25549</v>
      </c>
      <c r="B25550">
        <f>TEXT(25549, "[$-0E0000]yyyy-mm-dd")</f>
        <v/>
      </c>
      <c r="C25550" t="inlineStr">
        <is>
          <t>1969-11-05</t>
        </is>
      </c>
    </row>
    <row r="25551">
      <c r="A25551" s="1" t="n">
        <v>25550</v>
      </c>
      <c r="B25551">
        <f>TEXT(25550, "[$-0E0000]yyyy-mm-dd")</f>
        <v/>
      </c>
      <c r="C25551" t="inlineStr">
        <is>
          <t>1969-11-06</t>
        </is>
      </c>
    </row>
    <row r="25552">
      <c r="A25552" s="1" t="n">
        <v>25551</v>
      </c>
      <c r="B25552">
        <f>TEXT(25551, "[$-0E0000]yyyy-mm-dd")</f>
        <v/>
      </c>
      <c r="C25552" t="inlineStr">
        <is>
          <t>1969-11-07</t>
        </is>
      </c>
    </row>
    <row r="25553">
      <c r="A25553" s="1" t="n">
        <v>25552</v>
      </c>
      <c r="B25553">
        <f>TEXT(25552, "[$-0E0000]yyyy-mm-dd")</f>
        <v/>
      </c>
      <c r="C25553" t="inlineStr">
        <is>
          <t>1969-11-08</t>
        </is>
      </c>
    </row>
    <row r="25554">
      <c r="A25554" s="1" t="n">
        <v>25553</v>
      </c>
      <c r="B25554">
        <f>TEXT(25553, "[$-0E0000]yyyy-mm-dd")</f>
        <v/>
      </c>
      <c r="C25554" t="inlineStr">
        <is>
          <t>1969-11-09</t>
        </is>
      </c>
    </row>
    <row r="25555">
      <c r="A25555" s="1" t="n">
        <v>25554</v>
      </c>
      <c r="B25555">
        <f>TEXT(25554, "[$-0E0000]yyyy-mm-dd")</f>
        <v/>
      </c>
      <c r="C25555" t="inlineStr">
        <is>
          <t>1969-11-10</t>
        </is>
      </c>
    </row>
    <row r="25556">
      <c r="A25556" s="1" t="n">
        <v>25555</v>
      </c>
      <c r="B25556">
        <f>TEXT(25555, "[$-0E0000]yyyy-mm-dd")</f>
        <v/>
      </c>
      <c r="C25556" t="inlineStr">
        <is>
          <t>1969-11-11</t>
        </is>
      </c>
    </row>
    <row r="25557">
      <c r="A25557" s="1" t="n">
        <v>25556</v>
      </c>
      <c r="B25557">
        <f>TEXT(25556, "[$-0E0000]yyyy-mm-dd")</f>
        <v/>
      </c>
      <c r="C25557" t="inlineStr">
        <is>
          <t>1969-11-12</t>
        </is>
      </c>
    </row>
    <row r="25558">
      <c r="A25558" s="1" t="n">
        <v>25557</v>
      </c>
      <c r="B25558">
        <f>TEXT(25557, "[$-0E0000]yyyy-mm-dd")</f>
        <v/>
      </c>
      <c r="C25558" t="inlineStr">
        <is>
          <t>1969-11-13</t>
        </is>
      </c>
    </row>
    <row r="25559">
      <c r="A25559" s="1" t="n">
        <v>25558</v>
      </c>
      <c r="B25559">
        <f>TEXT(25558, "[$-0E0000]yyyy-mm-dd")</f>
        <v/>
      </c>
      <c r="C25559" t="inlineStr">
        <is>
          <t>1969-11-14</t>
        </is>
      </c>
    </row>
    <row r="25560">
      <c r="A25560" s="1" t="n">
        <v>25559</v>
      </c>
      <c r="B25560">
        <f>TEXT(25559, "[$-0E0000]yyyy-mm-dd")</f>
        <v/>
      </c>
      <c r="C25560" t="inlineStr">
        <is>
          <t>1969-11-15</t>
        </is>
      </c>
    </row>
    <row r="25561">
      <c r="A25561" s="1" t="n">
        <v>25560</v>
      </c>
      <c r="B25561">
        <f>TEXT(25560, "[$-0E0000]yyyy-mm-dd")</f>
        <v/>
      </c>
      <c r="C25561" t="inlineStr">
        <is>
          <t>1969-11-16</t>
        </is>
      </c>
    </row>
    <row r="25562">
      <c r="A25562" s="1" t="n">
        <v>25561</v>
      </c>
      <c r="B25562">
        <f>TEXT(25561, "[$-0E0000]yyyy-mm-dd")</f>
        <v/>
      </c>
      <c r="C25562" t="inlineStr">
        <is>
          <t>1969-11-17</t>
        </is>
      </c>
    </row>
    <row r="25563">
      <c r="A25563" s="1" t="n">
        <v>25562</v>
      </c>
      <c r="B25563">
        <f>TEXT(25562, "[$-0E0000]yyyy-mm-dd")</f>
        <v/>
      </c>
      <c r="C25563" t="inlineStr">
        <is>
          <t>1969-11-18</t>
        </is>
      </c>
    </row>
    <row r="25564">
      <c r="A25564" s="1" t="n">
        <v>25563</v>
      </c>
      <c r="B25564">
        <f>TEXT(25563, "[$-0E0000]yyyy-mm-dd")</f>
        <v/>
      </c>
      <c r="C25564" t="inlineStr">
        <is>
          <t>1969-11-19</t>
        </is>
      </c>
    </row>
    <row r="25565">
      <c r="A25565" s="1" t="n">
        <v>25564</v>
      </c>
      <c r="B25565">
        <f>TEXT(25564, "[$-0E0000]yyyy-mm-dd")</f>
        <v/>
      </c>
      <c r="C25565" t="inlineStr">
        <is>
          <t>1969-11-20</t>
        </is>
      </c>
    </row>
    <row r="25566">
      <c r="A25566" s="1" t="n">
        <v>25565</v>
      </c>
      <c r="B25566">
        <f>TEXT(25565, "[$-0E0000]yyyy-mm-dd")</f>
        <v/>
      </c>
      <c r="C25566" t="inlineStr">
        <is>
          <t>1969-11-21</t>
        </is>
      </c>
    </row>
    <row r="25567">
      <c r="A25567" s="1" t="n">
        <v>25566</v>
      </c>
      <c r="B25567">
        <f>TEXT(25566, "[$-0E0000]yyyy-mm-dd")</f>
        <v/>
      </c>
      <c r="C25567" t="inlineStr">
        <is>
          <t>1969-11-22</t>
        </is>
      </c>
    </row>
    <row r="25568">
      <c r="A25568" s="1" t="n">
        <v>25567</v>
      </c>
      <c r="B25568">
        <f>TEXT(25567, "[$-0E0000]yyyy-mm-dd")</f>
        <v/>
      </c>
      <c r="C25568" t="inlineStr">
        <is>
          <t>1969-11-23</t>
        </is>
      </c>
    </row>
    <row r="25569">
      <c r="A25569" s="1" t="n">
        <v>25568</v>
      </c>
      <c r="B25569">
        <f>TEXT(25568, "[$-0E0000]yyyy-mm-dd")</f>
        <v/>
      </c>
      <c r="C25569" t="inlineStr">
        <is>
          <t>1969-11-24</t>
        </is>
      </c>
    </row>
    <row r="25570">
      <c r="A25570" s="1" t="n">
        <v>25569</v>
      </c>
      <c r="B25570">
        <f>TEXT(25569, "[$-0E0000]yyyy-mm-dd")</f>
        <v/>
      </c>
      <c r="C25570" t="inlineStr">
        <is>
          <t>1969-11-25</t>
        </is>
      </c>
    </row>
    <row r="25571">
      <c r="A25571" s="1" t="n">
        <v>25570</v>
      </c>
      <c r="B25571">
        <f>TEXT(25570, "[$-0E0000]yyyy-mm-dd")</f>
        <v/>
      </c>
      <c r="C25571" t="inlineStr">
        <is>
          <t>1969-11-26</t>
        </is>
      </c>
    </row>
    <row r="25572">
      <c r="A25572" s="1" t="n">
        <v>25571</v>
      </c>
      <c r="B25572">
        <f>TEXT(25571, "[$-0E0000]yyyy-mm-dd")</f>
        <v/>
      </c>
      <c r="C25572" t="inlineStr">
        <is>
          <t>1969-11-27</t>
        </is>
      </c>
    </row>
    <row r="25573">
      <c r="A25573" s="1" t="n">
        <v>25572</v>
      </c>
      <c r="B25573">
        <f>TEXT(25572, "[$-0E0000]yyyy-mm-dd")</f>
        <v/>
      </c>
      <c r="C25573" t="inlineStr">
        <is>
          <t>1969-11-28</t>
        </is>
      </c>
    </row>
    <row r="25574">
      <c r="A25574" s="1" t="n">
        <v>25573</v>
      </c>
      <c r="B25574">
        <f>TEXT(25573, "[$-0E0000]yyyy-mm-dd")</f>
        <v/>
      </c>
      <c r="C25574" t="inlineStr">
        <is>
          <t>1969-11-29</t>
        </is>
      </c>
    </row>
    <row r="25575">
      <c r="A25575" s="1" t="n">
        <v>25574</v>
      </c>
      <c r="B25575">
        <f>TEXT(25574, "[$-0E0000]yyyy-mm-dd")</f>
        <v/>
      </c>
      <c r="C25575" t="inlineStr">
        <is>
          <t>1969-11-30</t>
        </is>
      </c>
    </row>
    <row r="25576">
      <c r="A25576" s="1" t="n">
        <v>25575</v>
      </c>
      <c r="B25576">
        <f>TEXT(25575, "[$-0E0000]yyyy-mm-dd")</f>
        <v/>
      </c>
      <c r="C25576" t="inlineStr">
        <is>
          <t>1969-12-01</t>
        </is>
      </c>
    </row>
    <row r="25577">
      <c r="A25577" s="1" t="n">
        <v>25576</v>
      </c>
      <c r="B25577">
        <f>TEXT(25576, "[$-0E0000]yyyy-mm-dd")</f>
        <v/>
      </c>
      <c r="C25577" t="inlineStr">
        <is>
          <t>1969-12-02</t>
        </is>
      </c>
    </row>
    <row r="25578">
      <c r="A25578" s="1" t="n">
        <v>25577</v>
      </c>
      <c r="B25578">
        <f>TEXT(25577, "[$-0E0000]yyyy-mm-dd")</f>
        <v/>
      </c>
      <c r="C25578" t="inlineStr">
        <is>
          <t>1969-12-03</t>
        </is>
      </c>
    </row>
    <row r="25579">
      <c r="A25579" s="1" t="n">
        <v>25578</v>
      </c>
      <c r="B25579">
        <f>TEXT(25578, "[$-0E0000]yyyy-mm-dd")</f>
        <v/>
      </c>
      <c r="C25579" t="inlineStr">
        <is>
          <t>1969-12-04</t>
        </is>
      </c>
    </row>
    <row r="25580">
      <c r="A25580" s="1" t="n">
        <v>25579</v>
      </c>
      <c r="B25580">
        <f>TEXT(25579, "[$-0E0000]yyyy-mm-dd")</f>
        <v/>
      </c>
      <c r="C25580" t="inlineStr">
        <is>
          <t>1969-12-05</t>
        </is>
      </c>
    </row>
    <row r="25581">
      <c r="A25581" s="1" t="n">
        <v>25580</v>
      </c>
      <c r="B25581">
        <f>TEXT(25580, "[$-0E0000]yyyy-mm-dd")</f>
        <v/>
      </c>
      <c r="C25581" t="inlineStr">
        <is>
          <t>1969-12-06</t>
        </is>
      </c>
    </row>
    <row r="25582">
      <c r="A25582" s="1" t="n">
        <v>25581</v>
      </c>
      <c r="B25582">
        <f>TEXT(25581, "[$-0E0000]yyyy-mm-dd")</f>
        <v/>
      </c>
      <c r="C25582" t="inlineStr">
        <is>
          <t>1969-12-07</t>
        </is>
      </c>
    </row>
    <row r="25583">
      <c r="A25583" s="1" t="n">
        <v>25582</v>
      </c>
      <c r="B25583">
        <f>TEXT(25582, "[$-0E0000]yyyy-mm-dd")</f>
        <v/>
      </c>
      <c r="C25583" t="inlineStr">
        <is>
          <t>1969-12-08</t>
        </is>
      </c>
    </row>
    <row r="25584">
      <c r="A25584" s="1" t="n">
        <v>25583</v>
      </c>
      <c r="B25584">
        <f>TEXT(25583, "[$-0E0000]yyyy-mm-dd")</f>
        <v/>
      </c>
      <c r="C25584" t="inlineStr">
        <is>
          <t>1969-12-09</t>
        </is>
      </c>
    </row>
    <row r="25585">
      <c r="A25585" s="1" t="n">
        <v>25584</v>
      </c>
      <c r="B25585">
        <f>TEXT(25584, "[$-0E0000]yyyy-mm-dd")</f>
        <v/>
      </c>
      <c r="C25585" t="inlineStr">
        <is>
          <t>1969-12-10</t>
        </is>
      </c>
    </row>
    <row r="25586">
      <c r="A25586" s="1" t="n">
        <v>25585</v>
      </c>
      <c r="B25586">
        <f>TEXT(25585, "[$-0E0000]yyyy-mm-dd")</f>
        <v/>
      </c>
      <c r="C25586" t="inlineStr">
        <is>
          <t>1969-12-11</t>
        </is>
      </c>
    </row>
    <row r="25587">
      <c r="A25587" s="1" t="n">
        <v>25586</v>
      </c>
      <c r="B25587">
        <f>TEXT(25586, "[$-0E0000]yyyy-mm-dd")</f>
        <v/>
      </c>
      <c r="C25587" t="inlineStr">
        <is>
          <t>1969-12-12</t>
        </is>
      </c>
    </row>
    <row r="25588">
      <c r="A25588" s="1" t="n">
        <v>25587</v>
      </c>
      <c r="B25588">
        <f>TEXT(25587, "[$-0E0000]yyyy-mm-dd")</f>
        <v/>
      </c>
      <c r="C25588" t="inlineStr">
        <is>
          <t>1969-12-13</t>
        </is>
      </c>
    </row>
    <row r="25589">
      <c r="A25589" s="1" t="n">
        <v>25588</v>
      </c>
      <c r="B25589">
        <f>TEXT(25588, "[$-0E0000]yyyy-mm-dd")</f>
        <v/>
      </c>
      <c r="C25589" t="inlineStr">
        <is>
          <t>1969-12-14</t>
        </is>
      </c>
    </row>
    <row r="25590">
      <c r="A25590" s="1" t="n">
        <v>25589</v>
      </c>
      <c r="B25590">
        <f>TEXT(25589, "[$-0E0000]yyyy-mm-dd")</f>
        <v/>
      </c>
      <c r="C25590" t="inlineStr">
        <is>
          <t>1969-12-15</t>
        </is>
      </c>
    </row>
    <row r="25591">
      <c r="A25591" s="1" t="n">
        <v>25590</v>
      </c>
      <c r="B25591">
        <f>TEXT(25590, "[$-0E0000]yyyy-mm-dd")</f>
        <v/>
      </c>
      <c r="C25591" t="inlineStr">
        <is>
          <t>1969-12-16</t>
        </is>
      </c>
    </row>
    <row r="25592">
      <c r="A25592" s="1" t="n">
        <v>25591</v>
      </c>
      <c r="B25592">
        <f>TEXT(25591, "[$-0E0000]yyyy-mm-dd")</f>
        <v/>
      </c>
      <c r="C25592" t="inlineStr">
        <is>
          <t>1969-12-17</t>
        </is>
      </c>
    </row>
    <row r="25593">
      <c r="A25593" s="1" t="n">
        <v>25592</v>
      </c>
      <c r="B25593">
        <f>TEXT(25592, "[$-0E0000]yyyy-mm-dd")</f>
        <v/>
      </c>
      <c r="C25593" t="inlineStr">
        <is>
          <t>1969-12-18</t>
        </is>
      </c>
    </row>
    <row r="25594">
      <c r="A25594" s="1" t="n">
        <v>25593</v>
      </c>
      <c r="B25594">
        <f>TEXT(25593, "[$-0E0000]yyyy-mm-dd")</f>
        <v/>
      </c>
      <c r="C25594" t="inlineStr">
        <is>
          <t>1969-12-19</t>
        </is>
      </c>
    </row>
    <row r="25595">
      <c r="A25595" s="1" t="n">
        <v>25594</v>
      </c>
      <c r="B25595">
        <f>TEXT(25594, "[$-0E0000]yyyy-mm-dd")</f>
        <v/>
      </c>
      <c r="C25595" t="inlineStr">
        <is>
          <t>1969-12-20</t>
        </is>
      </c>
    </row>
    <row r="25596">
      <c r="A25596" s="1" t="n">
        <v>25595</v>
      </c>
      <c r="B25596">
        <f>TEXT(25595, "[$-0E0000]yyyy-mm-dd")</f>
        <v/>
      </c>
      <c r="C25596" t="inlineStr">
        <is>
          <t>1969-12-21</t>
        </is>
      </c>
    </row>
    <row r="25597">
      <c r="A25597" s="1" t="n">
        <v>25596</v>
      </c>
      <c r="B25597">
        <f>TEXT(25596, "[$-0E0000]yyyy-mm-dd")</f>
        <v/>
      </c>
      <c r="C25597" t="inlineStr">
        <is>
          <t>1969-12-22</t>
        </is>
      </c>
    </row>
    <row r="25598">
      <c r="A25598" s="1" t="n">
        <v>25597</v>
      </c>
      <c r="B25598">
        <f>TEXT(25597, "[$-0E0000]yyyy-mm-dd")</f>
        <v/>
      </c>
      <c r="C25598" t="inlineStr">
        <is>
          <t>1969-12-23</t>
        </is>
      </c>
    </row>
    <row r="25599">
      <c r="A25599" s="1" t="n">
        <v>25598</v>
      </c>
      <c r="B25599">
        <f>TEXT(25598, "[$-0E0000]yyyy-mm-dd")</f>
        <v/>
      </c>
      <c r="C25599" t="inlineStr">
        <is>
          <t>1969-12-24</t>
        </is>
      </c>
    </row>
    <row r="25600">
      <c r="A25600" s="1" t="n">
        <v>25599</v>
      </c>
      <c r="B25600">
        <f>TEXT(25599, "[$-0E0000]yyyy-mm-dd")</f>
        <v/>
      </c>
      <c r="C25600" t="inlineStr">
        <is>
          <t>1969-12-25</t>
        </is>
      </c>
    </row>
    <row r="25601">
      <c r="A25601" s="1" t="n">
        <v>25600</v>
      </c>
      <c r="B25601">
        <f>TEXT(25600, "[$-0E0000]yyyy-mm-dd")</f>
        <v/>
      </c>
      <c r="C25601" t="inlineStr">
        <is>
          <t>1969-12-26</t>
        </is>
      </c>
    </row>
    <row r="25602">
      <c r="A25602" s="1" t="n">
        <v>25601</v>
      </c>
      <c r="B25602">
        <f>TEXT(25601, "[$-0E0000]yyyy-mm-dd")</f>
        <v/>
      </c>
      <c r="C25602" t="inlineStr">
        <is>
          <t>1969-12-27</t>
        </is>
      </c>
    </row>
    <row r="25603">
      <c r="A25603" s="1" t="n">
        <v>25602</v>
      </c>
      <c r="B25603">
        <f>TEXT(25602, "[$-0E0000]yyyy-mm-dd")</f>
        <v/>
      </c>
      <c r="C25603" t="inlineStr">
        <is>
          <t>1969-12-28</t>
        </is>
      </c>
    </row>
    <row r="25604">
      <c r="A25604" s="1" t="n">
        <v>25603</v>
      </c>
      <c r="B25604">
        <f>TEXT(25603, "[$-0E0000]yyyy-mm-dd")</f>
        <v/>
      </c>
      <c r="C25604" t="inlineStr">
        <is>
          <t>1969-12-29</t>
        </is>
      </c>
    </row>
    <row r="25605">
      <c r="A25605" s="1" t="n">
        <v>25604</v>
      </c>
      <c r="B25605">
        <f>TEXT(25604, "[$-0E0000]yyyy-mm-dd")</f>
        <v/>
      </c>
      <c r="C25605" t="inlineStr">
        <is>
          <t>1970-01-01</t>
        </is>
      </c>
    </row>
    <row r="25606">
      <c r="A25606" s="1" t="n">
        <v>25605</v>
      </c>
      <c r="B25606">
        <f>TEXT(25605, "[$-0E0000]yyyy-mm-dd")</f>
        <v/>
      </c>
      <c r="C25606" t="inlineStr">
        <is>
          <t>1970-01-02</t>
        </is>
      </c>
    </row>
    <row r="25607">
      <c r="A25607" s="1" t="n">
        <v>25606</v>
      </c>
      <c r="B25607">
        <f>TEXT(25606, "[$-0E0000]yyyy-mm-dd")</f>
        <v/>
      </c>
      <c r="C25607" t="inlineStr">
        <is>
          <t>1970-01-03</t>
        </is>
      </c>
    </row>
    <row r="25608">
      <c r="A25608" s="1" t="n">
        <v>25607</v>
      </c>
      <c r="B25608">
        <f>TEXT(25607, "[$-0E0000]yyyy-mm-dd")</f>
        <v/>
      </c>
      <c r="C25608" t="inlineStr">
        <is>
          <t>1970-01-04</t>
        </is>
      </c>
    </row>
    <row r="25609">
      <c r="A25609" s="1" t="n">
        <v>25608</v>
      </c>
      <c r="B25609">
        <f>TEXT(25608, "[$-0E0000]yyyy-mm-dd")</f>
        <v/>
      </c>
      <c r="C25609" t="inlineStr">
        <is>
          <t>1970-01-05</t>
        </is>
      </c>
    </row>
    <row r="25610">
      <c r="A25610" s="1" t="n">
        <v>25609</v>
      </c>
      <c r="B25610">
        <f>TEXT(25609, "[$-0E0000]yyyy-mm-dd")</f>
        <v/>
      </c>
      <c r="C25610" t="inlineStr">
        <is>
          <t>1970-01-06</t>
        </is>
      </c>
    </row>
    <row r="25611">
      <c r="A25611" s="1" t="n">
        <v>25610</v>
      </c>
      <c r="B25611">
        <f>TEXT(25610, "[$-0E0000]yyyy-mm-dd")</f>
        <v/>
      </c>
      <c r="C25611" t="inlineStr">
        <is>
          <t>1970-01-07</t>
        </is>
      </c>
    </row>
    <row r="25612">
      <c r="A25612" s="1" t="n">
        <v>25611</v>
      </c>
      <c r="B25612">
        <f>TEXT(25611, "[$-0E0000]yyyy-mm-dd")</f>
        <v/>
      </c>
      <c r="C25612" t="inlineStr">
        <is>
          <t>1970-01-08</t>
        </is>
      </c>
    </row>
    <row r="25613">
      <c r="A25613" s="1" t="n">
        <v>25612</v>
      </c>
      <c r="B25613">
        <f>TEXT(25612, "[$-0E0000]yyyy-mm-dd")</f>
        <v/>
      </c>
      <c r="C25613" t="inlineStr">
        <is>
          <t>1970-01-09</t>
        </is>
      </c>
    </row>
    <row r="25614">
      <c r="A25614" s="1" t="n">
        <v>25613</v>
      </c>
      <c r="B25614">
        <f>TEXT(25613, "[$-0E0000]yyyy-mm-dd")</f>
        <v/>
      </c>
      <c r="C25614" t="inlineStr">
        <is>
          <t>1970-01-10</t>
        </is>
      </c>
    </row>
    <row r="25615">
      <c r="A25615" s="1" t="n">
        <v>25614</v>
      </c>
      <c r="B25615">
        <f>TEXT(25614, "[$-0E0000]yyyy-mm-dd")</f>
        <v/>
      </c>
      <c r="C25615" t="inlineStr">
        <is>
          <t>1970-01-11</t>
        </is>
      </c>
    </row>
    <row r="25616">
      <c r="A25616" s="1" t="n">
        <v>25615</v>
      </c>
      <c r="B25616">
        <f>TEXT(25615, "[$-0E0000]yyyy-mm-dd")</f>
        <v/>
      </c>
      <c r="C25616" t="inlineStr">
        <is>
          <t>1970-01-12</t>
        </is>
      </c>
    </row>
    <row r="25617">
      <c r="A25617" s="1" t="n">
        <v>25616</v>
      </c>
      <c r="B25617">
        <f>TEXT(25616, "[$-0E0000]yyyy-mm-dd")</f>
        <v/>
      </c>
      <c r="C25617" t="inlineStr">
        <is>
          <t>1970-01-13</t>
        </is>
      </c>
    </row>
    <row r="25618">
      <c r="A25618" s="1" t="n">
        <v>25617</v>
      </c>
      <c r="B25618">
        <f>TEXT(25617, "[$-0E0000]yyyy-mm-dd")</f>
        <v/>
      </c>
      <c r="C25618" t="inlineStr">
        <is>
          <t>1970-01-14</t>
        </is>
      </c>
    </row>
    <row r="25619">
      <c r="A25619" s="1" t="n">
        <v>25618</v>
      </c>
      <c r="B25619">
        <f>TEXT(25618, "[$-0E0000]yyyy-mm-dd")</f>
        <v/>
      </c>
      <c r="C25619" t="inlineStr">
        <is>
          <t>1970-01-15</t>
        </is>
      </c>
    </row>
    <row r="25620">
      <c r="A25620" s="1" t="n">
        <v>25619</v>
      </c>
      <c r="B25620">
        <f>TEXT(25619, "[$-0E0000]yyyy-mm-dd")</f>
        <v/>
      </c>
      <c r="C25620" t="inlineStr">
        <is>
          <t>1970-01-16</t>
        </is>
      </c>
    </row>
    <row r="25621">
      <c r="A25621" s="1" t="n">
        <v>25620</v>
      </c>
      <c r="B25621">
        <f>TEXT(25620, "[$-0E0000]yyyy-mm-dd")</f>
        <v/>
      </c>
      <c r="C25621" t="inlineStr">
        <is>
          <t>1970-01-17</t>
        </is>
      </c>
    </row>
    <row r="25622">
      <c r="A25622" s="1" t="n">
        <v>25621</v>
      </c>
      <c r="B25622">
        <f>TEXT(25621, "[$-0E0000]yyyy-mm-dd")</f>
        <v/>
      </c>
      <c r="C25622" t="inlineStr">
        <is>
          <t>1970-01-18</t>
        </is>
      </c>
    </row>
    <row r="25623">
      <c r="A25623" s="1" t="n">
        <v>25622</v>
      </c>
      <c r="B25623">
        <f>TEXT(25622, "[$-0E0000]yyyy-mm-dd")</f>
        <v/>
      </c>
      <c r="C25623" t="inlineStr">
        <is>
          <t>1970-01-19</t>
        </is>
      </c>
    </row>
    <row r="25624">
      <c r="A25624" s="1" t="n">
        <v>25623</v>
      </c>
      <c r="B25624">
        <f>TEXT(25623, "[$-0E0000]yyyy-mm-dd")</f>
        <v/>
      </c>
      <c r="C25624" t="inlineStr">
        <is>
          <t>1970-01-20</t>
        </is>
      </c>
    </row>
    <row r="25625">
      <c r="A25625" s="1" t="n">
        <v>25624</v>
      </c>
      <c r="B25625">
        <f>TEXT(25624, "[$-0E0000]yyyy-mm-dd")</f>
        <v/>
      </c>
      <c r="C25625" t="inlineStr">
        <is>
          <t>1970-01-21</t>
        </is>
      </c>
    </row>
    <row r="25626">
      <c r="A25626" s="1" t="n">
        <v>25625</v>
      </c>
      <c r="B25626">
        <f>TEXT(25625, "[$-0E0000]yyyy-mm-dd")</f>
        <v/>
      </c>
      <c r="C25626" t="inlineStr">
        <is>
          <t>1970-01-22</t>
        </is>
      </c>
    </row>
    <row r="25627">
      <c r="A25627" s="1" t="n">
        <v>25626</v>
      </c>
      <c r="B25627">
        <f>TEXT(25626, "[$-0E0000]yyyy-mm-dd")</f>
        <v/>
      </c>
      <c r="C25627" t="inlineStr">
        <is>
          <t>1970-01-23</t>
        </is>
      </c>
    </row>
    <row r="25628">
      <c r="A25628" s="1" t="n">
        <v>25627</v>
      </c>
      <c r="B25628">
        <f>TEXT(25627, "[$-0E0000]yyyy-mm-dd")</f>
        <v/>
      </c>
      <c r="C25628" t="inlineStr">
        <is>
          <t>1970-01-24</t>
        </is>
      </c>
    </row>
    <row r="25629">
      <c r="A25629" s="1" t="n">
        <v>25628</v>
      </c>
      <c r="B25629">
        <f>TEXT(25628, "[$-0E0000]yyyy-mm-dd")</f>
        <v/>
      </c>
      <c r="C25629" t="inlineStr">
        <is>
          <t>1970-01-25</t>
        </is>
      </c>
    </row>
    <row r="25630">
      <c r="A25630" s="1" t="n">
        <v>25629</v>
      </c>
      <c r="B25630">
        <f>TEXT(25629, "[$-0E0000]yyyy-mm-dd")</f>
        <v/>
      </c>
      <c r="C25630" t="inlineStr">
        <is>
          <t>1970-01-26</t>
        </is>
      </c>
    </row>
    <row r="25631">
      <c r="A25631" s="1" t="n">
        <v>25630</v>
      </c>
      <c r="B25631">
        <f>TEXT(25630, "[$-0E0000]yyyy-mm-dd")</f>
        <v/>
      </c>
      <c r="C25631" t="inlineStr">
        <is>
          <t>1970-01-27</t>
        </is>
      </c>
    </row>
    <row r="25632">
      <c r="A25632" s="1" t="n">
        <v>25631</v>
      </c>
      <c r="B25632">
        <f>TEXT(25631, "[$-0E0000]yyyy-mm-dd")</f>
        <v/>
      </c>
      <c r="C25632" t="inlineStr">
        <is>
          <t>1970-01-28</t>
        </is>
      </c>
    </row>
    <row r="25633">
      <c r="A25633" s="1" t="n">
        <v>25632</v>
      </c>
      <c r="B25633">
        <f>TEXT(25632, "[$-0E0000]yyyy-mm-dd")</f>
        <v/>
      </c>
      <c r="C25633" t="inlineStr">
        <is>
          <t>1970-01-29</t>
        </is>
      </c>
    </row>
    <row r="25634">
      <c r="A25634" s="1" t="n">
        <v>25633</v>
      </c>
      <c r="B25634">
        <f>TEXT(25633, "[$-0E0000]yyyy-mm-dd")</f>
        <v/>
      </c>
      <c r="C25634" t="inlineStr">
        <is>
          <t>1970-01-30</t>
        </is>
      </c>
    </row>
    <row r="25635">
      <c r="A25635" s="1" t="n">
        <v>25634</v>
      </c>
      <c r="B25635">
        <f>TEXT(25634, "[$-0E0000]yyyy-mm-dd")</f>
        <v/>
      </c>
      <c r="C25635" t="inlineStr">
        <is>
          <t>1970-02-01</t>
        </is>
      </c>
    </row>
    <row r="25636">
      <c r="A25636" s="1" t="n">
        <v>25635</v>
      </c>
      <c r="B25636">
        <f>TEXT(25635, "[$-0E0000]yyyy-mm-dd")</f>
        <v/>
      </c>
      <c r="C25636" t="inlineStr">
        <is>
          <t>1970-02-02</t>
        </is>
      </c>
    </row>
    <row r="25637">
      <c r="A25637" s="1" t="n">
        <v>25636</v>
      </c>
      <c r="B25637">
        <f>TEXT(25636, "[$-0E0000]yyyy-mm-dd")</f>
        <v/>
      </c>
      <c r="C25637" t="inlineStr">
        <is>
          <t>1970-02-03</t>
        </is>
      </c>
    </row>
    <row r="25638">
      <c r="A25638" s="1" t="n">
        <v>25637</v>
      </c>
      <c r="B25638">
        <f>TEXT(25637, "[$-0E0000]yyyy-mm-dd")</f>
        <v/>
      </c>
      <c r="C25638" t="inlineStr">
        <is>
          <t>1970-02-04</t>
        </is>
      </c>
    </row>
    <row r="25639">
      <c r="A25639" s="1" t="n">
        <v>25638</v>
      </c>
      <c r="B25639">
        <f>TEXT(25638, "[$-0E0000]yyyy-mm-dd")</f>
        <v/>
      </c>
      <c r="C25639" t="inlineStr">
        <is>
          <t>1970-02-05</t>
        </is>
      </c>
    </row>
    <row r="25640">
      <c r="A25640" s="1" t="n">
        <v>25639</v>
      </c>
      <c r="B25640">
        <f>TEXT(25639, "[$-0E0000]yyyy-mm-dd")</f>
        <v/>
      </c>
      <c r="C25640" t="inlineStr">
        <is>
          <t>1970-02-06</t>
        </is>
      </c>
    </row>
    <row r="25641">
      <c r="A25641" s="1" t="n">
        <v>25640</v>
      </c>
      <c r="B25641">
        <f>TEXT(25640, "[$-0E0000]yyyy-mm-dd")</f>
        <v/>
      </c>
      <c r="C25641" t="inlineStr">
        <is>
          <t>1970-02-07</t>
        </is>
      </c>
    </row>
    <row r="25642">
      <c r="A25642" s="1" t="n">
        <v>25641</v>
      </c>
      <c r="B25642">
        <f>TEXT(25641, "[$-0E0000]yyyy-mm-dd")</f>
        <v/>
      </c>
      <c r="C25642" t="inlineStr">
        <is>
          <t>1970-02-08</t>
        </is>
      </c>
    </row>
    <row r="25643">
      <c r="A25643" s="1" t="n">
        <v>25642</v>
      </c>
      <c r="B25643">
        <f>TEXT(25642, "[$-0E0000]yyyy-mm-dd")</f>
        <v/>
      </c>
      <c r="C25643" t="inlineStr">
        <is>
          <t>1970-02-09</t>
        </is>
      </c>
    </row>
    <row r="25644">
      <c r="A25644" s="1" t="n">
        <v>25643</v>
      </c>
      <c r="B25644">
        <f>TEXT(25643, "[$-0E0000]yyyy-mm-dd")</f>
        <v/>
      </c>
      <c r="C25644" t="inlineStr">
        <is>
          <t>1970-02-10</t>
        </is>
      </c>
    </row>
    <row r="25645">
      <c r="A25645" s="1" t="n">
        <v>25644</v>
      </c>
      <c r="B25645">
        <f>TEXT(25644, "[$-0E0000]yyyy-mm-dd")</f>
        <v/>
      </c>
      <c r="C25645" t="inlineStr">
        <is>
          <t>1970-02-11</t>
        </is>
      </c>
    </row>
    <row r="25646">
      <c r="A25646" s="1" t="n">
        <v>25645</v>
      </c>
      <c r="B25646">
        <f>TEXT(25645, "[$-0E0000]yyyy-mm-dd")</f>
        <v/>
      </c>
      <c r="C25646" t="inlineStr">
        <is>
          <t>1970-02-12</t>
        </is>
      </c>
    </row>
    <row r="25647">
      <c r="A25647" s="1" t="n">
        <v>25646</v>
      </c>
      <c r="B25647">
        <f>TEXT(25646, "[$-0E0000]yyyy-mm-dd")</f>
        <v/>
      </c>
      <c r="C25647" t="inlineStr">
        <is>
          <t>1970-02-13</t>
        </is>
      </c>
    </row>
    <row r="25648">
      <c r="A25648" s="1" t="n">
        <v>25647</v>
      </c>
      <c r="B25648">
        <f>TEXT(25647, "[$-0E0000]yyyy-mm-dd")</f>
        <v/>
      </c>
      <c r="C25648" t="inlineStr">
        <is>
          <t>1970-02-14</t>
        </is>
      </c>
    </row>
    <row r="25649">
      <c r="A25649" s="1" t="n">
        <v>25648</v>
      </c>
      <c r="B25649">
        <f>TEXT(25648, "[$-0E0000]yyyy-mm-dd")</f>
        <v/>
      </c>
      <c r="C25649" t="inlineStr">
        <is>
          <t>1970-02-15</t>
        </is>
      </c>
    </row>
    <row r="25650">
      <c r="A25650" s="1" t="n">
        <v>25649</v>
      </c>
      <c r="B25650">
        <f>TEXT(25649, "[$-0E0000]yyyy-mm-dd")</f>
        <v/>
      </c>
      <c r="C25650" t="inlineStr">
        <is>
          <t>1970-02-16</t>
        </is>
      </c>
    </row>
    <row r="25651">
      <c r="A25651" s="1" t="n">
        <v>25650</v>
      </c>
      <c r="B25651">
        <f>TEXT(25650, "[$-0E0000]yyyy-mm-dd")</f>
        <v/>
      </c>
      <c r="C25651" t="inlineStr">
        <is>
          <t>1970-02-17</t>
        </is>
      </c>
    </row>
    <row r="25652">
      <c r="A25652" s="1" t="n">
        <v>25651</v>
      </c>
      <c r="B25652">
        <f>TEXT(25651, "[$-0E0000]yyyy-mm-dd")</f>
        <v/>
      </c>
      <c r="C25652" t="inlineStr">
        <is>
          <t>1970-02-18</t>
        </is>
      </c>
    </row>
    <row r="25653">
      <c r="A25653" s="1" t="n">
        <v>25652</v>
      </c>
      <c r="B25653">
        <f>TEXT(25652, "[$-0E0000]yyyy-mm-dd")</f>
        <v/>
      </c>
      <c r="C25653" t="inlineStr">
        <is>
          <t>1970-02-19</t>
        </is>
      </c>
    </row>
    <row r="25654">
      <c r="A25654" s="1" t="n">
        <v>25653</v>
      </c>
      <c r="B25654">
        <f>TEXT(25653, "[$-0E0000]yyyy-mm-dd")</f>
        <v/>
      </c>
      <c r="C25654" t="inlineStr">
        <is>
          <t>1970-02-20</t>
        </is>
      </c>
    </row>
    <row r="25655">
      <c r="A25655" s="1" t="n">
        <v>25654</v>
      </c>
      <c r="B25655">
        <f>TEXT(25654, "[$-0E0000]yyyy-mm-dd")</f>
        <v/>
      </c>
      <c r="C25655" t="inlineStr">
        <is>
          <t>1970-02-21</t>
        </is>
      </c>
    </row>
    <row r="25656">
      <c r="A25656" s="1" t="n">
        <v>25655</v>
      </c>
      <c r="B25656">
        <f>TEXT(25655, "[$-0E0000]yyyy-mm-dd")</f>
        <v/>
      </c>
      <c r="C25656" t="inlineStr">
        <is>
          <t>1970-02-22</t>
        </is>
      </c>
    </row>
    <row r="25657">
      <c r="A25657" s="1" t="n">
        <v>25656</v>
      </c>
      <c r="B25657">
        <f>TEXT(25656, "[$-0E0000]yyyy-mm-dd")</f>
        <v/>
      </c>
      <c r="C25657" t="inlineStr">
        <is>
          <t>1970-02-23</t>
        </is>
      </c>
    </row>
    <row r="25658">
      <c r="A25658" s="1" t="n">
        <v>25657</v>
      </c>
      <c r="B25658">
        <f>TEXT(25657, "[$-0E0000]yyyy-mm-dd")</f>
        <v/>
      </c>
      <c r="C25658" t="inlineStr">
        <is>
          <t>1970-02-24</t>
        </is>
      </c>
    </row>
    <row r="25659">
      <c r="A25659" s="1" t="n">
        <v>25658</v>
      </c>
      <c r="B25659">
        <f>TEXT(25658, "[$-0E0000]yyyy-mm-dd")</f>
        <v/>
      </c>
      <c r="C25659" t="inlineStr">
        <is>
          <t>1970-02-25</t>
        </is>
      </c>
    </row>
    <row r="25660">
      <c r="A25660" s="1" t="n">
        <v>25659</v>
      </c>
      <c r="B25660">
        <f>TEXT(25659, "[$-0E0000]yyyy-mm-dd")</f>
        <v/>
      </c>
      <c r="C25660" t="inlineStr">
        <is>
          <t>1970-02-26</t>
        </is>
      </c>
    </row>
    <row r="25661">
      <c r="A25661" s="1" t="n">
        <v>25660</v>
      </c>
      <c r="B25661">
        <f>TEXT(25660, "[$-0E0000]yyyy-mm-dd")</f>
        <v/>
      </c>
      <c r="C25661" t="inlineStr">
        <is>
          <t>1970-02-27</t>
        </is>
      </c>
    </row>
    <row r="25662">
      <c r="A25662" s="1" t="n">
        <v>25661</v>
      </c>
      <c r="B25662">
        <f>TEXT(25661, "[$-0E0000]yyyy-mm-dd")</f>
        <v/>
      </c>
      <c r="C25662" t="inlineStr">
        <is>
          <t>1970-02-28</t>
        </is>
      </c>
    </row>
    <row r="25663">
      <c r="A25663" s="1" t="n">
        <v>25662</v>
      </c>
      <c r="B25663">
        <f>TEXT(25662, "[$-0E0000]yyyy-mm-dd")</f>
        <v/>
      </c>
      <c r="C25663" t="inlineStr">
        <is>
          <t>1970-02-29</t>
        </is>
      </c>
    </row>
    <row r="25664">
      <c r="A25664" s="1" t="n">
        <v>25663</v>
      </c>
      <c r="B25664">
        <f>TEXT(25663, "[$-0E0000]yyyy-mm-dd")</f>
        <v/>
      </c>
      <c r="C25664" t="inlineStr">
        <is>
          <t>1970-03-01</t>
        </is>
      </c>
    </row>
    <row r="25665">
      <c r="A25665" s="1" t="n">
        <v>25664</v>
      </c>
      <c r="B25665">
        <f>TEXT(25664, "[$-0E0000]yyyy-mm-dd")</f>
        <v/>
      </c>
      <c r="C25665" t="inlineStr">
        <is>
          <t>1970-03-02</t>
        </is>
      </c>
    </row>
    <row r="25666">
      <c r="A25666" s="1" t="n">
        <v>25665</v>
      </c>
      <c r="B25666">
        <f>TEXT(25665, "[$-0E0000]yyyy-mm-dd")</f>
        <v/>
      </c>
      <c r="C25666" t="inlineStr">
        <is>
          <t>1970-03-03</t>
        </is>
      </c>
    </row>
    <row r="25667">
      <c r="A25667" s="1" t="n">
        <v>25666</v>
      </c>
      <c r="B25667">
        <f>TEXT(25666, "[$-0E0000]yyyy-mm-dd")</f>
        <v/>
      </c>
      <c r="C25667" t="inlineStr">
        <is>
          <t>1970-03-04</t>
        </is>
      </c>
    </row>
    <row r="25668">
      <c r="A25668" s="1" t="n">
        <v>25667</v>
      </c>
      <c r="B25668">
        <f>TEXT(25667, "[$-0E0000]yyyy-mm-dd")</f>
        <v/>
      </c>
      <c r="C25668" t="inlineStr">
        <is>
          <t>1970-03-05</t>
        </is>
      </c>
    </row>
    <row r="25669">
      <c r="A25669" s="1" t="n">
        <v>25668</v>
      </c>
      <c r="B25669">
        <f>TEXT(25668, "[$-0E0000]yyyy-mm-dd")</f>
        <v/>
      </c>
      <c r="C25669" t="inlineStr">
        <is>
          <t>1970-03-06</t>
        </is>
      </c>
    </row>
    <row r="25670">
      <c r="A25670" s="1" t="n">
        <v>25669</v>
      </c>
      <c r="B25670">
        <f>TEXT(25669, "[$-0E0000]yyyy-mm-dd")</f>
        <v/>
      </c>
      <c r="C25670" t="inlineStr">
        <is>
          <t>1970-03-07</t>
        </is>
      </c>
    </row>
    <row r="25671">
      <c r="A25671" s="1" t="n">
        <v>25670</v>
      </c>
      <c r="B25671">
        <f>TEXT(25670, "[$-0E0000]yyyy-mm-dd")</f>
        <v/>
      </c>
      <c r="C25671" t="inlineStr">
        <is>
          <t>1970-03-08</t>
        </is>
      </c>
    </row>
    <row r="25672">
      <c r="A25672" s="1" t="n">
        <v>25671</v>
      </c>
      <c r="B25672">
        <f>TEXT(25671, "[$-0E0000]yyyy-mm-dd")</f>
        <v/>
      </c>
      <c r="C25672" t="inlineStr">
        <is>
          <t>1970-03-09</t>
        </is>
      </c>
    </row>
    <row r="25673">
      <c r="A25673" s="1" t="n">
        <v>25672</v>
      </c>
      <c r="B25673">
        <f>TEXT(25672, "[$-0E0000]yyyy-mm-dd")</f>
        <v/>
      </c>
      <c r="C25673" t="inlineStr">
        <is>
          <t>1970-03-10</t>
        </is>
      </c>
    </row>
    <row r="25674">
      <c r="A25674" s="1" t="n">
        <v>25673</v>
      </c>
      <c r="B25674">
        <f>TEXT(25673, "[$-0E0000]yyyy-mm-dd")</f>
        <v/>
      </c>
      <c r="C25674" t="inlineStr">
        <is>
          <t>1970-03-11</t>
        </is>
      </c>
    </row>
    <row r="25675">
      <c r="A25675" s="1" t="n">
        <v>25674</v>
      </c>
      <c r="B25675">
        <f>TEXT(25674, "[$-0E0000]yyyy-mm-dd")</f>
        <v/>
      </c>
      <c r="C25675" t="inlineStr">
        <is>
          <t>1970-03-12</t>
        </is>
      </c>
    </row>
    <row r="25676">
      <c r="A25676" s="1" t="n">
        <v>25675</v>
      </c>
      <c r="B25676">
        <f>TEXT(25675, "[$-0E0000]yyyy-mm-dd")</f>
        <v/>
      </c>
      <c r="C25676" t="inlineStr">
        <is>
          <t>1970-03-13</t>
        </is>
      </c>
    </row>
    <row r="25677">
      <c r="A25677" s="1" t="n">
        <v>25676</v>
      </c>
      <c r="B25677">
        <f>TEXT(25676, "[$-0E0000]yyyy-mm-dd")</f>
        <v/>
      </c>
      <c r="C25677" t="inlineStr">
        <is>
          <t>1970-03-14</t>
        </is>
      </c>
    </row>
    <row r="25678">
      <c r="A25678" s="1" t="n">
        <v>25677</v>
      </c>
      <c r="B25678">
        <f>TEXT(25677, "[$-0E0000]yyyy-mm-dd")</f>
        <v/>
      </c>
      <c r="C25678" t="inlineStr">
        <is>
          <t>1970-03-15</t>
        </is>
      </c>
    </row>
    <row r="25679">
      <c r="A25679" s="1" t="n">
        <v>25678</v>
      </c>
      <c r="B25679">
        <f>TEXT(25678, "[$-0E0000]yyyy-mm-dd")</f>
        <v/>
      </c>
      <c r="C25679" t="inlineStr">
        <is>
          <t>1970-03-16</t>
        </is>
      </c>
    </row>
    <row r="25680">
      <c r="A25680" s="1" t="n">
        <v>25679</v>
      </c>
      <c r="B25680">
        <f>TEXT(25679, "[$-0E0000]yyyy-mm-dd")</f>
        <v/>
      </c>
      <c r="C25680" t="inlineStr">
        <is>
          <t>1970-03-17</t>
        </is>
      </c>
    </row>
    <row r="25681">
      <c r="A25681" s="1" t="n">
        <v>25680</v>
      </c>
      <c r="B25681">
        <f>TEXT(25680, "[$-0E0000]yyyy-mm-dd")</f>
        <v/>
      </c>
      <c r="C25681" t="inlineStr">
        <is>
          <t>1970-03-18</t>
        </is>
      </c>
    </row>
    <row r="25682">
      <c r="A25682" s="1" t="n">
        <v>25681</v>
      </c>
      <c r="B25682">
        <f>TEXT(25681, "[$-0E0000]yyyy-mm-dd")</f>
        <v/>
      </c>
      <c r="C25682" t="inlineStr">
        <is>
          <t>1970-03-19</t>
        </is>
      </c>
    </row>
    <row r="25683">
      <c r="A25683" s="1" t="n">
        <v>25682</v>
      </c>
      <c r="B25683">
        <f>TEXT(25682, "[$-0E0000]yyyy-mm-dd")</f>
        <v/>
      </c>
      <c r="C25683" t="inlineStr">
        <is>
          <t>1970-03-20</t>
        </is>
      </c>
    </row>
    <row r="25684">
      <c r="A25684" s="1" t="n">
        <v>25683</v>
      </c>
      <c r="B25684">
        <f>TEXT(25683, "[$-0E0000]yyyy-mm-dd")</f>
        <v/>
      </c>
      <c r="C25684" t="inlineStr">
        <is>
          <t>1970-03-21</t>
        </is>
      </c>
    </row>
    <row r="25685">
      <c r="A25685" s="1" t="n">
        <v>25684</v>
      </c>
      <c r="B25685">
        <f>TEXT(25684, "[$-0E0000]yyyy-mm-dd")</f>
        <v/>
      </c>
      <c r="C25685" t="inlineStr">
        <is>
          <t>1970-03-22</t>
        </is>
      </c>
    </row>
    <row r="25686">
      <c r="A25686" s="1" t="n">
        <v>25685</v>
      </c>
      <c r="B25686">
        <f>TEXT(25685, "[$-0E0000]yyyy-mm-dd")</f>
        <v/>
      </c>
      <c r="C25686" t="inlineStr">
        <is>
          <t>1970-03-23</t>
        </is>
      </c>
    </row>
    <row r="25687">
      <c r="A25687" s="1" t="n">
        <v>25686</v>
      </c>
      <c r="B25687">
        <f>TEXT(25686, "[$-0E0000]yyyy-mm-dd")</f>
        <v/>
      </c>
      <c r="C25687" t="inlineStr">
        <is>
          <t>1970-03-24</t>
        </is>
      </c>
    </row>
    <row r="25688">
      <c r="A25688" s="1" t="n">
        <v>25687</v>
      </c>
      <c r="B25688">
        <f>TEXT(25687, "[$-0E0000]yyyy-mm-dd")</f>
        <v/>
      </c>
      <c r="C25688" t="inlineStr">
        <is>
          <t>1970-03-25</t>
        </is>
      </c>
    </row>
    <row r="25689">
      <c r="A25689" s="1" t="n">
        <v>25688</v>
      </c>
      <c r="B25689">
        <f>TEXT(25688, "[$-0E0000]yyyy-mm-dd")</f>
        <v/>
      </c>
      <c r="C25689" t="inlineStr">
        <is>
          <t>1970-03-26</t>
        </is>
      </c>
    </row>
    <row r="25690">
      <c r="A25690" s="1" t="n">
        <v>25689</v>
      </c>
      <c r="B25690">
        <f>TEXT(25689, "[$-0E0000]yyyy-mm-dd")</f>
        <v/>
      </c>
      <c r="C25690" t="inlineStr">
        <is>
          <t>1970-03-27</t>
        </is>
      </c>
    </row>
    <row r="25691">
      <c r="A25691" s="1" t="n">
        <v>25690</v>
      </c>
      <c r="B25691">
        <f>TEXT(25690, "[$-0E0000]yyyy-mm-dd")</f>
        <v/>
      </c>
      <c r="C25691" t="inlineStr">
        <is>
          <t>1970-03-28</t>
        </is>
      </c>
    </row>
    <row r="25692">
      <c r="A25692" s="1" t="n">
        <v>25691</v>
      </c>
      <c r="B25692">
        <f>TEXT(25691, "[$-0E0000]yyyy-mm-dd")</f>
        <v/>
      </c>
      <c r="C25692" t="inlineStr">
        <is>
          <t>1970-03-29</t>
        </is>
      </c>
    </row>
    <row r="25693">
      <c r="A25693" s="1" t="n">
        <v>25692</v>
      </c>
      <c r="B25693">
        <f>TEXT(25692, "[$-0E0000]yyyy-mm-dd")</f>
        <v/>
      </c>
      <c r="C25693" t="inlineStr">
        <is>
          <t>1970-04-01</t>
        </is>
      </c>
    </row>
    <row r="25694">
      <c r="A25694" s="1" t="n">
        <v>25693</v>
      </c>
      <c r="B25694">
        <f>TEXT(25693, "[$-0E0000]yyyy-mm-dd")</f>
        <v/>
      </c>
      <c r="C25694" t="inlineStr">
        <is>
          <t>1970-04-02</t>
        </is>
      </c>
    </row>
    <row r="25695">
      <c r="A25695" s="1" t="n">
        <v>25694</v>
      </c>
      <c r="B25695">
        <f>TEXT(25694, "[$-0E0000]yyyy-mm-dd")</f>
        <v/>
      </c>
      <c r="C25695" t="inlineStr">
        <is>
          <t>1970-04-03</t>
        </is>
      </c>
    </row>
    <row r="25696">
      <c r="A25696" s="1" t="n">
        <v>25695</v>
      </c>
      <c r="B25696">
        <f>TEXT(25695, "[$-0E0000]yyyy-mm-dd")</f>
        <v/>
      </c>
      <c r="C25696" t="inlineStr">
        <is>
          <t>1970-04-04</t>
        </is>
      </c>
    </row>
    <row r="25697">
      <c r="A25697" s="1" t="n">
        <v>25696</v>
      </c>
      <c r="B25697">
        <f>TEXT(25696, "[$-0E0000]yyyy-mm-dd")</f>
        <v/>
      </c>
      <c r="C25697" t="inlineStr">
        <is>
          <t>1970-04-05</t>
        </is>
      </c>
    </row>
    <row r="25698">
      <c r="A25698" s="1" t="n">
        <v>25697</v>
      </c>
      <c r="B25698">
        <f>TEXT(25697, "[$-0E0000]yyyy-mm-dd")</f>
        <v/>
      </c>
      <c r="C25698" t="inlineStr">
        <is>
          <t>1970-04-06</t>
        </is>
      </c>
    </row>
    <row r="25699">
      <c r="A25699" s="1" t="n">
        <v>25698</v>
      </c>
      <c r="B25699">
        <f>TEXT(25698, "[$-0E0000]yyyy-mm-dd")</f>
        <v/>
      </c>
      <c r="C25699" t="inlineStr">
        <is>
          <t>1970-04-07</t>
        </is>
      </c>
    </row>
    <row r="25700">
      <c r="A25700" s="1" t="n">
        <v>25699</v>
      </c>
      <c r="B25700">
        <f>TEXT(25699, "[$-0E0000]yyyy-mm-dd")</f>
        <v/>
      </c>
      <c r="C25700" t="inlineStr">
        <is>
          <t>1970-04-08</t>
        </is>
      </c>
    </row>
    <row r="25701">
      <c r="A25701" s="1" t="n">
        <v>25700</v>
      </c>
      <c r="B25701">
        <f>TEXT(25700, "[$-0E0000]yyyy-mm-dd")</f>
        <v/>
      </c>
      <c r="C25701" t="inlineStr">
        <is>
          <t>1970-04-09</t>
        </is>
      </c>
    </row>
    <row r="25702">
      <c r="A25702" s="1" t="n">
        <v>25701</v>
      </c>
      <c r="B25702">
        <f>TEXT(25701, "[$-0E0000]yyyy-mm-dd")</f>
        <v/>
      </c>
      <c r="C25702" t="inlineStr">
        <is>
          <t>1970-04-10</t>
        </is>
      </c>
    </row>
    <row r="25703">
      <c r="A25703" s="1" t="n">
        <v>25702</v>
      </c>
      <c r="B25703">
        <f>TEXT(25702, "[$-0E0000]yyyy-mm-dd")</f>
        <v/>
      </c>
      <c r="C25703" t="inlineStr">
        <is>
          <t>1970-04-11</t>
        </is>
      </c>
    </row>
    <row r="25704">
      <c r="A25704" s="1" t="n">
        <v>25703</v>
      </c>
      <c r="B25704">
        <f>TEXT(25703, "[$-0E0000]yyyy-mm-dd")</f>
        <v/>
      </c>
      <c r="C25704" t="inlineStr">
        <is>
          <t>1970-04-12</t>
        </is>
      </c>
    </row>
    <row r="25705">
      <c r="A25705" s="1" t="n">
        <v>25704</v>
      </c>
      <c r="B25705">
        <f>TEXT(25704, "[$-0E0000]yyyy-mm-dd")</f>
        <v/>
      </c>
      <c r="C25705" t="inlineStr">
        <is>
          <t>1970-04-13</t>
        </is>
      </c>
    </row>
    <row r="25706">
      <c r="A25706" s="1" t="n">
        <v>25705</v>
      </c>
      <c r="B25706">
        <f>TEXT(25705, "[$-0E0000]yyyy-mm-dd")</f>
        <v/>
      </c>
      <c r="C25706" t="inlineStr">
        <is>
          <t>1970-04-14</t>
        </is>
      </c>
    </row>
    <row r="25707">
      <c r="A25707" s="1" t="n">
        <v>25706</v>
      </c>
      <c r="B25707">
        <f>TEXT(25706, "[$-0E0000]yyyy-mm-dd")</f>
        <v/>
      </c>
      <c r="C25707" t="inlineStr">
        <is>
          <t>1970-04-15</t>
        </is>
      </c>
    </row>
    <row r="25708">
      <c r="A25708" s="1" t="n">
        <v>25707</v>
      </c>
      <c r="B25708">
        <f>TEXT(25707, "[$-0E0000]yyyy-mm-dd")</f>
        <v/>
      </c>
      <c r="C25708" t="inlineStr">
        <is>
          <t>1970-04-16</t>
        </is>
      </c>
    </row>
    <row r="25709">
      <c r="A25709" s="1" t="n">
        <v>25708</v>
      </c>
      <c r="B25709">
        <f>TEXT(25708, "[$-0E0000]yyyy-mm-dd")</f>
        <v/>
      </c>
      <c r="C25709" t="inlineStr">
        <is>
          <t>1970-04-17</t>
        </is>
      </c>
    </row>
    <row r="25710">
      <c r="A25710" s="1" t="n">
        <v>25709</v>
      </c>
      <c r="B25710">
        <f>TEXT(25709, "[$-0E0000]yyyy-mm-dd")</f>
        <v/>
      </c>
      <c r="C25710" t="inlineStr">
        <is>
          <t>1970-04-18</t>
        </is>
      </c>
    </row>
    <row r="25711">
      <c r="A25711" s="1" t="n">
        <v>25710</v>
      </c>
      <c r="B25711">
        <f>TEXT(25710, "[$-0E0000]yyyy-mm-dd")</f>
        <v/>
      </c>
      <c r="C25711" t="inlineStr">
        <is>
          <t>1970-04-19</t>
        </is>
      </c>
    </row>
    <row r="25712">
      <c r="A25712" s="1" t="n">
        <v>25711</v>
      </c>
      <c r="B25712">
        <f>TEXT(25711, "[$-0E0000]yyyy-mm-dd")</f>
        <v/>
      </c>
      <c r="C25712" t="inlineStr">
        <is>
          <t>1970-04-20</t>
        </is>
      </c>
    </row>
    <row r="25713">
      <c r="A25713" s="1" t="n">
        <v>25712</v>
      </c>
      <c r="B25713">
        <f>TEXT(25712, "[$-0E0000]yyyy-mm-dd")</f>
        <v/>
      </c>
      <c r="C25713" t="inlineStr">
        <is>
          <t>1970-04-21</t>
        </is>
      </c>
    </row>
    <row r="25714">
      <c r="A25714" s="1" t="n">
        <v>25713</v>
      </c>
      <c r="B25714">
        <f>TEXT(25713, "[$-0E0000]yyyy-mm-dd")</f>
        <v/>
      </c>
      <c r="C25714" t="inlineStr">
        <is>
          <t>1970-04-22</t>
        </is>
      </c>
    </row>
    <row r="25715">
      <c r="A25715" s="1" t="n">
        <v>25714</v>
      </c>
      <c r="B25715">
        <f>TEXT(25714, "[$-0E0000]yyyy-mm-dd")</f>
        <v/>
      </c>
      <c r="C25715" t="inlineStr">
        <is>
          <t>1970-04-23</t>
        </is>
      </c>
    </row>
    <row r="25716">
      <c r="A25716" s="1" t="n">
        <v>25715</v>
      </c>
      <c r="B25716">
        <f>TEXT(25715, "[$-0E0000]yyyy-mm-dd")</f>
        <v/>
      </c>
      <c r="C25716" t="inlineStr">
        <is>
          <t>1970-04-24</t>
        </is>
      </c>
    </row>
    <row r="25717">
      <c r="A25717" s="1" t="n">
        <v>25716</v>
      </c>
      <c r="B25717">
        <f>TEXT(25716, "[$-0E0000]yyyy-mm-dd")</f>
        <v/>
      </c>
      <c r="C25717" t="inlineStr">
        <is>
          <t>1970-04-25</t>
        </is>
      </c>
    </row>
    <row r="25718">
      <c r="A25718" s="1" t="n">
        <v>25717</v>
      </c>
      <c r="B25718">
        <f>TEXT(25717, "[$-0E0000]yyyy-mm-dd")</f>
        <v/>
      </c>
      <c r="C25718" t="inlineStr">
        <is>
          <t>1970-04-26</t>
        </is>
      </c>
    </row>
    <row r="25719">
      <c r="A25719" s="1" t="n">
        <v>25718</v>
      </c>
      <c r="B25719">
        <f>TEXT(25718, "[$-0E0000]yyyy-mm-dd")</f>
        <v/>
      </c>
      <c r="C25719" t="inlineStr">
        <is>
          <t>1970-04-27</t>
        </is>
      </c>
    </row>
    <row r="25720">
      <c r="A25720" s="1" t="n">
        <v>25719</v>
      </c>
      <c r="B25720">
        <f>TEXT(25719, "[$-0E0000]yyyy-mm-dd")</f>
        <v/>
      </c>
      <c r="C25720" t="inlineStr">
        <is>
          <t>1970-04-28</t>
        </is>
      </c>
    </row>
    <row r="25721">
      <c r="A25721" s="1" t="n">
        <v>25720</v>
      </c>
      <c r="B25721">
        <f>TEXT(25720, "[$-0E0000]yyyy-mm-dd")</f>
        <v/>
      </c>
      <c r="C25721" t="inlineStr">
        <is>
          <t>1970-04-29</t>
        </is>
      </c>
    </row>
    <row r="25722">
      <c r="A25722" s="1" t="n">
        <v>25721</v>
      </c>
      <c r="B25722">
        <f>TEXT(25721, "[$-0E0000]yyyy-mm-dd")</f>
        <v/>
      </c>
      <c r="C25722" t="inlineStr">
        <is>
          <t>1970-04-30</t>
        </is>
      </c>
    </row>
    <row r="25723">
      <c r="A25723" s="1" t="n">
        <v>25722</v>
      </c>
      <c r="B25723">
        <f>TEXT(25722, "[$-0E0000]yyyy-mm-dd")</f>
        <v/>
      </c>
      <c r="C25723" t="inlineStr">
        <is>
          <t>1970-05-01</t>
        </is>
      </c>
    </row>
    <row r="25724">
      <c r="A25724" s="1" t="n">
        <v>25723</v>
      </c>
      <c r="B25724">
        <f>TEXT(25723, "[$-0E0000]yyyy-mm-dd")</f>
        <v/>
      </c>
      <c r="C25724" t="inlineStr">
        <is>
          <t>1970-05-02</t>
        </is>
      </c>
    </row>
    <row r="25725">
      <c r="A25725" s="1" t="n">
        <v>25724</v>
      </c>
      <c r="B25725">
        <f>TEXT(25724, "[$-0E0000]yyyy-mm-dd")</f>
        <v/>
      </c>
      <c r="C25725" t="inlineStr">
        <is>
          <t>1970-05-03</t>
        </is>
      </c>
    </row>
    <row r="25726">
      <c r="A25726" s="1" t="n">
        <v>25725</v>
      </c>
      <c r="B25726">
        <f>TEXT(25725, "[$-0E0000]yyyy-mm-dd")</f>
        <v/>
      </c>
      <c r="C25726" t="inlineStr">
        <is>
          <t>1970-05-04</t>
        </is>
      </c>
    </row>
    <row r="25727">
      <c r="A25727" s="1" t="n">
        <v>25726</v>
      </c>
      <c r="B25727">
        <f>TEXT(25726, "[$-0E0000]yyyy-mm-dd")</f>
        <v/>
      </c>
      <c r="C25727" t="inlineStr">
        <is>
          <t>1970-05-05</t>
        </is>
      </c>
    </row>
    <row r="25728">
      <c r="A25728" s="1" t="n">
        <v>25727</v>
      </c>
      <c r="B25728">
        <f>TEXT(25727, "[$-0E0000]yyyy-mm-dd")</f>
        <v/>
      </c>
      <c r="C25728" t="inlineStr">
        <is>
          <t>1970-05-06</t>
        </is>
      </c>
    </row>
    <row r="25729">
      <c r="A25729" s="1" t="n">
        <v>25728</v>
      </c>
      <c r="B25729">
        <f>TEXT(25728, "[$-0E0000]yyyy-mm-dd")</f>
        <v/>
      </c>
      <c r="C25729" t="inlineStr">
        <is>
          <t>1970-05-07</t>
        </is>
      </c>
    </row>
    <row r="25730">
      <c r="A25730" s="1" t="n">
        <v>25729</v>
      </c>
      <c r="B25730">
        <f>TEXT(25729, "[$-0E0000]yyyy-mm-dd")</f>
        <v/>
      </c>
      <c r="C25730" t="inlineStr">
        <is>
          <t>1970-05-08</t>
        </is>
      </c>
    </row>
    <row r="25731">
      <c r="A25731" s="1" t="n">
        <v>25730</v>
      </c>
      <c r="B25731">
        <f>TEXT(25730, "[$-0E0000]yyyy-mm-dd")</f>
        <v/>
      </c>
      <c r="C25731" t="inlineStr">
        <is>
          <t>1970-05-09</t>
        </is>
      </c>
    </row>
    <row r="25732">
      <c r="A25732" s="1" t="n">
        <v>25731</v>
      </c>
      <c r="B25732">
        <f>TEXT(25731, "[$-0E0000]yyyy-mm-dd")</f>
        <v/>
      </c>
      <c r="C25732" t="inlineStr">
        <is>
          <t>1970-05-10</t>
        </is>
      </c>
    </row>
    <row r="25733">
      <c r="A25733" s="1" t="n">
        <v>25732</v>
      </c>
      <c r="B25733">
        <f>TEXT(25732, "[$-0E0000]yyyy-mm-dd")</f>
        <v/>
      </c>
      <c r="C25733" t="inlineStr">
        <is>
          <t>1970-05-11</t>
        </is>
      </c>
    </row>
    <row r="25734">
      <c r="A25734" s="1" t="n">
        <v>25733</v>
      </c>
      <c r="B25734">
        <f>TEXT(25733, "[$-0E0000]yyyy-mm-dd")</f>
        <v/>
      </c>
      <c r="C25734" t="inlineStr">
        <is>
          <t>1970-05-12</t>
        </is>
      </c>
    </row>
    <row r="25735">
      <c r="A25735" s="1" t="n">
        <v>25734</v>
      </c>
      <c r="B25735">
        <f>TEXT(25734, "[$-0E0000]yyyy-mm-dd")</f>
        <v/>
      </c>
      <c r="C25735" t="inlineStr">
        <is>
          <t>1970-05-13</t>
        </is>
      </c>
    </row>
    <row r="25736">
      <c r="A25736" s="1" t="n">
        <v>25735</v>
      </c>
      <c r="B25736">
        <f>TEXT(25735, "[$-0E0000]yyyy-mm-dd")</f>
        <v/>
      </c>
      <c r="C25736" t="inlineStr">
        <is>
          <t>1970-05-14</t>
        </is>
      </c>
    </row>
    <row r="25737">
      <c r="A25737" s="1" t="n">
        <v>25736</v>
      </c>
      <c r="B25737">
        <f>TEXT(25736, "[$-0E0000]yyyy-mm-dd")</f>
        <v/>
      </c>
      <c r="C25737" t="inlineStr">
        <is>
          <t>1970-05-15</t>
        </is>
      </c>
    </row>
    <row r="25738">
      <c r="A25738" s="1" t="n">
        <v>25737</v>
      </c>
      <c r="B25738">
        <f>TEXT(25737, "[$-0E0000]yyyy-mm-dd")</f>
        <v/>
      </c>
      <c r="C25738" t="inlineStr">
        <is>
          <t>1970-05-16</t>
        </is>
      </c>
    </row>
    <row r="25739">
      <c r="A25739" s="1" t="n">
        <v>25738</v>
      </c>
      <c r="B25739">
        <f>TEXT(25738, "[$-0E0000]yyyy-mm-dd")</f>
        <v/>
      </c>
      <c r="C25739" t="inlineStr">
        <is>
          <t>1970-05-17</t>
        </is>
      </c>
    </row>
    <row r="25740">
      <c r="A25740" s="1" t="n">
        <v>25739</v>
      </c>
      <c r="B25740">
        <f>TEXT(25739, "[$-0E0000]yyyy-mm-dd")</f>
        <v/>
      </c>
      <c r="C25740" t="inlineStr">
        <is>
          <t>1970-05-18</t>
        </is>
      </c>
    </row>
    <row r="25741">
      <c r="A25741" s="1" t="n">
        <v>25740</v>
      </c>
      <c r="B25741">
        <f>TEXT(25740, "[$-0E0000]yyyy-mm-dd")</f>
        <v/>
      </c>
      <c r="C25741" t="inlineStr">
        <is>
          <t>1970-05-19</t>
        </is>
      </c>
    </row>
    <row r="25742">
      <c r="A25742" s="1" t="n">
        <v>25741</v>
      </c>
      <c r="B25742">
        <f>TEXT(25741, "[$-0E0000]yyyy-mm-dd")</f>
        <v/>
      </c>
      <c r="C25742" t="inlineStr">
        <is>
          <t>1970-05-20</t>
        </is>
      </c>
    </row>
    <row r="25743">
      <c r="A25743" s="1" t="n">
        <v>25742</v>
      </c>
      <c r="B25743">
        <f>TEXT(25742, "[$-0E0000]yyyy-mm-dd")</f>
        <v/>
      </c>
      <c r="C25743" t="inlineStr">
        <is>
          <t>1970-05-21</t>
        </is>
      </c>
    </row>
    <row r="25744">
      <c r="A25744" s="1" t="n">
        <v>25743</v>
      </c>
      <c r="B25744">
        <f>TEXT(25743, "[$-0E0000]yyyy-mm-dd")</f>
        <v/>
      </c>
      <c r="C25744" t="inlineStr">
        <is>
          <t>1970-05-22</t>
        </is>
      </c>
    </row>
    <row r="25745">
      <c r="A25745" s="1" t="n">
        <v>25744</v>
      </c>
      <c r="B25745">
        <f>TEXT(25744, "[$-0E0000]yyyy-mm-dd")</f>
        <v/>
      </c>
      <c r="C25745" t="inlineStr">
        <is>
          <t>1970-05-23</t>
        </is>
      </c>
    </row>
    <row r="25746">
      <c r="A25746" s="1" t="n">
        <v>25745</v>
      </c>
      <c r="B25746">
        <f>TEXT(25745, "[$-0E0000]yyyy-mm-dd")</f>
        <v/>
      </c>
      <c r="C25746" t="inlineStr">
        <is>
          <t>1970-05-24</t>
        </is>
      </c>
    </row>
    <row r="25747">
      <c r="A25747" s="1" t="n">
        <v>25746</v>
      </c>
      <c r="B25747">
        <f>TEXT(25746, "[$-0E0000]yyyy-mm-dd")</f>
        <v/>
      </c>
      <c r="C25747" t="inlineStr">
        <is>
          <t>1970-05-25</t>
        </is>
      </c>
    </row>
    <row r="25748">
      <c r="A25748" s="1" t="n">
        <v>25747</v>
      </c>
      <c r="B25748">
        <f>TEXT(25747, "[$-0E0000]yyyy-mm-dd")</f>
        <v/>
      </c>
      <c r="C25748" t="inlineStr">
        <is>
          <t>1970-05-26</t>
        </is>
      </c>
    </row>
    <row r="25749">
      <c r="A25749" s="1" t="n">
        <v>25748</v>
      </c>
      <c r="B25749">
        <f>TEXT(25748, "[$-0E0000]yyyy-mm-dd")</f>
        <v/>
      </c>
      <c r="C25749" t="inlineStr">
        <is>
          <t>1970-05-27</t>
        </is>
      </c>
    </row>
    <row r="25750">
      <c r="A25750" s="1" t="n">
        <v>25749</v>
      </c>
      <c r="B25750">
        <f>TEXT(25749, "[$-0E0000]yyyy-mm-dd")</f>
        <v/>
      </c>
      <c r="C25750" t="inlineStr">
        <is>
          <t>1970-05-28</t>
        </is>
      </c>
    </row>
    <row r="25751">
      <c r="A25751" s="1" t="n">
        <v>25750</v>
      </c>
      <c r="B25751">
        <f>TEXT(25750, "[$-0E0000]yyyy-mm-dd")</f>
        <v/>
      </c>
      <c r="C25751" t="inlineStr">
        <is>
          <t>1970-05-29</t>
        </is>
      </c>
    </row>
    <row r="25752">
      <c r="A25752" s="1" t="n">
        <v>25751</v>
      </c>
      <c r="B25752">
        <f>TEXT(25751, "[$-0E0000]yyyy-mm-dd")</f>
        <v/>
      </c>
      <c r="C25752" t="inlineStr">
        <is>
          <t>1970-06-01</t>
        </is>
      </c>
    </row>
    <row r="25753">
      <c r="A25753" s="1" t="n">
        <v>25752</v>
      </c>
      <c r="B25753">
        <f>TEXT(25752, "[$-0E0000]yyyy-mm-dd")</f>
        <v/>
      </c>
      <c r="C25753" t="inlineStr">
        <is>
          <t>1970-06-02</t>
        </is>
      </c>
    </row>
    <row r="25754">
      <c r="A25754" s="1" t="n">
        <v>25753</v>
      </c>
      <c r="B25754">
        <f>TEXT(25753, "[$-0E0000]yyyy-mm-dd")</f>
        <v/>
      </c>
      <c r="C25754" t="inlineStr">
        <is>
          <t>1970-06-03</t>
        </is>
      </c>
    </row>
    <row r="25755">
      <c r="A25755" s="1" t="n">
        <v>25754</v>
      </c>
      <c r="B25755">
        <f>TEXT(25754, "[$-0E0000]yyyy-mm-dd")</f>
        <v/>
      </c>
      <c r="C25755" t="inlineStr">
        <is>
          <t>1970-06-04</t>
        </is>
      </c>
    </row>
    <row r="25756">
      <c r="A25756" s="1" t="n">
        <v>25755</v>
      </c>
      <c r="B25756">
        <f>TEXT(25755, "[$-0E0000]yyyy-mm-dd")</f>
        <v/>
      </c>
      <c r="C25756" t="inlineStr">
        <is>
          <t>1970-06-05</t>
        </is>
      </c>
    </row>
    <row r="25757">
      <c r="A25757" s="1" t="n">
        <v>25756</v>
      </c>
      <c r="B25757">
        <f>TEXT(25756, "[$-0E0000]yyyy-mm-dd")</f>
        <v/>
      </c>
      <c r="C25757" t="inlineStr">
        <is>
          <t>1970-06-06</t>
        </is>
      </c>
    </row>
    <row r="25758">
      <c r="A25758" s="1" t="n">
        <v>25757</v>
      </c>
      <c r="B25758">
        <f>TEXT(25757, "[$-0E0000]yyyy-mm-dd")</f>
        <v/>
      </c>
      <c r="C25758" t="inlineStr">
        <is>
          <t>1970-06-07</t>
        </is>
      </c>
    </row>
    <row r="25759">
      <c r="A25759" s="1" t="n">
        <v>25758</v>
      </c>
      <c r="B25759">
        <f>TEXT(25758, "[$-0E0000]yyyy-mm-dd")</f>
        <v/>
      </c>
      <c r="C25759" t="inlineStr">
        <is>
          <t>1970-06-08</t>
        </is>
      </c>
    </row>
    <row r="25760">
      <c r="A25760" s="1" t="n">
        <v>25759</v>
      </c>
      <c r="B25760">
        <f>TEXT(25759, "[$-0E0000]yyyy-mm-dd")</f>
        <v/>
      </c>
      <c r="C25760" t="inlineStr">
        <is>
          <t>1970-06-09</t>
        </is>
      </c>
    </row>
    <row r="25761">
      <c r="A25761" s="1" t="n">
        <v>25760</v>
      </c>
      <c r="B25761">
        <f>TEXT(25760, "[$-0E0000]yyyy-mm-dd")</f>
        <v/>
      </c>
      <c r="C25761" t="inlineStr">
        <is>
          <t>1970-06-10</t>
        </is>
      </c>
    </row>
    <row r="25762">
      <c r="A25762" s="1" t="n">
        <v>25761</v>
      </c>
      <c r="B25762">
        <f>TEXT(25761, "[$-0E0000]yyyy-mm-dd")</f>
        <v/>
      </c>
      <c r="C25762" t="inlineStr">
        <is>
          <t>1970-06-11</t>
        </is>
      </c>
    </row>
    <row r="25763">
      <c r="A25763" s="1" t="n">
        <v>25762</v>
      </c>
      <c r="B25763">
        <f>TEXT(25762, "[$-0E0000]yyyy-mm-dd")</f>
        <v/>
      </c>
      <c r="C25763" t="inlineStr">
        <is>
          <t>1970-06-12</t>
        </is>
      </c>
    </row>
    <row r="25764">
      <c r="A25764" s="1" t="n">
        <v>25763</v>
      </c>
      <c r="B25764">
        <f>TEXT(25763, "[$-0E0000]yyyy-mm-dd")</f>
        <v/>
      </c>
      <c r="C25764" t="inlineStr">
        <is>
          <t>1970-06-13</t>
        </is>
      </c>
    </row>
    <row r="25765">
      <c r="A25765" s="1" t="n">
        <v>25764</v>
      </c>
      <c r="B25765">
        <f>TEXT(25764, "[$-0E0000]yyyy-mm-dd")</f>
        <v/>
      </c>
      <c r="C25765" t="inlineStr">
        <is>
          <t>1970-06-14</t>
        </is>
      </c>
    </row>
    <row r="25766">
      <c r="A25766" s="1" t="n">
        <v>25765</v>
      </c>
      <c r="B25766">
        <f>TEXT(25765, "[$-0E0000]yyyy-mm-dd")</f>
        <v/>
      </c>
      <c r="C25766" t="inlineStr">
        <is>
          <t>1970-06-15</t>
        </is>
      </c>
    </row>
    <row r="25767">
      <c r="A25767" s="1" t="n">
        <v>25766</v>
      </c>
      <c r="B25767">
        <f>TEXT(25766, "[$-0E0000]yyyy-mm-dd")</f>
        <v/>
      </c>
      <c r="C25767" t="inlineStr">
        <is>
          <t>1970-06-16</t>
        </is>
      </c>
    </row>
    <row r="25768">
      <c r="A25768" s="1" t="n">
        <v>25767</v>
      </c>
      <c r="B25768">
        <f>TEXT(25767, "[$-0E0000]yyyy-mm-dd")</f>
        <v/>
      </c>
      <c r="C25768" t="inlineStr">
        <is>
          <t>1970-06-17</t>
        </is>
      </c>
    </row>
    <row r="25769">
      <c r="A25769" s="1" t="n">
        <v>25768</v>
      </c>
      <c r="B25769">
        <f>TEXT(25768, "[$-0E0000]yyyy-mm-dd")</f>
        <v/>
      </c>
      <c r="C25769" t="inlineStr">
        <is>
          <t>1970-06-18</t>
        </is>
      </c>
    </row>
    <row r="25770">
      <c r="A25770" s="1" t="n">
        <v>25769</v>
      </c>
      <c r="B25770">
        <f>TEXT(25769, "[$-0E0000]yyyy-mm-dd")</f>
        <v/>
      </c>
      <c r="C25770" t="inlineStr">
        <is>
          <t>1970-06-19</t>
        </is>
      </c>
    </row>
    <row r="25771">
      <c r="A25771" s="1" t="n">
        <v>25770</v>
      </c>
      <c r="B25771">
        <f>TEXT(25770, "[$-0E0000]yyyy-mm-dd")</f>
        <v/>
      </c>
      <c r="C25771" t="inlineStr">
        <is>
          <t>1970-06-20</t>
        </is>
      </c>
    </row>
    <row r="25772">
      <c r="A25772" s="1" t="n">
        <v>25771</v>
      </c>
      <c r="B25772">
        <f>TEXT(25771, "[$-0E0000]yyyy-mm-dd")</f>
        <v/>
      </c>
      <c r="C25772" t="inlineStr">
        <is>
          <t>1970-06-21</t>
        </is>
      </c>
    </row>
    <row r="25773">
      <c r="A25773" s="1" t="n">
        <v>25772</v>
      </c>
      <c r="B25773">
        <f>TEXT(25772, "[$-0E0000]yyyy-mm-dd")</f>
        <v/>
      </c>
      <c r="C25773" t="inlineStr">
        <is>
          <t>1970-06-22</t>
        </is>
      </c>
    </row>
    <row r="25774">
      <c r="A25774" s="1" t="n">
        <v>25773</v>
      </c>
      <c r="B25774">
        <f>TEXT(25773, "[$-0E0000]yyyy-mm-dd")</f>
        <v/>
      </c>
      <c r="C25774" t="inlineStr">
        <is>
          <t>1970-06-23</t>
        </is>
      </c>
    </row>
    <row r="25775">
      <c r="A25775" s="1" t="n">
        <v>25774</v>
      </c>
      <c r="B25775">
        <f>TEXT(25774, "[$-0E0000]yyyy-mm-dd")</f>
        <v/>
      </c>
      <c r="C25775" t="inlineStr">
        <is>
          <t>1970-06-24</t>
        </is>
      </c>
    </row>
    <row r="25776">
      <c r="A25776" s="1" t="n">
        <v>25775</v>
      </c>
      <c r="B25776">
        <f>TEXT(25775, "[$-0E0000]yyyy-mm-dd")</f>
        <v/>
      </c>
      <c r="C25776" t="inlineStr">
        <is>
          <t>1970-06-25</t>
        </is>
      </c>
    </row>
    <row r="25777">
      <c r="A25777" s="1" t="n">
        <v>25776</v>
      </c>
      <c r="B25777">
        <f>TEXT(25776, "[$-0E0000]yyyy-mm-dd")</f>
        <v/>
      </c>
      <c r="C25777" t="inlineStr">
        <is>
          <t>1970-06-26</t>
        </is>
      </c>
    </row>
    <row r="25778">
      <c r="A25778" s="1" t="n">
        <v>25777</v>
      </c>
      <c r="B25778">
        <f>TEXT(25777, "[$-0E0000]yyyy-mm-dd")</f>
        <v/>
      </c>
      <c r="C25778" t="inlineStr">
        <is>
          <t>1970-06-27</t>
        </is>
      </c>
    </row>
    <row r="25779">
      <c r="A25779" s="1" t="n">
        <v>25778</v>
      </c>
      <c r="B25779">
        <f>TEXT(25778, "[$-0E0000]yyyy-mm-dd")</f>
        <v/>
      </c>
      <c r="C25779" t="inlineStr">
        <is>
          <t>1970-06-28</t>
        </is>
      </c>
    </row>
    <row r="25780">
      <c r="A25780" s="1" t="n">
        <v>25779</v>
      </c>
      <c r="B25780">
        <f>TEXT(25779, "[$-0E0000]yyyy-mm-dd")</f>
        <v/>
      </c>
      <c r="C25780" t="inlineStr">
        <is>
          <t>1970-06-29</t>
        </is>
      </c>
    </row>
    <row r="25781">
      <c r="A25781" s="1" t="n">
        <v>25780</v>
      </c>
      <c r="B25781">
        <f>TEXT(25780, "[$-0E0000]yyyy-mm-dd")</f>
        <v/>
      </c>
      <c r="C25781" t="inlineStr">
        <is>
          <t>1970-06-30</t>
        </is>
      </c>
    </row>
    <row r="25782">
      <c r="A25782" s="1" t="n">
        <v>25781</v>
      </c>
      <c r="B25782">
        <f>TEXT(25781, "[$-0E0000]yyyy-mm-dd")</f>
        <v/>
      </c>
      <c r="C25782" t="inlineStr">
        <is>
          <t>1970-07-01</t>
        </is>
      </c>
    </row>
    <row r="25783">
      <c r="A25783" s="1" t="n">
        <v>25782</v>
      </c>
      <c r="B25783">
        <f>TEXT(25782, "[$-0E0000]yyyy-mm-dd")</f>
        <v/>
      </c>
      <c r="C25783" t="inlineStr">
        <is>
          <t>1970-07-02</t>
        </is>
      </c>
    </row>
    <row r="25784">
      <c r="A25784" s="1" t="n">
        <v>25783</v>
      </c>
      <c r="B25784">
        <f>TEXT(25783, "[$-0E0000]yyyy-mm-dd")</f>
        <v/>
      </c>
      <c r="C25784" t="inlineStr">
        <is>
          <t>1970-07-03</t>
        </is>
      </c>
    </row>
    <row r="25785">
      <c r="A25785" s="1" t="n">
        <v>25784</v>
      </c>
      <c r="B25785">
        <f>TEXT(25784, "[$-0E0000]yyyy-mm-dd")</f>
        <v/>
      </c>
      <c r="C25785" t="inlineStr">
        <is>
          <t>1970-07-04</t>
        </is>
      </c>
    </row>
    <row r="25786">
      <c r="A25786" s="1" t="n">
        <v>25785</v>
      </c>
      <c r="B25786">
        <f>TEXT(25785, "[$-0E0000]yyyy-mm-dd")</f>
        <v/>
      </c>
      <c r="C25786" t="inlineStr">
        <is>
          <t>1970-07-05</t>
        </is>
      </c>
    </row>
    <row r="25787">
      <c r="A25787" s="1" t="n">
        <v>25786</v>
      </c>
      <c r="B25787">
        <f>TEXT(25786, "[$-0E0000]yyyy-mm-dd")</f>
        <v/>
      </c>
      <c r="C25787" t="inlineStr">
        <is>
          <t>1970-07-06</t>
        </is>
      </c>
    </row>
    <row r="25788">
      <c r="A25788" s="1" t="n">
        <v>25787</v>
      </c>
      <c r="B25788">
        <f>TEXT(25787, "[$-0E0000]yyyy-mm-dd")</f>
        <v/>
      </c>
      <c r="C25788" t="inlineStr">
        <is>
          <t>1970-07-07</t>
        </is>
      </c>
    </row>
    <row r="25789">
      <c r="A25789" s="1" t="n">
        <v>25788</v>
      </c>
      <c r="B25789">
        <f>TEXT(25788, "[$-0E0000]yyyy-mm-dd")</f>
        <v/>
      </c>
      <c r="C25789" t="inlineStr">
        <is>
          <t>1970-07-08</t>
        </is>
      </c>
    </row>
    <row r="25790">
      <c r="A25790" s="1" t="n">
        <v>25789</v>
      </c>
      <c r="B25790">
        <f>TEXT(25789, "[$-0E0000]yyyy-mm-dd")</f>
        <v/>
      </c>
      <c r="C25790" t="inlineStr">
        <is>
          <t>1970-07-09</t>
        </is>
      </c>
    </row>
    <row r="25791">
      <c r="A25791" s="1" t="n">
        <v>25790</v>
      </c>
      <c r="B25791">
        <f>TEXT(25790, "[$-0E0000]yyyy-mm-dd")</f>
        <v/>
      </c>
      <c r="C25791" t="inlineStr">
        <is>
          <t>1970-07-10</t>
        </is>
      </c>
    </row>
    <row r="25792">
      <c r="A25792" s="1" t="n">
        <v>25791</v>
      </c>
      <c r="B25792">
        <f>TEXT(25791, "[$-0E0000]yyyy-mm-dd")</f>
        <v/>
      </c>
      <c r="C25792" t="inlineStr">
        <is>
          <t>1970-07-11</t>
        </is>
      </c>
    </row>
    <row r="25793">
      <c r="A25793" s="1" t="n">
        <v>25792</v>
      </c>
      <c r="B25793">
        <f>TEXT(25792, "[$-0E0000]yyyy-mm-dd")</f>
        <v/>
      </c>
      <c r="C25793" t="inlineStr">
        <is>
          <t>1970-07-12</t>
        </is>
      </c>
    </row>
    <row r="25794">
      <c r="A25794" s="1" t="n">
        <v>25793</v>
      </c>
      <c r="B25794">
        <f>TEXT(25793, "[$-0E0000]yyyy-mm-dd")</f>
        <v/>
      </c>
      <c r="C25794" t="inlineStr">
        <is>
          <t>1970-07-13</t>
        </is>
      </c>
    </row>
    <row r="25795">
      <c r="A25795" s="1" t="n">
        <v>25794</v>
      </c>
      <c r="B25795">
        <f>TEXT(25794, "[$-0E0000]yyyy-mm-dd")</f>
        <v/>
      </c>
      <c r="C25795" t="inlineStr">
        <is>
          <t>1970-07-14</t>
        </is>
      </c>
    </row>
    <row r="25796">
      <c r="A25796" s="1" t="n">
        <v>25795</v>
      </c>
      <c r="B25796">
        <f>TEXT(25795, "[$-0E0000]yyyy-mm-dd")</f>
        <v/>
      </c>
      <c r="C25796" t="inlineStr">
        <is>
          <t>1970-07-15</t>
        </is>
      </c>
    </row>
    <row r="25797">
      <c r="A25797" s="1" t="n">
        <v>25796</v>
      </c>
      <c r="B25797">
        <f>TEXT(25796, "[$-0E0000]yyyy-mm-dd")</f>
        <v/>
      </c>
      <c r="C25797" t="inlineStr">
        <is>
          <t>1970-07-16</t>
        </is>
      </c>
    </row>
    <row r="25798">
      <c r="A25798" s="1" t="n">
        <v>25797</v>
      </c>
      <c r="B25798">
        <f>TEXT(25797, "[$-0E0000]yyyy-mm-dd")</f>
        <v/>
      </c>
      <c r="C25798" t="inlineStr">
        <is>
          <t>1970-07-17</t>
        </is>
      </c>
    </row>
    <row r="25799">
      <c r="A25799" s="1" t="n">
        <v>25798</v>
      </c>
      <c r="B25799">
        <f>TEXT(25798, "[$-0E0000]yyyy-mm-dd")</f>
        <v/>
      </c>
      <c r="C25799" t="inlineStr">
        <is>
          <t>1970-07-18</t>
        </is>
      </c>
    </row>
    <row r="25800">
      <c r="A25800" s="1" t="n">
        <v>25799</v>
      </c>
      <c r="B25800">
        <f>TEXT(25799, "[$-0E0000]yyyy-mm-dd")</f>
        <v/>
      </c>
      <c r="C25800" t="inlineStr">
        <is>
          <t>1970-07-19</t>
        </is>
      </c>
    </row>
    <row r="25801">
      <c r="A25801" s="1" t="n">
        <v>25800</v>
      </c>
      <c r="B25801">
        <f>TEXT(25800, "[$-0E0000]yyyy-mm-dd")</f>
        <v/>
      </c>
      <c r="C25801" t="inlineStr">
        <is>
          <t>1970-07-20</t>
        </is>
      </c>
    </row>
    <row r="25802">
      <c r="A25802" s="1" t="n">
        <v>25801</v>
      </c>
      <c r="B25802">
        <f>TEXT(25801, "[$-0E0000]yyyy-mm-dd")</f>
        <v/>
      </c>
      <c r="C25802" t="inlineStr">
        <is>
          <t>1970-07-21</t>
        </is>
      </c>
    </row>
    <row r="25803">
      <c r="A25803" s="1" t="n">
        <v>25802</v>
      </c>
      <c r="B25803">
        <f>TEXT(25802, "[$-0E0000]yyyy-mm-dd")</f>
        <v/>
      </c>
      <c r="C25803" t="inlineStr">
        <is>
          <t>1970-07-22</t>
        </is>
      </c>
    </row>
    <row r="25804">
      <c r="A25804" s="1" t="n">
        <v>25803</v>
      </c>
      <c r="B25804">
        <f>TEXT(25803, "[$-0E0000]yyyy-mm-dd")</f>
        <v/>
      </c>
      <c r="C25804" t="inlineStr">
        <is>
          <t>1970-07-23</t>
        </is>
      </c>
    </row>
    <row r="25805">
      <c r="A25805" s="1" t="n">
        <v>25804</v>
      </c>
      <c r="B25805">
        <f>TEXT(25804, "[$-0E0000]yyyy-mm-dd")</f>
        <v/>
      </c>
      <c r="C25805" t="inlineStr">
        <is>
          <t>1970-07-24</t>
        </is>
      </c>
    </row>
    <row r="25806">
      <c r="A25806" s="1" t="n">
        <v>25805</v>
      </c>
      <c r="B25806">
        <f>TEXT(25805, "[$-0E0000]yyyy-mm-dd")</f>
        <v/>
      </c>
      <c r="C25806" t="inlineStr">
        <is>
          <t>1970-07-25</t>
        </is>
      </c>
    </row>
    <row r="25807">
      <c r="A25807" s="1" t="n">
        <v>25806</v>
      </c>
      <c r="B25807">
        <f>TEXT(25806, "[$-0E0000]yyyy-mm-dd")</f>
        <v/>
      </c>
      <c r="C25807" t="inlineStr">
        <is>
          <t>1970-07-26</t>
        </is>
      </c>
    </row>
    <row r="25808">
      <c r="A25808" s="1" t="n">
        <v>25807</v>
      </c>
      <c r="B25808">
        <f>TEXT(25807, "[$-0E0000]yyyy-mm-dd")</f>
        <v/>
      </c>
      <c r="C25808" t="inlineStr">
        <is>
          <t>1970-07-27</t>
        </is>
      </c>
    </row>
    <row r="25809">
      <c r="A25809" s="1" t="n">
        <v>25808</v>
      </c>
      <c r="B25809">
        <f>TEXT(25808, "[$-0E0000]yyyy-mm-dd")</f>
        <v/>
      </c>
      <c r="C25809" t="inlineStr">
        <is>
          <t>1970-07-28</t>
        </is>
      </c>
    </row>
    <row r="25810">
      <c r="A25810" s="1" t="n">
        <v>25809</v>
      </c>
      <c r="B25810">
        <f>TEXT(25809, "[$-0E0000]yyyy-mm-dd")</f>
        <v/>
      </c>
      <c r="C25810" t="inlineStr">
        <is>
          <t>1970-07-29</t>
        </is>
      </c>
    </row>
    <row r="25811">
      <c r="A25811" s="1" t="n">
        <v>25810</v>
      </c>
      <c r="B25811">
        <f>TEXT(25810, "[$-0E0000]yyyy-mm-dd")</f>
        <v/>
      </c>
      <c r="C25811" t="inlineStr">
        <is>
          <t>1970-07-30</t>
        </is>
      </c>
    </row>
    <row r="25812">
      <c r="A25812" s="1" t="n">
        <v>25811</v>
      </c>
      <c r="B25812">
        <f>TEXT(25811, "[$-0E0000]yyyy-mm-dd")</f>
        <v/>
      </c>
      <c r="C25812" t="inlineStr">
        <is>
          <t>1970-08-01</t>
        </is>
      </c>
    </row>
    <row r="25813">
      <c r="A25813" s="1" t="n">
        <v>25812</v>
      </c>
      <c r="B25813">
        <f>TEXT(25812, "[$-0E0000]yyyy-mm-dd")</f>
        <v/>
      </c>
      <c r="C25813" t="inlineStr">
        <is>
          <t>1970-08-02</t>
        </is>
      </c>
    </row>
    <row r="25814">
      <c r="A25814" s="1" t="n">
        <v>25813</v>
      </c>
      <c r="B25814">
        <f>TEXT(25813, "[$-0E0000]yyyy-mm-dd")</f>
        <v/>
      </c>
      <c r="C25814" t="inlineStr">
        <is>
          <t>1970-08-03</t>
        </is>
      </c>
    </row>
    <row r="25815">
      <c r="A25815" s="1" t="n">
        <v>25814</v>
      </c>
      <c r="B25815">
        <f>TEXT(25814, "[$-0E0000]yyyy-mm-dd")</f>
        <v/>
      </c>
      <c r="C25815" t="inlineStr">
        <is>
          <t>1970-08-04</t>
        </is>
      </c>
    </row>
    <row r="25816">
      <c r="A25816" s="1" t="n">
        <v>25815</v>
      </c>
      <c r="B25816">
        <f>TEXT(25815, "[$-0E0000]yyyy-mm-dd")</f>
        <v/>
      </c>
      <c r="C25816" t="inlineStr">
        <is>
          <t>1970-08-05</t>
        </is>
      </c>
    </row>
    <row r="25817">
      <c r="A25817" s="1" t="n">
        <v>25816</v>
      </c>
      <c r="B25817">
        <f>TEXT(25816, "[$-0E0000]yyyy-mm-dd")</f>
        <v/>
      </c>
      <c r="C25817" t="inlineStr">
        <is>
          <t>1970-08-06</t>
        </is>
      </c>
    </row>
    <row r="25818">
      <c r="A25818" s="1" t="n">
        <v>25817</v>
      </c>
      <c r="B25818">
        <f>TEXT(25817, "[$-0E0000]yyyy-mm-dd")</f>
        <v/>
      </c>
      <c r="C25818" t="inlineStr">
        <is>
          <t>1970-08-07</t>
        </is>
      </c>
    </row>
    <row r="25819">
      <c r="A25819" s="1" t="n">
        <v>25818</v>
      </c>
      <c r="B25819">
        <f>TEXT(25818, "[$-0E0000]yyyy-mm-dd")</f>
        <v/>
      </c>
      <c r="C25819" t="inlineStr">
        <is>
          <t>1970-08-08</t>
        </is>
      </c>
    </row>
    <row r="25820">
      <c r="A25820" s="1" t="n">
        <v>25819</v>
      </c>
      <c r="B25820">
        <f>TEXT(25819, "[$-0E0000]yyyy-mm-dd")</f>
        <v/>
      </c>
      <c r="C25820" t="inlineStr">
        <is>
          <t>1970-08-09</t>
        </is>
      </c>
    </row>
    <row r="25821">
      <c r="A25821" s="1" t="n">
        <v>25820</v>
      </c>
      <c r="B25821">
        <f>TEXT(25820, "[$-0E0000]yyyy-mm-dd")</f>
        <v/>
      </c>
      <c r="C25821" t="inlineStr">
        <is>
          <t>1970-08-10</t>
        </is>
      </c>
    </row>
    <row r="25822">
      <c r="A25822" s="1" t="n">
        <v>25821</v>
      </c>
      <c r="B25822">
        <f>TEXT(25821, "[$-0E0000]yyyy-mm-dd")</f>
        <v/>
      </c>
      <c r="C25822" t="inlineStr">
        <is>
          <t>1970-08-11</t>
        </is>
      </c>
    </row>
    <row r="25823">
      <c r="A25823" s="1" t="n">
        <v>25822</v>
      </c>
      <c r="B25823">
        <f>TEXT(25822, "[$-0E0000]yyyy-mm-dd")</f>
        <v/>
      </c>
      <c r="C25823" t="inlineStr">
        <is>
          <t>1970-08-12</t>
        </is>
      </c>
    </row>
    <row r="25824">
      <c r="A25824" s="1" t="n">
        <v>25823</v>
      </c>
      <c r="B25824">
        <f>TEXT(25823, "[$-0E0000]yyyy-mm-dd")</f>
        <v/>
      </c>
      <c r="C25824" t="inlineStr">
        <is>
          <t>1970-08-13</t>
        </is>
      </c>
    </row>
    <row r="25825">
      <c r="A25825" s="1" t="n">
        <v>25824</v>
      </c>
      <c r="B25825">
        <f>TEXT(25824, "[$-0E0000]yyyy-mm-dd")</f>
        <v/>
      </c>
      <c r="C25825" t="inlineStr">
        <is>
          <t>1970-08-14</t>
        </is>
      </c>
    </row>
    <row r="25826">
      <c r="A25826" s="1" t="n">
        <v>25825</v>
      </c>
      <c r="B25826">
        <f>TEXT(25825, "[$-0E0000]yyyy-mm-dd")</f>
        <v/>
      </c>
      <c r="C25826" t="inlineStr">
        <is>
          <t>1970-08-15</t>
        </is>
      </c>
    </row>
    <row r="25827">
      <c r="A25827" s="1" t="n">
        <v>25826</v>
      </c>
      <c r="B25827">
        <f>TEXT(25826, "[$-0E0000]yyyy-mm-dd")</f>
        <v/>
      </c>
      <c r="C25827" t="inlineStr">
        <is>
          <t>1970-08-16</t>
        </is>
      </c>
    </row>
    <row r="25828">
      <c r="A25828" s="1" t="n">
        <v>25827</v>
      </c>
      <c r="B25828">
        <f>TEXT(25827, "[$-0E0000]yyyy-mm-dd")</f>
        <v/>
      </c>
      <c r="C25828" t="inlineStr">
        <is>
          <t>1970-08-17</t>
        </is>
      </c>
    </row>
    <row r="25829">
      <c r="A25829" s="1" t="n">
        <v>25828</v>
      </c>
      <c r="B25829">
        <f>TEXT(25828, "[$-0E0000]yyyy-mm-dd")</f>
        <v/>
      </c>
      <c r="C25829" t="inlineStr">
        <is>
          <t>1970-08-18</t>
        </is>
      </c>
    </row>
    <row r="25830">
      <c r="A25830" s="1" t="n">
        <v>25829</v>
      </c>
      <c r="B25830">
        <f>TEXT(25829, "[$-0E0000]yyyy-mm-dd")</f>
        <v/>
      </c>
      <c r="C25830" t="inlineStr">
        <is>
          <t>1970-08-19</t>
        </is>
      </c>
    </row>
    <row r="25831">
      <c r="A25831" s="1" t="n">
        <v>25830</v>
      </c>
      <c r="B25831">
        <f>TEXT(25830, "[$-0E0000]yyyy-mm-dd")</f>
        <v/>
      </c>
      <c r="C25831" t="inlineStr">
        <is>
          <t>1970-08-20</t>
        </is>
      </c>
    </row>
    <row r="25832">
      <c r="A25832" s="1" t="n">
        <v>25831</v>
      </c>
      <c r="B25832">
        <f>TEXT(25831, "[$-0E0000]yyyy-mm-dd")</f>
        <v/>
      </c>
      <c r="C25832" t="inlineStr">
        <is>
          <t>1970-08-21</t>
        </is>
      </c>
    </row>
    <row r="25833">
      <c r="A25833" s="1" t="n">
        <v>25832</v>
      </c>
      <c r="B25833">
        <f>TEXT(25832, "[$-0E0000]yyyy-mm-dd")</f>
        <v/>
      </c>
      <c r="C25833" t="inlineStr">
        <is>
          <t>1970-08-22</t>
        </is>
      </c>
    </row>
    <row r="25834">
      <c r="A25834" s="1" t="n">
        <v>25833</v>
      </c>
      <c r="B25834">
        <f>TEXT(25833, "[$-0E0000]yyyy-mm-dd")</f>
        <v/>
      </c>
      <c r="C25834" t="inlineStr">
        <is>
          <t>1970-08-23</t>
        </is>
      </c>
    </row>
    <row r="25835">
      <c r="A25835" s="1" t="n">
        <v>25834</v>
      </c>
      <c r="B25835">
        <f>TEXT(25834, "[$-0E0000]yyyy-mm-dd")</f>
        <v/>
      </c>
      <c r="C25835" t="inlineStr">
        <is>
          <t>1970-08-24</t>
        </is>
      </c>
    </row>
    <row r="25836">
      <c r="A25836" s="1" t="n">
        <v>25835</v>
      </c>
      <c r="B25836">
        <f>TEXT(25835, "[$-0E0000]yyyy-mm-dd")</f>
        <v/>
      </c>
      <c r="C25836" t="inlineStr">
        <is>
          <t>1970-08-25</t>
        </is>
      </c>
    </row>
    <row r="25837">
      <c r="A25837" s="1" t="n">
        <v>25836</v>
      </c>
      <c r="B25837">
        <f>TEXT(25836, "[$-0E0000]yyyy-mm-dd")</f>
        <v/>
      </c>
      <c r="C25837" t="inlineStr">
        <is>
          <t>1970-08-26</t>
        </is>
      </c>
    </row>
    <row r="25838">
      <c r="A25838" s="1" t="n">
        <v>25837</v>
      </c>
      <c r="B25838">
        <f>TEXT(25837, "[$-0E0000]yyyy-mm-dd")</f>
        <v/>
      </c>
      <c r="C25838" t="inlineStr">
        <is>
          <t>1970-08-27</t>
        </is>
      </c>
    </row>
    <row r="25839">
      <c r="A25839" s="1" t="n">
        <v>25838</v>
      </c>
      <c r="B25839">
        <f>TEXT(25838, "[$-0E0000]yyyy-mm-dd")</f>
        <v/>
      </c>
      <c r="C25839" t="inlineStr">
        <is>
          <t>1970-08-28</t>
        </is>
      </c>
    </row>
    <row r="25840">
      <c r="A25840" s="1" t="n">
        <v>25839</v>
      </c>
      <c r="B25840">
        <f>TEXT(25839, "[$-0E0000]yyyy-mm-dd")</f>
        <v/>
      </c>
      <c r="C25840" t="inlineStr">
        <is>
          <t>1970-08-29</t>
        </is>
      </c>
    </row>
    <row r="25841">
      <c r="A25841" s="1" t="n">
        <v>25840</v>
      </c>
      <c r="B25841">
        <f>TEXT(25840, "[$-0E0000]yyyy-mm-dd")</f>
        <v/>
      </c>
      <c r="C25841" t="inlineStr">
        <is>
          <t>1970-09-01</t>
        </is>
      </c>
    </row>
    <row r="25842">
      <c r="A25842" s="1" t="n">
        <v>25841</v>
      </c>
      <c r="B25842">
        <f>TEXT(25841, "[$-0E0000]yyyy-mm-dd")</f>
        <v/>
      </c>
      <c r="C25842" t="inlineStr">
        <is>
          <t>1970-09-02</t>
        </is>
      </c>
    </row>
    <row r="25843">
      <c r="A25843" s="1" t="n">
        <v>25842</v>
      </c>
      <c r="B25843">
        <f>TEXT(25842, "[$-0E0000]yyyy-mm-dd")</f>
        <v/>
      </c>
      <c r="C25843" t="inlineStr">
        <is>
          <t>1970-09-03</t>
        </is>
      </c>
    </row>
    <row r="25844">
      <c r="A25844" s="1" t="n">
        <v>25843</v>
      </c>
      <c r="B25844">
        <f>TEXT(25843, "[$-0E0000]yyyy-mm-dd")</f>
        <v/>
      </c>
      <c r="C25844" t="inlineStr">
        <is>
          <t>1970-09-04</t>
        </is>
      </c>
    </row>
    <row r="25845">
      <c r="A25845" s="1" t="n">
        <v>25844</v>
      </c>
      <c r="B25845">
        <f>TEXT(25844, "[$-0E0000]yyyy-mm-dd")</f>
        <v/>
      </c>
      <c r="C25845" t="inlineStr">
        <is>
          <t>1970-09-05</t>
        </is>
      </c>
    </row>
    <row r="25846">
      <c r="A25846" s="1" t="n">
        <v>25845</v>
      </c>
      <c r="B25846">
        <f>TEXT(25845, "[$-0E0000]yyyy-mm-dd")</f>
        <v/>
      </c>
      <c r="C25846" t="inlineStr">
        <is>
          <t>1970-09-06</t>
        </is>
      </c>
    </row>
    <row r="25847">
      <c r="A25847" s="1" t="n">
        <v>25846</v>
      </c>
      <c r="B25847">
        <f>TEXT(25846, "[$-0E0000]yyyy-mm-dd")</f>
        <v/>
      </c>
      <c r="C25847" t="inlineStr">
        <is>
          <t>1970-09-07</t>
        </is>
      </c>
    </row>
    <row r="25848">
      <c r="A25848" s="1" t="n">
        <v>25847</v>
      </c>
      <c r="B25848">
        <f>TEXT(25847, "[$-0E0000]yyyy-mm-dd")</f>
        <v/>
      </c>
      <c r="C25848" t="inlineStr">
        <is>
          <t>1970-09-08</t>
        </is>
      </c>
    </row>
    <row r="25849">
      <c r="A25849" s="1" t="n">
        <v>25848</v>
      </c>
      <c r="B25849">
        <f>TEXT(25848, "[$-0E0000]yyyy-mm-dd")</f>
        <v/>
      </c>
      <c r="C25849" t="inlineStr">
        <is>
          <t>1970-09-09</t>
        </is>
      </c>
    </row>
    <row r="25850">
      <c r="A25850" s="1" t="n">
        <v>25849</v>
      </c>
      <c r="B25850">
        <f>TEXT(25849, "[$-0E0000]yyyy-mm-dd")</f>
        <v/>
      </c>
      <c r="C25850" t="inlineStr">
        <is>
          <t>1970-09-10</t>
        </is>
      </c>
    </row>
    <row r="25851">
      <c r="A25851" s="1" t="n">
        <v>25850</v>
      </c>
      <c r="B25851">
        <f>TEXT(25850, "[$-0E0000]yyyy-mm-dd")</f>
        <v/>
      </c>
      <c r="C25851" t="inlineStr">
        <is>
          <t>1970-09-11</t>
        </is>
      </c>
    </row>
    <row r="25852">
      <c r="A25852" s="1" t="n">
        <v>25851</v>
      </c>
      <c r="B25852">
        <f>TEXT(25851, "[$-0E0000]yyyy-mm-dd")</f>
        <v/>
      </c>
      <c r="C25852" t="inlineStr">
        <is>
          <t>1970-09-12</t>
        </is>
      </c>
    </row>
    <row r="25853">
      <c r="A25853" s="1" t="n">
        <v>25852</v>
      </c>
      <c r="B25853">
        <f>TEXT(25852, "[$-0E0000]yyyy-mm-dd")</f>
        <v/>
      </c>
      <c r="C25853" t="inlineStr">
        <is>
          <t>1970-09-13</t>
        </is>
      </c>
    </row>
    <row r="25854">
      <c r="A25854" s="1" t="n">
        <v>25853</v>
      </c>
      <c r="B25854">
        <f>TEXT(25853, "[$-0E0000]yyyy-mm-dd")</f>
        <v/>
      </c>
      <c r="C25854" t="inlineStr">
        <is>
          <t>1970-09-14</t>
        </is>
      </c>
    </row>
    <row r="25855">
      <c r="A25855" s="1" t="n">
        <v>25854</v>
      </c>
      <c r="B25855">
        <f>TEXT(25854, "[$-0E0000]yyyy-mm-dd")</f>
        <v/>
      </c>
      <c r="C25855" t="inlineStr">
        <is>
          <t>1970-09-15</t>
        </is>
      </c>
    </row>
    <row r="25856">
      <c r="A25856" s="1" t="n">
        <v>25855</v>
      </c>
      <c r="B25856">
        <f>TEXT(25855, "[$-0E0000]yyyy-mm-dd")</f>
        <v/>
      </c>
      <c r="C25856" t="inlineStr">
        <is>
          <t>1970-09-16</t>
        </is>
      </c>
    </row>
    <row r="25857">
      <c r="A25857" s="1" t="n">
        <v>25856</v>
      </c>
      <c r="B25857">
        <f>TEXT(25856, "[$-0E0000]yyyy-mm-dd")</f>
        <v/>
      </c>
      <c r="C25857" t="inlineStr">
        <is>
          <t>1970-09-17</t>
        </is>
      </c>
    </row>
    <row r="25858">
      <c r="A25858" s="1" t="n">
        <v>25857</v>
      </c>
      <c r="B25858">
        <f>TEXT(25857, "[$-0E0000]yyyy-mm-dd")</f>
        <v/>
      </c>
      <c r="C25858" t="inlineStr">
        <is>
          <t>1970-09-18</t>
        </is>
      </c>
    </row>
    <row r="25859">
      <c r="A25859" s="1" t="n">
        <v>25858</v>
      </c>
      <c r="B25859">
        <f>TEXT(25858, "[$-0E0000]yyyy-mm-dd")</f>
        <v/>
      </c>
      <c r="C25859" t="inlineStr">
        <is>
          <t>1970-09-19</t>
        </is>
      </c>
    </row>
    <row r="25860">
      <c r="A25860" s="1" t="n">
        <v>25859</v>
      </c>
      <c r="B25860">
        <f>TEXT(25859, "[$-0E0000]yyyy-mm-dd")</f>
        <v/>
      </c>
      <c r="C25860" t="inlineStr">
        <is>
          <t>1970-09-20</t>
        </is>
      </c>
    </row>
    <row r="25861">
      <c r="A25861" s="1" t="n">
        <v>25860</v>
      </c>
      <c r="B25861">
        <f>TEXT(25860, "[$-0E0000]yyyy-mm-dd")</f>
        <v/>
      </c>
      <c r="C25861" t="inlineStr">
        <is>
          <t>1970-09-21</t>
        </is>
      </c>
    </row>
    <row r="25862">
      <c r="A25862" s="1" t="n">
        <v>25861</v>
      </c>
      <c r="B25862">
        <f>TEXT(25861, "[$-0E0000]yyyy-mm-dd")</f>
        <v/>
      </c>
      <c r="C25862" t="inlineStr">
        <is>
          <t>1970-09-22</t>
        </is>
      </c>
    </row>
    <row r="25863">
      <c r="A25863" s="1" t="n">
        <v>25862</v>
      </c>
      <c r="B25863">
        <f>TEXT(25862, "[$-0E0000]yyyy-mm-dd")</f>
        <v/>
      </c>
      <c r="C25863" t="inlineStr">
        <is>
          <t>1970-09-23</t>
        </is>
      </c>
    </row>
    <row r="25864">
      <c r="A25864" s="1" t="n">
        <v>25863</v>
      </c>
      <c r="B25864">
        <f>TEXT(25863, "[$-0E0000]yyyy-mm-dd")</f>
        <v/>
      </c>
      <c r="C25864" t="inlineStr">
        <is>
          <t>1970-09-24</t>
        </is>
      </c>
    </row>
    <row r="25865">
      <c r="A25865" s="1" t="n">
        <v>25864</v>
      </c>
      <c r="B25865">
        <f>TEXT(25864, "[$-0E0000]yyyy-mm-dd")</f>
        <v/>
      </c>
      <c r="C25865" t="inlineStr">
        <is>
          <t>1970-09-25</t>
        </is>
      </c>
    </row>
    <row r="25866">
      <c r="A25866" s="1" t="n">
        <v>25865</v>
      </c>
      <c r="B25866">
        <f>TEXT(25865, "[$-0E0000]yyyy-mm-dd")</f>
        <v/>
      </c>
      <c r="C25866" t="inlineStr">
        <is>
          <t>1970-09-26</t>
        </is>
      </c>
    </row>
    <row r="25867">
      <c r="A25867" s="1" t="n">
        <v>25866</v>
      </c>
      <c r="B25867">
        <f>TEXT(25866, "[$-0E0000]yyyy-mm-dd")</f>
        <v/>
      </c>
      <c r="C25867" t="inlineStr">
        <is>
          <t>1970-09-27</t>
        </is>
      </c>
    </row>
    <row r="25868">
      <c r="A25868" s="1" t="n">
        <v>25867</v>
      </c>
      <c r="B25868">
        <f>TEXT(25867, "[$-0E0000]yyyy-mm-dd")</f>
        <v/>
      </c>
      <c r="C25868" t="inlineStr">
        <is>
          <t>1970-09-28</t>
        </is>
      </c>
    </row>
    <row r="25869">
      <c r="A25869" s="1" t="n">
        <v>25868</v>
      </c>
      <c r="B25869">
        <f>TEXT(25868, "[$-0E0000]yyyy-mm-dd")</f>
        <v/>
      </c>
      <c r="C25869" t="inlineStr">
        <is>
          <t>1970-09-29</t>
        </is>
      </c>
    </row>
    <row r="25870">
      <c r="A25870" s="1" t="n">
        <v>25869</v>
      </c>
      <c r="B25870">
        <f>TEXT(25869, "[$-0E0000]yyyy-mm-dd")</f>
        <v/>
      </c>
      <c r="C25870" t="inlineStr">
        <is>
          <t>1970-09-30</t>
        </is>
      </c>
    </row>
    <row r="25871">
      <c r="A25871" s="1" t="n">
        <v>25870</v>
      </c>
      <c r="B25871">
        <f>TEXT(25870, "[$-0E0000]yyyy-mm-dd")</f>
        <v/>
      </c>
      <c r="C25871" t="inlineStr">
        <is>
          <t>1970-10-01</t>
        </is>
      </c>
    </row>
    <row r="25872">
      <c r="A25872" s="1" t="n">
        <v>25871</v>
      </c>
      <c r="B25872">
        <f>TEXT(25871, "[$-0E0000]yyyy-mm-dd")</f>
        <v/>
      </c>
      <c r="C25872" t="inlineStr">
        <is>
          <t>1970-10-02</t>
        </is>
      </c>
    </row>
    <row r="25873">
      <c r="A25873" s="1" t="n">
        <v>25872</v>
      </c>
      <c r="B25873">
        <f>TEXT(25872, "[$-0E0000]yyyy-mm-dd")</f>
        <v/>
      </c>
      <c r="C25873" t="inlineStr">
        <is>
          <t>1970-10-03</t>
        </is>
      </c>
    </row>
    <row r="25874">
      <c r="A25874" s="1" t="n">
        <v>25873</v>
      </c>
      <c r="B25874">
        <f>TEXT(25873, "[$-0E0000]yyyy-mm-dd")</f>
        <v/>
      </c>
      <c r="C25874" t="inlineStr">
        <is>
          <t>1970-10-04</t>
        </is>
      </c>
    </row>
    <row r="25875">
      <c r="A25875" s="1" t="n">
        <v>25874</v>
      </c>
      <c r="B25875">
        <f>TEXT(25874, "[$-0E0000]yyyy-mm-dd")</f>
        <v/>
      </c>
      <c r="C25875" t="inlineStr">
        <is>
          <t>1970-10-05</t>
        </is>
      </c>
    </row>
    <row r="25876">
      <c r="A25876" s="1" t="n">
        <v>25875</v>
      </c>
      <c r="B25876">
        <f>TEXT(25875, "[$-0E0000]yyyy-mm-dd")</f>
        <v/>
      </c>
      <c r="C25876" t="inlineStr">
        <is>
          <t>1970-10-06</t>
        </is>
      </c>
    </row>
    <row r="25877">
      <c r="A25877" s="1" t="n">
        <v>25876</v>
      </c>
      <c r="B25877">
        <f>TEXT(25876, "[$-0E0000]yyyy-mm-dd")</f>
        <v/>
      </c>
      <c r="C25877" t="inlineStr">
        <is>
          <t>1970-10-07</t>
        </is>
      </c>
    </row>
    <row r="25878">
      <c r="A25878" s="1" t="n">
        <v>25877</v>
      </c>
      <c r="B25878">
        <f>TEXT(25877, "[$-0E0000]yyyy-mm-dd")</f>
        <v/>
      </c>
      <c r="C25878" t="inlineStr">
        <is>
          <t>1970-10-08</t>
        </is>
      </c>
    </row>
    <row r="25879">
      <c r="A25879" s="1" t="n">
        <v>25878</v>
      </c>
      <c r="B25879">
        <f>TEXT(25878, "[$-0E0000]yyyy-mm-dd")</f>
        <v/>
      </c>
      <c r="C25879" t="inlineStr">
        <is>
          <t>1970-10-09</t>
        </is>
      </c>
    </row>
    <row r="25880">
      <c r="A25880" s="1" t="n">
        <v>25879</v>
      </c>
      <c r="B25880">
        <f>TEXT(25879, "[$-0E0000]yyyy-mm-dd")</f>
        <v/>
      </c>
      <c r="C25880" t="inlineStr">
        <is>
          <t>1970-10-10</t>
        </is>
      </c>
    </row>
    <row r="25881">
      <c r="A25881" s="1" t="n">
        <v>25880</v>
      </c>
      <c r="B25881">
        <f>TEXT(25880, "[$-0E0000]yyyy-mm-dd")</f>
        <v/>
      </c>
      <c r="C25881" t="inlineStr">
        <is>
          <t>1970-10-11</t>
        </is>
      </c>
    </row>
    <row r="25882">
      <c r="A25882" s="1" t="n">
        <v>25881</v>
      </c>
      <c r="B25882">
        <f>TEXT(25881, "[$-0E0000]yyyy-mm-dd")</f>
        <v/>
      </c>
      <c r="C25882" t="inlineStr">
        <is>
          <t>1970-10-12</t>
        </is>
      </c>
    </row>
    <row r="25883">
      <c r="A25883" s="1" t="n">
        <v>25882</v>
      </c>
      <c r="B25883">
        <f>TEXT(25882, "[$-0E0000]yyyy-mm-dd")</f>
        <v/>
      </c>
      <c r="C25883" t="inlineStr">
        <is>
          <t>1970-10-13</t>
        </is>
      </c>
    </row>
    <row r="25884">
      <c r="A25884" s="1" t="n">
        <v>25883</v>
      </c>
      <c r="B25884">
        <f>TEXT(25883, "[$-0E0000]yyyy-mm-dd")</f>
        <v/>
      </c>
      <c r="C25884" t="inlineStr">
        <is>
          <t>1970-10-14</t>
        </is>
      </c>
    </row>
    <row r="25885">
      <c r="A25885" s="1" t="n">
        <v>25884</v>
      </c>
      <c r="B25885">
        <f>TEXT(25884, "[$-0E0000]yyyy-mm-dd")</f>
        <v/>
      </c>
      <c r="C25885" t="inlineStr">
        <is>
          <t>1970-10-15</t>
        </is>
      </c>
    </row>
    <row r="25886">
      <c r="A25886" s="1" t="n">
        <v>25885</v>
      </c>
      <c r="B25886">
        <f>TEXT(25885, "[$-0E0000]yyyy-mm-dd")</f>
        <v/>
      </c>
      <c r="C25886" t="inlineStr">
        <is>
          <t>1970-10-16</t>
        </is>
      </c>
    </row>
    <row r="25887">
      <c r="A25887" s="1" t="n">
        <v>25886</v>
      </c>
      <c r="B25887">
        <f>TEXT(25886, "[$-0E0000]yyyy-mm-dd")</f>
        <v/>
      </c>
      <c r="C25887" t="inlineStr">
        <is>
          <t>1970-10-17</t>
        </is>
      </c>
    </row>
    <row r="25888">
      <c r="A25888" s="1" t="n">
        <v>25887</v>
      </c>
      <c r="B25888">
        <f>TEXT(25887, "[$-0E0000]yyyy-mm-dd")</f>
        <v/>
      </c>
      <c r="C25888" t="inlineStr">
        <is>
          <t>1970-10-18</t>
        </is>
      </c>
    </row>
    <row r="25889">
      <c r="A25889" s="1" t="n">
        <v>25888</v>
      </c>
      <c r="B25889">
        <f>TEXT(25888, "[$-0E0000]yyyy-mm-dd")</f>
        <v/>
      </c>
      <c r="C25889" t="inlineStr">
        <is>
          <t>1970-10-19</t>
        </is>
      </c>
    </row>
    <row r="25890">
      <c r="A25890" s="1" t="n">
        <v>25889</v>
      </c>
      <c r="B25890">
        <f>TEXT(25889, "[$-0E0000]yyyy-mm-dd")</f>
        <v/>
      </c>
      <c r="C25890" t="inlineStr">
        <is>
          <t>1970-10-20</t>
        </is>
      </c>
    </row>
    <row r="25891">
      <c r="A25891" s="1" t="n">
        <v>25890</v>
      </c>
      <c r="B25891">
        <f>TEXT(25890, "[$-0E0000]yyyy-mm-dd")</f>
        <v/>
      </c>
      <c r="C25891" t="inlineStr">
        <is>
          <t>1970-10-21</t>
        </is>
      </c>
    </row>
    <row r="25892">
      <c r="A25892" s="1" t="n">
        <v>25891</v>
      </c>
      <c r="B25892">
        <f>TEXT(25891, "[$-0E0000]yyyy-mm-dd")</f>
        <v/>
      </c>
      <c r="C25892" t="inlineStr">
        <is>
          <t>1970-10-22</t>
        </is>
      </c>
    </row>
    <row r="25893">
      <c r="A25893" s="1" t="n">
        <v>25892</v>
      </c>
      <c r="B25893">
        <f>TEXT(25892, "[$-0E0000]yyyy-mm-dd")</f>
        <v/>
      </c>
      <c r="C25893" t="inlineStr">
        <is>
          <t>1970-10-23</t>
        </is>
      </c>
    </row>
    <row r="25894">
      <c r="A25894" s="1" t="n">
        <v>25893</v>
      </c>
      <c r="B25894">
        <f>TEXT(25893, "[$-0E0000]yyyy-mm-dd")</f>
        <v/>
      </c>
      <c r="C25894" t="inlineStr">
        <is>
          <t>1970-10-24</t>
        </is>
      </c>
    </row>
    <row r="25895">
      <c r="A25895" s="1" t="n">
        <v>25894</v>
      </c>
      <c r="B25895">
        <f>TEXT(25894, "[$-0E0000]yyyy-mm-dd")</f>
        <v/>
      </c>
      <c r="C25895" t="inlineStr">
        <is>
          <t>1970-10-25</t>
        </is>
      </c>
    </row>
    <row r="25896">
      <c r="A25896" s="1" t="n">
        <v>25895</v>
      </c>
      <c r="B25896">
        <f>TEXT(25895, "[$-0E0000]yyyy-mm-dd")</f>
        <v/>
      </c>
      <c r="C25896" t="inlineStr">
        <is>
          <t>1970-10-26</t>
        </is>
      </c>
    </row>
    <row r="25897">
      <c r="A25897" s="1" t="n">
        <v>25896</v>
      </c>
      <c r="B25897">
        <f>TEXT(25896, "[$-0E0000]yyyy-mm-dd")</f>
        <v/>
      </c>
      <c r="C25897" t="inlineStr">
        <is>
          <t>1970-10-27</t>
        </is>
      </c>
    </row>
    <row r="25898">
      <c r="A25898" s="1" t="n">
        <v>25897</v>
      </c>
      <c r="B25898">
        <f>TEXT(25897, "[$-0E0000]yyyy-mm-dd")</f>
        <v/>
      </c>
      <c r="C25898" t="inlineStr">
        <is>
          <t>1970-10-28</t>
        </is>
      </c>
    </row>
    <row r="25899">
      <c r="A25899" s="1" t="n">
        <v>25898</v>
      </c>
      <c r="B25899">
        <f>TEXT(25898, "[$-0E0000]yyyy-mm-dd")</f>
        <v/>
      </c>
      <c r="C25899" t="inlineStr">
        <is>
          <t>1970-10-29</t>
        </is>
      </c>
    </row>
    <row r="25900">
      <c r="A25900" s="1" t="n">
        <v>25899</v>
      </c>
      <c r="B25900">
        <f>TEXT(25899, "[$-0E0000]yyyy-mm-dd")</f>
        <v/>
      </c>
      <c r="C25900" t="inlineStr">
        <is>
          <t>1970-10-30</t>
        </is>
      </c>
    </row>
    <row r="25901">
      <c r="A25901" s="1" t="n">
        <v>25900</v>
      </c>
      <c r="B25901">
        <f>TEXT(25900, "[$-0E0000]yyyy-mm-dd")</f>
        <v/>
      </c>
      <c r="C25901" t="inlineStr">
        <is>
          <t>1970-11-01</t>
        </is>
      </c>
    </row>
    <row r="25902">
      <c r="A25902" s="1" t="n">
        <v>25901</v>
      </c>
      <c r="B25902">
        <f>TEXT(25901, "[$-0E0000]yyyy-mm-dd")</f>
        <v/>
      </c>
      <c r="C25902" t="inlineStr">
        <is>
          <t>1970-11-02</t>
        </is>
      </c>
    </row>
    <row r="25903">
      <c r="A25903" s="1" t="n">
        <v>25902</v>
      </c>
      <c r="B25903">
        <f>TEXT(25902, "[$-0E0000]yyyy-mm-dd")</f>
        <v/>
      </c>
      <c r="C25903" t="inlineStr">
        <is>
          <t>1970-11-03</t>
        </is>
      </c>
    </row>
    <row r="25904">
      <c r="A25904" s="1" t="n">
        <v>25903</v>
      </c>
      <c r="B25904">
        <f>TEXT(25903, "[$-0E0000]yyyy-mm-dd")</f>
        <v/>
      </c>
      <c r="C25904" t="inlineStr">
        <is>
          <t>1970-11-04</t>
        </is>
      </c>
    </row>
    <row r="25905">
      <c r="A25905" s="1" t="n">
        <v>25904</v>
      </c>
      <c r="B25905">
        <f>TEXT(25904, "[$-0E0000]yyyy-mm-dd")</f>
        <v/>
      </c>
      <c r="C25905" t="inlineStr">
        <is>
          <t>1970-11-05</t>
        </is>
      </c>
    </row>
    <row r="25906">
      <c r="A25906" s="1" t="n">
        <v>25905</v>
      </c>
      <c r="B25906">
        <f>TEXT(25905, "[$-0E0000]yyyy-mm-dd")</f>
        <v/>
      </c>
      <c r="C25906" t="inlineStr">
        <is>
          <t>1970-11-06</t>
        </is>
      </c>
    </row>
    <row r="25907">
      <c r="A25907" s="1" t="n">
        <v>25906</v>
      </c>
      <c r="B25907">
        <f>TEXT(25906, "[$-0E0000]yyyy-mm-dd")</f>
        <v/>
      </c>
      <c r="C25907" t="inlineStr">
        <is>
          <t>1970-11-07</t>
        </is>
      </c>
    </row>
    <row r="25908">
      <c r="A25908" s="1" t="n">
        <v>25907</v>
      </c>
      <c r="B25908">
        <f>TEXT(25907, "[$-0E0000]yyyy-mm-dd")</f>
        <v/>
      </c>
      <c r="C25908" t="inlineStr">
        <is>
          <t>1970-11-08</t>
        </is>
      </c>
    </row>
    <row r="25909">
      <c r="A25909" s="1" t="n">
        <v>25908</v>
      </c>
      <c r="B25909">
        <f>TEXT(25908, "[$-0E0000]yyyy-mm-dd")</f>
        <v/>
      </c>
      <c r="C25909" t="inlineStr">
        <is>
          <t>1970-11-09</t>
        </is>
      </c>
    </row>
    <row r="25910">
      <c r="A25910" s="1" t="n">
        <v>25909</v>
      </c>
      <c r="B25910">
        <f>TEXT(25909, "[$-0E0000]yyyy-mm-dd")</f>
        <v/>
      </c>
      <c r="C25910" t="inlineStr">
        <is>
          <t>1970-11-10</t>
        </is>
      </c>
    </row>
    <row r="25911">
      <c r="A25911" s="1" t="n">
        <v>25910</v>
      </c>
      <c r="B25911">
        <f>TEXT(25910, "[$-0E0000]yyyy-mm-dd")</f>
        <v/>
      </c>
      <c r="C25911" t="inlineStr">
        <is>
          <t>1970-11-11</t>
        </is>
      </c>
    </row>
    <row r="25912">
      <c r="A25912" s="1" t="n">
        <v>25911</v>
      </c>
      <c r="B25912">
        <f>TEXT(25911, "[$-0E0000]yyyy-mm-dd")</f>
        <v/>
      </c>
      <c r="C25912" t="inlineStr">
        <is>
          <t>1970-11-12</t>
        </is>
      </c>
    </row>
    <row r="25913">
      <c r="A25913" s="1" t="n">
        <v>25912</v>
      </c>
      <c r="B25913">
        <f>TEXT(25912, "[$-0E0000]yyyy-mm-dd")</f>
        <v/>
      </c>
      <c r="C25913" t="inlineStr">
        <is>
          <t>1970-11-13</t>
        </is>
      </c>
    </row>
    <row r="25914">
      <c r="A25914" s="1" t="n">
        <v>25913</v>
      </c>
      <c r="B25914">
        <f>TEXT(25913, "[$-0E0000]yyyy-mm-dd")</f>
        <v/>
      </c>
      <c r="C25914" t="inlineStr">
        <is>
          <t>1970-11-14</t>
        </is>
      </c>
    </row>
    <row r="25915">
      <c r="A25915" s="1" t="n">
        <v>25914</v>
      </c>
      <c r="B25915">
        <f>TEXT(25914, "[$-0E0000]yyyy-mm-dd")</f>
        <v/>
      </c>
      <c r="C25915" t="inlineStr">
        <is>
          <t>1970-11-15</t>
        </is>
      </c>
    </row>
    <row r="25916">
      <c r="A25916" s="1" t="n">
        <v>25915</v>
      </c>
      <c r="B25916">
        <f>TEXT(25915, "[$-0E0000]yyyy-mm-dd")</f>
        <v/>
      </c>
      <c r="C25916" t="inlineStr">
        <is>
          <t>1970-11-16</t>
        </is>
      </c>
    </row>
    <row r="25917">
      <c r="A25917" s="1" t="n">
        <v>25916</v>
      </c>
      <c r="B25917">
        <f>TEXT(25916, "[$-0E0000]yyyy-mm-dd")</f>
        <v/>
      </c>
      <c r="C25917" t="inlineStr">
        <is>
          <t>1970-11-17</t>
        </is>
      </c>
    </row>
    <row r="25918">
      <c r="A25918" s="1" t="n">
        <v>25917</v>
      </c>
      <c r="B25918">
        <f>TEXT(25917, "[$-0E0000]yyyy-mm-dd")</f>
        <v/>
      </c>
      <c r="C25918" t="inlineStr">
        <is>
          <t>1970-11-18</t>
        </is>
      </c>
    </row>
    <row r="25919">
      <c r="A25919" s="1" t="n">
        <v>25918</v>
      </c>
      <c r="B25919">
        <f>TEXT(25918, "[$-0E0000]yyyy-mm-dd")</f>
        <v/>
      </c>
      <c r="C25919" t="inlineStr">
        <is>
          <t>1970-11-19</t>
        </is>
      </c>
    </row>
    <row r="25920">
      <c r="A25920" s="1" t="n">
        <v>25919</v>
      </c>
      <c r="B25920">
        <f>TEXT(25919, "[$-0E0000]yyyy-mm-dd")</f>
        <v/>
      </c>
      <c r="C25920" t="inlineStr">
        <is>
          <t>1970-11-20</t>
        </is>
      </c>
    </row>
    <row r="25921">
      <c r="A25921" s="1" t="n">
        <v>25920</v>
      </c>
      <c r="B25921">
        <f>TEXT(25920, "[$-0E0000]yyyy-mm-dd")</f>
        <v/>
      </c>
      <c r="C25921" t="inlineStr">
        <is>
          <t>1970-11-21</t>
        </is>
      </c>
    </row>
    <row r="25922">
      <c r="A25922" s="1" t="n">
        <v>25921</v>
      </c>
      <c r="B25922">
        <f>TEXT(25921, "[$-0E0000]yyyy-mm-dd")</f>
        <v/>
      </c>
      <c r="C25922" t="inlineStr">
        <is>
          <t>1970-11-22</t>
        </is>
      </c>
    </row>
    <row r="25923">
      <c r="A25923" s="1" t="n">
        <v>25922</v>
      </c>
      <c r="B25923">
        <f>TEXT(25922, "[$-0E0000]yyyy-mm-dd")</f>
        <v/>
      </c>
      <c r="C25923" t="inlineStr">
        <is>
          <t>1970-11-23</t>
        </is>
      </c>
    </row>
    <row r="25924">
      <c r="A25924" s="1" t="n">
        <v>25923</v>
      </c>
      <c r="B25924">
        <f>TEXT(25923, "[$-0E0000]yyyy-mm-dd")</f>
        <v/>
      </c>
      <c r="C25924" t="inlineStr">
        <is>
          <t>1970-11-24</t>
        </is>
      </c>
    </row>
    <row r="25925">
      <c r="A25925" s="1" t="n">
        <v>25924</v>
      </c>
      <c r="B25925">
        <f>TEXT(25924, "[$-0E0000]yyyy-mm-dd")</f>
        <v/>
      </c>
      <c r="C25925" t="inlineStr">
        <is>
          <t>1970-11-25</t>
        </is>
      </c>
    </row>
    <row r="25926">
      <c r="A25926" s="1" t="n">
        <v>25925</v>
      </c>
      <c r="B25926">
        <f>TEXT(25925, "[$-0E0000]yyyy-mm-dd")</f>
        <v/>
      </c>
      <c r="C25926" t="inlineStr">
        <is>
          <t>1970-11-26</t>
        </is>
      </c>
    </row>
    <row r="25927">
      <c r="A25927" s="1" t="n">
        <v>25926</v>
      </c>
      <c r="B25927">
        <f>TEXT(25926, "[$-0E0000]yyyy-mm-dd")</f>
        <v/>
      </c>
      <c r="C25927" t="inlineStr">
        <is>
          <t>1970-11-27</t>
        </is>
      </c>
    </row>
    <row r="25928">
      <c r="A25928" s="1" t="n">
        <v>25927</v>
      </c>
      <c r="B25928">
        <f>TEXT(25927, "[$-0E0000]yyyy-mm-dd")</f>
        <v/>
      </c>
      <c r="C25928" t="inlineStr">
        <is>
          <t>1970-11-28</t>
        </is>
      </c>
    </row>
    <row r="25929">
      <c r="A25929" s="1" t="n">
        <v>25928</v>
      </c>
      <c r="B25929">
        <f>TEXT(25928, "[$-0E0000]yyyy-mm-dd")</f>
        <v/>
      </c>
      <c r="C25929" t="inlineStr">
        <is>
          <t>1970-11-29</t>
        </is>
      </c>
    </row>
    <row r="25930">
      <c r="A25930" s="1" t="n">
        <v>25929</v>
      </c>
      <c r="B25930">
        <f>TEXT(25929, "[$-0E0000]yyyy-mm-dd")</f>
        <v/>
      </c>
      <c r="C25930" t="inlineStr">
        <is>
          <t>1970-12-01</t>
        </is>
      </c>
    </row>
    <row r="25931">
      <c r="A25931" s="1" t="n">
        <v>25930</v>
      </c>
      <c r="B25931">
        <f>TEXT(25930, "[$-0E0000]yyyy-mm-dd")</f>
        <v/>
      </c>
      <c r="C25931" t="inlineStr">
        <is>
          <t>1970-12-02</t>
        </is>
      </c>
    </row>
    <row r="25932">
      <c r="A25932" s="1" t="n">
        <v>25931</v>
      </c>
      <c r="B25932">
        <f>TEXT(25931, "[$-0E0000]yyyy-mm-dd")</f>
        <v/>
      </c>
      <c r="C25932" t="inlineStr">
        <is>
          <t>1970-12-03</t>
        </is>
      </c>
    </row>
    <row r="25933">
      <c r="A25933" s="1" t="n">
        <v>25932</v>
      </c>
      <c r="B25933">
        <f>TEXT(25932, "[$-0E0000]yyyy-mm-dd")</f>
        <v/>
      </c>
      <c r="C25933" t="inlineStr">
        <is>
          <t>1970-12-04</t>
        </is>
      </c>
    </row>
    <row r="25934">
      <c r="A25934" s="1" t="n">
        <v>25933</v>
      </c>
      <c r="B25934">
        <f>TEXT(25933, "[$-0E0000]yyyy-mm-dd")</f>
        <v/>
      </c>
      <c r="C25934" t="inlineStr">
        <is>
          <t>1970-12-05</t>
        </is>
      </c>
    </row>
    <row r="25935">
      <c r="A25935" s="1" t="n">
        <v>25934</v>
      </c>
      <c r="B25935">
        <f>TEXT(25934, "[$-0E0000]yyyy-mm-dd")</f>
        <v/>
      </c>
      <c r="C25935" t="inlineStr">
        <is>
          <t>1970-12-06</t>
        </is>
      </c>
    </row>
    <row r="25936">
      <c r="A25936" s="1" t="n">
        <v>25935</v>
      </c>
      <c r="B25936">
        <f>TEXT(25935, "[$-0E0000]yyyy-mm-dd")</f>
        <v/>
      </c>
      <c r="C25936" t="inlineStr">
        <is>
          <t>1970-12-07</t>
        </is>
      </c>
    </row>
    <row r="25937">
      <c r="A25937" s="1" t="n">
        <v>25936</v>
      </c>
      <c r="B25937">
        <f>TEXT(25936, "[$-0E0000]yyyy-mm-dd")</f>
        <v/>
      </c>
      <c r="C25937" t="inlineStr">
        <is>
          <t>1970-12-08</t>
        </is>
      </c>
    </row>
    <row r="25938">
      <c r="A25938" s="1" t="n">
        <v>25937</v>
      </c>
      <c r="B25938">
        <f>TEXT(25937, "[$-0E0000]yyyy-mm-dd")</f>
        <v/>
      </c>
      <c r="C25938" t="inlineStr">
        <is>
          <t>1970-12-09</t>
        </is>
      </c>
    </row>
    <row r="25939">
      <c r="A25939" s="1" t="n">
        <v>25938</v>
      </c>
      <c r="B25939">
        <f>TEXT(25938, "[$-0E0000]yyyy-mm-dd")</f>
        <v/>
      </c>
      <c r="C25939" t="inlineStr">
        <is>
          <t>1970-12-10</t>
        </is>
      </c>
    </row>
    <row r="25940">
      <c r="A25940" s="1" t="n">
        <v>25939</v>
      </c>
      <c r="B25940">
        <f>TEXT(25939, "[$-0E0000]yyyy-mm-dd")</f>
        <v/>
      </c>
      <c r="C25940" t="inlineStr">
        <is>
          <t>1970-12-11</t>
        </is>
      </c>
    </row>
    <row r="25941">
      <c r="A25941" s="1" t="n">
        <v>25940</v>
      </c>
      <c r="B25941">
        <f>TEXT(25940, "[$-0E0000]yyyy-mm-dd")</f>
        <v/>
      </c>
      <c r="C25941" t="inlineStr">
        <is>
          <t>1970-12-12</t>
        </is>
      </c>
    </row>
    <row r="25942">
      <c r="A25942" s="1" t="n">
        <v>25941</v>
      </c>
      <c r="B25942">
        <f>TEXT(25941, "[$-0E0000]yyyy-mm-dd")</f>
        <v/>
      </c>
      <c r="C25942" t="inlineStr">
        <is>
          <t>1970-12-13</t>
        </is>
      </c>
    </row>
    <row r="25943">
      <c r="A25943" s="1" t="n">
        <v>25942</v>
      </c>
      <c r="B25943">
        <f>TEXT(25942, "[$-0E0000]yyyy-mm-dd")</f>
        <v/>
      </c>
      <c r="C25943" t="inlineStr">
        <is>
          <t>1970-12-14</t>
        </is>
      </c>
    </row>
    <row r="25944">
      <c r="A25944" s="1" t="n">
        <v>25943</v>
      </c>
      <c r="B25944">
        <f>TEXT(25943, "[$-0E0000]yyyy-mm-dd")</f>
        <v/>
      </c>
      <c r="C25944" t="inlineStr">
        <is>
          <t>1970-12-15</t>
        </is>
      </c>
    </row>
    <row r="25945">
      <c r="A25945" s="1" t="n">
        <v>25944</v>
      </c>
      <c r="B25945">
        <f>TEXT(25944, "[$-0E0000]yyyy-mm-dd")</f>
        <v/>
      </c>
      <c r="C25945" t="inlineStr">
        <is>
          <t>1970-12-16</t>
        </is>
      </c>
    </row>
    <row r="25946">
      <c r="A25946" s="1" t="n">
        <v>25945</v>
      </c>
      <c r="B25946">
        <f>TEXT(25945, "[$-0E0000]yyyy-mm-dd")</f>
        <v/>
      </c>
      <c r="C25946" t="inlineStr">
        <is>
          <t>1970-12-17</t>
        </is>
      </c>
    </row>
    <row r="25947">
      <c r="A25947" s="1" t="n">
        <v>25946</v>
      </c>
      <c r="B25947">
        <f>TEXT(25946, "[$-0E0000]yyyy-mm-dd")</f>
        <v/>
      </c>
      <c r="C25947" t="inlineStr">
        <is>
          <t>1970-12-18</t>
        </is>
      </c>
    </row>
    <row r="25948">
      <c r="A25948" s="1" t="n">
        <v>25947</v>
      </c>
      <c r="B25948">
        <f>TEXT(25947, "[$-0E0000]yyyy-mm-dd")</f>
        <v/>
      </c>
      <c r="C25948" t="inlineStr">
        <is>
          <t>1970-12-19</t>
        </is>
      </c>
    </row>
    <row r="25949">
      <c r="A25949" s="1" t="n">
        <v>25948</v>
      </c>
      <c r="B25949">
        <f>TEXT(25948, "[$-0E0000]yyyy-mm-dd")</f>
        <v/>
      </c>
      <c r="C25949" t="inlineStr">
        <is>
          <t>1970-12-20</t>
        </is>
      </c>
    </row>
    <row r="25950">
      <c r="A25950" s="1" t="n">
        <v>25949</v>
      </c>
      <c r="B25950">
        <f>TEXT(25949, "[$-0E0000]yyyy-mm-dd")</f>
        <v/>
      </c>
      <c r="C25950" t="inlineStr">
        <is>
          <t>1970-12-21</t>
        </is>
      </c>
    </row>
    <row r="25951">
      <c r="A25951" s="1" t="n">
        <v>25950</v>
      </c>
      <c r="B25951">
        <f>TEXT(25950, "[$-0E0000]yyyy-mm-dd")</f>
        <v/>
      </c>
      <c r="C25951" t="inlineStr">
        <is>
          <t>1970-12-22</t>
        </is>
      </c>
    </row>
    <row r="25952">
      <c r="A25952" s="1" t="n">
        <v>25951</v>
      </c>
      <c r="B25952">
        <f>TEXT(25951, "[$-0E0000]yyyy-mm-dd")</f>
        <v/>
      </c>
      <c r="C25952" t="inlineStr">
        <is>
          <t>1970-12-23</t>
        </is>
      </c>
    </row>
    <row r="25953">
      <c r="A25953" s="1" t="n">
        <v>25952</v>
      </c>
      <c r="B25953">
        <f>TEXT(25952, "[$-0E0000]yyyy-mm-dd")</f>
        <v/>
      </c>
      <c r="C25953" t="inlineStr">
        <is>
          <t>1970-12-24</t>
        </is>
      </c>
    </row>
    <row r="25954">
      <c r="A25954" s="1" t="n">
        <v>25953</v>
      </c>
      <c r="B25954">
        <f>TEXT(25953, "[$-0E0000]yyyy-mm-dd")</f>
        <v/>
      </c>
      <c r="C25954" t="inlineStr">
        <is>
          <t>1970-12-25</t>
        </is>
      </c>
    </row>
    <row r="25955">
      <c r="A25955" s="1" t="n">
        <v>25954</v>
      </c>
      <c r="B25955">
        <f>TEXT(25954, "[$-0E0000]yyyy-mm-dd")</f>
        <v/>
      </c>
      <c r="C25955" t="inlineStr">
        <is>
          <t>1970-12-26</t>
        </is>
      </c>
    </row>
    <row r="25956">
      <c r="A25956" s="1" t="n">
        <v>25955</v>
      </c>
      <c r="B25956">
        <f>TEXT(25955, "[$-0E0000]yyyy-mm-dd")</f>
        <v/>
      </c>
      <c r="C25956" t="inlineStr">
        <is>
          <t>1970-12-27</t>
        </is>
      </c>
    </row>
    <row r="25957">
      <c r="A25957" s="1" t="n">
        <v>25956</v>
      </c>
      <c r="B25957">
        <f>TEXT(25956, "[$-0E0000]yyyy-mm-dd")</f>
        <v/>
      </c>
      <c r="C25957" t="inlineStr">
        <is>
          <t>1970-12-28</t>
        </is>
      </c>
    </row>
    <row r="25958">
      <c r="A25958" s="1" t="n">
        <v>25957</v>
      </c>
      <c r="B25958">
        <f>TEXT(25957, "[$-0E0000]yyyy-mm-dd")</f>
        <v/>
      </c>
      <c r="C25958" t="inlineStr">
        <is>
          <t>1970-12-29</t>
        </is>
      </c>
    </row>
    <row r="25959">
      <c r="A25959" s="1" t="n">
        <v>25958</v>
      </c>
      <c r="B25959">
        <f>TEXT(25958, "[$-0E0000]yyyy-mm-dd")</f>
        <v/>
      </c>
      <c r="C25959" t="inlineStr">
        <is>
          <t>1970-12-30</t>
        </is>
      </c>
    </row>
    <row r="25960">
      <c r="A25960" s="1" t="n">
        <v>25959</v>
      </c>
      <c r="B25960">
        <f>TEXT(25959, "[$-0E0000]yyyy-mm-dd")</f>
        <v/>
      </c>
      <c r="C25960" t="inlineStr">
        <is>
          <t>1971-01-01</t>
        </is>
      </c>
    </row>
    <row r="25961">
      <c r="A25961" s="1" t="n">
        <v>25960</v>
      </c>
      <c r="B25961">
        <f>TEXT(25960, "[$-0E0000]yyyy-mm-dd")</f>
        <v/>
      </c>
      <c r="C25961" t="inlineStr">
        <is>
          <t>1971-01-02</t>
        </is>
      </c>
    </row>
    <row r="25962">
      <c r="A25962" s="1" t="n">
        <v>25961</v>
      </c>
      <c r="B25962">
        <f>TEXT(25961, "[$-0E0000]yyyy-mm-dd")</f>
        <v/>
      </c>
      <c r="C25962" t="inlineStr">
        <is>
          <t>1971-01-03</t>
        </is>
      </c>
    </row>
    <row r="25963">
      <c r="A25963" s="1" t="n">
        <v>25962</v>
      </c>
      <c r="B25963">
        <f>TEXT(25962, "[$-0E0000]yyyy-mm-dd")</f>
        <v/>
      </c>
      <c r="C25963" t="inlineStr">
        <is>
          <t>1971-01-04</t>
        </is>
      </c>
    </row>
    <row r="25964">
      <c r="A25964" s="1" t="n">
        <v>25963</v>
      </c>
      <c r="B25964">
        <f>TEXT(25963, "[$-0E0000]yyyy-mm-dd")</f>
        <v/>
      </c>
      <c r="C25964" t="inlineStr">
        <is>
          <t>1971-01-05</t>
        </is>
      </c>
    </row>
    <row r="25965">
      <c r="A25965" s="1" t="n">
        <v>25964</v>
      </c>
      <c r="B25965">
        <f>TEXT(25964, "[$-0E0000]yyyy-mm-dd")</f>
        <v/>
      </c>
      <c r="C25965" t="inlineStr">
        <is>
          <t>1971-01-06</t>
        </is>
      </c>
    </row>
    <row r="25966">
      <c r="A25966" s="1" t="n">
        <v>25965</v>
      </c>
      <c r="B25966">
        <f>TEXT(25965, "[$-0E0000]yyyy-mm-dd")</f>
        <v/>
      </c>
      <c r="C25966" t="inlineStr">
        <is>
          <t>1971-01-07</t>
        </is>
      </c>
    </row>
    <row r="25967">
      <c r="A25967" s="1" t="n">
        <v>25966</v>
      </c>
      <c r="B25967">
        <f>TEXT(25966, "[$-0E0000]yyyy-mm-dd")</f>
        <v/>
      </c>
      <c r="C25967" t="inlineStr">
        <is>
          <t>1971-01-08</t>
        </is>
      </c>
    </row>
    <row r="25968">
      <c r="A25968" s="1" t="n">
        <v>25967</v>
      </c>
      <c r="B25968">
        <f>TEXT(25967, "[$-0E0000]yyyy-mm-dd")</f>
        <v/>
      </c>
      <c r="C25968" t="inlineStr">
        <is>
          <t>1971-01-09</t>
        </is>
      </c>
    </row>
    <row r="25969">
      <c r="A25969" s="1" t="n">
        <v>25968</v>
      </c>
      <c r="B25969">
        <f>TEXT(25968, "[$-0E0000]yyyy-mm-dd")</f>
        <v/>
      </c>
      <c r="C25969" t="inlineStr">
        <is>
          <t>1971-01-10</t>
        </is>
      </c>
    </row>
    <row r="25970">
      <c r="A25970" s="1" t="n">
        <v>25969</v>
      </c>
      <c r="B25970">
        <f>TEXT(25969, "[$-0E0000]yyyy-mm-dd")</f>
        <v/>
      </c>
      <c r="C25970" t="inlineStr">
        <is>
          <t>1971-01-11</t>
        </is>
      </c>
    </row>
    <row r="25971">
      <c r="A25971" s="1" t="n">
        <v>25970</v>
      </c>
      <c r="B25971">
        <f>TEXT(25970, "[$-0E0000]yyyy-mm-dd")</f>
        <v/>
      </c>
      <c r="C25971" t="inlineStr">
        <is>
          <t>1971-01-12</t>
        </is>
      </c>
    </row>
    <row r="25972">
      <c r="A25972" s="1" t="n">
        <v>25971</v>
      </c>
      <c r="B25972">
        <f>TEXT(25971, "[$-0E0000]yyyy-mm-dd")</f>
        <v/>
      </c>
      <c r="C25972" t="inlineStr">
        <is>
          <t>1971-01-13</t>
        </is>
      </c>
    </row>
    <row r="25973">
      <c r="A25973" s="1" t="n">
        <v>25972</v>
      </c>
      <c r="B25973">
        <f>TEXT(25972, "[$-0E0000]yyyy-mm-dd")</f>
        <v/>
      </c>
      <c r="C25973" t="inlineStr">
        <is>
          <t>1971-01-14</t>
        </is>
      </c>
    </row>
    <row r="25974">
      <c r="A25974" s="1" t="n">
        <v>25973</v>
      </c>
      <c r="B25974">
        <f>TEXT(25973, "[$-0E0000]yyyy-mm-dd")</f>
        <v/>
      </c>
      <c r="C25974" t="inlineStr">
        <is>
          <t>1971-01-15</t>
        </is>
      </c>
    </row>
    <row r="25975">
      <c r="A25975" s="1" t="n">
        <v>25974</v>
      </c>
      <c r="B25975">
        <f>TEXT(25974, "[$-0E0000]yyyy-mm-dd")</f>
        <v/>
      </c>
      <c r="C25975" t="inlineStr">
        <is>
          <t>1971-01-16</t>
        </is>
      </c>
    </row>
    <row r="25976">
      <c r="A25976" s="1" t="n">
        <v>25975</v>
      </c>
      <c r="B25976">
        <f>TEXT(25975, "[$-0E0000]yyyy-mm-dd")</f>
        <v/>
      </c>
      <c r="C25976" t="inlineStr">
        <is>
          <t>1971-01-17</t>
        </is>
      </c>
    </row>
    <row r="25977">
      <c r="A25977" s="1" t="n">
        <v>25976</v>
      </c>
      <c r="B25977">
        <f>TEXT(25976, "[$-0E0000]yyyy-mm-dd")</f>
        <v/>
      </c>
      <c r="C25977" t="inlineStr">
        <is>
          <t>1971-01-18</t>
        </is>
      </c>
    </row>
    <row r="25978">
      <c r="A25978" s="1" t="n">
        <v>25977</v>
      </c>
      <c r="B25978">
        <f>TEXT(25977, "[$-0E0000]yyyy-mm-dd")</f>
        <v/>
      </c>
      <c r="C25978" t="inlineStr">
        <is>
          <t>1971-01-19</t>
        </is>
      </c>
    </row>
    <row r="25979">
      <c r="A25979" s="1" t="n">
        <v>25978</v>
      </c>
      <c r="B25979">
        <f>TEXT(25978, "[$-0E0000]yyyy-mm-dd")</f>
        <v/>
      </c>
      <c r="C25979" t="inlineStr">
        <is>
          <t>1971-01-20</t>
        </is>
      </c>
    </row>
    <row r="25980">
      <c r="A25980" s="1" t="n">
        <v>25979</v>
      </c>
      <c r="B25980">
        <f>TEXT(25979, "[$-0E0000]yyyy-mm-dd")</f>
        <v/>
      </c>
      <c r="C25980" t="inlineStr">
        <is>
          <t>1971-01-21</t>
        </is>
      </c>
    </row>
    <row r="25981">
      <c r="A25981" s="1" t="n">
        <v>25980</v>
      </c>
      <c r="B25981">
        <f>TEXT(25980, "[$-0E0000]yyyy-mm-dd")</f>
        <v/>
      </c>
      <c r="C25981" t="inlineStr">
        <is>
          <t>1971-01-22</t>
        </is>
      </c>
    </row>
    <row r="25982">
      <c r="A25982" s="1" t="n">
        <v>25981</v>
      </c>
      <c r="B25982">
        <f>TEXT(25981, "[$-0E0000]yyyy-mm-dd")</f>
        <v/>
      </c>
      <c r="C25982" t="inlineStr">
        <is>
          <t>1971-01-23</t>
        </is>
      </c>
    </row>
    <row r="25983">
      <c r="A25983" s="1" t="n">
        <v>25982</v>
      </c>
      <c r="B25983">
        <f>TEXT(25982, "[$-0E0000]yyyy-mm-dd")</f>
        <v/>
      </c>
      <c r="C25983" t="inlineStr">
        <is>
          <t>1971-01-24</t>
        </is>
      </c>
    </row>
    <row r="25984">
      <c r="A25984" s="1" t="n">
        <v>25983</v>
      </c>
      <c r="B25984">
        <f>TEXT(25983, "[$-0E0000]yyyy-mm-dd")</f>
        <v/>
      </c>
      <c r="C25984" t="inlineStr">
        <is>
          <t>1971-01-25</t>
        </is>
      </c>
    </row>
    <row r="25985">
      <c r="A25985" s="1" t="n">
        <v>25984</v>
      </c>
      <c r="B25985">
        <f>TEXT(25984, "[$-0E0000]yyyy-mm-dd")</f>
        <v/>
      </c>
      <c r="C25985" t="inlineStr">
        <is>
          <t>1971-01-26</t>
        </is>
      </c>
    </row>
    <row r="25986">
      <c r="A25986" s="1" t="n">
        <v>25985</v>
      </c>
      <c r="B25986">
        <f>TEXT(25985, "[$-0E0000]yyyy-mm-dd")</f>
        <v/>
      </c>
      <c r="C25986" t="inlineStr">
        <is>
          <t>1971-01-27</t>
        </is>
      </c>
    </row>
    <row r="25987">
      <c r="A25987" s="1" t="n">
        <v>25986</v>
      </c>
      <c r="B25987">
        <f>TEXT(25986, "[$-0E0000]yyyy-mm-dd")</f>
        <v/>
      </c>
      <c r="C25987" t="inlineStr">
        <is>
          <t>1971-01-28</t>
        </is>
      </c>
    </row>
    <row r="25988">
      <c r="A25988" s="1" t="n">
        <v>25987</v>
      </c>
      <c r="B25988">
        <f>TEXT(25987, "[$-0E0000]yyyy-mm-dd")</f>
        <v/>
      </c>
      <c r="C25988" t="inlineStr">
        <is>
          <t>1971-01-29</t>
        </is>
      </c>
    </row>
    <row r="25989">
      <c r="A25989" s="1" t="n">
        <v>25988</v>
      </c>
      <c r="B25989">
        <f>TEXT(25988, "[$-0E0000]yyyy-mm-dd")</f>
        <v/>
      </c>
      <c r="C25989" t="inlineStr">
        <is>
          <t>1971-02-01</t>
        </is>
      </c>
    </row>
    <row r="25990">
      <c r="A25990" s="1" t="n">
        <v>25989</v>
      </c>
      <c r="B25990">
        <f>TEXT(25989, "[$-0E0000]yyyy-mm-dd")</f>
        <v/>
      </c>
      <c r="C25990" t="inlineStr">
        <is>
          <t>1971-02-02</t>
        </is>
      </c>
    </row>
    <row r="25991">
      <c r="A25991" s="1" t="n">
        <v>25990</v>
      </c>
      <c r="B25991">
        <f>TEXT(25990, "[$-0E0000]yyyy-mm-dd")</f>
        <v/>
      </c>
      <c r="C25991" t="inlineStr">
        <is>
          <t>1971-02-03</t>
        </is>
      </c>
    </row>
    <row r="25992">
      <c r="A25992" s="1" t="n">
        <v>25991</v>
      </c>
      <c r="B25992">
        <f>TEXT(25991, "[$-0E0000]yyyy-mm-dd")</f>
        <v/>
      </c>
      <c r="C25992" t="inlineStr">
        <is>
          <t>1971-02-04</t>
        </is>
      </c>
    </row>
    <row r="25993">
      <c r="A25993" s="1" t="n">
        <v>25992</v>
      </c>
      <c r="B25993">
        <f>TEXT(25992, "[$-0E0000]yyyy-mm-dd")</f>
        <v/>
      </c>
      <c r="C25993" t="inlineStr">
        <is>
          <t>1971-02-05</t>
        </is>
      </c>
    </row>
    <row r="25994">
      <c r="A25994" s="1" t="n">
        <v>25993</v>
      </c>
      <c r="B25994">
        <f>TEXT(25993, "[$-0E0000]yyyy-mm-dd")</f>
        <v/>
      </c>
      <c r="C25994" t="inlineStr">
        <is>
          <t>1971-02-06</t>
        </is>
      </c>
    </row>
    <row r="25995">
      <c r="A25995" s="1" t="n">
        <v>25994</v>
      </c>
      <c r="B25995">
        <f>TEXT(25994, "[$-0E0000]yyyy-mm-dd")</f>
        <v/>
      </c>
      <c r="C25995" t="inlineStr">
        <is>
          <t>1971-02-07</t>
        </is>
      </c>
    </row>
    <row r="25996">
      <c r="A25996" s="1" t="n">
        <v>25995</v>
      </c>
      <c r="B25996">
        <f>TEXT(25995, "[$-0E0000]yyyy-mm-dd")</f>
        <v/>
      </c>
      <c r="C25996" t="inlineStr">
        <is>
          <t>1971-02-08</t>
        </is>
      </c>
    </row>
    <row r="25997">
      <c r="A25997" s="1" t="n">
        <v>25996</v>
      </c>
      <c r="B25997">
        <f>TEXT(25996, "[$-0E0000]yyyy-mm-dd")</f>
        <v/>
      </c>
      <c r="C25997" t="inlineStr">
        <is>
          <t>1971-02-09</t>
        </is>
      </c>
    </row>
    <row r="25998">
      <c r="A25998" s="1" t="n">
        <v>25997</v>
      </c>
      <c r="B25998">
        <f>TEXT(25997, "[$-0E0000]yyyy-mm-dd")</f>
        <v/>
      </c>
      <c r="C25998" t="inlineStr">
        <is>
          <t>1971-02-10</t>
        </is>
      </c>
    </row>
    <row r="25999">
      <c r="A25999" s="1" t="n">
        <v>25998</v>
      </c>
      <c r="B25999">
        <f>TEXT(25998, "[$-0E0000]yyyy-mm-dd")</f>
        <v/>
      </c>
      <c r="C25999" t="inlineStr">
        <is>
          <t>1971-02-11</t>
        </is>
      </c>
    </row>
    <row r="26000">
      <c r="A26000" s="1" t="n">
        <v>25999</v>
      </c>
      <c r="B26000">
        <f>TEXT(25999, "[$-0E0000]yyyy-mm-dd")</f>
        <v/>
      </c>
      <c r="C26000" t="inlineStr">
        <is>
          <t>1971-02-12</t>
        </is>
      </c>
    </row>
    <row r="26001">
      <c r="A26001" s="1" t="n">
        <v>26000</v>
      </c>
      <c r="B26001">
        <f>TEXT(26000, "[$-0E0000]yyyy-mm-dd")</f>
        <v/>
      </c>
      <c r="C26001" t="inlineStr">
        <is>
          <t>1971-02-13</t>
        </is>
      </c>
    </row>
    <row r="26002">
      <c r="A26002" s="1" t="n">
        <v>26001</v>
      </c>
      <c r="B26002">
        <f>TEXT(26001, "[$-0E0000]yyyy-mm-dd")</f>
        <v/>
      </c>
      <c r="C26002" t="inlineStr">
        <is>
          <t>1971-02-14</t>
        </is>
      </c>
    </row>
    <row r="26003">
      <c r="A26003" s="1" t="n">
        <v>26002</v>
      </c>
      <c r="B26003">
        <f>TEXT(26002, "[$-0E0000]yyyy-mm-dd")</f>
        <v/>
      </c>
      <c r="C26003" t="inlineStr">
        <is>
          <t>1971-02-15</t>
        </is>
      </c>
    </row>
    <row r="26004">
      <c r="A26004" s="1" t="n">
        <v>26003</v>
      </c>
      <c r="B26004">
        <f>TEXT(26003, "[$-0E0000]yyyy-mm-dd")</f>
        <v/>
      </c>
      <c r="C26004" t="inlineStr">
        <is>
          <t>1971-02-16</t>
        </is>
      </c>
    </row>
    <row r="26005">
      <c r="A26005" s="1" t="n">
        <v>26004</v>
      </c>
      <c r="B26005">
        <f>TEXT(26004, "[$-0E0000]yyyy-mm-dd")</f>
        <v/>
      </c>
      <c r="C26005" t="inlineStr">
        <is>
          <t>1971-02-17</t>
        </is>
      </c>
    </row>
    <row r="26006">
      <c r="A26006" s="1" t="n">
        <v>26005</v>
      </c>
      <c r="B26006">
        <f>TEXT(26005, "[$-0E0000]yyyy-mm-dd")</f>
        <v/>
      </c>
      <c r="C26006" t="inlineStr">
        <is>
          <t>1971-02-18</t>
        </is>
      </c>
    </row>
    <row r="26007">
      <c r="A26007" s="1" t="n">
        <v>26006</v>
      </c>
      <c r="B26007">
        <f>TEXT(26006, "[$-0E0000]yyyy-mm-dd")</f>
        <v/>
      </c>
      <c r="C26007" t="inlineStr">
        <is>
          <t>1971-02-19</t>
        </is>
      </c>
    </row>
    <row r="26008">
      <c r="A26008" s="1" t="n">
        <v>26007</v>
      </c>
      <c r="B26008">
        <f>TEXT(26007, "[$-0E0000]yyyy-mm-dd")</f>
        <v/>
      </c>
      <c r="C26008" t="inlineStr">
        <is>
          <t>1971-02-20</t>
        </is>
      </c>
    </row>
    <row r="26009">
      <c r="A26009" s="1" t="n">
        <v>26008</v>
      </c>
      <c r="B26009">
        <f>TEXT(26008, "[$-0E0000]yyyy-mm-dd")</f>
        <v/>
      </c>
      <c r="C26009" t="inlineStr">
        <is>
          <t>1971-02-21</t>
        </is>
      </c>
    </row>
    <row r="26010">
      <c r="A26010" s="1" t="n">
        <v>26009</v>
      </c>
      <c r="B26010">
        <f>TEXT(26009, "[$-0E0000]yyyy-mm-dd")</f>
        <v/>
      </c>
      <c r="C26010" t="inlineStr">
        <is>
          <t>1971-02-22</t>
        </is>
      </c>
    </row>
    <row r="26011">
      <c r="A26011" s="1" t="n">
        <v>26010</v>
      </c>
      <c r="B26011">
        <f>TEXT(26010, "[$-0E0000]yyyy-mm-dd")</f>
        <v/>
      </c>
      <c r="C26011" t="inlineStr">
        <is>
          <t>1971-02-23</t>
        </is>
      </c>
    </row>
    <row r="26012">
      <c r="A26012" s="1" t="n">
        <v>26011</v>
      </c>
      <c r="B26012">
        <f>TEXT(26011, "[$-0E0000]yyyy-mm-dd")</f>
        <v/>
      </c>
      <c r="C26012" t="inlineStr">
        <is>
          <t>1971-02-24</t>
        </is>
      </c>
    </row>
    <row r="26013">
      <c r="A26013" s="1" t="n">
        <v>26012</v>
      </c>
      <c r="B26013">
        <f>TEXT(26012, "[$-0E0000]yyyy-mm-dd")</f>
        <v/>
      </c>
      <c r="C26013" t="inlineStr">
        <is>
          <t>1971-02-25</t>
        </is>
      </c>
    </row>
    <row r="26014">
      <c r="A26014" s="1" t="n">
        <v>26013</v>
      </c>
      <c r="B26014">
        <f>TEXT(26013, "[$-0E0000]yyyy-mm-dd")</f>
        <v/>
      </c>
      <c r="C26014" t="inlineStr">
        <is>
          <t>1971-02-26</t>
        </is>
      </c>
    </row>
    <row r="26015">
      <c r="A26015" s="1" t="n">
        <v>26014</v>
      </c>
      <c r="B26015">
        <f>TEXT(26014, "[$-0E0000]yyyy-mm-dd")</f>
        <v/>
      </c>
      <c r="C26015" t="inlineStr">
        <is>
          <t>1971-02-27</t>
        </is>
      </c>
    </row>
    <row r="26016">
      <c r="A26016" s="1" t="n">
        <v>26015</v>
      </c>
      <c r="B26016">
        <f>TEXT(26015, "[$-0E0000]yyyy-mm-dd")</f>
        <v/>
      </c>
      <c r="C26016" t="inlineStr">
        <is>
          <t>1971-02-28</t>
        </is>
      </c>
    </row>
    <row r="26017">
      <c r="A26017" s="1" t="n">
        <v>26016</v>
      </c>
      <c r="B26017">
        <f>TEXT(26016, "[$-0E0000]yyyy-mm-dd")</f>
        <v/>
      </c>
      <c r="C26017" t="inlineStr">
        <is>
          <t>1971-02-29</t>
        </is>
      </c>
    </row>
    <row r="26018">
      <c r="A26018" s="1" t="n">
        <v>26017</v>
      </c>
      <c r="B26018">
        <f>TEXT(26017, "[$-0E0000]yyyy-mm-dd")</f>
        <v/>
      </c>
      <c r="C26018" t="inlineStr">
        <is>
          <t>1971-02-30</t>
        </is>
      </c>
    </row>
    <row r="26019">
      <c r="A26019" s="1" t="n">
        <v>26018</v>
      </c>
      <c r="B26019">
        <f>TEXT(26018, "[$-0E0000]yyyy-mm-dd")</f>
        <v/>
      </c>
      <c r="C26019" t="inlineStr">
        <is>
          <t>1971-03-01</t>
        </is>
      </c>
    </row>
    <row r="26020">
      <c r="A26020" s="1" t="n">
        <v>26019</v>
      </c>
      <c r="B26020">
        <f>TEXT(26019, "[$-0E0000]yyyy-mm-dd")</f>
        <v/>
      </c>
      <c r="C26020" t="inlineStr">
        <is>
          <t>1971-03-02</t>
        </is>
      </c>
    </row>
    <row r="26021">
      <c r="A26021" s="1" t="n">
        <v>26020</v>
      </c>
      <c r="B26021">
        <f>TEXT(26020, "[$-0E0000]yyyy-mm-dd")</f>
        <v/>
      </c>
      <c r="C26021" t="inlineStr">
        <is>
          <t>1971-03-03</t>
        </is>
      </c>
    </row>
    <row r="26022">
      <c r="A26022" s="1" t="n">
        <v>26021</v>
      </c>
      <c r="B26022">
        <f>TEXT(26021, "[$-0E0000]yyyy-mm-dd")</f>
        <v/>
      </c>
      <c r="C26022" t="inlineStr">
        <is>
          <t>1971-03-04</t>
        </is>
      </c>
    </row>
    <row r="26023">
      <c r="A26023" s="1" t="n">
        <v>26022</v>
      </c>
      <c r="B26023">
        <f>TEXT(26022, "[$-0E0000]yyyy-mm-dd")</f>
        <v/>
      </c>
      <c r="C26023" t="inlineStr">
        <is>
          <t>1971-03-05</t>
        </is>
      </c>
    </row>
    <row r="26024">
      <c r="A26024" s="1" t="n">
        <v>26023</v>
      </c>
      <c r="B26024">
        <f>TEXT(26023, "[$-0E0000]yyyy-mm-dd")</f>
        <v/>
      </c>
      <c r="C26024" t="inlineStr">
        <is>
          <t>1971-03-06</t>
        </is>
      </c>
    </row>
    <row r="26025">
      <c r="A26025" s="1" t="n">
        <v>26024</v>
      </c>
      <c r="B26025">
        <f>TEXT(26024, "[$-0E0000]yyyy-mm-dd")</f>
        <v/>
      </c>
      <c r="C26025" t="inlineStr">
        <is>
          <t>1971-03-07</t>
        </is>
      </c>
    </row>
    <row r="26026">
      <c r="A26026" s="1" t="n">
        <v>26025</v>
      </c>
      <c r="B26026">
        <f>TEXT(26025, "[$-0E0000]yyyy-mm-dd")</f>
        <v/>
      </c>
      <c r="C26026" t="inlineStr">
        <is>
          <t>1971-03-08</t>
        </is>
      </c>
    </row>
    <row r="26027">
      <c r="A26027" s="1" t="n">
        <v>26026</v>
      </c>
      <c r="B26027">
        <f>TEXT(26026, "[$-0E0000]yyyy-mm-dd")</f>
        <v/>
      </c>
      <c r="C26027" t="inlineStr">
        <is>
          <t>1971-03-09</t>
        </is>
      </c>
    </row>
    <row r="26028">
      <c r="A26028" s="1" t="n">
        <v>26027</v>
      </c>
      <c r="B26028">
        <f>TEXT(26027, "[$-0E0000]yyyy-mm-dd")</f>
        <v/>
      </c>
      <c r="C26028" t="inlineStr">
        <is>
          <t>1971-03-10</t>
        </is>
      </c>
    </row>
    <row r="26029">
      <c r="A26029" s="1" t="n">
        <v>26028</v>
      </c>
      <c r="B26029">
        <f>TEXT(26028, "[$-0E0000]yyyy-mm-dd")</f>
        <v/>
      </c>
      <c r="C26029" t="inlineStr">
        <is>
          <t>1971-03-11</t>
        </is>
      </c>
    </row>
    <row r="26030">
      <c r="A26030" s="1" t="n">
        <v>26029</v>
      </c>
      <c r="B26030">
        <f>TEXT(26029, "[$-0E0000]yyyy-mm-dd")</f>
        <v/>
      </c>
      <c r="C26030" t="inlineStr">
        <is>
          <t>1971-03-12</t>
        </is>
      </c>
    </row>
    <row r="26031">
      <c r="A26031" s="1" t="n">
        <v>26030</v>
      </c>
      <c r="B26031">
        <f>TEXT(26030, "[$-0E0000]yyyy-mm-dd")</f>
        <v/>
      </c>
      <c r="C26031" t="inlineStr">
        <is>
          <t>1971-03-13</t>
        </is>
      </c>
    </row>
    <row r="26032">
      <c r="A26032" s="1" t="n">
        <v>26031</v>
      </c>
      <c r="B26032">
        <f>TEXT(26031, "[$-0E0000]yyyy-mm-dd")</f>
        <v/>
      </c>
      <c r="C26032" t="inlineStr">
        <is>
          <t>1971-03-14</t>
        </is>
      </c>
    </row>
    <row r="26033">
      <c r="A26033" s="1" t="n">
        <v>26032</v>
      </c>
      <c r="B26033">
        <f>TEXT(26032, "[$-0E0000]yyyy-mm-dd")</f>
        <v/>
      </c>
      <c r="C26033" t="inlineStr">
        <is>
          <t>1971-03-15</t>
        </is>
      </c>
    </row>
    <row r="26034">
      <c r="A26034" s="1" t="n">
        <v>26033</v>
      </c>
      <c r="B26034">
        <f>TEXT(26033, "[$-0E0000]yyyy-mm-dd")</f>
        <v/>
      </c>
      <c r="C26034" t="inlineStr">
        <is>
          <t>1971-03-16</t>
        </is>
      </c>
    </row>
    <row r="26035">
      <c r="A26035" s="1" t="n">
        <v>26034</v>
      </c>
      <c r="B26035">
        <f>TEXT(26034, "[$-0E0000]yyyy-mm-dd")</f>
        <v/>
      </c>
      <c r="C26035" t="inlineStr">
        <is>
          <t>1971-03-17</t>
        </is>
      </c>
    </row>
    <row r="26036">
      <c r="A26036" s="1" t="n">
        <v>26035</v>
      </c>
      <c r="B26036">
        <f>TEXT(26035, "[$-0E0000]yyyy-mm-dd")</f>
        <v/>
      </c>
      <c r="C26036" t="inlineStr">
        <is>
          <t>1971-03-18</t>
        </is>
      </c>
    </row>
    <row r="26037">
      <c r="A26037" s="1" t="n">
        <v>26036</v>
      </c>
      <c r="B26037">
        <f>TEXT(26036, "[$-0E0000]yyyy-mm-dd")</f>
        <v/>
      </c>
      <c r="C26037" t="inlineStr">
        <is>
          <t>1971-03-19</t>
        </is>
      </c>
    </row>
    <row r="26038">
      <c r="A26038" s="1" t="n">
        <v>26037</v>
      </c>
      <c r="B26038">
        <f>TEXT(26037, "[$-0E0000]yyyy-mm-dd")</f>
        <v/>
      </c>
      <c r="C26038" t="inlineStr">
        <is>
          <t>1971-03-20</t>
        </is>
      </c>
    </row>
    <row r="26039">
      <c r="A26039" s="1" t="n">
        <v>26038</v>
      </c>
      <c r="B26039">
        <f>TEXT(26038, "[$-0E0000]yyyy-mm-dd")</f>
        <v/>
      </c>
      <c r="C26039" t="inlineStr">
        <is>
          <t>1971-03-21</t>
        </is>
      </c>
    </row>
    <row r="26040">
      <c r="A26040" s="1" t="n">
        <v>26039</v>
      </c>
      <c r="B26040">
        <f>TEXT(26039, "[$-0E0000]yyyy-mm-dd")</f>
        <v/>
      </c>
      <c r="C26040" t="inlineStr">
        <is>
          <t>1971-03-22</t>
        </is>
      </c>
    </row>
    <row r="26041">
      <c r="A26041" s="1" t="n">
        <v>26040</v>
      </c>
      <c r="B26041">
        <f>TEXT(26040, "[$-0E0000]yyyy-mm-dd")</f>
        <v/>
      </c>
      <c r="C26041" t="inlineStr">
        <is>
          <t>1971-03-23</t>
        </is>
      </c>
    </row>
    <row r="26042">
      <c r="A26042" s="1" t="n">
        <v>26041</v>
      </c>
      <c r="B26042">
        <f>TEXT(26041, "[$-0E0000]yyyy-mm-dd")</f>
        <v/>
      </c>
      <c r="C26042" t="inlineStr">
        <is>
          <t>1971-03-24</t>
        </is>
      </c>
    </row>
    <row r="26043">
      <c r="A26043" s="1" t="n">
        <v>26042</v>
      </c>
      <c r="B26043">
        <f>TEXT(26042, "[$-0E0000]yyyy-mm-dd")</f>
        <v/>
      </c>
      <c r="C26043" t="inlineStr">
        <is>
          <t>1971-03-25</t>
        </is>
      </c>
    </row>
    <row r="26044">
      <c r="A26044" s="1" t="n">
        <v>26043</v>
      </c>
      <c r="B26044">
        <f>TEXT(26043, "[$-0E0000]yyyy-mm-dd")</f>
        <v/>
      </c>
      <c r="C26044" t="inlineStr">
        <is>
          <t>1971-03-26</t>
        </is>
      </c>
    </row>
    <row r="26045">
      <c r="A26045" s="1" t="n">
        <v>26044</v>
      </c>
      <c r="B26045">
        <f>TEXT(26044, "[$-0E0000]yyyy-mm-dd")</f>
        <v/>
      </c>
      <c r="C26045" t="inlineStr">
        <is>
          <t>1971-03-27</t>
        </is>
      </c>
    </row>
    <row r="26046">
      <c r="A26046" s="1" t="n">
        <v>26045</v>
      </c>
      <c r="B26046">
        <f>TEXT(26045, "[$-0E0000]yyyy-mm-dd")</f>
        <v/>
      </c>
      <c r="C26046" t="inlineStr">
        <is>
          <t>1971-03-28</t>
        </is>
      </c>
    </row>
    <row r="26047">
      <c r="A26047" s="1" t="n">
        <v>26046</v>
      </c>
      <c r="B26047">
        <f>TEXT(26046, "[$-0E0000]yyyy-mm-dd")</f>
        <v/>
      </c>
      <c r="C26047" t="inlineStr">
        <is>
          <t>1971-03-29</t>
        </is>
      </c>
    </row>
    <row r="26048">
      <c r="A26048" s="1" t="n">
        <v>26047</v>
      </c>
      <c r="B26048">
        <f>TEXT(26047, "[$-0E0000]yyyy-mm-dd")</f>
        <v/>
      </c>
      <c r="C26048" t="inlineStr">
        <is>
          <t>1971-04-01</t>
        </is>
      </c>
    </row>
    <row r="26049">
      <c r="A26049" s="1" t="n">
        <v>26048</v>
      </c>
      <c r="B26049">
        <f>TEXT(26048, "[$-0E0000]yyyy-mm-dd")</f>
        <v/>
      </c>
      <c r="C26049" t="inlineStr">
        <is>
          <t>1971-04-02</t>
        </is>
      </c>
    </row>
    <row r="26050">
      <c r="A26050" s="1" t="n">
        <v>26049</v>
      </c>
      <c r="B26050">
        <f>TEXT(26049, "[$-0E0000]yyyy-mm-dd")</f>
        <v/>
      </c>
      <c r="C26050" t="inlineStr">
        <is>
          <t>1971-04-03</t>
        </is>
      </c>
    </row>
    <row r="26051">
      <c r="A26051" s="1" t="n">
        <v>26050</v>
      </c>
      <c r="B26051">
        <f>TEXT(26050, "[$-0E0000]yyyy-mm-dd")</f>
        <v/>
      </c>
      <c r="C26051" t="inlineStr">
        <is>
          <t>1971-04-04</t>
        </is>
      </c>
    </row>
    <row r="26052">
      <c r="A26052" s="1" t="n">
        <v>26051</v>
      </c>
      <c r="B26052">
        <f>TEXT(26051, "[$-0E0000]yyyy-mm-dd")</f>
        <v/>
      </c>
      <c r="C26052" t="inlineStr">
        <is>
          <t>1971-04-05</t>
        </is>
      </c>
    </row>
    <row r="26053">
      <c r="A26053" s="1" t="n">
        <v>26052</v>
      </c>
      <c r="B26053">
        <f>TEXT(26052, "[$-0E0000]yyyy-mm-dd")</f>
        <v/>
      </c>
      <c r="C26053" t="inlineStr">
        <is>
          <t>1971-04-06</t>
        </is>
      </c>
    </row>
    <row r="26054">
      <c r="A26054" s="1" t="n">
        <v>26053</v>
      </c>
      <c r="B26054">
        <f>TEXT(26053, "[$-0E0000]yyyy-mm-dd")</f>
        <v/>
      </c>
      <c r="C26054" t="inlineStr">
        <is>
          <t>1971-04-07</t>
        </is>
      </c>
    </row>
    <row r="26055">
      <c r="A26055" s="1" t="n">
        <v>26054</v>
      </c>
      <c r="B26055">
        <f>TEXT(26054, "[$-0E0000]yyyy-mm-dd")</f>
        <v/>
      </c>
      <c r="C26055" t="inlineStr">
        <is>
          <t>1971-04-08</t>
        </is>
      </c>
    </row>
    <row r="26056">
      <c r="A26056" s="1" t="n">
        <v>26055</v>
      </c>
      <c r="B26056">
        <f>TEXT(26055, "[$-0E0000]yyyy-mm-dd")</f>
        <v/>
      </c>
      <c r="C26056" t="inlineStr">
        <is>
          <t>1971-04-09</t>
        </is>
      </c>
    </row>
    <row r="26057">
      <c r="A26057" s="1" t="n">
        <v>26056</v>
      </c>
      <c r="B26057">
        <f>TEXT(26056, "[$-0E0000]yyyy-mm-dd")</f>
        <v/>
      </c>
      <c r="C26057" t="inlineStr">
        <is>
          <t>1971-04-10</t>
        </is>
      </c>
    </row>
    <row r="26058">
      <c r="A26058" s="1" t="n">
        <v>26057</v>
      </c>
      <c r="B26058">
        <f>TEXT(26057, "[$-0E0000]yyyy-mm-dd")</f>
        <v/>
      </c>
      <c r="C26058" t="inlineStr">
        <is>
          <t>1971-04-11</t>
        </is>
      </c>
    </row>
    <row r="26059">
      <c r="A26059" s="1" t="n">
        <v>26058</v>
      </c>
      <c r="B26059">
        <f>TEXT(26058, "[$-0E0000]yyyy-mm-dd")</f>
        <v/>
      </c>
      <c r="C26059" t="inlineStr">
        <is>
          <t>1971-04-12</t>
        </is>
      </c>
    </row>
    <row r="26060">
      <c r="A26060" s="1" t="n">
        <v>26059</v>
      </c>
      <c r="B26060">
        <f>TEXT(26059, "[$-0E0000]yyyy-mm-dd")</f>
        <v/>
      </c>
      <c r="C26060" t="inlineStr">
        <is>
          <t>1971-04-13</t>
        </is>
      </c>
    </row>
    <row r="26061">
      <c r="A26061" s="1" t="n">
        <v>26060</v>
      </c>
      <c r="B26061">
        <f>TEXT(26060, "[$-0E0000]yyyy-mm-dd")</f>
        <v/>
      </c>
      <c r="C26061" t="inlineStr">
        <is>
          <t>1971-04-14</t>
        </is>
      </c>
    </row>
    <row r="26062">
      <c r="A26062" s="1" t="n">
        <v>26061</v>
      </c>
      <c r="B26062">
        <f>TEXT(26061, "[$-0E0000]yyyy-mm-dd")</f>
        <v/>
      </c>
      <c r="C26062" t="inlineStr">
        <is>
          <t>1971-04-15</t>
        </is>
      </c>
    </row>
    <row r="26063">
      <c r="A26063" s="1" t="n">
        <v>26062</v>
      </c>
      <c r="B26063">
        <f>TEXT(26062, "[$-0E0000]yyyy-mm-dd")</f>
        <v/>
      </c>
      <c r="C26063" t="inlineStr">
        <is>
          <t>1971-04-16</t>
        </is>
      </c>
    </row>
    <row r="26064">
      <c r="A26064" s="1" t="n">
        <v>26063</v>
      </c>
      <c r="B26064">
        <f>TEXT(26063, "[$-0E0000]yyyy-mm-dd")</f>
        <v/>
      </c>
      <c r="C26064" t="inlineStr">
        <is>
          <t>1971-04-17</t>
        </is>
      </c>
    </row>
    <row r="26065">
      <c r="A26065" s="1" t="n">
        <v>26064</v>
      </c>
      <c r="B26065">
        <f>TEXT(26064, "[$-0E0000]yyyy-mm-dd")</f>
        <v/>
      </c>
      <c r="C26065" t="inlineStr">
        <is>
          <t>1971-04-18</t>
        </is>
      </c>
    </row>
    <row r="26066">
      <c r="A26066" s="1" t="n">
        <v>26065</v>
      </c>
      <c r="B26066">
        <f>TEXT(26065, "[$-0E0000]yyyy-mm-dd")</f>
        <v/>
      </c>
      <c r="C26066" t="inlineStr">
        <is>
          <t>1971-04-19</t>
        </is>
      </c>
    </row>
    <row r="26067">
      <c r="A26067" s="1" t="n">
        <v>26066</v>
      </c>
      <c r="B26067">
        <f>TEXT(26066, "[$-0E0000]yyyy-mm-dd")</f>
        <v/>
      </c>
      <c r="C26067" t="inlineStr">
        <is>
          <t>1971-04-20</t>
        </is>
      </c>
    </row>
    <row r="26068">
      <c r="A26068" s="1" t="n">
        <v>26067</v>
      </c>
      <c r="B26068">
        <f>TEXT(26067, "[$-0E0000]yyyy-mm-dd")</f>
        <v/>
      </c>
      <c r="C26068" t="inlineStr">
        <is>
          <t>1971-04-21</t>
        </is>
      </c>
    </row>
    <row r="26069">
      <c r="A26069" s="1" t="n">
        <v>26068</v>
      </c>
      <c r="B26069">
        <f>TEXT(26068, "[$-0E0000]yyyy-mm-dd")</f>
        <v/>
      </c>
      <c r="C26069" t="inlineStr">
        <is>
          <t>1971-04-22</t>
        </is>
      </c>
    </row>
    <row r="26070">
      <c r="A26070" s="1" t="n">
        <v>26069</v>
      </c>
      <c r="B26070">
        <f>TEXT(26069, "[$-0E0000]yyyy-mm-dd")</f>
        <v/>
      </c>
      <c r="C26070" t="inlineStr">
        <is>
          <t>1971-04-23</t>
        </is>
      </c>
    </row>
    <row r="26071">
      <c r="A26071" s="1" t="n">
        <v>26070</v>
      </c>
      <c r="B26071">
        <f>TEXT(26070, "[$-0E0000]yyyy-mm-dd")</f>
        <v/>
      </c>
      <c r="C26071" t="inlineStr">
        <is>
          <t>1971-04-24</t>
        </is>
      </c>
    </row>
    <row r="26072">
      <c r="A26072" s="1" t="n">
        <v>26071</v>
      </c>
      <c r="B26072">
        <f>TEXT(26071, "[$-0E0000]yyyy-mm-dd")</f>
        <v/>
      </c>
      <c r="C26072" t="inlineStr">
        <is>
          <t>1971-04-25</t>
        </is>
      </c>
    </row>
    <row r="26073">
      <c r="A26073" s="1" t="n">
        <v>26072</v>
      </c>
      <c r="B26073">
        <f>TEXT(26072, "[$-0E0000]yyyy-mm-dd")</f>
        <v/>
      </c>
      <c r="C26073" t="inlineStr">
        <is>
          <t>1971-04-26</t>
        </is>
      </c>
    </row>
    <row r="26074">
      <c r="A26074" s="1" t="n">
        <v>26073</v>
      </c>
      <c r="B26074">
        <f>TEXT(26073, "[$-0E0000]yyyy-mm-dd")</f>
        <v/>
      </c>
      <c r="C26074" t="inlineStr">
        <is>
          <t>1971-04-27</t>
        </is>
      </c>
    </row>
    <row r="26075">
      <c r="A26075" s="1" t="n">
        <v>26074</v>
      </c>
      <c r="B26075">
        <f>TEXT(26074, "[$-0E0000]yyyy-mm-dd")</f>
        <v/>
      </c>
      <c r="C26075" t="inlineStr">
        <is>
          <t>1971-04-28</t>
        </is>
      </c>
    </row>
    <row r="26076">
      <c r="A26076" s="1" t="n">
        <v>26075</v>
      </c>
      <c r="B26076">
        <f>TEXT(26075, "[$-0E0000]yyyy-mm-dd")</f>
        <v/>
      </c>
      <c r="C26076" t="inlineStr">
        <is>
          <t>1971-04-29</t>
        </is>
      </c>
    </row>
    <row r="26077">
      <c r="A26077" s="1" t="n">
        <v>26076</v>
      </c>
      <c r="B26077">
        <f>TEXT(26076, "[$-0E0000]yyyy-mm-dd")</f>
        <v/>
      </c>
      <c r="C26077" t="inlineStr">
        <is>
          <t>1971-05-01</t>
        </is>
      </c>
    </row>
    <row r="26078">
      <c r="A26078" s="1" t="n">
        <v>26077</v>
      </c>
      <c r="B26078">
        <f>TEXT(26077, "[$-0E0000]yyyy-mm-dd")</f>
        <v/>
      </c>
      <c r="C26078" t="inlineStr">
        <is>
          <t>1971-05-02</t>
        </is>
      </c>
    </row>
    <row r="26079">
      <c r="A26079" s="1" t="n">
        <v>26078</v>
      </c>
      <c r="B26079">
        <f>TEXT(26078, "[$-0E0000]yyyy-mm-dd")</f>
        <v/>
      </c>
      <c r="C26079" t="inlineStr">
        <is>
          <t>1971-05-03</t>
        </is>
      </c>
    </row>
    <row r="26080">
      <c r="A26080" s="1" t="n">
        <v>26079</v>
      </c>
      <c r="B26080">
        <f>TEXT(26079, "[$-0E0000]yyyy-mm-dd")</f>
        <v/>
      </c>
      <c r="C26080" t="inlineStr">
        <is>
          <t>1971-05-04</t>
        </is>
      </c>
    </row>
    <row r="26081">
      <c r="A26081" s="1" t="n">
        <v>26080</v>
      </c>
      <c r="B26081">
        <f>TEXT(26080, "[$-0E0000]yyyy-mm-dd")</f>
        <v/>
      </c>
      <c r="C26081" t="inlineStr">
        <is>
          <t>1971-05-05</t>
        </is>
      </c>
    </row>
    <row r="26082">
      <c r="A26082" s="1" t="n">
        <v>26081</v>
      </c>
      <c r="B26082">
        <f>TEXT(26081, "[$-0E0000]yyyy-mm-dd")</f>
        <v/>
      </c>
      <c r="C26082" t="inlineStr">
        <is>
          <t>1971-05-06</t>
        </is>
      </c>
    </row>
    <row r="26083">
      <c r="A26083" s="1" t="n">
        <v>26082</v>
      </c>
      <c r="B26083">
        <f>TEXT(26082, "[$-0E0000]yyyy-mm-dd")</f>
        <v/>
      </c>
      <c r="C26083" t="inlineStr">
        <is>
          <t>1971-05-07</t>
        </is>
      </c>
    </row>
    <row r="26084">
      <c r="A26084" s="1" t="n">
        <v>26083</v>
      </c>
      <c r="B26084">
        <f>TEXT(26083, "[$-0E0000]yyyy-mm-dd")</f>
        <v/>
      </c>
      <c r="C26084" t="inlineStr">
        <is>
          <t>1971-05-08</t>
        </is>
      </c>
    </row>
    <row r="26085">
      <c r="A26085" s="1" t="n">
        <v>26084</v>
      </c>
      <c r="B26085">
        <f>TEXT(26084, "[$-0E0000]yyyy-mm-dd")</f>
        <v/>
      </c>
      <c r="C26085" t="inlineStr">
        <is>
          <t>1971-05-09</t>
        </is>
      </c>
    </row>
    <row r="26086">
      <c r="A26086" s="1" t="n">
        <v>26085</v>
      </c>
      <c r="B26086">
        <f>TEXT(26085, "[$-0E0000]yyyy-mm-dd")</f>
        <v/>
      </c>
      <c r="C26086" t="inlineStr">
        <is>
          <t>1971-05-10</t>
        </is>
      </c>
    </row>
    <row r="26087">
      <c r="A26087" s="1" t="n">
        <v>26086</v>
      </c>
      <c r="B26087">
        <f>TEXT(26086, "[$-0E0000]yyyy-mm-dd")</f>
        <v/>
      </c>
      <c r="C26087" t="inlineStr">
        <is>
          <t>1971-05-11</t>
        </is>
      </c>
    </row>
    <row r="26088">
      <c r="A26088" s="1" t="n">
        <v>26087</v>
      </c>
      <c r="B26088">
        <f>TEXT(26087, "[$-0E0000]yyyy-mm-dd")</f>
        <v/>
      </c>
      <c r="C26088" t="inlineStr">
        <is>
          <t>1971-05-12</t>
        </is>
      </c>
    </row>
    <row r="26089">
      <c r="A26089" s="1" t="n">
        <v>26088</v>
      </c>
      <c r="B26089">
        <f>TEXT(26088, "[$-0E0000]yyyy-mm-dd")</f>
        <v/>
      </c>
      <c r="C26089" t="inlineStr">
        <is>
          <t>1971-05-13</t>
        </is>
      </c>
    </row>
    <row r="26090">
      <c r="A26090" s="1" t="n">
        <v>26089</v>
      </c>
      <c r="B26090">
        <f>TEXT(26089, "[$-0E0000]yyyy-mm-dd")</f>
        <v/>
      </c>
      <c r="C26090" t="inlineStr">
        <is>
          <t>1971-05-14</t>
        </is>
      </c>
    </row>
    <row r="26091">
      <c r="A26091" s="1" t="n">
        <v>26090</v>
      </c>
      <c r="B26091">
        <f>TEXT(26090, "[$-0E0000]yyyy-mm-dd")</f>
        <v/>
      </c>
      <c r="C26091" t="inlineStr">
        <is>
          <t>1971-05-15</t>
        </is>
      </c>
    </row>
    <row r="26092">
      <c r="A26092" s="1" t="n">
        <v>26091</v>
      </c>
      <c r="B26092">
        <f>TEXT(26091, "[$-0E0000]yyyy-mm-dd")</f>
        <v/>
      </c>
      <c r="C26092" t="inlineStr">
        <is>
          <t>1971-05-16</t>
        </is>
      </c>
    </row>
    <row r="26093">
      <c r="A26093" s="1" t="n">
        <v>26092</v>
      </c>
      <c r="B26093">
        <f>TEXT(26092, "[$-0E0000]yyyy-mm-dd")</f>
        <v/>
      </c>
      <c r="C26093" t="inlineStr">
        <is>
          <t>1971-05-17</t>
        </is>
      </c>
    </row>
    <row r="26094">
      <c r="A26094" s="1" t="n">
        <v>26093</v>
      </c>
      <c r="B26094">
        <f>TEXT(26093, "[$-0E0000]yyyy-mm-dd")</f>
        <v/>
      </c>
      <c r="C26094" t="inlineStr">
        <is>
          <t>1971-05-18</t>
        </is>
      </c>
    </row>
    <row r="26095">
      <c r="A26095" s="1" t="n">
        <v>26094</v>
      </c>
      <c r="B26095">
        <f>TEXT(26094, "[$-0E0000]yyyy-mm-dd")</f>
        <v/>
      </c>
      <c r="C26095" t="inlineStr">
        <is>
          <t>1971-05-19</t>
        </is>
      </c>
    </row>
    <row r="26096">
      <c r="A26096" s="1" t="n">
        <v>26095</v>
      </c>
      <c r="B26096">
        <f>TEXT(26095, "[$-0E0000]yyyy-mm-dd")</f>
        <v/>
      </c>
      <c r="C26096" t="inlineStr">
        <is>
          <t>1971-05-20</t>
        </is>
      </c>
    </row>
    <row r="26097">
      <c r="A26097" s="1" t="n">
        <v>26096</v>
      </c>
      <c r="B26097">
        <f>TEXT(26096, "[$-0E0000]yyyy-mm-dd")</f>
        <v/>
      </c>
      <c r="C26097" t="inlineStr">
        <is>
          <t>1971-05-21</t>
        </is>
      </c>
    </row>
    <row r="26098">
      <c r="A26098" s="1" t="n">
        <v>26097</v>
      </c>
      <c r="B26098">
        <f>TEXT(26097, "[$-0E0000]yyyy-mm-dd")</f>
        <v/>
      </c>
      <c r="C26098" t="inlineStr">
        <is>
          <t>1971-05-22</t>
        </is>
      </c>
    </row>
    <row r="26099">
      <c r="A26099" s="1" t="n">
        <v>26098</v>
      </c>
      <c r="B26099">
        <f>TEXT(26098, "[$-0E0000]yyyy-mm-dd")</f>
        <v/>
      </c>
      <c r="C26099" t="inlineStr">
        <is>
          <t>1971-05-23</t>
        </is>
      </c>
    </row>
    <row r="26100">
      <c r="A26100" s="1" t="n">
        <v>26099</v>
      </c>
      <c r="B26100">
        <f>TEXT(26099, "[$-0E0000]yyyy-mm-dd")</f>
        <v/>
      </c>
      <c r="C26100" t="inlineStr">
        <is>
          <t>1971-05-24</t>
        </is>
      </c>
    </row>
    <row r="26101">
      <c r="A26101" s="1" t="n">
        <v>26100</v>
      </c>
      <c r="B26101">
        <f>TEXT(26100, "[$-0E0000]yyyy-mm-dd")</f>
        <v/>
      </c>
      <c r="C26101" t="inlineStr">
        <is>
          <t>1971-05-25</t>
        </is>
      </c>
    </row>
    <row r="26102">
      <c r="A26102" s="1" t="n">
        <v>26101</v>
      </c>
      <c r="B26102">
        <f>TEXT(26101, "[$-0E0000]yyyy-mm-dd")</f>
        <v/>
      </c>
      <c r="C26102" t="inlineStr">
        <is>
          <t>1971-05-26</t>
        </is>
      </c>
    </row>
    <row r="26103">
      <c r="A26103" s="1" t="n">
        <v>26102</v>
      </c>
      <c r="B26103">
        <f>TEXT(26102, "[$-0E0000]yyyy-mm-dd")</f>
        <v/>
      </c>
      <c r="C26103" t="inlineStr">
        <is>
          <t>1971-05-27</t>
        </is>
      </c>
    </row>
    <row r="26104">
      <c r="A26104" s="1" t="n">
        <v>26103</v>
      </c>
      <c r="B26104">
        <f>TEXT(26103, "[$-0E0000]yyyy-mm-dd")</f>
        <v/>
      </c>
      <c r="C26104" t="inlineStr">
        <is>
          <t>1971-05-28</t>
        </is>
      </c>
    </row>
    <row r="26105">
      <c r="A26105" s="1" t="n">
        <v>26104</v>
      </c>
      <c r="B26105">
        <f>TEXT(26104, "[$-0E0000]yyyy-mm-dd")</f>
        <v/>
      </c>
      <c r="C26105" t="inlineStr">
        <is>
          <t>1971-05-29</t>
        </is>
      </c>
    </row>
    <row r="26106">
      <c r="A26106" s="1" t="n">
        <v>26105</v>
      </c>
      <c r="B26106">
        <f>TEXT(26105, "[$-0E0000]yyyy-mm-dd")</f>
        <v/>
      </c>
      <c r="C26106" t="inlineStr">
        <is>
          <t>1971-05-30</t>
        </is>
      </c>
    </row>
    <row r="26107">
      <c r="A26107" s="1" t="n">
        <v>26106</v>
      </c>
      <c r="B26107">
        <f>TEXT(26106, "[$-0E0000]yyyy-mm-dd")</f>
        <v/>
      </c>
      <c r="C26107" t="inlineStr">
        <is>
          <t>1971-05-01</t>
        </is>
      </c>
    </row>
    <row r="26108">
      <c r="A26108" s="1" t="n">
        <v>26107</v>
      </c>
      <c r="B26108">
        <f>TEXT(26107, "[$-0E0000]yyyy-mm-dd")</f>
        <v/>
      </c>
      <c r="C26108" t="inlineStr">
        <is>
          <t>1971-05-02</t>
        </is>
      </c>
    </row>
    <row r="26109">
      <c r="A26109" s="1" t="n">
        <v>26108</v>
      </c>
      <c r="B26109">
        <f>TEXT(26108, "[$-0E0000]yyyy-mm-dd")</f>
        <v/>
      </c>
      <c r="C26109" t="inlineStr">
        <is>
          <t>1971-05-03</t>
        </is>
      </c>
    </row>
    <row r="26110">
      <c r="A26110" s="1" t="n">
        <v>26109</v>
      </c>
      <c r="B26110">
        <f>TEXT(26109, "[$-0E0000]yyyy-mm-dd")</f>
        <v/>
      </c>
      <c r="C26110" t="inlineStr">
        <is>
          <t>1971-05-04</t>
        </is>
      </c>
    </row>
    <row r="26111">
      <c r="A26111" s="1" t="n">
        <v>26110</v>
      </c>
      <c r="B26111">
        <f>TEXT(26110, "[$-0E0000]yyyy-mm-dd")</f>
        <v/>
      </c>
      <c r="C26111" t="inlineStr">
        <is>
          <t>1971-05-05</t>
        </is>
      </c>
    </row>
    <row r="26112">
      <c r="A26112" s="1" t="n">
        <v>26111</v>
      </c>
      <c r="B26112">
        <f>TEXT(26111, "[$-0E0000]yyyy-mm-dd")</f>
        <v/>
      </c>
      <c r="C26112" t="inlineStr">
        <is>
          <t>1971-05-06</t>
        </is>
      </c>
    </row>
    <row r="26113">
      <c r="A26113" s="1" t="n">
        <v>26112</v>
      </c>
      <c r="B26113">
        <f>TEXT(26112, "[$-0E0000]yyyy-mm-dd")</f>
        <v/>
      </c>
      <c r="C26113" t="inlineStr">
        <is>
          <t>1971-05-07</t>
        </is>
      </c>
    </row>
    <row r="26114">
      <c r="A26114" s="1" t="n">
        <v>26113</v>
      </c>
      <c r="B26114">
        <f>TEXT(26113, "[$-0E0000]yyyy-mm-dd")</f>
        <v/>
      </c>
      <c r="C26114" t="inlineStr">
        <is>
          <t>1971-05-08</t>
        </is>
      </c>
    </row>
    <row r="26115">
      <c r="A26115" s="1" t="n">
        <v>26114</v>
      </c>
      <c r="B26115">
        <f>TEXT(26114, "[$-0E0000]yyyy-mm-dd")</f>
        <v/>
      </c>
      <c r="C26115" t="inlineStr">
        <is>
          <t>1971-05-09</t>
        </is>
      </c>
    </row>
    <row r="26116">
      <c r="A26116" s="1" t="n">
        <v>26115</v>
      </c>
      <c r="B26116">
        <f>TEXT(26115, "[$-0E0000]yyyy-mm-dd")</f>
        <v/>
      </c>
      <c r="C26116" t="inlineStr">
        <is>
          <t>1971-05-10</t>
        </is>
      </c>
    </row>
    <row r="26117">
      <c r="A26117" s="1" t="n">
        <v>26116</v>
      </c>
      <c r="B26117">
        <f>TEXT(26116, "[$-0E0000]yyyy-mm-dd")</f>
        <v/>
      </c>
      <c r="C26117" t="inlineStr">
        <is>
          <t>1971-05-11</t>
        </is>
      </c>
    </row>
    <row r="26118">
      <c r="A26118" s="1" t="n">
        <v>26117</v>
      </c>
      <c r="B26118">
        <f>TEXT(26117, "[$-0E0000]yyyy-mm-dd")</f>
        <v/>
      </c>
      <c r="C26118" t="inlineStr">
        <is>
          <t>1971-05-12</t>
        </is>
      </c>
    </row>
    <row r="26119">
      <c r="A26119" s="1" t="n">
        <v>26118</v>
      </c>
      <c r="B26119">
        <f>TEXT(26118, "[$-0E0000]yyyy-mm-dd")</f>
        <v/>
      </c>
      <c r="C26119" t="inlineStr">
        <is>
          <t>1971-05-13</t>
        </is>
      </c>
    </row>
    <row r="26120">
      <c r="A26120" s="1" t="n">
        <v>26119</v>
      </c>
      <c r="B26120">
        <f>TEXT(26119, "[$-0E0000]yyyy-mm-dd")</f>
        <v/>
      </c>
      <c r="C26120" t="inlineStr">
        <is>
          <t>1971-05-14</t>
        </is>
      </c>
    </row>
    <row r="26121">
      <c r="A26121" s="1" t="n">
        <v>26120</v>
      </c>
      <c r="B26121">
        <f>TEXT(26120, "[$-0E0000]yyyy-mm-dd")</f>
        <v/>
      </c>
      <c r="C26121" t="inlineStr">
        <is>
          <t>1971-05-15</t>
        </is>
      </c>
    </row>
    <row r="26122">
      <c r="A26122" s="1" t="n">
        <v>26121</v>
      </c>
      <c r="B26122">
        <f>TEXT(26121, "[$-0E0000]yyyy-mm-dd")</f>
        <v/>
      </c>
      <c r="C26122" t="inlineStr">
        <is>
          <t>1971-05-16</t>
        </is>
      </c>
    </row>
    <row r="26123">
      <c r="A26123" s="1" t="n">
        <v>26122</v>
      </c>
      <c r="B26123">
        <f>TEXT(26122, "[$-0E0000]yyyy-mm-dd")</f>
        <v/>
      </c>
      <c r="C26123" t="inlineStr">
        <is>
          <t>1971-05-17</t>
        </is>
      </c>
    </row>
    <row r="26124">
      <c r="A26124" s="1" t="n">
        <v>26123</v>
      </c>
      <c r="B26124">
        <f>TEXT(26123, "[$-0E0000]yyyy-mm-dd")</f>
        <v/>
      </c>
      <c r="C26124" t="inlineStr">
        <is>
          <t>1971-05-18</t>
        </is>
      </c>
    </row>
    <row r="26125">
      <c r="A26125" s="1" t="n">
        <v>26124</v>
      </c>
      <c r="B26125">
        <f>TEXT(26124, "[$-0E0000]yyyy-mm-dd")</f>
        <v/>
      </c>
      <c r="C26125" t="inlineStr">
        <is>
          <t>1971-05-19</t>
        </is>
      </c>
    </row>
    <row r="26126">
      <c r="A26126" s="1" t="n">
        <v>26125</v>
      </c>
      <c r="B26126">
        <f>TEXT(26125, "[$-0E0000]yyyy-mm-dd")</f>
        <v/>
      </c>
      <c r="C26126" t="inlineStr">
        <is>
          <t>1971-05-20</t>
        </is>
      </c>
    </row>
    <row r="26127">
      <c r="A26127" s="1" t="n">
        <v>26126</v>
      </c>
      <c r="B26127">
        <f>TEXT(26126, "[$-0E0000]yyyy-mm-dd")</f>
        <v/>
      </c>
      <c r="C26127" t="inlineStr">
        <is>
          <t>1971-05-21</t>
        </is>
      </c>
    </row>
    <row r="26128">
      <c r="A26128" s="1" t="n">
        <v>26127</v>
      </c>
      <c r="B26128">
        <f>TEXT(26127, "[$-0E0000]yyyy-mm-dd")</f>
        <v/>
      </c>
      <c r="C26128" t="inlineStr">
        <is>
          <t>1971-05-22</t>
        </is>
      </c>
    </row>
    <row r="26129">
      <c r="A26129" s="1" t="n">
        <v>26128</v>
      </c>
      <c r="B26129">
        <f>TEXT(26128, "[$-0E0000]yyyy-mm-dd")</f>
        <v/>
      </c>
      <c r="C26129" t="inlineStr">
        <is>
          <t>1971-05-23</t>
        </is>
      </c>
    </row>
    <row r="26130">
      <c r="A26130" s="1" t="n">
        <v>26129</v>
      </c>
      <c r="B26130">
        <f>TEXT(26129, "[$-0E0000]yyyy-mm-dd")</f>
        <v/>
      </c>
      <c r="C26130" t="inlineStr">
        <is>
          <t>1971-05-24</t>
        </is>
      </c>
    </row>
    <row r="26131">
      <c r="A26131" s="1" t="n">
        <v>26130</v>
      </c>
      <c r="B26131">
        <f>TEXT(26130, "[$-0E0000]yyyy-mm-dd")</f>
        <v/>
      </c>
      <c r="C26131" t="inlineStr">
        <is>
          <t>1971-05-25</t>
        </is>
      </c>
    </row>
    <row r="26132">
      <c r="A26132" s="1" t="n">
        <v>26131</v>
      </c>
      <c r="B26132">
        <f>TEXT(26131, "[$-0E0000]yyyy-mm-dd")</f>
        <v/>
      </c>
      <c r="C26132" t="inlineStr">
        <is>
          <t>1971-05-26</t>
        </is>
      </c>
    </row>
    <row r="26133">
      <c r="A26133" s="1" t="n">
        <v>26132</v>
      </c>
      <c r="B26133">
        <f>TEXT(26132, "[$-0E0000]yyyy-mm-dd")</f>
        <v/>
      </c>
      <c r="C26133" t="inlineStr">
        <is>
          <t>1971-05-27</t>
        </is>
      </c>
    </row>
    <row r="26134">
      <c r="A26134" s="1" t="n">
        <v>26133</v>
      </c>
      <c r="B26134">
        <f>TEXT(26133, "[$-0E0000]yyyy-mm-dd")</f>
        <v/>
      </c>
      <c r="C26134" t="inlineStr">
        <is>
          <t>1971-05-28</t>
        </is>
      </c>
    </row>
    <row r="26135">
      <c r="A26135" s="1" t="n">
        <v>26134</v>
      </c>
      <c r="B26135">
        <f>TEXT(26134, "[$-0E0000]yyyy-mm-dd")</f>
        <v/>
      </c>
      <c r="C26135" t="inlineStr">
        <is>
          <t>1971-05-29</t>
        </is>
      </c>
    </row>
    <row r="26136">
      <c r="A26136" s="1" t="n">
        <v>26135</v>
      </c>
      <c r="B26136">
        <f>TEXT(26135, "[$-0E0000]yyyy-mm-dd")</f>
        <v/>
      </c>
      <c r="C26136" t="inlineStr">
        <is>
          <t>1971-06-01</t>
        </is>
      </c>
    </row>
    <row r="26137">
      <c r="A26137" s="1" t="n">
        <v>26136</v>
      </c>
      <c r="B26137">
        <f>TEXT(26136, "[$-0E0000]yyyy-mm-dd")</f>
        <v/>
      </c>
      <c r="C26137" t="inlineStr">
        <is>
          <t>1971-06-02</t>
        </is>
      </c>
    </row>
    <row r="26138">
      <c r="A26138" s="1" t="n">
        <v>26137</v>
      </c>
      <c r="B26138">
        <f>TEXT(26137, "[$-0E0000]yyyy-mm-dd")</f>
        <v/>
      </c>
      <c r="C26138" t="inlineStr">
        <is>
          <t>1971-06-03</t>
        </is>
      </c>
    </row>
    <row r="26139">
      <c r="A26139" s="1" t="n">
        <v>26138</v>
      </c>
      <c r="B26139">
        <f>TEXT(26138, "[$-0E0000]yyyy-mm-dd")</f>
        <v/>
      </c>
      <c r="C26139" t="inlineStr">
        <is>
          <t>1971-06-04</t>
        </is>
      </c>
    </row>
    <row r="26140">
      <c r="A26140" s="1" t="n">
        <v>26139</v>
      </c>
      <c r="B26140">
        <f>TEXT(26139, "[$-0E0000]yyyy-mm-dd")</f>
        <v/>
      </c>
      <c r="C26140" t="inlineStr">
        <is>
          <t>1971-06-05</t>
        </is>
      </c>
    </row>
    <row r="26141">
      <c r="A26141" s="1" t="n">
        <v>26140</v>
      </c>
      <c r="B26141">
        <f>TEXT(26140, "[$-0E0000]yyyy-mm-dd")</f>
        <v/>
      </c>
      <c r="C26141" t="inlineStr">
        <is>
          <t>1971-06-06</t>
        </is>
      </c>
    </row>
    <row r="26142">
      <c r="A26142" s="1" t="n">
        <v>26141</v>
      </c>
      <c r="B26142">
        <f>TEXT(26141, "[$-0E0000]yyyy-mm-dd")</f>
        <v/>
      </c>
      <c r="C26142" t="inlineStr">
        <is>
          <t>1971-06-07</t>
        </is>
      </c>
    </row>
    <row r="26143">
      <c r="A26143" s="1" t="n">
        <v>26142</v>
      </c>
      <c r="B26143">
        <f>TEXT(26142, "[$-0E0000]yyyy-mm-dd")</f>
        <v/>
      </c>
      <c r="C26143" t="inlineStr">
        <is>
          <t>1971-06-08</t>
        </is>
      </c>
    </row>
    <row r="26144">
      <c r="A26144" s="1" t="n">
        <v>26143</v>
      </c>
      <c r="B26144">
        <f>TEXT(26143, "[$-0E0000]yyyy-mm-dd")</f>
        <v/>
      </c>
      <c r="C26144" t="inlineStr">
        <is>
          <t>1971-06-09</t>
        </is>
      </c>
    </row>
    <row r="26145">
      <c r="A26145" s="1" t="n">
        <v>26144</v>
      </c>
      <c r="B26145">
        <f>TEXT(26144, "[$-0E0000]yyyy-mm-dd")</f>
        <v/>
      </c>
      <c r="C26145" t="inlineStr">
        <is>
          <t>1971-06-10</t>
        </is>
      </c>
    </row>
    <row r="26146">
      <c r="A26146" s="1" t="n">
        <v>26145</v>
      </c>
      <c r="B26146">
        <f>TEXT(26145, "[$-0E0000]yyyy-mm-dd")</f>
        <v/>
      </c>
      <c r="C26146" t="inlineStr">
        <is>
          <t>1971-06-11</t>
        </is>
      </c>
    </row>
    <row r="26147">
      <c r="A26147" s="1" t="n">
        <v>26146</v>
      </c>
      <c r="B26147">
        <f>TEXT(26146, "[$-0E0000]yyyy-mm-dd")</f>
        <v/>
      </c>
      <c r="C26147" t="inlineStr">
        <is>
          <t>1971-06-12</t>
        </is>
      </c>
    </row>
    <row r="26148">
      <c r="A26148" s="1" t="n">
        <v>26147</v>
      </c>
      <c r="B26148">
        <f>TEXT(26147, "[$-0E0000]yyyy-mm-dd")</f>
        <v/>
      </c>
      <c r="C26148" t="inlineStr">
        <is>
          <t>1971-06-13</t>
        </is>
      </c>
    </row>
    <row r="26149">
      <c r="A26149" s="1" t="n">
        <v>26148</v>
      </c>
      <c r="B26149">
        <f>TEXT(26148, "[$-0E0000]yyyy-mm-dd")</f>
        <v/>
      </c>
      <c r="C26149" t="inlineStr">
        <is>
          <t>1971-06-14</t>
        </is>
      </c>
    </row>
    <row r="26150">
      <c r="A26150" s="1" t="n">
        <v>26149</v>
      </c>
      <c r="B26150">
        <f>TEXT(26149, "[$-0E0000]yyyy-mm-dd")</f>
        <v/>
      </c>
      <c r="C26150" t="inlineStr">
        <is>
          <t>1971-06-15</t>
        </is>
      </c>
    </row>
    <row r="26151">
      <c r="A26151" s="1" t="n">
        <v>26150</v>
      </c>
      <c r="B26151">
        <f>TEXT(26150, "[$-0E0000]yyyy-mm-dd")</f>
        <v/>
      </c>
      <c r="C26151" t="inlineStr">
        <is>
          <t>1971-06-16</t>
        </is>
      </c>
    </row>
    <row r="26152">
      <c r="A26152" s="1" t="n">
        <v>26151</v>
      </c>
      <c r="B26152">
        <f>TEXT(26151, "[$-0E0000]yyyy-mm-dd")</f>
        <v/>
      </c>
      <c r="C26152" t="inlineStr">
        <is>
          <t>1971-06-17</t>
        </is>
      </c>
    </row>
    <row r="26153">
      <c r="A26153" s="1" t="n">
        <v>26152</v>
      </c>
      <c r="B26153">
        <f>TEXT(26152, "[$-0E0000]yyyy-mm-dd")</f>
        <v/>
      </c>
      <c r="C26153" t="inlineStr">
        <is>
          <t>1971-06-18</t>
        </is>
      </c>
    </row>
    <row r="26154">
      <c r="A26154" s="1" t="n">
        <v>26153</v>
      </c>
      <c r="B26154">
        <f>TEXT(26153, "[$-0E0000]yyyy-mm-dd")</f>
        <v/>
      </c>
      <c r="C26154" t="inlineStr">
        <is>
          <t>1971-06-19</t>
        </is>
      </c>
    </row>
    <row r="26155">
      <c r="A26155" s="1" t="n">
        <v>26154</v>
      </c>
      <c r="B26155">
        <f>TEXT(26154, "[$-0E0000]yyyy-mm-dd")</f>
        <v/>
      </c>
      <c r="C26155" t="inlineStr">
        <is>
          <t>1971-06-20</t>
        </is>
      </c>
    </row>
    <row r="26156">
      <c r="A26156" s="1" t="n">
        <v>26155</v>
      </c>
      <c r="B26156">
        <f>TEXT(26155, "[$-0E0000]yyyy-mm-dd")</f>
        <v/>
      </c>
      <c r="C26156" t="inlineStr">
        <is>
          <t>1971-06-21</t>
        </is>
      </c>
    </row>
    <row r="26157">
      <c r="A26157" s="1" t="n">
        <v>26156</v>
      </c>
      <c r="B26157">
        <f>TEXT(26156, "[$-0E0000]yyyy-mm-dd")</f>
        <v/>
      </c>
      <c r="C26157" t="inlineStr">
        <is>
          <t>1971-06-22</t>
        </is>
      </c>
    </row>
    <row r="26158">
      <c r="A26158" s="1" t="n">
        <v>26157</v>
      </c>
      <c r="B26158">
        <f>TEXT(26157, "[$-0E0000]yyyy-mm-dd")</f>
        <v/>
      </c>
      <c r="C26158" t="inlineStr">
        <is>
          <t>1971-06-23</t>
        </is>
      </c>
    </row>
    <row r="26159">
      <c r="A26159" s="1" t="n">
        <v>26158</v>
      </c>
      <c r="B26159">
        <f>TEXT(26158, "[$-0E0000]yyyy-mm-dd")</f>
        <v/>
      </c>
      <c r="C26159" t="inlineStr">
        <is>
          <t>1971-06-24</t>
        </is>
      </c>
    </row>
    <row r="26160">
      <c r="A26160" s="1" t="n">
        <v>26159</v>
      </c>
      <c r="B26160">
        <f>TEXT(26159, "[$-0E0000]yyyy-mm-dd")</f>
        <v/>
      </c>
      <c r="C26160" t="inlineStr">
        <is>
          <t>1971-06-25</t>
        </is>
      </c>
    </row>
    <row r="26161">
      <c r="A26161" s="1" t="n">
        <v>26160</v>
      </c>
      <c r="B26161">
        <f>TEXT(26160, "[$-0E0000]yyyy-mm-dd")</f>
        <v/>
      </c>
      <c r="C26161" t="inlineStr">
        <is>
          <t>1971-06-26</t>
        </is>
      </c>
    </row>
    <row r="26162">
      <c r="A26162" s="1" t="n">
        <v>26161</v>
      </c>
      <c r="B26162">
        <f>TEXT(26161, "[$-0E0000]yyyy-mm-dd")</f>
        <v/>
      </c>
      <c r="C26162" t="inlineStr">
        <is>
          <t>1971-06-27</t>
        </is>
      </c>
    </row>
    <row r="26163">
      <c r="A26163" s="1" t="n">
        <v>26162</v>
      </c>
      <c r="B26163">
        <f>TEXT(26162, "[$-0E0000]yyyy-mm-dd")</f>
        <v/>
      </c>
      <c r="C26163" t="inlineStr">
        <is>
          <t>1971-06-28</t>
        </is>
      </c>
    </row>
    <row r="26164">
      <c r="A26164" s="1" t="n">
        <v>26163</v>
      </c>
      <c r="B26164">
        <f>TEXT(26163, "[$-0E0000]yyyy-mm-dd")</f>
        <v/>
      </c>
      <c r="C26164" t="inlineStr">
        <is>
          <t>1971-06-29</t>
        </is>
      </c>
    </row>
    <row r="26165">
      <c r="A26165" s="1" t="n">
        <v>26164</v>
      </c>
      <c r="B26165">
        <f>TEXT(26164, "[$-0E0000]yyyy-mm-dd")</f>
        <v/>
      </c>
      <c r="C26165" t="inlineStr">
        <is>
          <t>1971-06-30</t>
        </is>
      </c>
    </row>
    <row r="26166">
      <c r="A26166" s="1" t="n">
        <v>26165</v>
      </c>
      <c r="B26166">
        <f>TEXT(26165, "[$-0E0000]yyyy-mm-dd")</f>
        <v/>
      </c>
      <c r="C26166" t="inlineStr">
        <is>
          <t>1971-07-01</t>
        </is>
      </c>
    </row>
    <row r="26167">
      <c r="A26167" s="1" t="n">
        <v>26166</v>
      </c>
      <c r="B26167">
        <f>TEXT(26166, "[$-0E0000]yyyy-mm-dd")</f>
        <v/>
      </c>
      <c r="C26167" t="inlineStr">
        <is>
          <t>1971-07-02</t>
        </is>
      </c>
    </row>
    <row r="26168">
      <c r="A26168" s="1" t="n">
        <v>26167</v>
      </c>
      <c r="B26168">
        <f>TEXT(26167, "[$-0E0000]yyyy-mm-dd")</f>
        <v/>
      </c>
      <c r="C26168" t="inlineStr">
        <is>
          <t>1971-07-03</t>
        </is>
      </c>
    </row>
    <row r="26169">
      <c r="A26169" s="1" t="n">
        <v>26168</v>
      </c>
      <c r="B26169">
        <f>TEXT(26168, "[$-0E0000]yyyy-mm-dd")</f>
        <v/>
      </c>
      <c r="C26169" t="inlineStr">
        <is>
          <t>1971-07-04</t>
        </is>
      </c>
    </row>
    <row r="26170">
      <c r="A26170" s="1" t="n">
        <v>26169</v>
      </c>
      <c r="B26170">
        <f>TEXT(26169, "[$-0E0000]yyyy-mm-dd")</f>
        <v/>
      </c>
      <c r="C26170" t="inlineStr">
        <is>
          <t>1971-07-05</t>
        </is>
      </c>
    </row>
    <row r="26171">
      <c r="A26171" s="1" t="n">
        <v>26170</v>
      </c>
      <c r="B26171">
        <f>TEXT(26170, "[$-0E0000]yyyy-mm-dd")</f>
        <v/>
      </c>
      <c r="C26171" t="inlineStr">
        <is>
          <t>1971-07-06</t>
        </is>
      </c>
    </row>
    <row r="26172">
      <c r="A26172" s="1" t="n">
        <v>26171</v>
      </c>
      <c r="B26172">
        <f>TEXT(26171, "[$-0E0000]yyyy-mm-dd")</f>
        <v/>
      </c>
      <c r="C26172" t="inlineStr">
        <is>
          <t>1971-07-07</t>
        </is>
      </c>
    </row>
    <row r="26173">
      <c r="A26173" s="1" t="n">
        <v>26172</v>
      </c>
      <c r="B26173">
        <f>TEXT(26172, "[$-0E0000]yyyy-mm-dd")</f>
        <v/>
      </c>
      <c r="C26173" t="inlineStr">
        <is>
          <t>1971-07-08</t>
        </is>
      </c>
    </row>
    <row r="26174">
      <c r="A26174" s="1" t="n">
        <v>26173</v>
      </c>
      <c r="B26174">
        <f>TEXT(26173, "[$-0E0000]yyyy-mm-dd")</f>
        <v/>
      </c>
      <c r="C26174" t="inlineStr">
        <is>
          <t>1971-07-09</t>
        </is>
      </c>
    </row>
    <row r="26175">
      <c r="A26175" s="1" t="n">
        <v>26174</v>
      </c>
      <c r="B26175">
        <f>TEXT(26174, "[$-0E0000]yyyy-mm-dd")</f>
        <v/>
      </c>
      <c r="C26175" t="inlineStr">
        <is>
          <t>1971-07-10</t>
        </is>
      </c>
    </row>
    <row r="26176">
      <c r="A26176" s="1" t="n">
        <v>26175</v>
      </c>
      <c r="B26176">
        <f>TEXT(26175, "[$-0E0000]yyyy-mm-dd")</f>
        <v/>
      </c>
      <c r="C26176" t="inlineStr">
        <is>
          <t>1971-07-11</t>
        </is>
      </c>
    </row>
    <row r="26177">
      <c r="A26177" s="1" t="n">
        <v>26176</v>
      </c>
      <c r="B26177">
        <f>TEXT(26176, "[$-0E0000]yyyy-mm-dd")</f>
        <v/>
      </c>
      <c r="C26177" t="inlineStr">
        <is>
          <t>1971-07-12</t>
        </is>
      </c>
    </row>
    <row r="26178">
      <c r="A26178" s="1" t="n">
        <v>26177</v>
      </c>
      <c r="B26178">
        <f>TEXT(26177, "[$-0E0000]yyyy-mm-dd")</f>
        <v/>
      </c>
      <c r="C26178" t="inlineStr">
        <is>
          <t>1971-07-13</t>
        </is>
      </c>
    </row>
    <row r="26179">
      <c r="A26179" s="1" t="n">
        <v>26178</v>
      </c>
      <c r="B26179">
        <f>TEXT(26178, "[$-0E0000]yyyy-mm-dd")</f>
        <v/>
      </c>
      <c r="C26179" t="inlineStr">
        <is>
          <t>1971-07-14</t>
        </is>
      </c>
    </row>
    <row r="26180">
      <c r="A26180" s="1" t="n">
        <v>26179</v>
      </c>
      <c r="B26180">
        <f>TEXT(26179, "[$-0E0000]yyyy-mm-dd")</f>
        <v/>
      </c>
      <c r="C26180" t="inlineStr">
        <is>
          <t>1971-07-15</t>
        </is>
      </c>
    </row>
    <row r="26181">
      <c r="A26181" s="1" t="n">
        <v>26180</v>
      </c>
      <c r="B26181">
        <f>TEXT(26180, "[$-0E0000]yyyy-mm-dd")</f>
        <v/>
      </c>
      <c r="C26181" t="inlineStr">
        <is>
          <t>1971-07-16</t>
        </is>
      </c>
    </row>
    <row r="26182">
      <c r="A26182" s="1" t="n">
        <v>26181</v>
      </c>
      <c r="B26182">
        <f>TEXT(26181, "[$-0E0000]yyyy-mm-dd")</f>
        <v/>
      </c>
      <c r="C26182" t="inlineStr">
        <is>
          <t>1971-07-17</t>
        </is>
      </c>
    </row>
    <row r="26183">
      <c r="A26183" s="1" t="n">
        <v>26182</v>
      </c>
      <c r="B26183">
        <f>TEXT(26182, "[$-0E0000]yyyy-mm-dd")</f>
        <v/>
      </c>
      <c r="C26183" t="inlineStr">
        <is>
          <t>1971-07-18</t>
        </is>
      </c>
    </row>
    <row r="26184">
      <c r="A26184" s="1" t="n">
        <v>26183</v>
      </c>
      <c r="B26184">
        <f>TEXT(26183, "[$-0E0000]yyyy-mm-dd")</f>
        <v/>
      </c>
      <c r="C26184" t="inlineStr">
        <is>
          <t>1971-07-19</t>
        </is>
      </c>
    </row>
    <row r="26185">
      <c r="A26185" s="1" t="n">
        <v>26184</v>
      </c>
      <c r="B26185">
        <f>TEXT(26184, "[$-0E0000]yyyy-mm-dd")</f>
        <v/>
      </c>
      <c r="C26185" t="inlineStr">
        <is>
          <t>1971-07-20</t>
        </is>
      </c>
    </row>
    <row r="26186">
      <c r="A26186" s="1" t="n">
        <v>26185</v>
      </c>
      <c r="B26186">
        <f>TEXT(26185, "[$-0E0000]yyyy-mm-dd")</f>
        <v/>
      </c>
      <c r="C26186" t="inlineStr">
        <is>
          <t>1971-07-21</t>
        </is>
      </c>
    </row>
    <row r="26187">
      <c r="A26187" s="1" t="n">
        <v>26186</v>
      </c>
      <c r="B26187">
        <f>TEXT(26186, "[$-0E0000]yyyy-mm-dd")</f>
        <v/>
      </c>
      <c r="C26187" t="inlineStr">
        <is>
          <t>1971-07-22</t>
        </is>
      </c>
    </row>
    <row r="26188">
      <c r="A26188" s="1" t="n">
        <v>26187</v>
      </c>
      <c r="B26188">
        <f>TEXT(26187, "[$-0E0000]yyyy-mm-dd")</f>
        <v/>
      </c>
      <c r="C26188" t="inlineStr">
        <is>
          <t>1971-07-23</t>
        </is>
      </c>
    </row>
    <row r="26189">
      <c r="A26189" s="1" t="n">
        <v>26188</v>
      </c>
      <c r="B26189">
        <f>TEXT(26188, "[$-0E0000]yyyy-mm-dd")</f>
        <v/>
      </c>
      <c r="C26189" t="inlineStr">
        <is>
          <t>1971-07-24</t>
        </is>
      </c>
    </row>
    <row r="26190">
      <c r="A26190" s="1" t="n">
        <v>26189</v>
      </c>
      <c r="B26190">
        <f>TEXT(26189, "[$-0E0000]yyyy-mm-dd")</f>
        <v/>
      </c>
      <c r="C26190" t="inlineStr">
        <is>
          <t>1971-07-25</t>
        </is>
      </c>
    </row>
    <row r="26191">
      <c r="A26191" s="1" t="n">
        <v>26190</v>
      </c>
      <c r="B26191">
        <f>TEXT(26190, "[$-0E0000]yyyy-mm-dd")</f>
        <v/>
      </c>
      <c r="C26191" t="inlineStr">
        <is>
          <t>1971-07-26</t>
        </is>
      </c>
    </row>
    <row r="26192">
      <c r="A26192" s="1" t="n">
        <v>26191</v>
      </c>
      <c r="B26192">
        <f>TEXT(26191, "[$-0E0000]yyyy-mm-dd")</f>
        <v/>
      </c>
      <c r="C26192" t="inlineStr">
        <is>
          <t>1971-07-27</t>
        </is>
      </c>
    </row>
    <row r="26193">
      <c r="A26193" s="1" t="n">
        <v>26192</v>
      </c>
      <c r="B26193">
        <f>TEXT(26192, "[$-0E0000]yyyy-mm-dd")</f>
        <v/>
      </c>
      <c r="C26193" t="inlineStr">
        <is>
          <t>1971-07-28</t>
        </is>
      </c>
    </row>
    <row r="26194">
      <c r="A26194" s="1" t="n">
        <v>26193</v>
      </c>
      <c r="B26194">
        <f>TEXT(26193, "[$-0E0000]yyyy-mm-dd")</f>
        <v/>
      </c>
      <c r="C26194" t="inlineStr">
        <is>
          <t>1971-07-29</t>
        </is>
      </c>
    </row>
    <row r="26195">
      <c r="A26195" s="1" t="n">
        <v>26194</v>
      </c>
      <c r="B26195">
        <f>TEXT(26194, "[$-0E0000]yyyy-mm-dd")</f>
        <v/>
      </c>
      <c r="C26195" t="inlineStr">
        <is>
          <t>1971-08-01</t>
        </is>
      </c>
    </row>
    <row r="26196">
      <c r="A26196" s="1" t="n">
        <v>26195</v>
      </c>
      <c r="B26196">
        <f>TEXT(26195, "[$-0E0000]yyyy-mm-dd")</f>
        <v/>
      </c>
      <c r="C26196" t="inlineStr">
        <is>
          <t>1971-08-02</t>
        </is>
      </c>
    </row>
    <row r="26197">
      <c r="A26197" s="1" t="n">
        <v>26196</v>
      </c>
      <c r="B26197">
        <f>TEXT(26196, "[$-0E0000]yyyy-mm-dd")</f>
        <v/>
      </c>
      <c r="C26197" t="inlineStr">
        <is>
          <t>1971-08-03</t>
        </is>
      </c>
    </row>
    <row r="26198">
      <c r="A26198" s="1" t="n">
        <v>26197</v>
      </c>
      <c r="B26198">
        <f>TEXT(26197, "[$-0E0000]yyyy-mm-dd")</f>
        <v/>
      </c>
      <c r="C26198" t="inlineStr">
        <is>
          <t>1971-08-04</t>
        </is>
      </c>
    </row>
    <row r="26199">
      <c r="A26199" s="1" t="n">
        <v>26198</v>
      </c>
      <c r="B26199">
        <f>TEXT(26198, "[$-0E0000]yyyy-mm-dd")</f>
        <v/>
      </c>
      <c r="C26199" t="inlineStr">
        <is>
          <t>1971-08-05</t>
        </is>
      </c>
    </row>
    <row r="26200">
      <c r="A26200" s="1" t="n">
        <v>26199</v>
      </c>
      <c r="B26200">
        <f>TEXT(26199, "[$-0E0000]yyyy-mm-dd")</f>
        <v/>
      </c>
      <c r="C26200" t="inlineStr">
        <is>
          <t>1971-08-06</t>
        </is>
      </c>
    </row>
    <row r="26201">
      <c r="A26201" s="1" t="n">
        <v>26200</v>
      </c>
      <c r="B26201">
        <f>TEXT(26200, "[$-0E0000]yyyy-mm-dd")</f>
        <v/>
      </c>
      <c r="C26201" t="inlineStr">
        <is>
          <t>1971-08-07</t>
        </is>
      </c>
    </row>
    <row r="26202">
      <c r="A26202" s="1" t="n">
        <v>26201</v>
      </c>
      <c r="B26202">
        <f>TEXT(26201, "[$-0E0000]yyyy-mm-dd")</f>
        <v/>
      </c>
      <c r="C26202" t="inlineStr">
        <is>
          <t>1971-08-08</t>
        </is>
      </c>
    </row>
    <row r="26203">
      <c r="A26203" s="1" t="n">
        <v>26202</v>
      </c>
      <c r="B26203">
        <f>TEXT(26202, "[$-0E0000]yyyy-mm-dd")</f>
        <v/>
      </c>
      <c r="C26203" t="inlineStr">
        <is>
          <t>1971-08-09</t>
        </is>
      </c>
    </row>
    <row r="26204">
      <c r="A26204" s="1" t="n">
        <v>26203</v>
      </c>
      <c r="B26204">
        <f>TEXT(26203, "[$-0E0000]yyyy-mm-dd")</f>
        <v/>
      </c>
      <c r="C26204" t="inlineStr">
        <is>
          <t>1971-08-10</t>
        </is>
      </c>
    </row>
    <row r="26205">
      <c r="A26205" s="1" t="n">
        <v>26204</v>
      </c>
      <c r="B26205">
        <f>TEXT(26204, "[$-0E0000]yyyy-mm-dd")</f>
        <v/>
      </c>
      <c r="C26205" t="inlineStr">
        <is>
          <t>1971-08-11</t>
        </is>
      </c>
    </row>
    <row r="26206">
      <c r="A26206" s="1" t="n">
        <v>26205</v>
      </c>
      <c r="B26206">
        <f>TEXT(26205, "[$-0E0000]yyyy-mm-dd")</f>
        <v/>
      </c>
      <c r="C26206" t="inlineStr">
        <is>
          <t>1971-08-12</t>
        </is>
      </c>
    </row>
    <row r="26207">
      <c r="A26207" s="1" t="n">
        <v>26206</v>
      </c>
      <c r="B26207">
        <f>TEXT(26206, "[$-0E0000]yyyy-mm-dd")</f>
        <v/>
      </c>
      <c r="C26207" t="inlineStr">
        <is>
          <t>1971-08-13</t>
        </is>
      </c>
    </row>
    <row r="26208">
      <c r="A26208" s="1" t="n">
        <v>26207</v>
      </c>
      <c r="B26208">
        <f>TEXT(26207, "[$-0E0000]yyyy-mm-dd")</f>
        <v/>
      </c>
      <c r="C26208" t="inlineStr">
        <is>
          <t>1971-08-14</t>
        </is>
      </c>
    </row>
    <row r="26209">
      <c r="A26209" s="1" t="n">
        <v>26208</v>
      </c>
      <c r="B26209">
        <f>TEXT(26208, "[$-0E0000]yyyy-mm-dd")</f>
        <v/>
      </c>
      <c r="C26209" t="inlineStr">
        <is>
          <t>1971-08-15</t>
        </is>
      </c>
    </row>
    <row r="26210">
      <c r="A26210" s="1" t="n">
        <v>26209</v>
      </c>
      <c r="B26210">
        <f>TEXT(26209, "[$-0E0000]yyyy-mm-dd")</f>
        <v/>
      </c>
      <c r="C26210" t="inlineStr">
        <is>
          <t>1971-08-16</t>
        </is>
      </c>
    </row>
    <row r="26211">
      <c r="A26211" s="1" t="n">
        <v>26210</v>
      </c>
      <c r="B26211">
        <f>TEXT(26210, "[$-0E0000]yyyy-mm-dd")</f>
        <v/>
      </c>
      <c r="C26211" t="inlineStr">
        <is>
          <t>1971-08-17</t>
        </is>
      </c>
    </row>
    <row r="26212">
      <c r="A26212" s="1" t="n">
        <v>26211</v>
      </c>
      <c r="B26212">
        <f>TEXT(26211, "[$-0E0000]yyyy-mm-dd")</f>
        <v/>
      </c>
      <c r="C26212" t="inlineStr">
        <is>
          <t>1971-08-18</t>
        </is>
      </c>
    </row>
    <row r="26213">
      <c r="A26213" s="1" t="n">
        <v>26212</v>
      </c>
      <c r="B26213">
        <f>TEXT(26212, "[$-0E0000]yyyy-mm-dd")</f>
        <v/>
      </c>
      <c r="C26213" t="inlineStr">
        <is>
          <t>1971-08-19</t>
        </is>
      </c>
    </row>
    <row r="26214">
      <c r="A26214" s="1" t="n">
        <v>26213</v>
      </c>
      <c r="B26214">
        <f>TEXT(26213, "[$-0E0000]yyyy-mm-dd")</f>
        <v/>
      </c>
      <c r="C26214" t="inlineStr">
        <is>
          <t>1971-08-20</t>
        </is>
      </c>
    </row>
    <row r="26215">
      <c r="A26215" s="1" t="n">
        <v>26214</v>
      </c>
      <c r="B26215">
        <f>TEXT(26214, "[$-0E0000]yyyy-mm-dd")</f>
        <v/>
      </c>
      <c r="C26215" t="inlineStr">
        <is>
          <t>1971-08-21</t>
        </is>
      </c>
    </row>
    <row r="26216">
      <c r="A26216" s="1" t="n">
        <v>26215</v>
      </c>
      <c r="B26216">
        <f>TEXT(26215, "[$-0E0000]yyyy-mm-dd")</f>
        <v/>
      </c>
      <c r="C26216" t="inlineStr">
        <is>
          <t>1971-08-22</t>
        </is>
      </c>
    </row>
    <row r="26217">
      <c r="A26217" s="1" t="n">
        <v>26216</v>
      </c>
      <c r="B26217">
        <f>TEXT(26216, "[$-0E0000]yyyy-mm-dd")</f>
        <v/>
      </c>
      <c r="C26217" t="inlineStr">
        <is>
          <t>1971-08-23</t>
        </is>
      </c>
    </row>
    <row r="26218">
      <c r="A26218" s="1" t="n">
        <v>26217</v>
      </c>
      <c r="B26218">
        <f>TEXT(26217, "[$-0E0000]yyyy-mm-dd")</f>
        <v/>
      </c>
      <c r="C26218" t="inlineStr">
        <is>
          <t>1971-08-24</t>
        </is>
      </c>
    </row>
    <row r="26219">
      <c r="A26219" s="1" t="n">
        <v>26218</v>
      </c>
      <c r="B26219">
        <f>TEXT(26218, "[$-0E0000]yyyy-mm-dd")</f>
        <v/>
      </c>
      <c r="C26219" t="inlineStr">
        <is>
          <t>1971-08-25</t>
        </is>
      </c>
    </row>
    <row r="26220">
      <c r="A26220" s="1" t="n">
        <v>26219</v>
      </c>
      <c r="B26220">
        <f>TEXT(26219, "[$-0E0000]yyyy-mm-dd")</f>
        <v/>
      </c>
      <c r="C26220" t="inlineStr">
        <is>
          <t>1971-08-26</t>
        </is>
      </c>
    </row>
    <row r="26221">
      <c r="A26221" s="1" t="n">
        <v>26220</v>
      </c>
      <c r="B26221">
        <f>TEXT(26220, "[$-0E0000]yyyy-mm-dd")</f>
        <v/>
      </c>
      <c r="C26221" t="inlineStr">
        <is>
          <t>1971-08-27</t>
        </is>
      </c>
    </row>
    <row r="26222">
      <c r="A26222" s="1" t="n">
        <v>26221</v>
      </c>
      <c r="B26222">
        <f>TEXT(26221, "[$-0E0000]yyyy-mm-dd")</f>
        <v/>
      </c>
      <c r="C26222" t="inlineStr">
        <is>
          <t>1971-08-28</t>
        </is>
      </c>
    </row>
    <row r="26223">
      <c r="A26223" s="1" t="n">
        <v>26222</v>
      </c>
      <c r="B26223">
        <f>TEXT(26222, "[$-0E0000]yyyy-mm-dd")</f>
        <v/>
      </c>
      <c r="C26223" t="inlineStr">
        <is>
          <t>1971-08-29</t>
        </is>
      </c>
    </row>
    <row r="26224">
      <c r="A26224" s="1" t="n">
        <v>26223</v>
      </c>
      <c r="B26224">
        <f>TEXT(26223, "[$-0E0000]yyyy-mm-dd")</f>
        <v/>
      </c>
      <c r="C26224" t="inlineStr">
        <is>
          <t>1971-08-30</t>
        </is>
      </c>
    </row>
    <row r="26225">
      <c r="A26225" s="1" t="n">
        <v>26224</v>
      </c>
      <c r="B26225">
        <f>TEXT(26224, "[$-0E0000]yyyy-mm-dd")</f>
        <v/>
      </c>
      <c r="C26225" t="inlineStr">
        <is>
          <t>1971-09-01</t>
        </is>
      </c>
    </row>
    <row r="26226">
      <c r="A26226" s="1" t="n">
        <v>26225</v>
      </c>
      <c r="B26226">
        <f>TEXT(26225, "[$-0E0000]yyyy-mm-dd")</f>
        <v/>
      </c>
      <c r="C26226" t="inlineStr">
        <is>
          <t>1971-09-02</t>
        </is>
      </c>
    </row>
    <row r="26227">
      <c r="A26227" s="1" t="n">
        <v>26226</v>
      </c>
      <c r="B26227">
        <f>TEXT(26226, "[$-0E0000]yyyy-mm-dd")</f>
        <v/>
      </c>
      <c r="C26227" t="inlineStr">
        <is>
          <t>1971-09-03</t>
        </is>
      </c>
    </row>
    <row r="26228">
      <c r="A26228" s="1" t="n">
        <v>26227</v>
      </c>
      <c r="B26228">
        <f>TEXT(26227, "[$-0E0000]yyyy-mm-dd")</f>
        <v/>
      </c>
      <c r="C26228" t="inlineStr">
        <is>
          <t>1971-09-04</t>
        </is>
      </c>
    </row>
    <row r="26229">
      <c r="A26229" s="1" t="n">
        <v>26228</v>
      </c>
      <c r="B26229">
        <f>TEXT(26228, "[$-0E0000]yyyy-mm-dd")</f>
        <v/>
      </c>
      <c r="C26229" t="inlineStr">
        <is>
          <t>1971-09-05</t>
        </is>
      </c>
    </row>
    <row r="26230">
      <c r="A26230" s="1" t="n">
        <v>26229</v>
      </c>
      <c r="B26230">
        <f>TEXT(26229, "[$-0E0000]yyyy-mm-dd")</f>
        <v/>
      </c>
      <c r="C26230" t="inlineStr">
        <is>
          <t>1971-09-06</t>
        </is>
      </c>
    </row>
    <row r="26231">
      <c r="A26231" s="1" t="n">
        <v>26230</v>
      </c>
      <c r="B26231">
        <f>TEXT(26230, "[$-0E0000]yyyy-mm-dd")</f>
        <v/>
      </c>
      <c r="C26231" t="inlineStr">
        <is>
          <t>1971-09-07</t>
        </is>
      </c>
    </row>
    <row r="26232">
      <c r="A26232" s="1" t="n">
        <v>26231</v>
      </c>
      <c r="B26232">
        <f>TEXT(26231, "[$-0E0000]yyyy-mm-dd")</f>
        <v/>
      </c>
      <c r="C26232" t="inlineStr">
        <is>
          <t>1971-09-08</t>
        </is>
      </c>
    </row>
    <row r="26233">
      <c r="A26233" s="1" t="n">
        <v>26232</v>
      </c>
      <c r="B26233">
        <f>TEXT(26232, "[$-0E0000]yyyy-mm-dd")</f>
        <v/>
      </c>
      <c r="C26233" t="inlineStr">
        <is>
          <t>1971-09-09</t>
        </is>
      </c>
    </row>
    <row r="26234">
      <c r="A26234" s="1" t="n">
        <v>26233</v>
      </c>
      <c r="B26234">
        <f>TEXT(26233, "[$-0E0000]yyyy-mm-dd")</f>
        <v/>
      </c>
      <c r="C26234" t="inlineStr">
        <is>
          <t>1971-09-10</t>
        </is>
      </c>
    </row>
    <row r="26235">
      <c r="A26235" s="1" t="n">
        <v>26234</v>
      </c>
      <c r="B26235">
        <f>TEXT(26234, "[$-0E0000]yyyy-mm-dd")</f>
        <v/>
      </c>
      <c r="C26235" t="inlineStr">
        <is>
          <t>1971-09-11</t>
        </is>
      </c>
    </row>
    <row r="26236">
      <c r="A26236" s="1" t="n">
        <v>26235</v>
      </c>
      <c r="B26236">
        <f>TEXT(26235, "[$-0E0000]yyyy-mm-dd")</f>
        <v/>
      </c>
      <c r="C26236" t="inlineStr">
        <is>
          <t>1971-09-12</t>
        </is>
      </c>
    </row>
    <row r="26237">
      <c r="A26237" s="1" t="n">
        <v>26236</v>
      </c>
      <c r="B26237">
        <f>TEXT(26236, "[$-0E0000]yyyy-mm-dd")</f>
        <v/>
      </c>
      <c r="C26237" t="inlineStr">
        <is>
          <t>1971-09-13</t>
        </is>
      </c>
    </row>
    <row r="26238">
      <c r="A26238" s="1" t="n">
        <v>26237</v>
      </c>
      <c r="B26238">
        <f>TEXT(26237, "[$-0E0000]yyyy-mm-dd")</f>
        <v/>
      </c>
      <c r="C26238" t="inlineStr">
        <is>
          <t>1971-09-14</t>
        </is>
      </c>
    </row>
    <row r="26239">
      <c r="A26239" s="1" t="n">
        <v>26238</v>
      </c>
      <c r="B26239">
        <f>TEXT(26238, "[$-0E0000]yyyy-mm-dd")</f>
        <v/>
      </c>
      <c r="C26239" t="inlineStr">
        <is>
          <t>1971-09-15</t>
        </is>
      </c>
    </row>
    <row r="26240">
      <c r="A26240" s="1" t="n">
        <v>26239</v>
      </c>
      <c r="B26240">
        <f>TEXT(26239, "[$-0E0000]yyyy-mm-dd")</f>
        <v/>
      </c>
      <c r="C26240" t="inlineStr">
        <is>
          <t>1971-09-16</t>
        </is>
      </c>
    </row>
    <row r="26241">
      <c r="A26241" s="1" t="n">
        <v>26240</v>
      </c>
      <c r="B26241">
        <f>TEXT(26240, "[$-0E0000]yyyy-mm-dd")</f>
        <v/>
      </c>
      <c r="C26241" t="inlineStr">
        <is>
          <t>1971-09-17</t>
        </is>
      </c>
    </row>
    <row r="26242">
      <c r="A26242" s="1" t="n">
        <v>26241</v>
      </c>
      <c r="B26242">
        <f>TEXT(26241, "[$-0E0000]yyyy-mm-dd")</f>
        <v/>
      </c>
      <c r="C26242" t="inlineStr">
        <is>
          <t>1971-09-18</t>
        </is>
      </c>
    </row>
    <row r="26243">
      <c r="A26243" s="1" t="n">
        <v>26242</v>
      </c>
      <c r="B26243">
        <f>TEXT(26242, "[$-0E0000]yyyy-mm-dd")</f>
        <v/>
      </c>
      <c r="C26243" t="inlineStr">
        <is>
          <t>1971-09-19</t>
        </is>
      </c>
    </row>
    <row r="26244">
      <c r="A26244" s="1" t="n">
        <v>26243</v>
      </c>
      <c r="B26244">
        <f>TEXT(26243, "[$-0E0000]yyyy-mm-dd")</f>
        <v/>
      </c>
      <c r="C26244" t="inlineStr">
        <is>
          <t>1971-09-20</t>
        </is>
      </c>
    </row>
    <row r="26245">
      <c r="A26245" s="1" t="n">
        <v>26244</v>
      </c>
      <c r="B26245">
        <f>TEXT(26244, "[$-0E0000]yyyy-mm-dd")</f>
        <v/>
      </c>
      <c r="C26245" t="inlineStr">
        <is>
          <t>1971-09-21</t>
        </is>
      </c>
    </row>
    <row r="26246">
      <c r="A26246" s="1" t="n">
        <v>26245</v>
      </c>
      <c r="B26246">
        <f>TEXT(26245, "[$-0E0000]yyyy-mm-dd")</f>
        <v/>
      </c>
      <c r="C26246" t="inlineStr">
        <is>
          <t>1971-09-22</t>
        </is>
      </c>
    </row>
    <row r="26247">
      <c r="A26247" s="1" t="n">
        <v>26246</v>
      </c>
      <c r="B26247">
        <f>TEXT(26246, "[$-0E0000]yyyy-mm-dd")</f>
        <v/>
      </c>
      <c r="C26247" t="inlineStr">
        <is>
          <t>1971-09-23</t>
        </is>
      </c>
    </row>
    <row r="26248">
      <c r="A26248" s="1" t="n">
        <v>26247</v>
      </c>
      <c r="B26248">
        <f>TEXT(26247, "[$-0E0000]yyyy-mm-dd")</f>
        <v/>
      </c>
      <c r="C26248" t="inlineStr">
        <is>
          <t>1971-09-24</t>
        </is>
      </c>
    </row>
    <row r="26249">
      <c r="A26249" s="1" t="n">
        <v>26248</v>
      </c>
      <c r="B26249">
        <f>TEXT(26248, "[$-0E0000]yyyy-mm-dd")</f>
        <v/>
      </c>
      <c r="C26249" t="inlineStr">
        <is>
          <t>1971-09-25</t>
        </is>
      </c>
    </row>
    <row r="26250">
      <c r="A26250" s="1" t="n">
        <v>26249</v>
      </c>
      <c r="B26250">
        <f>TEXT(26249, "[$-0E0000]yyyy-mm-dd")</f>
        <v/>
      </c>
      <c r="C26250" t="inlineStr">
        <is>
          <t>1971-09-26</t>
        </is>
      </c>
    </row>
    <row r="26251">
      <c r="A26251" s="1" t="n">
        <v>26250</v>
      </c>
      <c r="B26251">
        <f>TEXT(26250, "[$-0E0000]yyyy-mm-dd")</f>
        <v/>
      </c>
      <c r="C26251" t="inlineStr">
        <is>
          <t>1971-09-27</t>
        </is>
      </c>
    </row>
    <row r="26252">
      <c r="A26252" s="1" t="n">
        <v>26251</v>
      </c>
      <c r="B26252">
        <f>TEXT(26251, "[$-0E0000]yyyy-mm-dd")</f>
        <v/>
      </c>
      <c r="C26252" t="inlineStr">
        <is>
          <t>1971-09-28</t>
        </is>
      </c>
    </row>
    <row r="26253">
      <c r="A26253" s="1" t="n">
        <v>26252</v>
      </c>
      <c r="B26253">
        <f>TEXT(26252, "[$-0E0000]yyyy-mm-dd")</f>
        <v/>
      </c>
      <c r="C26253" t="inlineStr">
        <is>
          <t>1971-09-29</t>
        </is>
      </c>
    </row>
    <row r="26254">
      <c r="A26254" s="1" t="n">
        <v>26253</v>
      </c>
      <c r="B26254">
        <f>TEXT(26253, "[$-0E0000]yyyy-mm-dd")</f>
        <v/>
      </c>
      <c r="C26254" t="inlineStr">
        <is>
          <t>1971-09-30</t>
        </is>
      </c>
    </row>
    <row r="26255">
      <c r="A26255" s="1" t="n">
        <v>26254</v>
      </c>
      <c r="B26255">
        <f>TEXT(26254, "[$-0E0000]yyyy-mm-dd")</f>
        <v/>
      </c>
      <c r="C26255" t="inlineStr">
        <is>
          <t>1971-10-01</t>
        </is>
      </c>
    </row>
    <row r="26256">
      <c r="A26256" s="1" t="n">
        <v>26255</v>
      </c>
      <c r="B26256">
        <f>TEXT(26255, "[$-0E0000]yyyy-mm-dd")</f>
        <v/>
      </c>
      <c r="C26256" t="inlineStr">
        <is>
          <t>1971-10-02</t>
        </is>
      </c>
    </row>
    <row r="26257">
      <c r="A26257" s="1" t="n">
        <v>26256</v>
      </c>
      <c r="B26257">
        <f>TEXT(26256, "[$-0E0000]yyyy-mm-dd")</f>
        <v/>
      </c>
      <c r="C26257" t="inlineStr">
        <is>
          <t>1971-10-03</t>
        </is>
      </c>
    </row>
    <row r="26258">
      <c r="A26258" s="1" t="n">
        <v>26257</v>
      </c>
      <c r="B26258">
        <f>TEXT(26257, "[$-0E0000]yyyy-mm-dd")</f>
        <v/>
      </c>
      <c r="C26258" t="inlineStr">
        <is>
          <t>1971-10-04</t>
        </is>
      </c>
    </row>
    <row r="26259">
      <c r="A26259" s="1" t="n">
        <v>26258</v>
      </c>
      <c r="B26259">
        <f>TEXT(26258, "[$-0E0000]yyyy-mm-dd")</f>
        <v/>
      </c>
      <c r="C26259" t="inlineStr">
        <is>
          <t>1971-10-05</t>
        </is>
      </c>
    </row>
    <row r="26260">
      <c r="A26260" s="1" t="n">
        <v>26259</v>
      </c>
      <c r="B26260">
        <f>TEXT(26259, "[$-0E0000]yyyy-mm-dd")</f>
        <v/>
      </c>
      <c r="C26260" t="inlineStr">
        <is>
          <t>1971-10-06</t>
        </is>
      </c>
    </row>
    <row r="26261">
      <c r="A26261" s="1" t="n">
        <v>26260</v>
      </c>
      <c r="B26261">
        <f>TEXT(26260, "[$-0E0000]yyyy-mm-dd")</f>
        <v/>
      </c>
      <c r="C26261" t="inlineStr">
        <is>
          <t>1971-10-07</t>
        </is>
      </c>
    </row>
    <row r="26262">
      <c r="A26262" s="1" t="n">
        <v>26261</v>
      </c>
      <c r="B26262">
        <f>TEXT(26261, "[$-0E0000]yyyy-mm-dd")</f>
        <v/>
      </c>
      <c r="C26262" t="inlineStr">
        <is>
          <t>1971-10-08</t>
        </is>
      </c>
    </row>
    <row r="26263">
      <c r="A26263" s="1" t="n">
        <v>26262</v>
      </c>
      <c r="B26263">
        <f>TEXT(26262, "[$-0E0000]yyyy-mm-dd")</f>
        <v/>
      </c>
      <c r="C26263" t="inlineStr">
        <is>
          <t>1971-10-09</t>
        </is>
      </c>
    </row>
    <row r="26264">
      <c r="A26264" s="1" t="n">
        <v>26263</v>
      </c>
      <c r="B26264">
        <f>TEXT(26263, "[$-0E0000]yyyy-mm-dd")</f>
        <v/>
      </c>
      <c r="C26264" t="inlineStr">
        <is>
          <t>1971-10-10</t>
        </is>
      </c>
    </row>
    <row r="26265">
      <c r="A26265" s="1" t="n">
        <v>26264</v>
      </c>
      <c r="B26265">
        <f>TEXT(26264, "[$-0E0000]yyyy-mm-dd")</f>
        <v/>
      </c>
      <c r="C26265" t="inlineStr">
        <is>
          <t>1971-10-11</t>
        </is>
      </c>
    </row>
    <row r="26266">
      <c r="A26266" s="1" t="n">
        <v>26265</v>
      </c>
      <c r="B26266">
        <f>TEXT(26265, "[$-0E0000]yyyy-mm-dd")</f>
        <v/>
      </c>
      <c r="C26266" t="inlineStr">
        <is>
          <t>1971-10-12</t>
        </is>
      </c>
    </row>
    <row r="26267">
      <c r="A26267" s="1" t="n">
        <v>26266</v>
      </c>
      <c r="B26267">
        <f>TEXT(26266, "[$-0E0000]yyyy-mm-dd")</f>
        <v/>
      </c>
      <c r="C26267" t="inlineStr">
        <is>
          <t>1971-10-13</t>
        </is>
      </c>
    </row>
    <row r="26268">
      <c r="A26268" s="1" t="n">
        <v>26267</v>
      </c>
      <c r="B26268">
        <f>TEXT(26267, "[$-0E0000]yyyy-mm-dd")</f>
        <v/>
      </c>
      <c r="C26268" t="inlineStr">
        <is>
          <t>1971-10-14</t>
        </is>
      </c>
    </row>
    <row r="26269">
      <c r="A26269" s="1" t="n">
        <v>26268</v>
      </c>
      <c r="B26269">
        <f>TEXT(26268, "[$-0E0000]yyyy-mm-dd")</f>
        <v/>
      </c>
      <c r="C26269" t="inlineStr">
        <is>
          <t>1971-10-15</t>
        </is>
      </c>
    </row>
    <row r="26270">
      <c r="A26270" s="1" t="n">
        <v>26269</v>
      </c>
      <c r="B26270">
        <f>TEXT(26269, "[$-0E0000]yyyy-mm-dd")</f>
        <v/>
      </c>
      <c r="C26270" t="inlineStr">
        <is>
          <t>1971-10-16</t>
        </is>
      </c>
    </row>
    <row r="26271">
      <c r="A26271" s="1" t="n">
        <v>26270</v>
      </c>
      <c r="B26271">
        <f>TEXT(26270, "[$-0E0000]yyyy-mm-dd")</f>
        <v/>
      </c>
      <c r="C26271" t="inlineStr">
        <is>
          <t>1971-10-17</t>
        </is>
      </c>
    </row>
    <row r="26272">
      <c r="A26272" s="1" t="n">
        <v>26271</v>
      </c>
      <c r="B26272">
        <f>TEXT(26271, "[$-0E0000]yyyy-mm-dd")</f>
        <v/>
      </c>
      <c r="C26272" t="inlineStr">
        <is>
          <t>1971-10-18</t>
        </is>
      </c>
    </row>
    <row r="26273">
      <c r="A26273" s="1" t="n">
        <v>26272</v>
      </c>
      <c r="B26273">
        <f>TEXT(26272, "[$-0E0000]yyyy-mm-dd")</f>
        <v/>
      </c>
      <c r="C26273" t="inlineStr">
        <is>
          <t>1971-10-19</t>
        </is>
      </c>
    </row>
    <row r="26274">
      <c r="A26274" s="1" t="n">
        <v>26273</v>
      </c>
      <c r="B26274">
        <f>TEXT(26273, "[$-0E0000]yyyy-mm-dd")</f>
        <v/>
      </c>
      <c r="C26274" t="inlineStr">
        <is>
          <t>1971-10-20</t>
        </is>
      </c>
    </row>
    <row r="26275">
      <c r="A26275" s="1" t="n">
        <v>26274</v>
      </c>
      <c r="B26275">
        <f>TEXT(26274, "[$-0E0000]yyyy-mm-dd")</f>
        <v/>
      </c>
      <c r="C26275" t="inlineStr">
        <is>
          <t>1971-10-21</t>
        </is>
      </c>
    </row>
    <row r="26276">
      <c r="A26276" s="1" t="n">
        <v>26275</v>
      </c>
      <c r="B26276">
        <f>TEXT(26275, "[$-0E0000]yyyy-mm-dd")</f>
        <v/>
      </c>
      <c r="C26276" t="inlineStr">
        <is>
          <t>1971-10-22</t>
        </is>
      </c>
    </row>
    <row r="26277">
      <c r="A26277" s="1" t="n">
        <v>26276</v>
      </c>
      <c r="B26277">
        <f>TEXT(26276, "[$-0E0000]yyyy-mm-dd")</f>
        <v/>
      </c>
      <c r="C26277" t="inlineStr">
        <is>
          <t>1971-10-23</t>
        </is>
      </c>
    </row>
    <row r="26278">
      <c r="A26278" s="1" t="n">
        <v>26277</v>
      </c>
      <c r="B26278">
        <f>TEXT(26277, "[$-0E0000]yyyy-mm-dd")</f>
        <v/>
      </c>
      <c r="C26278" t="inlineStr">
        <is>
          <t>1971-10-24</t>
        </is>
      </c>
    </row>
    <row r="26279">
      <c r="A26279" s="1" t="n">
        <v>26278</v>
      </c>
      <c r="B26279">
        <f>TEXT(26278, "[$-0E0000]yyyy-mm-dd")</f>
        <v/>
      </c>
      <c r="C26279" t="inlineStr">
        <is>
          <t>1971-10-25</t>
        </is>
      </c>
    </row>
    <row r="26280">
      <c r="A26280" s="1" t="n">
        <v>26279</v>
      </c>
      <c r="B26280">
        <f>TEXT(26279, "[$-0E0000]yyyy-mm-dd")</f>
        <v/>
      </c>
      <c r="C26280" t="inlineStr">
        <is>
          <t>1971-10-26</t>
        </is>
      </c>
    </row>
    <row r="26281">
      <c r="A26281" s="1" t="n">
        <v>26280</v>
      </c>
      <c r="B26281">
        <f>TEXT(26280, "[$-0E0000]yyyy-mm-dd")</f>
        <v/>
      </c>
      <c r="C26281" t="inlineStr">
        <is>
          <t>1971-10-27</t>
        </is>
      </c>
    </row>
    <row r="26282">
      <c r="A26282" s="1" t="n">
        <v>26281</v>
      </c>
      <c r="B26282">
        <f>TEXT(26281, "[$-0E0000]yyyy-mm-dd")</f>
        <v/>
      </c>
      <c r="C26282" t="inlineStr">
        <is>
          <t>1971-10-28</t>
        </is>
      </c>
    </row>
    <row r="26283">
      <c r="A26283" s="1" t="n">
        <v>26282</v>
      </c>
      <c r="B26283">
        <f>TEXT(26282, "[$-0E0000]yyyy-mm-dd")</f>
        <v/>
      </c>
      <c r="C26283" t="inlineStr">
        <is>
          <t>1971-10-29</t>
        </is>
      </c>
    </row>
    <row r="26284">
      <c r="A26284" s="1" t="n">
        <v>26283</v>
      </c>
      <c r="B26284">
        <f>TEXT(26283, "[$-0E0000]yyyy-mm-dd")</f>
        <v/>
      </c>
      <c r="C26284" t="inlineStr">
        <is>
          <t>1971-10-30</t>
        </is>
      </c>
    </row>
    <row r="26285">
      <c r="A26285" s="1" t="n">
        <v>26284</v>
      </c>
      <c r="B26285">
        <f>TEXT(26284, "[$-0E0000]yyyy-mm-dd")</f>
        <v/>
      </c>
      <c r="C26285" t="inlineStr">
        <is>
          <t>1971-11-01</t>
        </is>
      </c>
    </row>
    <row r="26286">
      <c r="A26286" s="1" t="n">
        <v>26285</v>
      </c>
      <c r="B26286">
        <f>TEXT(26285, "[$-0E0000]yyyy-mm-dd")</f>
        <v/>
      </c>
      <c r="C26286" t="inlineStr">
        <is>
          <t>1971-11-02</t>
        </is>
      </c>
    </row>
    <row r="26287">
      <c r="A26287" s="1" t="n">
        <v>26286</v>
      </c>
      <c r="B26287">
        <f>TEXT(26286, "[$-0E0000]yyyy-mm-dd")</f>
        <v/>
      </c>
      <c r="C26287" t="inlineStr">
        <is>
          <t>1971-11-03</t>
        </is>
      </c>
    </row>
    <row r="26288">
      <c r="A26288" s="1" t="n">
        <v>26287</v>
      </c>
      <c r="B26288">
        <f>TEXT(26287, "[$-0E0000]yyyy-mm-dd")</f>
        <v/>
      </c>
      <c r="C26288" t="inlineStr">
        <is>
          <t>1971-11-04</t>
        </is>
      </c>
    </row>
    <row r="26289">
      <c r="A26289" s="1" t="n">
        <v>26288</v>
      </c>
      <c r="B26289">
        <f>TEXT(26288, "[$-0E0000]yyyy-mm-dd")</f>
        <v/>
      </c>
      <c r="C26289" t="inlineStr">
        <is>
          <t>1971-11-05</t>
        </is>
      </c>
    </row>
    <row r="26290">
      <c r="A26290" s="1" t="n">
        <v>26289</v>
      </c>
      <c r="B26290">
        <f>TEXT(26289, "[$-0E0000]yyyy-mm-dd")</f>
        <v/>
      </c>
      <c r="C26290" t="inlineStr">
        <is>
          <t>1971-11-06</t>
        </is>
      </c>
    </row>
    <row r="26291">
      <c r="A26291" s="1" t="n">
        <v>26290</v>
      </c>
      <c r="B26291">
        <f>TEXT(26290, "[$-0E0000]yyyy-mm-dd")</f>
        <v/>
      </c>
      <c r="C26291" t="inlineStr">
        <is>
          <t>1971-11-07</t>
        </is>
      </c>
    </row>
    <row r="26292">
      <c r="A26292" s="1" t="n">
        <v>26291</v>
      </c>
      <c r="B26292">
        <f>TEXT(26291, "[$-0E0000]yyyy-mm-dd")</f>
        <v/>
      </c>
      <c r="C26292" t="inlineStr">
        <is>
          <t>1971-11-08</t>
        </is>
      </c>
    </row>
    <row r="26293">
      <c r="A26293" s="1" t="n">
        <v>26292</v>
      </c>
      <c r="B26293">
        <f>TEXT(26292, "[$-0E0000]yyyy-mm-dd")</f>
        <v/>
      </c>
      <c r="C26293" t="inlineStr">
        <is>
          <t>1971-11-09</t>
        </is>
      </c>
    </row>
    <row r="26294">
      <c r="A26294" s="1" t="n">
        <v>26293</v>
      </c>
      <c r="B26294">
        <f>TEXT(26293, "[$-0E0000]yyyy-mm-dd")</f>
        <v/>
      </c>
      <c r="C26294" t="inlineStr">
        <is>
          <t>1971-11-10</t>
        </is>
      </c>
    </row>
    <row r="26295">
      <c r="A26295" s="1" t="n">
        <v>26294</v>
      </c>
      <c r="B26295">
        <f>TEXT(26294, "[$-0E0000]yyyy-mm-dd")</f>
        <v/>
      </c>
      <c r="C26295" t="inlineStr">
        <is>
          <t>1971-11-11</t>
        </is>
      </c>
    </row>
    <row r="26296">
      <c r="A26296" s="1" t="n">
        <v>26295</v>
      </c>
      <c r="B26296">
        <f>TEXT(26295, "[$-0E0000]yyyy-mm-dd")</f>
        <v/>
      </c>
      <c r="C26296" t="inlineStr">
        <is>
          <t>1971-11-12</t>
        </is>
      </c>
    </row>
    <row r="26297">
      <c r="A26297" s="1" t="n">
        <v>26296</v>
      </c>
      <c r="B26297">
        <f>TEXT(26296, "[$-0E0000]yyyy-mm-dd")</f>
        <v/>
      </c>
      <c r="C26297" t="inlineStr">
        <is>
          <t>1971-11-13</t>
        </is>
      </c>
    </row>
    <row r="26298">
      <c r="A26298" s="1" t="n">
        <v>26297</v>
      </c>
      <c r="B26298">
        <f>TEXT(26297, "[$-0E0000]yyyy-mm-dd")</f>
        <v/>
      </c>
      <c r="C26298" t="inlineStr">
        <is>
          <t>1971-11-14</t>
        </is>
      </c>
    </row>
    <row r="26299">
      <c r="A26299" s="1" t="n">
        <v>26298</v>
      </c>
      <c r="B26299">
        <f>TEXT(26298, "[$-0E0000]yyyy-mm-dd")</f>
        <v/>
      </c>
      <c r="C26299" t="inlineStr">
        <is>
          <t>1971-11-15</t>
        </is>
      </c>
    </row>
    <row r="26300">
      <c r="A26300" s="1" t="n">
        <v>26299</v>
      </c>
      <c r="B26300">
        <f>TEXT(26299, "[$-0E0000]yyyy-mm-dd")</f>
        <v/>
      </c>
      <c r="C26300" t="inlineStr">
        <is>
          <t>1971-11-16</t>
        </is>
      </c>
    </row>
    <row r="26301">
      <c r="A26301" s="1" t="n">
        <v>26300</v>
      </c>
      <c r="B26301">
        <f>TEXT(26300, "[$-0E0000]yyyy-mm-dd")</f>
        <v/>
      </c>
      <c r="C26301" t="inlineStr">
        <is>
          <t>1971-11-17</t>
        </is>
      </c>
    </row>
    <row r="26302">
      <c r="A26302" s="1" t="n">
        <v>26301</v>
      </c>
      <c r="B26302">
        <f>TEXT(26301, "[$-0E0000]yyyy-mm-dd")</f>
        <v/>
      </c>
      <c r="C26302" t="inlineStr">
        <is>
          <t>1971-11-18</t>
        </is>
      </c>
    </row>
    <row r="26303">
      <c r="A26303" s="1" t="n">
        <v>26302</v>
      </c>
      <c r="B26303">
        <f>TEXT(26302, "[$-0E0000]yyyy-mm-dd")</f>
        <v/>
      </c>
      <c r="C26303" t="inlineStr">
        <is>
          <t>1971-11-19</t>
        </is>
      </c>
    </row>
    <row r="26304">
      <c r="A26304" s="1" t="n">
        <v>26303</v>
      </c>
      <c r="B26304">
        <f>TEXT(26303, "[$-0E0000]yyyy-mm-dd")</f>
        <v/>
      </c>
      <c r="C26304" t="inlineStr">
        <is>
          <t>1971-11-20</t>
        </is>
      </c>
    </row>
    <row r="26305">
      <c r="A26305" s="1" t="n">
        <v>26304</v>
      </c>
      <c r="B26305">
        <f>TEXT(26304, "[$-0E0000]yyyy-mm-dd")</f>
        <v/>
      </c>
      <c r="C26305" t="inlineStr">
        <is>
          <t>1971-11-21</t>
        </is>
      </c>
    </row>
    <row r="26306">
      <c r="A26306" s="1" t="n">
        <v>26305</v>
      </c>
      <c r="B26306">
        <f>TEXT(26305, "[$-0E0000]yyyy-mm-dd")</f>
        <v/>
      </c>
      <c r="C26306" t="inlineStr">
        <is>
          <t>1971-11-22</t>
        </is>
      </c>
    </row>
    <row r="26307">
      <c r="A26307" s="1" t="n">
        <v>26306</v>
      </c>
      <c r="B26307">
        <f>TEXT(26306, "[$-0E0000]yyyy-mm-dd")</f>
        <v/>
      </c>
      <c r="C26307" t="inlineStr">
        <is>
          <t>1971-11-23</t>
        </is>
      </c>
    </row>
    <row r="26308">
      <c r="A26308" s="1" t="n">
        <v>26307</v>
      </c>
      <c r="B26308">
        <f>TEXT(26307, "[$-0E0000]yyyy-mm-dd")</f>
        <v/>
      </c>
      <c r="C26308" t="inlineStr">
        <is>
          <t>1971-11-24</t>
        </is>
      </c>
    </row>
    <row r="26309">
      <c r="A26309" s="1" t="n">
        <v>26308</v>
      </c>
      <c r="B26309">
        <f>TEXT(26308, "[$-0E0000]yyyy-mm-dd")</f>
        <v/>
      </c>
      <c r="C26309" t="inlineStr">
        <is>
          <t>1971-11-25</t>
        </is>
      </c>
    </row>
    <row r="26310">
      <c r="A26310" s="1" t="n">
        <v>26309</v>
      </c>
      <c r="B26310">
        <f>TEXT(26309, "[$-0E0000]yyyy-mm-dd")</f>
        <v/>
      </c>
      <c r="C26310" t="inlineStr">
        <is>
          <t>1971-11-26</t>
        </is>
      </c>
    </row>
    <row r="26311">
      <c r="A26311" s="1" t="n">
        <v>26310</v>
      </c>
      <c r="B26311">
        <f>TEXT(26310, "[$-0E0000]yyyy-mm-dd")</f>
        <v/>
      </c>
      <c r="C26311" t="inlineStr">
        <is>
          <t>1971-11-27</t>
        </is>
      </c>
    </row>
    <row r="26312">
      <c r="A26312" s="1" t="n">
        <v>26311</v>
      </c>
      <c r="B26312">
        <f>TEXT(26311, "[$-0E0000]yyyy-mm-dd")</f>
        <v/>
      </c>
      <c r="C26312" t="inlineStr">
        <is>
          <t>1971-11-28</t>
        </is>
      </c>
    </row>
    <row r="26313">
      <c r="A26313" s="1" t="n">
        <v>26312</v>
      </c>
      <c r="B26313">
        <f>TEXT(26312, "[$-0E0000]yyyy-mm-dd")</f>
        <v/>
      </c>
      <c r="C26313" t="inlineStr">
        <is>
          <t>1971-11-29</t>
        </is>
      </c>
    </row>
    <row r="26314">
      <c r="A26314" s="1" t="n">
        <v>26313</v>
      </c>
      <c r="B26314">
        <f>TEXT(26313, "[$-0E0000]yyyy-mm-dd")</f>
        <v/>
      </c>
      <c r="C26314" t="inlineStr">
        <is>
          <t>1971-12-01</t>
        </is>
      </c>
    </row>
    <row r="26315">
      <c r="A26315" s="1" t="n">
        <v>26314</v>
      </c>
      <c r="B26315">
        <f>TEXT(26314, "[$-0E0000]yyyy-mm-dd")</f>
        <v/>
      </c>
      <c r="C26315" t="inlineStr">
        <is>
          <t>1971-12-02</t>
        </is>
      </c>
    </row>
    <row r="26316">
      <c r="A26316" s="1" t="n">
        <v>26315</v>
      </c>
      <c r="B26316">
        <f>TEXT(26315, "[$-0E0000]yyyy-mm-dd")</f>
        <v/>
      </c>
      <c r="C26316" t="inlineStr">
        <is>
          <t>1971-12-03</t>
        </is>
      </c>
    </row>
    <row r="26317">
      <c r="A26317" s="1" t="n">
        <v>26316</v>
      </c>
      <c r="B26317">
        <f>TEXT(26316, "[$-0E0000]yyyy-mm-dd")</f>
        <v/>
      </c>
      <c r="C26317" t="inlineStr">
        <is>
          <t>1971-12-04</t>
        </is>
      </c>
    </row>
    <row r="26318">
      <c r="A26318" s="1" t="n">
        <v>26317</v>
      </c>
      <c r="B26318">
        <f>TEXT(26317, "[$-0E0000]yyyy-mm-dd")</f>
        <v/>
      </c>
      <c r="C26318" t="inlineStr">
        <is>
          <t>1971-12-05</t>
        </is>
      </c>
    </row>
    <row r="26319">
      <c r="A26319" s="1" t="n">
        <v>26318</v>
      </c>
      <c r="B26319">
        <f>TEXT(26318, "[$-0E0000]yyyy-mm-dd")</f>
        <v/>
      </c>
      <c r="C26319" t="inlineStr">
        <is>
          <t>1971-12-06</t>
        </is>
      </c>
    </row>
    <row r="26320">
      <c r="A26320" s="1" t="n">
        <v>26319</v>
      </c>
      <c r="B26320">
        <f>TEXT(26319, "[$-0E0000]yyyy-mm-dd")</f>
        <v/>
      </c>
      <c r="C26320" t="inlineStr">
        <is>
          <t>1971-12-07</t>
        </is>
      </c>
    </row>
    <row r="26321">
      <c r="A26321" s="1" t="n">
        <v>26320</v>
      </c>
      <c r="B26321">
        <f>TEXT(26320, "[$-0E0000]yyyy-mm-dd")</f>
        <v/>
      </c>
      <c r="C26321" t="inlineStr">
        <is>
          <t>1971-12-08</t>
        </is>
      </c>
    </row>
    <row r="26322">
      <c r="A26322" s="1" t="n">
        <v>26321</v>
      </c>
      <c r="B26322">
        <f>TEXT(26321, "[$-0E0000]yyyy-mm-dd")</f>
        <v/>
      </c>
      <c r="C26322" t="inlineStr">
        <is>
          <t>1971-12-09</t>
        </is>
      </c>
    </row>
    <row r="26323">
      <c r="A26323" s="1" t="n">
        <v>26322</v>
      </c>
      <c r="B26323">
        <f>TEXT(26322, "[$-0E0000]yyyy-mm-dd")</f>
        <v/>
      </c>
      <c r="C26323" t="inlineStr">
        <is>
          <t>1971-12-10</t>
        </is>
      </c>
    </row>
    <row r="26324">
      <c r="A26324" s="1" t="n">
        <v>26323</v>
      </c>
      <c r="B26324">
        <f>TEXT(26323, "[$-0E0000]yyyy-mm-dd")</f>
        <v/>
      </c>
      <c r="C26324" t="inlineStr">
        <is>
          <t>1971-12-11</t>
        </is>
      </c>
    </row>
    <row r="26325">
      <c r="A26325" s="1" t="n">
        <v>26324</v>
      </c>
      <c r="B26325">
        <f>TEXT(26324, "[$-0E0000]yyyy-mm-dd")</f>
        <v/>
      </c>
      <c r="C26325" t="inlineStr">
        <is>
          <t>1971-12-12</t>
        </is>
      </c>
    </row>
    <row r="26326">
      <c r="A26326" s="1" t="n">
        <v>26325</v>
      </c>
      <c r="B26326">
        <f>TEXT(26325, "[$-0E0000]yyyy-mm-dd")</f>
        <v/>
      </c>
      <c r="C26326" t="inlineStr">
        <is>
          <t>1971-12-13</t>
        </is>
      </c>
    </row>
    <row r="26327">
      <c r="A26327" s="1" t="n">
        <v>26326</v>
      </c>
      <c r="B26327">
        <f>TEXT(26326, "[$-0E0000]yyyy-mm-dd")</f>
        <v/>
      </c>
      <c r="C26327" t="inlineStr">
        <is>
          <t>1971-12-14</t>
        </is>
      </c>
    </row>
    <row r="26328">
      <c r="A26328" s="1" t="n">
        <v>26327</v>
      </c>
      <c r="B26328">
        <f>TEXT(26327, "[$-0E0000]yyyy-mm-dd")</f>
        <v/>
      </c>
      <c r="C26328" t="inlineStr">
        <is>
          <t>1971-12-15</t>
        </is>
      </c>
    </row>
    <row r="26329">
      <c r="A26329" s="1" t="n">
        <v>26328</v>
      </c>
      <c r="B26329">
        <f>TEXT(26328, "[$-0E0000]yyyy-mm-dd")</f>
        <v/>
      </c>
      <c r="C26329" t="inlineStr">
        <is>
          <t>1971-12-16</t>
        </is>
      </c>
    </row>
    <row r="26330">
      <c r="A26330" s="1" t="n">
        <v>26329</v>
      </c>
      <c r="B26330">
        <f>TEXT(26329, "[$-0E0000]yyyy-mm-dd")</f>
        <v/>
      </c>
      <c r="C26330" t="inlineStr">
        <is>
          <t>1971-12-17</t>
        </is>
      </c>
    </row>
    <row r="26331">
      <c r="A26331" s="1" t="n">
        <v>26330</v>
      </c>
      <c r="B26331">
        <f>TEXT(26330, "[$-0E0000]yyyy-mm-dd")</f>
        <v/>
      </c>
      <c r="C26331" t="inlineStr">
        <is>
          <t>1971-12-18</t>
        </is>
      </c>
    </row>
    <row r="26332">
      <c r="A26332" s="1" t="n">
        <v>26331</v>
      </c>
      <c r="B26332">
        <f>TEXT(26331, "[$-0E0000]yyyy-mm-dd")</f>
        <v/>
      </c>
      <c r="C26332" t="inlineStr">
        <is>
          <t>1971-12-19</t>
        </is>
      </c>
    </row>
    <row r="26333">
      <c r="A26333" s="1" t="n">
        <v>26332</v>
      </c>
      <c r="B26333">
        <f>TEXT(26332, "[$-0E0000]yyyy-mm-dd")</f>
        <v/>
      </c>
      <c r="C26333" t="inlineStr">
        <is>
          <t>1971-12-20</t>
        </is>
      </c>
    </row>
    <row r="26334">
      <c r="A26334" s="1" t="n">
        <v>26333</v>
      </c>
      <c r="B26334">
        <f>TEXT(26333, "[$-0E0000]yyyy-mm-dd")</f>
        <v/>
      </c>
      <c r="C26334" t="inlineStr">
        <is>
          <t>1971-12-21</t>
        </is>
      </c>
    </row>
    <row r="26335">
      <c r="A26335" s="1" t="n">
        <v>26334</v>
      </c>
      <c r="B26335">
        <f>TEXT(26334, "[$-0E0000]yyyy-mm-dd")</f>
        <v/>
      </c>
      <c r="C26335" t="inlineStr">
        <is>
          <t>1971-12-22</t>
        </is>
      </c>
    </row>
    <row r="26336">
      <c r="A26336" s="1" t="n">
        <v>26335</v>
      </c>
      <c r="B26336">
        <f>TEXT(26335, "[$-0E0000]yyyy-mm-dd")</f>
        <v/>
      </c>
      <c r="C26336" t="inlineStr">
        <is>
          <t>1971-12-23</t>
        </is>
      </c>
    </row>
    <row r="26337">
      <c r="A26337" s="1" t="n">
        <v>26336</v>
      </c>
      <c r="B26337">
        <f>TEXT(26336, "[$-0E0000]yyyy-mm-dd")</f>
        <v/>
      </c>
      <c r="C26337" t="inlineStr">
        <is>
          <t>1971-12-24</t>
        </is>
      </c>
    </row>
    <row r="26338">
      <c r="A26338" s="1" t="n">
        <v>26337</v>
      </c>
      <c r="B26338">
        <f>TEXT(26337, "[$-0E0000]yyyy-mm-dd")</f>
        <v/>
      </c>
      <c r="C26338" t="inlineStr">
        <is>
          <t>1971-12-25</t>
        </is>
      </c>
    </row>
    <row r="26339">
      <c r="A26339" s="1" t="n">
        <v>26338</v>
      </c>
      <c r="B26339">
        <f>TEXT(26338, "[$-0E0000]yyyy-mm-dd")</f>
        <v/>
      </c>
      <c r="C26339" t="inlineStr">
        <is>
          <t>1971-12-26</t>
        </is>
      </c>
    </row>
    <row r="26340">
      <c r="A26340" s="1" t="n">
        <v>26339</v>
      </c>
      <c r="B26340">
        <f>TEXT(26339, "[$-0E0000]yyyy-mm-dd")</f>
        <v/>
      </c>
      <c r="C26340" t="inlineStr">
        <is>
          <t>1971-12-27</t>
        </is>
      </c>
    </row>
    <row r="26341">
      <c r="A26341" s="1" t="n">
        <v>26340</v>
      </c>
      <c r="B26341">
        <f>TEXT(26340, "[$-0E0000]yyyy-mm-dd")</f>
        <v/>
      </c>
      <c r="C26341" t="inlineStr">
        <is>
          <t>1971-12-28</t>
        </is>
      </c>
    </row>
    <row r="26342">
      <c r="A26342" s="1" t="n">
        <v>26341</v>
      </c>
      <c r="B26342">
        <f>TEXT(26341, "[$-0E0000]yyyy-mm-dd")</f>
        <v/>
      </c>
      <c r="C26342" t="inlineStr">
        <is>
          <t>1971-12-29</t>
        </is>
      </c>
    </row>
    <row r="26343">
      <c r="A26343" s="1" t="n">
        <v>26342</v>
      </c>
      <c r="B26343">
        <f>TEXT(26342, "[$-0E0000]yyyy-mm-dd")</f>
        <v/>
      </c>
      <c r="C26343" t="inlineStr">
        <is>
          <t>1971-12-30</t>
        </is>
      </c>
    </row>
    <row r="26344">
      <c r="A26344" s="1" t="n">
        <v>26343</v>
      </c>
      <c r="B26344">
        <f>TEXT(26343, "[$-0E0000]yyyy-mm-dd")</f>
        <v/>
      </c>
      <c r="C26344" t="inlineStr">
        <is>
          <t>1972-01-01</t>
        </is>
      </c>
    </row>
    <row r="26345">
      <c r="A26345" s="1" t="n">
        <v>26344</v>
      </c>
      <c r="B26345">
        <f>TEXT(26344, "[$-0E0000]yyyy-mm-dd")</f>
        <v/>
      </c>
      <c r="C26345" t="inlineStr">
        <is>
          <t>1972-01-02</t>
        </is>
      </c>
    </row>
    <row r="26346">
      <c r="A26346" s="1" t="n">
        <v>26345</v>
      </c>
      <c r="B26346">
        <f>TEXT(26345, "[$-0E0000]yyyy-mm-dd")</f>
        <v/>
      </c>
      <c r="C26346" t="inlineStr">
        <is>
          <t>1972-01-03</t>
        </is>
      </c>
    </row>
    <row r="26347">
      <c r="A26347" s="1" t="n">
        <v>26346</v>
      </c>
      <c r="B26347">
        <f>TEXT(26346, "[$-0E0000]yyyy-mm-dd")</f>
        <v/>
      </c>
      <c r="C26347" t="inlineStr">
        <is>
          <t>1972-01-04</t>
        </is>
      </c>
    </row>
    <row r="26348">
      <c r="A26348" s="1" t="n">
        <v>26347</v>
      </c>
      <c r="B26348">
        <f>TEXT(26347, "[$-0E0000]yyyy-mm-dd")</f>
        <v/>
      </c>
      <c r="C26348" t="inlineStr">
        <is>
          <t>1972-01-05</t>
        </is>
      </c>
    </row>
    <row r="26349">
      <c r="A26349" s="1" t="n">
        <v>26348</v>
      </c>
      <c r="B26349">
        <f>TEXT(26348, "[$-0E0000]yyyy-mm-dd")</f>
        <v/>
      </c>
      <c r="C26349" t="inlineStr">
        <is>
          <t>1972-01-06</t>
        </is>
      </c>
    </row>
    <row r="26350">
      <c r="A26350" s="1" t="n">
        <v>26349</v>
      </c>
      <c r="B26350">
        <f>TEXT(26349, "[$-0E0000]yyyy-mm-dd")</f>
        <v/>
      </c>
      <c r="C26350" t="inlineStr">
        <is>
          <t>1972-01-07</t>
        </is>
      </c>
    </row>
    <row r="26351">
      <c r="A26351" s="1" t="n">
        <v>26350</v>
      </c>
      <c r="B26351">
        <f>TEXT(26350, "[$-0E0000]yyyy-mm-dd")</f>
        <v/>
      </c>
      <c r="C26351" t="inlineStr">
        <is>
          <t>1972-01-08</t>
        </is>
      </c>
    </row>
    <row r="26352">
      <c r="A26352" s="1" t="n">
        <v>26351</v>
      </c>
      <c r="B26352">
        <f>TEXT(26351, "[$-0E0000]yyyy-mm-dd")</f>
        <v/>
      </c>
      <c r="C26352" t="inlineStr">
        <is>
          <t>1972-01-09</t>
        </is>
      </c>
    </row>
    <row r="26353">
      <c r="A26353" s="1" t="n">
        <v>26352</v>
      </c>
      <c r="B26353">
        <f>TEXT(26352, "[$-0E0000]yyyy-mm-dd")</f>
        <v/>
      </c>
      <c r="C26353" t="inlineStr">
        <is>
          <t>1972-01-10</t>
        </is>
      </c>
    </row>
    <row r="26354">
      <c r="A26354" s="1" t="n">
        <v>26353</v>
      </c>
      <c r="B26354">
        <f>TEXT(26353, "[$-0E0000]yyyy-mm-dd")</f>
        <v/>
      </c>
      <c r="C26354" t="inlineStr">
        <is>
          <t>1972-01-11</t>
        </is>
      </c>
    </row>
    <row r="26355">
      <c r="A26355" s="1" t="n">
        <v>26354</v>
      </c>
      <c r="B26355">
        <f>TEXT(26354, "[$-0E0000]yyyy-mm-dd")</f>
        <v/>
      </c>
      <c r="C26355" t="inlineStr">
        <is>
          <t>1972-01-12</t>
        </is>
      </c>
    </row>
    <row r="26356">
      <c r="A26356" s="1" t="n">
        <v>26355</v>
      </c>
      <c r="B26356">
        <f>TEXT(26355, "[$-0E0000]yyyy-mm-dd")</f>
        <v/>
      </c>
      <c r="C26356" t="inlineStr">
        <is>
          <t>1972-01-13</t>
        </is>
      </c>
    </row>
    <row r="26357">
      <c r="A26357" s="1" t="n">
        <v>26356</v>
      </c>
      <c r="B26357">
        <f>TEXT(26356, "[$-0E0000]yyyy-mm-dd")</f>
        <v/>
      </c>
      <c r="C26357" t="inlineStr">
        <is>
          <t>1972-01-14</t>
        </is>
      </c>
    </row>
    <row r="26358">
      <c r="A26358" s="1" t="n">
        <v>26357</v>
      </c>
      <c r="B26358">
        <f>TEXT(26357, "[$-0E0000]yyyy-mm-dd")</f>
        <v/>
      </c>
      <c r="C26358" t="inlineStr">
        <is>
          <t>1972-01-15</t>
        </is>
      </c>
    </row>
    <row r="26359">
      <c r="A26359" s="1" t="n">
        <v>26358</v>
      </c>
      <c r="B26359">
        <f>TEXT(26358, "[$-0E0000]yyyy-mm-dd")</f>
        <v/>
      </c>
      <c r="C26359" t="inlineStr">
        <is>
          <t>1972-01-16</t>
        </is>
      </c>
    </row>
    <row r="26360">
      <c r="A26360" s="1" t="n">
        <v>26359</v>
      </c>
      <c r="B26360">
        <f>TEXT(26359, "[$-0E0000]yyyy-mm-dd")</f>
        <v/>
      </c>
      <c r="C26360" t="inlineStr">
        <is>
          <t>1972-01-17</t>
        </is>
      </c>
    </row>
    <row r="26361">
      <c r="A26361" s="1" t="n">
        <v>26360</v>
      </c>
      <c r="B26361">
        <f>TEXT(26360, "[$-0E0000]yyyy-mm-dd")</f>
        <v/>
      </c>
      <c r="C26361" t="inlineStr">
        <is>
          <t>1972-01-18</t>
        </is>
      </c>
    </row>
    <row r="26362">
      <c r="A26362" s="1" t="n">
        <v>26361</v>
      </c>
      <c r="B26362">
        <f>TEXT(26361, "[$-0E0000]yyyy-mm-dd")</f>
        <v/>
      </c>
      <c r="C26362" t="inlineStr">
        <is>
          <t>1972-01-19</t>
        </is>
      </c>
    </row>
    <row r="26363">
      <c r="A26363" s="1" t="n">
        <v>26362</v>
      </c>
      <c r="B26363">
        <f>TEXT(26362, "[$-0E0000]yyyy-mm-dd")</f>
        <v/>
      </c>
      <c r="C26363" t="inlineStr">
        <is>
          <t>1972-01-20</t>
        </is>
      </c>
    </row>
    <row r="26364">
      <c r="A26364" s="1" t="n">
        <v>26363</v>
      </c>
      <c r="B26364">
        <f>TEXT(26363, "[$-0E0000]yyyy-mm-dd")</f>
        <v/>
      </c>
      <c r="C26364" t="inlineStr">
        <is>
          <t>1972-01-21</t>
        </is>
      </c>
    </row>
    <row r="26365">
      <c r="A26365" s="1" t="n">
        <v>26364</v>
      </c>
      <c r="B26365">
        <f>TEXT(26364, "[$-0E0000]yyyy-mm-dd")</f>
        <v/>
      </c>
      <c r="C26365" t="inlineStr">
        <is>
          <t>1972-01-22</t>
        </is>
      </c>
    </row>
    <row r="26366">
      <c r="A26366" s="1" t="n">
        <v>26365</v>
      </c>
      <c r="B26366">
        <f>TEXT(26365, "[$-0E0000]yyyy-mm-dd")</f>
        <v/>
      </c>
      <c r="C26366" t="inlineStr">
        <is>
          <t>1972-01-23</t>
        </is>
      </c>
    </row>
    <row r="26367">
      <c r="A26367" s="1" t="n">
        <v>26366</v>
      </c>
      <c r="B26367">
        <f>TEXT(26366, "[$-0E0000]yyyy-mm-dd")</f>
        <v/>
      </c>
      <c r="C26367" t="inlineStr">
        <is>
          <t>1972-01-24</t>
        </is>
      </c>
    </row>
    <row r="26368">
      <c r="A26368" s="1" t="n">
        <v>26367</v>
      </c>
      <c r="B26368">
        <f>TEXT(26367, "[$-0E0000]yyyy-mm-dd")</f>
        <v/>
      </c>
      <c r="C26368" t="inlineStr">
        <is>
          <t>1972-01-25</t>
        </is>
      </c>
    </row>
    <row r="26369">
      <c r="A26369" s="1" t="n">
        <v>26368</v>
      </c>
      <c r="B26369">
        <f>TEXT(26368, "[$-0E0000]yyyy-mm-dd")</f>
        <v/>
      </c>
      <c r="C26369" t="inlineStr">
        <is>
          <t>1972-01-26</t>
        </is>
      </c>
    </row>
    <row r="26370">
      <c r="A26370" s="1" t="n">
        <v>26369</v>
      </c>
      <c r="B26370">
        <f>TEXT(26369, "[$-0E0000]yyyy-mm-dd")</f>
        <v/>
      </c>
      <c r="C26370" t="inlineStr">
        <is>
          <t>1972-01-27</t>
        </is>
      </c>
    </row>
    <row r="26371">
      <c r="A26371" s="1" t="n">
        <v>26370</v>
      </c>
      <c r="B26371">
        <f>TEXT(26370, "[$-0E0000]yyyy-mm-dd")</f>
        <v/>
      </c>
      <c r="C26371" t="inlineStr">
        <is>
          <t>1972-01-28</t>
        </is>
      </c>
    </row>
    <row r="26372">
      <c r="A26372" s="1" t="n">
        <v>26371</v>
      </c>
      <c r="B26372">
        <f>TEXT(26371, "[$-0E0000]yyyy-mm-dd")</f>
        <v/>
      </c>
      <c r="C26372" t="inlineStr">
        <is>
          <t>1972-01-29</t>
        </is>
      </c>
    </row>
    <row r="26373">
      <c r="A26373" s="1" t="n">
        <v>26372</v>
      </c>
      <c r="B26373">
        <f>TEXT(26372, "[$-0E0000]yyyy-mm-dd")</f>
        <v/>
      </c>
      <c r="C26373" t="inlineStr">
        <is>
          <t>1972-02-01</t>
        </is>
      </c>
    </row>
    <row r="26374">
      <c r="A26374" s="1" t="n">
        <v>26373</v>
      </c>
      <c r="B26374">
        <f>TEXT(26373, "[$-0E0000]yyyy-mm-dd")</f>
        <v/>
      </c>
      <c r="C26374" t="inlineStr">
        <is>
          <t>1972-02-02</t>
        </is>
      </c>
    </row>
    <row r="26375">
      <c r="A26375" s="1" t="n">
        <v>26374</v>
      </c>
      <c r="B26375">
        <f>TEXT(26374, "[$-0E0000]yyyy-mm-dd")</f>
        <v/>
      </c>
      <c r="C26375" t="inlineStr">
        <is>
          <t>1972-02-03</t>
        </is>
      </c>
    </row>
    <row r="26376">
      <c r="A26376" s="1" t="n">
        <v>26375</v>
      </c>
      <c r="B26376">
        <f>TEXT(26375, "[$-0E0000]yyyy-mm-dd")</f>
        <v/>
      </c>
      <c r="C26376" t="inlineStr">
        <is>
          <t>1972-02-04</t>
        </is>
      </c>
    </row>
    <row r="26377">
      <c r="A26377" s="1" t="n">
        <v>26376</v>
      </c>
      <c r="B26377">
        <f>TEXT(26376, "[$-0E0000]yyyy-mm-dd")</f>
        <v/>
      </c>
      <c r="C26377" t="inlineStr">
        <is>
          <t>1972-02-05</t>
        </is>
      </c>
    </row>
    <row r="26378">
      <c r="A26378" s="1" t="n">
        <v>26377</v>
      </c>
      <c r="B26378">
        <f>TEXT(26377, "[$-0E0000]yyyy-mm-dd")</f>
        <v/>
      </c>
      <c r="C26378" t="inlineStr">
        <is>
          <t>1972-02-06</t>
        </is>
      </c>
    </row>
    <row r="26379">
      <c r="A26379" s="1" t="n">
        <v>26378</v>
      </c>
      <c r="B26379">
        <f>TEXT(26378, "[$-0E0000]yyyy-mm-dd")</f>
        <v/>
      </c>
      <c r="C26379" t="inlineStr">
        <is>
          <t>1972-02-07</t>
        </is>
      </c>
    </row>
    <row r="26380">
      <c r="A26380" s="1" t="n">
        <v>26379</v>
      </c>
      <c r="B26380">
        <f>TEXT(26379, "[$-0E0000]yyyy-mm-dd")</f>
        <v/>
      </c>
      <c r="C26380" t="inlineStr">
        <is>
          <t>1972-02-08</t>
        </is>
      </c>
    </row>
    <row r="26381">
      <c r="A26381" s="1" t="n">
        <v>26380</v>
      </c>
      <c r="B26381">
        <f>TEXT(26380, "[$-0E0000]yyyy-mm-dd")</f>
        <v/>
      </c>
      <c r="C26381" t="inlineStr">
        <is>
          <t>1972-02-09</t>
        </is>
      </c>
    </row>
    <row r="26382">
      <c r="A26382" s="1" t="n">
        <v>26381</v>
      </c>
      <c r="B26382">
        <f>TEXT(26381, "[$-0E0000]yyyy-mm-dd")</f>
        <v/>
      </c>
      <c r="C26382" t="inlineStr">
        <is>
          <t>1972-02-10</t>
        </is>
      </c>
    </row>
    <row r="26383">
      <c r="A26383" s="1" t="n">
        <v>26382</v>
      </c>
      <c r="B26383">
        <f>TEXT(26382, "[$-0E0000]yyyy-mm-dd")</f>
        <v/>
      </c>
      <c r="C26383" t="inlineStr">
        <is>
          <t>1972-02-11</t>
        </is>
      </c>
    </row>
    <row r="26384">
      <c r="A26384" s="1" t="n">
        <v>26383</v>
      </c>
      <c r="B26384">
        <f>TEXT(26383, "[$-0E0000]yyyy-mm-dd")</f>
        <v/>
      </c>
      <c r="C26384" t="inlineStr">
        <is>
          <t>1972-02-12</t>
        </is>
      </c>
    </row>
    <row r="26385">
      <c r="A26385" s="1" t="n">
        <v>26384</v>
      </c>
      <c r="B26385">
        <f>TEXT(26384, "[$-0E0000]yyyy-mm-dd")</f>
        <v/>
      </c>
      <c r="C26385" t="inlineStr">
        <is>
          <t>1972-02-13</t>
        </is>
      </c>
    </row>
    <row r="26386">
      <c r="A26386" s="1" t="n">
        <v>26385</v>
      </c>
      <c r="B26386">
        <f>TEXT(26385, "[$-0E0000]yyyy-mm-dd")</f>
        <v/>
      </c>
      <c r="C26386" t="inlineStr">
        <is>
          <t>1972-02-14</t>
        </is>
      </c>
    </row>
    <row r="26387">
      <c r="A26387" s="1" t="n">
        <v>26386</v>
      </c>
      <c r="B26387">
        <f>TEXT(26386, "[$-0E0000]yyyy-mm-dd")</f>
        <v/>
      </c>
      <c r="C26387" t="inlineStr">
        <is>
          <t>1972-02-15</t>
        </is>
      </c>
    </row>
    <row r="26388">
      <c r="A26388" s="1" t="n">
        <v>26387</v>
      </c>
      <c r="B26388">
        <f>TEXT(26387, "[$-0E0000]yyyy-mm-dd")</f>
        <v/>
      </c>
      <c r="C26388" t="inlineStr">
        <is>
          <t>1972-02-16</t>
        </is>
      </c>
    </row>
    <row r="26389">
      <c r="A26389" s="1" t="n">
        <v>26388</v>
      </c>
      <c r="B26389">
        <f>TEXT(26388, "[$-0E0000]yyyy-mm-dd")</f>
        <v/>
      </c>
      <c r="C26389" t="inlineStr">
        <is>
          <t>1972-02-17</t>
        </is>
      </c>
    </row>
    <row r="26390">
      <c r="A26390" s="1" t="n">
        <v>26389</v>
      </c>
      <c r="B26390">
        <f>TEXT(26389, "[$-0E0000]yyyy-mm-dd")</f>
        <v/>
      </c>
      <c r="C26390" t="inlineStr">
        <is>
          <t>1972-02-18</t>
        </is>
      </c>
    </row>
    <row r="26391">
      <c r="A26391" s="1" t="n">
        <v>26390</v>
      </c>
      <c r="B26391">
        <f>TEXT(26390, "[$-0E0000]yyyy-mm-dd")</f>
        <v/>
      </c>
      <c r="C26391" t="inlineStr">
        <is>
          <t>1972-02-19</t>
        </is>
      </c>
    </row>
    <row r="26392">
      <c r="A26392" s="1" t="n">
        <v>26391</v>
      </c>
      <c r="B26392">
        <f>TEXT(26391, "[$-0E0000]yyyy-mm-dd")</f>
        <v/>
      </c>
      <c r="C26392" t="inlineStr">
        <is>
          <t>1972-02-20</t>
        </is>
      </c>
    </row>
    <row r="26393">
      <c r="A26393" s="1" t="n">
        <v>26392</v>
      </c>
      <c r="B26393">
        <f>TEXT(26392, "[$-0E0000]yyyy-mm-dd")</f>
        <v/>
      </c>
      <c r="C26393" t="inlineStr">
        <is>
          <t>1972-02-21</t>
        </is>
      </c>
    </row>
    <row r="26394">
      <c r="A26394" s="1" t="n">
        <v>26393</v>
      </c>
      <c r="B26394">
        <f>TEXT(26393, "[$-0E0000]yyyy-mm-dd")</f>
        <v/>
      </c>
      <c r="C26394" t="inlineStr">
        <is>
          <t>1972-02-22</t>
        </is>
      </c>
    </row>
    <row r="26395">
      <c r="A26395" s="1" t="n">
        <v>26394</v>
      </c>
      <c r="B26395">
        <f>TEXT(26394, "[$-0E0000]yyyy-mm-dd")</f>
        <v/>
      </c>
      <c r="C26395" t="inlineStr">
        <is>
          <t>1972-02-23</t>
        </is>
      </c>
    </row>
    <row r="26396">
      <c r="A26396" s="1" t="n">
        <v>26395</v>
      </c>
      <c r="B26396">
        <f>TEXT(26395, "[$-0E0000]yyyy-mm-dd")</f>
        <v/>
      </c>
      <c r="C26396" t="inlineStr">
        <is>
          <t>1972-02-24</t>
        </is>
      </c>
    </row>
    <row r="26397">
      <c r="A26397" s="1" t="n">
        <v>26396</v>
      </c>
      <c r="B26397">
        <f>TEXT(26396, "[$-0E0000]yyyy-mm-dd")</f>
        <v/>
      </c>
      <c r="C26397" t="inlineStr">
        <is>
          <t>1972-02-25</t>
        </is>
      </c>
    </row>
    <row r="26398">
      <c r="A26398" s="1" t="n">
        <v>26397</v>
      </c>
      <c r="B26398">
        <f>TEXT(26397, "[$-0E0000]yyyy-mm-dd")</f>
        <v/>
      </c>
      <c r="C26398" t="inlineStr">
        <is>
          <t>1972-02-26</t>
        </is>
      </c>
    </row>
    <row r="26399">
      <c r="A26399" s="1" t="n">
        <v>26398</v>
      </c>
      <c r="B26399">
        <f>TEXT(26398, "[$-0E0000]yyyy-mm-dd")</f>
        <v/>
      </c>
      <c r="C26399" t="inlineStr">
        <is>
          <t>1972-02-27</t>
        </is>
      </c>
    </row>
    <row r="26400">
      <c r="A26400" s="1" t="n">
        <v>26399</v>
      </c>
      <c r="B26400">
        <f>TEXT(26399, "[$-0E0000]yyyy-mm-dd")</f>
        <v/>
      </c>
      <c r="C26400" t="inlineStr">
        <is>
          <t>1972-02-28</t>
        </is>
      </c>
    </row>
    <row r="26401">
      <c r="A26401" s="1" t="n">
        <v>26400</v>
      </c>
      <c r="B26401">
        <f>TEXT(26400, "[$-0E0000]yyyy-mm-dd")</f>
        <v/>
      </c>
      <c r="C26401" t="inlineStr">
        <is>
          <t>1972-02-29</t>
        </is>
      </c>
    </row>
    <row r="26402">
      <c r="A26402" s="1" t="n">
        <v>26401</v>
      </c>
      <c r="B26402">
        <f>TEXT(26401, "[$-0E0000]yyyy-mm-dd")</f>
        <v/>
      </c>
      <c r="C26402" t="inlineStr">
        <is>
          <t>1972-02-30</t>
        </is>
      </c>
    </row>
    <row r="26403">
      <c r="A26403" s="1" t="n">
        <v>26402</v>
      </c>
      <c r="B26403">
        <f>TEXT(26402, "[$-0E0000]yyyy-mm-dd")</f>
        <v/>
      </c>
      <c r="C26403" t="inlineStr">
        <is>
          <t>1972-03-01</t>
        </is>
      </c>
    </row>
    <row r="26404">
      <c r="A26404" s="1" t="n">
        <v>26403</v>
      </c>
      <c r="B26404">
        <f>TEXT(26403, "[$-0E0000]yyyy-mm-dd")</f>
        <v/>
      </c>
      <c r="C26404" t="inlineStr">
        <is>
          <t>1972-03-02</t>
        </is>
      </c>
    </row>
    <row r="26405">
      <c r="A26405" s="1" t="n">
        <v>26404</v>
      </c>
      <c r="B26405">
        <f>TEXT(26404, "[$-0E0000]yyyy-mm-dd")</f>
        <v/>
      </c>
      <c r="C26405" t="inlineStr">
        <is>
          <t>1972-03-03</t>
        </is>
      </c>
    </row>
    <row r="26406">
      <c r="A26406" s="1" t="n">
        <v>26405</v>
      </c>
      <c r="B26406">
        <f>TEXT(26405, "[$-0E0000]yyyy-mm-dd")</f>
        <v/>
      </c>
      <c r="C26406" t="inlineStr">
        <is>
          <t>1972-03-04</t>
        </is>
      </c>
    </row>
    <row r="26407">
      <c r="A26407" s="1" t="n">
        <v>26406</v>
      </c>
      <c r="B26407">
        <f>TEXT(26406, "[$-0E0000]yyyy-mm-dd")</f>
        <v/>
      </c>
      <c r="C26407" t="inlineStr">
        <is>
          <t>1972-03-05</t>
        </is>
      </c>
    </row>
    <row r="26408">
      <c r="A26408" s="1" t="n">
        <v>26407</v>
      </c>
      <c r="B26408">
        <f>TEXT(26407, "[$-0E0000]yyyy-mm-dd")</f>
        <v/>
      </c>
      <c r="C26408" t="inlineStr">
        <is>
          <t>1972-03-06</t>
        </is>
      </c>
    </row>
    <row r="26409">
      <c r="A26409" s="1" t="n">
        <v>26408</v>
      </c>
      <c r="B26409">
        <f>TEXT(26408, "[$-0E0000]yyyy-mm-dd")</f>
        <v/>
      </c>
      <c r="C26409" t="inlineStr">
        <is>
          <t>1972-03-07</t>
        </is>
      </c>
    </row>
    <row r="26410">
      <c r="A26410" s="1" t="n">
        <v>26409</v>
      </c>
      <c r="B26410">
        <f>TEXT(26409, "[$-0E0000]yyyy-mm-dd")</f>
        <v/>
      </c>
      <c r="C26410" t="inlineStr">
        <is>
          <t>1972-03-08</t>
        </is>
      </c>
    </row>
    <row r="26411">
      <c r="A26411" s="1" t="n">
        <v>26410</v>
      </c>
      <c r="B26411">
        <f>TEXT(26410, "[$-0E0000]yyyy-mm-dd")</f>
        <v/>
      </c>
      <c r="C26411" t="inlineStr">
        <is>
          <t>1972-03-09</t>
        </is>
      </c>
    </row>
    <row r="26412">
      <c r="A26412" s="1" t="n">
        <v>26411</v>
      </c>
      <c r="B26412">
        <f>TEXT(26411, "[$-0E0000]yyyy-mm-dd")</f>
        <v/>
      </c>
      <c r="C26412" t="inlineStr">
        <is>
          <t>1972-03-10</t>
        </is>
      </c>
    </row>
    <row r="26413">
      <c r="A26413" s="1" t="n">
        <v>26412</v>
      </c>
      <c r="B26413">
        <f>TEXT(26412, "[$-0E0000]yyyy-mm-dd")</f>
        <v/>
      </c>
      <c r="C26413" t="inlineStr">
        <is>
          <t>1972-03-11</t>
        </is>
      </c>
    </row>
    <row r="26414">
      <c r="A26414" s="1" t="n">
        <v>26413</v>
      </c>
      <c r="B26414">
        <f>TEXT(26413, "[$-0E0000]yyyy-mm-dd")</f>
        <v/>
      </c>
      <c r="C26414" t="inlineStr">
        <is>
          <t>1972-03-12</t>
        </is>
      </c>
    </row>
    <row r="26415">
      <c r="A26415" s="1" t="n">
        <v>26414</v>
      </c>
      <c r="B26415">
        <f>TEXT(26414, "[$-0E0000]yyyy-mm-dd")</f>
        <v/>
      </c>
      <c r="C26415" t="inlineStr">
        <is>
          <t>1972-03-13</t>
        </is>
      </c>
    </row>
    <row r="26416">
      <c r="A26416" s="1" t="n">
        <v>26415</v>
      </c>
      <c r="B26416">
        <f>TEXT(26415, "[$-0E0000]yyyy-mm-dd")</f>
        <v/>
      </c>
      <c r="C26416" t="inlineStr">
        <is>
          <t>1972-03-14</t>
        </is>
      </c>
    </row>
    <row r="26417">
      <c r="A26417" s="1" t="n">
        <v>26416</v>
      </c>
      <c r="B26417">
        <f>TEXT(26416, "[$-0E0000]yyyy-mm-dd")</f>
        <v/>
      </c>
      <c r="C26417" t="inlineStr">
        <is>
          <t>1972-03-15</t>
        </is>
      </c>
    </row>
    <row r="26418">
      <c r="A26418" s="1" t="n">
        <v>26417</v>
      </c>
      <c r="B26418">
        <f>TEXT(26417, "[$-0E0000]yyyy-mm-dd")</f>
        <v/>
      </c>
      <c r="C26418" t="inlineStr">
        <is>
          <t>1972-03-16</t>
        </is>
      </c>
    </row>
    <row r="26419">
      <c r="A26419" s="1" t="n">
        <v>26418</v>
      </c>
      <c r="B26419">
        <f>TEXT(26418, "[$-0E0000]yyyy-mm-dd")</f>
        <v/>
      </c>
      <c r="C26419" t="inlineStr">
        <is>
          <t>1972-03-17</t>
        </is>
      </c>
    </row>
    <row r="26420">
      <c r="A26420" s="1" t="n">
        <v>26419</v>
      </c>
      <c r="B26420">
        <f>TEXT(26419, "[$-0E0000]yyyy-mm-dd")</f>
        <v/>
      </c>
      <c r="C26420" t="inlineStr">
        <is>
          <t>1972-03-18</t>
        </is>
      </c>
    </row>
    <row r="26421">
      <c r="A26421" s="1" t="n">
        <v>26420</v>
      </c>
      <c r="B26421">
        <f>TEXT(26420, "[$-0E0000]yyyy-mm-dd")</f>
        <v/>
      </c>
      <c r="C26421" t="inlineStr">
        <is>
          <t>1972-03-19</t>
        </is>
      </c>
    </row>
    <row r="26422">
      <c r="A26422" s="1" t="n">
        <v>26421</v>
      </c>
      <c r="B26422">
        <f>TEXT(26421, "[$-0E0000]yyyy-mm-dd")</f>
        <v/>
      </c>
      <c r="C26422" t="inlineStr">
        <is>
          <t>1972-03-20</t>
        </is>
      </c>
    </row>
    <row r="26423">
      <c r="A26423" s="1" t="n">
        <v>26422</v>
      </c>
      <c r="B26423">
        <f>TEXT(26422, "[$-0E0000]yyyy-mm-dd")</f>
        <v/>
      </c>
      <c r="C26423" t="inlineStr">
        <is>
          <t>1972-03-21</t>
        </is>
      </c>
    </row>
    <row r="26424">
      <c r="A26424" s="1" t="n">
        <v>26423</v>
      </c>
      <c r="B26424">
        <f>TEXT(26423, "[$-0E0000]yyyy-mm-dd")</f>
        <v/>
      </c>
      <c r="C26424" t="inlineStr">
        <is>
          <t>1972-03-22</t>
        </is>
      </c>
    </row>
    <row r="26425">
      <c r="A26425" s="1" t="n">
        <v>26424</v>
      </c>
      <c r="B26425">
        <f>TEXT(26424, "[$-0E0000]yyyy-mm-dd")</f>
        <v/>
      </c>
      <c r="C26425" t="inlineStr">
        <is>
          <t>1972-03-23</t>
        </is>
      </c>
    </row>
    <row r="26426">
      <c r="A26426" s="1" t="n">
        <v>26425</v>
      </c>
      <c r="B26426">
        <f>TEXT(26425, "[$-0E0000]yyyy-mm-dd")</f>
        <v/>
      </c>
      <c r="C26426" t="inlineStr">
        <is>
          <t>1972-03-24</t>
        </is>
      </c>
    </row>
    <row r="26427">
      <c r="A26427" s="1" t="n">
        <v>26426</v>
      </c>
      <c r="B26427">
        <f>TEXT(26426, "[$-0E0000]yyyy-mm-dd")</f>
        <v/>
      </c>
      <c r="C26427" t="inlineStr">
        <is>
          <t>1972-03-25</t>
        </is>
      </c>
    </row>
    <row r="26428">
      <c r="A26428" s="1" t="n">
        <v>26427</v>
      </c>
      <c r="B26428">
        <f>TEXT(26427, "[$-0E0000]yyyy-mm-dd")</f>
        <v/>
      </c>
      <c r="C26428" t="inlineStr">
        <is>
          <t>1972-03-26</t>
        </is>
      </c>
    </row>
    <row r="26429">
      <c r="A26429" s="1" t="n">
        <v>26428</v>
      </c>
      <c r="B26429">
        <f>TEXT(26428, "[$-0E0000]yyyy-mm-dd")</f>
        <v/>
      </c>
      <c r="C26429" t="inlineStr">
        <is>
          <t>1972-03-27</t>
        </is>
      </c>
    </row>
    <row r="26430">
      <c r="A26430" s="1" t="n">
        <v>26429</v>
      </c>
      <c r="B26430">
        <f>TEXT(26429, "[$-0E0000]yyyy-mm-dd")</f>
        <v/>
      </c>
      <c r="C26430" t="inlineStr">
        <is>
          <t>1972-03-28</t>
        </is>
      </c>
    </row>
    <row r="26431">
      <c r="A26431" s="1" t="n">
        <v>26430</v>
      </c>
      <c r="B26431">
        <f>TEXT(26430, "[$-0E0000]yyyy-mm-dd")</f>
        <v/>
      </c>
      <c r="C26431" t="inlineStr">
        <is>
          <t>1972-03-29</t>
        </is>
      </c>
    </row>
    <row r="26432">
      <c r="A26432" s="1" t="n">
        <v>26431</v>
      </c>
      <c r="B26432">
        <f>TEXT(26431, "[$-0E0000]yyyy-mm-dd")</f>
        <v/>
      </c>
      <c r="C26432" t="inlineStr">
        <is>
          <t>1972-04-01</t>
        </is>
      </c>
    </row>
    <row r="26433">
      <c r="A26433" s="1" t="n">
        <v>26432</v>
      </c>
      <c r="B26433">
        <f>TEXT(26432, "[$-0E0000]yyyy-mm-dd")</f>
        <v/>
      </c>
      <c r="C26433" t="inlineStr">
        <is>
          <t>1972-04-02</t>
        </is>
      </c>
    </row>
    <row r="26434">
      <c r="A26434" s="1" t="n">
        <v>26433</v>
      </c>
      <c r="B26434">
        <f>TEXT(26433, "[$-0E0000]yyyy-mm-dd")</f>
        <v/>
      </c>
      <c r="C26434" t="inlineStr">
        <is>
          <t>1972-04-03</t>
        </is>
      </c>
    </row>
    <row r="26435">
      <c r="A26435" s="1" t="n">
        <v>26434</v>
      </c>
      <c r="B26435">
        <f>TEXT(26434, "[$-0E0000]yyyy-mm-dd")</f>
        <v/>
      </c>
      <c r="C26435" t="inlineStr">
        <is>
          <t>1972-04-04</t>
        </is>
      </c>
    </row>
    <row r="26436">
      <c r="A26436" s="1" t="n">
        <v>26435</v>
      </c>
      <c r="B26436">
        <f>TEXT(26435, "[$-0E0000]yyyy-mm-dd")</f>
        <v/>
      </c>
      <c r="C26436" t="inlineStr">
        <is>
          <t>1972-04-05</t>
        </is>
      </c>
    </row>
    <row r="26437">
      <c r="A26437" s="1" t="n">
        <v>26436</v>
      </c>
      <c r="B26437">
        <f>TEXT(26436, "[$-0E0000]yyyy-mm-dd")</f>
        <v/>
      </c>
      <c r="C26437" t="inlineStr">
        <is>
          <t>1972-04-06</t>
        </is>
      </c>
    </row>
    <row r="26438">
      <c r="A26438" s="1" t="n">
        <v>26437</v>
      </c>
      <c r="B26438">
        <f>TEXT(26437, "[$-0E0000]yyyy-mm-dd")</f>
        <v/>
      </c>
      <c r="C26438" t="inlineStr">
        <is>
          <t>1972-04-07</t>
        </is>
      </c>
    </row>
    <row r="26439">
      <c r="A26439" s="1" t="n">
        <v>26438</v>
      </c>
      <c r="B26439">
        <f>TEXT(26438, "[$-0E0000]yyyy-mm-dd")</f>
        <v/>
      </c>
      <c r="C26439" t="inlineStr">
        <is>
          <t>1972-04-08</t>
        </is>
      </c>
    </row>
    <row r="26440">
      <c r="A26440" s="1" t="n">
        <v>26439</v>
      </c>
      <c r="B26440">
        <f>TEXT(26439, "[$-0E0000]yyyy-mm-dd")</f>
        <v/>
      </c>
      <c r="C26440" t="inlineStr">
        <is>
          <t>1972-04-09</t>
        </is>
      </c>
    </row>
    <row r="26441">
      <c r="A26441" s="1" t="n">
        <v>26440</v>
      </c>
      <c r="B26441">
        <f>TEXT(26440, "[$-0E0000]yyyy-mm-dd")</f>
        <v/>
      </c>
      <c r="C26441" t="inlineStr">
        <is>
          <t>1972-04-10</t>
        </is>
      </c>
    </row>
    <row r="26442">
      <c r="A26442" s="1" t="n">
        <v>26441</v>
      </c>
      <c r="B26442">
        <f>TEXT(26441, "[$-0E0000]yyyy-mm-dd")</f>
        <v/>
      </c>
      <c r="C26442" t="inlineStr">
        <is>
          <t>1972-04-11</t>
        </is>
      </c>
    </row>
    <row r="26443">
      <c r="A26443" s="1" t="n">
        <v>26442</v>
      </c>
      <c r="B26443">
        <f>TEXT(26442, "[$-0E0000]yyyy-mm-dd")</f>
        <v/>
      </c>
      <c r="C26443" t="inlineStr">
        <is>
          <t>1972-04-12</t>
        </is>
      </c>
    </row>
    <row r="26444">
      <c r="A26444" s="1" t="n">
        <v>26443</v>
      </c>
      <c r="B26444">
        <f>TEXT(26443, "[$-0E0000]yyyy-mm-dd")</f>
        <v/>
      </c>
      <c r="C26444" t="inlineStr">
        <is>
          <t>1972-04-13</t>
        </is>
      </c>
    </row>
    <row r="26445">
      <c r="A26445" s="1" t="n">
        <v>26444</v>
      </c>
      <c r="B26445">
        <f>TEXT(26444, "[$-0E0000]yyyy-mm-dd")</f>
        <v/>
      </c>
      <c r="C26445" t="inlineStr">
        <is>
          <t>1972-04-14</t>
        </is>
      </c>
    </row>
    <row r="26446">
      <c r="A26446" s="1" t="n">
        <v>26445</v>
      </c>
      <c r="B26446">
        <f>TEXT(26445, "[$-0E0000]yyyy-mm-dd")</f>
        <v/>
      </c>
      <c r="C26446" t="inlineStr">
        <is>
          <t>1972-04-15</t>
        </is>
      </c>
    </row>
    <row r="26447">
      <c r="A26447" s="1" t="n">
        <v>26446</v>
      </c>
      <c r="B26447">
        <f>TEXT(26446, "[$-0E0000]yyyy-mm-dd")</f>
        <v/>
      </c>
      <c r="C26447" t="inlineStr">
        <is>
          <t>1972-04-16</t>
        </is>
      </c>
    </row>
    <row r="26448">
      <c r="A26448" s="1" t="n">
        <v>26447</v>
      </c>
      <c r="B26448">
        <f>TEXT(26447, "[$-0E0000]yyyy-mm-dd")</f>
        <v/>
      </c>
      <c r="C26448" t="inlineStr">
        <is>
          <t>1972-04-17</t>
        </is>
      </c>
    </row>
    <row r="26449">
      <c r="A26449" s="1" t="n">
        <v>26448</v>
      </c>
      <c r="B26449">
        <f>TEXT(26448, "[$-0E0000]yyyy-mm-dd")</f>
        <v/>
      </c>
      <c r="C26449" t="inlineStr">
        <is>
          <t>1972-04-18</t>
        </is>
      </c>
    </row>
    <row r="26450">
      <c r="A26450" s="1" t="n">
        <v>26449</v>
      </c>
      <c r="B26450">
        <f>TEXT(26449, "[$-0E0000]yyyy-mm-dd")</f>
        <v/>
      </c>
      <c r="C26450" t="inlineStr">
        <is>
          <t>1972-04-19</t>
        </is>
      </c>
    </row>
    <row r="26451">
      <c r="A26451" s="1" t="n">
        <v>26450</v>
      </c>
      <c r="B26451">
        <f>TEXT(26450, "[$-0E0000]yyyy-mm-dd")</f>
        <v/>
      </c>
      <c r="C26451" t="inlineStr">
        <is>
          <t>1972-04-20</t>
        </is>
      </c>
    </row>
    <row r="26452">
      <c r="A26452" s="1" t="n">
        <v>26451</v>
      </c>
      <c r="B26452">
        <f>TEXT(26451, "[$-0E0000]yyyy-mm-dd")</f>
        <v/>
      </c>
      <c r="C26452" t="inlineStr">
        <is>
          <t>1972-04-21</t>
        </is>
      </c>
    </row>
    <row r="26453">
      <c r="A26453" s="1" t="n">
        <v>26452</v>
      </c>
      <c r="B26453">
        <f>TEXT(26452, "[$-0E0000]yyyy-mm-dd")</f>
        <v/>
      </c>
      <c r="C26453" t="inlineStr">
        <is>
          <t>1972-04-22</t>
        </is>
      </c>
    </row>
    <row r="26454">
      <c r="A26454" s="1" t="n">
        <v>26453</v>
      </c>
      <c r="B26454">
        <f>TEXT(26453, "[$-0E0000]yyyy-mm-dd")</f>
        <v/>
      </c>
      <c r="C26454" t="inlineStr">
        <is>
          <t>1972-04-23</t>
        </is>
      </c>
    </row>
    <row r="26455">
      <c r="A26455" s="1" t="n">
        <v>26454</v>
      </c>
      <c r="B26455">
        <f>TEXT(26454, "[$-0E0000]yyyy-mm-dd")</f>
        <v/>
      </c>
      <c r="C26455" t="inlineStr">
        <is>
          <t>1972-04-24</t>
        </is>
      </c>
    </row>
    <row r="26456">
      <c r="A26456" s="1" t="n">
        <v>26455</v>
      </c>
      <c r="B26456">
        <f>TEXT(26455, "[$-0E0000]yyyy-mm-dd")</f>
        <v/>
      </c>
      <c r="C26456" t="inlineStr">
        <is>
          <t>1972-04-25</t>
        </is>
      </c>
    </row>
    <row r="26457">
      <c r="A26457" s="1" t="n">
        <v>26456</v>
      </c>
      <c r="B26457">
        <f>TEXT(26456, "[$-0E0000]yyyy-mm-dd")</f>
        <v/>
      </c>
      <c r="C26457" t="inlineStr">
        <is>
          <t>1972-04-26</t>
        </is>
      </c>
    </row>
    <row r="26458">
      <c r="A26458" s="1" t="n">
        <v>26457</v>
      </c>
      <c r="B26458">
        <f>TEXT(26457, "[$-0E0000]yyyy-mm-dd")</f>
        <v/>
      </c>
      <c r="C26458" t="inlineStr">
        <is>
          <t>1972-04-27</t>
        </is>
      </c>
    </row>
    <row r="26459">
      <c r="A26459" s="1" t="n">
        <v>26458</v>
      </c>
      <c r="B26459">
        <f>TEXT(26458, "[$-0E0000]yyyy-mm-dd")</f>
        <v/>
      </c>
      <c r="C26459" t="inlineStr">
        <is>
          <t>1972-04-28</t>
        </is>
      </c>
    </row>
    <row r="26460">
      <c r="A26460" s="1" t="n">
        <v>26459</v>
      </c>
      <c r="B26460">
        <f>TEXT(26459, "[$-0E0000]yyyy-mm-dd")</f>
        <v/>
      </c>
      <c r="C26460" t="inlineStr">
        <is>
          <t>1972-04-29</t>
        </is>
      </c>
    </row>
    <row r="26461">
      <c r="A26461" s="1" t="n">
        <v>26460</v>
      </c>
      <c r="B26461">
        <f>TEXT(26460, "[$-0E0000]yyyy-mm-dd")</f>
        <v/>
      </c>
      <c r="C26461" t="inlineStr">
        <is>
          <t>1972-05-01</t>
        </is>
      </c>
    </row>
    <row r="26462">
      <c r="A26462" s="1" t="n">
        <v>26461</v>
      </c>
      <c r="B26462">
        <f>TEXT(26461, "[$-0E0000]yyyy-mm-dd")</f>
        <v/>
      </c>
      <c r="C26462" t="inlineStr">
        <is>
          <t>1972-05-02</t>
        </is>
      </c>
    </row>
    <row r="26463">
      <c r="A26463" s="1" t="n">
        <v>26462</v>
      </c>
      <c r="B26463">
        <f>TEXT(26462, "[$-0E0000]yyyy-mm-dd")</f>
        <v/>
      </c>
      <c r="C26463" t="inlineStr">
        <is>
          <t>1972-05-03</t>
        </is>
      </c>
    </row>
    <row r="26464">
      <c r="A26464" s="1" t="n">
        <v>26463</v>
      </c>
      <c r="B26464">
        <f>TEXT(26463, "[$-0E0000]yyyy-mm-dd")</f>
        <v/>
      </c>
      <c r="C26464" t="inlineStr">
        <is>
          <t>1972-05-04</t>
        </is>
      </c>
    </row>
    <row r="26465">
      <c r="A26465" s="1" t="n">
        <v>26464</v>
      </c>
      <c r="B26465">
        <f>TEXT(26464, "[$-0E0000]yyyy-mm-dd")</f>
        <v/>
      </c>
      <c r="C26465" t="inlineStr">
        <is>
          <t>1972-05-05</t>
        </is>
      </c>
    </row>
    <row r="26466">
      <c r="A26466" s="1" t="n">
        <v>26465</v>
      </c>
      <c r="B26466">
        <f>TEXT(26465, "[$-0E0000]yyyy-mm-dd")</f>
        <v/>
      </c>
      <c r="C26466" t="inlineStr">
        <is>
          <t>1972-05-06</t>
        </is>
      </c>
    </row>
    <row r="26467">
      <c r="A26467" s="1" t="n">
        <v>26466</v>
      </c>
      <c r="B26467">
        <f>TEXT(26466, "[$-0E0000]yyyy-mm-dd")</f>
        <v/>
      </c>
      <c r="C26467" t="inlineStr">
        <is>
          <t>1972-05-07</t>
        </is>
      </c>
    </row>
    <row r="26468">
      <c r="A26468" s="1" t="n">
        <v>26467</v>
      </c>
      <c r="B26468">
        <f>TEXT(26467, "[$-0E0000]yyyy-mm-dd")</f>
        <v/>
      </c>
      <c r="C26468" t="inlineStr">
        <is>
          <t>1972-05-08</t>
        </is>
      </c>
    </row>
    <row r="26469">
      <c r="A26469" s="1" t="n">
        <v>26468</v>
      </c>
      <c r="B26469">
        <f>TEXT(26468, "[$-0E0000]yyyy-mm-dd")</f>
        <v/>
      </c>
      <c r="C26469" t="inlineStr">
        <is>
          <t>1972-05-09</t>
        </is>
      </c>
    </row>
    <row r="26470">
      <c r="A26470" s="1" t="n">
        <v>26469</v>
      </c>
      <c r="B26470">
        <f>TEXT(26469, "[$-0E0000]yyyy-mm-dd")</f>
        <v/>
      </c>
      <c r="C26470" t="inlineStr">
        <is>
          <t>1972-05-10</t>
        </is>
      </c>
    </row>
    <row r="26471">
      <c r="A26471" s="1" t="n">
        <v>26470</v>
      </c>
      <c r="B26471">
        <f>TEXT(26470, "[$-0E0000]yyyy-mm-dd")</f>
        <v/>
      </c>
      <c r="C26471" t="inlineStr">
        <is>
          <t>1972-05-11</t>
        </is>
      </c>
    </row>
    <row r="26472">
      <c r="A26472" s="1" t="n">
        <v>26471</v>
      </c>
      <c r="B26472">
        <f>TEXT(26471, "[$-0E0000]yyyy-mm-dd")</f>
        <v/>
      </c>
      <c r="C26472" t="inlineStr">
        <is>
          <t>1972-05-12</t>
        </is>
      </c>
    </row>
    <row r="26473">
      <c r="A26473" s="1" t="n">
        <v>26472</v>
      </c>
      <c r="B26473">
        <f>TEXT(26472, "[$-0E0000]yyyy-mm-dd")</f>
        <v/>
      </c>
      <c r="C26473" t="inlineStr">
        <is>
          <t>1972-05-13</t>
        </is>
      </c>
    </row>
    <row r="26474">
      <c r="A26474" s="1" t="n">
        <v>26473</v>
      </c>
      <c r="B26474">
        <f>TEXT(26473, "[$-0E0000]yyyy-mm-dd")</f>
        <v/>
      </c>
      <c r="C26474" t="inlineStr">
        <is>
          <t>1972-05-14</t>
        </is>
      </c>
    </row>
    <row r="26475">
      <c r="A26475" s="1" t="n">
        <v>26474</v>
      </c>
      <c r="B26475">
        <f>TEXT(26474, "[$-0E0000]yyyy-mm-dd")</f>
        <v/>
      </c>
      <c r="C26475" t="inlineStr">
        <is>
          <t>1972-05-15</t>
        </is>
      </c>
    </row>
    <row r="26476">
      <c r="A26476" s="1" t="n">
        <v>26475</v>
      </c>
      <c r="B26476">
        <f>TEXT(26475, "[$-0E0000]yyyy-mm-dd")</f>
        <v/>
      </c>
      <c r="C26476" t="inlineStr">
        <is>
          <t>1972-05-16</t>
        </is>
      </c>
    </row>
    <row r="26477">
      <c r="A26477" s="1" t="n">
        <v>26476</v>
      </c>
      <c r="B26477">
        <f>TEXT(26476, "[$-0E0000]yyyy-mm-dd")</f>
        <v/>
      </c>
      <c r="C26477" t="inlineStr">
        <is>
          <t>1972-05-17</t>
        </is>
      </c>
    </row>
    <row r="26478">
      <c r="A26478" s="1" t="n">
        <v>26477</v>
      </c>
      <c r="B26478">
        <f>TEXT(26477, "[$-0E0000]yyyy-mm-dd")</f>
        <v/>
      </c>
      <c r="C26478" t="inlineStr">
        <is>
          <t>1972-05-18</t>
        </is>
      </c>
    </row>
    <row r="26479">
      <c r="A26479" s="1" t="n">
        <v>26478</v>
      </c>
      <c r="B26479">
        <f>TEXT(26478, "[$-0E0000]yyyy-mm-dd")</f>
        <v/>
      </c>
      <c r="C26479" t="inlineStr">
        <is>
          <t>1972-05-19</t>
        </is>
      </c>
    </row>
    <row r="26480">
      <c r="A26480" s="1" t="n">
        <v>26479</v>
      </c>
      <c r="B26480">
        <f>TEXT(26479, "[$-0E0000]yyyy-mm-dd")</f>
        <v/>
      </c>
      <c r="C26480" t="inlineStr">
        <is>
          <t>1972-05-20</t>
        </is>
      </c>
    </row>
    <row r="26481">
      <c r="A26481" s="1" t="n">
        <v>26480</v>
      </c>
      <c r="B26481">
        <f>TEXT(26480, "[$-0E0000]yyyy-mm-dd")</f>
        <v/>
      </c>
      <c r="C26481" t="inlineStr">
        <is>
          <t>1972-05-21</t>
        </is>
      </c>
    </row>
    <row r="26482">
      <c r="A26482" s="1" t="n">
        <v>26481</v>
      </c>
      <c r="B26482">
        <f>TEXT(26481, "[$-0E0000]yyyy-mm-dd")</f>
        <v/>
      </c>
      <c r="C26482" t="inlineStr">
        <is>
          <t>1972-05-22</t>
        </is>
      </c>
    </row>
    <row r="26483">
      <c r="A26483" s="1" t="n">
        <v>26482</v>
      </c>
      <c r="B26483">
        <f>TEXT(26482, "[$-0E0000]yyyy-mm-dd")</f>
        <v/>
      </c>
      <c r="C26483" t="inlineStr">
        <is>
          <t>1972-05-23</t>
        </is>
      </c>
    </row>
    <row r="26484">
      <c r="A26484" s="1" t="n">
        <v>26483</v>
      </c>
      <c r="B26484">
        <f>TEXT(26483, "[$-0E0000]yyyy-mm-dd")</f>
        <v/>
      </c>
      <c r="C26484" t="inlineStr">
        <is>
          <t>1972-05-24</t>
        </is>
      </c>
    </row>
    <row r="26485">
      <c r="A26485" s="1" t="n">
        <v>26484</v>
      </c>
      <c r="B26485">
        <f>TEXT(26484, "[$-0E0000]yyyy-mm-dd")</f>
        <v/>
      </c>
      <c r="C26485" t="inlineStr">
        <is>
          <t>1972-05-25</t>
        </is>
      </c>
    </row>
    <row r="26486">
      <c r="A26486" s="1" t="n">
        <v>26485</v>
      </c>
      <c r="B26486">
        <f>TEXT(26485, "[$-0E0000]yyyy-mm-dd")</f>
        <v/>
      </c>
      <c r="C26486" t="inlineStr">
        <is>
          <t>1972-05-26</t>
        </is>
      </c>
    </row>
    <row r="26487">
      <c r="A26487" s="1" t="n">
        <v>26486</v>
      </c>
      <c r="B26487">
        <f>TEXT(26486, "[$-0E0000]yyyy-mm-dd")</f>
        <v/>
      </c>
      <c r="C26487" t="inlineStr">
        <is>
          <t>1972-05-27</t>
        </is>
      </c>
    </row>
    <row r="26488">
      <c r="A26488" s="1" t="n">
        <v>26487</v>
      </c>
      <c r="B26488">
        <f>TEXT(26487, "[$-0E0000]yyyy-mm-dd")</f>
        <v/>
      </c>
      <c r="C26488" t="inlineStr">
        <is>
          <t>1972-05-28</t>
        </is>
      </c>
    </row>
    <row r="26489">
      <c r="A26489" s="1" t="n">
        <v>26488</v>
      </c>
      <c r="B26489">
        <f>TEXT(26488, "[$-0E0000]yyyy-mm-dd")</f>
        <v/>
      </c>
      <c r="C26489" t="inlineStr">
        <is>
          <t>1972-05-29</t>
        </is>
      </c>
    </row>
    <row r="26490">
      <c r="A26490" s="1" t="n">
        <v>26489</v>
      </c>
      <c r="B26490">
        <f>TEXT(26489, "[$-0E0000]yyyy-mm-dd")</f>
        <v/>
      </c>
      <c r="C26490" t="inlineStr">
        <is>
          <t>1972-05-30</t>
        </is>
      </c>
    </row>
    <row r="26491">
      <c r="A26491" s="1" t="n">
        <v>26490</v>
      </c>
      <c r="B26491">
        <f>TEXT(26490, "[$-0E0000]yyyy-mm-dd")</f>
        <v/>
      </c>
      <c r="C26491" t="inlineStr">
        <is>
          <t>1972-06-01</t>
        </is>
      </c>
    </row>
    <row r="26492">
      <c r="A26492" s="1" t="n">
        <v>26491</v>
      </c>
      <c r="B26492">
        <f>TEXT(26491, "[$-0E0000]yyyy-mm-dd")</f>
        <v/>
      </c>
      <c r="C26492" t="inlineStr">
        <is>
          <t>1972-06-02</t>
        </is>
      </c>
    </row>
    <row r="26493">
      <c r="A26493" s="1" t="n">
        <v>26492</v>
      </c>
      <c r="B26493">
        <f>TEXT(26492, "[$-0E0000]yyyy-mm-dd")</f>
        <v/>
      </c>
      <c r="C26493" t="inlineStr">
        <is>
          <t>1972-06-03</t>
        </is>
      </c>
    </row>
    <row r="26494">
      <c r="A26494" s="1" t="n">
        <v>26493</v>
      </c>
      <c r="B26494">
        <f>TEXT(26493, "[$-0E0000]yyyy-mm-dd")</f>
        <v/>
      </c>
      <c r="C26494" t="inlineStr">
        <is>
          <t>1972-06-04</t>
        </is>
      </c>
    </row>
    <row r="26495">
      <c r="A26495" s="1" t="n">
        <v>26494</v>
      </c>
      <c r="B26495">
        <f>TEXT(26494, "[$-0E0000]yyyy-mm-dd")</f>
        <v/>
      </c>
      <c r="C26495" t="inlineStr">
        <is>
          <t>1972-06-05</t>
        </is>
      </c>
    </row>
    <row r="26496">
      <c r="A26496" s="1" t="n">
        <v>26495</v>
      </c>
      <c r="B26496">
        <f>TEXT(26495, "[$-0E0000]yyyy-mm-dd")</f>
        <v/>
      </c>
      <c r="C26496" t="inlineStr">
        <is>
          <t>1972-06-06</t>
        </is>
      </c>
    </row>
    <row r="26497">
      <c r="A26497" s="1" t="n">
        <v>26496</v>
      </c>
      <c r="B26497">
        <f>TEXT(26496, "[$-0E0000]yyyy-mm-dd")</f>
        <v/>
      </c>
      <c r="C26497" t="inlineStr">
        <is>
          <t>1972-06-07</t>
        </is>
      </c>
    </row>
    <row r="26498">
      <c r="A26498" s="1" t="n">
        <v>26497</v>
      </c>
      <c r="B26498">
        <f>TEXT(26497, "[$-0E0000]yyyy-mm-dd")</f>
        <v/>
      </c>
      <c r="C26498" t="inlineStr">
        <is>
          <t>1972-06-08</t>
        </is>
      </c>
    </row>
    <row r="26499">
      <c r="A26499" s="1" t="n">
        <v>26498</v>
      </c>
      <c r="B26499">
        <f>TEXT(26498, "[$-0E0000]yyyy-mm-dd")</f>
        <v/>
      </c>
      <c r="C26499" t="inlineStr">
        <is>
          <t>1972-06-09</t>
        </is>
      </c>
    </row>
    <row r="26500">
      <c r="A26500" s="1" t="n">
        <v>26499</v>
      </c>
      <c r="B26500">
        <f>TEXT(26499, "[$-0E0000]yyyy-mm-dd")</f>
        <v/>
      </c>
      <c r="C26500" t="inlineStr">
        <is>
          <t>1972-06-10</t>
        </is>
      </c>
    </row>
    <row r="26501">
      <c r="A26501" s="1" t="n">
        <v>26500</v>
      </c>
      <c r="B26501">
        <f>TEXT(26500, "[$-0E0000]yyyy-mm-dd")</f>
        <v/>
      </c>
      <c r="C26501" t="inlineStr">
        <is>
          <t>1972-06-11</t>
        </is>
      </c>
    </row>
    <row r="26502">
      <c r="A26502" s="1" t="n">
        <v>26501</v>
      </c>
      <c r="B26502">
        <f>TEXT(26501, "[$-0E0000]yyyy-mm-dd")</f>
        <v/>
      </c>
      <c r="C26502" t="inlineStr">
        <is>
          <t>1972-06-12</t>
        </is>
      </c>
    </row>
    <row r="26503">
      <c r="A26503" s="1" t="n">
        <v>26502</v>
      </c>
      <c r="B26503">
        <f>TEXT(26502, "[$-0E0000]yyyy-mm-dd")</f>
        <v/>
      </c>
      <c r="C26503" t="inlineStr">
        <is>
          <t>1972-06-13</t>
        </is>
      </c>
    </row>
    <row r="26504">
      <c r="A26504" s="1" t="n">
        <v>26503</v>
      </c>
      <c r="B26504">
        <f>TEXT(26503, "[$-0E0000]yyyy-mm-dd")</f>
        <v/>
      </c>
      <c r="C26504" t="inlineStr">
        <is>
          <t>1972-06-14</t>
        </is>
      </c>
    </row>
    <row r="26505">
      <c r="A26505" s="1" t="n">
        <v>26504</v>
      </c>
      <c r="B26505">
        <f>TEXT(26504, "[$-0E0000]yyyy-mm-dd")</f>
        <v/>
      </c>
      <c r="C26505" t="inlineStr">
        <is>
          <t>1972-06-15</t>
        </is>
      </c>
    </row>
    <row r="26506">
      <c r="A26506" s="1" t="n">
        <v>26505</v>
      </c>
      <c r="B26506">
        <f>TEXT(26505, "[$-0E0000]yyyy-mm-dd")</f>
        <v/>
      </c>
      <c r="C26506" t="inlineStr">
        <is>
          <t>1972-06-16</t>
        </is>
      </c>
    </row>
    <row r="26507">
      <c r="A26507" s="1" t="n">
        <v>26506</v>
      </c>
      <c r="B26507">
        <f>TEXT(26506, "[$-0E0000]yyyy-mm-dd")</f>
        <v/>
      </c>
      <c r="C26507" t="inlineStr">
        <is>
          <t>1972-06-17</t>
        </is>
      </c>
    </row>
    <row r="26508">
      <c r="A26508" s="1" t="n">
        <v>26507</v>
      </c>
      <c r="B26508">
        <f>TEXT(26507, "[$-0E0000]yyyy-mm-dd")</f>
        <v/>
      </c>
      <c r="C26508" t="inlineStr">
        <is>
          <t>1972-06-18</t>
        </is>
      </c>
    </row>
    <row r="26509">
      <c r="A26509" s="1" t="n">
        <v>26508</v>
      </c>
      <c r="B26509">
        <f>TEXT(26508, "[$-0E0000]yyyy-mm-dd")</f>
        <v/>
      </c>
      <c r="C26509" t="inlineStr">
        <is>
          <t>1972-06-19</t>
        </is>
      </c>
    </row>
    <row r="26510">
      <c r="A26510" s="1" t="n">
        <v>26509</v>
      </c>
      <c r="B26510">
        <f>TEXT(26509, "[$-0E0000]yyyy-mm-dd")</f>
        <v/>
      </c>
      <c r="C26510" t="inlineStr">
        <is>
          <t>1972-06-20</t>
        </is>
      </c>
    </row>
    <row r="26511">
      <c r="A26511" s="1" t="n">
        <v>26510</v>
      </c>
      <c r="B26511">
        <f>TEXT(26510, "[$-0E0000]yyyy-mm-dd")</f>
        <v/>
      </c>
      <c r="C26511" t="inlineStr">
        <is>
          <t>1972-06-21</t>
        </is>
      </c>
    </row>
    <row r="26512">
      <c r="A26512" s="1" t="n">
        <v>26511</v>
      </c>
      <c r="B26512">
        <f>TEXT(26511, "[$-0E0000]yyyy-mm-dd")</f>
        <v/>
      </c>
      <c r="C26512" t="inlineStr">
        <is>
          <t>1972-06-22</t>
        </is>
      </c>
    </row>
    <row r="26513">
      <c r="A26513" s="1" t="n">
        <v>26512</v>
      </c>
      <c r="B26513">
        <f>TEXT(26512, "[$-0E0000]yyyy-mm-dd")</f>
        <v/>
      </c>
      <c r="C26513" t="inlineStr">
        <is>
          <t>1972-06-23</t>
        </is>
      </c>
    </row>
    <row r="26514">
      <c r="A26514" s="1" t="n">
        <v>26513</v>
      </c>
      <c r="B26514">
        <f>TEXT(26513, "[$-0E0000]yyyy-mm-dd")</f>
        <v/>
      </c>
      <c r="C26514" t="inlineStr">
        <is>
          <t>1972-06-24</t>
        </is>
      </c>
    </row>
    <row r="26515">
      <c r="A26515" s="1" t="n">
        <v>26514</v>
      </c>
      <c r="B26515">
        <f>TEXT(26514, "[$-0E0000]yyyy-mm-dd")</f>
        <v/>
      </c>
      <c r="C26515" t="inlineStr">
        <is>
          <t>1972-06-25</t>
        </is>
      </c>
    </row>
    <row r="26516">
      <c r="A26516" s="1" t="n">
        <v>26515</v>
      </c>
      <c r="B26516">
        <f>TEXT(26515, "[$-0E0000]yyyy-mm-dd")</f>
        <v/>
      </c>
      <c r="C26516" t="inlineStr">
        <is>
          <t>1972-06-26</t>
        </is>
      </c>
    </row>
    <row r="26517">
      <c r="A26517" s="1" t="n">
        <v>26516</v>
      </c>
      <c r="B26517">
        <f>TEXT(26516, "[$-0E0000]yyyy-mm-dd")</f>
        <v/>
      </c>
      <c r="C26517" t="inlineStr">
        <is>
          <t>1972-06-27</t>
        </is>
      </c>
    </row>
    <row r="26518">
      <c r="A26518" s="1" t="n">
        <v>26517</v>
      </c>
      <c r="B26518">
        <f>TEXT(26517, "[$-0E0000]yyyy-mm-dd")</f>
        <v/>
      </c>
      <c r="C26518" t="inlineStr">
        <is>
          <t>1972-06-28</t>
        </is>
      </c>
    </row>
    <row r="26519">
      <c r="A26519" s="1" t="n">
        <v>26518</v>
      </c>
      <c r="B26519">
        <f>TEXT(26518, "[$-0E0000]yyyy-mm-dd")</f>
        <v/>
      </c>
      <c r="C26519" t="inlineStr">
        <is>
          <t>1972-06-29</t>
        </is>
      </c>
    </row>
    <row r="26520">
      <c r="A26520" s="1" t="n">
        <v>26519</v>
      </c>
      <c r="B26520">
        <f>TEXT(26519, "[$-0E0000]yyyy-mm-dd")</f>
        <v/>
      </c>
      <c r="C26520" t="inlineStr">
        <is>
          <t>1972-07-01</t>
        </is>
      </c>
    </row>
    <row r="26521">
      <c r="A26521" s="1" t="n">
        <v>26520</v>
      </c>
      <c r="B26521">
        <f>TEXT(26520, "[$-0E0000]yyyy-mm-dd")</f>
        <v/>
      </c>
      <c r="C26521" t="inlineStr">
        <is>
          <t>1972-07-02</t>
        </is>
      </c>
    </row>
    <row r="26522">
      <c r="A26522" s="1" t="n">
        <v>26521</v>
      </c>
      <c r="B26522">
        <f>TEXT(26521, "[$-0E0000]yyyy-mm-dd")</f>
        <v/>
      </c>
      <c r="C26522" t="inlineStr">
        <is>
          <t>1972-07-03</t>
        </is>
      </c>
    </row>
    <row r="26523">
      <c r="A26523" s="1" t="n">
        <v>26522</v>
      </c>
      <c r="B26523">
        <f>TEXT(26522, "[$-0E0000]yyyy-mm-dd")</f>
        <v/>
      </c>
      <c r="C26523" t="inlineStr">
        <is>
          <t>1972-07-04</t>
        </is>
      </c>
    </row>
    <row r="26524">
      <c r="A26524" s="1" t="n">
        <v>26523</v>
      </c>
      <c r="B26524">
        <f>TEXT(26523, "[$-0E0000]yyyy-mm-dd")</f>
        <v/>
      </c>
      <c r="C26524" t="inlineStr">
        <is>
          <t>1972-07-05</t>
        </is>
      </c>
    </row>
    <row r="26525">
      <c r="A26525" s="1" t="n">
        <v>26524</v>
      </c>
      <c r="B26525">
        <f>TEXT(26524, "[$-0E0000]yyyy-mm-dd")</f>
        <v/>
      </c>
      <c r="C26525" t="inlineStr">
        <is>
          <t>1972-07-06</t>
        </is>
      </c>
    </row>
    <row r="26526">
      <c r="A26526" s="1" t="n">
        <v>26525</v>
      </c>
      <c r="B26526">
        <f>TEXT(26525, "[$-0E0000]yyyy-mm-dd")</f>
        <v/>
      </c>
      <c r="C26526" t="inlineStr">
        <is>
          <t>1972-07-07</t>
        </is>
      </c>
    </row>
    <row r="26527">
      <c r="A26527" s="1" t="n">
        <v>26526</v>
      </c>
      <c r="B26527">
        <f>TEXT(26526, "[$-0E0000]yyyy-mm-dd")</f>
        <v/>
      </c>
      <c r="C26527" t="inlineStr">
        <is>
          <t>1972-07-08</t>
        </is>
      </c>
    </row>
    <row r="26528">
      <c r="A26528" s="1" t="n">
        <v>26527</v>
      </c>
      <c r="B26528">
        <f>TEXT(26527, "[$-0E0000]yyyy-mm-dd")</f>
        <v/>
      </c>
      <c r="C26528" t="inlineStr">
        <is>
          <t>1972-07-09</t>
        </is>
      </c>
    </row>
    <row r="26529">
      <c r="A26529" s="1" t="n">
        <v>26528</v>
      </c>
      <c r="B26529">
        <f>TEXT(26528, "[$-0E0000]yyyy-mm-dd")</f>
        <v/>
      </c>
      <c r="C26529" t="inlineStr">
        <is>
          <t>1972-07-10</t>
        </is>
      </c>
    </row>
    <row r="26530">
      <c r="A26530" s="1" t="n">
        <v>26529</v>
      </c>
      <c r="B26530">
        <f>TEXT(26529, "[$-0E0000]yyyy-mm-dd")</f>
        <v/>
      </c>
      <c r="C26530" t="inlineStr">
        <is>
          <t>1972-07-11</t>
        </is>
      </c>
    </row>
    <row r="26531">
      <c r="A26531" s="1" t="n">
        <v>26530</v>
      </c>
      <c r="B26531">
        <f>TEXT(26530, "[$-0E0000]yyyy-mm-dd")</f>
        <v/>
      </c>
      <c r="C26531" t="inlineStr">
        <is>
          <t>1972-07-12</t>
        </is>
      </c>
    </row>
    <row r="26532">
      <c r="A26532" s="1" t="n">
        <v>26531</v>
      </c>
      <c r="B26532">
        <f>TEXT(26531, "[$-0E0000]yyyy-mm-dd")</f>
        <v/>
      </c>
      <c r="C26532" t="inlineStr">
        <is>
          <t>1972-07-13</t>
        </is>
      </c>
    </row>
    <row r="26533">
      <c r="A26533" s="1" t="n">
        <v>26532</v>
      </c>
      <c r="B26533">
        <f>TEXT(26532, "[$-0E0000]yyyy-mm-dd")</f>
        <v/>
      </c>
      <c r="C26533" t="inlineStr">
        <is>
          <t>1972-07-14</t>
        </is>
      </c>
    </row>
    <row r="26534">
      <c r="A26534" s="1" t="n">
        <v>26533</v>
      </c>
      <c r="B26534">
        <f>TEXT(26533, "[$-0E0000]yyyy-mm-dd")</f>
        <v/>
      </c>
      <c r="C26534" t="inlineStr">
        <is>
          <t>1972-07-15</t>
        </is>
      </c>
    </row>
    <row r="26535">
      <c r="A26535" s="1" t="n">
        <v>26534</v>
      </c>
      <c r="B26535">
        <f>TEXT(26534, "[$-0E0000]yyyy-mm-dd")</f>
        <v/>
      </c>
      <c r="C26535" t="inlineStr">
        <is>
          <t>1972-07-16</t>
        </is>
      </c>
    </row>
    <row r="26536">
      <c r="A26536" s="1" t="n">
        <v>26535</v>
      </c>
      <c r="B26536">
        <f>TEXT(26535, "[$-0E0000]yyyy-mm-dd")</f>
        <v/>
      </c>
      <c r="C26536" t="inlineStr">
        <is>
          <t>1972-07-17</t>
        </is>
      </c>
    </row>
    <row r="26537">
      <c r="A26537" s="1" t="n">
        <v>26536</v>
      </c>
      <c r="B26537">
        <f>TEXT(26536, "[$-0E0000]yyyy-mm-dd")</f>
        <v/>
      </c>
      <c r="C26537" t="inlineStr">
        <is>
          <t>1972-07-18</t>
        </is>
      </c>
    </row>
    <row r="26538">
      <c r="A26538" s="1" t="n">
        <v>26537</v>
      </c>
      <c r="B26538">
        <f>TEXT(26537, "[$-0E0000]yyyy-mm-dd")</f>
        <v/>
      </c>
      <c r="C26538" t="inlineStr">
        <is>
          <t>1972-07-19</t>
        </is>
      </c>
    </row>
    <row r="26539">
      <c r="A26539" s="1" t="n">
        <v>26538</v>
      </c>
      <c r="B26539">
        <f>TEXT(26538, "[$-0E0000]yyyy-mm-dd")</f>
        <v/>
      </c>
      <c r="C26539" t="inlineStr">
        <is>
          <t>1972-07-20</t>
        </is>
      </c>
    </row>
    <row r="26540">
      <c r="A26540" s="1" t="n">
        <v>26539</v>
      </c>
      <c r="B26540">
        <f>TEXT(26539, "[$-0E0000]yyyy-mm-dd")</f>
        <v/>
      </c>
      <c r="C26540" t="inlineStr">
        <is>
          <t>1972-07-21</t>
        </is>
      </c>
    </row>
    <row r="26541">
      <c r="A26541" s="1" t="n">
        <v>26540</v>
      </c>
      <c r="B26541">
        <f>TEXT(26540, "[$-0E0000]yyyy-mm-dd")</f>
        <v/>
      </c>
      <c r="C26541" t="inlineStr">
        <is>
          <t>1972-07-22</t>
        </is>
      </c>
    </row>
    <row r="26542">
      <c r="A26542" s="1" t="n">
        <v>26541</v>
      </c>
      <c r="B26542">
        <f>TEXT(26541, "[$-0E0000]yyyy-mm-dd")</f>
        <v/>
      </c>
      <c r="C26542" t="inlineStr">
        <is>
          <t>1972-07-23</t>
        </is>
      </c>
    </row>
    <row r="26543">
      <c r="A26543" s="1" t="n">
        <v>26542</v>
      </c>
      <c r="B26543">
        <f>TEXT(26542, "[$-0E0000]yyyy-mm-dd")</f>
        <v/>
      </c>
      <c r="C26543" t="inlineStr">
        <is>
          <t>1972-07-24</t>
        </is>
      </c>
    </row>
    <row r="26544">
      <c r="A26544" s="1" t="n">
        <v>26543</v>
      </c>
      <c r="B26544">
        <f>TEXT(26543, "[$-0E0000]yyyy-mm-dd")</f>
        <v/>
      </c>
      <c r="C26544" t="inlineStr">
        <is>
          <t>1972-07-25</t>
        </is>
      </c>
    </row>
    <row r="26545">
      <c r="A26545" s="1" t="n">
        <v>26544</v>
      </c>
      <c r="B26545">
        <f>TEXT(26544, "[$-0E0000]yyyy-mm-dd")</f>
        <v/>
      </c>
      <c r="C26545" t="inlineStr">
        <is>
          <t>1972-07-26</t>
        </is>
      </c>
    </row>
    <row r="26546">
      <c r="A26546" s="1" t="n">
        <v>26545</v>
      </c>
      <c r="B26546">
        <f>TEXT(26545, "[$-0E0000]yyyy-mm-dd")</f>
        <v/>
      </c>
      <c r="C26546" t="inlineStr">
        <is>
          <t>1972-07-27</t>
        </is>
      </c>
    </row>
    <row r="26547">
      <c r="A26547" s="1" t="n">
        <v>26546</v>
      </c>
      <c r="B26547">
        <f>TEXT(26546, "[$-0E0000]yyyy-mm-dd")</f>
        <v/>
      </c>
      <c r="C26547" t="inlineStr">
        <is>
          <t>1972-07-28</t>
        </is>
      </c>
    </row>
    <row r="26548">
      <c r="A26548" s="1" t="n">
        <v>26547</v>
      </c>
      <c r="B26548">
        <f>TEXT(26547, "[$-0E0000]yyyy-mm-dd")</f>
        <v/>
      </c>
      <c r="C26548" t="inlineStr">
        <is>
          <t>1972-07-29</t>
        </is>
      </c>
    </row>
    <row r="26549">
      <c r="A26549" s="1" t="n">
        <v>26548</v>
      </c>
      <c r="B26549">
        <f>TEXT(26548, "[$-0E0000]yyyy-mm-dd")</f>
        <v/>
      </c>
      <c r="C26549" t="inlineStr">
        <is>
          <t>1972-07-30</t>
        </is>
      </c>
    </row>
    <row r="26550">
      <c r="A26550" s="1" t="n">
        <v>26549</v>
      </c>
      <c r="B26550">
        <f>TEXT(26549, "[$-0E0000]yyyy-mm-dd")</f>
        <v/>
      </c>
      <c r="C26550" t="inlineStr">
        <is>
          <t>1972-08-01</t>
        </is>
      </c>
    </row>
    <row r="26551">
      <c r="A26551" s="1" t="n">
        <v>26550</v>
      </c>
      <c r="B26551">
        <f>TEXT(26550, "[$-0E0000]yyyy-mm-dd")</f>
        <v/>
      </c>
      <c r="C26551" t="inlineStr">
        <is>
          <t>1972-08-02</t>
        </is>
      </c>
    </row>
    <row r="26552">
      <c r="A26552" s="1" t="n">
        <v>26551</v>
      </c>
      <c r="B26552">
        <f>TEXT(26551, "[$-0E0000]yyyy-mm-dd")</f>
        <v/>
      </c>
      <c r="C26552" t="inlineStr">
        <is>
          <t>1972-08-03</t>
        </is>
      </c>
    </row>
    <row r="26553">
      <c r="A26553" s="1" t="n">
        <v>26552</v>
      </c>
      <c r="B26553">
        <f>TEXT(26552, "[$-0E0000]yyyy-mm-dd")</f>
        <v/>
      </c>
      <c r="C26553" t="inlineStr">
        <is>
          <t>1972-08-04</t>
        </is>
      </c>
    </row>
    <row r="26554">
      <c r="A26554" s="1" t="n">
        <v>26553</v>
      </c>
      <c r="B26554">
        <f>TEXT(26553, "[$-0E0000]yyyy-mm-dd")</f>
        <v/>
      </c>
      <c r="C26554" t="inlineStr">
        <is>
          <t>1972-08-05</t>
        </is>
      </c>
    </row>
    <row r="26555">
      <c r="A26555" s="1" t="n">
        <v>26554</v>
      </c>
      <c r="B26555">
        <f>TEXT(26554, "[$-0E0000]yyyy-mm-dd")</f>
        <v/>
      </c>
      <c r="C26555" t="inlineStr">
        <is>
          <t>1972-08-06</t>
        </is>
      </c>
    </row>
    <row r="26556">
      <c r="A26556" s="1" t="n">
        <v>26555</v>
      </c>
      <c r="B26556">
        <f>TEXT(26555, "[$-0E0000]yyyy-mm-dd")</f>
        <v/>
      </c>
      <c r="C26556" t="inlineStr">
        <is>
          <t>1972-08-07</t>
        </is>
      </c>
    </row>
    <row r="26557">
      <c r="A26557" s="1" t="n">
        <v>26556</v>
      </c>
      <c r="B26557">
        <f>TEXT(26556, "[$-0E0000]yyyy-mm-dd")</f>
        <v/>
      </c>
      <c r="C26557" t="inlineStr">
        <is>
          <t>1972-08-08</t>
        </is>
      </c>
    </row>
    <row r="26558">
      <c r="A26558" s="1" t="n">
        <v>26557</v>
      </c>
      <c r="B26558">
        <f>TEXT(26557, "[$-0E0000]yyyy-mm-dd")</f>
        <v/>
      </c>
      <c r="C26558" t="inlineStr">
        <is>
          <t>1972-08-09</t>
        </is>
      </c>
    </row>
    <row r="26559">
      <c r="A26559" s="1" t="n">
        <v>26558</v>
      </c>
      <c r="B26559">
        <f>TEXT(26558, "[$-0E0000]yyyy-mm-dd")</f>
        <v/>
      </c>
      <c r="C26559" t="inlineStr">
        <is>
          <t>1972-08-10</t>
        </is>
      </c>
    </row>
    <row r="26560">
      <c r="A26560" s="1" t="n">
        <v>26559</v>
      </c>
      <c r="B26560">
        <f>TEXT(26559, "[$-0E0000]yyyy-mm-dd")</f>
        <v/>
      </c>
      <c r="C26560" t="inlineStr">
        <is>
          <t>1972-08-11</t>
        </is>
      </c>
    </row>
    <row r="26561">
      <c r="A26561" s="1" t="n">
        <v>26560</v>
      </c>
      <c r="B26561">
        <f>TEXT(26560, "[$-0E0000]yyyy-mm-dd")</f>
        <v/>
      </c>
      <c r="C26561" t="inlineStr">
        <is>
          <t>1972-08-12</t>
        </is>
      </c>
    </row>
    <row r="26562">
      <c r="A26562" s="1" t="n">
        <v>26561</v>
      </c>
      <c r="B26562">
        <f>TEXT(26561, "[$-0E0000]yyyy-mm-dd")</f>
        <v/>
      </c>
      <c r="C26562" t="inlineStr">
        <is>
          <t>1972-08-13</t>
        </is>
      </c>
    </row>
    <row r="26563">
      <c r="A26563" s="1" t="n">
        <v>26562</v>
      </c>
      <c r="B26563">
        <f>TEXT(26562, "[$-0E0000]yyyy-mm-dd")</f>
        <v/>
      </c>
      <c r="C26563" t="inlineStr">
        <is>
          <t>1972-08-14</t>
        </is>
      </c>
    </row>
    <row r="26564">
      <c r="A26564" s="1" t="n">
        <v>26563</v>
      </c>
      <c r="B26564">
        <f>TEXT(26563, "[$-0E0000]yyyy-mm-dd")</f>
        <v/>
      </c>
      <c r="C26564" t="inlineStr">
        <is>
          <t>1972-08-15</t>
        </is>
      </c>
    </row>
    <row r="26565">
      <c r="A26565" s="1" t="n">
        <v>26564</v>
      </c>
      <c r="B26565">
        <f>TEXT(26564, "[$-0E0000]yyyy-mm-dd")</f>
        <v/>
      </c>
      <c r="C26565" t="inlineStr">
        <is>
          <t>1972-08-16</t>
        </is>
      </c>
    </row>
    <row r="26566">
      <c r="A26566" s="1" t="n">
        <v>26565</v>
      </c>
      <c r="B26566">
        <f>TEXT(26565, "[$-0E0000]yyyy-mm-dd")</f>
        <v/>
      </c>
      <c r="C26566" t="inlineStr">
        <is>
          <t>1972-08-17</t>
        </is>
      </c>
    </row>
    <row r="26567">
      <c r="A26567" s="1" t="n">
        <v>26566</v>
      </c>
      <c r="B26567">
        <f>TEXT(26566, "[$-0E0000]yyyy-mm-dd")</f>
        <v/>
      </c>
      <c r="C26567" t="inlineStr">
        <is>
          <t>1972-08-18</t>
        </is>
      </c>
    </row>
    <row r="26568">
      <c r="A26568" s="1" t="n">
        <v>26567</v>
      </c>
      <c r="B26568">
        <f>TEXT(26567, "[$-0E0000]yyyy-mm-dd")</f>
        <v/>
      </c>
      <c r="C26568" t="inlineStr">
        <is>
          <t>1972-08-19</t>
        </is>
      </c>
    </row>
    <row r="26569">
      <c r="A26569" s="1" t="n">
        <v>26568</v>
      </c>
      <c r="B26569">
        <f>TEXT(26568, "[$-0E0000]yyyy-mm-dd")</f>
        <v/>
      </c>
      <c r="C26569" t="inlineStr">
        <is>
          <t>1972-08-20</t>
        </is>
      </c>
    </row>
    <row r="26570">
      <c r="A26570" s="1" t="n">
        <v>26569</v>
      </c>
      <c r="B26570">
        <f>TEXT(26569, "[$-0E0000]yyyy-mm-dd")</f>
        <v/>
      </c>
      <c r="C26570" t="inlineStr">
        <is>
          <t>1972-08-21</t>
        </is>
      </c>
    </row>
    <row r="26571">
      <c r="A26571" s="1" t="n">
        <v>26570</v>
      </c>
      <c r="B26571">
        <f>TEXT(26570, "[$-0E0000]yyyy-mm-dd")</f>
        <v/>
      </c>
      <c r="C26571" t="inlineStr">
        <is>
          <t>1972-08-22</t>
        </is>
      </c>
    </row>
    <row r="26572">
      <c r="A26572" s="1" t="n">
        <v>26571</v>
      </c>
      <c r="B26572">
        <f>TEXT(26571, "[$-0E0000]yyyy-mm-dd")</f>
        <v/>
      </c>
      <c r="C26572" t="inlineStr">
        <is>
          <t>1972-08-23</t>
        </is>
      </c>
    </row>
    <row r="26573">
      <c r="A26573" s="1" t="n">
        <v>26572</v>
      </c>
      <c r="B26573">
        <f>TEXT(26572, "[$-0E0000]yyyy-mm-dd")</f>
        <v/>
      </c>
      <c r="C26573" t="inlineStr">
        <is>
          <t>1972-08-24</t>
        </is>
      </c>
    </row>
    <row r="26574">
      <c r="A26574" s="1" t="n">
        <v>26573</v>
      </c>
      <c r="B26574">
        <f>TEXT(26573, "[$-0E0000]yyyy-mm-dd")</f>
        <v/>
      </c>
      <c r="C26574" t="inlineStr">
        <is>
          <t>1972-08-25</t>
        </is>
      </c>
    </row>
    <row r="26575">
      <c r="A26575" s="1" t="n">
        <v>26574</v>
      </c>
      <c r="B26575">
        <f>TEXT(26574, "[$-0E0000]yyyy-mm-dd")</f>
        <v/>
      </c>
      <c r="C26575" t="inlineStr">
        <is>
          <t>1972-08-26</t>
        </is>
      </c>
    </row>
    <row r="26576">
      <c r="A26576" s="1" t="n">
        <v>26575</v>
      </c>
      <c r="B26576">
        <f>TEXT(26575, "[$-0E0000]yyyy-mm-dd")</f>
        <v/>
      </c>
      <c r="C26576" t="inlineStr">
        <is>
          <t>1972-08-27</t>
        </is>
      </c>
    </row>
    <row r="26577">
      <c r="A26577" s="1" t="n">
        <v>26576</v>
      </c>
      <c r="B26577">
        <f>TEXT(26576, "[$-0E0000]yyyy-mm-dd")</f>
        <v/>
      </c>
      <c r="C26577" t="inlineStr">
        <is>
          <t>1972-08-28</t>
        </is>
      </c>
    </row>
    <row r="26578">
      <c r="A26578" s="1" t="n">
        <v>26577</v>
      </c>
      <c r="B26578">
        <f>TEXT(26577, "[$-0E0000]yyyy-mm-dd")</f>
        <v/>
      </c>
      <c r="C26578" t="inlineStr">
        <is>
          <t>1972-08-29</t>
        </is>
      </c>
    </row>
    <row r="26579">
      <c r="A26579" s="1" t="n">
        <v>26578</v>
      </c>
      <c r="B26579">
        <f>TEXT(26578, "[$-0E0000]yyyy-mm-dd")</f>
        <v/>
      </c>
      <c r="C26579" t="inlineStr">
        <is>
          <t>1972-09-01</t>
        </is>
      </c>
    </row>
    <row r="26580">
      <c r="A26580" s="1" t="n">
        <v>26579</v>
      </c>
      <c r="B26580">
        <f>TEXT(26579, "[$-0E0000]yyyy-mm-dd")</f>
        <v/>
      </c>
      <c r="C26580" t="inlineStr">
        <is>
          <t>1972-09-02</t>
        </is>
      </c>
    </row>
    <row r="26581">
      <c r="A26581" s="1" t="n">
        <v>26580</v>
      </c>
      <c r="B26581">
        <f>TEXT(26580, "[$-0E0000]yyyy-mm-dd")</f>
        <v/>
      </c>
      <c r="C26581" t="inlineStr">
        <is>
          <t>1972-09-03</t>
        </is>
      </c>
    </row>
    <row r="26582">
      <c r="A26582" s="1" t="n">
        <v>26581</v>
      </c>
      <c r="B26582">
        <f>TEXT(26581, "[$-0E0000]yyyy-mm-dd")</f>
        <v/>
      </c>
      <c r="C26582" t="inlineStr">
        <is>
          <t>1972-09-04</t>
        </is>
      </c>
    </row>
    <row r="26583">
      <c r="A26583" s="1" t="n">
        <v>26582</v>
      </c>
      <c r="B26583">
        <f>TEXT(26582, "[$-0E0000]yyyy-mm-dd")</f>
        <v/>
      </c>
      <c r="C26583" t="inlineStr">
        <is>
          <t>1972-09-05</t>
        </is>
      </c>
    </row>
    <row r="26584">
      <c r="A26584" s="1" t="n">
        <v>26583</v>
      </c>
      <c r="B26584">
        <f>TEXT(26583, "[$-0E0000]yyyy-mm-dd")</f>
        <v/>
      </c>
      <c r="C26584" t="inlineStr">
        <is>
          <t>1972-09-06</t>
        </is>
      </c>
    </row>
    <row r="26585">
      <c r="A26585" s="1" t="n">
        <v>26584</v>
      </c>
      <c r="B26585">
        <f>TEXT(26584, "[$-0E0000]yyyy-mm-dd")</f>
        <v/>
      </c>
      <c r="C26585" t="inlineStr">
        <is>
          <t>1972-09-07</t>
        </is>
      </c>
    </row>
    <row r="26586">
      <c r="A26586" s="1" t="n">
        <v>26585</v>
      </c>
      <c r="B26586">
        <f>TEXT(26585, "[$-0E0000]yyyy-mm-dd")</f>
        <v/>
      </c>
      <c r="C26586" t="inlineStr">
        <is>
          <t>1972-09-08</t>
        </is>
      </c>
    </row>
    <row r="26587">
      <c r="A26587" s="1" t="n">
        <v>26586</v>
      </c>
      <c r="B26587">
        <f>TEXT(26586, "[$-0E0000]yyyy-mm-dd")</f>
        <v/>
      </c>
      <c r="C26587" t="inlineStr">
        <is>
          <t>1972-09-09</t>
        </is>
      </c>
    </row>
    <row r="26588">
      <c r="A26588" s="1" t="n">
        <v>26587</v>
      </c>
      <c r="B26588">
        <f>TEXT(26587, "[$-0E0000]yyyy-mm-dd")</f>
        <v/>
      </c>
      <c r="C26588" t="inlineStr">
        <is>
          <t>1972-09-10</t>
        </is>
      </c>
    </row>
    <row r="26589">
      <c r="A26589" s="1" t="n">
        <v>26588</v>
      </c>
      <c r="B26589">
        <f>TEXT(26588, "[$-0E0000]yyyy-mm-dd")</f>
        <v/>
      </c>
      <c r="C26589" t="inlineStr">
        <is>
          <t>1972-09-11</t>
        </is>
      </c>
    </row>
    <row r="26590">
      <c r="A26590" s="1" t="n">
        <v>26589</v>
      </c>
      <c r="B26590">
        <f>TEXT(26589, "[$-0E0000]yyyy-mm-dd")</f>
        <v/>
      </c>
      <c r="C26590" t="inlineStr">
        <is>
          <t>1972-09-12</t>
        </is>
      </c>
    </row>
    <row r="26591">
      <c r="A26591" s="1" t="n">
        <v>26590</v>
      </c>
      <c r="B26591">
        <f>TEXT(26590, "[$-0E0000]yyyy-mm-dd")</f>
        <v/>
      </c>
      <c r="C26591" t="inlineStr">
        <is>
          <t>1972-09-13</t>
        </is>
      </c>
    </row>
    <row r="26592">
      <c r="A26592" s="1" t="n">
        <v>26591</v>
      </c>
      <c r="B26592">
        <f>TEXT(26591, "[$-0E0000]yyyy-mm-dd")</f>
        <v/>
      </c>
      <c r="C26592" t="inlineStr">
        <is>
          <t>1972-09-14</t>
        </is>
      </c>
    </row>
    <row r="26593">
      <c r="A26593" s="1" t="n">
        <v>26592</v>
      </c>
      <c r="B26593">
        <f>TEXT(26592, "[$-0E0000]yyyy-mm-dd")</f>
        <v/>
      </c>
      <c r="C26593" t="inlineStr">
        <is>
          <t>1972-09-15</t>
        </is>
      </c>
    </row>
    <row r="26594">
      <c r="A26594" s="1" t="n">
        <v>26593</v>
      </c>
      <c r="B26594">
        <f>TEXT(26593, "[$-0E0000]yyyy-mm-dd")</f>
        <v/>
      </c>
      <c r="C26594" t="inlineStr">
        <is>
          <t>1972-09-16</t>
        </is>
      </c>
    </row>
    <row r="26595">
      <c r="A26595" s="1" t="n">
        <v>26594</v>
      </c>
      <c r="B26595">
        <f>TEXT(26594, "[$-0E0000]yyyy-mm-dd")</f>
        <v/>
      </c>
      <c r="C26595" t="inlineStr">
        <is>
          <t>1972-09-17</t>
        </is>
      </c>
    </row>
    <row r="26596">
      <c r="A26596" s="1" t="n">
        <v>26595</v>
      </c>
      <c r="B26596">
        <f>TEXT(26595, "[$-0E0000]yyyy-mm-dd")</f>
        <v/>
      </c>
      <c r="C26596" t="inlineStr">
        <is>
          <t>1972-09-18</t>
        </is>
      </c>
    </row>
    <row r="26597">
      <c r="A26597" s="1" t="n">
        <v>26596</v>
      </c>
      <c r="B26597">
        <f>TEXT(26596, "[$-0E0000]yyyy-mm-dd")</f>
        <v/>
      </c>
      <c r="C26597" t="inlineStr">
        <is>
          <t>1972-09-19</t>
        </is>
      </c>
    </row>
    <row r="26598">
      <c r="A26598" s="1" t="n">
        <v>26597</v>
      </c>
      <c r="B26598">
        <f>TEXT(26597, "[$-0E0000]yyyy-mm-dd")</f>
        <v/>
      </c>
      <c r="C26598" t="inlineStr">
        <is>
          <t>1972-09-20</t>
        </is>
      </c>
    </row>
    <row r="26599">
      <c r="A26599" s="1" t="n">
        <v>26598</v>
      </c>
      <c r="B26599">
        <f>TEXT(26598, "[$-0E0000]yyyy-mm-dd")</f>
        <v/>
      </c>
      <c r="C26599" t="inlineStr">
        <is>
          <t>1972-09-21</t>
        </is>
      </c>
    </row>
    <row r="26600">
      <c r="A26600" s="1" t="n">
        <v>26599</v>
      </c>
      <c r="B26600">
        <f>TEXT(26599, "[$-0E0000]yyyy-mm-dd")</f>
        <v/>
      </c>
      <c r="C26600" t="inlineStr">
        <is>
          <t>1972-09-22</t>
        </is>
      </c>
    </row>
    <row r="26601">
      <c r="A26601" s="1" t="n">
        <v>26600</v>
      </c>
      <c r="B26601">
        <f>TEXT(26600, "[$-0E0000]yyyy-mm-dd")</f>
        <v/>
      </c>
      <c r="C26601" t="inlineStr">
        <is>
          <t>1972-09-23</t>
        </is>
      </c>
    </row>
    <row r="26602">
      <c r="A26602" s="1" t="n">
        <v>26601</v>
      </c>
      <c r="B26602">
        <f>TEXT(26601, "[$-0E0000]yyyy-mm-dd")</f>
        <v/>
      </c>
      <c r="C26602" t="inlineStr">
        <is>
          <t>1972-09-24</t>
        </is>
      </c>
    </row>
    <row r="26603">
      <c r="A26603" s="1" t="n">
        <v>26602</v>
      </c>
      <c r="B26603">
        <f>TEXT(26602, "[$-0E0000]yyyy-mm-dd")</f>
        <v/>
      </c>
      <c r="C26603" t="inlineStr">
        <is>
          <t>1972-09-25</t>
        </is>
      </c>
    </row>
    <row r="26604">
      <c r="A26604" s="1" t="n">
        <v>26603</v>
      </c>
      <c r="B26604">
        <f>TEXT(26603, "[$-0E0000]yyyy-mm-dd")</f>
        <v/>
      </c>
      <c r="C26604" t="inlineStr">
        <is>
          <t>1972-09-26</t>
        </is>
      </c>
    </row>
    <row r="26605">
      <c r="A26605" s="1" t="n">
        <v>26604</v>
      </c>
      <c r="B26605">
        <f>TEXT(26604, "[$-0E0000]yyyy-mm-dd")</f>
        <v/>
      </c>
      <c r="C26605" t="inlineStr">
        <is>
          <t>1972-09-27</t>
        </is>
      </c>
    </row>
    <row r="26606">
      <c r="A26606" s="1" t="n">
        <v>26605</v>
      </c>
      <c r="B26606">
        <f>TEXT(26605, "[$-0E0000]yyyy-mm-dd")</f>
        <v/>
      </c>
      <c r="C26606" t="inlineStr">
        <is>
          <t>1972-09-28</t>
        </is>
      </c>
    </row>
    <row r="26607">
      <c r="A26607" s="1" t="n">
        <v>26606</v>
      </c>
      <c r="B26607">
        <f>TEXT(26606, "[$-0E0000]yyyy-mm-dd")</f>
        <v/>
      </c>
      <c r="C26607" t="inlineStr">
        <is>
          <t>1972-09-29</t>
        </is>
      </c>
    </row>
    <row r="26608">
      <c r="A26608" s="1" t="n">
        <v>26607</v>
      </c>
      <c r="B26608">
        <f>TEXT(26607, "[$-0E0000]yyyy-mm-dd")</f>
        <v/>
      </c>
      <c r="C26608" t="inlineStr">
        <is>
          <t>1972-09-30</t>
        </is>
      </c>
    </row>
    <row r="26609">
      <c r="A26609" s="1" t="n">
        <v>26608</v>
      </c>
      <c r="B26609">
        <f>TEXT(26608, "[$-0E0000]yyyy-mm-dd")</f>
        <v/>
      </c>
      <c r="C26609" t="inlineStr">
        <is>
          <t>1972-10-01</t>
        </is>
      </c>
    </row>
    <row r="26610">
      <c r="A26610" s="1" t="n">
        <v>26609</v>
      </c>
      <c r="B26610">
        <f>TEXT(26609, "[$-0E0000]yyyy-mm-dd")</f>
        <v/>
      </c>
      <c r="C26610" t="inlineStr">
        <is>
          <t>1972-10-02</t>
        </is>
      </c>
    </row>
    <row r="26611">
      <c r="A26611" s="1" t="n">
        <v>26610</v>
      </c>
      <c r="B26611">
        <f>TEXT(26610, "[$-0E0000]yyyy-mm-dd")</f>
        <v/>
      </c>
      <c r="C26611" t="inlineStr">
        <is>
          <t>1972-10-03</t>
        </is>
      </c>
    </row>
    <row r="26612">
      <c r="A26612" s="1" t="n">
        <v>26611</v>
      </c>
      <c r="B26612">
        <f>TEXT(26611, "[$-0E0000]yyyy-mm-dd")</f>
        <v/>
      </c>
      <c r="C26612" t="inlineStr">
        <is>
          <t>1972-10-04</t>
        </is>
      </c>
    </row>
    <row r="26613">
      <c r="A26613" s="1" t="n">
        <v>26612</v>
      </c>
      <c r="B26613">
        <f>TEXT(26612, "[$-0E0000]yyyy-mm-dd")</f>
        <v/>
      </c>
      <c r="C26613" t="inlineStr">
        <is>
          <t>1972-10-05</t>
        </is>
      </c>
    </row>
    <row r="26614">
      <c r="A26614" s="1" t="n">
        <v>26613</v>
      </c>
      <c r="B26614">
        <f>TEXT(26613, "[$-0E0000]yyyy-mm-dd")</f>
        <v/>
      </c>
      <c r="C26614" t="inlineStr">
        <is>
          <t>1972-10-06</t>
        </is>
      </c>
    </row>
    <row r="26615">
      <c r="A26615" s="1" t="n">
        <v>26614</v>
      </c>
      <c r="B26615">
        <f>TEXT(26614, "[$-0E0000]yyyy-mm-dd")</f>
        <v/>
      </c>
      <c r="C26615" t="inlineStr">
        <is>
          <t>1972-10-07</t>
        </is>
      </c>
    </row>
    <row r="26616">
      <c r="A26616" s="1" t="n">
        <v>26615</v>
      </c>
      <c r="B26616">
        <f>TEXT(26615, "[$-0E0000]yyyy-mm-dd")</f>
        <v/>
      </c>
      <c r="C26616" t="inlineStr">
        <is>
          <t>1972-10-08</t>
        </is>
      </c>
    </row>
    <row r="26617">
      <c r="A26617" s="1" t="n">
        <v>26616</v>
      </c>
      <c r="B26617">
        <f>TEXT(26616, "[$-0E0000]yyyy-mm-dd")</f>
        <v/>
      </c>
      <c r="C26617" t="inlineStr">
        <is>
          <t>1972-10-09</t>
        </is>
      </c>
    </row>
    <row r="26618">
      <c r="A26618" s="1" t="n">
        <v>26617</v>
      </c>
      <c r="B26618">
        <f>TEXT(26617, "[$-0E0000]yyyy-mm-dd")</f>
        <v/>
      </c>
      <c r="C26618" t="inlineStr">
        <is>
          <t>1972-10-10</t>
        </is>
      </c>
    </row>
    <row r="26619">
      <c r="A26619" s="1" t="n">
        <v>26618</v>
      </c>
      <c r="B26619">
        <f>TEXT(26618, "[$-0E0000]yyyy-mm-dd")</f>
        <v/>
      </c>
      <c r="C26619" t="inlineStr">
        <is>
          <t>1972-10-11</t>
        </is>
      </c>
    </row>
    <row r="26620">
      <c r="A26620" s="1" t="n">
        <v>26619</v>
      </c>
      <c r="B26620">
        <f>TEXT(26619, "[$-0E0000]yyyy-mm-dd")</f>
        <v/>
      </c>
      <c r="C26620" t="inlineStr">
        <is>
          <t>1972-10-12</t>
        </is>
      </c>
    </row>
    <row r="26621">
      <c r="A26621" s="1" t="n">
        <v>26620</v>
      </c>
      <c r="B26621">
        <f>TEXT(26620, "[$-0E0000]yyyy-mm-dd")</f>
        <v/>
      </c>
      <c r="C26621" t="inlineStr">
        <is>
          <t>1972-10-13</t>
        </is>
      </c>
    </row>
    <row r="26622">
      <c r="A26622" s="1" t="n">
        <v>26621</v>
      </c>
      <c r="B26622">
        <f>TEXT(26621, "[$-0E0000]yyyy-mm-dd")</f>
        <v/>
      </c>
      <c r="C26622" t="inlineStr">
        <is>
          <t>1972-10-14</t>
        </is>
      </c>
    </row>
    <row r="26623">
      <c r="A26623" s="1" t="n">
        <v>26622</v>
      </c>
      <c r="B26623">
        <f>TEXT(26622, "[$-0E0000]yyyy-mm-dd")</f>
        <v/>
      </c>
      <c r="C26623" t="inlineStr">
        <is>
          <t>1972-10-15</t>
        </is>
      </c>
    </row>
    <row r="26624">
      <c r="A26624" s="1" t="n">
        <v>26623</v>
      </c>
      <c r="B26624">
        <f>TEXT(26623, "[$-0E0000]yyyy-mm-dd")</f>
        <v/>
      </c>
      <c r="C26624" t="inlineStr">
        <is>
          <t>1972-10-16</t>
        </is>
      </c>
    </row>
    <row r="26625">
      <c r="A26625" s="1" t="n">
        <v>26624</v>
      </c>
      <c r="B26625">
        <f>TEXT(26624, "[$-0E0000]yyyy-mm-dd")</f>
        <v/>
      </c>
      <c r="C26625" t="inlineStr">
        <is>
          <t>1972-10-17</t>
        </is>
      </c>
    </row>
    <row r="26626">
      <c r="A26626" s="1" t="n">
        <v>26625</v>
      </c>
      <c r="B26626">
        <f>TEXT(26625, "[$-0E0000]yyyy-mm-dd")</f>
        <v/>
      </c>
      <c r="C26626" t="inlineStr">
        <is>
          <t>1972-10-18</t>
        </is>
      </c>
    </row>
    <row r="26627">
      <c r="A26627" s="1" t="n">
        <v>26626</v>
      </c>
      <c r="B26627">
        <f>TEXT(26626, "[$-0E0000]yyyy-mm-dd")</f>
        <v/>
      </c>
      <c r="C26627" t="inlineStr">
        <is>
          <t>1972-10-19</t>
        </is>
      </c>
    </row>
    <row r="26628">
      <c r="A26628" s="1" t="n">
        <v>26627</v>
      </c>
      <c r="B26628">
        <f>TEXT(26627, "[$-0E0000]yyyy-mm-dd")</f>
        <v/>
      </c>
      <c r="C26628" t="inlineStr">
        <is>
          <t>1972-10-20</t>
        </is>
      </c>
    </row>
    <row r="26629">
      <c r="A26629" s="1" t="n">
        <v>26628</v>
      </c>
      <c r="B26629">
        <f>TEXT(26628, "[$-0E0000]yyyy-mm-dd")</f>
        <v/>
      </c>
      <c r="C26629" t="inlineStr">
        <is>
          <t>1972-10-21</t>
        </is>
      </c>
    </row>
    <row r="26630">
      <c r="A26630" s="1" t="n">
        <v>26629</v>
      </c>
      <c r="B26630">
        <f>TEXT(26629, "[$-0E0000]yyyy-mm-dd")</f>
        <v/>
      </c>
      <c r="C26630" t="inlineStr">
        <is>
          <t>1972-10-22</t>
        </is>
      </c>
    </row>
    <row r="26631">
      <c r="A26631" s="1" t="n">
        <v>26630</v>
      </c>
      <c r="B26631">
        <f>TEXT(26630, "[$-0E0000]yyyy-mm-dd")</f>
        <v/>
      </c>
      <c r="C26631" t="inlineStr">
        <is>
          <t>1972-10-23</t>
        </is>
      </c>
    </row>
    <row r="26632">
      <c r="A26632" s="1" t="n">
        <v>26631</v>
      </c>
      <c r="B26632">
        <f>TEXT(26631, "[$-0E0000]yyyy-mm-dd")</f>
        <v/>
      </c>
      <c r="C26632" t="inlineStr">
        <is>
          <t>1972-10-24</t>
        </is>
      </c>
    </row>
    <row r="26633">
      <c r="A26633" s="1" t="n">
        <v>26632</v>
      </c>
      <c r="B26633">
        <f>TEXT(26632, "[$-0E0000]yyyy-mm-dd")</f>
        <v/>
      </c>
      <c r="C26633" t="inlineStr">
        <is>
          <t>1972-10-25</t>
        </is>
      </c>
    </row>
    <row r="26634">
      <c r="A26634" s="1" t="n">
        <v>26633</v>
      </c>
      <c r="B26634">
        <f>TEXT(26633, "[$-0E0000]yyyy-mm-dd")</f>
        <v/>
      </c>
      <c r="C26634" t="inlineStr">
        <is>
          <t>1972-10-26</t>
        </is>
      </c>
    </row>
    <row r="26635">
      <c r="A26635" s="1" t="n">
        <v>26634</v>
      </c>
      <c r="B26635">
        <f>TEXT(26634, "[$-0E0000]yyyy-mm-dd")</f>
        <v/>
      </c>
      <c r="C26635" t="inlineStr">
        <is>
          <t>1972-10-27</t>
        </is>
      </c>
    </row>
    <row r="26636">
      <c r="A26636" s="1" t="n">
        <v>26635</v>
      </c>
      <c r="B26636">
        <f>TEXT(26635, "[$-0E0000]yyyy-mm-dd")</f>
        <v/>
      </c>
      <c r="C26636" t="inlineStr">
        <is>
          <t>1972-10-28</t>
        </is>
      </c>
    </row>
    <row r="26637">
      <c r="A26637" s="1" t="n">
        <v>26636</v>
      </c>
      <c r="B26637">
        <f>TEXT(26636, "[$-0E0000]yyyy-mm-dd")</f>
        <v/>
      </c>
      <c r="C26637" t="inlineStr">
        <is>
          <t>1972-10-29</t>
        </is>
      </c>
    </row>
    <row r="26638">
      <c r="A26638" s="1" t="n">
        <v>26637</v>
      </c>
      <c r="B26638">
        <f>TEXT(26637, "[$-0E0000]yyyy-mm-dd")</f>
        <v/>
      </c>
      <c r="C26638" t="inlineStr">
        <is>
          <t>1972-10-30</t>
        </is>
      </c>
    </row>
    <row r="26639">
      <c r="A26639" s="1" t="n">
        <v>26638</v>
      </c>
      <c r="B26639">
        <f>TEXT(26638, "[$-0E0000]yyyy-mm-dd")</f>
        <v/>
      </c>
      <c r="C26639" t="inlineStr">
        <is>
          <t>1972-11-01</t>
        </is>
      </c>
    </row>
    <row r="26640">
      <c r="A26640" s="1" t="n">
        <v>26639</v>
      </c>
      <c r="B26640">
        <f>TEXT(26639, "[$-0E0000]yyyy-mm-dd")</f>
        <v/>
      </c>
      <c r="C26640" t="inlineStr">
        <is>
          <t>1972-11-02</t>
        </is>
      </c>
    </row>
    <row r="26641">
      <c r="A26641" s="1" t="n">
        <v>26640</v>
      </c>
      <c r="B26641">
        <f>TEXT(26640, "[$-0E0000]yyyy-mm-dd")</f>
        <v/>
      </c>
      <c r="C26641" t="inlineStr">
        <is>
          <t>1972-11-03</t>
        </is>
      </c>
    </row>
    <row r="26642">
      <c r="A26642" s="1" t="n">
        <v>26641</v>
      </c>
      <c r="B26642">
        <f>TEXT(26641, "[$-0E0000]yyyy-mm-dd")</f>
        <v/>
      </c>
      <c r="C26642" t="inlineStr">
        <is>
          <t>1972-11-04</t>
        </is>
      </c>
    </row>
    <row r="26643">
      <c r="A26643" s="1" t="n">
        <v>26642</v>
      </c>
      <c r="B26643">
        <f>TEXT(26642, "[$-0E0000]yyyy-mm-dd")</f>
        <v/>
      </c>
      <c r="C26643" t="inlineStr">
        <is>
          <t>1972-11-05</t>
        </is>
      </c>
    </row>
    <row r="26644">
      <c r="A26644" s="1" t="n">
        <v>26643</v>
      </c>
      <c r="B26644">
        <f>TEXT(26643, "[$-0E0000]yyyy-mm-dd")</f>
        <v/>
      </c>
      <c r="C26644" t="inlineStr">
        <is>
          <t>1972-11-06</t>
        </is>
      </c>
    </row>
    <row r="26645">
      <c r="A26645" s="1" t="n">
        <v>26644</v>
      </c>
      <c r="B26645">
        <f>TEXT(26644, "[$-0E0000]yyyy-mm-dd")</f>
        <v/>
      </c>
      <c r="C26645" t="inlineStr">
        <is>
          <t>1972-11-07</t>
        </is>
      </c>
    </row>
    <row r="26646">
      <c r="A26646" s="1" t="n">
        <v>26645</v>
      </c>
      <c r="B26646">
        <f>TEXT(26645, "[$-0E0000]yyyy-mm-dd")</f>
        <v/>
      </c>
      <c r="C26646" t="inlineStr">
        <is>
          <t>1972-11-08</t>
        </is>
      </c>
    </row>
    <row r="26647">
      <c r="A26647" s="1" t="n">
        <v>26646</v>
      </c>
      <c r="B26647">
        <f>TEXT(26646, "[$-0E0000]yyyy-mm-dd")</f>
        <v/>
      </c>
      <c r="C26647" t="inlineStr">
        <is>
          <t>1972-11-09</t>
        </is>
      </c>
    </row>
    <row r="26648">
      <c r="A26648" s="1" t="n">
        <v>26647</v>
      </c>
      <c r="B26648">
        <f>TEXT(26647, "[$-0E0000]yyyy-mm-dd")</f>
        <v/>
      </c>
      <c r="C26648" t="inlineStr">
        <is>
          <t>1972-11-10</t>
        </is>
      </c>
    </row>
    <row r="26649">
      <c r="A26649" s="1" t="n">
        <v>26648</v>
      </c>
      <c r="B26649">
        <f>TEXT(26648, "[$-0E0000]yyyy-mm-dd")</f>
        <v/>
      </c>
      <c r="C26649" t="inlineStr">
        <is>
          <t>1972-11-11</t>
        </is>
      </c>
    </row>
    <row r="26650">
      <c r="A26650" s="1" t="n">
        <v>26649</v>
      </c>
      <c r="B26650">
        <f>TEXT(26649, "[$-0E0000]yyyy-mm-dd")</f>
        <v/>
      </c>
      <c r="C26650" t="inlineStr">
        <is>
          <t>1972-11-12</t>
        </is>
      </c>
    </row>
    <row r="26651">
      <c r="A26651" s="1" t="n">
        <v>26650</v>
      </c>
      <c r="B26651">
        <f>TEXT(26650, "[$-0E0000]yyyy-mm-dd")</f>
        <v/>
      </c>
      <c r="C26651" t="inlineStr">
        <is>
          <t>1972-11-13</t>
        </is>
      </c>
    </row>
    <row r="26652">
      <c r="A26652" s="1" t="n">
        <v>26651</v>
      </c>
      <c r="B26652">
        <f>TEXT(26651, "[$-0E0000]yyyy-mm-dd")</f>
        <v/>
      </c>
      <c r="C26652" t="inlineStr">
        <is>
          <t>1972-11-14</t>
        </is>
      </c>
    </row>
    <row r="26653">
      <c r="A26653" s="1" t="n">
        <v>26652</v>
      </c>
      <c r="B26653">
        <f>TEXT(26652, "[$-0E0000]yyyy-mm-dd")</f>
        <v/>
      </c>
      <c r="C26653" t="inlineStr">
        <is>
          <t>1972-11-15</t>
        </is>
      </c>
    </row>
    <row r="26654">
      <c r="A26654" s="1" t="n">
        <v>26653</v>
      </c>
      <c r="B26654">
        <f>TEXT(26653, "[$-0E0000]yyyy-mm-dd")</f>
        <v/>
      </c>
      <c r="C26654" t="inlineStr">
        <is>
          <t>1972-11-16</t>
        </is>
      </c>
    </row>
    <row r="26655">
      <c r="A26655" s="1" t="n">
        <v>26654</v>
      </c>
      <c r="B26655">
        <f>TEXT(26654, "[$-0E0000]yyyy-mm-dd")</f>
        <v/>
      </c>
      <c r="C26655" t="inlineStr">
        <is>
          <t>1972-11-17</t>
        </is>
      </c>
    </row>
    <row r="26656">
      <c r="A26656" s="1" t="n">
        <v>26655</v>
      </c>
      <c r="B26656">
        <f>TEXT(26655, "[$-0E0000]yyyy-mm-dd")</f>
        <v/>
      </c>
      <c r="C26656" t="inlineStr">
        <is>
          <t>1972-11-18</t>
        </is>
      </c>
    </row>
    <row r="26657">
      <c r="A26657" s="1" t="n">
        <v>26656</v>
      </c>
      <c r="B26657">
        <f>TEXT(26656, "[$-0E0000]yyyy-mm-dd")</f>
        <v/>
      </c>
      <c r="C26657" t="inlineStr">
        <is>
          <t>1972-11-19</t>
        </is>
      </c>
    </row>
    <row r="26658">
      <c r="A26658" s="1" t="n">
        <v>26657</v>
      </c>
      <c r="B26658">
        <f>TEXT(26657, "[$-0E0000]yyyy-mm-dd")</f>
        <v/>
      </c>
      <c r="C26658" t="inlineStr">
        <is>
          <t>1972-11-20</t>
        </is>
      </c>
    </row>
    <row r="26659">
      <c r="A26659" s="1" t="n">
        <v>26658</v>
      </c>
      <c r="B26659">
        <f>TEXT(26658, "[$-0E0000]yyyy-mm-dd")</f>
        <v/>
      </c>
      <c r="C26659" t="inlineStr">
        <is>
          <t>1972-11-21</t>
        </is>
      </c>
    </row>
    <row r="26660">
      <c r="A26660" s="1" t="n">
        <v>26659</v>
      </c>
      <c r="B26660">
        <f>TEXT(26659, "[$-0E0000]yyyy-mm-dd")</f>
        <v/>
      </c>
      <c r="C26660" t="inlineStr">
        <is>
          <t>1972-11-22</t>
        </is>
      </c>
    </row>
    <row r="26661">
      <c r="A26661" s="1" t="n">
        <v>26660</v>
      </c>
      <c r="B26661">
        <f>TEXT(26660, "[$-0E0000]yyyy-mm-dd")</f>
        <v/>
      </c>
      <c r="C26661" t="inlineStr">
        <is>
          <t>1972-11-23</t>
        </is>
      </c>
    </row>
    <row r="26662">
      <c r="A26662" s="1" t="n">
        <v>26661</v>
      </c>
      <c r="B26662">
        <f>TEXT(26661, "[$-0E0000]yyyy-mm-dd")</f>
        <v/>
      </c>
      <c r="C26662" t="inlineStr">
        <is>
          <t>1972-11-24</t>
        </is>
      </c>
    </row>
    <row r="26663">
      <c r="A26663" s="1" t="n">
        <v>26662</v>
      </c>
      <c r="B26663">
        <f>TEXT(26662, "[$-0E0000]yyyy-mm-dd")</f>
        <v/>
      </c>
      <c r="C26663" t="inlineStr">
        <is>
          <t>1972-11-25</t>
        </is>
      </c>
    </row>
    <row r="26664">
      <c r="A26664" s="1" t="n">
        <v>26663</v>
      </c>
      <c r="B26664">
        <f>TEXT(26663, "[$-0E0000]yyyy-mm-dd")</f>
        <v/>
      </c>
      <c r="C26664" t="inlineStr">
        <is>
          <t>1972-11-26</t>
        </is>
      </c>
    </row>
    <row r="26665">
      <c r="A26665" s="1" t="n">
        <v>26664</v>
      </c>
      <c r="B26665">
        <f>TEXT(26664, "[$-0E0000]yyyy-mm-dd")</f>
        <v/>
      </c>
      <c r="C26665" t="inlineStr">
        <is>
          <t>1972-11-27</t>
        </is>
      </c>
    </row>
    <row r="26666">
      <c r="A26666" s="1" t="n">
        <v>26665</v>
      </c>
      <c r="B26666">
        <f>TEXT(26665, "[$-0E0000]yyyy-mm-dd")</f>
        <v/>
      </c>
      <c r="C26666" t="inlineStr">
        <is>
          <t>1972-11-28</t>
        </is>
      </c>
    </row>
    <row r="26667">
      <c r="A26667" s="1" t="n">
        <v>26666</v>
      </c>
      <c r="B26667">
        <f>TEXT(26666, "[$-0E0000]yyyy-mm-dd")</f>
        <v/>
      </c>
      <c r="C26667" t="inlineStr">
        <is>
          <t>1972-11-29</t>
        </is>
      </c>
    </row>
    <row r="26668">
      <c r="A26668" s="1" t="n">
        <v>26667</v>
      </c>
      <c r="B26668">
        <f>TEXT(26667, "[$-0E0000]yyyy-mm-dd")</f>
        <v/>
      </c>
      <c r="C26668" t="inlineStr">
        <is>
          <t>1972-12-01</t>
        </is>
      </c>
    </row>
    <row r="26669">
      <c r="A26669" s="1" t="n">
        <v>26668</v>
      </c>
      <c r="B26669">
        <f>TEXT(26668, "[$-0E0000]yyyy-mm-dd")</f>
        <v/>
      </c>
      <c r="C26669" t="inlineStr">
        <is>
          <t>1972-12-02</t>
        </is>
      </c>
    </row>
    <row r="26670">
      <c r="A26670" s="1" t="n">
        <v>26669</v>
      </c>
      <c r="B26670">
        <f>TEXT(26669, "[$-0E0000]yyyy-mm-dd")</f>
        <v/>
      </c>
      <c r="C26670" t="inlineStr">
        <is>
          <t>1972-12-03</t>
        </is>
      </c>
    </row>
    <row r="26671">
      <c r="A26671" s="1" t="n">
        <v>26670</v>
      </c>
      <c r="B26671">
        <f>TEXT(26670, "[$-0E0000]yyyy-mm-dd")</f>
        <v/>
      </c>
      <c r="C26671" t="inlineStr">
        <is>
          <t>1972-12-04</t>
        </is>
      </c>
    </row>
    <row r="26672">
      <c r="A26672" s="1" t="n">
        <v>26671</v>
      </c>
      <c r="B26672">
        <f>TEXT(26671, "[$-0E0000]yyyy-mm-dd")</f>
        <v/>
      </c>
      <c r="C26672" t="inlineStr">
        <is>
          <t>1972-12-05</t>
        </is>
      </c>
    </row>
    <row r="26673">
      <c r="A26673" s="1" t="n">
        <v>26672</v>
      </c>
      <c r="B26673">
        <f>TEXT(26672, "[$-0E0000]yyyy-mm-dd")</f>
        <v/>
      </c>
      <c r="C26673" t="inlineStr">
        <is>
          <t>1972-12-06</t>
        </is>
      </c>
    </row>
    <row r="26674">
      <c r="A26674" s="1" t="n">
        <v>26673</v>
      </c>
      <c r="B26674">
        <f>TEXT(26673, "[$-0E0000]yyyy-mm-dd")</f>
        <v/>
      </c>
      <c r="C26674" t="inlineStr">
        <is>
          <t>1972-12-07</t>
        </is>
      </c>
    </row>
    <row r="26675">
      <c r="A26675" s="1" t="n">
        <v>26674</v>
      </c>
      <c r="B26675">
        <f>TEXT(26674, "[$-0E0000]yyyy-mm-dd")</f>
        <v/>
      </c>
      <c r="C26675" t="inlineStr">
        <is>
          <t>1972-12-08</t>
        </is>
      </c>
    </row>
    <row r="26676">
      <c r="A26676" s="1" t="n">
        <v>26675</v>
      </c>
      <c r="B26676">
        <f>TEXT(26675, "[$-0E0000]yyyy-mm-dd")</f>
        <v/>
      </c>
      <c r="C26676" t="inlineStr">
        <is>
          <t>1972-12-09</t>
        </is>
      </c>
    </row>
    <row r="26677">
      <c r="A26677" s="1" t="n">
        <v>26676</v>
      </c>
      <c r="B26677">
        <f>TEXT(26676, "[$-0E0000]yyyy-mm-dd")</f>
        <v/>
      </c>
      <c r="C26677" t="inlineStr">
        <is>
          <t>1972-12-10</t>
        </is>
      </c>
    </row>
    <row r="26678">
      <c r="A26678" s="1" t="n">
        <v>26677</v>
      </c>
      <c r="B26678">
        <f>TEXT(26677, "[$-0E0000]yyyy-mm-dd")</f>
        <v/>
      </c>
      <c r="C26678" t="inlineStr">
        <is>
          <t>1972-12-11</t>
        </is>
      </c>
    </row>
    <row r="26679">
      <c r="A26679" s="1" t="n">
        <v>26678</v>
      </c>
      <c r="B26679">
        <f>TEXT(26678, "[$-0E0000]yyyy-mm-dd")</f>
        <v/>
      </c>
      <c r="C26679" t="inlineStr">
        <is>
          <t>1972-12-12</t>
        </is>
      </c>
    </row>
    <row r="26680">
      <c r="A26680" s="1" t="n">
        <v>26679</v>
      </c>
      <c r="B26680">
        <f>TEXT(26679, "[$-0E0000]yyyy-mm-dd")</f>
        <v/>
      </c>
      <c r="C26680" t="inlineStr">
        <is>
          <t>1972-12-13</t>
        </is>
      </c>
    </row>
    <row r="26681">
      <c r="A26681" s="1" t="n">
        <v>26680</v>
      </c>
      <c r="B26681">
        <f>TEXT(26680, "[$-0E0000]yyyy-mm-dd")</f>
        <v/>
      </c>
      <c r="C26681" t="inlineStr">
        <is>
          <t>1972-12-14</t>
        </is>
      </c>
    </row>
    <row r="26682">
      <c r="A26682" s="1" t="n">
        <v>26681</v>
      </c>
      <c r="B26682">
        <f>TEXT(26681, "[$-0E0000]yyyy-mm-dd")</f>
        <v/>
      </c>
      <c r="C26682" t="inlineStr">
        <is>
          <t>1972-12-15</t>
        </is>
      </c>
    </row>
    <row r="26683">
      <c r="A26683" s="1" t="n">
        <v>26682</v>
      </c>
      <c r="B26683">
        <f>TEXT(26682, "[$-0E0000]yyyy-mm-dd")</f>
        <v/>
      </c>
      <c r="C26683" t="inlineStr">
        <is>
          <t>1972-12-16</t>
        </is>
      </c>
    </row>
    <row r="26684">
      <c r="A26684" s="1" t="n">
        <v>26683</v>
      </c>
      <c r="B26684">
        <f>TEXT(26683, "[$-0E0000]yyyy-mm-dd")</f>
        <v/>
      </c>
      <c r="C26684" t="inlineStr">
        <is>
          <t>1972-12-17</t>
        </is>
      </c>
    </row>
    <row r="26685">
      <c r="A26685" s="1" t="n">
        <v>26684</v>
      </c>
      <c r="B26685">
        <f>TEXT(26684, "[$-0E0000]yyyy-mm-dd")</f>
        <v/>
      </c>
      <c r="C26685" t="inlineStr">
        <is>
          <t>1972-12-18</t>
        </is>
      </c>
    </row>
    <row r="26686">
      <c r="A26686" s="1" t="n">
        <v>26685</v>
      </c>
      <c r="B26686">
        <f>TEXT(26685, "[$-0E0000]yyyy-mm-dd")</f>
        <v/>
      </c>
      <c r="C26686" t="inlineStr">
        <is>
          <t>1972-12-19</t>
        </is>
      </c>
    </row>
    <row r="26687">
      <c r="A26687" s="1" t="n">
        <v>26686</v>
      </c>
      <c r="B26687">
        <f>TEXT(26686, "[$-0E0000]yyyy-mm-dd")</f>
        <v/>
      </c>
      <c r="C26687" t="inlineStr">
        <is>
          <t>1972-12-20</t>
        </is>
      </c>
    </row>
    <row r="26688">
      <c r="A26688" s="1" t="n">
        <v>26687</v>
      </c>
      <c r="B26688">
        <f>TEXT(26687, "[$-0E0000]yyyy-mm-dd")</f>
        <v/>
      </c>
      <c r="C26688" t="inlineStr">
        <is>
          <t>1972-12-21</t>
        </is>
      </c>
    </row>
    <row r="26689">
      <c r="A26689" s="1" t="n">
        <v>26688</v>
      </c>
      <c r="B26689">
        <f>TEXT(26688, "[$-0E0000]yyyy-mm-dd")</f>
        <v/>
      </c>
      <c r="C26689" t="inlineStr">
        <is>
          <t>1972-12-22</t>
        </is>
      </c>
    </row>
    <row r="26690">
      <c r="A26690" s="1" t="n">
        <v>26689</v>
      </c>
      <c r="B26690">
        <f>TEXT(26689, "[$-0E0000]yyyy-mm-dd")</f>
        <v/>
      </c>
      <c r="C26690" t="inlineStr">
        <is>
          <t>1972-12-23</t>
        </is>
      </c>
    </row>
    <row r="26691">
      <c r="A26691" s="1" t="n">
        <v>26690</v>
      </c>
      <c r="B26691">
        <f>TEXT(26690, "[$-0E0000]yyyy-mm-dd")</f>
        <v/>
      </c>
      <c r="C26691" t="inlineStr">
        <is>
          <t>1972-12-24</t>
        </is>
      </c>
    </row>
    <row r="26692">
      <c r="A26692" s="1" t="n">
        <v>26691</v>
      </c>
      <c r="B26692">
        <f>TEXT(26691, "[$-0E0000]yyyy-mm-dd")</f>
        <v/>
      </c>
      <c r="C26692" t="inlineStr">
        <is>
          <t>1972-12-25</t>
        </is>
      </c>
    </row>
    <row r="26693">
      <c r="A26693" s="1" t="n">
        <v>26692</v>
      </c>
      <c r="B26693">
        <f>TEXT(26692, "[$-0E0000]yyyy-mm-dd")</f>
        <v/>
      </c>
      <c r="C26693" t="inlineStr">
        <is>
          <t>1972-12-26</t>
        </is>
      </c>
    </row>
    <row r="26694">
      <c r="A26694" s="1" t="n">
        <v>26693</v>
      </c>
      <c r="B26694">
        <f>TEXT(26693, "[$-0E0000]yyyy-mm-dd")</f>
        <v/>
      </c>
      <c r="C26694" t="inlineStr">
        <is>
          <t>1972-12-27</t>
        </is>
      </c>
    </row>
    <row r="26695">
      <c r="A26695" s="1" t="n">
        <v>26694</v>
      </c>
      <c r="B26695">
        <f>TEXT(26694, "[$-0E0000]yyyy-mm-dd")</f>
        <v/>
      </c>
      <c r="C26695" t="inlineStr">
        <is>
          <t>1972-12-28</t>
        </is>
      </c>
    </row>
    <row r="26696">
      <c r="A26696" s="1" t="n">
        <v>26695</v>
      </c>
      <c r="B26696">
        <f>TEXT(26695, "[$-0E0000]yyyy-mm-dd")</f>
        <v/>
      </c>
      <c r="C26696" t="inlineStr">
        <is>
          <t>1972-12-29</t>
        </is>
      </c>
    </row>
    <row r="26697">
      <c r="A26697" s="1" t="n">
        <v>26696</v>
      </c>
      <c r="B26697">
        <f>TEXT(26696, "[$-0E0000]yyyy-mm-dd")</f>
        <v/>
      </c>
      <c r="C26697" t="inlineStr">
        <is>
          <t>1972-12-30</t>
        </is>
      </c>
    </row>
    <row r="26698">
      <c r="A26698" s="1" t="n">
        <v>26697</v>
      </c>
      <c r="B26698">
        <f>TEXT(26697, "[$-0E0000]yyyy-mm-dd")</f>
        <v/>
      </c>
      <c r="C26698" t="inlineStr">
        <is>
          <t>1973-01-01</t>
        </is>
      </c>
    </row>
    <row r="26699">
      <c r="A26699" s="1" t="n">
        <v>26698</v>
      </c>
      <c r="B26699">
        <f>TEXT(26698, "[$-0E0000]yyyy-mm-dd")</f>
        <v/>
      </c>
      <c r="C26699" t="inlineStr">
        <is>
          <t>1973-01-02</t>
        </is>
      </c>
    </row>
    <row r="26700">
      <c r="A26700" s="1" t="n">
        <v>26699</v>
      </c>
      <c r="B26700">
        <f>TEXT(26699, "[$-0E0000]yyyy-mm-dd")</f>
        <v/>
      </c>
      <c r="C26700" t="inlineStr">
        <is>
          <t>1973-01-03</t>
        </is>
      </c>
    </row>
    <row r="26701">
      <c r="A26701" s="1" t="n">
        <v>26700</v>
      </c>
      <c r="B26701">
        <f>TEXT(26700, "[$-0E0000]yyyy-mm-dd")</f>
        <v/>
      </c>
      <c r="C26701" t="inlineStr">
        <is>
          <t>1973-01-04</t>
        </is>
      </c>
    </row>
    <row r="26702">
      <c r="A26702" s="1" t="n">
        <v>26701</v>
      </c>
      <c r="B26702">
        <f>TEXT(26701, "[$-0E0000]yyyy-mm-dd")</f>
        <v/>
      </c>
      <c r="C26702" t="inlineStr">
        <is>
          <t>1973-01-05</t>
        </is>
      </c>
    </row>
    <row r="26703">
      <c r="A26703" s="1" t="n">
        <v>26702</v>
      </c>
      <c r="B26703">
        <f>TEXT(26702, "[$-0E0000]yyyy-mm-dd")</f>
        <v/>
      </c>
      <c r="C26703" t="inlineStr">
        <is>
          <t>1973-01-06</t>
        </is>
      </c>
    </row>
    <row r="26704">
      <c r="A26704" s="1" t="n">
        <v>26703</v>
      </c>
      <c r="B26704">
        <f>TEXT(26703, "[$-0E0000]yyyy-mm-dd")</f>
        <v/>
      </c>
      <c r="C26704" t="inlineStr">
        <is>
          <t>1973-01-07</t>
        </is>
      </c>
    </row>
    <row r="26705">
      <c r="A26705" s="1" t="n">
        <v>26704</v>
      </c>
      <c r="B26705">
        <f>TEXT(26704, "[$-0E0000]yyyy-mm-dd")</f>
        <v/>
      </c>
      <c r="C26705" t="inlineStr">
        <is>
          <t>1973-01-08</t>
        </is>
      </c>
    </row>
    <row r="26706">
      <c r="A26706" s="1" t="n">
        <v>26705</v>
      </c>
      <c r="B26706">
        <f>TEXT(26705, "[$-0E0000]yyyy-mm-dd")</f>
        <v/>
      </c>
      <c r="C26706" t="inlineStr">
        <is>
          <t>1973-01-09</t>
        </is>
      </c>
    </row>
    <row r="26707">
      <c r="A26707" s="1" t="n">
        <v>26706</v>
      </c>
      <c r="B26707">
        <f>TEXT(26706, "[$-0E0000]yyyy-mm-dd")</f>
        <v/>
      </c>
      <c r="C26707" t="inlineStr">
        <is>
          <t>1973-01-10</t>
        </is>
      </c>
    </row>
    <row r="26708">
      <c r="A26708" s="1" t="n">
        <v>26707</v>
      </c>
      <c r="B26708">
        <f>TEXT(26707, "[$-0E0000]yyyy-mm-dd")</f>
        <v/>
      </c>
      <c r="C26708" t="inlineStr">
        <is>
          <t>1973-01-11</t>
        </is>
      </c>
    </row>
    <row r="26709">
      <c r="A26709" s="1" t="n">
        <v>26708</v>
      </c>
      <c r="B26709">
        <f>TEXT(26708, "[$-0E0000]yyyy-mm-dd")</f>
        <v/>
      </c>
      <c r="C26709" t="inlineStr">
        <is>
          <t>1973-01-12</t>
        </is>
      </c>
    </row>
    <row r="26710">
      <c r="A26710" s="1" t="n">
        <v>26709</v>
      </c>
      <c r="B26710">
        <f>TEXT(26709, "[$-0E0000]yyyy-mm-dd")</f>
        <v/>
      </c>
      <c r="C26710" t="inlineStr">
        <is>
          <t>1973-01-13</t>
        </is>
      </c>
    </row>
    <row r="26711">
      <c r="A26711" s="1" t="n">
        <v>26710</v>
      </c>
      <c r="B26711">
        <f>TEXT(26710, "[$-0E0000]yyyy-mm-dd")</f>
        <v/>
      </c>
      <c r="C26711" t="inlineStr">
        <is>
          <t>1973-01-14</t>
        </is>
      </c>
    </row>
    <row r="26712">
      <c r="A26712" s="1" t="n">
        <v>26711</v>
      </c>
      <c r="B26712">
        <f>TEXT(26711, "[$-0E0000]yyyy-mm-dd")</f>
        <v/>
      </c>
      <c r="C26712" t="inlineStr">
        <is>
          <t>1973-01-15</t>
        </is>
      </c>
    </row>
    <row r="26713">
      <c r="A26713" s="1" t="n">
        <v>26712</v>
      </c>
      <c r="B26713">
        <f>TEXT(26712, "[$-0E0000]yyyy-mm-dd")</f>
        <v/>
      </c>
      <c r="C26713" t="inlineStr">
        <is>
          <t>1973-01-16</t>
        </is>
      </c>
    </row>
    <row r="26714">
      <c r="A26714" s="1" t="n">
        <v>26713</v>
      </c>
      <c r="B26714">
        <f>TEXT(26713, "[$-0E0000]yyyy-mm-dd")</f>
        <v/>
      </c>
      <c r="C26714" t="inlineStr">
        <is>
          <t>1973-01-17</t>
        </is>
      </c>
    </row>
    <row r="26715">
      <c r="A26715" s="1" t="n">
        <v>26714</v>
      </c>
      <c r="B26715">
        <f>TEXT(26714, "[$-0E0000]yyyy-mm-dd")</f>
        <v/>
      </c>
      <c r="C26715" t="inlineStr">
        <is>
          <t>1973-01-18</t>
        </is>
      </c>
    </row>
    <row r="26716">
      <c r="A26716" s="1" t="n">
        <v>26715</v>
      </c>
      <c r="B26716">
        <f>TEXT(26715, "[$-0E0000]yyyy-mm-dd")</f>
        <v/>
      </c>
      <c r="C26716" t="inlineStr">
        <is>
          <t>1973-01-19</t>
        </is>
      </c>
    </row>
    <row r="26717">
      <c r="A26717" s="1" t="n">
        <v>26716</v>
      </c>
      <c r="B26717">
        <f>TEXT(26716, "[$-0E0000]yyyy-mm-dd")</f>
        <v/>
      </c>
      <c r="C26717" t="inlineStr">
        <is>
          <t>1973-01-20</t>
        </is>
      </c>
    </row>
    <row r="26718">
      <c r="A26718" s="1" t="n">
        <v>26717</v>
      </c>
      <c r="B26718">
        <f>TEXT(26717, "[$-0E0000]yyyy-mm-dd")</f>
        <v/>
      </c>
      <c r="C26718" t="inlineStr">
        <is>
          <t>1973-01-21</t>
        </is>
      </c>
    </row>
    <row r="26719">
      <c r="A26719" s="1" t="n">
        <v>26718</v>
      </c>
      <c r="B26719">
        <f>TEXT(26718, "[$-0E0000]yyyy-mm-dd")</f>
        <v/>
      </c>
      <c r="C26719" t="inlineStr">
        <is>
          <t>1973-01-22</t>
        </is>
      </c>
    </row>
    <row r="26720">
      <c r="A26720" s="1" t="n">
        <v>26719</v>
      </c>
      <c r="B26720">
        <f>TEXT(26719, "[$-0E0000]yyyy-mm-dd")</f>
        <v/>
      </c>
      <c r="C26720" t="inlineStr">
        <is>
          <t>1973-01-23</t>
        </is>
      </c>
    </row>
    <row r="26721">
      <c r="A26721" s="1" t="n">
        <v>26720</v>
      </c>
      <c r="B26721">
        <f>TEXT(26720, "[$-0E0000]yyyy-mm-dd")</f>
        <v/>
      </c>
      <c r="C26721" t="inlineStr">
        <is>
          <t>1973-01-24</t>
        </is>
      </c>
    </row>
    <row r="26722">
      <c r="A26722" s="1" t="n">
        <v>26721</v>
      </c>
      <c r="B26722">
        <f>TEXT(26721, "[$-0E0000]yyyy-mm-dd")</f>
        <v/>
      </c>
      <c r="C26722" t="inlineStr">
        <is>
          <t>1973-01-25</t>
        </is>
      </c>
    </row>
    <row r="26723">
      <c r="A26723" s="1" t="n">
        <v>26722</v>
      </c>
      <c r="B26723">
        <f>TEXT(26722, "[$-0E0000]yyyy-mm-dd")</f>
        <v/>
      </c>
      <c r="C26723" t="inlineStr">
        <is>
          <t>1973-01-26</t>
        </is>
      </c>
    </row>
    <row r="26724">
      <c r="A26724" s="1" t="n">
        <v>26723</v>
      </c>
      <c r="B26724">
        <f>TEXT(26723, "[$-0E0000]yyyy-mm-dd")</f>
        <v/>
      </c>
      <c r="C26724" t="inlineStr">
        <is>
          <t>1973-01-27</t>
        </is>
      </c>
    </row>
    <row r="26725">
      <c r="A26725" s="1" t="n">
        <v>26724</v>
      </c>
      <c r="B26725">
        <f>TEXT(26724, "[$-0E0000]yyyy-mm-dd")</f>
        <v/>
      </c>
      <c r="C26725" t="inlineStr">
        <is>
          <t>1973-01-28</t>
        </is>
      </c>
    </row>
    <row r="26726">
      <c r="A26726" s="1" t="n">
        <v>26725</v>
      </c>
      <c r="B26726">
        <f>TEXT(26725, "[$-0E0000]yyyy-mm-dd")</f>
        <v/>
      </c>
      <c r="C26726" t="inlineStr">
        <is>
          <t>1973-01-29</t>
        </is>
      </c>
    </row>
    <row r="26727">
      <c r="A26727" s="1" t="n">
        <v>26726</v>
      </c>
      <c r="B26727">
        <f>TEXT(26726, "[$-0E0000]yyyy-mm-dd")</f>
        <v/>
      </c>
      <c r="C26727" t="inlineStr">
        <is>
          <t>1973-01-30</t>
        </is>
      </c>
    </row>
    <row r="26728">
      <c r="A26728" s="1" t="n">
        <v>26727</v>
      </c>
      <c r="B26728">
        <f>TEXT(26727, "[$-0E0000]yyyy-mm-dd")</f>
        <v/>
      </c>
      <c r="C26728" t="inlineStr">
        <is>
          <t>1973-02-01</t>
        </is>
      </c>
    </row>
    <row r="26729">
      <c r="A26729" s="1" t="n">
        <v>26728</v>
      </c>
      <c r="B26729">
        <f>TEXT(26728, "[$-0E0000]yyyy-mm-dd")</f>
        <v/>
      </c>
      <c r="C26729" t="inlineStr">
        <is>
          <t>1973-02-02</t>
        </is>
      </c>
    </row>
    <row r="26730">
      <c r="A26730" s="1" t="n">
        <v>26729</v>
      </c>
      <c r="B26730">
        <f>TEXT(26729, "[$-0E0000]yyyy-mm-dd")</f>
        <v/>
      </c>
      <c r="C26730" t="inlineStr">
        <is>
          <t>1973-02-03</t>
        </is>
      </c>
    </row>
    <row r="26731">
      <c r="A26731" s="1" t="n">
        <v>26730</v>
      </c>
      <c r="B26731">
        <f>TEXT(26730, "[$-0E0000]yyyy-mm-dd")</f>
        <v/>
      </c>
      <c r="C26731" t="inlineStr">
        <is>
          <t>1973-02-04</t>
        </is>
      </c>
    </row>
    <row r="26732">
      <c r="A26732" s="1" t="n">
        <v>26731</v>
      </c>
      <c r="B26732">
        <f>TEXT(26731, "[$-0E0000]yyyy-mm-dd")</f>
        <v/>
      </c>
      <c r="C26732" t="inlineStr">
        <is>
          <t>1973-02-05</t>
        </is>
      </c>
    </row>
    <row r="26733">
      <c r="A26733" s="1" t="n">
        <v>26732</v>
      </c>
      <c r="B26733">
        <f>TEXT(26732, "[$-0E0000]yyyy-mm-dd")</f>
        <v/>
      </c>
      <c r="C26733" t="inlineStr">
        <is>
          <t>1973-02-06</t>
        </is>
      </c>
    </row>
    <row r="26734">
      <c r="A26734" s="1" t="n">
        <v>26733</v>
      </c>
      <c r="B26734">
        <f>TEXT(26733, "[$-0E0000]yyyy-mm-dd")</f>
        <v/>
      </c>
      <c r="C26734" t="inlineStr">
        <is>
          <t>1973-02-07</t>
        </is>
      </c>
    </row>
    <row r="26735">
      <c r="A26735" s="1" t="n">
        <v>26734</v>
      </c>
      <c r="B26735">
        <f>TEXT(26734, "[$-0E0000]yyyy-mm-dd")</f>
        <v/>
      </c>
      <c r="C26735" t="inlineStr">
        <is>
          <t>1973-02-08</t>
        </is>
      </c>
    </row>
    <row r="26736">
      <c r="A26736" s="1" t="n">
        <v>26735</v>
      </c>
      <c r="B26736">
        <f>TEXT(26735, "[$-0E0000]yyyy-mm-dd")</f>
        <v/>
      </c>
      <c r="C26736" t="inlineStr">
        <is>
          <t>1973-02-09</t>
        </is>
      </c>
    </row>
    <row r="26737">
      <c r="A26737" s="1" t="n">
        <v>26736</v>
      </c>
      <c r="B26737">
        <f>TEXT(26736, "[$-0E0000]yyyy-mm-dd")</f>
        <v/>
      </c>
      <c r="C26737" t="inlineStr">
        <is>
          <t>1973-02-10</t>
        </is>
      </c>
    </row>
    <row r="26738">
      <c r="A26738" s="1" t="n">
        <v>26737</v>
      </c>
      <c r="B26738">
        <f>TEXT(26737, "[$-0E0000]yyyy-mm-dd")</f>
        <v/>
      </c>
      <c r="C26738" t="inlineStr">
        <is>
          <t>1973-02-11</t>
        </is>
      </c>
    </row>
    <row r="26739">
      <c r="A26739" s="1" t="n">
        <v>26738</v>
      </c>
      <c r="B26739">
        <f>TEXT(26738, "[$-0E0000]yyyy-mm-dd")</f>
        <v/>
      </c>
      <c r="C26739" t="inlineStr">
        <is>
          <t>1973-02-12</t>
        </is>
      </c>
    </row>
    <row r="26740">
      <c r="A26740" s="1" t="n">
        <v>26739</v>
      </c>
      <c r="B26740">
        <f>TEXT(26739, "[$-0E0000]yyyy-mm-dd")</f>
        <v/>
      </c>
      <c r="C26740" t="inlineStr">
        <is>
          <t>1973-02-13</t>
        </is>
      </c>
    </row>
    <row r="26741">
      <c r="A26741" s="1" t="n">
        <v>26740</v>
      </c>
      <c r="B26741">
        <f>TEXT(26740, "[$-0E0000]yyyy-mm-dd")</f>
        <v/>
      </c>
      <c r="C26741" t="inlineStr">
        <is>
          <t>1973-02-14</t>
        </is>
      </c>
    </row>
    <row r="26742">
      <c r="A26742" s="1" t="n">
        <v>26741</v>
      </c>
      <c r="B26742">
        <f>TEXT(26741, "[$-0E0000]yyyy-mm-dd")</f>
        <v/>
      </c>
      <c r="C26742" t="inlineStr">
        <is>
          <t>1973-02-15</t>
        </is>
      </c>
    </row>
    <row r="26743">
      <c r="A26743" s="1" t="n">
        <v>26742</v>
      </c>
      <c r="B26743">
        <f>TEXT(26742, "[$-0E0000]yyyy-mm-dd")</f>
        <v/>
      </c>
      <c r="C26743" t="inlineStr">
        <is>
          <t>1973-02-16</t>
        </is>
      </c>
    </row>
    <row r="26744">
      <c r="A26744" s="1" t="n">
        <v>26743</v>
      </c>
      <c r="B26744">
        <f>TEXT(26743, "[$-0E0000]yyyy-mm-dd")</f>
        <v/>
      </c>
      <c r="C26744" t="inlineStr">
        <is>
          <t>1973-02-17</t>
        </is>
      </c>
    </row>
    <row r="26745">
      <c r="A26745" s="1" t="n">
        <v>26744</v>
      </c>
      <c r="B26745">
        <f>TEXT(26744, "[$-0E0000]yyyy-mm-dd")</f>
        <v/>
      </c>
      <c r="C26745" t="inlineStr">
        <is>
          <t>1973-02-18</t>
        </is>
      </c>
    </row>
    <row r="26746">
      <c r="A26746" s="1" t="n">
        <v>26745</v>
      </c>
      <c r="B26746">
        <f>TEXT(26745, "[$-0E0000]yyyy-mm-dd")</f>
        <v/>
      </c>
      <c r="C26746" t="inlineStr">
        <is>
          <t>1973-02-19</t>
        </is>
      </c>
    </row>
    <row r="26747">
      <c r="A26747" s="1" t="n">
        <v>26746</v>
      </c>
      <c r="B26747">
        <f>TEXT(26746, "[$-0E0000]yyyy-mm-dd")</f>
        <v/>
      </c>
      <c r="C26747" t="inlineStr">
        <is>
          <t>1973-02-20</t>
        </is>
      </c>
    </row>
    <row r="26748">
      <c r="A26748" s="1" t="n">
        <v>26747</v>
      </c>
      <c r="B26748">
        <f>TEXT(26747, "[$-0E0000]yyyy-mm-dd")</f>
        <v/>
      </c>
      <c r="C26748" t="inlineStr">
        <is>
          <t>1973-02-21</t>
        </is>
      </c>
    </row>
    <row r="26749">
      <c r="A26749" s="1" t="n">
        <v>26748</v>
      </c>
      <c r="B26749">
        <f>TEXT(26748, "[$-0E0000]yyyy-mm-dd")</f>
        <v/>
      </c>
      <c r="C26749" t="inlineStr">
        <is>
          <t>1973-02-22</t>
        </is>
      </c>
    </row>
    <row r="26750">
      <c r="A26750" s="1" t="n">
        <v>26749</v>
      </c>
      <c r="B26750">
        <f>TEXT(26749, "[$-0E0000]yyyy-mm-dd")</f>
        <v/>
      </c>
      <c r="C26750" t="inlineStr">
        <is>
          <t>1973-02-23</t>
        </is>
      </c>
    </row>
    <row r="26751">
      <c r="A26751" s="1" t="n">
        <v>26750</v>
      </c>
      <c r="B26751">
        <f>TEXT(26750, "[$-0E0000]yyyy-mm-dd")</f>
        <v/>
      </c>
      <c r="C26751" t="inlineStr">
        <is>
          <t>1973-02-24</t>
        </is>
      </c>
    </row>
    <row r="26752">
      <c r="A26752" s="1" t="n">
        <v>26751</v>
      </c>
      <c r="B26752">
        <f>TEXT(26751, "[$-0E0000]yyyy-mm-dd")</f>
        <v/>
      </c>
      <c r="C26752" t="inlineStr">
        <is>
          <t>1973-02-25</t>
        </is>
      </c>
    </row>
    <row r="26753">
      <c r="A26753" s="1" t="n">
        <v>26752</v>
      </c>
      <c r="B26753">
        <f>TEXT(26752, "[$-0E0000]yyyy-mm-dd")</f>
        <v/>
      </c>
      <c r="C26753" t="inlineStr">
        <is>
          <t>1973-02-26</t>
        </is>
      </c>
    </row>
    <row r="26754">
      <c r="A26754" s="1" t="n">
        <v>26753</v>
      </c>
      <c r="B26754">
        <f>TEXT(26753, "[$-0E0000]yyyy-mm-dd")</f>
        <v/>
      </c>
      <c r="C26754" t="inlineStr">
        <is>
          <t>1973-02-27</t>
        </is>
      </c>
    </row>
    <row r="26755">
      <c r="A26755" s="1" t="n">
        <v>26754</v>
      </c>
      <c r="B26755">
        <f>TEXT(26754, "[$-0E0000]yyyy-mm-dd")</f>
        <v/>
      </c>
      <c r="C26755" t="inlineStr">
        <is>
          <t>1973-02-28</t>
        </is>
      </c>
    </row>
    <row r="26756">
      <c r="A26756" s="1" t="n">
        <v>26755</v>
      </c>
      <c r="B26756">
        <f>TEXT(26755, "[$-0E0000]yyyy-mm-dd")</f>
        <v/>
      </c>
      <c r="C26756" t="inlineStr">
        <is>
          <t>1973-02-29</t>
        </is>
      </c>
    </row>
    <row r="26757">
      <c r="A26757" s="1" t="n">
        <v>26756</v>
      </c>
      <c r="B26757">
        <f>TEXT(26756, "[$-0E0000]yyyy-mm-dd")</f>
        <v/>
      </c>
      <c r="C26757" t="inlineStr">
        <is>
          <t>1973-03-01</t>
        </is>
      </c>
    </row>
    <row r="26758">
      <c r="A26758" s="1" t="n">
        <v>26757</v>
      </c>
      <c r="B26758">
        <f>TEXT(26757, "[$-0E0000]yyyy-mm-dd")</f>
        <v/>
      </c>
      <c r="C26758" t="inlineStr">
        <is>
          <t>1973-03-02</t>
        </is>
      </c>
    </row>
    <row r="26759">
      <c r="A26759" s="1" t="n">
        <v>26758</v>
      </c>
      <c r="B26759">
        <f>TEXT(26758, "[$-0E0000]yyyy-mm-dd")</f>
        <v/>
      </c>
      <c r="C26759" t="inlineStr">
        <is>
          <t>1973-03-03</t>
        </is>
      </c>
    </row>
    <row r="26760">
      <c r="A26760" s="1" t="n">
        <v>26759</v>
      </c>
      <c r="B26760">
        <f>TEXT(26759, "[$-0E0000]yyyy-mm-dd")</f>
        <v/>
      </c>
      <c r="C26760" t="inlineStr">
        <is>
          <t>1973-03-04</t>
        </is>
      </c>
    </row>
    <row r="26761">
      <c r="A26761" s="1" t="n">
        <v>26760</v>
      </c>
      <c r="B26761">
        <f>TEXT(26760, "[$-0E0000]yyyy-mm-dd")</f>
        <v/>
      </c>
      <c r="C26761" t="inlineStr">
        <is>
          <t>1973-03-05</t>
        </is>
      </c>
    </row>
    <row r="26762">
      <c r="A26762" s="1" t="n">
        <v>26761</v>
      </c>
      <c r="B26762">
        <f>TEXT(26761, "[$-0E0000]yyyy-mm-dd")</f>
        <v/>
      </c>
      <c r="C26762" t="inlineStr">
        <is>
          <t>1973-03-06</t>
        </is>
      </c>
    </row>
    <row r="26763">
      <c r="A26763" s="1" t="n">
        <v>26762</v>
      </c>
      <c r="B26763">
        <f>TEXT(26762, "[$-0E0000]yyyy-mm-dd")</f>
        <v/>
      </c>
      <c r="C26763" t="inlineStr">
        <is>
          <t>1973-03-07</t>
        </is>
      </c>
    </row>
    <row r="26764">
      <c r="A26764" s="1" t="n">
        <v>26763</v>
      </c>
      <c r="B26764">
        <f>TEXT(26763, "[$-0E0000]yyyy-mm-dd")</f>
        <v/>
      </c>
      <c r="C26764" t="inlineStr">
        <is>
          <t>1973-03-08</t>
        </is>
      </c>
    </row>
    <row r="26765">
      <c r="A26765" s="1" t="n">
        <v>26764</v>
      </c>
      <c r="B26765">
        <f>TEXT(26764, "[$-0E0000]yyyy-mm-dd")</f>
        <v/>
      </c>
      <c r="C26765" t="inlineStr">
        <is>
          <t>1973-03-09</t>
        </is>
      </c>
    </row>
    <row r="26766">
      <c r="A26766" s="1" t="n">
        <v>26765</v>
      </c>
      <c r="B26766">
        <f>TEXT(26765, "[$-0E0000]yyyy-mm-dd")</f>
        <v/>
      </c>
      <c r="C26766" t="inlineStr">
        <is>
          <t>1973-03-10</t>
        </is>
      </c>
    </row>
    <row r="26767">
      <c r="A26767" s="1" t="n">
        <v>26766</v>
      </c>
      <c r="B26767">
        <f>TEXT(26766, "[$-0E0000]yyyy-mm-dd")</f>
        <v/>
      </c>
      <c r="C26767" t="inlineStr">
        <is>
          <t>1973-03-11</t>
        </is>
      </c>
    </row>
    <row r="26768">
      <c r="A26768" s="1" t="n">
        <v>26767</v>
      </c>
      <c r="B26768">
        <f>TEXT(26767, "[$-0E0000]yyyy-mm-dd")</f>
        <v/>
      </c>
      <c r="C26768" t="inlineStr">
        <is>
          <t>1973-03-12</t>
        </is>
      </c>
    </row>
    <row r="26769">
      <c r="A26769" s="1" t="n">
        <v>26768</v>
      </c>
      <c r="B26769">
        <f>TEXT(26768, "[$-0E0000]yyyy-mm-dd")</f>
        <v/>
      </c>
      <c r="C26769" t="inlineStr">
        <is>
          <t>1973-03-13</t>
        </is>
      </c>
    </row>
    <row r="26770">
      <c r="A26770" s="1" t="n">
        <v>26769</v>
      </c>
      <c r="B26770">
        <f>TEXT(26769, "[$-0E0000]yyyy-mm-dd")</f>
        <v/>
      </c>
      <c r="C26770" t="inlineStr">
        <is>
          <t>1973-03-14</t>
        </is>
      </c>
    </row>
    <row r="26771">
      <c r="A26771" s="1" t="n">
        <v>26770</v>
      </c>
      <c r="B26771">
        <f>TEXT(26770, "[$-0E0000]yyyy-mm-dd")</f>
        <v/>
      </c>
      <c r="C26771" t="inlineStr">
        <is>
          <t>1973-03-15</t>
        </is>
      </c>
    </row>
    <row r="26772">
      <c r="A26772" s="1" t="n">
        <v>26771</v>
      </c>
      <c r="B26772">
        <f>TEXT(26771, "[$-0E0000]yyyy-mm-dd")</f>
        <v/>
      </c>
      <c r="C26772" t="inlineStr">
        <is>
          <t>1973-03-16</t>
        </is>
      </c>
    </row>
    <row r="26773">
      <c r="A26773" s="1" t="n">
        <v>26772</v>
      </c>
      <c r="B26773">
        <f>TEXT(26772, "[$-0E0000]yyyy-mm-dd")</f>
        <v/>
      </c>
      <c r="C26773" t="inlineStr">
        <is>
          <t>1973-03-17</t>
        </is>
      </c>
    </row>
    <row r="26774">
      <c r="A26774" s="1" t="n">
        <v>26773</v>
      </c>
      <c r="B26774">
        <f>TEXT(26773, "[$-0E0000]yyyy-mm-dd")</f>
        <v/>
      </c>
      <c r="C26774" t="inlineStr">
        <is>
          <t>1973-03-18</t>
        </is>
      </c>
    </row>
    <row r="26775">
      <c r="A26775" s="1" t="n">
        <v>26774</v>
      </c>
      <c r="B26775">
        <f>TEXT(26774, "[$-0E0000]yyyy-mm-dd")</f>
        <v/>
      </c>
      <c r="C26775" t="inlineStr">
        <is>
          <t>1973-03-19</t>
        </is>
      </c>
    </row>
    <row r="26776">
      <c r="A26776" s="1" t="n">
        <v>26775</v>
      </c>
      <c r="B26776">
        <f>TEXT(26775, "[$-0E0000]yyyy-mm-dd")</f>
        <v/>
      </c>
      <c r="C26776" t="inlineStr">
        <is>
          <t>1973-03-20</t>
        </is>
      </c>
    </row>
    <row r="26777">
      <c r="A26777" s="1" t="n">
        <v>26776</v>
      </c>
      <c r="B26777">
        <f>TEXT(26776, "[$-0E0000]yyyy-mm-dd")</f>
        <v/>
      </c>
      <c r="C26777" t="inlineStr">
        <is>
          <t>1973-03-21</t>
        </is>
      </c>
    </row>
    <row r="26778">
      <c r="A26778" s="1" t="n">
        <v>26777</v>
      </c>
      <c r="B26778">
        <f>TEXT(26777, "[$-0E0000]yyyy-mm-dd")</f>
        <v/>
      </c>
      <c r="C26778" t="inlineStr">
        <is>
          <t>1973-03-22</t>
        </is>
      </c>
    </row>
    <row r="26779">
      <c r="A26779" s="1" t="n">
        <v>26778</v>
      </c>
      <c r="B26779">
        <f>TEXT(26778, "[$-0E0000]yyyy-mm-dd")</f>
        <v/>
      </c>
      <c r="C26779" t="inlineStr">
        <is>
          <t>1973-03-23</t>
        </is>
      </c>
    </row>
    <row r="26780">
      <c r="A26780" s="1" t="n">
        <v>26779</v>
      </c>
      <c r="B26780">
        <f>TEXT(26779, "[$-0E0000]yyyy-mm-dd")</f>
        <v/>
      </c>
      <c r="C26780" t="inlineStr">
        <is>
          <t>1973-03-24</t>
        </is>
      </c>
    </row>
    <row r="26781">
      <c r="A26781" s="1" t="n">
        <v>26780</v>
      </c>
      <c r="B26781">
        <f>TEXT(26780, "[$-0E0000]yyyy-mm-dd")</f>
        <v/>
      </c>
      <c r="C26781" t="inlineStr">
        <is>
          <t>1973-03-25</t>
        </is>
      </c>
    </row>
    <row r="26782">
      <c r="A26782" s="1" t="n">
        <v>26781</v>
      </c>
      <c r="B26782">
        <f>TEXT(26781, "[$-0E0000]yyyy-mm-dd")</f>
        <v/>
      </c>
      <c r="C26782" t="inlineStr">
        <is>
          <t>1973-03-26</t>
        </is>
      </c>
    </row>
    <row r="26783">
      <c r="A26783" s="1" t="n">
        <v>26782</v>
      </c>
      <c r="B26783">
        <f>TEXT(26782, "[$-0E0000]yyyy-mm-dd")</f>
        <v/>
      </c>
      <c r="C26783" t="inlineStr">
        <is>
          <t>1973-03-27</t>
        </is>
      </c>
    </row>
    <row r="26784">
      <c r="A26784" s="1" t="n">
        <v>26783</v>
      </c>
      <c r="B26784">
        <f>TEXT(26783, "[$-0E0000]yyyy-mm-dd")</f>
        <v/>
      </c>
      <c r="C26784" t="inlineStr">
        <is>
          <t>1973-03-28</t>
        </is>
      </c>
    </row>
    <row r="26785">
      <c r="A26785" s="1" t="n">
        <v>26784</v>
      </c>
      <c r="B26785">
        <f>TEXT(26784, "[$-0E0000]yyyy-mm-dd")</f>
        <v/>
      </c>
      <c r="C26785" t="inlineStr">
        <is>
          <t>1973-03-29</t>
        </is>
      </c>
    </row>
    <row r="26786">
      <c r="A26786" s="1" t="n">
        <v>26785</v>
      </c>
      <c r="B26786">
        <f>TEXT(26785, "[$-0E0000]yyyy-mm-dd")</f>
        <v/>
      </c>
      <c r="C26786" t="inlineStr">
        <is>
          <t>1973-03-30</t>
        </is>
      </c>
    </row>
    <row r="26787">
      <c r="A26787" s="1" t="n">
        <v>26786</v>
      </c>
      <c r="B26787">
        <f>TEXT(26786, "[$-0E0000]yyyy-mm-dd")</f>
        <v/>
      </c>
      <c r="C26787" t="inlineStr">
        <is>
          <t>1973-04-01</t>
        </is>
      </c>
    </row>
    <row r="26788">
      <c r="A26788" s="1" t="n">
        <v>26787</v>
      </c>
      <c r="B26788">
        <f>TEXT(26787, "[$-0E0000]yyyy-mm-dd")</f>
        <v/>
      </c>
      <c r="C26788" t="inlineStr">
        <is>
          <t>1973-04-02</t>
        </is>
      </c>
    </row>
    <row r="26789">
      <c r="A26789" s="1" t="n">
        <v>26788</v>
      </c>
      <c r="B26789">
        <f>TEXT(26788, "[$-0E0000]yyyy-mm-dd")</f>
        <v/>
      </c>
      <c r="C26789" t="inlineStr">
        <is>
          <t>1973-04-03</t>
        </is>
      </c>
    </row>
    <row r="26790">
      <c r="A26790" s="1" t="n">
        <v>26789</v>
      </c>
      <c r="B26790">
        <f>TEXT(26789, "[$-0E0000]yyyy-mm-dd")</f>
        <v/>
      </c>
      <c r="C26790" t="inlineStr">
        <is>
          <t>1973-04-04</t>
        </is>
      </c>
    </row>
    <row r="26791">
      <c r="A26791" s="1" t="n">
        <v>26790</v>
      </c>
      <c r="B26791">
        <f>TEXT(26790, "[$-0E0000]yyyy-mm-dd")</f>
        <v/>
      </c>
      <c r="C26791" t="inlineStr">
        <is>
          <t>1973-04-05</t>
        </is>
      </c>
    </row>
    <row r="26792">
      <c r="A26792" s="1" t="n">
        <v>26791</v>
      </c>
      <c r="B26792">
        <f>TEXT(26791, "[$-0E0000]yyyy-mm-dd")</f>
        <v/>
      </c>
      <c r="C26792" t="inlineStr">
        <is>
          <t>1973-04-06</t>
        </is>
      </c>
    </row>
    <row r="26793">
      <c r="A26793" s="1" t="n">
        <v>26792</v>
      </c>
      <c r="B26793">
        <f>TEXT(26792, "[$-0E0000]yyyy-mm-dd")</f>
        <v/>
      </c>
      <c r="C26793" t="inlineStr">
        <is>
          <t>1973-04-07</t>
        </is>
      </c>
    </row>
    <row r="26794">
      <c r="A26794" s="1" t="n">
        <v>26793</v>
      </c>
      <c r="B26794">
        <f>TEXT(26793, "[$-0E0000]yyyy-mm-dd")</f>
        <v/>
      </c>
      <c r="C26794" t="inlineStr">
        <is>
          <t>1973-04-08</t>
        </is>
      </c>
    </row>
    <row r="26795">
      <c r="A26795" s="1" t="n">
        <v>26794</v>
      </c>
      <c r="B26795">
        <f>TEXT(26794, "[$-0E0000]yyyy-mm-dd")</f>
        <v/>
      </c>
      <c r="C26795" t="inlineStr">
        <is>
          <t>1973-04-09</t>
        </is>
      </c>
    </row>
    <row r="26796">
      <c r="A26796" s="1" t="n">
        <v>26795</v>
      </c>
      <c r="B26796">
        <f>TEXT(26795, "[$-0E0000]yyyy-mm-dd")</f>
        <v/>
      </c>
      <c r="C26796" t="inlineStr">
        <is>
          <t>1973-04-10</t>
        </is>
      </c>
    </row>
    <row r="26797">
      <c r="A26797" s="1" t="n">
        <v>26796</v>
      </c>
      <c r="B26797">
        <f>TEXT(26796, "[$-0E0000]yyyy-mm-dd")</f>
        <v/>
      </c>
      <c r="C26797" t="inlineStr">
        <is>
          <t>1973-04-11</t>
        </is>
      </c>
    </row>
    <row r="26798">
      <c r="A26798" s="1" t="n">
        <v>26797</v>
      </c>
      <c r="B26798">
        <f>TEXT(26797, "[$-0E0000]yyyy-mm-dd")</f>
        <v/>
      </c>
      <c r="C26798" t="inlineStr">
        <is>
          <t>1973-04-12</t>
        </is>
      </c>
    </row>
    <row r="26799">
      <c r="A26799" s="1" t="n">
        <v>26798</v>
      </c>
      <c r="B26799">
        <f>TEXT(26798, "[$-0E0000]yyyy-mm-dd")</f>
        <v/>
      </c>
      <c r="C26799" t="inlineStr">
        <is>
          <t>1973-04-13</t>
        </is>
      </c>
    </row>
    <row r="26800">
      <c r="A26800" s="1" t="n">
        <v>26799</v>
      </c>
      <c r="B26800">
        <f>TEXT(26799, "[$-0E0000]yyyy-mm-dd")</f>
        <v/>
      </c>
      <c r="C26800" t="inlineStr">
        <is>
          <t>1973-04-14</t>
        </is>
      </c>
    </row>
    <row r="26801">
      <c r="A26801" s="1" t="n">
        <v>26800</v>
      </c>
      <c r="B26801">
        <f>TEXT(26800, "[$-0E0000]yyyy-mm-dd")</f>
        <v/>
      </c>
      <c r="C26801" t="inlineStr">
        <is>
          <t>1973-04-15</t>
        </is>
      </c>
    </row>
    <row r="26802">
      <c r="A26802" s="1" t="n">
        <v>26801</v>
      </c>
      <c r="B26802">
        <f>TEXT(26801, "[$-0E0000]yyyy-mm-dd")</f>
        <v/>
      </c>
      <c r="C26802" t="inlineStr">
        <is>
          <t>1973-04-16</t>
        </is>
      </c>
    </row>
    <row r="26803">
      <c r="A26803" s="1" t="n">
        <v>26802</v>
      </c>
      <c r="B26803">
        <f>TEXT(26802, "[$-0E0000]yyyy-mm-dd")</f>
        <v/>
      </c>
      <c r="C26803" t="inlineStr">
        <is>
          <t>1973-04-17</t>
        </is>
      </c>
    </row>
    <row r="26804">
      <c r="A26804" s="1" t="n">
        <v>26803</v>
      </c>
      <c r="B26804">
        <f>TEXT(26803, "[$-0E0000]yyyy-mm-dd")</f>
        <v/>
      </c>
      <c r="C26804" t="inlineStr">
        <is>
          <t>1973-04-18</t>
        </is>
      </c>
    </row>
    <row r="26805">
      <c r="A26805" s="1" t="n">
        <v>26804</v>
      </c>
      <c r="B26805">
        <f>TEXT(26804, "[$-0E0000]yyyy-mm-dd")</f>
        <v/>
      </c>
      <c r="C26805" t="inlineStr">
        <is>
          <t>1973-04-19</t>
        </is>
      </c>
    </row>
    <row r="26806">
      <c r="A26806" s="1" t="n">
        <v>26805</v>
      </c>
      <c r="B26806">
        <f>TEXT(26805, "[$-0E0000]yyyy-mm-dd")</f>
        <v/>
      </c>
      <c r="C26806" t="inlineStr">
        <is>
          <t>1973-04-20</t>
        </is>
      </c>
    </row>
    <row r="26807">
      <c r="A26807" s="1" t="n">
        <v>26806</v>
      </c>
      <c r="B26807">
        <f>TEXT(26806, "[$-0E0000]yyyy-mm-dd")</f>
        <v/>
      </c>
      <c r="C26807" t="inlineStr">
        <is>
          <t>1973-04-21</t>
        </is>
      </c>
    </row>
    <row r="26808">
      <c r="A26808" s="1" t="n">
        <v>26807</v>
      </c>
      <c r="B26808">
        <f>TEXT(26807, "[$-0E0000]yyyy-mm-dd")</f>
        <v/>
      </c>
      <c r="C26808" t="inlineStr">
        <is>
          <t>1973-04-22</t>
        </is>
      </c>
    </row>
    <row r="26809">
      <c r="A26809" s="1" t="n">
        <v>26808</v>
      </c>
      <c r="B26809">
        <f>TEXT(26808, "[$-0E0000]yyyy-mm-dd")</f>
        <v/>
      </c>
      <c r="C26809" t="inlineStr">
        <is>
          <t>1973-04-23</t>
        </is>
      </c>
    </row>
    <row r="26810">
      <c r="A26810" s="1" t="n">
        <v>26809</v>
      </c>
      <c r="B26810">
        <f>TEXT(26809, "[$-0E0000]yyyy-mm-dd")</f>
        <v/>
      </c>
      <c r="C26810" t="inlineStr">
        <is>
          <t>1973-04-24</t>
        </is>
      </c>
    </row>
    <row r="26811">
      <c r="A26811" s="1" t="n">
        <v>26810</v>
      </c>
      <c r="B26811">
        <f>TEXT(26810, "[$-0E0000]yyyy-mm-dd")</f>
        <v/>
      </c>
      <c r="C26811" t="inlineStr">
        <is>
          <t>1973-04-25</t>
        </is>
      </c>
    </row>
    <row r="26812">
      <c r="A26812" s="1" t="n">
        <v>26811</v>
      </c>
      <c r="B26812">
        <f>TEXT(26811, "[$-0E0000]yyyy-mm-dd")</f>
        <v/>
      </c>
      <c r="C26812" t="inlineStr">
        <is>
          <t>1973-04-26</t>
        </is>
      </c>
    </row>
    <row r="26813">
      <c r="A26813" s="1" t="n">
        <v>26812</v>
      </c>
      <c r="B26813">
        <f>TEXT(26812, "[$-0E0000]yyyy-mm-dd")</f>
        <v/>
      </c>
      <c r="C26813" t="inlineStr">
        <is>
          <t>1973-04-27</t>
        </is>
      </c>
    </row>
    <row r="26814">
      <c r="A26814" s="1" t="n">
        <v>26813</v>
      </c>
      <c r="B26814">
        <f>TEXT(26813, "[$-0E0000]yyyy-mm-dd")</f>
        <v/>
      </c>
      <c r="C26814" t="inlineStr">
        <is>
          <t>1973-04-28</t>
        </is>
      </c>
    </row>
    <row r="26815">
      <c r="A26815" s="1" t="n">
        <v>26814</v>
      </c>
      <c r="B26815">
        <f>TEXT(26814, "[$-0E0000]yyyy-mm-dd")</f>
        <v/>
      </c>
      <c r="C26815" t="inlineStr">
        <is>
          <t>1973-04-29</t>
        </is>
      </c>
    </row>
    <row r="26816">
      <c r="A26816" s="1" t="n">
        <v>26815</v>
      </c>
      <c r="B26816">
        <f>TEXT(26815, "[$-0E0000]yyyy-mm-dd")</f>
        <v/>
      </c>
      <c r="C26816" t="inlineStr">
        <is>
          <t>1973-05-01</t>
        </is>
      </c>
    </row>
    <row r="26817">
      <c r="A26817" s="1" t="n">
        <v>26816</v>
      </c>
      <c r="B26817">
        <f>TEXT(26816, "[$-0E0000]yyyy-mm-dd")</f>
        <v/>
      </c>
      <c r="C26817" t="inlineStr">
        <is>
          <t>1973-05-02</t>
        </is>
      </c>
    </row>
    <row r="26818">
      <c r="A26818" s="1" t="n">
        <v>26817</v>
      </c>
      <c r="B26818">
        <f>TEXT(26817, "[$-0E0000]yyyy-mm-dd")</f>
        <v/>
      </c>
      <c r="C26818" t="inlineStr">
        <is>
          <t>1973-05-03</t>
        </is>
      </c>
    </row>
    <row r="26819">
      <c r="A26819" s="1" t="n">
        <v>26818</v>
      </c>
      <c r="B26819">
        <f>TEXT(26818, "[$-0E0000]yyyy-mm-dd")</f>
        <v/>
      </c>
      <c r="C26819" t="inlineStr">
        <is>
          <t>1973-05-04</t>
        </is>
      </c>
    </row>
    <row r="26820">
      <c r="A26820" s="1" t="n">
        <v>26819</v>
      </c>
      <c r="B26820">
        <f>TEXT(26819, "[$-0E0000]yyyy-mm-dd")</f>
        <v/>
      </c>
      <c r="C26820" t="inlineStr">
        <is>
          <t>1973-05-05</t>
        </is>
      </c>
    </row>
    <row r="26821">
      <c r="A26821" s="1" t="n">
        <v>26820</v>
      </c>
      <c r="B26821">
        <f>TEXT(26820, "[$-0E0000]yyyy-mm-dd")</f>
        <v/>
      </c>
      <c r="C26821" t="inlineStr">
        <is>
          <t>1973-05-06</t>
        </is>
      </c>
    </row>
    <row r="26822">
      <c r="A26822" s="1" t="n">
        <v>26821</v>
      </c>
      <c r="B26822">
        <f>TEXT(26821, "[$-0E0000]yyyy-mm-dd")</f>
        <v/>
      </c>
      <c r="C26822" t="inlineStr">
        <is>
          <t>1973-05-07</t>
        </is>
      </c>
    </row>
    <row r="26823">
      <c r="A26823" s="1" t="n">
        <v>26822</v>
      </c>
      <c r="B26823">
        <f>TEXT(26822, "[$-0E0000]yyyy-mm-dd")</f>
        <v/>
      </c>
      <c r="C26823" t="inlineStr">
        <is>
          <t>1973-05-08</t>
        </is>
      </c>
    </row>
    <row r="26824">
      <c r="A26824" s="1" t="n">
        <v>26823</v>
      </c>
      <c r="B26824">
        <f>TEXT(26823, "[$-0E0000]yyyy-mm-dd")</f>
        <v/>
      </c>
      <c r="C26824" t="inlineStr">
        <is>
          <t>1973-05-09</t>
        </is>
      </c>
    </row>
    <row r="26825">
      <c r="A26825" s="1" t="n">
        <v>26824</v>
      </c>
      <c r="B26825">
        <f>TEXT(26824, "[$-0E0000]yyyy-mm-dd")</f>
        <v/>
      </c>
      <c r="C26825" t="inlineStr">
        <is>
          <t>1973-05-10</t>
        </is>
      </c>
    </row>
    <row r="26826">
      <c r="A26826" s="1" t="n">
        <v>26825</v>
      </c>
      <c r="B26826">
        <f>TEXT(26825, "[$-0E0000]yyyy-mm-dd")</f>
        <v/>
      </c>
      <c r="C26826" t="inlineStr">
        <is>
          <t>1973-05-11</t>
        </is>
      </c>
    </row>
    <row r="26827">
      <c r="A26827" s="1" t="n">
        <v>26826</v>
      </c>
      <c r="B26827">
        <f>TEXT(26826, "[$-0E0000]yyyy-mm-dd")</f>
        <v/>
      </c>
      <c r="C26827" t="inlineStr">
        <is>
          <t>1973-05-12</t>
        </is>
      </c>
    </row>
    <row r="26828">
      <c r="A26828" s="1" t="n">
        <v>26827</v>
      </c>
      <c r="B26828">
        <f>TEXT(26827, "[$-0E0000]yyyy-mm-dd")</f>
        <v/>
      </c>
      <c r="C26828" t="inlineStr">
        <is>
          <t>1973-05-13</t>
        </is>
      </c>
    </row>
    <row r="26829">
      <c r="A26829" s="1" t="n">
        <v>26828</v>
      </c>
      <c r="B26829">
        <f>TEXT(26828, "[$-0E0000]yyyy-mm-dd")</f>
        <v/>
      </c>
      <c r="C26829" t="inlineStr">
        <is>
          <t>1973-05-14</t>
        </is>
      </c>
    </row>
    <row r="26830">
      <c r="A26830" s="1" t="n">
        <v>26829</v>
      </c>
      <c r="B26830">
        <f>TEXT(26829, "[$-0E0000]yyyy-mm-dd")</f>
        <v/>
      </c>
      <c r="C26830" t="inlineStr">
        <is>
          <t>1973-05-15</t>
        </is>
      </c>
    </row>
    <row r="26831">
      <c r="A26831" s="1" t="n">
        <v>26830</v>
      </c>
      <c r="B26831">
        <f>TEXT(26830, "[$-0E0000]yyyy-mm-dd")</f>
        <v/>
      </c>
      <c r="C26831" t="inlineStr">
        <is>
          <t>1973-05-16</t>
        </is>
      </c>
    </row>
    <row r="26832">
      <c r="A26832" s="1" t="n">
        <v>26831</v>
      </c>
      <c r="B26832">
        <f>TEXT(26831, "[$-0E0000]yyyy-mm-dd")</f>
        <v/>
      </c>
      <c r="C26832" t="inlineStr">
        <is>
          <t>1973-05-17</t>
        </is>
      </c>
    </row>
    <row r="26833">
      <c r="A26833" s="1" t="n">
        <v>26832</v>
      </c>
      <c r="B26833">
        <f>TEXT(26832, "[$-0E0000]yyyy-mm-dd")</f>
        <v/>
      </c>
      <c r="C26833" t="inlineStr">
        <is>
          <t>1973-05-18</t>
        </is>
      </c>
    </row>
    <row r="26834">
      <c r="A26834" s="1" t="n">
        <v>26833</v>
      </c>
      <c r="B26834">
        <f>TEXT(26833, "[$-0E0000]yyyy-mm-dd")</f>
        <v/>
      </c>
      <c r="C26834" t="inlineStr">
        <is>
          <t>1973-05-19</t>
        </is>
      </c>
    </row>
    <row r="26835">
      <c r="A26835" s="1" t="n">
        <v>26834</v>
      </c>
      <c r="B26835">
        <f>TEXT(26834, "[$-0E0000]yyyy-mm-dd")</f>
        <v/>
      </c>
      <c r="C26835" t="inlineStr">
        <is>
          <t>1973-05-20</t>
        </is>
      </c>
    </row>
    <row r="26836">
      <c r="A26836" s="1" t="n">
        <v>26835</v>
      </c>
      <c r="B26836">
        <f>TEXT(26835, "[$-0E0000]yyyy-mm-dd")</f>
        <v/>
      </c>
      <c r="C26836" t="inlineStr">
        <is>
          <t>1973-05-21</t>
        </is>
      </c>
    </row>
    <row r="26837">
      <c r="A26837" s="1" t="n">
        <v>26836</v>
      </c>
      <c r="B26837">
        <f>TEXT(26836, "[$-0E0000]yyyy-mm-dd")</f>
        <v/>
      </c>
      <c r="C26837" t="inlineStr">
        <is>
          <t>1973-05-22</t>
        </is>
      </c>
    </row>
    <row r="26838">
      <c r="A26838" s="1" t="n">
        <v>26837</v>
      </c>
      <c r="B26838">
        <f>TEXT(26837, "[$-0E0000]yyyy-mm-dd")</f>
        <v/>
      </c>
      <c r="C26838" t="inlineStr">
        <is>
          <t>1973-05-23</t>
        </is>
      </c>
    </row>
    <row r="26839">
      <c r="A26839" s="1" t="n">
        <v>26838</v>
      </c>
      <c r="B26839">
        <f>TEXT(26838, "[$-0E0000]yyyy-mm-dd")</f>
        <v/>
      </c>
      <c r="C26839" t="inlineStr">
        <is>
          <t>1973-05-24</t>
        </is>
      </c>
    </row>
    <row r="26840">
      <c r="A26840" s="1" t="n">
        <v>26839</v>
      </c>
      <c r="B26840">
        <f>TEXT(26839, "[$-0E0000]yyyy-mm-dd")</f>
        <v/>
      </c>
      <c r="C26840" t="inlineStr">
        <is>
          <t>1973-05-25</t>
        </is>
      </c>
    </row>
    <row r="26841">
      <c r="A26841" s="1" t="n">
        <v>26840</v>
      </c>
      <c r="B26841">
        <f>TEXT(26840, "[$-0E0000]yyyy-mm-dd")</f>
        <v/>
      </c>
      <c r="C26841" t="inlineStr">
        <is>
          <t>1973-05-26</t>
        </is>
      </c>
    </row>
    <row r="26842">
      <c r="A26842" s="1" t="n">
        <v>26841</v>
      </c>
      <c r="B26842">
        <f>TEXT(26841, "[$-0E0000]yyyy-mm-dd")</f>
        <v/>
      </c>
      <c r="C26842" t="inlineStr">
        <is>
          <t>1973-05-27</t>
        </is>
      </c>
    </row>
    <row r="26843">
      <c r="A26843" s="1" t="n">
        <v>26842</v>
      </c>
      <c r="B26843">
        <f>TEXT(26842, "[$-0E0000]yyyy-mm-dd")</f>
        <v/>
      </c>
      <c r="C26843" t="inlineStr">
        <is>
          <t>1973-05-28</t>
        </is>
      </c>
    </row>
    <row r="26844">
      <c r="A26844" s="1" t="n">
        <v>26843</v>
      </c>
      <c r="B26844">
        <f>TEXT(26843, "[$-0E0000]yyyy-mm-dd")</f>
        <v/>
      </c>
      <c r="C26844" t="inlineStr">
        <is>
          <t>1973-05-29</t>
        </is>
      </c>
    </row>
    <row r="26845">
      <c r="A26845" s="1" t="n">
        <v>26844</v>
      </c>
      <c r="B26845">
        <f>TEXT(26844, "[$-0E0000]yyyy-mm-dd")</f>
        <v/>
      </c>
      <c r="C26845" t="inlineStr">
        <is>
          <t>1973-06-01</t>
        </is>
      </c>
    </row>
    <row r="26846">
      <c r="A26846" s="1" t="n">
        <v>26845</v>
      </c>
      <c r="B26846">
        <f>TEXT(26845, "[$-0E0000]yyyy-mm-dd")</f>
        <v/>
      </c>
      <c r="C26846" t="inlineStr">
        <is>
          <t>1973-06-02</t>
        </is>
      </c>
    </row>
    <row r="26847">
      <c r="A26847" s="1" t="n">
        <v>26846</v>
      </c>
      <c r="B26847">
        <f>TEXT(26846, "[$-0E0000]yyyy-mm-dd")</f>
        <v/>
      </c>
      <c r="C26847" t="inlineStr">
        <is>
          <t>1973-06-03</t>
        </is>
      </c>
    </row>
    <row r="26848">
      <c r="A26848" s="1" t="n">
        <v>26847</v>
      </c>
      <c r="B26848">
        <f>TEXT(26847, "[$-0E0000]yyyy-mm-dd")</f>
        <v/>
      </c>
      <c r="C26848" t="inlineStr">
        <is>
          <t>1973-06-04</t>
        </is>
      </c>
    </row>
    <row r="26849">
      <c r="A26849" s="1" t="n">
        <v>26848</v>
      </c>
      <c r="B26849">
        <f>TEXT(26848, "[$-0E0000]yyyy-mm-dd")</f>
        <v/>
      </c>
      <c r="C26849" t="inlineStr">
        <is>
          <t>1973-06-05</t>
        </is>
      </c>
    </row>
    <row r="26850">
      <c r="A26850" s="1" t="n">
        <v>26849</v>
      </c>
      <c r="B26850">
        <f>TEXT(26849, "[$-0E0000]yyyy-mm-dd")</f>
        <v/>
      </c>
      <c r="C26850" t="inlineStr">
        <is>
          <t>1973-06-06</t>
        </is>
      </c>
    </row>
    <row r="26851">
      <c r="A26851" s="1" t="n">
        <v>26850</v>
      </c>
      <c r="B26851">
        <f>TEXT(26850, "[$-0E0000]yyyy-mm-dd")</f>
        <v/>
      </c>
      <c r="C26851" t="inlineStr">
        <is>
          <t>1973-06-07</t>
        </is>
      </c>
    </row>
    <row r="26852">
      <c r="A26852" s="1" t="n">
        <v>26851</v>
      </c>
      <c r="B26852">
        <f>TEXT(26851, "[$-0E0000]yyyy-mm-dd")</f>
        <v/>
      </c>
      <c r="C26852" t="inlineStr">
        <is>
          <t>1973-06-08</t>
        </is>
      </c>
    </row>
    <row r="26853">
      <c r="A26853" s="1" t="n">
        <v>26852</v>
      </c>
      <c r="B26853">
        <f>TEXT(26852, "[$-0E0000]yyyy-mm-dd")</f>
        <v/>
      </c>
      <c r="C26853" t="inlineStr">
        <is>
          <t>1973-06-09</t>
        </is>
      </c>
    </row>
    <row r="26854">
      <c r="A26854" s="1" t="n">
        <v>26853</v>
      </c>
      <c r="B26854">
        <f>TEXT(26853, "[$-0E0000]yyyy-mm-dd")</f>
        <v/>
      </c>
      <c r="C26854" t="inlineStr">
        <is>
          <t>1973-06-10</t>
        </is>
      </c>
    </row>
    <row r="26855">
      <c r="A26855" s="1" t="n">
        <v>26854</v>
      </c>
      <c r="B26855">
        <f>TEXT(26854, "[$-0E0000]yyyy-mm-dd")</f>
        <v/>
      </c>
      <c r="C26855" t="inlineStr">
        <is>
          <t>1973-06-11</t>
        </is>
      </c>
    </row>
    <row r="26856">
      <c r="A26856" s="1" t="n">
        <v>26855</v>
      </c>
      <c r="B26856">
        <f>TEXT(26855, "[$-0E0000]yyyy-mm-dd")</f>
        <v/>
      </c>
      <c r="C26856" t="inlineStr">
        <is>
          <t>1973-06-12</t>
        </is>
      </c>
    </row>
    <row r="26857">
      <c r="A26857" s="1" t="n">
        <v>26856</v>
      </c>
      <c r="B26857">
        <f>TEXT(26856, "[$-0E0000]yyyy-mm-dd")</f>
        <v/>
      </c>
      <c r="C26857" t="inlineStr">
        <is>
          <t>1973-06-13</t>
        </is>
      </c>
    </row>
    <row r="26858">
      <c r="A26858" s="1" t="n">
        <v>26857</v>
      </c>
      <c r="B26858">
        <f>TEXT(26857, "[$-0E0000]yyyy-mm-dd")</f>
        <v/>
      </c>
      <c r="C26858" t="inlineStr">
        <is>
          <t>1973-06-14</t>
        </is>
      </c>
    </row>
    <row r="26859">
      <c r="A26859" s="1" t="n">
        <v>26858</v>
      </c>
      <c r="B26859">
        <f>TEXT(26858, "[$-0E0000]yyyy-mm-dd")</f>
        <v/>
      </c>
      <c r="C26859" t="inlineStr">
        <is>
          <t>1973-06-15</t>
        </is>
      </c>
    </row>
    <row r="26860">
      <c r="A26860" s="1" t="n">
        <v>26859</v>
      </c>
      <c r="B26860">
        <f>TEXT(26859, "[$-0E0000]yyyy-mm-dd")</f>
        <v/>
      </c>
      <c r="C26860" t="inlineStr">
        <is>
          <t>1973-06-16</t>
        </is>
      </c>
    </row>
    <row r="26861">
      <c r="A26861" s="1" t="n">
        <v>26860</v>
      </c>
      <c r="B26861">
        <f>TEXT(26860, "[$-0E0000]yyyy-mm-dd")</f>
        <v/>
      </c>
      <c r="C26861" t="inlineStr">
        <is>
          <t>1973-06-17</t>
        </is>
      </c>
    </row>
    <row r="26862">
      <c r="A26862" s="1" t="n">
        <v>26861</v>
      </c>
      <c r="B26862">
        <f>TEXT(26861, "[$-0E0000]yyyy-mm-dd")</f>
        <v/>
      </c>
      <c r="C26862" t="inlineStr">
        <is>
          <t>1973-06-18</t>
        </is>
      </c>
    </row>
    <row r="26863">
      <c r="A26863" s="1" t="n">
        <v>26862</v>
      </c>
      <c r="B26863">
        <f>TEXT(26862, "[$-0E0000]yyyy-mm-dd")</f>
        <v/>
      </c>
      <c r="C26863" t="inlineStr">
        <is>
          <t>1973-06-19</t>
        </is>
      </c>
    </row>
    <row r="26864">
      <c r="A26864" s="1" t="n">
        <v>26863</v>
      </c>
      <c r="B26864">
        <f>TEXT(26863, "[$-0E0000]yyyy-mm-dd")</f>
        <v/>
      </c>
      <c r="C26864" t="inlineStr">
        <is>
          <t>1973-06-20</t>
        </is>
      </c>
    </row>
    <row r="26865">
      <c r="A26865" s="1" t="n">
        <v>26864</v>
      </c>
      <c r="B26865">
        <f>TEXT(26864, "[$-0E0000]yyyy-mm-dd")</f>
        <v/>
      </c>
      <c r="C26865" t="inlineStr">
        <is>
          <t>1973-06-21</t>
        </is>
      </c>
    </row>
    <row r="26866">
      <c r="A26866" s="1" t="n">
        <v>26865</v>
      </c>
      <c r="B26866">
        <f>TEXT(26865, "[$-0E0000]yyyy-mm-dd")</f>
        <v/>
      </c>
      <c r="C26866" t="inlineStr">
        <is>
          <t>1973-06-22</t>
        </is>
      </c>
    </row>
    <row r="26867">
      <c r="A26867" s="1" t="n">
        <v>26866</v>
      </c>
      <c r="B26867">
        <f>TEXT(26866, "[$-0E0000]yyyy-mm-dd")</f>
        <v/>
      </c>
      <c r="C26867" t="inlineStr">
        <is>
          <t>1973-06-23</t>
        </is>
      </c>
    </row>
    <row r="26868">
      <c r="A26868" s="1" t="n">
        <v>26867</v>
      </c>
      <c r="B26868">
        <f>TEXT(26867, "[$-0E0000]yyyy-mm-dd")</f>
        <v/>
      </c>
      <c r="C26868" t="inlineStr">
        <is>
          <t>1973-06-24</t>
        </is>
      </c>
    </row>
    <row r="26869">
      <c r="A26869" s="1" t="n">
        <v>26868</v>
      </c>
      <c r="B26869">
        <f>TEXT(26868, "[$-0E0000]yyyy-mm-dd")</f>
        <v/>
      </c>
      <c r="C26869" t="inlineStr">
        <is>
          <t>1973-06-25</t>
        </is>
      </c>
    </row>
    <row r="26870">
      <c r="A26870" s="1" t="n">
        <v>26869</v>
      </c>
      <c r="B26870">
        <f>TEXT(26869, "[$-0E0000]yyyy-mm-dd")</f>
        <v/>
      </c>
      <c r="C26870" t="inlineStr">
        <is>
          <t>1973-06-26</t>
        </is>
      </c>
    </row>
    <row r="26871">
      <c r="A26871" s="1" t="n">
        <v>26870</v>
      </c>
      <c r="B26871">
        <f>TEXT(26870, "[$-0E0000]yyyy-mm-dd")</f>
        <v/>
      </c>
      <c r="C26871" t="inlineStr">
        <is>
          <t>1973-06-27</t>
        </is>
      </c>
    </row>
    <row r="26872">
      <c r="A26872" s="1" t="n">
        <v>26871</v>
      </c>
      <c r="B26872">
        <f>TEXT(26871, "[$-0E0000]yyyy-mm-dd")</f>
        <v/>
      </c>
      <c r="C26872" t="inlineStr">
        <is>
          <t>1973-06-28</t>
        </is>
      </c>
    </row>
    <row r="26873">
      <c r="A26873" s="1" t="n">
        <v>26872</v>
      </c>
      <c r="B26873">
        <f>TEXT(26872, "[$-0E0000]yyyy-mm-dd")</f>
        <v/>
      </c>
      <c r="C26873" t="inlineStr">
        <is>
          <t>1973-06-29</t>
        </is>
      </c>
    </row>
    <row r="26874">
      <c r="A26874" s="1" t="n">
        <v>26873</v>
      </c>
      <c r="B26874">
        <f>TEXT(26873, "[$-0E0000]yyyy-mm-dd")</f>
        <v/>
      </c>
      <c r="C26874" t="inlineStr">
        <is>
          <t>1973-06-30</t>
        </is>
      </c>
    </row>
    <row r="26875">
      <c r="A26875" s="1" t="n">
        <v>26874</v>
      </c>
      <c r="B26875">
        <f>TEXT(26874, "[$-0E0000]yyyy-mm-dd")</f>
        <v/>
      </c>
      <c r="C26875" t="inlineStr">
        <is>
          <t>1973-07-01</t>
        </is>
      </c>
    </row>
    <row r="26876">
      <c r="A26876" s="1" t="n">
        <v>26875</v>
      </c>
      <c r="B26876">
        <f>TEXT(26875, "[$-0E0000]yyyy-mm-dd")</f>
        <v/>
      </c>
      <c r="C26876" t="inlineStr">
        <is>
          <t>1973-07-02</t>
        </is>
      </c>
    </row>
    <row r="26877">
      <c r="A26877" s="1" t="n">
        <v>26876</v>
      </c>
      <c r="B26877">
        <f>TEXT(26876, "[$-0E0000]yyyy-mm-dd")</f>
        <v/>
      </c>
      <c r="C26877" t="inlineStr">
        <is>
          <t>1973-07-03</t>
        </is>
      </c>
    </row>
    <row r="26878">
      <c r="A26878" s="1" t="n">
        <v>26877</v>
      </c>
      <c r="B26878">
        <f>TEXT(26877, "[$-0E0000]yyyy-mm-dd")</f>
        <v/>
      </c>
      <c r="C26878" t="inlineStr">
        <is>
          <t>1973-07-04</t>
        </is>
      </c>
    </row>
    <row r="26879">
      <c r="A26879" s="1" t="n">
        <v>26878</v>
      </c>
      <c r="B26879">
        <f>TEXT(26878, "[$-0E0000]yyyy-mm-dd")</f>
        <v/>
      </c>
      <c r="C26879" t="inlineStr">
        <is>
          <t>1973-07-05</t>
        </is>
      </c>
    </row>
    <row r="26880">
      <c r="A26880" s="1" t="n">
        <v>26879</v>
      </c>
      <c r="B26880">
        <f>TEXT(26879, "[$-0E0000]yyyy-mm-dd")</f>
        <v/>
      </c>
      <c r="C26880" t="inlineStr">
        <is>
          <t>1973-07-06</t>
        </is>
      </c>
    </row>
    <row r="26881">
      <c r="A26881" s="1" t="n">
        <v>26880</v>
      </c>
      <c r="B26881">
        <f>TEXT(26880, "[$-0E0000]yyyy-mm-dd")</f>
        <v/>
      </c>
      <c r="C26881" t="inlineStr">
        <is>
          <t>1973-07-07</t>
        </is>
      </c>
    </row>
    <row r="26882">
      <c r="A26882" s="1" t="n">
        <v>26881</v>
      </c>
      <c r="B26882">
        <f>TEXT(26881, "[$-0E0000]yyyy-mm-dd")</f>
        <v/>
      </c>
      <c r="C26882" t="inlineStr">
        <is>
          <t>1973-07-08</t>
        </is>
      </c>
    </row>
    <row r="26883">
      <c r="A26883" s="1" t="n">
        <v>26882</v>
      </c>
      <c r="B26883">
        <f>TEXT(26882, "[$-0E0000]yyyy-mm-dd")</f>
        <v/>
      </c>
      <c r="C26883" t="inlineStr">
        <is>
          <t>1973-07-09</t>
        </is>
      </c>
    </row>
    <row r="26884">
      <c r="A26884" s="1" t="n">
        <v>26883</v>
      </c>
      <c r="B26884">
        <f>TEXT(26883, "[$-0E0000]yyyy-mm-dd")</f>
        <v/>
      </c>
      <c r="C26884" t="inlineStr">
        <is>
          <t>1973-07-10</t>
        </is>
      </c>
    </row>
    <row r="26885">
      <c r="A26885" s="1" t="n">
        <v>26884</v>
      </c>
      <c r="B26885">
        <f>TEXT(26884, "[$-0E0000]yyyy-mm-dd")</f>
        <v/>
      </c>
      <c r="C26885" t="inlineStr">
        <is>
          <t>1973-07-11</t>
        </is>
      </c>
    </row>
    <row r="26886">
      <c r="A26886" s="1" t="n">
        <v>26885</v>
      </c>
      <c r="B26886">
        <f>TEXT(26885, "[$-0E0000]yyyy-mm-dd")</f>
        <v/>
      </c>
      <c r="C26886" t="inlineStr">
        <is>
          <t>1973-07-12</t>
        </is>
      </c>
    </row>
    <row r="26887">
      <c r="A26887" s="1" t="n">
        <v>26886</v>
      </c>
      <c r="B26887">
        <f>TEXT(26886, "[$-0E0000]yyyy-mm-dd")</f>
        <v/>
      </c>
      <c r="C26887" t="inlineStr">
        <is>
          <t>1973-07-13</t>
        </is>
      </c>
    </row>
    <row r="26888">
      <c r="A26888" s="1" t="n">
        <v>26887</v>
      </c>
      <c r="B26888">
        <f>TEXT(26887, "[$-0E0000]yyyy-mm-dd")</f>
        <v/>
      </c>
      <c r="C26888" t="inlineStr">
        <is>
          <t>1973-07-14</t>
        </is>
      </c>
    </row>
    <row r="26889">
      <c r="A26889" s="1" t="n">
        <v>26888</v>
      </c>
      <c r="B26889">
        <f>TEXT(26888, "[$-0E0000]yyyy-mm-dd")</f>
        <v/>
      </c>
      <c r="C26889" t="inlineStr">
        <is>
          <t>1973-07-15</t>
        </is>
      </c>
    </row>
    <row r="26890">
      <c r="A26890" s="1" t="n">
        <v>26889</v>
      </c>
      <c r="B26890">
        <f>TEXT(26889, "[$-0E0000]yyyy-mm-dd")</f>
        <v/>
      </c>
      <c r="C26890" t="inlineStr">
        <is>
          <t>1973-07-16</t>
        </is>
      </c>
    </row>
    <row r="26891">
      <c r="A26891" s="1" t="n">
        <v>26890</v>
      </c>
      <c r="B26891">
        <f>TEXT(26890, "[$-0E0000]yyyy-mm-dd")</f>
        <v/>
      </c>
      <c r="C26891" t="inlineStr">
        <is>
          <t>1973-07-17</t>
        </is>
      </c>
    </row>
    <row r="26892">
      <c r="A26892" s="1" t="n">
        <v>26891</v>
      </c>
      <c r="B26892">
        <f>TEXT(26891, "[$-0E0000]yyyy-mm-dd")</f>
        <v/>
      </c>
      <c r="C26892" t="inlineStr">
        <is>
          <t>1973-07-18</t>
        </is>
      </c>
    </row>
    <row r="26893">
      <c r="A26893" s="1" t="n">
        <v>26892</v>
      </c>
      <c r="B26893">
        <f>TEXT(26892, "[$-0E0000]yyyy-mm-dd")</f>
        <v/>
      </c>
      <c r="C26893" t="inlineStr">
        <is>
          <t>1973-07-19</t>
        </is>
      </c>
    </row>
    <row r="26894">
      <c r="A26894" s="1" t="n">
        <v>26893</v>
      </c>
      <c r="B26894">
        <f>TEXT(26893, "[$-0E0000]yyyy-mm-dd")</f>
        <v/>
      </c>
      <c r="C26894" t="inlineStr">
        <is>
          <t>1973-07-20</t>
        </is>
      </c>
    </row>
    <row r="26895">
      <c r="A26895" s="1" t="n">
        <v>26894</v>
      </c>
      <c r="B26895">
        <f>TEXT(26894, "[$-0E0000]yyyy-mm-dd")</f>
        <v/>
      </c>
      <c r="C26895" t="inlineStr">
        <is>
          <t>1973-07-21</t>
        </is>
      </c>
    </row>
    <row r="26896">
      <c r="A26896" s="1" t="n">
        <v>26895</v>
      </c>
      <c r="B26896">
        <f>TEXT(26895, "[$-0E0000]yyyy-mm-dd")</f>
        <v/>
      </c>
      <c r="C26896" t="inlineStr">
        <is>
          <t>1973-07-22</t>
        </is>
      </c>
    </row>
    <row r="26897">
      <c r="A26897" s="1" t="n">
        <v>26896</v>
      </c>
      <c r="B26897">
        <f>TEXT(26896, "[$-0E0000]yyyy-mm-dd")</f>
        <v/>
      </c>
      <c r="C26897" t="inlineStr">
        <is>
          <t>1973-07-23</t>
        </is>
      </c>
    </row>
    <row r="26898">
      <c r="A26898" s="1" t="n">
        <v>26897</v>
      </c>
      <c r="B26898">
        <f>TEXT(26897, "[$-0E0000]yyyy-mm-dd")</f>
        <v/>
      </c>
      <c r="C26898" t="inlineStr">
        <is>
          <t>1973-07-24</t>
        </is>
      </c>
    </row>
    <row r="26899">
      <c r="A26899" s="1" t="n">
        <v>26898</v>
      </c>
      <c r="B26899">
        <f>TEXT(26898, "[$-0E0000]yyyy-mm-dd")</f>
        <v/>
      </c>
      <c r="C26899" t="inlineStr">
        <is>
          <t>1973-07-25</t>
        </is>
      </c>
    </row>
    <row r="26900">
      <c r="A26900" s="1" t="n">
        <v>26899</v>
      </c>
      <c r="B26900">
        <f>TEXT(26899, "[$-0E0000]yyyy-mm-dd")</f>
        <v/>
      </c>
      <c r="C26900" t="inlineStr">
        <is>
          <t>1973-07-26</t>
        </is>
      </c>
    </row>
    <row r="26901">
      <c r="A26901" s="1" t="n">
        <v>26900</v>
      </c>
      <c r="B26901">
        <f>TEXT(26900, "[$-0E0000]yyyy-mm-dd")</f>
        <v/>
      </c>
      <c r="C26901" t="inlineStr">
        <is>
          <t>1973-07-27</t>
        </is>
      </c>
    </row>
    <row r="26902">
      <c r="A26902" s="1" t="n">
        <v>26901</v>
      </c>
      <c r="B26902">
        <f>TEXT(26901, "[$-0E0000]yyyy-mm-dd")</f>
        <v/>
      </c>
      <c r="C26902" t="inlineStr">
        <is>
          <t>1973-07-28</t>
        </is>
      </c>
    </row>
    <row r="26903">
      <c r="A26903" s="1" t="n">
        <v>26902</v>
      </c>
      <c r="B26903">
        <f>TEXT(26902, "[$-0E0000]yyyy-mm-dd")</f>
        <v/>
      </c>
      <c r="C26903" t="inlineStr">
        <is>
          <t>1973-07-29</t>
        </is>
      </c>
    </row>
    <row r="26904">
      <c r="A26904" s="1" t="n">
        <v>26903</v>
      </c>
      <c r="B26904">
        <f>TEXT(26903, "[$-0E0000]yyyy-mm-dd")</f>
        <v/>
      </c>
      <c r="C26904" t="inlineStr">
        <is>
          <t>1973-08-01</t>
        </is>
      </c>
    </row>
    <row r="26905">
      <c r="A26905" s="1" t="n">
        <v>26904</v>
      </c>
      <c r="B26905">
        <f>TEXT(26904, "[$-0E0000]yyyy-mm-dd")</f>
        <v/>
      </c>
      <c r="C26905" t="inlineStr">
        <is>
          <t>1973-08-02</t>
        </is>
      </c>
    </row>
    <row r="26906">
      <c r="A26906" s="1" t="n">
        <v>26905</v>
      </c>
      <c r="B26906">
        <f>TEXT(26905, "[$-0E0000]yyyy-mm-dd")</f>
        <v/>
      </c>
      <c r="C26906" t="inlineStr">
        <is>
          <t>1973-08-03</t>
        </is>
      </c>
    </row>
    <row r="26907">
      <c r="A26907" s="1" t="n">
        <v>26906</v>
      </c>
      <c r="B26907">
        <f>TEXT(26906, "[$-0E0000]yyyy-mm-dd")</f>
        <v/>
      </c>
      <c r="C26907" t="inlineStr">
        <is>
          <t>1973-08-04</t>
        </is>
      </c>
    </row>
    <row r="26908">
      <c r="A26908" s="1" t="n">
        <v>26907</v>
      </c>
      <c r="B26908">
        <f>TEXT(26907, "[$-0E0000]yyyy-mm-dd")</f>
        <v/>
      </c>
      <c r="C26908" t="inlineStr">
        <is>
          <t>1973-08-05</t>
        </is>
      </c>
    </row>
    <row r="26909">
      <c r="A26909" s="1" t="n">
        <v>26908</v>
      </c>
      <c r="B26909">
        <f>TEXT(26908, "[$-0E0000]yyyy-mm-dd")</f>
        <v/>
      </c>
      <c r="C26909" t="inlineStr">
        <is>
          <t>1973-08-06</t>
        </is>
      </c>
    </row>
    <row r="26910">
      <c r="A26910" s="1" t="n">
        <v>26909</v>
      </c>
      <c r="B26910">
        <f>TEXT(26909, "[$-0E0000]yyyy-mm-dd")</f>
        <v/>
      </c>
      <c r="C26910" t="inlineStr">
        <is>
          <t>1973-08-07</t>
        </is>
      </c>
    </row>
    <row r="26911">
      <c r="A26911" s="1" t="n">
        <v>26910</v>
      </c>
      <c r="B26911">
        <f>TEXT(26910, "[$-0E0000]yyyy-mm-dd")</f>
        <v/>
      </c>
      <c r="C26911" t="inlineStr">
        <is>
          <t>1973-08-08</t>
        </is>
      </c>
    </row>
    <row r="26912">
      <c r="A26912" s="1" t="n">
        <v>26911</v>
      </c>
      <c r="B26912">
        <f>TEXT(26911, "[$-0E0000]yyyy-mm-dd")</f>
        <v/>
      </c>
      <c r="C26912" t="inlineStr">
        <is>
          <t>1973-08-09</t>
        </is>
      </c>
    </row>
    <row r="26913">
      <c r="A26913" s="1" t="n">
        <v>26912</v>
      </c>
      <c r="B26913">
        <f>TEXT(26912, "[$-0E0000]yyyy-mm-dd")</f>
        <v/>
      </c>
      <c r="C26913" t="inlineStr">
        <is>
          <t>1973-08-10</t>
        </is>
      </c>
    </row>
    <row r="26914">
      <c r="A26914" s="1" t="n">
        <v>26913</v>
      </c>
      <c r="B26914">
        <f>TEXT(26913, "[$-0E0000]yyyy-mm-dd")</f>
        <v/>
      </c>
      <c r="C26914" t="inlineStr">
        <is>
          <t>1973-08-11</t>
        </is>
      </c>
    </row>
    <row r="26915">
      <c r="A26915" s="1" t="n">
        <v>26914</v>
      </c>
      <c r="B26915">
        <f>TEXT(26914, "[$-0E0000]yyyy-mm-dd")</f>
        <v/>
      </c>
      <c r="C26915" t="inlineStr">
        <is>
          <t>1973-08-12</t>
        </is>
      </c>
    </row>
    <row r="26916">
      <c r="A26916" s="1" t="n">
        <v>26915</v>
      </c>
      <c r="B26916">
        <f>TEXT(26915, "[$-0E0000]yyyy-mm-dd")</f>
        <v/>
      </c>
      <c r="C26916" t="inlineStr">
        <is>
          <t>1973-08-13</t>
        </is>
      </c>
    </row>
    <row r="26917">
      <c r="A26917" s="1" t="n">
        <v>26916</v>
      </c>
      <c r="B26917">
        <f>TEXT(26916, "[$-0E0000]yyyy-mm-dd")</f>
        <v/>
      </c>
      <c r="C26917" t="inlineStr">
        <is>
          <t>1973-08-14</t>
        </is>
      </c>
    </row>
    <row r="26918">
      <c r="A26918" s="1" t="n">
        <v>26917</v>
      </c>
      <c r="B26918">
        <f>TEXT(26917, "[$-0E0000]yyyy-mm-dd")</f>
        <v/>
      </c>
      <c r="C26918" t="inlineStr">
        <is>
          <t>1973-08-15</t>
        </is>
      </c>
    </row>
    <row r="26919">
      <c r="A26919" s="1" t="n">
        <v>26918</v>
      </c>
      <c r="B26919">
        <f>TEXT(26918, "[$-0E0000]yyyy-mm-dd")</f>
        <v/>
      </c>
      <c r="C26919" t="inlineStr">
        <is>
          <t>1973-08-16</t>
        </is>
      </c>
    </row>
    <row r="26920">
      <c r="A26920" s="1" t="n">
        <v>26919</v>
      </c>
      <c r="B26920">
        <f>TEXT(26919, "[$-0E0000]yyyy-mm-dd")</f>
        <v/>
      </c>
      <c r="C26920" t="inlineStr">
        <is>
          <t>1973-08-17</t>
        </is>
      </c>
    </row>
    <row r="26921">
      <c r="A26921" s="1" t="n">
        <v>26920</v>
      </c>
      <c r="B26921">
        <f>TEXT(26920, "[$-0E0000]yyyy-mm-dd")</f>
        <v/>
      </c>
      <c r="C26921" t="inlineStr">
        <is>
          <t>1973-08-18</t>
        </is>
      </c>
    </row>
    <row r="26922">
      <c r="A26922" s="1" t="n">
        <v>26921</v>
      </c>
      <c r="B26922">
        <f>TEXT(26921, "[$-0E0000]yyyy-mm-dd")</f>
        <v/>
      </c>
      <c r="C26922" t="inlineStr">
        <is>
          <t>1973-08-19</t>
        </is>
      </c>
    </row>
    <row r="26923">
      <c r="A26923" s="1" t="n">
        <v>26922</v>
      </c>
      <c r="B26923">
        <f>TEXT(26922, "[$-0E0000]yyyy-mm-dd")</f>
        <v/>
      </c>
      <c r="C26923" t="inlineStr">
        <is>
          <t>1973-08-20</t>
        </is>
      </c>
    </row>
    <row r="26924">
      <c r="A26924" s="1" t="n">
        <v>26923</v>
      </c>
      <c r="B26924">
        <f>TEXT(26923, "[$-0E0000]yyyy-mm-dd")</f>
        <v/>
      </c>
      <c r="C26924" t="inlineStr">
        <is>
          <t>1973-08-21</t>
        </is>
      </c>
    </row>
    <row r="26925">
      <c r="A26925" s="1" t="n">
        <v>26924</v>
      </c>
      <c r="B26925">
        <f>TEXT(26924, "[$-0E0000]yyyy-mm-dd")</f>
        <v/>
      </c>
      <c r="C26925" t="inlineStr">
        <is>
          <t>1973-08-22</t>
        </is>
      </c>
    </row>
    <row r="26926">
      <c r="A26926" s="1" t="n">
        <v>26925</v>
      </c>
      <c r="B26926">
        <f>TEXT(26925, "[$-0E0000]yyyy-mm-dd")</f>
        <v/>
      </c>
      <c r="C26926" t="inlineStr">
        <is>
          <t>1973-08-23</t>
        </is>
      </c>
    </row>
    <row r="26927">
      <c r="A26927" s="1" t="n">
        <v>26926</v>
      </c>
      <c r="B26927">
        <f>TEXT(26926, "[$-0E0000]yyyy-mm-dd")</f>
        <v/>
      </c>
      <c r="C26927" t="inlineStr">
        <is>
          <t>1973-08-24</t>
        </is>
      </c>
    </row>
    <row r="26928">
      <c r="A26928" s="1" t="n">
        <v>26927</v>
      </c>
      <c r="B26928">
        <f>TEXT(26927, "[$-0E0000]yyyy-mm-dd")</f>
        <v/>
      </c>
      <c r="C26928" t="inlineStr">
        <is>
          <t>1973-08-25</t>
        </is>
      </c>
    </row>
    <row r="26929">
      <c r="A26929" s="1" t="n">
        <v>26928</v>
      </c>
      <c r="B26929">
        <f>TEXT(26928, "[$-0E0000]yyyy-mm-dd")</f>
        <v/>
      </c>
      <c r="C26929" t="inlineStr">
        <is>
          <t>1973-08-26</t>
        </is>
      </c>
    </row>
    <row r="26930">
      <c r="A26930" s="1" t="n">
        <v>26929</v>
      </c>
      <c r="B26930">
        <f>TEXT(26929, "[$-0E0000]yyyy-mm-dd")</f>
        <v/>
      </c>
      <c r="C26930" t="inlineStr">
        <is>
          <t>1973-08-27</t>
        </is>
      </c>
    </row>
    <row r="26931">
      <c r="A26931" s="1" t="n">
        <v>26930</v>
      </c>
      <c r="B26931">
        <f>TEXT(26930, "[$-0E0000]yyyy-mm-dd")</f>
        <v/>
      </c>
      <c r="C26931" t="inlineStr">
        <is>
          <t>1973-08-28</t>
        </is>
      </c>
    </row>
    <row r="26932">
      <c r="A26932" s="1" t="n">
        <v>26931</v>
      </c>
      <c r="B26932">
        <f>TEXT(26931, "[$-0E0000]yyyy-mm-dd")</f>
        <v/>
      </c>
      <c r="C26932" t="inlineStr">
        <is>
          <t>1973-08-29</t>
        </is>
      </c>
    </row>
    <row r="26933">
      <c r="A26933" s="1" t="n">
        <v>26932</v>
      </c>
      <c r="B26933">
        <f>TEXT(26932, "[$-0E0000]yyyy-mm-dd")</f>
        <v/>
      </c>
      <c r="C26933" t="inlineStr">
        <is>
          <t>1973-09-01</t>
        </is>
      </c>
    </row>
    <row r="26934">
      <c r="A26934" s="1" t="n">
        <v>26933</v>
      </c>
      <c r="B26934">
        <f>TEXT(26933, "[$-0E0000]yyyy-mm-dd")</f>
        <v/>
      </c>
      <c r="C26934" t="inlineStr">
        <is>
          <t>1973-09-02</t>
        </is>
      </c>
    </row>
    <row r="26935">
      <c r="A26935" s="1" t="n">
        <v>26934</v>
      </c>
      <c r="B26935">
        <f>TEXT(26934, "[$-0E0000]yyyy-mm-dd")</f>
        <v/>
      </c>
      <c r="C26935" t="inlineStr">
        <is>
          <t>1973-09-03</t>
        </is>
      </c>
    </row>
    <row r="26936">
      <c r="A26936" s="1" t="n">
        <v>26935</v>
      </c>
      <c r="B26936">
        <f>TEXT(26935, "[$-0E0000]yyyy-mm-dd")</f>
        <v/>
      </c>
      <c r="C26936" t="inlineStr">
        <is>
          <t>1973-09-04</t>
        </is>
      </c>
    </row>
    <row r="26937">
      <c r="A26937" s="1" t="n">
        <v>26936</v>
      </c>
      <c r="B26937">
        <f>TEXT(26936, "[$-0E0000]yyyy-mm-dd")</f>
        <v/>
      </c>
      <c r="C26937" t="inlineStr">
        <is>
          <t>1973-09-05</t>
        </is>
      </c>
    </row>
    <row r="26938">
      <c r="A26938" s="1" t="n">
        <v>26937</v>
      </c>
      <c r="B26938">
        <f>TEXT(26937, "[$-0E0000]yyyy-mm-dd")</f>
        <v/>
      </c>
      <c r="C26938" t="inlineStr">
        <is>
          <t>1973-09-06</t>
        </is>
      </c>
    </row>
    <row r="26939">
      <c r="A26939" s="1" t="n">
        <v>26938</v>
      </c>
      <c r="B26939">
        <f>TEXT(26938, "[$-0E0000]yyyy-mm-dd")</f>
        <v/>
      </c>
      <c r="C26939" t="inlineStr">
        <is>
          <t>1973-09-07</t>
        </is>
      </c>
    </row>
    <row r="26940">
      <c r="A26940" s="1" t="n">
        <v>26939</v>
      </c>
      <c r="B26940">
        <f>TEXT(26939, "[$-0E0000]yyyy-mm-dd")</f>
        <v/>
      </c>
      <c r="C26940" t="inlineStr">
        <is>
          <t>1973-09-08</t>
        </is>
      </c>
    </row>
    <row r="26941">
      <c r="A26941" s="1" t="n">
        <v>26940</v>
      </c>
      <c r="B26941">
        <f>TEXT(26940, "[$-0E0000]yyyy-mm-dd")</f>
        <v/>
      </c>
      <c r="C26941" t="inlineStr">
        <is>
          <t>1973-09-09</t>
        </is>
      </c>
    </row>
    <row r="26942">
      <c r="A26942" s="1" t="n">
        <v>26941</v>
      </c>
      <c r="B26942">
        <f>TEXT(26941, "[$-0E0000]yyyy-mm-dd")</f>
        <v/>
      </c>
      <c r="C26942" t="inlineStr">
        <is>
          <t>1973-09-10</t>
        </is>
      </c>
    </row>
    <row r="26943">
      <c r="A26943" s="1" t="n">
        <v>26942</v>
      </c>
      <c r="B26943">
        <f>TEXT(26942, "[$-0E0000]yyyy-mm-dd")</f>
        <v/>
      </c>
      <c r="C26943" t="inlineStr">
        <is>
          <t>1973-09-11</t>
        </is>
      </c>
    </row>
    <row r="26944">
      <c r="A26944" s="1" t="n">
        <v>26943</v>
      </c>
      <c r="B26944">
        <f>TEXT(26943, "[$-0E0000]yyyy-mm-dd")</f>
        <v/>
      </c>
      <c r="C26944" t="inlineStr">
        <is>
          <t>1973-09-12</t>
        </is>
      </c>
    </row>
    <row r="26945">
      <c r="A26945" s="1" t="n">
        <v>26944</v>
      </c>
      <c r="B26945">
        <f>TEXT(26944, "[$-0E0000]yyyy-mm-dd")</f>
        <v/>
      </c>
      <c r="C26945" t="inlineStr">
        <is>
          <t>1973-09-13</t>
        </is>
      </c>
    </row>
    <row r="26946">
      <c r="A26946" s="1" t="n">
        <v>26945</v>
      </c>
      <c r="B26946">
        <f>TEXT(26945, "[$-0E0000]yyyy-mm-dd")</f>
        <v/>
      </c>
      <c r="C26946" t="inlineStr">
        <is>
          <t>1973-09-14</t>
        </is>
      </c>
    </row>
    <row r="26947">
      <c r="A26947" s="1" t="n">
        <v>26946</v>
      </c>
      <c r="B26947">
        <f>TEXT(26946, "[$-0E0000]yyyy-mm-dd")</f>
        <v/>
      </c>
      <c r="C26947" t="inlineStr">
        <is>
          <t>1973-09-15</t>
        </is>
      </c>
    </row>
    <row r="26948">
      <c r="A26948" s="1" t="n">
        <v>26947</v>
      </c>
      <c r="B26948">
        <f>TEXT(26947, "[$-0E0000]yyyy-mm-dd")</f>
        <v/>
      </c>
      <c r="C26948" t="inlineStr">
        <is>
          <t>1973-09-16</t>
        </is>
      </c>
    </row>
    <row r="26949">
      <c r="A26949" s="1" t="n">
        <v>26948</v>
      </c>
      <c r="B26949">
        <f>TEXT(26948, "[$-0E0000]yyyy-mm-dd")</f>
        <v/>
      </c>
      <c r="C26949" t="inlineStr">
        <is>
          <t>1973-09-17</t>
        </is>
      </c>
    </row>
    <row r="26950">
      <c r="A26950" s="1" t="n">
        <v>26949</v>
      </c>
      <c r="B26950">
        <f>TEXT(26949, "[$-0E0000]yyyy-mm-dd")</f>
        <v/>
      </c>
      <c r="C26950" t="inlineStr">
        <is>
          <t>1973-09-18</t>
        </is>
      </c>
    </row>
    <row r="26951">
      <c r="A26951" s="1" t="n">
        <v>26950</v>
      </c>
      <c r="B26951">
        <f>TEXT(26950, "[$-0E0000]yyyy-mm-dd")</f>
        <v/>
      </c>
      <c r="C26951" t="inlineStr">
        <is>
          <t>1973-09-19</t>
        </is>
      </c>
    </row>
    <row r="26952">
      <c r="A26952" s="1" t="n">
        <v>26951</v>
      </c>
      <c r="B26952">
        <f>TEXT(26951, "[$-0E0000]yyyy-mm-dd")</f>
        <v/>
      </c>
      <c r="C26952" t="inlineStr">
        <is>
          <t>1973-09-20</t>
        </is>
      </c>
    </row>
    <row r="26953">
      <c r="A26953" s="1" t="n">
        <v>26952</v>
      </c>
      <c r="B26953">
        <f>TEXT(26952, "[$-0E0000]yyyy-mm-dd")</f>
        <v/>
      </c>
      <c r="C26953" t="inlineStr">
        <is>
          <t>1973-09-21</t>
        </is>
      </c>
    </row>
    <row r="26954">
      <c r="A26954" s="1" t="n">
        <v>26953</v>
      </c>
      <c r="B26954">
        <f>TEXT(26953, "[$-0E0000]yyyy-mm-dd")</f>
        <v/>
      </c>
      <c r="C26954" t="inlineStr">
        <is>
          <t>1973-09-22</t>
        </is>
      </c>
    </row>
    <row r="26955">
      <c r="A26955" s="1" t="n">
        <v>26954</v>
      </c>
      <c r="B26955">
        <f>TEXT(26954, "[$-0E0000]yyyy-mm-dd")</f>
        <v/>
      </c>
      <c r="C26955" t="inlineStr">
        <is>
          <t>1973-09-23</t>
        </is>
      </c>
    </row>
    <row r="26956">
      <c r="A26956" s="1" t="n">
        <v>26955</v>
      </c>
      <c r="B26956">
        <f>TEXT(26955, "[$-0E0000]yyyy-mm-dd")</f>
        <v/>
      </c>
      <c r="C26956" t="inlineStr">
        <is>
          <t>1973-09-24</t>
        </is>
      </c>
    </row>
    <row r="26957">
      <c r="A26957" s="1" t="n">
        <v>26956</v>
      </c>
      <c r="B26957">
        <f>TEXT(26956, "[$-0E0000]yyyy-mm-dd")</f>
        <v/>
      </c>
      <c r="C26957" t="inlineStr">
        <is>
          <t>1973-09-25</t>
        </is>
      </c>
    </row>
    <row r="26958">
      <c r="A26958" s="1" t="n">
        <v>26957</v>
      </c>
      <c r="B26958">
        <f>TEXT(26957, "[$-0E0000]yyyy-mm-dd")</f>
        <v/>
      </c>
      <c r="C26958" t="inlineStr">
        <is>
          <t>1973-09-26</t>
        </is>
      </c>
    </row>
    <row r="26959">
      <c r="A26959" s="1" t="n">
        <v>26958</v>
      </c>
      <c r="B26959">
        <f>TEXT(26958, "[$-0E0000]yyyy-mm-dd")</f>
        <v/>
      </c>
      <c r="C26959" t="inlineStr">
        <is>
          <t>1973-09-27</t>
        </is>
      </c>
    </row>
    <row r="26960">
      <c r="A26960" s="1" t="n">
        <v>26959</v>
      </c>
      <c r="B26960">
        <f>TEXT(26959, "[$-0E0000]yyyy-mm-dd")</f>
        <v/>
      </c>
      <c r="C26960" t="inlineStr">
        <is>
          <t>1973-09-28</t>
        </is>
      </c>
    </row>
    <row r="26961">
      <c r="A26961" s="1" t="n">
        <v>26960</v>
      </c>
      <c r="B26961">
        <f>TEXT(26960, "[$-0E0000]yyyy-mm-dd")</f>
        <v/>
      </c>
      <c r="C26961" t="inlineStr">
        <is>
          <t>1973-09-29</t>
        </is>
      </c>
    </row>
    <row r="26962">
      <c r="A26962" s="1" t="n">
        <v>26961</v>
      </c>
      <c r="B26962">
        <f>TEXT(26961, "[$-0E0000]yyyy-mm-dd")</f>
        <v/>
      </c>
      <c r="C26962" t="inlineStr">
        <is>
          <t>1973-09-30</t>
        </is>
      </c>
    </row>
    <row r="26963">
      <c r="A26963" s="1" t="n">
        <v>26962</v>
      </c>
      <c r="B26963">
        <f>TEXT(26962, "[$-0E0000]yyyy-mm-dd")</f>
        <v/>
      </c>
      <c r="C26963" t="inlineStr">
        <is>
          <t>1973-10-01</t>
        </is>
      </c>
    </row>
    <row r="26964">
      <c r="A26964" s="1" t="n">
        <v>26963</v>
      </c>
      <c r="B26964">
        <f>TEXT(26963, "[$-0E0000]yyyy-mm-dd")</f>
        <v/>
      </c>
      <c r="C26964" t="inlineStr">
        <is>
          <t>1973-10-02</t>
        </is>
      </c>
    </row>
    <row r="26965">
      <c r="A26965" s="1" t="n">
        <v>26964</v>
      </c>
      <c r="B26965">
        <f>TEXT(26964, "[$-0E0000]yyyy-mm-dd")</f>
        <v/>
      </c>
      <c r="C26965" t="inlineStr">
        <is>
          <t>1973-10-03</t>
        </is>
      </c>
    </row>
    <row r="26966">
      <c r="A26966" s="1" t="n">
        <v>26965</v>
      </c>
      <c r="B26966">
        <f>TEXT(26965, "[$-0E0000]yyyy-mm-dd")</f>
        <v/>
      </c>
      <c r="C26966" t="inlineStr">
        <is>
          <t>1973-10-04</t>
        </is>
      </c>
    </row>
    <row r="26967">
      <c r="A26967" s="1" t="n">
        <v>26966</v>
      </c>
      <c r="B26967">
        <f>TEXT(26966, "[$-0E0000]yyyy-mm-dd")</f>
        <v/>
      </c>
      <c r="C26967" t="inlineStr">
        <is>
          <t>1973-10-05</t>
        </is>
      </c>
    </row>
    <row r="26968">
      <c r="A26968" s="1" t="n">
        <v>26967</v>
      </c>
      <c r="B26968">
        <f>TEXT(26967, "[$-0E0000]yyyy-mm-dd")</f>
        <v/>
      </c>
      <c r="C26968" t="inlineStr">
        <is>
          <t>1973-10-06</t>
        </is>
      </c>
    </row>
    <row r="26969">
      <c r="A26969" s="1" t="n">
        <v>26968</v>
      </c>
      <c r="B26969">
        <f>TEXT(26968, "[$-0E0000]yyyy-mm-dd")</f>
        <v/>
      </c>
      <c r="C26969" t="inlineStr">
        <is>
          <t>1973-10-07</t>
        </is>
      </c>
    </row>
    <row r="26970">
      <c r="A26970" s="1" t="n">
        <v>26969</v>
      </c>
      <c r="B26970">
        <f>TEXT(26969, "[$-0E0000]yyyy-mm-dd")</f>
        <v/>
      </c>
      <c r="C26970" t="inlineStr">
        <is>
          <t>1973-10-08</t>
        </is>
      </c>
    </row>
    <row r="26971">
      <c r="A26971" s="1" t="n">
        <v>26970</v>
      </c>
      <c r="B26971">
        <f>TEXT(26970, "[$-0E0000]yyyy-mm-dd")</f>
        <v/>
      </c>
      <c r="C26971" t="inlineStr">
        <is>
          <t>1973-10-09</t>
        </is>
      </c>
    </row>
    <row r="26972">
      <c r="A26972" s="1" t="n">
        <v>26971</v>
      </c>
      <c r="B26972">
        <f>TEXT(26971, "[$-0E0000]yyyy-mm-dd")</f>
        <v/>
      </c>
      <c r="C26972" t="inlineStr">
        <is>
          <t>1973-10-10</t>
        </is>
      </c>
    </row>
    <row r="26973">
      <c r="A26973" s="1" t="n">
        <v>26972</v>
      </c>
      <c r="B26973">
        <f>TEXT(26972, "[$-0E0000]yyyy-mm-dd")</f>
        <v/>
      </c>
      <c r="C26973" t="inlineStr">
        <is>
          <t>1973-10-11</t>
        </is>
      </c>
    </row>
    <row r="26974">
      <c r="A26974" s="1" t="n">
        <v>26973</v>
      </c>
      <c r="B26974">
        <f>TEXT(26973, "[$-0E0000]yyyy-mm-dd")</f>
        <v/>
      </c>
      <c r="C26974" t="inlineStr">
        <is>
          <t>1973-10-12</t>
        </is>
      </c>
    </row>
    <row r="26975">
      <c r="A26975" s="1" t="n">
        <v>26974</v>
      </c>
      <c r="B26975">
        <f>TEXT(26974, "[$-0E0000]yyyy-mm-dd")</f>
        <v/>
      </c>
      <c r="C26975" t="inlineStr">
        <is>
          <t>1973-10-13</t>
        </is>
      </c>
    </row>
    <row r="26976">
      <c r="A26976" s="1" t="n">
        <v>26975</v>
      </c>
      <c r="B26976">
        <f>TEXT(26975, "[$-0E0000]yyyy-mm-dd")</f>
        <v/>
      </c>
      <c r="C26976" t="inlineStr">
        <is>
          <t>1973-10-14</t>
        </is>
      </c>
    </row>
    <row r="26977">
      <c r="A26977" s="1" t="n">
        <v>26976</v>
      </c>
      <c r="B26977">
        <f>TEXT(26976, "[$-0E0000]yyyy-mm-dd")</f>
        <v/>
      </c>
      <c r="C26977" t="inlineStr">
        <is>
          <t>1973-10-15</t>
        </is>
      </c>
    </row>
    <row r="26978">
      <c r="A26978" s="1" t="n">
        <v>26977</v>
      </c>
      <c r="B26978">
        <f>TEXT(26977, "[$-0E0000]yyyy-mm-dd")</f>
        <v/>
      </c>
      <c r="C26978" t="inlineStr">
        <is>
          <t>1973-10-16</t>
        </is>
      </c>
    </row>
    <row r="26979">
      <c r="A26979" s="1" t="n">
        <v>26978</v>
      </c>
      <c r="B26979">
        <f>TEXT(26978, "[$-0E0000]yyyy-mm-dd")</f>
        <v/>
      </c>
      <c r="C26979" t="inlineStr">
        <is>
          <t>1973-10-17</t>
        </is>
      </c>
    </row>
    <row r="26980">
      <c r="A26980" s="1" t="n">
        <v>26979</v>
      </c>
      <c r="B26980">
        <f>TEXT(26979, "[$-0E0000]yyyy-mm-dd")</f>
        <v/>
      </c>
      <c r="C26980" t="inlineStr">
        <is>
          <t>1973-10-18</t>
        </is>
      </c>
    </row>
    <row r="26981">
      <c r="A26981" s="1" t="n">
        <v>26980</v>
      </c>
      <c r="B26981">
        <f>TEXT(26980, "[$-0E0000]yyyy-mm-dd")</f>
        <v/>
      </c>
      <c r="C26981" t="inlineStr">
        <is>
          <t>1973-10-19</t>
        </is>
      </c>
    </row>
    <row r="26982">
      <c r="A26982" s="1" t="n">
        <v>26981</v>
      </c>
      <c r="B26982">
        <f>TEXT(26981, "[$-0E0000]yyyy-mm-dd")</f>
        <v/>
      </c>
      <c r="C26982" t="inlineStr">
        <is>
          <t>1973-10-20</t>
        </is>
      </c>
    </row>
    <row r="26983">
      <c r="A26983" s="1" t="n">
        <v>26982</v>
      </c>
      <c r="B26983">
        <f>TEXT(26982, "[$-0E0000]yyyy-mm-dd")</f>
        <v/>
      </c>
      <c r="C26983" t="inlineStr">
        <is>
          <t>1973-10-21</t>
        </is>
      </c>
    </row>
    <row r="26984">
      <c r="A26984" s="1" t="n">
        <v>26983</v>
      </c>
      <c r="B26984">
        <f>TEXT(26983, "[$-0E0000]yyyy-mm-dd")</f>
        <v/>
      </c>
      <c r="C26984" t="inlineStr">
        <is>
          <t>1973-10-22</t>
        </is>
      </c>
    </row>
    <row r="26985">
      <c r="A26985" s="1" t="n">
        <v>26984</v>
      </c>
      <c r="B26985">
        <f>TEXT(26984, "[$-0E0000]yyyy-mm-dd")</f>
        <v/>
      </c>
      <c r="C26985" t="inlineStr">
        <is>
          <t>1973-10-23</t>
        </is>
      </c>
    </row>
    <row r="26986">
      <c r="A26986" s="1" t="n">
        <v>26985</v>
      </c>
      <c r="B26986">
        <f>TEXT(26985, "[$-0E0000]yyyy-mm-dd")</f>
        <v/>
      </c>
      <c r="C26986" t="inlineStr">
        <is>
          <t>1973-10-24</t>
        </is>
      </c>
    </row>
    <row r="26987">
      <c r="A26987" s="1" t="n">
        <v>26986</v>
      </c>
      <c r="B26987">
        <f>TEXT(26986, "[$-0E0000]yyyy-mm-dd")</f>
        <v/>
      </c>
      <c r="C26987" t="inlineStr">
        <is>
          <t>1973-10-25</t>
        </is>
      </c>
    </row>
    <row r="26988">
      <c r="A26988" s="1" t="n">
        <v>26987</v>
      </c>
      <c r="B26988">
        <f>TEXT(26987, "[$-0E0000]yyyy-mm-dd")</f>
        <v/>
      </c>
      <c r="C26988" t="inlineStr">
        <is>
          <t>1973-10-26</t>
        </is>
      </c>
    </row>
    <row r="26989">
      <c r="A26989" s="1" t="n">
        <v>26988</v>
      </c>
      <c r="B26989">
        <f>TEXT(26988, "[$-0E0000]yyyy-mm-dd")</f>
        <v/>
      </c>
      <c r="C26989" t="inlineStr">
        <is>
          <t>1973-10-27</t>
        </is>
      </c>
    </row>
    <row r="26990">
      <c r="A26990" s="1" t="n">
        <v>26989</v>
      </c>
      <c r="B26990">
        <f>TEXT(26989, "[$-0E0000]yyyy-mm-dd")</f>
        <v/>
      </c>
      <c r="C26990" t="inlineStr">
        <is>
          <t>1973-10-28</t>
        </is>
      </c>
    </row>
    <row r="26991">
      <c r="A26991" s="1" t="n">
        <v>26990</v>
      </c>
      <c r="B26991">
        <f>TEXT(26990, "[$-0E0000]yyyy-mm-dd")</f>
        <v/>
      </c>
      <c r="C26991" t="inlineStr">
        <is>
          <t>1973-10-29</t>
        </is>
      </c>
    </row>
    <row r="26992">
      <c r="A26992" s="1" t="n">
        <v>26991</v>
      </c>
      <c r="B26992">
        <f>TEXT(26991, "[$-0E0000]yyyy-mm-dd")</f>
        <v/>
      </c>
      <c r="C26992" t="inlineStr">
        <is>
          <t>1973-10-30</t>
        </is>
      </c>
    </row>
    <row r="26993">
      <c r="A26993" s="1" t="n">
        <v>26992</v>
      </c>
      <c r="B26993">
        <f>TEXT(26992, "[$-0E0000]yyyy-mm-dd")</f>
        <v/>
      </c>
      <c r="C26993" t="inlineStr">
        <is>
          <t>1973-11-01</t>
        </is>
      </c>
    </row>
    <row r="26994">
      <c r="A26994" s="1" t="n">
        <v>26993</v>
      </c>
      <c r="B26994">
        <f>TEXT(26993, "[$-0E0000]yyyy-mm-dd")</f>
        <v/>
      </c>
      <c r="C26994" t="inlineStr">
        <is>
          <t>1973-11-02</t>
        </is>
      </c>
    </row>
    <row r="26995">
      <c r="A26995" s="1" t="n">
        <v>26994</v>
      </c>
      <c r="B26995">
        <f>TEXT(26994, "[$-0E0000]yyyy-mm-dd")</f>
        <v/>
      </c>
      <c r="C26995" t="inlineStr">
        <is>
          <t>1973-11-03</t>
        </is>
      </c>
    </row>
    <row r="26996">
      <c r="A26996" s="1" t="n">
        <v>26995</v>
      </c>
      <c r="B26996">
        <f>TEXT(26995, "[$-0E0000]yyyy-mm-dd")</f>
        <v/>
      </c>
      <c r="C26996" t="inlineStr">
        <is>
          <t>1973-11-04</t>
        </is>
      </c>
    </row>
    <row r="26997">
      <c r="A26997" s="1" t="n">
        <v>26996</v>
      </c>
      <c r="B26997">
        <f>TEXT(26996, "[$-0E0000]yyyy-mm-dd")</f>
        <v/>
      </c>
      <c r="C26997" t="inlineStr">
        <is>
          <t>1973-11-05</t>
        </is>
      </c>
    </row>
    <row r="26998">
      <c r="A26998" s="1" t="n">
        <v>26997</v>
      </c>
      <c r="B26998">
        <f>TEXT(26997, "[$-0E0000]yyyy-mm-dd")</f>
        <v/>
      </c>
      <c r="C26998" t="inlineStr">
        <is>
          <t>1973-11-06</t>
        </is>
      </c>
    </row>
    <row r="26999">
      <c r="A26999" s="1" t="n">
        <v>26998</v>
      </c>
      <c r="B26999">
        <f>TEXT(26998, "[$-0E0000]yyyy-mm-dd")</f>
        <v/>
      </c>
      <c r="C26999" t="inlineStr">
        <is>
          <t>1973-11-07</t>
        </is>
      </c>
    </row>
    <row r="27000">
      <c r="A27000" s="1" t="n">
        <v>26999</v>
      </c>
      <c r="B27000">
        <f>TEXT(26999, "[$-0E0000]yyyy-mm-dd")</f>
        <v/>
      </c>
      <c r="C27000" t="inlineStr">
        <is>
          <t>1973-11-08</t>
        </is>
      </c>
    </row>
    <row r="27001">
      <c r="A27001" s="1" t="n">
        <v>27000</v>
      </c>
      <c r="B27001">
        <f>TEXT(27000, "[$-0E0000]yyyy-mm-dd")</f>
        <v/>
      </c>
      <c r="C27001" t="inlineStr">
        <is>
          <t>1973-11-09</t>
        </is>
      </c>
    </row>
    <row r="27002">
      <c r="A27002" s="1" t="n">
        <v>27001</v>
      </c>
      <c r="B27002">
        <f>TEXT(27001, "[$-0E0000]yyyy-mm-dd")</f>
        <v/>
      </c>
      <c r="C27002" t="inlineStr">
        <is>
          <t>1973-11-10</t>
        </is>
      </c>
    </row>
    <row r="27003">
      <c r="A27003" s="1" t="n">
        <v>27002</v>
      </c>
      <c r="B27003">
        <f>TEXT(27002, "[$-0E0000]yyyy-mm-dd")</f>
        <v/>
      </c>
      <c r="C27003" t="inlineStr">
        <is>
          <t>1973-11-11</t>
        </is>
      </c>
    </row>
    <row r="27004">
      <c r="A27004" s="1" t="n">
        <v>27003</v>
      </c>
      <c r="B27004">
        <f>TEXT(27003, "[$-0E0000]yyyy-mm-dd")</f>
        <v/>
      </c>
      <c r="C27004" t="inlineStr">
        <is>
          <t>1973-11-12</t>
        </is>
      </c>
    </row>
    <row r="27005">
      <c r="A27005" s="1" t="n">
        <v>27004</v>
      </c>
      <c r="B27005">
        <f>TEXT(27004, "[$-0E0000]yyyy-mm-dd")</f>
        <v/>
      </c>
      <c r="C27005" t="inlineStr">
        <is>
          <t>1973-11-13</t>
        </is>
      </c>
    </row>
    <row r="27006">
      <c r="A27006" s="1" t="n">
        <v>27005</v>
      </c>
      <c r="B27006">
        <f>TEXT(27005, "[$-0E0000]yyyy-mm-dd")</f>
        <v/>
      </c>
      <c r="C27006" t="inlineStr">
        <is>
          <t>1973-11-14</t>
        </is>
      </c>
    </row>
    <row r="27007">
      <c r="A27007" s="1" t="n">
        <v>27006</v>
      </c>
      <c r="B27007">
        <f>TEXT(27006, "[$-0E0000]yyyy-mm-dd")</f>
        <v/>
      </c>
      <c r="C27007" t="inlineStr">
        <is>
          <t>1973-11-15</t>
        </is>
      </c>
    </row>
    <row r="27008">
      <c r="A27008" s="1" t="n">
        <v>27007</v>
      </c>
      <c r="B27008">
        <f>TEXT(27007, "[$-0E0000]yyyy-mm-dd")</f>
        <v/>
      </c>
      <c r="C27008" t="inlineStr">
        <is>
          <t>1973-11-16</t>
        </is>
      </c>
    </row>
    <row r="27009">
      <c r="A27009" s="1" t="n">
        <v>27008</v>
      </c>
      <c r="B27009">
        <f>TEXT(27008, "[$-0E0000]yyyy-mm-dd")</f>
        <v/>
      </c>
      <c r="C27009" t="inlineStr">
        <is>
          <t>1973-11-17</t>
        </is>
      </c>
    </row>
    <row r="27010">
      <c r="A27010" s="1" t="n">
        <v>27009</v>
      </c>
      <c r="B27010">
        <f>TEXT(27009, "[$-0E0000]yyyy-mm-dd")</f>
        <v/>
      </c>
      <c r="C27010" t="inlineStr">
        <is>
          <t>1973-11-18</t>
        </is>
      </c>
    </row>
    <row r="27011">
      <c r="A27011" s="1" t="n">
        <v>27010</v>
      </c>
      <c r="B27011">
        <f>TEXT(27010, "[$-0E0000]yyyy-mm-dd")</f>
        <v/>
      </c>
      <c r="C27011" t="inlineStr">
        <is>
          <t>1973-11-19</t>
        </is>
      </c>
    </row>
    <row r="27012">
      <c r="A27012" s="1" t="n">
        <v>27011</v>
      </c>
      <c r="B27012">
        <f>TEXT(27011, "[$-0E0000]yyyy-mm-dd")</f>
        <v/>
      </c>
      <c r="C27012" t="inlineStr">
        <is>
          <t>1973-11-20</t>
        </is>
      </c>
    </row>
    <row r="27013">
      <c r="A27013" s="1" t="n">
        <v>27012</v>
      </c>
      <c r="B27013">
        <f>TEXT(27012, "[$-0E0000]yyyy-mm-dd")</f>
        <v/>
      </c>
      <c r="C27013" t="inlineStr">
        <is>
          <t>1973-11-21</t>
        </is>
      </c>
    </row>
    <row r="27014">
      <c r="A27014" s="1" t="n">
        <v>27013</v>
      </c>
      <c r="B27014">
        <f>TEXT(27013, "[$-0E0000]yyyy-mm-dd")</f>
        <v/>
      </c>
      <c r="C27014" t="inlineStr">
        <is>
          <t>1973-11-22</t>
        </is>
      </c>
    </row>
    <row r="27015">
      <c r="A27015" s="1" t="n">
        <v>27014</v>
      </c>
      <c r="B27015">
        <f>TEXT(27014, "[$-0E0000]yyyy-mm-dd")</f>
        <v/>
      </c>
      <c r="C27015" t="inlineStr">
        <is>
          <t>1973-11-23</t>
        </is>
      </c>
    </row>
    <row r="27016">
      <c r="A27016" s="1" t="n">
        <v>27015</v>
      </c>
      <c r="B27016">
        <f>TEXT(27015, "[$-0E0000]yyyy-mm-dd")</f>
        <v/>
      </c>
      <c r="C27016" t="inlineStr">
        <is>
          <t>1973-11-24</t>
        </is>
      </c>
    </row>
    <row r="27017">
      <c r="A27017" s="1" t="n">
        <v>27016</v>
      </c>
      <c r="B27017">
        <f>TEXT(27016, "[$-0E0000]yyyy-mm-dd")</f>
        <v/>
      </c>
      <c r="C27017" t="inlineStr">
        <is>
          <t>1973-11-25</t>
        </is>
      </c>
    </row>
    <row r="27018">
      <c r="A27018" s="1" t="n">
        <v>27017</v>
      </c>
      <c r="B27018">
        <f>TEXT(27017, "[$-0E0000]yyyy-mm-dd")</f>
        <v/>
      </c>
      <c r="C27018" t="inlineStr">
        <is>
          <t>1973-11-26</t>
        </is>
      </c>
    </row>
    <row r="27019">
      <c r="A27019" s="1" t="n">
        <v>27018</v>
      </c>
      <c r="B27019">
        <f>TEXT(27018, "[$-0E0000]yyyy-mm-dd")</f>
        <v/>
      </c>
      <c r="C27019" t="inlineStr">
        <is>
          <t>1973-11-27</t>
        </is>
      </c>
    </row>
    <row r="27020">
      <c r="A27020" s="1" t="n">
        <v>27019</v>
      </c>
      <c r="B27020">
        <f>TEXT(27019, "[$-0E0000]yyyy-mm-dd")</f>
        <v/>
      </c>
      <c r="C27020" t="inlineStr">
        <is>
          <t>1973-11-28</t>
        </is>
      </c>
    </row>
    <row r="27021">
      <c r="A27021" s="1" t="n">
        <v>27020</v>
      </c>
      <c r="B27021">
        <f>TEXT(27020, "[$-0E0000]yyyy-mm-dd")</f>
        <v/>
      </c>
      <c r="C27021" t="inlineStr">
        <is>
          <t>1973-11-29</t>
        </is>
      </c>
    </row>
    <row r="27022">
      <c r="A27022" s="1" t="n">
        <v>27021</v>
      </c>
      <c r="B27022">
        <f>TEXT(27021, "[$-0E0000]yyyy-mm-dd")</f>
        <v/>
      </c>
      <c r="C27022" t="inlineStr">
        <is>
          <t>1973-12-01</t>
        </is>
      </c>
    </row>
    <row r="27023">
      <c r="A27023" s="1" t="n">
        <v>27022</v>
      </c>
      <c r="B27023">
        <f>TEXT(27022, "[$-0E0000]yyyy-mm-dd")</f>
        <v/>
      </c>
      <c r="C27023" t="inlineStr">
        <is>
          <t>1973-12-02</t>
        </is>
      </c>
    </row>
    <row r="27024">
      <c r="A27024" s="1" t="n">
        <v>27023</v>
      </c>
      <c r="B27024">
        <f>TEXT(27023, "[$-0E0000]yyyy-mm-dd")</f>
        <v/>
      </c>
      <c r="C27024" t="inlineStr">
        <is>
          <t>1973-12-03</t>
        </is>
      </c>
    </row>
    <row r="27025">
      <c r="A27025" s="1" t="n">
        <v>27024</v>
      </c>
      <c r="B27025">
        <f>TEXT(27024, "[$-0E0000]yyyy-mm-dd")</f>
        <v/>
      </c>
      <c r="C27025" t="inlineStr">
        <is>
          <t>1973-12-04</t>
        </is>
      </c>
    </row>
    <row r="27026">
      <c r="A27026" s="1" t="n">
        <v>27025</v>
      </c>
      <c r="B27026">
        <f>TEXT(27025, "[$-0E0000]yyyy-mm-dd")</f>
        <v/>
      </c>
      <c r="C27026" t="inlineStr">
        <is>
          <t>1973-12-05</t>
        </is>
      </c>
    </row>
    <row r="27027">
      <c r="A27027" s="1" t="n">
        <v>27026</v>
      </c>
      <c r="B27027">
        <f>TEXT(27026, "[$-0E0000]yyyy-mm-dd")</f>
        <v/>
      </c>
      <c r="C27027" t="inlineStr">
        <is>
          <t>1973-12-06</t>
        </is>
      </c>
    </row>
    <row r="27028">
      <c r="A27028" s="1" t="n">
        <v>27027</v>
      </c>
      <c r="B27028">
        <f>TEXT(27027, "[$-0E0000]yyyy-mm-dd")</f>
        <v/>
      </c>
      <c r="C27028" t="inlineStr">
        <is>
          <t>1973-12-07</t>
        </is>
      </c>
    </row>
    <row r="27029">
      <c r="A27029" s="1" t="n">
        <v>27028</v>
      </c>
      <c r="B27029">
        <f>TEXT(27028, "[$-0E0000]yyyy-mm-dd")</f>
        <v/>
      </c>
      <c r="C27029" t="inlineStr">
        <is>
          <t>1973-12-08</t>
        </is>
      </c>
    </row>
    <row r="27030">
      <c r="A27030" s="1" t="n">
        <v>27029</v>
      </c>
      <c r="B27030">
        <f>TEXT(27029, "[$-0E0000]yyyy-mm-dd")</f>
        <v/>
      </c>
      <c r="C27030" t="inlineStr">
        <is>
          <t>1973-12-09</t>
        </is>
      </c>
    </row>
    <row r="27031">
      <c r="A27031" s="1" t="n">
        <v>27030</v>
      </c>
      <c r="B27031">
        <f>TEXT(27030, "[$-0E0000]yyyy-mm-dd")</f>
        <v/>
      </c>
      <c r="C27031" t="inlineStr">
        <is>
          <t>1973-12-10</t>
        </is>
      </c>
    </row>
    <row r="27032">
      <c r="A27032" s="1" t="n">
        <v>27031</v>
      </c>
      <c r="B27032">
        <f>TEXT(27031, "[$-0E0000]yyyy-mm-dd")</f>
        <v/>
      </c>
      <c r="C27032" t="inlineStr">
        <is>
          <t>1973-12-11</t>
        </is>
      </c>
    </row>
    <row r="27033">
      <c r="A27033" s="1" t="n">
        <v>27032</v>
      </c>
      <c r="B27033">
        <f>TEXT(27032, "[$-0E0000]yyyy-mm-dd")</f>
        <v/>
      </c>
      <c r="C27033" t="inlineStr">
        <is>
          <t>1973-12-12</t>
        </is>
      </c>
    </row>
    <row r="27034">
      <c r="A27034" s="1" t="n">
        <v>27033</v>
      </c>
      <c r="B27034">
        <f>TEXT(27033, "[$-0E0000]yyyy-mm-dd")</f>
        <v/>
      </c>
      <c r="C27034" t="inlineStr">
        <is>
          <t>1973-12-13</t>
        </is>
      </c>
    </row>
    <row r="27035">
      <c r="A27035" s="1" t="n">
        <v>27034</v>
      </c>
      <c r="B27035">
        <f>TEXT(27034, "[$-0E0000]yyyy-mm-dd")</f>
        <v/>
      </c>
      <c r="C27035" t="inlineStr">
        <is>
          <t>1973-12-14</t>
        </is>
      </c>
    </row>
    <row r="27036">
      <c r="A27036" s="1" t="n">
        <v>27035</v>
      </c>
      <c r="B27036">
        <f>TEXT(27035, "[$-0E0000]yyyy-mm-dd")</f>
        <v/>
      </c>
      <c r="C27036" t="inlineStr">
        <is>
          <t>1973-12-15</t>
        </is>
      </c>
    </row>
    <row r="27037">
      <c r="A27037" s="1" t="n">
        <v>27036</v>
      </c>
      <c r="B27037">
        <f>TEXT(27036, "[$-0E0000]yyyy-mm-dd")</f>
        <v/>
      </c>
      <c r="C27037" t="inlineStr">
        <is>
          <t>1973-12-16</t>
        </is>
      </c>
    </row>
    <row r="27038">
      <c r="A27038" s="1" t="n">
        <v>27037</v>
      </c>
      <c r="B27038">
        <f>TEXT(27037, "[$-0E0000]yyyy-mm-dd")</f>
        <v/>
      </c>
      <c r="C27038" t="inlineStr">
        <is>
          <t>1973-12-17</t>
        </is>
      </c>
    </row>
    <row r="27039">
      <c r="A27039" s="1" t="n">
        <v>27038</v>
      </c>
      <c r="B27039">
        <f>TEXT(27038, "[$-0E0000]yyyy-mm-dd")</f>
        <v/>
      </c>
      <c r="C27039" t="inlineStr">
        <is>
          <t>1973-12-18</t>
        </is>
      </c>
    </row>
    <row r="27040">
      <c r="A27040" s="1" t="n">
        <v>27039</v>
      </c>
      <c r="B27040">
        <f>TEXT(27039, "[$-0E0000]yyyy-mm-dd")</f>
        <v/>
      </c>
      <c r="C27040" t="inlineStr">
        <is>
          <t>1973-12-19</t>
        </is>
      </c>
    </row>
    <row r="27041">
      <c r="A27041" s="1" t="n">
        <v>27040</v>
      </c>
      <c r="B27041">
        <f>TEXT(27040, "[$-0E0000]yyyy-mm-dd")</f>
        <v/>
      </c>
      <c r="C27041" t="inlineStr">
        <is>
          <t>1973-12-20</t>
        </is>
      </c>
    </row>
    <row r="27042">
      <c r="A27042" s="1" t="n">
        <v>27041</v>
      </c>
      <c r="B27042">
        <f>TEXT(27041, "[$-0E0000]yyyy-mm-dd")</f>
        <v/>
      </c>
      <c r="C27042" t="inlineStr">
        <is>
          <t>1973-12-21</t>
        </is>
      </c>
    </row>
    <row r="27043">
      <c r="A27043" s="1" t="n">
        <v>27042</v>
      </c>
      <c r="B27043">
        <f>TEXT(27042, "[$-0E0000]yyyy-mm-dd")</f>
        <v/>
      </c>
      <c r="C27043" t="inlineStr">
        <is>
          <t>1973-12-22</t>
        </is>
      </c>
    </row>
    <row r="27044">
      <c r="A27044" s="1" t="n">
        <v>27043</v>
      </c>
      <c r="B27044">
        <f>TEXT(27043, "[$-0E0000]yyyy-mm-dd")</f>
        <v/>
      </c>
      <c r="C27044" t="inlineStr">
        <is>
          <t>1973-12-23</t>
        </is>
      </c>
    </row>
    <row r="27045">
      <c r="A27045" s="1" t="n">
        <v>27044</v>
      </c>
      <c r="B27045">
        <f>TEXT(27044, "[$-0E0000]yyyy-mm-dd")</f>
        <v/>
      </c>
      <c r="C27045" t="inlineStr">
        <is>
          <t>1973-12-24</t>
        </is>
      </c>
    </row>
    <row r="27046">
      <c r="A27046" s="1" t="n">
        <v>27045</v>
      </c>
      <c r="B27046">
        <f>TEXT(27045, "[$-0E0000]yyyy-mm-dd")</f>
        <v/>
      </c>
      <c r="C27046" t="inlineStr">
        <is>
          <t>1973-12-25</t>
        </is>
      </c>
    </row>
    <row r="27047">
      <c r="A27047" s="1" t="n">
        <v>27046</v>
      </c>
      <c r="B27047">
        <f>TEXT(27046, "[$-0E0000]yyyy-mm-dd")</f>
        <v/>
      </c>
      <c r="C27047" t="inlineStr">
        <is>
          <t>1973-12-26</t>
        </is>
      </c>
    </row>
    <row r="27048">
      <c r="A27048" s="1" t="n">
        <v>27047</v>
      </c>
      <c r="B27048">
        <f>TEXT(27047, "[$-0E0000]yyyy-mm-dd")</f>
        <v/>
      </c>
      <c r="C27048" t="inlineStr">
        <is>
          <t>1973-12-27</t>
        </is>
      </c>
    </row>
    <row r="27049">
      <c r="A27049" s="1" t="n">
        <v>27048</v>
      </c>
      <c r="B27049">
        <f>TEXT(27048, "[$-0E0000]yyyy-mm-dd")</f>
        <v/>
      </c>
      <c r="C27049" t="inlineStr">
        <is>
          <t>1973-12-28</t>
        </is>
      </c>
    </row>
    <row r="27050">
      <c r="A27050" s="1" t="n">
        <v>27049</v>
      </c>
      <c r="B27050">
        <f>TEXT(27049, "[$-0E0000]yyyy-mm-dd")</f>
        <v/>
      </c>
      <c r="C27050" t="inlineStr">
        <is>
          <t>1973-12-29</t>
        </is>
      </c>
    </row>
    <row r="27051">
      <c r="A27051" s="1" t="n">
        <v>27050</v>
      </c>
      <c r="B27051">
        <f>TEXT(27050, "[$-0E0000]yyyy-mm-dd")</f>
        <v/>
      </c>
      <c r="C27051" t="inlineStr">
        <is>
          <t>1973-12-30</t>
        </is>
      </c>
    </row>
    <row r="27052">
      <c r="A27052" s="1" t="n">
        <v>27051</v>
      </c>
      <c r="B27052">
        <f>TEXT(27051, "[$-0E0000]yyyy-mm-dd")</f>
        <v/>
      </c>
      <c r="C27052" t="inlineStr">
        <is>
          <t>1974-01-01</t>
        </is>
      </c>
    </row>
    <row r="27053">
      <c r="A27053" s="1" t="n">
        <v>27052</v>
      </c>
      <c r="B27053">
        <f>TEXT(27052, "[$-0E0000]yyyy-mm-dd")</f>
        <v/>
      </c>
      <c r="C27053" t="inlineStr">
        <is>
          <t>1974-01-02</t>
        </is>
      </c>
    </row>
    <row r="27054">
      <c r="A27054" s="1" t="n">
        <v>27053</v>
      </c>
      <c r="B27054">
        <f>TEXT(27053, "[$-0E0000]yyyy-mm-dd")</f>
        <v/>
      </c>
      <c r="C27054" t="inlineStr">
        <is>
          <t>1974-01-03</t>
        </is>
      </c>
    </row>
    <row r="27055">
      <c r="A27055" s="1" t="n">
        <v>27054</v>
      </c>
      <c r="B27055">
        <f>TEXT(27054, "[$-0E0000]yyyy-mm-dd")</f>
        <v/>
      </c>
      <c r="C27055" t="inlineStr">
        <is>
          <t>1974-01-04</t>
        </is>
      </c>
    </row>
    <row r="27056">
      <c r="A27056" s="1" t="n">
        <v>27055</v>
      </c>
      <c r="B27056">
        <f>TEXT(27055, "[$-0E0000]yyyy-mm-dd")</f>
        <v/>
      </c>
      <c r="C27056" t="inlineStr">
        <is>
          <t>1974-01-05</t>
        </is>
      </c>
    </row>
    <row r="27057">
      <c r="A27057" s="1" t="n">
        <v>27056</v>
      </c>
      <c r="B27057">
        <f>TEXT(27056, "[$-0E0000]yyyy-mm-dd")</f>
        <v/>
      </c>
      <c r="C27057" t="inlineStr">
        <is>
          <t>1974-01-06</t>
        </is>
      </c>
    </row>
    <row r="27058">
      <c r="A27058" s="1" t="n">
        <v>27057</v>
      </c>
      <c r="B27058">
        <f>TEXT(27057, "[$-0E0000]yyyy-mm-dd")</f>
        <v/>
      </c>
      <c r="C27058" t="inlineStr">
        <is>
          <t>1974-01-07</t>
        </is>
      </c>
    </row>
    <row r="27059">
      <c r="A27059" s="1" t="n">
        <v>27058</v>
      </c>
      <c r="B27059">
        <f>TEXT(27058, "[$-0E0000]yyyy-mm-dd")</f>
        <v/>
      </c>
      <c r="C27059" t="inlineStr">
        <is>
          <t>1974-01-08</t>
        </is>
      </c>
    </row>
    <row r="27060">
      <c r="A27060" s="1" t="n">
        <v>27059</v>
      </c>
      <c r="B27060">
        <f>TEXT(27059, "[$-0E0000]yyyy-mm-dd")</f>
        <v/>
      </c>
      <c r="C27060" t="inlineStr">
        <is>
          <t>1974-01-09</t>
        </is>
      </c>
    </row>
    <row r="27061">
      <c r="A27061" s="1" t="n">
        <v>27060</v>
      </c>
      <c r="B27061">
        <f>TEXT(27060, "[$-0E0000]yyyy-mm-dd")</f>
        <v/>
      </c>
      <c r="C27061" t="inlineStr">
        <is>
          <t>1974-01-10</t>
        </is>
      </c>
    </row>
    <row r="27062">
      <c r="A27062" s="1" t="n">
        <v>27061</v>
      </c>
      <c r="B27062">
        <f>TEXT(27061, "[$-0E0000]yyyy-mm-dd")</f>
        <v/>
      </c>
      <c r="C27062" t="inlineStr">
        <is>
          <t>1974-01-11</t>
        </is>
      </c>
    </row>
    <row r="27063">
      <c r="A27063" s="1" t="n">
        <v>27062</v>
      </c>
      <c r="B27063">
        <f>TEXT(27062, "[$-0E0000]yyyy-mm-dd")</f>
        <v/>
      </c>
      <c r="C27063" t="inlineStr">
        <is>
          <t>1974-01-12</t>
        </is>
      </c>
    </row>
    <row r="27064">
      <c r="A27064" s="1" t="n">
        <v>27063</v>
      </c>
      <c r="B27064">
        <f>TEXT(27063, "[$-0E0000]yyyy-mm-dd")</f>
        <v/>
      </c>
      <c r="C27064" t="inlineStr">
        <is>
          <t>1974-01-13</t>
        </is>
      </c>
    </row>
    <row r="27065">
      <c r="A27065" s="1" t="n">
        <v>27064</v>
      </c>
      <c r="B27065">
        <f>TEXT(27064, "[$-0E0000]yyyy-mm-dd")</f>
        <v/>
      </c>
      <c r="C27065" t="inlineStr">
        <is>
          <t>1974-01-14</t>
        </is>
      </c>
    </row>
    <row r="27066">
      <c r="A27066" s="1" t="n">
        <v>27065</v>
      </c>
      <c r="B27066">
        <f>TEXT(27065, "[$-0E0000]yyyy-mm-dd")</f>
        <v/>
      </c>
      <c r="C27066" t="inlineStr">
        <is>
          <t>1974-01-15</t>
        </is>
      </c>
    </row>
    <row r="27067">
      <c r="A27067" s="1" t="n">
        <v>27066</v>
      </c>
      <c r="B27067">
        <f>TEXT(27066, "[$-0E0000]yyyy-mm-dd")</f>
        <v/>
      </c>
      <c r="C27067" t="inlineStr">
        <is>
          <t>1974-01-16</t>
        </is>
      </c>
    </row>
    <row r="27068">
      <c r="A27068" s="1" t="n">
        <v>27067</v>
      </c>
      <c r="B27068">
        <f>TEXT(27067, "[$-0E0000]yyyy-mm-dd")</f>
        <v/>
      </c>
      <c r="C27068" t="inlineStr">
        <is>
          <t>1974-01-17</t>
        </is>
      </c>
    </row>
    <row r="27069">
      <c r="A27069" s="1" t="n">
        <v>27068</v>
      </c>
      <c r="B27069">
        <f>TEXT(27068, "[$-0E0000]yyyy-mm-dd")</f>
        <v/>
      </c>
      <c r="C27069" t="inlineStr">
        <is>
          <t>1974-01-18</t>
        </is>
      </c>
    </row>
    <row r="27070">
      <c r="A27070" s="1" t="n">
        <v>27069</v>
      </c>
      <c r="B27070">
        <f>TEXT(27069, "[$-0E0000]yyyy-mm-dd")</f>
        <v/>
      </c>
      <c r="C27070" t="inlineStr">
        <is>
          <t>1974-01-19</t>
        </is>
      </c>
    </row>
    <row r="27071">
      <c r="A27071" s="1" t="n">
        <v>27070</v>
      </c>
      <c r="B27071">
        <f>TEXT(27070, "[$-0E0000]yyyy-mm-dd")</f>
        <v/>
      </c>
      <c r="C27071" t="inlineStr">
        <is>
          <t>1974-01-20</t>
        </is>
      </c>
    </row>
    <row r="27072">
      <c r="A27072" s="1" t="n">
        <v>27071</v>
      </c>
      <c r="B27072">
        <f>TEXT(27071, "[$-0E0000]yyyy-mm-dd")</f>
        <v/>
      </c>
      <c r="C27072" t="inlineStr">
        <is>
          <t>1974-01-21</t>
        </is>
      </c>
    </row>
    <row r="27073">
      <c r="A27073" s="1" t="n">
        <v>27072</v>
      </c>
      <c r="B27073">
        <f>TEXT(27072, "[$-0E0000]yyyy-mm-dd")</f>
        <v/>
      </c>
      <c r="C27073" t="inlineStr">
        <is>
          <t>1974-01-22</t>
        </is>
      </c>
    </row>
    <row r="27074">
      <c r="A27074" s="1" t="n">
        <v>27073</v>
      </c>
      <c r="B27074">
        <f>TEXT(27073, "[$-0E0000]yyyy-mm-dd")</f>
        <v/>
      </c>
      <c r="C27074" t="inlineStr">
        <is>
          <t>1974-01-23</t>
        </is>
      </c>
    </row>
    <row r="27075">
      <c r="A27075" s="1" t="n">
        <v>27074</v>
      </c>
      <c r="B27075">
        <f>TEXT(27074, "[$-0E0000]yyyy-mm-dd")</f>
        <v/>
      </c>
      <c r="C27075" t="inlineStr">
        <is>
          <t>1974-01-24</t>
        </is>
      </c>
    </row>
    <row r="27076">
      <c r="A27076" s="1" t="n">
        <v>27075</v>
      </c>
      <c r="B27076">
        <f>TEXT(27075, "[$-0E0000]yyyy-mm-dd")</f>
        <v/>
      </c>
      <c r="C27076" t="inlineStr">
        <is>
          <t>1974-01-25</t>
        </is>
      </c>
    </row>
    <row r="27077">
      <c r="A27077" s="1" t="n">
        <v>27076</v>
      </c>
      <c r="B27077">
        <f>TEXT(27076, "[$-0E0000]yyyy-mm-dd")</f>
        <v/>
      </c>
      <c r="C27077" t="inlineStr">
        <is>
          <t>1974-01-26</t>
        </is>
      </c>
    </row>
    <row r="27078">
      <c r="A27078" s="1" t="n">
        <v>27077</v>
      </c>
      <c r="B27078">
        <f>TEXT(27077, "[$-0E0000]yyyy-mm-dd")</f>
        <v/>
      </c>
      <c r="C27078" t="inlineStr">
        <is>
          <t>1974-01-27</t>
        </is>
      </c>
    </row>
    <row r="27079">
      <c r="A27079" s="1" t="n">
        <v>27078</v>
      </c>
      <c r="B27079">
        <f>TEXT(27078, "[$-0E0000]yyyy-mm-dd")</f>
        <v/>
      </c>
      <c r="C27079" t="inlineStr">
        <is>
          <t>1974-01-28</t>
        </is>
      </c>
    </row>
    <row r="27080">
      <c r="A27080" s="1" t="n">
        <v>27079</v>
      </c>
      <c r="B27080">
        <f>TEXT(27079, "[$-0E0000]yyyy-mm-dd")</f>
        <v/>
      </c>
      <c r="C27080" t="inlineStr">
        <is>
          <t>1974-01-29</t>
        </is>
      </c>
    </row>
    <row r="27081">
      <c r="A27081" s="1" t="n">
        <v>27080</v>
      </c>
      <c r="B27081">
        <f>TEXT(27080, "[$-0E0000]yyyy-mm-dd")</f>
        <v/>
      </c>
      <c r="C27081" t="inlineStr">
        <is>
          <t>1974-01-30</t>
        </is>
      </c>
    </row>
    <row r="27082">
      <c r="A27082" s="1" t="n">
        <v>27081</v>
      </c>
      <c r="B27082">
        <f>TEXT(27081, "[$-0E0000]yyyy-mm-dd")</f>
        <v/>
      </c>
      <c r="C27082" t="inlineStr">
        <is>
          <t>1974-02-01</t>
        </is>
      </c>
    </row>
    <row r="27083">
      <c r="A27083" s="1" t="n">
        <v>27082</v>
      </c>
      <c r="B27083">
        <f>TEXT(27082, "[$-0E0000]yyyy-mm-dd")</f>
        <v/>
      </c>
      <c r="C27083" t="inlineStr">
        <is>
          <t>1974-02-02</t>
        </is>
      </c>
    </row>
    <row r="27084">
      <c r="A27084" s="1" t="n">
        <v>27083</v>
      </c>
      <c r="B27084">
        <f>TEXT(27083, "[$-0E0000]yyyy-mm-dd")</f>
        <v/>
      </c>
      <c r="C27084" t="inlineStr">
        <is>
          <t>1974-02-03</t>
        </is>
      </c>
    </row>
    <row r="27085">
      <c r="A27085" s="1" t="n">
        <v>27084</v>
      </c>
      <c r="B27085">
        <f>TEXT(27084, "[$-0E0000]yyyy-mm-dd")</f>
        <v/>
      </c>
      <c r="C27085" t="inlineStr">
        <is>
          <t>1974-02-04</t>
        </is>
      </c>
    </row>
    <row r="27086">
      <c r="A27086" s="1" t="n">
        <v>27085</v>
      </c>
      <c r="B27086">
        <f>TEXT(27085, "[$-0E0000]yyyy-mm-dd")</f>
        <v/>
      </c>
      <c r="C27086" t="inlineStr">
        <is>
          <t>1974-02-05</t>
        </is>
      </c>
    </row>
    <row r="27087">
      <c r="A27087" s="1" t="n">
        <v>27086</v>
      </c>
      <c r="B27087">
        <f>TEXT(27086, "[$-0E0000]yyyy-mm-dd")</f>
        <v/>
      </c>
      <c r="C27087" t="inlineStr">
        <is>
          <t>1974-02-06</t>
        </is>
      </c>
    </row>
    <row r="27088">
      <c r="A27088" s="1" t="n">
        <v>27087</v>
      </c>
      <c r="B27088">
        <f>TEXT(27087, "[$-0E0000]yyyy-mm-dd")</f>
        <v/>
      </c>
      <c r="C27088" t="inlineStr">
        <is>
          <t>1974-02-07</t>
        </is>
      </c>
    </row>
    <row r="27089">
      <c r="A27089" s="1" t="n">
        <v>27088</v>
      </c>
      <c r="B27089">
        <f>TEXT(27088, "[$-0E0000]yyyy-mm-dd")</f>
        <v/>
      </c>
      <c r="C27089" t="inlineStr">
        <is>
          <t>1974-02-08</t>
        </is>
      </c>
    </row>
    <row r="27090">
      <c r="A27090" s="1" t="n">
        <v>27089</v>
      </c>
      <c r="B27090">
        <f>TEXT(27089, "[$-0E0000]yyyy-mm-dd")</f>
        <v/>
      </c>
      <c r="C27090" t="inlineStr">
        <is>
          <t>1974-02-09</t>
        </is>
      </c>
    </row>
    <row r="27091">
      <c r="A27091" s="1" t="n">
        <v>27090</v>
      </c>
      <c r="B27091">
        <f>TEXT(27090, "[$-0E0000]yyyy-mm-dd")</f>
        <v/>
      </c>
      <c r="C27091" t="inlineStr">
        <is>
          <t>1974-02-10</t>
        </is>
      </c>
    </row>
    <row r="27092">
      <c r="A27092" s="1" t="n">
        <v>27091</v>
      </c>
      <c r="B27092">
        <f>TEXT(27091, "[$-0E0000]yyyy-mm-dd")</f>
        <v/>
      </c>
      <c r="C27092" t="inlineStr">
        <is>
          <t>1974-02-11</t>
        </is>
      </c>
    </row>
    <row r="27093">
      <c r="A27093" s="1" t="n">
        <v>27092</v>
      </c>
      <c r="B27093">
        <f>TEXT(27092, "[$-0E0000]yyyy-mm-dd")</f>
        <v/>
      </c>
      <c r="C27093" t="inlineStr">
        <is>
          <t>1974-02-12</t>
        </is>
      </c>
    </row>
    <row r="27094">
      <c r="A27094" s="1" t="n">
        <v>27093</v>
      </c>
      <c r="B27094">
        <f>TEXT(27093, "[$-0E0000]yyyy-mm-dd")</f>
        <v/>
      </c>
      <c r="C27094" t="inlineStr">
        <is>
          <t>1974-02-13</t>
        </is>
      </c>
    </row>
    <row r="27095">
      <c r="A27095" s="1" t="n">
        <v>27094</v>
      </c>
      <c r="B27095">
        <f>TEXT(27094, "[$-0E0000]yyyy-mm-dd")</f>
        <v/>
      </c>
      <c r="C27095" t="inlineStr">
        <is>
          <t>1974-02-14</t>
        </is>
      </c>
    </row>
    <row r="27096">
      <c r="A27096" s="1" t="n">
        <v>27095</v>
      </c>
      <c r="B27096">
        <f>TEXT(27095, "[$-0E0000]yyyy-mm-dd")</f>
        <v/>
      </c>
      <c r="C27096" t="inlineStr">
        <is>
          <t>1974-02-15</t>
        </is>
      </c>
    </row>
    <row r="27097">
      <c r="A27097" s="1" t="n">
        <v>27096</v>
      </c>
      <c r="B27097">
        <f>TEXT(27096, "[$-0E0000]yyyy-mm-dd")</f>
        <v/>
      </c>
      <c r="C27097" t="inlineStr">
        <is>
          <t>1974-02-16</t>
        </is>
      </c>
    </row>
    <row r="27098">
      <c r="A27098" s="1" t="n">
        <v>27097</v>
      </c>
      <c r="B27098">
        <f>TEXT(27097, "[$-0E0000]yyyy-mm-dd")</f>
        <v/>
      </c>
      <c r="C27098" t="inlineStr">
        <is>
          <t>1974-02-17</t>
        </is>
      </c>
    </row>
    <row r="27099">
      <c r="A27099" s="1" t="n">
        <v>27098</v>
      </c>
      <c r="B27099">
        <f>TEXT(27098, "[$-0E0000]yyyy-mm-dd")</f>
        <v/>
      </c>
      <c r="C27099" t="inlineStr">
        <is>
          <t>1974-02-18</t>
        </is>
      </c>
    </row>
    <row r="27100">
      <c r="A27100" s="1" t="n">
        <v>27099</v>
      </c>
      <c r="B27100">
        <f>TEXT(27099, "[$-0E0000]yyyy-mm-dd")</f>
        <v/>
      </c>
      <c r="C27100" t="inlineStr">
        <is>
          <t>1974-02-19</t>
        </is>
      </c>
    </row>
    <row r="27101">
      <c r="A27101" s="1" t="n">
        <v>27100</v>
      </c>
      <c r="B27101">
        <f>TEXT(27100, "[$-0E0000]yyyy-mm-dd")</f>
        <v/>
      </c>
      <c r="C27101" t="inlineStr">
        <is>
          <t>1974-02-20</t>
        </is>
      </c>
    </row>
    <row r="27102">
      <c r="A27102" s="1" t="n">
        <v>27101</v>
      </c>
      <c r="B27102">
        <f>TEXT(27101, "[$-0E0000]yyyy-mm-dd")</f>
        <v/>
      </c>
      <c r="C27102" t="inlineStr">
        <is>
          <t>1974-02-21</t>
        </is>
      </c>
    </row>
    <row r="27103">
      <c r="A27103" s="1" t="n">
        <v>27102</v>
      </c>
      <c r="B27103">
        <f>TEXT(27102, "[$-0E0000]yyyy-mm-dd")</f>
        <v/>
      </c>
      <c r="C27103" t="inlineStr">
        <is>
          <t>1974-02-22</t>
        </is>
      </c>
    </row>
    <row r="27104">
      <c r="A27104" s="1" t="n">
        <v>27103</v>
      </c>
      <c r="B27104">
        <f>TEXT(27103, "[$-0E0000]yyyy-mm-dd")</f>
        <v/>
      </c>
      <c r="C27104" t="inlineStr">
        <is>
          <t>1974-02-23</t>
        </is>
      </c>
    </row>
    <row r="27105">
      <c r="A27105" s="1" t="n">
        <v>27104</v>
      </c>
      <c r="B27105">
        <f>TEXT(27104, "[$-0E0000]yyyy-mm-dd")</f>
        <v/>
      </c>
      <c r="C27105" t="inlineStr">
        <is>
          <t>1974-02-24</t>
        </is>
      </c>
    </row>
    <row r="27106">
      <c r="A27106" s="1" t="n">
        <v>27105</v>
      </c>
      <c r="B27106">
        <f>TEXT(27105, "[$-0E0000]yyyy-mm-dd")</f>
        <v/>
      </c>
      <c r="C27106" t="inlineStr">
        <is>
          <t>1974-02-25</t>
        </is>
      </c>
    </row>
    <row r="27107">
      <c r="A27107" s="1" t="n">
        <v>27106</v>
      </c>
      <c r="B27107">
        <f>TEXT(27106, "[$-0E0000]yyyy-mm-dd")</f>
        <v/>
      </c>
      <c r="C27107" t="inlineStr">
        <is>
          <t>1974-02-26</t>
        </is>
      </c>
    </row>
    <row r="27108">
      <c r="A27108" s="1" t="n">
        <v>27107</v>
      </c>
      <c r="B27108">
        <f>TEXT(27107, "[$-0E0000]yyyy-mm-dd")</f>
        <v/>
      </c>
      <c r="C27108" t="inlineStr">
        <is>
          <t>1974-02-27</t>
        </is>
      </c>
    </row>
    <row r="27109">
      <c r="A27109" s="1" t="n">
        <v>27108</v>
      </c>
      <c r="B27109">
        <f>TEXT(27108, "[$-0E0000]yyyy-mm-dd")</f>
        <v/>
      </c>
      <c r="C27109" t="inlineStr">
        <is>
          <t>1974-02-28</t>
        </is>
      </c>
    </row>
    <row r="27110">
      <c r="A27110" s="1" t="n">
        <v>27109</v>
      </c>
      <c r="B27110">
        <f>TEXT(27109, "[$-0E0000]yyyy-mm-dd")</f>
        <v/>
      </c>
      <c r="C27110" t="inlineStr">
        <is>
          <t>1974-02-29</t>
        </is>
      </c>
    </row>
    <row r="27111">
      <c r="A27111" s="1" t="n">
        <v>27110</v>
      </c>
      <c r="B27111">
        <f>TEXT(27110, "[$-0E0000]yyyy-mm-dd")</f>
        <v/>
      </c>
      <c r="C27111" t="inlineStr">
        <is>
          <t>1974-02-30</t>
        </is>
      </c>
    </row>
    <row r="27112">
      <c r="A27112" s="1" t="n">
        <v>27111</v>
      </c>
      <c r="B27112">
        <f>TEXT(27111, "[$-0E0000]yyyy-mm-dd")</f>
        <v/>
      </c>
      <c r="C27112" t="inlineStr">
        <is>
          <t>1974-03-01</t>
        </is>
      </c>
    </row>
    <row r="27113">
      <c r="A27113" s="1" t="n">
        <v>27112</v>
      </c>
      <c r="B27113">
        <f>TEXT(27112, "[$-0E0000]yyyy-mm-dd")</f>
        <v/>
      </c>
      <c r="C27113" t="inlineStr">
        <is>
          <t>1974-03-02</t>
        </is>
      </c>
    </row>
    <row r="27114">
      <c r="A27114" s="1" t="n">
        <v>27113</v>
      </c>
      <c r="B27114">
        <f>TEXT(27113, "[$-0E0000]yyyy-mm-dd")</f>
        <v/>
      </c>
      <c r="C27114" t="inlineStr">
        <is>
          <t>1974-03-03</t>
        </is>
      </c>
    </row>
    <row r="27115">
      <c r="A27115" s="1" t="n">
        <v>27114</v>
      </c>
      <c r="B27115">
        <f>TEXT(27114, "[$-0E0000]yyyy-mm-dd")</f>
        <v/>
      </c>
      <c r="C27115" t="inlineStr">
        <is>
          <t>1974-03-04</t>
        </is>
      </c>
    </row>
    <row r="27116">
      <c r="A27116" s="1" t="n">
        <v>27115</v>
      </c>
      <c r="B27116">
        <f>TEXT(27115, "[$-0E0000]yyyy-mm-dd")</f>
        <v/>
      </c>
      <c r="C27116" t="inlineStr">
        <is>
          <t>1974-03-05</t>
        </is>
      </c>
    </row>
    <row r="27117">
      <c r="A27117" s="1" t="n">
        <v>27116</v>
      </c>
      <c r="B27117">
        <f>TEXT(27116, "[$-0E0000]yyyy-mm-dd")</f>
        <v/>
      </c>
      <c r="C27117" t="inlineStr">
        <is>
          <t>1974-03-06</t>
        </is>
      </c>
    </row>
    <row r="27118">
      <c r="A27118" s="1" t="n">
        <v>27117</v>
      </c>
      <c r="B27118">
        <f>TEXT(27117, "[$-0E0000]yyyy-mm-dd")</f>
        <v/>
      </c>
      <c r="C27118" t="inlineStr">
        <is>
          <t>1974-03-07</t>
        </is>
      </c>
    </row>
    <row r="27119">
      <c r="A27119" s="1" t="n">
        <v>27118</v>
      </c>
      <c r="B27119">
        <f>TEXT(27118, "[$-0E0000]yyyy-mm-dd")</f>
        <v/>
      </c>
      <c r="C27119" t="inlineStr">
        <is>
          <t>1974-03-08</t>
        </is>
      </c>
    </row>
    <row r="27120">
      <c r="A27120" s="1" t="n">
        <v>27119</v>
      </c>
      <c r="B27120">
        <f>TEXT(27119, "[$-0E0000]yyyy-mm-dd")</f>
        <v/>
      </c>
      <c r="C27120" t="inlineStr">
        <is>
          <t>1974-03-09</t>
        </is>
      </c>
    </row>
    <row r="27121">
      <c r="A27121" s="1" t="n">
        <v>27120</v>
      </c>
      <c r="B27121">
        <f>TEXT(27120, "[$-0E0000]yyyy-mm-dd")</f>
        <v/>
      </c>
      <c r="C27121" t="inlineStr">
        <is>
          <t>1974-03-10</t>
        </is>
      </c>
    </row>
    <row r="27122">
      <c r="A27122" s="1" t="n">
        <v>27121</v>
      </c>
      <c r="B27122">
        <f>TEXT(27121, "[$-0E0000]yyyy-mm-dd")</f>
        <v/>
      </c>
      <c r="C27122" t="inlineStr">
        <is>
          <t>1974-03-11</t>
        </is>
      </c>
    </row>
    <row r="27123">
      <c r="A27123" s="1" t="n">
        <v>27122</v>
      </c>
      <c r="B27123">
        <f>TEXT(27122, "[$-0E0000]yyyy-mm-dd")</f>
        <v/>
      </c>
      <c r="C27123" t="inlineStr">
        <is>
          <t>1974-03-12</t>
        </is>
      </c>
    </row>
    <row r="27124">
      <c r="A27124" s="1" t="n">
        <v>27123</v>
      </c>
      <c r="B27124">
        <f>TEXT(27123, "[$-0E0000]yyyy-mm-dd")</f>
        <v/>
      </c>
      <c r="C27124" t="inlineStr">
        <is>
          <t>1974-03-13</t>
        </is>
      </c>
    </row>
    <row r="27125">
      <c r="A27125" s="1" t="n">
        <v>27124</v>
      </c>
      <c r="B27125">
        <f>TEXT(27124, "[$-0E0000]yyyy-mm-dd")</f>
        <v/>
      </c>
      <c r="C27125" t="inlineStr">
        <is>
          <t>1974-03-14</t>
        </is>
      </c>
    </row>
    <row r="27126">
      <c r="A27126" s="1" t="n">
        <v>27125</v>
      </c>
      <c r="B27126">
        <f>TEXT(27125, "[$-0E0000]yyyy-mm-dd")</f>
        <v/>
      </c>
      <c r="C27126" t="inlineStr">
        <is>
          <t>1974-03-15</t>
        </is>
      </c>
    </row>
    <row r="27127">
      <c r="A27127" s="1" t="n">
        <v>27126</v>
      </c>
      <c r="B27127">
        <f>TEXT(27126, "[$-0E0000]yyyy-mm-dd")</f>
        <v/>
      </c>
      <c r="C27127" t="inlineStr">
        <is>
          <t>1974-03-16</t>
        </is>
      </c>
    </row>
    <row r="27128">
      <c r="A27128" s="1" t="n">
        <v>27127</v>
      </c>
      <c r="B27128">
        <f>TEXT(27127, "[$-0E0000]yyyy-mm-dd")</f>
        <v/>
      </c>
      <c r="C27128" t="inlineStr">
        <is>
          <t>1974-03-17</t>
        </is>
      </c>
    </row>
    <row r="27129">
      <c r="A27129" s="1" t="n">
        <v>27128</v>
      </c>
      <c r="B27129">
        <f>TEXT(27128, "[$-0E0000]yyyy-mm-dd")</f>
        <v/>
      </c>
      <c r="C27129" t="inlineStr">
        <is>
          <t>1974-03-18</t>
        </is>
      </c>
    </row>
    <row r="27130">
      <c r="A27130" s="1" t="n">
        <v>27129</v>
      </c>
      <c r="B27130">
        <f>TEXT(27129, "[$-0E0000]yyyy-mm-dd")</f>
        <v/>
      </c>
      <c r="C27130" t="inlineStr">
        <is>
          <t>1974-03-19</t>
        </is>
      </c>
    </row>
    <row r="27131">
      <c r="A27131" s="1" t="n">
        <v>27130</v>
      </c>
      <c r="B27131">
        <f>TEXT(27130, "[$-0E0000]yyyy-mm-dd")</f>
        <v/>
      </c>
      <c r="C27131" t="inlineStr">
        <is>
          <t>1974-03-20</t>
        </is>
      </c>
    </row>
    <row r="27132">
      <c r="A27132" s="1" t="n">
        <v>27131</v>
      </c>
      <c r="B27132">
        <f>TEXT(27131, "[$-0E0000]yyyy-mm-dd")</f>
        <v/>
      </c>
      <c r="C27132" t="inlineStr">
        <is>
          <t>1974-03-21</t>
        </is>
      </c>
    </row>
    <row r="27133">
      <c r="A27133" s="1" t="n">
        <v>27132</v>
      </c>
      <c r="B27133">
        <f>TEXT(27132, "[$-0E0000]yyyy-mm-dd")</f>
        <v/>
      </c>
      <c r="C27133" t="inlineStr">
        <is>
          <t>1974-03-22</t>
        </is>
      </c>
    </row>
    <row r="27134">
      <c r="A27134" s="1" t="n">
        <v>27133</v>
      </c>
      <c r="B27134">
        <f>TEXT(27133, "[$-0E0000]yyyy-mm-dd")</f>
        <v/>
      </c>
      <c r="C27134" t="inlineStr">
        <is>
          <t>1974-03-23</t>
        </is>
      </c>
    </row>
    <row r="27135">
      <c r="A27135" s="1" t="n">
        <v>27134</v>
      </c>
      <c r="B27135">
        <f>TEXT(27134, "[$-0E0000]yyyy-mm-dd")</f>
        <v/>
      </c>
      <c r="C27135" t="inlineStr">
        <is>
          <t>1974-03-24</t>
        </is>
      </c>
    </row>
    <row r="27136">
      <c r="A27136" s="1" t="n">
        <v>27135</v>
      </c>
      <c r="B27136">
        <f>TEXT(27135, "[$-0E0000]yyyy-mm-dd")</f>
        <v/>
      </c>
      <c r="C27136" t="inlineStr">
        <is>
          <t>1974-03-25</t>
        </is>
      </c>
    </row>
    <row r="27137">
      <c r="A27137" s="1" t="n">
        <v>27136</v>
      </c>
      <c r="B27137">
        <f>TEXT(27136, "[$-0E0000]yyyy-mm-dd")</f>
        <v/>
      </c>
      <c r="C27137" t="inlineStr">
        <is>
          <t>1974-03-26</t>
        </is>
      </c>
    </row>
    <row r="27138">
      <c r="A27138" s="1" t="n">
        <v>27137</v>
      </c>
      <c r="B27138">
        <f>TEXT(27137, "[$-0E0000]yyyy-mm-dd")</f>
        <v/>
      </c>
      <c r="C27138" t="inlineStr">
        <is>
          <t>1974-03-27</t>
        </is>
      </c>
    </row>
    <row r="27139">
      <c r="A27139" s="1" t="n">
        <v>27138</v>
      </c>
      <c r="B27139">
        <f>TEXT(27138, "[$-0E0000]yyyy-mm-dd")</f>
        <v/>
      </c>
      <c r="C27139" t="inlineStr">
        <is>
          <t>1974-03-28</t>
        </is>
      </c>
    </row>
    <row r="27140">
      <c r="A27140" s="1" t="n">
        <v>27139</v>
      </c>
      <c r="B27140">
        <f>TEXT(27139, "[$-0E0000]yyyy-mm-dd")</f>
        <v/>
      </c>
      <c r="C27140" t="inlineStr">
        <is>
          <t>1974-03-29</t>
        </is>
      </c>
    </row>
    <row r="27141">
      <c r="A27141" s="1" t="n">
        <v>27140</v>
      </c>
      <c r="B27141">
        <f>TEXT(27140, "[$-0E0000]yyyy-mm-dd")</f>
        <v/>
      </c>
      <c r="C27141" t="inlineStr">
        <is>
          <t>1974-04-01</t>
        </is>
      </c>
    </row>
    <row r="27142">
      <c r="A27142" s="1" t="n">
        <v>27141</v>
      </c>
      <c r="B27142">
        <f>TEXT(27141, "[$-0E0000]yyyy-mm-dd")</f>
        <v/>
      </c>
      <c r="C27142" t="inlineStr">
        <is>
          <t>1974-04-02</t>
        </is>
      </c>
    </row>
    <row r="27143">
      <c r="A27143" s="1" t="n">
        <v>27142</v>
      </c>
      <c r="B27143">
        <f>TEXT(27142, "[$-0E0000]yyyy-mm-dd")</f>
        <v/>
      </c>
      <c r="C27143" t="inlineStr">
        <is>
          <t>1974-04-03</t>
        </is>
      </c>
    </row>
    <row r="27144">
      <c r="A27144" s="1" t="n">
        <v>27143</v>
      </c>
      <c r="B27144">
        <f>TEXT(27143, "[$-0E0000]yyyy-mm-dd")</f>
        <v/>
      </c>
      <c r="C27144" t="inlineStr">
        <is>
          <t>1974-04-04</t>
        </is>
      </c>
    </row>
    <row r="27145">
      <c r="A27145" s="1" t="n">
        <v>27144</v>
      </c>
      <c r="B27145">
        <f>TEXT(27144, "[$-0E0000]yyyy-mm-dd")</f>
        <v/>
      </c>
      <c r="C27145" t="inlineStr">
        <is>
          <t>1974-04-05</t>
        </is>
      </c>
    </row>
    <row r="27146">
      <c r="A27146" s="1" t="n">
        <v>27145</v>
      </c>
      <c r="B27146">
        <f>TEXT(27145, "[$-0E0000]yyyy-mm-dd")</f>
        <v/>
      </c>
      <c r="C27146" t="inlineStr">
        <is>
          <t>1974-04-06</t>
        </is>
      </c>
    </row>
    <row r="27147">
      <c r="A27147" s="1" t="n">
        <v>27146</v>
      </c>
      <c r="B27147">
        <f>TEXT(27146, "[$-0E0000]yyyy-mm-dd")</f>
        <v/>
      </c>
      <c r="C27147" t="inlineStr">
        <is>
          <t>1974-04-07</t>
        </is>
      </c>
    </row>
    <row r="27148">
      <c r="A27148" s="1" t="n">
        <v>27147</v>
      </c>
      <c r="B27148">
        <f>TEXT(27147, "[$-0E0000]yyyy-mm-dd")</f>
        <v/>
      </c>
      <c r="C27148" t="inlineStr">
        <is>
          <t>1974-04-08</t>
        </is>
      </c>
    </row>
    <row r="27149">
      <c r="A27149" s="1" t="n">
        <v>27148</v>
      </c>
      <c r="B27149">
        <f>TEXT(27148, "[$-0E0000]yyyy-mm-dd")</f>
        <v/>
      </c>
      <c r="C27149" t="inlineStr">
        <is>
          <t>1974-04-09</t>
        </is>
      </c>
    </row>
    <row r="27150">
      <c r="A27150" s="1" t="n">
        <v>27149</v>
      </c>
      <c r="B27150">
        <f>TEXT(27149, "[$-0E0000]yyyy-mm-dd")</f>
        <v/>
      </c>
      <c r="C27150" t="inlineStr">
        <is>
          <t>1974-04-10</t>
        </is>
      </c>
    </row>
    <row r="27151">
      <c r="A27151" s="1" t="n">
        <v>27150</v>
      </c>
      <c r="B27151">
        <f>TEXT(27150, "[$-0E0000]yyyy-mm-dd")</f>
        <v/>
      </c>
      <c r="C27151" t="inlineStr">
        <is>
          <t>1974-04-11</t>
        </is>
      </c>
    </row>
    <row r="27152">
      <c r="A27152" s="1" t="n">
        <v>27151</v>
      </c>
      <c r="B27152">
        <f>TEXT(27151, "[$-0E0000]yyyy-mm-dd")</f>
        <v/>
      </c>
      <c r="C27152" t="inlineStr">
        <is>
          <t>1974-04-12</t>
        </is>
      </c>
    </row>
    <row r="27153">
      <c r="A27153" s="1" t="n">
        <v>27152</v>
      </c>
      <c r="B27153">
        <f>TEXT(27152, "[$-0E0000]yyyy-mm-dd")</f>
        <v/>
      </c>
      <c r="C27153" t="inlineStr">
        <is>
          <t>1974-04-13</t>
        </is>
      </c>
    </row>
    <row r="27154">
      <c r="A27154" s="1" t="n">
        <v>27153</v>
      </c>
      <c r="B27154">
        <f>TEXT(27153, "[$-0E0000]yyyy-mm-dd")</f>
        <v/>
      </c>
      <c r="C27154" t="inlineStr">
        <is>
          <t>1974-04-14</t>
        </is>
      </c>
    </row>
    <row r="27155">
      <c r="A27155" s="1" t="n">
        <v>27154</v>
      </c>
      <c r="B27155">
        <f>TEXT(27154, "[$-0E0000]yyyy-mm-dd")</f>
        <v/>
      </c>
      <c r="C27155" t="inlineStr">
        <is>
          <t>1974-04-15</t>
        </is>
      </c>
    </row>
    <row r="27156">
      <c r="A27156" s="1" t="n">
        <v>27155</v>
      </c>
      <c r="B27156">
        <f>TEXT(27155, "[$-0E0000]yyyy-mm-dd")</f>
        <v/>
      </c>
      <c r="C27156" t="inlineStr">
        <is>
          <t>1974-04-16</t>
        </is>
      </c>
    </row>
    <row r="27157">
      <c r="A27157" s="1" t="n">
        <v>27156</v>
      </c>
      <c r="B27157">
        <f>TEXT(27156, "[$-0E0000]yyyy-mm-dd")</f>
        <v/>
      </c>
      <c r="C27157" t="inlineStr">
        <is>
          <t>1974-04-17</t>
        </is>
      </c>
    </row>
    <row r="27158">
      <c r="A27158" s="1" t="n">
        <v>27157</v>
      </c>
      <c r="B27158">
        <f>TEXT(27157, "[$-0E0000]yyyy-mm-dd")</f>
        <v/>
      </c>
      <c r="C27158" t="inlineStr">
        <is>
          <t>1974-04-18</t>
        </is>
      </c>
    </row>
    <row r="27159">
      <c r="A27159" s="1" t="n">
        <v>27158</v>
      </c>
      <c r="B27159">
        <f>TEXT(27158, "[$-0E0000]yyyy-mm-dd")</f>
        <v/>
      </c>
      <c r="C27159" t="inlineStr">
        <is>
          <t>1974-04-19</t>
        </is>
      </c>
    </row>
    <row r="27160">
      <c r="A27160" s="1" t="n">
        <v>27159</v>
      </c>
      <c r="B27160">
        <f>TEXT(27159, "[$-0E0000]yyyy-mm-dd")</f>
        <v/>
      </c>
      <c r="C27160" t="inlineStr">
        <is>
          <t>1974-04-20</t>
        </is>
      </c>
    </row>
    <row r="27161">
      <c r="A27161" s="1" t="n">
        <v>27160</v>
      </c>
      <c r="B27161">
        <f>TEXT(27160, "[$-0E0000]yyyy-mm-dd")</f>
        <v/>
      </c>
      <c r="C27161" t="inlineStr">
        <is>
          <t>1974-04-21</t>
        </is>
      </c>
    </row>
    <row r="27162">
      <c r="A27162" s="1" t="n">
        <v>27161</v>
      </c>
      <c r="B27162">
        <f>TEXT(27161, "[$-0E0000]yyyy-mm-dd")</f>
        <v/>
      </c>
      <c r="C27162" t="inlineStr">
        <is>
          <t>1974-04-22</t>
        </is>
      </c>
    </row>
    <row r="27163">
      <c r="A27163" s="1" t="n">
        <v>27162</v>
      </c>
      <c r="B27163">
        <f>TEXT(27162, "[$-0E0000]yyyy-mm-dd")</f>
        <v/>
      </c>
      <c r="C27163" t="inlineStr">
        <is>
          <t>1974-04-23</t>
        </is>
      </c>
    </row>
    <row r="27164">
      <c r="A27164" s="1" t="n">
        <v>27163</v>
      </c>
      <c r="B27164">
        <f>TEXT(27163, "[$-0E0000]yyyy-mm-dd")</f>
        <v/>
      </c>
      <c r="C27164" t="inlineStr">
        <is>
          <t>1974-04-24</t>
        </is>
      </c>
    </row>
    <row r="27165">
      <c r="A27165" s="1" t="n">
        <v>27164</v>
      </c>
      <c r="B27165">
        <f>TEXT(27164, "[$-0E0000]yyyy-mm-dd")</f>
        <v/>
      </c>
      <c r="C27165" t="inlineStr">
        <is>
          <t>1974-04-25</t>
        </is>
      </c>
    </row>
    <row r="27166">
      <c r="A27166" s="1" t="n">
        <v>27165</v>
      </c>
      <c r="B27166">
        <f>TEXT(27165, "[$-0E0000]yyyy-mm-dd")</f>
        <v/>
      </c>
      <c r="C27166" t="inlineStr">
        <is>
          <t>1974-04-26</t>
        </is>
      </c>
    </row>
    <row r="27167">
      <c r="A27167" s="1" t="n">
        <v>27166</v>
      </c>
      <c r="B27167">
        <f>TEXT(27166, "[$-0E0000]yyyy-mm-dd")</f>
        <v/>
      </c>
      <c r="C27167" t="inlineStr">
        <is>
          <t>1974-04-27</t>
        </is>
      </c>
    </row>
    <row r="27168">
      <c r="A27168" s="1" t="n">
        <v>27167</v>
      </c>
      <c r="B27168">
        <f>TEXT(27167, "[$-0E0000]yyyy-mm-dd")</f>
        <v/>
      </c>
      <c r="C27168" t="inlineStr">
        <is>
          <t>1974-04-28</t>
        </is>
      </c>
    </row>
    <row r="27169">
      <c r="A27169" s="1" t="n">
        <v>27168</v>
      </c>
      <c r="B27169">
        <f>TEXT(27168, "[$-0E0000]yyyy-mm-dd")</f>
        <v/>
      </c>
      <c r="C27169" t="inlineStr">
        <is>
          <t>1974-04-29</t>
        </is>
      </c>
    </row>
    <row r="27170">
      <c r="A27170" s="1" t="n">
        <v>27169</v>
      </c>
      <c r="B27170">
        <f>TEXT(27169, "[$-0E0000]yyyy-mm-dd")</f>
        <v/>
      </c>
      <c r="C27170" t="inlineStr">
        <is>
          <t>1974-04-30</t>
        </is>
      </c>
    </row>
    <row r="27171">
      <c r="A27171" s="1" t="n">
        <v>27170</v>
      </c>
      <c r="B27171">
        <f>TEXT(27170, "[$-0E0000]yyyy-mm-dd")</f>
        <v/>
      </c>
      <c r="C27171" t="inlineStr">
        <is>
          <t>1974-04-01</t>
        </is>
      </c>
    </row>
    <row r="27172">
      <c r="A27172" s="1" t="n">
        <v>27171</v>
      </c>
      <c r="B27172">
        <f>TEXT(27171, "[$-0E0000]yyyy-mm-dd")</f>
        <v/>
      </c>
      <c r="C27172" t="inlineStr">
        <is>
          <t>1974-04-02</t>
        </is>
      </c>
    </row>
    <row r="27173">
      <c r="A27173" s="1" t="n">
        <v>27172</v>
      </c>
      <c r="B27173">
        <f>TEXT(27172, "[$-0E0000]yyyy-mm-dd")</f>
        <v/>
      </c>
      <c r="C27173" t="inlineStr">
        <is>
          <t>1974-04-03</t>
        </is>
      </c>
    </row>
    <row r="27174">
      <c r="A27174" s="1" t="n">
        <v>27173</v>
      </c>
      <c r="B27174">
        <f>TEXT(27173, "[$-0E0000]yyyy-mm-dd")</f>
        <v/>
      </c>
      <c r="C27174" t="inlineStr">
        <is>
          <t>1974-04-04</t>
        </is>
      </c>
    </row>
    <row r="27175">
      <c r="A27175" s="1" t="n">
        <v>27174</v>
      </c>
      <c r="B27175">
        <f>TEXT(27174, "[$-0E0000]yyyy-mm-dd")</f>
        <v/>
      </c>
      <c r="C27175" t="inlineStr">
        <is>
          <t>1974-04-05</t>
        </is>
      </c>
    </row>
    <row r="27176">
      <c r="A27176" s="1" t="n">
        <v>27175</v>
      </c>
      <c r="B27176">
        <f>TEXT(27175, "[$-0E0000]yyyy-mm-dd")</f>
        <v/>
      </c>
      <c r="C27176" t="inlineStr">
        <is>
          <t>1974-04-06</t>
        </is>
      </c>
    </row>
    <row r="27177">
      <c r="A27177" s="1" t="n">
        <v>27176</v>
      </c>
      <c r="B27177">
        <f>TEXT(27176, "[$-0E0000]yyyy-mm-dd")</f>
        <v/>
      </c>
      <c r="C27177" t="inlineStr">
        <is>
          <t>1974-04-07</t>
        </is>
      </c>
    </row>
    <row r="27178">
      <c r="A27178" s="1" t="n">
        <v>27177</v>
      </c>
      <c r="B27178">
        <f>TEXT(27177, "[$-0E0000]yyyy-mm-dd")</f>
        <v/>
      </c>
      <c r="C27178" t="inlineStr">
        <is>
          <t>1974-04-08</t>
        </is>
      </c>
    </row>
    <row r="27179">
      <c r="A27179" s="1" t="n">
        <v>27178</v>
      </c>
      <c r="B27179">
        <f>TEXT(27178, "[$-0E0000]yyyy-mm-dd")</f>
        <v/>
      </c>
      <c r="C27179" t="inlineStr">
        <is>
          <t>1974-04-09</t>
        </is>
      </c>
    </row>
    <row r="27180">
      <c r="A27180" s="1" t="n">
        <v>27179</v>
      </c>
      <c r="B27180">
        <f>TEXT(27179, "[$-0E0000]yyyy-mm-dd")</f>
        <v/>
      </c>
      <c r="C27180" t="inlineStr">
        <is>
          <t>1974-04-10</t>
        </is>
      </c>
    </row>
    <row r="27181">
      <c r="A27181" s="1" t="n">
        <v>27180</v>
      </c>
      <c r="B27181">
        <f>TEXT(27180, "[$-0E0000]yyyy-mm-dd")</f>
        <v/>
      </c>
      <c r="C27181" t="inlineStr">
        <is>
          <t>1974-04-11</t>
        </is>
      </c>
    </row>
    <row r="27182">
      <c r="A27182" s="1" t="n">
        <v>27181</v>
      </c>
      <c r="B27182">
        <f>TEXT(27181, "[$-0E0000]yyyy-mm-dd")</f>
        <v/>
      </c>
      <c r="C27182" t="inlineStr">
        <is>
          <t>1974-04-12</t>
        </is>
      </c>
    </row>
    <row r="27183">
      <c r="A27183" s="1" t="n">
        <v>27182</v>
      </c>
      <c r="B27183">
        <f>TEXT(27182, "[$-0E0000]yyyy-mm-dd")</f>
        <v/>
      </c>
      <c r="C27183" t="inlineStr">
        <is>
          <t>1974-04-13</t>
        </is>
      </c>
    </row>
    <row r="27184">
      <c r="A27184" s="1" t="n">
        <v>27183</v>
      </c>
      <c r="B27184">
        <f>TEXT(27183, "[$-0E0000]yyyy-mm-dd")</f>
        <v/>
      </c>
      <c r="C27184" t="inlineStr">
        <is>
          <t>1974-04-14</t>
        </is>
      </c>
    </row>
    <row r="27185">
      <c r="A27185" s="1" t="n">
        <v>27184</v>
      </c>
      <c r="B27185">
        <f>TEXT(27184, "[$-0E0000]yyyy-mm-dd")</f>
        <v/>
      </c>
      <c r="C27185" t="inlineStr">
        <is>
          <t>1974-04-15</t>
        </is>
      </c>
    </row>
    <row r="27186">
      <c r="A27186" s="1" t="n">
        <v>27185</v>
      </c>
      <c r="B27186">
        <f>TEXT(27185, "[$-0E0000]yyyy-mm-dd")</f>
        <v/>
      </c>
      <c r="C27186" t="inlineStr">
        <is>
          <t>1974-04-16</t>
        </is>
      </c>
    </row>
    <row r="27187">
      <c r="A27187" s="1" t="n">
        <v>27186</v>
      </c>
      <c r="B27187">
        <f>TEXT(27186, "[$-0E0000]yyyy-mm-dd")</f>
        <v/>
      </c>
      <c r="C27187" t="inlineStr">
        <is>
          <t>1974-04-17</t>
        </is>
      </c>
    </row>
    <row r="27188">
      <c r="A27188" s="1" t="n">
        <v>27187</v>
      </c>
      <c r="B27188">
        <f>TEXT(27187, "[$-0E0000]yyyy-mm-dd")</f>
        <v/>
      </c>
      <c r="C27188" t="inlineStr">
        <is>
          <t>1974-04-18</t>
        </is>
      </c>
    </row>
    <row r="27189">
      <c r="A27189" s="1" t="n">
        <v>27188</v>
      </c>
      <c r="B27189">
        <f>TEXT(27188, "[$-0E0000]yyyy-mm-dd")</f>
        <v/>
      </c>
      <c r="C27189" t="inlineStr">
        <is>
          <t>1974-04-19</t>
        </is>
      </c>
    </row>
    <row r="27190">
      <c r="A27190" s="1" t="n">
        <v>27189</v>
      </c>
      <c r="B27190">
        <f>TEXT(27189, "[$-0E0000]yyyy-mm-dd")</f>
        <v/>
      </c>
      <c r="C27190" t="inlineStr">
        <is>
          <t>1974-04-20</t>
        </is>
      </c>
    </row>
    <row r="27191">
      <c r="A27191" s="1" t="n">
        <v>27190</v>
      </c>
      <c r="B27191">
        <f>TEXT(27190, "[$-0E0000]yyyy-mm-dd")</f>
        <v/>
      </c>
      <c r="C27191" t="inlineStr">
        <is>
          <t>1974-04-21</t>
        </is>
      </c>
    </row>
    <row r="27192">
      <c r="A27192" s="1" t="n">
        <v>27191</v>
      </c>
      <c r="B27192">
        <f>TEXT(27191, "[$-0E0000]yyyy-mm-dd")</f>
        <v/>
      </c>
      <c r="C27192" t="inlineStr">
        <is>
          <t>1974-04-22</t>
        </is>
      </c>
    </row>
    <row r="27193">
      <c r="A27193" s="1" t="n">
        <v>27192</v>
      </c>
      <c r="B27193">
        <f>TEXT(27192, "[$-0E0000]yyyy-mm-dd")</f>
        <v/>
      </c>
      <c r="C27193" t="inlineStr">
        <is>
          <t>1974-04-23</t>
        </is>
      </c>
    </row>
    <row r="27194">
      <c r="A27194" s="1" t="n">
        <v>27193</v>
      </c>
      <c r="B27194">
        <f>TEXT(27193, "[$-0E0000]yyyy-mm-dd")</f>
        <v/>
      </c>
      <c r="C27194" t="inlineStr">
        <is>
          <t>1974-04-24</t>
        </is>
      </c>
    </row>
    <row r="27195">
      <c r="A27195" s="1" t="n">
        <v>27194</v>
      </c>
      <c r="B27195">
        <f>TEXT(27194, "[$-0E0000]yyyy-mm-dd")</f>
        <v/>
      </c>
      <c r="C27195" t="inlineStr">
        <is>
          <t>1974-04-25</t>
        </is>
      </c>
    </row>
    <row r="27196">
      <c r="A27196" s="1" t="n">
        <v>27195</v>
      </c>
      <c r="B27196">
        <f>TEXT(27195, "[$-0E0000]yyyy-mm-dd")</f>
        <v/>
      </c>
      <c r="C27196" t="inlineStr">
        <is>
          <t>1974-04-26</t>
        </is>
      </c>
    </row>
    <row r="27197">
      <c r="A27197" s="1" t="n">
        <v>27196</v>
      </c>
      <c r="B27197">
        <f>TEXT(27196, "[$-0E0000]yyyy-mm-dd")</f>
        <v/>
      </c>
      <c r="C27197" t="inlineStr">
        <is>
          <t>1974-04-27</t>
        </is>
      </c>
    </row>
    <row r="27198">
      <c r="A27198" s="1" t="n">
        <v>27197</v>
      </c>
      <c r="B27198">
        <f>TEXT(27197, "[$-0E0000]yyyy-mm-dd")</f>
        <v/>
      </c>
      <c r="C27198" t="inlineStr">
        <is>
          <t>1974-04-28</t>
        </is>
      </c>
    </row>
    <row r="27199">
      <c r="A27199" s="1" t="n">
        <v>27198</v>
      </c>
      <c r="B27199">
        <f>TEXT(27198, "[$-0E0000]yyyy-mm-dd")</f>
        <v/>
      </c>
      <c r="C27199" t="inlineStr">
        <is>
          <t>1974-04-29</t>
        </is>
      </c>
    </row>
    <row r="27200">
      <c r="A27200" s="1" t="n">
        <v>27199</v>
      </c>
      <c r="B27200">
        <f>TEXT(27199, "[$-0E0000]yyyy-mm-dd")</f>
        <v/>
      </c>
      <c r="C27200" t="inlineStr">
        <is>
          <t>1974-05-01</t>
        </is>
      </c>
    </row>
    <row r="27201">
      <c r="A27201" s="1" t="n">
        <v>27200</v>
      </c>
      <c r="B27201">
        <f>TEXT(27200, "[$-0E0000]yyyy-mm-dd")</f>
        <v/>
      </c>
      <c r="C27201" t="inlineStr">
        <is>
          <t>1974-05-02</t>
        </is>
      </c>
    </row>
    <row r="27202">
      <c r="A27202" s="1" t="n">
        <v>27201</v>
      </c>
      <c r="B27202">
        <f>TEXT(27201, "[$-0E0000]yyyy-mm-dd")</f>
        <v/>
      </c>
      <c r="C27202" t="inlineStr">
        <is>
          <t>1974-05-03</t>
        </is>
      </c>
    </row>
    <row r="27203">
      <c r="A27203" s="1" t="n">
        <v>27202</v>
      </c>
      <c r="B27203">
        <f>TEXT(27202, "[$-0E0000]yyyy-mm-dd")</f>
        <v/>
      </c>
      <c r="C27203" t="inlineStr">
        <is>
          <t>1974-05-04</t>
        </is>
      </c>
    </row>
    <row r="27204">
      <c r="A27204" s="1" t="n">
        <v>27203</v>
      </c>
      <c r="B27204">
        <f>TEXT(27203, "[$-0E0000]yyyy-mm-dd")</f>
        <v/>
      </c>
      <c r="C27204" t="inlineStr">
        <is>
          <t>1974-05-05</t>
        </is>
      </c>
    </row>
    <row r="27205">
      <c r="A27205" s="1" t="n">
        <v>27204</v>
      </c>
      <c r="B27205">
        <f>TEXT(27204, "[$-0E0000]yyyy-mm-dd")</f>
        <v/>
      </c>
      <c r="C27205" t="inlineStr">
        <is>
          <t>1974-05-06</t>
        </is>
      </c>
    </row>
    <row r="27206">
      <c r="A27206" s="1" t="n">
        <v>27205</v>
      </c>
      <c r="B27206">
        <f>TEXT(27205, "[$-0E0000]yyyy-mm-dd")</f>
        <v/>
      </c>
      <c r="C27206" t="inlineStr">
        <is>
          <t>1974-05-07</t>
        </is>
      </c>
    </row>
    <row r="27207">
      <c r="A27207" s="1" t="n">
        <v>27206</v>
      </c>
      <c r="B27207">
        <f>TEXT(27206, "[$-0E0000]yyyy-mm-dd")</f>
        <v/>
      </c>
      <c r="C27207" t="inlineStr">
        <is>
          <t>1974-05-08</t>
        </is>
      </c>
    </row>
    <row r="27208">
      <c r="A27208" s="1" t="n">
        <v>27207</v>
      </c>
      <c r="B27208">
        <f>TEXT(27207, "[$-0E0000]yyyy-mm-dd")</f>
        <v/>
      </c>
      <c r="C27208" t="inlineStr">
        <is>
          <t>1974-05-09</t>
        </is>
      </c>
    </row>
    <row r="27209">
      <c r="A27209" s="1" t="n">
        <v>27208</v>
      </c>
      <c r="B27209">
        <f>TEXT(27208, "[$-0E0000]yyyy-mm-dd")</f>
        <v/>
      </c>
      <c r="C27209" t="inlineStr">
        <is>
          <t>1974-05-10</t>
        </is>
      </c>
    </row>
    <row r="27210">
      <c r="A27210" s="1" t="n">
        <v>27209</v>
      </c>
      <c r="B27210">
        <f>TEXT(27209, "[$-0E0000]yyyy-mm-dd")</f>
        <v/>
      </c>
      <c r="C27210" t="inlineStr">
        <is>
          <t>1974-05-11</t>
        </is>
      </c>
    </row>
    <row r="27211">
      <c r="A27211" s="1" t="n">
        <v>27210</v>
      </c>
      <c r="B27211">
        <f>TEXT(27210, "[$-0E0000]yyyy-mm-dd")</f>
        <v/>
      </c>
      <c r="C27211" t="inlineStr">
        <is>
          <t>1974-05-12</t>
        </is>
      </c>
    </row>
    <row r="27212">
      <c r="A27212" s="1" t="n">
        <v>27211</v>
      </c>
      <c r="B27212">
        <f>TEXT(27211, "[$-0E0000]yyyy-mm-dd")</f>
        <v/>
      </c>
      <c r="C27212" t="inlineStr">
        <is>
          <t>1974-05-13</t>
        </is>
      </c>
    </row>
    <row r="27213">
      <c r="A27213" s="1" t="n">
        <v>27212</v>
      </c>
      <c r="B27213">
        <f>TEXT(27212, "[$-0E0000]yyyy-mm-dd")</f>
        <v/>
      </c>
      <c r="C27213" t="inlineStr">
        <is>
          <t>1974-05-14</t>
        </is>
      </c>
    </row>
    <row r="27214">
      <c r="A27214" s="1" t="n">
        <v>27213</v>
      </c>
      <c r="B27214">
        <f>TEXT(27213, "[$-0E0000]yyyy-mm-dd")</f>
        <v/>
      </c>
      <c r="C27214" t="inlineStr">
        <is>
          <t>1974-05-15</t>
        </is>
      </c>
    </row>
    <row r="27215">
      <c r="A27215" s="1" t="n">
        <v>27214</v>
      </c>
      <c r="B27215">
        <f>TEXT(27214, "[$-0E0000]yyyy-mm-dd")</f>
        <v/>
      </c>
      <c r="C27215" t="inlineStr">
        <is>
          <t>1974-05-16</t>
        </is>
      </c>
    </row>
    <row r="27216">
      <c r="A27216" s="1" t="n">
        <v>27215</v>
      </c>
      <c r="B27216">
        <f>TEXT(27215, "[$-0E0000]yyyy-mm-dd")</f>
        <v/>
      </c>
      <c r="C27216" t="inlineStr">
        <is>
          <t>1974-05-17</t>
        </is>
      </c>
    </row>
    <row r="27217">
      <c r="A27217" s="1" t="n">
        <v>27216</v>
      </c>
      <c r="B27217">
        <f>TEXT(27216, "[$-0E0000]yyyy-mm-dd")</f>
        <v/>
      </c>
      <c r="C27217" t="inlineStr">
        <is>
          <t>1974-05-18</t>
        </is>
      </c>
    </row>
    <row r="27218">
      <c r="A27218" s="1" t="n">
        <v>27217</v>
      </c>
      <c r="B27218">
        <f>TEXT(27217, "[$-0E0000]yyyy-mm-dd")</f>
        <v/>
      </c>
      <c r="C27218" t="inlineStr">
        <is>
          <t>1974-05-19</t>
        </is>
      </c>
    </row>
    <row r="27219">
      <c r="A27219" s="1" t="n">
        <v>27218</v>
      </c>
      <c r="B27219">
        <f>TEXT(27218, "[$-0E0000]yyyy-mm-dd")</f>
        <v/>
      </c>
      <c r="C27219" t="inlineStr">
        <is>
          <t>1974-05-20</t>
        </is>
      </c>
    </row>
    <row r="27220">
      <c r="A27220" s="1" t="n">
        <v>27219</v>
      </c>
      <c r="B27220">
        <f>TEXT(27219, "[$-0E0000]yyyy-mm-dd")</f>
        <v/>
      </c>
      <c r="C27220" t="inlineStr">
        <is>
          <t>1974-05-21</t>
        </is>
      </c>
    </row>
    <row r="27221">
      <c r="A27221" s="1" t="n">
        <v>27220</v>
      </c>
      <c r="B27221">
        <f>TEXT(27220, "[$-0E0000]yyyy-mm-dd")</f>
        <v/>
      </c>
      <c r="C27221" t="inlineStr">
        <is>
          <t>1974-05-22</t>
        </is>
      </c>
    </row>
    <row r="27222">
      <c r="A27222" s="1" t="n">
        <v>27221</v>
      </c>
      <c r="B27222">
        <f>TEXT(27221, "[$-0E0000]yyyy-mm-dd")</f>
        <v/>
      </c>
      <c r="C27222" t="inlineStr">
        <is>
          <t>1974-05-23</t>
        </is>
      </c>
    </row>
    <row r="27223">
      <c r="A27223" s="1" t="n">
        <v>27222</v>
      </c>
      <c r="B27223">
        <f>TEXT(27222, "[$-0E0000]yyyy-mm-dd")</f>
        <v/>
      </c>
      <c r="C27223" t="inlineStr">
        <is>
          <t>1974-05-24</t>
        </is>
      </c>
    </row>
    <row r="27224">
      <c r="A27224" s="1" t="n">
        <v>27223</v>
      </c>
      <c r="B27224">
        <f>TEXT(27223, "[$-0E0000]yyyy-mm-dd")</f>
        <v/>
      </c>
      <c r="C27224" t="inlineStr">
        <is>
          <t>1974-05-25</t>
        </is>
      </c>
    </row>
    <row r="27225">
      <c r="A27225" s="1" t="n">
        <v>27224</v>
      </c>
      <c r="B27225">
        <f>TEXT(27224, "[$-0E0000]yyyy-mm-dd")</f>
        <v/>
      </c>
      <c r="C27225" t="inlineStr">
        <is>
          <t>1974-05-26</t>
        </is>
      </c>
    </row>
    <row r="27226">
      <c r="A27226" s="1" t="n">
        <v>27225</v>
      </c>
      <c r="B27226">
        <f>TEXT(27225, "[$-0E0000]yyyy-mm-dd")</f>
        <v/>
      </c>
      <c r="C27226" t="inlineStr">
        <is>
          <t>1974-05-27</t>
        </is>
      </c>
    </row>
    <row r="27227">
      <c r="A27227" s="1" t="n">
        <v>27226</v>
      </c>
      <c r="B27227">
        <f>TEXT(27226, "[$-0E0000]yyyy-mm-dd")</f>
        <v/>
      </c>
      <c r="C27227" t="inlineStr">
        <is>
          <t>1974-05-28</t>
        </is>
      </c>
    </row>
    <row r="27228">
      <c r="A27228" s="1" t="n">
        <v>27227</v>
      </c>
      <c r="B27228">
        <f>TEXT(27227, "[$-0E0000]yyyy-mm-dd")</f>
        <v/>
      </c>
      <c r="C27228" t="inlineStr">
        <is>
          <t>1974-05-29</t>
        </is>
      </c>
    </row>
    <row r="27229">
      <c r="A27229" s="1" t="n">
        <v>27228</v>
      </c>
      <c r="B27229">
        <f>TEXT(27228, "[$-0E0000]yyyy-mm-dd")</f>
        <v/>
      </c>
      <c r="C27229" t="inlineStr">
        <is>
          <t>1974-06-01</t>
        </is>
      </c>
    </row>
    <row r="27230">
      <c r="A27230" s="1" t="n">
        <v>27229</v>
      </c>
      <c r="B27230">
        <f>TEXT(27229, "[$-0E0000]yyyy-mm-dd")</f>
        <v/>
      </c>
      <c r="C27230" t="inlineStr">
        <is>
          <t>1974-06-02</t>
        </is>
      </c>
    </row>
    <row r="27231">
      <c r="A27231" s="1" t="n">
        <v>27230</v>
      </c>
      <c r="B27231">
        <f>TEXT(27230, "[$-0E0000]yyyy-mm-dd")</f>
        <v/>
      </c>
      <c r="C27231" t="inlineStr">
        <is>
          <t>1974-06-03</t>
        </is>
      </c>
    </row>
    <row r="27232">
      <c r="A27232" s="1" t="n">
        <v>27231</v>
      </c>
      <c r="B27232">
        <f>TEXT(27231, "[$-0E0000]yyyy-mm-dd")</f>
        <v/>
      </c>
      <c r="C27232" t="inlineStr">
        <is>
          <t>1974-06-04</t>
        </is>
      </c>
    </row>
    <row r="27233">
      <c r="A27233" s="1" t="n">
        <v>27232</v>
      </c>
      <c r="B27233">
        <f>TEXT(27232, "[$-0E0000]yyyy-mm-dd")</f>
        <v/>
      </c>
      <c r="C27233" t="inlineStr">
        <is>
          <t>1974-06-05</t>
        </is>
      </c>
    </row>
    <row r="27234">
      <c r="A27234" s="1" t="n">
        <v>27233</v>
      </c>
      <c r="B27234">
        <f>TEXT(27233, "[$-0E0000]yyyy-mm-dd")</f>
        <v/>
      </c>
      <c r="C27234" t="inlineStr">
        <is>
          <t>1974-06-06</t>
        </is>
      </c>
    </row>
    <row r="27235">
      <c r="A27235" s="1" t="n">
        <v>27234</v>
      </c>
      <c r="B27235">
        <f>TEXT(27234, "[$-0E0000]yyyy-mm-dd")</f>
        <v/>
      </c>
      <c r="C27235" t="inlineStr">
        <is>
          <t>1974-06-07</t>
        </is>
      </c>
    </row>
    <row r="27236">
      <c r="A27236" s="1" t="n">
        <v>27235</v>
      </c>
      <c r="B27236">
        <f>TEXT(27235, "[$-0E0000]yyyy-mm-dd")</f>
        <v/>
      </c>
      <c r="C27236" t="inlineStr">
        <is>
          <t>1974-06-08</t>
        </is>
      </c>
    </row>
    <row r="27237">
      <c r="A27237" s="1" t="n">
        <v>27236</v>
      </c>
      <c r="B27237">
        <f>TEXT(27236, "[$-0E0000]yyyy-mm-dd")</f>
        <v/>
      </c>
      <c r="C27237" t="inlineStr">
        <is>
          <t>1974-06-09</t>
        </is>
      </c>
    </row>
    <row r="27238">
      <c r="A27238" s="1" t="n">
        <v>27237</v>
      </c>
      <c r="B27238">
        <f>TEXT(27237, "[$-0E0000]yyyy-mm-dd")</f>
        <v/>
      </c>
      <c r="C27238" t="inlineStr">
        <is>
          <t>1974-06-10</t>
        </is>
      </c>
    </row>
    <row r="27239">
      <c r="A27239" s="1" t="n">
        <v>27238</v>
      </c>
      <c r="B27239">
        <f>TEXT(27238, "[$-0E0000]yyyy-mm-dd")</f>
        <v/>
      </c>
      <c r="C27239" t="inlineStr">
        <is>
          <t>1974-06-11</t>
        </is>
      </c>
    </row>
    <row r="27240">
      <c r="A27240" s="1" t="n">
        <v>27239</v>
      </c>
      <c r="B27240">
        <f>TEXT(27239, "[$-0E0000]yyyy-mm-dd")</f>
        <v/>
      </c>
      <c r="C27240" t="inlineStr">
        <is>
          <t>1974-06-12</t>
        </is>
      </c>
    </row>
    <row r="27241">
      <c r="A27241" s="1" t="n">
        <v>27240</v>
      </c>
      <c r="B27241">
        <f>TEXT(27240, "[$-0E0000]yyyy-mm-dd")</f>
        <v/>
      </c>
      <c r="C27241" t="inlineStr">
        <is>
          <t>1974-06-13</t>
        </is>
      </c>
    </row>
    <row r="27242">
      <c r="A27242" s="1" t="n">
        <v>27241</v>
      </c>
      <c r="B27242">
        <f>TEXT(27241, "[$-0E0000]yyyy-mm-dd")</f>
        <v/>
      </c>
      <c r="C27242" t="inlineStr">
        <is>
          <t>1974-06-14</t>
        </is>
      </c>
    </row>
    <row r="27243">
      <c r="A27243" s="1" t="n">
        <v>27242</v>
      </c>
      <c r="B27243">
        <f>TEXT(27242, "[$-0E0000]yyyy-mm-dd")</f>
        <v/>
      </c>
      <c r="C27243" t="inlineStr">
        <is>
          <t>1974-06-15</t>
        </is>
      </c>
    </row>
    <row r="27244">
      <c r="A27244" s="1" t="n">
        <v>27243</v>
      </c>
      <c r="B27244">
        <f>TEXT(27243, "[$-0E0000]yyyy-mm-dd")</f>
        <v/>
      </c>
      <c r="C27244" t="inlineStr">
        <is>
          <t>1974-06-16</t>
        </is>
      </c>
    </row>
    <row r="27245">
      <c r="A27245" s="1" t="n">
        <v>27244</v>
      </c>
      <c r="B27245">
        <f>TEXT(27244, "[$-0E0000]yyyy-mm-dd")</f>
        <v/>
      </c>
      <c r="C27245" t="inlineStr">
        <is>
          <t>1974-06-17</t>
        </is>
      </c>
    </row>
    <row r="27246">
      <c r="A27246" s="1" t="n">
        <v>27245</v>
      </c>
      <c r="B27246">
        <f>TEXT(27245, "[$-0E0000]yyyy-mm-dd")</f>
        <v/>
      </c>
      <c r="C27246" t="inlineStr">
        <is>
          <t>1974-06-18</t>
        </is>
      </c>
    </row>
    <row r="27247">
      <c r="A27247" s="1" t="n">
        <v>27246</v>
      </c>
      <c r="B27247">
        <f>TEXT(27246, "[$-0E0000]yyyy-mm-dd")</f>
        <v/>
      </c>
      <c r="C27247" t="inlineStr">
        <is>
          <t>1974-06-19</t>
        </is>
      </c>
    </row>
    <row r="27248">
      <c r="A27248" s="1" t="n">
        <v>27247</v>
      </c>
      <c r="B27248">
        <f>TEXT(27247, "[$-0E0000]yyyy-mm-dd")</f>
        <v/>
      </c>
      <c r="C27248" t="inlineStr">
        <is>
          <t>1974-06-20</t>
        </is>
      </c>
    </row>
    <row r="27249">
      <c r="A27249" s="1" t="n">
        <v>27248</v>
      </c>
      <c r="B27249">
        <f>TEXT(27248, "[$-0E0000]yyyy-mm-dd")</f>
        <v/>
      </c>
      <c r="C27249" t="inlineStr">
        <is>
          <t>1974-06-21</t>
        </is>
      </c>
    </row>
    <row r="27250">
      <c r="A27250" s="1" t="n">
        <v>27249</v>
      </c>
      <c r="B27250">
        <f>TEXT(27249, "[$-0E0000]yyyy-mm-dd")</f>
        <v/>
      </c>
      <c r="C27250" t="inlineStr">
        <is>
          <t>1974-06-22</t>
        </is>
      </c>
    </row>
    <row r="27251">
      <c r="A27251" s="1" t="n">
        <v>27250</v>
      </c>
      <c r="B27251">
        <f>TEXT(27250, "[$-0E0000]yyyy-mm-dd")</f>
        <v/>
      </c>
      <c r="C27251" t="inlineStr">
        <is>
          <t>1974-06-23</t>
        </is>
      </c>
    </row>
    <row r="27252">
      <c r="A27252" s="1" t="n">
        <v>27251</v>
      </c>
      <c r="B27252">
        <f>TEXT(27251, "[$-0E0000]yyyy-mm-dd")</f>
        <v/>
      </c>
      <c r="C27252" t="inlineStr">
        <is>
          <t>1974-06-24</t>
        </is>
      </c>
    </row>
    <row r="27253">
      <c r="A27253" s="1" t="n">
        <v>27252</v>
      </c>
      <c r="B27253">
        <f>TEXT(27252, "[$-0E0000]yyyy-mm-dd")</f>
        <v/>
      </c>
      <c r="C27253" t="inlineStr">
        <is>
          <t>1974-06-25</t>
        </is>
      </c>
    </row>
    <row r="27254">
      <c r="A27254" s="1" t="n">
        <v>27253</v>
      </c>
      <c r="B27254">
        <f>TEXT(27253, "[$-0E0000]yyyy-mm-dd")</f>
        <v/>
      </c>
      <c r="C27254" t="inlineStr">
        <is>
          <t>1974-06-26</t>
        </is>
      </c>
    </row>
    <row r="27255">
      <c r="A27255" s="1" t="n">
        <v>27254</v>
      </c>
      <c r="B27255">
        <f>TEXT(27254, "[$-0E0000]yyyy-mm-dd")</f>
        <v/>
      </c>
      <c r="C27255" t="inlineStr">
        <is>
          <t>1974-06-27</t>
        </is>
      </c>
    </row>
    <row r="27256">
      <c r="A27256" s="1" t="n">
        <v>27255</v>
      </c>
      <c r="B27256">
        <f>TEXT(27255, "[$-0E0000]yyyy-mm-dd")</f>
        <v/>
      </c>
      <c r="C27256" t="inlineStr">
        <is>
          <t>1974-06-28</t>
        </is>
      </c>
    </row>
    <row r="27257">
      <c r="A27257" s="1" t="n">
        <v>27256</v>
      </c>
      <c r="B27257">
        <f>TEXT(27256, "[$-0E0000]yyyy-mm-dd")</f>
        <v/>
      </c>
      <c r="C27257" t="inlineStr">
        <is>
          <t>1974-06-29</t>
        </is>
      </c>
    </row>
    <row r="27258">
      <c r="A27258" s="1" t="n">
        <v>27257</v>
      </c>
      <c r="B27258">
        <f>TEXT(27257, "[$-0E0000]yyyy-mm-dd")</f>
        <v/>
      </c>
      <c r="C27258" t="inlineStr">
        <is>
          <t>1974-06-30</t>
        </is>
      </c>
    </row>
    <row r="27259">
      <c r="A27259" s="1" t="n">
        <v>27258</v>
      </c>
      <c r="B27259">
        <f>TEXT(27258, "[$-0E0000]yyyy-mm-dd")</f>
        <v/>
      </c>
      <c r="C27259" t="inlineStr">
        <is>
          <t>1974-07-01</t>
        </is>
      </c>
    </row>
    <row r="27260">
      <c r="A27260" s="1" t="n">
        <v>27259</v>
      </c>
      <c r="B27260">
        <f>TEXT(27259, "[$-0E0000]yyyy-mm-dd")</f>
        <v/>
      </c>
      <c r="C27260" t="inlineStr">
        <is>
          <t>1974-07-02</t>
        </is>
      </c>
    </row>
    <row r="27261">
      <c r="A27261" s="1" t="n">
        <v>27260</v>
      </c>
      <c r="B27261">
        <f>TEXT(27260, "[$-0E0000]yyyy-mm-dd")</f>
        <v/>
      </c>
      <c r="C27261" t="inlineStr">
        <is>
          <t>1974-07-03</t>
        </is>
      </c>
    </row>
    <row r="27262">
      <c r="A27262" s="1" t="n">
        <v>27261</v>
      </c>
      <c r="B27262">
        <f>TEXT(27261, "[$-0E0000]yyyy-mm-dd")</f>
        <v/>
      </c>
      <c r="C27262" t="inlineStr">
        <is>
          <t>1974-07-04</t>
        </is>
      </c>
    </row>
    <row r="27263">
      <c r="A27263" s="1" t="n">
        <v>27262</v>
      </c>
      <c r="B27263">
        <f>TEXT(27262, "[$-0E0000]yyyy-mm-dd")</f>
        <v/>
      </c>
      <c r="C27263" t="inlineStr">
        <is>
          <t>1974-07-05</t>
        </is>
      </c>
    </row>
    <row r="27264">
      <c r="A27264" s="1" t="n">
        <v>27263</v>
      </c>
      <c r="B27264">
        <f>TEXT(27263, "[$-0E0000]yyyy-mm-dd")</f>
        <v/>
      </c>
      <c r="C27264" t="inlineStr">
        <is>
          <t>1974-07-06</t>
        </is>
      </c>
    </row>
    <row r="27265">
      <c r="A27265" s="1" t="n">
        <v>27264</v>
      </c>
      <c r="B27265">
        <f>TEXT(27264, "[$-0E0000]yyyy-mm-dd")</f>
        <v/>
      </c>
      <c r="C27265" t="inlineStr">
        <is>
          <t>1974-07-07</t>
        </is>
      </c>
    </row>
    <row r="27266">
      <c r="A27266" s="1" t="n">
        <v>27265</v>
      </c>
      <c r="B27266">
        <f>TEXT(27265, "[$-0E0000]yyyy-mm-dd")</f>
        <v/>
      </c>
      <c r="C27266" t="inlineStr">
        <is>
          <t>1974-07-08</t>
        </is>
      </c>
    </row>
    <row r="27267">
      <c r="A27267" s="1" t="n">
        <v>27266</v>
      </c>
      <c r="B27267">
        <f>TEXT(27266, "[$-0E0000]yyyy-mm-dd")</f>
        <v/>
      </c>
      <c r="C27267" t="inlineStr">
        <is>
          <t>1974-07-09</t>
        </is>
      </c>
    </row>
    <row r="27268">
      <c r="A27268" s="1" t="n">
        <v>27267</v>
      </c>
      <c r="B27268">
        <f>TEXT(27267, "[$-0E0000]yyyy-mm-dd")</f>
        <v/>
      </c>
      <c r="C27268" t="inlineStr">
        <is>
          <t>1974-07-10</t>
        </is>
      </c>
    </row>
    <row r="27269">
      <c r="A27269" s="1" t="n">
        <v>27268</v>
      </c>
      <c r="B27269">
        <f>TEXT(27268, "[$-0E0000]yyyy-mm-dd")</f>
        <v/>
      </c>
      <c r="C27269" t="inlineStr">
        <is>
          <t>1974-07-11</t>
        </is>
      </c>
    </row>
    <row r="27270">
      <c r="A27270" s="1" t="n">
        <v>27269</v>
      </c>
      <c r="B27270">
        <f>TEXT(27269, "[$-0E0000]yyyy-mm-dd")</f>
        <v/>
      </c>
      <c r="C27270" t="inlineStr">
        <is>
          <t>1974-07-12</t>
        </is>
      </c>
    </row>
    <row r="27271">
      <c r="A27271" s="1" t="n">
        <v>27270</v>
      </c>
      <c r="B27271">
        <f>TEXT(27270, "[$-0E0000]yyyy-mm-dd")</f>
        <v/>
      </c>
      <c r="C27271" t="inlineStr">
        <is>
          <t>1974-07-13</t>
        </is>
      </c>
    </row>
    <row r="27272">
      <c r="A27272" s="1" t="n">
        <v>27271</v>
      </c>
      <c r="B27272">
        <f>TEXT(27271, "[$-0E0000]yyyy-mm-dd")</f>
        <v/>
      </c>
      <c r="C27272" t="inlineStr">
        <is>
          <t>1974-07-14</t>
        </is>
      </c>
    </row>
    <row r="27273">
      <c r="A27273" s="1" t="n">
        <v>27272</v>
      </c>
      <c r="B27273">
        <f>TEXT(27272, "[$-0E0000]yyyy-mm-dd")</f>
        <v/>
      </c>
      <c r="C27273" t="inlineStr">
        <is>
          <t>1974-07-15</t>
        </is>
      </c>
    </row>
    <row r="27274">
      <c r="A27274" s="1" t="n">
        <v>27273</v>
      </c>
      <c r="B27274">
        <f>TEXT(27273, "[$-0E0000]yyyy-mm-dd")</f>
        <v/>
      </c>
      <c r="C27274" t="inlineStr">
        <is>
          <t>1974-07-16</t>
        </is>
      </c>
    </row>
    <row r="27275">
      <c r="A27275" s="1" t="n">
        <v>27274</v>
      </c>
      <c r="B27275">
        <f>TEXT(27274, "[$-0E0000]yyyy-mm-dd")</f>
        <v/>
      </c>
      <c r="C27275" t="inlineStr">
        <is>
          <t>1974-07-17</t>
        </is>
      </c>
    </row>
    <row r="27276">
      <c r="A27276" s="1" t="n">
        <v>27275</v>
      </c>
      <c r="B27276">
        <f>TEXT(27275, "[$-0E0000]yyyy-mm-dd")</f>
        <v/>
      </c>
      <c r="C27276" t="inlineStr">
        <is>
          <t>1974-07-18</t>
        </is>
      </c>
    </row>
    <row r="27277">
      <c r="A27277" s="1" t="n">
        <v>27276</v>
      </c>
      <c r="B27277">
        <f>TEXT(27276, "[$-0E0000]yyyy-mm-dd")</f>
        <v/>
      </c>
      <c r="C27277" t="inlineStr">
        <is>
          <t>1974-07-19</t>
        </is>
      </c>
    </row>
    <row r="27278">
      <c r="A27278" s="1" t="n">
        <v>27277</v>
      </c>
      <c r="B27278">
        <f>TEXT(27277, "[$-0E0000]yyyy-mm-dd")</f>
        <v/>
      </c>
      <c r="C27278" t="inlineStr">
        <is>
          <t>1974-07-20</t>
        </is>
      </c>
    </row>
    <row r="27279">
      <c r="A27279" s="1" t="n">
        <v>27278</v>
      </c>
      <c r="B27279">
        <f>TEXT(27278, "[$-0E0000]yyyy-mm-dd")</f>
        <v/>
      </c>
      <c r="C27279" t="inlineStr">
        <is>
          <t>1974-07-21</t>
        </is>
      </c>
    </row>
    <row r="27280">
      <c r="A27280" s="1" t="n">
        <v>27279</v>
      </c>
      <c r="B27280">
        <f>TEXT(27279, "[$-0E0000]yyyy-mm-dd")</f>
        <v/>
      </c>
      <c r="C27280" t="inlineStr">
        <is>
          <t>1974-07-22</t>
        </is>
      </c>
    </row>
    <row r="27281">
      <c r="A27281" s="1" t="n">
        <v>27280</v>
      </c>
      <c r="B27281">
        <f>TEXT(27280, "[$-0E0000]yyyy-mm-dd")</f>
        <v/>
      </c>
      <c r="C27281" t="inlineStr">
        <is>
          <t>1974-07-23</t>
        </is>
      </c>
    </row>
    <row r="27282">
      <c r="A27282" s="1" t="n">
        <v>27281</v>
      </c>
      <c r="B27282">
        <f>TEXT(27281, "[$-0E0000]yyyy-mm-dd")</f>
        <v/>
      </c>
      <c r="C27282" t="inlineStr">
        <is>
          <t>1974-07-24</t>
        </is>
      </c>
    </row>
    <row r="27283">
      <c r="A27283" s="1" t="n">
        <v>27282</v>
      </c>
      <c r="B27283">
        <f>TEXT(27282, "[$-0E0000]yyyy-mm-dd")</f>
        <v/>
      </c>
      <c r="C27283" t="inlineStr">
        <is>
          <t>1974-07-25</t>
        </is>
      </c>
    </row>
    <row r="27284">
      <c r="A27284" s="1" t="n">
        <v>27283</v>
      </c>
      <c r="B27284">
        <f>TEXT(27283, "[$-0E0000]yyyy-mm-dd")</f>
        <v/>
      </c>
      <c r="C27284" t="inlineStr">
        <is>
          <t>1974-07-26</t>
        </is>
      </c>
    </row>
    <row r="27285">
      <c r="A27285" s="1" t="n">
        <v>27284</v>
      </c>
      <c r="B27285">
        <f>TEXT(27284, "[$-0E0000]yyyy-mm-dd")</f>
        <v/>
      </c>
      <c r="C27285" t="inlineStr">
        <is>
          <t>1974-07-27</t>
        </is>
      </c>
    </row>
    <row r="27286">
      <c r="A27286" s="1" t="n">
        <v>27285</v>
      </c>
      <c r="B27286">
        <f>TEXT(27285, "[$-0E0000]yyyy-mm-dd")</f>
        <v/>
      </c>
      <c r="C27286" t="inlineStr">
        <is>
          <t>1974-07-28</t>
        </is>
      </c>
    </row>
    <row r="27287">
      <c r="A27287" s="1" t="n">
        <v>27286</v>
      </c>
      <c r="B27287">
        <f>TEXT(27286, "[$-0E0000]yyyy-mm-dd")</f>
        <v/>
      </c>
      <c r="C27287" t="inlineStr">
        <is>
          <t>1974-07-29</t>
        </is>
      </c>
    </row>
    <row r="27288">
      <c r="A27288" s="1" t="n">
        <v>27287</v>
      </c>
      <c r="B27288">
        <f>TEXT(27287, "[$-0E0000]yyyy-mm-dd")</f>
        <v/>
      </c>
      <c r="C27288" t="inlineStr">
        <is>
          <t>1974-08-01</t>
        </is>
      </c>
    </row>
    <row r="27289">
      <c r="A27289" s="1" t="n">
        <v>27288</v>
      </c>
      <c r="B27289">
        <f>TEXT(27288, "[$-0E0000]yyyy-mm-dd")</f>
        <v/>
      </c>
      <c r="C27289" t="inlineStr">
        <is>
          <t>1974-08-02</t>
        </is>
      </c>
    </row>
    <row r="27290">
      <c r="A27290" s="1" t="n">
        <v>27289</v>
      </c>
      <c r="B27290">
        <f>TEXT(27289, "[$-0E0000]yyyy-mm-dd")</f>
        <v/>
      </c>
      <c r="C27290" t="inlineStr">
        <is>
          <t>1974-08-03</t>
        </is>
      </c>
    </row>
    <row r="27291">
      <c r="A27291" s="1" t="n">
        <v>27290</v>
      </c>
      <c r="B27291">
        <f>TEXT(27290, "[$-0E0000]yyyy-mm-dd")</f>
        <v/>
      </c>
      <c r="C27291" t="inlineStr">
        <is>
          <t>1974-08-04</t>
        </is>
      </c>
    </row>
    <row r="27292">
      <c r="A27292" s="1" t="n">
        <v>27291</v>
      </c>
      <c r="B27292">
        <f>TEXT(27291, "[$-0E0000]yyyy-mm-dd")</f>
        <v/>
      </c>
      <c r="C27292" t="inlineStr">
        <is>
          <t>1974-08-05</t>
        </is>
      </c>
    </row>
    <row r="27293">
      <c r="A27293" s="1" t="n">
        <v>27292</v>
      </c>
      <c r="B27293">
        <f>TEXT(27292, "[$-0E0000]yyyy-mm-dd")</f>
        <v/>
      </c>
      <c r="C27293" t="inlineStr">
        <is>
          <t>1974-08-06</t>
        </is>
      </c>
    </row>
    <row r="27294">
      <c r="A27294" s="1" t="n">
        <v>27293</v>
      </c>
      <c r="B27294">
        <f>TEXT(27293, "[$-0E0000]yyyy-mm-dd")</f>
        <v/>
      </c>
      <c r="C27294" t="inlineStr">
        <is>
          <t>1974-08-07</t>
        </is>
      </c>
    </row>
    <row r="27295">
      <c r="A27295" s="1" t="n">
        <v>27294</v>
      </c>
      <c r="B27295">
        <f>TEXT(27294, "[$-0E0000]yyyy-mm-dd")</f>
        <v/>
      </c>
      <c r="C27295" t="inlineStr">
        <is>
          <t>1974-08-08</t>
        </is>
      </c>
    </row>
    <row r="27296">
      <c r="A27296" s="1" t="n">
        <v>27295</v>
      </c>
      <c r="B27296">
        <f>TEXT(27295, "[$-0E0000]yyyy-mm-dd")</f>
        <v/>
      </c>
      <c r="C27296" t="inlineStr">
        <is>
          <t>1974-08-09</t>
        </is>
      </c>
    </row>
    <row r="27297">
      <c r="A27297" s="1" t="n">
        <v>27296</v>
      </c>
      <c r="B27297">
        <f>TEXT(27296, "[$-0E0000]yyyy-mm-dd")</f>
        <v/>
      </c>
      <c r="C27297" t="inlineStr">
        <is>
          <t>1974-08-10</t>
        </is>
      </c>
    </row>
    <row r="27298">
      <c r="A27298" s="1" t="n">
        <v>27297</v>
      </c>
      <c r="B27298">
        <f>TEXT(27297, "[$-0E0000]yyyy-mm-dd")</f>
        <v/>
      </c>
      <c r="C27298" t="inlineStr">
        <is>
          <t>1974-08-11</t>
        </is>
      </c>
    </row>
    <row r="27299">
      <c r="A27299" s="1" t="n">
        <v>27298</v>
      </c>
      <c r="B27299">
        <f>TEXT(27298, "[$-0E0000]yyyy-mm-dd")</f>
        <v/>
      </c>
      <c r="C27299" t="inlineStr">
        <is>
          <t>1974-08-12</t>
        </is>
      </c>
    </row>
    <row r="27300">
      <c r="A27300" s="1" t="n">
        <v>27299</v>
      </c>
      <c r="B27300">
        <f>TEXT(27299, "[$-0E0000]yyyy-mm-dd")</f>
        <v/>
      </c>
      <c r="C27300" t="inlineStr">
        <is>
          <t>1974-08-13</t>
        </is>
      </c>
    </row>
    <row r="27301">
      <c r="A27301" s="1" t="n">
        <v>27300</v>
      </c>
      <c r="B27301">
        <f>TEXT(27300, "[$-0E0000]yyyy-mm-dd")</f>
        <v/>
      </c>
      <c r="C27301" t="inlineStr">
        <is>
          <t>1974-08-14</t>
        </is>
      </c>
    </row>
    <row r="27302">
      <c r="A27302" s="1" t="n">
        <v>27301</v>
      </c>
      <c r="B27302">
        <f>TEXT(27301, "[$-0E0000]yyyy-mm-dd")</f>
        <v/>
      </c>
      <c r="C27302" t="inlineStr">
        <is>
          <t>1974-08-15</t>
        </is>
      </c>
    </row>
    <row r="27303">
      <c r="A27303" s="1" t="n">
        <v>27302</v>
      </c>
      <c r="B27303">
        <f>TEXT(27302, "[$-0E0000]yyyy-mm-dd")</f>
        <v/>
      </c>
      <c r="C27303" t="inlineStr">
        <is>
          <t>1974-08-16</t>
        </is>
      </c>
    </row>
    <row r="27304">
      <c r="A27304" s="1" t="n">
        <v>27303</v>
      </c>
      <c r="B27304">
        <f>TEXT(27303, "[$-0E0000]yyyy-mm-dd")</f>
        <v/>
      </c>
      <c r="C27304" t="inlineStr">
        <is>
          <t>1974-08-17</t>
        </is>
      </c>
    </row>
    <row r="27305">
      <c r="A27305" s="1" t="n">
        <v>27304</v>
      </c>
      <c r="B27305">
        <f>TEXT(27304, "[$-0E0000]yyyy-mm-dd")</f>
        <v/>
      </c>
      <c r="C27305" t="inlineStr">
        <is>
          <t>1974-08-18</t>
        </is>
      </c>
    </row>
    <row r="27306">
      <c r="A27306" s="1" t="n">
        <v>27305</v>
      </c>
      <c r="B27306">
        <f>TEXT(27305, "[$-0E0000]yyyy-mm-dd")</f>
        <v/>
      </c>
      <c r="C27306" t="inlineStr">
        <is>
          <t>1974-08-19</t>
        </is>
      </c>
    </row>
    <row r="27307">
      <c r="A27307" s="1" t="n">
        <v>27306</v>
      </c>
      <c r="B27307">
        <f>TEXT(27306, "[$-0E0000]yyyy-mm-dd")</f>
        <v/>
      </c>
      <c r="C27307" t="inlineStr">
        <is>
          <t>1974-08-20</t>
        </is>
      </c>
    </row>
    <row r="27308">
      <c r="A27308" s="1" t="n">
        <v>27307</v>
      </c>
      <c r="B27308">
        <f>TEXT(27307, "[$-0E0000]yyyy-mm-dd")</f>
        <v/>
      </c>
      <c r="C27308" t="inlineStr">
        <is>
          <t>1974-08-21</t>
        </is>
      </c>
    </row>
    <row r="27309">
      <c r="A27309" s="1" t="n">
        <v>27308</v>
      </c>
      <c r="B27309">
        <f>TEXT(27308, "[$-0E0000]yyyy-mm-dd")</f>
        <v/>
      </c>
      <c r="C27309" t="inlineStr">
        <is>
          <t>1974-08-22</t>
        </is>
      </c>
    </row>
    <row r="27310">
      <c r="A27310" s="1" t="n">
        <v>27309</v>
      </c>
      <c r="B27310">
        <f>TEXT(27309, "[$-0E0000]yyyy-mm-dd")</f>
        <v/>
      </c>
      <c r="C27310" t="inlineStr">
        <is>
          <t>1974-08-23</t>
        </is>
      </c>
    </row>
    <row r="27311">
      <c r="A27311" s="1" t="n">
        <v>27310</v>
      </c>
      <c r="B27311">
        <f>TEXT(27310, "[$-0E0000]yyyy-mm-dd")</f>
        <v/>
      </c>
      <c r="C27311" t="inlineStr">
        <is>
          <t>1974-08-24</t>
        </is>
      </c>
    </row>
    <row r="27312">
      <c r="A27312" s="1" t="n">
        <v>27311</v>
      </c>
      <c r="B27312">
        <f>TEXT(27311, "[$-0E0000]yyyy-mm-dd")</f>
        <v/>
      </c>
      <c r="C27312" t="inlineStr">
        <is>
          <t>1974-08-25</t>
        </is>
      </c>
    </row>
    <row r="27313">
      <c r="A27313" s="1" t="n">
        <v>27312</v>
      </c>
      <c r="B27313">
        <f>TEXT(27312, "[$-0E0000]yyyy-mm-dd")</f>
        <v/>
      </c>
      <c r="C27313" t="inlineStr">
        <is>
          <t>1974-08-26</t>
        </is>
      </c>
    </row>
    <row r="27314">
      <c r="A27314" s="1" t="n">
        <v>27313</v>
      </c>
      <c r="B27314">
        <f>TEXT(27313, "[$-0E0000]yyyy-mm-dd")</f>
        <v/>
      </c>
      <c r="C27314" t="inlineStr">
        <is>
          <t>1974-08-27</t>
        </is>
      </c>
    </row>
    <row r="27315">
      <c r="A27315" s="1" t="n">
        <v>27314</v>
      </c>
      <c r="B27315">
        <f>TEXT(27314, "[$-0E0000]yyyy-mm-dd")</f>
        <v/>
      </c>
      <c r="C27315" t="inlineStr">
        <is>
          <t>1974-08-28</t>
        </is>
      </c>
    </row>
    <row r="27316">
      <c r="A27316" s="1" t="n">
        <v>27315</v>
      </c>
      <c r="B27316">
        <f>TEXT(27315, "[$-0E0000]yyyy-mm-dd")</f>
        <v/>
      </c>
      <c r="C27316" t="inlineStr">
        <is>
          <t>1974-08-29</t>
        </is>
      </c>
    </row>
    <row r="27317">
      <c r="A27317" s="1" t="n">
        <v>27316</v>
      </c>
      <c r="B27317">
        <f>TEXT(27316, "[$-0E0000]yyyy-mm-dd")</f>
        <v/>
      </c>
      <c r="C27317" t="inlineStr">
        <is>
          <t>1974-09-01</t>
        </is>
      </c>
    </row>
    <row r="27318">
      <c r="A27318" s="1" t="n">
        <v>27317</v>
      </c>
      <c r="B27318">
        <f>TEXT(27317, "[$-0E0000]yyyy-mm-dd")</f>
        <v/>
      </c>
      <c r="C27318" t="inlineStr">
        <is>
          <t>1974-09-02</t>
        </is>
      </c>
    </row>
    <row r="27319">
      <c r="A27319" s="1" t="n">
        <v>27318</v>
      </c>
      <c r="B27319">
        <f>TEXT(27318, "[$-0E0000]yyyy-mm-dd")</f>
        <v/>
      </c>
      <c r="C27319" t="inlineStr">
        <is>
          <t>1974-09-03</t>
        </is>
      </c>
    </row>
    <row r="27320">
      <c r="A27320" s="1" t="n">
        <v>27319</v>
      </c>
      <c r="B27320">
        <f>TEXT(27319, "[$-0E0000]yyyy-mm-dd")</f>
        <v/>
      </c>
      <c r="C27320" t="inlineStr">
        <is>
          <t>1974-09-04</t>
        </is>
      </c>
    </row>
    <row r="27321">
      <c r="A27321" s="1" t="n">
        <v>27320</v>
      </c>
      <c r="B27321">
        <f>TEXT(27320, "[$-0E0000]yyyy-mm-dd")</f>
        <v/>
      </c>
      <c r="C27321" t="inlineStr">
        <is>
          <t>1974-09-05</t>
        </is>
      </c>
    </row>
    <row r="27322">
      <c r="A27322" s="1" t="n">
        <v>27321</v>
      </c>
      <c r="B27322">
        <f>TEXT(27321, "[$-0E0000]yyyy-mm-dd")</f>
        <v/>
      </c>
      <c r="C27322" t="inlineStr">
        <is>
          <t>1974-09-06</t>
        </is>
      </c>
    </row>
    <row r="27323">
      <c r="A27323" s="1" t="n">
        <v>27322</v>
      </c>
      <c r="B27323">
        <f>TEXT(27322, "[$-0E0000]yyyy-mm-dd")</f>
        <v/>
      </c>
      <c r="C27323" t="inlineStr">
        <is>
          <t>1974-09-07</t>
        </is>
      </c>
    </row>
    <row r="27324">
      <c r="A27324" s="1" t="n">
        <v>27323</v>
      </c>
      <c r="B27324">
        <f>TEXT(27323, "[$-0E0000]yyyy-mm-dd")</f>
        <v/>
      </c>
      <c r="C27324" t="inlineStr">
        <is>
          <t>1974-09-08</t>
        </is>
      </c>
    </row>
    <row r="27325">
      <c r="A27325" s="1" t="n">
        <v>27324</v>
      </c>
      <c r="B27325">
        <f>TEXT(27324, "[$-0E0000]yyyy-mm-dd")</f>
        <v/>
      </c>
      <c r="C27325" t="inlineStr">
        <is>
          <t>1974-09-09</t>
        </is>
      </c>
    </row>
    <row r="27326">
      <c r="A27326" s="1" t="n">
        <v>27325</v>
      </c>
      <c r="B27326">
        <f>TEXT(27325, "[$-0E0000]yyyy-mm-dd")</f>
        <v/>
      </c>
      <c r="C27326" t="inlineStr">
        <is>
          <t>1974-09-10</t>
        </is>
      </c>
    </row>
    <row r="27327">
      <c r="A27327" s="1" t="n">
        <v>27326</v>
      </c>
      <c r="B27327">
        <f>TEXT(27326, "[$-0E0000]yyyy-mm-dd")</f>
        <v/>
      </c>
      <c r="C27327" t="inlineStr">
        <is>
          <t>1974-09-11</t>
        </is>
      </c>
    </row>
    <row r="27328">
      <c r="A27328" s="1" t="n">
        <v>27327</v>
      </c>
      <c r="B27328">
        <f>TEXT(27327, "[$-0E0000]yyyy-mm-dd")</f>
        <v/>
      </c>
      <c r="C27328" t="inlineStr">
        <is>
          <t>1974-09-12</t>
        </is>
      </c>
    </row>
    <row r="27329">
      <c r="A27329" s="1" t="n">
        <v>27328</v>
      </c>
      <c r="B27329">
        <f>TEXT(27328, "[$-0E0000]yyyy-mm-dd")</f>
        <v/>
      </c>
      <c r="C27329" t="inlineStr">
        <is>
          <t>1974-09-13</t>
        </is>
      </c>
    </row>
    <row r="27330">
      <c r="A27330" s="1" t="n">
        <v>27329</v>
      </c>
      <c r="B27330">
        <f>TEXT(27329, "[$-0E0000]yyyy-mm-dd")</f>
        <v/>
      </c>
      <c r="C27330" t="inlineStr">
        <is>
          <t>1974-09-14</t>
        </is>
      </c>
    </row>
    <row r="27331">
      <c r="A27331" s="1" t="n">
        <v>27330</v>
      </c>
      <c r="B27331">
        <f>TEXT(27330, "[$-0E0000]yyyy-mm-dd")</f>
        <v/>
      </c>
      <c r="C27331" t="inlineStr">
        <is>
          <t>1974-09-15</t>
        </is>
      </c>
    </row>
    <row r="27332">
      <c r="A27332" s="1" t="n">
        <v>27331</v>
      </c>
      <c r="B27332">
        <f>TEXT(27331, "[$-0E0000]yyyy-mm-dd")</f>
        <v/>
      </c>
      <c r="C27332" t="inlineStr">
        <is>
          <t>1974-09-16</t>
        </is>
      </c>
    </row>
    <row r="27333">
      <c r="A27333" s="1" t="n">
        <v>27332</v>
      </c>
      <c r="B27333">
        <f>TEXT(27332, "[$-0E0000]yyyy-mm-dd")</f>
        <v/>
      </c>
      <c r="C27333" t="inlineStr">
        <is>
          <t>1974-09-17</t>
        </is>
      </c>
    </row>
    <row r="27334">
      <c r="A27334" s="1" t="n">
        <v>27333</v>
      </c>
      <c r="B27334">
        <f>TEXT(27333, "[$-0E0000]yyyy-mm-dd")</f>
        <v/>
      </c>
      <c r="C27334" t="inlineStr">
        <is>
          <t>1974-09-18</t>
        </is>
      </c>
    </row>
    <row r="27335">
      <c r="A27335" s="1" t="n">
        <v>27334</v>
      </c>
      <c r="B27335">
        <f>TEXT(27334, "[$-0E0000]yyyy-mm-dd")</f>
        <v/>
      </c>
      <c r="C27335" t="inlineStr">
        <is>
          <t>1974-09-19</t>
        </is>
      </c>
    </row>
    <row r="27336">
      <c r="A27336" s="1" t="n">
        <v>27335</v>
      </c>
      <c r="B27336">
        <f>TEXT(27335, "[$-0E0000]yyyy-mm-dd")</f>
        <v/>
      </c>
      <c r="C27336" t="inlineStr">
        <is>
          <t>1974-09-20</t>
        </is>
      </c>
    </row>
    <row r="27337">
      <c r="A27337" s="1" t="n">
        <v>27336</v>
      </c>
      <c r="B27337">
        <f>TEXT(27336, "[$-0E0000]yyyy-mm-dd")</f>
        <v/>
      </c>
      <c r="C27337" t="inlineStr">
        <is>
          <t>1974-09-21</t>
        </is>
      </c>
    </row>
    <row r="27338">
      <c r="A27338" s="1" t="n">
        <v>27337</v>
      </c>
      <c r="B27338">
        <f>TEXT(27337, "[$-0E0000]yyyy-mm-dd")</f>
        <v/>
      </c>
      <c r="C27338" t="inlineStr">
        <is>
          <t>1974-09-22</t>
        </is>
      </c>
    </row>
    <row r="27339">
      <c r="A27339" s="1" t="n">
        <v>27338</v>
      </c>
      <c r="B27339">
        <f>TEXT(27338, "[$-0E0000]yyyy-mm-dd")</f>
        <v/>
      </c>
      <c r="C27339" t="inlineStr">
        <is>
          <t>1974-09-23</t>
        </is>
      </c>
    </row>
    <row r="27340">
      <c r="A27340" s="1" t="n">
        <v>27339</v>
      </c>
      <c r="B27340">
        <f>TEXT(27339, "[$-0E0000]yyyy-mm-dd")</f>
        <v/>
      </c>
      <c r="C27340" t="inlineStr">
        <is>
          <t>1974-09-24</t>
        </is>
      </c>
    </row>
    <row r="27341">
      <c r="A27341" s="1" t="n">
        <v>27340</v>
      </c>
      <c r="B27341">
        <f>TEXT(27340, "[$-0E0000]yyyy-mm-dd")</f>
        <v/>
      </c>
      <c r="C27341" t="inlineStr">
        <is>
          <t>1974-09-25</t>
        </is>
      </c>
    </row>
    <row r="27342">
      <c r="A27342" s="1" t="n">
        <v>27341</v>
      </c>
      <c r="B27342">
        <f>TEXT(27341, "[$-0E0000]yyyy-mm-dd")</f>
        <v/>
      </c>
      <c r="C27342" t="inlineStr">
        <is>
          <t>1974-09-26</t>
        </is>
      </c>
    </row>
    <row r="27343">
      <c r="A27343" s="1" t="n">
        <v>27342</v>
      </c>
      <c r="B27343">
        <f>TEXT(27342, "[$-0E0000]yyyy-mm-dd")</f>
        <v/>
      </c>
      <c r="C27343" t="inlineStr">
        <is>
          <t>1974-09-27</t>
        </is>
      </c>
    </row>
    <row r="27344">
      <c r="A27344" s="1" t="n">
        <v>27343</v>
      </c>
      <c r="B27344">
        <f>TEXT(27343, "[$-0E0000]yyyy-mm-dd")</f>
        <v/>
      </c>
      <c r="C27344" t="inlineStr">
        <is>
          <t>1974-09-28</t>
        </is>
      </c>
    </row>
    <row r="27345">
      <c r="A27345" s="1" t="n">
        <v>27344</v>
      </c>
      <c r="B27345">
        <f>TEXT(27344, "[$-0E0000]yyyy-mm-dd")</f>
        <v/>
      </c>
      <c r="C27345" t="inlineStr">
        <is>
          <t>1974-09-29</t>
        </is>
      </c>
    </row>
    <row r="27346">
      <c r="A27346" s="1" t="n">
        <v>27345</v>
      </c>
      <c r="B27346">
        <f>TEXT(27345, "[$-0E0000]yyyy-mm-dd")</f>
        <v/>
      </c>
      <c r="C27346" t="inlineStr">
        <is>
          <t>1974-09-30</t>
        </is>
      </c>
    </row>
    <row r="27347">
      <c r="A27347" s="1" t="n">
        <v>27346</v>
      </c>
      <c r="B27347">
        <f>TEXT(27346, "[$-0E0000]yyyy-mm-dd")</f>
        <v/>
      </c>
      <c r="C27347" t="inlineStr">
        <is>
          <t>1974-10-01</t>
        </is>
      </c>
    </row>
    <row r="27348">
      <c r="A27348" s="1" t="n">
        <v>27347</v>
      </c>
      <c r="B27348">
        <f>TEXT(27347, "[$-0E0000]yyyy-mm-dd")</f>
        <v/>
      </c>
      <c r="C27348" t="inlineStr">
        <is>
          <t>1974-10-02</t>
        </is>
      </c>
    </row>
    <row r="27349">
      <c r="A27349" s="1" t="n">
        <v>27348</v>
      </c>
      <c r="B27349">
        <f>TEXT(27348, "[$-0E0000]yyyy-mm-dd")</f>
        <v/>
      </c>
      <c r="C27349" t="inlineStr">
        <is>
          <t>1974-10-03</t>
        </is>
      </c>
    </row>
    <row r="27350">
      <c r="A27350" s="1" t="n">
        <v>27349</v>
      </c>
      <c r="B27350">
        <f>TEXT(27349, "[$-0E0000]yyyy-mm-dd")</f>
        <v/>
      </c>
      <c r="C27350" t="inlineStr">
        <is>
          <t>1974-10-04</t>
        </is>
      </c>
    </row>
    <row r="27351">
      <c r="A27351" s="1" t="n">
        <v>27350</v>
      </c>
      <c r="B27351">
        <f>TEXT(27350, "[$-0E0000]yyyy-mm-dd")</f>
        <v/>
      </c>
      <c r="C27351" t="inlineStr">
        <is>
          <t>1974-10-05</t>
        </is>
      </c>
    </row>
    <row r="27352">
      <c r="A27352" s="1" t="n">
        <v>27351</v>
      </c>
      <c r="B27352">
        <f>TEXT(27351, "[$-0E0000]yyyy-mm-dd")</f>
        <v/>
      </c>
      <c r="C27352" t="inlineStr">
        <is>
          <t>1974-10-06</t>
        </is>
      </c>
    </row>
    <row r="27353">
      <c r="A27353" s="1" t="n">
        <v>27352</v>
      </c>
      <c r="B27353">
        <f>TEXT(27352, "[$-0E0000]yyyy-mm-dd")</f>
        <v/>
      </c>
      <c r="C27353" t="inlineStr">
        <is>
          <t>1974-10-07</t>
        </is>
      </c>
    </row>
    <row r="27354">
      <c r="A27354" s="1" t="n">
        <v>27353</v>
      </c>
      <c r="B27354">
        <f>TEXT(27353, "[$-0E0000]yyyy-mm-dd")</f>
        <v/>
      </c>
      <c r="C27354" t="inlineStr">
        <is>
          <t>1974-10-08</t>
        </is>
      </c>
    </row>
    <row r="27355">
      <c r="A27355" s="1" t="n">
        <v>27354</v>
      </c>
      <c r="B27355">
        <f>TEXT(27354, "[$-0E0000]yyyy-mm-dd")</f>
        <v/>
      </c>
      <c r="C27355" t="inlineStr">
        <is>
          <t>1974-10-09</t>
        </is>
      </c>
    </row>
    <row r="27356">
      <c r="A27356" s="1" t="n">
        <v>27355</v>
      </c>
      <c r="B27356">
        <f>TEXT(27355, "[$-0E0000]yyyy-mm-dd")</f>
        <v/>
      </c>
      <c r="C27356" t="inlineStr">
        <is>
          <t>1974-10-10</t>
        </is>
      </c>
    </row>
    <row r="27357">
      <c r="A27357" s="1" t="n">
        <v>27356</v>
      </c>
      <c r="B27357">
        <f>TEXT(27356, "[$-0E0000]yyyy-mm-dd")</f>
        <v/>
      </c>
      <c r="C27357" t="inlineStr">
        <is>
          <t>1974-10-11</t>
        </is>
      </c>
    </row>
    <row r="27358">
      <c r="A27358" s="1" t="n">
        <v>27357</v>
      </c>
      <c r="B27358">
        <f>TEXT(27357, "[$-0E0000]yyyy-mm-dd")</f>
        <v/>
      </c>
      <c r="C27358" t="inlineStr">
        <is>
          <t>1974-10-12</t>
        </is>
      </c>
    </row>
    <row r="27359">
      <c r="A27359" s="1" t="n">
        <v>27358</v>
      </c>
      <c r="B27359">
        <f>TEXT(27358, "[$-0E0000]yyyy-mm-dd")</f>
        <v/>
      </c>
      <c r="C27359" t="inlineStr">
        <is>
          <t>1974-10-13</t>
        </is>
      </c>
    </row>
    <row r="27360">
      <c r="A27360" s="1" t="n">
        <v>27359</v>
      </c>
      <c r="B27360">
        <f>TEXT(27359, "[$-0E0000]yyyy-mm-dd")</f>
        <v/>
      </c>
      <c r="C27360" t="inlineStr">
        <is>
          <t>1974-10-14</t>
        </is>
      </c>
    </row>
    <row r="27361">
      <c r="A27361" s="1" t="n">
        <v>27360</v>
      </c>
      <c r="B27361">
        <f>TEXT(27360, "[$-0E0000]yyyy-mm-dd")</f>
        <v/>
      </c>
      <c r="C27361" t="inlineStr">
        <is>
          <t>1974-10-15</t>
        </is>
      </c>
    </row>
    <row r="27362">
      <c r="A27362" s="1" t="n">
        <v>27361</v>
      </c>
      <c r="B27362">
        <f>TEXT(27361, "[$-0E0000]yyyy-mm-dd")</f>
        <v/>
      </c>
      <c r="C27362" t="inlineStr">
        <is>
          <t>1974-10-16</t>
        </is>
      </c>
    </row>
    <row r="27363">
      <c r="A27363" s="1" t="n">
        <v>27362</v>
      </c>
      <c r="B27363">
        <f>TEXT(27362, "[$-0E0000]yyyy-mm-dd")</f>
        <v/>
      </c>
      <c r="C27363" t="inlineStr">
        <is>
          <t>1974-10-17</t>
        </is>
      </c>
    </row>
    <row r="27364">
      <c r="A27364" s="1" t="n">
        <v>27363</v>
      </c>
      <c r="B27364">
        <f>TEXT(27363, "[$-0E0000]yyyy-mm-dd")</f>
        <v/>
      </c>
      <c r="C27364" t="inlineStr">
        <is>
          <t>1974-10-18</t>
        </is>
      </c>
    </row>
    <row r="27365">
      <c r="A27365" s="1" t="n">
        <v>27364</v>
      </c>
      <c r="B27365">
        <f>TEXT(27364, "[$-0E0000]yyyy-mm-dd")</f>
        <v/>
      </c>
      <c r="C27365" t="inlineStr">
        <is>
          <t>1974-10-19</t>
        </is>
      </c>
    </row>
    <row r="27366">
      <c r="A27366" s="1" t="n">
        <v>27365</v>
      </c>
      <c r="B27366">
        <f>TEXT(27365, "[$-0E0000]yyyy-mm-dd")</f>
        <v/>
      </c>
      <c r="C27366" t="inlineStr">
        <is>
          <t>1974-10-20</t>
        </is>
      </c>
    </row>
    <row r="27367">
      <c r="A27367" s="1" t="n">
        <v>27366</v>
      </c>
      <c r="B27367">
        <f>TEXT(27366, "[$-0E0000]yyyy-mm-dd")</f>
        <v/>
      </c>
      <c r="C27367" t="inlineStr">
        <is>
          <t>1974-10-21</t>
        </is>
      </c>
    </row>
    <row r="27368">
      <c r="A27368" s="1" t="n">
        <v>27367</v>
      </c>
      <c r="B27368">
        <f>TEXT(27367, "[$-0E0000]yyyy-mm-dd")</f>
        <v/>
      </c>
      <c r="C27368" t="inlineStr">
        <is>
          <t>1974-10-22</t>
        </is>
      </c>
    </row>
    <row r="27369">
      <c r="A27369" s="1" t="n">
        <v>27368</v>
      </c>
      <c r="B27369">
        <f>TEXT(27368, "[$-0E0000]yyyy-mm-dd")</f>
        <v/>
      </c>
      <c r="C27369" t="inlineStr">
        <is>
          <t>1974-10-23</t>
        </is>
      </c>
    </row>
    <row r="27370">
      <c r="A27370" s="1" t="n">
        <v>27369</v>
      </c>
      <c r="B27370">
        <f>TEXT(27369, "[$-0E0000]yyyy-mm-dd")</f>
        <v/>
      </c>
      <c r="C27370" t="inlineStr">
        <is>
          <t>1974-10-24</t>
        </is>
      </c>
    </row>
    <row r="27371">
      <c r="A27371" s="1" t="n">
        <v>27370</v>
      </c>
      <c r="B27371">
        <f>TEXT(27370, "[$-0E0000]yyyy-mm-dd")</f>
        <v/>
      </c>
      <c r="C27371" t="inlineStr">
        <is>
          <t>1974-10-25</t>
        </is>
      </c>
    </row>
    <row r="27372">
      <c r="A27372" s="1" t="n">
        <v>27371</v>
      </c>
      <c r="B27372">
        <f>TEXT(27371, "[$-0E0000]yyyy-mm-dd")</f>
        <v/>
      </c>
      <c r="C27372" t="inlineStr">
        <is>
          <t>1974-10-26</t>
        </is>
      </c>
    </row>
    <row r="27373">
      <c r="A27373" s="1" t="n">
        <v>27372</v>
      </c>
      <c r="B27373">
        <f>TEXT(27372, "[$-0E0000]yyyy-mm-dd")</f>
        <v/>
      </c>
      <c r="C27373" t="inlineStr">
        <is>
          <t>1974-10-27</t>
        </is>
      </c>
    </row>
    <row r="27374">
      <c r="A27374" s="1" t="n">
        <v>27373</v>
      </c>
      <c r="B27374">
        <f>TEXT(27373, "[$-0E0000]yyyy-mm-dd")</f>
        <v/>
      </c>
      <c r="C27374" t="inlineStr">
        <is>
          <t>1974-10-28</t>
        </is>
      </c>
    </row>
    <row r="27375">
      <c r="A27375" s="1" t="n">
        <v>27374</v>
      </c>
      <c r="B27375">
        <f>TEXT(27374, "[$-0E0000]yyyy-mm-dd")</f>
        <v/>
      </c>
      <c r="C27375" t="inlineStr">
        <is>
          <t>1974-10-29</t>
        </is>
      </c>
    </row>
    <row r="27376">
      <c r="A27376" s="1" t="n">
        <v>27375</v>
      </c>
      <c r="B27376">
        <f>TEXT(27375, "[$-0E0000]yyyy-mm-dd")</f>
        <v/>
      </c>
      <c r="C27376" t="inlineStr">
        <is>
          <t>1974-10-30</t>
        </is>
      </c>
    </row>
    <row r="27377">
      <c r="A27377" s="1" t="n">
        <v>27376</v>
      </c>
      <c r="B27377">
        <f>TEXT(27376, "[$-0E0000]yyyy-mm-dd")</f>
        <v/>
      </c>
      <c r="C27377" t="inlineStr">
        <is>
          <t>1974-11-01</t>
        </is>
      </c>
    </row>
    <row r="27378">
      <c r="A27378" s="1" t="n">
        <v>27377</v>
      </c>
      <c r="B27378">
        <f>TEXT(27377, "[$-0E0000]yyyy-mm-dd")</f>
        <v/>
      </c>
      <c r="C27378" t="inlineStr">
        <is>
          <t>1974-11-02</t>
        </is>
      </c>
    </row>
    <row r="27379">
      <c r="A27379" s="1" t="n">
        <v>27378</v>
      </c>
      <c r="B27379">
        <f>TEXT(27378, "[$-0E0000]yyyy-mm-dd")</f>
        <v/>
      </c>
      <c r="C27379" t="inlineStr">
        <is>
          <t>1974-11-03</t>
        </is>
      </c>
    </row>
    <row r="27380">
      <c r="A27380" s="1" t="n">
        <v>27379</v>
      </c>
      <c r="B27380">
        <f>TEXT(27379, "[$-0E0000]yyyy-mm-dd")</f>
        <v/>
      </c>
      <c r="C27380" t="inlineStr">
        <is>
          <t>1974-11-04</t>
        </is>
      </c>
    </row>
    <row r="27381">
      <c r="A27381" s="1" t="n">
        <v>27380</v>
      </c>
      <c r="B27381">
        <f>TEXT(27380, "[$-0E0000]yyyy-mm-dd")</f>
        <v/>
      </c>
      <c r="C27381" t="inlineStr">
        <is>
          <t>1974-11-05</t>
        </is>
      </c>
    </row>
    <row r="27382">
      <c r="A27382" s="1" t="n">
        <v>27381</v>
      </c>
      <c r="B27382">
        <f>TEXT(27381, "[$-0E0000]yyyy-mm-dd")</f>
        <v/>
      </c>
      <c r="C27382" t="inlineStr">
        <is>
          <t>1974-11-06</t>
        </is>
      </c>
    </row>
    <row r="27383">
      <c r="A27383" s="1" t="n">
        <v>27382</v>
      </c>
      <c r="B27383">
        <f>TEXT(27382, "[$-0E0000]yyyy-mm-dd")</f>
        <v/>
      </c>
      <c r="C27383" t="inlineStr">
        <is>
          <t>1974-11-07</t>
        </is>
      </c>
    </row>
    <row r="27384">
      <c r="A27384" s="1" t="n">
        <v>27383</v>
      </c>
      <c r="B27384">
        <f>TEXT(27383, "[$-0E0000]yyyy-mm-dd")</f>
        <v/>
      </c>
      <c r="C27384" t="inlineStr">
        <is>
          <t>1974-11-08</t>
        </is>
      </c>
    </row>
    <row r="27385">
      <c r="A27385" s="1" t="n">
        <v>27384</v>
      </c>
      <c r="B27385">
        <f>TEXT(27384, "[$-0E0000]yyyy-mm-dd")</f>
        <v/>
      </c>
      <c r="C27385" t="inlineStr">
        <is>
          <t>1974-11-09</t>
        </is>
      </c>
    </row>
    <row r="27386">
      <c r="A27386" s="1" t="n">
        <v>27385</v>
      </c>
      <c r="B27386">
        <f>TEXT(27385, "[$-0E0000]yyyy-mm-dd")</f>
        <v/>
      </c>
      <c r="C27386" t="inlineStr">
        <is>
          <t>1974-11-10</t>
        </is>
      </c>
    </row>
    <row r="27387">
      <c r="A27387" s="1" t="n">
        <v>27386</v>
      </c>
      <c r="B27387">
        <f>TEXT(27386, "[$-0E0000]yyyy-mm-dd")</f>
        <v/>
      </c>
      <c r="C27387" t="inlineStr">
        <is>
          <t>1974-11-11</t>
        </is>
      </c>
    </row>
    <row r="27388">
      <c r="A27388" s="1" t="n">
        <v>27387</v>
      </c>
      <c r="B27388">
        <f>TEXT(27387, "[$-0E0000]yyyy-mm-dd")</f>
        <v/>
      </c>
      <c r="C27388" t="inlineStr">
        <is>
          <t>1974-11-12</t>
        </is>
      </c>
    </row>
    <row r="27389">
      <c r="A27389" s="1" t="n">
        <v>27388</v>
      </c>
      <c r="B27389">
        <f>TEXT(27388, "[$-0E0000]yyyy-mm-dd")</f>
        <v/>
      </c>
      <c r="C27389" t="inlineStr">
        <is>
          <t>1974-11-13</t>
        </is>
      </c>
    </row>
    <row r="27390">
      <c r="A27390" s="1" t="n">
        <v>27389</v>
      </c>
      <c r="B27390">
        <f>TEXT(27389, "[$-0E0000]yyyy-mm-dd")</f>
        <v/>
      </c>
      <c r="C27390" t="inlineStr">
        <is>
          <t>1974-11-14</t>
        </is>
      </c>
    </row>
    <row r="27391">
      <c r="A27391" s="1" t="n">
        <v>27390</v>
      </c>
      <c r="B27391">
        <f>TEXT(27390, "[$-0E0000]yyyy-mm-dd")</f>
        <v/>
      </c>
      <c r="C27391" t="inlineStr">
        <is>
          <t>1974-11-15</t>
        </is>
      </c>
    </row>
    <row r="27392">
      <c r="A27392" s="1" t="n">
        <v>27391</v>
      </c>
      <c r="B27392">
        <f>TEXT(27391, "[$-0E0000]yyyy-mm-dd")</f>
        <v/>
      </c>
      <c r="C27392" t="inlineStr">
        <is>
          <t>1974-11-16</t>
        </is>
      </c>
    </row>
    <row r="27393">
      <c r="A27393" s="1" t="n">
        <v>27392</v>
      </c>
      <c r="B27393">
        <f>TEXT(27392, "[$-0E0000]yyyy-mm-dd")</f>
        <v/>
      </c>
      <c r="C27393" t="inlineStr">
        <is>
          <t>1974-11-17</t>
        </is>
      </c>
    </row>
    <row r="27394">
      <c r="A27394" s="1" t="n">
        <v>27393</v>
      </c>
      <c r="B27394">
        <f>TEXT(27393, "[$-0E0000]yyyy-mm-dd")</f>
        <v/>
      </c>
      <c r="C27394" t="inlineStr">
        <is>
          <t>1974-11-18</t>
        </is>
      </c>
    </row>
    <row r="27395">
      <c r="A27395" s="1" t="n">
        <v>27394</v>
      </c>
      <c r="B27395">
        <f>TEXT(27394, "[$-0E0000]yyyy-mm-dd")</f>
        <v/>
      </c>
      <c r="C27395" t="inlineStr">
        <is>
          <t>1974-11-19</t>
        </is>
      </c>
    </row>
    <row r="27396">
      <c r="A27396" s="1" t="n">
        <v>27395</v>
      </c>
      <c r="B27396">
        <f>TEXT(27395, "[$-0E0000]yyyy-mm-dd")</f>
        <v/>
      </c>
      <c r="C27396" t="inlineStr">
        <is>
          <t>1974-11-20</t>
        </is>
      </c>
    </row>
    <row r="27397">
      <c r="A27397" s="1" t="n">
        <v>27396</v>
      </c>
      <c r="B27397">
        <f>TEXT(27396, "[$-0E0000]yyyy-mm-dd")</f>
        <v/>
      </c>
      <c r="C27397" t="inlineStr">
        <is>
          <t>1974-11-21</t>
        </is>
      </c>
    </row>
    <row r="27398">
      <c r="A27398" s="1" t="n">
        <v>27397</v>
      </c>
      <c r="B27398">
        <f>TEXT(27397, "[$-0E0000]yyyy-mm-dd")</f>
        <v/>
      </c>
      <c r="C27398" t="inlineStr">
        <is>
          <t>1974-11-22</t>
        </is>
      </c>
    </row>
    <row r="27399">
      <c r="A27399" s="1" t="n">
        <v>27398</v>
      </c>
      <c r="B27399">
        <f>TEXT(27398, "[$-0E0000]yyyy-mm-dd")</f>
        <v/>
      </c>
      <c r="C27399" t="inlineStr">
        <is>
          <t>1974-11-23</t>
        </is>
      </c>
    </row>
    <row r="27400">
      <c r="A27400" s="1" t="n">
        <v>27399</v>
      </c>
      <c r="B27400">
        <f>TEXT(27399, "[$-0E0000]yyyy-mm-dd")</f>
        <v/>
      </c>
      <c r="C27400" t="inlineStr">
        <is>
          <t>1974-11-24</t>
        </is>
      </c>
    </row>
    <row r="27401">
      <c r="A27401" s="1" t="n">
        <v>27400</v>
      </c>
      <c r="B27401">
        <f>TEXT(27400, "[$-0E0000]yyyy-mm-dd")</f>
        <v/>
      </c>
      <c r="C27401" t="inlineStr">
        <is>
          <t>1974-11-25</t>
        </is>
      </c>
    </row>
    <row r="27402">
      <c r="A27402" s="1" t="n">
        <v>27401</v>
      </c>
      <c r="B27402">
        <f>TEXT(27401, "[$-0E0000]yyyy-mm-dd")</f>
        <v/>
      </c>
      <c r="C27402" t="inlineStr">
        <is>
          <t>1974-11-26</t>
        </is>
      </c>
    </row>
    <row r="27403">
      <c r="A27403" s="1" t="n">
        <v>27402</v>
      </c>
      <c r="B27403">
        <f>TEXT(27402, "[$-0E0000]yyyy-mm-dd")</f>
        <v/>
      </c>
      <c r="C27403" t="inlineStr">
        <is>
          <t>1974-11-27</t>
        </is>
      </c>
    </row>
    <row r="27404">
      <c r="A27404" s="1" t="n">
        <v>27403</v>
      </c>
      <c r="B27404">
        <f>TEXT(27403, "[$-0E0000]yyyy-mm-dd")</f>
        <v/>
      </c>
      <c r="C27404" t="inlineStr">
        <is>
          <t>1974-11-28</t>
        </is>
      </c>
    </row>
    <row r="27405">
      <c r="A27405" s="1" t="n">
        <v>27404</v>
      </c>
      <c r="B27405">
        <f>TEXT(27404, "[$-0E0000]yyyy-mm-dd")</f>
        <v/>
      </c>
      <c r="C27405" t="inlineStr">
        <is>
          <t>1974-11-29</t>
        </is>
      </c>
    </row>
    <row r="27406">
      <c r="A27406" s="1" t="n">
        <v>27405</v>
      </c>
      <c r="B27406">
        <f>TEXT(27405, "[$-0E0000]yyyy-mm-dd")</f>
        <v/>
      </c>
      <c r="C27406" t="inlineStr">
        <is>
          <t>1974-12-01</t>
        </is>
      </c>
    </row>
    <row r="27407">
      <c r="A27407" s="1" t="n">
        <v>27406</v>
      </c>
      <c r="B27407">
        <f>TEXT(27406, "[$-0E0000]yyyy-mm-dd")</f>
        <v/>
      </c>
      <c r="C27407" t="inlineStr">
        <is>
          <t>1974-12-02</t>
        </is>
      </c>
    </row>
    <row r="27408">
      <c r="A27408" s="1" t="n">
        <v>27407</v>
      </c>
      <c r="B27408">
        <f>TEXT(27407, "[$-0E0000]yyyy-mm-dd")</f>
        <v/>
      </c>
      <c r="C27408" t="inlineStr">
        <is>
          <t>1974-12-03</t>
        </is>
      </c>
    </row>
    <row r="27409">
      <c r="A27409" s="1" t="n">
        <v>27408</v>
      </c>
      <c r="B27409">
        <f>TEXT(27408, "[$-0E0000]yyyy-mm-dd")</f>
        <v/>
      </c>
      <c r="C27409" t="inlineStr">
        <is>
          <t>1974-12-04</t>
        </is>
      </c>
    </row>
    <row r="27410">
      <c r="A27410" s="1" t="n">
        <v>27409</v>
      </c>
      <c r="B27410">
        <f>TEXT(27409, "[$-0E0000]yyyy-mm-dd")</f>
        <v/>
      </c>
      <c r="C27410" t="inlineStr">
        <is>
          <t>1974-12-05</t>
        </is>
      </c>
    </row>
    <row r="27411">
      <c r="A27411" s="1" t="n">
        <v>27410</v>
      </c>
      <c r="B27411">
        <f>TEXT(27410, "[$-0E0000]yyyy-mm-dd")</f>
        <v/>
      </c>
      <c r="C27411" t="inlineStr">
        <is>
          <t>1974-12-06</t>
        </is>
      </c>
    </row>
    <row r="27412">
      <c r="A27412" s="1" t="n">
        <v>27411</v>
      </c>
      <c r="B27412">
        <f>TEXT(27411, "[$-0E0000]yyyy-mm-dd")</f>
        <v/>
      </c>
      <c r="C27412" t="inlineStr">
        <is>
          <t>1974-12-07</t>
        </is>
      </c>
    </row>
    <row r="27413">
      <c r="A27413" s="1" t="n">
        <v>27412</v>
      </c>
      <c r="B27413">
        <f>TEXT(27412, "[$-0E0000]yyyy-mm-dd")</f>
        <v/>
      </c>
      <c r="C27413" t="inlineStr">
        <is>
          <t>1974-12-08</t>
        </is>
      </c>
    </row>
    <row r="27414">
      <c r="A27414" s="1" t="n">
        <v>27413</v>
      </c>
      <c r="B27414">
        <f>TEXT(27413, "[$-0E0000]yyyy-mm-dd")</f>
        <v/>
      </c>
      <c r="C27414" t="inlineStr">
        <is>
          <t>1974-12-09</t>
        </is>
      </c>
    </row>
    <row r="27415">
      <c r="A27415" s="1" t="n">
        <v>27414</v>
      </c>
      <c r="B27415">
        <f>TEXT(27414, "[$-0E0000]yyyy-mm-dd")</f>
        <v/>
      </c>
      <c r="C27415" t="inlineStr">
        <is>
          <t>1974-12-10</t>
        </is>
      </c>
    </row>
    <row r="27416">
      <c r="A27416" s="1" t="n">
        <v>27415</v>
      </c>
      <c r="B27416">
        <f>TEXT(27415, "[$-0E0000]yyyy-mm-dd")</f>
        <v/>
      </c>
      <c r="C27416" t="inlineStr">
        <is>
          <t>1974-12-11</t>
        </is>
      </c>
    </row>
    <row r="27417">
      <c r="A27417" s="1" t="n">
        <v>27416</v>
      </c>
      <c r="B27417">
        <f>TEXT(27416, "[$-0E0000]yyyy-mm-dd")</f>
        <v/>
      </c>
      <c r="C27417" t="inlineStr">
        <is>
          <t>1974-12-12</t>
        </is>
      </c>
    </row>
    <row r="27418">
      <c r="A27418" s="1" t="n">
        <v>27417</v>
      </c>
      <c r="B27418">
        <f>TEXT(27417, "[$-0E0000]yyyy-mm-dd")</f>
        <v/>
      </c>
      <c r="C27418" t="inlineStr">
        <is>
          <t>1974-12-13</t>
        </is>
      </c>
    </row>
    <row r="27419">
      <c r="A27419" s="1" t="n">
        <v>27418</v>
      </c>
      <c r="B27419">
        <f>TEXT(27418, "[$-0E0000]yyyy-mm-dd")</f>
        <v/>
      </c>
      <c r="C27419" t="inlineStr">
        <is>
          <t>1974-12-14</t>
        </is>
      </c>
    </row>
    <row r="27420">
      <c r="A27420" s="1" t="n">
        <v>27419</v>
      </c>
      <c r="B27420">
        <f>TEXT(27419, "[$-0E0000]yyyy-mm-dd")</f>
        <v/>
      </c>
      <c r="C27420" t="inlineStr">
        <is>
          <t>1974-12-15</t>
        </is>
      </c>
    </row>
    <row r="27421">
      <c r="A27421" s="1" t="n">
        <v>27420</v>
      </c>
      <c r="B27421">
        <f>TEXT(27420, "[$-0E0000]yyyy-mm-dd")</f>
        <v/>
      </c>
      <c r="C27421" t="inlineStr">
        <is>
          <t>1974-12-16</t>
        </is>
      </c>
    </row>
    <row r="27422">
      <c r="A27422" s="1" t="n">
        <v>27421</v>
      </c>
      <c r="B27422">
        <f>TEXT(27421, "[$-0E0000]yyyy-mm-dd")</f>
        <v/>
      </c>
      <c r="C27422" t="inlineStr">
        <is>
          <t>1974-12-17</t>
        </is>
      </c>
    </row>
    <row r="27423">
      <c r="A27423" s="1" t="n">
        <v>27422</v>
      </c>
      <c r="B27423">
        <f>TEXT(27422, "[$-0E0000]yyyy-mm-dd")</f>
        <v/>
      </c>
      <c r="C27423" t="inlineStr">
        <is>
          <t>1974-12-18</t>
        </is>
      </c>
    </row>
    <row r="27424">
      <c r="A27424" s="1" t="n">
        <v>27423</v>
      </c>
      <c r="B27424">
        <f>TEXT(27423, "[$-0E0000]yyyy-mm-dd")</f>
        <v/>
      </c>
      <c r="C27424" t="inlineStr">
        <is>
          <t>1974-12-19</t>
        </is>
      </c>
    </row>
    <row r="27425">
      <c r="A27425" s="1" t="n">
        <v>27424</v>
      </c>
      <c r="B27425">
        <f>TEXT(27424, "[$-0E0000]yyyy-mm-dd")</f>
        <v/>
      </c>
      <c r="C27425" t="inlineStr">
        <is>
          <t>1974-12-20</t>
        </is>
      </c>
    </row>
    <row r="27426">
      <c r="A27426" s="1" t="n">
        <v>27425</v>
      </c>
      <c r="B27426">
        <f>TEXT(27425, "[$-0E0000]yyyy-mm-dd")</f>
        <v/>
      </c>
      <c r="C27426" t="inlineStr">
        <is>
          <t>1974-12-21</t>
        </is>
      </c>
    </row>
    <row r="27427">
      <c r="A27427" s="1" t="n">
        <v>27426</v>
      </c>
      <c r="B27427">
        <f>TEXT(27426, "[$-0E0000]yyyy-mm-dd")</f>
        <v/>
      </c>
      <c r="C27427" t="inlineStr">
        <is>
          <t>1974-12-22</t>
        </is>
      </c>
    </row>
    <row r="27428">
      <c r="A27428" s="1" t="n">
        <v>27427</v>
      </c>
      <c r="B27428">
        <f>TEXT(27427, "[$-0E0000]yyyy-mm-dd")</f>
        <v/>
      </c>
      <c r="C27428" t="inlineStr">
        <is>
          <t>1974-12-23</t>
        </is>
      </c>
    </row>
    <row r="27429">
      <c r="A27429" s="1" t="n">
        <v>27428</v>
      </c>
      <c r="B27429">
        <f>TEXT(27428, "[$-0E0000]yyyy-mm-dd")</f>
        <v/>
      </c>
      <c r="C27429" t="inlineStr">
        <is>
          <t>1974-12-24</t>
        </is>
      </c>
    </row>
    <row r="27430">
      <c r="A27430" s="1" t="n">
        <v>27429</v>
      </c>
      <c r="B27430">
        <f>TEXT(27429, "[$-0E0000]yyyy-mm-dd")</f>
        <v/>
      </c>
      <c r="C27430" t="inlineStr">
        <is>
          <t>1974-12-25</t>
        </is>
      </c>
    </row>
    <row r="27431">
      <c r="A27431" s="1" t="n">
        <v>27430</v>
      </c>
      <c r="B27431">
        <f>TEXT(27430, "[$-0E0000]yyyy-mm-dd")</f>
        <v/>
      </c>
      <c r="C27431" t="inlineStr">
        <is>
          <t>1974-12-26</t>
        </is>
      </c>
    </row>
    <row r="27432">
      <c r="A27432" s="1" t="n">
        <v>27431</v>
      </c>
      <c r="B27432">
        <f>TEXT(27431, "[$-0E0000]yyyy-mm-dd")</f>
        <v/>
      </c>
      <c r="C27432" t="inlineStr">
        <is>
          <t>1974-12-27</t>
        </is>
      </c>
    </row>
    <row r="27433">
      <c r="A27433" s="1" t="n">
        <v>27432</v>
      </c>
      <c r="B27433">
        <f>TEXT(27432, "[$-0E0000]yyyy-mm-dd")</f>
        <v/>
      </c>
      <c r="C27433" t="inlineStr">
        <is>
          <t>1974-12-28</t>
        </is>
      </c>
    </row>
    <row r="27434">
      <c r="A27434" s="1" t="n">
        <v>27433</v>
      </c>
      <c r="B27434">
        <f>TEXT(27433, "[$-0E0000]yyyy-mm-dd")</f>
        <v/>
      </c>
      <c r="C27434" t="inlineStr">
        <is>
          <t>1974-12-29</t>
        </is>
      </c>
    </row>
    <row r="27435">
      <c r="A27435" s="1" t="n">
        <v>27434</v>
      </c>
      <c r="B27435">
        <f>TEXT(27434, "[$-0E0000]yyyy-mm-dd")</f>
        <v/>
      </c>
      <c r="C27435" t="inlineStr">
        <is>
          <t>1974-12-30</t>
        </is>
      </c>
    </row>
    <row r="27436">
      <c r="A27436" s="1" t="n">
        <v>27435</v>
      </c>
      <c r="B27436">
        <f>TEXT(27435, "[$-0E0000]yyyy-mm-dd")</f>
        <v/>
      </c>
      <c r="C27436" t="inlineStr">
        <is>
          <t>1975-01-01</t>
        </is>
      </c>
    </row>
    <row r="27437">
      <c r="A27437" s="1" t="n">
        <v>27436</v>
      </c>
      <c r="B27437">
        <f>TEXT(27436, "[$-0E0000]yyyy-mm-dd")</f>
        <v/>
      </c>
      <c r="C27437" t="inlineStr">
        <is>
          <t>1975-01-02</t>
        </is>
      </c>
    </row>
    <row r="27438">
      <c r="A27438" s="1" t="n">
        <v>27437</v>
      </c>
      <c r="B27438">
        <f>TEXT(27437, "[$-0E0000]yyyy-mm-dd")</f>
        <v/>
      </c>
      <c r="C27438" t="inlineStr">
        <is>
          <t>1975-01-03</t>
        </is>
      </c>
    </row>
    <row r="27439">
      <c r="A27439" s="1" t="n">
        <v>27438</v>
      </c>
      <c r="B27439">
        <f>TEXT(27438, "[$-0E0000]yyyy-mm-dd")</f>
        <v/>
      </c>
      <c r="C27439" t="inlineStr">
        <is>
          <t>1975-01-04</t>
        </is>
      </c>
    </row>
    <row r="27440">
      <c r="A27440" s="1" t="n">
        <v>27439</v>
      </c>
      <c r="B27440">
        <f>TEXT(27439, "[$-0E0000]yyyy-mm-dd")</f>
        <v/>
      </c>
      <c r="C27440" t="inlineStr">
        <is>
          <t>1975-01-05</t>
        </is>
      </c>
    </row>
    <row r="27441">
      <c r="A27441" s="1" t="n">
        <v>27440</v>
      </c>
      <c r="B27441">
        <f>TEXT(27440, "[$-0E0000]yyyy-mm-dd")</f>
        <v/>
      </c>
      <c r="C27441" t="inlineStr">
        <is>
          <t>1975-01-06</t>
        </is>
      </c>
    </row>
    <row r="27442">
      <c r="A27442" s="1" t="n">
        <v>27441</v>
      </c>
      <c r="B27442">
        <f>TEXT(27441, "[$-0E0000]yyyy-mm-dd")</f>
        <v/>
      </c>
      <c r="C27442" t="inlineStr">
        <is>
          <t>1975-01-07</t>
        </is>
      </c>
    </row>
    <row r="27443">
      <c r="A27443" s="1" t="n">
        <v>27442</v>
      </c>
      <c r="B27443">
        <f>TEXT(27442, "[$-0E0000]yyyy-mm-dd")</f>
        <v/>
      </c>
      <c r="C27443" t="inlineStr">
        <is>
          <t>1975-01-08</t>
        </is>
      </c>
    </row>
    <row r="27444">
      <c r="A27444" s="1" t="n">
        <v>27443</v>
      </c>
      <c r="B27444">
        <f>TEXT(27443, "[$-0E0000]yyyy-mm-dd")</f>
        <v/>
      </c>
      <c r="C27444" t="inlineStr">
        <is>
          <t>1975-01-09</t>
        </is>
      </c>
    </row>
    <row r="27445">
      <c r="A27445" s="1" t="n">
        <v>27444</v>
      </c>
      <c r="B27445">
        <f>TEXT(27444, "[$-0E0000]yyyy-mm-dd")</f>
        <v/>
      </c>
      <c r="C27445" t="inlineStr">
        <is>
          <t>1975-01-10</t>
        </is>
      </c>
    </row>
    <row r="27446">
      <c r="A27446" s="1" t="n">
        <v>27445</v>
      </c>
      <c r="B27446">
        <f>TEXT(27445, "[$-0E0000]yyyy-mm-dd")</f>
        <v/>
      </c>
      <c r="C27446" t="inlineStr">
        <is>
          <t>1975-01-11</t>
        </is>
      </c>
    </row>
    <row r="27447">
      <c r="A27447" s="1" t="n">
        <v>27446</v>
      </c>
      <c r="B27447">
        <f>TEXT(27446, "[$-0E0000]yyyy-mm-dd")</f>
        <v/>
      </c>
      <c r="C27447" t="inlineStr">
        <is>
          <t>1975-01-12</t>
        </is>
      </c>
    </row>
    <row r="27448">
      <c r="A27448" s="1" t="n">
        <v>27447</v>
      </c>
      <c r="B27448">
        <f>TEXT(27447, "[$-0E0000]yyyy-mm-dd")</f>
        <v/>
      </c>
      <c r="C27448" t="inlineStr">
        <is>
          <t>1975-01-13</t>
        </is>
      </c>
    </row>
    <row r="27449">
      <c r="A27449" s="1" t="n">
        <v>27448</v>
      </c>
      <c r="B27449">
        <f>TEXT(27448, "[$-0E0000]yyyy-mm-dd")</f>
        <v/>
      </c>
      <c r="C27449" t="inlineStr">
        <is>
          <t>1975-01-14</t>
        </is>
      </c>
    </row>
    <row r="27450">
      <c r="A27450" s="1" t="n">
        <v>27449</v>
      </c>
      <c r="B27450">
        <f>TEXT(27449, "[$-0E0000]yyyy-mm-dd")</f>
        <v/>
      </c>
      <c r="C27450" t="inlineStr">
        <is>
          <t>1975-01-15</t>
        </is>
      </c>
    </row>
    <row r="27451">
      <c r="A27451" s="1" t="n">
        <v>27450</v>
      </c>
      <c r="B27451">
        <f>TEXT(27450, "[$-0E0000]yyyy-mm-dd")</f>
        <v/>
      </c>
      <c r="C27451" t="inlineStr">
        <is>
          <t>1975-01-16</t>
        </is>
      </c>
    </row>
    <row r="27452">
      <c r="A27452" s="1" t="n">
        <v>27451</v>
      </c>
      <c r="B27452">
        <f>TEXT(27451, "[$-0E0000]yyyy-mm-dd")</f>
        <v/>
      </c>
      <c r="C27452" t="inlineStr">
        <is>
          <t>1975-01-17</t>
        </is>
      </c>
    </row>
    <row r="27453">
      <c r="A27453" s="1" t="n">
        <v>27452</v>
      </c>
      <c r="B27453">
        <f>TEXT(27452, "[$-0E0000]yyyy-mm-dd")</f>
        <v/>
      </c>
      <c r="C27453" t="inlineStr">
        <is>
          <t>1975-01-18</t>
        </is>
      </c>
    </row>
    <row r="27454">
      <c r="A27454" s="1" t="n">
        <v>27453</v>
      </c>
      <c r="B27454">
        <f>TEXT(27453, "[$-0E0000]yyyy-mm-dd")</f>
        <v/>
      </c>
      <c r="C27454" t="inlineStr">
        <is>
          <t>1975-01-19</t>
        </is>
      </c>
    </row>
    <row r="27455">
      <c r="A27455" s="1" t="n">
        <v>27454</v>
      </c>
      <c r="B27455">
        <f>TEXT(27454, "[$-0E0000]yyyy-mm-dd")</f>
        <v/>
      </c>
      <c r="C27455" t="inlineStr">
        <is>
          <t>1975-01-20</t>
        </is>
      </c>
    </row>
    <row r="27456">
      <c r="A27456" s="1" t="n">
        <v>27455</v>
      </c>
      <c r="B27456">
        <f>TEXT(27455, "[$-0E0000]yyyy-mm-dd")</f>
        <v/>
      </c>
      <c r="C27456" t="inlineStr">
        <is>
          <t>1975-01-21</t>
        </is>
      </c>
    </row>
    <row r="27457">
      <c r="A27457" s="1" t="n">
        <v>27456</v>
      </c>
      <c r="B27457">
        <f>TEXT(27456, "[$-0E0000]yyyy-mm-dd")</f>
        <v/>
      </c>
      <c r="C27457" t="inlineStr">
        <is>
          <t>1975-01-22</t>
        </is>
      </c>
    </row>
    <row r="27458">
      <c r="A27458" s="1" t="n">
        <v>27457</v>
      </c>
      <c r="B27458">
        <f>TEXT(27457, "[$-0E0000]yyyy-mm-dd")</f>
        <v/>
      </c>
      <c r="C27458" t="inlineStr">
        <is>
          <t>1975-01-23</t>
        </is>
      </c>
    </row>
    <row r="27459">
      <c r="A27459" s="1" t="n">
        <v>27458</v>
      </c>
      <c r="B27459">
        <f>TEXT(27458, "[$-0E0000]yyyy-mm-dd")</f>
        <v/>
      </c>
      <c r="C27459" t="inlineStr">
        <is>
          <t>1975-01-24</t>
        </is>
      </c>
    </row>
    <row r="27460">
      <c r="A27460" s="1" t="n">
        <v>27459</v>
      </c>
      <c r="B27460">
        <f>TEXT(27459, "[$-0E0000]yyyy-mm-dd")</f>
        <v/>
      </c>
      <c r="C27460" t="inlineStr">
        <is>
          <t>1975-01-25</t>
        </is>
      </c>
    </row>
    <row r="27461">
      <c r="A27461" s="1" t="n">
        <v>27460</v>
      </c>
      <c r="B27461">
        <f>TEXT(27460, "[$-0E0000]yyyy-mm-dd")</f>
        <v/>
      </c>
      <c r="C27461" t="inlineStr">
        <is>
          <t>1975-01-26</t>
        </is>
      </c>
    </row>
    <row r="27462">
      <c r="A27462" s="1" t="n">
        <v>27461</v>
      </c>
      <c r="B27462">
        <f>TEXT(27461, "[$-0E0000]yyyy-mm-dd")</f>
        <v/>
      </c>
      <c r="C27462" t="inlineStr">
        <is>
          <t>1975-01-27</t>
        </is>
      </c>
    </row>
    <row r="27463">
      <c r="A27463" s="1" t="n">
        <v>27462</v>
      </c>
      <c r="B27463">
        <f>TEXT(27462, "[$-0E0000]yyyy-mm-dd")</f>
        <v/>
      </c>
      <c r="C27463" t="inlineStr">
        <is>
          <t>1975-01-28</t>
        </is>
      </c>
    </row>
    <row r="27464">
      <c r="A27464" s="1" t="n">
        <v>27463</v>
      </c>
      <c r="B27464">
        <f>TEXT(27463, "[$-0E0000]yyyy-mm-dd")</f>
        <v/>
      </c>
      <c r="C27464" t="inlineStr">
        <is>
          <t>1975-01-29</t>
        </is>
      </c>
    </row>
    <row r="27465">
      <c r="A27465" s="1" t="n">
        <v>27464</v>
      </c>
      <c r="B27465">
        <f>TEXT(27464, "[$-0E0000]yyyy-mm-dd")</f>
        <v/>
      </c>
      <c r="C27465" t="inlineStr">
        <is>
          <t>1975-01-30</t>
        </is>
      </c>
    </row>
    <row r="27466">
      <c r="A27466" s="1" t="n">
        <v>27465</v>
      </c>
      <c r="B27466">
        <f>TEXT(27465, "[$-0E0000]yyyy-mm-dd")</f>
        <v/>
      </c>
      <c r="C27466" t="inlineStr">
        <is>
          <t>1975-02-01</t>
        </is>
      </c>
    </row>
    <row r="27467">
      <c r="A27467" s="1" t="n">
        <v>27466</v>
      </c>
      <c r="B27467">
        <f>TEXT(27466, "[$-0E0000]yyyy-mm-dd")</f>
        <v/>
      </c>
      <c r="C27467" t="inlineStr">
        <is>
          <t>1975-02-02</t>
        </is>
      </c>
    </row>
    <row r="27468">
      <c r="A27468" s="1" t="n">
        <v>27467</v>
      </c>
      <c r="B27468">
        <f>TEXT(27467, "[$-0E0000]yyyy-mm-dd")</f>
        <v/>
      </c>
      <c r="C27468" t="inlineStr">
        <is>
          <t>1975-02-03</t>
        </is>
      </c>
    </row>
    <row r="27469">
      <c r="A27469" s="1" t="n">
        <v>27468</v>
      </c>
      <c r="B27469">
        <f>TEXT(27468, "[$-0E0000]yyyy-mm-dd")</f>
        <v/>
      </c>
      <c r="C27469" t="inlineStr">
        <is>
          <t>1975-02-04</t>
        </is>
      </c>
    </row>
    <row r="27470">
      <c r="A27470" s="1" t="n">
        <v>27469</v>
      </c>
      <c r="B27470">
        <f>TEXT(27469, "[$-0E0000]yyyy-mm-dd")</f>
        <v/>
      </c>
      <c r="C27470" t="inlineStr">
        <is>
          <t>1975-02-05</t>
        </is>
      </c>
    </row>
    <row r="27471">
      <c r="A27471" s="1" t="n">
        <v>27470</v>
      </c>
      <c r="B27471">
        <f>TEXT(27470, "[$-0E0000]yyyy-mm-dd")</f>
        <v/>
      </c>
      <c r="C27471" t="inlineStr">
        <is>
          <t>1975-02-06</t>
        </is>
      </c>
    </row>
    <row r="27472">
      <c r="A27472" s="1" t="n">
        <v>27471</v>
      </c>
      <c r="B27472">
        <f>TEXT(27471, "[$-0E0000]yyyy-mm-dd")</f>
        <v/>
      </c>
      <c r="C27472" t="inlineStr">
        <is>
          <t>1975-02-07</t>
        </is>
      </c>
    </row>
    <row r="27473">
      <c r="A27473" s="1" t="n">
        <v>27472</v>
      </c>
      <c r="B27473">
        <f>TEXT(27472, "[$-0E0000]yyyy-mm-dd")</f>
        <v/>
      </c>
      <c r="C27473" t="inlineStr">
        <is>
          <t>1975-02-08</t>
        </is>
      </c>
    </row>
    <row r="27474">
      <c r="A27474" s="1" t="n">
        <v>27473</v>
      </c>
      <c r="B27474">
        <f>TEXT(27473, "[$-0E0000]yyyy-mm-dd")</f>
        <v/>
      </c>
      <c r="C27474" t="inlineStr">
        <is>
          <t>1975-02-09</t>
        </is>
      </c>
    </row>
    <row r="27475">
      <c r="A27475" s="1" t="n">
        <v>27474</v>
      </c>
      <c r="B27475">
        <f>TEXT(27474, "[$-0E0000]yyyy-mm-dd")</f>
        <v/>
      </c>
      <c r="C27475" t="inlineStr">
        <is>
          <t>1975-02-10</t>
        </is>
      </c>
    </row>
    <row r="27476">
      <c r="A27476" s="1" t="n">
        <v>27475</v>
      </c>
      <c r="B27476">
        <f>TEXT(27475, "[$-0E0000]yyyy-mm-dd")</f>
        <v/>
      </c>
      <c r="C27476" t="inlineStr">
        <is>
          <t>1975-02-11</t>
        </is>
      </c>
    </row>
    <row r="27477">
      <c r="A27477" s="1" t="n">
        <v>27476</v>
      </c>
      <c r="B27477">
        <f>TEXT(27476, "[$-0E0000]yyyy-mm-dd")</f>
        <v/>
      </c>
      <c r="C27477" t="inlineStr">
        <is>
          <t>1975-02-12</t>
        </is>
      </c>
    </row>
    <row r="27478">
      <c r="A27478" s="1" t="n">
        <v>27477</v>
      </c>
      <c r="B27478">
        <f>TEXT(27477, "[$-0E0000]yyyy-mm-dd")</f>
        <v/>
      </c>
      <c r="C27478" t="inlineStr">
        <is>
          <t>1975-02-13</t>
        </is>
      </c>
    </row>
    <row r="27479">
      <c r="A27479" s="1" t="n">
        <v>27478</v>
      </c>
      <c r="B27479">
        <f>TEXT(27478, "[$-0E0000]yyyy-mm-dd")</f>
        <v/>
      </c>
      <c r="C27479" t="inlineStr">
        <is>
          <t>1975-02-14</t>
        </is>
      </c>
    </row>
    <row r="27480">
      <c r="A27480" s="1" t="n">
        <v>27479</v>
      </c>
      <c r="B27480">
        <f>TEXT(27479, "[$-0E0000]yyyy-mm-dd")</f>
        <v/>
      </c>
      <c r="C27480" t="inlineStr">
        <is>
          <t>1975-02-15</t>
        </is>
      </c>
    </row>
    <row r="27481">
      <c r="A27481" s="1" t="n">
        <v>27480</v>
      </c>
      <c r="B27481">
        <f>TEXT(27480, "[$-0E0000]yyyy-mm-dd")</f>
        <v/>
      </c>
      <c r="C27481" t="inlineStr">
        <is>
          <t>1975-02-16</t>
        </is>
      </c>
    </row>
    <row r="27482">
      <c r="A27482" s="1" t="n">
        <v>27481</v>
      </c>
      <c r="B27482">
        <f>TEXT(27481, "[$-0E0000]yyyy-mm-dd")</f>
        <v/>
      </c>
      <c r="C27482" t="inlineStr">
        <is>
          <t>1975-02-17</t>
        </is>
      </c>
    </row>
    <row r="27483">
      <c r="A27483" s="1" t="n">
        <v>27482</v>
      </c>
      <c r="B27483">
        <f>TEXT(27482, "[$-0E0000]yyyy-mm-dd")</f>
        <v/>
      </c>
      <c r="C27483" t="inlineStr">
        <is>
          <t>1975-02-18</t>
        </is>
      </c>
    </row>
    <row r="27484">
      <c r="A27484" s="1" t="n">
        <v>27483</v>
      </c>
      <c r="B27484">
        <f>TEXT(27483, "[$-0E0000]yyyy-mm-dd")</f>
        <v/>
      </c>
      <c r="C27484" t="inlineStr">
        <is>
          <t>1975-02-19</t>
        </is>
      </c>
    </row>
    <row r="27485">
      <c r="A27485" s="1" t="n">
        <v>27484</v>
      </c>
      <c r="B27485">
        <f>TEXT(27484, "[$-0E0000]yyyy-mm-dd")</f>
        <v/>
      </c>
      <c r="C27485" t="inlineStr">
        <is>
          <t>1975-02-20</t>
        </is>
      </c>
    </row>
    <row r="27486">
      <c r="A27486" s="1" t="n">
        <v>27485</v>
      </c>
      <c r="B27486">
        <f>TEXT(27485, "[$-0E0000]yyyy-mm-dd")</f>
        <v/>
      </c>
      <c r="C27486" t="inlineStr">
        <is>
          <t>1975-02-21</t>
        </is>
      </c>
    </row>
    <row r="27487">
      <c r="A27487" s="1" t="n">
        <v>27486</v>
      </c>
      <c r="B27487">
        <f>TEXT(27486, "[$-0E0000]yyyy-mm-dd")</f>
        <v/>
      </c>
      <c r="C27487" t="inlineStr">
        <is>
          <t>1975-02-22</t>
        </is>
      </c>
    </row>
    <row r="27488">
      <c r="A27488" s="1" t="n">
        <v>27487</v>
      </c>
      <c r="B27488">
        <f>TEXT(27487, "[$-0E0000]yyyy-mm-dd")</f>
        <v/>
      </c>
      <c r="C27488" t="inlineStr">
        <is>
          <t>1975-02-23</t>
        </is>
      </c>
    </row>
    <row r="27489">
      <c r="A27489" s="1" t="n">
        <v>27488</v>
      </c>
      <c r="B27489">
        <f>TEXT(27488, "[$-0E0000]yyyy-mm-dd")</f>
        <v/>
      </c>
      <c r="C27489" t="inlineStr">
        <is>
          <t>1975-02-24</t>
        </is>
      </c>
    </row>
    <row r="27490">
      <c r="A27490" s="1" t="n">
        <v>27489</v>
      </c>
      <c r="B27490">
        <f>TEXT(27489, "[$-0E0000]yyyy-mm-dd")</f>
        <v/>
      </c>
      <c r="C27490" t="inlineStr">
        <is>
          <t>1975-02-25</t>
        </is>
      </c>
    </row>
    <row r="27491">
      <c r="A27491" s="1" t="n">
        <v>27490</v>
      </c>
      <c r="B27491">
        <f>TEXT(27490, "[$-0E0000]yyyy-mm-dd")</f>
        <v/>
      </c>
      <c r="C27491" t="inlineStr">
        <is>
          <t>1975-02-26</t>
        </is>
      </c>
    </row>
    <row r="27492">
      <c r="A27492" s="1" t="n">
        <v>27491</v>
      </c>
      <c r="B27492">
        <f>TEXT(27491, "[$-0E0000]yyyy-mm-dd")</f>
        <v/>
      </c>
      <c r="C27492" t="inlineStr">
        <is>
          <t>1975-02-27</t>
        </is>
      </c>
    </row>
    <row r="27493">
      <c r="A27493" s="1" t="n">
        <v>27492</v>
      </c>
      <c r="B27493">
        <f>TEXT(27492, "[$-0E0000]yyyy-mm-dd")</f>
        <v/>
      </c>
      <c r="C27493" t="inlineStr">
        <is>
          <t>1975-02-28</t>
        </is>
      </c>
    </row>
    <row r="27494">
      <c r="A27494" s="1" t="n">
        <v>27493</v>
      </c>
      <c r="B27494">
        <f>TEXT(27493, "[$-0E0000]yyyy-mm-dd")</f>
        <v/>
      </c>
      <c r="C27494" t="inlineStr">
        <is>
          <t>1975-02-29</t>
        </is>
      </c>
    </row>
    <row r="27495">
      <c r="A27495" s="1" t="n">
        <v>27494</v>
      </c>
      <c r="B27495">
        <f>TEXT(27494, "[$-0E0000]yyyy-mm-dd")</f>
        <v/>
      </c>
      <c r="C27495" t="inlineStr">
        <is>
          <t>1975-02-30</t>
        </is>
      </c>
    </row>
    <row r="27496">
      <c r="A27496" s="1" t="n">
        <v>27495</v>
      </c>
      <c r="B27496">
        <f>TEXT(27495, "[$-0E0000]yyyy-mm-dd")</f>
        <v/>
      </c>
      <c r="C27496" t="inlineStr">
        <is>
          <t>1975-03-01</t>
        </is>
      </c>
    </row>
    <row r="27497">
      <c r="A27497" s="1" t="n">
        <v>27496</v>
      </c>
      <c r="B27497">
        <f>TEXT(27496, "[$-0E0000]yyyy-mm-dd")</f>
        <v/>
      </c>
      <c r="C27497" t="inlineStr">
        <is>
          <t>1975-03-02</t>
        </is>
      </c>
    </row>
    <row r="27498">
      <c r="A27498" s="1" t="n">
        <v>27497</v>
      </c>
      <c r="B27498">
        <f>TEXT(27497, "[$-0E0000]yyyy-mm-dd")</f>
        <v/>
      </c>
      <c r="C27498" t="inlineStr">
        <is>
          <t>1975-03-03</t>
        </is>
      </c>
    </row>
    <row r="27499">
      <c r="A27499" s="1" t="n">
        <v>27498</v>
      </c>
      <c r="B27499">
        <f>TEXT(27498, "[$-0E0000]yyyy-mm-dd")</f>
        <v/>
      </c>
      <c r="C27499" t="inlineStr">
        <is>
          <t>1975-03-04</t>
        </is>
      </c>
    </row>
    <row r="27500">
      <c r="A27500" s="1" t="n">
        <v>27499</v>
      </c>
      <c r="B27500">
        <f>TEXT(27499, "[$-0E0000]yyyy-mm-dd")</f>
        <v/>
      </c>
      <c r="C27500" t="inlineStr">
        <is>
          <t>1975-03-05</t>
        </is>
      </c>
    </row>
    <row r="27501">
      <c r="A27501" s="1" t="n">
        <v>27500</v>
      </c>
      <c r="B27501">
        <f>TEXT(27500, "[$-0E0000]yyyy-mm-dd")</f>
        <v/>
      </c>
      <c r="C27501" t="inlineStr">
        <is>
          <t>1975-03-06</t>
        </is>
      </c>
    </row>
    <row r="27502">
      <c r="A27502" s="1" t="n">
        <v>27501</v>
      </c>
      <c r="B27502">
        <f>TEXT(27501, "[$-0E0000]yyyy-mm-dd")</f>
        <v/>
      </c>
      <c r="C27502" t="inlineStr">
        <is>
          <t>1975-03-07</t>
        </is>
      </c>
    </row>
    <row r="27503">
      <c r="A27503" s="1" t="n">
        <v>27502</v>
      </c>
      <c r="B27503">
        <f>TEXT(27502, "[$-0E0000]yyyy-mm-dd")</f>
        <v/>
      </c>
      <c r="C27503" t="inlineStr">
        <is>
          <t>1975-03-08</t>
        </is>
      </c>
    </row>
    <row r="27504">
      <c r="A27504" s="1" t="n">
        <v>27503</v>
      </c>
      <c r="B27504">
        <f>TEXT(27503, "[$-0E0000]yyyy-mm-dd")</f>
        <v/>
      </c>
      <c r="C27504" t="inlineStr">
        <is>
          <t>1975-03-09</t>
        </is>
      </c>
    </row>
    <row r="27505">
      <c r="A27505" s="1" t="n">
        <v>27504</v>
      </c>
      <c r="B27505">
        <f>TEXT(27504, "[$-0E0000]yyyy-mm-dd")</f>
        <v/>
      </c>
      <c r="C27505" t="inlineStr">
        <is>
          <t>1975-03-10</t>
        </is>
      </c>
    </row>
    <row r="27506">
      <c r="A27506" s="1" t="n">
        <v>27505</v>
      </c>
      <c r="B27506">
        <f>TEXT(27505, "[$-0E0000]yyyy-mm-dd")</f>
        <v/>
      </c>
      <c r="C27506" t="inlineStr">
        <is>
          <t>1975-03-11</t>
        </is>
      </c>
    </row>
    <row r="27507">
      <c r="A27507" s="1" t="n">
        <v>27506</v>
      </c>
      <c r="B27507">
        <f>TEXT(27506, "[$-0E0000]yyyy-mm-dd")</f>
        <v/>
      </c>
      <c r="C27507" t="inlineStr">
        <is>
          <t>1975-03-12</t>
        </is>
      </c>
    </row>
    <row r="27508">
      <c r="A27508" s="1" t="n">
        <v>27507</v>
      </c>
      <c r="B27508">
        <f>TEXT(27507, "[$-0E0000]yyyy-mm-dd")</f>
        <v/>
      </c>
      <c r="C27508" t="inlineStr">
        <is>
          <t>1975-03-13</t>
        </is>
      </c>
    </row>
    <row r="27509">
      <c r="A27509" s="1" t="n">
        <v>27508</v>
      </c>
      <c r="B27509">
        <f>TEXT(27508, "[$-0E0000]yyyy-mm-dd")</f>
        <v/>
      </c>
      <c r="C27509" t="inlineStr">
        <is>
          <t>1975-03-14</t>
        </is>
      </c>
    </row>
    <row r="27510">
      <c r="A27510" s="1" t="n">
        <v>27509</v>
      </c>
      <c r="B27510">
        <f>TEXT(27509, "[$-0E0000]yyyy-mm-dd")</f>
        <v/>
      </c>
      <c r="C27510" t="inlineStr">
        <is>
          <t>1975-03-15</t>
        </is>
      </c>
    </row>
    <row r="27511">
      <c r="A27511" s="1" t="n">
        <v>27510</v>
      </c>
      <c r="B27511">
        <f>TEXT(27510, "[$-0E0000]yyyy-mm-dd")</f>
        <v/>
      </c>
      <c r="C27511" t="inlineStr">
        <is>
          <t>1975-03-16</t>
        </is>
      </c>
    </row>
    <row r="27512">
      <c r="A27512" s="1" t="n">
        <v>27511</v>
      </c>
      <c r="B27512">
        <f>TEXT(27511, "[$-0E0000]yyyy-mm-dd")</f>
        <v/>
      </c>
      <c r="C27512" t="inlineStr">
        <is>
          <t>1975-03-17</t>
        </is>
      </c>
    </row>
    <row r="27513">
      <c r="A27513" s="1" t="n">
        <v>27512</v>
      </c>
      <c r="B27513">
        <f>TEXT(27512, "[$-0E0000]yyyy-mm-dd")</f>
        <v/>
      </c>
      <c r="C27513" t="inlineStr">
        <is>
          <t>1975-03-18</t>
        </is>
      </c>
    </row>
    <row r="27514">
      <c r="A27514" s="1" t="n">
        <v>27513</v>
      </c>
      <c r="B27514">
        <f>TEXT(27513, "[$-0E0000]yyyy-mm-dd")</f>
        <v/>
      </c>
      <c r="C27514" t="inlineStr">
        <is>
          <t>1975-03-19</t>
        </is>
      </c>
    </row>
    <row r="27515">
      <c r="A27515" s="1" t="n">
        <v>27514</v>
      </c>
      <c r="B27515">
        <f>TEXT(27514, "[$-0E0000]yyyy-mm-dd")</f>
        <v/>
      </c>
      <c r="C27515" t="inlineStr">
        <is>
          <t>1975-03-20</t>
        </is>
      </c>
    </row>
    <row r="27516">
      <c r="A27516" s="1" t="n">
        <v>27515</v>
      </c>
      <c r="B27516">
        <f>TEXT(27515, "[$-0E0000]yyyy-mm-dd")</f>
        <v/>
      </c>
      <c r="C27516" t="inlineStr">
        <is>
          <t>1975-03-21</t>
        </is>
      </c>
    </row>
    <row r="27517">
      <c r="A27517" s="1" t="n">
        <v>27516</v>
      </c>
      <c r="B27517">
        <f>TEXT(27516, "[$-0E0000]yyyy-mm-dd")</f>
        <v/>
      </c>
      <c r="C27517" t="inlineStr">
        <is>
          <t>1975-03-22</t>
        </is>
      </c>
    </row>
    <row r="27518">
      <c r="A27518" s="1" t="n">
        <v>27517</v>
      </c>
      <c r="B27518">
        <f>TEXT(27517, "[$-0E0000]yyyy-mm-dd")</f>
        <v/>
      </c>
      <c r="C27518" t="inlineStr">
        <is>
          <t>1975-03-23</t>
        </is>
      </c>
    </row>
    <row r="27519">
      <c r="A27519" s="1" t="n">
        <v>27518</v>
      </c>
      <c r="B27519">
        <f>TEXT(27518, "[$-0E0000]yyyy-mm-dd")</f>
        <v/>
      </c>
      <c r="C27519" t="inlineStr">
        <is>
          <t>1975-03-24</t>
        </is>
      </c>
    </row>
    <row r="27520">
      <c r="A27520" s="1" t="n">
        <v>27519</v>
      </c>
      <c r="B27520">
        <f>TEXT(27519, "[$-0E0000]yyyy-mm-dd")</f>
        <v/>
      </c>
      <c r="C27520" t="inlineStr">
        <is>
          <t>1975-03-25</t>
        </is>
      </c>
    </row>
    <row r="27521">
      <c r="A27521" s="1" t="n">
        <v>27520</v>
      </c>
      <c r="B27521">
        <f>TEXT(27520, "[$-0E0000]yyyy-mm-dd")</f>
        <v/>
      </c>
      <c r="C27521" t="inlineStr">
        <is>
          <t>1975-03-26</t>
        </is>
      </c>
    </row>
    <row r="27522">
      <c r="A27522" s="1" t="n">
        <v>27521</v>
      </c>
      <c r="B27522">
        <f>TEXT(27521, "[$-0E0000]yyyy-mm-dd")</f>
        <v/>
      </c>
      <c r="C27522" t="inlineStr">
        <is>
          <t>1975-03-27</t>
        </is>
      </c>
    </row>
    <row r="27523">
      <c r="A27523" s="1" t="n">
        <v>27522</v>
      </c>
      <c r="B27523">
        <f>TEXT(27522, "[$-0E0000]yyyy-mm-dd")</f>
        <v/>
      </c>
      <c r="C27523" t="inlineStr">
        <is>
          <t>1975-03-28</t>
        </is>
      </c>
    </row>
    <row r="27524">
      <c r="A27524" s="1" t="n">
        <v>27523</v>
      </c>
      <c r="B27524">
        <f>TEXT(27523, "[$-0E0000]yyyy-mm-dd")</f>
        <v/>
      </c>
      <c r="C27524" t="inlineStr">
        <is>
          <t>1975-03-29</t>
        </is>
      </c>
    </row>
    <row r="27525">
      <c r="A27525" s="1" t="n">
        <v>27524</v>
      </c>
      <c r="B27525">
        <f>TEXT(27524, "[$-0E0000]yyyy-mm-dd")</f>
        <v/>
      </c>
      <c r="C27525" t="inlineStr">
        <is>
          <t>1975-04-01</t>
        </is>
      </c>
    </row>
    <row r="27526">
      <c r="A27526" s="1" t="n">
        <v>27525</v>
      </c>
      <c r="B27526">
        <f>TEXT(27525, "[$-0E0000]yyyy-mm-dd")</f>
        <v/>
      </c>
      <c r="C27526" t="inlineStr">
        <is>
          <t>1975-04-02</t>
        </is>
      </c>
    </row>
    <row r="27527">
      <c r="A27527" s="1" t="n">
        <v>27526</v>
      </c>
      <c r="B27527">
        <f>TEXT(27526, "[$-0E0000]yyyy-mm-dd")</f>
        <v/>
      </c>
      <c r="C27527" t="inlineStr">
        <is>
          <t>1975-04-03</t>
        </is>
      </c>
    </row>
    <row r="27528">
      <c r="A27528" s="1" t="n">
        <v>27527</v>
      </c>
      <c r="B27528">
        <f>TEXT(27527, "[$-0E0000]yyyy-mm-dd")</f>
        <v/>
      </c>
      <c r="C27528" t="inlineStr">
        <is>
          <t>1975-04-04</t>
        </is>
      </c>
    </row>
    <row r="27529">
      <c r="A27529" s="1" t="n">
        <v>27528</v>
      </c>
      <c r="B27529">
        <f>TEXT(27528, "[$-0E0000]yyyy-mm-dd")</f>
        <v/>
      </c>
      <c r="C27529" t="inlineStr">
        <is>
          <t>1975-04-05</t>
        </is>
      </c>
    </row>
    <row r="27530">
      <c r="A27530" s="1" t="n">
        <v>27529</v>
      </c>
      <c r="B27530">
        <f>TEXT(27529, "[$-0E0000]yyyy-mm-dd")</f>
        <v/>
      </c>
      <c r="C27530" t="inlineStr">
        <is>
          <t>1975-04-06</t>
        </is>
      </c>
    </row>
    <row r="27531">
      <c r="A27531" s="1" t="n">
        <v>27530</v>
      </c>
      <c r="B27531">
        <f>TEXT(27530, "[$-0E0000]yyyy-mm-dd")</f>
        <v/>
      </c>
      <c r="C27531" t="inlineStr">
        <is>
          <t>1975-04-07</t>
        </is>
      </c>
    </row>
    <row r="27532">
      <c r="A27532" s="1" t="n">
        <v>27531</v>
      </c>
      <c r="B27532">
        <f>TEXT(27531, "[$-0E0000]yyyy-mm-dd")</f>
        <v/>
      </c>
      <c r="C27532" t="inlineStr">
        <is>
          <t>1975-04-08</t>
        </is>
      </c>
    </row>
    <row r="27533">
      <c r="A27533" s="1" t="n">
        <v>27532</v>
      </c>
      <c r="B27533">
        <f>TEXT(27532, "[$-0E0000]yyyy-mm-dd")</f>
        <v/>
      </c>
      <c r="C27533" t="inlineStr">
        <is>
          <t>1975-04-09</t>
        </is>
      </c>
    </row>
    <row r="27534">
      <c r="A27534" s="1" t="n">
        <v>27533</v>
      </c>
      <c r="B27534">
        <f>TEXT(27533, "[$-0E0000]yyyy-mm-dd")</f>
        <v/>
      </c>
      <c r="C27534" t="inlineStr">
        <is>
          <t>1975-04-10</t>
        </is>
      </c>
    </row>
    <row r="27535">
      <c r="A27535" s="1" t="n">
        <v>27534</v>
      </c>
      <c r="B27535">
        <f>TEXT(27534, "[$-0E0000]yyyy-mm-dd")</f>
        <v/>
      </c>
      <c r="C27535" t="inlineStr">
        <is>
          <t>1975-04-11</t>
        </is>
      </c>
    </row>
    <row r="27536">
      <c r="A27536" s="1" t="n">
        <v>27535</v>
      </c>
      <c r="B27536">
        <f>TEXT(27535, "[$-0E0000]yyyy-mm-dd")</f>
        <v/>
      </c>
      <c r="C27536" t="inlineStr">
        <is>
          <t>1975-04-12</t>
        </is>
      </c>
    </row>
    <row r="27537">
      <c r="A27537" s="1" t="n">
        <v>27536</v>
      </c>
      <c r="B27537">
        <f>TEXT(27536, "[$-0E0000]yyyy-mm-dd")</f>
        <v/>
      </c>
      <c r="C27537" t="inlineStr">
        <is>
          <t>1975-04-13</t>
        </is>
      </c>
    </row>
    <row r="27538">
      <c r="A27538" s="1" t="n">
        <v>27537</v>
      </c>
      <c r="B27538">
        <f>TEXT(27537, "[$-0E0000]yyyy-mm-dd")</f>
        <v/>
      </c>
      <c r="C27538" t="inlineStr">
        <is>
          <t>1975-04-14</t>
        </is>
      </c>
    </row>
    <row r="27539">
      <c r="A27539" s="1" t="n">
        <v>27538</v>
      </c>
      <c r="B27539">
        <f>TEXT(27538, "[$-0E0000]yyyy-mm-dd")</f>
        <v/>
      </c>
      <c r="C27539" t="inlineStr">
        <is>
          <t>1975-04-15</t>
        </is>
      </c>
    </row>
    <row r="27540">
      <c r="A27540" s="1" t="n">
        <v>27539</v>
      </c>
      <c r="B27540">
        <f>TEXT(27539, "[$-0E0000]yyyy-mm-dd")</f>
        <v/>
      </c>
      <c r="C27540" t="inlineStr">
        <is>
          <t>1975-04-16</t>
        </is>
      </c>
    </row>
    <row r="27541">
      <c r="A27541" s="1" t="n">
        <v>27540</v>
      </c>
      <c r="B27541">
        <f>TEXT(27540, "[$-0E0000]yyyy-mm-dd")</f>
        <v/>
      </c>
      <c r="C27541" t="inlineStr">
        <is>
          <t>1975-04-17</t>
        </is>
      </c>
    </row>
    <row r="27542">
      <c r="A27542" s="1" t="n">
        <v>27541</v>
      </c>
      <c r="B27542">
        <f>TEXT(27541, "[$-0E0000]yyyy-mm-dd")</f>
        <v/>
      </c>
      <c r="C27542" t="inlineStr">
        <is>
          <t>1975-04-18</t>
        </is>
      </c>
    </row>
    <row r="27543">
      <c r="A27543" s="1" t="n">
        <v>27542</v>
      </c>
      <c r="B27543">
        <f>TEXT(27542, "[$-0E0000]yyyy-mm-dd")</f>
        <v/>
      </c>
      <c r="C27543" t="inlineStr">
        <is>
          <t>1975-04-19</t>
        </is>
      </c>
    </row>
    <row r="27544">
      <c r="A27544" s="1" t="n">
        <v>27543</v>
      </c>
      <c r="B27544">
        <f>TEXT(27543, "[$-0E0000]yyyy-mm-dd")</f>
        <v/>
      </c>
      <c r="C27544" t="inlineStr">
        <is>
          <t>1975-04-20</t>
        </is>
      </c>
    </row>
    <row r="27545">
      <c r="A27545" s="1" t="n">
        <v>27544</v>
      </c>
      <c r="B27545">
        <f>TEXT(27544, "[$-0E0000]yyyy-mm-dd")</f>
        <v/>
      </c>
      <c r="C27545" t="inlineStr">
        <is>
          <t>1975-04-21</t>
        </is>
      </c>
    </row>
    <row r="27546">
      <c r="A27546" s="1" t="n">
        <v>27545</v>
      </c>
      <c r="B27546">
        <f>TEXT(27545, "[$-0E0000]yyyy-mm-dd")</f>
        <v/>
      </c>
      <c r="C27546" t="inlineStr">
        <is>
          <t>1975-04-22</t>
        </is>
      </c>
    </row>
    <row r="27547">
      <c r="A27547" s="1" t="n">
        <v>27546</v>
      </c>
      <c r="B27547">
        <f>TEXT(27546, "[$-0E0000]yyyy-mm-dd")</f>
        <v/>
      </c>
      <c r="C27547" t="inlineStr">
        <is>
          <t>1975-04-23</t>
        </is>
      </c>
    </row>
    <row r="27548">
      <c r="A27548" s="1" t="n">
        <v>27547</v>
      </c>
      <c r="B27548">
        <f>TEXT(27547, "[$-0E0000]yyyy-mm-dd")</f>
        <v/>
      </c>
      <c r="C27548" t="inlineStr">
        <is>
          <t>1975-04-24</t>
        </is>
      </c>
    </row>
    <row r="27549">
      <c r="A27549" s="1" t="n">
        <v>27548</v>
      </c>
      <c r="B27549">
        <f>TEXT(27548, "[$-0E0000]yyyy-mm-dd")</f>
        <v/>
      </c>
      <c r="C27549" t="inlineStr">
        <is>
          <t>1975-04-25</t>
        </is>
      </c>
    </row>
    <row r="27550">
      <c r="A27550" s="1" t="n">
        <v>27549</v>
      </c>
      <c r="B27550">
        <f>TEXT(27549, "[$-0E0000]yyyy-mm-dd")</f>
        <v/>
      </c>
      <c r="C27550" t="inlineStr">
        <is>
          <t>1975-04-26</t>
        </is>
      </c>
    </row>
    <row r="27551">
      <c r="A27551" s="1" t="n">
        <v>27550</v>
      </c>
      <c r="B27551">
        <f>TEXT(27550, "[$-0E0000]yyyy-mm-dd")</f>
        <v/>
      </c>
      <c r="C27551" t="inlineStr">
        <is>
          <t>1975-04-27</t>
        </is>
      </c>
    </row>
    <row r="27552">
      <c r="A27552" s="1" t="n">
        <v>27551</v>
      </c>
      <c r="B27552">
        <f>TEXT(27551, "[$-0E0000]yyyy-mm-dd")</f>
        <v/>
      </c>
      <c r="C27552" t="inlineStr">
        <is>
          <t>1975-04-28</t>
        </is>
      </c>
    </row>
    <row r="27553">
      <c r="A27553" s="1" t="n">
        <v>27552</v>
      </c>
      <c r="B27553">
        <f>TEXT(27552, "[$-0E0000]yyyy-mm-dd")</f>
        <v/>
      </c>
      <c r="C27553" t="inlineStr">
        <is>
          <t>1975-04-29</t>
        </is>
      </c>
    </row>
    <row r="27554">
      <c r="A27554" s="1" t="n">
        <v>27553</v>
      </c>
      <c r="B27554">
        <f>TEXT(27553, "[$-0E0000]yyyy-mm-dd")</f>
        <v/>
      </c>
      <c r="C27554" t="inlineStr">
        <is>
          <t>1975-04-30</t>
        </is>
      </c>
    </row>
    <row r="27555">
      <c r="A27555" s="1" t="n">
        <v>27554</v>
      </c>
      <c r="B27555">
        <f>TEXT(27554, "[$-0E0000]yyyy-mm-dd")</f>
        <v/>
      </c>
      <c r="C27555" t="inlineStr">
        <is>
          <t>1975-05-01</t>
        </is>
      </c>
    </row>
    <row r="27556">
      <c r="A27556" s="1" t="n">
        <v>27555</v>
      </c>
      <c r="B27556">
        <f>TEXT(27555, "[$-0E0000]yyyy-mm-dd")</f>
        <v/>
      </c>
      <c r="C27556" t="inlineStr">
        <is>
          <t>1975-05-02</t>
        </is>
      </c>
    </row>
    <row r="27557">
      <c r="A27557" s="1" t="n">
        <v>27556</v>
      </c>
      <c r="B27557">
        <f>TEXT(27556, "[$-0E0000]yyyy-mm-dd")</f>
        <v/>
      </c>
      <c r="C27557" t="inlineStr">
        <is>
          <t>1975-05-03</t>
        </is>
      </c>
    </row>
    <row r="27558">
      <c r="A27558" s="1" t="n">
        <v>27557</v>
      </c>
      <c r="B27558">
        <f>TEXT(27557, "[$-0E0000]yyyy-mm-dd")</f>
        <v/>
      </c>
      <c r="C27558" t="inlineStr">
        <is>
          <t>1975-05-04</t>
        </is>
      </c>
    </row>
    <row r="27559">
      <c r="A27559" s="1" t="n">
        <v>27558</v>
      </c>
      <c r="B27559">
        <f>TEXT(27558, "[$-0E0000]yyyy-mm-dd")</f>
        <v/>
      </c>
      <c r="C27559" t="inlineStr">
        <is>
          <t>1975-05-05</t>
        </is>
      </c>
    </row>
    <row r="27560">
      <c r="A27560" s="1" t="n">
        <v>27559</v>
      </c>
      <c r="B27560">
        <f>TEXT(27559, "[$-0E0000]yyyy-mm-dd")</f>
        <v/>
      </c>
      <c r="C27560" t="inlineStr">
        <is>
          <t>1975-05-06</t>
        </is>
      </c>
    </row>
    <row r="27561">
      <c r="A27561" s="1" t="n">
        <v>27560</v>
      </c>
      <c r="B27561">
        <f>TEXT(27560, "[$-0E0000]yyyy-mm-dd")</f>
        <v/>
      </c>
      <c r="C27561" t="inlineStr">
        <is>
          <t>1975-05-07</t>
        </is>
      </c>
    </row>
    <row r="27562">
      <c r="A27562" s="1" t="n">
        <v>27561</v>
      </c>
      <c r="B27562">
        <f>TEXT(27561, "[$-0E0000]yyyy-mm-dd")</f>
        <v/>
      </c>
      <c r="C27562" t="inlineStr">
        <is>
          <t>1975-05-08</t>
        </is>
      </c>
    </row>
    <row r="27563">
      <c r="A27563" s="1" t="n">
        <v>27562</v>
      </c>
      <c r="B27563">
        <f>TEXT(27562, "[$-0E0000]yyyy-mm-dd")</f>
        <v/>
      </c>
      <c r="C27563" t="inlineStr">
        <is>
          <t>1975-05-09</t>
        </is>
      </c>
    </row>
    <row r="27564">
      <c r="A27564" s="1" t="n">
        <v>27563</v>
      </c>
      <c r="B27564">
        <f>TEXT(27563, "[$-0E0000]yyyy-mm-dd")</f>
        <v/>
      </c>
      <c r="C27564" t="inlineStr">
        <is>
          <t>1975-05-10</t>
        </is>
      </c>
    </row>
    <row r="27565">
      <c r="A27565" s="1" t="n">
        <v>27564</v>
      </c>
      <c r="B27565">
        <f>TEXT(27564, "[$-0E0000]yyyy-mm-dd")</f>
        <v/>
      </c>
      <c r="C27565" t="inlineStr">
        <is>
          <t>1975-05-11</t>
        </is>
      </c>
    </row>
    <row r="27566">
      <c r="A27566" s="1" t="n">
        <v>27565</v>
      </c>
      <c r="B27566">
        <f>TEXT(27565, "[$-0E0000]yyyy-mm-dd")</f>
        <v/>
      </c>
      <c r="C27566" t="inlineStr">
        <is>
          <t>1975-05-12</t>
        </is>
      </c>
    </row>
    <row r="27567">
      <c r="A27567" s="1" t="n">
        <v>27566</v>
      </c>
      <c r="B27567">
        <f>TEXT(27566, "[$-0E0000]yyyy-mm-dd")</f>
        <v/>
      </c>
      <c r="C27567" t="inlineStr">
        <is>
          <t>1975-05-13</t>
        </is>
      </c>
    </row>
    <row r="27568">
      <c r="A27568" s="1" t="n">
        <v>27567</v>
      </c>
      <c r="B27568">
        <f>TEXT(27567, "[$-0E0000]yyyy-mm-dd")</f>
        <v/>
      </c>
      <c r="C27568" t="inlineStr">
        <is>
          <t>1975-05-14</t>
        </is>
      </c>
    </row>
    <row r="27569">
      <c r="A27569" s="1" t="n">
        <v>27568</v>
      </c>
      <c r="B27569">
        <f>TEXT(27568, "[$-0E0000]yyyy-mm-dd")</f>
        <v/>
      </c>
      <c r="C27569" t="inlineStr">
        <is>
          <t>1975-05-15</t>
        </is>
      </c>
    </row>
    <row r="27570">
      <c r="A27570" s="1" t="n">
        <v>27569</v>
      </c>
      <c r="B27570">
        <f>TEXT(27569, "[$-0E0000]yyyy-mm-dd")</f>
        <v/>
      </c>
      <c r="C27570" t="inlineStr">
        <is>
          <t>1975-05-16</t>
        </is>
      </c>
    </row>
    <row r="27571">
      <c r="A27571" s="1" t="n">
        <v>27570</v>
      </c>
      <c r="B27571">
        <f>TEXT(27570, "[$-0E0000]yyyy-mm-dd")</f>
        <v/>
      </c>
      <c r="C27571" t="inlineStr">
        <is>
          <t>1975-05-17</t>
        </is>
      </c>
    </row>
    <row r="27572">
      <c r="A27572" s="1" t="n">
        <v>27571</v>
      </c>
      <c r="B27572">
        <f>TEXT(27571, "[$-0E0000]yyyy-mm-dd")</f>
        <v/>
      </c>
      <c r="C27572" t="inlineStr">
        <is>
          <t>1975-05-18</t>
        </is>
      </c>
    </row>
    <row r="27573">
      <c r="A27573" s="1" t="n">
        <v>27572</v>
      </c>
      <c r="B27573">
        <f>TEXT(27572, "[$-0E0000]yyyy-mm-dd")</f>
        <v/>
      </c>
      <c r="C27573" t="inlineStr">
        <is>
          <t>1975-05-19</t>
        </is>
      </c>
    </row>
    <row r="27574">
      <c r="A27574" s="1" t="n">
        <v>27573</v>
      </c>
      <c r="B27574">
        <f>TEXT(27573, "[$-0E0000]yyyy-mm-dd")</f>
        <v/>
      </c>
      <c r="C27574" t="inlineStr">
        <is>
          <t>1975-05-20</t>
        </is>
      </c>
    </row>
    <row r="27575">
      <c r="A27575" s="1" t="n">
        <v>27574</v>
      </c>
      <c r="B27575">
        <f>TEXT(27574, "[$-0E0000]yyyy-mm-dd")</f>
        <v/>
      </c>
      <c r="C27575" t="inlineStr">
        <is>
          <t>1975-05-21</t>
        </is>
      </c>
    </row>
    <row r="27576">
      <c r="A27576" s="1" t="n">
        <v>27575</v>
      </c>
      <c r="B27576">
        <f>TEXT(27575, "[$-0E0000]yyyy-mm-dd")</f>
        <v/>
      </c>
      <c r="C27576" t="inlineStr">
        <is>
          <t>1975-05-22</t>
        </is>
      </c>
    </row>
    <row r="27577">
      <c r="A27577" s="1" t="n">
        <v>27576</v>
      </c>
      <c r="B27577">
        <f>TEXT(27576, "[$-0E0000]yyyy-mm-dd")</f>
        <v/>
      </c>
      <c r="C27577" t="inlineStr">
        <is>
          <t>1975-05-23</t>
        </is>
      </c>
    </row>
    <row r="27578">
      <c r="A27578" s="1" t="n">
        <v>27577</v>
      </c>
      <c r="B27578">
        <f>TEXT(27577, "[$-0E0000]yyyy-mm-dd")</f>
        <v/>
      </c>
      <c r="C27578" t="inlineStr">
        <is>
          <t>1975-05-24</t>
        </is>
      </c>
    </row>
    <row r="27579">
      <c r="A27579" s="1" t="n">
        <v>27578</v>
      </c>
      <c r="B27579">
        <f>TEXT(27578, "[$-0E0000]yyyy-mm-dd")</f>
        <v/>
      </c>
      <c r="C27579" t="inlineStr">
        <is>
          <t>1975-05-25</t>
        </is>
      </c>
    </row>
    <row r="27580">
      <c r="A27580" s="1" t="n">
        <v>27579</v>
      </c>
      <c r="B27580">
        <f>TEXT(27579, "[$-0E0000]yyyy-mm-dd")</f>
        <v/>
      </c>
      <c r="C27580" t="inlineStr">
        <is>
          <t>1975-05-26</t>
        </is>
      </c>
    </row>
    <row r="27581">
      <c r="A27581" s="1" t="n">
        <v>27580</v>
      </c>
      <c r="B27581">
        <f>TEXT(27580, "[$-0E0000]yyyy-mm-dd")</f>
        <v/>
      </c>
      <c r="C27581" t="inlineStr">
        <is>
          <t>1975-05-27</t>
        </is>
      </c>
    </row>
    <row r="27582">
      <c r="A27582" s="1" t="n">
        <v>27581</v>
      </c>
      <c r="B27582">
        <f>TEXT(27581, "[$-0E0000]yyyy-mm-dd")</f>
        <v/>
      </c>
      <c r="C27582" t="inlineStr">
        <is>
          <t>1975-05-28</t>
        </is>
      </c>
    </row>
    <row r="27583">
      <c r="A27583" s="1" t="n">
        <v>27582</v>
      </c>
      <c r="B27583">
        <f>TEXT(27582, "[$-0E0000]yyyy-mm-dd")</f>
        <v/>
      </c>
      <c r="C27583" t="inlineStr">
        <is>
          <t>1975-05-29</t>
        </is>
      </c>
    </row>
    <row r="27584">
      <c r="A27584" s="1" t="n">
        <v>27583</v>
      </c>
      <c r="B27584">
        <f>TEXT(27583, "[$-0E0000]yyyy-mm-dd")</f>
        <v/>
      </c>
      <c r="C27584" t="inlineStr">
        <is>
          <t>1975-06-01</t>
        </is>
      </c>
    </row>
    <row r="27585">
      <c r="A27585" s="1" t="n">
        <v>27584</v>
      </c>
      <c r="B27585">
        <f>TEXT(27584, "[$-0E0000]yyyy-mm-dd")</f>
        <v/>
      </c>
      <c r="C27585" t="inlineStr">
        <is>
          <t>1975-06-02</t>
        </is>
      </c>
    </row>
    <row r="27586">
      <c r="A27586" s="1" t="n">
        <v>27585</v>
      </c>
      <c r="B27586">
        <f>TEXT(27585, "[$-0E0000]yyyy-mm-dd")</f>
        <v/>
      </c>
      <c r="C27586" t="inlineStr">
        <is>
          <t>1975-06-03</t>
        </is>
      </c>
    </row>
    <row r="27587">
      <c r="A27587" s="1" t="n">
        <v>27586</v>
      </c>
      <c r="B27587">
        <f>TEXT(27586, "[$-0E0000]yyyy-mm-dd")</f>
        <v/>
      </c>
      <c r="C27587" t="inlineStr">
        <is>
          <t>1975-06-04</t>
        </is>
      </c>
    </row>
    <row r="27588">
      <c r="A27588" s="1" t="n">
        <v>27587</v>
      </c>
      <c r="B27588">
        <f>TEXT(27587, "[$-0E0000]yyyy-mm-dd")</f>
        <v/>
      </c>
      <c r="C27588" t="inlineStr">
        <is>
          <t>1975-06-05</t>
        </is>
      </c>
    </row>
    <row r="27589">
      <c r="A27589" s="1" t="n">
        <v>27588</v>
      </c>
      <c r="B27589">
        <f>TEXT(27588, "[$-0E0000]yyyy-mm-dd")</f>
        <v/>
      </c>
      <c r="C27589" t="inlineStr">
        <is>
          <t>1975-06-06</t>
        </is>
      </c>
    </row>
    <row r="27590">
      <c r="A27590" s="1" t="n">
        <v>27589</v>
      </c>
      <c r="B27590">
        <f>TEXT(27589, "[$-0E0000]yyyy-mm-dd")</f>
        <v/>
      </c>
      <c r="C27590" t="inlineStr">
        <is>
          <t>1975-06-07</t>
        </is>
      </c>
    </row>
    <row r="27591">
      <c r="A27591" s="1" t="n">
        <v>27590</v>
      </c>
      <c r="B27591">
        <f>TEXT(27590, "[$-0E0000]yyyy-mm-dd")</f>
        <v/>
      </c>
      <c r="C27591" t="inlineStr">
        <is>
          <t>1975-06-08</t>
        </is>
      </c>
    </row>
    <row r="27592">
      <c r="A27592" s="1" t="n">
        <v>27591</v>
      </c>
      <c r="B27592">
        <f>TEXT(27591, "[$-0E0000]yyyy-mm-dd")</f>
        <v/>
      </c>
      <c r="C27592" t="inlineStr">
        <is>
          <t>1975-06-09</t>
        </is>
      </c>
    </row>
    <row r="27593">
      <c r="A27593" s="1" t="n">
        <v>27592</v>
      </c>
      <c r="B27593">
        <f>TEXT(27592, "[$-0E0000]yyyy-mm-dd")</f>
        <v/>
      </c>
      <c r="C27593" t="inlineStr">
        <is>
          <t>1975-06-10</t>
        </is>
      </c>
    </row>
    <row r="27594">
      <c r="A27594" s="1" t="n">
        <v>27593</v>
      </c>
      <c r="B27594">
        <f>TEXT(27593, "[$-0E0000]yyyy-mm-dd")</f>
        <v/>
      </c>
      <c r="C27594" t="inlineStr">
        <is>
          <t>1975-06-11</t>
        </is>
      </c>
    </row>
    <row r="27595">
      <c r="A27595" s="1" t="n">
        <v>27594</v>
      </c>
      <c r="B27595">
        <f>TEXT(27594, "[$-0E0000]yyyy-mm-dd")</f>
        <v/>
      </c>
      <c r="C27595" t="inlineStr">
        <is>
          <t>1975-06-12</t>
        </is>
      </c>
    </row>
    <row r="27596">
      <c r="A27596" s="1" t="n">
        <v>27595</v>
      </c>
      <c r="B27596">
        <f>TEXT(27595, "[$-0E0000]yyyy-mm-dd")</f>
        <v/>
      </c>
      <c r="C27596" t="inlineStr">
        <is>
          <t>1975-06-13</t>
        </is>
      </c>
    </row>
    <row r="27597">
      <c r="A27597" s="1" t="n">
        <v>27596</v>
      </c>
      <c r="B27597">
        <f>TEXT(27596, "[$-0E0000]yyyy-mm-dd")</f>
        <v/>
      </c>
      <c r="C27597" t="inlineStr">
        <is>
          <t>1975-06-14</t>
        </is>
      </c>
    </row>
    <row r="27598">
      <c r="A27598" s="1" t="n">
        <v>27597</v>
      </c>
      <c r="B27598">
        <f>TEXT(27597, "[$-0E0000]yyyy-mm-dd")</f>
        <v/>
      </c>
      <c r="C27598" t="inlineStr">
        <is>
          <t>1975-06-15</t>
        </is>
      </c>
    </row>
    <row r="27599">
      <c r="A27599" s="1" t="n">
        <v>27598</v>
      </c>
      <c r="B27599">
        <f>TEXT(27598, "[$-0E0000]yyyy-mm-dd")</f>
        <v/>
      </c>
      <c r="C27599" t="inlineStr">
        <is>
          <t>1975-06-16</t>
        </is>
      </c>
    </row>
    <row r="27600">
      <c r="A27600" s="1" t="n">
        <v>27599</v>
      </c>
      <c r="B27600">
        <f>TEXT(27599, "[$-0E0000]yyyy-mm-dd")</f>
        <v/>
      </c>
      <c r="C27600" t="inlineStr">
        <is>
          <t>1975-06-17</t>
        </is>
      </c>
    </row>
    <row r="27601">
      <c r="A27601" s="1" t="n">
        <v>27600</v>
      </c>
      <c r="B27601">
        <f>TEXT(27600, "[$-0E0000]yyyy-mm-dd")</f>
        <v/>
      </c>
      <c r="C27601" t="inlineStr">
        <is>
          <t>1975-06-18</t>
        </is>
      </c>
    </row>
    <row r="27602">
      <c r="A27602" s="1" t="n">
        <v>27601</v>
      </c>
      <c r="B27602">
        <f>TEXT(27601, "[$-0E0000]yyyy-mm-dd")</f>
        <v/>
      </c>
      <c r="C27602" t="inlineStr">
        <is>
          <t>1975-06-19</t>
        </is>
      </c>
    </row>
    <row r="27603">
      <c r="A27603" s="1" t="n">
        <v>27602</v>
      </c>
      <c r="B27603">
        <f>TEXT(27602, "[$-0E0000]yyyy-mm-dd")</f>
        <v/>
      </c>
      <c r="C27603" t="inlineStr">
        <is>
          <t>1975-06-20</t>
        </is>
      </c>
    </row>
    <row r="27604">
      <c r="A27604" s="1" t="n">
        <v>27603</v>
      </c>
      <c r="B27604">
        <f>TEXT(27603, "[$-0E0000]yyyy-mm-dd")</f>
        <v/>
      </c>
      <c r="C27604" t="inlineStr">
        <is>
          <t>1975-06-21</t>
        </is>
      </c>
    </row>
    <row r="27605">
      <c r="A27605" s="1" t="n">
        <v>27604</v>
      </c>
      <c r="B27605">
        <f>TEXT(27604, "[$-0E0000]yyyy-mm-dd")</f>
        <v/>
      </c>
      <c r="C27605" t="inlineStr">
        <is>
          <t>1975-06-22</t>
        </is>
      </c>
    </row>
    <row r="27606">
      <c r="A27606" s="1" t="n">
        <v>27605</v>
      </c>
      <c r="B27606">
        <f>TEXT(27605, "[$-0E0000]yyyy-mm-dd")</f>
        <v/>
      </c>
      <c r="C27606" t="inlineStr">
        <is>
          <t>1975-06-23</t>
        </is>
      </c>
    </row>
    <row r="27607">
      <c r="A27607" s="1" t="n">
        <v>27606</v>
      </c>
      <c r="B27607">
        <f>TEXT(27606, "[$-0E0000]yyyy-mm-dd")</f>
        <v/>
      </c>
      <c r="C27607" t="inlineStr">
        <is>
          <t>1975-06-24</t>
        </is>
      </c>
    </row>
    <row r="27608">
      <c r="A27608" s="1" t="n">
        <v>27607</v>
      </c>
      <c r="B27608">
        <f>TEXT(27607, "[$-0E0000]yyyy-mm-dd")</f>
        <v/>
      </c>
      <c r="C27608" t="inlineStr">
        <is>
          <t>1975-06-25</t>
        </is>
      </c>
    </row>
    <row r="27609">
      <c r="A27609" s="1" t="n">
        <v>27608</v>
      </c>
      <c r="B27609">
        <f>TEXT(27608, "[$-0E0000]yyyy-mm-dd")</f>
        <v/>
      </c>
      <c r="C27609" t="inlineStr">
        <is>
          <t>1975-06-26</t>
        </is>
      </c>
    </row>
    <row r="27610">
      <c r="A27610" s="1" t="n">
        <v>27609</v>
      </c>
      <c r="B27610">
        <f>TEXT(27609, "[$-0E0000]yyyy-mm-dd")</f>
        <v/>
      </c>
      <c r="C27610" t="inlineStr">
        <is>
          <t>1975-06-27</t>
        </is>
      </c>
    </row>
    <row r="27611">
      <c r="A27611" s="1" t="n">
        <v>27610</v>
      </c>
      <c r="B27611">
        <f>TEXT(27610, "[$-0E0000]yyyy-mm-dd")</f>
        <v/>
      </c>
      <c r="C27611" t="inlineStr">
        <is>
          <t>1975-06-28</t>
        </is>
      </c>
    </row>
    <row r="27612">
      <c r="A27612" s="1" t="n">
        <v>27611</v>
      </c>
      <c r="B27612">
        <f>TEXT(27611, "[$-0E0000]yyyy-mm-dd")</f>
        <v/>
      </c>
      <c r="C27612" t="inlineStr">
        <is>
          <t>1975-06-29</t>
        </is>
      </c>
    </row>
    <row r="27613">
      <c r="A27613" s="1" t="n">
        <v>27612</v>
      </c>
      <c r="B27613">
        <f>TEXT(27612, "[$-0E0000]yyyy-mm-dd")</f>
        <v/>
      </c>
      <c r="C27613" t="inlineStr">
        <is>
          <t>1975-07-01</t>
        </is>
      </c>
    </row>
    <row r="27614">
      <c r="A27614" s="1" t="n">
        <v>27613</v>
      </c>
      <c r="B27614">
        <f>TEXT(27613, "[$-0E0000]yyyy-mm-dd")</f>
        <v/>
      </c>
      <c r="C27614" t="inlineStr">
        <is>
          <t>1975-07-02</t>
        </is>
      </c>
    </row>
    <row r="27615">
      <c r="A27615" s="1" t="n">
        <v>27614</v>
      </c>
      <c r="B27615">
        <f>TEXT(27614, "[$-0E0000]yyyy-mm-dd")</f>
        <v/>
      </c>
      <c r="C27615" t="inlineStr">
        <is>
          <t>1975-07-03</t>
        </is>
      </c>
    </row>
    <row r="27616">
      <c r="A27616" s="1" t="n">
        <v>27615</v>
      </c>
      <c r="B27616">
        <f>TEXT(27615, "[$-0E0000]yyyy-mm-dd")</f>
        <v/>
      </c>
      <c r="C27616" t="inlineStr">
        <is>
          <t>1975-07-04</t>
        </is>
      </c>
    </row>
    <row r="27617">
      <c r="A27617" s="1" t="n">
        <v>27616</v>
      </c>
      <c r="B27617">
        <f>TEXT(27616, "[$-0E0000]yyyy-mm-dd")</f>
        <v/>
      </c>
      <c r="C27617" t="inlineStr">
        <is>
          <t>1975-07-05</t>
        </is>
      </c>
    </row>
    <row r="27618">
      <c r="A27618" s="1" t="n">
        <v>27617</v>
      </c>
      <c r="B27618">
        <f>TEXT(27617, "[$-0E0000]yyyy-mm-dd")</f>
        <v/>
      </c>
      <c r="C27618" t="inlineStr">
        <is>
          <t>1975-07-06</t>
        </is>
      </c>
    </row>
    <row r="27619">
      <c r="A27619" s="1" t="n">
        <v>27618</v>
      </c>
      <c r="B27619">
        <f>TEXT(27618, "[$-0E0000]yyyy-mm-dd")</f>
        <v/>
      </c>
      <c r="C27619" t="inlineStr">
        <is>
          <t>1975-07-07</t>
        </is>
      </c>
    </row>
    <row r="27620">
      <c r="A27620" s="1" t="n">
        <v>27619</v>
      </c>
      <c r="B27620">
        <f>TEXT(27619, "[$-0E0000]yyyy-mm-dd")</f>
        <v/>
      </c>
      <c r="C27620" t="inlineStr">
        <is>
          <t>1975-07-08</t>
        </is>
      </c>
    </row>
    <row r="27621">
      <c r="A27621" s="1" t="n">
        <v>27620</v>
      </c>
      <c r="B27621">
        <f>TEXT(27620, "[$-0E0000]yyyy-mm-dd")</f>
        <v/>
      </c>
      <c r="C27621" t="inlineStr">
        <is>
          <t>1975-07-09</t>
        </is>
      </c>
    </row>
    <row r="27622">
      <c r="A27622" s="1" t="n">
        <v>27621</v>
      </c>
      <c r="B27622">
        <f>TEXT(27621, "[$-0E0000]yyyy-mm-dd")</f>
        <v/>
      </c>
      <c r="C27622" t="inlineStr">
        <is>
          <t>1975-07-10</t>
        </is>
      </c>
    </row>
    <row r="27623">
      <c r="A27623" s="1" t="n">
        <v>27622</v>
      </c>
      <c r="B27623">
        <f>TEXT(27622, "[$-0E0000]yyyy-mm-dd")</f>
        <v/>
      </c>
      <c r="C27623" t="inlineStr">
        <is>
          <t>1975-07-11</t>
        </is>
      </c>
    </row>
    <row r="27624">
      <c r="A27624" s="1" t="n">
        <v>27623</v>
      </c>
      <c r="B27624">
        <f>TEXT(27623, "[$-0E0000]yyyy-mm-dd")</f>
        <v/>
      </c>
      <c r="C27624" t="inlineStr">
        <is>
          <t>1975-07-12</t>
        </is>
      </c>
    </row>
    <row r="27625">
      <c r="A27625" s="1" t="n">
        <v>27624</v>
      </c>
      <c r="B27625">
        <f>TEXT(27624, "[$-0E0000]yyyy-mm-dd")</f>
        <v/>
      </c>
      <c r="C27625" t="inlineStr">
        <is>
          <t>1975-07-13</t>
        </is>
      </c>
    </row>
    <row r="27626">
      <c r="A27626" s="1" t="n">
        <v>27625</v>
      </c>
      <c r="B27626">
        <f>TEXT(27625, "[$-0E0000]yyyy-mm-dd")</f>
        <v/>
      </c>
      <c r="C27626" t="inlineStr">
        <is>
          <t>1975-07-14</t>
        </is>
      </c>
    </row>
    <row r="27627">
      <c r="A27627" s="1" t="n">
        <v>27626</v>
      </c>
      <c r="B27627">
        <f>TEXT(27626, "[$-0E0000]yyyy-mm-dd")</f>
        <v/>
      </c>
      <c r="C27627" t="inlineStr">
        <is>
          <t>1975-07-15</t>
        </is>
      </c>
    </row>
    <row r="27628">
      <c r="A27628" s="1" t="n">
        <v>27627</v>
      </c>
      <c r="B27628">
        <f>TEXT(27627, "[$-0E0000]yyyy-mm-dd")</f>
        <v/>
      </c>
      <c r="C27628" t="inlineStr">
        <is>
          <t>1975-07-16</t>
        </is>
      </c>
    </row>
    <row r="27629">
      <c r="A27629" s="1" t="n">
        <v>27628</v>
      </c>
      <c r="B27629">
        <f>TEXT(27628, "[$-0E0000]yyyy-mm-dd")</f>
        <v/>
      </c>
      <c r="C27629" t="inlineStr">
        <is>
          <t>1975-07-17</t>
        </is>
      </c>
    </row>
    <row r="27630">
      <c r="A27630" s="1" t="n">
        <v>27629</v>
      </c>
      <c r="B27630">
        <f>TEXT(27629, "[$-0E0000]yyyy-mm-dd")</f>
        <v/>
      </c>
      <c r="C27630" t="inlineStr">
        <is>
          <t>1975-07-18</t>
        </is>
      </c>
    </row>
    <row r="27631">
      <c r="A27631" s="1" t="n">
        <v>27630</v>
      </c>
      <c r="B27631">
        <f>TEXT(27630, "[$-0E0000]yyyy-mm-dd")</f>
        <v/>
      </c>
      <c r="C27631" t="inlineStr">
        <is>
          <t>1975-07-19</t>
        </is>
      </c>
    </row>
    <row r="27632">
      <c r="A27632" s="1" t="n">
        <v>27631</v>
      </c>
      <c r="B27632">
        <f>TEXT(27631, "[$-0E0000]yyyy-mm-dd")</f>
        <v/>
      </c>
      <c r="C27632" t="inlineStr">
        <is>
          <t>1975-07-20</t>
        </is>
      </c>
    </row>
    <row r="27633">
      <c r="A27633" s="1" t="n">
        <v>27632</v>
      </c>
      <c r="B27633">
        <f>TEXT(27632, "[$-0E0000]yyyy-mm-dd")</f>
        <v/>
      </c>
      <c r="C27633" t="inlineStr">
        <is>
          <t>1975-07-21</t>
        </is>
      </c>
    </row>
    <row r="27634">
      <c r="A27634" s="1" t="n">
        <v>27633</v>
      </c>
      <c r="B27634">
        <f>TEXT(27633, "[$-0E0000]yyyy-mm-dd")</f>
        <v/>
      </c>
      <c r="C27634" t="inlineStr">
        <is>
          <t>1975-07-22</t>
        </is>
      </c>
    </row>
    <row r="27635">
      <c r="A27635" s="1" t="n">
        <v>27634</v>
      </c>
      <c r="B27635">
        <f>TEXT(27634, "[$-0E0000]yyyy-mm-dd")</f>
        <v/>
      </c>
      <c r="C27635" t="inlineStr">
        <is>
          <t>1975-07-23</t>
        </is>
      </c>
    </row>
    <row r="27636">
      <c r="A27636" s="1" t="n">
        <v>27635</v>
      </c>
      <c r="B27636">
        <f>TEXT(27635, "[$-0E0000]yyyy-mm-dd")</f>
        <v/>
      </c>
      <c r="C27636" t="inlineStr">
        <is>
          <t>1975-07-24</t>
        </is>
      </c>
    </row>
    <row r="27637">
      <c r="A27637" s="1" t="n">
        <v>27636</v>
      </c>
      <c r="B27637">
        <f>TEXT(27636, "[$-0E0000]yyyy-mm-dd")</f>
        <v/>
      </c>
      <c r="C27637" t="inlineStr">
        <is>
          <t>1975-07-25</t>
        </is>
      </c>
    </row>
    <row r="27638">
      <c r="A27638" s="1" t="n">
        <v>27637</v>
      </c>
      <c r="B27638">
        <f>TEXT(27637, "[$-0E0000]yyyy-mm-dd")</f>
        <v/>
      </c>
      <c r="C27638" t="inlineStr">
        <is>
          <t>1975-07-26</t>
        </is>
      </c>
    </row>
    <row r="27639">
      <c r="A27639" s="1" t="n">
        <v>27638</v>
      </c>
      <c r="B27639">
        <f>TEXT(27638, "[$-0E0000]yyyy-mm-dd")</f>
        <v/>
      </c>
      <c r="C27639" t="inlineStr">
        <is>
          <t>1975-07-27</t>
        </is>
      </c>
    </row>
    <row r="27640">
      <c r="A27640" s="1" t="n">
        <v>27639</v>
      </c>
      <c r="B27640">
        <f>TEXT(27639, "[$-0E0000]yyyy-mm-dd")</f>
        <v/>
      </c>
      <c r="C27640" t="inlineStr">
        <is>
          <t>1975-07-28</t>
        </is>
      </c>
    </row>
    <row r="27641">
      <c r="A27641" s="1" t="n">
        <v>27640</v>
      </c>
      <c r="B27641">
        <f>TEXT(27640, "[$-0E0000]yyyy-mm-dd")</f>
        <v/>
      </c>
      <c r="C27641" t="inlineStr">
        <is>
          <t>1975-07-29</t>
        </is>
      </c>
    </row>
    <row r="27642">
      <c r="A27642" s="1" t="n">
        <v>27641</v>
      </c>
      <c r="B27642">
        <f>TEXT(27641, "[$-0E0000]yyyy-mm-dd")</f>
        <v/>
      </c>
      <c r="C27642" t="inlineStr">
        <is>
          <t>1975-07-30</t>
        </is>
      </c>
    </row>
    <row r="27643">
      <c r="A27643" s="1" t="n">
        <v>27642</v>
      </c>
      <c r="B27643">
        <f>TEXT(27642, "[$-0E0000]yyyy-mm-dd")</f>
        <v/>
      </c>
      <c r="C27643" t="inlineStr">
        <is>
          <t>1975-08-01</t>
        </is>
      </c>
    </row>
    <row r="27644">
      <c r="A27644" s="1" t="n">
        <v>27643</v>
      </c>
      <c r="B27644">
        <f>TEXT(27643, "[$-0E0000]yyyy-mm-dd")</f>
        <v/>
      </c>
      <c r="C27644" t="inlineStr">
        <is>
          <t>1975-08-02</t>
        </is>
      </c>
    </row>
    <row r="27645">
      <c r="A27645" s="1" t="n">
        <v>27644</v>
      </c>
      <c r="B27645">
        <f>TEXT(27644, "[$-0E0000]yyyy-mm-dd")</f>
        <v/>
      </c>
      <c r="C27645" t="inlineStr">
        <is>
          <t>1975-08-03</t>
        </is>
      </c>
    </row>
    <row r="27646">
      <c r="A27646" s="1" t="n">
        <v>27645</v>
      </c>
      <c r="B27646">
        <f>TEXT(27645, "[$-0E0000]yyyy-mm-dd")</f>
        <v/>
      </c>
      <c r="C27646" t="inlineStr">
        <is>
          <t>1975-08-04</t>
        </is>
      </c>
    </row>
    <row r="27647">
      <c r="A27647" s="1" t="n">
        <v>27646</v>
      </c>
      <c r="B27647">
        <f>TEXT(27646, "[$-0E0000]yyyy-mm-dd")</f>
        <v/>
      </c>
      <c r="C27647" t="inlineStr">
        <is>
          <t>1975-08-05</t>
        </is>
      </c>
    </row>
    <row r="27648">
      <c r="A27648" s="1" t="n">
        <v>27647</v>
      </c>
      <c r="B27648">
        <f>TEXT(27647, "[$-0E0000]yyyy-mm-dd")</f>
        <v/>
      </c>
      <c r="C27648" t="inlineStr">
        <is>
          <t>1975-08-06</t>
        </is>
      </c>
    </row>
    <row r="27649">
      <c r="A27649" s="1" t="n">
        <v>27648</v>
      </c>
      <c r="B27649">
        <f>TEXT(27648, "[$-0E0000]yyyy-mm-dd")</f>
        <v/>
      </c>
      <c r="C27649" t="inlineStr">
        <is>
          <t>1975-08-07</t>
        </is>
      </c>
    </row>
    <row r="27650">
      <c r="A27650" s="1" t="n">
        <v>27649</v>
      </c>
      <c r="B27650">
        <f>TEXT(27649, "[$-0E0000]yyyy-mm-dd")</f>
        <v/>
      </c>
      <c r="C27650" t="inlineStr">
        <is>
          <t>1975-08-08</t>
        </is>
      </c>
    </row>
    <row r="27651">
      <c r="A27651" s="1" t="n">
        <v>27650</v>
      </c>
      <c r="B27651">
        <f>TEXT(27650, "[$-0E0000]yyyy-mm-dd")</f>
        <v/>
      </c>
      <c r="C27651" t="inlineStr">
        <is>
          <t>1975-08-09</t>
        </is>
      </c>
    </row>
    <row r="27652">
      <c r="A27652" s="1" t="n">
        <v>27651</v>
      </c>
      <c r="B27652">
        <f>TEXT(27651, "[$-0E0000]yyyy-mm-dd")</f>
        <v/>
      </c>
      <c r="C27652" t="inlineStr">
        <is>
          <t>1975-08-10</t>
        </is>
      </c>
    </row>
    <row r="27653">
      <c r="A27653" s="1" t="n">
        <v>27652</v>
      </c>
      <c r="B27653">
        <f>TEXT(27652, "[$-0E0000]yyyy-mm-dd")</f>
        <v/>
      </c>
      <c r="C27653" t="inlineStr">
        <is>
          <t>1975-08-11</t>
        </is>
      </c>
    </row>
    <row r="27654">
      <c r="A27654" s="1" t="n">
        <v>27653</v>
      </c>
      <c r="B27654">
        <f>TEXT(27653, "[$-0E0000]yyyy-mm-dd")</f>
        <v/>
      </c>
      <c r="C27654" t="inlineStr">
        <is>
          <t>1975-08-12</t>
        </is>
      </c>
    </row>
    <row r="27655">
      <c r="A27655" s="1" t="n">
        <v>27654</v>
      </c>
      <c r="B27655">
        <f>TEXT(27654, "[$-0E0000]yyyy-mm-dd")</f>
        <v/>
      </c>
      <c r="C27655" t="inlineStr">
        <is>
          <t>1975-08-13</t>
        </is>
      </c>
    </row>
    <row r="27656">
      <c r="A27656" s="1" t="n">
        <v>27655</v>
      </c>
      <c r="B27656">
        <f>TEXT(27655, "[$-0E0000]yyyy-mm-dd")</f>
        <v/>
      </c>
      <c r="C27656" t="inlineStr">
        <is>
          <t>1975-08-14</t>
        </is>
      </c>
    </row>
    <row r="27657">
      <c r="A27657" s="1" t="n">
        <v>27656</v>
      </c>
      <c r="B27657">
        <f>TEXT(27656, "[$-0E0000]yyyy-mm-dd")</f>
        <v/>
      </c>
      <c r="C27657" t="inlineStr">
        <is>
          <t>1975-08-15</t>
        </is>
      </c>
    </row>
    <row r="27658">
      <c r="A27658" s="1" t="n">
        <v>27657</v>
      </c>
      <c r="B27658">
        <f>TEXT(27657, "[$-0E0000]yyyy-mm-dd")</f>
        <v/>
      </c>
      <c r="C27658" t="inlineStr">
        <is>
          <t>1975-08-16</t>
        </is>
      </c>
    </row>
    <row r="27659">
      <c r="A27659" s="1" t="n">
        <v>27658</v>
      </c>
      <c r="B27659">
        <f>TEXT(27658, "[$-0E0000]yyyy-mm-dd")</f>
        <v/>
      </c>
      <c r="C27659" t="inlineStr">
        <is>
          <t>1975-08-17</t>
        </is>
      </c>
    </row>
    <row r="27660">
      <c r="A27660" s="1" t="n">
        <v>27659</v>
      </c>
      <c r="B27660">
        <f>TEXT(27659, "[$-0E0000]yyyy-mm-dd")</f>
        <v/>
      </c>
      <c r="C27660" t="inlineStr">
        <is>
          <t>1975-08-18</t>
        </is>
      </c>
    </row>
    <row r="27661">
      <c r="A27661" s="1" t="n">
        <v>27660</v>
      </c>
      <c r="B27661">
        <f>TEXT(27660, "[$-0E0000]yyyy-mm-dd")</f>
        <v/>
      </c>
      <c r="C27661" t="inlineStr">
        <is>
          <t>1975-08-19</t>
        </is>
      </c>
    </row>
    <row r="27662">
      <c r="A27662" s="1" t="n">
        <v>27661</v>
      </c>
      <c r="B27662">
        <f>TEXT(27661, "[$-0E0000]yyyy-mm-dd")</f>
        <v/>
      </c>
      <c r="C27662" t="inlineStr">
        <is>
          <t>1975-08-20</t>
        </is>
      </c>
    </row>
    <row r="27663">
      <c r="A27663" s="1" t="n">
        <v>27662</v>
      </c>
      <c r="B27663">
        <f>TEXT(27662, "[$-0E0000]yyyy-mm-dd")</f>
        <v/>
      </c>
      <c r="C27663" t="inlineStr">
        <is>
          <t>1975-08-21</t>
        </is>
      </c>
    </row>
    <row r="27664">
      <c r="A27664" s="1" t="n">
        <v>27663</v>
      </c>
      <c r="B27664">
        <f>TEXT(27663, "[$-0E0000]yyyy-mm-dd")</f>
        <v/>
      </c>
      <c r="C27664" t="inlineStr">
        <is>
          <t>1975-08-22</t>
        </is>
      </c>
    </row>
    <row r="27665">
      <c r="A27665" s="1" t="n">
        <v>27664</v>
      </c>
      <c r="B27665">
        <f>TEXT(27664, "[$-0E0000]yyyy-mm-dd")</f>
        <v/>
      </c>
      <c r="C27665" t="inlineStr">
        <is>
          <t>1975-08-23</t>
        </is>
      </c>
    </row>
    <row r="27666">
      <c r="A27666" s="1" t="n">
        <v>27665</v>
      </c>
      <c r="B27666">
        <f>TEXT(27665, "[$-0E0000]yyyy-mm-dd")</f>
        <v/>
      </c>
      <c r="C27666" t="inlineStr">
        <is>
          <t>1975-08-24</t>
        </is>
      </c>
    </row>
    <row r="27667">
      <c r="A27667" s="1" t="n">
        <v>27666</v>
      </c>
      <c r="B27667">
        <f>TEXT(27666, "[$-0E0000]yyyy-mm-dd")</f>
        <v/>
      </c>
      <c r="C27667" t="inlineStr">
        <is>
          <t>1975-08-25</t>
        </is>
      </c>
    </row>
    <row r="27668">
      <c r="A27668" s="1" t="n">
        <v>27667</v>
      </c>
      <c r="B27668">
        <f>TEXT(27667, "[$-0E0000]yyyy-mm-dd")</f>
        <v/>
      </c>
      <c r="C27668" t="inlineStr">
        <is>
          <t>1975-08-26</t>
        </is>
      </c>
    </row>
    <row r="27669">
      <c r="A27669" s="1" t="n">
        <v>27668</v>
      </c>
      <c r="B27669">
        <f>TEXT(27668, "[$-0E0000]yyyy-mm-dd")</f>
        <v/>
      </c>
      <c r="C27669" t="inlineStr">
        <is>
          <t>1975-08-27</t>
        </is>
      </c>
    </row>
    <row r="27670">
      <c r="A27670" s="1" t="n">
        <v>27669</v>
      </c>
      <c r="B27670">
        <f>TEXT(27669, "[$-0E0000]yyyy-mm-dd")</f>
        <v/>
      </c>
      <c r="C27670" t="inlineStr">
        <is>
          <t>1975-08-28</t>
        </is>
      </c>
    </row>
    <row r="27671">
      <c r="A27671" s="1" t="n">
        <v>27670</v>
      </c>
      <c r="B27671">
        <f>TEXT(27670, "[$-0E0000]yyyy-mm-dd")</f>
        <v/>
      </c>
      <c r="C27671" t="inlineStr">
        <is>
          <t>1975-08-29</t>
        </is>
      </c>
    </row>
    <row r="27672">
      <c r="A27672" s="1" t="n">
        <v>27671</v>
      </c>
      <c r="B27672">
        <f>TEXT(27671, "[$-0E0000]yyyy-mm-dd")</f>
        <v/>
      </c>
      <c r="C27672" t="inlineStr">
        <is>
          <t>1975-09-01</t>
        </is>
      </c>
    </row>
    <row r="27673">
      <c r="A27673" s="1" t="n">
        <v>27672</v>
      </c>
      <c r="B27673">
        <f>TEXT(27672, "[$-0E0000]yyyy-mm-dd")</f>
        <v/>
      </c>
      <c r="C27673" t="inlineStr">
        <is>
          <t>1975-09-02</t>
        </is>
      </c>
    </row>
    <row r="27674">
      <c r="A27674" s="1" t="n">
        <v>27673</v>
      </c>
      <c r="B27674">
        <f>TEXT(27673, "[$-0E0000]yyyy-mm-dd")</f>
        <v/>
      </c>
      <c r="C27674" t="inlineStr">
        <is>
          <t>1975-09-03</t>
        </is>
      </c>
    </row>
    <row r="27675">
      <c r="A27675" s="1" t="n">
        <v>27674</v>
      </c>
      <c r="B27675">
        <f>TEXT(27674, "[$-0E0000]yyyy-mm-dd")</f>
        <v/>
      </c>
      <c r="C27675" t="inlineStr">
        <is>
          <t>1975-09-04</t>
        </is>
      </c>
    </row>
    <row r="27676">
      <c r="A27676" s="1" t="n">
        <v>27675</v>
      </c>
      <c r="B27676">
        <f>TEXT(27675, "[$-0E0000]yyyy-mm-dd")</f>
        <v/>
      </c>
      <c r="C27676" t="inlineStr">
        <is>
          <t>1975-09-05</t>
        </is>
      </c>
    </row>
    <row r="27677">
      <c r="A27677" s="1" t="n">
        <v>27676</v>
      </c>
      <c r="B27677">
        <f>TEXT(27676, "[$-0E0000]yyyy-mm-dd")</f>
        <v/>
      </c>
      <c r="C27677" t="inlineStr">
        <is>
          <t>1975-09-06</t>
        </is>
      </c>
    </row>
    <row r="27678">
      <c r="A27678" s="1" t="n">
        <v>27677</v>
      </c>
      <c r="B27678">
        <f>TEXT(27677, "[$-0E0000]yyyy-mm-dd")</f>
        <v/>
      </c>
      <c r="C27678" t="inlineStr">
        <is>
          <t>1975-09-07</t>
        </is>
      </c>
    </row>
    <row r="27679">
      <c r="A27679" s="1" t="n">
        <v>27678</v>
      </c>
      <c r="B27679">
        <f>TEXT(27678, "[$-0E0000]yyyy-mm-dd")</f>
        <v/>
      </c>
      <c r="C27679" t="inlineStr">
        <is>
          <t>1975-09-08</t>
        </is>
      </c>
    </row>
    <row r="27680">
      <c r="A27680" s="1" t="n">
        <v>27679</v>
      </c>
      <c r="B27680">
        <f>TEXT(27679, "[$-0E0000]yyyy-mm-dd")</f>
        <v/>
      </c>
      <c r="C27680" t="inlineStr">
        <is>
          <t>1975-09-09</t>
        </is>
      </c>
    </row>
    <row r="27681">
      <c r="A27681" s="1" t="n">
        <v>27680</v>
      </c>
      <c r="B27681">
        <f>TEXT(27680, "[$-0E0000]yyyy-mm-dd")</f>
        <v/>
      </c>
      <c r="C27681" t="inlineStr">
        <is>
          <t>1975-09-10</t>
        </is>
      </c>
    </row>
    <row r="27682">
      <c r="A27682" s="1" t="n">
        <v>27681</v>
      </c>
      <c r="B27682">
        <f>TEXT(27681, "[$-0E0000]yyyy-mm-dd")</f>
        <v/>
      </c>
      <c r="C27682" t="inlineStr">
        <is>
          <t>1975-09-11</t>
        </is>
      </c>
    </row>
    <row r="27683">
      <c r="A27683" s="1" t="n">
        <v>27682</v>
      </c>
      <c r="B27683">
        <f>TEXT(27682, "[$-0E0000]yyyy-mm-dd")</f>
        <v/>
      </c>
      <c r="C27683" t="inlineStr">
        <is>
          <t>1975-09-12</t>
        </is>
      </c>
    </row>
    <row r="27684">
      <c r="A27684" s="1" t="n">
        <v>27683</v>
      </c>
      <c r="B27684">
        <f>TEXT(27683, "[$-0E0000]yyyy-mm-dd")</f>
        <v/>
      </c>
      <c r="C27684" t="inlineStr">
        <is>
          <t>1975-09-13</t>
        </is>
      </c>
    </row>
    <row r="27685">
      <c r="A27685" s="1" t="n">
        <v>27684</v>
      </c>
      <c r="B27685">
        <f>TEXT(27684, "[$-0E0000]yyyy-mm-dd")</f>
        <v/>
      </c>
      <c r="C27685" t="inlineStr">
        <is>
          <t>1975-09-14</t>
        </is>
      </c>
    </row>
    <row r="27686">
      <c r="A27686" s="1" t="n">
        <v>27685</v>
      </c>
      <c r="B27686">
        <f>TEXT(27685, "[$-0E0000]yyyy-mm-dd")</f>
        <v/>
      </c>
      <c r="C27686" t="inlineStr">
        <is>
          <t>1975-09-15</t>
        </is>
      </c>
    </row>
    <row r="27687">
      <c r="A27687" s="1" t="n">
        <v>27686</v>
      </c>
      <c r="B27687">
        <f>TEXT(27686, "[$-0E0000]yyyy-mm-dd")</f>
        <v/>
      </c>
      <c r="C27687" t="inlineStr">
        <is>
          <t>1975-09-16</t>
        </is>
      </c>
    </row>
    <row r="27688">
      <c r="A27688" s="1" t="n">
        <v>27687</v>
      </c>
      <c r="B27688">
        <f>TEXT(27687, "[$-0E0000]yyyy-mm-dd")</f>
        <v/>
      </c>
      <c r="C27688" t="inlineStr">
        <is>
          <t>1975-09-17</t>
        </is>
      </c>
    </row>
    <row r="27689">
      <c r="A27689" s="1" t="n">
        <v>27688</v>
      </c>
      <c r="B27689">
        <f>TEXT(27688, "[$-0E0000]yyyy-mm-dd")</f>
        <v/>
      </c>
      <c r="C27689" t="inlineStr">
        <is>
          <t>1975-09-18</t>
        </is>
      </c>
    </row>
    <row r="27690">
      <c r="A27690" s="1" t="n">
        <v>27689</v>
      </c>
      <c r="B27690">
        <f>TEXT(27689, "[$-0E0000]yyyy-mm-dd")</f>
        <v/>
      </c>
      <c r="C27690" t="inlineStr">
        <is>
          <t>1975-09-19</t>
        </is>
      </c>
    </row>
    <row r="27691">
      <c r="A27691" s="1" t="n">
        <v>27690</v>
      </c>
      <c r="B27691">
        <f>TEXT(27690, "[$-0E0000]yyyy-mm-dd")</f>
        <v/>
      </c>
      <c r="C27691" t="inlineStr">
        <is>
          <t>1975-09-20</t>
        </is>
      </c>
    </row>
    <row r="27692">
      <c r="A27692" s="1" t="n">
        <v>27691</v>
      </c>
      <c r="B27692">
        <f>TEXT(27691, "[$-0E0000]yyyy-mm-dd")</f>
        <v/>
      </c>
      <c r="C27692" t="inlineStr">
        <is>
          <t>1975-09-21</t>
        </is>
      </c>
    </row>
    <row r="27693">
      <c r="A27693" s="1" t="n">
        <v>27692</v>
      </c>
      <c r="B27693">
        <f>TEXT(27692, "[$-0E0000]yyyy-mm-dd")</f>
        <v/>
      </c>
      <c r="C27693" t="inlineStr">
        <is>
          <t>1975-09-22</t>
        </is>
      </c>
    </row>
    <row r="27694">
      <c r="A27694" s="1" t="n">
        <v>27693</v>
      </c>
      <c r="B27694">
        <f>TEXT(27693, "[$-0E0000]yyyy-mm-dd")</f>
        <v/>
      </c>
      <c r="C27694" t="inlineStr">
        <is>
          <t>1975-09-23</t>
        </is>
      </c>
    </row>
    <row r="27695">
      <c r="A27695" s="1" t="n">
        <v>27694</v>
      </c>
      <c r="B27695">
        <f>TEXT(27694, "[$-0E0000]yyyy-mm-dd")</f>
        <v/>
      </c>
      <c r="C27695" t="inlineStr">
        <is>
          <t>1975-09-24</t>
        </is>
      </c>
    </row>
    <row r="27696">
      <c r="A27696" s="1" t="n">
        <v>27695</v>
      </c>
      <c r="B27696">
        <f>TEXT(27695, "[$-0E0000]yyyy-mm-dd")</f>
        <v/>
      </c>
      <c r="C27696" t="inlineStr">
        <is>
          <t>1975-09-25</t>
        </is>
      </c>
    </row>
    <row r="27697">
      <c r="A27697" s="1" t="n">
        <v>27696</v>
      </c>
      <c r="B27697">
        <f>TEXT(27696, "[$-0E0000]yyyy-mm-dd")</f>
        <v/>
      </c>
      <c r="C27697" t="inlineStr">
        <is>
          <t>1975-09-26</t>
        </is>
      </c>
    </row>
    <row r="27698">
      <c r="A27698" s="1" t="n">
        <v>27697</v>
      </c>
      <c r="B27698">
        <f>TEXT(27697, "[$-0E0000]yyyy-mm-dd")</f>
        <v/>
      </c>
      <c r="C27698" t="inlineStr">
        <is>
          <t>1975-09-27</t>
        </is>
      </c>
    </row>
    <row r="27699">
      <c r="A27699" s="1" t="n">
        <v>27698</v>
      </c>
      <c r="B27699">
        <f>TEXT(27698, "[$-0E0000]yyyy-mm-dd")</f>
        <v/>
      </c>
      <c r="C27699" t="inlineStr">
        <is>
          <t>1975-09-28</t>
        </is>
      </c>
    </row>
    <row r="27700">
      <c r="A27700" s="1" t="n">
        <v>27699</v>
      </c>
      <c r="B27700">
        <f>TEXT(27699, "[$-0E0000]yyyy-mm-dd")</f>
        <v/>
      </c>
      <c r="C27700" t="inlineStr">
        <is>
          <t>1975-09-29</t>
        </is>
      </c>
    </row>
    <row r="27701">
      <c r="A27701" s="1" t="n">
        <v>27700</v>
      </c>
      <c r="B27701">
        <f>TEXT(27700, "[$-0E0000]yyyy-mm-dd")</f>
        <v/>
      </c>
      <c r="C27701" t="inlineStr">
        <is>
          <t>1975-10-01</t>
        </is>
      </c>
    </row>
    <row r="27702">
      <c r="A27702" s="1" t="n">
        <v>27701</v>
      </c>
      <c r="B27702">
        <f>TEXT(27701, "[$-0E0000]yyyy-mm-dd")</f>
        <v/>
      </c>
      <c r="C27702" t="inlineStr">
        <is>
          <t>1975-10-02</t>
        </is>
      </c>
    </row>
    <row r="27703">
      <c r="A27703" s="1" t="n">
        <v>27702</v>
      </c>
      <c r="B27703">
        <f>TEXT(27702, "[$-0E0000]yyyy-mm-dd")</f>
        <v/>
      </c>
      <c r="C27703" t="inlineStr">
        <is>
          <t>1975-10-03</t>
        </is>
      </c>
    </row>
    <row r="27704">
      <c r="A27704" s="1" t="n">
        <v>27703</v>
      </c>
      <c r="B27704">
        <f>TEXT(27703, "[$-0E0000]yyyy-mm-dd")</f>
        <v/>
      </c>
      <c r="C27704" t="inlineStr">
        <is>
          <t>1975-10-04</t>
        </is>
      </c>
    </row>
    <row r="27705">
      <c r="A27705" s="1" t="n">
        <v>27704</v>
      </c>
      <c r="B27705">
        <f>TEXT(27704, "[$-0E0000]yyyy-mm-dd")</f>
        <v/>
      </c>
      <c r="C27705" t="inlineStr">
        <is>
          <t>1975-10-05</t>
        </is>
      </c>
    </row>
    <row r="27706">
      <c r="A27706" s="1" t="n">
        <v>27705</v>
      </c>
      <c r="B27706">
        <f>TEXT(27705, "[$-0E0000]yyyy-mm-dd")</f>
        <v/>
      </c>
      <c r="C27706" t="inlineStr">
        <is>
          <t>1975-10-06</t>
        </is>
      </c>
    </row>
    <row r="27707">
      <c r="A27707" s="1" t="n">
        <v>27706</v>
      </c>
      <c r="B27707">
        <f>TEXT(27706, "[$-0E0000]yyyy-mm-dd")</f>
        <v/>
      </c>
      <c r="C27707" t="inlineStr">
        <is>
          <t>1975-10-07</t>
        </is>
      </c>
    </row>
    <row r="27708">
      <c r="A27708" s="1" t="n">
        <v>27707</v>
      </c>
      <c r="B27708">
        <f>TEXT(27707, "[$-0E0000]yyyy-mm-dd")</f>
        <v/>
      </c>
      <c r="C27708" t="inlineStr">
        <is>
          <t>1975-10-08</t>
        </is>
      </c>
    </row>
    <row r="27709">
      <c r="A27709" s="1" t="n">
        <v>27708</v>
      </c>
      <c r="B27709">
        <f>TEXT(27708, "[$-0E0000]yyyy-mm-dd")</f>
        <v/>
      </c>
      <c r="C27709" t="inlineStr">
        <is>
          <t>1975-10-09</t>
        </is>
      </c>
    </row>
    <row r="27710">
      <c r="A27710" s="1" t="n">
        <v>27709</v>
      </c>
      <c r="B27710">
        <f>TEXT(27709, "[$-0E0000]yyyy-mm-dd")</f>
        <v/>
      </c>
      <c r="C27710" t="inlineStr">
        <is>
          <t>1975-10-10</t>
        </is>
      </c>
    </row>
    <row r="27711">
      <c r="A27711" s="1" t="n">
        <v>27710</v>
      </c>
      <c r="B27711">
        <f>TEXT(27710, "[$-0E0000]yyyy-mm-dd")</f>
        <v/>
      </c>
      <c r="C27711" t="inlineStr">
        <is>
          <t>1975-10-11</t>
        </is>
      </c>
    </row>
    <row r="27712">
      <c r="A27712" s="1" t="n">
        <v>27711</v>
      </c>
      <c r="B27712">
        <f>TEXT(27711, "[$-0E0000]yyyy-mm-dd")</f>
        <v/>
      </c>
      <c r="C27712" t="inlineStr">
        <is>
          <t>1975-10-12</t>
        </is>
      </c>
    </row>
    <row r="27713">
      <c r="A27713" s="1" t="n">
        <v>27712</v>
      </c>
      <c r="B27713">
        <f>TEXT(27712, "[$-0E0000]yyyy-mm-dd")</f>
        <v/>
      </c>
      <c r="C27713" t="inlineStr">
        <is>
          <t>1975-10-13</t>
        </is>
      </c>
    </row>
    <row r="27714">
      <c r="A27714" s="1" t="n">
        <v>27713</v>
      </c>
      <c r="B27714">
        <f>TEXT(27713, "[$-0E0000]yyyy-mm-dd")</f>
        <v/>
      </c>
      <c r="C27714" t="inlineStr">
        <is>
          <t>1975-10-14</t>
        </is>
      </c>
    </row>
    <row r="27715">
      <c r="A27715" s="1" t="n">
        <v>27714</v>
      </c>
      <c r="B27715">
        <f>TEXT(27714, "[$-0E0000]yyyy-mm-dd")</f>
        <v/>
      </c>
      <c r="C27715" t="inlineStr">
        <is>
          <t>1975-10-15</t>
        </is>
      </c>
    </row>
    <row r="27716">
      <c r="A27716" s="1" t="n">
        <v>27715</v>
      </c>
      <c r="B27716">
        <f>TEXT(27715, "[$-0E0000]yyyy-mm-dd")</f>
        <v/>
      </c>
      <c r="C27716" t="inlineStr">
        <is>
          <t>1975-10-16</t>
        </is>
      </c>
    </row>
    <row r="27717">
      <c r="A27717" s="1" t="n">
        <v>27716</v>
      </c>
      <c r="B27717">
        <f>TEXT(27716, "[$-0E0000]yyyy-mm-dd")</f>
        <v/>
      </c>
      <c r="C27717" t="inlineStr">
        <is>
          <t>1975-10-17</t>
        </is>
      </c>
    </row>
    <row r="27718">
      <c r="A27718" s="1" t="n">
        <v>27717</v>
      </c>
      <c r="B27718">
        <f>TEXT(27717, "[$-0E0000]yyyy-mm-dd")</f>
        <v/>
      </c>
      <c r="C27718" t="inlineStr">
        <is>
          <t>1975-10-18</t>
        </is>
      </c>
    </row>
    <row r="27719">
      <c r="A27719" s="1" t="n">
        <v>27718</v>
      </c>
      <c r="B27719">
        <f>TEXT(27718, "[$-0E0000]yyyy-mm-dd")</f>
        <v/>
      </c>
      <c r="C27719" t="inlineStr">
        <is>
          <t>1975-10-19</t>
        </is>
      </c>
    </row>
    <row r="27720">
      <c r="A27720" s="1" t="n">
        <v>27719</v>
      </c>
      <c r="B27720">
        <f>TEXT(27719, "[$-0E0000]yyyy-mm-dd")</f>
        <v/>
      </c>
      <c r="C27720" t="inlineStr">
        <is>
          <t>1975-10-20</t>
        </is>
      </c>
    </row>
    <row r="27721">
      <c r="A27721" s="1" t="n">
        <v>27720</v>
      </c>
      <c r="B27721">
        <f>TEXT(27720, "[$-0E0000]yyyy-mm-dd")</f>
        <v/>
      </c>
      <c r="C27721" t="inlineStr">
        <is>
          <t>1975-10-21</t>
        </is>
      </c>
    </row>
    <row r="27722">
      <c r="A27722" s="1" t="n">
        <v>27721</v>
      </c>
      <c r="B27722">
        <f>TEXT(27721, "[$-0E0000]yyyy-mm-dd")</f>
        <v/>
      </c>
      <c r="C27722" t="inlineStr">
        <is>
          <t>1975-10-22</t>
        </is>
      </c>
    </row>
    <row r="27723">
      <c r="A27723" s="1" t="n">
        <v>27722</v>
      </c>
      <c r="B27723">
        <f>TEXT(27722, "[$-0E0000]yyyy-mm-dd")</f>
        <v/>
      </c>
      <c r="C27723" t="inlineStr">
        <is>
          <t>1975-10-23</t>
        </is>
      </c>
    </row>
    <row r="27724">
      <c r="A27724" s="1" t="n">
        <v>27723</v>
      </c>
      <c r="B27724">
        <f>TEXT(27723, "[$-0E0000]yyyy-mm-dd")</f>
        <v/>
      </c>
      <c r="C27724" t="inlineStr">
        <is>
          <t>1975-10-24</t>
        </is>
      </c>
    </row>
    <row r="27725">
      <c r="A27725" s="1" t="n">
        <v>27724</v>
      </c>
      <c r="B27725">
        <f>TEXT(27724, "[$-0E0000]yyyy-mm-dd")</f>
        <v/>
      </c>
      <c r="C27725" t="inlineStr">
        <is>
          <t>1975-10-25</t>
        </is>
      </c>
    </row>
    <row r="27726">
      <c r="A27726" s="1" t="n">
        <v>27725</v>
      </c>
      <c r="B27726">
        <f>TEXT(27725, "[$-0E0000]yyyy-mm-dd")</f>
        <v/>
      </c>
      <c r="C27726" t="inlineStr">
        <is>
          <t>1975-10-26</t>
        </is>
      </c>
    </row>
    <row r="27727">
      <c r="A27727" s="1" t="n">
        <v>27726</v>
      </c>
      <c r="B27727">
        <f>TEXT(27726, "[$-0E0000]yyyy-mm-dd")</f>
        <v/>
      </c>
      <c r="C27727" t="inlineStr">
        <is>
          <t>1975-10-27</t>
        </is>
      </c>
    </row>
    <row r="27728">
      <c r="A27728" s="1" t="n">
        <v>27727</v>
      </c>
      <c r="B27728">
        <f>TEXT(27727, "[$-0E0000]yyyy-mm-dd")</f>
        <v/>
      </c>
      <c r="C27728" t="inlineStr">
        <is>
          <t>1975-10-28</t>
        </is>
      </c>
    </row>
    <row r="27729">
      <c r="A27729" s="1" t="n">
        <v>27728</v>
      </c>
      <c r="B27729">
        <f>TEXT(27728, "[$-0E0000]yyyy-mm-dd")</f>
        <v/>
      </c>
      <c r="C27729" t="inlineStr">
        <is>
          <t>1975-10-29</t>
        </is>
      </c>
    </row>
    <row r="27730">
      <c r="A27730" s="1" t="n">
        <v>27729</v>
      </c>
      <c r="B27730">
        <f>TEXT(27729, "[$-0E0000]yyyy-mm-dd")</f>
        <v/>
      </c>
      <c r="C27730" t="inlineStr">
        <is>
          <t>1975-10-30</t>
        </is>
      </c>
    </row>
    <row r="27731">
      <c r="A27731" s="1" t="n">
        <v>27730</v>
      </c>
      <c r="B27731">
        <f>TEXT(27730, "[$-0E0000]yyyy-mm-dd")</f>
        <v/>
      </c>
      <c r="C27731" t="inlineStr">
        <is>
          <t>1975-11-01</t>
        </is>
      </c>
    </row>
    <row r="27732">
      <c r="A27732" s="1" t="n">
        <v>27731</v>
      </c>
      <c r="B27732">
        <f>TEXT(27731, "[$-0E0000]yyyy-mm-dd")</f>
        <v/>
      </c>
      <c r="C27732" t="inlineStr">
        <is>
          <t>1975-11-02</t>
        </is>
      </c>
    </row>
    <row r="27733">
      <c r="A27733" s="1" t="n">
        <v>27732</v>
      </c>
      <c r="B27733">
        <f>TEXT(27732, "[$-0E0000]yyyy-mm-dd")</f>
        <v/>
      </c>
      <c r="C27733" t="inlineStr">
        <is>
          <t>1975-11-03</t>
        </is>
      </c>
    </row>
    <row r="27734">
      <c r="A27734" s="1" t="n">
        <v>27733</v>
      </c>
      <c r="B27734">
        <f>TEXT(27733, "[$-0E0000]yyyy-mm-dd")</f>
        <v/>
      </c>
      <c r="C27734" t="inlineStr">
        <is>
          <t>1975-11-04</t>
        </is>
      </c>
    </row>
    <row r="27735">
      <c r="A27735" s="1" t="n">
        <v>27734</v>
      </c>
      <c r="B27735">
        <f>TEXT(27734, "[$-0E0000]yyyy-mm-dd")</f>
        <v/>
      </c>
      <c r="C27735" t="inlineStr">
        <is>
          <t>1975-11-05</t>
        </is>
      </c>
    </row>
    <row r="27736">
      <c r="A27736" s="1" t="n">
        <v>27735</v>
      </c>
      <c r="B27736">
        <f>TEXT(27735, "[$-0E0000]yyyy-mm-dd")</f>
        <v/>
      </c>
      <c r="C27736" t="inlineStr">
        <is>
          <t>1975-11-06</t>
        </is>
      </c>
    </row>
    <row r="27737">
      <c r="A27737" s="1" t="n">
        <v>27736</v>
      </c>
      <c r="B27737">
        <f>TEXT(27736, "[$-0E0000]yyyy-mm-dd")</f>
        <v/>
      </c>
      <c r="C27737" t="inlineStr">
        <is>
          <t>1975-11-07</t>
        </is>
      </c>
    </row>
    <row r="27738">
      <c r="A27738" s="1" t="n">
        <v>27737</v>
      </c>
      <c r="B27738">
        <f>TEXT(27737, "[$-0E0000]yyyy-mm-dd")</f>
        <v/>
      </c>
      <c r="C27738" t="inlineStr">
        <is>
          <t>1975-11-08</t>
        </is>
      </c>
    </row>
    <row r="27739">
      <c r="A27739" s="1" t="n">
        <v>27738</v>
      </c>
      <c r="B27739">
        <f>TEXT(27738, "[$-0E0000]yyyy-mm-dd")</f>
        <v/>
      </c>
      <c r="C27739" t="inlineStr">
        <is>
          <t>1975-11-09</t>
        </is>
      </c>
    </row>
    <row r="27740">
      <c r="A27740" s="1" t="n">
        <v>27739</v>
      </c>
      <c r="B27740">
        <f>TEXT(27739, "[$-0E0000]yyyy-mm-dd")</f>
        <v/>
      </c>
      <c r="C27740" t="inlineStr">
        <is>
          <t>1975-11-10</t>
        </is>
      </c>
    </row>
    <row r="27741">
      <c r="A27741" s="1" t="n">
        <v>27740</v>
      </c>
      <c r="B27741">
        <f>TEXT(27740, "[$-0E0000]yyyy-mm-dd")</f>
        <v/>
      </c>
      <c r="C27741" t="inlineStr">
        <is>
          <t>1975-11-11</t>
        </is>
      </c>
    </row>
    <row r="27742">
      <c r="A27742" s="1" t="n">
        <v>27741</v>
      </c>
      <c r="B27742">
        <f>TEXT(27741, "[$-0E0000]yyyy-mm-dd")</f>
        <v/>
      </c>
      <c r="C27742" t="inlineStr">
        <is>
          <t>1975-11-12</t>
        </is>
      </c>
    </row>
    <row r="27743">
      <c r="A27743" s="1" t="n">
        <v>27742</v>
      </c>
      <c r="B27743">
        <f>TEXT(27742, "[$-0E0000]yyyy-mm-dd")</f>
        <v/>
      </c>
      <c r="C27743" t="inlineStr">
        <is>
          <t>1975-11-13</t>
        </is>
      </c>
    </row>
    <row r="27744">
      <c r="A27744" s="1" t="n">
        <v>27743</v>
      </c>
      <c r="B27744">
        <f>TEXT(27743, "[$-0E0000]yyyy-mm-dd")</f>
        <v/>
      </c>
      <c r="C27744" t="inlineStr">
        <is>
          <t>1975-11-14</t>
        </is>
      </c>
    </row>
    <row r="27745">
      <c r="A27745" s="1" t="n">
        <v>27744</v>
      </c>
      <c r="B27745">
        <f>TEXT(27744, "[$-0E0000]yyyy-mm-dd")</f>
        <v/>
      </c>
      <c r="C27745" t="inlineStr">
        <is>
          <t>1975-11-15</t>
        </is>
      </c>
    </row>
    <row r="27746">
      <c r="A27746" s="1" t="n">
        <v>27745</v>
      </c>
      <c r="B27746">
        <f>TEXT(27745, "[$-0E0000]yyyy-mm-dd")</f>
        <v/>
      </c>
      <c r="C27746" t="inlineStr">
        <is>
          <t>1975-11-16</t>
        </is>
      </c>
    </row>
    <row r="27747">
      <c r="A27747" s="1" t="n">
        <v>27746</v>
      </c>
      <c r="B27747">
        <f>TEXT(27746, "[$-0E0000]yyyy-mm-dd")</f>
        <v/>
      </c>
      <c r="C27747" t="inlineStr">
        <is>
          <t>1975-11-17</t>
        </is>
      </c>
    </row>
    <row r="27748">
      <c r="A27748" s="1" t="n">
        <v>27747</v>
      </c>
      <c r="B27748">
        <f>TEXT(27747, "[$-0E0000]yyyy-mm-dd")</f>
        <v/>
      </c>
      <c r="C27748" t="inlineStr">
        <is>
          <t>1975-11-18</t>
        </is>
      </c>
    </row>
    <row r="27749">
      <c r="A27749" s="1" t="n">
        <v>27748</v>
      </c>
      <c r="B27749">
        <f>TEXT(27748, "[$-0E0000]yyyy-mm-dd")</f>
        <v/>
      </c>
      <c r="C27749" t="inlineStr">
        <is>
          <t>1975-11-19</t>
        </is>
      </c>
    </row>
    <row r="27750">
      <c r="A27750" s="1" t="n">
        <v>27749</v>
      </c>
      <c r="B27750">
        <f>TEXT(27749, "[$-0E0000]yyyy-mm-dd")</f>
        <v/>
      </c>
      <c r="C27750" t="inlineStr">
        <is>
          <t>1975-11-20</t>
        </is>
      </c>
    </row>
    <row r="27751">
      <c r="A27751" s="1" t="n">
        <v>27750</v>
      </c>
      <c r="B27751">
        <f>TEXT(27750, "[$-0E0000]yyyy-mm-dd")</f>
        <v/>
      </c>
      <c r="C27751" t="inlineStr">
        <is>
          <t>1975-11-21</t>
        </is>
      </c>
    </row>
    <row r="27752">
      <c r="A27752" s="1" t="n">
        <v>27751</v>
      </c>
      <c r="B27752">
        <f>TEXT(27751, "[$-0E0000]yyyy-mm-dd")</f>
        <v/>
      </c>
      <c r="C27752" t="inlineStr">
        <is>
          <t>1975-11-22</t>
        </is>
      </c>
    </row>
    <row r="27753">
      <c r="A27753" s="1" t="n">
        <v>27752</v>
      </c>
      <c r="B27753">
        <f>TEXT(27752, "[$-0E0000]yyyy-mm-dd")</f>
        <v/>
      </c>
      <c r="C27753" t="inlineStr">
        <is>
          <t>1975-11-23</t>
        </is>
      </c>
    </row>
    <row r="27754">
      <c r="A27754" s="1" t="n">
        <v>27753</v>
      </c>
      <c r="B27754">
        <f>TEXT(27753, "[$-0E0000]yyyy-mm-dd")</f>
        <v/>
      </c>
      <c r="C27754" t="inlineStr">
        <is>
          <t>1975-11-24</t>
        </is>
      </c>
    </row>
    <row r="27755">
      <c r="A27755" s="1" t="n">
        <v>27754</v>
      </c>
      <c r="B27755">
        <f>TEXT(27754, "[$-0E0000]yyyy-mm-dd")</f>
        <v/>
      </c>
      <c r="C27755" t="inlineStr">
        <is>
          <t>1975-11-25</t>
        </is>
      </c>
    </row>
    <row r="27756">
      <c r="A27756" s="1" t="n">
        <v>27755</v>
      </c>
      <c r="B27756">
        <f>TEXT(27755, "[$-0E0000]yyyy-mm-dd")</f>
        <v/>
      </c>
      <c r="C27756" t="inlineStr">
        <is>
          <t>1975-11-26</t>
        </is>
      </c>
    </row>
    <row r="27757">
      <c r="A27757" s="1" t="n">
        <v>27756</v>
      </c>
      <c r="B27757">
        <f>TEXT(27756, "[$-0E0000]yyyy-mm-dd")</f>
        <v/>
      </c>
      <c r="C27757" t="inlineStr">
        <is>
          <t>1975-11-27</t>
        </is>
      </c>
    </row>
    <row r="27758">
      <c r="A27758" s="1" t="n">
        <v>27757</v>
      </c>
      <c r="B27758">
        <f>TEXT(27757, "[$-0E0000]yyyy-mm-dd")</f>
        <v/>
      </c>
      <c r="C27758" t="inlineStr">
        <is>
          <t>1975-11-28</t>
        </is>
      </c>
    </row>
    <row r="27759">
      <c r="A27759" s="1" t="n">
        <v>27758</v>
      </c>
      <c r="B27759">
        <f>TEXT(27758, "[$-0E0000]yyyy-mm-dd")</f>
        <v/>
      </c>
      <c r="C27759" t="inlineStr">
        <is>
          <t>1975-11-29</t>
        </is>
      </c>
    </row>
    <row r="27760">
      <c r="A27760" s="1" t="n">
        <v>27759</v>
      </c>
      <c r="B27760">
        <f>TEXT(27759, "[$-0E0000]yyyy-mm-dd")</f>
        <v/>
      </c>
      <c r="C27760" t="inlineStr">
        <is>
          <t>1975-12-01</t>
        </is>
      </c>
    </row>
    <row r="27761">
      <c r="A27761" s="1" t="n">
        <v>27760</v>
      </c>
      <c r="B27761">
        <f>TEXT(27760, "[$-0E0000]yyyy-mm-dd")</f>
        <v/>
      </c>
      <c r="C27761" t="inlineStr">
        <is>
          <t>1975-12-02</t>
        </is>
      </c>
    </row>
    <row r="27762">
      <c r="A27762" s="1" t="n">
        <v>27761</v>
      </c>
      <c r="B27762">
        <f>TEXT(27761, "[$-0E0000]yyyy-mm-dd")</f>
        <v/>
      </c>
      <c r="C27762" t="inlineStr">
        <is>
          <t>1975-12-03</t>
        </is>
      </c>
    </row>
    <row r="27763">
      <c r="A27763" s="1" t="n">
        <v>27762</v>
      </c>
      <c r="B27763">
        <f>TEXT(27762, "[$-0E0000]yyyy-mm-dd")</f>
        <v/>
      </c>
      <c r="C27763" t="inlineStr">
        <is>
          <t>1975-12-04</t>
        </is>
      </c>
    </row>
    <row r="27764">
      <c r="A27764" s="1" t="n">
        <v>27763</v>
      </c>
      <c r="B27764">
        <f>TEXT(27763, "[$-0E0000]yyyy-mm-dd")</f>
        <v/>
      </c>
      <c r="C27764" t="inlineStr">
        <is>
          <t>1975-12-05</t>
        </is>
      </c>
    </row>
    <row r="27765">
      <c r="A27765" s="1" t="n">
        <v>27764</v>
      </c>
      <c r="B27765">
        <f>TEXT(27764, "[$-0E0000]yyyy-mm-dd")</f>
        <v/>
      </c>
      <c r="C27765" t="inlineStr">
        <is>
          <t>1975-12-06</t>
        </is>
      </c>
    </row>
    <row r="27766">
      <c r="A27766" s="1" t="n">
        <v>27765</v>
      </c>
      <c r="B27766">
        <f>TEXT(27765, "[$-0E0000]yyyy-mm-dd")</f>
        <v/>
      </c>
      <c r="C27766" t="inlineStr">
        <is>
          <t>1975-12-07</t>
        </is>
      </c>
    </row>
    <row r="27767">
      <c r="A27767" s="1" t="n">
        <v>27766</v>
      </c>
      <c r="B27767">
        <f>TEXT(27766, "[$-0E0000]yyyy-mm-dd")</f>
        <v/>
      </c>
      <c r="C27767" t="inlineStr">
        <is>
          <t>1975-12-08</t>
        </is>
      </c>
    </row>
    <row r="27768">
      <c r="A27768" s="1" t="n">
        <v>27767</v>
      </c>
      <c r="B27768">
        <f>TEXT(27767, "[$-0E0000]yyyy-mm-dd")</f>
        <v/>
      </c>
      <c r="C27768" t="inlineStr">
        <is>
          <t>1975-12-09</t>
        </is>
      </c>
    </row>
    <row r="27769">
      <c r="A27769" s="1" t="n">
        <v>27768</v>
      </c>
      <c r="B27769">
        <f>TEXT(27768, "[$-0E0000]yyyy-mm-dd")</f>
        <v/>
      </c>
      <c r="C27769" t="inlineStr">
        <is>
          <t>1975-12-10</t>
        </is>
      </c>
    </row>
    <row r="27770">
      <c r="A27770" s="1" t="n">
        <v>27769</v>
      </c>
      <c r="B27770">
        <f>TEXT(27769, "[$-0E0000]yyyy-mm-dd")</f>
        <v/>
      </c>
      <c r="C27770" t="inlineStr">
        <is>
          <t>1975-12-11</t>
        </is>
      </c>
    </row>
    <row r="27771">
      <c r="A27771" s="1" t="n">
        <v>27770</v>
      </c>
      <c r="B27771">
        <f>TEXT(27770, "[$-0E0000]yyyy-mm-dd")</f>
        <v/>
      </c>
      <c r="C27771" t="inlineStr">
        <is>
          <t>1975-12-12</t>
        </is>
      </c>
    </row>
    <row r="27772">
      <c r="A27772" s="1" t="n">
        <v>27771</v>
      </c>
      <c r="B27772">
        <f>TEXT(27771, "[$-0E0000]yyyy-mm-dd")</f>
        <v/>
      </c>
      <c r="C27772" t="inlineStr">
        <is>
          <t>1975-12-13</t>
        </is>
      </c>
    </row>
    <row r="27773">
      <c r="A27773" s="1" t="n">
        <v>27772</v>
      </c>
      <c r="B27773">
        <f>TEXT(27772, "[$-0E0000]yyyy-mm-dd")</f>
        <v/>
      </c>
      <c r="C27773" t="inlineStr">
        <is>
          <t>1975-12-14</t>
        </is>
      </c>
    </row>
    <row r="27774">
      <c r="A27774" s="1" t="n">
        <v>27773</v>
      </c>
      <c r="B27774">
        <f>TEXT(27773, "[$-0E0000]yyyy-mm-dd")</f>
        <v/>
      </c>
      <c r="C27774" t="inlineStr">
        <is>
          <t>1975-12-15</t>
        </is>
      </c>
    </row>
    <row r="27775">
      <c r="A27775" s="1" t="n">
        <v>27774</v>
      </c>
      <c r="B27775">
        <f>TEXT(27774, "[$-0E0000]yyyy-mm-dd")</f>
        <v/>
      </c>
      <c r="C27775" t="inlineStr">
        <is>
          <t>1975-12-16</t>
        </is>
      </c>
    </row>
    <row r="27776">
      <c r="A27776" s="1" t="n">
        <v>27775</v>
      </c>
      <c r="B27776">
        <f>TEXT(27775, "[$-0E0000]yyyy-mm-dd")</f>
        <v/>
      </c>
      <c r="C27776" t="inlineStr">
        <is>
          <t>1975-12-17</t>
        </is>
      </c>
    </row>
    <row r="27777">
      <c r="A27777" s="1" t="n">
        <v>27776</v>
      </c>
      <c r="B27777">
        <f>TEXT(27776, "[$-0E0000]yyyy-mm-dd")</f>
        <v/>
      </c>
      <c r="C27777" t="inlineStr">
        <is>
          <t>1975-12-18</t>
        </is>
      </c>
    </row>
    <row r="27778">
      <c r="A27778" s="1" t="n">
        <v>27777</v>
      </c>
      <c r="B27778">
        <f>TEXT(27777, "[$-0E0000]yyyy-mm-dd")</f>
        <v/>
      </c>
      <c r="C27778" t="inlineStr">
        <is>
          <t>1975-12-19</t>
        </is>
      </c>
    </row>
    <row r="27779">
      <c r="A27779" s="1" t="n">
        <v>27778</v>
      </c>
      <c r="B27779">
        <f>TEXT(27778, "[$-0E0000]yyyy-mm-dd")</f>
        <v/>
      </c>
      <c r="C27779" t="inlineStr">
        <is>
          <t>1975-12-20</t>
        </is>
      </c>
    </row>
    <row r="27780">
      <c r="A27780" s="1" t="n">
        <v>27779</v>
      </c>
      <c r="B27780">
        <f>TEXT(27779, "[$-0E0000]yyyy-mm-dd")</f>
        <v/>
      </c>
      <c r="C27780" t="inlineStr">
        <is>
          <t>1975-12-21</t>
        </is>
      </c>
    </row>
    <row r="27781">
      <c r="A27781" s="1" t="n">
        <v>27780</v>
      </c>
      <c r="B27781">
        <f>TEXT(27780, "[$-0E0000]yyyy-mm-dd")</f>
        <v/>
      </c>
      <c r="C27781" t="inlineStr">
        <is>
          <t>1975-12-22</t>
        </is>
      </c>
    </row>
    <row r="27782">
      <c r="A27782" s="1" t="n">
        <v>27781</v>
      </c>
      <c r="B27782">
        <f>TEXT(27781, "[$-0E0000]yyyy-mm-dd")</f>
        <v/>
      </c>
      <c r="C27782" t="inlineStr">
        <is>
          <t>1975-12-23</t>
        </is>
      </c>
    </row>
    <row r="27783">
      <c r="A27783" s="1" t="n">
        <v>27782</v>
      </c>
      <c r="B27783">
        <f>TEXT(27782, "[$-0E0000]yyyy-mm-dd")</f>
        <v/>
      </c>
      <c r="C27783" t="inlineStr">
        <is>
          <t>1975-12-24</t>
        </is>
      </c>
    </row>
    <row r="27784">
      <c r="A27784" s="1" t="n">
        <v>27783</v>
      </c>
      <c r="B27784">
        <f>TEXT(27783, "[$-0E0000]yyyy-mm-dd")</f>
        <v/>
      </c>
      <c r="C27784" t="inlineStr">
        <is>
          <t>1975-12-25</t>
        </is>
      </c>
    </row>
    <row r="27785">
      <c r="A27785" s="1" t="n">
        <v>27784</v>
      </c>
      <c r="B27785">
        <f>TEXT(27784, "[$-0E0000]yyyy-mm-dd")</f>
        <v/>
      </c>
      <c r="C27785" t="inlineStr">
        <is>
          <t>1975-12-26</t>
        </is>
      </c>
    </row>
    <row r="27786">
      <c r="A27786" s="1" t="n">
        <v>27785</v>
      </c>
      <c r="B27786">
        <f>TEXT(27785, "[$-0E0000]yyyy-mm-dd")</f>
        <v/>
      </c>
      <c r="C27786" t="inlineStr">
        <is>
          <t>1975-12-27</t>
        </is>
      </c>
    </row>
    <row r="27787">
      <c r="A27787" s="1" t="n">
        <v>27786</v>
      </c>
      <c r="B27787">
        <f>TEXT(27786, "[$-0E0000]yyyy-mm-dd")</f>
        <v/>
      </c>
      <c r="C27787" t="inlineStr">
        <is>
          <t>1975-12-28</t>
        </is>
      </c>
    </row>
    <row r="27788">
      <c r="A27788" s="1" t="n">
        <v>27787</v>
      </c>
      <c r="B27788">
        <f>TEXT(27787, "[$-0E0000]yyyy-mm-dd")</f>
        <v/>
      </c>
      <c r="C27788" t="inlineStr">
        <is>
          <t>1975-12-29</t>
        </is>
      </c>
    </row>
    <row r="27789">
      <c r="A27789" s="1" t="n">
        <v>27788</v>
      </c>
      <c r="B27789">
        <f>TEXT(27788, "[$-0E0000]yyyy-mm-dd")</f>
        <v/>
      </c>
      <c r="C27789" t="inlineStr">
        <is>
          <t>1975-12-30</t>
        </is>
      </c>
    </row>
    <row r="27790">
      <c r="A27790" s="1" t="n">
        <v>27789</v>
      </c>
      <c r="B27790">
        <f>TEXT(27789, "[$-0E0000]yyyy-mm-dd")</f>
        <v/>
      </c>
      <c r="C27790" t="inlineStr">
        <is>
          <t>1976-01-01</t>
        </is>
      </c>
    </row>
    <row r="27791">
      <c r="A27791" s="1" t="n">
        <v>27790</v>
      </c>
      <c r="B27791">
        <f>TEXT(27790, "[$-0E0000]yyyy-mm-dd")</f>
        <v/>
      </c>
      <c r="C27791" t="inlineStr">
        <is>
          <t>1976-01-02</t>
        </is>
      </c>
    </row>
    <row r="27792">
      <c r="A27792" s="1" t="n">
        <v>27791</v>
      </c>
      <c r="B27792">
        <f>TEXT(27791, "[$-0E0000]yyyy-mm-dd")</f>
        <v/>
      </c>
      <c r="C27792" t="inlineStr">
        <is>
          <t>1976-01-03</t>
        </is>
      </c>
    </row>
    <row r="27793">
      <c r="A27793" s="1" t="n">
        <v>27792</v>
      </c>
      <c r="B27793">
        <f>TEXT(27792, "[$-0E0000]yyyy-mm-dd")</f>
        <v/>
      </c>
      <c r="C27793" t="inlineStr">
        <is>
          <t>1976-01-04</t>
        </is>
      </c>
    </row>
    <row r="27794">
      <c r="A27794" s="1" t="n">
        <v>27793</v>
      </c>
      <c r="B27794">
        <f>TEXT(27793, "[$-0E0000]yyyy-mm-dd")</f>
        <v/>
      </c>
      <c r="C27794" t="inlineStr">
        <is>
          <t>1976-01-05</t>
        </is>
      </c>
    </row>
    <row r="27795">
      <c r="A27795" s="1" t="n">
        <v>27794</v>
      </c>
      <c r="B27795">
        <f>TEXT(27794, "[$-0E0000]yyyy-mm-dd")</f>
        <v/>
      </c>
      <c r="C27795" t="inlineStr">
        <is>
          <t>1976-01-06</t>
        </is>
      </c>
    </row>
    <row r="27796">
      <c r="A27796" s="1" t="n">
        <v>27795</v>
      </c>
      <c r="B27796">
        <f>TEXT(27795, "[$-0E0000]yyyy-mm-dd")</f>
        <v/>
      </c>
      <c r="C27796" t="inlineStr">
        <is>
          <t>1976-01-07</t>
        </is>
      </c>
    </row>
    <row r="27797">
      <c r="A27797" s="1" t="n">
        <v>27796</v>
      </c>
      <c r="B27797">
        <f>TEXT(27796, "[$-0E0000]yyyy-mm-dd")</f>
        <v/>
      </c>
      <c r="C27797" t="inlineStr">
        <is>
          <t>1976-01-08</t>
        </is>
      </c>
    </row>
    <row r="27798">
      <c r="A27798" s="1" t="n">
        <v>27797</v>
      </c>
      <c r="B27798">
        <f>TEXT(27797, "[$-0E0000]yyyy-mm-dd")</f>
        <v/>
      </c>
      <c r="C27798" t="inlineStr">
        <is>
          <t>1976-01-09</t>
        </is>
      </c>
    </row>
    <row r="27799">
      <c r="A27799" s="1" t="n">
        <v>27798</v>
      </c>
      <c r="B27799">
        <f>TEXT(27798, "[$-0E0000]yyyy-mm-dd")</f>
        <v/>
      </c>
      <c r="C27799" t="inlineStr">
        <is>
          <t>1976-01-10</t>
        </is>
      </c>
    </row>
    <row r="27800">
      <c r="A27800" s="1" t="n">
        <v>27799</v>
      </c>
      <c r="B27800">
        <f>TEXT(27799, "[$-0E0000]yyyy-mm-dd")</f>
        <v/>
      </c>
      <c r="C27800" t="inlineStr">
        <is>
          <t>1976-01-11</t>
        </is>
      </c>
    </row>
    <row r="27801">
      <c r="A27801" s="1" t="n">
        <v>27800</v>
      </c>
      <c r="B27801">
        <f>TEXT(27800, "[$-0E0000]yyyy-mm-dd")</f>
        <v/>
      </c>
      <c r="C27801" t="inlineStr">
        <is>
          <t>1976-01-12</t>
        </is>
      </c>
    </row>
    <row r="27802">
      <c r="A27802" s="1" t="n">
        <v>27801</v>
      </c>
      <c r="B27802">
        <f>TEXT(27801, "[$-0E0000]yyyy-mm-dd")</f>
        <v/>
      </c>
      <c r="C27802" t="inlineStr">
        <is>
          <t>1976-01-13</t>
        </is>
      </c>
    </row>
    <row r="27803">
      <c r="A27803" s="1" t="n">
        <v>27802</v>
      </c>
      <c r="B27803">
        <f>TEXT(27802, "[$-0E0000]yyyy-mm-dd")</f>
        <v/>
      </c>
      <c r="C27803" t="inlineStr">
        <is>
          <t>1976-01-14</t>
        </is>
      </c>
    </row>
    <row r="27804">
      <c r="A27804" s="1" t="n">
        <v>27803</v>
      </c>
      <c r="B27804">
        <f>TEXT(27803, "[$-0E0000]yyyy-mm-dd")</f>
        <v/>
      </c>
      <c r="C27804" t="inlineStr">
        <is>
          <t>1976-01-15</t>
        </is>
      </c>
    </row>
    <row r="27805">
      <c r="A27805" s="1" t="n">
        <v>27804</v>
      </c>
      <c r="B27805">
        <f>TEXT(27804, "[$-0E0000]yyyy-mm-dd")</f>
        <v/>
      </c>
      <c r="C27805" t="inlineStr">
        <is>
          <t>1976-01-16</t>
        </is>
      </c>
    </row>
    <row r="27806">
      <c r="A27806" s="1" t="n">
        <v>27805</v>
      </c>
      <c r="B27806">
        <f>TEXT(27805, "[$-0E0000]yyyy-mm-dd")</f>
        <v/>
      </c>
      <c r="C27806" t="inlineStr">
        <is>
          <t>1976-01-17</t>
        </is>
      </c>
    </row>
    <row r="27807">
      <c r="A27807" s="1" t="n">
        <v>27806</v>
      </c>
      <c r="B27807">
        <f>TEXT(27806, "[$-0E0000]yyyy-mm-dd")</f>
        <v/>
      </c>
      <c r="C27807" t="inlineStr">
        <is>
          <t>1976-01-18</t>
        </is>
      </c>
    </row>
    <row r="27808">
      <c r="A27808" s="1" t="n">
        <v>27807</v>
      </c>
      <c r="B27808">
        <f>TEXT(27807, "[$-0E0000]yyyy-mm-dd")</f>
        <v/>
      </c>
      <c r="C27808" t="inlineStr">
        <is>
          <t>1976-01-19</t>
        </is>
      </c>
    </row>
    <row r="27809">
      <c r="A27809" s="1" t="n">
        <v>27808</v>
      </c>
      <c r="B27809">
        <f>TEXT(27808, "[$-0E0000]yyyy-mm-dd")</f>
        <v/>
      </c>
      <c r="C27809" t="inlineStr">
        <is>
          <t>1976-01-20</t>
        </is>
      </c>
    </row>
    <row r="27810">
      <c r="A27810" s="1" t="n">
        <v>27809</v>
      </c>
      <c r="B27810">
        <f>TEXT(27809, "[$-0E0000]yyyy-mm-dd")</f>
        <v/>
      </c>
      <c r="C27810" t="inlineStr">
        <is>
          <t>1976-01-21</t>
        </is>
      </c>
    </row>
    <row r="27811">
      <c r="A27811" s="1" t="n">
        <v>27810</v>
      </c>
      <c r="B27811">
        <f>TEXT(27810, "[$-0E0000]yyyy-mm-dd")</f>
        <v/>
      </c>
      <c r="C27811" t="inlineStr">
        <is>
          <t>1976-01-22</t>
        </is>
      </c>
    </row>
    <row r="27812">
      <c r="A27812" s="1" t="n">
        <v>27811</v>
      </c>
      <c r="B27812">
        <f>TEXT(27811, "[$-0E0000]yyyy-mm-dd")</f>
        <v/>
      </c>
      <c r="C27812" t="inlineStr">
        <is>
          <t>1976-01-23</t>
        </is>
      </c>
    </row>
    <row r="27813">
      <c r="A27813" s="1" t="n">
        <v>27812</v>
      </c>
      <c r="B27813">
        <f>TEXT(27812, "[$-0E0000]yyyy-mm-dd")</f>
        <v/>
      </c>
      <c r="C27813" t="inlineStr">
        <is>
          <t>1976-01-24</t>
        </is>
      </c>
    </row>
    <row r="27814">
      <c r="A27814" s="1" t="n">
        <v>27813</v>
      </c>
      <c r="B27814">
        <f>TEXT(27813, "[$-0E0000]yyyy-mm-dd")</f>
        <v/>
      </c>
      <c r="C27814" t="inlineStr">
        <is>
          <t>1976-01-25</t>
        </is>
      </c>
    </row>
    <row r="27815">
      <c r="A27815" s="1" t="n">
        <v>27814</v>
      </c>
      <c r="B27815">
        <f>TEXT(27814, "[$-0E0000]yyyy-mm-dd")</f>
        <v/>
      </c>
      <c r="C27815" t="inlineStr">
        <is>
          <t>1976-01-26</t>
        </is>
      </c>
    </row>
    <row r="27816">
      <c r="A27816" s="1" t="n">
        <v>27815</v>
      </c>
      <c r="B27816">
        <f>TEXT(27815, "[$-0E0000]yyyy-mm-dd")</f>
        <v/>
      </c>
      <c r="C27816" t="inlineStr">
        <is>
          <t>1976-01-27</t>
        </is>
      </c>
    </row>
    <row r="27817">
      <c r="A27817" s="1" t="n">
        <v>27816</v>
      </c>
      <c r="B27817">
        <f>TEXT(27816, "[$-0E0000]yyyy-mm-dd")</f>
        <v/>
      </c>
      <c r="C27817" t="inlineStr">
        <is>
          <t>1976-01-28</t>
        </is>
      </c>
    </row>
    <row r="27818">
      <c r="A27818" s="1" t="n">
        <v>27817</v>
      </c>
      <c r="B27818">
        <f>TEXT(27817, "[$-0E0000]yyyy-mm-dd")</f>
        <v/>
      </c>
      <c r="C27818" t="inlineStr">
        <is>
          <t>1976-01-29</t>
        </is>
      </c>
    </row>
    <row r="27819">
      <c r="A27819" s="1" t="n">
        <v>27818</v>
      </c>
      <c r="B27819">
        <f>TEXT(27818, "[$-0E0000]yyyy-mm-dd")</f>
        <v/>
      </c>
      <c r="C27819" t="inlineStr">
        <is>
          <t>1976-01-30</t>
        </is>
      </c>
    </row>
    <row r="27820">
      <c r="A27820" s="1" t="n">
        <v>27819</v>
      </c>
      <c r="B27820">
        <f>TEXT(27819, "[$-0E0000]yyyy-mm-dd")</f>
        <v/>
      </c>
      <c r="C27820" t="inlineStr">
        <is>
          <t>1976-02-01</t>
        </is>
      </c>
    </row>
    <row r="27821">
      <c r="A27821" s="1" t="n">
        <v>27820</v>
      </c>
      <c r="B27821">
        <f>TEXT(27820, "[$-0E0000]yyyy-mm-dd")</f>
        <v/>
      </c>
      <c r="C27821" t="inlineStr">
        <is>
          <t>1976-02-02</t>
        </is>
      </c>
    </row>
    <row r="27822">
      <c r="A27822" s="1" t="n">
        <v>27821</v>
      </c>
      <c r="B27822">
        <f>TEXT(27821, "[$-0E0000]yyyy-mm-dd")</f>
        <v/>
      </c>
      <c r="C27822" t="inlineStr">
        <is>
          <t>1976-02-03</t>
        </is>
      </c>
    </row>
    <row r="27823">
      <c r="A27823" s="1" t="n">
        <v>27822</v>
      </c>
      <c r="B27823">
        <f>TEXT(27822, "[$-0E0000]yyyy-mm-dd")</f>
        <v/>
      </c>
      <c r="C27823" t="inlineStr">
        <is>
          <t>1976-02-04</t>
        </is>
      </c>
    </row>
    <row r="27824">
      <c r="A27824" s="1" t="n">
        <v>27823</v>
      </c>
      <c r="B27824">
        <f>TEXT(27823, "[$-0E0000]yyyy-mm-dd")</f>
        <v/>
      </c>
      <c r="C27824" t="inlineStr">
        <is>
          <t>1976-02-05</t>
        </is>
      </c>
    </row>
    <row r="27825">
      <c r="A27825" s="1" t="n">
        <v>27824</v>
      </c>
      <c r="B27825">
        <f>TEXT(27824, "[$-0E0000]yyyy-mm-dd")</f>
        <v/>
      </c>
      <c r="C27825" t="inlineStr">
        <is>
          <t>1976-02-06</t>
        </is>
      </c>
    </row>
    <row r="27826">
      <c r="A27826" s="1" t="n">
        <v>27825</v>
      </c>
      <c r="B27826">
        <f>TEXT(27825, "[$-0E0000]yyyy-mm-dd")</f>
        <v/>
      </c>
      <c r="C27826" t="inlineStr">
        <is>
          <t>1976-02-07</t>
        </is>
      </c>
    </row>
    <row r="27827">
      <c r="A27827" s="1" t="n">
        <v>27826</v>
      </c>
      <c r="B27827">
        <f>TEXT(27826, "[$-0E0000]yyyy-mm-dd")</f>
        <v/>
      </c>
      <c r="C27827" t="inlineStr">
        <is>
          <t>1976-02-08</t>
        </is>
      </c>
    </row>
    <row r="27828">
      <c r="A27828" s="1" t="n">
        <v>27827</v>
      </c>
      <c r="B27828">
        <f>TEXT(27827, "[$-0E0000]yyyy-mm-dd")</f>
        <v/>
      </c>
      <c r="C27828" t="inlineStr">
        <is>
          <t>1976-02-09</t>
        </is>
      </c>
    </row>
    <row r="27829">
      <c r="A27829" s="1" t="n">
        <v>27828</v>
      </c>
      <c r="B27829">
        <f>TEXT(27828, "[$-0E0000]yyyy-mm-dd")</f>
        <v/>
      </c>
      <c r="C27829" t="inlineStr">
        <is>
          <t>1976-02-10</t>
        </is>
      </c>
    </row>
    <row r="27830">
      <c r="A27830" s="1" t="n">
        <v>27829</v>
      </c>
      <c r="B27830">
        <f>TEXT(27829, "[$-0E0000]yyyy-mm-dd")</f>
        <v/>
      </c>
      <c r="C27830" t="inlineStr">
        <is>
          <t>1976-02-11</t>
        </is>
      </c>
    </row>
    <row r="27831">
      <c r="A27831" s="1" t="n">
        <v>27830</v>
      </c>
      <c r="B27831">
        <f>TEXT(27830, "[$-0E0000]yyyy-mm-dd")</f>
        <v/>
      </c>
      <c r="C27831" t="inlineStr">
        <is>
          <t>1976-02-12</t>
        </is>
      </c>
    </row>
    <row r="27832">
      <c r="A27832" s="1" t="n">
        <v>27831</v>
      </c>
      <c r="B27832">
        <f>TEXT(27831, "[$-0E0000]yyyy-mm-dd")</f>
        <v/>
      </c>
      <c r="C27832" t="inlineStr">
        <is>
          <t>1976-02-13</t>
        </is>
      </c>
    </row>
    <row r="27833">
      <c r="A27833" s="1" t="n">
        <v>27832</v>
      </c>
      <c r="B27833">
        <f>TEXT(27832, "[$-0E0000]yyyy-mm-dd")</f>
        <v/>
      </c>
      <c r="C27833" t="inlineStr">
        <is>
          <t>1976-02-14</t>
        </is>
      </c>
    </row>
    <row r="27834">
      <c r="A27834" s="1" t="n">
        <v>27833</v>
      </c>
      <c r="B27834">
        <f>TEXT(27833, "[$-0E0000]yyyy-mm-dd")</f>
        <v/>
      </c>
      <c r="C27834" t="inlineStr">
        <is>
          <t>1976-02-15</t>
        </is>
      </c>
    </row>
    <row r="27835">
      <c r="A27835" s="1" t="n">
        <v>27834</v>
      </c>
      <c r="B27835">
        <f>TEXT(27834, "[$-0E0000]yyyy-mm-dd")</f>
        <v/>
      </c>
      <c r="C27835" t="inlineStr">
        <is>
          <t>1976-02-16</t>
        </is>
      </c>
    </row>
    <row r="27836">
      <c r="A27836" s="1" t="n">
        <v>27835</v>
      </c>
      <c r="B27836">
        <f>TEXT(27835, "[$-0E0000]yyyy-mm-dd")</f>
        <v/>
      </c>
      <c r="C27836" t="inlineStr">
        <is>
          <t>1976-02-17</t>
        </is>
      </c>
    </row>
    <row r="27837">
      <c r="A27837" s="1" t="n">
        <v>27836</v>
      </c>
      <c r="B27837">
        <f>TEXT(27836, "[$-0E0000]yyyy-mm-dd")</f>
        <v/>
      </c>
      <c r="C27837" t="inlineStr">
        <is>
          <t>1976-02-18</t>
        </is>
      </c>
    </row>
    <row r="27838">
      <c r="A27838" s="1" t="n">
        <v>27837</v>
      </c>
      <c r="B27838">
        <f>TEXT(27837, "[$-0E0000]yyyy-mm-dd")</f>
        <v/>
      </c>
      <c r="C27838" t="inlineStr">
        <is>
          <t>1976-02-19</t>
        </is>
      </c>
    </row>
    <row r="27839">
      <c r="A27839" s="1" t="n">
        <v>27838</v>
      </c>
      <c r="B27839">
        <f>TEXT(27838, "[$-0E0000]yyyy-mm-dd")</f>
        <v/>
      </c>
      <c r="C27839" t="inlineStr">
        <is>
          <t>1976-02-20</t>
        </is>
      </c>
    </row>
    <row r="27840">
      <c r="A27840" s="1" t="n">
        <v>27839</v>
      </c>
      <c r="B27840">
        <f>TEXT(27839, "[$-0E0000]yyyy-mm-dd")</f>
        <v/>
      </c>
      <c r="C27840" t="inlineStr">
        <is>
          <t>1976-02-21</t>
        </is>
      </c>
    </row>
    <row r="27841">
      <c r="A27841" s="1" t="n">
        <v>27840</v>
      </c>
      <c r="B27841">
        <f>TEXT(27840, "[$-0E0000]yyyy-mm-dd")</f>
        <v/>
      </c>
      <c r="C27841" t="inlineStr">
        <is>
          <t>1976-02-22</t>
        </is>
      </c>
    </row>
    <row r="27842">
      <c r="A27842" s="1" t="n">
        <v>27841</v>
      </c>
      <c r="B27842">
        <f>TEXT(27841, "[$-0E0000]yyyy-mm-dd")</f>
        <v/>
      </c>
      <c r="C27842" t="inlineStr">
        <is>
          <t>1976-02-23</t>
        </is>
      </c>
    </row>
    <row r="27843">
      <c r="A27843" s="1" t="n">
        <v>27842</v>
      </c>
      <c r="B27843">
        <f>TEXT(27842, "[$-0E0000]yyyy-mm-dd")</f>
        <v/>
      </c>
      <c r="C27843" t="inlineStr">
        <is>
          <t>1976-02-24</t>
        </is>
      </c>
    </row>
    <row r="27844">
      <c r="A27844" s="1" t="n">
        <v>27843</v>
      </c>
      <c r="B27844">
        <f>TEXT(27843, "[$-0E0000]yyyy-mm-dd")</f>
        <v/>
      </c>
      <c r="C27844" t="inlineStr">
        <is>
          <t>1976-02-25</t>
        </is>
      </c>
    </row>
    <row r="27845">
      <c r="A27845" s="1" t="n">
        <v>27844</v>
      </c>
      <c r="B27845">
        <f>TEXT(27844, "[$-0E0000]yyyy-mm-dd")</f>
        <v/>
      </c>
      <c r="C27845" t="inlineStr">
        <is>
          <t>1976-02-26</t>
        </is>
      </c>
    </row>
    <row r="27846">
      <c r="A27846" s="1" t="n">
        <v>27845</v>
      </c>
      <c r="B27846">
        <f>TEXT(27845, "[$-0E0000]yyyy-mm-dd")</f>
        <v/>
      </c>
      <c r="C27846" t="inlineStr">
        <is>
          <t>1976-02-27</t>
        </is>
      </c>
    </row>
    <row r="27847">
      <c r="A27847" s="1" t="n">
        <v>27846</v>
      </c>
      <c r="B27847">
        <f>TEXT(27846, "[$-0E0000]yyyy-mm-dd")</f>
        <v/>
      </c>
      <c r="C27847" t="inlineStr">
        <is>
          <t>1976-02-28</t>
        </is>
      </c>
    </row>
    <row r="27848">
      <c r="A27848" s="1" t="n">
        <v>27847</v>
      </c>
      <c r="B27848">
        <f>TEXT(27847, "[$-0E0000]yyyy-mm-dd")</f>
        <v/>
      </c>
      <c r="C27848" t="inlineStr">
        <is>
          <t>1976-02-29</t>
        </is>
      </c>
    </row>
    <row r="27849">
      <c r="A27849" s="1" t="n">
        <v>27848</v>
      </c>
      <c r="B27849">
        <f>TEXT(27848, "[$-0E0000]yyyy-mm-dd")</f>
        <v/>
      </c>
      <c r="C27849" t="inlineStr">
        <is>
          <t>1976-02-30</t>
        </is>
      </c>
    </row>
    <row r="27850">
      <c r="A27850" s="1" t="n">
        <v>27849</v>
      </c>
      <c r="B27850">
        <f>TEXT(27849, "[$-0E0000]yyyy-mm-dd")</f>
        <v/>
      </c>
      <c r="C27850" t="inlineStr">
        <is>
          <t>1976-03-01</t>
        </is>
      </c>
    </row>
    <row r="27851">
      <c r="A27851" s="1" t="n">
        <v>27850</v>
      </c>
      <c r="B27851">
        <f>TEXT(27850, "[$-0E0000]yyyy-mm-dd")</f>
        <v/>
      </c>
      <c r="C27851" t="inlineStr">
        <is>
          <t>1976-03-02</t>
        </is>
      </c>
    </row>
    <row r="27852">
      <c r="A27852" s="1" t="n">
        <v>27851</v>
      </c>
      <c r="B27852">
        <f>TEXT(27851, "[$-0E0000]yyyy-mm-dd")</f>
        <v/>
      </c>
      <c r="C27852" t="inlineStr">
        <is>
          <t>1976-03-03</t>
        </is>
      </c>
    </row>
    <row r="27853">
      <c r="A27853" s="1" t="n">
        <v>27852</v>
      </c>
      <c r="B27853">
        <f>TEXT(27852, "[$-0E0000]yyyy-mm-dd")</f>
        <v/>
      </c>
      <c r="C27853" t="inlineStr">
        <is>
          <t>1976-03-04</t>
        </is>
      </c>
    </row>
    <row r="27854">
      <c r="A27854" s="1" t="n">
        <v>27853</v>
      </c>
      <c r="B27854">
        <f>TEXT(27853, "[$-0E0000]yyyy-mm-dd")</f>
        <v/>
      </c>
      <c r="C27854" t="inlineStr">
        <is>
          <t>1976-03-05</t>
        </is>
      </c>
    </row>
    <row r="27855">
      <c r="A27855" s="1" t="n">
        <v>27854</v>
      </c>
      <c r="B27855">
        <f>TEXT(27854, "[$-0E0000]yyyy-mm-dd")</f>
        <v/>
      </c>
      <c r="C27855" t="inlineStr">
        <is>
          <t>1976-03-06</t>
        </is>
      </c>
    </row>
    <row r="27856">
      <c r="A27856" s="1" t="n">
        <v>27855</v>
      </c>
      <c r="B27856">
        <f>TEXT(27855, "[$-0E0000]yyyy-mm-dd")</f>
        <v/>
      </c>
      <c r="C27856" t="inlineStr">
        <is>
          <t>1976-03-07</t>
        </is>
      </c>
    </row>
    <row r="27857">
      <c r="A27857" s="1" t="n">
        <v>27856</v>
      </c>
      <c r="B27857">
        <f>TEXT(27856, "[$-0E0000]yyyy-mm-dd")</f>
        <v/>
      </c>
      <c r="C27857" t="inlineStr">
        <is>
          <t>1976-03-08</t>
        </is>
      </c>
    </row>
    <row r="27858">
      <c r="A27858" s="1" t="n">
        <v>27857</v>
      </c>
      <c r="B27858">
        <f>TEXT(27857, "[$-0E0000]yyyy-mm-dd")</f>
        <v/>
      </c>
      <c r="C27858" t="inlineStr">
        <is>
          <t>1976-03-09</t>
        </is>
      </c>
    </row>
    <row r="27859">
      <c r="A27859" s="1" t="n">
        <v>27858</v>
      </c>
      <c r="B27859">
        <f>TEXT(27858, "[$-0E0000]yyyy-mm-dd")</f>
        <v/>
      </c>
      <c r="C27859" t="inlineStr">
        <is>
          <t>1976-03-10</t>
        </is>
      </c>
    </row>
    <row r="27860">
      <c r="A27860" s="1" t="n">
        <v>27859</v>
      </c>
      <c r="B27860">
        <f>TEXT(27859, "[$-0E0000]yyyy-mm-dd")</f>
        <v/>
      </c>
      <c r="C27860" t="inlineStr">
        <is>
          <t>1976-03-11</t>
        </is>
      </c>
    </row>
    <row r="27861">
      <c r="A27861" s="1" t="n">
        <v>27860</v>
      </c>
      <c r="B27861">
        <f>TEXT(27860, "[$-0E0000]yyyy-mm-dd")</f>
        <v/>
      </c>
      <c r="C27861" t="inlineStr">
        <is>
          <t>1976-03-12</t>
        </is>
      </c>
    </row>
    <row r="27862">
      <c r="A27862" s="1" t="n">
        <v>27861</v>
      </c>
      <c r="B27862">
        <f>TEXT(27861, "[$-0E0000]yyyy-mm-dd")</f>
        <v/>
      </c>
      <c r="C27862" t="inlineStr">
        <is>
          <t>1976-03-13</t>
        </is>
      </c>
    </row>
    <row r="27863">
      <c r="A27863" s="1" t="n">
        <v>27862</v>
      </c>
      <c r="B27863">
        <f>TEXT(27862, "[$-0E0000]yyyy-mm-dd")</f>
        <v/>
      </c>
      <c r="C27863" t="inlineStr">
        <is>
          <t>1976-03-14</t>
        </is>
      </c>
    </row>
    <row r="27864">
      <c r="A27864" s="1" t="n">
        <v>27863</v>
      </c>
      <c r="B27864">
        <f>TEXT(27863, "[$-0E0000]yyyy-mm-dd")</f>
        <v/>
      </c>
      <c r="C27864" t="inlineStr">
        <is>
          <t>1976-03-15</t>
        </is>
      </c>
    </row>
    <row r="27865">
      <c r="A27865" s="1" t="n">
        <v>27864</v>
      </c>
      <c r="B27865">
        <f>TEXT(27864, "[$-0E0000]yyyy-mm-dd")</f>
        <v/>
      </c>
      <c r="C27865" t="inlineStr">
        <is>
          <t>1976-03-16</t>
        </is>
      </c>
    </row>
    <row r="27866">
      <c r="A27866" s="1" t="n">
        <v>27865</v>
      </c>
      <c r="B27866">
        <f>TEXT(27865, "[$-0E0000]yyyy-mm-dd")</f>
        <v/>
      </c>
      <c r="C27866" t="inlineStr">
        <is>
          <t>1976-03-17</t>
        </is>
      </c>
    </row>
    <row r="27867">
      <c r="A27867" s="1" t="n">
        <v>27866</v>
      </c>
      <c r="B27867">
        <f>TEXT(27866, "[$-0E0000]yyyy-mm-dd")</f>
        <v/>
      </c>
      <c r="C27867" t="inlineStr">
        <is>
          <t>1976-03-18</t>
        </is>
      </c>
    </row>
    <row r="27868">
      <c r="A27868" s="1" t="n">
        <v>27867</v>
      </c>
      <c r="B27868">
        <f>TEXT(27867, "[$-0E0000]yyyy-mm-dd")</f>
        <v/>
      </c>
      <c r="C27868" t="inlineStr">
        <is>
          <t>1976-03-19</t>
        </is>
      </c>
    </row>
    <row r="27869">
      <c r="A27869" s="1" t="n">
        <v>27868</v>
      </c>
      <c r="B27869">
        <f>TEXT(27868, "[$-0E0000]yyyy-mm-dd")</f>
        <v/>
      </c>
      <c r="C27869" t="inlineStr">
        <is>
          <t>1976-03-20</t>
        </is>
      </c>
    </row>
    <row r="27870">
      <c r="A27870" s="1" t="n">
        <v>27869</v>
      </c>
      <c r="B27870">
        <f>TEXT(27869, "[$-0E0000]yyyy-mm-dd")</f>
        <v/>
      </c>
      <c r="C27870" t="inlineStr">
        <is>
          <t>1976-03-21</t>
        </is>
      </c>
    </row>
    <row r="27871">
      <c r="A27871" s="1" t="n">
        <v>27870</v>
      </c>
      <c r="B27871">
        <f>TEXT(27870, "[$-0E0000]yyyy-mm-dd")</f>
        <v/>
      </c>
      <c r="C27871" t="inlineStr">
        <is>
          <t>1976-03-22</t>
        </is>
      </c>
    </row>
    <row r="27872">
      <c r="A27872" s="1" t="n">
        <v>27871</v>
      </c>
      <c r="B27872">
        <f>TEXT(27871, "[$-0E0000]yyyy-mm-dd")</f>
        <v/>
      </c>
      <c r="C27872" t="inlineStr">
        <is>
          <t>1976-03-23</t>
        </is>
      </c>
    </row>
    <row r="27873">
      <c r="A27873" s="1" t="n">
        <v>27872</v>
      </c>
      <c r="B27873">
        <f>TEXT(27872, "[$-0E0000]yyyy-mm-dd")</f>
        <v/>
      </c>
      <c r="C27873" t="inlineStr">
        <is>
          <t>1976-03-24</t>
        </is>
      </c>
    </row>
    <row r="27874">
      <c r="A27874" s="1" t="n">
        <v>27873</v>
      </c>
      <c r="B27874">
        <f>TEXT(27873, "[$-0E0000]yyyy-mm-dd")</f>
        <v/>
      </c>
      <c r="C27874" t="inlineStr">
        <is>
          <t>1976-03-25</t>
        </is>
      </c>
    </row>
    <row r="27875">
      <c r="A27875" s="1" t="n">
        <v>27874</v>
      </c>
      <c r="B27875">
        <f>TEXT(27874, "[$-0E0000]yyyy-mm-dd")</f>
        <v/>
      </c>
      <c r="C27875" t="inlineStr">
        <is>
          <t>1976-03-26</t>
        </is>
      </c>
    </row>
    <row r="27876">
      <c r="A27876" s="1" t="n">
        <v>27875</v>
      </c>
      <c r="B27876">
        <f>TEXT(27875, "[$-0E0000]yyyy-mm-dd")</f>
        <v/>
      </c>
      <c r="C27876" t="inlineStr">
        <is>
          <t>1976-03-27</t>
        </is>
      </c>
    </row>
    <row r="27877">
      <c r="A27877" s="1" t="n">
        <v>27876</v>
      </c>
      <c r="B27877">
        <f>TEXT(27876, "[$-0E0000]yyyy-mm-dd")</f>
        <v/>
      </c>
      <c r="C27877" t="inlineStr">
        <is>
          <t>1976-03-28</t>
        </is>
      </c>
    </row>
    <row r="27878">
      <c r="A27878" s="1" t="n">
        <v>27877</v>
      </c>
      <c r="B27878">
        <f>TEXT(27877, "[$-0E0000]yyyy-mm-dd")</f>
        <v/>
      </c>
      <c r="C27878" t="inlineStr">
        <is>
          <t>1976-03-29</t>
        </is>
      </c>
    </row>
    <row r="27879">
      <c r="A27879" s="1" t="n">
        <v>27878</v>
      </c>
      <c r="B27879">
        <f>TEXT(27878, "[$-0E0000]yyyy-mm-dd")</f>
        <v/>
      </c>
      <c r="C27879" t="inlineStr">
        <is>
          <t>1976-04-01</t>
        </is>
      </c>
    </row>
    <row r="27880">
      <c r="A27880" s="1" t="n">
        <v>27879</v>
      </c>
      <c r="B27880">
        <f>TEXT(27879, "[$-0E0000]yyyy-mm-dd")</f>
        <v/>
      </c>
      <c r="C27880" t="inlineStr">
        <is>
          <t>1976-04-02</t>
        </is>
      </c>
    </row>
    <row r="27881">
      <c r="A27881" s="1" t="n">
        <v>27880</v>
      </c>
      <c r="B27881">
        <f>TEXT(27880, "[$-0E0000]yyyy-mm-dd")</f>
        <v/>
      </c>
      <c r="C27881" t="inlineStr">
        <is>
          <t>1976-04-03</t>
        </is>
      </c>
    </row>
    <row r="27882">
      <c r="A27882" s="1" t="n">
        <v>27881</v>
      </c>
      <c r="B27882">
        <f>TEXT(27881, "[$-0E0000]yyyy-mm-dd")</f>
        <v/>
      </c>
      <c r="C27882" t="inlineStr">
        <is>
          <t>1976-04-04</t>
        </is>
      </c>
    </row>
    <row r="27883">
      <c r="A27883" s="1" t="n">
        <v>27882</v>
      </c>
      <c r="B27883">
        <f>TEXT(27882, "[$-0E0000]yyyy-mm-dd")</f>
        <v/>
      </c>
      <c r="C27883" t="inlineStr">
        <is>
          <t>1976-04-05</t>
        </is>
      </c>
    </row>
    <row r="27884">
      <c r="A27884" s="1" t="n">
        <v>27883</v>
      </c>
      <c r="B27884">
        <f>TEXT(27883, "[$-0E0000]yyyy-mm-dd")</f>
        <v/>
      </c>
      <c r="C27884" t="inlineStr">
        <is>
          <t>1976-04-06</t>
        </is>
      </c>
    </row>
    <row r="27885">
      <c r="A27885" s="1" t="n">
        <v>27884</v>
      </c>
      <c r="B27885">
        <f>TEXT(27884, "[$-0E0000]yyyy-mm-dd")</f>
        <v/>
      </c>
      <c r="C27885" t="inlineStr">
        <is>
          <t>1976-04-07</t>
        </is>
      </c>
    </row>
    <row r="27886">
      <c r="A27886" s="1" t="n">
        <v>27885</v>
      </c>
      <c r="B27886">
        <f>TEXT(27885, "[$-0E0000]yyyy-mm-dd")</f>
        <v/>
      </c>
      <c r="C27886" t="inlineStr">
        <is>
          <t>1976-04-08</t>
        </is>
      </c>
    </row>
    <row r="27887">
      <c r="A27887" s="1" t="n">
        <v>27886</v>
      </c>
      <c r="B27887">
        <f>TEXT(27886, "[$-0E0000]yyyy-mm-dd")</f>
        <v/>
      </c>
      <c r="C27887" t="inlineStr">
        <is>
          <t>1976-04-09</t>
        </is>
      </c>
    </row>
    <row r="27888">
      <c r="A27888" s="1" t="n">
        <v>27887</v>
      </c>
      <c r="B27888">
        <f>TEXT(27887, "[$-0E0000]yyyy-mm-dd")</f>
        <v/>
      </c>
      <c r="C27888" t="inlineStr">
        <is>
          <t>1976-04-10</t>
        </is>
      </c>
    </row>
    <row r="27889">
      <c r="A27889" s="1" t="n">
        <v>27888</v>
      </c>
      <c r="B27889">
        <f>TEXT(27888, "[$-0E0000]yyyy-mm-dd")</f>
        <v/>
      </c>
      <c r="C27889" t="inlineStr">
        <is>
          <t>1976-04-11</t>
        </is>
      </c>
    </row>
    <row r="27890">
      <c r="A27890" s="1" t="n">
        <v>27889</v>
      </c>
      <c r="B27890">
        <f>TEXT(27889, "[$-0E0000]yyyy-mm-dd")</f>
        <v/>
      </c>
      <c r="C27890" t="inlineStr">
        <is>
          <t>1976-04-12</t>
        </is>
      </c>
    </row>
    <row r="27891">
      <c r="A27891" s="1" t="n">
        <v>27890</v>
      </c>
      <c r="B27891">
        <f>TEXT(27890, "[$-0E0000]yyyy-mm-dd")</f>
        <v/>
      </c>
      <c r="C27891" t="inlineStr">
        <is>
          <t>1976-04-13</t>
        </is>
      </c>
    </row>
    <row r="27892">
      <c r="A27892" s="1" t="n">
        <v>27891</v>
      </c>
      <c r="B27892">
        <f>TEXT(27891, "[$-0E0000]yyyy-mm-dd")</f>
        <v/>
      </c>
      <c r="C27892" t="inlineStr">
        <is>
          <t>1976-04-14</t>
        </is>
      </c>
    </row>
    <row r="27893">
      <c r="A27893" s="1" t="n">
        <v>27892</v>
      </c>
      <c r="B27893">
        <f>TEXT(27892, "[$-0E0000]yyyy-mm-dd")</f>
        <v/>
      </c>
      <c r="C27893" t="inlineStr">
        <is>
          <t>1976-04-15</t>
        </is>
      </c>
    </row>
    <row r="27894">
      <c r="A27894" s="1" t="n">
        <v>27893</v>
      </c>
      <c r="B27894">
        <f>TEXT(27893, "[$-0E0000]yyyy-mm-dd")</f>
        <v/>
      </c>
      <c r="C27894" t="inlineStr">
        <is>
          <t>1976-04-16</t>
        </is>
      </c>
    </row>
    <row r="27895">
      <c r="A27895" s="1" t="n">
        <v>27894</v>
      </c>
      <c r="B27895">
        <f>TEXT(27894, "[$-0E0000]yyyy-mm-dd")</f>
        <v/>
      </c>
      <c r="C27895" t="inlineStr">
        <is>
          <t>1976-04-17</t>
        </is>
      </c>
    </row>
    <row r="27896">
      <c r="A27896" s="1" t="n">
        <v>27895</v>
      </c>
      <c r="B27896">
        <f>TEXT(27895, "[$-0E0000]yyyy-mm-dd")</f>
        <v/>
      </c>
      <c r="C27896" t="inlineStr">
        <is>
          <t>1976-04-18</t>
        </is>
      </c>
    </row>
    <row r="27897">
      <c r="A27897" s="1" t="n">
        <v>27896</v>
      </c>
      <c r="B27897">
        <f>TEXT(27896, "[$-0E0000]yyyy-mm-dd")</f>
        <v/>
      </c>
      <c r="C27897" t="inlineStr">
        <is>
          <t>1976-04-19</t>
        </is>
      </c>
    </row>
    <row r="27898">
      <c r="A27898" s="1" t="n">
        <v>27897</v>
      </c>
      <c r="B27898">
        <f>TEXT(27897, "[$-0E0000]yyyy-mm-dd")</f>
        <v/>
      </c>
      <c r="C27898" t="inlineStr">
        <is>
          <t>1976-04-20</t>
        </is>
      </c>
    </row>
    <row r="27899">
      <c r="A27899" s="1" t="n">
        <v>27898</v>
      </c>
      <c r="B27899">
        <f>TEXT(27898, "[$-0E0000]yyyy-mm-dd")</f>
        <v/>
      </c>
      <c r="C27899" t="inlineStr">
        <is>
          <t>1976-04-21</t>
        </is>
      </c>
    </row>
    <row r="27900">
      <c r="A27900" s="1" t="n">
        <v>27899</v>
      </c>
      <c r="B27900">
        <f>TEXT(27899, "[$-0E0000]yyyy-mm-dd")</f>
        <v/>
      </c>
      <c r="C27900" t="inlineStr">
        <is>
          <t>1976-04-22</t>
        </is>
      </c>
    </row>
    <row r="27901">
      <c r="A27901" s="1" t="n">
        <v>27900</v>
      </c>
      <c r="B27901">
        <f>TEXT(27900, "[$-0E0000]yyyy-mm-dd")</f>
        <v/>
      </c>
      <c r="C27901" t="inlineStr">
        <is>
          <t>1976-04-23</t>
        </is>
      </c>
    </row>
    <row r="27902">
      <c r="A27902" s="1" t="n">
        <v>27901</v>
      </c>
      <c r="B27902">
        <f>TEXT(27901, "[$-0E0000]yyyy-mm-dd")</f>
        <v/>
      </c>
      <c r="C27902" t="inlineStr">
        <is>
          <t>1976-04-24</t>
        </is>
      </c>
    </row>
    <row r="27903">
      <c r="A27903" s="1" t="n">
        <v>27902</v>
      </c>
      <c r="B27903">
        <f>TEXT(27902, "[$-0E0000]yyyy-mm-dd")</f>
        <v/>
      </c>
      <c r="C27903" t="inlineStr">
        <is>
          <t>1976-04-25</t>
        </is>
      </c>
    </row>
    <row r="27904">
      <c r="A27904" s="1" t="n">
        <v>27903</v>
      </c>
      <c r="B27904">
        <f>TEXT(27903, "[$-0E0000]yyyy-mm-dd")</f>
        <v/>
      </c>
      <c r="C27904" t="inlineStr">
        <is>
          <t>1976-04-26</t>
        </is>
      </c>
    </row>
    <row r="27905">
      <c r="A27905" s="1" t="n">
        <v>27904</v>
      </c>
      <c r="B27905">
        <f>TEXT(27904, "[$-0E0000]yyyy-mm-dd")</f>
        <v/>
      </c>
      <c r="C27905" t="inlineStr">
        <is>
          <t>1976-04-27</t>
        </is>
      </c>
    </row>
    <row r="27906">
      <c r="A27906" s="1" t="n">
        <v>27905</v>
      </c>
      <c r="B27906">
        <f>TEXT(27905, "[$-0E0000]yyyy-mm-dd")</f>
        <v/>
      </c>
      <c r="C27906" t="inlineStr">
        <is>
          <t>1976-04-28</t>
        </is>
      </c>
    </row>
    <row r="27907">
      <c r="A27907" s="1" t="n">
        <v>27906</v>
      </c>
      <c r="B27907">
        <f>TEXT(27906, "[$-0E0000]yyyy-mm-dd")</f>
        <v/>
      </c>
      <c r="C27907" t="inlineStr">
        <is>
          <t>1976-04-29</t>
        </is>
      </c>
    </row>
    <row r="27908">
      <c r="A27908" s="1" t="n">
        <v>27907</v>
      </c>
      <c r="B27908">
        <f>TEXT(27907, "[$-0E0000]yyyy-mm-dd")</f>
        <v/>
      </c>
      <c r="C27908" t="inlineStr">
        <is>
          <t>1976-04-30</t>
        </is>
      </c>
    </row>
    <row r="27909">
      <c r="A27909" s="1" t="n">
        <v>27908</v>
      </c>
      <c r="B27909">
        <f>TEXT(27908, "[$-0E0000]yyyy-mm-dd")</f>
        <v/>
      </c>
      <c r="C27909" t="inlineStr">
        <is>
          <t>1976-05-01</t>
        </is>
      </c>
    </row>
    <row r="27910">
      <c r="A27910" s="1" t="n">
        <v>27909</v>
      </c>
      <c r="B27910">
        <f>TEXT(27909, "[$-0E0000]yyyy-mm-dd")</f>
        <v/>
      </c>
      <c r="C27910" t="inlineStr">
        <is>
          <t>1976-05-02</t>
        </is>
      </c>
    </row>
    <row r="27911">
      <c r="A27911" s="1" t="n">
        <v>27910</v>
      </c>
      <c r="B27911">
        <f>TEXT(27910, "[$-0E0000]yyyy-mm-dd")</f>
        <v/>
      </c>
      <c r="C27911" t="inlineStr">
        <is>
          <t>1976-05-03</t>
        </is>
      </c>
    </row>
    <row r="27912">
      <c r="A27912" s="1" t="n">
        <v>27911</v>
      </c>
      <c r="B27912">
        <f>TEXT(27911, "[$-0E0000]yyyy-mm-dd")</f>
        <v/>
      </c>
      <c r="C27912" t="inlineStr">
        <is>
          <t>1976-05-04</t>
        </is>
      </c>
    </row>
    <row r="27913">
      <c r="A27913" s="1" t="n">
        <v>27912</v>
      </c>
      <c r="B27913">
        <f>TEXT(27912, "[$-0E0000]yyyy-mm-dd")</f>
        <v/>
      </c>
      <c r="C27913" t="inlineStr">
        <is>
          <t>1976-05-05</t>
        </is>
      </c>
    </row>
    <row r="27914">
      <c r="A27914" s="1" t="n">
        <v>27913</v>
      </c>
      <c r="B27914">
        <f>TEXT(27913, "[$-0E0000]yyyy-mm-dd")</f>
        <v/>
      </c>
      <c r="C27914" t="inlineStr">
        <is>
          <t>1976-05-06</t>
        </is>
      </c>
    </row>
    <row r="27915">
      <c r="A27915" s="1" t="n">
        <v>27914</v>
      </c>
      <c r="B27915">
        <f>TEXT(27914, "[$-0E0000]yyyy-mm-dd")</f>
        <v/>
      </c>
      <c r="C27915" t="inlineStr">
        <is>
          <t>1976-05-07</t>
        </is>
      </c>
    </row>
    <row r="27916">
      <c r="A27916" s="1" t="n">
        <v>27915</v>
      </c>
      <c r="B27916">
        <f>TEXT(27915, "[$-0E0000]yyyy-mm-dd")</f>
        <v/>
      </c>
      <c r="C27916" t="inlineStr">
        <is>
          <t>1976-05-08</t>
        </is>
      </c>
    </row>
    <row r="27917">
      <c r="A27917" s="1" t="n">
        <v>27916</v>
      </c>
      <c r="B27917">
        <f>TEXT(27916, "[$-0E0000]yyyy-mm-dd")</f>
        <v/>
      </c>
      <c r="C27917" t="inlineStr">
        <is>
          <t>1976-05-09</t>
        </is>
      </c>
    </row>
    <row r="27918">
      <c r="A27918" s="1" t="n">
        <v>27917</v>
      </c>
      <c r="B27918">
        <f>TEXT(27917, "[$-0E0000]yyyy-mm-dd")</f>
        <v/>
      </c>
      <c r="C27918" t="inlineStr">
        <is>
          <t>1976-05-10</t>
        </is>
      </c>
    </row>
    <row r="27919">
      <c r="A27919" s="1" t="n">
        <v>27918</v>
      </c>
      <c r="B27919">
        <f>TEXT(27918, "[$-0E0000]yyyy-mm-dd")</f>
        <v/>
      </c>
      <c r="C27919" t="inlineStr">
        <is>
          <t>1976-05-11</t>
        </is>
      </c>
    </row>
    <row r="27920">
      <c r="A27920" s="1" t="n">
        <v>27919</v>
      </c>
      <c r="B27920">
        <f>TEXT(27919, "[$-0E0000]yyyy-mm-dd")</f>
        <v/>
      </c>
      <c r="C27920" t="inlineStr">
        <is>
          <t>1976-05-12</t>
        </is>
      </c>
    </row>
    <row r="27921">
      <c r="A27921" s="1" t="n">
        <v>27920</v>
      </c>
      <c r="B27921">
        <f>TEXT(27920, "[$-0E0000]yyyy-mm-dd")</f>
        <v/>
      </c>
      <c r="C27921" t="inlineStr">
        <is>
          <t>1976-05-13</t>
        </is>
      </c>
    </row>
    <row r="27922">
      <c r="A27922" s="1" t="n">
        <v>27921</v>
      </c>
      <c r="B27922">
        <f>TEXT(27921, "[$-0E0000]yyyy-mm-dd")</f>
        <v/>
      </c>
      <c r="C27922" t="inlineStr">
        <is>
          <t>1976-05-14</t>
        </is>
      </c>
    </row>
    <row r="27923">
      <c r="A27923" s="1" t="n">
        <v>27922</v>
      </c>
      <c r="B27923">
        <f>TEXT(27922, "[$-0E0000]yyyy-mm-dd")</f>
        <v/>
      </c>
      <c r="C27923" t="inlineStr">
        <is>
          <t>1976-05-15</t>
        </is>
      </c>
    </row>
    <row r="27924">
      <c r="A27924" s="1" t="n">
        <v>27923</v>
      </c>
      <c r="B27924">
        <f>TEXT(27923, "[$-0E0000]yyyy-mm-dd")</f>
        <v/>
      </c>
      <c r="C27924" t="inlineStr">
        <is>
          <t>1976-05-16</t>
        </is>
      </c>
    </row>
    <row r="27925">
      <c r="A27925" s="1" t="n">
        <v>27924</v>
      </c>
      <c r="B27925">
        <f>TEXT(27924, "[$-0E0000]yyyy-mm-dd")</f>
        <v/>
      </c>
      <c r="C27925" t="inlineStr">
        <is>
          <t>1976-05-17</t>
        </is>
      </c>
    </row>
    <row r="27926">
      <c r="A27926" s="1" t="n">
        <v>27925</v>
      </c>
      <c r="B27926">
        <f>TEXT(27925, "[$-0E0000]yyyy-mm-dd")</f>
        <v/>
      </c>
      <c r="C27926" t="inlineStr">
        <is>
          <t>1976-05-18</t>
        </is>
      </c>
    </row>
    <row r="27927">
      <c r="A27927" s="1" t="n">
        <v>27926</v>
      </c>
      <c r="B27927">
        <f>TEXT(27926, "[$-0E0000]yyyy-mm-dd")</f>
        <v/>
      </c>
      <c r="C27927" t="inlineStr">
        <is>
          <t>1976-05-19</t>
        </is>
      </c>
    </row>
    <row r="27928">
      <c r="A27928" s="1" t="n">
        <v>27927</v>
      </c>
      <c r="B27928">
        <f>TEXT(27927, "[$-0E0000]yyyy-mm-dd")</f>
        <v/>
      </c>
      <c r="C27928" t="inlineStr">
        <is>
          <t>1976-05-20</t>
        </is>
      </c>
    </row>
    <row r="27929">
      <c r="A27929" s="1" t="n">
        <v>27928</v>
      </c>
      <c r="B27929">
        <f>TEXT(27928, "[$-0E0000]yyyy-mm-dd")</f>
        <v/>
      </c>
      <c r="C27929" t="inlineStr">
        <is>
          <t>1976-05-21</t>
        </is>
      </c>
    </row>
    <row r="27930">
      <c r="A27930" s="1" t="n">
        <v>27929</v>
      </c>
      <c r="B27930">
        <f>TEXT(27929, "[$-0E0000]yyyy-mm-dd")</f>
        <v/>
      </c>
      <c r="C27930" t="inlineStr">
        <is>
          <t>1976-05-22</t>
        </is>
      </c>
    </row>
    <row r="27931">
      <c r="A27931" s="1" t="n">
        <v>27930</v>
      </c>
      <c r="B27931">
        <f>TEXT(27930, "[$-0E0000]yyyy-mm-dd")</f>
        <v/>
      </c>
      <c r="C27931" t="inlineStr">
        <is>
          <t>1976-05-23</t>
        </is>
      </c>
    </row>
    <row r="27932">
      <c r="A27932" s="1" t="n">
        <v>27931</v>
      </c>
      <c r="B27932">
        <f>TEXT(27931, "[$-0E0000]yyyy-mm-dd")</f>
        <v/>
      </c>
      <c r="C27932" t="inlineStr">
        <is>
          <t>1976-05-24</t>
        </is>
      </c>
    </row>
    <row r="27933">
      <c r="A27933" s="1" t="n">
        <v>27932</v>
      </c>
      <c r="B27933">
        <f>TEXT(27932, "[$-0E0000]yyyy-mm-dd")</f>
        <v/>
      </c>
      <c r="C27933" t="inlineStr">
        <is>
          <t>1976-05-25</t>
        </is>
      </c>
    </row>
    <row r="27934">
      <c r="A27934" s="1" t="n">
        <v>27933</v>
      </c>
      <c r="B27934">
        <f>TEXT(27933, "[$-0E0000]yyyy-mm-dd")</f>
        <v/>
      </c>
      <c r="C27934" t="inlineStr">
        <is>
          <t>1976-05-26</t>
        </is>
      </c>
    </row>
    <row r="27935">
      <c r="A27935" s="1" t="n">
        <v>27934</v>
      </c>
      <c r="B27935">
        <f>TEXT(27934, "[$-0E0000]yyyy-mm-dd")</f>
        <v/>
      </c>
      <c r="C27935" t="inlineStr">
        <is>
          <t>1976-05-27</t>
        </is>
      </c>
    </row>
    <row r="27936">
      <c r="A27936" s="1" t="n">
        <v>27935</v>
      </c>
      <c r="B27936">
        <f>TEXT(27935, "[$-0E0000]yyyy-mm-dd")</f>
        <v/>
      </c>
      <c r="C27936" t="inlineStr">
        <is>
          <t>1976-05-28</t>
        </is>
      </c>
    </row>
    <row r="27937">
      <c r="A27937" s="1" t="n">
        <v>27936</v>
      </c>
      <c r="B27937">
        <f>TEXT(27936, "[$-0E0000]yyyy-mm-dd")</f>
        <v/>
      </c>
      <c r="C27937" t="inlineStr">
        <is>
          <t>1976-05-29</t>
        </is>
      </c>
    </row>
    <row r="27938">
      <c r="A27938" s="1" t="n">
        <v>27937</v>
      </c>
      <c r="B27938">
        <f>TEXT(27937, "[$-0E0000]yyyy-mm-dd")</f>
        <v/>
      </c>
      <c r="C27938" t="inlineStr">
        <is>
          <t>1976-06-01</t>
        </is>
      </c>
    </row>
    <row r="27939">
      <c r="A27939" s="1" t="n">
        <v>27938</v>
      </c>
      <c r="B27939">
        <f>TEXT(27938, "[$-0E0000]yyyy-mm-dd")</f>
        <v/>
      </c>
      <c r="C27939" t="inlineStr">
        <is>
          <t>1976-06-02</t>
        </is>
      </c>
    </row>
    <row r="27940">
      <c r="A27940" s="1" t="n">
        <v>27939</v>
      </c>
      <c r="B27940">
        <f>TEXT(27939, "[$-0E0000]yyyy-mm-dd")</f>
        <v/>
      </c>
      <c r="C27940" t="inlineStr">
        <is>
          <t>1976-06-03</t>
        </is>
      </c>
    </row>
    <row r="27941">
      <c r="A27941" s="1" t="n">
        <v>27940</v>
      </c>
      <c r="B27941">
        <f>TEXT(27940, "[$-0E0000]yyyy-mm-dd")</f>
        <v/>
      </c>
      <c r="C27941" t="inlineStr">
        <is>
          <t>1976-06-04</t>
        </is>
      </c>
    </row>
    <row r="27942">
      <c r="A27942" s="1" t="n">
        <v>27941</v>
      </c>
      <c r="B27942">
        <f>TEXT(27941, "[$-0E0000]yyyy-mm-dd")</f>
        <v/>
      </c>
      <c r="C27942" t="inlineStr">
        <is>
          <t>1976-06-05</t>
        </is>
      </c>
    </row>
    <row r="27943">
      <c r="A27943" s="1" t="n">
        <v>27942</v>
      </c>
      <c r="B27943">
        <f>TEXT(27942, "[$-0E0000]yyyy-mm-dd")</f>
        <v/>
      </c>
      <c r="C27943" t="inlineStr">
        <is>
          <t>1976-06-06</t>
        </is>
      </c>
    </row>
    <row r="27944">
      <c r="A27944" s="1" t="n">
        <v>27943</v>
      </c>
      <c r="B27944">
        <f>TEXT(27943, "[$-0E0000]yyyy-mm-dd")</f>
        <v/>
      </c>
      <c r="C27944" t="inlineStr">
        <is>
          <t>1976-06-07</t>
        </is>
      </c>
    </row>
    <row r="27945">
      <c r="A27945" s="1" t="n">
        <v>27944</v>
      </c>
      <c r="B27945">
        <f>TEXT(27944, "[$-0E0000]yyyy-mm-dd")</f>
        <v/>
      </c>
      <c r="C27945" t="inlineStr">
        <is>
          <t>1976-06-08</t>
        </is>
      </c>
    </row>
    <row r="27946">
      <c r="A27946" s="1" t="n">
        <v>27945</v>
      </c>
      <c r="B27946">
        <f>TEXT(27945, "[$-0E0000]yyyy-mm-dd")</f>
        <v/>
      </c>
      <c r="C27946" t="inlineStr">
        <is>
          <t>1976-06-09</t>
        </is>
      </c>
    </row>
    <row r="27947">
      <c r="A27947" s="1" t="n">
        <v>27946</v>
      </c>
      <c r="B27947">
        <f>TEXT(27946, "[$-0E0000]yyyy-mm-dd")</f>
        <v/>
      </c>
      <c r="C27947" t="inlineStr">
        <is>
          <t>1976-06-10</t>
        </is>
      </c>
    </row>
    <row r="27948">
      <c r="A27948" s="1" t="n">
        <v>27947</v>
      </c>
      <c r="B27948">
        <f>TEXT(27947, "[$-0E0000]yyyy-mm-dd")</f>
        <v/>
      </c>
      <c r="C27948" t="inlineStr">
        <is>
          <t>1976-06-11</t>
        </is>
      </c>
    </row>
    <row r="27949">
      <c r="A27949" s="1" t="n">
        <v>27948</v>
      </c>
      <c r="B27949">
        <f>TEXT(27948, "[$-0E0000]yyyy-mm-dd")</f>
        <v/>
      </c>
      <c r="C27949" t="inlineStr">
        <is>
          <t>1976-06-12</t>
        </is>
      </c>
    </row>
    <row r="27950">
      <c r="A27950" s="1" t="n">
        <v>27949</v>
      </c>
      <c r="B27950">
        <f>TEXT(27949, "[$-0E0000]yyyy-mm-dd")</f>
        <v/>
      </c>
      <c r="C27950" t="inlineStr">
        <is>
          <t>1976-06-13</t>
        </is>
      </c>
    </row>
    <row r="27951">
      <c r="A27951" s="1" t="n">
        <v>27950</v>
      </c>
      <c r="B27951">
        <f>TEXT(27950, "[$-0E0000]yyyy-mm-dd")</f>
        <v/>
      </c>
      <c r="C27951" t="inlineStr">
        <is>
          <t>1976-06-14</t>
        </is>
      </c>
    </row>
    <row r="27952">
      <c r="A27952" s="1" t="n">
        <v>27951</v>
      </c>
      <c r="B27952">
        <f>TEXT(27951, "[$-0E0000]yyyy-mm-dd")</f>
        <v/>
      </c>
      <c r="C27952" t="inlineStr">
        <is>
          <t>1976-06-15</t>
        </is>
      </c>
    </row>
    <row r="27953">
      <c r="A27953" s="1" t="n">
        <v>27952</v>
      </c>
      <c r="B27953">
        <f>TEXT(27952, "[$-0E0000]yyyy-mm-dd")</f>
        <v/>
      </c>
      <c r="C27953" t="inlineStr">
        <is>
          <t>1976-06-16</t>
        </is>
      </c>
    </row>
    <row r="27954">
      <c r="A27954" s="1" t="n">
        <v>27953</v>
      </c>
      <c r="B27954">
        <f>TEXT(27953, "[$-0E0000]yyyy-mm-dd")</f>
        <v/>
      </c>
      <c r="C27954" t="inlineStr">
        <is>
          <t>1976-06-17</t>
        </is>
      </c>
    </row>
    <row r="27955">
      <c r="A27955" s="1" t="n">
        <v>27954</v>
      </c>
      <c r="B27955">
        <f>TEXT(27954, "[$-0E0000]yyyy-mm-dd")</f>
        <v/>
      </c>
      <c r="C27955" t="inlineStr">
        <is>
          <t>1976-06-18</t>
        </is>
      </c>
    </row>
    <row r="27956">
      <c r="A27956" s="1" t="n">
        <v>27955</v>
      </c>
      <c r="B27956">
        <f>TEXT(27955, "[$-0E0000]yyyy-mm-dd")</f>
        <v/>
      </c>
      <c r="C27956" t="inlineStr">
        <is>
          <t>1976-06-19</t>
        </is>
      </c>
    </row>
    <row r="27957">
      <c r="A27957" s="1" t="n">
        <v>27956</v>
      </c>
      <c r="B27957">
        <f>TEXT(27956, "[$-0E0000]yyyy-mm-dd")</f>
        <v/>
      </c>
      <c r="C27957" t="inlineStr">
        <is>
          <t>1976-06-20</t>
        </is>
      </c>
    </row>
    <row r="27958">
      <c r="A27958" s="1" t="n">
        <v>27957</v>
      </c>
      <c r="B27958">
        <f>TEXT(27957, "[$-0E0000]yyyy-mm-dd")</f>
        <v/>
      </c>
      <c r="C27958" t="inlineStr">
        <is>
          <t>1976-06-21</t>
        </is>
      </c>
    </row>
    <row r="27959">
      <c r="A27959" s="1" t="n">
        <v>27958</v>
      </c>
      <c r="B27959">
        <f>TEXT(27958, "[$-0E0000]yyyy-mm-dd")</f>
        <v/>
      </c>
      <c r="C27959" t="inlineStr">
        <is>
          <t>1976-06-22</t>
        </is>
      </c>
    </row>
    <row r="27960">
      <c r="A27960" s="1" t="n">
        <v>27959</v>
      </c>
      <c r="B27960">
        <f>TEXT(27959, "[$-0E0000]yyyy-mm-dd")</f>
        <v/>
      </c>
      <c r="C27960" t="inlineStr">
        <is>
          <t>1976-06-23</t>
        </is>
      </c>
    </row>
    <row r="27961">
      <c r="A27961" s="1" t="n">
        <v>27960</v>
      </c>
      <c r="B27961">
        <f>TEXT(27960, "[$-0E0000]yyyy-mm-dd")</f>
        <v/>
      </c>
      <c r="C27961" t="inlineStr">
        <is>
          <t>1976-06-24</t>
        </is>
      </c>
    </row>
    <row r="27962">
      <c r="A27962" s="1" t="n">
        <v>27961</v>
      </c>
      <c r="B27962">
        <f>TEXT(27961, "[$-0E0000]yyyy-mm-dd")</f>
        <v/>
      </c>
      <c r="C27962" t="inlineStr">
        <is>
          <t>1976-06-25</t>
        </is>
      </c>
    </row>
    <row r="27963">
      <c r="A27963" s="1" t="n">
        <v>27962</v>
      </c>
      <c r="B27963">
        <f>TEXT(27962, "[$-0E0000]yyyy-mm-dd")</f>
        <v/>
      </c>
      <c r="C27963" t="inlineStr">
        <is>
          <t>1976-06-26</t>
        </is>
      </c>
    </row>
    <row r="27964">
      <c r="A27964" s="1" t="n">
        <v>27963</v>
      </c>
      <c r="B27964">
        <f>TEXT(27963, "[$-0E0000]yyyy-mm-dd")</f>
        <v/>
      </c>
      <c r="C27964" t="inlineStr">
        <is>
          <t>1976-06-27</t>
        </is>
      </c>
    </row>
    <row r="27965">
      <c r="A27965" s="1" t="n">
        <v>27964</v>
      </c>
      <c r="B27965">
        <f>TEXT(27964, "[$-0E0000]yyyy-mm-dd")</f>
        <v/>
      </c>
      <c r="C27965" t="inlineStr">
        <is>
          <t>1976-06-28</t>
        </is>
      </c>
    </row>
    <row r="27966">
      <c r="A27966" s="1" t="n">
        <v>27965</v>
      </c>
      <c r="B27966">
        <f>TEXT(27965, "[$-0E0000]yyyy-mm-dd")</f>
        <v/>
      </c>
      <c r="C27966" t="inlineStr">
        <is>
          <t>1976-06-29</t>
        </is>
      </c>
    </row>
    <row r="27967">
      <c r="A27967" s="1" t="n">
        <v>27966</v>
      </c>
      <c r="B27967">
        <f>TEXT(27966, "[$-0E0000]yyyy-mm-dd")</f>
        <v/>
      </c>
      <c r="C27967" t="inlineStr">
        <is>
          <t>1976-06-30</t>
        </is>
      </c>
    </row>
    <row r="27968">
      <c r="A27968" s="1" t="n">
        <v>27967</v>
      </c>
      <c r="B27968">
        <f>TEXT(27967, "[$-0E0000]yyyy-mm-dd")</f>
        <v/>
      </c>
      <c r="C27968" t="inlineStr">
        <is>
          <t>1976-07-01</t>
        </is>
      </c>
    </row>
    <row r="27969">
      <c r="A27969" s="1" t="n">
        <v>27968</v>
      </c>
      <c r="B27969">
        <f>TEXT(27968, "[$-0E0000]yyyy-mm-dd")</f>
        <v/>
      </c>
      <c r="C27969" t="inlineStr">
        <is>
          <t>1976-07-02</t>
        </is>
      </c>
    </row>
    <row r="27970">
      <c r="A27970" s="1" t="n">
        <v>27969</v>
      </c>
      <c r="B27970">
        <f>TEXT(27969, "[$-0E0000]yyyy-mm-dd")</f>
        <v/>
      </c>
      <c r="C27970" t="inlineStr">
        <is>
          <t>1976-07-03</t>
        </is>
      </c>
    </row>
    <row r="27971">
      <c r="A27971" s="1" t="n">
        <v>27970</v>
      </c>
      <c r="B27971">
        <f>TEXT(27970, "[$-0E0000]yyyy-mm-dd")</f>
        <v/>
      </c>
      <c r="C27971" t="inlineStr">
        <is>
          <t>1976-07-04</t>
        </is>
      </c>
    </row>
    <row r="27972">
      <c r="A27972" s="1" t="n">
        <v>27971</v>
      </c>
      <c r="B27972">
        <f>TEXT(27971, "[$-0E0000]yyyy-mm-dd")</f>
        <v/>
      </c>
      <c r="C27972" t="inlineStr">
        <is>
          <t>1976-07-05</t>
        </is>
      </c>
    </row>
    <row r="27973">
      <c r="A27973" s="1" t="n">
        <v>27972</v>
      </c>
      <c r="B27973">
        <f>TEXT(27972, "[$-0E0000]yyyy-mm-dd")</f>
        <v/>
      </c>
      <c r="C27973" t="inlineStr">
        <is>
          <t>1976-07-06</t>
        </is>
      </c>
    </row>
    <row r="27974">
      <c r="A27974" s="1" t="n">
        <v>27973</v>
      </c>
      <c r="B27974">
        <f>TEXT(27973, "[$-0E0000]yyyy-mm-dd")</f>
        <v/>
      </c>
      <c r="C27974" t="inlineStr">
        <is>
          <t>1976-07-07</t>
        </is>
      </c>
    </row>
    <row r="27975">
      <c r="A27975" s="1" t="n">
        <v>27974</v>
      </c>
      <c r="B27975">
        <f>TEXT(27974, "[$-0E0000]yyyy-mm-dd")</f>
        <v/>
      </c>
      <c r="C27975" t="inlineStr">
        <is>
          <t>1976-07-08</t>
        </is>
      </c>
    </row>
    <row r="27976">
      <c r="A27976" s="1" t="n">
        <v>27975</v>
      </c>
      <c r="B27976">
        <f>TEXT(27975, "[$-0E0000]yyyy-mm-dd")</f>
        <v/>
      </c>
      <c r="C27976" t="inlineStr">
        <is>
          <t>1976-07-09</t>
        </is>
      </c>
    </row>
    <row r="27977">
      <c r="A27977" s="1" t="n">
        <v>27976</v>
      </c>
      <c r="B27977">
        <f>TEXT(27976, "[$-0E0000]yyyy-mm-dd")</f>
        <v/>
      </c>
      <c r="C27977" t="inlineStr">
        <is>
          <t>1976-07-10</t>
        </is>
      </c>
    </row>
    <row r="27978">
      <c r="A27978" s="1" t="n">
        <v>27977</v>
      </c>
      <c r="B27978">
        <f>TEXT(27977, "[$-0E0000]yyyy-mm-dd")</f>
        <v/>
      </c>
      <c r="C27978" t="inlineStr">
        <is>
          <t>1976-07-11</t>
        </is>
      </c>
    </row>
    <row r="27979">
      <c r="A27979" s="1" t="n">
        <v>27978</v>
      </c>
      <c r="B27979">
        <f>TEXT(27978, "[$-0E0000]yyyy-mm-dd")</f>
        <v/>
      </c>
      <c r="C27979" t="inlineStr">
        <is>
          <t>1976-07-12</t>
        </is>
      </c>
    </row>
    <row r="27980">
      <c r="A27980" s="1" t="n">
        <v>27979</v>
      </c>
      <c r="B27980">
        <f>TEXT(27979, "[$-0E0000]yyyy-mm-dd")</f>
        <v/>
      </c>
      <c r="C27980" t="inlineStr">
        <is>
          <t>1976-07-13</t>
        </is>
      </c>
    </row>
    <row r="27981">
      <c r="A27981" s="1" t="n">
        <v>27980</v>
      </c>
      <c r="B27981">
        <f>TEXT(27980, "[$-0E0000]yyyy-mm-dd")</f>
        <v/>
      </c>
      <c r="C27981" t="inlineStr">
        <is>
          <t>1976-07-14</t>
        </is>
      </c>
    </row>
    <row r="27982">
      <c r="A27982" s="1" t="n">
        <v>27981</v>
      </c>
      <c r="B27982">
        <f>TEXT(27981, "[$-0E0000]yyyy-mm-dd")</f>
        <v/>
      </c>
      <c r="C27982" t="inlineStr">
        <is>
          <t>1976-07-15</t>
        </is>
      </c>
    </row>
    <row r="27983">
      <c r="A27983" s="1" t="n">
        <v>27982</v>
      </c>
      <c r="B27983">
        <f>TEXT(27982, "[$-0E0000]yyyy-mm-dd")</f>
        <v/>
      </c>
      <c r="C27983" t="inlineStr">
        <is>
          <t>1976-07-16</t>
        </is>
      </c>
    </row>
    <row r="27984">
      <c r="A27984" s="1" t="n">
        <v>27983</v>
      </c>
      <c r="B27984">
        <f>TEXT(27983, "[$-0E0000]yyyy-mm-dd")</f>
        <v/>
      </c>
      <c r="C27984" t="inlineStr">
        <is>
          <t>1976-07-17</t>
        </is>
      </c>
    </row>
    <row r="27985">
      <c r="A27985" s="1" t="n">
        <v>27984</v>
      </c>
      <c r="B27985">
        <f>TEXT(27984, "[$-0E0000]yyyy-mm-dd")</f>
        <v/>
      </c>
      <c r="C27985" t="inlineStr">
        <is>
          <t>1976-07-18</t>
        </is>
      </c>
    </row>
    <row r="27986">
      <c r="A27986" s="1" t="n">
        <v>27985</v>
      </c>
      <c r="B27986">
        <f>TEXT(27985, "[$-0E0000]yyyy-mm-dd")</f>
        <v/>
      </c>
      <c r="C27986" t="inlineStr">
        <is>
          <t>1976-07-19</t>
        </is>
      </c>
    </row>
    <row r="27987">
      <c r="A27987" s="1" t="n">
        <v>27986</v>
      </c>
      <c r="B27987">
        <f>TEXT(27986, "[$-0E0000]yyyy-mm-dd")</f>
        <v/>
      </c>
      <c r="C27987" t="inlineStr">
        <is>
          <t>1976-07-20</t>
        </is>
      </c>
    </row>
    <row r="27988">
      <c r="A27988" s="1" t="n">
        <v>27987</v>
      </c>
      <c r="B27988">
        <f>TEXT(27987, "[$-0E0000]yyyy-mm-dd")</f>
        <v/>
      </c>
      <c r="C27988" t="inlineStr">
        <is>
          <t>1976-07-21</t>
        </is>
      </c>
    </row>
    <row r="27989">
      <c r="A27989" s="1" t="n">
        <v>27988</v>
      </c>
      <c r="B27989">
        <f>TEXT(27988, "[$-0E0000]yyyy-mm-dd")</f>
        <v/>
      </c>
      <c r="C27989" t="inlineStr">
        <is>
          <t>1976-07-22</t>
        </is>
      </c>
    </row>
    <row r="27990">
      <c r="A27990" s="1" t="n">
        <v>27989</v>
      </c>
      <c r="B27990">
        <f>TEXT(27989, "[$-0E0000]yyyy-mm-dd")</f>
        <v/>
      </c>
      <c r="C27990" t="inlineStr">
        <is>
          <t>1976-07-23</t>
        </is>
      </c>
    </row>
    <row r="27991">
      <c r="A27991" s="1" t="n">
        <v>27990</v>
      </c>
      <c r="B27991">
        <f>TEXT(27990, "[$-0E0000]yyyy-mm-dd")</f>
        <v/>
      </c>
      <c r="C27991" t="inlineStr">
        <is>
          <t>1976-07-24</t>
        </is>
      </c>
    </row>
    <row r="27992">
      <c r="A27992" s="1" t="n">
        <v>27991</v>
      </c>
      <c r="B27992">
        <f>TEXT(27991, "[$-0E0000]yyyy-mm-dd")</f>
        <v/>
      </c>
      <c r="C27992" t="inlineStr">
        <is>
          <t>1976-07-25</t>
        </is>
      </c>
    </row>
    <row r="27993">
      <c r="A27993" s="1" t="n">
        <v>27992</v>
      </c>
      <c r="B27993">
        <f>TEXT(27992, "[$-0E0000]yyyy-mm-dd")</f>
        <v/>
      </c>
      <c r="C27993" t="inlineStr">
        <is>
          <t>1976-07-26</t>
        </is>
      </c>
    </row>
    <row r="27994">
      <c r="A27994" s="1" t="n">
        <v>27993</v>
      </c>
      <c r="B27994">
        <f>TEXT(27993, "[$-0E0000]yyyy-mm-dd")</f>
        <v/>
      </c>
      <c r="C27994" t="inlineStr">
        <is>
          <t>1976-07-27</t>
        </is>
      </c>
    </row>
    <row r="27995">
      <c r="A27995" s="1" t="n">
        <v>27994</v>
      </c>
      <c r="B27995">
        <f>TEXT(27994, "[$-0E0000]yyyy-mm-dd")</f>
        <v/>
      </c>
      <c r="C27995" t="inlineStr">
        <is>
          <t>1976-07-28</t>
        </is>
      </c>
    </row>
    <row r="27996">
      <c r="A27996" s="1" t="n">
        <v>27995</v>
      </c>
      <c r="B27996">
        <f>TEXT(27995, "[$-0E0000]yyyy-mm-dd")</f>
        <v/>
      </c>
      <c r="C27996" t="inlineStr">
        <is>
          <t>1976-07-29</t>
        </is>
      </c>
    </row>
    <row r="27997">
      <c r="A27997" s="1" t="n">
        <v>27996</v>
      </c>
      <c r="B27997">
        <f>TEXT(27996, "[$-0E0000]yyyy-mm-dd")</f>
        <v/>
      </c>
      <c r="C27997" t="inlineStr">
        <is>
          <t>1976-08-01</t>
        </is>
      </c>
    </row>
    <row r="27998">
      <c r="A27998" s="1" t="n">
        <v>27997</v>
      </c>
      <c r="B27998">
        <f>TEXT(27997, "[$-0E0000]yyyy-mm-dd")</f>
        <v/>
      </c>
      <c r="C27998" t="inlineStr">
        <is>
          <t>1976-08-02</t>
        </is>
      </c>
    </row>
    <row r="27999">
      <c r="A27999" s="1" t="n">
        <v>27998</v>
      </c>
      <c r="B27999">
        <f>TEXT(27998, "[$-0E0000]yyyy-mm-dd")</f>
        <v/>
      </c>
      <c r="C27999" t="inlineStr">
        <is>
          <t>1976-08-03</t>
        </is>
      </c>
    </row>
    <row r="28000">
      <c r="A28000" s="1" t="n">
        <v>27999</v>
      </c>
      <c r="B28000">
        <f>TEXT(27999, "[$-0E0000]yyyy-mm-dd")</f>
        <v/>
      </c>
      <c r="C28000" t="inlineStr">
        <is>
          <t>1976-08-04</t>
        </is>
      </c>
    </row>
    <row r="28001">
      <c r="A28001" s="1" t="n">
        <v>28000</v>
      </c>
      <c r="B28001">
        <f>TEXT(28000, "[$-0E0000]yyyy-mm-dd")</f>
        <v/>
      </c>
      <c r="C28001" t="inlineStr">
        <is>
          <t>1976-08-05</t>
        </is>
      </c>
    </row>
    <row r="28002">
      <c r="A28002" s="1" t="n">
        <v>28001</v>
      </c>
      <c r="B28002">
        <f>TEXT(28001, "[$-0E0000]yyyy-mm-dd")</f>
        <v/>
      </c>
      <c r="C28002" t="inlineStr">
        <is>
          <t>1976-08-06</t>
        </is>
      </c>
    </row>
    <row r="28003">
      <c r="A28003" s="1" t="n">
        <v>28002</v>
      </c>
      <c r="B28003">
        <f>TEXT(28002, "[$-0E0000]yyyy-mm-dd")</f>
        <v/>
      </c>
      <c r="C28003" t="inlineStr">
        <is>
          <t>1976-08-07</t>
        </is>
      </c>
    </row>
    <row r="28004">
      <c r="A28004" s="1" t="n">
        <v>28003</v>
      </c>
      <c r="B28004">
        <f>TEXT(28003, "[$-0E0000]yyyy-mm-dd")</f>
        <v/>
      </c>
      <c r="C28004" t="inlineStr">
        <is>
          <t>1976-08-08</t>
        </is>
      </c>
    </row>
    <row r="28005">
      <c r="A28005" s="1" t="n">
        <v>28004</v>
      </c>
      <c r="B28005">
        <f>TEXT(28004, "[$-0E0000]yyyy-mm-dd")</f>
        <v/>
      </c>
      <c r="C28005" t="inlineStr">
        <is>
          <t>1976-08-09</t>
        </is>
      </c>
    </row>
    <row r="28006">
      <c r="A28006" s="1" t="n">
        <v>28005</v>
      </c>
      <c r="B28006">
        <f>TEXT(28005, "[$-0E0000]yyyy-mm-dd")</f>
        <v/>
      </c>
      <c r="C28006" t="inlineStr">
        <is>
          <t>1976-08-10</t>
        </is>
      </c>
    </row>
    <row r="28007">
      <c r="A28007" s="1" t="n">
        <v>28006</v>
      </c>
      <c r="B28007">
        <f>TEXT(28006, "[$-0E0000]yyyy-mm-dd")</f>
        <v/>
      </c>
      <c r="C28007" t="inlineStr">
        <is>
          <t>1976-08-11</t>
        </is>
      </c>
    </row>
    <row r="28008">
      <c r="A28008" s="1" t="n">
        <v>28007</v>
      </c>
      <c r="B28008">
        <f>TEXT(28007, "[$-0E0000]yyyy-mm-dd")</f>
        <v/>
      </c>
      <c r="C28008" t="inlineStr">
        <is>
          <t>1976-08-12</t>
        </is>
      </c>
    </row>
    <row r="28009">
      <c r="A28009" s="1" t="n">
        <v>28008</v>
      </c>
      <c r="B28009">
        <f>TEXT(28008, "[$-0E0000]yyyy-mm-dd")</f>
        <v/>
      </c>
      <c r="C28009" t="inlineStr">
        <is>
          <t>1976-08-13</t>
        </is>
      </c>
    </row>
    <row r="28010">
      <c r="A28010" s="1" t="n">
        <v>28009</v>
      </c>
      <c r="B28010">
        <f>TEXT(28009, "[$-0E0000]yyyy-mm-dd")</f>
        <v/>
      </c>
      <c r="C28010" t="inlineStr">
        <is>
          <t>1976-08-14</t>
        </is>
      </c>
    </row>
    <row r="28011">
      <c r="A28011" s="1" t="n">
        <v>28010</v>
      </c>
      <c r="B28011">
        <f>TEXT(28010, "[$-0E0000]yyyy-mm-dd")</f>
        <v/>
      </c>
      <c r="C28011" t="inlineStr">
        <is>
          <t>1976-08-15</t>
        </is>
      </c>
    </row>
    <row r="28012">
      <c r="A28012" s="1" t="n">
        <v>28011</v>
      </c>
      <c r="B28012">
        <f>TEXT(28011, "[$-0E0000]yyyy-mm-dd")</f>
        <v/>
      </c>
      <c r="C28012" t="inlineStr">
        <is>
          <t>1976-08-16</t>
        </is>
      </c>
    </row>
    <row r="28013">
      <c r="A28013" s="1" t="n">
        <v>28012</v>
      </c>
      <c r="B28013">
        <f>TEXT(28012, "[$-0E0000]yyyy-mm-dd")</f>
        <v/>
      </c>
      <c r="C28013" t="inlineStr">
        <is>
          <t>1976-08-17</t>
        </is>
      </c>
    </row>
    <row r="28014">
      <c r="A28014" s="1" t="n">
        <v>28013</v>
      </c>
      <c r="B28014">
        <f>TEXT(28013, "[$-0E0000]yyyy-mm-dd")</f>
        <v/>
      </c>
      <c r="C28014" t="inlineStr">
        <is>
          <t>1976-08-18</t>
        </is>
      </c>
    </row>
    <row r="28015">
      <c r="A28015" s="1" t="n">
        <v>28014</v>
      </c>
      <c r="B28015">
        <f>TEXT(28014, "[$-0E0000]yyyy-mm-dd")</f>
        <v/>
      </c>
      <c r="C28015" t="inlineStr">
        <is>
          <t>1976-08-19</t>
        </is>
      </c>
    </row>
    <row r="28016">
      <c r="A28016" s="1" t="n">
        <v>28015</v>
      </c>
      <c r="B28016">
        <f>TEXT(28015, "[$-0E0000]yyyy-mm-dd")</f>
        <v/>
      </c>
      <c r="C28016" t="inlineStr">
        <is>
          <t>1976-08-20</t>
        </is>
      </c>
    </row>
    <row r="28017">
      <c r="A28017" s="1" t="n">
        <v>28016</v>
      </c>
      <c r="B28017">
        <f>TEXT(28016, "[$-0E0000]yyyy-mm-dd")</f>
        <v/>
      </c>
      <c r="C28017" t="inlineStr">
        <is>
          <t>1976-08-21</t>
        </is>
      </c>
    </row>
    <row r="28018">
      <c r="A28018" s="1" t="n">
        <v>28017</v>
      </c>
      <c r="B28018">
        <f>TEXT(28017, "[$-0E0000]yyyy-mm-dd")</f>
        <v/>
      </c>
      <c r="C28018" t="inlineStr">
        <is>
          <t>1976-08-22</t>
        </is>
      </c>
    </row>
    <row r="28019">
      <c r="A28019" s="1" t="n">
        <v>28018</v>
      </c>
      <c r="B28019">
        <f>TEXT(28018, "[$-0E0000]yyyy-mm-dd")</f>
        <v/>
      </c>
      <c r="C28019" t="inlineStr">
        <is>
          <t>1976-08-23</t>
        </is>
      </c>
    </row>
    <row r="28020">
      <c r="A28020" s="1" t="n">
        <v>28019</v>
      </c>
      <c r="B28020">
        <f>TEXT(28019, "[$-0E0000]yyyy-mm-dd")</f>
        <v/>
      </c>
      <c r="C28020" t="inlineStr">
        <is>
          <t>1976-08-24</t>
        </is>
      </c>
    </row>
    <row r="28021">
      <c r="A28021" s="1" t="n">
        <v>28020</v>
      </c>
      <c r="B28021">
        <f>TEXT(28020, "[$-0E0000]yyyy-mm-dd")</f>
        <v/>
      </c>
      <c r="C28021" t="inlineStr">
        <is>
          <t>1976-08-25</t>
        </is>
      </c>
    </row>
    <row r="28022">
      <c r="A28022" s="1" t="n">
        <v>28021</v>
      </c>
      <c r="B28022">
        <f>TEXT(28021, "[$-0E0000]yyyy-mm-dd")</f>
        <v/>
      </c>
      <c r="C28022" t="inlineStr">
        <is>
          <t>1976-08-26</t>
        </is>
      </c>
    </row>
    <row r="28023">
      <c r="A28023" s="1" t="n">
        <v>28022</v>
      </c>
      <c r="B28023">
        <f>TEXT(28022, "[$-0E0000]yyyy-mm-dd")</f>
        <v/>
      </c>
      <c r="C28023" t="inlineStr">
        <is>
          <t>1976-08-27</t>
        </is>
      </c>
    </row>
    <row r="28024">
      <c r="A28024" s="1" t="n">
        <v>28023</v>
      </c>
      <c r="B28024">
        <f>TEXT(28023, "[$-0E0000]yyyy-mm-dd")</f>
        <v/>
      </c>
      <c r="C28024" t="inlineStr">
        <is>
          <t>1976-08-28</t>
        </is>
      </c>
    </row>
    <row r="28025">
      <c r="A28025" s="1" t="n">
        <v>28024</v>
      </c>
      <c r="B28025">
        <f>TEXT(28024, "[$-0E0000]yyyy-mm-dd")</f>
        <v/>
      </c>
      <c r="C28025" t="inlineStr">
        <is>
          <t>1976-08-29</t>
        </is>
      </c>
    </row>
    <row r="28026">
      <c r="A28026" s="1" t="n">
        <v>28025</v>
      </c>
      <c r="B28026">
        <f>TEXT(28025, "[$-0E0000]yyyy-mm-dd")</f>
        <v/>
      </c>
      <c r="C28026" t="inlineStr">
        <is>
          <t>1976-08-30</t>
        </is>
      </c>
    </row>
    <row r="28027">
      <c r="A28027" s="1" t="n">
        <v>28026</v>
      </c>
      <c r="B28027">
        <f>TEXT(28026, "[$-0E0000]yyyy-mm-dd")</f>
        <v/>
      </c>
      <c r="C28027" t="inlineStr">
        <is>
          <t>1976-08-01</t>
        </is>
      </c>
    </row>
    <row r="28028">
      <c r="A28028" s="1" t="n">
        <v>28027</v>
      </c>
      <c r="B28028">
        <f>TEXT(28027, "[$-0E0000]yyyy-mm-dd")</f>
        <v/>
      </c>
      <c r="C28028" t="inlineStr">
        <is>
          <t>1976-08-02</t>
        </is>
      </c>
    </row>
    <row r="28029">
      <c r="A28029" s="1" t="n">
        <v>28028</v>
      </c>
      <c r="B28029">
        <f>TEXT(28028, "[$-0E0000]yyyy-mm-dd")</f>
        <v/>
      </c>
      <c r="C28029" t="inlineStr">
        <is>
          <t>1976-08-03</t>
        </is>
      </c>
    </row>
    <row r="28030">
      <c r="A28030" s="1" t="n">
        <v>28029</v>
      </c>
      <c r="B28030">
        <f>TEXT(28029, "[$-0E0000]yyyy-mm-dd")</f>
        <v/>
      </c>
      <c r="C28030" t="inlineStr">
        <is>
          <t>1976-08-04</t>
        </is>
      </c>
    </row>
    <row r="28031">
      <c r="A28031" s="1" t="n">
        <v>28030</v>
      </c>
      <c r="B28031">
        <f>TEXT(28030, "[$-0E0000]yyyy-mm-dd")</f>
        <v/>
      </c>
      <c r="C28031" t="inlineStr">
        <is>
          <t>1976-08-05</t>
        </is>
      </c>
    </row>
    <row r="28032">
      <c r="A28032" s="1" t="n">
        <v>28031</v>
      </c>
      <c r="B28032">
        <f>TEXT(28031, "[$-0E0000]yyyy-mm-dd")</f>
        <v/>
      </c>
      <c r="C28032" t="inlineStr">
        <is>
          <t>1976-08-06</t>
        </is>
      </c>
    </row>
    <row r="28033">
      <c r="A28033" s="1" t="n">
        <v>28032</v>
      </c>
      <c r="B28033">
        <f>TEXT(28032, "[$-0E0000]yyyy-mm-dd")</f>
        <v/>
      </c>
      <c r="C28033" t="inlineStr">
        <is>
          <t>1976-08-07</t>
        </is>
      </c>
    </row>
    <row r="28034">
      <c r="A28034" s="1" t="n">
        <v>28033</v>
      </c>
      <c r="B28034">
        <f>TEXT(28033, "[$-0E0000]yyyy-mm-dd")</f>
        <v/>
      </c>
      <c r="C28034" t="inlineStr">
        <is>
          <t>1976-08-08</t>
        </is>
      </c>
    </row>
    <row r="28035">
      <c r="A28035" s="1" t="n">
        <v>28034</v>
      </c>
      <c r="B28035">
        <f>TEXT(28034, "[$-0E0000]yyyy-mm-dd")</f>
        <v/>
      </c>
      <c r="C28035" t="inlineStr">
        <is>
          <t>1976-08-09</t>
        </is>
      </c>
    </row>
    <row r="28036">
      <c r="A28036" s="1" t="n">
        <v>28035</v>
      </c>
      <c r="B28036">
        <f>TEXT(28035, "[$-0E0000]yyyy-mm-dd")</f>
        <v/>
      </c>
      <c r="C28036" t="inlineStr">
        <is>
          <t>1976-08-10</t>
        </is>
      </c>
    </row>
    <row r="28037">
      <c r="A28037" s="1" t="n">
        <v>28036</v>
      </c>
      <c r="B28037">
        <f>TEXT(28036, "[$-0E0000]yyyy-mm-dd")</f>
        <v/>
      </c>
      <c r="C28037" t="inlineStr">
        <is>
          <t>1976-08-11</t>
        </is>
      </c>
    </row>
    <row r="28038">
      <c r="A28038" s="1" t="n">
        <v>28037</v>
      </c>
      <c r="B28038">
        <f>TEXT(28037, "[$-0E0000]yyyy-mm-dd")</f>
        <v/>
      </c>
      <c r="C28038" t="inlineStr">
        <is>
          <t>1976-08-12</t>
        </is>
      </c>
    </row>
    <row r="28039">
      <c r="A28039" s="1" t="n">
        <v>28038</v>
      </c>
      <c r="B28039">
        <f>TEXT(28038, "[$-0E0000]yyyy-mm-dd")</f>
        <v/>
      </c>
      <c r="C28039" t="inlineStr">
        <is>
          <t>1976-08-13</t>
        </is>
      </c>
    </row>
    <row r="28040">
      <c r="A28040" s="1" t="n">
        <v>28039</v>
      </c>
      <c r="B28040">
        <f>TEXT(28039, "[$-0E0000]yyyy-mm-dd")</f>
        <v/>
      </c>
      <c r="C28040" t="inlineStr">
        <is>
          <t>1976-08-14</t>
        </is>
      </c>
    </row>
    <row r="28041">
      <c r="A28041" s="1" t="n">
        <v>28040</v>
      </c>
      <c r="B28041">
        <f>TEXT(28040, "[$-0E0000]yyyy-mm-dd")</f>
        <v/>
      </c>
      <c r="C28041" t="inlineStr">
        <is>
          <t>1976-08-15</t>
        </is>
      </c>
    </row>
    <row r="28042">
      <c r="A28042" s="1" t="n">
        <v>28041</v>
      </c>
      <c r="B28042">
        <f>TEXT(28041, "[$-0E0000]yyyy-mm-dd")</f>
        <v/>
      </c>
      <c r="C28042" t="inlineStr">
        <is>
          <t>1976-08-16</t>
        </is>
      </c>
    </row>
    <row r="28043">
      <c r="A28043" s="1" t="n">
        <v>28042</v>
      </c>
      <c r="B28043">
        <f>TEXT(28042, "[$-0E0000]yyyy-mm-dd")</f>
        <v/>
      </c>
      <c r="C28043" t="inlineStr">
        <is>
          <t>1976-08-17</t>
        </is>
      </c>
    </row>
    <row r="28044">
      <c r="A28044" s="1" t="n">
        <v>28043</v>
      </c>
      <c r="B28044">
        <f>TEXT(28043, "[$-0E0000]yyyy-mm-dd")</f>
        <v/>
      </c>
      <c r="C28044" t="inlineStr">
        <is>
          <t>1976-08-18</t>
        </is>
      </c>
    </row>
    <row r="28045">
      <c r="A28045" s="1" t="n">
        <v>28044</v>
      </c>
      <c r="B28045">
        <f>TEXT(28044, "[$-0E0000]yyyy-mm-dd")</f>
        <v/>
      </c>
      <c r="C28045" t="inlineStr">
        <is>
          <t>1976-08-19</t>
        </is>
      </c>
    </row>
    <row r="28046">
      <c r="A28046" s="1" t="n">
        <v>28045</v>
      </c>
      <c r="B28046">
        <f>TEXT(28045, "[$-0E0000]yyyy-mm-dd")</f>
        <v/>
      </c>
      <c r="C28046" t="inlineStr">
        <is>
          <t>1976-08-20</t>
        </is>
      </c>
    </row>
    <row r="28047">
      <c r="A28047" s="1" t="n">
        <v>28046</v>
      </c>
      <c r="B28047">
        <f>TEXT(28046, "[$-0E0000]yyyy-mm-dd")</f>
        <v/>
      </c>
      <c r="C28047" t="inlineStr">
        <is>
          <t>1976-08-21</t>
        </is>
      </c>
    </row>
    <row r="28048">
      <c r="A28048" s="1" t="n">
        <v>28047</v>
      </c>
      <c r="B28048">
        <f>TEXT(28047, "[$-0E0000]yyyy-mm-dd")</f>
        <v/>
      </c>
      <c r="C28048" t="inlineStr">
        <is>
          <t>1976-08-22</t>
        </is>
      </c>
    </row>
    <row r="28049">
      <c r="A28049" s="1" t="n">
        <v>28048</v>
      </c>
      <c r="B28049">
        <f>TEXT(28048, "[$-0E0000]yyyy-mm-dd")</f>
        <v/>
      </c>
      <c r="C28049" t="inlineStr">
        <is>
          <t>1976-08-23</t>
        </is>
      </c>
    </row>
    <row r="28050">
      <c r="A28050" s="1" t="n">
        <v>28049</v>
      </c>
      <c r="B28050">
        <f>TEXT(28049, "[$-0E0000]yyyy-mm-dd")</f>
        <v/>
      </c>
      <c r="C28050" t="inlineStr">
        <is>
          <t>1976-08-24</t>
        </is>
      </c>
    </row>
    <row r="28051">
      <c r="A28051" s="1" t="n">
        <v>28050</v>
      </c>
      <c r="B28051">
        <f>TEXT(28050, "[$-0E0000]yyyy-mm-dd")</f>
        <v/>
      </c>
      <c r="C28051" t="inlineStr">
        <is>
          <t>1976-08-25</t>
        </is>
      </c>
    </row>
    <row r="28052">
      <c r="A28052" s="1" t="n">
        <v>28051</v>
      </c>
      <c r="B28052">
        <f>TEXT(28051, "[$-0E0000]yyyy-mm-dd")</f>
        <v/>
      </c>
      <c r="C28052" t="inlineStr">
        <is>
          <t>1976-08-26</t>
        </is>
      </c>
    </row>
    <row r="28053">
      <c r="A28053" s="1" t="n">
        <v>28052</v>
      </c>
      <c r="B28053">
        <f>TEXT(28052, "[$-0E0000]yyyy-mm-dd")</f>
        <v/>
      </c>
      <c r="C28053" t="inlineStr">
        <is>
          <t>1976-08-27</t>
        </is>
      </c>
    </row>
    <row r="28054">
      <c r="A28054" s="1" t="n">
        <v>28053</v>
      </c>
      <c r="B28054">
        <f>TEXT(28053, "[$-0E0000]yyyy-mm-dd")</f>
        <v/>
      </c>
      <c r="C28054" t="inlineStr">
        <is>
          <t>1976-08-28</t>
        </is>
      </c>
    </row>
    <row r="28055">
      <c r="A28055" s="1" t="n">
        <v>28054</v>
      </c>
      <c r="B28055">
        <f>TEXT(28054, "[$-0E0000]yyyy-mm-dd")</f>
        <v/>
      </c>
      <c r="C28055" t="inlineStr">
        <is>
          <t>1976-08-29</t>
        </is>
      </c>
    </row>
    <row r="28056">
      <c r="A28056" s="1" t="n">
        <v>28055</v>
      </c>
      <c r="B28056">
        <f>TEXT(28055, "[$-0E0000]yyyy-mm-dd")</f>
        <v/>
      </c>
      <c r="C28056" t="inlineStr">
        <is>
          <t>1976-09-01</t>
        </is>
      </c>
    </row>
    <row r="28057">
      <c r="A28057" s="1" t="n">
        <v>28056</v>
      </c>
      <c r="B28057">
        <f>TEXT(28056, "[$-0E0000]yyyy-mm-dd")</f>
        <v/>
      </c>
      <c r="C28057" t="inlineStr">
        <is>
          <t>1976-09-02</t>
        </is>
      </c>
    </row>
    <row r="28058">
      <c r="A28058" s="1" t="n">
        <v>28057</v>
      </c>
      <c r="B28058">
        <f>TEXT(28057, "[$-0E0000]yyyy-mm-dd")</f>
        <v/>
      </c>
      <c r="C28058" t="inlineStr">
        <is>
          <t>1976-09-03</t>
        </is>
      </c>
    </row>
    <row r="28059">
      <c r="A28059" s="1" t="n">
        <v>28058</v>
      </c>
      <c r="B28059">
        <f>TEXT(28058, "[$-0E0000]yyyy-mm-dd")</f>
        <v/>
      </c>
      <c r="C28059" t="inlineStr">
        <is>
          <t>1976-09-04</t>
        </is>
      </c>
    </row>
    <row r="28060">
      <c r="A28060" s="1" t="n">
        <v>28059</v>
      </c>
      <c r="B28060">
        <f>TEXT(28059, "[$-0E0000]yyyy-mm-dd")</f>
        <v/>
      </c>
      <c r="C28060" t="inlineStr">
        <is>
          <t>1976-09-05</t>
        </is>
      </c>
    </row>
    <row r="28061">
      <c r="A28061" s="1" t="n">
        <v>28060</v>
      </c>
      <c r="B28061">
        <f>TEXT(28060, "[$-0E0000]yyyy-mm-dd")</f>
        <v/>
      </c>
      <c r="C28061" t="inlineStr">
        <is>
          <t>1976-09-06</t>
        </is>
      </c>
    </row>
    <row r="28062">
      <c r="A28062" s="1" t="n">
        <v>28061</v>
      </c>
      <c r="B28062">
        <f>TEXT(28061, "[$-0E0000]yyyy-mm-dd")</f>
        <v/>
      </c>
      <c r="C28062" t="inlineStr">
        <is>
          <t>1976-09-07</t>
        </is>
      </c>
    </row>
    <row r="28063">
      <c r="A28063" s="1" t="n">
        <v>28062</v>
      </c>
      <c r="B28063">
        <f>TEXT(28062, "[$-0E0000]yyyy-mm-dd")</f>
        <v/>
      </c>
      <c r="C28063" t="inlineStr">
        <is>
          <t>1976-09-08</t>
        </is>
      </c>
    </row>
    <row r="28064">
      <c r="A28064" s="1" t="n">
        <v>28063</v>
      </c>
      <c r="B28064">
        <f>TEXT(28063, "[$-0E0000]yyyy-mm-dd")</f>
        <v/>
      </c>
      <c r="C28064" t="inlineStr">
        <is>
          <t>1976-09-09</t>
        </is>
      </c>
    </row>
    <row r="28065">
      <c r="A28065" s="1" t="n">
        <v>28064</v>
      </c>
      <c r="B28065">
        <f>TEXT(28064, "[$-0E0000]yyyy-mm-dd")</f>
        <v/>
      </c>
      <c r="C28065" t="inlineStr">
        <is>
          <t>1976-09-10</t>
        </is>
      </c>
    </row>
    <row r="28066">
      <c r="A28066" s="1" t="n">
        <v>28065</v>
      </c>
      <c r="B28066">
        <f>TEXT(28065, "[$-0E0000]yyyy-mm-dd")</f>
        <v/>
      </c>
      <c r="C28066" t="inlineStr">
        <is>
          <t>1976-09-11</t>
        </is>
      </c>
    </row>
    <row r="28067">
      <c r="A28067" s="1" t="n">
        <v>28066</v>
      </c>
      <c r="B28067">
        <f>TEXT(28066, "[$-0E0000]yyyy-mm-dd")</f>
        <v/>
      </c>
      <c r="C28067" t="inlineStr">
        <is>
          <t>1976-09-12</t>
        </is>
      </c>
    </row>
    <row r="28068">
      <c r="A28068" s="1" t="n">
        <v>28067</v>
      </c>
      <c r="B28068">
        <f>TEXT(28067, "[$-0E0000]yyyy-mm-dd")</f>
        <v/>
      </c>
      <c r="C28068" t="inlineStr">
        <is>
          <t>1976-09-13</t>
        </is>
      </c>
    </row>
    <row r="28069">
      <c r="A28069" s="1" t="n">
        <v>28068</v>
      </c>
      <c r="B28069">
        <f>TEXT(28068, "[$-0E0000]yyyy-mm-dd")</f>
        <v/>
      </c>
      <c r="C28069" t="inlineStr">
        <is>
          <t>1976-09-14</t>
        </is>
      </c>
    </row>
    <row r="28070">
      <c r="A28070" s="1" t="n">
        <v>28069</v>
      </c>
      <c r="B28070">
        <f>TEXT(28069, "[$-0E0000]yyyy-mm-dd")</f>
        <v/>
      </c>
      <c r="C28070" t="inlineStr">
        <is>
          <t>1976-09-15</t>
        </is>
      </c>
    </row>
    <row r="28071">
      <c r="A28071" s="1" t="n">
        <v>28070</v>
      </c>
      <c r="B28071">
        <f>TEXT(28070, "[$-0E0000]yyyy-mm-dd")</f>
        <v/>
      </c>
      <c r="C28071" t="inlineStr">
        <is>
          <t>1976-09-16</t>
        </is>
      </c>
    </row>
    <row r="28072">
      <c r="A28072" s="1" t="n">
        <v>28071</v>
      </c>
      <c r="B28072">
        <f>TEXT(28071, "[$-0E0000]yyyy-mm-dd")</f>
        <v/>
      </c>
      <c r="C28072" t="inlineStr">
        <is>
          <t>1976-09-17</t>
        </is>
      </c>
    </row>
    <row r="28073">
      <c r="A28073" s="1" t="n">
        <v>28072</v>
      </c>
      <c r="B28073">
        <f>TEXT(28072, "[$-0E0000]yyyy-mm-dd")</f>
        <v/>
      </c>
      <c r="C28073" t="inlineStr">
        <is>
          <t>1976-09-18</t>
        </is>
      </c>
    </row>
    <row r="28074">
      <c r="A28074" s="1" t="n">
        <v>28073</v>
      </c>
      <c r="B28074">
        <f>TEXT(28073, "[$-0E0000]yyyy-mm-dd")</f>
        <v/>
      </c>
      <c r="C28074" t="inlineStr">
        <is>
          <t>1976-09-19</t>
        </is>
      </c>
    </row>
    <row r="28075">
      <c r="A28075" s="1" t="n">
        <v>28074</v>
      </c>
      <c r="B28075">
        <f>TEXT(28074, "[$-0E0000]yyyy-mm-dd")</f>
        <v/>
      </c>
      <c r="C28075" t="inlineStr">
        <is>
          <t>1976-09-20</t>
        </is>
      </c>
    </row>
    <row r="28076">
      <c r="A28076" s="1" t="n">
        <v>28075</v>
      </c>
      <c r="B28076">
        <f>TEXT(28075, "[$-0E0000]yyyy-mm-dd")</f>
        <v/>
      </c>
      <c r="C28076" t="inlineStr">
        <is>
          <t>1976-09-21</t>
        </is>
      </c>
    </row>
    <row r="28077">
      <c r="A28077" s="1" t="n">
        <v>28076</v>
      </c>
      <c r="B28077">
        <f>TEXT(28076, "[$-0E0000]yyyy-mm-dd")</f>
        <v/>
      </c>
      <c r="C28077" t="inlineStr">
        <is>
          <t>1976-09-22</t>
        </is>
      </c>
    </row>
    <row r="28078">
      <c r="A28078" s="1" t="n">
        <v>28077</v>
      </c>
      <c r="B28078">
        <f>TEXT(28077, "[$-0E0000]yyyy-mm-dd")</f>
        <v/>
      </c>
      <c r="C28078" t="inlineStr">
        <is>
          <t>1976-09-23</t>
        </is>
      </c>
    </row>
    <row r="28079">
      <c r="A28079" s="1" t="n">
        <v>28078</v>
      </c>
      <c r="B28079">
        <f>TEXT(28078, "[$-0E0000]yyyy-mm-dd")</f>
        <v/>
      </c>
      <c r="C28079" t="inlineStr">
        <is>
          <t>1976-09-24</t>
        </is>
      </c>
    </row>
    <row r="28080">
      <c r="A28080" s="1" t="n">
        <v>28079</v>
      </c>
      <c r="B28080">
        <f>TEXT(28079, "[$-0E0000]yyyy-mm-dd")</f>
        <v/>
      </c>
      <c r="C28080" t="inlineStr">
        <is>
          <t>1976-09-25</t>
        </is>
      </c>
    </row>
    <row r="28081">
      <c r="A28081" s="1" t="n">
        <v>28080</v>
      </c>
      <c r="B28081">
        <f>TEXT(28080, "[$-0E0000]yyyy-mm-dd")</f>
        <v/>
      </c>
      <c r="C28081" t="inlineStr">
        <is>
          <t>1976-09-26</t>
        </is>
      </c>
    </row>
    <row r="28082">
      <c r="A28082" s="1" t="n">
        <v>28081</v>
      </c>
      <c r="B28082">
        <f>TEXT(28081, "[$-0E0000]yyyy-mm-dd")</f>
        <v/>
      </c>
      <c r="C28082" t="inlineStr">
        <is>
          <t>1976-09-27</t>
        </is>
      </c>
    </row>
    <row r="28083">
      <c r="A28083" s="1" t="n">
        <v>28082</v>
      </c>
      <c r="B28083">
        <f>TEXT(28082, "[$-0E0000]yyyy-mm-dd")</f>
        <v/>
      </c>
      <c r="C28083" t="inlineStr">
        <is>
          <t>1976-09-28</t>
        </is>
      </c>
    </row>
    <row r="28084">
      <c r="A28084" s="1" t="n">
        <v>28083</v>
      </c>
      <c r="B28084">
        <f>TEXT(28083, "[$-0E0000]yyyy-mm-dd")</f>
        <v/>
      </c>
      <c r="C28084" t="inlineStr">
        <is>
          <t>1976-09-29</t>
        </is>
      </c>
    </row>
    <row r="28085">
      <c r="A28085" s="1" t="n">
        <v>28084</v>
      </c>
      <c r="B28085">
        <f>TEXT(28084, "[$-0E0000]yyyy-mm-dd")</f>
        <v/>
      </c>
      <c r="C28085" t="inlineStr">
        <is>
          <t>1976-10-01</t>
        </is>
      </c>
    </row>
    <row r="28086">
      <c r="A28086" s="1" t="n">
        <v>28085</v>
      </c>
      <c r="B28086">
        <f>TEXT(28085, "[$-0E0000]yyyy-mm-dd")</f>
        <v/>
      </c>
      <c r="C28086" t="inlineStr">
        <is>
          <t>1976-10-02</t>
        </is>
      </c>
    </row>
    <row r="28087">
      <c r="A28087" s="1" t="n">
        <v>28086</v>
      </c>
      <c r="B28087">
        <f>TEXT(28086, "[$-0E0000]yyyy-mm-dd")</f>
        <v/>
      </c>
      <c r="C28087" t="inlineStr">
        <is>
          <t>1976-10-03</t>
        </is>
      </c>
    </row>
    <row r="28088">
      <c r="A28088" s="1" t="n">
        <v>28087</v>
      </c>
      <c r="B28088">
        <f>TEXT(28087, "[$-0E0000]yyyy-mm-dd")</f>
        <v/>
      </c>
      <c r="C28088" t="inlineStr">
        <is>
          <t>1976-10-04</t>
        </is>
      </c>
    </row>
    <row r="28089">
      <c r="A28089" s="1" t="n">
        <v>28088</v>
      </c>
      <c r="B28089">
        <f>TEXT(28088, "[$-0E0000]yyyy-mm-dd")</f>
        <v/>
      </c>
      <c r="C28089" t="inlineStr">
        <is>
          <t>1976-10-05</t>
        </is>
      </c>
    </row>
    <row r="28090">
      <c r="A28090" s="1" t="n">
        <v>28089</v>
      </c>
      <c r="B28090">
        <f>TEXT(28089, "[$-0E0000]yyyy-mm-dd")</f>
        <v/>
      </c>
      <c r="C28090" t="inlineStr">
        <is>
          <t>1976-10-06</t>
        </is>
      </c>
    </row>
    <row r="28091">
      <c r="A28091" s="1" t="n">
        <v>28090</v>
      </c>
      <c r="B28091">
        <f>TEXT(28090, "[$-0E0000]yyyy-mm-dd")</f>
        <v/>
      </c>
      <c r="C28091" t="inlineStr">
        <is>
          <t>1976-10-07</t>
        </is>
      </c>
    </row>
    <row r="28092">
      <c r="A28092" s="1" t="n">
        <v>28091</v>
      </c>
      <c r="B28092">
        <f>TEXT(28091, "[$-0E0000]yyyy-mm-dd")</f>
        <v/>
      </c>
      <c r="C28092" t="inlineStr">
        <is>
          <t>1976-10-08</t>
        </is>
      </c>
    </row>
    <row r="28093">
      <c r="A28093" s="1" t="n">
        <v>28092</v>
      </c>
      <c r="B28093">
        <f>TEXT(28092, "[$-0E0000]yyyy-mm-dd")</f>
        <v/>
      </c>
      <c r="C28093" t="inlineStr">
        <is>
          <t>1976-10-09</t>
        </is>
      </c>
    </row>
    <row r="28094">
      <c r="A28094" s="1" t="n">
        <v>28093</v>
      </c>
      <c r="B28094">
        <f>TEXT(28093, "[$-0E0000]yyyy-mm-dd")</f>
        <v/>
      </c>
      <c r="C28094" t="inlineStr">
        <is>
          <t>1976-10-10</t>
        </is>
      </c>
    </row>
    <row r="28095">
      <c r="A28095" s="1" t="n">
        <v>28094</v>
      </c>
      <c r="B28095">
        <f>TEXT(28094, "[$-0E0000]yyyy-mm-dd")</f>
        <v/>
      </c>
      <c r="C28095" t="inlineStr">
        <is>
          <t>1976-10-11</t>
        </is>
      </c>
    </row>
    <row r="28096">
      <c r="A28096" s="1" t="n">
        <v>28095</v>
      </c>
      <c r="B28096">
        <f>TEXT(28095, "[$-0E0000]yyyy-mm-dd")</f>
        <v/>
      </c>
      <c r="C28096" t="inlineStr">
        <is>
          <t>1976-10-12</t>
        </is>
      </c>
    </row>
    <row r="28097">
      <c r="A28097" s="1" t="n">
        <v>28096</v>
      </c>
      <c r="B28097">
        <f>TEXT(28096, "[$-0E0000]yyyy-mm-dd")</f>
        <v/>
      </c>
      <c r="C28097" t="inlineStr">
        <is>
          <t>1976-10-13</t>
        </is>
      </c>
    </row>
    <row r="28098">
      <c r="A28098" s="1" t="n">
        <v>28097</v>
      </c>
      <c r="B28098">
        <f>TEXT(28097, "[$-0E0000]yyyy-mm-dd")</f>
        <v/>
      </c>
      <c r="C28098" t="inlineStr">
        <is>
          <t>1976-10-14</t>
        </is>
      </c>
    </row>
    <row r="28099">
      <c r="A28099" s="1" t="n">
        <v>28098</v>
      </c>
      <c r="B28099">
        <f>TEXT(28098, "[$-0E0000]yyyy-mm-dd")</f>
        <v/>
      </c>
      <c r="C28099" t="inlineStr">
        <is>
          <t>1976-10-15</t>
        </is>
      </c>
    </row>
    <row r="28100">
      <c r="A28100" s="1" t="n">
        <v>28099</v>
      </c>
      <c r="B28100">
        <f>TEXT(28099, "[$-0E0000]yyyy-mm-dd")</f>
        <v/>
      </c>
      <c r="C28100" t="inlineStr">
        <is>
          <t>1976-10-16</t>
        </is>
      </c>
    </row>
    <row r="28101">
      <c r="A28101" s="1" t="n">
        <v>28100</v>
      </c>
      <c r="B28101">
        <f>TEXT(28100, "[$-0E0000]yyyy-mm-dd")</f>
        <v/>
      </c>
      <c r="C28101" t="inlineStr">
        <is>
          <t>1976-10-17</t>
        </is>
      </c>
    </row>
    <row r="28102">
      <c r="A28102" s="1" t="n">
        <v>28101</v>
      </c>
      <c r="B28102">
        <f>TEXT(28101, "[$-0E0000]yyyy-mm-dd")</f>
        <v/>
      </c>
      <c r="C28102" t="inlineStr">
        <is>
          <t>1976-10-18</t>
        </is>
      </c>
    </row>
    <row r="28103">
      <c r="A28103" s="1" t="n">
        <v>28102</v>
      </c>
      <c r="B28103">
        <f>TEXT(28102, "[$-0E0000]yyyy-mm-dd")</f>
        <v/>
      </c>
      <c r="C28103" t="inlineStr">
        <is>
          <t>1976-10-19</t>
        </is>
      </c>
    </row>
    <row r="28104">
      <c r="A28104" s="1" t="n">
        <v>28103</v>
      </c>
      <c r="B28104">
        <f>TEXT(28103, "[$-0E0000]yyyy-mm-dd")</f>
        <v/>
      </c>
      <c r="C28104" t="inlineStr">
        <is>
          <t>1976-10-20</t>
        </is>
      </c>
    </row>
    <row r="28105">
      <c r="A28105" s="1" t="n">
        <v>28104</v>
      </c>
      <c r="B28105">
        <f>TEXT(28104, "[$-0E0000]yyyy-mm-dd")</f>
        <v/>
      </c>
      <c r="C28105" t="inlineStr">
        <is>
          <t>1976-10-21</t>
        </is>
      </c>
    </row>
    <row r="28106">
      <c r="A28106" s="1" t="n">
        <v>28105</v>
      </c>
      <c r="B28106">
        <f>TEXT(28105, "[$-0E0000]yyyy-mm-dd")</f>
        <v/>
      </c>
      <c r="C28106" t="inlineStr">
        <is>
          <t>1976-10-22</t>
        </is>
      </c>
    </row>
    <row r="28107">
      <c r="A28107" s="1" t="n">
        <v>28106</v>
      </c>
      <c r="B28107">
        <f>TEXT(28106, "[$-0E0000]yyyy-mm-dd")</f>
        <v/>
      </c>
      <c r="C28107" t="inlineStr">
        <is>
          <t>1976-10-23</t>
        </is>
      </c>
    </row>
    <row r="28108">
      <c r="A28108" s="1" t="n">
        <v>28107</v>
      </c>
      <c r="B28108">
        <f>TEXT(28107, "[$-0E0000]yyyy-mm-dd")</f>
        <v/>
      </c>
      <c r="C28108" t="inlineStr">
        <is>
          <t>1976-10-24</t>
        </is>
      </c>
    </row>
    <row r="28109">
      <c r="A28109" s="1" t="n">
        <v>28108</v>
      </c>
      <c r="B28109">
        <f>TEXT(28108, "[$-0E0000]yyyy-mm-dd")</f>
        <v/>
      </c>
      <c r="C28109" t="inlineStr">
        <is>
          <t>1976-10-25</t>
        </is>
      </c>
    </row>
    <row r="28110">
      <c r="A28110" s="1" t="n">
        <v>28109</v>
      </c>
      <c r="B28110">
        <f>TEXT(28109, "[$-0E0000]yyyy-mm-dd")</f>
        <v/>
      </c>
      <c r="C28110" t="inlineStr">
        <is>
          <t>1976-10-26</t>
        </is>
      </c>
    </row>
    <row r="28111">
      <c r="A28111" s="1" t="n">
        <v>28110</v>
      </c>
      <c r="B28111">
        <f>TEXT(28110, "[$-0E0000]yyyy-mm-dd")</f>
        <v/>
      </c>
      <c r="C28111" t="inlineStr">
        <is>
          <t>1976-10-27</t>
        </is>
      </c>
    </row>
    <row r="28112">
      <c r="A28112" s="1" t="n">
        <v>28111</v>
      </c>
      <c r="B28112">
        <f>TEXT(28111, "[$-0E0000]yyyy-mm-dd")</f>
        <v/>
      </c>
      <c r="C28112" t="inlineStr">
        <is>
          <t>1976-10-28</t>
        </is>
      </c>
    </row>
    <row r="28113">
      <c r="A28113" s="1" t="n">
        <v>28112</v>
      </c>
      <c r="B28113">
        <f>TEXT(28112, "[$-0E0000]yyyy-mm-dd")</f>
        <v/>
      </c>
      <c r="C28113" t="inlineStr">
        <is>
          <t>1976-10-29</t>
        </is>
      </c>
    </row>
    <row r="28114">
      <c r="A28114" s="1" t="n">
        <v>28113</v>
      </c>
      <c r="B28114">
        <f>TEXT(28113, "[$-0E0000]yyyy-mm-dd")</f>
        <v/>
      </c>
      <c r="C28114" t="inlineStr">
        <is>
          <t>1976-10-30</t>
        </is>
      </c>
    </row>
    <row r="28115">
      <c r="A28115" s="1" t="n">
        <v>28114</v>
      </c>
      <c r="B28115">
        <f>TEXT(28114, "[$-0E0000]yyyy-mm-dd")</f>
        <v/>
      </c>
      <c r="C28115" t="inlineStr">
        <is>
          <t>1976-11-01</t>
        </is>
      </c>
    </row>
    <row r="28116">
      <c r="A28116" s="1" t="n">
        <v>28115</v>
      </c>
      <c r="B28116">
        <f>TEXT(28115, "[$-0E0000]yyyy-mm-dd")</f>
        <v/>
      </c>
      <c r="C28116" t="inlineStr">
        <is>
          <t>1976-11-02</t>
        </is>
      </c>
    </row>
    <row r="28117">
      <c r="A28117" s="1" t="n">
        <v>28116</v>
      </c>
      <c r="B28117">
        <f>TEXT(28116, "[$-0E0000]yyyy-mm-dd")</f>
        <v/>
      </c>
      <c r="C28117" t="inlineStr">
        <is>
          <t>1976-11-03</t>
        </is>
      </c>
    </row>
    <row r="28118">
      <c r="A28118" s="1" t="n">
        <v>28117</v>
      </c>
      <c r="B28118">
        <f>TEXT(28117, "[$-0E0000]yyyy-mm-dd")</f>
        <v/>
      </c>
      <c r="C28118" t="inlineStr">
        <is>
          <t>1976-11-04</t>
        </is>
      </c>
    </row>
    <row r="28119">
      <c r="A28119" s="1" t="n">
        <v>28118</v>
      </c>
      <c r="B28119">
        <f>TEXT(28118, "[$-0E0000]yyyy-mm-dd")</f>
        <v/>
      </c>
      <c r="C28119" t="inlineStr">
        <is>
          <t>1976-11-05</t>
        </is>
      </c>
    </row>
    <row r="28120">
      <c r="A28120" s="1" t="n">
        <v>28119</v>
      </c>
      <c r="B28120">
        <f>TEXT(28119, "[$-0E0000]yyyy-mm-dd")</f>
        <v/>
      </c>
      <c r="C28120" t="inlineStr">
        <is>
          <t>1976-11-06</t>
        </is>
      </c>
    </row>
    <row r="28121">
      <c r="A28121" s="1" t="n">
        <v>28120</v>
      </c>
      <c r="B28121">
        <f>TEXT(28120, "[$-0E0000]yyyy-mm-dd")</f>
        <v/>
      </c>
      <c r="C28121" t="inlineStr">
        <is>
          <t>1976-11-07</t>
        </is>
      </c>
    </row>
    <row r="28122">
      <c r="A28122" s="1" t="n">
        <v>28121</v>
      </c>
      <c r="B28122">
        <f>TEXT(28121, "[$-0E0000]yyyy-mm-dd")</f>
        <v/>
      </c>
      <c r="C28122" t="inlineStr">
        <is>
          <t>1976-11-08</t>
        </is>
      </c>
    </row>
    <row r="28123">
      <c r="A28123" s="1" t="n">
        <v>28122</v>
      </c>
      <c r="B28123">
        <f>TEXT(28122, "[$-0E0000]yyyy-mm-dd")</f>
        <v/>
      </c>
      <c r="C28123" t="inlineStr">
        <is>
          <t>1976-11-09</t>
        </is>
      </c>
    </row>
    <row r="28124">
      <c r="A28124" s="1" t="n">
        <v>28123</v>
      </c>
      <c r="B28124">
        <f>TEXT(28123, "[$-0E0000]yyyy-mm-dd")</f>
        <v/>
      </c>
      <c r="C28124" t="inlineStr">
        <is>
          <t>1976-11-10</t>
        </is>
      </c>
    </row>
    <row r="28125">
      <c r="A28125" s="1" t="n">
        <v>28124</v>
      </c>
      <c r="B28125">
        <f>TEXT(28124, "[$-0E0000]yyyy-mm-dd")</f>
        <v/>
      </c>
      <c r="C28125" t="inlineStr">
        <is>
          <t>1976-11-11</t>
        </is>
      </c>
    </row>
    <row r="28126">
      <c r="A28126" s="1" t="n">
        <v>28125</v>
      </c>
      <c r="B28126">
        <f>TEXT(28125, "[$-0E0000]yyyy-mm-dd")</f>
        <v/>
      </c>
      <c r="C28126" t="inlineStr">
        <is>
          <t>1976-11-12</t>
        </is>
      </c>
    </row>
    <row r="28127">
      <c r="A28127" s="1" t="n">
        <v>28126</v>
      </c>
      <c r="B28127">
        <f>TEXT(28126, "[$-0E0000]yyyy-mm-dd")</f>
        <v/>
      </c>
      <c r="C28127" t="inlineStr">
        <is>
          <t>1976-11-13</t>
        </is>
      </c>
    </row>
    <row r="28128">
      <c r="A28128" s="1" t="n">
        <v>28127</v>
      </c>
      <c r="B28128">
        <f>TEXT(28127, "[$-0E0000]yyyy-mm-dd")</f>
        <v/>
      </c>
      <c r="C28128" t="inlineStr">
        <is>
          <t>1976-11-14</t>
        </is>
      </c>
    </row>
    <row r="28129">
      <c r="A28129" s="1" t="n">
        <v>28128</v>
      </c>
      <c r="B28129">
        <f>TEXT(28128, "[$-0E0000]yyyy-mm-dd")</f>
        <v/>
      </c>
      <c r="C28129" t="inlineStr">
        <is>
          <t>1976-11-15</t>
        </is>
      </c>
    </row>
    <row r="28130">
      <c r="A28130" s="1" t="n">
        <v>28129</v>
      </c>
      <c r="B28130">
        <f>TEXT(28129, "[$-0E0000]yyyy-mm-dd")</f>
        <v/>
      </c>
      <c r="C28130" t="inlineStr">
        <is>
          <t>1976-11-16</t>
        </is>
      </c>
    </row>
    <row r="28131">
      <c r="A28131" s="1" t="n">
        <v>28130</v>
      </c>
      <c r="B28131">
        <f>TEXT(28130, "[$-0E0000]yyyy-mm-dd")</f>
        <v/>
      </c>
      <c r="C28131" t="inlineStr">
        <is>
          <t>1976-11-17</t>
        </is>
      </c>
    </row>
    <row r="28132">
      <c r="A28132" s="1" t="n">
        <v>28131</v>
      </c>
      <c r="B28132">
        <f>TEXT(28131, "[$-0E0000]yyyy-mm-dd")</f>
        <v/>
      </c>
      <c r="C28132" t="inlineStr">
        <is>
          <t>1976-11-18</t>
        </is>
      </c>
    </row>
    <row r="28133">
      <c r="A28133" s="1" t="n">
        <v>28132</v>
      </c>
      <c r="B28133">
        <f>TEXT(28132, "[$-0E0000]yyyy-mm-dd")</f>
        <v/>
      </c>
      <c r="C28133" t="inlineStr">
        <is>
          <t>1976-11-19</t>
        </is>
      </c>
    </row>
    <row r="28134">
      <c r="A28134" s="1" t="n">
        <v>28133</v>
      </c>
      <c r="B28134">
        <f>TEXT(28133, "[$-0E0000]yyyy-mm-dd")</f>
        <v/>
      </c>
      <c r="C28134" t="inlineStr">
        <is>
          <t>1976-11-20</t>
        </is>
      </c>
    </row>
    <row r="28135">
      <c r="A28135" s="1" t="n">
        <v>28134</v>
      </c>
      <c r="B28135">
        <f>TEXT(28134, "[$-0E0000]yyyy-mm-dd")</f>
        <v/>
      </c>
      <c r="C28135" t="inlineStr">
        <is>
          <t>1976-11-21</t>
        </is>
      </c>
    </row>
    <row r="28136">
      <c r="A28136" s="1" t="n">
        <v>28135</v>
      </c>
      <c r="B28136">
        <f>TEXT(28135, "[$-0E0000]yyyy-mm-dd")</f>
        <v/>
      </c>
      <c r="C28136" t="inlineStr">
        <is>
          <t>1976-11-22</t>
        </is>
      </c>
    </row>
    <row r="28137">
      <c r="A28137" s="1" t="n">
        <v>28136</v>
      </c>
      <c r="B28137">
        <f>TEXT(28136, "[$-0E0000]yyyy-mm-dd")</f>
        <v/>
      </c>
      <c r="C28137" t="inlineStr">
        <is>
          <t>1976-11-23</t>
        </is>
      </c>
    </row>
    <row r="28138">
      <c r="A28138" s="1" t="n">
        <v>28137</v>
      </c>
      <c r="B28138">
        <f>TEXT(28137, "[$-0E0000]yyyy-mm-dd")</f>
        <v/>
      </c>
      <c r="C28138" t="inlineStr">
        <is>
          <t>1976-11-24</t>
        </is>
      </c>
    </row>
    <row r="28139">
      <c r="A28139" s="1" t="n">
        <v>28138</v>
      </c>
      <c r="B28139">
        <f>TEXT(28138, "[$-0E0000]yyyy-mm-dd")</f>
        <v/>
      </c>
      <c r="C28139" t="inlineStr">
        <is>
          <t>1976-11-25</t>
        </is>
      </c>
    </row>
    <row r="28140">
      <c r="A28140" s="1" t="n">
        <v>28139</v>
      </c>
      <c r="B28140">
        <f>TEXT(28139, "[$-0E0000]yyyy-mm-dd")</f>
        <v/>
      </c>
      <c r="C28140" t="inlineStr">
        <is>
          <t>1976-11-26</t>
        </is>
      </c>
    </row>
    <row r="28141">
      <c r="A28141" s="1" t="n">
        <v>28140</v>
      </c>
      <c r="B28141">
        <f>TEXT(28140, "[$-0E0000]yyyy-mm-dd")</f>
        <v/>
      </c>
      <c r="C28141" t="inlineStr">
        <is>
          <t>1976-11-27</t>
        </is>
      </c>
    </row>
    <row r="28142">
      <c r="A28142" s="1" t="n">
        <v>28141</v>
      </c>
      <c r="B28142">
        <f>TEXT(28141, "[$-0E0000]yyyy-mm-dd")</f>
        <v/>
      </c>
      <c r="C28142" t="inlineStr">
        <is>
          <t>1976-11-28</t>
        </is>
      </c>
    </row>
    <row r="28143">
      <c r="A28143" s="1" t="n">
        <v>28142</v>
      </c>
      <c r="B28143">
        <f>TEXT(28142, "[$-0E0000]yyyy-mm-dd")</f>
        <v/>
      </c>
      <c r="C28143" t="inlineStr">
        <is>
          <t>1976-11-29</t>
        </is>
      </c>
    </row>
    <row r="28144">
      <c r="A28144" s="1" t="n">
        <v>28143</v>
      </c>
      <c r="B28144">
        <f>TEXT(28143, "[$-0E0000]yyyy-mm-dd")</f>
        <v/>
      </c>
      <c r="C28144" t="inlineStr">
        <is>
          <t>1976-12-01</t>
        </is>
      </c>
    </row>
    <row r="28145">
      <c r="A28145" s="1" t="n">
        <v>28144</v>
      </c>
      <c r="B28145">
        <f>TEXT(28144, "[$-0E0000]yyyy-mm-dd")</f>
        <v/>
      </c>
      <c r="C28145" t="inlineStr">
        <is>
          <t>1976-12-02</t>
        </is>
      </c>
    </row>
    <row r="28146">
      <c r="A28146" s="1" t="n">
        <v>28145</v>
      </c>
      <c r="B28146">
        <f>TEXT(28145, "[$-0E0000]yyyy-mm-dd")</f>
        <v/>
      </c>
      <c r="C28146" t="inlineStr">
        <is>
          <t>1976-12-03</t>
        </is>
      </c>
    </row>
    <row r="28147">
      <c r="A28147" s="1" t="n">
        <v>28146</v>
      </c>
      <c r="B28147">
        <f>TEXT(28146, "[$-0E0000]yyyy-mm-dd")</f>
        <v/>
      </c>
      <c r="C28147" t="inlineStr">
        <is>
          <t>1976-12-04</t>
        </is>
      </c>
    </row>
    <row r="28148">
      <c r="A28148" s="1" t="n">
        <v>28147</v>
      </c>
      <c r="B28148">
        <f>TEXT(28147, "[$-0E0000]yyyy-mm-dd")</f>
        <v/>
      </c>
      <c r="C28148" t="inlineStr">
        <is>
          <t>1976-12-05</t>
        </is>
      </c>
    </row>
    <row r="28149">
      <c r="A28149" s="1" t="n">
        <v>28148</v>
      </c>
      <c r="B28149">
        <f>TEXT(28148, "[$-0E0000]yyyy-mm-dd")</f>
        <v/>
      </c>
      <c r="C28149" t="inlineStr">
        <is>
          <t>1976-12-06</t>
        </is>
      </c>
    </row>
    <row r="28150">
      <c r="A28150" s="1" t="n">
        <v>28149</v>
      </c>
      <c r="B28150">
        <f>TEXT(28149, "[$-0E0000]yyyy-mm-dd")</f>
        <v/>
      </c>
      <c r="C28150" t="inlineStr">
        <is>
          <t>1976-12-07</t>
        </is>
      </c>
    </row>
    <row r="28151">
      <c r="A28151" s="1" t="n">
        <v>28150</v>
      </c>
      <c r="B28151">
        <f>TEXT(28150, "[$-0E0000]yyyy-mm-dd")</f>
        <v/>
      </c>
      <c r="C28151" t="inlineStr">
        <is>
          <t>1976-12-08</t>
        </is>
      </c>
    </row>
    <row r="28152">
      <c r="A28152" s="1" t="n">
        <v>28151</v>
      </c>
      <c r="B28152">
        <f>TEXT(28151, "[$-0E0000]yyyy-mm-dd")</f>
        <v/>
      </c>
      <c r="C28152" t="inlineStr">
        <is>
          <t>1976-12-09</t>
        </is>
      </c>
    </row>
    <row r="28153">
      <c r="A28153" s="1" t="n">
        <v>28152</v>
      </c>
      <c r="B28153">
        <f>TEXT(28152, "[$-0E0000]yyyy-mm-dd")</f>
        <v/>
      </c>
      <c r="C28153" t="inlineStr">
        <is>
          <t>1976-12-10</t>
        </is>
      </c>
    </row>
    <row r="28154">
      <c r="A28154" s="1" t="n">
        <v>28153</v>
      </c>
      <c r="B28154">
        <f>TEXT(28153, "[$-0E0000]yyyy-mm-dd")</f>
        <v/>
      </c>
      <c r="C28154" t="inlineStr">
        <is>
          <t>1976-12-11</t>
        </is>
      </c>
    </row>
    <row r="28155">
      <c r="A28155" s="1" t="n">
        <v>28154</v>
      </c>
      <c r="B28155">
        <f>TEXT(28154, "[$-0E0000]yyyy-mm-dd")</f>
        <v/>
      </c>
      <c r="C28155" t="inlineStr">
        <is>
          <t>1976-12-12</t>
        </is>
      </c>
    </row>
    <row r="28156">
      <c r="A28156" s="1" t="n">
        <v>28155</v>
      </c>
      <c r="B28156">
        <f>TEXT(28155, "[$-0E0000]yyyy-mm-dd")</f>
        <v/>
      </c>
      <c r="C28156" t="inlineStr">
        <is>
          <t>1976-12-13</t>
        </is>
      </c>
    </row>
    <row r="28157">
      <c r="A28157" s="1" t="n">
        <v>28156</v>
      </c>
      <c r="B28157">
        <f>TEXT(28156, "[$-0E0000]yyyy-mm-dd")</f>
        <v/>
      </c>
      <c r="C28157" t="inlineStr">
        <is>
          <t>1976-12-14</t>
        </is>
      </c>
    </row>
    <row r="28158">
      <c r="A28158" s="1" t="n">
        <v>28157</v>
      </c>
      <c r="B28158">
        <f>TEXT(28157, "[$-0E0000]yyyy-mm-dd")</f>
        <v/>
      </c>
      <c r="C28158" t="inlineStr">
        <is>
          <t>1976-12-15</t>
        </is>
      </c>
    </row>
    <row r="28159">
      <c r="A28159" s="1" t="n">
        <v>28158</v>
      </c>
      <c r="B28159">
        <f>TEXT(28158, "[$-0E0000]yyyy-mm-dd")</f>
        <v/>
      </c>
      <c r="C28159" t="inlineStr">
        <is>
          <t>1976-12-16</t>
        </is>
      </c>
    </row>
    <row r="28160">
      <c r="A28160" s="1" t="n">
        <v>28159</v>
      </c>
      <c r="B28160">
        <f>TEXT(28159, "[$-0E0000]yyyy-mm-dd")</f>
        <v/>
      </c>
      <c r="C28160" t="inlineStr">
        <is>
          <t>1976-12-17</t>
        </is>
      </c>
    </row>
    <row r="28161">
      <c r="A28161" s="1" t="n">
        <v>28160</v>
      </c>
      <c r="B28161">
        <f>TEXT(28160, "[$-0E0000]yyyy-mm-dd")</f>
        <v/>
      </c>
      <c r="C28161" t="inlineStr">
        <is>
          <t>1976-12-18</t>
        </is>
      </c>
    </row>
    <row r="28162">
      <c r="A28162" s="1" t="n">
        <v>28161</v>
      </c>
      <c r="B28162">
        <f>TEXT(28161, "[$-0E0000]yyyy-mm-dd")</f>
        <v/>
      </c>
      <c r="C28162" t="inlineStr">
        <is>
          <t>1976-12-19</t>
        </is>
      </c>
    </row>
    <row r="28163">
      <c r="A28163" s="1" t="n">
        <v>28162</v>
      </c>
      <c r="B28163">
        <f>TEXT(28162, "[$-0E0000]yyyy-mm-dd")</f>
        <v/>
      </c>
      <c r="C28163" t="inlineStr">
        <is>
          <t>1976-12-20</t>
        </is>
      </c>
    </row>
    <row r="28164">
      <c r="A28164" s="1" t="n">
        <v>28163</v>
      </c>
      <c r="B28164">
        <f>TEXT(28163, "[$-0E0000]yyyy-mm-dd")</f>
        <v/>
      </c>
      <c r="C28164" t="inlineStr">
        <is>
          <t>1976-12-21</t>
        </is>
      </c>
    </row>
    <row r="28165">
      <c r="A28165" s="1" t="n">
        <v>28164</v>
      </c>
      <c r="B28165">
        <f>TEXT(28164, "[$-0E0000]yyyy-mm-dd")</f>
        <v/>
      </c>
      <c r="C28165" t="inlineStr">
        <is>
          <t>1976-12-22</t>
        </is>
      </c>
    </row>
    <row r="28166">
      <c r="A28166" s="1" t="n">
        <v>28165</v>
      </c>
      <c r="B28166">
        <f>TEXT(28165, "[$-0E0000]yyyy-mm-dd")</f>
        <v/>
      </c>
      <c r="C28166" t="inlineStr">
        <is>
          <t>1976-12-23</t>
        </is>
      </c>
    </row>
    <row r="28167">
      <c r="A28167" s="1" t="n">
        <v>28166</v>
      </c>
      <c r="B28167">
        <f>TEXT(28166, "[$-0E0000]yyyy-mm-dd")</f>
        <v/>
      </c>
      <c r="C28167" t="inlineStr">
        <is>
          <t>1976-12-24</t>
        </is>
      </c>
    </row>
    <row r="28168">
      <c r="A28168" s="1" t="n">
        <v>28167</v>
      </c>
      <c r="B28168">
        <f>TEXT(28167, "[$-0E0000]yyyy-mm-dd")</f>
        <v/>
      </c>
      <c r="C28168" t="inlineStr">
        <is>
          <t>1976-12-25</t>
        </is>
      </c>
    </row>
    <row r="28169">
      <c r="A28169" s="1" t="n">
        <v>28168</v>
      </c>
      <c r="B28169">
        <f>TEXT(28168, "[$-0E0000]yyyy-mm-dd")</f>
        <v/>
      </c>
      <c r="C28169" t="inlineStr">
        <is>
          <t>1976-12-26</t>
        </is>
      </c>
    </row>
    <row r="28170">
      <c r="A28170" s="1" t="n">
        <v>28169</v>
      </c>
      <c r="B28170">
        <f>TEXT(28169, "[$-0E0000]yyyy-mm-dd")</f>
        <v/>
      </c>
      <c r="C28170" t="inlineStr">
        <is>
          <t>1976-12-27</t>
        </is>
      </c>
    </row>
    <row r="28171">
      <c r="A28171" s="1" t="n">
        <v>28170</v>
      </c>
      <c r="B28171">
        <f>TEXT(28170, "[$-0E0000]yyyy-mm-dd")</f>
        <v/>
      </c>
      <c r="C28171" t="inlineStr">
        <is>
          <t>1976-12-28</t>
        </is>
      </c>
    </row>
    <row r="28172">
      <c r="A28172" s="1" t="n">
        <v>28171</v>
      </c>
      <c r="B28172">
        <f>TEXT(28171, "[$-0E0000]yyyy-mm-dd")</f>
        <v/>
      </c>
      <c r="C28172" t="inlineStr">
        <is>
          <t>1976-12-29</t>
        </is>
      </c>
    </row>
    <row r="28173">
      <c r="A28173" s="1" t="n">
        <v>28172</v>
      </c>
      <c r="B28173">
        <f>TEXT(28172, "[$-0E0000]yyyy-mm-dd")</f>
        <v/>
      </c>
      <c r="C28173" t="inlineStr">
        <is>
          <t>1976-12-30</t>
        </is>
      </c>
    </row>
    <row r="28174">
      <c r="A28174" s="1" t="n">
        <v>28173</v>
      </c>
      <c r="B28174">
        <f>TEXT(28173, "[$-0E0000]yyyy-mm-dd")</f>
        <v/>
      </c>
      <c r="C28174" t="inlineStr">
        <is>
          <t>1977-01-01</t>
        </is>
      </c>
    </row>
    <row r="28175">
      <c r="A28175" s="1" t="n">
        <v>28174</v>
      </c>
      <c r="B28175">
        <f>TEXT(28174, "[$-0E0000]yyyy-mm-dd")</f>
        <v/>
      </c>
      <c r="C28175" t="inlineStr">
        <is>
          <t>1977-01-02</t>
        </is>
      </c>
    </row>
    <row r="28176">
      <c r="A28176" s="1" t="n">
        <v>28175</v>
      </c>
      <c r="B28176">
        <f>TEXT(28175, "[$-0E0000]yyyy-mm-dd")</f>
        <v/>
      </c>
      <c r="C28176" t="inlineStr">
        <is>
          <t>1977-01-03</t>
        </is>
      </c>
    </row>
    <row r="28177">
      <c r="A28177" s="1" t="n">
        <v>28176</v>
      </c>
      <c r="B28177">
        <f>TEXT(28176, "[$-0E0000]yyyy-mm-dd")</f>
        <v/>
      </c>
      <c r="C28177" t="inlineStr">
        <is>
          <t>1977-01-04</t>
        </is>
      </c>
    </row>
    <row r="28178">
      <c r="A28178" s="1" t="n">
        <v>28177</v>
      </c>
      <c r="B28178">
        <f>TEXT(28177, "[$-0E0000]yyyy-mm-dd")</f>
        <v/>
      </c>
      <c r="C28178" t="inlineStr">
        <is>
          <t>1977-01-05</t>
        </is>
      </c>
    </row>
    <row r="28179">
      <c r="A28179" s="1" t="n">
        <v>28178</v>
      </c>
      <c r="B28179">
        <f>TEXT(28178, "[$-0E0000]yyyy-mm-dd")</f>
        <v/>
      </c>
      <c r="C28179" t="inlineStr">
        <is>
          <t>1977-01-06</t>
        </is>
      </c>
    </row>
    <row r="28180">
      <c r="A28180" s="1" t="n">
        <v>28179</v>
      </c>
      <c r="B28180">
        <f>TEXT(28179, "[$-0E0000]yyyy-mm-dd")</f>
        <v/>
      </c>
      <c r="C28180" t="inlineStr">
        <is>
          <t>1977-01-07</t>
        </is>
      </c>
    </row>
    <row r="28181">
      <c r="A28181" s="1" t="n">
        <v>28180</v>
      </c>
      <c r="B28181">
        <f>TEXT(28180, "[$-0E0000]yyyy-mm-dd")</f>
        <v/>
      </c>
      <c r="C28181" t="inlineStr">
        <is>
          <t>1977-01-08</t>
        </is>
      </c>
    </row>
    <row r="28182">
      <c r="A28182" s="1" t="n">
        <v>28181</v>
      </c>
      <c r="B28182">
        <f>TEXT(28181, "[$-0E0000]yyyy-mm-dd")</f>
        <v/>
      </c>
      <c r="C28182" t="inlineStr">
        <is>
          <t>1977-01-09</t>
        </is>
      </c>
    </row>
    <row r="28183">
      <c r="A28183" s="1" t="n">
        <v>28182</v>
      </c>
      <c r="B28183">
        <f>TEXT(28182, "[$-0E0000]yyyy-mm-dd")</f>
        <v/>
      </c>
      <c r="C28183" t="inlineStr">
        <is>
          <t>1977-01-10</t>
        </is>
      </c>
    </row>
    <row r="28184">
      <c r="A28184" s="1" t="n">
        <v>28183</v>
      </c>
      <c r="B28184">
        <f>TEXT(28183, "[$-0E0000]yyyy-mm-dd")</f>
        <v/>
      </c>
      <c r="C28184" t="inlineStr">
        <is>
          <t>1977-01-11</t>
        </is>
      </c>
    </row>
    <row r="28185">
      <c r="A28185" s="1" t="n">
        <v>28184</v>
      </c>
      <c r="B28185">
        <f>TEXT(28184, "[$-0E0000]yyyy-mm-dd")</f>
        <v/>
      </c>
      <c r="C28185" t="inlineStr">
        <is>
          <t>1977-01-12</t>
        </is>
      </c>
    </row>
    <row r="28186">
      <c r="A28186" s="1" t="n">
        <v>28185</v>
      </c>
      <c r="B28186">
        <f>TEXT(28185, "[$-0E0000]yyyy-mm-dd")</f>
        <v/>
      </c>
      <c r="C28186" t="inlineStr">
        <is>
          <t>1977-01-13</t>
        </is>
      </c>
    </row>
    <row r="28187">
      <c r="A28187" s="1" t="n">
        <v>28186</v>
      </c>
      <c r="B28187">
        <f>TEXT(28186, "[$-0E0000]yyyy-mm-dd")</f>
        <v/>
      </c>
      <c r="C28187" t="inlineStr">
        <is>
          <t>1977-01-14</t>
        </is>
      </c>
    </row>
    <row r="28188">
      <c r="A28188" s="1" t="n">
        <v>28187</v>
      </c>
      <c r="B28188">
        <f>TEXT(28187, "[$-0E0000]yyyy-mm-dd")</f>
        <v/>
      </c>
      <c r="C28188" t="inlineStr">
        <is>
          <t>1977-01-15</t>
        </is>
      </c>
    </row>
    <row r="28189">
      <c r="A28189" s="1" t="n">
        <v>28188</v>
      </c>
      <c r="B28189">
        <f>TEXT(28188, "[$-0E0000]yyyy-mm-dd")</f>
        <v/>
      </c>
      <c r="C28189" t="inlineStr">
        <is>
          <t>1977-01-16</t>
        </is>
      </c>
    </row>
    <row r="28190">
      <c r="A28190" s="1" t="n">
        <v>28189</v>
      </c>
      <c r="B28190">
        <f>TEXT(28189, "[$-0E0000]yyyy-mm-dd")</f>
        <v/>
      </c>
      <c r="C28190" t="inlineStr">
        <is>
          <t>1977-01-17</t>
        </is>
      </c>
    </row>
    <row r="28191">
      <c r="A28191" s="1" t="n">
        <v>28190</v>
      </c>
      <c r="B28191">
        <f>TEXT(28190, "[$-0E0000]yyyy-mm-dd")</f>
        <v/>
      </c>
      <c r="C28191" t="inlineStr">
        <is>
          <t>1977-01-18</t>
        </is>
      </c>
    </row>
    <row r="28192">
      <c r="A28192" s="1" t="n">
        <v>28191</v>
      </c>
      <c r="B28192">
        <f>TEXT(28191, "[$-0E0000]yyyy-mm-dd")</f>
        <v/>
      </c>
      <c r="C28192" t="inlineStr">
        <is>
          <t>1977-01-19</t>
        </is>
      </c>
    </row>
    <row r="28193">
      <c r="A28193" s="1" t="n">
        <v>28192</v>
      </c>
      <c r="B28193">
        <f>TEXT(28192, "[$-0E0000]yyyy-mm-dd")</f>
        <v/>
      </c>
      <c r="C28193" t="inlineStr">
        <is>
          <t>1977-01-20</t>
        </is>
      </c>
    </row>
    <row r="28194">
      <c r="A28194" s="1" t="n">
        <v>28193</v>
      </c>
      <c r="B28194">
        <f>TEXT(28193, "[$-0E0000]yyyy-mm-dd")</f>
        <v/>
      </c>
      <c r="C28194" t="inlineStr">
        <is>
          <t>1977-01-21</t>
        </is>
      </c>
    </row>
    <row r="28195">
      <c r="A28195" s="1" t="n">
        <v>28194</v>
      </c>
      <c r="B28195">
        <f>TEXT(28194, "[$-0E0000]yyyy-mm-dd")</f>
        <v/>
      </c>
      <c r="C28195" t="inlineStr">
        <is>
          <t>1977-01-22</t>
        </is>
      </c>
    </row>
    <row r="28196">
      <c r="A28196" s="1" t="n">
        <v>28195</v>
      </c>
      <c r="B28196">
        <f>TEXT(28195, "[$-0E0000]yyyy-mm-dd")</f>
        <v/>
      </c>
      <c r="C28196" t="inlineStr">
        <is>
          <t>1977-01-23</t>
        </is>
      </c>
    </row>
    <row r="28197">
      <c r="A28197" s="1" t="n">
        <v>28196</v>
      </c>
      <c r="B28197">
        <f>TEXT(28196, "[$-0E0000]yyyy-mm-dd")</f>
        <v/>
      </c>
      <c r="C28197" t="inlineStr">
        <is>
          <t>1977-01-24</t>
        </is>
      </c>
    </row>
    <row r="28198">
      <c r="A28198" s="1" t="n">
        <v>28197</v>
      </c>
      <c r="B28198">
        <f>TEXT(28197, "[$-0E0000]yyyy-mm-dd")</f>
        <v/>
      </c>
      <c r="C28198" t="inlineStr">
        <is>
          <t>1977-01-25</t>
        </is>
      </c>
    </row>
    <row r="28199">
      <c r="A28199" s="1" t="n">
        <v>28198</v>
      </c>
      <c r="B28199">
        <f>TEXT(28198, "[$-0E0000]yyyy-mm-dd")</f>
        <v/>
      </c>
      <c r="C28199" t="inlineStr">
        <is>
          <t>1977-01-26</t>
        </is>
      </c>
    </row>
    <row r="28200">
      <c r="A28200" s="1" t="n">
        <v>28199</v>
      </c>
      <c r="B28200">
        <f>TEXT(28199, "[$-0E0000]yyyy-mm-dd")</f>
        <v/>
      </c>
      <c r="C28200" t="inlineStr">
        <is>
          <t>1977-01-27</t>
        </is>
      </c>
    </row>
    <row r="28201">
      <c r="A28201" s="1" t="n">
        <v>28200</v>
      </c>
      <c r="B28201">
        <f>TEXT(28200, "[$-0E0000]yyyy-mm-dd")</f>
        <v/>
      </c>
      <c r="C28201" t="inlineStr">
        <is>
          <t>1977-01-28</t>
        </is>
      </c>
    </row>
    <row r="28202">
      <c r="A28202" s="1" t="n">
        <v>28201</v>
      </c>
      <c r="B28202">
        <f>TEXT(28201, "[$-0E0000]yyyy-mm-dd")</f>
        <v/>
      </c>
      <c r="C28202" t="inlineStr">
        <is>
          <t>1977-01-29</t>
        </is>
      </c>
    </row>
    <row r="28203">
      <c r="A28203" s="1" t="n">
        <v>28202</v>
      </c>
      <c r="B28203">
        <f>TEXT(28202, "[$-0E0000]yyyy-mm-dd")</f>
        <v/>
      </c>
      <c r="C28203" t="inlineStr">
        <is>
          <t>1977-01-30</t>
        </is>
      </c>
    </row>
    <row r="28204">
      <c r="A28204" s="1" t="n">
        <v>28203</v>
      </c>
      <c r="B28204">
        <f>TEXT(28203, "[$-0E0000]yyyy-mm-dd")</f>
        <v/>
      </c>
      <c r="C28204" t="inlineStr">
        <is>
          <t>1977-02-01</t>
        </is>
      </c>
    </row>
    <row r="28205">
      <c r="A28205" s="1" t="n">
        <v>28204</v>
      </c>
      <c r="B28205">
        <f>TEXT(28204, "[$-0E0000]yyyy-mm-dd")</f>
        <v/>
      </c>
      <c r="C28205" t="inlineStr">
        <is>
          <t>1977-02-02</t>
        </is>
      </c>
    </row>
    <row r="28206">
      <c r="A28206" s="1" t="n">
        <v>28205</v>
      </c>
      <c r="B28206">
        <f>TEXT(28205, "[$-0E0000]yyyy-mm-dd")</f>
        <v/>
      </c>
      <c r="C28206" t="inlineStr">
        <is>
          <t>1977-02-03</t>
        </is>
      </c>
    </row>
    <row r="28207">
      <c r="A28207" s="1" t="n">
        <v>28206</v>
      </c>
      <c r="B28207">
        <f>TEXT(28206, "[$-0E0000]yyyy-mm-dd")</f>
        <v/>
      </c>
      <c r="C28207" t="inlineStr">
        <is>
          <t>1977-02-04</t>
        </is>
      </c>
    </row>
    <row r="28208">
      <c r="A28208" s="1" t="n">
        <v>28207</v>
      </c>
      <c r="B28208">
        <f>TEXT(28207, "[$-0E0000]yyyy-mm-dd")</f>
        <v/>
      </c>
      <c r="C28208" t="inlineStr">
        <is>
          <t>1977-02-05</t>
        </is>
      </c>
    </row>
    <row r="28209">
      <c r="A28209" s="1" t="n">
        <v>28208</v>
      </c>
      <c r="B28209">
        <f>TEXT(28208, "[$-0E0000]yyyy-mm-dd")</f>
        <v/>
      </c>
      <c r="C28209" t="inlineStr">
        <is>
          <t>1977-02-06</t>
        </is>
      </c>
    </row>
    <row r="28210">
      <c r="A28210" s="1" t="n">
        <v>28209</v>
      </c>
      <c r="B28210">
        <f>TEXT(28209, "[$-0E0000]yyyy-mm-dd")</f>
        <v/>
      </c>
      <c r="C28210" t="inlineStr">
        <is>
          <t>1977-02-07</t>
        </is>
      </c>
    </row>
    <row r="28211">
      <c r="A28211" s="1" t="n">
        <v>28210</v>
      </c>
      <c r="B28211">
        <f>TEXT(28210, "[$-0E0000]yyyy-mm-dd")</f>
        <v/>
      </c>
      <c r="C28211" t="inlineStr">
        <is>
          <t>1977-02-08</t>
        </is>
      </c>
    </row>
    <row r="28212">
      <c r="A28212" s="1" t="n">
        <v>28211</v>
      </c>
      <c r="B28212">
        <f>TEXT(28211, "[$-0E0000]yyyy-mm-dd")</f>
        <v/>
      </c>
      <c r="C28212" t="inlineStr">
        <is>
          <t>1977-02-09</t>
        </is>
      </c>
    </row>
    <row r="28213">
      <c r="A28213" s="1" t="n">
        <v>28212</v>
      </c>
      <c r="B28213">
        <f>TEXT(28212, "[$-0E0000]yyyy-mm-dd")</f>
        <v/>
      </c>
      <c r="C28213" t="inlineStr">
        <is>
          <t>1977-02-10</t>
        </is>
      </c>
    </row>
    <row r="28214">
      <c r="A28214" s="1" t="n">
        <v>28213</v>
      </c>
      <c r="B28214">
        <f>TEXT(28213, "[$-0E0000]yyyy-mm-dd")</f>
        <v/>
      </c>
      <c r="C28214" t="inlineStr">
        <is>
          <t>1977-02-11</t>
        </is>
      </c>
    </row>
    <row r="28215">
      <c r="A28215" s="1" t="n">
        <v>28214</v>
      </c>
      <c r="B28215">
        <f>TEXT(28214, "[$-0E0000]yyyy-mm-dd")</f>
        <v/>
      </c>
      <c r="C28215" t="inlineStr">
        <is>
          <t>1977-02-12</t>
        </is>
      </c>
    </row>
    <row r="28216">
      <c r="A28216" s="1" t="n">
        <v>28215</v>
      </c>
      <c r="B28216">
        <f>TEXT(28215, "[$-0E0000]yyyy-mm-dd")</f>
        <v/>
      </c>
      <c r="C28216" t="inlineStr">
        <is>
          <t>1977-02-13</t>
        </is>
      </c>
    </row>
    <row r="28217">
      <c r="A28217" s="1" t="n">
        <v>28216</v>
      </c>
      <c r="B28217">
        <f>TEXT(28216, "[$-0E0000]yyyy-mm-dd")</f>
        <v/>
      </c>
      <c r="C28217" t="inlineStr">
        <is>
          <t>1977-02-14</t>
        </is>
      </c>
    </row>
    <row r="28218">
      <c r="A28218" s="1" t="n">
        <v>28217</v>
      </c>
      <c r="B28218">
        <f>TEXT(28217, "[$-0E0000]yyyy-mm-dd")</f>
        <v/>
      </c>
      <c r="C28218" t="inlineStr">
        <is>
          <t>1977-02-15</t>
        </is>
      </c>
    </row>
    <row r="28219">
      <c r="A28219" s="1" t="n">
        <v>28218</v>
      </c>
      <c r="B28219">
        <f>TEXT(28218, "[$-0E0000]yyyy-mm-dd")</f>
        <v/>
      </c>
      <c r="C28219" t="inlineStr">
        <is>
          <t>1977-02-16</t>
        </is>
      </c>
    </row>
    <row r="28220">
      <c r="A28220" s="1" t="n">
        <v>28219</v>
      </c>
      <c r="B28220">
        <f>TEXT(28219, "[$-0E0000]yyyy-mm-dd")</f>
        <v/>
      </c>
      <c r="C28220" t="inlineStr">
        <is>
          <t>1977-02-17</t>
        </is>
      </c>
    </row>
    <row r="28221">
      <c r="A28221" s="1" t="n">
        <v>28220</v>
      </c>
      <c r="B28221">
        <f>TEXT(28220, "[$-0E0000]yyyy-mm-dd")</f>
        <v/>
      </c>
      <c r="C28221" t="inlineStr">
        <is>
          <t>1977-02-18</t>
        </is>
      </c>
    </row>
    <row r="28222">
      <c r="A28222" s="1" t="n">
        <v>28221</v>
      </c>
      <c r="B28222">
        <f>TEXT(28221, "[$-0E0000]yyyy-mm-dd")</f>
        <v/>
      </c>
      <c r="C28222" t="inlineStr">
        <is>
          <t>1977-02-19</t>
        </is>
      </c>
    </row>
    <row r="28223">
      <c r="A28223" s="1" t="n">
        <v>28222</v>
      </c>
      <c r="B28223">
        <f>TEXT(28222, "[$-0E0000]yyyy-mm-dd")</f>
        <v/>
      </c>
      <c r="C28223" t="inlineStr">
        <is>
          <t>1977-02-20</t>
        </is>
      </c>
    </row>
    <row r="28224">
      <c r="A28224" s="1" t="n">
        <v>28223</v>
      </c>
      <c r="B28224">
        <f>TEXT(28223, "[$-0E0000]yyyy-mm-dd")</f>
        <v/>
      </c>
      <c r="C28224" t="inlineStr">
        <is>
          <t>1977-02-21</t>
        </is>
      </c>
    </row>
    <row r="28225">
      <c r="A28225" s="1" t="n">
        <v>28224</v>
      </c>
      <c r="B28225">
        <f>TEXT(28224, "[$-0E0000]yyyy-mm-dd")</f>
        <v/>
      </c>
      <c r="C28225" t="inlineStr">
        <is>
          <t>1977-02-22</t>
        </is>
      </c>
    </row>
    <row r="28226">
      <c r="A28226" s="1" t="n">
        <v>28225</v>
      </c>
      <c r="B28226">
        <f>TEXT(28225, "[$-0E0000]yyyy-mm-dd")</f>
        <v/>
      </c>
      <c r="C28226" t="inlineStr">
        <is>
          <t>1977-02-23</t>
        </is>
      </c>
    </row>
    <row r="28227">
      <c r="A28227" s="1" t="n">
        <v>28226</v>
      </c>
      <c r="B28227">
        <f>TEXT(28226, "[$-0E0000]yyyy-mm-dd")</f>
        <v/>
      </c>
      <c r="C28227" t="inlineStr">
        <is>
          <t>1977-02-24</t>
        </is>
      </c>
    </row>
    <row r="28228">
      <c r="A28228" s="1" t="n">
        <v>28227</v>
      </c>
      <c r="B28228">
        <f>TEXT(28227, "[$-0E0000]yyyy-mm-dd")</f>
        <v/>
      </c>
      <c r="C28228" t="inlineStr">
        <is>
          <t>1977-02-25</t>
        </is>
      </c>
    </row>
    <row r="28229">
      <c r="A28229" s="1" t="n">
        <v>28228</v>
      </c>
      <c r="B28229">
        <f>TEXT(28228, "[$-0E0000]yyyy-mm-dd")</f>
        <v/>
      </c>
      <c r="C28229" t="inlineStr">
        <is>
          <t>1977-02-26</t>
        </is>
      </c>
    </row>
    <row r="28230">
      <c r="A28230" s="1" t="n">
        <v>28229</v>
      </c>
      <c r="B28230">
        <f>TEXT(28229, "[$-0E0000]yyyy-mm-dd")</f>
        <v/>
      </c>
      <c r="C28230" t="inlineStr">
        <is>
          <t>1977-02-27</t>
        </is>
      </c>
    </row>
    <row r="28231">
      <c r="A28231" s="1" t="n">
        <v>28230</v>
      </c>
      <c r="B28231">
        <f>TEXT(28230, "[$-0E0000]yyyy-mm-dd")</f>
        <v/>
      </c>
      <c r="C28231" t="inlineStr">
        <is>
          <t>1977-02-28</t>
        </is>
      </c>
    </row>
    <row r="28232">
      <c r="A28232" s="1" t="n">
        <v>28231</v>
      </c>
      <c r="B28232">
        <f>TEXT(28231, "[$-0E0000]yyyy-mm-dd")</f>
        <v/>
      </c>
      <c r="C28232" t="inlineStr">
        <is>
          <t>1977-02-29</t>
        </is>
      </c>
    </row>
    <row r="28233">
      <c r="A28233" s="1" t="n">
        <v>28232</v>
      </c>
      <c r="B28233">
        <f>TEXT(28232, "[$-0E0000]yyyy-mm-dd")</f>
        <v/>
      </c>
      <c r="C28233" t="inlineStr">
        <is>
          <t>1977-03-01</t>
        </is>
      </c>
    </row>
    <row r="28234">
      <c r="A28234" s="1" t="n">
        <v>28233</v>
      </c>
      <c r="B28234">
        <f>TEXT(28233, "[$-0E0000]yyyy-mm-dd")</f>
        <v/>
      </c>
      <c r="C28234" t="inlineStr">
        <is>
          <t>1977-03-02</t>
        </is>
      </c>
    </row>
    <row r="28235">
      <c r="A28235" s="1" t="n">
        <v>28234</v>
      </c>
      <c r="B28235">
        <f>TEXT(28234, "[$-0E0000]yyyy-mm-dd")</f>
        <v/>
      </c>
      <c r="C28235" t="inlineStr">
        <is>
          <t>1977-03-03</t>
        </is>
      </c>
    </row>
    <row r="28236">
      <c r="A28236" s="1" t="n">
        <v>28235</v>
      </c>
      <c r="B28236">
        <f>TEXT(28235, "[$-0E0000]yyyy-mm-dd")</f>
        <v/>
      </c>
      <c r="C28236" t="inlineStr">
        <is>
          <t>1977-03-04</t>
        </is>
      </c>
    </row>
    <row r="28237">
      <c r="A28237" s="1" t="n">
        <v>28236</v>
      </c>
      <c r="B28237">
        <f>TEXT(28236, "[$-0E0000]yyyy-mm-dd")</f>
        <v/>
      </c>
      <c r="C28237" t="inlineStr">
        <is>
          <t>1977-03-05</t>
        </is>
      </c>
    </row>
    <row r="28238">
      <c r="A28238" s="1" t="n">
        <v>28237</v>
      </c>
      <c r="B28238">
        <f>TEXT(28237, "[$-0E0000]yyyy-mm-dd")</f>
        <v/>
      </c>
      <c r="C28238" t="inlineStr">
        <is>
          <t>1977-03-06</t>
        </is>
      </c>
    </row>
    <row r="28239">
      <c r="A28239" s="1" t="n">
        <v>28238</v>
      </c>
      <c r="B28239">
        <f>TEXT(28238, "[$-0E0000]yyyy-mm-dd")</f>
        <v/>
      </c>
      <c r="C28239" t="inlineStr">
        <is>
          <t>1977-03-07</t>
        </is>
      </c>
    </row>
    <row r="28240">
      <c r="A28240" s="1" t="n">
        <v>28239</v>
      </c>
      <c r="B28240">
        <f>TEXT(28239, "[$-0E0000]yyyy-mm-dd")</f>
        <v/>
      </c>
      <c r="C28240" t="inlineStr">
        <is>
          <t>1977-03-08</t>
        </is>
      </c>
    </row>
    <row r="28241">
      <c r="A28241" s="1" t="n">
        <v>28240</v>
      </c>
      <c r="B28241">
        <f>TEXT(28240, "[$-0E0000]yyyy-mm-dd")</f>
        <v/>
      </c>
      <c r="C28241" t="inlineStr">
        <is>
          <t>1977-03-09</t>
        </is>
      </c>
    </row>
    <row r="28242">
      <c r="A28242" s="1" t="n">
        <v>28241</v>
      </c>
      <c r="B28242">
        <f>TEXT(28241, "[$-0E0000]yyyy-mm-dd")</f>
        <v/>
      </c>
      <c r="C28242" t="inlineStr">
        <is>
          <t>1977-03-10</t>
        </is>
      </c>
    </row>
    <row r="28243">
      <c r="A28243" s="1" t="n">
        <v>28242</v>
      </c>
      <c r="B28243">
        <f>TEXT(28242, "[$-0E0000]yyyy-mm-dd")</f>
        <v/>
      </c>
      <c r="C28243" t="inlineStr">
        <is>
          <t>1977-03-11</t>
        </is>
      </c>
    </row>
    <row r="28244">
      <c r="A28244" s="1" t="n">
        <v>28243</v>
      </c>
      <c r="B28244">
        <f>TEXT(28243, "[$-0E0000]yyyy-mm-dd")</f>
        <v/>
      </c>
      <c r="C28244" t="inlineStr">
        <is>
          <t>1977-03-12</t>
        </is>
      </c>
    </row>
    <row r="28245">
      <c r="A28245" s="1" t="n">
        <v>28244</v>
      </c>
      <c r="B28245">
        <f>TEXT(28244, "[$-0E0000]yyyy-mm-dd")</f>
        <v/>
      </c>
      <c r="C28245" t="inlineStr">
        <is>
          <t>1977-03-13</t>
        </is>
      </c>
    </row>
    <row r="28246">
      <c r="A28246" s="1" t="n">
        <v>28245</v>
      </c>
      <c r="B28246">
        <f>TEXT(28245, "[$-0E0000]yyyy-mm-dd")</f>
        <v/>
      </c>
      <c r="C28246" t="inlineStr">
        <is>
          <t>1977-03-14</t>
        </is>
      </c>
    </row>
    <row r="28247">
      <c r="A28247" s="1" t="n">
        <v>28246</v>
      </c>
      <c r="B28247">
        <f>TEXT(28246, "[$-0E0000]yyyy-mm-dd")</f>
        <v/>
      </c>
      <c r="C28247" t="inlineStr">
        <is>
          <t>1977-03-15</t>
        </is>
      </c>
    </row>
    <row r="28248">
      <c r="A28248" s="1" t="n">
        <v>28247</v>
      </c>
      <c r="B28248">
        <f>TEXT(28247, "[$-0E0000]yyyy-mm-dd")</f>
        <v/>
      </c>
      <c r="C28248" t="inlineStr">
        <is>
          <t>1977-03-16</t>
        </is>
      </c>
    </row>
    <row r="28249">
      <c r="A28249" s="1" t="n">
        <v>28248</v>
      </c>
      <c r="B28249">
        <f>TEXT(28248, "[$-0E0000]yyyy-mm-dd")</f>
        <v/>
      </c>
      <c r="C28249" t="inlineStr">
        <is>
          <t>1977-03-17</t>
        </is>
      </c>
    </row>
    <row r="28250">
      <c r="A28250" s="1" t="n">
        <v>28249</v>
      </c>
      <c r="B28250">
        <f>TEXT(28249, "[$-0E0000]yyyy-mm-dd")</f>
        <v/>
      </c>
      <c r="C28250" t="inlineStr">
        <is>
          <t>1977-03-18</t>
        </is>
      </c>
    </row>
    <row r="28251">
      <c r="A28251" s="1" t="n">
        <v>28250</v>
      </c>
      <c r="B28251">
        <f>TEXT(28250, "[$-0E0000]yyyy-mm-dd")</f>
        <v/>
      </c>
      <c r="C28251" t="inlineStr">
        <is>
          <t>1977-03-19</t>
        </is>
      </c>
    </row>
    <row r="28252">
      <c r="A28252" s="1" t="n">
        <v>28251</v>
      </c>
      <c r="B28252">
        <f>TEXT(28251, "[$-0E0000]yyyy-mm-dd")</f>
        <v/>
      </c>
      <c r="C28252" t="inlineStr">
        <is>
          <t>1977-03-20</t>
        </is>
      </c>
    </row>
    <row r="28253">
      <c r="A28253" s="1" t="n">
        <v>28252</v>
      </c>
      <c r="B28253">
        <f>TEXT(28252, "[$-0E0000]yyyy-mm-dd")</f>
        <v/>
      </c>
      <c r="C28253" t="inlineStr">
        <is>
          <t>1977-03-21</t>
        </is>
      </c>
    </row>
    <row r="28254">
      <c r="A28254" s="1" t="n">
        <v>28253</v>
      </c>
      <c r="B28254">
        <f>TEXT(28253, "[$-0E0000]yyyy-mm-dd")</f>
        <v/>
      </c>
      <c r="C28254" t="inlineStr">
        <is>
          <t>1977-03-22</t>
        </is>
      </c>
    </row>
    <row r="28255">
      <c r="A28255" s="1" t="n">
        <v>28254</v>
      </c>
      <c r="B28255">
        <f>TEXT(28254, "[$-0E0000]yyyy-mm-dd")</f>
        <v/>
      </c>
      <c r="C28255" t="inlineStr">
        <is>
          <t>1977-03-23</t>
        </is>
      </c>
    </row>
    <row r="28256">
      <c r="A28256" s="1" t="n">
        <v>28255</v>
      </c>
      <c r="B28256">
        <f>TEXT(28255, "[$-0E0000]yyyy-mm-dd")</f>
        <v/>
      </c>
      <c r="C28256" t="inlineStr">
        <is>
          <t>1977-03-24</t>
        </is>
      </c>
    </row>
    <row r="28257">
      <c r="A28257" s="1" t="n">
        <v>28256</v>
      </c>
      <c r="B28257">
        <f>TEXT(28256, "[$-0E0000]yyyy-mm-dd")</f>
        <v/>
      </c>
      <c r="C28257" t="inlineStr">
        <is>
          <t>1977-03-25</t>
        </is>
      </c>
    </row>
    <row r="28258">
      <c r="A28258" s="1" t="n">
        <v>28257</v>
      </c>
      <c r="B28258">
        <f>TEXT(28257, "[$-0E0000]yyyy-mm-dd")</f>
        <v/>
      </c>
      <c r="C28258" t="inlineStr">
        <is>
          <t>1977-03-26</t>
        </is>
      </c>
    </row>
    <row r="28259">
      <c r="A28259" s="1" t="n">
        <v>28258</v>
      </c>
      <c r="B28259">
        <f>TEXT(28258, "[$-0E0000]yyyy-mm-dd")</f>
        <v/>
      </c>
      <c r="C28259" t="inlineStr">
        <is>
          <t>1977-03-27</t>
        </is>
      </c>
    </row>
    <row r="28260">
      <c r="A28260" s="1" t="n">
        <v>28259</v>
      </c>
      <c r="B28260">
        <f>TEXT(28259, "[$-0E0000]yyyy-mm-dd")</f>
        <v/>
      </c>
      <c r="C28260" t="inlineStr">
        <is>
          <t>1977-03-28</t>
        </is>
      </c>
    </row>
    <row r="28261">
      <c r="A28261" s="1" t="n">
        <v>28260</v>
      </c>
      <c r="B28261">
        <f>TEXT(28260, "[$-0E0000]yyyy-mm-dd")</f>
        <v/>
      </c>
      <c r="C28261" t="inlineStr">
        <is>
          <t>1977-03-29</t>
        </is>
      </c>
    </row>
    <row r="28262">
      <c r="A28262" s="1" t="n">
        <v>28261</v>
      </c>
      <c r="B28262">
        <f>TEXT(28261, "[$-0E0000]yyyy-mm-dd")</f>
        <v/>
      </c>
      <c r="C28262" t="inlineStr">
        <is>
          <t>1977-03-30</t>
        </is>
      </c>
    </row>
    <row r="28263">
      <c r="A28263" s="1" t="n">
        <v>28262</v>
      </c>
      <c r="B28263">
        <f>TEXT(28262, "[$-0E0000]yyyy-mm-dd")</f>
        <v/>
      </c>
      <c r="C28263" t="inlineStr">
        <is>
          <t>1977-04-01</t>
        </is>
      </c>
    </row>
    <row r="28264">
      <c r="A28264" s="1" t="n">
        <v>28263</v>
      </c>
      <c r="B28264">
        <f>TEXT(28263, "[$-0E0000]yyyy-mm-dd")</f>
        <v/>
      </c>
      <c r="C28264" t="inlineStr">
        <is>
          <t>1977-04-02</t>
        </is>
      </c>
    </row>
    <row r="28265">
      <c r="A28265" s="1" t="n">
        <v>28264</v>
      </c>
      <c r="B28265">
        <f>TEXT(28264, "[$-0E0000]yyyy-mm-dd")</f>
        <v/>
      </c>
      <c r="C28265" t="inlineStr">
        <is>
          <t>1977-04-03</t>
        </is>
      </c>
    </row>
    <row r="28266">
      <c r="A28266" s="1" t="n">
        <v>28265</v>
      </c>
      <c r="B28266">
        <f>TEXT(28265, "[$-0E0000]yyyy-mm-dd")</f>
        <v/>
      </c>
      <c r="C28266" t="inlineStr">
        <is>
          <t>1977-04-04</t>
        </is>
      </c>
    </row>
    <row r="28267">
      <c r="A28267" s="1" t="n">
        <v>28266</v>
      </c>
      <c r="B28267">
        <f>TEXT(28266, "[$-0E0000]yyyy-mm-dd")</f>
        <v/>
      </c>
      <c r="C28267" t="inlineStr">
        <is>
          <t>1977-04-05</t>
        </is>
      </c>
    </row>
    <row r="28268">
      <c r="A28268" s="1" t="n">
        <v>28267</v>
      </c>
      <c r="B28268">
        <f>TEXT(28267, "[$-0E0000]yyyy-mm-dd")</f>
        <v/>
      </c>
      <c r="C28268" t="inlineStr">
        <is>
          <t>1977-04-06</t>
        </is>
      </c>
    </row>
    <row r="28269">
      <c r="A28269" s="1" t="n">
        <v>28268</v>
      </c>
      <c r="B28269">
        <f>TEXT(28268, "[$-0E0000]yyyy-mm-dd")</f>
        <v/>
      </c>
      <c r="C28269" t="inlineStr">
        <is>
          <t>1977-04-07</t>
        </is>
      </c>
    </row>
    <row r="28270">
      <c r="A28270" s="1" t="n">
        <v>28269</v>
      </c>
      <c r="B28270">
        <f>TEXT(28269, "[$-0E0000]yyyy-mm-dd")</f>
        <v/>
      </c>
      <c r="C28270" t="inlineStr">
        <is>
          <t>1977-04-08</t>
        </is>
      </c>
    </row>
    <row r="28271">
      <c r="A28271" s="1" t="n">
        <v>28270</v>
      </c>
      <c r="B28271">
        <f>TEXT(28270, "[$-0E0000]yyyy-mm-dd")</f>
        <v/>
      </c>
      <c r="C28271" t="inlineStr">
        <is>
          <t>1977-04-09</t>
        </is>
      </c>
    </row>
    <row r="28272">
      <c r="A28272" s="1" t="n">
        <v>28271</v>
      </c>
      <c r="B28272">
        <f>TEXT(28271, "[$-0E0000]yyyy-mm-dd")</f>
        <v/>
      </c>
      <c r="C28272" t="inlineStr">
        <is>
          <t>1977-04-10</t>
        </is>
      </c>
    </row>
    <row r="28273">
      <c r="A28273" s="1" t="n">
        <v>28272</v>
      </c>
      <c r="B28273">
        <f>TEXT(28272, "[$-0E0000]yyyy-mm-dd")</f>
        <v/>
      </c>
      <c r="C28273" t="inlineStr">
        <is>
          <t>1977-04-11</t>
        </is>
      </c>
    </row>
    <row r="28274">
      <c r="A28274" s="1" t="n">
        <v>28273</v>
      </c>
      <c r="B28274">
        <f>TEXT(28273, "[$-0E0000]yyyy-mm-dd")</f>
        <v/>
      </c>
      <c r="C28274" t="inlineStr">
        <is>
          <t>1977-04-12</t>
        </is>
      </c>
    </row>
    <row r="28275">
      <c r="A28275" s="1" t="n">
        <v>28274</v>
      </c>
      <c r="B28275">
        <f>TEXT(28274, "[$-0E0000]yyyy-mm-dd")</f>
        <v/>
      </c>
      <c r="C28275" t="inlineStr">
        <is>
          <t>1977-04-13</t>
        </is>
      </c>
    </row>
    <row r="28276">
      <c r="A28276" s="1" t="n">
        <v>28275</v>
      </c>
      <c r="B28276">
        <f>TEXT(28275, "[$-0E0000]yyyy-mm-dd")</f>
        <v/>
      </c>
      <c r="C28276" t="inlineStr">
        <is>
          <t>1977-04-14</t>
        </is>
      </c>
    </row>
    <row r="28277">
      <c r="A28277" s="1" t="n">
        <v>28276</v>
      </c>
      <c r="B28277">
        <f>TEXT(28276, "[$-0E0000]yyyy-mm-dd")</f>
        <v/>
      </c>
      <c r="C28277" t="inlineStr">
        <is>
          <t>1977-04-15</t>
        </is>
      </c>
    </row>
    <row r="28278">
      <c r="A28278" s="1" t="n">
        <v>28277</v>
      </c>
      <c r="B28278">
        <f>TEXT(28277, "[$-0E0000]yyyy-mm-dd")</f>
        <v/>
      </c>
      <c r="C28278" t="inlineStr">
        <is>
          <t>1977-04-16</t>
        </is>
      </c>
    </row>
    <row r="28279">
      <c r="A28279" s="1" t="n">
        <v>28278</v>
      </c>
      <c r="B28279">
        <f>TEXT(28278, "[$-0E0000]yyyy-mm-dd")</f>
        <v/>
      </c>
      <c r="C28279" t="inlineStr">
        <is>
          <t>1977-04-17</t>
        </is>
      </c>
    </row>
    <row r="28280">
      <c r="A28280" s="1" t="n">
        <v>28279</v>
      </c>
      <c r="B28280">
        <f>TEXT(28279, "[$-0E0000]yyyy-mm-dd")</f>
        <v/>
      </c>
      <c r="C28280" t="inlineStr">
        <is>
          <t>1977-04-18</t>
        </is>
      </c>
    </row>
    <row r="28281">
      <c r="A28281" s="1" t="n">
        <v>28280</v>
      </c>
      <c r="B28281">
        <f>TEXT(28280, "[$-0E0000]yyyy-mm-dd")</f>
        <v/>
      </c>
      <c r="C28281" t="inlineStr">
        <is>
          <t>1977-04-19</t>
        </is>
      </c>
    </row>
    <row r="28282">
      <c r="A28282" s="1" t="n">
        <v>28281</v>
      </c>
      <c r="B28282">
        <f>TEXT(28281, "[$-0E0000]yyyy-mm-dd")</f>
        <v/>
      </c>
      <c r="C28282" t="inlineStr">
        <is>
          <t>1977-04-20</t>
        </is>
      </c>
    </row>
    <row r="28283">
      <c r="A28283" s="1" t="n">
        <v>28282</v>
      </c>
      <c r="B28283">
        <f>TEXT(28282, "[$-0E0000]yyyy-mm-dd")</f>
        <v/>
      </c>
      <c r="C28283" t="inlineStr">
        <is>
          <t>1977-04-21</t>
        </is>
      </c>
    </row>
    <row r="28284">
      <c r="A28284" s="1" t="n">
        <v>28283</v>
      </c>
      <c r="B28284">
        <f>TEXT(28283, "[$-0E0000]yyyy-mm-dd")</f>
        <v/>
      </c>
      <c r="C28284" t="inlineStr">
        <is>
          <t>1977-04-22</t>
        </is>
      </c>
    </row>
    <row r="28285">
      <c r="A28285" s="1" t="n">
        <v>28284</v>
      </c>
      <c r="B28285">
        <f>TEXT(28284, "[$-0E0000]yyyy-mm-dd")</f>
        <v/>
      </c>
      <c r="C28285" t="inlineStr">
        <is>
          <t>1977-04-23</t>
        </is>
      </c>
    </row>
    <row r="28286">
      <c r="A28286" s="1" t="n">
        <v>28285</v>
      </c>
      <c r="B28286">
        <f>TEXT(28285, "[$-0E0000]yyyy-mm-dd")</f>
        <v/>
      </c>
      <c r="C28286" t="inlineStr">
        <is>
          <t>1977-04-24</t>
        </is>
      </c>
    </row>
    <row r="28287">
      <c r="A28287" s="1" t="n">
        <v>28286</v>
      </c>
      <c r="B28287">
        <f>TEXT(28286, "[$-0E0000]yyyy-mm-dd")</f>
        <v/>
      </c>
      <c r="C28287" t="inlineStr">
        <is>
          <t>1977-04-25</t>
        </is>
      </c>
    </row>
    <row r="28288">
      <c r="A28288" s="1" t="n">
        <v>28287</v>
      </c>
      <c r="B28288">
        <f>TEXT(28287, "[$-0E0000]yyyy-mm-dd")</f>
        <v/>
      </c>
      <c r="C28288" t="inlineStr">
        <is>
          <t>1977-04-26</t>
        </is>
      </c>
    </row>
    <row r="28289">
      <c r="A28289" s="1" t="n">
        <v>28288</v>
      </c>
      <c r="B28289">
        <f>TEXT(28288, "[$-0E0000]yyyy-mm-dd")</f>
        <v/>
      </c>
      <c r="C28289" t="inlineStr">
        <is>
          <t>1977-04-27</t>
        </is>
      </c>
    </row>
    <row r="28290">
      <c r="A28290" s="1" t="n">
        <v>28289</v>
      </c>
      <c r="B28290">
        <f>TEXT(28289, "[$-0E0000]yyyy-mm-dd")</f>
        <v/>
      </c>
      <c r="C28290" t="inlineStr">
        <is>
          <t>1977-04-28</t>
        </is>
      </c>
    </row>
    <row r="28291">
      <c r="A28291" s="1" t="n">
        <v>28290</v>
      </c>
      <c r="B28291">
        <f>TEXT(28290, "[$-0E0000]yyyy-mm-dd")</f>
        <v/>
      </c>
      <c r="C28291" t="inlineStr">
        <is>
          <t>1977-04-29</t>
        </is>
      </c>
    </row>
    <row r="28292">
      <c r="A28292" s="1" t="n">
        <v>28291</v>
      </c>
      <c r="B28292">
        <f>TEXT(28291, "[$-0E0000]yyyy-mm-dd")</f>
        <v/>
      </c>
      <c r="C28292" t="inlineStr">
        <is>
          <t>1977-04-30</t>
        </is>
      </c>
    </row>
    <row r="28293">
      <c r="A28293" s="1" t="n">
        <v>28292</v>
      </c>
      <c r="B28293">
        <f>TEXT(28292, "[$-0E0000]yyyy-mm-dd")</f>
        <v/>
      </c>
      <c r="C28293" t="inlineStr">
        <is>
          <t>1977-05-01</t>
        </is>
      </c>
    </row>
    <row r="28294">
      <c r="A28294" s="1" t="n">
        <v>28293</v>
      </c>
      <c r="B28294">
        <f>TEXT(28293, "[$-0E0000]yyyy-mm-dd")</f>
        <v/>
      </c>
      <c r="C28294" t="inlineStr">
        <is>
          <t>1977-05-02</t>
        </is>
      </c>
    </row>
    <row r="28295">
      <c r="A28295" s="1" t="n">
        <v>28294</v>
      </c>
      <c r="B28295">
        <f>TEXT(28294, "[$-0E0000]yyyy-mm-dd")</f>
        <v/>
      </c>
      <c r="C28295" t="inlineStr">
        <is>
          <t>1977-05-03</t>
        </is>
      </c>
    </row>
    <row r="28296">
      <c r="A28296" s="1" t="n">
        <v>28295</v>
      </c>
      <c r="B28296">
        <f>TEXT(28295, "[$-0E0000]yyyy-mm-dd")</f>
        <v/>
      </c>
      <c r="C28296" t="inlineStr">
        <is>
          <t>1977-05-04</t>
        </is>
      </c>
    </row>
    <row r="28297">
      <c r="A28297" s="1" t="n">
        <v>28296</v>
      </c>
      <c r="B28297">
        <f>TEXT(28296, "[$-0E0000]yyyy-mm-dd")</f>
        <v/>
      </c>
      <c r="C28297" t="inlineStr">
        <is>
          <t>1977-05-05</t>
        </is>
      </c>
    </row>
    <row r="28298">
      <c r="A28298" s="1" t="n">
        <v>28297</v>
      </c>
      <c r="B28298">
        <f>TEXT(28297, "[$-0E0000]yyyy-mm-dd")</f>
        <v/>
      </c>
      <c r="C28298" t="inlineStr">
        <is>
          <t>1977-05-06</t>
        </is>
      </c>
    </row>
    <row r="28299">
      <c r="A28299" s="1" t="n">
        <v>28298</v>
      </c>
      <c r="B28299">
        <f>TEXT(28298, "[$-0E0000]yyyy-mm-dd")</f>
        <v/>
      </c>
      <c r="C28299" t="inlineStr">
        <is>
          <t>1977-05-07</t>
        </is>
      </c>
    </row>
    <row r="28300">
      <c r="A28300" s="1" t="n">
        <v>28299</v>
      </c>
      <c r="B28300">
        <f>TEXT(28299, "[$-0E0000]yyyy-mm-dd")</f>
        <v/>
      </c>
      <c r="C28300" t="inlineStr">
        <is>
          <t>1977-05-08</t>
        </is>
      </c>
    </row>
    <row r="28301">
      <c r="A28301" s="1" t="n">
        <v>28300</v>
      </c>
      <c r="B28301">
        <f>TEXT(28300, "[$-0E0000]yyyy-mm-dd")</f>
        <v/>
      </c>
      <c r="C28301" t="inlineStr">
        <is>
          <t>1977-05-09</t>
        </is>
      </c>
    </row>
    <row r="28302">
      <c r="A28302" s="1" t="n">
        <v>28301</v>
      </c>
      <c r="B28302">
        <f>TEXT(28301, "[$-0E0000]yyyy-mm-dd")</f>
        <v/>
      </c>
      <c r="C28302" t="inlineStr">
        <is>
          <t>1977-05-10</t>
        </is>
      </c>
    </row>
    <row r="28303">
      <c r="A28303" s="1" t="n">
        <v>28302</v>
      </c>
      <c r="B28303">
        <f>TEXT(28302, "[$-0E0000]yyyy-mm-dd")</f>
        <v/>
      </c>
      <c r="C28303" t="inlineStr">
        <is>
          <t>1977-05-11</t>
        </is>
      </c>
    </row>
    <row r="28304">
      <c r="A28304" s="1" t="n">
        <v>28303</v>
      </c>
      <c r="B28304">
        <f>TEXT(28303, "[$-0E0000]yyyy-mm-dd")</f>
        <v/>
      </c>
      <c r="C28304" t="inlineStr">
        <is>
          <t>1977-05-12</t>
        </is>
      </c>
    </row>
    <row r="28305">
      <c r="A28305" s="1" t="n">
        <v>28304</v>
      </c>
      <c r="B28305">
        <f>TEXT(28304, "[$-0E0000]yyyy-mm-dd")</f>
        <v/>
      </c>
      <c r="C28305" t="inlineStr">
        <is>
          <t>1977-05-13</t>
        </is>
      </c>
    </row>
    <row r="28306">
      <c r="A28306" s="1" t="n">
        <v>28305</v>
      </c>
      <c r="B28306">
        <f>TEXT(28305, "[$-0E0000]yyyy-mm-dd")</f>
        <v/>
      </c>
      <c r="C28306" t="inlineStr">
        <is>
          <t>1977-05-14</t>
        </is>
      </c>
    </row>
    <row r="28307">
      <c r="A28307" s="1" t="n">
        <v>28306</v>
      </c>
      <c r="B28307">
        <f>TEXT(28306, "[$-0E0000]yyyy-mm-dd")</f>
        <v/>
      </c>
      <c r="C28307" t="inlineStr">
        <is>
          <t>1977-05-15</t>
        </is>
      </c>
    </row>
    <row r="28308">
      <c r="A28308" s="1" t="n">
        <v>28307</v>
      </c>
      <c r="B28308">
        <f>TEXT(28307, "[$-0E0000]yyyy-mm-dd")</f>
        <v/>
      </c>
      <c r="C28308" t="inlineStr">
        <is>
          <t>1977-05-16</t>
        </is>
      </c>
    </row>
    <row r="28309">
      <c r="A28309" s="1" t="n">
        <v>28308</v>
      </c>
      <c r="B28309">
        <f>TEXT(28308, "[$-0E0000]yyyy-mm-dd")</f>
        <v/>
      </c>
      <c r="C28309" t="inlineStr">
        <is>
          <t>1977-05-17</t>
        </is>
      </c>
    </row>
    <row r="28310">
      <c r="A28310" s="1" t="n">
        <v>28309</v>
      </c>
      <c r="B28310">
        <f>TEXT(28309, "[$-0E0000]yyyy-mm-dd")</f>
        <v/>
      </c>
      <c r="C28310" t="inlineStr">
        <is>
          <t>1977-05-18</t>
        </is>
      </c>
    </row>
    <row r="28311">
      <c r="A28311" s="1" t="n">
        <v>28310</v>
      </c>
      <c r="B28311">
        <f>TEXT(28310, "[$-0E0000]yyyy-mm-dd")</f>
        <v/>
      </c>
      <c r="C28311" t="inlineStr">
        <is>
          <t>1977-05-19</t>
        </is>
      </c>
    </row>
    <row r="28312">
      <c r="A28312" s="1" t="n">
        <v>28311</v>
      </c>
      <c r="B28312">
        <f>TEXT(28311, "[$-0E0000]yyyy-mm-dd")</f>
        <v/>
      </c>
      <c r="C28312" t="inlineStr">
        <is>
          <t>1977-05-20</t>
        </is>
      </c>
    </row>
    <row r="28313">
      <c r="A28313" s="1" t="n">
        <v>28312</v>
      </c>
      <c r="B28313">
        <f>TEXT(28312, "[$-0E0000]yyyy-mm-dd")</f>
        <v/>
      </c>
      <c r="C28313" t="inlineStr">
        <is>
          <t>1977-05-21</t>
        </is>
      </c>
    </row>
    <row r="28314">
      <c r="A28314" s="1" t="n">
        <v>28313</v>
      </c>
      <c r="B28314">
        <f>TEXT(28313, "[$-0E0000]yyyy-mm-dd")</f>
        <v/>
      </c>
      <c r="C28314" t="inlineStr">
        <is>
          <t>1977-05-22</t>
        </is>
      </c>
    </row>
    <row r="28315">
      <c r="A28315" s="1" t="n">
        <v>28314</v>
      </c>
      <c r="B28315">
        <f>TEXT(28314, "[$-0E0000]yyyy-mm-dd")</f>
        <v/>
      </c>
      <c r="C28315" t="inlineStr">
        <is>
          <t>1977-05-23</t>
        </is>
      </c>
    </row>
    <row r="28316">
      <c r="A28316" s="1" t="n">
        <v>28315</v>
      </c>
      <c r="B28316">
        <f>TEXT(28315, "[$-0E0000]yyyy-mm-dd")</f>
        <v/>
      </c>
      <c r="C28316" t="inlineStr">
        <is>
          <t>1977-05-24</t>
        </is>
      </c>
    </row>
    <row r="28317">
      <c r="A28317" s="1" t="n">
        <v>28316</v>
      </c>
      <c r="B28317">
        <f>TEXT(28316, "[$-0E0000]yyyy-mm-dd")</f>
        <v/>
      </c>
      <c r="C28317" t="inlineStr">
        <is>
          <t>1977-05-25</t>
        </is>
      </c>
    </row>
    <row r="28318">
      <c r="A28318" s="1" t="n">
        <v>28317</v>
      </c>
      <c r="B28318">
        <f>TEXT(28317, "[$-0E0000]yyyy-mm-dd")</f>
        <v/>
      </c>
      <c r="C28318" t="inlineStr">
        <is>
          <t>1977-05-26</t>
        </is>
      </c>
    </row>
    <row r="28319">
      <c r="A28319" s="1" t="n">
        <v>28318</v>
      </c>
      <c r="B28319">
        <f>TEXT(28318, "[$-0E0000]yyyy-mm-dd")</f>
        <v/>
      </c>
      <c r="C28319" t="inlineStr">
        <is>
          <t>1977-05-27</t>
        </is>
      </c>
    </row>
    <row r="28320">
      <c r="A28320" s="1" t="n">
        <v>28319</v>
      </c>
      <c r="B28320">
        <f>TEXT(28319, "[$-0E0000]yyyy-mm-dd")</f>
        <v/>
      </c>
      <c r="C28320" t="inlineStr">
        <is>
          <t>1977-05-28</t>
        </is>
      </c>
    </row>
    <row r="28321">
      <c r="A28321" s="1" t="n">
        <v>28320</v>
      </c>
      <c r="B28321">
        <f>TEXT(28320, "[$-0E0000]yyyy-mm-dd")</f>
        <v/>
      </c>
      <c r="C28321" t="inlineStr">
        <is>
          <t>1977-05-29</t>
        </is>
      </c>
    </row>
    <row r="28322">
      <c r="A28322" s="1" t="n">
        <v>28321</v>
      </c>
      <c r="B28322">
        <f>TEXT(28321, "[$-0E0000]yyyy-mm-dd")</f>
        <v/>
      </c>
      <c r="C28322" t="inlineStr">
        <is>
          <t>1977-06-01</t>
        </is>
      </c>
    </row>
    <row r="28323">
      <c r="A28323" s="1" t="n">
        <v>28322</v>
      </c>
      <c r="B28323">
        <f>TEXT(28322, "[$-0E0000]yyyy-mm-dd")</f>
        <v/>
      </c>
      <c r="C28323" t="inlineStr">
        <is>
          <t>1977-06-02</t>
        </is>
      </c>
    </row>
    <row r="28324">
      <c r="A28324" s="1" t="n">
        <v>28323</v>
      </c>
      <c r="B28324">
        <f>TEXT(28323, "[$-0E0000]yyyy-mm-dd")</f>
        <v/>
      </c>
      <c r="C28324" t="inlineStr">
        <is>
          <t>1977-06-03</t>
        </is>
      </c>
    </row>
    <row r="28325">
      <c r="A28325" s="1" t="n">
        <v>28324</v>
      </c>
      <c r="B28325">
        <f>TEXT(28324, "[$-0E0000]yyyy-mm-dd")</f>
        <v/>
      </c>
      <c r="C28325" t="inlineStr">
        <is>
          <t>1977-06-04</t>
        </is>
      </c>
    </row>
    <row r="28326">
      <c r="A28326" s="1" t="n">
        <v>28325</v>
      </c>
      <c r="B28326">
        <f>TEXT(28325, "[$-0E0000]yyyy-mm-dd")</f>
        <v/>
      </c>
      <c r="C28326" t="inlineStr">
        <is>
          <t>1977-06-05</t>
        </is>
      </c>
    </row>
    <row r="28327">
      <c r="A28327" s="1" t="n">
        <v>28326</v>
      </c>
      <c r="B28327">
        <f>TEXT(28326, "[$-0E0000]yyyy-mm-dd")</f>
        <v/>
      </c>
      <c r="C28327" t="inlineStr">
        <is>
          <t>1977-06-06</t>
        </is>
      </c>
    </row>
    <row r="28328">
      <c r="A28328" s="1" t="n">
        <v>28327</v>
      </c>
      <c r="B28328">
        <f>TEXT(28327, "[$-0E0000]yyyy-mm-dd")</f>
        <v/>
      </c>
      <c r="C28328" t="inlineStr">
        <is>
          <t>1977-06-07</t>
        </is>
      </c>
    </row>
    <row r="28329">
      <c r="A28329" s="1" t="n">
        <v>28328</v>
      </c>
      <c r="B28329">
        <f>TEXT(28328, "[$-0E0000]yyyy-mm-dd")</f>
        <v/>
      </c>
      <c r="C28329" t="inlineStr">
        <is>
          <t>1977-06-08</t>
        </is>
      </c>
    </row>
    <row r="28330">
      <c r="A28330" s="1" t="n">
        <v>28329</v>
      </c>
      <c r="B28330">
        <f>TEXT(28329, "[$-0E0000]yyyy-mm-dd")</f>
        <v/>
      </c>
      <c r="C28330" t="inlineStr">
        <is>
          <t>1977-06-09</t>
        </is>
      </c>
    </row>
    <row r="28331">
      <c r="A28331" s="1" t="n">
        <v>28330</v>
      </c>
      <c r="B28331">
        <f>TEXT(28330, "[$-0E0000]yyyy-mm-dd")</f>
        <v/>
      </c>
      <c r="C28331" t="inlineStr">
        <is>
          <t>1977-06-10</t>
        </is>
      </c>
    </row>
    <row r="28332">
      <c r="A28332" s="1" t="n">
        <v>28331</v>
      </c>
      <c r="B28332">
        <f>TEXT(28331, "[$-0E0000]yyyy-mm-dd")</f>
        <v/>
      </c>
      <c r="C28332" t="inlineStr">
        <is>
          <t>1977-06-11</t>
        </is>
      </c>
    </row>
    <row r="28333">
      <c r="A28333" s="1" t="n">
        <v>28332</v>
      </c>
      <c r="B28333">
        <f>TEXT(28332, "[$-0E0000]yyyy-mm-dd")</f>
        <v/>
      </c>
      <c r="C28333" t="inlineStr">
        <is>
          <t>1977-06-12</t>
        </is>
      </c>
    </row>
    <row r="28334">
      <c r="A28334" s="1" t="n">
        <v>28333</v>
      </c>
      <c r="B28334">
        <f>TEXT(28333, "[$-0E0000]yyyy-mm-dd")</f>
        <v/>
      </c>
      <c r="C28334" t="inlineStr">
        <is>
          <t>1977-06-13</t>
        </is>
      </c>
    </row>
    <row r="28335">
      <c r="A28335" s="1" t="n">
        <v>28334</v>
      </c>
      <c r="B28335">
        <f>TEXT(28334, "[$-0E0000]yyyy-mm-dd")</f>
        <v/>
      </c>
      <c r="C28335" t="inlineStr">
        <is>
          <t>1977-06-14</t>
        </is>
      </c>
    </row>
    <row r="28336">
      <c r="A28336" s="1" t="n">
        <v>28335</v>
      </c>
      <c r="B28336">
        <f>TEXT(28335, "[$-0E0000]yyyy-mm-dd")</f>
        <v/>
      </c>
      <c r="C28336" t="inlineStr">
        <is>
          <t>1977-06-15</t>
        </is>
      </c>
    </row>
    <row r="28337">
      <c r="A28337" s="1" t="n">
        <v>28336</v>
      </c>
      <c r="B28337">
        <f>TEXT(28336, "[$-0E0000]yyyy-mm-dd")</f>
        <v/>
      </c>
      <c r="C28337" t="inlineStr">
        <is>
          <t>1977-06-16</t>
        </is>
      </c>
    </row>
    <row r="28338">
      <c r="A28338" s="1" t="n">
        <v>28337</v>
      </c>
      <c r="B28338">
        <f>TEXT(28337, "[$-0E0000]yyyy-mm-dd")</f>
        <v/>
      </c>
      <c r="C28338" t="inlineStr">
        <is>
          <t>1977-06-17</t>
        </is>
      </c>
    </row>
    <row r="28339">
      <c r="A28339" s="1" t="n">
        <v>28338</v>
      </c>
      <c r="B28339">
        <f>TEXT(28338, "[$-0E0000]yyyy-mm-dd")</f>
        <v/>
      </c>
      <c r="C28339" t="inlineStr">
        <is>
          <t>1977-06-18</t>
        </is>
      </c>
    </row>
    <row r="28340">
      <c r="A28340" s="1" t="n">
        <v>28339</v>
      </c>
      <c r="B28340">
        <f>TEXT(28339, "[$-0E0000]yyyy-mm-dd")</f>
        <v/>
      </c>
      <c r="C28340" t="inlineStr">
        <is>
          <t>1977-06-19</t>
        </is>
      </c>
    </row>
    <row r="28341">
      <c r="A28341" s="1" t="n">
        <v>28340</v>
      </c>
      <c r="B28341">
        <f>TEXT(28340, "[$-0E0000]yyyy-mm-dd")</f>
        <v/>
      </c>
      <c r="C28341" t="inlineStr">
        <is>
          <t>1977-06-20</t>
        </is>
      </c>
    </row>
    <row r="28342">
      <c r="A28342" s="1" t="n">
        <v>28341</v>
      </c>
      <c r="B28342">
        <f>TEXT(28341, "[$-0E0000]yyyy-mm-dd")</f>
        <v/>
      </c>
      <c r="C28342" t="inlineStr">
        <is>
          <t>1977-06-21</t>
        </is>
      </c>
    </row>
    <row r="28343">
      <c r="A28343" s="1" t="n">
        <v>28342</v>
      </c>
      <c r="B28343">
        <f>TEXT(28342, "[$-0E0000]yyyy-mm-dd")</f>
        <v/>
      </c>
      <c r="C28343" t="inlineStr">
        <is>
          <t>1977-06-22</t>
        </is>
      </c>
    </row>
    <row r="28344">
      <c r="A28344" s="1" t="n">
        <v>28343</v>
      </c>
      <c r="B28344">
        <f>TEXT(28343, "[$-0E0000]yyyy-mm-dd")</f>
        <v/>
      </c>
      <c r="C28344" t="inlineStr">
        <is>
          <t>1977-06-23</t>
        </is>
      </c>
    </row>
    <row r="28345">
      <c r="A28345" s="1" t="n">
        <v>28344</v>
      </c>
      <c r="B28345">
        <f>TEXT(28344, "[$-0E0000]yyyy-mm-dd")</f>
        <v/>
      </c>
      <c r="C28345" t="inlineStr">
        <is>
          <t>1977-06-24</t>
        </is>
      </c>
    </row>
    <row r="28346">
      <c r="A28346" s="1" t="n">
        <v>28345</v>
      </c>
      <c r="B28346">
        <f>TEXT(28345, "[$-0E0000]yyyy-mm-dd")</f>
        <v/>
      </c>
      <c r="C28346" t="inlineStr">
        <is>
          <t>1977-06-25</t>
        </is>
      </c>
    </row>
    <row r="28347">
      <c r="A28347" s="1" t="n">
        <v>28346</v>
      </c>
      <c r="B28347">
        <f>TEXT(28346, "[$-0E0000]yyyy-mm-dd")</f>
        <v/>
      </c>
      <c r="C28347" t="inlineStr">
        <is>
          <t>1977-06-26</t>
        </is>
      </c>
    </row>
    <row r="28348">
      <c r="A28348" s="1" t="n">
        <v>28347</v>
      </c>
      <c r="B28348">
        <f>TEXT(28347, "[$-0E0000]yyyy-mm-dd")</f>
        <v/>
      </c>
      <c r="C28348" t="inlineStr">
        <is>
          <t>1977-06-27</t>
        </is>
      </c>
    </row>
    <row r="28349">
      <c r="A28349" s="1" t="n">
        <v>28348</v>
      </c>
      <c r="B28349">
        <f>TEXT(28348, "[$-0E0000]yyyy-mm-dd")</f>
        <v/>
      </c>
      <c r="C28349" t="inlineStr">
        <is>
          <t>1977-06-28</t>
        </is>
      </c>
    </row>
    <row r="28350">
      <c r="A28350" s="1" t="n">
        <v>28349</v>
      </c>
      <c r="B28350">
        <f>TEXT(28349, "[$-0E0000]yyyy-mm-dd")</f>
        <v/>
      </c>
      <c r="C28350" t="inlineStr">
        <is>
          <t>1977-06-29</t>
        </is>
      </c>
    </row>
    <row r="28351">
      <c r="A28351" s="1" t="n">
        <v>28350</v>
      </c>
      <c r="B28351">
        <f>TEXT(28350, "[$-0E0000]yyyy-mm-dd")</f>
        <v/>
      </c>
      <c r="C28351" t="inlineStr">
        <is>
          <t>1977-06-30</t>
        </is>
      </c>
    </row>
    <row r="28352">
      <c r="A28352" s="1" t="n">
        <v>28351</v>
      </c>
      <c r="B28352">
        <f>TEXT(28351, "[$-0E0000]yyyy-mm-dd")</f>
        <v/>
      </c>
      <c r="C28352" t="inlineStr">
        <is>
          <t>1977-07-01</t>
        </is>
      </c>
    </row>
    <row r="28353">
      <c r="A28353" s="1" t="n">
        <v>28352</v>
      </c>
      <c r="B28353">
        <f>TEXT(28352, "[$-0E0000]yyyy-mm-dd")</f>
        <v/>
      </c>
      <c r="C28353" t="inlineStr">
        <is>
          <t>1977-07-02</t>
        </is>
      </c>
    </row>
    <row r="28354">
      <c r="A28354" s="1" t="n">
        <v>28353</v>
      </c>
      <c r="B28354">
        <f>TEXT(28353, "[$-0E0000]yyyy-mm-dd")</f>
        <v/>
      </c>
      <c r="C28354" t="inlineStr">
        <is>
          <t>1977-07-03</t>
        </is>
      </c>
    </row>
    <row r="28355">
      <c r="A28355" s="1" t="n">
        <v>28354</v>
      </c>
      <c r="B28355">
        <f>TEXT(28354, "[$-0E0000]yyyy-mm-dd")</f>
        <v/>
      </c>
      <c r="C28355" t="inlineStr">
        <is>
          <t>1977-07-04</t>
        </is>
      </c>
    </row>
    <row r="28356">
      <c r="A28356" s="1" t="n">
        <v>28355</v>
      </c>
      <c r="B28356">
        <f>TEXT(28355, "[$-0E0000]yyyy-mm-dd")</f>
        <v/>
      </c>
      <c r="C28356" t="inlineStr">
        <is>
          <t>1977-07-05</t>
        </is>
      </c>
    </row>
    <row r="28357">
      <c r="A28357" s="1" t="n">
        <v>28356</v>
      </c>
      <c r="B28357">
        <f>TEXT(28356, "[$-0E0000]yyyy-mm-dd")</f>
        <v/>
      </c>
      <c r="C28357" t="inlineStr">
        <is>
          <t>1977-07-06</t>
        </is>
      </c>
    </row>
    <row r="28358">
      <c r="A28358" s="1" t="n">
        <v>28357</v>
      </c>
      <c r="B28358">
        <f>TEXT(28357, "[$-0E0000]yyyy-mm-dd")</f>
        <v/>
      </c>
      <c r="C28358" t="inlineStr">
        <is>
          <t>1977-07-07</t>
        </is>
      </c>
    </row>
    <row r="28359">
      <c r="A28359" s="1" t="n">
        <v>28358</v>
      </c>
      <c r="B28359">
        <f>TEXT(28358, "[$-0E0000]yyyy-mm-dd")</f>
        <v/>
      </c>
      <c r="C28359" t="inlineStr">
        <is>
          <t>1977-07-08</t>
        </is>
      </c>
    </row>
    <row r="28360">
      <c r="A28360" s="1" t="n">
        <v>28359</v>
      </c>
      <c r="B28360">
        <f>TEXT(28359, "[$-0E0000]yyyy-mm-dd")</f>
        <v/>
      </c>
      <c r="C28360" t="inlineStr">
        <is>
          <t>1977-07-09</t>
        </is>
      </c>
    </row>
    <row r="28361">
      <c r="A28361" s="1" t="n">
        <v>28360</v>
      </c>
      <c r="B28361">
        <f>TEXT(28360, "[$-0E0000]yyyy-mm-dd")</f>
        <v/>
      </c>
      <c r="C28361" t="inlineStr">
        <is>
          <t>1977-07-10</t>
        </is>
      </c>
    </row>
    <row r="28362">
      <c r="A28362" s="1" t="n">
        <v>28361</v>
      </c>
      <c r="B28362">
        <f>TEXT(28361, "[$-0E0000]yyyy-mm-dd")</f>
        <v/>
      </c>
      <c r="C28362" t="inlineStr">
        <is>
          <t>1977-07-11</t>
        </is>
      </c>
    </row>
    <row r="28363">
      <c r="A28363" s="1" t="n">
        <v>28362</v>
      </c>
      <c r="B28363">
        <f>TEXT(28362, "[$-0E0000]yyyy-mm-dd")</f>
        <v/>
      </c>
      <c r="C28363" t="inlineStr">
        <is>
          <t>1977-07-12</t>
        </is>
      </c>
    </row>
    <row r="28364">
      <c r="A28364" s="1" t="n">
        <v>28363</v>
      </c>
      <c r="B28364">
        <f>TEXT(28363, "[$-0E0000]yyyy-mm-dd")</f>
        <v/>
      </c>
      <c r="C28364" t="inlineStr">
        <is>
          <t>1977-07-13</t>
        </is>
      </c>
    </row>
    <row r="28365">
      <c r="A28365" s="1" t="n">
        <v>28364</v>
      </c>
      <c r="B28365">
        <f>TEXT(28364, "[$-0E0000]yyyy-mm-dd")</f>
        <v/>
      </c>
      <c r="C28365" t="inlineStr">
        <is>
          <t>1977-07-14</t>
        </is>
      </c>
    </row>
    <row r="28366">
      <c r="A28366" s="1" t="n">
        <v>28365</v>
      </c>
      <c r="B28366">
        <f>TEXT(28365, "[$-0E0000]yyyy-mm-dd")</f>
        <v/>
      </c>
      <c r="C28366" t="inlineStr">
        <is>
          <t>1977-07-15</t>
        </is>
      </c>
    </row>
    <row r="28367">
      <c r="A28367" s="1" t="n">
        <v>28366</v>
      </c>
      <c r="B28367">
        <f>TEXT(28366, "[$-0E0000]yyyy-mm-dd")</f>
        <v/>
      </c>
      <c r="C28367" t="inlineStr">
        <is>
          <t>1977-07-16</t>
        </is>
      </c>
    </row>
    <row r="28368">
      <c r="A28368" s="1" t="n">
        <v>28367</v>
      </c>
      <c r="B28368">
        <f>TEXT(28367, "[$-0E0000]yyyy-mm-dd")</f>
        <v/>
      </c>
      <c r="C28368" t="inlineStr">
        <is>
          <t>1977-07-17</t>
        </is>
      </c>
    </row>
    <row r="28369">
      <c r="A28369" s="1" t="n">
        <v>28368</v>
      </c>
      <c r="B28369">
        <f>TEXT(28368, "[$-0E0000]yyyy-mm-dd")</f>
        <v/>
      </c>
      <c r="C28369" t="inlineStr">
        <is>
          <t>1977-07-18</t>
        </is>
      </c>
    </row>
    <row r="28370">
      <c r="A28370" s="1" t="n">
        <v>28369</v>
      </c>
      <c r="B28370">
        <f>TEXT(28369, "[$-0E0000]yyyy-mm-dd")</f>
        <v/>
      </c>
      <c r="C28370" t="inlineStr">
        <is>
          <t>1977-07-19</t>
        </is>
      </c>
    </row>
    <row r="28371">
      <c r="A28371" s="1" t="n">
        <v>28370</v>
      </c>
      <c r="B28371">
        <f>TEXT(28370, "[$-0E0000]yyyy-mm-dd")</f>
        <v/>
      </c>
      <c r="C28371" t="inlineStr">
        <is>
          <t>1977-07-20</t>
        </is>
      </c>
    </row>
    <row r="28372">
      <c r="A28372" s="1" t="n">
        <v>28371</v>
      </c>
      <c r="B28372">
        <f>TEXT(28371, "[$-0E0000]yyyy-mm-dd")</f>
        <v/>
      </c>
      <c r="C28372" t="inlineStr">
        <is>
          <t>1977-07-21</t>
        </is>
      </c>
    </row>
    <row r="28373">
      <c r="A28373" s="1" t="n">
        <v>28372</v>
      </c>
      <c r="B28373">
        <f>TEXT(28372, "[$-0E0000]yyyy-mm-dd")</f>
        <v/>
      </c>
      <c r="C28373" t="inlineStr">
        <is>
          <t>1977-07-22</t>
        </is>
      </c>
    </row>
    <row r="28374">
      <c r="A28374" s="1" t="n">
        <v>28373</v>
      </c>
      <c r="B28374">
        <f>TEXT(28373, "[$-0E0000]yyyy-mm-dd")</f>
        <v/>
      </c>
      <c r="C28374" t="inlineStr">
        <is>
          <t>1977-07-23</t>
        </is>
      </c>
    </row>
    <row r="28375">
      <c r="A28375" s="1" t="n">
        <v>28374</v>
      </c>
      <c r="B28375">
        <f>TEXT(28374, "[$-0E0000]yyyy-mm-dd")</f>
        <v/>
      </c>
      <c r="C28375" t="inlineStr">
        <is>
          <t>1977-07-24</t>
        </is>
      </c>
    </row>
    <row r="28376">
      <c r="A28376" s="1" t="n">
        <v>28375</v>
      </c>
      <c r="B28376">
        <f>TEXT(28375, "[$-0E0000]yyyy-mm-dd")</f>
        <v/>
      </c>
      <c r="C28376" t="inlineStr">
        <is>
          <t>1977-07-25</t>
        </is>
      </c>
    </row>
    <row r="28377">
      <c r="A28377" s="1" t="n">
        <v>28376</v>
      </c>
      <c r="B28377">
        <f>TEXT(28376, "[$-0E0000]yyyy-mm-dd")</f>
        <v/>
      </c>
      <c r="C28377" t="inlineStr">
        <is>
          <t>1977-07-26</t>
        </is>
      </c>
    </row>
    <row r="28378">
      <c r="A28378" s="1" t="n">
        <v>28377</v>
      </c>
      <c r="B28378">
        <f>TEXT(28377, "[$-0E0000]yyyy-mm-dd")</f>
        <v/>
      </c>
      <c r="C28378" t="inlineStr">
        <is>
          <t>1977-07-27</t>
        </is>
      </c>
    </row>
    <row r="28379">
      <c r="A28379" s="1" t="n">
        <v>28378</v>
      </c>
      <c r="B28379">
        <f>TEXT(28378, "[$-0E0000]yyyy-mm-dd")</f>
        <v/>
      </c>
      <c r="C28379" t="inlineStr">
        <is>
          <t>1977-07-28</t>
        </is>
      </c>
    </row>
    <row r="28380">
      <c r="A28380" s="1" t="n">
        <v>28379</v>
      </c>
      <c r="B28380">
        <f>TEXT(28379, "[$-0E0000]yyyy-mm-dd")</f>
        <v/>
      </c>
      <c r="C28380" t="inlineStr">
        <is>
          <t>1977-07-29</t>
        </is>
      </c>
    </row>
    <row r="28381">
      <c r="A28381" s="1" t="n">
        <v>28380</v>
      </c>
      <c r="B28381">
        <f>TEXT(28380, "[$-0E0000]yyyy-mm-dd")</f>
        <v/>
      </c>
      <c r="C28381" t="inlineStr">
        <is>
          <t>1977-08-01</t>
        </is>
      </c>
    </row>
    <row r="28382">
      <c r="A28382" s="1" t="n">
        <v>28381</v>
      </c>
      <c r="B28382">
        <f>TEXT(28381, "[$-0E0000]yyyy-mm-dd")</f>
        <v/>
      </c>
      <c r="C28382" t="inlineStr">
        <is>
          <t>1977-08-02</t>
        </is>
      </c>
    </row>
    <row r="28383">
      <c r="A28383" s="1" t="n">
        <v>28382</v>
      </c>
      <c r="B28383">
        <f>TEXT(28382, "[$-0E0000]yyyy-mm-dd")</f>
        <v/>
      </c>
      <c r="C28383" t="inlineStr">
        <is>
          <t>1977-08-03</t>
        </is>
      </c>
    </row>
    <row r="28384">
      <c r="A28384" s="1" t="n">
        <v>28383</v>
      </c>
      <c r="B28384">
        <f>TEXT(28383, "[$-0E0000]yyyy-mm-dd")</f>
        <v/>
      </c>
      <c r="C28384" t="inlineStr">
        <is>
          <t>1977-08-04</t>
        </is>
      </c>
    </row>
    <row r="28385">
      <c r="A28385" s="1" t="n">
        <v>28384</v>
      </c>
      <c r="B28385">
        <f>TEXT(28384, "[$-0E0000]yyyy-mm-dd")</f>
        <v/>
      </c>
      <c r="C28385" t="inlineStr">
        <is>
          <t>1977-08-05</t>
        </is>
      </c>
    </row>
    <row r="28386">
      <c r="A28386" s="1" t="n">
        <v>28385</v>
      </c>
      <c r="B28386">
        <f>TEXT(28385, "[$-0E0000]yyyy-mm-dd")</f>
        <v/>
      </c>
      <c r="C28386" t="inlineStr">
        <is>
          <t>1977-08-06</t>
        </is>
      </c>
    </row>
    <row r="28387">
      <c r="A28387" s="1" t="n">
        <v>28386</v>
      </c>
      <c r="B28387">
        <f>TEXT(28386, "[$-0E0000]yyyy-mm-dd")</f>
        <v/>
      </c>
      <c r="C28387" t="inlineStr">
        <is>
          <t>1977-08-07</t>
        </is>
      </c>
    </row>
    <row r="28388">
      <c r="A28388" s="1" t="n">
        <v>28387</v>
      </c>
      <c r="B28388">
        <f>TEXT(28387, "[$-0E0000]yyyy-mm-dd")</f>
        <v/>
      </c>
      <c r="C28388" t="inlineStr">
        <is>
          <t>1977-08-08</t>
        </is>
      </c>
    </row>
    <row r="28389">
      <c r="A28389" s="1" t="n">
        <v>28388</v>
      </c>
      <c r="B28389">
        <f>TEXT(28388, "[$-0E0000]yyyy-mm-dd")</f>
        <v/>
      </c>
      <c r="C28389" t="inlineStr">
        <is>
          <t>1977-08-09</t>
        </is>
      </c>
    </row>
    <row r="28390">
      <c r="A28390" s="1" t="n">
        <v>28389</v>
      </c>
      <c r="B28390">
        <f>TEXT(28389, "[$-0E0000]yyyy-mm-dd")</f>
        <v/>
      </c>
      <c r="C28390" t="inlineStr">
        <is>
          <t>1977-08-10</t>
        </is>
      </c>
    </row>
    <row r="28391">
      <c r="A28391" s="1" t="n">
        <v>28390</v>
      </c>
      <c r="B28391">
        <f>TEXT(28390, "[$-0E0000]yyyy-mm-dd")</f>
        <v/>
      </c>
      <c r="C28391" t="inlineStr">
        <is>
          <t>1977-08-11</t>
        </is>
      </c>
    </row>
    <row r="28392">
      <c r="A28392" s="1" t="n">
        <v>28391</v>
      </c>
      <c r="B28392">
        <f>TEXT(28391, "[$-0E0000]yyyy-mm-dd")</f>
        <v/>
      </c>
      <c r="C28392" t="inlineStr">
        <is>
          <t>1977-08-12</t>
        </is>
      </c>
    </row>
    <row r="28393">
      <c r="A28393" s="1" t="n">
        <v>28392</v>
      </c>
      <c r="B28393">
        <f>TEXT(28392, "[$-0E0000]yyyy-mm-dd")</f>
        <v/>
      </c>
      <c r="C28393" t="inlineStr">
        <is>
          <t>1977-08-13</t>
        </is>
      </c>
    </row>
    <row r="28394">
      <c r="A28394" s="1" t="n">
        <v>28393</v>
      </c>
      <c r="B28394">
        <f>TEXT(28393, "[$-0E0000]yyyy-mm-dd")</f>
        <v/>
      </c>
      <c r="C28394" t="inlineStr">
        <is>
          <t>1977-08-14</t>
        </is>
      </c>
    </row>
    <row r="28395">
      <c r="A28395" s="1" t="n">
        <v>28394</v>
      </c>
      <c r="B28395">
        <f>TEXT(28394, "[$-0E0000]yyyy-mm-dd")</f>
        <v/>
      </c>
      <c r="C28395" t="inlineStr">
        <is>
          <t>1977-08-15</t>
        </is>
      </c>
    </row>
    <row r="28396">
      <c r="A28396" s="1" t="n">
        <v>28395</v>
      </c>
      <c r="B28396">
        <f>TEXT(28395, "[$-0E0000]yyyy-mm-dd")</f>
        <v/>
      </c>
      <c r="C28396" t="inlineStr">
        <is>
          <t>1977-08-16</t>
        </is>
      </c>
    </row>
    <row r="28397">
      <c r="A28397" s="1" t="n">
        <v>28396</v>
      </c>
      <c r="B28397">
        <f>TEXT(28396, "[$-0E0000]yyyy-mm-dd")</f>
        <v/>
      </c>
      <c r="C28397" t="inlineStr">
        <is>
          <t>1977-08-17</t>
        </is>
      </c>
    </row>
    <row r="28398">
      <c r="A28398" s="1" t="n">
        <v>28397</v>
      </c>
      <c r="B28398">
        <f>TEXT(28397, "[$-0E0000]yyyy-mm-dd")</f>
        <v/>
      </c>
      <c r="C28398" t="inlineStr">
        <is>
          <t>1977-08-18</t>
        </is>
      </c>
    </row>
    <row r="28399">
      <c r="A28399" s="1" t="n">
        <v>28398</v>
      </c>
      <c r="B28399">
        <f>TEXT(28398, "[$-0E0000]yyyy-mm-dd")</f>
        <v/>
      </c>
      <c r="C28399" t="inlineStr">
        <is>
          <t>1977-08-19</t>
        </is>
      </c>
    </row>
    <row r="28400">
      <c r="A28400" s="1" t="n">
        <v>28399</v>
      </c>
      <c r="B28400">
        <f>TEXT(28399, "[$-0E0000]yyyy-mm-dd")</f>
        <v/>
      </c>
      <c r="C28400" t="inlineStr">
        <is>
          <t>1977-08-20</t>
        </is>
      </c>
    </row>
    <row r="28401">
      <c r="A28401" s="1" t="n">
        <v>28400</v>
      </c>
      <c r="B28401">
        <f>TEXT(28400, "[$-0E0000]yyyy-mm-dd")</f>
        <v/>
      </c>
      <c r="C28401" t="inlineStr">
        <is>
          <t>1977-08-21</t>
        </is>
      </c>
    </row>
    <row r="28402">
      <c r="A28402" s="1" t="n">
        <v>28401</v>
      </c>
      <c r="B28402">
        <f>TEXT(28401, "[$-0E0000]yyyy-mm-dd")</f>
        <v/>
      </c>
      <c r="C28402" t="inlineStr">
        <is>
          <t>1977-08-22</t>
        </is>
      </c>
    </row>
    <row r="28403">
      <c r="A28403" s="1" t="n">
        <v>28402</v>
      </c>
      <c r="B28403">
        <f>TEXT(28402, "[$-0E0000]yyyy-mm-dd")</f>
        <v/>
      </c>
      <c r="C28403" t="inlineStr">
        <is>
          <t>1977-08-23</t>
        </is>
      </c>
    </row>
    <row r="28404">
      <c r="A28404" s="1" t="n">
        <v>28403</v>
      </c>
      <c r="B28404">
        <f>TEXT(28403, "[$-0E0000]yyyy-mm-dd")</f>
        <v/>
      </c>
      <c r="C28404" t="inlineStr">
        <is>
          <t>1977-08-24</t>
        </is>
      </c>
    </row>
    <row r="28405">
      <c r="A28405" s="1" t="n">
        <v>28404</v>
      </c>
      <c r="B28405">
        <f>TEXT(28404, "[$-0E0000]yyyy-mm-dd")</f>
        <v/>
      </c>
      <c r="C28405" t="inlineStr">
        <is>
          <t>1977-08-25</t>
        </is>
      </c>
    </row>
    <row r="28406">
      <c r="A28406" s="1" t="n">
        <v>28405</v>
      </c>
      <c r="B28406">
        <f>TEXT(28405, "[$-0E0000]yyyy-mm-dd")</f>
        <v/>
      </c>
      <c r="C28406" t="inlineStr">
        <is>
          <t>1977-08-26</t>
        </is>
      </c>
    </row>
    <row r="28407">
      <c r="A28407" s="1" t="n">
        <v>28406</v>
      </c>
      <c r="B28407">
        <f>TEXT(28406, "[$-0E0000]yyyy-mm-dd")</f>
        <v/>
      </c>
      <c r="C28407" t="inlineStr">
        <is>
          <t>1977-08-27</t>
        </is>
      </c>
    </row>
    <row r="28408">
      <c r="A28408" s="1" t="n">
        <v>28407</v>
      </c>
      <c r="B28408">
        <f>TEXT(28407, "[$-0E0000]yyyy-mm-dd")</f>
        <v/>
      </c>
      <c r="C28408" t="inlineStr">
        <is>
          <t>1977-08-28</t>
        </is>
      </c>
    </row>
    <row r="28409">
      <c r="A28409" s="1" t="n">
        <v>28408</v>
      </c>
      <c r="B28409">
        <f>TEXT(28408, "[$-0E0000]yyyy-mm-dd")</f>
        <v/>
      </c>
      <c r="C28409" t="inlineStr">
        <is>
          <t>1977-08-29</t>
        </is>
      </c>
    </row>
    <row r="28410">
      <c r="A28410" s="1" t="n">
        <v>28409</v>
      </c>
      <c r="B28410">
        <f>TEXT(28409, "[$-0E0000]yyyy-mm-dd")</f>
        <v/>
      </c>
      <c r="C28410" t="inlineStr">
        <is>
          <t>1977-08-30</t>
        </is>
      </c>
    </row>
    <row r="28411">
      <c r="A28411" s="1" t="n">
        <v>28410</v>
      </c>
      <c r="B28411">
        <f>TEXT(28410, "[$-0E0000]yyyy-mm-dd")</f>
        <v/>
      </c>
      <c r="C28411" t="inlineStr">
        <is>
          <t>1977-09-01</t>
        </is>
      </c>
    </row>
    <row r="28412">
      <c r="A28412" s="1" t="n">
        <v>28411</v>
      </c>
      <c r="B28412">
        <f>TEXT(28411, "[$-0E0000]yyyy-mm-dd")</f>
        <v/>
      </c>
      <c r="C28412" t="inlineStr">
        <is>
          <t>1977-09-02</t>
        </is>
      </c>
    </row>
    <row r="28413">
      <c r="A28413" s="1" t="n">
        <v>28412</v>
      </c>
      <c r="B28413">
        <f>TEXT(28412, "[$-0E0000]yyyy-mm-dd")</f>
        <v/>
      </c>
      <c r="C28413" t="inlineStr">
        <is>
          <t>1977-09-03</t>
        </is>
      </c>
    </row>
    <row r="28414">
      <c r="A28414" s="1" t="n">
        <v>28413</v>
      </c>
      <c r="B28414">
        <f>TEXT(28413, "[$-0E0000]yyyy-mm-dd")</f>
        <v/>
      </c>
      <c r="C28414" t="inlineStr">
        <is>
          <t>1977-09-04</t>
        </is>
      </c>
    </row>
    <row r="28415">
      <c r="A28415" s="1" t="n">
        <v>28414</v>
      </c>
      <c r="B28415">
        <f>TEXT(28414, "[$-0E0000]yyyy-mm-dd")</f>
        <v/>
      </c>
      <c r="C28415" t="inlineStr">
        <is>
          <t>1977-09-05</t>
        </is>
      </c>
    </row>
    <row r="28416">
      <c r="A28416" s="1" t="n">
        <v>28415</v>
      </c>
      <c r="B28416">
        <f>TEXT(28415, "[$-0E0000]yyyy-mm-dd")</f>
        <v/>
      </c>
      <c r="C28416" t="inlineStr">
        <is>
          <t>1977-09-06</t>
        </is>
      </c>
    </row>
    <row r="28417">
      <c r="A28417" s="1" t="n">
        <v>28416</v>
      </c>
      <c r="B28417">
        <f>TEXT(28416, "[$-0E0000]yyyy-mm-dd")</f>
        <v/>
      </c>
      <c r="C28417" t="inlineStr">
        <is>
          <t>1977-09-07</t>
        </is>
      </c>
    </row>
    <row r="28418">
      <c r="A28418" s="1" t="n">
        <v>28417</v>
      </c>
      <c r="B28418">
        <f>TEXT(28417, "[$-0E0000]yyyy-mm-dd")</f>
        <v/>
      </c>
      <c r="C28418" t="inlineStr">
        <is>
          <t>1977-09-08</t>
        </is>
      </c>
    </row>
    <row r="28419">
      <c r="A28419" s="1" t="n">
        <v>28418</v>
      </c>
      <c r="B28419">
        <f>TEXT(28418, "[$-0E0000]yyyy-mm-dd")</f>
        <v/>
      </c>
      <c r="C28419" t="inlineStr">
        <is>
          <t>1977-09-09</t>
        </is>
      </c>
    </row>
    <row r="28420">
      <c r="A28420" s="1" t="n">
        <v>28419</v>
      </c>
      <c r="B28420">
        <f>TEXT(28419, "[$-0E0000]yyyy-mm-dd")</f>
        <v/>
      </c>
      <c r="C28420" t="inlineStr">
        <is>
          <t>1977-09-10</t>
        </is>
      </c>
    </row>
    <row r="28421">
      <c r="A28421" s="1" t="n">
        <v>28420</v>
      </c>
      <c r="B28421">
        <f>TEXT(28420, "[$-0E0000]yyyy-mm-dd")</f>
        <v/>
      </c>
      <c r="C28421" t="inlineStr">
        <is>
          <t>1977-09-11</t>
        </is>
      </c>
    </row>
    <row r="28422">
      <c r="A28422" s="1" t="n">
        <v>28421</v>
      </c>
      <c r="B28422">
        <f>TEXT(28421, "[$-0E0000]yyyy-mm-dd")</f>
        <v/>
      </c>
      <c r="C28422" t="inlineStr">
        <is>
          <t>1977-09-12</t>
        </is>
      </c>
    </row>
    <row r="28423">
      <c r="A28423" s="1" t="n">
        <v>28422</v>
      </c>
      <c r="B28423">
        <f>TEXT(28422, "[$-0E0000]yyyy-mm-dd")</f>
        <v/>
      </c>
      <c r="C28423" t="inlineStr">
        <is>
          <t>1977-09-13</t>
        </is>
      </c>
    </row>
    <row r="28424">
      <c r="A28424" s="1" t="n">
        <v>28423</v>
      </c>
      <c r="B28424">
        <f>TEXT(28423, "[$-0E0000]yyyy-mm-dd")</f>
        <v/>
      </c>
      <c r="C28424" t="inlineStr">
        <is>
          <t>1977-09-14</t>
        </is>
      </c>
    </row>
    <row r="28425">
      <c r="A28425" s="1" t="n">
        <v>28424</v>
      </c>
      <c r="B28425">
        <f>TEXT(28424, "[$-0E0000]yyyy-mm-dd")</f>
        <v/>
      </c>
      <c r="C28425" t="inlineStr">
        <is>
          <t>1977-09-15</t>
        </is>
      </c>
    </row>
    <row r="28426">
      <c r="A28426" s="1" t="n">
        <v>28425</v>
      </c>
      <c r="B28426">
        <f>TEXT(28425, "[$-0E0000]yyyy-mm-dd")</f>
        <v/>
      </c>
      <c r="C28426" t="inlineStr">
        <is>
          <t>1977-09-16</t>
        </is>
      </c>
    </row>
    <row r="28427">
      <c r="A28427" s="1" t="n">
        <v>28426</v>
      </c>
      <c r="B28427">
        <f>TEXT(28426, "[$-0E0000]yyyy-mm-dd")</f>
        <v/>
      </c>
      <c r="C28427" t="inlineStr">
        <is>
          <t>1977-09-17</t>
        </is>
      </c>
    </row>
    <row r="28428">
      <c r="A28428" s="1" t="n">
        <v>28427</v>
      </c>
      <c r="B28428">
        <f>TEXT(28427, "[$-0E0000]yyyy-mm-dd")</f>
        <v/>
      </c>
      <c r="C28428" t="inlineStr">
        <is>
          <t>1977-09-18</t>
        </is>
      </c>
    </row>
    <row r="28429">
      <c r="A28429" s="1" t="n">
        <v>28428</v>
      </c>
      <c r="B28429">
        <f>TEXT(28428, "[$-0E0000]yyyy-mm-dd")</f>
        <v/>
      </c>
      <c r="C28429" t="inlineStr">
        <is>
          <t>1977-09-19</t>
        </is>
      </c>
    </row>
    <row r="28430">
      <c r="A28430" s="1" t="n">
        <v>28429</v>
      </c>
      <c r="B28430">
        <f>TEXT(28429, "[$-0E0000]yyyy-mm-dd")</f>
        <v/>
      </c>
      <c r="C28430" t="inlineStr">
        <is>
          <t>1977-09-20</t>
        </is>
      </c>
    </row>
    <row r="28431">
      <c r="A28431" s="1" t="n">
        <v>28430</v>
      </c>
      <c r="B28431">
        <f>TEXT(28430, "[$-0E0000]yyyy-mm-dd")</f>
        <v/>
      </c>
      <c r="C28431" t="inlineStr">
        <is>
          <t>1977-09-21</t>
        </is>
      </c>
    </row>
    <row r="28432">
      <c r="A28432" s="1" t="n">
        <v>28431</v>
      </c>
      <c r="B28432">
        <f>TEXT(28431, "[$-0E0000]yyyy-mm-dd")</f>
        <v/>
      </c>
      <c r="C28432" t="inlineStr">
        <is>
          <t>1977-09-22</t>
        </is>
      </c>
    </row>
    <row r="28433">
      <c r="A28433" s="1" t="n">
        <v>28432</v>
      </c>
      <c r="B28433">
        <f>TEXT(28432, "[$-0E0000]yyyy-mm-dd")</f>
        <v/>
      </c>
      <c r="C28433" t="inlineStr">
        <is>
          <t>1977-09-23</t>
        </is>
      </c>
    </row>
    <row r="28434">
      <c r="A28434" s="1" t="n">
        <v>28433</v>
      </c>
      <c r="B28434">
        <f>TEXT(28433, "[$-0E0000]yyyy-mm-dd")</f>
        <v/>
      </c>
      <c r="C28434" t="inlineStr">
        <is>
          <t>1977-09-24</t>
        </is>
      </c>
    </row>
    <row r="28435">
      <c r="A28435" s="1" t="n">
        <v>28434</v>
      </c>
      <c r="B28435">
        <f>TEXT(28434, "[$-0E0000]yyyy-mm-dd")</f>
        <v/>
      </c>
      <c r="C28435" t="inlineStr">
        <is>
          <t>1977-09-25</t>
        </is>
      </c>
    </row>
    <row r="28436">
      <c r="A28436" s="1" t="n">
        <v>28435</v>
      </c>
      <c r="B28436">
        <f>TEXT(28435, "[$-0E0000]yyyy-mm-dd")</f>
        <v/>
      </c>
      <c r="C28436" t="inlineStr">
        <is>
          <t>1977-09-26</t>
        </is>
      </c>
    </row>
    <row r="28437">
      <c r="A28437" s="1" t="n">
        <v>28436</v>
      </c>
      <c r="B28437">
        <f>TEXT(28436, "[$-0E0000]yyyy-mm-dd")</f>
        <v/>
      </c>
      <c r="C28437" t="inlineStr">
        <is>
          <t>1977-09-27</t>
        </is>
      </c>
    </row>
    <row r="28438">
      <c r="A28438" s="1" t="n">
        <v>28437</v>
      </c>
      <c r="B28438">
        <f>TEXT(28437, "[$-0E0000]yyyy-mm-dd")</f>
        <v/>
      </c>
      <c r="C28438" t="inlineStr">
        <is>
          <t>1977-09-28</t>
        </is>
      </c>
    </row>
    <row r="28439">
      <c r="A28439" s="1" t="n">
        <v>28438</v>
      </c>
      <c r="B28439">
        <f>TEXT(28438, "[$-0E0000]yyyy-mm-dd")</f>
        <v/>
      </c>
      <c r="C28439" t="inlineStr">
        <is>
          <t>1977-09-29</t>
        </is>
      </c>
    </row>
    <row r="28440">
      <c r="A28440" s="1" t="n">
        <v>28439</v>
      </c>
      <c r="B28440">
        <f>TEXT(28439, "[$-0E0000]yyyy-mm-dd")</f>
        <v/>
      </c>
      <c r="C28440" t="inlineStr">
        <is>
          <t>1977-10-01</t>
        </is>
      </c>
    </row>
    <row r="28441">
      <c r="A28441" s="1" t="n">
        <v>28440</v>
      </c>
      <c r="B28441">
        <f>TEXT(28440, "[$-0E0000]yyyy-mm-dd")</f>
        <v/>
      </c>
      <c r="C28441" t="inlineStr">
        <is>
          <t>1977-10-02</t>
        </is>
      </c>
    </row>
    <row r="28442">
      <c r="A28442" s="1" t="n">
        <v>28441</v>
      </c>
      <c r="B28442">
        <f>TEXT(28441, "[$-0E0000]yyyy-mm-dd")</f>
        <v/>
      </c>
      <c r="C28442" t="inlineStr">
        <is>
          <t>1977-10-03</t>
        </is>
      </c>
    </row>
    <row r="28443">
      <c r="A28443" s="1" t="n">
        <v>28442</v>
      </c>
      <c r="B28443">
        <f>TEXT(28442, "[$-0E0000]yyyy-mm-dd")</f>
        <v/>
      </c>
      <c r="C28443" t="inlineStr">
        <is>
          <t>1977-10-04</t>
        </is>
      </c>
    </row>
    <row r="28444">
      <c r="A28444" s="1" t="n">
        <v>28443</v>
      </c>
      <c r="B28444">
        <f>TEXT(28443, "[$-0E0000]yyyy-mm-dd")</f>
        <v/>
      </c>
      <c r="C28444" t="inlineStr">
        <is>
          <t>1977-10-05</t>
        </is>
      </c>
    </row>
    <row r="28445">
      <c r="A28445" s="1" t="n">
        <v>28444</v>
      </c>
      <c r="B28445">
        <f>TEXT(28444, "[$-0E0000]yyyy-mm-dd")</f>
        <v/>
      </c>
      <c r="C28445" t="inlineStr">
        <is>
          <t>1977-10-06</t>
        </is>
      </c>
    </row>
    <row r="28446">
      <c r="A28446" s="1" t="n">
        <v>28445</v>
      </c>
      <c r="B28446">
        <f>TEXT(28445, "[$-0E0000]yyyy-mm-dd")</f>
        <v/>
      </c>
      <c r="C28446" t="inlineStr">
        <is>
          <t>1977-10-07</t>
        </is>
      </c>
    </row>
    <row r="28447">
      <c r="A28447" s="1" t="n">
        <v>28446</v>
      </c>
      <c r="B28447">
        <f>TEXT(28446, "[$-0E0000]yyyy-mm-dd")</f>
        <v/>
      </c>
      <c r="C28447" t="inlineStr">
        <is>
          <t>1977-10-08</t>
        </is>
      </c>
    </row>
    <row r="28448">
      <c r="A28448" s="1" t="n">
        <v>28447</v>
      </c>
      <c r="B28448">
        <f>TEXT(28447, "[$-0E0000]yyyy-mm-dd")</f>
        <v/>
      </c>
      <c r="C28448" t="inlineStr">
        <is>
          <t>1977-10-09</t>
        </is>
      </c>
    </row>
    <row r="28449">
      <c r="A28449" s="1" t="n">
        <v>28448</v>
      </c>
      <c r="B28449">
        <f>TEXT(28448, "[$-0E0000]yyyy-mm-dd")</f>
        <v/>
      </c>
      <c r="C28449" t="inlineStr">
        <is>
          <t>1977-10-10</t>
        </is>
      </c>
    </row>
    <row r="28450">
      <c r="A28450" s="1" t="n">
        <v>28449</v>
      </c>
      <c r="B28450">
        <f>TEXT(28449, "[$-0E0000]yyyy-mm-dd")</f>
        <v/>
      </c>
      <c r="C28450" t="inlineStr">
        <is>
          <t>1977-10-11</t>
        </is>
      </c>
    </row>
    <row r="28451">
      <c r="A28451" s="1" t="n">
        <v>28450</v>
      </c>
      <c r="B28451">
        <f>TEXT(28450, "[$-0E0000]yyyy-mm-dd")</f>
        <v/>
      </c>
      <c r="C28451" t="inlineStr">
        <is>
          <t>1977-10-12</t>
        </is>
      </c>
    </row>
    <row r="28452">
      <c r="A28452" s="1" t="n">
        <v>28451</v>
      </c>
      <c r="B28452">
        <f>TEXT(28451, "[$-0E0000]yyyy-mm-dd")</f>
        <v/>
      </c>
      <c r="C28452" t="inlineStr">
        <is>
          <t>1977-10-13</t>
        </is>
      </c>
    </row>
    <row r="28453">
      <c r="A28453" s="1" t="n">
        <v>28452</v>
      </c>
      <c r="B28453">
        <f>TEXT(28452, "[$-0E0000]yyyy-mm-dd")</f>
        <v/>
      </c>
      <c r="C28453" t="inlineStr">
        <is>
          <t>1977-10-14</t>
        </is>
      </c>
    </row>
    <row r="28454">
      <c r="A28454" s="1" t="n">
        <v>28453</v>
      </c>
      <c r="B28454">
        <f>TEXT(28453, "[$-0E0000]yyyy-mm-dd")</f>
        <v/>
      </c>
      <c r="C28454" t="inlineStr">
        <is>
          <t>1977-10-15</t>
        </is>
      </c>
    </row>
    <row r="28455">
      <c r="A28455" s="1" t="n">
        <v>28454</v>
      </c>
      <c r="B28455">
        <f>TEXT(28454, "[$-0E0000]yyyy-mm-dd")</f>
        <v/>
      </c>
      <c r="C28455" t="inlineStr">
        <is>
          <t>1977-10-16</t>
        </is>
      </c>
    </row>
    <row r="28456">
      <c r="A28456" s="1" t="n">
        <v>28455</v>
      </c>
      <c r="B28456">
        <f>TEXT(28455, "[$-0E0000]yyyy-mm-dd")</f>
        <v/>
      </c>
      <c r="C28456" t="inlineStr">
        <is>
          <t>1977-10-17</t>
        </is>
      </c>
    </row>
    <row r="28457">
      <c r="A28457" s="1" t="n">
        <v>28456</v>
      </c>
      <c r="B28457">
        <f>TEXT(28456, "[$-0E0000]yyyy-mm-dd")</f>
        <v/>
      </c>
      <c r="C28457" t="inlineStr">
        <is>
          <t>1977-10-18</t>
        </is>
      </c>
    </row>
    <row r="28458">
      <c r="A28458" s="1" t="n">
        <v>28457</v>
      </c>
      <c r="B28458">
        <f>TEXT(28457, "[$-0E0000]yyyy-mm-dd")</f>
        <v/>
      </c>
      <c r="C28458" t="inlineStr">
        <is>
          <t>1977-10-19</t>
        </is>
      </c>
    </row>
    <row r="28459">
      <c r="A28459" s="1" t="n">
        <v>28458</v>
      </c>
      <c r="B28459">
        <f>TEXT(28458, "[$-0E0000]yyyy-mm-dd")</f>
        <v/>
      </c>
      <c r="C28459" t="inlineStr">
        <is>
          <t>1977-10-20</t>
        </is>
      </c>
    </row>
    <row r="28460">
      <c r="A28460" s="1" t="n">
        <v>28459</v>
      </c>
      <c r="B28460">
        <f>TEXT(28459, "[$-0E0000]yyyy-mm-dd")</f>
        <v/>
      </c>
      <c r="C28460" t="inlineStr">
        <is>
          <t>1977-10-21</t>
        </is>
      </c>
    </row>
    <row r="28461">
      <c r="A28461" s="1" t="n">
        <v>28460</v>
      </c>
      <c r="B28461">
        <f>TEXT(28460, "[$-0E0000]yyyy-mm-dd")</f>
        <v/>
      </c>
      <c r="C28461" t="inlineStr">
        <is>
          <t>1977-10-22</t>
        </is>
      </c>
    </row>
    <row r="28462">
      <c r="A28462" s="1" t="n">
        <v>28461</v>
      </c>
      <c r="B28462">
        <f>TEXT(28461, "[$-0E0000]yyyy-mm-dd")</f>
        <v/>
      </c>
      <c r="C28462" t="inlineStr">
        <is>
          <t>1977-10-23</t>
        </is>
      </c>
    </row>
    <row r="28463">
      <c r="A28463" s="1" t="n">
        <v>28462</v>
      </c>
      <c r="B28463">
        <f>TEXT(28462, "[$-0E0000]yyyy-mm-dd")</f>
        <v/>
      </c>
      <c r="C28463" t="inlineStr">
        <is>
          <t>1977-10-24</t>
        </is>
      </c>
    </row>
    <row r="28464">
      <c r="A28464" s="1" t="n">
        <v>28463</v>
      </c>
      <c r="B28464">
        <f>TEXT(28463, "[$-0E0000]yyyy-mm-dd")</f>
        <v/>
      </c>
      <c r="C28464" t="inlineStr">
        <is>
          <t>1977-10-25</t>
        </is>
      </c>
    </row>
    <row r="28465">
      <c r="A28465" s="1" t="n">
        <v>28464</v>
      </c>
      <c r="B28465">
        <f>TEXT(28464, "[$-0E0000]yyyy-mm-dd")</f>
        <v/>
      </c>
      <c r="C28465" t="inlineStr">
        <is>
          <t>1977-10-26</t>
        </is>
      </c>
    </row>
    <row r="28466">
      <c r="A28466" s="1" t="n">
        <v>28465</v>
      </c>
      <c r="B28466">
        <f>TEXT(28465, "[$-0E0000]yyyy-mm-dd")</f>
        <v/>
      </c>
      <c r="C28466" t="inlineStr">
        <is>
          <t>1977-10-27</t>
        </is>
      </c>
    </row>
    <row r="28467">
      <c r="A28467" s="1" t="n">
        <v>28466</v>
      </c>
      <c r="B28467">
        <f>TEXT(28466, "[$-0E0000]yyyy-mm-dd")</f>
        <v/>
      </c>
      <c r="C28467" t="inlineStr">
        <is>
          <t>1977-10-28</t>
        </is>
      </c>
    </row>
    <row r="28468">
      <c r="A28468" s="1" t="n">
        <v>28467</v>
      </c>
      <c r="B28468">
        <f>TEXT(28467, "[$-0E0000]yyyy-mm-dd")</f>
        <v/>
      </c>
      <c r="C28468" t="inlineStr">
        <is>
          <t>1977-10-29</t>
        </is>
      </c>
    </row>
    <row r="28469">
      <c r="A28469" s="1" t="n">
        <v>28468</v>
      </c>
      <c r="B28469">
        <f>TEXT(28468, "[$-0E0000]yyyy-mm-dd")</f>
        <v/>
      </c>
      <c r="C28469" t="inlineStr">
        <is>
          <t>1977-10-30</t>
        </is>
      </c>
    </row>
    <row r="28470">
      <c r="A28470" s="1" t="n">
        <v>28469</v>
      </c>
      <c r="B28470">
        <f>TEXT(28469, "[$-0E0000]yyyy-mm-dd")</f>
        <v/>
      </c>
      <c r="C28470" t="inlineStr">
        <is>
          <t>1977-11-01</t>
        </is>
      </c>
    </row>
    <row r="28471">
      <c r="A28471" s="1" t="n">
        <v>28470</v>
      </c>
      <c r="B28471">
        <f>TEXT(28470, "[$-0E0000]yyyy-mm-dd")</f>
        <v/>
      </c>
      <c r="C28471" t="inlineStr">
        <is>
          <t>1977-11-02</t>
        </is>
      </c>
    </row>
    <row r="28472">
      <c r="A28472" s="1" t="n">
        <v>28471</v>
      </c>
      <c r="B28472">
        <f>TEXT(28471, "[$-0E0000]yyyy-mm-dd")</f>
        <v/>
      </c>
      <c r="C28472" t="inlineStr">
        <is>
          <t>1977-11-03</t>
        </is>
      </c>
    </row>
    <row r="28473">
      <c r="A28473" s="1" t="n">
        <v>28472</v>
      </c>
      <c r="B28473">
        <f>TEXT(28472, "[$-0E0000]yyyy-mm-dd")</f>
        <v/>
      </c>
      <c r="C28473" t="inlineStr">
        <is>
          <t>1977-11-04</t>
        </is>
      </c>
    </row>
    <row r="28474">
      <c r="A28474" s="1" t="n">
        <v>28473</v>
      </c>
      <c r="B28474">
        <f>TEXT(28473, "[$-0E0000]yyyy-mm-dd")</f>
        <v/>
      </c>
      <c r="C28474" t="inlineStr">
        <is>
          <t>1977-11-05</t>
        </is>
      </c>
    </row>
    <row r="28475">
      <c r="A28475" s="1" t="n">
        <v>28474</v>
      </c>
      <c r="B28475">
        <f>TEXT(28474, "[$-0E0000]yyyy-mm-dd")</f>
        <v/>
      </c>
      <c r="C28475" t="inlineStr">
        <is>
          <t>1977-11-06</t>
        </is>
      </c>
    </row>
    <row r="28476">
      <c r="A28476" s="1" t="n">
        <v>28475</v>
      </c>
      <c r="B28476">
        <f>TEXT(28475, "[$-0E0000]yyyy-mm-dd")</f>
        <v/>
      </c>
      <c r="C28476" t="inlineStr">
        <is>
          <t>1977-11-07</t>
        </is>
      </c>
    </row>
    <row r="28477">
      <c r="A28477" s="1" t="n">
        <v>28476</v>
      </c>
      <c r="B28477">
        <f>TEXT(28476, "[$-0E0000]yyyy-mm-dd")</f>
        <v/>
      </c>
      <c r="C28477" t="inlineStr">
        <is>
          <t>1977-11-08</t>
        </is>
      </c>
    </row>
    <row r="28478">
      <c r="A28478" s="1" t="n">
        <v>28477</v>
      </c>
      <c r="B28478">
        <f>TEXT(28477, "[$-0E0000]yyyy-mm-dd")</f>
        <v/>
      </c>
      <c r="C28478" t="inlineStr">
        <is>
          <t>1977-11-09</t>
        </is>
      </c>
    </row>
    <row r="28479">
      <c r="A28479" s="1" t="n">
        <v>28478</v>
      </c>
      <c r="B28479">
        <f>TEXT(28478, "[$-0E0000]yyyy-mm-dd")</f>
        <v/>
      </c>
      <c r="C28479" t="inlineStr">
        <is>
          <t>1977-11-10</t>
        </is>
      </c>
    </row>
    <row r="28480">
      <c r="A28480" s="1" t="n">
        <v>28479</v>
      </c>
      <c r="B28480">
        <f>TEXT(28479, "[$-0E0000]yyyy-mm-dd")</f>
        <v/>
      </c>
      <c r="C28480" t="inlineStr">
        <is>
          <t>1977-11-11</t>
        </is>
      </c>
    </row>
    <row r="28481">
      <c r="A28481" s="1" t="n">
        <v>28480</v>
      </c>
      <c r="B28481">
        <f>TEXT(28480, "[$-0E0000]yyyy-mm-dd")</f>
        <v/>
      </c>
      <c r="C28481" t="inlineStr">
        <is>
          <t>1977-11-12</t>
        </is>
      </c>
    </row>
    <row r="28482">
      <c r="A28482" s="1" t="n">
        <v>28481</v>
      </c>
      <c r="B28482">
        <f>TEXT(28481, "[$-0E0000]yyyy-mm-dd")</f>
        <v/>
      </c>
      <c r="C28482" t="inlineStr">
        <is>
          <t>1977-11-13</t>
        </is>
      </c>
    </row>
    <row r="28483">
      <c r="A28483" s="1" t="n">
        <v>28482</v>
      </c>
      <c r="B28483">
        <f>TEXT(28482, "[$-0E0000]yyyy-mm-dd")</f>
        <v/>
      </c>
      <c r="C28483" t="inlineStr">
        <is>
          <t>1977-11-14</t>
        </is>
      </c>
    </row>
    <row r="28484">
      <c r="A28484" s="1" t="n">
        <v>28483</v>
      </c>
      <c r="B28484">
        <f>TEXT(28483, "[$-0E0000]yyyy-mm-dd")</f>
        <v/>
      </c>
      <c r="C28484" t="inlineStr">
        <is>
          <t>1977-11-15</t>
        </is>
      </c>
    </row>
    <row r="28485">
      <c r="A28485" s="1" t="n">
        <v>28484</v>
      </c>
      <c r="B28485">
        <f>TEXT(28484, "[$-0E0000]yyyy-mm-dd")</f>
        <v/>
      </c>
      <c r="C28485" t="inlineStr">
        <is>
          <t>1977-11-16</t>
        </is>
      </c>
    </row>
    <row r="28486">
      <c r="A28486" s="1" t="n">
        <v>28485</v>
      </c>
      <c r="B28486">
        <f>TEXT(28485, "[$-0E0000]yyyy-mm-dd")</f>
        <v/>
      </c>
      <c r="C28486" t="inlineStr">
        <is>
          <t>1977-11-17</t>
        </is>
      </c>
    </row>
    <row r="28487">
      <c r="A28487" s="1" t="n">
        <v>28486</v>
      </c>
      <c r="B28487">
        <f>TEXT(28486, "[$-0E0000]yyyy-mm-dd")</f>
        <v/>
      </c>
      <c r="C28487" t="inlineStr">
        <is>
          <t>1977-11-18</t>
        </is>
      </c>
    </row>
    <row r="28488">
      <c r="A28488" s="1" t="n">
        <v>28487</v>
      </c>
      <c r="B28488">
        <f>TEXT(28487, "[$-0E0000]yyyy-mm-dd")</f>
        <v/>
      </c>
      <c r="C28488" t="inlineStr">
        <is>
          <t>1977-11-19</t>
        </is>
      </c>
    </row>
    <row r="28489">
      <c r="A28489" s="1" t="n">
        <v>28488</v>
      </c>
      <c r="B28489">
        <f>TEXT(28488, "[$-0E0000]yyyy-mm-dd")</f>
        <v/>
      </c>
      <c r="C28489" t="inlineStr">
        <is>
          <t>1977-11-20</t>
        </is>
      </c>
    </row>
    <row r="28490">
      <c r="A28490" s="1" t="n">
        <v>28489</v>
      </c>
      <c r="B28490">
        <f>TEXT(28489, "[$-0E0000]yyyy-mm-dd")</f>
        <v/>
      </c>
      <c r="C28490" t="inlineStr">
        <is>
          <t>1977-11-21</t>
        </is>
      </c>
    </row>
    <row r="28491">
      <c r="A28491" s="1" t="n">
        <v>28490</v>
      </c>
      <c r="B28491">
        <f>TEXT(28490, "[$-0E0000]yyyy-mm-dd")</f>
        <v/>
      </c>
      <c r="C28491" t="inlineStr">
        <is>
          <t>1977-11-22</t>
        </is>
      </c>
    </row>
    <row r="28492">
      <c r="A28492" s="1" t="n">
        <v>28491</v>
      </c>
      <c r="B28492">
        <f>TEXT(28491, "[$-0E0000]yyyy-mm-dd")</f>
        <v/>
      </c>
      <c r="C28492" t="inlineStr">
        <is>
          <t>1977-11-23</t>
        </is>
      </c>
    </row>
    <row r="28493">
      <c r="A28493" s="1" t="n">
        <v>28492</v>
      </c>
      <c r="B28493">
        <f>TEXT(28492, "[$-0E0000]yyyy-mm-dd")</f>
        <v/>
      </c>
      <c r="C28493" t="inlineStr">
        <is>
          <t>1977-11-24</t>
        </is>
      </c>
    </row>
    <row r="28494">
      <c r="A28494" s="1" t="n">
        <v>28493</v>
      </c>
      <c r="B28494">
        <f>TEXT(28493, "[$-0E0000]yyyy-mm-dd")</f>
        <v/>
      </c>
      <c r="C28494" t="inlineStr">
        <is>
          <t>1977-11-25</t>
        </is>
      </c>
    </row>
    <row r="28495">
      <c r="A28495" s="1" t="n">
        <v>28494</v>
      </c>
      <c r="B28495">
        <f>TEXT(28494, "[$-0E0000]yyyy-mm-dd")</f>
        <v/>
      </c>
      <c r="C28495" t="inlineStr">
        <is>
          <t>1977-11-26</t>
        </is>
      </c>
    </row>
    <row r="28496">
      <c r="A28496" s="1" t="n">
        <v>28495</v>
      </c>
      <c r="B28496">
        <f>TEXT(28495, "[$-0E0000]yyyy-mm-dd")</f>
        <v/>
      </c>
      <c r="C28496" t="inlineStr">
        <is>
          <t>1977-11-27</t>
        </is>
      </c>
    </row>
    <row r="28497">
      <c r="A28497" s="1" t="n">
        <v>28496</v>
      </c>
      <c r="B28497">
        <f>TEXT(28496, "[$-0E0000]yyyy-mm-dd")</f>
        <v/>
      </c>
      <c r="C28497" t="inlineStr">
        <is>
          <t>1977-11-28</t>
        </is>
      </c>
    </row>
    <row r="28498">
      <c r="A28498" s="1" t="n">
        <v>28497</v>
      </c>
      <c r="B28498">
        <f>TEXT(28497, "[$-0E0000]yyyy-mm-dd")</f>
        <v/>
      </c>
      <c r="C28498" t="inlineStr">
        <is>
          <t>1977-11-29</t>
        </is>
      </c>
    </row>
    <row r="28499">
      <c r="A28499" s="1" t="n">
        <v>28498</v>
      </c>
      <c r="B28499">
        <f>TEXT(28498, "[$-0E0000]yyyy-mm-dd")</f>
        <v/>
      </c>
      <c r="C28499" t="inlineStr">
        <is>
          <t>1977-12-01</t>
        </is>
      </c>
    </row>
    <row r="28500">
      <c r="A28500" s="1" t="n">
        <v>28499</v>
      </c>
      <c r="B28500">
        <f>TEXT(28499, "[$-0E0000]yyyy-mm-dd")</f>
        <v/>
      </c>
      <c r="C28500" t="inlineStr">
        <is>
          <t>1977-12-02</t>
        </is>
      </c>
    </row>
    <row r="28501">
      <c r="A28501" s="1" t="n">
        <v>28500</v>
      </c>
      <c r="B28501">
        <f>TEXT(28500, "[$-0E0000]yyyy-mm-dd")</f>
        <v/>
      </c>
      <c r="C28501" t="inlineStr">
        <is>
          <t>1977-12-03</t>
        </is>
      </c>
    </row>
    <row r="28502">
      <c r="A28502" s="1" t="n">
        <v>28501</v>
      </c>
      <c r="B28502">
        <f>TEXT(28501, "[$-0E0000]yyyy-mm-dd")</f>
        <v/>
      </c>
      <c r="C28502" t="inlineStr">
        <is>
          <t>1977-12-04</t>
        </is>
      </c>
    </row>
    <row r="28503">
      <c r="A28503" s="1" t="n">
        <v>28502</v>
      </c>
      <c r="B28503">
        <f>TEXT(28502, "[$-0E0000]yyyy-mm-dd")</f>
        <v/>
      </c>
      <c r="C28503" t="inlineStr">
        <is>
          <t>1977-12-05</t>
        </is>
      </c>
    </row>
    <row r="28504">
      <c r="A28504" s="1" t="n">
        <v>28503</v>
      </c>
      <c r="B28504">
        <f>TEXT(28503, "[$-0E0000]yyyy-mm-dd")</f>
        <v/>
      </c>
      <c r="C28504" t="inlineStr">
        <is>
          <t>1977-12-06</t>
        </is>
      </c>
    </row>
    <row r="28505">
      <c r="A28505" s="1" t="n">
        <v>28504</v>
      </c>
      <c r="B28505">
        <f>TEXT(28504, "[$-0E0000]yyyy-mm-dd")</f>
        <v/>
      </c>
      <c r="C28505" t="inlineStr">
        <is>
          <t>1977-12-07</t>
        </is>
      </c>
    </row>
    <row r="28506">
      <c r="A28506" s="1" t="n">
        <v>28505</v>
      </c>
      <c r="B28506">
        <f>TEXT(28505, "[$-0E0000]yyyy-mm-dd")</f>
        <v/>
      </c>
      <c r="C28506" t="inlineStr">
        <is>
          <t>1977-12-08</t>
        </is>
      </c>
    </row>
    <row r="28507">
      <c r="A28507" s="1" t="n">
        <v>28506</v>
      </c>
      <c r="B28507">
        <f>TEXT(28506, "[$-0E0000]yyyy-mm-dd")</f>
        <v/>
      </c>
      <c r="C28507" t="inlineStr">
        <is>
          <t>1977-12-09</t>
        </is>
      </c>
    </row>
    <row r="28508">
      <c r="A28508" s="1" t="n">
        <v>28507</v>
      </c>
      <c r="B28508">
        <f>TEXT(28507, "[$-0E0000]yyyy-mm-dd")</f>
        <v/>
      </c>
      <c r="C28508" t="inlineStr">
        <is>
          <t>1977-12-10</t>
        </is>
      </c>
    </row>
    <row r="28509">
      <c r="A28509" s="1" t="n">
        <v>28508</v>
      </c>
      <c r="B28509">
        <f>TEXT(28508, "[$-0E0000]yyyy-mm-dd")</f>
        <v/>
      </c>
      <c r="C28509" t="inlineStr">
        <is>
          <t>1977-12-11</t>
        </is>
      </c>
    </row>
    <row r="28510">
      <c r="A28510" s="1" t="n">
        <v>28509</v>
      </c>
      <c r="B28510">
        <f>TEXT(28509, "[$-0E0000]yyyy-mm-dd")</f>
        <v/>
      </c>
      <c r="C28510" t="inlineStr">
        <is>
          <t>1977-12-12</t>
        </is>
      </c>
    </row>
    <row r="28511">
      <c r="A28511" s="1" t="n">
        <v>28510</v>
      </c>
      <c r="B28511">
        <f>TEXT(28510, "[$-0E0000]yyyy-mm-dd")</f>
        <v/>
      </c>
      <c r="C28511" t="inlineStr">
        <is>
          <t>1977-12-13</t>
        </is>
      </c>
    </row>
    <row r="28512">
      <c r="A28512" s="1" t="n">
        <v>28511</v>
      </c>
      <c r="B28512">
        <f>TEXT(28511, "[$-0E0000]yyyy-mm-dd")</f>
        <v/>
      </c>
      <c r="C28512" t="inlineStr">
        <is>
          <t>1977-12-14</t>
        </is>
      </c>
    </row>
    <row r="28513">
      <c r="A28513" s="1" t="n">
        <v>28512</v>
      </c>
      <c r="B28513">
        <f>TEXT(28512, "[$-0E0000]yyyy-mm-dd")</f>
        <v/>
      </c>
      <c r="C28513" t="inlineStr">
        <is>
          <t>1977-12-15</t>
        </is>
      </c>
    </row>
    <row r="28514">
      <c r="A28514" s="1" t="n">
        <v>28513</v>
      </c>
      <c r="B28514">
        <f>TEXT(28513, "[$-0E0000]yyyy-mm-dd")</f>
        <v/>
      </c>
      <c r="C28514" t="inlineStr">
        <is>
          <t>1977-12-16</t>
        </is>
      </c>
    </row>
    <row r="28515">
      <c r="A28515" s="1" t="n">
        <v>28514</v>
      </c>
      <c r="B28515">
        <f>TEXT(28514, "[$-0E0000]yyyy-mm-dd")</f>
        <v/>
      </c>
      <c r="C28515" t="inlineStr">
        <is>
          <t>1977-12-17</t>
        </is>
      </c>
    </row>
    <row r="28516">
      <c r="A28516" s="1" t="n">
        <v>28515</v>
      </c>
      <c r="B28516">
        <f>TEXT(28515, "[$-0E0000]yyyy-mm-dd")</f>
        <v/>
      </c>
      <c r="C28516" t="inlineStr">
        <is>
          <t>1977-12-18</t>
        </is>
      </c>
    </row>
    <row r="28517">
      <c r="A28517" s="1" t="n">
        <v>28516</v>
      </c>
      <c r="B28517">
        <f>TEXT(28516, "[$-0E0000]yyyy-mm-dd")</f>
        <v/>
      </c>
      <c r="C28517" t="inlineStr">
        <is>
          <t>1977-12-19</t>
        </is>
      </c>
    </row>
    <row r="28518">
      <c r="A28518" s="1" t="n">
        <v>28517</v>
      </c>
      <c r="B28518">
        <f>TEXT(28517, "[$-0E0000]yyyy-mm-dd")</f>
        <v/>
      </c>
      <c r="C28518" t="inlineStr">
        <is>
          <t>1977-12-20</t>
        </is>
      </c>
    </row>
    <row r="28519">
      <c r="A28519" s="1" t="n">
        <v>28518</v>
      </c>
      <c r="B28519">
        <f>TEXT(28518, "[$-0E0000]yyyy-mm-dd")</f>
        <v/>
      </c>
      <c r="C28519" t="inlineStr">
        <is>
          <t>1977-12-21</t>
        </is>
      </c>
    </row>
    <row r="28520">
      <c r="A28520" s="1" t="n">
        <v>28519</v>
      </c>
      <c r="B28520">
        <f>TEXT(28519, "[$-0E0000]yyyy-mm-dd")</f>
        <v/>
      </c>
      <c r="C28520" t="inlineStr">
        <is>
          <t>1977-12-22</t>
        </is>
      </c>
    </row>
    <row r="28521">
      <c r="A28521" s="1" t="n">
        <v>28520</v>
      </c>
      <c r="B28521">
        <f>TEXT(28520, "[$-0E0000]yyyy-mm-dd")</f>
        <v/>
      </c>
      <c r="C28521" t="inlineStr">
        <is>
          <t>1977-12-23</t>
        </is>
      </c>
    </row>
    <row r="28522">
      <c r="A28522" s="1" t="n">
        <v>28521</v>
      </c>
      <c r="B28522">
        <f>TEXT(28521, "[$-0E0000]yyyy-mm-dd")</f>
        <v/>
      </c>
      <c r="C28522" t="inlineStr">
        <is>
          <t>1977-12-24</t>
        </is>
      </c>
    </row>
    <row r="28523">
      <c r="A28523" s="1" t="n">
        <v>28522</v>
      </c>
      <c r="B28523">
        <f>TEXT(28522, "[$-0E0000]yyyy-mm-dd")</f>
        <v/>
      </c>
      <c r="C28523" t="inlineStr">
        <is>
          <t>1977-12-25</t>
        </is>
      </c>
    </row>
    <row r="28524">
      <c r="A28524" s="1" t="n">
        <v>28523</v>
      </c>
      <c r="B28524">
        <f>TEXT(28523, "[$-0E0000]yyyy-mm-dd")</f>
        <v/>
      </c>
      <c r="C28524" t="inlineStr">
        <is>
          <t>1977-12-26</t>
        </is>
      </c>
    </row>
    <row r="28525">
      <c r="A28525" s="1" t="n">
        <v>28524</v>
      </c>
      <c r="B28525">
        <f>TEXT(28524, "[$-0E0000]yyyy-mm-dd")</f>
        <v/>
      </c>
      <c r="C28525" t="inlineStr">
        <is>
          <t>1977-12-27</t>
        </is>
      </c>
    </row>
    <row r="28526">
      <c r="A28526" s="1" t="n">
        <v>28525</v>
      </c>
      <c r="B28526">
        <f>TEXT(28525, "[$-0E0000]yyyy-mm-dd")</f>
        <v/>
      </c>
      <c r="C28526" t="inlineStr">
        <is>
          <t>1977-12-28</t>
        </is>
      </c>
    </row>
    <row r="28527">
      <c r="A28527" s="1" t="n">
        <v>28526</v>
      </c>
      <c r="B28527">
        <f>TEXT(28526, "[$-0E0000]yyyy-mm-dd")</f>
        <v/>
      </c>
      <c r="C28527" t="inlineStr">
        <is>
          <t>1977-12-29</t>
        </is>
      </c>
    </row>
    <row r="28528">
      <c r="A28528" s="1" t="n">
        <v>28527</v>
      </c>
      <c r="B28528">
        <f>TEXT(28527, "[$-0E0000]yyyy-mm-dd")</f>
        <v/>
      </c>
      <c r="C28528" t="inlineStr">
        <is>
          <t>1978-01-01</t>
        </is>
      </c>
    </row>
    <row r="28529">
      <c r="A28529" s="1" t="n">
        <v>28528</v>
      </c>
      <c r="B28529">
        <f>TEXT(28528, "[$-0E0000]yyyy-mm-dd")</f>
        <v/>
      </c>
      <c r="C28529" t="inlineStr">
        <is>
          <t>1978-01-02</t>
        </is>
      </c>
    </row>
    <row r="28530">
      <c r="A28530" s="1" t="n">
        <v>28529</v>
      </c>
      <c r="B28530">
        <f>TEXT(28529, "[$-0E0000]yyyy-mm-dd")</f>
        <v/>
      </c>
      <c r="C28530" t="inlineStr">
        <is>
          <t>1978-01-03</t>
        </is>
      </c>
    </row>
    <row r="28531">
      <c r="A28531" s="1" t="n">
        <v>28530</v>
      </c>
      <c r="B28531">
        <f>TEXT(28530, "[$-0E0000]yyyy-mm-dd")</f>
        <v/>
      </c>
      <c r="C28531" t="inlineStr">
        <is>
          <t>1978-01-04</t>
        </is>
      </c>
    </row>
    <row r="28532">
      <c r="A28532" s="1" t="n">
        <v>28531</v>
      </c>
      <c r="B28532">
        <f>TEXT(28531, "[$-0E0000]yyyy-mm-dd")</f>
        <v/>
      </c>
      <c r="C28532" t="inlineStr">
        <is>
          <t>1978-01-05</t>
        </is>
      </c>
    </row>
    <row r="28533">
      <c r="A28533" s="1" t="n">
        <v>28532</v>
      </c>
      <c r="B28533">
        <f>TEXT(28532, "[$-0E0000]yyyy-mm-dd")</f>
        <v/>
      </c>
      <c r="C28533" t="inlineStr">
        <is>
          <t>1978-01-06</t>
        </is>
      </c>
    </row>
    <row r="28534">
      <c r="A28534" s="1" t="n">
        <v>28533</v>
      </c>
      <c r="B28534">
        <f>TEXT(28533, "[$-0E0000]yyyy-mm-dd")</f>
        <v/>
      </c>
      <c r="C28534" t="inlineStr">
        <is>
          <t>1978-01-07</t>
        </is>
      </c>
    </row>
    <row r="28535">
      <c r="A28535" s="1" t="n">
        <v>28534</v>
      </c>
      <c r="B28535">
        <f>TEXT(28534, "[$-0E0000]yyyy-mm-dd")</f>
        <v/>
      </c>
      <c r="C28535" t="inlineStr">
        <is>
          <t>1978-01-08</t>
        </is>
      </c>
    </row>
    <row r="28536">
      <c r="A28536" s="1" t="n">
        <v>28535</v>
      </c>
      <c r="B28536">
        <f>TEXT(28535, "[$-0E0000]yyyy-mm-dd")</f>
        <v/>
      </c>
      <c r="C28536" t="inlineStr">
        <is>
          <t>1978-01-09</t>
        </is>
      </c>
    </row>
    <row r="28537">
      <c r="A28537" s="1" t="n">
        <v>28536</v>
      </c>
      <c r="B28537">
        <f>TEXT(28536, "[$-0E0000]yyyy-mm-dd")</f>
        <v/>
      </c>
      <c r="C28537" t="inlineStr">
        <is>
          <t>1978-01-10</t>
        </is>
      </c>
    </row>
    <row r="28538">
      <c r="A28538" s="1" t="n">
        <v>28537</v>
      </c>
      <c r="B28538">
        <f>TEXT(28537, "[$-0E0000]yyyy-mm-dd")</f>
        <v/>
      </c>
      <c r="C28538" t="inlineStr">
        <is>
          <t>1978-01-11</t>
        </is>
      </c>
    </row>
    <row r="28539">
      <c r="A28539" s="1" t="n">
        <v>28538</v>
      </c>
      <c r="B28539">
        <f>TEXT(28538, "[$-0E0000]yyyy-mm-dd")</f>
        <v/>
      </c>
      <c r="C28539" t="inlineStr">
        <is>
          <t>1978-01-12</t>
        </is>
      </c>
    </row>
    <row r="28540">
      <c r="A28540" s="1" t="n">
        <v>28539</v>
      </c>
      <c r="B28540">
        <f>TEXT(28539, "[$-0E0000]yyyy-mm-dd")</f>
        <v/>
      </c>
      <c r="C28540" t="inlineStr">
        <is>
          <t>1978-01-13</t>
        </is>
      </c>
    </row>
    <row r="28541">
      <c r="A28541" s="1" t="n">
        <v>28540</v>
      </c>
      <c r="B28541">
        <f>TEXT(28540, "[$-0E0000]yyyy-mm-dd")</f>
        <v/>
      </c>
      <c r="C28541" t="inlineStr">
        <is>
          <t>1978-01-14</t>
        </is>
      </c>
    </row>
    <row r="28542">
      <c r="A28542" s="1" t="n">
        <v>28541</v>
      </c>
      <c r="B28542">
        <f>TEXT(28541, "[$-0E0000]yyyy-mm-dd")</f>
        <v/>
      </c>
      <c r="C28542" t="inlineStr">
        <is>
          <t>1978-01-15</t>
        </is>
      </c>
    </row>
    <row r="28543">
      <c r="A28543" s="1" t="n">
        <v>28542</v>
      </c>
      <c r="B28543">
        <f>TEXT(28542, "[$-0E0000]yyyy-mm-dd")</f>
        <v/>
      </c>
      <c r="C28543" t="inlineStr">
        <is>
          <t>1978-01-16</t>
        </is>
      </c>
    </row>
    <row r="28544">
      <c r="A28544" s="1" t="n">
        <v>28543</v>
      </c>
      <c r="B28544">
        <f>TEXT(28543, "[$-0E0000]yyyy-mm-dd")</f>
        <v/>
      </c>
      <c r="C28544" t="inlineStr">
        <is>
          <t>1978-01-17</t>
        </is>
      </c>
    </row>
    <row r="28545">
      <c r="A28545" s="1" t="n">
        <v>28544</v>
      </c>
      <c r="B28545">
        <f>TEXT(28544, "[$-0E0000]yyyy-mm-dd")</f>
        <v/>
      </c>
      <c r="C28545" t="inlineStr">
        <is>
          <t>1978-01-18</t>
        </is>
      </c>
    </row>
    <row r="28546">
      <c r="A28546" s="1" t="n">
        <v>28545</v>
      </c>
      <c r="B28546">
        <f>TEXT(28545, "[$-0E0000]yyyy-mm-dd")</f>
        <v/>
      </c>
      <c r="C28546" t="inlineStr">
        <is>
          <t>1978-01-19</t>
        </is>
      </c>
    </row>
    <row r="28547">
      <c r="A28547" s="1" t="n">
        <v>28546</v>
      </c>
      <c r="B28547">
        <f>TEXT(28546, "[$-0E0000]yyyy-mm-dd")</f>
        <v/>
      </c>
      <c r="C28547" t="inlineStr">
        <is>
          <t>1978-01-20</t>
        </is>
      </c>
    </row>
    <row r="28548">
      <c r="A28548" s="1" t="n">
        <v>28547</v>
      </c>
      <c r="B28548">
        <f>TEXT(28547, "[$-0E0000]yyyy-mm-dd")</f>
        <v/>
      </c>
      <c r="C28548" t="inlineStr">
        <is>
          <t>1978-01-21</t>
        </is>
      </c>
    </row>
    <row r="28549">
      <c r="A28549" s="1" t="n">
        <v>28548</v>
      </c>
      <c r="B28549">
        <f>TEXT(28548, "[$-0E0000]yyyy-mm-dd")</f>
        <v/>
      </c>
      <c r="C28549" t="inlineStr">
        <is>
          <t>1978-01-22</t>
        </is>
      </c>
    </row>
    <row r="28550">
      <c r="A28550" s="1" t="n">
        <v>28549</v>
      </c>
      <c r="B28550">
        <f>TEXT(28549, "[$-0E0000]yyyy-mm-dd")</f>
        <v/>
      </c>
      <c r="C28550" t="inlineStr">
        <is>
          <t>1978-01-23</t>
        </is>
      </c>
    </row>
    <row r="28551">
      <c r="A28551" s="1" t="n">
        <v>28550</v>
      </c>
      <c r="B28551">
        <f>TEXT(28550, "[$-0E0000]yyyy-mm-dd")</f>
        <v/>
      </c>
      <c r="C28551" t="inlineStr">
        <is>
          <t>1978-01-24</t>
        </is>
      </c>
    </row>
    <row r="28552">
      <c r="A28552" s="1" t="n">
        <v>28551</v>
      </c>
      <c r="B28552">
        <f>TEXT(28551, "[$-0E0000]yyyy-mm-dd")</f>
        <v/>
      </c>
      <c r="C28552" t="inlineStr">
        <is>
          <t>1978-01-25</t>
        </is>
      </c>
    </row>
    <row r="28553">
      <c r="A28553" s="1" t="n">
        <v>28552</v>
      </c>
      <c r="B28553">
        <f>TEXT(28552, "[$-0E0000]yyyy-mm-dd")</f>
        <v/>
      </c>
      <c r="C28553" t="inlineStr">
        <is>
          <t>1978-01-26</t>
        </is>
      </c>
    </row>
    <row r="28554">
      <c r="A28554" s="1" t="n">
        <v>28553</v>
      </c>
      <c r="B28554">
        <f>TEXT(28553, "[$-0E0000]yyyy-mm-dd")</f>
        <v/>
      </c>
      <c r="C28554" t="inlineStr">
        <is>
          <t>1978-01-27</t>
        </is>
      </c>
    </row>
    <row r="28555">
      <c r="A28555" s="1" t="n">
        <v>28554</v>
      </c>
      <c r="B28555">
        <f>TEXT(28554, "[$-0E0000]yyyy-mm-dd")</f>
        <v/>
      </c>
      <c r="C28555" t="inlineStr">
        <is>
          <t>1978-01-28</t>
        </is>
      </c>
    </row>
    <row r="28556">
      <c r="A28556" s="1" t="n">
        <v>28555</v>
      </c>
      <c r="B28556">
        <f>TEXT(28555, "[$-0E0000]yyyy-mm-dd")</f>
        <v/>
      </c>
      <c r="C28556" t="inlineStr">
        <is>
          <t>1978-01-29</t>
        </is>
      </c>
    </row>
    <row r="28557">
      <c r="A28557" s="1" t="n">
        <v>28556</v>
      </c>
      <c r="B28557">
        <f>TEXT(28556, "[$-0E0000]yyyy-mm-dd")</f>
        <v/>
      </c>
      <c r="C28557" t="inlineStr">
        <is>
          <t>1978-01-30</t>
        </is>
      </c>
    </row>
    <row r="28558">
      <c r="A28558" s="1" t="n">
        <v>28557</v>
      </c>
      <c r="B28558">
        <f>TEXT(28557, "[$-0E0000]yyyy-mm-dd")</f>
        <v/>
      </c>
      <c r="C28558" t="inlineStr">
        <is>
          <t>1978-02-01</t>
        </is>
      </c>
    </row>
    <row r="28559">
      <c r="A28559" s="1" t="n">
        <v>28558</v>
      </c>
      <c r="B28559">
        <f>TEXT(28558, "[$-0E0000]yyyy-mm-dd")</f>
        <v/>
      </c>
      <c r="C28559" t="inlineStr">
        <is>
          <t>1978-02-02</t>
        </is>
      </c>
    </row>
    <row r="28560">
      <c r="A28560" s="1" t="n">
        <v>28559</v>
      </c>
      <c r="B28560">
        <f>TEXT(28559, "[$-0E0000]yyyy-mm-dd")</f>
        <v/>
      </c>
      <c r="C28560" t="inlineStr">
        <is>
          <t>1978-02-03</t>
        </is>
      </c>
    </row>
    <row r="28561">
      <c r="A28561" s="1" t="n">
        <v>28560</v>
      </c>
      <c r="B28561">
        <f>TEXT(28560, "[$-0E0000]yyyy-mm-dd")</f>
        <v/>
      </c>
      <c r="C28561" t="inlineStr">
        <is>
          <t>1978-02-04</t>
        </is>
      </c>
    </row>
    <row r="28562">
      <c r="A28562" s="1" t="n">
        <v>28561</v>
      </c>
      <c r="B28562">
        <f>TEXT(28561, "[$-0E0000]yyyy-mm-dd")</f>
        <v/>
      </c>
      <c r="C28562" t="inlineStr">
        <is>
          <t>1978-02-05</t>
        </is>
      </c>
    </row>
    <row r="28563">
      <c r="A28563" s="1" t="n">
        <v>28562</v>
      </c>
      <c r="B28563">
        <f>TEXT(28562, "[$-0E0000]yyyy-mm-dd")</f>
        <v/>
      </c>
      <c r="C28563" t="inlineStr">
        <is>
          <t>1978-02-06</t>
        </is>
      </c>
    </row>
    <row r="28564">
      <c r="A28564" s="1" t="n">
        <v>28563</v>
      </c>
      <c r="B28564">
        <f>TEXT(28563, "[$-0E0000]yyyy-mm-dd")</f>
        <v/>
      </c>
      <c r="C28564" t="inlineStr">
        <is>
          <t>1978-02-07</t>
        </is>
      </c>
    </row>
    <row r="28565">
      <c r="A28565" s="1" t="n">
        <v>28564</v>
      </c>
      <c r="B28565">
        <f>TEXT(28564, "[$-0E0000]yyyy-mm-dd")</f>
        <v/>
      </c>
      <c r="C28565" t="inlineStr">
        <is>
          <t>1978-02-08</t>
        </is>
      </c>
    </row>
    <row r="28566">
      <c r="A28566" s="1" t="n">
        <v>28565</v>
      </c>
      <c r="B28566">
        <f>TEXT(28565, "[$-0E0000]yyyy-mm-dd")</f>
        <v/>
      </c>
      <c r="C28566" t="inlineStr">
        <is>
          <t>1978-02-09</t>
        </is>
      </c>
    </row>
    <row r="28567">
      <c r="A28567" s="1" t="n">
        <v>28566</v>
      </c>
      <c r="B28567">
        <f>TEXT(28566, "[$-0E0000]yyyy-mm-dd")</f>
        <v/>
      </c>
      <c r="C28567" t="inlineStr">
        <is>
          <t>1978-02-10</t>
        </is>
      </c>
    </row>
    <row r="28568">
      <c r="A28568" s="1" t="n">
        <v>28567</v>
      </c>
      <c r="B28568">
        <f>TEXT(28567, "[$-0E0000]yyyy-mm-dd")</f>
        <v/>
      </c>
      <c r="C28568" t="inlineStr">
        <is>
          <t>1978-02-11</t>
        </is>
      </c>
    </row>
    <row r="28569">
      <c r="A28569" s="1" t="n">
        <v>28568</v>
      </c>
      <c r="B28569">
        <f>TEXT(28568, "[$-0E0000]yyyy-mm-dd")</f>
        <v/>
      </c>
      <c r="C28569" t="inlineStr">
        <is>
          <t>1978-02-12</t>
        </is>
      </c>
    </row>
    <row r="28570">
      <c r="A28570" s="1" t="n">
        <v>28569</v>
      </c>
      <c r="B28570">
        <f>TEXT(28569, "[$-0E0000]yyyy-mm-dd")</f>
        <v/>
      </c>
      <c r="C28570" t="inlineStr">
        <is>
          <t>1978-02-13</t>
        </is>
      </c>
    </row>
    <row r="28571">
      <c r="A28571" s="1" t="n">
        <v>28570</v>
      </c>
      <c r="B28571">
        <f>TEXT(28570, "[$-0E0000]yyyy-mm-dd")</f>
        <v/>
      </c>
      <c r="C28571" t="inlineStr">
        <is>
          <t>1978-02-14</t>
        </is>
      </c>
    </row>
    <row r="28572">
      <c r="A28572" s="1" t="n">
        <v>28571</v>
      </c>
      <c r="B28572">
        <f>TEXT(28571, "[$-0E0000]yyyy-mm-dd")</f>
        <v/>
      </c>
      <c r="C28572" t="inlineStr">
        <is>
          <t>1978-02-15</t>
        </is>
      </c>
    </row>
    <row r="28573">
      <c r="A28573" s="1" t="n">
        <v>28572</v>
      </c>
      <c r="B28573">
        <f>TEXT(28572, "[$-0E0000]yyyy-mm-dd")</f>
        <v/>
      </c>
      <c r="C28573" t="inlineStr">
        <is>
          <t>1978-02-16</t>
        </is>
      </c>
    </row>
    <row r="28574">
      <c r="A28574" s="1" t="n">
        <v>28573</v>
      </c>
      <c r="B28574">
        <f>TEXT(28573, "[$-0E0000]yyyy-mm-dd")</f>
        <v/>
      </c>
      <c r="C28574" t="inlineStr">
        <is>
          <t>1978-02-17</t>
        </is>
      </c>
    </row>
    <row r="28575">
      <c r="A28575" s="1" t="n">
        <v>28574</v>
      </c>
      <c r="B28575">
        <f>TEXT(28574, "[$-0E0000]yyyy-mm-dd")</f>
        <v/>
      </c>
      <c r="C28575" t="inlineStr">
        <is>
          <t>1978-02-18</t>
        </is>
      </c>
    </row>
    <row r="28576">
      <c r="A28576" s="1" t="n">
        <v>28575</v>
      </c>
      <c r="B28576">
        <f>TEXT(28575, "[$-0E0000]yyyy-mm-dd")</f>
        <v/>
      </c>
      <c r="C28576" t="inlineStr">
        <is>
          <t>1978-02-19</t>
        </is>
      </c>
    </row>
    <row r="28577">
      <c r="A28577" s="1" t="n">
        <v>28576</v>
      </c>
      <c r="B28577">
        <f>TEXT(28576, "[$-0E0000]yyyy-mm-dd")</f>
        <v/>
      </c>
      <c r="C28577" t="inlineStr">
        <is>
          <t>1978-02-20</t>
        </is>
      </c>
    </row>
    <row r="28578">
      <c r="A28578" s="1" t="n">
        <v>28577</v>
      </c>
      <c r="B28578">
        <f>TEXT(28577, "[$-0E0000]yyyy-mm-dd")</f>
        <v/>
      </c>
      <c r="C28578" t="inlineStr">
        <is>
          <t>1978-02-21</t>
        </is>
      </c>
    </row>
    <row r="28579">
      <c r="A28579" s="1" t="n">
        <v>28578</v>
      </c>
      <c r="B28579">
        <f>TEXT(28578, "[$-0E0000]yyyy-mm-dd")</f>
        <v/>
      </c>
      <c r="C28579" t="inlineStr">
        <is>
          <t>1978-02-22</t>
        </is>
      </c>
    </row>
    <row r="28580">
      <c r="A28580" s="1" t="n">
        <v>28579</v>
      </c>
      <c r="B28580">
        <f>TEXT(28579, "[$-0E0000]yyyy-mm-dd")</f>
        <v/>
      </c>
      <c r="C28580" t="inlineStr">
        <is>
          <t>1978-02-23</t>
        </is>
      </c>
    </row>
    <row r="28581">
      <c r="A28581" s="1" t="n">
        <v>28580</v>
      </c>
      <c r="B28581">
        <f>TEXT(28580, "[$-0E0000]yyyy-mm-dd")</f>
        <v/>
      </c>
      <c r="C28581" t="inlineStr">
        <is>
          <t>1978-02-24</t>
        </is>
      </c>
    </row>
    <row r="28582">
      <c r="A28582" s="1" t="n">
        <v>28581</v>
      </c>
      <c r="B28582">
        <f>TEXT(28581, "[$-0E0000]yyyy-mm-dd")</f>
        <v/>
      </c>
      <c r="C28582" t="inlineStr">
        <is>
          <t>1978-02-25</t>
        </is>
      </c>
    </row>
    <row r="28583">
      <c r="A28583" s="1" t="n">
        <v>28582</v>
      </c>
      <c r="B28583">
        <f>TEXT(28582, "[$-0E0000]yyyy-mm-dd")</f>
        <v/>
      </c>
      <c r="C28583" t="inlineStr">
        <is>
          <t>1978-02-26</t>
        </is>
      </c>
    </row>
    <row r="28584">
      <c r="A28584" s="1" t="n">
        <v>28583</v>
      </c>
      <c r="B28584">
        <f>TEXT(28583, "[$-0E0000]yyyy-mm-dd")</f>
        <v/>
      </c>
      <c r="C28584" t="inlineStr">
        <is>
          <t>1978-02-27</t>
        </is>
      </c>
    </row>
    <row r="28585">
      <c r="A28585" s="1" t="n">
        <v>28584</v>
      </c>
      <c r="B28585">
        <f>TEXT(28584, "[$-0E0000]yyyy-mm-dd")</f>
        <v/>
      </c>
      <c r="C28585" t="inlineStr">
        <is>
          <t>1978-02-28</t>
        </is>
      </c>
    </row>
    <row r="28586">
      <c r="A28586" s="1" t="n">
        <v>28585</v>
      </c>
      <c r="B28586">
        <f>TEXT(28585, "[$-0E0000]yyyy-mm-dd")</f>
        <v/>
      </c>
      <c r="C28586" t="inlineStr">
        <is>
          <t>1978-02-29</t>
        </is>
      </c>
    </row>
    <row r="28587">
      <c r="A28587" s="1" t="n">
        <v>28586</v>
      </c>
      <c r="B28587">
        <f>TEXT(28586, "[$-0E0000]yyyy-mm-dd")</f>
        <v/>
      </c>
      <c r="C28587" t="inlineStr">
        <is>
          <t>1978-03-01</t>
        </is>
      </c>
    </row>
    <row r="28588">
      <c r="A28588" s="1" t="n">
        <v>28587</v>
      </c>
      <c r="B28588">
        <f>TEXT(28587, "[$-0E0000]yyyy-mm-dd")</f>
        <v/>
      </c>
      <c r="C28588" t="inlineStr">
        <is>
          <t>1978-03-02</t>
        </is>
      </c>
    </row>
    <row r="28589">
      <c r="A28589" s="1" t="n">
        <v>28588</v>
      </c>
      <c r="B28589">
        <f>TEXT(28588, "[$-0E0000]yyyy-mm-dd")</f>
        <v/>
      </c>
      <c r="C28589" t="inlineStr">
        <is>
          <t>1978-03-03</t>
        </is>
      </c>
    </row>
    <row r="28590">
      <c r="A28590" s="1" t="n">
        <v>28589</v>
      </c>
      <c r="B28590">
        <f>TEXT(28589, "[$-0E0000]yyyy-mm-dd")</f>
        <v/>
      </c>
      <c r="C28590" t="inlineStr">
        <is>
          <t>1978-03-04</t>
        </is>
      </c>
    </row>
    <row r="28591">
      <c r="A28591" s="1" t="n">
        <v>28590</v>
      </c>
      <c r="B28591">
        <f>TEXT(28590, "[$-0E0000]yyyy-mm-dd")</f>
        <v/>
      </c>
      <c r="C28591" t="inlineStr">
        <is>
          <t>1978-03-05</t>
        </is>
      </c>
    </row>
    <row r="28592">
      <c r="A28592" s="1" t="n">
        <v>28591</v>
      </c>
      <c r="B28592">
        <f>TEXT(28591, "[$-0E0000]yyyy-mm-dd")</f>
        <v/>
      </c>
      <c r="C28592" t="inlineStr">
        <is>
          <t>1978-03-06</t>
        </is>
      </c>
    </row>
    <row r="28593">
      <c r="A28593" s="1" t="n">
        <v>28592</v>
      </c>
      <c r="B28593">
        <f>TEXT(28592, "[$-0E0000]yyyy-mm-dd")</f>
        <v/>
      </c>
      <c r="C28593" t="inlineStr">
        <is>
          <t>1978-03-07</t>
        </is>
      </c>
    </row>
    <row r="28594">
      <c r="A28594" s="1" t="n">
        <v>28593</v>
      </c>
      <c r="B28594">
        <f>TEXT(28593, "[$-0E0000]yyyy-mm-dd")</f>
        <v/>
      </c>
      <c r="C28594" t="inlineStr">
        <is>
          <t>1978-03-08</t>
        </is>
      </c>
    </row>
    <row r="28595">
      <c r="A28595" s="1" t="n">
        <v>28594</v>
      </c>
      <c r="B28595">
        <f>TEXT(28594, "[$-0E0000]yyyy-mm-dd")</f>
        <v/>
      </c>
      <c r="C28595" t="inlineStr">
        <is>
          <t>1978-03-09</t>
        </is>
      </c>
    </row>
    <row r="28596">
      <c r="A28596" s="1" t="n">
        <v>28595</v>
      </c>
      <c r="B28596">
        <f>TEXT(28595, "[$-0E0000]yyyy-mm-dd")</f>
        <v/>
      </c>
      <c r="C28596" t="inlineStr">
        <is>
          <t>1978-03-10</t>
        </is>
      </c>
    </row>
    <row r="28597">
      <c r="A28597" s="1" t="n">
        <v>28596</v>
      </c>
      <c r="B28597">
        <f>TEXT(28596, "[$-0E0000]yyyy-mm-dd")</f>
        <v/>
      </c>
      <c r="C28597" t="inlineStr">
        <is>
          <t>1978-03-11</t>
        </is>
      </c>
    </row>
    <row r="28598">
      <c r="A28598" s="1" t="n">
        <v>28597</v>
      </c>
      <c r="B28598">
        <f>TEXT(28597, "[$-0E0000]yyyy-mm-dd")</f>
        <v/>
      </c>
      <c r="C28598" t="inlineStr">
        <is>
          <t>1978-03-12</t>
        </is>
      </c>
    </row>
    <row r="28599">
      <c r="A28599" s="1" t="n">
        <v>28598</v>
      </c>
      <c r="B28599">
        <f>TEXT(28598, "[$-0E0000]yyyy-mm-dd")</f>
        <v/>
      </c>
      <c r="C28599" t="inlineStr">
        <is>
          <t>1978-03-13</t>
        </is>
      </c>
    </row>
    <row r="28600">
      <c r="A28600" s="1" t="n">
        <v>28599</v>
      </c>
      <c r="B28600">
        <f>TEXT(28599, "[$-0E0000]yyyy-mm-dd")</f>
        <v/>
      </c>
      <c r="C28600" t="inlineStr">
        <is>
          <t>1978-03-14</t>
        </is>
      </c>
    </row>
    <row r="28601">
      <c r="A28601" s="1" t="n">
        <v>28600</v>
      </c>
      <c r="B28601">
        <f>TEXT(28600, "[$-0E0000]yyyy-mm-dd")</f>
        <v/>
      </c>
      <c r="C28601" t="inlineStr">
        <is>
          <t>1978-03-15</t>
        </is>
      </c>
    </row>
    <row r="28602">
      <c r="A28602" s="1" t="n">
        <v>28601</v>
      </c>
      <c r="B28602">
        <f>TEXT(28601, "[$-0E0000]yyyy-mm-dd")</f>
        <v/>
      </c>
      <c r="C28602" t="inlineStr">
        <is>
          <t>1978-03-16</t>
        </is>
      </c>
    </row>
    <row r="28603">
      <c r="A28603" s="1" t="n">
        <v>28602</v>
      </c>
      <c r="B28603">
        <f>TEXT(28602, "[$-0E0000]yyyy-mm-dd")</f>
        <v/>
      </c>
      <c r="C28603" t="inlineStr">
        <is>
          <t>1978-03-17</t>
        </is>
      </c>
    </row>
    <row r="28604">
      <c r="A28604" s="1" t="n">
        <v>28603</v>
      </c>
      <c r="B28604">
        <f>TEXT(28603, "[$-0E0000]yyyy-mm-dd")</f>
        <v/>
      </c>
      <c r="C28604" t="inlineStr">
        <is>
          <t>1978-03-18</t>
        </is>
      </c>
    </row>
    <row r="28605">
      <c r="A28605" s="1" t="n">
        <v>28604</v>
      </c>
      <c r="B28605">
        <f>TEXT(28604, "[$-0E0000]yyyy-mm-dd")</f>
        <v/>
      </c>
      <c r="C28605" t="inlineStr">
        <is>
          <t>1978-03-19</t>
        </is>
      </c>
    </row>
    <row r="28606">
      <c r="A28606" s="1" t="n">
        <v>28605</v>
      </c>
      <c r="B28606">
        <f>TEXT(28605, "[$-0E0000]yyyy-mm-dd")</f>
        <v/>
      </c>
      <c r="C28606" t="inlineStr">
        <is>
          <t>1978-03-20</t>
        </is>
      </c>
    </row>
    <row r="28607">
      <c r="A28607" s="1" t="n">
        <v>28606</v>
      </c>
      <c r="B28607">
        <f>TEXT(28606, "[$-0E0000]yyyy-mm-dd")</f>
        <v/>
      </c>
      <c r="C28607" t="inlineStr">
        <is>
          <t>1978-03-21</t>
        </is>
      </c>
    </row>
    <row r="28608">
      <c r="A28608" s="1" t="n">
        <v>28607</v>
      </c>
      <c r="B28608">
        <f>TEXT(28607, "[$-0E0000]yyyy-mm-dd")</f>
        <v/>
      </c>
      <c r="C28608" t="inlineStr">
        <is>
          <t>1978-03-22</t>
        </is>
      </c>
    </row>
    <row r="28609">
      <c r="A28609" s="1" t="n">
        <v>28608</v>
      </c>
      <c r="B28609">
        <f>TEXT(28608, "[$-0E0000]yyyy-mm-dd")</f>
        <v/>
      </c>
      <c r="C28609" t="inlineStr">
        <is>
          <t>1978-03-23</t>
        </is>
      </c>
    </row>
    <row r="28610">
      <c r="A28610" s="1" t="n">
        <v>28609</v>
      </c>
      <c r="B28610">
        <f>TEXT(28609, "[$-0E0000]yyyy-mm-dd")</f>
        <v/>
      </c>
      <c r="C28610" t="inlineStr">
        <is>
          <t>1978-03-24</t>
        </is>
      </c>
    </row>
    <row r="28611">
      <c r="A28611" s="1" t="n">
        <v>28610</v>
      </c>
      <c r="B28611">
        <f>TEXT(28610, "[$-0E0000]yyyy-mm-dd")</f>
        <v/>
      </c>
      <c r="C28611" t="inlineStr">
        <is>
          <t>1978-03-25</t>
        </is>
      </c>
    </row>
    <row r="28612">
      <c r="A28612" s="1" t="n">
        <v>28611</v>
      </c>
      <c r="B28612">
        <f>TEXT(28611, "[$-0E0000]yyyy-mm-dd")</f>
        <v/>
      </c>
      <c r="C28612" t="inlineStr">
        <is>
          <t>1978-03-26</t>
        </is>
      </c>
    </row>
    <row r="28613">
      <c r="A28613" s="1" t="n">
        <v>28612</v>
      </c>
      <c r="B28613">
        <f>TEXT(28612, "[$-0E0000]yyyy-mm-dd")</f>
        <v/>
      </c>
      <c r="C28613" t="inlineStr">
        <is>
          <t>1978-03-27</t>
        </is>
      </c>
    </row>
    <row r="28614">
      <c r="A28614" s="1" t="n">
        <v>28613</v>
      </c>
      <c r="B28614">
        <f>TEXT(28613, "[$-0E0000]yyyy-mm-dd")</f>
        <v/>
      </c>
      <c r="C28614" t="inlineStr">
        <is>
          <t>1978-03-28</t>
        </is>
      </c>
    </row>
    <row r="28615">
      <c r="A28615" s="1" t="n">
        <v>28614</v>
      </c>
      <c r="B28615">
        <f>TEXT(28614, "[$-0E0000]yyyy-mm-dd")</f>
        <v/>
      </c>
      <c r="C28615" t="inlineStr">
        <is>
          <t>1978-03-29</t>
        </is>
      </c>
    </row>
    <row r="28616">
      <c r="A28616" s="1" t="n">
        <v>28615</v>
      </c>
      <c r="B28616">
        <f>TEXT(28615, "[$-0E0000]yyyy-mm-dd")</f>
        <v/>
      </c>
      <c r="C28616" t="inlineStr">
        <is>
          <t>1978-03-30</t>
        </is>
      </c>
    </row>
    <row r="28617">
      <c r="A28617" s="1" t="n">
        <v>28616</v>
      </c>
      <c r="B28617">
        <f>TEXT(28616, "[$-0E0000]yyyy-mm-dd")</f>
        <v/>
      </c>
      <c r="C28617" t="inlineStr">
        <is>
          <t>1978-04-01</t>
        </is>
      </c>
    </row>
    <row r="28618">
      <c r="A28618" s="1" t="n">
        <v>28617</v>
      </c>
      <c r="B28618">
        <f>TEXT(28617, "[$-0E0000]yyyy-mm-dd")</f>
        <v/>
      </c>
      <c r="C28618" t="inlineStr">
        <is>
          <t>1978-04-02</t>
        </is>
      </c>
    </row>
    <row r="28619">
      <c r="A28619" s="1" t="n">
        <v>28618</v>
      </c>
      <c r="B28619">
        <f>TEXT(28618, "[$-0E0000]yyyy-mm-dd")</f>
        <v/>
      </c>
      <c r="C28619" t="inlineStr">
        <is>
          <t>1978-04-03</t>
        </is>
      </c>
    </row>
    <row r="28620">
      <c r="A28620" s="1" t="n">
        <v>28619</v>
      </c>
      <c r="B28620">
        <f>TEXT(28619, "[$-0E0000]yyyy-mm-dd")</f>
        <v/>
      </c>
      <c r="C28620" t="inlineStr">
        <is>
          <t>1978-04-04</t>
        </is>
      </c>
    </row>
    <row r="28621">
      <c r="A28621" s="1" t="n">
        <v>28620</v>
      </c>
      <c r="B28621">
        <f>TEXT(28620, "[$-0E0000]yyyy-mm-dd")</f>
        <v/>
      </c>
      <c r="C28621" t="inlineStr">
        <is>
          <t>1978-04-05</t>
        </is>
      </c>
    </row>
    <row r="28622">
      <c r="A28622" s="1" t="n">
        <v>28621</v>
      </c>
      <c r="B28622">
        <f>TEXT(28621, "[$-0E0000]yyyy-mm-dd")</f>
        <v/>
      </c>
      <c r="C28622" t="inlineStr">
        <is>
          <t>1978-04-06</t>
        </is>
      </c>
    </row>
    <row r="28623">
      <c r="A28623" s="1" t="n">
        <v>28622</v>
      </c>
      <c r="B28623">
        <f>TEXT(28622, "[$-0E0000]yyyy-mm-dd")</f>
        <v/>
      </c>
      <c r="C28623" t="inlineStr">
        <is>
          <t>1978-04-07</t>
        </is>
      </c>
    </row>
    <row r="28624">
      <c r="A28624" s="1" t="n">
        <v>28623</v>
      </c>
      <c r="B28624">
        <f>TEXT(28623, "[$-0E0000]yyyy-mm-dd")</f>
        <v/>
      </c>
      <c r="C28624" t="inlineStr">
        <is>
          <t>1978-04-08</t>
        </is>
      </c>
    </row>
    <row r="28625">
      <c r="A28625" s="1" t="n">
        <v>28624</v>
      </c>
      <c r="B28625">
        <f>TEXT(28624, "[$-0E0000]yyyy-mm-dd")</f>
        <v/>
      </c>
      <c r="C28625" t="inlineStr">
        <is>
          <t>1978-04-09</t>
        </is>
      </c>
    </row>
    <row r="28626">
      <c r="A28626" s="1" t="n">
        <v>28625</v>
      </c>
      <c r="B28626">
        <f>TEXT(28625, "[$-0E0000]yyyy-mm-dd")</f>
        <v/>
      </c>
      <c r="C28626" t="inlineStr">
        <is>
          <t>1978-04-10</t>
        </is>
      </c>
    </row>
    <row r="28627">
      <c r="A28627" s="1" t="n">
        <v>28626</v>
      </c>
      <c r="B28627">
        <f>TEXT(28626, "[$-0E0000]yyyy-mm-dd")</f>
        <v/>
      </c>
      <c r="C28627" t="inlineStr">
        <is>
          <t>1978-04-11</t>
        </is>
      </c>
    </row>
    <row r="28628">
      <c r="A28628" s="1" t="n">
        <v>28627</v>
      </c>
      <c r="B28628">
        <f>TEXT(28627, "[$-0E0000]yyyy-mm-dd")</f>
        <v/>
      </c>
      <c r="C28628" t="inlineStr">
        <is>
          <t>1978-04-12</t>
        </is>
      </c>
    </row>
    <row r="28629">
      <c r="A28629" s="1" t="n">
        <v>28628</v>
      </c>
      <c r="B28629">
        <f>TEXT(28628, "[$-0E0000]yyyy-mm-dd")</f>
        <v/>
      </c>
      <c r="C28629" t="inlineStr">
        <is>
          <t>1978-04-13</t>
        </is>
      </c>
    </row>
    <row r="28630">
      <c r="A28630" s="1" t="n">
        <v>28629</v>
      </c>
      <c r="B28630">
        <f>TEXT(28629, "[$-0E0000]yyyy-mm-dd")</f>
        <v/>
      </c>
      <c r="C28630" t="inlineStr">
        <is>
          <t>1978-04-14</t>
        </is>
      </c>
    </row>
    <row r="28631">
      <c r="A28631" s="1" t="n">
        <v>28630</v>
      </c>
      <c r="B28631">
        <f>TEXT(28630, "[$-0E0000]yyyy-mm-dd")</f>
        <v/>
      </c>
      <c r="C28631" t="inlineStr">
        <is>
          <t>1978-04-15</t>
        </is>
      </c>
    </row>
    <row r="28632">
      <c r="A28632" s="1" t="n">
        <v>28631</v>
      </c>
      <c r="B28632">
        <f>TEXT(28631, "[$-0E0000]yyyy-mm-dd")</f>
        <v/>
      </c>
      <c r="C28632" t="inlineStr">
        <is>
          <t>1978-04-16</t>
        </is>
      </c>
    </row>
    <row r="28633">
      <c r="A28633" s="1" t="n">
        <v>28632</v>
      </c>
      <c r="B28633">
        <f>TEXT(28632, "[$-0E0000]yyyy-mm-dd")</f>
        <v/>
      </c>
      <c r="C28633" t="inlineStr">
        <is>
          <t>1978-04-17</t>
        </is>
      </c>
    </row>
    <row r="28634">
      <c r="A28634" s="1" t="n">
        <v>28633</v>
      </c>
      <c r="B28634">
        <f>TEXT(28633, "[$-0E0000]yyyy-mm-dd")</f>
        <v/>
      </c>
      <c r="C28634" t="inlineStr">
        <is>
          <t>1978-04-18</t>
        </is>
      </c>
    </row>
    <row r="28635">
      <c r="A28635" s="1" t="n">
        <v>28634</v>
      </c>
      <c r="B28635">
        <f>TEXT(28634, "[$-0E0000]yyyy-mm-dd")</f>
        <v/>
      </c>
      <c r="C28635" t="inlineStr">
        <is>
          <t>1978-04-19</t>
        </is>
      </c>
    </row>
    <row r="28636">
      <c r="A28636" s="1" t="n">
        <v>28635</v>
      </c>
      <c r="B28636">
        <f>TEXT(28635, "[$-0E0000]yyyy-mm-dd")</f>
        <v/>
      </c>
      <c r="C28636" t="inlineStr">
        <is>
          <t>1978-04-20</t>
        </is>
      </c>
    </row>
    <row r="28637">
      <c r="A28637" s="1" t="n">
        <v>28636</v>
      </c>
      <c r="B28637">
        <f>TEXT(28636, "[$-0E0000]yyyy-mm-dd")</f>
        <v/>
      </c>
      <c r="C28637" t="inlineStr">
        <is>
          <t>1978-04-21</t>
        </is>
      </c>
    </row>
    <row r="28638">
      <c r="A28638" s="1" t="n">
        <v>28637</v>
      </c>
      <c r="B28638">
        <f>TEXT(28637, "[$-0E0000]yyyy-mm-dd")</f>
        <v/>
      </c>
      <c r="C28638" t="inlineStr">
        <is>
          <t>1978-04-22</t>
        </is>
      </c>
    </row>
    <row r="28639">
      <c r="A28639" s="1" t="n">
        <v>28638</v>
      </c>
      <c r="B28639">
        <f>TEXT(28638, "[$-0E0000]yyyy-mm-dd")</f>
        <v/>
      </c>
      <c r="C28639" t="inlineStr">
        <is>
          <t>1978-04-23</t>
        </is>
      </c>
    </row>
    <row r="28640">
      <c r="A28640" s="1" t="n">
        <v>28639</v>
      </c>
      <c r="B28640">
        <f>TEXT(28639, "[$-0E0000]yyyy-mm-dd")</f>
        <v/>
      </c>
      <c r="C28640" t="inlineStr">
        <is>
          <t>1978-04-24</t>
        </is>
      </c>
    </row>
    <row r="28641">
      <c r="A28641" s="1" t="n">
        <v>28640</v>
      </c>
      <c r="B28641">
        <f>TEXT(28640, "[$-0E0000]yyyy-mm-dd")</f>
        <v/>
      </c>
      <c r="C28641" t="inlineStr">
        <is>
          <t>1978-04-25</t>
        </is>
      </c>
    </row>
    <row r="28642">
      <c r="A28642" s="1" t="n">
        <v>28641</v>
      </c>
      <c r="B28642">
        <f>TEXT(28641, "[$-0E0000]yyyy-mm-dd")</f>
        <v/>
      </c>
      <c r="C28642" t="inlineStr">
        <is>
          <t>1978-04-26</t>
        </is>
      </c>
    </row>
    <row r="28643">
      <c r="A28643" s="1" t="n">
        <v>28642</v>
      </c>
      <c r="B28643">
        <f>TEXT(28642, "[$-0E0000]yyyy-mm-dd")</f>
        <v/>
      </c>
      <c r="C28643" t="inlineStr">
        <is>
          <t>1978-04-27</t>
        </is>
      </c>
    </row>
    <row r="28644">
      <c r="A28644" s="1" t="n">
        <v>28643</v>
      </c>
      <c r="B28644">
        <f>TEXT(28643, "[$-0E0000]yyyy-mm-dd")</f>
        <v/>
      </c>
      <c r="C28644" t="inlineStr">
        <is>
          <t>1978-04-28</t>
        </is>
      </c>
    </row>
    <row r="28645">
      <c r="A28645" s="1" t="n">
        <v>28644</v>
      </c>
      <c r="B28645">
        <f>TEXT(28644, "[$-0E0000]yyyy-mm-dd")</f>
        <v/>
      </c>
      <c r="C28645" t="inlineStr">
        <is>
          <t>1978-04-29</t>
        </is>
      </c>
    </row>
    <row r="28646">
      <c r="A28646" s="1" t="n">
        <v>28645</v>
      </c>
      <c r="B28646">
        <f>TEXT(28645, "[$-0E0000]yyyy-mm-dd")</f>
        <v/>
      </c>
      <c r="C28646" t="inlineStr">
        <is>
          <t>1978-04-30</t>
        </is>
      </c>
    </row>
    <row r="28647">
      <c r="A28647" s="1" t="n">
        <v>28646</v>
      </c>
      <c r="B28647">
        <f>TEXT(28646, "[$-0E0000]yyyy-mm-dd")</f>
        <v/>
      </c>
      <c r="C28647" t="inlineStr">
        <is>
          <t>1978-05-01</t>
        </is>
      </c>
    </row>
    <row r="28648">
      <c r="A28648" s="1" t="n">
        <v>28647</v>
      </c>
      <c r="B28648">
        <f>TEXT(28647, "[$-0E0000]yyyy-mm-dd")</f>
        <v/>
      </c>
      <c r="C28648" t="inlineStr">
        <is>
          <t>1978-05-02</t>
        </is>
      </c>
    </row>
    <row r="28649">
      <c r="A28649" s="1" t="n">
        <v>28648</v>
      </c>
      <c r="B28649">
        <f>TEXT(28648, "[$-0E0000]yyyy-mm-dd")</f>
        <v/>
      </c>
      <c r="C28649" t="inlineStr">
        <is>
          <t>1978-05-03</t>
        </is>
      </c>
    </row>
    <row r="28650">
      <c r="A28650" s="1" t="n">
        <v>28649</v>
      </c>
      <c r="B28650">
        <f>TEXT(28649, "[$-0E0000]yyyy-mm-dd")</f>
        <v/>
      </c>
      <c r="C28650" t="inlineStr">
        <is>
          <t>1978-05-04</t>
        </is>
      </c>
    </row>
    <row r="28651">
      <c r="A28651" s="1" t="n">
        <v>28650</v>
      </c>
      <c r="B28651">
        <f>TEXT(28650, "[$-0E0000]yyyy-mm-dd")</f>
        <v/>
      </c>
      <c r="C28651" t="inlineStr">
        <is>
          <t>1978-05-05</t>
        </is>
      </c>
    </row>
    <row r="28652">
      <c r="A28652" s="1" t="n">
        <v>28651</v>
      </c>
      <c r="B28652">
        <f>TEXT(28651, "[$-0E0000]yyyy-mm-dd")</f>
        <v/>
      </c>
      <c r="C28652" t="inlineStr">
        <is>
          <t>1978-05-06</t>
        </is>
      </c>
    </row>
    <row r="28653">
      <c r="A28653" s="1" t="n">
        <v>28652</v>
      </c>
      <c r="B28653">
        <f>TEXT(28652, "[$-0E0000]yyyy-mm-dd")</f>
        <v/>
      </c>
      <c r="C28653" t="inlineStr">
        <is>
          <t>1978-05-07</t>
        </is>
      </c>
    </row>
    <row r="28654">
      <c r="A28654" s="1" t="n">
        <v>28653</v>
      </c>
      <c r="B28654">
        <f>TEXT(28653, "[$-0E0000]yyyy-mm-dd")</f>
        <v/>
      </c>
      <c r="C28654" t="inlineStr">
        <is>
          <t>1978-05-08</t>
        </is>
      </c>
    </row>
    <row r="28655">
      <c r="A28655" s="1" t="n">
        <v>28654</v>
      </c>
      <c r="B28655">
        <f>TEXT(28654, "[$-0E0000]yyyy-mm-dd")</f>
        <v/>
      </c>
      <c r="C28655" t="inlineStr">
        <is>
          <t>1978-05-09</t>
        </is>
      </c>
    </row>
    <row r="28656">
      <c r="A28656" s="1" t="n">
        <v>28655</v>
      </c>
      <c r="B28656">
        <f>TEXT(28655, "[$-0E0000]yyyy-mm-dd")</f>
        <v/>
      </c>
      <c r="C28656" t="inlineStr">
        <is>
          <t>1978-05-10</t>
        </is>
      </c>
    </row>
    <row r="28657">
      <c r="A28657" s="1" t="n">
        <v>28656</v>
      </c>
      <c r="B28657">
        <f>TEXT(28656, "[$-0E0000]yyyy-mm-dd")</f>
        <v/>
      </c>
      <c r="C28657" t="inlineStr">
        <is>
          <t>1978-05-11</t>
        </is>
      </c>
    </row>
    <row r="28658">
      <c r="A28658" s="1" t="n">
        <v>28657</v>
      </c>
      <c r="B28658">
        <f>TEXT(28657, "[$-0E0000]yyyy-mm-dd")</f>
        <v/>
      </c>
      <c r="C28658" t="inlineStr">
        <is>
          <t>1978-05-12</t>
        </is>
      </c>
    </row>
    <row r="28659">
      <c r="A28659" s="1" t="n">
        <v>28658</v>
      </c>
      <c r="B28659">
        <f>TEXT(28658, "[$-0E0000]yyyy-mm-dd")</f>
        <v/>
      </c>
      <c r="C28659" t="inlineStr">
        <is>
          <t>1978-05-13</t>
        </is>
      </c>
    </row>
    <row r="28660">
      <c r="A28660" s="1" t="n">
        <v>28659</v>
      </c>
      <c r="B28660">
        <f>TEXT(28659, "[$-0E0000]yyyy-mm-dd")</f>
        <v/>
      </c>
      <c r="C28660" t="inlineStr">
        <is>
          <t>1978-05-14</t>
        </is>
      </c>
    </row>
    <row r="28661">
      <c r="A28661" s="1" t="n">
        <v>28660</v>
      </c>
      <c r="B28661">
        <f>TEXT(28660, "[$-0E0000]yyyy-mm-dd")</f>
        <v/>
      </c>
      <c r="C28661" t="inlineStr">
        <is>
          <t>1978-05-15</t>
        </is>
      </c>
    </row>
    <row r="28662">
      <c r="A28662" s="1" t="n">
        <v>28661</v>
      </c>
      <c r="B28662">
        <f>TEXT(28661, "[$-0E0000]yyyy-mm-dd")</f>
        <v/>
      </c>
      <c r="C28662" t="inlineStr">
        <is>
          <t>1978-05-16</t>
        </is>
      </c>
    </row>
    <row r="28663">
      <c r="A28663" s="1" t="n">
        <v>28662</v>
      </c>
      <c r="B28663">
        <f>TEXT(28662, "[$-0E0000]yyyy-mm-dd")</f>
        <v/>
      </c>
      <c r="C28663" t="inlineStr">
        <is>
          <t>1978-05-17</t>
        </is>
      </c>
    </row>
    <row r="28664">
      <c r="A28664" s="1" t="n">
        <v>28663</v>
      </c>
      <c r="B28664">
        <f>TEXT(28663, "[$-0E0000]yyyy-mm-dd")</f>
        <v/>
      </c>
      <c r="C28664" t="inlineStr">
        <is>
          <t>1978-05-18</t>
        </is>
      </c>
    </row>
    <row r="28665">
      <c r="A28665" s="1" t="n">
        <v>28664</v>
      </c>
      <c r="B28665">
        <f>TEXT(28664, "[$-0E0000]yyyy-mm-dd")</f>
        <v/>
      </c>
      <c r="C28665" t="inlineStr">
        <is>
          <t>1978-05-19</t>
        </is>
      </c>
    </row>
    <row r="28666">
      <c r="A28666" s="1" t="n">
        <v>28665</v>
      </c>
      <c r="B28666">
        <f>TEXT(28665, "[$-0E0000]yyyy-mm-dd")</f>
        <v/>
      </c>
      <c r="C28666" t="inlineStr">
        <is>
          <t>1978-05-20</t>
        </is>
      </c>
    </row>
    <row r="28667">
      <c r="A28667" s="1" t="n">
        <v>28666</v>
      </c>
      <c r="B28667">
        <f>TEXT(28666, "[$-0E0000]yyyy-mm-dd")</f>
        <v/>
      </c>
      <c r="C28667" t="inlineStr">
        <is>
          <t>1978-05-21</t>
        </is>
      </c>
    </row>
    <row r="28668">
      <c r="A28668" s="1" t="n">
        <v>28667</v>
      </c>
      <c r="B28668">
        <f>TEXT(28667, "[$-0E0000]yyyy-mm-dd")</f>
        <v/>
      </c>
      <c r="C28668" t="inlineStr">
        <is>
          <t>1978-05-22</t>
        </is>
      </c>
    </row>
    <row r="28669">
      <c r="A28669" s="1" t="n">
        <v>28668</v>
      </c>
      <c r="B28669">
        <f>TEXT(28668, "[$-0E0000]yyyy-mm-dd")</f>
        <v/>
      </c>
      <c r="C28669" t="inlineStr">
        <is>
          <t>1978-05-23</t>
        </is>
      </c>
    </row>
    <row r="28670">
      <c r="A28670" s="1" t="n">
        <v>28669</v>
      </c>
      <c r="B28670">
        <f>TEXT(28669, "[$-0E0000]yyyy-mm-dd")</f>
        <v/>
      </c>
      <c r="C28670" t="inlineStr">
        <is>
          <t>1978-05-24</t>
        </is>
      </c>
    </row>
    <row r="28671">
      <c r="A28671" s="1" t="n">
        <v>28670</v>
      </c>
      <c r="B28671">
        <f>TEXT(28670, "[$-0E0000]yyyy-mm-dd")</f>
        <v/>
      </c>
      <c r="C28671" t="inlineStr">
        <is>
          <t>1978-05-25</t>
        </is>
      </c>
    </row>
    <row r="28672">
      <c r="A28672" s="1" t="n">
        <v>28671</v>
      </c>
      <c r="B28672">
        <f>TEXT(28671, "[$-0E0000]yyyy-mm-dd")</f>
        <v/>
      </c>
      <c r="C28672" t="inlineStr">
        <is>
          <t>1978-05-26</t>
        </is>
      </c>
    </row>
    <row r="28673">
      <c r="A28673" s="1" t="n">
        <v>28672</v>
      </c>
      <c r="B28673">
        <f>TEXT(28672, "[$-0E0000]yyyy-mm-dd")</f>
        <v/>
      </c>
      <c r="C28673" t="inlineStr">
        <is>
          <t>1978-05-27</t>
        </is>
      </c>
    </row>
    <row r="28674">
      <c r="A28674" s="1" t="n">
        <v>28673</v>
      </c>
      <c r="B28674">
        <f>TEXT(28673, "[$-0E0000]yyyy-mm-dd")</f>
        <v/>
      </c>
      <c r="C28674" t="inlineStr">
        <is>
          <t>1978-05-28</t>
        </is>
      </c>
    </row>
    <row r="28675">
      <c r="A28675" s="1" t="n">
        <v>28674</v>
      </c>
      <c r="B28675">
        <f>TEXT(28674, "[$-0E0000]yyyy-mm-dd")</f>
        <v/>
      </c>
      <c r="C28675" t="inlineStr">
        <is>
          <t>1978-05-29</t>
        </is>
      </c>
    </row>
    <row r="28676">
      <c r="A28676" s="1" t="n">
        <v>28675</v>
      </c>
      <c r="B28676">
        <f>TEXT(28675, "[$-0E0000]yyyy-mm-dd")</f>
        <v/>
      </c>
      <c r="C28676" t="inlineStr">
        <is>
          <t>1978-06-01</t>
        </is>
      </c>
    </row>
    <row r="28677">
      <c r="A28677" s="1" t="n">
        <v>28676</v>
      </c>
      <c r="B28677">
        <f>TEXT(28676, "[$-0E0000]yyyy-mm-dd")</f>
        <v/>
      </c>
      <c r="C28677" t="inlineStr">
        <is>
          <t>1978-06-02</t>
        </is>
      </c>
    </row>
    <row r="28678">
      <c r="A28678" s="1" t="n">
        <v>28677</v>
      </c>
      <c r="B28678">
        <f>TEXT(28677, "[$-0E0000]yyyy-mm-dd")</f>
        <v/>
      </c>
      <c r="C28678" t="inlineStr">
        <is>
          <t>1978-06-03</t>
        </is>
      </c>
    </row>
    <row r="28679">
      <c r="A28679" s="1" t="n">
        <v>28678</v>
      </c>
      <c r="B28679">
        <f>TEXT(28678, "[$-0E0000]yyyy-mm-dd")</f>
        <v/>
      </c>
      <c r="C28679" t="inlineStr">
        <is>
          <t>1978-06-04</t>
        </is>
      </c>
    </row>
    <row r="28680">
      <c r="A28680" s="1" t="n">
        <v>28679</v>
      </c>
      <c r="B28680">
        <f>TEXT(28679, "[$-0E0000]yyyy-mm-dd")</f>
        <v/>
      </c>
      <c r="C28680" t="inlineStr">
        <is>
          <t>1978-06-05</t>
        </is>
      </c>
    </row>
    <row r="28681">
      <c r="A28681" s="1" t="n">
        <v>28680</v>
      </c>
      <c r="B28681">
        <f>TEXT(28680, "[$-0E0000]yyyy-mm-dd")</f>
        <v/>
      </c>
      <c r="C28681" t="inlineStr">
        <is>
          <t>1978-06-06</t>
        </is>
      </c>
    </row>
    <row r="28682">
      <c r="A28682" s="1" t="n">
        <v>28681</v>
      </c>
      <c r="B28682">
        <f>TEXT(28681, "[$-0E0000]yyyy-mm-dd")</f>
        <v/>
      </c>
      <c r="C28682" t="inlineStr">
        <is>
          <t>1978-06-07</t>
        </is>
      </c>
    </row>
    <row r="28683">
      <c r="A28683" s="1" t="n">
        <v>28682</v>
      </c>
      <c r="B28683">
        <f>TEXT(28682, "[$-0E0000]yyyy-mm-dd")</f>
        <v/>
      </c>
      <c r="C28683" t="inlineStr">
        <is>
          <t>1978-06-08</t>
        </is>
      </c>
    </row>
    <row r="28684">
      <c r="A28684" s="1" t="n">
        <v>28683</v>
      </c>
      <c r="B28684">
        <f>TEXT(28683, "[$-0E0000]yyyy-mm-dd")</f>
        <v/>
      </c>
      <c r="C28684" t="inlineStr">
        <is>
          <t>1978-06-09</t>
        </is>
      </c>
    </row>
    <row r="28685">
      <c r="A28685" s="1" t="n">
        <v>28684</v>
      </c>
      <c r="B28685">
        <f>TEXT(28684, "[$-0E0000]yyyy-mm-dd")</f>
        <v/>
      </c>
      <c r="C28685" t="inlineStr">
        <is>
          <t>1978-06-10</t>
        </is>
      </c>
    </row>
    <row r="28686">
      <c r="A28686" s="1" t="n">
        <v>28685</v>
      </c>
      <c r="B28686">
        <f>TEXT(28685, "[$-0E0000]yyyy-mm-dd")</f>
        <v/>
      </c>
      <c r="C28686" t="inlineStr">
        <is>
          <t>1978-06-11</t>
        </is>
      </c>
    </row>
    <row r="28687">
      <c r="A28687" s="1" t="n">
        <v>28686</v>
      </c>
      <c r="B28687">
        <f>TEXT(28686, "[$-0E0000]yyyy-mm-dd")</f>
        <v/>
      </c>
      <c r="C28687" t="inlineStr">
        <is>
          <t>1978-06-12</t>
        </is>
      </c>
    </row>
    <row r="28688">
      <c r="A28688" s="1" t="n">
        <v>28687</v>
      </c>
      <c r="B28688">
        <f>TEXT(28687, "[$-0E0000]yyyy-mm-dd")</f>
        <v/>
      </c>
      <c r="C28688" t="inlineStr">
        <is>
          <t>1978-06-13</t>
        </is>
      </c>
    </row>
    <row r="28689">
      <c r="A28689" s="1" t="n">
        <v>28688</v>
      </c>
      <c r="B28689">
        <f>TEXT(28688, "[$-0E0000]yyyy-mm-dd")</f>
        <v/>
      </c>
      <c r="C28689" t="inlineStr">
        <is>
          <t>1978-06-14</t>
        </is>
      </c>
    </row>
    <row r="28690">
      <c r="A28690" s="1" t="n">
        <v>28689</v>
      </c>
      <c r="B28690">
        <f>TEXT(28689, "[$-0E0000]yyyy-mm-dd")</f>
        <v/>
      </c>
      <c r="C28690" t="inlineStr">
        <is>
          <t>1978-06-15</t>
        </is>
      </c>
    </row>
    <row r="28691">
      <c r="A28691" s="1" t="n">
        <v>28690</v>
      </c>
      <c r="B28691">
        <f>TEXT(28690, "[$-0E0000]yyyy-mm-dd")</f>
        <v/>
      </c>
      <c r="C28691" t="inlineStr">
        <is>
          <t>1978-06-16</t>
        </is>
      </c>
    </row>
    <row r="28692">
      <c r="A28692" s="1" t="n">
        <v>28691</v>
      </c>
      <c r="B28692">
        <f>TEXT(28691, "[$-0E0000]yyyy-mm-dd")</f>
        <v/>
      </c>
      <c r="C28692" t="inlineStr">
        <is>
          <t>1978-06-17</t>
        </is>
      </c>
    </row>
    <row r="28693">
      <c r="A28693" s="1" t="n">
        <v>28692</v>
      </c>
      <c r="B28693">
        <f>TEXT(28692, "[$-0E0000]yyyy-mm-dd")</f>
        <v/>
      </c>
      <c r="C28693" t="inlineStr">
        <is>
          <t>1978-06-18</t>
        </is>
      </c>
    </row>
    <row r="28694">
      <c r="A28694" s="1" t="n">
        <v>28693</v>
      </c>
      <c r="B28694">
        <f>TEXT(28693, "[$-0E0000]yyyy-mm-dd")</f>
        <v/>
      </c>
      <c r="C28694" t="inlineStr">
        <is>
          <t>1978-06-19</t>
        </is>
      </c>
    </row>
    <row r="28695">
      <c r="A28695" s="1" t="n">
        <v>28694</v>
      </c>
      <c r="B28695">
        <f>TEXT(28694, "[$-0E0000]yyyy-mm-dd")</f>
        <v/>
      </c>
      <c r="C28695" t="inlineStr">
        <is>
          <t>1978-06-20</t>
        </is>
      </c>
    </row>
    <row r="28696">
      <c r="A28696" s="1" t="n">
        <v>28695</v>
      </c>
      <c r="B28696">
        <f>TEXT(28695, "[$-0E0000]yyyy-mm-dd")</f>
        <v/>
      </c>
      <c r="C28696" t="inlineStr">
        <is>
          <t>1978-06-21</t>
        </is>
      </c>
    </row>
    <row r="28697">
      <c r="A28697" s="1" t="n">
        <v>28696</v>
      </c>
      <c r="B28697">
        <f>TEXT(28696, "[$-0E0000]yyyy-mm-dd")</f>
        <v/>
      </c>
      <c r="C28697" t="inlineStr">
        <is>
          <t>1978-06-22</t>
        </is>
      </c>
    </row>
    <row r="28698">
      <c r="A28698" s="1" t="n">
        <v>28697</v>
      </c>
      <c r="B28698">
        <f>TEXT(28697, "[$-0E0000]yyyy-mm-dd")</f>
        <v/>
      </c>
      <c r="C28698" t="inlineStr">
        <is>
          <t>1978-06-23</t>
        </is>
      </c>
    </row>
    <row r="28699">
      <c r="A28699" s="1" t="n">
        <v>28698</v>
      </c>
      <c r="B28699">
        <f>TEXT(28698, "[$-0E0000]yyyy-mm-dd")</f>
        <v/>
      </c>
      <c r="C28699" t="inlineStr">
        <is>
          <t>1978-06-24</t>
        </is>
      </c>
    </row>
    <row r="28700">
      <c r="A28700" s="1" t="n">
        <v>28699</v>
      </c>
      <c r="B28700">
        <f>TEXT(28699, "[$-0E0000]yyyy-mm-dd")</f>
        <v/>
      </c>
      <c r="C28700" t="inlineStr">
        <is>
          <t>1978-06-25</t>
        </is>
      </c>
    </row>
    <row r="28701">
      <c r="A28701" s="1" t="n">
        <v>28700</v>
      </c>
      <c r="B28701">
        <f>TEXT(28700, "[$-0E0000]yyyy-mm-dd")</f>
        <v/>
      </c>
      <c r="C28701" t="inlineStr">
        <is>
          <t>1978-06-26</t>
        </is>
      </c>
    </row>
    <row r="28702">
      <c r="A28702" s="1" t="n">
        <v>28701</v>
      </c>
      <c r="B28702">
        <f>TEXT(28701, "[$-0E0000]yyyy-mm-dd")</f>
        <v/>
      </c>
      <c r="C28702" t="inlineStr">
        <is>
          <t>1978-06-27</t>
        </is>
      </c>
    </row>
    <row r="28703">
      <c r="A28703" s="1" t="n">
        <v>28702</v>
      </c>
      <c r="B28703">
        <f>TEXT(28702, "[$-0E0000]yyyy-mm-dd")</f>
        <v/>
      </c>
      <c r="C28703" t="inlineStr">
        <is>
          <t>1978-06-28</t>
        </is>
      </c>
    </row>
    <row r="28704">
      <c r="A28704" s="1" t="n">
        <v>28703</v>
      </c>
      <c r="B28704">
        <f>TEXT(28703, "[$-0E0000]yyyy-mm-dd")</f>
        <v/>
      </c>
      <c r="C28704" t="inlineStr">
        <is>
          <t>1978-06-29</t>
        </is>
      </c>
    </row>
    <row r="28705">
      <c r="A28705" s="1" t="n">
        <v>28704</v>
      </c>
      <c r="B28705">
        <f>TEXT(28704, "[$-0E0000]yyyy-mm-dd")</f>
        <v/>
      </c>
      <c r="C28705" t="inlineStr">
        <is>
          <t>1978-06-30</t>
        </is>
      </c>
    </row>
    <row r="28706">
      <c r="A28706" s="1" t="n">
        <v>28705</v>
      </c>
      <c r="B28706">
        <f>TEXT(28705, "[$-0E0000]yyyy-mm-dd")</f>
        <v/>
      </c>
      <c r="C28706" t="inlineStr">
        <is>
          <t>1978-07-01</t>
        </is>
      </c>
    </row>
    <row r="28707">
      <c r="A28707" s="1" t="n">
        <v>28706</v>
      </c>
      <c r="B28707">
        <f>TEXT(28706, "[$-0E0000]yyyy-mm-dd")</f>
        <v/>
      </c>
      <c r="C28707" t="inlineStr">
        <is>
          <t>1978-07-02</t>
        </is>
      </c>
    </row>
    <row r="28708">
      <c r="A28708" s="1" t="n">
        <v>28707</v>
      </c>
      <c r="B28708">
        <f>TEXT(28707, "[$-0E0000]yyyy-mm-dd")</f>
        <v/>
      </c>
      <c r="C28708" t="inlineStr">
        <is>
          <t>1978-07-03</t>
        </is>
      </c>
    </row>
    <row r="28709">
      <c r="A28709" s="1" t="n">
        <v>28708</v>
      </c>
      <c r="B28709">
        <f>TEXT(28708, "[$-0E0000]yyyy-mm-dd")</f>
        <v/>
      </c>
      <c r="C28709" t="inlineStr">
        <is>
          <t>1978-07-04</t>
        </is>
      </c>
    </row>
    <row r="28710">
      <c r="A28710" s="1" t="n">
        <v>28709</v>
      </c>
      <c r="B28710">
        <f>TEXT(28709, "[$-0E0000]yyyy-mm-dd")</f>
        <v/>
      </c>
      <c r="C28710" t="inlineStr">
        <is>
          <t>1978-07-05</t>
        </is>
      </c>
    </row>
    <row r="28711">
      <c r="A28711" s="1" t="n">
        <v>28710</v>
      </c>
      <c r="B28711">
        <f>TEXT(28710, "[$-0E0000]yyyy-mm-dd")</f>
        <v/>
      </c>
      <c r="C28711" t="inlineStr">
        <is>
          <t>1978-07-06</t>
        </is>
      </c>
    </row>
    <row r="28712">
      <c r="A28712" s="1" t="n">
        <v>28711</v>
      </c>
      <c r="B28712">
        <f>TEXT(28711, "[$-0E0000]yyyy-mm-dd")</f>
        <v/>
      </c>
      <c r="C28712" t="inlineStr">
        <is>
          <t>1978-07-07</t>
        </is>
      </c>
    </row>
    <row r="28713">
      <c r="A28713" s="1" t="n">
        <v>28712</v>
      </c>
      <c r="B28713">
        <f>TEXT(28712, "[$-0E0000]yyyy-mm-dd")</f>
        <v/>
      </c>
      <c r="C28713" t="inlineStr">
        <is>
          <t>1978-07-08</t>
        </is>
      </c>
    </row>
    <row r="28714">
      <c r="A28714" s="1" t="n">
        <v>28713</v>
      </c>
      <c r="B28714">
        <f>TEXT(28713, "[$-0E0000]yyyy-mm-dd")</f>
        <v/>
      </c>
      <c r="C28714" t="inlineStr">
        <is>
          <t>1978-07-09</t>
        </is>
      </c>
    </row>
    <row r="28715">
      <c r="A28715" s="1" t="n">
        <v>28714</v>
      </c>
      <c r="B28715">
        <f>TEXT(28714, "[$-0E0000]yyyy-mm-dd")</f>
        <v/>
      </c>
      <c r="C28715" t="inlineStr">
        <is>
          <t>1978-07-10</t>
        </is>
      </c>
    </row>
    <row r="28716">
      <c r="A28716" s="1" t="n">
        <v>28715</v>
      </c>
      <c r="B28716">
        <f>TEXT(28715, "[$-0E0000]yyyy-mm-dd")</f>
        <v/>
      </c>
      <c r="C28716" t="inlineStr">
        <is>
          <t>1978-07-11</t>
        </is>
      </c>
    </row>
    <row r="28717">
      <c r="A28717" s="1" t="n">
        <v>28716</v>
      </c>
      <c r="B28717">
        <f>TEXT(28716, "[$-0E0000]yyyy-mm-dd")</f>
        <v/>
      </c>
      <c r="C28717" t="inlineStr">
        <is>
          <t>1978-07-12</t>
        </is>
      </c>
    </row>
    <row r="28718">
      <c r="A28718" s="1" t="n">
        <v>28717</v>
      </c>
      <c r="B28718">
        <f>TEXT(28717, "[$-0E0000]yyyy-mm-dd")</f>
        <v/>
      </c>
      <c r="C28718" t="inlineStr">
        <is>
          <t>1978-07-13</t>
        </is>
      </c>
    </row>
    <row r="28719">
      <c r="A28719" s="1" t="n">
        <v>28718</v>
      </c>
      <c r="B28719">
        <f>TEXT(28718, "[$-0E0000]yyyy-mm-dd")</f>
        <v/>
      </c>
      <c r="C28719" t="inlineStr">
        <is>
          <t>1978-07-14</t>
        </is>
      </c>
    </row>
    <row r="28720">
      <c r="A28720" s="1" t="n">
        <v>28719</v>
      </c>
      <c r="B28720">
        <f>TEXT(28719, "[$-0E0000]yyyy-mm-dd")</f>
        <v/>
      </c>
      <c r="C28720" t="inlineStr">
        <is>
          <t>1978-07-15</t>
        </is>
      </c>
    </row>
    <row r="28721">
      <c r="A28721" s="1" t="n">
        <v>28720</v>
      </c>
      <c r="B28721">
        <f>TEXT(28720, "[$-0E0000]yyyy-mm-dd")</f>
        <v/>
      </c>
      <c r="C28721" t="inlineStr">
        <is>
          <t>1978-07-16</t>
        </is>
      </c>
    </row>
    <row r="28722">
      <c r="A28722" s="1" t="n">
        <v>28721</v>
      </c>
      <c r="B28722">
        <f>TEXT(28721, "[$-0E0000]yyyy-mm-dd")</f>
        <v/>
      </c>
      <c r="C28722" t="inlineStr">
        <is>
          <t>1978-07-17</t>
        </is>
      </c>
    </row>
    <row r="28723">
      <c r="A28723" s="1" t="n">
        <v>28722</v>
      </c>
      <c r="B28723">
        <f>TEXT(28722, "[$-0E0000]yyyy-mm-dd")</f>
        <v/>
      </c>
      <c r="C28723" t="inlineStr">
        <is>
          <t>1978-07-18</t>
        </is>
      </c>
    </row>
    <row r="28724">
      <c r="A28724" s="1" t="n">
        <v>28723</v>
      </c>
      <c r="B28724">
        <f>TEXT(28723, "[$-0E0000]yyyy-mm-dd")</f>
        <v/>
      </c>
      <c r="C28724" t="inlineStr">
        <is>
          <t>1978-07-19</t>
        </is>
      </c>
    </row>
    <row r="28725">
      <c r="A28725" s="1" t="n">
        <v>28724</v>
      </c>
      <c r="B28725">
        <f>TEXT(28724, "[$-0E0000]yyyy-mm-dd")</f>
        <v/>
      </c>
      <c r="C28725" t="inlineStr">
        <is>
          <t>1978-07-20</t>
        </is>
      </c>
    </row>
    <row r="28726">
      <c r="A28726" s="1" t="n">
        <v>28725</v>
      </c>
      <c r="B28726">
        <f>TEXT(28725, "[$-0E0000]yyyy-mm-dd")</f>
        <v/>
      </c>
      <c r="C28726" t="inlineStr">
        <is>
          <t>1978-07-21</t>
        </is>
      </c>
    </row>
    <row r="28727">
      <c r="A28727" s="1" t="n">
        <v>28726</v>
      </c>
      <c r="B28727">
        <f>TEXT(28726, "[$-0E0000]yyyy-mm-dd")</f>
        <v/>
      </c>
      <c r="C28727" t="inlineStr">
        <is>
          <t>1978-07-22</t>
        </is>
      </c>
    </row>
    <row r="28728">
      <c r="A28728" s="1" t="n">
        <v>28727</v>
      </c>
      <c r="B28728">
        <f>TEXT(28727, "[$-0E0000]yyyy-mm-dd")</f>
        <v/>
      </c>
      <c r="C28728" t="inlineStr">
        <is>
          <t>1978-07-23</t>
        </is>
      </c>
    </row>
    <row r="28729">
      <c r="A28729" s="1" t="n">
        <v>28728</v>
      </c>
      <c r="B28729">
        <f>TEXT(28728, "[$-0E0000]yyyy-mm-dd")</f>
        <v/>
      </c>
      <c r="C28729" t="inlineStr">
        <is>
          <t>1978-07-24</t>
        </is>
      </c>
    </row>
    <row r="28730">
      <c r="A28730" s="1" t="n">
        <v>28729</v>
      </c>
      <c r="B28730">
        <f>TEXT(28729, "[$-0E0000]yyyy-mm-dd")</f>
        <v/>
      </c>
      <c r="C28730" t="inlineStr">
        <is>
          <t>1978-07-25</t>
        </is>
      </c>
    </row>
    <row r="28731">
      <c r="A28731" s="1" t="n">
        <v>28730</v>
      </c>
      <c r="B28731">
        <f>TEXT(28730, "[$-0E0000]yyyy-mm-dd")</f>
        <v/>
      </c>
      <c r="C28731" t="inlineStr">
        <is>
          <t>1978-07-26</t>
        </is>
      </c>
    </row>
    <row r="28732">
      <c r="A28732" s="1" t="n">
        <v>28731</v>
      </c>
      <c r="B28732">
        <f>TEXT(28731, "[$-0E0000]yyyy-mm-dd")</f>
        <v/>
      </c>
      <c r="C28732" t="inlineStr">
        <is>
          <t>1978-07-27</t>
        </is>
      </c>
    </row>
    <row r="28733">
      <c r="A28733" s="1" t="n">
        <v>28732</v>
      </c>
      <c r="B28733">
        <f>TEXT(28732, "[$-0E0000]yyyy-mm-dd")</f>
        <v/>
      </c>
      <c r="C28733" t="inlineStr">
        <is>
          <t>1978-07-28</t>
        </is>
      </c>
    </row>
    <row r="28734">
      <c r="A28734" s="1" t="n">
        <v>28733</v>
      </c>
      <c r="B28734">
        <f>TEXT(28733, "[$-0E0000]yyyy-mm-dd")</f>
        <v/>
      </c>
      <c r="C28734" t="inlineStr">
        <is>
          <t>1978-07-29</t>
        </is>
      </c>
    </row>
    <row r="28735">
      <c r="A28735" s="1" t="n">
        <v>28734</v>
      </c>
      <c r="B28735">
        <f>TEXT(28734, "[$-0E0000]yyyy-mm-dd")</f>
        <v/>
      </c>
      <c r="C28735" t="inlineStr">
        <is>
          <t>1978-07-30</t>
        </is>
      </c>
    </row>
    <row r="28736">
      <c r="A28736" s="1" t="n">
        <v>28735</v>
      </c>
      <c r="B28736">
        <f>TEXT(28735, "[$-0E0000]yyyy-mm-dd")</f>
        <v/>
      </c>
      <c r="C28736" t="inlineStr">
        <is>
          <t>1978-08-01</t>
        </is>
      </c>
    </row>
    <row r="28737">
      <c r="A28737" s="1" t="n">
        <v>28736</v>
      </c>
      <c r="B28737">
        <f>TEXT(28736, "[$-0E0000]yyyy-mm-dd")</f>
        <v/>
      </c>
      <c r="C28737" t="inlineStr">
        <is>
          <t>1978-08-02</t>
        </is>
      </c>
    </row>
    <row r="28738">
      <c r="A28738" s="1" t="n">
        <v>28737</v>
      </c>
      <c r="B28738">
        <f>TEXT(28737, "[$-0E0000]yyyy-mm-dd")</f>
        <v/>
      </c>
      <c r="C28738" t="inlineStr">
        <is>
          <t>1978-08-03</t>
        </is>
      </c>
    </row>
    <row r="28739">
      <c r="A28739" s="1" t="n">
        <v>28738</v>
      </c>
      <c r="B28739">
        <f>TEXT(28738, "[$-0E0000]yyyy-mm-dd")</f>
        <v/>
      </c>
      <c r="C28739" t="inlineStr">
        <is>
          <t>1978-08-04</t>
        </is>
      </c>
    </row>
    <row r="28740">
      <c r="A28740" s="1" t="n">
        <v>28739</v>
      </c>
      <c r="B28740">
        <f>TEXT(28739, "[$-0E0000]yyyy-mm-dd")</f>
        <v/>
      </c>
      <c r="C28740" t="inlineStr">
        <is>
          <t>1978-08-05</t>
        </is>
      </c>
    </row>
    <row r="28741">
      <c r="A28741" s="1" t="n">
        <v>28740</v>
      </c>
      <c r="B28741">
        <f>TEXT(28740, "[$-0E0000]yyyy-mm-dd")</f>
        <v/>
      </c>
      <c r="C28741" t="inlineStr">
        <is>
          <t>1978-08-06</t>
        </is>
      </c>
    </row>
    <row r="28742">
      <c r="A28742" s="1" t="n">
        <v>28741</v>
      </c>
      <c r="B28742">
        <f>TEXT(28741, "[$-0E0000]yyyy-mm-dd")</f>
        <v/>
      </c>
      <c r="C28742" t="inlineStr">
        <is>
          <t>1978-08-07</t>
        </is>
      </c>
    </row>
    <row r="28743">
      <c r="A28743" s="1" t="n">
        <v>28742</v>
      </c>
      <c r="B28743">
        <f>TEXT(28742, "[$-0E0000]yyyy-mm-dd")</f>
        <v/>
      </c>
      <c r="C28743" t="inlineStr">
        <is>
          <t>1978-08-08</t>
        </is>
      </c>
    </row>
    <row r="28744">
      <c r="A28744" s="1" t="n">
        <v>28743</v>
      </c>
      <c r="B28744">
        <f>TEXT(28743, "[$-0E0000]yyyy-mm-dd")</f>
        <v/>
      </c>
      <c r="C28744" t="inlineStr">
        <is>
          <t>1978-08-09</t>
        </is>
      </c>
    </row>
    <row r="28745">
      <c r="A28745" s="1" t="n">
        <v>28744</v>
      </c>
      <c r="B28745">
        <f>TEXT(28744, "[$-0E0000]yyyy-mm-dd")</f>
        <v/>
      </c>
      <c r="C28745" t="inlineStr">
        <is>
          <t>1978-08-10</t>
        </is>
      </c>
    </row>
    <row r="28746">
      <c r="A28746" s="1" t="n">
        <v>28745</v>
      </c>
      <c r="B28746">
        <f>TEXT(28745, "[$-0E0000]yyyy-mm-dd")</f>
        <v/>
      </c>
      <c r="C28746" t="inlineStr">
        <is>
          <t>1978-08-11</t>
        </is>
      </c>
    </row>
    <row r="28747">
      <c r="A28747" s="1" t="n">
        <v>28746</v>
      </c>
      <c r="B28747">
        <f>TEXT(28746, "[$-0E0000]yyyy-mm-dd")</f>
        <v/>
      </c>
      <c r="C28747" t="inlineStr">
        <is>
          <t>1978-08-12</t>
        </is>
      </c>
    </row>
    <row r="28748">
      <c r="A28748" s="1" t="n">
        <v>28747</v>
      </c>
      <c r="B28748">
        <f>TEXT(28747, "[$-0E0000]yyyy-mm-dd")</f>
        <v/>
      </c>
      <c r="C28748" t="inlineStr">
        <is>
          <t>1978-08-13</t>
        </is>
      </c>
    </row>
    <row r="28749">
      <c r="A28749" s="1" t="n">
        <v>28748</v>
      </c>
      <c r="B28749">
        <f>TEXT(28748, "[$-0E0000]yyyy-mm-dd")</f>
        <v/>
      </c>
      <c r="C28749" t="inlineStr">
        <is>
          <t>1978-08-14</t>
        </is>
      </c>
    </row>
    <row r="28750">
      <c r="A28750" s="1" t="n">
        <v>28749</v>
      </c>
      <c r="B28750">
        <f>TEXT(28749, "[$-0E0000]yyyy-mm-dd")</f>
        <v/>
      </c>
      <c r="C28750" t="inlineStr">
        <is>
          <t>1978-08-15</t>
        </is>
      </c>
    </row>
    <row r="28751">
      <c r="A28751" s="1" t="n">
        <v>28750</v>
      </c>
      <c r="B28751">
        <f>TEXT(28750, "[$-0E0000]yyyy-mm-dd")</f>
        <v/>
      </c>
      <c r="C28751" t="inlineStr">
        <is>
          <t>1978-08-16</t>
        </is>
      </c>
    </row>
    <row r="28752">
      <c r="A28752" s="1" t="n">
        <v>28751</v>
      </c>
      <c r="B28752">
        <f>TEXT(28751, "[$-0E0000]yyyy-mm-dd")</f>
        <v/>
      </c>
      <c r="C28752" t="inlineStr">
        <is>
          <t>1978-08-17</t>
        </is>
      </c>
    </row>
    <row r="28753">
      <c r="A28753" s="1" t="n">
        <v>28752</v>
      </c>
      <c r="B28753">
        <f>TEXT(28752, "[$-0E0000]yyyy-mm-dd")</f>
        <v/>
      </c>
      <c r="C28753" t="inlineStr">
        <is>
          <t>1978-08-18</t>
        </is>
      </c>
    </row>
    <row r="28754">
      <c r="A28754" s="1" t="n">
        <v>28753</v>
      </c>
      <c r="B28754">
        <f>TEXT(28753, "[$-0E0000]yyyy-mm-dd")</f>
        <v/>
      </c>
      <c r="C28754" t="inlineStr">
        <is>
          <t>1978-08-19</t>
        </is>
      </c>
    </row>
    <row r="28755">
      <c r="A28755" s="1" t="n">
        <v>28754</v>
      </c>
      <c r="B28755">
        <f>TEXT(28754, "[$-0E0000]yyyy-mm-dd")</f>
        <v/>
      </c>
      <c r="C28755" t="inlineStr">
        <is>
          <t>1978-08-20</t>
        </is>
      </c>
    </row>
    <row r="28756">
      <c r="A28756" s="1" t="n">
        <v>28755</v>
      </c>
      <c r="B28756">
        <f>TEXT(28755, "[$-0E0000]yyyy-mm-dd")</f>
        <v/>
      </c>
      <c r="C28756" t="inlineStr">
        <is>
          <t>1978-08-21</t>
        </is>
      </c>
    </row>
    <row r="28757">
      <c r="A28757" s="1" t="n">
        <v>28756</v>
      </c>
      <c r="B28757">
        <f>TEXT(28756, "[$-0E0000]yyyy-mm-dd")</f>
        <v/>
      </c>
      <c r="C28757" t="inlineStr">
        <is>
          <t>1978-08-22</t>
        </is>
      </c>
    </row>
    <row r="28758">
      <c r="A28758" s="1" t="n">
        <v>28757</v>
      </c>
      <c r="B28758">
        <f>TEXT(28757, "[$-0E0000]yyyy-mm-dd")</f>
        <v/>
      </c>
      <c r="C28758" t="inlineStr">
        <is>
          <t>1978-08-23</t>
        </is>
      </c>
    </row>
    <row r="28759">
      <c r="A28759" s="1" t="n">
        <v>28758</v>
      </c>
      <c r="B28759">
        <f>TEXT(28758, "[$-0E0000]yyyy-mm-dd")</f>
        <v/>
      </c>
      <c r="C28759" t="inlineStr">
        <is>
          <t>1978-08-24</t>
        </is>
      </c>
    </row>
    <row r="28760">
      <c r="A28760" s="1" t="n">
        <v>28759</v>
      </c>
      <c r="B28760">
        <f>TEXT(28759, "[$-0E0000]yyyy-mm-dd")</f>
        <v/>
      </c>
      <c r="C28760" t="inlineStr">
        <is>
          <t>1978-08-25</t>
        </is>
      </c>
    </row>
    <row r="28761">
      <c r="A28761" s="1" t="n">
        <v>28760</v>
      </c>
      <c r="B28761">
        <f>TEXT(28760, "[$-0E0000]yyyy-mm-dd")</f>
        <v/>
      </c>
      <c r="C28761" t="inlineStr">
        <is>
          <t>1978-08-26</t>
        </is>
      </c>
    </row>
    <row r="28762">
      <c r="A28762" s="1" t="n">
        <v>28761</v>
      </c>
      <c r="B28762">
        <f>TEXT(28761, "[$-0E0000]yyyy-mm-dd")</f>
        <v/>
      </c>
      <c r="C28762" t="inlineStr">
        <is>
          <t>1978-08-27</t>
        </is>
      </c>
    </row>
    <row r="28763">
      <c r="A28763" s="1" t="n">
        <v>28762</v>
      </c>
      <c r="B28763">
        <f>TEXT(28762, "[$-0E0000]yyyy-mm-dd")</f>
        <v/>
      </c>
      <c r="C28763" t="inlineStr">
        <is>
          <t>1978-08-28</t>
        </is>
      </c>
    </row>
    <row r="28764">
      <c r="A28764" s="1" t="n">
        <v>28763</v>
      </c>
      <c r="B28764">
        <f>TEXT(28763, "[$-0E0000]yyyy-mm-dd")</f>
        <v/>
      </c>
      <c r="C28764" t="inlineStr">
        <is>
          <t>1978-08-29</t>
        </is>
      </c>
    </row>
    <row r="28765">
      <c r="A28765" s="1" t="n">
        <v>28764</v>
      </c>
      <c r="B28765">
        <f>TEXT(28764, "[$-0E0000]yyyy-mm-dd")</f>
        <v/>
      </c>
      <c r="C28765" t="inlineStr">
        <is>
          <t>1978-09-01</t>
        </is>
      </c>
    </row>
    <row r="28766">
      <c r="A28766" s="1" t="n">
        <v>28765</v>
      </c>
      <c r="B28766">
        <f>TEXT(28765, "[$-0E0000]yyyy-mm-dd")</f>
        <v/>
      </c>
      <c r="C28766" t="inlineStr">
        <is>
          <t>1978-09-02</t>
        </is>
      </c>
    </row>
    <row r="28767">
      <c r="A28767" s="1" t="n">
        <v>28766</v>
      </c>
      <c r="B28767">
        <f>TEXT(28766, "[$-0E0000]yyyy-mm-dd")</f>
        <v/>
      </c>
      <c r="C28767" t="inlineStr">
        <is>
          <t>1978-09-03</t>
        </is>
      </c>
    </row>
    <row r="28768">
      <c r="A28768" s="1" t="n">
        <v>28767</v>
      </c>
      <c r="B28768">
        <f>TEXT(28767, "[$-0E0000]yyyy-mm-dd")</f>
        <v/>
      </c>
      <c r="C28768" t="inlineStr">
        <is>
          <t>1978-09-04</t>
        </is>
      </c>
    </row>
    <row r="28769">
      <c r="A28769" s="1" t="n">
        <v>28768</v>
      </c>
      <c r="B28769">
        <f>TEXT(28768, "[$-0E0000]yyyy-mm-dd")</f>
        <v/>
      </c>
      <c r="C28769" t="inlineStr">
        <is>
          <t>1978-09-05</t>
        </is>
      </c>
    </row>
    <row r="28770">
      <c r="A28770" s="1" t="n">
        <v>28769</v>
      </c>
      <c r="B28770">
        <f>TEXT(28769, "[$-0E0000]yyyy-mm-dd")</f>
        <v/>
      </c>
      <c r="C28770" t="inlineStr">
        <is>
          <t>1978-09-06</t>
        </is>
      </c>
    </row>
    <row r="28771">
      <c r="A28771" s="1" t="n">
        <v>28770</v>
      </c>
      <c r="B28771">
        <f>TEXT(28770, "[$-0E0000]yyyy-mm-dd")</f>
        <v/>
      </c>
      <c r="C28771" t="inlineStr">
        <is>
          <t>1978-09-07</t>
        </is>
      </c>
    </row>
    <row r="28772">
      <c r="A28772" s="1" t="n">
        <v>28771</v>
      </c>
      <c r="B28772">
        <f>TEXT(28771, "[$-0E0000]yyyy-mm-dd")</f>
        <v/>
      </c>
      <c r="C28772" t="inlineStr">
        <is>
          <t>1978-09-08</t>
        </is>
      </c>
    </row>
    <row r="28773">
      <c r="A28773" s="1" t="n">
        <v>28772</v>
      </c>
      <c r="B28773">
        <f>TEXT(28772, "[$-0E0000]yyyy-mm-dd")</f>
        <v/>
      </c>
      <c r="C28773" t="inlineStr">
        <is>
          <t>1978-09-09</t>
        </is>
      </c>
    </row>
    <row r="28774">
      <c r="A28774" s="1" t="n">
        <v>28773</v>
      </c>
      <c r="B28774">
        <f>TEXT(28773, "[$-0E0000]yyyy-mm-dd")</f>
        <v/>
      </c>
      <c r="C28774" t="inlineStr">
        <is>
          <t>1978-09-10</t>
        </is>
      </c>
    </row>
    <row r="28775">
      <c r="A28775" s="1" t="n">
        <v>28774</v>
      </c>
      <c r="B28775">
        <f>TEXT(28774, "[$-0E0000]yyyy-mm-dd")</f>
        <v/>
      </c>
      <c r="C28775" t="inlineStr">
        <is>
          <t>1978-09-11</t>
        </is>
      </c>
    </row>
    <row r="28776">
      <c r="A28776" s="1" t="n">
        <v>28775</v>
      </c>
      <c r="B28776">
        <f>TEXT(28775, "[$-0E0000]yyyy-mm-dd")</f>
        <v/>
      </c>
      <c r="C28776" t="inlineStr">
        <is>
          <t>1978-09-12</t>
        </is>
      </c>
    </row>
    <row r="28777">
      <c r="A28777" s="1" t="n">
        <v>28776</v>
      </c>
      <c r="B28777">
        <f>TEXT(28776, "[$-0E0000]yyyy-mm-dd")</f>
        <v/>
      </c>
      <c r="C28777" t="inlineStr">
        <is>
          <t>1978-09-13</t>
        </is>
      </c>
    </row>
    <row r="28778">
      <c r="A28778" s="1" t="n">
        <v>28777</v>
      </c>
      <c r="B28778">
        <f>TEXT(28777, "[$-0E0000]yyyy-mm-dd")</f>
        <v/>
      </c>
      <c r="C28778" t="inlineStr">
        <is>
          <t>1978-09-14</t>
        </is>
      </c>
    </row>
    <row r="28779">
      <c r="A28779" s="1" t="n">
        <v>28778</v>
      </c>
      <c r="B28779">
        <f>TEXT(28778, "[$-0E0000]yyyy-mm-dd")</f>
        <v/>
      </c>
      <c r="C28779" t="inlineStr">
        <is>
          <t>1978-09-15</t>
        </is>
      </c>
    </row>
    <row r="28780">
      <c r="A28780" s="1" t="n">
        <v>28779</v>
      </c>
      <c r="B28780">
        <f>TEXT(28779, "[$-0E0000]yyyy-mm-dd")</f>
        <v/>
      </c>
      <c r="C28780" t="inlineStr">
        <is>
          <t>1978-09-16</t>
        </is>
      </c>
    </row>
    <row r="28781">
      <c r="A28781" s="1" t="n">
        <v>28780</v>
      </c>
      <c r="B28781">
        <f>TEXT(28780, "[$-0E0000]yyyy-mm-dd")</f>
        <v/>
      </c>
      <c r="C28781" t="inlineStr">
        <is>
          <t>1978-09-17</t>
        </is>
      </c>
    </row>
    <row r="28782">
      <c r="A28782" s="1" t="n">
        <v>28781</v>
      </c>
      <c r="B28782">
        <f>TEXT(28781, "[$-0E0000]yyyy-mm-dd")</f>
        <v/>
      </c>
      <c r="C28782" t="inlineStr">
        <is>
          <t>1978-09-18</t>
        </is>
      </c>
    </row>
    <row r="28783">
      <c r="A28783" s="1" t="n">
        <v>28782</v>
      </c>
      <c r="B28783">
        <f>TEXT(28782, "[$-0E0000]yyyy-mm-dd")</f>
        <v/>
      </c>
      <c r="C28783" t="inlineStr">
        <is>
          <t>1978-09-19</t>
        </is>
      </c>
    </row>
    <row r="28784">
      <c r="A28784" s="1" t="n">
        <v>28783</v>
      </c>
      <c r="B28784">
        <f>TEXT(28783, "[$-0E0000]yyyy-mm-dd")</f>
        <v/>
      </c>
      <c r="C28784" t="inlineStr">
        <is>
          <t>1978-09-20</t>
        </is>
      </c>
    </row>
    <row r="28785">
      <c r="A28785" s="1" t="n">
        <v>28784</v>
      </c>
      <c r="B28785">
        <f>TEXT(28784, "[$-0E0000]yyyy-mm-dd")</f>
        <v/>
      </c>
      <c r="C28785" t="inlineStr">
        <is>
          <t>1978-09-21</t>
        </is>
      </c>
    </row>
    <row r="28786">
      <c r="A28786" s="1" t="n">
        <v>28785</v>
      </c>
      <c r="B28786">
        <f>TEXT(28785, "[$-0E0000]yyyy-mm-dd")</f>
        <v/>
      </c>
      <c r="C28786" t="inlineStr">
        <is>
          <t>1978-09-22</t>
        </is>
      </c>
    </row>
    <row r="28787">
      <c r="A28787" s="1" t="n">
        <v>28786</v>
      </c>
      <c r="B28787">
        <f>TEXT(28786, "[$-0E0000]yyyy-mm-dd")</f>
        <v/>
      </c>
      <c r="C28787" t="inlineStr">
        <is>
          <t>1978-09-23</t>
        </is>
      </c>
    </row>
    <row r="28788">
      <c r="A28788" s="1" t="n">
        <v>28787</v>
      </c>
      <c r="B28788">
        <f>TEXT(28787, "[$-0E0000]yyyy-mm-dd")</f>
        <v/>
      </c>
      <c r="C28788" t="inlineStr">
        <is>
          <t>1978-09-24</t>
        </is>
      </c>
    </row>
    <row r="28789">
      <c r="A28789" s="1" t="n">
        <v>28788</v>
      </c>
      <c r="B28789">
        <f>TEXT(28788, "[$-0E0000]yyyy-mm-dd")</f>
        <v/>
      </c>
      <c r="C28789" t="inlineStr">
        <is>
          <t>1978-09-25</t>
        </is>
      </c>
    </row>
    <row r="28790">
      <c r="A28790" s="1" t="n">
        <v>28789</v>
      </c>
      <c r="B28790">
        <f>TEXT(28789, "[$-0E0000]yyyy-mm-dd")</f>
        <v/>
      </c>
      <c r="C28790" t="inlineStr">
        <is>
          <t>1978-09-26</t>
        </is>
      </c>
    </row>
    <row r="28791">
      <c r="A28791" s="1" t="n">
        <v>28790</v>
      </c>
      <c r="B28791">
        <f>TEXT(28790, "[$-0E0000]yyyy-mm-dd")</f>
        <v/>
      </c>
      <c r="C28791" t="inlineStr">
        <is>
          <t>1978-09-27</t>
        </is>
      </c>
    </row>
    <row r="28792">
      <c r="A28792" s="1" t="n">
        <v>28791</v>
      </c>
      <c r="B28792">
        <f>TEXT(28791, "[$-0E0000]yyyy-mm-dd")</f>
        <v/>
      </c>
      <c r="C28792" t="inlineStr">
        <is>
          <t>1978-09-28</t>
        </is>
      </c>
    </row>
    <row r="28793">
      <c r="A28793" s="1" t="n">
        <v>28792</v>
      </c>
      <c r="B28793">
        <f>TEXT(28792, "[$-0E0000]yyyy-mm-dd")</f>
        <v/>
      </c>
      <c r="C28793" t="inlineStr">
        <is>
          <t>1978-09-29</t>
        </is>
      </c>
    </row>
    <row r="28794">
      <c r="A28794" s="1" t="n">
        <v>28793</v>
      </c>
      <c r="B28794">
        <f>TEXT(28793, "[$-0E0000]yyyy-mm-dd")</f>
        <v/>
      </c>
      <c r="C28794" t="inlineStr">
        <is>
          <t>1978-09-30</t>
        </is>
      </c>
    </row>
    <row r="28795">
      <c r="A28795" s="1" t="n">
        <v>28794</v>
      </c>
      <c r="B28795">
        <f>TEXT(28794, "[$-0E0000]yyyy-mm-dd")</f>
        <v/>
      </c>
      <c r="C28795" t="inlineStr">
        <is>
          <t>1978-10-01</t>
        </is>
      </c>
    </row>
    <row r="28796">
      <c r="A28796" s="1" t="n">
        <v>28795</v>
      </c>
      <c r="B28796">
        <f>TEXT(28795, "[$-0E0000]yyyy-mm-dd")</f>
        <v/>
      </c>
      <c r="C28796" t="inlineStr">
        <is>
          <t>1978-10-02</t>
        </is>
      </c>
    </row>
    <row r="28797">
      <c r="A28797" s="1" t="n">
        <v>28796</v>
      </c>
      <c r="B28797">
        <f>TEXT(28796, "[$-0E0000]yyyy-mm-dd")</f>
        <v/>
      </c>
      <c r="C28797" t="inlineStr">
        <is>
          <t>1978-10-03</t>
        </is>
      </c>
    </row>
    <row r="28798">
      <c r="A28798" s="1" t="n">
        <v>28797</v>
      </c>
      <c r="B28798">
        <f>TEXT(28797, "[$-0E0000]yyyy-mm-dd")</f>
        <v/>
      </c>
      <c r="C28798" t="inlineStr">
        <is>
          <t>1978-10-04</t>
        </is>
      </c>
    </row>
    <row r="28799">
      <c r="A28799" s="1" t="n">
        <v>28798</v>
      </c>
      <c r="B28799">
        <f>TEXT(28798, "[$-0E0000]yyyy-mm-dd")</f>
        <v/>
      </c>
      <c r="C28799" t="inlineStr">
        <is>
          <t>1978-10-05</t>
        </is>
      </c>
    </row>
    <row r="28800">
      <c r="A28800" s="1" t="n">
        <v>28799</v>
      </c>
      <c r="B28800">
        <f>TEXT(28799, "[$-0E0000]yyyy-mm-dd")</f>
        <v/>
      </c>
      <c r="C28800" t="inlineStr">
        <is>
          <t>1978-10-06</t>
        </is>
      </c>
    </row>
    <row r="28801">
      <c r="A28801" s="1" t="n">
        <v>28800</v>
      </c>
      <c r="B28801">
        <f>TEXT(28800, "[$-0E0000]yyyy-mm-dd")</f>
        <v/>
      </c>
      <c r="C28801" t="inlineStr">
        <is>
          <t>1978-10-07</t>
        </is>
      </c>
    </row>
    <row r="28802">
      <c r="A28802" s="1" t="n">
        <v>28801</v>
      </c>
      <c r="B28802">
        <f>TEXT(28801, "[$-0E0000]yyyy-mm-dd")</f>
        <v/>
      </c>
      <c r="C28802" t="inlineStr">
        <is>
          <t>1978-10-08</t>
        </is>
      </c>
    </row>
    <row r="28803">
      <c r="A28803" s="1" t="n">
        <v>28802</v>
      </c>
      <c r="B28803">
        <f>TEXT(28802, "[$-0E0000]yyyy-mm-dd")</f>
        <v/>
      </c>
      <c r="C28803" t="inlineStr">
        <is>
          <t>1978-10-09</t>
        </is>
      </c>
    </row>
    <row r="28804">
      <c r="A28804" s="1" t="n">
        <v>28803</v>
      </c>
      <c r="B28804">
        <f>TEXT(28803, "[$-0E0000]yyyy-mm-dd")</f>
        <v/>
      </c>
      <c r="C28804" t="inlineStr">
        <is>
          <t>1978-10-10</t>
        </is>
      </c>
    </row>
    <row r="28805">
      <c r="A28805" s="1" t="n">
        <v>28804</v>
      </c>
      <c r="B28805">
        <f>TEXT(28804, "[$-0E0000]yyyy-mm-dd")</f>
        <v/>
      </c>
      <c r="C28805" t="inlineStr">
        <is>
          <t>1978-10-11</t>
        </is>
      </c>
    </row>
    <row r="28806">
      <c r="A28806" s="1" t="n">
        <v>28805</v>
      </c>
      <c r="B28806">
        <f>TEXT(28805, "[$-0E0000]yyyy-mm-dd")</f>
        <v/>
      </c>
      <c r="C28806" t="inlineStr">
        <is>
          <t>1978-10-12</t>
        </is>
      </c>
    </row>
    <row r="28807">
      <c r="A28807" s="1" t="n">
        <v>28806</v>
      </c>
      <c r="B28807">
        <f>TEXT(28806, "[$-0E0000]yyyy-mm-dd")</f>
        <v/>
      </c>
      <c r="C28807" t="inlineStr">
        <is>
          <t>1978-10-13</t>
        </is>
      </c>
    </row>
    <row r="28808">
      <c r="A28808" s="1" t="n">
        <v>28807</v>
      </c>
      <c r="B28808">
        <f>TEXT(28807, "[$-0E0000]yyyy-mm-dd")</f>
        <v/>
      </c>
      <c r="C28808" t="inlineStr">
        <is>
          <t>1978-10-14</t>
        </is>
      </c>
    </row>
    <row r="28809">
      <c r="A28809" s="1" t="n">
        <v>28808</v>
      </c>
      <c r="B28809">
        <f>TEXT(28808, "[$-0E0000]yyyy-mm-dd")</f>
        <v/>
      </c>
      <c r="C28809" t="inlineStr">
        <is>
          <t>1978-10-15</t>
        </is>
      </c>
    </row>
    <row r="28810">
      <c r="A28810" s="1" t="n">
        <v>28809</v>
      </c>
      <c r="B28810">
        <f>TEXT(28809, "[$-0E0000]yyyy-mm-dd")</f>
        <v/>
      </c>
      <c r="C28810" t="inlineStr">
        <is>
          <t>1978-10-16</t>
        </is>
      </c>
    </row>
    <row r="28811">
      <c r="A28811" s="1" t="n">
        <v>28810</v>
      </c>
      <c r="B28811">
        <f>TEXT(28810, "[$-0E0000]yyyy-mm-dd")</f>
        <v/>
      </c>
      <c r="C28811" t="inlineStr">
        <is>
          <t>1978-10-17</t>
        </is>
      </c>
    </row>
    <row r="28812">
      <c r="A28812" s="1" t="n">
        <v>28811</v>
      </c>
      <c r="B28812">
        <f>TEXT(28811, "[$-0E0000]yyyy-mm-dd")</f>
        <v/>
      </c>
      <c r="C28812" t="inlineStr">
        <is>
          <t>1978-10-18</t>
        </is>
      </c>
    </row>
    <row r="28813">
      <c r="A28813" s="1" t="n">
        <v>28812</v>
      </c>
      <c r="B28813">
        <f>TEXT(28812, "[$-0E0000]yyyy-mm-dd")</f>
        <v/>
      </c>
      <c r="C28813" t="inlineStr">
        <is>
          <t>1978-10-19</t>
        </is>
      </c>
    </row>
    <row r="28814">
      <c r="A28814" s="1" t="n">
        <v>28813</v>
      </c>
      <c r="B28814">
        <f>TEXT(28813, "[$-0E0000]yyyy-mm-dd")</f>
        <v/>
      </c>
      <c r="C28814" t="inlineStr">
        <is>
          <t>1978-10-20</t>
        </is>
      </c>
    </row>
    <row r="28815">
      <c r="A28815" s="1" t="n">
        <v>28814</v>
      </c>
      <c r="B28815">
        <f>TEXT(28814, "[$-0E0000]yyyy-mm-dd")</f>
        <v/>
      </c>
      <c r="C28815" t="inlineStr">
        <is>
          <t>1978-10-21</t>
        </is>
      </c>
    </row>
    <row r="28816">
      <c r="A28816" s="1" t="n">
        <v>28815</v>
      </c>
      <c r="B28816">
        <f>TEXT(28815, "[$-0E0000]yyyy-mm-dd")</f>
        <v/>
      </c>
      <c r="C28816" t="inlineStr">
        <is>
          <t>1978-10-22</t>
        </is>
      </c>
    </row>
    <row r="28817">
      <c r="A28817" s="1" t="n">
        <v>28816</v>
      </c>
      <c r="B28817">
        <f>TEXT(28816, "[$-0E0000]yyyy-mm-dd")</f>
        <v/>
      </c>
      <c r="C28817" t="inlineStr">
        <is>
          <t>1978-10-23</t>
        </is>
      </c>
    </row>
    <row r="28818">
      <c r="A28818" s="1" t="n">
        <v>28817</v>
      </c>
      <c r="B28818">
        <f>TEXT(28817, "[$-0E0000]yyyy-mm-dd")</f>
        <v/>
      </c>
      <c r="C28818" t="inlineStr">
        <is>
          <t>1978-10-24</t>
        </is>
      </c>
    </row>
    <row r="28819">
      <c r="A28819" s="1" t="n">
        <v>28818</v>
      </c>
      <c r="B28819">
        <f>TEXT(28818, "[$-0E0000]yyyy-mm-dd")</f>
        <v/>
      </c>
      <c r="C28819" t="inlineStr">
        <is>
          <t>1978-10-25</t>
        </is>
      </c>
    </row>
    <row r="28820">
      <c r="A28820" s="1" t="n">
        <v>28819</v>
      </c>
      <c r="B28820">
        <f>TEXT(28819, "[$-0E0000]yyyy-mm-dd")</f>
        <v/>
      </c>
      <c r="C28820" t="inlineStr">
        <is>
          <t>1978-10-26</t>
        </is>
      </c>
    </row>
    <row r="28821">
      <c r="A28821" s="1" t="n">
        <v>28820</v>
      </c>
      <c r="B28821">
        <f>TEXT(28820, "[$-0E0000]yyyy-mm-dd")</f>
        <v/>
      </c>
      <c r="C28821" t="inlineStr">
        <is>
          <t>1978-10-27</t>
        </is>
      </c>
    </row>
    <row r="28822">
      <c r="A28822" s="1" t="n">
        <v>28821</v>
      </c>
      <c r="B28822">
        <f>TEXT(28821, "[$-0E0000]yyyy-mm-dd")</f>
        <v/>
      </c>
      <c r="C28822" t="inlineStr">
        <is>
          <t>1978-10-28</t>
        </is>
      </c>
    </row>
    <row r="28823">
      <c r="A28823" s="1" t="n">
        <v>28822</v>
      </c>
      <c r="B28823">
        <f>TEXT(28822, "[$-0E0000]yyyy-mm-dd")</f>
        <v/>
      </c>
      <c r="C28823" t="inlineStr">
        <is>
          <t>1978-10-29</t>
        </is>
      </c>
    </row>
    <row r="28824">
      <c r="A28824" s="1" t="n">
        <v>28823</v>
      </c>
      <c r="B28824">
        <f>TEXT(28823, "[$-0E0000]yyyy-mm-dd")</f>
        <v/>
      </c>
      <c r="C28824" t="inlineStr">
        <is>
          <t>1978-11-01</t>
        </is>
      </c>
    </row>
    <row r="28825">
      <c r="A28825" s="1" t="n">
        <v>28824</v>
      </c>
      <c r="B28825">
        <f>TEXT(28824, "[$-0E0000]yyyy-mm-dd")</f>
        <v/>
      </c>
      <c r="C28825" t="inlineStr">
        <is>
          <t>1978-11-02</t>
        </is>
      </c>
    </row>
    <row r="28826">
      <c r="A28826" s="1" t="n">
        <v>28825</v>
      </c>
      <c r="B28826">
        <f>TEXT(28825, "[$-0E0000]yyyy-mm-dd")</f>
        <v/>
      </c>
      <c r="C28826" t="inlineStr">
        <is>
          <t>1978-11-03</t>
        </is>
      </c>
    </row>
    <row r="28827">
      <c r="A28827" s="1" t="n">
        <v>28826</v>
      </c>
      <c r="B28827">
        <f>TEXT(28826, "[$-0E0000]yyyy-mm-dd")</f>
        <v/>
      </c>
      <c r="C28827" t="inlineStr">
        <is>
          <t>1978-11-04</t>
        </is>
      </c>
    </row>
    <row r="28828">
      <c r="A28828" s="1" t="n">
        <v>28827</v>
      </c>
      <c r="B28828">
        <f>TEXT(28827, "[$-0E0000]yyyy-mm-dd")</f>
        <v/>
      </c>
      <c r="C28828" t="inlineStr">
        <is>
          <t>1978-11-05</t>
        </is>
      </c>
    </row>
    <row r="28829">
      <c r="A28829" s="1" t="n">
        <v>28828</v>
      </c>
      <c r="B28829">
        <f>TEXT(28828, "[$-0E0000]yyyy-mm-dd")</f>
        <v/>
      </c>
      <c r="C28829" t="inlineStr">
        <is>
          <t>1978-11-06</t>
        </is>
      </c>
    </row>
    <row r="28830">
      <c r="A28830" s="1" t="n">
        <v>28829</v>
      </c>
      <c r="B28830">
        <f>TEXT(28829, "[$-0E0000]yyyy-mm-dd")</f>
        <v/>
      </c>
      <c r="C28830" t="inlineStr">
        <is>
          <t>1978-11-07</t>
        </is>
      </c>
    </row>
    <row r="28831">
      <c r="A28831" s="1" t="n">
        <v>28830</v>
      </c>
      <c r="B28831">
        <f>TEXT(28830, "[$-0E0000]yyyy-mm-dd")</f>
        <v/>
      </c>
      <c r="C28831" t="inlineStr">
        <is>
          <t>1978-11-08</t>
        </is>
      </c>
    </row>
    <row r="28832">
      <c r="A28832" s="1" t="n">
        <v>28831</v>
      </c>
      <c r="B28832">
        <f>TEXT(28831, "[$-0E0000]yyyy-mm-dd")</f>
        <v/>
      </c>
      <c r="C28832" t="inlineStr">
        <is>
          <t>1978-11-09</t>
        </is>
      </c>
    </row>
    <row r="28833">
      <c r="A28833" s="1" t="n">
        <v>28832</v>
      </c>
      <c r="B28833">
        <f>TEXT(28832, "[$-0E0000]yyyy-mm-dd")</f>
        <v/>
      </c>
      <c r="C28833" t="inlineStr">
        <is>
          <t>1978-11-10</t>
        </is>
      </c>
    </row>
    <row r="28834">
      <c r="A28834" s="1" t="n">
        <v>28833</v>
      </c>
      <c r="B28834">
        <f>TEXT(28833, "[$-0E0000]yyyy-mm-dd")</f>
        <v/>
      </c>
      <c r="C28834" t="inlineStr">
        <is>
          <t>1978-11-11</t>
        </is>
      </c>
    </row>
    <row r="28835">
      <c r="A28835" s="1" t="n">
        <v>28834</v>
      </c>
      <c r="B28835">
        <f>TEXT(28834, "[$-0E0000]yyyy-mm-dd")</f>
        <v/>
      </c>
      <c r="C28835" t="inlineStr">
        <is>
          <t>1978-11-12</t>
        </is>
      </c>
    </row>
    <row r="28836">
      <c r="A28836" s="1" t="n">
        <v>28835</v>
      </c>
      <c r="B28836">
        <f>TEXT(28835, "[$-0E0000]yyyy-mm-dd")</f>
        <v/>
      </c>
      <c r="C28836" t="inlineStr">
        <is>
          <t>1978-11-13</t>
        </is>
      </c>
    </row>
    <row r="28837">
      <c r="A28837" s="1" t="n">
        <v>28836</v>
      </c>
      <c r="B28837">
        <f>TEXT(28836, "[$-0E0000]yyyy-mm-dd")</f>
        <v/>
      </c>
      <c r="C28837" t="inlineStr">
        <is>
          <t>1978-11-14</t>
        </is>
      </c>
    </row>
    <row r="28838">
      <c r="A28838" s="1" t="n">
        <v>28837</v>
      </c>
      <c r="B28838">
        <f>TEXT(28837, "[$-0E0000]yyyy-mm-dd")</f>
        <v/>
      </c>
      <c r="C28838" t="inlineStr">
        <is>
          <t>1978-11-15</t>
        </is>
      </c>
    </row>
    <row r="28839">
      <c r="A28839" s="1" t="n">
        <v>28838</v>
      </c>
      <c r="B28839">
        <f>TEXT(28838, "[$-0E0000]yyyy-mm-dd")</f>
        <v/>
      </c>
      <c r="C28839" t="inlineStr">
        <is>
          <t>1978-11-16</t>
        </is>
      </c>
    </row>
    <row r="28840">
      <c r="A28840" s="1" t="n">
        <v>28839</v>
      </c>
      <c r="B28840">
        <f>TEXT(28839, "[$-0E0000]yyyy-mm-dd")</f>
        <v/>
      </c>
      <c r="C28840" t="inlineStr">
        <is>
          <t>1978-11-17</t>
        </is>
      </c>
    </row>
    <row r="28841">
      <c r="A28841" s="1" t="n">
        <v>28840</v>
      </c>
      <c r="B28841">
        <f>TEXT(28840, "[$-0E0000]yyyy-mm-dd")</f>
        <v/>
      </c>
      <c r="C28841" t="inlineStr">
        <is>
          <t>1978-11-18</t>
        </is>
      </c>
    </row>
    <row r="28842">
      <c r="A28842" s="1" t="n">
        <v>28841</v>
      </c>
      <c r="B28842">
        <f>TEXT(28841, "[$-0E0000]yyyy-mm-dd")</f>
        <v/>
      </c>
      <c r="C28842" t="inlineStr">
        <is>
          <t>1978-11-19</t>
        </is>
      </c>
    </row>
    <row r="28843">
      <c r="A28843" s="1" t="n">
        <v>28842</v>
      </c>
      <c r="B28843">
        <f>TEXT(28842, "[$-0E0000]yyyy-mm-dd")</f>
        <v/>
      </c>
      <c r="C28843" t="inlineStr">
        <is>
          <t>1978-11-20</t>
        </is>
      </c>
    </row>
    <row r="28844">
      <c r="A28844" s="1" t="n">
        <v>28843</v>
      </c>
      <c r="B28844">
        <f>TEXT(28843, "[$-0E0000]yyyy-mm-dd")</f>
        <v/>
      </c>
      <c r="C28844" t="inlineStr">
        <is>
          <t>1978-11-21</t>
        </is>
      </c>
    </row>
    <row r="28845">
      <c r="A28845" s="1" t="n">
        <v>28844</v>
      </c>
      <c r="B28845">
        <f>TEXT(28844, "[$-0E0000]yyyy-mm-dd")</f>
        <v/>
      </c>
      <c r="C28845" t="inlineStr">
        <is>
          <t>1978-11-22</t>
        </is>
      </c>
    </row>
    <row r="28846">
      <c r="A28846" s="1" t="n">
        <v>28845</v>
      </c>
      <c r="B28846">
        <f>TEXT(28845, "[$-0E0000]yyyy-mm-dd")</f>
        <v/>
      </c>
      <c r="C28846" t="inlineStr">
        <is>
          <t>1978-11-23</t>
        </is>
      </c>
    </row>
    <row r="28847">
      <c r="A28847" s="1" t="n">
        <v>28846</v>
      </c>
      <c r="B28847">
        <f>TEXT(28846, "[$-0E0000]yyyy-mm-dd")</f>
        <v/>
      </c>
      <c r="C28847" t="inlineStr">
        <is>
          <t>1978-11-24</t>
        </is>
      </c>
    </row>
    <row r="28848">
      <c r="A28848" s="1" t="n">
        <v>28847</v>
      </c>
      <c r="B28848">
        <f>TEXT(28847, "[$-0E0000]yyyy-mm-dd")</f>
        <v/>
      </c>
      <c r="C28848" t="inlineStr">
        <is>
          <t>1978-11-25</t>
        </is>
      </c>
    </row>
    <row r="28849">
      <c r="A28849" s="1" t="n">
        <v>28848</v>
      </c>
      <c r="B28849">
        <f>TEXT(28848, "[$-0E0000]yyyy-mm-dd")</f>
        <v/>
      </c>
      <c r="C28849" t="inlineStr">
        <is>
          <t>1978-11-26</t>
        </is>
      </c>
    </row>
    <row r="28850">
      <c r="A28850" s="1" t="n">
        <v>28849</v>
      </c>
      <c r="B28850">
        <f>TEXT(28849, "[$-0E0000]yyyy-mm-dd")</f>
        <v/>
      </c>
      <c r="C28850" t="inlineStr">
        <is>
          <t>1978-11-27</t>
        </is>
      </c>
    </row>
    <row r="28851">
      <c r="A28851" s="1" t="n">
        <v>28850</v>
      </c>
      <c r="B28851">
        <f>TEXT(28850, "[$-0E0000]yyyy-mm-dd")</f>
        <v/>
      </c>
      <c r="C28851" t="inlineStr">
        <is>
          <t>1978-11-28</t>
        </is>
      </c>
    </row>
    <row r="28852">
      <c r="A28852" s="1" t="n">
        <v>28851</v>
      </c>
      <c r="B28852">
        <f>TEXT(28851, "[$-0E0000]yyyy-mm-dd")</f>
        <v/>
      </c>
      <c r="C28852" t="inlineStr">
        <is>
          <t>1978-11-29</t>
        </is>
      </c>
    </row>
    <row r="28853">
      <c r="A28853" s="1" t="n">
        <v>28852</v>
      </c>
      <c r="B28853">
        <f>TEXT(28852, "[$-0E0000]yyyy-mm-dd")</f>
        <v/>
      </c>
      <c r="C28853" t="inlineStr">
        <is>
          <t>1978-11-30</t>
        </is>
      </c>
    </row>
    <row r="28854">
      <c r="A28854" s="1" t="n">
        <v>28853</v>
      </c>
      <c r="B28854">
        <f>TEXT(28853, "[$-0E0000]yyyy-mm-dd")</f>
        <v/>
      </c>
      <c r="C28854" t="inlineStr">
        <is>
          <t>1978-12-01</t>
        </is>
      </c>
    </row>
    <row r="28855">
      <c r="A28855" s="1" t="n">
        <v>28854</v>
      </c>
      <c r="B28855">
        <f>TEXT(28854, "[$-0E0000]yyyy-mm-dd")</f>
        <v/>
      </c>
      <c r="C28855" t="inlineStr">
        <is>
          <t>1978-12-02</t>
        </is>
      </c>
    </row>
    <row r="28856">
      <c r="A28856" s="1" t="n">
        <v>28855</v>
      </c>
      <c r="B28856">
        <f>TEXT(28855, "[$-0E0000]yyyy-mm-dd")</f>
        <v/>
      </c>
      <c r="C28856" t="inlineStr">
        <is>
          <t>1978-12-03</t>
        </is>
      </c>
    </row>
    <row r="28857">
      <c r="A28857" s="1" t="n">
        <v>28856</v>
      </c>
      <c r="B28857">
        <f>TEXT(28856, "[$-0E0000]yyyy-mm-dd")</f>
        <v/>
      </c>
      <c r="C28857" t="inlineStr">
        <is>
          <t>1978-12-04</t>
        </is>
      </c>
    </row>
    <row r="28858">
      <c r="A28858" s="1" t="n">
        <v>28857</v>
      </c>
      <c r="B28858">
        <f>TEXT(28857, "[$-0E0000]yyyy-mm-dd")</f>
        <v/>
      </c>
      <c r="C28858" t="inlineStr">
        <is>
          <t>1978-12-05</t>
        </is>
      </c>
    </row>
    <row r="28859">
      <c r="A28859" s="1" t="n">
        <v>28858</v>
      </c>
      <c r="B28859">
        <f>TEXT(28858, "[$-0E0000]yyyy-mm-dd")</f>
        <v/>
      </c>
      <c r="C28859" t="inlineStr">
        <is>
          <t>1978-12-06</t>
        </is>
      </c>
    </row>
    <row r="28860">
      <c r="A28860" s="1" t="n">
        <v>28859</v>
      </c>
      <c r="B28860">
        <f>TEXT(28859, "[$-0E0000]yyyy-mm-dd")</f>
        <v/>
      </c>
      <c r="C28860" t="inlineStr">
        <is>
          <t>1978-12-07</t>
        </is>
      </c>
    </row>
    <row r="28861">
      <c r="A28861" s="1" t="n">
        <v>28860</v>
      </c>
      <c r="B28861">
        <f>TEXT(28860, "[$-0E0000]yyyy-mm-dd")</f>
        <v/>
      </c>
      <c r="C28861" t="inlineStr">
        <is>
          <t>1978-12-08</t>
        </is>
      </c>
    </row>
    <row r="28862">
      <c r="A28862" s="1" t="n">
        <v>28861</v>
      </c>
      <c r="B28862">
        <f>TEXT(28861, "[$-0E0000]yyyy-mm-dd")</f>
        <v/>
      </c>
      <c r="C28862" t="inlineStr">
        <is>
          <t>1978-12-09</t>
        </is>
      </c>
    </row>
    <row r="28863">
      <c r="A28863" s="1" t="n">
        <v>28862</v>
      </c>
      <c r="B28863">
        <f>TEXT(28862, "[$-0E0000]yyyy-mm-dd")</f>
        <v/>
      </c>
      <c r="C28863" t="inlineStr">
        <is>
          <t>1978-12-10</t>
        </is>
      </c>
    </row>
    <row r="28864">
      <c r="A28864" s="1" t="n">
        <v>28863</v>
      </c>
      <c r="B28864">
        <f>TEXT(28863, "[$-0E0000]yyyy-mm-dd")</f>
        <v/>
      </c>
      <c r="C28864" t="inlineStr">
        <is>
          <t>1978-12-11</t>
        </is>
      </c>
    </row>
    <row r="28865">
      <c r="A28865" s="1" t="n">
        <v>28864</v>
      </c>
      <c r="B28865">
        <f>TEXT(28864, "[$-0E0000]yyyy-mm-dd")</f>
        <v/>
      </c>
      <c r="C28865" t="inlineStr">
        <is>
          <t>1978-12-12</t>
        </is>
      </c>
    </row>
    <row r="28866">
      <c r="A28866" s="1" t="n">
        <v>28865</v>
      </c>
      <c r="B28866">
        <f>TEXT(28865, "[$-0E0000]yyyy-mm-dd")</f>
        <v/>
      </c>
      <c r="C28866" t="inlineStr">
        <is>
          <t>1978-12-13</t>
        </is>
      </c>
    </row>
    <row r="28867">
      <c r="A28867" s="1" t="n">
        <v>28866</v>
      </c>
      <c r="B28867">
        <f>TEXT(28866, "[$-0E0000]yyyy-mm-dd")</f>
        <v/>
      </c>
      <c r="C28867" t="inlineStr">
        <is>
          <t>1978-12-14</t>
        </is>
      </c>
    </row>
    <row r="28868">
      <c r="A28868" s="1" t="n">
        <v>28867</v>
      </c>
      <c r="B28868">
        <f>TEXT(28867, "[$-0E0000]yyyy-mm-dd")</f>
        <v/>
      </c>
      <c r="C28868" t="inlineStr">
        <is>
          <t>1978-12-15</t>
        </is>
      </c>
    </row>
    <row r="28869">
      <c r="A28869" s="1" t="n">
        <v>28868</v>
      </c>
      <c r="B28869">
        <f>TEXT(28868, "[$-0E0000]yyyy-mm-dd")</f>
        <v/>
      </c>
      <c r="C28869" t="inlineStr">
        <is>
          <t>1978-12-16</t>
        </is>
      </c>
    </row>
    <row r="28870">
      <c r="A28870" s="1" t="n">
        <v>28869</v>
      </c>
      <c r="B28870">
        <f>TEXT(28869, "[$-0E0000]yyyy-mm-dd")</f>
        <v/>
      </c>
      <c r="C28870" t="inlineStr">
        <is>
          <t>1978-12-17</t>
        </is>
      </c>
    </row>
    <row r="28871">
      <c r="A28871" s="1" t="n">
        <v>28870</v>
      </c>
      <c r="B28871">
        <f>TEXT(28870, "[$-0E0000]yyyy-mm-dd")</f>
        <v/>
      </c>
      <c r="C28871" t="inlineStr">
        <is>
          <t>1978-12-18</t>
        </is>
      </c>
    </row>
    <row r="28872">
      <c r="A28872" s="1" t="n">
        <v>28871</v>
      </c>
      <c r="B28872">
        <f>TEXT(28871, "[$-0E0000]yyyy-mm-dd")</f>
        <v/>
      </c>
      <c r="C28872" t="inlineStr">
        <is>
          <t>1978-12-19</t>
        </is>
      </c>
    </row>
    <row r="28873">
      <c r="A28873" s="1" t="n">
        <v>28872</v>
      </c>
      <c r="B28873">
        <f>TEXT(28872, "[$-0E0000]yyyy-mm-dd")</f>
        <v/>
      </c>
      <c r="C28873" t="inlineStr">
        <is>
          <t>1978-12-20</t>
        </is>
      </c>
    </row>
    <row r="28874">
      <c r="A28874" s="1" t="n">
        <v>28873</v>
      </c>
      <c r="B28874">
        <f>TEXT(28873, "[$-0E0000]yyyy-mm-dd")</f>
        <v/>
      </c>
      <c r="C28874" t="inlineStr">
        <is>
          <t>1978-12-21</t>
        </is>
      </c>
    </row>
    <row r="28875">
      <c r="A28875" s="1" t="n">
        <v>28874</v>
      </c>
      <c r="B28875">
        <f>TEXT(28874, "[$-0E0000]yyyy-mm-dd")</f>
        <v/>
      </c>
      <c r="C28875" t="inlineStr">
        <is>
          <t>1978-12-22</t>
        </is>
      </c>
    </row>
    <row r="28876">
      <c r="A28876" s="1" t="n">
        <v>28875</v>
      </c>
      <c r="B28876">
        <f>TEXT(28875, "[$-0E0000]yyyy-mm-dd")</f>
        <v/>
      </c>
      <c r="C28876" t="inlineStr">
        <is>
          <t>1978-12-23</t>
        </is>
      </c>
    </row>
    <row r="28877">
      <c r="A28877" s="1" t="n">
        <v>28876</v>
      </c>
      <c r="B28877">
        <f>TEXT(28876, "[$-0E0000]yyyy-mm-dd")</f>
        <v/>
      </c>
      <c r="C28877" t="inlineStr">
        <is>
          <t>1978-12-24</t>
        </is>
      </c>
    </row>
    <row r="28878">
      <c r="A28878" s="1" t="n">
        <v>28877</v>
      </c>
      <c r="B28878">
        <f>TEXT(28877, "[$-0E0000]yyyy-mm-dd")</f>
        <v/>
      </c>
      <c r="C28878" t="inlineStr">
        <is>
          <t>1978-12-25</t>
        </is>
      </c>
    </row>
    <row r="28879">
      <c r="A28879" s="1" t="n">
        <v>28878</v>
      </c>
      <c r="B28879">
        <f>TEXT(28878, "[$-0E0000]yyyy-mm-dd")</f>
        <v/>
      </c>
      <c r="C28879" t="inlineStr">
        <is>
          <t>1978-12-26</t>
        </is>
      </c>
    </row>
    <row r="28880">
      <c r="A28880" s="1" t="n">
        <v>28879</v>
      </c>
      <c r="B28880">
        <f>TEXT(28879, "[$-0E0000]yyyy-mm-dd")</f>
        <v/>
      </c>
      <c r="C28880" t="inlineStr">
        <is>
          <t>1978-12-27</t>
        </is>
      </c>
    </row>
    <row r="28881">
      <c r="A28881" s="1" t="n">
        <v>28880</v>
      </c>
      <c r="B28881">
        <f>TEXT(28880, "[$-0E0000]yyyy-mm-dd")</f>
        <v/>
      </c>
      <c r="C28881" t="inlineStr">
        <is>
          <t>1978-12-28</t>
        </is>
      </c>
    </row>
    <row r="28882">
      <c r="A28882" s="1" t="n">
        <v>28881</v>
      </c>
      <c r="B28882">
        <f>TEXT(28881, "[$-0E0000]yyyy-mm-dd")</f>
        <v/>
      </c>
      <c r="C28882" t="inlineStr">
        <is>
          <t>1978-12-29</t>
        </is>
      </c>
    </row>
    <row r="28883">
      <c r="A28883" s="1" t="n">
        <v>28882</v>
      </c>
      <c r="B28883">
        <f>TEXT(28882, "[$-0E0000]yyyy-mm-dd")</f>
        <v/>
      </c>
      <c r="C28883" t="inlineStr">
        <is>
          <t>1979-01-01</t>
        </is>
      </c>
    </row>
    <row r="28884">
      <c r="A28884" s="1" t="n">
        <v>28883</v>
      </c>
      <c r="B28884">
        <f>TEXT(28883, "[$-0E0000]yyyy-mm-dd")</f>
        <v/>
      </c>
      <c r="C28884" t="inlineStr">
        <is>
          <t>1979-01-02</t>
        </is>
      </c>
    </row>
    <row r="28885">
      <c r="A28885" s="1" t="n">
        <v>28884</v>
      </c>
      <c r="B28885">
        <f>TEXT(28884, "[$-0E0000]yyyy-mm-dd")</f>
        <v/>
      </c>
      <c r="C28885" t="inlineStr">
        <is>
          <t>1979-01-03</t>
        </is>
      </c>
    </row>
    <row r="28886">
      <c r="A28886" s="1" t="n">
        <v>28885</v>
      </c>
      <c r="B28886">
        <f>TEXT(28885, "[$-0E0000]yyyy-mm-dd")</f>
        <v/>
      </c>
      <c r="C28886" t="inlineStr">
        <is>
          <t>1979-01-04</t>
        </is>
      </c>
    </row>
    <row r="28887">
      <c r="A28887" s="1" t="n">
        <v>28886</v>
      </c>
      <c r="B28887">
        <f>TEXT(28886, "[$-0E0000]yyyy-mm-dd")</f>
        <v/>
      </c>
      <c r="C28887" t="inlineStr">
        <is>
          <t>1979-01-05</t>
        </is>
      </c>
    </row>
    <row r="28888">
      <c r="A28888" s="1" t="n">
        <v>28887</v>
      </c>
      <c r="B28888">
        <f>TEXT(28887, "[$-0E0000]yyyy-mm-dd")</f>
        <v/>
      </c>
      <c r="C28888" t="inlineStr">
        <is>
          <t>1979-01-06</t>
        </is>
      </c>
    </row>
    <row r="28889">
      <c r="A28889" s="1" t="n">
        <v>28888</v>
      </c>
      <c r="B28889">
        <f>TEXT(28888, "[$-0E0000]yyyy-mm-dd")</f>
        <v/>
      </c>
      <c r="C28889" t="inlineStr">
        <is>
          <t>1979-01-07</t>
        </is>
      </c>
    </row>
    <row r="28890">
      <c r="A28890" s="1" t="n">
        <v>28889</v>
      </c>
      <c r="B28890">
        <f>TEXT(28889, "[$-0E0000]yyyy-mm-dd")</f>
        <v/>
      </c>
      <c r="C28890" t="inlineStr">
        <is>
          <t>1979-01-08</t>
        </is>
      </c>
    </row>
    <row r="28891">
      <c r="A28891" s="1" t="n">
        <v>28890</v>
      </c>
      <c r="B28891">
        <f>TEXT(28890, "[$-0E0000]yyyy-mm-dd")</f>
        <v/>
      </c>
      <c r="C28891" t="inlineStr">
        <is>
          <t>1979-01-09</t>
        </is>
      </c>
    </row>
    <row r="28892">
      <c r="A28892" s="1" t="n">
        <v>28891</v>
      </c>
      <c r="B28892">
        <f>TEXT(28891, "[$-0E0000]yyyy-mm-dd")</f>
        <v/>
      </c>
      <c r="C28892" t="inlineStr">
        <is>
          <t>1979-01-10</t>
        </is>
      </c>
    </row>
    <row r="28893">
      <c r="A28893" s="1" t="n">
        <v>28892</v>
      </c>
      <c r="B28893">
        <f>TEXT(28892, "[$-0E0000]yyyy-mm-dd")</f>
        <v/>
      </c>
      <c r="C28893" t="inlineStr">
        <is>
          <t>1979-01-11</t>
        </is>
      </c>
    </row>
    <row r="28894">
      <c r="A28894" s="1" t="n">
        <v>28893</v>
      </c>
      <c r="B28894">
        <f>TEXT(28893, "[$-0E0000]yyyy-mm-dd")</f>
        <v/>
      </c>
      <c r="C28894" t="inlineStr">
        <is>
          <t>1979-01-12</t>
        </is>
      </c>
    </row>
    <row r="28895">
      <c r="A28895" s="1" t="n">
        <v>28894</v>
      </c>
      <c r="B28895">
        <f>TEXT(28894, "[$-0E0000]yyyy-mm-dd")</f>
        <v/>
      </c>
      <c r="C28895" t="inlineStr">
        <is>
          <t>1979-01-13</t>
        </is>
      </c>
    </row>
    <row r="28896">
      <c r="A28896" s="1" t="n">
        <v>28895</v>
      </c>
      <c r="B28896">
        <f>TEXT(28895, "[$-0E0000]yyyy-mm-dd")</f>
        <v/>
      </c>
      <c r="C28896" t="inlineStr">
        <is>
          <t>1979-01-14</t>
        </is>
      </c>
    </row>
    <row r="28897">
      <c r="A28897" s="1" t="n">
        <v>28896</v>
      </c>
      <c r="B28897">
        <f>TEXT(28896, "[$-0E0000]yyyy-mm-dd")</f>
        <v/>
      </c>
      <c r="C28897" t="inlineStr">
        <is>
          <t>1979-01-15</t>
        </is>
      </c>
    </row>
    <row r="28898">
      <c r="A28898" s="1" t="n">
        <v>28897</v>
      </c>
      <c r="B28898">
        <f>TEXT(28897, "[$-0E0000]yyyy-mm-dd")</f>
        <v/>
      </c>
      <c r="C28898" t="inlineStr">
        <is>
          <t>1979-01-16</t>
        </is>
      </c>
    </row>
    <row r="28899">
      <c r="A28899" s="1" t="n">
        <v>28898</v>
      </c>
      <c r="B28899">
        <f>TEXT(28898, "[$-0E0000]yyyy-mm-dd")</f>
        <v/>
      </c>
      <c r="C28899" t="inlineStr">
        <is>
          <t>1979-01-17</t>
        </is>
      </c>
    </row>
    <row r="28900">
      <c r="A28900" s="1" t="n">
        <v>28899</v>
      </c>
      <c r="B28900">
        <f>TEXT(28899, "[$-0E0000]yyyy-mm-dd")</f>
        <v/>
      </c>
      <c r="C28900" t="inlineStr">
        <is>
          <t>1979-01-18</t>
        </is>
      </c>
    </row>
    <row r="28901">
      <c r="A28901" s="1" t="n">
        <v>28900</v>
      </c>
      <c r="B28901">
        <f>TEXT(28900, "[$-0E0000]yyyy-mm-dd")</f>
        <v/>
      </c>
      <c r="C28901" t="inlineStr">
        <is>
          <t>1979-01-19</t>
        </is>
      </c>
    </row>
    <row r="28902">
      <c r="A28902" s="1" t="n">
        <v>28901</v>
      </c>
      <c r="B28902">
        <f>TEXT(28901, "[$-0E0000]yyyy-mm-dd")</f>
        <v/>
      </c>
      <c r="C28902" t="inlineStr">
        <is>
          <t>1979-01-20</t>
        </is>
      </c>
    </row>
    <row r="28903">
      <c r="A28903" s="1" t="n">
        <v>28902</v>
      </c>
      <c r="B28903">
        <f>TEXT(28902, "[$-0E0000]yyyy-mm-dd")</f>
        <v/>
      </c>
      <c r="C28903" t="inlineStr">
        <is>
          <t>1979-01-21</t>
        </is>
      </c>
    </row>
    <row r="28904">
      <c r="A28904" s="1" t="n">
        <v>28903</v>
      </c>
      <c r="B28904">
        <f>TEXT(28903, "[$-0E0000]yyyy-mm-dd")</f>
        <v/>
      </c>
      <c r="C28904" t="inlineStr">
        <is>
          <t>1979-01-22</t>
        </is>
      </c>
    </row>
    <row r="28905">
      <c r="A28905" s="1" t="n">
        <v>28904</v>
      </c>
      <c r="B28905">
        <f>TEXT(28904, "[$-0E0000]yyyy-mm-dd")</f>
        <v/>
      </c>
      <c r="C28905" t="inlineStr">
        <is>
          <t>1979-01-23</t>
        </is>
      </c>
    </row>
    <row r="28906">
      <c r="A28906" s="1" t="n">
        <v>28905</v>
      </c>
      <c r="B28906">
        <f>TEXT(28905, "[$-0E0000]yyyy-mm-dd")</f>
        <v/>
      </c>
      <c r="C28906" t="inlineStr">
        <is>
          <t>1979-01-24</t>
        </is>
      </c>
    </row>
    <row r="28907">
      <c r="A28907" s="1" t="n">
        <v>28906</v>
      </c>
      <c r="B28907">
        <f>TEXT(28906, "[$-0E0000]yyyy-mm-dd")</f>
        <v/>
      </c>
      <c r="C28907" t="inlineStr">
        <is>
          <t>1979-01-25</t>
        </is>
      </c>
    </row>
    <row r="28908">
      <c r="A28908" s="1" t="n">
        <v>28907</v>
      </c>
      <c r="B28908">
        <f>TEXT(28907, "[$-0E0000]yyyy-mm-dd")</f>
        <v/>
      </c>
      <c r="C28908" t="inlineStr">
        <is>
          <t>1979-01-26</t>
        </is>
      </c>
    </row>
    <row r="28909">
      <c r="A28909" s="1" t="n">
        <v>28908</v>
      </c>
      <c r="B28909">
        <f>TEXT(28908, "[$-0E0000]yyyy-mm-dd")</f>
        <v/>
      </c>
      <c r="C28909" t="inlineStr">
        <is>
          <t>1979-01-27</t>
        </is>
      </c>
    </row>
    <row r="28910">
      <c r="A28910" s="1" t="n">
        <v>28909</v>
      </c>
      <c r="B28910">
        <f>TEXT(28909, "[$-0E0000]yyyy-mm-dd")</f>
        <v/>
      </c>
      <c r="C28910" t="inlineStr">
        <is>
          <t>1979-01-28</t>
        </is>
      </c>
    </row>
    <row r="28911">
      <c r="A28911" s="1" t="n">
        <v>28910</v>
      </c>
      <c r="B28911">
        <f>TEXT(28910, "[$-0E0000]yyyy-mm-dd")</f>
        <v/>
      </c>
      <c r="C28911" t="inlineStr">
        <is>
          <t>1979-01-29</t>
        </is>
      </c>
    </row>
    <row r="28912">
      <c r="A28912" s="1" t="n">
        <v>28911</v>
      </c>
      <c r="B28912">
        <f>TEXT(28911, "[$-0E0000]yyyy-mm-dd")</f>
        <v/>
      </c>
      <c r="C28912" t="inlineStr">
        <is>
          <t>1979-01-30</t>
        </is>
      </c>
    </row>
    <row r="28913">
      <c r="A28913" s="1" t="n">
        <v>28912</v>
      </c>
      <c r="B28913">
        <f>TEXT(28912, "[$-0E0000]yyyy-mm-dd")</f>
        <v/>
      </c>
      <c r="C28913" t="inlineStr">
        <is>
          <t>1979-02-01</t>
        </is>
      </c>
    </row>
    <row r="28914">
      <c r="A28914" s="1" t="n">
        <v>28913</v>
      </c>
      <c r="B28914">
        <f>TEXT(28913, "[$-0E0000]yyyy-mm-dd")</f>
        <v/>
      </c>
      <c r="C28914" t="inlineStr">
        <is>
          <t>1979-02-02</t>
        </is>
      </c>
    </row>
    <row r="28915">
      <c r="A28915" s="1" t="n">
        <v>28914</v>
      </c>
      <c r="B28915">
        <f>TEXT(28914, "[$-0E0000]yyyy-mm-dd")</f>
        <v/>
      </c>
      <c r="C28915" t="inlineStr">
        <is>
          <t>1979-02-03</t>
        </is>
      </c>
    </row>
    <row r="28916">
      <c r="A28916" s="1" t="n">
        <v>28915</v>
      </c>
      <c r="B28916">
        <f>TEXT(28915, "[$-0E0000]yyyy-mm-dd")</f>
        <v/>
      </c>
      <c r="C28916" t="inlineStr">
        <is>
          <t>1979-02-04</t>
        </is>
      </c>
    </row>
    <row r="28917">
      <c r="A28917" s="1" t="n">
        <v>28916</v>
      </c>
      <c r="B28917">
        <f>TEXT(28916, "[$-0E0000]yyyy-mm-dd")</f>
        <v/>
      </c>
      <c r="C28917" t="inlineStr">
        <is>
          <t>1979-02-05</t>
        </is>
      </c>
    </row>
    <row r="28918">
      <c r="A28918" s="1" t="n">
        <v>28917</v>
      </c>
      <c r="B28918">
        <f>TEXT(28917, "[$-0E0000]yyyy-mm-dd")</f>
        <v/>
      </c>
      <c r="C28918" t="inlineStr">
        <is>
          <t>1979-02-06</t>
        </is>
      </c>
    </row>
    <row r="28919">
      <c r="A28919" s="1" t="n">
        <v>28918</v>
      </c>
      <c r="B28919">
        <f>TEXT(28918, "[$-0E0000]yyyy-mm-dd")</f>
        <v/>
      </c>
      <c r="C28919" t="inlineStr">
        <is>
          <t>1979-02-07</t>
        </is>
      </c>
    </row>
    <row r="28920">
      <c r="A28920" s="1" t="n">
        <v>28919</v>
      </c>
      <c r="B28920">
        <f>TEXT(28919, "[$-0E0000]yyyy-mm-dd")</f>
        <v/>
      </c>
      <c r="C28920" t="inlineStr">
        <is>
          <t>1979-02-08</t>
        </is>
      </c>
    </row>
    <row r="28921">
      <c r="A28921" s="1" t="n">
        <v>28920</v>
      </c>
      <c r="B28921">
        <f>TEXT(28920, "[$-0E0000]yyyy-mm-dd")</f>
        <v/>
      </c>
      <c r="C28921" t="inlineStr">
        <is>
          <t>1979-02-09</t>
        </is>
      </c>
    </row>
    <row r="28922">
      <c r="A28922" s="1" t="n">
        <v>28921</v>
      </c>
      <c r="B28922">
        <f>TEXT(28921, "[$-0E0000]yyyy-mm-dd")</f>
        <v/>
      </c>
      <c r="C28922" t="inlineStr">
        <is>
          <t>1979-02-10</t>
        </is>
      </c>
    </row>
    <row r="28923">
      <c r="A28923" s="1" t="n">
        <v>28922</v>
      </c>
      <c r="B28923">
        <f>TEXT(28922, "[$-0E0000]yyyy-mm-dd")</f>
        <v/>
      </c>
      <c r="C28923" t="inlineStr">
        <is>
          <t>1979-02-11</t>
        </is>
      </c>
    </row>
    <row r="28924">
      <c r="A28924" s="1" t="n">
        <v>28923</v>
      </c>
      <c r="B28924">
        <f>TEXT(28923, "[$-0E0000]yyyy-mm-dd")</f>
        <v/>
      </c>
      <c r="C28924" t="inlineStr">
        <is>
          <t>1979-02-12</t>
        </is>
      </c>
    </row>
    <row r="28925">
      <c r="A28925" s="1" t="n">
        <v>28924</v>
      </c>
      <c r="B28925">
        <f>TEXT(28924, "[$-0E0000]yyyy-mm-dd")</f>
        <v/>
      </c>
      <c r="C28925" t="inlineStr">
        <is>
          <t>1979-02-13</t>
        </is>
      </c>
    </row>
    <row r="28926">
      <c r="A28926" s="1" t="n">
        <v>28925</v>
      </c>
      <c r="B28926">
        <f>TEXT(28925, "[$-0E0000]yyyy-mm-dd")</f>
        <v/>
      </c>
      <c r="C28926" t="inlineStr">
        <is>
          <t>1979-02-14</t>
        </is>
      </c>
    </row>
    <row r="28927">
      <c r="A28927" s="1" t="n">
        <v>28926</v>
      </c>
      <c r="B28927">
        <f>TEXT(28926, "[$-0E0000]yyyy-mm-dd")</f>
        <v/>
      </c>
      <c r="C28927" t="inlineStr">
        <is>
          <t>1979-02-15</t>
        </is>
      </c>
    </row>
    <row r="28928">
      <c r="A28928" s="1" t="n">
        <v>28927</v>
      </c>
      <c r="B28928">
        <f>TEXT(28927, "[$-0E0000]yyyy-mm-dd")</f>
        <v/>
      </c>
      <c r="C28928" t="inlineStr">
        <is>
          <t>1979-02-16</t>
        </is>
      </c>
    </row>
    <row r="28929">
      <c r="A28929" s="1" t="n">
        <v>28928</v>
      </c>
      <c r="B28929">
        <f>TEXT(28928, "[$-0E0000]yyyy-mm-dd")</f>
        <v/>
      </c>
      <c r="C28929" t="inlineStr">
        <is>
          <t>1979-02-17</t>
        </is>
      </c>
    </row>
    <row r="28930">
      <c r="A28930" s="1" t="n">
        <v>28929</v>
      </c>
      <c r="B28930">
        <f>TEXT(28929, "[$-0E0000]yyyy-mm-dd")</f>
        <v/>
      </c>
      <c r="C28930" t="inlineStr">
        <is>
          <t>1979-02-18</t>
        </is>
      </c>
    </row>
    <row r="28931">
      <c r="A28931" s="1" t="n">
        <v>28930</v>
      </c>
      <c r="B28931">
        <f>TEXT(28930, "[$-0E0000]yyyy-mm-dd")</f>
        <v/>
      </c>
      <c r="C28931" t="inlineStr">
        <is>
          <t>1979-02-19</t>
        </is>
      </c>
    </row>
    <row r="28932">
      <c r="A28932" s="1" t="n">
        <v>28931</v>
      </c>
      <c r="B28932">
        <f>TEXT(28931, "[$-0E0000]yyyy-mm-dd")</f>
        <v/>
      </c>
      <c r="C28932" t="inlineStr">
        <is>
          <t>1979-02-20</t>
        </is>
      </c>
    </row>
    <row r="28933">
      <c r="A28933" s="1" t="n">
        <v>28932</v>
      </c>
      <c r="B28933">
        <f>TEXT(28932, "[$-0E0000]yyyy-mm-dd")</f>
        <v/>
      </c>
      <c r="C28933" t="inlineStr">
        <is>
          <t>1979-02-21</t>
        </is>
      </c>
    </row>
    <row r="28934">
      <c r="A28934" s="1" t="n">
        <v>28933</v>
      </c>
      <c r="B28934">
        <f>TEXT(28933, "[$-0E0000]yyyy-mm-dd")</f>
        <v/>
      </c>
      <c r="C28934" t="inlineStr">
        <is>
          <t>1979-02-22</t>
        </is>
      </c>
    </row>
    <row r="28935">
      <c r="A28935" s="1" t="n">
        <v>28934</v>
      </c>
      <c r="B28935">
        <f>TEXT(28934, "[$-0E0000]yyyy-mm-dd")</f>
        <v/>
      </c>
      <c r="C28935" t="inlineStr">
        <is>
          <t>1979-02-23</t>
        </is>
      </c>
    </row>
    <row r="28936">
      <c r="A28936" s="1" t="n">
        <v>28935</v>
      </c>
      <c r="B28936">
        <f>TEXT(28935, "[$-0E0000]yyyy-mm-dd")</f>
        <v/>
      </c>
      <c r="C28936" t="inlineStr">
        <is>
          <t>1979-02-24</t>
        </is>
      </c>
    </row>
    <row r="28937">
      <c r="A28937" s="1" t="n">
        <v>28936</v>
      </c>
      <c r="B28937">
        <f>TEXT(28936, "[$-0E0000]yyyy-mm-dd")</f>
        <v/>
      </c>
      <c r="C28937" t="inlineStr">
        <is>
          <t>1979-02-25</t>
        </is>
      </c>
    </row>
    <row r="28938">
      <c r="A28938" s="1" t="n">
        <v>28937</v>
      </c>
      <c r="B28938">
        <f>TEXT(28937, "[$-0E0000]yyyy-mm-dd")</f>
        <v/>
      </c>
      <c r="C28938" t="inlineStr">
        <is>
          <t>1979-02-26</t>
        </is>
      </c>
    </row>
    <row r="28939">
      <c r="A28939" s="1" t="n">
        <v>28938</v>
      </c>
      <c r="B28939">
        <f>TEXT(28938, "[$-0E0000]yyyy-mm-dd")</f>
        <v/>
      </c>
      <c r="C28939" t="inlineStr">
        <is>
          <t>1979-02-27</t>
        </is>
      </c>
    </row>
    <row r="28940">
      <c r="A28940" s="1" t="n">
        <v>28939</v>
      </c>
      <c r="B28940">
        <f>TEXT(28939, "[$-0E0000]yyyy-mm-dd")</f>
        <v/>
      </c>
      <c r="C28940" t="inlineStr">
        <is>
          <t>1979-02-28</t>
        </is>
      </c>
    </row>
    <row r="28941">
      <c r="A28941" s="1" t="n">
        <v>28940</v>
      </c>
      <c r="B28941">
        <f>TEXT(28940, "[$-0E0000]yyyy-mm-dd")</f>
        <v/>
      </c>
      <c r="C28941" t="inlineStr">
        <is>
          <t>1979-02-29</t>
        </is>
      </c>
    </row>
    <row r="28942">
      <c r="A28942" s="1" t="n">
        <v>28941</v>
      </c>
      <c r="B28942">
        <f>TEXT(28941, "[$-0E0000]yyyy-mm-dd")</f>
        <v/>
      </c>
      <c r="C28942" t="inlineStr">
        <is>
          <t>1979-03-01</t>
        </is>
      </c>
    </row>
    <row r="28943">
      <c r="A28943" s="1" t="n">
        <v>28942</v>
      </c>
      <c r="B28943">
        <f>TEXT(28942, "[$-0E0000]yyyy-mm-dd")</f>
        <v/>
      </c>
      <c r="C28943" t="inlineStr">
        <is>
          <t>1979-03-02</t>
        </is>
      </c>
    </row>
    <row r="28944">
      <c r="A28944" s="1" t="n">
        <v>28943</v>
      </c>
      <c r="B28944">
        <f>TEXT(28943, "[$-0E0000]yyyy-mm-dd")</f>
        <v/>
      </c>
      <c r="C28944" t="inlineStr">
        <is>
          <t>1979-03-03</t>
        </is>
      </c>
    </row>
    <row r="28945">
      <c r="A28945" s="1" t="n">
        <v>28944</v>
      </c>
      <c r="B28945">
        <f>TEXT(28944, "[$-0E0000]yyyy-mm-dd")</f>
        <v/>
      </c>
      <c r="C28945" t="inlineStr">
        <is>
          <t>1979-03-04</t>
        </is>
      </c>
    </row>
    <row r="28946">
      <c r="A28946" s="1" t="n">
        <v>28945</v>
      </c>
      <c r="B28946">
        <f>TEXT(28945, "[$-0E0000]yyyy-mm-dd")</f>
        <v/>
      </c>
      <c r="C28946" t="inlineStr">
        <is>
          <t>1979-03-05</t>
        </is>
      </c>
    </row>
    <row r="28947">
      <c r="A28947" s="1" t="n">
        <v>28946</v>
      </c>
      <c r="B28947">
        <f>TEXT(28946, "[$-0E0000]yyyy-mm-dd")</f>
        <v/>
      </c>
      <c r="C28947" t="inlineStr">
        <is>
          <t>1979-03-06</t>
        </is>
      </c>
    </row>
    <row r="28948">
      <c r="A28948" s="1" t="n">
        <v>28947</v>
      </c>
      <c r="B28948">
        <f>TEXT(28947, "[$-0E0000]yyyy-mm-dd")</f>
        <v/>
      </c>
      <c r="C28948" t="inlineStr">
        <is>
          <t>1979-03-07</t>
        </is>
      </c>
    </row>
    <row r="28949">
      <c r="A28949" s="1" t="n">
        <v>28948</v>
      </c>
      <c r="B28949">
        <f>TEXT(28948, "[$-0E0000]yyyy-mm-dd")</f>
        <v/>
      </c>
      <c r="C28949" t="inlineStr">
        <is>
          <t>1979-03-08</t>
        </is>
      </c>
    </row>
    <row r="28950">
      <c r="A28950" s="1" t="n">
        <v>28949</v>
      </c>
      <c r="B28950">
        <f>TEXT(28949, "[$-0E0000]yyyy-mm-dd")</f>
        <v/>
      </c>
      <c r="C28950" t="inlineStr">
        <is>
          <t>1979-03-09</t>
        </is>
      </c>
    </row>
    <row r="28951">
      <c r="A28951" s="1" t="n">
        <v>28950</v>
      </c>
      <c r="B28951">
        <f>TEXT(28950, "[$-0E0000]yyyy-mm-dd")</f>
        <v/>
      </c>
      <c r="C28951" t="inlineStr">
        <is>
          <t>1979-03-10</t>
        </is>
      </c>
    </row>
    <row r="28952">
      <c r="A28952" s="1" t="n">
        <v>28951</v>
      </c>
      <c r="B28952">
        <f>TEXT(28951, "[$-0E0000]yyyy-mm-dd")</f>
        <v/>
      </c>
      <c r="C28952" t="inlineStr">
        <is>
          <t>1979-03-11</t>
        </is>
      </c>
    </row>
    <row r="28953">
      <c r="A28953" s="1" t="n">
        <v>28952</v>
      </c>
      <c r="B28953">
        <f>TEXT(28952, "[$-0E0000]yyyy-mm-dd")</f>
        <v/>
      </c>
      <c r="C28953" t="inlineStr">
        <is>
          <t>1979-03-12</t>
        </is>
      </c>
    </row>
    <row r="28954">
      <c r="A28954" s="1" t="n">
        <v>28953</v>
      </c>
      <c r="B28954">
        <f>TEXT(28953, "[$-0E0000]yyyy-mm-dd")</f>
        <v/>
      </c>
      <c r="C28954" t="inlineStr">
        <is>
          <t>1979-03-13</t>
        </is>
      </c>
    </row>
    <row r="28955">
      <c r="A28955" s="1" t="n">
        <v>28954</v>
      </c>
      <c r="B28955">
        <f>TEXT(28954, "[$-0E0000]yyyy-mm-dd")</f>
        <v/>
      </c>
      <c r="C28955" t="inlineStr">
        <is>
          <t>1979-03-14</t>
        </is>
      </c>
    </row>
    <row r="28956">
      <c r="A28956" s="1" t="n">
        <v>28955</v>
      </c>
      <c r="B28956">
        <f>TEXT(28955, "[$-0E0000]yyyy-mm-dd")</f>
        <v/>
      </c>
      <c r="C28956" t="inlineStr">
        <is>
          <t>1979-03-15</t>
        </is>
      </c>
    </row>
    <row r="28957">
      <c r="A28957" s="1" t="n">
        <v>28956</v>
      </c>
      <c r="B28957">
        <f>TEXT(28956, "[$-0E0000]yyyy-mm-dd")</f>
        <v/>
      </c>
      <c r="C28957" t="inlineStr">
        <is>
          <t>1979-03-16</t>
        </is>
      </c>
    </row>
    <row r="28958">
      <c r="A28958" s="1" t="n">
        <v>28957</v>
      </c>
      <c r="B28958">
        <f>TEXT(28957, "[$-0E0000]yyyy-mm-dd")</f>
        <v/>
      </c>
      <c r="C28958" t="inlineStr">
        <is>
          <t>1979-03-17</t>
        </is>
      </c>
    </row>
    <row r="28959">
      <c r="A28959" s="1" t="n">
        <v>28958</v>
      </c>
      <c r="B28959">
        <f>TEXT(28958, "[$-0E0000]yyyy-mm-dd")</f>
        <v/>
      </c>
      <c r="C28959" t="inlineStr">
        <is>
          <t>1979-03-18</t>
        </is>
      </c>
    </row>
    <row r="28960">
      <c r="A28960" s="1" t="n">
        <v>28959</v>
      </c>
      <c r="B28960">
        <f>TEXT(28959, "[$-0E0000]yyyy-mm-dd")</f>
        <v/>
      </c>
      <c r="C28960" t="inlineStr">
        <is>
          <t>1979-03-19</t>
        </is>
      </c>
    </row>
    <row r="28961">
      <c r="A28961" s="1" t="n">
        <v>28960</v>
      </c>
      <c r="B28961">
        <f>TEXT(28960, "[$-0E0000]yyyy-mm-dd")</f>
        <v/>
      </c>
      <c r="C28961" t="inlineStr">
        <is>
          <t>1979-03-20</t>
        </is>
      </c>
    </row>
    <row r="28962">
      <c r="A28962" s="1" t="n">
        <v>28961</v>
      </c>
      <c r="B28962">
        <f>TEXT(28961, "[$-0E0000]yyyy-mm-dd")</f>
        <v/>
      </c>
      <c r="C28962" t="inlineStr">
        <is>
          <t>1979-03-21</t>
        </is>
      </c>
    </row>
    <row r="28963">
      <c r="A28963" s="1" t="n">
        <v>28962</v>
      </c>
      <c r="B28963">
        <f>TEXT(28962, "[$-0E0000]yyyy-mm-dd")</f>
        <v/>
      </c>
      <c r="C28963" t="inlineStr">
        <is>
          <t>1979-03-22</t>
        </is>
      </c>
    </row>
    <row r="28964">
      <c r="A28964" s="1" t="n">
        <v>28963</v>
      </c>
      <c r="B28964">
        <f>TEXT(28963, "[$-0E0000]yyyy-mm-dd")</f>
        <v/>
      </c>
      <c r="C28964" t="inlineStr">
        <is>
          <t>1979-03-23</t>
        </is>
      </c>
    </row>
    <row r="28965">
      <c r="A28965" s="1" t="n">
        <v>28964</v>
      </c>
      <c r="B28965">
        <f>TEXT(28964, "[$-0E0000]yyyy-mm-dd")</f>
        <v/>
      </c>
      <c r="C28965" t="inlineStr">
        <is>
          <t>1979-03-24</t>
        </is>
      </c>
    </row>
    <row r="28966">
      <c r="A28966" s="1" t="n">
        <v>28965</v>
      </c>
      <c r="B28966">
        <f>TEXT(28965, "[$-0E0000]yyyy-mm-dd")</f>
        <v/>
      </c>
      <c r="C28966" t="inlineStr">
        <is>
          <t>1979-03-25</t>
        </is>
      </c>
    </row>
    <row r="28967">
      <c r="A28967" s="1" t="n">
        <v>28966</v>
      </c>
      <c r="B28967">
        <f>TEXT(28966, "[$-0E0000]yyyy-mm-dd")</f>
        <v/>
      </c>
      <c r="C28967" t="inlineStr">
        <is>
          <t>1979-03-26</t>
        </is>
      </c>
    </row>
    <row r="28968">
      <c r="A28968" s="1" t="n">
        <v>28967</v>
      </c>
      <c r="B28968">
        <f>TEXT(28967, "[$-0E0000]yyyy-mm-dd")</f>
        <v/>
      </c>
      <c r="C28968" t="inlineStr">
        <is>
          <t>1979-03-27</t>
        </is>
      </c>
    </row>
    <row r="28969">
      <c r="A28969" s="1" t="n">
        <v>28968</v>
      </c>
      <c r="B28969">
        <f>TEXT(28968, "[$-0E0000]yyyy-mm-dd")</f>
        <v/>
      </c>
      <c r="C28969" t="inlineStr">
        <is>
          <t>1979-03-28</t>
        </is>
      </c>
    </row>
    <row r="28970">
      <c r="A28970" s="1" t="n">
        <v>28969</v>
      </c>
      <c r="B28970">
        <f>TEXT(28969, "[$-0E0000]yyyy-mm-dd")</f>
        <v/>
      </c>
      <c r="C28970" t="inlineStr">
        <is>
          <t>1979-03-29</t>
        </is>
      </c>
    </row>
    <row r="28971">
      <c r="A28971" s="1" t="n">
        <v>28970</v>
      </c>
      <c r="B28971">
        <f>TEXT(28970, "[$-0E0000]yyyy-mm-dd")</f>
        <v/>
      </c>
      <c r="C28971" t="inlineStr">
        <is>
          <t>1979-04-01</t>
        </is>
      </c>
    </row>
    <row r="28972">
      <c r="A28972" s="1" t="n">
        <v>28971</v>
      </c>
      <c r="B28972">
        <f>TEXT(28971, "[$-0E0000]yyyy-mm-dd")</f>
        <v/>
      </c>
      <c r="C28972" t="inlineStr">
        <is>
          <t>1979-04-02</t>
        </is>
      </c>
    </row>
    <row r="28973">
      <c r="A28973" s="1" t="n">
        <v>28972</v>
      </c>
      <c r="B28973">
        <f>TEXT(28972, "[$-0E0000]yyyy-mm-dd")</f>
        <v/>
      </c>
      <c r="C28973" t="inlineStr">
        <is>
          <t>1979-04-03</t>
        </is>
      </c>
    </row>
    <row r="28974">
      <c r="A28974" s="1" t="n">
        <v>28973</v>
      </c>
      <c r="B28974">
        <f>TEXT(28973, "[$-0E0000]yyyy-mm-dd")</f>
        <v/>
      </c>
      <c r="C28974" t="inlineStr">
        <is>
          <t>1979-04-04</t>
        </is>
      </c>
    </row>
    <row r="28975">
      <c r="A28975" s="1" t="n">
        <v>28974</v>
      </c>
      <c r="B28975">
        <f>TEXT(28974, "[$-0E0000]yyyy-mm-dd")</f>
        <v/>
      </c>
      <c r="C28975" t="inlineStr">
        <is>
          <t>1979-04-05</t>
        </is>
      </c>
    </row>
    <row r="28976">
      <c r="A28976" s="1" t="n">
        <v>28975</v>
      </c>
      <c r="B28976">
        <f>TEXT(28975, "[$-0E0000]yyyy-mm-dd")</f>
        <v/>
      </c>
      <c r="C28976" t="inlineStr">
        <is>
          <t>1979-04-06</t>
        </is>
      </c>
    </row>
    <row r="28977">
      <c r="A28977" s="1" t="n">
        <v>28976</v>
      </c>
      <c r="B28977">
        <f>TEXT(28976, "[$-0E0000]yyyy-mm-dd")</f>
        <v/>
      </c>
      <c r="C28977" t="inlineStr">
        <is>
          <t>1979-04-07</t>
        </is>
      </c>
    </row>
    <row r="28978">
      <c r="A28978" s="1" t="n">
        <v>28977</v>
      </c>
      <c r="B28978">
        <f>TEXT(28977, "[$-0E0000]yyyy-mm-dd")</f>
        <v/>
      </c>
      <c r="C28978" t="inlineStr">
        <is>
          <t>1979-04-08</t>
        </is>
      </c>
    </row>
    <row r="28979">
      <c r="A28979" s="1" t="n">
        <v>28978</v>
      </c>
      <c r="B28979">
        <f>TEXT(28978, "[$-0E0000]yyyy-mm-dd")</f>
        <v/>
      </c>
      <c r="C28979" t="inlineStr">
        <is>
          <t>1979-04-09</t>
        </is>
      </c>
    </row>
    <row r="28980">
      <c r="A28980" s="1" t="n">
        <v>28979</v>
      </c>
      <c r="B28980">
        <f>TEXT(28979, "[$-0E0000]yyyy-mm-dd")</f>
        <v/>
      </c>
      <c r="C28980" t="inlineStr">
        <is>
          <t>1979-04-10</t>
        </is>
      </c>
    </row>
    <row r="28981">
      <c r="A28981" s="1" t="n">
        <v>28980</v>
      </c>
      <c r="B28981">
        <f>TEXT(28980, "[$-0E0000]yyyy-mm-dd")</f>
        <v/>
      </c>
      <c r="C28981" t="inlineStr">
        <is>
          <t>1979-04-11</t>
        </is>
      </c>
    </row>
    <row r="28982">
      <c r="A28982" s="1" t="n">
        <v>28981</v>
      </c>
      <c r="B28982">
        <f>TEXT(28981, "[$-0E0000]yyyy-mm-dd")</f>
        <v/>
      </c>
      <c r="C28982" t="inlineStr">
        <is>
          <t>1979-04-12</t>
        </is>
      </c>
    </row>
    <row r="28983">
      <c r="A28983" s="1" t="n">
        <v>28982</v>
      </c>
      <c r="B28983">
        <f>TEXT(28982, "[$-0E0000]yyyy-mm-dd")</f>
        <v/>
      </c>
      <c r="C28983" t="inlineStr">
        <is>
          <t>1979-04-13</t>
        </is>
      </c>
    </row>
    <row r="28984">
      <c r="A28984" s="1" t="n">
        <v>28983</v>
      </c>
      <c r="B28984">
        <f>TEXT(28983, "[$-0E0000]yyyy-mm-dd")</f>
        <v/>
      </c>
      <c r="C28984" t="inlineStr">
        <is>
          <t>1979-04-14</t>
        </is>
      </c>
    </row>
    <row r="28985">
      <c r="A28985" s="1" t="n">
        <v>28984</v>
      </c>
      <c r="B28985">
        <f>TEXT(28984, "[$-0E0000]yyyy-mm-dd")</f>
        <v/>
      </c>
      <c r="C28985" t="inlineStr">
        <is>
          <t>1979-04-15</t>
        </is>
      </c>
    </row>
    <row r="28986">
      <c r="A28986" s="1" t="n">
        <v>28985</v>
      </c>
      <c r="B28986">
        <f>TEXT(28985, "[$-0E0000]yyyy-mm-dd")</f>
        <v/>
      </c>
      <c r="C28986" t="inlineStr">
        <is>
          <t>1979-04-16</t>
        </is>
      </c>
    </row>
    <row r="28987">
      <c r="A28987" s="1" t="n">
        <v>28986</v>
      </c>
      <c r="B28987">
        <f>TEXT(28986, "[$-0E0000]yyyy-mm-dd")</f>
        <v/>
      </c>
      <c r="C28987" t="inlineStr">
        <is>
          <t>1979-04-17</t>
        </is>
      </c>
    </row>
    <row r="28988">
      <c r="A28988" s="1" t="n">
        <v>28987</v>
      </c>
      <c r="B28988">
        <f>TEXT(28987, "[$-0E0000]yyyy-mm-dd")</f>
        <v/>
      </c>
      <c r="C28988" t="inlineStr">
        <is>
          <t>1979-04-18</t>
        </is>
      </c>
    </row>
    <row r="28989">
      <c r="A28989" s="1" t="n">
        <v>28988</v>
      </c>
      <c r="B28989">
        <f>TEXT(28988, "[$-0E0000]yyyy-mm-dd")</f>
        <v/>
      </c>
      <c r="C28989" t="inlineStr">
        <is>
          <t>1979-04-19</t>
        </is>
      </c>
    </row>
    <row r="28990">
      <c r="A28990" s="1" t="n">
        <v>28989</v>
      </c>
      <c r="B28990">
        <f>TEXT(28989, "[$-0E0000]yyyy-mm-dd")</f>
        <v/>
      </c>
      <c r="C28990" t="inlineStr">
        <is>
          <t>1979-04-20</t>
        </is>
      </c>
    </row>
    <row r="28991">
      <c r="A28991" s="1" t="n">
        <v>28990</v>
      </c>
      <c r="B28991">
        <f>TEXT(28990, "[$-0E0000]yyyy-mm-dd")</f>
        <v/>
      </c>
      <c r="C28991" t="inlineStr">
        <is>
          <t>1979-04-21</t>
        </is>
      </c>
    </row>
    <row r="28992">
      <c r="A28992" s="1" t="n">
        <v>28991</v>
      </c>
      <c r="B28992">
        <f>TEXT(28991, "[$-0E0000]yyyy-mm-dd")</f>
        <v/>
      </c>
      <c r="C28992" t="inlineStr">
        <is>
          <t>1979-04-22</t>
        </is>
      </c>
    </row>
    <row r="28993">
      <c r="A28993" s="1" t="n">
        <v>28992</v>
      </c>
      <c r="B28993">
        <f>TEXT(28992, "[$-0E0000]yyyy-mm-dd")</f>
        <v/>
      </c>
      <c r="C28993" t="inlineStr">
        <is>
          <t>1979-04-23</t>
        </is>
      </c>
    </row>
    <row r="28994">
      <c r="A28994" s="1" t="n">
        <v>28993</v>
      </c>
      <c r="B28994">
        <f>TEXT(28993, "[$-0E0000]yyyy-mm-dd")</f>
        <v/>
      </c>
      <c r="C28994" t="inlineStr">
        <is>
          <t>1979-04-24</t>
        </is>
      </c>
    </row>
    <row r="28995">
      <c r="A28995" s="1" t="n">
        <v>28994</v>
      </c>
      <c r="B28995">
        <f>TEXT(28994, "[$-0E0000]yyyy-mm-dd")</f>
        <v/>
      </c>
      <c r="C28995" t="inlineStr">
        <is>
          <t>1979-04-25</t>
        </is>
      </c>
    </row>
    <row r="28996">
      <c r="A28996" s="1" t="n">
        <v>28995</v>
      </c>
      <c r="B28996">
        <f>TEXT(28995, "[$-0E0000]yyyy-mm-dd")</f>
        <v/>
      </c>
      <c r="C28996" t="inlineStr">
        <is>
          <t>1979-04-26</t>
        </is>
      </c>
    </row>
    <row r="28997">
      <c r="A28997" s="1" t="n">
        <v>28996</v>
      </c>
      <c r="B28997">
        <f>TEXT(28996, "[$-0E0000]yyyy-mm-dd")</f>
        <v/>
      </c>
      <c r="C28997" t="inlineStr">
        <is>
          <t>1979-04-27</t>
        </is>
      </c>
    </row>
    <row r="28998">
      <c r="A28998" s="1" t="n">
        <v>28997</v>
      </c>
      <c r="B28998">
        <f>TEXT(28997, "[$-0E0000]yyyy-mm-dd")</f>
        <v/>
      </c>
      <c r="C28998" t="inlineStr">
        <is>
          <t>1979-04-28</t>
        </is>
      </c>
    </row>
    <row r="28999">
      <c r="A28999" s="1" t="n">
        <v>28998</v>
      </c>
      <c r="B28999">
        <f>TEXT(28998, "[$-0E0000]yyyy-mm-dd")</f>
        <v/>
      </c>
      <c r="C28999" t="inlineStr">
        <is>
          <t>1979-04-29</t>
        </is>
      </c>
    </row>
    <row r="29000">
      <c r="A29000" s="1" t="n">
        <v>28999</v>
      </c>
      <c r="B29000">
        <f>TEXT(28999, "[$-0E0000]yyyy-mm-dd")</f>
        <v/>
      </c>
      <c r="C29000" t="inlineStr">
        <is>
          <t>1979-04-30</t>
        </is>
      </c>
    </row>
    <row r="29001">
      <c r="A29001" s="1" t="n">
        <v>29000</v>
      </c>
      <c r="B29001">
        <f>TEXT(29000, "[$-0E0000]yyyy-mm-dd")</f>
        <v/>
      </c>
      <c r="C29001" t="inlineStr">
        <is>
          <t>1979-05-01</t>
        </is>
      </c>
    </row>
    <row r="29002">
      <c r="A29002" s="1" t="n">
        <v>29001</v>
      </c>
      <c r="B29002">
        <f>TEXT(29001, "[$-0E0000]yyyy-mm-dd")</f>
        <v/>
      </c>
      <c r="C29002" t="inlineStr">
        <is>
          <t>1979-05-02</t>
        </is>
      </c>
    </row>
    <row r="29003">
      <c r="A29003" s="1" t="n">
        <v>29002</v>
      </c>
      <c r="B29003">
        <f>TEXT(29002, "[$-0E0000]yyyy-mm-dd")</f>
        <v/>
      </c>
      <c r="C29003" t="inlineStr">
        <is>
          <t>1979-05-03</t>
        </is>
      </c>
    </row>
    <row r="29004">
      <c r="A29004" s="1" t="n">
        <v>29003</v>
      </c>
      <c r="B29004">
        <f>TEXT(29003, "[$-0E0000]yyyy-mm-dd")</f>
        <v/>
      </c>
      <c r="C29004" t="inlineStr">
        <is>
          <t>1979-05-04</t>
        </is>
      </c>
    </row>
    <row r="29005">
      <c r="A29005" s="1" t="n">
        <v>29004</v>
      </c>
      <c r="B29005">
        <f>TEXT(29004, "[$-0E0000]yyyy-mm-dd")</f>
        <v/>
      </c>
      <c r="C29005" t="inlineStr">
        <is>
          <t>1979-05-05</t>
        </is>
      </c>
    </row>
    <row r="29006">
      <c r="A29006" s="1" t="n">
        <v>29005</v>
      </c>
      <c r="B29006">
        <f>TEXT(29005, "[$-0E0000]yyyy-mm-dd")</f>
        <v/>
      </c>
      <c r="C29006" t="inlineStr">
        <is>
          <t>1979-05-06</t>
        </is>
      </c>
    </row>
    <row r="29007">
      <c r="A29007" s="1" t="n">
        <v>29006</v>
      </c>
      <c r="B29007">
        <f>TEXT(29006, "[$-0E0000]yyyy-mm-dd")</f>
        <v/>
      </c>
      <c r="C29007" t="inlineStr">
        <is>
          <t>1979-05-07</t>
        </is>
      </c>
    </row>
    <row r="29008">
      <c r="A29008" s="1" t="n">
        <v>29007</v>
      </c>
      <c r="B29008">
        <f>TEXT(29007, "[$-0E0000]yyyy-mm-dd")</f>
        <v/>
      </c>
      <c r="C29008" t="inlineStr">
        <is>
          <t>1979-05-08</t>
        </is>
      </c>
    </row>
    <row r="29009">
      <c r="A29009" s="1" t="n">
        <v>29008</v>
      </c>
      <c r="B29009">
        <f>TEXT(29008, "[$-0E0000]yyyy-mm-dd")</f>
        <v/>
      </c>
      <c r="C29009" t="inlineStr">
        <is>
          <t>1979-05-09</t>
        </is>
      </c>
    </row>
    <row r="29010">
      <c r="A29010" s="1" t="n">
        <v>29009</v>
      </c>
      <c r="B29010">
        <f>TEXT(29009, "[$-0E0000]yyyy-mm-dd")</f>
        <v/>
      </c>
      <c r="C29010" t="inlineStr">
        <is>
          <t>1979-05-10</t>
        </is>
      </c>
    </row>
    <row r="29011">
      <c r="A29011" s="1" t="n">
        <v>29010</v>
      </c>
      <c r="B29011">
        <f>TEXT(29010, "[$-0E0000]yyyy-mm-dd")</f>
        <v/>
      </c>
      <c r="C29011" t="inlineStr">
        <is>
          <t>1979-05-11</t>
        </is>
      </c>
    </row>
    <row r="29012">
      <c r="A29012" s="1" t="n">
        <v>29011</v>
      </c>
      <c r="B29012">
        <f>TEXT(29011, "[$-0E0000]yyyy-mm-dd")</f>
        <v/>
      </c>
      <c r="C29012" t="inlineStr">
        <is>
          <t>1979-05-12</t>
        </is>
      </c>
    </row>
    <row r="29013">
      <c r="A29013" s="1" t="n">
        <v>29012</v>
      </c>
      <c r="B29013">
        <f>TEXT(29012, "[$-0E0000]yyyy-mm-dd")</f>
        <v/>
      </c>
      <c r="C29013" t="inlineStr">
        <is>
          <t>1979-05-13</t>
        </is>
      </c>
    </row>
    <row r="29014">
      <c r="A29014" s="1" t="n">
        <v>29013</v>
      </c>
      <c r="B29014">
        <f>TEXT(29013, "[$-0E0000]yyyy-mm-dd")</f>
        <v/>
      </c>
      <c r="C29014" t="inlineStr">
        <is>
          <t>1979-05-14</t>
        </is>
      </c>
    </row>
    <row r="29015">
      <c r="A29015" s="1" t="n">
        <v>29014</v>
      </c>
      <c r="B29015">
        <f>TEXT(29014, "[$-0E0000]yyyy-mm-dd")</f>
        <v/>
      </c>
      <c r="C29015" t="inlineStr">
        <is>
          <t>1979-05-15</t>
        </is>
      </c>
    </row>
    <row r="29016">
      <c r="A29016" s="1" t="n">
        <v>29015</v>
      </c>
      <c r="B29016">
        <f>TEXT(29015, "[$-0E0000]yyyy-mm-dd")</f>
        <v/>
      </c>
      <c r="C29016" t="inlineStr">
        <is>
          <t>1979-05-16</t>
        </is>
      </c>
    </row>
    <row r="29017">
      <c r="A29017" s="1" t="n">
        <v>29016</v>
      </c>
      <c r="B29017">
        <f>TEXT(29016, "[$-0E0000]yyyy-mm-dd")</f>
        <v/>
      </c>
      <c r="C29017" t="inlineStr">
        <is>
          <t>1979-05-17</t>
        </is>
      </c>
    </row>
    <row r="29018">
      <c r="A29018" s="1" t="n">
        <v>29017</v>
      </c>
      <c r="B29018">
        <f>TEXT(29017, "[$-0E0000]yyyy-mm-dd")</f>
        <v/>
      </c>
      <c r="C29018" t="inlineStr">
        <is>
          <t>1979-05-18</t>
        </is>
      </c>
    </row>
    <row r="29019">
      <c r="A29019" s="1" t="n">
        <v>29018</v>
      </c>
      <c r="B29019">
        <f>TEXT(29018, "[$-0E0000]yyyy-mm-dd")</f>
        <v/>
      </c>
      <c r="C29019" t="inlineStr">
        <is>
          <t>1979-05-19</t>
        </is>
      </c>
    </row>
    <row r="29020">
      <c r="A29020" s="1" t="n">
        <v>29019</v>
      </c>
      <c r="B29020">
        <f>TEXT(29019, "[$-0E0000]yyyy-mm-dd")</f>
        <v/>
      </c>
      <c r="C29020" t="inlineStr">
        <is>
          <t>1979-05-20</t>
        </is>
      </c>
    </row>
    <row r="29021">
      <c r="A29021" s="1" t="n">
        <v>29020</v>
      </c>
      <c r="B29021">
        <f>TEXT(29020, "[$-0E0000]yyyy-mm-dd")</f>
        <v/>
      </c>
      <c r="C29021" t="inlineStr">
        <is>
          <t>1979-05-21</t>
        </is>
      </c>
    </row>
    <row r="29022">
      <c r="A29022" s="1" t="n">
        <v>29021</v>
      </c>
      <c r="B29022">
        <f>TEXT(29021, "[$-0E0000]yyyy-mm-dd")</f>
        <v/>
      </c>
      <c r="C29022" t="inlineStr">
        <is>
          <t>1979-05-22</t>
        </is>
      </c>
    </row>
    <row r="29023">
      <c r="A29023" s="1" t="n">
        <v>29022</v>
      </c>
      <c r="B29023">
        <f>TEXT(29022, "[$-0E0000]yyyy-mm-dd")</f>
        <v/>
      </c>
      <c r="C29023" t="inlineStr">
        <is>
          <t>1979-05-23</t>
        </is>
      </c>
    </row>
    <row r="29024">
      <c r="A29024" s="1" t="n">
        <v>29023</v>
      </c>
      <c r="B29024">
        <f>TEXT(29023, "[$-0E0000]yyyy-mm-dd")</f>
        <v/>
      </c>
      <c r="C29024" t="inlineStr">
        <is>
          <t>1979-05-24</t>
        </is>
      </c>
    </row>
    <row r="29025">
      <c r="A29025" s="1" t="n">
        <v>29024</v>
      </c>
      <c r="B29025">
        <f>TEXT(29024, "[$-0E0000]yyyy-mm-dd")</f>
        <v/>
      </c>
      <c r="C29025" t="inlineStr">
        <is>
          <t>1979-05-25</t>
        </is>
      </c>
    </row>
    <row r="29026">
      <c r="A29026" s="1" t="n">
        <v>29025</v>
      </c>
      <c r="B29026">
        <f>TEXT(29025, "[$-0E0000]yyyy-mm-dd")</f>
        <v/>
      </c>
      <c r="C29026" t="inlineStr">
        <is>
          <t>1979-05-26</t>
        </is>
      </c>
    </row>
    <row r="29027">
      <c r="A29027" s="1" t="n">
        <v>29026</v>
      </c>
      <c r="B29027">
        <f>TEXT(29026, "[$-0E0000]yyyy-mm-dd")</f>
        <v/>
      </c>
      <c r="C29027" t="inlineStr">
        <is>
          <t>1979-05-27</t>
        </is>
      </c>
    </row>
    <row r="29028">
      <c r="A29028" s="1" t="n">
        <v>29027</v>
      </c>
      <c r="B29028">
        <f>TEXT(29027, "[$-0E0000]yyyy-mm-dd")</f>
        <v/>
      </c>
      <c r="C29028" t="inlineStr">
        <is>
          <t>1979-05-28</t>
        </is>
      </c>
    </row>
    <row r="29029">
      <c r="A29029" s="1" t="n">
        <v>29028</v>
      </c>
      <c r="B29029">
        <f>TEXT(29028, "[$-0E0000]yyyy-mm-dd")</f>
        <v/>
      </c>
      <c r="C29029" t="inlineStr">
        <is>
          <t>1979-05-29</t>
        </is>
      </c>
    </row>
    <row r="29030">
      <c r="A29030" s="1" t="n">
        <v>29029</v>
      </c>
      <c r="B29030">
        <f>TEXT(29029, "[$-0E0000]yyyy-mm-dd")</f>
        <v/>
      </c>
      <c r="C29030" t="inlineStr">
        <is>
          <t>1979-06-01</t>
        </is>
      </c>
    </row>
    <row r="29031">
      <c r="A29031" s="1" t="n">
        <v>29030</v>
      </c>
      <c r="B29031">
        <f>TEXT(29030, "[$-0E0000]yyyy-mm-dd")</f>
        <v/>
      </c>
      <c r="C29031" t="inlineStr">
        <is>
          <t>1979-06-02</t>
        </is>
      </c>
    </row>
    <row r="29032">
      <c r="A29032" s="1" t="n">
        <v>29031</v>
      </c>
      <c r="B29032">
        <f>TEXT(29031, "[$-0E0000]yyyy-mm-dd")</f>
        <v/>
      </c>
      <c r="C29032" t="inlineStr">
        <is>
          <t>1979-06-03</t>
        </is>
      </c>
    </row>
    <row r="29033">
      <c r="A29033" s="1" t="n">
        <v>29032</v>
      </c>
      <c r="B29033">
        <f>TEXT(29032, "[$-0E0000]yyyy-mm-dd")</f>
        <v/>
      </c>
      <c r="C29033" t="inlineStr">
        <is>
          <t>1979-06-04</t>
        </is>
      </c>
    </row>
    <row r="29034">
      <c r="A29034" s="1" t="n">
        <v>29033</v>
      </c>
      <c r="B29034">
        <f>TEXT(29033, "[$-0E0000]yyyy-mm-dd")</f>
        <v/>
      </c>
      <c r="C29034" t="inlineStr">
        <is>
          <t>1979-06-05</t>
        </is>
      </c>
    </row>
    <row r="29035">
      <c r="A29035" s="1" t="n">
        <v>29034</v>
      </c>
      <c r="B29035">
        <f>TEXT(29034, "[$-0E0000]yyyy-mm-dd")</f>
        <v/>
      </c>
      <c r="C29035" t="inlineStr">
        <is>
          <t>1979-06-06</t>
        </is>
      </c>
    </row>
    <row r="29036">
      <c r="A29036" s="1" t="n">
        <v>29035</v>
      </c>
      <c r="B29036">
        <f>TEXT(29035, "[$-0E0000]yyyy-mm-dd")</f>
        <v/>
      </c>
      <c r="C29036" t="inlineStr">
        <is>
          <t>1979-06-07</t>
        </is>
      </c>
    </row>
    <row r="29037">
      <c r="A29037" s="1" t="n">
        <v>29036</v>
      </c>
      <c r="B29037">
        <f>TEXT(29036, "[$-0E0000]yyyy-mm-dd")</f>
        <v/>
      </c>
      <c r="C29037" t="inlineStr">
        <is>
          <t>1979-06-08</t>
        </is>
      </c>
    </row>
    <row r="29038">
      <c r="A29038" s="1" t="n">
        <v>29037</v>
      </c>
      <c r="B29038">
        <f>TEXT(29037, "[$-0E0000]yyyy-mm-dd")</f>
        <v/>
      </c>
      <c r="C29038" t="inlineStr">
        <is>
          <t>1979-06-09</t>
        </is>
      </c>
    </row>
    <row r="29039">
      <c r="A29039" s="1" t="n">
        <v>29038</v>
      </c>
      <c r="B29039">
        <f>TEXT(29038, "[$-0E0000]yyyy-mm-dd")</f>
        <v/>
      </c>
      <c r="C29039" t="inlineStr">
        <is>
          <t>1979-06-10</t>
        </is>
      </c>
    </row>
    <row r="29040">
      <c r="A29040" s="1" t="n">
        <v>29039</v>
      </c>
      <c r="B29040">
        <f>TEXT(29039, "[$-0E0000]yyyy-mm-dd")</f>
        <v/>
      </c>
      <c r="C29040" t="inlineStr">
        <is>
          <t>1979-06-11</t>
        </is>
      </c>
    </row>
    <row r="29041">
      <c r="A29041" s="1" t="n">
        <v>29040</v>
      </c>
      <c r="B29041">
        <f>TEXT(29040, "[$-0E0000]yyyy-mm-dd")</f>
        <v/>
      </c>
      <c r="C29041" t="inlineStr">
        <is>
          <t>1979-06-12</t>
        </is>
      </c>
    </row>
    <row r="29042">
      <c r="A29042" s="1" t="n">
        <v>29041</v>
      </c>
      <c r="B29042">
        <f>TEXT(29041, "[$-0E0000]yyyy-mm-dd")</f>
        <v/>
      </c>
      <c r="C29042" t="inlineStr">
        <is>
          <t>1979-06-13</t>
        </is>
      </c>
    </row>
    <row r="29043">
      <c r="A29043" s="1" t="n">
        <v>29042</v>
      </c>
      <c r="B29043">
        <f>TEXT(29042, "[$-0E0000]yyyy-mm-dd")</f>
        <v/>
      </c>
      <c r="C29043" t="inlineStr">
        <is>
          <t>1979-06-14</t>
        </is>
      </c>
    </row>
    <row r="29044">
      <c r="A29044" s="1" t="n">
        <v>29043</v>
      </c>
      <c r="B29044">
        <f>TEXT(29043, "[$-0E0000]yyyy-mm-dd")</f>
        <v/>
      </c>
      <c r="C29044" t="inlineStr">
        <is>
          <t>1979-06-15</t>
        </is>
      </c>
    </row>
    <row r="29045">
      <c r="A29045" s="1" t="n">
        <v>29044</v>
      </c>
      <c r="B29045">
        <f>TEXT(29044, "[$-0E0000]yyyy-mm-dd")</f>
        <v/>
      </c>
      <c r="C29045" t="inlineStr">
        <is>
          <t>1979-06-16</t>
        </is>
      </c>
    </row>
    <row r="29046">
      <c r="A29046" s="1" t="n">
        <v>29045</v>
      </c>
      <c r="B29046">
        <f>TEXT(29045, "[$-0E0000]yyyy-mm-dd")</f>
        <v/>
      </c>
      <c r="C29046" t="inlineStr">
        <is>
          <t>1979-06-17</t>
        </is>
      </c>
    </row>
    <row r="29047">
      <c r="A29047" s="1" t="n">
        <v>29046</v>
      </c>
      <c r="B29047">
        <f>TEXT(29046, "[$-0E0000]yyyy-mm-dd")</f>
        <v/>
      </c>
      <c r="C29047" t="inlineStr">
        <is>
          <t>1979-06-18</t>
        </is>
      </c>
    </row>
    <row r="29048">
      <c r="A29048" s="1" t="n">
        <v>29047</v>
      </c>
      <c r="B29048">
        <f>TEXT(29047, "[$-0E0000]yyyy-mm-dd")</f>
        <v/>
      </c>
      <c r="C29048" t="inlineStr">
        <is>
          <t>1979-06-19</t>
        </is>
      </c>
    </row>
    <row r="29049">
      <c r="A29049" s="1" t="n">
        <v>29048</v>
      </c>
      <c r="B29049">
        <f>TEXT(29048, "[$-0E0000]yyyy-mm-dd")</f>
        <v/>
      </c>
      <c r="C29049" t="inlineStr">
        <is>
          <t>1979-06-20</t>
        </is>
      </c>
    </row>
    <row r="29050">
      <c r="A29050" s="1" t="n">
        <v>29049</v>
      </c>
      <c r="B29050">
        <f>TEXT(29049, "[$-0E0000]yyyy-mm-dd")</f>
        <v/>
      </c>
      <c r="C29050" t="inlineStr">
        <is>
          <t>1979-06-21</t>
        </is>
      </c>
    </row>
    <row r="29051">
      <c r="A29051" s="1" t="n">
        <v>29050</v>
      </c>
      <c r="B29051">
        <f>TEXT(29050, "[$-0E0000]yyyy-mm-dd")</f>
        <v/>
      </c>
      <c r="C29051" t="inlineStr">
        <is>
          <t>1979-06-22</t>
        </is>
      </c>
    </row>
    <row r="29052">
      <c r="A29052" s="1" t="n">
        <v>29051</v>
      </c>
      <c r="B29052">
        <f>TEXT(29051, "[$-0E0000]yyyy-mm-dd")</f>
        <v/>
      </c>
      <c r="C29052" t="inlineStr">
        <is>
          <t>1979-06-23</t>
        </is>
      </c>
    </row>
    <row r="29053">
      <c r="A29053" s="1" t="n">
        <v>29052</v>
      </c>
      <c r="B29053">
        <f>TEXT(29052, "[$-0E0000]yyyy-mm-dd")</f>
        <v/>
      </c>
      <c r="C29053" t="inlineStr">
        <is>
          <t>1979-06-24</t>
        </is>
      </c>
    </row>
    <row r="29054">
      <c r="A29054" s="1" t="n">
        <v>29053</v>
      </c>
      <c r="B29054">
        <f>TEXT(29053, "[$-0E0000]yyyy-mm-dd")</f>
        <v/>
      </c>
      <c r="C29054" t="inlineStr">
        <is>
          <t>1979-06-25</t>
        </is>
      </c>
    </row>
    <row r="29055">
      <c r="A29055" s="1" t="n">
        <v>29054</v>
      </c>
      <c r="B29055">
        <f>TEXT(29054, "[$-0E0000]yyyy-mm-dd")</f>
        <v/>
      </c>
      <c r="C29055" t="inlineStr">
        <is>
          <t>1979-06-26</t>
        </is>
      </c>
    </row>
    <row r="29056">
      <c r="A29056" s="1" t="n">
        <v>29055</v>
      </c>
      <c r="B29056">
        <f>TEXT(29055, "[$-0E0000]yyyy-mm-dd")</f>
        <v/>
      </c>
      <c r="C29056" t="inlineStr">
        <is>
          <t>1979-06-27</t>
        </is>
      </c>
    </row>
    <row r="29057">
      <c r="A29057" s="1" t="n">
        <v>29056</v>
      </c>
      <c r="B29057">
        <f>TEXT(29056, "[$-0E0000]yyyy-mm-dd")</f>
        <v/>
      </c>
      <c r="C29057" t="inlineStr">
        <is>
          <t>1979-06-28</t>
        </is>
      </c>
    </row>
    <row r="29058">
      <c r="A29058" s="1" t="n">
        <v>29057</v>
      </c>
      <c r="B29058">
        <f>TEXT(29057, "[$-0E0000]yyyy-mm-dd")</f>
        <v/>
      </c>
      <c r="C29058" t="inlineStr">
        <is>
          <t>1979-06-29</t>
        </is>
      </c>
    </row>
    <row r="29059">
      <c r="A29059" s="1" t="n">
        <v>29058</v>
      </c>
      <c r="B29059">
        <f>TEXT(29058, "[$-0E0000]yyyy-mm-dd")</f>
        <v/>
      </c>
      <c r="C29059" t="inlineStr">
        <is>
          <t>1979-06-30</t>
        </is>
      </c>
    </row>
    <row r="29060">
      <c r="A29060" s="1" t="n">
        <v>29059</v>
      </c>
      <c r="B29060">
        <f>TEXT(29059, "[$-0E0000]yyyy-mm-dd")</f>
        <v/>
      </c>
      <c r="C29060" t="inlineStr">
        <is>
          <t>1979-06-01</t>
        </is>
      </c>
    </row>
    <row r="29061">
      <c r="A29061" s="1" t="n">
        <v>29060</v>
      </c>
      <c r="B29061">
        <f>TEXT(29060, "[$-0E0000]yyyy-mm-dd")</f>
        <v/>
      </c>
      <c r="C29061" t="inlineStr">
        <is>
          <t>1979-06-02</t>
        </is>
      </c>
    </row>
    <row r="29062">
      <c r="A29062" s="1" t="n">
        <v>29061</v>
      </c>
      <c r="B29062">
        <f>TEXT(29061, "[$-0E0000]yyyy-mm-dd")</f>
        <v/>
      </c>
      <c r="C29062" t="inlineStr">
        <is>
          <t>1979-06-03</t>
        </is>
      </c>
    </row>
    <row r="29063">
      <c r="A29063" s="1" t="n">
        <v>29062</v>
      </c>
      <c r="B29063">
        <f>TEXT(29062, "[$-0E0000]yyyy-mm-dd")</f>
        <v/>
      </c>
      <c r="C29063" t="inlineStr">
        <is>
          <t>1979-06-04</t>
        </is>
      </c>
    </row>
    <row r="29064">
      <c r="A29064" s="1" t="n">
        <v>29063</v>
      </c>
      <c r="B29064">
        <f>TEXT(29063, "[$-0E0000]yyyy-mm-dd")</f>
        <v/>
      </c>
      <c r="C29064" t="inlineStr">
        <is>
          <t>1979-06-05</t>
        </is>
      </c>
    </row>
    <row r="29065">
      <c r="A29065" s="1" t="n">
        <v>29064</v>
      </c>
      <c r="B29065">
        <f>TEXT(29064, "[$-0E0000]yyyy-mm-dd")</f>
        <v/>
      </c>
      <c r="C29065" t="inlineStr">
        <is>
          <t>1979-06-06</t>
        </is>
      </c>
    </row>
    <row r="29066">
      <c r="A29066" s="1" t="n">
        <v>29065</v>
      </c>
      <c r="B29066">
        <f>TEXT(29065, "[$-0E0000]yyyy-mm-dd")</f>
        <v/>
      </c>
      <c r="C29066" t="inlineStr">
        <is>
          <t>1979-06-07</t>
        </is>
      </c>
    </row>
    <row r="29067">
      <c r="A29067" s="1" t="n">
        <v>29066</v>
      </c>
      <c r="B29067">
        <f>TEXT(29066, "[$-0E0000]yyyy-mm-dd")</f>
        <v/>
      </c>
      <c r="C29067" t="inlineStr">
        <is>
          <t>1979-06-08</t>
        </is>
      </c>
    </row>
    <row r="29068">
      <c r="A29068" s="1" t="n">
        <v>29067</v>
      </c>
      <c r="B29068">
        <f>TEXT(29067, "[$-0E0000]yyyy-mm-dd")</f>
        <v/>
      </c>
      <c r="C29068" t="inlineStr">
        <is>
          <t>1979-06-09</t>
        </is>
      </c>
    </row>
    <row r="29069">
      <c r="A29069" s="1" t="n">
        <v>29068</v>
      </c>
      <c r="B29069">
        <f>TEXT(29068, "[$-0E0000]yyyy-mm-dd")</f>
        <v/>
      </c>
      <c r="C29069" t="inlineStr">
        <is>
          <t>1979-06-10</t>
        </is>
      </c>
    </row>
    <row r="29070">
      <c r="A29070" s="1" t="n">
        <v>29069</v>
      </c>
      <c r="B29070">
        <f>TEXT(29069, "[$-0E0000]yyyy-mm-dd")</f>
        <v/>
      </c>
      <c r="C29070" t="inlineStr">
        <is>
          <t>1979-06-11</t>
        </is>
      </c>
    </row>
    <row r="29071">
      <c r="A29071" s="1" t="n">
        <v>29070</v>
      </c>
      <c r="B29071">
        <f>TEXT(29070, "[$-0E0000]yyyy-mm-dd")</f>
        <v/>
      </c>
      <c r="C29071" t="inlineStr">
        <is>
          <t>1979-06-12</t>
        </is>
      </c>
    </row>
    <row r="29072">
      <c r="A29072" s="1" t="n">
        <v>29071</v>
      </c>
      <c r="B29072">
        <f>TEXT(29071, "[$-0E0000]yyyy-mm-dd")</f>
        <v/>
      </c>
      <c r="C29072" t="inlineStr">
        <is>
          <t>1979-06-13</t>
        </is>
      </c>
    </row>
    <row r="29073">
      <c r="A29073" s="1" t="n">
        <v>29072</v>
      </c>
      <c r="B29073">
        <f>TEXT(29072, "[$-0E0000]yyyy-mm-dd")</f>
        <v/>
      </c>
      <c r="C29073" t="inlineStr">
        <is>
          <t>1979-06-14</t>
        </is>
      </c>
    </row>
    <row r="29074">
      <c r="A29074" s="1" t="n">
        <v>29073</v>
      </c>
      <c r="B29074">
        <f>TEXT(29073, "[$-0E0000]yyyy-mm-dd")</f>
        <v/>
      </c>
      <c r="C29074" t="inlineStr">
        <is>
          <t>1979-06-15</t>
        </is>
      </c>
    </row>
    <row r="29075">
      <c r="A29075" s="1" t="n">
        <v>29074</v>
      </c>
      <c r="B29075">
        <f>TEXT(29074, "[$-0E0000]yyyy-mm-dd")</f>
        <v/>
      </c>
      <c r="C29075" t="inlineStr">
        <is>
          <t>1979-06-16</t>
        </is>
      </c>
    </row>
    <row r="29076">
      <c r="A29076" s="1" t="n">
        <v>29075</v>
      </c>
      <c r="B29076">
        <f>TEXT(29075, "[$-0E0000]yyyy-mm-dd")</f>
        <v/>
      </c>
      <c r="C29076" t="inlineStr">
        <is>
          <t>1979-06-17</t>
        </is>
      </c>
    </row>
    <row r="29077">
      <c r="A29077" s="1" t="n">
        <v>29076</v>
      </c>
      <c r="B29077">
        <f>TEXT(29076, "[$-0E0000]yyyy-mm-dd")</f>
        <v/>
      </c>
      <c r="C29077" t="inlineStr">
        <is>
          <t>1979-06-18</t>
        </is>
      </c>
    </row>
    <row r="29078">
      <c r="A29078" s="1" t="n">
        <v>29077</v>
      </c>
      <c r="B29078">
        <f>TEXT(29077, "[$-0E0000]yyyy-mm-dd")</f>
        <v/>
      </c>
      <c r="C29078" t="inlineStr">
        <is>
          <t>1979-06-19</t>
        </is>
      </c>
    </row>
    <row r="29079">
      <c r="A29079" s="1" t="n">
        <v>29078</v>
      </c>
      <c r="B29079">
        <f>TEXT(29078, "[$-0E0000]yyyy-mm-dd")</f>
        <v/>
      </c>
      <c r="C29079" t="inlineStr">
        <is>
          <t>1979-06-20</t>
        </is>
      </c>
    </row>
    <row r="29080">
      <c r="A29080" s="1" t="n">
        <v>29079</v>
      </c>
      <c r="B29080">
        <f>TEXT(29079, "[$-0E0000]yyyy-mm-dd")</f>
        <v/>
      </c>
      <c r="C29080" t="inlineStr">
        <is>
          <t>1979-06-21</t>
        </is>
      </c>
    </row>
    <row r="29081">
      <c r="A29081" s="1" t="n">
        <v>29080</v>
      </c>
      <c r="B29081">
        <f>TEXT(29080, "[$-0E0000]yyyy-mm-dd")</f>
        <v/>
      </c>
      <c r="C29081" t="inlineStr">
        <is>
          <t>1979-06-22</t>
        </is>
      </c>
    </row>
    <row r="29082">
      <c r="A29082" s="1" t="n">
        <v>29081</v>
      </c>
      <c r="B29082">
        <f>TEXT(29081, "[$-0E0000]yyyy-mm-dd")</f>
        <v/>
      </c>
      <c r="C29082" t="inlineStr">
        <is>
          <t>1979-06-23</t>
        </is>
      </c>
    </row>
    <row r="29083">
      <c r="A29083" s="1" t="n">
        <v>29082</v>
      </c>
      <c r="B29083">
        <f>TEXT(29082, "[$-0E0000]yyyy-mm-dd")</f>
        <v/>
      </c>
      <c r="C29083" t="inlineStr">
        <is>
          <t>1979-06-24</t>
        </is>
      </c>
    </row>
    <row r="29084">
      <c r="A29084" s="1" t="n">
        <v>29083</v>
      </c>
      <c r="B29084">
        <f>TEXT(29083, "[$-0E0000]yyyy-mm-dd")</f>
        <v/>
      </c>
      <c r="C29084" t="inlineStr">
        <is>
          <t>1979-06-25</t>
        </is>
      </c>
    </row>
    <row r="29085">
      <c r="A29085" s="1" t="n">
        <v>29084</v>
      </c>
      <c r="B29085">
        <f>TEXT(29084, "[$-0E0000]yyyy-mm-dd")</f>
        <v/>
      </c>
      <c r="C29085" t="inlineStr">
        <is>
          <t>1979-06-26</t>
        </is>
      </c>
    </row>
    <row r="29086">
      <c r="A29086" s="1" t="n">
        <v>29085</v>
      </c>
      <c r="B29086">
        <f>TEXT(29085, "[$-0E0000]yyyy-mm-dd")</f>
        <v/>
      </c>
      <c r="C29086" t="inlineStr">
        <is>
          <t>1979-06-27</t>
        </is>
      </c>
    </row>
    <row r="29087">
      <c r="A29087" s="1" t="n">
        <v>29086</v>
      </c>
      <c r="B29087">
        <f>TEXT(29086, "[$-0E0000]yyyy-mm-dd")</f>
        <v/>
      </c>
      <c r="C29087" t="inlineStr">
        <is>
          <t>1979-06-28</t>
        </is>
      </c>
    </row>
    <row r="29088">
      <c r="A29088" s="1" t="n">
        <v>29087</v>
      </c>
      <c r="B29088">
        <f>TEXT(29087, "[$-0E0000]yyyy-mm-dd")</f>
        <v/>
      </c>
      <c r="C29088" t="inlineStr">
        <is>
          <t>1979-06-29</t>
        </is>
      </c>
    </row>
    <row r="29089">
      <c r="A29089" s="1" t="n">
        <v>29088</v>
      </c>
      <c r="B29089">
        <f>TEXT(29088, "[$-0E0000]yyyy-mm-dd")</f>
        <v/>
      </c>
      <c r="C29089" t="inlineStr">
        <is>
          <t>1979-06-30</t>
        </is>
      </c>
    </row>
    <row r="29090">
      <c r="A29090" s="1" t="n">
        <v>29089</v>
      </c>
      <c r="B29090">
        <f>TEXT(29089, "[$-0E0000]yyyy-mm-dd")</f>
        <v/>
      </c>
      <c r="C29090" t="inlineStr">
        <is>
          <t>1979-07-01</t>
        </is>
      </c>
    </row>
    <row r="29091">
      <c r="A29091" s="1" t="n">
        <v>29090</v>
      </c>
      <c r="B29091">
        <f>TEXT(29090, "[$-0E0000]yyyy-mm-dd")</f>
        <v/>
      </c>
      <c r="C29091" t="inlineStr">
        <is>
          <t>1979-07-02</t>
        </is>
      </c>
    </row>
    <row r="29092">
      <c r="A29092" s="1" t="n">
        <v>29091</v>
      </c>
      <c r="B29092">
        <f>TEXT(29091, "[$-0E0000]yyyy-mm-dd")</f>
        <v/>
      </c>
      <c r="C29092" t="inlineStr">
        <is>
          <t>1979-07-03</t>
        </is>
      </c>
    </row>
    <row r="29093">
      <c r="A29093" s="1" t="n">
        <v>29092</v>
      </c>
      <c r="B29093">
        <f>TEXT(29092, "[$-0E0000]yyyy-mm-dd")</f>
        <v/>
      </c>
      <c r="C29093" t="inlineStr">
        <is>
          <t>1979-07-04</t>
        </is>
      </c>
    </row>
    <row r="29094">
      <c r="A29094" s="1" t="n">
        <v>29093</v>
      </c>
      <c r="B29094">
        <f>TEXT(29093, "[$-0E0000]yyyy-mm-dd")</f>
        <v/>
      </c>
      <c r="C29094" t="inlineStr">
        <is>
          <t>1979-07-05</t>
        </is>
      </c>
    </row>
    <row r="29095">
      <c r="A29095" s="1" t="n">
        <v>29094</v>
      </c>
      <c r="B29095">
        <f>TEXT(29094, "[$-0E0000]yyyy-mm-dd")</f>
        <v/>
      </c>
      <c r="C29095" t="inlineStr">
        <is>
          <t>1979-07-06</t>
        </is>
      </c>
    </row>
    <row r="29096">
      <c r="A29096" s="1" t="n">
        <v>29095</v>
      </c>
      <c r="B29096">
        <f>TEXT(29095, "[$-0E0000]yyyy-mm-dd")</f>
        <v/>
      </c>
      <c r="C29096" t="inlineStr">
        <is>
          <t>1979-07-07</t>
        </is>
      </c>
    </row>
    <row r="29097">
      <c r="A29097" s="1" t="n">
        <v>29096</v>
      </c>
      <c r="B29097">
        <f>TEXT(29096, "[$-0E0000]yyyy-mm-dd")</f>
        <v/>
      </c>
      <c r="C29097" t="inlineStr">
        <is>
          <t>1979-07-08</t>
        </is>
      </c>
    </row>
    <row r="29098">
      <c r="A29098" s="1" t="n">
        <v>29097</v>
      </c>
      <c r="B29098">
        <f>TEXT(29097, "[$-0E0000]yyyy-mm-dd")</f>
        <v/>
      </c>
      <c r="C29098" t="inlineStr">
        <is>
          <t>1979-07-09</t>
        </is>
      </c>
    </row>
    <row r="29099">
      <c r="A29099" s="1" t="n">
        <v>29098</v>
      </c>
      <c r="B29099">
        <f>TEXT(29098, "[$-0E0000]yyyy-mm-dd")</f>
        <v/>
      </c>
      <c r="C29099" t="inlineStr">
        <is>
          <t>1979-07-10</t>
        </is>
      </c>
    </row>
    <row r="29100">
      <c r="A29100" s="1" t="n">
        <v>29099</v>
      </c>
      <c r="B29100">
        <f>TEXT(29099, "[$-0E0000]yyyy-mm-dd")</f>
        <v/>
      </c>
      <c r="C29100" t="inlineStr">
        <is>
          <t>1979-07-11</t>
        </is>
      </c>
    </row>
    <row r="29101">
      <c r="A29101" s="1" t="n">
        <v>29100</v>
      </c>
      <c r="B29101">
        <f>TEXT(29100, "[$-0E0000]yyyy-mm-dd")</f>
        <v/>
      </c>
      <c r="C29101" t="inlineStr">
        <is>
          <t>1979-07-12</t>
        </is>
      </c>
    </row>
    <row r="29102">
      <c r="A29102" s="1" t="n">
        <v>29101</v>
      </c>
      <c r="B29102">
        <f>TEXT(29101, "[$-0E0000]yyyy-mm-dd")</f>
        <v/>
      </c>
      <c r="C29102" t="inlineStr">
        <is>
          <t>1979-07-13</t>
        </is>
      </c>
    </row>
    <row r="29103">
      <c r="A29103" s="1" t="n">
        <v>29102</v>
      </c>
      <c r="B29103">
        <f>TEXT(29102, "[$-0E0000]yyyy-mm-dd")</f>
        <v/>
      </c>
      <c r="C29103" t="inlineStr">
        <is>
          <t>1979-07-14</t>
        </is>
      </c>
    </row>
    <row r="29104">
      <c r="A29104" s="1" t="n">
        <v>29103</v>
      </c>
      <c r="B29104">
        <f>TEXT(29103, "[$-0E0000]yyyy-mm-dd")</f>
        <v/>
      </c>
      <c r="C29104" t="inlineStr">
        <is>
          <t>1979-07-15</t>
        </is>
      </c>
    </row>
    <row r="29105">
      <c r="A29105" s="1" t="n">
        <v>29104</v>
      </c>
      <c r="B29105">
        <f>TEXT(29104, "[$-0E0000]yyyy-mm-dd")</f>
        <v/>
      </c>
      <c r="C29105" t="inlineStr">
        <is>
          <t>1979-07-16</t>
        </is>
      </c>
    </row>
    <row r="29106">
      <c r="A29106" s="1" t="n">
        <v>29105</v>
      </c>
      <c r="B29106">
        <f>TEXT(29105, "[$-0E0000]yyyy-mm-dd")</f>
        <v/>
      </c>
      <c r="C29106" t="inlineStr">
        <is>
          <t>1979-07-17</t>
        </is>
      </c>
    </row>
    <row r="29107">
      <c r="A29107" s="1" t="n">
        <v>29106</v>
      </c>
      <c r="B29107">
        <f>TEXT(29106, "[$-0E0000]yyyy-mm-dd")</f>
        <v/>
      </c>
      <c r="C29107" t="inlineStr">
        <is>
          <t>1979-07-18</t>
        </is>
      </c>
    </row>
    <row r="29108">
      <c r="A29108" s="1" t="n">
        <v>29107</v>
      </c>
      <c r="B29108">
        <f>TEXT(29107, "[$-0E0000]yyyy-mm-dd")</f>
        <v/>
      </c>
      <c r="C29108" t="inlineStr">
        <is>
          <t>1979-07-19</t>
        </is>
      </c>
    </row>
    <row r="29109">
      <c r="A29109" s="1" t="n">
        <v>29108</v>
      </c>
      <c r="B29109">
        <f>TEXT(29108, "[$-0E0000]yyyy-mm-dd")</f>
        <v/>
      </c>
      <c r="C29109" t="inlineStr">
        <is>
          <t>1979-07-20</t>
        </is>
      </c>
    </row>
    <row r="29110">
      <c r="A29110" s="1" t="n">
        <v>29109</v>
      </c>
      <c r="B29110">
        <f>TEXT(29109, "[$-0E0000]yyyy-mm-dd")</f>
        <v/>
      </c>
      <c r="C29110" t="inlineStr">
        <is>
          <t>1979-07-21</t>
        </is>
      </c>
    </row>
    <row r="29111">
      <c r="A29111" s="1" t="n">
        <v>29110</v>
      </c>
      <c r="B29111">
        <f>TEXT(29110, "[$-0E0000]yyyy-mm-dd")</f>
        <v/>
      </c>
      <c r="C29111" t="inlineStr">
        <is>
          <t>1979-07-22</t>
        </is>
      </c>
    </row>
    <row r="29112">
      <c r="A29112" s="1" t="n">
        <v>29111</v>
      </c>
      <c r="B29112">
        <f>TEXT(29111, "[$-0E0000]yyyy-mm-dd")</f>
        <v/>
      </c>
      <c r="C29112" t="inlineStr">
        <is>
          <t>1979-07-23</t>
        </is>
      </c>
    </row>
    <row r="29113">
      <c r="A29113" s="1" t="n">
        <v>29112</v>
      </c>
      <c r="B29113">
        <f>TEXT(29112, "[$-0E0000]yyyy-mm-dd")</f>
        <v/>
      </c>
      <c r="C29113" t="inlineStr">
        <is>
          <t>1979-07-24</t>
        </is>
      </c>
    </row>
    <row r="29114">
      <c r="A29114" s="1" t="n">
        <v>29113</v>
      </c>
      <c r="B29114">
        <f>TEXT(29113, "[$-0E0000]yyyy-mm-dd")</f>
        <v/>
      </c>
      <c r="C29114" t="inlineStr">
        <is>
          <t>1979-07-25</t>
        </is>
      </c>
    </row>
    <row r="29115">
      <c r="A29115" s="1" t="n">
        <v>29114</v>
      </c>
      <c r="B29115">
        <f>TEXT(29114, "[$-0E0000]yyyy-mm-dd")</f>
        <v/>
      </c>
      <c r="C29115" t="inlineStr">
        <is>
          <t>1979-07-26</t>
        </is>
      </c>
    </row>
    <row r="29116">
      <c r="A29116" s="1" t="n">
        <v>29115</v>
      </c>
      <c r="B29116">
        <f>TEXT(29115, "[$-0E0000]yyyy-mm-dd")</f>
        <v/>
      </c>
      <c r="C29116" t="inlineStr">
        <is>
          <t>1979-07-27</t>
        </is>
      </c>
    </row>
    <row r="29117">
      <c r="A29117" s="1" t="n">
        <v>29116</v>
      </c>
      <c r="B29117">
        <f>TEXT(29116, "[$-0E0000]yyyy-mm-dd")</f>
        <v/>
      </c>
      <c r="C29117" t="inlineStr">
        <is>
          <t>1979-07-28</t>
        </is>
      </c>
    </row>
    <row r="29118">
      <c r="A29118" s="1" t="n">
        <v>29117</v>
      </c>
      <c r="B29118">
        <f>TEXT(29117, "[$-0E0000]yyyy-mm-dd")</f>
        <v/>
      </c>
      <c r="C29118" t="inlineStr">
        <is>
          <t>1979-07-29</t>
        </is>
      </c>
    </row>
    <row r="29119">
      <c r="A29119" s="1" t="n">
        <v>29118</v>
      </c>
      <c r="B29119">
        <f>TEXT(29118, "[$-0E0000]yyyy-mm-dd")</f>
        <v/>
      </c>
      <c r="C29119" t="inlineStr">
        <is>
          <t>1979-08-01</t>
        </is>
      </c>
    </row>
    <row r="29120">
      <c r="A29120" s="1" t="n">
        <v>29119</v>
      </c>
      <c r="B29120">
        <f>TEXT(29119, "[$-0E0000]yyyy-mm-dd")</f>
        <v/>
      </c>
      <c r="C29120" t="inlineStr">
        <is>
          <t>1979-08-02</t>
        </is>
      </c>
    </row>
    <row r="29121">
      <c r="A29121" s="1" t="n">
        <v>29120</v>
      </c>
      <c r="B29121">
        <f>TEXT(29120, "[$-0E0000]yyyy-mm-dd")</f>
        <v/>
      </c>
      <c r="C29121" t="inlineStr">
        <is>
          <t>1979-08-03</t>
        </is>
      </c>
    </row>
    <row r="29122">
      <c r="A29122" s="1" t="n">
        <v>29121</v>
      </c>
      <c r="B29122">
        <f>TEXT(29121, "[$-0E0000]yyyy-mm-dd")</f>
        <v/>
      </c>
      <c r="C29122" t="inlineStr">
        <is>
          <t>1979-08-04</t>
        </is>
      </c>
    </row>
    <row r="29123">
      <c r="A29123" s="1" t="n">
        <v>29122</v>
      </c>
      <c r="B29123">
        <f>TEXT(29122, "[$-0E0000]yyyy-mm-dd")</f>
        <v/>
      </c>
      <c r="C29123" t="inlineStr">
        <is>
          <t>1979-08-05</t>
        </is>
      </c>
    </row>
    <row r="29124">
      <c r="A29124" s="1" t="n">
        <v>29123</v>
      </c>
      <c r="B29124">
        <f>TEXT(29123, "[$-0E0000]yyyy-mm-dd")</f>
        <v/>
      </c>
      <c r="C29124" t="inlineStr">
        <is>
          <t>1979-08-06</t>
        </is>
      </c>
    </row>
    <row r="29125">
      <c r="A29125" s="1" t="n">
        <v>29124</v>
      </c>
      <c r="B29125">
        <f>TEXT(29124, "[$-0E0000]yyyy-mm-dd")</f>
        <v/>
      </c>
      <c r="C29125" t="inlineStr">
        <is>
          <t>1979-08-07</t>
        </is>
      </c>
    </row>
    <row r="29126">
      <c r="A29126" s="1" t="n">
        <v>29125</v>
      </c>
      <c r="B29126">
        <f>TEXT(29125, "[$-0E0000]yyyy-mm-dd")</f>
        <v/>
      </c>
      <c r="C29126" t="inlineStr">
        <is>
          <t>1979-08-08</t>
        </is>
      </c>
    </row>
    <row r="29127">
      <c r="A29127" s="1" t="n">
        <v>29126</v>
      </c>
      <c r="B29127">
        <f>TEXT(29126, "[$-0E0000]yyyy-mm-dd")</f>
        <v/>
      </c>
      <c r="C29127" t="inlineStr">
        <is>
          <t>1979-08-09</t>
        </is>
      </c>
    </row>
    <row r="29128">
      <c r="A29128" s="1" t="n">
        <v>29127</v>
      </c>
      <c r="B29128">
        <f>TEXT(29127, "[$-0E0000]yyyy-mm-dd")</f>
        <v/>
      </c>
      <c r="C29128" t="inlineStr">
        <is>
          <t>1979-08-10</t>
        </is>
      </c>
    </row>
    <row r="29129">
      <c r="A29129" s="1" t="n">
        <v>29128</v>
      </c>
      <c r="B29129">
        <f>TEXT(29128, "[$-0E0000]yyyy-mm-dd")</f>
        <v/>
      </c>
      <c r="C29129" t="inlineStr">
        <is>
          <t>1979-08-11</t>
        </is>
      </c>
    </row>
    <row r="29130">
      <c r="A29130" s="1" t="n">
        <v>29129</v>
      </c>
      <c r="B29130">
        <f>TEXT(29129, "[$-0E0000]yyyy-mm-dd")</f>
        <v/>
      </c>
      <c r="C29130" t="inlineStr">
        <is>
          <t>1979-08-12</t>
        </is>
      </c>
    </row>
    <row r="29131">
      <c r="A29131" s="1" t="n">
        <v>29130</v>
      </c>
      <c r="B29131">
        <f>TEXT(29130, "[$-0E0000]yyyy-mm-dd")</f>
        <v/>
      </c>
      <c r="C29131" t="inlineStr">
        <is>
          <t>1979-08-13</t>
        </is>
      </c>
    </row>
    <row r="29132">
      <c r="A29132" s="1" t="n">
        <v>29131</v>
      </c>
      <c r="B29132">
        <f>TEXT(29131, "[$-0E0000]yyyy-mm-dd")</f>
        <v/>
      </c>
      <c r="C29132" t="inlineStr">
        <is>
          <t>1979-08-14</t>
        </is>
      </c>
    </row>
    <row r="29133">
      <c r="A29133" s="1" t="n">
        <v>29132</v>
      </c>
      <c r="B29133">
        <f>TEXT(29132, "[$-0E0000]yyyy-mm-dd")</f>
        <v/>
      </c>
      <c r="C29133" t="inlineStr">
        <is>
          <t>1979-08-15</t>
        </is>
      </c>
    </row>
    <row r="29134">
      <c r="A29134" s="1" t="n">
        <v>29133</v>
      </c>
      <c r="B29134">
        <f>TEXT(29133, "[$-0E0000]yyyy-mm-dd")</f>
        <v/>
      </c>
      <c r="C29134" t="inlineStr">
        <is>
          <t>1979-08-16</t>
        </is>
      </c>
    </row>
    <row r="29135">
      <c r="A29135" s="1" t="n">
        <v>29134</v>
      </c>
      <c r="B29135">
        <f>TEXT(29134, "[$-0E0000]yyyy-mm-dd")</f>
        <v/>
      </c>
      <c r="C29135" t="inlineStr">
        <is>
          <t>1979-08-17</t>
        </is>
      </c>
    </row>
    <row r="29136">
      <c r="A29136" s="1" t="n">
        <v>29135</v>
      </c>
      <c r="B29136">
        <f>TEXT(29135, "[$-0E0000]yyyy-mm-dd")</f>
        <v/>
      </c>
      <c r="C29136" t="inlineStr">
        <is>
          <t>1979-08-18</t>
        </is>
      </c>
    </row>
    <row r="29137">
      <c r="A29137" s="1" t="n">
        <v>29136</v>
      </c>
      <c r="B29137">
        <f>TEXT(29136, "[$-0E0000]yyyy-mm-dd")</f>
        <v/>
      </c>
      <c r="C29137" t="inlineStr">
        <is>
          <t>1979-08-19</t>
        </is>
      </c>
    </row>
    <row r="29138">
      <c r="A29138" s="1" t="n">
        <v>29137</v>
      </c>
      <c r="B29138">
        <f>TEXT(29137, "[$-0E0000]yyyy-mm-dd")</f>
        <v/>
      </c>
      <c r="C29138" t="inlineStr">
        <is>
          <t>1979-08-20</t>
        </is>
      </c>
    </row>
    <row r="29139">
      <c r="A29139" s="1" t="n">
        <v>29138</v>
      </c>
      <c r="B29139">
        <f>TEXT(29138, "[$-0E0000]yyyy-mm-dd")</f>
        <v/>
      </c>
      <c r="C29139" t="inlineStr">
        <is>
          <t>1979-08-21</t>
        </is>
      </c>
    </row>
    <row r="29140">
      <c r="A29140" s="1" t="n">
        <v>29139</v>
      </c>
      <c r="B29140">
        <f>TEXT(29139, "[$-0E0000]yyyy-mm-dd")</f>
        <v/>
      </c>
      <c r="C29140" t="inlineStr">
        <is>
          <t>1979-08-22</t>
        </is>
      </c>
    </row>
    <row r="29141">
      <c r="A29141" s="1" t="n">
        <v>29140</v>
      </c>
      <c r="B29141">
        <f>TEXT(29140, "[$-0E0000]yyyy-mm-dd")</f>
        <v/>
      </c>
      <c r="C29141" t="inlineStr">
        <is>
          <t>1979-08-23</t>
        </is>
      </c>
    </row>
    <row r="29142">
      <c r="A29142" s="1" t="n">
        <v>29141</v>
      </c>
      <c r="B29142">
        <f>TEXT(29141, "[$-0E0000]yyyy-mm-dd")</f>
        <v/>
      </c>
      <c r="C29142" t="inlineStr">
        <is>
          <t>1979-08-24</t>
        </is>
      </c>
    </row>
    <row r="29143">
      <c r="A29143" s="1" t="n">
        <v>29142</v>
      </c>
      <c r="B29143">
        <f>TEXT(29142, "[$-0E0000]yyyy-mm-dd")</f>
        <v/>
      </c>
      <c r="C29143" t="inlineStr">
        <is>
          <t>1979-08-25</t>
        </is>
      </c>
    </row>
    <row r="29144">
      <c r="A29144" s="1" t="n">
        <v>29143</v>
      </c>
      <c r="B29144">
        <f>TEXT(29143, "[$-0E0000]yyyy-mm-dd")</f>
        <v/>
      </c>
      <c r="C29144" t="inlineStr">
        <is>
          <t>1979-08-26</t>
        </is>
      </c>
    </row>
    <row r="29145">
      <c r="A29145" s="1" t="n">
        <v>29144</v>
      </c>
      <c r="B29145">
        <f>TEXT(29144, "[$-0E0000]yyyy-mm-dd")</f>
        <v/>
      </c>
      <c r="C29145" t="inlineStr">
        <is>
          <t>1979-08-27</t>
        </is>
      </c>
    </row>
    <row r="29146">
      <c r="A29146" s="1" t="n">
        <v>29145</v>
      </c>
      <c r="B29146">
        <f>TEXT(29145, "[$-0E0000]yyyy-mm-dd")</f>
        <v/>
      </c>
      <c r="C29146" t="inlineStr">
        <is>
          <t>1979-08-28</t>
        </is>
      </c>
    </row>
    <row r="29147">
      <c r="A29147" s="1" t="n">
        <v>29146</v>
      </c>
      <c r="B29147">
        <f>TEXT(29146, "[$-0E0000]yyyy-mm-dd")</f>
        <v/>
      </c>
      <c r="C29147" t="inlineStr">
        <is>
          <t>1979-08-29</t>
        </is>
      </c>
    </row>
    <row r="29148">
      <c r="A29148" s="1" t="n">
        <v>29147</v>
      </c>
      <c r="B29148">
        <f>TEXT(29147, "[$-0E0000]yyyy-mm-dd")</f>
        <v/>
      </c>
      <c r="C29148" t="inlineStr">
        <is>
          <t>1979-08-30</t>
        </is>
      </c>
    </row>
    <row r="29149">
      <c r="A29149" s="1" t="n">
        <v>29148</v>
      </c>
      <c r="B29149">
        <f>TEXT(29148, "[$-0E0000]yyyy-mm-dd")</f>
        <v/>
      </c>
      <c r="C29149" t="inlineStr">
        <is>
          <t>1979-09-01</t>
        </is>
      </c>
    </row>
    <row r="29150">
      <c r="A29150" s="1" t="n">
        <v>29149</v>
      </c>
      <c r="B29150">
        <f>TEXT(29149, "[$-0E0000]yyyy-mm-dd")</f>
        <v/>
      </c>
      <c r="C29150" t="inlineStr">
        <is>
          <t>1979-09-02</t>
        </is>
      </c>
    </row>
    <row r="29151">
      <c r="A29151" s="1" t="n">
        <v>29150</v>
      </c>
      <c r="B29151">
        <f>TEXT(29150, "[$-0E0000]yyyy-mm-dd")</f>
        <v/>
      </c>
      <c r="C29151" t="inlineStr">
        <is>
          <t>1979-09-03</t>
        </is>
      </c>
    </row>
    <row r="29152">
      <c r="A29152" s="1" t="n">
        <v>29151</v>
      </c>
      <c r="B29152">
        <f>TEXT(29151, "[$-0E0000]yyyy-mm-dd")</f>
        <v/>
      </c>
      <c r="C29152" t="inlineStr">
        <is>
          <t>1979-09-04</t>
        </is>
      </c>
    </row>
    <row r="29153">
      <c r="A29153" s="1" t="n">
        <v>29152</v>
      </c>
      <c r="B29153">
        <f>TEXT(29152, "[$-0E0000]yyyy-mm-dd")</f>
        <v/>
      </c>
      <c r="C29153" t="inlineStr">
        <is>
          <t>1979-09-05</t>
        </is>
      </c>
    </row>
    <row r="29154">
      <c r="A29154" s="1" t="n">
        <v>29153</v>
      </c>
      <c r="B29154">
        <f>TEXT(29153, "[$-0E0000]yyyy-mm-dd")</f>
        <v/>
      </c>
      <c r="C29154" t="inlineStr">
        <is>
          <t>1979-09-06</t>
        </is>
      </c>
    </row>
    <row r="29155">
      <c r="A29155" s="1" t="n">
        <v>29154</v>
      </c>
      <c r="B29155">
        <f>TEXT(29154, "[$-0E0000]yyyy-mm-dd")</f>
        <v/>
      </c>
      <c r="C29155" t="inlineStr">
        <is>
          <t>1979-09-07</t>
        </is>
      </c>
    </row>
    <row r="29156">
      <c r="A29156" s="1" t="n">
        <v>29155</v>
      </c>
      <c r="B29156">
        <f>TEXT(29155, "[$-0E0000]yyyy-mm-dd")</f>
        <v/>
      </c>
      <c r="C29156" t="inlineStr">
        <is>
          <t>1979-09-08</t>
        </is>
      </c>
    </row>
    <row r="29157">
      <c r="A29157" s="1" t="n">
        <v>29156</v>
      </c>
      <c r="B29157">
        <f>TEXT(29156, "[$-0E0000]yyyy-mm-dd")</f>
        <v/>
      </c>
      <c r="C29157" t="inlineStr">
        <is>
          <t>1979-09-09</t>
        </is>
      </c>
    </row>
    <row r="29158">
      <c r="A29158" s="1" t="n">
        <v>29157</v>
      </c>
      <c r="B29158">
        <f>TEXT(29157, "[$-0E0000]yyyy-mm-dd")</f>
        <v/>
      </c>
      <c r="C29158" t="inlineStr">
        <is>
          <t>1979-09-10</t>
        </is>
      </c>
    </row>
    <row r="29159">
      <c r="A29159" s="1" t="n">
        <v>29158</v>
      </c>
      <c r="B29159">
        <f>TEXT(29158, "[$-0E0000]yyyy-mm-dd")</f>
        <v/>
      </c>
      <c r="C29159" t="inlineStr">
        <is>
          <t>1979-09-11</t>
        </is>
      </c>
    </row>
    <row r="29160">
      <c r="A29160" s="1" t="n">
        <v>29159</v>
      </c>
      <c r="B29160">
        <f>TEXT(29159, "[$-0E0000]yyyy-mm-dd")</f>
        <v/>
      </c>
      <c r="C29160" t="inlineStr">
        <is>
          <t>1979-09-12</t>
        </is>
      </c>
    </row>
    <row r="29161">
      <c r="A29161" s="1" t="n">
        <v>29160</v>
      </c>
      <c r="B29161">
        <f>TEXT(29160, "[$-0E0000]yyyy-mm-dd")</f>
        <v/>
      </c>
      <c r="C29161" t="inlineStr">
        <is>
          <t>1979-09-13</t>
        </is>
      </c>
    </row>
    <row r="29162">
      <c r="A29162" s="1" t="n">
        <v>29161</v>
      </c>
      <c r="B29162">
        <f>TEXT(29161, "[$-0E0000]yyyy-mm-dd")</f>
        <v/>
      </c>
      <c r="C29162" t="inlineStr">
        <is>
          <t>1979-09-14</t>
        </is>
      </c>
    </row>
    <row r="29163">
      <c r="A29163" s="1" t="n">
        <v>29162</v>
      </c>
      <c r="B29163">
        <f>TEXT(29162, "[$-0E0000]yyyy-mm-dd")</f>
        <v/>
      </c>
      <c r="C29163" t="inlineStr">
        <is>
          <t>1979-09-15</t>
        </is>
      </c>
    </row>
    <row r="29164">
      <c r="A29164" s="1" t="n">
        <v>29163</v>
      </c>
      <c r="B29164">
        <f>TEXT(29163, "[$-0E0000]yyyy-mm-dd")</f>
        <v/>
      </c>
      <c r="C29164" t="inlineStr">
        <is>
          <t>1979-09-16</t>
        </is>
      </c>
    </row>
    <row r="29165">
      <c r="A29165" s="1" t="n">
        <v>29164</v>
      </c>
      <c r="B29165">
        <f>TEXT(29164, "[$-0E0000]yyyy-mm-dd")</f>
        <v/>
      </c>
      <c r="C29165" t="inlineStr">
        <is>
          <t>1979-09-17</t>
        </is>
      </c>
    </row>
    <row r="29166">
      <c r="A29166" s="1" t="n">
        <v>29165</v>
      </c>
      <c r="B29166">
        <f>TEXT(29165, "[$-0E0000]yyyy-mm-dd")</f>
        <v/>
      </c>
      <c r="C29166" t="inlineStr">
        <is>
          <t>1979-09-18</t>
        </is>
      </c>
    </row>
    <row r="29167">
      <c r="A29167" s="1" t="n">
        <v>29166</v>
      </c>
      <c r="B29167">
        <f>TEXT(29166, "[$-0E0000]yyyy-mm-dd")</f>
        <v/>
      </c>
      <c r="C29167" t="inlineStr">
        <is>
          <t>1979-09-19</t>
        </is>
      </c>
    </row>
    <row r="29168">
      <c r="A29168" s="1" t="n">
        <v>29167</v>
      </c>
      <c r="B29168">
        <f>TEXT(29167, "[$-0E0000]yyyy-mm-dd")</f>
        <v/>
      </c>
      <c r="C29168" t="inlineStr">
        <is>
          <t>1979-09-20</t>
        </is>
      </c>
    </row>
    <row r="29169">
      <c r="A29169" s="1" t="n">
        <v>29168</v>
      </c>
      <c r="B29169">
        <f>TEXT(29168, "[$-0E0000]yyyy-mm-dd")</f>
        <v/>
      </c>
      <c r="C29169" t="inlineStr">
        <is>
          <t>1979-09-21</t>
        </is>
      </c>
    </row>
    <row r="29170">
      <c r="A29170" s="1" t="n">
        <v>29169</v>
      </c>
      <c r="B29170">
        <f>TEXT(29169, "[$-0E0000]yyyy-mm-dd")</f>
        <v/>
      </c>
      <c r="C29170" t="inlineStr">
        <is>
          <t>1979-09-22</t>
        </is>
      </c>
    </row>
    <row r="29171">
      <c r="A29171" s="1" t="n">
        <v>29170</v>
      </c>
      <c r="B29171">
        <f>TEXT(29170, "[$-0E0000]yyyy-mm-dd")</f>
        <v/>
      </c>
      <c r="C29171" t="inlineStr">
        <is>
          <t>1979-09-23</t>
        </is>
      </c>
    </row>
    <row r="29172">
      <c r="A29172" s="1" t="n">
        <v>29171</v>
      </c>
      <c r="B29172">
        <f>TEXT(29171, "[$-0E0000]yyyy-mm-dd")</f>
        <v/>
      </c>
      <c r="C29172" t="inlineStr">
        <is>
          <t>1979-09-24</t>
        </is>
      </c>
    </row>
    <row r="29173">
      <c r="A29173" s="1" t="n">
        <v>29172</v>
      </c>
      <c r="B29173">
        <f>TEXT(29172, "[$-0E0000]yyyy-mm-dd")</f>
        <v/>
      </c>
      <c r="C29173" t="inlineStr">
        <is>
          <t>1979-09-25</t>
        </is>
      </c>
    </row>
    <row r="29174">
      <c r="A29174" s="1" t="n">
        <v>29173</v>
      </c>
      <c r="B29174">
        <f>TEXT(29173, "[$-0E0000]yyyy-mm-dd")</f>
        <v/>
      </c>
      <c r="C29174" t="inlineStr">
        <is>
          <t>1979-09-26</t>
        </is>
      </c>
    </row>
    <row r="29175">
      <c r="A29175" s="1" t="n">
        <v>29174</v>
      </c>
      <c r="B29175">
        <f>TEXT(29174, "[$-0E0000]yyyy-mm-dd")</f>
        <v/>
      </c>
      <c r="C29175" t="inlineStr">
        <is>
          <t>1979-09-27</t>
        </is>
      </c>
    </row>
    <row r="29176">
      <c r="A29176" s="1" t="n">
        <v>29175</v>
      </c>
      <c r="B29176">
        <f>TEXT(29175, "[$-0E0000]yyyy-mm-dd")</f>
        <v/>
      </c>
      <c r="C29176" t="inlineStr">
        <is>
          <t>1979-09-28</t>
        </is>
      </c>
    </row>
    <row r="29177">
      <c r="A29177" s="1" t="n">
        <v>29176</v>
      </c>
      <c r="B29177">
        <f>TEXT(29176, "[$-0E0000]yyyy-mm-dd")</f>
        <v/>
      </c>
      <c r="C29177" t="inlineStr">
        <is>
          <t>1979-09-29</t>
        </is>
      </c>
    </row>
    <row r="29178">
      <c r="A29178" s="1" t="n">
        <v>29177</v>
      </c>
      <c r="B29178">
        <f>TEXT(29177, "[$-0E0000]yyyy-mm-dd")</f>
        <v/>
      </c>
      <c r="C29178" t="inlineStr">
        <is>
          <t>1979-09-30</t>
        </is>
      </c>
    </row>
    <row r="29179">
      <c r="A29179" s="1" t="n">
        <v>29178</v>
      </c>
      <c r="B29179">
        <f>TEXT(29178, "[$-0E0000]yyyy-mm-dd")</f>
        <v/>
      </c>
      <c r="C29179" t="inlineStr">
        <is>
          <t>1979-10-01</t>
        </is>
      </c>
    </row>
    <row r="29180">
      <c r="A29180" s="1" t="n">
        <v>29179</v>
      </c>
      <c r="B29180">
        <f>TEXT(29179, "[$-0E0000]yyyy-mm-dd")</f>
        <v/>
      </c>
      <c r="C29180" t="inlineStr">
        <is>
          <t>1979-10-02</t>
        </is>
      </c>
    </row>
    <row r="29181">
      <c r="A29181" s="1" t="n">
        <v>29180</v>
      </c>
      <c r="B29181">
        <f>TEXT(29180, "[$-0E0000]yyyy-mm-dd")</f>
        <v/>
      </c>
      <c r="C29181" t="inlineStr">
        <is>
          <t>1979-10-03</t>
        </is>
      </c>
    </row>
    <row r="29182">
      <c r="A29182" s="1" t="n">
        <v>29181</v>
      </c>
      <c r="B29182">
        <f>TEXT(29181, "[$-0E0000]yyyy-mm-dd")</f>
        <v/>
      </c>
      <c r="C29182" t="inlineStr">
        <is>
          <t>1979-10-04</t>
        </is>
      </c>
    </row>
    <row r="29183">
      <c r="A29183" s="1" t="n">
        <v>29182</v>
      </c>
      <c r="B29183">
        <f>TEXT(29182, "[$-0E0000]yyyy-mm-dd")</f>
        <v/>
      </c>
      <c r="C29183" t="inlineStr">
        <is>
          <t>1979-10-05</t>
        </is>
      </c>
    </row>
    <row r="29184">
      <c r="A29184" s="1" t="n">
        <v>29183</v>
      </c>
      <c r="B29184">
        <f>TEXT(29183, "[$-0E0000]yyyy-mm-dd")</f>
        <v/>
      </c>
      <c r="C29184" t="inlineStr">
        <is>
          <t>1979-10-06</t>
        </is>
      </c>
    </row>
    <row r="29185">
      <c r="A29185" s="1" t="n">
        <v>29184</v>
      </c>
      <c r="B29185">
        <f>TEXT(29184, "[$-0E0000]yyyy-mm-dd")</f>
        <v/>
      </c>
      <c r="C29185" t="inlineStr">
        <is>
          <t>1979-10-07</t>
        </is>
      </c>
    </row>
    <row r="29186">
      <c r="A29186" s="1" t="n">
        <v>29185</v>
      </c>
      <c r="B29186">
        <f>TEXT(29185, "[$-0E0000]yyyy-mm-dd")</f>
        <v/>
      </c>
      <c r="C29186" t="inlineStr">
        <is>
          <t>1979-10-08</t>
        </is>
      </c>
    </row>
    <row r="29187">
      <c r="A29187" s="1" t="n">
        <v>29186</v>
      </c>
      <c r="B29187">
        <f>TEXT(29186, "[$-0E0000]yyyy-mm-dd")</f>
        <v/>
      </c>
      <c r="C29187" t="inlineStr">
        <is>
          <t>1979-10-09</t>
        </is>
      </c>
    </row>
    <row r="29188">
      <c r="A29188" s="1" t="n">
        <v>29187</v>
      </c>
      <c r="B29188">
        <f>TEXT(29187, "[$-0E0000]yyyy-mm-dd")</f>
        <v/>
      </c>
      <c r="C29188" t="inlineStr">
        <is>
          <t>1979-10-10</t>
        </is>
      </c>
    </row>
    <row r="29189">
      <c r="A29189" s="1" t="n">
        <v>29188</v>
      </c>
      <c r="B29189">
        <f>TEXT(29188, "[$-0E0000]yyyy-mm-dd")</f>
        <v/>
      </c>
      <c r="C29189" t="inlineStr">
        <is>
          <t>1979-10-11</t>
        </is>
      </c>
    </row>
    <row r="29190">
      <c r="A29190" s="1" t="n">
        <v>29189</v>
      </c>
      <c r="B29190">
        <f>TEXT(29189, "[$-0E0000]yyyy-mm-dd")</f>
        <v/>
      </c>
      <c r="C29190" t="inlineStr">
        <is>
          <t>1979-10-12</t>
        </is>
      </c>
    </row>
    <row r="29191">
      <c r="A29191" s="1" t="n">
        <v>29190</v>
      </c>
      <c r="B29191">
        <f>TEXT(29190, "[$-0E0000]yyyy-mm-dd")</f>
        <v/>
      </c>
      <c r="C29191" t="inlineStr">
        <is>
          <t>1979-10-13</t>
        </is>
      </c>
    </row>
    <row r="29192">
      <c r="A29192" s="1" t="n">
        <v>29191</v>
      </c>
      <c r="B29192">
        <f>TEXT(29191, "[$-0E0000]yyyy-mm-dd")</f>
        <v/>
      </c>
      <c r="C29192" t="inlineStr">
        <is>
          <t>1979-10-14</t>
        </is>
      </c>
    </row>
    <row r="29193">
      <c r="A29193" s="1" t="n">
        <v>29192</v>
      </c>
      <c r="B29193">
        <f>TEXT(29192, "[$-0E0000]yyyy-mm-dd")</f>
        <v/>
      </c>
      <c r="C29193" t="inlineStr">
        <is>
          <t>1979-10-15</t>
        </is>
      </c>
    </row>
    <row r="29194">
      <c r="A29194" s="1" t="n">
        <v>29193</v>
      </c>
      <c r="B29194">
        <f>TEXT(29193, "[$-0E0000]yyyy-mm-dd")</f>
        <v/>
      </c>
      <c r="C29194" t="inlineStr">
        <is>
          <t>1979-10-16</t>
        </is>
      </c>
    </row>
    <row r="29195">
      <c r="A29195" s="1" t="n">
        <v>29194</v>
      </c>
      <c r="B29195">
        <f>TEXT(29194, "[$-0E0000]yyyy-mm-dd")</f>
        <v/>
      </c>
      <c r="C29195" t="inlineStr">
        <is>
          <t>1979-10-17</t>
        </is>
      </c>
    </row>
    <row r="29196">
      <c r="A29196" s="1" t="n">
        <v>29195</v>
      </c>
      <c r="B29196">
        <f>TEXT(29195, "[$-0E0000]yyyy-mm-dd")</f>
        <v/>
      </c>
      <c r="C29196" t="inlineStr">
        <is>
          <t>1979-10-18</t>
        </is>
      </c>
    </row>
    <row r="29197">
      <c r="A29197" s="1" t="n">
        <v>29196</v>
      </c>
      <c r="B29197">
        <f>TEXT(29196, "[$-0E0000]yyyy-mm-dd")</f>
        <v/>
      </c>
      <c r="C29197" t="inlineStr">
        <is>
          <t>1979-10-19</t>
        </is>
      </c>
    </row>
    <row r="29198">
      <c r="A29198" s="1" t="n">
        <v>29197</v>
      </c>
      <c r="B29198">
        <f>TEXT(29197, "[$-0E0000]yyyy-mm-dd")</f>
        <v/>
      </c>
      <c r="C29198" t="inlineStr">
        <is>
          <t>1979-10-20</t>
        </is>
      </c>
    </row>
    <row r="29199">
      <c r="A29199" s="1" t="n">
        <v>29198</v>
      </c>
      <c r="B29199">
        <f>TEXT(29198, "[$-0E0000]yyyy-mm-dd")</f>
        <v/>
      </c>
      <c r="C29199" t="inlineStr">
        <is>
          <t>1979-10-21</t>
        </is>
      </c>
    </row>
    <row r="29200">
      <c r="A29200" s="1" t="n">
        <v>29199</v>
      </c>
      <c r="B29200">
        <f>TEXT(29199, "[$-0E0000]yyyy-mm-dd")</f>
        <v/>
      </c>
      <c r="C29200" t="inlineStr">
        <is>
          <t>1979-10-22</t>
        </is>
      </c>
    </row>
    <row r="29201">
      <c r="A29201" s="1" t="n">
        <v>29200</v>
      </c>
      <c r="B29201">
        <f>TEXT(29200, "[$-0E0000]yyyy-mm-dd")</f>
        <v/>
      </c>
      <c r="C29201" t="inlineStr">
        <is>
          <t>1979-10-23</t>
        </is>
      </c>
    </row>
    <row r="29202">
      <c r="A29202" s="1" t="n">
        <v>29201</v>
      </c>
      <c r="B29202">
        <f>TEXT(29201, "[$-0E0000]yyyy-mm-dd")</f>
        <v/>
      </c>
      <c r="C29202" t="inlineStr">
        <is>
          <t>1979-10-24</t>
        </is>
      </c>
    </row>
    <row r="29203">
      <c r="A29203" s="1" t="n">
        <v>29202</v>
      </c>
      <c r="B29203">
        <f>TEXT(29202, "[$-0E0000]yyyy-mm-dd")</f>
        <v/>
      </c>
      <c r="C29203" t="inlineStr">
        <is>
          <t>1979-10-25</t>
        </is>
      </c>
    </row>
    <row r="29204">
      <c r="A29204" s="1" t="n">
        <v>29203</v>
      </c>
      <c r="B29204">
        <f>TEXT(29203, "[$-0E0000]yyyy-mm-dd")</f>
        <v/>
      </c>
      <c r="C29204" t="inlineStr">
        <is>
          <t>1979-10-26</t>
        </is>
      </c>
    </row>
    <row r="29205">
      <c r="A29205" s="1" t="n">
        <v>29204</v>
      </c>
      <c r="B29205">
        <f>TEXT(29204, "[$-0E0000]yyyy-mm-dd")</f>
        <v/>
      </c>
      <c r="C29205" t="inlineStr">
        <is>
          <t>1979-10-27</t>
        </is>
      </c>
    </row>
    <row r="29206">
      <c r="A29206" s="1" t="n">
        <v>29205</v>
      </c>
      <c r="B29206">
        <f>TEXT(29205, "[$-0E0000]yyyy-mm-dd")</f>
        <v/>
      </c>
      <c r="C29206" t="inlineStr">
        <is>
          <t>1979-10-28</t>
        </is>
      </c>
    </row>
    <row r="29207">
      <c r="A29207" s="1" t="n">
        <v>29206</v>
      </c>
      <c r="B29207">
        <f>TEXT(29206, "[$-0E0000]yyyy-mm-dd")</f>
        <v/>
      </c>
      <c r="C29207" t="inlineStr">
        <is>
          <t>1979-10-29</t>
        </is>
      </c>
    </row>
    <row r="29208">
      <c r="A29208" s="1" t="n">
        <v>29207</v>
      </c>
      <c r="B29208">
        <f>TEXT(29207, "[$-0E0000]yyyy-mm-dd")</f>
        <v/>
      </c>
      <c r="C29208" t="inlineStr">
        <is>
          <t>1979-11-01</t>
        </is>
      </c>
    </row>
    <row r="29209">
      <c r="A29209" s="1" t="n">
        <v>29208</v>
      </c>
      <c r="B29209">
        <f>TEXT(29208, "[$-0E0000]yyyy-mm-dd")</f>
        <v/>
      </c>
      <c r="C29209" t="inlineStr">
        <is>
          <t>1979-11-02</t>
        </is>
      </c>
    </row>
    <row r="29210">
      <c r="A29210" s="1" t="n">
        <v>29209</v>
      </c>
      <c r="B29210">
        <f>TEXT(29209, "[$-0E0000]yyyy-mm-dd")</f>
        <v/>
      </c>
      <c r="C29210" t="inlineStr">
        <is>
          <t>1979-11-03</t>
        </is>
      </c>
    </row>
    <row r="29211">
      <c r="A29211" s="1" t="n">
        <v>29210</v>
      </c>
      <c r="B29211">
        <f>TEXT(29210, "[$-0E0000]yyyy-mm-dd")</f>
        <v/>
      </c>
      <c r="C29211" t="inlineStr">
        <is>
          <t>1979-11-04</t>
        </is>
      </c>
    </row>
    <row r="29212">
      <c r="A29212" s="1" t="n">
        <v>29211</v>
      </c>
      <c r="B29212">
        <f>TEXT(29211, "[$-0E0000]yyyy-mm-dd")</f>
        <v/>
      </c>
      <c r="C29212" t="inlineStr">
        <is>
          <t>1979-11-05</t>
        </is>
      </c>
    </row>
    <row r="29213">
      <c r="A29213" s="1" t="n">
        <v>29212</v>
      </c>
      <c r="B29213">
        <f>TEXT(29212, "[$-0E0000]yyyy-mm-dd")</f>
        <v/>
      </c>
      <c r="C29213" t="inlineStr">
        <is>
          <t>1979-11-06</t>
        </is>
      </c>
    </row>
    <row r="29214">
      <c r="A29214" s="1" t="n">
        <v>29213</v>
      </c>
      <c r="B29214">
        <f>TEXT(29213, "[$-0E0000]yyyy-mm-dd")</f>
        <v/>
      </c>
      <c r="C29214" t="inlineStr">
        <is>
          <t>1979-11-07</t>
        </is>
      </c>
    </row>
    <row r="29215">
      <c r="A29215" s="1" t="n">
        <v>29214</v>
      </c>
      <c r="B29215">
        <f>TEXT(29214, "[$-0E0000]yyyy-mm-dd")</f>
        <v/>
      </c>
      <c r="C29215" t="inlineStr">
        <is>
          <t>1979-11-08</t>
        </is>
      </c>
    </row>
    <row r="29216">
      <c r="A29216" s="1" t="n">
        <v>29215</v>
      </c>
      <c r="B29216">
        <f>TEXT(29215, "[$-0E0000]yyyy-mm-dd")</f>
        <v/>
      </c>
      <c r="C29216" t="inlineStr">
        <is>
          <t>1979-11-09</t>
        </is>
      </c>
    </row>
    <row r="29217">
      <c r="A29217" s="1" t="n">
        <v>29216</v>
      </c>
      <c r="B29217">
        <f>TEXT(29216, "[$-0E0000]yyyy-mm-dd")</f>
        <v/>
      </c>
      <c r="C29217" t="inlineStr">
        <is>
          <t>1979-11-10</t>
        </is>
      </c>
    </row>
    <row r="29218">
      <c r="A29218" s="1" t="n">
        <v>29217</v>
      </c>
      <c r="B29218">
        <f>TEXT(29217, "[$-0E0000]yyyy-mm-dd")</f>
        <v/>
      </c>
      <c r="C29218" t="inlineStr">
        <is>
          <t>1979-11-11</t>
        </is>
      </c>
    </row>
    <row r="29219">
      <c r="A29219" s="1" t="n">
        <v>29218</v>
      </c>
      <c r="B29219">
        <f>TEXT(29218, "[$-0E0000]yyyy-mm-dd")</f>
        <v/>
      </c>
      <c r="C29219" t="inlineStr">
        <is>
          <t>1979-11-12</t>
        </is>
      </c>
    </row>
    <row r="29220">
      <c r="A29220" s="1" t="n">
        <v>29219</v>
      </c>
      <c r="B29220">
        <f>TEXT(29219, "[$-0E0000]yyyy-mm-dd")</f>
        <v/>
      </c>
      <c r="C29220" t="inlineStr">
        <is>
          <t>1979-11-13</t>
        </is>
      </c>
    </row>
    <row r="29221">
      <c r="A29221" s="1" t="n">
        <v>29220</v>
      </c>
      <c r="B29221">
        <f>TEXT(29220, "[$-0E0000]yyyy-mm-dd")</f>
        <v/>
      </c>
      <c r="C29221" t="inlineStr">
        <is>
          <t>1979-11-14</t>
        </is>
      </c>
    </row>
    <row r="29222">
      <c r="A29222" s="1" t="n">
        <v>29221</v>
      </c>
      <c r="B29222">
        <f>TEXT(29221, "[$-0E0000]yyyy-mm-dd")</f>
        <v/>
      </c>
      <c r="C29222" t="inlineStr">
        <is>
          <t>1979-11-15</t>
        </is>
      </c>
    </row>
    <row r="29223">
      <c r="A29223" s="1" t="n">
        <v>29222</v>
      </c>
      <c r="B29223">
        <f>TEXT(29222, "[$-0E0000]yyyy-mm-dd")</f>
        <v/>
      </c>
      <c r="C29223" t="inlineStr">
        <is>
          <t>1979-11-16</t>
        </is>
      </c>
    </row>
    <row r="29224">
      <c r="A29224" s="1" t="n">
        <v>29223</v>
      </c>
      <c r="B29224">
        <f>TEXT(29223, "[$-0E0000]yyyy-mm-dd")</f>
        <v/>
      </c>
      <c r="C29224" t="inlineStr">
        <is>
          <t>1979-11-17</t>
        </is>
      </c>
    </row>
    <row r="29225">
      <c r="A29225" s="1" t="n">
        <v>29224</v>
      </c>
      <c r="B29225">
        <f>TEXT(29224, "[$-0E0000]yyyy-mm-dd")</f>
        <v/>
      </c>
      <c r="C29225" t="inlineStr">
        <is>
          <t>1979-11-18</t>
        </is>
      </c>
    </row>
    <row r="29226">
      <c r="A29226" s="1" t="n">
        <v>29225</v>
      </c>
      <c r="B29226">
        <f>TEXT(29225, "[$-0E0000]yyyy-mm-dd")</f>
        <v/>
      </c>
      <c r="C29226" t="inlineStr">
        <is>
          <t>1979-11-19</t>
        </is>
      </c>
    </row>
    <row r="29227">
      <c r="A29227" s="1" t="n">
        <v>29226</v>
      </c>
      <c r="B29227">
        <f>TEXT(29226, "[$-0E0000]yyyy-mm-dd")</f>
        <v/>
      </c>
      <c r="C29227" t="inlineStr">
        <is>
          <t>1979-11-20</t>
        </is>
      </c>
    </row>
    <row r="29228">
      <c r="A29228" s="1" t="n">
        <v>29227</v>
      </c>
      <c r="B29228">
        <f>TEXT(29227, "[$-0E0000]yyyy-mm-dd")</f>
        <v/>
      </c>
      <c r="C29228" t="inlineStr">
        <is>
          <t>1979-11-21</t>
        </is>
      </c>
    </row>
    <row r="29229">
      <c r="A29229" s="1" t="n">
        <v>29228</v>
      </c>
      <c r="B29229">
        <f>TEXT(29228, "[$-0E0000]yyyy-mm-dd")</f>
        <v/>
      </c>
      <c r="C29229" t="inlineStr">
        <is>
          <t>1979-11-22</t>
        </is>
      </c>
    </row>
    <row r="29230">
      <c r="A29230" s="1" t="n">
        <v>29229</v>
      </c>
      <c r="B29230">
        <f>TEXT(29229, "[$-0E0000]yyyy-mm-dd")</f>
        <v/>
      </c>
      <c r="C29230" t="inlineStr">
        <is>
          <t>1979-11-23</t>
        </is>
      </c>
    </row>
    <row r="29231">
      <c r="A29231" s="1" t="n">
        <v>29230</v>
      </c>
      <c r="B29231">
        <f>TEXT(29230, "[$-0E0000]yyyy-mm-dd")</f>
        <v/>
      </c>
      <c r="C29231" t="inlineStr">
        <is>
          <t>1979-11-24</t>
        </is>
      </c>
    </row>
    <row r="29232">
      <c r="A29232" s="1" t="n">
        <v>29231</v>
      </c>
      <c r="B29232">
        <f>TEXT(29231, "[$-0E0000]yyyy-mm-dd")</f>
        <v/>
      </c>
      <c r="C29232" t="inlineStr">
        <is>
          <t>1979-11-25</t>
        </is>
      </c>
    </row>
    <row r="29233">
      <c r="A29233" s="1" t="n">
        <v>29232</v>
      </c>
      <c r="B29233">
        <f>TEXT(29232, "[$-0E0000]yyyy-mm-dd")</f>
        <v/>
      </c>
      <c r="C29233" t="inlineStr">
        <is>
          <t>1979-11-26</t>
        </is>
      </c>
    </row>
    <row r="29234">
      <c r="A29234" s="1" t="n">
        <v>29233</v>
      </c>
      <c r="B29234">
        <f>TEXT(29233, "[$-0E0000]yyyy-mm-dd")</f>
        <v/>
      </c>
      <c r="C29234" t="inlineStr">
        <is>
          <t>1979-11-27</t>
        </is>
      </c>
    </row>
    <row r="29235">
      <c r="A29235" s="1" t="n">
        <v>29234</v>
      </c>
      <c r="B29235">
        <f>TEXT(29234, "[$-0E0000]yyyy-mm-dd")</f>
        <v/>
      </c>
      <c r="C29235" t="inlineStr">
        <is>
          <t>1979-11-28</t>
        </is>
      </c>
    </row>
    <row r="29236">
      <c r="A29236" s="1" t="n">
        <v>29235</v>
      </c>
      <c r="B29236">
        <f>TEXT(29235, "[$-0E0000]yyyy-mm-dd")</f>
        <v/>
      </c>
      <c r="C29236" t="inlineStr">
        <is>
          <t>1979-11-29</t>
        </is>
      </c>
    </row>
    <row r="29237">
      <c r="A29237" s="1" t="n">
        <v>29236</v>
      </c>
      <c r="B29237">
        <f>TEXT(29236, "[$-0E0000]yyyy-mm-dd")</f>
        <v/>
      </c>
      <c r="C29237" t="inlineStr">
        <is>
          <t>1979-11-30</t>
        </is>
      </c>
    </row>
    <row r="29238">
      <c r="A29238" s="1" t="n">
        <v>29237</v>
      </c>
      <c r="B29238">
        <f>TEXT(29237, "[$-0E0000]yyyy-mm-dd")</f>
        <v/>
      </c>
      <c r="C29238" t="inlineStr">
        <is>
          <t>1979-12-01</t>
        </is>
      </c>
    </row>
    <row r="29239">
      <c r="A29239" s="1" t="n">
        <v>29238</v>
      </c>
      <c r="B29239">
        <f>TEXT(29238, "[$-0E0000]yyyy-mm-dd")</f>
        <v/>
      </c>
      <c r="C29239" t="inlineStr">
        <is>
          <t>1979-12-02</t>
        </is>
      </c>
    </row>
    <row r="29240">
      <c r="A29240" s="1" t="n">
        <v>29239</v>
      </c>
      <c r="B29240">
        <f>TEXT(29239, "[$-0E0000]yyyy-mm-dd")</f>
        <v/>
      </c>
      <c r="C29240" t="inlineStr">
        <is>
          <t>1979-12-03</t>
        </is>
      </c>
    </row>
    <row r="29241">
      <c r="A29241" s="1" t="n">
        <v>29240</v>
      </c>
      <c r="B29241">
        <f>TEXT(29240, "[$-0E0000]yyyy-mm-dd")</f>
        <v/>
      </c>
      <c r="C29241" t="inlineStr">
        <is>
          <t>1979-12-04</t>
        </is>
      </c>
    </row>
    <row r="29242">
      <c r="A29242" s="1" t="n">
        <v>29241</v>
      </c>
      <c r="B29242">
        <f>TEXT(29241, "[$-0E0000]yyyy-mm-dd")</f>
        <v/>
      </c>
      <c r="C29242" t="inlineStr">
        <is>
          <t>1979-12-05</t>
        </is>
      </c>
    </row>
    <row r="29243">
      <c r="A29243" s="1" t="n">
        <v>29242</v>
      </c>
      <c r="B29243">
        <f>TEXT(29242, "[$-0E0000]yyyy-mm-dd")</f>
        <v/>
      </c>
      <c r="C29243" t="inlineStr">
        <is>
          <t>1979-12-06</t>
        </is>
      </c>
    </row>
    <row r="29244">
      <c r="A29244" s="1" t="n">
        <v>29243</v>
      </c>
      <c r="B29244">
        <f>TEXT(29243, "[$-0E0000]yyyy-mm-dd")</f>
        <v/>
      </c>
      <c r="C29244" t="inlineStr">
        <is>
          <t>1979-12-07</t>
        </is>
      </c>
    </row>
    <row r="29245">
      <c r="A29245" s="1" t="n">
        <v>29244</v>
      </c>
      <c r="B29245">
        <f>TEXT(29244, "[$-0E0000]yyyy-mm-dd")</f>
        <v/>
      </c>
      <c r="C29245" t="inlineStr">
        <is>
          <t>1979-12-08</t>
        </is>
      </c>
    </row>
    <row r="29246">
      <c r="A29246" s="1" t="n">
        <v>29245</v>
      </c>
      <c r="B29246">
        <f>TEXT(29245, "[$-0E0000]yyyy-mm-dd")</f>
        <v/>
      </c>
      <c r="C29246" t="inlineStr">
        <is>
          <t>1979-12-09</t>
        </is>
      </c>
    </row>
    <row r="29247">
      <c r="A29247" s="1" t="n">
        <v>29246</v>
      </c>
      <c r="B29247">
        <f>TEXT(29246, "[$-0E0000]yyyy-mm-dd")</f>
        <v/>
      </c>
      <c r="C29247" t="inlineStr">
        <is>
          <t>1979-12-10</t>
        </is>
      </c>
    </row>
    <row r="29248">
      <c r="A29248" s="1" t="n">
        <v>29247</v>
      </c>
      <c r="B29248">
        <f>TEXT(29247, "[$-0E0000]yyyy-mm-dd")</f>
        <v/>
      </c>
      <c r="C29248" t="inlineStr">
        <is>
          <t>1979-12-11</t>
        </is>
      </c>
    </row>
    <row r="29249">
      <c r="A29249" s="1" t="n">
        <v>29248</v>
      </c>
      <c r="B29249">
        <f>TEXT(29248, "[$-0E0000]yyyy-mm-dd")</f>
        <v/>
      </c>
      <c r="C29249" t="inlineStr">
        <is>
          <t>1979-12-12</t>
        </is>
      </c>
    </row>
    <row r="29250">
      <c r="A29250" s="1" t="n">
        <v>29249</v>
      </c>
      <c r="B29250">
        <f>TEXT(29249, "[$-0E0000]yyyy-mm-dd")</f>
        <v/>
      </c>
      <c r="C29250" t="inlineStr">
        <is>
          <t>1979-12-13</t>
        </is>
      </c>
    </row>
    <row r="29251">
      <c r="A29251" s="1" t="n">
        <v>29250</v>
      </c>
      <c r="B29251">
        <f>TEXT(29250, "[$-0E0000]yyyy-mm-dd")</f>
        <v/>
      </c>
      <c r="C29251" t="inlineStr">
        <is>
          <t>1979-12-14</t>
        </is>
      </c>
    </row>
    <row r="29252">
      <c r="A29252" s="1" t="n">
        <v>29251</v>
      </c>
      <c r="B29252">
        <f>TEXT(29251, "[$-0E0000]yyyy-mm-dd")</f>
        <v/>
      </c>
      <c r="C29252" t="inlineStr">
        <is>
          <t>1979-12-15</t>
        </is>
      </c>
    </row>
    <row r="29253">
      <c r="A29253" s="1" t="n">
        <v>29252</v>
      </c>
      <c r="B29253">
        <f>TEXT(29252, "[$-0E0000]yyyy-mm-dd")</f>
        <v/>
      </c>
      <c r="C29253" t="inlineStr">
        <is>
          <t>1979-12-16</t>
        </is>
      </c>
    </row>
    <row r="29254">
      <c r="A29254" s="1" t="n">
        <v>29253</v>
      </c>
      <c r="B29254">
        <f>TEXT(29253, "[$-0E0000]yyyy-mm-dd")</f>
        <v/>
      </c>
      <c r="C29254" t="inlineStr">
        <is>
          <t>1979-12-17</t>
        </is>
      </c>
    </row>
    <row r="29255">
      <c r="A29255" s="1" t="n">
        <v>29254</v>
      </c>
      <c r="B29255">
        <f>TEXT(29254, "[$-0E0000]yyyy-mm-dd")</f>
        <v/>
      </c>
      <c r="C29255" t="inlineStr">
        <is>
          <t>1979-12-18</t>
        </is>
      </c>
    </row>
    <row r="29256">
      <c r="A29256" s="1" t="n">
        <v>29255</v>
      </c>
      <c r="B29256">
        <f>TEXT(29255, "[$-0E0000]yyyy-mm-dd")</f>
        <v/>
      </c>
      <c r="C29256" t="inlineStr">
        <is>
          <t>1979-12-19</t>
        </is>
      </c>
    </row>
    <row r="29257">
      <c r="A29257" s="1" t="n">
        <v>29256</v>
      </c>
      <c r="B29257">
        <f>TEXT(29256, "[$-0E0000]yyyy-mm-dd")</f>
        <v/>
      </c>
      <c r="C29257" t="inlineStr">
        <is>
          <t>1979-12-20</t>
        </is>
      </c>
    </row>
    <row r="29258">
      <c r="A29258" s="1" t="n">
        <v>29257</v>
      </c>
      <c r="B29258">
        <f>TEXT(29257, "[$-0E0000]yyyy-mm-dd")</f>
        <v/>
      </c>
      <c r="C29258" t="inlineStr">
        <is>
          <t>1979-12-21</t>
        </is>
      </c>
    </row>
    <row r="29259">
      <c r="A29259" s="1" t="n">
        <v>29258</v>
      </c>
      <c r="B29259">
        <f>TEXT(29258, "[$-0E0000]yyyy-mm-dd")</f>
        <v/>
      </c>
      <c r="C29259" t="inlineStr">
        <is>
          <t>1979-12-22</t>
        </is>
      </c>
    </row>
    <row r="29260">
      <c r="A29260" s="1" t="n">
        <v>29259</v>
      </c>
      <c r="B29260">
        <f>TEXT(29259, "[$-0E0000]yyyy-mm-dd")</f>
        <v/>
      </c>
      <c r="C29260" t="inlineStr">
        <is>
          <t>1979-12-23</t>
        </is>
      </c>
    </row>
    <row r="29261">
      <c r="A29261" s="1" t="n">
        <v>29260</v>
      </c>
      <c r="B29261">
        <f>TEXT(29260, "[$-0E0000]yyyy-mm-dd")</f>
        <v/>
      </c>
      <c r="C29261" t="inlineStr">
        <is>
          <t>1979-12-24</t>
        </is>
      </c>
    </row>
    <row r="29262">
      <c r="A29262" s="1" t="n">
        <v>29261</v>
      </c>
      <c r="B29262">
        <f>TEXT(29261, "[$-0E0000]yyyy-mm-dd")</f>
        <v/>
      </c>
      <c r="C29262" t="inlineStr">
        <is>
          <t>1979-12-25</t>
        </is>
      </c>
    </row>
    <row r="29263">
      <c r="A29263" s="1" t="n">
        <v>29262</v>
      </c>
      <c r="B29263">
        <f>TEXT(29262, "[$-0E0000]yyyy-mm-dd")</f>
        <v/>
      </c>
      <c r="C29263" t="inlineStr">
        <is>
          <t>1979-12-26</t>
        </is>
      </c>
    </row>
    <row r="29264">
      <c r="A29264" s="1" t="n">
        <v>29263</v>
      </c>
      <c r="B29264">
        <f>TEXT(29263, "[$-0E0000]yyyy-mm-dd")</f>
        <v/>
      </c>
      <c r="C29264" t="inlineStr">
        <is>
          <t>1979-12-27</t>
        </is>
      </c>
    </row>
    <row r="29265">
      <c r="A29265" s="1" t="n">
        <v>29264</v>
      </c>
      <c r="B29265">
        <f>TEXT(29264, "[$-0E0000]yyyy-mm-dd")</f>
        <v/>
      </c>
      <c r="C29265" t="inlineStr">
        <is>
          <t>1979-12-28</t>
        </is>
      </c>
    </row>
    <row r="29266">
      <c r="A29266" s="1" t="n">
        <v>29265</v>
      </c>
      <c r="B29266">
        <f>TEXT(29265, "[$-0E0000]yyyy-mm-dd")</f>
        <v/>
      </c>
      <c r="C29266" t="inlineStr">
        <is>
          <t>1979-12-29</t>
        </is>
      </c>
    </row>
    <row r="29267">
      <c r="A29267" s="1" t="n">
        <v>29266</v>
      </c>
      <c r="B29267">
        <f>TEXT(29266, "[$-0E0000]yyyy-mm-dd")</f>
        <v/>
      </c>
      <c r="C29267" t="inlineStr">
        <is>
          <t>1980-01-01</t>
        </is>
      </c>
    </row>
    <row r="29268">
      <c r="A29268" s="1" t="n">
        <v>29267</v>
      </c>
      <c r="B29268">
        <f>TEXT(29267, "[$-0E0000]yyyy-mm-dd")</f>
        <v/>
      </c>
      <c r="C29268" t="inlineStr">
        <is>
          <t>1980-01-02</t>
        </is>
      </c>
    </row>
    <row r="29269">
      <c r="A29269" s="1" t="n">
        <v>29268</v>
      </c>
      <c r="B29269">
        <f>TEXT(29268, "[$-0E0000]yyyy-mm-dd")</f>
        <v/>
      </c>
      <c r="C29269" t="inlineStr">
        <is>
          <t>1980-01-03</t>
        </is>
      </c>
    </row>
    <row r="29270">
      <c r="A29270" s="1" t="n">
        <v>29269</v>
      </c>
      <c r="B29270">
        <f>TEXT(29269, "[$-0E0000]yyyy-mm-dd")</f>
        <v/>
      </c>
      <c r="C29270" t="inlineStr">
        <is>
          <t>1980-01-04</t>
        </is>
      </c>
    </row>
    <row r="29271">
      <c r="A29271" s="1" t="n">
        <v>29270</v>
      </c>
      <c r="B29271">
        <f>TEXT(29270, "[$-0E0000]yyyy-mm-dd")</f>
        <v/>
      </c>
      <c r="C29271" t="inlineStr">
        <is>
          <t>1980-01-05</t>
        </is>
      </c>
    </row>
    <row r="29272">
      <c r="A29272" s="1" t="n">
        <v>29271</v>
      </c>
      <c r="B29272">
        <f>TEXT(29271, "[$-0E0000]yyyy-mm-dd")</f>
        <v/>
      </c>
      <c r="C29272" t="inlineStr">
        <is>
          <t>1980-01-06</t>
        </is>
      </c>
    </row>
    <row r="29273">
      <c r="A29273" s="1" t="n">
        <v>29272</v>
      </c>
      <c r="B29273">
        <f>TEXT(29272, "[$-0E0000]yyyy-mm-dd")</f>
        <v/>
      </c>
      <c r="C29273" t="inlineStr">
        <is>
          <t>1980-01-07</t>
        </is>
      </c>
    </row>
    <row r="29274">
      <c r="A29274" s="1" t="n">
        <v>29273</v>
      </c>
      <c r="B29274">
        <f>TEXT(29273, "[$-0E0000]yyyy-mm-dd")</f>
        <v/>
      </c>
      <c r="C29274" t="inlineStr">
        <is>
          <t>1980-01-08</t>
        </is>
      </c>
    </row>
    <row r="29275">
      <c r="A29275" s="1" t="n">
        <v>29274</v>
      </c>
      <c r="B29275">
        <f>TEXT(29274, "[$-0E0000]yyyy-mm-dd")</f>
        <v/>
      </c>
      <c r="C29275" t="inlineStr">
        <is>
          <t>1980-01-09</t>
        </is>
      </c>
    </row>
    <row r="29276">
      <c r="A29276" s="1" t="n">
        <v>29275</v>
      </c>
      <c r="B29276">
        <f>TEXT(29275, "[$-0E0000]yyyy-mm-dd")</f>
        <v/>
      </c>
      <c r="C29276" t="inlineStr">
        <is>
          <t>1980-01-10</t>
        </is>
      </c>
    </row>
    <row r="29277">
      <c r="A29277" s="1" t="n">
        <v>29276</v>
      </c>
      <c r="B29277">
        <f>TEXT(29276, "[$-0E0000]yyyy-mm-dd")</f>
        <v/>
      </c>
      <c r="C29277" t="inlineStr">
        <is>
          <t>1980-01-11</t>
        </is>
      </c>
    </row>
    <row r="29278">
      <c r="A29278" s="1" t="n">
        <v>29277</v>
      </c>
      <c r="B29278">
        <f>TEXT(29277, "[$-0E0000]yyyy-mm-dd")</f>
        <v/>
      </c>
      <c r="C29278" t="inlineStr">
        <is>
          <t>1980-01-12</t>
        </is>
      </c>
    </row>
    <row r="29279">
      <c r="A29279" s="1" t="n">
        <v>29278</v>
      </c>
      <c r="B29279">
        <f>TEXT(29278, "[$-0E0000]yyyy-mm-dd")</f>
        <v/>
      </c>
      <c r="C29279" t="inlineStr">
        <is>
          <t>1980-01-13</t>
        </is>
      </c>
    </row>
    <row r="29280">
      <c r="A29280" s="1" t="n">
        <v>29279</v>
      </c>
      <c r="B29280">
        <f>TEXT(29279, "[$-0E0000]yyyy-mm-dd")</f>
        <v/>
      </c>
      <c r="C29280" t="inlineStr">
        <is>
          <t>1980-01-14</t>
        </is>
      </c>
    </row>
    <row r="29281">
      <c r="A29281" s="1" t="n">
        <v>29280</v>
      </c>
      <c r="B29281">
        <f>TEXT(29280, "[$-0E0000]yyyy-mm-dd")</f>
        <v/>
      </c>
      <c r="C29281" t="inlineStr">
        <is>
          <t>1980-01-15</t>
        </is>
      </c>
    </row>
    <row r="29282">
      <c r="A29282" s="1" t="n">
        <v>29281</v>
      </c>
      <c r="B29282">
        <f>TEXT(29281, "[$-0E0000]yyyy-mm-dd")</f>
        <v/>
      </c>
      <c r="C29282" t="inlineStr">
        <is>
          <t>1980-01-16</t>
        </is>
      </c>
    </row>
    <row r="29283">
      <c r="A29283" s="1" t="n">
        <v>29282</v>
      </c>
      <c r="B29283">
        <f>TEXT(29282, "[$-0E0000]yyyy-mm-dd")</f>
        <v/>
      </c>
      <c r="C29283" t="inlineStr">
        <is>
          <t>1980-01-17</t>
        </is>
      </c>
    </row>
    <row r="29284">
      <c r="A29284" s="1" t="n">
        <v>29283</v>
      </c>
      <c r="B29284">
        <f>TEXT(29283, "[$-0E0000]yyyy-mm-dd")</f>
        <v/>
      </c>
      <c r="C29284" t="inlineStr">
        <is>
          <t>1980-01-18</t>
        </is>
      </c>
    </row>
    <row r="29285">
      <c r="A29285" s="1" t="n">
        <v>29284</v>
      </c>
      <c r="B29285">
        <f>TEXT(29284, "[$-0E0000]yyyy-mm-dd")</f>
        <v/>
      </c>
      <c r="C29285" t="inlineStr">
        <is>
          <t>1980-01-19</t>
        </is>
      </c>
    </row>
    <row r="29286">
      <c r="A29286" s="1" t="n">
        <v>29285</v>
      </c>
      <c r="B29286">
        <f>TEXT(29285, "[$-0E0000]yyyy-mm-dd")</f>
        <v/>
      </c>
      <c r="C29286" t="inlineStr">
        <is>
          <t>1980-01-20</t>
        </is>
      </c>
    </row>
    <row r="29287">
      <c r="A29287" s="1" t="n">
        <v>29286</v>
      </c>
      <c r="B29287">
        <f>TEXT(29286, "[$-0E0000]yyyy-mm-dd")</f>
        <v/>
      </c>
      <c r="C29287" t="inlineStr">
        <is>
          <t>1980-01-21</t>
        </is>
      </c>
    </row>
    <row r="29288">
      <c r="A29288" s="1" t="n">
        <v>29287</v>
      </c>
      <c r="B29288">
        <f>TEXT(29287, "[$-0E0000]yyyy-mm-dd")</f>
        <v/>
      </c>
      <c r="C29288" t="inlineStr">
        <is>
          <t>1980-01-22</t>
        </is>
      </c>
    </row>
    <row r="29289">
      <c r="A29289" s="1" t="n">
        <v>29288</v>
      </c>
      <c r="B29289">
        <f>TEXT(29288, "[$-0E0000]yyyy-mm-dd")</f>
        <v/>
      </c>
      <c r="C29289" t="inlineStr">
        <is>
          <t>1980-01-23</t>
        </is>
      </c>
    </row>
    <row r="29290">
      <c r="A29290" s="1" t="n">
        <v>29289</v>
      </c>
      <c r="B29290">
        <f>TEXT(29289, "[$-0E0000]yyyy-mm-dd")</f>
        <v/>
      </c>
      <c r="C29290" t="inlineStr">
        <is>
          <t>1980-01-24</t>
        </is>
      </c>
    </row>
    <row r="29291">
      <c r="A29291" s="1" t="n">
        <v>29290</v>
      </c>
      <c r="B29291">
        <f>TEXT(29290, "[$-0E0000]yyyy-mm-dd")</f>
        <v/>
      </c>
      <c r="C29291" t="inlineStr">
        <is>
          <t>1980-01-25</t>
        </is>
      </c>
    </row>
    <row r="29292">
      <c r="A29292" s="1" t="n">
        <v>29291</v>
      </c>
      <c r="B29292">
        <f>TEXT(29291, "[$-0E0000]yyyy-mm-dd")</f>
        <v/>
      </c>
      <c r="C29292" t="inlineStr">
        <is>
          <t>1980-01-26</t>
        </is>
      </c>
    </row>
    <row r="29293">
      <c r="A29293" s="1" t="n">
        <v>29292</v>
      </c>
      <c r="B29293">
        <f>TEXT(29292, "[$-0E0000]yyyy-mm-dd")</f>
        <v/>
      </c>
      <c r="C29293" t="inlineStr">
        <is>
          <t>1980-01-27</t>
        </is>
      </c>
    </row>
    <row r="29294">
      <c r="A29294" s="1" t="n">
        <v>29293</v>
      </c>
      <c r="B29294">
        <f>TEXT(29293, "[$-0E0000]yyyy-mm-dd")</f>
        <v/>
      </c>
      <c r="C29294" t="inlineStr">
        <is>
          <t>1980-01-28</t>
        </is>
      </c>
    </row>
    <row r="29295">
      <c r="A29295" s="1" t="n">
        <v>29294</v>
      </c>
      <c r="B29295">
        <f>TEXT(29294, "[$-0E0000]yyyy-mm-dd")</f>
        <v/>
      </c>
      <c r="C29295" t="inlineStr">
        <is>
          <t>1980-01-29</t>
        </is>
      </c>
    </row>
    <row r="29296">
      <c r="A29296" s="1" t="n">
        <v>29295</v>
      </c>
      <c r="B29296">
        <f>TEXT(29295, "[$-0E0000]yyyy-mm-dd")</f>
        <v/>
      </c>
      <c r="C29296" t="inlineStr">
        <is>
          <t>1980-01-30</t>
        </is>
      </c>
    </row>
    <row r="29297">
      <c r="A29297" s="1" t="n">
        <v>29296</v>
      </c>
      <c r="B29297">
        <f>TEXT(29296, "[$-0E0000]yyyy-mm-dd")</f>
        <v/>
      </c>
      <c r="C29297" t="inlineStr">
        <is>
          <t>1980-02-01</t>
        </is>
      </c>
    </row>
    <row r="29298">
      <c r="A29298" s="1" t="n">
        <v>29297</v>
      </c>
      <c r="B29298">
        <f>TEXT(29297, "[$-0E0000]yyyy-mm-dd")</f>
        <v/>
      </c>
      <c r="C29298" t="inlineStr">
        <is>
          <t>1980-02-02</t>
        </is>
      </c>
    </row>
    <row r="29299">
      <c r="A29299" s="1" t="n">
        <v>29298</v>
      </c>
      <c r="B29299">
        <f>TEXT(29298, "[$-0E0000]yyyy-mm-dd")</f>
        <v/>
      </c>
      <c r="C29299" t="inlineStr">
        <is>
          <t>1980-02-03</t>
        </is>
      </c>
    </row>
    <row r="29300">
      <c r="A29300" s="1" t="n">
        <v>29299</v>
      </c>
      <c r="B29300">
        <f>TEXT(29299, "[$-0E0000]yyyy-mm-dd")</f>
        <v/>
      </c>
      <c r="C29300" t="inlineStr">
        <is>
          <t>1980-02-04</t>
        </is>
      </c>
    </row>
    <row r="29301">
      <c r="A29301" s="1" t="n">
        <v>29300</v>
      </c>
      <c r="B29301">
        <f>TEXT(29300, "[$-0E0000]yyyy-mm-dd")</f>
        <v/>
      </c>
      <c r="C29301" t="inlineStr">
        <is>
          <t>1980-02-05</t>
        </is>
      </c>
    </row>
    <row r="29302">
      <c r="A29302" s="1" t="n">
        <v>29301</v>
      </c>
      <c r="B29302">
        <f>TEXT(29301, "[$-0E0000]yyyy-mm-dd")</f>
        <v/>
      </c>
      <c r="C29302" t="inlineStr">
        <is>
          <t>1980-02-06</t>
        </is>
      </c>
    </row>
    <row r="29303">
      <c r="A29303" s="1" t="n">
        <v>29302</v>
      </c>
      <c r="B29303">
        <f>TEXT(29302, "[$-0E0000]yyyy-mm-dd")</f>
        <v/>
      </c>
      <c r="C29303" t="inlineStr">
        <is>
          <t>1980-02-07</t>
        </is>
      </c>
    </row>
    <row r="29304">
      <c r="A29304" s="1" t="n">
        <v>29303</v>
      </c>
      <c r="B29304">
        <f>TEXT(29303, "[$-0E0000]yyyy-mm-dd")</f>
        <v/>
      </c>
      <c r="C29304" t="inlineStr">
        <is>
          <t>1980-02-08</t>
        </is>
      </c>
    </row>
    <row r="29305">
      <c r="A29305" s="1" t="n">
        <v>29304</v>
      </c>
      <c r="B29305">
        <f>TEXT(29304, "[$-0E0000]yyyy-mm-dd")</f>
        <v/>
      </c>
      <c r="C29305" t="inlineStr">
        <is>
          <t>1980-02-09</t>
        </is>
      </c>
    </row>
    <row r="29306">
      <c r="A29306" s="1" t="n">
        <v>29305</v>
      </c>
      <c r="B29306">
        <f>TEXT(29305, "[$-0E0000]yyyy-mm-dd")</f>
        <v/>
      </c>
      <c r="C29306" t="inlineStr">
        <is>
          <t>1980-02-10</t>
        </is>
      </c>
    </row>
    <row r="29307">
      <c r="A29307" s="1" t="n">
        <v>29306</v>
      </c>
      <c r="B29307">
        <f>TEXT(29306, "[$-0E0000]yyyy-mm-dd")</f>
        <v/>
      </c>
      <c r="C29307" t="inlineStr">
        <is>
          <t>1980-02-11</t>
        </is>
      </c>
    </row>
    <row r="29308">
      <c r="A29308" s="1" t="n">
        <v>29307</v>
      </c>
      <c r="B29308">
        <f>TEXT(29307, "[$-0E0000]yyyy-mm-dd")</f>
        <v/>
      </c>
      <c r="C29308" t="inlineStr">
        <is>
          <t>1980-02-12</t>
        </is>
      </c>
    </row>
    <row r="29309">
      <c r="A29309" s="1" t="n">
        <v>29308</v>
      </c>
      <c r="B29309">
        <f>TEXT(29308, "[$-0E0000]yyyy-mm-dd")</f>
        <v/>
      </c>
      <c r="C29309" t="inlineStr">
        <is>
          <t>1980-02-13</t>
        </is>
      </c>
    </row>
    <row r="29310">
      <c r="A29310" s="1" t="n">
        <v>29309</v>
      </c>
      <c r="B29310">
        <f>TEXT(29309, "[$-0E0000]yyyy-mm-dd")</f>
        <v/>
      </c>
      <c r="C29310" t="inlineStr">
        <is>
          <t>1980-02-14</t>
        </is>
      </c>
    </row>
    <row r="29311">
      <c r="A29311" s="1" t="n">
        <v>29310</v>
      </c>
      <c r="B29311">
        <f>TEXT(29310, "[$-0E0000]yyyy-mm-dd")</f>
        <v/>
      </c>
      <c r="C29311" t="inlineStr">
        <is>
          <t>1980-02-15</t>
        </is>
      </c>
    </row>
    <row r="29312">
      <c r="A29312" s="1" t="n">
        <v>29311</v>
      </c>
      <c r="B29312">
        <f>TEXT(29311, "[$-0E0000]yyyy-mm-dd")</f>
        <v/>
      </c>
      <c r="C29312" t="inlineStr">
        <is>
          <t>1980-02-16</t>
        </is>
      </c>
    </row>
    <row r="29313">
      <c r="A29313" s="1" t="n">
        <v>29312</v>
      </c>
      <c r="B29313">
        <f>TEXT(29312, "[$-0E0000]yyyy-mm-dd")</f>
        <v/>
      </c>
      <c r="C29313" t="inlineStr">
        <is>
          <t>1980-02-17</t>
        </is>
      </c>
    </row>
    <row r="29314">
      <c r="A29314" s="1" t="n">
        <v>29313</v>
      </c>
      <c r="B29314">
        <f>TEXT(29313, "[$-0E0000]yyyy-mm-dd")</f>
        <v/>
      </c>
      <c r="C29314" t="inlineStr">
        <is>
          <t>1980-02-18</t>
        </is>
      </c>
    </row>
    <row r="29315">
      <c r="A29315" s="1" t="n">
        <v>29314</v>
      </c>
      <c r="B29315">
        <f>TEXT(29314, "[$-0E0000]yyyy-mm-dd")</f>
        <v/>
      </c>
      <c r="C29315" t="inlineStr">
        <is>
          <t>1980-02-19</t>
        </is>
      </c>
    </row>
    <row r="29316">
      <c r="A29316" s="1" t="n">
        <v>29315</v>
      </c>
      <c r="B29316">
        <f>TEXT(29315, "[$-0E0000]yyyy-mm-dd")</f>
        <v/>
      </c>
      <c r="C29316" t="inlineStr">
        <is>
          <t>1980-02-20</t>
        </is>
      </c>
    </row>
    <row r="29317">
      <c r="A29317" s="1" t="n">
        <v>29316</v>
      </c>
      <c r="B29317">
        <f>TEXT(29316, "[$-0E0000]yyyy-mm-dd")</f>
        <v/>
      </c>
      <c r="C29317" t="inlineStr">
        <is>
          <t>1980-02-21</t>
        </is>
      </c>
    </row>
    <row r="29318">
      <c r="A29318" s="1" t="n">
        <v>29317</v>
      </c>
      <c r="B29318">
        <f>TEXT(29317, "[$-0E0000]yyyy-mm-dd")</f>
        <v/>
      </c>
      <c r="C29318" t="inlineStr">
        <is>
          <t>1980-02-22</t>
        </is>
      </c>
    </row>
    <row r="29319">
      <c r="A29319" s="1" t="n">
        <v>29318</v>
      </c>
      <c r="B29319">
        <f>TEXT(29318, "[$-0E0000]yyyy-mm-dd")</f>
        <v/>
      </c>
      <c r="C29319" t="inlineStr">
        <is>
          <t>1980-02-23</t>
        </is>
      </c>
    </row>
    <row r="29320">
      <c r="A29320" s="1" t="n">
        <v>29319</v>
      </c>
      <c r="B29320">
        <f>TEXT(29319, "[$-0E0000]yyyy-mm-dd")</f>
        <v/>
      </c>
      <c r="C29320" t="inlineStr">
        <is>
          <t>1980-02-24</t>
        </is>
      </c>
    </row>
    <row r="29321">
      <c r="A29321" s="1" t="n">
        <v>29320</v>
      </c>
      <c r="B29321">
        <f>TEXT(29320, "[$-0E0000]yyyy-mm-dd")</f>
        <v/>
      </c>
      <c r="C29321" t="inlineStr">
        <is>
          <t>1980-02-25</t>
        </is>
      </c>
    </row>
    <row r="29322">
      <c r="A29322" s="1" t="n">
        <v>29321</v>
      </c>
      <c r="B29322">
        <f>TEXT(29321, "[$-0E0000]yyyy-mm-dd")</f>
        <v/>
      </c>
      <c r="C29322" t="inlineStr">
        <is>
          <t>1980-02-26</t>
        </is>
      </c>
    </row>
    <row r="29323">
      <c r="A29323" s="1" t="n">
        <v>29322</v>
      </c>
      <c r="B29323">
        <f>TEXT(29322, "[$-0E0000]yyyy-mm-dd")</f>
        <v/>
      </c>
      <c r="C29323" t="inlineStr">
        <is>
          <t>1980-02-27</t>
        </is>
      </c>
    </row>
    <row r="29324">
      <c r="A29324" s="1" t="n">
        <v>29323</v>
      </c>
      <c r="B29324">
        <f>TEXT(29323, "[$-0E0000]yyyy-mm-dd")</f>
        <v/>
      </c>
      <c r="C29324" t="inlineStr">
        <is>
          <t>1980-02-28</t>
        </is>
      </c>
    </row>
    <row r="29325">
      <c r="A29325" s="1" t="n">
        <v>29324</v>
      </c>
      <c r="B29325">
        <f>TEXT(29324, "[$-0E0000]yyyy-mm-dd")</f>
        <v/>
      </c>
      <c r="C29325" t="inlineStr">
        <is>
          <t>1980-02-29</t>
        </is>
      </c>
    </row>
    <row r="29326">
      <c r="A29326" s="1" t="n">
        <v>29325</v>
      </c>
      <c r="B29326">
        <f>TEXT(29325, "[$-0E0000]yyyy-mm-dd")</f>
        <v/>
      </c>
      <c r="C29326" t="inlineStr">
        <is>
          <t>1980-03-01</t>
        </is>
      </c>
    </row>
    <row r="29327">
      <c r="A29327" s="1" t="n">
        <v>29326</v>
      </c>
      <c r="B29327">
        <f>TEXT(29326, "[$-0E0000]yyyy-mm-dd")</f>
        <v/>
      </c>
      <c r="C29327" t="inlineStr">
        <is>
          <t>1980-03-02</t>
        </is>
      </c>
    </row>
    <row r="29328">
      <c r="A29328" s="1" t="n">
        <v>29327</v>
      </c>
      <c r="B29328">
        <f>TEXT(29327, "[$-0E0000]yyyy-mm-dd")</f>
        <v/>
      </c>
      <c r="C29328" t="inlineStr">
        <is>
          <t>1980-03-03</t>
        </is>
      </c>
    </row>
    <row r="29329">
      <c r="A29329" s="1" t="n">
        <v>29328</v>
      </c>
      <c r="B29329">
        <f>TEXT(29328, "[$-0E0000]yyyy-mm-dd")</f>
        <v/>
      </c>
      <c r="C29329" t="inlineStr">
        <is>
          <t>1980-03-04</t>
        </is>
      </c>
    </row>
    <row r="29330">
      <c r="A29330" s="1" t="n">
        <v>29329</v>
      </c>
      <c r="B29330">
        <f>TEXT(29329, "[$-0E0000]yyyy-mm-dd")</f>
        <v/>
      </c>
      <c r="C29330" t="inlineStr">
        <is>
          <t>1980-03-05</t>
        </is>
      </c>
    </row>
    <row r="29331">
      <c r="A29331" s="1" t="n">
        <v>29330</v>
      </c>
      <c r="B29331">
        <f>TEXT(29330, "[$-0E0000]yyyy-mm-dd")</f>
        <v/>
      </c>
      <c r="C29331" t="inlineStr">
        <is>
          <t>1980-03-06</t>
        </is>
      </c>
    </row>
    <row r="29332">
      <c r="A29332" s="1" t="n">
        <v>29331</v>
      </c>
      <c r="B29332">
        <f>TEXT(29331, "[$-0E0000]yyyy-mm-dd")</f>
        <v/>
      </c>
      <c r="C29332" t="inlineStr">
        <is>
          <t>1980-03-07</t>
        </is>
      </c>
    </row>
    <row r="29333">
      <c r="A29333" s="1" t="n">
        <v>29332</v>
      </c>
      <c r="B29333">
        <f>TEXT(29332, "[$-0E0000]yyyy-mm-dd")</f>
        <v/>
      </c>
      <c r="C29333" t="inlineStr">
        <is>
          <t>1980-03-08</t>
        </is>
      </c>
    </row>
    <row r="29334">
      <c r="A29334" s="1" t="n">
        <v>29333</v>
      </c>
      <c r="B29334">
        <f>TEXT(29333, "[$-0E0000]yyyy-mm-dd")</f>
        <v/>
      </c>
      <c r="C29334" t="inlineStr">
        <is>
          <t>1980-03-09</t>
        </is>
      </c>
    </row>
    <row r="29335">
      <c r="A29335" s="1" t="n">
        <v>29334</v>
      </c>
      <c r="B29335">
        <f>TEXT(29334, "[$-0E0000]yyyy-mm-dd")</f>
        <v/>
      </c>
      <c r="C29335" t="inlineStr">
        <is>
          <t>1980-03-10</t>
        </is>
      </c>
    </row>
    <row r="29336">
      <c r="A29336" s="1" t="n">
        <v>29335</v>
      </c>
      <c r="B29336">
        <f>TEXT(29335, "[$-0E0000]yyyy-mm-dd")</f>
        <v/>
      </c>
      <c r="C29336" t="inlineStr">
        <is>
          <t>1980-03-11</t>
        </is>
      </c>
    </row>
    <row r="29337">
      <c r="A29337" s="1" t="n">
        <v>29336</v>
      </c>
      <c r="B29337">
        <f>TEXT(29336, "[$-0E0000]yyyy-mm-dd")</f>
        <v/>
      </c>
      <c r="C29337" t="inlineStr">
        <is>
          <t>1980-03-12</t>
        </is>
      </c>
    </row>
    <row r="29338">
      <c r="A29338" s="1" t="n">
        <v>29337</v>
      </c>
      <c r="B29338">
        <f>TEXT(29337, "[$-0E0000]yyyy-mm-dd")</f>
        <v/>
      </c>
      <c r="C29338" t="inlineStr">
        <is>
          <t>1980-03-13</t>
        </is>
      </c>
    </row>
    <row r="29339">
      <c r="A29339" s="1" t="n">
        <v>29338</v>
      </c>
      <c r="B29339">
        <f>TEXT(29338, "[$-0E0000]yyyy-mm-dd")</f>
        <v/>
      </c>
      <c r="C29339" t="inlineStr">
        <is>
          <t>1980-03-14</t>
        </is>
      </c>
    </row>
    <row r="29340">
      <c r="A29340" s="1" t="n">
        <v>29339</v>
      </c>
      <c r="B29340">
        <f>TEXT(29339, "[$-0E0000]yyyy-mm-dd")</f>
        <v/>
      </c>
      <c r="C29340" t="inlineStr">
        <is>
          <t>1980-03-15</t>
        </is>
      </c>
    </row>
    <row r="29341">
      <c r="A29341" s="1" t="n">
        <v>29340</v>
      </c>
      <c r="B29341">
        <f>TEXT(29340, "[$-0E0000]yyyy-mm-dd")</f>
        <v/>
      </c>
      <c r="C29341" t="inlineStr">
        <is>
          <t>1980-03-16</t>
        </is>
      </c>
    </row>
    <row r="29342">
      <c r="A29342" s="1" t="n">
        <v>29341</v>
      </c>
      <c r="B29342">
        <f>TEXT(29341, "[$-0E0000]yyyy-mm-dd")</f>
        <v/>
      </c>
      <c r="C29342" t="inlineStr">
        <is>
          <t>1980-03-17</t>
        </is>
      </c>
    </row>
    <row r="29343">
      <c r="A29343" s="1" t="n">
        <v>29342</v>
      </c>
      <c r="B29343">
        <f>TEXT(29342, "[$-0E0000]yyyy-mm-dd")</f>
        <v/>
      </c>
      <c r="C29343" t="inlineStr">
        <is>
          <t>1980-03-18</t>
        </is>
      </c>
    </row>
    <row r="29344">
      <c r="A29344" s="1" t="n">
        <v>29343</v>
      </c>
      <c r="B29344">
        <f>TEXT(29343, "[$-0E0000]yyyy-mm-dd")</f>
        <v/>
      </c>
      <c r="C29344" t="inlineStr">
        <is>
          <t>1980-03-19</t>
        </is>
      </c>
    </row>
    <row r="29345">
      <c r="A29345" s="1" t="n">
        <v>29344</v>
      </c>
      <c r="B29345">
        <f>TEXT(29344, "[$-0E0000]yyyy-mm-dd")</f>
        <v/>
      </c>
      <c r="C29345" t="inlineStr">
        <is>
          <t>1980-03-20</t>
        </is>
      </c>
    </row>
    <row r="29346">
      <c r="A29346" s="1" t="n">
        <v>29345</v>
      </c>
      <c r="B29346">
        <f>TEXT(29345, "[$-0E0000]yyyy-mm-dd")</f>
        <v/>
      </c>
      <c r="C29346" t="inlineStr">
        <is>
          <t>1980-03-21</t>
        </is>
      </c>
    </row>
    <row r="29347">
      <c r="A29347" s="1" t="n">
        <v>29346</v>
      </c>
      <c r="B29347">
        <f>TEXT(29346, "[$-0E0000]yyyy-mm-dd")</f>
        <v/>
      </c>
      <c r="C29347" t="inlineStr">
        <is>
          <t>1980-03-22</t>
        </is>
      </c>
    </row>
    <row r="29348">
      <c r="A29348" s="1" t="n">
        <v>29347</v>
      </c>
      <c r="B29348">
        <f>TEXT(29347, "[$-0E0000]yyyy-mm-dd")</f>
        <v/>
      </c>
      <c r="C29348" t="inlineStr">
        <is>
          <t>1980-03-23</t>
        </is>
      </c>
    </row>
    <row r="29349">
      <c r="A29349" s="1" t="n">
        <v>29348</v>
      </c>
      <c r="B29349">
        <f>TEXT(29348, "[$-0E0000]yyyy-mm-dd")</f>
        <v/>
      </c>
      <c r="C29349" t="inlineStr">
        <is>
          <t>1980-03-24</t>
        </is>
      </c>
    </row>
    <row r="29350">
      <c r="A29350" s="1" t="n">
        <v>29349</v>
      </c>
      <c r="B29350">
        <f>TEXT(29349, "[$-0E0000]yyyy-mm-dd")</f>
        <v/>
      </c>
      <c r="C29350" t="inlineStr">
        <is>
          <t>1980-03-25</t>
        </is>
      </c>
    </row>
    <row r="29351">
      <c r="A29351" s="1" t="n">
        <v>29350</v>
      </c>
      <c r="B29351">
        <f>TEXT(29350, "[$-0E0000]yyyy-mm-dd")</f>
        <v/>
      </c>
      <c r="C29351" t="inlineStr">
        <is>
          <t>1980-03-26</t>
        </is>
      </c>
    </row>
    <row r="29352">
      <c r="A29352" s="1" t="n">
        <v>29351</v>
      </c>
      <c r="B29352">
        <f>TEXT(29351, "[$-0E0000]yyyy-mm-dd")</f>
        <v/>
      </c>
      <c r="C29352" t="inlineStr">
        <is>
          <t>1980-03-27</t>
        </is>
      </c>
    </row>
    <row r="29353">
      <c r="A29353" s="1" t="n">
        <v>29352</v>
      </c>
      <c r="B29353">
        <f>TEXT(29352, "[$-0E0000]yyyy-mm-dd")</f>
        <v/>
      </c>
      <c r="C29353" t="inlineStr">
        <is>
          <t>1980-03-28</t>
        </is>
      </c>
    </row>
    <row r="29354">
      <c r="A29354" s="1" t="n">
        <v>29353</v>
      </c>
      <c r="B29354">
        <f>TEXT(29353, "[$-0E0000]yyyy-mm-dd")</f>
        <v/>
      </c>
      <c r="C29354" t="inlineStr">
        <is>
          <t>1980-03-29</t>
        </is>
      </c>
    </row>
    <row r="29355">
      <c r="A29355" s="1" t="n">
        <v>29354</v>
      </c>
      <c r="B29355">
        <f>TEXT(29354, "[$-0E0000]yyyy-mm-dd")</f>
        <v/>
      </c>
      <c r="C29355" t="inlineStr">
        <is>
          <t>1980-04-01</t>
        </is>
      </c>
    </row>
    <row r="29356">
      <c r="A29356" s="1" t="n">
        <v>29355</v>
      </c>
      <c r="B29356">
        <f>TEXT(29355, "[$-0E0000]yyyy-mm-dd")</f>
        <v/>
      </c>
      <c r="C29356" t="inlineStr">
        <is>
          <t>1980-04-02</t>
        </is>
      </c>
    </row>
    <row r="29357">
      <c r="A29357" s="1" t="n">
        <v>29356</v>
      </c>
      <c r="B29357">
        <f>TEXT(29356, "[$-0E0000]yyyy-mm-dd")</f>
        <v/>
      </c>
      <c r="C29357" t="inlineStr">
        <is>
          <t>1980-04-03</t>
        </is>
      </c>
    </row>
    <row r="29358">
      <c r="A29358" s="1" t="n">
        <v>29357</v>
      </c>
      <c r="B29358">
        <f>TEXT(29357, "[$-0E0000]yyyy-mm-dd")</f>
        <v/>
      </c>
      <c r="C29358" t="inlineStr">
        <is>
          <t>1980-04-04</t>
        </is>
      </c>
    </row>
    <row r="29359">
      <c r="A29359" s="1" t="n">
        <v>29358</v>
      </c>
      <c r="B29359">
        <f>TEXT(29358, "[$-0E0000]yyyy-mm-dd")</f>
        <v/>
      </c>
      <c r="C29359" t="inlineStr">
        <is>
          <t>1980-04-05</t>
        </is>
      </c>
    </row>
    <row r="29360">
      <c r="A29360" s="1" t="n">
        <v>29359</v>
      </c>
      <c r="B29360">
        <f>TEXT(29359, "[$-0E0000]yyyy-mm-dd")</f>
        <v/>
      </c>
      <c r="C29360" t="inlineStr">
        <is>
          <t>1980-04-06</t>
        </is>
      </c>
    </row>
    <row r="29361">
      <c r="A29361" s="1" t="n">
        <v>29360</v>
      </c>
      <c r="B29361">
        <f>TEXT(29360, "[$-0E0000]yyyy-mm-dd")</f>
        <v/>
      </c>
      <c r="C29361" t="inlineStr">
        <is>
          <t>1980-04-07</t>
        </is>
      </c>
    </row>
    <row r="29362">
      <c r="A29362" s="1" t="n">
        <v>29361</v>
      </c>
      <c r="B29362">
        <f>TEXT(29361, "[$-0E0000]yyyy-mm-dd")</f>
        <v/>
      </c>
      <c r="C29362" t="inlineStr">
        <is>
          <t>1980-04-08</t>
        </is>
      </c>
    </row>
    <row r="29363">
      <c r="A29363" s="1" t="n">
        <v>29362</v>
      </c>
      <c r="B29363">
        <f>TEXT(29362, "[$-0E0000]yyyy-mm-dd")</f>
        <v/>
      </c>
      <c r="C29363" t="inlineStr">
        <is>
          <t>1980-04-09</t>
        </is>
      </c>
    </row>
    <row r="29364">
      <c r="A29364" s="1" t="n">
        <v>29363</v>
      </c>
      <c r="B29364">
        <f>TEXT(29363, "[$-0E0000]yyyy-mm-dd")</f>
        <v/>
      </c>
      <c r="C29364" t="inlineStr">
        <is>
          <t>1980-04-10</t>
        </is>
      </c>
    </row>
    <row r="29365">
      <c r="A29365" s="1" t="n">
        <v>29364</v>
      </c>
      <c r="B29365">
        <f>TEXT(29364, "[$-0E0000]yyyy-mm-dd")</f>
        <v/>
      </c>
      <c r="C29365" t="inlineStr">
        <is>
          <t>1980-04-11</t>
        </is>
      </c>
    </row>
    <row r="29366">
      <c r="A29366" s="1" t="n">
        <v>29365</v>
      </c>
      <c r="B29366">
        <f>TEXT(29365, "[$-0E0000]yyyy-mm-dd")</f>
        <v/>
      </c>
      <c r="C29366" t="inlineStr">
        <is>
          <t>1980-04-12</t>
        </is>
      </c>
    </row>
    <row r="29367">
      <c r="A29367" s="1" t="n">
        <v>29366</v>
      </c>
      <c r="B29367">
        <f>TEXT(29366, "[$-0E0000]yyyy-mm-dd")</f>
        <v/>
      </c>
      <c r="C29367" t="inlineStr">
        <is>
          <t>1980-04-13</t>
        </is>
      </c>
    </row>
    <row r="29368">
      <c r="A29368" s="1" t="n">
        <v>29367</v>
      </c>
      <c r="B29368">
        <f>TEXT(29367, "[$-0E0000]yyyy-mm-dd")</f>
        <v/>
      </c>
      <c r="C29368" t="inlineStr">
        <is>
          <t>1980-04-14</t>
        </is>
      </c>
    </row>
    <row r="29369">
      <c r="A29369" s="1" t="n">
        <v>29368</v>
      </c>
      <c r="B29369">
        <f>TEXT(29368, "[$-0E0000]yyyy-mm-dd")</f>
        <v/>
      </c>
      <c r="C29369" t="inlineStr">
        <is>
          <t>1980-04-15</t>
        </is>
      </c>
    </row>
    <row r="29370">
      <c r="A29370" s="1" t="n">
        <v>29369</v>
      </c>
      <c r="B29370">
        <f>TEXT(29369, "[$-0E0000]yyyy-mm-dd")</f>
        <v/>
      </c>
      <c r="C29370" t="inlineStr">
        <is>
          <t>1980-04-16</t>
        </is>
      </c>
    </row>
    <row r="29371">
      <c r="A29371" s="1" t="n">
        <v>29370</v>
      </c>
      <c r="B29371">
        <f>TEXT(29370, "[$-0E0000]yyyy-mm-dd")</f>
        <v/>
      </c>
      <c r="C29371" t="inlineStr">
        <is>
          <t>1980-04-17</t>
        </is>
      </c>
    </row>
    <row r="29372">
      <c r="A29372" s="1" t="n">
        <v>29371</v>
      </c>
      <c r="B29372">
        <f>TEXT(29371, "[$-0E0000]yyyy-mm-dd")</f>
        <v/>
      </c>
      <c r="C29372" t="inlineStr">
        <is>
          <t>1980-04-18</t>
        </is>
      </c>
    </row>
    <row r="29373">
      <c r="A29373" s="1" t="n">
        <v>29372</v>
      </c>
      <c r="B29373">
        <f>TEXT(29372, "[$-0E0000]yyyy-mm-dd")</f>
        <v/>
      </c>
      <c r="C29373" t="inlineStr">
        <is>
          <t>1980-04-19</t>
        </is>
      </c>
    </row>
    <row r="29374">
      <c r="A29374" s="1" t="n">
        <v>29373</v>
      </c>
      <c r="B29374">
        <f>TEXT(29373, "[$-0E0000]yyyy-mm-dd")</f>
        <v/>
      </c>
      <c r="C29374" t="inlineStr">
        <is>
          <t>1980-04-20</t>
        </is>
      </c>
    </row>
    <row r="29375">
      <c r="A29375" s="1" t="n">
        <v>29374</v>
      </c>
      <c r="B29375">
        <f>TEXT(29374, "[$-0E0000]yyyy-mm-dd")</f>
        <v/>
      </c>
      <c r="C29375" t="inlineStr">
        <is>
          <t>1980-04-21</t>
        </is>
      </c>
    </row>
    <row r="29376">
      <c r="A29376" s="1" t="n">
        <v>29375</v>
      </c>
      <c r="B29376">
        <f>TEXT(29375, "[$-0E0000]yyyy-mm-dd")</f>
        <v/>
      </c>
      <c r="C29376" t="inlineStr">
        <is>
          <t>1980-04-22</t>
        </is>
      </c>
    </row>
    <row r="29377">
      <c r="A29377" s="1" t="n">
        <v>29376</v>
      </c>
      <c r="B29377">
        <f>TEXT(29376, "[$-0E0000]yyyy-mm-dd")</f>
        <v/>
      </c>
      <c r="C29377" t="inlineStr">
        <is>
          <t>1980-04-23</t>
        </is>
      </c>
    </row>
    <row r="29378">
      <c r="A29378" s="1" t="n">
        <v>29377</v>
      </c>
      <c r="B29378">
        <f>TEXT(29377, "[$-0E0000]yyyy-mm-dd")</f>
        <v/>
      </c>
      <c r="C29378" t="inlineStr">
        <is>
          <t>1980-04-24</t>
        </is>
      </c>
    </row>
    <row r="29379">
      <c r="A29379" s="1" t="n">
        <v>29378</v>
      </c>
      <c r="B29379">
        <f>TEXT(29378, "[$-0E0000]yyyy-mm-dd")</f>
        <v/>
      </c>
      <c r="C29379" t="inlineStr">
        <is>
          <t>1980-04-25</t>
        </is>
      </c>
    </row>
    <row r="29380">
      <c r="A29380" s="1" t="n">
        <v>29379</v>
      </c>
      <c r="B29380">
        <f>TEXT(29379, "[$-0E0000]yyyy-mm-dd")</f>
        <v/>
      </c>
      <c r="C29380" t="inlineStr">
        <is>
          <t>1980-04-26</t>
        </is>
      </c>
    </row>
    <row r="29381">
      <c r="A29381" s="1" t="n">
        <v>29380</v>
      </c>
      <c r="B29381">
        <f>TEXT(29380, "[$-0E0000]yyyy-mm-dd")</f>
        <v/>
      </c>
      <c r="C29381" t="inlineStr">
        <is>
          <t>1980-04-27</t>
        </is>
      </c>
    </row>
    <row r="29382">
      <c r="A29382" s="1" t="n">
        <v>29381</v>
      </c>
      <c r="B29382">
        <f>TEXT(29381, "[$-0E0000]yyyy-mm-dd")</f>
        <v/>
      </c>
      <c r="C29382" t="inlineStr">
        <is>
          <t>1980-04-28</t>
        </is>
      </c>
    </row>
    <row r="29383">
      <c r="A29383" s="1" t="n">
        <v>29382</v>
      </c>
      <c r="B29383">
        <f>TEXT(29382, "[$-0E0000]yyyy-mm-dd")</f>
        <v/>
      </c>
      <c r="C29383" t="inlineStr">
        <is>
          <t>1980-04-29</t>
        </is>
      </c>
    </row>
    <row r="29384">
      <c r="A29384" s="1" t="n">
        <v>29383</v>
      </c>
      <c r="B29384">
        <f>TEXT(29383, "[$-0E0000]yyyy-mm-dd")</f>
        <v/>
      </c>
      <c r="C29384" t="inlineStr">
        <is>
          <t>1980-04-30</t>
        </is>
      </c>
    </row>
    <row r="29385">
      <c r="A29385" s="1" t="n">
        <v>29384</v>
      </c>
      <c r="B29385">
        <f>TEXT(29384, "[$-0E0000]yyyy-mm-dd")</f>
        <v/>
      </c>
      <c r="C29385" t="inlineStr">
        <is>
          <t>1980-05-01</t>
        </is>
      </c>
    </row>
    <row r="29386">
      <c r="A29386" s="1" t="n">
        <v>29385</v>
      </c>
      <c r="B29386">
        <f>TEXT(29385, "[$-0E0000]yyyy-mm-dd")</f>
        <v/>
      </c>
      <c r="C29386" t="inlineStr">
        <is>
          <t>1980-05-02</t>
        </is>
      </c>
    </row>
    <row r="29387">
      <c r="A29387" s="1" t="n">
        <v>29386</v>
      </c>
      <c r="B29387">
        <f>TEXT(29386, "[$-0E0000]yyyy-mm-dd")</f>
        <v/>
      </c>
      <c r="C29387" t="inlineStr">
        <is>
          <t>1980-05-03</t>
        </is>
      </c>
    </row>
    <row r="29388">
      <c r="A29388" s="1" t="n">
        <v>29387</v>
      </c>
      <c r="B29388">
        <f>TEXT(29387, "[$-0E0000]yyyy-mm-dd")</f>
        <v/>
      </c>
      <c r="C29388" t="inlineStr">
        <is>
          <t>1980-05-04</t>
        </is>
      </c>
    </row>
    <row r="29389">
      <c r="A29389" s="1" t="n">
        <v>29388</v>
      </c>
      <c r="B29389">
        <f>TEXT(29388, "[$-0E0000]yyyy-mm-dd")</f>
        <v/>
      </c>
      <c r="C29389" t="inlineStr">
        <is>
          <t>1980-05-05</t>
        </is>
      </c>
    </row>
    <row r="29390">
      <c r="A29390" s="1" t="n">
        <v>29389</v>
      </c>
      <c r="B29390">
        <f>TEXT(29389, "[$-0E0000]yyyy-mm-dd")</f>
        <v/>
      </c>
      <c r="C29390" t="inlineStr">
        <is>
          <t>1980-05-06</t>
        </is>
      </c>
    </row>
    <row r="29391">
      <c r="A29391" s="1" t="n">
        <v>29390</v>
      </c>
      <c r="B29391">
        <f>TEXT(29390, "[$-0E0000]yyyy-mm-dd")</f>
        <v/>
      </c>
      <c r="C29391" t="inlineStr">
        <is>
          <t>1980-05-07</t>
        </is>
      </c>
    </row>
    <row r="29392">
      <c r="A29392" s="1" t="n">
        <v>29391</v>
      </c>
      <c r="B29392">
        <f>TEXT(29391, "[$-0E0000]yyyy-mm-dd")</f>
        <v/>
      </c>
      <c r="C29392" t="inlineStr">
        <is>
          <t>1980-05-08</t>
        </is>
      </c>
    </row>
    <row r="29393">
      <c r="A29393" s="1" t="n">
        <v>29392</v>
      </c>
      <c r="B29393">
        <f>TEXT(29392, "[$-0E0000]yyyy-mm-dd")</f>
        <v/>
      </c>
      <c r="C29393" t="inlineStr">
        <is>
          <t>1980-05-09</t>
        </is>
      </c>
    </row>
    <row r="29394">
      <c r="A29394" s="1" t="n">
        <v>29393</v>
      </c>
      <c r="B29394">
        <f>TEXT(29393, "[$-0E0000]yyyy-mm-dd")</f>
        <v/>
      </c>
      <c r="C29394" t="inlineStr">
        <is>
          <t>1980-05-10</t>
        </is>
      </c>
    </row>
    <row r="29395">
      <c r="A29395" s="1" t="n">
        <v>29394</v>
      </c>
      <c r="B29395">
        <f>TEXT(29394, "[$-0E0000]yyyy-mm-dd")</f>
        <v/>
      </c>
      <c r="C29395" t="inlineStr">
        <is>
          <t>1980-05-11</t>
        </is>
      </c>
    </row>
    <row r="29396">
      <c r="A29396" s="1" t="n">
        <v>29395</v>
      </c>
      <c r="B29396">
        <f>TEXT(29395, "[$-0E0000]yyyy-mm-dd")</f>
        <v/>
      </c>
      <c r="C29396" t="inlineStr">
        <is>
          <t>1980-05-12</t>
        </is>
      </c>
    </row>
    <row r="29397">
      <c r="A29397" s="1" t="n">
        <v>29396</v>
      </c>
      <c r="B29397">
        <f>TEXT(29396, "[$-0E0000]yyyy-mm-dd")</f>
        <v/>
      </c>
      <c r="C29397" t="inlineStr">
        <is>
          <t>1980-05-13</t>
        </is>
      </c>
    </row>
    <row r="29398">
      <c r="A29398" s="1" t="n">
        <v>29397</v>
      </c>
      <c r="B29398">
        <f>TEXT(29397, "[$-0E0000]yyyy-mm-dd")</f>
        <v/>
      </c>
      <c r="C29398" t="inlineStr">
        <is>
          <t>1980-05-14</t>
        </is>
      </c>
    </row>
    <row r="29399">
      <c r="A29399" s="1" t="n">
        <v>29398</v>
      </c>
      <c r="B29399">
        <f>TEXT(29398, "[$-0E0000]yyyy-mm-dd")</f>
        <v/>
      </c>
      <c r="C29399" t="inlineStr">
        <is>
          <t>1980-05-15</t>
        </is>
      </c>
    </row>
    <row r="29400">
      <c r="A29400" s="1" t="n">
        <v>29399</v>
      </c>
      <c r="B29400">
        <f>TEXT(29399, "[$-0E0000]yyyy-mm-dd")</f>
        <v/>
      </c>
      <c r="C29400" t="inlineStr">
        <is>
          <t>1980-05-16</t>
        </is>
      </c>
    </row>
    <row r="29401">
      <c r="A29401" s="1" t="n">
        <v>29400</v>
      </c>
      <c r="B29401">
        <f>TEXT(29400, "[$-0E0000]yyyy-mm-dd")</f>
        <v/>
      </c>
      <c r="C29401" t="inlineStr">
        <is>
          <t>1980-05-17</t>
        </is>
      </c>
    </row>
    <row r="29402">
      <c r="A29402" s="1" t="n">
        <v>29401</v>
      </c>
      <c r="B29402">
        <f>TEXT(29401, "[$-0E0000]yyyy-mm-dd")</f>
        <v/>
      </c>
      <c r="C29402" t="inlineStr">
        <is>
          <t>1980-05-18</t>
        </is>
      </c>
    </row>
    <row r="29403">
      <c r="A29403" s="1" t="n">
        <v>29402</v>
      </c>
      <c r="B29403">
        <f>TEXT(29402, "[$-0E0000]yyyy-mm-dd")</f>
        <v/>
      </c>
      <c r="C29403" t="inlineStr">
        <is>
          <t>1980-05-19</t>
        </is>
      </c>
    </row>
    <row r="29404">
      <c r="A29404" s="1" t="n">
        <v>29403</v>
      </c>
      <c r="B29404">
        <f>TEXT(29403, "[$-0E0000]yyyy-mm-dd")</f>
        <v/>
      </c>
      <c r="C29404" t="inlineStr">
        <is>
          <t>1980-05-20</t>
        </is>
      </c>
    </row>
    <row r="29405">
      <c r="A29405" s="1" t="n">
        <v>29404</v>
      </c>
      <c r="B29405">
        <f>TEXT(29404, "[$-0E0000]yyyy-mm-dd")</f>
        <v/>
      </c>
      <c r="C29405" t="inlineStr">
        <is>
          <t>1980-05-21</t>
        </is>
      </c>
    </row>
    <row r="29406">
      <c r="A29406" s="1" t="n">
        <v>29405</v>
      </c>
      <c r="B29406">
        <f>TEXT(29405, "[$-0E0000]yyyy-mm-dd")</f>
        <v/>
      </c>
      <c r="C29406" t="inlineStr">
        <is>
          <t>1980-05-22</t>
        </is>
      </c>
    </row>
    <row r="29407">
      <c r="A29407" s="1" t="n">
        <v>29406</v>
      </c>
      <c r="B29407">
        <f>TEXT(29406, "[$-0E0000]yyyy-mm-dd")</f>
        <v/>
      </c>
      <c r="C29407" t="inlineStr">
        <is>
          <t>1980-05-23</t>
        </is>
      </c>
    </row>
    <row r="29408">
      <c r="A29408" s="1" t="n">
        <v>29407</v>
      </c>
      <c r="B29408">
        <f>TEXT(29407, "[$-0E0000]yyyy-mm-dd")</f>
        <v/>
      </c>
      <c r="C29408" t="inlineStr">
        <is>
          <t>1980-05-24</t>
        </is>
      </c>
    </row>
    <row r="29409">
      <c r="A29409" s="1" t="n">
        <v>29408</v>
      </c>
      <c r="B29409">
        <f>TEXT(29408, "[$-0E0000]yyyy-mm-dd")</f>
        <v/>
      </c>
      <c r="C29409" t="inlineStr">
        <is>
          <t>1980-05-25</t>
        </is>
      </c>
    </row>
    <row r="29410">
      <c r="A29410" s="1" t="n">
        <v>29409</v>
      </c>
      <c r="B29410">
        <f>TEXT(29409, "[$-0E0000]yyyy-mm-dd")</f>
        <v/>
      </c>
      <c r="C29410" t="inlineStr">
        <is>
          <t>1980-05-26</t>
        </is>
      </c>
    </row>
    <row r="29411">
      <c r="A29411" s="1" t="n">
        <v>29410</v>
      </c>
      <c r="B29411">
        <f>TEXT(29410, "[$-0E0000]yyyy-mm-dd")</f>
        <v/>
      </c>
      <c r="C29411" t="inlineStr">
        <is>
          <t>1980-05-27</t>
        </is>
      </c>
    </row>
    <row r="29412">
      <c r="A29412" s="1" t="n">
        <v>29411</v>
      </c>
      <c r="B29412">
        <f>TEXT(29411, "[$-0E0000]yyyy-mm-dd")</f>
        <v/>
      </c>
      <c r="C29412" t="inlineStr">
        <is>
          <t>1980-05-28</t>
        </is>
      </c>
    </row>
    <row r="29413">
      <c r="A29413" s="1" t="n">
        <v>29412</v>
      </c>
      <c r="B29413">
        <f>TEXT(29412, "[$-0E0000]yyyy-mm-dd")</f>
        <v/>
      </c>
      <c r="C29413" t="inlineStr">
        <is>
          <t>1980-05-29</t>
        </is>
      </c>
    </row>
    <row r="29414">
      <c r="A29414" s="1" t="n">
        <v>29413</v>
      </c>
      <c r="B29414">
        <f>TEXT(29413, "[$-0E0000]yyyy-mm-dd")</f>
        <v/>
      </c>
      <c r="C29414" t="inlineStr">
        <is>
          <t>1980-06-01</t>
        </is>
      </c>
    </row>
    <row r="29415">
      <c r="A29415" s="1" t="n">
        <v>29414</v>
      </c>
      <c r="B29415">
        <f>TEXT(29414, "[$-0E0000]yyyy-mm-dd")</f>
        <v/>
      </c>
      <c r="C29415" t="inlineStr">
        <is>
          <t>1980-06-02</t>
        </is>
      </c>
    </row>
    <row r="29416">
      <c r="A29416" s="1" t="n">
        <v>29415</v>
      </c>
      <c r="B29416">
        <f>TEXT(29415, "[$-0E0000]yyyy-mm-dd")</f>
        <v/>
      </c>
      <c r="C29416" t="inlineStr">
        <is>
          <t>1980-06-03</t>
        </is>
      </c>
    </row>
    <row r="29417">
      <c r="A29417" s="1" t="n">
        <v>29416</v>
      </c>
      <c r="B29417">
        <f>TEXT(29416, "[$-0E0000]yyyy-mm-dd")</f>
        <v/>
      </c>
      <c r="C29417" t="inlineStr">
        <is>
          <t>1980-06-04</t>
        </is>
      </c>
    </row>
    <row r="29418">
      <c r="A29418" s="1" t="n">
        <v>29417</v>
      </c>
      <c r="B29418">
        <f>TEXT(29417, "[$-0E0000]yyyy-mm-dd")</f>
        <v/>
      </c>
      <c r="C29418" t="inlineStr">
        <is>
          <t>1980-06-05</t>
        </is>
      </c>
    </row>
    <row r="29419">
      <c r="A29419" s="1" t="n">
        <v>29418</v>
      </c>
      <c r="B29419">
        <f>TEXT(29418, "[$-0E0000]yyyy-mm-dd")</f>
        <v/>
      </c>
      <c r="C29419" t="inlineStr">
        <is>
          <t>1980-06-06</t>
        </is>
      </c>
    </row>
    <row r="29420">
      <c r="A29420" s="1" t="n">
        <v>29419</v>
      </c>
      <c r="B29420">
        <f>TEXT(29419, "[$-0E0000]yyyy-mm-dd")</f>
        <v/>
      </c>
      <c r="C29420" t="inlineStr">
        <is>
          <t>1980-06-07</t>
        </is>
      </c>
    </row>
    <row r="29421">
      <c r="A29421" s="1" t="n">
        <v>29420</v>
      </c>
      <c r="B29421">
        <f>TEXT(29420, "[$-0E0000]yyyy-mm-dd")</f>
        <v/>
      </c>
      <c r="C29421" t="inlineStr">
        <is>
          <t>1980-06-08</t>
        </is>
      </c>
    </row>
    <row r="29422">
      <c r="A29422" s="1" t="n">
        <v>29421</v>
      </c>
      <c r="B29422">
        <f>TEXT(29421, "[$-0E0000]yyyy-mm-dd")</f>
        <v/>
      </c>
      <c r="C29422" t="inlineStr">
        <is>
          <t>1980-06-09</t>
        </is>
      </c>
    </row>
    <row r="29423">
      <c r="A29423" s="1" t="n">
        <v>29422</v>
      </c>
      <c r="B29423">
        <f>TEXT(29422, "[$-0E0000]yyyy-mm-dd")</f>
        <v/>
      </c>
      <c r="C29423" t="inlineStr">
        <is>
          <t>1980-06-10</t>
        </is>
      </c>
    </row>
    <row r="29424">
      <c r="A29424" s="1" t="n">
        <v>29423</v>
      </c>
      <c r="B29424">
        <f>TEXT(29423, "[$-0E0000]yyyy-mm-dd")</f>
        <v/>
      </c>
      <c r="C29424" t="inlineStr">
        <is>
          <t>1980-06-11</t>
        </is>
      </c>
    </row>
    <row r="29425">
      <c r="A29425" s="1" t="n">
        <v>29424</v>
      </c>
      <c r="B29425">
        <f>TEXT(29424, "[$-0E0000]yyyy-mm-dd")</f>
        <v/>
      </c>
      <c r="C29425" t="inlineStr">
        <is>
          <t>1980-06-12</t>
        </is>
      </c>
    </row>
    <row r="29426">
      <c r="A29426" s="1" t="n">
        <v>29425</v>
      </c>
      <c r="B29426">
        <f>TEXT(29425, "[$-0E0000]yyyy-mm-dd")</f>
        <v/>
      </c>
      <c r="C29426" t="inlineStr">
        <is>
          <t>1980-06-13</t>
        </is>
      </c>
    </row>
    <row r="29427">
      <c r="A29427" s="1" t="n">
        <v>29426</v>
      </c>
      <c r="B29427">
        <f>TEXT(29426, "[$-0E0000]yyyy-mm-dd")</f>
        <v/>
      </c>
      <c r="C29427" t="inlineStr">
        <is>
          <t>1980-06-14</t>
        </is>
      </c>
    </row>
    <row r="29428">
      <c r="A29428" s="1" t="n">
        <v>29427</v>
      </c>
      <c r="B29428">
        <f>TEXT(29427, "[$-0E0000]yyyy-mm-dd")</f>
        <v/>
      </c>
      <c r="C29428" t="inlineStr">
        <is>
          <t>1980-06-15</t>
        </is>
      </c>
    </row>
    <row r="29429">
      <c r="A29429" s="1" t="n">
        <v>29428</v>
      </c>
      <c r="B29429">
        <f>TEXT(29428, "[$-0E0000]yyyy-mm-dd")</f>
        <v/>
      </c>
      <c r="C29429" t="inlineStr">
        <is>
          <t>1980-06-16</t>
        </is>
      </c>
    </row>
    <row r="29430">
      <c r="A29430" s="1" t="n">
        <v>29429</v>
      </c>
      <c r="B29430">
        <f>TEXT(29429, "[$-0E0000]yyyy-mm-dd")</f>
        <v/>
      </c>
      <c r="C29430" t="inlineStr">
        <is>
          <t>1980-06-17</t>
        </is>
      </c>
    </row>
    <row r="29431">
      <c r="A29431" s="1" t="n">
        <v>29430</v>
      </c>
      <c r="B29431">
        <f>TEXT(29430, "[$-0E0000]yyyy-mm-dd")</f>
        <v/>
      </c>
      <c r="C29431" t="inlineStr">
        <is>
          <t>1980-06-18</t>
        </is>
      </c>
    </row>
    <row r="29432">
      <c r="A29432" s="1" t="n">
        <v>29431</v>
      </c>
      <c r="B29432">
        <f>TEXT(29431, "[$-0E0000]yyyy-mm-dd")</f>
        <v/>
      </c>
      <c r="C29432" t="inlineStr">
        <is>
          <t>1980-06-19</t>
        </is>
      </c>
    </row>
    <row r="29433">
      <c r="A29433" s="1" t="n">
        <v>29432</v>
      </c>
      <c r="B29433">
        <f>TEXT(29432, "[$-0E0000]yyyy-mm-dd")</f>
        <v/>
      </c>
      <c r="C29433" t="inlineStr">
        <is>
          <t>1980-06-20</t>
        </is>
      </c>
    </row>
    <row r="29434">
      <c r="A29434" s="1" t="n">
        <v>29433</v>
      </c>
      <c r="B29434">
        <f>TEXT(29433, "[$-0E0000]yyyy-mm-dd")</f>
        <v/>
      </c>
      <c r="C29434" t="inlineStr">
        <is>
          <t>1980-06-21</t>
        </is>
      </c>
    </row>
    <row r="29435">
      <c r="A29435" s="1" t="n">
        <v>29434</v>
      </c>
      <c r="B29435">
        <f>TEXT(29434, "[$-0E0000]yyyy-mm-dd")</f>
        <v/>
      </c>
      <c r="C29435" t="inlineStr">
        <is>
          <t>1980-06-22</t>
        </is>
      </c>
    </row>
    <row r="29436">
      <c r="A29436" s="1" t="n">
        <v>29435</v>
      </c>
      <c r="B29436">
        <f>TEXT(29435, "[$-0E0000]yyyy-mm-dd")</f>
        <v/>
      </c>
      <c r="C29436" t="inlineStr">
        <is>
          <t>1980-06-23</t>
        </is>
      </c>
    </row>
    <row r="29437">
      <c r="A29437" s="1" t="n">
        <v>29436</v>
      </c>
      <c r="B29437">
        <f>TEXT(29436, "[$-0E0000]yyyy-mm-dd")</f>
        <v/>
      </c>
      <c r="C29437" t="inlineStr">
        <is>
          <t>1980-06-24</t>
        </is>
      </c>
    </row>
    <row r="29438">
      <c r="A29438" s="1" t="n">
        <v>29437</v>
      </c>
      <c r="B29438">
        <f>TEXT(29437, "[$-0E0000]yyyy-mm-dd")</f>
        <v/>
      </c>
      <c r="C29438" t="inlineStr">
        <is>
          <t>1980-06-25</t>
        </is>
      </c>
    </row>
    <row r="29439">
      <c r="A29439" s="1" t="n">
        <v>29438</v>
      </c>
      <c r="B29439">
        <f>TEXT(29438, "[$-0E0000]yyyy-mm-dd")</f>
        <v/>
      </c>
      <c r="C29439" t="inlineStr">
        <is>
          <t>1980-06-26</t>
        </is>
      </c>
    </row>
    <row r="29440">
      <c r="A29440" s="1" t="n">
        <v>29439</v>
      </c>
      <c r="B29440">
        <f>TEXT(29439, "[$-0E0000]yyyy-mm-dd")</f>
        <v/>
      </c>
      <c r="C29440" t="inlineStr">
        <is>
          <t>1980-06-27</t>
        </is>
      </c>
    </row>
    <row r="29441">
      <c r="A29441" s="1" t="n">
        <v>29440</v>
      </c>
      <c r="B29441">
        <f>TEXT(29440, "[$-0E0000]yyyy-mm-dd")</f>
        <v/>
      </c>
      <c r="C29441" t="inlineStr">
        <is>
          <t>1980-06-28</t>
        </is>
      </c>
    </row>
    <row r="29442">
      <c r="A29442" s="1" t="n">
        <v>29441</v>
      </c>
      <c r="B29442">
        <f>TEXT(29441, "[$-0E0000]yyyy-mm-dd")</f>
        <v/>
      </c>
      <c r="C29442" t="inlineStr">
        <is>
          <t>1980-06-29</t>
        </is>
      </c>
    </row>
    <row r="29443">
      <c r="A29443" s="1" t="n">
        <v>29442</v>
      </c>
      <c r="B29443">
        <f>TEXT(29442, "[$-0E0000]yyyy-mm-dd")</f>
        <v/>
      </c>
      <c r="C29443" t="inlineStr">
        <is>
          <t>1980-06-30</t>
        </is>
      </c>
    </row>
    <row r="29444">
      <c r="A29444" s="1" t="n">
        <v>29443</v>
      </c>
      <c r="B29444">
        <f>TEXT(29443, "[$-0E0000]yyyy-mm-dd")</f>
        <v/>
      </c>
      <c r="C29444" t="inlineStr">
        <is>
          <t>1980-07-01</t>
        </is>
      </c>
    </row>
    <row r="29445">
      <c r="A29445" s="1" t="n">
        <v>29444</v>
      </c>
      <c r="B29445">
        <f>TEXT(29444, "[$-0E0000]yyyy-mm-dd")</f>
        <v/>
      </c>
      <c r="C29445" t="inlineStr">
        <is>
          <t>1980-07-02</t>
        </is>
      </c>
    </row>
    <row r="29446">
      <c r="A29446" s="1" t="n">
        <v>29445</v>
      </c>
      <c r="B29446">
        <f>TEXT(29445, "[$-0E0000]yyyy-mm-dd")</f>
        <v/>
      </c>
      <c r="C29446" t="inlineStr">
        <is>
          <t>1980-07-03</t>
        </is>
      </c>
    </row>
    <row r="29447">
      <c r="A29447" s="1" t="n">
        <v>29446</v>
      </c>
      <c r="B29447">
        <f>TEXT(29446, "[$-0E0000]yyyy-mm-dd")</f>
        <v/>
      </c>
      <c r="C29447" t="inlineStr">
        <is>
          <t>1980-07-04</t>
        </is>
      </c>
    </row>
    <row r="29448">
      <c r="A29448" s="1" t="n">
        <v>29447</v>
      </c>
      <c r="B29448">
        <f>TEXT(29447, "[$-0E0000]yyyy-mm-dd")</f>
        <v/>
      </c>
      <c r="C29448" t="inlineStr">
        <is>
          <t>1980-07-05</t>
        </is>
      </c>
    </row>
    <row r="29449">
      <c r="A29449" s="1" t="n">
        <v>29448</v>
      </c>
      <c r="B29449">
        <f>TEXT(29448, "[$-0E0000]yyyy-mm-dd")</f>
        <v/>
      </c>
      <c r="C29449" t="inlineStr">
        <is>
          <t>1980-07-06</t>
        </is>
      </c>
    </row>
    <row r="29450">
      <c r="A29450" s="1" t="n">
        <v>29449</v>
      </c>
      <c r="B29450">
        <f>TEXT(29449, "[$-0E0000]yyyy-mm-dd")</f>
        <v/>
      </c>
      <c r="C29450" t="inlineStr">
        <is>
          <t>1980-07-07</t>
        </is>
      </c>
    </row>
    <row r="29451">
      <c r="A29451" s="1" t="n">
        <v>29450</v>
      </c>
      <c r="B29451">
        <f>TEXT(29450, "[$-0E0000]yyyy-mm-dd")</f>
        <v/>
      </c>
      <c r="C29451" t="inlineStr">
        <is>
          <t>1980-07-08</t>
        </is>
      </c>
    </row>
    <row r="29452">
      <c r="A29452" s="1" t="n">
        <v>29451</v>
      </c>
      <c r="B29452">
        <f>TEXT(29451, "[$-0E0000]yyyy-mm-dd")</f>
        <v/>
      </c>
      <c r="C29452" t="inlineStr">
        <is>
          <t>1980-07-09</t>
        </is>
      </c>
    </row>
    <row r="29453">
      <c r="A29453" s="1" t="n">
        <v>29452</v>
      </c>
      <c r="B29453">
        <f>TEXT(29452, "[$-0E0000]yyyy-mm-dd")</f>
        <v/>
      </c>
      <c r="C29453" t="inlineStr">
        <is>
          <t>1980-07-10</t>
        </is>
      </c>
    </row>
    <row r="29454">
      <c r="A29454" s="1" t="n">
        <v>29453</v>
      </c>
      <c r="B29454">
        <f>TEXT(29453, "[$-0E0000]yyyy-mm-dd")</f>
        <v/>
      </c>
      <c r="C29454" t="inlineStr">
        <is>
          <t>1980-07-11</t>
        </is>
      </c>
    </row>
    <row r="29455">
      <c r="A29455" s="1" t="n">
        <v>29454</v>
      </c>
      <c r="B29455">
        <f>TEXT(29454, "[$-0E0000]yyyy-mm-dd")</f>
        <v/>
      </c>
      <c r="C29455" t="inlineStr">
        <is>
          <t>1980-07-12</t>
        </is>
      </c>
    </row>
    <row r="29456">
      <c r="A29456" s="1" t="n">
        <v>29455</v>
      </c>
      <c r="B29456">
        <f>TEXT(29455, "[$-0E0000]yyyy-mm-dd")</f>
        <v/>
      </c>
      <c r="C29456" t="inlineStr">
        <is>
          <t>1980-07-13</t>
        </is>
      </c>
    </row>
    <row r="29457">
      <c r="A29457" s="1" t="n">
        <v>29456</v>
      </c>
      <c r="B29457">
        <f>TEXT(29456, "[$-0E0000]yyyy-mm-dd")</f>
        <v/>
      </c>
      <c r="C29457" t="inlineStr">
        <is>
          <t>1980-07-14</t>
        </is>
      </c>
    </row>
    <row r="29458">
      <c r="A29458" s="1" t="n">
        <v>29457</v>
      </c>
      <c r="B29458">
        <f>TEXT(29457, "[$-0E0000]yyyy-mm-dd")</f>
        <v/>
      </c>
      <c r="C29458" t="inlineStr">
        <is>
          <t>1980-07-15</t>
        </is>
      </c>
    </row>
    <row r="29459">
      <c r="A29459" s="1" t="n">
        <v>29458</v>
      </c>
      <c r="B29459">
        <f>TEXT(29458, "[$-0E0000]yyyy-mm-dd")</f>
        <v/>
      </c>
      <c r="C29459" t="inlineStr">
        <is>
          <t>1980-07-16</t>
        </is>
      </c>
    </row>
    <row r="29460">
      <c r="A29460" s="1" t="n">
        <v>29459</v>
      </c>
      <c r="B29460">
        <f>TEXT(29459, "[$-0E0000]yyyy-mm-dd")</f>
        <v/>
      </c>
      <c r="C29460" t="inlineStr">
        <is>
          <t>1980-07-17</t>
        </is>
      </c>
    </row>
    <row r="29461">
      <c r="A29461" s="1" t="n">
        <v>29460</v>
      </c>
      <c r="B29461">
        <f>TEXT(29460, "[$-0E0000]yyyy-mm-dd")</f>
        <v/>
      </c>
      <c r="C29461" t="inlineStr">
        <is>
          <t>1980-07-18</t>
        </is>
      </c>
    </row>
    <row r="29462">
      <c r="A29462" s="1" t="n">
        <v>29461</v>
      </c>
      <c r="B29462">
        <f>TEXT(29461, "[$-0E0000]yyyy-mm-dd")</f>
        <v/>
      </c>
      <c r="C29462" t="inlineStr">
        <is>
          <t>1980-07-19</t>
        </is>
      </c>
    </row>
    <row r="29463">
      <c r="A29463" s="1" t="n">
        <v>29462</v>
      </c>
      <c r="B29463">
        <f>TEXT(29462, "[$-0E0000]yyyy-mm-dd")</f>
        <v/>
      </c>
      <c r="C29463" t="inlineStr">
        <is>
          <t>1980-07-20</t>
        </is>
      </c>
    </row>
    <row r="29464">
      <c r="A29464" s="1" t="n">
        <v>29463</v>
      </c>
      <c r="B29464">
        <f>TEXT(29463, "[$-0E0000]yyyy-mm-dd")</f>
        <v/>
      </c>
      <c r="C29464" t="inlineStr">
        <is>
          <t>1980-07-21</t>
        </is>
      </c>
    </row>
    <row r="29465">
      <c r="A29465" s="1" t="n">
        <v>29464</v>
      </c>
      <c r="B29465">
        <f>TEXT(29464, "[$-0E0000]yyyy-mm-dd")</f>
        <v/>
      </c>
      <c r="C29465" t="inlineStr">
        <is>
          <t>1980-07-22</t>
        </is>
      </c>
    </row>
    <row r="29466">
      <c r="A29466" s="1" t="n">
        <v>29465</v>
      </c>
      <c r="B29466">
        <f>TEXT(29465, "[$-0E0000]yyyy-mm-dd")</f>
        <v/>
      </c>
      <c r="C29466" t="inlineStr">
        <is>
          <t>1980-07-23</t>
        </is>
      </c>
    </row>
    <row r="29467">
      <c r="A29467" s="1" t="n">
        <v>29466</v>
      </c>
      <c r="B29467">
        <f>TEXT(29466, "[$-0E0000]yyyy-mm-dd")</f>
        <v/>
      </c>
      <c r="C29467" t="inlineStr">
        <is>
          <t>1980-07-24</t>
        </is>
      </c>
    </row>
    <row r="29468">
      <c r="A29468" s="1" t="n">
        <v>29467</v>
      </c>
      <c r="B29468">
        <f>TEXT(29467, "[$-0E0000]yyyy-mm-dd")</f>
        <v/>
      </c>
      <c r="C29468" t="inlineStr">
        <is>
          <t>1980-07-25</t>
        </is>
      </c>
    </row>
    <row r="29469">
      <c r="A29469" s="1" t="n">
        <v>29468</v>
      </c>
      <c r="B29469">
        <f>TEXT(29468, "[$-0E0000]yyyy-mm-dd")</f>
        <v/>
      </c>
      <c r="C29469" t="inlineStr">
        <is>
          <t>1980-07-26</t>
        </is>
      </c>
    </row>
    <row r="29470">
      <c r="A29470" s="1" t="n">
        <v>29469</v>
      </c>
      <c r="B29470">
        <f>TEXT(29469, "[$-0E0000]yyyy-mm-dd")</f>
        <v/>
      </c>
      <c r="C29470" t="inlineStr">
        <is>
          <t>1980-07-27</t>
        </is>
      </c>
    </row>
    <row r="29471">
      <c r="A29471" s="1" t="n">
        <v>29470</v>
      </c>
      <c r="B29471">
        <f>TEXT(29470, "[$-0E0000]yyyy-mm-dd")</f>
        <v/>
      </c>
      <c r="C29471" t="inlineStr">
        <is>
          <t>1980-07-28</t>
        </is>
      </c>
    </row>
    <row r="29472">
      <c r="A29472" s="1" t="n">
        <v>29471</v>
      </c>
      <c r="B29472">
        <f>TEXT(29471, "[$-0E0000]yyyy-mm-dd")</f>
        <v/>
      </c>
      <c r="C29472" t="inlineStr">
        <is>
          <t>1980-07-29</t>
        </is>
      </c>
    </row>
    <row r="29473">
      <c r="A29473" s="1" t="n">
        <v>29472</v>
      </c>
      <c r="B29473">
        <f>TEXT(29472, "[$-0E0000]yyyy-mm-dd")</f>
        <v/>
      </c>
      <c r="C29473" t="inlineStr">
        <is>
          <t>1980-08-01</t>
        </is>
      </c>
    </row>
    <row r="29474">
      <c r="A29474" s="1" t="n">
        <v>29473</v>
      </c>
      <c r="B29474">
        <f>TEXT(29473, "[$-0E0000]yyyy-mm-dd")</f>
        <v/>
      </c>
      <c r="C29474" t="inlineStr">
        <is>
          <t>1980-08-02</t>
        </is>
      </c>
    </row>
    <row r="29475">
      <c r="A29475" s="1" t="n">
        <v>29474</v>
      </c>
      <c r="B29475">
        <f>TEXT(29474, "[$-0E0000]yyyy-mm-dd")</f>
        <v/>
      </c>
      <c r="C29475" t="inlineStr">
        <is>
          <t>1980-08-03</t>
        </is>
      </c>
    </row>
    <row r="29476">
      <c r="A29476" s="1" t="n">
        <v>29475</v>
      </c>
      <c r="B29476">
        <f>TEXT(29475, "[$-0E0000]yyyy-mm-dd")</f>
        <v/>
      </c>
      <c r="C29476" t="inlineStr">
        <is>
          <t>1980-08-04</t>
        </is>
      </c>
    </row>
    <row r="29477">
      <c r="A29477" s="1" t="n">
        <v>29476</v>
      </c>
      <c r="B29477">
        <f>TEXT(29476, "[$-0E0000]yyyy-mm-dd")</f>
        <v/>
      </c>
      <c r="C29477" t="inlineStr">
        <is>
          <t>1980-08-05</t>
        </is>
      </c>
    </row>
    <row r="29478">
      <c r="A29478" s="1" t="n">
        <v>29477</v>
      </c>
      <c r="B29478">
        <f>TEXT(29477, "[$-0E0000]yyyy-mm-dd")</f>
        <v/>
      </c>
      <c r="C29478" t="inlineStr">
        <is>
          <t>1980-08-06</t>
        </is>
      </c>
    </row>
    <row r="29479">
      <c r="A29479" s="1" t="n">
        <v>29478</v>
      </c>
      <c r="B29479">
        <f>TEXT(29478, "[$-0E0000]yyyy-mm-dd")</f>
        <v/>
      </c>
      <c r="C29479" t="inlineStr">
        <is>
          <t>1980-08-07</t>
        </is>
      </c>
    </row>
    <row r="29480">
      <c r="A29480" s="1" t="n">
        <v>29479</v>
      </c>
      <c r="B29480">
        <f>TEXT(29479, "[$-0E0000]yyyy-mm-dd")</f>
        <v/>
      </c>
      <c r="C29480" t="inlineStr">
        <is>
          <t>1980-08-08</t>
        </is>
      </c>
    </row>
    <row r="29481">
      <c r="A29481" s="1" t="n">
        <v>29480</v>
      </c>
      <c r="B29481">
        <f>TEXT(29480, "[$-0E0000]yyyy-mm-dd")</f>
        <v/>
      </c>
      <c r="C29481" t="inlineStr">
        <is>
          <t>1980-08-09</t>
        </is>
      </c>
    </row>
    <row r="29482">
      <c r="A29482" s="1" t="n">
        <v>29481</v>
      </c>
      <c r="B29482">
        <f>TEXT(29481, "[$-0E0000]yyyy-mm-dd")</f>
        <v/>
      </c>
      <c r="C29482" t="inlineStr">
        <is>
          <t>1980-08-10</t>
        </is>
      </c>
    </row>
    <row r="29483">
      <c r="A29483" s="1" t="n">
        <v>29482</v>
      </c>
      <c r="B29483">
        <f>TEXT(29482, "[$-0E0000]yyyy-mm-dd")</f>
        <v/>
      </c>
      <c r="C29483" t="inlineStr">
        <is>
          <t>1980-08-11</t>
        </is>
      </c>
    </row>
    <row r="29484">
      <c r="A29484" s="1" t="n">
        <v>29483</v>
      </c>
      <c r="B29484">
        <f>TEXT(29483, "[$-0E0000]yyyy-mm-dd")</f>
        <v/>
      </c>
      <c r="C29484" t="inlineStr">
        <is>
          <t>1980-08-12</t>
        </is>
      </c>
    </row>
    <row r="29485">
      <c r="A29485" s="1" t="n">
        <v>29484</v>
      </c>
      <c r="B29485">
        <f>TEXT(29484, "[$-0E0000]yyyy-mm-dd")</f>
        <v/>
      </c>
      <c r="C29485" t="inlineStr">
        <is>
          <t>1980-08-13</t>
        </is>
      </c>
    </row>
    <row r="29486">
      <c r="A29486" s="1" t="n">
        <v>29485</v>
      </c>
      <c r="B29486">
        <f>TEXT(29485, "[$-0E0000]yyyy-mm-dd")</f>
        <v/>
      </c>
      <c r="C29486" t="inlineStr">
        <is>
          <t>1980-08-14</t>
        </is>
      </c>
    </row>
    <row r="29487">
      <c r="A29487" s="1" t="n">
        <v>29486</v>
      </c>
      <c r="B29487">
        <f>TEXT(29486, "[$-0E0000]yyyy-mm-dd")</f>
        <v/>
      </c>
      <c r="C29487" t="inlineStr">
        <is>
          <t>1980-08-15</t>
        </is>
      </c>
    </row>
    <row r="29488">
      <c r="A29488" s="1" t="n">
        <v>29487</v>
      </c>
      <c r="B29488">
        <f>TEXT(29487, "[$-0E0000]yyyy-mm-dd")</f>
        <v/>
      </c>
      <c r="C29488" t="inlineStr">
        <is>
          <t>1980-08-16</t>
        </is>
      </c>
    </row>
    <row r="29489">
      <c r="A29489" s="1" t="n">
        <v>29488</v>
      </c>
      <c r="B29489">
        <f>TEXT(29488, "[$-0E0000]yyyy-mm-dd")</f>
        <v/>
      </c>
      <c r="C29489" t="inlineStr">
        <is>
          <t>1980-08-17</t>
        </is>
      </c>
    </row>
    <row r="29490">
      <c r="A29490" s="1" t="n">
        <v>29489</v>
      </c>
      <c r="B29490">
        <f>TEXT(29489, "[$-0E0000]yyyy-mm-dd")</f>
        <v/>
      </c>
      <c r="C29490" t="inlineStr">
        <is>
          <t>1980-08-18</t>
        </is>
      </c>
    </row>
    <row r="29491">
      <c r="A29491" s="1" t="n">
        <v>29490</v>
      </c>
      <c r="B29491">
        <f>TEXT(29490, "[$-0E0000]yyyy-mm-dd")</f>
        <v/>
      </c>
      <c r="C29491" t="inlineStr">
        <is>
          <t>1980-08-19</t>
        </is>
      </c>
    </row>
    <row r="29492">
      <c r="A29492" s="1" t="n">
        <v>29491</v>
      </c>
      <c r="B29492">
        <f>TEXT(29491, "[$-0E0000]yyyy-mm-dd")</f>
        <v/>
      </c>
      <c r="C29492" t="inlineStr">
        <is>
          <t>1980-08-20</t>
        </is>
      </c>
    </row>
    <row r="29493">
      <c r="A29493" s="1" t="n">
        <v>29492</v>
      </c>
      <c r="B29493">
        <f>TEXT(29492, "[$-0E0000]yyyy-mm-dd")</f>
        <v/>
      </c>
      <c r="C29493" t="inlineStr">
        <is>
          <t>1980-08-21</t>
        </is>
      </c>
    </row>
    <row r="29494">
      <c r="A29494" s="1" t="n">
        <v>29493</v>
      </c>
      <c r="B29494">
        <f>TEXT(29493, "[$-0E0000]yyyy-mm-dd")</f>
        <v/>
      </c>
      <c r="C29494" t="inlineStr">
        <is>
          <t>1980-08-22</t>
        </is>
      </c>
    </row>
    <row r="29495">
      <c r="A29495" s="1" t="n">
        <v>29494</v>
      </c>
      <c r="B29495">
        <f>TEXT(29494, "[$-0E0000]yyyy-mm-dd")</f>
        <v/>
      </c>
      <c r="C29495" t="inlineStr">
        <is>
          <t>1980-08-23</t>
        </is>
      </c>
    </row>
    <row r="29496">
      <c r="A29496" s="1" t="n">
        <v>29495</v>
      </c>
      <c r="B29496">
        <f>TEXT(29495, "[$-0E0000]yyyy-mm-dd")</f>
        <v/>
      </c>
      <c r="C29496" t="inlineStr">
        <is>
          <t>1980-08-24</t>
        </is>
      </c>
    </row>
    <row r="29497">
      <c r="A29497" s="1" t="n">
        <v>29496</v>
      </c>
      <c r="B29497">
        <f>TEXT(29496, "[$-0E0000]yyyy-mm-dd")</f>
        <v/>
      </c>
      <c r="C29497" t="inlineStr">
        <is>
          <t>1980-08-25</t>
        </is>
      </c>
    </row>
    <row r="29498">
      <c r="A29498" s="1" t="n">
        <v>29497</v>
      </c>
      <c r="B29498">
        <f>TEXT(29497, "[$-0E0000]yyyy-mm-dd")</f>
        <v/>
      </c>
      <c r="C29498" t="inlineStr">
        <is>
          <t>1980-08-26</t>
        </is>
      </c>
    </row>
    <row r="29499">
      <c r="A29499" s="1" t="n">
        <v>29498</v>
      </c>
      <c r="B29499">
        <f>TEXT(29498, "[$-0E0000]yyyy-mm-dd")</f>
        <v/>
      </c>
      <c r="C29499" t="inlineStr">
        <is>
          <t>1980-08-27</t>
        </is>
      </c>
    </row>
    <row r="29500">
      <c r="A29500" s="1" t="n">
        <v>29499</v>
      </c>
      <c r="B29500">
        <f>TEXT(29499, "[$-0E0000]yyyy-mm-dd")</f>
        <v/>
      </c>
      <c r="C29500" t="inlineStr">
        <is>
          <t>1980-08-28</t>
        </is>
      </c>
    </row>
    <row r="29501">
      <c r="A29501" s="1" t="n">
        <v>29500</v>
      </c>
      <c r="B29501">
        <f>TEXT(29500, "[$-0E0000]yyyy-mm-dd")</f>
        <v/>
      </c>
      <c r="C29501" t="inlineStr">
        <is>
          <t>1980-08-29</t>
        </is>
      </c>
    </row>
    <row r="29502">
      <c r="A29502" s="1" t="n">
        <v>29501</v>
      </c>
      <c r="B29502">
        <f>TEXT(29501, "[$-0E0000]yyyy-mm-dd")</f>
        <v/>
      </c>
      <c r="C29502" t="inlineStr">
        <is>
          <t>1980-08-30</t>
        </is>
      </c>
    </row>
    <row r="29503">
      <c r="A29503" s="1" t="n">
        <v>29502</v>
      </c>
      <c r="B29503">
        <f>TEXT(29502, "[$-0E0000]yyyy-mm-dd")</f>
        <v/>
      </c>
      <c r="C29503" t="inlineStr">
        <is>
          <t>1980-09-01</t>
        </is>
      </c>
    </row>
    <row r="29504">
      <c r="A29504" s="1" t="n">
        <v>29503</v>
      </c>
      <c r="B29504">
        <f>TEXT(29503, "[$-0E0000]yyyy-mm-dd")</f>
        <v/>
      </c>
      <c r="C29504" t="inlineStr">
        <is>
          <t>1980-09-02</t>
        </is>
      </c>
    </row>
    <row r="29505">
      <c r="A29505" s="1" t="n">
        <v>29504</v>
      </c>
      <c r="B29505">
        <f>TEXT(29504, "[$-0E0000]yyyy-mm-dd")</f>
        <v/>
      </c>
      <c r="C29505" t="inlineStr">
        <is>
          <t>1980-09-03</t>
        </is>
      </c>
    </row>
    <row r="29506">
      <c r="A29506" s="1" t="n">
        <v>29505</v>
      </c>
      <c r="B29506">
        <f>TEXT(29505, "[$-0E0000]yyyy-mm-dd")</f>
        <v/>
      </c>
      <c r="C29506" t="inlineStr">
        <is>
          <t>1980-09-04</t>
        </is>
      </c>
    </row>
    <row r="29507">
      <c r="A29507" s="1" t="n">
        <v>29506</v>
      </c>
      <c r="B29507">
        <f>TEXT(29506, "[$-0E0000]yyyy-mm-dd")</f>
        <v/>
      </c>
      <c r="C29507" t="inlineStr">
        <is>
          <t>1980-09-05</t>
        </is>
      </c>
    </row>
    <row r="29508">
      <c r="A29508" s="1" t="n">
        <v>29507</v>
      </c>
      <c r="B29508">
        <f>TEXT(29507, "[$-0E0000]yyyy-mm-dd")</f>
        <v/>
      </c>
      <c r="C29508" t="inlineStr">
        <is>
          <t>1980-09-06</t>
        </is>
      </c>
    </row>
    <row r="29509">
      <c r="A29509" s="1" t="n">
        <v>29508</v>
      </c>
      <c r="B29509">
        <f>TEXT(29508, "[$-0E0000]yyyy-mm-dd")</f>
        <v/>
      </c>
      <c r="C29509" t="inlineStr">
        <is>
          <t>1980-09-07</t>
        </is>
      </c>
    </row>
    <row r="29510">
      <c r="A29510" s="1" t="n">
        <v>29509</v>
      </c>
      <c r="B29510">
        <f>TEXT(29509, "[$-0E0000]yyyy-mm-dd")</f>
        <v/>
      </c>
      <c r="C29510" t="inlineStr">
        <is>
          <t>1980-09-08</t>
        </is>
      </c>
    </row>
    <row r="29511">
      <c r="A29511" s="1" t="n">
        <v>29510</v>
      </c>
      <c r="B29511">
        <f>TEXT(29510, "[$-0E0000]yyyy-mm-dd")</f>
        <v/>
      </c>
      <c r="C29511" t="inlineStr">
        <is>
          <t>1980-09-09</t>
        </is>
      </c>
    </row>
    <row r="29512">
      <c r="A29512" s="1" t="n">
        <v>29511</v>
      </c>
      <c r="B29512">
        <f>TEXT(29511, "[$-0E0000]yyyy-mm-dd")</f>
        <v/>
      </c>
      <c r="C29512" t="inlineStr">
        <is>
          <t>1980-09-10</t>
        </is>
      </c>
    </row>
    <row r="29513">
      <c r="A29513" s="1" t="n">
        <v>29512</v>
      </c>
      <c r="B29513">
        <f>TEXT(29512, "[$-0E0000]yyyy-mm-dd")</f>
        <v/>
      </c>
      <c r="C29513" t="inlineStr">
        <is>
          <t>1980-09-11</t>
        </is>
      </c>
    </row>
    <row r="29514">
      <c r="A29514" s="1" t="n">
        <v>29513</v>
      </c>
      <c r="B29514">
        <f>TEXT(29513, "[$-0E0000]yyyy-mm-dd")</f>
        <v/>
      </c>
      <c r="C29514" t="inlineStr">
        <is>
          <t>1980-09-12</t>
        </is>
      </c>
    </row>
    <row r="29515">
      <c r="A29515" s="1" t="n">
        <v>29514</v>
      </c>
      <c r="B29515">
        <f>TEXT(29514, "[$-0E0000]yyyy-mm-dd")</f>
        <v/>
      </c>
      <c r="C29515" t="inlineStr">
        <is>
          <t>1980-09-13</t>
        </is>
      </c>
    </row>
    <row r="29516">
      <c r="A29516" s="1" t="n">
        <v>29515</v>
      </c>
      <c r="B29516">
        <f>TEXT(29515, "[$-0E0000]yyyy-mm-dd")</f>
        <v/>
      </c>
      <c r="C29516" t="inlineStr">
        <is>
          <t>1980-09-14</t>
        </is>
      </c>
    </row>
    <row r="29517">
      <c r="A29517" s="1" t="n">
        <v>29516</v>
      </c>
      <c r="B29517">
        <f>TEXT(29516, "[$-0E0000]yyyy-mm-dd")</f>
        <v/>
      </c>
      <c r="C29517" t="inlineStr">
        <is>
          <t>1980-09-15</t>
        </is>
      </c>
    </row>
    <row r="29518">
      <c r="A29518" s="1" t="n">
        <v>29517</v>
      </c>
      <c r="B29518">
        <f>TEXT(29517, "[$-0E0000]yyyy-mm-dd")</f>
        <v/>
      </c>
      <c r="C29518" t="inlineStr">
        <is>
          <t>1980-09-16</t>
        </is>
      </c>
    </row>
    <row r="29519">
      <c r="A29519" s="1" t="n">
        <v>29518</v>
      </c>
      <c r="B29519">
        <f>TEXT(29518, "[$-0E0000]yyyy-mm-dd")</f>
        <v/>
      </c>
      <c r="C29519" t="inlineStr">
        <is>
          <t>1980-09-17</t>
        </is>
      </c>
    </row>
    <row r="29520">
      <c r="A29520" s="1" t="n">
        <v>29519</v>
      </c>
      <c r="B29520">
        <f>TEXT(29519, "[$-0E0000]yyyy-mm-dd")</f>
        <v/>
      </c>
      <c r="C29520" t="inlineStr">
        <is>
          <t>1980-09-18</t>
        </is>
      </c>
    </row>
    <row r="29521">
      <c r="A29521" s="1" t="n">
        <v>29520</v>
      </c>
      <c r="B29521">
        <f>TEXT(29520, "[$-0E0000]yyyy-mm-dd")</f>
        <v/>
      </c>
      <c r="C29521" t="inlineStr">
        <is>
          <t>1980-09-19</t>
        </is>
      </c>
    </row>
    <row r="29522">
      <c r="A29522" s="1" t="n">
        <v>29521</v>
      </c>
      <c r="B29522">
        <f>TEXT(29521, "[$-0E0000]yyyy-mm-dd")</f>
        <v/>
      </c>
      <c r="C29522" t="inlineStr">
        <is>
          <t>1980-09-20</t>
        </is>
      </c>
    </row>
    <row r="29523">
      <c r="A29523" s="1" t="n">
        <v>29522</v>
      </c>
      <c r="B29523">
        <f>TEXT(29522, "[$-0E0000]yyyy-mm-dd")</f>
        <v/>
      </c>
      <c r="C29523" t="inlineStr">
        <is>
          <t>1980-09-21</t>
        </is>
      </c>
    </row>
    <row r="29524">
      <c r="A29524" s="1" t="n">
        <v>29523</v>
      </c>
      <c r="B29524">
        <f>TEXT(29523, "[$-0E0000]yyyy-mm-dd")</f>
        <v/>
      </c>
      <c r="C29524" t="inlineStr">
        <is>
          <t>1980-09-22</t>
        </is>
      </c>
    </row>
    <row r="29525">
      <c r="A29525" s="1" t="n">
        <v>29524</v>
      </c>
      <c r="B29525">
        <f>TEXT(29524, "[$-0E0000]yyyy-mm-dd")</f>
        <v/>
      </c>
      <c r="C29525" t="inlineStr">
        <is>
          <t>1980-09-23</t>
        </is>
      </c>
    </row>
    <row r="29526">
      <c r="A29526" s="1" t="n">
        <v>29525</v>
      </c>
      <c r="B29526">
        <f>TEXT(29525, "[$-0E0000]yyyy-mm-dd")</f>
        <v/>
      </c>
      <c r="C29526" t="inlineStr">
        <is>
          <t>1980-09-24</t>
        </is>
      </c>
    </row>
    <row r="29527">
      <c r="A29527" s="1" t="n">
        <v>29526</v>
      </c>
      <c r="B29527">
        <f>TEXT(29526, "[$-0E0000]yyyy-mm-dd")</f>
        <v/>
      </c>
      <c r="C29527" t="inlineStr">
        <is>
          <t>1980-09-25</t>
        </is>
      </c>
    </row>
    <row r="29528">
      <c r="A29528" s="1" t="n">
        <v>29527</v>
      </c>
      <c r="B29528">
        <f>TEXT(29527, "[$-0E0000]yyyy-mm-dd")</f>
        <v/>
      </c>
      <c r="C29528" t="inlineStr">
        <is>
          <t>1980-09-26</t>
        </is>
      </c>
    </row>
    <row r="29529">
      <c r="A29529" s="1" t="n">
        <v>29528</v>
      </c>
      <c r="B29529">
        <f>TEXT(29528, "[$-0E0000]yyyy-mm-dd")</f>
        <v/>
      </c>
      <c r="C29529" t="inlineStr">
        <is>
          <t>1980-09-27</t>
        </is>
      </c>
    </row>
    <row r="29530">
      <c r="A29530" s="1" t="n">
        <v>29529</v>
      </c>
      <c r="B29530">
        <f>TEXT(29529, "[$-0E0000]yyyy-mm-dd")</f>
        <v/>
      </c>
      <c r="C29530" t="inlineStr">
        <is>
          <t>1980-09-28</t>
        </is>
      </c>
    </row>
    <row r="29531">
      <c r="A29531" s="1" t="n">
        <v>29530</v>
      </c>
      <c r="B29531">
        <f>TEXT(29530, "[$-0E0000]yyyy-mm-dd")</f>
        <v/>
      </c>
      <c r="C29531" t="inlineStr">
        <is>
          <t>1980-09-29</t>
        </is>
      </c>
    </row>
    <row r="29532">
      <c r="A29532" s="1" t="n">
        <v>29531</v>
      </c>
      <c r="B29532">
        <f>TEXT(29531, "[$-0E0000]yyyy-mm-dd")</f>
        <v/>
      </c>
      <c r="C29532" t="inlineStr">
        <is>
          <t>1980-09-30</t>
        </is>
      </c>
    </row>
    <row r="29533">
      <c r="A29533" s="1" t="n">
        <v>29532</v>
      </c>
      <c r="B29533">
        <f>TEXT(29532, "[$-0E0000]yyyy-mm-dd")</f>
        <v/>
      </c>
      <c r="C29533" t="inlineStr">
        <is>
          <t>1980-10-01</t>
        </is>
      </c>
    </row>
    <row r="29534">
      <c r="A29534" s="1" t="n">
        <v>29533</v>
      </c>
      <c r="B29534">
        <f>TEXT(29533, "[$-0E0000]yyyy-mm-dd")</f>
        <v/>
      </c>
      <c r="C29534" t="inlineStr">
        <is>
          <t>1980-10-02</t>
        </is>
      </c>
    </row>
    <row r="29535">
      <c r="A29535" s="1" t="n">
        <v>29534</v>
      </c>
      <c r="B29535">
        <f>TEXT(29534, "[$-0E0000]yyyy-mm-dd")</f>
        <v/>
      </c>
      <c r="C29535" t="inlineStr">
        <is>
          <t>1980-10-03</t>
        </is>
      </c>
    </row>
    <row r="29536">
      <c r="A29536" s="1" t="n">
        <v>29535</v>
      </c>
      <c r="B29536">
        <f>TEXT(29535, "[$-0E0000]yyyy-mm-dd")</f>
        <v/>
      </c>
      <c r="C29536" t="inlineStr">
        <is>
          <t>1980-10-04</t>
        </is>
      </c>
    </row>
    <row r="29537">
      <c r="A29537" s="1" t="n">
        <v>29536</v>
      </c>
      <c r="B29537">
        <f>TEXT(29536, "[$-0E0000]yyyy-mm-dd")</f>
        <v/>
      </c>
      <c r="C29537" t="inlineStr">
        <is>
          <t>1980-10-05</t>
        </is>
      </c>
    </row>
    <row r="29538">
      <c r="A29538" s="1" t="n">
        <v>29537</v>
      </c>
      <c r="B29538">
        <f>TEXT(29537, "[$-0E0000]yyyy-mm-dd")</f>
        <v/>
      </c>
      <c r="C29538" t="inlineStr">
        <is>
          <t>1980-10-06</t>
        </is>
      </c>
    </row>
    <row r="29539">
      <c r="A29539" s="1" t="n">
        <v>29538</v>
      </c>
      <c r="B29539">
        <f>TEXT(29538, "[$-0E0000]yyyy-mm-dd")</f>
        <v/>
      </c>
      <c r="C29539" t="inlineStr">
        <is>
          <t>1980-10-07</t>
        </is>
      </c>
    </row>
    <row r="29540">
      <c r="A29540" s="1" t="n">
        <v>29539</v>
      </c>
      <c r="B29540">
        <f>TEXT(29539, "[$-0E0000]yyyy-mm-dd")</f>
        <v/>
      </c>
      <c r="C29540" t="inlineStr">
        <is>
          <t>1980-10-08</t>
        </is>
      </c>
    </row>
    <row r="29541">
      <c r="A29541" s="1" t="n">
        <v>29540</v>
      </c>
      <c r="B29541">
        <f>TEXT(29540, "[$-0E0000]yyyy-mm-dd")</f>
        <v/>
      </c>
      <c r="C29541" t="inlineStr">
        <is>
          <t>1980-10-09</t>
        </is>
      </c>
    </row>
    <row r="29542">
      <c r="A29542" s="1" t="n">
        <v>29541</v>
      </c>
      <c r="B29542">
        <f>TEXT(29541, "[$-0E0000]yyyy-mm-dd")</f>
        <v/>
      </c>
      <c r="C29542" t="inlineStr">
        <is>
          <t>1980-10-10</t>
        </is>
      </c>
    </row>
    <row r="29543">
      <c r="A29543" s="1" t="n">
        <v>29542</v>
      </c>
      <c r="B29543">
        <f>TEXT(29542, "[$-0E0000]yyyy-mm-dd")</f>
        <v/>
      </c>
      <c r="C29543" t="inlineStr">
        <is>
          <t>1980-10-11</t>
        </is>
      </c>
    </row>
    <row r="29544">
      <c r="A29544" s="1" t="n">
        <v>29543</v>
      </c>
      <c r="B29544">
        <f>TEXT(29543, "[$-0E0000]yyyy-mm-dd")</f>
        <v/>
      </c>
      <c r="C29544" t="inlineStr">
        <is>
          <t>1980-10-12</t>
        </is>
      </c>
    </row>
    <row r="29545">
      <c r="A29545" s="1" t="n">
        <v>29544</v>
      </c>
      <c r="B29545">
        <f>TEXT(29544, "[$-0E0000]yyyy-mm-dd")</f>
        <v/>
      </c>
      <c r="C29545" t="inlineStr">
        <is>
          <t>1980-10-13</t>
        </is>
      </c>
    </row>
    <row r="29546">
      <c r="A29546" s="1" t="n">
        <v>29545</v>
      </c>
      <c r="B29546">
        <f>TEXT(29545, "[$-0E0000]yyyy-mm-dd")</f>
        <v/>
      </c>
      <c r="C29546" t="inlineStr">
        <is>
          <t>1980-10-14</t>
        </is>
      </c>
    </row>
    <row r="29547">
      <c r="A29547" s="1" t="n">
        <v>29546</v>
      </c>
      <c r="B29547">
        <f>TEXT(29546, "[$-0E0000]yyyy-mm-dd")</f>
        <v/>
      </c>
      <c r="C29547" t="inlineStr">
        <is>
          <t>1980-10-15</t>
        </is>
      </c>
    </row>
    <row r="29548">
      <c r="A29548" s="1" t="n">
        <v>29547</v>
      </c>
      <c r="B29548">
        <f>TEXT(29547, "[$-0E0000]yyyy-mm-dd")</f>
        <v/>
      </c>
      <c r="C29548" t="inlineStr">
        <is>
          <t>1980-10-16</t>
        </is>
      </c>
    </row>
    <row r="29549">
      <c r="A29549" s="1" t="n">
        <v>29548</v>
      </c>
      <c r="B29549">
        <f>TEXT(29548, "[$-0E0000]yyyy-mm-dd")</f>
        <v/>
      </c>
      <c r="C29549" t="inlineStr">
        <is>
          <t>1980-10-17</t>
        </is>
      </c>
    </row>
    <row r="29550">
      <c r="A29550" s="1" t="n">
        <v>29549</v>
      </c>
      <c r="B29550">
        <f>TEXT(29549, "[$-0E0000]yyyy-mm-dd")</f>
        <v/>
      </c>
      <c r="C29550" t="inlineStr">
        <is>
          <t>1980-10-18</t>
        </is>
      </c>
    </row>
    <row r="29551">
      <c r="A29551" s="1" t="n">
        <v>29550</v>
      </c>
      <c r="B29551">
        <f>TEXT(29550, "[$-0E0000]yyyy-mm-dd")</f>
        <v/>
      </c>
      <c r="C29551" t="inlineStr">
        <is>
          <t>1980-10-19</t>
        </is>
      </c>
    </row>
    <row r="29552">
      <c r="A29552" s="1" t="n">
        <v>29551</v>
      </c>
      <c r="B29552">
        <f>TEXT(29551, "[$-0E0000]yyyy-mm-dd")</f>
        <v/>
      </c>
      <c r="C29552" t="inlineStr">
        <is>
          <t>1980-10-20</t>
        </is>
      </c>
    </row>
    <row r="29553">
      <c r="A29553" s="1" t="n">
        <v>29552</v>
      </c>
      <c r="B29553">
        <f>TEXT(29552, "[$-0E0000]yyyy-mm-dd")</f>
        <v/>
      </c>
      <c r="C29553" t="inlineStr">
        <is>
          <t>1980-10-21</t>
        </is>
      </c>
    </row>
    <row r="29554">
      <c r="A29554" s="1" t="n">
        <v>29553</v>
      </c>
      <c r="B29554">
        <f>TEXT(29553, "[$-0E0000]yyyy-mm-dd")</f>
        <v/>
      </c>
      <c r="C29554" t="inlineStr">
        <is>
          <t>1980-10-22</t>
        </is>
      </c>
    </row>
    <row r="29555">
      <c r="A29555" s="1" t="n">
        <v>29554</v>
      </c>
      <c r="B29555">
        <f>TEXT(29554, "[$-0E0000]yyyy-mm-dd")</f>
        <v/>
      </c>
      <c r="C29555" t="inlineStr">
        <is>
          <t>1980-10-23</t>
        </is>
      </c>
    </row>
    <row r="29556">
      <c r="A29556" s="1" t="n">
        <v>29555</v>
      </c>
      <c r="B29556">
        <f>TEXT(29555, "[$-0E0000]yyyy-mm-dd")</f>
        <v/>
      </c>
      <c r="C29556" t="inlineStr">
        <is>
          <t>1980-10-24</t>
        </is>
      </c>
    </row>
    <row r="29557">
      <c r="A29557" s="1" t="n">
        <v>29556</v>
      </c>
      <c r="B29557">
        <f>TEXT(29556, "[$-0E0000]yyyy-mm-dd")</f>
        <v/>
      </c>
      <c r="C29557" t="inlineStr">
        <is>
          <t>1980-10-25</t>
        </is>
      </c>
    </row>
    <row r="29558">
      <c r="A29558" s="1" t="n">
        <v>29557</v>
      </c>
      <c r="B29558">
        <f>TEXT(29557, "[$-0E0000]yyyy-mm-dd")</f>
        <v/>
      </c>
      <c r="C29558" t="inlineStr">
        <is>
          <t>1980-10-26</t>
        </is>
      </c>
    </row>
    <row r="29559">
      <c r="A29559" s="1" t="n">
        <v>29558</v>
      </c>
      <c r="B29559">
        <f>TEXT(29558, "[$-0E0000]yyyy-mm-dd")</f>
        <v/>
      </c>
      <c r="C29559" t="inlineStr">
        <is>
          <t>1980-10-27</t>
        </is>
      </c>
    </row>
    <row r="29560">
      <c r="A29560" s="1" t="n">
        <v>29559</v>
      </c>
      <c r="B29560">
        <f>TEXT(29559, "[$-0E0000]yyyy-mm-dd")</f>
        <v/>
      </c>
      <c r="C29560" t="inlineStr">
        <is>
          <t>1980-10-28</t>
        </is>
      </c>
    </row>
    <row r="29561">
      <c r="A29561" s="1" t="n">
        <v>29560</v>
      </c>
      <c r="B29561">
        <f>TEXT(29560, "[$-0E0000]yyyy-mm-dd")</f>
        <v/>
      </c>
      <c r="C29561" t="inlineStr">
        <is>
          <t>1980-10-29</t>
        </is>
      </c>
    </row>
    <row r="29562">
      <c r="A29562" s="1" t="n">
        <v>29561</v>
      </c>
      <c r="B29562">
        <f>TEXT(29561, "[$-0E0000]yyyy-mm-dd")</f>
        <v/>
      </c>
      <c r="C29562" t="inlineStr">
        <is>
          <t>1980-11-01</t>
        </is>
      </c>
    </row>
    <row r="29563">
      <c r="A29563" s="1" t="n">
        <v>29562</v>
      </c>
      <c r="B29563">
        <f>TEXT(29562, "[$-0E0000]yyyy-mm-dd")</f>
        <v/>
      </c>
      <c r="C29563" t="inlineStr">
        <is>
          <t>1980-11-02</t>
        </is>
      </c>
    </row>
    <row r="29564">
      <c r="A29564" s="1" t="n">
        <v>29563</v>
      </c>
      <c r="B29564">
        <f>TEXT(29563, "[$-0E0000]yyyy-mm-dd")</f>
        <v/>
      </c>
      <c r="C29564" t="inlineStr">
        <is>
          <t>1980-11-03</t>
        </is>
      </c>
    </row>
    <row r="29565">
      <c r="A29565" s="1" t="n">
        <v>29564</v>
      </c>
      <c r="B29565">
        <f>TEXT(29564, "[$-0E0000]yyyy-mm-dd")</f>
        <v/>
      </c>
      <c r="C29565" t="inlineStr">
        <is>
          <t>1980-11-04</t>
        </is>
      </c>
    </row>
    <row r="29566">
      <c r="A29566" s="1" t="n">
        <v>29565</v>
      </c>
      <c r="B29566">
        <f>TEXT(29565, "[$-0E0000]yyyy-mm-dd")</f>
        <v/>
      </c>
      <c r="C29566" t="inlineStr">
        <is>
          <t>1980-11-05</t>
        </is>
      </c>
    </row>
    <row r="29567">
      <c r="A29567" s="1" t="n">
        <v>29566</v>
      </c>
      <c r="B29567">
        <f>TEXT(29566, "[$-0E0000]yyyy-mm-dd")</f>
        <v/>
      </c>
      <c r="C29567" t="inlineStr">
        <is>
          <t>1980-11-06</t>
        </is>
      </c>
    </row>
    <row r="29568">
      <c r="A29568" s="1" t="n">
        <v>29567</v>
      </c>
      <c r="B29568">
        <f>TEXT(29567, "[$-0E0000]yyyy-mm-dd")</f>
        <v/>
      </c>
      <c r="C29568" t="inlineStr">
        <is>
          <t>1980-11-07</t>
        </is>
      </c>
    </row>
    <row r="29569">
      <c r="A29569" s="1" t="n">
        <v>29568</v>
      </c>
      <c r="B29569">
        <f>TEXT(29568, "[$-0E0000]yyyy-mm-dd")</f>
        <v/>
      </c>
      <c r="C29569" t="inlineStr">
        <is>
          <t>1980-11-08</t>
        </is>
      </c>
    </row>
    <row r="29570">
      <c r="A29570" s="1" t="n">
        <v>29569</v>
      </c>
      <c r="B29570">
        <f>TEXT(29569, "[$-0E0000]yyyy-mm-dd")</f>
        <v/>
      </c>
      <c r="C29570" t="inlineStr">
        <is>
          <t>1980-11-09</t>
        </is>
      </c>
    </row>
    <row r="29571">
      <c r="A29571" s="1" t="n">
        <v>29570</v>
      </c>
      <c r="B29571">
        <f>TEXT(29570, "[$-0E0000]yyyy-mm-dd")</f>
        <v/>
      </c>
      <c r="C29571" t="inlineStr">
        <is>
          <t>1980-11-10</t>
        </is>
      </c>
    </row>
    <row r="29572">
      <c r="A29572" s="1" t="n">
        <v>29571</v>
      </c>
      <c r="B29572">
        <f>TEXT(29571, "[$-0E0000]yyyy-mm-dd")</f>
        <v/>
      </c>
      <c r="C29572" t="inlineStr">
        <is>
          <t>1980-11-11</t>
        </is>
      </c>
    </row>
    <row r="29573">
      <c r="A29573" s="1" t="n">
        <v>29572</v>
      </c>
      <c r="B29573">
        <f>TEXT(29572, "[$-0E0000]yyyy-mm-dd")</f>
        <v/>
      </c>
      <c r="C29573" t="inlineStr">
        <is>
          <t>1980-11-12</t>
        </is>
      </c>
    </row>
    <row r="29574">
      <c r="A29574" s="1" t="n">
        <v>29573</v>
      </c>
      <c r="B29574">
        <f>TEXT(29573, "[$-0E0000]yyyy-mm-dd")</f>
        <v/>
      </c>
      <c r="C29574" t="inlineStr">
        <is>
          <t>1980-11-13</t>
        </is>
      </c>
    </row>
    <row r="29575">
      <c r="A29575" s="1" t="n">
        <v>29574</v>
      </c>
      <c r="B29575">
        <f>TEXT(29574, "[$-0E0000]yyyy-mm-dd")</f>
        <v/>
      </c>
      <c r="C29575" t="inlineStr">
        <is>
          <t>1980-11-14</t>
        </is>
      </c>
    </row>
    <row r="29576">
      <c r="A29576" s="1" t="n">
        <v>29575</v>
      </c>
      <c r="B29576">
        <f>TEXT(29575, "[$-0E0000]yyyy-mm-dd")</f>
        <v/>
      </c>
      <c r="C29576" t="inlineStr">
        <is>
          <t>1980-11-15</t>
        </is>
      </c>
    </row>
    <row r="29577">
      <c r="A29577" s="1" t="n">
        <v>29576</v>
      </c>
      <c r="B29577">
        <f>TEXT(29576, "[$-0E0000]yyyy-mm-dd")</f>
        <v/>
      </c>
      <c r="C29577" t="inlineStr">
        <is>
          <t>1980-11-16</t>
        </is>
      </c>
    </row>
    <row r="29578">
      <c r="A29578" s="1" t="n">
        <v>29577</v>
      </c>
      <c r="B29578">
        <f>TEXT(29577, "[$-0E0000]yyyy-mm-dd")</f>
        <v/>
      </c>
      <c r="C29578" t="inlineStr">
        <is>
          <t>1980-11-17</t>
        </is>
      </c>
    </row>
    <row r="29579">
      <c r="A29579" s="1" t="n">
        <v>29578</v>
      </c>
      <c r="B29579">
        <f>TEXT(29578, "[$-0E0000]yyyy-mm-dd")</f>
        <v/>
      </c>
      <c r="C29579" t="inlineStr">
        <is>
          <t>1980-11-18</t>
        </is>
      </c>
    </row>
    <row r="29580">
      <c r="A29580" s="1" t="n">
        <v>29579</v>
      </c>
      <c r="B29580">
        <f>TEXT(29579, "[$-0E0000]yyyy-mm-dd")</f>
        <v/>
      </c>
      <c r="C29580" t="inlineStr">
        <is>
          <t>1980-11-19</t>
        </is>
      </c>
    </row>
    <row r="29581">
      <c r="A29581" s="1" t="n">
        <v>29580</v>
      </c>
      <c r="B29581">
        <f>TEXT(29580, "[$-0E0000]yyyy-mm-dd")</f>
        <v/>
      </c>
      <c r="C29581" t="inlineStr">
        <is>
          <t>1980-11-20</t>
        </is>
      </c>
    </row>
    <row r="29582">
      <c r="A29582" s="1" t="n">
        <v>29581</v>
      </c>
      <c r="B29582">
        <f>TEXT(29581, "[$-0E0000]yyyy-mm-dd")</f>
        <v/>
      </c>
      <c r="C29582" t="inlineStr">
        <is>
          <t>1980-11-21</t>
        </is>
      </c>
    </row>
    <row r="29583">
      <c r="A29583" s="1" t="n">
        <v>29582</v>
      </c>
      <c r="B29583">
        <f>TEXT(29582, "[$-0E0000]yyyy-mm-dd")</f>
        <v/>
      </c>
      <c r="C29583" t="inlineStr">
        <is>
          <t>1980-11-22</t>
        </is>
      </c>
    </row>
    <row r="29584">
      <c r="A29584" s="1" t="n">
        <v>29583</v>
      </c>
      <c r="B29584">
        <f>TEXT(29583, "[$-0E0000]yyyy-mm-dd")</f>
        <v/>
      </c>
      <c r="C29584" t="inlineStr">
        <is>
          <t>1980-11-23</t>
        </is>
      </c>
    </row>
    <row r="29585">
      <c r="A29585" s="1" t="n">
        <v>29584</v>
      </c>
      <c r="B29585">
        <f>TEXT(29584, "[$-0E0000]yyyy-mm-dd")</f>
        <v/>
      </c>
      <c r="C29585" t="inlineStr">
        <is>
          <t>1980-11-24</t>
        </is>
      </c>
    </row>
    <row r="29586">
      <c r="A29586" s="1" t="n">
        <v>29585</v>
      </c>
      <c r="B29586">
        <f>TEXT(29585, "[$-0E0000]yyyy-mm-dd")</f>
        <v/>
      </c>
      <c r="C29586" t="inlineStr">
        <is>
          <t>1980-11-25</t>
        </is>
      </c>
    </row>
    <row r="29587">
      <c r="A29587" s="1" t="n">
        <v>29586</v>
      </c>
      <c r="B29587">
        <f>TEXT(29586, "[$-0E0000]yyyy-mm-dd")</f>
        <v/>
      </c>
      <c r="C29587" t="inlineStr">
        <is>
          <t>1980-11-26</t>
        </is>
      </c>
    </row>
    <row r="29588">
      <c r="A29588" s="1" t="n">
        <v>29587</v>
      </c>
      <c r="B29588">
        <f>TEXT(29587, "[$-0E0000]yyyy-mm-dd")</f>
        <v/>
      </c>
      <c r="C29588" t="inlineStr">
        <is>
          <t>1980-11-27</t>
        </is>
      </c>
    </row>
    <row r="29589">
      <c r="A29589" s="1" t="n">
        <v>29588</v>
      </c>
      <c r="B29589">
        <f>TEXT(29588, "[$-0E0000]yyyy-mm-dd")</f>
        <v/>
      </c>
      <c r="C29589" t="inlineStr">
        <is>
          <t>1980-11-28</t>
        </is>
      </c>
    </row>
    <row r="29590">
      <c r="A29590" s="1" t="n">
        <v>29589</v>
      </c>
      <c r="B29590">
        <f>TEXT(29589, "[$-0E0000]yyyy-mm-dd")</f>
        <v/>
      </c>
      <c r="C29590" t="inlineStr">
        <is>
          <t>1980-11-29</t>
        </is>
      </c>
    </row>
    <row r="29591">
      <c r="A29591" s="1" t="n">
        <v>29590</v>
      </c>
      <c r="B29591">
        <f>TEXT(29590, "[$-0E0000]yyyy-mm-dd")</f>
        <v/>
      </c>
      <c r="C29591" t="inlineStr">
        <is>
          <t>1980-11-30</t>
        </is>
      </c>
    </row>
    <row r="29592">
      <c r="A29592" s="1" t="n">
        <v>29591</v>
      </c>
      <c r="B29592">
        <f>TEXT(29591, "[$-0E0000]yyyy-mm-dd")</f>
        <v/>
      </c>
      <c r="C29592" t="inlineStr">
        <is>
          <t>1980-12-01</t>
        </is>
      </c>
    </row>
    <row r="29593">
      <c r="A29593" s="1" t="n">
        <v>29592</v>
      </c>
      <c r="B29593">
        <f>TEXT(29592, "[$-0E0000]yyyy-mm-dd")</f>
        <v/>
      </c>
      <c r="C29593" t="inlineStr">
        <is>
          <t>1980-12-02</t>
        </is>
      </c>
    </row>
    <row r="29594">
      <c r="A29594" s="1" t="n">
        <v>29593</v>
      </c>
      <c r="B29594">
        <f>TEXT(29593, "[$-0E0000]yyyy-mm-dd")</f>
        <v/>
      </c>
      <c r="C29594" t="inlineStr">
        <is>
          <t>1980-12-03</t>
        </is>
      </c>
    </row>
    <row r="29595">
      <c r="A29595" s="1" t="n">
        <v>29594</v>
      </c>
      <c r="B29595">
        <f>TEXT(29594, "[$-0E0000]yyyy-mm-dd")</f>
        <v/>
      </c>
      <c r="C29595" t="inlineStr">
        <is>
          <t>1980-12-04</t>
        </is>
      </c>
    </row>
    <row r="29596">
      <c r="A29596" s="1" t="n">
        <v>29595</v>
      </c>
      <c r="B29596">
        <f>TEXT(29595, "[$-0E0000]yyyy-mm-dd")</f>
        <v/>
      </c>
      <c r="C29596" t="inlineStr">
        <is>
          <t>1980-12-05</t>
        </is>
      </c>
    </row>
    <row r="29597">
      <c r="A29597" s="1" t="n">
        <v>29596</v>
      </c>
      <c r="B29597">
        <f>TEXT(29596, "[$-0E0000]yyyy-mm-dd")</f>
        <v/>
      </c>
      <c r="C29597" t="inlineStr">
        <is>
          <t>1980-12-06</t>
        </is>
      </c>
    </row>
    <row r="29598">
      <c r="A29598" s="1" t="n">
        <v>29597</v>
      </c>
      <c r="B29598">
        <f>TEXT(29597, "[$-0E0000]yyyy-mm-dd")</f>
        <v/>
      </c>
      <c r="C29598" t="inlineStr">
        <is>
          <t>1980-12-07</t>
        </is>
      </c>
    </row>
    <row r="29599">
      <c r="A29599" s="1" t="n">
        <v>29598</v>
      </c>
      <c r="B29599">
        <f>TEXT(29598, "[$-0E0000]yyyy-mm-dd")</f>
        <v/>
      </c>
      <c r="C29599" t="inlineStr">
        <is>
          <t>1980-12-08</t>
        </is>
      </c>
    </row>
    <row r="29600">
      <c r="A29600" s="1" t="n">
        <v>29599</v>
      </c>
      <c r="B29600">
        <f>TEXT(29599, "[$-0E0000]yyyy-mm-dd")</f>
        <v/>
      </c>
      <c r="C29600" t="inlineStr">
        <is>
          <t>1980-12-09</t>
        </is>
      </c>
    </row>
    <row r="29601">
      <c r="A29601" s="1" t="n">
        <v>29600</v>
      </c>
      <c r="B29601">
        <f>TEXT(29600, "[$-0E0000]yyyy-mm-dd")</f>
        <v/>
      </c>
      <c r="C29601" t="inlineStr">
        <is>
          <t>1980-12-10</t>
        </is>
      </c>
    </row>
    <row r="29602">
      <c r="A29602" s="1" t="n">
        <v>29601</v>
      </c>
      <c r="B29602">
        <f>TEXT(29601, "[$-0E0000]yyyy-mm-dd")</f>
        <v/>
      </c>
      <c r="C29602" t="inlineStr">
        <is>
          <t>1980-12-11</t>
        </is>
      </c>
    </row>
    <row r="29603">
      <c r="A29603" s="1" t="n">
        <v>29602</v>
      </c>
      <c r="B29603">
        <f>TEXT(29602, "[$-0E0000]yyyy-mm-dd")</f>
        <v/>
      </c>
      <c r="C29603" t="inlineStr">
        <is>
          <t>1980-12-12</t>
        </is>
      </c>
    </row>
    <row r="29604">
      <c r="A29604" s="1" t="n">
        <v>29603</v>
      </c>
      <c r="B29604">
        <f>TEXT(29603, "[$-0E0000]yyyy-mm-dd")</f>
        <v/>
      </c>
      <c r="C29604" t="inlineStr">
        <is>
          <t>1980-12-13</t>
        </is>
      </c>
    </row>
    <row r="29605">
      <c r="A29605" s="1" t="n">
        <v>29604</v>
      </c>
      <c r="B29605">
        <f>TEXT(29604, "[$-0E0000]yyyy-mm-dd")</f>
        <v/>
      </c>
      <c r="C29605" t="inlineStr">
        <is>
          <t>1980-12-14</t>
        </is>
      </c>
    </row>
    <row r="29606">
      <c r="A29606" s="1" t="n">
        <v>29605</v>
      </c>
      <c r="B29606">
        <f>TEXT(29605, "[$-0E0000]yyyy-mm-dd")</f>
        <v/>
      </c>
      <c r="C29606" t="inlineStr">
        <is>
          <t>1980-12-15</t>
        </is>
      </c>
    </row>
    <row r="29607">
      <c r="A29607" s="1" t="n">
        <v>29606</v>
      </c>
      <c r="B29607">
        <f>TEXT(29606, "[$-0E0000]yyyy-mm-dd")</f>
        <v/>
      </c>
      <c r="C29607" t="inlineStr">
        <is>
          <t>1980-12-16</t>
        </is>
      </c>
    </row>
    <row r="29608">
      <c r="A29608" s="1" t="n">
        <v>29607</v>
      </c>
      <c r="B29608">
        <f>TEXT(29607, "[$-0E0000]yyyy-mm-dd")</f>
        <v/>
      </c>
      <c r="C29608" t="inlineStr">
        <is>
          <t>1980-12-17</t>
        </is>
      </c>
    </row>
    <row r="29609">
      <c r="A29609" s="1" t="n">
        <v>29608</v>
      </c>
      <c r="B29609">
        <f>TEXT(29608, "[$-0E0000]yyyy-mm-dd")</f>
        <v/>
      </c>
      <c r="C29609" t="inlineStr">
        <is>
          <t>1980-12-18</t>
        </is>
      </c>
    </row>
    <row r="29610">
      <c r="A29610" s="1" t="n">
        <v>29609</v>
      </c>
      <c r="B29610">
        <f>TEXT(29609, "[$-0E0000]yyyy-mm-dd")</f>
        <v/>
      </c>
      <c r="C29610" t="inlineStr">
        <is>
          <t>1980-12-19</t>
        </is>
      </c>
    </row>
    <row r="29611">
      <c r="A29611" s="1" t="n">
        <v>29610</v>
      </c>
      <c r="B29611">
        <f>TEXT(29610, "[$-0E0000]yyyy-mm-dd")</f>
        <v/>
      </c>
      <c r="C29611" t="inlineStr">
        <is>
          <t>1980-12-20</t>
        </is>
      </c>
    </row>
    <row r="29612">
      <c r="A29612" s="1" t="n">
        <v>29611</v>
      </c>
      <c r="B29612">
        <f>TEXT(29611, "[$-0E0000]yyyy-mm-dd")</f>
        <v/>
      </c>
      <c r="C29612" t="inlineStr">
        <is>
          <t>1980-12-21</t>
        </is>
      </c>
    </row>
    <row r="29613">
      <c r="A29613" s="1" t="n">
        <v>29612</v>
      </c>
      <c r="B29613">
        <f>TEXT(29612, "[$-0E0000]yyyy-mm-dd")</f>
        <v/>
      </c>
      <c r="C29613" t="inlineStr">
        <is>
          <t>1980-12-22</t>
        </is>
      </c>
    </row>
    <row r="29614">
      <c r="A29614" s="1" t="n">
        <v>29613</v>
      </c>
      <c r="B29614">
        <f>TEXT(29613, "[$-0E0000]yyyy-mm-dd")</f>
        <v/>
      </c>
      <c r="C29614" t="inlineStr">
        <is>
          <t>1980-12-23</t>
        </is>
      </c>
    </row>
    <row r="29615">
      <c r="A29615" s="1" t="n">
        <v>29614</v>
      </c>
      <c r="B29615">
        <f>TEXT(29614, "[$-0E0000]yyyy-mm-dd")</f>
        <v/>
      </c>
      <c r="C29615" t="inlineStr">
        <is>
          <t>1980-12-24</t>
        </is>
      </c>
    </row>
    <row r="29616">
      <c r="A29616" s="1" t="n">
        <v>29615</v>
      </c>
      <c r="B29616">
        <f>TEXT(29615, "[$-0E0000]yyyy-mm-dd")</f>
        <v/>
      </c>
      <c r="C29616" t="inlineStr">
        <is>
          <t>1980-12-25</t>
        </is>
      </c>
    </row>
    <row r="29617">
      <c r="A29617" s="1" t="n">
        <v>29616</v>
      </c>
      <c r="B29617">
        <f>TEXT(29616, "[$-0E0000]yyyy-mm-dd")</f>
        <v/>
      </c>
      <c r="C29617" t="inlineStr">
        <is>
          <t>1980-12-26</t>
        </is>
      </c>
    </row>
    <row r="29618">
      <c r="A29618" s="1" t="n">
        <v>29617</v>
      </c>
      <c r="B29618">
        <f>TEXT(29617, "[$-0E0000]yyyy-mm-dd")</f>
        <v/>
      </c>
      <c r="C29618" t="inlineStr">
        <is>
          <t>1980-12-27</t>
        </is>
      </c>
    </row>
    <row r="29619">
      <c r="A29619" s="1" t="n">
        <v>29618</v>
      </c>
      <c r="B29619">
        <f>TEXT(29618, "[$-0E0000]yyyy-mm-dd")</f>
        <v/>
      </c>
      <c r="C29619" t="inlineStr">
        <is>
          <t>1980-12-28</t>
        </is>
      </c>
    </row>
    <row r="29620">
      <c r="A29620" s="1" t="n">
        <v>29619</v>
      </c>
      <c r="B29620">
        <f>TEXT(29619, "[$-0E0000]yyyy-mm-dd")</f>
        <v/>
      </c>
      <c r="C29620" t="inlineStr">
        <is>
          <t>1980-12-29</t>
        </is>
      </c>
    </row>
    <row r="29621">
      <c r="A29621" s="1" t="n">
        <v>29620</v>
      </c>
      <c r="B29621">
        <f>TEXT(29620, "[$-0E0000]yyyy-mm-dd")</f>
        <v/>
      </c>
      <c r="C29621" t="inlineStr">
        <is>
          <t>1980-12-30</t>
        </is>
      </c>
    </row>
    <row r="29622">
      <c r="A29622" s="1" t="n">
        <v>29621</v>
      </c>
      <c r="B29622">
        <f>TEXT(29621, "[$-0E0000]yyyy-mm-dd")</f>
        <v/>
      </c>
      <c r="C29622" t="inlineStr">
        <is>
          <t>1981-01-01</t>
        </is>
      </c>
    </row>
    <row r="29623">
      <c r="A29623" s="1" t="n">
        <v>29622</v>
      </c>
      <c r="B29623">
        <f>TEXT(29622, "[$-0E0000]yyyy-mm-dd")</f>
        <v/>
      </c>
      <c r="C29623" t="inlineStr">
        <is>
          <t>1981-01-02</t>
        </is>
      </c>
    </row>
    <row r="29624">
      <c r="A29624" s="1" t="n">
        <v>29623</v>
      </c>
      <c r="B29624">
        <f>TEXT(29623, "[$-0E0000]yyyy-mm-dd")</f>
        <v/>
      </c>
      <c r="C29624" t="inlineStr">
        <is>
          <t>1981-01-03</t>
        </is>
      </c>
    </row>
    <row r="29625">
      <c r="A29625" s="1" t="n">
        <v>29624</v>
      </c>
      <c r="B29625">
        <f>TEXT(29624, "[$-0E0000]yyyy-mm-dd")</f>
        <v/>
      </c>
      <c r="C29625" t="inlineStr">
        <is>
          <t>1981-01-04</t>
        </is>
      </c>
    </row>
    <row r="29626">
      <c r="A29626" s="1" t="n">
        <v>29625</v>
      </c>
      <c r="B29626">
        <f>TEXT(29625, "[$-0E0000]yyyy-mm-dd")</f>
        <v/>
      </c>
      <c r="C29626" t="inlineStr">
        <is>
          <t>1981-01-05</t>
        </is>
      </c>
    </row>
    <row r="29627">
      <c r="A29627" s="1" t="n">
        <v>29626</v>
      </c>
      <c r="B29627">
        <f>TEXT(29626, "[$-0E0000]yyyy-mm-dd")</f>
        <v/>
      </c>
      <c r="C29627" t="inlineStr">
        <is>
          <t>1981-01-06</t>
        </is>
      </c>
    </row>
    <row r="29628">
      <c r="A29628" s="1" t="n">
        <v>29627</v>
      </c>
      <c r="B29628">
        <f>TEXT(29627, "[$-0E0000]yyyy-mm-dd")</f>
        <v/>
      </c>
      <c r="C29628" t="inlineStr">
        <is>
          <t>1981-01-07</t>
        </is>
      </c>
    </row>
    <row r="29629">
      <c r="A29629" s="1" t="n">
        <v>29628</v>
      </c>
      <c r="B29629">
        <f>TEXT(29628, "[$-0E0000]yyyy-mm-dd")</f>
        <v/>
      </c>
      <c r="C29629" t="inlineStr">
        <is>
          <t>1981-01-08</t>
        </is>
      </c>
    </row>
    <row r="29630">
      <c r="A29630" s="1" t="n">
        <v>29629</v>
      </c>
      <c r="B29630">
        <f>TEXT(29629, "[$-0E0000]yyyy-mm-dd")</f>
        <v/>
      </c>
      <c r="C29630" t="inlineStr">
        <is>
          <t>1981-01-09</t>
        </is>
      </c>
    </row>
    <row r="29631">
      <c r="A29631" s="1" t="n">
        <v>29630</v>
      </c>
      <c r="B29631">
        <f>TEXT(29630, "[$-0E0000]yyyy-mm-dd")</f>
        <v/>
      </c>
      <c r="C29631" t="inlineStr">
        <is>
          <t>1981-01-10</t>
        </is>
      </c>
    </row>
    <row r="29632">
      <c r="A29632" s="1" t="n">
        <v>29631</v>
      </c>
      <c r="B29632">
        <f>TEXT(29631, "[$-0E0000]yyyy-mm-dd")</f>
        <v/>
      </c>
      <c r="C29632" t="inlineStr">
        <is>
          <t>1981-01-11</t>
        </is>
      </c>
    </row>
    <row r="29633">
      <c r="A29633" s="1" t="n">
        <v>29632</v>
      </c>
      <c r="B29633">
        <f>TEXT(29632, "[$-0E0000]yyyy-mm-dd")</f>
        <v/>
      </c>
      <c r="C29633" t="inlineStr">
        <is>
          <t>1981-01-12</t>
        </is>
      </c>
    </row>
    <row r="29634">
      <c r="A29634" s="1" t="n">
        <v>29633</v>
      </c>
      <c r="B29634">
        <f>TEXT(29633, "[$-0E0000]yyyy-mm-dd")</f>
        <v/>
      </c>
      <c r="C29634" t="inlineStr">
        <is>
          <t>1981-01-13</t>
        </is>
      </c>
    </row>
    <row r="29635">
      <c r="A29635" s="1" t="n">
        <v>29634</v>
      </c>
      <c r="B29635">
        <f>TEXT(29634, "[$-0E0000]yyyy-mm-dd")</f>
        <v/>
      </c>
      <c r="C29635" t="inlineStr">
        <is>
          <t>1981-01-14</t>
        </is>
      </c>
    </row>
    <row r="29636">
      <c r="A29636" s="1" t="n">
        <v>29635</v>
      </c>
      <c r="B29636">
        <f>TEXT(29635, "[$-0E0000]yyyy-mm-dd")</f>
        <v/>
      </c>
      <c r="C29636" t="inlineStr">
        <is>
          <t>1981-01-15</t>
        </is>
      </c>
    </row>
    <row r="29637">
      <c r="A29637" s="1" t="n">
        <v>29636</v>
      </c>
      <c r="B29637">
        <f>TEXT(29636, "[$-0E0000]yyyy-mm-dd")</f>
        <v/>
      </c>
      <c r="C29637" t="inlineStr">
        <is>
          <t>1981-01-16</t>
        </is>
      </c>
    </row>
    <row r="29638">
      <c r="A29638" s="1" t="n">
        <v>29637</v>
      </c>
      <c r="B29638">
        <f>TEXT(29637, "[$-0E0000]yyyy-mm-dd")</f>
        <v/>
      </c>
      <c r="C29638" t="inlineStr">
        <is>
          <t>1981-01-17</t>
        </is>
      </c>
    </row>
    <row r="29639">
      <c r="A29639" s="1" t="n">
        <v>29638</v>
      </c>
      <c r="B29639">
        <f>TEXT(29638, "[$-0E0000]yyyy-mm-dd")</f>
        <v/>
      </c>
      <c r="C29639" t="inlineStr">
        <is>
          <t>1981-01-18</t>
        </is>
      </c>
    </row>
    <row r="29640">
      <c r="A29640" s="1" t="n">
        <v>29639</v>
      </c>
      <c r="B29640">
        <f>TEXT(29639, "[$-0E0000]yyyy-mm-dd")</f>
        <v/>
      </c>
      <c r="C29640" t="inlineStr">
        <is>
          <t>1981-01-19</t>
        </is>
      </c>
    </row>
    <row r="29641">
      <c r="A29641" s="1" t="n">
        <v>29640</v>
      </c>
      <c r="B29641">
        <f>TEXT(29640, "[$-0E0000]yyyy-mm-dd")</f>
        <v/>
      </c>
      <c r="C29641" t="inlineStr">
        <is>
          <t>1981-01-20</t>
        </is>
      </c>
    </row>
    <row r="29642">
      <c r="A29642" s="1" t="n">
        <v>29641</v>
      </c>
      <c r="B29642">
        <f>TEXT(29641, "[$-0E0000]yyyy-mm-dd")</f>
        <v/>
      </c>
      <c r="C29642" t="inlineStr">
        <is>
          <t>1981-01-21</t>
        </is>
      </c>
    </row>
    <row r="29643">
      <c r="A29643" s="1" t="n">
        <v>29642</v>
      </c>
      <c r="B29643">
        <f>TEXT(29642, "[$-0E0000]yyyy-mm-dd")</f>
        <v/>
      </c>
      <c r="C29643" t="inlineStr">
        <is>
          <t>1981-01-22</t>
        </is>
      </c>
    </row>
    <row r="29644">
      <c r="A29644" s="1" t="n">
        <v>29643</v>
      </c>
      <c r="B29644">
        <f>TEXT(29643, "[$-0E0000]yyyy-mm-dd")</f>
        <v/>
      </c>
      <c r="C29644" t="inlineStr">
        <is>
          <t>1981-01-23</t>
        </is>
      </c>
    </row>
    <row r="29645">
      <c r="A29645" s="1" t="n">
        <v>29644</v>
      </c>
      <c r="B29645">
        <f>TEXT(29644, "[$-0E0000]yyyy-mm-dd")</f>
        <v/>
      </c>
      <c r="C29645" t="inlineStr">
        <is>
          <t>1981-01-24</t>
        </is>
      </c>
    </row>
    <row r="29646">
      <c r="A29646" s="1" t="n">
        <v>29645</v>
      </c>
      <c r="B29646">
        <f>TEXT(29645, "[$-0E0000]yyyy-mm-dd")</f>
        <v/>
      </c>
      <c r="C29646" t="inlineStr">
        <is>
          <t>1981-01-25</t>
        </is>
      </c>
    </row>
    <row r="29647">
      <c r="A29647" s="1" t="n">
        <v>29646</v>
      </c>
      <c r="B29647">
        <f>TEXT(29646, "[$-0E0000]yyyy-mm-dd")</f>
        <v/>
      </c>
      <c r="C29647" t="inlineStr">
        <is>
          <t>1981-01-26</t>
        </is>
      </c>
    </row>
    <row r="29648">
      <c r="A29648" s="1" t="n">
        <v>29647</v>
      </c>
      <c r="B29648">
        <f>TEXT(29647, "[$-0E0000]yyyy-mm-dd")</f>
        <v/>
      </c>
      <c r="C29648" t="inlineStr">
        <is>
          <t>1981-01-27</t>
        </is>
      </c>
    </row>
    <row r="29649">
      <c r="A29649" s="1" t="n">
        <v>29648</v>
      </c>
      <c r="B29649">
        <f>TEXT(29648, "[$-0E0000]yyyy-mm-dd")</f>
        <v/>
      </c>
      <c r="C29649" t="inlineStr">
        <is>
          <t>1981-01-28</t>
        </is>
      </c>
    </row>
    <row r="29650">
      <c r="A29650" s="1" t="n">
        <v>29649</v>
      </c>
      <c r="B29650">
        <f>TEXT(29649, "[$-0E0000]yyyy-mm-dd")</f>
        <v/>
      </c>
      <c r="C29650" t="inlineStr">
        <is>
          <t>1981-01-29</t>
        </is>
      </c>
    </row>
    <row r="29651">
      <c r="A29651" s="1" t="n">
        <v>29650</v>
      </c>
      <c r="B29651">
        <f>TEXT(29650, "[$-0E0000]yyyy-mm-dd")</f>
        <v/>
      </c>
      <c r="C29651" t="inlineStr">
        <is>
          <t>1981-02-01</t>
        </is>
      </c>
    </row>
    <row r="29652">
      <c r="A29652" s="1" t="n">
        <v>29651</v>
      </c>
      <c r="B29652">
        <f>TEXT(29651, "[$-0E0000]yyyy-mm-dd")</f>
        <v/>
      </c>
      <c r="C29652" t="inlineStr">
        <is>
          <t>1981-02-02</t>
        </is>
      </c>
    </row>
    <row r="29653">
      <c r="A29653" s="1" t="n">
        <v>29652</v>
      </c>
      <c r="B29653">
        <f>TEXT(29652, "[$-0E0000]yyyy-mm-dd")</f>
        <v/>
      </c>
      <c r="C29653" t="inlineStr">
        <is>
          <t>1981-02-03</t>
        </is>
      </c>
    </row>
    <row r="29654">
      <c r="A29654" s="1" t="n">
        <v>29653</v>
      </c>
      <c r="B29654">
        <f>TEXT(29653, "[$-0E0000]yyyy-mm-dd")</f>
        <v/>
      </c>
      <c r="C29654" t="inlineStr">
        <is>
          <t>1981-02-04</t>
        </is>
      </c>
    </row>
    <row r="29655">
      <c r="A29655" s="1" t="n">
        <v>29654</v>
      </c>
      <c r="B29655">
        <f>TEXT(29654, "[$-0E0000]yyyy-mm-dd")</f>
        <v/>
      </c>
      <c r="C29655" t="inlineStr">
        <is>
          <t>1981-02-05</t>
        </is>
      </c>
    </row>
    <row r="29656">
      <c r="A29656" s="1" t="n">
        <v>29655</v>
      </c>
      <c r="B29656">
        <f>TEXT(29655, "[$-0E0000]yyyy-mm-dd")</f>
        <v/>
      </c>
      <c r="C29656" t="inlineStr">
        <is>
          <t>1981-02-06</t>
        </is>
      </c>
    </row>
    <row r="29657">
      <c r="A29657" s="1" t="n">
        <v>29656</v>
      </c>
      <c r="B29657">
        <f>TEXT(29656, "[$-0E0000]yyyy-mm-dd")</f>
        <v/>
      </c>
      <c r="C29657" t="inlineStr">
        <is>
          <t>1981-02-07</t>
        </is>
      </c>
    </row>
    <row r="29658">
      <c r="A29658" s="1" t="n">
        <v>29657</v>
      </c>
      <c r="B29658">
        <f>TEXT(29657, "[$-0E0000]yyyy-mm-dd")</f>
        <v/>
      </c>
      <c r="C29658" t="inlineStr">
        <is>
          <t>1981-02-08</t>
        </is>
      </c>
    </row>
    <row r="29659">
      <c r="A29659" s="1" t="n">
        <v>29658</v>
      </c>
      <c r="B29659">
        <f>TEXT(29658, "[$-0E0000]yyyy-mm-dd")</f>
        <v/>
      </c>
      <c r="C29659" t="inlineStr">
        <is>
          <t>1981-02-09</t>
        </is>
      </c>
    </row>
    <row r="29660">
      <c r="A29660" s="1" t="n">
        <v>29659</v>
      </c>
      <c r="B29660">
        <f>TEXT(29659, "[$-0E0000]yyyy-mm-dd")</f>
        <v/>
      </c>
      <c r="C29660" t="inlineStr">
        <is>
          <t>1981-02-10</t>
        </is>
      </c>
    </row>
    <row r="29661">
      <c r="A29661" s="1" t="n">
        <v>29660</v>
      </c>
      <c r="B29661">
        <f>TEXT(29660, "[$-0E0000]yyyy-mm-dd")</f>
        <v/>
      </c>
      <c r="C29661" t="inlineStr">
        <is>
          <t>1981-02-11</t>
        </is>
      </c>
    </row>
    <row r="29662">
      <c r="A29662" s="1" t="n">
        <v>29661</v>
      </c>
      <c r="B29662">
        <f>TEXT(29661, "[$-0E0000]yyyy-mm-dd")</f>
        <v/>
      </c>
      <c r="C29662" t="inlineStr">
        <is>
          <t>1981-02-12</t>
        </is>
      </c>
    </row>
    <row r="29663">
      <c r="A29663" s="1" t="n">
        <v>29662</v>
      </c>
      <c r="B29663">
        <f>TEXT(29662, "[$-0E0000]yyyy-mm-dd")</f>
        <v/>
      </c>
      <c r="C29663" t="inlineStr">
        <is>
          <t>1981-02-13</t>
        </is>
      </c>
    </row>
    <row r="29664">
      <c r="A29664" s="1" t="n">
        <v>29663</v>
      </c>
      <c r="B29664">
        <f>TEXT(29663, "[$-0E0000]yyyy-mm-dd")</f>
        <v/>
      </c>
      <c r="C29664" t="inlineStr">
        <is>
          <t>1981-02-14</t>
        </is>
      </c>
    </row>
    <row r="29665">
      <c r="A29665" s="1" t="n">
        <v>29664</v>
      </c>
      <c r="B29665">
        <f>TEXT(29664, "[$-0E0000]yyyy-mm-dd")</f>
        <v/>
      </c>
      <c r="C29665" t="inlineStr">
        <is>
          <t>1981-02-15</t>
        </is>
      </c>
    </row>
    <row r="29666">
      <c r="A29666" s="1" t="n">
        <v>29665</v>
      </c>
      <c r="B29666">
        <f>TEXT(29665, "[$-0E0000]yyyy-mm-dd")</f>
        <v/>
      </c>
      <c r="C29666" t="inlineStr">
        <is>
          <t>1981-02-16</t>
        </is>
      </c>
    </row>
    <row r="29667">
      <c r="A29667" s="1" t="n">
        <v>29666</v>
      </c>
      <c r="B29667">
        <f>TEXT(29666, "[$-0E0000]yyyy-mm-dd")</f>
        <v/>
      </c>
      <c r="C29667" t="inlineStr">
        <is>
          <t>1981-02-17</t>
        </is>
      </c>
    </row>
    <row r="29668">
      <c r="A29668" s="1" t="n">
        <v>29667</v>
      </c>
      <c r="B29668">
        <f>TEXT(29667, "[$-0E0000]yyyy-mm-dd")</f>
        <v/>
      </c>
      <c r="C29668" t="inlineStr">
        <is>
          <t>1981-02-18</t>
        </is>
      </c>
    </row>
    <row r="29669">
      <c r="A29669" s="1" t="n">
        <v>29668</v>
      </c>
      <c r="B29669">
        <f>TEXT(29668, "[$-0E0000]yyyy-mm-dd")</f>
        <v/>
      </c>
      <c r="C29669" t="inlineStr">
        <is>
          <t>1981-02-19</t>
        </is>
      </c>
    </row>
    <row r="29670">
      <c r="A29670" s="1" t="n">
        <v>29669</v>
      </c>
      <c r="B29670">
        <f>TEXT(29669, "[$-0E0000]yyyy-mm-dd")</f>
        <v/>
      </c>
      <c r="C29670" t="inlineStr">
        <is>
          <t>1981-02-20</t>
        </is>
      </c>
    </row>
    <row r="29671">
      <c r="A29671" s="1" t="n">
        <v>29670</v>
      </c>
      <c r="B29671">
        <f>TEXT(29670, "[$-0E0000]yyyy-mm-dd")</f>
        <v/>
      </c>
      <c r="C29671" t="inlineStr">
        <is>
          <t>1981-02-21</t>
        </is>
      </c>
    </row>
    <row r="29672">
      <c r="A29672" s="1" t="n">
        <v>29671</v>
      </c>
      <c r="B29672">
        <f>TEXT(29671, "[$-0E0000]yyyy-mm-dd")</f>
        <v/>
      </c>
      <c r="C29672" t="inlineStr">
        <is>
          <t>1981-02-22</t>
        </is>
      </c>
    </row>
    <row r="29673">
      <c r="A29673" s="1" t="n">
        <v>29672</v>
      </c>
      <c r="B29673">
        <f>TEXT(29672, "[$-0E0000]yyyy-mm-dd")</f>
        <v/>
      </c>
      <c r="C29673" t="inlineStr">
        <is>
          <t>1981-02-23</t>
        </is>
      </c>
    </row>
    <row r="29674">
      <c r="A29674" s="1" t="n">
        <v>29673</v>
      </c>
      <c r="B29674">
        <f>TEXT(29673, "[$-0E0000]yyyy-mm-dd")</f>
        <v/>
      </c>
      <c r="C29674" t="inlineStr">
        <is>
          <t>1981-02-24</t>
        </is>
      </c>
    </row>
    <row r="29675">
      <c r="A29675" s="1" t="n">
        <v>29674</v>
      </c>
      <c r="B29675">
        <f>TEXT(29674, "[$-0E0000]yyyy-mm-dd")</f>
        <v/>
      </c>
      <c r="C29675" t="inlineStr">
        <is>
          <t>1981-02-25</t>
        </is>
      </c>
    </row>
    <row r="29676">
      <c r="A29676" s="1" t="n">
        <v>29675</v>
      </c>
      <c r="B29676">
        <f>TEXT(29675, "[$-0E0000]yyyy-mm-dd")</f>
        <v/>
      </c>
      <c r="C29676" t="inlineStr">
        <is>
          <t>1981-02-26</t>
        </is>
      </c>
    </row>
    <row r="29677">
      <c r="A29677" s="1" t="n">
        <v>29676</v>
      </c>
      <c r="B29677">
        <f>TEXT(29676, "[$-0E0000]yyyy-mm-dd")</f>
        <v/>
      </c>
      <c r="C29677" t="inlineStr">
        <is>
          <t>1981-02-27</t>
        </is>
      </c>
    </row>
    <row r="29678">
      <c r="A29678" s="1" t="n">
        <v>29677</v>
      </c>
      <c r="B29678">
        <f>TEXT(29677, "[$-0E0000]yyyy-mm-dd")</f>
        <v/>
      </c>
      <c r="C29678" t="inlineStr">
        <is>
          <t>1981-02-28</t>
        </is>
      </c>
    </row>
    <row r="29679">
      <c r="A29679" s="1" t="n">
        <v>29678</v>
      </c>
      <c r="B29679">
        <f>TEXT(29678, "[$-0E0000]yyyy-mm-dd")</f>
        <v/>
      </c>
      <c r="C29679" t="inlineStr">
        <is>
          <t>1981-02-29</t>
        </is>
      </c>
    </row>
    <row r="29680">
      <c r="A29680" s="1" t="n">
        <v>29679</v>
      </c>
      <c r="B29680">
        <f>TEXT(29679, "[$-0E0000]yyyy-mm-dd")</f>
        <v/>
      </c>
      <c r="C29680" t="inlineStr">
        <is>
          <t>1981-02-30</t>
        </is>
      </c>
    </row>
    <row r="29681">
      <c r="A29681" s="1" t="n">
        <v>29680</v>
      </c>
      <c r="B29681">
        <f>TEXT(29680, "[$-0E0000]yyyy-mm-dd")</f>
        <v/>
      </c>
      <c r="C29681" t="inlineStr">
        <is>
          <t>1981-03-01</t>
        </is>
      </c>
    </row>
    <row r="29682">
      <c r="A29682" s="1" t="n">
        <v>29681</v>
      </c>
      <c r="B29682">
        <f>TEXT(29681, "[$-0E0000]yyyy-mm-dd")</f>
        <v/>
      </c>
      <c r="C29682" t="inlineStr">
        <is>
          <t>1981-03-02</t>
        </is>
      </c>
    </row>
    <row r="29683">
      <c r="A29683" s="1" t="n">
        <v>29682</v>
      </c>
      <c r="B29683">
        <f>TEXT(29682, "[$-0E0000]yyyy-mm-dd")</f>
        <v/>
      </c>
      <c r="C29683" t="inlineStr">
        <is>
          <t>1981-03-03</t>
        </is>
      </c>
    </row>
    <row r="29684">
      <c r="A29684" s="1" t="n">
        <v>29683</v>
      </c>
      <c r="B29684">
        <f>TEXT(29683, "[$-0E0000]yyyy-mm-dd")</f>
        <v/>
      </c>
      <c r="C29684" t="inlineStr">
        <is>
          <t>1981-03-04</t>
        </is>
      </c>
    </row>
    <row r="29685">
      <c r="A29685" s="1" t="n">
        <v>29684</v>
      </c>
      <c r="B29685">
        <f>TEXT(29684, "[$-0E0000]yyyy-mm-dd")</f>
        <v/>
      </c>
      <c r="C29685" t="inlineStr">
        <is>
          <t>1981-03-05</t>
        </is>
      </c>
    </row>
    <row r="29686">
      <c r="A29686" s="1" t="n">
        <v>29685</v>
      </c>
      <c r="B29686">
        <f>TEXT(29685, "[$-0E0000]yyyy-mm-dd")</f>
        <v/>
      </c>
      <c r="C29686" t="inlineStr">
        <is>
          <t>1981-03-06</t>
        </is>
      </c>
    </row>
    <row r="29687">
      <c r="A29687" s="1" t="n">
        <v>29686</v>
      </c>
      <c r="B29687">
        <f>TEXT(29686, "[$-0E0000]yyyy-mm-dd")</f>
        <v/>
      </c>
      <c r="C29687" t="inlineStr">
        <is>
          <t>1981-03-07</t>
        </is>
      </c>
    </row>
    <row r="29688">
      <c r="A29688" s="1" t="n">
        <v>29687</v>
      </c>
      <c r="B29688">
        <f>TEXT(29687, "[$-0E0000]yyyy-mm-dd")</f>
        <v/>
      </c>
      <c r="C29688" t="inlineStr">
        <is>
          <t>1981-03-08</t>
        </is>
      </c>
    </row>
    <row r="29689">
      <c r="A29689" s="1" t="n">
        <v>29688</v>
      </c>
      <c r="B29689">
        <f>TEXT(29688, "[$-0E0000]yyyy-mm-dd")</f>
        <v/>
      </c>
      <c r="C29689" t="inlineStr">
        <is>
          <t>1981-03-09</t>
        </is>
      </c>
    </row>
    <row r="29690">
      <c r="A29690" s="1" t="n">
        <v>29689</v>
      </c>
      <c r="B29690">
        <f>TEXT(29689, "[$-0E0000]yyyy-mm-dd")</f>
        <v/>
      </c>
      <c r="C29690" t="inlineStr">
        <is>
          <t>1981-03-10</t>
        </is>
      </c>
    </row>
    <row r="29691">
      <c r="A29691" s="1" t="n">
        <v>29690</v>
      </c>
      <c r="B29691">
        <f>TEXT(29690, "[$-0E0000]yyyy-mm-dd")</f>
        <v/>
      </c>
      <c r="C29691" t="inlineStr">
        <is>
          <t>1981-03-11</t>
        </is>
      </c>
    </row>
    <row r="29692">
      <c r="A29692" s="1" t="n">
        <v>29691</v>
      </c>
      <c r="B29692">
        <f>TEXT(29691, "[$-0E0000]yyyy-mm-dd")</f>
        <v/>
      </c>
      <c r="C29692" t="inlineStr">
        <is>
          <t>1981-03-12</t>
        </is>
      </c>
    </row>
    <row r="29693">
      <c r="A29693" s="1" t="n">
        <v>29692</v>
      </c>
      <c r="B29693">
        <f>TEXT(29692, "[$-0E0000]yyyy-mm-dd")</f>
        <v/>
      </c>
      <c r="C29693" t="inlineStr">
        <is>
          <t>1981-03-13</t>
        </is>
      </c>
    </row>
    <row r="29694">
      <c r="A29694" s="1" t="n">
        <v>29693</v>
      </c>
      <c r="B29694">
        <f>TEXT(29693, "[$-0E0000]yyyy-mm-dd")</f>
        <v/>
      </c>
      <c r="C29694" t="inlineStr">
        <is>
          <t>1981-03-14</t>
        </is>
      </c>
    </row>
    <row r="29695">
      <c r="A29695" s="1" t="n">
        <v>29694</v>
      </c>
      <c r="B29695">
        <f>TEXT(29694, "[$-0E0000]yyyy-mm-dd")</f>
        <v/>
      </c>
      <c r="C29695" t="inlineStr">
        <is>
          <t>1981-03-15</t>
        </is>
      </c>
    </row>
    <row r="29696">
      <c r="A29696" s="1" t="n">
        <v>29695</v>
      </c>
      <c r="B29696">
        <f>TEXT(29695, "[$-0E0000]yyyy-mm-dd")</f>
        <v/>
      </c>
      <c r="C29696" t="inlineStr">
        <is>
          <t>1981-03-16</t>
        </is>
      </c>
    </row>
    <row r="29697">
      <c r="A29697" s="1" t="n">
        <v>29696</v>
      </c>
      <c r="B29697">
        <f>TEXT(29696, "[$-0E0000]yyyy-mm-dd")</f>
        <v/>
      </c>
      <c r="C29697" t="inlineStr">
        <is>
          <t>1981-03-17</t>
        </is>
      </c>
    </row>
    <row r="29698">
      <c r="A29698" s="1" t="n">
        <v>29697</v>
      </c>
      <c r="B29698">
        <f>TEXT(29697, "[$-0E0000]yyyy-mm-dd")</f>
        <v/>
      </c>
      <c r="C29698" t="inlineStr">
        <is>
          <t>1981-03-18</t>
        </is>
      </c>
    </row>
    <row r="29699">
      <c r="A29699" s="1" t="n">
        <v>29698</v>
      </c>
      <c r="B29699">
        <f>TEXT(29698, "[$-0E0000]yyyy-mm-dd")</f>
        <v/>
      </c>
      <c r="C29699" t="inlineStr">
        <is>
          <t>1981-03-19</t>
        </is>
      </c>
    </row>
    <row r="29700">
      <c r="A29700" s="1" t="n">
        <v>29699</v>
      </c>
      <c r="B29700">
        <f>TEXT(29699, "[$-0E0000]yyyy-mm-dd")</f>
        <v/>
      </c>
      <c r="C29700" t="inlineStr">
        <is>
          <t>1981-03-20</t>
        </is>
      </c>
    </row>
    <row r="29701">
      <c r="A29701" s="1" t="n">
        <v>29700</v>
      </c>
      <c r="B29701">
        <f>TEXT(29700, "[$-0E0000]yyyy-mm-dd")</f>
        <v/>
      </c>
      <c r="C29701" t="inlineStr">
        <is>
          <t>1981-03-21</t>
        </is>
      </c>
    </row>
    <row r="29702">
      <c r="A29702" s="1" t="n">
        <v>29701</v>
      </c>
      <c r="B29702">
        <f>TEXT(29701, "[$-0E0000]yyyy-mm-dd")</f>
        <v/>
      </c>
      <c r="C29702" t="inlineStr">
        <is>
          <t>1981-03-22</t>
        </is>
      </c>
    </row>
    <row r="29703">
      <c r="A29703" s="1" t="n">
        <v>29702</v>
      </c>
      <c r="B29703">
        <f>TEXT(29702, "[$-0E0000]yyyy-mm-dd")</f>
        <v/>
      </c>
      <c r="C29703" t="inlineStr">
        <is>
          <t>1981-03-23</t>
        </is>
      </c>
    </row>
    <row r="29704">
      <c r="A29704" s="1" t="n">
        <v>29703</v>
      </c>
      <c r="B29704">
        <f>TEXT(29703, "[$-0E0000]yyyy-mm-dd")</f>
        <v/>
      </c>
      <c r="C29704" t="inlineStr">
        <is>
          <t>1981-03-24</t>
        </is>
      </c>
    </row>
    <row r="29705">
      <c r="A29705" s="1" t="n">
        <v>29704</v>
      </c>
      <c r="B29705">
        <f>TEXT(29704, "[$-0E0000]yyyy-mm-dd")</f>
        <v/>
      </c>
      <c r="C29705" t="inlineStr">
        <is>
          <t>1981-03-25</t>
        </is>
      </c>
    </row>
    <row r="29706">
      <c r="A29706" s="1" t="n">
        <v>29705</v>
      </c>
      <c r="B29706">
        <f>TEXT(29705, "[$-0E0000]yyyy-mm-dd")</f>
        <v/>
      </c>
      <c r="C29706" t="inlineStr">
        <is>
          <t>1981-03-26</t>
        </is>
      </c>
    </row>
    <row r="29707">
      <c r="A29707" s="1" t="n">
        <v>29706</v>
      </c>
      <c r="B29707">
        <f>TEXT(29706, "[$-0E0000]yyyy-mm-dd")</f>
        <v/>
      </c>
      <c r="C29707" t="inlineStr">
        <is>
          <t>1981-03-27</t>
        </is>
      </c>
    </row>
    <row r="29708">
      <c r="A29708" s="1" t="n">
        <v>29707</v>
      </c>
      <c r="B29708">
        <f>TEXT(29707, "[$-0E0000]yyyy-mm-dd")</f>
        <v/>
      </c>
      <c r="C29708" t="inlineStr">
        <is>
          <t>1981-03-28</t>
        </is>
      </c>
    </row>
    <row r="29709">
      <c r="A29709" s="1" t="n">
        <v>29708</v>
      </c>
      <c r="B29709">
        <f>TEXT(29708, "[$-0E0000]yyyy-mm-dd")</f>
        <v/>
      </c>
      <c r="C29709" t="inlineStr">
        <is>
          <t>1981-03-29</t>
        </is>
      </c>
    </row>
    <row r="29710">
      <c r="A29710" s="1" t="n">
        <v>29709</v>
      </c>
      <c r="B29710">
        <f>TEXT(29709, "[$-0E0000]yyyy-mm-dd")</f>
        <v/>
      </c>
      <c r="C29710" t="inlineStr">
        <is>
          <t>1981-04-01</t>
        </is>
      </c>
    </row>
    <row r="29711">
      <c r="A29711" s="1" t="n">
        <v>29710</v>
      </c>
      <c r="B29711">
        <f>TEXT(29710, "[$-0E0000]yyyy-mm-dd")</f>
        <v/>
      </c>
      <c r="C29711" t="inlineStr">
        <is>
          <t>1981-04-02</t>
        </is>
      </c>
    </row>
    <row r="29712">
      <c r="A29712" s="1" t="n">
        <v>29711</v>
      </c>
      <c r="B29712">
        <f>TEXT(29711, "[$-0E0000]yyyy-mm-dd")</f>
        <v/>
      </c>
      <c r="C29712" t="inlineStr">
        <is>
          <t>1981-04-03</t>
        </is>
      </c>
    </row>
    <row r="29713">
      <c r="A29713" s="1" t="n">
        <v>29712</v>
      </c>
      <c r="B29713">
        <f>TEXT(29712, "[$-0E0000]yyyy-mm-dd")</f>
        <v/>
      </c>
      <c r="C29713" t="inlineStr">
        <is>
          <t>1981-04-04</t>
        </is>
      </c>
    </row>
    <row r="29714">
      <c r="A29714" s="1" t="n">
        <v>29713</v>
      </c>
      <c r="B29714">
        <f>TEXT(29713, "[$-0E0000]yyyy-mm-dd")</f>
        <v/>
      </c>
      <c r="C29714" t="inlineStr">
        <is>
          <t>1981-04-05</t>
        </is>
      </c>
    </row>
    <row r="29715">
      <c r="A29715" s="1" t="n">
        <v>29714</v>
      </c>
      <c r="B29715">
        <f>TEXT(29714, "[$-0E0000]yyyy-mm-dd")</f>
        <v/>
      </c>
      <c r="C29715" t="inlineStr">
        <is>
          <t>1981-04-06</t>
        </is>
      </c>
    </row>
    <row r="29716">
      <c r="A29716" s="1" t="n">
        <v>29715</v>
      </c>
      <c r="B29716">
        <f>TEXT(29715, "[$-0E0000]yyyy-mm-dd")</f>
        <v/>
      </c>
      <c r="C29716" t="inlineStr">
        <is>
          <t>1981-04-07</t>
        </is>
      </c>
    </row>
    <row r="29717">
      <c r="A29717" s="1" t="n">
        <v>29716</v>
      </c>
      <c r="B29717">
        <f>TEXT(29716, "[$-0E0000]yyyy-mm-dd")</f>
        <v/>
      </c>
      <c r="C29717" t="inlineStr">
        <is>
          <t>1981-04-08</t>
        </is>
      </c>
    </row>
    <row r="29718">
      <c r="A29718" s="1" t="n">
        <v>29717</v>
      </c>
      <c r="B29718">
        <f>TEXT(29717, "[$-0E0000]yyyy-mm-dd")</f>
        <v/>
      </c>
      <c r="C29718" t="inlineStr">
        <is>
          <t>1981-04-09</t>
        </is>
      </c>
    </row>
    <row r="29719">
      <c r="A29719" s="1" t="n">
        <v>29718</v>
      </c>
      <c r="B29719">
        <f>TEXT(29718, "[$-0E0000]yyyy-mm-dd")</f>
        <v/>
      </c>
      <c r="C29719" t="inlineStr">
        <is>
          <t>1981-04-10</t>
        </is>
      </c>
    </row>
    <row r="29720">
      <c r="A29720" s="1" t="n">
        <v>29719</v>
      </c>
      <c r="B29720">
        <f>TEXT(29719, "[$-0E0000]yyyy-mm-dd")</f>
        <v/>
      </c>
      <c r="C29720" t="inlineStr">
        <is>
          <t>1981-04-11</t>
        </is>
      </c>
    </row>
    <row r="29721">
      <c r="A29721" s="1" t="n">
        <v>29720</v>
      </c>
      <c r="B29721">
        <f>TEXT(29720, "[$-0E0000]yyyy-mm-dd")</f>
        <v/>
      </c>
      <c r="C29721" t="inlineStr">
        <is>
          <t>1981-04-12</t>
        </is>
      </c>
    </row>
    <row r="29722">
      <c r="A29722" s="1" t="n">
        <v>29721</v>
      </c>
      <c r="B29722">
        <f>TEXT(29721, "[$-0E0000]yyyy-mm-dd")</f>
        <v/>
      </c>
      <c r="C29722" t="inlineStr">
        <is>
          <t>1981-04-13</t>
        </is>
      </c>
    </row>
    <row r="29723">
      <c r="A29723" s="1" t="n">
        <v>29722</v>
      </c>
      <c r="B29723">
        <f>TEXT(29722, "[$-0E0000]yyyy-mm-dd")</f>
        <v/>
      </c>
      <c r="C29723" t="inlineStr">
        <is>
          <t>1981-04-14</t>
        </is>
      </c>
    </row>
    <row r="29724">
      <c r="A29724" s="1" t="n">
        <v>29723</v>
      </c>
      <c r="B29724">
        <f>TEXT(29723, "[$-0E0000]yyyy-mm-dd")</f>
        <v/>
      </c>
      <c r="C29724" t="inlineStr">
        <is>
          <t>1981-04-15</t>
        </is>
      </c>
    </row>
    <row r="29725">
      <c r="A29725" s="1" t="n">
        <v>29724</v>
      </c>
      <c r="B29725">
        <f>TEXT(29724, "[$-0E0000]yyyy-mm-dd")</f>
        <v/>
      </c>
      <c r="C29725" t="inlineStr">
        <is>
          <t>1981-04-16</t>
        </is>
      </c>
    </row>
    <row r="29726">
      <c r="A29726" s="1" t="n">
        <v>29725</v>
      </c>
      <c r="B29726">
        <f>TEXT(29725, "[$-0E0000]yyyy-mm-dd")</f>
        <v/>
      </c>
      <c r="C29726" t="inlineStr">
        <is>
          <t>1981-04-17</t>
        </is>
      </c>
    </row>
    <row r="29727">
      <c r="A29727" s="1" t="n">
        <v>29726</v>
      </c>
      <c r="B29727">
        <f>TEXT(29726, "[$-0E0000]yyyy-mm-dd")</f>
        <v/>
      </c>
      <c r="C29727" t="inlineStr">
        <is>
          <t>1981-04-18</t>
        </is>
      </c>
    </row>
    <row r="29728">
      <c r="A29728" s="1" t="n">
        <v>29727</v>
      </c>
      <c r="B29728">
        <f>TEXT(29727, "[$-0E0000]yyyy-mm-dd")</f>
        <v/>
      </c>
      <c r="C29728" t="inlineStr">
        <is>
          <t>1981-04-19</t>
        </is>
      </c>
    </row>
    <row r="29729">
      <c r="A29729" s="1" t="n">
        <v>29728</v>
      </c>
      <c r="B29729">
        <f>TEXT(29728, "[$-0E0000]yyyy-mm-dd")</f>
        <v/>
      </c>
      <c r="C29729" t="inlineStr">
        <is>
          <t>1981-04-20</t>
        </is>
      </c>
    </row>
    <row r="29730">
      <c r="A29730" s="1" t="n">
        <v>29729</v>
      </c>
      <c r="B29730">
        <f>TEXT(29729, "[$-0E0000]yyyy-mm-dd")</f>
        <v/>
      </c>
      <c r="C29730" t="inlineStr">
        <is>
          <t>1981-04-21</t>
        </is>
      </c>
    </row>
    <row r="29731">
      <c r="A29731" s="1" t="n">
        <v>29730</v>
      </c>
      <c r="B29731">
        <f>TEXT(29730, "[$-0E0000]yyyy-mm-dd")</f>
        <v/>
      </c>
      <c r="C29731" t="inlineStr">
        <is>
          <t>1981-04-22</t>
        </is>
      </c>
    </row>
    <row r="29732">
      <c r="A29732" s="1" t="n">
        <v>29731</v>
      </c>
      <c r="B29732">
        <f>TEXT(29731, "[$-0E0000]yyyy-mm-dd")</f>
        <v/>
      </c>
      <c r="C29732" t="inlineStr">
        <is>
          <t>1981-04-23</t>
        </is>
      </c>
    </row>
    <row r="29733">
      <c r="A29733" s="1" t="n">
        <v>29732</v>
      </c>
      <c r="B29733">
        <f>TEXT(29732, "[$-0E0000]yyyy-mm-dd")</f>
        <v/>
      </c>
      <c r="C29733" t="inlineStr">
        <is>
          <t>1981-04-24</t>
        </is>
      </c>
    </row>
    <row r="29734">
      <c r="A29734" s="1" t="n">
        <v>29733</v>
      </c>
      <c r="B29734">
        <f>TEXT(29733, "[$-0E0000]yyyy-mm-dd")</f>
        <v/>
      </c>
      <c r="C29734" t="inlineStr">
        <is>
          <t>1981-04-25</t>
        </is>
      </c>
    </row>
    <row r="29735">
      <c r="A29735" s="1" t="n">
        <v>29734</v>
      </c>
      <c r="B29735">
        <f>TEXT(29734, "[$-0E0000]yyyy-mm-dd")</f>
        <v/>
      </c>
      <c r="C29735" t="inlineStr">
        <is>
          <t>1981-04-26</t>
        </is>
      </c>
    </row>
    <row r="29736">
      <c r="A29736" s="1" t="n">
        <v>29735</v>
      </c>
      <c r="B29736">
        <f>TEXT(29735, "[$-0E0000]yyyy-mm-dd")</f>
        <v/>
      </c>
      <c r="C29736" t="inlineStr">
        <is>
          <t>1981-04-27</t>
        </is>
      </c>
    </row>
    <row r="29737">
      <c r="A29737" s="1" t="n">
        <v>29736</v>
      </c>
      <c r="B29737">
        <f>TEXT(29736, "[$-0E0000]yyyy-mm-dd")</f>
        <v/>
      </c>
      <c r="C29737" t="inlineStr">
        <is>
          <t>1981-04-28</t>
        </is>
      </c>
    </row>
    <row r="29738">
      <c r="A29738" s="1" t="n">
        <v>29737</v>
      </c>
      <c r="B29738">
        <f>TEXT(29737, "[$-0E0000]yyyy-mm-dd")</f>
        <v/>
      </c>
      <c r="C29738" t="inlineStr">
        <is>
          <t>1981-04-29</t>
        </is>
      </c>
    </row>
    <row r="29739">
      <c r="A29739" s="1" t="n">
        <v>29738</v>
      </c>
      <c r="B29739">
        <f>TEXT(29738, "[$-0E0000]yyyy-mm-dd")</f>
        <v/>
      </c>
      <c r="C29739" t="inlineStr">
        <is>
          <t>1981-05-01</t>
        </is>
      </c>
    </row>
    <row r="29740">
      <c r="A29740" s="1" t="n">
        <v>29739</v>
      </c>
      <c r="B29740">
        <f>TEXT(29739, "[$-0E0000]yyyy-mm-dd")</f>
        <v/>
      </c>
      <c r="C29740" t="inlineStr">
        <is>
          <t>1981-05-02</t>
        </is>
      </c>
    </row>
    <row r="29741">
      <c r="A29741" s="1" t="n">
        <v>29740</v>
      </c>
      <c r="B29741">
        <f>TEXT(29740, "[$-0E0000]yyyy-mm-dd")</f>
        <v/>
      </c>
      <c r="C29741" t="inlineStr">
        <is>
          <t>1981-05-03</t>
        </is>
      </c>
    </row>
    <row r="29742">
      <c r="A29742" s="1" t="n">
        <v>29741</v>
      </c>
      <c r="B29742">
        <f>TEXT(29741, "[$-0E0000]yyyy-mm-dd")</f>
        <v/>
      </c>
      <c r="C29742" t="inlineStr">
        <is>
          <t>1981-05-04</t>
        </is>
      </c>
    </row>
    <row r="29743">
      <c r="A29743" s="1" t="n">
        <v>29742</v>
      </c>
      <c r="B29743">
        <f>TEXT(29742, "[$-0E0000]yyyy-mm-dd")</f>
        <v/>
      </c>
      <c r="C29743" t="inlineStr">
        <is>
          <t>1981-05-05</t>
        </is>
      </c>
    </row>
    <row r="29744">
      <c r="A29744" s="1" t="n">
        <v>29743</v>
      </c>
      <c r="B29744">
        <f>TEXT(29743, "[$-0E0000]yyyy-mm-dd")</f>
        <v/>
      </c>
      <c r="C29744" t="inlineStr">
        <is>
          <t>1981-05-06</t>
        </is>
      </c>
    </row>
    <row r="29745">
      <c r="A29745" s="1" t="n">
        <v>29744</v>
      </c>
      <c r="B29745">
        <f>TEXT(29744, "[$-0E0000]yyyy-mm-dd")</f>
        <v/>
      </c>
      <c r="C29745" t="inlineStr">
        <is>
          <t>1981-05-07</t>
        </is>
      </c>
    </row>
    <row r="29746">
      <c r="A29746" s="1" t="n">
        <v>29745</v>
      </c>
      <c r="B29746">
        <f>TEXT(29745, "[$-0E0000]yyyy-mm-dd")</f>
        <v/>
      </c>
      <c r="C29746" t="inlineStr">
        <is>
          <t>1981-05-08</t>
        </is>
      </c>
    </row>
    <row r="29747">
      <c r="A29747" s="1" t="n">
        <v>29746</v>
      </c>
      <c r="B29747">
        <f>TEXT(29746, "[$-0E0000]yyyy-mm-dd")</f>
        <v/>
      </c>
      <c r="C29747" t="inlineStr">
        <is>
          <t>1981-05-09</t>
        </is>
      </c>
    </row>
    <row r="29748">
      <c r="A29748" s="1" t="n">
        <v>29747</v>
      </c>
      <c r="B29748">
        <f>TEXT(29747, "[$-0E0000]yyyy-mm-dd")</f>
        <v/>
      </c>
      <c r="C29748" t="inlineStr">
        <is>
          <t>1981-05-10</t>
        </is>
      </c>
    </row>
    <row r="29749">
      <c r="A29749" s="1" t="n">
        <v>29748</v>
      </c>
      <c r="B29749">
        <f>TEXT(29748, "[$-0E0000]yyyy-mm-dd")</f>
        <v/>
      </c>
      <c r="C29749" t="inlineStr">
        <is>
          <t>1981-05-11</t>
        </is>
      </c>
    </row>
    <row r="29750">
      <c r="A29750" s="1" t="n">
        <v>29749</v>
      </c>
      <c r="B29750">
        <f>TEXT(29749, "[$-0E0000]yyyy-mm-dd")</f>
        <v/>
      </c>
      <c r="C29750" t="inlineStr">
        <is>
          <t>1981-05-12</t>
        </is>
      </c>
    </row>
    <row r="29751">
      <c r="A29751" s="1" t="n">
        <v>29750</v>
      </c>
      <c r="B29751">
        <f>TEXT(29750, "[$-0E0000]yyyy-mm-dd")</f>
        <v/>
      </c>
      <c r="C29751" t="inlineStr">
        <is>
          <t>1981-05-13</t>
        </is>
      </c>
    </row>
    <row r="29752">
      <c r="A29752" s="1" t="n">
        <v>29751</v>
      </c>
      <c r="B29752">
        <f>TEXT(29751, "[$-0E0000]yyyy-mm-dd")</f>
        <v/>
      </c>
      <c r="C29752" t="inlineStr">
        <is>
          <t>1981-05-14</t>
        </is>
      </c>
    </row>
    <row r="29753">
      <c r="A29753" s="1" t="n">
        <v>29752</v>
      </c>
      <c r="B29753">
        <f>TEXT(29752, "[$-0E0000]yyyy-mm-dd")</f>
        <v/>
      </c>
      <c r="C29753" t="inlineStr">
        <is>
          <t>1981-05-15</t>
        </is>
      </c>
    </row>
    <row r="29754">
      <c r="A29754" s="1" t="n">
        <v>29753</v>
      </c>
      <c r="B29754">
        <f>TEXT(29753, "[$-0E0000]yyyy-mm-dd")</f>
        <v/>
      </c>
      <c r="C29754" t="inlineStr">
        <is>
          <t>1981-05-16</t>
        </is>
      </c>
    </row>
    <row r="29755">
      <c r="A29755" s="1" t="n">
        <v>29754</v>
      </c>
      <c r="B29755">
        <f>TEXT(29754, "[$-0E0000]yyyy-mm-dd")</f>
        <v/>
      </c>
      <c r="C29755" t="inlineStr">
        <is>
          <t>1981-05-17</t>
        </is>
      </c>
    </row>
    <row r="29756">
      <c r="A29756" s="1" t="n">
        <v>29755</v>
      </c>
      <c r="B29756">
        <f>TEXT(29755, "[$-0E0000]yyyy-mm-dd")</f>
        <v/>
      </c>
      <c r="C29756" t="inlineStr">
        <is>
          <t>1981-05-18</t>
        </is>
      </c>
    </row>
    <row r="29757">
      <c r="A29757" s="1" t="n">
        <v>29756</v>
      </c>
      <c r="B29757">
        <f>TEXT(29756, "[$-0E0000]yyyy-mm-dd")</f>
        <v/>
      </c>
      <c r="C29757" t="inlineStr">
        <is>
          <t>1981-05-19</t>
        </is>
      </c>
    </row>
    <row r="29758">
      <c r="A29758" s="1" t="n">
        <v>29757</v>
      </c>
      <c r="B29758">
        <f>TEXT(29757, "[$-0E0000]yyyy-mm-dd")</f>
        <v/>
      </c>
      <c r="C29758" t="inlineStr">
        <is>
          <t>1981-05-20</t>
        </is>
      </c>
    </row>
    <row r="29759">
      <c r="A29759" s="1" t="n">
        <v>29758</v>
      </c>
      <c r="B29759">
        <f>TEXT(29758, "[$-0E0000]yyyy-mm-dd")</f>
        <v/>
      </c>
      <c r="C29759" t="inlineStr">
        <is>
          <t>1981-05-21</t>
        </is>
      </c>
    </row>
    <row r="29760">
      <c r="A29760" s="1" t="n">
        <v>29759</v>
      </c>
      <c r="B29760">
        <f>TEXT(29759, "[$-0E0000]yyyy-mm-dd")</f>
        <v/>
      </c>
      <c r="C29760" t="inlineStr">
        <is>
          <t>1981-05-22</t>
        </is>
      </c>
    </row>
    <row r="29761">
      <c r="A29761" s="1" t="n">
        <v>29760</v>
      </c>
      <c r="B29761">
        <f>TEXT(29760, "[$-0E0000]yyyy-mm-dd")</f>
        <v/>
      </c>
      <c r="C29761" t="inlineStr">
        <is>
          <t>1981-05-23</t>
        </is>
      </c>
    </row>
    <row r="29762">
      <c r="A29762" s="1" t="n">
        <v>29761</v>
      </c>
      <c r="B29762">
        <f>TEXT(29761, "[$-0E0000]yyyy-mm-dd")</f>
        <v/>
      </c>
      <c r="C29762" t="inlineStr">
        <is>
          <t>1981-05-24</t>
        </is>
      </c>
    </row>
    <row r="29763">
      <c r="A29763" s="1" t="n">
        <v>29762</v>
      </c>
      <c r="B29763">
        <f>TEXT(29762, "[$-0E0000]yyyy-mm-dd")</f>
        <v/>
      </c>
      <c r="C29763" t="inlineStr">
        <is>
          <t>1981-05-25</t>
        </is>
      </c>
    </row>
    <row r="29764">
      <c r="A29764" s="1" t="n">
        <v>29763</v>
      </c>
      <c r="B29764">
        <f>TEXT(29763, "[$-0E0000]yyyy-mm-dd")</f>
        <v/>
      </c>
      <c r="C29764" t="inlineStr">
        <is>
          <t>1981-05-26</t>
        </is>
      </c>
    </row>
    <row r="29765">
      <c r="A29765" s="1" t="n">
        <v>29764</v>
      </c>
      <c r="B29765">
        <f>TEXT(29764, "[$-0E0000]yyyy-mm-dd")</f>
        <v/>
      </c>
      <c r="C29765" t="inlineStr">
        <is>
          <t>1981-05-27</t>
        </is>
      </c>
    </row>
    <row r="29766">
      <c r="A29766" s="1" t="n">
        <v>29765</v>
      </c>
      <c r="B29766">
        <f>TEXT(29765, "[$-0E0000]yyyy-mm-dd")</f>
        <v/>
      </c>
      <c r="C29766" t="inlineStr">
        <is>
          <t>1981-05-28</t>
        </is>
      </c>
    </row>
    <row r="29767">
      <c r="A29767" s="1" t="n">
        <v>29766</v>
      </c>
      <c r="B29767">
        <f>TEXT(29766, "[$-0E0000]yyyy-mm-dd")</f>
        <v/>
      </c>
      <c r="C29767" t="inlineStr">
        <is>
          <t>1981-05-29</t>
        </is>
      </c>
    </row>
    <row r="29768">
      <c r="A29768" s="1" t="n">
        <v>29767</v>
      </c>
      <c r="B29768">
        <f>TEXT(29767, "[$-0E0000]yyyy-mm-dd")</f>
        <v/>
      </c>
      <c r="C29768" t="inlineStr">
        <is>
          <t>1981-05-30</t>
        </is>
      </c>
    </row>
    <row r="29769">
      <c r="A29769" s="1" t="n">
        <v>29768</v>
      </c>
      <c r="B29769">
        <f>TEXT(29768, "[$-0E0000]yyyy-mm-dd")</f>
        <v/>
      </c>
      <c r="C29769" t="inlineStr">
        <is>
          <t>1981-06-01</t>
        </is>
      </c>
    </row>
    <row r="29770">
      <c r="A29770" s="1" t="n">
        <v>29769</v>
      </c>
      <c r="B29770">
        <f>TEXT(29769, "[$-0E0000]yyyy-mm-dd")</f>
        <v/>
      </c>
      <c r="C29770" t="inlineStr">
        <is>
          <t>1981-06-02</t>
        </is>
      </c>
    </row>
    <row r="29771">
      <c r="A29771" s="1" t="n">
        <v>29770</v>
      </c>
      <c r="B29771">
        <f>TEXT(29770, "[$-0E0000]yyyy-mm-dd")</f>
        <v/>
      </c>
      <c r="C29771" t="inlineStr">
        <is>
          <t>1981-06-03</t>
        </is>
      </c>
    </row>
    <row r="29772">
      <c r="A29772" s="1" t="n">
        <v>29771</v>
      </c>
      <c r="B29772">
        <f>TEXT(29771, "[$-0E0000]yyyy-mm-dd")</f>
        <v/>
      </c>
      <c r="C29772" t="inlineStr">
        <is>
          <t>1981-06-04</t>
        </is>
      </c>
    </row>
    <row r="29773">
      <c r="A29773" s="1" t="n">
        <v>29772</v>
      </c>
      <c r="B29773">
        <f>TEXT(29772, "[$-0E0000]yyyy-mm-dd")</f>
        <v/>
      </c>
      <c r="C29773" t="inlineStr">
        <is>
          <t>1981-06-05</t>
        </is>
      </c>
    </row>
    <row r="29774">
      <c r="A29774" s="1" t="n">
        <v>29773</v>
      </c>
      <c r="B29774">
        <f>TEXT(29773, "[$-0E0000]yyyy-mm-dd")</f>
        <v/>
      </c>
      <c r="C29774" t="inlineStr">
        <is>
          <t>1981-06-06</t>
        </is>
      </c>
    </row>
    <row r="29775">
      <c r="A29775" s="1" t="n">
        <v>29774</v>
      </c>
      <c r="B29775">
        <f>TEXT(29774, "[$-0E0000]yyyy-mm-dd")</f>
        <v/>
      </c>
      <c r="C29775" t="inlineStr">
        <is>
          <t>1981-06-07</t>
        </is>
      </c>
    </row>
    <row r="29776">
      <c r="A29776" s="1" t="n">
        <v>29775</v>
      </c>
      <c r="B29776">
        <f>TEXT(29775, "[$-0E0000]yyyy-mm-dd")</f>
        <v/>
      </c>
      <c r="C29776" t="inlineStr">
        <is>
          <t>1981-06-08</t>
        </is>
      </c>
    </row>
    <row r="29777">
      <c r="A29777" s="1" t="n">
        <v>29776</v>
      </c>
      <c r="B29777">
        <f>TEXT(29776, "[$-0E0000]yyyy-mm-dd")</f>
        <v/>
      </c>
      <c r="C29777" t="inlineStr">
        <is>
          <t>1981-06-09</t>
        </is>
      </c>
    </row>
    <row r="29778">
      <c r="A29778" s="1" t="n">
        <v>29777</v>
      </c>
      <c r="B29778">
        <f>TEXT(29777, "[$-0E0000]yyyy-mm-dd")</f>
        <v/>
      </c>
      <c r="C29778" t="inlineStr">
        <is>
          <t>1981-06-10</t>
        </is>
      </c>
    </row>
    <row r="29779">
      <c r="A29779" s="1" t="n">
        <v>29778</v>
      </c>
      <c r="B29779">
        <f>TEXT(29778, "[$-0E0000]yyyy-mm-dd")</f>
        <v/>
      </c>
      <c r="C29779" t="inlineStr">
        <is>
          <t>1981-06-11</t>
        </is>
      </c>
    </row>
    <row r="29780">
      <c r="A29780" s="1" t="n">
        <v>29779</v>
      </c>
      <c r="B29780">
        <f>TEXT(29779, "[$-0E0000]yyyy-mm-dd")</f>
        <v/>
      </c>
      <c r="C29780" t="inlineStr">
        <is>
          <t>1981-06-12</t>
        </is>
      </c>
    </row>
    <row r="29781">
      <c r="A29781" s="1" t="n">
        <v>29780</v>
      </c>
      <c r="B29781">
        <f>TEXT(29780, "[$-0E0000]yyyy-mm-dd")</f>
        <v/>
      </c>
      <c r="C29781" t="inlineStr">
        <is>
          <t>1981-06-13</t>
        </is>
      </c>
    </row>
    <row r="29782">
      <c r="A29782" s="1" t="n">
        <v>29781</v>
      </c>
      <c r="B29782">
        <f>TEXT(29781, "[$-0E0000]yyyy-mm-dd")</f>
        <v/>
      </c>
      <c r="C29782" t="inlineStr">
        <is>
          <t>1981-06-14</t>
        </is>
      </c>
    </row>
    <row r="29783">
      <c r="A29783" s="1" t="n">
        <v>29782</v>
      </c>
      <c r="B29783">
        <f>TEXT(29782, "[$-0E0000]yyyy-mm-dd")</f>
        <v/>
      </c>
      <c r="C29783" t="inlineStr">
        <is>
          <t>1981-06-15</t>
        </is>
      </c>
    </row>
    <row r="29784">
      <c r="A29784" s="1" t="n">
        <v>29783</v>
      </c>
      <c r="B29784">
        <f>TEXT(29783, "[$-0E0000]yyyy-mm-dd")</f>
        <v/>
      </c>
      <c r="C29784" t="inlineStr">
        <is>
          <t>1981-06-16</t>
        </is>
      </c>
    </row>
    <row r="29785">
      <c r="A29785" s="1" t="n">
        <v>29784</v>
      </c>
      <c r="B29785">
        <f>TEXT(29784, "[$-0E0000]yyyy-mm-dd")</f>
        <v/>
      </c>
      <c r="C29785" t="inlineStr">
        <is>
          <t>1981-06-17</t>
        </is>
      </c>
    </row>
    <row r="29786">
      <c r="A29786" s="1" t="n">
        <v>29785</v>
      </c>
      <c r="B29786">
        <f>TEXT(29785, "[$-0E0000]yyyy-mm-dd")</f>
        <v/>
      </c>
      <c r="C29786" t="inlineStr">
        <is>
          <t>1981-06-18</t>
        </is>
      </c>
    </row>
    <row r="29787">
      <c r="A29787" s="1" t="n">
        <v>29786</v>
      </c>
      <c r="B29787">
        <f>TEXT(29786, "[$-0E0000]yyyy-mm-dd")</f>
        <v/>
      </c>
      <c r="C29787" t="inlineStr">
        <is>
          <t>1981-06-19</t>
        </is>
      </c>
    </row>
    <row r="29788">
      <c r="A29788" s="1" t="n">
        <v>29787</v>
      </c>
      <c r="B29788">
        <f>TEXT(29787, "[$-0E0000]yyyy-mm-dd")</f>
        <v/>
      </c>
      <c r="C29788" t="inlineStr">
        <is>
          <t>1981-06-20</t>
        </is>
      </c>
    </row>
    <row r="29789">
      <c r="A29789" s="1" t="n">
        <v>29788</v>
      </c>
      <c r="B29789">
        <f>TEXT(29788, "[$-0E0000]yyyy-mm-dd")</f>
        <v/>
      </c>
      <c r="C29789" t="inlineStr">
        <is>
          <t>1981-06-21</t>
        </is>
      </c>
    </row>
    <row r="29790">
      <c r="A29790" s="1" t="n">
        <v>29789</v>
      </c>
      <c r="B29790">
        <f>TEXT(29789, "[$-0E0000]yyyy-mm-dd")</f>
        <v/>
      </c>
      <c r="C29790" t="inlineStr">
        <is>
          <t>1981-06-22</t>
        </is>
      </c>
    </row>
    <row r="29791">
      <c r="A29791" s="1" t="n">
        <v>29790</v>
      </c>
      <c r="B29791">
        <f>TEXT(29790, "[$-0E0000]yyyy-mm-dd")</f>
        <v/>
      </c>
      <c r="C29791" t="inlineStr">
        <is>
          <t>1981-06-23</t>
        </is>
      </c>
    </row>
    <row r="29792">
      <c r="A29792" s="1" t="n">
        <v>29791</v>
      </c>
      <c r="B29792">
        <f>TEXT(29791, "[$-0E0000]yyyy-mm-dd")</f>
        <v/>
      </c>
      <c r="C29792" t="inlineStr">
        <is>
          <t>1981-06-24</t>
        </is>
      </c>
    </row>
    <row r="29793">
      <c r="A29793" s="1" t="n">
        <v>29792</v>
      </c>
      <c r="B29793">
        <f>TEXT(29792, "[$-0E0000]yyyy-mm-dd")</f>
        <v/>
      </c>
      <c r="C29793" t="inlineStr">
        <is>
          <t>1981-06-25</t>
        </is>
      </c>
    </row>
    <row r="29794">
      <c r="A29794" s="1" t="n">
        <v>29793</v>
      </c>
      <c r="B29794">
        <f>TEXT(29793, "[$-0E0000]yyyy-mm-dd")</f>
        <v/>
      </c>
      <c r="C29794" t="inlineStr">
        <is>
          <t>1981-06-26</t>
        </is>
      </c>
    </row>
    <row r="29795">
      <c r="A29795" s="1" t="n">
        <v>29794</v>
      </c>
      <c r="B29795">
        <f>TEXT(29794, "[$-0E0000]yyyy-mm-dd")</f>
        <v/>
      </c>
      <c r="C29795" t="inlineStr">
        <is>
          <t>1981-06-27</t>
        </is>
      </c>
    </row>
    <row r="29796">
      <c r="A29796" s="1" t="n">
        <v>29795</v>
      </c>
      <c r="B29796">
        <f>TEXT(29795, "[$-0E0000]yyyy-mm-dd")</f>
        <v/>
      </c>
      <c r="C29796" t="inlineStr">
        <is>
          <t>1981-06-28</t>
        </is>
      </c>
    </row>
    <row r="29797">
      <c r="A29797" s="1" t="n">
        <v>29796</v>
      </c>
      <c r="B29797">
        <f>TEXT(29796, "[$-0E0000]yyyy-mm-dd")</f>
        <v/>
      </c>
      <c r="C29797" t="inlineStr">
        <is>
          <t>1981-06-29</t>
        </is>
      </c>
    </row>
    <row r="29798">
      <c r="A29798" s="1" t="n">
        <v>29797</v>
      </c>
      <c r="B29798">
        <f>TEXT(29797, "[$-0E0000]yyyy-mm-dd")</f>
        <v/>
      </c>
      <c r="C29798" t="inlineStr">
        <is>
          <t>1981-07-01</t>
        </is>
      </c>
    </row>
    <row r="29799">
      <c r="A29799" s="1" t="n">
        <v>29798</v>
      </c>
      <c r="B29799">
        <f>TEXT(29798, "[$-0E0000]yyyy-mm-dd")</f>
        <v/>
      </c>
      <c r="C29799" t="inlineStr">
        <is>
          <t>1981-07-02</t>
        </is>
      </c>
    </row>
    <row r="29800">
      <c r="A29800" s="1" t="n">
        <v>29799</v>
      </c>
      <c r="B29800">
        <f>TEXT(29799, "[$-0E0000]yyyy-mm-dd")</f>
        <v/>
      </c>
      <c r="C29800" t="inlineStr">
        <is>
          <t>1981-07-03</t>
        </is>
      </c>
    </row>
    <row r="29801">
      <c r="A29801" s="1" t="n">
        <v>29800</v>
      </c>
      <c r="B29801">
        <f>TEXT(29800, "[$-0E0000]yyyy-mm-dd")</f>
        <v/>
      </c>
      <c r="C29801" t="inlineStr">
        <is>
          <t>1981-07-04</t>
        </is>
      </c>
    </row>
    <row r="29802">
      <c r="A29802" s="1" t="n">
        <v>29801</v>
      </c>
      <c r="B29802">
        <f>TEXT(29801, "[$-0E0000]yyyy-mm-dd")</f>
        <v/>
      </c>
      <c r="C29802" t="inlineStr">
        <is>
          <t>1981-07-05</t>
        </is>
      </c>
    </row>
    <row r="29803">
      <c r="A29803" s="1" t="n">
        <v>29802</v>
      </c>
      <c r="B29803">
        <f>TEXT(29802, "[$-0E0000]yyyy-mm-dd")</f>
        <v/>
      </c>
      <c r="C29803" t="inlineStr">
        <is>
          <t>1981-07-06</t>
        </is>
      </c>
    </row>
    <row r="29804">
      <c r="A29804" s="1" t="n">
        <v>29803</v>
      </c>
      <c r="B29804">
        <f>TEXT(29803, "[$-0E0000]yyyy-mm-dd")</f>
        <v/>
      </c>
      <c r="C29804" t="inlineStr">
        <is>
          <t>1981-07-07</t>
        </is>
      </c>
    </row>
    <row r="29805">
      <c r="A29805" s="1" t="n">
        <v>29804</v>
      </c>
      <c r="B29805">
        <f>TEXT(29804, "[$-0E0000]yyyy-mm-dd")</f>
        <v/>
      </c>
      <c r="C29805" t="inlineStr">
        <is>
          <t>1981-07-08</t>
        </is>
      </c>
    </row>
    <row r="29806">
      <c r="A29806" s="1" t="n">
        <v>29805</v>
      </c>
      <c r="B29806">
        <f>TEXT(29805, "[$-0E0000]yyyy-mm-dd")</f>
        <v/>
      </c>
      <c r="C29806" t="inlineStr">
        <is>
          <t>1981-07-09</t>
        </is>
      </c>
    </row>
    <row r="29807">
      <c r="A29807" s="1" t="n">
        <v>29806</v>
      </c>
      <c r="B29807">
        <f>TEXT(29806, "[$-0E0000]yyyy-mm-dd")</f>
        <v/>
      </c>
      <c r="C29807" t="inlineStr">
        <is>
          <t>1981-07-10</t>
        </is>
      </c>
    </row>
    <row r="29808">
      <c r="A29808" s="1" t="n">
        <v>29807</v>
      </c>
      <c r="B29808">
        <f>TEXT(29807, "[$-0E0000]yyyy-mm-dd")</f>
        <v/>
      </c>
      <c r="C29808" t="inlineStr">
        <is>
          <t>1981-07-11</t>
        </is>
      </c>
    </row>
    <row r="29809">
      <c r="A29809" s="1" t="n">
        <v>29808</v>
      </c>
      <c r="B29809">
        <f>TEXT(29808, "[$-0E0000]yyyy-mm-dd")</f>
        <v/>
      </c>
      <c r="C29809" t="inlineStr">
        <is>
          <t>1981-07-12</t>
        </is>
      </c>
    </row>
    <row r="29810">
      <c r="A29810" s="1" t="n">
        <v>29809</v>
      </c>
      <c r="B29810">
        <f>TEXT(29809, "[$-0E0000]yyyy-mm-dd")</f>
        <v/>
      </c>
      <c r="C29810" t="inlineStr">
        <is>
          <t>1981-07-13</t>
        </is>
      </c>
    </row>
    <row r="29811">
      <c r="A29811" s="1" t="n">
        <v>29810</v>
      </c>
      <c r="B29811">
        <f>TEXT(29810, "[$-0E0000]yyyy-mm-dd")</f>
        <v/>
      </c>
      <c r="C29811" t="inlineStr">
        <is>
          <t>1981-07-14</t>
        </is>
      </c>
    </row>
    <row r="29812">
      <c r="A29812" s="1" t="n">
        <v>29811</v>
      </c>
      <c r="B29812">
        <f>TEXT(29811, "[$-0E0000]yyyy-mm-dd")</f>
        <v/>
      </c>
      <c r="C29812" t="inlineStr">
        <is>
          <t>1981-07-15</t>
        </is>
      </c>
    </row>
    <row r="29813">
      <c r="A29813" s="1" t="n">
        <v>29812</v>
      </c>
      <c r="B29813">
        <f>TEXT(29812, "[$-0E0000]yyyy-mm-dd")</f>
        <v/>
      </c>
      <c r="C29813" t="inlineStr">
        <is>
          <t>1981-07-16</t>
        </is>
      </c>
    </row>
    <row r="29814">
      <c r="A29814" s="1" t="n">
        <v>29813</v>
      </c>
      <c r="B29814">
        <f>TEXT(29813, "[$-0E0000]yyyy-mm-dd")</f>
        <v/>
      </c>
      <c r="C29814" t="inlineStr">
        <is>
          <t>1981-07-17</t>
        </is>
      </c>
    </row>
    <row r="29815">
      <c r="A29815" s="1" t="n">
        <v>29814</v>
      </c>
      <c r="B29815">
        <f>TEXT(29814, "[$-0E0000]yyyy-mm-dd")</f>
        <v/>
      </c>
      <c r="C29815" t="inlineStr">
        <is>
          <t>1981-07-18</t>
        </is>
      </c>
    </row>
    <row r="29816">
      <c r="A29816" s="1" t="n">
        <v>29815</v>
      </c>
      <c r="B29816">
        <f>TEXT(29815, "[$-0E0000]yyyy-mm-dd")</f>
        <v/>
      </c>
      <c r="C29816" t="inlineStr">
        <is>
          <t>1981-07-19</t>
        </is>
      </c>
    </row>
    <row r="29817">
      <c r="A29817" s="1" t="n">
        <v>29816</v>
      </c>
      <c r="B29817">
        <f>TEXT(29816, "[$-0E0000]yyyy-mm-dd")</f>
        <v/>
      </c>
      <c r="C29817" t="inlineStr">
        <is>
          <t>1981-07-20</t>
        </is>
      </c>
    </row>
    <row r="29818">
      <c r="A29818" s="1" t="n">
        <v>29817</v>
      </c>
      <c r="B29818">
        <f>TEXT(29817, "[$-0E0000]yyyy-mm-dd")</f>
        <v/>
      </c>
      <c r="C29818" t="inlineStr">
        <is>
          <t>1981-07-21</t>
        </is>
      </c>
    </row>
    <row r="29819">
      <c r="A29819" s="1" t="n">
        <v>29818</v>
      </c>
      <c r="B29819">
        <f>TEXT(29818, "[$-0E0000]yyyy-mm-dd")</f>
        <v/>
      </c>
      <c r="C29819" t="inlineStr">
        <is>
          <t>1981-07-22</t>
        </is>
      </c>
    </row>
    <row r="29820">
      <c r="A29820" s="1" t="n">
        <v>29819</v>
      </c>
      <c r="B29820">
        <f>TEXT(29819, "[$-0E0000]yyyy-mm-dd")</f>
        <v/>
      </c>
      <c r="C29820" t="inlineStr">
        <is>
          <t>1981-07-23</t>
        </is>
      </c>
    </row>
    <row r="29821">
      <c r="A29821" s="1" t="n">
        <v>29820</v>
      </c>
      <c r="B29821">
        <f>TEXT(29820, "[$-0E0000]yyyy-mm-dd")</f>
        <v/>
      </c>
      <c r="C29821" t="inlineStr">
        <is>
          <t>1981-07-24</t>
        </is>
      </c>
    </row>
    <row r="29822">
      <c r="A29822" s="1" t="n">
        <v>29821</v>
      </c>
      <c r="B29822">
        <f>TEXT(29821, "[$-0E0000]yyyy-mm-dd")</f>
        <v/>
      </c>
      <c r="C29822" t="inlineStr">
        <is>
          <t>1981-07-25</t>
        </is>
      </c>
    </row>
    <row r="29823">
      <c r="A29823" s="1" t="n">
        <v>29822</v>
      </c>
      <c r="B29823">
        <f>TEXT(29822, "[$-0E0000]yyyy-mm-dd")</f>
        <v/>
      </c>
      <c r="C29823" t="inlineStr">
        <is>
          <t>1981-07-26</t>
        </is>
      </c>
    </row>
    <row r="29824">
      <c r="A29824" s="1" t="n">
        <v>29823</v>
      </c>
      <c r="B29824">
        <f>TEXT(29823, "[$-0E0000]yyyy-mm-dd")</f>
        <v/>
      </c>
      <c r="C29824" t="inlineStr">
        <is>
          <t>1981-07-27</t>
        </is>
      </c>
    </row>
    <row r="29825">
      <c r="A29825" s="1" t="n">
        <v>29824</v>
      </c>
      <c r="B29825">
        <f>TEXT(29824, "[$-0E0000]yyyy-mm-dd")</f>
        <v/>
      </c>
      <c r="C29825" t="inlineStr">
        <is>
          <t>1981-07-28</t>
        </is>
      </c>
    </row>
    <row r="29826">
      <c r="A29826" s="1" t="n">
        <v>29825</v>
      </c>
      <c r="B29826">
        <f>TEXT(29825, "[$-0E0000]yyyy-mm-dd")</f>
        <v/>
      </c>
      <c r="C29826" t="inlineStr">
        <is>
          <t>1981-07-29</t>
        </is>
      </c>
    </row>
    <row r="29827">
      <c r="A29827" s="1" t="n">
        <v>29826</v>
      </c>
      <c r="B29827">
        <f>TEXT(29826, "[$-0E0000]yyyy-mm-dd")</f>
        <v/>
      </c>
      <c r="C29827" t="inlineStr">
        <is>
          <t>1981-08-01</t>
        </is>
      </c>
    </row>
    <row r="29828">
      <c r="A29828" s="1" t="n">
        <v>29827</v>
      </c>
      <c r="B29828">
        <f>TEXT(29827, "[$-0E0000]yyyy-mm-dd")</f>
        <v/>
      </c>
      <c r="C29828" t="inlineStr">
        <is>
          <t>1981-08-02</t>
        </is>
      </c>
    </row>
    <row r="29829">
      <c r="A29829" s="1" t="n">
        <v>29828</v>
      </c>
      <c r="B29829">
        <f>TEXT(29828, "[$-0E0000]yyyy-mm-dd")</f>
        <v/>
      </c>
      <c r="C29829" t="inlineStr">
        <is>
          <t>1981-08-03</t>
        </is>
      </c>
    </row>
    <row r="29830">
      <c r="A29830" s="1" t="n">
        <v>29829</v>
      </c>
      <c r="B29830">
        <f>TEXT(29829, "[$-0E0000]yyyy-mm-dd")</f>
        <v/>
      </c>
      <c r="C29830" t="inlineStr">
        <is>
          <t>1981-08-04</t>
        </is>
      </c>
    </row>
    <row r="29831">
      <c r="A29831" s="1" t="n">
        <v>29830</v>
      </c>
      <c r="B29831">
        <f>TEXT(29830, "[$-0E0000]yyyy-mm-dd")</f>
        <v/>
      </c>
      <c r="C29831" t="inlineStr">
        <is>
          <t>1981-08-05</t>
        </is>
      </c>
    </row>
    <row r="29832">
      <c r="A29832" s="1" t="n">
        <v>29831</v>
      </c>
      <c r="B29832">
        <f>TEXT(29831, "[$-0E0000]yyyy-mm-dd")</f>
        <v/>
      </c>
      <c r="C29832" t="inlineStr">
        <is>
          <t>1981-08-06</t>
        </is>
      </c>
    </row>
    <row r="29833">
      <c r="A29833" s="1" t="n">
        <v>29832</v>
      </c>
      <c r="B29833">
        <f>TEXT(29832, "[$-0E0000]yyyy-mm-dd")</f>
        <v/>
      </c>
      <c r="C29833" t="inlineStr">
        <is>
          <t>1981-08-07</t>
        </is>
      </c>
    </row>
    <row r="29834">
      <c r="A29834" s="1" t="n">
        <v>29833</v>
      </c>
      <c r="B29834">
        <f>TEXT(29833, "[$-0E0000]yyyy-mm-dd")</f>
        <v/>
      </c>
      <c r="C29834" t="inlineStr">
        <is>
          <t>1981-08-08</t>
        </is>
      </c>
    </row>
    <row r="29835">
      <c r="A29835" s="1" t="n">
        <v>29834</v>
      </c>
      <c r="B29835">
        <f>TEXT(29834, "[$-0E0000]yyyy-mm-dd")</f>
        <v/>
      </c>
      <c r="C29835" t="inlineStr">
        <is>
          <t>1981-08-09</t>
        </is>
      </c>
    </row>
    <row r="29836">
      <c r="A29836" s="1" t="n">
        <v>29835</v>
      </c>
      <c r="B29836">
        <f>TEXT(29835, "[$-0E0000]yyyy-mm-dd")</f>
        <v/>
      </c>
      <c r="C29836" t="inlineStr">
        <is>
          <t>1981-08-10</t>
        </is>
      </c>
    </row>
    <row r="29837">
      <c r="A29837" s="1" t="n">
        <v>29836</v>
      </c>
      <c r="B29837">
        <f>TEXT(29836, "[$-0E0000]yyyy-mm-dd")</f>
        <v/>
      </c>
      <c r="C29837" t="inlineStr">
        <is>
          <t>1981-08-11</t>
        </is>
      </c>
    </row>
    <row r="29838">
      <c r="A29838" s="1" t="n">
        <v>29837</v>
      </c>
      <c r="B29838">
        <f>TEXT(29837, "[$-0E0000]yyyy-mm-dd")</f>
        <v/>
      </c>
      <c r="C29838" t="inlineStr">
        <is>
          <t>1981-08-12</t>
        </is>
      </c>
    </row>
    <row r="29839">
      <c r="A29839" s="1" t="n">
        <v>29838</v>
      </c>
      <c r="B29839">
        <f>TEXT(29838, "[$-0E0000]yyyy-mm-dd")</f>
        <v/>
      </c>
      <c r="C29839" t="inlineStr">
        <is>
          <t>1981-08-13</t>
        </is>
      </c>
    </row>
    <row r="29840">
      <c r="A29840" s="1" t="n">
        <v>29839</v>
      </c>
      <c r="B29840">
        <f>TEXT(29839, "[$-0E0000]yyyy-mm-dd")</f>
        <v/>
      </c>
      <c r="C29840" t="inlineStr">
        <is>
          <t>1981-08-14</t>
        </is>
      </c>
    </row>
    <row r="29841">
      <c r="A29841" s="1" t="n">
        <v>29840</v>
      </c>
      <c r="B29841">
        <f>TEXT(29840, "[$-0E0000]yyyy-mm-dd")</f>
        <v/>
      </c>
      <c r="C29841" t="inlineStr">
        <is>
          <t>1981-08-15</t>
        </is>
      </c>
    </row>
    <row r="29842">
      <c r="A29842" s="1" t="n">
        <v>29841</v>
      </c>
      <c r="B29842">
        <f>TEXT(29841, "[$-0E0000]yyyy-mm-dd")</f>
        <v/>
      </c>
      <c r="C29842" t="inlineStr">
        <is>
          <t>1981-08-16</t>
        </is>
      </c>
    </row>
    <row r="29843">
      <c r="A29843" s="1" t="n">
        <v>29842</v>
      </c>
      <c r="B29843">
        <f>TEXT(29842, "[$-0E0000]yyyy-mm-dd")</f>
        <v/>
      </c>
      <c r="C29843" t="inlineStr">
        <is>
          <t>1981-08-17</t>
        </is>
      </c>
    </row>
    <row r="29844">
      <c r="A29844" s="1" t="n">
        <v>29843</v>
      </c>
      <c r="B29844">
        <f>TEXT(29843, "[$-0E0000]yyyy-mm-dd")</f>
        <v/>
      </c>
      <c r="C29844" t="inlineStr">
        <is>
          <t>1981-08-18</t>
        </is>
      </c>
    </row>
    <row r="29845">
      <c r="A29845" s="1" t="n">
        <v>29844</v>
      </c>
      <c r="B29845">
        <f>TEXT(29844, "[$-0E0000]yyyy-mm-dd")</f>
        <v/>
      </c>
      <c r="C29845" t="inlineStr">
        <is>
          <t>1981-08-19</t>
        </is>
      </c>
    </row>
    <row r="29846">
      <c r="A29846" s="1" t="n">
        <v>29845</v>
      </c>
      <c r="B29846">
        <f>TEXT(29845, "[$-0E0000]yyyy-mm-dd")</f>
        <v/>
      </c>
      <c r="C29846" t="inlineStr">
        <is>
          <t>1981-08-20</t>
        </is>
      </c>
    </row>
    <row r="29847">
      <c r="A29847" s="1" t="n">
        <v>29846</v>
      </c>
      <c r="B29847">
        <f>TEXT(29846, "[$-0E0000]yyyy-mm-dd")</f>
        <v/>
      </c>
      <c r="C29847" t="inlineStr">
        <is>
          <t>1981-08-21</t>
        </is>
      </c>
    </row>
    <row r="29848">
      <c r="A29848" s="1" t="n">
        <v>29847</v>
      </c>
      <c r="B29848">
        <f>TEXT(29847, "[$-0E0000]yyyy-mm-dd")</f>
        <v/>
      </c>
      <c r="C29848" t="inlineStr">
        <is>
          <t>1981-08-22</t>
        </is>
      </c>
    </row>
    <row r="29849">
      <c r="A29849" s="1" t="n">
        <v>29848</v>
      </c>
      <c r="B29849">
        <f>TEXT(29848, "[$-0E0000]yyyy-mm-dd")</f>
        <v/>
      </c>
      <c r="C29849" t="inlineStr">
        <is>
          <t>1981-08-23</t>
        </is>
      </c>
    </row>
    <row r="29850">
      <c r="A29850" s="1" t="n">
        <v>29849</v>
      </c>
      <c r="B29850">
        <f>TEXT(29849, "[$-0E0000]yyyy-mm-dd")</f>
        <v/>
      </c>
      <c r="C29850" t="inlineStr">
        <is>
          <t>1981-08-24</t>
        </is>
      </c>
    </row>
    <row r="29851">
      <c r="A29851" s="1" t="n">
        <v>29850</v>
      </c>
      <c r="B29851">
        <f>TEXT(29850, "[$-0E0000]yyyy-mm-dd")</f>
        <v/>
      </c>
      <c r="C29851" t="inlineStr">
        <is>
          <t>1981-08-25</t>
        </is>
      </c>
    </row>
    <row r="29852">
      <c r="A29852" s="1" t="n">
        <v>29851</v>
      </c>
      <c r="B29852">
        <f>TEXT(29851, "[$-0E0000]yyyy-mm-dd")</f>
        <v/>
      </c>
      <c r="C29852" t="inlineStr">
        <is>
          <t>1981-08-26</t>
        </is>
      </c>
    </row>
    <row r="29853">
      <c r="A29853" s="1" t="n">
        <v>29852</v>
      </c>
      <c r="B29853">
        <f>TEXT(29852, "[$-0E0000]yyyy-mm-dd")</f>
        <v/>
      </c>
      <c r="C29853" t="inlineStr">
        <is>
          <t>1981-08-27</t>
        </is>
      </c>
    </row>
    <row r="29854">
      <c r="A29854" s="1" t="n">
        <v>29853</v>
      </c>
      <c r="B29854">
        <f>TEXT(29853, "[$-0E0000]yyyy-mm-dd")</f>
        <v/>
      </c>
      <c r="C29854" t="inlineStr">
        <is>
          <t>1981-08-28</t>
        </is>
      </c>
    </row>
    <row r="29855">
      <c r="A29855" s="1" t="n">
        <v>29854</v>
      </c>
      <c r="B29855">
        <f>TEXT(29854, "[$-0E0000]yyyy-mm-dd")</f>
        <v/>
      </c>
      <c r="C29855" t="inlineStr">
        <is>
          <t>1981-08-29</t>
        </is>
      </c>
    </row>
    <row r="29856">
      <c r="A29856" s="1" t="n">
        <v>29855</v>
      </c>
      <c r="B29856">
        <f>TEXT(29855, "[$-0E0000]yyyy-mm-dd")</f>
        <v/>
      </c>
      <c r="C29856" t="inlineStr">
        <is>
          <t>1981-08-30</t>
        </is>
      </c>
    </row>
    <row r="29857">
      <c r="A29857" s="1" t="n">
        <v>29856</v>
      </c>
      <c r="B29857">
        <f>TEXT(29856, "[$-0E0000]yyyy-mm-dd")</f>
        <v/>
      </c>
      <c r="C29857" t="inlineStr">
        <is>
          <t>1981-09-01</t>
        </is>
      </c>
    </row>
    <row r="29858">
      <c r="A29858" s="1" t="n">
        <v>29857</v>
      </c>
      <c r="B29858">
        <f>TEXT(29857, "[$-0E0000]yyyy-mm-dd")</f>
        <v/>
      </c>
      <c r="C29858" t="inlineStr">
        <is>
          <t>1981-09-02</t>
        </is>
      </c>
    </row>
    <row r="29859">
      <c r="A29859" s="1" t="n">
        <v>29858</v>
      </c>
      <c r="B29859">
        <f>TEXT(29858, "[$-0E0000]yyyy-mm-dd")</f>
        <v/>
      </c>
      <c r="C29859" t="inlineStr">
        <is>
          <t>1981-09-03</t>
        </is>
      </c>
    </row>
    <row r="29860">
      <c r="A29860" s="1" t="n">
        <v>29859</v>
      </c>
      <c r="B29860">
        <f>TEXT(29859, "[$-0E0000]yyyy-mm-dd")</f>
        <v/>
      </c>
      <c r="C29860" t="inlineStr">
        <is>
          <t>1981-09-04</t>
        </is>
      </c>
    </row>
    <row r="29861">
      <c r="A29861" s="1" t="n">
        <v>29860</v>
      </c>
      <c r="B29861">
        <f>TEXT(29860, "[$-0E0000]yyyy-mm-dd")</f>
        <v/>
      </c>
      <c r="C29861" t="inlineStr">
        <is>
          <t>1981-09-05</t>
        </is>
      </c>
    </row>
    <row r="29862">
      <c r="A29862" s="1" t="n">
        <v>29861</v>
      </c>
      <c r="B29862">
        <f>TEXT(29861, "[$-0E0000]yyyy-mm-dd")</f>
        <v/>
      </c>
      <c r="C29862" t="inlineStr">
        <is>
          <t>1981-09-06</t>
        </is>
      </c>
    </row>
    <row r="29863">
      <c r="A29863" s="1" t="n">
        <v>29862</v>
      </c>
      <c r="B29863">
        <f>TEXT(29862, "[$-0E0000]yyyy-mm-dd")</f>
        <v/>
      </c>
      <c r="C29863" t="inlineStr">
        <is>
          <t>1981-09-07</t>
        </is>
      </c>
    </row>
    <row r="29864">
      <c r="A29864" s="1" t="n">
        <v>29863</v>
      </c>
      <c r="B29864">
        <f>TEXT(29863, "[$-0E0000]yyyy-mm-dd")</f>
        <v/>
      </c>
      <c r="C29864" t="inlineStr">
        <is>
          <t>1981-09-08</t>
        </is>
      </c>
    </row>
    <row r="29865">
      <c r="A29865" s="1" t="n">
        <v>29864</v>
      </c>
      <c r="B29865">
        <f>TEXT(29864, "[$-0E0000]yyyy-mm-dd")</f>
        <v/>
      </c>
      <c r="C29865" t="inlineStr">
        <is>
          <t>1981-09-09</t>
        </is>
      </c>
    </row>
    <row r="29866">
      <c r="A29866" s="1" t="n">
        <v>29865</v>
      </c>
      <c r="B29866">
        <f>TEXT(29865, "[$-0E0000]yyyy-mm-dd")</f>
        <v/>
      </c>
      <c r="C29866" t="inlineStr">
        <is>
          <t>1981-09-10</t>
        </is>
      </c>
    </row>
    <row r="29867">
      <c r="A29867" s="1" t="n">
        <v>29866</v>
      </c>
      <c r="B29867">
        <f>TEXT(29866, "[$-0E0000]yyyy-mm-dd")</f>
        <v/>
      </c>
      <c r="C29867" t="inlineStr">
        <is>
          <t>1981-09-11</t>
        </is>
      </c>
    </row>
    <row r="29868">
      <c r="A29868" s="1" t="n">
        <v>29867</v>
      </c>
      <c r="B29868">
        <f>TEXT(29867, "[$-0E0000]yyyy-mm-dd")</f>
        <v/>
      </c>
      <c r="C29868" t="inlineStr">
        <is>
          <t>1981-09-12</t>
        </is>
      </c>
    </row>
    <row r="29869">
      <c r="A29869" s="1" t="n">
        <v>29868</v>
      </c>
      <c r="B29869">
        <f>TEXT(29868, "[$-0E0000]yyyy-mm-dd")</f>
        <v/>
      </c>
      <c r="C29869" t="inlineStr">
        <is>
          <t>1981-09-13</t>
        </is>
      </c>
    </row>
    <row r="29870">
      <c r="A29870" s="1" t="n">
        <v>29869</v>
      </c>
      <c r="B29870">
        <f>TEXT(29869, "[$-0E0000]yyyy-mm-dd")</f>
        <v/>
      </c>
      <c r="C29870" t="inlineStr">
        <is>
          <t>1981-09-14</t>
        </is>
      </c>
    </row>
    <row r="29871">
      <c r="A29871" s="1" t="n">
        <v>29870</v>
      </c>
      <c r="B29871">
        <f>TEXT(29870, "[$-0E0000]yyyy-mm-dd")</f>
        <v/>
      </c>
      <c r="C29871" t="inlineStr">
        <is>
          <t>1981-09-15</t>
        </is>
      </c>
    </row>
    <row r="29872">
      <c r="A29872" s="1" t="n">
        <v>29871</v>
      </c>
      <c r="B29872">
        <f>TEXT(29871, "[$-0E0000]yyyy-mm-dd")</f>
        <v/>
      </c>
      <c r="C29872" t="inlineStr">
        <is>
          <t>1981-09-16</t>
        </is>
      </c>
    </row>
    <row r="29873">
      <c r="A29873" s="1" t="n">
        <v>29872</v>
      </c>
      <c r="B29873">
        <f>TEXT(29872, "[$-0E0000]yyyy-mm-dd")</f>
        <v/>
      </c>
      <c r="C29873" t="inlineStr">
        <is>
          <t>1981-09-17</t>
        </is>
      </c>
    </row>
    <row r="29874">
      <c r="A29874" s="1" t="n">
        <v>29873</v>
      </c>
      <c r="B29874">
        <f>TEXT(29873, "[$-0E0000]yyyy-mm-dd")</f>
        <v/>
      </c>
      <c r="C29874" t="inlineStr">
        <is>
          <t>1981-09-18</t>
        </is>
      </c>
    </row>
    <row r="29875">
      <c r="A29875" s="1" t="n">
        <v>29874</v>
      </c>
      <c r="B29875">
        <f>TEXT(29874, "[$-0E0000]yyyy-mm-dd")</f>
        <v/>
      </c>
      <c r="C29875" t="inlineStr">
        <is>
          <t>1981-09-19</t>
        </is>
      </c>
    </row>
    <row r="29876">
      <c r="A29876" s="1" t="n">
        <v>29875</v>
      </c>
      <c r="B29876">
        <f>TEXT(29875, "[$-0E0000]yyyy-mm-dd")</f>
        <v/>
      </c>
      <c r="C29876" t="inlineStr">
        <is>
          <t>1981-09-20</t>
        </is>
      </c>
    </row>
    <row r="29877">
      <c r="A29877" s="1" t="n">
        <v>29876</v>
      </c>
      <c r="B29877">
        <f>TEXT(29876, "[$-0E0000]yyyy-mm-dd")</f>
        <v/>
      </c>
      <c r="C29877" t="inlineStr">
        <is>
          <t>1981-09-21</t>
        </is>
      </c>
    </row>
    <row r="29878">
      <c r="A29878" s="1" t="n">
        <v>29877</v>
      </c>
      <c r="B29878">
        <f>TEXT(29877, "[$-0E0000]yyyy-mm-dd")</f>
        <v/>
      </c>
      <c r="C29878" t="inlineStr">
        <is>
          <t>1981-09-22</t>
        </is>
      </c>
    </row>
    <row r="29879">
      <c r="A29879" s="1" t="n">
        <v>29878</v>
      </c>
      <c r="B29879">
        <f>TEXT(29878, "[$-0E0000]yyyy-mm-dd")</f>
        <v/>
      </c>
      <c r="C29879" t="inlineStr">
        <is>
          <t>1981-09-23</t>
        </is>
      </c>
    </row>
    <row r="29880">
      <c r="A29880" s="1" t="n">
        <v>29879</v>
      </c>
      <c r="B29880">
        <f>TEXT(29879, "[$-0E0000]yyyy-mm-dd")</f>
        <v/>
      </c>
      <c r="C29880" t="inlineStr">
        <is>
          <t>1981-09-24</t>
        </is>
      </c>
    </row>
    <row r="29881">
      <c r="A29881" s="1" t="n">
        <v>29880</v>
      </c>
      <c r="B29881">
        <f>TEXT(29880, "[$-0E0000]yyyy-mm-dd")</f>
        <v/>
      </c>
      <c r="C29881" t="inlineStr">
        <is>
          <t>1981-09-25</t>
        </is>
      </c>
    </row>
    <row r="29882">
      <c r="A29882" s="1" t="n">
        <v>29881</v>
      </c>
      <c r="B29882">
        <f>TEXT(29881, "[$-0E0000]yyyy-mm-dd")</f>
        <v/>
      </c>
      <c r="C29882" t="inlineStr">
        <is>
          <t>1981-09-26</t>
        </is>
      </c>
    </row>
    <row r="29883">
      <c r="A29883" s="1" t="n">
        <v>29882</v>
      </c>
      <c r="B29883">
        <f>TEXT(29882, "[$-0E0000]yyyy-mm-dd")</f>
        <v/>
      </c>
      <c r="C29883" t="inlineStr">
        <is>
          <t>1981-09-27</t>
        </is>
      </c>
    </row>
    <row r="29884">
      <c r="A29884" s="1" t="n">
        <v>29883</v>
      </c>
      <c r="B29884">
        <f>TEXT(29883, "[$-0E0000]yyyy-mm-dd")</f>
        <v/>
      </c>
      <c r="C29884" t="inlineStr">
        <is>
          <t>1981-09-28</t>
        </is>
      </c>
    </row>
    <row r="29885">
      <c r="A29885" s="1" t="n">
        <v>29884</v>
      </c>
      <c r="B29885">
        <f>TEXT(29884, "[$-0E0000]yyyy-mm-dd")</f>
        <v/>
      </c>
      <c r="C29885" t="inlineStr">
        <is>
          <t>1981-09-29</t>
        </is>
      </c>
    </row>
    <row r="29886">
      <c r="A29886" s="1" t="n">
        <v>29885</v>
      </c>
      <c r="B29886">
        <f>TEXT(29885, "[$-0E0000]yyyy-mm-dd")</f>
        <v/>
      </c>
      <c r="C29886" t="inlineStr">
        <is>
          <t>1981-09-30</t>
        </is>
      </c>
    </row>
    <row r="29887">
      <c r="A29887" s="1" t="n">
        <v>29886</v>
      </c>
      <c r="B29887">
        <f>TEXT(29886, "[$-0E0000]yyyy-mm-dd")</f>
        <v/>
      </c>
      <c r="C29887" t="inlineStr">
        <is>
          <t>1981-10-01</t>
        </is>
      </c>
    </row>
    <row r="29888">
      <c r="A29888" s="1" t="n">
        <v>29887</v>
      </c>
      <c r="B29888">
        <f>TEXT(29887, "[$-0E0000]yyyy-mm-dd")</f>
        <v/>
      </c>
      <c r="C29888" t="inlineStr">
        <is>
          <t>1981-10-02</t>
        </is>
      </c>
    </row>
    <row r="29889">
      <c r="A29889" s="1" t="n">
        <v>29888</v>
      </c>
      <c r="B29889">
        <f>TEXT(29888, "[$-0E0000]yyyy-mm-dd")</f>
        <v/>
      </c>
      <c r="C29889" t="inlineStr">
        <is>
          <t>1981-10-03</t>
        </is>
      </c>
    </row>
    <row r="29890">
      <c r="A29890" s="1" t="n">
        <v>29889</v>
      </c>
      <c r="B29890">
        <f>TEXT(29889, "[$-0E0000]yyyy-mm-dd")</f>
        <v/>
      </c>
      <c r="C29890" t="inlineStr">
        <is>
          <t>1981-10-04</t>
        </is>
      </c>
    </row>
    <row r="29891">
      <c r="A29891" s="1" t="n">
        <v>29890</v>
      </c>
      <c r="B29891">
        <f>TEXT(29890, "[$-0E0000]yyyy-mm-dd")</f>
        <v/>
      </c>
      <c r="C29891" t="inlineStr">
        <is>
          <t>1981-10-05</t>
        </is>
      </c>
    </row>
    <row r="29892">
      <c r="A29892" s="1" t="n">
        <v>29891</v>
      </c>
      <c r="B29892">
        <f>TEXT(29891, "[$-0E0000]yyyy-mm-dd")</f>
        <v/>
      </c>
      <c r="C29892" t="inlineStr">
        <is>
          <t>1981-10-06</t>
        </is>
      </c>
    </row>
    <row r="29893">
      <c r="A29893" s="1" t="n">
        <v>29892</v>
      </c>
      <c r="B29893">
        <f>TEXT(29892, "[$-0E0000]yyyy-mm-dd")</f>
        <v/>
      </c>
      <c r="C29893" t="inlineStr">
        <is>
          <t>1981-10-07</t>
        </is>
      </c>
    </row>
    <row r="29894">
      <c r="A29894" s="1" t="n">
        <v>29893</v>
      </c>
      <c r="B29894">
        <f>TEXT(29893, "[$-0E0000]yyyy-mm-dd")</f>
        <v/>
      </c>
      <c r="C29894" t="inlineStr">
        <is>
          <t>1981-10-08</t>
        </is>
      </c>
    </row>
    <row r="29895">
      <c r="A29895" s="1" t="n">
        <v>29894</v>
      </c>
      <c r="B29895">
        <f>TEXT(29894, "[$-0E0000]yyyy-mm-dd")</f>
        <v/>
      </c>
      <c r="C29895" t="inlineStr">
        <is>
          <t>1981-10-09</t>
        </is>
      </c>
    </row>
    <row r="29896">
      <c r="A29896" s="1" t="n">
        <v>29895</v>
      </c>
      <c r="B29896">
        <f>TEXT(29895, "[$-0E0000]yyyy-mm-dd")</f>
        <v/>
      </c>
      <c r="C29896" t="inlineStr">
        <is>
          <t>1981-10-10</t>
        </is>
      </c>
    </row>
    <row r="29897">
      <c r="A29897" s="1" t="n">
        <v>29896</v>
      </c>
      <c r="B29897">
        <f>TEXT(29896, "[$-0E0000]yyyy-mm-dd")</f>
        <v/>
      </c>
      <c r="C29897" t="inlineStr">
        <is>
          <t>1981-10-11</t>
        </is>
      </c>
    </row>
    <row r="29898">
      <c r="A29898" s="1" t="n">
        <v>29897</v>
      </c>
      <c r="B29898">
        <f>TEXT(29897, "[$-0E0000]yyyy-mm-dd")</f>
        <v/>
      </c>
      <c r="C29898" t="inlineStr">
        <is>
          <t>1981-10-12</t>
        </is>
      </c>
    </row>
    <row r="29899">
      <c r="A29899" s="1" t="n">
        <v>29898</v>
      </c>
      <c r="B29899">
        <f>TEXT(29898, "[$-0E0000]yyyy-mm-dd")</f>
        <v/>
      </c>
      <c r="C29899" t="inlineStr">
        <is>
          <t>1981-10-13</t>
        </is>
      </c>
    </row>
    <row r="29900">
      <c r="A29900" s="1" t="n">
        <v>29899</v>
      </c>
      <c r="B29900">
        <f>TEXT(29899, "[$-0E0000]yyyy-mm-dd")</f>
        <v/>
      </c>
      <c r="C29900" t="inlineStr">
        <is>
          <t>1981-10-14</t>
        </is>
      </c>
    </row>
    <row r="29901">
      <c r="A29901" s="1" t="n">
        <v>29900</v>
      </c>
      <c r="B29901">
        <f>TEXT(29900, "[$-0E0000]yyyy-mm-dd")</f>
        <v/>
      </c>
      <c r="C29901" t="inlineStr">
        <is>
          <t>1981-10-15</t>
        </is>
      </c>
    </row>
    <row r="29902">
      <c r="A29902" s="1" t="n">
        <v>29901</v>
      </c>
      <c r="B29902">
        <f>TEXT(29901, "[$-0E0000]yyyy-mm-dd")</f>
        <v/>
      </c>
      <c r="C29902" t="inlineStr">
        <is>
          <t>1981-10-16</t>
        </is>
      </c>
    </row>
    <row r="29903">
      <c r="A29903" s="1" t="n">
        <v>29902</v>
      </c>
      <c r="B29903">
        <f>TEXT(29902, "[$-0E0000]yyyy-mm-dd")</f>
        <v/>
      </c>
      <c r="C29903" t="inlineStr">
        <is>
          <t>1981-10-17</t>
        </is>
      </c>
    </row>
    <row r="29904">
      <c r="A29904" s="1" t="n">
        <v>29903</v>
      </c>
      <c r="B29904">
        <f>TEXT(29903, "[$-0E0000]yyyy-mm-dd")</f>
        <v/>
      </c>
      <c r="C29904" t="inlineStr">
        <is>
          <t>1981-10-18</t>
        </is>
      </c>
    </row>
    <row r="29905">
      <c r="A29905" s="1" t="n">
        <v>29904</v>
      </c>
      <c r="B29905">
        <f>TEXT(29904, "[$-0E0000]yyyy-mm-dd")</f>
        <v/>
      </c>
      <c r="C29905" t="inlineStr">
        <is>
          <t>1981-10-19</t>
        </is>
      </c>
    </row>
    <row r="29906">
      <c r="A29906" s="1" t="n">
        <v>29905</v>
      </c>
      <c r="B29906">
        <f>TEXT(29905, "[$-0E0000]yyyy-mm-dd")</f>
        <v/>
      </c>
      <c r="C29906" t="inlineStr">
        <is>
          <t>1981-10-20</t>
        </is>
      </c>
    </row>
    <row r="29907">
      <c r="A29907" s="1" t="n">
        <v>29906</v>
      </c>
      <c r="B29907">
        <f>TEXT(29906, "[$-0E0000]yyyy-mm-dd")</f>
        <v/>
      </c>
      <c r="C29907" t="inlineStr">
        <is>
          <t>1981-10-21</t>
        </is>
      </c>
    </row>
    <row r="29908">
      <c r="A29908" s="1" t="n">
        <v>29907</v>
      </c>
      <c r="B29908">
        <f>TEXT(29907, "[$-0E0000]yyyy-mm-dd")</f>
        <v/>
      </c>
      <c r="C29908" t="inlineStr">
        <is>
          <t>1981-10-22</t>
        </is>
      </c>
    </row>
    <row r="29909">
      <c r="A29909" s="1" t="n">
        <v>29908</v>
      </c>
      <c r="B29909">
        <f>TEXT(29908, "[$-0E0000]yyyy-mm-dd")</f>
        <v/>
      </c>
      <c r="C29909" t="inlineStr">
        <is>
          <t>1981-10-23</t>
        </is>
      </c>
    </row>
    <row r="29910">
      <c r="A29910" s="1" t="n">
        <v>29909</v>
      </c>
      <c r="B29910">
        <f>TEXT(29909, "[$-0E0000]yyyy-mm-dd")</f>
        <v/>
      </c>
      <c r="C29910" t="inlineStr">
        <is>
          <t>1981-10-24</t>
        </is>
      </c>
    </row>
    <row r="29911">
      <c r="A29911" s="1" t="n">
        <v>29910</v>
      </c>
      <c r="B29911">
        <f>TEXT(29910, "[$-0E0000]yyyy-mm-dd")</f>
        <v/>
      </c>
      <c r="C29911" t="inlineStr">
        <is>
          <t>1981-10-25</t>
        </is>
      </c>
    </row>
    <row r="29912">
      <c r="A29912" s="1" t="n">
        <v>29911</v>
      </c>
      <c r="B29912">
        <f>TEXT(29911, "[$-0E0000]yyyy-mm-dd")</f>
        <v/>
      </c>
      <c r="C29912" t="inlineStr">
        <is>
          <t>1981-10-26</t>
        </is>
      </c>
    </row>
    <row r="29913">
      <c r="A29913" s="1" t="n">
        <v>29912</v>
      </c>
      <c r="B29913">
        <f>TEXT(29912, "[$-0E0000]yyyy-mm-dd")</f>
        <v/>
      </c>
      <c r="C29913" t="inlineStr">
        <is>
          <t>1981-10-27</t>
        </is>
      </c>
    </row>
    <row r="29914">
      <c r="A29914" s="1" t="n">
        <v>29913</v>
      </c>
      <c r="B29914">
        <f>TEXT(29913, "[$-0E0000]yyyy-mm-dd")</f>
        <v/>
      </c>
      <c r="C29914" t="inlineStr">
        <is>
          <t>1981-10-28</t>
        </is>
      </c>
    </row>
    <row r="29915">
      <c r="A29915" s="1" t="n">
        <v>29914</v>
      </c>
      <c r="B29915">
        <f>TEXT(29914, "[$-0E0000]yyyy-mm-dd")</f>
        <v/>
      </c>
      <c r="C29915" t="inlineStr">
        <is>
          <t>1981-10-29</t>
        </is>
      </c>
    </row>
    <row r="29916">
      <c r="A29916" s="1" t="n">
        <v>29915</v>
      </c>
      <c r="B29916">
        <f>TEXT(29915, "[$-0E0000]yyyy-mm-dd")</f>
        <v/>
      </c>
      <c r="C29916" t="inlineStr">
        <is>
          <t>1981-11-01</t>
        </is>
      </c>
    </row>
    <row r="29917">
      <c r="A29917" s="1" t="n">
        <v>29916</v>
      </c>
      <c r="B29917">
        <f>TEXT(29916, "[$-0E0000]yyyy-mm-dd")</f>
        <v/>
      </c>
      <c r="C29917" t="inlineStr">
        <is>
          <t>1981-11-02</t>
        </is>
      </c>
    </row>
    <row r="29918">
      <c r="A29918" s="1" t="n">
        <v>29917</v>
      </c>
      <c r="B29918">
        <f>TEXT(29917, "[$-0E0000]yyyy-mm-dd")</f>
        <v/>
      </c>
      <c r="C29918" t="inlineStr">
        <is>
          <t>1981-11-03</t>
        </is>
      </c>
    </row>
    <row r="29919">
      <c r="A29919" s="1" t="n">
        <v>29918</v>
      </c>
      <c r="B29919">
        <f>TEXT(29918, "[$-0E0000]yyyy-mm-dd")</f>
        <v/>
      </c>
      <c r="C29919" t="inlineStr">
        <is>
          <t>1981-11-04</t>
        </is>
      </c>
    </row>
    <row r="29920">
      <c r="A29920" s="1" t="n">
        <v>29919</v>
      </c>
      <c r="B29920">
        <f>TEXT(29919, "[$-0E0000]yyyy-mm-dd")</f>
        <v/>
      </c>
      <c r="C29920" t="inlineStr">
        <is>
          <t>1981-11-05</t>
        </is>
      </c>
    </row>
    <row r="29921">
      <c r="A29921" s="1" t="n">
        <v>29920</v>
      </c>
      <c r="B29921">
        <f>TEXT(29920, "[$-0E0000]yyyy-mm-dd")</f>
        <v/>
      </c>
      <c r="C29921" t="inlineStr">
        <is>
          <t>1981-11-06</t>
        </is>
      </c>
    </row>
    <row r="29922">
      <c r="A29922" s="1" t="n">
        <v>29921</v>
      </c>
      <c r="B29922">
        <f>TEXT(29921, "[$-0E0000]yyyy-mm-dd")</f>
        <v/>
      </c>
      <c r="C29922" t="inlineStr">
        <is>
          <t>1981-11-07</t>
        </is>
      </c>
    </row>
    <row r="29923">
      <c r="A29923" s="1" t="n">
        <v>29922</v>
      </c>
      <c r="B29923">
        <f>TEXT(29922, "[$-0E0000]yyyy-mm-dd")</f>
        <v/>
      </c>
      <c r="C29923" t="inlineStr">
        <is>
          <t>1981-11-08</t>
        </is>
      </c>
    </row>
    <row r="29924">
      <c r="A29924" s="1" t="n">
        <v>29923</v>
      </c>
      <c r="B29924">
        <f>TEXT(29923, "[$-0E0000]yyyy-mm-dd")</f>
        <v/>
      </c>
      <c r="C29924" t="inlineStr">
        <is>
          <t>1981-11-09</t>
        </is>
      </c>
    </row>
    <row r="29925">
      <c r="A29925" s="1" t="n">
        <v>29924</v>
      </c>
      <c r="B29925">
        <f>TEXT(29924, "[$-0E0000]yyyy-mm-dd")</f>
        <v/>
      </c>
      <c r="C29925" t="inlineStr">
        <is>
          <t>1981-11-10</t>
        </is>
      </c>
    </row>
    <row r="29926">
      <c r="A29926" s="1" t="n">
        <v>29925</v>
      </c>
      <c r="B29926">
        <f>TEXT(29925, "[$-0E0000]yyyy-mm-dd")</f>
        <v/>
      </c>
      <c r="C29926" t="inlineStr">
        <is>
          <t>1981-11-11</t>
        </is>
      </c>
    </row>
    <row r="29927">
      <c r="A29927" s="1" t="n">
        <v>29926</v>
      </c>
      <c r="B29927">
        <f>TEXT(29926, "[$-0E0000]yyyy-mm-dd")</f>
        <v/>
      </c>
      <c r="C29927" t="inlineStr">
        <is>
          <t>1981-11-12</t>
        </is>
      </c>
    </row>
    <row r="29928">
      <c r="A29928" s="1" t="n">
        <v>29927</v>
      </c>
      <c r="B29928">
        <f>TEXT(29927, "[$-0E0000]yyyy-mm-dd")</f>
        <v/>
      </c>
      <c r="C29928" t="inlineStr">
        <is>
          <t>1981-11-13</t>
        </is>
      </c>
    </row>
    <row r="29929">
      <c r="A29929" s="1" t="n">
        <v>29928</v>
      </c>
      <c r="B29929">
        <f>TEXT(29928, "[$-0E0000]yyyy-mm-dd")</f>
        <v/>
      </c>
      <c r="C29929" t="inlineStr">
        <is>
          <t>1981-11-14</t>
        </is>
      </c>
    </row>
    <row r="29930">
      <c r="A29930" s="1" t="n">
        <v>29929</v>
      </c>
      <c r="B29930">
        <f>TEXT(29929, "[$-0E0000]yyyy-mm-dd")</f>
        <v/>
      </c>
      <c r="C29930" t="inlineStr">
        <is>
          <t>1981-11-15</t>
        </is>
      </c>
    </row>
    <row r="29931">
      <c r="A29931" s="1" t="n">
        <v>29930</v>
      </c>
      <c r="B29931">
        <f>TEXT(29930, "[$-0E0000]yyyy-mm-dd")</f>
        <v/>
      </c>
      <c r="C29931" t="inlineStr">
        <is>
          <t>1981-11-16</t>
        </is>
      </c>
    </row>
    <row r="29932">
      <c r="A29932" s="1" t="n">
        <v>29931</v>
      </c>
      <c r="B29932">
        <f>TEXT(29931, "[$-0E0000]yyyy-mm-dd")</f>
        <v/>
      </c>
      <c r="C29932" t="inlineStr">
        <is>
          <t>1981-11-17</t>
        </is>
      </c>
    </row>
    <row r="29933">
      <c r="A29933" s="1" t="n">
        <v>29932</v>
      </c>
      <c r="B29933">
        <f>TEXT(29932, "[$-0E0000]yyyy-mm-dd")</f>
        <v/>
      </c>
      <c r="C29933" t="inlineStr">
        <is>
          <t>1981-11-18</t>
        </is>
      </c>
    </row>
    <row r="29934">
      <c r="A29934" s="1" t="n">
        <v>29933</v>
      </c>
      <c r="B29934">
        <f>TEXT(29933, "[$-0E0000]yyyy-mm-dd")</f>
        <v/>
      </c>
      <c r="C29934" t="inlineStr">
        <is>
          <t>1981-11-19</t>
        </is>
      </c>
    </row>
    <row r="29935">
      <c r="A29935" s="1" t="n">
        <v>29934</v>
      </c>
      <c r="B29935">
        <f>TEXT(29934, "[$-0E0000]yyyy-mm-dd")</f>
        <v/>
      </c>
      <c r="C29935" t="inlineStr">
        <is>
          <t>1981-11-20</t>
        </is>
      </c>
    </row>
    <row r="29936">
      <c r="A29936" s="1" t="n">
        <v>29935</v>
      </c>
      <c r="B29936">
        <f>TEXT(29935, "[$-0E0000]yyyy-mm-dd")</f>
        <v/>
      </c>
      <c r="C29936" t="inlineStr">
        <is>
          <t>1981-11-21</t>
        </is>
      </c>
    </row>
    <row r="29937">
      <c r="A29937" s="1" t="n">
        <v>29936</v>
      </c>
      <c r="B29937">
        <f>TEXT(29936, "[$-0E0000]yyyy-mm-dd")</f>
        <v/>
      </c>
      <c r="C29937" t="inlineStr">
        <is>
          <t>1981-11-22</t>
        </is>
      </c>
    </row>
    <row r="29938">
      <c r="A29938" s="1" t="n">
        <v>29937</v>
      </c>
      <c r="B29938">
        <f>TEXT(29937, "[$-0E0000]yyyy-mm-dd")</f>
        <v/>
      </c>
      <c r="C29938" t="inlineStr">
        <is>
          <t>1981-11-23</t>
        </is>
      </c>
    </row>
    <row r="29939">
      <c r="A29939" s="1" t="n">
        <v>29938</v>
      </c>
      <c r="B29939">
        <f>TEXT(29938, "[$-0E0000]yyyy-mm-dd")</f>
        <v/>
      </c>
      <c r="C29939" t="inlineStr">
        <is>
          <t>1981-11-24</t>
        </is>
      </c>
    </row>
    <row r="29940">
      <c r="A29940" s="1" t="n">
        <v>29939</v>
      </c>
      <c r="B29940">
        <f>TEXT(29939, "[$-0E0000]yyyy-mm-dd")</f>
        <v/>
      </c>
      <c r="C29940" t="inlineStr">
        <is>
          <t>1981-11-25</t>
        </is>
      </c>
    </row>
    <row r="29941">
      <c r="A29941" s="1" t="n">
        <v>29940</v>
      </c>
      <c r="B29941">
        <f>TEXT(29940, "[$-0E0000]yyyy-mm-dd")</f>
        <v/>
      </c>
      <c r="C29941" t="inlineStr">
        <is>
          <t>1981-11-26</t>
        </is>
      </c>
    </row>
    <row r="29942">
      <c r="A29942" s="1" t="n">
        <v>29941</v>
      </c>
      <c r="B29942">
        <f>TEXT(29941, "[$-0E0000]yyyy-mm-dd")</f>
        <v/>
      </c>
      <c r="C29942" t="inlineStr">
        <is>
          <t>1981-11-27</t>
        </is>
      </c>
    </row>
    <row r="29943">
      <c r="A29943" s="1" t="n">
        <v>29942</v>
      </c>
      <c r="B29943">
        <f>TEXT(29942, "[$-0E0000]yyyy-mm-dd")</f>
        <v/>
      </c>
      <c r="C29943" t="inlineStr">
        <is>
          <t>1981-11-28</t>
        </is>
      </c>
    </row>
    <row r="29944">
      <c r="A29944" s="1" t="n">
        <v>29943</v>
      </c>
      <c r="B29944">
        <f>TEXT(29943, "[$-0E0000]yyyy-mm-dd")</f>
        <v/>
      </c>
      <c r="C29944" t="inlineStr">
        <is>
          <t>1981-11-29</t>
        </is>
      </c>
    </row>
    <row r="29945">
      <c r="A29945" s="1" t="n">
        <v>29944</v>
      </c>
      <c r="B29945">
        <f>TEXT(29944, "[$-0E0000]yyyy-mm-dd")</f>
        <v/>
      </c>
      <c r="C29945" t="inlineStr">
        <is>
          <t>1981-11-30</t>
        </is>
      </c>
    </row>
    <row r="29946">
      <c r="A29946" s="1" t="n">
        <v>29945</v>
      </c>
      <c r="B29946">
        <f>TEXT(29945, "[$-0E0000]yyyy-mm-dd")</f>
        <v/>
      </c>
      <c r="C29946" t="inlineStr">
        <is>
          <t>1981-12-01</t>
        </is>
      </c>
    </row>
    <row r="29947">
      <c r="A29947" s="1" t="n">
        <v>29946</v>
      </c>
      <c r="B29947">
        <f>TEXT(29946, "[$-0E0000]yyyy-mm-dd")</f>
        <v/>
      </c>
      <c r="C29947" t="inlineStr">
        <is>
          <t>1981-12-02</t>
        </is>
      </c>
    </row>
    <row r="29948">
      <c r="A29948" s="1" t="n">
        <v>29947</v>
      </c>
      <c r="B29948">
        <f>TEXT(29947, "[$-0E0000]yyyy-mm-dd")</f>
        <v/>
      </c>
      <c r="C29948" t="inlineStr">
        <is>
          <t>1981-12-03</t>
        </is>
      </c>
    </row>
    <row r="29949">
      <c r="A29949" s="1" t="n">
        <v>29948</v>
      </c>
      <c r="B29949">
        <f>TEXT(29948, "[$-0E0000]yyyy-mm-dd")</f>
        <v/>
      </c>
      <c r="C29949" t="inlineStr">
        <is>
          <t>1981-12-04</t>
        </is>
      </c>
    </row>
    <row r="29950">
      <c r="A29950" s="1" t="n">
        <v>29949</v>
      </c>
      <c r="B29950">
        <f>TEXT(29949, "[$-0E0000]yyyy-mm-dd")</f>
        <v/>
      </c>
      <c r="C29950" t="inlineStr">
        <is>
          <t>1981-12-05</t>
        </is>
      </c>
    </row>
    <row r="29951">
      <c r="A29951" s="1" t="n">
        <v>29950</v>
      </c>
      <c r="B29951">
        <f>TEXT(29950, "[$-0E0000]yyyy-mm-dd")</f>
        <v/>
      </c>
      <c r="C29951" t="inlineStr">
        <is>
          <t>1981-12-06</t>
        </is>
      </c>
    </row>
    <row r="29952">
      <c r="A29952" s="1" t="n">
        <v>29951</v>
      </c>
      <c r="B29952">
        <f>TEXT(29951, "[$-0E0000]yyyy-mm-dd")</f>
        <v/>
      </c>
      <c r="C29952" t="inlineStr">
        <is>
          <t>1981-12-07</t>
        </is>
      </c>
    </row>
    <row r="29953">
      <c r="A29953" s="1" t="n">
        <v>29952</v>
      </c>
      <c r="B29953">
        <f>TEXT(29952, "[$-0E0000]yyyy-mm-dd")</f>
        <v/>
      </c>
      <c r="C29953" t="inlineStr">
        <is>
          <t>1981-12-08</t>
        </is>
      </c>
    </row>
    <row r="29954">
      <c r="A29954" s="1" t="n">
        <v>29953</v>
      </c>
      <c r="B29954">
        <f>TEXT(29953, "[$-0E0000]yyyy-mm-dd")</f>
        <v/>
      </c>
      <c r="C29954" t="inlineStr">
        <is>
          <t>1981-12-09</t>
        </is>
      </c>
    </row>
    <row r="29955">
      <c r="A29955" s="1" t="n">
        <v>29954</v>
      </c>
      <c r="B29955">
        <f>TEXT(29954, "[$-0E0000]yyyy-mm-dd")</f>
        <v/>
      </c>
      <c r="C29955" t="inlineStr">
        <is>
          <t>1981-12-10</t>
        </is>
      </c>
    </row>
    <row r="29956">
      <c r="A29956" s="1" t="n">
        <v>29955</v>
      </c>
      <c r="B29956">
        <f>TEXT(29955, "[$-0E0000]yyyy-mm-dd")</f>
        <v/>
      </c>
      <c r="C29956" t="inlineStr">
        <is>
          <t>1981-12-11</t>
        </is>
      </c>
    </row>
    <row r="29957">
      <c r="A29957" s="1" t="n">
        <v>29956</v>
      </c>
      <c r="B29957">
        <f>TEXT(29956, "[$-0E0000]yyyy-mm-dd")</f>
        <v/>
      </c>
      <c r="C29957" t="inlineStr">
        <is>
          <t>1981-12-12</t>
        </is>
      </c>
    </row>
    <row r="29958">
      <c r="A29958" s="1" t="n">
        <v>29957</v>
      </c>
      <c r="B29958">
        <f>TEXT(29957, "[$-0E0000]yyyy-mm-dd")</f>
        <v/>
      </c>
      <c r="C29958" t="inlineStr">
        <is>
          <t>1981-12-13</t>
        </is>
      </c>
    </row>
    <row r="29959">
      <c r="A29959" s="1" t="n">
        <v>29958</v>
      </c>
      <c r="B29959">
        <f>TEXT(29958, "[$-0E0000]yyyy-mm-dd")</f>
        <v/>
      </c>
      <c r="C29959" t="inlineStr">
        <is>
          <t>1981-12-14</t>
        </is>
      </c>
    </row>
    <row r="29960">
      <c r="A29960" s="1" t="n">
        <v>29959</v>
      </c>
      <c r="B29960">
        <f>TEXT(29959, "[$-0E0000]yyyy-mm-dd")</f>
        <v/>
      </c>
      <c r="C29960" t="inlineStr">
        <is>
          <t>1981-12-15</t>
        </is>
      </c>
    </row>
    <row r="29961">
      <c r="A29961" s="1" t="n">
        <v>29960</v>
      </c>
      <c r="B29961">
        <f>TEXT(29960, "[$-0E0000]yyyy-mm-dd")</f>
        <v/>
      </c>
      <c r="C29961" t="inlineStr">
        <is>
          <t>1981-12-16</t>
        </is>
      </c>
    </row>
    <row r="29962">
      <c r="A29962" s="1" t="n">
        <v>29961</v>
      </c>
      <c r="B29962">
        <f>TEXT(29961, "[$-0E0000]yyyy-mm-dd")</f>
        <v/>
      </c>
      <c r="C29962" t="inlineStr">
        <is>
          <t>1981-12-17</t>
        </is>
      </c>
    </row>
    <row r="29963">
      <c r="A29963" s="1" t="n">
        <v>29962</v>
      </c>
      <c r="B29963">
        <f>TEXT(29962, "[$-0E0000]yyyy-mm-dd")</f>
        <v/>
      </c>
      <c r="C29963" t="inlineStr">
        <is>
          <t>1981-12-18</t>
        </is>
      </c>
    </row>
    <row r="29964">
      <c r="A29964" s="1" t="n">
        <v>29963</v>
      </c>
      <c r="B29964">
        <f>TEXT(29963, "[$-0E0000]yyyy-mm-dd")</f>
        <v/>
      </c>
      <c r="C29964" t="inlineStr">
        <is>
          <t>1981-12-19</t>
        </is>
      </c>
    </row>
    <row r="29965">
      <c r="A29965" s="1" t="n">
        <v>29964</v>
      </c>
      <c r="B29965">
        <f>TEXT(29964, "[$-0E0000]yyyy-mm-dd")</f>
        <v/>
      </c>
      <c r="C29965" t="inlineStr">
        <is>
          <t>1981-12-20</t>
        </is>
      </c>
    </row>
    <row r="29966">
      <c r="A29966" s="1" t="n">
        <v>29965</v>
      </c>
      <c r="B29966">
        <f>TEXT(29965, "[$-0E0000]yyyy-mm-dd")</f>
        <v/>
      </c>
      <c r="C29966" t="inlineStr">
        <is>
          <t>1981-12-21</t>
        </is>
      </c>
    </row>
    <row r="29967">
      <c r="A29967" s="1" t="n">
        <v>29966</v>
      </c>
      <c r="B29967">
        <f>TEXT(29966, "[$-0E0000]yyyy-mm-dd")</f>
        <v/>
      </c>
      <c r="C29967" t="inlineStr">
        <is>
          <t>1981-12-22</t>
        </is>
      </c>
    </row>
    <row r="29968">
      <c r="A29968" s="1" t="n">
        <v>29967</v>
      </c>
      <c r="B29968">
        <f>TEXT(29967, "[$-0E0000]yyyy-mm-dd")</f>
        <v/>
      </c>
      <c r="C29968" t="inlineStr">
        <is>
          <t>1981-12-23</t>
        </is>
      </c>
    </row>
    <row r="29969">
      <c r="A29969" s="1" t="n">
        <v>29968</v>
      </c>
      <c r="B29969">
        <f>TEXT(29968, "[$-0E0000]yyyy-mm-dd")</f>
        <v/>
      </c>
      <c r="C29969" t="inlineStr">
        <is>
          <t>1981-12-24</t>
        </is>
      </c>
    </row>
    <row r="29970">
      <c r="A29970" s="1" t="n">
        <v>29969</v>
      </c>
      <c r="B29970">
        <f>TEXT(29969, "[$-0E0000]yyyy-mm-dd")</f>
        <v/>
      </c>
      <c r="C29970" t="inlineStr">
        <is>
          <t>1981-12-25</t>
        </is>
      </c>
    </row>
    <row r="29971">
      <c r="A29971" s="1" t="n">
        <v>29970</v>
      </c>
      <c r="B29971">
        <f>TEXT(29970, "[$-0E0000]yyyy-mm-dd")</f>
        <v/>
      </c>
      <c r="C29971" t="inlineStr">
        <is>
          <t>1981-12-26</t>
        </is>
      </c>
    </row>
    <row r="29972">
      <c r="A29972" s="1" t="n">
        <v>29971</v>
      </c>
      <c r="B29972">
        <f>TEXT(29971, "[$-0E0000]yyyy-mm-dd")</f>
        <v/>
      </c>
      <c r="C29972" t="inlineStr">
        <is>
          <t>1981-12-27</t>
        </is>
      </c>
    </row>
    <row r="29973">
      <c r="A29973" s="1" t="n">
        <v>29972</v>
      </c>
      <c r="B29973">
        <f>TEXT(29972, "[$-0E0000]yyyy-mm-dd")</f>
        <v/>
      </c>
      <c r="C29973" t="inlineStr">
        <is>
          <t>1981-12-28</t>
        </is>
      </c>
    </row>
    <row r="29974">
      <c r="A29974" s="1" t="n">
        <v>29973</v>
      </c>
      <c r="B29974">
        <f>TEXT(29973, "[$-0E0000]yyyy-mm-dd")</f>
        <v/>
      </c>
      <c r="C29974" t="inlineStr">
        <is>
          <t>1981-12-29</t>
        </is>
      </c>
    </row>
    <row r="29975">
      <c r="A29975" s="1" t="n">
        <v>29974</v>
      </c>
      <c r="B29975">
        <f>TEXT(29974, "[$-0E0000]yyyy-mm-dd")</f>
        <v/>
      </c>
      <c r="C29975" t="inlineStr">
        <is>
          <t>1981-12-30</t>
        </is>
      </c>
    </row>
    <row r="29976">
      <c r="A29976" s="1" t="n">
        <v>29975</v>
      </c>
      <c r="B29976">
        <f>TEXT(29975, "[$-0E0000]yyyy-mm-dd")</f>
        <v/>
      </c>
      <c r="C29976" t="inlineStr">
        <is>
          <t>1982-01-01</t>
        </is>
      </c>
    </row>
    <row r="29977">
      <c r="A29977" s="1" t="n">
        <v>29976</v>
      </c>
      <c r="B29977">
        <f>TEXT(29976, "[$-0E0000]yyyy-mm-dd")</f>
        <v/>
      </c>
      <c r="C29977" t="inlineStr">
        <is>
          <t>1982-01-02</t>
        </is>
      </c>
    </row>
    <row r="29978">
      <c r="A29978" s="1" t="n">
        <v>29977</v>
      </c>
      <c r="B29978">
        <f>TEXT(29977, "[$-0E0000]yyyy-mm-dd")</f>
        <v/>
      </c>
      <c r="C29978" t="inlineStr">
        <is>
          <t>1982-01-03</t>
        </is>
      </c>
    </row>
    <row r="29979">
      <c r="A29979" s="1" t="n">
        <v>29978</v>
      </c>
      <c r="B29979">
        <f>TEXT(29978, "[$-0E0000]yyyy-mm-dd")</f>
        <v/>
      </c>
      <c r="C29979" t="inlineStr">
        <is>
          <t>1982-01-04</t>
        </is>
      </c>
    </row>
    <row r="29980">
      <c r="A29980" s="1" t="n">
        <v>29979</v>
      </c>
      <c r="B29980">
        <f>TEXT(29979, "[$-0E0000]yyyy-mm-dd")</f>
        <v/>
      </c>
      <c r="C29980" t="inlineStr">
        <is>
          <t>1982-01-05</t>
        </is>
      </c>
    </row>
    <row r="29981">
      <c r="A29981" s="1" t="n">
        <v>29980</v>
      </c>
      <c r="B29981">
        <f>TEXT(29980, "[$-0E0000]yyyy-mm-dd")</f>
        <v/>
      </c>
      <c r="C29981" t="inlineStr">
        <is>
          <t>1982-01-06</t>
        </is>
      </c>
    </row>
    <row r="29982">
      <c r="A29982" s="1" t="n">
        <v>29981</v>
      </c>
      <c r="B29982">
        <f>TEXT(29981, "[$-0E0000]yyyy-mm-dd")</f>
        <v/>
      </c>
      <c r="C29982" t="inlineStr">
        <is>
          <t>1982-01-07</t>
        </is>
      </c>
    </row>
    <row r="29983">
      <c r="A29983" s="1" t="n">
        <v>29982</v>
      </c>
      <c r="B29983">
        <f>TEXT(29982, "[$-0E0000]yyyy-mm-dd")</f>
        <v/>
      </c>
      <c r="C29983" t="inlineStr">
        <is>
          <t>1982-01-08</t>
        </is>
      </c>
    </row>
    <row r="29984">
      <c r="A29984" s="1" t="n">
        <v>29983</v>
      </c>
      <c r="B29984">
        <f>TEXT(29983, "[$-0E0000]yyyy-mm-dd")</f>
        <v/>
      </c>
      <c r="C29984" t="inlineStr">
        <is>
          <t>1982-01-09</t>
        </is>
      </c>
    </row>
    <row r="29985">
      <c r="A29985" s="1" t="n">
        <v>29984</v>
      </c>
      <c r="B29985">
        <f>TEXT(29984, "[$-0E0000]yyyy-mm-dd")</f>
        <v/>
      </c>
      <c r="C29985" t="inlineStr">
        <is>
          <t>1982-01-10</t>
        </is>
      </c>
    </row>
    <row r="29986">
      <c r="A29986" s="1" t="n">
        <v>29985</v>
      </c>
      <c r="B29986">
        <f>TEXT(29985, "[$-0E0000]yyyy-mm-dd")</f>
        <v/>
      </c>
      <c r="C29986" t="inlineStr">
        <is>
          <t>1982-01-11</t>
        </is>
      </c>
    </row>
    <row r="29987">
      <c r="A29987" s="1" t="n">
        <v>29986</v>
      </c>
      <c r="B29987">
        <f>TEXT(29986, "[$-0E0000]yyyy-mm-dd")</f>
        <v/>
      </c>
      <c r="C29987" t="inlineStr">
        <is>
          <t>1982-01-12</t>
        </is>
      </c>
    </row>
    <row r="29988">
      <c r="A29988" s="1" t="n">
        <v>29987</v>
      </c>
      <c r="B29988">
        <f>TEXT(29987, "[$-0E0000]yyyy-mm-dd")</f>
        <v/>
      </c>
      <c r="C29988" t="inlineStr">
        <is>
          <t>1982-01-13</t>
        </is>
      </c>
    </row>
    <row r="29989">
      <c r="A29989" s="1" t="n">
        <v>29988</v>
      </c>
      <c r="B29989">
        <f>TEXT(29988, "[$-0E0000]yyyy-mm-dd")</f>
        <v/>
      </c>
      <c r="C29989" t="inlineStr">
        <is>
          <t>1982-01-14</t>
        </is>
      </c>
    </row>
    <row r="29990">
      <c r="A29990" s="1" t="n">
        <v>29989</v>
      </c>
      <c r="B29990">
        <f>TEXT(29989, "[$-0E0000]yyyy-mm-dd")</f>
        <v/>
      </c>
      <c r="C29990" t="inlineStr">
        <is>
          <t>1982-01-15</t>
        </is>
      </c>
    </row>
    <row r="29991">
      <c r="A29991" s="1" t="n">
        <v>29990</v>
      </c>
      <c r="B29991">
        <f>TEXT(29990, "[$-0E0000]yyyy-mm-dd")</f>
        <v/>
      </c>
      <c r="C29991" t="inlineStr">
        <is>
          <t>1982-01-16</t>
        </is>
      </c>
    </row>
    <row r="29992">
      <c r="A29992" s="1" t="n">
        <v>29991</v>
      </c>
      <c r="B29992">
        <f>TEXT(29991, "[$-0E0000]yyyy-mm-dd")</f>
        <v/>
      </c>
      <c r="C29992" t="inlineStr">
        <is>
          <t>1982-01-17</t>
        </is>
      </c>
    </row>
    <row r="29993">
      <c r="A29993" s="1" t="n">
        <v>29992</v>
      </c>
      <c r="B29993">
        <f>TEXT(29992, "[$-0E0000]yyyy-mm-dd")</f>
        <v/>
      </c>
      <c r="C29993" t="inlineStr">
        <is>
          <t>1982-01-18</t>
        </is>
      </c>
    </row>
    <row r="29994">
      <c r="A29994" s="1" t="n">
        <v>29993</v>
      </c>
      <c r="B29994">
        <f>TEXT(29993, "[$-0E0000]yyyy-mm-dd")</f>
        <v/>
      </c>
      <c r="C29994" t="inlineStr">
        <is>
          <t>1982-01-19</t>
        </is>
      </c>
    </row>
    <row r="29995">
      <c r="A29995" s="1" t="n">
        <v>29994</v>
      </c>
      <c r="B29995">
        <f>TEXT(29994, "[$-0E0000]yyyy-mm-dd")</f>
        <v/>
      </c>
      <c r="C29995" t="inlineStr">
        <is>
          <t>1982-01-20</t>
        </is>
      </c>
    </row>
    <row r="29996">
      <c r="A29996" s="1" t="n">
        <v>29995</v>
      </c>
      <c r="B29996">
        <f>TEXT(29995, "[$-0E0000]yyyy-mm-dd")</f>
        <v/>
      </c>
      <c r="C29996" t="inlineStr">
        <is>
          <t>1982-01-21</t>
        </is>
      </c>
    </row>
    <row r="29997">
      <c r="A29997" s="1" t="n">
        <v>29996</v>
      </c>
      <c r="B29997">
        <f>TEXT(29996, "[$-0E0000]yyyy-mm-dd")</f>
        <v/>
      </c>
      <c r="C29997" t="inlineStr">
        <is>
          <t>1982-01-22</t>
        </is>
      </c>
    </row>
    <row r="29998">
      <c r="A29998" s="1" t="n">
        <v>29997</v>
      </c>
      <c r="B29998">
        <f>TEXT(29997, "[$-0E0000]yyyy-mm-dd")</f>
        <v/>
      </c>
      <c r="C29998" t="inlineStr">
        <is>
          <t>1982-01-23</t>
        </is>
      </c>
    </row>
    <row r="29999">
      <c r="A29999" s="1" t="n">
        <v>29998</v>
      </c>
      <c r="B29999">
        <f>TEXT(29998, "[$-0E0000]yyyy-mm-dd")</f>
        <v/>
      </c>
      <c r="C29999" t="inlineStr">
        <is>
          <t>1982-01-24</t>
        </is>
      </c>
    </row>
    <row r="30000">
      <c r="A30000" s="1" t="n">
        <v>29999</v>
      </c>
      <c r="B30000">
        <f>TEXT(29999, "[$-0E0000]yyyy-mm-dd")</f>
        <v/>
      </c>
      <c r="C30000" t="inlineStr">
        <is>
          <t>1982-01-25</t>
        </is>
      </c>
    </row>
    <row r="30001">
      <c r="A30001" s="1" t="n">
        <v>30000</v>
      </c>
      <c r="B30001">
        <f>TEXT(30000, "[$-0E0000]yyyy-mm-dd")</f>
        <v/>
      </c>
      <c r="C30001" t="inlineStr">
        <is>
          <t>1982-01-26</t>
        </is>
      </c>
    </row>
    <row r="30002">
      <c r="A30002" s="1" t="n">
        <v>30001</v>
      </c>
      <c r="B30002">
        <f>TEXT(30001, "[$-0E0000]yyyy-mm-dd")</f>
        <v/>
      </c>
      <c r="C30002" t="inlineStr">
        <is>
          <t>1982-01-27</t>
        </is>
      </c>
    </row>
    <row r="30003">
      <c r="A30003" s="1" t="n">
        <v>30002</v>
      </c>
      <c r="B30003">
        <f>TEXT(30002, "[$-0E0000]yyyy-mm-dd")</f>
        <v/>
      </c>
      <c r="C30003" t="inlineStr">
        <is>
          <t>1982-01-28</t>
        </is>
      </c>
    </row>
    <row r="30004">
      <c r="A30004" s="1" t="n">
        <v>30003</v>
      </c>
      <c r="B30004">
        <f>TEXT(30003, "[$-0E0000]yyyy-mm-dd")</f>
        <v/>
      </c>
      <c r="C30004" t="inlineStr">
        <is>
          <t>1982-01-29</t>
        </is>
      </c>
    </row>
    <row r="30005">
      <c r="A30005" s="1" t="n">
        <v>30004</v>
      </c>
      <c r="B30005">
        <f>TEXT(30004, "[$-0E0000]yyyy-mm-dd")</f>
        <v/>
      </c>
      <c r="C30005" t="inlineStr">
        <is>
          <t>1982-01-30</t>
        </is>
      </c>
    </row>
    <row r="30006">
      <c r="A30006" s="1" t="n">
        <v>30005</v>
      </c>
      <c r="B30006">
        <f>TEXT(30005, "[$-0E0000]yyyy-mm-dd")</f>
        <v/>
      </c>
      <c r="C30006" t="inlineStr">
        <is>
          <t>1982-02-01</t>
        </is>
      </c>
    </row>
    <row r="30007">
      <c r="A30007" s="1" t="n">
        <v>30006</v>
      </c>
      <c r="B30007">
        <f>TEXT(30006, "[$-0E0000]yyyy-mm-dd")</f>
        <v/>
      </c>
      <c r="C30007" t="inlineStr">
        <is>
          <t>1982-02-02</t>
        </is>
      </c>
    </row>
    <row r="30008">
      <c r="A30008" s="1" t="n">
        <v>30007</v>
      </c>
      <c r="B30008">
        <f>TEXT(30007, "[$-0E0000]yyyy-mm-dd")</f>
        <v/>
      </c>
      <c r="C30008" t="inlineStr">
        <is>
          <t>1982-02-03</t>
        </is>
      </c>
    </row>
    <row r="30009">
      <c r="A30009" s="1" t="n">
        <v>30008</v>
      </c>
      <c r="B30009">
        <f>TEXT(30008, "[$-0E0000]yyyy-mm-dd")</f>
        <v/>
      </c>
      <c r="C30009" t="inlineStr">
        <is>
          <t>1982-02-04</t>
        </is>
      </c>
    </row>
    <row r="30010">
      <c r="A30010" s="1" t="n">
        <v>30009</v>
      </c>
      <c r="B30010">
        <f>TEXT(30009, "[$-0E0000]yyyy-mm-dd")</f>
        <v/>
      </c>
      <c r="C30010" t="inlineStr">
        <is>
          <t>1982-02-05</t>
        </is>
      </c>
    </row>
    <row r="30011">
      <c r="A30011" s="1" t="n">
        <v>30010</v>
      </c>
      <c r="B30011">
        <f>TEXT(30010, "[$-0E0000]yyyy-mm-dd")</f>
        <v/>
      </c>
      <c r="C30011" t="inlineStr">
        <is>
          <t>1982-02-06</t>
        </is>
      </c>
    </row>
    <row r="30012">
      <c r="A30012" s="1" t="n">
        <v>30011</v>
      </c>
      <c r="B30012">
        <f>TEXT(30011, "[$-0E0000]yyyy-mm-dd")</f>
        <v/>
      </c>
      <c r="C30012" t="inlineStr">
        <is>
          <t>1982-02-07</t>
        </is>
      </c>
    </row>
    <row r="30013">
      <c r="A30013" s="1" t="n">
        <v>30012</v>
      </c>
      <c r="B30013">
        <f>TEXT(30012, "[$-0E0000]yyyy-mm-dd")</f>
        <v/>
      </c>
      <c r="C30013" t="inlineStr">
        <is>
          <t>1982-02-08</t>
        </is>
      </c>
    </row>
    <row r="30014">
      <c r="A30014" s="1" t="n">
        <v>30013</v>
      </c>
      <c r="B30014">
        <f>TEXT(30013, "[$-0E0000]yyyy-mm-dd")</f>
        <v/>
      </c>
      <c r="C30014" t="inlineStr">
        <is>
          <t>1982-02-09</t>
        </is>
      </c>
    </row>
    <row r="30015">
      <c r="A30015" s="1" t="n">
        <v>30014</v>
      </c>
      <c r="B30015">
        <f>TEXT(30014, "[$-0E0000]yyyy-mm-dd")</f>
        <v/>
      </c>
      <c r="C30015" t="inlineStr">
        <is>
          <t>1982-02-10</t>
        </is>
      </c>
    </row>
    <row r="30016">
      <c r="A30016" s="1" t="n">
        <v>30015</v>
      </c>
      <c r="B30016">
        <f>TEXT(30015, "[$-0E0000]yyyy-mm-dd")</f>
        <v/>
      </c>
      <c r="C30016" t="inlineStr">
        <is>
          <t>1982-02-11</t>
        </is>
      </c>
    </row>
    <row r="30017">
      <c r="A30017" s="1" t="n">
        <v>30016</v>
      </c>
      <c r="B30017">
        <f>TEXT(30016, "[$-0E0000]yyyy-mm-dd")</f>
        <v/>
      </c>
      <c r="C30017" t="inlineStr">
        <is>
          <t>1982-02-12</t>
        </is>
      </c>
    </row>
    <row r="30018">
      <c r="A30018" s="1" t="n">
        <v>30017</v>
      </c>
      <c r="B30018">
        <f>TEXT(30017, "[$-0E0000]yyyy-mm-dd")</f>
        <v/>
      </c>
      <c r="C30018" t="inlineStr">
        <is>
          <t>1982-02-13</t>
        </is>
      </c>
    </row>
    <row r="30019">
      <c r="A30019" s="1" t="n">
        <v>30018</v>
      </c>
      <c r="B30019">
        <f>TEXT(30018, "[$-0E0000]yyyy-mm-dd")</f>
        <v/>
      </c>
      <c r="C30019" t="inlineStr">
        <is>
          <t>1982-02-14</t>
        </is>
      </c>
    </row>
    <row r="30020">
      <c r="A30020" s="1" t="n">
        <v>30019</v>
      </c>
      <c r="B30020">
        <f>TEXT(30019, "[$-0E0000]yyyy-mm-dd")</f>
        <v/>
      </c>
      <c r="C30020" t="inlineStr">
        <is>
          <t>1982-02-15</t>
        </is>
      </c>
    </row>
    <row r="30021">
      <c r="A30021" s="1" t="n">
        <v>30020</v>
      </c>
      <c r="B30021">
        <f>TEXT(30020, "[$-0E0000]yyyy-mm-dd")</f>
        <v/>
      </c>
      <c r="C30021" t="inlineStr">
        <is>
          <t>1982-02-16</t>
        </is>
      </c>
    </row>
    <row r="30022">
      <c r="A30022" s="1" t="n">
        <v>30021</v>
      </c>
      <c r="B30022">
        <f>TEXT(30021, "[$-0E0000]yyyy-mm-dd")</f>
        <v/>
      </c>
      <c r="C30022" t="inlineStr">
        <is>
          <t>1982-02-17</t>
        </is>
      </c>
    </row>
    <row r="30023">
      <c r="A30023" s="1" t="n">
        <v>30022</v>
      </c>
      <c r="B30023">
        <f>TEXT(30022, "[$-0E0000]yyyy-mm-dd")</f>
        <v/>
      </c>
      <c r="C30023" t="inlineStr">
        <is>
          <t>1982-02-18</t>
        </is>
      </c>
    </row>
    <row r="30024">
      <c r="A30024" s="1" t="n">
        <v>30023</v>
      </c>
      <c r="B30024">
        <f>TEXT(30023, "[$-0E0000]yyyy-mm-dd")</f>
        <v/>
      </c>
      <c r="C30024" t="inlineStr">
        <is>
          <t>1982-02-19</t>
        </is>
      </c>
    </row>
    <row r="30025">
      <c r="A30025" s="1" t="n">
        <v>30024</v>
      </c>
      <c r="B30025">
        <f>TEXT(30024, "[$-0E0000]yyyy-mm-dd")</f>
        <v/>
      </c>
      <c r="C30025" t="inlineStr">
        <is>
          <t>1982-02-20</t>
        </is>
      </c>
    </row>
    <row r="30026">
      <c r="A30026" s="1" t="n">
        <v>30025</v>
      </c>
      <c r="B30026">
        <f>TEXT(30025, "[$-0E0000]yyyy-mm-dd")</f>
        <v/>
      </c>
      <c r="C30026" t="inlineStr">
        <is>
          <t>1982-02-21</t>
        </is>
      </c>
    </row>
    <row r="30027">
      <c r="A30027" s="1" t="n">
        <v>30026</v>
      </c>
      <c r="B30027">
        <f>TEXT(30026, "[$-0E0000]yyyy-mm-dd")</f>
        <v/>
      </c>
      <c r="C30027" t="inlineStr">
        <is>
          <t>1982-02-22</t>
        </is>
      </c>
    </row>
    <row r="30028">
      <c r="A30028" s="1" t="n">
        <v>30027</v>
      </c>
      <c r="B30028">
        <f>TEXT(30027, "[$-0E0000]yyyy-mm-dd")</f>
        <v/>
      </c>
      <c r="C30028" t="inlineStr">
        <is>
          <t>1982-02-23</t>
        </is>
      </c>
    </row>
    <row r="30029">
      <c r="A30029" s="1" t="n">
        <v>30028</v>
      </c>
      <c r="B30029">
        <f>TEXT(30028, "[$-0E0000]yyyy-mm-dd")</f>
        <v/>
      </c>
      <c r="C30029" t="inlineStr">
        <is>
          <t>1982-02-24</t>
        </is>
      </c>
    </row>
    <row r="30030">
      <c r="A30030" s="1" t="n">
        <v>30029</v>
      </c>
      <c r="B30030">
        <f>TEXT(30029, "[$-0E0000]yyyy-mm-dd")</f>
        <v/>
      </c>
      <c r="C30030" t="inlineStr">
        <is>
          <t>1982-02-25</t>
        </is>
      </c>
    </row>
    <row r="30031">
      <c r="A30031" s="1" t="n">
        <v>30030</v>
      </c>
      <c r="B30031">
        <f>TEXT(30030, "[$-0E0000]yyyy-mm-dd")</f>
        <v/>
      </c>
      <c r="C30031" t="inlineStr">
        <is>
          <t>1982-02-26</t>
        </is>
      </c>
    </row>
    <row r="30032">
      <c r="A30032" s="1" t="n">
        <v>30031</v>
      </c>
      <c r="B30032">
        <f>TEXT(30031, "[$-0E0000]yyyy-mm-dd")</f>
        <v/>
      </c>
      <c r="C30032" t="inlineStr">
        <is>
          <t>1982-02-27</t>
        </is>
      </c>
    </row>
    <row r="30033">
      <c r="A30033" s="1" t="n">
        <v>30032</v>
      </c>
      <c r="B30033">
        <f>TEXT(30032, "[$-0E0000]yyyy-mm-dd")</f>
        <v/>
      </c>
      <c r="C30033" t="inlineStr">
        <is>
          <t>1982-02-28</t>
        </is>
      </c>
    </row>
    <row r="30034">
      <c r="A30034" s="1" t="n">
        <v>30033</v>
      </c>
      <c r="B30034">
        <f>TEXT(30033, "[$-0E0000]yyyy-mm-dd")</f>
        <v/>
      </c>
      <c r="C30034" t="inlineStr">
        <is>
          <t>1982-02-29</t>
        </is>
      </c>
    </row>
    <row r="30035">
      <c r="A30035" s="1" t="n">
        <v>30034</v>
      </c>
      <c r="B30035">
        <f>TEXT(30034, "[$-0E0000]yyyy-mm-dd")</f>
        <v/>
      </c>
      <c r="C30035" t="inlineStr">
        <is>
          <t>1982-03-01</t>
        </is>
      </c>
    </row>
    <row r="30036">
      <c r="A30036" s="1" t="n">
        <v>30035</v>
      </c>
      <c r="B30036">
        <f>TEXT(30035, "[$-0E0000]yyyy-mm-dd")</f>
        <v/>
      </c>
      <c r="C30036" t="inlineStr">
        <is>
          <t>1982-03-02</t>
        </is>
      </c>
    </row>
    <row r="30037">
      <c r="A30037" s="1" t="n">
        <v>30036</v>
      </c>
      <c r="B30037">
        <f>TEXT(30036, "[$-0E0000]yyyy-mm-dd")</f>
        <v/>
      </c>
      <c r="C30037" t="inlineStr">
        <is>
          <t>1982-03-03</t>
        </is>
      </c>
    </row>
    <row r="30038">
      <c r="A30038" s="1" t="n">
        <v>30037</v>
      </c>
      <c r="B30038">
        <f>TEXT(30037, "[$-0E0000]yyyy-mm-dd")</f>
        <v/>
      </c>
      <c r="C30038" t="inlineStr">
        <is>
          <t>1982-03-04</t>
        </is>
      </c>
    </row>
    <row r="30039">
      <c r="A30039" s="1" t="n">
        <v>30038</v>
      </c>
      <c r="B30039">
        <f>TEXT(30038, "[$-0E0000]yyyy-mm-dd")</f>
        <v/>
      </c>
      <c r="C30039" t="inlineStr">
        <is>
          <t>1982-03-05</t>
        </is>
      </c>
    </row>
    <row r="30040">
      <c r="A30040" s="1" t="n">
        <v>30039</v>
      </c>
      <c r="B30040">
        <f>TEXT(30039, "[$-0E0000]yyyy-mm-dd")</f>
        <v/>
      </c>
      <c r="C30040" t="inlineStr">
        <is>
          <t>1982-03-06</t>
        </is>
      </c>
    </row>
    <row r="30041">
      <c r="A30041" s="1" t="n">
        <v>30040</v>
      </c>
      <c r="B30041">
        <f>TEXT(30040, "[$-0E0000]yyyy-mm-dd")</f>
        <v/>
      </c>
      <c r="C30041" t="inlineStr">
        <is>
          <t>1982-03-07</t>
        </is>
      </c>
    </row>
    <row r="30042">
      <c r="A30042" s="1" t="n">
        <v>30041</v>
      </c>
      <c r="B30042">
        <f>TEXT(30041, "[$-0E0000]yyyy-mm-dd")</f>
        <v/>
      </c>
      <c r="C30042" t="inlineStr">
        <is>
          <t>1982-03-08</t>
        </is>
      </c>
    </row>
    <row r="30043">
      <c r="A30043" s="1" t="n">
        <v>30042</v>
      </c>
      <c r="B30043">
        <f>TEXT(30042, "[$-0E0000]yyyy-mm-dd")</f>
        <v/>
      </c>
      <c r="C30043" t="inlineStr">
        <is>
          <t>1982-03-09</t>
        </is>
      </c>
    </row>
    <row r="30044">
      <c r="A30044" s="1" t="n">
        <v>30043</v>
      </c>
      <c r="B30044">
        <f>TEXT(30043, "[$-0E0000]yyyy-mm-dd")</f>
        <v/>
      </c>
      <c r="C30044" t="inlineStr">
        <is>
          <t>1982-03-10</t>
        </is>
      </c>
    </row>
    <row r="30045">
      <c r="A30045" s="1" t="n">
        <v>30044</v>
      </c>
      <c r="B30045">
        <f>TEXT(30044, "[$-0E0000]yyyy-mm-dd")</f>
        <v/>
      </c>
      <c r="C30045" t="inlineStr">
        <is>
          <t>1982-03-11</t>
        </is>
      </c>
    </row>
    <row r="30046">
      <c r="A30046" s="1" t="n">
        <v>30045</v>
      </c>
      <c r="B30046">
        <f>TEXT(30045, "[$-0E0000]yyyy-mm-dd")</f>
        <v/>
      </c>
      <c r="C30046" t="inlineStr">
        <is>
          <t>1982-03-12</t>
        </is>
      </c>
    </row>
    <row r="30047">
      <c r="A30047" s="1" t="n">
        <v>30046</v>
      </c>
      <c r="B30047">
        <f>TEXT(30046, "[$-0E0000]yyyy-mm-dd")</f>
        <v/>
      </c>
      <c r="C30047" t="inlineStr">
        <is>
          <t>1982-03-13</t>
        </is>
      </c>
    </row>
    <row r="30048">
      <c r="A30048" s="1" t="n">
        <v>30047</v>
      </c>
      <c r="B30048">
        <f>TEXT(30047, "[$-0E0000]yyyy-mm-dd")</f>
        <v/>
      </c>
      <c r="C30048" t="inlineStr">
        <is>
          <t>1982-03-14</t>
        </is>
      </c>
    </row>
    <row r="30049">
      <c r="A30049" s="1" t="n">
        <v>30048</v>
      </c>
      <c r="B30049">
        <f>TEXT(30048, "[$-0E0000]yyyy-mm-dd")</f>
        <v/>
      </c>
      <c r="C30049" t="inlineStr">
        <is>
          <t>1982-03-15</t>
        </is>
      </c>
    </row>
    <row r="30050">
      <c r="A30050" s="1" t="n">
        <v>30049</v>
      </c>
      <c r="B30050">
        <f>TEXT(30049, "[$-0E0000]yyyy-mm-dd")</f>
        <v/>
      </c>
      <c r="C30050" t="inlineStr">
        <is>
          <t>1982-03-16</t>
        </is>
      </c>
    </row>
    <row r="30051">
      <c r="A30051" s="1" t="n">
        <v>30050</v>
      </c>
      <c r="B30051">
        <f>TEXT(30050, "[$-0E0000]yyyy-mm-dd")</f>
        <v/>
      </c>
      <c r="C30051" t="inlineStr">
        <is>
          <t>1982-03-17</t>
        </is>
      </c>
    </row>
    <row r="30052">
      <c r="A30052" s="1" t="n">
        <v>30051</v>
      </c>
      <c r="B30052">
        <f>TEXT(30051, "[$-0E0000]yyyy-mm-dd")</f>
        <v/>
      </c>
      <c r="C30052" t="inlineStr">
        <is>
          <t>1982-03-18</t>
        </is>
      </c>
    </row>
    <row r="30053">
      <c r="A30053" s="1" t="n">
        <v>30052</v>
      </c>
      <c r="B30053">
        <f>TEXT(30052, "[$-0E0000]yyyy-mm-dd")</f>
        <v/>
      </c>
      <c r="C30053" t="inlineStr">
        <is>
          <t>1982-03-19</t>
        </is>
      </c>
    </row>
    <row r="30054">
      <c r="A30054" s="1" t="n">
        <v>30053</v>
      </c>
      <c r="B30054">
        <f>TEXT(30053, "[$-0E0000]yyyy-mm-dd")</f>
        <v/>
      </c>
      <c r="C30054" t="inlineStr">
        <is>
          <t>1982-03-20</t>
        </is>
      </c>
    </row>
    <row r="30055">
      <c r="A30055" s="1" t="n">
        <v>30054</v>
      </c>
      <c r="B30055">
        <f>TEXT(30054, "[$-0E0000]yyyy-mm-dd")</f>
        <v/>
      </c>
      <c r="C30055" t="inlineStr">
        <is>
          <t>1982-03-21</t>
        </is>
      </c>
    </row>
    <row r="30056">
      <c r="A30056" s="1" t="n">
        <v>30055</v>
      </c>
      <c r="B30056">
        <f>TEXT(30055, "[$-0E0000]yyyy-mm-dd")</f>
        <v/>
      </c>
      <c r="C30056" t="inlineStr">
        <is>
          <t>1982-03-22</t>
        </is>
      </c>
    </row>
    <row r="30057">
      <c r="A30057" s="1" t="n">
        <v>30056</v>
      </c>
      <c r="B30057">
        <f>TEXT(30056, "[$-0E0000]yyyy-mm-dd")</f>
        <v/>
      </c>
      <c r="C30057" t="inlineStr">
        <is>
          <t>1982-03-23</t>
        </is>
      </c>
    </row>
    <row r="30058">
      <c r="A30058" s="1" t="n">
        <v>30057</v>
      </c>
      <c r="B30058">
        <f>TEXT(30057, "[$-0E0000]yyyy-mm-dd")</f>
        <v/>
      </c>
      <c r="C30058" t="inlineStr">
        <is>
          <t>1982-03-24</t>
        </is>
      </c>
    </row>
    <row r="30059">
      <c r="A30059" s="1" t="n">
        <v>30058</v>
      </c>
      <c r="B30059">
        <f>TEXT(30058, "[$-0E0000]yyyy-mm-dd")</f>
        <v/>
      </c>
      <c r="C30059" t="inlineStr">
        <is>
          <t>1982-03-25</t>
        </is>
      </c>
    </row>
    <row r="30060">
      <c r="A30060" s="1" t="n">
        <v>30059</v>
      </c>
      <c r="B30060">
        <f>TEXT(30059, "[$-0E0000]yyyy-mm-dd")</f>
        <v/>
      </c>
      <c r="C30060" t="inlineStr">
        <is>
          <t>1982-03-26</t>
        </is>
      </c>
    </row>
    <row r="30061">
      <c r="A30061" s="1" t="n">
        <v>30060</v>
      </c>
      <c r="B30061">
        <f>TEXT(30060, "[$-0E0000]yyyy-mm-dd")</f>
        <v/>
      </c>
      <c r="C30061" t="inlineStr">
        <is>
          <t>1982-03-27</t>
        </is>
      </c>
    </row>
    <row r="30062">
      <c r="A30062" s="1" t="n">
        <v>30061</v>
      </c>
      <c r="B30062">
        <f>TEXT(30061, "[$-0E0000]yyyy-mm-dd")</f>
        <v/>
      </c>
      <c r="C30062" t="inlineStr">
        <is>
          <t>1982-03-28</t>
        </is>
      </c>
    </row>
    <row r="30063">
      <c r="A30063" s="1" t="n">
        <v>30062</v>
      </c>
      <c r="B30063">
        <f>TEXT(30062, "[$-0E0000]yyyy-mm-dd")</f>
        <v/>
      </c>
      <c r="C30063" t="inlineStr">
        <is>
          <t>1982-03-29</t>
        </is>
      </c>
    </row>
    <row r="30064">
      <c r="A30064" s="1" t="n">
        <v>30063</v>
      </c>
      <c r="B30064">
        <f>TEXT(30063, "[$-0E0000]yyyy-mm-dd")</f>
        <v/>
      </c>
      <c r="C30064" t="inlineStr">
        <is>
          <t>1982-03-30</t>
        </is>
      </c>
    </row>
    <row r="30065">
      <c r="A30065" s="1" t="n">
        <v>30064</v>
      </c>
      <c r="B30065">
        <f>TEXT(30064, "[$-0E0000]yyyy-mm-dd")</f>
        <v/>
      </c>
      <c r="C30065" t="inlineStr">
        <is>
          <t>1982-04-01</t>
        </is>
      </c>
    </row>
    <row r="30066">
      <c r="A30066" s="1" t="n">
        <v>30065</v>
      </c>
      <c r="B30066">
        <f>TEXT(30065, "[$-0E0000]yyyy-mm-dd")</f>
        <v/>
      </c>
      <c r="C30066" t="inlineStr">
        <is>
          <t>1982-04-02</t>
        </is>
      </c>
    </row>
    <row r="30067">
      <c r="A30067" s="1" t="n">
        <v>30066</v>
      </c>
      <c r="B30067">
        <f>TEXT(30066, "[$-0E0000]yyyy-mm-dd")</f>
        <v/>
      </c>
      <c r="C30067" t="inlineStr">
        <is>
          <t>1982-04-03</t>
        </is>
      </c>
    </row>
    <row r="30068">
      <c r="A30068" s="1" t="n">
        <v>30067</v>
      </c>
      <c r="B30068">
        <f>TEXT(30067, "[$-0E0000]yyyy-mm-dd")</f>
        <v/>
      </c>
      <c r="C30068" t="inlineStr">
        <is>
          <t>1982-04-04</t>
        </is>
      </c>
    </row>
    <row r="30069">
      <c r="A30069" s="1" t="n">
        <v>30068</v>
      </c>
      <c r="B30069">
        <f>TEXT(30068, "[$-0E0000]yyyy-mm-dd")</f>
        <v/>
      </c>
      <c r="C30069" t="inlineStr">
        <is>
          <t>1982-04-05</t>
        </is>
      </c>
    </row>
    <row r="30070">
      <c r="A30070" s="1" t="n">
        <v>30069</v>
      </c>
      <c r="B30070">
        <f>TEXT(30069, "[$-0E0000]yyyy-mm-dd")</f>
        <v/>
      </c>
      <c r="C30070" t="inlineStr">
        <is>
          <t>1982-04-06</t>
        </is>
      </c>
    </row>
    <row r="30071">
      <c r="A30071" s="1" t="n">
        <v>30070</v>
      </c>
      <c r="B30071">
        <f>TEXT(30070, "[$-0E0000]yyyy-mm-dd")</f>
        <v/>
      </c>
      <c r="C30071" t="inlineStr">
        <is>
          <t>1982-04-07</t>
        </is>
      </c>
    </row>
    <row r="30072">
      <c r="A30072" s="1" t="n">
        <v>30071</v>
      </c>
      <c r="B30072">
        <f>TEXT(30071, "[$-0E0000]yyyy-mm-dd")</f>
        <v/>
      </c>
      <c r="C30072" t="inlineStr">
        <is>
          <t>1982-04-08</t>
        </is>
      </c>
    </row>
    <row r="30073">
      <c r="A30073" s="1" t="n">
        <v>30072</v>
      </c>
      <c r="B30073">
        <f>TEXT(30072, "[$-0E0000]yyyy-mm-dd")</f>
        <v/>
      </c>
      <c r="C30073" t="inlineStr">
        <is>
          <t>1982-04-09</t>
        </is>
      </c>
    </row>
    <row r="30074">
      <c r="A30074" s="1" t="n">
        <v>30073</v>
      </c>
      <c r="B30074">
        <f>TEXT(30073, "[$-0E0000]yyyy-mm-dd")</f>
        <v/>
      </c>
      <c r="C30074" t="inlineStr">
        <is>
          <t>1982-04-10</t>
        </is>
      </c>
    </row>
    <row r="30075">
      <c r="A30075" s="1" t="n">
        <v>30074</v>
      </c>
      <c r="B30075">
        <f>TEXT(30074, "[$-0E0000]yyyy-mm-dd")</f>
        <v/>
      </c>
      <c r="C30075" t="inlineStr">
        <is>
          <t>1982-04-11</t>
        </is>
      </c>
    </row>
    <row r="30076">
      <c r="A30076" s="1" t="n">
        <v>30075</v>
      </c>
      <c r="B30076">
        <f>TEXT(30075, "[$-0E0000]yyyy-mm-dd")</f>
        <v/>
      </c>
      <c r="C30076" t="inlineStr">
        <is>
          <t>1982-04-12</t>
        </is>
      </c>
    </row>
    <row r="30077">
      <c r="A30077" s="1" t="n">
        <v>30076</v>
      </c>
      <c r="B30077">
        <f>TEXT(30076, "[$-0E0000]yyyy-mm-dd")</f>
        <v/>
      </c>
      <c r="C30077" t="inlineStr">
        <is>
          <t>1982-04-13</t>
        </is>
      </c>
    </row>
    <row r="30078">
      <c r="A30078" s="1" t="n">
        <v>30077</v>
      </c>
      <c r="B30078">
        <f>TEXT(30077, "[$-0E0000]yyyy-mm-dd")</f>
        <v/>
      </c>
      <c r="C30078" t="inlineStr">
        <is>
          <t>1982-04-14</t>
        </is>
      </c>
    </row>
    <row r="30079">
      <c r="A30079" s="1" t="n">
        <v>30078</v>
      </c>
      <c r="B30079">
        <f>TEXT(30078, "[$-0E0000]yyyy-mm-dd")</f>
        <v/>
      </c>
      <c r="C30079" t="inlineStr">
        <is>
          <t>1982-04-15</t>
        </is>
      </c>
    </row>
    <row r="30080">
      <c r="A30080" s="1" t="n">
        <v>30079</v>
      </c>
      <c r="B30080">
        <f>TEXT(30079, "[$-0E0000]yyyy-mm-dd")</f>
        <v/>
      </c>
      <c r="C30080" t="inlineStr">
        <is>
          <t>1982-04-16</t>
        </is>
      </c>
    </row>
    <row r="30081">
      <c r="A30081" s="1" t="n">
        <v>30080</v>
      </c>
      <c r="B30081">
        <f>TEXT(30080, "[$-0E0000]yyyy-mm-dd")</f>
        <v/>
      </c>
      <c r="C30081" t="inlineStr">
        <is>
          <t>1982-04-17</t>
        </is>
      </c>
    </row>
    <row r="30082">
      <c r="A30082" s="1" t="n">
        <v>30081</v>
      </c>
      <c r="B30082">
        <f>TEXT(30081, "[$-0E0000]yyyy-mm-dd")</f>
        <v/>
      </c>
      <c r="C30082" t="inlineStr">
        <is>
          <t>1982-04-18</t>
        </is>
      </c>
    </row>
    <row r="30083">
      <c r="A30083" s="1" t="n">
        <v>30082</v>
      </c>
      <c r="B30083">
        <f>TEXT(30082, "[$-0E0000]yyyy-mm-dd")</f>
        <v/>
      </c>
      <c r="C30083" t="inlineStr">
        <is>
          <t>1982-04-19</t>
        </is>
      </c>
    </row>
    <row r="30084">
      <c r="A30084" s="1" t="n">
        <v>30083</v>
      </c>
      <c r="B30084">
        <f>TEXT(30083, "[$-0E0000]yyyy-mm-dd")</f>
        <v/>
      </c>
      <c r="C30084" t="inlineStr">
        <is>
          <t>1982-04-20</t>
        </is>
      </c>
    </row>
    <row r="30085">
      <c r="A30085" s="1" t="n">
        <v>30084</v>
      </c>
      <c r="B30085">
        <f>TEXT(30084, "[$-0E0000]yyyy-mm-dd")</f>
        <v/>
      </c>
      <c r="C30085" t="inlineStr">
        <is>
          <t>1982-04-21</t>
        </is>
      </c>
    </row>
    <row r="30086">
      <c r="A30086" s="1" t="n">
        <v>30085</v>
      </c>
      <c r="B30086">
        <f>TEXT(30085, "[$-0E0000]yyyy-mm-dd")</f>
        <v/>
      </c>
      <c r="C30086" t="inlineStr">
        <is>
          <t>1982-04-22</t>
        </is>
      </c>
    </row>
    <row r="30087">
      <c r="A30087" s="1" t="n">
        <v>30086</v>
      </c>
      <c r="B30087">
        <f>TEXT(30086, "[$-0E0000]yyyy-mm-dd")</f>
        <v/>
      </c>
      <c r="C30087" t="inlineStr">
        <is>
          <t>1982-04-23</t>
        </is>
      </c>
    </row>
    <row r="30088">
      <c r="A30088" s="1" t="n">
        <v>30087</v>
      </c>
      <c r="B30088">
        <f>TEXT(30087, "[$-0E0000]yyyy-mm-dd")</f>
        <v/>
      </c>
      <c r="C30088" t="inlineStr">
        <is>
          <t>1982-04-24</t>
        </is>
      </c>
    </row>
    <row r="30089">
      <c r="A30089" s="1" t="n">
        <v>30088</v>
      </c>
      <c r="B30089">
        <f>TEXT(30088, "[$-0E0000]yyyy-mm-dd")</f>
        <v/>
      </c>
      <c r="C30089" t="inlineStr">
        <is>
          <t>1982-04-25</t>
        </is>
      </c>
    </row>
    <row r="30090">
      <c r="A30090" s="1" t="n">
        <v>30089</v>
      </c>
      <c r="B30090">
        <f>TEXT(30089, "[$-0E0000]yyyy-mm-dd")</f>
        <v/>
      </c>
      <c r="C30090" t="inlineStr">
        <is>
          <t>1982-04-26</t>
        </is>
      </c>
    </row>
    <row r="30091">
      <c r="A30091" s="1" t="n">
        <v>30090</v>
      </c>
      <c r="B30091">
        <f>TEXT(30090, "[$-0E0000]yyyy-mm-dd")</f>
        <v/>
      </c>
      <c r="C30091" t="inlineStr">
        <is>
          <t>1982-04-27</t>
        </is>
      </c>
    </row>
    <row r="30092">
      <c r="A30092" s="1" t="n">
        <v>30091</v>
      </c>
      <c r="B30092">
        <f>TEXT(30091, "[$-0E0000]yyyy-mm-dd")</f>
        <v/>
      </c>
      <c r="C30092" t="inlineStr">
        <is>
          <t>1982-04-28</t>
        </is>
      </c>
    </row>
    <row r="30093">
      <c r="A30093" s="1" t="n">
        <v>30092</v>
      </c>
      <c r="B30093">
        <f>TEXT(30092, "[$-0E0000]yyyy-mm-dd")</f>
        <v/>
      </c>
      <c r="C30093" t="inlineStr">
        <is>
          <t>1982-04-29</t>
        </is>
      </c>
    </row>
    <row r="30094">
      <c r="A30094" s="1" t="n">
        <v>30093</v>
      </c>
      <c r="B30094">
        <f>TEXT(30093, "[$-0E0000]yyyy-mm-dd")</f>
        <v/>
      </c>
      <c r="C30094" t="inlineStr">
        <is>
          <t>1982-04-01</t>
        </is>
      </c>
    </row>
    <row r="30095">
      <c r="A30095" s="1" t="n">
        <v>30094</v>
      </c>
      <c r="B30095">
        <f>TEXT(30094, "[$-0E0000]yyyy-mm-dd")</f>
        <v/>
      </c>
      <c r="C30095" t="inlineStr">
        <is>
          <t>1982-04-02</t>
        </is>
      </c>
    </row>
    <row r="30096">
      <c r="A30096" s="1" t="n">
        <v>30095</v>
      </c>
      <c r="B30096">
        <f>TEXT(30095, "[$-0E0000]yyyy-mm-dd")</f>
        <v/>
      </c>
      <c r="C30096" t="inlineStr">
        <is>
          <t>1982-04-03</t>
        </is>
      </c>
    </row>
    <row r="30097">
      <c r="A30097" s="1" t="n">
        <v>30096</v>
      </c>
      <c r="B30097">
        <f>TEXT(30096, "[$-0E0000]yyyy-mm-dd")</f>
        <v/>
      </c>
      <c r="C30097" t="inlineStr">
        <is>
          <t>1982-04-04</t>
        </is>
      </c>
    </row>
    <row r="30098">
      <c r="A30098" s="1" t="n">
        <v>30097</v>
      </c>
      <c r="B30098">
        <f>TEXT(30097, "[$-0E0000]yyyy-mm-dd")</f>
        <v/>
      </c>
      <c r="C30098" t="inlineStr">
        <is>
          <t>1982-04-05</t>
        </is>
      </c>
    </row>
    <row r="30099">
      <c r="A30099" s="1" t="n">
        <v>30098</v>
      </c>
      <c r="B30099">
        <f>TEXT(30098, "[$-0E0000]yyyy-mm-dd")</f>
        <v/>
      </c>
      <c r="C30099" t="inlineStr">
        <is>
          <t>1982-04-06</t>
        </is>
      </c>
    </row>
    <row r="30100">
      <c r="A30100" s="1" t="n">
        <v>30099</v>
      </c>
      <c r="B30100">
        <f>TEXT(30099, "[$-0E0000]yyyy-mm-dd")</f>
        <v/>
      </c>
      <c r="C30100" t="inlineStr">
        <is>
          <t>1982-04-07</t>
        </is>
      </c>
    </row>
    <row r="30101">
      <c r="A30101" s="1" t="n">
        <v>30100</v>
      </c>
      <c r="B30101">
        <f>TEXT(30100, "[$-0E0000]yyyy-mm-dd")</f>
        <v/>
      </c>
      <c r="C30101" t="inlineStr">
        <is>
          <t>1982-04-08</t>
        </is>
      </c>
    </row>
    <row r="30102">
      <c r="A30102" s="1" t="n">
        <v>30101</v>
      </c>
      <c r="B30102">
        <f>TEXT(30101, "[$-0E0000]yyyy-mm-dd")</f>
        <v/>
      </c>
      <c r="C30102" t="inlineStr">
        <is>
          <t>1982-04-09</t>
        </is>
      </c>
    </row>
    <row r="30103">
      <c r="A30103" s="1" t="n">
        <v>30102</v>
      </c>
      <c r="B30103">
        <f>TEXT(30102, "[$-0E0000]yyyy-mm-dd")</f>
        <v/>
      </c>
      <c r="C30103" t="inlineStr">
        <is>
          <t>1982-04-10</t>
        </is>
      </c>
    </row>
    <row r="30104">
      <c r="A30104" s="1" t="n">
        <v>30103</v>
      </c>
      <c r="B30104">
        <f>TEXT(30103, "[$-0E0000]yyyy-mm-dd")</f>
        <v/>
      </c>
      <c r="C30104" t="inlineStr">
        <is>
          <t>1982-04-11</t>
        </is>
      </c>
    </row>
    <row r="30105">
      <c r="A30105" s="1" t="n">
        <v>30104</v>
      </c>
      <c r="B30105">
        <f>TEXT(30104, "[$-0E0000]yyyy-mm-dd")</f>
        <v/>
      </c>
      <c r="C30105" t="inlineStr">
        <is>
          <t>1982-04-12</t>
        </is>
      </c>
    </row>
    <row r="30106">
      <c r="A30106" s="1" t="n">
        <v>30105</v>
      </c>
      <c r="B30106">
        <f>TEXT(30105, "[$-0E0000]yyyy-mm-dd")</f>
        <v/>
      </c>
      <c r="C30106" t="inlineStr">
        <is>
          <t>1982-04-13</t>
        </is>
      </c>
    </row>
    <row r="30107">
      <c r="A30107" s="1" t="n">
        <v>30106</v>
      </c>
      <c r="B30107">
        <f>TEXT(30106, "[$-0E0000]yyyy-mm-dd")</f>
        <v/>
      </c>
      <c r="C30107" t="inlineStr">
        <is>
          <t>1982-04-14</t>
        </is>
      </c>
    </row>
    <row r="30108">
      <c r="A30108" s="1" t="n">
        <v>30107</v>
      </c>
      <c r="B30108">
        <f>TEXT(30107, "[$-0E0000]yyyy-mm-dd")</f>
        <v/>
      </c>
      <c r="C30108" t="inlineStr">
        <is>
          <t>1982-04-15</t>
        </is>
      </c>
    </row>
    <row r="30109">
      <c r="A30109" s="1" t="n">
        <v>30108</v>
      </c>
      <c r="B30109">
        <f>TEXT(30108, "[$-0E0000]yyyy-mm-dd")</f>
        <v/>
      </c>
      <c r="C30109" t="inlineStr">
        <is>
          <t>1982-04-16</t>
        </is>
      </c>
    </row>
    <row r="30110">
      <c r="A30110" s="1" t="n">
        <v>30109</v>
      </c>
      <c r="B30110">
        <f>TEXT(30109, "[$-0E0000]yyyy-mm-dd")</f>
        <v/>
      </c>
      <c r="C30110" t="inlineStr">
        <is>
          <t>1982-04-17</t>
        </is>
      </c>
    </row>
    <row r="30111">
      <c r="A30111" s="1" t="n">
        <v>30110</v>
      </c>
      <c r="B30111">
        <f>TEXT(30110, "[$-0E0000]yyyy-mm-dd")</f>
        <v/>
      </c>
      <c r="C30111" t="inlineStr">
        <is>
          <t>1982-04-18</t>
        </is>
      </c>
    </row>
    <row r="30112">
      <c r="A30112" s="1" t="n">
        <v>30111</v>
      </c>
      <c r="B30112">
        <f>TEXT(30111, "[$-0E0000]yyyy-mm-dd")</f>
        <v/>
      </c>
      <c r="C30112" t="inlineStr">
        <is>
          <t>1982-04-19</t>
        </is>
      </c>
    </row>
    <row r="30113">
      <c r="A30113" s="1" t="n">
        <v>30112</v>
      </c>
      <c r="B30113">
        <f>TEXT(30112, "[$-0E0000]yyyy-mm-dd")</f>
        <v/>
      </c>
      <c r="C30113" t="inlineStr">
        <is>
          <t>1982-04-20</t>
        </is>
      </c>
    </row>
    <row r="30114">
      <c r="A30114" s="1" t="n">
        <v>30113</v>
      </c>
      <c r="B30114">
        <f>TEXT(30113, "[$-0E0000]yyyy-mm-dd")</f>
        <v/>
      </c>
      <c r="C30114" t="inlineStr">
        <is>
          <t>1982-04-21</t>
        </is>
      </c>
    </row>
    <row r="30115">
      <c r="A30115" s="1" t="n">
        <v>30114</v>
      </c>
      <c r="B30115">
        <f>TEXT(30114, "[$-0E0000]yyyy-mm-dd")</f>
        <v/>
      </c>
      <c r="C30115" t="inlineStr">
        <is>
          <t>1982-04-22</t>
        </is>
      </c>
    </row>
    <row r="30116">
      <c r="A30116" s="1" t="n">
        <v>30115</v>
      </c>
      <c r="B30116">
        <f>TEXT(30115, "[$-0E0000]yyyy-mm-dd")</f>
        <v/>
      </c>
      <c r="C30116" t="inlineStr">
        <is>
          <t>1982-04-23</t>
        </is>
      </c>
    </row>
    <row r="30117">
      <c r="A30117" s="1" t="n">
        <v>30116</v>
      </c>
      <c r="B30117">
        <f>TEXT(30116, "[$-0E0000]yyyy-mm-dd")</f>
        <v/>
      </c>
      <c r="C30117" t="inlineStr">
        <is>
          <t>1982-04-24</t>
        </is>
      </c>
    </row>
    <row r="30118">
      <c r="A30118" s="1" t="n">
        <v>30117</v>
      </c>
      <c r="B30118">
        <f>TEXT(30117, "[$-0E0000]yyyy-mm-dd")</f>
        <v/>
      </c>
      <c r="C30118" t="inlineStr">
        <is>
          <t>1982-04-25</t>
        </is>
      </c>
    </row>
    <row r="30119">
      <c r="A30119" s="1" t="n">
        <v>30118</v>
      </c>
      <c r="B30119">
        <f>TEXT(30118, "[$-0E0000]yyyy-mm-dd")</f>
        <v/>
      </c>
      <c r="C30119" t="inlineStr">
        <is>
          <t>1982-04-26</t>
        </is>
      </c>
    </row>
    <row r="30120">
      <c r="A30120" s="1" t="n">
        <v>30119</v>
      </c>
      <c r="B30120">
        <f>TEXT(30119, "[$-0E0000]yyyy-mm-dd")</f>
        <v/>
      </c>
      <c r="C30120" t="inlineStr">
        <is>
          <t>1982-04-27</t>
        </is>
      </c>
    </row>
    <row r="30121">
      <c r="A30121" s="1" t="n">
        <v>30120</v>
      </c>
      <c r="B30121">
        <f>TEXT(30120, "[$-0E0000]yyyy-mm-dd")</f>
        <v/>
      </c>
      <c r="C30121" t="inlineStr">
        <is>
          <t>1982-04-28</t>
        </is>
      </c>
    </row>
    <row r="30122">
      <c r="A30122" s="1" t="n">
        <v>30121</v>
      </c>
      <c r="B30122">
        <f>TEXT(30121, "[$-0E0000]yyyy-mm-dd")</f>
        <v/>
      </c>
      <c r="C30122" t="inlineStr">
        <is>
          <t>1982-04-29</t>
        </is>
      </c>
    </row>
    <row r="30123">
      <c r="A30123" s="1" t="n">
        <v>30122</v>
      </c>
      <c r="B30123">
        <f>TEXT(30122, "[$-0E0000]yyyy-mm-dd")</f>
        <v/>
      </c>
      <c r="C30123" t="inlineStr">
        <is>
          <t>1982-05-01</t>
        </is>
      </c>
    </row>
    <row r="30124">
      <c r="A30124" s="1" t="n">
        <v>30123</v>
      </c>
      <c r="B30124">
        <f>TEXT(30123, "[$-0E0000]yyyy-mm-dd")</f>
        <v/>
      </c>
      <c r="C30124" t="inlineStr">
        <is>
          <t>1982-05-02</t>
        </is>
      </c>
    </row>
    <row r="30125">
      <c r="A30125" s="1" t="n">
        <v>30124</v>
      </c>
      <c r="B30125">
        <f>TEXT(30124, "[$-0E0000]yyyy-mm-dd")</f>
        <v/>
      </c>
      <c r="C30125" t="inlineStr">
        <is>
          <t>1982-05-03</t>
        </is>
      </c>
    </row>
    <row r="30126">
      <c r="A30126" s="1" t="n">
        <v>30125</v>
      </c>
      <c r="B30126">
        <f>TEXT(30125, "[$-0E0000]yyyy-mm-dd")</f>
        <v/>
      </c>
      <c r="C30126" t="inlineStr">
        <is>
          <t>1982-05-04</t>
        </is>
      </c>
    </row>
    <row r="30127">
      <c r="A30127" s="1" t="n">
        <v>30126</v>
      </c>
      <c r="B30127">
        <f>TEXT(30126, "[$-0E0000]yyyy-mm-dd")</f>
        <v/>
      </c>
      <c r="C30127" t="inlineStr">
        <is>
          <t>1982-05-05</t>
        </is>
      </c>
    </row>
    <row r="30128">
      <c r="A30128" s="1" t="n">
        <v>30127</v>
      </c>
      <c r="B30128">
        <f>TEXT(30127, "[$-0E0000]yyyy-mm-dd")</f>
        <v/>
      </c>
      <c r="C30128" t="inlineStr">
        <is>
          <t>1982-05-06</t>
        </is>
      </c>
    </row>
    <row r="30129">
      <c r="A30129" s="1" t="n">
        <v>30128</v>
      </c>
      <c r="B30129">
        <f>TEXT(30128, "[$-0E0000]yyyy-mm-dd")</f>
        <v/>
      </c>
      <c r="C30129" t="inlineStr">
        <is>
          <t>1982-05-07</t>
        </is>
      </c>
    </row>
    <row r="30130">
      <c r="A30130" s="1" t="n">
        <v>30129</v>
      </c>
      <c r="B30130">
        <f>TEXT(30129, "[$-0E0000]yyyy-mm-dd")</f>
        <v/>
      </c>
      <c r="C30130" t="inlineStr">
        <is>
          <t>1982-05-08</t>
        </is>
      </c>
    </row>
    <row r="30131">
      <c r="A30131" s="1" t="n">
        <v>30130</v>
      </c>
      <c r="B30131">
        <f>TEXT(30130, "[$-0E0000]yyyy-mm-dd")</f>
        <v/>
      </c>
      <c r="C30131" t="inlineStr">
        <is>
          <t>1982-05-09</t>
        </is>
      </c>
    </row>
    <row r="30132">
      <c r="A30132" s="1" t="n">
        <v>30131</v>
      </c>
      <c r="B30132">
        <f>TEXT(30131, "[$-0E0000]yyyy-mm-dd")</f>
        <v/>
      </c>
      <c r="C30132" t="inlineStr">
        <is>
          <t>1982-05-10</t>
        </is>
      </c>
    </row>
    <row r="30133">
      <c r="A30133" s="1" t="n">
        <v>30132</v>
      </c>
      <c r="B30133">
        <f>TEXT(30132, "[$-0E0000]yyyy-mm-dd")</f>
        <v/>
      </c>
      <c r="C30133" t="inlineStr">
        <is>
          <t>1982-05-11</t>
        </is>
      </c>
    </row>
    <row r="30134">
      <c r="A30134" s="1" t="n">
        <v>30133</v>
      </c>
      <c r="B30134">
        <f>TEXT(30133, "[$-0E0000]yyyy-mm-dd")</f>
        <v/>
      </c>
      <c r="C30134" t="inlineStr">
        <is>
          <t>1982-05-12</t>
        </is>
      </c>
    </row>
    <row r="30135">
      <c r="A30135" s="1" t="n">
        <v>30134</v>
      </c>
      <c r="B30135">
        <f>TEXT(30134, "[$-0E0000]yyyy-mm-dd")</f>
        <v/>
      </c>
      <c r="C30135" t="inlineStr">
        <is>
          <t>1982-05-13</t>
        </is>
      </c>
    </row>
    <row r="30136">
      <c r="A30136" s="1" t="n">
        <v>30135</v>
      </c>
      <c r="B30136">
        <f>TEXT(30135, "[$-0E0000]yyyy-mm-dd")</f>
        <v/>
      </c>
      <c r="C30136" t="inlineStr">
        <is>
          <t>1982-05-14</t>
        </is>
      </c>
    </row>
    <row r="30137">
      <c r="A30137" s="1" t="n">
        <v>30136</v>
      </c>
      <c r="B30137">
        <f>TEXT(30136, "[$-0E0000]yyyy-mm-dd")</f>
        <v/>
      </c>
      <c r="C30137" t="inlineStr">
        <is>
          <t>1982-05-15</t>
        </is>
      </c>
    </row>
    <row r="30138">
      <c r="A30138" s="1" t="n">
        <v>30137</v>
      </c>
      <c r="B30138">
        <f>TEXT(30137, "[$-0E0000]yyyy-mm-dd")</f>
        <v/>
      </c>
      <c r="C30138" t="inlineStr">
        <is>
          <t>1982-05-16</t>
        </is>
      </c>
    </row>
    <row r="30139">
      <c r="A30139" s="1" t="n">
        <v>30138</v>
      </c>
      <c r="B30139">
        <f>TEXT(30138, "[$-0E0000]yyyy-mm-dd")</f>
        <v/>
      </c>
      <c r="C30139" t="inlineStr">
        <is>
          <t>1982-05-17</t>
        </is>
      </c>
    </row>
    <row r="30140">
      <c r="A30140" s="1" t="n">
        <v>30139</v>
      </c>
      <c r="B30140">
        <f>TEXT(30139, "[$-0E0000]yyyy-mm-dd")</f>
        <v/>
      </c>
      <c r="C30140" t="inlineStr">
        <is>
          <t>1982-05-18</t>
        </is>
      </c>
    </row>
    <row r="30141">
      <c r="A30141" s="1" t="n">
        <v>30140</v>
      </c>
      <c r="B30141">
        <f>TEXT(30140, "[$-0E0000]yyyy-mm-dd")</f>
        <v/>
      </c>
      <c r="C30141" t="inlineStr">
        <is>
          <t>1982-05-19</t>
        </is>
      </c>
    </row>
    <row r="30142">
      <c r="A30142" s="1" t="n">
        <v>30141</v>
      </c>
      <c r="B30142">
        <f>TEXT(30141, "[$-0E0000]yyyy-mm-dd")</f>
        <v/>
      </c>
      <c r="C30142" t="inlineStr">
        <is>
          <t>1982-05-20</t>
        </is>
      </c>
    </row>
    <row r="30143">
      <c r="A30143" s="1" t="n">
        <v>30142</v>
      </c>
      <c r="B30143">
        <f>TEXT(30142, "[$-0E0000]yyyy-mm-dd")</f>
        <v/>
      </c>
      <c r="C30143" t="inlineStr">
        <is>
          <t>1982-05-21</t>
        </is>
      </c>
    </row>
    <row r="30144">
      <c r="A30144" s="1" t="n">
        <v>30143</v>
      </c>
      <c r="B30144">
        <f>TEXT(30143, "[$-0E0000]yyyy-mm-dd")</f>
        <v/>
      </c>
      <c r="C30144" t="inlineStr">
        <is>
          <t>1982-05-22</t>
        </is>
      </c>
    </row>
    <row r="30145">
      <c r="A30145" s="1" t="n">
        <v>30144</v>
      </c>
      <c r="B30145">
        <f>TEXT(30144, "[$-0E0000]yyyy-mm-dd")</f>
        <v/>
      </c>
      <c r="C30145" t="inlineStr">
        <is>
          <t>1982-05-23</t>
        </is>
      </c>
    </row>
    <row r="30146">
      <c r="A30146" s="1" t="n">
        <v>30145</v>
      </c>
      <c r="B30146">
        <f>TEXT(30145, "[$-0E0000]yyyy-mm-dd")</f>
        <v/>
      </c>
      <c r="C30146" t="inlineStr">
        <is>
          <t>1982-05-24</t>
        </is>
      </c>
    </row>
    <row r="30147">
      <c r="A30147" s="1" t="n">
        <v>30146</v>
      </c>
      <c r="B30147">
        <f>TEXT(30146, "[$-0E0000]yyyy-mm-dd")</f>
        <v/>
      </c>
      <c r="C30147" t="inlineStr">
        <is>
          <t>1982-05-25</t>
        </is>
      </c>
    </row>
    <row r="30148">
      <c r="A30148" s="1" t="n">
        <v>30147</v>
      </c>
      <c r="B30148">
        <f>TEXT(30147, "[$-0E0000]yyyy-mm-dd")</f>
        <v/>
      </c>
      <c r="C30148" t="inlineStr">
        <is>
          <t>1982-05-26</t>
        </is>
      </c>
    </row>
    <row r="30149">
      <c r="A30149" s="1" t="n">
        <v>30148</v>
      </c>
      <c r="B30149">
        <f>TEXT(30148, "[$-0E0000]yyyy-mm-dd")</f>
        <v/>
      </c>
      <c r="C30149" t="inlineStr">
        <is>
          <t>1982-05-27</t>
        </is>
      </c>
    </row>
    <row r="30150">
      <c r="A30150" s="1" t="n">
        <v>30149</v>
      </c>
      <c r="B30150">
        <f>TEXT(30149, "[$-0E0000]yyyy-mm-dd")</f>
        <v/>
      </c>
      <c r="C30150" t="inlineStr">
        <is>
          <t>1982-05-28</t>
        </is>
      </c>
    </row>
    <row r="30151">
      <c r="A30151" s="1" t="n">
        <v>30150</v>
      </c>
      <c r="B30151">
        <f>TEXT(30150, "[$-0E0000]yyyy-mm-dd")</f>
        <v/>
      </c>
      <c r="C30151" t="inlineStr">
        <is>
          <t>1982-05-29</t>
        </is>
      </c>
    </row>
    <row r="30152">
      <c r="A30152" s="1" t="n">
        <v>30151</v>
      </c>
      <c r="B30152">
        <f>TEXT(30151, "[$-0E0000]yyyy-mm-dd")</f>
        <v/>
      </c>
      <c r="C30152" t="inlineStr">
        <is>
          <t>1982-05-30</t>
        </is>
      </c>
    </row>
    <row r="30153">
      <c r="A30153" s="1" t="n">
        <v>30152</v>
      </c>
      <c r="B30153">
        <f>TEXT(30152, "[$-0E0000]yyyy-mm-dd")</f>
        <v/>
      </c>
      <c r="C30153" t="inlineStr">
        <is>
          <t>1982-06-01</t>
        </is>
      </c>
    </row>
    <row r="30154">
      <c r="A30154" s="1" t="n">
        <v>30153</v>
      </c>
      <c r="B30154">
        <f>TEXT(30153, "[$-0E0000]yyyy-mm-dd")</f>
        <v/>
      </c>
      <c r="C30154" t="inlineStr">
        <is>
          <t>1982-06-02</t>
        </is>
      </c>
    </row>
    <row r="30155">
      <c r="A30155" s="1" t="n">
        <v>30154</v>
      </c>
      <c r="B30155">
        <f>TEXT(30154, "[$-0E0000]yyyy-mm-dd")</f>
        <v/>
      </c>
      <c r="C30155" t="inlineStr">
        <is>
          <t>1982-06-03</t>
        </is>
      </c>
    </row>
    <row r="30156">
      <c r="A30156" s="1" t="n">
        <v>30155</v>
      </c>
      <c r="B30156">
        <f>TEXT(30155, "[$-0E0000]yyyy-mm-dd")</f>
        <v/>
      </c>
      <c r="C30156" t="inlineStr">
        <is>
          <t>1982-06-04</t>
        </is>
      </c>
    </row>
    <row r="30157">
      <c r="A30157" s="1" t="n">
        <v>30156</v>
      </c>
      <c r="B30157">
        <f>TEXT(30156, "[$-0E0000]yyyy-mm-dd")</f>
        <v/>
      </c>
      <c r="C30157" t="inlineStr">
        <is>
          <t>1982-06-05</t>
        </is>
      </c>
    </row>
    <row r="30158">
      <c r="A30158" s="1" t="n">
        <v>30157</v>
      </c>
      <c r="B30158">
        <f>TEXT(30157, "[$-0E0000]yyyy-mm-dd")</f>
        <v/>
      </c>
      <c r="C30158" t="inlineStr">
        <is>
          <t>1982-06-06</t>
        </is>
      </c>
    </row>
    <row r="30159">
      <c r="A30159" s="1" t="n">
        <v>30158</v>
      </c>
      <c r="B30159">
        <f>TEXT(30158, "[$-0E0000]yyyy-mm-dd")</f>
        <v/>
      </c>
      <c r="C30159" t="inlineStr">
        <is>
          <t>1982-06-07</t>
        </is>
      </c>
    </row>
    <row r="30160">
      <c r="A30160" s="1" t="n">
        <v>30159</v>
      </c>
      <c r="B30160">
        <f>TEXT(30159, "[$-0E0000]yyyy-mm-dd")</f>
        <v/>
      </c>
      <c r="C30160" t="inlineStr">
        <is>
          <t>1982-06-08</t>
        </is>
      </c>
    </row>
    <row r="30161">
      <c r="A30161" s="1" t="n">
        <v>30160</v>
      </c>
      <c r="B30161">
        <f>TEXT(30160, "[$-0E0000]yyyy-mm-dd")</f>
        <v/>
      </c>
      <c r="C30161" t="inlineStr">
        <is>
          <t>1982-06-09</t>
        </is>
      </c>
    </row>
    <row r="30162">
      <c r="A30162" s="1" t="n">
        <v>30161</v>
      </c>
      <c r="B30162">
        <f>TEXT(30161, "[$-0E0000]yyyy-mm-dd")</f>
        <v/>
      </c>
      <c r="C30162" t="inlineStr">
        <is>
          <t>1982-06-10</t>
        </is>
      </c>
    </row>
    <row r="30163">
      <c r="A30163" s="1" t="n">
        <v>30162</v>
      </c>
      <c r="B30163">
        <f>TEXT(30162, "[$-0E0000]yyyy-mm-dd")</f>
        <v/>
      </c>
      <c r="C30163" t="inlineStr">
        <is>
          <t>1982-06-11</t>
        </is>
      </c>
    </row>
    <row r="30164">
      <c r="A30164" s="1" t="n">
        <v>30163</v>
      </c>
      <c r="B30164">
        <f>TEXT(30163, "[$-0E0000]yyyy-mm-dd")</f>
        <v/>
      </c>
      <c r="C30164" t="inlineStr">
        <is>
          <t>1982-06-12</t>
        </is>
      </c>
    </row>
    <row r="30165">
      <c r="A30165" s="1" t="n">
        <v>30164</v>
      </c>
      <c r="B30165">
        <f>TEXT(30164, "[$-0E0000]yyyy-mm-dd")</f>
        <v/>
      </c>
      <c r="C30165" t="inlineStr">
        <is>
          <t>1982-06-13</t>
        </is>
      </c>
    </row>
    <row r="30166">
      <c r="A30166" s="1" t="n">
        <v>30165</v>
      </c>
      <c r="B30166">
        <f>TEXT(30165, "[$-0E0000]yyyy-mm-dd")</f>
        <v/>
      </c>
      <c r="C30166" t="inlineStr">
        <is>
          <t>1982-06-14</t>
        </is>
      </c>
    </row>
    <row r="30167">
      <c r="A30167" s="1" t="n">
        <v>30166</v>
      </c>
      <c r="B30167">
        <f>TEXT(30166, "[$-0E0000]yyyy-mm-dd")</f>
        <v/>
      </c>
      <c r="C30167" t="inlineStr">
        <is>
          <t>1982-06-15</t>
        </is>
      </c>
    </row>
    <row r="30168">
      <c r="A30168" s="1" t="n">
        <v>30167</v>
      </c>
      <c r="B30168">
        <f>TEXT(30167, "[$-0E0000]yyyy-mm-dd")</f>
        <v/>
      </c>
      <c r="C30168" t="inlineStr">
        <is>
          <t>1982-06-16</t>
        </is>
      </c>
    </row>
    <row r="30169">
      <c r="A30169" s="1" t="n">
        <v>30168</v>
      </c>
      <c r="B30169">
        <f>TEXT(30168, "[$-0E0000]yyyy-mm-dd")</f>
        <v/>
      </c>
      <c r="C30169" t="inlineStr">
        <is>
          <t>1982-06-17</t>
        </is>
      </c>
    </row>
    <row r="30170">
      <c r="A30170" s="1" t="n">
        <v>30169</v>
      </c>
      <c r="B30170">
        <f>TEXT(30169, "[$-0E0000]yyyy-mm-dd")</f>
        <v/>
      </c>
      <c r="C30170" t="inlineStr">
        <is>
          <t>1982-06-18</t>
        </is>
      </c>
    </row>
    <row r="30171">
      <c r="A30171" s="1" t="n">
        <v>30170</v>
      </c>
      <c r="B30171">
        <f>TEXT(30170, "[$-0E0000]yyyy-mm-dd")</f>
        <v/>
      </c>
      <c r="C30171" t="inlineStr">
        <is>
          <t>1982-06-19</t>
        </is>
      </c>
    </row>
    <row r="30172">
      <c r="A30172" s="1" t="n">
        <v>30171</v>
      </c>
      <c r="B30172">
        <f>TEXT(30171, "[$-0E0000]yyyy-mm-dd")</f>
        <v/>
      </c>
      <c r="C30172" t="inlineStr">
        <is>
          <t>1982-06-20</t>
        </is>
      </c>
    </row>
    <row r="30173">
      <c r="A30173" s="1" t="n">
        <v>30172</v>
      </c>
      <c r="B30173">
        <f>TEXT(30172, "[$-0E0000]yyyy-mm-dd")</f>
        <v/>
      </c>
      <c r="C30173" t="inlineStr">
        <is>
          <t>1982-06-21</t>
        </is>
      </c>
    </row>
    <row r="30174">
      <c r="A30174" s="1" t="n">
        <v>30173</v>
      </c>
      <c r="B30174">
        <f>TEXT(30173, "[$-0E0000]yyyy-mm-dd")</f>
        <v/>
      </c>
      <c r="C30174" t="inlineStr">
        <is>
          <t>1982-06-22</t>
        </is>
      </c>
    </row>
    <row r="30175">
      <c r="A30175" s="1" t="n">
        <v>30174</v>
      </c>
      <c r="B30175">
        <f>TEXT(30174, "[$-0E0000]yyyy-mm-dd")</f>
        <v/>
      </c>
      <c r="C30175" t="inlineStr">
        <is>
          <t>1982-06-23</t>
        </is>
      </c>
    </row>
    <row r="30176">
      <c r="A30176" s="1" t="n">
        <v>30175</v>
      </c>
      <c r="B30176">
        <f>TEXT(30175, "[$-0E0000]yyyy-mm-dd")</f>
        <v/>
      </c>
      <c r="C30176" t="inlineStr">
        <is>
          <t>1982-06-24</t>
        </is>
      </c>
    </row>
    <row r="30177">
      <c r="A30177" s="1" t="n">
        <v>30176</v>
      </c>
      <c r="B30177">
        <f>TEXT(30176, "[$-0E0000]yyyy-mm-dd")</f>
        <v/>
      </c>
      <c r="C30177" t="inlineStr">
        <is>
          <t>1982-06-25</t>
        </is>
      </c>
    </row>
    <row r="30178">
      <c r="A30178" s="1" t="n">
        <v>30177</v>
      </c>
      <c r="B30178">
        <f>TEXT(30177, "[$-0E0000]yyyy-mm-dd")</f>
        <v/>
      </c>
      <c r="C30178" t="inlineStr">
        <is>
          <t>1982-06-26</t>
        </is>
      </c>
    </row>
    <row r="30179">
      <c r="A30179" s="1" t="n">
        <v>30178</v>
      </c>
      <c r="B30179">
        <f>TEXT(30178, "[$-0E0000]yyyy-mm-dd")</f>
        <v/>
      </c>
      <c r="C30179" t="inlineStr">
        <is>
          <t>1982-06-27</t>
        </is>
      </c>
    </row>
    <row r="30180">
      <c r="A30180" s="1" t="n">
        <v>30179</v>
      </c>
      <c r="B30180">
        <f>TEXT(30179, "[$-0E0000]yyyy-mm-dd")</f>
        <v/>
      </c>
      <c r="C30180" t="inlineStr">
        <is>
          <t>1982-06-28</t>
        </is>
      </c>
    </row>
    <row r="30181">
      <c r="A30181" s="1" t="n">
        <v>30180</v>
      </c>
      <c r="B30181">
        <f>TEXT(30180, "[$-0E0000]yyyy-mm-dd")</f>
        <v/>
      </c>
      <c r="C30181" t="inlineStr">
        <is>
          <t>1982-06-29</t>
        </is>
      </c>
    </row>
    <row r="30182">
      <c r="A30182" s="1" t="n">
        <v>30181</v>
      </c>
      <c r="B30182">
        <f>TEXT(30181, "[$-0E0000]yyyy-mm-dd")</f>
        <v/>
      </c>
      <c r="C30182" t="inlineStr">
        <is>
          <t>1982-07-01</t>
        </is>
      </c>
    </row>
    <row r="30183">
      <c r="A30183" s="1" t="n">
        <v>30182</v>
      </c>
      <c r="B30183">
        <f>TEXT(30182, "[$-0E0000]yyyy-mm-dd")</f>
        <v/>
      </c>
      <c r="C30183" t="inlineStr">
        <is>
          <t>1982-07-02</t>
        </is>
      </c>
    </row>
    <row r="30184">
      <c r="A30184" s="1" t="n">
        <v>30183</v>
      </c>
      <c r="B30184">
        <f>TEXT(30183, "[$-0E0000]yyyy-mm-dd")</f>
        <v/>
      </c>
      <c r="C30184" t="inlineStr">
        <is>
          <t>1982-07-03</t>
        </is>
      </c>
    </row>
    <row r="30185">
      <c r="A30185" s="1" t="n">
        <v>30184</v>
      </c>
      <c r="B30185">
        <f>TEXT(30184, "[$-0E0000]yyyy-mm-dd")</f>
        <v/>
      </c>
      <c r="C30185" t="inlineStr">
        <is>
          <t>1982-07-04</t>
        </is>
      </c>
    </row>
    <row r="30186">
      <c r="A30186" s="1" t="n">
        <v>30185</v>
      </c>
      <c r="B30186">
        <f>TEXT(30185, "[$-0E0000]yyyy-mm-dd")</f>
        <v/>
      </c>
      <c r="C30186" t="inlineStr">
        <is>
          <t>1982-07-05</t>
        </is>
      </c>
    </row>
    <row r="30187">
      <c r="A30187" s="1" t="n">
        <v>30186</v>
      </c>
      <c r="B30187">
        <f>TEXT(30186, "[$-0E0000]yyyy-mm-dd")</f>
        <v/>
      </c>
      <c r="C30187" t="inlineStr">
        <is>
          <t>1982-07-06</t>
        </is>
      </c>
    </row>
    <row r="30188">
      <c r="A30188" s="1" t="n">
        <v>30187</v>
      </c>
      <c r="B30188">
        <f>TEXT(30187, "[$-0E0000]yyyy-mm-dd")</f>
        <v/>
      </c>
      <c r="C30188" t="inlineStr">
        <is>
          <t>1982-07-07</t>
        </is>
      </c>
    </row>
    <row r="30189">
      <c r="A30189" s="1" t="n">
        <v>30188</v>
      </c>
      <c r="B30189">
        <f>TEXT(30188, "[$-0E0000]yyyy-mm-dd")</f>
        <v/>
      </c>
      <c r="C30189" t="inlineStr">
        <is>
          <t>1982-07-08</t>
        </is>
      </c>
    </row>
    <row r="30190">
      <c r="A30190" s="1" t="n">
        <v>30189</v>
      </c>
      <c r="B30190">
        <f>TEXT(30189, "[$-0E0000]yyyy-mm-dd")</f>
        <v/>
      </c>
      <c r="C30190" t="inlineStr">
        <is>
          <t>1982-07-09</t>
        </is>
      </c>
    </row>
    <row r="30191">
      <c r="A30191" s="1" t="n">
        <v>30190</v>
      </c>
      <c r="B30191">
        <f>TEXT(30190, "[$-0E0000]yyyy-mm-dd")</f>
        <v/>
      </c>
      <c r="C30191" t="inlineStr">
        <is>
          <t>1982-07-10</t>
        </is>
      </c>
    </row>
    <row r="30192">
      <c r="A30192" s="1" t="n">
        <v>30191</v>
      </c>
      <c r="B30192">
        <f>TEXT(30191, "[$-0E0000]yyyy-mm-dd")</f>
        <v/>
      </c>
      <c r="C30192" t="inlineStr">
        <is>
          <t>1982-07-11</t>
        </is>
      </c>
    </row>
    <row r="30193">
      <c r="A30193" s="1" t="n">
        <v>30192</v>
      </c>
      <c r="B30193">
        <f>TEXT(30192, "[$-0E0000]yyyy-mm-dd")</f>
        <v/>
      </c>
      <c r="C30193" t="inlineStr">
        <is>
          <t>1982-07-12</t>
        </is>
      </c>
    </row>
    <row r="30194">
      <c r="A30194" s="1" t="n">
        <v>30193</v>
      </c>
      <c r="B30194">
        <f>TEXT(30193, "[$-0E0000]yyyy-mm-dd")</f>
        <v/>
      </c>
      <c r="C30194" t="inlineStr">
        <is>
          <t>1982-07-13</t>
        </is>
      </c>
    </row>
    <row r="30195">
      <c r="A30195" s="1" t="n">
        <v>30194</v>
      </c>
      <c r="B30195">
        <f>TEXT(30194, "[$-0E0000]yyyy-mm-dd")</f>
        <v/>
      </c>
      <c r="C30195" t="inlineStr">
        <is>
          <t>1982-07-14</t>
        </is>
      </c>
    </row>
    <row r="30196">
      <c r="A30196" s="1" t="n">
        <v>30195</v>
      </c>
      <c r="B30196">
        <f>TEXT(30195, "[$-0E0000]yyyy-mm-dd")</f>
        <v/>
      </c>
      <c r="C30196" t="inlineStr">
        <is>
          <t>1982-07-15</t>
        </is>
      </c>
    </row>
    <row r="30197">
      <c r="A30197" s="1" t="n">
        <v>30196</v>
      </c>
      <c r="B30197">
        <f>TEXT(30196, "[$-0E0000]yyyy-mm-dd")</f>
        <v/>
      </c>
      <c r="C30197" t="inlineStr">
        <is>
          <t>1982-07-16</t>
        </is>
      </c>
    </row>
    <row r="30198">
      <c r="A30198" s="1" t="n">
        <v>30197</v>
      </c>
      <c r="B30198">
        <f>TEXT(30197, "[$-0E0000]yyyy-mm-dd")</f>
        <v/>
      </c>
      <c r="C30198" t="inlineStr">
        <is>
          <t>1982-07-17</t>
        </is>
      </c>
    </row>
    <row r="30199">
      <c r="A30199" s="1" t="n">
        <v>30198</v>
      </c>
      <c r="B30199">
        <f>TEXT(30198, "[$-0E0000]yyyy-mm-dd")</f>
        <v/>
      </c>
      <c r="C30199" t="inlineStr">
        <is>
          <t>1982-07-18</t>
        </is>
      </c>
    </row>
    <row r="30200">
      <c r="A30200" s="1" t="n">
        <v>30199</v>
      </c>
      <c r="B30200">
        <f>TEXT(30199, "[$-0E0000]yyyy-mm-dd")</f>
        <v/>
      </c>
      <c r="C30200" t="inlineStr">
        <is>
          <t>1982-07-19</t>
        </is>
      </c>
    </row>
    <row r="30201">
      <c r="A30201" s="1" t="n">
        <v>30200</v>
      </c>
      <c r="B30201">
        <f>TEXT(30200, "[$-0E0000]yyyy-mm-dd")</f>
        <v/>
      </c>
      <c r="C30201" t="inlineStr">
        <is>
          <t>1982-07-20</t>
        </is>
      </c>
    </row>
    <row r="30202">
      <c r="A30202" s="1" t="n">
        <v>30201</v>
      </c>
      <c r="B30202">
        <f>TEXT(30201, "[$-0E0000]yyyy-mm-dd")</f>
        <v/>
      </c>
      <c r="C30202" t="inlineStr">
        <is>
          <t>1982-07-21</t>
        </is>
      </c>
    </row>
    <row r="30203">
      <c r="A30203" s="1" t="n">
        <v>30202</v>
      </c>
      <c r="B30203">
        <f>TEXT(30202, "[$-0E0000]yyyy-mm-dd")</f>
        <v/>
      </c>
      <c r="C30203" t="inlineStr">
        <is>
          <t>1982-07-22</t>
        </is>
      </c>
    </row>
    <row r="30204">
      <c r="A30204" s="1" t="n">
        <v>30203</v>
      </c>
      <c r="B30204">
        <f>TEXT(30203, "[$-0E0000]yyyy-mm-dd")</f>
        <v/>
      </c>
      <c r="C30204" t="inlineStr">
        <is>
          <t>1982-07-23</t>
        </is>
      </c>
    </row>
    <row r="30205">
      <c r="A30205" s="1" t="n">
        <v>30204</v>
      </c>
      <c r="B30205">
        <f>TEXT(30204, "[$-0E0000]yyyy-mm-dd")</f>
        <v/>
      </c>
      <c r="C30205" t="inlineStr">
        <is>
          <t>1982-07-24</t>
        </is>
      </c>
    </row>
    <row r="30206">
      <c r="A30206" s="1" t="n">
        <v>30205</v>
      </c>
      <c r="B30206">
        <f>TEXT(30205, "[$-0E0000]yyyy-mm-dd")</f>
        <v/>
      </c>
      <c r="C30206" t="inlineStr">
        <is>
          <t>1982-07-25</t>
        </is>
      </c>
    </row>
    <row r="30207">
      <c r="A30207" s="1" t="n">
        <v>30206</v>
      </c>
      <c r="B30207">
        <f>TEXT(30206, "[$-0E0000]yyyy-mm-dd")</f>
        <v/>
      </c>
      <c r="C30207" t="inlineStr">
        <is>
          <t>1982-07-26</t>
        </is>
      </c>
    </row>
    <row r="30208">
      <c r="A30208" s="1" t="n">
        <v>30207</v>
      </c>
      <c r="B30208">
        <f>TEXT(30207, "[$-0E0000]yyyy-mm-dd")</f>
        <v/>
      </c>
      <c r="C30208" t="inlineStr">
        <is>
          <t>1982-07-27</t>
        </is>
      </c>
    </row>
    <row r="30209">
      <c r="A30209" s="1" t="n">
        <v>30208</v>
      </c>
      <c r="B30209">
        <f>TEXT(30208, "[$-0E0000]yyyy-mm-dd")</f>
        <v/>
      </c>
      <c r="C30209" t="inlineStr">
        <is>
          <t>1982-07-28</t>
        </is>
      </c>
    </row>
    <row r="30210">
      <c r="A30210" s="1" t="n">
        <v>30209</v>
      </c>
      <c r="B30210">
        <f>TEXT(30209, "[$-0E0000]yyyy-mm-dd")</f>
        <v/>
      </c>
      <c r="C30210" t="inlineStr">
        <is>
          <t>1982-07-29</t>
        </is>
      </c>
    </row>
    <row r="30211">
      <c r="A30211" s="1" t="n">
        <v>30210</v>
      </c>
      <c r="B30211">
        <f>TEXT(30210, "[$-0E0000]yyyy-mm-dd")</f>
        <v/>
      </c>
      <c r="C30211" t="inlineStr">
        <is>
          <t>1982-08-01</t>
        </is>
      </c>
    </row>
    <row r="30212">
      <c r="A30212" s="1" t="n">
        <v>30211</v>
      </c>
      <c r="B30212">
        <f>TEXT(30211, "[$-0E0000]yyyy-mm-dd")</f>
        <v/>
      </c>
      <c r="C30212" t="inlineStr">
        <is>
          <t>1982-08-02</t>
        </is>
      </c>
    </row>
    <row r="30213">
      <c r="A30213" s="1" t="n">
        <v>30212</v>
      </c>
      <c r="B30213">
        <f>TEXT(30212, "[$-0E0000]yyyy-mm-dd")</f>
        <v/>
      </c>
      <c r="C30213" t="inlineStr">
        <is>
          <t>1982-08-03</t>
        </is>
      </c>
    </row>
    <row r="30214">
      <c r="A30214" s="1" t="n">
        <v>30213</v>
      </c>
      <c r="B30214">
        <f>TEXT(30213, "[$-0E0000]yyyy-mm-dd")</f>
        <v/>
      </c>
      <c r="C30214" t="inlineStr">
        <is>
          <t>1982-08-04</t>
        </is>
      </c>
    </row>
    <row r="30215">
      <c r="A30215" s="1" t="n">
        <v>30214</v>
      </c>
      <c r="B30215">
        <f>TEXT(30214, "[$-0E0000]yyyy-mm-dd")</f>
        <v/>
      </c>
      <c r="C30215" t="inlineStr">
        <is>
          <t>1982-08-05</t>
        </is>
      </c>
    </row>
    <row r="30216">
      <c r="A30216" s="1" t="n">
        <v>30215</v>
      </c>
      <c r="B30216">
        <f>TEXT(30215, "[$-0E0000]yyyy-mm-dd")</f>
        <v/>
      </c>
      <c r="C30216" t="inlineStr">
        <is>
          <t>1982-08-06</t>
        </is>
      </c>
    </row>
    <row r="30217">
      <c r="A30217" s="1" t="n">
        <v>30216</v>
      </c>
      <c r="B30217">
        <f>TEXT(30216, "[$-0E0000]yyyy-mm-dd")</f>
        <v/>
      </c>
      <c r="C30217" t="inlineStr">
        <is>
          <t>1982-08-07</t>
        </is>
      </c>
    </row>
    <row r="30218">
      <c r="A30218" s="1" t="n">
        <v>30217</v>
      </c>
      <c r="B30218">
        <f>TEXT(30217, "[$-0E0000]yyyy-mm-dd")</f>
        <v/>
      </c>
      <c r="C30218" t="inlineStr">
        <is>
          <t>1982-08-08</t>
        </is>
      </c>
    </row>
    <row r="30219">
      <c r="A30219" s="1" t="n">
        <v>30218</v>
      </c>
      <c r="B30219">
        <f>TEXT(30218, "[$-0E0000]yyyy-mm-dd")</f>
        <v/>
      </c>
      <c r="C30219" t="inlineStr">
        <is>
          <t>1982-08-09</t>
        </is>
      </c>
    </row>
    <row r="30220">
      <c r="A30220" s="1" t="n">
        <v>30219</v>
      </c>
      <c r="B30220">
        <f>TEXT(30219, "[$-0E0000]yyyy-mm-dd")</f>
        <v/>
      </c>
      <c r="C30220" t="inlineStr">
        <is>
          <t>1982-08-10</t>
        </is>
      </c>
    </row>
    <row r="30221">
      <c r="A30221" s="1" t="n">
        <v>30220</v>
      </c>
      <c r="B30221">
        <f>TEXT(30220, "[$-0E0000]yyyy-mm-dd")</f>
        <v/>
      </c>
      <c r="C30221" t="inlineStr">
        <is>
          <t>1982-08-11</t>
        </is>
      </c>
    </row>
    <row r="30222">
      <c r="A30222" s="1" t="n">
        <v>30221</v>
      </c>
      <c r="B30222">
        <f>TEXT(30221, "[$-0E0000]yyyy-mm-dd")</f>
        <v/>
      </c>
      <c r="C30222" t="inlineStr">
        <is>
          <t>1982-08-12</t>
        </is>
      </c>
    </row>
    <row r="30223">
      <c r="A30223" s="1" t="n">
        <v>30222</v>
      </c>
      <c r="B30223">
        <f>TEXT(30222, "[$-0E0000]yyyy-mm-dd")</f>
        <v/>
      </c>
      <c r="C30223" t="inlineStr">
        <is>
          <t>1982-08-13</t>
        </is>
      </c>
    </row>
    <row r="30224">
      <c r="A30224" s="1" t="n">
        <v>30223</v>
      </c>
      <c r="B30224">
        <f>TEXT(30223, "[$-0E0000]yyyy-mm-dd")</f>
        <v/>
      </c>
      <c r="C30224" t="inlineStr">
        <is>
          <t>1982-08-14</t>
        </is>
      </c>
    </row>
    <row r="30225">
      <c r="A30225" s="1" t="n">
        <v>30224</v>
      </c>
      <c r="B30225">
        <f>TEXT(30224, "[$-0E0000]yyyy-mm-dd")</f>
        <v/>
      </c>
      <c r="C30225" t="inlineStr">
        <is>
          <t>1982-08-15</t>
        </is>
      </c>
    </row>
    <row r="30226">
      <c r="A30226" s="1" t="n">
        <v>30225</v>
      </c>
      <c r="B30226">
        <f>TEXT(30225, "[$-0E0000]yyyy-mm-dd")</f>
        <v/>
      </c>
      <c r="C30226" t="inlineStr">
        <is>
          <t>1982-08-16</t>
        </is>
      </c>
    </row>
    <row r="30227">
      <c r="A30227" s="1" t="n">
        <v>30226</v>
      </c>
      <c r="B30227">
        <f>TEXT(30226, "[$-0E0000]yyyy-mm-dd")</f>
        <v/>
      </c>
      <c r="C30227" t="inlineStr">
        <is>
          <t>1982-08-17</t>
        </is>
      </c>
    </row>
    <row r="30228">
      <c r="A30228" s="1" t="n">
        <v>30227</v>
      </c>
      <c r="B30228">
        <f>TEXT(30227, "[$-0E0000]yyyy-mm-dd")</f>
        <v/>
      </c>
      <c r="C30228" t="inlineStr">
        <is>
          <t>1982-08-18</t>
        </is>
      </c>
    </row>
    <row r="30229">
      <c r="A30229" s="1" t="n">
        <v>30228</v>
      </c>
      <c r="B30229">
        <f>TEXT(30228, "[$-0E0000]yyyy-mm-dd")</f>
        <v/>
      </c>
      <c r="C30229" t="inlineStr">
        <is>
          <t>1982-08-19</t>
        </is>
      </c>
    </row>
    <row r="30230">
      <c r="A30230" s="1" t="n">
        <v>30229</v>
      </c>
      <c r="B30230">
        <f>TEXT(30229, "[$-0E0000]yyyy-mm-dd")</f>
        <v/>
      </c>
      <c r="C30230" t="inlineStr">
        <is>
          <t>1982-08-20</t>
        </is>
      </c>
    </row>
    <row r="30231">
      <c r="A30231" s="1" t="n">
        <v>30230</v>
      </c>
      <c r="B30231">
        <f>TEXT(30230, "[$-0E0000]yyyy-mm-dd")</f>
        <v/>
      </c>
      <c r="C30231" t="inlineStr">
        <is>
          <t>1982-08-21</t>
        </is>
      </c>
    </row>
    <row r="30232">
      <c r="A30232" s="1" t="n">
        <v>30231</v>
      </c>
      <c r="B30232">
        <f>TEXT(30231, "[$-0E0000]yyyy-mm-dd")</f>
        <v/>
      </c>
      <c r="C30232" t="inlineStr">
        <is>
          <t>1982-08-22</t>
        </is>
      </c>
    </row>
    <row r="30233">
      <c r="A30233" s="1" t="n">
        <v>30232</v>
      </c>
      <c r="B30233">
        <f>TEXT(30232, "[$-0E0000]yyyy-mm-dd")</f>
        <v/>
      </c>
      <c r="C30233" t="inlineStr">
        <is>
          <t>1982-08-23</t>
        </is>
      </c>
    </row>
    <row r="30234">
      <c r="A30234" s="1" t="n">
        <v>30233</v>
      </c>
      <c r="B30234">
        <f>TEXT(30233, "[$-0E0000]yyyy-mm-dd")</f>
        <v/>
      </c>
      <c r="C30234" t="inlineStr">
        <is>
          <t>1982-08-24</t>
        </is>
      </c>
    </row>
    <row r="30235">
      <c r="A30235" s="1" t="n">
        <v>30234</v>
      </c>
      <c r="B30235">
        <f>TEXT(30234, "[$-0E0000]yyyy-mm-dd")</f>
        <v/>
      </c>
      <c r="C30235" t="inlineStr">
        <is>
          <t>1982-08-25</t>
        </is>
      </c>
    </row>
    <row r="30236">
      <c r="A30236" s="1" t="n">
        <v>30235</v>
      </c>
      <c r="B30236">
        <f>TEXT(30235, "[$-0E0000]yyyy-mm-dd")</f>
        <v/>
      </c>
      <c r="C30236" t="inlineStr">
        <is>
          <t>1982-08-26</t>
        </is>
      </c>
    </row>
    <row r="30237">
      <c r="A30237" s="1" t="n">
        <v>30236</v>
      </c>
      <c r="B30237">
        <f>TEXT(30236, "[$-0E0000]yyyy-mm-dd")</f>
        <v/>
      </c>
      <c r="C30237" t="inlineStr">
        <is>
          <t>1982-08-27</t>
        </is>
      </c>
    </row>
    <row r="30238">
      <c r="A30238" s="1" t="n">
        <v>30237</v>
      </c>
      <c r="B30238">
        <f>TEXT(30237, "[$-0E0000]yyyy-mm-dd")</f>
        <v/>
      </c>
      <c r="C30238" t="inlineStr">
        <is>
          <t>1982-08-28</t>
        </is>
      </c>
    </row>
    <row r="30239">
      <c r="A30239" s="1" t="n">
        <v>30238</v>
      </c>
      <c r="B30239">
        <f>TEXT(30238, "[$-0E0000]yyyy-mm-dd")</f>
        <v/>
      </c>
      <c r="C30239" t="inlineStr">
        <is>
          <t>1982-08-29</t>
        </is>
      </c>
    </row>
    <row r="30240">
      <c r="A30240" s="1" t="n">
        <v>30239</v>
      </c>
      <c r="B30240">
        <f>TEXT(30239, "[$-0E0000]yyyy-mm-dd")</f>
        <v/>
      </c>
      <c r="C30240" t="inlineStr">
        <is>
          <t>1982-08-30</t>
        </is>
      </c>
    </row>
    <row r="30241">
      <c r="A30241" s="1" t="n">
        <v>30240</v>
      </c>
      <c r="B30241">
        <f>TEXT(30240, "[$-0E0000]yyyy-mm-dd")</f>
        <v/>
      </c>
      <c r="C30241" t="inlineStr">
        <is>
          <t>1982-09-01</t>
        </is>
      </c>
    </row>
    <row r="30242">
      <c r="A30242" s="1" t="n">
        <v>30241</v>
      </c>
      <c r="B30242">
        <f>TEXT(30241, "[$-0E0000]yyyy-mm-dd")</f>
        <v/>
      </c>
      <c r="C30242" t="inlineStr">
        <is>
          <t>1982-09-02</t>
        </is>
      </c>
    </row>
    <row r="30243">
      <c r="A30243" s="1" t="n">
        <v>30242</v>
      </c>
      <c r="B30243">
        <f>TEXT(30242, "[$-0E0000]yyyy-mm-dd")</f>
        <v/>
      </c>
      <c r="C30243" t="inlineStr">
        <is>
          <t>1982-09-03</t>
        </is>
      </c>
    </row>
    <row r="30244">
      <c r="A30244" s="1" t="n">
        <v>30243</v>
      </c>
      <c r="B30244">
        <f>TEXT(30243, "[$-0E0000]yyyy-mm-dd")</f>
        <v/>
      </c>
      <c r="C30244" t="inlineStr">
        <is>
          <t>1982-09-04</t>
        </is>
      </c>
    </row>
    <row r="30245">
      <c r="A30245" s="1" t="n">
        <v>30244</v>
      </c>
      <c r="B30245">
        <f>TEXT(30244, "[$-0E0000]yyyy-mm-dd")</f>
        <v/>
      </c>
      <c r="C30245" t="inlineStr">
        <is>
          <t>1982-09-05</t>
        </is>
      </c>
    </row>
    <row r="30246">
      <c r="A30246" s="1" t="n">
        <v>30245</v>
      </c>
      <c r="B30246">
        <f>TEXT(30245, "[$-0E0000]yyyy-mm-dd")</f>
        <v/>
      </c>
      <c r="C30246" t="inlineStr">
        <is>
          <t>1982-09-06</t>
        </is>
      </c>
    </row>
    <row r="30247">
      <c r="A30247" s="1" t="n">
        <v>30246</v>
      </c>
      <c r="B30247">
        <f>TEXT(30246, "[$-0E0000]yyyy-mm-dd")</f>
        <v/>
      </c>
      <c r="C30247" t="inlineStr">
        <is>
          <t>1982-09-07</t>
        </is>
      </c>
    </row>
    <row r="30248">
      <c r="A30248" s="1" t="n">
        <v>30247</v>
      </c>
      <c r="B30248">
        <f>TEXT(30247, "[$-0E0000]yyyy-mm-dd")</f>
        <v/>
      </c>
      <c r="C30248" t="inlineStr">
        <is>
          <t>1982-09-08</t>
        </is>
      </c>
    </row>
    <row r="30249">
      <c r="A30249" s="1" t="n">
        <v>30248</v>
      </c>
      <c r="B30249">
        <f>TEXT(30248, "[$-0E0000]yyyy-mm-dd")</f>
        <v/>
      </c>
      <c r="C30249" t="inlineStr">
        <is>
          <t>1982-09-09</t>
        </is>
      </c>
    </row>
    <row r="30250">
      <c r="A30250" s="1" t="n">
        <v>30249</v>
      </c>
      <c r="B30250">
        <f>TEXT(30249, "[$-0E0000]yyyy-mm-dd")</f>
        <v/>
      </c>
      <c r="C30250" t="inlineStr">
        <is>
          <t>1982-09-10</t>
        </is>
      </c>
    </row>
    <row r="30251">
      <c r="A30251" s="1" t="n">
        <v>30250</v>
      </c>
      <c r="B30251">
        <f>TEXT(30250, "[$-0E0000]yyyy-mm-dd")</f>
        <v/>
      </c>
      <c r="C30251" t="inlineStr">
        <is>
          <t>1982-09-11</t>
        </is>
      </c>
    </row>
    <row r="30252">
      <c r="A30252" s="1" t="n">
        <v>30251</v>
      </c>
      <c r="B30252">
        <f>TEXT(30251, "[$-0E0000]yyyy-mm-dd")</f>
        <v/>
      </c>
      <c r="C30252" t="inlineStr">
        <is>
          <t>1982-09-12</t>
        </is>
      </c>
    </row>
    <row r="30253">
      <c r="A30253" s="1" t="n">
        <v>30252</v>
      </c>
      <c r="B30253">
        <f>TEXT(30252, "[$-0E0000]yyyy-mm-dd")</f>
        <v/>
      </c>
      <c r="C30253" t="inlineStr">
        <is>
          <t>1982-09-13</t>
        </is>
      </c>
    </row>
    <row r="30254">
      <c r="A30254" s="1" t="n">
        <v>30253</v>
      </c>
      <c r="B30254">
        <f>TEXT(30253, "[$-0E0000]yyyy-mm-dd")</f>
        <v/>
      </c>
      <c r="C30254" t="inlineStr">
        <is>
          <t>1982-09-14</t>
        </is>
      </c>
    </row>
    <row r="30255">
      <c r="A30255" s="1" t="n">
        <v>30254</v>
      </c>
      <c r="B30255">
        <f>TEXT(30254, "[$-0E0000]yyyy-mm-dd")</f>
        <v/>
      </c>
      <c r="C30255" t="inlineStr">
        <is>
          <t>1982-09-15</t>
        </is>
      </c>
    </row>
    <row r="30256">
      <c r="A30256" s="1" t="n">
        <v>30255</v>
      </c>
      <c r="B30256">
        <f>TEXT(30255, "[$-0E0000]yyyy-mm-dd")</f>
        <v/>
      </c>
      <c r="C30256" t="inlineStr">
        <is>
          <t>1982-09-16</t>
        </is>
      </c>
    </row>
    <row r="30257">
      <c r="A30257" s="1" t="n">
        <v>30256</v>
      </c>
      <c r="B30257">
        <f>TEXT(30256, "[$-0E0000]yyyy-mm-dd")</f>
        <v/>
      </c>
      <c r="C30257" t="inlineStr">
        <is>
          <t>1982-09-17</t>
        </is>
      </c>
    </row>
    <row r="30258">
      <c r="A30258" s="1" t="n">
        <v>30257</v>
      </c>
      <c r="B30258">
        <f>TEXT(30257, "[$-0E0000]yyyy-mm-dd")</f>
        <v/>
      </c>
      <c r="C30258" t="inlineStr">
        <is>
          <t>1982-09-18</t>
        </is>
      </c>
    </row>
    <row r="30259">
      <c r="A30259" s="1" t="n">
        <v>30258</v>
      </c>
      <c r="B30259">
        <f>TEXT(30258, "[$-0E0000]yyyy-mm-dd")</f>
        <v/>
      </c>
      <c r="C30259" t="inlineStr">
        <is>
          <t>1982-09-19</t>
        </is>
      </c>
    </row>
    <row r="30260">
      <c r="A30260" s="1" t="n">
        <v>30259</v>
      </c>
      <c r="B30260">
        <f>TEXT(30259, "[$-0E0000]yyyy-mm-dd")</f>
        <v/>
      </c>
      <c r="C30260" t="inlineStr">
        <is>
          <t>1982-09-20</t>
        </is>
      </c>
    </row>
    <row r="30261">
      <c r="A30261" s="1" t="n">
        <v>30260</v>
      </c>
      <c r="B30261">
        <f>TEXT(30260, "[$-0E0000]yyyy-mm-dd")</f>
        <v/>
      </c>
      <c r="C30261" t="inlineStr">
        <is>
          <t>1982-09-21</t>
        </is>
      </c>
    </row>
    <row r="30262">
      <c r="A30262" s="1" t="n">
        <v>30261</v>
      </c>
      <c r="B30262">
        <f>TEXT(30261, "[$-0E0000]yyyy-mm-dd")</f>
        <v/>
      </c>
      <c r="C30262" t="inlineStr">
        <is>
          <t>1982-09-22</t>
        </is>
      </c>
    </row>
    <row r="30263">
      <c r="A30263" s="1" t="n">
        <v>30262</v>
      </c>
      <c r="B30263">
        <f>TEXT(30262, "[$-0E0000]yyyy-mm-dd")</f>
        <v/>
      </c>
      <c r="C30263" t="inlineStr">
        <is>
          <t>1982-09-23</t>
        </is>
      </c>
    </row>
    <row r="30264">
      <c r="A30264" s="1" t="n">
        <v>30263</v>
      </c>
      <c r="B30264">
        <f>TEXT(30263, "[$-0E0000]yyyy-mm-dd")</f>
        <v/>
      </c>
      <c r="C30264" t="inlineStr">
        <is>
          <t>1982-09-24</t>
        </is>
      </c>
    </row>
    <row r="30265">
      <c r="A30265" s="1" t="n">
        <v>30264</v>
      </c>
      <c r="B30265">
        <f>TEXT(30264, "[$-0E0000]yyyy-mm-dd")</f>
        <v/>
      </c>
      <c r="C30265" t="inlineStr">
        <is>
          <t>1982-09-25</t>
        </is>
      </c>
    </row>
    <row r="30266">
      <c r="A30266" s="1" t="n">
        <v>30265</v>
      </c>
      <c r="B30266">
        <f>TEXT(30265, "[$-0E0000]yyyy-mm-dd")</f>
        <v/>
      </c>
      <c r="C30266" t="inlineStr">
        <is>
          <t>1982-09-26</t>
        </is>
      </c>
    </row>
    <row r="30267">
      <c r="A30267" s="1" t="n">
        <v>30266</v>
      </c>
      <c r="B30267">
        <f>TEXT(30266, "[$-0E0000]yyyy-mm-dd")</f>
        <v/>
      </c>
      <c r="C30267" t="inlineStr">
        <is>
          <t>1982-09-27</t>
        </is>
      </c>
    </row>
    <row r="30268">
      <c r="A30268" s="1" t="n">
        <v>30267</v>
      </c>
      <c r="B30268">
        <f>TEXT(30267, "[$-0E0000]yyyy-mm-dd")</f>
        <v/>
      </c>
      <c r="C30268" t="inlineStr">
        <is>
          <t>1982-09-28</t>
        </is>
      </c>
    </row>
    <row r="30269">
      <c r="A30269" s="1" t="n">
        <v>30268</v>
      </c>
      <c r="B30269">
        <f>TEXT(30268, "[$-0E0000]yyyy-mm-dd")</f>
        <v/>
      </c>
      <c r="C30269" t="inlineStr">
        <is>
          <t>1982-09-29</t>
        </is>
      </c>
    </row>
    <row r="30270">
      <c r="A30270" s="1" t="n">
        <v>30269</v>
      </c>
      <c r="B30270">
        <f>TEXT(30269, "[$-0E0000]yyyy-mm-dd")</f>
        <v/>
      </c>
      <c r="C30270" t="inlineStr">
        <is>
          <t>1982-10-01</t>
        </is>
      </c>
    </row>
    <row r="30271">
      <c r="A30271" s="1" t="n">
        <v>30270</v>
      </c>
      <c r="B30271">
        <f>TEXT(30270, "[$-0E0000]yyyy-mm-dd")</f>
        <v/>
      </c>
      <c r="C30271" t="inlineStr">
        <is>
          <t>1982-10-02</t>
        </is>
      </c>
    </row>
    <row r="30272">
      <c r="A30272" s="1" t="n">
        <v>30271</v>
      </c>
      <c r="B30272">
        <f>TEXT(30271, "[$-0E0000]yyyy-mm-dd")</f>
        <v/>
      </c>
      <c r="C30272" t="inlineStr">
        <is>
          <t>1982-10-03</t>
        </is>
      </c>
    </row>
    <row r="30273">
      <c r="A30273" s="1" t="n">
        <v>30272</v>
      </c>
      <c r="B30273">
        <f>TEXT(30272, "[$-0E0000]yyyy-mm-dd")</f>
        <v/>
      </c>
      <c r="C30273" t="inlineStr">
        <is>
          <t>1982-10-04</t>
        </is>
      </c>
    </row>
    <row r="30274">
      <c r="A30274" s="1" t="n">
        <v>30273</v>
      </c>
      <c r="B30274">
        <f>TEXT(30273, "[$-0E0000]yyyy-mm-dd")</f>
        <v/>
      </c>
      <c r="C30274" t="inlineStr">
        <is>
          <t>1982-10-05</t>
        </is>
      </c>
    </row>
    <row r="30275">
      <c r="A30275" s="1" t="n">
        <v>30274</v>
      </c>
      <c r="B30275">
        <f>TEXT(30274, "[$-0E0000]yyyy-mm-dd")</f>
        <v/>
      </c>
      <c r="C30275" t="inlineStr">
        <is>
          <t>1982-10-06</t>
        </is>
      </c>
    </row>
    <row r="30276">
      <c r="A30276" s="1" t="n">
        <v>30275</v>
      </c>
      <c r="B30276">
        <f>TEXT(30275, "[$-0E0000]yyyy-mm-dd")</f>
        <v/>
      </c>
      <c r="C30276" t="inlineStr">
        <is>
          <t>1982-10-07</t>
        </is>
      </c>
    </row>
    <row r="30277">
      <c r="A30277" s="1" t="n">
        <v>30276</v>
      </c>
      <c r="B30277">
        <f>TEXT(30276, "[$-0E0000]yyyy-mm-dd")</f>
        <v/>
      </c>
      <c r="C30277" t="inlineStr">
        <is>
          <t>1982-10-08</t>
        </is>
      </c>
    </row>
    <row r="30278">
      <c r="A30278" s="1" t="n">
        <v>30277</v>
      </c>
      <c r="B30278">
        <f>TEXT(30277, "[$-0E0000]yyyy-mm-dd")</f>
        <v/>
      </c>
      <c r="C30278" t="inlineStr">
        <is>
          <t>1982-10-09</t>
        </is>
      </c>
    </row>
    <row r="30279">
      <c r="A30279" s="1" t="n">
        <v>30278</v>
      </c>
      <c r="B30279">
        <f>TEXT(30278, "[$-0E0000]yyyy-mm-dd")</f>
        <v/>
      </c>
      <c r="C30279" t="inlineStr">
        <is>
          <t>1982-10-10</t>
        </is>
      </c>
    </row>
    <row r="30280">
      <c r="A30280" s="1" t="n">
        <v>30279</v>
      </c>
      <c r="B30280">
        <f>TEXT(30279, "[$-0E0000]yyyy-mm-dd")</f>
        <v/>
      </c>
      <c r="C30280" t="inlineStr">
        <is>
          <t>1982-10-11</t>
        </is>
      </c>
    </row>
    <row r="30281">
      <c r="A30281" s="1" t="n">
        <v>30280</v>
      </c>
      <c r="B30281">
        <f>TEXT(30280, "[$-0E0000]yyyy-mm-dd")</f>
        <v/>
      </c>
      <c r="C30281" t="inlineStr">
        <is>
          <t>1982-10-12</t>
        </is>
      </c>
    </row>
    <row r="30282">
      <c r="A30282" s="1" t="n">
        <v>30281</v>
      </c>
      <c r="B30282">
        <f>TEXT(30281, "[$-0E0000]yyyy-mm-dd")</f>
        <v/>
      </c>
      <c r="C30282" t="inlineStr">
        <is>
          <t>1982-10-13</t>
        </is>
      </c>
    </row>
    <row r="30283">
      <c r="A30283" s="1" t="n">
        <v>30282</v>
      </c>
      <c r="B30283">
        <f>TEXT(30282, "[$-0E0000]yyyy-mm-dd")</f>
        <v/>
      </c>
      <c r="C30283" t="inlineStr">
        <is>
          <t>1982-10-14</t>
        </is>
      </c>
    </row>
    <row r="30284">
      <c r="A30284" s="1" t="n">
        <v>30283</v>
      </c>
      <c r="B30284">
        <f>TEXT(30283, "[$-0E0000]yyyy-mm-dd")</f>
        <v/>
      </c>
      <c r="C30284" t="inlineStr">
        <is>
          <t>1982-10-15</t>
        </is>
      </c>
    </row>
    <row r="30285">
      <c r="A30285" s="1" t="n">
        <v>30284</v>
      </c>
      <c r="B30285">
        <f>TEXT(30284, "[$-0E0000]yyyy-mm-dd")</f>
        <v/>
      </c>
      <c r="C30285" t="inlineStr">
        <is>
          <t>1982-10-16</t>
        </is>
      </c>
    </row>
    <row r="30286">
      <c r="A30286" s="1" t="n">
        <v>30285</v>
      </c>
      <c r="B30286">
        <f>TEXT(30285, "[$-0E0000]yyyy-mm-dd")</f>
        <v/>
      </c>
      <c r="C30286" t="inlineStr">
        <is>
          <t>1982-10-17</t>
        </is>
      </c>
    </row>
    <row r="30287">
      <c r="A30287" s="1" t="n">
        <v>30286</v>
      </c>
      <c r="B30287">
        <f>TEXT(30286, "[$-0E0000]yyyy-mm-dd")</f>
        <v/>
      </c>
      <c r="C30287" t="inlineStr">
        <is>
          <t>1982-10-18</t>
        </is>
      </c>
    </row>
    <row r="30288">
      <c r="A30288" s="1" t="n">
        <v>30287</v>
      </c>
      <c r="B30288">
        <f>TEXT(30287, "[$-0E0000]yyyy-mm-dd")</f>
        <v/>
      </c>
      <c r="C30288" t="inlineStr">
        <is>
          <t>1982-10-19</t>
        </is>
      </c>
    </row>
    <row r="30289">
      <c r="A30289" s="1" t="n">
        <v>30288</v>
      </c>
      <c r="B30289">
        <f>TEXT(30288, "[$-0E0000]yyyy-mm-dd")</f>
        <v/>
      </c>
      <c r="C30289" t="inlineStr">
        <is>
          <t>1982-10-20</t>
        </is>
      </c>
    </row>
    <row r="30290">
      <c r="A30290" s="1" t="n">
        <v>30289</v>
      </c>
      <c r="B30290">
        <f>TEXT(30289, "[$-0E0000]yyyy-mm-dd")</f>
        <v/>
      </c>
      <c r="C30290" t="inlineStr">
        <is>
          <t>1982-10-21</t>
        </is>
      </c>
    </row>
    <row r="30291">
      <c r="A30291" s="1" t="n">
        <v>30290</v>
      </c>
      <c r="B30291">
        <f>TEXT(30290, "[$-0E0000]yyyy-mm-dd")</f>
        <v/>
      </c>
      <c r="C30291" t="inlineStr">
        <is>
          <t>1982-10-22</t>
        </is>
      </c>
    </row>
    <row r="30292">
      <c r="A30292" s="1" t="n">
        <v>30291</v>
      </c>
      <c r="B30292">
        <f>TEXT(30291, "[$-0E0000]yyyy-mm-dd")</f>
        <v/>
      </c>
      <c r="C30292" t="inlineStr">
        <is>
          <t>1982-10-23</t>
        </is>
      </c>
    </row>
    <row r="30293">
      <c r="A30293" s="1" t="n">
        <v>30292</v>
      </c>
      <c r="B30293">
        <f>TEXT(30292, "[$-0E0000]yyyy-mm-dd")</f>
        <v/>
      </c>
      <c r="C30293" t="inlineStr">
        <is>
          <t>1982-10-24</t>
        </is>
      </c>
    </row>
    <row r="30294">
      <c r="A30294" s="1" t="n">
        <v>30293</v>
      </c>
      <c r="B30294">
        <f>TEXT(30293, "[$-0E0000]yyyy-mm-dd")</f>
        <v/>
      </c>
      <c r="C30294" t="inlineStr">
        <is>
          <t>1982-10-25</t>
        </is>
      </c>
    </row>
    <row r="30295">
      <c r="A30295" s="1" t="n">
        <v>30294</v>
      </c>
      <c r="B30295">
        <f>TEXT(30294, "[$-0E0000]yyyy-mm-dd")</f>
        <v/>
      </c>
      <c r="C30295" t="inlineStr">
        <is>
          <t>1982-10-26</t>
        </is>
      </c>
    </row>
    <row r="30296">
      <c r="A30296" s="1" t="n">
        <v>30295</v>
      </c>
      <c r="B30296">
        <f>TEXT(30295, "[$-0E0000]yyyy-mm-dd")</f>
        <v/>
      </c>
      <c r="C30296" t="inlineStr">
        <is>
          <t>1982-10-27</t>
        </is>
      </c>
    </row>
    <row r="30297">
      <c r="A30297" s="1" t="n">
        <v>30296</v>
      </c>
      <c r="B30297">
        <f>TEXT(30296, "[$-0E0000]yyyy-mm-dd")</f>
        <v/>
      </c>
      <c r="C30297" t="inlineStr">
        <is>
          <t>1982-10-28</t>
        </is>
      </c>
    </row>
    <row r="30298">
      <c r="A30298" s="1" t="n">
        <v>30297</v>
      </c>
      <c r="B30298">
        <f>TEXT(30297, "[$-0E0000]yyyy-mm-dd")</f>
        <v/>
      </c>
      <c r="C30298" t="inlineStr">
        <is>
          <t>1982-10-29</t>
        </is>
      </c>
    </row>
    <row r="30299">
      <c r="A30299" s="1" t="n">
        <v>30298</v>
      </c>
      <c r="B30299">
        <f>TEXT(30298, "[$-0E0000]yyyy-mm-dd")</f>
        <v/>
      </c>
      <c r="C30299" t="inlineStr">
        <is>
          <t>1982-10-30</t>
        </is>
      </c>
    </row>
    <row r="30300">
      <c r="A30300" s="1" t="n">
        <v>30299</v>
      </c>
      <c r="B30300">
        <f>TEXT(30299, "[$-0E0000]yyyy-mm-dd")</f>
        <v/>
      </c>
      <c r="C30300" t="inlineStr">
        <is>
          <t>1982-11-01</t>
        </is>
      </c>
    </row>
    <row r="30301">
      <c r="A30301" s="1" t="n">
        <v>30300</v>
      </c>
      <c r="B30301">
        <f>TEXT(30300, "[$-0E0000]yyyy-mm-dd")</f>
        <v/>
      </c>
      <c r="C30301" t="inlineStr">
        <is>
          <t>1982-11-02</t>
        </is>
      </c>
    </row>
    <row r="30302">
      <c r="A30302" s="1" t="n">
        <v>30301</v>
      </c>
      <c r="B30302">
        <f>TEXT(30301, "[$-0E0000]yyyy-mm-dd")</f>
        <v/>
      </c>
      <c r="C30302" t="inlineStr">
        <is>
          <t>1982-11-03</t>
        </is>
      </c>
    </row>
    <row r="30303">
      <c r="A30303" s="1" t="n">
        <v>30302</v>
      </c>
      <c r="B30303">
        <f>TEXT(30302, "[$-0E0000]yyyy-mm-dd")</f>
        <v/>
      </c>
      <c r="C30303" t="inlineStr">
        <is>
          <t>1982-11-04</t>
        </is>
      </c>
    </row>
    <row r="30304">
      <c r="A30304" s="1" t="n">
        <v>30303</v>
      </c>
      <c r="B30304">
        <f>TEXT(30303, "[$-0E0000]yyyy-mm-dd")</f>
        <v/>
      </c>
      <c r="C30304" t="inlineStr">
        <is>
          <t>1982-11-05</t>
        </is>
      </c>
    </row>
    <row r="30305">
      <c r="A30305" s="1" t="n">
        <v>30304</v>
      </c>
      <c r="B30305">
        <f>TEXT(30304, "[$-0E0000]yyyy-mm-dd")</f>
        <v/>
      </c>
      <c r="C30305" t="inlineStr">
        <is>
          <t>1982-11-06</t>
        </is>
      </c>
    </row>
    <row r="30306">
      <c r="A30306" s="1" t="n">
        <v>30305</v>
      </c>
      <c r="B30306">
        <f>TEXT(30305, "[$-0E0000]yyyy-mm-dd")</f>
        <v/>
      </c>
      <c r="C30306" t="inlineStr">
        <is>
          <t>1982-11-07</t>
        </is>
      </c>
    </row>
    <row r="30307">
      <c r="A30307" s="1" t="n">
        <v>30306</v>
      </c>
      <c r="B30307">
        <f>TEXT(30306, "[$-0E0000]yyyy-mm-dd")</f>
        <v/>
      </c>
      <c r="C30307" t="inlineStr">
        <is>
          <t>1982-11-08</t>
        </is>
      </c>
    </row>
    <row r="30308">
      <c r="A30308" s="1" t="n">
        <v>30307</v>
      </c>
      <c r="B30308">
        <f>TEXT(30307, "[$-0E0000]yyyy-mm-dd")</f>
        <v/>
      </c>
      <c r="C30308" t="inlineStr">
        <is>
          <t>1982-11-09</t>
        </is>
      </c>
    </row>
    <row r="30309">
      <c r="A30309" s="1" t="n">
        <v>30308</v>
      </c>
      <c r="B30309">
        <f>TEXT(30308, "[$-0E0000]yyyy-mm-dd")</f>
        <v/>
      </c>
      <c r="C30309" t="inlineStr">
        <is>
          <t>1982-11-10</t>
        </is>
      </c>
    </row>
    <row r="30310">
      <c r="A30310" s="1" t="n">
        <v>30309</v>
      </c>
      <c r="B30310">
        <f>TEXT(30309, "[$-0E0000]yyyy-mm-dd")</f>
        <v/>
      </c>
      <c r="C30310" t="inlineStr">
        <is>
          <t>1982-11-11</t>
        </is>
      </c>
    </row>
    <row r="30311">
      <c r="A30311" s="1" t="n">
        <v>30310</v>
      </c>
      <c r="B30311">
        <f>TEXT(30310, "[$-0E0000]yyyy-mm-dd")</f>
        <v/>
      </c>
      <c r="C30311" t="inlineStr">
        <is>
          <t>1982-11-12</t>
        </is>
      </c>
    </row>
    <row r="30312">
      <c r="A30312" s="1" t="n">
        <v>30311</v>
      </c>
      <c r="B30312">
        <f>TEXT(30311, "[$-0E0000]yyyy-mm-dd")</f>
        <v/>
      </c>
      <c r="C30312" t="inlineStr">
        <is>
          <t>1982-11-13</t>
        </is>
      </c>
    </row>
    <row r="30313">
      <c r="A30313" s="1" t="n">
        <v>30312</v>
      </c>
      <c r="B30313">
        <f>TEXT(30312, "[$-0E0000]yyyy-mm-dd")</f>
        <v/>
      </c>
      <c r="C30313" t="inlineStr">
        <is>
          <t>1982-11-14</t>
        </is>
      </c>
    </row>
    <row r="30314">
      <c r="A30314" s="1" t="n">
        <v>30313</v>
      </c>
      <c r="B30314">
        <f>TEXT(30313, "[$-0E0000]yyyy-mm-dd")</f>
        <v/>
      </c>
      <c r="C30314" t="inlineStr">
        <is>
          <t>1982-11-15</t>
        </is>
      </c>
    </row>
    <row r="30315">
      <c r="A30315" s="1" t="n">
        <v>30314</v>
      </c>
      <c r="B30315">
        <f>TEXT(30314, "[$-0E0000]yyyy-mm-dd")</f>
        <v/>
      </c>
      <c r="C30315" t="inlineStr">
        <is>
          <t>1982-11-16</t>
        </is>
      </c>
    </row>
    <row r="30316">
      <c r="A30316" s="1" t="n">
        <v>30315</v>
      </c>
      <c r="B30316">
        <f>TEXT(30315, "[$-0E0000]yyyy-mm-dd")</f>
        <v/>
      </c>
      <c r="C30316" t="inlineStr">
        <is>
          <t>1982-11-17</t>
        </is>
      </c>
    </row>
    <row r="30317">
      <c r="A30317" s="1" t="n">
        <v>30316</v>
      </c>
      <c r="B30317">
        <f>TEXT(30316, "[$-0E0000]yyyy-mm-dd")</f>
        <v/>
      </c>
      <c r="C30317" t="inlineStr">
        <is>
          <t>1982-11-18</t>
        </is>
      </c>
    </row>
    <row r="30318">
      <c r="A30318" s="1" t="n">
        <v>30317</v>
      </c>
      <c r="B30318">
        <f>TEXT(30317, "[$-0E0000]yyyy-mm-dd")</f>
        <v/>
      </c>
      <c r="C30318" t="inlineStr">
        <is>
          <t>1982-11-19</t>
        </is>
      </c>
    </row>
    <row r="30319">
      <c r="A30319" s="1" t="n">
        <v>30318</v>
      </c>
      <c r="B30319">
        <f>TEXT(30318, "[$-0E0000]yyyy-mm-dd")</f>
        <v/>
      </c>
      <c r="C30319" t="inlineStr">
        <is>
          <t>1982-11-20</t>
        </is>
      </c>
    </row>
    <row r="30320">
      <c r="A30320" s="1" t="n">
        <v>30319</v>
      </c>
      <c r="B30320">
        <f>TEXT(30319, "[$-0E0000]yyyy-mm-dd")</f>
        <v/>
      </c>
      <c r="C30320" t="inlineStr">
        <is>
          <t>1982-11-21</t>
        </is>
      </c>
    </row>
    <row r="30321">
      <c r="A30321" s="1" t="n">
        <v>30320</v>
      </c>
      <c r="B30321">
        <f>TEXT(30320, "[$-0E0000]yyyy-mm-dd")</f>
        <v/>
      </c>
      <c r="C30321" t="inlineStr">
        <is>
          <t>1982-11-22</t>
        </is>
      </c>
    </row>
    <row r="30322">
      <c r="A30322" s="1" t="n">
        <v>30321</v>
      </c>
      <c r="B30322">
        <f>TEXT(30321, "[$-0E0000]yyyy-mm-dd")</f>
        <v/>
      </c>
      <c r="C30322" t="inlineStr">
        <is>
          <t>1982-11-23</t>
        </is>
      </c>
    </row>
    <row r="30323">
      <c r="A30323" s="1" t="n">
        <v>30322</v>
      </c>
      <c r="B30323">
        <f>TEXT(30322, "[$-0E0000]yyyy-mm-dd")</f>
        <v/>
      </c>
      <c r="C30323" t="inlineStr">
        <is>
          <t>1982-11-24</t>
        </is>
      </c>
    </row>
    <row r="30324">
      <c r="A30324" s="1" t="n">
        <v>30323</v>
      </c>
      <c r="B30324">
        <f>TEXT(30323, "[$-0E0000]yyyy-mm-dd")</f>
        <v/>
      </c>
      <c r="C30324" t="inlineStr">
        <is>
          <t>1982-11-25</t>
        </is>
      </c>
    </row>
    <row r="30325">
      <c r="A30325" s="1" t="n">
        <v>30324</v>
      </c>
      <c r="B30325">
        <f>TEXT(30324, "[$-0E0000]yyyy-mm-dd")</f>
        <v/>
      </c>
      <c r="C30325" t="inlineStr">
        <is>
          <t>1982-11-26</t>
        </is>
      </c>
    </row>
    <row r="30326">
      <c r="A30326" s="1" t="n">
        <v>30325</v>
      </c>
      <c r="B30326">
        <f>TEXT(30325, "[$-0E0000]yyyy-mm-dd")</f>
        <v/>
      </c>
      <c r="C30326" t="inlineStr">
        <is>
          <t>1982-11-27</t>
        </is>
      </c>
    </row>
    <row r="30327">
      <c r="A30327" s="1" t="n">
        <v>30326</v>
      </c>
      <c r="B30327">
        <f>TEXT(30326, "[$-0E0000]yyyy-mm-dd")</f>
        <v/>
      </c>
      <c r="C30327" t="inlineStr">
        <is>
          <t>1982-11-28</t>
        </is>
      </c>
    </row>
    <row r="30328">
      <c r="A30328" s="1" t="n">
        <v>30327</v>
      </c>
      <c r="B30328">
        <f>TEXT(30327, "[$-0E0000]yyyy-mm-dd")</f>
        <v/>
      </c>
      <c r="C30328" t="inlineStr">
        <is>
          <t>1982-11-29</t>
        </is>
      </c>
    </row>
    <row r="30329">
      <c r="A30329" s="1" t="n">
        <v>30328</v>
      </c>
      <c r="B30329">
        <f>TEXT(30328, "[$-0E0000]yyyy-mm-dd")</f>
        <v/>
      </c>
      <c r="C30329" t="inlineStr">
        <is>
          <t>1982-11-30</t>
        </is>
      </c>
    </row>
    <row r="30330">
      <c r="A30330" s="1" t="n">
        <v>30329</v>
      </c>
      <c r="B30330">
        <f>TEXT(30329, "[$-0E0000]yyyy-mm-dd")</f>
        <v/>
      </c>
      <c r="C30330" t="inlineStr">
        <is>
          <t>1982-12-01</t>
        </is>
      </c>
    </row>
    <row r="30331">
      <c r="A30331" s="1" t="n">
        <v>30330</v>
      </c>
      <c r="B30331">
        <f>TEXT(30330, "[$-0E0000]yyyy-mm-dd")</f>
        <v/>
      </c>
      <c r="C30331" t="inlineStr">
        <is>
          <t>1982-12-02</t>
        </is>
      </c>
    </row>
    <row r="30332">
      <c r="A30332" s="1" t="n">
        <v>30331</v>
      </c>
      <c r="B30332">
        <f>TEXT(30331, "[$-0E0000]yyyy-mm-dd")</f>
        <v/>
      </c>
      <c r="C30332" t="inlineStr">
        <is>
          <t>1982-12-03</t>
        </is>
      </c>
    </row>
    <row r="30333">
      <c r="A30333" s="1" t="n">
        <v>30332</v>
      </c>
      <c r="B30333">
        <f>TEXT(30332, "[$-0E0000]yyyy-mm-dd")</f>
        <v/>
      </c>
      <c r="C30333" t="inlineStr">
        <is>
          <t>1982-12-04</t>
        </is>
      </c>
    </row>
    <row r="30334">
      <c r="A30334" s="1" t="n">
        <v>30333</v>
      </c>
      <c r="B30334">
        <f>TEXT(30333, "[$-0E0000]yyyy-mm-dd")</f>
        <v/>
      </c>
      <c r="C30334" t="inlineStr">
        <is>
          <t>1982-12-05</t>
        </is>
      </c>
    </row>
    <row r="30335">
      <c r="A30335" s="1" t="n">
        <v>30334</v>
      </c>
      <c r="B30335">
        <f>TEXT(30334, "[$-0E0000]yyyy-mm-dd")</f>
        <v/>
      </c>
      <c r="C30335" t="inlineStr">
        <is>
          <t>1982-12-06</t>
        </is>
      </c>
    </row>
    <row r="30336">
      <c r="A30336" s="1" t="n">
        <v>30335</v>
      </c>
      <c r="B30336">
        <f>TEXT(30335, "[$-0E0000]yyyy-mm-dd")</f>
        <v/>
      </c>
      <c r="C30336" t="inlineStr">
        <is>
          <t>1982-12-07</t>
        </is>
      </c>
    </row>
    <row r="30337">
      <c r="A30337" s="1" t="n">
        <v>30336</v>
      </c>
      <c r="B30337">
        <f>TEXT(30336, "[$-0E0000]yyyy-mm-dd")</f>
        <v/>
      </c>
      <c r="C30337" t="inlineStr">
        <is>
          <t>1982-12-08</t>
        </is>
      </c>
    </row>
    <row r="30338">
      <c r="A30338" s="1" t="n">
        <v>30337</v>
      </c>
      <c r="B30338">
        <f>TEXT(30337, "[$-0E0000]yyyy-mm-dd")</f>
        <v/>
      </c>
      <c r="C30338" t="inlineStr">
        <is>
          <t>1982-12-09</t>
        </is>
      </c>
    </row>
    <row r="30339">
      <c r="A30339" s="1" t="n">
        <v>30338</v>
      </c>
      <c r="B30339">
        <f>TEXT(30338, "[$-0E0000]yyyy-mm-dd")</f>
        <v/>
      </c>
      <c r="C30339" t="inlineStr">
        <is>
          <t>1982-12-10</t>
        </is>
      </c>
    </row>
    <row r="30340">
      <c r="A30340" s="1" t="n">
        <v>30339</v>
      </c>
      <c r="B30340">
        <f>TEXT(30339, "[$-0E0000]yyyy-mm-dd")</f>
        <v/>
      </c>
      <c r="C30340" t="inlineStr">
        <is>
          <t>1982-12-11</t>
        </is>
      </c>
    </row>
    <row r="30341">
      <c r="A30341" s="1" t="n">
        <v>30340</v>
      </c>
      <c r="B30341">
        <f>TEXT(30340, "[$-0E0000]yyyy-mm-dd")</f>
        <v/>
      </c>
      <c r="C30341" t="inlineStr">
        <is>
          <t>1982-12-12</t>
        </is>
      </c>
    </row>
    <row r="30342">
      <c r="A30342" s="1" t="n">
        <v>30341</v>
      </c>
      <c r="B30342">
        <f>TEXT(30341, "[$-0E0000]yyyy-mm-dd")</f>
        <v/>
      </c>
      <c r="C30342" t="inlineStr">
        <is>
          <t>1982-12-13</t>
        </is>
      </c>
    </row>
    <row r="30343">
      <c r="A30343" s="1" t="n">
        <v>30342</v>
      </c>
      <c r="B30343">
        <f>TEXT(30342, "[$-0E0000]yyyy-mm-dd")</f>
        <v/>
      </c>
      <c r="C30343" t="inlineStr">
        <is>
          <t>1982-12-14</t>
        </is>
      </c>
    </row>
    <row r="30344">
      <c r="A30344" s="1" t="n">
        <v>30343</v>
      </c>
      <c r="B30344">
        <f>TEXT(30343, "[$-0E0000]yyyy-mm-dd")</f>
        <v/>
      </c>
      <c r="C30344" t="inlineStr">
        <is>
          <t>1982-12-15</t>
        </is>
      </c>
    </row>
    <row r="30345">
      <c r="A30345" s="1" t="n">
        <v>30344</v>
      </c>
      <c r="B30345">
        <f>TEXT(30344, "[$-0E0000]yyyy-mm-dd")</f>
        <v/>
      </c>
      <c r="C30345" t="inlineStr">
        <is>
          <t>1982-12-16</t>
        </is>
      </c>
    </row>
    <row r="30346">
      <c r="A30346" s="1" t="n">
        <v>30345</v>
      </c>
      <c r="B30346">
        <f>TEXT(30345, "[$-0E0000]yyyy-mm-dd")</f>
        <v/>
      </c>
      <c r="C30346" t="inlineStr">
        <is>
          <t>1982-12-17</t>
        </is>
      </c>
    </row>
    <row r="30347">
      <c r="A30347" s="1" t="n">
        <v>30346</v>
      </c>
      <c r="B30347">
        <f>TEXT(30346, "[$-0E0000]yyyy-mm-dd")</f>
        <v/>
      </c>
      <c r="C30347" t="inlineStr">
        <is>
          <t>1982-12-18</t>
        </is>
      </c>
    </row>
    <row r="30348">
      <c r="A30348" s="1" t="n">
        <v>30347</v>
      </c>
      <c r="B30348">
        <f>TEXT(30347, "[$-0E0000]yyyy-mm-dd")</f>
        <v/>
      </c>
      <c r="C30348" t="inlineStr">
        <is>
          <t>1982-12-19</t>
        </is>
      </c>
    </row>
    <row r="30349">
      <c r="A30349" s="1" t="n">
        <v>30348</v>
      </c>
      <c r="B30349">
        <f>TEXT(30348, "[$-0E0000]yyyy-mm-dd")</f>
        <v/>
      </c>
      <c r="C30349" t="inlineStr">
        <is>
          <t>1982-12-20</t>
        </is>
      </c>
    </row>
    <row r="30350">
      <c r="A30350" s="1" t="n">
        <v>30349</v>
      </c>
      <c r="B30350">
        <f>TEXT(30349, "[$-0E0000]yyyy-mm-dd")</f>
        <v/>
      </c>
      <c r="C30350" t="inlineStr">
        <is>
          <t>1982-12-21</t>
        </is>
      </c>
    </row>
    <row r="30351">
      <c r="A30351" s="1" t="n">
        <v>30350</v>
      </c>
      <c r="B30351">
        <f>TEXT(30350, "[$-0E0000]yyyy-mm-dd")</f>
        <v/>
      </c>
      <c r="C30351" t="inlineStr">
        <is>
          <t>1982-12-22</t>
        </is>
      </c>
    </row>
    <row r="30352">
      <c r="A30352" s="1" t="n">
        <v>30351</v>
      </c>
      <c r="B30352">
        <f>TEXT(30351, "[$-0E0000]yyyy-mm-dd")</f>
        <v/>
      </c>
      <c r="C30352" t="inlineStr">
        <is>
          <t>1982-12-23</t>
        </is>
      </c>
    </row>
    <row r="30353">
      <c r="A30353" s="1" t="n">
        <v>30352</v>
      </c>
      <c r="B30353">
        <f>TEXT(30352, "[$-0E0000]yyyy-mm-dd")</f>
        <v/>
      </c>
      <c r="C30353" t="inlineStr">
        <is>
          <t>1982-12-24</t>
        </is>
      </c>
    </row>
    <row r="30354">
      <c r="A30354" s="1" t="n">
        <v>30353</v>
      </c>
      <c r="B30354">
        <f>TEXT(30353, "[$-0E0000]yyyy-mm-dd")</f>
        <v/>
      </c>
      <c r="C30354" t="inlineStr">
        <is>
          <t>1982-12-25</t>
        </is>
      </c>
    </row>
    <row r="30355">
      <c r="A30355" s="1" t="n">
        <v>30354</v>
      </c>
      <c r="B30355">
        <f>TEXT(30354, "[$-0E0000]yyyy-mm-dd")</f>
        <v/>
      </c>
      <c r="C30355" t="inlineStr">
        <is>
          <t>1982-12-26</t>
        </is>
      </c>
    </row>
    <row r="30356">
      <c r="A30356" s="1" t="n">
        <v>30355</v>
      </c>
      <c r="B30356">
        <f>TEXT(30355, "[$-0E0000]yyyy-mm-dd")</f>
        <v/>
      </c>
      <c r="C30356" t="inlineStr">
        <is>
          <t>1982-12-27</t>
        </is>
      </c>
    </row>
    <row r="30357">
      <c r="A30357" s="1" t="n">
        <v>30356</v>
      </c>
      <c r="B30357">
        <f>TEXT(30356, "[$-0E0000]yyyy-mm-dd")</f>
        <v/>
      </c>
      <c r="C30357" t="inlineStr">
        <is>
          <t>1982-12-28</t>
        </is>
      </c>
    </row>
    <row r="30358">
      <c r="A30358" s="1" t="n">
        <v>30357</v>
      </c>
      <c r="B30358">
        <f>TEXT(30357, "[$-0E0000]yyyy-mm-dd")</f>
        <v/>
      </c>
      <c r="C30358" t="inlineStr">
        <is>
          <t>1982-12-29</t>
        </is>
      </c>
    </row>
    <row r="30359">
      <c r="A30359" s="1" t="n">
        <v>30358</v>
      </c>
      <c r="B30359">
        <f>TEXT(30358, "[$-0E0000]yyyy-mm-dd")</f>
        <v/>
      </c>
      <c r="C30359" t="inlineStr">
        <is>
          <t>1982-12-30</t>
        </is>
      </c>
    </row>
    <row r="30360">
      <c r="A30360" s="1" t="n">
        <v>30359</v>
      </c>
      <c r="B30360">
        <f>TEXT(30359, "[$-0E0000]yyyy-mm-dd")</f>
        <v/>
      </c>
      <c r="C30360" t="inlineStr">
        <is>
          <t>1983-01-01</t>
        </is>
      </c>
    </row>
    <row r="30361">
      <c r="A30361" s="1" t="n">
        <v>30360</v>
      </c>
      <c r="B30361">
        <f>TEXT(30360, "[$-0E0000]yyyy-mm-dd")</f>
        <v/>
      </c>
      <c r="C30361" t="inlineStr">
        <is>
          <t>1983-01-02</t>
        </is>
      </c>
    </row>
    <row r="30362">
      <c r="A30362" s="1" t="n">
        <v>30361</v>
      </c>
      <c r="B30362">
        <f>TEXT(30361, "[$-0E0000]yyyy-mm-dd")</f>
        <v/>
      </c>
      <c r="C30362" t="inlineStr">
        <is>
          <t>1983-01-03</t>
        </is>
      </c>
    </row>
    <row r="30363">
      <c r="A30363" s="1" t="n">
        <v>30362</v>
      </c>
      <c r="B30363">
        <f>TEXT(30362, "[$-0E0000]yyyy-mm-dd")</f>
        <v/>
      </c>
      <c r="C30363" t="inlineStr">
        <is>
          <t>1983-01-04</t>
        </is>
      </c>
    </row>
    <row r="30364">
      <c r="A30364" s="1" t="n">
        <v>30363</v>
      </c>
      <c r="B30364">
        <f>TEXT(30363, "[$-0E0000]yyyy-mm-dd")</f>
        <v/>
      </c>
      <c r="C30364" t="inlineStr">
        <is>
          <t>1983-01-05</t>
        </is>
      </c>
    </row>
    <row r="30365">
      <c r="A30365" s="1" t="n">
        <v>30364</v>
      </c>
      <c r="B30365">
        <f>TEXT(30364, "[$-0E0000]yyyy-mm-dd")</f>
        <v/>
      </c>
      <c r="C30365" t="inlineStr">
        <is>
          <t>1983-01-06</t>
        </is>
      </c>
    </row>
    <row r="30366">
      <c r="A30366" s="1" t="n">
        <v>30365</v>
      </c>
      <c r="B30366">
        <f>TEXT(30365, "[$-0E0000]yyyy-mm-dd")</f>
        <v/>
      </c>
      <c r="C30366" t="inlineStr">
        <is>
          <t>1983-01-07</t>
        </is>
      </c>
    </row>
    <row r="30367">
      <c r="A30367" s="1" t="n">
        <v>30366</v>
      </c>
      <c r="B30367">
        <f>TEXT(30366, "[$-0E0000]yyyy-mm-dd")</f>
        <v/>
      </c>
      <c r="C30367" t="inlineStr">
        <is>
          <t>1983-01-08</t>
        </is>
      </c>
    </row>
    <row r="30368">
      <c r="A30368" s="1" t="n">
        <v>30367</v>
      </c>
      <c r="B30368">
        <f>TEXT(30367, "[$-0E0000]yyyy-mm-dd")</f>
        <v/>
      </c>
      <c r="C30368" t="inlineStr">
        <is>
          <t>1983-01-09</t>
        </is>
      </c>
    </row>
    <row r="30369">
      <c r="A30369" s="1" t="n">
        <v>30368</v>
      </c>
      <c r="B30369">
        <f>TEXT(30368, "[$-0E0000]yyyy-mm-dd")</f>
        <v/>
      </c>
      <c r="C30369" t="inlineStr">
        <is>
          <t>1983-01-10</t>
        </is>
      </c>
    </row>
    <row r="30370">
      <c r="A30370" s="1" t="n">
        <v>30369</v>
      </c>
      <c r="B30370">
        <f>TEXT(30369, "[$-0E0000]yyyy-mm-dd")</f>
        <v/>
      </c>
      <c r="C30370" t="inlineStr">
        <is>
          <t>1983-01-11</t>
        </is>
      </c>
    </row>
    <row r="30371">
      <c r="A30371" s="1" t="n">
        <v>30370</v>
      </c>
      <c r="B30371">
        <f>TEXT(30370, "[$-0E0000]yyyy-mm-dd")</f>
        <v/>
      </c>
      <c r="C30371" t="inlineStr">
        <is>
          <t>1983-01-12</t>
        </is>
      </c>
    </row>
    <row r="30372">
      <c r="A30372" s="1" t="n">
        <v>30371</v>
      </c>
      <c r="B30372">
        <f>TEXT(30371, "[$-0E0000]yyyy-mm-dd")</f>
        <v/>
      </c>
      <c r="C30372" t="inlineStr">
        <is>
          <t>1983-01-13</t>
        </is>
      </c>
    </row>
    <row r="30373">
      <c r="A30373" s="1" t="n">
        <v>30372</v>
      </c>
      <c r="B30373">
        <f>TEXT(30372, "[$-0E0000]yyyy-mm-dd")</f>
        <v/>
      </c>
      <c r="C30373" t="inlineStr">
        <is>
          <t>1983-01-14</t>
        </is>
      </c>
    </row>
    <row r="30374">
      <c r="A30374" s="1" t="n">
        <v>30373</v>
      </c>
      <c r="B30374">
        <f>TEXT(30373, "[$-0E0000]yyyy-mm-dd")</f>
        <v/>
      </c>
      <c r="C30374" t="inlineStr">
        <is>
          <t>1983-01-15</t>
        </is>
      </c>
    </row>
    <row r="30375">
      <c r="A30375" s="1" t="n">
        <v>30374</v>
      </c>
      <c r="B30375">
        <f>TEXT(30374, "[$-0E0000]yyyy-mm-dd")</f>
        <v/>
      </c>
      <c r="C30375" t="inlineStr">
        <is>
          <t>1983-01-16</t>
        </is>
      </c>
    </row>
    <row r="30376">
      <c r="A30376" s="1" t="n">
        <v>30375</v>
      </c>
      <c r="B30376">
        <f>TEXT(30375, "[$-0E0000]yyyy-mm-dd")</f>
        <v/>
      </c>
      <c r="C30376" t="inlineStr">
        <is>
          <t>1983-01-17</t>
        </is>
      </c>
    </row>
    <row r="30377">
      <c r="A30377" s="1" t="n">
        <v>30376</v>
      </c>
      <c r="B30377">
        <f>TEXT(30376, "[$-0E0000]yyyy-mm-dd")</f>
        <v/>
      </c>
      <c r="C30377" t="inlineStr">
        <is>
          <t>1983-01-18</t>
        </is>
      </c>
    </row>
    <row r="30378">
      <c r="A30378" s="1" t="n">
        <v>30377</v>
      </c>
      <c r="B30378">
        <f>TEXT(30377, "[$-0E0000]yyyy-mm-dd")</f>
        <v/>
      </c>
      <c r="C30378" t="inlineStr">
        <is>
          <t>1983-01-19</t>
        </is>
      </c>
    </row>
    <row r="30379">
      <c r="A30379" s="1" t="n">
        <v>30378</v>
      </c>
      <c r="B30379">
        <f>TEXT(30378, "[$-0E0000]yyyy-mm-dd")</f>
        <v/>
      </c>
      <c r="C30379" t="inlineStr">
        <is>
          <t>1983-01-20</t>
        </is>
      </c>
    </row>
    <row r="30380">
      <c r="A30380" s="1" t="n">
        <v>30379</v>
      </c>
      <c r="B30380">
        <f>TEXT(30379, "[$-0E0000]yyyy-mm-dd")</f>
        <v/>
      </c>
      <c r="C30380" t="inlineStr">
        <is>
          <t>1983-01-21</t>
        </is>
      </c>
    </row>
    <row r="30381">
      <c r="A30381" s="1" t="n">
        <v>30380</v>
      </c>
      <c r="B30381">
        <f>TEXT(30380, "[$-0E0000]yyyy-mm-dd")</f>
        <v/>
      </c>
      <c r="C30381" t="inlineStr">
        <is>
          <t>1983-01-22</t>
        </is>
      </c>
    </row>
    <row r="30382">
      <c r="A30382" s="1" t="n">
        <v>30381</v>
      </c>
      <c r="B30382">
        <f>TEXT(30381, "[$-0E0000]yyyy-mm-dd")</f>
        <v/>
      </c>
      <c r="C30382" t="inlineStr">
        <is>
          <t>1983-01-23</t>
        </is>
      </c>
    </row>
    <row r="30383">
      <c r="A30383" s="1" t="n">
        <v>30382</v>
      </c>
      <c r="B30383">
        <f>TEXT(30382, "[$-0E0000]yyyy-mm-dd")</f>
        <v/>
      </c>
      <c r="C30383" t="inlineStr">
        <is>
          <t>1983-01-24</t>
        </is>
      </c>
    </row>
    <row r="30384">
      <c r="A30384" s="1" t="n">
        <v>30383</v>
      </c>
      <c r="B30384">
        <f>TEXT(30383, "[$-0E0000]yyyy-mm-dd")</f>
        <v/>
      </c>
      <c r="C30384" t="inlineStr">
        <is>
          <t>1983-01-25</t>
        </is>
      </c>
    </row>
    <row r="30385">
      <c r="A30385" s="1" t="n">
        <v>30384</v>
      </c>
      <c r="B30385">
        <f>TEXT(30384, "[$-0E0000]yyyy-mm-dd")</f>
        <v/>
      </c>
      <c r="C30385" t="inlineStr">
        <is>
          <t>1983-01-26</t>
        </is>
      </c>
    </row>
    <row r="30386">
      <c r="A30386" s="1" t="n">
        <v>30385</v>
      </c>
      <c r="B30386">
        <f>TEXT(30385, "[$-0E0000]yyyy-mm-dd")</f>
        <v/>
      </c>
      <c r="C30386" t="inlineStr">
        <is>
          <t>1983-01-27</t>
        </is>
      </c>
    </row>
    <row r="30387">
      <c r="A30387" s="1" t="n">
        <v>30386</v>
      </c>
      <c r="B30387">
        <f>TEXT(30386, "[$-0E0000]yyyy-mm-dd")</f>
        <v/>
      </c>
      <c r="C30387" t="inlineStr">
        <is>
          <t>1983-01-28</t>
        </is>
      </c>
    </row>
    <row r="30388">
      <c r="A30388" s="1" t="n">
        <v>30387</v>
      </c>
      <c r="B30388">
        <f>TEXT(30387, "[$-0E0000]yyyy-mm-dd")</f>
        <v/>
      </c>
      <c r="C30388" t="inlineStr">
        <is>
          <t>1983-01-29</t>
        </is>
      </c>
    </row>
    <row r="30389">
      <c r="A30389" s="1" t="n">
        <v>30388</v>
      </c>
      <c r="B30389">
        <f>TEXT(30388, "[$-0E0000]yyyy-mm-dd")</f>
        <v/>
      </c>
      <c r="C30389" t="inlineStr">
        <is>
          <t>1983-01-30</t>
        </is>
      </c>
    </row>
    <row r="30390">
      <c r="A30390" s="1" t="n">
        <v>30389</v>
      </c>
      <c r="B30390">
        <f>TEXT(30389, "[$-0E0000]yyyy-mm-dd")</f>
        <v/>
      </c>
      <c r="C30390" t="inlineStr">
        <is>
          <t>1983-02-01</t>
        </is>
      </c>
    </row>
    <row r="30391">
      <c r="A30391" s="1" t="n">
        <v>30390</v>
      </c>
      <c r="B30391">
        <f>TEXT(30390, "[$-0E0000]yyyy-mm-dd")</f>
        <v/>
      </c>
      <c r="C30391" t="inlineStr">
        <is>
          <t>1983-02-02</t>
        </is>
      </c>
    </row>
    <row r="30392">
      <c r="A30392" s="1" t="n">
        <v>30391</v>
      </c>
      <c r="B30392">
        <f>TEXT(30391, "[$-0E0000]yyyy-mm-dd")</f>
        <v/>
      </c>
      <c r="C30392" t="inlineStr">
        <is>
          <t>1983-02-03</t>
        </is>
      </c>
    </row>
    <row r="30393">
      <c r="A30393" s="1" t="n">
        <v>30392</v>
      </c>
      <c r="B30393">
        <f>TEXT(30392, "[$-0E0000]yyyy-mm-dd")</f>
        <v/>
      </c>
      <c r="C30393" t="inlineStr">
        <is>
          <t>1983-02-04</t>
        </is>
      </c>
    </row>
    <row r="30394">
      <c r="A30394" s="1" t="n">
        <v>30393</v>
      </c>
      <c r="B30394">
        <f>TEXT(30393, "[$-0E0000]yyyy-mm-dd")</f>
        <v/>
      </c>
      <c r="C30394" t="inlineStr">
        <is>
          <t>1983-02-05</t>
        </is>
      </c>
    </row>
    <row r="30395">
      <c r="A30395" s="1" t="n">
        <v>30394</v>
      </c>
      <c r="B30395">
        <f>TEXT(30394, "[$-0E0000]yyyy-mm-dd")</f>
        <v/>
      </c>
      <c r="C30395" t="inlineStr">
        <is>
          <t>1983-02-06</t>
        </is>
      </c>
    </row>
    <row r="30396">
      <c r="A30396" s="1" t="n">
        <v>30395</v>
      </c>
      <c r="B30396">
        <f>TEXT(30395, "[$-0E0000]yyyy-mm-dd")</f>
        <v/>
      </c>
      <c r="C30396" t="inlineStr">
        <is>
          <t>1983-02-07</t>
        </is>
      </c>
    </row>
    <row r="30397">
      <c r="A30397" s="1" t="n">
        <v>30396</v>
      </c>
      <c r="B30397">
        <f>TEXT(30396, "[$-0E0000]yyyy-mm-dd")</f>
        <v/>
      </c>
      <c r="C30397" t="inlineStr">
        <is>
          <t>1983-02-08</t>
        </is>
      </c>
    </row>
    <row r="30398">
      <c r="A30398" s="1" t="n">
        <v>30397</v>
      </c>
      <c r="B30398">
        <f>TEXT(30397, "[$-0E0000]yyyy-mm-dd")</f>
        <v/>
      </c>
      <c r="C30398" t="inlineStr">
        <is>
          <t>1983-02-09</t>
        </is>
      </c>
    </row>
    <row r="30399">
      <c r="A30399" s="1" t="n">
        <v>30398</v>
      </c>
      <c r="B30399">
        <f>TEXT(30398, "[$-0E0000]yyyy-mm-dd")</f>
        <v/>
      </c>
      <c r="C30399" t="inlineStr">
        <is>
          <t>1983-02-10</t>
        </is>
      </c>
    </row>
    <row r="30400">
      <c r="A30400" s="1" t="n">
        <v>30399</v>
      </c>
      <c r="B30400">
        <f>TEXT(30399, "[$-0E0000]yyyy-mm-dd")</f>
        <v/>
      </c>
      <c r="C30400" t="inlineStr">
        <is>
          <t>1983-02-11</t>
        </is>
      </c>
    </row>
    <row r="30401">
      <c r="A30401" s="1" t="n">
        <v>30400</v>
      </c>
      <c r="B30401">
        <f>TEXT(30400, "[$-0E0000]yyyy-mm-dd")</f>
        <v/>
      </c>
      <c r="C30401" t="inlineStr">
        <is>
          <t>1983-02-12</t>
        </is>
      </c>
    </row>
    <row r="30402">
      <c r="A30402" s="1" t="n">
        <v>30401</v>
      </c>
      <c r="B30402">
        <f>TEXT(30401, "[$-0E0000]yyyy-mm-dd")</f>
        <v/>
      </c>
      <c r="C30402" t="inlineStr">
        <is>
          <t>1983-02-13</t>
        </is>
      </c>
    </row>
    <row r="30403">
      <c r="A30403" s="1" t="n">
        <v>30402</v>
      </c>
      <c r="B30403">
        <f>TEXT(30402, "[$-0E0000]yyyy-mm-dd")</f>
        <v/>
      </c>
      <c r="C30403" t="inlineStr">
        <is>
          <t>1983-02-14</t>
        </is>
      </c>
    </row>
    <row r="30404">
      <c r="A30404" s="1" t="n">
        <v>30403</v>
      </c>
      <c r="B30404">
        <f>TEXT(30403, "[$-0E0000]yyyy-mm-dd")</f>
        <v/>
      </c>
      <c r="C30404" t="inlineStr">
        <is>
          <t>1983-02-15</t>
        </is>
      </c>
    </row>
    <row r="30405">
      <c r="A30405" s="1" t="n">
        <v>30404</v>
      </c>
      <c r="B30405">
        <f>TEXT(30404, "[$-0E0000]yyyy-mm-dd")</f>
        <v/>
      </c>
      <c r="C30405" t="inlineStr">
        <is>
          <t>1983-02-16</t>
        </is>
      </c>
    </row>
    <row r="30406">
      <c r="A30406" s="1" t="n">
        <v>30405</v>
      </c>
      <c r="B30406">
        <f>TEXT(30405, "[$-0E0000]yyyy-mm-dd")</f>
        <v/>
      </c>
      <c r="C30406" t="inlineStr">
        <is>
          <t>1983-02-17</t>
        </is>
      </c>
    </row>
    <row r="30407">
      <c r="A30407" s="1" t="n">
        <v>30406</v>
      </c>
      <c r="B30407">
        <f>TEXT(30406, "[$-0E0000]yyyy-mm-dd")</f>
        <v/>
      </c>
      <c r="C30407" t="inlineStr">
        <is>
          <t>1983-02-18</t>
        </is>
      </c>
    </row>
    <row r="30408">
      <c r="A30408" s="1" t="n">
        <v>30407</v>
      </c>
      <c r="B30408">
        <f>TEXT(30407, "[$-0E0000]yyyy-mm-dd")</f>
        <v/>
      </c>
      <c r="C30408" t="inlineStr">
        <is>
          <t>1983-02-19</t>
        </is>
      </c>
    </row>
    <row r="30409">
      <c r="A30409" s="1" t="n">
        <v>30408</v>
      </c>
      <c r="B30409">
        <f>TEXT(30408, "[$-0E0000]yyyy-mm-dd")</f>
        <v/>
      </c>
      <c r="C30409" t="inlineStr">
        <is>
          <t>1983-02-20</t>
        </is>
      </c>
    </row>
    <row r="30410">
      <c r="A30410" s="1" t="n">
        <v>30409</v>
      </c>
      <c r="B30410">
        <f>TEXT(30409, "[$-0E0000]yyyy-mm-dd")</f>
        <v/>
      </c>
      <c r="C30410" t="inlineStr">
        <is>
          <t>1983-02-21</t>
        </is>
      </c>
    </row>
    <row r="30411">
      <c r="A30411" s="1" t="n">
        <v>30410</v>
      </c>
      <c r="B30411">
        <f>TEXT(30410, "[$-0E0000]yyyy-mm-dd")</f>
        <v/>
      </c>
      <c r="C30411" t="inlineStr">
        <is>
          <t>1983-02-22</t>
        </is>
      </c>
    </row>
    <row r="30412">
      <c r="A30412" s="1" t="n">
        <v>30411</v>
      </c>
      <c r="B30412">
        <f>TEXT(30411, "[$-0E0000]yyyy-mm-dd")</f>
        <v/>
      </c>
      <c r="C30412" t="inlineStr">
        <is>
          <t>1983-02-23</t>
        </is>
      </c>
    </row>
    <row r="30413">
      <c r="A30413" s="1" t="n">
        <v>30412</v>
      </c>
      <c r="B30413">
        <f>TEXT(30412, "[$-0E0000]yyyy-mm-dd")</f>
        <v/>
      </c>
      <c r="C30413" t="inlineStr">
        <is>
          <t>1983-02-24</t>
        </is>
      </c>
    </row>
    <row r="30414">
      <c r="A30414" s="1" t="n">
        <v>30413</v>
      </c>
      <c r="B30414">
        <f>TEXT(30413, "[$-0E0000]yyyy-mm-dd")</f>
        <v/>
      </c>
      <c r="C30414" t="inlineStr">
        <is>
          <t>1983-02-25</t>
        </is>
      </c>
    </row>
    <row r="30415">
      <c r="A30415" s="1" t="n">
        <v>30414</v>
      </c>
      <c r="B30415">
        <f>TEXT(30414, "[$-0E0000]yyyy-mm-dd")</f>
        <v/>
      </c>
      <c r="C30415" t="inlineStr">
        <is>
          <t>1983-02-26</t>
        </is>
      </c>
    </row>
    <row r="30416">
      <c r="A30416" s="1" t="n">
        <v>30415</v>
      </c>
      <c r="B30416">
        <f>TEXT(30415, "[$-0E0000]yyyy-mm-dd")</f>
        <v/>
      </c>
      <c r="C30416" t="inlineStr">
        <is>
          <t>1983-02-27</t>
        </is>
      </c>
    </row>
    <row r="30417">
      <c r="A30417" s="1" t="n">
        <v>30416</v>
      </c>
      <c r="B30417">
        <f>TEXT(30416, "[$-0E0000]yyyy-mm-dd")</f>
        <v/>
      </c>
      <c r="C30417" t="inlineStr">
        <is>
          <t>1983-02-28</t>
        </is>
      </c>
    </row>
    <row r="30418">
      <c r="A30418" s="1" t="n">
        <v>30417</v>
      </c>
      <c r="B30418">
        <f>TEXT(30417, "[$-0E0000]yyyy-mm-dd")</f>
        <v/>
      </c>
      <c r="C30418" t="inlineStr">
        <is>
          <t>1983-02-29</t>
        </is>
      </c>
    </row>
    <row r="30419">
      <c r="A30419" s="1" t="n">
        <v>30418</v>
      </c>
      <c r="B30419">
        <f>TEXT(30418, "[$-0E0000]yyyy-mm-dd")</f>
        <v/>
      </c>
      <c r="C30419" t="inlineStr">
        <is>
          <t>1983-03-01</t>
        </is>
      </c>
    </row>
    <row r="30420">
      <c r="A30420" s="1" t="n">
        <v>30419</v>
      </c>
      <c r="B30420">
        <f>TEXT(30419, "[$-0E0000]yyyy-mm-dd")</f>
        <v/>
      </c>
      <c r="C30420" t="inlineStr">
        <is>
          <t>1983-03-02</t>
        </is>
      </c>
    </row>
    <row r="30421">
      <c r="A30421" s="1" t="n">
        <v>30420</v>
      </c>
      <c r="B30421">
        <f>TEXT(30420, "[$-0E0000]yyyy-mm-dd")</f>
        <v/>
      </c>
      <c r="C30421" t="inlineStr">
        <is>
          <t>1983-03-03</t>
        </is>
      </c>
    </row>
    <row r="30422">
      <c r="A30422" s="1" t="n">
        <v>30421</v>
      </c>
      <c r="B30422">
        <f>TEXT(30421, "[$-0E0000]yyyy-mm-dd")</f>
        <v/>
      </c>
      <c r="C30422" t="inlineStr">
        <is>
          <t>1983-03-04</t>
        </is>
      </c>
    </row>
    <row r="30423">
      <c r="A30423" s="1" t="n">
        <v>30422</v>
      </c>
      <c r="B30423">
        <f>TEXT(30422, "[$-0E0000]yyyy-mm-dd")</f>
        <v/>
      </c>
      <c r="C30423" t="inlineStr">
        <is>
          <t>1983-03-05</t>
        </is>
      </c>
    </row>
    <row r="30424">
      <c r="A30424" s="1" t="n">
        <v>30423</v>
      </c>
      <c r="B30424">
        <f>TEXT(30423, "[$-0E0000]yyyy-mm-dd")</f>
        <v/>
      </c>
      <c r="C30424" t="inlineStr">
        <is>
          <t>1983-03-06</t>
        </is>
      </c>
    </row>
    <row r="30425">
      <c r="A30425" s="1" t="n">
        <v>30424</v>
      </c>
      <c r="B30425">
        <f>TEXT(30424, "[$-0E0000]yyyy-mm-dd")</f>
        <v/>
      </c>
      <c r="C30425" t="inlineStr">
        <is>
          <t>1983-03-07</t>
        </is>
      </c>
    </row>
    <row r="30426">
      <c r="A30426" s="1" t="n">
        <v>30425</v>
      </c>
      <c r="B30426">
        <f>TEXT(30425, "[$-0E0000]yyyy-mm-dd")</f>
        <v/>
      </c>
      <c r="C30426" t="inlineStr">
        <is>
          <t>1983-03-08</t>
        </is>
      </c>
    </row>
    <row r="30427">
      <c r="A30427" s="1" t="n">
        <v>30426</v>
      </c>
      <c r="B30427">
        <f>TEXT(30426, "[$-0E0000]yyyy-mm-dd")</f>
        <v/>
      </c>
      <c r="C30427" t="inlineStr">
        <is>
          <t>1983-03-09</t>
        </is>
      </c>
    </row>
    <row r="30428">
      <c r="A30428" s="1" t="n">
        <v>30427</v>
      </c>
      <c r="B30428">
        <f>TEXT(30427, "[$-0E0000]yyyy-mm-dd")</f>
        <v/>
      </c>
      <c r="C30428" t="inlineStr">
        <is>
          <t>1983-03-10</t>
        </is>
      </c>
    </row>
    <row r="30429">
      <c r="A30429" s="1" t="n">
        <v>30428</v>
      </c>
      <c r="B30429">
        <f>TEXT(30428, "[$-0E0000]yyyy-mm-dd")</f>
        <v/>
      </c>
      <c r="C30429" t="inlineStr">
        <is>
          <t>1983-03-11</t>
        </is>
      </c>
    </row>
    <row r="30430">
      <c r="A30430" s="1" t="n">
        <v>30429</v>
      </c>
      <c r="B30430">
        <f>TEXT(30429, "[$-0E0000]yyyy-mm-dd")</f>
        <v/>
      </c>
      <c r="C30430" t="inlineStr">
        <is>
          <t>1983-03-12</t>
        </is>
      </c>
    </row>
    <row r="30431">
      <c r="A30431" s="1" t="n">
        <v>30430</v>
      </c>
      <c r="B30431">
        <f>TEXT(30430, "[$-0E0000]yyyy-mm-dd")</f>
        <v/>
      </c>
      <c r="C30431" t="inlineStr">
        <is>
          <t>1983-03-13</t>
        </is>
      </c>
    </row>
    <row r="30432">
      <c r="A30432" s="1" t="n">
        <v>30431</v>
      </c>
      <c r="B30432">
        <f>TEXT(30431, "[$-0E0000]yyyy-mm-dd")</f>
        <v/>
      </c>
      <c r="C30432" t="inlineStr">
        <is>
          <t>1983-03-14</t>
        </is>
      </c>
    </row>
    <row r="30433">
      <c r="A30433" s="1" t="n">
        <v>30432</v>
      </c>
      <c r="B30433">
        <f>TEXT(30432, "[$-0E0000]yyyy-mm-dd")</f>
        <v/>
      </c>
      <c r="C30433" t="inlineStr">
        <is>
          <t>1983-03-15</t>
        </is>
      </c>
    </row>
    <row r="30434">
      <c r="A30434" s="1" t="n">
        <v>30433</v>
      </c>
      <c r="B30434">
        <f>TEXT(30433, "[$-0E0000]yyyy-mm-dd")</f>
        <v/>
      </c>
      <c r="C30434" t="inlineStr">
        <is>
          <t>1983-03-16</t>
        </is>
      </c>
    </row>
    <row r="30435">
      <c r="A30435" s="1" t="n">
        <v>30434</v>
      </c>
      <c r="B30435">
        <f>TEXT(30434, "[$-0E0000]yyyy-mm-dd")</f>
        <v/>
      </c>
      <c r="C30435" t="inlineStr">
        <is>
          <t>1983-03-17</t>
        </is>
      </c>
    </row>
    <row r="30436">
      <c r="A30436" s="1" t="n">
        <v>30435</v>
      </c>
      <c r="B30436">
        <f>TEXT(30435, "[$-0E0000]yyyy-mm-dd")</f>
        <v/>
      </c>
      <c r="C30436" t="inlineStr">
        <is>
          <t>1983-03-18</t>
        </is>
      </c>
    </row>
    <row r="30437">
      <c r="A30437" s="1" t="n">
        <v>30436</v>
      </c>
      <c r="B30437">
        <f>TEXT(30436, "[$-0E0000]yyyy-mm-dd")</f>
        <v/>
      </c>
      <c r="C30437" t="inlineStr">
        <is>
          <t>1983-03-19</t>
        </is>
      </c>
    </row>
    <row r="30438">
      <c r="A30438" s="1" t="n">
        <v>30437</v>
      </c>
      <c r="B30438">
        <f>TEXT(30437, "[$-0E0000]yyyy-mm-dd")</f>
        <v/>
      </c>
      <c r="C30438" t="inlineStr">
        <is>
          <t>1983-03-20</t>
        </is>
      </c>
    </row>
    <row r="30439">
      <c r="A30439" s="1" t="n">
        <v>30438</v>
      </c>
      <c r="B30439">
        <f>TEXT(30438, "[$-0E0000]yyyy-mm-dd")</f>
        <v/>
      </c>
      <c r="C30439" t="inlineStr">
        <is>
          <t>1983-03-21</t>
        </is>
      </c>
    </row>
    <row r="30440">
      <c r="A30440" s="1" t="n">
        <v>30439</v>
      </c>
      <c r="B30440">
        <f>TEXT(30439, "[$-0E0000]yyyy-mm-dd")</f>
        <v/>
      </c>
      <c r="C30440" t="inlineStr">
        <is>
          <t>1983-03-22</t>
        </is>
      </c>
    </row>
    <row r="30441">
      <c r="A30441" s="1" t="n">
        <v>30440</v>
      </c>
      <c r="B30441">
        <f>TEXT(30440, "[$-0E0000]yyyy-mm-dd")</f>
        <v/>
      </c>
      <c r="C30441" t="inlineStr">
        <is>
          <t>1983-03-23</t>
        </is>
      </c>
    </row>
    <row r="30442">
      <c r="A30442" s="1" t="n">
        <v>30441</v>
      </c>
      <c r="B30442">
        <f>TEXT(30441, "[$-0E0000]yyyy-mm-dd")</f>
        <v/>
      </c>
      <c r="C30442" t="inlineStr">
        <is>
          <t>1983-03-24</t>
        </is>
      </c>
    </row>
    <row r="30443">
      <c r="A30443" s="1" t="n">
        <v>30442</v>
      </c>
      <c r="B30443">
        <f>TEXT(30442, "[$-0E0000]yyyy-mm-dd")</f>
        <v/>
      </c>
      <c r="C30443" t="inlineStr">
        <is>
          <t>1983-03-25</t>
        </is>
      </c>
    </row>
    <row r="30444">
      <c r="A30444" s="1" t="n">
        <v>30443</v>
      </c>
      <c r="B30444">
        <f>TEXT(30443, "[$-0E0000]yyyy-mm-dd")</f>
        <v/>
      </c>
      <c r="C30444" t="inlineStr">
        <is>
          <t>1983-03-26</t>
        </is>
      </c>
    </row>
    <row r="30445">
      <c r="A30445" s="1" t="n">
        <v>30444</v>
      </c>
      <c r="B30445">
        <f>TEXT(30444, "[$-0E0000]yyyy-mm-dd")</f>
        <v/>
      </c>
      <c r="C30445" t="inlineStr">
        <is>
          <t>1983-03-27</t>
        </is>
      </c>
    </row>
    <row r="30446">
      <c r="A30446" s="1" t="n">
        <v>30445</v>
      </c>
      <c r="B30446">
        <f>TEXT(30445, "[$-0E0000]yyyy-mm-dd")</f>
        <v/>
      </c>
      <c r="C30446" t="inlineStr">
        <is>
          <t>1983-03-28</t>
        </is>
      </c>
    </row>
    <row r="30447">
      <c r="A30447" s="1" t="n">
        <v>30446</v>
      </c>
      <c r="B30447">
        <f>TEXT(30446, "[$-0E0000]yyyy-mm-dd")</f>
        <v/>
      </c>
      <c r="C30447" t="inlineStr">
        <is>
          <t>1983-03-29</t>
        </is>
      </c>
    </row>
    <row r="30448">
      <c r="A30448" s="1" t="n">
        <v>30447</v>
      </c>
      <c r="B30448">
        <f>TEXT(30447, "[$-0E0000]yyyy-mm-dd")</f>
        <v/>
      </c>
      <c r="C30448" t="inlineStr">
        <is>
          <t>1983-03-30</t>
        </is>
      </c>
    </row>
    <row r="30449">
      <c r="A30449" s="1" t="n">
        <v>30448</v>
      </c>
      <c r="B30449">
        <f>TEXT(30448, "[$-0E0000]yyyy-mm-dd")</f>
        <v/>
      </c>
      <c r="C30449" t="inlineStr">
        <is>
          <t>1983-04-01</t>
        </is>
      </c>
    </row>
    <row r="30450">
      <c r="A30450" s="1" t="n">
        <v>30449</v>
      </c>
      <c r="B30450">
        <f>TEXT(30449, "[$-0E0000]yyyy-mm-dd")</f>
        <v/>
      </c>
      <c r="C30450" t="inlineStr">
        <is>
          <t>1983-04-02</t>
        </is>
      </c>
    </row>
    <row r="30451">
      <c r="A30451" s="1" t="n">
        <v>30450</v>
      </c>
      <c r="B30451">
        <f>TEXT(30450, "[$-0E0000]yyyy-mm-dd")</f>
        <v/>
      </c>
      <c r="C30451" t="inlineStr">
        <is>
          <t>1983-04-03</t>
        </is>
      </c>
    </row>
    <row r="30452">
      <c r="A30452" s="1" t="n">
        <v>30451</v>
      </c>
      <c r="B30452">
        <f>TEXT(30451, "[$-0E0000]yyyy-mm-dd")</f>
        <v/>
      </c>
      <c r="C30452" t="inlineStr">
        <is>
          <t>1983-04-04</t>
        </is>
      </c>
    </row>
    <row r="30453">
      <c r="A30453" s="1" t="n">
        <v>30452</v>
      </c>
      <c r="B30453">
        <f>TEXT(30452, "[$-0E0000]yyyy-mm-dd")</f>
        <v/>
      </c>
      <c r="C30453" t="inlineStr">
        <is>
          <t>1983-04-05</t>
        </is>
      </c>
    </row>
    <row r="30454">
      <c r="A30454" s="1" t="n">
        <v>30453</v>
      </c>
      <c r="B30454">
        <f>TEXT(30453, "[$-0E0000]yyyy-mm-dd")</f>
        <v/>
      </c>
      <c r="C30454" t="inlineStr">
        <is>
          <t>1983-04-06</t>
        </is>
      </c>
    </row>
    <row r="30455">
      <c r="A30455" s="1" t="n">
        <v>30454</v>
      </c>
      <c r="B30455">
        <f>TEXT(30454, "[$-0E0000]yyyy-mm-dd")</f>
        <v/>
      </c>
      <c r="C30455" t="inlineStr">
        <is>
          <t>1983-04-07</t>
        </is>
      </c>
    </row>
    <row r="30456">
      <c r="A30456" s="1" t="n">
        <v>30455</v>
      </c>
      <c r="B30456">
        <f>TEXT(30455, "[$-0E0000]yyyy-mm-dd")</f>
        <v/>
      </c>
      <c r="C30456" t="inlineStr">
        <is>
          <t>1983-04-08</t>
        </is>
      </c>
    </row>
    <row r="30457">
      <c r="A30457" s="1" t="n">
        <v>30456</v>
      </c>
      <c r="B30457">
        <f>TEXT(30456, "[$-0E0000]yyyy-mm-dd")</f>
        <v/>
      </c>
      <c r="C30457" t="inlineStr">
        <is>
          <t>1983-04-09</t>
        </is>
      </c>
    </row>
    <row r="30458">
      <c r="A30458" s="1" t="n">
        <v>30457</v>
      </c>
      <c r="B30458">
        <f>TEXT(30457, "[$-0E0000]yyyy-mm-dd")</f>
        <v/>
      </c>
      <c r="C30458" t="inlineStr">
        <is>
          <t>1983-04-10</t>
        </is>
      </c>
    </row>
    <row r="30459">
      <c r="A30459" s="1" t="n">
        <v>30458</v>
      </c>
      <c r="B30459">
        <f>TEXT(30458, "[$-0E0000]yyyy-mm-dd")</f>
        <v/>
      </c>
      <c r="C30459" t="inlineStr">
        <is>
          <t>1983-04-11</t>
        </is>
      </c>
    </row>
    <row r="30460">
      <c r="A30460" s="1" t="n">
        <v>30459</v>
      </c>
      <c r="B30460">
        <f>TEXT(30459, "[$-0E0000]yyyy-mm-dd")</f>
        <v/>
      </c>
      <c r="C30460" t="inlineStr">
        <is>
          <t>1983-04-12</t>
        </is>
      </c>
    </row>
    <row r="30461">
      <c r="A30461" s="1" t="n">
        <v>30460</v>
      </c>
      <c r="B30461">
        <f>TEXT(30460, "[$-0E0000]yyyy-mm-dd")</f>
        <v/>
      </c>
      <c r="C30461" t="inlineStr">
        <is>
          <t>1983-04-13</t>
        </is>
      </c>
    </row>
    <row r="30462">
      <c r="A30462" s="1" t="n">
        <v>30461</v>
      </c>
      <c r="B30462">
        <f>TEXT(30461, "[$-0E0000]yyyy-mm-dd")</f>
        <v/>
      </c>
      <c r="C30462" t="inlineStr">
        <is>
          <t>1983-04-14</t>
        </is>
      </c>
    </row>
    <row r="30463">
      <c r="A30463" s="1" t="n">
        <v>30462</v>
      </c>
      <c r="B30463">
        <f>TEXT(30462, "[$-0E0000]yyyy-mm-dd")</f>
        <v/>
      </c>
      <c r="C30463" t="inlineStr">
        <is>
          <t>1983-04-15</t>
        </is>
      </c>
    </row>
    <row r="30464">
      <c r="A30464" s="1" t="n">
        <v>30463</v>
      </c>
      <c r="B30464">
        <f>TEXT(30463, "[$-0E0000]yyyy-mm-dd")</f>
        <v/>
      </c>
      <c r="C30464" t="inlineStr">
        <is>
          <t>1983-04-16</t>
        </is>
      </c>
    </row>
    <row r="30465">
      <c r="A30465" s="1" t="n">
        <v>30464</v>
      </c>
      <c r="B30465">
        <f>TEXT(30464, "[$-0E0000]yyyy-mm-dd")</f>
        <v/>
      </c>
      <c r="C30465" t="inlineStr">
        <is>
          <t>1983-04-17</t>
        </is>
      </c>
    </row>
    <row r="30466">
      <c r="A30466" s="1" t="n">
        <v>30465</v>
      </c>
      <c r="B30466">
        <f>TEXT(30465, "[$-0E0000]yyyy-mm-dd")</f>
        <v/>
      </c>
      <c r="C30466" t="inlineStr">
        <is>
          <t>1983-04-18</t>
        </is>
      </c>
    </row>
    <row r="30467">
      <c r="A30467" s="1" t="n">
        <v>30466</v>
      </c>
      <c r="B30467">
        <f>TEXT(30466, "[$-0E0000]yyyy-mm-dd")</f>
        <v/>
      </c>
      <c r="C30467" t="inlineStr">
        <is>
          <t>1983-04-19</t>
        </is>
      </c>
    </row>
    <row r="30468">
      <c r="A30468" s="1" t="n">
        <v>30467</v>
      </c>
      <c r="B30468">
        <f>TEXT(30467, "[$-0E0000]yyyy-mm-dd")</f>
        <v/>
      </c>
      <c r="C30468" t="inlineStr">
        <is>
          <t>1983-04-20</t>
        </is>
      </c>
    </row>
    <row r="30469">
      <c r="A30469" s="1" t="n">
        <v>30468</v>
      </c>
      <c r="B30469">
        <f>TEXT(30468, "[$-0E0000]yyyy-mm-dd")</f>
        <v/>
      </c>
      <c r="C30469" t="inlineStr">
        <is>
          <t>1983-04-21</t>
        </is>
      </c>
    </row>
    <row r="30470">
      <c r="A30470" s="1" t="n">
        <v>30469</v>
      </c>
      <c r="B30470">
        <f>TEXT(30469, "[$-0E0000]yyyy-mm-dd")</f>
        <v/>
      </c>
      <c r="C30470" t="inlineStr">
        <is>
          <t>1983-04-22</t>
        </is>
      </c>
    </row>
    <row r="30471">
      <c r="A30471" s="1" t="n">
        <v>30470</v>
      </c>
      <c r="B30471">
        <f>TEXT(30470, "[$-0E0000]yyyy-mm-dd")</f>
        <v/>
      </c>
      <c r="C30471" t="inlineStr">
        <is>
          <t>1983-04-23</t>
        </is>
      </c>
    </row>
    <row r="30472">
      <c r="A30472" s="1" t="n">
        <v>30471</v>
      </c>
      <c r="B30472">
        <f>TEXT(30471, "[$-0E0000]yyyy-mm-dd")</f>
        <v/>
      </c>
      <c r="C30472" t="inlineStr">
        <is>
          <t>1983-04-24</t>
        </is>
      </c>
    </row>
    <row r="30473">
      <c r="A30473" s="1" t="n">
        <v>30472</v>
      </c>
      <c r="B30473">
        <f>TEXT(30472, "[$-0E0000]yyyy-mm-dd")</f>
        <v/>
      </c>
      <c r="C30473" t="inlineStr">
        <is>
          <t>1983-04-25</t>
        </is>
      </c>
    </row>
    <row r="30474">
      <c r="A30474" s="1" t="n">
        <v>30473</v>
      </c>
      <c r="B30474">
        <f>TEXT(30473, "[$-0E0000]yyyy-mm-dd")</f>
        <v/>
      </c>
      <c r="C30474" t="inlineStr">
        <is>
          <t>1983-04-26</t>
        </is>
      </c>
    </row>
    <row r="30475">
      <c r="A30475" s="1" t="n">
        <v>30474</v>
      </c>
      <c r="B30475">
        <f>TEXT(30474, "[$-0E0000]yyyy-mm-dd")</f>
        <v/>
      </c>
      <c r="C30475" t="inlineStr">
        <is>
          <t>1983-04-27</t>
        </is>
      </c>
    </row>
    <row r="30476">
      <c r="A30476" s="1" t="n">
        <v>30475</v>
      </c>
      <c r="B30476">
        <f>TEXT(30475, "[$-0E0000]yyyy-mm-dd")</f>
        <v/>
      </c>
      <c r="C30476" t="inlineStr">
        <is>
          <t>1983-04-28</t>
        </is>
      </c>
    </row>
    <row r="30477">
      <c r="A30477" s="1" t="n">
        <v>30476</v>
      </c>
      <c r="B30477">
        <f>TEXT(30476, "[$-0E0000]yyyy-mm-dd")</f>
        <v/>
      </c>
      <c r="C30477" t="inlineStr">
        <is>
          <t>1983-04-29</t>
        </is>
      </c>
    </row>
    <row r="30478">
      <c r="A30478" s="1" t="n">
        <v>30477</v>
      </c>
      <c r="B30478">
        <f>TEXT(30477, "[$-0E0000]yyyy-mm-dd")</f>
        <v/>
      </c>
      <c r="C30478" t="inlineStr">
        <is>
          <t>1983-05-01</t>
        </is>
      </c>
    </row>
    <row r="30479">
      <c r="A30479" s="1" t="n">
        <v>30478</v>
      </c>
      <c r="B30479">
        <f>TEXT(30478, "[$-0E0000]yyyy-mm-dd")</f>
        <v/>
      </c>
      <c r="C30479" t="inlineStr">
        <is>
          <t>1983-05-02</t>
        </is>
      </c>
    </row>
    <row r="30480">
      <c r="A30480" s="1" t="n">
        <v>30479</v>
      </c>
      <c r="B30480">
        <f>TEXT(30479, "[$-0E0000]yyyy-mm-dd")</f>
        <v/>
      </c>
      <c r="C30480" t="inlineStr">
        <is>
          <t>1983-05-03</t>
        </is>
      </c>
    </row>
    <row r="30481">
      <c r="A30481" s="1" t="n">
        <v>30480</v>
      </c>
      <c r="B30481">
        <f>TEXT(30480, "[$-0E0000]yyyy-mm-dd")</f>
        <v/>
      </c>
      <c r="C30481" t="inlineStr">
        <is>
          <t>1983-05-04</t>
        </is>
      </c>
    </row>
    <row r="30482">
      <c r="A30482" s="1" t="n">
        <v>30481</v>
      </c>
      <c r="B30482">
        <f>TEXT(30481, "[$-0E0000]yyyy-mm-dd")</f>
        <v/>
      </c>
      <c r="C30482" t="inlineStr">
        <is>
          <t>1983-05-05</t>
        </is>
      </c>
    </row>
    <row r="30483">
      <c r="A30483" s="1" t="n">
        <v>30482</v>
      </c>
      <c r="B30483">
        <f>TEXT(30482, "[$-0E0000]yyyy-mm-dd")</f>
        <v/>
      </c>
      <c r="C30483" t="inlineStr">
        <is>
          <t>1983-05-06</t>
        </is>
      </c>
    </row>
    <row r="30484">
      <c r="A30484" s="1" t="n">
        <v>30483</v>
      </c>
      <c r="B30484">
        <f>TEXT(30483, "[$-0E0000]yyyy-mm-dd")</f>
        <v/>
      </c>
      <c r="C30484" t="inlineStr">
        <is>
          <t>1983-05-07</t>
        </is>
      </c>
    </row>
    <row r="30485">
      <c r="A30485" s="1" t="n">
        <v>30484</v>
      </c>
      <c r="B30485">
        <f>TEXT(30484, "[$-0E0000]yyyy-mm-dd")</f>
        <v/>
      </c>
      <c r="C30485" t="inlineStr">
        <is>
          <t>1983-05-08</t>
        </is>
      </c>
    </row>
    <row r="30486">
      <c r="A30486" s="1" t="n">
        <v>30485</v>
      </c>
      <c r="B30486">
        <f>TEXT(30485, "[$-0E0000]yyyy-mm-dd")</f>
        <v/>
      </c>
      <c r="C30486" t="inlineStr">
        <is>
          <t>1983-05-09</t>
        </is>
      </c>
    </row>
    <row r="30487">
      <c r="A30487" s="1" t="n">
        <v>30486</v>
      </c>
      <c r="B30487">
        <f>TEXT(30486, "[$-0E0000]yyyy-mm-dd")</f>
        <v/>
      </c>
      <c r="C30487" t="inlineStr">
        <is>
          <t>1983-05-10</t>
        </is>
      </c>
    </row>
    <row r="30488">
      <c r="A30488" s="1" t="n">
        <v>30487</v>
      </c>
      <c r="B30488">
        <f>TEXT(30487, "[$-0E0000]yyyy-mm-dd")</f>
        <v/>
      </c>
      <c r="C30488" t="inlineStr">
        <is>
          <t>1983-05-11</t>
        </is>
      </c>
    </row>
    <row r="30489">
      <c r="A30489" s="1" t="n">
        <v>30488</v>
      </c>
      <c r="B30489">
        <f>TEXT(30488, "[$-0E0000]yyyy-mm-dd")</f>
        <v/>
      </c>
      <c r="C30489" t="inlineStr">
        <is>
          <t>1983-05-12</t>
        </is>
      </c>
    </row>
    <row r="30490">
      <c r="A30490" s="1" t="n">
        <v>30489</v>
      </c>
      <c r="B30490">
        <f>TEXT(30489, "[$-0E0000]yyyy-mm-dd")</f>
        <v/>
      </c>
      <c r="C30490" t="inlineStr">
        <is>
          <t>1983-05-13</t>
        </is>
      </c>
    </row>
    <row r="30491">
      <c r="A30491" s="1" t="n">
        <v>30490</v>
      </c>
      <c r="B30491">
        <f>TEXT(30490, "[$-0E0000]yyyy-mm-dd")</f>
        <v/>
      </c>
      <c r="C30491" t="inlineStr">
        <is>
          <t>1983-05-14</t>
        </is>
      </c>
    </row>
    <row r="30492">
      <c r="A30492" s="1" t="n">
        <v>30491</v>
      </c>
      <c r="B30492">
        <f>TEXT(30491, "[$-0E0000]yyyy-mm-dd")</f>
        <v/>
      </c>
      <c r="C30492" t="inlineStr">
        <is>
          <t>1983-05-15</t>
        </is>
      </c>
    </row>
    <row r="30493">
      <c r="A30493" s="1" t="n">
        <v>30492</v>
      </c>
      <c r="B30493">
        <f>TEXT(30492, "[$-0E0000]yyyy-mm-dd")</f>
        <v/>
      </c>
      <c r="C30493" t="inlineStr">
        <is>
          <t>1983-05-16</t>
        </is>
      </c>
    </row>
    <row r="30494">
      <c r="A30494" s="1" t="n">
        <v>30493</v>
      </c>
      <c r="B30494">
        <f>TEXT(30493, "[$-0E0000]yyyy-mm-dd")</f>
        <v/>
      </c>
      <c r="C30494" t="inlineStr">
        <is>
          <t>1983-05-17</t>
        </is>
      </c>
    </row>
    <row r="30495">
      <c r="A30495" s="1" t="n">
        <v>30494</v>
      </c>
      <c r="B30495">
        <f>TEXT(30494, "[$-0E0000]yyyy-mm-dd")</f>
        <v/>
      </c>
      <c r="C30495" t="inlineStr">
        <is>
          <t>1983-05-18</t>
        </is>
      </c>
    </row>
    <row r="30496">
      <c r="A30496" s="1" t="n">
        <v>30495</v>
      </c>
      <c r="B30496">
        <f>TEXT(30495, "[$-0E0000]yyyy-mm-dd")</f>
        <v/>
      </c>
      <c r="C30496" t="inlineStr">
        <is>
          <t>1983-05-19</t>
        </is>
      </c>
    </row>
    <row r="30497">
      <c r="A30497" s="1" t="n">
        <v>30496</v>
      </c>
      <c r="B30497">
        <f>TEXT(30496, "[$-0E0000]yyyy-mm-dd")</f>
        <v/>
      </c>
      <c r="C30497" t="inlineStr">
        <is>
          <t>1983-05-20</t>
        </is>
      </c>
    </row>
    <row r="30498">
      <c r="A30498" s="1" t="n">
        <v>30497</v>
      </c>
      <c r="B30498">
        <f>TEXT(30497, "[$-0E0000]yyyy-mm-dd")</f>
        <v/>
      </c>
      <c r="C30498" t="inlineStr">
        <is>
          <t>1983-05-21</t>
        </is>
      </c>
    </row>
    <row r="30499">
      <c r="A30499" s="1" t="n">
        <v>30498</v>
      </c>
      <c r="B30499">
        <f>TEXT(30498, "[$-0E0000]yyyy-mm-dd")</f>
        <v/>
      </c>
      <c r="C30499" t="inlineStr">
        <is>
          <t>1983-05-22</t>
        </is>
      </c>
    </row>
    <row r="30500">
      <c r="A30500" s="1" t="n">
        <v>30499</v>
      </c>
      <c r="B30500">
        <f>TEXT(30499, "[$-0E0000]yyyy-mm-dd")</f>
        <v/>
      </c>
      <c r="C30500" t="inlineStr">
        <is>
          <t>1983-05-23</t>
        </is>
      </c>
    </row>
    <row r="30501">
      <c r="A30501" s="1" t="n">
        <v>30500</v>
      </c>
      <c r="B30501">
        <f>TEXT(30500, "[$-0E0000]yyyy-mm-dd")</f>
        <v/>
      </c>
      <c r="C30501" t="inlineStr">
        <is>
          <t>1983-05-24</t>
        </is>
      </c>
    </row>
    <row r="30502">
      <c r="A30502" s="1" t="n">
        <v>30501</v>
      </c>
      <c r="B30502">
        <f>TEXT(30501, "[$-0E0000]yyyy-mm-dd")</f>
        <v/>
      </c>
      <c r="C30502" t="inlineStr">
        <is>
          <t>1983-05-25</t>
        </is>
      </c>
    </row>
    <row r="30503">
      <c r="A30503" s="1" t="n">
        <v>30502</v>
      </c>
      <c r="B30503">
        <f>TEXT(30502, "[$-0E0000]yyyy-mm-dd")</f>
        <v/>
      </c>
      <c r="C30503" t="inlineStr">
        <is>
          <t>1983-05-26</t>
        </is>
      </c>
    </row>
    <row r="30504">
      <c r="A30504" s="1" t="n">
        <v>30503</v>
      </c>
      <c r="B30504">
        <f>TEXT(30503, "[$-0E0000]yyyy-mm-dd")</f>
        <v/>
      </c>
      <c r="C30504" t="inlineStr">
        <is>
          <t>1983-05-27</t>
        </is>
      </c>
    </row>
    <row r="30505">
      <c r="A30505" s="1" t="n">
        <v>30504</v>
      </c>
      <c r="B30505">
        <f>TEXT(30504, "[$-0E0000]yyyy-mm-dd")</f>
        <v/>
      </c>
      <c r="C30505" t="inlineStr">
        <is>
          <t>1983-05-28</t>
        </is>
      </c>
    </row>
    <row r="30506">
      <c r="A30506" s="1" t="n">
        <v>30505</v>
      </c>
      <c r="B30506">
        <f>TEXT(30505, "[$-0E0000]yyyy-mm-dd")</f>
        <v/>
      </c>
      <c r="C30506" t="inlineStr">
        <is>
          <t>1983-05-29</t>
        </is>
      </c>
    </row>
    <row r="30507">
      <c r="A30507" s="1" t="n">
        <v>30506</v>
      </c>
      <c r="B30507">
        <f>TEXT(30506, "[$-0E0000]yyyy-mm-dd")</f>
        <v/>
      </c>
      <c r="C30507" t="inlineStr">
        <is>
          <t>1983-06-01</t>
        </is>
      </c>
    </row>
    <row r="30508">
      <c r="A30508" s="1" t="n">
        <v>30507</v>
      </c>
      <c r="B30508">
        <f>TEXT(30507, "[$-0E0000]yyyy-mm-dd")</f>
        <v/>
      </c>
      <c r="C30508" t="inlineStr">
        <is>
          <t>1983-06-02</t>
        </is>
      </c>
    </row>
    <row r="30509">
      <c r="A30509" s="1" t="n">
        <v>30508</v>
      </c>
      <c r="B30509">
        <f>TEXT(30508, "[$-0E0000]yyyy-mm-dd")</f>
        <v/>
      </c>
      <c r="C30509" t="inlineStr">
        <is>
          <t>1983-06-03</t>
        </is>
      </c>
    </row>
    <row r="30510">
      <c r="A30510" s="1" t="n">
        <v>30509</v>
      </c>
      <c r="B30510">
        <f>TEXT(30509, "[$-0E0000]yyyy-mm-dd")</f>
        <v/>
      </c>
      <c r="C30510" t="inlineStr">
        <is>
          <t>1983-06-04</t>
        </is>
      </c>
    </row>
    <row r="30511">
      <c r="A30511" s="1" t="n">
        <v>30510</v>
      </c>
      <c r="B30511">
        <f>TEXT(30510, "[$-0E0000]yyyy-mm-dd")</f>
        <v/>
      </c>
      <c r="C30511" t="inlineStr">
        <is>
          <t>1983-06-05</t>
        </is>
      </c>
    </row>
    <row r="30512">
      <c r="A30512" s="1" t="n">
        <v>30511</v>
      </c>
      <c r="B30512">
        <f>TEXT(30511, "[$-0E0000]yyyy-mm-dd")</f>
        <v/>
      </c>
      <c r="C30512" t="inlineStr">
        <is>
          <t>1983-06-06</t>
        </is>
      </c>
    </row>
    <row r="30513">
      <c r="A30513" s="1" t="n">
        <v>30512</v>
      </c>
      <c r="B30513">
        <f>TEXT(30512, "[$-0E0000]yyyy-mm-dd")</f>
        <v/>
      </c>
      <c r="C30513" t="inlineStr">
        <is>
          <t>1983-06-07</t>
        </is>
      </c>
    </row>
    <row r="30514">
      <c r="A30514" s="1" t="n">
        <v>30513</v>
      </c>
      <c r="B30514">
        <f>TEXT(30513, "[$-0E0000]yyyy-mm-dd")</f>
        <v/>
      </c>
      <c r="C30514" t="inlineStr">
        <is>
          <t>1983-06-08</t>
        </is>
      </c>
    </row>
    <row r="30515">
      <c r="A30515" s="1" t="n">
        <v>30514</v>
      </c>
      <c r="B30515">
        <f>TEXT(30514, "[$-0E0000]yyyy-mm-dd")</f>
        <v/>
      </c>
      <c r="C30515" t="inlineStr">
        <is>
          <t>1983-06-09</t>
        </is>
      </c>
    </row>
    <row r="30516">
      <c r="A30516" s="1" t="n">
        <v>30515</v>
      </c>
      <c r="B30516">
        <f>TEXT(30515, "[$-0E0000]yyyy-mm-dd")</f>
        <v/>
      </c>
      <c r="C30516" t="inlineStr">
        <is>
          <t>1983-06-10</t>
        </is>
      </c>
    </row>
    <row r="30517">
      <c r="A30517" s="1" t="n">
        <v>30516</v>
      </c>
      <c r="B30517">
        <f>TEXT(30516, "[$-0E0000]yyyy-mm-dd")</f>
        <v/>
      </c>
      <c r="C30517" t="inlineStr">
        <is>
          <t>1983-06-11</t>
        </is>
      </c>
    </row>
    <row r="30518">
      <c r="A30518" s="1" t="n">
        <v>30517</v>
      </c>
      <c r="B30518">
        <f>TEXT(30517, "[$-0E0000]yyyy-mm-dd")</f>
        <v/>
      </c>
      <c r="C30518" t="inlineStr">
        <is>
          <t>1983-06-12</t>
        </is>
      </c>
    </row>
    <row r="30519">
      <c r="A30519" s="1" t="n">
        <v>30518</v>
      </c>
      <c r="B30519">
        <f>TEXT(30518, "[$-0E0000]yyyy-mm-dd")</f>
        <v/>
      </c>
      <c r="C30519" t="inlineStr">
        <is>
          <t>1983-06-13</t>
        </is>
      </c>
    </row>
    <row r="30520">
      <c r="A30520" s="1" t="n">
        <v>30519</v>
      </c>
      <c r="B30520">
        <f>TEXT(30519, "[$-0E0000]yyyy-mm-dd")</f>
        <v/>
      </c>
      <c r="C30520" t="inlineStr">
        <is>
          <t>1983-06-14</t>
        </is>
      </c>
    </row>
    <row r="30521">
      <c r="A30521" s="1" t="n">
        <v>30520</v>
      </c>
      <c r="B30521">
        <f>TEXT(30520, "[$-0E0000]yyyy-mm-dd")</f>
        <v/>
      </c>
      <c r="C30521" t="inlineStr">
        <is>
          <t>1983-06-15</t>
        </is>
      </c>
    </row>
    <row r="30522">
      <c r="A30522" s="1" t="n">
        <v>30521</v>
      </c>
      <c r="B30522">
        <f>TEXT(30521, "[$-0E0000]yyyy-mm-dd")</f>
        <v/>
      </c>
      <c r="C30522" t="inlineStr">
        <is>
          <t>1983-06-16</t>
        </is>
      </c>
    </row>
    <row r="30523">
      <c r="A30523" s="1" t="n">
        <v>30522</v>
      </c>
      <c r="B30523">
        <f>TEXT(30522, "[$-0E0000]yyyy-mm-dd")</f>
        <v/>
      </c>
      <c r="C30523" t="inlineStr">
        <is>
          <t>1983-06-17</t>
        </is>
      </c>
    </row>
    <row r="30524">
      <c r="A30524" s="1" t="n">
        <v>30523</v>
      </c>
      <c r="B30524">
        <f>TEXT(30523, "[$-0E0000]yyyy-mm-dd")</f>
        <v/>
      </c>
      <c r="C30524" t="inlineStr">
        <is>
          <t>1983-06-18</t>
        </is>
      </c>
    </row>
    <row r="30525">
      <c r="A30525" s="1" t="n">
        <v>30524</v>
      </c>
      <c r="B30525">
        <f>TEXT(30524, "[$-0E0000]yyyy-mm-dd")</f>
        <v/>
      </c>
      <c r="C30525" t="inlineStr">
        <is>
          <t>1983-06-19</t>
        </is>
      </c>
    </row>
    <row r="30526">
      <c r="A30526" s="1" t="n">
        <v>30525</v>
      </c>
      <c r="B30526">
        <f>TEXT(30525, "[$-0E0000]yyyy-mm-dd")</f>
        <v/>
      </c>
      <c r="C30526" t="inlineStr">
        <is>
          <t>1983-06-20</t>
        </is>
      </c>
    </row>
    <row r="30527">
      <c r="A30527" s="1" t="n">
        <v>30526</v>
      </c>
      <c r="B30527">
        <f>TEXT(30526, "[$-0E0000]yyyy-mm-dd")</f>
        <v/>
      </c>
      <c r="C30527" t="inlineStr">
        <is>
          <t>1983-06-21</t>
        </is>
      </c>
    </row>
    <row r="30528">
      <c r="A30528" s="1" t="n">
        <v>30527</v>
      </c>
      <c r="B30528">
        <f>TEXT(30527, "[$-0E0000]yyyy-mm-dd")</f>
        <v/>
      </c>
      <c r="C30528" t="inlineStr">
        <is>
          <t>1983-06-22</t>
        </is>
      </c>
    </row>
    <row r="30529">
      <c r="A30529" s="1" t="n">
        <v>30528</v>
      </c>
      <c r="B30529">
        <f>TEXT(30528, "[$-0E0000]yyyy-mm-dd")</f>
        <v/>
      </c>
      <c r="C30529" t="inlineStr">
        <is>
          <t>1983-06-23</t>
        </is>
      </c>
    </row>
    <row r="30530">
      <c r="A30530" s="1" t="n">
        <v>30529</v>
      </c>
      <c r="B30530">
        <f>TEXT(30529, "[$-0E0000]yyyy-mm-dd")</f>
        <v/>
      </c>
      <c r="C30530" t="inlineStr">
        <is>
          <t>1983-06-24</t>
        </is>
      </c>
    </row>
    <row r="30531">
      <c r="A30531" s="1" t="n">
        <v>30530</v>
      </c>
      <c r="B30531">
        <f>TEXT(30530, "[$-0E0000]yyyy-mm-dd")</f>
        <v/>
      </c>
      <c r="C30531" t="inlineStr">
        <is>
          <t>1983-06-25</t>
        </is>
      </c>
    </row>
    <row r="30532">
      <c r="A30532" s="1" t="n">
        <v>30531</v>
      </c>
      <c r="B30532">
        <f>TEXT(30531, "[$-0E0000]yyyy-mm-dd")</f>
        <v/>
      </c>
      <c r="C30532" t="inlineStr">
        <is>
          <t>1983-06-26</t>
        </is>
      </c>
    </row>
    <row r="30533">
      <c r="A30533" s="1" t="n">
        <v>30532</v>
      </c>
      <c r="B30533">
        <f>TEXT(30532, "[$-0E0000]yyyy-mm-dd")</f>
        <v/>
      </c>
      <c r="C30533" t="inlineStr">
        <is>
          <t>1983-06-27</t>
        </is>
      </c>
    </row>
    <row r="30534">
      <c r="A30534" s="1" t="n">
        <v>30533</v>
      </c>
      <c r="B30534">
        <f>TEXT(30533, "[$-0E0000]yyyy-mm-dd")</f>
        <v/>
      </c>
      <c r="C30534" t="inlineStr">
        <is>
          <t>1983-06-28</t>
        </is>
      </c>
    </row>
    <row r="30535">
      <c r="A30535" s="1" t="n">
        <v>30534</v>
      </c>
      <c r="B30535">
        <f>TEXT(30534, "[$-0E0000]yyyy-mm-dd")</f>
        <v/>
      </c>
      <c r="C30535" t="inlineStr">
        <is>
          <t>1983-06-29</t>
        </is>
      </c>
    </row>
    <row r="30536">
      <c r="A30536" s="1" t="n">
        <v>30535</v>
      </c>
      <c r="B30536">
        <f>TEXT(30535, "[$-0E0000]yyyy-mm-dd")</f>
        <v/>
      </c>
      <c r="C30536" t="inlineStr">
        <is>
          <t>1983-06-30</t>
        </is>
      </c>
    </row>
    <row r="30537">
      <c r="A30537" s="1" t="n">
        <v>30536</v>
      </c>
      <c r="B30537">
        <f>TEXT(30536, "[$-0E0000]yyyy-mm-dd")</f>
        <v/>
      </c>
      <c r="C30537" t="inlineStr">
        <is>
          <t>1983-07-01</t>
        </is>
      </c>
    </row>
    <row r="30538">
      <c r="A30538" s="1" t="n">
        <v>30537</v>
      </c>
      <c r="B30538">
        <f>TEXT(30537, "[$-0E0000]yyyy-mm-dd")</f>
        <v/>
      </c>
      <c r="C30538" t="inlineStr">
        <is>
          <t>1983-07-02</t>
        </is>
      </c>
    </row>
    <row r="30539">
      <c r="A30539" s="1" t="n">
        <v>30538</v>
      </c>
      <c r="B30539">
        <f>TEXT(30538, "[$-0E0000]yyyy-mm-dd")</f>
        <v/>
      </c>
      <c r="C30539" t="inlineStr">
        <is>
          <t>1983-07-03</t>
        </is>
      </c>
    </row>
    <row r="30540">
      <c r="A30540" s="1" t="n">
        <v>30539</v>
      </c>
      <c r="B30540">
        <f>TEXT(30539, "[$-0E0000]yyyy-mm-dd")</f>
        <v/>
      </c>
      <c r="C30540" t="inlineStr">
        <is>
          <t>1983-07-04</t>
        </is>
      </c>
    </row>
    <row r="30541">
      <c r="A30541" s="1" t="n">
        <v>30540</v>
      </c>
      <c r="B30541">
        <f>TEXT(30540, "[$-0E0000]yyyy-mm-dd")</f>
        <v/>
      </c>
      <c r="C30541" t="inlineStr">
        <is>
          <t>1983-07-05</t>
        </is>
      </c>
    </row>
    <row r="30542">
      <c r="A30542" s="1" t="n">
        <v>30541</v>
      </c>
      <c r="B30542">
        <f>TEXT(30541, "[$-0E0000]yyyy-mm-dd")</f>
        <v/>
      </c>
      <c r="C30542" t="inlineStr">
        <is>
          <t>1983-07-06</t>
        </is>
      </c>
    </row>
    <row r="30543">
      <c r="A30543" s="1" t="n">
        <v>30542</v>
      </c>
      <c r="B30543">
        <f>TEXT(30542, "[$-0E0000]yyyy-mm-dd")</f>
        <v/>
      </c>
      <c r="C30543" t="inlineStr">
        <is>
          <t>1983-07-07</t>
        </is>
      </c>
    </row>
    <row r="30544">
      <c r="A30544" s="1" t="n">
        <v>30543</v>
      </c>
      <c r="B30544">
        <f>TEXT(30543, "[$-0E0000]yyyy-mm-dd")</f>
        <v/>
      </c>
      <c r="C30544" t="inlineStr">
        <is>
          <t>1983-07-08</t>
        </is>
      </c>
    </row>
    <row r="30545">
      <c r="A30545" s="1" t="n">
        <v>30544</v>
      </c>
      <c r="B30545">
        <f>TEXT(30544, "[$-0E0000]yyyy-mm-dd")</f>
        <v/>
      </c>
      <c r="C30545" t="inlineStr">
        <is>
          <t>1983-07-09</t>
        </is>
      </c>
    </row>
    <row r="30546">
      <c r="A30546" s="1" t="n">
        <v>30545</v>
      </c>
      <c r="B30546">
        <f>TEXT(30545, "[$-0E0000]yyyy-mm-dd")</f>
        <v/>
      </c>
      <c r="C30546" t="inlineStr">
        <is>
          <t>1983-07-10</t>
        </is>
      </c>
    </row>
    <row r="30547">
      <c r="A30547" s="1" t="n">
        <v>30546</v>
      </c>
      <c r="B30547">
        <f>TEXT(30546, "[$-0E0000]yyyy-mm-dd")</f>
        <v/>
      </c>
      <c r="C30547" t="inlineStr">
        <is>
          <t>1983-07-11</t>
        </is>
      </c>
    </row>
    <row r="30548">
      <c r="A30548" s="1" t="n">
        <v>30547</v>
      </c>
      <c r="B30548">
        <f>TEXT(30547, "[$-0E0000]yyyy-mm-dd")</f>
        <v/>
      </c>
      <c r="C30548" t="inlineStr">
        <is>
          <t>1983-07-12</t>
        </is>
      </c>
    </row>
    <row r="30549">
      <c r="A30549" s="1" t="n">
        <v>30548</v>
      </c>
      <c r="B30549">
        <f>TEXT(30548, "[$-0E0000]yyyy-mm-dd")</f>
        <v/>
      </c>
      <c r="C30549" t="inlineStr">
        <is>
          <t>1983-07-13</t>
        </is>
      </c>
    </row>
    <row r="30550">
      <c r="A30550" s="1" t="n">
        <v>30549</v>
      </c>
      <c r="B30550">
        <f>TEXT(30549, "[$-0E0000]yyyy-mm-dd")</f>
        <v/>
      </c>
      <c r="C30550" t="inlineStr">
        <is>
          <t>1983-07-14</t>
        </is>
      </c>
    </row>
    <row r="30551">
      <c r="A30551" s="1" t="n">
        <v>30550</v>
      </c>
      <c r="B30551">
        <f>TEXT(30550, "[$-0E0000]yyyy-mm-dd")</f>
        <v/>
      </c>
      <c r="C30551" t="inlineStr">
        <is>
          <t>1983-07-15</t>
        </is>
      </c>
    </row>
    <row r="30552">
      <c r="A30552" s="1" t="n">
        <v>30551</v>
      </c>
      <c r="B30552">
        <f>TEXT(30551, "[$-0E0000]yyyy-mm-dd")</f>
        <v/>
      </c>
      <c r="C30552" t="inlineStr">
        <is>
          <t>1983-07-16</t>
        </is>
      </c>
    </row>
    <row r="30553">
      <c r="A30553" s="1" t="n">
        <v>30552</v>
      </c>
      <c r="B30553">
        <f>TEXT(30552, "[$-0E0000]yyyy-mm-dd")</f>
        <v/>
      </c>
      <c r="C30553" t="inlineStr">
        <is>
          <t>1983-07-17</t>
        </is>
      </c>
    </row>
    <row r="30554">
      <c r="A30554" s="1" t="n">
        <v>30553</v>
      </c>
      <c r="B30554">
        <f>TEXT(30553, "[$-0E0000]yyyy-mm-dd")</f>
        <v/>
      </c>
      <c r="C30554" t="inlineStr">
        <is>
          <t>1983-07-18</t>
        </is>
      </c>
    </row>
    <row r="30555">
      <c r="A30555" s="1" t="n">
        <v>30554</v>
      </c>
      <c r="B30555">
        <f>TEXT(30554, "[$-0E0000]yyyy-mm-dd")</f>
        <v/>
      </c>
      <c r="C30555" t="inlineStr">
        <is>
          <t>1983-07-19</t>
        </is>
      </c>
    </row>
    <row r="30556">
      <c r="A30556" s="1" t="n">
        <v>30555</v>
      </c>
      <c r="B30556">
        <f>TEXT(30555, "[$-0E0000]yyyy-mm-dd")</f>
        <v/>
      </c>
      <c r="C30556" t="inlineStr">
        <is>
          <t>1983-07-20</t>
        </is>
      </c>
    </row>
    <row r="30557">
      <c r="A30557" s="1" t="n">
        <v>30556</v>
      </c>
      <c r="B30557">
        <f>TEXT(30556, "[$-0E0000]yyyy-mm-dd")</f>
        <v/>
      </c>
      <c r="C30557" t="inlineStr">
        <is>
          <t>1983-07-21</t>
        </is>
      </c>
    </row>
    <row r="30558">
      <c r="A30558" s="1" t="n">
        <v>30557</v>
      </c>
      <c r="B30558">
        <f>TEXT(30557, "[$-0E0000]yyyy-mm-dd")</f>
        <v/>
      </c>
      <c r="C30558" t="inlineStr">
        <is>
          <t>1983-07-22</t>
        </is>
      </c>
    </row>
    <row r="30559">
      <c r="A30559" s="1" t="n">
        <v>30558</v>
      </c>
      <c r="B30559">
        <f>TEXT(30558, "[$-0E0000]yyyy-mm-dd")</f>
        <v/>
      </c>
      <c r="C30559" t="inlineStr">
        <is>
          <t>1983-07-23</t>
        </is>
      </c>
    </row>
    <row r="30560">
      <c r="A30560" s="1" t="n">
        <v>30559</v>
      </c>
      <c r="B30560">
        <f>TEXT(30559, "[$-0E0000]yyyy-mm-dd")</f>
        <v/>
      </c>
      <c r="C30560" t="inlineStr">
        <is>
          <t>1983-07-24</t>
        </is>
      </c>
    </row>
    <row r="30561">
      <c r="A30561" s="1" t="n">
        <v>30560</v>
      </c>
      <c r="B30561">
        <f>TEXT(30560, "[$-0E0000]yyyy-mm-dd")</f>
        <v/>
      </c>
      <c r="C30561" t="inlineStr">
        <is>
          <t>1983-07-25</t>
        </is>
      </c>
    </row>
    <row r="30562">
      <c r="A30562" s="1" t="n">
        <v>30561</v>
      </c>
      <c r="B30562">
        <f>TEXT(30561, "[$-0E0000]yyyy-mm-dd")</f>
        <v/>
      </c>
      <c r="C30562" t="inlineStr">
        <is>
          <t>1983-07-26</t>
        </is>
      </c>
    </row>
    <row r="30563">
      <c r="A30563" s="1" t="n">
        <v>30562</v>
      </c>
      <c r="B30563">
        <f>TEXT(30562, "[$-0E0000]yyyy-mm-dd")</f>
        <v/>
      </c>
      <c r="C30563" t="inlineStr">
        <is>
          <t>1983-07-27</t>
        </is>
      </c>
    </row>
    <row r="30564">
      <c r="A30564" s="1" t="n">
        <v>30563</v>
      </c>
      <c r="B30564">
        <f>TEXT(30563, "[$-0E0000]yyyy-mm-dd")</f>
        <v/>
      </c>
      <c r="C30564" t="inlineStr">
        <is>
          <t>1983-07-28</t>
        </is>
      </c>
    </row>
    <row r="30565">
      <c r="A30565" s="1" t="n">
        <v>30564</v>
      </c>
      <c r="B30565">
        <f>TEXT(30564, "[$-0E0000]yyyy-mm-dd")</f>
        <v/>
      </c>
      <c r="C30565" t="inlineStr">
        <is>
          <t>1983-07-29</t>
        </is>
      </c>
    </row>
    <row r="30566">
      <c r="A30566" s="1" t="n">
        <v>30565</v>
      </c>
      <c r="B30566">
        <f>TEXT(30565, "[$-0E0000]yyyy-mm-dd")</f>
        <v/>
      </c>
      <c r="C30566" t="inlineStr">
        <is>
          <t>1983-08-01</t>
        </is>
      </c>
    </row>
    <row r="30567">
      <c r="A30567" s="1" t="n">
        <v>30566</v>
      </c>
      <c r="B30567">
        <f>TEXT(30566, "[$-0E0000]yyyy-mm-dd")</f>
        <v/>
      </c>
      <c r="C30567" t="inlineStr">
        <is>
          <t>1983-08-02</t>
        </is>
      </c>
    </row>
    <row r="30568">
      <c r="A30568" s="1" t="n">
        <v>30567</v>
      </c>
      <c r="B30568">
        <f>TEXT(30567, "[$-0E0000]yyyy-mm-dd")</f>
        <v/>
      </c>
      <c r="C30568" t="inlineStr">
        <is>
          <t>1983-08-03</t>
        </is>
      </c>
    </row>
    <row r="30569">
      <c r="A30569" s="1" t="n">
        <v>30568</v>
      </c>
      <c r="B30569">
        <f>TEXT(30568, "[$-0E0000]yyyy-mm-dd")</f>
        <v/>
      </c>
      <c r="C30569" t="inlineStr">
        <is>
          <t>1983-08-04</t>
        </is>
      </c>
    </row>
    <row r="30570">
      <c r="A30570" s="1" t="n">
        <v>30569</v>
      </c>
      <c r="B30570">
        <f>TEXT(30569, "[$-0E0000]yyyy-mm-dd")</f>
        <v/>
      </c>
      <c r="C30570" t="inlineStr">
        <is>
          <t>1983-08-05</t>
        </is>
      </c>
    </row>
    <row r="30571">
      <c r="A30571" s="1" t="n">
        <v>30570</v>
      </c>
      <c r="B30571">
        <f>TEXT(30570, "[$-0E0000]yyyy-mm-dd")</f>
        <v/>
      </c>
      <c r="C30571" t="inlineStr">
        <is>
          <t>1983-08-06</t>
        </is>
      </c>
    </row>
    <row r="30572">
      <c r="A30572" s="1" t="n">
        <v>30571</v>
      </c>
      <c r="B30572">
        <f>TEXT(30571, "[$-0E0000]yyyy-mm-dd")</f>
        <v/>
      </c>
      <c r="C30572" t="inlineStr">
        <is>
          <t>1983-08-07</t>
        </is>
      </c>
    </row>
    <row r="30573">
      <c r="A30573" s="1" t="n">
        <v>30572</v>
      </c>
      <c r="B30573">
        <f>TEXT(30572, "[$-0E0000]yyyy-mm-dd")</f>
        <v/>
      </c>
      <c r="C30573" t="inlineStr">
        <is>
          <t>1983-08-08</t>
        </is>
      </c>
    </row>
    <row r="30574">
      <c r="A30574" s="1" t="n">
        <v>30573</v>
      </c>
      <c r="B30574">
        <f>TEXT(30573, "[$-0E0000]yyyy-mm-dd")</f>
        <v/>
      </c>
      <c r="C30574" t="inlineStr">
        <is>
          <t>1983-08-09</t>
        </is>
      </c>
    </row>
    <row r="30575">
      <c r="A30575" s="1" t="n">
        <v>30574</v>
      </c>
      <c r="B30575">
        <f>TEXT(30574, "[$-0E0000]yyyy-mm-dd")</f>
        <v/>
      </c>
      <c r="C30575" t="inlineStr">
        <is>
          <t>1983-08-10</t>
        </is>
      </c>
    </row>
    <row r="30576">
      <c r="A30576" s="1" t="n">
        <v>30575</v>
      </c>
      <c r="B30576">
        <f>TEXT(30575, "[$-0E0000]yyyy-mm-dd")</f>
        <v/>
      </c>
      <c r="C30576" t="inlineStr">
        <is>
          <t>1983-08-11</t>
        </is>
      </c>
    </row>
    <row r="30577">
      <c r="A30577" s="1" t="n">
        <v>30576</v>
      </c>
      <c r="B30577">
        <f>TEXT(30576, "[$-0E0000]yyyy-mm-dd")</f>
        <v/>
      </c>
      <c r="C30577" t="inlineStr">
        <is>
          <t>1983-08-12</t>
        </is>
      </c>
    </row>
    <row r="30578">
      <c r="A30578" s="1" t="n">
        <v>30577</v>
      </c>
      <c r="B30578">
        <f>TEXT(30577, "[$-0E0000]yyyy-mm-dd")</f>
        <v/>
      </c>
      <c r="C30578" t="inlineStr">
        <is>
          <t>1983-08-13</t>
        </is>
      </c>
    </row>
    <row r="30579">
      <c r="A30579" s="1" t="n">
        <v>30578</v>
      </c>
      <c r="B30579">
        <f>TEXT(30578, "[$-0E0000]yyyy-mm-dd")</f>
        <v/>
      </c>
      <c r="C30579" t="inlineStr">
        <is>
          <t>1983-08-14</t>
        </is>
      </c>
    </row>
    <row r="30580">
      <c r="A30580" s="1" t="n">
        <v>30579</v>
      </c>
      <c r="B30580">
        <f>TEXT(30579, "[$-0E0000]yyyy-mm-dd")</f>
        <v/>
      </c>
      <c r="C30580" t="inlineStr">
        <is>
          <t>1983-08-15</t>
        </is>
      </c>
    </row>
    <row r="30581">
      <c r="A30581" s="1" t="n">
        <v>30580</v>
      </c>
      <c r="B30581">
        <f>TEXT(30580, "[$-0E0000]yyyy-mm-dd")</f>
        <v/>
      </c>
      <c r="C30581" t="inlineStr">
        <is>
          <t>1983-08-16</t>
        </is>
      </c>
    </row>
    <row r="30582">
      <c r="A30582" s="1" t="n">
        <v>30581</v>
      </c>
      <c r="B30582">
        <f>TEXT(30581, "[$-0E0000]yyyy-mm-dd")</f>
        <v/>
      </c>
      <c r="C30582" t="inlineStr">
        <is>
          <t>1983-08-17</t>
        </is>
      </c>
    </row>
    <row r="30583">
      <c r="A30583" s="1" t="n">
        <v>30582</v>
      </c>
      <c r="B30583">
        <f>TEXT(30582, "[$-0E0000]yyyy-mm-dd")</f>
        <v/>
      </c>
      <c r="C30583" t="inlineStr">
        <is>
          <t>1983-08-18</t>
        </is>
      </c>
    </row>
    <row r="30584">
      <c r="A30584" s="1" t="n">
        <v>30583</v>
      </c>
      <c r="B30584">
        <f>TEXT(30583, "[$-0E0000]yyyy-mm-dd")</f>
        <v/>
      </c>
      <c r="C30584" t="inlineStr">
        <is>
          <t>1983-08-19</t>
        </is>
      </c>
    </row>
    <row r="30585">
      <c r="A30585" s="1" t="n">
        <v>30584</v>
      </c>
      <c r="B30585">
        <f>TEXT(30584, "[$-0E0000]yyyy-mm-dd")</f>
        <v/>
      </c>
      <c r="C30585" t="inlineStr">
        <is>
          <t>1983-08-20</t>
        </is>
      </c>
    </row>
    <row r="30586">
      <c r="A30586" s="1" t="n">
        <v>30585</v>
      </c>
      <c r="B30586">
        <f>TEXT(30585, "[$-0E0000]yyyy-mm-dd")</f>
        <v/>
      </c>
      <c r="C30586" t="inlineStr">
        <is>
          <t>1983-08-21</t>
        </is>
      </c>
    </row>
    <row r="30587">
      <c r="A30587" s="1" t="n">
        <v>30586</v>
      </c>
      <c r="B30587">
        <f>TEXT(30586, "[$-0E0000]yyyy-mm-dd")</f>
        <v/>
      </c>
      <c r="C30587" t="inlineStr">
        <is>
          <t>1983-08-22</t>
        </is>
      </c>
    </row>
    <row r="30588">
      <c r="A30588" s="1" t="n">
        <v>30587</v>
      </c>
      <c r="B30588">
        <f>TEXT(30587, "[$-0E0000]yyyy-mm-dd")</f>
        <v/>
      </c>
      <c r="C30588" t="inlineStr">
        <is>
          <t>1983-08-23</t>
        </is>
      </c>
    </row>
    <row r="30589">
      <c r="A30589" s="1" t="n">
        <v>30588</v>
      </c>
      <c r="B30589">
        <f>TEXT(30588, "[$-0E0000]yyyy-mm-dd")</f>
        <v/>
      </c>
      <c r="C30589" t="inlineStr">
        <is>
          <t>1983-08-24</t>
        </is>
      </c>
    </row>
    <row r="30590">
      <c r="A30590" s="1" t="n">
        <v>30589</v>
      </c>
      <c r="B30590">
        <f>TEXT(30589, "[$-0E0000]yyyy-mm-dd")</f>
        <v/>
      </c>
      <c r="C30590" t="inlineStr">
        <is>
          <t>1983-08-25</t>
        </is>
      </c>
    </row>
    <row r="30591">
      <c r="A30591" s="1" t="n">
        <v>30590</v>
      </c>
      <c r="B30591">
        <f>TEXT(30590, "[$-0E0000]yyyy-mm-dd")</f>
        <v/>
      </c>
      <c r="C30591" t="inlineStr">
        <is>
          <t>1983-08-26</t>
        </is>
      </c>
    </row>
    <row r="30592">
      <c r="A30592" s="1" t="n">
        <v>30591</v>
      </c>
      <c r="B30592">
        <f>TEXT(30591, "[$-0E0000]yyyy-mm-dd")</f>
        <v/>
      </c>
      <c r="C30592" t="inlineStr">
        <is>
          <t>1983-08-27</t>
        </is>
      </c>
    </row>
    <row r="30593">
      <c r="A30593" s="1" t="n">
        <v>30592</v>
      </c>
      <c r="B30593">
        <f>TEXT(30592, "[$-0E0000]yyyy-mm-dd")</f>
        <v/>
      </c>
      <c r="C30593" t="inlineStr">
        <is>
          <t>1983-08-28</t>
        </is>
      </c>
    </row>
    <row r="30594">
      <c r="A30594" s="1" t="n">
        <v>30593</v>
      </c>
      <c r="B30594">
        <f>TEXT(30593, "[$-0E0000]yyyy-mm-dd")</f>
        <v/>
      </c>
      <c r="C30594" t="inlineStr">
        <is>
          <t>1983-08-29</t>
        </is>
      </c>
    </row>
    <row r="30595">
      <c r="A30595" s="1" t="n">
        <v>30594</v>
      </c>
      <c r="B30595">
        <f>TEXT(30594, "[$-0E0000]yyyy-mm-dd")</f>
        <v/>
      </c>
      <c r="C30595" t="inlineStr">
        <is>
          <t>1983-09-01</t>
        </is>
      </c>
    </row>
    <row r="30596">
      <c r="A30596" s="1" t="n">
        <v>30595</v>
      </c>
      <c r="B30596">
        <f>TEXT(30595, "[$-0E0000]yyyy-mm-dd")</f>
        <v/>
      </c>
      <c r="C30596" t="inlineStr">
        <is>
          <t>1983-09-02</t>
        </is>
      </c>
    </row>
    <row r="30597">
      <c r="A30597" s="1" t="n">
        <v>30596</v>
      </c>
      <c r="B30597">
        <f>TEXT(30596, "[$-0E0000]yyyy-mm-dd")</f>
        <v/>
      </c>
      <c r="C30597" t="inlineStr">
        <is>
          <t>1983-09-03</t>
        </is>
      </c>
    </row>
    <row r="30598">
      <c r="A30598" s="1" t="n">
        <v>30597</v>
      </c>
      <c r="B30598">
        <f>TEXT(30597, "[$-0E0000]yyyy-mm-dd")</f>
        <v/>
      </c>
      <c r="C30598" t="inlineStr">
        <is>
          <t>1983-09-04</t>
        </is>
      </c>
    </row>
    <row r="30599">
      <c r="A30599" s="1" t="n">
        <v>30598</v>
      </c>
      <c r="B30599">
        <f>TEXT(30598, "[$-0E0000]yyyy-mm-dd")</f>
        <v/>
      </c>
      <c r="C30599" t="inlineStr">
        <is>
          <t>1983-09-05</t>
        </is>
      </c>
    </row>
    <row r="30600">
      <c r="A30600" s="1" t="n">
        <v>30599</v>
      </c>
      <c r="B30600">
        <f>TEXT(30599, "[$-0E0000]yyyy-mm-dd")</f>
        <v/>
      </c>
      <c r="C30600" t="inlineStr">
        <is>
          <t>1983-09-06</t>
        </is>
      </c>
    </row>
    <row r="30601">
      <c r="A30601" s="1" t="n">
        <v>30600</v>
      </c>
      <c r="B30601">
        <f>TEXT(30600, "[$-0E0000]yyyy-mm-dd")</f>
        <v/>
      </c>
      <c r="C30601" t="inlineStr">
        <is>
          <t>1983-09-07</t>
        </is>
      </c>
    </row>
    <row r="30602">
      <c r="A30602" s="1" t="n">
        <v>30601</v>
      </c>
      <c r="B30602">
        <f>TEXT(30601, "[$-0E0000]yyyy-mm-dd")</f>
        <v/>
      </c>
      <c r="C30602" t="inlineStr">
        <is>
          <t>1983-09-08</t>
        </is>
      </c>
    </row>
    <row r="30603">
      <c r="A30603" s="1" t="n">
        <v>30602</v>
      </c>
      <c r="B30603">
        <f>TEXT(30602, "[$-0E0000]yyyy-mm-dd")</f>
        <v/>
      </c>
      <c r="C30603" t="inlineStr">
        <is>
          <t>1983-09-09</t>
        </is>
      </c>
    </row>
    <row r="30604">
      <c r="A30604" s="1" t="n">
        <v>30603</v>
      </c>
      <c r="B30604">
        <f>TEXT(30603, "[$-0E0000]yyyy-mm-dd")</f>
        <v/>
      </c>
      <c r="C30604" t="inlineStr">
        <is>
          <t>1983-09-10</t>
        </is>
      </c>
    </row>
    <row r="30605">
      <c r="A30605" s="1" t="n">
        <v>30604</v>
      </c>
      <c r="B30605">
        <f>TEXT(30604, "[$-0E0000]yyyy-mm-dd")</f>
        <v/>
      </c>
      <c r="C30605" t="inlineStr">
        <is>
          <t>1983-09-11</t>
        </is>
      </c>
    </row>
    <row r="30606">
      <c r="A30606" s="1" t="n">
        <v>30605</v>
      </c>
      <c r="B30606">
        <f>TEXT(30605, "[$-0E0000]yyyy-mm-dd")</f>
        <v/>
      </c>
      <c r="C30606" t="inlineStr">
        <is>
          <t>1983-09-12</t>
        </is>
      </c>
    </row>
    <row r="30607">
      <c r="A30607" s="1" t="n">
        <v>30606</v>
      </c>
      <c r="B30607">
        <f>TEXT(30606, "[$-0E0000]yyyy-mm-dd")</f>
        <v/>
      </c>
      <c r="C30607" t="inlineStr">
        <is>
          <t>1983-09-13</t>
        </is>
      </c>
    </row>
    <row r="30608">
      <c r="A30608" s="1" t="n">
        <v>30607</v>
      </c>
      <c r="B30608">
        <f>TEXT(30607, "[$-0E0000]yyyy-mm-dd")</f>
        <v/>
      </c>
      <c r="C30608" t="inlineStr">
        <is>
          <t>1983-09-14</t>
        </is>
      </c>
    </row>
    <row r="30609">
      <c r="A30609" s="1" t="n">
        <v>30608</v>
      </c>
      <c r="B30609">
        <f>TEXT(30608, "[$-0E0000]yyyy-mm-dd")</f>
        <v/>
      </c>
      <c r="C30609" t="inlineStr">
        <is>
          <t>1983-09-15</t>
        </is>
      </c>
    </row>
    <row r="30610">
      <c r="A30610" s="1" t="n">
        <v>30609</v>
      </c>
      <c r="B30610">
        <f>TEXT(30609, "[$-0E0000]yyyy-mm-dd")</f>
        <v/>
      </c>
      <c r="C30610" t="inlineStr">
        <is>
          <t>1983-09-16</t>
        </is>
      </c>
    </row>
    <row r="30611">
      <c r="A30611" s="1" t="n">
        <v>30610</v>
      </c>
      <c r="B30611">
        <f>TEXT(30610, "[$-0E0000]yyyy-mm-dd")</f>
        <v/>
      </c>
      <c r="C30611" t="inlineStr">
        <is>
          <t>1983-09-17</t>
        </is>
      </c>
    </row>
    <row r="30612">
      <c r="A30612" s="1" t="n">
        <v>30611</v>
      </c>
      <c r="B30612">
        <f>TEXT(30611, "[$-0E0000]yyyy-mm-dd")</f>
        <v/>
      </c>
      <c r="C30612" t="inlineStr">
        <is>
          <t>1983-09-18</t>
        </is>
      </c>
    </row>
    <row r="30613">
      <c r="A30613" s="1" t="n">
        <v>30612</v>
      </c>
      <c r="B30613">
        <f>TEXT(30612, "[$-0E0000]yyyy-mm-dd")</f>
        <v/>
      </c>
      <c r="C30613" t="inlineStr">
        <is>
          <t>1983-09-19</t>
        </is>
      </c>
    </row>
    <row r="30614">
      <c r="A30614" s="1" t="n">
        <v>30613</v>
      </c>
      <c r="B30614">
        <f>TEXT(30613, "[$-0E0000]yyyy-mm-dd")</f>
        <v/>
      </c>
      <c r="C30614" t="inlineStr">
        <is>
          <t>1983-09-20</t>
        </is>
      </c>
    </row>
    <row r="30615">
      <c r="A30615" s="1" t="n">
        <v>30614</v>
      </c>
      <c r="B30615">
        <f>TEXT(30614, "[$-0E0000]yyyy-mm-dd")</f>
        <v/>
      </c>
      <c r="C30615" t="inlineStr">
        <is>
          <t>1983-09-21</t>
        </is>
      </c>
    </row>
    <row r="30616">
      <c r="A30616" s="1" t="n">
        <v>30615</v>
      </c>
      <c r="B30616">
        <f>TEXT(30615, "[$-0E0000]yyyy-mm-dd")</f>
        <v/>
      </c>
      <c r="C30616" t="inlineStr">
        <is>
          <t>1983-09-22</t>
        </is>
      </c>
    </row>
    <row r="30617">
      <c r="A30617" s="1" t="n">
        <v>30616</v>
      </c>
      <c r="B30617">
        <f>TEXT(30616, "[$-0E0000]yyyy-mm-dd")</f>
        <v/>
      </c>
      <c r="C30617" t="inlineStr">
        <is>
          <t>1983-09-23</t>
        </is>
      </c>
    </row>
    <row r="30618">
      <c r="A30618" s="1" t="n">
        <v>30617</v>
      </c>
      <c r="B30618">
        <f>TEXT(30617, "[$-0E0000]yyyy-mm-dd")</f>
        <v/>
      </c>
      <c r="C30618" t="inlineStr">
        <is>
          <t>1983-09-24</t>
        </is>
      </c>
    </row>
    <row r="30619">
      <c r="A30619" s="1" t="n">
        <v>30618</v>
      </c>
      <c r="B30619">
        <f>TEXT(30618, "[$-0E0000]yyyy-mm-dd")</f>
        <v/>
      </c>
      <c r="C30619" t="inlineStr">
        <is>
          <t>1983-09-25</t>
        </is>
      </c>
    </row>
    <row r="30620">
      <c r="A30620" s="1" t="n">
        <v>30619</v>
      </c>
      <c r="B30620">
        <f>TEXT(30619, "[$-0E0000]yyyy-mm-dd")</f>
        <v/>
      </c>
      <c r="C30620" t="inlineStr">
        <is>
          <t>1983-09-26</t>
        </is>
      </c>
    </row>
    <row r="30621">
      <c r="A30621" s="1" t="n">
        <v>30620</v>
      </c>
      <c r="B30621">
        <f>TEXT(30620, "[$-0E0000]yyyy-mm-dd")</f>
        <v/>
      </c>
      <c r="C30621" t="inlineStr">
        <is>
          <t>1983-09-27</t>
        </is>
      </c>
    </row>
    <row r="30622">
      <c r="A30622" s="1" t="n">
        <v>30621</v>
      </c>
      <c r="B30622">
        <f>TEXT(30621, "[$-0E0000]yyyy-mm-dd")</f>
        <v/>
      </c>
      <c r="C30622" t="inlineStr">
        <is>
          <t>1983-09-28</t>
        </is>
      </c>
    </row>
    <row r="30623">
      <c r="A30623" s="1" t="n">
        <v>30622</v>
      </c>
      <c r="B30623">
        <f>TEXT(30622, "[$-0E0000]yyyy-mm-dd")</f>
        <v/>
      </c>
      <c r="C30623" t="inlineStr">
        <is>
          <t>1983-09-29</t>
        </is>
      </c>
    </row>
    <row r="30624">
      <c r="A30624" s="1" t="n">
        <v>30623</v>
      </c>
      <c r="B30624">
        <f>TEXT(30623, "[$-0E0000]yyyy-mm-dd")</f>
        <v/>
      </c>
      <c r="C30624" t="inlineStr">
        <is>
          <t>1983-09-30</t>
        </is>
      </c>
    </row>
    <row r="30625">
      <c r="A30625" s="1" t="n">
        <v>30624</v>
      </c>
      <c r="B30625">
        <f>TEXT(30624, "[$-0E0000]yyyy-mm-dd")</f>
        <v/>
      </c>
      <c r="C30625" t="inlineStr">
        <is>
          <t>1983-10-01</t>
        </is>
      </c>
    </row>
    <row r="30626">
      <c r="A30626" s="1" t="n">
        <v>30625</v>
      </c>
      <c r="B30626">
        <f>TEXT(30625, "[$-0E0000]yyyy-mm-dd")</f>
        <v/>
      </c>
      <c r="C30626" t="inlineStr">
        <is>
          <t>1983-10-02</t>
        </is>
      </c>
    </row>
    <row r="30627">
      <c r="A30627" s="1" t="n">
        <v>30626</v>
      </c>
      <c r="B30627">
        <f>TEXT(30626, "[$-0E0000]yyyy-mm-dd")</f>
        <v/>
      </c>
      <c r="C30627" t="inlineStr">
        <is>
          <t>1983-10-03</t>
        </is>
      </c>
    </row>
    <row r="30628">
      <c r="A30628" s="1" t="n">
        <v>30627</v>
      </c>
      <c r="B30628">
        <f>TEXT(30627, "[$-0E0000]yyyy-mm-dd")</f>
        <v/>
      </c>
      <c r="C30628" t="inlineStr">
        <is>
          <t>1983-10-04</t>
        </is>
      </c>
    </row>
    <row r="30629">
      <c r="A30629" s="1" t="n">
        <v>30628</v>
      </c>
      <c r="B30629">
        <f>TEXT(30628, "[$-0E0000]yyyy-mm-dd")</f>
        <v/>
      </c>
      <c r="C30629" t="inlineStr">
        <is>
          <t>1983-10-05</t>
        </is>
      </c>
    </row>
    <row r="30630">
      <c r="A30630" s="1" t="n">
        <v>30629</v>
      </c>
      <c r="B30630">
        <f>TEXT(30629, "[$-0E0000]yyyy-mm-dd")</f>
        <v/>
      </c>
      <c r="C30630" t="inlineStr">
        <is>
          <t>1983-10-06</t>
        </is>
      </c>
    </row>
    <row r="30631">
      <c r="A30631" s="1" t="n">
        <v>30630</v>
      </c>
      <c r="B30631">
        <f>TEXT(30630, "[$-0E0000]yyyy-mm-dd")</f>
        <v/>
      </c>
      <c r="C30631" t="inlineStr">
        <is>
          <t>1983-10-07</t>
        </is>
      </c>
    </row>
    <row r="30632">
      <c r="A30632" s="1" t="n">
        <v>30631</v>
      </c>
      <c r="B30632">
        <f>TEXT(30631, "[$-0E0000]yyyy-mm-dd")</f>
        <v/>
      </c>
      <c r="C30632" t="inlineStr">
        <is>
          <t>1983-10-08</t>
        </is>
      </c>
    </row>
    <row r="30633">
      <c r="A30633" s="1" t="n">
        <v>30632</v>
      </c>
      <c r="B30633">
        <f>TEXT(30632, "[$-0E0000]yyyy-mm-dd")</f>
        <v/>
      </c>
      <c r="C30633" t="inlineStr">
        <is>
          <t>1983-10-09</t>
        </is>
      </c>
    </row>
    <row r="30634">
      <c r="A30634" s="1" t="n">
        <v>30633</v>
      </c>
      <c r="B30634">
        <f>TEXT(30633, "[$-0E0000]yyyy-mm-dd")</f>
        <v/>
      </c>
      <c r="C30634" t="inlineStr">
        <is>
          <t>1983-10-10</t>
        </is>
      </c>
    </row>
    <row r="30635">
      <c r="A30635" s="1" t="n">
        <v>30634</v>
      </c>
      <c r="B30635">
        <f>TEXT(30634, "[$-0E0000]yyyy-mm-dd")</f>
        <v/>
      </c>
      <c r="C30635" t="inlineStr">
        <is>
          <t>1983-10-11</t>
        </is>
      </c>
    </row>
    <row r="30636">
      <c r="A30636" s="1" t="n">
        <v>30635</v>
      </c>
      <c r="B30636">
        <f>TEXT(30635, "[$-0E0000]yyyy-mm-dd")</f>
        <v/>
      </c>
      <c r="C30636" t="inlineStr">
        <is>
          <t>1983-10-12</t>
        </is>
      </c>
    </row>
    <row r="30637">
      <c r="A30637" s="1" t="n">
        <v>30636</v>
      </c>
      <c r="B30637">
        <f>TEXT(30636, "[$-0E0000]yyyy-mm-dd")</f>
        <v/>
      </c>
      <c r="C30637" t="inlineStr">
        <is>
          <t>1983-10-13</t>
        </is>
      </c>
    </row>
    <row r="30638">
      <c r="A30638" s="1" t="n">
        <v>30637</v>
      </c>
      <c r="B30638">
        <f>TEXT(30637, "[$-0E0000]yyyy-mm-dd")</f>
        <v/>
      </c>
      <c r="C30638" t="inlineStr">
        <is>
          <t>1983-10-14</t>
        </is>
      </c>
    </row>
    <row r="30639">
      <c r="A30639" s="1" t="n">
        <v>30638</v>
      </c>
      <c r="B30639">
        <f>TEXT(30638, "[$-0E0000]yyyy-mm-dd")</f>
        <v/>
      </c>
      <c r="C30639" t="inlineStr">
        <is>
          <t>1983-10-15</t>
        </is>
      </c>
    </row>
    <row r="30640">
      <c r="A30640" s="1" t="n">
        <v>30639</v>
      </c>
      <c r="B30640">
        <f>TEXT(30639, "[$-0E0000]yyyy-mm-dd")</f>
        <v/>
      </c>
      <c r="C30640" t="inlineStr">
        <is>
          <t>1983-10-16</t>
        </is>
      </c>
    </row>
    <row r="30641">
      <c r="A30641" s="1" t="n">
        <v>30640</v>
      </c>
      <c r="B30641">
        <f>TEXT(30640, "[$-0E0000]yyyy-mm-dd")</f>
        <v/>
      </c>
      <c r="C30641" t="inlineStr">
        <is>
          <t>1983-10-17</t>
        </is>
      </c>
    </row>
    <row r="30642">
      <c r="A30642" s="1" t="n">
        <v>30641</v>
      </c>
      <c r="B30642">
        <f>TEXT(30641, "[$-0E0000]yyyy-mm-dd")</f>
        <v/>
      </c>
      <c r="C30642" t="inlineStr">
        <is>
          <t>1983-10-18</t>
        </is>
      </c>
    </row>
    <row r="30643">
      <c r="A30643" s="1" t="n">
        <v>30642</v>
      </c>
      <c r="B30643">
        <f>TEXT(30642, "[$-0E0000]yyyy-mm-dd")</f>
        <v/>
      </c>
      <c r="C30643" t="inlineStr">
        <is>
          <t>1983-10-19</t>
        </is>
      </c>
    </row>
    <row r="30644">
      <c r="A30644" s="1" t="n">
        <v>30643</v>
      </c>
      <c r="B30644">
        <f>TEXT(30643, "[$-0E0000]yyyy-mm-dd")</f>
        <v/>
      </c>
      <c r="C30644" t="inlineStr">
        <is>
          <t>1983-10-20</t>
        </is>
      </c>
    </row>
    <row r="30645">
      <c r="A30645" s="1" t="n">
        <v>30644</v>
      </c>
      <c r="B30645">
        <f>TEXT(30644, "[$-0E0000]yyyy-mm-dd")</f>
        <v/>
      </c>
      <c r="C30645" t="inlineStr">
        <is>
          <t>1983-10-21</t>
        </is>
      </c>
    </row>
    <row r="30646">
      <c r="A30646" s="1" t="n">
        <v>30645</v>
      </c>
      <c r="B30646">
        <f>TEXT(30645, "[$-0E0000]yyyy-mm-dd")</f>
        <v/>
      </c>
      <c r="C30646" t="inlineStr">
        <is>
          <t>1983-10-22</t>
        </is>
      </c>
    </row>
    <row r="30647">
      <c r="A30647" s="1" t="n">
        <v>30646</v>
      </c>
      <c r="B30647">
        <f>TEXT(30646, "[$-0E0000]yyyy-mm-dd")</f>
        <v/>
      </c>
      <c r="C30647" t="inlineStr">
        <is>
          <t>1983-10-23</t>
        </is>
      </c>
    </row>
    <row r="30648">
      <c r="A30648" s="1" t="n">
        <v>30647</v>
      </c>
      <c r="B30648">
        <f>TEXT(30647, "[$-0E0000]yyyy-mm-dd")</f>
        <v/>
      </c>
      <c r="C30648" t="inlineStr">
        <is>
          <t>1983-10-24</t>
        </is>
      </c>
    </row>
    <row r="30649">
      <c r="A30649" s="1" t="n">
        <v>30648</v>
      </c>
      <c r="B30649">
        <f>TEXT(30648, "[$-0E0000]yyyy-mm-dd")</f>
        <v/>
      </c>
      <c r="C30649" t="inlineStr">
        <is>
          <t>1983-10-25</t>
        </is>
      </c>
    </row>
    <row r="30650">
      <c r="A30650" s="1" t="n">
        <v>30649</v>
      </c>
      <c r="B30650">
        <f>TEXT(30649, "[$-0E0000]yyyy-mm-dd")</f>
        <v/>
      </c>
      <c r="C30650" t="inlineStr">
        <is>
          <t>1983-10-26</t>
        </is>
      </c>
    </row>
    <row r="30651">
      <c r="A30651" s="1" t="n">
        <v>30650</v>
      </c>
      <c r="B30651">
        <f>TEXT(30650, "[$-0E0000]yyyy-mm-dd")</f>
        <v/>
      </c>
      <c r="C30651" t="inlineStr">
        <is>
          <t>1983-10-27</t>
        </is>
      </c>
    </row>
    <row r="30652">
      <c r="A30652" s="1" t="n">
        <v>30651</v>
      </c>
      <c r="B30652">
        <f>TEXT(30651, "[$-0E0000]yyyy-mm-dd")</f>
        <v/>
      </c>
      <c r="C30652" t="inlineStr">
        <is>
          <t>1983-10-28</t>
        </is>
      </c>
    </row>
    <row r="30653">
      <c r="A30653" s="1" t="n">
        <v>30652</v>
      </c>
      <c r="B30653">
        <f>TEXT(30652, "[$-0E0000]yyyy-mm-dd")</f>
        <v/>
      </c>
      <c r="C30653" t="inlineStr">
        <is>
          <t>1983-10-29</t>
        </is>
      </c>
    </row>
    <row r="30654">
      <c r="A30654" s="1" t="n">
        <v>30653</v>
      </c>
      <c r="B30654">
        <f>TEXT(30653, "[$-0E0000]yyyy-mm-dd")</f>
        <v/>
      </c>
      <c r="C30654" t="inlineStr">
        <is>
          <t>1983-11-01</t>
        </is>
      </c>
    </row>
    <row r="30655">
      <c r="A30655" s="1" t="n">
        <v>30654</v>
      </c>
      <c r="B30655">
        <f>TEXT(30654, "[$-0E0000]yyyy-mm-dd")</f>
        <v/>
      </c>
      <c r="C30655" t="inlineStr">
        <is>
          <t>1983-11-02</t>
        </is>
      </c>
    </row>
    <row r="30656">
      <c r="A30656" s="1" t="n">
        <v>30655</v>
      </c>
      <c r="B30656">
        <f>TEXT(30655, "[$-0E0000]yyyy-mm-dd")</f>
        <v/>
      </c>
      <c r="C30656" t="inlineStr">
        <is>
          <t>1983-11-03</t>
        </is>
      </c>
    </row>
    <row r="30657">
      <c r="A30657" s="1" t="n">
        <v>30656</v>
      </c>
      <c r="B30657">
        <f>TEXT(30656, "[$-0E0000]yyyy-mm-dd")</f>
        <v/>
      </c>
      <c r="C30657" t="inlineStr">
        <is>
          <t>1983-11-04</t>
        </is>
      </c>
    </row>
    <row r="30658">
      <c r="A30658" s="1" t="n">
        <v>30657</v>
      </c>
      <c r="B30658">
        <f>TEXT(30657, "[$-0E0000]yyyy-mm-dd")</f>
        <v/>
      </c>
      <c r="C30658" t="inlineStr">
        <is>
          <t>1983-11-05</t>
        </is>
      </c>
    </row>
    <row r="30659">
      <c r="A30659" s="1" t="n">
        <v>30658</v>
      </c>
      <c r="B30659">
        <f>TEXT(30658, "[$-0E0000]yyyy-mm-dd")</f>
        <v/>
      </c>
      <c r="C30659" t="inlineStr">
        <is>
          <t>1983-11-06</t>
        </is>
      </c>
    </row>
    <row r="30660">
      <c r="A30660" s="1" t="n">
        <v>30659</v>
      </c>
      <c r="B30660">
        <f>TEXT(30659, "[$-0E0000]yyyy-mm-dd")</f>
        <v/>
      </c>
      <c r="C30660" t="inlineStr">
        <is>
          <t>1983-11-07</t>
        </is>
      </c>
    </row>
    <row r="30661">
      <c r="A30661" s="1" t="n">
        <v>30660</v>
      </c>
      <c r="B30661">
        <f>TEXT(30660, "[$-0E0000]yyyy-mm-dd")</f>
        <v/>
      </c>
      <c r="C30661" t="inlineStr">
        <is>
          <t>1983-11-08</t>
        </is>
      </c>
    </row>
    <row r="30662">
      <c r="A30662" s="1" t="n">
        <v>30661</v>
      </c>
      <c r="B30662">
        <f>TEXT(30661, "[$-0E0000]yyyy-mm-dd")</f>
        <v/>
      </c>
      <c r="C30662" t="inlineStr">
        <is>
          <t>1983-11-09</t>
        </is>
      </c>
    </row>
    <row r="30663">
      <c r="A30663" s="1" t="n">
        <v>30662</v>
      </c>
      <c r="B30663">
        <f>TEXT(30662, "[$-0E0000]yyyy-mm-dd")</f>
        <v/>
      </c>
      <c r="C30663" t="inlineStr">
        <is>
          <t>1983-11-10</t>
        </is>
      </c>
    </row>
    <row r="30664">
      <c r="A30664" s="1" t="n">
        <v>30663</v>
      </c>
      <c r="B30664">
        <f>TEXT(30663, "[$-0E0000]yyyy-mm-dd")</f>
        <v/>
      </c>
      <c r="C30664" t="inlineStr">
        <is>
          <t>1983-11-11</t>
        </is>
      </c>
    </row>
    <row r="30665">
      <c r="A30665" s="1" t="n">
        <v>30664</v>
      </c>
      <c r="B30665">
        <f>TEXT(30664, "[$-0E0000]yyyy-mm-dd")</f>
        <v/>
      </c>
      <c r="C30665" t="inlineStr">
        <is>
          <t>1983-11-12</t>
        </is>
      </c>
    </row>
    <row r="30666">
      <c r="A30666" s="1" t="n">
        <v>30665</v>
      </c>
      <c r="B30666">
        <f>TEXT(30665, "[$-0E0000]yyyy-mm-dd")</f>
        <v/>
      </c>
      <c r="C30666" t="inlineStr">
        <is>
          <t>1983-11-13</t>
        </is>
      </c>
    </row>
    <row r="30667">
      <c r="A30667" s="1" t="n">
        <v>30666</v>
      </c>
      <c r="B30667">
        <f>TEXT(30666, "[$-0E0000]yyyy-mm-dd")</f>
        <v/>
      </c>
      <c r="C30667" t="inlineStr">
        <is>
          <t>1983-11-14</t>
        </is>
      </c>
    </row>
    <row r="30668">
      <c r="A30668" s="1" t="n">
        <v>30667</v>
      </c>
      <c r="B30668">
        <f>TEXT(30667, "[$-0E0000]yyyy-mm-dd")</f>
        <v/>
      </c>
      <c r="C30668" t="inlineStr">
        <is>
          <t>1983-11-15</t>
        </is>
      </c>
    </row>
    <row r="30669">
      <c r="A30669" s="1" t="n">
        <v>30668</v>
      </c>
      <c r="B30669">
        <f>TEXT(30668, "[$-0E0000]yyyy-mm-dd")</f>
        <v/>
      </c>
      <c r="C30669" t="inlineStr">
        <is>
          <t>1983-11-16</t>
        </is>
      </c>
    </row>
    <row r="30670">
      <c r="A30670" s="1" t="n">
        <v>30669</v>
      </c>
      <c r="B30670">
        <f>TEXT(30669, "[$-0E0000]yyyy-mm-dd")</f>
        <v/>
      </c>
      <c r="C30670" t="inlineStr">
        <is>
          <t>1983-11-17</t>
        </is>
      </c>
    </row>
    <row r="30671">
      <c r="A30671" s="1" t="n">
        <v>30670</v>
      </c>
      <c r="B30671">
        <f>TEXT(30670, "[$-0E0000]yyyy-mm-dd")</f>
        <v/>
      </c>
      <c r="C30671" t="inlineStr">
        <is>
          <t>1983-11-18</t>
        </is>
      </c>
    </row>
    <row r="30672">
      <c r="A30672" s="1" t="n">
        <v>30671</v>
      </c>
      <c r="B30672">
        <f>TEXT(30671, "[$-0E0000]yyyy-mm-dd")</f>
        <v/>
      </c>
      <c r="C30672" t="inlineStr">
        <is>
          <t>1983-11-19</t>
        </is>
      </c>
    </row>
    <row r="30673">
      <c r="A30673" s="1" t="n">
        <v>30672</v>
      </c>
      <c r="B30673">
        <f>TEXT(30672, "[$-0E0000]yyyy-mm-dd")</f>
        <v/>
      </c>
      <c r="C30673" t="inlineStr">
        <is>
          <t>1983-11-20</t>
        </is>
      </c>
    </row>
    <row r="30674">
      <c r="A30674" s="1" t="n">
        <v>30673</v>
      </c>
      <c r="B30674">
        <f>TEXT(30673, "[$-0E0000]yyyy-mm-dd")</f>
        <v/>
      </c>
      <c r="C30674" t="inlineStr">
        <is>
          <t>1983-11-21</t>
        </is>
      </c>
    </row>
    <row r="30675">
      <c r="A30675" s="1" t="n">
        <v>30674</v>
      </c>
      <c r="B30675">
        <f>TEXT(30674, "[$-0E0000]yyyy-mm-dd")</f>
        <v/>
      </c>
      <c r="C30675" t="inlineStr">
        <is>
          <t>1983-11-22</t>
        </is>
      </c>
    </row>
    <row r="30676">
      <c r="A30676" s="1" t="n">
        <v>30675</v>
      </c>
      <c r="B30676">
        <f>TEXT(30675, "[$-0E0000]yyyy-mm-dd")</f>
        <v/>
      </c>
      <c r="C30676" t="inlineStr">
        <is>
          <t>1983-11-23</t>
        </is>
      </c>
    </row>
    <row r="30677">
      <c r="A30677" s="1" t="n">
        <v>30676</v>
      </c>
      <c r="B30677">
        <f>TEXT(30676, "[$-0E0000]yyyy-mm-dd")</f>
        <v/>
      </c>
      <c r="C30677" t="inlineStr">
        <is>
          <t>1983-11-24</t>
        </is>
      </c>
    </row>
    <row r="30678">
      <c r="A30678" s="1" t="n">
        <v>30677</v>
      </c>
      <c r="B30678">
        <f>TEXT(30677, "[$-0E0000]yyyy-mm-dd")</f>
        <v/>
      </c>
      <c r="C30678" t="inlineStr">
        <is>
          <t>1983-11-25</t>
        </is>
      </c>
    </row>
    <row r="30679">
      <c r="A30679" s="1" t="n">
        <v>30678</v>
      </c>
      <c r="B30679">
        <f>TEXT(30678, "[$-0E0000]yyyy-mm-dd")</f>
        <v/>
      </c>
      <c r="C30679" t="inlineStr">
        <is>
          <t>1983-11-26</t>
        </is>
      </c>
    </row>
    <row r="30680">
      <c r="A30680" s="1" t="n">
        <v>30679</v>
      </c>
      <c r="B30680">
        <f>TEXT(30679, "[$-0E0000]yyyy-mm-dd")</f>
        <v/>
      </c>
      <c r="C30680" t="inlineStr">
        <is>
          <t>1983-11-27</t>
        </is>
      </c>
    </row>
    <row r="30681">
      <c r="A30681" s="1" t="n">
        <v>30680</v>
      </c>
      <c r="B30681">
        <f>TEXT(30680, "[$-0E0000]yyyy-mm-dd")</f>
        <v/>
      </c>
      <c r="C30681" t="inlineStr">
        <is>
          <t>1983-11-28</t>
        </is>
      </c>
    </row>
    <row r="30682">
      <c r="A30682" s="1" t="n">
        <v>30681</v>
      </c>
      <c r="B30682">
        <f>TEXT(30681, "[$-0E0000]yyyy-mm-dd")</f>
        <v/>
      </c>
      <c r="C30682" t="inlineStr">
        <is>
          <t>1983-11-29</t>
        </is>
      </c>
    </row>
    <row r="30683">
      <c r="A30683" s="1" t="n">
        <v>30682</v>
      </c>
      <c r="B30683">
        <f>TEXT(30682, "[$-0E0000]yyyy-mm-dd")</f>
        <v/>
      </c>
      <c r="C30683" t="inlineStr">
        <is>
          <t>1983-11-30</t>
        </is>
      </c>
    </row>
    <row r="30684">
      <c r="A30684" s="1" t="n">
        <v>30683</v>
      </c>
      <c r="B30684">
        <f>TEXT(30683, "[$-0E0000]yyyy-mm-dd")</f>
        <v/>
      </c>
      <c r="C30684" t="inlineStr">
        <is>
          <t>1983-12-01</t>
        </is>
      </c>
    </row>
    <row r="30685">
      <c r="A30685" s="1" t="n">
        <v>30684</v>
      </c>
      <c r="B30685">
        <f>TEXT(30684, "[$-0E0000]yyyy-mm-dd")</f>
        <v/>
      </c>
      <c r="C30685" t="inlineStr">
        <is>
          <t>1983-12-02</t>
        </is>
      </c>
    </row>
    <row r="30686">
      <c r="A30686" s="1" t="n">
        <v>30685</v>
      </c>
      <c r="B30686">
        <f>TEXT(30685, "[$-0E0000]yyyy-mm-dd")</f>
        <v/>
      </c>
      <c r="C30686" t="inlineStr">
        <is>
          <t>1983-12-03</t>
        </is>
      </c>
    </row>
    <row r="30687">
      <c r="A30687" s="1" t="n">
        <v>30686</v>
      </c>
      <c r="B30687">
        <f>TEXT(30686, "[$-0E0000]yyyy-mm-dd")</f>
        <v/>
      </c>
      <c r="C30687" t="inlineStr">
        <is>
          <t>1983-12-04</t>
        </is>
      </c>
    </row>
    <row r="30688">
      <c r="A30688" s="1" t="n">
        <v>30687</v>
      </c>
      <c r="B30688">
        <f>TEXT(30687, "[$-0E0000]yyyy-mm-dd")</f>
        <v/>
      </c>
      <c r="C30688" t="inlineStr">
        <is>
          <t>1983-12-05</t>
        </is>
      </c>
    </row>
    <row r="30689">
      <c r="A30689" s="1" t="n">
        <v>30688</v>
      </c>
      <c r="B30689">
        <f>TEXT(30688, "[$-0E0000]yyyy-mm-dd")</f>
        <v/>
      </c>
      <c r="C30689" t="inlineStr">
        <is>
          <t>1983-12-06</t>
        </is>
      </c>
    </row>
    <row r="30690">
      <c r="A30690" s="1" t="n">
        <v>30689</v>
      </c>
      <c r="B30690">
        <f>TEXT(30689, "[$-0E0000]yyyy-mm-dd")</f>
        <v/>
      </c>
      <c r="C30690" t="inlineStr">
        <is>
          <t>1983-12-07</t>
        </is>
      </c>
    </row>
    <row r="30691">
      <c r="A30691" s="1" t="n">
        <v>30690</v>
      </c>
      <c r="B30691">
        <f>TEXT(30690, "[$-0E0000]yyyy-mm-dd")</f>
        <v/>
      </c>
      <c r="C30691" t="inlineStr">
        <is>
          <t>1983-12-08</t>
        </is>
      </c>
    </row>
    <row r="30692">
      <c r="A30692" s="1" t="n">
        <v>30691</v>
      </c>
      <c r="B30692">
        <f>TEXT(30691, "[$-0E0000]yyyy-mm-dd")</f>
        <v/>
      </c>
      <c r="C30692" t="inlineStr">
        <is>
          <t>1983-12-09</t>
        </is>
      </c>
    </row>
    <row r="30693">
      <c r="A30693" s="1" t="n">
        <v>30692</v>
      </c>
      <c r="B30693">
        <f>TEXT(30692, "[$-0E0000]yyyy-mm-dd")</f>
        <v/>
      </c>
      <c r="C30693" t="inlineStr">
        <is>
          <t>1983-12-10</t>
        </is>
      </c>
    </row>
    <row r="30694">
      <c r="A30694" s="1" t="n">
        <v>30693</v>
      </c>
      <c r="B30694">
        <f>TEXT(30693, "[$-0E0000]yyyy-mm-dd")</f>
        <v/>
      </c>
      <c r="C30694" t="inlineStr">
        <is>
          <t>1983-12-11</t>
        </is>
      </c>
    </row>
    <row r="30695">
      <c r="A30695" s="1" t="n">
        <v>30694</v>
      </c>
      <c r="B30695">
        <f>TEXT(30694, "[$-0E0000]yyyy-mm-dd")</f>
        <v/>
      </c>
      <c r="C30695" t="inlineStr">
        <is>
          <t>1983-12-12</t>
        </is>
      </c>
    </row>
    <row r="30696">
      <c r="A30696" s="1" t="n">
        <v>30695</v>
      </c>
      <c r="B30696">
        <f>TEXT(30695, "[$-0E0000]yyyy-mm-dd")</f>
        <v/>
      </c>
      <c r="C30696" t="inlineStr">
        <is>
          <t>1983-12-13</t>
        </is>
      </c>
    </row>
    <row r="30697">
      <c r="A30697" s="1" t="n">
        <v>30696</v>
      </c>
      <c r="B30697">
        <f>TEXT(30696, "[$-0E0000]yyyy-mm-dd")</f>
        <v/>
      </c>
      <c r="C30697" t="inlineStr">
        <is>
          <t>1983-12-14</t>
        </is>
      </c>
    </row>
    <row r="30698">
      <c r="A30698" s="1" t="n">
        <v>30697</v>
      </c>
      <c r="B30698">
        <f>TEXT(30697, "[$-0E0000]yyyy-mm-dd")</f>
        <v/>
      </c>
      <c r="C30698" t="inlineStr">
        <is>
          <t>1983-12-15</t>
        </is>
      </c>
    </row>
    <row r="30699">
      <c r="A30699" s="1" t="n">
        <v>30698</v>
      </c>
      <c r="B30699">
        <f>TEXT(30698, "[$-0E0000]yyyy-mm-dd")</f>
        <v/>
      </c>
      <c r="C30699" t="inlineStr">
        <is>
          <t>1983-12-16</t>
        </is>
      </c>
    </row>
    <row r="30700">
      <c r="A30700" s="1" t="n">
        <v>30699</v>
      </c>
      <c r="B30700">
        <f>TEXT(30699, "[$-0E0000]yyyy-mm-dd")</f>
        <v/>
      </c>
      <c r="C30700" t="inlineStr">
        <is>
          <t>1983-12-17</t>
        </is>
      </c>
    </row>
    <row r="30701">
      <c r="A30701" s="1" t="n">
        <v>30700</v>
      </c>
      <c r="B30701">
        <f>TEXT(30700, "[$-0E0000]yyyy-mm-dd")</f>
        <v/>
      </c>
      <c r="C30701" t="inlineStr">
        <is>
          <t>1983-12-18</t>
        </is>
      </c>
    </row>
    <row r="30702">
      <c r="A30702" s="1" t="n">
        <v>30701</v>
      </c>
      <c r="B30702">
        <f>TEXT(30701, "[$-0E0000]yyyy-mm-dd")</f>
        <v/>
      </c>
      <c r="C30702" t="inlineStr">
        <is>
          <t>1983-12-19</t>
        </is>
      </c>
    </row>
    <row r="30703">
      <c r="A30703" s="1" t="n">
        <v>30702</v>
      </c>
      <c r="B30703">
        <f>TEXT(30702, "[$-0E0000]yyyy-mm-dd")</f>
        <v/>
      </c>
      <c r="C30703" t="inlineStr">
        <is>
          <t>1983-12-20</t>
        </is>
      </c>
    </row>
    <row r="30704">
      <c r="A30704" s="1" t="n">
        <v>30703</v>
      </c>
      <c r="B30704">
        <f>TEXT(30703, "[$-0E0000]yyyy-mm-dd")</f>
        <v/>
      </c>
      <c r="C30704" t="inlineStr">
        <is>
          <t>1983-12-21</t>
        </is>
      </c>
    </row>
    <row r="30705">
      <c r="A30705" s="1" t="n">
        <v>30704</v>
      </c>
      <c r="B30705">
        <f>TEXT(30704, "[$-0E0000]yyyy-mm-dd")</f>
        <v/>
      </c>
      <c r="C30705" t="inlineStr">
        <is>
          <t>1983-12-22</t>
        </is>
      </c>
    </row>
    <row r="30706">
      <c r="A30706" s="1" t="n">
        <v>30705</v>
      </c>
      <c r="B30706">
        <f>TEXT(30705, "[$-0E0000]yyyy-mm-dd")</f>
        <v/>
      </c>
      <c r="C30706" t="inlineStr">
        <is>
          <t>1983-12-23</t>
        </is>
      </c>
    </row>
    <row r="30707">
      <c r="A30707" s="1" t="n">
        <v>30706</v>
      </c>
      <c r="B30707">
        <f>TEXT(30706, "[$-0E0000]yyyy-mm-dd")</f>
        <v/>
      </c>
      <c r="C30707" t="inlineStr">
        <is>
          <t>1983-12-24</t>
        </is>
      </c>
    </row>
    <row r="30708">
      <c r="A30708" s="1" t="n">
        <v>30707</v>
      </c>
      <c r="B30708">
        <f>TEXT(30707, "[$-0E0000]yyyy-mm-dd")</f>
        <v/>
      </c>
      <c r="C30708" t="inlineStr">
        <is>
          <t>1983-12-25</t>
        </is>
      </c>
    </row>
    <row r="30709">
      <c r="A30709" s="1" t="n">
        <v>30708</v>
      </c>
      <c r="B30709">
        <f>TEXT(30708, "[$-0E0000]yyyy-mm-dd")</f>
        <v/>
      </c>
      <c r="C30709" t="inlineStr">
        <is>
          <t>1983-12-26</t>
        </is>
      </c>
    </row>
    <row r="30710">
      <c r="A30710" s="1" t="n">
        <v>30709</v>
      </c>
      <c r="B30710">
        <f>TEXT(30709, "[$-0E0000]yyyy-mm-dd")</f>
        <v/>
      </c>
      <c r="C30710" t="inlineStr">
        <is>
          <t>1983-12-27</t>
        </is>
      </c>
    </row>
    <row r="30711">
      <c r="A30711" s="1" t="n">
        <v>30710</v>
      </c>
      <c r="B30711">
        <f>TEXT(30710, "[$-0E0000]yyyy-mm-dd")</f>
        <v/>
      </c>
      <c r="C30711" t="inlineStr">
        <is>
          <t>1983-12-28</t>
        </is>
      </c>
    </row>
    <row r="30712">
      <c r="A30712" s="1" t="n">
        <v>30711</v>
      </c>
      <c r="B30712">
        <f>TEXT(30711, "[$-0E0000]yyyy-mm-dd")</f>
        <v/>
      </c>
      <c r="C30712" t="inlineStr">
        <is>
          <t>1983-12-29</t>
        </is>
      </c>
    </row>
    <row r="30713">
      <c r="A30713" s="1" t="n">
        <v>30712</v>
      </c>
      <c r="B30713">
        <f>TEXT(30712, "[$-0E0000]yyyy-mm-dd")</f>
        <v/>
      </c>
      <c r="C30713" t="inlineStr">
        <is>
          <t>1983-12-30</t>
        </is>
      </c>
    </row>
    <row r="30714">
      <c r="A30714" s="1" t="n">
        <v>30713</v>
      </c>
      <c r="B30714">
        <f>TEXT(30713, "[$-0E0000]yyyy-mm-dd")</f>
        <v/>
      </c>
      <c r="C30714" t="inlineStr">
        <is>
          <t>1984-01-01</t>
        </is>
      </c>
    </row>
    <row r="30715">
      <c r="A30715" s="1" t="n">
        <v>30714</v>
      </c>
      <c r="B30715">
        <f>TEXT(30714, "[$-0E0000]yyyy-mm-dd")</f>
        <v/>
      </c>
      <c r="C30715" t="inlineStr">
        <is>
          <t>1984-01-02</t>
        </is>
      </c>
    </row>
    <row r="30716">
      <c r="A30716" s="1" t="n">
        <v>30715</v>
      </c>
      <c r="B30716">
        <f>TEXT(30715, "[$-0E0000]yyyy-mm-dd")</f>
        <v/>
      </c>
      <c r="C30716" t="inlineStr">
        <is>
          <t>1984-01-03</t>
        </is>
      </c>
    </row>
    <row r="30717">
      <c r="A30717" s="1" t="n">
        <v>30716</v>
      </c>
      <c r="B30717">
        <f>TEXT(30716, "[$-0E0000]yyyy-mm-dd")</f>
        <v/>
      </c>
      <c r="C30717" t="inlineStr">
        <is>
          <t>1984-01-04</t>
        </is>
      </c>
    </row>
    <row r="30718">
      <c r="A30718" s="1" t="n">
        <v>30717</v>
      </c>
      <c r="B30718">
        <f>TEXT(30717, "[$-0E0000]yyyy-mm-dd")</f>
        <v/>
      </c>
      <c r="C30718" t="inlineStr">
        <is>
          <t>1984-01-05</t>
        </is>
      </c>
    </row>
    <row r="30719">
      <c r="A30719" s="1" t="n">
        <v>30718</v>
      </c>
      <c r="B30719">
        <f>TEXT(30718, "[$-0E0000]yyyy-mm-dd")</f>
        <v/>
      </c>
      <c r="C30719" t="inlineStr">
        <is>
          <t>1984-01-06</t>
        </is>
      </c>
    </row>
    <row r="30720">
      <c r="A30720" s="1" t="n">
        <v>30719</v>
      </c>
      <c r="B30720">
        <f>TEXT(30719, "[$-0E0000]yyyy-mm-dd")</f>
        <v/>
      </c>
      <c r="C30720" t="inlineStr">
        <is>
          <t>1984-01-07</t>
        </is>
      </c>
    </row>
    <row r="30721">
      <c r="A30721" s="1" t="n">
        <v>30720</v>
      </c>
      <c r="B30721">
        <f>TEXT(30720, "[$-0E0000]yyyy-mm-dd")</f>
        <v/>
      </c>
      <c r="C30721" t="inlineStr">
        <is>
          <t>1984-01-08</t>
        </is>
      </c>
    </row>
    <row r="30722">
      <c r="A30722" s="1" t="n">
        <v>30721</v>
      </c>
      <c r="B30722">
        <f>TEXT(30721, "[$-0E0000]yyyy-mm-dd")</f>
        <v/>
      </c>
      <c r="C30722" t="inlineStr">
        <is>
          <t>1984-01-09</t>
        </is>
      </c>
    </row>
    <row r="30723">
      <c r="A30723" s="1" t="n">
        <v>30722</v>
      </c>
      <c r="B30723">
        <f>TEXT(30722, "[$-0E0000]yyyy-mm-dd")</f>
        <v/>
      </c>
      <c r="C30723" t="inlineStr">
        <is>
          <t>1984-01-10</t>
        </is>
      </c>
    </row>
    <row r="30724">
      <c r="A30724" s="1" t="n">
        <v>30723</v>
      </c>
      <c r="B30724">
        <f>TEXT(30723, "[$-0E0000]yyyy-mm-dd")</f>
        <v/>
      </c>
      <c r="C30724" t="inlineStr">
        <is>
          <t>1984-01-11</t>
        </is>
      </c>
    </row>
    <row r="30725">
      <c r="A30725" s="1" t="n">
        <v>30724</v>
      </c>
      <c r="B30725">
        <f>TEXT(30724, "[$-0E0000]yyyy-mm-dd")</f>
        <v/>
      </c>
      <c r="C30725" t="inlineStr">
        <is>
          <t>1984-01-12</t>
        </is>
      </c>
    </row>
    <row r="30726">
      <c r="A30726" s="1" t="n">
        <v>30725</v>
      </c>
      <c r="B30726">
        <f>TEXT(30725, "[$-0E0000]yyyy-mm-dd")</f>
        <v/>
      </c>
      <c r="C30726" t="inlineStr">
        <is>
          <t>1984-01-13</t>
        </is>
      </c>
    </row>
    <row r="30727">
      <c r="A30727" s="1" t="n">
        <v>30726</v>
      </c>
      <c r="B30727">
        <f>TEXT(30726, "[$-0E0000]yyyy-mm-dd")</f>
        <v/>
      </c>
      <c r="C30727" t="inlineStr">
        <is>
          <t>1984-01-14</t>
        </is>
      </c>
    </row>
    <row r="30728">
      <c r="A30728" s="1" t="n">
        <v>30727</v>
      </c>
      <c r="B30728">
        <f>TEXT(30727, "[$-0E0000]yyyy-mm-dd")</f>
        <v/>
      </c>
      <c r="C30728" t="inlineStr">
        <is>
          <t>1984-01-15</t>
        </is>
      </c>
    </row>
    <row r="30729">
      <c r="A30729" s="1" t="n">
        <v>30728</v>
      </c>
      <c r="B30729">
        <f>TEXT(30728, "[$-0E0000]yyyy-mm-dd")</f>
        <v/>
      </c>
      <c r="C30729" t="inlineStr">
        <is>
          <t>1984-01-16</t>
        </is>
      </c>
    </row>
    <row r="30730">
      <c r="A30730" s="1" t="n">
        <v>30729</v>
      </c>
      <c r="B30730">
        <f>TEXT(30729, "[$-0E0000]yyyy-mm-dd")</f>
        <v/>
      </c>
      <c r="C30730" t="inlineStr">
        <is>
          <t>1984-01-17</t>
        </is>
      </c>
    </row>
    <row r="30731">
      <c r="A30731" s="1" t="n">
        <v>30730</v>
      </c>
      <c r="B30731">
        <f>TEXT(30730, "[$-0E0000]yyyy-mm-dd")</f>
        <v/>
      </c>
      <c r="C30731" t="inlineStr">
        <is>
          <t>1984-01-18</t>
        </is>
      </c>
    </row>
    <row r="30732">
      <c r="A30732" s="1" t="n">
        <v>30731</v>
      </c>
      <c r="B30732">
        <f>TEXT(30731, "[$-0E0000]yyyy-mm-dd")</f>
        <v/>
      </c>
      <c r="C30732" t="inlineStr">
        <is>
          <t>1984-01-19</t>
        </is>
      </c>
    </row>
    <row r="30733">
      <c r="A30733" s="1" t="n">
        <v>30732</v>
      </c>
      <c r="B30733">
        <f>TEXT(30732, "[$-0E0000]yyyy-mm-dd")</f>
        <v/>
      </c>
      <c r="C30733" t="inlineStr">
        <is>
          <t>1984-01-20</t>
        </is>
      </c>
    </row>
    <row r="30734">
      <c r="A30734" s="1" t="n">
        <v>30733</v>
      </c>
      <c r="B30734">
        <f>TEXT(30733, "[$-0E0000]yyyy-mm-dd")</f>
        <v/>
      </c>
      <c r="C30734" t="inlineStr">
        <is>
          <t>1984-01-21</t>
        </is>
      </c>
    </row>
    <row r="30735">
      <c r="A30735" s="1" t="n">
        <v>30734</v>
      </c>
      <c r="B30735">
        <f>TEXT(30734, "[$-0E0000]yyyy-mm-dd")</f>
        <v/>
      </c>
      <c r="C30735" t="inlineStr">
        <is>
          <t>1984-01-22</t>
        </is>
      </c>
    </row>
    <row r="30736">
      <c r="A30736" s="1" t="n">
        <v>30735</v>
      </c>
      <c r="B30736">
        <f>TEXT(30735, "[$-0E0000]yyyy-mm-dd")</f>
        <v/>
      </c>
      <c r="C30736" t="inlineStr">
        <is>
          <t>1984-01-23</t>
        </is>
      </c>
    </row>
    <row r="30737">
      <c r="A30737" s="1" t="n">
        <v>30736</v>
      </c>
      <c r="B30737">
        <f>TEXT(30736, "[$-0E0000]yyyy-mm-dd")</f>
        <v/>
      </c>
      <c r="C30737" t="inlineStr">
        <is>
          <t>1984-01-24</t>
        </is>
      </c>
    </row>
    <row r="30738">
      <c r="A30738" s="1" t="n">
        <v>30737</v>
      </c>
      <c r="B30738">
        <f>TEXT(30737, "[$-0E0000]yyyy-mm-dd")</f>
        <v/>
      </c>
      <c r="C30738" t="inlineStr">
        <is>
          <t>1984-01-25</t>
        </is>
      </c>
    </row>
    <row r="30739">
      <c r="A30739" s="1" t="n">
        <v>30738</v>
      </c>
      <c r="B30739">
        <f>TEXT(30738, "[$-0E0000]yyyy-mm-dd")</f>
        <v/>
      </c>
      <c r="C30739" t="inlineStr">
        <is>
          <t>1984-01-26</t>
        </is>
      </c>
    </row>
    <row r="30740">
      <c r="A30740" s="1" t="n">
        <v>30739</v>
      </c>
      <c r="B30740">
        <f>TEXT(30739, "[$-0E0000]yyyy-mm-dd")</f>
        <v/>
      </c>
      <c r="C30740" t="inlineStr">
        <is>
          <t>1984-01-27</t>
        </is>
      </c>
    </row>
    <row r="30741">
      <c r="A30741" s="1" t="n">
        <v>30740</v>
      </c>
      <c r="B30741">
        <f>TEXT(30740, "[$-0E0000]yyyy-mm-dd")</f>
        <v/>
      </c>
      <c r="C30741" t="inlineStr">
        <is>
          <t>1984-01-28</t>
        </is>
      </c>
    </row>
    <row r="30742">
      <c r="A30742" s="1" t="n">
        <v>30741</v>
      </c>
      <c r="B30742">
        <f>TEXT(30741, "[$-0E0000]yyyy-mm-dd")</f>
        <v/>
      </c>
      <c r="C30742" t="inlineStr">
        <is>
          <t>1984-01-29</t>
        </is>
      </c>
    </row>
    <row r="30743">
      <c r="A30743" s="1" t="n">
        <v>30742</v>
      </c>
      <c r="B30743">
        <f>TEXT(30742, "[$-0E0000]yyyy-mm-dd")</f>
        <v/>
      </c>
      <c r="C30743" t="inlineStr">
        <is>
          <t>1984-01-30</t>
        </is>
      </c>
    </row>
    <row r="30744">
      <c r="A30744" s="1" t="n">
        <v>30743</v>
      </c>
      <c r="B30744">
        <f>TEXT(30743, "[$-0E0000]yyyy-mm-dd")</f>
        <v/>
      </c>
      <c r="C30744" t="inlineStr">
        <is>
          <t>1984-02-01</t>
        </is>
      </c>
    </row>
    <row r="30745">
      <c r="A30745" s="1" t="n">
        <v>30744</v>
      </c>
      <c r="B30745">
        <f>TEXT(30744, "[$-0E0000]yyyy-mm-dd")</f>
        <v/>
      </c>
      <c r="C30745" t="inlineStr">
        <is>
          <t>1984-02-02</t>
        </is>
      </c>
    </row>
    <row r="30746">
      <c r="A30746" s="1" t="n">
        <v>30745</v>
      </c>
      <c r="B30746">
        <f>TEXT(30745, "[$-0E0000]yyyy-mm-dd")</f>
        <v/>
      </c>
      <c r="C30746" t="inlineStr">
        <is>
          <t>1984-02-03</t>
        </is>
      </c>
    </row>
    <row r="30747">
      <c r="A30747" s="1" t="n">
        <v>30746</v>
      </c>
      <c r="B30747">
        <f>TEXT(30746, "[$-0E0000]yyyy-mm-dd")</f>
        <v/>
      </c>
      <c r="C30747" t="inlineStr">
        <is>
          <t>1984-02-04</t>
        </is>
      </c>
    </row>
    <row r="30748">
      <c r="A30748" s="1" t="n">
        <v>30747</v>
      </c>
      <c r="B30748">
        <f>TEXT(30747, "[$-0E0000]yyyy-mm-dd")</f>
        <v/>
      </c>
      <c r="C30748" t="inlineStr">
        <is>
          <t>1984-02-05</t>
        </is>
      </c>
    </row>
    <row r="30749">
      <c r="A30749" s="1" t="n">
        <v>30748</v>
      </c>
      <c r="B30749">
        <f>TEXT(30748, "[$-0E0000]yyyy-mm-dd")</f>
        <v/>
      </c>
      <c r="C30749" t="inlineStr">
        <is>
          <t>1984-02-06</t>
        </is>
      </c>
    </row>
    <row r="30750">
      <c r="A30750" s="1" t="n">
        <v>30749</v>
      </c>
      <c r="B30750">
        <f>TEXT(30749, "[$-0E0000]yyyy-mm-dd")</f>
        <v/>
      </c>
      <c r="C30750" t="inlineStr">
        <is>
          <t>1984-02-07</t>
        </is>
      </c>
    </row>
    <row r="30751">
      <c r="A30751" s="1" t="n">
        <v>30750</v>
      </c>
      <c r="B30751">
        <f>TEXT(30750, "[$-0E0000]yyyy-mm-dd")</f>
        <v/>
      </c>
      <c r="C30751" t="inlineStr">
        <is>
          <t>1984-02-08</t>
        </is>
      </c>
    </row>
    <row r="30752">
      <c r="A30752" s="1" t="n">
        <v>30751</v>
      </c>
      <c r="B30752">
        <f>TEXT(30751, "[$-0E0000]yyyy-mm-dd")</f>
        <v/>
      </c>
      <c r="C30752" t="inlineStr">
        <is>
          <t>1984-02-09</t>
        </is>
      </c>
    </row>
    <row r="30753">
      <c r="A30753" s="1" t="n">
        <v>30752</v>
      </c>
      <c r="B30753">
        <f>TEXT(30752, "[$-0E0000]yyyy-mm-dd")</f>
        <v/>
      </c>
      <c r="C30753" t="inlineStr">
        <is>
          <t>1984-02-10</t>
        </is>
      </c>
    </row>
    <row r="30754">
      <c r="A30754" s="1" t="n">
        <v>30753</v>
      </c>
      <c r="B30754">
        <f>TEXT(30753, "[$-0E0000]yyyy-mm-dd")</f>
        <v/>
      </c>
      <c r="C30754" t="inlineStr">
        <is>
          <t>1984-02-11</t>
        </is>
      </c>
    </row>
    <row r="30755">
      <c r="A30755" s="1" t="n">
        <v>30754</v>
      </c>
      <c r="B30755">
        <f>TEXT(30754, "[$-0E0000]yyyy-mm-dd")</f>
        <v/>
      </c>
      <c r="C30755" t="inlineStr">
        <is>
          <t>1984-02-12</t>
        </is>
      </c>
    </row>
    <row r="30756">
      <c r="A30756" s="1" t="n">
        <v>30755</v>
      </c>
      <c r="B30756">
        <f>TEXT(30755, "[$-0E0000]yyyy-mm-dd")</f>
        <v/>
      </c>
      <c r="C30756" t="inlineStr">
        <is>
          <t>1984-02-13</t>
        </is>
      </c>
    </row>
    <row r="30757">
      <c r="A30757" s="1" t="n">
        <v>30756</v>
      </c>
      <c r="B30757">
        <f>TEXT(30756, "[$-0E0000]yyyy-mm-dd")</f>
        <v/>
      </c>
      <c r="C30757" t="inlineStr">
        <is>
          <t>1984-02-14</t>
        </is>
      </c>
    </row>
    <row r="30758">
      <c r="A30758" s="1" t="n">
        <v>30757</v>
      </c>
      <c r="B30758">
        <f>TEXT(30757, "[$-0E0000]yyyy-mm-dd")</f>
        <v/>
      </c>
      <c r="C30758" t="inlineStr">
        <is>
          <t>1984-02-15</t>
        </is>
      </c>
    </row>
    <row r="30759">
      <c r="A30759" s="1" t="n">
        <v>30758</v>
      </c>
      <c r="B30759">
        <f>TEXT(30758, "[$-0E0000]yyyy-mm-dd")</f>
        <v/>
      </c>
      <c r="C30759" t="inlineStr">
        <is>
          <t>1984-02-16</t>
        </is>
      </c>
    </row>
    <row r="30760">
      <c r="A30760" s="1" t="n">
        <v>30759</v>
      </c>
      <c r="B30760">
        <f>TEXT(30759, "[$-0E0000]yyyy-mm-dd")</f>
        <v/>
      </c>
      <c r="C30760" t="inlineStr">
        <is>
          <t>1984-02-17</t>
        </is>
      </c>
    </row>
    <row r="30761">
      <c r="A30761" s="1" t="n">
        <v>30760</v>
      </c>
      <c r="B30761">
        <f>TEXT(30760, "[$-0E0000]yyyy-mm-dd")</f>
        <v/>
      </c>
      <c r="C30761" t="inlineStr">
        <is>
          <t>1984-02-18</t>
        </is>
      </c>
    </row>
    <row r="30762">
      <c r="A30762" s="1" t="n">
        <v>30761</v>
      </c>
      <c r="B30762">
        <f>TEXT(30761, "[$-0E0000]yyyy-mm-dd")</f>
        <v/>
      </c>
      <c r="C30762" t="inlineStr">
        <is>
          <t>1984-02-19</t>
        </is>
      </c>
    </row>
    <row r="30763">
      <c r="A30763" s="1" t="n">
        <v>30762</v>
      </c>
      <c r="B30763">
        <f>TEXT(30762, "[$-0E0000]yyyy-mm-dd")</f>
        <v/>
      </c>
      <c r="C30763" t="inlineStr">
        <is>
          <t>1984-02-20</t>
        </is>
      </c>
    </row>
    <row r="30764">
      <c r="A30764" s="1" t="n">
        <v>30763</v>
      </c>
      <c r="B30764">
        <f>TEXT(30763, "[$-0E0000]yyyy-mm-dd")</f>
        <v/>
      </c>
      <c r="C30764" t="inlineStr">
        <is>
          <t>1984-02-21</t>
        </is>
      </c>
    </row>
    <row r="30765">
      <c r="A30765" s="1" t="n">
        <v>30764</v>
      </c>
      <c r="B30765">
        <f>TEXT(30764, "[$-0E0000]yyyy-mm-dd")</f>
        <v/>
      </c>
      <c r="C30765" t="inlineStr">
        <is>
          <t>1984-02-22</t>
        </is>
      </c>
    </row>
    <row r="30766">
      <c r="A30766" s="1" t="n">
        <v>30765</v>
      </c>
      <c r="B30766">
        <f>TEXT(30765, "[$-0E0000]yyyy-mm-dd")</f>
        <v/>
      </c>
      <c r="C30766" t="inlineStr">
        <is>
          <t>1984-02-23</t>
        </is>
      </c>
    </row>
    <row r="30767">
      <c r="A30767" s="1" t="n">
        <v>30766</v>
      </c>
      <c r="B30767">
        <f>TEXT(30766, "[$-0E0000]yyyy-mm-dd")</f>
        <v/>
      </c>
      <c r="C30767" t="inlineStr">
        <is>
          <t>1984-02-24</t>
        </is>
      </c>
    </row>
    <row r="30768">
      <c r="A30768" s="1" t="n">
        <v>30767</v>
      </c>
      <c r="B30768">
        <f>TEXT(30767, "[$-0E0000]yyyy-mm-dd")</f>
        <v/>
      </c>
      <c r="C30768" t="inlineStr">
        <is>
          <t>1984-02-25</t>
        </is>
      </c>
    </row>
    <row r="30769">
      <c r="A30769" s="1" t="n">
        <v>30768</v>
      </c>
      <c r="B30769">
        <f>TEXT(30768, "[$-0E0000]yyyy-mm-dd")</f>
        <v/>
      </c>
      <c r="C30769" t="inlineStr">
        <is>
          <t>1984-02-26</t>
        </is>
      </c>
    </row>
    <row r="30770">
      <c r="A30770" s="1" t="n">
        <v>30769</v>
      </c>
      <c r="B30770">
        <f>TEXT(30769, "[$-0E0000]yyyy-mm-dd")</f>
        <v/>
      </c>
      <c r="C30770" t="inlineStr">
        <is>
          <t>1984-02-27</t>
        </is>
      </c>
    </row>
    <row r="30771">
      <c r="A30771" s="1" t="n">
        <v>30770</v>
      </c>
      <c r="B30771">
        <f>TEXT(30770, "[$-0E0000]yyyy-mm-dd")</f>
        <v/>
      </c>
      <c r="C30771" t="inlineStr">
        <is>
          <t>1984-02-28</t>
        </is>
      </c>
    </row>
    <row r="30772">
      <c r="A30772" s="1" t="n">
        <v>30771</v>
      </c>
      <c r="B30772">
        <f>TEXT(30771, "[$-0E0000]yyyy-mm-dd")</f>
        <v/>
      </c>
      <c r="C30772" t="inlineStr">
        <is>
          <t>1984-02-29</t>
        </is>
      </c>
    </row>
    <row r="30773">
      <c r="A30773" s="1" t="n">
        <v>30772</v>
      </c>
      <c r="B30773">
        <f>TEXT(30772, "[$-0E0000]yyyy-mm-dd")</f>
        <v/>
      </c>
      <c r="C30773" t="inlineStr">
        <is>
          <t>1984-03-01</t>
        </is>
      </c>
    </row>
    <row r="30774">
      <c r="A30774" s="1" t="n">
        <v>30773</v>
      </c>
      <c r="B30774">
        <f>TEXT(30773, "[$-0E0000]yyyy-mm-dd")</f>
        <v/>
      </c>
      <c r="C30774" t="inlineStr">
        <is>
          <t>1984-03-02</t>
        </is>
      </c>
    </row>
    <row r="30775">
      <c r="A30775" s="1" t="n">
        <v>30774</v>
      </c>
      <c r="B30775">
        <f>TEXT(30774, "[$-0E0000]yyyy-mm-dd")</f>
        <v/>
      </c>
      <c r="C30775" t="inlineStr">
        <is>
          <t>1984-03-03</t>
        </is>
      </c>
    </row>
    <row r="30776">
      <c r="A30776" s="1" t="n">
        <v>30775</v>
      </c>
      <c r="B30776">
        <f>TEXT(30775, "[$-0E0000]yyyy-mm-dd")</f>
        <v/>
      </c>
      <c r="C30776" t="inlineStr">
        <is>
          <t>1984-03-04</t>
        </is>
      </c>
    </row>
    <row r="30777">
      <c r="A30777" s="1" t="n">
        <v>30776</v>
      </c>
      <c r="B30777">
        <f>TEXT(30776, "[$-0E0000]yyyy-mm-dd")</f>
        <v/>
      </c>
      <c r="C30777" t="inlineStr">
        <is>
          <t>1984-03-05</t>
        </is>
      </c>
    </row>
    <row r="30778">
      <c r="A30778" s="1" t="n">
        <v>30777</v>
      </c>
      <c r="B30778">
        <f>TEXT(30777, "[$-0E0000]yyyy-mm-dd")</f>
        <v/>
      </c>
      <c r="C30778" t="inlineStr">
        <is>
          <t>1984-03-06</t>
        </is>
      </c>
    </row>
    <row r="30779">
      <c r="A30779" s="1" t="n">
        <v>30778</v>
      </c>
      <c r="B30779">
        <f>TEXT(30778, "[$-0E0000]yyyy-mm-dd")</f>
        <v/>
      </c>
      <c r="C30779" t="inlineStr">
        <is>
          <t>1984-03-07</t>
        </is>
      </c>
    </row>
    <row r="30780">
      <c r="A30780" s="1" t="n">
        <v>30779</v>
      </c>
      <c r="B30780">
        <f>TEXT(30779, "[$-0E0000]yyyy-mm-dd")</f>
        <v/>
      </c>
      <c r="C30780" t="inlineStr">
        <is>
          <t>1984-03-08</t>
        </is>
      </c>
    </row>
    <row r="30781">
      <c r="A30781" s="1" t="n">
        <v>30780</v>
      </c>
      <c r="B30781">
        <f>TEXT(30780, "[$-0E0000]yyyy-mm-dd")</f>
        <v/>
      </c>
      <c r="C30781" t="inlineStr">
        <is>
          <t>1984-03-09</t>
        </is>
      </c>
    </row>
    <row r="30782">
      <c r="A30782" s="1" t="n">
        <v>30781</v>
      </c>
      <c r="B30782">
        <f>TEXT(30781, "[$-0E0000]yyyy-mm-dd")</f>
        <v/>
      </c>
      <c r="C30782" t="inlineStr">
        <is>
          <t>1984-03-10</t>
        </is>
      </c>
    </row>
    <row r="30783">
      <c r="A30783" s="1" t="n">
        <v>30782</v>
      </c>
      <c r="B30783">
        <f>TEXT(30782, "[$-0E0000]yyyy-mm-dd")</f>
        <v/>
      </c>
      <c r="C30783" t="inlineStr">
        <is>
          <t>1984-03-11</t>
        </is>
      </c>
    </row>
    <row r="30784">
      <c r="A30784" s="1" t="n">
        <v>30783</v>
      </c>
      <c r="B30784">
        <f>TEXT(30783, "[$-0E0000]yyyy-mm-dd")</f>
        <v/>
      </c>
      <c r="C30784" t="inlineStr">
        <is>
          <t>1984-03-12</t>
        </is>
      </c>
    </row>
    <row r="30785">
      <c r="A30785" s="1" t="n">
        <v>30784</v>
      </c>
      <c r="B30785">
        <f>TEXT(30784, "[$-0E0000]yyyy-mm-dd")</f>
        <v/>
      </c>
      <c r="C30785" t="inlineStr">
        <is>
          <t>1984-03-13</t>
        </is>
      </c>
    </row>
    <row r="30786">
      <c r="A30786" s="1" t="n">
        <v>30785</v>
      </c>
      <c r="B30786">
        <f>TEXT(30785, "[$-0E0000]yyyy-mm-dd")</f>
        <v/>
      </c>
      <c r="C30786" t="inlineStr">
        <is>
          <t>1984-03-14</t>
        </is>
      </c>
    </row>
    <row r="30787">
      <c r="A30787" s="1" t="n">
        <v>30786</v>
      </c>
      <c r="B30787">
        <f>TEXT(30786, "[$-0E0000]yyyy-mm-dd")</f>
        <v/>
      </c>
      <c r="C30787" t="inlineStr">
        <is>
          <t>1984-03-15</t>
        </is>
      </c>
    </row>
    <row r="30788">
      <c r="A30788" s="1" t="n">
        <v>30787</v>
      </c>
      <c r="B30788">
        <f>TEXT(30787, "[$-0E0000]yyyy-mm-dd")</f>
        <v/>
      </c>
      <c r="C30788" t="inlineStr">
        <is>
          <t>1984-03-16</t>
        </is>
      </c>
    </row>
    <row r="30789">
      <c r="A30789" s="1" t="n">
        <v>30788</v>
      </c>
      <c r="B30789">
        <f>TEXT(30788, "[$-0E0000]yyyy-mm-dd")</f>
        <v/>
      </c>
      <c r="C30789" t="inlineStr">
        <is>
          <t>1984-03-17</t>
        </is>
      </c>
    </row>
    <row r="30790">
      <c r="A30790" s="1" t="n">
        <v>30789</v>
      </c>
      <c r="B30790">
        <f>TEXT(30789, "[$-0E0000]yyyy-mm-dd")</f>
        <v/>
      </c>
      <c r="C30790" t="inlineStr">
        <is>
          <t>1984-03-18</t>
        </is>
      </c>
    </row>
    <row r="30791">
      <c r="A30791" s="1" t="n">
        <v>30790</v>
      </c>
      <c r="B30791">
        <f>TEXT(30790, "[$-0E0000]yyyy-mm-dd")</f>
        <v/>
      </c>
      <c r="C30791" t="inlineStr">
        <is>
          <t>1984-03-19</t>
        </is>
      </c>
    </row>
    <row r="30792">
      <c r="A30792" s="1" t="n">
        <v>30791</v>
      </c>
      <c r="B30792">
        <f>TEXT(30791, "[$-0E0000]yyyy-mm-dd")</f>
        <v/>
      </c>
      <c r="C30792" t="inlineStr">
        <is>
          <t>1984-03-20</t>
        </is>
      </c>
    </row>
    <row r="30793">
      <c r="A30793" s="1" t="n">
        <v>30792</v>
      </c>
      <c r="B30793">
        <f>TEXT(30792, "[$-0E0000]yyyy-mm-dd")</f>
        <v/>
      </c>
      <c r="C30793" t="inlineStr">
        <is>
          <t>1984-03-21</t>
        </is>
      </c>
    </row>
    <row r="30794">
      <c r="A30794" s="1" t="n">
        <v>30793</v>
      </c>
      <c r="B30794">
        <f>TEXT(30793, "[$-0E0000]yyyy-mm-dd")</f>
        <v/>
      </c>
      <c r="C30794" t="inlineStr">
        <is>
          <t>1984-03-22</t>
        </is>
      </c>
    </row>
    <row r="30795">
      <c r="A30795" s="1" t="n">
        <v>30794</v>
      </c>
      <c r="B30795">
        <f>TEXT(30794, "[$-0E0000]yyyy-mm-dd")</f>
        <v/>
      </c>
      <c r="C30795" t="inlineStr">
        <is>
          <t>1984-03-23</t>
        </is>
      </c>
    </row>
    <row r="30796">
      <c r="A30796" s="1" t="n">
        <v>30795</v>
      </c>
      <c r="B30796">
        <f>TEXT(30795, "[$-0E0000]yyyy-mm-dd")</f>
        <v/>
      </c>
      <c r="C30796" t="inlineStr">
        <is>
          <t>1984-03-24</t>
        </is>
      </c>
    </row>
    <row r="30797">
      <c r="A30797" s="1" t="n">
        <v>30796</v>
      </c>
      <c r="B30797">
        <f>TEXT(30796, "[$-0E0000]yyyy-mm-dd")</f>
        <v/>
      </c>
      <c r="C30797" t="inlineStr">
        <is>
          <t>1984-03-25</t>
        </is>
      </c>
    </row>
    <row r="30798">
      <c r="A30798" s="1" t="n">
        <v>30797</v>
      </c>
      <c r="B30798">
        <f>TEXT(30797, "[$-0E0000]yyyy-mm-dd")</f>
        <v/>
      </c>
      <c r="C30798" t="inlineStr">
        <is>
          <t>1984-03-26</t>
        </is>
      </c>
    </row>
    <row r="30799">
      <c r="A30799" s="1" t="n">
        <v>30798</v>
      </c>
      <c r="B30799">
        <f>TEXT(30798, "[$-0E0000]yyyy-mm-dd")</f>
        <v/>
      </c>
      <c r="C30799" t="inlineStr">
        <is>
          <t>1984-03-27</t>
        </is>
      </c>
    </row>
    <row r="30800">
      <c r="A30800" s="1" t="n">
        <v>30799</v>
      </c>
      <c r="B30800">
        <f>TEXT(30799, "[$-0E0000]yyyy-mm-dd")</f>
        <v/>
      </c>
      <c r="C30800" t="inlineStr">
        <is>
          <t>1984-03-28</t>
        </is>
      </c>
    </row>
    <row r="30801">
      <c r="A30801" s="1" t="n">
        <v>30800</v>
      </c>
      <c r="B30801">
        <f>TEXT(30800, "[$-0E0000]yyyy-mm-dd")</f>
        <v/>
      </c>
      <c r="C30801" t="inlineStr">
        <is>
          <t>1984-03-29</t>
        </is>
      </c>
    </row>
    <row r="30802">
      <c r="A30802" s="1" t="n">
        <v>30801</v>
      </c>
      <c r="B30802">
        <f>TEXT(30801, "[$-0E0000]yyyy-mm-dd")</f>
        <v/>
      </c>
      <c r="C30802" t="inlineStr">
        <is>
          <t>1984-03-30</t>
        </is>
      </c>
    </row>
    <row r="30803">
      <c r="A30803" s="1" t="n">
        <v>30802</v>
      </c>
      <c r="B30803">
        <f>TEXT(30802, "[$-0E0000]yyyy-mm-dd")</f>
        <v/>
      </c>
      <c r="C30803" t="inlineStr">
        <is>
          <t>1984-04-01</t>
        </is>
      </c>
    </row>
    <row r="30804">
      <c r="A30804" s="1" t="n">
        <v>30803</v>
      </c>
      <c r="B30804">
        <f>TEXT(30803, "[$-0E0000]yyyy-mm-dd")</f>
        <v/>
      </c>
      <c r="C30804" t="inlineStr">
        <is>
          <t>1984-04-02</t>
        </is>
      </c>
    </row>
    <row r="30805">
      <c r="A30805" s="1" t="n">
        <v>30804</v>
      </c>
      <c r="B30805">
        <f>TEXT(30804, "[$-0E0000]yyyy-mm-dd")</f>
        <v/>
      </c>
      <c r="C30805" t="inlineStr">
        <is>
          <t>1984-04-03</t>
        </is>
      </c>
    </row>
    <row r="30806">
      <c r="A30806" s="1" t="n">
        <v>30805</v>
      </c>
      <c r="B30806">
        <f>TEXT(30805, "[$-0E0000]yyyy-mm-dd")</f>
        <v/>
      </c>
      <c r="C30806" t="inlineStr">
        <is>
          <t>1984-04-04</t>
        </is>
      </c>
    </row>
    <row r="30807">
      <c r="A30807" s="1" t="n">
        <v>30806</v>
      </c>
      <c r="B30807">
        <f>TEXT(30806, "[$-0E0000]yyyy-mm-dd")</f>
        <v/>
      </c>
      <c r="C30807" t="inlineStr">
        <is>
          <t>1984-04-05</t>
        </is>
      </c>
    </row>
    <row r="30808">
      <c r="A30808" s="1" t="n">
        <v>30807</v>
      </c>
      <c r="B30808">
        <f>TEXT(30807, "[$-0E0000]yyyy-mm-dd")</f>
        <v/>
      </c>
      <c r="C30808" t="inlineStr">
        <is>
          <t>1984-04-06</t>
        </is>
      </c>
    </row>
    <row r="30809">
      <c r="A30809" s="1" t="n">
        <v>30808</v>
      </c>
      <c r="B30809">
        <f>TEXT(30808, "[$-0E0000]yyyy-mm-dd")</f>
        <v/>
      </c>
      <c r="C30809" t="inlineStr">
        <is>
          <t>1984-04-07</t>
        </is>
      </c>
    </row>
    <row r="30810">
      <c r="A30810" s="1" t="n">
        <v>30809</v>
      </c>
      <c r="B30810">
        <f>TEXT(30809, "[$-0E0000]yyyy-mm-dd")</f>
        <v/>
      </c>
      <c r="C30810" t="inlineStr">
        <is>
          <t>1984-04-08</t>
        </is>
      </c>
    </row>
    <row r="30811">
      <c r="A30811" s="1" t="n">
        <v>30810</v>
      </c>
      <c r="B30811">
        <f>TEXT(30810, "[$-0E0000]yyyy-mm-dd")</f>
        <v/>
      </c>
      <c r="C30811" t="inlineStr">
        <is>
          <t>1984-04-09</t>
        </is>
      </c>
    </row>
    <row r="30812">
      <c r="A30812" s="1" t="n">
        <v>30811</v>
      </c>
      <c r="B30812">
        <f>TEXT(30811, "[$-0E0000]yyyy-mm-dd")</f>
        <v/>
      </c>
      <c r="C30812" t="inlineStr">
        <is>
          <t>1984-04-10</t>
        </is>
      </c>
    </row>
    <row r="30813">
      <c r="A30813" s="1" t="n">
        <v>30812</v>
      </c>
      <c r="B30813">
        <f>TEXT(30812, "[$-0E0000]yyyy-mm-dd")</f>
        <v/>
      </c>
      <c r="C30813" t="inlineStr">
        <is>
          <t>1984-04-11</t>
        </is>
      </c>
    </row>
    <row r="30814">
      <c r="A30814" s="1" t="n">
        <v>30813</v>
      </c>
      <c r="B30814">
        <f>TEXT(30813, "[$-0E0000]yyyy-mm-dd")</f>
        <v/>
      </c>
      <c r="C30814" t="inlineStr">
        <is>
          <t>1984-04-12</t>
        </is>
      </c>
    </row>
    <row r="30815">
      <c r="A30815" s="1" t="n">
        <v>30814</v>
      </c>
      <c r="B30815">
        <f>TEXT(30814, "[$-0E0000]yyyy-mm-dd")</f>
        <v/>
      </c>
      <c r="C30815" t="inlineStr">
        <is>
          <t>1984-04-13</t>
        </is>
      </c>
    </row>
    <row r="30816">
      <c r="A30816" s="1" t="n">
        <v>30815</v>
      </c>
      <c r="B30816">
        <f>TEXT(30815, "[$-0E0000]yyyy-mm-dd")</f>
        <v/>
      </c>
      <c r="C30816" t="inlineStr">
        <is>
          <t>1984-04-14</t>
        </is>
      </c>
    </row>
    <row r="30817">
      <c r="A30817" s="1" t="n">
        <v>30816</v>
      </c>
      <c r="B30817">
        <f>TEXT(30816, "[$-0E0000]yyyy-mm-dd")</f>
        <v/>
      </c>
      <c r="C30817" t="inlineStr">
        <is>
          <t>1984-04-15</t>
        </is>
      </c>
    </row>
    <row r="30818">
      <c r="A30818" s="1" t="n">
        <v>30817</v>
      </c>
      <c r="B30818">
        <f>TEXT(30817, "[$-0E0000]yyyy-mm-dd")</f>
        <v/>
      </c>
      <c r="C30818" t="inlineStr">
        <is>
          <t>1984-04-16</t>
        </is>
      </c>
    </row>
    <row r="30819">
      <c r="A30819" s="1" t="n">
        <v>30818</v>
      </c>
      <c r="B30819">
        <f>TEXT(30818, "[$-0E0000]yyyy-mm-dd")</f>
        <v/>
      </c>
      <c r="C30819" t="inlineStr">
        <is>
          <t>1984-04-17</t>
        </is>
      </c>
    </row>
    <row r="30820">
      <c r="A30820" s="1" t="n">
        <v>30819</v>
      </c>
      <c r="B30820">
        <f>TEXT(30819, "[$-0E0000]yyyy-mm-dd")</f>
        <v/>
      </c>
      <c r="C30820" t="inlineStr">
        <is>
          <t>1984-04-18</t>
        </is>
      </c>
    </row>
    <row r="30821">
      <c r="A30821" s="1" t="n">
        <v>30820</v>
      </c>
      <c r="B30821">
        <f>TEXT(30820, "[$-0E0000]yyyy-mm-dd")</f>
        <v/>
      </c>
      <c r="C30821" t="inlineStr">
        <is>
          <t>1984-04-19</t>
        </is>
      </c>
    </row>
    <row r="30822">
      <c r="A30822" s="1" t="n">
        <v>30821</v>
      </c>
      <c r="B30822">
        <f>TEXT(30821, "[$-0E0000]yyyy-mm-dd")</f>
        <v/>
      </c>
      <c r="C30822" t="inlineStr">
        <is>
          <t>1984-04-20</t>
        </is>
      </c>
    </row>
    <row r="30823">
      <c r="A30823" s="1" t="n">
        <v>30822</v>
      </c>
      <c r="B30823">
        <f>TEXT(30822, "[$-0E0000]yyyy-mm-dd")</f>
        <v/>
      </c>
      <c r="C30823" t="inlineStr">
        <is>
          <t>1984-04-21</t>
        </is>
      </c>
    </row>
    <row r="30824">
      <c r="A30824" s="1" t="n">
        <v>30823</v>
      </c>
      <c r="B30824">
        <f>TEXT(30823, "[$-0E0000]yyyy-mm-dd")</f>
        <v/>
      </c>
      <c r="C30824" t="inlineStr">
        <is>
          <t>1984-04-22</t>
        </is>
      </c>
    </row>
    <row r="30825">
      <c r="A30825" s="1" t="n">
        <v>30824</v>
      </c>
      <c r="B30825">
        <f>TEXT(30824, "[$-0E0000]yyyy-mm-dd")</f>
        <v/>
      </c>
      <c r="C30825" t="inlineStr">
        <is>
          <t>1984-04-23</t>
        </is>
      </c>
    </row>
    <row r="30826">
      <c r="A30826" s="1" t="n">
        <v>30825</v>
      </c>
      <c r="B30826">
        <f>TEXT(30825, "[$-0E0000]yyyy-mm-dd")</f>
        <v/>
      </c>
      <c r="C30826" t="inlineStr">
        <is>
          <t>1984-04-24</t>
        </is>
      </c>
    </row>
    <row r="30827">
      <c r="A30827" s="1" t="n">
        <v>30826</v>
      </c>
      <c r="B30827">
        <f>TEXT(30826, "[$-0E0000]yyyy-mm-dd")</f>
        <v/>
      </c>
      <c r="C30827" t="inlineStr">
        <is>
          <t>1984-04-25</t>
        </is>
      </c>
    </row>
    <row r="30828">
      <c r="A30828" s="1" t="n">
        <v>30827</v>
      </c>
      <c r="B30828">
        <f>TEXT(30827, "[$-0E0000]yyyy-mm-dd")</f>
        <v/>
      </c>
      <c r="C30828" t="inlineStr">
        <is>
          <t>1984-04-26</t>
        </is>
      </c>
    </row>
    <row r="30829">
      <c r="A30829" s="1" t="n">
        <v>30828</v>
      </c>
      <c r="B30829">
        <f>TEXT(30828, "[$-0E0000]yyyy-mm-dd")</f>
        <v/>
      </c>
      <c r="C30829" t="inlineStr">
        <is>
          <t>1984-04-27</t>
        </is>
      </c>
    </row>
    <row r="30830">
      <c r="A30830" s="1" t="n">
        <v>30829</v>
      </c>
      <c r="B30830">
        <f>TEXT(30829, "[$-0E0000]yyyy-mm-dd")</f>
        <v/>
      </c>
      <c r="C30830" t="inlineStr">
        <is>
          <t>1984-04-28</t>
        </is>
      </c>
    </row>
    <row r="30831">
      <c r="A30831" s="1" t="n">
        <v>30830</v>
      </c>
      <c r="B30831">
        <f>TEXT(30830, "[$-0E0000]yyyy-mm-dd")</f>
        <v/>
      </c>
      <c r="C30831" t="inlineStr">
        <is>
          <t>1984-04-29</t>
        </is>
      </c>
    </row>
    <row r="30832">
      <c r="A30832" s="1" t="n">
        <v>30831</v>
      </c>
      <c r="B30832">
        <f>TEXT(30831, "[$-0E0000]yyyy-mm-dd")</f>
        <v/>
      </c>
      <c r="C30832" t="inlineStr">
        <is>
          <t>1984-04-30</t>
        </is>
      </c>
    </row>
    <row r="30833">
      <c r="A30833" s="1" t="n">
        <v>30832</v>
      </c>
      <c r="B30833">
        <f>TEXT(30832, "[$-0E0000]yyyy-mm-dd")</f>
        <v/>
      </c>
      <c r="C30833" t="inlineStr">
        <is>
          <t>1984-05-01</t>
        </is>
      </c>
    </row>
    <row r="30834">
      <c r="A30834" s="1" t="n">
        <v>30833</v>
      </c>
      <c r="B30834">
        <f>TEXT(30833, "[$-0E0000]yyyy-mm-dd")</f>
        <v/>
      </c>
      <c r="C30834" t="inlineStr">
        <is>
          <t>1984-05-02</t>
        </is>
      </c>
    </row>
    <row r="30835">
      <c r="A30835" s="1" t="n">
        <v>30834</v>
      </c>
      <c r="B30835">
        <f>TEXT(30834, "[$-0E0000]yyyy-mm-dd")</f>
        <v/>
      </c>
      <c r="C30835" t="inlineStr">
        <is>
          <t>1984-05-03</t>
        </is>
      </c>
    </row>
    <row r="30836">
      <c r="A30836" s="1" t="n">
        <v>30835</v>
      </c>
      <c r="B30836">
        <f>TEXT(30835, "[$-0E0000]yyyy-mm-dd")</f>
        <v/>
      </c>
      <c r="C30836" t="inlineStr">
        <is>
          <t>1984-05-04</t>
        </is>
      </c>
    </row>
    <row r="30837">
      <c r="A30837" s="1" t="n">
        <v>30836</v>
      </c>
      <c r="B30837">
        <f>TEXT(30836, "[$-0E0000]yyyy-mm-dd")</f>
        <v/>
      </c>
      <c r="C30837" t="inlineStr">
        <is>
          <t>1984-05-05</t>
        </is>
      </c>
    </row>
    <row r="30838">
      <c r="A30838" s="1" t="n">
        <v>30837</v>
      </c>
      <c r="B30838">
        <f>TEXT(30837, "[$-0E0000]yyyy-mm-dd")</f>
        <v/>
      </c>
      <c r="C30838" t="inlineStr">
        <is>
          <t>1984-05-06</t>
        </is>
      </c>
    </row>
    <row r="30839">
      <c r="A30839" s="1" t="n">
        <v>30838</v>
      </c>
      <c r="B30839">
        <f>TEXT(30838, "[$-0E0000]yyyy-mm-dd")</f>
        <v/>
      </c>
      <c r="C30839" t="inlineStr">
        <is>
          <t>1984-05-07</t>
        </is>
      </c>
    </row>
    <row r="30840">
      <c r="A30840" s="1" t="n">
        <v>30839</v>
      </c>
      <c r="B30840">
        <f>TEXT(30839, "[$-0E0000]yyyy-mm-dd")</f>
        <v/>
      </c>
      <c r="C30840" t="inlineStr">
        <is>
          <t>1984-05-08</t>
        </is>
      </c>
    </row>
    <row r="30841">
      <c r="A30841" s="1" t="n">
        <v>30840</v>
      </c>
      <c r="B30841">
        <f>TEXT(30840, "[$-0E0000]yyyy-mm-dd")</f>
        <v/>
      </c>
      <c r="C30841" t="inlineStr">
        <is>
          <t>1984-05-09</t>
        </is>
      </c>
    </row>
    <row r="30842">
      <c r="A30842" s="1" t="n">
        <v>30841</v>
      </c>
      <c r="B30842">
        <f>TEXT(30841, "[$-0E0000]yyyy-mm-dd")</f>
        <v/>
      </c>
      <c r="C30842" t="inlineStr">
        <is>
          <t>1984-05-10</t>
        </is>
      </c>
    </row>
    <row r="30843">
      <c r="A30843" s="1" t="n">
        <v>30842</v>
      </c>
      <c r="B30843">
        <f>TEXT(30842, "[$-0E0000]yyyy-mm-dd")</f>
        <v/>
      </c>
      <c r="C30843" t="inlineStr">
        <is>
          <t>1984-05-11</t>
        </is>
      </c>
    </row>
    <row r="30844">
      <c r="A30844" s="1" t="n">
        <v>30843</v>
      </c>
      <c r="B30844">
        <f>TEXT(30843, "[$-0E0000]yyyy-mm-dd")</f>
        <v/>
      </c>
      <c r="C30844" t="inlineStr">
        <is>
          <t>1984-05-12</t>
        </is>
      </c>
    </row>
    <row r="30845">
      <c r="A30845" s="1" t="n">
        <v>30844</v>
      </c>
      <c r="B30845">
        <f>TEXT(30844, "[$-0E0000]yyyy-mm-dd")</f>
        <v/>
      </c>
      <c r="C30845" t="inlineStr">
        <is>
          <t>1984-05-13</t>
        </is>
      </c>
    </row>
    <row r="30846">
      <c r="A30846" s="1" t="n">
        <v>30845</v>
      </c>
      <c r="B30846">
        <f>TEXT(30845, "[$-0E0000]yyyy-mm-dd")</f>
        <v/>
      </c>
      <c r="C30846" t="inlineStr">
        <is>
          <t>1984-05-14</t>
        </is>
      </c>
    </row>
    <row r="30847">
      <c r="A30847" s="1" t="n">
        <v>30846</v>
      </c>
      <c r="B30847">
        <f>TEXT(30846, "[$-0E0000]yyyy-mm-dd")</f>
        <v/>
      </c>
      <c r="C30847" t="inlineStr">
        <is>
          <t>1984-05-15</t>
        </is>
      </c>
    </row>
    <row r="30848">
      <c r="A30848" s="1" t="n">
        <v>30847</v>
      </c>
      <c r="B30848">
        <f>TEXT(30847, "[$-0E0000]yyyy-mm-dd")</f>
        <v/>
      </c>
      <c r="C30848" t="inlineStr">
        <is>
          <t>1984-05-16</t>
        </is>
      </c>
    </row>
    <row r="30849">
      <c r="A30849" s="1" t="n">
        <v>30848</v>
      </c>
      <c r="B30849">
        <f>TEXT(30848, "[$-0E0000]yyyy-mm-dd")</f>
        <v/>
      </c>
      <c r="C30849" t="inlineStr">
        <is>
          <t>1984-05-17</t>
        </is>
      </c>
    </row>
    <row r="30850">
      <c r="A30850" s="1" t="n">
        <v>30849</v>
      </c>
      <c r="B30850">
        <f>TEXT(30849, "[$-0E0000]yyyy-mm-dd")</f>
        <v/>
      </c>
      <c r="C30850" t="inlineStr">
        <is>
          <t>1984-05-18</t>
        </is>
      </c>
    </row>
    <row r="30851">
      <c r="A30851" s="1" t="n">
        <v>30850</v>
      </c>
      <c r="B30851">
        <f>TEXT(30850, "[$-0E0000]yyyy-mm-dd")</f>
        <v/>
      </c>
      <c r="C30851" t="inlineStr">
        <is>
          <t>1984-05-19</t>
        </is>
      </c>
    </row>
    <row r="30852">
      <c r="A30852" s="1" t="n">
        <v>30851</v>
      </c>
      <c r="B30852">
        <f>TEXT(30851, "[$-0E0000]yyyy-mm-dd")</f>
        <v/>
      </c>
      <c r="C30852" t="inlineStr">
        <is>
          <t>1984-05-20</t>
        </is>
      </c>
    </row>
    <row r="30853">
      <c r="A30853" s="1" t="n">
        <v>30852</v>
      </c>
      <c r="B30853">
        <f>TEXT(30852, "[$-0E0000]yyyy-mm-dd")</f>
        <v/>
      </c>
      <c r="C30853" t="inlineStr">
        <is>
          <t>1984-05-21</t>
        </is>
      </c>
    </row>
    <row r="30854">
      <c r="A30854" s="1" t="n">
        <v>30853</v>
      </c>
      <c r="B30854">
        <f>TEXT(30853, "[$-0E0000]yyyy-mm-dd")</f>
        <v/>
      </c>
      <c r="C30854" t="inlineStr">
        <is>
          <t>1984-05-22</t>
        </is>
      </c>
    </row>
    <row r="30855">
      <c r="A30855" s="1" t="n">
        <v>30854</v>
      </c>
      <c r="B30855">
        <f>TEXT(30854, "[$-0E0000]yyyy-mm-dd")</f>
        <v/>
      </c>
      <c r="C30855" t="inlineStr">
        <is>
          <t>1984-05-23</t>
        </is>
      </c>
    </row>
    <row r="30856">
      <c r="A30856" s="1" t="n">
        <v>30855</v>
      </c>
      <c r="B30856">
        <f>TEXT(30855, "[$-0E0000]yyyy-mm-dd")</f>
        <v/>
      </c>
      <c r="C30856" t="inlineStr">
        <is>
          <t>1984-05-24</t>
        </is>
      </c>
    </row>
    <row r="30857">
      <c r="A30857" s="1" t="n">
        <v>30856</v>
      </c>
      <c r="B30857">
        <f>TEXT(30856, "[$-0E0000]yyyy-mm-dd")</f>
        <v/>
      </c>
      <c r="C30857" t="inlineStr">
        <is>
          <t>1984-05-25</t>
        </is>
      </c>
    </row>
    <row r="30858">
      <c r="A30858" s="1" t="n">
        <v>30857</v>
      </c>
      <c r="B30858">
        <f>TEXT(30857, "[$-0E0000]yyyy-mm-dd")</f>
        <v/>
      </c>
      <c r="C30858" t="inlineStr">
        <is>
          <t>1984-05-26</t>
        </is>
      </c>
    </row>
    <row r="30859">
      <c r="A30859" s="1" t="n">
        <v>30858</v>
      </c>
      <c r="B30859">
        <f>TEXT(30858, "[$-0E0000]yyyy-mm-dd")</f>
        <v/>
      </c>
      <c r="C30859" t="inlineStr">
        <is>
          <t>1984-05-27</t>
        </is>
      </c>
    </row>
    <row r="30860">
      <c r="A30860" s="1" t="n">
        <v>30859</v>
      </c>
      <c r="B30860">
        <f>TEXT(30859, "[$-0E0000]yyyy-mm-dd")</f>
        <v/>
      </c>
      <c r="C30860" t="inlineStr">
        <is>
          <t>1984-05-28</t>
        </is>
      </c>
    </row>
    <row r="30861">
      <c r="A30861" s="1" t="n">
        <v>30860</v>
      </c>
      <c r="B30861">
        <f>TEXT(30860, "[$-0E0000]yyyy-mm-dd")</f>
        <v/>
      </c>
      <c r="C30861" t="inlineStr">
        <is>
          <t>1984-05-29</t>
        </is>
      </c>
    </row>
    <row r="30862">
      <c r="A30862" s="1" t="n">
        <v>30861</v>
      </c>
      <c r="B30862">
        <f>TEXT(30861, "[$-0E0000]yyyy-mm-dd")</f>
        <v/>
      </c>
      <c r="C30862" t="inlineStr">
        <is>
          <t>1984-06-01</t>
        </is>
      </c>
    </row>
    <row r="30863">
      <c r="A30863" s="1" t="n">
        <v>30862</v>
      </c>
      <c r="B30863">
        <f>TEXT(30862, "[$-0E0000]yyyy-mm-dd")</f>
        <v/>
      </c>
      <c r="C30863" t="inlineStr">
        <is>
          <t>1984-06-02</t>
        </is>
      </c>
    </row>
    <row r="30864">
      <c r="A30864" s="1" t="n">
        <v>30863</v>
      </c>
      <c r="B30864">
        <f>TEXT(30863, "[$-0E0000]yyyy-mm-dd")</f>
        <v/>
      </c>
      <c r="C30864" t="inlineStr">
        <is>
          <t>1984-06-03</t>
        </is>
      </c>
    </row>
    <row r="30865">
      <c r="A30865" s="1" t="n">
        <v>30864</v>
      </c>
      <c r="B30865">
        <f>TEXT(30864, "[$-0E0000]yyyy-mm-dd")</f>
        <v/>
      </c>
      <c r="C30865" t="inlineStr">
        <is>
          <t>1984-06-04</t>
        </is>
      </c>
    </row>
    <row r="30866">
      <c r="A30866" s="1" t="n">
        <v>30865</v>
      </c>
      <c r="B30866">
        <f>TEXT(30865, "[$-0E0000]yyyy-mm-dd")</f>
        <v/>
      </c>
      <c r="C30866" t="inlineStr">
        <is>
          <t>1984-06-05</t>
        </is>
      </c>
    </row>
    <row r="30867">
      <c r="A30867" s="1" t="n">
        <v>30866</v>
      </c>
      <c r="B30867">
        <f>TEXT(30866, "[$-0E0000]yyyy-mm-dd")</f>
        <v/>
      </c>
      <c r="C30867" t="inlineStr">
        <is>
          <t>1984-06-06</t>
        </is>
      </c>
    </row>
    <row r="30868">
      <c r="A30868" s="1" t="n">
        <v>30867</v>
      </c>
      <c r="B30868">
        <f>TEXT(30867, "[$-0E0000]yyyy-mm-dd")</f>
        <v/>
      </c>
      <c r="C30868" t="inlineStr">
        <is>
          <t>1984-06-07</t>
        </is>
      </c>
    </row>
    <row r="30869">
      <c r="A30869" s="1" t="n">
        <v>30868</v>
      </c>
      <c r="B30869">
        <f>TEXT(30868, "[$-0E0000]yyyy-mm-dd")</f>
        <v/>
      </c>
      <c r="C30869" t="inlineStr">
        <is>
          <t>1984-06-08</t>
        </is>
      </c>
    </row>
    <row r="30870">
      <c r="A30870" s="1" t="n">
        <v>30869</v>
      </c>
      <c r="B30870">
        <f>TEXT(30869, "[$-0E0000]yyyy-mm-dd")</f>
        <v/>
      </c>
      <c r="C30870" t="inlineStr">
        <is>
          <t>1984-06-09</t>
        </is>
      </c>
    </row>
    <row r="30871">
      <c r="A30871" s="1" t="n">
        <v>30870</v>
      </c>
      <c r="B30871">
        <f>TEXT(30870, "[$-0E0000]yyyy-mm-dd")</f>
        <v/>
      </c>
      <c r="C30871" t="inlineStr">
        <is>
          <t>1984-06-10</t>
        </is>
      </c>
    </row>
    <row r="30872">
      <c r="A30872" s="1" t="n">
        <v>30871</v>
      </c>
      <c r="B30872">
        <f>TEXT(30871, "[$-0E0000]yyyy-mm-dd")</f>
        <v/>
      </c>
      <c r="C30872" t="inlineStr">
        <is>
          <t>1984-06-11</t>
        </is>
      </c>
    </row>
    <row r="30873">
      <c r="A30873" s="1" t="n">
        <v>30872</v>
      </c>
      <c r="B30873">
        <f>TEXT(30872, "[$-0E0000]yyyy-mm-dd")</f>
        <v/>
      </c>
      <c r="C30873" t="inlineStr">
        <is>
          <t>1984-06-12</t>
        </is>
      </c>
    </row>
    <row r="30874">
      <c r="A30874" s="1" t="n">
        <v>30873</v>
      </c>
      <c r="B30874">
        <f>TEXT(30873, "[$-0E0000]yyyy-mm-dd")</f>
        <v/>
      </c>
      <c r="C30874" t="inlineStr">
        <is>
          <t>1984-06-13</t>
        </is>
      </c>
    </row>
    <row r="30875">
      <c r="A30875" s="1" t="n">
        <v>30874</v>
      </c>
      <c r="B30875">
        <f>TEXT(30874, "[$-0E0000]yyyy-mm-dd")</f>
        <v/>
      </c>
      <c r="C30875" t="inlineStr">
        <is>
          <t>1984-06-14</t>
        </is>
      </c>
    </row>
    <row r="30876">
      <c r="A30876" s="1" t="n">
        <v>30875</v>
      </c>
      <c r="B30876">
        <f>TEXT(30875, "[$-0E0000]yyyy-mm-dd")</f>
        <v/>
      </c>
      <c r="C30876" t="inlineStr">
        <is>
          <t>1984-06-15</t>
        </is>
      </c>
    </row>
    <row r="30877">
      <c r="A30877" s="1" t="n">
        <v>30876</v>
      </c>
      <c r="B30877">
        <f>TEXT(30876, "[$-0E0000]yyyy-mm-dd")</f>
        <v/>
      </c>
      <c r="C30877" t="inlineStr">
        <is>
          <t>1984-06-16</t>
        </is>
      </c>
    </row>
    <row r="30878">
      <c r="A30878" s="1" t="n">
        <v>30877</v>
      </c>
      <c r="B30878">
        <f>TEXT(30877, "[$-0E0000]yyyy-mm-dd")</f>
        <v/>
      </c>
      <c r="C30878" t="inlineStr">
        <is>
          <t>1984-06-17</t>
        </is>
      </c>
    </row>
    <row r="30879">
      <c r="A30879" s="1" t="n">
        <v>30878</v>
      </c>
      <c r="B30879">
        <f>TEXT(30878, "[$-0E0000]yyyy-mm-dd")</f>
        <v/>
      </c>
      <c r="C30879" t="inlineStr">
        <is>
          <t>1984-06-18</t>
        </is>
      </c>
    </row>
    <row r="30880">
      <c r="A30880" s="1" t="n">
        <v>30879</v>
      </c>
      <c r="B30880">
        <f>TEXT(30879, "[$-0E0000]yyyy-mm-dd")</f>
        <v/>
      </c>
      <c r="C30880" t="inlineStr">
        <is>
          <t>1984-06-19</t>
        </is>
      </c>
    </row>
    <row r="30881">
      <c r="A30881" s="1" t="n">
        <v>30880</v>
      </c>
      <c r="B30881">
        <f>TEXT(30880, "[$-0E0000]yyyy-mm-dd")</f>
        <v/>
      </c>
      <c r="C30881" t="inlineStr">
        <is>
          <t>1984-06-20</t>
        </is>
      </c>
    </row>
    <row r="30882">
      <c r="A30882" s="1" t="n">
        <v>30881</v>
      </c>
      <c r="B30882">
        <f>TEXT(30881, "[$-0E0000]yyyy-mm-dd")</f>
        <v/>
      </c>
      <c r="C30882" t="inlineStr">
        <is>
          <t>1984-06-21</t>
        </is>
      </c>
    </row>
    <row r="30883">
      <c r="A30883" s="1" t="n">
        <v>30882</v>
      </c>
      <c r="B30883">
        <f>TEXT(30882, "[$-0E0000]yyyy-mm-dd")</f>
        <v/>
      </c>
      <c r="C30883" t="inlineStr">
        <is>
          <t>1984-06-22</t>
        </is>
      </c>
    </row>
    <row r="30884">
      <c r="A30884" s="1" t="n">
        <v>30883</v>
      </c>
      <c r="B30884">
        <f>TEXT(30883, "[$-0E0000]yyyy-mm-dd")</f>
        <v/>
      </c>
      <c r="C30884" t="inlineStr">
        <is>
          <t>1984-06-23</t>
        </is>
      </c>
    </row>
    <row r="30885">
      <c r="A30885" s="1" t="n">
        <v>30884</v>
      </c>
      <c r="B30885">
        <f>TEXT(30884, "[$-0E0000]yyyy-mm-dd")</f>
        <v/>
      </c>
      <c r="C30885" t="inlineStr">
        <is>
          <t>1984-06-24</t>
        </is>
      </c>
    </row>
    <row r="30886">
      <c r="A30886" s="1" t="n">
        <v>30885</v>
      </c>
      <c r="B30886">
        <f>TEXT(30885, "[$-0E0000]yyyy-mm-dd")</f>
        <v/>
      </c>
      <c r="C30886" t="inlineStr">
        <is>
          <t>1984-06-25</t>
        </is>
      </c>
    </row>
    <row r="30887">
      <c r="A30887" s="1" t="n">
        <v>30886</v>
      </c>
      <c r="B30887">
        <f>TEXT(30886, "[$-0E0000]yyyy-mm-dd")</f>
        <v/>
      </c>
      <c r="C30887" t="inlineStr">
        <is>
          <t>1984-06-26</t>
        </is>
      </c>
    </row>
    <row r="30888">
      <c r="A30888" s="1" t="n">
        <v>30887</v>
      </c>
      <c r="B30888">
        <f>TEXT(30887, "[$-0E0000]yyyy-mm-dd")</f>
        <v/>
      </c>
      <c r="C30888" t="inlineStr">
        <is>
          <t>1984-06-27</t>
        </is>
      </c>
    </row>
    <row r="30889">
      <c r="A30889" s="1" t="n">
        <v>30888</v>
      </c>
      <c r="B30889">
        <f>TEXT(30888, "[$-0E0000]yyyy-mm-dd")</f>
        <v/>
      </c>
      <c r="C30889" t="inlineStr">
        <is>
          <t>1984-06-28</t>
        </is>
      </c>
    </row>
    <row r="30890">
      <c r="A30890" s="1" t="n">
        <v>30889</v>
      </c>
      <c r="B30890">
        <f>TEXT(30889, "[$-0E0000]yyyy-mm-dd")</f>
        <v/>
      </c>
      <c r="C30890" t="inlineStr">
        <is>
          <t>1984-06-29</t>
        </is>
      </c>
    </row>
    <row r="30891">
      <c r="A30891" s="1" t="n">
        <v>30890</v>
      </c>
      <c r="B30891">
        <f>TEXT(30890, "[$-0E0000]yyyy-mm-dd")</f>
        <v/>
      </c>
      <c r="C30891" t="inlineStr">
        <is>
          <t>1984-07-01</t>
        </is>
      </c>
    </row>
    <row r="30892">
      <c r="A30892" s="1" t="n">
        <v>30891</v>
      </c>
      <c r="B30892">
        <f>TEXT(30891, "[$-0E0000]yyyy-mm-dd")</f>
        <v/>
      </c>
      <c r="C30892" t="inlineStr">
        <is>
          <t>1984-07-02</t>
        </is>
      </c>
    </row>
    <row r="30893">
      <c r="A30893" s="1" t="n">
        <v>30892</v>
      </c>
      <c r="B30893">
        <f>TEXT(30892, "[$-0E0000]yyyy-mm-dd")</f>
        <v/>
      </c>
      <c r="C30893" t="inlineStr">
        <is>
          <t>1984-07-03</t>
        </is>
      </c>
    </row>
    <row r="30894">
      <c r="A30894" s="1" t="n">
        <v>30893</v>
      </c>
      <c r="B30894">
        <f>TEXT(30893, "[$-0E0000]yyyy-mm-dd")</f>
        <v/>
      </c>
      <c r="C30894" t="inlineStr">
        <is>
          <t>1984-07-04</t>
        </is>
      </c>
    </row>
    <row r="30895">
      <c r="A30895" s="1" t="n">
        <v>30894</v>
      </c>
      <c r="B30895">
        <f>TEXT(30894, "[$-0E0000]yyyy-mm-dd")</f>
        <v/>
      </c>
      <c r="C30895" t="inlineStr">
        <is>
          <t>1984-07-05</t>
        </is>
      </c>
    </row>
    <row r="30896">
      <c r="A30896" s="1" t="n">
        <v>30895</v>
      </c>
      <c r="B30896">
        <f>TEXT(30895, "[$-0E0000]yyyy-mm-dd")</f>
        <v/>
      </c>
      <c r="C30896" t="inlineStr">
        <is>
          <t>1984-07-06</t>
        </is>
      </c>
    </row>
    <row r="30897">
      <c r="A30897" s="1" t="n">
        <v>30896</v>
      </c>
      <c r="B30897">
        <f>TEXT(30896, "[$-0E0000]yyyy-mm-dd")</f>
        <v/>
      </c>
      <c r="C30897" t="inlineStr">
        <is>
          <t>1984-07-07</t>
        </is>
      </c>
    </row>
    <row r="30898">
      <c r="A30898" s="1" t="n">
        <v>30897</v>
      </c>
      <c r="B30898">
        <f>TEXT(30897, "[$-0E0000]yyyy-mm-dd")</f>
        <v/>
      </c>
      <c r="C30898" t="inlineStr">
        <is>
          <t>1984-07-08</t>
        </is>
      </c>
    </row>
    <row r="30899">
      <c r="A30899" s="1" t="n">
        <v>30898</v>
      </c>
      <c r="B30899">
        <f>TEXT(30898, "[$-0E0000]yyyy-mm-dd")</f>
        <v/>
      </c>
      <c r="C30899" t="inlineStr">
        <is>
          <t>1984-07-09</t>
        </is>
      </c>
    </row>
    <row r="30900">
      <c r="A30900" s="1" t="n">
        <v>30899</v>
      </c>
      <c r="B30900">
        <f>TEXT(30899, "[$-0E0000]yyyy-mm-dd")</f>
        <v/>
      </c>
      <c r="C30900" t="inlineStr">
        <is>
          <t>1984-07-10</t>
        </is>
      </c>
    </row>
    <row r="30901">
      <c r="A30901" s="1" t="n">
        <v>30900</v>
      </c>
      <c r="B30901">
        <f>TEXT(30900, "[$-0E0000]yyyy-mm-dd")</f>
        <v/>
      </c>
      <c r="C30901" t="inlineStr">
        <is>
          <t>1984-07-11</t>
        </is>
      </c>
    </row>
    <row r="30902">
      <c r="A30902" s="1" t="n">
        <v>30901</v>
      </c>
      <c r="B30902">
        <f>TEXT(30901, "[$-0E0000]yyyy-mm-dd")</f>
        <v/>
      </c>
      <c r="C30902" t="inlineStr">
        <is>
          <t>1984-07-12</t>
        </is>
      </c>
    </row>
    <row r="30903">
      <c r="A30903" s="1" t="n">
        <v>30902</v>
      </c>
      <c r="B30903">
        <f>TEXT(30902, "[$-0E0000]yyyy-mm-dd")</f>
        <v/>
      </c>
      <c r="C30903" t="inlineStr">
        <is>
          <t>1984-07-13</t>
        </is>
      </c>
    </row>
    <row r="30904">
      <c r="A30904" s="1" t="n">
        <v>30903</v>
      </c>
      <c r="B30904">
        <f>TEXT(30903, "[$-0E0000]yyyy-mm-dd")</f>
        <v/>
      </c>
      <c r="C30904" t="inlineStr">
        <is>
          <t>1984-07-14</t>
        </is>
      </c>
    </row>
    <row r="30905">
      <c r="A30905" s="1" t="n">
        <v>30904</v>
      </c>
      <c r="B30905">
        <f>TEXT(30904, "[$-0E0000]yyyy-mm-dd")</f>
        <v/>
      </c>
      <c r="C30905" t="inlineStr">
        <is>
          <t>1984-07-15</t>
        </is>
      </c>
    </row>
    <row r="30906">
      <c r="A30906" s="1" t="n">
        <v>30905</v>
      </c>
      <c r="B30906">
        <f>TEXT(30905, "[$-0E0000]yyyy-mm-dd")</f>
        <v/>
      </c>
      <c r="C30906" t="inlineStr">
        <is>
          <t>1984-07-16</t>
        </is>
      </c>
    </row>
    <row r="30907">
      <c r="A30907" s="1" t="n">
        <v>30906</v>
      </c>
      <c r="B30907">
        <f>TEXT(30906, "[$-0E0000]yyyy-mm-dd")</f>
        <v/>
      </c>
      <c r="C30907" t="inlineStr">
        <is>
          <t>1984-07-17</t>
        </is>
      </c>
    </row>
    <row r="30908">
      <c r="A30908" s="1" t="n">
        <v>30907</v>
      </c>
      <c r="B30908">
        <f>TEXT(30907, "[$-0E0000]yyyy-mm-dd")</f>
        <v/>
      </c>
      <c r="C30908" t="inlineStr">
        <is>
          <t>1984-07-18</t>
        </is>
      </c>
    </row>
    <row r="30909">
      <c r="A30909" s="1" t="n">
        <v>30908</v>
      </c>
      <c r="B30909">
        <f>TEXT(30908, "[$-0E0000]yyyy-mm-dd")</f>
        <v/>
      </c>
      <c r="C30909" t="inlineStr">
        <is>
          <t>1984-07-19</t>
        </is>
      </c>
    </row>
    <row r="30910">
      <c r="A30910" s="1" t="n">
        <v>30909</v>
      </c>
      <c r="B30910">
        <f>TEXT(30909, "[$-0E0000]yyyy-mm-dd")</f>
        <v/>
      </c>
      <c r="C30910" t="inlineStr">
        <is>
          <t>1984-07-20</t>
        </is>
      </c>
    </row>
    <row r="30911">
      <c r="A30911" s="1" t="n">
        <v>30910</v>
      </c>
      <c r="B30911">
        <f>TEXT(30910, "[$-0E0000]yyyy-mm-dd")</f>
        <v/>
      </c>
      <c r="C30911" t="inlineStr">
        <is>
          <t>1984-07-21</t>
        </is>
      </c>
    </row>
    <row r="30912">
      <c r="A30912" s="1" t="n">
        <v>30911</v>
      </c>
      <c r="B30912">
        <f>TEXT(30911, "[$-0E0000]yyyy-mm-dd")</f>
        <v/>
      </c>
      <c r="C30912" t="inlineStr">
        <is>
          <t>1984-07-22</t>
        </is>
      </c>
    </row>
    <row r="30913">
      <c r="A30913" s="1" t="n">
        <v>30912</v>
      </c>
      <c r="B30913">
        <f>TEXT(30912, "[$-0E0000]yyyy-mm-dd")</f>
        <v/>
      </c>
      <c r="C30913" t="inlineStr">
        <is>
          <t>1984-07-23</t>
        </is>
      </c>
    </row>
    <row r="30914">
      <c r="A30914" s="1" t="n">
        <v>30913</v>
      </c>
      <c r="B30914">
        <f>TEXT(30913, "[$-0E0000]yyyy-mm-dd")</f>
        <v/>
      </c>
      <c r="C30914" t="inlineStr">
        <is>
          <t>1984-07-24</t>
        </is>
      </c>
    </row>
    <row r="30915">
      <c r="A30915" s="1" t="n">
        <v>30914</v>
      </c>
      <c r="B30915">
        <f>TEXT(30914, "[$-0E0000]yyyy-mm-dd")</f>
        <v/>
      </c>
      <c r="C30915" t="inlineStr">
        <is>
          <t>1984-07-25</t>
        </is>
      </c>
    </row>
    <row r="30916">
      <c r="A30916" s="1" t="n">
        <v>30915</v>
      </c>
      <c r="B30916">
        <f>TEXT(30915, "[$-0E0000]yyyy-mm-dd")</f>
        <v/>
      </c>
      <c r="C30916" t="inlineStr">
        <is>
          <t>1984-07-26</t>
        </is>
      </c>
    </row>
    <row r="30917">
      <c r="A30917" s="1" t="n">
        <v>30916</v>
      </c>
      <c r="B30917">
        <f>TEXT(30916, "[$-0E0000]yyyy-mm-dd")</f>
        <v/>
      </c>
      <c r="C30917" t="inlineStr">
        <is>
          <t>1984-07-27</t>
        </is>
      </c>
    </row>
    <row r="30918">
      <c r="A30918" s="1" t="n">
        <v>30917</v>
      </c>
      <c r="B30918">
        <f>TEXT(30917, "[$-0E0000]yyyy-mm-dd")</f>
        <v/>
      </c>
      <c r="C30918" t="inlineStr">
        <is>
          <t>1984-07-28</t>
        </is>
      </c>
    </row>
    <row r="30919">
      <c r="A30919" s="1" t="n">
        <v>30918</v>
      </c>
      <c r="B30919">
        <f>TEXT(30918, "[$-0E0000]yyyy-mm-dd")</f>
        <v/>
      </c>
      <c r="C30919" t="inlineStr">
        <is>
          <t>1984-07-29</t>
        </is>
      </c>
    </row>
    <row r="30920">
      <c r="A30920" s="1" t="n">
        <v>30919</v>
      </c>
      <c r="B30920">
        <f>TEXT(30919, "[$-0E0000]yyyy-mm-dd")</f>
        <v/>
      </c>
      <c r="C30920" t="inlineStr">
        <is>
          <t>1984-07-30</t>
        </is>
      </c>
    </row>
    <row r="30921">
      <c r="A30921" s="1" t="n">
        <v>30920</v>
      </c>
      <c r="B30921">
        <f>TEXT(30920, "[$-0E0000]yyyy-mm-dd")</f>
        <v/>
      </c>
      <c r="C30921" t="inlineStr">
        <is>
          <t>1984-08-01</t>
        </is>
      </c>
    </row>
    <row r="30922">
      <c r="A30922" s="1" t="n">
        <v>30921</v>
      </c>
      <c r="B30922">
        <f>TEXT(30921, "[$-0E0000]yyyy-mm-dd")</f>
        <v/>
      </c>
      <c r="C30922" t="inlineStr">
        <is>
          <t>1984-08-02</t>
        </is>
      </c>
    </row>
    <row r="30923">
      <c r="A30923" s="1" t="n">
        <v>30922</v>
      </c>
      <c r="B30923">
        <f>TEXT(30922, "[$-0E0000]yyyy-mm-dd")</f>
        <v/>
      </c>
      <c r="C30923" t="inlineStr">
        <is>
          <t>1984-08-03</t>
        </is>
      </c>
    </row>
    <row r="30924">
      <c r="A30924" s="1" t="n">
        <v>30923</v>
      </c>
      <c r="B30924">
        <f>TEXT(30923, "[$-0E0000]yyyy-mm-dd")</f>
        <v/>
      </c>
      <c r="C30924" t="inlineStr">
        <is>
          <t>1984-08-04</t>
        </is>
      </c>
    </row>
    <row r="30925">
      <c r="A30925" s="1" t="n">
        <v>30924</v>
      </c>
      <c r="B30925">
        <f>TEXT(30924, "[$-0E0000]yyyy-mm-dd")</f>
        <v/>
      </c>
      <c r="C30925" t="inlineStr">
        <is>
          <t>1984-08-05</t>
        </is>
      </c>
    </row>
    <row r="30926">
      <c r="A30926" s="1" t="n">
        <v>30925</v>
      </c>
      <c r="B30926">
        <f>TEXT(30925, "[$-0E0000]yyyy-mm-dd")</f>
        <v/>
      </c>
      <c r="C30926" t="inlineStr">
        <is>
          <t>1984-08-06</t>
        </is>
      </c>
    </row>
    <row r="30927">
      <c r="A30927" s="1" t="n">
        <v>30926</v>
      </c>
      <c r="B30927">
        <f>TEXT(30926, "[$-0E0000]yyyy-mm-dd")</f>
        <v/>
      </c>
      <c r="C30927" t="inlineStr">
        <is>
          <t>1984-08-07</t>
        </is>
      </c>
    </row>
    <row r="30928">
      <c r="A30928" s="1" t="n">
        <v>30927</v>
      </c>
      <c r="B30928">
        <f>TEXT(30927, "[$-0E0000]yyyy-mm-dd")</f>
        <v/>
      </c>
      <c r="C30928" t="inlineStr">
        <is>
          <t>1984-08-08</t>
        </is>
      </c>
    </row>
    <row r="30929">
      <c r="A30929" s="1" t="n">
        <v>30928</v>
      </c>
      <c r="B30929">
        <f>TEXT(30928, "[$-0E0000]yyyy-mm-dd")</f>
        <v/>
      </c>
      <c r="C30929" t="inlineStr">
        <is>
          <t>1984-08-09</t>
        </is>
      </c>
    </row>
    <row r="30930">
      <c r="A30930" s="1" t="n">
        <v>30929</v>
      </c>
      <c r="B30930">
        <f>TEXT(30929, "[$-0E0000]yyyy-mm-dd")</f>
        <v/>
      </c>
      <c r="C30930" t="inlineStr">
        <is>
          <t>1984-08-10</t>
        </is>
      </c>
    </row>
    <row r="30931">
      <c r="A30931" s="1" t="n">
        <v>30930</v>
      </c>
      <c r="B30931">
        <f>TEXT(30930, "[$-0E0000]yyyy-mm-dd")</f>
        <v/>
      </c>
      <c r="C30931" t="inlineStr">
        <is>
          <t>1984-08-11</t>
        </is>
      </c>
    </row>
    <row r="30932">
      <c r="A30932" s="1" t="n">
        <v>30931</v>
      </c>
      <c r="B30932">
        <f>TEXT(30931, "[$-0E0000]yyyy-mm-dd")</f>
        <v/>
      </c>
      <c r="C30932" t="inlineStr">
        <is>
          <t>1984-08-12</t>
        </is>
      </c>
    </row>
    <row r="30933">
      <c r="A30933" s="1" t="n">
        <v>30932</v>
      </c>
      <c r="B30933">
        <f>TEXT(30932, "[$-0E0000]yyyy-mm-dd")</f>
        <v/>
      </c>
      <c r="C30933" t="inlineStr">
        <is>
          <t>1984-08-13</t>
        </is>
      </c>
    </row>
    <row r="30934">
      <c r="A30934" s="1" t="n">
        <v>30933</v>
      </c>
      <c r="B30934">
        <f>TEXT(30933, "[$-0E0000]yyyy-mm-dd")</f>
        <v/>
      </c>
      <c r="C30934" t="inlineStr">
        <is>
          <t>1984-08-14</t>
        </is>
      </c>
    </row>
    <row r="30935">
      <c r="A30935" s="1" t="n">
        <v>30934</v>
      </c>
      <c r="B30935">
        <f>TEXT(30934, "[$-0E0000]yyyy-mm-dd")</f>
        <v/>
      </c>
      <c r="C30935" t="inlineStr">
        <is>
          <t>1984-08-15</t>
        </is>
      </c>
    </row>
    <row r="30936">
      <c r="A30936" s="1" t="n">
        <v>30935</v>
      </c>
      <c r="B30936">
        <f>TEXT(30935, "[$-0E0000]yyyy-mm-dd")</f>
        <v/>
      </c>
      <c r="C30936" t="inlineStr">
        <is>
          <t>1984-08-16</t>
        </is>
      </c>
    </row>
    <row r="30937">
      <c r="A30937" s="1" t="n">
        <v>30936</v>
      </c>
      <c r="B30937">
        <f>TEXT(30936, "[$-0E0000]yyyy-mm-dd")</f>
        <v/>
      </c>
      <c r="C30937" t="inlineStr">
        <is>
          <t>1984-08-17</t>
        </is>
      </c>
    </row>
    <row r="30938">
      <c r="A30938" s="1" t="n">
        <v>30937</v>
      </c>
      <c r="B30938">
        <f>TEXT(30937, "[$-0E0000]yyyy-mm-dd")</f>
        <v/>
      </c>
      <c r="C30938" t="inlineStr">
        <is>
          <t>1984-08-18</t>
        </is>
      </c>
    </row>
    <row r="30939">
      <c r="A30939" s="1" t="n">
        <v>30938</v>
      </c>
      <c r="B30939">
        <f>TEXT(30938, "[$-0E0000]yyyy-mm-dd")</f>
        <v/>
      </c>
      <c r="C30939" t="inlineStr">
        <is>
          <t>1984-08-19</t>
        </is>
      </c>
    </row>
    <row r="30940">
      <c r="A30940" s="1" t="n">
        <v>30939</v>
      </c>
      <c r="B30940">
        <f>TEXT(30939, "[$-0E0000]yyyy-mm-dd")</f>
        <v/>
      </c>
      <c r="C30940" t="inlineStr">
        <is>
          <t>1984-08-20</t>
        </is>
      </c>
    </row>
    <row r="30941">
      <c r="A30941" s="1" t="n">
        <v>30940</v>
      </c>
      <c r="B30941">
        <f>TEXT(30940, "[$-0E0000]yyyy-mm-dd")</f>
        <v/>
      </c>
      <c r="C30941" t="inlineStr">
        <is>
          <t>1984-08-21</t>
        </is>
      </c>
    </row>
    <row r="30942">
      <c r="A30942" s="1" t="n">
        <v>30941</v>
      </c>
      <c r="B30942">
        <f>TEXT(30941, "[$-0E0000]yyyy-mm-dd")</f>
        <v/>
      </c>
      <c r="C30942" t="inlineStr">
        <is>
          <t>1984-08-22</t>
        </is>
      </c>
    </row>
    <row r="30943">
      <c r="A30943" s="1" t="n">
        <v>30942</v>
      </c>
      <c r="B30943">
        <f>TEXT(30942, "[$-0E0000]yyyy-mm-dd")</f>
        <v/>
      </c>
      <c r="C30943" t="inlineStr">
        <is>
          <t>1984-08-23</t>
        </is>
      </c>
    </row>
    <row r="30944">
      <c r="A30944" s="1" t="n">
        <v>30943</v>
      </c>
      <c r="B30944">
        <f>TEXT(30943, "[$-0E0000]yyyy-mm-dd")</f>
        <v/>
      </c>
      <c r="C30944" t="inlineStr">
        <is>
          <t>1984-08-24</t>
        </is>
      </c>
    </row>
    <row r="30945">
      <c r="A30945" s="1" t="n">
        <v>30944</v>
      </c>
      <c r="B30945">
        <f>TEXT(30944, "[$-0E0000]yyyy-mm-dd")</f>
        <v/>
      </c>
      <c r="C30945" t="inlineStr">
        <is>
          <t>1984-08-25</t>
        </is>
      </c>
    </row>
    <row r="30946">
      <c r="A30946" s="1" t="n">
        <v>30945</v>
      </c>
      <c r="B30946">
        <f>TEXT(30945, "[$-0E0000]yyyy-mm-dd")</f>
        <v/>
      </c>
      <c r="C30946" t="inlineStr">
        <is>
          <t>1984-08-26</t>
        </is>
      </c>
    </row>
    <row r="30947">
      <c r="A30947" s="1" t="n">
        <v>30946</v>
      </c>
      <c r="B30947">
        <f>TEXT(30946, "[$-0E0000]yyyy-mm-dd")</f>
        <v/>
      </c>
      <c r="C30947" t="inlineStr">
        <is>
          <t>1984-08-27</t>
        </is>
      </c>
    </row>
    <row r="30948">
      <c r="A30948" s="1" t="n">
        <v>30947</v>
      </c>
      <c r="B30948">
        <f>TEXT(30947, "[$-0E0000]yyyy-mm-dd")</f>
        <v/>
      </c>
      <c r="C30948" t="inlineStr">
        <is>
          <t>1984-08-28</t>
        </is>
      </c>
    </row>
    <row r="30949">
      <c r="A30949" s="1" t="n">
        <v>30948</v>
      </c>
      <c r="B30949">
        <f>TEXT(30948, "[$-0E0000]yyyy-mm-dd")</f>
        <v/>
      </c>
      <c r="C30949" t="inlineStr">
        <is>
          <t>1984-08-29</t>
        </is>
      </c>
    </row>
    <row r="30950">
      <c r="A30950" s="1" t="n">
        <v>30949</v>
      </c>
      <c r="B30950">
        <f>TEXT(30949, "[$-0E0000]yyyy-mm-dd")</f>
        <v/>
      </c>
      <c r="C30950" t="inlineStr">
        <is>
          <t>1984-09-01</t>
        </is>
      </c>
    </row>
    <row r="30951">
      <c r="A30951" s="1" t="n">
        <v>30950</v>
      </c>
      <c r="B30951">
        <f>TEXT(30950, "[$-0E0000]yyyy-mm-dd")</f>
        <v/>
      </c>
      <c r="C30951" t="inlineStr">
        <is>
          <t>1984-09-02</t>
        </is>
      </c>
    </row>
    <row r="30952">
      <c r="A30952" s="1" t="n">
        <v>30951</v>
      </c>
      <c r="B30952">
        <f>TEXT(30951, "[$-0E0000]yyyy-mm-dd")</f>
        <v/>
      </c>
      <c r="C30952" t="inlineStr">
        <is>
          <t>1984-09-03</t>
        </is>
      </c>
    </row>
    <row r="30953">
      <c r="A30953" s="1" t="n">
        <v>30952</v>
      </c>
      <c r="B30953">
        <f>TEXT(30952, "[$-0E0000]yyyy-mm-dd")</f>
        <v/>
      </c>
      <c r="C30953" t="inlineStr">
        <is>
          <t>1984-09-04</t>
        </is>
      </c>
    </row>
    <row r="30954">
      <c r="A30954" s="1" t="n">
        <v>30953</v>
      </c>
      <c r="B30954">
        <f>TEXT(30953, "[$-0E0000]yyyy-mm-dd")</f>
        <v/>
      </c>
      <c r="C30954" t="inlineStr">
        <is>
          <t>1984-09-05</t>
        </is>
      </c>
    </row>
    <row r="30955">
      <c r="A30955" s="1" t="n">
        <v>30954</v>
      </c>
      <c r="B30955">
        <f>TEXT(30954, "[$-0E0000]yyyy-mm-dd")</f>
        <v/>
      </c>
      <c r="C30955" t="inlineStr">
        <is>
          <t>1984-09-06</t>
        </is>
      </c>
    </row>
    <row r="30956">
      <c r="A30956" s="1" t="n">
        <v>30955</v>
      </c>
      <c r="B30956">
        <f>TEXT(30955, "[$-0E0000]yyyy-mm-dd")</f>
        <v/>
      </c>
      <c r="C30956" t="inlineStr">
        <is>
          <t>1984-09-07</t>
        </is>
      </c>
    </row>
    <row r="30957">
      <c r="A30957" s="1" t="n">
        <v>30956</v>
      </c>
      <c r="B30957">
        <f>TEXT(30956, "[$-0E0000]yyyy-mm-dd")</f>
        <v/>
      </c>
      <c r="C30957" t="inlineStr">
        <is>
          <t>1984-09-08</t>
        </is>
      </c>
    </row>
    <row r="30958">
      <c r="A30958" s="1" t="n">
        <v>30957</v>
      </c>
      <c r="B30958">
        <f>TEXT(30957, "[$-0E0000]yyyy-mm-dd")</f>
        <v/>
      </c>
      <c r="C30958" t="inlineStr">
        <is>
          <t>1984-09-09</t>
        </is>
      </c>
    </row>
    <row r="30959">
      <c r="A30959" s="1" t="n">
        <v>30958</v>
      </c>
      <c r="B30959">
        <f>TEXT(30958, "[$-0E0000]yyyy-mm-dd")</f>
        <v/>
      </c>
      <c r="C30959" t="inlineStr">
        <is>
          <t>1984-09-10</t>
        </is>
      </c>
    </row>
    <row r="30960">
      <c r="A30960" s="1" t="n">
        <v>30959</v>
      </c>
      <c r="B30960">
        <f>TEXT(30959, "[$-0E0000]yyyy-mm-dd")</f>
        <v/>
      </c>
      <c r="C30960" t="inlineStr">
        <is>
          <t>1984-09-11</t>
        </is>
      </c>
    </row>
    <row r="30961">
      <c r="A30961" s="1" t="n">
        <v>30960</v>
      </c>
      <c r="B30961">
        <f>TEXT(30960, "[$-0E0000]yyyy-mm-dd")</f>
        <v/>
      </c>
      <c r="C30961" t="inlineStr">
        <is>
          <t>1984-09-12</t>
        </is>
      </c>
    </row>
    <row r="30962">
      <c r="A30962" s="1" t="n">
        <v>30961</v>
      </c>
      <c r="B30962">
        <f>TEXT(30961, "[$-0E0000]yyyy-mm-dd")</f>
        <v/>
      </c>
      <c r="C30962" t="inlineStr">
        <is>
          <t>1984-09-13</t>
        </is>
      </c>
    </row>
    <row r="30963">
      <c r="A30963" s="1" t="n">
        <v>30962</v>
      </c>
      <c r="B30963">
        <f>TEXT(30962, "[$-0E0000]yyyy-mm-dd")</f>
        <v/>
      </c>
      <c r="C30963" t="inlineStr">
        <is>
          <t>1984-09-14</t>
        </is>
      </c>
    </row>
    <row r="30964">
      <c r="A30964" s="1" t="n">
        <v>30963</v>
      </c>
      <c r="B30964">
        <f>TEXT(30963, "[$-0E0000]yyyy-mm-dd")</f>
        <v/>
      </c>
      <c r="C30964" t="inlineStr">
        <is>
          <t>1984-09-15</t>
        </is>
      </c>
    </row>
    <row r="30965">
      <c r="A30965" s="1" t="n">
        <v>30964</v>
      </c>
      <c r="B30965">
        <f>TEXT(30964, "[$-0E0000]yyyy-mm-dd")</f>
        <v/>
      </c>
      <c r="C30965" t="inlineStr">
        <is>
          <t>1984-09-16</t>
        </is>
      </c>
    </row>
    <row r="30966">
      <c r="A30966" s="1" t="n">
        <v>30965</v>
      </c>
      <c r="B30966">
        <f>TEXT(30965, "[$-0E0000]yyyy-mm-dd")</f>
        <v/>
      </c>
      <c r="C30966" t="inlineStr">
        <is>
          <t>1984-09-17</t>
        </is>
      </c>
    </row>
    <row r="30967">
      <c r="A30967" s="1" t="n">
        <v>30966</v>
      </c>
      <c r="B30967">
        <f>TEXT(30966, "[$-0E0000]yyyy-mm-dd")</f>
        <v/>
      </c>
      <c r="C30967" t="inlineStr">
        <is>
          <t>1984-09-18</t>
        </is>
      </c>
    </row>
    <row r="30968">
      <c r="A30968" s="1" t="n">
        <v>30967</v>
      </c>
      <c r="B30968">
        <f>TEXT(30967, "[$-0E0000]yyyy-mm-dd")</f>
        <v/>
      </c>
      <c r="C30968" t="inlineStr">
        <is>
          <t>1984-09-19</t>
        </is>
      </c>
    </row>
    <row r="30969">
      <c r="A30969" s="1" t="n">
        <v>30968</v>
      </c>
      <c r="B30969">
        <f>TEXT(30968, "[$-0E0000]yyyy-mm-dd")</f>
        <v/>
      </c>
      <c r="C30969" t="inlineStr">
        <is>
          <t>1984-09-20</t>
        </is>
      </c>
    </row>
    <row r="30970">
      <c r="A30970" s="1" t="n">
        <v>30969</v>
      </c>
      <c r="B30970">
        <f>TEXT(30969, "[$-0E0000]yyyy-mm-dd")</f>
        <v/>
      </c>
      <c r="C30970" t="inlineStr">
        <is>
          <t>1984-09-21</t>
        </is>
      </c>
    </row>
    <row r="30971">
      <c r="A30971" s="1" t="n">
        <v>30970</v>
      </c>
      <c r="B30971">
        <f>TEXT(30970, "[$-0E0000]yyyy-mm-dd")</f>
        <v/>
      </c>
      <c r="C30971" t="inlineStr">
        <is>
          <t>1984-09-22</t>
        </is>
      </c>
    </row>
    <row r="30972">
      <c r="A30972" s="1" t="n">
        <v>30971</v>
      </c>
      <c r="B30972">
        <f>TEXT(30971, "[$-0E0000]yyyy-mm-dd")</f>
        <v/>
      </c>
      <c r="C30972" t="inlineStr">
        <is>
          <t>1984-09-23</t>
        </is>
      </c>
    </row>
    <row r="30973">
      <c r="A30973" s="1" t="n">
        <v>30972</v>
      </c>
      <c r="B30973">
        <f>TEXT(30972, "[$-0E0000]yyyy-mm-dd")</f>
        <v/>
      </c>
      <c r="C30973" t="inlineStr">
        <is>
          <t>1984-09-24</t>
        </is>
      </c>
    </row>
    <row r="30974">
      <c r="A30974" s="1" t="n">
        <v>30973</v>
      </c>
      <c r="B30974">
        <f>TEXT(30973, "[$-0E0000]yyyy-mm-dd")</f>
        <v/>
      </c>
      <c r="C30974" t="inlineStr">
        <is>
          <t>1984-09-25</t>
        </is>
      </c>
    </row>
    <row r="30975">
      <c r="A30975" s="1" t="n">
        <v>30974</v>
      </c>
      <c r="B30975">
        <f>TEXT(30974, "[$-0E0000]yyyy-mm-dd")</f>
        <v/>
      </c>
      <c r="C30975" t="inlineStr">
        <is>
          <t>1984-09-26</t>
        </is>
      </c>
    </row>
    <row r="30976">
      <c r="A30976" s="1" t="n">
        <v>30975</v>
      </c>
      <c r="B30976">
        <f>TEXT(30975, "[$-0E0000]yyyy-mm-dd")</f>
        <v/>
      </c>
      <c r="C30976" t="inlineStr">
        <is>
          <t>1984-09-27</t>
        </is>
      </c>
    </row>
    <row r="30977">
      <c r="A30977" s="1" t="n">
        <v>30976</v>
      </c>
      <c r="B30977">
        <f>TEXT(30976, "[$-0E0000]yyyy-mm-dd")</f>
        <v/>
      </c>
      <c r="C30977" t="inlineStr">
        <is>
          <t>1984-09-28</t>
        </is>
      </c>
    </row>
    <row r="30978">
      <c r="A30978" s="1" t="n">
        <v>30977</v>
      </c>
      <c r="B30978">
        <f>TEXT(30977, "[$-0E0000]yyyy-mm-dd")</f>
        <v/>
      </c>
      <c r="C30978" t="inlineStr">
        <is>
          <t>1984-09-29</t>
        </is>
      </c>
    </row>
    <row r="30979">
      <c r="A30979" s="1" t="n">
        <v>30978</v>
      </c>
      <c r="B30979">
        <f>TEXT(30978, "[$-0E0000]yyyy-mm-dd")</f>
        <v/>
      </c>
      <c r="C30979" t="inlineStr">
        <is>
          <t>1984-10-01</t>
        </is>
      </c>
    </row>
    <row r="30980">
      <c r="A30980" s="1" t="n">
        <v>30979</v>
      </c>
      <c r="B30980">
        <f>TEXT(30979, "[$-0E0000]yyyy-mm-dd")</f>
        <v/>
      </c>
      <c r="C30980" t="inlineStr">
        <is>
          <t>1984-10-02</t>
        </is>
      </c>
    </row>
    <row r="30981">
      <c r="A30981" s="1" t="n">
        <v>30980</v>
      </c>
      <c r="B30981">
        <f>TEXT(30980, "[$-0E0000]yyyy-mm-dd")</f>
        <v/>
      </c>
      <c r="C30981" t="inlineStr">
        <is>
          <t>1984-10-03</t>
        </is>
      </c>
    </row>
    <row r="30982">
      <c r="A30982" s="1" t="n">
        <v>30981</v>
      </c>
      <c r="B30982">
        <f>TEXT(30981, "[$-0E0000]yyyy-mm-dd")</f>
        <v/>
      </c>
      <c r="C30982" t="inlineStr">
        <is>
          <t>1984-10-04</t>
        </is>
      </c>
    </row>
    <row r="30983">
      <c r="A30983" s="1" t="n">
        <v>30982</v>
      </c>
      <c r="B30983">
        <f>TEXT(30982, "[$-0E0000]yyyy-mm-dd")</f>
        <v/>
      </c>
      <c r="C30983" t="inlineStr">
        <is>
          <t>1984-10-05</t>
        </is>
      </c>
    </row>
    <row r="30984">
      <c r="A30984" s="1" t="n">
        <v>30983</v>
      </c>
      <c r="B30984">
        <f>TEXT(30983, "[$-0E0000]yyyy-mm-dd")</f>
        <v/>
      </c>
      <c r="C30984" t="inlineStr">
        <is>
          <t>1984-10-06</t>
        </is>
      </c>
    </row>
    <row r="30985">
      <c r="A30985" s="1" t="n">
        <v>30984</v>
      </c>
      <c r="B30985">
        <f>TEXT(30984, "[$-0E0000]yyyy-mm-dd")</f>
        <v/>
      </c>
      <c r="C30985" t="inlineStr">
        <is>
          <t>1984-10-07</t>
        </is>
      </c>
    </row>
    <row r="30986">
      <c r="A30986" s="1" t="n">
        <v>30985</v>
      </c>
      <c r="B30986">
        <f>TEXT(30985, "[$-0E0000]yyyy-mm-dd")</f>
        <v/>
      </c>
      <c r="C30986" t="inlineStr">
        <is>
          <t>1984-10-08</t>
        </is>
      </c>
    </row>
    <row r="30987">
      <c r="A30987" s="1" t="n">
        <v>30986</v>
      </c>
      <c r="B30987">
        <f>TEXT(30986, "[$-0E0000]yyyy-mm-dd")</f>
        <v/>
      </c>
      <c r="C30987" t="inlineStr">
        <is>
          <t>1984-10-09</t>
        </is>
      </c>
    </row>
    <row r="30988">
      <c r="A30988" s="1" t="n">
        <v>30987</v>
      </c>
      <c r="B30988">
        <f>TEXT(30987, "[$-0E0000]yyyy-mm-dd")</f>
        <v/>
      </c>
      <c r="C30988" t="inlineStr">
        <is>
          <t>1984-10-10</t>
        </is>
      </c>
    </row>
    <row r="30989">
      <c r="A30989" s="1" t="n">
        <v>30988</v>
      </c>
      <c r="B30989">
        <f>TEXT(30988, "[$-0E0000]yyyy-mm-dd")</f>
        <v/>
      </c>
      <c r="C30989" t="inlineStr">
        <is>
          <t>1984-10-11</t>
        </is>
      </c>
    </row>
    <row r="30990">
      <c r="A30990" s="1" t="n">
        <v>30989</v>
      </c>
      <c r="B30990">
        <f>TEXT(30989, "[$-0E0000]yyyy-mm-dd")</f>
        <v/>
      </c>
      <c r="C30990" t="inlineStr">
        <is>
          <t>1984-10-12</t>
        </is>
      </c>
    </row>
    <row r="30991">
      <c r="A30991" s="1" t="n">
        <v>30990</v>
      </c>
      <c r="B30991">
        <f>TEXT(30990, "[$-0E0000]yyyy-mm-dd")</f>
        <v/>
      </c>
      <c r="C30991" t="inlineStr">
        <is>
          <t>1984-10-13</t>
        </is>
      </c>
    </row>
    <row r="30992">
      <c r="A30992" s="1" t="n">
        <v>30991</v>
      </c>
      <c r="B30992">
        <f>TEXT(30991, "[$-0E0000]yyyy-mm-dd")</f>
        <v/>
      </c>
      <c r="C30992" t="inlineStr">
        <is>
          <t>1984-10-14</t>
        </is>
      </c>
    </row>
    <row r="30993">
      <c r="A30993" s="1" t="n">
        <v>30992</v>
      </c>
      <c r="B30993">
        <f>TEXT(30992, "[$-0E0000]yyyy-mm-dd")</f>
        <v/>
      </c>
      <c r="C30993" t="inlineStr">
        <is>
          <t>1984-10-15</t>
        </is>
      </c>
    </row>
    <row r="30994">
      <c r="A30994" s="1" t="n">
        <v>30993</v>
      </c>
      <c r="B30994">
        <f>TEXT(30993, "[$-0E0000]yyyy-mm-dd")</f>
        <v/>
      </c>
      <c r="C30994" t="inlineStr">
        <is>
          <t>1984-10-16</t>
        </is>
      </c>
    </row>
    <row r="30995">
      <c r="A30995" s="1" t="n">
        <v>30994</v>
      </c>
      <c r="B30995">
        <f>TEXT(30994, "[$-0E0000]yyyy-mm-dd")</f>
        <v/>
      </c>
      <c r="C30995" t="inlineStr">
        <is>
          <t>1984-10-17</t>
        </is>
      </c>
    </row>
    <row r="30996">
      <c r="A30996" s="1" t="n">
        <v>30995</v>
      </c>
      <c r="B30996">
        <f>TEXT(30995, "[$-0E0000]yyyy-mm-dd")</f>
        <v/>
      </c>
      <c r="C30996" t="inlineStr">
        <is>
          <t>1984-10-18</t>
        </is>
      </c>
    </row>
    <row r="30997">
      <c r="A30997" s="1" t="n">
        <v>30996</v>
      </c>
      <c r="B30997">
        <f>TEXT(30996, "[$-0E0000]yyyy-mm-dd")</f>
        <v/>
      </c>
      <c r="C30997" t="inlineStr">
        <is>
          <t>1984-10-19</t>
        </is>
      </c>
    </row>
    <row r="30998">
      <c r="A30998" s="1" t="n">
        <v>30997</v>
      </c>
      <c r="B30998">
        <f>TEXT(30997, "[$-0E0000]yyyy-mm-dd")</f>
        <v/>
      </c>
      <c r="C30998" t="inlineStr">
        <is>
          <t>1984-10-20</t>
        </is>
      </c>
    </row>
    <row r="30999">
      <c r="A30999" s="1" t="n">
        <v>30998</v>
      </c>
      <c r="B30999">
        <f>TEXT(30998, "[$-0E0000]yyyy-mm-dd")</f>
        <v/>
      </c>
      <c r="C30999" t="inlineStr">
        <is>
          <t>1984-10-21</t>
        </is>
      </c>
    </row>
    <row r="31000">
      <c r="A31000" s="1" t="n">
        <v>30999</v>
      </c>
      <c r="B31000">
        <f>TEXT(30999, "[$-0E0000]yyyy-mm-dd")</f>
        <v/>
      </c>
      <c r="C31000" t="inlineStr">
        <is>
          <t>1984-10-22</t>
        </is>
      </c>
    </row>
    <row r="31001">
      <c r="A31001" s="1" t="n">
        <v>31000</v>
      </c>
      <c r="B31001">
        <f>TEXT(31000, "[$-0E0000]yyyy-mm-dd")</f>
        <v/>
      </c>
      <c r="C31001" t="inlineStr">
        <is>
          <t>1984-10-23</t>
        </is>
      </c>
    </row>
    <row r="31002">
      <c r="A31002" s="1" t="n">
        <v>31001</v>
      </c>
      <c r="B31002">
        <f>TEXT(31001, "[$-0E0000]yyyy-mm-dd")</f>
        <v/>
      </c>
      <c r="C31002" t="inlineStr">
        <is>
          <t>1984-10-24</t>
        </is>
      </c>
    </row>
    <row r="31003">
      <c r="A31003" s="1" t="n">
        <v>31002</v>
      </c>
      <c r="B31003">
        <f>TEXT(31002, "[$-0E0000]yyyy-mm-dd")</f>
        <v/>
      </c>
      <c r="C31003" t="inlineStr">
        <is>
          <t>1984-10-25</t>
        </is>
      </c>
    </row>
    <row r="31004">
      <c r="A31004" s="1" t="n">
        <v>31003</v>
      </c>
      <c r="B31004">
        <f>TEXT(31003, "[$-0E0000]yyyy-mm-dd")</f>
        <v/>
      </c>
      <c r="C31004" t="inlineStr">
        <is>
          <t>1984-10-26</t>
        </is>
      </c>
    </row>
    <row r="31005">
      <c r="A31005" s="1" t="n">
        <v>31004</v>
      </c>
      <c r="B31005">
        <f>TEXT(31004, "[$-0E0000]yyyy-mm-dd")</f>
        <v/>
      </c>
      <c r="C31005" t="inlineStr">
        <is>
          <t>1984-10-27</t>
        </is>
      </c>
    </row>
    <row r="31006">
      <c r="A31006" s="1" t="n">
        <v>31005</v>
      </c>
      <c r="B31006">
        <f>TEXT(31005, "[$-0E0000]yyyy-mm-dd")</f>
        <v/>
      </c>
      <c r="C31006" t="inlineStr">
        <is>
          <t>1984-10-28</t>
        </is>
      </c>
    </row>
    <row r="31007">
      <c r="A31007" s="1" t="n">
        <v>31006</v>
      </c>
      <c r="B31007">
        <f>TEXT(31006, "[$-0E0000]yyyy-mm-dd")</f>
        <v/>
      </c>
      <c r="C31007" t="inlineStr">
        <is>
          <t>1984-10-29</t>
        </is>
      </c>
    </row>
    <row r="31008">
      <c r="A31008" s="1" t="n">
        <v>31007</v>
      </c>
      <c r="B31008">
        <f>TEXT(31007, "[$-0E0000]yyyy-mm-dd")</f>
        <v/>
      </c>
      <c r="C31008" t="inlineStr">
        <is>
          <t>1984-10-30</t>
        </is>
      </c>
    </row>
    <row r="31009">
      <c r="A31009" s="1" t="n">
        <v>31008</v>
      </c>
      <c r="B31009">
        <f>TEXT(31008, "[$-0E0000]yyyy-mm-dd")</f>
        <v/>
      </c>
      <c r="C31009" t="inlineStr">
        <is>
          <t>1984-10-01</t>
        </is>
      </c>
    </row>
    <row r="31010">
      <c r="A31010" s="1" t="n">
        <v>31009</v>
      </c>
      <c r="B31010">
        <f>TEXT(31009, "[$-0E0000]yyyy-mm-dd")</f>
        <v/>
      </c>
      <c r="C31010" t="inlineStr">
        <is>
          <t>1984-10-02</t>
        </is>
      </c>
    </row>
    <row r="31011">
      <c r="A31011" s="1" t="n">
        <v>31010</v>
      </c>
      <c r="B31011">
        <f>TEXT(31010, "[$-0E0000]yyyy-mm-dd")</f>
        <v/>
      </c>
      <c r="C31011" t="inlineStr">
        <is>
          <t>1984-10-03</t>
        </is>
      </c>
    </row>
    <row r="31012">
      <c r="A31012" s="1" t="n">
        <v>31011</v>
      </c>
      <c r="B31012">
        <f>TEXT(31011, "[$-0E0000]yyyy-mm-dd")</f>
        <v/>
      </c>
      <c r="C31012" t="inlineStr">
        <is>
          <t>1984-10-04</t>
        </is>
      </c>
    </row>
    <row r="31013">
      <c r="A31013" s="1" t="n">
        <v>31012</v>
      </c>
      <c r="B31013">
        <f>TEXT(31012, "[$-0E0000]yyyy-mm-dd")</f>
        <v/>
      </c>
      <c r="C31013" t="inlineStr">
        <is>
          <t>1984-10-05</t>
        </is>
      </c>
    </row>
    <row r="31014">
      <c r="A31014" s="1" t="n">
        <v>31013</v>
      </c>
      <c r="B31014">
        <f>TEXT(31013, "[$-0E0000]yyyy-mm-dd")</f>
        <v/>
      </c>
      <c r="C31014" t="inlineStr">
        <is>
          <t>1984-10-06</t>
        </is>
      </c>
    </row>
    <row r="31015">
      <c r="A31015" s="1" t="n">
        <v>31014</v>
      </c>
      <c r="B31015">
        <f>TEXT(31014, "[$-0E0000]yyyy-mm-dd")</f>
        <v/>
      </c>
      <c r="C31015" t="inlineStr">
        <is>
          <t>1984-10-07</t>
        </is>
      </c>
    </row>
    <row r="31016">
      <c r="A31016" s="1" t="n">
        <v>31015</v>
      </c>
      <c r="B31016">
        <f>TEXT(31015, "[$-0E0000]yyyy-mm-dd")</f>
        <v/>
      </c>
      <c r="C31016" t="inlineStr">
        <is>
          <t>1984-10-08</t>
        </is>
      </c>
    </row>
    <row r="31017">
      <c r="A31017" s="1" t="n">
        <v>31016</v>
      </c>
      <c r="B31017">
        <f>TEXT(31016, "[$-0E0000]yyyy-mm-dd")</f>
        <v/>
      </c>
      <c r="C31017" t="inlineStr">
        <is>
          <t>1984-10-09</t>
        </is>
      </c>
    </row>
    <row r="31018">
      <c r="A31018" s="1" t="n">
        <v>31017</v>
      </c>
      <c r="B31018">
        <f>TEXT(31017, "[$-0E0000]yyyy-mm-dd")</f>
        <v/>
      </c>
      <c r="C31018" t="inlineStr">
        <is>
          <t>1984-10-10</t>
        </is>
      </c>
    </row>
    <row r="31019">
      <c r="A31019" s="1" t="n">
        <v>31018</v>
      </c>
      <c r="B31019">
        <f>TEXT(31018, "[$-0E0000]yyyy-mm-dd")</f>
        <v/>
      </c>
      <c r="C31019" t="inlineStr">
        <is>
          <t>1984-10-11</t>
        </is>
      </c>
    </row>
    <row r="31020">
      <c r="A31020" s="1" t="n">
        <v>31019</v>
      </c>
      <c r="B31020">
        <f>TEXT(31019, "[$-0E0000]yyyy-mm-dd")</f>
        <v/>
      </c>
      <c r="C31020" t="inlineStr">
        <is>
          <t>1984-10-12</t>
        </is>
      </c>
    </row>
    <row r="31021">
      <c r="A31021" s="1" t="n">
        <v>31020</v>
      </c>
      <c r="B31021">
        <f>TEXT(31020, "[$-0E0000]yyyy-mm-dd")</f>
        <v/>
      </c>
      <c r="C31021" t="inlineStr">
        <is>
          <t>1984-10-13</t>
        </is>
      </c>
    </row>
    <row r="31022">
      <c r="A31022" s="1" t="n">
        <v>31021</v>
      </c>
      <c r="B31022">
        <f>TEXT(31021, "[$-0E0000]yyyy-mm-dd")</f>
        <v/>
      </c>
      <c r="C31022" t="inlineStr">
        <is>
          <t>1984-10-14</t>
        </is>
      </c>
    </row>
    <row r="31023">
      <c r="A31023" s="1" t="n">
        <v>31022</v>
      </c>
      <c r="B31023">
        <f>TEXT(31022, "[$-0E0000]yyyy-mm-dd")</f>
        <v/>
      </c>
      <c r="C31023" t="inlineStr">
        <is>
          <t>1984-10-15</t>
        </is>
      </c>
    </row>
    <row r="31024">
      <c r="A31024" s="1" t="n">
        <v>31023</v>
      </c>
      <c r="B31024">
        <f>TEXT(31023, "[$-0E0000]yyyy-mm-dd")</f>
        <v/>
      </c>
      <c r="C31024" t="inlineStr">
        <is>
          <t>1984-10-16</t>
        </is>
      </c>
    </row>
    <row r="31025">
      <c r="A31025" s="1" t="n">
        <v>31024</v>
      </c>
      <c r="B31025">
        <f>TEXT(31024, "[$-0E0000]yyyy-mm-dd")</f>
        <v/>
      </c>
      <c r="C31025" t="inlineStr">
        <is>
          <t>1984-10-17</t>
        </is>
      </c>
    </row>
    <row r="31026">
      <c r="A31026" s="1" t="n">
        <v>31025</v>
      </c>
      <c r="B31026">
        <f>TEXT(31025, "[$-0E0000]yyyy-mm-dd")</f>
        <v/>
      </c>
      <c r="C31026" t="inlineStr">
        <is>
          <t>1984-10-18</t>
        </is>
      </c>
    </row>
    <row r="31027">
      <c r="A31027" s="1" t="n">
        <v>31026</v>
      </c>
      <c r="B31027">
        <f>TEXT(31026, "[$-0E0000]yyyy-mm-dd")</f>
        <v/>
      </c>
      <c r="C31027" t="inlineStr">
        <is>
          <t>1984-10-19</t>
        </is>
      </c>
    </row>
    <row r="31028">
      <c r="A31028" s="1" t="n">
        <v>31027</v>
      </c>
      <c r="B31028">
        <f>TEXT(31027, "[$-0E0000]yyyy-mm-dd")</f>
        <v/>
      </c>
      <c r="C31028" t="inlineStr">
        <is>
          <t>1984-10-20</t>
        </is>
      </c>
    </row>
    <row r="31029">
      <c r="A31029" s="1" t="n">
        <v>31028</v>
      </c>
      <c r="B31029">
        <f>TEXT(31028, "[$-0E0000]yyyy-mm-dd")</f>
        <v/>
      </c>
      <c r="C31029" t="inlineStr">
        <is>
          <t>1984-10-21</t>
        </is>
      </c>
    </row>
    <row r="31030">
      <c r="A31030" s="1" t="n">
        <v>31029</v>
      </c>
      <c r="B31030">
        <f>TEXT(31029, "[$-0E0000]yyyy-mm-dd")</f>
        <v/>
      </c>
      <c r="C31030" t="inlineStr">
        <is>
          <t>1984-10-22</t>
        </is>
      </c>
    </row>
    <row r="31031">
      <c r="A31031" s="1" t="n">
        <v>31030</v>
      </c>
      <c r="B31031">
        <f>TEXT(31030, "[$-0E0000]yyyy-mm-dd")</f>
        <v/>
      </c>
      <c r="C31031" t="inlineStr">
        <is>
          <t>1984-10-23</t>
        </is>
      </c>
    </row>
    <row r="31032">
      <c r="A31032" s="1" t="n">
        <v>31031</v>
      </c>
      <c r="B31032">
        <f>TEXT(31031, "[$-0E0000]yyyy-mm-dd")</f>
        <v/>
      </c>
      <c r="C31032" t="inlineStr">
        <is>
          <t>1984-10-24</t>
        </is>
      </c>
    </row>
    <row r="31033">
      <c r="A31033" s="1" t="n">
        <v>31032</v>
      </c>
      <c r="B31033">
        <f>TEXT(31032, "[$-0E0000]yyyy-mm-dd")</f>
        <v/>
      </c>
      <c r="C31033" t="inlineStr">
        <is>
          <t>1984-10-25</t>
        </is>
      </c>
    </row>
    <row r="31034">
      <c r="A31034" s="1" t="n">
        <v>31033</v>
      </c>
      <c r="B31034">
        <f>TEXT(31033, "[$-0E0000]yyyy-mm-dd")</f>
        <v/>
      </c>
      <c r="C31034" t="inlineStr">
        <is>
          <t>1984-10-26</t>
        </is>
      </c>
    </row>
    <row r="31035">
      <c r="A31035" s="1" t="n">
        <v>31034</v>
      </c>
      <c r="B31035">
        <f>TEXT(31034, "[$-0E0000]yyyy-mm-dd")</f>
        <v/>
      </c>
      <c r="C31035" t="inlineStr">
        <is>
          <t>1984-10-27</t>
        </is>
      </c>
    </row>
    <row r="31036">
      <c r="A31036" s="1" t="n">
        <v>31035</v>
      </c>
      <c r="B31036">
        <f>TEXT(31035, "[$-0E0000]yyyy-mm-dd")</f>
        <v/>
      </c>
      <c r="C31036" t="inlineStr">
        <is>
          <t>1984-10-28</t>
        </is>
      </c>
    </row>
    <row r="31037">
      <c r="A31037" s="1" t="n">
        <v>31036</v>
      </c>
      <c r="B31037">
        <f>TEXT(31036, "[$-0E0000]yyyy-mm-dd")</f>
        <v/>
      </c>
      <c r="C31037" t="inlineStr">
        <is>
          <t>1984-10-29</t>
        </is>
      </c>
    </row>
    <row r="31038">
      <c r="A31038" s="1" t="n">
        <v>31037</v>
      </c>
      <c r="B31038">
        <f>TEXT(31037, "[$-0E0000]yyyy-mm-dd")</f>
        <v/>
      </c>
      <c r="C31038" t="inlineStr">
        <is>
          <t>1984-11-01</t>
        </is>
      </c>
    </row>
    <row r="31039">
      <c r="A31039" s="1" t="n">
        <v>31038</v>
      </c>
      <c r="B31039">
        <f>TEXT(31038, "[$-0E0000]yyyy-mm-dd")</f>
        <v/>
      </c>
      <c r="C31039" t="inlineStr">
        <is>
          <t>1984-11-02</t>
        </is>
      </c>
    </row>
    <row r="31040">
      <c r="A31040" s="1" t="n">
        <v>31039</v>
      </c>
      <c r="B31040">
        <f>TEXT(31039, "[$-0E0000]yyyy-mm-dd")</f>
        <v/>
      </c>
      <c r="C31040" t="inlineStr">
        <is>
          <t>1984-11-03</t>
        </is>
      </c>
    </row>
    <row r="31041">
      <c r="A31041" s="1" t="n">
        <v>31040</v>
      </c>
      <c r="B31041">
        <f>TEXT(31040, "[$-0E0000]yyyy-mm-dd")</f>
        <v/>
      </c>
      <c r="C31041" t="inlineStr">
        <is>
          <t>1984-11-04</t>
        </is>
      </c>
    </row>
    <row r="31042">
      <c r="A31042" s="1" t="n">
        <v>31041</v>
      </c>
      <c r="B31042">
        <f>TEXT(31041, "[$-0E0000]yyyy-mm-dd")</f>
        <v/>
      </c>
      <c r="C31042" t="inlineStr">
        <is>
          <t>1984-11-05</t>
        </is>
      </c>
    </row>
    <row r="31043">
      <c r="A31043" s="1" t="n">
        <v>31042</v>
      </c>
      <c r="B31043">
        <f>TEXT(31042, "[$-0E0000]yyyy-mm-dd")</f>
        <v/>
      </c>
      <c r="C31043" t="inlineStr">
        <is>
          <t>1984-11-06</t>
        </is>
      </c>
    </row>
    <row r="31044">
      <c r="A31044" s="1" t="n">
        <v>31043</v>
      </c>
      <c r="B31044">
        <f>TEXT(31043, "[$-0E0000]yyyy-mm-dd")</f>
        <v/>
      </c>
      <c r="C31044" t="inlineStr">
        <is>
          <t>1984-11-07</t>
        </is>
      </c>
    </row>
    <row r="31045">
      <c r="A31045" s="1" t="n">
        <v>31044</v>
      </c>
      <c r="B31045">
        <f>TEXT(31044, "[$-0E0000]yyyy-mm-dd")</f>
        <v/>
      </c>
      <c r="C31045" t="inlineStr">
        <is>
          <t>1984-11-08</t>
        </is>
      </c>
    </row>
    <row r="31046">
      <c r="A31046" s="1" t="n">
        <v>31045</v>
      </c>
      <c r="B31046">
        <f>TEXT(31045, "[$-0E0000]yyyy-mm-dd")</f>
        <v/>
      </c>
      <c r="C31046" t="inlineStr">
        <is>
          <t>1984-11-09</t>
        </is>
      </c>
    </row>
    <row r="31047">
      <c r="A31047" s="1" t="n">
        <v>31046</v>
      </c>
      <c r="B31047">
        <f>TEXT(31046, "[$-0E0000]yyyy-mm-dd")</f>
        <v/>
      </c>
      <c r="C31047" t="inlineStr">
        <is>
          <t>1984-11-10</t>
        </is>
      </c>
    </row>
    <row r="31048">
      <c r="A31048" s="1" t="n">
        <v>31047</v>
      </c>
      <c r="B31048">
        <f>TEXT(31047, "[$-0E0000]yyyy-mm-dd")</f>
        <v/>
      </c>
      <c r="C31048" t="inlineStr">
        <is>
          <t>1984-11-11</t>
        </is>
      </c>
    </row>
    <row r="31049">
      <c r="A31049" s="1" t="n">
        <v>31048</v>
      </c>
      <c r="B31049">
        <f>TEXT(31048, "[$-0E0000]yyyy-mm-dd")</f>
        <v/>
      </c>
      <c r="C31049" t="inlineStr">
        <is>
          <t>1984-11-12</t>
        </is>
      </c>
    </row>
    <row r="31050">
      <c r="A31050" s="1" t="n">
        <v>31049</v>
      </c>
      <c r="B31050">
        <f>TEXT(31049, "[$-0E0000]yyyy-mm-dd")</f>
        <v/>
      </c>
      <c r="C31050" t="inlineStr">
        <is>
          <t>1984-11-13</t>
        </is>
      </c>
    </row>
    <row r="31051">
      <c r="A31051" s="1" t="n">
        <v>31050</v>
      </c>
      <c r="B31051">
        <f>TEXT(31050, "[$-0E0000]yyyy-mm-dd")</f>
        <v/>
      </c>
      <c r="C31051" t="inlineStr">
        <is>
          <t>1984-11-14</t>
        </is>
      </c>
    </row>
    <row r="31052">
      <c r="A31052" s="1" t="n">
        <v>31051</v>
      </c>
      <c r="B31052">
        <f>TEXT(31051, "[$-0E0000]yyyy-mm-dd")</f>
        <v/>
      </c>
      <c r="C31052" t="inlineStr">
        <is>
          <t>1984-11-15</t>
        </is>
      </c>
    </row>
    <row r="31053">
      <c r="A31053" s="1" t="n">
        <v>31052</v>
      </c>
      <c r="B31053">
        <f>TEXT(31052, "[$-0E0000]yyyy-mm-dd")</f>
        <v/>
      </c>
      <c r="C31053" t="inlineStr">
        <is>
          <t>1984-11-16</t>
        </is>
      </c>
    </row>
    <row r="31054">
      <c r="A31054" s="1" t="n">
        <v>31053</v>
      </c>
      <c r="B31054">
        <f>TEXT(31053, "[$-0E0000]yyyy-mm-dd")</f>
        <v/>
      </c>
      <c r="C31054" t="inlineStr">
        <is>
          <t>1984-11-17</t>
        </is>
      </c>
    </row>
    <row r="31055">
      <c r="A31055" s="1" t="n">
        <v>31054</v>
      </c>
      <c r="B31055">
        <f>TEXT(31054, "[$-0E0000]yyyy-mm-dd")</f>
        <v/>
      </c>
      <c r="C31055" t="inlineStr">
        <is>
          <t>1984-11-18</t>
        </is>
      </c>
    </row>
    <row r="31056">
      <c r="A31056" s="1" t="n">
        <v>31055</v>
      </c>
      <c r="B31056">
        <f>TEXT(31055, "[$-0E0000]yyyy-mm-dd")</f>
        <v/>
      </c>
      <c r="C31056" t="inlineStr">
        <is>
          <t>1984-11-19</t>
        </is>
      </c>
    </row>
    <row r="31057">
      <c r="A31057" s="1" t="n">
        <v>31056</v>
      </c>
      <c r="B31057">
        <f>TEXT(31056, "[$-0E0000]yyyy-mm-dd")</f>
        <v/>
      </c>
      <c r="C31057" t="inlineStr">
        <is>
          <t>1984-11-20</t>
        </is>
      </c>
    </row>
    <row r="31058">
      <c r="A31058" s="1" t="n">
        <v>31057</v>
      </c>
      <c r="B31058">
        <f>TEXT(31057, "[$-0E0000]yyyy-mm-dd")</f>
        <v/>
      </c>
      <c r="C31058" t="inlineStr">
        <is>
          <t>1984-11-21</t>
        </is>
      </c>
    </row>
    <row r="31059">
      <c r="A31059" s="1" t="n">
        <v>31058</v>
      </c>
      <c r="B31059">
        <f>TEXT(31058, "[$-0E0000]yyyy-mm-dd")</f>
        <v/>
      </c>
      <c r="C31059" t="inlineStr">
        <is>
          <t>1984-11-22</t>
        </is>
      </c>
    </row>
    <row r="31060">
      <c r="A31060" s="1" t="n">
        <v>31059</v>
      </c>
      <c r="B31060">
        <f>TEXT(31059, "[$-0E0000]yyyy-mm-dd")</f>
        <v/>
      </c>
      <c r="C31060" t="inlineStr">
        <is>
          <t>1984-11-23</t>
        </is>
      </c>
    </row>
    <row r="31061">
      <c r="A31061" s="1" t="n">
        <v>31060</v>
      </c>
      <c r="B31061">
        <f>TEXT(31060, "[$-0E0000]yyyy-mm-dd")</f>
        <v/>
      </c>
      <c r="C31061" t="inlineStr">
        <is>
          <t>1984-11-24</t>
        </is>
      </c>
    </row>
    <row r="31062">
      <c r="A31062" s="1" t="n">
        <v>31061</v>
      </c>
      <c r="B31062">
        <f>TEXT(31061, "[$-0E0000]yyyy-mm-dd")</f>
        <v/>
      </c>
      <c r="C31062" t="inlineStr">
        <is>
          <t>1984-11-25</t>
        </is>
      </c>
    </row>
    <row r="31063">
      <c r="A31063" s="1" t="n">
        <v>31062</v>
      </c>
      <c r="B31063">
        <f>TEXT(31062, "[$-0E0000]yyyy-mm-dd")</f>
        <v/>
      </c>
      <c r="C31063" t="inlineStr">
        <is>
          <t>1984-11-26</t>
        </is>
      </c>
    </row>
    <row r="31064">
      <c r="A31064" s="1" t="n">
        <v>31063</v>
      </c>
      <c r="B31064">
        <f>TEXT(31063, "[$-0E0000]yyyy-mm-dd")</f>
        <v/>
      </c>
      <c r="C31064" t="inlineStr">
        <is>
          <t>1984-11-27</t>
        </is>
      </c>
    </row>
    <row r="31065">
      <c r="A31065" s="1" t="n">
        <v>31064</v>
      </c>
      <c r="B31065">
        <f>TEXT(31064, "[$-0E0000]yyyy-mm-dd")</f>
        <v/>
      </c>
      <c r="C31065" t="inlineStr">
        <is>
          <t>1984-11-28</t>
        </is>
      </c>
    </row>
    <row r="31066">
      <c r="A31066" s="1" t="n">
        <v>31065</v>
      </c>
      <c r="B31066">
        <f>TEXT(31065, "[$-0E0000]yyyy-mm-dd")</f>
        <v/>
      </c>
      <c r="C31066" t="inlineStr">
        <is>
          <t>1984-11-29</t>
        </is>
      </c>
    </row>
    <row r="31067">
      <c r="A31067" s="1" t="n">
        <v>31066</v>
      </c>
      <c r="B31067">
        <f>TEXT(31066, "[$-0E0000]yyyy-mm-dd")</f>
        <v/>
      </c>
      <c r="C31067" t="inlineStr">
        <is>
          <t>1984-11-30</t>
        </is>
      </c>
    </row>
    <row r="31068">
      <c r="A31068" s="1" t="n">
        <v>31067</v>
      </c>
      <c r="B31068">
        <f>TEXT(31067, "[$-0E0000]yyyy-mm-dd")</f>
        <v/>
      </c>
      <c r="C31068" t="inlineStr">
        <is>
          <t>1984-12-01</t>
        </is>
      </c>
    </row>
    <row r="31069">
      <c r="A31069" s="1" t="n">
        <v>31068</v>
      </c>
      <c r="B31069">
        <f>TEXT(31068, "[$-0E0000]yyyy-mm-dd")</f>
        <v/>
      </c>
      <c r="C31069" t="inlineStr">
        <is>
          <t>1984-12-02</t>
        </is>
      </c>
    </row>
    <row r="31070">
      <c r="A31070" s="1" t="n">
        <v>31069</v>
      </c>
      <c r="B31070">
        <f>TEXT(31069, "[$-0E0000]yyyy-mm-dd")</f>
        <v/>
      </c>
      <c r="C31070" t="inlineStr">
        <is>
          <t>1984-12-03</t>
        </is>
      </c>
    </row>
    <row r="31071">
      <c r="A31071" s="1" t="n">
        <v>31070</v>
      </c>
      <c r="B31071">
        <f>TEXT(31070, "[$-0E0000]yyyy-mm-dd")</f>
        <v/>
      </c>
      <c r="C31071" t="inlineStr">
        <is>
          <t>1984-12-04</t>
        </is>
      </c>
    </row>
    <row r="31072">
      <c r="A31072" s="1" t="n">
        <v>31071</v>
      </c>
      <c r="B31072">
        <f>TEXT(31071, "[$-0E0000]yyyy-mm-dd")</f>
        <v/>
      </c>
      <c r="C31072" t="inlineStr">
        <is>
          <t>1984-12-05</t>
        </is>
      </c>
    </row>
    <row r="31073">
      <c r="A31073" s="1" t="n">
        <v>31072</v>
      </c>
      <c r="B31073">
        <f>TEXT(31072, "[$-0E0000]yyyy-mm-dd")</f>
        <v/>
      </c>
      <c r="C31073" t="inlineStr">
        <is>
          <t>1984-12-06</t>
        </is>
      </c>
    </row>
    <row r="31074">
      <c r="A31074" s="1" t="n">
        <v>31073</v>
      </c>
      <c r="B31074">
        <f>TEXT(31073, "[$-0E0000]yyyy-mm-dd")</f>
        <v/>
      </c>
      <c r="C31074" t="inlineStr">
        <is>
          <t>1984-12-07</t>
        </is>
      </c>
    </row>
    <row r="31075">
      <c r="A31075" s="1" t="n">
        <v>31074</v>
      </c>
      <c r="B31075">
        <f>TEXT(31074, "[$-0E0000]yyyy-mm-dd")</f>
        <v/>
      </c>
      <c r="C31075" t="inlineStr">
        <is>
          <t>1984-12-08</t>
        </is>
      </c>
    </row>
    <row r="31076">
      <c r="A31076" s="1" t="n">
        <v>31075</v>
      </c>
      <c r="B31076">
        <f>TEXT(31075, "[$-0E0000]yyyy-mm-dd")</f>
        <v/>
      </c>
      <c r="C31076" t="inlineStr">
        <is>
          <t>1984-12-09</t>
        </is>
      </c>
    </row>
    <row r="31077">
      <c r="A31077" s="1" t="n">
        <v>31076</v>
      </c>
      <c r="B31077">
        <f>TEXT(31076, "[$-0E0000]yyyy-mm-dd")</f>
        <v/>
      </c>
      <c r="C31077" t="inlineStr">
        <is>
          <t>1984-12-10</t>
        </is>
      </c>
    </row>
    <row r="31078">
      <c r="A31078" s="1" t="n">
        <v>31077</v>
      </c>
      <c r="B31078">
        <f>TEXT(31077, "[$-0E0000]yyyy-mm-dd")</f>
        <v/>
      </c>
      <c r="C31078" t="inlineStr">
        <is>
          <t>1984-12-11</t>
        </is>
      </c>
    </row>
    <row r="31079">
      <c r="A31079" s="1" t="n">
        <v>31078</v>
      </c>
      <c r="B31079">
        <f>TEXT(31078, "[$-0E0000]yyyy-mm-dd")</f>
        <v/>
      </c>
      <c r="C31079" t="inlineStr">
        <is>
          <t>1984-12-12</t>
        </is>
      </c>
    </row>
    <row r="31080">
      <c r="A31080" s="1" t="n">
        <v>31079</v>
      </c>
      <c r="B31080">
        <f>TEXT(31079, "[$-0E0000]yyyy-mm-dd")</f>
        <v/>
      </c>
      <c r="C31080" t="inlineStr">
        <is>
          <t>1984-12-13</t>
        </is>
      </c>
    </row>
    <row r="31081">
      <c r="A31081" s="1" t="n">
        <v>31080</v>
      </c>
      <c r="B31081">
        <f>TEXT(31080, "[$-0E0000]yyyy-mm-dd")</f>
        <v/>
      </c>
      <c r="C31081" t="inlineStr">
        <is>
          <t>1984-12-14</t>
        </is>
      </c>
    </row>
    <row r="31082">
      <c r="A31082" s="1" t="n">
        <v>31081</v>
      </c>
      <c r="B31082">
        <f>TEXT(31081, "[$-0E0000]yyyy-mm-dd")</f>
        <v/>
      </c>
      <c r="C31082" t="inlineStr">
        <is>
          <t>1984-12-15</t>
        </is>
      </c>
    </row>
    <row r="31083">
      <c r="A31083" s="1" t="n">
        <v>31082</v>
      </c>
      <c r="B31083">
        <f>TEXT(31082, "[$-0E0000]yyyy-mm-dd")</f>
        <v/>
      </c>
      <c r="C31083" t="inlineStr">
        <is>
          <t>1984-12-16</t>
        </is>
      </c>
    </row>
    <row r="31084">
      <c r="A31084" s="1" t="n">
        <v>31083</v>
      </c>
      <c r="B31084">
        <f>TEXT(31083, "[$-0E0000]yyyy-mm-dd")</f>
        <v/>
      </c>
      <c r="C31084" t="inlineStr">
        <is>
          <t>1984-12-17</t>
        </is>
      </c>
    </row>
    <row r="31085">
      <c r="A31085" s="1" t="n">
        <v>31084</v>
      </c>
      <c r="B31085">
        <f>TEXT(31084, "[$-0E0000]yyyy-mm-dd")</f>
        <v/>
      </c>
      <c r="C31085" t="inlineStr">
        <is>
          <t>1984-12-18</t>
        </is>
      </c>
    </row>
    <row r="31086">
      <c r="A31086" s="1" t="n">
        <v>31085</v>
      </c>
      <c r="B31086">
        <f>TEXT(31085, "[$-0E0000]yyyy-mm-dd")</f>
        <v/>
      </c>
      <c r="C31086" t="inlineStr">
        <is>
          <t>1984-12-19</t>
        </is>
      </c>
    </row>
    <row r="31087">
      <c r="A31087" s="1" t="n">
        <v>31086</v>
      </c>
      <c r="B31087">
        <f>TEXT(31086, "[$-0E0000]yyyy-mm-dd")</f>
        <v/>
      </c>
      <c r="C31087" t="inlineStr">
        <is>
          <t>1984-12-20</t>
        </is>
      </c>
    </row>
    <row r="31088">
      <c r="A31088" s="1" t="n">
        <v>31087</v>
      </c>
      <c r="B31088">
        <f>TEXT(31087, "[$-0E0000]yyyy-mm-dd")</f>
        <v/>
      </c>
      <c r="C31088" t="inlineStr">
        <is>
          <t>1984-12-21</t>
        </is>
      </c>
    </row>
    <row r="31089">
      <c r="A31089" s="1" t="n">
        <v>31088</v>
      </c>
      <c r="B31089">
        <f>TEXT(31088, "[$-0E0000]yyyy-mm-dd")</f>
        <v/>
      </c>
      <c r="C31089" t="inlineStr">
        <is>
          <t>1984-12-22</t>
        </is>
      </c>
    </row>
    <row r="31090">
      <c r="A31090" s="1" t="n">
        <v>31089</v>
      </c>
      <c r="B31090">
        <f>TEXT(31089, "[$-0E0000]yyyy-mm-dd")</f>
        <v/>
      </c>
      <c r="C31090" t="inlineStr">
        <is>
          <t>1984-12-23</t>
        </is>
      </c>
    </row>
    <row r="31091">
      <c r="A31091" s="1" t="n">
        <v>31090</v>
      </c>
      <c r="B31091">
        <f>TEXT(31090, "[$-0E0000]yyyy-mm-dd")</f>
        <v/>
      </c>
      <c r="C31091" t="inlineStr">
        <is>
          <t>1984-12-24</t>
        </is>
      </c>
    </row>
    <row r="31092">
      <c r="A31092" s="1" t="n">
        <v>31091</v>
      </c>
      <c r="B31092">
        <f>TEXT(31091, "[$-0E0000]yyyy-mm-dd")</f>
        <v/>
      </c>
      <c r="C31092" t="inlineStr">
        <is>
          <t>1984-12-25</t>
        </is>
      </c>
    </row>
    <row r="31093">
      <c r="A31093" s="1" t="n">
        <v>31092</v>
      </c>
      <c r="B31093">
        <f>TEXT(31092, "[$-0E0000]yyyy-mm-dd")</f>
        <v/>
      </c>
      <c r="C31093" t="inlineStr">
        <is>
          <t>1984-12-26</t>
        </is>
      </c>
    </row>
    <row r="31094">
      <c r="A31094" s="1" t="n">
        <v>31093</v>
      </c>
      <c r="B31094">
        <f>TEXT(31093, "[$-0E0000]yyyy-mm-dd")</f>
        <v/>
      </c>
      <c r="C31094" t="inlineStr">
        <is>
          <t>1984-12-27</t>
        </is>
      </c>
    </row>
    <row r="31095">
      <c r="A31095" s="1" t="n">
        <v>31094</v>
      </c>
      <c r="B31095">
        <f>TEXT(31094, "[$-0E0000]yyyy-mm-dd")</f>
        <v/>
      </c>
      <c r="C31095" t="inlineStr">
        <is>
          <t>1984-12-28</t>
        </is>
      </c>
    </row>
    <row r="31096">
      <c r="A31096" s="1" t="n">
        <v>31095</v>
      </c>
      <c r="B31096">
        <f>TEXT(31095, "[$-0E0000]yyyy-mm-dd")</f>
        <v/>
      </c>
      <c r="C31096" t="inlineStr">
        <is>
          <t>1984-12-29</t>
        </is>
      </c>
    </row>
    <row r="31097">
      <c r="A31097" s="1" t="n">
        <v>31096</v>
      </c>
      <c r="B31097">
        <f>TEXT(31096, "[$-0E0000]yyyy-mm-dd")</f>
        <v/>
      </c>
      <c r="C31097" t="inlineStr">
        <is>
          <t>1984-12-30</t>
        </is>
      </c>
    </row>
    <row r="31098">
      <c r="A31098" s="1" t="n">
        <v>31097</v>
      </c>
      <c r="B31098">
        <f>TEXT(31097, "[$-0E0000]yyyy-mm-dd")</f>
        <v/>
      </c>
      <c r="C31098" t="inlineStr">
        <is>
          <t>1985-01-01</t>
        </is>
      </c>
    </row>
    <row r="31099">
      <c r="A31099" s="1" t="n">
        <v>31098</v>
      </c>
      <c r="B31099">
        <f>TEXT(31098, "[$-0E0000]yyyy-mm-dd")</f>
        <v/>
      </c>
      <c r="C31099" t="inlineStr">
        <is>
          <t>1985-01-02</t>
        </is>
      </c>
    </row>
    <row r="31100">
      <c r="A31100" s="1" t="n">
        <v>31099</v>
      </c>
      <c r="B31100">
        <f>TEXT(31099, "[$-0E0000]yyyy-mm-dd")</f>
        <v/>
      </c>
      <c r="C31100" t="inlineStr">
        <is>
          <t>1985-01-03</t>
        </is>
      </c>
    </row>
    <row r="31101">
      <c r="A31101" s="1" t="n">
        <v>31100</v>
      </c>
      <c r="B31101">
        <f>TEXT(31100, "[$-0E0000]yyyy-mm-dd")</f>
        <v/>
      </c>
      <c r="C31101" t="inlineStr">
        <is>
          <t>1985-01-04</t>
        </is>
      </c>
    </row>
    <row r="31102">
      <c r="A31102" s="1" t="n">
        <v>31101</v>
      </c>
      <c r="B31102">
        <f>TEXT(31101, "[$-0E0000]yyyy-mm-dd")</f>
        <v/>
      </c>
      <c r="C31102" t="inlineStr">
        <is>
          <t>1985-01-05</t>
        </is>
      </c>
    </row>
    <row r="31103">
      <c r="A31103" s="1" t="n">
        <v>31102</v>
      </c>
      <c r="B31103">
        <f>TEXT(31102, "[$-0E0000]yyyy-mm-dd")</f>
        <v/>
      </c>
      <c r="C31103" t="inlineStr">
        <is>
          <t>1985-01-06</t>
        </is>
      </c>
    </row>
    <row r="31104">
      <c r="A31104" s="1" t="n">
        <v>31103</v>
      </c>
      <c r="B31104">
        <f>TEXT(31103, "[$-0E0000]yyyy-mm-dd")</f>
        <v/>
      </c>
      <c r="C31104" t="inlineStr">
        <is>
          <t>1985-01-07</t>
        </is>
      </c>
    </row>
    <row r="31105">
      <c r="A31105" s="1" t="n">
        <v>31104</v>
      </c>
      <c r="B31105">
        <f>TEXT(31104, "[$-0E0000]yyyy-mm-dd")</f>
        <v/>
      </c>
      <c r="C31105" t="inlineStr">
        <is>
          <t>1985-01-08</t>
        </is>
      </c>
    </row>
    <row r="31106">
      <c r="A31106" s="1" t="n">
        <v>31105</v>
      </c>
      <c r="B31106">
        <f>TEXT(31105, "[$-0E0000]yyyy-mm-dd")</f>
        <v/>
      </c>
      <c r="C31106" t="inlineStr">
        <is>
          <t>1985-01-09</t>
        </is>
      </c>
    </row>
    <row r="31107">
      <c r="A31107" s="1" t="n">
        <v>31106</v>
      </c>
      <c r="B31107">
        <f>TEXT(31106, "[$-0E0000]yyyy-mm-dd")</f>
        <v/>
      </c>
      <c r="C31107" t="inlineStr">
        <is>
          <t>1985-01-10</t>
        </is>
      </c>
    </row>
    <row r="31108">
      <c r="A31108" s="1" t="n">
        <v>31107</v>
      </c>
      <c r="B31108">
        <f>TEXT(31107, "[$-0E0000]yyyy-mm-dd")</f>
        <v/>
      </c>
      <c r="C31108" t="inlineStr">
        <is>
          <t>1985-01-11</t>
        </is>
      </c>
    </row>
    <row r="31109">
      <c r="A31109" s="1" t="n">
        <v>31108</v>
      </c>
      <c r="B31109">
        <f>TEXT(31108, "[$-0E0000]yyyy-mm-dd")</f>
        <v/>
      </c>
      <c r="C31109" t="inlineStr">
        <is>
          <t>1985-01-12</t>
        </is>
      </c>
    </row>
    <row r="31110">
      <c r="A31110" s="1" t="n">
        <v>31109</v>
      </c>
      <c r="B31110">
        <f>TEXT(31109, "[$-0E0000]yyyy-mm-dd")</f>
        <v/>
      </c>
      <c r="C31110" t="inlineStr">
        <is>
          <t>1985-01-13</t>
        </is>
      </c>
    </row>
    <row r="31111">
      <c r="A31111" s="1" t="n">
        <v>31110</v>
      </c>
      <c r="B31111">
        <f>TEXT(31110, "[$-0E0000]yyyy-mm-dd")</f>
        <v/>
      </c>
      <c r="C31111" t="inlineStr">
        <is>
          <t>1985-01-14</t>
        </is>
      </c>
    </row>
    <row r="31112">
      <c r="A31112" s="1" t="n">
        <v>31111</v>
      </c>
      <c r="B31112">
        <f>TEXT(31111, "[$-0E0000]yyyy-mm-dd")</f>
        <v/>
      </c>
      <c r="C31112" t="inlineStr">
        <is>
          <t>1985-01-15</t>
        </is>
      </c>
    </row>
    <row r="31113">
      <c r="A31113" s="1" t="n">
        <v>31112</v>
      </c>
      <c r="B31113">
        <f>TEXT(31112, "[$-0E0000]yyyy-mm-dd")</f>
        <v/>
      </c>
      <c r="C31113" t="inlineStr">
        <is>
          <t>1985-01-16</t>
        </is>
      </c>
    </row>
    <row r="31114">
      <c r="A31114" s="1" t="n">
        <v>31113</v>
      </c>
      <c r="B31114">
        <f>TEXT(31113, "[$-0E0000]yyyy-mm-dd")</f>
        <v/>
      </c>
      <c r="C31114" t="inlineStr">
        <is>
          <t>1985-01-17</t>
        </is>
      </c>
    </row>
    <row r="31115">
      <c r="A31115" s="1" t="n">
        <v>31114</v>
      </c>
      <c r="B31115">
        <f>TEXT(31114, "[$-0E0000]yyyy-mm-dd")</f>
        <v/>
      </c>
      <c r="C31115" t="inlineStr">
        <is>
          <t>1985-01-18</t>
        </is>
      </c>
    </row>
    <row r="31116">
      <c r="A31116" s="1" t="n">
        <v>31115</v>
      </c>
      <c r="B31116">
        <f>TEXT(31115, "[$-0E0000]yyyy-mm-dd")</f>
        <v/>
      </c>
      <c r="C31116" t="inlineStr">
        <is>
          <t>1985-01-19</t>
        </is>
      </c>
    </row>
    <row r="31117">
      <c r="A31117" s="1" t="n">
        <v>31116</v>
      </c>
      <c r="B31117">
        <f>TEXT(31116, "[$-0E0000]yyyy-mm-dd")</f>
        <v/>
      </c>
      <c r="C31117" t="inlineStr">
        <is>
          <t>1985-01-20</t>
        </is>
      </c>
    </row>
    <row r="31118">
      <c r="A31118" s="1" t="n">
        <v>31117</v>
      </c>
      <c r="B31118">
        <f>TEXT(31117, "[$-0E0000]yyyy-mm-dd")</f>
        <v/>
      </c>
      <c r="C31118" t="inlineStr">
        <is>
          <t>1985-01-21</t>
        </is>
      </c>
    </row>
    <row r="31119">
      <c r="A31119" s="1" t="n">
        <v>31118</v>
      </c>
      <c r="B31119">
        <f>TEXT(31118, "[$-0E0000]yyyy-mm-dd")</f>
        <v/>
      </c>
      <c r="C31119" t="inlineStr">
        <is>
          <t>1985-01-22</t>
        </is>
      </c>
    </row>
    <row r="31120">
      <c r="A31120" s="1" t="n">
        <v>31119</v>
      </c>
      <c r="B31120">
        <f>TEXT(31119, "[$-0E0000]yyyy-mm-dd")</f>
        <v/>
      </c>
      <c r="C31120" t="inlineStr">
        <is>
          <t>1985-01-23</t>
        </is>
      </c>
    </row>
    <row r="31121">
      <c r="A31121" s="1" t="n">
        <v>31120</v>
      </c>
      <c r="B31121">
        <f>TEXT(31120, "[$-0E0000]yyyy-mm-dd")</f>
        <v/>
      </c>
      <c r="C31121" t="inlineStr">
        <is>
          <t>1985-01-24</t>
        </is>
      </c>
    </row>
    <row r="31122">
      <c r="A31122" s="1" t="n">
        <v>31121</v>
      </c>
      <c r="B31122">
        <f>TEXT(31121, "[$-0E0000]yyyy-mm-dd")</f>
        <v/>
      </c>
      <c r="C31122" t="inlineStr">
        <is>
          <t>1985-01-25</t>
        </is>
      </c>
    </row>
    <row r="31123">
      <c r="A31123" s="1" t="n">
        <v>31122</v>
      </c>
      <c r="B31123">
        <f>TEXT(31122, "[$-0E0000]yyyy-mm-dd")</f>
        <v/>
      </c>
      <c r="C31123" t="inlineStr">
        <is>
          <t>1985-01-26</t>
        </is>
      </c>
    </row>
    <row r="31124">
      <c r="A31124" s="1" t="n">
        <v>31123</v>
      </c>
      <c r="B31124">
        <f>TEXT(31123, "[$-0E0000]yyyy-mm-dd")</f>
        <v/>
      </c>
      <c r="C31124" t="inlineStr">
        <is>
          <t>1985-01-27</t>
        </is>
      </c>
    </row>
    <row r="31125">
      <c r="A31125" s="1" t="n">
        <v>31124</v>
      </c>
      <c r="B31125">
        <f>TEXT(31124, "[$-0E0000]yyyy-mm-dd")</f>
        <v/>
      </c>
      <c r="C31125" t="inlineStr">
        <is>
          <t>1985-01-28</t>
        </is>
      </c>
    </row>
    <row r="31126">
      <c r="A31126" s="1" t="n">
        <v>31125</v>
      </c>
      <c r="B31126">
        <f>TEXT(31125, "[$-0E0000]yyyy-mm-dd")</f>
        <v/>
      </c>
      <c r="C31126" t="inlineStr">
        <is>
          <t>1985-01-29</t>
        </is>
      </c>
    </row>
    <row r="31127">
      <c r="A31127" s="1" t="n">
        <v>31126</v>
      </c>
      <c r="B31127">
        <f>TEXT(31126, "[$-0E0000]yyyy-mm-dd")</f>
        <v/>
      </c>
      <c r="C31127" t="inlineStr">
        <is>
          <t>1985-02-01</t>
        </is>
      </c>
    </row>
    <row r="31128">
      <c r="A31128" s="1" t="n">
        <v>31127</v>
      </c>
      <c r="B31128">
        <f>TEXT(31127, "[$-0E0000]yyyy-mm-dd")</f>
        <v/>
      </c>
      <c r="C31128" t="inlineStr">
        <is>
          <t>1985-02-02</t>
        </is>
      </c>
    </row>
    <row r="31129">
      <c r="A31129" s="1" t="n">
        <v>31128</v>
      </c>
      <c r="B31129">
        <f>TEXT(31128, "[$-0E0000]yyyy-mm-dd")</f>
        <v/>
      </c>
      <c r="C31129" t="inlineStr">
        <is>
          <t>1985-02-03</t>
        </is>
      </c>
    </row>
    <row r="31130">
      <c r="A31130" s="1" t="n">
        <v>31129</v>
      </c>
      <c r="B31130">
        <f>TEXT(31129, "[$-0E0000]yyyy-mm-dd")</f>
        <v/>
      </c>
      <c r="C31130" t="inlineStr">
        <is>
          <t>1985-02-04</t>
        </is>
      </c>
    </row>
    <row r="31131">
      <c r="A31131" s="1" t="n">
        <v>31130</v>
      </c>
      <c r="B31131">
        <f>TEXT(31130, "[$-0E0000]yyyy-mm-dd")</f>
        <v/>
      </c>
      <c r="C31131" t="inlineStr">
        <is>
          <t>1985-02-05</t>
        </is>
      </c>
    </row>
    <row r="31132">
      <c r="A31132" s="1" t="n">
        <v>31131</v>
      </c>
      <c r="B31132">
        <f>TEXT(31131, "[$-0E0000]yyyy-mm-dd")</f>
        <v/>
      </c>
      <c r="C31132" t="inlineStr">
        <is>
          <t>1985-02-06</t>
        </is>
      </c>
    </row>
    <row r="31133">
      <c r="A31133" s="1" t="n">
        <v>31132</v>
      </c>
      <c r="B31133">
        <f>TEXT(31132, "[$-0E0000]yyyy-mm-dd")</f>
        <v/>
      </c>
      <c r="C31133" t="inlineStr">
        <is>
          <t>1985-02-07</t>
        </is>
      </c>
    </row>
    <row r="31134">
      <c r="A31134" s="1" t="n">
        <v>31133</v>
      </c>
      <c r="B31134">
        <f>TEXT(31133, "[$-0E0000]yyyy-mm-dd")</f>
        <v/>
      </c>
      <c r="C31134" t="inlineStr">
        <is>
          <t>1985-02-08</t>
        </is>
      </c>
    </row>
    <row r="31135">
      <c r="A31135" s="1" t="n">
        <v>31134</v>
      </c>
      <c r="B31135">
        <f>TEXT(31134, "[$-0E0000]yyyy-mm-dd")</f>
        <v/>
      </c>
      <c r="C31135" t="inlineStr">
        <is>
          <t>1985-02-09</t>
        </is>
      </c>
    </row>
    <row r="31136">
      <c r="A31136" s="1" t="n">
        <v>31135</v>
      </c>
      <c r="B31136">
        <f>TEXT(31135, "[$-0E0000]yyyy-mm-dd")</f>
        <v/>
      </c>
      <c r="C31136" t="inlineStr">
        <is>
          <t>1985-02-10</t>
        </is>
      </c>
    </row>
    <row r="31137">
      <c r="A31137" s="1" t="n">
        <v>31136</v>
      </c>
      <c r="B31137">
        <f>TEXT(31136, "[$-0E0000]yyyy-mm-dd")</f>
        <v/>
      </c>
      <c r="C31137" t="inlineStr">
        <is>
          <t>1985-02-11</t>
        </is>
      </c>
    </row>
    <row r="31138">
      <c r="A31138" s="1" t="n">
        <v>31137</v>
      </c>
      <c r="B31138">
        <f>TEXT(31137, "[$-0E0000]yyyy-mm-dd")</f>
        <v/>
      </c>
      <c r="C31138" t="inlineStr">
        <is>
          <t>1985-02-12</t>
        </is>
      </c>
    </row>
    <row r="31139">
      <c r="A31139" s="1" t="n">
        <v>31138</v>
      </c>
      <c r="B31139">
        <f>TEXT(31138, "[$-0E0000]yyyy-mm-dd")</f>
        <v/>
      </c>
      <c r="C31139" t="inlineStr">
        <is>
          <t>1985-02-13</t>
        </is>
      </c>
    </row>
    <row r="31140">
      <c r="A31140" s="1" t="n">
        <v>31139</v>
      </c>
      <c r="B31140">
        <f>TEXT(31139, "[$-0E0000]yyyy-mm-dd")</f>
        <v/>
      </c>
      <c r="C31140" t="inlineStr">
        <is>
          <t>1985-02-14</t>
        </is>
      </c>
    </row>
    <row r="31141">
      <c r="A31141" s="1" t="n">
        <v>31140</v>
      </c>
      <c r="B31141">
        <f>TEXT(31140, "[$-0E0000]yyyy-mm-dd")</f>
        <v/>
      </c>
      <c r="C31141" t="inlineStr">
        <is>
          <t>1985-02-15</t>
        </is>
      </c>
    </row>
    <row r="31142">
      <c r="A31142" s="1" t="n">
        <v>31141</v>
      </c>
      <c r="B31142">
        <f>TEXT(31141, "[$-0E0000]yyyy-mm-dd")</f>
        <v/>
      </c>
      <c r="C31142" t="inlineStr">
        <is>
          <t>1985-02-16</t>
        </is>
      </c>
    </row>
    <row r="31143">
      <c r="A31143" s="1" t="n">
        <v>31142</v>
      </c>
      <c r="B31143">
        <f>TEXT(31142, "[$-0E0000]yyyy-mm-dd")</f>
        <v/>
      </c>
      <c r="C31143" t="inlineStr">
        <is>
          <t>1985-02-17</t>
        </is>
      </c>
    </row>
    <row r="31144">
      <c r="A31144" s="1" t="n">
        <v>31143</v>
      </c>
      <c r="B31144">
        <f>TEXT(31143, "[$-0E0000]yyyy-mm-dd")</f>
        <v/>
      </c>
      <c r="C31144" t="inlineStr">
        <is>
          <t>1985-02-18</t>
        </is>
      </c>
    </row>
    <row r="31145">
      <c r="A31145" s="1" t="n">
        <v>31144</v>
      </c>
      <c r="B31145">
        <f>TEXT(31144, "[$-0E0000]yyyy-mm-dd")</f>
        <v/>
      </c>
      <c r="C31145" t="inlineStr">
        <is>
          <t>1985-02-19</t>
        </is>
      </c>
    </row>
    <row r="31146">
      <c r="A31146" s="1" t="n">
        <v>31145</v>
      </c>
      <c r="B31146">
        <f>TEXT(31145, "[$-0E0000]yyyy-mm-dd")</f>
        <v/>
      </c>
      <c r="C31146" t="inlineStr">
        <is>
          <t>1985-02-20</t>
        </is>
      </c>
    </row>
    <row r="31147">
      <c r="A31147" s="1" t="n">
        <v>31146</v>
      </c>
      <c r="B31147">
        <f>TEXT(31146, "[$-0E0000]yyyy-mm-dd")</f>
        <v/>
      </c>
      <c r="C31147" t="inlineStr">
        <is>
          <t>1985-02-21</t>
        </is>
      </c>
    </row>
    <row r="31148">
      <c r="A31148" s="1" t="n">
        <v>31147</v>
      </c>
      <c r="B31148">
        <f>TEXT(31147, "[$-0E0000]yyyy-mm-dd")</f>
        <v/>
      </c>
      <c r="C31148" t="inlineStr">
        <is>
          <t>1985-02-22</t>
        </is>
      </c>
    </row>
    <row r="31149">
      <c r="A31149" s="1" t="n">
        <v>31148</v>
      </c>
      <c r="B31149">
        <f>TEXT(31148, "[$-0E0000]yyyy-mm-dd")</f>
        <v/>
      </c>
      <c r="C31149" t="inlineStr">
        <is>
          <t>1985-02-23</t>
        </is>
      </c>
    </row>
    <row r="31150">
      <c r="A31150" s="1" t="n">
        <v>31149</v>
      </c>
      <c r="B31150">
        <f>TEXT(31149, "[$-0E0000]yyyy-mm-dd")</f>
        <v/>
      </c>
      <c r="C31150" t="inlineStr">
        <is>
          <t>1985-02-24</t>
        </is>
      </c>
    </row>
    <row r="31151">
      <c r="A31151" s="1" t="n">
        <v>31150</v>
      </c>
      <c r="B31151">
        <f>TEXT(31150, "[$-0E0000]yyyy-mm-dd")</f>
        <v/>
      </c>
      <c r="C31151" t="inlineStr">
        <is>
          <t>1985-02-25</t>
        </is>
      </c>
    </row>
    <row r="31152">
      <c r="A31152" s="1" t="n">
        <v>31151</v>
      </c>
      <c r="B31152">
        <f>TEXT(31151, "[$-0E0000]yyyy-mm-dd")</f>
        <v/>
      </c>
      <c r="C31152" t="inlineStr">
        <is>
          <t>1985-02-26</t>
        </is>
      </c>
    </row>
    <row r="31153">
      <c r="A31153" s="1" t="n">
        <v>31152</v>
      </c>
      <c r="B31153">
        <f>TEXT(31152, "[$-0E0000]yyyy-mm-dd")</f>
        <v/>
      </c>
      <c r="C31153" t="inlineStr">
        <is>
          <t>1985-02-27</t>
        </is>
      </c>
    </row>
    <row r="31154">
      <c r="A31154" s="1" t="n">
        <v>31153</v>
      </c>
      <c r="B31154">
        <f>TEXT(31153, "[$-0E0000]yyyy-mm-dd")</f>
        <v/>
      </c>
      <c r="C31154" t="inlineStr">
        <is>
          <t>1985-02-28</t>
        </is>
      </c>
    </row>
    <row r="31155">
      <c r="A31155" s="1" t="n">
        <v>31154</v>
      </c>
      <c r="B31155">
        <f>TEXT(31154, "[$-0E0000]yyyy-mm-dd")</f>
        <v/>
      </c>
      <c r="C31155" t="inlineStr">
        <is>
          <t>1985-02-29</t>
        </is>
      </c>
    </row>
    <row r="31156">
      <c r="A31156" s="1" t="n">
        <v>31155</v>
      </c>
      <c r="B31156">
        <f>TEXT(31155, "[$-0E0000]yyyy-mm-dd")</f>
        <v/>
      </c>
      <c r="C31156" t="inlineStr">
        <is>
          <t>1985-02-30</t>
        </is>
      </c>
    </row>
    <row r="31157">
      <c r="A31157" s="1" t="n">
        <v>31156</v>
      </c>
      <c r="B31157">
        <f>TEXT(31156, "[$-0E0000]yyyy-mm-dd")</f>
        <v/>
      </c>
      <c r="C31157" t="inlineStr">
        <is>
          <t>1985-03-01</t>
        </is>
      </c>
    </row>
    <row r="31158">
      <c r="A31158" s="1" t="n">
        <v>31157</v>
      </c>
      <c r="B31158">
        <f>TEXT(31157, "[$-0E0000]yyyy-mm-dd")</f>
        <v/>
      </c>
      <c r="C31158" t="inlineStr">
        <is>
          <t>1985-03-02</t>
        </is>
      </c>
    </row>
    <row r="31159">
      <c r="A31159" s="1" t="n">
        <v>31158</v>
      </c>
      <c r="B31159">
        <f>TEXT(31158, "[$-0E0000]yyyy-mm-dd")</f>
        <v/>
      </c>
      <c r="C31159" t="inlineStr">
        <is>
          <t>1985-03-03</t>
        </is>
      </c>
    </row>
    <row r="31160">
      <c r="A31160" s="1" t="n">
        <v>31159</v>
      </c>
      <c r="B31160">
        <f>TEXT(31159, "[$-0E0000]yyyy-mm-dd")</f>
        <v/>
      </c>
      <c r="C31160" t="inlineStr">
        <is>
          <t>1985-03-04</t>
        </is>
      </c>
    </row>
    <row r="31161">
      <c r="A31161" s="1" t="n">
        <v>31160</v>
      </c>
      <c r="B31161">
        <f>TEXT(31160, "[$-0E0000]yyyy-mm-dd")</f>
        <v/>
      </c>
      <c r="C31161" t="inlineStr">
        <is>
          <t>1985-03-05</t>
        </is>
      </c>
    </row>
    <row r="31162">
      <c r="A31162" s="1" t="n">
        <v>31161</v>
      </c>
      <c r="B31162">
        <f>TEXT(31161, "[$-0E0000]yyyy-mm-dd")</f>
        <v/>
      </c>
      <c r="C31162" t="inlineStr">
        <is>
          <t>1985-03-06</t>
        </is>
      </c>
    </row>
    <row r="31163">
      <c r="A31163" s="1" t="n">
        <v>31162</v>
      </c>
      <c r="B31163">
        <f>TEXT(31162, "[$-0E0000]yyyy-mm-dd")</f>
        <v/>
      </c>
      <c r="C31163" t="inlineStr">
        <is>
          <t>1985-03-07</t>
        </is>
      </c>
    </row>
    <row r="31164">
      <c r="A31164" s="1" t="n">
        <v>31163</v>
      </c>
      <c r="B31164">
        <f>TEXT(31163, "[$-0E0000]yyyy-mm-dd")</f>
        <v/>
      </c>
      <c r="C31164" t="inlineStr">
        <is>
          <t>1985-03-08</t>
        </is>
      </c>
    </row>
    <row r="31165">
      <c r="A31165" s="1" t="n">
        <v>31164</v>
      </c>
      <c r="B31165">
        <f>TEXT(31164, "[$-0E0000]yyyy-mm-dd")</f>
        <v/>
      </c>
      <c r="C31165" t="inlineStr">
        <is>
          <t>1985-03-09</t>
        </is>
      </c>
    </row>
    <row r="31166">
      <c r="A31166" s="1" t="n">
        <v>31165</v>
      </c>
      <c r="B31166">
        <f>TEXT(31165, "[$-0E0000]yyyy-mm-dd")</f>
        <v/>
      </c>
      <c r="C31166" t="inlineStr">
        <is>
          <t>1985-03-10</t>
        </is>
      </c>
    </row>
    <row r="31167">
      <c r="A31167" s="1" t="n">
        <v>31166</v>
      </c>
      <c r="B31167">
        <f>TEXT(31166, "[$-0E0000]yyyy-mm-dd")</f>
        <v/>
      </c>
      <c r="C31167" t="inlineStr">
        <is>
          <t>1985-03-11</t>
        </is>
      </c>
    </row>
    <row r="31168">
      <c r="A31168" s="1" t="n">
        <v>31167</v>
      </c>
      <c r="B31168">
        <f>TEXT(31167, "[$-0E0000]yyyy-mm-dd")</f>
        <v/>
      </c>
      <c r="C31168" t="inlineStr">
        <is>
          <t>1985-03-12</t>
        </is>
      </c>
    </row>
    <row r="31169">
      <c r="A31169" s="1" t="n">
        <v>31168</v>
      </c>
      <c r="B31169">
        <f>TEXT(31168, "[$-0E0000]yyyy-mm-dd")</f>
        <v/>
      </c>
      <c r="C31169" t="inlineStr">
        <is>
          <t>1985-03-13</t>
        </is>
      </c>
    </row>
    <row r="31170">
      <c r="A31170" s="1" t="n">
        <v>31169</v>
      </c>
      <c r="B31170">
        <f>TEXT(31169, "[$-0E0000]yyyy-mm-dd")</f>
        <v/>
      </c>
      <c r="C31170" t="inlineStr">
        <is>
          <t>1985-03-14</t>
        </is>
      </c>
    </row>
    <row r="31171">
      <c r="A31171" s="1" t="n">
        <v>31170</v>
      </c>
      <c r="B31171">
        <f>TEXT(31170, "[$-0E0000]yyyy-mm-dd")</f>
        <v/>
      </c>
      <c r="C31171" t="inlineStr">
        <is>
          <t>1985-03-15</t>
        </is>
      </c>
    </row>
    <row r="31172">
      <c r="A31172" s="1" t="n">
        <v>31171</v>
      </c>
      <c r="B31172">
        <f>TEXT(31171, "[$-0E0000]yyyy-mm-dd")</f>
        <v/>
      </c>
      <c r="C31172" t="inlineStr">
        <is>
          <t>1985-03-16</t>
        </is>
      </c>
    </row>
    <row r="31173">
      <c r="A31173" s="1" t="n">
        <v>31172</v>
      </c>
      <c r="B31173">
        <f>TEXT(31172, "[$-0E0000]yyyy-mm-dd")</f>
        <v/>
      </c>
      <c r="C31173" t="inlineStr">
        <is>
          <t>1985-03-17</t>
        </is>
      </c>
    </row>
    <row r="31174">
      <c r="A31174" s="1" t="n">
        <v>31173</v>
      </c>
      <c r="B31174">
        <f>TEXT(31173, "[$-0E0000]yyyy-mm-dd")</f>
        <v/>
      </c>
      <c r="C31174" t="inlineStr">
        <is>
          <t>1985-03-18</t>
        </is>
      </c>
    </row>
    <row r="31175">
      <c r="A31175" s="1" t="n">
        <v>31174</v>
      </c>
      <c r="B31175">
        <f>TEXT(31174, "[$-0E0000]yyyy-mm-dd")</f>
        <v/>
      </c>
      <c r="C31175" t="inlineStr">
        <is>
          <t>1985-03-19</t>
        </is>
      </c>
    </row>
    <row r="31176">
      <c r="A31176" s="1" t="n">
        <v>31175</v>
      </c>
      <c r="B31176">
        <f>TEXT(31175, "[$-0E0000]yyyy-mm-dd")</f>
        <v/>
      </c>
      <c r="C31176" t="inlineStr">
        <is>
          <t>1985-03-20</t>
        </is>
      </c>
    </row>
    <row r="31177">
      <c r="A31177" s="1" t="n">
        <v>31176</v>
      </c>
      <c r="B31177">
        <f>TEXT(31176, "[$-0E0000]yyyy-mm-dd")</f>
        <v/>
      </c>
      <c r="C31177" t="inlineStr">
        <is>
          <t>1985-03-21</t>
        </is>
      </c>
    </row>
    <row r="31178">
      <c r="A31178" s="1" t="n">
        <v>31177</v>
      </c>
      <c r="B31178">
        <f>TEXT(31177, "[$-0E0000]yyyy-mm-dd")</f>
        <v/>
      </c>
      <c r="C31178" t="inlineStr">
        <is>
          <t>1985-03-22</t>
        </is>
      </c>
    </row>
    <row r="31179">
      <c r="A31179" s="1" t="n">
        <v>31178</v>
      </c>
      <c r="B31179">
        <f>TEXT(31178, "[$-0E0000]yyyy-mm-dd")</f>
        <v/>
      </c>
      <c r="C31179" t="inlineStr">
        <is>
          <t>1985-03-23</t>
        </is>
      </c>
    </row>
    <row r="31180">
      <c r="A31180" s="1" t="n">
        <v>31179</v>
      </c>
      <c r="B31180">
        <f>TEXT(31179, "[$-0E0000]yyyy-mm-dd")</f>
        <v/>
      </c>
      <c r="C31180" t="inlineStr">
        <is>
          <t>1985-03-24</t>
        </is>
      </c>
    </row>
    <row r="31181">
      <c r="A31181" s="1" t="n">
        <v>31180</v>
      </c>
      <c r="B31181">
        <f>TEXT(31180, "[$-0E0000]yyyy-mm-dd")</f>
        <v/>
      </c>
      <c r="C31181" t="inlineStr">
        <is>
          <t>1985-03-25</t>
        </is>
      </c>
    </row>
    <row r="31182">
      <c r="A31182" s="1" t="n">
        <v>31181</v>
      </c>
      <c r="B31182">
        <f>TEXT(31181, "[$-0E0000]yyyy-mm-dd")</f>
        <v/>
      </c>
      <c r="C31182" t="inlineStr">
        <is>
          <t>1985-03-26</t>
        </is>
      </c>
    </row>
    <row r="31183">
      <c r="A31183" s="1" t="n">
        <v>31182</v>
      </c>
      <c r="B31183">
        <f>TEXT(31182, "[$-0E0000]yyyy-mm-dd")</f>
        <v/>
      </c>
      <c r="C31183" t="inlineStr">
        <is>
          <t>1985-03-27</t>
        </is>
      </c>
    </row>
    <row r="31184">
      <c r="A31184" s="1" t="n">
        <v>31183</v>
      </c>
      <c r="B31184">
        <f>TEXT(31183, "[$-0E0000]yyyy-mm-dd")</f>
        <v/>
      </c>
      <c r="C31184" t="inlineStr">
        <is>
          <t>1985-03-28</t>
        </is>
      </c>
    </row>
    <row r="31185">
      <c r="A31185" s="1" t="n">
        <v>31184</v>
      </c>
      <c r="B31185">
        <f>TEXT(31184, "[$-0E0000]yyyy-mm-dd")</f>
        <v/>
      </c>
      <c r="C31185" t="inlineStr">
        <is>
          <t>1985-03-29</t>
        </is>
      </c>
    </row>
    <row r="31186">
      <c r="A31186" s="1" t="n">
        <v>31185</v>
      </c>
      <c r="B31186">
        <f>TEXT(31185, "[$-0E0000]yyyy-mm-dd")</f>
        <v/>
      </c>
      <c r="C31186" t="inlineStr">
        <is>
          <t>1985-03-30</t>
        </is>
      </c>
    </row>
    <row r="31187">
      <c r="A31187" s="1" t="n">
        <v>31186</v>
      </c>
      <c r="B31187">
        <f>TEXT(31186, "[$-0E0000]yyyy-mm-dd")</f>
        <v/>
      </c>
      <c r="C31187" t="inlineStr">
        <is>
          <t>1985-04-01</t>
        </is>
      </c>
    </row>
    <row r="31188">
      <c r="A31188" s="1" t="n">
        <v>31187</v>
      </c>
      <c r="B31188">
        <f>TEXT(31187, "[$-0E0000]yyyy-mm-dd")</f>
        <v/>
      </c>
      <c r="C31188" t="inlineStr">
        <is>
          <t>1985-04-02</t>
        </is>
      </c>
    </row>
    <row r="31189">
      <c r="A31189" s="1" t="n">
        <v>31188</v>
      </c>
      <c r="B31189">
        <f>TEXT(31188, "[$-0E0000]yyyy-mm-dd")</f>
        <v/>
      </c>
      <c r="C31189" t="inlineStr">
        <is>
          <t>1985-04-03</t>
        </is>
      </c>
    </row>
    <row r="31190">
      <c r="A31190" s="1" t="n">
        <v>31189</v>
      </c>
      <c r="B31190">
        <f>TEXT(31189, "[$-0E0000]yyyy-mm-dd")</f>
        <v/>
      </c>
      <c r="C31190" t="inlineStr">
        <is>
          <t>1985-04-04</t>
        </is>
      </c>
    </row>
    <row r="31191">
      <c r="A31191" s="1" t="n">
        <v>31190</v>
      </c>
      <c r="B31191">
        <f>TEXT(31190, "[$-0E0000]yyyy-mm-dd")</f>
        <v/>
      </c>
      <c r="C31191" t="inlineStr">
        <is>
          <t>1985-04-05</t>
        </is>
      </c>
    </row>
    <row r="31192">
      <c r="A31192" s="1" t="n">
        <v>31191</v>
      </c>
      <c r="B31192">
        <f>TEXT(31191, "[$-0E0000]yyyy-mm-dd")</f>
        <v/>
      </c>
      <c r="C31192" t="inlineStr">
        <is>
          <t>1985-04-06</t>
        </is>
      </c>
    </row>
    <row r="31193">
      <c r="A31193" s="1" t="n">
        <v>31192</v>
      </c>
      <c r="B31193">
        <f>TEXT(31192, "[$-0E0000]yyyy-mm-dd")</f>
        <v/>
      </c>
      <c r="C31193" t="inlineStr">
        <is>
          <t>1985-04-07</t>
        </is>
      </c>
    </row>
    <row r="31194">
      <c r="A31194" s="1" t="n">
        <v>31193</v>
      </c>
      <c r="B31194">
        <f>TEXT(31193, "[$-0E0000]yyyy-mm-dd")</f>
        <v/>
      </c>
      <c r="C31194" t="inlineStr">
        <is>
          <t>1985-04-08</t>
        </is>
      </c>
    </row>
    <row r="31195">
      <c r="A31195" s="1" t="n">
        <v>31194</v>
      </c>
      <c r="B31195">
        <f>TEXT(31194, "[$-0E0000]yyyy-mm-dd")</f>
        <v/>
      </c>
      <c r="C31195" t="inlineStr">
        <is>
          <t>1985-04-09</t>
        </is>
      </c>
    </row>
    <row r="31196">
      <c r="A31196" s="1" t="n">
        <v>31195</v>
      </c>
      <c r="B31196">
        <f>TEXT(31195, "[$-0E0000]yyyy-mm-dd")</f>
        <v/>
      </c>
      <c r="C31196" t="inlineStr">
        <is>
          <t>1985-04-10</t>
        </is>
      </c>
    </row>
    <row r="31197">
      <c r="A31197" s="1" t="n">
        <v>31196</v>
      </c>
      <c r="B31197">
        <f>TEXT(31196, "[$-0E0000]yyyy-mm-dd")</f>
        <v/>
      </c>
      <c r="C31197" t="inlineStr">
        <is>
          <t>1985-04-11</t>
        </is>
      </c>
    </row>
    <row r="31198">
      <c r="A31198" s="1" t="n">
        <v>31197</v>
      </c>
      <c r="B31198">
        <f>TEXT(31197, "[$-0E0000]yyyy-mm-dd")</f>
        <v/>
      </c>
      <c r="C31198" t="inlineStr">
        <is>
          <t>1985-04-12</t>
        </is>
      </c>
    </row>
    <row r="31199">
      <c r="A31199" s="1" t="n">
        <v>31198</v>
      </c>
      <c r="B31199">
        <f>TEXT(31198, "[$-0E0000]yyyy-mm-dd")</f>
        <v/>
      </c>
      <c r="C31199" t="inlineStr">
        <is>
          <t>1985-04-13</t>
        </is>
      </c>
    </row>
    <row r="31200">
      <c r="A31200" s="1" t="n">
        <v>31199</v>
      </c>
      <c r="B31200">
        <f>TEXT(31199, "[$-0E0000]yyyy-mm-dd")</f>
        <v/>
      </c>
      <c r="C31200" t="inlineStr">
        <is>
          <t>1985-04-14</t>
        </is>
      </c>
    </row>
    <row r="31201">
      <c r="A31201" s="1" t="n">
        <v>31200</v>
      </c>
      <c r="B31201">
        <f>TEXT(31200, "[$-0E0000]yyyy-mm-dd")</f>
        <v/>
      </c>
      <c r="C31201" t="inlineStr">
        <is>
          <t>1985-04-15</t>
        </is>
      </c>
    </row>
    <row r="31202">
      <c r="A31202" s="1" t="n">
        <v>31201</v>
      </c>
      <c r="B31202">
        <f>TEXT(31201, "[$-0E0000]yyyy-mm-dd")</f>
        <v/>
      </c>
      <c r="C31202" t="inlineStr">
        <is>
          <t>1985-04-16</t>
        </is>
      </c>
    </row>
    <row r="31203">
      <c r="A31203" s="1" t="n">
        <v>31202</v>
      </c>
      <c r="B31203">
        <f>TEXT(31202, "[$-0E0000]yyyy-mm-dd")</f>
        <v/>
      </c>
      <c r="C31203" t="inlineStr">
        <is>
          <t>1985-04-17</t>
        </is>
      </c>
    </row>
    <row r="31204">
      <c r="A31204" s="1" t="n">
        <v>31203</v>
      </c>
      <c r="B31204">
        <f>TEXT(31203, "[$-0E0000]yyyy-mm-dd")</f>
        <v/>
      </c>
      <c r="C31204" t="inlineStr">
        <is>
          <t>1985-04-18</t>
        </is>
      </c>
    </row>
    <row r="31205">
      <c r="A31205" s="1" t="n">
        <v>31204</v>
      </c>
      <c r="B31205">
        <f>TEXT(31204, "[$-0E0000]yyyy-mm-dd")</f>
        <v/>
      </c>
      <c r="C31205" t="inlineStr">
        <is>
          <t>1985-04-19</t>
        </is>
      </c>
    </row>
    <row r="31206">
      <c r="A31206" s="1" t="n">
        <v>31205</v>
      </c>
      <c r="B31206">
        <f>TEXT(31205, "[$-0E0000]yyyy-mm-dd")</f>
        <v/>
      </c>
      <c r="C31206" t="inlineStr">
        <is>
          <t>1985-04-20</t>
        </is>
      </c>
    </row>
    <row r="31207">
      <c r="A31207" s="1" t="n">
        <v>31206</v>
      </c>
      <c r="B31207">
        <f>TEXT(31206, "[$-0E0000]yyyy-mm-dd")</f>
        <v/>
      </c>
      <c r="C31207" t="inlineStr">
        <is>
          <t>1985-04-21</t>
        </is>
      </c>
    </row>
    <row r="31208">
      <c r="A31208" s="1" t="n">
        <v>31207</v>
      </c>
      <c r="B31208">
        <f>TEXT(31207, "[$-0E0000]yyyy-mm-dd")</f>
        <v/>
      </c>
      <c r="C31208" t="inlineStr">
        <is>
          <t>1985-04-22</t>
        </is>
      </c>
    </row>
    <row r="31209">
      <c r="A31209" s="1" t="n">
        <v>31208</v>
      </c>
      <c r="B31209">
        <f>TEXT(31208, "[$-0E0000]yyyy-mm-dd")</f>
        <v/>
      </c>
      <c r="C31209" t="inlineStr">
        <is>
          <t>1985-04-23</t>
        </is>
      </c>
    </row>
    <row r="31210">
      <c r="A31210" s="1" t="n">
        <v>31209</v>
      </c>
      <c r="B31210">
        <f>TEXT(31209, "[$-0E0000]yyyy-mm-dd")</f>
        <v/>
      </c>
      <c r="C31210" t="inlineStr">
        <is>
          <t>1985-04-24</t>
        </is>
      </c>
    </row>
    <row r="31211">
      <c r="A31211" s="1" t="n">
        <v>31210</v>
      </c>
      <c r="B31211">
        <f>TEXT(31210, "[$-0E0000]yyyy-mm-dd")</f>
        <v/>
      </c>
      <c r="C31211" t="inlineStr">
        <is>
          <t>1985-04-25</t>
        </is>
      </c>
    </row>
    <row r="31212">
      <c r="A31212" s="1" t="n">
        <v>31211</v>
      </c>
      <c r="B31212">
        <f>TEXT(31211, "[$-0E0000]yyyy-mm-dd")</f>
        <v/>
      </c>
      <c r="C31212" t="inlineStr">
        <is>
          <t>1985-04-26</t>
        </is>
      </c>
    </row>
    <row r="31213">
      <c r="A31213" s="1" t="n">
        <v>31212</v>
      </c>
      <c r="B31213">
        <f>TEXT(31212, "[$-0E0000]yyyy-mm-dd")</f>
        <v/>
      </c>
      <c r="C31213" t="inlineStr">
        <is>
          <t>1985-04-27</t>
        </is>
      </c>
    </row>
    <row r="31214">
      <c r="A31214" s="1" t="n">
        <v>31213</v>
      </c>
      <c r="B31214">
        <f>TEXT(31213, "[$-0E0000]yyyy-mm-dd")</f>
        <v/>
      </c>
      <c r="C31214" t="inlineStr">
        <is>
          <t>1985-04-28</t>
        </is>
      </c>
    </row>
    <row r="31215">
      <c r="A31215" s="1" t="n">
        <v>31214</v>
      </c>
      <c r="B31215">
        <f>TEXT(31214, "[$-0E0000]yyyy-mm-dd")</f>
        <v/>
      </c>
      <c r="C31215" t="inlineStr">
        <is>
          <t>1985-04-29</t>
        </is>
      </c>
    </row>
    <row r="31216">
      <c r="A31216" s="1" t="n">
        <v>31215</v>
      </c>
      <c r="B31216">
        <f>TEXT(31215, "[$-0E0000]yyyy-mm-dd")</f>
        <v/>
      </c>
      <c r="C31216" t="inlineStr">
        <is>
          <t>1985-05-01</t>
        </is>
      </c>
    </row>
    <row r="31217">
      <c r="A31217" s="1" t="n">
        <v>31216</v>
      </c>
      <c r="B31217">
        <f>TEXT(31216, "[$-0E0000]yyyy-mm-dd")</f>
        <v/>
      </c>
      <c r="C31217" t="inlineStr">
        <is>
          <t>1985-05-02</t>
        </is>
      </c>
    </row>
    <row r="31218">
      <c r="A31218" s="1" t="n">
        <v>31217</v>
      </c>
      <c r="B31218">
        <f>TEXT(31217, "[$-0E0000]yyyy-mm-dd")</f>
        <v/>
      </c>
      <c r="C31218" t="inlineStr">
        <is>
          <t>1985-05-03</t>
        </is>
      </c>
    </row>
    <row r="31219">
      <c r="A31219" s="1" t="n">
        <v>31218</v>
      </c>
      <c r="B31219">
        <f>TEXT(31218, "[$-0E0000]yyyy-mm-dd")</f>
        <v/>
      </c>
      <c r="C31219" t="inlineStr">
        <is>
          <t>1985-05-04</t>
        </is>
      </c>
    </row>
    <row r="31220">
      <c r="A31220" s="1" t="n">
        <v>31219</v>
      </c>
      <c r="B31220">
        <f>TEXT(31219, "[$-0E0000]yyyy-mm-dd")</f>
        <v/>
      </c>
      <c r="C31220" t="inlineStr">
        <is>
          <t>1985-05-05</t>
        </is>
      </c>
    </row>
    <row r="31221">
      <c r="A31221" s="1" t="n">
        <v>31220</v>
      </c>
      <c r="B31221">
        <f>TEXT(31220, "[$-0E0000]yyyy-mm-dd")</f>
        <v/>
      </c>
      <c r="C31221" t="inlineStr">
        <is>
          <t>1985-05-06</t>
        </is>
      </c>
    </row>
    <row r="31222">
      <c r="A31222" s="1" t="n">
        <v>31221</v>
      </c>
      <c r="B31222">
        <f>TEXT(31221, "[$-0E0000]yyyy-mm-dd")</f>
        <v/>
      </c>
      <c r="C31222" t="inlineStr">
        <is>
          <t>1985-05-07</t>
        </is>
      </c>
    </row>
    <row r="31223">
      <c r="A31223" s="1" t="n">
        <v>31222</v>
      </c>
      <c r="B31223">
        <f>TEXT(31222, "[$-0E0000]yyyy-mm-dd")</f>
        <v/>
      </c>
      <c r="C31223" t="inlineStr">
        <is>
          <t>1985-05-08</t>
        </is>
      </c>
    </row>
    <row r="31224">
      <c r="A31224" s="1" t="n">
        <v>31223</v>
      </c>
      <c r="B31224">
        <f>TEXT(31223, "[$-0E0000]yyyy-mm-dd")</f>
        <v/>
      </c>
      <c r="C31224" t="inlineStr">
        <is>
          <t>1985-05-09</t>
        </is>
      </c>
    </row>
    <row r="31225">
      <c r="A31225" s="1" t="n">
        <v>31224</v>
      </c>
      <c r="B31225">
        <f>TEXT(31224, "[$-0E0000]yyyy-mm-dd")</f>
        <v/>
      </c>
      <c r="C31225" t="inlineStr">
        <is>
          <t>1985-05-10</t>
        </is>
      </c>
    </row>
    <row r="31226">
      <c r="A31226" s="1" t="n">
        <v>31225</v>
      </c>
      <c r="B31226">
        <f>TEXT(31225, "[$-0E0000]yyyy-mm-dd")</f>
        <v/>
      </c>
      <c r="C31226" t="inlineStr">
        <is>
          <t>1985-05-11</t>
        </is>
      </c>
    </row>
    <row r="31227">
      <c r="A31227" s="1" t="n">
        <v>31226</v>
      </c>
      <c r="B31227">
        <f>TEXT(31226, "[$-0E0000]yyyy-mm-dd")</f>
        <v/>
      </c>
      <c r="C31227" t="inlineStr">
        <is>
          <t>1985-05-12</t>
        </is>
      </c>
    </row>
    <row r="31228">
      <c r="A31228" s="1" t="n">
        <v>31227</v>
      </c>
      <c r="B31228">
        <f>TEXT(31227, "[$-0E0000]yyyy-mm-dd")</f>
        <v/>
      </c>
      <c r="C31228" t="inlineStr">
        <is>
          <t>1985-05-13</t>
        </is>
      </c>
    </row>
    <row r="31229">
      <c r="A31229" s="1" t="n">
        <v>31228</v>
      </c>
      <c r="B31229">
        <f>TEXT(31228, "[$-0E0000]yyyy-mm-dd")</f>
        <v/>
      </c>
      <c r="C31229" t="inlineStr">
        <is>
          <t>1985-05-14</t>
        </is>
      </c>
    </row>
    <row r="31230">
      <c r="A31230" s="1" t="n">
        <v>31229</v>
      </c>
      <c r="B31230">
        <f>TEXT(31229, "[$-0E0000]yyyy-mm-dd")</f>
        <v/>
      </c>
      <c r="C31230" t="inlineStr">
        <is>
          <t>1985-05-15</t>
        </is>
      </c>
    </row>
    <row r="31231">
      <c r="A31231" s="1" t="n">
        <v>31230</v>
      </c>
      <c r="B31231">
        <f>TEXT(31230, "[$-0E0000]yyyy-mm-dd")</f>
        <v/>
      </c>
      <c r="C31231" t="inlineStr">
        <is>
          <t>1985-05-16</t>
        </is>
      </c>
    </row>
    <row r="31232">
      <c r="A31232" s="1" t="n">
        <v>31231</v>
      </c>
      <c r="B31232">
        <f>TEXT(31231, "[$-0E0000]yyyy-mm-dd")</f>
        <v/>
      </c>
      <c r="C31232" t="inlineStr">
        <is>
          <t>1985-05-17</t>
        </is>
      </c>
    </row>
    <row r="31233">
      <c r="A31233" s="1" t="n">
        <v>31232</v>
      </c>
      <c r="B31233">
        <f>TEXT(31232, "[$-0E0000]yyyy-mm-dd")</f>
        <v/>
      </c>
      <c r="C31233" t="inlineStr">
        <is>
          <t>1985-05-18</t>
        </is>
      </c>
    </row>
    <row r="31234">
      <c r="A31234" s="1" t="n">
        <v>31233</v>
      </c>
      <c r="B31234">
        <f>TEXT(31233, "[$-0E0000]yyyy-mm-dd")</f>
        <v/>
      </c>
      <c r="C31234" t="inlineStr">
        <is>
          <t>1985-05-19</t>
        </is>
      </c>
    </row>
    <row r="31235">
      <c r="A31235" s="1" t="n">
        <v>31234</v>
      </c>
      <c r="B31235">
        <f>TEXT(31234, "[$-0E0000]yyyy-mm-dd")</f>
        <v/>
      </c>
      <c r="C31235" t="inlineStr">
        <is>
          <t>1985-05-20</t>
        </is>
      </c>
    </row>
    <row r="31236">
      <c r="A31236" s="1" t="n">
        <v>31235</v>
      </c>
      <c r="B31236">
        <f>TEXT(31235, "[$-0E0000]yyyy-mm-dd")</f>
        <v/>
      </c>
      <c r="C31236" t="inlineStr">
        <is>
          <t>1985-05-21</t>
        </is>
      </c>
    </row>
    <row r="31237">
      <c r="A31237" s="1" t="n">
        <v>31236</v>
      </c>
      <c r="B31237">
        <f>TEXT(31236, "[$-0E0000]yyyy-mm-dd")</f>
        <v/>
      </c>
      <c r="C31237" t="inlineStr">
        <is>
          <t>1985-05-22</t>
        </is>
      </c>
    </row>
    <row r="31238">
      <c r="A31238" s="1" t="n">
        <v>31237</v>
      </c>
      <c r="B31238">
        <f>TEXT(31237, "[$-0E0000]yyyy-mm-dd")</f>
        <v/>
      </c>
      <c r="C31238" t="inlineStr">
        <is>
          <t>1985-05-23</t>
        </is>
      </c>
    </row>
    <row r="31239">
      <c r="A31239" s="1" t="n">
        <v>31238</v>
      </c>
      <c r="B31239">
        <f>TEXT(31238, "[$-0E0000]yyyy-mm-dd")</f>
        <v/>
      </c>
      <c r="C31239" t="inlineStr">
        <is>
          <t>1985-05-24</t>
        </is>
      </c>
    </row>
    <row r="31240">
      <c r="A31240" s="1" t="n">
        <v>31239</v>
      </c>
      <c r="B31240">
        <f>TEXT(31239, "[$-0E0000]yyyy-mm-dd")</f>
        <v/>
      </c>
      <c r="C31240" t="inlineStr">
        <is>
          <t>1985-05-25</t>
        </is>
      </c>
    </row>
    <row r="31241">
      <c r="A31241" s="1" t="n">
        <v>31240</v>
      </c>
      <c r="B31241">
        <f>TEXT(31240, "[$-0E0000]yyyy-mm-dd")</f>
        <v/>
      </c>
      <c r="C31241" t="inlineStr">
        <is>
          <t>1985-05-26</t>
        </is>
      </c>
    </row>
    <row r="31242">
      <c r="A31242" s="1" t="n">
        <v>31241</v>
      </c>
      <c r="B31242">
        <f>TEXT(31241, "[$-0E0000]yyyy-mm-dd")</f>
        <v/>
      </c>
      <c r="C31242" t="inlineStr">
        <is>
          <t>1985-05-27</t>
        </is>
      </c>
    </row>
    <row r="31243">
      <c r="A31243" s="1" t="n">
        <v>31242</v>
      </c>
      <c r="B31243">
        <f>TEXT(31242, "[$-0E0000]yyyy-mm-dd")</f>
        <v/>
      </c>
      <c r="C31243" t="inlineStr">
        <is>
          <t>1985-05-28</t>
        </is>
      </c>
    </row>
    <row r="31244">
      <c r="A31244" s="1" t="n">
        <v>31243</v>
      </c>
      <c r="B31244">
        <f>TEXT(31243, "[$-0E0000]yyyy-mm-dd")</f>
        <v/>
      </c>
      <c r="C31244" t="inlineStr">
        <is>
          <t>1985-05-29</t>
        </is>
      </c>
    </row>
    <row r="31245">
      <c r="A31245" s="1" t="n">
        <v>31244</v>
      </c>
      <c r="B31245">
        <f>TEXT(31244, "[$-0E0000]yyyy-mm-dd")</f>
        <v/>
      </c>
      <c r="C31245" t="inlineStr">
        <is>
          <t>1985-05-30</t>
        </is>
      </c>
    </row>
    <row r="31246">
      <c r="A31246" s="1" t="n">
        <v>31245</v>
      </c>
      <c r="B31246">
        <f>TEXT(31245, "[$-0E0000]yyyy-mm-dd")</f>
        <v/>
      </c>
      <c r="C31246" t="inlineStr">
        <is>
          <t>1985-06-01</t>
        </is>
      </c>
    </row>
    <row r="31247">
      <c r="A31247" s="1" t="n">
        <v>31246</v>
      </c>
      <c r="B31247">
        <f>TEXT(31246, "[$-0E0000]yyyy-mm-dd")</f>
        <v/>
      </c>
      <c r="C31247" t="inlineStr">
        <is>
          <t>1985-06-02</t>
        </is>
      </c>
    </row>
    <row r="31248">
      <c r="A31248" s="1" t="n">
        <v>31247</v>
      </c>
      <c r="B31248">
        <f>TEXT(31247, "[$-0E0000]yyyy-mm-dd")</f>
        <v/>
      </c>
      <c r="C31248" t="inlineStr">
        <is>
          <t>1985-06-03</t>
        </is>
      </c>
    </row>
    <row r="31249">
      <c r="A31249" s="1" t="n">
        <v>31248</v>
      </c>
      <c r="B31249">
        <f>TEXT(31248, "[$-0E0000]yyyy-mm-dd")</f>
        <v/>
      </c>
      <c r="C31249" t="inlineStr">
        <is>
          <t>1985-06-04</t>
        </is>
      </c>
    </row>
    <row r="31250">
      <c r="A31250" s="1" t="n">
        <v>31249</v>
      </c>
      <c r="B31250">
        <f>TEXT(31249, "[$-0E0000]yyyy-mm-dd")</f>
        <v/>
      </c>
      <c r="C31250" t="inlineStr">
        <is>
          <t>1985-06-05</t>
        </is>
      </c>
    </row>
    <row r="31251">
      <c r="A31251" s="1" t="n">
        <v>31250</v>
      </c>
      <c r="B31251">
        <f>TEXT(31250, "[$-0E0000]yyyy-mm-dd")</f>
        <v/>
      </c>
      <c r="C31251" t="inlineStr">
        <is>
          <t>1985-06-06</t>
        </is>
      </c>
    </row>
    <row r="31252">
      <c r="A31252" s="1" t="n">
        <v>31251</v>
      </c>
      <c r="B31252">
        <f>TEXT(31251, "[$-0E0000]yyyy-mm-dd")</f>
        <v/>
      </c>
      <c r="C31252" t="inlineStr">
        <is>
          <t>1985-06-07</t>
        </is>
      </c>
    </row>
    <row r="31253">
      <c r="A31253" s="1" t="n">
        <v>31252</v>
      </c>
      <c r="B31253">
        <f>TEXT(31252, "[$-0E0000]yyyy-mm-dd")</f>
        <v/>
      </c>
      <c r="C31253" t="inlineStr">
        <is>
          <t>1985-06-08</t>
        </is>
      </c>
    </row>
    <row r="31254">
      <c r="A31254" s="1" t="n">
        <v>31253</v>
      </c>
      <c r="B31254">
        <f>TEXT(31253, "[$-0E0000]yyyy-mm-dd")</f>
        <v/>
      </c>
      <c r="C31254" t="inlineStr">
        <is>
          <t>1985-06-09</t>
        </is>
      </c>
    </row>
    <row r="31255">
      <c r="A31255" s="1" t="n">
        <v>31254</v>
      </c>
      <c r="B31255">
        <f>TEXT(31254, "[$-0E0000]yyyy-mm-dd")</f>
        <v/>
      </c>
      <c r="C31255" t="inlineStr">
        <is>
          <t>1985-06-10</t>
        </is>
      </c>
    </row>
    <row r="31256">
      <c r="A31256" s="1" t="n">
        <v>31255</v>
      </c>
      <c r="B31256">
        <f>TEXT(31255, "[$-0E0000]yyyy-mm-dd")</f>
        <v/>
      </c>
      <c r="C31256" t="inlineStr">
        <is>
          <t>1985-06-11</t>
        </is>
      </c>
    </row>
    <row r="31257">
      <c r="A31257" s="1" t="n">
        <v>31256</v>
      </c>
      <c r="B31257">
        <f>TEXT(31256, "[$-0E0000]yyyy-mm-dd")</f>
        <v/>
      </c>
      <c r="C31257" t="inlineStr">
        <is>
          <t>1985-06-12</t>
        </is>
      </c>
    </row>
    <row r="31258">
      <c r="A31258" s="1" t="n">
        <v>31257</v>
      </c>
      <c r="B31258">
        <f>TEXT(31257, "[$-0E0000]yyyy-mm-dd")</f>
        <v/>
      </c>
      <c r="C31258" t="inlineStr">
        <is>
          <t>1985-06-13</t>
        </is>
      </c>
    </row>
    <row r="31259">
      <c r="A31259" s="1" t="n">
        <v>31258</v>
      </c>
      <c r="B31259">
        <f>TEXT(31258, "[$-0E0000]yyyy-mm-dd")</f>
        <v/>
      </c>
      <c r="C31259" t="inlineStr">
        <is>
          <t>1985-06-14</t>
        </is>
      </c>
    </row>
    <row r="31260">
      <c r="A31260" s="1" t="n">
        <v>31259</v>
      </c>
      <c r="B31260">
        <f>TEXT(31259, "[$-0E0000]yyyy-mm-dd")</f>
        <v/>
      </c>
      <c r="C31260" t="inlineStr">
        <is>
          <t>1985-06-15</t>
        </is>
      </c>
    </row>
    <row r="31261">
      <c r="A31261" s="1" t="n">
        <v>31260</v>
      </c>
      <c r="B31261">
        <f>TEXT(31260, "[$-0E0000]yyyy-mm-dd")</f>
        <v/>
      </c>
      <c r="C31261" t="inlineStr">
        <is>
          <t>1985-06-16</t>
        </is>
      </c>
    </row>
    <row r="31262">
      <c r="A31262" s="1" t="n">
        <v>31261</v>
      </c>
      <c r="B31262">
        <f>TEXT(31261, "[$-0E0000]yyyy-mm-dd")</f>
        <v/>
      </c>
      <c r="C31262" t="inlineStr">
        <is>
          <t>1985-06-17</t>
        </is>
      </c>
    </row>
    <row r="31263">
      <c r="A31263" s="1" t="n">
        <v>31262</v>
      </c>
      <c r="B31263">
        <f>TEXT(31262, "[$-0E0000]yyyy-mm-dd")</f>
        <v/>
      </c>
      <c r="C31263" t="inlineStr">
        <is>
          <t>1985-06-18</t>
        </is>
      </c>
    </row>
    <row r="31264">
      <c r="A31264" s="1" t="n">
        <v>31263</v>
      </c>
      <c r="B31264">
        <f>TEXT(31263, "[$-0E0000]yyyy-mm-dd")</f>
        <v/>
      </c>
      <c r="C31264" t="inlineStr">
        <is>
          <t>1985-06-19</t>
        </is>
      </c>
    </row>
    <row r="31265">
      <c r="A31265" s="1" t="n">
        <v>31264</v>
      </c>
      <c r="B31265">
        <f>TEXT(31264, "[$-0E0000]yyyy-mm-dd")</f>
        <v/>
      </c>
      <c r="C31265" t="inlineStr">
        <is>
          <t>1985-06-20</t>
        </is>
      </c>
    </row>
    <row r="31266">
      <c r="A31266" s="1" t="n">
        <v>31265</v>
      </c>
      <c r="B31266">
        <f>TEXT(31265, "[$-0E0000]yyyy-mm-dd")</f>
        <v/>
      </c>
      <c r="C31266" t="inlineStr">
        <is>
          <t>1985-06-21</t>
        </is>
      </c>
    </row>
    <row r="31267">
      <c r="A31267" s="1" t="n">
        <v>31266</v>
      </c>
      <c r="B31267">
        <f>TEXT(31266, "[$-0E0000]yyyy-mm-dd")</f>
        <v/>
      </c>
      <c r="C31267" t="inlineStr">
        <is>
          <t>1985-06-22</t>
        </is>
      </c>
    </row>
    <row r="31268">
      <c r="A31268" s="1" t="n">
        <v>31267</v>
      </c>
      <c r="B31268">
        <f>TEXT(31267, "[$-0E0000]yyyy-mm-dd")</f>
        <v/>
      </c>
      <c r="C31268" t="inlineStr">
        <is>
          <t>1985-06-23</t>
        </is>
      </c>
    </row>
    <row r="31269">
      <c r="A31269" s="1" t="n">
        <v>31268</v>
      </c>
      <c r="B31269">
        <f>TEXT(31268, "[$-0E0000]yyyy-mm-dd")</f>
        <v/>
      </c>
      <c r="C31269" t="inlineStr">
        <is>
          <t>1985-06-24</t>
        </is>
      </c>
    </row>
    <row r="31270">
      <c r="A31270" s="1" t="n">
        <v>31269</v>
      </c>
      <c r="B31270">
        <f>TEXT(31269, "[$-0E0000]yyyy-mm-dd")</f>
        <v/>
      </c>
      <c r="C31270" t="inlineStr">
        <is>
          <t>1985-06-25</t>
        </is>
      </c>
    </row>
    <row r="31271">
      <c r="A31271" s="1" t="n">
        <v>31270</v>
      </c>
      <c r="B31271">
        <f>TEXT(31270, "[$-0E0000]yyyy-mm-dd")</f>
        <v/>
      </c>
      <c r="C31271" t="inlineStr">
        <is>
          <t>1985-06-26</t>
        </is>
      </c>
    </row>
    <row r="31272">
      <c r="A31272" s="1" t="n">
        <v>31271</v>
      </c>
      <c r="B31272">
        <f>TEXT(31271, "[$-0E0000]yyyy-mm-dd")</f>
        <v/>
      </c>
      <c r="C31272" t="inlineStr">
        <is>
          <t>1985-06-27</t>
        </is>
      </c>
    </row>
    <row r="31273">
      <c r="A31273" s="1" t="n">
        <v>31272</v>
      </c>
      <c r="B31273">
        <f>TEXT(31272, "[$-0E0000]yyyy-mm-dd")</f>
        <v/>
      </c>
      <c r="C31273" t="inlineStr">
        <is>
          <t>1985-06-28</t>
        </is>
      </c>
    </row>
    <row r="31274">
      <c r="A31274" s="1" t="n">
        <v>31273</v>
      </c>
      <c r="B31274">
        <f>TEXT(31273, "[$-0E0000]yyyy-mm-dd")</f>
        <v/>
      </c>
      <c r="C31274" t="inlineStr">
        <is>
          <t>1985-06-29</t>
        </is>
      </c>
    </row>
    <row r="31275">
      <c r="A31275" s="1" t="n">
        <v>31274</v>
      </c>
      <c r="B31275">
        <f>TEXT(31274, "[$-0E0000]yyyy-mm-dd")</f>
        <v/>
      </c>
      <c r="C31275" t="inlineStr">
        <is>
          <t>1985-07-01</t>
        </is>
      </c>
    </row>
    <row r="31276">
      <c r="A31276" s="1" t="n">
        <v>31275</v>
      </c>
      <c r="B31276">
        <f>TEXT(31275, "[$-0E0000]yyyy-mm-dd")</f>
        <v/>
      </c>
      <c r="C31276" t="inlineStr">
        <is>
          <t>1985-07-02</t>
        </is>
      </c>
    </row>
    <row r="31277">
      <c r="A31277" s="1" t="n">
        <v>31276</v>
      </c>
      <c r="B31277">
        <f>TEXT(31276, "[$-0E0000]yyyy-mm-dd")</f>
        <v/>
      </c>
      <c r="C31277" t="inlineStr">
        <is>
          <t>1985-07-03</t>
        </is>
      </c>
    </row>
    <row r="31278">
      <c r="A31278" s="1" t="n">
        <v>31277</v>
      </c>
      <c r="B31278">
        <f>TEXT(31277, "[$-0E0000]yyyy-mm-dd")</f>
        <v/>
      </c>
      <c r="C31278" t="inlineStr">
        <is>
          <t>1985-07-04</t>
        </is>
      </c>
    </row>
    <row r="31279">
      <c r="A31279" s="1" t="n">
        <v>31278</v>
      </c>
      <c r="B31279">
        <f>TEXT(31278, "[$-0E0000]yyyy-mm-dd")</f>
        <v/>
      </c>
      <c r="C31279" t="inlineStr">
        <is>
          <t>1985-07-05</t>
        </is>
      </c>
    </row>
    <row r="31280">
      <c r="A31280" s="1" t="n">
        <v>31279</v>
      </c>
      <c r="B31280">
        <f>TEXT(31279, "[$-0E0000]yyyy-mm-dd")</f>
        <v/>
      </c>
      <c r="C31280" t="inlineStr">
        <is>
          <t>1985-07-06</t>
        </is>
      </c>
    </row>
    <row r="31281">
      <c r="A31281" s="1" t="n">
        <v>31280</v>
      </c>
      <c r="B31281">
        <f>TEXT(31280, "[$-0E0000]yyyy-mm-dd")</f>
        <v/>
      </c>
      <c r="C31281" t="inlineStr">
        <is>
          <t>1985-07-07</t>
        </is>
      </c>
    </row>
    <row r="31282">
      <c r="A31282" s="1" t="n">
        <v>31281</v>
      </c>
      <c r="B31282">
        <f>TEXT(31281, "[$-0E0000]yyyy-mm-dd")</f>
        <v/>
      </c>
      <c r="C31282" t="inlineStr">
        <is>
          <t>1985-07-08</t>
        </is>
      </c>
    </row>
    <row r="31283">
      <c r="A31283" s="1" t="n">
        <v>31282</v>
      </c>
      <c r="B31283">
        <f>TEXT(31282, "[$-0E0000]yyyy-mm-dd")</f>
        <v/>
      </c>
      <c r="C31283" t="inlineStr">
        <is>
          <t>1985-07-09</t>
        </is>
      </c>
    </row>
    <row r="31284">
      <c r="A31284" s="1" t="n">
        <v>31283</v>
      </c>
      <c r="B31284">
        <f>TEXT(31283, "[$-0E0000]yyyy-mm-dd")</f>
        <v/>
      </c>
      <c r="C31284" t="inlineStr">
        <is>
          <t>1985-07-10</t>
        </is>
      </c>
    </row>
    <row r="31285">
      <c r="A31285" s="1" t="n">
        <v>31284</v>
      </c>
      <c r="B31285">
        <f>TEXT(31284, "[$-0E0000]yyyy-mm-dd")</f>
        <v/>
      </c>
      <c r="C31285" t="inlineStr">
        <is>
          <t>1985-07-11</t>
        </is>
      </c>
    </row>
    <row r="31286">
      <c r="A31286" s="1" t="n">
        <v>31285</v>
      </c>
      <c r="B31286">
        <f>TEXT(31285, "[$-0E0000]yyyy-mm-dd")</f>
        <v/>
      </c>
      <c r="C31286" t="inlineStr">
        <is>
          <t>1985-07-12</t>
        </is>
      </c>
    </row>
    <row r="31287">
      <c r="A31287" s="1" t="n">
        <v>31286</v>
      </c>
      <c r="B31287">
        <f>TEXT(31286, "[$-0E0000]yyyy-mm-dd")</f>
        <v/>
      </c>
      <c r="C31287" t="inlineStr">
        <is>
          <t>1985-07-13</t>
        </is>
      </c>
    </row>
    <row r="31288">
      <c r="A31288" s="1" t="n">
        <v>31287</v>
      </c>
      <c r="B31288">
        <f>TEXT(31287, "[$-0E0000]yyyy-mm-dd")</f>
        <v/>
      </c>
      <c r="C31288" t="inlineStr">
        <is>
          <t>1985-07-14</t>
        </is>
      </c>
    </row>
    <row r="31289">
      <c r="A31289" s="1" t="n">
        <v>31288</v>
      </c>
      <c r="B31289">
        <f>TEXT(31288, "[$-0E0000]yyyy-mm-dd")</f>
        <v/>
      </c>
      <c r="C31289" t="inlineStr">
        <is>
          <t>1985-07-15</t>
        </is>
      </c>
    </row>
    <row r="31290">
      <c r="A31290" s="1" t="n">
        <v>31289</v>
      </c>
      <c r="B31290">
        <f>TEXT(31289, "[$-0E0000]yyyy-mm-dd")</f>
        <v/>
      </c>
      <c r="C31290" t="inlineStr">
        <is>
          <t>1985-07-16</t>
        </is>
      </c>
    </row>
    <row r="31291">
      <c r="A31291" s="1" t="n">
        <v>31290</v>
      </c>
      <c r="B31291">
        <f>TEXT(31290, "[$-0E0000]yyyy-mm-dd")</f>
        <v/>
      </c>
      <c r="C31291" t="inlineStr">
        <is>
          <t>1985-07-17</t>
        </is>
      </c>
    </row>
    <row r="31292">
      <c r="A31292" s="1" t="n">
        <v>31291</v>
      </c>
      <c r="B31292">
        <f>TEXT(31291, "[$-0E0000]yyyy-mm-dd")</f>
        <v/>
      </c>
      <c r="C31292" t="inlineStr">
        <is>
          <t>1985-07-18</t>
        </is>
      </c>
    </row>
    <row r="31293">
      <c r="A31293" s="1" t="n">
        <v>31292</v>
      </c>
      <c r="B31293">
        <f>TEXT(31292, "[$-0E0000]yyyy-mm-dd")</f>
        <v/>
      </c>
      <c r="C31293" t="inlineStr">
        <is>
          <t>1985-07-19</t>
        </is>
      </c>
    </row>
    <row r="31294">
      <c r="A31294" s="1" t="n">
        <v>31293</v>
      </c>
      <c r="B31294">
        <f>TEXT(31293, "[$-0E0000]yyyy-mm-dd")</f>
        <v/>
      </c>
      <c r="C31294" t="inlineStr">
        <is>
          <t>1985-07-20</t>
        </is>
      </c>
    </row>
    <row r="31295">
      <c r="A31295" s="1" t="n">
        <v>31294</v>
      </c>
      <c r="B31295">
        <f>TEXT(31294, "[$-0E0000]yyyy-mm-dd")</f>
        <v/>
      </c>
      <c r="C31295" t="inlineStr">
        <is>
          <t>1985-07-21</t>
        </is>
      </c>
    </row>
    <row r="31296">
      <c r="A31296" s="1" t="n">
        <v>31295</v>
      </c>
      <c r="B31296">
        <f>TEXT(31295, "[$-0E0000]yyyy-mm-dd")</f>
        <v/>
      </c>
      <c r="C31296" t="inlineStr">
        <is>
          <t>1985-07-22</t>
        </is>
      </c>
    </row>
    <row r="31297">
      <c r="A31297" s="1" t="n">
        <v>31296</v>
      </c>
      <c r="B31297">
        <f>TEXT(31296, "[$-0E0000]yyyy-mm-dd")</f>
        <v/>
      </c>
      <c r="C31297" t="inlineStr">
        <is>
          <t>1985-07-23</t>
        </is>
      </c>
    </row>
    <row r="31298">
      <c r="A31298" s="1" t="n">
        <v>31297</v>
      </c>
      <c r="B31298">
        <f>TEXT(31297, "[$-0E0000]yyyy-mm-dd")</f>
        <v/>
      </c>
      <c r="C31298" t="inlineStr">
        <is>
          <t>1985-07-24</t>
        </is>
      </c>
    </row>
    <row r="31299">
      <c r="A31299" s="1" t="n">
        <v>31298</v>
      </c>
      <c r="B31299">
        <f>TEXT(31298, "[$-0E0000]yyyy-mm-dd")</f>
        <v/>
      </c>
      <c r="C31299" t="inlineStr">
        <is>
          <t>1985-07-25</t>
        </is>
      </c>
    </row>
    <row r="31300">
      <c r="A31300" s="1" t="n">
        <v>31299</v>
      </c>
      <c r="B31300">
        <f>TEXT(31299, "[$-0E0000]yyyy-mm-dd")</f>
        <v/>
      </c>
      <c r="C31300" t="inlineStr">
        <is>
          <t>1985-07-26</t>
        </is>
      </c>
    </row>
    <row r="31301">
      <c r="A31301" s="1" t="n">
        <v>31300</v>
      </c>
      <c r="B31301">
        <f>TEXT(31300, "[$-0E0000]yyyy-mm-dd")</f>
        <v/>
      </c>
      <c r="C31301" t="inlineStr">
        <is>
          <t>1985-07-27</t>
        </is>
      </c>
    </row>
    <row r="31302">
      <c r="A31302" s="1" t="n">
        <v>31301</v>
      </c>
      <c r="B31302">
        <f>TEXT(31301, "[$-0E0000]yyyy-mm-dd")</f>
        <v/>
      </c>
      <c r="C31302" t="inlineStr">
        <is>
          <t>1985-07-28</t>
        </is>
      </c>
    </row>
    <row r="31303">
      <c r="A31303" s="1" t="n">
        <v>31302</v>
      </c>
      <c r="B31303">
        <f>TEXT(31302, "[$-0E0000]yyyy-mm-dd")</f>
        <v/>
      </c>
      <c r="C31303" t="inlineStr">
        <is>
          <t>1985-07-29</t>
        </is>
      </c>
    </row>
    <row r="31304">
      <c r="A31304" s="1" t="n">
        <v>31303</v>
      </c>
      <c r="B31304">
        <f>TEXT(31303, "[$-0E0000]yyyy-mm-dd")</f>
        <v/>
      </c>
      <c r="C31304" t="inlineStr">
        <is>
          <t>1985-07-30</t>
        </is>
      </c>
    </row>
    <row r="31305">
      <c r="A31305" s="1" t="n">
        <v>31304</v>
      </c>
      <c r="B31305">
        <f>TEXT(31304, "[$-0E0000]yyyy-mm-dd")</f>
        <v/>
      </c>
      <c r="C31305" t="inlineStr">
        <is>
          <t>1985-08-01</t>
        </is>
      </c>
    </row>
    <row r="31306">
      <c r="A31306" s="1" t="n">
        <v>31305</v>
      </c>
      <c r="B31306">
        <f>TEXT(31305, "[$-0E0000]yyyy-mm-dd")</f>
        <v/>
      </c>
      <c r="C31306" t="inlineStr">
        <is>
          <t>1985-08-02</t>
        </is>
      </c>
    </row>
    <row r="31307">
      <c r="A31307" s="1" t="n">
        <v>31306</v>
      </c>
      <c r="B31307">
        <f>TEXT(31306, "[$-0E0000]yyyy-mm-dd")</f>
        <v/>
      </c>
      <c r="C31307" t="inlineStr">
        <is>
          <t>1985-08-03</t>
        </is>
      </c>
    </row>
    <row r="31308">
      <c r="A31308" s="1" t="n">
        <v>31307</v>
      </c>
      <c r="B31308">
        <f>TEXT(31307, "[$-0E0000]yyyy-mm-dd")</f>
        <v/>
      </c>
      <c r="C31308" t="inlineStr">
        <is>
          <t>1985-08-04</t>
        </is>
      </c>
    </row>
    <row r="31309">
      <c r="A31309" s="1" t="n">
        <v>31308</v>
      </c>
      <c r="B31309">
        <f>TEXT(31308, "[$-0E0000]yyyy-mm-dd")</f>
        <v/>
      </c>
      <c r="C31309" t="inlineStr">
        <is>
          <t>1985-08-05</t>
        </is>
      </c>
    </row>
    <row r="31310">
      <c r="A31310" s="1" t="n">
        <v>31309</v>
      </c>
      <c r="B31310">
        <f>TEXT(31309, "[$-0E0000]yyyy-mm-dd")</f>
        <v/>
      </c>
      <c r="C31310" t="inlineStr">
        <is>
          <t>1985-08-06</t>
        </is>
      </c>
    </row>
    <row r="31311">
      <c r="A31311" s="1" t="n">
        <v>31310</v>
      </c>
      <c r="B31311">
        <f>TEXT(31310, "[$-0E0000]yyyy-mm-dd")</f>
        <v/>
      </c>
      <c r="C31311" t="inlineStr">
        <is>
          <t>1985-08-07</t>
        </is>
      </c>
    </row>
    <row r="31312">
      <c r="A31312" s="1" t="n">
        <v>31311</v>
      </c>
      <c r="B31312">
        <f>TEXT(31311, "[$-0E0000]yyyy-mm-dd")</f>
        <v/>
      </c>
      <c r="C31312" t="inlineStr">
        <is>
          <t>1985-08-08</t>
        </is>
      </c>
    </row>
    <row r="31313">
      <c r="A31313" s="1" t="n">
        <v>31312</v>
      </c>
      <c r="B31313">
        <f>TEXT(31312, "[$-0E0000]yyyy-mm-dd")</f>
        <v/>
      </c>
      <c r="C31313" t="inlineStr">
        <is>
          <t>1985-08-09</t>
        </is>
      </c>
    </row>
    <row r="31314">
      <c r="A31314" s="1" t="n">
        <v>31313</v>
      </c>
      <c r="B31314">
        <f>TEXT(31313, "[$-0E0000]yyyy-mm-dd")</f>
        <v/>
      </c>
      <c r="C31314" t="inlineStr">
        <is>
          <t>1985-08-10</t>
        </is>
      </c>
    </row>
    <row r="31315">
      <c r="A31315" s="1" t="n">
        <v>31314</v>
      </c>
      <c r="B31315">
        <f>TEXT(31314, "[$-0E0000]yyyy-mm-dd")</f>
        <v/>
      </c>
      <c r="C31315" t="inlineStr">
        <is>
          <t>1985-08-11</t>
        </is>
      </c>
    </row>
    <row r="31316">
      <c r="A31316" s="1" t="n">
        <v>31315</v>
      </c>
      <c r="B31316">
        <f>TEXT(31315, "[$-0E0000]yyyy-mm-dd")</f>
        <v/>
      </c>
      <c r="C31316" t="inlineStr">
        <is>
          <t>1985-08-12</t>
        </is>
      </c>
    </row>
    <row r="31317">
      <c r="A31317" s="1" t="n">
        <v>31316</v>
      </c>
      <c r="B31317">
        <f>TEXT(31316, "[$-0E0000]yyyy-mm-dd")</f>
        <v/>
      </c>
      <c r="C31317" t="inlineStr">
        <is>
          <t>1985-08-13</t>
        </is>
      </c>
    </row>
    <row r="31318">
      <c r="A31318" s="1" t="n">
        <v>31317</v>
      </c>
      <c r="B31318">
        <f>TEXT(31317, "[$-0E0000]yyyy-mm-dd")</f>
        <v/>
      </c>
      <c r="C31318" t="inlineStr">
        <is>
          <t>1985-08-14</t>
        </is>
      </c>
    </row>
    <row r="31319">
      <c r="A31319" s="1" t="n">
        <v>31318</v>
      </c>
      <c r="B31319">
        <f>TEXT(31318, "[$-0E0000]yyyy-mm-dd")</f>
        <v/>
      </c>
      <c r="C31319" t="inlineStr">
        <is>
          <t>1985-08-15</t>
        </is>
      </c>
    </row>
    <row r="31320">
      <c r="A31320" s="1" t="n">
        <v>31319</v>
      </c>
      <c r="B31320">
        <f>TEXT(31319, "[$-0E0000]yyyy-mm-dd")</f>
        <v/>
      </c>
      <c r="C31320" t="inlineStr">
        <is>
          <t>1985-08-16</t>
        </is>
      </c>
    </row>
    <row r="31321">
      <c r="A31321" s="1" t="n">
        <v>31320</v>
      </c>
      <c r="B31321">
        <f>TEXT(31320, "[$-0E0000]yyyy-mm-dd")</f>
        <v/>
      </c>
      <c r="C31321" t="inlineStr">
        <is>
          <t>1985-08-17</t>
        </is>
      </c>
    </row>
    <row r="31322">
      <c r="A31322" s="1" t="n">
        <v>31321</v>
      </c>
      <c r="B31322">
        <f>TEXT(31321, "[$-0E0000]yyyy-mm-dd")</f>
        <v/>
      </c>
      <c r="C31322" t="inlineStr">
        <is>
          <t>1985-08-18</t>
        </is>
      </c>
    </row>
    <row r="31323">
      <c r="A31323" s="1" t="n">
        <v>31322</v>
      </c>
      <c r="B31323">
        <f>TEXT(31322, "[$-0E0000]yyyy-mm-dd")</f>
        <v/>
      </c>
      <c r="C31323" t="inlineStr">
        <is>
          <t>1985-08-19</t>
        </is>
      </c>
    </row>
    <row r="31324">
      <c r="A31324" s="1" t="n">
        <v>31323</v>
      </c>
      <c r="B31324">
        <f>TEXT(31323, "[$-0E0000]yyyy-mm-dd")</f>
        <v/>
      </c>
      <c r="C31324" t="inlineStr">
        <is>
          <t>1985-08-20</t>
        </is>
      </c>
    </row>
    <row r="31325">
      <c r="A31325" s="1" t="n">
        <v>31324</v>
      </c>
      <c r="B31325">
        <f>TEXT(31324, "[$-0E0000]yyyy-mm-dd")</f>
        <v/>
      </c>
      <c r="C31325" t="inlineStr">
        <is>
          <t>1985-08-21</t>
        </is>
      </c>
    </row>
    <row r="31326">
      <c r="A31326" s="1" t="n">
        <v>31325</v>
      </c>
      <c r="B31326">
        <f>TEXT(31325, "[$-0E0000]yyyy-mm-dd")</f>
        <v/>
      </c>
      <c r="C31326" t="inlineStr">
        <is>
          <t>1985-08-22</t>
        </is>
      </c>
    </row>
    <row r="31327">
      <c r="A31327" s="1" t="n">
        <v>31326</v>
      </c>
      <c r="B31327">
        <f>TEXT(31326, "[$-0E0000]yyyy-mm-dd")</f>
        <v/>
      </c>
      <c r="C31327" t="inlineStr">
        <is>
          <t>1985-08-23</t>
        </is>
      </c>
    </row>
    <row r="31328">
      <c r="A31328" s="1" t="n">
        <v>31327</v>
      </c>
      <c r="B31328">
        <f>TEXT(31327, "[$-0E0000]yyyy-mm-dd")</f>
        <v/>
      </c>
      <c r="C31328" t="inlineStr">
        <is>
          <t>1985-08-24</t>
        </is>
      </c>
    </row>
    <row r="31329">
      <c r="A31329" s="1" t="n">
        <v>31328</v>
      </c>
      <c r="B31329">
        <f>TEXT(31328, "[$-0E0000]yyyy-mm-dd")</f>
        <v/>
      </c>
      <c r="C31329" t="inlineStr">
        <is>
          <t>1985-08-25</t>
        </is>
      </c>
    </row>
    <row r="31330">
      <c r="A31330" s="1" t="n">
        <v>31329</v>
      </c>
      <c r="B31330">
        <f>TEXT(31329, "[$-0E0000]yyyy-mm-dd")</f>
        <v/>
      </c>
      <c r="C31330" t="inlineStr">
        <is>
          <t>1985-08-26</t>
        </is>
      </c>
    </row>
    <row r="31331">
      <c r="A31331" s="1" t="n">
        <v>31330</v>
      </c>
      <c r="B31331">
        <f>TEXT(31330, "[$-0E0000]yyyy-mm-dd")</f>
        <v/>
      </c>
      <c r="C31331" t="inlineStr">
        <is>
          <t>1985-08-27</t>
        </is>
      </c>
    </row>
    <row r="31332">
      <c r="A31332" s="1" t="n">
        <v>31331</v>
      </c>
      <c r="B31332">
        <f>TEXT(31331, "[$-0E0000]yyyy-mm-dd")</f>
        <v/>
      </c>
      <c r="C31332" t="inlineStr">
        <is>
          <t>1985-08-28</t>
        </is>
      </c>
    </row>
    <row r="31333">
      <c r="A31333" s="1" t="n">
        <v>31332</v>
      </c>
      <c r="B31333">
        <f>TEXT(31332, "[$-0E0000]yyyy-mm-dd")</f>
        <v/>
      </c>
      <c r="C31333" t="inlineStr">
        <is>
          <t>1985-08-29</t>
        </is>
      </c>
    </row>
    <row r="31334">
      <c r="A31334" s="1" t="n">
        <v>31333</v>
      </c>
      <c r="B31334">
        <f>TEXT(31333, "[$-0E0000]yyyy-mm-dd")</f>
        <v/>
      </c>
      <c r="C31334" t="inlineStr">
        <is>
          <t>1985-09-01</t>
        </is>
      </c>
    </row>
    <row r="31335">
      <c r="A31335" s="1" t="n">
        <v>31334</v>
      </c>
      <c r="B31335">
        <f>TEXT(31334, "[$-0E0000]yyyy-mm-dd")</f>
        <v/>
      </c>
      <c r="C31335" t="inlineStr">
        <is>
          <t>1985-09-02</t>
        </is>
      </c>
    </row>
    <row r="31336">
      <c r="A31336" s="1" t="n">
        <v>31335</v>
      </c>
      <c r="B31336">
        <f>TEXT(31335, "[$-0E0000]yyyy-mm-dd")</f>
        <v/>
      </c>
      <c r="C31336" t="inlineStr">
        <is>
          <t>1985-09-03</t>
        </is>
      </c>
    </row>
    <row r="31337">
      <c r="A31337" s="1" t="n">
        <v>31336</v>
      </c>
      <c r="B31337">
        <f>TEXT(31336, "[$-0E0000]yyyy-mm-dd")</f>
        <v/>
      </c>
      <c r="C31337" t="inlineStr">
        <is>
          <t>1985-09-04</t>
        </is>
      </c>
    </row>
    <row r="31338">
      <c r="A31338" s="1" t="n">
        <v>31337</v>
      </c>
      <c r="B31338">
        <f>TEXT(31337, "[$-0E0000]yyyy-mm-dd")</f>
        <v/>
      </c>
      <c r="C31338" t="inlineStr">
        <is>
          <t>1985-09-05</t>
        </is>
      </c>
    </row>
    <row r="31339">
      <c r="A31339" s="1" t="n">
        <v>31338</v>
      </c>
      <c r="B31339">
        <f>TEXT(31338, "[$-0E0000]yyyy-mm-dd")</f>
        <v/>
      </c>
      <c r="C31339" t="inlineStr">
        <is>
          <t>1985-09-06</t>
        </is>
      </c>
    </row>
    <row r="31340">
      <c r="A31340" s="1" t="n">
        <v>31339</v>
      </c>
      <c r="B31340">
        <f>TEXT(31339, "[$-0E0000]yyyy-mm-dd")</f>
        <v/>
      </c>
      <c r="C31340" t="inlineStr">
        <is>
          <t>1985-09-07</t>
        </is>
      </c>
    </row>
    <row r="31341">
      <c r="A31341" s="1" t="n">
        <v>31340</v>
      </c>
      <c r="B31341">
        <f>TEXT(31340, "[$-0E0000]yyyy-mm-dd")</f>
        <v/>
      </c>
      <c r="C31341" t="inlineStr">
        <is>
          <t>1985-09-08</t>
        </is>
      </c>
    </row>
    <row r="31342">
      <c r="A31342" s="1" t="n">
        <v>31341</v>
      </c>
      <c r="B31342">
        <f>TEXT(31341, "[$-0E0000]yyyy-mm-dd")</f>
        <v/>
      </c>
      <c r="C31342" t="inlineStr">
        <is>
          <t>1985-09-09</t>
        </is>
      </c>
    </row>
    <row r="31343">
      <c r="A31343" s="1" t="n">
        <v>31342</v>
      </c>
      <c r="B31343">
        <f>TEXT(31342, "[$-0E0000]yyyy-mm-dd")</f>
        <v/>
      </c>
      <c r="C31343" t="inlineStr">
        <is>
          <t>1985-09-10</t>
        </is>
      </c>
    </row>
    <row r="31344">
      <c r="A31344" s="1" t="n">
        <v>31343</v>
      </c>
      <c r="B31344">
        <f>TEXT(31343, "[$-0E0000]yyyy-mm-dd")</f>
        <v/>
      </c>
      <c r="C31344" t="inlineStr">
        <is>
          <t>1985-09-11</t>
        </is>
      </c>
    </row>
    <row r="31345">
      <c r="A31345" s="1" t="n">
        <v>31344</v>
      </c>
      <c r="B31345">
        <f>TEXT(31344, "[$-0E0000]yyyy-mm-dd")</f>
        <v/>
      </c>
      <c r="C31345" t="inlineStr">
        <is>
          <t>1985-09-12</t>
        </is>
      </c>
    </row>
    <row r="31346">
      <c r="A31346" s="1" t="n">
        <v>31345</v>
      </c>
      <c r="B31346">
        <f>TEXT(31345, "[$-0E0000]yyyy-mm-dd")</f>
        <v/>
      </c>
      <c r="C31346" t="inlineStr">
        <is>
          <t>1985-09-13</t>
        </is>
      </c>
    </row>
    <row r="31347">
      <c r="A31347" s="1" t="n">
        <v>31346</v>
      </c>
      <c r="B31347">
        <f>TEXT(31346, "[$-0E0000]yyyy-mm-dd")</f>
        <v/>
      </c>
      <c r="C31347" t="inlineStr">
        <is>
          <t>1985-09-14</t>
        </is>
      </c>
    </row>
    <row r="31348">
      <c r="A31348" s="1" t="n">
        <v>31347</v>
      </c>
      <c r="B31348">
        <f>TEXT(31347, "[$-0E0000]yyyy-mm-dd")</f>
        <v/>
      </c>
      <c r="C31348" t="inlineStr">
        <is>
          <t>1985-09-15</t>
        </is>
      </c>
    </row>
    <row r="31349">
      <c r="A31349" s="1" t="n">
        <v>31348</v>
      </c>
      <c r="B31349">
        <f>TEXT(31348, "[$-0E0000]yyyy-mm-dd")</f>
        <v/>
      </c>
      <c r="C31349" t="inlineStr">
        <is>
          <t>1985-09-16</t>
        </is>
      </c>
    </row>
    <row r="31350">
      <c r="A31350" s="1" t="n">
        <v>31349</v>
      </c>
      <c r="B31350">
        <f>TEXT(31349, "[$-0E0000]yyyy-mm-dd")</f>
        <v/>
      </c>
      <c r="C31350" t="inlineStr">
        <is>
          <t>1985-09-17</t>
        </is>
      </c>
    </row>
    <row r="31351">
      <c r="A31351" s="1" t="n">
        <v>31350</v>
      </c>
      <c r="B31351">
        <f>TEXT(31350, "[$-0E0000]yyyy-mm-dd")</f>
        <v/>
      </c>
      <c r="C31351" t="inlineStr">
        <is>
          <t>1985-09-18</t>
        </is>
      </c>
    </row>
    <row r="31352">
      <c r="A31352" s="1" t="n">
        <v>31351</v>
      </c>
      <c r="B31352">
        <f>TEXT(31351, "[$-0E0000]yyyy-mm-dd")</f>
        <v/>
      </c>
      <c r="C31352" t="inlineStr">
        <is>
          <t>1985-09-19</t>
        </is>
      </c>
    </row>
    <row r="31353">
      <c r="A31353" s="1" t="n">
        <v>31352</v>
      </c>
      <c r="B31353">
        <f>TEXT(31352, "[$-0E0000]yyyy-mm-dd")</f>
        <v/>
      </c>
      <c r="C31353" t="inlineStr">
        <is>
          <t>1985-09-20</t>
        </is>
      </c>
    </row>
    <row r="31354">
      <c r="A31354" s="1" t="n">
        <v>31353</v>
      </c>
      <c r="B31354">
        <f>TEXT(31353, "[$-0E0000]yyyy-mm-dd")</f>
        <v/>
      </c>
      <c r="C31354" t="inlineStr">
        <is>
          <t>1985-09-21</t>
        </is>
      </c>
    </row>
    <row r="31355">
      <c r="A31355" s="1" t="n">
        <v>31354</v>
      </c>
      <c r="B31355">
        <f>TEXT(31354, "[$-0E0000]yyyy-mm-dd")</f>
        <v/>
      </c>
      <c r="C31355" t="inlineStr">
        <is>
          <t>1985-09-22</t>
        </is>
      </c>
    </row>
    <row r="31356">
      <c r="A31356" s="1" t="n">
        <v>31355</v>
      </c>
      <c r="B31356">
        <f>TEXT(31355, "[$-0E0000]yyyy-mm-dd")</f>
        <v/>
      </c>
      <c r="C31356" t="inlineStr">
        <is>
          <t>1985-09-23</t>
        </is>
      </c>
    </row>
    <row r="31357">
      <c r="A31357" s="1" t="n">
        <v>31356</v>
      </c>
      <c r="B31357">
        <f>TEXT(31356, "[$-0E0000]yyyy-mm-dd")</f>
        <v/>
      </c>
      <c r="C31357" t="inlineStr">
        <is>
          <t>1985-09-24</t>
        </is>
      </c>
    </row>
    <row r="31358">
      <c r="A31358" s="1" t="n">
        <v>31357</v>
      </c>
      <c r="B31358">
        <f>TEXT(31357, "[$-0E0000]yyyy-mm-dd")</f>
        <v/>
      </c>
      <c r="C31358" t="inlineStr">
        <is>
          <t>1985-09-25</t>
        </is>
      </c>
    </row>
    <row r="31359">
      <c r="A31359" s="1" t="n">
        <v>31358</v>
      </c>
      <c r="B31359">
        <f>TEXT(31358, "[$-0E0000]yyyy-mm-dd")</f>
        <v/>
      </c>
      <c r="C31359" t="inlineStr">
        <is>
          <t>1985-09-26</t>
        </is>
      </c>
    </row>
    <row r="31360">
      <c r="A31360" s="1" t="n">
        <v>31359</v>
      </c>
      <c r="B31360">
        <f>TEXT(31359, "[$-0E0000]yyyy-mm-dd")</f>
        <v/>
      </c>
      <c r="C31360" t="inlineStr">
        <is>
          <t>1985-09-27</t>
        </is>
      </c>
    </row>
    <row r="31361">
      <c r="A31361" s="1" t="n">
        <v>31360</v>
      </c>
      <c r="B31361">
        <f>TEXT(31360, "[$-0E0000]yyyy-mm-dd")</f>
        <v/>
      </c>
      <c r="C31361" t="inlineStr">
        <is>
          <t>1985-09-28</t>
        </is>
      </c>
    </row>
    <row r="31362">
      <c r="A31362" s="1" t="n">
        <v>31361</v>
      </c>
      <c r="B31362">
        <f>TEXT(31361, "[$-0E0000]yyyy-mm-dd")</f>
        <v/>
      </c>
      <c r="C31362" t="inlineStr">
        <is>
          <t>1985-09-29</t>
        </is>
      </c>
    </row>
    <row r="31363">
      <c r="A31363" s="1" t="n">
        <v>31362</v>
      </c>
      <c r="B31363">
        <f>TEXT(31362, "[$-0E0000]yyyy-mm-dd")</f>
        <v/>
      </c>
      <c r="C31363" t="inlineStr">
        <is>
          <t>1985-10-01</t>
        </is>
      </c>
    </row>
    <row r="31364">
      <c r="A31364" s="1" t="n">
        <v>31363</v>
      </c>
      <c r="B31364">
        <f>TEXT(31363, "[$-0E0000]yyyy-mm-dd")</f>
        <v/>
      </c>
      <c r="C31364" t="inlineStr">
        <is>
          <t>1985-10-02</t>
        </is>
      </c>
    </row>
    <row r="31365">
      <c r="A31365" s="1" t="n">
        <v>31364</v>
      </c>
      <c r="B31365">
        <f>TEXT(31364, "[$-0E0000]yyyy-mm-dd")</f>
        <v/>
      </c>
      <c r="C31365" t="inlineStr">
        <is>
          <t>1985-10-03</t>
        </is>
      </c>
    </row>
    <row r="31366">
      <c r="A31366" s="1" t="n">
        <v>31365</v>
      </c>
      <c r="B31366">
        <f>TEXT(31365, "[$-0E0000]yyyy-mm-dd")</f>
        <v/>
      </c>
      <c r="C31366" t="inlineStr">
        <is>
          <t>1985-10-04</t>
        </is>
      </c>
    </row>
    <row r="31367">
      <c r="A31367" s="1" t="n">
        <v>31366</v>
      </c>
      <c r="B31367">
        <f>TEXT(31366, "[$-0E0000]yyyy-mm-dd")</f>
        <v/>
      </c>
      <c r="C31367" t="inlineStr">
        <is>
          <t>1985-10-05</t>
        </is>
      </c>
    </row>
    <row r="31368">
      <c r="A31368" s="1" t="n">
        <v>31367</v>
      </c>
      <c r="B31368">
        <f>TEXT(31367, "[$-0E0000]yyyy-mm-dd")</f>
        <v/>
      </c>
      <c r="C31368" t="inlineStr">
        <is>
          <t>1985-10-06</t>
        </is>
      </c>
    </row>
    <row r="31369">
      <c r="A31369" s="1" t="n">
        <v>31368</v>
      </c>
      <c r="B31369">
        <f>TEXT(31368, "[$-0E0000]yyyy-mm-dd")</f>
        <v/>
      </c>
      <c r="C31369" t="inlineStr">
        <is>
          <t>1985-10-07</t>
        </is>
      </c>
    </row>
    <row r="31370">
      <c r="A31370" s="1" t="n">
        <v>31369</v>
      </c>
      <c r="B31370">
        <f>TEXT(31369, "[$-0E0000]yyyy-mm-dd")</f>
        <v/>
      </c>
      <c r="C31370" t="inlineStr">
        <is>
          <t>1985-10-08</t>
        </is>
      </c>
    </row>
    <row r="31371">
      <c r="A31371" s="1" t="n">
        <v>31370</v>
      </c>
      <c r="B31371">
        <f>TEXT(31370, "[$-0E0000]yyyy-mm-dd")</f>
        <v/>
      </c>
      <c r="C31371" t="inlineStr">
        <is>
          <t>1985-10-09</t>
        </is>
      </c>
    </row>
    <row r="31372">
      <c r="A31372" s="1" t="n">
        <v>31371</v>
      </c>
      <c r="B31372">
        <f>TEXT(31371, "[$-0E0000]yyyy-mm-dd")</f>
        <v/>
      </c>
      <c r="C31372" t="inlineStr">
        <is>
          <t>1985-10-10</t>
        </is>
      </c>
    </row>
    <row r="31373">
      <c r="A31373" s="1" t="n">
        <v>31372</v>
      </c>
      <c r="B31373">
        <f>TEXT(31372, "[$-0E0000]yyyy-mm-dd")</f>
        <v/>
      </c>
      <c r="C31373" t="inlineStr">
        <is>
          <t>1985-10-11</t>
        </is>
      </c>
    </row>
    <row r="31374">
      <c r="A31374" s="1" t="n">
        <v>31373</v>
      </c>
      <c r="B31374">
        <f>TEXT(31373, "[$-0E0000]yyyy-mm-dd")</f>
        <v/>
      </c>
      <c r="C31374" t="inlineStr">
        <is>
          <t>1985-10-12</t>
        </is>
      </c>
    </row>
    <row r="31375">
      <c r="A31375" s="1" t="n">
        <v>31374</v>
      </c>
      <c r="B31375">
        <f>TEXT(31374, "[$-0E0000]yyyy-mm-dd")</f>
        <v/>
      </c>
      <c r="C31375" t="inlineStr">
        <is>
          <t>1985-10-13</t>
        </is>
      </c>
    </row>
    <row r="31376">
      <c r="A31376" s="1" t="n">
        <v>31375</v>
      </c>
      <c r="B31376">
        <f>TEXT(31375, "[$-0E0000]yyyy-mm-dd")</f>
        <v/>
      </c>
      <c r="C31376" t="inlineStr">
        <is>
          <t>1985-10-14</t>
        </is>
      </c>
    </row>
    <row r="31377">
      <c r="A31377" s="1" t="n">
        <v>31376</v>
      </c>
      <c r="B31377">
        <f>TEXT(31376, "[$-0E0000]yyyy-mm-dd")</f>
        <v/>
      </c>
      <c r="C31377" t="inlineStr">
        <is>
          <t>1985-10-15</t>
        </is>
      </c>
    </row>
    <row r="31378">
      <c r="A31378" s="1" t="n">
        <v>31377</v>
      </c>
      <c r="B31378">
        <f>TEXT(31377, "[$-0E0000]yyyy-mm-dd")</f>
        <v/>
      </c>
      <c r="C31378" t="inlineStr">
        <is>
          <t>1985-10-16</t>
        </is>
      </c>
    </row>
    <row r="31379">
      <c r="A31379" s="1" t="n">
        <v>31378</v>
      </c>
      <c r="B31379">
        <f>TEXT(31378, "[$-0E0000]yyyy-mm-dd")</f>
        <v/>
      </c>
      <c r="C31379" t="inlineStr">
        <is>
          <t>1985-10-17</t>
        </is>
      </c>
    </row>
    <row r="31380">
      <c r="A31380" s="1" t="n">
        <v>31379</v>
      </c>
      <c r="B31380">
        <f>TEXT(31379, "[$-0E0000]yyyy-mm-dd")</f>
        <v/>
      </c>
      <c r="C31380" t="inlineStr">
        <is>
          <t>1985-10-18</t>
        </is>
      </c>
    </row>
    <row r="31381">
      <c r="A31381" s="1" t="n">
        <v>31380</v>
      </c>
      <c r="B31381">
        <f>TEXT(31380, "[$-0E0000]yyyy-mm-dd")</f>
        <v/>
      </c>
      <c r="C31381" t="inlineStr">
        <is>
          <t>1985-10-19</t>
        </is>
      </c>
    </row>
    <row r="31382">
      <c r="A31382" s="1" t="n">
        <v>31381</v>
      </c>
      <c r="B31382">
        <f>TEXT(31381, "[$-0E0000]yyyy-mm-dd")</f>
        <v/>
      </c>
      <c r="C31382" t="inlineStr">
        <is>
          <t>1985-10-20</t>
        </is>
      </c>
    </row>
    <row r="31383">
      <c r="A31383" s="1" t="n">
        <v>31382</v>
      </c>
      <c r="B31383">
        <f>TEXT(31382, "[$-0E0000]yyyy-mm-dd")</f>
        <v/>
      </c>
      <c r="C31383" t="inlineStr">
        <is>
          <t>1985-10-21</t>
        </is>
      </c>
    </row>
    <row r="31384">
      <c r="A31384" s="1" t="n">
        <v>31383</v>
      </c>
      <c r="B31384">
        <f>TEXT(31383, "[$-0E0000]yyyy-mm-dd")</f>
        <v/>
      </c>
      <c r="C31384" t="inlineStr">
        <is>
          <t>1985-10-22</t>
        </is>
      </c>
    </row>
    <row r="31385">
      <c r="A31385" s="1" t="n">
        <v>31384</v>
      </c>
      <c r="B31385">
        <f>TEXT(31384, "[$-0E0000]yyyy-mm-dd")</f>
        <v/>
      </c>
      <c r="C31385" t="inlineStr">
        <is>
          <t>1985-10-23</t>
        </is>
      </c>
    </row>
    <row r="31386">
      <c r="A31386" s="1" t="n">
        <v>31385</v>
      </c>
      <c r="B31386">
        <f>TEXT(31385, "[$-0E0000]yyyy-mm-dd")</f>
        <v/>
      </c>
      <c r="C31386" t="inlineStr">
        <is>
          <t>1985-10-24</t>
        </is>
      </c>
    </row>
    <row r="31387">
      <c r="A31387" s="1" t="n">
        <v>31386</v>
      </c>
      <c r="B31387">
        <f>TEXT(31386, "[$-0E0000]yyyy-mm-dd")</f>
        <v/>
      </c>
      <c r="C31387" t="inlineStr">
        <is>
          <t>1985-10-25</t>
        </is>
      </c>
    </row>
    <row r="31388">
      <c r="A31388" s="1" t="n">
        <v>31387</v>
      </c>
      <c r="B31388">
        <f>TEXT(31387, "[$-0E0000]yyyy-mm-dd")</f>
        <v/>
      </c>
      <c r="C31388" t="inlineStr">
        <is>
          <t>1985-10-26</t>
        </is>
      </c>
    </row>
    <row r="31389">
      <c r="A31389" s="1" t="n">
        <v>31388</v>
      </c>
      <c r="B31389">
        <f>TEXT(31388, "[$-0E0000]yyyy-mm-dd")</f>
        <v/>
      </c>
      <c r="C31389" t="inlineStr">
        <is>
          <t>1985-10-27</t>
        </is>
      </c>
    </row>
    <row r="31390">
      <c r="A31390" s="1" t="n">
        <v>31389</v>
      </c>
      <c r="B31390">
        <f>TEXT(31389, "[$-0E0000]yyyy-mm-dd")</f>
        <v/>
      </c>
      <c r="C31390" t="inlineStr">
        <is>
          <t>1985-10-28</t>
        </is>
      </c>
    </row>
    <row r="31391">
      <c r="A31391" s="1" t="n">
        <v>31390</v>
      </c>
      <c r="B31391">
        <f>TEXT(31390, "[$-0E0000]yyyy-mm-dd")</f>
        <v/>
      </c>
      <c r="C31391" t="inlineStr">
        <is>
          <t>1985-10-29</t>
        </is>
      </c>
    </row>
    <row r="31392">
      <c r="A31392" s="1" t="n">
        <v>31391</v>
      </c>
      <c r="B31392">
        <f>TEXT(31391, "[$-0E0000]yyyy-mm-dd")</f>
        <v/>
      </c>
      <c r="C31392" t="inlineStr">
        <is>
          <t>1985-10-30</t>
        </is>
      </c>
    </row>
    <row r="31393">
      <c r="A31393" s="1" t="n">
        <v>31392</v>
      </c>
      <c r="B31393">
        <f>TEXT(31392, "[$-0E0000]yyyy-mm-dd")</f>
        <v/>
      </c>
      <c r="C31393" t="inlineStr">
        <is>
          <t>1985-11-01</t>
        </is>
      </c>
    </row>
    <row r="31394">
      <c r="A31394" s="1" t="n">
        <v>31393</v>
      </c>
      <c r="B31394">
        <f>TEXT(31393, "[$-0E0000]yyyy-mm-dd")</f>
        <v/>
      </c>
      <c r="C31394" t="inlineStr">
        <is>
          <t>1985-11-02</t>
        </is>
      </c>
    </row>
    <row r="31395">
      <c r="A31395" s="1" t="n">
        <v>31394</v>
      </c>
      <c r="B31395">
        <f>TEXT(31394, "[$-0E0000]yyyy-mm-dd")</f>
        <v/>
      </c>
      <c r="C31395" t="inlineStr">
        <is>
          <t>1985-11-03</t>
        </is>
      </c>
    </row>
    <row r="31396">
      <c r="A31396" s="1" t="n">
        <v>31395</v>
      </c>
      <c r="B31396">
        <f>TEXT(31395, "[$-0E0000]yyyy-mm-dd")</f>
        <v/>
      </c>
      <c r="C31396" t="inlineStr">
        <is>
          <t>1985-11-04</t>
        </is>
      </c>
    </row>
    <row r="31397">
      <c r="A31397" s="1" t="n">
        <v>31396</v>
      </c>
      <c r="B31397">
        <f>TEXT(31396, "[$-0E0000]yyyy-mm-dd")</f>
        <v/>
      </c>
      <c r="C31397" t="inlineStr">
        <is>
          <t>1985-11-05</t>
        </is>
      </c>
    </row>
    <row r="31398">
      <c r="A31398" s="1" t="n">
        <v>31397</v>
      </c>
      <c r="B31398">
        <f>TEXT(31397, "[$-0E0000]yyyy-mm-dd")</f>
        <v/>
      </c>
      <c r="C31398" t="inlineStr">
        <is>
          <t>1985-11-06</t>
        </is>
      </c>
    </row>
    <row r="31399">
      <c r="A31399" s="1" t="n">
        <v>31398</v>
      </c>
      <c r="B31399">
        <f>TEXT(31398, "[$-0E0000]yyyy-mm-dd")</f>
        <v/>
      </c>
      <c r="C31399" t="inlineStr">
        <is>
          <t>1985-11-07</t>
        </is>
      </c>
    </row>
    <row r="31400">
      <c r="A31400" s="1" t="n">
        <v>31399</v>
      </c>
      <c r="B31400">
        <f>TEXT(31399, "[$-0E0000]yyyy-mm-dd")</f>
        <v/>
      </c>
      <c r="C31400" t="inlineStr">
        <is>
          <t>1985-11-08</t>
        </is>
      </c>
    </row>
    <row r="31401">
      <c r="A31401" s="1" t="n">
        <v>31400</v>
      </c>
      <c r="B31401">
        <f>TEXT(31400, "[$-0E0000]yyyy-mm-dd")</f>
        <v/>
      </c>
      <c r="C31401" t="inlineStr">
        <is>
          <t>1985-11-09</t>
        </is>
      </c>
    </row>
    <row r="31402">
      <c r="A31402" s="1" t="n">
        <v>31401</v>
      </c>
      <c r="B31402">
        <f>TEXT(31401, "[$-0E0000]yyyy-mm-dd")</f>
        <v/>
      </c>
      <c r="C31402" t="inlineStr">
        <is>
          <t>1985-11-10</t>
        </is>
      </c>
    </row>
    <row r="31403">
      <c r="A31403" s="1" t="n">
        <v>31402</v>
      </c>
      <c r="B31403">
        <f>TEXT(31402, "[$-0E0000]yyyy-mm-dd")</f>
        <v/>
      </c>
      <c r="C31403" t="inlineStr">
        <is>
          <t>1985-11-11</t>
        </is>
      </c>
    </row>
    <row r="31404">
      <c r="A31404" s="1" t="n">
        <v>31403</v>
      </c>
      <c r="B31404">
        <f>TEXT(31403, "[$-0E0000]yyyy-mm-dd")</f>
        <v/>
      </c>
      <c r="C31404" t="inlineStr">
        <is>
          <t>1985-11-12</t>
        </is>
      </c>
    </row>
    <row r="31405">
      <c r="A31405" s="1" t="n">
        <v>31404</v>
      </c>
      <c r="B31405">
        <f>TEXT(31404, "[$-0E0000]yyyy-mm-dd")</f>
        <v/>
      </c>
      <c r="C31405" t="inlineStr">
        <is>
          <t>1985-11-13</t>
        </is>
      </c>
    </row>
    <row r="31406">
      <c r="A31406" s="1" t="n">
        <v>31405</v>
      </c>
      <c r="B31406">
        <f>TEXT(31405, "[$-0E0000]yyyy-mm-dd")</f>
        <v/>
      </c>
      <c r="C31406" t="inlineStr">
        <is>
          <t>1985-11-14</t>
        </is>
      </c>
    </row>
    <row r="31407">
      <c r="A31407" s="1" t="n">
        <v>31406</v>
      </c>
      <c r="B31407">
        <f>TEXT(31406, "[$-0E0000]yyyy-mm-dd")</f>
        <v/>
      </c>
      <c r="C31407" t="inlineStr">
        <is>
          <t>1985-11-15</t>
        </is>
      </c>
    </row>
    <row r="31408">
      <c r="A31408" s="1" t="n">
        <v>31407</v>
      </c>
      <c r="B31408">
        <f>TEXT(31407, "[$-0E0000]yyyy-mm-dd")</f>
        <v/>
      </c>
      <c r="C31408" t="inlineStr">
        <is>
          <t>1985-11-16</t>
        </is>
      </c>
    </row>
    <row r="31409">
      <c r="A31409" s="1" t="n">
        <v>31408</v>
      </c>
      <c r="B31409">
        <f>TEXT(31408, "[$-0E0000]yyyy-mm-dd")</f>
        <v/>
      </c>
      <c r="C31409" t="inlineStr">
        <is>
          <t>1985-11-17</t>
        </is>
      </c>
    </row>
    <row r="31410">
      <c r="A31410" s="1" t="n">
        <v>31409</v>
      </c>
      <c r="B31410">
        <f>TEXT(31409, "[$-0E0000]yyyy-mm-dd")</f>
        <v/>
      </c>
      <c r="C31410" t="inlineStr">
        <is>
          <t>1985-11-18</t>
        </is>
      </c>
    </row>
    <row r="31411">
      <c r="A31411" s="1" t="n">
        <v>31410</v>
      </c>
      <c r="B31411">
        <f>TEXT(31410, "[$-0E0000]yyyy-mm-dd")</f>
        <v/>
      </c>
      <c r="C31411" t="inlineStr">
        <is>
          <t>1985-11-19</t>
        </is>
      </c>
    </row>
    <row r="31412">
      <c r="A31412" s="1" t="n">
        <v>31411</v>
      </c>
      <c r="B31412">
        <f>TEXT(31411, "[$-0E0000]yyyy-mm-dd")</f>
        <v/>
      </c>
      <c r="C31412" t="inlineStr">
        <is>
          <t>1985-11-20</t>
        </is>
      </c>
    </row>
    <row r="31413">
      <c r="A31413" s="1" t="n">
        <v>31412</v>
      </c>
      <c r="B31413">
        <f>TEXT(31412, "[$-0E0000]yyyy-mm-dd")</f>
        <v/>
      </c>
      <c r="C31413" t="inlineStr">
        <is>
          <t>1985-11-21</t>
        </is>
      </c>
    </row>
    <row r="31414">
      <c r="A31414" s="1" t="n">
        <v>31413</v>
      </c>
      <c r="B31414">
        <f>TEXT(31413, "[$-0E0000]yyyy-mm-dd")</f>
        <v/>
      </c>
      <c r="C31414" t="inlineStr">
        <is>
          <t>1985-11-22</t>
        </is>
      </c>
    </row>
    <row r="31415">
      <c r="A31415" s="1" t="n">
        <v>31414</v>
      </c>
      <c r="B31415">
        <f>TEXT(31414, "[$-0E0000]yyyy-mm-dd")</f>
        <v/>
      </c>
      <c r="C31415" t="inlineStr">
        <is>
          <t>1985-11-23</t>
        </is>
      </c>
    </row>
    <row r="31416">
      <c r="A31416" s="1" t="n">
        <v>31415</v>
      </c>
      <c r="B31416">
        <f>TEXT(31415, "[$-0E0000]yyyy-mm-dd")</f>
        <v/>
      </c>
      <c r="C31416" t="inlineStr">
        <is>
          <t>1985-11-24</t>
        </is>
      </c>
    </row>
    <row r="31417">
      <c r="A31417" s="1" t="n">
        <v>31416</v>
      </c>
      <c r="B31417">
        <f>TEXT(31416, "[$-0E0000]yyyy-mm-dd")</f>
        <v/>
      </c>
      <c r="C31417" t="inlineStr">
        <is>
          <t>1985-11-25</t>
        </is>
      </c>
    </row>
    <row r="31418">
      <c r="A31418" s="1" t="n">
        <v>31417</v>
      </c>
      <c r="B31418">
        <f>TEXT(31417, "[$-0E0000]yyyy-mm-dd")</f>
        <v/>
      </c>
      <c r="C31418" t="inlineStr">
        <is>
          <t>1985-11-26</t>
        </is>
      </c>
    </row>
    <row r="31419">
      <c r="A31419" s="1" t="n">
        <v>31418</v>
      </c>
      <c r="B31419">
        <f>TEXT(31418, "[$-0E0000]yyyy-mm-dd")</f>
        <v/>
      </c>
      <c r="C31419" t="inlineStr">
        <is>
          <t>1985-11-27</t>
        </is>
      </c>
    </row>
    <row r="31420">
      <c r="A31420" s="1" t="n">
        <v>31419</v>
      </c>
      <c r="B31420">
        <f>TEXT(31419, "[$-0E0000]yyyy-mm-dd")</f>
        <v/>
      </c>
      <c r="C31420" t="inlineStr">
        <is>
          <t>1985-11-28</t>
        </is>
      </c>
    </row>
    <row r="31421">
      <c r="A31421" s="1" t="n">
        <v>31420</v>
      </c>
      <c r="B31421">
        <f>TEXT(31420, "[$-0E0000]yyyy-mm-dd")</f>
        <v/>
      </c>
      <c r="C31421" t="inlineStr">
        <is>
          <t>1985-11-29</t>
        </is>
      </c>
    </row>
    <row r="31422">
      <c r="A31422" s="1" t="n">
        <v>31421</v>
      </c>
      <c r="B31422">
        <f>TEXT(31421, "[$-0E0000]yyyy-mm-dd")</f>
        <v/>
      </c>
      <c r="C31422" t="inlineStr">
        <is>
          <t>1985-12-01</t>
        </is>
      </c>
    </row>
    <row r="31423">
      <c r="A31423" s="1" t="n">
        <v>31422</v>
      </c>
      <c r="B31423">
        <f>TEXT(31422, "[$-0E0000]yyyy-mm-dd")</f>
        <v/>
      </c>
      <c r="C31423" t="inlineStr">
        <is>
          <t>1985-12-02</t>
        </is>
      </c>
    </row>
    <row r="31424">
      <c r="A31424" s="1" t="n">
        <v>31423</v>
      </c>
      <c r="B31424">
        <f>TEXT(31423, "[$-0E0000]yyyy-mm-dd")</f>
        <v/>
      </c>
      <c r="C31424" t="inlineStr">
        <is>
          <t>1985-12-03</t>
        </is>
      </c>
    </row>
    <row r="31425">
      <c r="A31425" s="1" t="n">
        <v>31424</v>
      </c>
      <c r="B31425">
        <f>TEXT(31424, "[$-0E0000]yyyy-mm-dd")</f>
        <v/>
      </c>
      <c r="C31425" t="inlineStr">
        <is>
          <t>1985-12-04</t>
        </is>
      </c>
    </row>
    <row r="31426">
      <c r="A31426" s="1" t="n">
        <v>31425</v>
      </c>
      <c r="B31426">
        <f>TEXT(31425, "[$-0E0000]yyyy-mm-dd")</f>
        <v/>
      </c>
      <c r="C31426" t="inlineStr">
        <is>
          <t>1985-12-05</t>
        </is>
      </c>
    </row>
    <row r="31427">
      <c r="A31427" s="1" t="n">
        <v>31426</v>
      </c>
      <c r="B31427">
        <f>TEXT(31426, "[$-0E0000]yyyy-mm-dd")</f>
        <v/>
      </c>
      <c r="C31427" t="inlineStr">
        <is>
          <t>1985-12-06</t>
        </is>
      </c>
    </row>
    <row r="31428">
      <c r="A31428" s="1" t="n">
        <v>31427</v>
      </c>
      <c r="B31428">
        <f>TEXT(31427, "[$-0E0000]yyyy-mm-dd")</f>
        <v/>
      </c>
      <c r="C31428" t="inlineStr">
        <is>
          <t>1985-12-07</t>
        </is>
      </c>
    </row>
    <row r="31429">
      <c r="A31429" s="1" t="n">
        <v>31428</v>
      </c>
      <c r="B31429">
        <f>TEXT(31428, "[$-0E0000]yyyy-mm-dd")</f>
        <v/>
      </c>
      <c r="C31429" t="inlineStr">
        <is>
          <t>1985-12-08</t>
        </is>
      </c>
    </row>
    <row r="31430">
      <c r="A31430" s="1" t="n">
        <v>31429</v>
      </c>
      <c r="B31430">
        <f>TEXT(31429, "[$-0E0000]yyyy-mm-dd")</f>
        <v/>
      </c>
      <c r="C31430" t="inlineStr">
        <is>
          <t>1985-12-09</t>
        </is>
      </c>
    </row>
    <row r="31431">
      <c r="A31431" s="1" t="n">
        <v>31430</v>
      </c>
      <c r="B31431">
        <f>TEXT(31430, "[$-0E0000]yyyy-mm-dd")</f>
        <v/>
      </c>
      <c r="C31431" t="inlineStr">
        <is>
          <t>1985-12-10</t>
        </is>
      </c>
    </row>
    <row r="31432">
      <c r="A31432" s="1" t="n">
        <v>31431</v>
      </c>
      <c r="B31432">
        <f>TEXT(31431, "[$-0E0000]yyyy-mm-dd")</f>
        <v/>
      </c>
      <c r="C31432" t="inlineStr">
        <is>
          <t>1985-12-11</t>
        </is>
      </c>
    </row>
    <row r="31433">
      <c r="A31433" s="1" t="n">
        <v>31432</v>
      </c>
      <c r="B31433">
        <f>TEXT(31432, "[$-0E0000]yyyy-mm-dd")</f>
        <v/>
      </c>
      <c r="C31433" t="inlineStr">
        <is>
          <t>1985-12-12</t>
        </is>
      </c>
    </row>
    <row r="31434">
      <c r="A31434" s="1" t="n">
        <v>31433</v>
      </c>
      <c r="B31434">
        <f>TEXT(31433, "[$-0E0000]yyyy-mm-dd")</f>
        <v/>
      </c>
      <c r="C31434" t="inlineStr">
        <is>
          <t>1985-12-13</t>
        </is>
      </c>
    </row>
    <row r="31435">
      <c r="A31435" s="1" t="n">
        <v>31434</v>
      </c>
      <c r="B31435">
        <f>TEXT(31434, "[$-0E0000]yyyy-mm-dd")</f>
        <v/>
      </c>
      <c r="C31435" t="inlineStr">
        <is>
          <t>1985-12-14</t>
        </is>
      </c>
    </row>
    <row r="31436">
      <c r="A31436" s="1" t="n">
        <v>31435</v>
      </c>
      <c r="B31436">
        <f>TEXT(31435, "[$-0E0000]yyyy-mm-dd")</f>
        <v/>
      </c>
      <c r="C31436" t="inlineStr">
        <is>
          <t>1985-12-15</t>
        </is>
      </c>
    </row>
    <row r="31437">
      <c r="A31437" s="1" t="n">
        <v>31436</v>
      </c>
      <c r="B31437">
        <f>TEXT(31436, "[$-0E0000]yyyy-mm-dd")</f>
        <v/>
      </c>
      <c r="C31437" t="inlineStr">
        <is>
          <t>1985-12-16</t>
        </is>
      </c>
    </row>
    <row r="31438">
      <c r="A31438" s="1" t="n">
        <v>31437</v>
      </c>
      <c r="B31438">
        <f>TEXT(31437, "[$-0E0000]yyyy-mm-dd")</f>
        <v/>
      </c>
      <c r="C31438" t="inlineStr">
        <is>
          <t>1985-12-17</t>
        </is>
      </c>
    </row>
    <row r="31439">
      <c r="A31439" s="1" t="n">
        <v>31438</v>
      </c>
      <c r="B31439">
        <f>TEXT(31438, "[$-0E0000]yyyy-mm-dd")</f>
        <v/>
      </c>
      <c r="C31439" t="inlineStr">
        <is>
          <t>1985-12-18</t>
        </is>
      </c>
    </row>
    <row r="31440">
      <c r="A31440" s="1" t="n">
        <v>31439</v>
      </c>
      <c r="B31440">
        <f>TEXT(31439, "[$-0E0000]yyyy-mm-dd")</f>
        <v/>
      </c>
      <c r="C31440" t="inlineStr">
        <is>
          <t>1985-12-19</t>
        </is>
      </c>
    </row>
    <row r="31441">
      <c r="A31441" s="1" t="n">
        <v>31440</v>
      </c>
      <c r="B31441">
        <f>TEXT(31440, "[$-0E0000]yyyy-mm-dd")</f>
        <v/>
      </c>
      <c r="C31441" t="inlineStr">
        <is>
          <t>1985-12-20</t>
        </is>
      </c>
    </row>
    <row r="31442">
      <c r="A31442" s="1" t="n">
        <v>31441</v>
      </c>
      <c r="B31442">
        <f>TEXT(31441, "[$-0E0000]yyyy-mm-dd")</f>
        <v/>
      </c>
      <c r="C31442" t="inlineStr">
        <is>
          <t>1985-12-21</t>
        </is>
      </c>
    </row>
    <row r="31443">
      <c r="A31443" s="1" t="n">
        <v>31442</v>
      </c>
      <c r="B31443">
        <f>TEXT(31442, "[$-0E0000]yyyy-mm-dd")</f>
        <v/>
      </c>
      <c r="C31443" t="inlineStr">
        <is>
          <t>1985-12-22</t>
        </is>
      </c>
    </row>
    <row r="31444">
      <c r="A31444" s="1" t="n">
        <v>31443</v>
      </c>
      <c r="B31444">
        <f>TEXT(31443, "[$-0E0000]yyyy-mm-dd")</f>
        <v/>
      </c>
      <c r="C31444" t="inlineStr">
        <is>
          <t>1985-12-23</t>
        </is>
      </c>
    </row>
    <row r="31445">
      <c r="A31445" s="1" t="n">
        <v>31444</v>
      </c>
      <c r="B31445">
        <f>TEXT(31444, "[$-0E0000]yyyy-mm-dd")</f>
        <v/>
      </c>
      <c r="C31445" t="inlineStr">
        <is>
          <t>1985-12-24</t>
        </is>
      </c>
    </row>
    <row r="31446">
      <c r="A31446" s="1" t="n">
        <v>31445</v>
      </c>
      <c r="B31446">
        <f>TEXT(31445, "[$-0E0000]yyyy-mm-dd")</f>
        <v/>
      </c>
      <c r="C31446" t="inlineStr">
        <is>
          <t>1985-12-25</t>
        </is>
      </c>
    </row>
    <row r="31447">
      <c r="A31447" s="1" t="n">
        <v>31446</v>
      </c>
      <c r="B31447">
        <f>TEXT(31446, "[$-0E0000]yyyy-mm-dd")</f>
        <v/>
      </c>
      <c r="C31447" t="inlineStr">
        <is>
          <t>1985-12-26</t>
        </is>
      </c>
    </row>
    <row r="31448">
      <c r="A31448" s="1" t="n">
        <v>31447</v>
      </c>
      <c r="B31448">
        <f>TEXT(31447, "[$-0E0000]yyyy-mm-dd")</f>
        <v/>
      </c>
      <c r="C31448" t="inlineStr">
        <is>
          <t>1985-12-27</t>
        </is>
      </c>
    </row>
    <row r="31449">
      <c r="A31449" s="1" t="n">
        <v>31448</v>
      </c>
      <c r="B31449">
        <f>TEXT(31448, "[$-0E0000]yyyy-mm-dd")</f>
        <v/>
      </c>
      <c r="C31449" t="inlineStr">
        <is>
          <t>1985-12-28</t>
        </is>
      </c>
    </row>
    <row r="31450">
      <c r="A31450" s="1" t="n">
        <v>31449</v>
      </c>
      <c r="B31450">
        <f>TEXT(31449, "[$-0E0000]yyyy-mm-dd")</f>
        <v/>
      </c>
      <c r="C31450" t="inlineStr">
        <is>
          <t>1985-12-29</t>
        </is>
      </c>
    </row>
    <row r="31451">
      <c r="A31451" s="1" t="n">
        <v>31450</v>
      </c>
      <c r="B31451">
        <f>TEXT(31450, "[$-0E0000]yyyy-mm-dd")</f>
        <v/>
      </c>
      <c r="C31451" t="inlineStr">
        <is>
          <t>1985-12-30</t>
        </is>
      </c>
    </row>
    <row r="31452">
      <c r="A31452" s="1" t="n">
        <v>31451</v>
      </c>
      <c r="B31452">
        <f>TEXT(31451, "[$-0E0000]yyyy-mm-dd")</f>
        <v/>
      </c>
      <c r="C31452" t="inlineStr">
        <is>
          <t>1986-01-01</t>
        </is>
      </c>
    </row>
    <row r="31453">
      <c r="A31453" s="1" t="n">
        <v>31452</v>
      </c>
      <c r="B31453">
        <f>TEXT(31452, "[$-0E0000]yyyy-mm-dd")</f>
        <v/>
      </c>
      <c r="C31453" t="inlineStr">
        <is>
          <t>1986-01-02</t>
        </is>
      </c>
    </row>
    <row r="31454">
      <c r="A31454" s="1" t="n">
        <v>31453</v>
      </c>
      <c r="B31454">
        <f>TEXT(31453, "[$-0E0000]yyyy-mm-dd")</f>
        <v/>
      </c>
      <c r="C31454" t="inlineStr">
        <is>
          <t>1986-01-03</t>
        </is>
      </c>
    </row>
    <row r="31455">
      <c r="A31455" s="1" t="n">
        <v>31454</v>
      </c>
      <c r="B31455">
        <f>TEXT(31454, "[$-0E0000]yyyy-mm-dd")</f>
        <v/>
      </c>
      <c r="C31455" t="inlineStr">
        <is>
          <t>1986-01-04</t>
        </is>
      </c>
    </row>
    <row r="31456">
      <c r="A31456" s="1" t="n">
        <v>31455</v>
      </c>
      <c r="B31456">
        <f>TEXT(31455, "[$-0E0000]yyyy-mm-dd")</f>
        <v/>
      </c>
      <c r="C31456" t="inlineStr">
        <is>
          <t>1986-01-05</t>
        </is>
      </c>
    </row>
    <row r="31457">
      <c r="A31457" s="1" t="n">
        <v>31456</v>
      </c>
      <c r="B31457">
        <f>TEXT(31456, "[$-0E0000]yyyy-mm-dd")</f>
        <v/>
      </c>
      <c r="C31457" t="inlineStr">
        <is>
          <t>1986-01-06</t>
        </is>
      </c>
    </row>
    <row r="31458">
      <c r="A31458" s="1" t="n">
        <v>31457</v>
      </c>
      <c r="B31458">
        <f>TEXT(31457, "[$-0E0000]yyyy-mm-dd")</f>
        <v/>
      </c>
      <c r="C31458" t="inlineStr">
        <is>
          <t>1986-01-07</t>
        </is>
      </c>
    </row>
    <row r="31459">
      <c r="A31459" s="1" t="n">
        <v>31458</v>
      </c>
      <c r="B31459">
        <f>TEXT(31458, "[$-0E0000]yyyy-mm-dd")</f>
        <v/>
      </c>
      <c r="C31459" t="inlineStr">
        <is>
          <t>1986-01-08</t>
        </is>
      </c>
    </row>
    <row r="31460">
      <c r="A31460" s="1" t="n">
        <v>31459</v>
      </c>
      <c r="B31460">
        <f>TEXT(31459, "[$-0E0000]yyyy-mm-dd")</f>
        <v/>
      </c>
      <c r="C31460" t="inlineStr">
        <is>
          <t>1986-01-09</t>
        </is>
      </c>
    </row>
    <row r="31461">
      <c r="A31461" s="1" t="n">
        <v>31460</v>
      </c>
      <c r="B31461">
        <f>TEXT(31460, "[$-0E0000]yyyy-mm-dd")</f>
        <v/>
      </c>
      <c r="C31461" t="inlineStr">
        <is>
          <t>1986-01-10</t>
        </is>
      </c>
    </row>
    <row r="31462">
      <c r="A31462" s="1" t="n">
        <v>31461</v>
      </c>
      <c r="B31462">
        <f>TEXT(31461, "[$-0E0000]yyyy-mm-dd")</f>
        <v/>
      </c>
      <c r="C31462" t="inlineStr">
        <is>
          <t>1986-01-11</t>
        </is>
      </c>
    </row>
    <row r="31463">
      <c r="A31463" s="1" t="n">
        <v>31462</v>
      </c>
      <c r="B31463">
        <f>TEXT(31462, "[$-0E0000]yyyy-mm-dd")</f>
        <v/>
      </c>
      <c r="C31463" t="inlineStr">
        <is>
          <t>1986-01-12</t>
        </is>
      </c>
    </row>
    <row r="31464">
      <c r="A31464" s="1" t="n">
        <v>31463</v>
      </c>
      <c r="B31464">
        <f>TEXT(31463, "[$-0E0000]yyyy-mm-dd")</f>
        <v/>
      </c>
      <c r="C31464" t="inlineStr">
        <is>
          <t>1986-01-13</t>
        </is>
      </c>
    </row>
    <row r="31465">
      <c r="A31465" s="1" t="n">
        <v>31464</v>
      </c>
      <c r="B31465">
        <f>TEXT(31464, "[$-0E0000]yyyy-mm-dd")</f>
        <v/>
      </c>
      <c r="C31465" t="inlineStr">
        <is>
          <t>1986-01-14</t>
        </is>
      </c>
    </row>
    <row r="31466">
      <c r="A31466" s="1" t="n">
        <v>31465</v>
      </c>
      <c r="B31466">
        <f>TEXT(31465, "[$-0E0000]yyyy-mm-dd")</f>
        <v/>
      </c>
      <c r="C31466" t="inlineStr">
        <is>
          <t>1986-01-15</t>
        </is>
      </c>
    </row>
    <row r="31467">
      <c r="A31467" s="1" t="n">
        <v>31466</v>
      </c>
      <c r="B31467">
        <f>TEXT(31466, "[$-0E0000]yyyy-mm-dd")</f>
        <v/>
      </c>
      <c r="C31467" t="inlineStr">
        <is>
          <t>1986-01-16</t>
        </is>
      </c>
    </row>
    <row r="31468">
      <c r="A31468" s="1" t="n">
        <v>31467</v>
      </c>
      <c r="B31468">
        <f>TEXT(31467, "[$-0E0000]yyyy-mm-dd")</f>
        <v/>
      </c>
      <c r="C31468" t="inlineStr">
        <is>
          <t>1986-01-17</t>
        </is>
      </c>
    </row>
    <row r="31469">
      <c r="A31469" s="1" t="n">
        <v>31468</v>
      </c>
      <c r="B31469">
        <f>TEXT(31468, "[$-0E0000]yyyy-mm-dd")</f>
        <v/>
      </c>
      <c r="C31469" t="inlineStr">
        <is>
          <t>1986-01-18</t>
        </is>
      </c>
    </row>
    <row r="31470">
      <c r="A31470" s="1" t="n">
        <v>31469</v>
      </c>
      <c r="B31470">
        <f>TEXT(31469, "[$-0E0000]yyyy-mm-dd")</f>
        <v/>
      </c>
      <c r="C31470" t="inlineStr">
        <is>
          <t>1986-01-19</t>
        </is>
      </c>
    </row>
    <row r="31471">
      <c r="A31471" s="1" t="n">
        <v>31470</v>
      </c>
      <c r="B31471">
        <f>TEXT(31470, "[$-0E0000]yyyy-mm-dd")</f>
        <v/>
      </c>
      <c r="C31471" t="inlineStr">
        <is>
          <t>1986-01-20</t>
        </is>
      </c>
    </row>
    <row r="31472">
      <c r="A31472" s="1" t="n">
        <v>31471</v>
      </c>
      <c r="B31472">
        <f>TEXT(31471, "[$-0E0000]yyyy-mm-dd")</f>
        <v/>
      </c>
      <c r="C31472" t="inlineStr">
        <is>
          <t>1986-01-21</t>
        </is>
      </c>
    </row>
    <row r="31473">
      <c r="A31473" s="1" t="n">
        <v>31472</v>
      </c>
      <c r="B31473">
        <f>TEXT(31472, "[$-0E0000]yyyy-mm-dd")</f>
        <v/>
      </c>
      <c r="C31473" t="inlineStr">
        <is>
          <t>1986-01-22</t>
        </is>
      </c>
    </row>
    <row r="31474">
      <c r="A31474" s="1" t="n">
        <v>31473</v>
      </c>
      <c r="B31474">
        <f>TEXT(31473, "[$-0E0000]yyyy-mm-dd")</f>
        <v/>
      </c>
      <c r="C31474" t="inlineStr">
        <is>
          <t>1986-01-23</t>
        </is>
      </c>
    </row>
    <row r="31475">
      <c r="A31475" s="1" t="n">
        <v>31474</v>
      </c>
      <c r="B31475">
        <f>TEXT(31474, "[$-0E0000]yyyy-mm-dd")</f>
        <v/>
      </c>
      <c r="C31475" t="inlineStr">
        <is>
          <t>1986-01-24</t>
        </is>
      </c>
    </row>
    <row r="31476">
      <c r="A31476" s="1" t="n">
        <v>31475</v>
      </c>
      <c r="B31476">
        <f>TEXT(31475, "[$-0E0000]yyyy-mm-dd")</f>
        <v/>
      </c>
      <c r="C31476" t="inlineStr">
        <is>
          <t>1986-01-25</t>
        </is>
      </c>
    </row>
    <row r="31477">
      <c r="A31477" s="1" t="n">
        <v>31476</v>
      </c>
      <c r="B31477">
        <f>TEXT(31476, "[$-0E0000]yyyy-mm-dd")</f>
        <v/>
      </c>
      <c r="C31477" t="inlineStr">
        <is>
          <t>1986-01-26</t>
        </is>
      </c>
    </row>
    <row r="31478">
      <c r="A31478" s="1" t="n">
        <v>31477</v>
      </c>
      <c r="B31478">
        <f>TEXT(31477, "[$-0E0000]yyyy-mm-dd")</f>
        <v/>
      </c>
      <c r="C31478" t="inlineStr">
        <is>
          <t>1986-01-27</t>
        </is>
      </c>
    </row>
    <row r="31479">
      <c r="A31479" s="1" t="n">
        <v>31478</v>
      </c>
      <c r="B31479">
        <f>TEXT(31478, "[$-0E0000]yyyy-mm-dd")</f>
        <v/>
      </c>
      <c r="C31479" t="inlineStr">
        <is>
          <t>1986-01-28</t>
        </is>
      </c>
    </row>
    <row r="31480">
      <c r="A31480" s="1" t="n">
        <v>31479</v>
      </c>
      <c r="B31480">
        <f>TEXT(31479, "[$-0E0000]yyyy-mm-dd")</f>
        <v/>
      </c>
      <c r="C31480" t="inlineStr">
        <is>
          <t>1986-01-29</t>
        </is>
      </c>
    </row>
    <row r="31481">
      <c r="A31481" s="1" t="n">
        <v>31480</v>
      </c>
      <c r="B31481">
        <f>TEXT(31480, "[$-0E0000]yyyy-mm-dd")</f>
        <v/>
      </c>
      <c r="C31481" t="inlineStr">
        <is>
          <t>1986-02-01</t>
        </is>
      </c>
    </row>
    <row r="31482">
      <c r="A31482" s="1" t="n">
        <v>31481</v>
      </c>
      <c r="B31482">
        <f>TEXT(31481, "[$-0E0000]yyyy-mm-dd")</f>
        <v/>
      </c>
      <c r="C31482" t="inlineStr">
        <is>
          <t>1986-02-02</t>
        </is>
      </c>
    </row>
    <row r="31483">
      <c r="A31483" s="1" t="n">
        <v>31482</v>
      </c>
      <c r="B31483">
        <f>TEXT(31482, "[$-0E0000]yyyy-mm-dd")</f>
        <v/>
      </c>
      <c r="C31483" t="inlineStr">
        <is>
          <t>1986-02-03</t>
        </is>
      </c>
    </row>
    <row r="31484">
      <c r="A31484" s="1" t="n">
        <v>31483</v>
      </c>
      <c r="B31484">
        <f>TEXT(31483, "[$-0E0000]yyyy-mm-dd")</f>
        <v/>
      </c>
      <c r="C31484" t="inlineStr">
        <is>
          <t>1986-02-04</t>
        </is>
      </c>
    </row>
    <row r="31485">
      <c r="A31485" s="1" t="n">
        <v>31484</v>
      </c>
      <c r="B31485">
        <f>TEXT(31484, "[$-0E0000]yyyy-mm-dd")</f>
        <v/>
      </c>
      <c r="C31485" t="inlineStr">
        <is>
          <t>1986-02-05</t>
        </is>
      </c>
    </row>
    <row r="31486">
      <c r="A31486" s="1" t="n">
        <v>31485</v>
      </c>
      <c r="B31486">
        <f>TEXT(31485, "[$-0E0000]yyyy-mm-dd")</f>
        <v/>
      </c>
      <c r="C31486" t="inlineStr">
        <is>
          <t>1986-02-06</t>
        </is>
      </c>
    </row>
    <row r="31487">
      <c r="A31487" s="1" t="n">
        <v>31486</v>
      </c>
      <c r="B31487">
        <f>TEXT(31486, "[$-0E0000]yyyy-mm-dd")</f>
        <v/>
      </c>
      <c r="C31487" t="inlineStr">
        <is>
          <t>1986-02-07</t>
        </is>
      </c>
    </row>
    <row r="31488">
      <c r="A31488" s="1" t="n">
        <v>31487</v>
      </c>
      <c r="B31488">
        <f>TEXT(31487, "[$-0E0000]yyyy-mm-dd")</f>
        <v/>
      </c>
      <c r="C31488" t="inlineStr">
        <is>
          <t>1986-02-08</t>
        </is>
      </c>
    </row>
    <row r="31489">
      <c r="A31489" s="1" t="n">
        <v>31488</v>
      </c>
      <c r="B31489">
        <f>TEXT(31488, "[$-0E0000]yyyy-mm-dd")</f>
        <v/>
      </c>
      <c r="C31489" t="inlineStr">
        <is>
          <t>1986-02-09</t>
        </is>
      </c>
    </row>
    <row r="31490">
      <c r="A31490" s="1" t="n">
        <v>31489</v>
      </c>
      <c r="B31490">
        <f>TEXT(31489, "[$-0E0000]yyyy-mm-dd")</f>
        <v/>
      </c>
      <c r="C31490" t="inlineStr">
        <is>
          <t>1986-02-10</t>
        </is>
      </c>
    </row>
    <row r="31491">
      <c r="A31491" s="1" t="n">
        <v>31490</v>
      </c>
      <c r="B31491">
        <f>TEXT(31490, "[$-0E0000]yyyy-mm-dd")</f>
        <v/>
      </c>
      <c r="C31491" t="inlineStr">
        <is>
          <t>1986-02-11</t>
        </is>
      </c>
    </row>
    <row r="31492">
      <c r="A31492" s="1" t="n">
        <v>31491</v>
      </c>
      <c r="B31492">
        <f>TEXT(31491, "[$-0E0000]yyyy-mm-dd")</f>
        <v/>
      </c>
      <c r="C31492" t="inlineStr">
        <is>
          <t>1986-02-12</t>
        </is>
      </c>
    </row>
    <row r="31493">
      <c r="A31493" s="1" t="n">
        <v>31492</v>
      </c>
      <c r="B31493">
        <f>TEXT(31492, "[$-0E0000]yyyy-mm-dd")</f>
        <v/>
      </c>
      <c r="C31493" t="inlineStr">
        <is>
          <t>1986-02-13</t>
        </is>
      </c>
    </row>
    <row r="31494">
      <c r="A31494" s="1" t="n">
        <v>31493</v>
      </c>
      <c r="B31494">
        <f>TEXT(31493, "[$-0E0000]yyyy-mm-dd")</f>
        <v/>
      </c>
      <c r="C31494" t="inlineStr">
        <is>
          <t>1986-02-14</t>
        </is>
      </c>
    </row>
    <row r="31495">
      <c r="A31495" s="1" t="n">
        <v>31494</v>
      </c>
      <c r="B31495">
        <f>TEXT(31494, "[$-0E0000]yyyy-mm-dd")</f>
        <v/>
      </c>
      <c r="C31495" t="inlineStr">
        <is>
          <t>1986-02-15</t>
        </is>
      </c>
    </row>
    <row r="31496">
      <c r="A31496" s="1" t="n">
        <v>31495</v>
      </c>
      <c r="B31496">
        <f>TEXT(31495, "[$-0E0000]yyyy-mm-dd")</f>
        <v/>
      </c>
      <c r="C31496" t="inlineStr">
        <is>
          <t>1986-02-16</t>
        </is>
      </c>
    </row>
    <row r="31497">
      <c r="A31497" s="1" t="n">
        <v>31496</v>
      </c>
      <c r="B31497">
        <f>TEXT(31496, "[$-0E0000]yyyy-mm-dd")</f>
        <v/>
      </c>
      <c r="C31497" t="inlineStr">
        <is>
          <t>1986-02-17</t>
        </is>
      </c>
    </row>
    <row r="31498">
      <c r="A31498" s="1" t="n">
        <v>31497</v>
      </c>
      <c r="B31498">
        <f>TEXT(31497, "[$-0E0000]yyyy-mm-dd")</f>
        <v/>
      </c>
      <c r="C31498" t="inlineStr">
        <is>
          <t>1986-02-18</t>
        </is>
      </c>
    </row>
    <row r="31499">
      <c r="A31499" s="1" t="n">
        <v>31498</v>
      </c>
      <c r="B31499">
        <f>TEXT(31498, "[$-0E0000]yyyy-mm-dd")</f>
        <v/>
      </c>
      <c r="C31499" t="inlineStr">
        <is>
          <t>1986-02-19</t>
        </is>
      </c>
    </row>
    <row r="31500">
      <c r="A31500" s="1" t="n">
        <v>31499</v>
      </c>
      <c r="B31500">
        <f>TEXT(31499, "[$-0E0000]yyyy-mm-dd")</f>
        <v/>
      </c>
      <c r="C31500" t="inlineStr">
        <is>
          <t>1986-02-20</t>
        </is>
      </c>
    </row>
    <row r="31501">
      <c r="A31501" s="1" t="n">
        <v>31500</v>
      </c>
      <c r="B31501">
        <f>TEXT(31500, "[$-0E0000]yyyy-mm-dd")</f>
        <v/>
      </c>
      <c r="C31501" t="inlineStr">
        <is>
          <t>1986-02-21</t>
        </is>
      </c>
    </row>
    <row r="31502">
      <c r="A31502" s="1" t="n">
        <v>31501</v>
      </c>
      <c r="B31502">
        <f>TEXT(31501, "[$-0E0000]yyyy-mm-dd")</f>
        <v/>
      </c>
      <c r="C31502" t="inlineStr">
        <is>
          <t>1986-02-22</t>
        </is>
      </c>
    </row>
    <row r="31503">
      <c r="A31503" s="1" t="n">
        <v>31502</v>
      </c>
      <c r="B31503">
        <f>TEXT(31502, "[$-0E0000]yyyy-mm-dd")</f>
        <v/>
      </c>
      <c r="C31503" t="inlineStr">
        <is>
          <t>1986-02-23</t>
        </is>
      </c>
    </row>
    <row r="31504">
      <c r="A31504" s="1" t="n">
        <v>31503</v>
      </c>
      <c r="B31504">
        <f>TEXT(31503, "[$-0E0000]yyyy-mm-dd")</f>
        <v/>
      </c>
      <c r="C31504" t="inlineStr">
        <is>
          <t>1986-02-24</t>
        </is>
      </c>
    </row>
    <row r="31505">
      <c r="A31505" s="1" t="n">
        <v>31504</v>
      </c>
      <c r="B31505">
        <f>TEXT(31504, "[$-0E0000]yyyy-mm-dd")</f>
        <v/>
      </c>
      <c r="C31505" t="inlineStr">
        <is>
          <t>1986-02-25</t>
        </is>
      </c>
    </row>
    <row r="31506">
      <c r="A31506" s="1" t="n">
        <v>31505</v>
      </c>
      <c r="B31506">
        <f>TEXT(31505, "[$-0E0000]yyyy-mm-dd")</f>
        <v/>
      </c>
      <c r="C31506" t="inlineStr">
        <is>
          <t>1986-02-26</t>
        </is>
      </c>
    </row>
    <row r="31507">
      <c r="A31507" s="1" t="n">
        <v>31506</v>
      </c>
      <c r="B31507">
        <f>TEXT(31506, "[$-0E0000]yyyy-mm-dd")</f>
        <v/>
      </c>
      <c r="C31507" t="inlineStr">
        <is>
          <t>1986-02-27</t>
        </is>
      </c>
    </row>
    <row r="31508">
      <c r="A31508" s="1" t="n">
        <v>31507</v>
      </c>
      <c r="B31508">
        <f>TEXT(31507, "[$-0E0000]yyyy-mm-dd")</f>
        <v/>
      </c>
      <c r="C31508" t="inlineStr">
        <is>
          <t>1986-02-28</t>
        </is>
      </c>
    </row>
    <row r="31509">
      <c r="A31509" s="1" t="n">
        <v>31508</v>
      </c>
      <c r="B31509">
        <f>TEXT(31508, "[$-0E0000]yyyy-mm-dd")</f>
        <v/>
      </c>
      <c r="C31509" t="inlineStr">
        <is>
          <t>1986-02-29</t>
        </is>
      </c>
    </row>
    <row r="31510">
      <c r="A31510" s="1" t="n">
        <v>31509</v>
      </c>
      <c r="B31510">
        <f>TEXT(31509, "[$-0E0000]yyyy-mm-dd")</f>
        <v/>
      </c>
      <c r="C31510" t="inlineStr">
        <is>
          <t>1986-02-30</t>
        </is>
      </c>
    </row>
    <row r="31511">
      <c r="A31511" s="1" t="n">
        <v>31510</v>
      </c>
      <c r="B31511">
        <f>TEXT(31510, "[$-0E0000]yyyy-mm-dd")</f>
        <v/>
      </c>
      <c r="C31511" t="inlineStr">
        <is>
          <t>1986-03-01</t>
        </is>
      </c>
    </row>
    <row r="31512">
      <c r="A31512" s="1" t="n">
        <v>31511</v>
      </c>
      <c r="B31512">
        <f>TEXT(31511, "[$-0E0000]yyyy-mm-dd")</f>
        <v/>
      </c>
      <c r="C31512" t="inlineStr">
        <is>
          <t>1986-03-02</t>
        </is>
      </c>
    </row>
    <row r="31513">
      <c r="A31513" s="1" t="n">
        <v>31512</v>
      </c>
      <c r="B31513">
        <f>TEXT(31512, "[$-0E0000]yyyy-mm-dd")</f>
        <v/>
      </c>
      <c r="C31513" t="inlineStr">
        <is>
          <t>1986-03-03</t>
        </is>
      </c>
    </row>
    <row r="31514">
      <c r="A31514" s="1" t="n">
        <v>31513</v>
      </c>
      <c r="B31514">
        <f>TEXT(31513, "[$-0E0000]yyyy-mm-dd")</f>
        <v/>
      </c>
      <c r="C31514" t="inlineStr">
        <is>
          <t>1986-03-04</t>
        </is>
      </c>
    </row>
    <row r="31515">
      <c r="A31515" s="1" t="n">
        <v>31514</v>
      </c>
      <c r="B31515">
        <f>TEXT(31514, "[$-0E0000]yyyy-mm-dd")</f>
        <v/>
      </c>
      <c r="C31515" t="inlineStr">
        <is>
          <t>1986-03-05</t>
        </is>
      </c>
    </row>
    <row r="31516">
      <c r="A31516" s="1" t="n">
        <v>31515</v>
      </c>
      <c r="B31516">
        <f>TEXT(31515, "[$-0E0000]yyyy-mm-dd")</f>
        <v/>
      </c>
      <c r="C31516" t="inlineStr">
        <is>
          <t>1986-03-06</t>
        </is>
      </c>
    </row>
    <row r="31517">
      <c r="A31517" s="1" t="n">
        <v>31516</v>
      </c>
      <c r="B31517">
        <f>TEXT(31516, "[$-0E0000]yyyy-mm-dd")</f>
        <v/>
      </c>
      <c r="C31517" t="inlineStr">
        <is>
          <t>1986-03-07</t>
        </is>
      </c>
    </row>
    <row r="31518">
      <c r="A31518" s="1" t="n">
        <v>31517</v>
      </c>
      <c r="B31518">
        <f>TEXT(31517, "[$-0E0000]yyyy-mm-dd")</f>
        <v/>
      </c>
      <c r="C31518" t="inlineStr">
        <is>
          <t>1986-03-08</t>
        </is>
      </c>
    </row>
    <row r="31519">
      <c r="A31519" s="1" t="n">
        <v>31518</v>
      </c>
      <c r="B31519">
        <f>TEXT(31518, "[$-0E0000]yyyy-mm-dd")</f>
        <v/>
      </c>
      <c r="C31519" t="inlineStr">
        <is>
          <t>1986-03-09</t>
        </is>
      </c>
    </row>
    <row r="31520">
      <c r="A31520" s="1" t="n">
        <v>31519</v>
      </c>
      <c r="B31520">
        <f>TEXT(31519, "[$-0E0000]yyyy-mm-dd")</f>
        <v/>
      </c>
      <c r="C31520" t="inlineStr">
        <is>
          <t>1986-03-10</t>
        </is>
      </c>
    </row>
    <row r="31521">
      <c r="A31521" s="1" t="n">
        <v>31520</v>
      </c>
      <c r="B31521">
        <f>TEXT(31520, "[$-0E0000]yyyy-mm-dd")</f>
        <v/>
      </c>
      <c r="C31521" t="inlineStr">
        <is>
          <t>1986-03-11</t>
        </is>
      </c>
    </row>
    <row r="31522">
      <c r="A31522" s="1" t="n">
        <v>31521</v>
      </c>
      <c r="B31522">
        <f>TEXT(31521, "[$-0E0000]yyyy-mm-dd")</f>
        <v/>
      </c>
      <c r="C31522" t="inlineStr">
        <is>
          <t>1986-03-12</t>
        </is>
      </c>
    </row>
    <row r="31523">
      <c r="A31523" s="1" t="n">
        <v>31522</v>
      </c>
      <c r="B31523">
        <f>TEXT(31522, "[$-0E0000]yyyy-mm-dd")</f>
        <v/>
      </c>
      <c r="C31523" t="inlineStr">
        <is>
          <t>1986-03-13</t>
        </is>
      </c>
    </row>
    <row r="31524">
      <c r="A31524" s="1" t="n">
        <v>31523</v>
      </c>
      <c r="B31524">
        <f>TEXT(31523, "[$-0E0000]yyyy-mm-dd")</f>
        <v/>
      </c>
      <c r="C31524" t="inlineStr">
        <is>
          <t>1986-03-14</t>
        </is>
      </c>
    </row>
    <row r="31525">
      <c r="A31525" s="1" t="n">
        <v>31524</v>
      </c>
      <c r="B31525">
        <f>TEXT(31524, "[$-0E0000]yyyy-mm-dd")</f>
        <v/>
      </c>
      <c r="C31525" t="inlineStr">
        <is>
          <t>1986-03-15</t>
        </is>
      </c>
    </row>
    <row r="31526">
      <c r="A31526" s="1" t="n">
        <v>31525</v>
      </c>
      <c r="B31526">
        <f>TEXT(31525, "[$-0E0000]yyyy-mm-dd")</f>
        <v/>
      </c>
      <c r="C31526" t="inlineStr">
        <is>
          <t>1986-03-16</t>
        </is>
      </c>
    </row>
    <row r="31527">
      <c r="A31527" s="1" t="n">
        <v>31526</v>
      </c>
      <c r="B31527">
        <f>TEXT(31526, "[$-0E0000]yyyy-mm-dd")</f>
        <v/>
      </c>
      <c r="C31527" t="inlineStr">
        <is>
          <t>1986-03-17</t>
        </is>
      </c>
    </row>
    <row r="31528">
      <c r="A31528" s="1" t="n">
        <v>31527</v>
      </c>
      <c r="B31528">
        <f>TEXT(31527, "[$-0E0000]yyyy-mm-dd")</f>
        <v/>
      </c>
      <c r="C31528" t="inlineStr">
        <is>
          <t>1986-03-18</t>
        </is>
      </c>
    </row>
    <row r="31529">
      <c r="A31529" s="1" t="n">
        <v>31528</v>
      </c>
      <c r="B31529">
        <f>TEXT(31528, "[$-0E0000]yyyy-mm-dd")</f>
        <v/>
      </c>
      <c r="C31529" t="inlineStr">
        <is>
          <t>1986-03-19</t>
        </is>
      </c>
    </row>
    <row r="31530">
      <c r="A31530" s="1" t="n">
        <v>31529</v>
      </c>
      <c r="B31530">
        <f>TEXT(31529, "[$-0E0000]yyyy-mm-dd")</f>
        <v/>
      </c>
      <c r="C31530" t="inlineStr">
        <is>
          <t>1986-03-20</t>
        </is>
      </c>
    </row>
    <row r="31531">
      <c r="A31531" s="1" t="n">
        <v>31530</v>
      </c>
      <c r="B31531">
        <f>TEXT(31530, "[$-0E0000]yyyy-mm-dd")</f>
        <v/>
      </c>
      <c r="C31531" t="inlineStr">
        <is>
          <t>1986-03-21</t>
        </is>
      </c>
    </row>
    <row r="31532">
      <c r="A31532" s="1" t="n">
        <v>31531</v>
      </c>
      <c r="B31532">
        <f>TEXT(31531, "[$-0E0000]yyyy-mm-dd")</f>
        <v/>
      </c>
      <c r="C31532" t="inlineStr">
        <is>
          <t>1986-03-22</t>
        </is>
      </c>
    </row>
    <row r="31533">
      <c r="A31533" s="1" t="n">
        <v>31532</v>
      </c>
      <c r="B31533">
        <f>TEXT(31532, "[$-0E0000]yyyy-mm-dd")</f>
        <v/>
      </c>
      <c r="C31533" t="inlineStr">
        <is>
          <t>1986-03-23</t>
        </is>
      </c>
    </row>
    <row r="31534">
      <c r="A31534" s="1" t="n">
        <v>31533</v>
      </c>
      <c r="B31534">
        <f>TEXT(31533, "[$-0E0000]yyyy-mm-dd")</f>
        <v/>
      </c>
      <c r="C31534" t="inlineStr">
        <is>
          <t>1986-03-24</t>
        </is>
      </c>
    </row>
    <row r="31535">
      <c r="A31535" s="1" t="n">
        <v>31534</v>
      </c>
      <c r="B31535">
        <f>TEXT(31534, "[$-0E0000]yyyy-mm-dd")</f>
        <v/>
      </c>
      <c r="C31535" t="inlineStr">
        <is>
          <t>1986-03-25</t>
        </is>
      </c>
    </row>
    <row r="31536">
      <c r="A31536" s="1" t="n">
        <v>31535</v>
      </c>
      <c r="B31536">
        <f>TEXT(31535, "[$-0E0000]yyyy-mm-dd")</f>
        <v/>
      </c>
      <c r="C31536" t="inlineStr">
        <is>
          <t>1986-03-26</t>
        </is>
      </c>
    </row>
    <row r="31537">
      <c r="A31537" s="1" t="n">
        <v>31536</v>
      </c>
      <c r="B31537">
        <f>TEXT(31536, "[$-0E0000]yyyy-mm-dd")</f>
        <v/>
      </c>
      <c r="C31537" t="inlineStr">
        <is>
          <t>1986-03-27</t>
        </is>
      </c>
    </row>
    <row r="31538">
      <c r="A31538" s="1" t="n">
        <v>31537</v>
      </c>
      <c r="B31538">
        <f>TEXT(31537, "[$-0E0000]yyyy-mm-dd")</f>
        <v/>
      </c>
      <c r="C31538" t="inlineStr">
        <is>
          <t>1986-03-28</t>
        </is>
      </c>
    </row>
    <row r="31539">
      <c r="A31539" s="1" t="n">
        <v>31538</v>
      </c>
      <c r="B31539">
        <f>TEXT(31538, "[$-0E0000]yyyy-mm-dd")</f>
        <v/>
      </c>
      <c r="C31539" t="inlineStr">
        <is>
          <t>1986-03-29</t>
        </is>
      </c>
    </row>
    <row r="31540">
      <c r="A31540" s="1" t="n">
        <v>31539</v>
      </c>
      <c r="B31540">
        <f>TEXT(31539, "[$-0E0000]yyyy-mm-dd")</f>
        <v/>
      </c>
      <c r="C31540" t="inlineStr">
        <is>
          <t>1986-03-30</t>
        </is>
      </c>
    </row>
    <row r="31541">
      <c r="A31541" s="1" t="n">
        <v>31540</v>
      </c>
      <c r="B31541">
        <f>TEXT(31540, "[$-0E0000]yyyy-mm-dd")</f>
        <v/>
      </c>
      <c r="C31541" t="inlineStr">
        <is>
          <t>1986-04-01</t>
        </is>
      </c>
    </row>
    <row r="31542">
      <c r="A31542" s="1" t="n">
        <v>31541</v>
      </c>
      <c r="B31542">
        <f>TEXT(31541, "[$-0E0000]yyyy-mm-dd")</f>
        <v/>
      </c>
      <c r="C31542" t="inlineStr">
        <is>
          <t>1986-04-02</t>
        </is>
      </c>
    </row>
    <row r="31543">
      <c r="A31543" s="1" t="n">
        <v>31542</v>
      </c>
      <c r="B31543">
        <f>TEXT(31542, "[$-0E0000]yyyy-mm-dd")</f>
        <v/>
      </c>
      <c r="C31543" t="inlineStr">
        <is>
          <t>1986-04-03</t>
        </is>
      </c>
    </row>
    <row r="31544">
      <c r="A31544" s="1" t="n">
        <v>31543</v>
      </c>
      <c r="B31544">
        <f>TEXT(31543, "[$-0E0000]yyyy-mm-dd")</f>
        <v/>
      </c>
      <c r="C31544" t="inlineStr">
        <is>
          <t>1986-04-04</t>
        </is>
      </c>
    </row>
    <row r="31545">
      <c r="A31545" s="1" t="n">
        <v>31544</v>
      </c>
      <c r="B31545">
        <f>TEXT(31544, "[$-0E0000]yyyy-mm-dd")</f>
        <v/>
      </c>
      <c r="C31545" t="inlineStr">
        <is>
          <t>1986-04-05</t>
        </is>
      </c>
    </row>
    <row r="31546">
      <c r="A31546" s="1" t="n">
        <v>31545</v>
      </c>
      <c r="B31546">
        <f>TEXT(31545, "[$-0E0000]yyyy-mm-dd")</f>
        <v/>
      </c>
      <c r="C31546" t="inlineStr">
        <is>
          <t>1986-04-06</t>
        </is>
      </c>
    </row>
    <row r="31547">
      <c r="A31547" s="1" t="n">
        <v>31546</v>
      </c>
      <c r="B31547">
        <f>TEXT(31546, "[$-0E0000]yyyy-mm-dd")</f>
        <v/>
      </c>
      <c r="C31547" t="inlineStr">
        <is>
          <t>1986-04-07</t>
        </is>
      </c>
    </row>
    <row r="31548">
      <c r="A31548" s="1" t="n">
        <v>31547</v>
      </c>
      <c r="B31548">
        <f>TEXT(31547, "[$-0E0000]yyyy-mm-dd")</f>
        <v/>
      </c>
      <c r="C31548" t="inlineStr">
        <is>
          <t>1986-04-08</t>
        </is>
      </c>
    </row>
    <row r="31549">
      <c r="A31549" s="1" t="n">
        <v>31548</v>
      </c>
      <c r="B31549">
        <f>TEXT(31548, "[$-0E0000]yyyy-mm-dd")</f>
        <v/>
      </c>
      <c r="C31549" t="inlineStr">
        <is>
          <t>1986-04-09</t>
        </is>
      </c>
    </row>
    <row r="31550">
      <c r="A31550" s="1" t="n">
        <v>31549</v>
      </c>
      <c r="B31550">
        <f>TEXT(31549, "[$-0E0000]yyyy-mm-dd")</f>
        <v/>
      </c>
      <c r="C31550" t="inlineStr">
        <is>
          <t>1986-04-10</t>
        </is>
      </c>
    </row>
    <row r="31551">
      <c r="A31551" s="1" t="n">
        <v>31550</v>
      </c>
      <c r="B31551">
        <f>TEXT(31550, "[$-0E0000]yyyy-mm-dd")</f>
        <v/>
      </c>
      <c r="C31551" t="inlineStr">
        <is>
          <t>1986-04-11</t>
        </is>
      </c>
    </row>
    <row r="31552">
      <c r="A31552" s="1" t="n">
        <v>31551</v>
      </c>
      <c r="B31552">
        <f>TEXT(31551, "[$-0E0000]yyyy-mm-dd")</f>
        <v/>
      </c>
      <c r="C31552" t="inlineStr">
        <is>
          <t>1986-04-12</t>
        </is>
      </c>
    </row>
    <row r="31553">
      <c r="A31553" s="1" t="n">
        <v>31552</v>
      </c>
      <c r="B31553">
        <f>TEXT(31552, "[$-0E0000]yyyy-mm-dd")</f>
        <v/>
      </c>
      <c r="C31553" t="inlineStr">
        <is>
          <t>1986-04-13</t>
        </is>
      </c>
    </row>
    <row r="31554">
      <c r="A31554" s="1" t="n">
        <v>31553</v>
      </c>
      <c r="B31554">
        <f>TEXT(31553, "[$-0E0000]yyyy-mm-dd")</f>
        <v/>
      </c>
      <c r="C31554" t="inlineStr">
        <is>
          <t>1986-04-14</t>
        </is>
      </c>
    </row>
    <row r="31555">
      <c r="A31555" s="1" t="n">
        <v>31554</v>
      </c>
      <c r="B31555">
        <f>TEXT(31554, "[$-0E0000]yyyy-mm-dd")</f>
        <v/>
      </c>
      <c r="C31555" t="inlineStr">
        <is>
          <t>1986-04-15</t>
        </is>
      </c>
    </row>
    <row r="31556">
      <c r="A31556" s="1" t="n">
        <v>31555</v>
      </c>
      <c r="B31556">
        <f>TEXT(31555, "[$-0E0000]yyyy-mm-dd")</f>
        <v/>
      </c>
      <c r="C31556" t="inlineStr">
        <is>
          <t>1986-04-16</t>
        </is>
      </c>
    </row>
    <row r="31557">
      <c r="A31557" s="1" t="n">
        <v>31556</v>
      </c>
      <c r="B31557">
        <f>TEXT(31556, "[$-0E0000]yyyy-mm-dd")</f>
        <v/>
      </c>
      <c r="C31557" t="inlineStr">
        <is>
          <t>1986-04-17</t>
        </is>
      </c>
    </row>
    <row r="31558">
      <c r="A31558" s="1" t="n">
        <v>31557</v>
      </c>
      <c r="B31558">
        <f>TEXT(31557, "[$-0E0000]yyyy-mm-dd")</f>
        <v/>
      </c>
      <c r="C31558" t="inlineStr">
        <is>
          <t>1986-04-18</t>
        </is>
      </c>
    </row>
    <row r="31559">
      <c r="A31559" s="1" t="n">
        <v>31558</v>
      </c>
      <c r="B31559">
        <f>TEXT(31558, "[$-0E0000]yyyy-mm-dd")</f>
        <v/>
      </c>
      <c r="C31559" t="inlineStr">
        <is>
          <t>1986-04-19</t>
        </is>
      </c>
    </row>
    <row r="31560">
      <c r="A31560" s="1" t="n">
        <v>31559</v>
      </c>
      <c r="B31560">
        <f>TEXT(31559, "[$-0E0000]yyyy-mm-dd")</f>
        <v/>
      </c>
      <c r="C31560" t="inlineStr">
        <is>
          <t>1986-04-20</t>
        </is>
      </c>
    </row>
    <row r="31561">
      <c r="A31561" s="1" t="n">
        <v>31560</v>
      </c>
      <c r="B31561">
        <f>TEXT(31560, "[$-0E0000]yyyy-mm-dd")</f>
        <v/>
      </c>
      <c r="C31561" t="inlineStr">
        <is>
          <t>1986-04-21</t>
        </is>
      </c>
    </row>
    <row r="31562">
      <c r="A31562" s="1" t="n">
        <v>31561</v>
      </c>
      <c r="B31562">
        <f>TEXT(31561, "[$-0E0000]yyyy-mm-dd")</f>
        <v/>
      </c>
      <c r="C31562" t="inlineStr">
        <is>
          <t>1986-04-22</t>
        </is>
      </c>
    </row>
    <row r="31563">
      <c r="A31563" s="1" t="n">
        <v>31562</v>
      </c>
      <c r="B31563">
        <f>TEXT(31562, "[$-0E0000]yyyy-mm-dd")</f>
        <v/>
      </c>
      <c r="C31563" t="inlineStr">
        <is>
          <t>1986-04-23</t>
        </is>
      </c>
    </row>
    <row r="31564">
      <c r="A31564" s="1" t="n">
        <v>31563</v>
      </c>
      <c r="B31564">
        <f>TEXT(31563, "[$-0E0000]yyyy-mm-dd")</f>
        <v/>
      </c>
      <c r="C31564" t="inlineStr">
        <is>
          <t>1986-04-24</t>
        </is>
      </c>
    </row>
    <row r="31565">
      <c r="A31565" s="1" t="n">
        <v>31564</v>
      </c>
      <c r="B31565">
        <f>TEXT(31564, "[$-0E0000]yyyy-mm-dd")</f>
        <v/>
      </c>
      <c r="C31565" t="inlineStr">
        <is>
          <t>1986-04-25</t>
        </is>
      </c>
    </row>
    <row r="31566">
      <c r="A31566" s="1" t="n">
        <v>31565</v>
      </c>
      <c r="B31566">
        <f>TEXT(31565, "[$-0E0000]yyyy-mm-dd")</f>
        <v/>
      </c>
      <c r="C31566" t="inlineStr">
        <is>
          <t>1986-04-26</t>
        </is>
      </c>
    </row>
    <row r="31567">
      <c r="A31567" s="1" t="n">
        <v>31566</v>
      </c>
      <c r="B31567">
        <f>TEXT(31566, "[$-0E0000]yyyy-mm-dd")</f>
        <v/>
      </c>
      <c r="C31567" t="inlineStr">
        <is>
          <t>1986-04-27</t>
        </is>
      </c>
    </row>
    <row r="31568">
      <c r="A31568" s="1" t="n">
        <v>31567</v>
      </c>
      <c r="B31568">
        <f>TEXT(31567, "[$-0E0000]yyyy-mm-dd")</f>
        <v/>
      </c>
      <c r="C31568" t="inlineStr">
        <is>
          <t>1986-04-28</t>
        </is>
      </c>
    </row>
    <row r="31569">
      <c r="A31569" s="1" t="n">
        <v>31568</v>
      </c>
      <c r="B31569">
        <f>TEXT(31568, "[$-0E0000]yyyy-mm-dd")</f>
        <v/>
      </c>
      <c r="C31569" t="inlineStr">
        <is>
          <t>1986-04-29</t>
        </is>
      </c>
    </row>
    <row r="31570">
      <c r="A31570" s="1" t="n">
        <v>31569</v>
      </c>
      <c r="B31570">
        <f>TEXT(31569, "[$-0E0000]yyyy-mm-dd")</f>
        <v/>
      </c>
      <c r="C31570" t="inlineStr">
        <is>
          <t>1986-05-01</t>
        </is>
      </c>
    </row>
    <row r="31571">
      <c r="A31571" s="1" t="n">
        <v>31570</v>
      </c>
      <c r="B31571">
        <f>TEXT(31570, "[$-0E0000]yyyy-mm-dd")</f>
        <v/>
      </c>
      <c r="C31571" t="inlineStr">
        <is>
          <t>1986-05-02</t>
        </is>
      </c>
    </row>
    <row r="31572">
      <c r="A31572" s="1" t="n">
        <v>31571</v>
      </c>
      <c r="B31572">
        <f>TEXT(31571, "[$-0E0000]yyyy-mm-dd")</f>
        <v/>
      </c>
      <c r="C31572" t="inlineStr">
        <is>
          <t>1986-05-03</t>
        </is>
      </c>
    </row>
    <row r="31573">
      <c r="A31573" s="1" t="n">
        <v>31572</v>
      </c>
      <c r="B31573">
        <f>TEXT(31572, "[$-0E0000]yyyy-mm-dd")</f>
        <v/>
      </c>
      <c r="C31573" t="inlineStr">
        <is>
          <t>1986-05-04</t>
        </is>
      </c>
    </row>
    <row r="31574">
      <c r="A31574" s="1" t="n">
        <v>31573</v>
      </c>
      <c r="B31574">
        <f>TEXT(31573, "[$-0E0000]yyyy-mm-dd")</f>
        <v/>
      </c>
      <c r="C31574" t="inlineStr">
        <is>
          <t>1986-05-05</t>
        </is>
      </c>
    </row>
    <row r="31575">
      <c r="A31575" s="1" t="n">
        <v>31574</v>
      </c>
      <c r="B31575">
        <f>TEXT(31574, "[$-0E0000]yyyy-mm-dd")</f>
        <v/>
      </c>
      <c r="C31575" t="inlineStr">
        <is>
          <t>1986-05-06</t>
        </is>
      </c>
    </row>
    <row r="31576">
      <c r="A31576" s="1" t="n">
        <v>31575</v>
      </c>
      <c r="B31576">
        <f>TEXT(31575, "[$-0E0000]yyyy-mm-dd")</f>
        <v/>
      </c>
      <c r="C31576" t="inlineStr">
        <is>
          <t>1986-05-07</t>
        </is>
      </c>
    </row>
    <row r="31577">
      <c r="A31577" s="1" t="n">
        <v>31576</v>
      </c>
      <c r="B31577">
        <f>TEXT(31576, "[$-0E0000]yyyy-mm-dd")</f>
        <v/>
      </c>
      <c r="C31577" t="inlineStr">
        <is>
          <t>1986-05-08</t>
        </is>
      </c>
    </row>
    <row r="31578">
      <c r="A31578" s="1" t="n">
        <v>31577</v>
      </c>
      <c r="B31578">
        <f>TEXT(31577, "[$-0E0000]yyyy-mm-dd")</f>
        <v/>
      </c>
      <c r="C31578" t="inlineStr">
        <is>
          <t>1986-05-09</t>
        </is>
      </c>
    </row>
    <row r="31579">
      <c r="A31579" s="1" t="n">
        <v>31578</v>
      </c>
      <c r="B31579">
        <f>TEXT(31578, "[$-0E0000]yyyy-mm-dd")</f>
        <v/>
      </c>
      <c r="C31579" t="inlineStr">
        <is>
          <t>1986-05-10</t>
        </is>
      </c>
    </row>
    <row r="31580">
      <c r="A31580" s="1" t="n">
        <v>31579</v>
      </c>
      <c r="B31580">
        <f>TEXT(31579, "[$-0E0000]yyyy-mm-dd")</f>
        <v/>
      </c>
      <c r="C31580" t="inlineStr">
        <is>
          <t>1986-05-11</t>
        </is>
      </c>
    </row>
    <row r="31581">
      <c r="A31581" s="1" t="n">
        <v>31580</v>
      </c>
      <c r="B31581">
        <f>TEXT(31580, "[$-0E0000]yyyy-mm-dd")</f>
        <v/>
      </c>
      <c r="C31581" t="inlineStr">
        <is>
          <t>1986-05-12</t>
        </is>
      </c>
    </row>
    <row r="31582">
      <c r="A31582" s="1" t="n">
        <v>31581</v>
      </c>
      <c r="B31582">
        <f>TEXT(31581, "[$-0E0000]yyyy-mm-dd")</f>
        <v/>
      </c>
      <c r="C31582" t="inlineStr">
        <is>
          <t>1986-05-13</t>
        </is>
      </c>
    </row>
    <row r="31583">
      <c r="A31583" s="1" t="n">
        <v>31582</v>
      </c>
      <c r="B31583">
        <f>TEXT(31582, "[$-0E0000]yyyy-mm-dd")</f>
        <v/>
      </c>
      <c r="C31583" t="inlineStr">
        <is>
          <t>1986-05-14</t>
        </is>
      </c>
    </row>
    <row r="31584">
      <c r="A31584" s="1" t="n">
        <v>31583</v>
      </c>
      <c r="B31584">
        <f>TEXT(31583, "[$-0E0000]yyyy-mm-dd")</f>
        <v/>
      </c>
      <c r="C31584" t="inlineStr">
        <is>
          <t>1986-05-15</t>
        </is>
      </c>
    </row>
    <row r="31585">
      <c r="A31585" s="1" t="n">
        <v>31584</v>
      </c>
      <c r="B31585">
        <f>TEXT(31584, "[$-0E0000]yyyy-mm-dd")</f>
        <v/>
      </c>
      <c r="C31585" t="inlineStr">
        <is>
          <t>1986-05-16</t>
        </is>
      </c>
    </row>
    <row r="31586">
      <c r="A31586" s="1" t="n">
        <v>31585</v>
      </c>
      <c r="B31586">
        <f>TEXT(31585, "[$-0E0000]yyyy-mm-dd")</f>
        <v/>
      </c>
      <c r="C31586" t="inlineStr">
        <is>
          <t>1986-05-17</t>
        </is>
      </c>
    </row>
    <row r="31587">
      <c r="A31587" s="1" t="n">
        <v>31586</v>
      </c>
      <c r="B31587">
        <f>TEXT(31586, "[$-0E0000]yyyy-mm-dd")</f>
        <v/>
      </c>
      <c r="C31587" t="inlineStr">
        <is>
          <t>1986-05-18</t>
        </is>
      </c>
    </row>
    <row r="31588">
      <c r="A31588" s="1" t="n">
        <v>31587</v>
      </c>
      <c r="B31588">
        <f>TEXT(31587, "[$-0E0000]yyyy-mm-dd")</f>
        <v/>
      </c>
      <c r="C31588" t="inlineStr">
        <is>
          <t>1986-05-19</t>
        </is>
      </c>
    </row>
    <row r="31589">
      <c r="A31589" s="1" t="n">
        <v>31588</v>
      </c>
      <c r="B31589">
        <f>TEXT(31588, "[$-0E0000]yyyy-mm-dd")</f>
        <v/>
      </c>
      <c r="C31589" t="inlineStr">
        <is>
          <t>1986-05-20</t>
        </is>
      </c>
    </row>
    <row r="31590">
      <c r="A31590" s="1" t="n">
        <v>31589</v>
      </c>
      <c r="B31590">
        <f>TEXT(31589, "[$-0E0000]yyyy-mm-dd")</f>
        <v/>
      </c>
      <c r="C31590" t="inlineStr">
        <is>
          <t>1986-05-21</t>
        </is>
      </c>
    </row>
    <row r="31591">
      <c r="A31591" s="1" t="n">
        <v>31590</v>
      </c>
      <c r="B31591">
        <f>TEXT(31590, "[$-0E0000]yyyy-mm-dd")</f>
        <v/>
      </c>
      <c r="C31591" t="inlineStr">
        <is>
          <t>1986-05-22</t>
        </is>
      </c>
    </row>
    <row r="31592">
      <c r="A31592" s="1" t="n">
        <v>31591</v>
      </c>
      <c r="B31592">
        <f>TEXT(31591, "[$-0E0000]yyyy-mm-dd")</f>
        <v/>
      </c>
      <c r="C31592" t="inlineStr">
        <is>
          <t>1986-05-23</t>
        </is>
      </c>
    </row>
    <row r="31593">
      <c r="A31593" s="1" t="n">
        <v>31592</v>
      </c>
      <c r="B31593">
        <f>TEXT(31592, "[$-0E0000]yyyy-mm-dd")</f>
        <v/>
      </c>
      <c r="C31593" t="inlineStr">
        <is>
          <t>1986-05-24</t>
        </is>
      </c>
    </row>
    <row r="31594">
      <c r="A31594" s="1" t="n">
        <v>31593</v>
      </c>
      <c r="B31594">
        <f>TEXT(31593, "[$-0E0000]yyyy-mm-dd")</f>
        <v/>
      </c>
      <c r="C31594" t="inlineStr">
        <is>
          <t>1986-05-25</t>
        </is>
      </c>
    </row>
    <row r="31595">
      <c r="A31595" s="1" t="n">
        <v>31594</v>
      </c>
      <c r="B31595">
        <f>TEXT(31594, "[$-0E0000]yyyy-mm-dd")</f>
        <v/>
      </c>
      <c r="C31595" t="inlineStr">
        <is>
          <t>1986-05-26</t>
        </is>
      </c>
    </row>
    <row r="31596">
      <c r="A31596" s="1" t="n">
        <v>31595</v>
      </c>
      <c r="B31596">
        <f>TEXT(31595, "[$-0E0000]yyyy-mm-dd")</f>
        <v/>
      </c>
      <c r="C31596" t="inlineStr">
        <is>
          <t>1986-05-27</t>
        </is>
      </c>
    </row>
    <row r="31597">
      <c r="A31597" s="1" t="n">
        <v>31596</v>
      </c>
      <c r="B31597">
        <f>TEXT(31596, "[$-0E0000]yyyy-mm-dd")</f>
        <v/>
      </c>
      <c r="C31597" t="inlineStr">
        <is>
          <t>1986-05-28</t>
        </is>
      </c>
    </row>
    <row r="31598">
      <c r="A31598" s="1" t="n">
        <v>31597</v>
      </c>
      <c r="B31598">
        <f>TEXT(31597, "[$-0E0000]yyyy-mm-dd")</f>
        <v/>
      </c>
      <c r="C31598" t="inlineStr">
        <is>
          <t>1986-05-29</t>
        </is>
      </c>
    </row>
    <row r="31599">
      <c r="A31599" s="1" t="n">
        <v>31598</v>
      </c>
      <c r="B31599">
        <f>TEXT(31598, "[$-0E0000]yyyy-mm-dd")</f>
        <v/>
      </c>
      <c r="C31599" t="inlineStr">
        <is>
          <t>1986-05-30</t>
        </is>
      </c>
    </row>
    <row r="31600">
      <c r="A31600" s="1" t="n">
        <v>31599</v>
      </c>
      <c r="B31600">
        <f>TEXT(31599, "[$-0E0000]yyyy-mm-dd")</f>
        <v/>
      </c>
      <c r="C31600" t="inlineStr">
        <is>
          <t>1986-06-01</t>
        </is>
      </c>
    </row>
    <row r="31601">
      <c r="A31601" s="1" t="n">
        <v>31600</v>
      </c>
      <c r="B31601">
        <f>TEXT(31600, "[$-0E0000]yyyy-mm-dd")</f>
        <v/>
      </c>
      <c r="C31601" t="inlineStr">
        <is>
          <t>1986-06-02</t>
        </is>
      </c>
    </row>
    <row r="31602">
      <c r="A31602" s="1" t="n">
        <v>31601</v>
      </c>
      <c r="B31602">
        <f>TEXT(31601, "[$-0E0000]yyyy-mm-dd")</f>
        <v/>
      </c>
      <c r="C31602" t="inlineStr">
        <is>
          <t>1986-06-03</t>
        </is>
      </c>
    </row>
    <row r="31603">
      <c r="A31603" s="1" t="n">
        <v>31602</v>
      </c>
      <c r="B31603">
        <f>TEXT(31602, "[$-0E0000]yyyy-mm-dd")</f>
        <v/>
      </c>
      <c r="C31603" t="inlineStr">
        <is>
          <t>1986-06-04</t>
        </is>
      </c>
    </row>
    <row r="31604">
      <c r="A31604" s="1" t="n">
        <v>31603</v>
      </c>
      <c r="B31604">
        <f>TEXT(31603, "[$-0E0000]yyyy-mm-dd")</f>
        <v/>
      </c>
      <c r="C31604" t="inlineStr">
        <is>
          <t>1986-06-05</t>
        </is>
      </c>
    </row>
    <row r="31605">
      <c r="A31605" s="1" t="n">
        <v>31604</v>
      </c>
      <c r="B31605">
        <f>TEXT(31604, "[$-0E0000]yyyy-mm-dd")</f>
        <v/>
      </c>
      <c r="C31605" t="inlineStr">
        <is>
          <t>1986-06-06</t>
        </is>
      </c>
    </row>
    <row r="31606">
      <c r="A31606" s="1" t="n">
        <v>31605</v>
      </c>
      <c r="B31606">
        <f>TEXT(31605, "[$-0E0000]yyyy-mm-dd")</f>
        <v/>
      </c>
      <c r="C31606" t="inlineStr">
        <is>
          <t>1986-06-07</t>
        </is>
      </c>
    </row>
    <row r="31607">
      <c r="A31607" s="1" t="n">
        <v>31606</v>
      </c>
      <c r="B31607">
        <f>TEXT(31606, "[$-0E0000]yyyy-mm-dd")</f>
        <v/>
      </c>
      <c r="C31607" t="inlineStr">
        <is>
          <t>1986-06-08</t>
        </is>
      </c>
    </row>
    <row r="31608">
      <c r="A31608" s="1" t="n">
        <v>31607</v>
      </c>
      <c r="B31608">
        <f>TEXT(31607, "[$-0E0000]yyyy-mm-dd")</f>
        <v/>
      </c>
      <c r="C31608" t="inlineStr">
        <is>
          <t>1986-06-09</t>
        </is>
      </c>
    </row>
    <row r="31609">
      <c r="A31609" s="1" t="n">
        <v>31608</v>
      </c>
      <c r="B31609">
        <f>TEXT(31608, "[$-0E0000]yyyy-mm-dd")</f>
        <v/>
      </c>
      <c r="C31609" t="inlineStr">
        <is>
          <t>1986-06-10</t>
        </is>
      </c>
    </row>
    <row r="31610">
      <c r="A31610" s="1" t="n">
        <v>31609</v>
      </c>
      <c r="B31610">
        <f>TEXT(31609, "[$-0E0000]yyyy-mm-dd")</f>
        <v/>
      </c>
      <c r="C31610" t="inlineStr">
        <is>
          <t>1986-06-11</t>
        </is>
      </c>
    </row>
    <row r="31611">
      <c r="A31611" s="1" t="n">
        <v>31610</v>
      </c>
      <c r="B31611">
        <f>TEXT(31610, "[$-0E0000]yyyy-mm-dd")</f>
        <v/>
      </c>
      <c r="C31611" t="inlineStr">
        <is>
          <t>1986-06-12</t>
        </is>
      </c>
    </row>
    <row r="31612">
      <c r="A31612" s="1" t="n">
        <v>31611</v>
      </c>
      <c r="B31612">
        <f>TEXT(31611, "[$-0E0000]yyyy-mm-dd")</f>
        <v/>
      </c>
      <c r="C31612" t="inlineStr">
        <is>
          <t>1986-06-13</t>
        </is>
      </c>
    </row>
    <row r="31613">
      <c r="A31613" s="1" t="n">
        <v>31612</v>
      </c>
      <c r="B31613">
        <f>TEXT(31612, "[$-0E0000]yyyy-mm-dd")</f>
        <v/>
      </c>
      <c r="C31613" t="inlineStr">
        <is>
          <t>1986-06-14</t>
        </is>
      </c>
    </row>
    <row r="31614">
      <c r="A31614" s="1" t="n">
        <v>31613</v>
      </c>
      <c r="B31614">
        <f>TEXT(31613, "[$-0E0000]yyyy-mm-dd")</f>
        <v/>
      </c>
      <c r="C31614" t="inlineStr">
        <is>
          <t>1986-06-15</t>
        </is>
      </c>
    </row>
    <row r="31615">
      <c r="A31615" s="1" t="n">
        <v>31614</v>
      </c>
      <c r="B31615">
        <f>TEXT(31614, "[$-0E0000]yyyy-mm-dd")</f>
        <v/>
      </c>
      <c r="C31615" t="inlineStr">
        <is>
          <t>1986-06-16</t>
        </is>
      </c>
    </row>
    <row r="31616">
      <c r="A31616" s="1" t="n">
        <v>31615</v>
      </c>
      <c r="B31616">
        <f>TEXT(31615, "[$-0E0000]yyyy-mm-dd")</f>
        <v/>
      </c>
      <c r="C31616" t="inlineStr">
        <is>
          <t>1986-06-17</t>
        </is>
      </c>
    </row>
    <row r="31617">
      <c r="A31617" s="1" t="n">
        <v>31616</v>
      </c>
      <c r="B31617">
        <f>TEXT(31616, "[$-0E0000]yyyy-mm-dd")</f>
        <v/>
      </c>
      <c r="C31617" t="inlineStr">
        <is>
          <t>1986-06-18</t>
        </is>
      </c>
    </row>
    <row r="31618">
      <c r="A31618" s="1" t="n">
        <v>31617</v>
      </c>
      <c r="B31618">
        <f>TEXT(31617, "[$-0E0000]yyyy-mm-dd")</f>
        <v/>
      </c>
      <c r="C31618" t="inlineStr">
        <is>
          <t>1986-06-19</t>
        </is>
      </c>
    </row>
    <row r="31619">
      <c r="A31619" s="1" t="n">
        <v>31618</v>
      </c>
      <c r="B31619">
        <f>TEXT(31618, "[$-0E0000]yyyy-mm-dd")</f>
        <v/>
      </c>
      <c r="C31619" t="inlineStr">
        <is>
          <t>1986-06-20</t>
        </is>
      </c>
    </row>
    <row r="31620">
      <c r="A31620" s="1" t="n">
        <v>31619</v>
      </c>
      <c r="B31620">
        <f>TEXT(31619, "[$-0E0000]yyyy-mm-dd")</f>
        <v/>
      </c>
      <c r="C31620" t="inlineStr">
        <is>
          <t>1986-06-21</t>
        </is>
      </c>
    </row>
    <row r="31621">
      <c r="A31621" s="1" t="n">
        <v>31620</v>
      </c>
      <c r="B31621">
        <f>TEXT(31620, "[$-0E0000]yyyy-mm-dd")</f>
        <v/>
      </c>
      <c r="C31621" t="inlineStr">
        <is>
          <t>1986-06-22</t>
        </is>
      </c>
    </row>
    <row r="31622">
      <c r="A31622" s="1" t="n">
        <v>31621</v>
      </c>
      <c r="B31622">
        <f>TEXT(31621, "[$-0E0000]yyyy-mm-dd")</f>
        <v/>
      </c>
      <c r="C31622" t="inlineStr">
        <is>
          <t>1986-06-23</t>
        </is>
      </c>
    </row>
    <row r="31623">
      <c r="A31623" s="1" t="n">
        <v>31622</v>
      </c>
      <c r="B31623">
        <f>TEXT(31622, "[$-0E0000]yyyy-mm-dd")</f>
        <v/>
      </c>
      <c r="C31623" t="inlineStr">
        <is>
          <t>1986-06-24</t>
        </is>
      </c>
    </row>
    <row r="31624">
      <c r="A31624" s="1" t="n">
        <v>31623</v>
      </c>
      <c r="B31624">
        <f>TEXT(31623, "[$-0E0000]yyyy-mm-dd")</f>
        <v/>
      </c>
      <c r="C31624" t="inlineStr">
        <is>
          <t>1986-06-25</t>
        </is>
      </c>
    </row>
    <row r="31625">
      <c r="A31625" s="1" t="n">
        <v>31624</v>
      </c>
      <c r="B31625">
        <f>TEXT(31624, "[$-0E0000]yyyy-mm-dd")</f>
        <v/>
      </c>
      <c r="C31625" t="inlineStr">
        <is>
          <t>1986-06-26</t>
        </is>
      </c>
    </row>
    <row r="31626">
      <c r="A31626" s="1" t="n">
        <v>31625</v>
      </c>
      <c r="B31626">
        <f>TEXT(31625, "[$-0E0000]yyyy-mm-dd")</f>
        <v/>
      </c>
      <c r="C31626" t="inlineStr">
        <is>
          <t>1986-06-27</t>
        </is>
      </c>
    </row>
    <row r="31627">
      <c r="A31627" s="1" t="n">
        <v>31626</v>
      </c>
      <c r="B31627">
        <f>TEXT(31626, "[$-0E0000]yyyy-mm-dd")</f>
        <v/>
      </c>
      <c r="C31627" t="inlineStr">
        <is>
          <t>1986-06-28</t>
        </is>
      </c>
    </row>
    <row r="31628">
      <c r="A31628" s="1" t="n">
        <v>31627</v>
      </c>
      <c r="B31628">
        <f>TEXT(31627, "[$-0E0000]yyyy-mm-dd")</f>
        <v/>
      </c>
      <c r="C31628" t="inlineStr">
        <is>
          <t>1986-06-29</t>
        </is>
      </c>
    </row>
    <row r="31629">
      <c r="A31629" s="1" t="n">
        <v>31628</v>
      </c>
      <c r="B31629">
        <f>TEXT(31628, "[$-0E0000]yyyy-mm-dd")</f>
        <v/>
      </c>
      <c r="C31629" t="inlineStr">
        <is>
          <t>1986-06-30</t>
        </is>
      </c>
    </row>
    <row r="31630">
      <c r="A31630" s="1" t="n">
        <v>31629</v>
      </c>
      <c r="B31630">
        <f>TEXT(31629, "[$-0E0000]yyyy-mm-dd")</f>
        <v/>
      </c>
      <c r="C31630" t="inlineStr">
        <is>
          <t>1986-07-01</t>
        </is>
      </c>
    </row>
    <row r="31631">
      <c r="A31631" s="1" t="n">
        <v>31630</v>
      </c>
      <c r="B31631">
        <f>TEXT(31630, "[$-0E0000]yyyy-mm-dd")</f>
        <v/>
      </c>
      <c r="C31631" t="inlineStr">
        <is>
          <t>1986-07-02</t>
        </is>
      </c>
    </row>
    <row r="31632">
      <c r="A31632" s="1" t="n">
        <v>31631</v>
      </c>
      <c r="B31632">
        <f>TEXT(31631, "[$-0E0000]yyyy-mm-dd")</f>
        <v/>
      </c>
      <c r="C31632" t="inlineStr">
        <is>
          <t>1986-07-03</t>
        </is>
      </c>
    </row>
    <row r="31633">
      <c r="A31633" s="1" t="n">
        <v>31632</v>
      </c>
      <c r="B31633">
        <f>TEXT(31632, "[$-0E0000]yyyy-mm-dd")</f>
        <v/>
      </c>
      <c r="C31633" t="inlineStr">
        <is>
          <t>1986-07-04</t>
        </is>
      </c>
    </row>
    <row r="31634">
      <c r="A31634" s="1" t="n">
        <v>31633</v>
      </c>
      <c r="B31634">
        <f>TEXT(31633, "[$-0E0000]yyyy-mm-dd")</f>
        <v/>
      </c>
      <c r="C31634" t="inlineStr">
        <is>
          <t>1986-07-05</t>
        </is>
      </c>
    </row>
    <row r="31635">
      <c r="A31635" s="1" t="n">
        <v>31634</v>
      </c>
      <c r="B31635">
        <f>TEXT(31634, "[$-0E0000]yyyy-mm-dd")</f>
        <v/>
      </c>
      <c r="C31635" t="inlineStr">
        <is>
          <t>1986-07-06</t>
        </is>
      </c>
    </row>
    <row r="31636">
      <c r="A31636" s="1" t="n">
        <v>31635</v>
      </c>
      <c r="B31636">
        <f>TEXT(31635, "[$-0E0000]yyyy-mm-dd")</f>
        <v/>
      </c>
      <c r="C31636" t="inlineStr">
        <is>
          <t>1986-07-07</t>
        </is>
      </c>
    </row>
    <row r="31637">
      <c r="A31637" s="1" t="n">
        <v>31636</v>
      </c>
      <c r="B31637">
        <f>TEXT(31636, "[$-0E0000]yyyy-mm-dd")</f>
        <v/>
      </c>
      <c r="C31637" t="inlineStr">
        <is>
          <t>1986-07-08</t>
        </is>
      </c>
    </row>
    <row r="31638">
      <c r="A31638" s="1" t="n">
        <v>31637</v>
      </c>
      <c r="B31638">
        <f>TEXT(31637, "[$-0E0000]yyyy-mm-dd")</f>
        <v/>
      </c>
      <c r="C31638" t="inlineStr">
        <is>
          <t>1986-07-09</t>
        </is>
      </c>
    </row>
    <row r="31639">
      <c r="A31639" s="1" t="n">
        <v>31638</v>
      </c>
      <c r="B31639">
        <f>TEXT(31638, "[$-0E0000]yyyy-mm-dd")</f>
        <v/>
      </c>
      <c r="C31639" t="inlineStr">
        <is>
          <t>1986-07-10</t>
        </is>
      </c>
    </row>
    <row r="31640">
      <c r="A31640" s="1" t="n">
        <v>31639</v>
      </c>
      <c r="B31640">
        <f>TEXT(31639, "[$-0E0000]yyyy-mm-dd")</f>
        <v/>
      </c>
      <c r="C31640" t="inlineStr">
        <is>
          <t>1986-07-11</t>
        </is>
      </c>
    </row>
    <row r="31641">
      <c r="A31641" s="1" t="n">
        <v>31640</v>
      </c>
      <c r="B31641">
        <f>TEXT(31640, "[$-0E0000]yyyy-mm-dd")</f>
        <v/>
      </c>
      <c r="C31641" t="inlineStr">
        <is>
          <t>1986-07-12</t>
        </is>
      </c>
    </row>
    <row r="31642">
      <c r="A31642" s="1" t="n">
        <v>31641</v>
      </c>
      <c r="B31642">
        <f>TEXT(31641, "[$-0E0000]yyyy-mm-dd")</f>
        <v/>
      </c>
      <c r="C31642" t="inlineStr">
        <is>
          <t>1986-07-13</t>
        </is>
      </c>
    </row>
    <row r="31643">
      <c r="A31643" s="1" t="n">
        <v>31642</v>
      </c>
      <c r="B31643">
        <f>TEXT(31642, "[$-0E0000]yyyy-mm-dd")</f>
        <v/>
      </c>
      <c r="C31643" t="inlineStr">
        <is>
          <t>1986-07-14</t>
        </is>
      </c>
    </row>
    <row r="31644">
      <c r="A31644" s="1" t="n">
        <v>31643</v>
      </c>
      <c r="B31644">
        <f>TEXT(31643, "[$-0E0000]yyyy-mm-dd")</f>
        <v/>
      </c>
      <c r="C31644" t="inlineStr">
        <is>
          <t>1986-07-15</t>
        </is>
      </c>
    </row>
    <row r="31645">
      <c r="A31645" s="1" t="n">
        <v>31644</v>
      </c>
      <c r="B31645">
        <f>TEXT(31644, "[$-0E0000]yyyy-mm-dd")</f>
        <v/>
      </c>
      <c r="C31645" t="inlineStr">
        <is>
          <t>1986-07-16</t>
        </is>
      </c>
    </row>
    <row r="31646">
      <c r="A31646" s="1" t="n">
        <v>31645</v>
      </c>
      <c r="B31646">
        <f>TEXT(31645, "[$-0E0000]yyyy-mm-dd")</f>
        <v/>
      </c>
      <c r="C31646" t="inlineStr">
        <is>
          <t>1986-07-17</t>
        </is>
      </c>
    </row>
    <row r="31647">
      <c r="A31647" s="1" t="n">
        <v>31646</v>
      </c>
      <c r="B31647">
        <f>TEXT(31646, "[$-0E0000]yyyy-mm-dd")</f>
        <v/>
      </c>
      <c r="C31647" t="inlineStr">
        <is>
          <t>1986-07-18</t>
        </is>
      </c>
    </row>
    <row r="31648">
      <c r="A31648" s="1" t="n">
        <v>31647</v>
      </c>
      <c r="B31648">
        <f>TEXT(31647, "[$-0E0000]yyyy-mm-dd")</f>
        <v/>
      </c>
      <c r="C31648" t="inlineStr">
        <is>
          <t>1986-07-19</t>
        </is>
      </c>
    </row>
    <row r="31649">
      <c r="A31649" s="1" t="n">
        <v>31648</v>
      </c>
      <c r="B31649">
        <f>TEXT(31648, "[$-0E0000]yyyy-mm-dd")</f>
        <v/>
      </c>
      <c r="C31649" t="inlineStr">
        <is>
          <t>1986-07-20</t>
        </is>
      </c>
    </row>
    <row r="31650">
      <c r="A31650" s="1" t="n">
        <v>31649</v>
      </c>
      <c r="B31650">
        <f>TEXT(31649, "[$-0E0000]yyyy-mm-dd")</f>
        <v/>
      </c>
      <c r="C31650" t="inlineStr">
        <is>
          <t>1986-07-21</t>
        </is>
      </c>
    </row>
    <row r="31651">
      <c r="A31651" s="1" t="n">
        <v>31650</v>
      </c>
      <c r="B31651">
        <f>TEXT(31650, "[$-0E0000]yyyy-mm-dd")</f>
        <v/>
      </c>
      <c r="C31651" t="inlineStr">
        <is>
          <t>1986-07-22</t>
        </is>
      </c>
    </row>
    <row r="31652">
      <c r="A31652" s="1" t="n">
        <v>31651</v>
      </c>
      <c r="B31652">
        <f>TEXT(31651, "[$-0E0000]yyyy-mm-dd")</f>
        <v/>
      </c>
      <c r="C31652" t="inlineStr">
        <is>
          <t>1986-07-23</t>
        </is>
      </c>
    </row>
    <row r="31653">
      <c r="A31653" s="1" t="n">
        <v>31652</v>
      </c>
      <c r="B31653">
        <f>TEXT(31652, "[$-0E0000]yyyy-mm-dd")</f>
        <v/>
      </c>
      <c r="C31653" t="inlineStr">
        <is>
          <t>1986-07-24</t>
        </is>
      </c>
    </row>
    <row r="31654">
      <c r="A31654" s="1" t="n">
        <v>31653</v>
      </c>
      <c r="B31654">
        <f>TEXT(31653, "[$-0E0000]yyyy-mm-dd")</f>
        <v/>
      </c>
      <c r="C31654" t="inlineStr">
        <is>
          <t>1986-07-25</t>
        </is>
      </c>
    </row>
    <row r="31655">
      <c r="A31655" s="1" t="n">
        <v>31654</v>
      </c>
      <c r="B31655">
        <f>TEXT(31654, "[$-0E0000]yyyy-mm-dd")</f>
        <v/>
      </c>
      <c r="C31655" t="inlineStr">
        <is>
          <t>1986-07-26</t>
        </is>
      </c>
    </row>
    <row r="31656">
      <c r="A31656" s="1" t="n">
        <v>31655</v>
      </c>
      <c r="B31656">
        <f>TEXT(31655, "[$-0E0000]yyyy-mm-dd")</f>
        <v/>
      </c>
      <c r="C31656" t="inlineStr">
        <is>
          <t>1986-07-27</t>
        </is>
      </c>
    </row>
    <row r="31657">
      <c r="A31657" s="1" t="n">
        <v>31656</v>
      </c>
      <c r="B31657">
        <f>TEXT(31656, "[$-0E0000]yyyy-mm-dd")</f>
        <v/>
      </c>
      <c r="C31657" t="inlineStr">
        <is>
          <t>1986-07-28</t>
        </is>
      </c>
    </row>
    <row r="31658">
      <c r="A31658" s="1" t="n">
        <v>31657</v>
      </c>
      <c r="B31658">
        <f>TEXT(31657, "[$-0E0000]yyyy-mm-dd")</f>
        <v/>
      </c>
      <c r="C31658" t="inlineStr">
        <is>
          <t>1986-07-29</t>
        </is>
      </c>
    </row>
    <row r="31659">
      <c r="A31659" s="1" t="n">
        <v>31658</v>
      </c>
      <c r="B31659">
        <f>TEXT(31658, "[$-0E0000]yyyy-mm-dd")</f>
        <v/>
      </c>
      <c r="C31659" t="inlineStr">
        <is>
          <t>1986-08-01</t>
        </is>
      </c>
    </row>
    <row r="31660">
      <c r="A31660" s="1" t="n">
        <v>31659</v>
      </c>
      <c r="B31660">
        <f>TEXT(31659, "[$-0E0000]yyyy-mm-dd")</f>
        <v/>
      </c>
      <c r="C31660" t="inlineStr">
        <is>
          <t>1986-08-02</t>
        </is>
      </c>
    </row>
    <row r="31661">
      <c r="A31661" s="1" t="n">
        <v>31660</v>
      </c>
      <c r="B31661">
        <f>TEXT(31660, "[$-0E0000]yyyy-mm-dd")</f>
        <v/>
      </c>
      <c r="C31661" t="inlineStr">
        <is>
          <t>1986-08-03</t>
        </is>
      </c>
    </row>
    <row r="31662">
      <c r="A31662" s="1" t="n">
        <v>31661</v>
      </c>
      <c r="B31662">
        <f>TEXT(31661, "[$-0E0000]yyyy-mm-dd")</f>
        <v/>
      </c>
      <c r="C31662" t="inlineStr">
        <is>
          <t>1986-08-04</t>
        </is>
      </c>
    </row>
    <row r="31663">
      <c r="A31663" s="1" t="n">
        <v>31662</v>
      </c>
      <c r="B31663">
        <f>TEXT(31662, "[$-0E0000]yyyy-mm-dd")</f>
        <v/>
      </c>
      <c r="C31663" t="inlineStr">
        <is>
          <t>1986-08-05</t>
        </is>
      </c>
    </row>
    <row r="31664">
      <c r="A31664" s="1" t="n">
        <v>31663</v>
      </c>
      <c r="B31664">
        <f>TEXT(31663, "[$-0E0000]yyyy-mm-dd")</f>
        <v/>
      </c>
      <c r="C31664" t="inlineStr">
        <is>
          <t>1986-08-06</t>
        </is>
      </c>
    </row>
    <row r="31665">
      <c r="A31665" s="1" t="n">
        <v>31664</v>
      </c>
      <c r="B31665">
        <f>TEXT(31664, "[$-0E0000]yyyy-mm-dd")</f>
        <v/>
      </c>
      <c r="C31665" t="inlineStr">
        <is>
          <t>1986-08-07</t>
        </is>
      </c>
    </row>
    <row r="31666">
      <c r="A31666" s="1" t="n">
        <v>31665</v>
      </c>
      <c r="B31666">
        <f>TEXT(31665, "[$-0E0000]yyyy-mm-dd")</f>
        <v/>
      </c>
      <c r="C31666" t="inlineStr">
        <is>
          <t>1986-08-08</t>
        </is>
      </c>
    </row>
    <row r="31667">
      <c r="A31667" s="1" t="n">
        <v>31666</v>
      </c>
      <c r="B31667">
        <f>TEXT(31666, "[$-0E0000]yyyy-mm-dd")</f>
        <v/>
      </c>
      <c r="C31667" t="inlineStr">
        <is>
          <t>1986-08-09</t>
        </is>
      </c>
    </row>
    <row r="31668">
      <c r="A31668" s="1" t="n">
        <v>31667</v>
      </c>
      <c r="B31668">
        <f>TEXT(31667, "[$-0E0000]yyyy-mm-dd")</f>
        <v/>
      </c>
      <c r="C31668" t="inlineStr">
        <is>
          <t>1986-08-10</t>
        </is>
      </c>
    </row>
    <row r="31669">
      <c r="A31669" s="1" t="n">
        <v>31668</v>
      </c>
      <c r="B31669">
        <f>TEXT(31668, "[$-0E0000]yyyy-mm-dd")</f>
        <v/>
      </c>
      <c r="C31669" t="inlineStr">
        <is>
          <t>1986-08-11</t>
        </is>
      </c>
    </row>
    <row r="31670">
      <c r="A31670" s="1" t="n">
        <v>31669</v>
      </c>
      <c r="B31670">
        <f>TEXT(31669, "[$-0E0000]yyyy-mm-dd")</f>
        <v/>
      </c>
      <c r="C31670" t="inlineStr">
        <is>
          <t>1986-08-12</t>
        </is>
      </c>
    </row>
    <row r="31671">
      <c r="A31671" s="1" t="n">
        <v>31670</v>
      </c>
      <c r="B31671">
        <f>TEXT(31670, "[$-0E0000]yyyy-mm-dd")</f>
        <v/>
      </c>
      <c r="C31671" t="inlineStr">
        <is>
          <t>1986-08-13</t>
        </is>
      </c>
    </row>
    <row r="31672">
      <c r="A31672" s="1" t="n">
        <v>31671</v>
      </c>
      <c r="B31672">
        <f>TEXT(31671, "[$-0E0000]yyyy-mm-dd")</f>
        <v/>
      </c>
      <c r="C31672" t="inlineStr">
        <is>
          <t>1986-08-14</t>
        </is>
      </c>
    </row>
    <row r="31673">
      <c r="A31673" s="1" t="n">
        <v>31672</v>
      </c>
      <c r="B31673">
        <f>TEXT(31672, "[$-0E0000]yyyy-mm-dd")</f>
        <v/>
      </c>
      <c r="C31673" t="inlineStr">
        <is>
          <t>1986-08-15</t>
        </is>
      </c>
    </row>
    <row r="31674">
      <c r="A31674" s="1" t="n">
        <v>31673</v>
      </c>
      <c r="B31674">
        <f>TEXT(31673, "[$-0E0000]yyyy-mm-dd")</f>
        <v/>
      </c>
      <c r="C31674" t="inlineStr">
        <is>
          <t>1986-08-16</t>
        </is>
      </c>
    </row>
    <row r="31675">
      <c r="A31675" s="1" t="n">
        <v>31674</v>
      </c>
      <c r="B31675">
        <f>TEXT(31674, "[$-0E0000]yyyy-mm-dd")</f>
        <v/>
      </c>
      <c r="C31675" t="inlineStr">
        <is>
          <t>1986-08-17</t>
        </is>
      </c>
    </row>
    <row r="31676">
      <c r="A31676" s="1" t="n">
        <v>31675</v>
      </c>
      <c r="B31676">
        <f>TEXT(31675, "[$-0E0000]yyyy-mm-dd")</f>
        <v/>
      </c>
      <c r="C31676" t="inlineStr">
        <is>
          <t>1986-08-18</t>
        </is>
      </c>
    </row>
    <row r="31677">
      <c r="A31677" s="1" t="n">
        <v>31676</v>
      </c>
      <c r="B31677">
        <f>TEXT(31676, "[$-0E0000]yyyy-mm-dd")</f>
        <v/>
      </c>
      <c r="C31677" t="inlineStr">
        <is>
          <t>1986-08-19</t>
        </is>
      </c>
    </row>
    <row r="31678">
      <c r="A31678" s="1" t="n">
        <v>31677</v>
      </c>
      <c r="B31678">
        <f>TEXT(31677, "[$-0E0000]yyyy-mm-dd")</f>
        <v/>
      </c>
      <c r="C31678" t="inlineStr">
        <is>
          <t>1986-08-20</t>
        </is>
      </c>
    </row>
    <row r="31679">
      <c r="A31679" s="1" t="n">
        <v>31678</v>
      </c>
      <c r="B31679">
        <f>TEXT(31678, "[$-0E0000]yyyy-mm-dd")</f>
        <v/>
      </c>
      <c r="C31679" t="inlineStr">
        <is>
          <t>1986-08-21</t>
        </is>
      </c>
    </row>
    <row r="31680">
      <c r="A31680" s="1" t="n">
        <v>31679</v>
      </c>
      <c r="B31680">
        <f>TEXT(31679, "[$-0E0000]yyyy-mm-dd")</f>
        <v/>
      </c>
      <c r="C31680" t="inlineStr">
        <is>
          <t>1986-08-22</t>
        </is>
      </c>
    </row>
    <row r="31681">
      <c r="A31681" s="1" t="n">
        <v>31680</v>
      </c>
      <c r="B31681">
        <f>TEXT(31680, "[$-0E0000]yyyy-mm-dd")</f>
        <v/>
      </c>
      <c r="C31681" t="inlineStr">
        <is>
          <t>1986-08-23</t>
        </is>
      </c>
    </row>
    <row r="31682">
      <c r="A31682" s="1" t="n">
        <v>31681</v>
      </c>
      <c r="B31682">
        <f>TEXT(31681, "[$-0E0000]yyyy-mm-dd")</f>
        <v/>
      </c>
      <c r="C31682" t="inlineStr">
        <is>
          <t>1986-08-24</t>
        </is>
      </c>
    </row>
    <row r="31683">
      <c r="A31683" s="1" t="n">
        <v>31682</v>
      </c>
      <c r="B31683">
        <f>TEXT(31682, "[$-0E0000]yyyy-mm-dd")</f>
        <v/>
      </c>
      <c r="C31683" t="inlineStr">
        <is>
          <t>1986-08-25</t>
        </is>
      </c>
    </row>
    <row r="31684">
      <c r="A31684" s="1" t="n">
        <v>31683</v>
      </c>
      <c r="B31684">
        <f>TEXT(31683, "[$-0E0000]yyyy-mm-dd")</f>
        <v/>
      </c>
      <c r="C31684" t="inlineStr">
        <is>
          <t>1986-08-26</t>
        </is>
      </c>
    </row>
    <row r="31685">
      <c r="A31685" s="1" t="n">
        <v>31684</v>
      </c>
      <c r="B31685">
        <f>TEXT(31684, "[$-0E0000]yyyy-mm-dd")</f>
        <v/>
      </c>
      <c r="C31685" t="inlineStr">
        <is>
          <t>1986-08-27</t>
        </is>
      </c>
    </row>
    <row r="31686">
      <c r="A31686" s="1" t="n">
        <v>31685</v>
      </c>
      <c r="B31686">
        <f>TEXT(31685, "[$-0E0000]yyyy-mm-dd")</f>
        <v/>
      </c>
      <c r="C31686" t="inlineStr">
        <is>
          <t>1986-08-28</t>
        </is>
      </c>
    </row>
    <row r="31687">
      <c r="A31687" s="1" t="n">
        <v>31686</v>
      </c>
      <c r="B31687">
        <f>TEXT(31686, "[$-0E0000]yyyy-mm-dd")</f>
        <v/>
      </c>
      <c r="C31687" t="inlineStr">
        <is>
          <t>1986-08-29</t>
        </is>
      </c>
    </row>
    <row r="31688">
      <c r="A31688" s="1" t="n">
        <v>31687</v>
      </c>
      <c r="B31688">
        <f>TEXT(31687, "[$-0E0000]yyyy-mm-dd")</f>
        <v/>
      </c>
      <c r="C31688" t="inlineStr">
        <is>
          <t>1986-08-30</t>
        </is>
      </c>
    </row>
    <row r="31689">
      <c r="A31689" s="1" t="n">
        <v>31688</v>
      </c>
      <c r="B31689">
        <f>TEXT(31688, "[$-0E0000]yyyy-mm-dd")</f>
        <v/>
      </c>
      <c r="C31689" t="inlineStr">
        <is>
          <t>1986-09-01</t>
        </is>
      </c>
    </row>
    <row r="31690">
      <c r="A31690" s="1" t="n">
        <v>31689</v>
      </c>
      <c r="B31690">
        <f>TEXT(31689, "[$-0E0000]yyyy-mm-dd")</f>
        <v/>
      </c>
      <c r="C31690" t="inlineStr">
        <is>
          <t>1986-09-02</t>
        </is>
      </c>
    </row>
    <row r="31691">
      <c r="A31691" s="1" t="n">
        <v>31690</v>
      </c>
      <c r="B31691">
        <f>TEXT(31690, "[$-0E0000]yyyy-mm-dd")</f>
        <v/>
      </c>
      <c r="C31691" t="inlineStr">
        <is>
          <t>1986-09-03</t>
        </is>
      </c>
    </row>
    <row r="31692">
      <c r="A31692" s="1" t="n">
        <v>31691</v>
      </c>
      <c r="B31692">
        <f>TEXT(31691, "[$-0E0000]yyyy-mm-dd")</f>
        <v/>
      </c>
      <c r="C31692" t="inlineStr">
        <is>
          <t>1986-09-04</t>
        </is>
      </c>
    </row>
    <row r="31693">
      <c r="A31693" s="1" t="n">
        <v>31692</v>
      </c>
      <c r="B31693">
        <f>TEXT(31692, "[$-0E0000]yyyy-mm-dd")</f>
        <v/>
      </c>
      <c r="C31693" t="inlineStr">
        <is>
          <t>1986-09-05</t>
        </is>
      </c>
    </row>
    <row r="31694">
      <c r="A31694" s="1" t="n">
        <v>31693</v>
      </c>
      <c r="B31694">
        <f>TEXT(31693, "[$-0E0000]yyyy-mm-dd")</f>
        <v/>
      </c>
      <c r="C31694" t="inlineStr">
        <is>
          <t>1986-09-06</t>
        </is>
      </c>
    </row>
    <row r="31695">
      <c r="A31695" s="1" t="n">
        <v>31694</v>
      </c>
      <c r="B31695">
        <f>TEXT(31694, "[$-0E0000]yyyy-mm-dd")</f>
        <v/>
      </c>
      <c r="C31695" t="inlineStr">
        <is>
          <t>1986-09-07</t>
        </is>
      </c>
    </row>
    <row r="31696">
      <c r="A31696" s="1" t="n">
        <v>31695</v>
      </c>
      <c r="B31696">
        <f>TEXT(31695, "[$-0E0000]yyyy-mm-dd")</f>
        <v/>
      </c>
      <c r="C31696" t="inlineStr">
        <is>
          <t>1986-09-08</t>
        </is>
      </c>
    </row>
    <row r="31697">
      <c r="A31697" s="1" t="n">
        <v>31696</v>
      </c>
      <c r="B31697">
        <f>TEXT(31696, "[$-0E0000]yyyy-mm-dd")</f>
        <v/>
      </c>
      <c r="C31697" t="inlineStr">
        <is>
          <t>1986-09-09</t>
        </is>
      </c>
    </row>
    <row r="31698">
      <c r="A31698" s="1" t="n">
        <v>31697</v>
      </c>
      <c r="B31698">
        <f>TEXT(31697, "[$-0E0000]yyyy-mm-dd")</f>
        <v/>
      </c>
      <c r="C31698" t="inlineStr">
        <is>
          <t>1986-09-10</t>
        </is>
      </c>
    </row>
    <row r="31699">
      <c r="A31699" s="1" t="n">
        <v>31698</v>
      </c>
      <c r="B31699">
        <f>TEXT(31698, "[$-0E0000]yyyy-mm-dd")</f>
        <v/>
      </c>
      <c r="C31699" t="inlineStr">
        <is>
          <t>1986-09-11</t>
        </is>
      </c>
    </row>
    <row r="31700">
      <c r="A31700" s="1" t="n">
        <v>31699</v>
      </c>
      <c r="B31700">
        <f>TEXT(31699, "[$-0E0000]yyyy-mm-dd")</f>
        <v/>
      </c>
      <c r="C31700" t="inlineStr">
        <is>
          <t>1986-09-12</t>
        </is>
      </c>
    </row>
    <row r="31701">
      <c r="A31701" s="1" t="n">
        <v>31700</v>
      </c>
      <c r="B31701">
        <f>TEXT(31700, "[$-0E0000]yyyy-mm-dd")</f>
        <v/>
      </c>
      <c r="C31701" t="inlineStr">
        <is>
          <t>1986-09-13</t>
        </is>
      </c>
    </row>
    <row r="31702">
      <c r="A31702" s="1" t="n">
        <v>31701</v>
      </c>
      <c r="B31702">
        <f>TEXT(31701, "[$-0E0000]yyyy-mm-dd")</f>
        <v/>
      </c>
      <c r="C31702" t="inlineStr">
        <is>
          <t>1986-09-14</t>
        </is>
      </c>
    </row>
    <row r="31703">
      <c r="A31703" s="1" t="n">
        <v>31702</v>
      </c>
      <c r="B31703">
        <f>TEXT(31702, "[$-0E0000]yyyy-mm-dd")</f>
        <v/>
      </c>
      <c r="C31703" t="inlineStr">
        <is>
          <t>1986-09-15</t>
        </is>
      </c>
    </row>
    <row r="31704">
      <c r="A31704" s="1" t="n">
        <v>31703</v>
      </c>
      <c r="B31704">
        <f>TEXT(31703, "[$-0E0000]yyyy-mm-dd")</f>
        <v/>
      </c>
      <c r="C31704" t="inlineStr">
        <is>
          <t>1986-09-16</t>
        </is>
      </c>
    </row>
    <row r="31705">
      <c r="A31705" s="1" t="n">
        <v>31704</v>
      </c>
      <c r="B31705">
        <f>TEXT(31704, "[$-0E0000]yyyy-mm-dd")</f>
        <v/>
      </c>
      <c r="C31705" t="inlineStr">
        <is>
          <t>1986-09-17</t>
        </is>
      </c>
    </row>
    <row r="31706">
      <c r="A31706" s="1" t="n">
        <v>31705</v>
      </c>
      <c r="B31706">
        <f>TEXT(31705, "[$-0E0000]yyyy-mm-dd")</f>
        <v/>
      </c>
      <c r="C31706" t="inlineStr">
        <is>
          <t>1986-09-18</t>
        </is>
      </c>
    </row>
    <row r="31707">
      <c r="A31707" s="1" t="n">
        <v>31706</v>
      </c>
      <c r="B31707">
        <f>TEXT(31706, "[$-0E0000]yyyy-mm-dd")</f>
        <v/>
      </c>
      <c r="C31707" t="inlineStr">
        <is>
          <t>1986-09-19</t>
        </is>
      </c>
    </row>
    <row r="31708">
      <c r="A31708" s="1" t="n">
        <v>31707</v>
      </c>
      <c r="B31708">
        <f>TEXT(31707, "[$-0E0000]yyyy-mm-dd")</f>
        <v/>
      </c>
      <c r="C31708" t="inlineStr">
        <is>
          <t>1986-09-20</t>
        </is>
      </c>
    </row>
    <row r="31709">
      <c r="A31709" s="1" t="n">
        <v>31708</v>
      </c>
      <c r="B31709">
        <f>TEXT(31708, "[$-0E0000]yyyy-mm-dd")</f>
        <v/>
      </c>
      <c r="C31709" t="inlineStr">
        <is>
          <t>1986-09-21</t>
        </is>
      </c>
    </row>
    <row r="31710">
      <c r="A31710" s="1" t="n">
        <v>31709</v>
      </c>
      <c r="B31710">
        <f>TEXT(31709, "[$-0E0000]yyyy-mm-dd")</f>
        <v/>
      </c>
      <c r="C31710" t="inlineStr">
        <is>
          <t>1986-09-22</t>
        </is>
      </c>
    </row>
    <row r="31711">
      <c r="A31711" s="1" t="n">
        <v>31710</v>
      </c>
      <c r="B31711">
        <f>TEXT(31710, "[$-0E0000]yyyy-mm-dd")</f>
        <v/>
      </c>
      <c r="C31711" t="inlineStr">
        <is>
          <t>1986-09-23</t>
        </is>
      </c>
    </row>
    <row r="31712">
      <c r="A31712" s="1" t="n">
        <v>31711</v>
      </c>
      <c r="B31712">
        <f>TEXT(31711, "[$-0E0000]yyyy-mm-dd")</f>
        <v/>
      </c>
      <c r="C31712" t="inlineStr">
        <is>
          <t>1986-09-24</t>
        </is>
      </c>
    </row>
    <row r="31713">
      <c r="A31713" s="1" t="n">
        <v>31712</v>
      </c>
      <c r="B31713">
        <f>TEXT(31712, "[$-0E0000]yyyy-mm-dd")</f>
        <v/>
      </c>
      <c r="C31713" t="inlineStr">
        <is>
          <t>1986-09-25</t>
        </is>
      </c>
    </row>
    <row r="31714">
      <c r="A31714" s="1" t="n">
        <v>31713</v>
      </c>
      <c r="B31714">
        <f>TEXT(31713, "[$-0E0000]yyyy-mm-dd")</f>
        <v/>
      </c>
      <c r="C31714" t="inlineStr">
        <is>
          <t>1986-09-26</t>
        </is>
      </c>
    </row>
    <row r="31715">
      <c r="A31715" s="1" t="n">
        <v>31714</v>
      </c>
      <c r="B31715">
        <f>TEXT(31714, "[$-0E0000]yyyy-mm-dd")</f>
        <v/>
      </c>
      <c r="C31715" t="inlineStr">
        <is>
          <t>1986-09-27</t>
        </is>
      </c>
    </row>
    <row r="31716">
      <c r="A31716" s="1" t="n">
        <v>31715</v>
      </c>
      <c r="B31716">
        <f>TEXT(31715, "[$-0E0000]yyyy-mm-dd")</f>
        <v/>
      </c>
      <c r="C31716" t="inlineStr">
        <is>
          <t>1986-09-28</t>
        </is>
      </c>
    </row>
    <row r="31717">
      <c r="A31717" s="1" t="n">
        <v>31716</v>
      </c>
      <c r="B31717">
        <f>TEXT(31716, "[$-0E0000]yyyy-mm-dd")</f>
        <v/>
      </c>
      <c r="C31717" t="inlineStr">
        <is>
          <t>1986-09-29</t>
        </is>
      </c>
    </row>
    <row r="31718">
      <c r="A31718" s="1" t="n">
        <v>31717</v>
      </c>
      <c r="B31718">
        <f>TEXT(31717, "[$-0E0000]yyyy-mm-dd")</f>
        <v/>
      </c>
      <c r="C31718" t="inlineStr">
        <is>
          <t>1986-10-01</t>
        </is>
      </c>
    </row>
    <row r="31719">
      <c r="A31719" s="1" t="n">
        <v>31718</v>
      </c>
      <c r="B31719">
        <f>TEXT(31718, "[$-0E0000]yyyy-mm-dd")</f>
        <v/>
      </c>
      <c r="C31719" t="inlineStr">
        <is>
          <t>1986-10-02</t>
        </is>
      </c>
    </row>
    <row r="31720">
      <c r="A31720" s="1" t="n">
        <v>31719</v>
      </c>
      <c r="B31720">
        <f>TEXT(31719, "[$-0E0000]yyyy-mm-dd")</f>
        <v/>
      </c>
      <c r="C31720" t="inlineStr">
        <is>
          <t>1986-10-03</t>
        </is>
      </c>
    </row>
    <row r="31721">
      <c r="A31721" s="1" t="n">
        <v>31720</v>
      </c>
      <c r="B31721">
        <f>TEXT(31720, "[$-0E0000]yyyy-mm-dd")</f>
        <v/>
      </c>
      <c r="C31721" t="inlineStr">
        <is>
          <t>1986-10-04</t>
        </is>
      </c>
    </row>
    <row r="31722">
      <c r="A31722" s="1" t="n">
        <v>31721</v>
      </c>
      <c r="B31722">
        <f>TEXT(31721, "[$-0E0000]yyyy-mm-dd")</f>
        <v/>
      </c>
      <c r="C31722" t="inlineStr">
        <is>
          <t>1986-10-05</t>
        </is>
      </c>
    </row>
    <row r="31723">
      <c r="A31723" s="1" t="n">
        <v>31722</v>
      </c>
      <c r="B31723">
        <f>TEXT(31722, "[$-0E0000]yyyy-mm-dd")</f>
        <v/>
      </c>
      <c r="C31723" t="inlineStr">
        <is>
          <t>1986-10-06</t>
        </is>
      </c>
    </row>
    <row r="31724">
      <c r="A31724" s="1" t="n">
        <v>31723</v>
      </c>
      <c r="B31724">
        <f>TEXT(31723, "[$-0E0000]yyyy-mm-dd")</f>
        <v/>
      </c>
      <c r="C31724" t="inlineStr">
        <is>
          <t>1986-10-07</t>
        </is>
      </c>
    </row>
    <row r="31725">
      <c r="A31725" s="1" t="n">
        <v>31724</v>
      </c>
      <c r="B31725">
        <f>TEXT(31724, "[$-0E0000]yyyy-mm-dd")</f>
        <v/>
      </c>
      <c r="C31725" t="inlineStr">
        <is>
          <t>1986-10-08</t>
        </is>
      </c>
    </row>
    <row r="31726">
      <c r="A31726" s="1" t="n">
        <v>31725</v>
      </c>
      <c r="B31726">
        <f>TEXT(31725, "[$-0E0000]yyyy-mm-dd")</f>
        <v/>
      </c>
      <c r="C31726" t="inlineStr">
        <is>
          <t>1986-10-09</t>
        </is>
      </c>
    </row>
    <row r="31727">
      <c r="A31727" s="1" t="n">
        <v>31726</v>
      </c>
      <c r="B31727">
        <f>TEXT(31726, "[$-0E0000]yyyy-mm-dd")</f>
        <v/>
      </c>
      <c r="C31727" t="inlineStr">
        <is>
          <t>1986-10-10</t>
        </is>
      </c>
    </row>
    <row r="31728">
      <c r="A31728" s="1" t="n">
        <v>31727</v>
      </c>
      <c r="B31728">
        <f>TEXT(31727, "[$-0E0000]yyyy-mm-dd")</f>
        <v/>
      </c>
      <c r="C31728" t="inlineStr">
        <is>
          <t>1986-10-11</t>
        </is>
      </c>
    </row>
    <row r="31729">
      <c r="A31729" s="1" t="n">
        <v>31728</v>
      </c>
      <c r="B31729">
        <f>TEXT(31728, "[$-0E0000]yyyy-mm-dd")</f>
        <v/>
      </c>
      <c r="C31729" t="inlineStr">
        <is>
          <t>1986-10-12</t>
        </is>
      </c>
    </row>
    <row r="31730">
      <c r="A31730" s="1" t="n">
        <v>31729</v>
      </c>
      <c r="B31730">
        <f>TEXT(31729, "[$-0E0000]yyyy-mm-dd")</f>
        <v/>
      </c>
      <c r="C31730" t="inlineStr">
        <is>
          <t>1986-10-13</t>
        </is>
      </c>
    </row>
    <row r="31731">
      <c r="A31731" s="1" t="n">
        <v>31730</v>
      </c>
      <c r="B31731">
        <f>TEXT(31730, "[$-0E0000]yyyy-mm-dd")</f>
        <v/>
      </c>
      <c r="C31731" t="inlineStr">
        <is>
          <t>1986-10-14</t>
        </is>
      </c>
    </row>
    <row r="31732">
      <c r="A31732" s="1" t="n">
        <v>31731</v>
      </c>
      <c r="B31732">
        <f>TEXT(31731, "[$-0E0000]yyyy-mm-dd")</f>
        <v/>
      </c>
      <c r="C31732" t="inlineStr">
        <is>
          <t>1986-10-15</t>
        </is>
      </c>
    </row>
    <row r="31733">
      <c r="A31733" s="1" t="n">
        <v>31732</v>
      </c>
      <c r="B31733">
        <f>TEXT(31732, "[$-0E0000]yyyy-mm-dd")</f>
        <v/>
      </c>
      <c r="C31733" t="inlineStr">
        <is>
          <t>1986-10-16</t>
        </is>
      </c>
    </row>
    <row r="31734">
      <c r="A31734" s="1" t="n">
        <v>31733</v>
      </c>
      <c r="B31734">
        <f>TEXT(31733, "[$-0E0000]yyyy-mm-dd")</f>
        <v/>
      </c>
      <c r="C31734" t="inlineStr">
        <is>
          <t>1986-10-17</t>
        </is>
      </c>
    </row>
    <row r="31735">
      <c r="A31735" s="1" t="n">
        <v>31734</v>
      </c>
      <c r="B31735">
        <f>TEXT(31734, "[$-0E0000]yyyy-mm-dd")</f>
        <v/>
      </c>
      <c r="C31735" t="inlineStr">
        <is>
          <t>1986-10-18</t>
        </is>
      </c>
    </row>
    <row r="31736">
      <c r="A31736" s="1" t="n">
        <v>31735</v>
      </c>
      <c r="B31736">
        <f>TEXT(31735, "[$-0E0000]yyyy-mm-dd")</f>
        <v/>
      </c>
      <c r="C31736" t="inlineStr">
        <is>
          <t>1986-10-19</t>
        </is>
      </c>
    </row>
    <row r="31737">
      <c r="A31737" s="1" t="n">
        <v>31736</v>
      </c>
      <c r="B31737">
        <f>TEXT(31736, "[$-0E0000]yyyy-mm-dd")</f>
        <v/>
      </c>
      <c r="C31737" t="inlineStr">
        <is>
          <t>1986-10-20</t>
        </is>
      </c>
    </row>
    <row r="31738">
      <c r="A31738" s="1" t="n">
        <v>31737</v>
      </c>
      <c r="B31738">
        <f>TEXT(31737, "[$-0E0000]yyyy-mm-dd")</f>
        <v/>
      </c>
      <c r="C31738" t="inlineStr">
        <is>
          <t>1986-10-21</t>
        </is>
      </c>
    </row>
    <row r="31739">
      <c r="A31739" s="1" t="n">
        <v>31738</v>
      </c>
      <c r="B31739">
        <f>TEXT(31738, "[$-0E0000]yyyy-mm-dd")</f>
        <v/>
      </c>
      <c r="C31739" t="inlineStr">
        <is>
          <t>1986-10-22</t>
        </is>
      </c>
    </row>
    <row r="31740">
      <c r="A31740" s="1" t="n">
        <v>31739</v>
      </c>
      <c r="B31740">
        <f>TEXT(31739, "[$-0E0000]yyyy-mm-dd")</f>
        <v/>
      </c>
      <c r="C31740" t="inlineStr">
        <is>
          <t>1986-10-23</t>
        </is>
      </c>
    </row>
    <row r="31741">
      <c r="A31741" s="1" t="n">
        <v>31740</v>
      </c>
      <c r="B31741">
        <f>TEXT(31740, "[$-0E0000]yyyy-mm-dd")</f>
        <v/>
      </c>
      <c r="C31741" t="inlineStr">
        <is>
          <t>1986-10-24</t>
        </is>
      </c>
    </row>
    <row r="31742">
      <c r="A31742" s="1" t="n">
        <v>31741</v>
      </c>
      <c r="B31742">
        <f>TEXT(31741, "[$-0E0000]yyyy-mm-dd")</f>
        <v/>
      </c>
      <c r="C31742" t="inlineStr">
        <is>
          <t>1986-10-25</t>
        </is>
      </c>
    </row>
    <row r="31743">
      <c r="A31743" s="1" t="n">
        <v>31742</v>
      </c>
      <c r="B31743">
        <f>TEXT(31742, "[$-0E0000]yyyy-mm-dd")</f>
        <v/>
      </c>
      <c r="C31743" t="inlineStr">
        <is>
          <t>1986-10-26</t>
        </is>
      </c>
    </row>
    <row r="31744">
      <c r="A31744" s="1" t="n">
        <v>31743</v>
      </c>
      <c r="B31744">
        <f>TEXT(31743, "[$-0E0000]yyyy-mm-dd")</f>
        <v/>
      </c>
      <c r="C31744" t="inlineStr">
        <is>
          <t>1986-10-27</t>
        </is>
      </c>
    </row>
    <row r="31745">
      <c r="A31745" s="1" t="n">
        <v>31744</v>
      </c>
      <c r="B31745">
        <f>TEXT(31744, "[$-0E0000]yyyy-mm-dd")</f>
        <v/>
      </c>
      <c r="C31745" t="inlineStr">
        <is>
          <t>1986-10-28</t>
        </is>
      </c>
    </row>
    <row r="31746">
      <c r="A31746" s="1" t="n">
        <v>31745</v>
      </c>
      <c r="B31746">
        <f>TEXT(31745, "[$-0E0000]yyyy-mm-dd")</f>
        <v/>
      </c>
      <c r="C31746" t="inlineStr">
        <is>
          <t>1986-10-29</t>
        </is>
      </c>
    </row>
    <row r="31747">
      <c r="A31747" s="1" t="n">
        <v>31746</v>
      </c>
      <c r="B31747">
        <f>TEXT(31746, "[$-0E0000]yyyy-mm-dd")</f>
        <v/>
      </c>
      <c r="C31747" t="inlineStr">
        <is>
          <t>1986-10-30</t>
        </is>
      </c>
    </row>
    <row r="31748">
      <c r="A31748" s="1" t="n">
        <v>31747</v>
      </c>
      <c r="B31748">
        <f>TEXT(31747, "[$-0E0000]yyyy-mm-dd")</f>
        <v/>
      </c>
      <c r="C31748" t="inlineStr">
        <is>
          <t>1986-11-01</t>
        </is>
      </c>
    </row>
    <row r="31749">
      <c r="A31749" s="1" t="n">
        <v>31748</v>
      </c>
      <c r="B31749">
        <f>TEXT(31748, "[$-0E0000]yyyy-mm-dd")</f>
        <v/>
      </c>
      <c r="C31749" t="inlineStr">
        <is>
          <t>1986-11-02</t>
        </is>
      </c>
    </row>
    <row r="31750">
      <c r="A31750" s="1" t="n">
        <v>31749</v>
      </c>
      <c r="B31750">
        <f>TEXT(31749, "[$-0E0000]yyyy-mm-dd")</f>
        <v/>
      </c>
      <c r="C31750" t="inlineStr">
        <is>
          <t>1986-11-03</t>
        </is>
      </c>
    </row>
    <row r="31751">
      <c r="A31751" s="1" t="n">
        <v>31750</v>
      </c>
      <c r="B31751">
        <f>TEXT(31750, "[$-0E0000]yyyy-mm-dd")</f>
        <v/>
      </c>
      <c r="C31751" t="inlineStr">
        <is>
          <t>1986-11-04</t>
        </is>
      </c>
    </row>
    <row r="31752">
      <c r="A31752" s="1" t="n">
        <v>31751</v>
      </c>
      <c r="B31752">
        <f>TEXT(31751, "[$-0E0000]yyyy-mm-dd")</f>
        <v/>
      </c>
      <c r="C31752" t="inlineStr">
        <is>
          <t>1986-11-05</t>
        </is>
      </c>
    </row>
    <row r="31753">
      <c r="A31753" s="1" t="n">
        <v>31752</v>
      </c>
      <c r="B31753">
        <f>TEXT(31752, "[$-0E0000]yyyy-mm-dd")</f>
        <v/>
      </c>
      <c r="C31753" t="inlineStr">
        <is>
          <t>1986-11-06</t>
        </is>
      </c>
    </row>
    <row r="31754">
      <c r="A31754" s="1" t="n">
        <v>31753</v>
      </c>
      <c r="B31754">
        <f>TEXT(31753, "[$-0E0000]yyyy-mm-dd")</f>
        <v/>
      </c>
      <c r="C31754" t="inlineStr">
        <is>
          <t>1986-11-07</t>
        </is>
      </c>
    </row>
    <row r="31755">
      <c r="A31755" s="1" t="n">
        <v>31754</v>
      </c>
      <c r="B31755">
        <f>TEXT(31754, "[$-0E0000]yyyy-mm-dd")</f>
        <v/>
      </c>
      <c r="C31755" t="inlineStr">
        <is>
          <t>1986-11-08</t>
        </is>
      </c>
    </row>
    <row r="31756">
      <c r="A31756" s="1" t="n">
        <v>31755</v>
      </c>
      <c r="B31756">
        <f>TEXT(31755, "[$-0E0000]yyyy-mm-dd")</f>
        <v/>
      </c>
      <c r="C31756" t="inlineStr">
        <is>
          <t>1986-11-09</t>
        </is>
      </c>
    </row>
    <row r="31757">
      <c r="A31757" s="1" t="n">
        <v>31756</v>
      </c>
      <c r="B31757">
        <f>TEXT(31756, "[$-0E0000]yyyy-mm-dd")</f>
        <v/>
      </c>
      <c r="C31757" t="inlineStr">
        <is>
          <t>1986-11-10</t>
        </is>
      </c>
    </row>
    <row r="31758">
      <c r="A31758" s="1" t="n">
        <v>31757</v>
      </c>
      <c r="B31758">
        <f>TEXT(31757, "[$-0E0000]yyyy-mm-dd")</f>
        <v/>
      </c>
      <c r="C31758" t="inlineStr">
        <is>
          <t>1986-11-11</t>
        </is>
      </c>
    </row>
    <row r="31759">
      <c r="A31759" s="1" t="n">
        <v>31758</v>
      </c>
      <c r="B31759">
        <f>TEXT(31758, "[$-0E0000]yyyy-mm-dd")</f>
        <v/>
      </c>
      <c r="C31759" t="inlineStr">
        <is>
          <t>1986-11-12</t>
        </is>
      </c>
    </row>
    <row r="31760">
      <c r="A31760" s="1" t="n">
        <v>31759</v>
      </c>
      <c r="B31760">
        <f>TEXT(31759, "[$-0E0000]yyyy-mm-dd")</f>
        <v/>
      </c>
      <c r="C31760" t="inlineStr">
        <is>
          <t>1986-11-13</t>
        </is>
      </c>
    </row>
    <row r="31761">
      <c r="A31761" s="1" t="n">
        <v>31760</v>
      </c>
      <c r="B31761">
        <f>TEXT(31760, "[$-0E0000]yyyy-mm-dd")</f>
        <v/>
      </c>
      <c r="C31761" t="inlineStr">
        <is>
          <t>1986-11-14</t>
        </is>
      </c>
    </row>
    <row r="31762">
      <c r="A31762" s="1" t="n">
        <v>31761</v>
      </c>
      <c r="B31762">
        <f>TEXT(31761, "[$-0E0000]yyyy-mm-dd")</f>
        <v/>
      </c>
      <c r="C31762" t="inlineStr">
        <is>
          <t>1986-11-15</t>
        </is>
      </c>
    </row>
    <row r="31763">
      <c r="A31763" s="1" t="n">
        <v>31762</v>
      </c>
      <c r="B31763">
        <f>TEXT(31762, "[$-0E0000]yyyy-mm-dd")</f>
        <v/>
      </c>
      <c r="C31763" t="inlineStr">
        <is>
          <t>1986-11-16</t>
        </is>
      </c>
    </row>
    <row r="31764">
      <c r="A31764" s="1" t="n">
        <v>31763</v>
      </c>
      <c r="B31764">
        <f>TEXT(31763, "[$-0E0000]yyyy-mm-dd")</f>
        <v/>
      </c>
      <c r="C31764" t="inlineStr">
        <is>
          <t>1986-11-17</t>
        </is>
      </c>
    </row>
    <row r="31765">
      <c r="A31765" s="1" t="n">
        <v>31764</v>
      </c>
      <c r="B31765">
        <f>TEXT(31764, "[$-0E0000]yyyy-mm-dd")</f>
        <v/>
      </c>
      <c r="C31765" t="inlineStr">
        <is>
          <t>1986-11-18</t>
        </is>
      </c>
    </row>
    <row r="31766">
      <c r="A31766" s="1" t="n">
        <v>31765</v>
      </c>
      <c r="B31766">
        <f>TEXT(31765, "[$-0E0000]yyyy-mm-dd")</f>
        <v/>
      </c>
      <c r="C31766" t="inlineStr">
        <is>
          <t>1986-11-19</t>
        </is>
      </c>
    </row>
    <row r="31767">
      <c r="A31767" s="1" t="n">
        <v>31766</v>
      </c>
      <c r="B31767">
        <f>TEXT(31766, "[$-0E0000]yyyy-mm-dd")</f>
        <v/>
      </c>
      <c r="C31767" t="inlineStr">
        <is>
          <t>1986-11-20</t>
        </is>
      </c>
    </row>
    <row r="31768">
      <c r="A31768" s="1" t="n">
        <v>31767</v>
      </c>
      <c r="B31768">
        <f>TEXT(31767, "[$-0E0000]yyyy-mm-dd")</f>
        <v/>
      </c>
      <c r="C31768" t="inlineStr">
        <is>
          <t>1986-11-21</t>
        </is>
      </c>
    </row>
    <row r="31769">
      <c r="A31769" s="1" t="n">
        <v>31768</v>
      </c>
      <c r="B31769">
        <f>TEXT(31768, "[$-0E0000]yyyy-mm-dd")</f>
        <v/>
      </c>
      <c r="C31769" t="inlineStr">
        <is>
          <t>1986-11-22</t>
        </is>
      </c>
    </row>
    <row r="31770">
      <c r="A31770" s="1" t="n">
        <v>31769</v>
      </c>
      <c r="B31770">
        <f>TEXT(31769, "[$-0E0000]yyyy-mm-dd")</f>
        <v/>
      </c>
      <c r="C31770" t="inlineStr">
        <is>
          <t>1986-11-23</t>
        </is>
      </c>
    </row>
    <row r="31771">
      <c r="A31771" s="1" t="n">
        <v>31770</v>
      </c>
      <c r="B31771">
        <f>TEXT(31770, "[$-0E0000]yyyy-mm-dd")</f>
        <v/>
      </c>
      <c r="C31771" t="inlineStr">
        <is>
          <t>1986-11-24</t>
        </is>
      </c>
    </row>
    <row r="31772">
      <c r="A31772" s="1" t="n">
        <v>31771</v>
      </c>
      <c r="B31772">
        <f>TEXT(31771, "[$-0E0000]yyyy-mm-dd")</f>
        <v/>
      </c>
      <c r="C31772" t="inlineStr">
        <is>
          <t>1986-11-25</t>
        </is>
      </c>
    </row>
    <row r="31773">
      <c r="A31773" s="1" t="n">
        <v>31772</v>
      </c>
      <c r="B31773">
        <f>TEXT(31772, "[$-0E0000]yyyy-mm-dd")</f>
        <v/>
      </c>
      <c r="C31773" t="inlineStr">
        <is>
          <t>1986-11-26</t>
        </is>
      </c>
    </row>
    <row r="31774">
      <c r="A31774" s="1" t="n">
        <v>31773</v>
      </c>
      <c r="B31774">
        <f>TEXT(31773, "[$-0E0000]yyyy-mm-dd")</f>
        <v/>
      </c>
      <c r="C31774" t="inlineStr">
        <is>
          <t>1986-11-27</t>
        </is>
      </c>
    </row>
    <row r="31775">
      <c r="A31775" s="1" t="n">
        <v>31774</v>
      </c>
      <c r="B31775">
        <f>TEXT(31774, "[$-0E0000]yyyy-mm-dd")</f>
        <v/>
      </c>
      <c r="C31775" t="inlineStr">
        <is>
          <t>1986-11-28</t>
        </is>
      </c>
    </row>
    <row r="31776">
      <c r="A31776" s="1" t="n">
        <v>31775</v>
      </c>
      <c r="B31776">
        <f>TEXT(31775, "[$-0E0000]yyyy-mm-dd")</f>
        <v/>
      </c>
      <c r="C31776" t="inlineStr">
        <is>
          <t>1986-11-29</t>
        </is>
      </c>
    </row>
    <row r="31777">
      <c r="A31777" s="1" t="n">
        <v>31776</v>
      </c>
      <c r="B31777">
        <f>TEXT(31776, "[$-0E0000]yyyy-mm-dd")</f>
        <v/>
      </c>
      <c r="C31777" t="inlineStr">
        <is>
          <t>1986-12-01</t>
        </is>
      </c>
    </row>
    <row r="31778">
      <c r="A31778" s="1" t="n">
        <v>31777</v>
      </c>
      <c r="B31778">
        <f>TEXT(31777, "[$-0E0000]yyyy-mm-dd")</f>
        <v/>
      </c>
      <c r="C31778" t="inlineStr">
        <is>
          <t>1986-12-02</t>
        </is>
      </c>
    </row>
    <row r="31779">
      <c r="A31779" s="1" t="n">
        <v>31778</v>
      </c>
      <c r="B31779">
        <f>TEXT(31778, "[$-0E0000]yyyy-mm-dd")</f>
        <v/>
      </c>
      <c r="C31779" t="inlineStr">
        <is>
          <t>1986-12-03</t>
        </is>
      </c>
    </row>
    <row r="31780">
      <c r="A31780" s="1" t="n">
        <v>31779</v>
      </c>
      <c r="B31780">
        <f>TEXT(31779, "[$-0E0000]yyyy-mm-dd")</f>
        <v/>
      </c>
      <c r="C31780" t="inlineStr">
        <is>
          <t>1986-12-04</t>
        </is>
      </c>
    </row>
    <row r="31781">
      <c r="A31781" s="1" t="n">
        <v>31780</v>
      </c>
      <c r="B31781">
        <f>TEXT(31780, "[$-0E0000]yyyy-mm-dd")</f>
        <v/>
      </c>
      <c r="C31781" t="inlineStr">
        <is>
          <t>1986-12-05</t>
        </is>
      </c>
    </row>
    <row r="31782">
      <c r="A31782" s="1" t="n">
        <v>31781</v>
      </c>
      <c r="B31782">
        <f>TEXT(31781, "[$-0E0000]yyyy-mm-dd")</f>
        <v/>
      </c>
      <c r="C31782" t="inlineStr">
        <is>
          <t>1986-12-06</t>
        </is>
      </c>
    </row>
    <row r="31783">
      <c r="A31783" s="1" t="n">
        <v>31782</v>
      </c>
      <c r="B31783">
        <f>TEXT(31782, "[$-0E0000]yyyy-mm-dd")</f>
        <v/>
      </c>
      <c r="C31783" t="inlineStr">
        <is>
          <t>1986-12-07</t>
        </is>
      </c>
    </row>
    <row r="31784">
      <c r="A31784" s="1" t="n">
        <v>31783</v>
      </c>
      <c r="B31784">
        <f>TEXT(31783, "[$-0E0000]yyyy-mm-dd")</f>
        <v/>
      </c>
      <c r="C31784" t="inlineStr">
        <is>
          <t>1986-12-08</t>
        </is>
      </c>
    </row>
    <row r="31785">
      <c r="A31785" s="1" t="n">
        <v>31784</v>
      </c>
      <c r="B31785">
        <f>TEXT(31784, "[$-0E0000]yyyy-mm-dd")</f>
        <v/>
      </c>
      <c r="C31785" t="inlineStr">
        <is>
          <t>1986-12-09</t>
        </is>
      </c>
    </row>
    <row r="31786">
      <c r="A31786" s="1" t="n">
        <v>31785</v>
      </c>
      <c r="B31786">
        <f>TEXT(31785, "[$-0E0000]yyyy-mm-dd")</f>
        <v/>
      </c>
      <c r="C31786" t="inlineStr">
        <is>
          <t>1986-12-10</t>
        </is>
      </c>
    </row>
    <row r="31787">
      <c r="A31787" s="1" t="n">
        <v>31786</v>
      </c>
      <c r="B31787">
        <f>TEXT(31786, "[$-0E0000]yyyy-mm-dd")</f>
        <v/>
      </c>
      <c r="C31787" t="inlineStr">
        <is>
          <t>1986-12-11</t>
        </is>
      </c>
    </row>
    <row r="31788">
      <c r="A31788" s="1" t="n">
        <v>31787</v>
      </c>
      <c r="B31788">
        <f>TEXT(31787, "[$-0E0000]yyyy-mm-dd")</f>
        <v/>
      </c>
      <c r="C31788" t="inlineStr">
        <is>
          <t>1986-12-12</t>
        </is>
      </c>
    </row>
    <row r="31789">
      <c r="A31789" s="1" t="n">
        <v>31788</v>
      </c>
      <c r="B31789">
        <f>TEXT(31788, "[$-0E0000]yyyy-mm-dd")</f>
        <v/>
      </c>
      <c r="C31789" t="inlineStr">
        <is>
          <t>1986-12-13</t>
        </is>
      </c>
    </row>
    <row r="31790">
      <c r="A31790" s="1" t="n">
        <v>31789</v>
      </c>
      <c r="B31790">
        <f>TEXT(31789, "[$-0E0000]yyyy-mm-dd")</f>
        <v/>
      </c>
      <c r="C31790" t="inlineStr">
        <is>
          <t>1986-12-14</t>
        </is>
      </c>
    </row>
    <row r="31791">
      <c r="A31791" s="1" t="n">
        <v>31790</v>
      </c>
      <c r="B31791">
        <f>TEXT(31790, "[$-0E0000]yyyy-mm-dd")</f>
        <v/>
      </c>
      <c r="C31791" t="inlineStr">
        <is>
          <t>1986-12-15</t>
        </is>
      </c>
    </row>
    <row r="31792">
      <c r="A31792" s="1" t="n">
        <v>31791</v>
      </c>
      <c r="B31792">
        <f>TEXT(31791, "[$-0E0000]yyyy-mm-dd")</f>
        <v/>
      </c>
      <c r="C31792" t="inlineStr">
        <is>
          <t>1986-12-16</t>
        </is>
      </c>
    </row>
    <row r="31793">
      <c r="A31793" s="1" t="n">
        <v>31792</v>
      </c>
      <c r="B31793">
        <f>TEXT(31792, "[$-0E0000]yyyy-mm-dd")</f>
        <v/>
      </c>
      <c r="C31793" t="inlineStr">
        <is>
          <t>1986-12-17</t>
        </is>
      </c>
    </row>
    <row r="31794">
      <c r="A31794" s="1" t="n">
        <v>31793</v>
      </c>
      <c r="B31794">
        <f>TEXT(31793, "[$-0E0000]yyyy-mm-dd")</f>
        <v/>
      </c>
      <c r="C31794" t="inlineStr">
        <is>
          <t>1986-12-18</t>
        </is>
      </c>
    </row>
    <row r="31795">
      <c r="A31795" s="1" t="n">
        <v>31794</v>
      </c>
      <c r="B31795">
        <f>TEXT(31794, "[$-0E0000]yyyy-mm-dd")</f>
        <v/>
      </c>
      <c r="C31795" t="inlineStr">
        <is>
          <t>1986-12-19</t>
        </is>
      </c>
    </row>
    <row r="31796">
      <c r="A31796" s="1" t="n">
        <v>31795</v>
      </c>
      <c r="B31796">
        <f>TEXT(31795, "[$-0E0000]yyyy-mm-dd")</f>
        <v/>
      </c>
      <c r="C31796" t="inlineStr">
        <is>
          <t>1986-12-20</t>
        </is>
      </c>
    </row>
    <row r="31797">
      <c r="A31797" s="1" t="n">
        <v>31796</v>
      </c>
      <c r="B31797">
        <f>TEXT(31796, "[$-0E0000]yyyy-mm-dd")</f>
        <v/>
      </c>
      <c r="C31797" t="inlineStr">
        <is>
          <t>1986-12-21</t>
        </is>
      </c>
    </row>
    <row r="31798">
      <c r="A31798" s="1" t="n">
        <v>31797</v>
      </c>
      <c r="B31798">
        <f>TEXT(31797, "[$-0E0000]yyyy-mm-dd")</f>
        <v/>
      </c>
      <c r="C31798" t="inlineStr">
        <is>
          <t>1986-12-22</t>
        </is>
      </c>
    </row>
    <row r="31799">
      <c r="A31799" s="1" t="n">
        <v>31798</v>
      </c>
      <c r="B31799">
        <f>TEXT(31798, "[$-0E0000]yyyy-mm-dd")</f>
        <v/>
      </c>
      <c r="C31799" t="inlineStr">
        <is>
          <t>1986-12-23</t>
        </is>
      </c>
    </row>
    <row r="31800">
      <c r="A31800" s="1" t="n">
        <v>31799</v>
      </c>
      <c r="B31800">
        <f>TEXT(31799, "[$-0E0000]yyyy-mm-dd")</f>
        <v/>
      </c>
      <c r="C31800" t="inlineStr">
        <is>
          <t>1986-12-24</t>
        </is>
      </c>
    </row>
    <row r="31801">
      <c r="A31801" s="1" t="n">
        <v>31800</v>
      </c>
      <c r="B31801">
        <f>TEXT(31800, "[$-0E0000]yyyy-mm-dd")</f>
        <v/>
      </c>
      <c r="C31801" t="inlineStr">
        <is>
          <t>1986-12-25</t>
        </is>
      </c>
    </row>
    <row r="31802">
      <c r="A31802" s="1" t="n">
        <v>31801</v>
      </c>
      <c r="B31802">
        <f>TEXT(31801, "[$-0E0000]yyyy-mm-dd")</f>
        <v/>
      </c>
      <c r="C31802" t="inlineStr">
        <is>
          <t>1986-12-26</t>
        </is>
      </c>
    </row>
    <row r="31803">
      <c r="A31803" s="1" t="n">
        <v>31802</v>
      </c>
      <c r="B31803">
        <f>TEXT(31802, "[$-0E0000]yyyy-mm-dd")</f>
        <v/>
      </c>
      <c r="C31803" t="inlineStr">
        <is>
          <t>1986-12-27</t>
        </is>
      </c>
    </row>
    <row r="31804">
      <c r="A31804" s="1" t="n">
        <v>31803</v>
      </c>
      <c r="B31804">
        <f>TEXT(31803, "[$-0E0000]yyyy-mm-dd")</f>
        <v/>
      </c>
      <c r="C31804" t="inlineStr">
        <is>
          <t>1986-12-28</t>
        </is>
      </c>
    </row>
    <row r="31805">
      <c r="A31805" s="1" t="n">
        <v>31804</v>
      </c>
      <c r="B31805">
        <f>TEXT(31804, "[$-0E0000]yyyy-mm-dd")</f>
        <v/>
      </c>
      <c r="C31805" t="inlineStr">
        <is>
          <t>1986-12-29</t>
        </is>
      </c>
    </row>
    <row r="31806">
      <c r="A31806" s="1" t="n">
        <v>31805</v>
      </c>
      <c r="B31806">
        <f>TEXT(31805, "[$-0E0000]yyyy-mm-dd")</f>
        <v/>
      </c>
      <c r="C31806" t="inlineStr">
        <is>
          <t>1987-01-01</t>
        </is>
      </c>
    </row>
    <row r="31807">
      <c r="A31807" s="1" t="n">
        <v>31806</v>
      </c>
      <c r="B31807">
        <f>TEXT(31806, "[$-0E0000]yyyy-mm-dd")</f>
        <v/>
      </c>
      <c r="C31807" t="inlineStr">
        <is>
          <t>1987-01-02</t>
        </is>
      </c>
    </row>
    <row r="31808">
      <c r="A31808" s="1" t="n">
        <v>31807</v>
      </c>
      <c r="B31808">
        <f>TEXT(31807, "[$-0E0000]yyyy-mm-dd")</f>
        <v/>
      </c>
      <c r="C31808" t="inlineStr">
        <is>
          <t>1987-01-03</t>
        </is>
      </c>
    </row>
    <row r="31809">
      <c r="A31809" s="1" t="n">
        <v>31808</v>
      </c>
      <c r="B31809">
        <f>TEXT(31808, "[$-0E0000]yyyy-mm-dd")</f>
        <v/>
      </c>
      <c r="C31809" t="inlineStr">
        <is>
          <t>1987-01-04</t>
        </is>
      </c>
    </row>
    <row r="31810">
      <c r="A31810" s="1" t="n">
        <v>31809</v>
      </c>
      <c r="B31810">
        <f>TEXT(31809, "[$-0E0000]yyyy-mm-dd")</f>
        <v/>
      </c>
      <c r="C31810" t="inlineStr">
        <is>
          <t>1987-01-05</t>
        </is>
      </c>
    </row>
    <row r="31811">
      <c r="A31811" s="1" t="n">
        <v>31810</v>
      </c>
      <c r="B31811">
        <f>TEXT(31810, "[$-0E0000]yyyy-mm-dd")</f>
        <v/>
      </c>
      <c r="C31811" t="inlineStr">
        <is>
          <t>1987-01-06</t>
        </is>
      </c>
    </row>
    <row r="31812">
      <c r="A31812" s="1" t="n">
        <v>31811</v>
      </c>
      <c r="B31812">
        <f>TEXT(31811, "[$-0E0000]yyyy-mm-dd")</f>
        <v/>
      </c>
      <c r="C31812" t="inlineStr">
        <is>
          <t>1987-01-07</t>
        </is>
      </c>
    </row>
    <row r="31813">
      <c r="A31813" s="1" t="n">
        <v>31812</v>
      </c>
      <c r="B31813">
        <f>TEXT(31812, "[$-0E0000]yyyy-mm-dd")</f>
        <v/>
      </c>
      <c r="C31813" t="inlineStr">
        <is>
          <t>1987-01-08</t>
        </is>
      </c>
    </row>
    <row r="31814">
      <c r="A31814" s="1" t="n">
        <v>31813</v>
      </c>
      <c r="B31814">
        <f>TEXT(31813, "[$-0E0000]yyyy-mm-dd")</f>
        <v/>
      </c>
      <c r="C31814" t="inlineStr">
        <is>
          <t>1987-01-09</t>
        </is>
      </c>
    </row>
    <row r="31815">
      <c r="A31815" s="1" t="n">
        <v>31814</v>
      </c>
      <c r="B31815">
        <f>TEXT(31814, "[$-0E0000]yyyy-mm-dd")</f>
        <v/>
      </c>
      <c r="C31815" t="inlineStr">
        <is>
          <t>1987-01-10</t>
        </is>
      </c>
    </row>
    <row r="31816">
      <c r="A31816" s="1" t="n">
        <v>31815</v>
      </c>
      <c r="B31816">
        <f>TEXT(31815, "[$-0E0000]yyyy-mm-dd")</f>
        <v/>
      </c>
      <c r="C31816" t="inlineStr">
        <is>
          <t>1987-01-11</t>
        </is>
      </c>
    </row>
    <row r="31817">
      <c r="A31817" s="1" t="n">
        <v>31816</v>
      </c>
      <c r="B31817">
        <f>TEXT(31816, "[$-0E0000]yyyy-mm-dd")</f>
        <v/>
      </c>
      <c r="C31817" t="inlineStr">
        <is>
          <t>1987-01-12</t>
        </is>
      </c>
    </row>
    <row r="31818">
      <c r="A31818" s="1" t="n">
        <v>31817</v>
      </c>
      <c r="B31818">
        <f>TEXT(31817, "[$-0E0000]yyyy-mm-dd")</f>
        <v/>
      </c>
      <c r="C31818" t="inlineStr">
        <is>
          <t>1987-01-13</t>
        </is>
      </c>
    </row>
    <row r="31819">
      <c r="A31819" s="1" t="n">
        <v>31818</v>
      </c>
      <c r="B31819">
        <f>TEXT(31818, "[$-0E0000]yyyy-mm-dd")</f>
        <v/>
      </c>
      <c r="C31819" t="inlineStr">
        <is>
          <t>1987-01-14</t>
        </is>
      </c>
    </row>
    <row r="31820">
      <c r="A31820" s="1" t="n">
        <v>31819</v>
      </c>
      <c r="B31820">
        <f>TEXT(31819, "[$-0E0000]yyyy-mm-dd")</f>
        <v/>
      </c>
      <c r="C31820" t="inlineStr">
        <is>
          <t>1987-01-15</t>
        </is>
      </c>
    </row>
    <row r="31821">
      <c r="A31821" s="1" t="n">
        <v>31820</v>
      </c>
      <c r="B31821">
        <f>TEXT(31820, "[$-0E0000]yyyy-mm-dd")</f>
        <v/>
      </c>
      <c r="C31821" t="inlineStr">
        <is>
          <t>1987-01-16</t>
        </is>
      </c>
    </row>
    <row r="31822">
      <c r="A31822" s="1" t="n">
        <v>31821</v>
      </c>
      <c r="B31822">
        <f>TEXT(31821, "[$-0E0000]yyyy-mm-dd")</f>
        <v/>
      </c>
      <c r="C31822" t="inlineStr">
        <is>
          <t>1987-01-17</t>
        </is>
      </c>
    </row>
    <row r="31823">
      <c r="A31823" s="1" t="n">
        <v>31822</v>
      </c>
      <c r="B31823">
        <f>TEXT(31822, "[$-0E0000]yyyy-mm-dd")</f>
        <v/>
      </c>
      <c r="C31823" t="inlineStr">
        <is>
          <t>1987-01-18</t>
        </is>
      </c>
    </row>
    <row r="31824">
      <c r="A31824" s="1" t="n">
        <v>31823</v>
      </c>
      <c r="B31824">
        <f>TEXT(31823, "[$-0E0000]yyyy-mm-dd")</f>
        <v/>
      </c>
      <c r="C31824" t="inlineStr">
        <is>
          <t>1987-01-19</t>
        </is>
      </c>
    </row>
    <row r="31825">
      <c r="A31825" s="1" t="n">
        <v>31824</v>
      </c>
      <c r="B31825">
        <f>TEXT(31824, "[$-0E0000]yyyy-mm-dd")</f>
        <v/>
      </c>
      <c r="C31825" t="inlineStr">
        <is>
          <t>1987-01-20</t>
        </is>
      </c>
    </row>
    <row r="31826">
      <c r="A31826" s="1" t="n">
        <v>31825</v>
      </c>
      <c r="B31826">
        <f>TEXT(31825, "[$-0E0000]yyyy-mm-dd")</f>
        <v/>
      </c>
      <c r="C31826" t="inlineStr">
        <is>
          <t>1987-01-21</t>
        </is>
      </c>
    </row>
    <row r="31827">
      <c r="A31827" s="1" t="n">
        <v>31826</v>
      </c>
      <c r="B31827">
        <f>TEXT(31826, "[$-0E0000]yyyy-mm-dd")</f>
        <v/>
      </c>
      <c r="C31827" t="inlineStr">
        <is>
          <t>1987-01-22</t>
        </is>
      </c>
    </row>
    <row r="31828">
      <c r="A31828" s="1" t="n">
        <v>31827</v>
      </c>
      <c r="B31828">
        <f>TEXT(31827, "[$-0E0000]yyyy-mm-dd")</f>
        <v/>
      </c>
      <c r="C31828" t="inlineStr">
        <is>
          <t>1987-01-23</t>
        </is>
      </c>
    </row>
    <row r="31829">
      <c r="A31829" s="1" t="n">
        <v>31828</v>
      </c>
      <c r="B31829">
        <f>TEXT(31828, "[$-0E0000]yyyy-mm-dd")</f>
        <v/>
      </c>
      <c r="C31829" t="inlineStr">
        <is>
          <t>1987-01-24</t>
        </is>
      </c>
    </row>
    <row r="31830">
      <c r="A31830" s="1" t="n">
        <v>31829</v>
      </c>
      <c r="B31830">
        <f>TEXT(31829, "[$-0E0000]yyyy-mm-dd")</f>
        <v/>
      </c>
      <c r="C31830" t="inlineStr">
        <is>
          <t>1987-01-25</t>
        </is>
      </c>
    </row>
    <row r="31831">
      <c r="A31831" s="1" t="n">
        <v>31830</v>
      </c>
      <c r="B31831">
        <f>TEXT(31830, "[$-0E0000]yyyy-mm-dd")</f>
        <v/>
      </c>
      <c r="C31831" t="inlineStr">
        <is>
          <t>1987-01-26</t>
        </is>
      </c>
    </row>
    <row r="31832">
      <c r="A31832" s="1" t="n">
        <v>31831</v>
      </c>
      <c r="B31832">
        <f>TEXT(31831, "[$-0E0000]yyyy-mm-dd")</f>
        <v/>
      </c>
      <c r="C31832" t="inlineStr">
        <is>
          <t>1987-01-27</t>
        </is>
      </c>
    </row>
    <row r="31833">
      <c r="A31833" s="1" t="n">
        <v>31832</v>
      </c>
      <c r="B31833">
        <f>TEXT(31832, "[$-0E0000]yyyy-mm-dd")</f>
        <v/>
      </c>
      <c r="C31833" t="inlineStr">
        <is>
          <t>1987-01-28</t>
        </is>
      </c>
    </row>
    <row r="31834">
      <c r="A31834" s="1" t="n">
        <v>31833</v>
      </c>
      <c r="B31834">
        <f>TEXT(31833, "[$-0E0000]yyyy-mm-dd")</f>
        <v/>
      </c>
      <c r="C31834" t="inlineStr">
        <is>
          <t>1987-01-29</t>
        </is>
      </c>
    </row>
    <row r="31835">
      <c r="A31835" s="1" t="n">
        <v>31834</v>
      </c>
      <c r="B31835">
        <f>TEXT(31834, "[$-0E0000]yyyy-mm-dd")</f>
        <v/>
      </c>
      <c r="C31835" t="inlineStr">
        <is>
          <t>1987-01-30</t>
        </is>
      </c>
    </row>
    <row r="31836">
      <c r="A31836" s="1" t="n">
        <v>31835</v>
      </c>
      <c r="B31836">
        <f>TEXT(31835, "[$-0E0000]yyyy-mm-dd")</f>
        <v/>
      </c>
      <c r="C31836" t="inlineStr">
        <is>
          <t>1987-02-01</t>
        </is>
      </c>
    </row>
    <row r="31837">
      <c r="A31837" s="1" t="n">
        <v>31836</v>
      </c>
      <c r="B31837">
        <f>TEXT(31836, "[$-0E0000]yyyy-mm-dd")</f>
        <v/>
      </c>
      <c r="C31837" t="inlineStr">
        <is>
          <t>1987-02-02</t>
        </is>
      </c>
    </row>
    <row r="31838">
      <c r="A31838" s="1" t="n">
        <v>31837</v>
      </c>
      <c r="B31838">
        <f>TEXT(31837, "[$-0E0000]yyyy-mm-dd")</f>
        <v/>
      </c>
      <c r="C31838" t="inlineStr">
        <is>
          <t>1987-02-03</t>
        </is>
      </c>
    </row>
    <row r="31839">
      <c r="A31839" s="1" t="n">
        <v>31838</v>
      </c>
      <c r="B31839">
        <f>TEXT(31838, "[$-0E0000]yyyy-mm-dd")</f>
        <v/>
      </c>
      <c r="C31839" t="inlineStr">
        <is>
          <t>1987-02-04</t>
        </is>
      </c>
    </row>
    <row r="31840">
      <c r="A31840" s="1" t="n">
        <v>31839</v>
      </c>
      <c r="B31840">
        <f>TEXT(31839, "[$-0E0000]yyyy-mm-dd")</f>
        <v/>
      </c>
      <c r="C31840" t="inlineStr">
        <is>
          <t>1987-02-05</t>
        </is>
      </c>
    </row>
    <row r="31841">
      <c r="A31841" s="1" t="n">
        <v>31840</v>
      </c>
      <c r="B31841">
        <f>TEXT(31840, "[$-0E0000]yyyy-mm-dd")</f>
        <v/>
      </c>
      <c r="C31841" t="inlineStr">
        <is>
          <t>1987-02-06</t>
        </is>
      </c>
    </row>
    <row r="31842">
      <c r="A31842" s="1" t="n">
        <v>31841</v>
      </c>
      <c r="B31842">
        <f>TEXT(31841, "[$-0E0000]yyyy-mm-dd")</f>
        <v/>
      </c>
      <c r="C31842" t="inlineStr">
        <is>
          <t>1987-02-07</t>
        </is>
      </c>
    </row>
    <row r="31843">
      <c r="A31843" s="1" t="n">
        <v>31842</v>
      </c>
      <c r="B31843">
        <f>TEXT(31842, "[$-0E0000]yyyy-mm-dd")</f>
        <v/>
      </c>
      <c r="C31843" t="inlineStr">
        <is>
          <t>1987-02-08</t>
        </is>
      </c>
    </row>
    <row r="31844">
      <c r="A31844" s="1" t="n">
        <v>31843</v>
      </c>
      <c r="B31844">
        <f>TEXT(31843, "[$-0E0000]yyyy-mm-dd")</f>
        <v/>
      </c>
      <c r="C31844" t="inlineStr">
        <is>
          <t>1987-02-09</t>
        </is>
      </c>
    </row>
    <row r="31845">
      <c r="A31845" s="1" t="n">
        <v>31844</v>
      </c>
      <c r="B31845">
        <f>TEXT(31844, "[$-0E0000]yyyy-mm-dd")</f>
        <v/>
      </c>
      <c r="C31845" t="inlineStr">
        <is>
          <t>1987-02-10</t>
        </is>
      </c>
    </row>
    <row r="31846">
      <c r="A31846" s="1" t="n">
        <v>31845</v>
      </c>
      <c r="B31846">
        <f>TEXT(31845, "[$-0E0000]yyyy-mm-dd")</f>
        <v/>
      </c>
      <c r="C31846" t="inlineStr">
        <is>
          <t>1987-02-11</t>
        </is>
      </c>
    </row>
    <row r="31847">
      <c r="A31847" s="1" t="n">
        <v>31846</v>
      </c>
      <c r="B31847">
        <f>TEXT(31846, "[$-0E0000]yyyy-mm-dd")</f>
        <v/>
      </c>
      <c r="C31847" t="inlineStr">
        <is>
          <t>1987-02-12</t>
        </is>
      </c>
    </row>
    <row r="31848">
      <c r="A31848" s="1" t="n">
        <v>31847</v>
      </c>
      <c r="B31848">
        <f>TEXT(31847, "[$-0E0000]yyyy-mm-dd")</f>
        <v/>
      </c>
      <c r="C31848" t="inlineStr">
        <is>
          <t>1987-02-13</t>
        </is>
      </c>
    </row>
    <row r="31849">
      <c r="A31849" s="1" t="n">
        <v>31848</v>
      </c>
      <c r="B31849">
        <f>TEXT(31848, "[$-0E0000]yyyy-mm-dd")</f>
        <v/>
      </c>
      <c r="C31849" t="inlineStr">
        <is>
          <t>1987-02-14</t>
        </is>
      </c>
    </row>
    <row r="31850">
      <c r="A31850" s="1" t="n">
        <v>31849</v>
      </c>
      <c r="B31850">
        <f>TEXT(31849, "[$-0E0000]yyyy-mm-dd")</f>
        <v/>
      </c>
      <c r="C31850" t="inlineStr">
        <is>
          <t>1987-02-15</t>
        </is>
      </c>
    </row>
    <row r="31851">
      <c r="A31851" s="1" t="n">
        <v>31850</v>
      </c>
      <c r="B31851">
        <f>TEXT(31850, "[$-0E0000]yyyy-mm-dd")</f>
        <v/>
      </c>
      <c r="C31851" t="inlineStr">
        <is>
          <t>1987-02-16</t>
        </is>
      </c>
    </row>
    <row r="31852">
      <c r="A31852" s="1" t="n">
        <v>31851</v>
      </c>
      <c r="B31852">
        <f>TEXT(31851, "[$-0E0000]yyyy-mm-dd")</f>
        <v/>
      </c>
      <c r="C31852" t="inlineStr">
        <is>
          <t>1987-02-17</t>
        </is>
      </c>
    </row>
    <row r="31853">
      <c r="A31853" s="1" t="n">
        <v>31852</v>
      </c>
      <c r="B31853">
        <f>TEXT(31852, "[$-0E0000]yyyy-mm-dd")</f>
        <v/>
      </c>
      <c r="C31853" t="inlineStr">
        <is>
          <t>1987-02-18</t>
        </is>
      </c>
    </row>
    <row r="31854">
      <c r="A31854" s="1" t="n">
        <v>31853</v>
      </c>
      <c r="B31854">
        <f>TEXT(31853, "[$-0E0000]yyyy-mm-dd")</f>
        <v/>
      </c>
      <c r="C31854" t="inlineStr">
        <is>
          <t>1987-02-19</t>
        </is>
      </c>
    </row>
    <row r="31855">
      <c r="A31855" s="1" t="n">
        <v>31854</v>
      </c>
      <c r="B31855">
        <f>TEXT(31854, "[$-0E0000]yyyy-mm-dd")</f>
        <v/>
      </c>
      <c r="C31855" t="inlineStr">
        <is>
          <t>1987-02-20</t>
        </is>
      </c>
    </row>
    <row r="31856">
      <c r="A31856" s="1" t="n">
        <v>31855</v>
      </c>
      <c r="B31856">
        <f>TEXT(31855, "[$-0E0000]yyyy-mm-dd")</f>
        <v/>
      </c>
      <c r="C31856" t="inlineStr">
        <is>
          <t>1987-02-21</t>
        </is>
      </c>
    </row>
    <row r="31857">
      <c r="A31857" s="1" t="n">
        <v>31856</v>
      </c>
      <c r="B31857">
        <f>TEXT(31856, "[$-0E0000]yyyy-mm-dd")</f>
        <v/>
      </c>
      <c r="C31857" t="inlineStr">
        <is>
          <t>1987-02-22</t>
        </is>
      </c>
    </row>
    <row r="31858">
      <c r="A31858" s="1" t="n">
        <v>31857</v>
      </c>
      <c r="B31858">
        <f>TEXT(31857, "[$-0E0000]yyyy-mm-dd")</f>
        <v/>
      </c>
      <c r="C31858" t="inlineStr">
        <is>
          <t>1987-02-23</t>
        </is>
      </c>
    </row>
    <row r="31859">
      <c r="A31859" s="1" t="n">
        <v>31858</v>
      </c>
      <c r="B31859">
        <f>TEXT(31858, "[$-0E0000]yyyy-mm-dd")</f>
        <v/>
      </c>
      <c r="C31859" t="inlineStr">
        <is>
          <t>1987-02-24</t>
        </is>
      </c>
    </row>
    <row r="31860">
      <c r="A31860" s="1" t="n">
        <v>31859</v>
      </c>
      <c r="B31860">
        <f>TEXT(31859, "[$-0E0000]yyyy-mm-dd")</f>
        <v/>
      </c>
      <c r="C31860" t="inlineStr">
        <is>
          <t>1987-02-25</t>
        </is>
      </c>
    </row>
    <row r="31861">
      <c r="A31861" s="1" t="n">
        <v>31860</v>
      </c>
      <c r="B31861">
        <f>TEXT(31860, "[$-0E0000]yyyy-mm-dd")</f>
        <v/>
      </c>
      <c r="C31861" t="inlineStr">
        <is>
          <t>1987-02-26</t>
        </is>
      </c>
    </row>
    <row r="31862">
      <c r="A31862" s="1" t="n">
        <v>31861</v>
      </c>
      <c r="B31862">
        <f>TEXT(31861, "[$-0E0000]yyyy-mm-dd")</f>
        <v/>
      </c>
      <c r="C31862" t="inlineStr">
        <is>
          <t>1987-02-27</t>
        </is>
      </c>
    </row>
    <row r="31863">
      <c r="A31863" s="1" t="n">
        <v>31862</v>
      </c>
      <c r="B31863">
        <f>TEXT(31862, "[$-0E0000]yyyy-mm-dd")</f>
        <v/>
      </c>
      <c r="C31863" t="inlineStr">
        <is>
          <t>1987-02-28</t>
        </is>
      </c>
    </row>
    <row r="31864">
      <c r="A31864" s="1" t="n">
        <v>31863</v>
      </c>
      <c r="B31864">
        <f>TEXT(31863, "[$-0E0000]yyyy-mm-dd")</f>
        <v/>
      </c>
      <c r="C31864" t="inlineStr">
        <is>
          <t>1987-02-29</t>
        </is>
      </c>
    </row>
    <row r="31865">
      <c r="A31865" s="1" t="n">
        <v>31864</v>
      </c>
      <c r="B31865">
        <f>TEXT(31864, "[$-0E0000]yyyy-mm-dd")</f>
        <v/>
      </c>
      <c r="C31865" t="inlineStr">
        <is>
          <t>1987-03-01</t>
        </is>
      </c>
    </row>
    <row r="31866">
      <c r="A31866" s="1" t="n">
        <v>31865</v>
      </c>
      <c r="B31866">
        <f>TEXT(31865, "[$-0E0000]yyyy-mm-dd")</f>
        <v/>
      </c>
      <c r="C31866" t="inlineStr">
        <is>
          <t>1987-03-02</t>
        </is>
      </c>
    </row>
    <row r="31867">
      <c r="A31867" s="1" t="n">
        <v>31866</v>
      </c>
      <c r="B31867">
        <f>TEXT(31866, "[$-0E0000]yyyy-mm-dd")</f>
        <v/>
      </c>
      <c r="C31867" t="inlineStr">
        <is>
          <t>1987-03-03</t>
        </is>
      </c>
    </row>
    <row r="31868">
      <c r="A31868" s="1" t="n">
        <v>31867</v>
      </c>
      <c r="B31868">
        <f>TEXT(31867, "[$-0E0000]yyyy-mm-dd")</f>
        <v/>
      </c>
      <c r="C31868" t="inlineStr">
        <is>
          <t>1987-03-04</t>
        </is>
      </c>
    </row>
    <row r="31869">
      <c r="A31869" s="1" t="n">
        <v>31868</v>
      </c>
      <c r="B31869">
        <f>TEXT(31868, "[$-0E0000]yyyy-mm-dd")</f>
        <v/>
      </c>
      <c r="C31869" t="inlineStr">
        <is>
          <t>1987-03-05</t>
        </is>
      </c>
    </row>
    <row r="31870">
      <c r="A31870" s="1" t="n">
        <v>31869</v>
      </c>
      <c r="B31870">
        <f>TEXT(31869, "[$-0E0000]yyyy-mm-dd")</f>
        <v/>
      </c>
      <c r="C31870" t="inlineStr">
        <is>
          <t>1987-03-06</t>
        </is>
      </c>
    </row>
    <row r="31871">
      <c r="A31871" s="1" t="n">
        <v>31870</v>
      </c>
      <c r="B31871">
        <f>TEXT(31870, "[$-0E0000]yyyy-mm-dd")</f>
        <v/>
      </c>
      <c r="C31871" t="inlineStr">
        <is>
          <t>1987-03-07</t>
        </is>
      </c>
    </row>
    <row r="31872">
      <c r="A31872" s="1" t="n">
        <v>31871</v>
      </c>
      <c r="B31872">
        <f>TEXT(31871, "[$-0E0000]yyyy-mm-dd")</f>
        <v/>
      </c>
      <c r="C31872" t="inlineStr">
        <is>
          <t>1987-03-08</t>
        </is>
      </c>
    </row>
    <row r="31873">
      <c r="A31873" s="1" t="n">
        <v>31872</v>
      </c>
      <c r="B31873">
        <f>TEXT(31872, "[$-0E0000]yyyy-mm-dd")</f>
        <v/>
      </c>
      <c r="C31873" t="inlineStr">
        <is>
          <t>1987-03-09</t>
        </is>
      </c>
    </row>
    <row r="31874">
      <c r="A31874" s="1" t="n">
        <v>31873</v>
      </c>
      <c r="B31874">
        <f>TEXT(31873, "[$-0E0000]yyyy-mm-dd")</f>
        <v/>
      </c>
      <c r="C31874" t="inlineStr">
        <is>
          <t>1987-03-10</t>
        </is>
      </c>
    </row>
    <row r="31875">
      <c r="A31875" s="1" t="n">
        <v>31874</v>
      </c>
      <c r="B31875">
        <f>TEXT(31874, "[$-0E0000]yyyy-mm-dd")</f>
        <v/>
      </c>
      <c r="C31875" t="inlineStr">
        <is>
          <t>1987-03-11</t>
        </is>
      </c>
    </row>
    <row r="31876">
      <c r="A31876" s="1" t="n">
        <v>31875</v>
      </c>
      <c r="B31876">
        <f>TEXT(31875, "[$-0E0000]yyyy-mm-dd")</f>
        <v/>
      </c>
      <c r="C31876" t="inlineStr">
        <is>
          <t>1987-03-12</t>
        </is>
      </c>
    </row>
    <row r="31877">
      <c r="A31877" s="1" t="n">
        <v>31876</v>
      </c>
      <c r="B31877">
        <f>TEXT(31876, "[$-0E0000]yyyy-mm-dd")</f>
        <v/>
      </c>
      <c r="C31877" t="inlineStr">
        <is>
          <t>1987-03-13</t>
        </is>
      </c>
    </row>
    <row r="31878">
      <c r="A31878" s="1" t="n">
        <v>31877</v>
      </c>
      <c r="B31878">
        <f>TEXT(31877, "[$-0E0000]yyyy-mm-dd")</f>
        <v/>
      </c>
      <c r="C31878" t="inlineStr">
        <is>
          <t>1987-03-14</t>
        </is>
      </c>
    </row>
    <row r="31879">
      <c r="A31879" s="1" t="n">
        <v>31878</v>
      </c>
      <c r="B31879">
        <f>TEXT(31878, "[$-0E0000]yyyy-mm-dd")</f>
        <v/>
      </c>
      <c r="C31879" t="inlineStr">
        <is>
          <t>1987-03-15</t>
        </is>
      </c>
    </row>
    <row r="31880">
      <c r="A31880" s="1" t="n">
        <v>31879</v>
      </c>
      <c r="B31880">
        <f>TEXT(31879, "[$-0E0000]yyyy-mm-dd")</f>
        <v/>
      </c>
      <c r="C31880" t="inlineStr">
        <is>
          <t>1987-03-16</t>
        </is>
      </c>
    </row>
    <row r="31881">
      <c r="A31881" s="1" t="n">
        <v>31880</v>
      </c>
      <c r="B31881">
        <f>TEXT(31880, "[$-0E0000]yyyy-mm-dd")</f>
        <v/>
      </c>
      <c r="C31881" t="inlineStr">
        <is>
          <t>1987-03-17</t>
        </is>
      </c>
    </row>
    <row r="31882">
      <c r="A31882" s="1" t="n">
        <v>31881</v>
      </c>
      <c r="B31882">
        <f>TEXT(31881, "[$-0E0000]yyyy-mm-dd")</f>
        <v/>
      </c>
      <c r="C31882" t="inlineStr">
        <is>
          <t>1987-03-18</t>
        </is>
      </c>
    </row>
    <row r="31883">
      <c r="A31883" s="1" t="n">
        <v>31882</v>
      </c>
      <c r="B31883">
        <f>TEXT(31882, "[$-0E0000]yyyy-mm-dd")</f>
        <v/>
      </c>
      <c r="C31883" t="inlineStr">
        <is>
          <t>1987-03-19</t>
        </is>
      </c>
    </row>
    <row r="31884">
      <c r="A31884" s="1" t="n">
        <v>31883</v>
      </c>
      <c r="B31884">
        <f>TEXT(31883, "[$-0E0000]yyyy-mm-dd")</f>
        <v/>
      </c>
      <c r="C31884" t="inlineStr">
        <is>
          <t>1987-03-20</t>
        </is>
      </c>
    </row>
    <row r="31885">
      <c r="A31885" s="1" t="n">
        <v>31884</v>
      </c>
      <c r="B31885">
        <f>TEXT(31884, "[$-0E0000]yyyy-mm-dd")</f>
        <v/>
      </c>
      <c r="C31885" t="inlineStr">
        <is>
          <t>1987-03-21</t>
        </is>
      </c>
    </row>
    <row r="31886">
      <c r="A31886" s="1" t="n">
        <v>31885</v>
      </c>
      <c r="B31886">
        <f>TEXT(31885, "[$-0E0000]yyyy-mm-dd")</f>
        <v/>
      </c>
      <c r="C31886" t="inlineStr">
        <is>
          <t>1987-03-22</t>
        </is>
      </c>
    </row>
    <row r="31887">
      <c r="A31887" s="1" t="n">
        <v>31886</v>
      </c>
      <c r="B31887">
        <f>TEXT(31886, "[$-0E0000]yyyy-mm-dd")</f>
        <v/>
      </c>
      <c r="C31887" t="inlineStr">
        <is>
          <t>1987-03-23</t>
        </is>
      </c>
    </row>
    <row r="31888">
      <c r="A31888" s="1" t="n">
        <v>31887</v>
      </c>
      <c r="B31888">
        <f>TEXT(31887, "[$-0E0000]yyyy-mm-dd")</f>
        <v/>
      </c>
      <c r="C31888" t="inlineStr">
        <is>
          <t>1987-03-24</t>
        </is>
      </c>
    </row>
    <row r="31889">
      <c r="A31889" s="1" t="n">
        <v>31888</v>
      </c>
      <c r="B31889">
        <f>TEXT(31888, "[$-0E0000]yyyy-mm-dd")</f>
        <v/>
      </c>
      <c r="C31889" t="inlineStr">
        <is>
          <t>1987-03-25</t>
        </is>
      </c>
    </row>
    <row r="31890">
      <c r="A31890" s="1" t="n">
        <v>31889</v>
      </c>
      <c r="B31890">
        <f>TEXT(31889, "[$-0E0000]yyyy-mm-dd")</f>
        <v/>
      </c>
      <c r="C31890" t="inlineStr">
        <is>
          <t>1987-03-26</t>
        </is>
      </c>
    </row>
    <row r="31891">
      <c r="A31891" s="1" t="n">
        <v>31890</v>
      </c>
      <c r="B31891">
        <f>TEXT(31890, "[$-0E0000]yyyy-mm-dd")</f>
        <v/>
      </c>
      <c r="C31891" t="inlineStr">
        <is>
          <t>1987-03-27</t>
        </is>
      </c>
    </row>
    <row r="31892">
      <c r="A31892" s="1" t="n">
        <v>31891</v>
      </c>
      <c r="B31892">
        <f>TEXT(31891, "[$-0E0000]yyyy-mm-dd")</f>
        <v/>
      </c>
      <c r="C31892" t="inlineStr">
        <is>
          <t>1987-03-28</t>
        </is>
      </c>
    </row>
    <row r="31893">
      <c r="A31893" s="1" t="n">
        <v>31892</v>
      </c>
      <c r="B31893">
        <f>TEXT(31892, "[$-0E0000]yyyy-mm-dd")</f>
        <v/>
      </c>
      <c r="C31893" t="inlineStr">
        <is>
          <t>1987-03-29</t>
        </is>
      </c>
    </row>
    <row r="31894">
      <c r="A31894" s="1" t="n">
        <v>31893</v>
      </c>
      <c r="B31894">
        <f>TEXT(31893, "[$-0E0000]yyyy-mm-dd")</f>
        <v/>
      </c>
      <c r="C31894" t="inlineStr">
        <is>
          <t>1987-03-30</t>
        </is>
      </c>
    </row>
    <row r="31895">
      <c r="A31895" s="1" t="n">
        <v>31894</v>
      </c>
      <c r="B31895">
        <f>TEXT(31894, "[$-0E0000]yyyy-mm-dd")</f>
        <v/>
      </c>
      <c r="C31895" t="inlineStr">
        <is>
          <t>1987-04-01</t>
        </is>
      </c>
    </row>
    <row r="31896">
      <c r="A31896" s="1" t="n">
        <v>31895</v>
      </c>
      <c r="B31896">
        <f>TEXT(31895, "[$-0E0000]yyyy-mm-dd")</f>
        <v/>
      </c>
      <c r="C31896" t="inlineStr">
        <is>
          <t>1987-04-02</t>
        </is>
      </c>
    </row>
    <row r="31897">
      <c r="A31897" s="1" t="n">
        <v>31896</v>
      </c>
      <c r="B31897">
        <f>TEXT(31896, "[$-0E0000]yyyy-mm-dd")</f>
        <v/>
      </c>
      <c r="C31897" t="inlineStr">
        <is>
          <t>1987-04-03</t>
        </is>
      </c>
    </row>
    <row r="31898">
      <c r="A31898" s="1" t="n">
        <v>31897</v>
      </c>
      <c r="B31898">
        <f>TEXT(31897, "[$-0E0000]yyyy-mm-dd")</f>
        <v/>
      </c>
      <c r="C31898" t="inlineStr">
        <is>
          <t>1987-04-04</t>
        </is>
      </c>
    </row>
    <row r="31899">
      <c r="A31899" s="1" t="n">
        <v>31898</v>
      </c>
      <c r="B31899">
        <f>TEXT(31898, "[$-0E0000]yyyy-mm-dd")</f>
        <v/>
      </c>
      <c r="C31899" t="inlineStr">
        <is>
          <t>1987-04-05</t>
        </is>
      </c>
    </row>
    <row r="31900">
      <c r="A31900" s="1" t="n">
        <v>31899</v>
      </c>
      <c r="B31900">
        <f>TEXT(31899, "[$-0E0000]yyyy-mm-dd")</f>
        <v/>
      </c>
      <c r="C31900" t="inlineStr">
        <is>
          <t>1987-04-06</t>
        </is>
      </c>
    </row>
    <row r="31901">
      <c r="A31901" s="1" t="n">
        <v>31900</v>
      </c>
      <c r="B31901">
        <f>TEXT(31900, "[$-0E0000]yyyy-mm-dd")</f>
        <v/>
      </c>
      <c r="C31901" t="inlineStr">
        <is>
          <t>1987-04-07</t>
        </is>
      </c>
    </row>
    <row r="31902">
      <c r="A31902" s="1" t="n">
        <v>31901</v>
      </c>
      <c r="B31902">
        <f>TEXT(31901, "[$-0E0000]yyyy-mm-dd")</f>
        <v/>
      </c>
      <c r="C31902" t="inlineStr">
        <is>
          <t>1987-04-08</t>
        </is>
      </c>
    </row>
    <row r="31903">
      <c r="A31903" s="1" t="n">
        <v>31902</v>
      </c>
      <c r="B31903">
        <f>TEXT(31902, "[$-0E0000]yyyy-mm-dd")</f>
        <v/>
      </c>
      <c r="C31903" t="inlineStr">
        <is>
          <t>1987-04-09</t>
        </is>
      </c>
    </row>
    <row r="31904">
      <c r="A31904" s="1" t="n">
        <v>31903</v>
      </c>
      <c r="B31904">
        <f>TEXT(31903, "[$-0E0000]yyyy-mm-dd")</f>
        <v/>
      </c>
      <c r="C31904" t="inlineStr">
        <is>
          <t>1987-04-10</t>
        </is>
      </c>
    </row>
    <row r="31905">
      <c r="A31905" s="1" t="n">
        <v>31904</v>
      </c>
      <c r="B31905">
        <f>TEXT(31904, "[$-0E0000]yyyy-mm-dd")</f>
        <v/>
      </c>
      <c r="C31905" t="inlineStr">
        <is>
          <t>1987-04-11</t>
        </is>
      </c>
    </row>
    <row r="31906">
      <c r="A31906" s="1" t="n">
        <v>31905</v>
      </c>
      <c r="B31906">
        <f>TEXT(31905, "[$-0E0000]yyyy-mm-dd")</f>
        <v/>
      </c>
      <c r="C31906" t="inlineStr">
        <is>
          <t>1987-04-12</t>
        </is>
      </c>
    </row>
    <row r="31907">
      <c r="A31907" s="1" t="n">
        <v>31906</v>
      </c>
      <c r="B31907">
        <f>TEXT(31906, "[$-0E0000]yyyy-mm-dd")</f>
        <v/>
      </c>
      <c r="C31907" t="inlineStr">
        <is>
          <t>1987-04-13</t>
        </is>
      </c>
    </row>
    <row r="31908">
      <c r="A31908" s="1" t="n">
        <v>31907</v>
      </c>
      <c r="B31908">
        <f>TEXT(31907, "[$-0E0000]yyyy-mm-dd")</f>
        <v/>
      </c>
      <c r="C31908" t="inlineStr">
        <is>
          <t>1987-04-14</t>
        </is>
      </c>
    </row>
    <row r="31909">
      <c r="A31909" s="1" t="n">
        <v>31908</v>
      </c>
      <c r="B31909">
        <f>TEXT(31908, "[$-0E0000]yyyy-mm-dd")</f>
        <v/>
      </c>
      <c r="C31909" t="inlineStr">
        <is>
          <t>1987-04-15</t>
        </is>
      </c>
    </row>
    <row r="31910">
      <c r="A31910" s="1" t="n">
        <v>31909</v>
      </c>
      <c r="B31910">
        <f>TEXT(31909, "[$-0E0000]yyyy-mm-dd")</f>
        <v/>
      </c>
      <c r="C31910" t="inlineStr">
        <is>
          <t>1987-04-16</t>
        </is>
      </c>
    </row>
    <row r="31911">
      <c r="A31911" s="1" t="n">
        <v>31910</v>
      </c>
      <c r="B31911">
        <f>TEXT(31910, "[$-0E0000]yyyy-mm-dd")</f>
        <v/>
      </c>
      <c r="C31911" t="inlineStr">
        <is>
          <t>1987-04-17</t>
        </is>
      </c>
    </row>
    <row r="31912">
      <c r="A31912" s="1" t="n">
        <v>31911</v>
      </c>
      <c r="B31912">
        <f>TEXT(31911, "[$-0E0000]yyyy-mm-dd")</f>
        <v/>
      </c>
      <c r="C31912" t="inlineStr">
        <is>
          <t>1987-04-18</t>
        </is>
      </c>
    </row>
    <row r="31913">
      <c r="A31913" s="1" t="n">
        <v>31912</v>
      </c>
      <c r="B31913">
        <f>TEXT(31912, "[$-0E0000]yyyy-mm-dd")</f>
        <v/>
      </c>
      <c r="C31913" t="inlineStr">
        <is>
          <t>1987-04-19</t>
        </is>
      </c>
    </row>
    <row r="31914">
      <c r="A31914" s="1" t="n">
        <v>31913</v>
      </c>
      <c r="B31914">
        <f>TEXT(31913, "[$-0E0000]yyyy-mm-dd")</f>
        <v/>
      </c>
      <c r="C31914" t="inlineStr">
        <is>
          <t>1987-04-20</t>
        </is>
      </c>
    </row>
    <row r="31915">
      <c r="A31915" s="1" t="n">
        <v>31914</v>
      </c>
      <c r="B31915">
        <f>TEXT(31914, "[$-0E0000]yyyy-mm-dd")</f>
        <v/>
      </c>
      <c r="C31915" t="inlineStr">
        <is>
          <t>1987-04-21</t>
        </is>
      </c>
    </row>
    <row r="31916">
      <c r="A31916" s="1" t="n">
        <v>31915</v>
      </c>
      <c r="B31916">
        <f>TEXT(31915, "[$-0E0000]yyyy-mm-dd")</f>
        <v/>
      </c>
      <c r="C31916" t="inlineStr">
        <is>
          <t>1987-04-22</t>
        </is>
      </c>
    </row>
    <row r="31917">
      <c r="A31917" s="1" t="n">
        <v>31916</v>
      </c>
      <c r="B31917">
        <f>TEXT(31916, "[$-0E0000]yyyy-mm-dd")</f>
        <v/>
      </c>
      <c r="C31917" t="inlineStr">
        <is>
          <t>1987-04-23</t>
        </is>
      </c>
    </row>
    <row r="31918">
      <c r="A31918" s="1" t="n">
        <v>31917</v>
      </c>
      <c r="B31918">
        <f>TEXT(31917, "[$-0E0000]yyyy-mm-dd")</f>
        <v/>
      </c>
      <c r="C31918" t="inlineStr">
        <is>
          <t>1987-04-24</t>
        </is>
      </c>
    </row>
    <row r="31919">
      <c r="A31919" s="1" t="n">
        <v>31918</v>
      </c>
      <c r="B31919">
        <f>TEXT(31918, "[$-0E0000]yyyy-mm-dd")</f>
        <v/>
      </c>
      <c r="C31919" t="inlineStr">
        <is>
          <t>1987-04-25</t>
        </is>
      </c>
    </row>
    <row r="31920">
      <c r="A31920" s="1" t="n">
        <v>31919</v>
      </c>
      <c r="B31920">
        <f>TEXT(31919, "[$-0E0000]yyyy-mm-dd")</f>
        <v/>
      </c>
      <c r="C31920" t="inlineStr">
        <is>
          <t>1987-04-26</t>
        </is>
      </c>
    </row>
    <row r="31921">
      <c r="A31921" s="1" t="n">
        <v>31920</v>
      </c>
      <c r="B31921">
        <f>TEXT(31920, "[$-0E0000]yyyy-mm-dd")</f>
        <v/>
      </c>
      <c r="C31921" t="inlineStr">
        <is>
          <t>1987-04-27</t>
        </is>
      </c>
    </row>
    <row r="31922">
      <c r="A31922" s="1" t="n">
        <v>31921</v>
      </c>
      <c r="B31922">
        <f>TEXT(31921, "[$-0E0000]yyyy-mm-dd")</f>
        <v/>
      </c>
      <c r="C31922" t="inlineStr">
        <is>
          <t>1987-04-28</t>
        </is>
      </c>
    </row>
    <row r="31923">
      <c r="A31923" s="1" t="n">
        <v>31922</v>
      </c>
      <c r="B31923">
        <f>TEXT(31922, "[$-0E0000]yyyy-mm-dd")</f>
        <v/>
      </c>
      <c r="C31923" t="inlineStr">
        <is>
          <t>1987-04-29</t>
        </is>
      </c>
    </row>
    <row r="31924">
      <c r="A31924" s="1" t="n">
        <v>31923</v>
      </c>
      <c r="B31924">
        <f>TEXT(31923, "[$-0E0000]yyyy-mm-dd")</f>
        <v/>
      </c>
      <c r="C31924" t="inlineStr">
        <is>
          <t>1987-05-01</t>
        </is>
      </c>
    </row>
    <row r="31925">
      <c r="A31925" s="1" t="n">
        <v>31924</v>
      </c>
      <c r="B31925">
        <f>TEXT(31924, "[$-0E0000]yyyy-mm-dd")</f>
        <v/>
      </c>
      <c r="C31925" t="inlineStr">
        <is>
          <t>1987-05-02</t>
        </is>
      </c>
    </row>
    <row r="31926">
      <c r="A31926" s="1" t="n">
        <v>31925</v>
      </c>
      <c r="B31926">
        <f>TEXT(31925, "[$-0E0000]yyyy-mm-dd")</f>
        <v/>
      </c>
      <c r="C31926" t="inlineStr">
        <is>
          <t>1987-05-03</t>
        </is>
      </c>
    </row>
    <row r="31927">
      <c r="A31927" s="1" t="n">
        <v>31926</v>
      </c>
      <c r="B31927">
        <f>TEXT(31926, "[$-0E0000]yyyy-mm-dd")</f>
        <v/>
      </c>
      <c r="C31927" t="inlineStr">
        <is>
          <t>1987-05-04</t>
        </is>
      </c>
    </row>
    <row r="31928">
      <c r="A31928" s="1" t="n">
        <v>31927</v>
      </c>
      <c r="B31928">
        <f>TEXT(31927, "[$-0E0000]yyyy-mm-dd")</f>
        <v/>
      </c>
      <c r="C31928" t="inlineStr">
        <is>
          <t>1987-05-05</t>
        </is>
      </c>
    </row>
    <row r="31929">
      <c r="A31929" s="1" t="n">
        <v>31928</v>
      </c>
      <c r="B31929">
        <f>TEXT(31928, "[$-0E0000]yyyy-mm-dd")</f>
        <v/>
      </c>
      <c r="C31929" t="inlineStr">
        <is>
          <t>1987-05-06</t>
        </is>
      </c>
    </row>
    <row r="31930">
      <c r="A31930" s="1" t="n">
        <v>31929</v>
      </c>
      <c r="B31930">
        <f>TEXT(31929, "[$-0E0000]yyyy-mm-dd")</f>
        <v/>
      </c>
      <c r="C31930" t="inlineStr">
        <is>
          <t>1987-05-07</t>
        </is>
      </c>
    </row>
    <row r="31931">
      <c r="A31931" s="1" t="n">
        <v>31930</v>
      </c>
      <c r="B31931">
        <f>TEXT(31930, "[$-0E0000]yyyy-mm-dd")</f>
        <v/>
      </c>
      <c r="C31931" t="inlineStr">
        <is>
          <t>1987-05-08</t>
        </is>
      </c>
    </row>
    <row r="31932">
      <c r="A31932" s="1" t="n">
        <v>31931</v>
      </c>
      <c r="B31932">
        <f>TEXT(31931, "[$-0E0000]yyyy-mm-dd")</f>
        <v/>
      </c>
      <c r="C31932" t="inlineStr">
        <is>
          <t>1987-05-09</t>
        </is>
      </c>
    </row>
    <row r="31933">
      <c r="A31933" s="1" t="n">
        <v>31932</v>
      </c>
      <c r="B31933">
        <f>TEXT(31932, "[$-0E0000]yyyy-mm-dd")</f>
        <v/>
      </c>
      <c r="C31933" t="inlineStr">
        <is>
          <t>1987-05-10</t>
        </is>
      </c>
    </row>
    <row r="31934">
      <c r="A31934" s="1" t="n">
        <v>31933</v>
      </c>
      <c r="B31934">
        <f>TEXT(31933, "[$-0E0000]yyyy-mm-dd")</f>
        <v/>
      </c>
      <c r="C31934" t="inlineStr">
        <is>
          <t>1987-05-11</t>
        </is>
      </c>
    </row>
    <row r="31935">
      <c r="A31935" s="1" t="n">
        <v>31934</v>
      </c>
      <c r="B31935">
        <f>TEXT(31934, "[$-0E0000]yyyy-mm-dd")</f>
        <v/>
      </c>
      <c r="C31935" t="inlineStr">
        <is>
          <t>1987-05-12</t>
        </is>
      </c>
    </row>
    <row r="31936">
      <c r="A31936" s="1" t="n">
        <v>31935</v>
      </c>
      <c r="B31936">
        <f>TEXT(31935, "[$-0E0000]yyyy-mm-dd")</f>
        <v/>
      </c>
      <c r="C31936" t="inlineStr">
        <is>
          <t>1987-05-13</t>
        </is>
      </c>
    </row>
    <row r="31937">
      <c r="A31937" s="1" t="n">
        <v>31936</v>
      </c>
      <c r="B31937">
        <f>TEXT(31936, "[$-0E0000]yyyy-mm-dd")</f>
        <v/>
      </c>
      <c r="C31937" t="inlineStr">
        <is>
          <t>1987-05-14</t>
        </is>
      </c>
    </row>
    <row r="31938">
      <c r="A31938" s="1" t="n">
        <v>31937</v>
      </c>
      <c r="B31938">
        <f>TEXT(31937, "[$-0E0000]yyyy-mm-dd")</f>
        <v/>
      </c>
      <c r="C31938" t="inlineStr">
        <is>
          <t>1987-05-15</t>
        </is>
      </c>
    </row>
    <row r="31939">
      <c r="A31939" s="1" t="n">
        <v>31938</v>
      </c>
      <c r="B31939">
        <f>TEXT(31938, "[$-0E0000]yyyy-mm-dd")</f>
        <v/>
      </c>
      <c r="C31939" t="inlineStr">
        <is>
          <t>1987-05-16</t>
        </is>
      </c>
    </row>
    <row r="31940">
      <c r="A31940" s="1" t="n">
        <v>31939</v>
      </c>
      <c r="B31940">
        <f>TEXT(31939, "[$-0E0000]yyyy-mm-dd")</f>
        <v/>
      </c>
      <c r="C31940" t="inlineStr">
        <is>
          <t>1987-05-17</t>
        </is>
      </c>
    </row>
    <row r="31941">
      <c r="A31941" s="1" t="n">
        <v>31940</v>
      </c>
      <c r="B31941">
        <f>TEXT(31940, "[$-0E0000]yyyy-mm-dd")</f>
        <v/>
      </c>
      <c r="C31941" t="inlineStr">
        <is>
          <t>1987-05-18</t>
        </is>
      </c>
    </row>
    <row r="31942">
      <c r="A31942" s="1" t="n">
        <v>31941</v>
      </c>
      <c r="B31942">
        <f>TEXT(31941, "[$-0E0000]yyyy-mm-dd")</f>
        <v/>
      </c>
      <c r="C31942" t="inlineStr">
        <is>
          <t>1987-05-19</t>
        </is>
      </c>
    </row>
    <row r="31943">
      <c r="A31943" s="1" t="n">
        <v>31942</v>
      </c>
      <c r="B31943">
        <f>TEXT(31942, "[$-0E0000]yyyy-mm-dd")</f>
        <v/>
      </c>
      <c r="C31943" t="inlineStr">
        <is>
          <t>1987-05-20</t>
        </is>
      </c>
    </row>
    <row r="31944">
      <c r="A31944" s="1" t="n">
        <v>31943</v>
      </c>
      <c r="B31944">
        <f>TEXT(31943, "[$-0E0000]yyyy-mm-dd")</f>
        <v/>
      </c>
      <c r="C31944" t="inlineStr">
        <is>
          <t>1987-05-21</t>
        </is>
      </c>
    </row>
    <row r="31945">
      <c r="A31945" s="1" t="n">
        <v>31944</v>
      </c>
      <c r="B31945">
        <f>TEXT(31944, "[$-0E0000]yyyy-mm-dd")</f>
        <v/>
      </c>
      <c r="C31945" t="inlineStr">
        <is>
          <t>1987-05-22</t>
        </is>
      </c>
    </row>
    <row r="31946">
      <c r="A31946" s="1" t="n">
        <v>31945</v>
      </c>
      <c r="B31946">
        <f>TEXT(31945, "[$-0E0000]yyyy-mm-dd")</f>
        <v/>
      </c>
      <c r="C31946" t="inlineStr">
        <is>
          <t>1987-05-23</t>
        </is>
      </c>
    </row>
    <row r="31947">
      <c r="A31947" s="1" t="n">
        <v>31946</v>
      </c>
      <c r="B31947">
        <f>TEXT(31946, "[$-0E0000]yyyy-mm-dd")</f>
        <v/>
      </c>
      <c r="C31947" t="inlineStr">
        <is>
          <t>1987-05-24</t>
        </is>
      </c>
    </row>
    <row r="31948">
      <c r="A31948" s="1" t="n">
        <v>31947</v>
      </c>
      <c r="B31948">
        <f>TEXT(31947, "[$-0E0000]yyyy-mm-dd")</f>
        <v/>
      </c>
      <c r="C31948" t="inlineStr">
        <is>
          <t>1987-05-25</t>
        </is>
      </c>
    </row>
    <row r="31949">
      <c r="A31949" s="1" t="n">
        <v>31948</v>
      </c>
      <c r="B31949">
        <f>TEXT(31948, "[$-0E0000]yyyy-mm-dd")</f>
        <v/>
      </c>
      <c r="C31949" t="inlineStr">
        <is>
          <t>1987-05-26</t>
        </is>
      </c>
    </row>
    <row r="31950">
      <c r="A31950" s="1" t="n">
        <v>31949</v>
      </c>
      <c r="B31950">
        <f>TEXT(31949, "[$-0E0000]yyyy-mm-dd")</f>
        <v/>
      </c>
      <c r="C31950" t="inlineStr">
        <is>
          <t>1987-05-27</t>
        </is>
      </c>
    </row>
    <row r="31951">
      <c r="A31951" s="1" t="n">
        <v>31950</v>
      </c>
      <c r="B31951">
        <f>TEXT(31950, "[$-0E0000]yyyy-mm-dd")</f>
        <v/>
      </c>
      <c r="C31951" t="inlineStr">
        <is>
          <t>1987-05-28</t>
        </is>
      </c>
    </row>
    <row r="31952">
      <c r="A31952" s="1" t="n">
        <v>31951</v>
      </c>
      <c r="B31952">
        <f>TEXT(31951, "[$-0E0000]yyyy-mm-dd")</f>
        <v/>
      </c>
      <c r="C31952" t="inlineStr">
        <is>
          <t>1987-05-29</t>
        </is>
      </c>
    </row>
    <row r="31953">
      <c r="A31953" s="1" t="n">
        <v>31952</v>
      </c>
      <c r="B31953">
        <f>TEXT(31952, "[$-0E0000]yyyy-mm-dd")</f>
        <v/>
      </c>
      <c r="C31953" t="inlineStr">
        <is>
          <t>1987-05-30</t>
        </is>
      </c>
    </row>
    <row r="31954">
      <c r="A31954" s="1" t="n">
        <v>31953</v>
      </c>
      <c r="B31954">
        <f>TEXT(31953, "[$-0E0000]yyyy-mm-dd")</f>
        <v/>
      </c>
      <c r="C31954" t="inlineStr">
        <is>
          <t>1987-06-01</t>
        </is>
      </c>
    </row>
    <row r="31955">
      <c r="A31955" s="1" t="n">
        <v>31954</v>
      </c>
      <c r="B31955">
        <f>TEXT(31954, "[$-0E0000]yyyy-mm-dd")</f>
        <v/>
      </c>
      <c r="C31955" t="inlineStr">
        <is>
          <t>1987-06-02</t>
        </is>
      </c>
    </row>
    <row r="31956">
      <c r="A31956" s="1" t="n">
        <v>31955</v>
      </c>
      <c r="B31956">
        <f>TEXT(31955, "[$-0E0000]yyyy-mm-dd")</f>
        <v/>
      </c>
      <c r="C31956" t="inlineStr">
        <is>
          <t>1987-06-03</t>
        </is>
      </c>
    </row>
    <row r="31957">
      <c r="A31957" s="1" t="n">
        <v>31956</v>
      </c>
      <c r="B31957">
        <f>TEXT(31956, "[$-0E0000]yyyy-mm-dd")</f>
        <v/>
      </c>
      <c r="C31957" t="inlineStr">
        <is>
          <t>1987-06-04</t>
        </is>
      </c>
    </row>
    <row r="31958">
      <c r="A31958" s="1" t="n">
        <v>31957</v>
      </c>
      <c r="B31958">
        <f>TEXT(31957, "[$-0E0000]yyyy-mm-dd")</f>
        <v/>
      </c>
      <c r="C31958" t="inlineStr">
        <is>
          <t>1987-06-05</t>
        </is>
      </c>
    </row>
    <row r="31959">
      <c r="A31959" s="1" t="n">
        <v>31958</v>
      </c>
      <c r="B31959">
        <f>TEXT(31958, "[$-0E0000]yyyy-mm-dd")</f>
        <v/>
      </c>
      <c r="C31959" t="inlineStr">
        <is>
          <t>1987-06-06</t>
        </is>
      </c>
    </row>
    <row r="31960">
      <c r="A31960" s="1" t="n">
        <v>31959</v>
      </c>
      <c r="B31960">
        <f>TEXT(31959, "[$-0E0000]yyyy-mm-dd")</f>
        <v/>
      </c>
      <c r="C31960" t="inlineStr">
        <is>
          <t>1987-06-07</t>
        </is>
      </c>
    </row>
    <row r="31961">
      <c r="A31961" s="1" t="n">
        <v>31960</v>
      </c>
      <c r="B31961">
        <f>TEXT(31960, "[$-0E0000]yyyy-mm-dd")</f>
        <v/>
      </c>
      <c r="C31961" t="inlineStr">
        <is>
          <t>1987-06-08</t>
        </is>
      </c>
    </row>
    <row r="31962">
      <c r="A31962" s="1" t="n">
        <v>31961</v>
      </c>
      <c r="B31962">
        <f>TEXT(31961, "[$-0E0000]yyyy-mm-dd")</f>
        <v/>
      </c>
      <c r="C31962" t="inlineStr">
        <is>
          <t>1987-06-09</t>
        </is>
      </c>
    </row>
    <row r="31963">
      <c r="A31963" s="1" t="n">
        <v>31962</v>
      </c>
      <c r="B31963">
        <f>TEXT(31962, "[$-0E0000]yyyy-mm-dd")</f>
        <v/>
      </c>
      <c r="C31963" t="inlineStr">
        <is>
          <t>1987-06-10</t>
        </is>
      </c>
    </row>
    <row r="31964">
      <c r="A31964" s="1" t="n">
        <v>31963</v>
      </c>
      <c r="B31964">
        <f>TEXT(31963, "[$-0E0000]yyyy-mm-dd")</f>
        <v/>
      </c>
      <c r="C31964" t="inlineStr">
        <is>
          <t>1987-06-11</t>
        </is>
      </c>
    </row>
    <row r="31965">
      <c r="A31965" s="1" t="n">
        <v>31964</v>
      </c>
      <c r="B31965">
        <f>TEXT(31964, "[$-0E0000]yyyy-mm-dd")</f>
        <v/>
      </c>
      <c r="C31965" t="inlineStr">
        <is>
          <t>1987-06-12</t>
        </is>
      </c>
    </row>
    <row r="31966">
      <c r="A31966" s="1" t="n">
        <v>31965</v>
      </c>
      <c r="B31966">
        <f>TEXT(31965, "[$-0E0000]yyyy-mm-dd")</f>
        <v/>
      </c>
      <c r="C31966" t="inlineStr">
        <is>
          <t>1987-06-13</t>
        </is>
      </c>
    </row>
    <row r="31967">
      <c r="A31967" s="1" t="n">
        <v>31966</v>
      </c>
      <c r="B31967">
        <f>TEXT(31966, "[$-0E0000]yyyy-mm-dd")</f>
        <v/>
      </c>
      <c r="C31967" t="inlineStr">
        <is>
          <t>1987-06-14</t>
        </is>
      </c>
    </row>
    <row r="31968">
      <c r="A31968" s="1" t="n">
        <v>31967</v>
      </c>
      <c r="B31968">
        <f>TEXT(31967, "[$-0E0000]yyyy-mm-dd")</f>
        <v/>
      </c>
      <c r="C31968" t="inlineStr">
        <is>
          <t>1987-06-15</t>
        </is>
      </c>
    </row>
    <row r="31969">
      <c r="A31969" s="1" t="n">
        <v>31968</v>
      </c>
      <c r="B31969">
        <f>TEXT(31968, "[$-0E0000]yyyy-mm-dd")</f>
        <v/>
      </c>
      <c r="C31969" t="inlineStr">
        <is>
          <t>1987-06-16</t>
        </is>
      </c>
    </row>
    <row r="31970">
      <c r="A31970" s="1" t="n">
        <v>31969</v>
      </c>
      <c r="B31970">
        <f>TEXT(31969, "[$-0E0000]yyyy-mm-dd")</f>
        <v/>
      </c>
      <c r="C31970" t="inlineStr">
        <is>
          <t>1987-06-17</t>
        </is>
      </c>
    </row>
    <row r="31971">
      <c r="A31971" s="1" t="n">
        <v>31970</v>
      </c>
      <c r="B31971">
        <f>TEXT(31970, "[$-0E0000]yyyy-mm-dd")</f>
        <v/>
      </c>
      <c r="C31971" t="inlineStr">
        <is>
          <t>1987-06-18</t>
        </is>
      </c>
    </row>
    <row r="31972">
      <c r="A31972" s="1" t="n">
        <v>31971</v>
      </c>
      <c r="B31972">
        <f>TEXT(31971, "[$-0E0000]yyyy-mm-dd")</f>
        <v/>
      </c>
      <c r="C31972" t="inlineStr">
        <is>
          <t>1987-06-19</t>
        </is>
      </c>
    </row>
    <row r="31973">
      <c r="A31973" s="1" t="n">
        <v>31972</v>
      </c>
      <c r="B31973">
        <f>TEXT(31972, "[$-0E0000]yyyy-mm-dd")</f>
        <v/>
      </c>
      <c r="C31973" t="inlineStr">
        <is>
          <t>1987-06-20</t>
        </is>
      </c>
    </row>
    <row r="31974">
      <c r="A31974" s="1" t="n">
        <v>31973</v>
      </c>
      <c r="B31974">
        <f>TEXT(31973, "[$-0E0000]yyyy-mm-dd")</f>
        <v/>
      </c>
      <c r="C31974" t="inlineStr">
        <is>
          <t>1987-06-21</t>
        </is>
      </c>
    </row>
    <row r="31975">
      <c r="A31975" s="1" t="n">
        <v>31974</v>
      </c>
      <c r="B31975">
        <f>TEXT(31974, "[$-0E0000]yyyy-mm-dd")</f>
        <v/>
      </c>
      <c r="C31975" t="inlineStr">
        <is>
          <t>1987-06-22</t>
        </is>
      </c>
    </row>
    <row r="31976">
      <c r="A31976" s="1" t="n">
        <v>31975</v>
      </c>
      <c r="B31976">
        <f>TEXT(31975, "[$-0E0000]yyyy-mm-dd")</f>
        <v/>
      </c>
      <c r="C31976" t="inlineStr">
        <is>
          <t>1987-06-23</t>
        </is>
      </c>
    </row>
    <row r="31977">
      <c r="A31977" s="1" t="n">
        <v>31976</v>
      </c>
      <c r="B31977">
        <f>TEXT(31976, "[$-0E0000]yyyy-mm-dd")</f>
        <v/>
      </c>
      <c r="C31977" t="inlineStr">
        <is>
          <t>1987-06-24</t>
        </is>
      </c>
    </row>
    <row r="31978">
      <c r="A31978" s="1" t="n">
        <v>31977</v>
      </c>
      <c r="B31978">
        <f>TEXT(31977, "[$-0E0000]yyyy-mm-dd")</f>
        <v/>
      </c>
      <c r="C31978" t="inlineStr">
        <is>
          <t>1987-06-25</t>
        </is>
      </c>
    </row>
    <row r="31979">
      <c r="A31979" s="1" t="n">
        <v>31978</v>
      </c>
      <c r="B31979">
        <f>TEXT(31978, "[$-0E0000]yyyy-mm-dd")</f>
        <v/>
      </c>
      <c r="C31979" t="inlineStr">
        <is>
          <t>1987-06-26</t>
        </is>
      </c>
    </row>
    <row r="31980">
      <c r="A31980" s="1" t="n">
        <v>31979</v>
      </c>
      <c r="B31980">
        <f>TEXT(31979, "[$-0E0000]yyyy-mm-dd")</f>
        <v/>
      </c>
      <c r="C31980" t="inlineStr">
        <is>
          <t>1987-06-27</t>
        </is>
      </c>
    </row>
    <row r="31981">
      <c r="A31981" s="1" t="n">
        <v>31980</v>
      </c>
      <c r="B31981">
        <f>TEXT(31980, "[$-0E0000]yyyy-mm-dd")</f>
        <v/>
      </c>
      <c r="C31981" t="inlineStr">
        <is>
          <t>1987-06-28</t>
        </is>
      </c>
    </row>
    <row r="31982">
      <c r="A31982" s="1" t="n">
        <v>31981</v>
      </c>
      <c r="B31982">
        <f>TEXT(31981, "[$-0E0000]yyyy-mm-dd")</f>
        <v/>
      </c>
      <c r="C31982" t="inlineStr">
        <is>
          <t>1987-06-29</t>
        </is>
      </c>
    </row>
    <row r="31983">
      <c r="A31983" s="1" t="n">
        <v>31982</v>
      </c>
      <c r="B31983">
        <f>TEXT(31982, "[$-0E0000]yyyy-mm-dd")</f>
        <v/>
      </c>
      <c r="C31983" t="inlineStr">
        <is>
          <t>1987-06-30</t>
        </is>
      </c>
    </row>
    <row r="31984">
      <c r="A31984" s="1" t="n">
        <v>31983</v>
      </c>
      <c r="B31984">
        <f>TEXT(31983, "[$-0E0000]yyyy-mm-dd")</f>
        <v/>
      </c>
      <c r="C31984" t="inlineStr">
        <is>
          <t>1987-06-01</t>
        </is>
      </c>
    </row>
    <row r="31985">
      <c r="A31985" s="1" t="n">
        <v>31984</v>
      </c>
      <c r="B31985">
        <f>TEXT(31984, "[$-0E0000]yyyy-mm-dd")</f>
        <v/>
      </c>
      <c r="C31985" t="inlineStr">
        <is>
          <t>1987-06-02</t>
        </is>
      </c>
    </row>
    <row r="31986">
      <c r="A31986" s="1" t="n">
        <v>31985</v>
      </c>
      <c r="B31986">
        <f>TEXT(31985, "[$-0E0000]yyyy-mm-dd")</f>
        <v/>
      </c>
      <c r="C31986" t="inlineStr">
        <is>
          <t>1987-06-03</t>
        </is>
      </c>
    </row>
    <row r="31987">
      <c r="A31987" s="1" t="n">
        <v>31986</v>
      </c>
      <c r="B31987">
        <f>TEXT(31986, "[$-0E0000]yyyy-mm-dd")</f>
        <v/>
      </c>
      <c r="C31987" t="inlineStr">
        <is>
          <t>1987-06-04</t>
        </is>
      </c>
    </row>
    <row r="31988">
      <c r="A31988" s="1" t="n">
        <v>31987</v>
      </c>
      <c r="B31988">
        <f>TEXT(31987, "[$-0E0000]yyyy-mm-dd")</f>
        <v/>
      </c>
      <c r="C31988" t="inlineStr">
        <is>
          <t>1987-06-05</t>
        </is>
      </c>
    </row>
    <row r="31989">
      <c r="A31989" s="1" t="n">
        <v>31988</v>
      </c>
      <c r="B31989">
        <f>TEXT(31988, "[$-0E0000]yyyy-mm-dd")</f>
        <v/>
      </c>
      <c r="C31989" t="inlineStr">
        <is>
          <t>1987-06-06</t>
        </is>
      </c>
    </row>
    <row r="31990">
      <c r="A31990" s="1" t="n">
        <v>31989</v>
      </c>
      <c r="B31990">
        <f>TEXT(31989, "[$-0E0000]yyyy-mm-dd")</f>
        <v/>
      </c>
      <c r="C31990" t="inlineStr">
        <is>
          <t>1987-06-07</t>
        </is>
      </c>
    </row>
    <row r="31991">
      <c r="A31991" s="1" t="n">
        <v>31990</v>
      </c>
      <c r="B31991">
        <f>TEXT(31990, "[$-0E0000]yyyy-mm-dd")</f>
        <v/>
      </c>
      <c r="C31991" t="inlineStr">
        <is>
          <t>1987-06-08</t>
        </is>
      </c>
    </row>
    <row r="31992">
      <c r="A31992" s="1" t="n">
        <v>31991</v>
      </c>
      <c r="B31992">
        <f>TEXT(31991, "[$-0E0000]yyyy-mm-dd")</f>
        <v/>
      </c>
      <c r="C31992" t="inlineStr">
        <is>
          <t>1987-06-09</t>
        </is>
      </c>
    </row>
    <row r="31993">
      <c r="A31993" s="1" t="n">
        <v>31992</v>
      </c>
      <c r="B31993">
        <f>TEXT(31992, "[$-0E0000]yyyy-mm-dd")</f>
        <v/>
      </c>
      <c r="C31993" t="inlineStr">
        <is>
          <t>1987-06-10</t>
        </is>
      </c>
    </row>
    <row r="31994">
      <c r="A31994" s="1" t="n">
        <v>31993</v>
      </c>
      <c r="B31994">
        <f>TEXT(31993, "[$-0E0000]yyyy-mm-dd")</f>
        <v/>
      </c>
      <c r="C31994" t="inlineStr">
        <is>
          <t>1987-06-11</t>
        </is>
      </c>
    </row>
    <row r="31995">
      <c r="A31995" s="1" t="n">
        <v>31994</v>
      </c>
      <c r="B31995">
        <f>TEXT(31994, "[$-0E0000]yyyy-mm-dd")</f>
        <v/>
      </c>
      <c r="C31995" t="inlineStr">
        <is>
          <t>1987-06-12</t>
        </is>
      </c>
    </row>
    <row r="31996">
      <c r="A31996" s="1" t="n">
        <v>31995</v>
      </c>
      <c r="B31996">
        <f>TEXT(31995, "[$-0E0000]yyyy-mm-dd")</f>
        <v/>
      </c>
      <c r="C31996" t="inlineStr">
        <is>
          <t>1987-06-13</t>
        </is>
      </c>
    </row>
    <row r="31997">
      <c r="A31997" s="1" t="n">
        <v>31996</v>
      </c>
      <c r="B31997">
        <f>TEXT(31996, "[$-0E0000]yyyy-mm-dd")</f>
        <v/>
      </c>
      <c r="C31997" t="inlineStr">
        <is>
          <t>1987-06-14</t>
        </is>
      </c>
    </row>
    <row r="31998">
      <c r="A31998" s="1" t="n">
        <v>31997</v>
      </c>
      <c r="B31998">
        <f>TEXT(31997, "[$-0E0000]yyyy-mm-dd")</f>
        <v/>
      </c>
      <c r="C31998" t="inlineStr">
        <is>
          <t>1987-06-15</t>
        </is>
      </c>
    </row>
    <row r="31999">
      <c r="A31999" s="1" t="n">
        <v>31998</v>
      </c>
      <c r="B31999">
        <f>TEXT(31998, "[$-0E0000]yyyy-mm-dd")</f>
        <v/>
      </c>
      <c r="C31999" t="inlineStr">
        <is>
          <t>1987-06-16</t>
        </is>
      </c>
    </row>
    <row r="32000">
      <c r="A32000" s="1" t="n">
        <v>31999</v>
      </c>
      <c r="B32000">
        <f>TEXT(31999, "[$-0E0000]yyyy-mm-dd")</f>
        <v/>
      </c>
      <c r="C32000" t="inlineStr">
        <is>
          <t>1987-06-17</t>
        </is>
      </c>
    </row>
    <row r="32001">
      <c r="A32001" s="1" t="n">
        <v>32000</v>
      </c>
      <c r="B32001">
        <f>TEXT(32000, "[$-0E0000]yyyy-mm-dd")</f>
        <v/>
      </c>
      <c r="C32001" t="inlineStr">
        <is>
          <t>1987-06-18</t>
        </is>
      </c>
    </row>
    <row r="32002">
      <c r="A32002" s="1" t="n">
        <v>32001</v>
      </c>
      <c r="B32002">
        <f>TEXT(32001, "[$-0E0000]yyyy-mm-dd")</f>
        <v/>
      </c>
      <c r="C32002" t="inlineStr">
        <is>
          <t>1987-06-19</t>
        </is>
      </c>
    </row>
    <row r="32003">
      <c r="A32003" s="1" t="n">
        <v>32002</v>
      </c>
      <c r="B32003">
        <f>TEXT(32002, "[$-0E0000]yyyy-mm-dd")</f>
        <v/>
      </c>
      <c r="C32003" t="inlineStr">
        <is>
          <t>1987-06-20</t>
        </is>
      </c>
    </row>
    <row r="32004">
      <c r="A32004" s="1" t="n">
        <v>32003</v>
      </c>
      <c r="B32004">
        <f>TEXT(32003, "[$-0E0000]yyyy-mm-dd")</f>
        <v/>
      </c>
      <c r="C32004" t="inlineStr">
        <is>
          <t>1987-06-21</t>
        </is>
      </c>
    </row>
    <row r="32005">
      <c r="A32005" s="1" t="n">
        <v>32004</v>
      </c>
      <c r="B32005">
        <f>TEXT(32004, "[$-0E0000]yyyy-mm-dd")</f>
        <v/>
      </c>
      <c r="C32005" t="inlineStr">
        <is>
          <t>1987-06-22</t>
        </is>
      </c>
    </row>
    <row r="32006">
      <c r="A32006" s="1" t="n">
        <v>32005</v>
      </c>
      <c r="B32006">
        <f>TEXT(32005, "[$-0E0000]yyyy-mm-dd")</f>
        <v/>
      </c>
      <c r="C32006" t="inlineStr">
        <is>
          <t>1987-06-23</t>
        </is>
      </c>
    </row>
    <row r="32007">
      <c r="A32007" s="1" t="n">
        <v>32006</v>
      </c>
      <c r="B32007">
        <f>TEXT(32006, "[$-0E0000]yyyy-mm-dd")</f>
        <v/>
      </c>
      <c r="C32007" t="inlineStr">
        <is>
          <t>1987-06-24</t>
        </is>
      </c>
    </row>
    <row r="32008">
      <c r="A32008" s="1" t="n">
        <v>32007</v>
      </c>
      <c r="B32008">
        <f>TEXT(32007, "[$-0E0000]yyyy-mm-dd")</f>
        <v/>
      </c>
      <c r="C32008" t="inlineStr">
        <is>
          <t>1987-06-25</t>
        </is>
      </c>
    </row>
    <row r="32009">
      <c r="A32009" s="1" t="n">
        <v>32008</v>
      </c>
      <c r="B32009">
        <f>TEXT(32008, "[$-0E0000]yyyy-mm-dd")</f>
        <v/>
      </c>
      <c r="C32009" t="inlineStr">
        <is>
          <t>1987-06-26</t>
        </is>
      </c>
    </row>
    <row r="32010">
      <c r="A32010" s="1" t="n">
        <v>32009</v>
      </c>
      <c r="B32010">
        <f>TEXT(32009, "[$-0E0000]yyyy-mm-dd")</f>
        <v/>
      </c>
      <c r="C32010" t="inlineStr">
        <is>
          <t>1987-06-27</t>
        </is>
      </c>
    </row>
    <row r="32011">
      <c r="A32011" s="1" t="n">
        <v>32010</v>
      </c>
      <c r="B32011">
        <f>TEXT(32010, "[$-0E0000]yyyy-mm-dd")</f>
        <v/>
      </c>
      <c r="C32011" t="inlineStr">
        <is>
          <t>1987-06-28</t>
        </is>
      </c>
    </row>
    <row r="32012">
      <c r="A32012" s="1" t="n">
        <v>32011</v>
      </c>
      <c r="B32012">
        <f>TEXT(32011, "[$-0E0000]yyyy-mm-dd")</f>
        <v/>
      </c>
      <c r="C32012" t="inlineStr">
        <is>
          <t>1987-06-29</t>
        </is>
      </c>
    </row>
    <row r="32013">
      <c r="A32013" s="1" t="n">
        <v>32012</v>
      </c>
      <c r="B32013">
        <f>TEXT(32012, "[$-0E0000]yyyy-mm-dd")</f>
        <v/>
      </c>
      <c r="C32013" t="inlineStr">
        <is>
          <t>1987-07-01</t>
        </is>
      </c>
    </row>
    <row r="32014">
      <c r="A32014" s="1" t="n">
        <v>32013</v>
      </c>
      <c r="B32014">
        <f>TEXT(32013, "[$-0E0000]yyyy-mm-dd")</f>
        <v/>
      </c>
      <c r="C32014" t="inlineStr">
        <is>
          <t>1987-07-02</t>
        </is>
      </c>
    </row>
    <row r="32015">
      <c r="A32015" s="1" t="n">
        <v>32014</v>
      </c>
      <c r="B32015">
        <f>TEXT(32014, "[$-0E0000]yyyy-mm-dd")</f>
        <v/>
      </c>
      <c r="C32015" t="inlineStr">
        <is>
          <t>1987-07-03</t>
        </is>
      </c>
    </row>
    <row r="32016">
      <c r="A32016" s="1" t="n">
        <v>32015</v>
      </c>
      <c r="B32016">
        <f>TEXT(32015, "[$-0E0000]yyyy-mm-dd")</f>
        <v/>
      </c>
      <c r="C32016" t="inlineStr">
        <is>
          <t>1987-07-04</t>
        </is>
      </c>
    </row>
    <row r="32017">
      <c r="A32017" s="1" t="n">
        <v>32016</v>
      </c>
      <c r="B32017">
        <f>TEXT(32016, "[$-0E0000]yyyy-mm-dd")</f>
        <v/>
      </c>
      <c r="C32017" t="inlineStr">
        <is>
          <t>1987-07-05</t>
        </is>
      </c>
    </row>
    <row r="32018">
      <c r="A32018" s="1" t="n">
        <v>32017</v>
      </c>
      <c r="B32018">
        <f>TEXT(32017, "[$-0E0000]yyyy-mm-dd")</f>
        <v/>
      </c>
      <c r="C32018" t="inlineStr">
        <is>
          <t>1987-07-06</t>
        </is>
      </c>
    </row>
    <row r="32019">
      <c r="A32019" s="1" t="n">
        <v>32018</v>
      </c>
      <c r="B32019">
        <f>TEXT(32018, "[$-0E0000]yyyy-mm-dd")</f>
        <v/>
      </c>
      <c r="C32019" t="inlineStr">
        <is>
          <t>1987-07-07</t>
        </is>
      </c>
    </row>
    <row r="32020">
      <c r="A32020" s="1" t="n">
        <v>32019</v>
      </c>
      <c r="B32020">
        <f>TEXT(32019, "[$-0E0000]yyyy-mm-dd")</f>
        <v/>
      </c>
      <c r="C32020" t="inlineStr">
        <is>
          <t>1987-07-08</t>
        </is>
      </c>
    </row>
    <row r="32021">
      <c r="A32021" s="1" t="n">
        <v>32020</v>
      </c>
      <c r="B32021">
        <f>TEXT(32020, "[$-0E0000]yyyy-mm-dd")</f>
        <v/>
      </c>
      <c r="C32021" t="inlineStr">
        <is>
          <t>1987-07-09</t>
        </is>
      </c>
    </row>
    <row r="32022">
      <c r="A32022" s="1" t="n">
        <v>32021</v>
      </c>
      <c r="B32022">
        <f>TEXT(32021, "[$-0E0000]yyyy-mm-dd")</f>
        <v/>
      </c>
      <c r="C32022" t="inlineStr">
        <is>
          <t>1987-07-10</t>
        </is>
      </c>
    </row>
    <row r="32023">
      <c r="A32023" s="1" t="n">
        <v>32022</v>
      </c>
      <c r="B32023">
        <f>TEXT(32022, "[$-0E0000]yyyy-mm-dd")</f>
        <v/>
      </c>
      <c r="C32023" t="inlineStr">
        <is>
          <t>1987-07-11</t>
        </is>
      </c>
    </row>
    <row r="32024">
      <c r="A32024" s="1" t="n">
        <v>32023</v>
      </c>
      <c r="B32024">
        <f>TEXT(32023, "[$-0E0000]yyyy-mm-dd")</f>
        <v/>
      </c>
      <c r="C32024" t="inlineStr">
        <is>
          <t>1987-07-12</t>
        </is>
      </c>
    </row>
    <row r="32025">
      <c r="A32025" s="1" t="n">
        <v>32024</v>
      </c>
      <c r="B32025">
        <f>TEXT(32024, "[$-0E0000]yyyy-mm-dd")</f>
        <v/>
      </c>
      <c r="C32025" t="inlineStr">
        <is>
          <t>1987-07-13</t>
        </is>
      </c>
    </row>
    <row r="32026">
      <c r="A32026" s="1" t="n">
        <v>32025</v>
      </c>
      <c r="B32026">
        <f>TEXT(32025, "[$-0E0000]yyyy-mm-dd")</f>
        <v/>
      </c>
      <c r="C32026" t="inlineStr">
        <is>
          <t>1987-07-14</t>
        </is>
      </c>
    </row>
    <row r="32027">
      <c r="A32027" s="1" t="n">
        <v>32026</v>
      </c>
      <c r="B32027">
        <f>TEXT(32026, "[$-0E0000]yyyy-mm-dd")</f>
        <v/>
      </c>
      <c r="C32027" t="inlineStr">
        <is>
          <t>1987-07-15</t>
        </is>
      </c>
    </row>
    <row r="32028">
      <c r="A32028" s="1" t="n">
        <v>32027</v>
      </c>
      <c r="B32028">
        <f>TEXT(32027, "[$-0E0000]yyyy-mm-dd")</f>
        <v/>
      </c>
      <c r="C32028" t="inlineStr">
        <is>
          <t>1987-07-16</t>
        </is>
      </c>
    </row>
    <row r="32029">
      <c r="A32029" s="1" t="n">
        <v>32028</v>
      </c>
      <c r="B32029">
        <f>TEXT(32028, "[$-0E0000]yyyy-mm-dd")</f>
        <v/>
      </c>
      <c r="C32029" t="inlineStr">
        <is>
          <t>1987-07-17</t>
        </is>
      </c>
    </row>
    <row r="32030">
      <c r="A32030" s="1" t="n">
        <v>32029</v>
      </c>
      <c r="B32030">
        <f>TEXT(32029, "[$-0E0000]yyyy-mm-dd")</f>
        <v/>
      </c>
      <c r="C32030" t="inlineStr">
        <is>
          <t>1987-07-18</t>
        </is>
      </c>
    </row>
    <row r="32031">
      <c r="A32031" s="1" t="n">
        <v>32030</v>
      </c>
      <c r="B32031">
        <f>TEXT(32030, "[$-0E0000]yyyy-mm-dd")</f>
        <v/>
      </c>
      <c r="C32031" t="inlineStr">
        <is>
          <t>1987-07-19</t>
        </is>
      </c>
    </row>
    <row r="32032">
      <c r="A32032" s="1" t="n">
        <v>32031</v>
      </c>
      <c r="B32032">
        <f>TEXT(32031, "[$-0E0000]yyyy-mm-dd")</f>
        <v/>
      </c>
      <c r="C32032" t="inlineStr">
        <is>
          <t>1987-07-20</t>
        </is>
      </c>
    </row>
    <row r="32033">
      <c r="A32033" s="1" t="n">
        <v>32032</v>
      </c>
      <c r="B32033">
        <f>TEXT(32032, "[$-0E0000]yyyy-mm-dd")</f>
        <v/>
      </c>
      <c r="C32033" t="inlineStr">
        <is>
          <t>1987-07-21</t>
        </is>
      </c>
    </row>
    <row r="32034">
      <c r="A32034" s="1" t="n">
        <v>32033</v>
      </c>
      <c r="B32034">
        <f>TEXT(32033, "[$-0E0000]yyyy-mm-dd")</f>
        <v/>
      </c>
      <c r="C32034" t="inlineStr">
        <is>
          <t>1987-07-22</t>
        </is>
      </c>
    </row>
    <row r="32035">
      <c r="A32035" s="1" t="n">
        <v>32034</v>
      </c>
      <c r="B32035">
        <f>TEXT(32034, "[$-0E0000]yyyy-mm-dd")</f>
        <v/>
      </c>
      <c r="C32035" t="inlineStr">
        <is>
          <t>1987-07-23</t>
        </is>
      </c>
    </row>
    <row r="32036">
      <c r="A32036" s="1" t="n">
        <v>32035</v>
      </c>
      <c r="B32036">
        <f>TEXT(32035, "[$-0E0000]yyyy-mm-dd")</f>
        <v/>
      </c>
      <c r="C32036" t="inlineStr">
        <is>
          <t>1987-07-24</t>
        </is>
      </c>
    </row>
    <row r="32037">
      <c r="A32037" s="1" t="n">
        <v>32036</v>
      </c>
      <c r="B32037">
        <f>TEXT(32036, "[$-0E0000]yyyy-mm-dd")</f>
        <v/>
      </c>
      <c r="C32037" t="inlineStr">
        <is>
          <t>1987-07-25</t>
        </is>
      </c>
    </row>
    <row r="32038">
      <c r="A32038" s="1" t="n">
        <v>32037</v>
      </c>
      <c r="B32038">
        <f>TEXT(32037, "[$-0E0000]yyyy-mm-dd")</f>
        <v/>
      </c>
      <c r="C32038" t="inlineStr">
        <is>
          <t>1987-07-26</t>
        </is>
      </c>
    </row>
    <row r="32039">
      <c r="A32039" s="1" t="n">
        <v>32038</v>
      </c>
      <c r="B32039">
        <f>TEXT(32038, "[$-0E0000]yyyy-mm-dd")</f>
        <v/>
      </c>
      <c r="C32039" t="inlineStr">
        <is>
          <t>1987-07-27</t>
        </is>
      </c>
    </row>
    <row r="32040">
      <c r="A32040" s="1" t="n">
        <v>32039</v>
      </c>
      <c r="B32040">
        <f>TEXT(32039, "[$-0E0000]yyyy-mm-dd")</f>
        <v/>
      </c>
      <c r="C32040" t="inlineStr">
        <is>
          <t>1987-07-28</t>
        </is>
      </c>
    </row>
    <row r="32041">
      <c r="A32041" s="1" t="n">
        <v>32040</v>
      </c>
      <c r="B32041">
        <f>TEXT(32040, "[$-0E0000]yyyy-mm-dd")</f>
        <v/>
      </c>
      <c r="C32041" t="inlineStr">
        <is>
          <t>1987-07-29</t>
        </is>
      </c>
    </row>
    <row r="32042">
      <c r="A32042" s="1" t="n">
        <v>32041</v>
      </c>
      <c r="B32042">
        <f>TEXT(32041, "[$-0E0000]yyyy-mm-dd")</f>
        <v/>
      </c>
      <c r="C32042" t="inlineStr">
        <is>
          <t>1987-07-30</t>
        </is>
      </c>
    </row>
    <row r="32043">
      <c r="A32043" s="1" t="n">
        <v>32042</v>
      </c>
      <c r="B32043">
        <f>TEXT(32042, "[$-0E0000]yyyy-mm-dd")</f>
        <v/>
      </c>
      <c r="C32043" t="inlineStr">
        <is>
          <t>1987-08-01</t>
        </is>
      </c>
    </row>
    <row r="32044">
      <c r="A32044" s="1" t="n">
        <v>32043</v>
      </c>
      <c r="B32044">
        <f>TEXT(32043, "[$-0E0000]yyyy-mm-dd")</f>
        <v/>
      </c>
      <c r="C32044" t="inlineStr">
        <is>
          <t>1987-08-02</t>
        </is>
      </c>
    </row>
    <row r="32045">
      <c r="A32045" s="1" t="n">
        <v>32044</v>
      </c>
      <c r="B32045">
        <f>TEXT(32044, "[$-0E0000]yyyy-mm-dd")</f>
        <v/>
      </c>
      <c r="C32045" t="inlineStr">
        <is>
          <t>1987-08-03</t>
        </is>
      </c>
    </row>
    <row r="32046">
      <c r="A32046" s="1" t="n">
        <v>32045</v>
      </c>
      <c r="B32046">
        <f>TEXT(32045, "[$-0E0000]yyyy-mm-dd")</f>
        <v/>
      </c>
      <c r="C32046" t="inlineStr">
        <is>
          <t>1987-08-04</t>
        </is>
      </c>
    </row>
    <row r="32047">
      <c r="A32047" s="1" t="n">
        <v>32046</v>
      </c>
      <c r="B32047">
        <f>TEXT(32046, "[$-0E0000]yyyy-mm-dd")</f>
        <v/>
      </c>
      <c r="C32047" t="inlineStr">
        <is>
          <t>1987-08-05</t>
        </is>
      </c>
    </row>
    <row r="32048">
      <c r="A32048" s="1" t="n">
        <v>32047</v>
      </c>
      <c r="B32048">
        <f>TEXT(32047, "[$-0E0000]yyyy-mm-dd")</f>
        <v/>
      </c>
      <c r="C32048" t="inlineStr">
        <is>
          <t>1987-08-06</t>
        </is>
      </c>
    </row>
    <row r="32049">
      <c r="A32049" s="1" t="n">
        <v>32048</v>
      </c>
      <c r="B32049">
        <f>TEXT(32048, "[$-0E0000]yyyy-mm-dd")</f>
        <v/>
      </c>
      <c r="C32049" t="inlineStr">
        <is>
          <t>1987-08-07</t>
        </is>
      </c>
    </row>
    <row r="32050">
      <c r="A32050" s="1" t="n">
        <v>32049</v>
      </c>
      <c r="B32050">
        <f>TEXT(32049, "[$-0E0000]yyyy-mm-dd")</f>
        <v/>
      </c>
      <c r="C32050" t="inlineStr">
        <is>
          <t>1987-08-08</t>
        </is>
      </c>
    </row>
    <row r="32051">
      <c r="A32051" s="1" t="n">
        <v>32050</v>
      </c>
      <c r="B32051">
        <f>TEXT(32050, "[$-0E0000]yyyy-mm-dd")</f>
        <v/>
      </c>
      <c r="C32051" t="inlineStr">
        <is>
          <t>1987-08-09</t>
        </is>
      </c>
    </row>
    <row r="32052">
      <c r="A32052" s="1" t="n">
        <v>32051</v>
      </c>
      <c r="B32052">
        <f>TEXT(32051, "[$-0E0000]yyyy-mm-dd")</f>
        <v/>
      </c>
      <c r="C32052" t="inlineStr">
        <is>
          <t>1987-08-10</t>
        </is>
      </c>
    </row>
    <row r="32053">
      <c r="A32053" s="1" t="n">
        <v>32052</v>
      </c>
      <c r="B32053">
        <f>TEXT(32052, "[$-0E0000]yyyy-mm-dd")</f>
        <v/>
      </c>
      <c r="C32053" t="inlineStr">
        <is>
          <t>1987-08-11</t>
        </is>
      </c>
    </row>
    <row r="32054">
      <c r="A32054" s="1" t="n">
        <v>32053</v>
      </c>
      <c r="B32054">
        <f>TEXT(32053, "[$-0E0000]yyyy-mm-dd")</f>
        <v/>
      </c>
      <c r="C32054" t="inlineStr">
        <is>
          <t>1987-08-12</t>
        </is>
      </c>
    </row>
    <row r="32055">
      <c r="A32055" s="1" t="n">
        <v>32054</v>
      </c>
      <c r="B32055">
        <f>TEXT(32054, "[$-0E0000]yyyy-mm-dd")</f>
        <v/>
      </c>
      <c r="C32055" t="inlineStr">
        <is>
          <t>1987-08-13</t>
        </is>
      </c>
    </row>
    <row r="32056">
      <c r="A32056" s="1" t="n">
        <v>32055</v>
      </c>
      <c r="B32056">
        <f>TEXT(32055, "[$-0E0000]yyyy-mm-dd")</f>
        <v/>
      </c>
      <c r="C32056" t="inlineStr">
        <is>
          <t>1987-08-14</t>
        </is>
      </c>
    </row>
    <row r="32057">
      <c r="A32057" s="1" t="n">
        <v>32056</v>
      </c>
      <c r="B32057">
        <f>TEXT(32056, "[$-0E0000]yyyy-mm-dd")</f>
        <v/>
      </c>
      <c r="C32057" t="inlineStr">
        <is>
          <t>1987-08-15</t>
        </is>
      </c>
    </row>
    <row r="32058">
      <c r="A32058" s="1" t="n">
        <v>32057</v>
      </c>
      <c r="B32058">
        <f>TEXT(32057, "[$-0E0000]yyyy-mm-dd")</f>
        <v/>
      </c>
      <c r="C32058" t="inlineStr">
        <is>
          <t>1987-08-16</t>
        </is>
      </c>
    </row>
    <row r="32059">
      <c r="A32059" s="1" t="n">
        <v>32058</v>
      </c>
      <c r="B32059">
        <f>TEXT(32058, "[$-0E0000]yyyy-mm-dd")</f>
        <v/>
      </c>
      <c r="C32059" t="inlineStr">
        <is>
          <t>1987-08-17</t>
        </is>
      </c>
    </row>
    <row r="32060">
      <c r="A32060" s="1" t="n">
        <v>32059</v>
      </c>
      <c r="B32060">
        <f>TEXT(32059, "[$-0E0000]yyyy-mm-dd")</f>
        <v/>
      </c>
      <c r="C32060" t="inlineStr">
        <is>
          <t>1987-08-18</t>
        </is>
      </c>
    </row>
    <row r="32061">
      <c r="A32061" s="1" t="n">
        <v>32060</v>
      </c>
      <c r="B32061">
        <f>TEXT(32060, "[$-0E0000]yyyy-mm-dd")</f>
        <v/>
      </c>
      <c r="C32061" t="inlineStr">
        <is>
          <t>1987-08-19</t>
        </is>
      </c>
    </row>
    <row r="32062">
      <c r="A32062" s="1" t="n">
        <v>32061</v>
      </c>
      <c r="B32062">
        <f>TEXT(32061, "[$-0E0000]yyyy-mm-dd")</f>
        <v/>
      </c>
      <c r="C32062" t="inlineStr">
        <is>
          <t>1987-08-20</t>
        </is>
      </c>
    </row>
    <row r="32063">
      <c r="A32063" s="1" t="n">
        <v>32062</v>
      </c>
      <c r="B32063">
        <f>TEXT(32062, "[$-0E0000]yyyy-mm-dd")</f>
        <v/>
      </c>
      <c r="C32063" t="inlineStr">
        <is>
          <t>1987-08-21</t>
        </is>
      </c>
    </row>
    <row r="32064">
      <c r="A32064" s="1" t="n">
        <v>32063</v>
      </c>
      <c r="B32064">
        <f>TEXT(32063, "[$-0E0000]yyyy-mm-dd")</f>
        <v/>
      </c>
      <c r="C32064" t="inlineStr">
        <is>
          <t>1987-08-22</t>
        </is>
      </c>
    </row>
    <row r="32065">
      <c r="A32065" s="1" t="n">
        <v>32064</v>
      </c>
      <c r="B32065">
        <f>TEXT(32064, "[$-0E0000]yyyy-mm-dd")</f>
        <v/>
      </c>
      <c r="C32065" t="inlineStr">
        <is>
          <t>1987-08-23</t>
        </is>
      </c>
    </row>
    <row r="32066">
      <c r="A32066" s="1" t="n">
        <v>32065</v>
      </c>
      <c r="B32066">
        <f>TEXT(32065, "[$-0E0000]yyyy-mm-dd")</f>
        <v/>
      </c>
      <c r="C32066" t="inlineStr">
        <is>
          <t>1987-08-24</t>
        </is>
      </c>
    </row>
    <row r="32067">
      <c r="A32067" s="1" t="n">
        <v>32066</v>
      </c>
      <c r="B32067">
        <f>TEXT(32066, "[$-0E0000]yyyy-mm-dd")</f>
        <v/>
      </c>
      <c r="C32067" t="inlineStr">
        <is>
          <t>1987-08-25</t>
        </is>
      </c>
    </row>
    <row r="32068">
      <c r="A32068" s="1" t="n">
        <v>32067</v>
      </c>
      <c r="B32068">
        <f>TEXT(32067, "[$-0E0000]yyyy-mm-dd")</f>
        <v/>
      </c>
      <c r="C32068" t="inlineStr">
        <is>
          <t>1987-08-26</t>
        </is>
      </c>
    </row>
    <row r="32069">
      <c r="A32069" s="1" t="n">
        <v>32068</v>
      </c>
      <c r="B32069">
        <f>TEXT(32068, "[$-0E0000]yyyy-mm-dd")</f>
        <v/>
      </c>
      <c r="C32069" t="inlineStr">
        <is>
          <t>1987-08-27</t>
        </is>
      </c>
    </row>
    <row r="32070">
      <c r="A32070" s="1" t="n">
        <v>32069</v>
      </c>
      <c r="B32070">
        <f>TEXT(32069, "[$-0E0000]yyyy-mm-dd")</f>
        <v/>
      </c>
      <c r="C32070" t="inlineStr">
        <is>
          <t>1987-08-28</t>
        </is>
      </c>
    </row>
    <row r="32071">
      <c r="A32071" s="1" t="n">
        <v>32070</v>
      </c>
      <c r="B32071">
        <f>TEXT(32070, "[$-0E0000]yyyy-mm-dd")</f>
        <v/>
      </c>
      <c r="C32071" t="inlineStr">
        <is>
          <t>1987-08-29</t>
        </is>
      </c>
    </row>
    <row r="32072">
      <c r="A32072" s="1" t="n">
        <v>32071</v>
      </c>
      <c r="B32072">
        <f>TEXT(32071, "[$-0E0000]yyyy-mm-dd")</f>
        <v/>
      </c>
      <c r="C32072" t="inlineStr">
        <is>
          <t>1987-08-30</t>
        </is>
      </c>
    </row>
    <row r="32073">
      <c r="A32073" s="1" t="n">
        <v>32072</v>
      </c>
      <c r="B32073">
        <f>TEXT(32072, "[$-0E0000]yyyy-mm-dd")</f>
        <v/>
      </c>
      <c r="C32073" t="inlineStr">
        <is>
          <t>1987-09-01</t>
        </is>
      </c>
    </row>
    <row r="32074">
      <c r="A32074" s="1" t="n">
        <v>32073</v>
      </c>
      <c r="B32074">
        <f>TEXT(32073, "[$-0E0000]yyyy-mm-dd")</f>
        <v/>
      </c>
      <c r="C32074" t="inlineStr">
        <is>
          <t>1987-09-02</t>
        </is>
      </c>
    </row>
    <row r="32075">
      <c r="A32075" s="1" t="n">
        <v>32074</v>
      </c>
      <c r="B32075">
        <f>TEXT(32074, "[$-0E0000]yyyy-mm-dd")</f>
        <v/>
      </c>
      <c r="C32075" t="inlineStr">
        <is>
          <t>1987-09-03</t>
        </is>
      </c>
    </row>
    <row r="32076">
      <c r="A32076" s="1" t="n">
        <v>32075</v>
      </c>
      <c r="B32076">
        <f>TEXT(32075, "[$-0E0000]yyyy-mm-dd")</f>
        <v/>
      </c>
      <c r="C32076" t="inlineStr">
        <is>
          <t>1987-09-04</t>
        </is>
      </c>
    </row>
    <row r="32077">
      <c r="A32077" s="1" t="n">
        <v>32076</v>
      </c>
      <c r="B32077">
        <f>TEXT(32076, "[$-0E0000]yyyy-mm-dd")</f>
        <v/>
      </c>
      <c r="C32077" t="inlineStr">
        <is>
          <t>1987-09-05</t>
        </is>
      </c>
    </row>
    <row r="32078">
      <c r="A32078" s="1" t="n">
        <v>32077</v>
      </c>
      <c r="B32078">
        <f>TEXT(32077, "[$-0E0000]yyyy-mm-dd")</f>
        <v/>
      </c>
      <c r="C32078" t="inlineStr">
        <is>
          <t>1987-09-06</t>
        </is>
      </c>
    </row>
    <row r="32079">
      <c r="A32079" s="1" t="n">
        <v>32078</v>
      </c>
      <c r="B32079">
        <f>TEXT(32078, "[$-0E0000]yyyy-mm-dd")</f>
        <v/>
      </c>
      <c r="C32079" t="inlineStr">
        <is>
          <t>1987-09-07</t>
        </is>
      </c>
    </row>
    <row r="32080">
      <c r="A32080" s="1" t="n">
        <v>32079</v>
      </c>
      <c r="B32080">
        <f>TEXT(32079, "[$-0E0000]yyyy-mm-dd")</f>
        <v/>
      </c>
      <c r="C32080" t="inlineStr">
        <is>
          <t>1987-09-08</t>
        </is>
      </c>
    </row>
    <row r="32081">
      <c r="A32081" s="1" t="n">
        <v>32080</v>
      </c>
      <c r="B32081">
        <f>TEXT(32080, "[$-0E0000]yyyy-mm-dd")</f>
        <v/>
      </c>
      <c r="C32081" t="inlineStr">
        <is>
          <t>1987-09-09</t>
        </is>
      </c>
    </row>
    <row r="32082">
      <c r="A32082" s="1" t="n">
        <v>32081</v>
      </c>
      <c r="B32082">
        <f>TEXT(32081, "[$-0E0000]yyyy-mm-dd")</f>
        <v/>
      </c>
      <c r="C32082" t="inlineStr">
        <is>
          <t>1987-09-10</t>
        </is>
      </c>
    </row>
    <row r="32083">
      <c r="A32083" s="1" t="n">
        <v>32082</v>
      </c>
      <c r="B32083">
        <f>TEXT(32082, "[$-0E0000]yyyy-mm-dd")</f>
        <v/>
      </c>
      <c r="C32083" t="inlineStr">
        <is>
          <t>1987-09-11</t>
        </is>
      </c>
    </row>
    <row r="32084">
      <c r="A32084" s="1" t="n">
        <v>32083</v>
      </c>
      <c r="B32084">
        <f>TEXT(32083, "[$-0E0000]yyyy-mm-dd")</f>
        <v/>
      </c>
      <c r="C32084" t="inlineStr">
        <is>
          <t>1987-09-12</t>
        </is>
      </c>
    </row>
    <row r="32085">
      <c r="A32085" s="1" t="n">
        <v>32084</v>
      </c>
      <c r="B32085">
        <f>TEXT(32084, "[$-0E0000]yyyy-mm-dd")</f>
        <v/>
      </c>
      <c r="C32085" t="inlineStr">
        <is>
          <t>1987-09-13</t>
        </is>
      </c>
    </row>
    <row r="32086">
      <c r="A32086" s="1" t="n">
        <v>32085</v>
      </c>
      <c r="B32086">
        <f>TEXT(32085, "[$-0E0000]yyyy-mm-dd")</f>
        <v/>
      </c>
      <c r="C32086" t="inlineStr">
        <is>
          <t>1987-09-14</t>
        </is>
      </c>
    </row>
    <row r="32087">
      <c r="A32087" s="1" t="n">
        <v>32086</v>
      </c>
      <c r="B32087">
        <f>TEXT(32086, "[$-0E0000]yyyy-mm-dd")</f>
        <v/>
      </c>
      <c r="C32087" t="inlineStr">
        <is>
          <t>1987-09-15</t>
        </is>
      </c>
    </row>
    <row r="32088">
      <c r="A32088" s="1" t="n">
        <v>32087</v>
      </c>
      <c r="B32088">
        <f>TEXT(32087, "[$-0E0000]yyyy-mm-dd")</f>
        <v/>
      </c>
      <c r="C32088" t="inlineStr">
        <is>
          <t>1987-09-16</t>
        </is>
      </c>
    </row>
    <row r="32089">
      <c r="A32089" s="1" t="n">
        <v>32088</v>
      </c>
      <c r="B32089">
        <f>TEXT(32088, "[$-0E0000]yyyy-mm-dd")</f>
        <v/>
      </c>
      <c r="C32089" t="inlineStr">
        <is>
          <t>1987-09-17</t>
        </is>
      </c>
    </row>
    <row r="32090">
      <c r="A32090" s="1" t="n">
        <v>32089</v>
      </c>
      <c r="B32090">
        <f>TEXT(32089, "[$-0E0000]yyyy-mm-dd")</f>
        <v/>
      </c>
      <c r="C32090" t="inlineStr">
        <is>
          <t>1987-09-18</t>
        </is>
      </c>
    </row>
    <row r="32091">
      <c r="A32091" s="1" t="n">
        <v>32090</v>
      </c>
      <c r="B32091">
        <f>TEXT(32090, "[$-0E0000]yyyy-mm-dd")</f>
        <v/>
      </c>
      <c r="C32091" t="inlineStr">
        <is>
          <t>1987-09-19</t>
        </is>
      </c>
    </row>
    <row r="32092">
      <c r="A32092" s="1" t="n">
        <v>32091</v>
      </c>
      <c r="B32092">
        <f>TEXT(32091, "[$-0E0000]yyyy-mm-dd")</f>
        <v/>
      </c>
      <c r="C32092" t="inlineStr">
        <is>
          <t>1987-09-20</t>
        </is>
      </c>
    </row>
    <row r="32093">
      <c r="A32093" s="1" t="n">
        <v>32092</v>
      </c>
      <c r="B32093">
        <f>TEXT(32092, "[$-0E0000]yyyy-mm-dd")</f>
        <v/>
      </c>
      <c r="C32093" t="inlineStr">
        <is>
          <t>1987-09-21</t>
        </is>
      </c>
    </row>
    <row r="32094">
      <c r="A32094" s="1" t="n">
        <v>32093</v>
      </c>
      <c r="B32094">
        <f>TEXT(32093, "[$-0E0000]yyyy-mm-dd")</f>
        <v/>
      </c>
      <c r="C32094" t="inlineStr">
        <is>
          <t>1987-09-22</t>
        </is>
      </c>
    </row>
    <row r="32095">
      <c r="A32095" s="1" t="n">
        <v>32094</v>
      </c>
      <c r="B32095">
        <f>TEXT(32094, "[$-0E0000]yyyy-mm-dd")</f>
        <v/>
      </c>
      <c r="C32095" t="inlineStr">
        <is>
          <t>1987-09-23</t>
        </is>
      </c>
    </row>
    <row r="32096">
      <c r="A32096" s="1" t="n">
        <v>32095</v>
      </c>
      <c r="B32096">
        <f>TEXT(32095, "[$-0E0000]yyyy-mm-dd")</f>
        <v/>
      </c>
      <c r="C32096" t="inlineStr">
        <is>
          <t>1987-09-24</t>
        </is>
      </c>
    </row>
    <row r="32097">
      <c r="A32097" s="1" t="n">
        <v>32096</v>
      </c>
      <c r="B32097">
        <f>TEXT(32096, "[$-0E0000]yyyy-mm-dd")</f>
        <v/>
      </c>
      <c r="C32097" t="inlineStr">
        <is>
          <t>1987-09-25</t>
        </is>
      </c>
    </row>
    <row r="32098">
      <c r="A32098" s="1" t="n">
        <v>32097</v>
      </c>
      <c r="B32098">
        <f>TEXT(32097, "[$-0E0000]yyyy-mm-dd")</f>
        <v/>
      </c>
      <c r="C32098" t="inlineStr">
        <is>
          <t>1987-09-26</t>
        </is>
      </c>
    </row>
    <row r="32099">
      <c r="A32099" s="1" t="n">
        <v>32098</v>
      </c>
      <c r="B32099">
        <f>TEXT(32098, "[$-0E0000]yyyy-mm-dd")</f>
        <v/>
      </c>
      <c r="C32099" t="inlineStr">
        <is>
          <t>1987-09-27</t>
        </is>
      </c>
    </row>
    <row r="32100">
      <c r="A32100" s="1" t="n">
        <v>32099</v>
      </c>
      <c r="B32100">
        <f>TEXT(32099, "[$-0E0000]yyyy-mm-dd")</f>
        <v/>
      </c>
      <c r="C32100" t="inlineStr">
        <is>
          <t>1987-09-28</t>
        </is>
      </c>
    </row>
    <row r="32101">
      <c r="A32101" s="1" t="n">
        <v>32100</v>
      </c>
      <c r="B32101">
        <f>TEXT(32100, "[$-0E0000]yyyy-mm-dd")</f>
        <v/>
      </c>
      <c r="C32101" t="inlineStr">
        <is>
          <t>1987-09-29</t>
        </is>
      </c>
    </row>
    <row r="32102">
      <c r="A32102" s="1" t="n">
        <v>32101</v>
      </c>
      <c r="B32102">
        <f>TEXT(32101, "[$-0E0000]yyyy-mm-dd")</f>
        <v/>
      </c>
      <c r="C32102" t="inlineStr">
        <is>
          <t>1987-10-01</t>
        </is>
      </c>
    </row>
    <row r="32103">
      <c r="A32103" s="1" t="n">
        <v>32102</v>
      </c>
      <c r="B32103">
        <f>TEXT(32102, "[$-0E0000]yyyy-mm-dd")</f>
        <v/>
      </c>
      <c r="C32103" t="inlineStr">
        <is>
          <t>1987-10-02</t>
        </is>
      </c>
    </row>
    <row r="32104">
      <c r="A32104" s="1" t="n">
        <v>32103</v>
      </c>
      <c r="B32104">
        <f>TEXT(32103, "[$-0E0000]yyyy-mm-dd")</f>
        <v/>
      </c>
      <c r="C32104" t="inlineStr">
        <is>
          <t>1987-10-03</t>
        </is>
      </c>
    </row>
    <row r="32105">
      <c r="A32105" s="1" t="n">
        <v>32104</v>
      </c>
      <c r="B32105">
        <f>TEXT(32104, "[$-0E0000]yyyy-mm-dd")</f>
        <v/>
      </c>
      <c r="C32105" t="inlineStr">
        <is>
          <t>1987-10-04</t>
        </is>
      </c>
    </row>
    <row r="32106">
      <c r="A32106" s="1" t="n">
        <v>32105</v>
      </c>
      <c r="B32106">
        <f>TEXT(32105, "[$-0E0000]yyyy-mm-dd")</f>
        <v/>
      </c>
      <c r="C32106" t="inlineStr">
        <is>
          <t>1987-10-05</t>
        </is>
      </c>
    </row>
    <row r="32107">
      <c r="A32107" s="1" t="n">
        <v>32106</v>
      </c>
      <c r="B32107">
        <f>TEXT(32106, "[$-0E0000]yyyy-mm-dd")</f>
        <v/>
      </c>
      <c r="C32107" t="inlineStr">
        <is>
          <t>1987-10-06</t>
        </is>
      </c>
    </row>
    <row r="32108">
      <c r="A32108" s="1" t="n">
        <v>32107</v>
      </c>
      <c r="B32108">
        <f>TEXT(32107, "[$-0E0000]yyyy-mm-dd")</f>
        <v/>
      </c>
      <c r="C32108" t="inlineStr">
        <is>
          <t>1987-10-07</t>
        </is>
      </c>
    </row>
    <row r="32109">
      <c r="A32109" s="1" t="n">
        <v>32108</v>
      </c>
      <c r="B32109">
        <f>TEXT(32108, "[$-0E0000]yyyy-mm-dd")</f>
        <v/>
      </c>
      <c r="C32109" t="inlineStr">
        <is>
          <t>1987-10-08</t>
        </is>
      </c>
    </row>
    <row r="32110">
      <c r="A32110" s="1" t="n">
        <v>32109</v>
      </c>
      <c r="B32110">
        <f>TEXT(32109, "[$-0E0000]yyyy-mm-dd")</f>
        <v/>
      </c>
      <c r="C32110" t="inlineStr">
        <is>
          <t>1987-10-09</t>
        </is>
      </c>
    </row>
    <row r="32111">
      <c r="A32111" s="1" t="n">
        <v>32110</v>
      </c>
      <c r="B32111">
        <f>TEXT(32110, "[$-0E0000]yyyy-mm-dd")</f>
        <v/>
      </c>
      <c r="C32111" t="inlineStr">
        <is>
          <t>1987-10-10</t>
        </is>
      </c>
    </row>
    <row r="32112">
      <c r="A32112" s="1" t="n">
        <v>32111</v>
      </c>
      <c r="B32112">
        <f>TEXT(32111, "[$-0E0000]yyyy-mm-dd")</f>
        <v/>
      </c>
      <c r="C32112" t="inlineStr">
        <is>
          <t>1987-10-11</t>
        </is>
      </c>
    </row>
    <row r="32113">
      <c r="A32113" s="1" t="n">
        <v>32112</v>
      </c>
      <c r="B32113">
        <f>TEXT(32112, "[$-0E0000]yyyy-mm-dd")</f>
        <v/>
      </c>
      <c r="C32113" t="inlineStr">
        <is>
          <t>1987-10-12</t>
        </is>
      </c>
    </row>
    <row r="32114">
      <c r="A32114" s="1" t="n">
        <v>32113</v>
      </c>
      <c r="B32114">
        <f>TEXT(32113, "[$-0E0000]yyyy-mm-dd")</f>
        <v/>
      </c>
      <c r="C32114" t="inlineStr">
        <is>
          <t>1987-10-13</t>
        </is>
      </c>
    </row>
    <row r="32115">
      <c r="A32115" s="1" t="n">
        <v>32114</v>
      </c>
      <c r="B32115">
        <f>TEXT(32114, "[$-0E0000]yyyy-mm-dd")</f>
        <v/>
      </c>
      <c r="C32115" t="inlineStr">
        <is>
          <t>1987-10-14</t>
        </is>
      </c>
    </row>
    <row r="32116">
      <c r="A32116" s="1" t="n">
        <v>32115</v>
      </c>
      <c r="B32116">
        <f>TEXT(32115, "[$-0E0000]yyyy-mm-dd")</f>
        <v/>
      </c>
      <c r="C32116" t="inlineStr">
        <is>
          <t>1987-10-15</t>
        </is>
      </c>
    </row>
    <row r="32117">
      <c r="A32117" s="1" t="n">
        <v>32116</v>
      </c>
      <c r="B32117">
        <f>TEXT(32116, "[$-0E0000]yyyy-mm-dd")</f>
        <v/>
      </c>
      <c r="C32117" t="inlineStr">
        <is>
          <t>1987-10-16</t>
        </is>
      </c>
    </row>
    <row r="32118">
      <c r="A32118" s="1" t="n">
        <v>32117</v>
      </c>
      <c r="B32118">
        <f>TEXT(32117, "[$-0E0000]yyyy-mm-dd")</f>
        <v/>
      </c>
      <c r="C32118" t="inlineStr">
        <is>
          <t>1987-10-17</t>
        </is>
      </c>
    </row>
    <row r="32119">
      <c r="A32119" s="1" t="n">
        <v>32118</v>
      </c>
      <c r="B32119">
        <f>TEXT(32118, "[$-0E0000]yyyy-mm-dd")</f>
        <v/>
      </c>
      <c r="C32119" t="inlineStr">
        <is>
          <t>1987-10-18</t>
        </is>
      </c>
    </row>
    <row r="32120">
      <c r="A32120" s="1" t="n">
        <v>32119</v>
      </c>
      <c r="B32120">
        <f>TEXT(32119, "[$-0E0000]yyyy-mm-dd")</f>
        <v/>
      </c>
      <c r="C32120" t="inlineStr">
        <is>
          <t>1987-10-19</t>
        </is>
      </c>
    </row>
    <row r="32121">
      <c r="A32121" s="1" t="n">
        <v>32120</v>
      </c>
      <c r="B32121">
        <f>TEXT(32120, "[$-0E0000]yyyy-mm-dd")</f>
        <v/>
      </c>
      <c r="C32121" t="inlineStr">
        <is>
          <t>1987-10-20</t>
        </is>
      </c>
    </row>
    <row r="32122">
      <c r="A32122" s="1" t="n">
        <v>32121</v>
      </c>
      <c r="B32122">
        <f>TEXT(32121, "[$-0E0000]yyyy-mm-dd")</f>
        <v/>
      </c>
      <c r="C32122" t="inlineStr">
        <is>
          <t>1987-10-21</t>
        </is>
      </c>
    </row>
    <row r="32123">
      <c r="A32123" s="1" t="n">
        <v>32122</v>
      </c>
      <c r="B32123">
        <f>TEXT(32122, "[$-0E0000]yyyy-mm-dd")</f>
        <v/>
      </c>
      <c r="C32123" t="inlineStr">
        <is>
          <t>1987-10-22</t>
        </is>
      </c>
    </row>
    <row r="32124">
      <c r="A32124" s="1" t="n">
        <v>32123</v>
      </c>
      <c r="B32124">
        <f>TEXT(32123, "[$-0E0000]yyyy-mm-dd")</f>
        <v/>
      </c>
      <c r="C32124" t="inlineStr">
        <is>
          <t>1987-10-23</t>
        </is>
      </c>
    </row>
    <row r="32125">
      <c r="A32125" s="1" t="n">
        <v>32124</v>
      </c>
      <c r="B32125">
        <f>TEXT(32124, "[$-0E0000]yyyy-mm-dd")</f>
        <v/>
      </c>
      <c r="C32125" t="inlineStr">
        <is>
          <t>1987-10-24</t>
        </is>
      </c>
    </row>
    <row r="32126">
      <c r="A32126" s="1" t="n">
        <v>32125</v>
      </c>
      <c r="B32126">
        <f>TEXT(32125, "[$-0E0000]yyyy-mm-dd")</f>
        <v/>
      </c>
      <c r="C32126" t="inlineStr">
        <is>
          <t>1987-10-25</t>
        </is>
      </c>
    </row>
    <row r="32127">
      <c r="A32127" s="1" t="n">
        <v>32126</v>
      </c>
      <c r="B32127">
        <f>TEXT(32126, "[$-0E0000]yyyy-mm-dd")</f>
        <v/>
      </c>
      <c r="C32127" t="inlineStr">
        <is>
          <t>1987-10-26</t>
        </is>
      </c>
    </row>
    <row r="32128">
      <c r="A32128" s="1" t="n">
        <v>32127</v>
      </c>
      <c r="B32128">
        <f>TEXT(32127, "[$-0E0000]yyyy-mm-dd")</f>
        <v/>
      </c>
      <c r="C32128" t="inlineStr">
        <is>
          <t>1987-10-27</t>
        </is>
      </c>
    </row>
    <row r="32129">
      <c r="A32129" s="1" t="n">
        <v>32128</v>
      </c>
      <c r="B32129">
        <f>TEXT(32128, "[$-0E0000]yyyy-mm-dd")</f>
        <v/>
      </c>
      <c r="C32129" t="inlineStr">
        <is>
          <t>1987-10-28</t>
        </is>
      </c>
    </row>
    <row r="32130">
      <c r="A32130" s="1" t="n">
        <v>32129</v>
      </c>
      <c r="B32130">
        <f>TEXT(32129, "[$-0E0000]yyyy-mm-dd")</f>
        <v/>
      </c>
      <c r="C32130" t="inlineStr">
        <is>
          <t>1987-10-29</t>
        </is>
      </c>
    </row>
    <row r="32131">
      <c r="A32131" s="1" t="n">
        <v>32130</v>
      </c>
      <c r="B32131">
        <f>TEXT(32130, "[$-0E0000]yyyy-mm-dd")</f>
        <v/>
      </c>
      <c r="C32131" t="inlineStr">
        <is>
          <t>1987-10-30</t>
        </is>
      </c>
    </row>
    <row r="32132">
      <c r="A32132" s="1" t="n">
        <v>32131</v>
      </c>
      <c r="B32132">
        <f>TEXT(32131, "[$-0E0000]yyyy-mm-dd")</f>
        <v/>
      </c>
      <c r="C32132" t="inlineStr">
        <is>
          <t>1987-11-01</t>
        </is>
      </c>
    </row>
    <row r="32133">
      <c r="A32133" s="1" t="n">
        <v>32132</v>
      </c>
      <c r="B32133">
        <f>TEXT(32132, "[$-0E0000]yyyy-mm-dd")</f>
        <v/>
      </c>
      <c r="C32133" t="inlineStr">
        <is>
          <t>1987-11-02</t>
        </is>
      </c>
    </row>
    <row r="32134">
      <c r="A32134" s="1" t="n">
        <v>32133</v>
      </c>
      <c r="B32134">
        <f>TEXT(32133, "[$-0E0000]yyyy-mm-dd")</f>
        <v/>
      </c>
      <c r="C32134" t="inlineStr">
        <is>
          <t>1987-11-03</t>
        </is>
      </c>
    </row>
    <row r="32135">
      <c r="A32135" s="1" t="n">
        <v>32134</v>
      </c>
      <c r="B32135">
        <f>TEXT(32134, "[$-0E0000]yyyy-mm-dd")</f>
        <v/>
      </c>
      <c r="C32135" t="inlineStr">
        <is>
          <t>1987-11-04</t>
        </is>
      </c>
    </row>
    <row r="32136">
      <c r="A32136" s="1" t="n">
        <v>32135</v>
      </c>
      <c r="B32136">
        <f>TEXT(32135, "[$-0E0000]yyyy-mm-dd")</f>
        <v/>
      </c>
      <c r="C32136" t="inlineStr">
        <is>
          <t>1987-11-05</t>
        </is>
      </c>
    </row>
    <row r="32137">
      <c r="A32137" s="1" t="n">
        <v>32136</v>
      </c>
      <c r="B32137">
        <f>TEXT(32136, "[$-0E0000]yyyy-mm-dd")</f>
        <v/>
      </c>
      <c r="C32137" t="inlineStr">
        <is>
          <t>1987-11-06</t>
        </is>
      </c>
    </row>
    <row r="32138">
      <c r="A32138" s="1" t="n">
        <v>32137</v>
      </c>
      <c r="B32138">
        <f>TEXT(32137, "[$-0E0000]yyyy-mm-dd")</f>
        <v/>
      </c>
      <c r="C32138" t="inlineStr">
        <is>
          <t>1987-11-07</t>
        </is>
      </c>
    </row>
    <row r="32139">
      <c r="A32139" s="1" t="n">
        <v>32138</v>
      </c>
      <c r="B32139">
        <f>TEXT(32138, "[$-0E0000]yyyy-mm-dd")</f>
        <v/>
      </c>
      <c r="C32139" t="inlineStr">
        <is>
          <t>1987-11-08</t>
        </is>
      </c>
    </row>
    <row r="32140">
      <c r="A32140" s="1" t="n">
        <v>32139</v>
      </c>
      <c r="B32140">
        <f>TEXT(32139, "[$-0E0000]yyyy-mm-dd")</f>
        <v/>
      </c>
      <c r="C32140" t="inlineStr">
        <is>
          <t>1987-11-09</t>
        </is>
      </c>
    </row>
    <row r="32141">
      <c r="A32141" s="1" t="n">
        <v>32140</v>
      </c>
      <c r="B32141">
        <f>TEXT(32140, "[$-0E0000]yyyy-mm-dd")</f>
        <v/>
      </c>
      <c r="C32141" t="inlineStr">
        <is>
          <t>1987-11-10</t>
        </is>
      </c>
    </row>
    <row r="32142">
      <c r="A32142" s="1" t="n">
        <v>32141</v>
      </c>
      <c r="B32142">
        <f>TEXT(32141, "[$-0E0000]yyyy-mm-dd")</f>
        <v/>
      </c>
      <c r="C32142" t="inlineStr">
        <is>
          <t>1987-11-11</t>
        </is>
      </c>
    </row>
    <row r="32143">
      <c r="A32143" s="1" t="n">
        <v>32142</v>
      </c>
      <c r="B32143">
        <f>TEXT(32142, "[$-0E0000]yyyy-mm-dd")</f>
        <v/>
      </c>
      <c r="C32143" t="inlineStr">
        <is>
          <t>1987-11-12</t>
        </is>
      </c>
    </row>
    <row r="32144">
      <c r="A32144" s="1" t="n">
        <v>32143</v>
      </c>
      <c r="B32144">
        <f>TEXT(32143, "[$-0E0000]yyyy-mm-dd")</f>
        <v/>
      </c>
      <c r="C32144" t="inlineStr">
        <is>
          <t>1987-11-13</t>
        </is>
      </c>
    </row>
    <row r="32145">
      <c r="A32145" s="1" t="n">
        <v>32144</v>
      </c>
      <c r="B32145">
        <f>TEXT(32144, "[$-0E0000]yyyy-mm-dd")</f>
        <v/>
      </c>
      <c r="C32145" t="inlineStr">
        <is>
          <t>1987-11-14</t>
        </is>
      </c>
    </row>
    <row r="32146">
      <c r="A32146" s="1" t="n">
        <v>32145</v>
      </c>
      <c r="B32146">
        <f>TEXT(32145, "[$-0E0000]yyyy-mm-dd")</f>
        <v/>
      </c>
      <c r="C32146" t="inlineStr">
        <is>
          <t>1987-11-15</t>
        </is>
      </c>
    </row>
    <row r="32147">
      <c r="A32147" s="1" t="n">
        <v>32146</v>
      </c>
      <c r="B32147">
        <f>TEXT(32146, "[$-0E0000]yyyy-mm-dd")</f>
        <v/>
      </c>
      <c r="C32147" t="inlineStr">
        <is>
          <t>1987-11-16</t>
        </is>
      </c>
    </row>
    <row r="32148">
      <c r="A32148" s="1" t="n">
        <v>32147</v>
      </c>
      <c r="B32148">
        <f>TEXT(32147, "[$-0E0000]yyyy-mm-dd")</f>
        <v/>
      </c>
      <c r="C32148" t="inlineStr">
        <is>
          <t>1987-11-17</t>
        </is>
      </c>
    </row>
    <row r="32149">
      <c r="A32149" s="1" t="n">
        <v>32148</v>
      </c>
      <c r="B32149">
        <f>TEXT(32148, "[$-0E0000]yyyy-mm-dd")</f>
        <v/>
      </c>
      <c r="C32149" t="inlineStr">
        <is>
          <t>1987-11-18</t>
        </is>
      </c>
    </row>
    <row r="32150">
      <c r="A32150" s="1" t="n">
        <v>32149</v>
      </c>
      <c r="B32150">
        <f>TEXT(32149, "[$-0E0000]yyyy-mm-dd")</f>
        <v/>
      </c>
      <c r="C32150" t="inlineStr">
        <is>
          <t>1987-11-19</t>
        </is>
      </c>
    </row>
    <row r="32151">
      <c r="A32151" s="1" t="n">
        <v>32150</v>
      </c>
      <c r="B32151">
        <f>TEXT(32150, "[$-0E0000]yyyy-mm-dd")</f>
        <v/>
      </c>
      <c r="C32151" t="inlineStr">
        <is>
          <t>1987-11-20</t>
        </is>
      </c>
    </row>
    <row r="32152">
      <c r="A32152" s="1" t="n">
        <v>32151</v>
      </c>
      <c r="B32152">
        <f>TEXT(32151, "[$-0E0000]yyyy-mm-dd")</f>
        <v/>
      </c>
      <c r="C32152" t="inlineStr">
        <is>
          <t>1987-11-21</t>
        </is>
      </c>
    </row>
    <row r="32153">
      <c r="A32153" s="1" t="n">
        <v>32152</v>
      </c>
      <c r="B32153">
        <f>TEXT(32152, "[$-0E0000]yyyy-mm-dd")</f>
        <v/>
      </c>
      <c r="C32153" t="inlineStr">
        <is>
          <t>1987-11-22</t>
        </is>
      </c>
    </row>
    <row r="32154">
      <c r="A32154" s="1" t="n">
        <v>32153</v>
      </c>
      <c r="B32154">
        <f>TEXT(32153, "[$-0E0000]yyyy-mm-dd")</f>
        <v/>
      </c>
      <c r="C32154" t="inlineStr">
        <is>
          <t>1987-11-23</t>
        </is>
      </c>
    </row>
    <row r="32155">
      <c r="A32155" s="1" t="n">
        <v>32154</v>
      </c>
      <c r="B32155">
        <f>TEXT(32154, "[$-0E0000]yyyy-mm-dd")</f>
        <v/>
      </c>
      <c r="C32155" t="inlineStr">
        <is>
          <t>1987-11-24</t>
        </is>
      </c>
    </row>
    <row r="32156">
      <c r="A32156" s="1" t="n">
        <v>32155</v>
      </c>
      <c r="B32156">
        <f>TEXT(32155, "[$-0E0000]yyyy-mm-dd")</f>
        <v/>
      </c>
      <c r="C32156" t="inlineStr">
        <is>
          <t>1987-11-25</t>
        </is>
      </c>
    </row>
    <row r="32157">
      <c r="A32157" s="1" t="n">
        <v>32156</v>
      </c>
      <c r="B32157">
        <f>TEXT(32156, "[$-0E0000]yyyy-mm-dd")</f>
        <v/>
      </c>
      <c r="C32157" t="inlineStr">
        <is>
          <t>1987-11-26</t>
        </is>
      </c>
    </row>
    <row r="32158">
      <c r="A32158" s="1" t="n">
        <v>32157</v>
      </c>
      <c r="B32158">
        <f>TEXT(32157, "[$-0E0000]yyyy-mm-dd")</f>
        <v/>
      </c>
      <c r="C32158" t="inlineStr">
        <is>
          <t>1987-11-27</t>
        </is>
      </c>
    </row>
    <row r="32159">
      <c r="A32159" s="1" t="n">
        <v>32158</v>
      </c>
      <c r="B32159">
        <f>TEXT(32158, "[$-0E0000]yyyy-mm-dd")</f>
        <v/>
      </c>
      <c r="C32159" t="inlineStr">
        <is>
          <t>1987-11-28</t>
        </is>
      </c>
    </row>
    <row r="32160">
      <c r="A32160" s="1" t="n">
        <v>32159</v>
      </c>
      <c r="B32160">
        <f>TEXT(32159, "[$-0E0000]yyyy-mm-dd")</f>
        <v/>
      </c>
      <c r="C32160" t="inlineStr">
        <is>
          <t>1987-11-29</t>
        </is>
      </c>
    </row>
    <row r="32161">
      <c r="A32161" s="1" t="n">
        <v>32160</v>
      </c>
      <c r="B32161">
        <f>TEXT(32160, "[$-0E0000]yyyy-mm-dd")</f>
        <v/>
      </c>
      <c r="C32161" t="inlineStr">
        <is>
          <t>1987-12-01</t>
        </is>
      </c>
    </row>
    <row r="32162">
      <c r="A32162" s="1" t="n">
        <v>32161</v>
      </c>
      <c r="B32162">
        <f>TEXT(32161, "[$-0E0000]yyyy-mm-dd")</f>
        <v/>
      </c>
      <c r="C32162" t="inlineStr">
        <is>
          <t>1987-12-02</t>
        </is>
      </c>
    </row>
    <row r="32163">
      <c r="A32163" s="1" t="n">
        <v>32162</v>
      </c>
      <c r="B32163">
        <f>TEXT(32162, "[$-0E0000]yyyy-mm-dd")</f>
        <v/>
      </c>
      <c r="C32163" t="inlineStr">
        <is>
          <t>1987-12-03</t>
        </is>
      </c>
    </row>
    <row r="32164">
      <c r="A32164" s="1" t="n">
        <v>32163</v>
      </c>
      <c r="B32164">
        <f>TEXT(32163, "[$-0E0000]yyyy-mm-dd")</f>
        <v/>
      </c>
      <c r="C32164" t="inlineStr">
        <is>
          <t>1987-12-04</t>
        </is>
      </c>
    </row>
    <row r="32165">
      <c r="A32165" s="1" t="n">
        <v>32164</v>
      </c>
      <c r="B32165">
        <f>TEXT(32164, "[$-0E0000]yyyy-mm-dd")</f>
        <v/>
      </c>
      <c r="C32165" t="inlineStr">
        <is>
          <t>1987-12-05</t>
        </is>
      </c>
    </row>
    <row r="32166">
      <c r="A32166" s="1" t="n">
        <v>32165</v>
      </c>
      <c r="B32166">
        <f>TEXT(32165, "[$-0E0000]yyyy-mm-dd")</f>
        <v/>
      </c>
      <c r="C32166" t="inlineStr">
        <is>
          <t>1987-12-06</t>
        </is>
      </c>
    </row>
    <row r="32167">
      <c r="A32167" s="1" t="n">
        <v>32166</v>
      </c>
      <c r="B32167">
        <f>TEXT(32166, "[$-0E0000]yyyy-mm-dd")</f>
        <v/>
      </c>
      <c r="C32167" t="inlineStr">
        <is>
          <t>1987-12-07</t>
        </is>
      </c>
    </row>
    <row r="32168">
      <c r="A32168" s="1" t="n">
        <v>32167</v>
      </c>
      <c r="B32168">
        <f>TEXT(32167, "[$-0E0000]yyyy-mm-dd")</f>
        <v/>
      </c>
      <c r="C32168" t="inlineStr">
        <is>
          <t>1987-12-08</t>
        </is>
      </c>
    </row>
    <row r="32169">
      <c r="A32169" s="1" t="n">
        <v>32168</v>
      </c>
      <c r="B32169">
        <f>TEXT(32168, "[$-0E0000]yyyy-mm-dd")</f>
        <v/>
      </c>
      <c r="C32169" t="inlineStr">
        <is>
          <t>1987-12-09</t>
        </is>
      </c>
    </row>
    <row r="32170">
      <c r="A32170" s="1" t="n">
        <v>32169</v>
      </c>
      <c r="B32170">
        <f>TEXT(32169, "[$-0E0000]yyyy-mm-dd")</f>
        <v/>
      </c>
      <c r="C32170" t="inlineStr">
        <is>
          <t>1987-12-10</t>
        </is>
      </c>
    </row>
    <row r="32171">
      <c r="A32171" s="1" t="n">
        <v>32170</v>
      </c>
      <c r="B32171">
        <f>TEXT(32170, "[$-0E0000]yyyy-mm-dd")</f>
        <v/>
      </c>
      <c r="C32171" t="inlineStr">
        <is>
          <t>1987-12-11</t>
        </is>
      </c>
    </row>
    <row r="32172">
      <c r="A32172" s="1" t="n">
        <v>32171</v>
      </c>
      <c r="B32172">
        <f>TEXT(32171, "[$-0E0000]yyyy-mm-dd")</f>
        <v/>
      </c>
      <c r="C32172" t="inlineStr">
        <is>
          <t>1987-12-12</t>
        </is>
      </c>
    </row>
    <row r="32173">
      <c r="A32173" s="1" t="n">
        <v>32172</v>
      </c>
      <c r="B32173">
        <f>TEXT(32172, "[$-0E0000]yyyy-mm-dd")</f>
        <v/>
      </c>
      <c r="C32173" t="inlineStr">
        <is>
          <t>1987-12-13</t>
        </is>
      </c>
    </row>
    <row r="32174">
      <c r="A32174" s="1" t="n">
        <v>32173</v>
      </c>
      <c r="B32174">
        <f>TEXT(32173, "[$-0E0000]yyyy-mm-dd")</f>
        <v/>
      </c>
      <c r="C32174" t="inlineStr">
        <is>
          <t>1987-12-14</t>
        </is>
      </c>
    </row>
    <row r="32175">
      <c r="A32175" s="1" t="n">
        <v>32174</v>
      </c>
      <c r="B32175">
        <f>TEXT(32174, "[$-0E0000]yyyy-mm-dd")</f>
        <v/>
      </c>
      <c r="C32175" t="inlineStr">
        <is>
          <t>1987-12-15</t>
        </is>
      </c>
    </row>
    <row r="32176">
      <c r="A32176" s="1" t="n">
        <v>32175</v>
      </c>
      <c r="B32176">
        <f>TEXT(32175, "[$-0E0000]yyyy-mm-dd")</f>
        <v/>
      </c>
      <c r="C32176" t="inlineStr">
        <is>
          <t>1987-12-16</t>
        </is>
      </c>
    </row>
    <row r="32177">
      <c r="A32177" s="1" t="n">
        <v>32176</v>
      </c>
      <c r="B32177">
        <f>TEXT(32176, "[$-0E0000]yyyy-mm-dd")</f>
        <v/>
      </c>
      <c r="C32177" t="inlineStr">
        <is>
          <t>1987-12-17</t>
        </is>
      </c>
    </row>
    <row r="32178">
      <c r="A32178" s="1" t="n">
        <v>32177</v>
      </c>
      <c r="B32178">
        <f>TEXT(32177, "[$-0E0000]yyyy-mm-dd")</f>
        <v/>
      </c>
      <c r="C32178" t="inlineStr">
        <is>
          <t>1987-12-18</t>
        </is>
      </c>
    </row>
    <row r="32179">
      <c r="A32179" s="1" t="n">
        <v>32178</v>
      </c>
      <c r="B32179">
        <f>TEXT(32178, "[$-0E0000]yyyy-mm-dd")</f>
        <v/>
      </c>
      <c r="C32179" t="inlineStr">
        <is>
          <t>1987-12-19</t>
        </is>
      </c>
    </row>
    <row r="32180">
      <c r="A32180" s="1" t="n">
        <v>32179</v>
      </c>
      <c r="B32180">
        <f>TEXT(32179, "[$-0E0000]yyyy-mm-dd")</f>
        <v/>
      </c>
      <c r="C32180" t="inlineStr">
        <is>
          <t>1987-12-20</t>
        </is>
      </c>
    </row>
    <row r="32181">
      <c r="A32181" s="1" t="n">
        <v>32180</v>
      </c>
      <c r="B32181">
        <f>TEXT(32180, "[$-0E0000]yyyy-mm-dd")</f>
        <v/>
      </c>
      <c r="C32181" t="inlineStr">
        <is>
          <t>1987-12-21</t>
        </is>
      </c>
    </row>
    <row r="32182">
      <c r="A32182" s="1" t="n">
        <v>32181</v>
      </c>
      <c r="B32182">
        <f>TEXT(32181, "[$-0E0000]yyyy-mm-dd")</f>
        <v/>
      </c>
      <c r="C32182" t="inlineStr">
        <is>
          <t>1987-12-22</t>
        </is>
      </c>
    </row>
    <row r="32183">
      <c r="A32183" s="1" t="n">
        <v>32182</v>
      </c>
      <c r="B32183">
        <f>TEXT(32182, "[$-0E0000]yyyy-mm-dd")</f>
        <v/>
      </c>
      <c r="C32183" t="inlineStr">
        <is>
          <t>1987-12-23</t>
        </is>
      </c>
    </row>
    <row r="32184">
      <c r="A32184" s="1" t="n">
        <v>32183</v>
      </c>
      <c r="B32184">
        <f>TEXT(32183, "[$-0E0000]yyyy-mm-dd")</f>
        <v/>
      </c>
      <c r="C32184" t="inlineStr">
        <is>
          <t>1987-12-24</t>
        </is>
      </c>
    </row>
    <row r="32185">
      <c r="A32185" s="1" t="n">
        <v>32184</v>
      </c>
      <c r="B32185">
        <f>TEXT(32184, "[$-0E0000]yyyy-mm-dd")</f>
        <v/>
      </c>
      <c r="C32185" t="inlineStr">
        <is>
          <t>1987-12-25</t>
        </is>
      </c>
    </row>
    <row r="32186">
      <c r="A32186" s="1" t="n">
        <v>32185</v>
      </c>
      <c r="B32186">
        <f>TEXT(32185, "[$-0E0000]yyyy-mm-dd")</f>
        <v/>
      </c>
      <c r="C32186" t="inlineStr">
        <is>
          <t>1987-12-26</t>
        </is>
      </c>
    </row>
    <row r="32187">
      <c r="A32187" s="1" t="n">
        <v>32186</v>
      </c>
      <c r="B32187">
        <f>TEXT(32186, "[$-0E0000]yyyy-mm-dd")</f>
        <v/>
      </c>
      <c r="C32187" t="inlineStr">
        <is>
          <t>1987-12-27</t>
        </is>
      </c>
    </row>
    <row r="32188">
      <c r="A32188" s="1" t="n">
        <v>32187</v>
      </c>
      <c r="B32188">
        <f>TEXT(32187, "[$-0E0000]yyyy-mm-dd")</f>
        <v/>
      </c>
      <c r="C32188" t="inlineStr">
        <is>
          <t>1987-12-28</t>
        </is>
      </c>
    </row>
    <row r="32189">
      <c r="A32189" s="1" t="n">
        <v>32188</v>
      </c>
      <c r="B32189">
        <f>TEXT(32188, "[$-0E0000]yyyy-mm-dd")</f>
        <v/>
      </c>
      <c r="C32189" t="inlineStr">
        <is>
          <t>1987-12-29</t>
        </is>
      </c>
    </row>
    <row r="32190">
      <c r="A32190" s="1" t="n">
        <v>32189</v>
      </c>
      <c r="B32190">
        <f>TEXT(32189, "[$-0E0000]yyyy-mm-dd")</f>
        <v/>
      </c>
      <c r="C32190" t="inlineStr">
        <is>
          <t>1988-01-01</t>
        </is>
      </c>
    </row>
    <row r="32191">
      <c r="A32191" s="1" t="n">
        <v>32190</v>
      </c>
      <c r="B32191">
        <f>TEXT(32190, "[$-0E0000]yyyy-mm-dd")</f>
        <v/>
      </c>
      <c r="C32191" t="inlineStr">
        <is>
          <t>1988-01-02</t>
        </is>
      </c>
    </row>
    <row r="32192">
      <c r="A32192" s="1" t="n">
        <v>32191</v>
      </c>
      <c r="B32192">
        <f>TEXT(32191, "[$-0E0000]yyyy-mm-dd")</f>
        <v/>
      </c>
      <c r="C32192" t="inlineStr">
        <is>
          <t>1988-01-03</t>
        </is>
      </c>
    </row>
    <row r="32193">
      <c r="A32193" s="1" t="n">
        <v>32192</v>
      </c>
      <c r="B32193">
        <f>TEXT(32192, "[$-0E0000]yyyy-mm-dd")</f>
        <v/>
      </c>
      <c r="C32193" t="inlineStr">
        <is>
          <t>1988-01-04</t>
        </is>
      </c>
    </row>
    <row r="32194">
      <c r="A32194" s="1" t="n">
        <v>32193</v>
      </c>
      <c r="B32194">
        <f>TEXT(32193, "[$-0E0000]yyyy-mm-dd")</f>
        <v/>
      </c>
      <c r="C32194" t="inlineStr">
        <is>
          <t>1988-01-05</t>
        </is>
      </c>
    </row>
    <row r="32195">
      <c r="A32195" s="1" t="n">
        <v>32194</v>
      </c>
      <c r="B32195">
        <f>TEXT(32194, "[$-0E0000]yyyy-mm-dd")</f>
        <v/>
      </c>
      <c r="C32195" t="inlineStr">
        <is>
          <t>1988-01-06</t>
        </is>
      </c>
    </row>
    <row r="32196">
      <c r="A32196" s="1" t="n">
        <v>32195</v>
      </c>
      <c r="B32196">
        <f>TEXT(32195, "[$-0E0000]yyyy-mm-dd")</f>
        <v/>
      </c>
      <c r="C32196" t="inlineStr">
        <is>
          <t>1988-01-07</t>
        </is>
      </c>
    </row>
    <row r="32197">
      <c r="A32197" s="1" t="n">
        <v>32196</v>
      </c>
      <c r="B32197">
        <f>TEXT(32196, "[$-0E0000]yyyy-mm-dd")</f>
        <v/>
      </c>
      <c r="C32197" t="inlineStr">
        <is>
          <t>1988-01-08</t>
        </is>
      </c>
    </row>
    <row r="32198">
      <c r="A32198" s="1" t="n">
        <v>32197</v>
      </c>
      <c r="B32198">
        <f>TEXT(32197, "[$-0E0000]yyyy-mm-dd")</f>
        <v/>
      </c>
      <c r="C32198" t="inlineStr">
        <is>
          <t>1988-01-09</t>
        </is>
      </c>
    </row>
    <row r="32199">
      <c r="A32199" s="1" t="n">
        <v>32198</v>
      </c>
      <c r="B32199">
        <f>TEXT(32198, "[$-0E0000]yyyy-mm-dd")</f>
        <v/>
      </c>
      <c r="C32199" t="inlineStr">
        <is>
          <t>1988-01-10</t>
        </is>
      </c>
    </row>
    <row r="32200">
      <c r="A32200" s="1" t="n">
        <v>32199</v>
      </c>
      <c r="B32200">
        <f>TEXT(32199, "[$-0E0000]yyyy-mm-dd")</f>
        <v/>
      </c>
      <c r="C32200" t="inlineStr">
        <is>
          <t>1988-01-11</t>
        </is>
      </c>
    </row>
    <row r="32201">
      <c r="A32201" s="1" t="n">
        <v>32200</v>
      </c>
      <c r="B32201">
        <f>TEXT(32200, "[$-0E0000]yyyy-mm-dd")</f>
        <v/>
      </c>
      <c r="C32201" t="inlineStr">
        <is>
          <t>1988-01-12</t>
        </is>
      </c>
    </row>
    <row r="32202">
      <c r="A32202" s="1" t="n">
        <v>32201</v>
      </c>
      <c r="B32202">
        <f>TEXT(32201, "[$-0E0000]yyyy-mm-dd")</f>
        <v/>
      </c>
      <c r="C32202" t="inlineStr">
        <is>
          <t>1988-01-13</t>
        </is>
      </c>
    </row>
    <row r="32203">
      <c r="A32203" s="1" t="n">
        <v>32202</v>
      </c>
      <c r="B32203">
        <f>TEXT(32202, "[$-0E0000]yyyy-mm-dd")</f>
        <v/>
      </c>
      <c r="C32203" t="inlineStr">
        <is>
          <t>1988-01-14</t>
        </is>
      </c>
    </row>
    <row r="32204">
      <c r="A32204" s="1" t="n">
        <v>32203</v>
      </c>
      <c r="B32204">
        <f>TEXT(32203, "[$-0E0000]yyyy-mm-dd")</f>
        <v/>
      </c>
      <c r="C32204" t="inlineStr">
        <is>
          <t>1988-01-15</t>
        </is>
      </c>
    </row>
    <row r="32205">
      <c r="A32205" s="1" t="n">
        <v>32204</v>
      </c>
      <c r="B32205">
        <f>TEXT(32204, "[$-0E0000]yyyy-mm-dd")</f>
        <v/>
      </c>
      <c r="C32205" t="inlineStr">
        <is>
          <t>1988-01-16</t>
        </is>
      </c>
    </row>
    <row r="32206">
      <c r="A32206" s="1" t="n">
        <v>32205</v>
      </c>
      <c r="B32206">
        <f>TEXT(32205, "[$-0E0000]yyyy-mm-dd")</f>
        <v/>
      </c>
      <c r="C32206" t="inlineStr">
        <is>
          <t>1988-01-17</t>
        </is>
      </c>
    </row>
    <row r="32207">
      <c r="A32207" s="1" t="n">
        <v>32206</v>
      </c>
      <c r="B32207">
        <f>TEXT(32206, "[$-0E0000]yyyy-mm-dd")</f>
        <v/>
      </c>
      <c r="C32207" t="inlineStr">
        <is>
          <t>1988-01-18</t>
        </is>
      </c>
    </row>
    <row r="32208">
      <c r="A32208" s="1" t="n">
        <v>32207</v>
      </c>
      <c r="B32208">
        <f>TEXT(32207, "[$-0E0000]yyyy-mm-dd")</f>
        <v/>
      </c>
      <c r="C32208" t="inlineStr">
        <is>
          <t>1988-01-19</t>
        </is>
      </c>
    </row>
    <row r="32209">
      <c r="A32209" s="1" t="n">
        <v>32208</v>
      </c>
      <c r="B32209">
        <f>TEXT(32208, "[$-0E0000]yyyy-mm-dd")</f>
        <v/>
      </c>
      <c r="C32209" t="inlineStr">
        <is>
          <t>1988-01-20</t>
        </is>
      </c>
    </row>
    <row r="32210">
      <c r="A32210" s="1" t="n">
        <v>32209</v>
      </c>
      <c r="B32210">
        <f>TEXT(32209, "[$-0E0000]yyyy-mm-dd")</f>
        <v/>
      </c>
      <c r="C32210" t="inlineStr">
        <is>
          <t>1988-01-21</t>
        </is>
      </c>
    </row>
    <row r="32211">
      <c r="A32211" s="1" t="n">
        <v>32210</v>
      </c>
      <c r="B32211">
        <f>TEXT(32210, "[$-0E0000]yyyy-mm-dd")</f>
        <v/>
      </c>
      <c r="C32211" t="inlineStr">
        <is>
          <t>1988-01-22</t>
        </is>
      </c>
    </row>
    <row r="32212">
      <c r="A32212" s="1" t="n">
        <v>32211</v>
      </c>
      <c r="B32212">
        <f>TEXT(32211, "[$-0E0000]yyyy-mm-dd")</f>
        <v/>
      </c>
      <c r="C32212" t="inlineStr">
        <is>
          <t>1988-01-23</t>
        </is>
      </c>
    </row>
    <row r="32213">
      <c r="A32213" s="1" t="n">
        <v>32212</v>
      </c>
      <c r="B32213">
        <f>TEXT(32212, "[$-0E0000]yyyy-mm-dd")</f>
        <v/>
      </c>
      <c r="C32213" t="inlineStr">
        <is>
          <t>1988-01-24</t>
        </is>
      </c>
    </row>
    <row r="32214">
      <c r="A32214" s="1" t="n">
        <v>32213</v>
      </c>
      <c r="B32214">
        <f>TEXT(32213, "[$-0E0000]yyyy-mm-dd")</f>
        <v/>
      </c>
      <c r="C32214" t="inlineStr">
        <is>
          <t>1988-01-25</t>
        </is>
      </c>
    </row>
    <row r="32215">
      <c r="A32215" s="1" t="n">
        <v>32214</v>
      </c>
      <c r="B32215">
        <f>TEXT(32214, "[$-0E0000]yyyy-mm-dd")</f>
        <v/>
      </c>
      <c r="C32215" t="inlineStr">
        <is>
          <t>1988-01-26</t>
        </is>
      </c>
    </row>
    <row r="32216">
      <c r="A32216" s="1" t="n">
        <v>32215</v>
      </c>
      <c r="B32216">
        <f>TEXT(32215, "[$-0E0000]yyyy-mm-dd")</f>
        <v/>
      </c>
      <c r="C32216" t="inlineStr">
        <is>
          <t>1988-01-27</t>
        </is>
      </c>
    </row>
    <row r="32217">
      <c r="A32217" s="1" t="n">
        <v>32216</v>
      </c>
      <c r="B32217">
        <f>TEXT(32216, "[$-0E0000]yyyy-mm-dd")</f>
        <v/>
      </c>
      <c r="C32217" t="inlineStr">
        <is>
          <t>1988-01-28</t>
        </is>
      </c>
    </row>
    <row r="32218">
      <c r="A32218" s="1" t="n">
        <v>32217</v>
      </c>
      <c r="B32218">
        <f>TEXT(32217, "[$-0E0000]yyyy-mm-dd")</f>
        <v/>
      </c>
      <c r="C32218" t="inlineStr">
        <is>
          <t>1988-01-29</t>
        </is>
      </c>
    </row>
    <row r="32219">
      <c r="A32219" s="1" t="n">
        <v>32218</v>
      </c>
      <c r="B32219">
        <f>TEXT(32218, "[$-0E0000]yyyy-mm-dd")</f>
        <v/>
      </c>
      <c r="C32219" t="inlineStr">
        <is>
          <t>1988-01-30</t>
        </is>
      </c>
    </row>
    <row r="32220">
      <c r="A32220" s="1" t="n">
        <v>32219</v>
      </c>
      <c r="B32220">
        <f>TEXT(32219, "[$-0E0000]yyyy-mm-dd")</f>
        <v/>
      </c>
      <c r="C32220" t="inlineStr">
        <is>
          <t>1988-02-01</t>
        </is>
      </c>
    </row>
    <row r="32221">
      <c r="A32221" s="1" t="n">
        <v>32220</v>
      </c>
      <c r="B32221">
        <f>TEXT(32220, "[$-0E0000]yyyy-mm-dd")</f>
        <v/>
      </c>
      <c r="C32221" t="inlineStr">
        <is>
          <t>1988-02-02</t>
        </is>
      </c>
    </row>
    <row r="32222">
      <c r="A32222" s="1" t="n">
        <v>32221</v>
      </c>
      <c r="B32222">
        <f>TEXT(32221, "[$-0E0000]yyyy-mm-dd")</f>
        <v/>
      </c>
      <c r="C32222" t="inlineStr">
        <is>
          <t>1988-02-03</t>
        </is>
      </c>
    </row>
    <row r="32223">
      <c r="A32223" s="1" t="n">
        <v>32222</v>
      </c>
      <c r="B32223">
        <f>TEXT(32222, "[$-0E0000]yyyy-mm-dd")</f>
        <v/>
      </c>
      <c r="C32223" t="inlineStr">
        <is>
          <t>1988-02-04</t>
        </is>
      </c>
    </row>
    <row r="32224">
      <c r="A32224" s="1" t="n">
        <v>32223</v>
      </c>
      <c r="B32224">
        <f>TEXT(32223, "[$-0E0000]yyyy-mm-dd")</f>
        <v/>
      </c>
      <c r="C32224" t="inlineStr">
        <is>
          <t>1988-02-05</t>
        </is>
      </c>
    </row>
    <row r="32225">
      <c r="A32225" s="1" t="n">
        <v>32224</v>
      </c>
      <c r="B32225">
        <f>TEXT(32224, "[$-0E0000]yyyy-mm-dd")</f>
        <v/>
      </c>
      <c r="C32225" t="inlineStr">
        <is>
          <t>1988-02-06</t>
        </is>
      </c>
    </row>
    <row r="32226">
      <c r="A32226" s="1" t="n">
        <v>32225</v>
      </c>
      <c r="B32226">
        <f>TEXT(32225, "[$-0E0000]yyyy-mm-dd")</f>
        <v/>
      </c>
      <c r="C32226" t="inlineStr">
        <is>
          <t>1988-02-07</t>
        </is>
      </c>
    </row>
    <row r="32227">
      <c r="A32227" s="1" t="n">
        <v>32226</v>
      </c>
      <c r="B32227">
        <f>TEXT(32226, "[$-0E0000]yyyy-mm-dd")</f>
        <v/>
      </c>
      <c r="C32227" t="inlineStr">
        <is>
          <t>1988-02-08</t>
        </is>
      </c>
    </row>
    <row r="32228">
      <c r="A32228" s="1" t="n">
        <v>32227</v>
      </c>
      <c r="B32228">
        <f>TEXT(32227, "[$-0E0000]yyyy-mm-dd")</f>
        <v/>
      </c>
      <c r="C32228" t="inlineStr">
        <is>
          <t>1988-02-09</t>
        </is>
      </c>
    </row>
    <row r="32229">
      <c r="A32229" s="1" t="n">
        <v>32228</v>
      </c>
      <c r="B32229">
        <f>TEXT(32228, "[$-0E0000]yyyy-mm-dd")</f>
        <v/>
      </c>
      <c r="C32229" t="inlineStr">
        <is>
          <t>1988-02-10</t>
        </is>
      </c>
    </row>
    <row r="32230">
      <c r="A32230" s="1" t="n">
        <v>32229</v>
      </c>
      <c r="B32230">
        <f>TEXT(32229, "[$-0E0000]yyyy-mm-dd")</f>
        <v/>
      </c>
      <c r="C32230" t="inlineStr">
        <is>
          <t>1988-02-11</t>
        </is>
      </c>
    </row>
    <row r="32231">
      <c r="A32231" s="1" t="n">
        <v>32230</v>
      </c>
      <c r="B32231">
        <f>TEXT(32230, "[$-0E0000]yyyy-mm-dd")</f>
        <v/>
      </c>
      <c r="C32231" t="inlineStr">
        <is>
          <t>1988-02-12</t>
        </is>
      </c>
    </row>
    <row r="32232">
      <c r="A32232" s="1" t="n">
        <v>32231</v>
      </c>
      <c r="B32232">
        <f>TEXT(32231, "[$-0E0000]yyyy-mm-dd")</f>
        <v/>
      </c>
      <c r="C32232" t="inlineStr">
        <is>
          <t>1988-02-13</t>
        </is>
      </c>
    </row>
    <row r="32233">
      <c r="A32233" s="1" t="n">
        <v>32232</v>
      </c>
      <c r="B32233">
        <f>TEXT(32232, "[$-0E0000]yyyy-mm-dd")</f>
        <v/>
      </c>
      <c r="C32233" t="inlineStr">
        <is>
          <t>1988-02-14</t>
        </is>
      </c>
    </row>
    <row r="32234">
      <c r="A32234" s="1" t="n">
        <v>32233</v>
      </c>
      <c r="B32234">
        <f>TEXT(32233, "[$-0E0000]yyyy-mm-dd")</f>
        <v/>
      </c>
      <c r="C32234" t="inlineStr">
        <is>
          <t>1988-02-15</t>
        </is>
      </c>
    </row>
    <row r="32235">
      <c r="A32235" s="1" t="n">
        <v>32234</v>
      </c>
      <c r="B32235">
        <f>TEXT(32234, "[$-0E0000]yyyy-mm-dd")</f>
        <v/>
      </c>
      <c r="C32235" t="inlineStr">
        <is>
          <t>1988-02-16</t>
        </is>
      </c>
    </row>
    <row r="32236">
      <c r="A32236" s="1" t="n">
        <v>32235</v>
      </c>
      <c r="B32236">
        <f>TEXT(32235, "[$-0E0000]yyyy-mm-dd")</f>
        <v/>
      </c>
      <c r="C32236" t="inlineStr">
        <is>
          <t>1988-02-17</t>
        </is>
      </c>
    </row>
    <row r="32237">
      <c r="A32237" s="1" t="n">
        <v>32236</v>
      </c>
      <c r="B32237">
        <f>TEXT(32236, "[$-0E0000]yyyy-mm-dd")</f>
        <v/>
      </c>
      <c r="C32237" t="inlineStr">
        <is>
          <t>1988-02-18</t>
        </is>
      </c>
    </row>
    <row r="32238">
      <c r="A32238" s="1" t="n">
        <v>32237</v>
      </c>
      <c r="B32238">
        <f>TEXT(32237, "[$-0E0000]yyyy-mm-dd")</f>
        <v/>
      </c>
      <c r="C32238" t="inlineStr">
        <is>
          <t>1988-02-19</t>
        </is>
      </c>
    </row>
    <row r="32239">
      <c r="A32239" s="1" t="n">
        <v>32238</v>
      </c>
      <c r="B32239">
        <f>TEXT(32238, "[$-0E0000]yyyy-mm-dd")</f>
        <v/>
      </c>
      <c r="C32239" t="inlineStr">
        <is>
          <t>1988-02-20</t>
        </is>
      </c>
    </row>
    <row r="32240">
      <c r="A32240" s="1" t="n">
        <v>32239</v>
      </c>
      <c r="B32240">
        <f>TEXT(32239, "[$-0E0000]yyyy-mm-dd")</f>
        <v/>
      </c>
      <c r="C32240" t="inlineStr">
        <is>
          <t>1988-02-21</t>
        </is>
      </c>
    </row>
    <row r="32241">
      <c r="A32241" s="1" t="n">
        <v>32240</v>
      </c>
      <c r="B32241">
        <f>TEXT(32240, "[$-0E0000]yyyy-mm-dd")</f>
        <v/>
      </c>
      <c r="C32241" t="inlineStr">
        <is>
          <t>1988-02-22</t>
        </is>
      </c>
    </row>
    <row r="32242">
      <c r="A32242" s="1" t="n">
        <v>32241</v>
      </c>
      <c r="B32242">
        <f>TEXT(32241, "[$-0E0000]yyyy-mm-dd")</f>
        <v/>
      </c>
      <c r="C32242" t="inlineStr">
        <is>
          <t>1988-02-23</t>
        </is>
      </c>
    </row>
    <row r="32243">
      <c r="A32243" s="1" t="n">
        <v>32242</v>
      </c>
      <c r="B32243">
        <f>TEXT(32242, "[$-0E0000]yyyy-mm-dd")</f>
        <v/>
      </c>
      <c r="C32243" t="inlineStr">
        <is>
          <t>1988-02-24</t>
        </is>
      </c>
    </row>
    <row r="32244">
      <c r="A32244" s="1" t="n">
        <v>32243</v>
      </c>
      <c r="B32244">
        <f>TEXT(32243, "[$-0E0000]yyyy-mm-dd")</f>
        <v/>
      </c>
      <c r="C32244" t="inlineStr">
        <is>
          <t>1988-02-25</t>
        </is>
      </c>
    </row>
    <row r="32245">
      <c r="A32245" s="1" t="n">
        <v>32244</v>
      </c>
      <c r="B32245">
        <f>TEXT(32244, "[$-0E0000]yyyy-mm-dd")</f>
        <v/>
      </c>
      <c r="C32245" t="inlineStr">
        <is>
          <t>1988-02-26</t>
        </is>
      </c>
    </row>
    <row r="32246">
      <c r="A32246" s="1" t="n">
        <v>32245</v>
      </c>
      <c r="B32246">
        <f>TEXT(32245, "[$-0E0000]yyyy-mm-dd")</f>
        <v/>
      </c>
      <c r="C32246" t="inlineStr">
        <is>
          <t>1988-02-27</t>
        </is>
      </c>
    </row>
    <row r="32247">
      <c r="A32247" s="1" t="n">
        <v>32246</v>
      </c>
      <c r="B32247">
        <f>TEXT(32246, "[$-0E0000]yyyy-mm-dd")</f>
        <v/>
      </c>
      <c r="C32247" t="inlineStr">
        <is>
          <t>1988-02-28</t>
        </is>
      </c>
    </row>
    <row r="32248">
      <c r="A32248" s="1" t="n">
        <v>32247</v>
      </c>
      <c r="B32248">
        <f>TEXT(32247, "[$-0E0000]yyyy-mm-dd")</f>
        <v/>
      </c>
      <c r="C32248" t="inlineStr">
        <is>
          <t>1988-02-29</t>
        </is>
      </c>
    </row>
    <row r="32249">
      <c r="A32249" s="1" t="n">
        <v>32248</v>
      </c>
      <c r="B32249">
        <f>TEXT(32248, "[$-0E0000]yyyy-mm-dd")</f>
        <v/>
      </c>
      <c r="C32249" t="inlineStr">
        <is>
          <t>1988-03-01</t>
        </is>
      </c>
    </row>
    <row r="32250">
      <c r="A32250" s="1" t="n">
        <v>32249</v>
      </c>
      <c r="B32250">
        <f>TEXT(32249, "[$-0E0000]yyyy-mm-dd")</f>
        <v/>
      </c>
      <c r="C32250" t="inlineStr">
        <is>
          <t>1988-03-02</t>
        </is>
      </c>
    </row>
    <row r="32251">
      <c r="A32251" s="1" t="n">
        <v>32250</v>
      </c>
      <c r="B32251">
        <f>TEXT(32250, "[$-0E0000]yyyy-mm-dd")</f>
        <v/>
      </c>
      <c r="C32251" t="inlineStr">
        <is>
          <t>1988-03-03</t>
        </is>
      </c>
    </row>
    <row r="32252">
      <c r="A32252" s="1" t="n">
        <v>32251</v>
      </c>
      <c r="B32252">
        <f>TEXT(32251, "[$-0E0000]yyyy-mm-dd")</f>
        <v/>
      </c>
      <c r="C32252" t="inlineStr">
        <is>
          <t>1988-03-04</t>
        </is>
      </c>
    </row>
    <row r="32253">
      <c r="A32253" s="1" t="n">
        <v>32252</v>
      </c>
      <c r="B32253">
        <f>TEXT(32252, "[$-0E0000]yyyy-mm-dd")</f>
        <v/>
      </c>
      <c r="C32253" t="inlineStr">
        <is>
          <t>1988-03-05</t>
        </is>
      </c>
    </row>
    <row r="32254">
      <c r="A32254" s="1" t="n">
        <v>32253</v>
      </c>
      <c r="B32254">
        <f>TEXT(32253, "[$-0E0000]yyyy-mm-dd")</f>
        <v/>
      </c>
      <c r="C32254" t="inlineStr">
        <is>
          <t>1988-03-06</t>
        </is>
      </c>
    </row>
    <row r="32255">
      <c r="A32255" s="1" t="n">
        <v>32254</v>
      </c>
      <c r="B32255">
        <f>TEXT(32254, "[$-0E0000]yyyy-mm-dd")</f>
        <v/>
      </c>
      <c r="C32255" t="inlineStr">
        <is>
          <t>1988-03-07</t>
        </is>
      </c>
    </row>
    <row r="32256">
      <c r="A32256" s="1" t="n">
        <v>32255</v>
      </c>
      <c r="B32256">
        <f>TEXT(32255, "[$-0E0000]yyyy-mm-dd")</f>
        <v/>
      </c>
      <c r="C32256" t="inlineStr">
        <is>
          <t>1988-03-08</t>
        </is>
      </c>
    </row>
    <row r="32257">
      <c r="A32257" s="1" t="n">
        <v>32256</v>
      </c>
      <c r="B32257">
        <f>TEXT(32256, "[$-0E0000]yyyy-mm-dd")</f>
        <v/>
      </c>
      <c r="C32257" t="inlineStr">
        <is>
          <t>1988-03-09</t>
        </is>
      </c>
    </row>
    <row r="32258">
      <c r="A32258" s="1" t="n">
        <v>32257</v>
      </c>
      <c r="B32258">
        <f>TEXT(32257, "[$-0E0000]yyyy-mm-dd")</f>
        <v/>
      </c>
      <c r="C32258" t="inlineStr">
        <is>
          <t>1988-03-10</t>
        </is>
      </c>
    </row>
    <row r="32259">
      <c r="A32259" s="1" t="n">
        <v>32258</v>
      </c>
      <c r="B32259">
        <f>TEXT(32258, "[$-0E0000]yyyy-mm-dd")</f>
        <v/>
      </c>
      <c r="C32259" t="inlineStr">
        <is>
          <t>1988-03-11</t>
        </is>
      </c>
    </row>
    <row r="32260">
      <c r="A32260" s="1" t="n">
        <v>32259</v>
      </c>
      <c r="B32260">
        <f>TEXT(32259, "[$-0E0000]yyyy-mm-dd")</f>
        <v/>
      </c>
      <c r="C32260" t="inlineStr">
        <is>
          <t>1988-03-12</t>
        </is>
      </c>
    </row>
    <row r="32261">
      <c r="A32261" s="1" t="n">
        <v>32260</v>
      </c>
      <c r="B32261">
        <f>TEXT(32260, "[$-0E0000]yyyy-mm-dd")</f>
        <v/>
      </c>
      <c r="C32261" t="inlineStr">
        <is>
          <t>1988-03-13</t>
        </is>
      </c>
    </row>
    <row r="32262">
      <c r="A32262" s="1" t="n">
        <v>32261</v>
      </c>
      <c r="B32262">
        <f>TEXT(32261, "[$-0E0000]yyyy-mm-dd")</f>
        <v/>
      </c>
      <c r="C32262" t="inlineStr">
        <is>
          <t>1988-03-14</t>
        </is>
      </c>
    </row>
    <row r="32263">
      <c r="A32263" s="1" t="n">
        <v>32262</v>
      </c>
      <c r="B32263">
        <f>TEXT(32262, "[$-0E0000]yyyy-mm-dd")</f>
        <v/>
      </c>
      <c r="C32263" t="inlineStr">
        <is>
          <t>1988-03-15</t>
        </is>
      </c>
    </row>
    <row r="32264">
      <c r="A32264" s="1" t="n">
        <v>32263</v>
      </c>
      <c r="B32264">
        <f>TEXT(32263, "[$-0E0000]yyyy-mm-dd")</f>
        <v/>
      </c>
      <c r="C32264" t="inlineStr">
        <is>
          <t>1988-03-16</t>
        </is>
      </c>
    </row>
    <row r="32265">
      <c r="A32265" s="1" t="n">
        <v>32264</v>
      </c>
      <c r="B32265">
        <f>TEXT(32264, "[$-0E0000]yyyy-mm-dd")</f>
        <v/>
      </c>
      <c r="C32265" t="inlineStr">
        <is>
          <t>1988-03-17</t>
        </is>
      </c>
    </row>
    <row r="32266">
      <c r="A32266" s="1" t="n">
        <v>32265</v>
      </c>
      <c r="B32266">
        <f>TEXT(32265, "[$-0E0000]yyyy-mm-dd")</f>
        <v/>
      </c>
      <c r="C32266" t="inlineStr">
        <is>
          <t>1988-03-18</t>
        </is>
      </c>
    </row>
    <row r="32267">
      <c r="A32267" s="1" t="n">
        <v>32266</v>
      </c>
      <c r="B32267">
        <f>TEXT(32266, "[$-0E0000]yyyy-mm-dd")</f>
        <v/>
      </c>
      <c r="C32267" t="inlineStr">
        <is>
          <t>1988-03-19</t>
        </is>
      </c>
    </row>
    <row r="32268">
      <c r="A32268" s="1" t="n">
        <v>32267</v>
      </c>
      <c r="B32268">
        <f>TEXT(32267, "[$-0E0000]yyyy-mm-dd")</f>
        <v/>
      </c>
      <c r="C32268" t="inlineStr">
        <is>
          <t>1988-03-20</t>
        </is>
      </c>
    </row>
    <row r="32269">
      <c r="A32269" s="1" t="n">
        <v>32268</v>
      </c>
      <c r="B32269">
        <f>TEXT(32268, "[$-0E0000]yyyy-mm-dd")</f>
        <v/>
      </c>
      <c r="C32269" t="inlineStr">
        <is>
          <t>1988-03-21</t>
        </is>
      </c>
    </row>
    <row r="32270">
      <c r="A32270" s="1" t="n">
        <v>32269</v>
      </c>
      <c r="B32270">
        <f>TEXT(32269, "[$-0E0000]yyyy-mm-dd")</f>
        <v/>
      </c>
      <c r="C32270" t="inlineStr">
        <is>
          <t>1988-03-22</t>
        </is>
      </c>
    </row>
    <row r="32271">
      <c r="A32271" s="1" t="n">
        <v>32270</v>
      </c>
      <c r="B32271">
        <f>TEXT(32270, "[$-0E0000]yyyy-mm-dd")</f>
        <v/>
      </c>
      <c r="C32271" t="inlineStr">
        <is>
          <t>1988-03-23</t>
        </is>
      </c>
    </row>
    <row r="32272">
      <c r="A32272" s="1" t="n">
        <v>32271</v>
      </c>
      <c r="B32272">
        <f>TEXT(32271, "[$-0E0000]yyyy-mm-dd")</f>
        <v/>
      </c>
      <c r="C32272" t="inlineStr">
        <is>
          <t>1988-03-24</t>
        </is>
      </c>
    </row>
    <row r="32273">
      <c r="A32273" s="1" t="n">
        <v>32272</v>
      </c>
      <c r="B32273">
        <f>TEXT(32272, "[$-0E0000]yyyy-mm-dd")</f>
        <v/>
      </c>
      <c r="C32273" t="inlineStr">
        <is>
          <t>1988-03-25</t>
        </is>
      </c>
    </row>
    <row r="32274">
      <c r="A32274" s="1" t="n">
        <v>32273</v>
      </c>
      <c r="B32274">
        <f>TEXT(32273, "[$-0E0000]yyyy-mm-dd")</f>
        <v/>
      </c>
      <c r="C32274" t="inlineStr">
        <is>
          <t>1988-03-26</t>
        </is>
      </c>
    </row>
    <row r="32275">
      <c r="A32275" s="1" t="n">
        <v>32274</v>
      </c>
      <c r="B32275">
        <f>TEXT(32274, "[$-0E0000]yyyy-mm-dd")</f>
        <v/>
      </c>
      <c r="C32275" t="inlineStr">
        <is>
          <t>1988-03-27</t>
        </is>
      </c>
    </row>
    <row r="32276">
      <c r="A32276" s="1" t="n">
        <v>32275</v>
      </c>
      <c r="B32276">
        <f>TEXT(32275, "[$-0E0000]yyyy-mm-dd")</f>
        <v/>
      </c>
      <c r="C32276" t="inlineStr">
        <is>
          <t>1988-03-28</t>
        </is>
      </c>
    </row>
    <row r="32277">
      <c r="A32277" s="1" t="n">
        <v>32276</v>
      </c>
      <c r="B32277">
        <f>TEXT(32276, "[$-0E0000]yyyy-mm-dd")</f>
        <v/>
      </c>
      <c r="C32277" t="inlineStr">
        <is>
          <t>1988-03-29</t>
        </is>
      </c>
    </row>
    <row r="32278">
      <c r="A32278" s="1" t="n">
        <v>32277</v>
      </c>
      <c r="B32278">
        <f>TEXT(32277, "[$-0E0000]yyyy-mm-dd")</f>
        <v/>
      </c>
      <c r="C32278" t="inlineStr">
        <is>
          <t>1988-03-30</t>
        </is>
      </c>
    </row>
    <row r="32279">
      <c r="A32279" s="1" t="n">
        <v>32278</v>
      </c>
      <c r="B32279">
        <f>TEXT(32278, "[$-0E0000]yyyy-mm-dd")</f>
        <v/>
      </c>
      <c r="C32279" t="inlineStr">
        <is>
          <t>1988-04-01</t>
        </is>
      </c>
    </row>
    <row r="32280">
      <c r="A32280" s="1" t="n">
        <v>32279</v>
      </c>
      <c r="B32280">
        <f>TEXT(32279, "[$-0E0000]yyyy-mm-dd")</f>
        <v/>
      </c>
      <c r="C32280" t="inlineStr">
        <is>
          <t>1988-04-02</t>
        </is>
      </c>
    </row>
    <row r="32281">
      <c r="A32281" s="1" t="n">
        <v>32280</v>
      </c>
      <c r="B32281">
        <f>TEXT(32280, "[$-0E0000]yyyy-mm-dd")</f>
        <v/>
      </c>
      <c r="C32281" t="inlineStr">
        <is>
          <t>1988-04-03</t>
        </is>
      </c>
    </row>
    <row r="32282">
      <c r="A32282" s="1" t="n">
        <v>32281</v>
      </c>
      <c r="B32282">
        <f>TEXT(32281, "[$-0E0000]yyyy-mm-dd")</f>
        <v/>
      </c>
      <c r="C32282" t="inlineStr">
        <is>
          <t>1988-04-04</t>
        </is>
      </c>
    </row>
    <row r="32283">
      <c r="A32283" s="1" t="n">
        <v>32282</v>
      </c>
      <c r="B32283">
        <f>TEXT(32282, "[$-0E0000]yyyy-mm-dd")</f>
        <v/>
      </c>
      <c r="C32283" t="inlineStr">
        <is>
          <t>1988-04-05</t>
        </is>
      </c>
    </row>
    <row r="32284">
      <c r="A32284" s="1" t="n">
        <v>32283</v>
      </c>
      <c r="B32284">
        <f>TEXT(32283, "[$-0E0000]yyyy-mm-dd")</f>
        <v/>
      </c>
      <c r="C32284" t="inlineStr">
        <is>
          <t>1988-04-06</t>
        </is>
      </c>
    </row>
    <row r="32285">
      <c r="A32285" s="1" t="n">
        <v>32284</v>
      </c>
      <c r="B32285">
        <f>TEXT(32284, "[$-0E0000]yyyy-mm-dd")</f>
        <v/>
      </c>
      <c r="C32285" t="inlineStr">
        <is>
          <t>1988-04-07</t>
        </is>
      </c>
    </row>
    <row r="32286">
      <c r="A32286" s="1" t="n">
        <v>32285</v>
      </c>
      <c r="B32286">
        <f>TEXT(32285, "[$-0E0000]yyyy-mm-dd")</f>
        <v/>
      </c>
      <c r="C32286" t="inlineStr">
        <is>
          <t>1988-04-08</t>
        </is>
      </c>
    </row>
    <row r="32287">
      <c r="A32287" s="1" t="n">
        <v>32286</v>
      </c>
      <c r="B32287">
        <f>TEXT(32286, "[$-0E0000]yyyy-mm-dd")</f>
        <v/>
      </c>
      <c r="C32287" t="inlineStr">
        <is>
          <t>1988-04-09</t>
        </is>
      </c>
    </row>
    <row r="32288">
      <c r="A32288" s="1" t="n">
        <v>32287</v>
      </c>
      <c r="B32288">
        <f>TEXT(32287, "[$-0E0000]yyyy-mm-dd")</f>
        <v/>
      </c>
      <c r="C32288" t="inlineStr">
        <is>
          <t>1988-04-10</t>
        </is>
      </c>
    </row>
    <row r="32289">
      <c r="A32289" s="1" t="n">
        <v>32288</v>
      </c>
      <c r="B32289">
        <f>TEXT(32288, "[$-0E0000]yyyy-mm-dd")</f>
        <v/>
      </c>
      <c r="C32289" t="inlineStr">
        <is>
          <t>1988-04-11</t>
        </is>
      </c>
    </row>
    <row r="32290">
      <c r="A32290" s="1" t="n">
        <v>32289</v>
      </c>
      <c r="B32290">
        <f>TEXT(32289, "[$-0E0000]yyyy-mm-dd")</f>
        <v/>
      </c>
      <c r="C32290" t="inlineStr">
        <is>
          <t>1988-04-12</t>
        </is>
      </c>
    </row>
    <row r="32291">
      <c r="A32291" s="1" t="n">
        <v>32290</v>
      </c>
      <c r="B32291">
        <f>TEXT(32290, "[$-0E0000]yyyy-mm-dd")</f>
        <v/>
      </c>
      <c r="C32291" t="inlineStr">
        <is>
          <t>1988-04-13</t>
        </is>
      </c>
    </row>
    <row r="32292">
      <c r="A32292" s="1" t="n">
        <v>32291</v>
      </c>
      <c r="B32292">
        <f>TEXT(32291, "[$-0E0000]yyyy-mm-dd")</f>
        <v/>
      </c>
      <c r="C32292" t="inlineStr">
        <is>
          <t>1988-04-14</t>
        </is>
      </c>
    </row>
    <row r="32293">
      <c r="A32293" s="1" t="n">
        <v>32292</v>
      </c>
      <c r="B32293">
        <f>TEXT(32292, "[$-0E0000]yyyy-mm-dd")</f>
        <v/>
      </c>
      <c r="C32293" t="inlineStr">
        <is>
          <t>1988-04-15</t>
        </is>
      </c>
    </row>
    <row r="32294">
      <c r="A32294" s="1" t="n">
        <v>32293</v>
      </c>
      <c r="B32294">
        <f>TEXT(32293, "[$-0E0000]yyyy-mm-dd")</f>
        <v/>
      </c>
      <c r="C32294" t="inlineStr">
        <is>
          <t>1988-04-16</t>
        </is>
      </c>
    </row>
    <row r="32295">
      <c r="A32295" s="1" t="n">
        <v>32294</v>
      </c>
      <c r="B32295">
        <f>TEXT(32294, "[$-0E0000]yyyy-mm-dd")</f>
        <v/>
      </c>
      <c r="C32295" t="inlineStr">
        <is>
          <t>1988-04-17</t>
        </is>
      </c>
    </row>
    <row r="32296">
      <c r="A32296" s="1" t="n">
        <v>32295</v>
      </c>
      <c r="B32296">
        <f>TEXT(32295, "[$-0E0000]yyyy-mm-dd")</f>
        <v/>
      </c>
      <c r="C32296" t="inlineStr">
        <is>
          <t>1988-04-18</t>
        </is>
      </c>
    </row>
    <row r="32297">
      <c r="A32297" s="1" t="n">
        <v>32296</v>
      </c>
      <c r="B32297">
        <f>TEXT(32296, "[$-0E0000]yyyy-mm-dd")</f>
        <v/>
      </c>
      <c r="C32297" t="inlineStr">
        <is>
          <t>1988-04-19</t>
        </is>
      </c>
    </row>
    <row r="32298">
      <c r="A32298" s="1" t="n">
        <v>32297</v>
      </c>
      <c r="B32298">
        <f>TEXT(32297, "[$-0E0000]yyyy-mm-dd")</f>
        <v/>
      </c>
      <c r="C32298" t="inlineStr">
        <is>
          <t>1988-04-20</t>
        </is>
      </c>
    </row>
    <row r="32299">
      <c r="A32299" s="1" t="n">
        <v>32298</v>
      </c>
      <c r="B32299">
        <f>TEXT(32298, "[$-0E0000]yyyy-mm-dd")</f>
        <v/>
      </c>
      <c r="C32299" t="inlineStr">
        <is>
          <t>1988-04-21</t>
        </is>
      </c>
    </row>
    <row r="32300">
      <c r="A32300" s="1" t="n">
        <v>32299</v>
      </c>
      <c r="B32300">
        <f>TEXT(32299, "[$-0E0000]yyyy-mm-dd")</f>
        <v/>
      </c>
      <c r="C32300" t="inlineStr">
        <is>
          <t>1988-04-22</t>
        </is>
      </c>
    </row>
    <row r="32301">
      <c r="A32301" s="1" t="n">
        <v>32300</v>
      </c>
      <c r="B32301">
        <f>TEXT(32300, "[$-0E0000]yyyy-mm-dd")</f>
        <v/>
      </c>
      <c r="C32301" t="inlineStr">
        <is>
          <t>1988-04-23</t>
        </is>
      </c>
    </row>
    <row r="32302">
      <c r="A32302" s="1" t="n">
        <v>32301</v>
      </c>
      <c r="B32302">
        <f>TEXT(32301, "[$-0E0000]yyyy-mm-dd")</f>
        <v/>
      </c>
      <c r="C32302" t="inlineStr">
        <is>
          <t>1988-04-24</t>
        </is>
      </c>
    </row>
    <row r="32303">
      <c r="A32303" s="1" t="n">
        <v>32302</v>
      </c>
      <c r="B32303">
        <f>TEXT(32302, "[$-0E0000]yyyy-mm-dd")</f>
        <v/>
      </c>
      <c r="C32303" t="inlineStr">
        <is>
          <t>1988-04-25</t>
        </is>
      </c>
    </row>
    <row r="32304">
      <c r="A32304" s="1" t="n">
        <v>32303</v>
      </c>
      <c r="B32304">
        <f>TEXT(32303, "[$-0E0000]yyyy-mm-dd")</f>
        <v/>
      </c>
      <c r="C32304" t="inlineStr">
        <is>
          <t>1988-04-26</t>
        </is>
      </c>
    </row>
    <row r="32305">
      <c r="A32305" s="1" t="n">
        <v>32304</v>
      </c>
      <c r="B32305">
        <f>TEXT(32304, "[$-0E0000]yyyy-mm-dd")</f>
        <v/>
      </c>
      <c r="C32305" t="inlineStr">
        <is>
          <t>1988-04-27</t>
        </is>
      </c>
    </row>
    <row r="32306">
      <c r="A32306" s="1" t="n">
        <v>32305</v>
      </c>
      <c r="B32306">
        <f>TEXT(32305, "[$-0E0000]yyyy-mm-dd")</f>
        <v/>
      </c>
      <c r="C32306" t="inlineStr">
        <is>
          <t>1988-04-28</t>
        </is>
      </c>
    </row>
    <row r="32307">
      <c r="A32307" s="1" t="n">
        <v>32306</v>
      </c>
      <c r="B32307">
        <f>TEXT(32306, "[$-0E0000]yyyy-mm-dd")</f>
        <v/>
      </c>
      <c r="C32307" t="inlineStr">
        <is>
          <t>1988-04-29</t>
        </is>
      </c>
    </row>
    <row r="32308">
      <c r="A32308" s="1" t="n">
        <v>32307</v>
      </c>
      <c r="B32308">
        <f>TEXT(32307, "[$-0E0000]yyyy-mm-dd")</f>
        <v/>
      </c>
      <c r="C32308" t="inlineStr">
        <is>
          <t>1988-05-01</t>
        </is>
      </c>
    </row>
    <row r="32309">
      <c r="A32309" s="1" t="n">
        <v>32308</v>
      </c>
      <c r="B32309">
        <f>TEXT(32308, "[$-0E0000]yyyy-mm-dd")</f>
        <v/>
      </c>
      <c r="C32309" t="inlineStr">
        <is>
          <t>1988-05-02</t>
        </is>
      </c>
    </row>
    <row r="32310">
      <c r="A32310" s="1" t="n">
        <v>32309</v>
      </c>
      <c r="B32310">
        <f>TEXT(32309, "[$-0E0000]yyyy-mm-dd")</f>
        <v/>
      </c>
      <c r="C32310" t="inlineStr">
        <is>
          <t>1988-05-03</t>
        </is>
      </c>
    </row>
    <row r="32311">
      <c r="A32311" s="1" t="n">
        <v>32310</v>
      </c>
      <c r="B32311">
        <f>TEXT(32310, "[$-0E0000]yyyy-mm-dd")</f>
        <v/>
      </c>
      <c r="C32311" t="inlineStr">
        <is>
          <t>1988-05-04</t>
        </is>
      </c>
    </row>
    <row r="32312">
      <c r="A32312" s="1" t="n">
        <v>32311</v>
      </c>
      <c r="B32312">
        <f>TEXT(32311, "[$-0E0000]yyyy-mm-dd")</f>
        <v/>
      </c>
      <c r="C32312" t="inlineStr">
        <is>
          <t>1988-05-05</t>
        </is>
      </c>
    </row>
    <row r="32313">
      <c r="A32313" s="1" t="n">
        <v>32312</v>
      </c>
      <c r="B32313">
        <f>TEXT(32312, "[$-0E0000]yyyy-mm-dd")</f>
        <v/>
      </c>
      <c r="C32313" t="inlineStr">
        <is>
          <t>1988-05-06</t>
        </is>
      </c>
    </row>
    <row r="32314">
      <c r="A32314" s="1" t="n">
        <v>32313</v>
      </c>
      <c r="B32314">
        <f>TEXT(32313, "[$-0E0000]yyyy-mm-dd")</f>
        <v/>
      </c>
      <c r="C32314" t="inlineStr">
        <is>
          <t>1988-05-07</t>
        </is>
      </c>
    </row>
    <row r="32315">
      <c r="A32315" s="1" t="n">
        <v>32314</v>
      </c>
      <c r="B32315">
        <f>TEXT(32314, "[$-0E0000]yyyy-mm-dd")</f>
        <v/>
      </c>
      <c r="C32315" t="inlineStr">
        <is>
          <t>1988-05-08</t>
        </is>
      </c>
    </row>
    <row r="32316">
      <c r="A32316" s="1" t="n">
        <v>32315</v>
      </c>
      <c r="B32316">
        <f>TEXT(32315, "[$-0E0000]yyyy-mm-dd")</f>
        <v/>
      </c>
      <c r="C32316" t="inlineStr">
        <is>
          <t>1988-05-09</t>
        </is>
      </c>
    </row>
    <row r="32317">
      <c r="A32317" s="1" t="n">
        <v>32316</v>
      </c>
      <c r="B32317">
        <f>TEXT(32316, "[$-0E0000]yyyy-mm-dd")</f>
        <v/>
      </c>
      <c r="C32317" t="inlineStr">
        <is>
          <t>1988-05-10</t>
        </is>
      </c>
    </row>
    <row r="32318">
      <c r="A32318" s="1" t="n">
        <v>32317</v>
      </c>
      <c r="B32318">
        <f>TEXT(32317, "[$-0E0000]yyyy-mm-dd")</f>
        <v/>
      </c>
      <c r="C32318" t="inlineStr">
        <is>
          <t>1988-05-11</t>
        </is>
      </c>
    </row>
    <row r="32319">
      <c r="A32319" s="1" t="n">
        <v>32318</v>
      </c>
      <c r="B32319">
        <f>TEXT(32318, "[$-0E0000]yyyy-mm-dd")</f>
        <v/>
      </c>
      <c r="C32319" t="inlineStr">
        <is>
          <t>1988-05-12</t>
        </is>
      </c>
    </row>
    <row r="32320">
      <c r="A32320" s="1" t="n">
        <v>32319</v>
      </c>
      <c r="B32320">
        <f>TEXT(32319, "[$-0E0000]yyyy-mm-dd")</f>
        <v/>
      </c>
      <c r="C32320" t="inlineStr">
        <is>
          <t>1988-05-13</t>
        </is>
      </c>
    </row>
    <row r="32321">
      <c r="A32321" s="1" t="n">
        <v>32320</v>
      </c>
      <c r="B32321">
        <f>TEXT(32320, "[$-0E0000]yyyy-mm-dd")</f>
        <v/>
      </c>
      <c r="C32321" t="inlineStr">
        <is>
          <t>1988-05-14</t>
        </is>
      </c>
    </row>
    <row r="32322">
      <c r="A32322" s="1" t="n">
        <v>32321</v>
      </c>
      <c r="B32322">
        <f>TEXT(32321, "[$-0E0000]yyyy-mm-dd")</f>
        <v/>
      </c>
      <c r="C32322" t="inlineStr">
        <is>
          <t>1988-05-15</t>
        </is>
      </c>
    </row>
    <row r="32323">
      <c r="A32323" s="1" t="n">
        <v>32322</v>
      </c>
      <c r="B32323">
        <f>TEXT(32322, "[$-0E0000]yyyy-mm-dd")</f>
        <v/>
      </c>
      <c r="C32323" t="inlineStr">
        <is>
          <t>1988-05-16</t>
        </is>
      </c>
    </row>
    <row r="32324">
      <c r="A32324" s="1" t="n">
        <v>32323</v>
      </c>
      <c r="B32324">
        <f>TEXT(32323, "[$-0E0000]yyyy-mm-dd")</f>
        <v/>
      </c>
      <c r="C32324" t="inlineStr">
        <is>
          <t>1988-05-17</t>
        </is>
      </c>
    </row>
    <row r="32325">
      <c r="A32325" s="1" t="n">
        <v>32324</v>
      </c>
      <c r="B32325">
        <f>TEXT(32324, "[$-0E0000]yyyy-mm-dd")</f>
        <v/>
      </c>
      <c r="C32325" t="inlineStr">
        <is>
          <t>1988-05-18</t>
        </is>
      </c>
    </row>
    <row r="32326">
      <c r="A32326" s="1" t="n">
        <v>32325</v>
      </c>
      <c r="B32326">
        <f>TEXT(32325, "[$-0E0000]yyyy-mm-dd")</f>
        <v/>
      </c>
      <c r="C32326" t="inlineStr">
        <is>
          <t>1988-05-19</t>
        </is>
      </c>
    </row>
    <row r="32327">
      <c r="A32327" s="1" t="n">
        <v>32326</v>
      </c>
      <c r="B32327">
        <f>TEXT(32326, "[$-0E0000]yyyy-mm-dd")</f>
        <v/>
      </c>
      <c r="C32327" t="inlineStr">
        <is>
          <t>1988-05-20</t>
        </is>
      </c>
    </row>
    <row r="32328">
      <c r="A32328" s="1" t="n">
        <v>32327</v>
      </c>
      <c r="B32328">
        <f>TEXT(32327, "[$-0E0000]yyyy-mm-dd")</f>
        <v/>
      </c>
      <c r="C32328" t="inlineStr">
        <is>
          <t>1988-05-21</t>
        </is>
      </c>
    </row>
    <row r="32329">
      <c r="A32329" s="1" t="n">
        <v>32328</v>
      </c>
      <c r="B32329">
        <f>TEXT(32328, "[$-0E0000]yyyy-mm-dd")</f>
        <v/>
      </c>
      <c r="C32329" t="inlineStr">
        <is>
          <t>1988-05-22</t>
        </is>
      </c>
    </row>
    <row r="32330">
      <c r="A32330" s="1" t="n">
        <v>32329</v>
      </c>
      <c r="B32330">
        <f>TEXT(32329, "[$-0E0000]yyyy-mm-dd")</f>
        <v/>
      </c>
      <c r="C32330" t="inlineStr">
        <is>
          <t>1988-05-23</t>
        </is>
      </c>
    </row>
    <row r="32331">
      <c r="A32331" s="1" t="n">
        <v>32330</v>
      </c>
      <c r="B32331">
        <f>TEXT(32330, "[$-0E0000]yyyy-mm-dd")</f>
        <v/>
      </c>
      <c r="C32331" t="inlineStr">
        <is>
          <t>1988-05-24</t>
        </is>
      </c>
    </row>
    <row r="32332">
      <c r="A32332" s="1" t="n">
        <v>32331</v>
      </c>
      <c r="B32332">
        <f>TEXT(32331, "[$-0E0000]yyyy-mm-dd")</f>
        <v/>
      </c>
      <c r="C32332" t="inlineStr">
        <is>
          <t>1988-05-25</t>
        </is>
      </c>
    </row>
    <row r="32333">
      <c r="A32333" s="1" t="n">
        <v>32332</v>
      </c>
      <c r="B32333">
        <f>TEXT(32332, "[$-0E0000]yyyy-mm-dd")</f>
        <v/>
      </c>
      <c r="C32333" t="inlineStr">
        <is>
          <t>1988-05-26</t>
        </is>
      </c>
    </row>
    <row r="32334">
      <c r="A32334" s="1" t="n">
        <v>32333</v>
      </c>
      <c r="B32334">
        <f>TEXT(32333, "[$-0E0000]yyyy-mm-dd")</f>
        <v/>
      </c>
      <c r="C32334" t="inlineStr">
        <is>
          <t>1988-05-27</t>
        </is>
      </c>
    </row>
    <row r="32335">
      <c r="A32335" s="1" t="n">
        <v>32334</v>
      </c>
      <c r="B32335">
        <f>TEXT(32334, "[$-0E0000]yyyy-mm-dd")</f>
        <v/>
      </c>
      <c r="C32335" t="inlineStr">
        <is>
          <t>1988-05-28</t>
        </is>
      </c>
    </row>
    <row r="32336">
      <c r="A32336" s="1" t="n">
        <v>32335</v>
      </c>
      <c r="B32336">
        <f>TEXT(32335, "[$-0E0000]yyyy-mm-dd")</f>
        <v/>
      </c>
      <c r="C32336" t="inlineStr">
        <is>
          <t>1988-05-29</t>
        </is>
      </c>
    </row>
    <row r="32337">
      <c r="A32337" s="1" t="n">
        <v>32336</v>
      </c>
      <c r="B32337">
        <f>TEXT(32336, "[$-0E0000]yyyy-mm-dd")</f>
        <v/>
      </c>
      <c r="C32337" t="inlineStr">
        <is>
          <t>1988-05-30</t>
        </is>
      </c>
    </row>
    <row r="32338">
      <c r="A32338" s="1" t="n">
        <v>32337</v>
      </c>
      <c r="B32338">
        <f>TEXT(32337, "[$-0E0000]yyyy-mm-dd")</f>
        <v/>
      </c>
      <c r="C32338" t="inlineStr">
        <is>
          <t>1988-06-01</t>
        </is>
      </c>
    </row>
    <row r="32339">
      <c r="A32339" s="1" t="n">
        <v>32338</v>
      </c>
      <c r="B32339">
        <f>TEXT(32338, "[$-0E0000]yyyy-mm-dd")</f>
        <v/>
      </c>
      <c r="C32339" t="inlineStr">
        <is>
          <t>1988-06-02</t>
        </is>
      </c>
    </row>
    <row r="32340">
      <c r="A32340" s="1" t="n">
        <v>32339</v>
      </c>
      <c r="B32340">
        <f>TEXT(32339, "[$-0E0000]yyyy-mm-dd")</f>
        <v/>
      </c>
      <c r="C32340" t="inlineStr">
        <is>
          <t>1988-06-03</t>
        </is>
      </c>
    </row>
    <row r="32341">
      <c r="A32341" s="1" t="n">
        <v>32340</v>
      </c>
      <c r="B32341">
        <f>TEXT(32340, "[$-0E0000]yyyy-mm-dd")</f>
        <v/>
      </c>
      <c r="C32341" t="inlineStr">
        <is>
          <t>1988-06-04</t>
        </is>
      </c>
    </row>
    <row r="32342">
      <c r="A32342" s="1" t="n">
        <v>32341</v>
      </c>
      <c r="B32342">
        <f>TEXT(32341, "[$-0E0000]yyyy-mm-dd")</f>
        <v/>
      </c>
      <c r="C32342" t="inlineStr">
        <is>
          <t>1988-06-05</t>
        </is>
      </c>
    </row>
    <row r="32343">
      <c r="A32343" s="1" t="n">
        <v>32342</v>
      </c>
      <c r="B32343">
        <f>TEXT(32342, "[$-0E0000]yyyy-mm-dd")</f>
        <v/>
      </c>
      <c r="C32343" t="inlineStr">
        <is>
          <t>1988-06-06</t>
        </is>
      </c>
    </row>
    <row r="32344">
      <c r="A32344" s="1" t="n">
        <v>32343</v>
      </c>
      <c r="B32344">
        <f>TEXT(32343, "[$-0E0000]yyyy-mm-dd")</f>
        <v/>
      </c>
      <c r="C32344" t="inlineStr">
        <is>
          <t>1988-06-07</t>
        </is>
      </c>
    </row>
    <row r="32345">
      <c r="A32345" s="1" t="n">
        <v>32344</v>
      </c>
      <c r="B32345">
        <f>TEXT(32344, "[$-0E0000]yyyy-mm-dd")</f>
        <v/>
      </c>
      <c r="C32345" t="inlineStr">
        <is>
          <t>1988-06-08</t>
        </is>
      </c>
    </row>
    <row r="32346">
      <c r="A32346" s="1" t="n">
        <v>32345</v>
      </c>
      <c r="B32346">
        <f>TEXT(32345, "[$-0E0000]yyyy-mm-dd")</f>
        <v/>
      </c>
      <c r="C32346" t="inlineStr">
        <is>
          <t>1988-06-09</t>
        </is>
      </c>
    </row>
    <row r="32347">
      <c r="A32347" s="1" t="n">
        <v>32346</v>
      </c>
      <c r="B32347">
        <f>TEXT(32346, "[$-0E0000]yyyy-mm-dd")</f>
        <v/>
      </c>
      <c r="C32347" t="inlineStr">
        <is>
          <t>1988-06-10</t>
        </is>
      </c>
    </row>
    <row r="32348">
      <c r="A32348" s="1" t="n">
        <v>32347</v>
      </c>
      <c r="B32348">
        <f>TEXT(32347, "[$-0E0000]yyyy-mm-dd")</f>
        <v/>
      </c>
      <c r="C32348" t="inlineStr">
        <is>
          <t>1988-06-11</t>
        </is>
      </c>
    </row>
    <row r="32349">
      <c r="A32349" s="1" t="n">
        <v>32348</v>
      </c>
      <c r="B32349">
        <f>TEXT(32348, "[$-0E0000]yyyy-mm-dd")</f>
        <v/>
      </c>
      <c r="C32349" t="inlineStr">
        <is>
          <t>1988-06-12</t>
        </is>
      </c>
    </row>
    <row r="32350">
      <c r="A32350" s="1" t="n">
        <v>32349</v>
      </c>
      <c r="B32350">
        <f>TEXT(32349, "[$-0E0000]yyyy-mm-dd")</f>
        <v/>
      </c>
      <c r="C32350" t="inlineStr">
        <is>
          <t>1988-06-13</t>
        </is>
      </c>
    </row>
    <row r="32351">
      <c r="A32351" s="1" t="n">
        <v>32350</v>
      </c>
      <c r="B32351">
        <f>TEXT(32350, "[$-0E0000]yyyy-mm-dd")</f>
        <v/>
      </c>
      <c r="C32351" t="inlineStr">
        <is>
          <t>1988-06-14</t>
        </is>
      </c>
    </row>
    <row r="32352">
      <c r="A32352" s="1" t="n">
        <v>32351</v>
      </c>
      <c r="B32352">
        <f>TEXT(32351, "[$-0E0000]yyyy-mm-dd")</f>
        <v/>
      </c>
      <c r="C32352" t="inlineStr">
        <is>
          <t>1988-06-15</t>
        </is>
      </c>
    </row>
    <row r="32353">
      <c r="A32353" s="1" t="n">
        <v>32352</v>
      </c>
      <c r="B32353">
        <f>TEXT(32352, "[$-0E0000]yyyy-mm-dd")</f>
        <v/>
      </c>
      <c r="C32353" t="inlineStr">
        <is>
          <t>1988-06-16</t>
        </is>
      </c>
    </row>
    <row r="32354">
      <c r="A32354" s="1" t="n">
        <v>32353</v>
      </c>
      <c r="B32354">
        <f>TEXT(32353, "[$-0E0000]yyyy-mm-dd")</f>
        <v/>
      </c>
      <c r="C32354" t="inlineStr">
        <is>
          <t>1988-06-17</t>
        </is>
      </c>
    </row>
    <row r="32355">
      <c r="A32355" s="1" t="n">
        <v>32354</v>
      </c>
      <c r="B32355">
        <f>TEXT(32354, "[$-0E0000]yyyy-mm-dd")</f>
        <v/>
      </c>
      <c r="C32355" t="inlineStr">
        <is>
          <t>1988-06-18</t>
        </is>
      </c>
    </row>
    <row r="32356">
      <c r="A32356" s="1" t="n">
        <v>32355</v>
      </c>
      <c r="B32356">
        <f>TEXT(32355, "[$-0E0000]yyyy-mm-dd")</f>
        <v/>
      </c>
      <c r="C32356" t="inlineStr">
        <is>
          <t>1988-06-19</t>
        </is>
      </c>
    </row>
    <row r="32357">
      <c r="A32357" s="1" t="n">
        <v>32356</v>
      </c>
      <c r="B32357">
        <f>TEXT(32356, "[$-0E0000]yyyy-mm-dd")</f>
        <v/>
      </c>
      <c r="C32357" t="inlineStr">
        <is>
          <t>1988-06-20</t>
        </is>
      </c>
    </row>
    <row r="32358">
      <c r="A32358" s="1" t="n">
        <v>32357</v>
      </c>
      <c r="B32358">
        <f>TEXT(32357, "[$-0E0000]yyyy-mm-dd")</f>
        <v/>
      </c>
      <c r="C32358" t="inlineStr">
        <is>
          <t>1988-06-21</t>
        </is>
      </c>
    </row>
    <row r="32359">
      <c r="A32359" s="1" t="n">
        <v>32358</v>
      </c>
      <c r="B32359">
        <f>TEXT(32358, "[$-0E0000]yyyy-mm-dd")</f>
        <v/>
      </c>
      <c r="C32359" t="inlineStr">
        <is>
          <t>1988-06-22</t>
        </is>
      </c>
    </row>
    <row r="32360">
      <c r="A32360" s="1" t="n">
        <v>32359</v>
      </c>
      <c r="B32360">
        <f>TEXT(32359, "[$-0E0000]yyyy-mm-dd")</f>
        <v/>
      </c>
      <c r="C32360" t="inlineStr">
        <is>
          <t>1988-06-23</t>
        </is>
      </c>
    </row>
    <row r="32361">
      <c r="A32361" s="1" t="n">
        <v>32360</v>
      </c>
      <c r="B32361">
        <f>TEXT(32360, "[$-0E0000]yyyy-mm-dd")</f>
        <v/>
      </c>
      <c r="C32361" t="inlineStr">
        <is>
          <t>1988-06-24</t>
        </is>
      </c>
    </row>
    <row r="32362">
      <c r="A32362" s="1" t="n">
        <v>32361</v>
      </c>
      <c r="B32362">
        <f>TEXT(32361, "[$-0E0000]yyyy-mm-dd")</f>
        <v/>
      </c>
      <c r="C32362" t="inlineStr">
        <is>
          <t>1988-06-25</t>
        </is>
      </c>
    </row>
    <row r="32363">
      <c r="A32363" s="1" t="n">
        <v>32362</v>
      </c>
      <c r="B32363">
        <f>TEXT(32362, "[$-0E0000]yyyy-mm-dd")</f>
        <v/>
      </c>
      <c r="C32363" t="inlineStr">
        <is>
          <t>1988-06-26</t>
        </is>
      </c>
    </row>
    <row r="32364">
      <c r="A32364" s="1" t="n">
        <v>32363</v>
      </c>
      <c r="B32364">
        <f>TEXT(32363, "[$-0E0000]yyyy-mm-dd")</f>
        <v/>
      </c>
      <c r="C32364" t="inlineStr">
        <is>
          <t>1988-06-27</t>
        </is>
      </c>
    </row>
    <row r="32365">
      <c r="A32365" s="1" t="n">
        <v>32364</v>
      </c>
      <c r="B32365">
        <f>TEXT(32364, "[$-0E0000]yyyy-mm-dd")</f>
        <v/>
      </c>
      <c r="C32365" t="inlineStr">
        <is>
          <t>1988-06-28</t>
        </is>
      </c>
    </row>
    <row r="32366">
      <c r="A32366" s="1" t="n">
        <v>32365</v>
      </c>
      <c r="B32366">
        <f>TEXT(32365, "[$-0E0000]yyyy-mm-dd")</f>
        <v/>
      </c>
      <c r="C32366" t="inlineStr">
        <is>
          <t>1988-06-29</t>
        </is>
      </c>
    </row>
    <row r="32367">
      <c r="A32367" s="1" t="n">
        <v>32366</v>
      </c>
      <c r="B32367">
        <f>TEXT(32366, "[$-0E0000]yyyy-mm-dd")</f>
        <v/>
      </c>
      <c r="C32367" t="inlineStr">
        <is>
          <t>1988-07-01</t>
        </is>
      </c>
    </row>
    <row r="32368">
      <c r="A32368" s="1" t="n">
        <v>32367</v>
      </c>
      <c r="B32368">
        <f>TEXT(32367, "[$-0E0000]yyyy-mm-dd")</f>
        <v/>
      </c>
      <c r="C32368" t="inlineStr">
        <is>
          <t>1988-07-02</t>
        </is>
      </c>
    </row>
    <row r="32369">
      <c r="A32369" s="1" t="n">
        <v>32368</v>
      </c>
      <c r="B32369">
        <f>TEXT(32368, "[$-0E0000]yyyy-mm-dd")</f>
        <v/>
      </c>
      <c r="C32369" t="inlineStr">
        <is>
          <t>1988-07-03</t>
        </is>
      </c>
    </row>
    <row r="32370">
      <c r="A32370" s="1" t="n">
        <v>32369</v>
      </c>
      <c r="B32370">
        <f>TEXT(32369, "[$-0E0000]yyyy-mm-dd")</f>
        <v/>
      </c>
      <c r="C32370" t="inlineStr">
        <is>
          <t>1988-07-04</t>
        </is>
      </c>
    </row>
    <row r="32371">
      <c r="A32371" s="1" t="n">
        <v>32370</v>
      </c>
      <c r="B32371">
        <f>TEXT(32370, "[$-0E0000]yyyy-mm-dd")</f>
        <v/>
      </c>
      <c r="C32371" t="inlineStr">
        <is>
          <t>1988-07-05</t>
        </is>
      </c>
    </row>
    <row r="32372">
      <c r="A32372" s="1" t="n">
        <v>32371</v>
      </c>
      <c r="B32372">
        <f>TEXT(32371, "[$-0E0000]yyyy-mm-dd")</f>
        <v/>
      </c>
      <c r="C32372" t="inlineStr">
        <is>
          <t>1988-07-06</t>
        </is>
      </c>
    </row>
    <row r="32373">
      <c r="A32373" s="1" t="n">
        <v>32372</v>
      </c>
      <c r="B32373">
        <f>TEXT(32372, "[$-0E0000]yyyy-mm-dd")</f>
        <v/>
      </c>
      <c r="C32373" t="inlineStr">
        <is>
          <t>1988-07-07</t>
        </is>
      </c>
    </row>
    <row r="32374">
      <c r="A32374" s="1" t="n">
        <v>32373</v>
      </c>
      <c r="B32374">
        <f>TEXT(32373, "[$-0E0000]yyyy-mm-dd")</f>
        <v/>
      </c>
      <c r="C32374" t="inlineStr">
        <is>
          <t>1988-07-08</t>
        </is>
      </c>
    </row>
    <row r="32375">
      <c r="A32375" s="1" t="n">
        <v>32374</v>
      </c>
      <c r="B32375">
        <f>TEXT(32374, "[$-0E0000]yyyy-mm-dd")</f>
        <v/>
      </c>
      <c r="C32375" t="inlineStr">
        <is>
          <t>1988-07-09</t>
        </is>
      </c>
    </row>
    <row r="32376">
      <c r="A32376" s="1" t="n">
        <v>32375</v>
      </c>
      <c r="B32376">
        <f>TEXT(32375, "[$-0E0000]yyyy-mm-dd")</f>
        <v/>
      </c>
      <c r="C32376" t="inlineStr">
        <is>
          <t>1988-07-10</t>
        </is>
      </c>
    </row>
    <row r="32377">
      <c r="A32377" s="1" t="n">
        <v>32376</v>
      </c>
      <c r="B32377">
        <f>TEXT(32376, "[$-0E0000]yyyy-mm-dd")</f>
        <v/>
      </c>
      <c r="C32377" t="inlineStr">
        <is>
          <t>1988-07-11</t>
        </is>
      </c>
    </row>
    <row r="32378">
      <c r="A32378" s="1" t="n">
        <v>32377</v>
      </c>
      <c r="B32378">
        <f>TEXT(32377, "[$-0E0000]yyyy-mm-dd")</f>
        <v/>
      </c>
      <c r="C32378" t="inlineStr">
        <is>
          <t>1988-07-12</t>
        </is>
      </c>
    </row>
    <row r="32379">
      <c r="A32379" s="1" t="n">
        <v>32378</v>
      </c>
      <c r="B32379">
        <f>TEXT(32378, "[$-0E0000]yyyy-mm-dd")</f>
        <v/>
      </c>
      <c r="C32379" t="inlineStr">
        <is>
          <t>1988-07-13</t>
        </is>
      </c>
    </row>
    <row r="32380">
      <c r="A32380" s="1" t="n">
        <v>32379</v>
      </c>
      <c r="B32380">
        <f>TEXT(32379, "[$-0E0000]yyyy-mm-dd")</f>
        <v/>
      </c>
      <c r="C32380" t="inlineStr">
        <is>
          <t>1988-07-14</t>
        </is>
      </c>
    </row>
    <row r="32381">
      <c r="A32381" s="1" t="n">
        <v>32380</v>
      </c>
      <c r="B32381">
        <f>TEXT(32380, "[$-0E0000]yyyy-mm-dd")</f>
        <v/>
      </c>
      <c r="C32381" t="inlineStr">
        <is>
          <t>1988-07-15</t>
        </is>
      </c>
    </row>
    <row r="32382">
      <c r="A32382" s="1" t="n">
        <v>32381</v>
      </c>
      <c r="B32382">
        <f>TEXT(32381, "[$-0E0000]yyyy-mm-dd")</f>
        <v/>
      </c>
      <c r="C32382" t="inlineStr">
        <is>
          <t>1988-07-16</t>
        </is>
      </c>
    </row>
    <row r="32383">
      <c r="A32383" s="1" t="n">
        <v>32382</v>
      </c>
      <c r="B32383">
        <f>TEXT(32382, "[$-0E0000]yyyy-mm-dd")</f>
        <v/>
      </c>
      <c r="C32383" t="inlineStr">
        <is>
          <t>1988-07-17</t>
        </is>
      </c>
    </row>
    <row r="32384">
      <c r="A32384" s="1" t="n">
        <v>32383</v>
      </c>
      <c r="B32384">
        <f>TEXT(32383, "[$-0E0000]yyyy-mm-dd")</f>
        <v/>
      </c>
      <c r="C32384" t="inlineStr">
        <is>
          <t>1988-07-18</t>
        </is>
      </c>
    </row>
    <row r="32385">
      <c r="A32385" s="1" t="n">
        <v>32384</v>
      </c>
      <c r="B32385">
        <f>TEXT(32384, "[$-0E0000]yyyy-mm-dd")</f>
        <v/>
      </c>
      <c r="C32385" t="inlineStr">
        <is>
          <t>1988-07-19</t>
        </is>
      </c>
    </row>
    <row r="32386">
      <c r="A32386" s="1" t="n">
        <v>32385</v>
      </c>
      <c r="B32386">
        <f>TEXT(32385, "[$-0E0000]yyyy-mm-dd")</f>
        <v/>
      </c>
      <c r="C32386" t="inlineStr">
        <is>
          <t>1988-07-20</t>
        </is>
      </c>
    </row>
    <row r="32387">
      <c r="A32387" s="1" t="n">
        <v>32386</v>
      </c>
      <c r="B32387">
        <f>TEXT(32386, "[$-0E0000]yyyy-mm-dd")</f>
        <v/>
      </c>
      <c r="C32387" t="inlineStr">
        <is>
          <t>1988-07-21</t>
        </is>
      </c>
    </row>
    <row r="32388">
      <c r="A32388" s="1" t="n">
        <v>32387</v>
      </c>
      <c r="B32388">
        <f>TEXT(32387, "[$-0E0000]yyyy-mm-dd")</f>
        <v/>
      </c>
      <c r="C32388" t="inlineStr">
        <is>
          <t>1988-07-22</t>
        </is>
      </c>
    </row>
    <row r="32389">
      <c r="A32389" s="1" t="n">
        <v>32388</v>
      </c>
      <c r="B32389">
        <f>TEXT(32388, "[$-0E0000]yyyy-mm-dd")</f>
        <v/>
      </c>
      <c r="C32389" t="inlineStr">
        <is>
          <t>1988-07-23</t>
        </is>
      </c>
    </row>
    <row r="32390">
      <c r="A32390" s="1" t="n">
        <v>32389</v>
      </c>
      <c r="B32390">
        <f>TEXT(32389, "[$-0E0000]yyyy-mm-dd")</f>
        <v/>
      </c>
      <c r="C32390" t="inlineStr">
        <is>
          <t>1988-07-24</t>
        </is>
      </c>
    </row>
    <row r="32391">
      <c r="A32391" s="1" t="n">
        <v>32390</v>
      </c>
      <c r="B32391">
        <f>TEXT(32390, "[$-0E0000]yyyy-mm-dd")</f>
        <v/>
      </c>
      <c r="C32391" t="inlineStr">
        <is>
          <t>1988-07-25</t>
        </is>
      </c>
    </row>
    <row r="32392">
      <c r="A32392" s="1" t="n">
        <v>32391</v>
      </c>
      <c r="B32392">
        <f>TEXT(32391, "[$-0E0000]yyyy-mm-dd")</f>
        <v/>
      </c>
      <c r="C32392" t="inlineStr">
        <is>
          <t>1988-07-26</t>
        </is>
      </c>
    </row>
    <row r="32393">
      <c r="A32393" s="1" t="n">
        <v>32392</v>
      </c>
      <c r="B32393">
        <f>TEXT(32392, "[$-0E0000]yyyy-mm-dd")</f>
        <v/>
      </c>
      <c r="C32393" t="inlineStr">
        <is>
          <t>1988-07-27</t>
        </is>
      </c>
    </row>
    <row r="32394">
      <c r="A32394" s="1" t="n">
        <v>32393</v>
      </c>
      <c r="B32394">
        <f>TEXT(32393, "[$-0E0000]yyyy-mm-dd")</f>
        <v/>
      </c>
      <c r="C32394" t="inlineStr">
        <is>
          <t>1988-07-28</t>
        </is>
      </c>
    </row>
    <row r="32395">
      <c r="A32395" s="1" t="n">
        <v>32394</v>
      </c>
      <c r="B32395">
        <f>TEXT(32394, "[$-0E0000]yyyy-mm-dd")</f>
        <v/>
      </c>
      <c r="C32395" t="inlineStr">
        <is>
          <t>1988-07-29</t>
        </is>
      </c>
    </row>
    <row r="32396">
      <c r="A32396" s="1" t="n">
        <v>32395</v>
      </c>
      <c r="B32396">
        <f>TEXT(32395, "[$-0E0000]yyyy-mm-dd")</f>
        <v/>
      </c>
      <c r="C32396" t="inlineStr">
        <is>
          <t>1988-07-30</t>
        </is>
      </c>
    </row>
    <row r="32397">
      <c r="A32397" s="1" t="n">
        <v>32396</v>
      </c>
      <c r="B32397">
        <f>TEXT(32396, "[$-0E0000]yyyy-mm-dd")</f>
        <v/>
      </c>
      <c r="C32397" t="inlineStr">
        <is>
          <t>1988-08-01</t>
        </is>
      </c>
    </row>
    <row r="32398">
      <c r="A32398" s="1" t="n">
        <v>32397</v>
      </c>
      <c r="B32398">
        <f>TEXT(32397, "[$-0E0000]yyyy-mm-dd")</f>
        <v/>
      </c>
      <c r="C32398" t="inlineStr">
        <is>
          <t>1988-08-02</t>
        </is>
      </c>
    </row>
    <row r="32399">
      <c r="A32399" s="1" t="n">
        <v>32398</v>
      </c>
      <c r="B32399">
        <f>TEXT(32398, "[$-0E0000]yyyy-mm-dd")</f>
        <v/>
      </c>
      <c r="C32399" t="inlineStr">
        <is>
          <t>1988-08-03</t>
        </is>
      </c>
    </row>
    <row r="32400">
      <c r="A32400" s="1" t="n">
        <v>32399</v>
      </c>
      <c r="B32400">
        <f>TEXT(32399, "[$-0E0000]yyyy-mm-dd")</f>
        <v/>
      </c>
      <c r="C32400" t="inlineStr">
        <is>
          <t>1988-08-04</t>
        </is>
      </c>
    </row>
    <row r="32401">
      <c r="A32401" s="1" t="n">
        <v>32400</v>
      </c>
      <c r="B32401">
        <f>TEXT(32400, "[$-0E0000]yyyy-mm-dd")</f>
        <v/>
      </c>
      <c r="C32401" t="inlineStr">
        <is>
          <t>1988-08-05</t>
        </is>
      </c>
    </row>
    <row r="32402">
      <c r="A32402" s="1" t="n">
        <v>32401</v>
      </c>
      <c r="B32402">
        <f>TEXT(32401, "[$-0E0000]yyyy-mm-dd")</f>
        <v/>
      </c>
      <c r="C32402" t="inlineStr">
        <is>
          <t>1988-08-06</t>
        </is>
      </c>
    </row>
    <row r="32403">
      <c r="A32403" s="1" t="n">
        <v>32402</v>
      </c>
      <c r="B32403">
        <f>TEXT(32402, "[$-0E0000]yyyy-mm-dd")</f>
        <v/>
      </c>
      <c r="C32403" t="inlineStr">
        <is>
          <t>1988-08-07</t>
        </is>
      </c>
    </row>
    <row r="32404">
      <c r="A32404" s="1" t="n">
        <v>32403</v>
      </c>
      <c r="B32404">
        <f>TEXT(32403, "[$-0E0000]yyyy-mm-dd")</f>
        <v/>
      </c>
      <c r="C32404" t="inlineStr">
        <is>
          <t>1988-08-08</t>
        </is>
      </c>
    </row>
    <row r="32405">
      <c r="A32405" s="1" t="n">
        <v>32404</v>
      </c>
      <c r="B32405">
        <f>TEXT(32404, "[$-0E0000]yyyy-mm-dd")</f>
        <v/>
      </c>
      <c r="C32405" t="inlineStr">
        <is>
          <t>1988-08-09</t>
        </is>
      </c>
    </row>
    <row r="32406">
      <c r="A32406" s="1" t="n">
        <v>32405</v>
      </c>
      <c r="B32406">
        <f>TEXT(32405, "[$-0E0000]yyyy-mm-dd")</f>
        <v/>
      </c>
      <c r="C32406" t="inlineStr">
        <is>
          <t>1988-08-10</t>
        </is>
      </c>
    </row>
    <row r="32407">
      <c r="A32407" s="1" t="n">
        <v>32406</v>
      </c>
      <c r="B32407">
        <f>TEXT(32406, "[$-0E0000]yyyy-mm-dd")</f>
        <v/>
      </c>
      <c r="C32407" t="inlineStr">
        <is>
          <t>1988-08-11</t>
        </is>
      </c>
    </row>
    <row r="32408">
      <c r="A32408" s="1" t="n">
        <v>32407</v>
      </c>
      <c r="B32408">
        <f>TEXT(32407, "[$-0E0000]yyyy-mm-dd")</f>
        <v/>
      </c>
      <c r="C32408" t="inlineStr">
        <is>
          <t>1988-08-12</t>
        </is>
      </c>
    </row>
    <row r="32409">
      <c r="A32409" s="1" t="n">
        <v>32408</v>
      </c>
      <c r="B32409">
        <f>TEXT(32408, "[$-0E0000]yyyy-mm-dd")</f>
        <v/>
      </c>
      <c r="C32409" t="inlineStr">
        <is>
          <t>1988-08-13</t>
        </is>
      </c>
    </row>
    <row r="32410">
      <c r="A32410" s="1" t="n">
        <v>32409</v>
      </c>
      <c r="B32410">
        <f>TEXT(32409, "[$-0E0000]yyyy-mm-dd")</f>
        <v/>
      </c>
      <c r="C32410" t="inlineStr">
        <is>
          <t>1988-08-14</t>
        </is>
      </c>
    </row>
    <row r="32411">
      <c r="A32411" s="1" t="n">
        <v>32410</v>
      </c>
      <c r="B32411">
        <f>TEXT(32410, "[$-0E0000]yyyy-mm-dd")</f>
        <v/>
      </c>
      <c r="C32411" t="inlineStr">
        <is>
          <t>1988-08-15</t>
        </is>
      </c>
    </row>
    <row r="32412">
      <c r="A32412" s="1" t="n">
        <v>32411</v>
      </c>
      <c r="B32412">
        <f>TEXT(32411, "[$-0E0000]yyyy-mm-dd")</f>
        <v/>
      </c>
      <c r="C32412" t="inlineStr">
        <is>
          <t>1988-08-16</t>
        </is>
      </c>
    </row>
    <row r="32413">
      <c r="A32413" s="1" t="n">
        <v>32412</v>
      </c>
      <c r="B32413">
        <f>TEXT(32412, "[$-0E0000]yyyy-mm-dd")</f>
        <v/>
      </c>
      <c r="C32413" t="inlineStr">
        <is>
          <t>1988-08-17</t>
        </is>
      </c>
    </row>
    <row r="32414">
      <c r="A32414" s="1" t="n">
        <v>32413</v>
      </c>
      <c r="B32414">
        <f>TEXT(32413, "[$-0E0000]yyyy-mm-dd")</f>
        <v/>
      </c>
      <c r="C32414" t="inlineStr">
        <is>
          <t>1988-08-18</t>
        </is>
      </c>
    </row>
    <row r="32415">
      <c r="A32415" s="1" t="n">
        <v>32414</v>
      </c>
      <c r="B32415">
        <f>TEXT(32414, "[$-0E0000]yyyy-mm-dd")</f>
        <v/>
      </c>
      <c r="C32415" t="inlineStr">
        <is>
          <t>1988-08-19</t>
        </is>
      </c>
    </row>
    <row r="32416">
      <c r="A32416" s="1" t="n">
        <v>32415</v>
      </c>
      <c r="B32416">
        <f>TEXT(32415, "[$-0E0000]yyyy-mm-dd")</f>
        <v/>
      </c>
      <c r="C32416" t="inlineStr">
        <is>
          <t>1988-08-20</t>
        </is>
      </c>
    </row>
    <row r="32417">
      <c r="A32417" s="1" t="n">
        <v>32416</v>
      </c>
      <c r="B32417">
        <f>TEXT(32416, "[$-0E0000]yyyy-mm-dd")</f>
        <v/>
      </c>
      <c r="C32417" t="inlineStr">
        <is>
          <t>1988-08-21</t>
        </is>
      </c>
    </row>
    <row r="32418">
      <c r="A32418" s="1" t="n">
        <v>32417</v>
      </c>
      <c r="B32418">
        <f>TEXT(32417, "[$-0E0000]yyyy-mm-dd")</f>
        <v/>
      </c>
      <c r="C32418" t="inlineStr">
        <is>
          <t>1988-08-22</t>
        </is>
      </c>
    </row>
    <row r="32419">
      <c r="A32419" s="1" t="n">
        <v>32418</v>
      </c>
      <c r="B32419">
        <f>TEXT(32418, "[$-0E0000]yyyy-mm-dd")</f>
        <v/>
      </c>
      <c r="C32419" t="inlineStr">
        <is>
          <t>1988-08-23</t>
        </is>
      </c>
    </row>
    <row r="32420">
      <c r="A32420" s="1" t="n">
        <v>32419</v>
      </c>
      <c r="B32420">
        <f>TEXT(32419, "[$-0E0000]yyyy-mm-dd")</f>
        <v/>
      </c>
      <c r="C32420" t="inlineStr">
        <is>
          <t>1988-08-24</t>
        </is>
      </c>
    </row>
    <row r="32421">
      <c r="A32421" s="1" t="n">
        <v>32420</v>
      </c>
      <c r="B32421">
        <f>TEXT(32420, "[$-0E0000]yyyy-mm-dd")</f>
        <v/>
      </c>
      <c r="C32421" t="inlineStr">
        <is>
          <t>1988-08-25</t>
        </is>
      </c>
    </row>
    <row r="32422">
      <c r="A32422" s="1" t="n">
        <v>32421</v>
      </c>
      <c r="B32422">
        <f>TEXT(32421, "[$-0E0000]yyyy-mm-dd")</f>
        <v/>
      </c>
      <c r="C32422" t="inlineStr">
        <is>
          <t>1988-08-26</t>
        </is>
      </c>
    </row>
    <row r="32423">
      <c r="A32423" s="1" t="n">
        <v>32422</v>
      </c>
      <c r="B32423">
        <f>TEXT(32422, "[$-0E0000]yyyy-mm-dd")</f>
        <v/>
      </c>
      <c r="C32423" t="inlineStr">
        <is>
          <t>1988-08-27</t>
        </is>
      </c>
    </row>
    <row r="32424">
      <c r="A32424" s="1" t="n">
        <v>32423</v>
      </c>
      <c r="B32424">
        <f>TEXT(32423, "[$-0E0000]yyyy-mm-dd")</f>
        <v/>
      </c>
      <c r="C32424" t="inlineStr">
        <is>
          <t>1988-08-28</t>
        </is>
      </c>
    </row>
    <row r="32425">
      <c r="A32425" s="1" t="n">
        <v>32424</v>
      </c>
      <c r="B32425">
        <f>TEXT(32424, "[$-0E0000]yyyy-mm-dd")</f>
        <v/>
      </c>
      <c r="C32425" t="inlineStr">
        <is>
          <t>1988-08-29</t>
        </is>
      </c>
    </row>
    <row r="32426">
      <c r="A32426" s="1" t="n">
        <v>32425</v>
      </c>
      <c r="B32426">
        <f>TEXT(32425, "[$-0E0000]yyyy-mm-dd")</f>
        <v/>
      </c>
      <c r="C32426" t="inlineStr">
        <is>
          <t>1988-08-30</t>
        </is>
      </c>
    </row>
    <row r="32427">
      <c r="A32427" s="1" t="n">
        <v>32426</v>
      </c>
      <c r="B32427">
        <f>TEXT(32426, "[$-0E0000]yyyy-mm-dd")</f>
        <v/>
      </c>
      <c r="C32427" t="inlineStr">
        <is>
          <t>1988-09-01</t>
        </is>
      </c>
    </row>
    <row r="32428">
      <c r="A32428" s="1" t="n">
        <v>32427</v>
      </c>
      <c r="B32428">
        <f>TEXT(32427, "[$-0E0000]yyyy-mm-dd")</f>
        <v/>
      </c>
      <c r="C32428" t="inlineStr">
        <is>
          <t>1988-09-02</t>
        </is>
      </c>
    </row>
    <row r="32429">
      <c r="A32429" s="1" t="n">
        <v>32428</v>
      </c>
      <c r="B32429">
        <f>TEXT(32428, "[$-0E0000]yyyy-mm-dd")</f>
        <v/>
      </c>
      <c r="C32429" t="inlineStr">
        <is>
          <t>1988-09-03</t>
        </is>
      </c>
    </row>
    <row r="32430">
      <c r="A32430" s="1" t="n">
        <v>32429</v>
      </c>
      <c r="B32430">
        <f>TEXT(32429, "[$-0E0000]yyyy-mm-dd")</f>
        <v/>
      </c>
      <c r="C32430" t="inlineStr">
        <is>
          <t>1988-09-04</t>
        </is>
      </c>
    </row>
    <row r="32431">
      <c r="A32431" s="1" t="n">
        <v>32430</v>
      </c>
      <c r="B32431">
        <f>TEXT(32430, "[$-0E0000]yyyy-mm-dd")</f>
        <v/>
      </c>
      <c r="C32431" t="inlineStr">
        <is>
          <t>1988-09-05</t>
        </is>
      </c>
    </row>
    <row r="32432">
      <c r="A32432" s="1" t="n">
        <v>32431</v>
      </c>
      <c r="B32432">
        <f>TEXT(32431, "[$-0E0000]yyyy-mm-dd")</f>
        <v/>
      </c>
      <c r="C32432" t="inlineStr">
        <is>
          <t>1988-09-06</t>
        </is>
      </c>
    </row>
    <row r="32433">
      <c r="A32433" s="1" t="n">
        <v>32432</v>
      </c>
      <c r="B32433">
        <f>TEXT(32432, "[$-0E0000]yyyy-mm-dd")</f>
        <v/>
      </c>
      <c r="C32433" t="inlineStr">
        <is>
          <t>1988-09-07</t>
        </is>
      </c>
    </row>
    <row r="32434">
      <c r="A32434" s="1" t="n">
        <v>32433</v>
      </c>
      <c r="B32434">
        <f>TEXT(32433, "[$-0E0000]yyyy-mm-dd")</f>
        <v/>
      </c>
      <c r="C32434" t="inlineStr">
        <is>
          <t>1988-09-08</t>
        </is>
      </c>
    </row>
    <row r="32435">
      <c r="A32435" s="1" t="n">
        <v>32434</v>
      </c>
      <c r="B32435">
        <f>TEXT(32434, "[$-0E0000]yyyy-mm-dd")</f>
        <v/>
      </c>
      <c r="C32435" t="inlineStr">
        <is>
          <t>1988-09-09</t>
        </is>
      </c>
    </row>
    <row r="32436">
      <c r="A32436" s="1" t="n">
        <v>32435</v>
      </c>
      <c r="B32436">
        <f>TEXT(32435, "[$-0E0000]yyyy-mm-dd")</f>
        <v/>
      </c>
      <c r="C32436" t="inlineStr">
        <is>
          <t>1988-09-10</t>
        </is>
      </c>
    </row>
    <row r="32437">
      <c r="A32437" s="1" t="n">
        <v>32436</v>
      </c>
      <c r="B32437">
        <f>TEXT(32436, "[$-0E0000]yyyy-mm-dd")</f>
        <v/>
      </c>
      <c r="C32437" t="inlineStr">
        <is>
          <t>1988-09-11</t>
        </is>
      </c>
    </row>
    <row r="32438">
      <c r="A32438" s="1" t="n">
        <v>32437</v>
      </c>
      <c r="B32438">
        <f>TEXT(32437, "[$-0E0000]yyyy-mm-dd")</f>
        <v/>
      </c>
      <c r="C32438" t="inlineStr">
        <is>
          <t>1988-09-12</t>
        </is>
      </c>
    </row>
    <row r="32439">
      <c r="A32439" s="1" t="n">
        <v>32438</v>
      </c>
      <c r="B32439">
        <f>TEXT(32438, "[$-0E0000]yyyy-mm-dd")</f>
        <v/>
      </c>
      <c r="C32439" t="inlineStr">
        <is>
          <t>1988-09-13</t>
        </is>
      </c>
    </row>
    <row r="32440">
      <c r="A32440" s="1" t="n">
        <v>32439</v>
      </c>
      <c r="B32440">
        <f>TEXT(32439, "[$-0E0000]yyyy-mm-dd")</f>
        <v/>
      </c>
      <c r="C32440" t="inlineStr">
        <is>
          <t>1988-09-14</t>
        </is>
      </c>
    </row>
    <row r="32441">
      <c r="A32441" s="1" t="n">
        <v>32440</v>
      </c>
      <c r="B32441">
        <f>TEXT(32440, "[$-0E0000]yyyy-mm-dd")</f>
        <v/>
      </c>
      <c r="C32441" t="inlineStr">
        <is>
          <t>1988-09-15</t>
        </is>
      </c>
    </row>
    <row r="32442">
      <c r="A32442" s="1" t="n">
        <v>32441</v>
      </c>
      <c r="B32442">
        <f>TEXT(32441, "[$-0E0000]yyyy-mm-dd")</f>
        <v/>
      </c>
      <c r="C32442" t="inlineStr">
        <is>
          <t>1988-09-16</t>
        </is>
      </c>
    </row>
    <row r="32443">
      <c r="A32443" s="1" t="n">
        <v>32442</v>
      </c>
      <c r="B32443">
        <f>TEXT(32442, "[$-0E0000]yyyy-mm-dd")</f>
        <v/>
      </c>
      <c r="C32443" t="inlineStr">
        <is>
          <t>1988-09-17</t>
        </is>
      </c>
    </row>
    <row r="32444">
      <c r="A32444" s="1" t="n">
        <v>32443</v>
      </c>
      <c r="B32444">
        <f>TEXT(32443, "[$-0E0000]yyyy-mm-dd")</f>
        <v/>
      </c>
      <c r="C32444" t="inlineStr">
        <is>
          <t>1988-09-18</t>
        </is>
      </c>
    </row>
    <row r="32445">
      <c r="A32445" s="1" t="n">
        <v>32444</v>
      </c>
      <c r="B32445">
        <f>TEXT(32444, "[$-0E0000]yyyy-mm-dd")</f>
        <v/>
      </c>
      <c r="C32445" t="inlineStr">
        <is>
          <t>1988-09-19</t>
        </is>
      </c>
    </row>
    <row r="32446">
      <c r="A32446" s="1" t="n">
        <v>32445</v>
      </c>
      <c r="B32446">
        <f>TEXT(32445, "[$-0E0000]yyyy-mm-dd")</f>
        <v/>
      </c>
      <c r="C32446" t="inlineStr">
        <is>
          <t>1988-09-20</t>
        </is>
      </c>
    </row>
    <row r="32447">
      <c r="A32447" s="1" t="n">
        <v>32446</v>
      </c>
      <c r="B32447">
        <f>TEXT(32446, "[$-0E0000]yyyy-mm-dd")</f>
        <v/>
      </c>
      <c r="C32447" t="inlineStr">
        <is>
          <t>1988-09-21</t>
        </is>
      </c>
    </row>
    <row r="32448">
      <c r="A32448" s="1" t="n">
        <v>32447</v>
      </c>
      <c r="B32448">
        <f>TEXT(32447, "[$-0E0000]yyyy-mm-dd")</f>
        <v/>
      </c>
      <c r="C32448" t="inlineStr">
        <is>
          <t>1988-09-22</t>
        </is>
      </c>
    </row>
    <row r="32449">
      <c r="A32449" s="1" t="n">
        <v>32448</v>
      </c>
      <c r="B32449">
        <f>TEXT(32448, "[$-0E0000]yyyy-mm-dd")</f>
        <v/>
      </c>
      <c r="C32449" t="inlineStr">
        <is>
          <t>1988-09-23</t>
        </is>
      </c>
    </row>
    <row r="32450">
      <c r="A32450" s="1" t="n">
        <v>32449</v>
      </c>
      <c r="B32450">
        <f>TEXT(32449, "[$-0E0000]yyyy-mm-dd")</f>
        <v/>
      </c>
      <c r="C32450" t="inlineStr">
        <is>
          <t>1988-09-24</t>
        </is>
      </c>
    </row>
    <row r="32451">
      <c r="A32451" s="1" t="n">
        <v>32450</v>
      </c>
      <c r="B32451">
        <f>TEXT(32450, "[$-0E0000]yyyy-mm-dd")</f>
        <v/>
      </c>
      <c r="C32451" t="inlineStr">
        <is>
          <t>1988-09-25</t>
        </is>
      </c>
    </row>
    <row r="32452">
      <c r="A32452" s="1" t="n">
        <v>32451</v>
      </c>
      <c r="B32452">
        <f>TEXT(32451, "[$-0E0000]yyyy-mm-dd")</f>
        <v/>
      </c>
      <c r="C32452" t="inlineStr">
        <is>
          <t>1988-09-26</t>
        </is>
      </c>
    </row>
    <row r="32453">
      <c r="A32453" s="1" t="n">
        <v>32452</v>
      </c>
      <c r="B32453">
        <f>TEXT(32452, "[$-0E0000]yyyy-mm-dd")</f>
        <v/>
      </c>
      <c r="C32453" t="inlineStr">
        <is>
          <t>1988-09-27</t>
        </is>
      </c>
    </row>
    <row r="32454">
      <c r="A32454" s="1" t="n">
        <v>32453</v>
      </c>
      <c r="B32454">
        <f>TEXT(32453, "[$-0E0000]yyyy-mm-dd")</f>
        <v/>
      </c>
      <c r="C32454" t="inlineStr">
        <is>
          <t>1988-09-28</t>
        </is>
      </c>
    </row>
    <row r="32455">
      <c r="A32455" s="1" t="n">
        <v>32454</v>
      </c>
      <c r="B32455">
        <f>TEXT(32454, "[$-0E0000]yyyy-mm-dd")</f>
        <v/>
      </c>
      <c r="C32455" t="inlineStr">
        <is>
          <t>1988-09-29</t>
        </is>
      </c>
    </row>
    <row r="32456">
      <c r="A32456" s="1" t="n">
        <v>32455</v>
      </c>
      <c r="B32456">
        <f>TEXT(32455, "[$-0E0000]yyyy-mm-dd")</f>
        <v/>
      </c>
      <c r="C32456" t="inlineStr">
        <is>
          <t>1988-10-01</t>
        </is>
      </c>
    </row>
    <row r="32457">
      <c r="A32457" s="1" t="n">
        <v>32456</v>
      </c>
      <c r="B32457">
        <f>TEXT(32456, "[$-0E0000]yyyy-mm-dd")</f>
        <v/>
      </c>
      <c r="C32457" t="inlineStr">
        <is>
          <t>1988-10-02</t>
        </is>
      </c>
    </row>
    <row r="32458">
      <c r="A32458" s="1" t="n">
        <v>32457</v>
      </c>
      <c r="B32458">
        <f>TEXT(32457, "[$-0E0000]yyyy-mm-dd")</f>
        <v/>
      </c>
      <c r="C32458" t="inlineStr">
        <is>
          <t>1988-10-03</t>
        </is>
      </c>
    </row>
    <row r="32459">
      <c r="A32459" s="1" t="n">
        <v>32458</v>
      </c>
      <c r="B32459">
        <f>TEXT(32458, "[$-0E0000]yyyy-mm-dd")</f>
        <v/>
      </c>
      <c r="C32459" t="inlineStr">
        <is>
          <t>1988-10-04</t>
        </is>
      </c>
    </row>
    <row r="32460">
      <c r="A32460" s="1" t="n">
        <v>32459</v>
      </c>
      <c r="B32460">
        <f>TEXT(32459, "[$-0E0000]yyyy-mm-dd")</f>
        <v/>
      </c>
      <c r="C32460" t="inlineStr">
        <is>
          <t>1988-10-05</t>
        </is>
      </c>
    </row>
    <row r="32461">
      <c r="A32461" s="1" t="n">
        <v>32460</v>
      </c>
      <c r="B32461">
        <f>TEXT(32460, "[$-0E0000]yyyy-mm-dd")</f>
        <v/>
      </c>
      <c r="C32461" t="inlineStr">
        <is>
          <t>1988-10-06</t>
        </is>
      </c>
    </row>
    <row r="32462">
      <c r="A32462" s="1" t="n">
        <v>32461</v>
      </c>
      <c r="B32462">
        <f>TEXT(32461, "[$-0E0000]yyyy-mm-dd")</f>
        <v/>
      </c>
      <c r="C32462" t="inlineStr">
        <is>
          <t>1988-10-07</t>
        </is>
      </c>
    </row>
    <row r="32463">
      <c r="A32463" s="1" t="n">
        <v>32462</v>
      </c>
      <c r="B32463">
        <f>TEXT(32462, "[$-0E0000]yyyy-mm-dd")</f>
        <v/>
      </c>
      <c r="C32463" t="inlineStr">
        <is>
          <t>1988-10-08</t>
        </is>
      </c>
    </row>
    <row r="32464">
      <c r="A32464" s="1" t="n">
        <v>32463</v>
      </c>
      <c r="B32464">
        <f>TEXT(32463, "[$-0E0000]yyyy-mm-dd")</f>
        <v/>
      </c>
      <c r="C32464" t="inlineStr">
        <is>
          <t>1988-10-09</t>
        </is>
      </c>
    </row>
    <row r="32465">
      <c r="A32465" s="1" t="n">
        <v>32464</v>
      </c>
      <c r="B32465">
        <f>TEXT(32464, "[$-0E0000]yyyy-mm-dd")</f>
        <v/>
      </c>
      <c r="C32465" t="inlineStr">
        <is>
          <t>1988-10-10</t>
        </is>
      </c>
    </row>
    <row r="32466">
      <c r="A32466" s="1" t="n">
        <v>32465</v>
      </c>
      <c r="B32466">
        <f>TEXT(32465, "[$-0E0000]yyyy-mm-dd")</f>
        <v/>
      </c>
      <c r="C32466" t="inlineStr">
        <is>
          <t>1988-10-11</t>
        </is>
      </c>
    </row>
    <row r="32467">
      <c r="A32467" s="1" t="n">
        <v>32466</v>
      </c>
      <c r="B32467">
        <f>TEXT(32466, "[$-0E0000]yyyy-mm-dd")</f>
        <v/>
      </c>
      <c r="C32467" t="inlineStr">
        <is>
          <t>1988-10-12</t>
        </is>
      </c>
    </row>
    <row r="32468">
      <c r="A32468" s="1" t="n">
        <v>32467</v>
      </c>
      <c r="B32468">
        <f>TEXT(32467, "[$-0E0000]yyyy-mm-dd")</f>
        <v/>
      </c>
      <c r="C32468" t="inlineStr">
        <is>
          <t>1988-10-13</t>
        </is>
      </c>
    </row>
    <row r="32469">
      <c r="A32469" s="1" t="n">
        <v>32468</v>
      </c>
      <c r="B32469">
        <f>TEXT(32468, "[$-0E0000]yyyy-mm-dd")</f>
        <v/>
      </c>
      <c r="C32469" t="inlineStr">
        <is>
          <t>1988-10-14</t>
        </is>
      </c>
    </row>
    <row r="32470">
      <c r="A32470" s="1" t="n">
        <v>32469</v>
      </c>
      <c r="B32470">
        <f>TEXT(32469, "[$-0E0000]yyyy-mm-dd")</f>
        <v/>
      </c>
      <c r="C32470" t="inlineStr">
        <is>
          <t>1988-10-15</t>
        </is>
      </c>
    </row>
    <row r="32471">
      <c r="A32471" s="1" t="n">
        <v>32470</v>
      </c>
      <c r="B32471">
        <f>TEXT(32470, "[$-0E0000]yyyy-mm-dd")</f>
        <v/>
      </c>
      <c r="C32471" t="inlineStr">
        <is>
          <t>1988-10-16</t>
        </is>
      </c>
    </row>
    <row r="32472">
      <c r="A32472" s="1" t="n">
        <v>32471</v>
      </c>
      <c r="B32472">
        <f>TEXT(32471, "[$-0E0000]yyyy-mm-dd")</f>
        <v/>
      </c>
      <c r="C32472" t="inlineStr">
        <is>
          <t>1988-10-17</t>
        </is>
      </c>
    </row>
    <row r="32473">
      <c r="A32473" s="1" t="n">
        <v>32472</v>
      </c>
      <c r="B32473">
        <f>TEXT(32472, "[$-0E0000]yyyy-mm-dd")</f>
        <v/>
      </c>
      <c r="C32473" t="inlineStr">
        <is>
          <t>1988-10-18</t>
        </is>
      </c>
    </row>
    <row r="32474">
      <c r="A32474" s="1" t="n">
        <v>32473</v>
      </c>
      <c r="B32474">
        <f>TEXT(32473, "[$-0E0000]yyyy-mm-dd")</f>
        <v/>
      </c>
      <c r="C32474" t="inlineStr">
        <is>
          <t>1988-10-19</t>
        </is>
      </c>
    </row>
    <row r="32475">
      <c r="A32475" s="1" t="n">
        <v>32474</v>
      </c>
      <c r="B32475">
        <f>TEXT(32474, "[$-0E0000]yyyy-mm-dd")</f>
        <v/>
      </c>
      <c r="C32475" t="inlineStr">
        <is>
          <t>1988-10-20</t>
        </is>
      </c>
    </row>
    <row r="32476">
      <c r="A32476" s="1" t="n">
        <v>32475</v>
      </c>
      <c r="B32476">
        <f>TEXT(32475, "[$-0E0000]yyyy-mm-dd")</f>
        <v/>
      </c>
      <c r="C32476" t="inlineStr">
        <is>
          <t>1988-10-21</t>
        </is>
      </c>
    </row>
    <row r="32477">
      <c r="A32477" s="1" t="n">
        <v>32476</v>
      </c>
      <c r="B32477">
        <f>TEXT(32476, "[$-0E0000]yyyy-mm-dd")</f>
        <v/>
      </c>
      <c r="C32477" t="inlineStr">
        <is>
          <t>1988-10-22</t>
        </is>
      </c>
    </row>
    <row r="32478">
      <c r="A32478" s="1" t="n">
        <v>32477</v>
      </c>
      <c r="B32478">
        <f>TEXT(32477, "[$-0E0000]yyyy-mm-dd")</f>
        <v/>
      </c>
      <c r="C32478" t="inlineStr">
        <is>
          <t>1988-10-23</t>
        </is>
      </c>
    </row>
    <row r="32479">
      <c r="A32479" s="1" t="n">
        <v>32478</v>
      </c>
      <c r="B32479">
        <f>TEXT(32478, "[$-0E0000]yyyy-mm-dd")</f>
        <v/>
      </c>
      <c r="C32479" t="inlineStr">
        <is>
          <t>1988-10-24</t>
        </is>
      </c>
    </row>
    <row r="32480">
      <c r="A32480" s="1" t="n">
        <v>32479</v>
      </c>
      <c r="B32480">
        <f>TEXT(32479, "[$-0E0000]yyyy-mm-dd")</f>
        <v/>
      </c>
      <c r="C32480" t="inlineStr">
        <is>
          <t>1988-10-25</t>
        </is>
      </c>
    </row>
    <row r="32481">
      <c r="A32481" s="1" t="n">
        <v>32480</v>
      </c>
      <c r="B32481">
        <f>TEXT(32480, "[$-0E0000]yyyy-mm-dd")</f>
        <v/>
      </c>
      <c r="C32481" t="inlineStr">
        <is>
          <t>1988-10-26</t>
        </is>
      </c>
    </row>
    <row r="32482">
      <c r="A32482" s="1" t="n">
        <v>32481</v>
      </c>
      <c r="B32482">
        <f>TEXT(32481, "[$-0E0000]yyyy-mm-dd")</f>
        <v/>
      </c>
      <c r="C32482" t="inlineStr">
        <is>
          <t>1988-10-27</t>
        </is>
      </c>
    </row>
    <row r="32483">
      <c r="A32483" s="1" t="n">
        <v>32482</v>
      </c>
      <c r="B32483">
        <f>TEXT(32482, "[$-0E0000]yyyy-mm-dd")</f>
        <v/>
      </c>
      <c r="C32483" t="inlineStr">
        <is>
          <t>1988-10-28</t>
        </is>
      </c>
    </row>
    <row r="32484">
      <c r="A32484" s="1" t="n">
        <v>32483</v>
      </c>
      <c r="B32484">
        <f>TEXT(32483, "[$-0E0000]yyyy-mm-dd")</f>
        <v/>
      </c>
      <c r="C32484" t="inlineStr">
        <is>
          <t>1988-10-29</t>
        </is>
      </c>
    </row>
    <row r="32485">
      <c r="A32485" s="1" t="n">
        <v>32484</v>
      </c>
      <c r="B32485">
        <f>TEXT(32484, "[$-0E0000]yyyy-mm-dd")</f>
        <v/>
      </c>
      <c r="C32485" t="inlineStr">
        <is>
          <t>1988-10-30</t>
        </is>
      </c>
    </row>
    <row r="32486">
      <c r="A32486" s="1" t="n">
        <v>32485</v>
      </c>
      <c r="B32486">
        <f>TEXT(32485, "[$-0E0000]yyyy-mm-dd")</f>
        <v/>
      </c>
      <c r="C32486" t="inlineStr">
        <is>
          <t>1988-11-01</t>
        </is>
      </c>
    </row>
    <row r="32487">
      <c r="A32487" s="1" t="n">
        <v>32486</v>
      </c>
      <c r="B32487">
        <f>TEXT(32486, "[$-0E0000]yyyy-mm-dd")</f>
        <v/>
      </c>
      <c r="C32487" t="inlineStr">
        <is>
          <t>1988-11-02</t>
        </is>
      </c>
    </row>
    <row r="32488">
      <c r="A32488" s="1" t="n">
        <v>32487</v>
      </c>
      <c r="B32488">
        <f>TEXT(32487, "[$-0E0000]yyyy-mm-dd")</f>
        <v/>
      </c>
      <c r="C32488" t="inlineStr">
        <is>
          <t>1988-11-03</t>
        </is>
      </c>
    </row>
    <row r="32489">
      <c r="A32489" s="1" t="n">
        <v>32488</v>
      </c>
      <c r="B32489">
        <f>TEXT(32488, "[$-0E0000]yyyy-mm-dd")</f>
        <v/>
      </c>
      <c r="C32489" t="inlineStr">
        <is>
          <t>1988-11-04</t>
        </is>
      </c>
    </row>
    <row r="32490">
      <c r="A32490" s="1" t="n">
        <v>32489</v>
      </c>
      <c r="B32490">
        <f>TEXT(32489, "[$-0E0000]yyyy-mm-dd")</f>
        <v/>
      </c>
      <c r="C32490" t="inlineStr">
        <is>
          <t>1988-11-05</t>
        </is>
      </c>
    </row>
    <row r="32491">
      <c r="A32491" s="1" t="n">
        <v>32490</v>
      </c>
      <c r="B32491">
        <f>TEXT(32490, "[$-0E0000]yyyy-mm-dd")</f>
        <v/>
      </c>
      <c r="C32491" t="inlineStr">
        <is>
          <t>1988-11-06</t>
        </is>
      </c>
    </row>
    <row r="32492">
      <c r="A32492" s="1" t="n">
        <v>32491</v>
      </c>
      <c r="B32492">
        <f>TEXT(32491, "[$-0E0000]yyyy-mm-dd")</f>
        <v/>
      </c>
      <c r="C32492" t="inlineStr">
        <is>
          <t>1988-11-07</t>
        </is>
      </c>
    </row>
    <row r="32493">
      <c r="A32493" s="1" t="n">
        <v>32492</v>
      </c>
      <c r="B32493">
        <f>TEXT(32492, "[$-0E0000]yyyy-mm-dd")</f>
        <v/>
      </c>
      <c r="C32493" t="inlineStr">
        <is>
          <t>1988-11-08</t>
        </is>
      </c>
    </row>
    <row r="32494">
      <c r="A32494" s="1" t="n">
        <v>32493</v>
      </c>
      <c r="B32494">
        <f>TEXT(32493, "[$-0E0000]yyyy-mm-dd")</f>
        <v/>
      </c>
      <c r="C32494" t="inlineStr">
        <is>
          <t>1988-11-09</t>
        </is>
      </c>
    </row>
    <row r="32495">
      <c r="A32495" s="1" t="n">
        <v>32494</v>
      </c>
      <c r="B32495">
        <f>TEXT(32494, "[$-0E0000]yyyy-mm-dd")</f>
        <v/>
      </c>
      <c r="C32495" t="inlineStr">
        <is>
          <t>1988-11-10</t>
        </is>
      </c>
    </row>
    <row r="32496">
      <c r="A32496" s="1" t="n">
        <v>32495</v>
      </c>
      <c r="B32496">
        <f>TEXT(32495, "[$-0E0000]yyyy-mm-dd")</f>
        <v/>
      </c>
      <c r="C32496" t="inlineStr">
        <is>
          <t>1988-11-11</t>
        </is>
      </c>
    </row>
    <row r="32497">
      <c r="A32497" s="1" t="n">
        <v>32496</v>
      </c>
      <c r="B32497">
        <f>TEXT(32496, "[$-0E0000]yyyy-mm-dd")</f>
        <v/>
      </c>
      <c r="C32497" t="inlineStr">
        <is>
          <t>1988-11-12</t>
        </is>
      </c>
    </row>
    <row r="32498">
      <c r="A32498" s="1" t="n">
        <v>32497</v>
      </c>
      <c r="B32498">
        <f>TEXT(32497, "[$-0E0000]yyyy-mm-dd")</f>
        <v/>
      </c>
      <c r="C32498" t="inlineStr">
        <is>
          <t>1988-11-13</t>
        </is>
      </c>
    </row>
    <row r="32499">
      <c r="A32499" s="1" t="n">
        <v>32498</v>
      </c>
      <c r="B32499">
        <f>TEXT(32498, "[$-0E0000]yyyy-mm-dd")</f>
        <v/>
      </c>
      <c r="C32499" t="inlineStr">
        <is>
          <t>1988-11-14</t>
        </is>
      </c>
    </row>
    <row r="32500">
      <c r="A32500" s="1" t="n">
        <v>32499</v>
      </c>
      <c r="B32500">
        <f>TEXT(32499, "[$-0E0000]yyyy-mm-dd")</f>
        <v/>
      </c>
      <c r="C32500" t="inlineStr">
        <is>
          <t>1988-11-15</t>
        </is>
      </c>
    </row>
    <row r="32501">
      <c r="A32501" s="1" t="n">
        <v>32500</v>
      </c>
      <c r="B32501">
        <f>TEXT(32500, "[$-0E0000]yyyy-mm-dd")</f>
        <v/>
      </c>
      <c r="C32501" t="inlineStr">
        <is>
          <t>1988-11-16</t>
        </is>
      </c>
    </row>
    <row r="32502">
      <c r="A32502" s="1" t="n">
        <v>32501</v>
      </c>
      <c r="B32502">
        <f>TEXT(32501, "[$-0E0000]yyyy-mm-dd")</f>
        <v/>
      </c>
      <c r="C32502" t="inlineStr">
        <is>
          <t>1988-11-17</t>
        </is>
      </c>
    </row>
    <row r="32503">
      <c r="A32503" s="1" t="n">
        <v>32502</v>
      </c>
      <c r="B32503">
        <f>TEXT(32502, "[$-0E0000]yyyy-mm-dd")</f>
        <v/>
      </c>
      <c r="C32503" t="inlineStr">
        <is>
          <t>1988-11-18</t>
        </is>
      </c>
    </row>
    <row r="32504">
      <c r="A32504" s="1" t="n">
        <v>32503</v>
      </c>
      <c r="B32504">
        <f>TEXT(32503, "[$-0E0000]yyyy-mm-dd")</f>
        <v/>
      </c>
      <c r="C32504" t="inlineStr">
        <is>
          <t>1988-11-19</t>
        </is>
      </c>
    </row>
    <row r="32505">
      <c r="A32505" s="1" t="n">
        <v>32504</v>
      </c>
      <c r="B32505">
        <f>TEXT(32504, "[$-0E0000]yyyy-mm-dd")</f>
        <v/>
      </c>
      <c r="C32505" t="inlineStr">
        <is>
          <t>1988-11-20</t>
        </is>
      </c>
    </row>
    <row r="32506">
      <c r="A32506" s="1" t="n">
        <v>32505</v>
      </c>
      <c r="B32506">
        <f>TEXT(32505, "[$-0E0000]yyyy-mm-dd")</f>
        <v/>
      </c>
      <c r="C32506" t="inlineStr">
        <is>
          <t>1988-11-21</t>
        </is>
      </c>
    </row>
    <row r="32507">
      <c r="A32507" s="1" t="n">
        <v>32506</v>
      </c>
      <c r="B32507">
        <f>TEXT(32506, "[$-0E0000]yyyy-mm-dd")</f>
        <v/>
      </c>
      <c r="C32507" t="inlineStr">
        <is>
          <t>1988-11-22</t>
        </is>
      </c>
    </row>
    <row r="32508">
      <c r="A32508" s="1" t="n">
        <v>32507</v>
      </c>
      <c r="B32508">
        <f>TEXT(32507, "[$-0E0000]yyyy-mm-dd")</f>
        <v/>
      </c>
      <c r="C32508" t="inlineStr">
        <is>
          <t>1988-11-23</t>
        </is>
      </c>
    </row>
    <row r="32509">
      <c r="A32509" s="1" t="n">
        <v>32508</v>
      </c>
      <c r="B32509">
        <f>TEXT(32508, "[$-0E0000]yyyy-mm-dd")</f>
        <v/>
      </c>
      <c r="C32509" t="inlineStr">
        <is>
          <t>1988-11-24</t>
        </is>
      </c>
    </row>
    <row r="32510">
      <c r="A32510" s="1" t="n">
        <v>32509</v>
      </c>
      <c r="B32510">
        <f>TEXT(32509, "[$-0E0000]yyyy-mm-dd")</f>
        <v/>
      </c>
      <c r="C32510" t="inlineStr">
        <is>
          <t>1988-11-25</t>
        </is>
      </c>
    </row>
    <row r="32511">
      <c r="A32511" s="1" t="n">
        <v>32510</v>
      </c>
      <c r="B32511">
        <f>TEXT(32510, "[$-0E0000]yyyy-mm-dd")</f>
        <v/>
      </c>
      <c r="C32511" t="inlineStr">
        <is>
          <t>1988-11-26</t>
        </is>
      </c>
    </row>
    <row r="32512">
      <c r="A32512" s="1" t="n">
        <v>32511</v>
      </c>
      <c r="B32512">
        <f>TEXT(32511, "[$-0E0000]yyyy-mm-dd")</f>
        <v/>
      </c>
      <c r="C32512" t="inlineStr">
        <is>
          <t>1988-11-27</t>
        </is>
      </c>
    </row>
    <row r="32513">
      <c r="A32513" s="1" t="n">
        <v>32512</v>
      </c>
      <c r="B32513">
        <f>TEXT(32512, "[$-0E0000]yyyy-mm-dd")</f>
        <v/>
      </c>
      <c r="C32513" t="inlineStr">
        <is>
          <t>1988-11-28</t>
        </is>
      </c>
    </row>
    <row r="32514">
      <c r="A32514" s="1" t="n">
        <v>32513</v>
      </c>
      <c r="B32514">
        <f>TEXT(32513, "[$-0E0000]yyyy-mm-dd")</f>
        <v/>
      </c>
      <c r="C32514" t="inlineStr">
        <is>
          <t>1988-11-29</t>
        </is>
      </c>
    </row>
    <row r="32515">
      <c r="A32515" s="1" t="n">
        <v>32514</v>
      </c>
      <c r="B32515">
        <f>TEXT(32514, "[$-0E0000]yyyy-mm-dd")</f>
        <v/>
      </c>
      <c r="C32515" t="inlineStr">
        <is>
          <t>1988-11-30</t>
        </is>
      </c>
    </row>
    <row r="32516">
      <c r="A32516" s="1" t="n">
        <v>32515</v>
      </c>
      <c r="B32516">
        <f>TEXT(32515, "[$-0E0000]yyyy-mm-dd")</f>
        <v/>
      </c>
      <c r="C32516" t="inlineStr">
        <is>
          <t>1988-12-01</t>
        </is>
      </c>
    </row>
    <row r="32517">
      <c r="A32517" s="1" t="n">
        <v>32516</v>
      </c>
      <c r="B32517">
        <f>TEXT(32516, "[$-0E0000]yyyy-mm-dd")</f>
        <v/>
      </c>
      <c r="C32517" t="inlineStr">
        <is>
          <t>1988-12-02</t>
        </is>
      </c>
    </row>
    <row r="32518">
      <c r="A32518" s="1" t="n">
        <v>32517</v>
      </c>
      <c r="B32518">
        <f>TEXT(32517, "[$-0E0000]yyyy-mm-dd")</f>
        <v/>
      </c>
      <c r="C32518" t="inlineStr">
        <is>
          <t>1988-12-03</t>
        </is>
      </c>
    </row>
    <row r="32519">
      <c r="A32519" s="1" t="n">
        <v>32518</v>
      </c>
      <c r="B32519">
        <f>TEXT(32518, "[$-0E0000]yyyy-mm-dd")</f>
        <v/>
      </c>
      <c r="C32519" t="inlineStr">
        <is>
          <t>1988-12-04</t>
        </is>
      </c>
    </row>
    <row r="32520">
      <c r="A32520" s="1" t="n">
        <v>32519</v>
      </c>
      <c r="B32520">
        <f>TEXT(32519, "[$-0E0000]yyyy-mm-dd")</f>
        <v/>
      </c>
      <c r="C32520" t="inlineStr">
        <is>
          <t>1988-12-05</t>
        </is>
      </c>
    </row>
    <row r="32521">
      <c r="A32521" s="1" t="n">
        <v>32520</v>
      </c>
      <c r="B32521">
        <f>TEXT(32520, "[$-0E0000]yyyy-mm-dd")</f>
        <v/>
      </c>
      <c r="C32521" t="inlineStr">
        <is>
          <t>1988-12-06</t>
        </is>
      </c>
    </row>
    <row r="32522">
      <c r="A32522" s="1" t="n">
        <v>32521</v>
      </c>
      <c r="B32522">
        <f>TEXT(32521, "[$-0E0000]yyyy-mm-dd")</f>
        <v/>
      </c>
      <c r="C32522" t="inlineStr">
        <is>
          <t>1988-12-07</t>
        </is>
      </c>
    </row>
    <row r="32523">
      <c r="A32523" s="1" t="n">
        <v>32522</v>
      </c>
      <c r="B32523">
        <f>TEXT(32522, "[$-0E0000]yyyy-mm-dd")</f>
        <v/>
      </c>
      <c r="C32523" t="inlineStr">
        <is>
          <t>1988-12-08</t>
        </is>
      </c>
    </row>
    <row r="32524">
      <c r="A32524" s="1" t="n">
        <v>32523</v>
      </c>
      <c r="B32524">
        <f>TEXT(32523, "[$-0E0000]yyyy-mm-dd")</f>
        <v/>
      </c>
      <c r="C32524" t="inlineStr">
        <is>
          <t>1988-12-09</t>
        </is>
      </c>
    </row>
    <row r="32525">
      <c r="A32525" s="1" t="n">
        <v>32524</v>
      </c>
      <c r="B32525">
        <f>TEXT(32524, "[$-0E0000]yyyy-mm-dd")</f>
        <v/>
      </c>
      <c r="C32525" t="inlineStr">
        <is>
          <t>1988-12-10</t>
        </is>
      </c>
    </row>
    <row r="32526">
      <c r="A32526" s="1" t="n">
        <v>32525</v>
      </c>
      <c r="B32526">
        <f>TEXT(32525, "[$-0E0000]yyyy-mm-dd")</f>
        <v/>
      </c>
      <c r="C32526" t="inlineStr">
        <is>
          <t>1988-12-11</t>
        </is>
      </c>
    </row>
    <row r="32527">
      <c r="A32527" s="1" t="n">
        <v>32526</v>
      </c>
      <c r="B32527">
        <f>TEXT(32526, "[$-0E0000]yyyy-mm-dd")</f>
        <v/>
      </c>
      <c r="C32527" t="inlineStr">
        <is>
          <t>1988-12-12</t>
        </is>
      </c>
    </row>
    <row r="32528">
      <c r="A32528" s="1" t="n">
        <v>32527</v>
      </c>
      <c r="B32528">
        <f>TEXT(32527, "[$-0E0000]yyyy-mm-dd")</f>
        <v/>
      </c>
      <c r="C32528" t="inlineStr">
        <is>
          <t>1988-12-13</t>
        </is>
      </c>
    </row>
    <row r="32529">
      <c r="A32529" s="1" t="n">
        <v>32528</v>
      </c>
      <c r="B32529">
        <f>TEXT(32528, "[$-0E0000]yyyy-mm-dd")</f>
        <v/>
      </c>
      <c r="C32529" t="inlineStr">
        <is>
          <t>1988-12-14</t>
        </is>
      </c>
    </row>
    <row r="32530">
      <c r="A32530" s="1" t="n">
        <v>32529</v>
      </c>
      <c r="B32530">
        <f>TEXT(32529, "[$-0E0000]yyyy-mm-dd")</f>
        <v/>
      </c>
      <c r="C32530" t="inlineStr">
        <is>
          <t>1988-12-15</t>
        </is>
      </c>
    </row>
    <row r="32531">
      <c r="A32531" s="1" t="n">
        <v>32530</v>
      </c>
      <c r="B32531">
        <f>TEXT(32530, "[$-0E0000]yyyy-mm-dd")</f>
        <v/>
      </c>
      <c r="C32531" t="inlineStr">
        <is>
          <t>1988-12-16</t>
        </is>
      </c>
    </row>
    <row r="32532">
      <c r="A32532" s="1" t="n">
        <v>32531</v>
      </c>
      <c r="B32532">
        <f>TEXT(32531, "[$-0E0000]yyyy-mm-dd")</f>
        <v/>
      </c>
      <c r="C32532" t="inlineStr">
        <is>
          <t>1988-12-17</t>
        </is>
      </c>
    </row>
    <row r="32533">
      <c r="A32533" s="1" t="n">
        <v>32532</v>
      </c>
      <c r="B32533">
        <f>TEXT(32532, "[$-0E0000]yyyy-mm-dd")</f>
        <v/>
      </c>
      <c r="C32533" t="inlineStr">
        <is>
          <t>1988-12-18</t>
        </is>
      </c>
    </row>
    <row r="32534">
      <c r="A32534" s="1" t="n">
        <v>32533</v>
      </c>
      <c r="B32534">
        <f>TEXT(32533, "[$-0E0000]yyyy-mm-dd")</f>
        <v/>
      </c>
      <c r="C32534" t="inlineStr">
        <is>
          <t>1988-12-19</t>
        </is>
      </c>
    </row>
    <row r="32535">
      <c r="A32535" s="1" t="n">
        <v>32534</v>
      </c>
      <c r="B32535">
        <f>TEXT(32534, "[$-0E0000]yyyy-mm-dd")</f>
        <v/>
      </c>
      <c r="C32535" t="inlineStr">
        <is>
          <t>1988-12-20</t>
        </is>
      </c>
    </row>
    <row r="32536">
      <c r="A32536" s="1" t="n">
        <v>32535</v>
      </c>
      <c r="B32536">
        <f>TEXT(32535, "[$-0E0000]yyyy-mm-dd")</f>
        <v/>
      </c>
      <c r="C32536" t="inlineStr">
        <is>
          <t>1988-12-21</t>
        </is>
      </c>
    </row>
    <row r="32537">
      <c r="A32537" s="1" t="n">
        <v>32536</v>
      </c>
      <c r="B32537">
        <f>TEXT(32536, "[$-0E0000]yyyy-mm-dd")</f>
        <v/>
      </c>
      <c r="C32537" t="inlineStr">
        <is>
          <t>1988-12-22</t>
        </is>
      </c>
    </row>
    <row r="32538">
      <c r="A32538" s="1" t="n">
        <v>32537</v>
      </c>
      <c r="B32538">
        <f>TEXT(32537, "[$-0E0000]yyyy-mm-dd")</f>
        <v/>
      </c>
      <c r="C32538" t="inlineStr">
        <is>
          <t>1988-12-23</t>
        </is>
      </c>
    </row>
    <row r="32539">
      <c r="A32539" s="1" t="n">
        <v>32538</v>
      </c>
      <c r="B32539">
        <f>TEXT(32538, "[$-0E0000]yyyy-mm-dd")</f>
        <v/>
      </c>
      <c r="C32539" t="inlineStr">
        <is>
          <t>1988-12-24</t>
        </is>
      </c>
    </row>
    <row r="32540">
      <c r="A32540" s="1" t="n">
        <v>32539</v>
      </c>
      <c r="B32540">
        <f>TEXT(32539, "[$-0E0000]yyyy-mm-dd")</f>
        <v/>
      </c>
      <c r="C32540" t="inlineStr">
        <is>
          <t>1988-12-25</t>
        </is>
      </c>
    </row>
    <row r="32541">
      <c r="A32541" s="1" t="n">
        <v>32540</v>
      </c>
      <c r="B32541">
        <f>TEXT(32540, "[$-0E0000]yyyy-mm-dd")</f>
        <v/>
      </c>
      <c r="C32541" t="inlineStr">
        <is>
          <t>1988-12-26</t>
        </is>
      </c>
    </row>
    <row r="32542">
      <c r="A32542" s="1" t="n">
        <v>32541</v>
      </c>
      <c r="B32542">
        <f>TEXT(32541, "[$-0E0000]yyyy-mm-dd")</f>
        <v/>
      </c>
      <c r="C32542" t="inlineStr">
        <is>
          <t>1988-12-27</t>
        </is>
      </c>
    </row>
    <row r="32543">
      <c r="A32543" s="1" t="n">
        <v>32542</v>
      </c>
      <c r="B32543">
        <f>TEXT(32542, "[$-0E0000]yyyy-mm-dd")</f>
        <v/>
      </c>
      <c r="C32543" t="inlineStr">
        <is>
          <t>1988-12-28</t>
        </is>
      </c>
    </row>
    <row r="32544">
      <c r="A32544" s="1" t="n">
        <v>32543</v>
      </c>
      <c r="B32544">
        <f>TEXT(32543, "[$-0E0000]yyyy-mm-dd")</f>
        <v/>
      </c>
      <c r="C32544" t="inlineStr">
        <is>
          <t>1988-12-29</t>
        </is>
      </c>
    </row>
    <row r="32545">
      <c r="A32545" s="1" t="n">
        <v>32544</v>
      </c>
      <c r="B32545">
        <f>TEXT(32544, "[$-0E0000]yyyy-mm-dd")</f>
        <v/>
      </c>
      <c r="C32545" t="inlineStr">
        <is>
          <t>1989-01-01</t>
        </is>
      </c>
    </row>
    <row r="32546">
      <c r="A32546" s="1" t="n">
        <v>32545</v>
      </c>
      <c r="B32546">
        <f>TEXT(32545, "[$-0E0000]yyyy-mm-dd")</f>
        <v/>
      </c>
      <c r="C32546" t="inlineStr">
        <is>
          <t>1989-01-02</t>
        </is>
      </c>
    </row>
    <row r="32547">
      <c r="A32547" s="1" t="n">
        <v>32546</v>
      </c>
      <c r="B32547">
        <f>TEXT(32546, "[$-0E0000]yyyy-mm-dd")</f>
        <v/>
      </c>
      <c r="C32547" t="inlineStr">
        <is>
          <t>1989-01-03</t>
        </is>
      </c>
    </row>
    <row r="32548">
      <c r="A32548" s="1" t="n">
        <v>32547</v>
      </c>
      <c r="B32548">
        <f>TEXT(32547, "[$-0E0000]yyyy-mm-dd")</f>
        <v/>
      </c>
      <c r="C32548" t="inlineStr">
        <is>
          <t>1989-01-04</t>
        </is>
      </c>
    </row>
    <row r="32549">
      <c r="A32549" s="1" t="n">
        <v>32548</v>
      </c>
      <c r="B32549">
        <f>TEXT(32548, "[$-0E0000]yyyy-mm-dd")</f>
        <v/>
      </c>
      <c r="C32549" t="inlineStr">
        <is>
          <t>1989-01-05</t>
        </is>
      </c>
    </row>
    <row r="32550">
      <c r="A32550" s="1" t="n">
        <v>32549</v>
      </c>
      <c r="B32550">
        <f>TEXT(32549, "[$-0E0000]yyyy-mm-dd")</f>
        <v/>
      </c>
      <c r="C32550" t="inlineStr">
        <is>
          <t>1989-01-06</t>
        </is>
      </c>
    </row>
    <row r="32551">
      <c r="A32551" s="1" t="n">
        <v>32550</v>
      </c>
      <c r="B32551">
        <f>TEXT(32550, "[$-0E0000]yyyy-mm-dd")</f>
        <v/>
      </c>
      <c r="C32551" t="inlineStr">
        <is>
          <t>1989-01-07</t>
        </is>
      </c>
    </row>
    <row r="32552">
      <c r="A32552" s="1" t="n">
        <v>32551</v>
      </c>
      <c r="B32552">
        <f>TEXT(32551, "[$-0E0000]yyyy-mm-dd")</f>
        <v/>
      </c>
      <c r="C32552" t="inlineStr">
        <is>
          <t>1989-01-08</t>
        </is>
      </c>
    </row>
    <row r="32553">
      <c r="A32553" s="1" t="n">
        <v>32552</v>
      </c>
      <c r="B32553">
        <f>TEXT(32552, "[$-0E0000]yyyy-mm-dd")</f>
        <v/>
      </c>
      <c r="C32553" t="inlineStr">
        <is>
          <t>1989-01-09</t>
        </is>
      </c>
    </row>
    <row r="32554">
      <c r="A32554" s="1" t="n">
        <v>32553</v>
      </c>
      <c r="B32554">
        <f>TEXT(32553, "[$-0E0000]yyyy-mm-dd")</f>
        <v/>
      </c>
      <c r="C32554" t="inlineStr">
        <is>
          <t>1989-01-10</t>
        </is>
      </c>
    </row>
    <row r="32555">
      <c r="A32555" s="1" t="n">
        <v>32554</v>
      </c>
      <c r="B32555">
        <f>TEXT(32554, "[$-0E0000]yyyy-mm-dd")</f>
        <v/>
      </c>
      <c r="C32555" t="inlineStr">
        <is>
          <t>1989-01-11</t>
        </is>
      </c>
    </row>
    <row r="32556">
      <c r="A32556" s="1" t="n">
        <v>32555</v>
      </c>
      <c r="B32556">
        <f>TEXT(32555, "[$-0E0000]yyyy-mm-dd")</f>
        <v/>
      </c>
      <c r="C32556" t="inlineStr">
        <is>
          <t>1989-01-12</t>
        </is>
      </c>
    </row>
    <row r="32557">
      <c r="A32557" s="1" t="n">
        <v>32556</v>
      </c>
      <c r="B32557">
        <f>TEXT(32556, "[$-0E0000]yyyy-mm-dd")</f>
        <v/>
      </c>
      <c r="C32557" t="inlineStr">
        <is>
          <t>1989-01-13</t>
        </is>
      </c>
    </row>
    <row r="32558">
      <c r="A32558" s="1" t="n">
        <v>32557</v>
      </c>
      <c r="B32558">
        <f>TEXT(32557, "[$-0E0000]yyyy-mm-dd")</f>
        <v/>
      </c>
      <c r="C32558" t="inlineStr">
        <is>
          <t>1989-01-14</t>
        </is>
      </c>
    </row>
    <row r="32559">
      <c r="A32559" s="1" t="n">
        <v>32558</v>
      </c>
      <c r="B32559">
        <f>TEXT(32558, "[$-0E0000]yyyy-mm-dd")</f>
        <v/>
      </c>
      <c r="C32559" t="inlineStr">
        <is>
          <t>1989-01-15</t>
        </is>
      </c>
    </row>
    <row r="32560">
      <c r="A32560" s="1" t="n">
        <v>32559</v>
      </c>
      <c r="B32560">
        <f>TEXT(32559, "[$-0E0000]yyyy-mm-dd")</f>
        <v/>
      </c>
      <c r="C32560" t="inlineStr">
        <is>
          <t>1989-01-16</t>
        </is>
      </c>
    </row>
    <row r="32561">
      <c r="A32561" s="1" t="n">
        <v>32560</v>
      </c>
      <c r="B32561">
        <f>TEXT(32560, "[$-0E0000]yyyy-mm-dd")</f>
        <v/>
      </c>
      <c r="C32561" t="inlineStr">
        <is>
          <t>1989-01-17</t>
        </is>
      </c>
    </row>
    <row r="32562">
      <c r="A32562" s="1" t="n">
        <v>32561</v>
      </c>
      <c r="B32562">
        <f>TEXT(32561, "[$-0E0000]yyyy-mm-dd")</f>
        <v/>
      </c>
      <c r="C32562" t="inlineStr">
        <is>
          <t>1989-01-18</t>
        </is>
      </c>
    </row>
    <row r="32563">
      <c r="A32563" s="1" t="n">
        <v>32562</v>
      </c>
      <c r="B32563">
        <f>TEXT(32562, "[$-0E0000]yyyy-mm-dd")</f>
        <v/>
      </c>
      <c r="C32563" t="inlineStr">
        <is>
          <t>1989-01-19</t>
        </is>
      </c>
    </row>
    <row r="32564">
      <c r="A32564" s="1" t="n">
        <v>32563</v>
      </c>
      <c r="B32564">
        <f>TEXT(32563, "[$-0E0000]yyyy-mm-dd")</f>
        <v/>
      </c>
      <c r="C32564" t="inlineStr">
        <is>
          <t>1989-01-20</t>
        </is>
      </c>
    </row>
    <row r="32565">
      <c r="A32565" s="1" t="n">
        <v>32564</v>
      </c>
      <c r="B32565">
        <f>TEXT(32564, "[$-0E0000]yyyy-mm-dd")</f>
        <v/>
      </c>
      <c r="C32565" t="inlineStr">
        <is>
          <t>1989-01-21</t>
        </is>
      </c>
    </row>
    <row r="32566">
      <c r="A32566" s="1" t="n">
        <v>32565</v>
      </c>
      <c r="B32566">
        <f>TEXT(32565, "[$-0E0000]yyyy-mm-dd")</f>
        <v/>
      </c>
      <c r="C32566" t="inlineStr">
        <is>
          <t>1989-01-22</t>
        </is>
      </c>
    </row>
    <row r="32567">
      <c r="A32567" s="1" t="n">
        <v>32566</v>
      </c>
      <c r="B32567">
        <f>TEXT(32566, "[$-0E0000]yyyy-mm-dd")</f>
        <v/>
      </c>
      <c r="C32567" t="inlineStr">
        <is>
          <t>1989-01-23</t>
        </is>
      </c>
    </row>
    <row r="32568">
      <c r="A32568" s="1" t="n">
        <v>32567</v>
      </c>
      <c r="B32568">
        <f>TEXT(32567, "[$-0E0000]yyyy-mm-dd")</f>
        <v/>
      </c>
      <c r="C32568" t="inlineStr">
        <is>
          <t>1989-01-24</t>
        </is>
      </c>
    </row>
    <row r="32569">
      <c r="A32569" s="1" t="n">
        <v>32568</v>
      </c>
      <c r="B32569">
        <f>TEXT(32568, "[$-0E0000]yyyy-mm-dd")</f>
        <v/>
      </c>
      <c r="C32569" t="inlineStr">
        <is>
          <t>1989-01-25</t>
        </is>
      </c>
    </row>
    <row r="32570">
      <c r="A32570" s="1" t="n">
        <v>32569</v>
      </c>
      <c r="B32570">
        <f>TEXT(32569, "[$-0E0000]yyyy-mm-dd")</f>
        <v/>
      </c>
      <c r="C32570" t="inlineStr">
        <is>
          <t>1989-01-26</t>
        </is>
      </c>
    </row>
    <row r="32571">
      <c r="A32571" s="1" t="n">
        <v>32570</v>
      </c>
      <c r="B32571">
        <f>TEXT(32570, "[$-0E0000]yyyy-mm-dd")</f>
        <v/>
      </c>
      <c r="C32571" t="inlineStr">
        <is>
          <t>1989-01-27</t>
        </is>
      </c>
    </row>
    <row r="32572">
      <c r="A32572" s="1" t="n">
        <v>32571</v>
      </c>
      <c r="B32572">
        <f>TEXT(32571, "[$-0E0000]yyyy-mm-dd")</f>
        <v/>
      </c>
      <c r="C32572" t="inlineStr">
        <is>
          <t>1989-01-28</t>
        </is>
      </c>
    </row>
    <row r="32573">
      <c r="A32573" s="1" t="n">
        <v>32572</v>
      </c>
      <c r="B32573">
        <f>TEXT(32572, "[$-0E0000]yyyy-mm-dd")</f>
        <v/>
      </c>
      <c r="C32573" t="inlineStr">
        <is>
          <t>1989-01-29</t>
        </is>
      </c>
    </row>
    <row r="32574">
      <c r="A32574" s="1" t="n">
        <v>32573</v>
      </c>
      <c r="B32574">
        <f>TEXT(32573, "[$-0E0000]yyyy-mm-dd")</f>
        <v/>
      </c>
      <c r="C32574" t="inlineStr">
        <is>
          <t>1989-01-30</t>
        </is>
      </c>
    </row>
    <row r="32575">
      <c r="A32575" s="1" t="n">
        <v>32574</v>
      </c>
      <c r="B32575">
        <f>TEXT(32574, "[$-0E0000]yyyy-mm-dd")</f>
        <v/>
      </c>
      <c r="C32575" t="inlineStr">
        <is>
          <t>1989-02-01</t>
        </is>
      </c>
    </row>
    <row r="32576">
      <c r="A32576" s="1" t="n">
        <v>32575</v>
      </c>
      <c r="B32576">
        <f>TEXT(32575, "[$-0E0000]yyyy-mm-dd")</f>
        <v/>
      </c>
      <c r="C32576" t="inlineStr">
        <is>
          <t>1989-02-02</t>
        </is>
      </c>
    </row>
    <row r="32577">
      <c r="A32577" s="1" t="n">
        <v>32576</v>
      </c>
      <c r="B32577">
        <f>TEXT(32576, "[$-0E0000]yyyy-mm-dd")</f>
        <v/>
      </c>
      <c r="C32577" t="inlineStr">
        <is>
          <t>1989-02-03</t>
        </is>
      </c>
    </row>
    <row r="32578">
      <c r="A32578" s="1" t="n">
        <v>32577</v>
      </c>
      <c r="B32578">
        <f>TEXT(32577, "[$-0E0000]yyyy-mm-dd")</f>
        <v/>
      </c>
      <c r="C32578" t="inlineStr">
        <is>
          <t>1989-02-04</t>
        </is>
      </c>
    </row>
    <row r="32579">
      <c r="A32579" s="1" t="n">
        <v>32578</v>
      </c>
      <c r="B32579">
        <f>TEXT(32578, "[$-0E0000]yyyy-mm-dd")</f>
        <v/>
      </c>
      <c r="C32579" t="inlineStr">
        <is>
          <t>1989-02-05</t>
        </is>
      </c>
    </row>
    <row r="32580">
      <c r="A32580" s="1" t="n">
        <v>32579</v>
      </c>
      <c r="B32580">
        <f>TEXT(32579, "[$-0E0000]yyyy-mm-dd")</f>
        <v/>
      </c>
      <c r="C32580" t="inlineStr">
        <is>
          <t>1989-02-06</t>
        </is>
      </c>
    </row>
    <row r="32581">
      <c r="A32581" s="1" t="n">
        <v>32580</v>
      </c>
      <c r="B32581">
        <f>TEXT(32580, "[$-0E0000]yyyy-mm-dd")</f>
        <v/>
      </c>
      <c r="C32581" t="inlineStr">
        <is>
          <t>1989-02-07</t>
        </is>
      </c>
    </row>
    <row r="32582">
      <c r="A32582" s="1" t="n">
        <v>32581</v>
      </c>
      <c r="B32582">
        <f>TEXT(32581, "[$-0E0000]yyyy-mm-dd")</f>
        <v/>
      </c>
      <c r="C32582" t="inlineStr">
        <is>
          <t>1989-02-08</t>
        </is>
      </c>
    </row>
    <row r="32583">
      <c r="A32583" s="1" t="n">
        <v>32582</v>
      </c>
      <c r="B32583">
        <f>TEXT(32582, "[$-0E0000]yyyy-mm-dd")</f>
        <v/>
      </c>
      <c r="C32583" t="inlineStr">
        <is>
          <t>1989-02-09</t>
        </is>
      </c>
    </row>
    <row r="32584">
      <c r="A32584" s="1" t="n">
        <v>32583</v>
      </c>
      <c r="B32584">
        <f>TEXT(32583, "[$-0E0000]yyyy-mm-dd")</f>
        <v/>
      </c>
      <c r="C32584" t="inlineStr">
        <is>
          <t>1989-02-10</t>
        </is>
      </c>
    </row>
    <row r="32585">
      <c r="A32585" s="1" t="n">
        <v>32584</v>
      </c>
      <c r="B32585">
        <f>TEXT(32584, "[$-0E0000]yyyy-mm-dd")</f>
        <v/>
      </c>
      <c r="C32585" t="inlineStr">
        <is>
          <t>1989-02-11</t>
        </is>
      </c>
    </row>
    <row r="32586">
      <c r="A32586" s="1" t="n">
        <v>32585</v>
      </c>
      <c r="B32586">
        <f>TEXT(32585, "[$-0E0000]yyyy-mm-dd")</f>
        <v/>
      </c>
      <c r="C32586" t="inlineStr">
        <is>
          <t>1989-02-12</t>
        </is>
      </c>
    </row>
    <row r="32587">
      <c r="A32587" s="1" t="n">
        <v>32586</v>
      </c>
      <c r="B32587">
        <f>TEXT(32586, "[$-0E0000]yyyy-mm-dd")</f>
        <v/>
      </c>
      <c r="C32587" t="inlineStr">
        <is>
          <t>1989-02-13</t>
        </is>
      </c>
    </row>
    <row r="32588">
      <c r="A32588" s="1" t="n">
        <v>32587</v>
      </c>
      <c r="B32588">
        <f>TEXT(32587, "[$-0E0000]yyyy-mm-dd")</f>
        <v/>
      </c>
      <c r="C32588" t="inlineStr">
        <is>
          <t>1989-02-14</t>
        </is>
      </c>
    </row>
    <row r="32589">
      <c r="A32589" s="1" t="n">
        <v>32588</v>
      </c>
      <c r="B32589">
        <f>TEXT(32588, "[$-0E0000]yyyy-mm-dd")</f>
        <v/>
      </c>
      <c r="C32589" t="inlineStr">
        <is>
          <t>1989-02-15</t>
        </is>
      </c>
    </row>
    <row r="32590">
      <c r="A32590" s="1" t="n">
        <v>32589</v>
      </c>
      <c r="B32590">
        <f>TEXT(32589, "[$-0E0000]yyyy-mm-dd")</f>
        <v/>
      </c>
      <c r="C32590" t="inlineStr">
        <is>
          <t>1989-02-16</t>
        </is>
      </c>
    </row>
    <row r="32591">
      <c r="A32591" s="1" t="n">
        <v>32590</v>
      </c>
      <c r="B32591">
        <f>TEXT(32590, "[$-0E0000]yyyy-mm-dd")</f>
        <v/>
      </c>
      <c r="C32591" t="inlineStr">
        <is>
          <t>1989-02-17</t>
        </is>
      </c>
    </row>
    <row r="32592">
      <c r="A32592" s="1" t="n">
        <v>32591</v>
      </c>
      <c r="B32592">
        <f>TEXT(32591, "[$-0E0000]yyyy-mm-dd")</f>
        <v/>
      </c>
      <c r="C32592" t="inlineStr">
        <is>
          <t>1989-02-18</t>
        </is>
      </c>
    </row>
    <row r="32593">
      <c r="A32593" s="1" t="n">
        <v>32592</v>
      </c>
      <c r="B32593">
        <f>TEXT(32592, "[$-0E0000]yyyy-mm-dd")</f>
        <v/>
      </c>
      <c r="C32593" t="inlineStr">
        <is>
          <t>1989-02-19</t>
        </is>
      </c>
    </row>
    <row r="32594">
      <c r="A32594" s="1" t="n">
        <v>32593</v>
      </c>
      <c r="B32594">
        <f>TEXT(32593, "[$-0E0000]yyyy-mm-dd")</f>
        <v/>
      </c>
      <c r="C32594" t="inlineStr">
        <is>
          <t>1989-02-20</t>
        </is>
      </c>
    </row>
    <row r="32595">
      <c r="A32595" s="1" t="n">
        <v>32594</v>
      </c>
      <c r="B32595">
        <f>TEXT(32594, "[$-0E0000]yyyy-mm-dd")</f>
        <v/>
      </c>
      <c r="C32595" t="inlineStr">
        <is>
          <t>1989-02-21</t>
        </is>
      </c>
    </row>
    <row r="32596">
      <c r="A32596" s="1" t="n">
        <v>32595</v>
      </c>
      <c r="B32596">
        <f>TEXT(32595, "[$-0E0000]yyyy-mm-dd")</f>
        <v/>
      </c>
      <c r="C32596" t="inlineStr">
        <is>
          <t>1989-02-22</t>
        </is>
      </c>
    </row>
    <row r="32597">
      <c r="A32597" s="1" t="n">
        <v>32596</v>
      </c>
      <c r="B32597">
        <f>TEXT(32596, "[$-0E0000]yyyy-mm-dd")</f>
        <v/>
      </c>
      <c r="C32597" t="inlineStr">
        <is>
          <t>1989-02-23</t>
        </is>
      </c>
    </row>
    <row r="32598">
      <c r="A32598" s="1" t="n">
        <v>32597</v>
      </c>
      <c r="B32598">
        <f>TEXT(32597, "[$-0E0000]yyyy-mm-dd")</f>
        <v/>
      </c>
      <c r="C32598" t="inlineStr">
        <is>
          <t>1989-02-24</t>
        </is>
      </c>
    </row>
    <row r="32599">
      <c r="A32599" s="1" t="n">
        <v>32598</v>
      </c>
      <c r="B32599">
        <f>TEXT(32598, "[$-0E0000]yyyy-mm-dd")</f>
        <v/>
      </c>
      <c r="C32599" t="inlineStr">
        <is>
          <t>1989-02-25</t>
        </is>
      </c>
    </row>
    <row r="32600">
      <c r="A32600" s="1" t="n">
        <v>32599</v>
      </c>
      <c r="B32600">
        <f>TEXT(32599, "[$-0E0000]yyyy-mm-dd")</f>
        <v/>
      </c>
      <c r="C32600" t="inlineStr">
        <is>
          <t>1989-02-26</t>
        </is>
      </c>
    </row>
    <row r="32601">
      <c r="A32601" s="1" t="n">
        <v>32600</v>
      </c>
      <c r="B32601">
        <f>TEXT(32600, "[$-0E0000]yyyy-mm-dd")</f>
        <v/>
      </c>
      <c r="C32601" t="inlineStr">
        <is>
          <t>1989-02-27</t>
        </is>
      </c>
    </row>
    <row r="32602">
      <c r="A32602" s="1" t="n">
        <v>32601</v>
      </c>
      <c r="B32602">
        <f>TEXT(32601, "[$-0E0000]yyyy-mm-dd")</f>
        <v/>
      </c>
      <c r="C32602" t="inlineStr">
        <is>
          <t>1989-02-28</t>
        </is>
      </c>
    </row>
    <row r="32603">
      <c r="A32603" s="1" t="n">
        <v>32602</v>
      </c>
      <c r="B32603">
        <f>TEXT(32602, "[$-0E0000]yyyy-mm-dd")</f>
        <v/>
      </c>
      <c r="C32603" t="inlineStr">
        <is>
          <t>1989-02-29</t>
        </is>
      </c>
    </row>
    <row r="32604">
      <c r="A32604" s="1" t="n">
        <v>32603</v>
      </c>
      <c r="B32604">
        <f>TEXT(32603, "[$-0E0000]yyyy-mm-dd")</f>
        <v/>
      </c>
      <c r="C32604" t="inlineStr">
        <is>
          <t>1989-03-01</t>
        </is>
      </c>
    </row>
    <row r="32605">
      <c r="A32605" s="1" t="n">
        <v>32604</v>
      </c>
      <c r="B32605">
        <f>TEXT(32604, "[$-0E0000]yyyy-mm-dd")</f>
        <v/>
      </c>
      <c r="C32605" t="inlineStr">
        <is>
          <t>1989-03-02</t>
        </is>
      </c>
    </row>
    <row r="32606">
      <c r="A32606" s="1" t="n">
        <v>32605</v>
      </c>
      <c r="B32606">
        <f>TEXT(32605, "[$-0E0000]yyyy-mm-dd")</f>
        <v/>
      </c>
      <c r="C32606" t="inlineStr">
        <is>
          <t>1989-03-03</t>
        </is>
      </c>
    </row>
    <row r="32607">
      <c r="A32607" s="1" t="n">
        <v>32606</v>
      </c>
      <c r="B32607">
        <f>TEXT(32606, "[$-0E0000]yyyy-mm-dd")</f>
        <v/>
      </c>
      <c r="C32607" t="inlineStr">
        <is>
          <t>1989-03-04</t>
        </is>
      </c>
    </row>
    <row r="32608">
      <c r="A32608" s="1" t="n">
        <v>32607</v>
      </c>
      <c r="B32608">
        <f>TEXT(32607, "[$-0E0000]yyyy-mm-dd")</f>
        <v/>
      </c>
      <c r="C32608" t="inlineStr">
        <is>
          <t>1989-03-05</t>
        </is>
      </c>
    </row>
    <row r="32609">
      <c r="A32609" s="1" t="n">
        <v>32608</v>
      </c>
      <c r="B32609">
        <f>TEXT(32608, "[$-0E0000]yyyy-mm-dd")</f>
        <v/>
      </c>
      <c r="C32609" t="inlineStr">
        <is>
          <t>1989-03-06</t>
        </is>
      </c>
    </row>
    <row r="32610">
      <c r="A32610" s="1" t="n">
        <v>32609</v>
      </c>
      <c r="B32610">
        <f>TEXT(32609, "[$-0E0000]yyyy-mm-dd")</f>
        <v/>
      </c>
      <c r="C32610" t="inlineStr">
        <is>
          <t>1989-03-07</t>
        </is>
      </c>
    </row>
    <row r="32611">
      <c r="A32611" s="1" t="n">
        <v>32610</v>
      </c>
      <c r="B32611">
        <f>TEXT(32610, "[$-0E0000]yyyy-mm-dd")</f>
        <v/>
      </c>
      <c r="C32611" t="inlineStr">
        <is>
          <t>1989-03-08</t>
        </is>
      </c>
    </row>
    <row r="32612">
      <c r="A32612" s="1" t="n">
        <v>32611</v>
      </c>
      <c r="B32612">
        <f>TEXT(32611, "[$-0E0000]yyyy-mm-dd")</f>
        <v/>
      </c>
      <c r="C32612" t="inlineStr">
        <is>
          <t>1989-03-09</t>
        </is>
      </c>
    </row>
    <row r="32613">
      <c r="A32613" s="1" t="n">
        <v>32612</v>
      </c>
      <c r="B32613">
        <f>TEXT(32612, "[$-0E0000]yyyy-mm-dd")</f>
        <v/>
      </c>
      <c r="C32613" t="inlineStr">
        <is>
          <t>1989-03-10</t>
        </is>
      </c>
    </row>
    <row r="32614">
      <c r="A32614" s="1" t="n">
        <v>32613</v>
      </c>
      <c r="B32614">
        <f>TEXT(32613, "[$-0E0000]yyyy-mm-dd")</f>
        <v/>
      </c>
      <c r="C32614" t="inlineStr">
        <is>
          <t>1989-03-11</t>
        </is>
      </c>
    </row>
    <row r="32615">
      <c r="A32615" s="1" t="n">
        <v>32614</v>
      </c>
      <c r="B32615">
        <f>TEXT(32614, "[$-0E0000]yyyy-mm-dd")</f>
        <v/>
      </c>
      <c r="C32615" t="inlineStr">
        <is>
          <t>1989-03-12</t>
        </is>
      </c>
    </row>
    <row r="32616">
      <c r="A32616" s="1" t="n">
        <v>32615</v>
      </c>
      <c r="B32616">
        <f>TEXT(32615, "[$-0E0000]yyyy-mm-dd")</f>
        <v/>
      </c>
      <c r="C32616" t="inlineStr">
        <is>
          <t>1989-03-13</t>
        </is>
      </c>
    </row>
    <row r="32617">
      <c r="A32617" s="1" t="n">
        <v>32616</v>
      </c>
      <c r="B32617">
        <f>TEXT(32616, "[$-0E0000]yyyy-mm-dd")</f>
        <v/>
      </c>
      <c r="C32617" t="inlineStr">
        <is>
          <t>1989-03-14</t>
        </is>
      </c>
    </row>
    <row r="32618">
      <c r="A32618" s="1" t="n">
        <v>32617</v>
      </c>
      <c r="B32618">
        <f>TEXT(32617, "[$-0E0000]yyyy-mm-dd")</f>
        <v/>
      </c>
      <c r="C32618" t="inlineStr">
        <is>
          <t>1989-03-15</t>
        </is>
      </c>
    </row>
    <row r="32619">
      <c r="A32619" s="1" t="n">
        <v>32618</v>
      </c>
      <c r="B32619">
        <f>TEXT(32618, "[$-0E0000]yyyy-mm-dd")</f>
        <v/>
      </c>
      <c r="C32619" t="inlineStr">
        <is>
          <t>1989-03-16</t>
        </is>
      </c>
    </row>
    <row r="32620">
      <c r="A32620" s="1" t="n">
        <v>32619</v>
      </c>
      <c r="B32620">
        <f>TEXT(32619, "[$-0E0000]yyyy-mm-dd")</f>
        <v/>
      </c>
      <c r="C32620" t="inlineStr">
        <is>
          <t>1989-03-17</t>
        </is>
      </c>
    </row>
    <row r="32621">
      <c r="A32621" s="1" t="n">
        <v>32620</v>
      </c>
      <c r="B32621">
        <f>TEXT(32620, "[$-0E0000]yyyy-mm-dd")</f>
        <v/>
      </c>
      <c r="C32621" t="inlineStr">
        <is>
          <t>1989-03-18</t>
        </is>
      </c>
    </row>
    <row r="32622">
      <c r="A32622" s="1" t="n">
        <v>32621</v>
      </c>
      <c r="B32622">
        <f>TEXT(32621, "[$-0E0000]yyyy-mm-dd")</f>
        <v/>
      </c>
      <c r="C32622" t="inlineStr">
        <is>
          <t>1989-03-19</t>
        </is>
      </c>
    </row>
    <row r="32623">
      <c r="A32623" s="1" t="n">
        <v>32622</v>
      </c>
      <c r="B32623">
        <f>TEXT(32622, "[$-0E0000]yyyy-mm-dd")</f>
        <v/>
      </c>
      <c r="C32623" t="inlineStr">
        <is>
          <t>1989-03-20</t>
        </is>
      </c>
    </row>
    <row r="32624">
      <c r="A32624" s="1" t="n">
        <v>32623</v>
      </c>
      <c r="B32624">
        <f>TEXT(32623, "[$-0E0000]yyyy-mm-dd")</f>
        <v/>
      </c>
      <c r="C32624" t="inlineStr">
        <is>
          <t>1989-03-21</t>
        </is>
      </c>
    </row>
    <row r="32625">
      <c r="A32625" s="1" t="n">
        <v>32624</v>
      </c>
      <c r="B32625">
        <f>TEXT(32624, "[$-0E0000]yyyy-mm-dd")</f>
        <v/>
      </c>
      <c r="C32625" t="inlineStr">
        <is>
          <t>1989-03-22</t>
        </is>
      </c>
    </row>
    <row r="32626">
      <c r="A32626" s="1" t="n">
        <v>32625</v>
      </c>
      <c r="B32626">
        <f>TEXT(32625, "[$-0E0000]yyyy-mm-dd")</f>
        <v/>
      </c>
      <c r="C32626" t="inlineStr">
        <is>
          <t>1989-03-23</t>
        </is>
      </c>
    </row>
    <row r="32627">
      <c r="A32627" s="1" t="n">
        <v>32626</v>
      </c>
      <c r="B32627">
        <f>TEXT(32626, "[$-0E0000]yyyy-mm-dd")</f>
        <v/>
      </c>
      <c r="C32627" t="inlineStr">
        <is>
          <t>1989-03-24</t>
        </is>
      </c>
    </row>
    <row r="32628">
      <c r="A32628" s="1" t="n">
        <v>32627</v>
      </c>
      <c r="B32628">
        <f>TEXT(32627, "[$-0E0000]yyyy-mm-dd")</f>
        <v/>
      </c>
      <c r="C32628" t="inlineStr">
        <is>
          <t>1989-03-25</t>
        </is>
      </c>
    </row>
    <row r="32629">
      <c r="A32629" s="1" t="n">
        <v>32628</v>
      </c>
      <c r="B32629">
        <f>TEXT(32628, "[$-0E0000]yyyy-mm-dd")</f>
        <v/>
      </c>
      <c r="C32629" t="inlineStr">
        <is>
          <t>1989-03-26</t>
        </is>
      </c>
    </row>
    <row r="32630">
      <c r="A32630" s="1" t="n">
        <v>32629</v>
      </c>
      <c r="B32630">
        <f>TEXT(32629, "[$-0E0000]yyyy-mm-dd")</f>
        <v/>
      </c>
      <c r="C32630" t="inlineStr">
        <is>
          <t>1989-03-27</t>
        </is>
      </c>
    </row>
    <row r="32631">
      <c r="A32631" s="1" t="n">
        <v>32630</v>
      </c>
      <c r="B32631">
        <f>TEXT(32630, "[$-0E0000]yyyy-mm-dd")</f>
        <v/>
      </c>
      <c r="C32631" t="inlineStr">
        <is>
          <t>1989-03-28</t>
        </is>
      </c>
    </row>
    <row r="32632">
      <c r="A32632" s="1" t="n">
        <v>32631</v>
      </c>
      <c r="B32632">
        <f>TEXT(32631, "[$-0E0000]yyyy-mm-dd")</f>
        <v/>
      </c>
      <c r="C32632" t="inlineStr">
        <is>
          <t>1989-03-29</t>
        </is>
      </c>
    </row>
    <row r="32633">
      <c r="A32633" s="1" t="n">
        <v>32632</v>
      </c>
      <c r="B32633">
        <f>TEXT(32632, "[$-0E0000]yyyy-mm-dd")</f>
        <v/>
      </c>
      <c r="C32633" t="inlineStr">
        <is>
          <t>1989-04-01</t>
        </is>
      </c>
    </row>
    <row r="32634">
      <c r="A32634" s="1" t="n">
        <v>32633</v>
      </c>
      <c r="B32634">
        <f>TEXT(32633, "[$-0E0000]yyyy-mm-dd")</f>
        <v/>
      </c>
      <c r="C32634" t="inlineStr">
        <is>
          <t>1989-04-02</t>
        </is>
      </c>
    </row>
    <row r="32635">
      <c r="A32635" s="1" t="n">
        <v>32634</v>
      </c>
      <c r="B32635">
        <f>TEXT(32634, "[$-0E0000]yyyy-mm-dd")</f>
        <v/>
      </c>
      <c r="C32635" t="inlineStr">
        <is>
          <t>1989-04-03</t>
        </is>
      </c>
    </row>
    <row r="32636">
      <c r="A32636" s="1" t="n">
        <v>32635</v>
      </c>
      <c r="B32636">
        <f>TEXT(32635, "[$-0E0000]yyyy-mm-dd")</f>
        <v/>
      </c>
      <c r="C32636" t="inlineStr">
        <is>
          <t>1989-04-04</t>
        </is>
      </c>
    </row>
    <row r="32637">
      <c r="A32637" s="1" t="n">
        <v>32636</v>
      </c>
      <c r="B32637">
        <f>TEXT(32636, "[$-0E0000]yyyy-mm-dd")</f>
        <v/>
      </c>
      <c r="C32637" t="inlineStr">
        <is>
          <t>1989-04-05</t>
        </is>
      </c>
    </row>
    <row r="32638">
      <c r="A32638" s="1" t="n">
        <v>32637</v>
      </c>
      <c r="B32638">
        <f>TEXT(32637, "[$-0E0000]yyyy-mm-dd")</f>
        <v/>
      </c>
      <c r="C32638" t="inlineStr">
        <is>
          <t>1989-04-06</t>
        </is>
      </c>
    </row>
    <row r="32639">
      <c r="A32639" s="1" t="n">
        <v>32638</v>
      </c>
      <c r="B32639">
        <f>TEXT(32638, "[$-0E0000]yyyy-mm-dd")</f>
        <v/>
      </c>
      <c r="C32639" t="inlineStr">
        <is>
          <t>1989-04-07</t>
        </is>
      </c>
    </row>
    <row r="32640">
      <c r="A32640" s="1" t="n">
        <v>32639</v>
      </c>
      <c r="B32640">
        <f>TEXT(32639, "[$-0E0000]yyyy-mm-dd")</f>
        <v/>
      </c>
      <c r="C32640" t="inlineStr">
        <is>
          <t>1989-04-08</t>
        </is>
      </c>
    </row>
    <row r="32641">
      <c r="A32641" s="1" t="n">
        <v>32640</v>
      </c>
      <c r="B32641">
        <f>TEXT(32640, "[$-0E0000]yyyy-mm-dd")</f>
        <v/>
      </c>
      <c r="C32641" t="inlineStr">
        <is>
          <t>1989-04-09</t>
        </is>
      </c>
    </row>
    <row r="32642">
      <c r="A32642" s="1" t="n">
        <v>32641</v>
      </c>
      <c r="B32642">
        <f>TEXT(32641, "[$-0E0000]yyyy-mm-dd")</f>
        <v/>
      </c>
      <c r="C32642" t="inlineStr">
        <is>
          <t>1989-04-10</t>
        </is>
      </c>
    </row>
    <row r="32643">
      <c r="A32643" s="1" t="n">
        <v>32642</v>
      </c>
      <c r="B32643">
        <f>TEXT(32642, "[$-0E0000]yyyy-mm-dd")</f>
        <v/>
      </c>
      <c r="C32643" t="inlineStr">
        <is>
          <t>1989-04-11</t>
        </is>
      </c>
    </row>
    <row r="32644">
      <c r="A32644" s="1" t="n">
        <v>32643</v>
      </c>
      <c r="B32644">
        <f>TEXT(32643, "[$-0E0000]yyyy-mm-dd")</f>
        <v/>
      </c>
      <c r="C32644" t="inlineStr">
        <is>
          <t>1989-04-12</t>
        </is>
      </c>
    </row>
    <row r="32645">
      <c r="A32645" s="1" t="n">
        <v>32644</v>
      </c>
      <c r="B32645">
        <f>TEXT(32644, "[$-0E0000]yyyy-mm-dd")</f>
        <v/>
      </c>
      <c r="C32645" t="inlineStr">
        <is>
          <t>1989-04-13</t>
        </is>
      </c>
    </row>
    <row r="32646">
      <c r="A32646" s="1" t="n">
        <v>32645</v>
      </c>
      <c r="B32646">
        <f>TEXT(32645, "[$-0E0000]yyyy-mm-dd")</f>
        <v/>
      </c>
      <c r="C32646" t="inlineStr">
        <is>
          <t>1989-04-14</t>
        </is>
      </c>
    </row>
    <row r="32647">
      <c r="A32647" s="1" t="n">
        <v>32646</v>
      </c>
      <c r="B32647">
        <f>TEXT(32646, "[$-0E0000]yyyy-mm-dd")</f>
        <v/>
      </c>
      <c r="C32647" t="inlineStr">
        <is>
          <t>1989-04-15</t>
        </is>
      </c>
    </row>
    <row r="32648">
      <c r="A32648" s="1" t="n">
        <v>32647</v>
      </c>
      <c r="B32648">
        <f>TEXT(32647, "[$-0E0000]yyyy-mm-dd")</f>
        <v/>
      </c>
      <c r="C32648" t="inlineStr">
        <is>
          <t>1989-04-16</t>
        </is>
      </c>
    </row>
    <row r="32649">
      <c r="A32649" s="1" t="n">
        <v>32648</v>
      </c>
      <c r="B32649">
        <f>TEXT(32648, "[$-0E0000]yyyy-mm-dd")</f>
        <v/>
      </c>
      <c r="C32649" t="inlineStr">
        <is>
          <t>1989-04-17</t>
        </is>
      </c>
    </row>
    <row r="32650">
      <c r="A32650" s="1" t="n">
        <v>32649</v>
      </c>
      <c r="B32650">
        <f>TEXT(32649, "[$-0E0000]yyyy-mm-dd")</f>
        <v/>
      </c>
      <c r="C32650" t="inlineStr">
        <is>
          <t>1989-04-18</t>
        </is>
      </c>
    </row>
    <row r="32651">
      <c r="A32651" s="1" t="n">
        <v>32650</v>
      </c>
      <c r="B32651">
        <f>TEXT(32650, "[$-0E0000]yyyy-mm-dd")</f>
        <v/>
      </c>
      <c r="C32651" t="inlineStr">
        <is>
          <t>1989-04-19</t>
        </is>
      </c>
    </row>
    <row r="32652">
      <c r="A32652" s="1" t="n">
        <v>32651</v>
      </c>
      <c r="B32652">
        <f>TEXT(32651, "[$-0E0000]yyyy-mm-dd")</f>
        <v/>
      </c>
      <c r="C32652" t="inlineStr">
        <is>
          <t>1989-04-20</t>
        </is>
      </c>
    </row>
    <row r="32653">
      <c r="A32653" s="1" t="n">
        <v>32652</v>
      </c>
      <c r="B32653">
        <f>TEXT(32652, "[$-0E0000]yyyy-mm-dd")</f>
        <v/>
      </c>
      <c r="C32653" t="inlineStr">
        <is>
          <t>1989-04-21</t>
        </is>
      </c>
    </row>
    <row r="32654">
      <c r="A32654" s="1" t="n">
        <v>32653</v>
      </c>
      <c r="B32654">
        <f>TEXT(32653, "[$-0E0000]yyyy-mm-dd")</f>
        <v/>
      </c>
      <c r="C32654" t="inlineStr">
        <is>
          <t>1989-04-22</t>
        </is>
      </c>
    </row>
    <row r="32655">
      <c r="A32655" s="1" t="n">
        <v>32654</v>
      </c>
      <c r="B32655">
        <f>TEXT(32654, "[$-0E0000]yyyy-mm-dd")</f>
        <v/>
      </c>
      <c r="C32655" t="inlineStr">
        <is>
          <t>1989-04-23</t>
        </is>
      </c>
    </row>
    <row r="32656">
      <c r="A32656" s="1" t="n">
        <v>32655</v>
      </c>
      <c r="B32656">
        <f>TEXT(32655, "[$-0E0000]yyyy-mm-dd")</f>
        <v/>
      </c>
      <c r="C32656" t="inlineStr">
        <is>
          <t>1989-04-24</t>
        </is>
      </c>
    </row>
    <row r="32657">
      <c r="A32657" s="1" t="n">
        <v>32656</v>
      </c>
      <c r="B32657">
        <f>TEXT(32656, "[$-0E0000]yyyy-mm-dd")</f>
        <v/>
      </c>
      <c r="C32657" t="inlineStr">
        <is>
          <t>1989-04-25</t>
        </is>
      </c>
    </row>
    <row r="32658">
      <c r="A32658" s="1" t="n">
        <v>32657</v>
      </c>
      <c r="B32658">
        <f>TEXT(32657, "[$-0E0000]yyyy-mm-dd")</f>
        <v/>
      </c>
      <c r="C32658" t="inlineStr">
        <is>
          <t>1989-04-26</t>
        </is>
      </c>
    </row>
    <row r="32659">
      <c r="A32659" s="1" t="n">
        <v>32658</v>
      </c>
      <c r="B32659">
        <f>TEXT(32658, "[$-0E0000]yyyy-mm-dd")</f>
        <v/>
      </c>
      <c r="C32659" t="inlineStr">
        <is>
          <t>1989-04-27</t>
        </is>
      </c>
    </row>
    <row r="32660">
      <c r="A32660" s="1" t="n">
        <v>32659</v>
      </c>
      <c r="B32660">
        <f>TEXT(32659, "[$-0E0000]yyyy-mm-dd")</f>
        <v/>
      </c>
      <c r="C32660" t="inlineStr">
        <is>
          <t>1989-04-28</t>
        </is>
      </c>
    </row>
    <row r="32661">
      <c r="A32661" s="1" t="n">
        <v>32660</v>
      </c>
      <c r="B32661">
        <f>TEXT(32660, "[$-0E0000]yyyy-mm-dd")</f>
        <v/>
      </c>
      <c r="C32661" t="inlineStr">
        <is>
          <t>1989-04-29</t>
        </is>
      </c>
    </row>
    <row r="32662">
      <c r="A32662" s="1" t="n">
        <v>32661</v>
      </c>
      <c r="B32662">
        <f>TEXT(32661, "[$-0E0000]yyyy-mm-dd")</f>
        <v/>
      </c>
      <c r="C32662" t="inlineStr">
        <is>
          <t>1989-04-30</t>
        </is>
      </c>
    </row>
    <row r="32663">
      <c r="A32663" s="1" t="n">
        <v>32662</v>
      </c>
      <c r="B32663">
        <f>TEXT(32662, "[$-0E0000]yyyy-mm-dd")</f>
        <v/>
      </c>
      <c r="C32663" t="inlineStr">
        <is>
          <t>1989-05-01</t>
        </is>
      </c>
    </row>
    <row r="32664">
      <c r="A32664" s="1" t="n">
        <v>32663</v>
      </c>
      <c r="B32664">
        <f>TEXT(32663, "[$-0E0000]yyyy-mm-dd")</f>
        <v/>
      </c>
      <c r="C32664" t="inlineStr">
        <is>
          <t>1989-05-02</t>
        </is>
      </c>
    </row>
    <row r="32665">
      <c r="A32665" s="1" t="n">
        <v>32664</v>
      </c>
      <c r="B32665">
        <f>TEXT(32664, "[$-0E0000]yyyy-mm-dd")</f>
        <v/>
      </c>
      <c r="C32665" t="inlineStr">
        <is>
          <t>1989-05-03</t>
        </is>
      </c>
    </row>
    <row r="32666">
      <c r="A32666" s="1" t="n">
        <v>32665</v>
      </c>
      <c r="B32666">
        <f>TEXT(32665, "[$-0E0000]yyyy-mm-dd")</f>
        <v/>
      </c>
      <c r="C32666" t="inlineStr">
        <is>
          <t>1989-05-04</t>
        </is>
      </c>
    </row>
    <row r="32667">
      <c r="A32667" s="1" t="n">
        <v>32666</v>
      </c>
      <c r="B32667">
        <f>TEXT(32666, "[$-0E0000]yyyy-mm-dd")</f>
        <v/>
      </c>
      <c r="C32667" t="inlineStr">
        <is>
          <t>1989-05-05</t>
        </is>
      </c>
    </row>
    <row r="32668">
      <c r="A32668" s="1" t="n">
        <v>32667</v>
      </c>
      <c r="B32668">
        <f>TEXT(32667, "[$-0E0000]yyyy-mm-dd")</f>
        <v/>
      </c>
      <c r="C32668" t="inlineStr">
        <is>
          <t>1989-05-06</t>
        </is>
      </c>
    </row>
    <row r="32669">
      <c r="A32669" s="1" t="n">
        <v>32668</v>
      </c>
      <c r="B32669">
        <f>TEXT(32668, "[$-0E0000]yyyy-mm-dd")</f>
        <v/>
      </c>
      <c r="C32669" t="inlineStr">
        <is>
          <t>1989-05-07</t>
        </is>
      </c>
    </row>
    <row r="32670">
      <c r="A32670" s="1" t="n">
        <v>32669</v>
      </c>
      <c r="B32670">
        <f>TEXT(32669, "[$-0E0000]yyyy-mm-dd")</f>
        <v/>
      </c>
      <c r="C32670" t="inlineStr">
        <is>
          <t>1989-05-08</t>
        </is>
      </c>
    </row>
    <row r="32671">
      <c r="A32671" s="1" t="n">
        <v>32670</v>
      </c>
      <c r="B32671">
        <f>TEXT(32670, "[$-0E0000]yyyy-mm-dd")</f>
        <v/>
      </c>
      <c r="C32671" t="inlineStr">
        <is>
          <t>1989-05-09</t>
        </is>
      </c>
    </row>
    <row r="32672">
      <c r="A32672" s="1" t="n">
        <v>32671</v>
      </c>
      <c r="B32672">
        <f>TEXT(32671, "[$-0E0000]yyyy-mm-dd")</f>
        <v/>
      </c>
      <c r="C32672" t="inlineStr">
        <is>
          <t>1989-05-10</t>
        </is>
      </c>
    </row>
    <row r="32673">
      <c r="A32673" s="1" t="n">
        <v>32672</v>
      </c>
      <c r="B32673">
        <f>TEXT(32672, "[$-0E0000]yyyy-mm-dd")</f>
        <v/>
      </c>
      <c r="C32673" t="inlineStr">
        <is>
          <t>1989-05-11</t>
        </is>
      </c>
    </row>
    <row r="32674">
      <c r="A32674" s="1" t="n">
        <v>32673</v>
      </c>
      <c r="B32674">
        <f>TEXT(32673, "[$-0E0000]yyyy-mm-dd")</f>
        <v/>
      </c>
      <c r="C32674" t="inlineStr">
        <is>
          <t>1989-05-12</t>
        </is>
      </c>
    </row>
    <row r="32675">
      <c r="A32675" s="1" t="n">
        <v>32674</v>
      </c>
      <c r="B32675">
        <f>TEXT(32674, "[$-0E0000]yyyy-mm-dd")</f>
        <v/>
      </c>
      <c r="C32675" t="inlineStr">
        <is>
          <t>1989-05-13</t>
        </is>
      </c>
    </row>
    <row r="32676">
      <c r="A32676" s="1" t="n">
        <v>32675</v>
      </c>
      <c r="B32676">
        <f>TEXT(32675, "[$-0E0000]yyyy-mm-dd")</f>
        <v/>
      </c>
      <c r="C32676" t="inlineStr">
        <is>
          <t>1989-05-14</t>
        </is>
      </c>
    </row>
    <row r="32677">
      <c r="A32677" s="1" t="n">
        <v>32676</v>
      </c>
      <c r="B32677">
        <f>TEXT(32676, "[$-0E0000]yyyy-mm-dd")</f>
        <v/>
      </c>
      <c r="C32677" t="inlineStr">
        <is>
          <t>1989-05-15</t>
        </is>
      </c>
    </row>
    <row r="32678">
      <c r="A32678" s="1" t="n">
        <v>32677</v>
      </c>
      <c r="B32678">
        <f>TEXT(32677, "[$-0E0000]yyyy-mm-dd")</f>
        <v/>
      </c>
      <c r="C32678" t="inlineStr">
        <is>
          <t>1989-05-16</t>
        </is>
      </c>
    </row>
    <row r="32679">
      <c r="A32679" s="1" t="n">
        <v>32678</v>
      </c>
      <c r="B32679">
        <f>TEXT(32678, "[$-0E0000]yyyy-mm-dd")</f>
        <v/>
      </c>
      <c r="C32679" t="inlineStr">
        <is>
          <t>1989-05-17</t>
        </is>
      </c>
    </row>
    <row r="32680">
      <c r="A32680" s="1" t="n">
        <v>32679</v>
      </c>
      <c r="B32680">
        <f>TEXT(32679, "[$-0E0000]yyyy-mm-dd")</f>
        <v/>
      </c>
      <c r="C32680" t="inlineStr">
        <is>
          <t>1989-05-18</t>
        </is>
      </c>
    </row>
    <row r="32681">
      <c r="A32681" s="1" t="n">
        <v>32680</v>
      </c>
      <c r="B32681">
        <f>TEXT(32680, "[$-0E0000]yyyy-mm-dd")</f>
        <v/>
      </c>
      <c r="C32681" t="inlineStr">
        <is>
          <t>1989-05-19</t>
        </is>
      </c>
    </row>
    <row r="32682">
      <c r="A32682" s="1" t="n">
        <v>32681</v>
      </c>
      <c r="B32682">
        <f>TEXT(32681, "[$-0E0000]yyyy-mm-dd")</f>
        <v/>
      </c>
      <c r="C32682" t="inlineStr">
        <is>
          <t>1989-05-20</t>
        </is>
      </c>
    </row>
    <row r="32683">
      <c r="A32683" s="1" t="n">
        <v>32682</v>
      </c>
      <c r="B32683">
        <f>TEXT(32682, "[$-0E0000]yyyy-mm-dd")</f>
        <v/>
      </c>
      <c r="C32683" t="inlineStr">
        <is>
          <t>1989-05-21</t>
        </is>
      </c>
    </row>
    <row r="32684">
      <c r="A32684" s="1" t="n">
        <v>32683</v>
      </c>
      <c r="B32684">
        <f>TEXT(32683, "[$-0E0000]yyyy-mm-dd")</f>
        <v/>
      </c>
      <c r="C32684" t="inlineStr">
        <is>
          <t>1989-05-22</t>
        </is>
      </c>
    </row>
    <row r="32685">
      <c r="A32685" s="1" t="n">
        <v>32684</v>
      </c>
      <c r="B32685">
        <f>TEXT(32684, "[$-0E0000]yyyy-mm-dd")</f>
        <v/>
      </c>
      <c r="C32685" t="inlineStr">
        <is>
          <t>1989-05-23</t>
        </is>
      </c>
    </row>
    <row r="32686">
      <c r="A32686" s="1" t="n">
        <v>32685</v>
      </c>
      <c r="B32686">
        <f>TEXT(32685, "[$-0E0000]yyyy-mm-dd")</f>
        <v/>
      </c>
      <c r="C32686" t="inlineStr">
        <is>
          <t>1989-05-24</t>
        </is>
      </c>
    </row>
    <row r="32687">
      <c r="A32687" s="1" t="n">
        <v>32686</v>
      </c>
      <c r="B32687">
        <f>TEXT(32686, "[$-0E0000]yyyy-mm-dd")</f>
        <v/>
      </c>
      <c r="C32687" t="inlineStr">
        <is>
          <t>1989-05-25</t>
        </is>
      </c>
    </row>
    <row r="32688">
      <c r="A32688" s="1" t="n">
        <v>32687</v>
      </c>
      <c r="B32688">
        <f>TEXT(32687, "[$-0E0000]yyyy-mm-dd")</f>
        <v/>
      </c>
      <c r="C32688" t="inlineStr">
        <is>
          <t>1989-05-26</t>
        </is>
      </c>
    </row>
    <row r="32689">
      <c r="A32689" s="1" t="n">
        <v>32688</v>
      </c>
      <c r="B32689">
        <f>TEXT(32688, "[$-0E0000]yyyy-mm-dd")</f>
        <v/>
      </c>
      <c r="C32689" t="inlineStr">
        <is>
          <t>1989-05-27</t>
        </is>
      </c>
    </row>
    <row r="32690">
      <c r="A32690" s="1" t="n">
        <v>32689</v>
      </c>
      <c r="B32690">
        <f>TEXT(32689, "[$-0E0000]yyyy-mm-dd")</f>
        <v/>
      </c>
      <c r="C32690" t="inlineStr">
        <is>
          <t>1989-05-28</t>
        </is>
      </c>
    </row>
    <row r="32691">
      <c r="A32691" s="1" t="n">
        <v>32690</v>
      </c>
      <c r="B32691">
        <f>TEXT(32690, "[$-0E0000]yyyy-mm-dd")</f>
        <v/>
      </c>
      <c r="C32691" t="inlineStr">
        <is>
          <t>1989-05-29</t>
        </is>
      </c>
    </row>
    <row r="32692">
      <c r="A32692" s="1" t="n">
        <v>32691</v>
      </c>
      <c r="B32692">
        <f>TEXT(32691, "[$-0E0000]yyyy-mm-dd")</f>
        <v/>
      </c>
      <c r="C32692" t="inlineStr">
        <is>
          <t>1989-06-01</t>
        </is>
      </c>
    </row>
    <row r="32693">
      <c r="A32693" s="1" t="n">
        <v>32692</v>
      </c>
      <c r="B32693">
        <f>TEXT(32692, "[$-0E0000]yyyy-mm-dd")</f>
        <v/>
      </c>
      <c r="C32693" t="inlineStr">
        <is>
          <t>1989-06-02</t>
        </is>
      </c>
    </row>
    <row r="32694">
      <c r="A32694" s="1" t="n">
        <v>32693</v>
      </c>
      <c r="B32694">
        <f>TEXT(32693, "[$-0E0000]yyyy-mm-dd")</f>
        <v/>
      </c>
      <c r="C32694" t="inlineStr">
        <is>
          <t>1989-06-03</t>
        </is>
      </c>
    </row>
    <row r="32695">
      <c r="A32695" s="1" t="n">
        <v>32694</v>
      </c>
      <c r="B32695">
        <f>TEXT(32694, "[$-0E0000]yyyy-mm-dd")</f>
        <v/>
      </c>
      <c r="C32695" t="inlineStr">
        <is>
          <t>1989-06-04</t>
        </is>
      </c>
    </row>
    <row r="32696">
      <c r="A32696" s="1" t="n">
        <v>32695</v>
      </c>
      <c r="B32696">
        <f>TEXT(32695, "[$-0E0000]yyyy-mm-dd")</f>
        <v/>
      </c>
      <c r="C32696" t="inlineStr">
        <is>
          <t>1989-06-05</t>
        </is>
      </c>
    </row>
    <row r="32697">
      <c r="A32697" s="1" t="n">
        <v>32696</v>
      </c>
      <c r="B32697">
        <f>TEXT(32696, "[$-0E0000]yyyy-mm-dd")</f>
        <v/>
      </c>
      <c r="C32697" t="inlineStr">
        <is>
          <t>1989-06-06</t>
        </is>
      </c>
    </row>
    <row r="32698">
      <c r="A32698" s="1" t="n">
        <v>32697</v>
      </c>
      <c r="B32698">
        <f>TEXT(32697, "[$-0E0000]yyyy-mm-dd")</f>
        <v/>
      </c>
      <c r="C32698" t="inlineStr">
        <is>
          <t>1989-06-07</t>
        </is>
      </c>
    </row>
    <row r="32699">
      <c r="A32699" s="1" t="n">
        <v>32698</v>
      </c>
      <c r="B32699">
        <f>TEXT(32698, "[$-0E0000]yyyy-mm-dd")</f>
        <v/>
      </c>
      <c r="C32699" t="inlineStr">
        <is>
          <t>1989-06-08</t>
        </is>
      </c>
    </row>
    <row r="32700">
      <c r="A32700" s="1" t="n">
        <v>32699</v>
      </c>
      <c r="B32700">
        <f>TEXT(32699, "[$-0E0000]yyyy-mm-dd")</f>
        <v/>
      </c>
      <c r="C32700" t="inlineStr">
        <is>
          <t>1989-06-09</t>
        </is>
      </c>
    </row>
    <row r="32701">
      <c r="A32701" s="1" t="n">
        <v>32700</v>
      </c>
      <c r="B32701">
        <f>TEXT(32700, "[$-0E0000]yyyy-mm-dd")</f>
        <v/>
      </c>
      <c r="C32701" t="inlineStr">
        <is>
          <t>1989-06-10</t>
        </is>
      </c>
    </row>
    <row r="32702">
      <c r="A32702" s="1" t="n">
        <v>32701</v>
      </c>
      <c r="B32702">
        <f>TEXT(32701, "[$-0E0000]yyyy-mm-dd")</f>
        <v/>
      </c>
      <c r="C32702" t="inlineStr">
        <is>
          <t>1989-06-11</t>
        </is>
      </c>
    </row>
    <row r="32703">
      <c r="A32703" s="1" t="n">
        <v>32702</v>
      </c>
      <c r="B32703">
        <f>TEXT(32702, "[$-0E0000]yyyy-mm-dd")</f>
        <v/>
      </c>
      <c r="C32703" t="inlineStr">
        <is>
          <t>1989-06-12</t>
        </is>
      </c>
    </row>
    <row r="32704">
      <c r="A32704" s="1" t="n">
        <v>32703</v>
      </c>
      <c r="B32704">
        <f>TEXT(32703, "[$-0E0000]yyyy-mm-dd")</f>
        <v/>
      </c>
      <c r="C32704" t="inlineStr">
        <is>
          <t>1989-06-13</t>
        </is>
      </c>
    </row>
    <row r="32705">
      <c r="A32705" s="1" t="n">
        <v>32704</v>
      </c>
      <c r="B32705">
        <f>TEXT(32704, "[$-0E0000]yyyy-mm-dd")</f>
        <v/>
      </c>
      <c r="C32705" t="inlineStr">
        <is>
          <t>1989-06-14</t>
        </is>
      </c>
    </row>
    <row r="32706">
      <c r="A32706" s="1" t="n">
        <v>32705</v>
      </c>
      <c r="B32706">
        <f>TEXT(32705, "[$-0E0000]yyyy-mm-dd")</f>
        <v/>
      </c>
      <c r="C32706" t="inlineStr">
        <is>
          <t>1989-06-15</t>
        </is>
      </c>
    </row>
    <row r="32707">
      <c r="A32707" s="1" t="n">
        <v>32706</v>
      </c>
      <c r="B32707">
        <f>TEXT(32706, "[$-0E0000]yyyy-mm-dd")</f>
        <v/>
      </c>
      <c r="C32707" t="inlineStr">
        <is>
          <t>1989-06-16</t>
        </is>
      </c>
    </row>
    <row r="32708">
      <c r="A32708" s="1" t="n">
        <v>32707</v>
      </c>
      <c r="B32708">
        <f>TEXT(32707, "[$-0E0000]yyyy-mm-dd")</f>
        <v/>
      </c>
      <c r="C32708" t="inlineStr">
        <is>
          <t>1989-06-17</t>
        </is>
      </c>
    </row>
    <row r="32709">
      <c r="A32709" s="1" t="n">
        <v>32708</v>
      </c>
      <c r="B32709">
        <f>TEXT(32708, "[$-0E0000]yyyy-mm-dd")</f>
        <v/>
      </c>
      <c r="C32709" t="inlineStr">
        <is>
          <t>1989-06-18</t>
        </is>
      </c>
    </row>
    <row r="32710">
      <c r="A32710" s="1" t="n">
        <v>32709</v>
      </c>
      <c r="B32710">
        <f>TEXT(32709, "[$-0E0000]yyyy-mm-dd")</f>
        <v/>
      </c>
      <c r="C32710" t="inlineStr">
        <is>
          <t>1989-06-19</t>
        </is>
      </c>
    </row>
    <row r="32711">
      <c r="A32711" s="1" t="n">
        <v>32710</v>
      </c>
      <c r="B32711">
        <f>TEXT(32710, "[$-0E0000]yyyy-mm-dd")</f>
        <v/>
      </c>
      <c r="C32711" t="inlineStr">
        <is>
          <t>1989-06-20</t>
        </is>
      </c>
    </row>
    <row r="32712">
      <c r="A32712" s="1" t="n">
        <v>32711</v>
      </c>
      <c r="B32712">
        <f>TEXT(32711, "[$-0E0000]yyyy-mm-dd")</f>
        <v/>
      </c>
      <c r="C32712" t="inlineStr">
        <is>
          <t>1989-06-21</t>
        </is>
      </c>
    </row>
    <row r="32713">
      <c r="A32713" s="1" t="n">
        <v>32712</v>
      </c>
      <c r="B32713">
        <f>TEXT(32712, "[$-0E0000]yyyy-mm-dd")</f>
        <v/>
      </c>
      <c r="C32713" t="inlineStr">
        <is>
          <t>1989-06-22</t>
        </is>
      </c>
    </row>
    <row r="32714">
      <c r="A32714" s="1" t="n">
        <v>32713</v>
      </c>
      <c r="B32714">
        <f>TEXT(32713, "[$-0E0000]yyyy-mm-dd")</f>
        <v/>
      </c>
      <c r="C32714" t="inlineStr">
        <is>
          <t>1989-06-23</t>
        </is>
      </c>
    </row>
    <row r="32715">
      <c r="A32715" s="1" t="n">
        <v>32714</v>
      </c>
      <c r="B32715">
        <f>TEXT(32714, "[$-0E0000]yyyy-mm-dd")</f>
        <v/>
      </c>
      <c r="C32715" t="inlineStr">
        <is>
          <t>1989-06-24</t>
        </is>
      </c>
    </row>
    <row r="32716">
      <c r="A32716" s="1" t="n">
        <v>32715</v>
      </c>
      <c r="B32716">
        <f>TEXT(32715, "[$-0E0000]yyyy-mm-dd")</f>
        <v/>
      </c>
      <c r="C32716" t="inlineStr">
        <is>
          <t>1989-06-25</t>
        </is>
      </c>
    </row>
    <row r="32717">
      <c r="A32717" s="1" t="n">
        <v>32716</v>
      </c>
      <c r="B32717">
        <f>TEXT(32716, "[$-0E0000]yyyy-mm-dd")</f>
        <v/>
      </c>
      <c r="C32717" t="inlineStr">
        <is>
          <t>1989-06-26</t>
        </is>
      </c>
    </row>
    <row r="32718">
      <c r="A32718" s="1" t="n">
        <v>32717</v>
      </c>
      <c r="B32718">
        <f>TEXT(32717, "[$-0E0000]yyyy-mm-dd")</f>
        <v/>
      </c>
      <c r="C32718" t="inlineStr">
        <is>
          <t>1989-06-27</t>
        </is>
      </c>
    </row>
    <row r="32719">
      <c r="A32719" s="1" t="n">
        <v>32718</v>
      </c>
      <c r="B32719">
        <f>TEXT(32718, "[$-0E0000]yyyy-mm-dd")</f>
        <v/>
      </c>
      <c r="C32719" t="inlineStr">
        <is>
          <t>1989-06-28</t>
        </is>
      </c>
    </row>
    <row r="32720">
      <c r="A32720" s="1" t="n">
        <v>32719</v>
      </c>
      <c r="B32720">
        <f>TEXT(32719, "[$-0E0000]yyyy-mm-dd")</f>
        <v/>
      </c>
      <c r="C32720" t="inlineStr">
        <is>
          <t>1989-06-29</t>
        </is>
      </c>
    </row>
    <row r="32721">
      <c r="A32721" s="1" t="n">
        <v>32720</v>
      </c>
      <c r="B32721">
        <f>TEXT(32720, "[$-0E0000]yyyy-mm-dd")</f>
        <v/>
      </c>
      <c r="C32721" t="inlineStr">
        <is>
          <t>1989-06-30</t>
        </is>
      </c>
    </row>
    <row r="32722">
      <c r="A32722" s="1" t="n">
        <v>32721</v>
      </c>
      <c r="B32722">
        <f>TEXT(32721, "[$-0E0000]yyyy-mm-dd")</f>
        <v/>
      </c>
      <c r="C32722" t="inlineStr">
        <is>
          <t>1989-07-01</t>
        </is>
      </c>
    </row>
    <row r="32723">
      <c r="A32723" s="1" t="n">
        <v>32722</v>
      </c>
      <c r="B32723">
        <f>TEXT(32722, "[$-0E0000]yyyy-mm-dd")</f>
        <v/>
      </c>
      <c r="C32723" t="inlineStr">
        <is>
          <t>1989-07-02</t>
        </is>
      </c>
    </row>
    <row r="32724">
      <c r="A32724" s="1" t="n">
        <v>32723</v>
      </c>
      <c r="B32724">
        <f>TEXT(32723, "[$-0E0000]yyyy-mm-dd")</f>
        <v/>
      </c>
      <c r="C32724" t="inlineStr">
        <is>
          <t>1989-07-03</t>
        </is>
      </c>
    </row>
    <row r="32725">
      <c r="A32725" s="1" t="n">
        <v>32724</v>
      </c>
      <c r="B32725">
        <f>TEXT(32724, "[$-0E0000]yyyy-mm-dd")</f>
        <v/>
      </c>
      <c r="C32725" t="inlineStr">
        <is>
          <t>1989-07-04</t>
        </is>
      </c>
    </row>
    <row r="32726">
      <c r="A32726" s="1" t="n">
        <v>32725</v>
      </c>
      <c r="B32726">
        <f>TEXT(32725, "[$-0E0000]yyyy-mm-dd")</f>
        <v/>
      </c>
      <c r="C32726" t="inlineStr">
        <is>
          <t>1989-07-05</t>
        </is>
      </c>
    </row>
    <row r="32727">
      <c r="A32727" s="1" t="n">
        <v>32726</v>
      </c>
      <c r="B32727">
        <f>TEXT(32726, "[$-0E0000]yyyy-mm-dd")</f>
        <v/>
      </c>
      <c r="C32727" t="inlineStr">
        <is>
          <t>1989-07-06</t>
        </is>
      </c>
    </row>
    <row r="32728">
      <c r="A32728" s="1" t="n">
        <v>32727</v>
      </c>
      <c r="B32728">
        <f>TEXT(32727, "[$-0E0000]yyyy-mm-dd")</f>
        <v/>
      </c>
      <c r="C32728" t="inlineStr">
        <is>
          <t>1989-07-07</t>
        </is>
      </c>
    </row>
    <row r="32729">
      <c r="A32729" s="1" t="n">
        <v>32728</v>
      </c>
      <c r="B32729">
        <f>TEXT(32728, "[$-0E0000]yyyy-mm-dd")</f>
        <v/>
      </c>
      <c r="C32729" t="inlineStr">
        <is>
          <t>1989-07-08</t>
        </is>
      </c>
    </row>
    <row r="32730">
      <c r="A32730" s="1" t="n">
        <v>32729</v>
      </c>
      <c r="B32730">
        <f>TEXT(32729, "[$-0E0000]yyyy-mm-dd")</f>
        <v/>
      </c>
      <c r="C32730" t="inlineStr">
        <is>
          <t>1989-07-09</t>
        </is>
      </c>
    </row>
    <row r="32731">
      <c r="A32731" s="1" t="n">
        <v>32730</v>
      </c>
      <c r="B32731">
        <f>TEXT(32730, "[$-0E0000]yyyy-mm-dd")</f>
        <v/>
      </c>
      <c r="C32731" t="inlineStr">
        <is>
          <t>1989-07-10</t>
        </is>
      </c>
    </row>
    <row r="32732">
      <c r="A32732" s="1" t="n">
        <v>32731</v>
      </c>
      <c r="B32732">
        <f>TEXT(32731, "[$-0E0000]yyyy-mm-dd")</f>
        <v/>
      </c>
      <c r="C32732" t="inlineStr">
        <is>
          <t>1989-07-11</t>
        </is>
      </c>
    </row>
    <row r="32733">
      <c r="A32733" s="1" t="n">
        <v>32732</v>
      </c>
      <c r="B32733">
        <f>TEXT(32732, "[$-0E0000]yyyy-mm-dd")</f>
        <v/>
      </c>
      <c r="C32733" t="inlineStr">
        <is>
          <t>1989-07-12</t>
        </is>
      </c>
    </row>
    <row r="32734">
      <c r="A32734" s="1" t="n">
        <v>32733</v>
      </c>
      <c r="B32734">
        <f>TEXT(32733, "[$-0E0000]yyyy-mm-dd")</f>
        <v/>
      </c>
      <c r="C32734" t="inlineStr">
        <is>
          <t>1989-07-13</t>
        </is>
      </c>
    </row>
    <row r="32735">
      <c r="A32735" s="1" t="n">
        <v>32734</v>
      </c>
      <c r="B32735">
        <f>TEXT(32734, "[$-0E0000]yyyy-mm-dd")</f>
        <v/>
      </c>
      <c r="C32735" t="inlineStr">
        <is>
          <t>1989-07-14</t>
        </is>
      </c>
    </row>
    <row r="32736">
      <c r="A32736" s="1" t="n">
        <v>32735</v>
      </c>
      <c r="B32736">
        <f>TEXT(32735, "[$-0E0000]yyyy-mm-dd")</f>
        <v/>
      </c>
      <c r="C32736" t="inlineStr">
        <is>
          <t>1989-07-15</t>
        </is>
      </c>
    </row>
    <row r="32737">
      <c r="A32737" s="1" t="n">
        <v>32736</v>
      </c>
      <c r="B32737">
        <f>TEXT(32736, "[$-0E0000]yyyy-mm-dd")</f>
        <v/>
      </c>
      <c r="C32737" t="inlineStr">
        <is>
          <t>1989-07-16</t>
        </is>
      </c>
    </row>
    <row r="32738">
      <c r="A32738" s="1" t="n">
        <v>32737</v>
      </c>
      <c r="B32738">
        <f>TEXT(32737, "[$-0E0000]yyyy-mm-dd")</f>
        <v/>
      </c>
      <c r="C32738" t="inlineStr">
        <is>
          <t>1989-07-17</t>
        </is>
      </c>
    </row>
    <row r="32739">
      <c r="A32739" s="1" t="n">
        <v>32738</v>
      </c>
      <c r="B32739">
        <f>TEXT(32738, "[$-0E0000]yyyy-mm-dd")</f>
        <v/>
      </c>
      <c r="C32739" t="inlineStr">
        <is>
          <t>1989-07-18</t>
        </is>
      </c>
    </row>
    <row r="32740">
      <c r="A32740" s="1" t="n">
        <v>32739</v>
      </c>
      <c r="B32740">
        <f>TEXT(32739, "[$-0E0000]yyyy-mm-dd")</f>
        <v/>
      </c>
      <c r="C32740" t="inlineStr">
        <is>
          <t>1989-07-19</t>
        </is>
      </c>
    </row>
    <row r="32741">
      <c r="A32741" s="1" t="n">
        <v>32740</v>
      </c>
      <c r="B32741">
        <f>TEXT(32740, "[$-0E0000]yyyy-mm-dd")</f>
        <v/>
      </c>
      <c r="C32741" t="inlineStr">
        <is>
          <t>1989-07-20</t>
        </is>
      </c>
    </row>
    <row r="32742">
      <c r="A32742" s="1" t="n">
        <v>32741</v>
      </c>
      <c r="B32742">
        <f>TEXT(32741, "[$-0E0000]yyyy-mm-dd")</f>
        <v/>
      </c>
      <c r="C32742" t="inlineStr">
        <is>
          <t>1989-07-21</t>
        </is>
      </c>
    </row>
    <row r="32743">
      <c r="A32743" s="1" t="n">
        <v>32742</v>
      </c>
      <c r="B32743">
        <f>TEXT(32742, "[$-0E0000]yyyy-mm-dd")</f>
        <v/>
      </c>
      <c r="C32743" t="inlineStr">
        <is>
          <t>1989-07-22</t>
        </is>
      </c>
    </row>
    <row r="32744">
      <c r="A32744" s="1" t="n">
        <v>32743</v>
      </c>
      <c r="B32744">
        <f>TEXT(32743, "[$-0E0000]yyyy-mm-dd")</f>
        <v/>
      </c>
      <c r="C32744" t="inlineStr">
        <is>
          <t>1989-07-23</t>
        </is>
      </c>
    </row>
    <row r="32745">
      <c r="A32745" s="1" t="n">
        <v>32744</v>
      </c>
      <c r="B32745">
        <f>TEXT(32744, "[$-0E0000]yyyy-mm-dd")</f>
        <v/>
      </c>
      <c r="C32745" t="inlineStr">
        <is>
          <t>1989-07-24</t>
        </is>
      </c>
    </row>
    <row r="32746">
      <c r="A32746" s="1" t="n">
        <v>32745</v>
      </c>
      <c r="B32746">
        <f>TEXT(32745, "[$-0E0000]yyyy-mm-dd")</f>
        <v/>
      </c>
      <c r="C32746" t="inlineStr">
        <is>
          <t>1989-07-25</t>
        </is>
      </c>
    </row>
    <row r="32747">
      <c r="A32747" s="1" t="n">
        <v>32746</v>
      </c>
      <c r="B32747">
        <f>TEXT(32746, "[$-0E0000]yyyy-mm-dd")</f>
        <v/>
      </c>
      <c r="C32747" t="inlineStr">
        <is>
          <t>1989-07-26</t>
        </is>
      </c>
    </row>
    <row r="32748">
      <c r="A32748" s="1" t="n">
        <v>32747</v>
      </c>
      <c r="B32748">
        <f>TEXT(32747, "[$-0E0000]yyyy-mm-dd")</f>
        <v/>
      </c>
      <c r="C32748" t="inlineStr">
        <is>
          <t>1989-07-27</t>
        </is>
      </c>
    </row>
    <row r="32749">
      <c r="A32749" s="1" t="n">
        <v>32748</v>
      </c>
      <c r="B32749">
        <f>TEXT(32748, "[$-0E0000]yyyy-mm-dd")</f>
        <v/>
      </c>
      <c r="C32749" t="inlineStr">
        <is>
          <t>1989-07-28</t>
        </is>
      </c>
    </row>
    <row r="32750">
      <c r="A32750" s="1" t="n">
        <v>32749</v>
      </c>
      <c r="B32750">
        <f>TEXT(32749, "[$-0E0000]yyyy-mm-dd")</f>
        <v/>
      </c>
      <c r="C32750" t="inlineStr">
        <is>
          <t>1989-07-29</t>
        </is>
      </c>
    </row>
    <row r="32751">
      <c r="A32751" s="1" t="n">
        <v>32750</v>
      </c>
      <c r="B32751">
        <f>TEXT(32750, "[$-0E0000]yyyy-mm-dd")</f>
        <v/>
      </c>
      <c r="C32751" t="inlineStr">
        <is>
          <t>1989-08-01</t>
        </is>
      </c>
    </row>
    <row r="32752">
      <c r="A32752" s="1" t="n">
        <v>32751</v>
      </c>
      <c r="B32752">
        <f>TEXT(32751, "[$-0E0000]yyyy-mm-dd")</f>
        <v/>
      </c>
      <c r="C32752" t="inlineStr">
        <is>
          <t>1989-08-02</t>
        </is>
      </c>
    </row>
    <row r="32753">
      <c r="A32753" s="1" t="n">
        <v>32752</v>
      </c>
      <c r="B32753">
        <f>TEXT(32752, "[$-0E0000]yyyy-mm-dd")</f>
        <v/>
      </c>
      <c r="C32753" t="inlineStr">
        <is>
          <t>1989-08-03</t>
        </is>
      </c>
    </row>
    <row r="32754">
      <c r="A32754" s="1" t="n">
        <v>32753</v>
      </c>
      <c r="B32754">
        <f>TEXT(32753, "[$-0E0000]yyyy-mm-dd")</f>
        <v/>
      </c>
      <c r="C32754" t="inlineStr">
        <is>
          <t>1989-08-04</t>
        </is>
      </c>
    </row>
    <row r="32755">
      <c r="A32755" s="1" t="n">
        <v>32754</v>
      </c>
      <c r="B32755">
        <f>TEXT(32754, "[$-0E0000]yyyy-mm-dd")</f>
        <v/>
      </c>
      <c r="C32755" t="inlineStr">
        <is>
          <t>1989-08-05</t>
        </is>
      </c>
    </row>
    <row r="32756">
      <c r="A32756" s="1" t="n">
        <v>32755</v>
      </c>
      <c r="B32756">
        <f>TEXT(32755, "[$-0E0000]yyyy-mm-dd")</f>
        <v/>
      </c>
      <c r="C32756" t="inlineStr">
        <is>
          <t>1989-08-06</t>
        </is>
      </c>
    </row>
    <row r="32757">
      <c r="A32757" s="1" t="n">
        <v>32756</v>
      </c>
      <c r="B32757">
        <f>TEXT(32756, "[$-0E0000]yyyy-mm-dd")</f>
        <v/>
      </c>
      <c r="C32757" t="inlineStr">
        <is>
          <t>1989-08-07</t>
        </is>
      </c>
    </row>
    <row r="32758">
      <c r="A32758" s="1" t="n">
        <v>32757</v>
      </c>
      <c r="B32758">
        <f>TEXT(32757, "[$-0E0000]yyyy-mm-dd")</f>
        <v/>
      </c>
      <c r="C32758" t="inlineStr">
        <is>
          <t>1989-08-08</t>
        </is>
      </c>
    </row>
    <row r="32759">
      <c r="A32759" s="1" t="n">
        <v>32758</v>
      </c>
      <c r="B32759">
        <f>TEXT(32758, "[$-0E0000]yyyy-mm-dd")</f>
        <v/>
      </c>
      <c r="C32759" t="inlineStr">
        <is>
          <t>1989-08-09</t>
        </is>
      </c>
    </row>
    <row r="32760">
      <c r="A32760" s="1" t="n">
        <v>32759</v>
      </c>
      <c r="B32760">
        <f>TEXT(32759, "[$-0E0000]yyyy-mm-dd")</f>
        <v/>
      </c>
      <c r="C32760" t="inlineStr">
        <is>
          <t>1989-08-10</t>
        </is>
      </c>
    </row>
    <row r="32761">
      <c r="A32761" s="1" t="n">
        <v>32760</v>
      </c>
      <c r="B32761">
        <f>TEXT(32760, "[$-0E0000]yyyy-mm-dd")</f>
        <v/>
      </c>
      <c r="C32761" t="inlineStr">
        <is>
          <t>1989-08-11</t>
        </is>
      </c>
    </row>
    <row r="32762">
      <c r="A32762" s="1" t="n">
        <v>32761</v>
      </c>
      <c r="B32762">
        <f>TEXT(32761, "[$-0E0000]yyyy-mm-dd")</f>
        <v/>
      </c>
      <c r="C32762" t="inlineStr">
        <is>
          <t>1989-08-12</t>
        </is>
      </c>
    </row>
    <row r="32763">
      <c r="A32763" s="1" t="n">
        <v>32762</v>
      </c>
      <c r="B32763">
        <f>TEXT(32762, "[$-0E0000]yyyy-mm-dd")</f>
        <v/>
      </c>
      <c r="C32763" t="inlineStr">
        <is>
          <t>1989-08-13</t>
        </is>
      </c>
    </row>
    <row r="32764">
      <c r="A32764" s="1" t="n">
        <v>32763</v>
      </c>
      <c r="B32764">
        <f>TEXT(32763, "[$-0E0000]yyyy-mm-dd")</f>
        <v/>
      </c>
      <c r="C32764" t="inlineStr">
        <is>
          <t>1989-08-14</t>
        </is>
      </c>
    </row>
    <row r="32765">
      <c r="A32765" s="1" t="n">
        <v>32764</v>
      </c>
      <c r="B32765">
        <f>TEXT(32764, "[$-0E0000]yyyy-mm-dd")</f>
        <v/>
      </c>
      <c r="C32765" t="inlineStr">
        <is>
          <t>1989-08-15</t>
        </is>
      </c>
    </row>
    <row r="32766">
      <c r="A32766" s="1" t="n">
        <v>32765</v>
      </c>
      <c r="B32766">
        <f>TEXT(32765, "[$-0E0000]yyyy-mm-dd")</f>
        <v/>
      </c>
      <c r="C32766" t="inlineStr">
        <is>
          <t>1989-08-16</t>
        </is>
      </c>
    </row>
    <row r="32767">
      <c r="A32767" s="1" t="n">
        <v>32766</v>
      </c>
      <c r="B32767">
        <f>TEXT(32766, "[$-0E0000]yyyy-mm-dd")</f>
        <v/>
      </c>
      <c r="C32767" t="inlineStr">
        <is>
          <t>1989-08-17</t>
        </is>
      </c>
    </row>
    <row r="32768">
      <c r="A32768" s="1" t="n">
        <v>32767</v>
      </c>
      <c r="B32768">
        <f>TEXT(32767, "[$-0E0000]yyyy-mm-dd")</f>
        <v/>
      </c>
      <c r="C32768" t="inlineStr">
        <is>
          <t>1989-08-18</t>
        </is>
      </c>
    </row>
    <row r="32769">
      <c r="A32769" s="1" t="n">
        <v>32768</v>
      </c>
      <c r="B32769">
        <f>TEXT(32768, "[$-0E0000]yyyy-mm-dd")</f>
        <v/>
      </c>
      <c r="C32769" t="inlineStr">
        <is>
          <t>1989-08-19</t>
        </is>
      </c>
    </row>
    <row r="32770">
      <c r="A32770" s="1" t="n">
        <v>32769</v>
      </c>
      <c r="B32770">
        <f>TEXT(32769, "[$-0E0000]yyyy-mm-dd")</f>
        <v/>
      </c>
      <c r="C32770" t="inlineStr">
        <is>
          <t>1989-08-20</t>
        </is>
      </c>
    </row>
    <row r="32771">
      <c r="A32771" s="1" t="n">
        <v>32770</v>
      </c>
      <c r="B32771">
        <f>TEXT(32770, "[$-0E0000]yyyy-mm-dd")</f>
        <v/>
      </c>
      <c r="C32771" t="inlineStr">
        <is>
          <t>1989-08-21</t>
        </is>
      </c>
    </row>
    <row r="32772">
      <c r="A32772" s="1" t="n">
        <v>32771</v>
      </c>
      <c r="B32772">
        <f>TEXT(32771, "[$-0E0000]yyyy-mm-dd")</f>
        <v/>
      </c>
      <c r="C32772" t="inlineStr">
        <is>
          <t>1989-08-22</t>
        </is>
      </c>
    </row>
    <row r="32773">
      <c r="A32773" s="1" t="n">
        <v>32772</v>
      </c>
      <c r="B32773">
        <f>TEXT(32772, "[$-0E0000]yyyy-mm-dd")</f>
        <v/>
      </c>
      <c r="C32773" t="inlineStr">
        <is>
          <t>1989-08-23</t>
        </is>
      </c>
    </row>
    <row r="32774">
      <c r="A32774" s="1" t="n">
        <v>32773</v>
      </c>
      <c r="B32774">
        <f>TEXT(32773, "[$-0E0000]yyyy-mm-dd")</f>
        <v/>
      </c>
      <c r="C32774" t="inlineStr">
        <is>
          <t>1989-08-24</t>
        </is>
      </c>
    </row>
    <row r="32775">
      <c r="A32775" s="1" t="n">
        <v>32774</v>
      </c>
      <c r="B32775">
        <f>TEXT(32774, "[$-0E0000]yyyy-mm-dd")</f>
        <v/>
      </c>
      <c r="C32775" t="inlineStr">
        <is>
          <t>1989-08-25</t>
        </is>
      </c>
    </row>
    <row r="32776">
      <c r="A32776" s="1" t="n">
        <v>32775</v>
      </c>
      <c r="B32776">
        <f>TEXT(32775, "[$-0E0000]yyyy-mm-dd")</f>
        <v/>
      </c>
      <c r="C32776" t="inlineStr">
        <is>
          <t>1989-08-26</t>
        </is>
      </c>
    </row>
    <row r="32777">
      <c r="A32777" s="1" t="n">
        <v>32776</v>
      </c>
      <c r="B32777">
        <f>TEXT(32776, "[$-0E0000]yyyy-mm-dd")</f>
        <v/>
      </c>
      <c r="C32777" t="inlineStr">
        <is>
          <t>1989-08-27</t>
        </is>
      </c>
    </row>
    <row r="32778">
      <c r="A32778" s="1" t="n">
        <v>32777</v>
      </c>
      <c r="B32778">
        <f>TEXT(32777, "[$-0E0000]yyyy-mm-dd")</f>
        <v/>
      </c>
      <c r="C32778" t="inlineStr">
        <is>
          <t>1989-08-28</t>
        </is>
      </c>
    </row>
    <row r="32779">
      <c r="A32779" s="1" t="n">
        <v>32778</v>
      </c>
      <c r="B32779">
        <f>TEXT(32778, "[$-0E0000]yyyy-mm-dd")</f>
        <v/>
      </c>
      <c r="C32779" t="inlineStr">
        <is>
          <t>1989-08-29</t>
        </is>
      </c>
    </row>
    <row r="32780">
      <c r="A32780" s="1" t="n">
        <v>32779</v>
      </c>
      <c r="B32780">
        <f>TEXT(32779, "[$-0E0000]yyyy-mm-dd")</f>
        <v/>
      </c>
      <c r="C32780" t="inlineStr">
        <is>
          <t>1989-08-30</t>
        </is>
      </c>
    </row>
    <row r="32781">
      <c r="A32781" s="1" t="n">
        <v>32780</v>
      </c>
      <c r="B32781">
        <f>TEXT(32780, "[$-0E0000]yyyy-mm-dd")</f>
        <v/>
      </c>
      <c r="C32781" t="inlineStr">
        <is>
          <t>1989-09-01</t>
        </is>
      </c>
    </row>
    <row r="32782">
      <c r="A32782" s="1" t="n">
        <v>32781</v>
      </c>
      <c r="B32782">
        <f>TEXT(32781, "[$-0E0000]yyyy-mm-dd")</f>
        <v/>
      </c>
      <c r="C32782" t="inlineStr">
        <is>
          <t>1989-09-02</t>
        </is>
      </c>
    </row>
    <row r="32783">
      <c r="A32783" s="1" t="n">
        <v>32782</v>
      </c>
      <c r="B32783">
        <f>TEXT(32782, "[$-0E0000]yyyy-mm-dd")</f>
        <v/>
      </c>
      <c r="C32783" t="inlineStr">
        <is>
          <t>1989-09-03</t>
        </is>
      </c>
    </row>
    <row r="32784">
      <c r="A32784" s="1" t="n">
        <v>32783</v>
      </c>
      <c r="B32784">
        <f>TEXT(32783, "[$-0E0000]yyyy-mm-dd")</f>
        <v/>
      </c>
      <c r="C32784" t="inlineStr">
        <is>
          <t>1989-09-04</t>
        </is>
      </c>
    </row>
    <row r="32785">
      <c r="A32785" s="1" t="n">
        <v>32784</v>
      </c>
      <c r="B32785">
        <f>TEXT(32784, "[$-0E0000]yyyy-mm-dd")</f>
        <v/>
      </c>
      <c r="C32785" t="inlineStr">
        <is>
          <t>1989-09-05</t>
        </is>
      </c>
    </row>
    <row r="32786">
      <c r="A32786" s="1" t="n">
        <v>32785</v>
      </c>
      <c r="B32786">
        <f>TEXT(32785, "[$-0E0000]yyyy-mm-dd")</f>
        <v/>
      </c>
      <c r="C32786" t="inlineStr">
        <is>
          <t>1989-09-06</t>
        </is>
      </c>
    </row>
    <row r="32787">
      <c r="A32787" s="1" t="n">
        <v>32786</v>
      </c>
      <c r="B32787">
        <f>TEXT(32786, "[$-0E0000]yyyy-mm-dd")</f>
        <v/>
      </c>
      <c r="C32787" t="inlineStr">
        <is>
          <t>1989-09-07</t>
        </is>
      </c>
    </row>
    <row r="32788">
      <c r="A32788" s="1" t="n">
        <v>32787</v>
      </c>
      <c r="B32788">
        <f>TEXT(32787, "[$-0E0000]yyyy-mm-dd")</f>
        <v/>
      </c>
      <c r="C32788" t="inlineStr">
        <is>
          <t>1989-09-08</t>
        </is>
      </c>
    </row>
    <row r="32789">
      <c r="A32789" s="1" t="n">
        <v>32788</v>
      </c>
      <c r="B32789">
        <f>TEXT(32788, "[$-0E0000]yyyy-mm-dd")</f>
        <v/>
      </c>
      <c r="C32789" t="inlineStr">
        <is>
          <t>1989-09-09</t>
        </is>
      </c>
    </row>
    <row r="32790">
      <c r="A32790" s="1" t="n">
        <v>32789</v>
      </c>
      <c r="B32790">
        <f>TEXT(32789, "[$-0E0000]yyyy-mm-dd")</f>
        <v/>
      </c>
      <c r="C32790" t="inlineStr">
        <is>
          <t>1989-09-10</t>
        </is>
      </c>
    </row>
    <row r="32791">
      <c r="A32791" s="1" t="n">
        <v>32790</v>
      </c>
      <c r="B32791">
        <f>TEXT(32790, "[$-0E0000]yyyy-mm-dd")</f>
        <v/>
      </c>
      <c r="C32791" t="inlineStr">
        <is>
          <t>1989-09-11</t>
        </is>
      </c>
    </row>
    <row r="32792">
      <c r="A32792" s="1" t="n">
        <v>32791</v>
      </c>
      <c r="B32792">
        <f>TEXT(32791, "[$-0E0000]yyyy-mm-dd")</f>
        <v/>
      </c>
      <c r="C32792" t="inlineStr">
        <is>
          <t>1989-09-12</t>
        </is>
      </c>
    </row>
    <row r="32793">
      <c r="A32793" s="1" t="n">
        <v>32792</v>
      </c>
      <c r="B32793">
        <f>TEXT(32792, "[$-0E0000]yyyy-mm-dd")</f>
        <v/>
      </c>
      <c r="C32793" t="inlineStr">
        <is>
          <t>1989-09-13</t>
        </is>
      </c>
    </row>
    <row r="32794">
      <c r="A32794" s="1" t="n">
        <v>32793</v>
      </c>
      <c r="B32794">
        <f>TEXT(32793, "[$-0E0000]yyyy-mm-dd")</f>
        <v/>
      </c>
      <c r="C32794" t="inlineStr">
        <is>
          <t>1989-09-14</t>
        </is>
      </c>
    </row>
    <row r="32795">
      <c r="A32795" s="1" t="n">
        <v>32794</v>
      </c>
      <c r="B32795">
        <f>TEXT(32794, "[$-0E0000]yyyy-mm-dd")</f>
        <v/>
      </c>
      <c r="C32795" t="inlineStr">
        <is>
          <t>1989-09-15</t>
        </is>
      </c>
    </row>
    <row r="32796">
      <c r="A32796" s="1" t="n">
        <v>32795</v>
      </c>
      <c r="B32796">
        <f>TEXT(32795, "[$-0E0000]yyyy-mm-dd")</f>
        <v/>
      </c>
      <c r="C32796" t="inlineStr">
        <is>
          <t>1989-09-16</t>
        </is>
      </c>
    </row>
    <row r="32797">
      <c r="A32797" s="1" t="n">
        <v>32796</v>
      </c>
      <c r="B32797">
        <f>TEXT(32796, "[$-0E0000]yyyy-mm-dd")</f>
        <v/>
      </c>
      <c r="C32797" t="inlineStr">
        <is>
          <t>1989-09-17</t>
        </is>
      </c>
    </row>
    <row r="32798">
      <c r="A32798" s="1" t="n">
        <v>32797</v>
      </c>
      <c r="B32798">
        <f>TEXT(32797, "[$-0E0000]yyyy-mm-dd")</f>
        <v/>
      </c>
      <c r="C32798" t="inlineStr">
        <is>
          <t>1989-09-18</t>
        </is>
      </c>
    </row>
    <row r="32799">
      <c r="A32799" s="1" t="n">
        <v>32798</v>
      </c>
      <c r="B32799">
        <f>TEXT(32798, "[$-0E0000]yyyy-mm-dd")</f>
        <v/>
      </c>
      <c r="C32799" t="inlineStr">
        <is>
          <t>1989-09-19</t>
        </is>
      </c>
    </row>
    <row r="32800">
      <c r="A32800" s="1" t="n">
        <v>32799</v>
      </c>
      <c r="B32800">
        <f>TEXT(32799, "[$-0E0000]yyyy-mm-dd")</f>
        <v/>
      </c>
      <c r="C32800" t="inlineStr">
        <is>
          <t>1989-09-20</t>
        </is>
      </c>
    </row>
    <row r="32801">
      <c r="A32801" s="1" t="n">
        <v>32800</v>
      </c>
      <c r="B32801">
        <f>TEXT(32800, "[$-0E0000]yyyy-mm-dd")</f>
        <v/>
      </c>
      <c r="C32801" t="inlineStr">
        <is>
          <t>1989-09-21</t>
        </is>
      </c>
    </row>
    <row r="32802">
      <c r="A32802" s="1" t="n">
        <v>32801</v>
      </c>
      <c r="B32802">
        <f>TEXT(32801, "[$-0E0000]yyyy-mm-dd")</f>
        <v/>
      </c>
      <c r="C32802" t="inlineStr">
        <is>
          <t>1989-09-22</t>
        </is>
      </c>
    </row>
    <row r="32803">
      <c r="A32803" s="1" t="n">
        <v>32802</v>
      </c>
      <c r="B32803">
        <f>TEXT(32802, "[$-0E0000]yyyy-mm-dd")</f>
        <v/>
      </c>
      <c r="C32803" t="inlineStr">
        <is>
          <t>1989-09-23</t>
        </is>
      </c>
    </row>
    <row r="32804">
      <c r="A32804" s="1" t="n">
        <v>32803</v>
      </c>
      <c r="B32804">
        <f>TEXT(32803, "[$-0E0000]yyyy-mm-dd")</f>
        <v/>
      </c>
      <c r="C32804" t="inlineStr">
        <is>
          <t>1989-09-24</t>
        </is>
      </c>
    </row>
    <row r="32805">
      <c r="A32805" s="1" t="n">
        <v>32804</v>
      </c>
      <c r="B32805">
        <f>TEXT(32804, "[$-0E0000]yyyy-mm-dd")</f>
        <v/>
      </c>
      <c r="C32805" t="inlineStr">
        <is>
          <t>1989-09-25</t>
        </is>
      </c>
    </row>
    <row r="32806">
      <c r="A32806" s="1" t="n">
        <v>32805</v>
      </c>
      <c r="B32806">
        <f>TEXT(32805, "[$-0E0000]yyyy-mm-dd")</f>
        <v/>
      </c>
      <c r="C32806" t="inlineStr">
        <is>
          <t>1989-09-26</t>
        </is>
      </c>
    </row>
    <row r="32807">
      <c r="A32807" s="1" t="n">
        <v>32806</v>
      </c>
      <c r="B32807">
        <f>TEXT(32806, "[$-0E0000]yyyy-mm-dd")</f>
        <v/>
      </c>
      <c r="C32807" t="inlineStr">
        <is>
          <t>1989-09-27</t>
        </is>
      </c>
    </row>
    <row r="32808">
      <c r="A32808" s="1" t="n">
        <v>32807</v>
      </c>
      <c r="B32808">
        <f>TEXT(32807, "[$-0E0000]yyyy-mm-dd")</f>
        <v/>
      </c>
      <c r="C32808" t="inlineStr">
        <is>
          <t>1989-09-28</t>
        </is>
      </c>
    </row>
    <row r="32809">
      <c r="A32809" s="1" t="n">
        <v>32808</v>
      </c>
      <c r="B32809">
        <f>TEXT(32808, "[$-0E0000]yyyy-mm-dd")</f>
        <v/>
      </c>
      <c r="C32809" t="inlineStr">
        <is>
          <t>1989-09-29</t>
        </is>
      </c>
    </row>
    <row r="32810">
      <c r="A32810" s="1" t="n">
        <v>32809</v>
      </c>
      <c r="B32810">
        <f>TEXT(32809, "[$-0E0000]yyyy-mm-dd")</f>
        <v/>
      </c>
      <c r="C32810" t="inlineStr">
        <is>
          <t>1989-10-01</t>
        </is>
      </c>
    </row>
    <row r="32811">
      <c r="A32811" s="1" t="n">
        <v>32810</v>
      </c>
      <c r="B32811">
        <f>TEXT(32810, "[$-0E0000]yyyy-mm-dd")</f>
        <v/>
      </c>
      <c r="C32811" t="inlineStr">
        <is>
          <t>1989-10-02</t>
        </is>
      </c>
    </row>
    <row r="32812">
      <c r="A32812" s="1" t="n">
        <v>32811</v>
      </c>
      <c r="B32812">
        <f>TEXT(32811, "[$-0E0000]yyyy-mm-dd")</f>
        <v/>
      </c>
      <c r="C32812" t="inlineStr">
        <is>
          <t>1989-10-03</t>
        </is>
      </c>
    </row>
    <row r="32813">
      <c r="A32813" s="1" t="n">
        <v>32812</v>
      </c>
      <c r="B32813">
        <f>TEXT(32812, "[$-0E0000]yyyy-mm-dd")</f>
        <v/>
      </c>
      <c r="C32813" t="inlineStr">
        <is>
          <t>1989-10-04</t>
        </is>
      </c>
    </row>
    <row r="32814">
      <c r="A32814" s="1" t="n">
        <v>32813</v>
      </c>
      <c r="B32814">
        <f>TEXT(32813, "[$-0E0000]yyyy-mm-dd")</f>
        <v/>
      </c>
      <c r="C32814" t="inlineStr">
        <is>
          <t>1989-10-05</t>
        </is>
      </c>
    </row>
    <row r="32815">
      <c r="A32815" s="1" t="n">
        <v>32814</v>
      </c>
      <c r="B32815">
        <f>TEXT(32814, "[$-0E0000]yyyy-mm-dd")</f>
        <v/>
      </c>
      <c r="C32815" t="inlineStr">
        <is>
          <t>1989-10-06</t>
        </is>
      </c>
    </row>
    <row r="32816">
      <c r="A32816" s="1" t="n">
        <v>32815</v>
      </c>
      <c r="B32816">
        <f>TEXT(32815, "[$-0E0000]yyyy-mm-dd")</f>
        <v/>
      </c>
      <c r="C32816" t="inlineStr">
        <is>
          <t>1989-10-07</t>
        </is>
      </c>
    </row>
    <row r="32817">
      <c r="A32817" s="1" t="n">
        <v>32816</v>
      </c>
      <c r="B32817">
        <f>TEXT(32816, "[$-0E0000]yyyy-mm-dd")</f>
        <v/>
      </c>
      <c r="C32817" t="inlineStr">
        <is>
          <t>1989-10-08</t>
        </is>
      </c>
    </row>
    <row r="32818">
      <c r="A32818" s="1" t="n">
        <v>32817</v>
      </c>
      <c r="B32818">
        <f>TEXT(32817, "[$-0E0000]yyyy-mm-dd")</f>
        <v/>
      </c>
      <c r="C32818" t="inlineStr">
        <is>
          <t>1989-10-09</t>
        </is>
      </c>
    </row>
    <row r="32819">
      <c r="A32819" s="1" t="n">
        <v>32818</v>
      </c>
      <c r="B32819">
        <f>TEXT(32818, "[$-0E0000]yyyy-mm-dd")</f>
        <v/>
      </c>
      <c r="C32819" t="inlineStr">
        <is>
          <t>1989-10-10</t>
        </is>
      </c>
    </row>
    <row r="32820">
      <c r="A32820" s="1" t="n">
        <v>32819</v>
      </c>
      <c r="B32820">
        <f>TEXT(32819, "[$-0E0000]yyyy-mm-dd")</f>
        <v/>
      </c>
      <c r="C32820" t="inlineStr">
        <is>
          <t>1989-10-11</t>
        </is>
      </c>
    </row>
    <row r="32821">
      <c r="A32821" s="1" t="n">
        <v>32820</v>
      </c>
      <c r="B32821">
        <f>TEXT(32820, "[$-0E0000]yyyy-mm-dd")</f>
        <v/>
      </c>
      <c r="C32821" t="inlineStr">
        <is>
          <t>1989-10-12</t>
        </is>
      </c>
    </row>
    <row r="32822">
      <c r="A32822" s="1" t="n">
        <v>32821</v>
      </c>
      <c r="B32822">
        <f>TEXT(32821, "[$-0E0000]yyyy-mm-dd")</f>
        <v/>
      </c>
      <c r="C32822" t="inlineStr">
        <is>
          <t>1989-10-13</t>
        </is>
      </c>
    </row>
    <row r="32823">
      <c r="A32823" s="1" t="n">
        <v>32822</v>
      </c>
      <c r="B32823">
        <f>TEXT(32822, "[$-0E0000]yyyy-mm-dd")</f>
        <v/>
      </c>
      <c r="C32823" t="inlineStr">
        <is>
          <t>1989-10-14</t>
        </is>
      </c>
    </row>
    <row r="32824">
      <c r="A32824" s="1" t="n">
        <v>32823</v>
      </c>
      <c r="B32824">
        <f>TEXT(32823, "[$-0E0000]yyyy-mm-dd")</f>
        <v/>
      </c>
      <c r="C32824" t="inlineStr">
        <is>
          <t>1989-10-15</t>
        </is>
      </c>
    </row>
    <row r="32825">
      <c r="A32825" s="1" t="n">
        <v>32824</v>
      </c>
      <c r="B32825">
        <f>TEXT(32824, "[$-0E0000]yyyy-mm-dd")</f>
        <v/>
      </c>
      <c r="C32825" t="inlineStr">
        <is>
          <t>1989-10-16</t>
        </is>
      </c>
    </row>
    <row r="32826">
      <c r="A32826" s="1" t="n">
        <v>32825</v>
      </c>
      <c r="B32826">
        <f>TEXT(32825, "[$-0E0000]yyyy-mm-dd")</f>
        <v/>
      </c>
      <c r="C32826" t="inlineStr">
        <is>
          <t>1989-10-17</t>
        </is>
      </c>
    </row>
    <row r="32827">
      <c r="A32827" s="1" t="n">
        <v>32826</v>
      </c>
      <c r="B32827">
        <f>TEXT(32826, "[$-0E0000]yyyy-mm-dd")</f>
        <v/>
      </c>
      <c r="C32827" t="inlineStr">
        <is>
          <t>1989-10-18</t>
        </is>
      </c>
    </row>
    <row r="32828">
      <c r="A32828" s="1" t="n">
        <v>32827</v>
      </c>
      <c r="B32828">
        <f>TEXT(32827, "[$-0E0000]yyyy-mm-dd")</f>
        <v/>
      </c>
      <c r="C32828" t="inlineStr">
        <is>
          <t>1989-10-19</t>
        </is>
      </c>
    </row>
    <row r="32829">
      <c r="A32829" s="1" t="n">
        <v>32828</v>
      </c>
      <c r="B32829">
        <f>TEXT(32828, "[$-0E0000]yyyy-mm-dd")</f>
        <v/>
      </c>
      <c r="C32829" t="inlineStr">
        <is>
          <t>1989-10-20</t>
        </is>
      </c>
    </row>
    <row r="32830">
      <c r="A32830" s="1" t="n">
        <v>32829</v>
      </c>
      <c r="B32830">
        <f>TEXT(32829, "[$-0E0000]yyyy-mm-dd")</f>
        <v/>
      </c>
      <c r="C32830" t="inlineStr">
        <is>
          <t>1989-10-21</t>
        </is>
      </c>
    </row>
    <row r="32831">
      <c r="A32831" s="1" t="n">
        <v>32830</v>
      </c>
      <c r="B32831">
        <f>TEXT(32830, "[$-0E0000]yyyy-mm-dd")</f>
        <v/>
      </c>
      <c r="C32831" t="inlineStr">
        <is>
          <t>1989-10-22</t>
        </is>
      </c>
    </row>
    <row r="32832">
      <c r="A32832" s="1" t="n">
        <v>32831</v>
      </c>
      <c r="B32832">
        <f>TEXT(32831, "[$-0E0000]yyyy-mm-dd")</f>
        <v/>
      </c>
      <c r="C32832" t="inlineStr">
        <is>
          <t>1989-10-23</t>
        </is>
      </c>
    </row>
    <row r="32833">
      <c r="A32833" s="1" t="n">
        <v>32832</v>
      </c>
      <c r="B32833">
        <f>TEXT(32832, "[$-0E0000]yyyy-mm-dd")</f>
        <v/>
      </c>
      <c r="C32833" t="inlineStr">
        <is>
          <t>1989-10-24</t>
        </is>
      </c>
    </row>
    <row r="32834">
      <c r="A32834" s="1" t="n">
        <v>32833</v>
      </c>
      <c r="B32834">
        <f>TEXT(32833, "[$-0E0000]yyyy-mm-dd")</f>
        <v/>
      </c>
      <c r="C32834" t="inlineStr">
        <is>
          <t>1989-10-25</t>
        </is>
      </c>
    </row>
    <row r="32835">
      <c r="A32835" s="1" t="n">
        <v>32834</v>
      </c>
      <c r="B32835">
        <f>TEXT(32834, "[$-0E0000]yyyy-mm-dd")</f>
        <v/>
      </c>
      <c r="C32835" t="inlineStr">
        <is>
          <t>1989-10-26</t>
        </is>
      </c>
    </row>
    <row r="32836">
      <c r="A32836" s="1" t="n">
        <v>32835</v>
      </c>
      <c r="B32836">
        <f>TEXT(32835, "[$-0E0000]yyyy-mm-dd")</f>
        <v/>
      </c>
      <c r="C32836" t="inlineStr">
        <is>
          <t>1989-10-27</t>
        </is>
      </c>
    </row>
    <row r="32837">
      <c r="A32837" s="1" t="n">
        <v>32836</v>
      </c>
      <c r="B32837">
        <f>TEXT(32836, "[$-0E0000]yyyy-mm-dd")</f>
        <v/>
      </c>
      <c r="C32837" t="inlineStr">
        <is>
          <t>1989-10-28</t>
        </is>
      </c>
    </row>
    <row r="32838">
      <c r="A32838" s="1" t="n">
        <v>32837</v>
      </c>
      <c r="B32838">
        <f>TEXT(32837, "[$-0E0000]yyyy-mm-dd")</f>
        <v/>
      </c>
      <c r="C32838" t="inlineStr">
        <is>
          <t>1989-10-29</t>
        </is>
      </c>
    </row>
    <row r="32839">
      <c r="A32839" s="1" t="n">
        <v>32838</v>
      </c>
      <c r="B32839">
        <f>TEXT(32838, "[$-0E0000]yyyy-mm-dd")</f>
        <v/>
      </c>
      <c r="C32839" t="inlineStr">
        <is>
          <t>1989-10-30</t>
        </is>
      </c>
    </row>
    <row r="32840">
      <c r="A32840" s="1" t="n">
        <v>32839</v>
      </c>
      <c r="B32840">
        <f>TEXT(32839, "[$-0E0000]yyyy-mm-dd")</f>
        <v/>
      </c>
      <c r="C32840" t="inlineStr">
        <is>
          <t>1989-11-01</t>
        </is>
      </c>
    </row>
    <row r="32841">
      <c r="A32841" s="1" t="n">
        <v>32840</v>
      </c>
      <c r="B32841">
        <f>TEXT(32840, "[$-0E0000]yyyy-mm-dd")</f>
        <v/>
      </c>
      <c r="C32841" t="inlineStr">
        <is>
          <t>1989-11-02</t>
        </is>
      </c>
    </row>
    <row r="32842">
      <c r="A32842" s="1" t="n">
        <v>32841</v>
      </c>
      <c r="B32842">
        <f>TEXT(32841, "[$-0E0000]yyyy-mm-dd")</f>
        <v/>
      </c>
      <c r="C32842" t="inlineStr">
        <is>
          <t>1989-11-03</t>
        </is>
      </c>
    </row>
    <row r="32843">
      <c r="A32843" s="1" t="n">
        <v>32842</v>
      </c>
      <c r="B32843">
        <f>TEXT(32842, "[$-0E0000]yyyy-mm-dd")</f>
        <v/>
      </c>
      <c r="C32843" t="inlineStr">
        <is>
          <t>1989-11-04</t>
        </is>
      </c>
    </row>
    <row r="32844">
      <c r="A32844" s="1" t="n">
        <v>32843</v>
      </c>
      <c r="B32844">
        <f>TEXT(32843, "[$-0E0000]yyyy-mm-dd")</f>
        <v/>
      </c>
      <c r="C32844" t="inlineStr">
        <is>
          <t>1989-11-05</t>
        </is>
      </c>
    </row>
    <row r="32845">
      <c r="A32845" s="1" t="n">
        <v>32844</v>
      </c>
      <c r="B32845">
        <f>TEXT(32844, "[$-0E0000]yyyy-mm-dd")</f>
        <v/>
      </c>
      <c r="C32845" t="inlineStr">
        <is>
          <t>1989-11-06</t>
        </is>
      </c>
    </row>
    <row r="32846">
      <c r="A32846" s="1" t="n">
        <v>32845</v>
      </c>
      <c r="B32846">
        <f>TEXT(32845, "[$-0E0000]yyyy-mm-dd")</f>
        <v/>
      </c>
      <c r="C32846" t="inlineStr">
        <is>
          <t>1989-11-07</t>
        </is>
      </c>
    </row>
    <row r="32847">
      <c r="A32847" s="1" t="n">
        <v>32846</v>
      </c>
      <c r="B32847">
        <f>TEXT(32846, "[$-0E0000]yyyy-mm-dd")</f>
        <v/>
      </c>
      <c r="C32847" t="inlineStr">
        <is>
          <t>1989-11-08</t>
        </is>
      </c>
    </row>
    <row r="32848">
      <c r="A32848" s="1" t="n">
        <v>32847</v>
      </c>
      <c r="B32848">
        <f>TEXT(32847, "[$-0E0000]yyyy-mm-dd")</f>
        <v/>
      </c>
      <c r="C32848" t="inlineStr">
        <is>
          <t>1989-11-09</t>
        </is>
      </c>
    </row>
    <row r="32849">
      <c r="A32849" s="1" t="n">
        <v>32848</v>
      </c>
      <c r="B32849">
        <f>TEXT(32848, "[$-0E0000]yyyy-mm-dd")</f>
        <v/>
      </c>
      <c r="C32849" t="inlineStr">
        <is>
          <t>1989-11-10</t>
        </is>
      </c>
    </row>
    <row r="32850">
      <c r="A32850" s="1" t="n">
        <v>32849</v>
      </c>
      <c r="B32850">
        <f>TEXT(32849, "[$-0E0000]yyyy-mm-dd")</f>
        <v/>
      </c>
      <c r="C32850" t="inlineStr">
        <is>
          <t>1989-11-11</t>
        </is>
      </c>
    </row>
    <row r="32851">
      <c r="A32851" s="1" t="n">
        <v>32850</v>
      </c>
      <c r="B32851">
        <f>TEXT(32850, "[$-0E0000]yyyy-mm-dd")</f>
        <v/>
      </c>
      <c r="C32851" t="inlineStr">
        <is>
          <t>1989-11-12</t>
        </is>
      </c>
    </row>
    <row r="32852">
      <c r="A32852" s="1" t="n">
        <v>32851</v>
      </c>
      <c r="B32852">
        <f>TEXT(32851, "[$-0E0000]yyyy-mm-dd")</f>
        <v/>
      </c>
      <c r="C32852" t="inlineStr">
        <is>
          <t>1989-11-13</t>
        </is>
      </c>
    </row>
    <row r="32853">
      <c r="A32853" s="1" t="n">
        <v>32852</v>
      </c>
      <c r="B32853">
        <f>TEXT(32852, "[$-0E0000]yyyy-mm-dd")</f>
        <v/>
      </c>
      <c r="C32853" t="inlineStr">
        <is>
          <t>1989-11-14</t>
        </is>
      </c>
    </row>
    <row r="32854">
      <c r="A32854" s="1" t="n">
        <v>32853</v>
      </c>
      <c r="B32854">
        <f>TEXT(32853, "[$-0E0000]yyyy-mm-dd")</f>
        <v/>
      </c>
      <c r="C32854" t="inlineStr">
        <is>
          <t>1989-11-15</t>
        </is>
      </c>
    </row>
    <row r="32855">
      <c r="A32855" s="1" t="n">
        <v>32854</v>
      </c>
      <c r="B32855">
        <f>TEXT(32854, "[$-0E0000]yyyy-mm-dd")</f>
        <v/>
      </c>
      <c r="C32855" t="inlineStr">
        <is>
          <t>1989-11-16</t>
        </is>
      </c>
    </row>
    <row r="32856">
      <c r="A32856" s="1" t="n">
        <v>32855</v>
      </c>
      <c r="B32856">
        <f>TEXT(32855, "[$-0E0000]yyyy-mm-dd")</f>
        <v/>
      </c>
      <c r="C32856" t="inlineStr">
        <is>
          <t>1989-11-17</t>
        </is>
      </c>
    </row>
    <row r="32857">
      <c r="A32857" s="1" t="n">
        <v>32856</v>
      </c>
      <c r="B32857">
        <f>TEXT(32856, "[$-0E0000]yyyy-mm-dd")</f>
        <v/>
      </c>
      <c r="C32857" t="inlineStr">
        <is>
          <t>1989-11-18</t>
        </is>
      </c>
    </row>
    <row r="32858">
      <c r="A32858" s="1" t="n">
        <v>32857</v>
      </c>
      <c r="B32858">
        <f>TEXT(32857, "[$-0E0000]yyyy-mm-dd")</f>
        <v/>
      </c>
      <c r="C32858" t="inlineStr">
        <is>
          <t>1989-11-19</t>
        </is>
      </c>
    </row>
    <row r="32859">
      <c r="A32859" s="1" t="n">
        <v>32858</v>
      </c>
      <c r="B32859">
        <f>TEXT(32858, "[$-0E0000]yyyy-mm-dd")</f>
        <v/>
      </c>
      <c r="C32859" t="inlineStr">
        <is>
          <t>1989-11-20</t>
        </is>
      </c>
    </row>
    <row r="32860">
      <c r="A32860" s="1" t="n">
        <v>32859</v>
      </c>
      <c r="B32860">
        <f>TEXT(32859, "[$-0E0000]yyyy-mm-dd")</f>
        <v/>
      </c>
      <c r="C32860" t="inlineStr">
        <is>
          <t>1989-11-21</t>
        </is>
      </c>
    </row>
    <row r="32861">
      <c r="A32861" s="1" t="n">
        <v>32860</v>
      </c>
      <c r="B32861">
        <f>TEXT(32860, "[$-0E0000]yyyy-mm-dd")</f>
        <v/>
      </c>
      <c r="C32861" t="inlineStr">
        <is>
          <t>1989-11-22</t>
        </is>
      </c>
    </row>
    <row r="32862">
      <c r="A32862" s="1" t="n">
        <v>32861</v>
      </c>
      <c r="B32862">
        <f>TEXT(32861, "[$-0E0000]yyyy-mm-dd")</f>
        <v/>
      </c>
      <c r="C32862" t="inlineStr">
        <is>
          <t>1989-11-23</t>
        </is>
      </c>
    </row>
    <row r="32863">
      <c r="A32863" s="1" t="n">
        <v>32862</v>
      </c>
      <c r="B32863">
        <f>TEXT(32862, "[$-0E0000]yyyy-mm-dd")</f>
        <v/>
      </c>
      <c r="C32863" t="inlineStr">
        <is>
          <t>1989-11-24</t>
        </is>
      </c>
    </row>
    <row r="32864">
      <c r="A32864" s="1" t="n">
        <v>32863</v>
      </c>
      <c r="B32864">
        <f>TEXT(32863, "[$-0E0000]yyyy-mm-dd")</f>
        <v/>
      </c>
      <c r="C32864" t="inlineStr">
        <is>
          <t>1989-11-25</t>
        </is>
      </c>
    </row>
    <row r="32865">
      <c r="A32865" s="1" t="n">
        <v>32864</v>
      </c>
      <c r="B32865">
        <f>TEXT(32864, "[$-0E0000]yyyy-mm-dd")</f>
        <v/>
      </c>
      <c r="C32865" t="inlineStr">
        <is>
          <t>1989-11-26</t>
        </is>
      </c>
    </row>
    <row r="32866">
      <c r="A32866" s="1" t="n">
        <v>32865</v>
      </c>
      <c r="B32866">
        <f>TEXT(32865, "[$-0E0000]yyyy-mm-dd")</f>
        <v/>
      </c>
      <c r="C32866" t="inlineStr">
        <is>
          <t>1989-11-27</t>
        </is>
      </c>
    </row>
    <row r="32867">
      <c r="A32867" s="1" t="n">
        <v>32866</v>
      </c>
      <c r="B32867">
        <f>TEXT(32866, "[$-0E0000]yyyy-mm-dd")</f>
        <v/>
      </c>
      <c r="C32867" t="inlineStr">
        <is>
          <t>1989-11-28</t>
        </is>
      </c>
    </row>
    <row r="32868">
      <c r="A32868" s="1" t="n">
        <v>32867</v>
      </c>
      <c r="B32868">
        <f>TEXT(32867, "[$-0E0000]yyyy-mm-dd")</f>
        <v/>
      </c>
      <c r="C32868" t="inlineStr">
        <is>
          <t>1989-11-29</t>
        </is>
      </c>
    </row>
    <row r="32869">
      <c r="A32869" s="1" t="n">
        <v>32868</v>
      </c>
      <c r="B32869">
        <f>TEXT(32868, "[$-0E0000]yyyy-mm-dd")</f>
        <v/>
      </c>
      <c r="C32869" t="inlineStr">
        <is>
          <t>1989-11-30</t>
        </is>
      </c>
    </row>
    <row r="32870">
      <c r="A32870" s="1" t="n">
        <v>32869</v>
      </c>
      <c r="B32870">
        <f>TEXT(32869, "[$-0E0000]yyyy-mm-dd")</f>
        <v/>
      </c>
      <c r="C32870" t="inlineStr">
        <is>
          <t>1989-12-01</t>
        </is>
      </c>
    </row>
    <row r="32871">
      <c r="A32871" s="1" t="n">
        <v>32870</v>
      </c>
      <c r="B32871">
        <f>TEXT(32870, "[$-0E0000]yyyy-mm-dd")</f>
        <v/>
      </c>
      <c r="C32871" t="inlineStr">
        <is>
          <t>1989-12-02</t>
        </is>
      </c>
    </row>
    <row r="32872">
      <c r="A32872" s="1" t="n">
        <v>32871</v>
      </c>
      <c r="B32872">
        <f>TEXT(32871, "[$-0E0000]yyyy-mm-dd")</f>
        <v/>
      </c>
      <c r="C32872" t="inlineStr">
        <is>
          <t>1989-12-03</t>
        </is>
      </c>
    </row>
    <row r="32873">
      <c r="A32873" s="1" t="n">
        <v>32872</v>
      </c>
      <c r="B32873">
        <f>TEXT(32872, "[$-0E0000]yyyy-mm-dd")</f>
        <v/>
      </c>
      <c r="C32873" t="inlineStr">
        <is>
          <t>1989-12-04</t>
        </is>
      </c>
    </row>
    <row r="32874">
      <c r="A32874" s="1" t="n">
        <v>32873</v>
      </c>
      <c r="B32874">
        <f>TEXT(32873, "[$-0E0000]yyyy-mm-dd")</f>
        <v/>
      </c>
      <c r="C32874" t="inlineStr">
        <is>
          <t>1989-12-05</t>
        </is>
      </c>
    </row>
    <row r="32875">
      <c r="A32875" s="1" t="n">
        <v>32874</v>
      </c>
      <c r="B32875">
        <f>TEXT(32874, "[$-0E0000]yyyy-mm-dd")</f>
        <v/>
      </c>
      <c r="C32875" t="inlineStr">
        <is>
          <t>1989-12-06</t>
        </is>
      </c>
    </row>
    <row r="32876">
      <c r="A32876" s="1" t="n">
        <v>32875</v>
      </c>
      <c r="B32876">
        <f>TEXT(32875, "[$-0E0000]yyyy-mm-dd")</f>
        <v/>
      </c>
      <c r="C32876" t="inlineStr">
        <is>
          <t>1989-12-07</t>
        </is>
      </c>
    </row>
    <row r="32877">
      <c r="A32877" s="1" t="n">
        <v>32876</v>
      </c>
      <c r="B32877">
        <f>TEXT(32876, "[$-0E0000]yyyy-mm-dd")</f>
        <v/>
      </c>
      <c r="C32877" t="inlineStr">
        <is>
          <t>1989-12-08</t>
        </is>
      </c>
    </row>
    <row r="32878">
      <c r="A32878" s="1" t="n">
        <v>32877</v>
      </c>
      <c r="B32878">
        <f>TEXT(32877, "[$-0E0000]yyyy-mm-dd")</f>
        <v/>
      </c>
      <c r="C32878" t="inlineStr">
        <is>
          <t>1989-12-09</t>
        </is>
      </c>
    </row>
    <row r="32879">
      <c r="A32879" s="1" t="n">
        <v>32878</v>
      </c>
      <c r="B32879">
        <f>TEXT(32878, "[$-0E0000]yyyy-mm-dd")</f>
        <v/>
      </c>
      <c r="C32879" t="inlineStr">
        <is>
          <t>1989-12-10</t>
        </is>
      </c>
    </row>
    <row r="32880">
      <c r="A32880" s="1" t="n">
        <v>32879</v>
      </c>
      <c r="B32880">
        <f>TEXT(32879, "[$-0E0000]yyyy-mm-dd")</f>
        <v/>
      </c>
      <c r="C32880" t="inlineStr">
        <is>
          <t>1989-12-11</t>
        </is>
      </c>
    </row>
    <row r="32881">
      <c r="A32881" s="1" t="n">
        <v>32880</v>
      </c>
      <c r="B32881">
        <f>TEXT(32880, "[$-0E0000]yyyy-mm-dd")</f>
        <v/>
      </c>
      <c r="C32881" t="inlineStr">
        <is>
          <t>1989-12-12</t>
        </is>
      </c>
    </row>
    <row r="32882">
      <c r="A32882" s="1" t="n">
        <v>32881</v>
      </c>
      <c r="B32882">
        <f>TEXT(32881, "[$-0E0000]yyyy-mm-dd")</f>
        <v/>
      </c>
      <c r="C32882" t="inlineStr">
        <is>
          <t>1989-12-13</t>
        </is>
      </c>
    </row>
    <row r="32883">
      <c r="A32883" s="1" t="n">
        <v>32882</v>
      </c>
      <c r="B32883">
        <f>TEXT(32882, "[$-0E0000]yyyy-mm-dd")</f>
        <v/>
      </c>
      <c r="C32883" t="inlineStr">
        <is>
          <t>1989-12-14</t>
        </is>
      </c>
    </row>
    <row r="32884">
      <c r="A32884" s="1" t="n">
        <v>32883</v>
      </c>
      <c r="B32884">
        <f>TEXT(32883, "[$-0E0000]yyyy-mm-dd")</f>
        <v/>
      </c>
      <c r="C32884" t="inlineStr">
        <is>
          <t>1989-12-15</t>
        </is>
      </c>
    </row>
    <row r="32885">
      <c r="A32885" s="1" t="n">
        <v>32884</v>
      </c>
      <c r="B32885">
        <f>TEXT(32884, "[$-0E0000]yyyy-mm-dd")</f>
        <v/>
      </c>
      <c r="C32885" t="inlineStr">
        <is>
          <t>1989-12-16</t>
        </is>
      </c>
    </row>
    <row r="32886">
      <c r="A32886" s="1" t="n">
        <v>32885</v>
      </c>
      <c r="B32886">
        <f>TEXT(32885, "[$-0E0000]yyyy-mm-dd")</f>
        <v/>
      </c>
      <c r="C32886" t="inlineStr">
        <is>
          <t>1989-12-17</t>
        </is>
      </c>
    </row>
    <row r="32887">
      <c r="A32887" s="1" t="n">
        <v>32886</v>
      </c>
      <c r="B32887">
        <f>TEXT(32886, "[$-0E0000]yyyy-mm-dd")</f>
        <v/>
      </c>
      <c r="C32887" t="inlineStr">
        <is>
          <t>1989-12-18</t>
        </is>
      </c>
    </row>
    <row r="32888">
      <c r="A32888" s="1" t="n">
        <v>32887</v>
      </c>
      <c r="B32888">
        <f>TEXT(32887, "[$-0E0000]yyyy-mm-dd")</f>
        <v/>
      </c>
      <c r="C32888" t="inlineStr">
        <is>
          <t>1989-12-19</t>
        </is>
      </c>
    </row>
    <row r="32889">
      <c r="A32889" s="1" t="n">
        <v>32888</v>
      </c>
      <c r="B32889">
        <f>TEXT(32888, "[$-0E0000]yyyy-mm-dd")</f>
        <v/>
      </c>
      <c r="C32889" t="inlineStr">
        <is>
          <t>1989-12-20</t>
        </is>
      </c>
    </row>
    <row r="32890">
      <c r="A32890" s="1" t="n">
        <v>32889</v>
      </c>
      <c r="B32890">
        <f>TEXT(32889, "[$-0E0000]yyyy-mm-dd")</f>
        <v/>
      </c>
      <c r="C32890" t="inlineStr">
        <is>
          <t>1989-12-21</t>
        </is>
      </c>
    </row>
    <row r="32891">
      <c r="A32891" s="1" t="n">
        <v>32890</v>
      </c>
      <c r="B32891">
        <f>TEXT(32890, "[$-0E0000]yyyy-mm-dd")</f>
        <v/>
      </c>
      <c r="C32891" t="inlineStr">
        <is>
          <t>1989-12-22</t>
        </is>
      </c>
    </row>
    <row r="32892">
      <c r="A32892" s="1" t="n">
        <v>32891</v>
      </c>
      <c r="B32892">
        <f>TEXT(32891, "[$-0E0000]yyyy-mm-dd")</f>
        <v/>
      </c>
      <c r="C32892" t="inlineStr">
        <is>
          <t>1989-12-23</t>
        </is>
      </c>
    </row>
    <row r="32893">
      <c r="A32893" s="1" t="n">
        <v>32892</v>
      </c>
      <c r="B32893">
        <f>TEXT(32892, "[$-0E0000]yyyy-mm-dd")</f>
        <v/>
      </c>
      <c r="C32893" t="inlineStr">
        <is>
          <t>1989-12-24</t>
        </is>
      </c>
    </row>
    <row r="32894">
      <c r="A32894" s="1" t="n">
        <v>32893</v>
      </c>
      <c r="B32894">
        <f>TEXT(32893, "[$-0E0000]yyyy-mm-dd")</f>
        <v/>
      </c>
      <c r="C32894" t="inlineStr">
        <is>
          <t>1989-12-25</t>
        </is>
      </c>
    </row>
    <row r="32895">
      <c r="A32895" s="1" t="n">
        <v>32894</v>
      </c>
      <c r="B32895">
        <f>TEXT(32894, "[$-0E0000]yyyy-mm-dd")</f>
        <v/>
      </c>
      <c r="C32895" t="inlineStr">
        <is>
          <t>1989-12-26</t>
        </is>
      </c>
    </row>
    <row r="32896">
      <c r="A32896" s="1" t="n">
        <v>32895</v>
      </c>
      <c r="B32896">
        <f>TEXT(32895, "[$-0E0000]yyyy-mm-dd")</f>
        <v/>
      </c>
      <c r="C32896" t="inlineStr">
        <is>
          <t>1989-12-27</t>
        </is>
      </c>
    </row>
    <row r="32897">
      <c r="A32897" s="1" t="n">
        <v>32896</v>
      </c>
      <c r="B32897">
        <f>TEXT(32896, "[$-0E0000]yyyy-mm-dd")</f>
        <v/>
      </c>
      <c r="C32897" t="inlineStr">
        <is>
          <t>1989-12-28</t>
        </is>
      </c>
    </row>
    <row r="32898">
      <c r="A32898" s="1" t="n">
        <v>32897</v>
      </c>
      <c r="B32898">
        <f>TEXT(32897, "[$-0E0000]yyyy-mm-dd")</f>
        <v/>
      </c>
      <c r="C32898" t="inlineStr">
        <is>
          <t>1989-12-29</t>
        </is>
      </c>
    </row>
    <row r="32899">
      <c r="A32899" s="1" t="n">
        <v>32898</v>
      </c>
      <c r="B32899">
        <f>TEXT(32898, "[$-0E0000]yyyy-mm-dd")</f>
        <v/>
      </c>
      <c r="C32899" t="inlineStr">
        <is>
          <t>1989-12-30</t>
        </is>
      </c>
    </row>
    <row r="32900">
      <c r="A32900" s="1" t="n">
        <v>32899</v>
      </c>
      <c r="B32900">
        <f>TEXT(32899, "[$-0E0000]yyyy-mm-dd")</f>
        <v/>
      </c>
      <c r="C32900" t="inlineStr">
        <is>
          <t>1990-01-01</t>
        </is>
      </c>
    </row>
    <row r="32901">
      <c r="A32901" s="1" t="n">
        <v>32900</v>
      </c>
      <c r="B32901">
        <f>TEXT(32900, "[$-0E0000]yyyy-mm-dd")</f>
        <v/>
      </c>
      <c r="C32901" t="inlineStr">
        <is>
          <t>1990-01-02</t>
        </is>
      </c>
    </row>
    <row r="32902">
      <c r="A32902" s="1" t="n">
        <v>32901</v>
      </c>
      <c r="B32902">
        <f>TEXT(32901, "[$-0E0000]yyyy-mm-dd")</f>
        <v/>
      </c>
      <c r="C32902" t="inlineStr">
        <is>
          <t>1990-01-03</t>
        </is>
      </c>
    </row>
    <row r="32903">
      <c r="A32903" s="1" t="n">
        <v>32902</v>
      </c>
      <c r="B32903">
        <f>TEXT(32902, "[$-0E0000]yyyy-mm-dd")</f>
        <v/>
      </c>
      <c r="C32903" t="inlineStr">
        <is>
          <t>1990-01-04</t>
        </is>
      </c>
    </row>
    <row r="32904">
      <c r="A32904" s="1" t="n">
        <v>32903</v>
      </c>
      <c r="B32904">
        <f>TEXT(32903, "[$-0E0000]yyyy-mm-dd")</f>
        <v/>
      </c>
      <c r="C32904" t="inlineStr">
        <is>
          <t>1990-01-05</t>
        </is>
      </c>
    </row>
    <row r="32905">
      <c r="A32905" s="1" t="n">
        <v>32904</v>
      </c>
      <c r="B32905">
        <f>TEXT(32904, "[$-0E0000]yyyy-mm-dd")</f>
        <v/>
      </c>
      <c r="C32905" t="inlineStr">
        <is>
          <t>1990-01-06</t>
        </is>
      </c>
    </row>
    <row r="32906">
      <c r="A32906" s="1" t="n">
        <v>32905</v>
      </c>
      <c r="B32906">
        <f>TEXT(32905, "[$-0E0000]yyyy-mm-dd")</f>
        <v/>
      </c>
      <c r="C32906" t="inlineStr">
        <is>
          <t>1990-01-07</t>
        </is>
      </c>
    </row>
    <row r="32907">
      <c r="A32907" s="1" t="n">
        <v>32906</v>
      </c>
      <c r="B32907">
        <f>TEXT(32906, "[$-0E0000]yyyy-mm-dd")</f>
        <v/>
      </c>
      <c r="C32907" t="inlineStr">
        <is>
          <t>1990-01-08</t>
        </is>
      </c>
    </row>
    <row r="32908">
      <c r="A32908" s="1" t="n">
        <v>32907</v>
      </c>
      <c r="B32908">
        <f>TEXT(32907, "[$-0E0000]yyyy-mm-dd")</f>
        <v/>
      </c>
      <c r="C32908" t="inlineStr">
        <is>
          <t>1990-01-09</t>
        </is>
      </c>
    </row>
    <row r="32909">
      <c r="A32909" s="1" t="n">
        <v>32908</v>
      </c>
      <c r="B32909">
        <f>TEXT(32908, "[$-0E0000]yyyy-mm-dd")</f>
        <v/>
      </c>
      <c r="C32909" t="inlineStr">
        <is>
          <t>1990-01-10</t>
        </is>
      </c>
    </row>
    <row r="32910">
      <c r="A32910" s="1" t="n">
        <v>32909</v>
      </c>
      <c r="B32910">
        <f>TEXT(32909, "[$-0E0000]yyyy-mm-dd")</f>
        <v/>
      </c>
      <c r="C32910" t="inlineStr">
        <is>
          <t>1990-01-11</t>
        </is>
      </c>
    </row>
    <row r="32911">
      <c r="A32911" s="1" t="n">
        <v>32910</v>
      </c>
      <c r="B32911">
        <f>TEXT(32910, "[$-0E0000]yyyy-mm-dd")</f>
        <v/>
      </c>
      <c r="C32911" t="inlineStr">
        <is>
          <t>1990-01-12</t>
        </is>
      </c>
    </row>
    <row r="32912">
      <c r="A32912" s="1" t="n">
        <v>32911</v>
      </c>
      <c r="B32912">
        <f>TEXT(32911, "[$-0E0000]yyyy-mm-dd")</f>
        <v/>
      </c>
      <c r="C32912" t="inlineStr">
        <is>
          <t>1990-01-13</t>
        </is>
      </c>
    </row>
    <row r="32913">
      <c r="A32913" s="1" t="n">
        <v>32912</v>
      </c>
      <c r="B32913">
        <f>TEXT(32912, "[$-0E0000]yyyy-mm-dd")</f>
        <v/>
      </c>
      <c r="C32913" t="inlineStr">
        <is>
          <t>1990-01-14</t>
        </is>
      </c>
    </row>
    <row r="32914">
      <c r="A32914" s="1" t="n">
        <v>32913</v>
      </c>
      <c r="B32914">
        <f>TEXT(32913, "[$-0E0000]yyyy-mm-dd")</f>
        <v/>
      </c>
      <c r="C32914" t="inlineStr">
        <is>
          <t>1990-01-15</t>
        </is>
      </c>
    </row>
    <row r="32915">
      <c r="A32915" s="1" t="n">
        <v>32914</v>
      </c>
      <c r="B32915">
        <f>TEXT(32914, "[$-0E0000]yyyy-mm-dd")</f>
        <v/>
      </c>
      <c r="C32915" t="inlineStr">
        <is>
          <t>1990-01-16</t>
        </is>
      </c>
    </row>
    <row r="32916">
      <c r="A32916" s="1" t="n">
        <v>32915</v>
      </c>
      <c r="B32916">
        <f>TEXT(32915, "[$-0E0000]yyyy-mm-dd")</f>
        <v/>
      </c>
      <c r="C32916" t="inlineStr">
        <is>
          <t>1990-01-17</t>
        </is>
      </c>
    </row>
    <row r="32917">
      <c r="A32917" s="1" t="n">
        <v>32916</v>
      </c>
      <c r="B32917">
        <f>TEXT(32916, "[$-0E0000]yyyy-mm-dd")</f>
        <v/>
      </c>
      <c r="C32917" t="inlineStr">
        <is>
          <t>1990-01-18</t>
        </is>
      </c>
    </row>
    <row r="32918">
      <c r="A32918" s="1" t="n">
        <v>32917</v>
      </c>
      <c r="B32918">
        <f>TEXT(32917, "[$-0E0000]yyyy-mm-dd")</f>
        <v/>
      </c>
      <c r="C32918" t="inlineStr">
        <is>
          <t>1990-01-19</t>
        </is>
      </c>
    </row>
    <row r="32919">
      <c r="A32919" s="1" t="n">
        <v>32918</v>
      </c>
      <c r="B32919">
        <f>TEXT(32918, "[$-0E0000]yyyy-mm-dd")</f>
        <v/>
      </c>
      <c r="C32919" t="inlineStr">
        <is>
          <t>1990-01-20</t>
        </is>
      </c>
    </row>
    <row r="32920">
      <c r="A32920" s="1" t="n">
        <v>32919</v>
      </c>
      <c r="B32920">
        <f>TEXT(32919, "[$-0E0000]yyyy-mm-dd")</f>
        <v/>
      </c>
      <c r="C32920" t="inlineStr">
        <is>
          <t>1990-01-21</t>
        </is>
      </c>
    </row>
    <row r="32921">
      <c r="A32921" s="1" t="n">
        <v>32920</v>
      </c>
      <c r="B32921">
        <f>TEXT(32920, "[$-0E0000]yyyy-mm-dd")</f>
        <v/>
      </c>
      <c r="C32921" t="inlineStr">
        <is>
          <t>1990-01-22</t>
        </is>
      </c>
    </row>
    <row r="32922">
      <c r="A32922" s="1" t="n">
        <v>32921</v>
      </c>
      <c r="B32922">
        <f>TEXT(32921, "[$-0E0000]yyyy-mm-dd")</f>
        <v/>
      </c>
      <c r="C32922" t="inlineStr">
        <is>
          <t>1990-01-23</t>
        </is>
      </c>
    </row>
    <row r="32923">
      <c r="A32923" s="1" t="n">
        <v>32922</v>
      </c>
      <c r="B32923">
        <f>TEXT(32922, "[$-0E0000]yyyy-mm-dd")</f>
        <v/>
      </c>
      <c r="C32923" t="inlineStr">
        <is>
          <t>1990-01-24</t>
        </is>
      </c>
    </row>
    <row r="32924">
      <c r="A32924" s="1" t="n">
        <v>32923</v>
      </c>
      <c r="B32924">
        <f>TEXT(32923, "[$-0E0000]yyyy-mm-dd")</f>
        <v/>
      </c>
      <c r="C32924" t="inlineStr">
        <is>
          <t>1990-01-25</t>
        </is>
      </c>
    </row>
    <row r="32925">
      <c r="A32925" s="1" t="n">
        <v>32924</v>
      </c>
      <c r="B32925">
        <f>TEXT(32924, "[$-0E0000]yyyy-mm-dd")</f>
        <v/>
      </c>
      <c r="C32925" t="inlineStr">
        <is>
          <t>1990-01-26</t>
        </is>
      </c>
    </row>
    <row r="32926">
      <c r="A32926" s="1" t="n">
        <v>32925</v>
      </c>
      <c r="B32926">
        <f>TEXT(32925, "[$-0E0000]yyyy-mm-dd")</f>
        <v/>
      </c>
      <c r="C32926" t="inlineStr">
        <is>
          <t>1990-01-27</t>
        </is>
      </c>
    </row>
    <row r="32927">
      <c r="A32927" s="1" t="n">
        <v>32926</v>
      </c>
      <c r="B32927">
        <f>TEXT(32926, "[$-0E0000]yyyy-mm-dd")</f>
        <v/>
      </c>
      <c r="C32927" t="inlineStr">
        <is>
          <t>1990-01-28</t>
        </is>
      </c>
    </row>
    <row r="32928">
      <c r="A32928" s="1" t="n">
        <v>32927</v>
      </c>
      <c r="B32928">
        <f>TEXT(32927, "[$-0E0000]yyyy-mm-dd")</f>
        <v/>
      </c>
      <c r="C32928" t="inlineStr">
        <is>
          <t>1990-01-29</t>
        </is>
      </c>
    </row>
    <row r="32929">
      <c r="A32929" s="1" t="n">
        <v>32928</v>
      </c>
      <c r="B32929">
        <f>TEXT(32928, "[$-0E0000]yyyy-mm-dd")</f>
        <v/>
      </c>
      <c r="C32929" t="inlineStr">
        <is>
          <t>1990-02-01</t>
        </is>
      </c>
    </row>
    <row r="32930">
      <c r="A32930" s="1" t="n">
        <v>32929</v>
      </c>
      <c r="B32930">
        <f>TEXT(32929, "[$-0E0000]yyyy-mm-dd")</f>
        <v/>
      </c>
      <c r="C32930" t="inlineStr">
        <is>
          <t>1990-02-02</t>
        </is>
      </c>
    </row>
    <row r="32931">
      <c r="A32931" s="1" t="n">
        <v>32930</v>
      </c>
      <c r="B32931">
        <f>TEXT(32930, "[$-0E0000]yyyy-mm-dd")</f>
        <v/>
      </c>
      <c r="C32931" t="inlineStr">
        <is>
          <t>1990-02-03</t>
        </is>
      </c>
    </row>
    <row r="32932">
      <c r="A32932" s="1" t="n">
        <v>32931</v>
      </c>
      <c r="B32932">
        <f>TEXT(32931, "[$-0E0000]yyyy-mm-dd")</f>
        <v/>
      </c>
      <c r="C32932" t="inlineStr">
        <is>
          <t>1990-02-04</t>
        </is>
      </c>
    </row>
    <row r="32933">
      <c r="A32933" s="1" t="n">
        <v>32932</v>
      </c>
      <c r="B32933">
        <f>TEXT(32932, "[$-0E0000]yyyy-mm-dd")</f>
        <v/>
      </c>
      <c r="C32933" t="inlineStr">
        <is>
          <t>1990-02-05</t>
        </is>
      </c>
    </row>
    <row r="32934">
      <c r="A32934" s="1" t="n">
        <v>32933</v>
      </c>
      <c r="B32934">
        <f>TEXT(32933, "[$-0E0000]yyyy-mm-dd")</f>
        <v/>
      </c>
      <c r="C32934" t="inlineStr">
        <is>
          <t>1990-02-06</t>
        </is>
      </c>
    </row>
    <row r="32935">
      <c r="A32935" s="1" t="n">
        <v>32934</v>
      </c>
      <c r="B32935">
        <f>TEXT(32934, "[$-0E0000]yyyy-mm-dd")</f>
        <v/>
      </c>
      <c r="C32935" t="inlineStr">
        <is>
          <t>1990-02-07</t>
        </is>
      </c>
    </row>
    <row r="32936">
      <c r="A32936" s="1" t="n">
        <v>32935</v>
      </c>
      <c r="B32936">
        <f>TEXT(32935, "[$-0E0000]yyyy-mm-dd")</f>
        <v/>
      </c>
      <c r="C32936" t="inlineStr">
        <is>
          <t>1990-02-08</t>
        </is>
      </c>
    </row>
    <row r="32937">
      <c r="A32937" s="1" t="n">
        <v>32936</v>
      </c>
      <c r="B32937">
        <f>TEXT(32936, "[$-0E0000]yyyy-mm-dd")</f>
        <v/>
      </c>
      <c r="C32937" t="inlineStr">
        <is>
          <t>1990-02-09</t>
        </is>
      </c>
    </row>
    <row r="32938">
      <c r="A32938" s="1" t="n">
        <v>32937</v>
      </c>
      <c r="B32938">
        <f>TEXT(32937, "[$-0E0000]yyyy-mm-dd")</f>
        <v/>
      </c>
      <c r="C32938" t="inlineStr">
        <is>
          <t>1990-02-10</t>
        </is>
      </c>
    </row>
    <row r="32939">
      <c r="A32939" s="1" t="n">
        <v>32938</v>
      </c>
      <c r="B32939">
        <f>TEXT(32938, "[$-0E0000]yyyy-mm-dd")</f>
        <v/>
      </c>
      <c r="C32939" t="inlineStr">
        <is>
          <t>1990-02-11</t>
        </is>
      </c>
    </row>
    <row r="32940">
      <c r="A32940" s="1" t="n">
        <v>32939</v>
      </c>
      <c r="B32940">
        <f>TEXT(32939, "[$-0E0000]yyyy-mm-dd")</f>
        <v/>
      </c>
      <c r="C32940" t="inlineStr">
        <is>
          <t>1990-02-12</t>
        </is>
      </c>
    </row>
    <row r="32941">
      <c r="A32941" s="1" t="n">
        <v>32940</v>
      </c>
      <c r="B32941">
        <f>TEXT(32940, "[$-0E0000]yyyy-mm-dd")</f>
        <v/>
      </c>
      <c r="C32941" t="inlineStr">
        <is>
          <t>1990-02-13</t>
        </is>
      </c>
    </row>
    <row r="32942">
      <c r="A32942" s="1" t="n">
        <v>32941</v>
      </c>
      <c r="B32942">
        <f>TEXT(32941, "[$-0E0000]yyyy-mm-dd")</f>
        <v/>
      </c>
      <c r="C32942" t="inlineStr">
        <is>
          <t>1990-02-14</t>
        </is>
      </c>
    </row>
    <row r="32943">
      <c r="A32943" s="1" t="n">
        <v>32942</v>
      </c>
      <c r="B32943">
        <f>TEXT(32942, "[$-0E0000]yyyy-mm-dd")</f>
        <v/>
      </c>
      <c r="C32943" t="inlineStr">
        <is>
          <t>1990-02-15</t>
        </is>
      </c>
    </row>
    <row r="32944">
      <c r="A32944" s="1" t="n">
        <v>32943</v>
      </c>
      <c r="B32944">
        <f>TEXT(32943, "[$-0E0000]yyyy-mm-dd")</f>
        <v/>
      </c>
      <c r="C32944" t="inlineStr">
        <is>
          <t>1990-02-16</t>
        </is>
      </c>
    </row>
    <row r="32945">
      <c r="A32945" s="1" t="n">
        <v>32944</v>
      </c>
      <c r="B32945">
        <f>TEXT(32944, "[$-0E0000]yyyy-mm-dd")</f>
        <v/>
      </c>
      <c r="C32945" t="inlineStr">
        <is>
          <t>1990-02-17</t>
        </is>
      </c>
    </row>
    <row r="32946">
      <c r="A32946" s="1" t="n">
        <v>32945</v>
      </c>
      <c r="B32946">
        <f>TEXT(32945, "[$-0E0000]yyyy-mm-dd")</f>
        <v/>
      </c>
      <c r="C32946" t="inlineStr">
        <is>
          <t>1990-02-18</t>
        </is>
      </c>
    </row>
    <row r="32947">
      <c r="A32947" s="1" t="n">
        <v>32946</v>
      </c>
      <c r="B32947">
        <f>TEXT(32946, "[$-0E0000]yyyy-mm-dd")</f>
        <v/>
      </c>
      <c r="C32947" t="inlineStr">
        <is>
          <t>1990-02-19</t>
        </is>
      </c>
    </row>
    <row r="32948">
      <c r="A32948" s="1" t="n">
        <v>32947</v>
      </c>
      <c r="B32948">
        <f>TEXT(32947, "[$-0E0000]yyyy-mm-dd")</f>
        <v/>
      </c>
      <c r="C32948" t="inlineStr">
        <is>
          <t>1990-02-20</t>
        </is>
      </c>
    </row>
    <row r="32949">
      <c r="A32949" s="1" t="n">
        <v>32948</v>
      </c>
      <c r="B32949">
        <f>TEXT(32948, "[$-0E0000]yyyy-mm-dd")</f>
        <v/>
      </c>
      <c r="C32949" t="inlineStr">
        <is>
          <t>1990-02-21</t>
        </is>
      </c>
    </row>
    <row r="32950">
      <c r="A32950" s="1" t="n">
        <v>32949</v>
      </c>
      <c r="B32950">
        <f>TEXT(32949, "[$-0E0000]yyyy-mm-dd")</f>
        <v/>
      </c>
      <c r="C32950" t="inlineStr">
        <is>
          <t>1990-02-22</t>
        </is>
      </c>
    </row>
    <row r="32951">
      <c r="A32951" s="1" t="n">
        <v>32950</v>
      </c>
      <c r="B32951">
        <f>TEXT(32950, "[$-0E0000]yyyy-mm-dd")</f>
        <v/>
      </c>
      <c r="C32951" t="inlineStr">
        <is>
          <t>1990-02-23</t>
        </is>
      </c>
    </row>
    <row r="32952">
      <c r="A32952" s="1" t="n">
        <v>32951</v>
      </c>
      <c r="B32952">
        <f>TEXT(32951, "[$-0E0000]yyyy-mm-dd")</f>
        <v/>
      </c>
      <c r="C32952" t="inlineStr">
        <is>
          <t>1990-02-24</t>
        </is>
      </c>
    </row>
    <row r="32953">
      <c r="A32953" s="1" t="n">
        <v>32952</v>
      </c>
      <c r="B32953">
        <f>TEXT(32952, "[$-0E0000]yyyy-mm-dd")</f>
        <v/>
      </c>
      <c r="C32953" t="inlineStr">
        <is>
          <t>1990-02-25</t>
        </is>
      </c>
    </row>
    <row r="32954">
      <c r="A32954" s="1" t="n">
        <v>32953</v>
      </c>
      <c r="B32954">
        <f>TEXT(32953, "[$-0E0000]yyyy-mm-dd")</f>
        <v/>
      </c>
      <c r="C32954" t="inlineStr">
        <is>
          <t>1990-02-26</t>
        </is>
      </c>
    </row>
    <row r="32955">
      <c r="A32955" s="1" t="n">
        <v>32954</v>
      </c>
      <c r="B32955">
        <f>TEXT(32954, "[$-0E0000]yyyy-mm-dd")</f>
        <v/>
      </c>
      <c r="C32955" t="inlineStr">
        <is>
          <t>1990-02-27</t>
        </is>
      </c>
    </row>
    <row r="32956">
      <c r="A32956" s="1" t="n">
        <v>32955</v>
      </c>
      <c r="B32956">
        <f>TEXT(32955, "[$-0E0000]yyyy-mm-dd")</f>
        <v/>
      </c>
      <c r="C32956" t="inlineStr">
        <is>
          <t>1990-02-28</t>
        </is>
      </c>
    </row>
    <row r="32957">
      <c r="A32957" s="1" t="n">
        <v>32956</v>
      </c>
      <c r="B32957">
        <f>TEXT(32956, "[$-0E0000]yyyy-mm-dd")</f>
        <v/>
      </c>
      <c r="C32957" t="inlineStr">
        <is>
          <t>1990-02-29</t>
        </is>
      </c>
    </row>
    <row r="32958">
      <c r="A32958" s="1" t="n">
        <v>32957</v>
      </c>
      <c r="B32958">
        <f>TEXT(32957, "[$-0E0000]yyyy-mm-dd")</f>
        <v/>
      </c>
      <c r="C32958" t="inlineStr">
        <is>
          <t>1990-02-30</t>
        </is>
      </c>
    </row>
    <row r="32959">
      <c r="A32959" s="1" t="n">
        <v>32958</v>
      </c>
      <c r="B32959">
        <f>TEXT(32958, "[$-0E0000]yyyy-mm-dd")</f>
        <v/>
      </c>
      <c r="C32959" t="inlineStr">
        <is>
          <t>1990-03-01</t>
        </is>
      </c>
    </row>
    <row r="32960">
      <c r="A32960" s="1" t="n">
        <v>32959</v>
      </c>
      <c r="B32960">
        <f>TEXT(32959, "[$-0E0000]yyyy-mm-dd")</f>
        <v/>
      </c>
      <c r="C32960" t="inlineStr">
        <is>
          <t>1990-03-02</t>
        </is>
      </c>
    </row>
    <row r="32961">
      <c r="A32961" s="1" t="n">
        <v>32960</v>
      </c>
      <c r="B32961">
        <f>TEXT(32960, "[$-0E0000]yyyy-mm-dd")</f>
        <v/>
      </c>
      <c r="C32961" t="inlineStr">
        <is>
          <t>1990-03-03</t>
        </is>
      </c>
    </row>
    <row r="32962">
      <c r="A32962" s="1" t="n">
        <v>32961</v>
      </c>
      <c r="B32962">
        <f>TEXT(32961, "[$-0E0000]yyyy-mm-dd")</f>
        <v/>
      </c>
      <c r="C32962" t="inlineStr">
        <is>
          <t>1990-03-04</t>
        </is>
      </c>
    </row>
    <row r="32963">
      <c r="A32963" s="1" t="n">
        <v>32962</v>
      </c>
      <c r="B32963">
        <f>TEXT(32962, "[$-0E0000]yyyy-mm-dd")</f>
        <v/>
      </c>
      <c r="C32963" t="inlineStr">
        <is>
          <t>1990-03-05</t>
        </is>
      </c>
    </row>
    <row r="32964">
      <c r="A32964" s="1" t="n">
        <v>32963</v>
      </c>
      <c r="B32964">
        <f>TEXT(32963, "[$-0E0000]yyyy-mm-dd")</f>
        <v/>
      </c>
      <c r="C32964" t="inlineStr">
        <is>
          <t>1990-03-06</t>
        </is>
      </c>
    </row>
    <row r="32965">
      <c r="A32965" s="1" t="n">
        <v>32964</v>
      </c>
      <c r="B32965">
        <f>TEXT(32964, "[$-0E0000]yyyy-mm-dd")</f>
        <v/>
      </c>
      <c r="C32965" t="inlineStr">
        <is>
          <t>1990-03-07</t>
        </is>
      </c>
    </row>
    <row r="32966">
      <c r="A32966" s="1" t="n">
        <v>32965</v>
      </c>
      <c r="B32966">
        <f>TEXT(32965, "[$-0E0000]yyyy-mm-dd")</f>
        <v/>
      </c>
      <c r="C32966" t="inlineStr">
        <is>
          <t>1990-03-08</t>
        </is>
      </c>
    </row>
    <row r="32967">
      <c r="A32967" s="1" t="n">
        <v>32966</v>
      </c>
      <c r="B32967">
        <f>TEXT(32966, "[$-0E0000]yyyy-mm-dd")</f>
        <v/>
      </c>
      <c r="C32967" t="inlineStr">
        <is>
          <t>1990-03-09</t>
        </is>
      </c>
    </row>
    <row r="32968">
      <c r="A32968" s="1" t="n">
        <v>32967</v>
      </c>
      <c r="B32968">
        <f>TEXT(32967, "[$-0E0000]yyyy-mm-dd")</f>
        <v/>
      </c>
      <c r="C32968" t="inlineStr">
        <is>
          <t>1990-03-10</t>
        </is>
      </c>
    </row>
    <row r="32969">
      <c r="A32969" s="1" t="n">
        <v>32968</v>
      </c>
      <c r="B32969">
        <f>TEXT(32968, "[$-0E0000]yyyy-mm-dd")</f>
        <v/>
      </c>
      <c r="C32969" t="inlineStr">
        <is>
          <t>1990-03-11</t>
        </is>
      </c>
    </row>
    <row r="32970">
      <c r="A32970" s="1" t="n">
        <v>32969</v>
      </c>
      <c r="B32970">
        <f>TEXT(32969, "[$-0E0000]yyyy-mm-dd")</f>
        <v/>
      </c>
      <c r="C32970" t="inlineStr">
        <is>
          <t>1990-03-12</t>
        </is>
      </c>
    </row>
    <row r="32971">
      <c r="A32971" s="1" t="n">
        <v>32970</v>
      </c>
      <c r="B32971">
        <f>TEXT(32970, "[$-0E0000]yyyy-mm-dd")</f>
        <v/>
      </c>
      <c r="C32971" t="inlineStr">
        <is>
          <t>1990-03-13</t>
        </is>
      </c>
    </row>
    <row r="32972">
      <c r="A32972" s="1" t="n">
        <v>32971</v>
      </c>
      <c r="B32972">
        <f>TEXT(32971, "[$-0E0000]yyyy-mm-dd")</f>
        <v/>
      </c>
      <c r="C32972" t="inlineStr">
        <is>
          <t>1990-03-14</t>
        </is>
      </c>
    </row>
    <row r="32973">
      <c r="A32973" s="1" t="n">
        <v>32972</v>
      </c>
      <c r="B32973">
        <f>TEXT(32972, "[$-0E0000]yyyy-mm-dd")</f>
        <v/>
      </c>
      <c r="C32973" t="inlineStr">
        <is>
          <t>1990-03-15</t>
        </is>
      </c>
    </row>
    <row r="32974">
      <c r="A32974" s="1" t="n">
        <v>32973</v>
      </c>
      <c r="B32974">
        <f>TEXT(32973, "[$-0E0000]yyyy-mm-dd")</f>
        <v/>
      </c>
      <c r="C32974" t="inlineStr">
        <is>
          <t>1990-03-16</t>
        </is>
      </c>
    </row>
    <row r="32975">
      <c r="A32975" s="1" t="n">
        <v>32974</v>
      </c>
      <c r="B32975">
        <f>TEXT(32974, "[$-0E0000]yyyy-mm-dd")</f>
        <v/>
      </c>
      <c r="C32975" t="inlineStr">
        <is>
          <t>1990-03-17</t>
        </is>
      </c>
    </row>
    <row r="32976">
      <c r="A32976" s="1" t="n">
        <v>32975</v>
      </c>
      <c r="B32976">
        <f>TEXT(32975, "[$-0E0000]yyyy-mm-dd")</f>
        <v/>
      </c>
      <c r="C32976" t="inlineStr">
        <is>
          <t>1990-03-18</t>
        </is>
      </c>
    </row>
    <row r="32977">
      <c r="A32977" s="1" t="n">
        <v>32976</v>
      </c>
      <c r="B32977">
        <f>TEXT(32976, "[$-0E0000]yyyy-mm-dd")</f>
        <v/>
      </c>
      <c r="C32977" t="inlineStr">
        <is>
          <t>1990-03-19</t>
        </is>
      </c>
    </row>
    <row r="32978">
      <c r="A32978" s="1" t="n">
        <v>32977</v>
      </c>
      <c r="B32978">
        <f>TEXT(32977, "[$-0E0000]yyyy-mm-dd")</f>
        <v/>
      </c>
      <c r="C32978" t="inlineStr">
        <is>
          <t>1990-03-20</t>
        </is>
      </c>
    </row>
    <row r="32979">
      <c r="A32979" s="1" t="n">
        <v>32978</v>
      </c>
      <c r="B32979">
        <f>TEXT(32978, "[$-0E0000]yyyy-mm-dd")</f>
        <v/>
      </c>
      <c r="C32979" t="inlineStr">
        <is>
          <t>1990-03-21</t>
        </is>
      </c>
    </row>
    <row r="32980">
      <c r="A32980" s="1" t="n">
        <v>32979</v>
      </c>
      <c r="B32980">
        <f>TEXT(32979, "[$-0E0000]yyyy-mm-dd")</f>
        <v/>
      </c>
      <c r="C32980" t="inlineStr">
        <is>
          <t>1990-03-22</t>
        </is>
      </c>
    </row>
    <row r="32981">
      <c r="A32981" s="1" t="n">
        <v>32980</v>
      </c>
      <c r="B32981">
        <f>TEXT(32980, "[$-0E0000]yyyy-mm-dd")</f>
        <v/>
      </c>
      <c r="C32981" t="inlineStr">
        <is>
          <t>1990-03-23</t>
        </is>
      </c>
    </row>
    <row r="32982">
      <c r="A32982" s="1" t="n">
        <v>32981</v>
      </c>
      <c r="B32982">
        <f>TEXT(32981, "[$-0E0000]yyyy-mm-dd")</f>
        <v/>
      </c>
      <c r="C32982" t="inlineStr">
        <is>
          <t>1990-03-24</t>
        </is>
      </c>
    </row>
    <row r="32983">
      <c r="A32983" s="1" t="n">
        <v>32982</v>
      </c>
      <c r="B32983">
        <f>TEXT(32982, "[$-0E0000]yyyy-mm-dd")</f>
        <v/>
      </c>
      <c r="C32983" t="inlineStr">
        <is>
          <t>1990-03-25</t>
        </is>
      </c>
    </row>
    <row r="32984">
      <c r="A32984" s="1" t="n">
        <v>32983</v>
      </c>
      <c r="B32984">
        <f>TEXT(32983, "[$-0E0000]yyyy-mm-dd")</f>
        <v/>
      </c>
      <c r="C32984" t="inlineStr">
        <is>
          <t>1990-03-26</t>
        </is>
      </c>
    </row>
    <row r="32985">
      <c r="A32985" s="1" t="n">
        <v>32984</v>
      </c>
      <c r="B32985">
        <f>TEXT(32984, "[$-0E0000]yyyy-mm-dd")</f>
        <v/>
      </c>
      <c r="C32985" t="inlineStr">
        <is>
          <t>1990-03-27</t>
        </is>
      </c>
    </row>
    <row r="32986">
      <c r="A32986" s="1" t="n">
        <v>32985</v>
      </c>
      <c r="B32986">
        <f>TEXT(32985, "[$-0E0000]yyyy-mm-dd")</f>
        <v/>
      </c>
      <c r="C32986" t="inlineStr">
        <is>
          <t>1990-03-28</t>
        </is>
      </c>
    </row>
    <row r="32987">
      <c r="A32987" s="1" t="n">
        <v>32986</v>
      </c>
      <c r="B32987">
        <f>TEXT(32986, "[$-0E0000]yyyy-mm-dd")</f>
        <v/>
      </c>
      <c r="C32987" t="inlineStr">
        <is>
          <t>1990-03-29</t>
        </is>
      </c>
    </row>
    <row r="32988">
      <c r="A32988" s="1" t="n">
        <v>32987</v>
      </c>
      <c r="B32988">
        <f>TEXT(32987, "[$-0E0000]yyyy-mm-dd")</f>
        <v/>
      </c>
      <c r="C32988" t="inlineStr">
        <is>
          <t>1990-04-01</t>
        </is>
      </c>
    </row>
    <row r="32989">
      <c r="A32989" s="1" t="n">
        <v>32988</v>
      </c>
      <c r="B32989">
        <f>TEXT(32988, "[$-0E0000]yyyy-mm-dd")</f>
        <v/>
      </c>
      <c r="C32989" t="inlineStr">
        <is>
          <t>1990-04-02</t>
        </is>
      </c>
    </row>
    <row r="32990">
      <c r="A32990" s="1" t="n">
        <v>32989</v>
      </c>
      <c r="B32990">
        <f>TEXT(32989, "[$-0E0000]yyyy-mm-dd")</f>
        <v/>
      </c>
      <c r="C32990" t="inlineStr">
        <is>
          <t>1990-04-03</t>
        </is>
      </c>
    </row>
    <row r="32991">
      <c r="A32991" s="1" t="n">
        <v>32990</v>
      </c>
      <c r="B32991">
        <f>TEXT(32990, "[$-0E0000]yyyy-mm-dd")</f>
        <v/>
      </c>
      <c r="C32991" t="inlineStr">
        <is>
          <t>1990-04-04</t>
        </is>
      </c>
    </row>
    <row r="32992">
      <c r="A32992" s="1" t="n">
        <v>32991</v>
      </c>
      <c r="B32992">
        <f>TEXT(32991, "[$-0E0000]yyyy-mm-dd")</f>
        <v/>
      </c>
      <c r="C32992" t="inlineStr">
        <is>
          <t>1990-04-05</t>
        </is>
      </c>
    </row>
    <row r="32993">
      <c r="A32993" s="1" t="n">
        <v>32992</v>
      </c>
      <c r="B32993">
        <f>TEXT(32992, "[$-0E0000]yyyy-mm-dd")</f>
        <v/>
      </c>
      <c r="C32993" t="inlineStr">
        <is>
          <t>1990-04-06</t>
        </is>
      </c>
    </row>
    <row r="32994">
      <c r="A32994" s="1" t="n">
        <v>32993</v>
      </c>
      <c r="B32994">
        <f>TEXT(32993, "[$-0E0000]yyyy-mm-dd")</f>
        <v/>
      </c>
      <c r="C32994" t="inlineStr">
        <is>
          <t>1990-04-07</t>
        </is>
      </c>
    </row>
    <row r="32995">
      <c r="A32995" s="1" t="n">
        <v>32994</v>
      </c>
      <c r="B32995">
        <f>TEXT(32994, "[$-0E0000]yyyy-mm-dd")</f>
        <v/>
      </c>
      <c r="C32995" t="inlineStr">
        <is>
          <t>1990-04-08</t>
        </is>
      </c>
    </row>
    <row r="32996">
      <c r="A32996" s="1" t="n">
        <v>32995</v>
      </c>
      <c r="B32996">
        <f>TEXT(32995, "[$-0E0000]yyyy-mm-dd")</f>
        <v/>
      </c>
      <c r="C32996" t="inlineStr">
        <is>
          <t>1990-04-09</t>
        </is>
      </c>
    </row>
    <row r="32997">
      <c r="A32997" s="1" t="n">
        <v>32996</v>
      </c>
      <c r="B32997">
        <f>TEXT(32996, "[$-0E0000]yyyy-mm-dd")</f>
        <v/>
      </c>
      <c r="C32997" t="inlineStr">
        <is>
          <t>1990-04-10</t>
        </is>
      </c>
    </row>
    <row r="32998">
      <c r="A32998" s="1" t="n">
        <v>32997</v>
      </c>
      <c r="B32998">
        <f>TEXT(32997, "[$-0E0000]yyyy-mm-dd")</f>
        <v/>
      </c>
      <c r="C32998" t="inlineStr">
        <is>
          <t>1990-04-11</t>
        </is>
      </c>
    </row>
    <row r="32999">
      <c r="A32999" s="1" t="n">
        <v>32998</v>
      </c>
      <c r="B32999">
        <f>TEXT(32998, "[$-0E0000]yyyy-mm-dd")</f>
        <v/>
      </c>
      <c r="C32999" t="inlineStr">
        <is>
          <t>1990-04-12</t>
        </is>
      </c>
    </row>
    <row r="33000">
      <c r="A33000" s="1" t="n">
        <v>32999</v>
      </c>
      <c r="B33000">
        <f>TEXT(32999, "[$-0E0000]yyyy-mm-dd")</f>
        <v/>
      </c>
      <c r="C33000" t="inlineStr">
        <is>
          <t>1990-04-13</t>
        </is>
      </c>
    </row>
    <row r="33001">
      <c r="A33001" s="1" t="n">
        <v>33000</v>
      </c>
      <c r="B33001">
        <f>TEXT(33000, "[$-0E0000]yyyy-mm-dd")</f>
        <v/>
      </c>
      <c r="C33001" t="inlineStr">
        <is>
          <t>1990-04-14</t>
        </is>
      </c>
    </row>
    <row r="33002">
      <c r="A33002" s="1" t="n">
        <v>33001</v>
      </c>
      <c r="B33002">
        <f>TEXT(33001, "[$-0E0000]yyyy-mm-dd")</f>
        <v/>
      </c>
      <c r="C33002" t="inlineStr">
        <is>
          <t>1990-04-15</t>
        </is>
      </c>
    </row>
    <row r="33003">
      <c r="A33003" s="1" t="n">
        <v>33002</v>
      </c>
      <c r="B33003">
        <f>TEXT(33002, "[$-0E0000]yyyy-mm-dd")</f>
        <v/>
      </c>
      <c r="C33003" t="inlineStr">
        <is>
          <t>1990-04-16</t>
        </is>
      </c>
    </row>
    <row r="33004">
      <c r="A33004" s="1" t="n">
        <v>33003</v>
      </c>
      <c r="B33004">
        <f>TEXT(33003, "[$-0E0000]yyyy-mm-dd")</f>
        <v/>
      </c>
      <c r="C33004" t="inlineStr">
        <is>
          <t>1990-04-17</t>
        </is>
      </c>
    </row>
    <row r="33005">
      <c r="A33005" s="1" t="n">
        <v>33004</v>
      </c>
      <c r="B33005">
        <f>TEXT(33004, "[$-0E0000]yyyy-mm-dd")</f>
        <v/>
      </c>
      <c r="C33005" t="inlineStr">
        <is>
          <t>1990-04-18</t>
        </is>
      </c>
    </row>
    <row r="33006">
      <c r="A33006" s="1" t="n">
        <v>33005</v>
      </c>
      <c r="B33006">
        <f>TEXT(33005, "[$-0E0000]yyyy-mm-dd")</f>
        <v/>
      </c>
      <c r="C33006" t="inlineStr">
        <is>
          <t>1990-04-19</t>
        </is>
      </c>
    </row>
    <row r="33007">
      <c r="A33007" s="1" t="n">
        <v>33006</v>
      </c>
      <c r="B33007">
        <f>TEXT(33006, "[$-0E0000]yyyy-mm-dd")</f>
        <v/>
      </c>
      <c r="C33007" t="inlineStr">
        <is>
          <t>1990-04-20</t>
        </is>
      </c>
    </row>
    <row r="33008">
      <c r="A33008" s="1" t="n">
        <v>33007</v>
      </c>
      <c r="B33008">
        <f>TEXT(33007, "[$-0E0000]yyyy-mm-dd")</f>
        <v/>
      </c>
      <c r="C33008" t="inlineStr">
        <is>
          <t>1990-04-21</t>
        </is>
      </c>
    </row>
    <row r="33009">
      <c r="A33009" s="1" t="n">
        <v>33008</v>
      </c>
      <c r="B33009">
        <f>TEXT(33008, "[$-0E0000]yyyy-mm-dd")</f>
        <v/>
      </c>
      <c r="C33009" t="inlineStr">
        <is>
          <t>1990-04-22</t>
        </is>
      </c>
    </row>
    <row r="33010">
      <c r="A33010" s="1" t="n">
        <v>33009</v>
      </c>
      <c r="B33010">
        <f>TEXT(33009, "[$-0E0000]yyyy-mm-dd")</f>
        <v/>
      </c>
      <c r="C33010" t="inlineStr">
        <is>
          <t>1990-04-23</t>
        </is>
      </c>
    </row>
    <row r="33011">
      <c r="A33011" s="1" t="n">
        <v>33010</v>
      </c>
      <c r="B33011">
        <f>TEXT(33010, "[$-0E0000]yyyy-mm-dd")</f>
        <v/>
      </c>
      <c r="C33011" t="inlineStr">
        <is>
          <t>1990-04-24</t>
        </is>
      </c>
    </row>
    <row r="33012">
      <c r="A33012" s="1" t="n">
        <v>33011</v>
      </c>
      <c r="B33012">
        <f>TEXT(33011, "[$-0E0000]yyyy-mm-dd")</f>
        <v/>
      </c>
      <c r="C33012" t="inlineStr">
        <is>
          <t>1990-04-25</t>
        </is>
      </c>
    </row>
    <row r="33013">
      <c r="A33013" s="1" t="n">
        <v>33012</v>
      </c>
      <c r="B33013">
        <f>TEXT(33012, "[$-0E0000]yyyy-mm-dd")</f>
        <v/>
      </c>
      <c r="C33013" t="inlineStr">
        <is>
          <t>1990-04-26</t>
        </is>
      </c>
    </row>
    <row r="33014">
      <c r="A33014" s="1" t="n">
        <v>33013</v>
      </c>
      <c r="B33014">
        <f>TEXT(33013, "[$-0E0000]yyyy-mm-dd")</f>
        <v/>
      </c>
      <c r="C33014" t="inlineStr">
        <is>
          <t>1990-04-27</t>
        </is>
      </c>
    </row>
    <row r="33015">
      <c r="A33015" s="1" t="n">
        <v>33014</v>
      </c>
      <c r="B33015">
        <f>TEXT(33014, "[$-0E0000]yyyy-mm-dd")</f>
        <v/>
      </c>
      <c r="C33015" t="inlineStr">
        <is>
          <t>1990-04-28</t>
        </is>
      </c>
    </row>
    <row r="33016">
      <c r="A33016" s="1" t="n">
        <v>33015</v>
      </c>
      <c r="B33016">
        <f>TEXT(33015, "[$-0E0000]yyyy-mm-dd")</f>
        <v/>
      </c>
      <c r="C33016" t="inlineStr">
        <is>
          <t>1990-04-29</t>
        </is>
      </c>
    </row>
    <row r="33017">
      <c r="A33017" s="1" t="n">
        <v>33016</v>
      </c>
      <c r="B33017">
        <f>TEXT(33016, "[$-0E0000]yyyy-mm-dd")</f>
        <v/>
      </c>
      <c r="C33017" t="inlineStr">
        <is>
          <t>1990-05-01</t>
        </is>
      </c>
    </row>
    <row r="33018">
      <c r="A33018" s="1" t="n">
        <v>33017</v>
      </c>
      <c r="B33018">
        <f>TEXT(33017, "[$-0E0000]yyyy-mm-dd")</f>
        <v/>
      </c>
      <c r="C33018" t="inlineStr">
        <is>
          <t>1990-05-02</t>
        </is>
      </c>
    </row>
    <row r="33019">
      <c r="A33019" s="1" t="n">
        <v>33018</v>
      </c>
      <c r="B33019">
        <f>TEXT(33018, "[$-0E0000]yyyy-mm-dd")</f>
        <v/>
      </c>
      <c r="C33019" t="inlineStr">
        <is>
          <t>1990-05-03</t>
        </is>
      </c>
    </row>
    <row r="33020">
      <c r="A33020" s="1" t="n">
        <v>33019</v>
      </c>
      <c r="B33020">
        <f>TEXT(33019, "[$-0E0000]yyyy-mm-dd")</f>
        <v/>
      </c>
      <c r="C33020" t="inlineStr">
        <is>
          <t>1990-05-04</t>
        </is>
      </c>
    </row>
    <row r="33021">
      <c r="A33021" s="1" t="n">
        <v>33020</v>
      </c>
      <c r="B33021">
        <f>TEXT(33020, "[$-0E0000]yyyy-mm-dd")</f>
        <v/>
      </c>
      <c r="C33021" t="inlineStr">
        <is>
          <t>1990-05-05</t>
        </is>
      </c>
    </row>
    <row r="33022">
      <c r="A33022" s="1" t="n">
        <v>33021</v>
      </c>
      <c r="B33022">
        <f>TEXT(33021, "[$-0E0000]yyyy-mm-dd")</f>
        <v/>
      </c>
      <c r="C33022" t="inlineStr">
        <is>
          <t>1990-05-06</t>
        </is>
      </c>
    </row>
    <row r="33023">
      <c r="A33023" s="1" t="n">
        <v>33022</v>
      </c>
      <c r="B33023">
        <f>TEXT(33022, "[$-0E0000]yyyy-mm-dd")</f>
        <v/>
      </c>
      <c r="C33023" t="inlineStr">
        <is>
          <t>1990-05-07</t>
        </is>
      </c>
    </row>
    <row r="33024">
      <c r="A33024" s="1" t="n">
        <v>33023</v>
      </c>
      <c r="B33024">
        <f>TEXT(33023, "[$-0E0000]yyyy-mm-dd")</f>
        <v/>
      </c>
      <c r="C33024" t="inlineStr">
        <is>
          <t>1990-05-08</t>
        </is>
      </c>
    </row>
    <row r="33025">
      <c r="A33025" s="1" t="n">
        <v>33024</v>
      </c>
      <c r="B33025">
        <f>TEXT(33024, "[$-0E0000]yyyy-mm-dd")</f>
        <v/>
      </c>
      <c r="C33025" t="inlineStr">
        <is>
          <t>1990-05-09</t>
        </is>
      </c>
    </row>
    <row r="33026">
      <c r="A33026" s="1" t="n">
        <v>33025</v>
      </c>
      <c r="B33026">
        <f>TEXT(33025, "[$-0E0000]yyyy-mm-dd")</f>
        <v/>
      </c>
      <c r="C33026" t="inlineStr">
        <is>
          <t>1990-05-10</t>
        </is>
      </c>
    </row>
    <row r="33027">
      <c r="A33027" s="1" t="n">
        <v>33026</v>
      </c>
      <c r="B33027">
        <f>TEXT(33026, "[$-0E0000]yyyy-mm-dd")</f>
        <v/>
      </c>
      <c r="C33027" t="inlineStr">
        <is>
          <t>1990-05-11</t>
        </is>
      </c>
    </row>
    <row r="33028">
      <c r="A33028" s="1" t="n">
        <v>33027</v>
      </c>
      <c r="B33028">
        <f>TEXT(33027, "[$-0E0000]yyyy-mm-dd")</f>
        <v/>
      </c>
      <c r="C33028" t="inlineStr">
        <is>
          <t>1990-05-12</t>
        </is>
      </c>
    </row>
    <row r="33029">
      <c r="A33029" s="1" t="n">
        <v>33028</v>
      </c>
      <c r="B33029">
        <f>TEXT(33028, "[$-0E0000]yyyy-mm-dd")</f>
        <v/>
      </c>
      <c r="C33029" t="inlineStr">
        <is>
          <t>1990-05-13</t>
        </is>
      </c>
    </row>
    <row r="33030">
      <c r="A33030" s="1" t="n">
        <v>33029</v>
      </c>
      <c r="B33030">
        <f>TEXT(33029, "[$-0E0000]yyyy-mm-dd")</f>
        <v/>
      </c>
      <c r="C33030" t="inlineStr">
        <is>
          <t>1990-05-14</t>
        </is>
      </c>
    </row>
    <row r="33031">
      <c r="A33031" s="1" t="n">
        <v>33030</v>
      </c>
      <c r="B33031">
        <f>TEXT(33030, "[$-0E0000]yyyy-mm-dd")</f>
        <v/>
      </c>
      <c r="C33031" t="inlineStr">
        <is>
          <t>1990-05-15</t>
        </is>
      </c>
    </row>
    <row r="33032">
      <c r="A33032" s="1" t="n">
        <v>33031</v>
      </c>
      <c r="B33032">
        <f>TEXT(33031, "[$-0E0000]yyyy-mm-dd")</f>
        <v/>
      </c>
      <c r="C33032" t="inlineStr">
        <is>
          <t>1990-05-16</t>
        </is>
      </c>
    </row>
    <row r="33033">
      <c r="A33033" s="1" t="n">
        <v>33032</v>
      </c>
      <c r="B33033">
        <f>TEXT(33032, "[$-0E0000]yyyy-mm-dd")</f>
        <v/>
      </c>
      <c r="C33033" t="inlineStr">
        <is>
          <t>1990-05-17</t>
        </is>
      </c>
    </row>
    <row r="33034">
      <c r="A33034" s="1" t="n">
        <v>33033</v>
      </c>
      <c r="B33034">
        <f>TEXT(33033, "[$-0E0000]yyyy-mm-dd")</f>
        <v/>
      </c>
      <c r="C33034" t="inlineStr">
        <is>
          <t>1990-05-18</t>
        </is>
      </c>
    </row>
    <row r="33035">
      <c r="A33035" s="1" t="n">
        <v>33034</v>
      </c>
      <c r="B33035">
        <f>TEXT(33034, "[$-0E0000]yyyy-mm-dd")</f>
        <v/>
      </c>
      <c r="C33035" t="inlineStr">
        <is>
          <t>1990-05-19</t>
        </is>
      </c>
    </row>
    <row r="33036">
      <c r="A33036" s="1" t="n">
        <v>33035</v>
      </c>
      <c r="B33036">
        <f>TEXT(33035, "[$-0E0000]yyyy-mm-dd")</f>
        <v/>
      </c>
      <c r="C33036" t="inlineStr">
        <is>
          <t>1990-05-20</t>
        </is>
      </c>
    </row>
    <row r="33037">
      <c r="A33037" s="1" t="n">
        <v>33036</v>
      </c>
      <c r="B33037">
        <f>TEXT(33036, "[$-0E0000]yyyy-mm-dd")</f>
        <v/>
      </c>
      <c r="C33037" t="inlineStr">
        <is>
          <t>1990-05-21</t>
        </is>
      </c>
    </row>
    <row r="33038">
      <c r="A33038" s="1" t="n">
        <v>33037</v>
      </c>
      <c r="B33038">
        <f>TEXT(33037, "[$-0E0000]yyyy-mm-dd")</f>
        <v/>
      </c>
      <c r="C33038" t="inlineStr">
        <is>
          <t>1990-05-22</t>
        </is>
      </c>
    </row>
    <row r="33039">
      <c r="A33039" s="1" t="n">
        <v>33038</v>
      </c>
      <c r="B33039">
        <f>TEXT(33038, "[$-0E0000]yyyy-mm-dd")</f>
        <v/>
      </c>
      <c r="C33039" t="inlineStr">
        <is>
          <t>1990-05-23</t>
        </is>
      </c>
    </row>
    <row r="33040">
      <c r="A33040" s="1" t="n">
        <v>33039</v>
      </c>
      <c r="B33040">
        <f>TEXT(33039, "[$-0E0000]yyyy-mm-dd")</f>
        <v/>
      </c>
      <c r="C33040" t="inlineStr">
        <is>
          <t>1990-05-24</t>
        </is>
      </c>
    </row>
    <row r="33041">
      <c r="A33041" s="1" t="n">
        <v>33040</v>
      </c>
      <c r="B33041">
        <f>TEXT(33040, "[$-0E0000]yyyy-mm-dd")</f>
        <v/>
      </c>
      <c r="C33041" t="inlineStr">
        <is>
          <t>1990-05-25</t>
        </is>
      </c>
    </row>
    <row r="33042">
      <c r="A33042" s="1" t="n">
        <v>33041</v>
      </c>
      <c r="B33042">
        <f>TEXT(33041, "[$-0E0000]yyyy-mm-dd")</f>
        <v/>
      </c>
      <c r="C33042" t="inlineStr">
        <is>
          <t>1990-05-26</t>
        </is>
      </c>
    </row>
    <row r="33043">
      <c r="A33043" s="1" t="n">
        <v>33042</v>
      </c>
      <c r="B33043">
        <f>TEXT(33042, "[$-0E0000]yyyy-mm-dd")</f>
        <v/>
      </c>
      <c r="C33043" t="inlineStr">
        <is>
          <t>1990-05-27</t>
        </is>
      </c>
    </row>
    <row r="33044">
      <c r="A33044" s="1" t="n">
        <v>33043</v>
      </c>
      <c r="B33044">
        <f>TEXT(33043, "[$-0E0000]yyyy-mm-dd")</f>
        <v/>
      </c>
      <c r="C33044" t="inlineStr">
        <is>
          <t>1990-05-28</t>
        </is>
      </c>
    </row>
    <row r="33045">
      <c r="A33045" s="1" t="n">
        <v>33044</v>
      </c>
      <c r="B33045">
        <f>TEXT(33044, "[$-0E0000]yyyy-mm-dd")</f>
        <v/>
      </c>
      <c r="C33045" t="inlineStr">
        <is>
          <t>1990-05-29</t>
        </is>
      </c>
    </row>
    <row r="33046">
      <c r="A33046" s="1" t="n">
        <v>33045</v>
      </c>
      <c r="B33046">
        <f>TEXT(33045, "[$-0E0000]yyyy-mm-dd")</f>
        <v/>
      </c>
      <c r="C33046" t="inlineStr">
        <is>
          <t>1990-05-30</t>
        </is>
      </c>
    </row>
    <row r="33047">
      <c r="A33047" s="1" t="n">
        <v>33046</v>
      </c>
      <c r="B33047">
        <f>TEXT(33046, "[$-0E0000]yyyy-mm-dd")</f>
        <v/>
      </c>
      <c r="C33047" t="inlineStr">
        <is>
          <t>1990-05-01</t>
        </is>
      </c>
    </row>
    <row r="33048">
      <c r="A33048" s="1" t="n">
        <v>33047</v>
      </c>
      <c r="B33048">
        <f>TEXT(33047, "[$-0E0000]yyyy-mm-dd")</f>
        <v/>
      </c>
      <c r="C33048" t="inlineStr">
        <is>
          <t>1990-05-02</t>
        </is>
      </c>
    </row>
    <row r="33049">
      <c r="A33049" s="1" t="n">
        <v>33048</v>
      </c>
      <c r="B33049">
        <f>TEXT(33048, "[$-0E0000]yyyy-mm-dd")</f>
        <v/>
      </c>
      <c r="C33049" t="inlineStr">
        <is>
          <t>1990-05-03</t>
        </is>
      </c>
    </row>
    <row r="33050">
      <c r="A33050" s="1" t="n">
        <v>33049</v>
      </c>
      <c r="B33050">
        <f>TEXT(33049, "[$-0E0000]yyyy-mm-dd")</f>
        <v/>
      </c>
      <c r="C33050" t="inlineStr">
        <is>
          <t>1990-05-04</t>
        </is>
      </c>
    </row>
    <row r="33051">
      <c r="A33051" s="1" t="n">
        <v>33050</v>
      </c>
      <c r="B33051">
        <f>TEXT(33050, "[$-0E0000]yyyy-mm-dd")</f>
        <v/>
      </c>
      <c r="C33051" t="inlineStr">
        <is>
          <t>1990-05-05</t>
        </is>
      </c>
    </row>
    <row r="33052">
      <c r="A33052" s="1" t="n">
        <v>33051</v>
      </c>
      <c r="B33052">
        <f>TEXT(33051, "[$-0E0000]yyyy-mm-dd")</f>
        <v/>
      </c>
      <c r="C33052" t="inlineStr">
        <is>
          <t>1990-05-06</t>
        </is>
      </c>
    </row>
    <row r="33053">
      <c r="A33053" s="1" t="n">
        <v>33052</v>
      </c>
      <c r="B33053">
        <f>TEXT(33052, "[$-0E0000]yyyy-mm-dd")</f>
        <v/>
      </c>
      <c r="C33053" t="inlineStr">
        <is>
          <t>1990-05-07</t>
        </is>
      </c>
    </row>
    <row r="33054">
      <c r="A33054" s="1" t="n">
        <v>33053</v>
      </c>
      <c r="B33054">
        <f>TEXT(33053, "[$-0E0000]yyyy-mm-dd")</f>
        <v/>
      </c>
      <c r="C33054" t="inlineStr">
        <is>
          <t>1990-05-08</t>
        </is>
      </c>
    </row>
    <row r="33055">
      <c r="A33055" s="1" t="n">
        <v>33054</v>
      </c>
      <c r="B33055">
        <f>TEXT(33054, "[$-0E0000]yyyy-mm-dd")</f>
        <v/>
      </c>
      <c r="C33055" t="inlineStr">
        <is>
          <t>1990-05-09</t>
        </is>
      </c>
    </row>
    <row r="33056">
      <c r="A33056" s="1" t="n">
        <v>33055</v>
      </c>
      <c r="B33056">
        <f>TEXT(33055, "[$-0E0000]yyyy-mm-dd")</f>
        <v/>
      </c>
      <c r="C33056" t="inlineStr">
        <is>
          <t>1990-05-10</t>
        </is>
      </c>
    </row>
    <row r="33057">
      <c r="A33057" s="1" t="n">
        <v>33056</v>
      </c>
      <c r="B33057">
        <f>TEXT(33056, "[$-0E0000]yyyy-mm-dd")</f>
        <v/>
      </c>
      <c r="C33057" t="inlineStr">
        <is>
          <t>1990-05-11</t>
        </is>
      </c>
    </row>
    <row r="33058">
      <c r="A33058" s="1" t="n">
        <v>33057</v>
      </c>
      <c r="B33058">
        <f>TEXT(33057, "[$-0E0000]yyyy-mm-dd")</f>
        <v/>
      </c>
      <c r="C33058" t="inlineStr">
        <is>
          <t>1990-05-12</t>
        </is>
      </c>
    </row>
    <row r="33059">
      <c r="A33059" s="1" t="n">
        <v>33058</v>
      </c>
      <c r="B33059">
        <f>TEXT(33058, "[$-0E0000]yyyy-mm-dd")</f>
        <v/>
      </c>
      <c r="C33059" t="inlineStr">
        <is>
          <t>1990-05-13</t>
        </is>
      </c>
    </row>
    <row r="33060">
      <c r="A33060" s="1" t="n">
        <v>33059</v>
      </c>
      <c r="B33060">
        <f>TEXT(33059, "[$-0E0000]yyyy-mm-dd")</f>
        <v/>
      </c>
      <c r="C33060" t="inlineStr">
        <is>
          <t>1990-05-14</t>
        </is>
      </c>
    </row>
    <row r="33061">
      <c r="A33061" s="1" t="n">
        <v>33060</v>
      </c>
      <c r="B33061">
        <f>TEXT(33060, "[$-0E0000]yyyy-mm-dd")</f>
        <v/>
      </c>
      <c r="C33061" t="inlineStr">
        <is>
          <t>1990-05-15</t>
        </is>
      </c>
    </row>
    <row r="33062">
      <c r="A33062" s="1" t="n">
        <v>33061</v>
      </c>
      <c r="B33062">
        <f>TEXT(33061, "[$-0E0000]yyyy-mm-dd")</f>
        <v/>
      </c>
      <c r="C33062" t="inlineStr">
        <is>
          <t>1990-05-16</t>
        </is>
      </c>
    </row>
    <row r="33063">
      <c r="A33063" s="1" t="n">
        <v>33062</v>
      </c>
      <c r="B33063">
        <f>TEXT(33062, "[$-0E0000]yyyy-mm-dd")</f>
        <v/>
      </c>
      <c r="C33063" t="inlineStr">
        <is>
          <t>1990-05-17</t>
        </is>
      </c>
    </row>
    <row r="33064">
      <c r="A33064" s="1" t="n">
        <v>33063</v>
      </c>
      <c r="B33064">
        <f>TEXT(33063, "[$-0E0000]yyyy-mm-dd")</f>
        <v/>
      </c>
      <c r="C33064" t="inlineStr">
        <is>
          <t>1990-05-18</t>
        </is>
      </c>
    </row>
    <row r="33065">
      <c r="A33065" s="1" t="n">
        <v>33064</v>
      </c>
      <c r="B33065">
        <f>TEXT(33064, "[$-0E0000]yyyy-mm-dd")</f>
        <v/>
      </c>
      <c r="C33065" t="inlineStr">
        <is>
          <t>1990-05-19</t>
        </is>
      </c>
    </row>
    <row r="33066">
      <c r="A33066" s="1" t="n">
        <v>33065</v>
      </c>
      <c r="B33066">
        <f>TEXT(33065, "[$-0E0000]yyyy-mm-dd")</f>
        <v/>
      </c>
      <c r="C33066" t="inlineStr">
        <is>
          <t>1990-05-20</t>
        </is>
      </c>
    </row>
    <row r="33067">
      <c r="A33067" s="1" t="n">
        <v>33066</v>
      </c>
      <c r="B33067">
        <f>TEXT(33066, "[$-0E0000]yyyy-mm-dd")</f>
        <v/>
      </c>
      <c r="C33067" t="inlineStr">
        <is>
          <t>1990-05-21</t>
        </is>
      </c>
    </row>
    <row r="33068">
      <c r="A33068" s="1" t="n">
        <v>33067</v>
      </c>
      <c r="B33068">
        <f>TEXT(33067, "[$-0E0000]yyyy-mm-dd")</f>
        <v/>
      </c>
      <c r="C33068" t="inlineStr">
        <is>
          <t>1990-05-22</t>
        </is>
      </c>
    </row>
    <row r="33069">
      <c r="A33069" s="1" t="n">
        <v>33068</v>
      </c>
      <c r="B33069">
        <f>TEXT(33068, "[$-0E0000]yyyy-mm-dd")</f>
        <v/>
      </c>
      <c r="C33069" t="inlineStr">
        <is>
          <t>1990-05-23</t>
        </is>
      </c>
    </row>
    <row r="33070">
      <c r="A33070" s="1" t="n">
        <v>33069</v>
      </c>
      <c r="B33070">
        <f>TEXT(33069, "[$-0E0000]yyyy-mm-dd")</f>
        <v/>
      </c>
      <c r="C33070" t="inlineStr">
        <is>
          <t>1990-05-24</t>
        </is>
      </c>
    </row>
    <row r="33071">
      <c r="A33071" s="1" t="n">
        <v>33070</v>
      </c>
      <c r="B33071">
        <f>TEXT(33070, "[$-0E0000]yyyy-mm-dd")</f>
        <v/>
      </c>
      <c r="C33071" t="inlineStr">
        <is>
          <t>1990-05-25</t>
        </is>
      </c>
    </row>
    <row r="33072">
      <c r="A33072" s="1" t="n">
        <v>33071</v>
      </c>
      <c r="B33072">
        <f>TEXT(33071, "[$-0E0000]yyyy-mm-dd")</f>
        <v/>
      </c>
      <c r="C33072" t="inlineStr">
        <is>
          <t>1990-05-26</t>
        </is>
      </c>
    </row>
    <row r="33073">
      <c r="A33073" s="1" t="n">
        <v>33072</v>
      </c>
      <c r="B33073">
        <f>TEXT(33072, "[$-0E0000]yyyy-mm-dd")</f>
        <v/>
      </c>
      <c r="C33073" t="inlineStr">
        <is>
          <t>1990-05-27</t>
        </is>
      </c>
    </row>
    <row r="33074">
      <c r="A33074" s="1" t="n">
        <v>33073</v>
      </c>
      <c r="B33074">
        <f>TEXT(33073, "[$-0E0000]yyyy-mm-dd")</f>
        <v/>
      </c>
      <c r="C33074" t="inlineStr">
        <is>
          <t>1990-05-28</t>
        </is>
      </c>
    </row>
    <row r="33075">
      <c r="A33075" s="1" t="n">
        <v>33074</v>
      </c>
      <c r="B33075">
        <f>TEXT(33074, "[$-0E0000]yyyy-mm-dd")</f>
        <v/>
      </c>
      <c r="C33075" t="inlineStr">
        <is>
          <t>1990-05-29</t>
        </is>
      </c>
    </row>
    <row r="33076">
      <c r="A33076" s="1" t="n">
        <v>33075</v>
      </c>
      <c r="B33076">
        <f>TEXT(33075, "[$-0E0000]yyyy-mm-dd")</f>
        <v/>
      </c>
      <c r="C33076" t="inlineStr">
        <is>
          <t>1990-06-01</t>
        </is>
      </c>
    </row>
    <row r="33077">
      <c r="A33077" s="1" t="n">
        <v>33076</v>
      </c>
      <c r="B33077">
        <f>TEXT(33076, "[$-0E0000]yyyy-mm-dd")</f>
        <v/>
      </c>
      <c r="C33077" t="inlineStr">
        <is>
          <t>1990-06-02</t>
        </is>
      </c>
    </row>
    <row r="33078">
      <c r="A33078" s="1" t="n">
        <v>33077</v>
      </c>
      <c r="B33078">
        <f>TEXT(33077, "[$-0E0000]yyyy-mm-dd")</f>
        <v/>
      </c>
      <c r="C33078" t="inlineStr">
        <is>
          <t>1990-06-03</t>
        </is>
      </c>
    </row>
    <row r="33079">
      <c r="A33079" s="1" t="n">
        <v>33078</v>
      </c>
      <c r="B33079">
        <f>TEXT(33078, "[$-0E0000]yyyy-mm-dd")</f>
        <v/>
      </c>
      <c r="C33079" t="inlineStr">
        <is>
          <t>1990-06-04</t>
        </is>
      </c>
    </row>
    <row r="33080">
      <c r="A33080" s="1" t="n">
        <v>33079</v>
      </c>
      <c r="B33080">
        <f>TEXT(33079, "[$-0E0000]yyyy-mm-dd")</f>
        <v/>
      </c>
      <c r="C33080" t="inlineStr">
        <is>
          <t>1990-06-05</t>
        </is>
      </c>
    </row>
    <row r="33081">
      <c r="A33081" s="1" t="n">
        <v>33080</v>
      </c>
      <c r="B33081">
        <f>TEXT(33080, "[$-0E0000]yyyy-mm-dd")</f>
        <v/>
      </c>
      <c r="C33081" t="inlineStr">
        <is>
          <t>1990-06-06</t>
        </is>
      </c>
    </row>
    <row r="33082">
      <c r="A33082" s="1" t="n">
        <v>33081</v>
      </c>
      <c r="B33082">
        <f>TEXT(33081, "[$-0E0000]yyyy-mm-dd")</f>
        <v/>
      </c>
      <c r="C33082" t="inlineStr">
        <is>
          <t>1990-06-07</t>
        </is>
      </c>
    </row>
    <row r="33083">
      <c r="A33083" s="1" t="n">
        <v>33082</v>
      </c>
      <c r="B33083">
        <f>TEXT(33082, "[$-0E0000]yyyy-mm-dd")</f>
        <v/>
      </c>
      <c r="C33083" t="inlineStr">
        <is>
          <t>1990-06-08</t>
        </is>
      </c>
    </row>
    <row r="33084">
      <c r="A33084" s="1" t="n">
        <v>33083</v>
      </c>
      <c r="B33084">
        <f>TEXT(33083, "[$-0E0000]yyyy-mm-dd")</f>
        <v/>
      </c>
      <c r="C33084" t="inlineStr">
        <is>
          <t>1990-06-09</t>
        </is>
      </c>
    </row>
    <row r="33085">
      <c r="A33085" s="1" t="n">
        <v>33084</v>
      </c>
      <c r="B33085">
        <f>TEXT(33084, "[$-0E0000]yyyy-mm-dd")</f>
        <v/>
      </c>
      <c r="C33085" t="inlineStr">
        <is>
          <t>1990-06-10</t>
        </is>
      </c>
    </row>
    <row r="33086">
      <c r="A33086" s="1" t="n">
        <v>33085</v>
      </c>
      <c r="B33086">
        <f>TEXT(33085, "[$-0E0000]yyyy-mm-dd")</f>
        <v/>
      </c>
      <c r="C33086" t="inlineStr">
        <is>
          <t>1990-06-11</t>
        </is>
      </c>
    </row>
    <row r="33087">
      <c r="A33087" s="1" t="n">
        <v>33086</v>
      </c>
      <c r="B33087">
        <f>TEXT(33086, "[$-0E0000]yyyy-mm-dd")</f>
        <v/>
      </c>
      <c r="C33087" t="inlineStr">
        <is>
          <t>1990-06-12</t>
        </is>
      </c>
    </row>
    <row r="33088">
      <c r="A33088" s="1" t="n">
        <v>33087</v>
      </c>
      <c r="B33088">
        <f>TEXT(33087, "[$-0E0000]yyyy-mm-dd")</f>
        <v/>
      </c>
      <c r="C33088" t="inlineStr">
        <is>
          <t>1990-06-13</t>
        </is>
      </c>
    </row>
    <row r="33089">
      <c r="A33089" s="1" t="n">
        <v>33088</v>
      </c>
      <c r="B33089">
        <f>TEXT(33088, "[$-0E0000]yyyy-mm-dd")</f>
        <v/>
      </c>
      <c r="C33089" t="inlineStr">
        <is>
          <t>1990-06-14</t>
        </is>
      </c>
    </row>
    <row r="33090">
      <c r="A33090" s="1" t="n">
        <v>33089</v>
      </c>
      <c r="B33090">
        <f>TEXT(33089, "[$-0E0000]yyyy-mm-dd")</f>
        <v/>
      </c>
      <c r="C33090" t="inlineStr">
        <is>
          <t>1990-06-15</t>
        </is>
      </c>
    </row>
    <row r="33091">
      <c r="A33091" s="1" t="n">
        <v>33090</v>
      </c>
      <c r="B33091">
        <f>TEXT(33090, "[$-0E0000]yyyy-mm-dd")</f>
        <v/>
      </c>
      <c r="C33091" t="inlineStr">
        <is>
          <t>1990-06-16</t>
        </is>
      </c>
    </row>
    <row r="33092">
      <c r="A33092" s="1" t="n">
        <v>33091</v>
      </c>
      <c r="B33092">
        <f>TEXT(33091, "[$-0E0000]yyyy-mm-dd")</f>
        <v/>
      </c>
      <c r="C33092" t="inlineStr">
        <is>
          <t>1990-06-17</t>
        </is>
      </c>
    </row>
    <row r="33093">
      <c r="A33093" s="1" t="n">
        <v>33092</v>
      </c>
      <c r="B33093">
        <f>TEXT(33092, "[$-0E0000]yyyy-mm-dd")</f>
        <v/>
      </c>
      <c r="C33093" t="inlineStr">
        <is>
          <t>1990-06-18</t>
        </is>
      </c>
    </row>
    <row r="33094">
      <c r="A33094" s="1" t="n">
        <v>33093</v>
      </c>
      <c r="B33094">
        <f>TEXT(33093, "[$-0E0000]yyyy-mm-dd")</f>
        <v/>
      </c>
      <c r="C33094" t="inlineStr">
        <is>
          <t>1990-06-19</t>
        </is>
      </c>
    </row>
    <row r="33095">
      <c r="A33095" s="1" t="n">
        <v>33094</v>
      </c>
      <c r="B33095">
        <f>TEXT(33094, "[$-0E0000]yyyy-mm-dd")</f>
        <v/>
      </c>
      <c r="C33095" t="inlineStr">
        <is>
          <t>1990-06-20</t>
        </is>
      </c>
    </row>
    <row r="33096">
      <c r="A33096" s="1" t="n">
        <v>33095</v>
      </c>
      <c r="B33096">
        <f>TEXT(33095, "[$-0E0000]yyyy-mm-dd")</f>
        <v/>
      </c>
      <c r="C33096" t="inlineStr">
        <is>
          <t>1990-06-21</t>
        </is>
      </c>
    </row>
    <row r="33097">
      <c r="A33097" s="1" t="n">
        <v>33096</v>
      </c>
      <c r="B33097">
        <f>TEXT(33096, "[$-0E0000]yyyy-mm-dd")</f>
        <v/>
      </c>
      <c r="C33097" t="inlineStr">
        <is>
          <t>1990-06-22</t>
        </is>
      </c>
    </row>
    <row r="33098">
      <c r="A33098" s="1" t="n">
        <v>33097</v>
      </c>
      <c r="B33098">
        <f>TEXT(33097, "[$-0E0000]yyyy-mm-dd")</f>
        <v/>
      </c>
      <c r="C33098" t="inlineStr">
        <is>
          <t>1990-06-23</t>
        </is>
      </c>
    </row>
    <row r="33099">
      <c r="A33099" s="1" t="n">
        <v>33098</v>
      </c>
      <c r="B33099">
        <f>TEXT(33098, "[$-0E0000]yyyy-mm-dd")</f>
        <v/>
      </c>
      <c r="C33099" t="inlineStr">
        <is>
          <t>1990-06-24</t>
        </is>
      </c>
    </row>
    <row r="33100">
      <c r="A33100" s="1" t="n">
        <v>33099</v>
      </c>
      <c r="B33100">
        <f>TEXT(33099, "[$-0E0000]yyyy-mm-dd")</f>
        <v/>
      </c>
      <c r="C33100" t="inlineStr">
        <is>
          <t>1990-06-25</t>
        </is>
      </c>
    </row>
    <row r="33101">
      <c r="A33101" s="1" t="n">
        <v>33100</v>
      </c>
      <c r="B33101">
        <f>TEXT(33100, "[$-0E0000]yyyy-mm-dd")</f>
        <v/>
      </c>
      <c r="C33101" t="inlineStr">
        <is>
          <t>1990-06-26</t>
        </is>
      </c>
    </row>
    <row r="33102">
      <c r="A33102" s="1" t="n">
        <v>33101</v>
      </c>
      <c r="B33102">
        <f>TEXT(33101, "[$-0E0000]yyyy-mm-dd")</f>
        <v/>
      </c>
      <c r="C33102" t="inlineStr">
        <is>
          <t>1990-06-27</t>
        </is>
      </c>
    </row>
    <row r="33103">
      <c r="A33103" s="1" t="n">
        <v>33102</v>
      </c>
      <c r="B33103">
        <f>TEXT(33102, "[$-0E0000]yyyy-mm-dd")</f>
        <v/>
      </c>
      <c r="C33103" t="inlineStr">
        <is>
          <t>1990-06-28</t>
        </is>
      </c>
    </row>
    <row r="33104">
      <c r="A33104" s="1" t="n">
        <v>33103</v>
      </c>
      <c r="B33104">
        <f>TEXT(33103, "[$-0E0000]yyyy-mm-dd")</f>
        <v/>
      </c>
      <c r="C33104" t="inlineStr">
        <is>
          <t>1990-06-29</t>
        </is>
      </c>
    </row>
    <row r="33105">
      <c r="A33105" s="1" t="n">
        <v>33104</v>
      </c>
      <c r="B33105">
        <f>TEXT(33104, "[$-0E0000]yyyy-mm-dd")</f>
        <v/>
      </c>
      <c r="C33105" t="inlineStr">
        <is>
          <t>1990-07-01</t>
        </is>
      </c>
    </row>
    <row r="33106">
      <c r="A33106" s="1" t="n">
        <v>33105</v>
      </c>
      <c r="B33106">
        <f>TEXT(33105, "[$-0E0000]yyyy-mm-dd")</f>
        <v/>
      </c>
      <c r="C33106" t="inlineStr">
        <is>
          <t>1990-07-02</t>
        </is>
      </c>
    </row>
    <row r="33107">
      <c r="A33107" s="1" t="n">
        <v>33106</v>
      </c>
      <c r="B33107">
        <f>TEXT(33106, "[$-0E0000]yyyy-mm-dd")</f>
        <v/>
      </c>
      <c r="C33107" t="inlineStr">
        <is>
          <t>1990-07-03</t>
        </is>
      </c>
    </row>
    <row r="33108">
      <c r="A33108" s="1" t="n">
        <v>33107</v>
      </c>
      <c r="B33108">
        <f>TEXT(33107, "[$-0E0000]yyyy-mm-dd")</f>
        <v/>
      </c>
      <c r="C33108" t="inlineStr">
        <is>
          <t>1990-07-04</t>
        </is>
      </c>
    </row>
    <row r="33109">
      <c r="A33109" s="1" t="n">
        <v>33108</v>
      </c>
      <c r="B33109">
        <f>TEXT(33108, "[$-0E0000]yyyy-mm-dd")</f>
        <v/>
      </c>
      <c r="C33109" t="inlineStr">
        <is>
          <t>1990-07-05</t>
        </is>
      </c>
    </row>
    <row r="33110">
      <c r="A33110" s="1" t="n">
        <v>33109</v>
      </c>
      <c r="B33110">
        <f>TEXT(33109, "[$-0E0000]yyyy-mm-dd")</f>
        <v/>
      </c>
      <c r="C33110" t="inlineStr">
        <is>
          <t>1990-07-06</t>
        </is>
      </c>
    </row>
    <row r="33111">
      <c r="A33111" s="1" t="n">
        <v>33110</v>
      </c>
      <c r="B33111">
        <f>TEXT(33110, "[$-0E0000]yyyy-mm-dd")</f>
        <v/>
      </c>
      <c r="C33111" t="inlineStr">
        <is>
          <t>1990-07-07</t>
        </is>
      </c>
    </row>
    <row r="33112">
      <c r="A33112" s="1" t="n">
        <v>33111</v>
      </c>
      <c r="B33112">
        <f>TEXT(33111, "[$-0E0000]yyyy-mm-dd")</f>
        <v/>
      </c>
      <c r="C33112" t="inlineStr">
        <is>
          <t>1990-07-08</t>
        </is>
      </c>
    </row>
    <row r="33113">
      <c r="A33113" s="1" t="n">
        <v>33112</v>
      </c>
      <c r="B33113">
        <f>TEXT(33112, "[$-0E0000]yyyy-mm-dd")</f>
        <v/>
      </c>
      <c r="C33113" t="inlineStr">
        <is>
          <t>1990-07-09</t>
        </is>
      </c>
    </row>
    <row r="33114">
      <c r="A33114" s="1" t="n">
        <v>33113</v>
      </c>
      <c r="B33114">
        <f>TEXT(33113, "[$-0E0000]yyyy-mm-dd")</f>
        <v/>
      </c>
      <c r="C33114" t="inlineStr">
        <is>
          <t>1990-07-10</t>
        </is>
      </c>
    </row>
    <row r="33115">
      <c r="A33115" s="1" t="n">
        <v>33114</v>
      </c>
      <c r="B33115">
        <f>TEXT(33114, "[$-0E0000]yyyy-mm-dd")</f>
        <v/>
      </c>
      <c r="C33115" t="inlineStr">
        <is>
          <t>1990-07-11</t>
        </is>
      </c>
    </row>
    <row r="33116">
      <c r="A33116" s="1" t="n">
        <v>33115</v>
      </c>
      <c r="B33116">
        <f>TEXT(33115, "[$-0E0000]yyyy-mm-dd")</f>
        <v/>
      </c>
      <c r="C33116" t="inlineStr">
        <is>
          <t>1990-07-12</t>
        </is>
      </c>
    </row>
    <row r="33117">
      <c r="A33117" s="1" t="n">
        <v>33116</v>
      </c>
      <c r="B33117">
        <f>TEXT(33116, "[$-0E0000]yyyy-mm-dd")</f>
        <v/>
      </c>
      <c r="C33117" t="inlineStr">
        <is>
          <t>1990-07-13</t>
        </is>
      </c>
    </row>
    <row r="33118">
      <c r="A33118" s="1" t="n">
        <v>33117</v>
      </c>
      <c r="B33118">
        <f>TEXT(33117, "[$-0E0000]yyyy-mm-dd")</f>
        <v/>
      </c>
      <c r="C33118" t="inlineStr">
        <is>
          <t>1990-07-14</t>
        </is>
      </c>
    </row>
    <row r="33119">
      <c r="A33119" s="1" t="n">
        <v>33118</v>
      </c>
      <c r="B33119">
        <f>TEXT(33118, "[$-0E0000]yyyy-mm-dd")</f>
        <v/>
      </c>
      <c r="C33119" t="inlineStr">
        <is>
          <t>1990-07-15</t>
        </is>
      </c>
    </row>
    <row r="33120">
      <c r="A33120" s="1" t="n">
        <v>33119</v>
      </c>
      <c r="B33120">
        <f>TEXT(33119, "[$-0E0000]yyyy-mm-dd")</f>
        <v/>
      </c>
      <c r="C33120" t="inlineStr">
        <is>
          <t>1990-07-16</t>
        </is>
      </c>
    </row>
    <row r="33121">
      <c r="A33121" s="1" t="n">
        <v>33120</v>
      </c>
      <c r="B33121">
        <f>TEXT(33120, "[$-0E0000]yyyy-mm-dd")</f>
        <v/>
      </c>
      <c r="C33121" t="inlineStr">
        <is>
          <t>1990-07-17</t>
        </is>
      </c>
    </row>
    <row r="33122">
      <c r="A33122" s="1" t="n">
        <v>33121</v>
      </c>
      <c r="B33122">
        <f>TEXT(33121, "[$-0E0000]yyyy-mm-dd")</f>
        <v/>
      </c>
      <c r="C33122" t="inlineStr">
        <is>
          <t>1990-07-18</t>
        </is>
      </c>
    </row>
    <row r="33123">
      <c r="A33123" s="1" t="n">
        <v>33122</v>
      </c>
      <c r="B33123">
        <f>TEXT(33122, "[$-0E0000]yyyy-mm-dd")</f>
        <v/>
      </c>
      <c r="C33123" t="inlineStr">
        <is>
          <t>1990-07-19</t>
        </is>
      </c>
    </row>
    <row r="33124">
      <c r="A33124" s="1" t="n">
        <v>33123</v>
      </c>
      <c r="B33124">
        <f>TEXT(33123, "[$-0E0000]yyyy-mm-dd")</f>
        <v/>
      </c>
      <c r="C33124" t="inlineStr">
        <is>
          <t>1990-07-20</t>
        </is>
      </c>
    </row>
    <row r="33125">
      <c r="A33125" s="1" t="n">
        <v>33124</v>
      </c>
      <c r="B33125">
        <f>TEXT(33124, "[$-0E0000]yyyy-mm-dd")</f>
        <v/>
      </c>
      <c r="C33125" t="inlineStr">
        <is>
          <t>1990-07-21</t>
        </is>
      </c>
    </row>
    <row r="33126">
      <c r="A33126" s="1" t="n">
        <v>33125</v>
      </c>
      <c r="B33126">
        <f>TEXT(33125, "[$-0E0000]yyyy-mm-dd")</f>
        <v/>
      </c>
      <c r="C33126" t="inlineStr">
        <is>
          <t>1990-07-22</t>
        </is>
      </c>
    </row>
    <row r="33127">
      <c r="A33127" s="1" t="n">
        <v>33126</v>
      </c>
      <c r="B33127">
        <f>TEXT(33126, "[$-0E0000]yyyy-mm-dd")</f>
        <v/>
      </c>
      <c r="C33127" t="inlineStr">
        <is>
          <t>1990-07-23</t>
        </is>
      </c>
    </row>
    <row r="33128">
      <c r="A33128" s="1" t="n">
        <v>33127</v>
      </c>
      <c r="B33128">
        <f>TEXT(33127, "[$-0E0000]yyyy-mm-dd")</f>
        <v/>
      </c>
      <c r="C33128" t="inlineStr">
        <is>
          <t>1990-07-24</t>
        </is>
      </c>
    </row>
    <row r="33129">
      <c r="A33129" s="1" t="n">
        <v>33128</v>
      </c>
      <c r="B33129">
        <f>TEXT(33128, "[$-0E0000]yyyy-mm-dd")</f>
        <v/>
      </c>
      <c r="C33129" t="inlineStr">
        <is>
          <t>1990-07-25</t>
        </is>
      </c>
    </row>
    <row r="33130">
      <c r="A33130" s="1" t="n">
        <v>33129</v>
      </c>
      <c r="B33130">
        <f>TEXT(33129, "[$-0E0000]yyyy-mm-dd")</f>
        <v/>
      </c>
      <c r="C33130" t="inlineStr">
        <is>
          <t>1990-07-26</t>
        </is>
      </c>
    </row>
    <row r="33131">
      <c r="A33131" s="1" t="n">
        <v>33130</v>
      </c>
      <c r="B33131">
        <f>TEXT(33130, "[$-0E0000]yyyy-mm-dd")</f>
        <v/>
      </c>
      <c r="C33131" t="inlineStr">
        <is>
          <t>1990-07-27</t>
        </is>
      </c>
    </row>
    <row r="33132">
      <c r="A33132" s="1" t="n">
        <v>33131</v>
      </c>
      <c r="B33132">
        <f>TEXT(33131, "[$-0E0000]yyyy-mm-dd")</f>
        <v/>
      </c>
      <c r="C33132" t="inlineStr">
        <is>
          <t>1990-07-28</t>
        </is>
      </c>
    </row>
    <row r="33133">
      <c r="A33133" s="1" t="n">
        <v>33132</v>
      </c>
      <c r="B33133">
        <f>TEXT(33132, "[$-0E0000]yyyy-mm-dd")</f>
        <v/>
      </c>
      <c r="C33133" t="inlineStr">
        <is>
          <t>1990-07-29</t>
        </is>
      </c>
    </row>
    <row r="33134">
      <c r="A33134" s="1" t="n">
        <v>33133</v>
      </c>
      <c r="B33134">
        <f>TEXT(33133, "[$-0E0000]yyyy-mm-dd")</f>
        <v/>
      </c>
      <c r="C33134" t="inlineStr">
        <is>
          <t>1990-07-30</t>
        </is>
      </c>
    </row>
    <row r="33135">
      <c r="A33135" s="1" t="n">
        <v>33134</v>
      </c>
      <c r="B33135">
        <f>TEXT(33134, "[$-0E0000]yyyy-mm-dd")</f>
        <v/>
      </c>
      <c r="C33135" t="inlineStr">
        <is>
          <t>1990-08-01</t>
        </is>
      </c>
    </row>
    <row r="33136">
      <c r="A33136" s="1" t="n">
        <v>33135</v>
      </c>
      <c r="B33136">
        <f>TEXT(33135, "[$-0E0000]yyyy-mm-dd")</f>
        <v/>
      </c>
      <c r="C33136" t="inlineStr">
        <is>
          <t>1990-08-02</t>
        </is>
      </c>
    </row>
    <row r="33137">
      <c r="A33137" s="1" t="n">
        <v>33136</v>
      </c>
      <c r="B33137">
        <f>TEXT(33136, "[$-0E0000]yyyy-mm-dd")</f>
        <v/>
      </c>
      <c r="C33137" t="inlineStr">
        <is>
          <t>1990-08-03</t>
        </is>
      </c>
    </row>
    <row r="33138">
      <c r="A33138" s="1" t="n">
        <v>33137</v>
      </c>
      <c r="B33138">
        <f>TEXT(33137, "[$-0E0000]yyyy-mm-dd")</f>
        <v/>
      </c>
      <c r="C33138" t="inlineStr">
        <is>
          <t>1990-08-04</t>
        </is>
      </c>
    </row>
    <row r="33139">
      <c r="A33139" s="1" t="n">
        <v>33138</v>
      </c>
      <c r="B33139">
        <f>TEXT(33138, "[$-0E0000]yyyy-mm-dd")</f>
        <v/>
      </c>
      <c r="C33139" t="inlineStr">
        <is>
          <t>1990-08-05</t>
        </is>
      </c>
    </row>
    <row r="33140">
      <c r="A33140" s="1" t="n">
        <v>33139</v>
      </c>
      <c r="B33140">
        <f>TEXT(33139, "[$-0E0000]yyyy-mm-dd")</f>
        <v/>
      </c>
      <c r="C33140" t="inlineStr">
        <is>
          <t>1990-08-06</t>
        </is>
      </c>
    </row>
    <row r="33141">
      <c r="A33141" s="1" t="n">
        <v>33140</v>
      </c>
      <c r="B33141">
        <f>TEXT(33140, "[$-0E0000]yyyy-mm-dd")</f>
        <v/>
      </c>
      <c r="C33141" t="inlineStr">
        <is>
          <t>1990-08-07</t>
        </is>
      </c>
    </row>
    <row r="33142">
      <c r="A33142" s="1" t="n">
        <v>33141</v>
      </c>
      <c r="B33142">
        <f>TEXT(33141, "[$-0E0000]yyyy-mm-dd")</f>
        <v/>
      </c>
      <c r="C33142" t="inlineStr">
        <is>
          <t>1990-08-08</t>
        </is>
      </c>
    </row>
    <row r="33143">
      <c r="A33143" s="1" t="n">
        <v>33142</v>
      </c>
      <c r="B33143">
        <f>TEXT(33142, "[$-0E0000]yyyy-mm-dd")</f>
        <v/>
      </c>
      <c r="C33143" t="inlineStr">
        <is>
          <t>1990-08-09</t>
        </is>
      </c>
    </row>
    <row r="33144">
      <c r="A33144" s="1" t="n">
        <v>33143</v>
      </c>
      <c r="B33144">
        <f>TEXT(33143, "[$-0E0000]yyyy-mm-dd")</f>
        <v/>
      </c>
      <c r="C33144" t="inlineStr">
        <is>
          <t>1990-08-10</t>
        </is>
      </c>
    </row>
    <row r="33145">
      <c r="A33145" s="1" t="n">
        <v>33144</v>
      </c>
      <c r="B33145">
        <f>TEXT(33144, "[$-0E0000]yyyy-mm-dd")</f>
        <v/>
      </c>
      <c r="C33145" t="inlineStr">
        <is>
          <t>1990-08-11</t>
        </is>
      </c>
    </row>
    <row r="33146">
      <c r="A33146" s="1" t="n">
        <v>33145</v>
      </c>
      <c r="B33146">
        <f>TEXT(33145, "[$-0E0000]yyyy-mm-dd")</f>
        <v/>
      </c>
      <c r="C33146" t="inlineStr">
        <is>
          <t>1990-08-12</t>
        </is>
      </c>
    </row>
    <row r="33147">
      <c r="A33147" s="1" t="n">
        <v>33146</v>
      </c>
      <c r="B33147">
        <f>TEXT(33146, "[$-0E0000]yyyy-mm-dd")</f>
        <v/>
      </c>
      <c r="C33147" t="inlineStr">
        <is>
          <t>1990-08-13</t>
        </is>
      </c>
    </row>
    <row r="33148">
      <c r="A33148" s="1" t="n">
        <v>33147</v>
      </c>
      <c r="B33148">
        <f>TEXT(33147, "[$-0E0000]yyyy-mm-dd")</f>
        <v/>
      </c>
      <c r="C33148" t="inlineStr">
        <is>
          <t>1990-08-14</t>
        </is>
      </c>
    </row>
    <row r="33149">
      <c r="A33149" s="1" t="n">
        <v>33148</v>
      </c>
      <c r="B33149">
        <f>TEXT(33148, "[$-0E0000]yyyy-mm-dd")</f>
        <v/>
      </c>
      <c r="C33149" t="inlineStr">
        <is>
          <t>1990-08-15</t>
        </is>
      </c>
    </row>
    <row r="33150">
      <c r="A33150" s="1" t="n">
        <v>33149</v>
      </c>
      <c r="B33150">
        <f>TEXT(33149, "[$-0E0000]yyyy-mm-dd")</f>
        <v/>
      </c>
      <c r="C33150" t="inlineStr">
        <is>
          <t>1990-08-16</t>
        </is>
      </c>
    </row>
    <row r="33151">
      <c r="A33151" s="1" t="n">
        <v>33150</v>
      </c>
      <c r="B33151">
        <f>TEXT(33150, "[$-0E0000]yyyy-mm-dd")</f>
        <v/>
      </c>
      <c r="C33151" t="inlineStr">
        <is>
          <t>1990-08-17</t>
        </is>
      </c>
    </row>
    <row r="33152">
      <c r="A33152" s="1" t="n">
        <v>33151</v>
      </c>
      <c r="B33152">
        <f>TEXT(33151, "[$-0E0000]yyyy-mm-dd")</f>
        <v/>
      </c>
      <c r="C33152" t="inlineStr">
        <is>
          <t>1990-08-18</t>
        </is>
      </c>
    </row>
    <row r="33153">
      <c r="A33153" s="1" t="n">
        <v>33152</v>
      </c>
      <c r="B33153">
        <f>TEXT(33152, "[$-0E0000]yyyy-mm-dd")</f>
        <v/>
      </c>
      <c r="C33153" t="inlineStr">
        <is>
          <t>1990-08-19</t>
        </is>
      </c>
    </row>
    <row r="33154">
      <c r="A33154" s="1" t="n">
        <v>33153</v>
      </c>
      <c r="B33154">
        <f>TEXT(33153, "[$-0E0000]yyyy-mm-dd")</f>
        <v/>
      </c>
      <c r="C33154" t="inlineStr">
        <is>
          <t>1990-08-20</t>
        </is>
      </c>
    </row>
    <row r="33155">
      <c r="A33155" s="1" t="n">
        <v>33154</v>
      </c>
      <c r="B33155">
        <f>TEXT(33154, "[$-0E0000]yyyy-mm-dd")</f>
        <v/>
      </c>
      <c r="C33155" t="inlineStr">
        <is>
          <t>1990-08-21</t>
        </is>
      </c>
    </row>
    <row r="33156">
      <c r="A33156" s="1" t="n">
        <v>33155</v>
      </c>
      <c r="B33156">
        <f>TEXT(33155, "[$-0E0000]yyyy-mm-dd")</f>
        <v/>
      </c>
      <c r="C33156" t="inlineStr">
        <is>
          <t>1990-08-22</t>
        </is>
      </c>
    </row>
    <row r="33157">
      <c r="A33157" s="1" t="n">
        <v>33156</v>
      </c>
      <c r="B33157">
        <f>TEXT(33156, "[$-0E0000]yyyy-mm-dd")</f>
        <v/>
      </c>
      <c r="C33157" t="inlineStr">
        <is>
          <t>1990-08-23</t>
        </is>
      </c>
    </row>
    <row r="33158">
      <c r="A33158" s="1" t="n">
        <v>33157</v>
      </c>
      <c r="B33158">
        <f>TEXT(33157, "[$-0E0000]yyyy-mm-dd")</f>
        <v/>
      </c>
      <c r="C33158" t="inlineStr">
        <is>
          <t>1990-08-24</t>
        </is>
      </c>
    </row>
    <row r="33159">
      <c r="A33159" s="1" t="n">
        <v>33158</v>
      </c>
      <c r="B33159">
        <f>TEXT(33158, "[$-0E0000]yyyy-mm-dd")</f>
        <v/>
      </c>
      <c r="C33159" t="inlineStr">
        <is>
          <t>1990-08-25</t>
        </is>
      </c>
    </row>
    <row r="33160">
      <c r="A33160" s="1" t="n">
        <v>33159</v>
      </c>
      <c r="B33160">
        <f>TEXT(33159, "[$-0E0000]yyyy-mm-dd")</f>
        <v/>
      </c>
      <c r="C33160" t="inlineStr">
        <is>
          <t>1990-08-26</t>
        </is>
      </c>
    </row>
    <row r="33161">
      <c r="A33161" s="1" t="n">
        <v>33160</v>
      </c>
      <c r="B33161">
        <f>TEXT(33160, "[$-0E0000]yyyy-mm-dd")</f>
        <v/>
      </c>
      <c r="C33161" t="inlineStr">
        <is>
          <t>1990-08-27</t>
        </is>
      </c>
    </row>
    <row r="33162">
      <c r="A33162" s="1" t="n">
        <v>33161</v>
      </c>
      <c r="B33162">
        <f>TEXT(33161, "[$-0E0000]yyyy-mm-dd")</f>
        <v/>
      </c>
      <c r="C33162" t="inlineStr">
        <is>
          <t>1990-08-28</t>
        </is>
      </c>
    </row>
    <row r="33163">
      <c r="A33163" s="1" t="n">
        <v>33162</v>
      </c>
      <c r="B33163">
        <f>TEXT(33162, "[$-0E0000]yyyy-mm-dd")</f>
        <v/>
      </c>
      <c r="C33163" t="inlineStr">
        <is>
          <t>1990-08-29</t>
        </is>
      </c>
    </row>
    <row r="33164">
      <c r="A33164" s="1" t="n">
        <v>33163</v>
      </c>
      <c r="B33164">
        <f>TEXT(33163, "[$-0E0000]yyyy-mm-dd")</f>
        <v/>
      </c>
      <c r="C33164" t="inlineStr">
        <is>
          <t>1990-09-01</t>
        </is>
      </c>
    </row>
    <row r="33165">
      <c r="A33165" s="1" t="n">
        <v>33164</v>
      </c>
      <c r="B33165">
        <f>TEXT(33164, "[$-0E0000]yyyy-mm-dd")</f>
        <v/>
      </c>
      <c r="C33165" t="inlineStr">
        <is>
          <t>1990-09-02</t>
        </is>
      </c>
    </row>
    <row r="33166">
      <c r="A33166" s="1" t="n">
        <v>33165</v>
      </c>
      <c r="B33166">
        <f>TEXT(33165, "[$-0E0000]yyyy-mm-dd")</f>
        <v/>
      </c>
      <c r="C33166" t="inlineStr">
        <is>
          <t>1990-09-03</t>
        </is>
      </c>
    </row>
    <row r="33167">
      <c r="A33167" s="1" t="n">
        <v>33166</v>
      </c>
      <c r="B33167">
        <f>TEXT(33166, "[$-0E0000]yyyy-mm-dd")</f>
        <v/>
      </c>
      <c r="C33167" t="inlineStr">
        <is>
          <t>1990-09-04</t>
        </is>
      </c>
    </row>
    <row r="33168">
      <c r="A33168" s="1" t="n">
        <v>33167</v>
      </c>
      <c r="B33168">
        <f>TEXT(33167, "[$-0E0000]yyyy-mm-dd")</f>
        <v/>
      </c>
      <c r="C33168" t="inlineStr">
        <is>
          <t>1990-09-05</t>
        </is>
      </c>
    </row>
    <row r="33169">
      <c r="A33169" s="1" t="n">
        <v>33168</v>
      </c>
      <c r="B33169">
        <f>TEXT(33168, "[$-0E0000]yyyy-mm-dd")</f>
        <v/>
      </c>
      <c r="C33169" t="inlineStr">
        <is>
          <t>1990-09-06</t>
        </is>
      </c>
    </row>
    <row r="33170">
      <c r="A33170" s="1" t="n">
        <v>33169</v>
      </c>
      <c r="B33170">
        <f>TEXT(33169, "[$-0E0000]yyyy-mm-dd")</f>
        <v/>
      </c>
      <c r="C33170" t="inlineStr">
        <is>
          <t>1990-09-07</t>
        </is>
      </c>
    </row>
    <row r="33171">
      <c r="A33171" s="1" t="n">
        <v>33170</v>
      </c>
      <c r="B33171">
        <f>TEXT(33170, "[$-0E0000]yyyy-mm-dd")</f>
        <v/>
      </c>
      <c r="C33171" t="inlineStr">
        <is>
          <t>1990-09-08</t>
        </is>
      </c>
    </row>
    <row r="33172">
      <c r="A33172" s="1" t="n">
        <v>33171</v>
      </c>
      <c r="B33172">
        <f>TEXT(33171, "[$-0E0000]yyyy-mm-dd")</f>
        <v/>
      </c>
      <c r="C33172" t="inlineStr">
        <is>
          <t>1990-09-09</t>
        </is>
      </c>
    </row>
    <row r="33173">
      <c r="A33173" s="1" t="n">
        <v>33172</v>
      </c>
      <c r="B33173">
        <f>TEXT(33172, "[$-0E0000]yyyy-mm-dd")</f>
        <v/>
      </c>
      <c r="C33173" t="inlineStr">
        <is>
          <t>1990-09-10</t>
        </is>
      </c>
    </row>
    <row r="33174">
      <c r="A33174" s="1" t="n">
        <v>33173</v>
      </c>
      <c r="B33174">
        <f>TEXT(33173, "[$-0E0000]yyyy-mm-dd")</f>
        <v/>
      </c>
      <c r="C33174" t="inlineStr">
        <is>
          <t>1990-09-11</t>
        </is>
      </c>
    </row>
    <row r="33175">
      <c r="A33175" s="1" t="n">
        <v>33174</v>
      </c>
      <c r="B33175">
        <f>TEXT(33174, "[$-0E0000]yyyy-mm-dd")</f>
        <v/>
      </c>
      <c r="C33175" t="inlineStr">
        <is>
          <t>1990-09-12</t>
        </is>
      </c>
    </row>
    <row r="33176">
      <c r="A33176" s="1" t="n">
        <v>33175</v>
      </c>
      <c r="B33176">
        <f>TEXT(33175, "[$-0E0000]yyyy-mm-dd")</f>
        <v/>
      </c>
      <c r="C33176" t="inlineStr">
        <is>
          <t>1990-09-13</t>
        </is>
      </c>
    </row>
    <row r="33177">
      <c r="A33177" s="1" t="n">
        <v>33176</v>
      </c>
      <c r="B33177">
        <f>TEXT(33176, "[$-0E0000]yyyy-mm-dd")</f>
        <v/>
      </c>
      <c r="C33177" t="inlineStr">
        <is>
          <t>1990-09-14</t>
        </is>
      </c>
    </row>
    <row r="33178">
      <c r="A33178" s="1" t="n">
        <v>33177</v>
      </c>
      <c r="B33178">
        <f>TEXT(33177, "[$-0E0000]yyyy-mm-dd")</f>
        <v/>
      </c>
      <c r="C33178" t="inlineStr">
        <is>
          <t>1990-09-15</t>
        </is>
      </c>
    </row>
    <row r="33179">
      <c r="A33179" s="1" t="n">
        <v>33178</v>
      </c>
      <c r="B33179">
        <f>TEXT(33178, "[$-0E0000]yyyy-mm-dd")</f>
        <v/>
      </c>
      <c r="C33179" t="inlineStr">
        <is>
          <t>1990-09-16</t>
        </is>
      </c>
    </row>
    <row r="33180">
      <c r="A33180" s="1" t="n">
        <v>33179</v>
      </c>
      <c r="B33180">
        <f>TEXT(33179, "[$-0E0000]yyyy-mm-dd")</f>
        <v/>
      </c>
      <c r="C33180" t="inlineStr">
        <is>
          <t>1990-09-17</t>
        </is>
      </c>
    </row>
    <row r="33181">
      <c r="A33181" s="1" t="n">
        <v>33180</v>
      </c>
      <c r="B33181">
        <f>TEXT(33180, "[$-0E0000]yyyy-mm-dd")</f>
        <v/>
      </c>
      <c r="C33181" t="inlineStr">
        <is>
          <t>1990-09-18</t>
        </is>
      </c>
    </row>
    <row r="33182">
      <c r="A33182" s="1" t="n">
        <v>33181</v>
      </c>
      <c r="B33182">
        <f>TEXT(33181, "[$-0E0000]yyyy-mm-dd")</f>
        <v/>
      </c>
      <c r="C33182" t="inlineStr">
        <is>
          <t>1990-09-19</t>
        </is>
      </c>
    </row>
    <row r="33183">
      <c r="A33183" s="1" t="n">
        <v>33182</v>
      </c>
      <c r="B33183">
        <f>TEXT(33182, "[$-0E0000]yyyy-mm-dd")</f>
        <v/>
      </c>
      <c r="C33183" t="inlineStr">
        <is>
          <t>1990-09-20</t>
        </is>
      </c>
    </row>
    <row r="33184">
      <c r="A33184" s="1" t="n">
        <v>33183</v>
      </c>
      <c r="B33184">
        <f>TEXT(33183, "[$-0E0000]yyyy-mm-dd")</f>
        <v/>
      </c>
      <c r="C33184" t="inlineStr">
        <is>
          <t>1990-09-21</t>
        </is>
      </c>
    </row>
    <row r="33185">
      <c r="A33185" s="1" t="n">
        <v>33184</v>
      </c>
      <c r="B33185">
        <f>TEXT(33184, "[$-0E0000]yyyy-mm-dd")</f>
        <v/>
      </c>
      <c r="C33185" t="inlineStr">
        <is>
          <t>1990-09-22</t>
        </is>
      </c>
    </row>
    <row r="33186">
      <c r="A33186" s="1" t="n">
        <v>33185</v>
      </c>
      <c r="B33186">
        <f>TEXT(33185, "[$-0E0000]yyyy-mm-dd")</f>
        <v/>
      </c>
      <c r="C33186" t="inlineStr">
        <is>
          <t>1990-09-23</t>
        </is>
      </c>
    </row>
    <row r="33187">
      <c r="A33187" s="1" t="n">
        <v>33186</v>
      </c>
      <c r="B33187">
        <f>TEXT(33186, "[$-0E0000]yyyy-mm-dd")</f>
        <v/>
      </c>
      <c r="C33187" t="inlineStr">
        <is>
          <t>1990-09-24</t>
        </is>
      </c>
    </row>
    <row r="33188">
      <c r="A33188" s="1" t="n">
        <v>33187</v>
      </c>
      <c r="B33188">
        <f>TEXT(33187, "[$-0E0000]yyyy-mm-dd")</f>
        <v/>
      </c>
      <c r="C33188" t="inlineStr">
        <is>
          <t>1990-09-25</t>
        </is>
      </c>
    </row>
    <row r="33189">
      <c r="A33189" s="1" t="n">
        <v>33188</v>
      </c>
      <c r="B33189">
        <f>TEXT(33188, "[$-0E0000]yyyy-mm-dd")</f>
        <v/>
      </c>
      <c r="C33189" t="inlineStr">
        <is>
          <t>1990-09-26</t>
        </is>
      </c>
    </row>
    <row r="33190">
      <c r="A33190" s="1" t="n">
        <v>33189</v>
      </c>
      <c r="B33190">
        <f>TEXT(33189, "[$-0E0000]yyyy-mm-dd")</f>
        <v/>
      </c>
      <c r="C33190" t="inlineStr">
        <is>
          <t>1990-09-27</t>
        </is>
      </c>
    </row>
    <row r="33191">
      <c r="A33191" s="1" t="n">
        <v>33190</v>
      </c>
      <c r="B33191">
        <f>TEXT(33190, "[$-0E0000]yyyy-mm-dd")</f>
        <v/>
      </c>
      <c r="C33191" t="inlineStr">
        <is>
          <t>1990-09-28</t>
        </is>
      </c>
    </row>
    <row r="33192">
      <c r="A33192" s="1" t="n">
        <v>33191</v>
      </c>
      <c r="B33192">
        <f>TEXT(33191, "[$-0E0000]yyyy-mm-dd")</f>
        <v/>
      </c>
      <c r="C33192" t="inlineStr">
        <is>
          <t>1990-09-29</t>
        </is>
      </c>
    </row>
    <row r="33193">
      <c r="A33193" s="1" t="n">
        <v>33192</v>
      </c>
      <c r="B33193">
        <f>TEXT(33192, "[$-0E0000]yyyy-mm-dd")</f>
        <v/>
      </c>
      <c r="C33193" t="inlineStr">
        <is>
          <t>1990-09-30</t>
        </is>
      </c>
    </row>
    <row r="33194">
      <c r="A33194" s="1" t="n">
        <v>33193</v>
      </c>
      <c r="B33194">
        <f>TEXT(33193, "[$-0E0000]yyyy-mm-dd")</f>
        <v/>
      </c>
      <c r="C33194" t="inlineStr">
        <is>
          <t>1990-10-01</t>
        </is>
      </c>
    </row>
    <row r="33195">
      <c r="A33195" s="1" t="n">
        <v>33194</v>
      </c>
      <c r="B33195">
        <f>TEXT(33194, "[$-0E0000]yyyy-mm-dd")</f>
        <v/>
      </c>
      <c r="C33195" t="inlineStr">
        <is>
          <t>1990-10-02</t>
        </is>
      </c>
    </row>
    <row r="33196">
      <c r="A33196" s="1" t="n">
        <v>33195</v>
      </c>
      <c r="B33196">
        <f>TEXT(33195, "[$-0E0000]yyyy-mm-dd")</f>
        <v/>
      </c>
      <c r="C33196" t="inlineStr">
        <is>
          <t>1990-10-03</t>
        </is>
      </c>
    </row>
    <row r="33197">
      <c r="A33197" s="1" t="n">
        <v>33196</v>
      </c>
      <c r="B33197">
        <f>TEXT(33196, "[$-0E0000]yyyy-mm-dd")</f>
        <v/>
      </c>
      <c r="C33197" t="inlineStr">
        <is>
          <t>1990-10-04</t>
        </is>
      </c>
    </row>
    <row r="33198">
      <c r="A33198" s="1" t="n">
        <v>33197</v>
      </c>
      <c r="B33198">
        <f>TEXT(33197, "[$-0E0000]yyyy-mm-dd")</f>
        <v/>
      </c>
      <c r="C33198" t="inlineStr">
        <is>
          <t>1990-10-05</t>
        </is>
      </c>
    </row>
    <row r="33199">
      <c r="A33199" s="1" t="n">
        <v>33198</v>
      </c>
      <c r="B33199">
        <f>TEXT(33198, "[$-0E0000]yyyy-mm-dd")</f>
        <v/>
      </c>
      <c r="C33199" t="inlineStr">
        <is>
          <t>1990-10-06</t>
        </is>
      </c>
    </row>
    <row r="33200">
      <c r="A33200" s="1" t="n">
        <v>33199</v>
      </c>
      <c r="B33200">
        <f>TEXT(33199, "[$-0E0000]yyyy-mm-dd")</f>
        <v/>
      </c>
      <c r="C33200" t="inlineStr">
        <is>
          <t>1990-10-07</t>
        </is>
      </c>
    </row>
    <row r="33201">
      <c r="A33201" s="1" t="n">
        <v>33200</v>
      </c>
      <c r="B33201">
        <f>TEXT(33200, "[$-0E0000]yyyy-mm-dd")</f>
        <v/>
      </c>
      <c r="C33201" t="inlineStr">
        <is>
          <t>1990-10-08</t>
        </is>
      </c>
    </row>
    <row r="33202">
      <c r="A33202" s="1" t="n">
        <v>33201</v>
      </c>
      <c r="B33202">
        <f>TEXT(33201, "[$-0E0000]yyyy-mm-dd")</f>
        <v/>
      </c>
      <c r="C33202" t="inlineStr">
        <is>
          <t>1990-10-09</t>
        </is>
      </c>
    </row>
    <row r="33203">
      <c r="A33203" s="1" t="n">
        <v>33202</v>
      </c>
      <c r="B33203">
        <f>TEXT(33202, "[$-0E0000]yyyy-mm-dd")</f>
        <v/>
      </c>
      <c r="C33203" t="inlineStr">
        <is>
          <t>1990-10-10</t>
        </is>
      </c>
    </row>
    <row r="33204">
      <c r="A33204" s="1" t="n">
        <v>33203</v>
      </c>
      <c r="B33204">
        <f>TEXT(33203, "[$-0E0000]yyyy-mm-dd")</f>
        <v/>
      </c>
      <c r="C33204" t="inlineStr">
        <is>
          <t>1990-10-11</t>
        </is>
      </c>
    </row>
    <row r="33205">
      <c r="A33205" s="1" t="n">
        <v>33204</v>
      </c>
      <c r="B33205">
        <f>TEXT(33204, "[$-0E0000]yyyy-mm-dd")</f>
        <v/>
      </c>
      <c r="C33205" t="inlineStr">
        <is>
          <t>1990-10-12</t>
        </is>
      </c>
    </row>
    <row r="33206">
      <c r="A33206" s="1" t="n">
        <v>33205</v>
      </c>
      <c r="B33206">
        <f>TEXT(33205, "[$-0E0000]yyyy-mm-dd")</f>
        <v/>
      </c>
      <c r="C33206" t="inlineStr">
        <is>
          <t>1990-10-13</t>
        </is>
      </c>
    </row>
    <row r="33207">
      <c r="A33207" s="1" t="n">
        <v>33206</v>
      </c>
      <c r="B33207">
        <f>TEXT(33206, "[$-0E0000]yyyy-mm-dd")</f>
        <v/>
      </c>
      <c r="C33207" t="inlineStr">
        <is>
          <t>1990-10-14</t>
        </is>
      </c>
    </row>
    <row r="33208">
      <c r="A33208" s="1" t="n">
        <v>33207</v>
      </c>
      <c r="B33208">
        <f>TEXT(33207, "[$-0E0000]yyyy-mm-dd")</f>
        <v/>
      </c>
      <c r="C33208" t="inlineStr">
        <is>
          <t>1990-10-15</t>
        </is>
      </c>
    </row>
    <row r="33209">
      <c r="A33209" s="1" t="n">
        <v>33208</v>
      </c>
      <c r="B33209">
        <f>TEXT(33208, "[$-0E0000]yyyy-mm-dd")</f>
        <v/>
      </c>
      <c r="C33209" t="inlineStr">
        <is>
          <t>1990-10-16</t>
        </is>
      </c>
    </row>
    <row r="33210">
      <c r="A33210" s="1" t="n">
        <v>33209</v>
      </c>
      <c r="B33210">
        <f>TEXT(33209, "[$-0E0000]yyyy-mm-dd")</f>
        <v/>
      </c>
      <c r="C33210" t="inlineStr">
        <is>
          <t>1990-10-17</t>
        </is>
      </c>
    </row>
    <row r="33211">
      <c r="A33211" s="1" t="n">
        <v>33210</v>
      </c>
      <c r="B33211">
        <f>TEXT(33210, "[$-0E0000]yyyy-mm-dd")</f>
        <v/>
      </c>
      <c r="C33211" t="inlineStr">
        <is>
          <t>1990-10-18</t>
        </is>
      </c>
    </row>
    <row r="33212">
      <c r="A33212" s="1" t="n">
        <v>33211</v>
      </c>
      <c r="B33212">
        <f>TEXT(33211, "[$-0E0000]yyyy-mm-dd")</f>
        <v/>
      </c>
      <c r="C33212" t="inlineStr">
        <is>
          <t>1990-10-19</t>
        </is>
      </c>
    </row>
    <row r="33213">
      <c r="A33213" s="1" t="n">
        <v>33212</v>
      </c>
      <c r="B33213">
        <f>TEXT(33212, "[$-0E0000]yyyy-mm-dd")</f>
        <v/>
      </c>
      <c r="C33213" t="inlineStr">
        <is>
          <t>1990-10-20</t>
        </is>
      </c>
    </row>
    <row r="33214">
      <c r="A33214" s="1" t="n">
        <v>33213</v>
      </c>
      <c r="B33214">
        <f>TEXT(33213, "[$-0E0000]yyyy-mm-dd")</f>
        <v/>
      </c>
      <c r="C33214" t="inlineStr">
        <is>
          <t>1990-10-21</t>
        </is>
      </c>
    </row>
    <row r="33215">
      <c r="A33215" s="1" t="n">
        <v>33214</v>
      </c>
      <c r="B33215">
        <f>TEXT(33214, "[$-0E0000]yyyy-mm-dd")</f>
        <v/>
      </c>
      <c r="C33215" t="inlineStr">
        <is>
          <t>1990-10-22</t>
        </is>
      </c>
    </row>
    <row r="33216">
      <c r="A33216" s="1" t="n">
        <v>33215</v>
      </c>
      <c r="B33216">
        <f>TEXT(33215, "[$-0E0000]yyyy-mm-dd")</f>
        <v/>
      </c>
      <c r="C33216" t="inlineStr">
        <is>
          <t>1990-10-23</t>
        </is>
      </c>
    </row>
    <row r="33217">
      <c r="A33217" s="1" t="n">
        <v>33216</v>
      </c>
      <c r="B33217">
        <f>TEXT(33216, "[$-0E0000]yyyy-mm-dd")</f>
        <v/>
      </c>
      <c r="C33217" t="inlineStr">
        <is>
          <t>1990-10-24</t>
        </is>
      </c>
    </row>
    <row r="33218">
      <c r="A33218" s="1" t="n">
        <v>33217</v>
      </c>
      <c r="B33218">
        <f>TEXT(33217, "[$-0E0000]yyyy-mm-dd")</f>
        <v/>
      </c>
      <c r="C33218" t="inlineStr">
        <is>
          <t>1990-10-25</t>
        </is>
      </c>
    </row>
    <row r="33219">
      <c r="A33219" s="1" t="n">
        <v>33218</v>
      </c>
      <c r="B33219">
        <f>TEXT(33218, "[$-0E0000]yyyy-mm-dd")</f>
        <v/>
      </c>
      <c r="C33219" t="inlineStr">
        <is>
          <t>1990-10-26</t>
        </is>
      </c>
    </row>
    <row r="33220">
      <c r="A33220" s="1" t="n">
        <v>33219</v>
      </c>
      <c r="B33220">
        <f>TEXT(33219, "[$-0E0000]yyyy-mm-dd")</f>
        <v/>
      </c>
      <c r="C33220" t="inlineStr">
        <is>
          <t>1990-10-27</t>
        </is>
      </c>
    </row>
    <row r="33221">
      <c r="A33221" s="1" t="n">
        <v>33220</v>
      </c>
      <c r="B33221">
        <f>TEXT(33220, "[$-0E0000]yyyy-mm-dd")</f>
        <v/>
      </c>
      <c r="C33221" t="inlineStr">
        <is>
          <t>1990-10-28</t>
        </is>
      </c>
    </row>
    <row r="33222">
      <c r="A33222" s="1" t="n">
        <v>33221</v>
      </c>
      <c r="B33222">
        <f>TEXT(33221, "[$-0E0000]yyyy-mm-dd")</f>
        <v/>
      </c>
      <c r="C33222" t="inlineStr">
        <is>
          <t>1990-10-29</t>
        </is>
      </c>
    </row>
    <row r="33223">
      <c r="A33223" s="1" t="n">
        <v>33222</v>
      </c>
      <c r="B33223">
        <f>TEXT(33222, "[$-0E0000]yyyy-mm-dd")</f>
        <v/>
      </c>
      <c r="C33223" t="inlineStr">
        <is>
          <t>1990-10-30</t>
        </is>
      </c>
    </row>
    <row r="33224">
      <c r="A33224" s="1" t="n">
        <v>33223</v>
      </c>
      <c r="B33224">
        <f>TEXT(33223, "[$-0E0000]yyyy-mm-dd")</f>
        <v/>
      </c>
      <c r="C33224" t="inlineStr">
        <is>
          <t>1990-11-01</t>
        </is>
      </c>
    </row>
    <row r="33225">
      <c r="A33225" s="1" t="n">
        <v>33224</v>
      </c>
      <c r="B33225">
        <f>TEXT(33224, "[$-0E0000]yyyy-mm-dd")</f>
        <v/>
      </c>
      <c r="C33225" t="inlineStr">
        <is>
          <t>1990-11-02</t>
        </is>
      </c>
    </row>
    <row r="33226">
      <c r="A33226" s="1" t="n">
        <v>33225</v>
      </c>
      <c r="B33226">
        <f>TEXT(33225, "[$-0E0000]yyyy-mm-dd")</f>
        <v/>
      </c>
      <c r="C33226" t="inlineStr">
        <is>
          <t>1990-11-03</t>
        </is>
      </c>
    </row>
    <row r="33227">
      <c r="A33227" s="1" t="n">
        <v>33226</v>
      </c>
      <c r="B33227">
        <f>TEXT(33226, "[$-0E0000]yyyy-mm-dd")</f>
        <v/>
      </c>
      <c r="C33227" t="inlineStr">
        <is>
          <t>1990-11-04</t>
        </is>
      </c>
    </row>
    <row r="33228">
      <c r="A33228" s="1" t="n">
        <v>33227</v>
      </c>
      <c r="B33228">
        <f>TEXT(33227, "[$-0E0000]yyyy-mm-dd")</f>
        <v/>
      </c>
      <c r="C33228" t="inlineStr">
        <is>
          <t>1990-11-05</t>
        </is>
      </c>
    </row>
    <row r="33229">
      <c r="A33229" s="1" t="n">
        <v>33228</v>
      </c>
      <c r="B33229">
        <f>TEXT(33228, "[$-0E0000]yyyy-mm-dd")</f>
        <v/>
      </c>
      <c r="C33229" t="inlineStr">
        <is>
          <t>1990-11-06</t>
        </is>
      </c>
    </row>
    <row r="33230">
      <c r="A33230" s="1" t="n">
        <v>33229</v>
      </c>
      <c r="B33230">
        <f>TEXT(33229, "[$-0E0000]yyyy-mm-dd")</f>
        <v/>
      </c>
      <c r="C33230" t="inlineStr">
        <is>
          <t>1990-11-07</t>
        </is>
      </c>
    </row>
    <row r="33231">
      <c r="A33231" s="1" t="n">
        <v>33230</v>
      </c>
      <c r="B33231">
        <f>TEXT(33230, "[$-0E0000]yyyy-mm-dd")</f>
        <v/>
      </c>
      <c r="C33231" t="inlineStr">
        <is>
          <t>1990-11-08</t>
        </is>
      </c>
    </row>
    <row r="33232">
      <c r="A33232" s="1" t="n">
        <v>33231</v>
      </c>
      <c r="B33232">
        <f>TEXT(33231, "[$-0E0000]yyyy-mm-dd")</f>
        <v/>
      </c>
      <c r="C33232" t="inlineStr">
        <is>
          <t>1990-11-09</t>
        </is>
      </c>
    </row>
    <row r="33233">
      <c r="A33233" s="1" t="n">
        <v>33232</v>
      </c>
      <c r="B33233">
        <f>TEXT(33232, "[$-0E0000]yyyy-mm-dd")</f>
        <v/>
      </c>
      <c r="C33233" t="inlineStr">
        <is>
          <t>1990-11-10</t>
        </is>
      </c>
    </row>
    <row r="33234">
      <c r="A33234" s="1" t="n">
        <v>33233</v>
      </c>
      <c r="B33234">
        <f>TEXT(33233, "[$-0E0000]yyyy-mm-dd")</f>
        <v/>
      </c>
      <c r="C33234" t="inlineStr">
        <is>
          <t>1990-11-11</t>
        </is>
      </c>
    </row>
    <row r="33235">
      <c r="A33235" s="1" t="n">
        <v>33234</v>
      </c>
      <c r="B33235">
        <f>TEXT(33234, "[$-0E0000]yyyy-mm-dd")</f>
        <v/>
      </c>
      <c r="C33235" t="inlineStr">
        <is>
          <t>1990-11-12</t>
        </is>
      </c>
    </row>
    <row r="33236">
      <c r="A33236" s="1" t="n">
        <v>33235</v>
      </c>
      <c r="B33236">
        <f>TEXT(33235, "[$-0E0000]yyyy-mm-dd")</f>
        <v/>
      </c>
      <c r="C33236" t="inlineStr">
        <is>
          <t>1990-11-13</t>
        </is>
      </c>
    </row>
    <row r="33237">
      <c r="A33237" s="1" t="n">
        <v>33236</v>
      </c>
      <c r="B33237">
        <f>TEXT(33236, "[$-0E0000]yyyy-mm-dd")</f>
        <v/>
      </c>
      <c r="C33237" t="inlineStr">
        <is>
          <t>1990-11-14</t>
        </is>
      </c>
    </row>
    <row r="33238">
      <c r="A33238" s="1" t="n">
        <v>33237</v>
      </c>
      <c r="B33238">
        <f>TEXT(33237, "[$-0E0000]yyyy-mm-dd")</f>
        <v/>
      </c>
      <c r="C33238" t="inlineStr">
        <is>
          <t>1990-11-15</t>
        </is>
      </c>
    </row>
    <row r="33239">
      <c r="A33239" s="1" t="n">
        <v>33238</v>
      </c>
      <c r="B33239">
        <f>TEXT(33238, "[$-0E0000]yyyy-mm-dd")</f>
        <v/>
      </c>
      <c r="C33239" t="inlineStr">
        <is>
          <t>1990-11-16</t>
        </is>
      </c>
    </row>
    <row r="33240">
      <c r="A33240" s="1" t="n">
        <v>33239</v>
      </c>
      <c r="B33240">
        <f>TEXT(33239, "[$-0E0000]yyyy-mm-dd")</f>
        <v/>
      </c>
      <c r="C33240" t="inlineStr">
        <is>
          <t>1990-11-17</t>
        </is>
      </c>
    </row>
    <row r="33241">
      <c r="A33241" s="1" t="n">
        <v>33240</v>
      </c>
      <c r="B33241">
        <f>TEXT(33240, "[$-0E0000]yyyy-mm-dd")</f>
        <v/>
      </c>
      <c r="C33241" t="inlineStr">
        <is>
          <t>1990-11-18</t>
        </is>
      </c>
    </row>
    <row r="33242">
      <c r="A33242" s="1" t="n">
        <v>33241</v>
      </c>
      <c r="B33242">
        <f>TEXT(33241, "[$-0E0000]yyyy-mm-dd")</f>
        <v/>
      </c>
      <c r="C33242" t="inlineStr">
        <is>
          <t>1990-11-19</t>
        </is>
      </c>
    </row>
    <row r="33243">
      <c r="A33243" s="1" t="n">
        <v>33242</v>
      </c>
      <c r="B33243">
        <f>TEXT(33242, "[$-0E0000]yyyy-mm-dd")</f>
        <v/>
      </c>
      <c r="C33243" t="inlineStr">
        <is>
          <t>1990-11-20</t>
        </is>
      </c>
    </row>
    <row r="33244">
      <c r="A33244" s="1" t="n">
        <v>33243</v>
      </c>
      <c r="B33244">
        <f>TEXT(33243, "[$-0E0000]yyyy-mm-dd")</f>
        <v/>
      </c>
      <c r="C33244" t="inlineStr">
        <is>
          <t>1990-11-21</t>
        </is>
      </c>
    </row>
    <row r="33245">
      <c r="A33245" s="1" t="n">
        <v>33244</v>
      </c>
      <c r="B33245">
        <f>TEXT(33244, "[$-0E0000]yyyy-mm-dd")</f>
        <v/>
      </c>
      <c r="C33245" t="inlineStr">
        <is>
          <t>1990-11-22</t>
        </is>
      </c>
    </row>
    <row r="33246">
      <c r="A33246" s="1" t="n">
        <v>33245</v>
      </c>
      <c r="B33246">
        <f>TEXT(33245, "[$-0E0000]yyyy-mm-dd")</f>
        <v/>
      </c>
      <c r="C33246" t="inlineStr">
        <is>
          <t>1990-11-23</t>
        </is>
      </c>
    </row>
    <row r="33247">
      <c r="A33247" s="1" t="n">
        <v>33246</v>
      </c>
      <c r="B33247">
        <f>TEXT(33246, "[$-0E0000]yyyy-mm-dd")</f>
        <v/>
      </c>
      <c r="C33247" t="inlineStr">
        <is>
          <t>1990-11-24</t>
        </is>
      </c>
    </row>
    <row r="33248">
      <c r="A33248" s="1" t="n">
        <v>33247</v>
      </c>
      <c r="B33248">
        <f>TEXT(33247, "[$-0E0000]yyyy-mm-dd")</f>
        <v/>
      </c>
      <c r="C33248" t="inlineStr">
        <is>
          <t>1990-11-25</t>
        </is>
      </c>
    </row>
    <row r="33249">
      <c r="A33249" s="1" t="n">
        <v>33248</v>
      </c>
      <c r="B33249">
        <f>TEXT(33248, "[$-0E0000]yyyy-mm-dd")</f>
        <v/>
      </c>
      <c r="C33249" t="inlineStr">
        <is>
          <t>1990-11-26</t>
        </is>
      </c>
    </row>
    <row r="33250">
      <c r="A33250" s="1" t="n">
        <v>33249</v>
      </c>
      <c r="B33250">
        <f>TEXT(33249, "[$-0E0000]yyyy-mm-dd")</f>
        <v/>
      </c>
      <c r="C33250" t="inlineStr">
        <is>
          <t>1990-11-27</t>
        </is>
      </c>
    </row>
    <row r="33251">
      <c r="A33251" s="1" t="n">
        <v>33250</v>
      </c>
      <c r="B33251">
        <f>TEXT(33250, "[$-0E0000]yyyy-mm-dd")</f>
        <v/>
      </c>
      <c r="C33251" t="inlineStr">
        <is>
          <t>1990-11-28</t>
        </is>
      </c>
    </row>
    <row r="33252">
      <c r="A33252" s="1" t="n">
        <v>33251</v>
      </c>
      <c r="B33252">
        <f>TEXT(33251, "[$-0E0000]yyyy-mm-dd")</f>
        <v/>
      </c>
      <c r="C33252" t="inlineStr">
        <is>
          <t>1990-11-29</t>
        </is>
      </c>
    </row>
    <row r="33253">
      <c r="A33253" s="1" t="n">
        <v>33252</v>
      </c>
      <c r="B33253">
        <f>TEXT(33252, "[$-0E0000]yyyy-mm-dd")</f>
        <v/>
      </c>
      <c r="C33253" t="inlineStr">
        <is>
          <t>1990-11-30</t>
        </is>
      </c>
    </row>
    <row r="33254">
      <c r="A33254" s="1" t="n">
        <v>33253</v>
      </c>
      <c r="B33254">
        <f>TEXT(33253, "[$-0E0000]yyyy-mm-dd")</f>
        <v/>
      </c>
      <c r="C33254" t="inlineStr">
        <is>
          <t>1990-12-01</t>
        </is>
      </c>
    </row>
    <row r="33255">
      <c r="A33255" s="1" t="n">
        <v>33254</v>
      </c>
      <c r="B33255">
        <f>TEXT(33254, "[$-0E0000]yyyy-mm-dd")</f>
        <v/>
      </c>
      <c r="C33255" t="inlineStr">
        <is>
          <t>1990-12-02</t>
        </is>
      </c>
    </row>
    <row r="33256">
      <c r="A33256" s="1" t="n">
        <v>33255</v>
      </c>
      <c r="B33256">
        <f>TEXT(33255, "[$-0E0000]yyyy-mm-dd")</f>
        <v/>
      </c>
      <c r="C33256" t="inlineStr">
        <is>
          <t>1990-12-03</t>
        </is>
      </c>
    </row>
    <row r="33257">
      <c r="A33257" s="1" t="n">
        <v>33256</v>
      </c>
      <c r="B33257">
        <f>TEXT(33256, "[$-0E0000]yyyy-mm-dd")</f>
        <v/>
      </c>
      <c r="C33257" t="inlineStr">
        <is>
          <t>1990-12-04</t>
        </is>
      </c>
    </row>
    <row r="33258">
      <c r="A33258" s="1" t="n">
        <v>33257</v>
      </c>
      <c r="B33258">
        <f>TEXT(33257, "[$-0E0000]yyyy-mm-dd")</f>
        <v/>
      </c>
      <c r="C33258" t="inlineStr">
        <is>
          <t>1990-12-05</t>
        </is>
      </c>
    </row>
    <row r="33259">
      <c r="A33259" s="1" t="n">
        <v>33258</v>
      </c>
      <c r="B33259">
        <f>TEXT(33258, "[$-0E0000]yyyy-mm-dd")</f>
        <v/>
      </c>
      <c r="C33259" t="inlineStr">
        <is>
          <t>1990-12-06</t>
        </is>
      </c>
    </row>
    <row r="33260">
      <c r="A33260" s="1" t="n">
        <v>33259</v>
      </c>
      <c r="B33260">
        <f>TEXT(33259, "[$-0E0000]yyyy-mm-dd")</f>
        <v/>
      </c>
      <c r="C33260" t="inlineStr">
        <is>
          <t>1990-12-07</t>
        </is>
      </c>
    </row>
    <row r="33261">
      <c r="A33261" s="1" t="n">
        <v>33260</v>
      </c>
      <c r="B33261">
        <f>TEXT(33260, "[$-0E0000]yyyy-mm-dd")</f>
        <v/>
      </c>
      <c r="C33261" t="inlineStr">
        <is>
          <t>1990-12-08</t>
        </is>
      </c>
    </row>
    <row r="33262">
      <c r="A33262" s="1" t="n">
        <v>33261</v>
      </c>
      <c r="B33262">
        <f>TEXT(33261, "[$-0E0000]yyyy-mm-dd")</f>
        <v/>
      </c>
      <c r="C33262" t="inlineStr">
        <is>
          <t>1990-12-09</t>
        </is>
      </c>
    </row>
    <row r="33263">
      <c r="A33263" s="1" t="n">
        <v>33262</v>
      </c>
      <c r="B33263">
        <f>TEXT(33262, "[$-0E0000]yyyy-mm-dd")</f>
        <v/>
      </c>
      <c r="C33263" t="inlineStr">
        <is>
          <t>1990-12-10</t>
        </is>
      </c>
    </row>
    <row r="33264">
      <c r="A33264" s="1" t="n">
        <v>33263</v>
      </c>
      <c r="B33264">
        <f>TEXT(33263, "[$-0E0000]yyyy-mm-dd")</f>
        <v/>
      </c>
      <c r="C33264" t="inlineStr">
        <is>
          <t>1990-12-11</t>
        </is>
      </c>
    </row>
    <row r="33265">
      <c r="A33265" s="1" t="n">
        <v>33264</v>
      </c>
      <c r="B33265">
        <f>TEXT(33264, "[$-0E0000]yyyy-mm-dd")</f>
        <v/>
      </c>
      <c r="C33265" t="inlineStr">
        <is>
          <t>1990-12-12</t>
        </is>
      </c>
    </row>
    <row r="33266">
      <c r="A33266" s="1" t="n">
        <v>33265</v>
      </c>
      <c r="B33266">
        <f>TEXT(33265, "[$-0E0000]yyyy-mm-dd")</f>
        <v/>
      </c>
      <c r="C33266" t="inlineStr">
        <is>
          <t>1990-12-13</t>
        </is>
      </c>
    </row>
    <row r="33267">
      <c r="A33267" s="1" t="n">
        <v>33266</v>
      </c>
      <c r="B33267">
        <f>TEXT(33266, "[$-0E0000]yyyy-mm-dd")</f>
        <v/>
      </c>
      <c r="C33267" t="inlineStr">
        <is>
          <t>1990-12-14</t>
        </is>
      </c>
    </row>
    <row r="33268">
      <c r="A33268" s="1" t="n">
        <v>33267</v>
      </c>
      <c r="B33268">
        <f>TEXT(33267, "[$-0E0000]yyyy-mm-dd")</f>
        <v/>
      </c>
      <c r="C33268" t="inlineStr">
        <is>
          <t>1990-12-15</t>
        </is>
      </c>
    </row>
    <row r="33269">
      <c r="A33269" s="1" t="n">
        <v>33268</v>
      </c>
      <c r="B33269">
        <f>TEXT(33268, "[$-0E0000]yyyy-mm-dd")</f>
        <v/>
      </c>
      <c r="C33269" t="inlineStr">
        <is>
          <t>1990-12-16</t>
        </is>
      </c>
    </row>
    <row r="33270">
      <c r="A33270" s="1" t="n">
        <v>33269</v>
      </c>
      <c r="B33270">
        <f>TEXT(33269, "[$-0E0000]yyyy-mm-dd")</f>
        <v/>
      </c>
      <c r="C33270" t="inlineStr">
        <is>
          <t>1990-12-17</t>
        </is>
      </c>
    </row>
    <row r="33271">
      <c r="A33271" s="1" t="n">
        <v>33270</v>
      </c>
      <c r="B33271">
        <f>TEXT(33270, "[$-0E0000]yyyy-mm-dd")</f>
        <v/>
      </c>
      <c r="C33271" t="inlineStr">
        <is>
          <t>1990-12-18</t>
        </is>
      </c>
    </row>
    <row r="33272">
      <c r="A33272" s="1" t="n">
        <v>33271</v>
      </c>
      <c r="B33272">
        <f>TEXT(33271, "[$-0E0000]yyyy-mm-dd")</f>
        <v/>
      </c>
      <c r="C33272" t="inlineStr">
        <is>
          <t>1990-12-19</t>
        </is>
      </c>
    </row>
    <row r="33273">
      <c r="A33273" s="1" t="n">
        <v>33272</v>
      </c>
      <c r="B33273">
        <f>TEXT(33272, "[$-0E0000]yyyy-mm-dd")</f>
        <v/>
      </c>
      <c r="C33273" t="inlineStr">
        <is>
          <t>1990-12-20</t>
        </is>
      </c>
    </row>
    <row r="33274">
      <c r="A33274" s="1" t="n">
        <v>33273</v>
      </c>
      <c r="B33274">
        <f>TEXT(33273, "[$-0E0000]yyyy-mm-dd")</f>
        <v/>
      </c>
      <c r="C33274" t="inlineStr">
        <is>
          <t>1990-12-21</t>
        </is>
      </c>
    </row>
    <row r="33275">
      <c r="A33275" s="1" t="n">
        <v>33274</v>
      </c>
      <c r="B33275">
        <f>TEXT(33274, "[$-0E0000]yyyy-mm-dd")</f>
        <v/>
      </c>
      <c r="C33275" t="inlineStr">
        <is>
          <t>1990-12-22</t>
        </is>
      </c>
    </row>
    <row r="33276">
      <c r="A33276" s="1" t="n">
        <v>33275</v>
      </c>
      <c r="B33276">
        <f>TEXT(33275, "[$-0E0000]yyyy-mm-dd")</f>
        <v/>
      </c>
      <c r="C33276" t="inlineStr">
        <is>
          <t>1990-12-23</t>
        </is>
      </c>
    </row>
    <row r="33277">
      <c r="A33277" s="1" t="n">
        <v>33276</v>
      </c>
      <c r="B33277">
        <f>TEXT(33276, "[$-0E0000]yyyy-mm-dd")</f>
        <v/>
      </c>
      <c r="C33277" t="inlineStr">
        <is>
          <t>1990-12-24</t>
        </is>
      </c>
    </row>
    <row r="33278">
      <c r="A33278" s="1" t="n">
        <v>33277</v>
      </c>
      <c r="B33278">
        <f>TEXT(33277, "[$-0E0000]yyyy-mm-dd")</f>
        <v/>
      </c>
      <c r="C33278" t="inlineStr">
        <is>
          <t>1990-12-25</t>
        </is>
      </c>
    </row>
    <row r="33279">
      <c r="A33279" s="1" t="n">
        <v>33278</v>
      </c>
      <c r="B33279">
        <f>TEXT(33278, "[$-0E0000]yyyy-mm-dd")</f>
        <v/>
      </c>
      <c r="C33279" t="inlineStr">
        <is>
          <t>1990-12-26</t>
        </is>
      </c>
    </row>
    <row r="33280">
      <c r="A33280" s="1" t="n">
        <v>33279</v>
      </c>
      <c r="B33280">
        <f>TEXT(33279, "[$-0E0000]yyyy-mm-dd")</f>
        <v/>
      </c>
      <c r="C33280" t="inlineStr">
        <is>
          <t>1990-12-27</t>
        </is>
      </c>
    </row>
    <row r="33281">
      <c r="A33281" s="1" t="n">
        <v>33280</v>
      </c>
      <c r="B33281">
        <f>TEXT(33280, "[$-0E0000]yyyy-mm-dd")</f>
        <v/>
      </c>
      <c r="C33281" t="inlineStr">
        <is>
          <t>1990-12-28</t>
        </is>
      </c>
    </row>
    <row r="33282">
      <c r="A33282" s="1" t="n">
        <v>33281</v>
      </c>
      <c r="B33282">
        <f>TEXT(33281, "[$-0E0000]yyyy-mm-dd")</f>
        <v/>
      </c>
      <c r="C33282" t="inlineStr">
        <is>
          <t>1990-12-29</t>
        </is>
      </c>
    </row>
    <row r="33283">
      <c r="A33283" s="1" t="n">
        <v>33282</v>
      </c>
      <c r="B33283">
        <f>TEXT(33282, "[$-0E0000]yyyy-mm-dd")</f>
        <v/>
      </c>
      <c r="C33283" t="inlineStr">
        <is>
          <t>1990-12-30</t>
        </is>
      </c>
    </row>
    <row r="33284">
      <c r="A33284" s="1" t="n">
        <v>33283</v>
      </c>
      <c r="B33284">
        <f>TEXT(33283, "[$-0E0000]yyyy-mm-dd")</f>
        <v/>
      </c>
      <c r="C33284" t="inlineStr">
        <is>
          <t>1991-01-01</t>
        </is>
      </c>
    </row>
    <row r="33285">
      <c r="A33285" s="1" t="n">
        <v>33284</v>
      </c>
      <c r="B33285">
        <f>TEXT(33284, "[$-0E0000]yyyy-mm-dd")</f>
        <v/>
      </c>
      <c r="C33285" t="inlineStr">
        <is>
          <t>1991-01-02</t>
        </is>
      </c>
    </row>
    <row r="33286">
      <c r="A33286" s="1" t="n">
        <v>33285</v>
      </c>
      <c r="B33286">
        <f>TEXT(33285, "[$-0E0000]yyyy-mm-dd")</f>
        <v/>
      </c>
      <c r="C33286" t="inlineStr">
        <is>
          <t>1991-01-03</t>
        </is>
      </c>
    </row>
    <row r="33287">
      <c r="A33287" s="1" t="n">
        <v>33286</v>
      </c>
      <c r="B33287">
        <f>TEXT(33286, "[$-0E0000]yyyy-mm-dd")</f>
        <v/>
      </c>
      <c r="C33287" t="inlineStr">
        <is>
          <t>1991-01-04</t>
        </is>
      </c>
    </row>
    <row r="33288">
      <c r="A33288" s="1" t="n">
        <v>33287</v>
      </c>
      <c r="B33288">
        <f>TEXT(33287, "[$-0E0000]yyyy-mm-dd")</f>
        <v/>
      </c>
      <c r="C33288" t="inlineStr">
        <is>
          <t>1991-01-05</t>
        </is>
      </c>
    </row>
    <row r="33289">
      <c r="A33289" s="1" t="n">
        <v>33288</v>
      </c>
      <c r="B33289">
        <f>TEXT(33288, "[$-0E0000]yyyy-mm-dd")</f>
        <v/>
      </c>
      <c r="C33289" t="inlineStr">
        <is>
          <t>1991-01-06</t>
        </is>
      </c>
    </row>
    <row r="33290">
      <c r="A33290" s="1" t="n">
        <v>33289</v>
      </c>
      <c r="B33290">
        <f>TEXT(33289, "[$-0E0000]yyyy-mm-dd")</f>
        <v/>
      </c>
      <c r="C33290" t="inlineStr">
        <is>
          <t>1991-01-07</t>
        </is>
      </c>
    </row>
    <row r="33291">
      <c r="A33291" s="1" t="n">
        <v>33290</v>
      </c>
      <c r="B33291">
        <f>TEXT(33290, "[$-0E0000]yyyy-mm-dd")</f>
        <v/>
      </c>
      <c r="C33291" t="inlineStr">
        <is>
          <t>1991-01-08</t>
        </is>
      </c>
    </row>
    <row r="33292">
      <c r="A33292" s="1" t="n">
        <v>33291</v>
      </c>
      <c r="B33292">
        <f>TEXT(33291, "[$-0E0000]yyyy-mm-dd")</f>
        <v/>
      </c>
      <c r="C33292" t="inlineStr">
        <is>
          <t>1991-01-09</t>
        </is>
      </c>
    </row>
    <row r="33293">
      <c r="A33293" s="1" t="n">
        <v>33292</v>
      </c>
      <c r="B33293">
        <f>TEXT(33292, "[$-0E0000]yyyy-mm-dd")</f>
        <v/>
      </c>
      <c r="C33293" t="inlineStr">
        <is>
          <t>1991-01-10</t>
        </is>
      </c>
    </row>
    <row r="33294">
      <c r="A33294" s="1" t="n">
        <v>33293</v>
      </c>
      <c r="B33294">
        <f>TEXT(33293, "[$-0E0000]yyyy-mm-dd")</f>
        <v/>
      </c>
      <c r="C33294" t="inlineStr">
        <is>
          <t>1991-01-11</t>
        </is>
      </c>
    </row>
    <row r="33295">
      <c r="A33295" s="1" t="n">
        <v>33294</v>
      </c>
      <c r="B33295">
        <f>TEXT(33294, "[$-0E0000]yyyy-mm-dd")</f>
        <v/>
      </c>
      <c r="C33295" t="inlineStr">
        <is>
          <t>1991-01-12</t>
        </is>
      </c>
    </row>
    <row r="33296">
      <c r="A33296" s="1" t="n">
        <v>33295</v>
      </c>
      <c r="B33296">
        <f>TEXT(33295, "[$-0E0000]yyyy-mm-dd")</f>
        <v/>
      </c>
      <c r="C33296" t="inlineStr">
        <is>
          <t>1991-01-13</t>
        </is>
      </c>
    </row>
    <row r="33297">
      <c r="A33297" s="1" t="n">
        <v>33296</v>
      </c>
      <c r="B33297">
        <f>TEXT(33296, "[$-0E0000]yyyy-mm-dd")</f>
        <v/>
      </c>
      <c r="C33297" t="inlineStr">
        <is>
          <t>1991-01-14</t>
        </is>
      </c>
    </row>
    <row r="33298">
      <c r="A33298" s="1" t="n">
        <v>33297</v>
      </c>
      <c r="B33298">
        <f>TEXT(33297, "[$-0E0000]yyyy-mm-dd")</f>
        <v/>
      </c>
      <c r="C33298" t="inlineStr">
        <is>
          <t>1991-01-15</t>
        </is>
      </c>
    </row>
    <row r="33299">
      <c r="A33299" s="1" t="n">
        <v>33298</v>
      </c>
      <c r="B33299">
        <f>TEXT(33298, "[$-0E0000]yyyy-mm-dd")</f>
        <v/>
      </c>
      <c r="C33299" t="inlineStr">
        <is>
          <t>1991-01-16</t>
        </is>
      </c>
    </row>
    <row r="33300">
      <c r="A33300" s="1" t="n">
        <v>33299</v>
      </c>
      <c r="B33300">
        <f>TEXT(33299, "[$-0E0000]yyyy-mm-dd")</f>
        <v/>
      </c>
      <c r="C33300" t="inlineStr">
        <is>
          <t>1991-01-17</t>
        </is>
      </c>
    </row>
    <row r="33301">
      <c r="A33301" s="1" t="n">
        <v>33300</v>
      </c>
      <c r="B33301">
        <f>TEXT(33300, "[$-0E0000]yyyy-mm-dd")</f>
        <v/>
      </c>
      <c r="C33301" t="inlineStr">
        <is>
          <t>1991-01-18</t>
        </is>
      </c>
    </row>
    <row r="33302">
      <c r="A33302" s="1" t="n">
        <v>33301</v>
      </c>
      <c r="B33302">
        <f>TEXT(33301, "[$-0E0000]yyyy-mm-dd")</f>
        <v/>
      </c>
      <c r="C33302" t="inlineStr">
        <is>
          <t>1991-01-19</t>
        </is>
      </c>
    </row>
    <row r="33303">
      <c r="A33303" s="1" t="n">
        <v>33302</v>
      </c>
      <c r="B33303">
        <f>TEXT(33302, "[$-0E0000]yyyy-mm-dd")</f>
        <v/>
      </c>
      <c r="C33303" t="inlineStr">
        <is>
          <t>1991-01-20</t>
        </is>
      </c>
    </row>
    <row r="33304">
      <c r="A33304" s="1" t="n">
        <v>33303</v>
      </c>
      <c r="B33304">
        <f>TEXT(33303, "[$-0E0000]yyyy-mm-dd")</f>
        <v/>
      </c>
      <c r="C33304" t="inlineStr">
        <is>
          <t>1991-01-21</t>
        </is>
      </c>
    </row>
    <row r="33305">
      <c r="A33305" s="1" t="n">
        <v>33304</v>
      </c>
      <c r="B33305">
        <f>TEXT(33304, "[$-0E0000]yyyy-mm-dd")</f>
        <v/>
      </c>
      <c r="C33305" t="inlineStr">
        <is>
          <t>1991-01-22</t>
        </is>
      </c>
    </row>
    <row r="33306">
      <c r="A33306" s="1" t="n">
        <v>33305</v>
      </c>
      <c r="B33306">
        <f>TEXT(33305, "[$-0E0000]yyyy-mm-dd")</f>
        <v/>
      </c>
      <c r="C33306" t="inlineStr">
        <is>
          <t>1991-01-23</t>
        </is>
      </c>
    </row>
    <row r="33307">
      <c r="A33307" s="1" t="n">
        <v>33306</v>
      </c>
      <c r="B33307">
        <f>TEXT(33306, "[$-0E0000]yyyy-mm-dd")</f>
        <v/>
      </c>
      <c r="C33307" t="inlineStr">
        <is>
          <t>1991-01-24</t>
        </is>
      </c>
    </row>
    <row r="33308">
      <c r="A33308" s="1" t="n">
        <v>33307</v>
      </c>
      <c r="B33308">
        <f>TEXT(33307, "[$-0E0000]yyyy-mm-dd")</f>
        <v/>
      </c>
      <c r="C33308" t="inlineStr">
        <is>
          <t>1991-01-25</t>
        </is>
      </c>
    </row>
    <row r="33309">
      <c r="A33309" s="1" t="n">
        <v>33308</v>
      </c>
      <c r="B33309">
        <f>TEXT(33308, "[$-0E0000]yyyy-mm-dd")</f>
        <v/>
      </c>
      <c r="C33309" t="inlineStr">
        <is>
          <t>1991-01-26</t>
        </is>
      </c>
    </row>
    <row r="33310">
      <c r="A33310" s="1" t="n">
        <v>33309</v>
      </c>
      <c r="B33310">
        <f>TEXT(33309, "[$-0E0000]yyyy-mm-dd")</f>
        <v/>
      </c>
      <c r="C33310" t="inlineStr">
        <is>
          <t>1991-01-27</t>
        </is>
      </c>
    </row>
    <row r="33311">
      <c r="A33311" s="1" t="n">
        <v>33310</v>
      </c>
      <c r="B33311">
        <f>TEXT(33310, "[$-0E0000]yyyy-mm-dd")</f>
        <v/>
      </c>
      <c r="C33311" t="inlineStr">
        <is>
          <t>1991-01-28</t>
        </is>
      </c>
    </row>
    <row r="33312">
      <c r="A33312" s="1" t="n">
        <v>33311</v>
      </c>
      <c r="B33312">
        <f>TEXT(33311, "[$-0E0000]yyyy-mm-dd")</f>
        <v/>
      </c>
      <c r="C33312" t="inlineStr">
        <is>
          <t>1991-01-29</t>
        </is>
      </c>
    </row>
    <row r="33313">
      <c r="A33313" s="1" t="n">
        <v>33312</v>
      </c>
      <c r="B33313">
        <f>TEXT(33312, "[$-0E0000]yyyy-mm-dd")</f>
        <v/>
      </c>
      <c r="C33313" t="inlineStr">
        <is>
          <t>1991-02-01</t>
        </is>
      </c>
    </row>
    <row r="33314">
      <c r="A33314" s="1" t="n">
        <v>33313</v>
      </c>
      <c r="B33314">
        <f>TEXT(33313, "[$-0E0000]yyyy-mm-dd")</f>
        <v/>
      </c>
      <c r="C33314" t="inlineStr">
        <is>
          <t>1991-02-02</t>
        </is>
      </c>
    </row>
    <row r="33315">
      <c r="A33315" s="1" t="n">
        <v>33314</v>
      </c>
      <c r="B33315">
        <f>TEXT(33314, "[$-0E0000]yyyy-mm-dd")</f>
        <v/>
      </c>
      <c r="C33315" t="inlineStr">
        <is>
          <t>1991-02-03</t>
        </is>
      </c>
    </row>
    <row r="33316">
      <c r="A33316" s="1" t="n">
        <v>33315</v>
      </c>
      <c r="B33316">
        <f>TEXT(33315, "[$-0E0000]yyyy-mm-dd")</f>
        <v/>
      </c>
      <c r="C33316" t="inlineStr">
        <is>
          <t>1991-02-04</t>
        </is>
      </c>
    </row>
    <row r="33317">
      <c r="A33317" s="1" t="n">
        <v>33316</v>
      </c>
      <c r="B33317">
        <f>TEXT(33316, "[$-0E0000]yyyy-mm-dd")</f>
        <v/>
      </c>
      <c r="C33317" t="inlineStr">
        <is>
          <t>1991-02-05</t>
        </is>
      </c>
    </row>
    <row r="33318">
      <c r="A33318" s="1" t="n">
        <v>33317</v>
      </c>
      <c r="B33318">
        <f>TEXT(33317, "[$-0E0000]yyyy-mm-dd")</f>
        <v/>
      </c>
      <c r="C33318" t="inlineStr">
        <is>
          <t>1991-02-06</t>
        </is>
      </c>
    </row>
    <row r="33319">
      <c r="A33319" s="1" t="n">
        <v>33318</v>
      </c>
      <c r="B33319">
        <f>TEXT(33318, "[$-0E0000]yyyy-mm-dd")</f>
        <v/>
      </c>
      <c r="C33319" t="inlineStr">
        <is>
          <t>1991-02-07</t>
        </is>
      </c>
    </row>
    <row r="33320">
      <c r="A33320" s="1" t="n">
        <v>33319</v>
      </c>
      <c r="B33320">
        <f>TEXT(33319, "[$-0E0000]yyyy-mm-dd")</f>
        <v/>
      </c>
      <c r="C33320" t="inlineStr">
        <is>
          <t>1991-02-08</t>
        </is>
      </c>
    </row>
    <row r="33321">
      <c r="A33321" s="1" t="n">
        <v>33320</v>
      </c>
      <c r="B33321">
        <f>TEXT(33320, "[$-0E0000]yyyy-mm-dd")</f>
        <v/>
      </c>
      <c r="C33321" t="inlineStr">
        <is>
          <t>1991-02-09</t>
        </is>
      </c>
    </row>
    <row r="33322">
      <c r="A33322" s="1" t="n">
        <v>33321</v>
      </c>
      <c r="B33322">
        <f>TEXT(33321, "[$-0E0000]yyyy-mm-dd")</f>
        <v/>
      </c>
      <c r="C33322" t="inlineStr">
        <is>
          <t>1991-02-10</t>
        </is>
      </c>
    </row>
    <row r="33323">
      <c r="A33323" s="1" t="n">
        <v>33322</v>
      </c>
      <c r="B33323">
        <f>TEXT(33322, "[$-0E0000]yyyy-mm-dd")</f>
        <v/>
      </c>
      <c r="C33323" t="inlineStr">
        <is>
          <t>1991-02-11</t>
        </is>
      </c>
    </row>
    <row r="33324">
      <c r="A33324" s="1" t="n">
        <v>33323</v>
      </c>
      <c r="B33324">
        <f>TEXT(33323, "[$-0E0000]yyyy-mm-dd")</f>
        <v/>
      </c>
      <c r="C33324" t="inlineStr">
        <is>
          <t>1991-02-12</t>
        </is>
      </c>
    </row>
    <row r="33325">
      <c r="A33325" s="1" t="n">
        <v>33324</v>
      </c>
      <c r="B33325">
        <f>TEXT(33324, "[$-0E0000]yyyy-mm-dd")</f>
        <v/>
      </c>
      <c r="C33325" t="inlineStr">
        <is>
          <t>1991-02-13</t>
        </is>
      </c>
    </row>
    <row r="33326">
      <c r="A33326" s="1" t="n">
        <v>33325</v>
      </c>
      <c r="B33326">
        <f>TEXT(33325, "[$-0E0000]yyyy-mm-dd")</f>
        <v/>
      </c>
      <c r="C33326" t="inlineStr">
        <is>
          <t>1991-02-14</t>
        </is>
      </c>
    </row>
    <row r="33327">
      <c r="A33327" s="1" t="n">
        <v>33326</v>
      </c>
      <c r="B33327">
        <f>TEXT(33326, "[$-0E0000]yyyy-mm-dd")</f>
        <v/>
      </c>
      <c r="C33327" t="inlineStr">
        <is>
          <t>1991-02-15</t>
        </is>
      </c>
    </row>
    <row r="33328">
      <c r="A33328" s="1" t="n">
        <v>33327</v>
      </c>
      <c r="B33328">
        <f>TEXT(33327, "[$-0E0000]yyyy-mm-dd")</f>
        <v/>
      </c>
      <c r="C33328" t="inlineStr">
        <is>
          <t>1991-02-16</t>
        </is>
      </c>
    </row>
    <row r="33329">
      <c r="A33329" s="1" t="n">
        <v>33328</v>
      </c>
      <c r="B33329">
        <f>TEXT(33328, "[$-0E0000]yyyy-mm-dd")</f>
        <v/>
      </c>
      <c r="C33329" t="inlineStr">
        <is>
          <t>1991-02-17</t>
        </is>
      </c>
    </row>
    <row r="33330">
      <c r="A33330" s="1" t="n">
        <v>33329</v>
      </c>
      <c r="B33330">
        <f>TEXT(33329, "[$-0E0000]yyyy-mm-dd")</f>
        <v/>
      </c>
      <c r="C33330" t="inlineStr">
        <is>
          <t>1991-02-18</t>
        </is>
      </c>
    </row>
    <row r="33331">
      <c r="A33331" s="1" t="n">
        <v>33330</v>
      </c>
      <c r="B33331">
        <f>TEXT(33330, "[$-0E0000]yyyy-mm-dd")</f>
        <v/>
      </c>
      <c r="C33331" t="inlineStr">
        <is>
          <t>1991-02-19</t>
        </is>
      </c>
    </row>
    <row r="33332">
      <c r="A33332" s="1" t="n">
        <v>33331</v>
      </c>
      <c r="B33332">
        <f>TEXT(33331, "[$-0E0000]yyyy-mm-dd")</f>
        <v/>
      </c>
      <c r="C33332" t="inlineStr">
        <is>
          <t>1991-02-20</t>
        </is>
      </c>
    </row>
    <row r="33333">
      <c r="A33333" s="1" t="n">
        <v>33332</v>
      </c>
      <c r="B33333">
        <f>TEXT(33332, "[$-0E0000]yyyy-mm-dd")</f>
        <v/>
      </c>
      <c r="C33333" t="inlineStr">
        <is>
          <t>1991-02-21</t>
        </is>
      </c>
    </row>
    <row r="33334">
      <c r="A33334" s="1" t="n">
        <v>33333</v>
      </c>
      <c r="B33334">
        <f>TEXT(33333, "[$-0E0000]yyyy-mm-dd")</f>
        <v/>
      </c>
      <c r="C33334" t="inlineStr">
        <is>
          <t>1991-02-22</t>
        </is>
      </c>
    </row>
    <row r="33335">
      <c r="A33335" s="1" t="n">
        <v>33334</v>
      </c>
      <c r="B33335">
        <f>TEXT(33334, "[$-0E0000]yyyy-mm-dd")</f>
        <v/>
      </c>
      <c r="C33335" t="inlineStr">
        <is>
          <t>1991-02-23</t>
        </is>
      </c>
    </row>
    <row r="33336">
      <c r="A33336" s="1" t="n">
        <v>33335</v>
      </c>
      <c r="B33336">
        <f>TEXT(33335, "[$-0E0000]yyyy-mm-dd")</f>
        <v/>
      </c>
      <c r="C33336" t="inlineStr">
        <is>
          <t>1991-02-24</t>
        </is>
      </c>
    </row>
    <row r="33337">
      <c r="A33337" s="1" t="n">
        <v>33336</v>
      </c>
      <c r="B33337">
        <f>TEXT(33336, "[$-0E0000]yyyy-mm-dd")</f>
        <v/>
      </c>
      <c r="C33337" t="inlineStr">
        <is>
          <t>1991-02-25</t>
        </is>
      </c>
    </row>
    <row r="33338">
      <c r="A33338" s="1" t="n">
        <v>33337</v>
      </c>
      <c r="B33338">
        <f>TEXT(33337, "[$-0E0000]yyyy-mm-dd")</f>
        <v/>
      </c>
      <c r="C33338" t="inlineStr">
        <is>
          <t>1991-02-26</t>
        </is>
      </c>
    </row>
    <row r="33339">
      <c r="A33339" s="1" t="n">
        <v>33338</v>
      </c>
      <c r="B33339">
        <f>TEXT(33338, "[$-0E0000]yyyy-mm-dd")</f>
        <v/>
      </c>
      <c r="C33339" t="inlineStr">
        <is>
          <t>1991-02-27</t>
        </is>
      </c>
    </row>
    <row r="33340">
      <c r="A33340" s="1" t="n">
        <v>33339</v>
      </c>
      <c r="B33340">
        <f>TEXT(33339, "[$-0E0000]yyyy-mm-dd")</f>
        <v/>
      </c>
      <c r="C33340" t="inlineStr">
        <is>
          <t>1991-02-28</t>
        </is>
      </c>
    </row>
    <row r="33341">
      <c r="A33341" s="1" t="n">
        <v>33340</v>
      </c>
      <c r="B33341">
        <f>TEXT(33340, "[$-0E0000]yyyy-mm-dd")</f>
        <v/>
      </c>
      <c r="C33341" t="inlineStr">
        <is>
          <t>1991-02-29</t>
        </is>
      </c>
    </row>
    <row r="33342">
      <c r="A33342" s="1" t="n">
        <v>33341</v>
      </c>
      <c r="B33342">
        <f>TEXT(33341, "[$-0E0000]yyyy-mm-dd")</f>
        <v/>
      </c>
      <c r="C33342" t="inlineStr">
        <is>
          <t>1991-02-30</t>
        </is>
      </c>
    </row>
    <row r="33343">
      <c r="A33343" s="1" t="n">
        <v>33342</v>
      </c>
      <c r="B33343">
        <f>TEXT(33342, "[$-0E0000]yyyy-mm-dd")</f>
        <v/>
      </c>
      <c r="C33343" t="inlineStr">
        <is>
          <t>1991-03-01</t>
        </is>
      </c>
    </row>
    <row r="33344">
      <c r="A33344" s="1" t="n">
        <v>33343</v>
      </c>
      <c r="B33344">
        <f>TEXT(33343, "[$-0E0000]yyyy-mm-dd")</f>
        <v/>
      </c>
      <c r="C33344" t="inlineStr">
        <is>
          <t>1991-03-02</t>
        </is>
      </c>
    </row>
    <row r="33345">
      <c r="A33345" s="1" t="n">
        <v>33344</v>
      </c>
      <c r="B33345">
        <f>TEXT(33344, "[$-0E0000]yyyy-mm-dd")</f>
        <v/>
      </c>
      <c r="C33345" t="inlineStr">
        <is>
          <t>1991-03-03</t>
        </is>
      </c>
    </row>
    <row r="33346">
      <c r="A33346" s="1" t="n">
        <v>33345</v>
      </c>
      <c r="B33346">
        <f>TEXT(33345, "[$-0E0000]yyyy-mm-dd")</f>
        <v/>
      </c>
      <c r="C33346" t="inlineStr">
        <is>
          <t>1991-03-04</t>
        </is>
      </c>
    </row>
    <row r="33347">
      <c r="A33347" s="1" t="n">
        <v>33346</v>
      </c>
      <c r="B33347">
        <f>TEXT(33346, "[$-0E0000]yyyy-mm-dd")</f>
        <v/>
      </c>
      <c r="C33347" t="inlineStr">
        <is>
          <t>1991-03-05</t>
        </is>
      </c>
    </row>
    <row r="33348">
      <c r="A33348" s="1" t="n">
        <v>33347</v>
      </c>
      <c r="B33348">
        <f>TEXT(33347, "[$-0E0000]yyyy-mm-dd")</f>
        <v/>
      </c>
      <c r="C33348" t="inlineStr">
        <is>
          <t>1991-03-06</t>
        </is>
      </c>
    </row>
    <row r="33349">
      <c r="A33349" s="1" t="n">
        <v>33348</v>
      </c>
      <c r="B33349">
        <f>TEXT(33348, "[$-0E0000]yyyy-mm-dd")</f>
        <v/>
      </c>
      <c r="C33349" t="inlineStr">
        <is>
          <t>1991-03-07</t>
        </is>
      </c>
    </row>
    <row r="33350">
      <c r="A33350" s="1" t="n">
        <v>33349</v>
      </c>
      <c r="B33350">
        <f>TEXT(33349, "[$-0E0000]yyyy-mm-dd")</f>
        <v/>
      </c>
      <c r="C33350" t="inlineStr">
        <is>
          <t>1991-03-08</t>
        </is>
      </c>
    </row>
    <row r="33351">
      <c r="A33351" s="1" t="n">
        <v>33350</v>
      </c>
      <c r="B33351">
        <f>TEXT(33350, "[$-0E0000]yyyy-mm-dd")</f>
        <v/>
      </c>
      <c r="C33351" t="inlineStr">
        <is>
          <t>1991-03-09</t>
        </is>
      </c>
    </row>
    <row r="33352">
      <c r="A33352" s="1" t="n">
        <v>33351</v>
      </c>
      <c r="B33352">
        <f>TEXT(33351, "[$-0E0000]yyyy-mm-dd")</f>
        <v/>
      </c>
      <c r="C33352" t="inlineStr">
        <is>
          <t>1991-03-10</t>
        </is>
      </c>
    </row>
    <row r="33353">
      <c r="A33353" s="1" t="n">
        <v>33352</v>
      </c>
      <c r="B33353">
        <f>TEXT(33352, "[$-0E0000]yyyy-mm-dd")</f>
        <v/>
      </c>
      <c r="C33353" t="inlineStr">
        <is>
          <t>1991-03-11</t>
        </is>
      </c>
    </row>
    <row r="33354">
      <c r="A33354" s="1" t="n">
        <v>33353</v>
      </c>
      <c r="B33354">
        <f>TEXT(33353, "[$-0E0000]yyyy-mm-dd")</f>
        <v/>
      </c>
      <c r="C33354" t="inlineStr">
        <is>
          <t>1991-03-12</t>
        </is>
      </c>
    </row>
    <row r="33355">
      <c r="A33355" s="1" t="n">
        <v>33354</v>
      </c>
      <c r="B33355">
        <f>TEXT(33354, "[$-0E0000]yyyy-mm-dd")</f>
        <v/>
      </c>
      <c r="C33355" t="inlineStr">
        <is>
          <t>1991-03-13</t>
        </is>
      </c>
    </row>
    <row r="33356">
      <c r="A33356" s="1" t="n">
        <v>33355</v>
      </c>
      <c r="B33356">
        <f>TEXT(33355, "[$-0E0000]yyyy-mm-dd")</f>
        <v/>
      </c>
      <c r="C33356" t="inlineStr">
        <is>
          <t>1991-03-14</t>
        </is>
      </c>
    </row>
    <row r="33357">
      <c r="A33357" s="1" t="n">
        <v>33356</v>
      </c>
      <c r="B33357">
        <f>TEXT(33356, "[$-0E0000]yyyy-mm-dd")</f>
        <v/>
      </c>
      <c r="C33357" t="inlineStr">
        <is>
          <t>1991-03-15</t>
        </is>
      </c>
    </row>
    <row r="33358">
      <c r="A33358" s="1" t="n">
        <v>33357</v>
      </c>
      <c r="B33358">
        <f>TEXT(33357, "[$-0E0000]yyyy-mm-dd")</f>
        <v/>
      </c>
      <c r="C33358" t="inlineStr">
        <is>
          <t>1991-03-16</t>
        </is>
      </c>
    </row>
    <row r="33359">
      <c r="A33359" s="1" t="n">
        <v>33358</v>
      </c>
      <c r="B33359">
        <f>TEXT(33358, "[$-0E0000]yyyy-mm-dd")</f>
        <v/>
      </c>
      <c r="C33359" t="inlineStr">
        <is>
          <t>1991-03-17</t>
        </is>
      </c>
    </row>
    <row r="33360">
      <c r="A33360" s="1" t="n">
        <v>33359</v>
      </c>
      <c r="B33360">
        <f>TEXT(33359, "[$-0E0000]yyyy-mm-dd")</f>
        <v/>
      </c>
      <c r="C33360" t="inlineStr">
        <is>
          <t>1991-03-18</t>
        </is>
      </c>
    </row>
    <row r="33361">
      <c r="A33361" s="1" t="n">
        <v>33360</v>
      </c>
      <c r="B33361">
        <f>TEXT(33360, "[$-0E0000]yyyy-mm-dd")</f>
        <v/>
      </c>
      <c r="C33361" t="inlineStr">
        <is>
          <t>1991-03-19</t>
        </is>
      </c>
    </row>
    <row r="33362">
      <c r="A33362" s="1" t="n">
        <v>33361</v>
      </c>
      <c r="B33362">
        <f>TEXT(33361, "[$-0E0000]yyyy-mm-dd")</f>
        <v/>
      </c>
      <c r="C33362" t="inlineStr">
        <is>
          <t>1991-03-20</t>
        </is>
      </c>
    </row>
    <row r="33363">
      <c r="A33363" s="1" t="n">
        <v>33362</v>
      </c>
      <c r="B33363">
        <f>TEXT(33362, "[$-0E0000]yyyy-mm-dd")</f>
        <v/>
      </c>
      <c r="C33363" t="inlineStr">
        <is>
          <t>1991-03-21</t>
        </is>
      </c>
    </row>
    <row r="33364">
      <c r="A33364" s="1" t="n">
        <v>33363</v>
      </c>
      <c r="B33364">
        <f>TEXT(33363, "[$-0E0000]yyyy-mm-dd")</f>
        <v/>
      </c>
      <c r="C33364" t="inlineStr">
        <is>
          <t>1991-03-22</t>
        </is>
      </c>
    </row>
    <row r="33365">
      <c r="A33365" s="1" t="n">
        <v>33364</v>
      </c>
      <c r="B33365">
        <f>TEXT(33364, "[$-0E0000]yyyy-mm-dd")</f>
        <v/>
      </c>
      <c r="C33365" t="inlineStr">
        <is>
          <t>1991-03-23</t>
        </is>
      </c>
    </row>
    <row r="33366">
      <c r="A33366" s="1" t="n">
        <v>33365</v>
      </c>
      <c r="B33366">
        <f>TEXT(33365, "[$-0E0000]yyyy-mm-dd")</f>
        <v/>
      </c>
      <c r="C33366" t="inlineStr">
        <is>
          <t>1991-03-24</t>
        </is>
      </c>
    </row>
    <row r="33367">
      <c r="A33367" s="1" t="n">
        <v>33366</v>
      </c>
      <c r="B33367">
        <f>TEXT(33366, "[$-0E0000]yyyy-mm-dd")</f>
        <v/>
      </c>
      <c r="C33367" t="inlineStr">
        <is>
          <t>1991-03-25</t>
        </is>
      </c>
    </row>
    <row r="33368">
      <c r="A33368" s="1" t="n">
        <v>33367</v>
      </c>
      <c r="B33368">
        <f>TEXT(33367, "[$-0E0000]yyyy-mm-dd")</f>
        <v/>
      </c>
      <c r="C33368" t="inlineStr">
        <is>
          <t>1991-03-26</t>
        </is>
      </c>
    </row>
    <row r="33369">
      <c r="A33369" s="1" t="n">
        <v>33368</v>
      </c>
      <c r="B33369">
        <f>TEXT(33368, "[$-0E0000]yyyy-mm-dd")</f>
        <v/>
      </c>
      <c r="C33369" t="inlineStr">
        <is>
          <t>1991-03-27</t>
        </is>
      </c>
    </row>
    <row r="33370">
      <c r="A33370" s="1" t="n">
        <v>33369</v>
      </c>
      <c r="B33370">
        <f>TEXT(33369, "[$-0E0000]yyyy-mm-dd")</f>
        <v/>
      </c>
      <c r="C33370" t="inlineStr">
        <is>
          <t>1991-03-28</t>
        </is>
      </c>
    </row>
    <row r="33371">
      <c r="A33371" s="1" t="n">
        <v>33370</v>
      </c>
      <c r="B33371">
        <f>TEXT(33370, "[$-0E0000]yyyy-mm-dd")</f>
        <v/>
      </c>
      <c r="C33371" t="inlineStr">
        <is>
          <t>1991-03-29</t>
        </is>
      </c>
    </row>
    <row r="33372">
      <c r="A33372" s="1" t="n">
        <v>33371</v>
      </c>
      <c r="B33372">
        <f>TEXT(33371, "[$-0E0000]yyyy-mm-dd")</f>
        <v/>
      </c>
      <c r="C33372" t="inlineStr">
        <is>
          <t>1991-04-01</t>
        </is>
      </c>
    </row>
    <row r="33373">
      <c r="A33373" s="1" t="n">
        <v>33372</v>
      </c>
      <c r="B33373">
        <f>TEXT(33372, "[$-0E0000]yyyy-mm-dd")</f>
        <v/>
      </c>
      <c r="C33373" t="inlineStr">
        <is>
          <t>1991-04-02</t>
        </is>
      </c>
    </row>
    <row r="33374">
      <c r="A33374" s="1" t="n">
        <v>33373</v>
      </c>
      <c r="B33374">
        <f>TEXT(33373, "[$-0E0000]yyyy-mm-dd")</f>
        <v/>
      </c>
      <c r="C33374" t="inlineStr">
        <is>
          <t>1991-04-03</t>
        </is>
      </c>
    </row>
    <row r="33375">
      <c r="A33375" s="1" t="n">
        <v>33374</v>
      </c>
      <c r="B33375">
        <f>TEXT(33374, "[$-0E0000]yyyy-mm-dd")</f>
        <v/>
      </c>
      <c r="C33375" t="inlineStr">
        <is>
          <t>1991-04-04</t>
        </is>
      </c>
    </row>
    <row r="33376">
      <c r="A33376" s="1" t="n">
        <v>33375</v>
      </c>
      <c r="B33376">
        <f>TEXT(33375, "[$-0E0000]yyyy-mm-dd")</f>
        <v/>
      </c>
      <c r="C33376" t="inlineStr">
        <is>
          <t>1991-04-05</t>
        </is>
      </c>
    </row>
    <row r="33377">
      <c r="A33377" s="1" t="n">
        <v>33376</v>
      </c>
      <c r="B33377">
        <f>TEXT(33376, "[$-0E0000]yyyy-mm-dd")</f>
        <v/>
      </c>
      <c r="C33377" t="inlineStr">
        <is>
          <t>1991-04-06</t>
        </is>
      </c>
    </row>
    <row r="33378">
      <c r="A33378" s="1" t="n">
        <v>33377</v>
      </c>
      <c r="B33378">
        <f>TEXT(33377, "[$-0E0000]yyyy-mm-dd")</f>
        <v/>
      </c>
      <c r="C33378" t="inlineStr">
        <is>
          <t>1991-04-07</t>
        </is>
      </c>
    </row>
    <row r="33379">
      <c r="A33379" s="1" t="n">
        <v>33378</v>
      </c>
      <c r="B33379">
        <f>TEXT(33378, "[$-0E0000]yyyy-mm-dd")</f>
        <v/>
      </c>
      <c r="C33379" t="inlineStr">
        <is>
          <t>1991-04-08</t>
        </is>
      </c>
    </row>
    <row r="33380">
      <c r="A33380" s="1" t="n">
        <v>33379</v>
      </c>
      <c r="B33380">
        <f>TEXT(33379, "[$-0E0000]yyyy-mm-dd")</f>
        <v/>
      </c>
      <c r="C33380" t="inlineStr">
        <is>
          <t>1991-04-09</t>
        </is>
      </c>
    </row>
    <row r="33381">
      <c r="A33381" s="1" t="n">
        <v>33380</v>
      </c>
      <c r="B33381">
        <f>TEXT(33380, "[$-0E0000]yyyy-mm-dd")</f>
        <v/>
      </c>
      <c r="C33381" t="inlineStr">
        <is>
          <t>1991-04-10</t>
        </is>
      </c>
    </row>
    <row r="33382">
      <c r="A33382" s="1" t="n">
        <v>33381</v>
      </c>
      <c r="B33382">
        <f>TEXT(33381, "[$-0E0000]yyyy-mm-dd")</f>
        <v/>
      </c>
      <c r="C33382" t="inlineStr">
        <is>
          <t>1991-04-11</t>
        </is>
      </c>
    </row>
    <row r="33383">
      <c r="A33383" s="1" t="n">
        <v>33382</v>
      </c>
      <c r="B33383">
        <f>TEXT(33382, "[$-0E0000]yyyy-mm-dd")</f>
        <v/>
      </c>
      <c r="C33383" t="inlineStr">
        <is>
          <t>1991-04-12</t>
        </is>
      </c>
    </row>
    <row r="33384">
      <c r="A33384" s="1" t="n">
        <v>33383</v>
      </c>
      <c r="B33384">
        <f>TEXT(33383, "[$-0E0000]yyyy-mm-dd")</f>
        <v/>
      </c>
      <c r="C33384" t="inlineStr">
        <is>
          <t>1991-04-13</t>
        </is>
      </c>
    </row>
    <row r="33385">
      <c r="A33385" s="1" t="n">
        <v>33384</v>
      </c>
      <c r="B33385">
        <f>TEXT(33384, "[$-0E0000]yyyy-mm-dd")</f>
        <v/>
      </c>
      <c r="C33385" t="inlineStr">
        <is>
          <t>1991-04-14</t>
        </is>
      </c>
    </row>
    <row r="33386">
      <c r="A33386" s="1" t="n">
        <v>33385</v>
      </c>
      <c r="B33386">
        <f>TEXT(33385, "[$-0E0000]yyyy-mm-dd")</f>
        <v/>
      </c>
      <c r="C33386" t="inlineStr">
        <is>
          <t>1991-04-15</t>
        </is>
      </c>
    </row>
    <row r="33387">
      <c r="A33387" s="1" t="n">
        <v>33386</v>
      </c>
      <c r="B33387">
        <f>TEXT(33386, "[$-0E0000]yyyy-mm-dd")</f>
        <v/>
      </c>
      <c r="C33387" t="inlineStr">
        <is>
          <t>1991-04-16</t>
        </is>
      </c>
    </row>
    <row r="33388">
      <c r="A33388" s="1" t="n">
        <v>33387</v>
      </c>
      <c r="B33388">
        <f>TEXT(33387, "[$-0E0000]yyyy-mm-dd")</f>
        <v/>
      </c>
      <c r="C33388" t="inlineStr">
        <is>
          <t>1991-04-17</t>
        </is>
      </c>
    </row>
    <row r="33389">
      <c r="A33389" s="1" t="n">
        <v>33388</v>
      </c>
      <c r="B33389">
        <f>TEXT(33388, "[$-0E0000]yyyy-mm-dd")</f>
        <v/>
      </c>
      <c r="C33389" t="inlineStr">
        <is>
          <t>1991-04-18</t>
        </is>
      </c>
    </row>
    <row r="33390">
      <c r="A33390" s="1" t="n">
        <v>33389</v>
      </c>
      <c r="B33390">
        <f>TEXT(33389, "[$-0E0000]yyyy-mm-dd")</f>
        <v/>
      </c>
      <c r="C33390" t="inlineStr">
        <is>
          <t>1991-04-19</t>
        </is>
      </c>
    </row>
    <row r="33391">
      <c r="A33391" s="1" t="n">
        <v>33390</v>
      </c>
      <c r="B33391">
        <f>TEXT(33390, "[$-0E0000]yyyy-mm-dd")</f>
        <v/>
      </c>
      <c r="C33391" t="inlineStr">
        <is>
          <t>1991-04-20</t>
        </is>
      </c>
    </row>
    <row r="33392">
      <c r="A33392" s="1" t="n">
        <v>33391</v>
      </c>
      <c r="B33392">
        <f>TEXT(33391, "[$-0E0000]yyyy-mm-dd")</f>
        <v/>
      </c>
      <c r="C33392" t="inlineStr">
        <is>
          <t>1991-04-21</t>
        </is>
      </c>
    </row>
    <row r="33393">
      <c r="A33393" s="1" t="n">
        <v>33392</v>
      </c>
      <c r="B33393">
        <f>TEXT(33392, "[$-0E0000]yyyy-mm-dd")</f>
        <v/>
      </c>
      <c r="C33393" t="inlineStr">
        <is>
          <t>1991-04-22</t>
        </is>
      </c>
    </row>
    <row r="33394">
      <c r="A33394" s="1" t="n">
        <v>33393</v>
      </c>
      <c r="B33394">
        <f>TEXT(33393, "[$-0E0000]yyyy-mm-dd")</f>
        <v/>
      </c>
      <c r="C33394" t="inlineStr">
        <is>
          <t>1991-04-23</t>
        </is>
      </c>
    </row>
    <row r="33395">
      <c r="A33395" s="1" t="n">
        <v>33394</v>
      </c>
      <c r="B33395">
        <f>TEXT(33394, "[$-0E0000]yyyy-mm-dd")</f>
        <v/>
      </c>
      <c r="C33395" t="inlineStr">
        <is>
          <t>1991-04-24</t>
        </is>
      </c>
    </row>
    <row r="33396">
      <c r="A33396" s="1" t="n">
        <v>33395</v>
      </c>
      <c r="B33396">
        <f>TEXT(33395, "[$-0E0000]yyyy-mm-dd")</f>
        <v/>
      </c>
      <c r="C33396" t="inlineStr">
        <is>
          <t>1991-04-25</t>
        </is>
      </c>
    </row>
    <row r="33397">
      <c r="A33397" s="1" t="n">
        <v>33396</v>
      </c>
      <c r="B33397">
        <f>TEXT(33396, "[$-0E0000]yyyy-mm-dd")</f>
        <v/>
      </c>
      <c r="C33397" t="inlineStr">
        <is>
          <t>1991-04-26</t>
        </is>
      </c>
    </row>
    <row r="33398">
      <c r="A33398" s="1" t="n">
        <v>33397</v>
      </c>
      <c r="B33398">
        <f>TEXT(33397, "[$-0E0000]yyyy-mm-dd")</f>
        <v/>
      </c>
      <c r="C33398" t="inlineStr">
        <is>
          <t>1991-04-27</t>
        </is>
      </c>
    </row>
    <row r="33399">
      <c r="A33399" s="1" t="n">
        <v>33398</v>
      </c>
      <c r="B33399">
        <f>TEXT(33398, "[$-0E0000]yyyy-mm-dd")</f>
        <v/>
      </c>
      <c r="C33399" t="inlineStr">
        <is>
          <t>1991-04-28</t>
        </is>
      </c>
    </row>
    <row r="33400">
      <c r="A33400" s="1" t="n">
        <v>33399</v>
      </c>
      <c r="B33400">
        <f>TEXT(33399, "[$-0E0000]yyyy-mm-dd")</f>
        <v/>
      </c>
      <c r="C33400" t="inlineStr">
        <is>
          <t>1991-04-29</t>
        </is>
      </c>
    </row>
    <row r="33401">
      <c r="A33401" s="1" t="n">
        <v>33400</v>
      </c>
      <c r="B33401">
        <f>TEXT(33400, "[$-0E0000]yyyy-mm-dd")</f>
        <v/>
      </c>
      <c r="C33401" t="inlineStr">
        <is>
          <t>1991-05-01</t>
        </is>
      </c>
    </row>
    <row r="33402">
      <c r="A33402" s="1" t="n">
        <v>33401</v>
      </c>
      <c r="B33402">
        <f>TEXT(33401, "[$-0E0000]yyyy-mm-dd")</f>
        <v/>
      </c>
      <c r="C33402" t="inlineStr">
        <is>
          <t>1991-05-02</t>
        </is>
      </c>
    </row>
    <row r="33403">
      <c r="A33403" s="1" t="n">
        <v>33402</v>
      </c>
      <c r="B33403">
        <f>TEXT(33402, "[$-0E0000]yyyy-mm-dd")</f>
        <v/>
      </c>
      <c r="C33403" t="inlineStr">
        <is>
          <t>1991-05-03</t>
        </is>
      </c>
    </row>
    <row r="33404">
      <c r="A33404" s="1" t="n">
        <v>33403</v>
      </c>
      <c r="B33404">
        <f>TEXT(33403, "[$-0E0000]yyyy-mm-dd")</f>
        <v/>
      </c>
      <c r="C33404" t="inlineStr">
        <is>
          <t>1991-05-04</t>
        </is>
      </c>
    </row>
    <row r="33405">
      <c r="A33405" s="1" t="n">
        <v>33404</v>
      </c>
      <c r="B33405">
        <f>TEXT(33404, "[$-0E0000]yyyy-mm-dd")</f>
        <v/>
      </c>
      <c r="C33405" t="inlineStr">
        <is>
          <t>1991-05-05</t>
        </is>
      </c>
    </row>
    <row r="33406">
      <c r="A33406" s="1" t="n">
        <v>33405</v>
      </c>
      <c r="B33406">
        <f>TEXT(33405, "[$-0E0000]yyyy-mm-dd")</f>
        <v/>
      </c>
      <c r="C33406" t="inlineStr">
        <is>
          <t>1991-05-06</t>
        </is>
      </c>
    </row>
    <row r="33407">
      <c r="A33407" s="1" t="n">
        <v>33406</v>
      </c>
      <c r="B33407">
        <f>TEXT(33406, "[$-0E0000]yyyy-mm-dd")</f>
        <v/>
      </c>
      <c r="C33407" t="inlineStr">
        <is>
          <t>1991-05-07</t>
        </is>
      </c>
    </row>
    <row r="33408">
      <c r="A33408" s="1" t="n">
        <v>33407</v>
      </c>
      <c r="B33408">
        <f>TEXT(33407, "[$-0E0000]yyyy-mm-dd")</f>
        <v/>
      </c>
      <c r="C33408" t="inlineStr">
        <is>
          <t>1991-05-08</t>
        </is>
      </c>
    </row>
    <row r="33409">
      <c r="A33409" s="1" t="n">
        <v>33408</v>
      </c>
      <c r="B33409">
        <f>TEXT(33408, "[$-0E0000]yyyy-mm-dd")</f>
        <v/>
      </c>
      <c r="C33409" t="inlineStr">
        <is>
          <t>1991-05-09</t>
        </is>
      </c>
    </row>
    <row r="33410">
      <c r="A33410" s="1" t="n">
        <v>33409</v>
      </c>
      <c r="B33410">
        <f>TEXT(33409, "[$-0E0000]yyyy-mm-dd")</f>
        <v/>
      </c>
      <c r="C33410" t="inlineStr">
        <is>
          <t>1991-05-10</t>
        </is>
      </c>
    </row>
    <row r="33411">
      <c r="A33411" s="1" t="n">
        <v>33410</v>
      </c>
      <c r="B33411">
        <f>TEXT(33410, "[$-0E0000]yyyy-mm-dd")</f>
        <v/>
      </c>
      <c r="C33411" t="inlineStr">
        <is>
          <t>1991-05-11</t>
        </is>
      </c>
    </row>
    <row r="33412">
      <c r="A33412" s="1" t="n">
        <v>33411</v>
      </c>
      <c r="B33412">
        <f>TEXT(33411, "[$-0E0000]yyyy-mm-dd")</f>
        <v/>
      </c>
      <c r="C33412" t="inlineStr">
        <is>
          <t>1991-05-12</t>
        </is>
      </c>
    </row>
    <row r="33413">
      <c r="A33413" s="1" t="n">
        <v>33412</v>
      </c>
      <c r="B33413">
        <f>TEXT(33412, "[$-0E0000]yyyy-mm-dd")</f>
        <v/>
      </c>
      <c r="C33413" t="inlineStr">
        <is>
          <t>1991-05-13</t>
        </is>
      </c>
    </row>
    <row r="33414">
      <c r="A33414" s="1" t="n">
        <v>33413</v>
      </c>
      <c r="B33414">
        <f>TEXT(33413, "[$-0E0000]yyyy-mm-dd")</f>
        <v/>
      </c>
      <c r="C33414" t="inlineStr">
        <is>
          <t>1991-05-14</t>
        </is>
      </c>
    </row>
    <row r="33415">
      <c r="A33415" s="1" t="n">
        <v>33414</v>
      </c>
      <c r="B33415">
        <f>TEXT(33414, "[$-0E0000]yyyy-mm-dd")</f>
        <v/>
      </c>
      <c r="C33415" t="inlineStr">
        <is>
          <t>1991-05-15</t>
        </is>
      </c>
    </row>
    <row r="33416">
      <c r="A33416" s="1" t="n">
        <v>33415</v>
      </c>
      <c r="B33416">
        <f>TEXT(33415, "[$-0E0000]yyyy-mm-dd")</f>
        <v/>
      </c>
      <c r="C33416" t="inlineStr">
        <is>
          <t>1991-05-16</t>
        </is>
      </c>
    </row>
    <row r="33417">
      <c r="A33417" s="1" t="n">
        <v>33416</v>
      </c>
      <c r="B33417">
        <f>TEXT(33416, "[$-0E0000]yyyy-mm-dd")</f>
        <v/>
      </c>
      <c r="C33417" t="inlineStr">
        <is>
          <t>1991-05-17</t>
        </is>
      </c>
    </row>
    <row r="33418">
      <c r="A33418" s="1" t="n">
        <v>33417</v>
      </c>
      <c r="B33418">
        <f>TEXT(33417, "[$-0E0000]yyyy-mm-dd")</f>
        <v/>
      </c>
      <c r="C33418" t="inlineStr">
        <is>
          <t>1991-05-18</t>
        </is>
      </c>
    </row>
    <row r="33419">
      <c r="A33419" s="1" t="n">
        <v>33418</v>
      </c>
      <c r="B33419">
        <f>TEXT(33418, "[$-0E0000]yyyy-mm-dd")</f>
        <v/>
      </c>
      <c r="C33419" t="inlineStr">
        <is>
          <t>1991-05-19</t>
        </is>
      </c>
    </row>
    <row r="33420">
      <c r="A33420" s="1" t="n">
        <v>33419</v>
      </c>
      <c r="B33420">
        <f>TEXT(33419, "[$-0E0000]yyyy-mm-dd")</f>
        <v/>
      </c>
      <c r="C33420" t="inlineStr">
        <is>
          <t>1991-05-20</t>
        </is>
      </c>
    </row>
    <row r="33421">
      <c r="A33421" s="1" t="n">
        <v>33420</v>
      </c>
      <c r="B33421">
        <f>TEXT(33420, "[$-0E0000]yyyy-mm-dd")</f>
        <v/>
      </c>
      <c r="C33421" t="inlineStr">
        <is>
          <t>1991-05-21</t>
        </is>
      </c>
    </row>
    <row r="33422">
      <c r="A33422" s="1" t="n">
        <v>33421</v>
      </c>
      <c r="B33422">
        <f>TEXT(33421, "[$-0E0000]yyyy-mm-dd")</f>
        <v/>
      </c>
      <c r="C33422" t="inlineStr">
        <is>
          <t>1991-05-22</t>
        </is>
      </c>
    </row>
    <row r="33423">
      <c r="A33423" s="1" t="n">
        <v>33422</v>
      </c>
      <c r="B33423">
        <f>TEXT(33422, "[$-0E0000]yyyy-mm-dd")</f>
        <v/>
      </c>
      <c r="C33423" t="inlineStr">
        <is>
          <t>1991-05-23</t>
        </is>
      </c>
    </row>
    <row r="33424">
      <c r="A33424" s="1" t="n">
        <v>33423</v>
      </c>
      <c r="B33424">
        <f>TEXT(33423, "[$-0E0000]yyyy-mm-dd")</f>
        <v/>
      </c>
      <c r="C33424" t="inlineStr">
        <is>
          <t>1991-05-24</t>
        </is>
      </c>
    </row>
    <row r="33425">
      <c r="A33425" s="1" t="n">
        <v>33424</v>
      </c>
      <c r="B33425">
        <f>TEXT(33424, "[$-0E0000]yyyy-mm-dd")</f>
        <v/>
      </c>
      <c r="C33425" t="inlineStr">
        <is>
          <t>1991-05-25</t>
        </is>
      </c>
    </row>
    <row r="33426">
      <c r="A33426" s="1" t="n">
        <v>33425</v>
      </c>
      <c r="B33426">
        <f>TEXT(33425, "[$-0E0000]yyyy-mm-dd")</f>
        <v/>
      </c>
      <c r="C33426" t="inlineStr">
        <is>
          <t>1991-05-26</t>
        </is>
      </c>
    </row>
    <row r="33427">
      <c r="A33427" s="1" t="n">
        <v>33426</v>
      </c>
      <c r="B33427">
        <f>TEXT(33426, "[$-0E0000]yyyy-mm-dd")</f>
        <v/>
      </c>
      <c r="C33427" t="inlineStr">
        <is>
          <t>1991-05-27</t>
        </is>
      </c>
    </row>
    <row r="33428">
      <c r="A33428" s="1" t="n">
        <v>33427</v>
      </c>
      <c r="B33428">
        <f>TEXT(33427, "[$-0E0000]yyyy-mm-dd")</f>
        <v/>
      </c>
      <c r="C33428" t="inlineStr">
        <is>
          <t>1991-05-28</t>
        </is>
      </c>
    </row>
    <row r="33429">
      <c r="A33429" s="1" t="n">
        <v>33428</v>
      </c>
      <c r="B33429">
        <f>TEXT(33428, "[$-0E0000]yyyy-mm-dd")</f>
        <v/>
      </c>
      <c r="C33429" t="inlineStr">
        <is>
          <t>1991-05-29</t>
        </is>
      </c>
    </row>
    <row r="33430">
      <c r="A33430" s="1" t="n">
        <v>33429</v>
      </c>
      <c r="B33430">
        <f>TEXT(33429, "[$-0E0000]yyyy-mm-dd")</f>
        <v/>
      </c>
      <c r="C33430" t="inlineStr">
        <is>
          <t>1991-05-30</t>
        </is>
      </c>
    </row>
    <row r="33431">
      <c r="A33431" s="1" t="n">
        <v>33430</v>
      </c>
      <c r="B33431">
        <f>TEXT(33430, "[$-0E0000]yyyy-mm-dd")</f>
        <v/>
      </c>
      <c r="C33431" t="inlineStr">
        <is>
          <t>1991-06-01</t>
        </is>
      </c>
    </row>
    <row r="33432">
      <c r="A33432" s="1" t="n">
        <v>33431</v>
      </c>
      <c r="B33432">
        <f>TEXT(33431, "[$-0E0000]yyyy-mm-dd")</f>
        <v/>
      </c>
      <c r="C33432" t="inlineStr">
        <is>
          <t>1991-06-02</t>
        </is>
      </c>
    </row>
    <row r="33433">
      <c r="A33433" s="1" t="n">
        <v>33432</v>
      </c>
      <c r="B33433">
        <f>TEXT(33432, "[$-0E0000]yyyy-mm-dd")</f>
        <v/>
      </c>
      <c r="C33433" t="inlineStr">
        <is>
          <t>1991-06-03</t>
        </is>
      </c>
    </row>
    <row r="33434">
      <c r="A33434" s="1" t="n">
        <v>33433</v>
      </c>
      <c r="B33434">
        <f>TEXT(33433, "[$-0E0000]yyyy-mm-dd")</f>
        <v/>
      </c>
      <c r="C33434" t="inlineStr">
        <is>
          <t>1991-06-04</t>
        </is>
      </c>
    </row>
    <row r="33435">
      <c r="A33435" s="1" t="n">
        <v>33434</v>
      </c>
      <c r="B33435">
        <f>TEXT(33434, "[$-0E0000]yyyy-mm-dd")</f>
        <v/>
      </c>
      <c r="C33435" t="inlineStr">
        <is>
          <t>1991-06-05</t>
        </is>
      </c>
    </row>
    <row r="33436">
      <c r="A33436" s="1" t="n">
        <v>33435</v>
      </c>
      <c r="B33436">
        <f>TEXT(33435, "[$-0E0000]yyyy-mm-dd")</f>
        <v/>
      </c>
      <c r="C33436" t="inlineStr">
        <is>
          <t>1991-06-06</t>
        </is>
      </c>
    </row>
    <row r="33437">
      <c r="A33437" s="1" t="n">
        <v>33436</v>
      </c>
      <c r="B33437">
        <f>TEXT(33436, "[$-0E0000]yyyy-mm-dd")</f>
        <v/>
      </c>
      <c r="C33437" t="inlineStr">
        <is>
          <t>1991-06-07</t>
        </is>
      </c>
    </row>
    <row r="33438">
      <c r="A33438" s="1" t="n">
        <v>33437</v>
      </c>
      <c r="B33438">
        <f>TEXT(33437, "[$-0E0000]yyyy-mm-dd")</f>
        <v/>
      </c>
      <c r="C33438" t="inlineStr">
        <is>
          <t>1991-06-08</t>
        </is>
      </c>
    </row>
    <row r="33439">
      <c r="A33439" s="1" t="n">
        <v>33438</v>
      </c>
      <c r="B33439">
        <f>TEXT(33438, "[$-0E0000]yyyy-mm-dd")</f>
        <v/>
      </c>
      <c r="C33439" t="inlineStr">
        <is>
          <t>1991-06-09</t>
        </is>
      </c>
    </row>
    <row r="33440">
      <c r="A33440" s="1" t="n">
        <v>33439</v>
      </c>
      <c r="B33440">
        <f>TEXT(33439, "[$-0E0000]yyyy-mm-dd")</f>
        <v/>
      </c>
      <c r="C33440" t="inlineStr">
        <is>
          <t>1991-06-10</t>
        </is>
      </c>
    </row>
    <row r="33441">
      <c r="A33441" s="1" t="n">
        <v>33440</v>
      </c>
      <c r="B33441">
        <f>TEXT(33440, "[$-0E0000]yyyy-mm-dd")</f>
        <v/>
      </c>
      <c r="C33441" t="inlineStr">
        <is>
          <t>1991-06-11</t>
        </is>
      </c>
    </row>
    <row r="33442">
      <c r="A33442" s="1" t="n">
        <v>33441</v>
      </c>
      <c r="B33442">
        <f>TEXT(33441, "[$-0E0000]yyyy-mm-dd")</f>
        <v/>
      </c>
      <c r="C33442" t="inlineStr">
        <is>
          <t>1991-06-12</t>
        </is>
      </c>
    </row>
    <row r="33443">
      <c r="A33443" s="1" t="n">
        <v>33442</v>
      </c>
      <c r="B33443">
        <f>TEXT(33442, "[$-0E0000]yyyy-mm-dd")</f>
        <v/>
      </c>
      <c r="C33443" t="inlineStr">
        <is>
          <t>1991-06-13</t>
        </is>
      </c>
    </row>
    <row r="33444">
      <c r="A33444" s="1" t="n">
        <v>33443</v>
      </c>
      <c r="B33444">
        <f>TEXT(33443, "[$-0E0000]yyyy-mm-dd")</f>
        <v/>
      </c>
      <c r="C33444" t="inlineStr">
        <is>
          <t>1991-06-14</t>
        </is>
      </c>
    </row>
    <row r="33445">
      <c r="A33445" s="1" t="n">
        <v>33444</v>
      </c>
      <c r="B33445">
        <f>TEXT(33444, "[$-0E0000]yyyy-mm-dd")</f>
        <v/>
      </c>
      <c r="C33445" t="inlineStr">
        <is>
          <t>1991-06-15</t>
        </is>
      </c>
    </row>
    <row r="33446">
      <c r="A33446" s="1" t="n">
        <v>33445</v>
      </c>
      <c r="B33446">
        <f>TEXT(33445, "[$-0E0000]yyyy-mm-dd")</f>
        <v/>
      </c>
      <c r="C33446" t="inlineStr">
        <is>
          <t>1991-06-16</t>
        </is>
      </c>
    </row>
    <row r="33447">
      <c r="A33447" s="1" t="n">
        <v>33446</v>
      </c>
      <c r="B33447">
        <f>TEXT(33446, "[$-0E0000]yyyy-mm-dd")</f>
        <v/>
      </c>
      <c r="C33447" t="inlineStr">
        <is>
          <t>1991-06-17</t>
        </is>
      </c>
    </row>
    <row r="33448">
      <c r="A33448" s="1" t="n">
        <v>33447</v>
      </c>
      <c r="B33448">
        <f>TEXT(33447, "[$-0E0000]yyyy-mm-dd")</f>
        <v/>
      </c>
      <c r="C33448" t="inlineStr">
        <is>
          <t>1991-06-18</t>
        </is>
      </c>
    </row>
    <row r="33449">
      <c r="A33449" s="1" t="n">
        <v>33448</v>
      </c>
      <c r="B33449">
        <f>TEXT(33448, "[$-0E0000]yyyy-mm-dd")</f>
        <v/>
      </c>
      <c r="C33449" t="inlineStr">
        <is>
          <t>1991-06-19</t>
        </is>
      </c>
    </row>
    <row r="33450">
      <c r="A33450" s="1" t="n">
        <v>33449</v>
      </c>
      <c r="B33450">
        <f>TEXT(33449, "[$-0E0000]yyyy-mm-dd")</f>
        <v/>
      </c>
      <c r="C33450" t="inlineStr">
        <is>
          <t>1991-06-20</t>
        </is>
      </c>
    </row>
    <row r="33451">
      <c r="A33451" s="1" t="n">
        <v>33450</v>
      </c>
      <c r="B33451">
        <f>TEXT(33450, "[$-0E0000]yyyy-mm-dd")</f>
        <v/>
      </c>
      <c r="C33451" t="inlineStr">
        <is>
          <t>1991-06-21</t>
        </is>
      </c>
    </row>
    <row r="33452">
      <c r="A33452" s="1" t="n">
        <v>33451</v>
      </c>
      <c r="B33452">
        <f>TEXT(33451, "[$-0E0000]yyyy-mm-dd")</f>
        <v/>
      </c>
      <c r="C33452" t="inlineStr">
        <is>
          <t>1991-06-22</t>
        </is>
      </c>
    </row>
    <row r="33453">
      <c r="A33453" s="1" t="n">
        <v>33452</v>
      </c>
      <c r="B33453">
        <f>TEXT(33452, "[$-0E0000]yyyy-mm-dd")</f>
        <v/>
      </c>
      <c r="C33453" t="inlineStr">
        <is>
          <t>1991-06-23</t>
        </is>
      </c>
    </row>
    <row r="33454">
      <c r="A33454" s="1" t="n">
        <v>33453</v>
      </c>
      <c r="B33454">
        <f>TEXT(33453, "[$-0E0000]yyyy-mm-dd")</f>
        <v/>
      </c>
      <c r="C33454" t="inlineStr">
        <is>
          <t>1991-06-24</t>
        </is>
      </c>
    </row>
    <row r="33455">
      <c r="A33455" s="1" t="n">
        <v>33454</v>
      </c>
      <c r="B33455">
        <f>TEXT(33454, "[$-0E0000]yyyy-mm-dd")</f>
        <v/>
      </c>
      <c r="C33455" t="inlineStr">
        <is>
          <t>1991-06-25</t>
        </is>
      </c>
    </row>
    <row r="33456">
      <c r="A33456" s="1" t="n">
        <v>33455</v>
      </c>
      <c r="B33456">
        <f>TEXT(33455, "[$-0E0000]yyyy-mm-dd")</f>
        <v/>
      </c>
      <c r="C33456" t="inlineStr">
        <is>
          <t>1991-06-26</t>
        </is>
      </c>
    </row>
    <row r="33457">
      <c r="A33457" s="1" t="n">
        <v>33456</v>
      </c>
      <c r="B33457">
        <f>TEXT(33456, "[$-0E0000]yyyy-mm-dd")</f>
        <v/>
      </c>
      <c r="C33457" t="inlineStr">
        <is>
          <t>1991-06-27</t>
        </is>
      </c>
    </row>
    <row r="33458">
      <c r="A33458" s="1" t="n">
        <v>33457</v>
      </c>
      <c r="B33458">
        <f>TEXT(33457, "[$-0E0000]yyyy-mm-dd")</f>
        <v/>
      </c>
      <c r="C33458" t="inlineStr">
        <is>
          <t>1991-06-28</t>
        </is>
      </c>
    </row>
    <row r="33459">
      <c r="A33459" s="1" t="n">
        <v>33458</v>
      </c>
      <c r="B33459">
        <f>TEXT(33458, "[$-0E0000]yyyy-mm-dd")</f>
        <v/>
      </c>
      <c r="C33459" t="inlineStr">
        <is>
          <t>1991-06-29</t>
        </is>
      </c>
    </row>
    <row r="33460">
      <c r="A33460" s="1" t="n">
        <v>33459</v>
      </c>
      <c r="B33460">
        <f>TEXT(33459, "[$-0E0000]yyyy-mm-dd")</f>
        <v/>
      </c>
      <c r="C33460" t="inlineStr">
        <is>
          <t>1991-07-01</t>
        </is>
      </c>
    </row>
    <row r="33461">
      <c r="A33461" s="1" t="n">
        <v>33460</v>
      </c>
      <c r="B33461">
        <f>TEXT(33460, "[$-0E0000]yyyy-mm-dd")</f>
        <v/>
      </c>
      <c r="C33461" t="inlineStr">
        <is>
          <t>1991-07-02</t>
        </is>
      </c>
    </row>
    <row r="33462">
      <c r="A33462" s="1" t="n">
        <v>33461</v>
      </c>
      <c r="B33462">
        <f>TEXT(33461, "[$-0E0000]yyyy-mm-dd")</f>
        <v/>
      </c>
      <c r="C33462" t="inlineStr">
        <is>
          <t>1991-07-03</t>
        </is>
      </c>
    </row>
    <row r="33463">
      <c r="A33463" s="1" t="n">
        <v>33462</v>
      </c>
      <c r="B33463">
        <f>TEXT(33462, "[$-0E0000]yyyy-mm-dd")</f>
        <v/>
      </c>
      <c r="C33463" t="inlineStr">
        <is>
          <t>1991-07-04</t>
        </is>
      </c>
    </row>
    <row r="33464">
      <c r="A33464" s="1" t="n">
        <v>33463</v>
      </c>
      <c r="B33464">
        <f>TEXT(33463, "[$-0E0000]yyyy-mm-dd")</f>
        <v/>
      </c>
      <c r="C33464" t="inlineStr">
        <is>
          <t>1991-07-05</t>
        </is>
      </c>
    </row>
    <row r="33465">
      <c r="A33465" s="1" t="n">
        <v>33464</v>
      </c>
      <c r="B33465">
        <f>TEXT(33464, "[$-0E0000]yyyy-mm-dd")</f>
        <v/>
      </c>
      <c r="C33465" t="inlineStr">
        <is>
          <t>1991-07-06</t>
        </is>
      </c>
    </row>
    <row r="33466">
      <c r="A33466" s="1" t="n">
        <v>33465</v>
      </c>
      <c r="B33466">
        <f>TEXT(33465, "[$-0E0000]yyyy-mm-dd")</f>
        <v/>
      </c>
      <c r="C33466" t="inlineStr">
        <is>
          <t>1991-07-07</t>
        </is>
      </c>
    </row>
    <row r="33467">
      <c r="A33467" s="1" t="n">
        <v>33466</v>
      </c>
      <c r="B33467">
        <f>TEXT(33466, "[$-0E0000]yyyy-mm-dd")</f>
        <v/>
      </c>
      <c r="C33467" t="inlineStr">
        <is>
          <t>1991-07-08</t>
        </is>
      </c>
    </row>
    <row r="33468">
      <c r="A33468" s="1" t="n">
        <v>33467</v>
      </c>
      <c r="B33468">
        <f>TEXT(33467, "[$-0E0000]yyyy-mm-dd")</f>
        <v/>
      </c>
      <c r="C33468" t="inlineStr">
        <is>
          <t>1991-07-09</t>
        </is>
      </c>
    </row>
    <row r="33469">
      <c r="A33469" s="1" t="n">
        <v>33468</v>
      </c>
      <c r="B33469">
        <f>TEXT(33468, "[$-0E0000]yyyy-mm-dd")</f>
        <v/>
      </c>
      <c r="C33469" t="inlineStr">
        <is>
          <t>1991-07-10</t>
        </is>
      </c>
    </row>
    <row r="33470">
      <c r="A33470" s="1" t="n">
        <v>33469</v>
      </c>
      <c r="B33470">
        <f>TEXT(33469, "[$-0E0000]yyyy-mm-dd")</f>
        <v/>
      </c>
      <c r="C33470" t="inlineStr">
        <is>
          <t>1991-07-11</t>
        </is>
      </c>
    </row>
    <row r="33471">
      <c r="A33471" s="1" t="n">
        <v>33470</v>
      </c>
      <c r="B33471">
        <f>TEXT(33470, "[$-0E0000]yyyy-mm-dd")</f>
        <v/>
      </c>
      <c r="C33471" t="inlineStr">
        <is>
          <t>1991-07-12</t>
        </is>
      </c>
    </row>
    <row r="33472">
      <c r="A33472" s="1" t="n">
        <v>33471</v>
      </c>
      <c r="B33472">
        <f>TEXT(33471, "[$-0E0000]yyyy-mm-dd")</f>
        <v/>
      </c>
      <c r="C33472" t="inlineStr">
        <is>
          <t>1991-07-13</t>
        </is>
      </c>
    </row>
    <row r="33473">
      <c r="A33473" s="1" t="n">
        <v>33472</v>
      </c>
      <c r="B33473">
        <f>TEXT(33472, "[$-0E0000]yyyy-mm-dd")</f>
        <v/>
      </c>
      <c r="C33473" t="inlineStr">
        <is>
          <t>1991-07-14</t>
        </is>
      </c>
    </row>
    <row r="33474">
      <c r="A33474" s="1" t="n">
        <v>33473</v>
      </c>
      <c r="B33474">
        <f>TEXT(33473, "[$-0E0000]yyyy-mm-dd")</f>
        <v/>
      </c>
      <c r="C33474" t="inlineStr">
        <is>
          <t>1991-07-15</t>
        </is>
      </c>
    </row>
    <row r="33475">
      <c r="A33475" s="1" t="n">
        <v>33474</v>
      </c>
      <c r="B33475">
        <f>TEXT(33474, "[$-0E0000]yyyy-mm-dd")</f>
        <v/>
      </c>
      <c r="C33475" t="inlineStr">
        <is>
          <t>1991-07-16</t>
        </is>
      </c>
    </row>
    <row r="33476">
      <c r="A33476" s="1" t="n">
        <v>33475</v>
      </c>
      <c r="B33476">
        <f>TEXT(33475, "[$-0E0000]yyyy-mm-dd")</f>
        <v/>
      </c>
      <c r="C33476" t="inlineStr">
        <is>
          <t>1991-07-17</t>
        </is>
      </c>
    </row>
    <row r="33477">
      <c r="A33477" s="1" t="n">
        <v>33476</v>
      </c>
      <c r="B33477">
        <f>TEXT(33476, "[$-0E0000]yyyy-mm-dd")</f>
        <v/>
      </c>
      <c r="C33477" t="inlineStr">
        <is>
          <t>1991-07-18</t>
        </is>
      </c>
    </row>
    <row r="33478">
      <c r="A33478" s="1" t="n">
        <v>33477</v>
      </c>
      <c r="B33478">
        <f>TEXT(33477, "[$-0E0000]yyyy-mm-dd")</f>
        <v/>
      </c>
      <c r="C33478" t="inlineStr">
        <is>
          <t>1991-07-19</t>
        </is>
      </c>
    </row>
    <row r="33479">
      <c r="A33479" s="1" t="n">
        <v>33478</v>
      </c>
      <c r="B33479">
        <f>TEXT(33478, "[$-0E0000]yyyy-mm-dd")</f>
        <v/>
      </c>
      <c r="C33479" t="inlineStr">
        <is>
          <t>1991-07-20</t>
        </is>
      </c>
    </row>
    <row r="33480">
      <c r="A33480" s="1" t="n">
        <v>33479</v>
      </c>
      <c r="B33480">
        <f>TEXT(33479, "[$-0E0000]yyyy-mm-dd")</f>
        <v/>
      </c>
      <c r="C33480" t="inlineStr">
        <is>
          <t>1991-07-21</t>
        </is>
      </c>
    </row>
    <row r="33481">
      <c r="A33481" s="1" t="n">
        <v>33480</v>
      </c>
      <c r="B33481">
        <f>TEXT(33480, "[$-0E0000]yyyy-mm-dd")</f>
        <v/>
      </c>
      <c r="C33481" t="inlineStr">
        <is>
          <t>1991-07-22</t>
        </is>
      </c>
    </row>
    <row r="33482">
      <c r="A33482" s="1" t="n">
        <v>33481</v>
      </c>
      <c r="B33482">
        <f>TEXT(33481, "[$-0E0000]yyyy-mm-dd")</f>
        <v/>
      </c>
      <c r="C33482" t="inlineStr">
        <is>
          <t>1991-07-23</t>
        </is>
      </c>
    </row>
    <row r="33483">
      <c r="A33483" s="1" t="n">
        <v>33482</v>
      </c>
      <c r="B33483">
        <f>TEXT(33482, "[$-0E0000]yyyy-mm-dd")</f>
        <v/>
      </c>
      <c r="C33483" t="inlineStr">
        <is>
          <t>1991-07-24</t>
        </is>
      </c>
    </row>
    <row r="33484">
      <c r="A33484" s="1" t="n">
        <v>33483</v>
      </c>
      <c r="B33484">
        <f>TEXT(33483, "[$-0E0000]yyyy-mm-dd")</f>
        <v/>
      </c>
      <c r="C33484" t="inlineStr">
        <is>
          <t>1991-07-25</t>
        </is>
      </c>
    </row>
    <row r="33485">
      <c r="A33485" s="1" t="n">
        <v>33484</v>
      </c>
      <c r="B33485">
        <f>TEXT(33484, "[$-0E0000]yyyy-mm-dd")</f>
        <v/>
      </c>
      <c r="C33485" t="inlineStr">
        <is>
          <t>1991-07-26</t>
        </is>
      </c>
    </row>
    <row r="33486">
      <c r="A33486" s="1" t="n">
        <v>33485</v>
      </c>
      <c r="B33486">
        <f>TEXT(33485, "[$-0E0000]yyyy-mm-dd")</f>
        <v/>
      </c>
      <c r="C33486" t="inlineStr">
        <is>
          <t>1991-07-27</t>
        </is>
      </c>
    </row>
    <row r="33487">
      <c r="A33487" s="1" t="n">
        <v>33486</v>
      </c>
      <c r="B33487">
        <f>TEXT(33486, "[$-0E0000]yyyy-mm-dd")</f>
        <v/>
      </c>
      <c r="C33487" t="inlineStr">
        <is>
          <t>1991-07-28</t>
        </is>
      </c>
    </row>
    <row r="33488">
      <c r="A33488" s="1" t="n">
        <v>33487</v>
      </c>
      <c r="B33488">
        <f>TEXT(33487, "[$-0E0000]yyyy-mm-dd")</f>
        <v/>
      </c>
      <c r="C33488" t="inlineStr">
        <is>
          <t>1991-07-29</t>
        </is>
      </c>
    </row>
    <row r="33489">
      <c r="A33489" s="1" t="n">
        <v>33488</v>
      </c>
      <c r="B33489">
        <f>TEXT(33488, "[$-0E0000]yyyy-mm-dd")</f>
        <v/>
      </c>
      <c r="C33489" t="inlineStr">
        <is>
          <t>1991-08-01</t>
        </is>
      </c>
    </row>
    <row r="33490">
      <c r="A33490" s="1" t="n">
        <v>33489</v>
      </c>
      <c r="B33490">
        <f>TEXT(33489, "[$-0E0000]yyyy-mm-dd")</f>
        <v/>
      </c>
      <c r="C33490" t="inlineStr">
        <is>
          <t>1991-08-02</t>
        </is>
      </c>
    </row>
    <row r="33491">
      <c r="A33491" s="1" t="n">
        <v>33490</v>
      </c>
      <c r="B33491">
        <f>TEXT(33490, "[$-0E0000]yyyy-mm-dd")</f>
        <v/>
      </c>
      <c r="C33491" t="inlineStr">
        <is>
          <t>1991-08-03</t>
        </is>
      </c>
    </row>
    <row r="33492">
      <c r="A33492" s="1" t="n">
        <v>33491</v>
      </c>
      <c r="B33492">
        <f>TEXT(33491, "[$-0E0000]yyyy-mm-dd")</f>
        <v/>
      </c>
      <c r="C33492" t="inlineStr">
        <is>
          <t>1991-08-04</t>
        </is>
      </c>
    </row>
    <row r="33493">
      <c r="A33493" s="1" t="n">
        <v>33492</v>
      </c>
      <c r="B33493">
        <f>TEXT(33492, "[$-0E0000]yyyy-mm-dd")</f>
        <v/>
      </c>
      <c r="C33493" t="inlineStr">
        <is>
          <t>1991-08-05</t>
        </is>
      </c>
    </row>
    <row r="33494">
      <c r="A33494" s="1" t="n">
        <v>33493</v>
      </c>
      <c r="B33494">
        <f>TEXT(33493, "[$-0E0000]yyyy-mm-dd")</f>
        <v/>
      </c>
      <c r="C33494" t="inlineStr">
        <is>
          <t>1991-08-06</t>
        </is>
      </c>
    </row>
    <row r="33495">
      <c r="A33495" s="1" t="n">
        <v>33494</v>
      </c>
      <c r="B33495">
        <f>TEXT(33494, "[$-0E0000]yyyy-mm-dd")</f>
        <v/>
      </c>
      <c r="C33495" t="inlineStr">
        <is>
          <t>1991-08-07</t>
        </is>
      </c>
    </row>
    <row r="33496">
      <c r="A33496" s="1" t="n">
        <v>33495</v>
      </c>
      <c r="B33496">
        <f>TEXT(33495, "[$-0E0000]yyyy-mm-dd")</f>
        <v/>
      </c>
      <c r="C33496" t="inlineStr">
        <is>
          <t>1991-08-08</t>
        </is>
      </c>
    </row>
    <row r="33497">
      <c r="A33497" s="1" t="n">
        <v>33496</v>
      </c>
      <c r="B33497">
        <f>TEXT(33496, "[$-0E0000]yyyy-mm-dd")</f>
        <v/>
      </c>
      <c r="C33497" t="inlineStr">
        <is>
          <t>1991-08-09</t>
        </is>
      </c>
    </row>
    <row r="33498">
      <c r="A33498" s="1" t="n">
        <v>33497</v>
      </c>
      <c r="B33498">
        <f>TEXT(33497, "[$-0E0000]yyyy-mm-dd")</f>
        <v/>
      </c>
      <c r="C33498" t="inlineStr">
        <is>
          <t>1991-08-10</t>
        </is>
      </c>
    </row>
    <row r="33499">
      <c r="A33499" s="1" t="n">
        <v>33498</v>
      </c>
      <c r="B33499">
        <f>TEXT(33498, "[$-0E0000]yyyy-mm-dd")</f>
        <v/>
      </c>
      <c r="C33499" t="inlineStr">
        <is>
          <t>1991-08-11</t>
        </is>
      </c>
    </row>
    <row r="33500">
      <c r="A33500" s="1" t="n">
        <v>33499</v>
      </c>
      <c r="B33500">
        <f>TEXT(33499, "[$-0E0000]yyyy-mm-dd")</f>
        <v/>
      </c>
      <c r="C33500" t="inlineStr">
        <is>
          <t>1991-08-12</t>
        </is>
      </c>
    </row>
    <row r="33501">
      <c r="A33501" s="1" t="n">
        <v>33500</v>
      </c>
      <c r="B33501">
        <f>TEXT(33500, "[$-0E0000]yyyy-mm-dd")</f>
        <v/>
      </c>
      <c r="C33501" t="inlineStr">
        <is>
          <t>1991-08-13</t>
        </is>
      </c>
    </row>
    <row r="33502">
      <c r="A33502" s="1" t="n">
        <v>33501</v>
      </c>
      <c r="B33502">
        <f>TEXT(33501, "[$-0E0000]yyyy-mm-dd")</f>
        <v/>
      </c>
      <c r="C33502" t="inlineStr">
        <is>
          <t>1991-08-14</t>
        </is>
      </c>
    </row>
    <row r="33503">
      <c r="A33503" s="1" t="n">
        <v>33502</v>
      </c>
      <c r="B33503">
        <f>TEXT(33502, "[$-0E0000]yyyy-mm-dd")</f>
        <v/>
      </c>
      <c r="C33503" t="inlineStr">
        <is>
          <t>1991-08-15</t>
        </is>
      </c>
    </row>
    <row r="33504">
      <c r="A33504" s="1" t="n">
        <v>33503</v>
      </c>
      <c r="B33504">
        <f>TEXT(33503, "[$-0E0000]yyyy-mm-dd")</f>
        <v/>
      </c>
      <c r="C33504" t="inlineStr">
        <is>
          <t>1991-08-16</t>
        </is>
      </c>
    </row>
    <row r="33505">
      <c r="A33505" s="1" t="n">
        <v>33504</v>
      </c>
      <c r="B33505">
        <f>TEXT(33504, "[$-0E0000]yyyy-mm-dd")</f>
        <v/>
      </c>
      <c r="C33505" t="inlineStr">
        <is>
          <t>1991-08-17</t>
        </is>
      </c>
    </row>
    <row r="33506">
      <c r="A33506" s="1" t="n">
        <v>33505</v>
      </c>
      <c r="B33506">
        <f>TEXT(33505, "[$-0E0000]yyyy-mm-dd")</f>
        <v/>
      </c>
      <c r="C33506" t="inlineStr">
        <is>
          <t>1991-08-18</t>
        </is>
      </c>
    </row>
    <row r="33507">
      <c r="A33507" s="1" t="n">
        <v>33506</v>
      </c>
      <c r="B33507">
        <f>TEXT(33506, "[$-0E0000]yyyy-mm-dd")</f>
        <v/>
      </c>
      <c r="C33507" t="inlineStr">
        <is>
          <t>1991-08-19</t>
        </is>
      </c>
    </row>
    <row r="33508">
      <c r="A33508" s="1" t="n">
        <v>33507</v>
      </c>
      <c r="B33508">
        <f>TEXT(33507, "[$-0E0000]yyyy-mm-dd")</f>
        <v/>
      </c>
      <c r="C33508" t="inlineStr">
        <is>
          <t>1991-08-20</t>
        </is>
      </c>
    </row>
    <row r="33509">
      <c r="A33509" s="1" t="n">
        <v>33508</v>
      </c>
      <c r="B33509">
        <f>TEXT(33508, "[$-0E0000]yyyy-mm-dd")</f>
        <v/>
      </c>
      <c r="C33509" t="inlineStr">
        <is>
          <t>1991-08-21</t>
        </is>
      </c>
    </row>
    <row r="33510">
      <c r="A33510" s="1" t="n">
        <v>33509</v>
      </c>
      <c r="B33510">
        <f>TEXT(33509, "[$-0E0000]yyyy-mm-dd")</f>
        <v/>
      </c>
      <c r="C33510" t="inlineStr">
        <is>
          <t>1991-08-22</t>
        </is>
      </c>
    </row>
    <row r="33511">
      <c r="A33511" s="1" t="n">
        <v>33510</v>
      </c>
      <c r="B33511">
        <f>TEXT(33510, "[$-0E0000]yyyy-mm-dd")</f>
        <v/>
      </c>
      <c r="C33511" t="inlineStr">
        <is>
          <t>1991-08-23</t>
        </is>
      </c>
    </row>
    <row r="33512">
      <c r="A33512" s="1" t="n">
        <v>33511</v>
      </c>
      <c r="B33512">
        <f>TEXT(33511, "[$-0E0000]yyyy-mm-dd")</f>
        <v/>
      </c>
      <c r="C33512" t="inlineStr">
        <is>
          <t>1991-08-24</t>
        </is>
      </c>
    </row>
    <row r="33513">
      <c r="A33513" s="1" t="n">
        <v>33512</v>
      </c>
      <c r="B33513">
        <f>TEXT(33512, "[$-0E0000]yyyy-mm-dd")</f>
        <v/>
      </c>
      <c r="C33513" t="inlineStr">
        <is>
          <t>1991-08-25</t>
        </is>
      </c>
    </row>
    <row r="33514">
      <c r="A33514" s="1" t="n">
        <v>33513</v>
      </c>
      <c r="B33514">
        <f>TEXT(33513, "[$-0E0000]yyyy-mm-dd")</f>
        <v/>
      </c>
      <c r="C33514" t="inlineStr">
        <is>
          <t>1991-08-26</t>
        </is>
      </c>
    </row>
    <row r="33515">
      <c r="A33515" s="1" t="n">
        <v>33514</v>
      </c>
      <c r="B33515">
        <f>TEXT(33514, "[$-0E0000]yyyy-mm-dd")</f>
        <v/>
      </c>
      <c r="C33515" t="inlineStr">
        <is>
          <t>1991-08-27</t>
        </is>
      </c>
    </row>
    <row r="33516">
      <c r="A33516" s="1" t="n">
        <v>33515</v>
      </c>
      <c r="B33516">
        <f>TEXT(33515, "[$-0E0000]yyyy-mm-dd")</f>
        <v/>
      </c>
      <c r="C33516" t="inlineStr">
        <is>
          <t>1991-08-28</t>
        </is>
      </c>
    </row>
    <row r="33517">
      <c r="A33517" s="1" t="n">
        <v>33516</v>
      </c>
      <c r="B33517">
        <f>TEXT(33516, "[$-0E0000]yyyy-mm-dd")</f>
        <v/>
      </c>
      <c r="C33517" t="inlineStr">
        <is>
          <t>1991-08-29</t>
        </is>
      </c>
    </row>
    <row r="33518">
      <c r="A33518" s="1" t="n">
        <v>33517</v>
      </c>
      <c r="B33518">
        <f>TEXT(33517, "[$-0E0000]yyyy-mm-dd")</f>
        <v/>
      </c>
      <c r="C33518" t="inlineStr">
        <is>
          <t>1991-08-30</t>
        </is>
      </c>
    </row>
    <row r="33519">
      <c r="A33519" s="1" t="n">
        <v>33518</v>
      </c>
      <c r="B33519">
        <f>TEXT(33518, "[$-0E0000]yyyy-mm-dd")</f>
        <v/>
      </c>
      <c r="C33519" t="inlineStr">
        <is>
          <t>1991-09-01</t>
        </is>
      </c>
    </row>
    <row r="33520">
      <c r="A33520" s="1" t="n">
        <v>33519</v>
      </c>
      <c r="B33520">
        <f>TEXT(33519, "[$-0E0000]yyyy-mm-dd")</f>
        <v/>
      </c>
      <c r="C33520" t="inlineStr">
        <is>
          <t>1991-09-02</t>
        </is>
      </c>
    </row>
    <row r="33521">
      <c r="A33521" s="1" t="n">
        <v>33520</v>
      </c>
      <c r="B33521">
        <f>TEXT(33520, "[$-0E0000]yyyy-mm-dd")</f>
        <v/>
      </c>
      <c r="C33521" t="inlineStr">
        <is>
          <t>1991-09-03</t>
        </is>
      </c>
    </row>
    <row r="33522">
      <c r="A33522" s="1" t="n">
        <v>33521</v>
      </c>
      <c r="B33522">
        <f>TEXT(33521, "[$-0E0000]yyyy-mm-dd")</f>
        <v/>
      </c>
      <c r="C33522" t="inlineStr">
        <is>
          <t>1991-09-04</t>
        </is>
      </c>
    </row>
    <row r="33523">
      <c r="A33523" s="1" t="n">
        <v>33522</v>
      </c>
      <c r="B33523">
        <f>TEXT(33522, "[$-0E0000]yyyy-mm-dd")</f>
        <v/>
      </c>
      <c r="C33523" t="inlineStr">
        <is>
          <t>1991-09-05</t>
        </is>
      </c>
    </row>
    <row r="33524">
      <c r="A33524" s="1" t="n">
        <v>33523</v>
      </c>
      <c r="B33524">
        <f>TEXT(33523, "[$-0E0000]yyyy-mm-dd")</f>
        <v/>
      </c>
      <c r="C33524" t="inlineStr">
        <is>
          <t>1991-09-06</t>
        </is>
      </c>
    </row>
    <row r="33525">
      <c r="A33525" s="1" t="n">
        <v>33524</v>
      </c>
      <c r="B33525">
        <f>TEXT(33524, "[$-0E0000]yyyy-mm-dd")</f>
        <v/>
      </c>
      <c r="C33525" t="inlineStr">
        <is>
          <t>1991-09-07</t>
        </is>
      </c>
    </row>
    <row r="33526">
      <c r="A33526" s="1" t="n">
        <v>33525</v>
      </c>
      <c r="B33526">
        <f>TEXT(33525, "[$-0E0000]yyyy-mm-dd")</f>
        <v/>
      </c>
      <c r="C33526" t="inlineStr">
        <is>
          <t>1991-09-08</t>
        </is>
      </c>
    </row>
    <row r="33527">
      <c r="A33527" s="1" t="n">
        <v>33526</v>
      </c>
      <c r="B33527">
        <f>TEXT(33526, "[$-0E0000]yyyy-mm-dd")</f>
        <v/>
      </c>
      <c r="C33527" t="inlineStr">
        <is>
          <t>1991-09-09</t>
        </is>
      </c>
    </row>
    <row r="33528">
      <c r="A33528" s="1" t="n">
        <v>33527</v>
      </c>
      <c r="B33528">
        <f>TEXT(33527, "[$-0E0000]yyyy-mm-dd")</f>
        <v/>
      </c>
      <c r="C33528" t="inlineStr">
        <is>
          <t>1991-09-10</t>
        </is>
      </c>
    </row>
    <row r="33529">
      <c r="A33529" s="1" t="n">
        <v>33528</v>
      </c>
      <c r="B33529">
        <f>TEXT(33528, "[$-0E0000]yyyy-mm-dd")</f>
        <v/>
      </c>
      <c r="C33529" t="inlineStr">
        <is>
          <t>1991-09-11</t>
        </is>
      </c>
    </row>
    <row r="33530">
      <c r="A33530" s="1" t="n">
        <v>33529</v>
      </c>
      <c r="B33530">
        <f>TEXT(33529, "[$-0E0000]yyyy-mm-dd")</f>
        <v/>
      </c>
      <c r="C33530" t="inlineStr">
        <is>
          <t>1991-09-12</t>
        </is>
      </c>
    </row>
    <row r="33531">
      <c r="A33531" s="1" t="n">
        <v>33530</v>
      </c>
      <c r="B33531">
        <f>TEXT(33530, "[$-0E0000]yyyy-mm-dd")</f>
        <v/>
      </c>
      <c r="C33531" t="inlineStr">
        <is>
          <t>1991-09-13</t>
        </is>
      </c>
    </row>
    <row r="33532">
      <c r="A33532" s="1" t="n">
        <v>33531</v>
      </c>
      <c r="B33532">
        <f>TEXT(33531, "[$-0E0000]yyyy-mm-dd")</f>
        <v/>
      </c>
      <c r="C33532" t="inlineStr">
        <is>
          <t>1991-09-14</t>
        </is>
      </c>
    </row>
    <row r="33533">
      <c r="A33533" s="1" t="n">
        <v>33532</v>
      </c>
      <c r="B33533">
        <f>TEXT(33532, "[$-0E0000]yyyy-mm-dd")</f>
        <v/>
      </c>
      <c r="C33533" t="inlineStr">
        <is>
          <t>1991-09-15</t>
        </is>
      </c>
    </row>
    <row r="33534">
      <c r="A33534" s="1" t="n">
        <v>33533</v>
      </c>
      <c r="B33534">
        <f>TEXT(33533, "[$-0E0000]yyyy-mm-dd")</f>
        <v/>
      </c>
      <c r="C33534" t="inlineStr">
        <is>
          <t>1991-09-16</t>
        </is>
      </c>
    </row>
    <row r="33535">
      <c r="A33535" s="1" t="n">
        <v>33534</v>
      </c>
      <c r="B33535">
        <f>TEXT(33534, "[$-0E0000]yyyy-mm-dd")</f>
        <v/>
      </c>
      <c r="C33535" t="inlineStr">
        <is>
          <t>1991-09-17</t>
        </is>
      </c>
    </row>
    <row r="33536">
      <c r="A33536" s="1" t="n">
        <v>33535</v>
      </c>
      <c r="B33536">
        <f>TEXT(33535, "[$-0E0000]yyyy-mm-dd")</f>
        <v/>
      </c>
      <c r="C33536" t="inlineStr">
        <is>
          <t>1991-09-18</t>
        </is>
      </c>
    </row>
    <row r="33537">
      <c r="A33537" s="1" t="n">
        <v>33536</v>
      </c>
      <c r="B33537">
        <f>TEXT(33536, "[$-0E0000]yyyy-mm-dd")</f>
        <v/>
      </c>
      <c r="C33537" t="inlineStr">
        <is>
          <t>1991-09-19</t>
        </is>
      </c>
    </row>
    <row r="33538">
      <c r="A33538" s="1" t="n">
        <v>33537</v>
      </c>
      <c r="B33538">
        <f>TEXT(33537, "[$-0E0000]yyyy-mm-dd")</f>
        <v/>
      </c>
      <c r="C33538" t="inlineStr">
        <is>
          <t>1991-09-20</t>
        </is>
      </c>
    </row>
    <row r="33539">
      <c r="A33539" s="1" t="n">
        <v>33538</v>
      </c>
      <c r="B33539">
        <f>TEXT(33538, "[$-0E0000]yyyy-mm-dd")</f>
        <v/>
      </c>
      <c r="C33539" t="inlineStr">
        <is>
          <t>1991-09-21</t>
        </is>
      </c>
    </row>
    <row r="33540">
      <c r="A33540" s="1" t="n">
        <v>33539</v>
      </c>
      <c r="B33540">
        <f>TEXT(33539, "[$-0E0000]yyyy-mm-dd")</f>
        <v/>
      </c>
      <c r="C33540" t="inlineStr">
        <is>
          <t>1991-09-22</t>
        </is>
      </c>
    </row>
    <row r="33541">
      <c r="A33541" s="1" t="n">
        <v>33540</v>
      </c>
      <c r="B33541">
        <f>TEXT(33540, "[$-0E0000]yyyy-mm-dd")</f>
        <v/>
      </c>
      <c r="C33541" t="inlineStr">
        <is>
          <t>1991-09-23</t>
        </is>
      </c>
    </row>
    <row r="33542">
      <c r="A33542" s="1" t="n">
        <v>33541</v>
      </c>
      <c r="B33542">
        <f>TEXT(33541, "[$-0E0000]yyyy-mm-dd")</f>
        <v/>
      </c>
      <c r="C33542" t="inlineStr">
        <is>
          <t>1991-09-24</t>
        </is>
      </c>
    </row>
    <row r="33543">
      <c r="A33543" s="1" t="n">
        <v>33542</v>
      </c>
      <c r="B33543">
        <f>TEXT(33542, "[$-0E0000]yyyy-mm-dd")</f>
        <v/>
      </c>
      <c r="C33543" t="inlineStr">
        <is>
          <t>1991-09-25</t>
        </is>
      </c>
    </row>
    <row r="33544">
      <c r="A33544" s="1" t="n">
        <v>33543</v>
      </c>
      <c r="B33544">
        <f>TEXT(33543, "[$-0E0000]yyyy-mm-dd")</f>
        <v/>
      </c>
      <c r="C33544" t="inlineStr">
        <is>
          <t>1991-09-26</t>
        </is>
      </c>
    </row>
    <row r="33545">
      <c r="A33545" s="1" t="n">
        <v>33544</v>
      </c>
      <c r="B33545">
        <f>TEXT(33544, "[$-0E0000]yyyy-mm-dd")</f>
        <v/>
      </c>
      <c r="C33545" t="inlineStr">
        <is>
          <t>1991-09-27</t>
        </is>
      </c>
    </row>
    <row r="33546">
      <c r="A33546" s="1" t="n">
        <v>33545</v>
      </c>
      <c r="B33546">
        <f>TEXT(33545, "[$-0E0000]yyyy-mm-dd")</f>
        <v/>
      </c>
      <c r="C33546" t="inlineStr">
        <is>
          <t>1991-09-28</t>
        </is>
      </c>
    </row>
    <row r="33547">
      <c r="A33547" s="1" t="n">
        <v>33546</v>
      </c>
      <c r="B33547">
        <f>TEXT(33546, "[$-0E0000]yyyy-mm-dd")</f>
        <v/>
      </c>
      <c r="C33547" t="inlineStr">
        <is>
          <t>1991-09-29</t>
        </is>
      </c>
    </row>
    <row r="33548">
      <c r="A33548" s="1" t="n">
        <v>33547</v>
      </c>
      <c r="B33548">
        <f>TEXT(33547, "[$-0E0000]yyyy-mm-dd")</f>
        <v/>
      </c>
      <c r="C33548" t="inlineStr">
        <is>
          <t>1991-10-01</t>
        </is>
      </c>
    </row>
    <row r="33549">
      <c r="A33549" s="1" t="n">
        <v>33548</v>
      </c>
      <c r="B33549">
        <f>TEXT(33548, "[$-0E0000]yyyy-mm-dd")</f>
        <v/>
      </c>
      <c r="C33549" t="inlineStr">
        <is>
          <t>1991-10-02</t>
        </is>
      </c>
    </row>
    <row r="33550">
      <c r="A33550" s="1" t="n">
        <v>33549</v>
      </c>
      <c r="B33550">
        <f>TEXT(33549, "[$-0E0000]yyyy-mm-dd")</f>
        <v/>
      </c>
      <c r="C33550" t="inlineStr">
        <is>
          <t>1991-10-03</t>
        </is>
      </c>
    </row>
    <row r="33551">
      <c r="A33551" s="1" t="n">
        <v>33550</v>
      </c>
      <c r="B33551">
        <f>TEXT(33550, "[$-0E0000]yyyy-mm-dd")</f>
        <v/>
      </c>
      <c r="C33551" t="inlineStr">
        <is>
          <t>1991-10-04</t>
        </is>
      </c>
    </row>
    <row r="33552">
      <c r="A33552" s="1" t="n">
        <v>33551</v>
      </c>
      <c r="B33552">
        <f>TEXT(33551, "[$-0E0000]yyyy-mm-dd")</f>
        <v/>
      </c>
      <c r="C33552" t="inlineStr">
        <is>
          <t>1991-10-05</t>
        </is>
      </c>
    </row>
    <row r="33553">
      <c r="A33553" s="1" t="n">
        <v>33552</v>
      </c>
      <c r="B33553">
        <f>TEXT(33552, "[$-0E0000]yyyy-mm-dd")</f>
        <v/>
      </c>
      <c r="C33553" t="inlineStr">
        <is>
          <t>1991-10-06</t>
        </is>
      </c>
    </row>
    <row r="33554">
      <c r="A33554" s="1" t="n">
        <v>33553</v>
      </c>
      <c r="B33554">
        <f>TEXT(33553, "[$-0E0000]yyyy-mm-dd")</f>
        <v/>
      </c>
      <c r="C33554" t="inlineStr">
        <is>
          <t>1991-10-07</t>
        </is>
      </c>
    </row>
    <row r="33555">
      <c r="A33555" s="1" t="n">
        <v>33554</v>
      </c>
      <c r="B33555">
        <f>TEXT(33554, "[$-0E0000]yyyy-mm-dd")</f>
        <v/>
      </c>
      <c r="C33555" t="inlineStr">
        <is>
          <t>1991-10-08</t>
        </is>
      </c>
    </row>
    <row r="33556">
      <c r="A33556" s="1" t="n">
        <v>33555</v>
      </c>
      <c r="B33556">
        <f>TEXT(33555, "[$-0E0000]yyyy-mm-dd")</f>
        <v/>
      </c>
      <c r="C33556" t="inlineStr">
        <is>
          <t>1991-10-09</t>
        </is>
      </c>
    </row>
    <row r="33557">
      <c r="A33557" s="1" t="n">
        <v>33556</v>
      </c>
      <c r="B33557">
        <f>TEXT(33556, "[$-0E0000]yyyy-mm-dd")</f>
        <v/>
      </c>
      <c r="C33557" t="inlineStr">
        <is>
          <t>1991-10-10</t>
        </is>
      </c>
    </row>
    <row r="33558">
      <c r="A33558" s="1" t="n">
        <v>33557</v>
      </c>
      <c r="B33558">
        <f>TEXT(33557, "[$-0E0000]yyyy-mm-dd")</f>
        <v/>
      </c>
      <c r="C33558" t="inlineStr">
        <is>
          <t>1991-10-11</t>
        </is>
      </c>
    </row>
    <row r="33559">
      <c r="A33559" s="1" t="n">
        <v>33558</v>
      </c>
      <c r="B33559">
        <f>TEXT(33558, "[$-0E0000]yyyy-mm-dd")</f>
        <v/>
      </c>
      <c r="C33559" t="inlineStr">
        <is>
          <t>1991-10-12</t>
        </is>
      </c>
    </row>
    <row r="33560">
      <c r="A33560" s="1" t="n">
        <v>33559</v>
      </c>
      <c r="B33560">
        <f>TEXT(33559, "[$-0E0000]yyyy-mm-dd")</f>
        <v/>
      </c>
      <c r="C33560" t="inlineStr">
        <is>
          <t>1991-10-13</t>
        </is>
      </c>
    </row>
    <row r="33561">
      <c r="A33561" s="1" t="n">
        <v>33560</v>
      </c>
      <c r="B33561">
        <f>TEXT(33560, "[$-0E0000]yyyy-mm-dd")</f>
        <v/>
      </c>
      <c r="C33561" t="inlineStr">
        <is>
          <t>1991-10-14</t>
        </is>
      </c>
    </row>
    <row r="33562">
      <c r="A33562" s="1" t="n">
        <v>33561</v>
      </c>
      <c r="B33562">
        <f>TEXT(33561, "[$-0E0000]yyyy-mm-dd")</f>
        <v/>
      </c>
      <c r="C33562" t="inlineStr">
        <is>
          <t>1991-10-15</t>
        </is>
      </c>
    </row>
    <row r="33563">
      <c r="A33563" s="1" t="n">
        <v>33562</v>
      </c>
      <c r="B33563">
        <f>TEXT(33562, "[$-0E0000]yyyy-mm-dd")</f>
        <v/>
      </c>
      <c r="C33563" t="inlineStr">
        <is>
          <t>1991-10-16</t>
        </is>
      </c>
    </row>
    <row r="33564">
      <c r="A33564" s="1" t="n">
        <v>33563</v>
      </c>
      <c r="B33564">
        <f>TEXT(33563, "[$-0E0000]yyyy-mm-dd")</f>
        <v/>
      </c>
      <c r="C33564" t="inlineStr">
        <is>
          <t>1991-10-17</t>
        </is>
      </c>
    </row>
    <row r="33565">
      <c r="A33565" s="1" t="n">
        <v>33564</v>
      </c>
      <c r="B33565">
        <f>TEXT(33564, "[$-0E0000]yyyy-mm-dd")</f>
        <v/>
      </c>
      <c r="C33565" t="inlineStr">
        <is>
          <t>1991-10-18</t>
        </is>
      </c>
    </row>
    <row r="33566">
      <c r="A33566" s="1" t="n">
        <v>33565</v>
      </c>
      <c r="B33566">
        <f>TEXT(33565, "[$-0E0000]yyyy-mm-dd")</f>
        <v/>
      </c>
      <c r="C33566" t="inlineStr">
        <is>
          <t>1991-10-19</t>
        </is>
      </c>
    </row>
    <row r="33567">
      <c r="A33567" s="1" t="n">
        <v>33566</v>
      </c>
      <c r="B33567">
        <f>TEXT(33566, "[$-0E0000]yyyy-mm-dd")</f>
        <v/>
      </c>
      <c r="C33567" t="inlineStr">
        <is>
          <t>1991-10-20</t>
        </is>
      </c>
    </row>
    <row r="33568">
      <c r="A33568" s="1" t="n">
        <v>33567</v>
      </c>
      <c r="B33568">
        <f>TEXT(33567, "[$-0E0000]yyyy-mm-dd")</f>
        <v/>
      </c>
      <c r="C33568" t="inlineStr">
        <is>
          <t>1991-10-21</t>
        </is>
      </c>
    </row>
    <row r="33569">
      <c r="A33569" s="1" t="n">
        <v>33568</v>
      </c>
      <c r="B33569">
        <f>TEXT(33568, "[$-0E0000]yyyy-mm-dd")</f>
        <v/>
      </c>
      <c r="C33569" t="inlineStr">
        <is>
          <t>1991-10-22</t>
        </is>
      </c>
    </row>
    <row r="33570">
      <c r="A33570" s="1" t="n">
        <v>33569</v>
      </c>
      <c r="B33570">
        <f>TEXT(33569, "[$-0E0000]yyyy-mm-dd")</f>
        <v/>
      </c>
      <c r="C33570" t="inlineStr">
        <is>
          <t>1991-10-23</t>
        </is>
      </c>
    </row>
    <row r="33571">
      <c r="A33571" s="1" t="n">
        <v>33570</v>
      </c>
      <c r="B33571">
        <f>TEXT(33570, "[$-0E0000]yyyy-mm-dd")</f>
        <v/>
      </c>
      <c r="C33571" t="inlineStr">
        <is>
          <t>1991-10-24</t>
        </is>
      </c>
    </row>
    <row r="33572">
      <c r="A33572" s="1" t="n">
        <v>33571</v>
      </c>
      <c r="B33572">
        <f>TEXT(33571, "[$-0E0000]yyyy-mm-dd")</f>
        <v/>
      </c>
      <c r="C33572" t="inlineStr">
        <is>
          <t>1991-10-25</t>
        </is>
      </c>
    </row>
    <row r="33573">
      <c r="A33573" s="1" t="n">
        <v>33572</v>
      </c>
      <c r="B33573">
        <f>TEXT(33572, "[$-0E0000]yyyy-mm-dd")</f>
        <v/>
      </c>
      <c r="C33573" t="inlineStr">
        <is>
          <t>1991-10-26</t>
        </is>
      </c>
    </row>
    <row r="33574">
      <c r="A33574" s="1" t="n">
        <v>33573</v>
      </c>
      <c r="B33574">
        <f>TEXT(33573, "[$-0E0000]yyyy-mm-dd")</f>
        <v/>
      </c>
      <c r="C33574" t="inlineStr">
        <is>
          <t>1991-10-27</t>
        </is>
      </c>
    </row>
    <row r="33575">
      <c r="A33575" s="1" t="n">
        <v>33574</v>
      </c>
      <c r="B33575">
        <f>TEXT(33574, "[$-0E0000]yyyy-mm-dd")</f>
        <v/>
      </c>
      <c r="C33575" t="inlineStr">
        <is>
          <t>1991-10-28</t>
        </is>
      </c>
    </row>
    <row r="33576">
      <c r="A33576" s="1" t="n">
        <v>33575</v>
      </c>
      <c r="B33576">
        <f>TEXT(33575, "[$-0E0000]yyyy-mm-dd")</f>
        <v/>
      </c>
      <c r="C33576" t="inlineStr">
        <is>
          <t>1991-10-29</t>
        </is>
      </c>
    </row>
    <row r="33577">
      <c r="A33577" s="1" t="n">
        <v>33576</v>
      </c>
      <c r="B33577">
        <f>TEXT(33576, "[$-0E0000]yyyy-mm-dd")</f>
        <v/>
      </c>
      <c r="C33577" t="inlineStr">
        <is>
          <t>1991-10-30</t>
        </is>
      </c>
    </row>
    <row r="33578">
      <c r="A33578" s="1" t="n">
        <v>33577</v>
      </c>
      <c r="B33578">
        <f>TEXT(33577, "[$-0E0000]yyyy-mm-dd")</f>
        <v/>
      </c>
      <c r="C33578" t="inlineStr">
        <is>
          <t>1991-11-01</t>
        </is>
      </c>
    </row>
    <row r="33579">
      <c r="A33579" s="1" t="n">
        <v>33578</v>
      </c>
      <c r="B33579">
        <f>TEXT(33578, "[$-0E0000]yyyy-mm-dd")</f>
        <v/>
      </c>
      <c r="C33579" t="inlineStr">
        <is>
          <t>1991-11-02</t>
        </is>
      </c>
    </row>
    <row r="33580">
      <c r="A33580" s="1" t="n">
        <v>33579</v>
      </c>
      <c r="B33580">
        <f>TEXT(33579, "[$-0E0000]yyyy-mm-dd")</f>
        <v/>
      </c>
      <c r="C33580" t="inlineStr">
        <is>
          <t>1991-11-03</t>
        </is>
      </c>
    </row>
    <row r="33581">
      <c r="A33581" s="1" t="n">
        <v>33580</v>
      </c>
      <c r="B33581">
        <f>TEXT(33580, "[$-0E0000]yyyy-mm-dd")</f>
        <v/>
      </c>
      <c r="C33581" t="inlineStr">
        <is>
          <t>1991-11-04</t>
        </is>
      </c>
    </row>
    <row r="33582">
      <c r="A33582" s="1" t="n">
        <v>33581</v>
      </c>
      <c r="B33582">
        <f>TEXT(33581, "[$-0E0000]yyyy-mm-dd")</f>
        <v/>
      </c>
      <c r="C33582" t="inlineStr">
        <is>
          <t>1991-11-05</t>
        </is>
      </c>
    </row>
    <row r="33583">
      <c r="A33583" s="1" t="n">
        <v>33582</v>
      </c>
      <c r="B33583">
        <f>TEXT(33582, "[$-0E0000]yyyy-mm-dd")</f>
        <v/>
      </c>
      <c r="C33583" t="inlineStr">
        <is>
          <t>1991-11-06</t>
        </is>
      </c>
    </row>
    <row r="33584">
      <c r="A33584" s="1" t="n">
        <v>33583</v>
      </c>
      <c r="B33584">
        <f>TEXT(33583, "[$-0E0000]yyyy-mm-dd")</f>
        <v/>
      </c>
      <c r="C33584" t="inlineStr">
        <is>
          <t>1991-11-07</t>
        </is>
      </c>
    </row>
    <row r="33585">
      <c r="A33585" s="1" t="n">
        <v>33584</v>
      </c>
      <c r="B33585">
        <f>TEXT(33584, "[$-0E0000]yyyy-mm-dd")</f>
        <v/>
      </c>
      <c r="C33585" t="inlineStr">
        <is>
          <t>1991-11-08</t>
        </is>
      </c>
    </row>
    <row r="33586">
      <c r="A33586" s="1" t="n">
        <v>33585</v>
      </c>
      <c r="B33586">
        <f>TEXT(33585, "[$-0E0000]yyyy-mm-dd")</f>
        <v/>
      </c>
      <c r="C33586" t="inlineStr">
        <is>
          <t>1991-11-09</t>
        </is>
      </c>
    </row>
    <row r="33587">
      <c r="A33587" s="1" t="n">
        <v>33586</v>
      </c>
      <c r="B33587">
        <f>TEXT(33586, "[$-0E0000]yyyy-mm-dd")</f>
        <v/>
      </c>
      <c r="C33587" t="inlineStr">
        <is>
          <t>1991-11-10</t>
        </is>
      </c>
    </row>
    <row r="33588">
      <c r="A33588" s="1" t="n">
        <v>33587</v>
      </c>
      <c r="B33588">
        <f>TEXT(33587, "[$-0E0000]yyyy-mm-dd")</f>
        <v/>
      </c>
      <c r="C33588" t="inlineStr">
        <is>
          <t>1991-11-11</t>
        </is>
      </c>
    </row>
    <row r="33589">
      <c r="A33589" s="1" t="n">
        <v>33588</v>
      </c>
      <c r="B33589">
        <f>TEXT(33588, "[$-0E0000]yyyy-mm-dd")</f>
        <v/>
      </c>
      <c r="C33589" t="inlineStr">
        <is>
          <t>1991-11-12</t>
        </is>
      </c>
    </row>
    <row r="33590">
      <c r="A33590" s="1" t="n">
        <v>33589</v>
      </c>
      <c r="B33590">
        <f>TEXT(33589, "[$-0E0000]yyyy-mm-dd")</f>
        <v/>
      </c>
      <c r="C33590" t="inlineStr">
        <is>
          <t>1991-11-13</t>
        </is>
      </c>
    </row>
    <row r="33591">
      <c r="A33591" s="1" t="n">
        <v>33590</v>
      </c>
      <c r="B33591">
        <f>TEXT(33590, "[$-0E0000]yyyy-mm-dd")</f>
        <v/>
      </c>
      <c r="C33591" t="inlineStr">
        <is>
          <t>1991-11-14</t>
        </is>
      </c>
    </row>
    <row r="33592">
      <c r="A33592" s="1" t="n">
        <v>33591</v>
      </c>
      <c r="B33592">
        <f>TEXT(33591, "[$-0E0000]yyyy-mm-dd")</f>
        <v/>
      </c>
      <c r="C33592" t="inlineStr">
        <is>
          <t>1991-11-15</t>
        </is>
      </c>
    </row>
    <row r="33593">
      <c r="A33593" s="1" t="n">
        <v>33592</v>
      </c>
      <c r="B33593">
        <f>TEXT(33592, "[$-0E0000]yyyy-mm-dd")</f>
        <v/>
      </c>
      <c r="C33593" t="inlineStr">
        <is>
          <t>1991-11-16</t>
        </is>
      </c>
    </row>
    <row r="33594">
      <c r="A33594" s="1" t="n">
        <v>33593</v>
      </c>
      <c r="B33594">
        <f>TEXT(33593, "[$-0E0000]yyyy-mm-dd")</f>
        <v/>
      </c>
      <c r="C33594" t="inlineStr">
        <is>
          <t>1991-11-17</t>
        </is>
      </c>
    </row>
    <row r="33595">
      <c r="A33595" s="1" t="n">
        <v>33594</v>
      </c>
      <c r="B33595">
        <f>TEXT(33594, "[$-0E0000]yyyy-mm-dd")</f>
        <v/>
      </c>
      <c r="C33595" t="inlineStr">
        <is>
          <t>1991-11-18</t>
        </is>
      </c>
    </row>
    <row r="33596">
      <c r="A33596" s="1" t="n">
        <v>33595</v>
      </c>
      <c r="B33596">
        <f>TEXT(33595, "[$-0E0000]yyyy-mm-dd")</f>
        <v/>
      </c>
      <c r="C33596" t="inlineStr">
        <is>
          <t>1991-11-19</t>
        </is>
      </c>
    </row>
    <row r="33597">
      <c r="A33597" s="1" t="n">
        <v>33596</v>
      </c>
      <c r="B33597">
        <f>TEXT(33596, "[$-0E0000]yyyy-mm-dd")</f>
        <v/>
      </c>
      <c r="C33597" t="inlineStr">
        <is>
          <t>1991-11-20</t>
        </is>
      </c>
    </row>
    <row r="33598">
      <c r="A33598" s="1" t="n">
        <v>33597</v>
      </c>
      <c r="B33598">
        <f>TEXT(33597, "[$-0E0000]yyyy-mm-dd")</f>
        <v/>
      </c>
      <c r="C33598" t="inlineStr">
        <is>
          <t>1991-11-21</t>
        </is>
      </c>
    </row>
    <row r="33599">
      <c r="A33599" s="1" t="n">
        <v>33598</v>
      </c>
      <c r="B33599">
        <f>TEXT(33598, "[$-0E0000]yyyy-mm-dd")</f>
        <v/>
      </c>
      <c r="C33599" t="inlineStr">
        <is>
          <t>1991-11-22</t>
        </is>
      </c>
    </row>
    <row r="33600">
      <c r="A33600" s="1" t="n">
        <v>33599</v>
      </c>
      <c r="B33600">
        <f>TEXT(33599, "[$-0E0000]yyyy-mm-dd")</f>
        <v/>
      </c>
      <c r="C33600" t="inlineStr">
        <is>
          <t>1991-11-23</t>
        </is>
      </c>
    </row>
    <row r="33601">
      <c r="A33601" s="1" t="n">
        <v>33600</v>
      </c>
      <c r="B33601">
        <f>TEXT(33600, "[$-0E0000]yyyy-mm-dd")</f>
        <v/>
      </c>
      <c r="C33601" t="inlineStr">
        <is>
          <t>1991-11-24</t>
        </is>
      </c>
    </row>
    <row r="33602">
      <c r="A33602" s="1" t="n">
        <v>33601</v>
      </c>
      <c r="B33602">
        <f>TEXT(33601, "[$-0E0000]yyyy-mm-dd")</f>
        <v/>
      </c>
      <c r="C33602" t="inlineStr">
        <is>
          <t>1991-11-25</t>
        </is>
      </c>
    </row>
    <row r="33603">
      <c r="A33603" s="1" t="n">
        <v>33602</v>
      </c>
      <c r="B33603">
        <f>TEXT(33602, "[$-0E0000]yyyy-mm-dd")</f>
        <v/>
      </c>
      <c r="C33603" t="inlineStr">
        <is>
          <t>1991-11-26</t>
        </is>
      </c>
    </row>
    <row r="33604">
      <c r="A33604" s="1" t="n">
        <v>33603</v>
      </c>
      <c r="B33604">
        <f>TEXT(33603, "[$-0E0000]yyyy-mm-dd")</f>
        <v/>
      </c>
      <c r="C33604" t="inlineStr">
        <is>
          <t>1991-11-27</t>
        </is>
      </c>
    </row>
    <row r="33605">
      <c r="A33605" s="1" t="n">
        <v>33604</v>
      </c>
      <c r="B33605">
        <f>TEXT(33604, "[$-0E0000]yyyy-mm-dd")</f>
        <v/>
      </c>
      <c r="C33605" t="inlineStr">
        <is>
          <t>1991-11-28</t>
        </is>
      </c>
    </row>
    <row r="33606">
      <c r="A33606" s="1" t="n">
        <v>33605</v>
      </c>
      <c r="B33606">
        <f>TEXT(33605, "[$-0E0000]yyyy-mm-dd")</f>
        <v/>
      </c>
      <c r="C33606" t="inlineStr">
        <is>
          <t>1991-11-29</t>
        </is>
      </c>
    </row>
    <row r="33607">
      <c r="A33607" s="1" t="n">
        <v>33606</v>
      </c>
      <c r="B33607">
        <f>TEXT(33606, "[$-0E0000]yyyy-mm-dd")</f>
        <v/>
      </c>
      <c r="C33607" t="inlineStr">
        <is>
          <t>1991-11-30</t>
        </is>
      </c>
    </row>
    <row r="33608">
      <c r="A33608" s="1" t="n">
        <v>33607</v>
      </c>
      <c r="B33608">
        <f>TEXT(33607, "[$-0E0000]yyyy-mm-dd")</f>
        <v/>
      </c>
      <c r="C33608" t="inlineStr">
        <is>
          <t>1991-12-01</t>
        </is>
      </c>
    </row>
    <row r="33609">
      <c r="A33609" s="1" t="n">
        <v>33608</v>
      </c>
      <c r="B33609">
        <f>TEXT(33608, "[$-0E0000]yyyy-mm-dd")</f>
        <v/>
      </c>
      <c r="C33609" t="inlineStr">
        <is>
          <t>1991-12-02</t>
        </is>
      </c>
    </row>
    <row r="33610">
      <c r="A33610" s="1" t="n">
        <v>33609</v>
      </c>
      <c r="B33610">
        <f>TEXT(33609, "[$-0E0000]yyyy-mm-dd")</f>
        <v/>
      </c>
      <c r="C33610" t="inlineStr">
        <is>
          <t>1991-12-03</t>
        </is>
      </c>
    </row>
    <row r="33611">
      <c r="A33611" s="1" t="n">
        <v>33610</v>
      </c>
      <c r="B33611">
        <f>TEXT(33610, "[$-0E0000]yyyy-mm-dd")</f>
        <v/>
      </c>
      <c r="C33611" t="inlineStr">
        <is>
          <t>1991-12-04</t>
        </is>
      </c>
    </row>
    <row r="33612">
      <c r="A33612" s="1" t="n">
        <v>33611</v>
      </c>
      <c r="B33612">
        <f>TEXT(33611, "[$-0E0000]yyyy-mm-dd")</f>
        <v/>
      </c>
      <c r="C33612" t="inlineStr">
        <is>
          <t>1991-12-05</t>
        </is>
      </c>
    </row>
    <row r="33613">
      <c r="A33613" s="1" t="n">
        <v>33612</v>
      </c>
      <c r="B33613">
        <f>TEXT(33612, "[$-0E0000]yyyy-mm-dd")</f>
        <v/>
      </c>
      <c r="C33613" t="inlineStr">
        <is>
          <t>1991-12-06</t>
        </is>
      </c>
    </row>
    <row r="33614">
      <c r="A33614" s="1" t="n">
        <v>33613</v>
      </c>
      <c r="B33614">
        <f>TEXT(33613, "[$-0E0000]yyyy-mm-dd")</f>
        <v/>
      </c>
      <c r="C33614" t="inlineStr">
        <is>
          <t>1991-12-07</t>
        </is>
      </c>
    </row>
    <row r="33615">
      <c r="A33615" s="1" t="n">
        <v>33614</v>
      </c>
      <c r="B33615">
        <f>TEXT(33614, "[$-0E0000]yyyy-mm-dd")</f>
        <v/>
      </c>
      <c r="C33615" t="inlineStr">
        <is>
          <t>1991-12-08</t>
        </is>
      </c>
    </row>
    <row r="33616">
      <c r="A33616" s="1" t="n">
        <v>33615</v>
      </c>
      <c r="B33616">
        <f>TEXT(33615, "[$-0E0000]yyyy-mm-dd")</f>
        <v/>
      </c>
      <c r="C33616" t="inlineStr">
        <is>
          <t>1991-12-09</t>
        </is>
      </c>
    </row>
    <row r="33617">
      <c r="A33617" s="1" t="n">
        <v>33616</v>
      </c>
      <c r="B33617">
        <f>TEXT(33616, "[$-0E0000]yyyy-mm-dd")</f>
        <v/>
      </c>
      <c r="C33617" t="inlineStr">
        <is>
          <t>1991-12-10</t>
        </is>
      </c>
    </row>
    <row r="33618">
      <c r="A33618" s="1" t="n">
        <v>33617</v>
      </c>
      <c r="B33618">
        <f>TEXT(33617, "[$-0E0000]yyyy-mm-dd")</f>
        <v/>
      </c>
      <c r="C33618" t="inlineStr">
        <is>
          <t>1991-12-11</t>
        </is>
      </c>
    </row>
    <row r="33619">
      <c r="A33619" s="1" t="n">
        <v>33618</v>
      </c>
      <c r="B33619">
        <f>TEXT(33618, "[$-0E0000]yyyy-mm-dd")</f>
        <v/>
      </c>
      <c r="C33619" t="inlineStr">
        <is>
          <t>1991-12-12</t>
        </is>
      </c>
    </row>
    <row r="33620">
      <c r="A33620" s="1" t="n">
        <v>33619</v>
      </c>
      <c r="B33620">
        <f>TEXT(33619, "[$-0E0000]yyyy-mm-dd")</f>
        <v/>
      </c>
      <c r="C33620" t="inlineStr">
        <is>
          <t>1991-12-13</t>
        </is>
      </c>
    </row>
    <row r="33621">
      <c r="A33621" s="1" t="n">
        <v>33620</v>
      </c>
      <c r="B33621">
        <f>TEXT(33620, "[$-0E0000]yyyy-mm-dd")</f>
        <v/>
      </c>
      <c r="C33621" t="inlineStr">
        <is>
          <t>1991-12-14</t>
        </is>
      </c>
    </row>
    <row r="33622">
      <c r="A33622" s="1" t="n">
        <v>33621</v>
      </c>
      <c r="B33622">
        <f>TEXT(33621, "[$-0E0000]yyyy-mm-dd")</f>
        <v/>
      </c>
      <c r="C33622" t="inlineStr">
        <is>
          <t>1991-12-15</t>
        </is>
      </c>
    </row>
    <row r="33623">
      <c r="A33623" s="1" t="n">
        <v>33622</v>
      </c>
      <c r="B33623">
        <f>TEXT(33622, "[$-0E0000]yyyy-mm-dd")</f>
        <v/>
      </c>
      <c r="C33623" t="inlineStr">
        <is>
          <t>1991-12-16</t>
        </is>
      </c>
    </row>
    <row r="33624">
      <c r="A33624" s="1" t="n">
        <v>33623</v>
      </c>
      <c r="B33624">
        <f>TEXT(33623, "[$-0E0000]yyyy-mm-dd")</f>
        <v/>
      </c>
      <c r="C33624" t="inlineStr">
        <is>
          <t>1991-12-17</t>
        </is>
      </c>
    </row>
    <row r="33625">
      <c r="A33625" s="1" t="n">
        <v>33624</v>
      </c>
      <c r="B33625">
        <f>TEXT(33624, "[$-0E0000]yyyy-mm-dd")</f>
        <v/>
      </c>
      <c r="C33625" t="inlineStr">
        <is>
          <t>1991-12-18</t>
        </is>
      </c>
    </row>
    <row r="33626">
      <c r="A33626" s="1" t="n">
        <v>33625</v>
      </c>
      <c r="B33626">
        <f>TEXT(33625, "[$-0E0000]yyyy-mm-dd")</f>
        <v/>
      </c>
      <c r="C33626" t="inlineStr">
        <is>
          <t>1991-12-19</t>
        </is>
      </c>
    </row>
    <row r="33627">
      <c r="A33627" s="1" t="n">
        <v>33626</v>
      </c>
      <c r="B33627">
        <f>TEXT(33626, "[$-0E0000]yyyy-mm-dd")</f>
        <v/>
      </c>
      <c r="C33627" t="inlineStr">
        <is>
          <t>1991-12-20</t>
        </is>
      </c>
    </row>
    <row r="33628">
      <c r="A33628" s="1" t="n">
        <v>33627</v>
      </c>
      <c r="B33628">
        <f>TEXT(33627, "[$-0E0000]yyyy-mm-dd")</f>
        <v/>
      </c>
      <c r="C33628" t="inlineStr">
        <is>
          <t>1991-12-21</t>
        </is>
      </c>
    </row>
    <row r="33629">
      <c r="A33629" s="1" t="n">
        <v>33628</v>
      </c>
      <c r="B33629">
        <f>TEXT(33628, "[$-0E0000]yyyy-mm-dd")</f>
        <v/>
      </c>
      <c r="C33629" t="inlineStr">
        <is>
          <t>1991-12-22</t>
        </is>
      </c>
    </row>
    <row r="33630">
      <c r="A33630" s="1" t="n">
        <v>33629</v>
      </c>
      <c r="B33630">
        <f>TEXT(33629, "[$-0E0000]yyyy-mm-dd")</f>
        <v/>
      </c>
      <c r="C33630" t="inlineStr">
        <is>
          <t>1991-12-23</t>
        </is>
      </c>
    </row>
    <row r="33631">
      <c r="A33631" s="1" t="n">
        <v>33630</v>
      </c>
      <c r="B33631">
        <f>TEXT(33630, "[$-0E0000]yyyy-mm-dd")</f>
        <v/>
      </c>
      <c r="C33631" t="inlineStr">
        <is>
          <t>1991-12-24</t>
        </is>
      </c>
    </row>
    <row r="33632">
      <c r="A33632" s="1" t="n">
        <v>33631</v>
      </c>
      <c r="B33632">
        <f>TEXT(33631, "[$-0E0000]yyyy-mm-dd")</f>
        <v/>
      </c>
      <c r="C33632" t="inlineStr">
        <is>
          <t>1991-12-25</t>
        </is>
      </c>
    </row>
    <row r="33633">
      <c r="A33633" s="1" t="n">
        <v>33632</v>
      </c>
      <c r="B33633">
        <f>TEXT(33632, "[$-0E0000]yyyy-mm-dd")</f>
        <v/>
      </c>
      <c r="C33633" t="inlineStr">
        <is>
          <t>1991-12-26</t>
        </is>
      </c>
    </row>
    <row r="33634">
      <c r="A33634" s="1" t="n">
        <v>33633</v>
      </c>
      <c r="B33634">
        <f>TEXT(33633, "[$-0E0000]yyyy-mm-dd")</f>
        <v/>
      </c>
      <c r="C33634" t="inlineStr">
        <is>
          <t>1991-12-27</t>
        </is>
      </c>
    </row>
    <row r="33635">
      <c r="A33635" s="1" t="n">
        <v>33634</v>
      </c>
      <c r="B33635">
        <f>TEXT(33634, "[$-0E0000]yyyy-mm-dd")</f>
        <v/>
      </c>
      <c r="C33635" t="inlineStr">
        <is>
          <t>1991-12-28</t>
        </is>
      </c>
    </row>
    <row r="33636">
      <c r="A33636" s="1" t="n">
        <v>33635</v>
      </c>
      <c r="B33636">
        <f>TEXT(33635, "[$-0E0000]yyyy-mm-dd")</f>
        <v/>
      </c>
      <c r="C33636" t="inlineStr">
        <is>
          <t>1991-12-29</t>
        </is>
      </c>
    </row>
    <row r="33637">
      <c r="A33637" s="1" t="n">
        <v>33636</v>
      </c>
      <c r="B33637">
        <f>TEXT(33636, "[$-0E0000]yyyy-mm-dd")</f>
        <v/>
      </c>
      <c r="C33637" t="inlineStr">
        <is>
          <t>1991-12-30</t>
        </is>
      </c>
    </row>
    <row r="33638">
      <c r="A33638" s="1" t="n">
        <v>33637</v>
      </c>
      <c r="B33638">
        <f>TEXT(33637, "[$-0E0000]yyyy-mm-dd")</f>
        <v/>
      </c>
      <c r="C33638" t="inlineStr">
        <is>
          <t>1992-01-01</t>
        </is>
      </c>
    </row>
    <row r="33639">
      <c r="A33639" s="1" t="n">
        <v>33638</v>
      </c>
      <c r="B33639">
        <f>TEXT(33638, "[$-0E0000]yyyy-mm-dd")</f>
        <v/>
      </c>
      <c r="C33639" t="inlineStr">
        <is>
          <t>1992-01-02</t>
        </is>
      </c>
    </row>
    <row r="33640">
      <c r="A33640" s="1" t="n">
        <v>33639</v>
      </c>
      <c r="B33640">
        <f>TEXT(33639, "[$-0E0000]yyyy-mm-dd")</f>
        <v/>
      </c>
      <c r="C33640" t="inlineStr">
        <is>
          <t>1992-01-03</t>
        </is>
      </c>
    </row>
    <row r="33641">
      <c r="A33641" s="1" t="n">
        <v>33640</v>
      </c>
      <c r="B33641">
        <f>TEXT(33640, "[$-0E0000]yyyy-mm-dd")</f>
        <v/>
      </c>
      <c r="C33641" t="inlineStr">
        <is>
          <t>1992-01-04</t>
        </is>
      </c>
    </row>
    <row r="33642">
      <c r="A33642" s="1" t="n">
        <v>33641</v>
      </c>
      <c r="B33642">
        <f>TEXT(33641, "[$-0E0000]yyyy-mm-dd")</f>
        <v/>
      </c>
      <c r="C33642" t="inlineStr">
        <is>
          <t>1992-01-05</t>
        </is>
      </c>
    </row>
    <row r="33643">
      <c r="A33643" s="1" t="n">
        <v>33642</v>
      </c>
      <c r="B33643">
        <f>TEXT(33642, "[$-0E0000]yyyy-mm-dd")</f>
        <v/>
      </c>
      <c r="C33643" t="inlineStr">
        <is>
          <t>1992-01-06</t>
        </is>
      </c>
    </row>
    <row r="33644">
      <c r="A33644" s="1" t="n">
        <v>33643</v>
      </c>
      <c r="B33644">
        <f>TEXT(33643, "[$-0E0000]yyyy-mm-dd")</f>
        <v/>
      </c>
      <c r="C33644" t="inlineStr">
        <is>
          <t>1992-01-07</t>
        </is>
      </c>
    </row>
    <row r="33645">
      <c r="A33645" s="1" t="n">
        <v>33644</v>
      </c>
      <c r="B33645">
        <f>TEXT(33644, "[$-0E0000]yyyy-mm-dd")</f>
        <v/>
      </c>
      <c r="C33645" t="inlineStr">
        <is>
          <t>1992-01-08</t>
        </is>
      </c>
    </row>
    <row r="33646">
      <c r="A33646" s="1" t="n">
        <v>33645</v>
      </c>
      <c r="B33646">
        <f>TEXT(33645, "[$-0E0000]yyyy-mm-dd")</f>
        <v/>
      </c>
      <c r="C33646" t="inlineStr">
        <is>
          <t>1992-01-09</t>
        </is>
      </c>
    </row>
    <row r="33647">
      <c r="A33647" s="1" t="n">
        <v>33646</v>
      </c>
      <c r="B33647">
        <f>TEXT(33646, "[$-0E0000]yyyy-mm-dd")</f>
        <v/>
      </c>
      <c r="C33647" t="inlineStr">
        <is>
          <t>1992-01-10</t>
        </is>
      </c>
    </row>
    <row r="33648">
      <c r="A33648" s="1" t="n">
        <v>33647</v>
      </c>
      <c r="B33648">
        <f>TEXT(33647, "[$-0E0000]yyyy-mm-dd")</f>
        <v/>
      </c>
      <c r="C33648" t="inlineStr">
        <is>
          <t>1992-01-11</t>
        </is>
      </c>
    </row>
    <row r="33649">
      <c r="A33649" s="1" t="n">
        <v>33648</v>
      </c>
      <c r="B33649">
        <f>TEXT(33648, "[$-0E0000]yyyy-mm-dd")</f>
        <v/>
      </c>
      <c r="C33649" t="inlineStr">
        <is>
          <t>1992-01-12</t>
        </is>
      </c>
    </row>
    <row r="33650">
      <c r="A33650" s="1" t="n">
        <v>33649</v>
      </c>
      <c r="B33650">
        <f>TEXT(33649, "[$-0E0000]yyyy-mm-dd")</f>
        <v/>
      </c>
      <c r="C33650" t="inlineStr">
        <is>
          <t>1992-01-13</t>
        </is>
      </c>
    </row>
    <row r="33651">
      <c r="A33651" s="1" t="n">
        <v>33650</v>
      </c>
      <c r="B33651">
        <f>TEXT(33650, "[$-0E0000]yyyy-mm-dd")</f>
        <v/>
      </c>
      <c r="C33651" t="inlineStr">
        <is>
          <t>1992-01-14</t>
        </is>
      </c>
    </row>
    <row r="33652">
      <c r="A33652" s="1" t="n">
        <v>33651</v>
      </c>
      <c r="B33652">
        <f>TEXT(33651, "[$-0E0000]yyyy-mm-dd")</f>
        <v/>
      </c>
      <c r="C33652" t="inlineStr">
        <is>
          <t>1992-01-15</t>
        </is>
      </c>
    </row>
    <row r="33653">
      <c r="A33653" s="1" t="n">
        <v>33652</v>
      </c>
      <c r="B33653">
        <f>TEXT(33652, "[$-0E0000]yyyy-mm-dd")</f>
        <v/>
      </c>
      <c r="C33653" t="inlineStr">
        <is>
          <t>1992-01-16</t>
        </is>
      </c>
    </row>
    <row r="33654">
      <c r="A33654" s="1" t="n">
        <v>33653</v>
      </c>
      <c r="B33654">
        <f>TEXT(33653, "[$-0E0000]yyyy-mm-dd")</f>
        <v/>
      </c>
      <c r="C33654" t="inlineStr">
        <is>
          <t>1992-01-17</t>
        </is>
      </c>
    </row>
    <row r="33655">
      <c r="A33655" s="1" t="n">
        <v>33654</v>
      </c>
      <c r="B33655">
        <f>TEXT(33654, "[$-0E0000]yyyy-mm-dd")</f>
        <v/>
      </c>
      <c r="C33655" t="inlineStr">
        <is>
          <t>1992-01-18</t>
        </is>
      </c>
    </row>
    <row r="33656">
      <c r="A33656" s="1" t="n">
        <v>33655</v>
      </c>
      <c r="B33656">
        <f>TEXT(33655, "[$-0E0000]yyyy-mm-dd")</f>
        <v/>
      </c>
      <c r="C33656" t="inlineStr">
        <is>
          <t>1992-01-19</t>
        </is>
      </c>
    </row>
    <row r="33657">
      <c r="A33657" s="1" t="n">
        <v>33656</v>
      </c>
      <c r="B33657">
        <f>TEXT(33656, "[$-0E0000]yyyy-mm-dd")</f>
        <v/>
      </c>
      <c r="C33657" t="inlineStr">
        <is>
          <t>1992-01-20</t>
        </is>
      </c>
    </row>
    <row r="33658">
      <c r="A33658" s="1" t="n">
        <v>33657</v>
      </c>
      <c r="B33658">
        <f>TEXT(33657, "[$-0E0000]yyyy-mm-dd")</f>
        <v/>
      </c>
      <c r="C33658" t="inlineStr">
        <is>
          <t>1992-01-21</t>
        </is>
      </c>
    </row>
    <row r="33659">
      <c r="A33659" s="1" t="n">
        <v>33658</v>
      </c>
      <c r="B33659">
        <f>TEXT(33658, "[$-0E0000]yyyy-mm-dd")</f>
        <v/>
      </c>
      <c r="C33659" t="inlineStr">
        <is>
          <t>1992-01-22</t>
        </is>
      </c>
    </row>
    <row r="33660">
      <c r="A33660" s="1" t="n">
        <v>33659</v>
      </c>
      <c r="B33660">
        <f>TEXT(33659, "[$-0E0000]yyyy-mm-dd")</f>
        <v/>
      </c>
      <c r="C33660" t="inlineStr">
        <is>
          <t>1992-01-23</t>
        </is>
      </c>
    </row>
    <row r="33661">
      <c r="A33661" s="1" t="n">
        <v>33660</v>
      </c>
      <c r="B33661">
        <f>TEXT(33660, "[$-0E0000]yyyy-mm-dd")</f>
        <v/>
      </c>
      <c r="C33661" t="inlineStr">
        <is>
          <t>1992-01-24</t>
        </is>
      </c>
    </row>
    <row r="33662">
      <c r="A33662" s="1" t="n">
        <v>33661</v>
      </c>
      <c r="B33662">
        <f>TEXT(33661, "[$-0E0000]yyyy-mm-dd")</f>
        <v/>
      </c>
      <c r="C33662" t="inlineStr">
        <is>
          <t>1992-01-25</t>
        </is>
      </c>
    </row>
    <row r="33663">
      <c r="A33663" s="1" t="n">
        <v>33662</v>
      </c>
      <c r="B33663">
        <f>TEXT(33662, "[$-0E0000]yyyy-mm-dd")</f>
        <v/>
      </c>
      <c r="C33663" t="inlineStr">
        <is>
          <t>1992-01-26</t>
        </is>
      </c>
    </row>
    <row r="33664">
      <c r="A33664" s="1" t="n">
        <v>33663</v>
      </c>
      <c r="B33664">
        <f>TEXT(33663, "[$-0E0000]yyyy-mm-dd")</f>
        <v/>
      </c>
      <c r="C33664" t="inlineStr">
        <is>
          <t>1992-01-27</t>
        </is>
      </c>
    </row>
    <row r="33665">
      <c r="A33665" s="1" t="n">
        <v>33664</v>
      </c>
      <c r="B33665">
        <f>TEXT(33664, "[$-0E0000]yyyy-mm-dd")</f>
        <v/>
      </c>
      <c r="C33665" t="inlineStr">
        <is>
          <t>1992-01-28</t>
        </is>
      </c>
    </row>
    <row r="33666">
      <c r="A33666" s="1" t="n">
        <v>33665</v>
      </c>
      <c r="B33666">
        <f>TEXT(33665, "[$-0E0000]yyyy-mm-dd")</f>
        <v/>
      </c>
      <c r="C33666" t="inlineStr">
        <is>
          <t>1992-01-29</t>
        </is>
      </c>
    </row>
    <row r="33667">
      <c r="A33667" s="1" t="n">
        <v>33666</v>
      </c>
      <c r="B33667">
        <f>TEXT(33666, "[$-0E0000]yyyy-mm-dd")</f>
        <v/>
      </c>
      <c r="C33667" t="inlineStr">
        <is>
          <t>1992-02-01</t>
        </is>
      </c>
    </row>
    <row r="33668">
      <c r="A33668" s="1" t="n">
        <v>33667</v>
      </c>
      <c r="B33668">
        <f>TEXT(33667, "[$-0E0000]yyyy-mm-dd")</f>
        <v/>
      </c>
      <c r="C33668" t="inlineStr">
        <is>
          <t>1992-02-02</t>
        </is>
      </c>
    </row>
    <row r="33669">
      <c r="A33669" s="1" t="n">
        <v>33668</v>
      </c>
      <c r="B33669">
        <f>TEXT(33668, "[$-0E0000]yyyy-mm-dd")</f>
        <v/>
      </c>
      <c r="C33669" t="inlineStr">
        <is>
          <t>1992-02-03</t>
        </is>
      </c>
    </row>
    <row r="33670">
      <c r="A33670" s="1" t="n">
        <v>33669</v>
      </c>
      <c r="B33670">
        <f>TEXT(33669, "[$-0E0000]yyyy-mm-dd")</f>
        <v/>
      </c>
      <c r="C33670" t="inlineStr">
        <is>
          <t>1992-02-04</t>
        </is>
      </c>
    </row>
    <row r="33671">
      <c r="A33671" s="1" t="n">
        <v>33670</v>
      </c>
      <c r="B33671">
        <f>TEXT(33670, "[$-0E0000]yyyy-mm-dd")</f>
        <v/>
      </c>
      <c r="C33671" t="inlineStr">
        <is>
          <t>1992-02-05</t>
        </is>
      </c>
    </row>
    <row r="33672">
      <c r="A33672" s="1" t="n">
        <v>33671</v>
      </c>
      <c r="B33672">
        <f>TEXT(33671, "[$-0E0000]yyyy-mm-dd")</f>
        <v/>
      </c>
      <c r="C33672" t="inlineStr">
        <is>
          <t>1992-02-06</t>
        </is>
      </c>
    </row>
    <row r="33673">
      <c r="A33673" s="1" t="n">
        <v>33672</v>
      </c>
      <c r="B33673">
        <f>TEXT(33672, "[$-0E0000]yyyy-mm-dd")</f>
        <v/>
      </c>
      <c r="C33673" t="inlineStr">
        <is>
          <t>1992-02-07</t>
        </is>
      </c>
    </row>
    <row r="33674">
      <c r="A33674" s="1" t="n">
        <v>33673</v>
      </c>
      <c r="B33674">
        <f>TEXT(33673, "[$-0E0000]yyyy-mm-dd")</f>
        <v/>
      </c>
      <c r="C33674" t="inlineStr">
        <is>
          <t>1992-02-08</t>
        </is>
      </c>
    </row>
    <row r="33675">
      <c r="A33675" s="1" t="n">
        <v>33674</v>
      </c>
      <c r="B33675">
        <f>TEXT(33674, "[$-0E0000]yyyy-mm-dd")</f>
        <v/>
      </c>
      <c r="C33675" t="inlineStr">
        <is>
          <t>1992-02-09</t>
        </is>
      </c>
    </row>
    <row r="33676">
      <c r="A33676" s="1" t="n">
        <v>33675</v>
      </c>
      <c r="B33676">
        <f>TEXT(33675, "[$-0E0000]yyyy-mm-dd")</f>
        <v/>
      </c>
      <c r="C33676" t="inlineStr">
        <is>
          <t>1992-02-10</t>
        </is>
      </c>
    </row>
    <row r="33677">
      <c r="A33677" s="1" t="n">
        <v>33676</v>
      </c>
      <c r="B33677">
        <f>TEXT(33676, "[$-0E0000]yyyy-mm-dd")</f>
        <v/>
      </c>
      <c r="C33677" t="inlineStr">
        <is>
          <t>1992-02-11</t>
        </is>
      </c>
    </row>
    <row r="33678">
      <c r="A33678" s="1" t="n">
        <v>33677</v>
      </c>
      <c r="B33678">
        <f>TEXT(33677, "[$-0E0000]yyyy-mm-dd")</f>
        <v/>
      </c>
      <c r="C33678" t="inlineStr">
        <is>
          <t>1992-02-12</t>
        </is>
      </c>
    </row>
    <row r="33679">
      <c r="A33679" s="1" t="n">
        <v>33678</v>
      </c>
      <c r="B33679">
        <f>TEXT(33678, "[$-0E0000]yyyy-mm-dd")</f>
        <v/>
      </c>
      <c r="C33679" t="inlineStr">
        <is>
          <t>1992-02-13</t>
        </is>
      </c>
    </row>
    <row r="33680">
      <c r="A33680" s="1" t="n">
        <v>33679</v>
      </c>
      <c r="B33680">
        <f>TEXT(33679, "[$-0E0000]yyyy-mm-dd")</f>
        <v/>
      </c>
      <c r="C33680" t="inlineStr">
        <is>
          <t>1992-02-14</t>
        </is>
      </c>
    </row>
    <row r="33681">
      <c r="A33681" s="1" t="n">
        <v>33680</v>
      </c>
      <c r="B33681">
        <f>TEXT(33680, "[$-0E0000]yyyy-mm-dd")</f>
        <v/>
      </c>
      <c r="C33681" t="inlineStr">
        <is>
          <t>1992-02-15</t>
        </is>
      </c>
    </row>
    <row r="33682">
      <c r="A33682" s="1" t="n">
        <v>33681</v>
      </c>
      <c r="B33682">
        <f>TEXT(33681, "[$-0E0000]yyyy-mm-dd")</f>
        <v/>
      </c>
      <c r="C33682" t="inlineStr">
        <is>
          <t>1992-02-16</t>
        </is>
      </c>
    </row>
    <row r="33683">
      <c r="A33683" s="1" t="n">
        <v>33682</v>
      </c>
      <c r="B33683">
        <f>TEXT(33682, "[$-0E0000]yyyy-mm-dd")</f>
        <v/>
      </c>
      <c r="C33683" t="inlineStr">
        <is>
          <t>1992-02-17</t>
        </is>
      </c>
    </row>
    <row r="33684">
      <c r="A33684" s="1" t="n">
        <v>33683</v>
      </c>
      <c r="B33684">
        <f>TEXT(33683, "[$-0E0000]yyyy-mm-dd")</f>
        <v/>
      </c>
      <c r="C33684" t="inlineStr">
        <is>
          <t>1992-02-18</t>
        </is>
      </c>
    </row>
    <row r="33685">
      <c r="A33685" s="1" t="n">
        <v>33684</v>
      </c>
      <c r="B33685">
        <f>TEXT(33684, "[$-0E0000]yyyy-mm-dd")</f>
        <v/>
      </c>
      <c r="C33685" t="inlineStr">
        <is>
          <t>1992-02-19</t>
        </is>
      </c>
    </row>
    <row r="33686">
      <c r="A33686" s="1" t="n">
        <v>33685</v>
      </c>
      <c r="B33686">
        <f>TEXT(33685, "[$-0E0000]yyyy-mm-dd")</f>
        <v/>
      </c>
      <c r="C33686" t="inlineStr">
        <is>
          <t>1992-02-20</t>
        </is>
      </c>
    </row>
    <row r="33687">
      <c r="A33687" s="1" t="n">
        <v>33686</v>
      </c>
      <c r="B33687">
        <f>TEXT(33686, "[$-0E0000]yyyy-mm-dd")</f>
        <v/>
      </c>
      <c r="C33687" t="inlineStr">
        <is>
          <t>1992-02-21</t>
        </is>
      </c>
    </row>
    <row r="33688">
      <c r="A33688" s="1" t="n">
        <v>33687</v>
      </c>
      <c r="B33688">
        <f>TEXT(33687, "[$-0E0000]yyyy-mm-dd")</f>
        <v/>
      </c>
      <c r="C33688" t="inlineStr">
        <is>
          <t>1992-02-22</t>
        </is>
      </c>
    </row>
    <row r="33689">
      <c r="A33689" s="1" t="n">
        <v>33688</v>
      </c>
      <c r="B33689">
        <f>TEXT(33688, "[$-0E0000]yyyy-mm-dd")</f>
        <v/>
      </c>
      <c r="C33689" t="inlineStr">
        <is>
          <t>1992-02-23</t>
        </is>
      </c>
    </row>
    <row r="33690">
      <c r="A33690" s="1" t="n">
        <v>33689</v>
      </c>
      <c r="B33690">
        <f>TEXT(33689, "[$-0E0000]yyyy-mm-dd")</f>
        <v/>
      </c>
      <c r="C33690" t="inlineStr">
        <is>
          <t>1992-02-24</t>
        </is>
      </c>
    </row>
    <row r="33691">
      <c r="A33691" s="1" t="n">
        <v>33690</v>
      </c>
      <c r="B33691">
        <f>TEXT(33690, "[$-0E0000]yyyy-mm-dd")</f>
        <v/>
      </c>
      <c r="C33691" t="inlineStr">
        <is>
          <t>1992-02-25</t>
        </is>
      </c>
    </row>
    <row r="33692">
      <c r="A33692" s="1" t="n">
        <v>33691</v>
      </c>
      <c r="B33692">
        <f>TEXT(33691, "[$-0E0000]yyyy-mm-dd")</f>
        <v/>
      </c>
      <c r="C33692" t="inlineStr">
        <is>
          <t>1992-02-26</t>
        </is>
      </c>
    </row>
    <row r="33693">
      <c r="A33693" s="1" t="n">
        <v>33692</v>
      </c>
      <c r="B33693">
        <f>TEXT(33692, "[$-0E0000]yyyy-mm-dd")</f>
        <v/>
      </c>
      <c r="C33693" t="inlineStr">
        <is>
          <t>1992-02-27</t>
        </is>
      </c>
    </row>
    <row r="33694">
      <c r="A33694" s="1" t="n">
        <v>33693</v>
      </c>
      <c r="B33694">
        <f>TEXT(33693, "[$-0E0000]yyyy-mm-dd")</f>
        <v/>
      </c>
      <c r="C33694" t="inlineStr">
        <is>
          <t>1992-02-28</t>
        </is>
      </c>
    </row>
    <row r="33695">
      <c r="A33695" s="1" t="n">
        <v>33694</v>
      </c>
      <c r="B33695">
        <f>TEXT(33694, "[$-0E0000]yyyy-mm-dd")</f>
        <v/>
      </c>
      <c r="C33695" t="inlineStr">
        <is>
          <t>1992-02-29</t>
        </is>
      </c>
    </row>
    <row r="33696">
      <c r="A33696" s="1" t="n">
        <v>33695</v>
      </c>
      <c r="B33696">
        <f>TEXT(33695, "[$-0E0000]yyyy-mm-dd")</f>
        <v/>
      </c>
      <c r="C33696" t="inlineStr">
        <is>
          <t>1992-02-30</t>
        </is>
      </c>
    </row>
    <row r="33697">
      <c r="A33697" s="1" t="n">
        <v>33696</v>
      </c>
      <c r="B33697">
        <f>TEXT(33696, "[$-0E0000]yyyy-mm-dd")</f>
        <v/>
      </c>
      <c r="C33697" t="inlineStr">
        <is>
          <t>1992-03-01</t>
        </is>
      </c>
    </row>
    <row r="33698">
      <c r="A33698" s="1" t="n">
        <v>33697</v>
      </c>
      <c r="B33698">
        <f>TEXT(33697, "[$-0E0000]yyyy-mm-dd")</f>
        <v/>
      </c>
      <c r="C33698" t="inlineStr">
        <is>
          <t>1992-03-02</t>
        </is>
      </c>
    </row>
    <row r="33699">
      <c r="A33699" s="1" t="n">
        <v>33698</v>
      </c>
      <c r="B33699">
        <f>TEXT(33698, "[$-0E0000]yyyy-mm-dd")</f>
        <v/>
      </c>
      <c r="C33699" t="inlineStr">
        <is>
          <t>1992-03-03</t>
        </is>
      </c>
    </row>
    <row r="33700">
      <c r="A33700" s="1" t="n">
        <v>33699</v>
      </c>
      <c r="B33700">
        <f>TEXT(33699, "[$-0E0000]yyyy-mm-dd")</f>
        <v/>
      </c>
      <c r="C33700" t="inlineStr">
        <is>
          <t>1992-03-04</t>
        </is>
      </c>
    </row>
    <row r="33701">
      <c r="A33701" s="1" t="n">
        <v>33700</v>
      </c>
      <c r="B33701">
        <f>TEXT(33700, "[$-0E0000]yyyy-mm-dd")</f>
        <v/>
      </c>
      <c r="C33701" t="inlineStr">
        <is>
          <t>1992-03-05</t>
        </is>
      </c>
    </row>
    <row r="33702">
      <c r="A33702" s="1" t="n">
        <v>33701</v>
      </c>
      <c r="B33702">
        <f>TEXT(33701, "[$-0E0000]yyyy-mm-dd")</f>
        <v/>
      </c>
      <c r="C33702" t="inlineStr">
        <is>
          <t>1992-03-06</t>
        </is>
      </c>
    </row>
    <row r="33703">
      <c r="A33703" s="1" t="n">
        <v>33702</v>
      </c>
      <c r="B33703">
        <f>TEXT(33702, "[$-0E0000]yyyy-mm-dd")</f>
        <v/>
      </c>
      <c r="C33703" t="inlineStr">
        <is>
          <t>1992-03-07</t>
        </is>
      </c>
    </row>
    <row r="33704">
      <c r="A33704" s="1" t="n">
        <v>33703</v>
      </c>
      <c r="B33704">
        <f>TEXT(33703, "[$-0E0000]yyyy-mm-dd")</f>
        <v/>
      </c>
      <c r="C33704" t="inlineStr">
        <is>
          <t>1992-03-08</t>
        </is>
      </c>
    </row>
    <row r="33705">
      <c r="A33705" s="1" t="n">
        <v>33704</v>
      </c>
      <c r="B33705">
        <f>TEXT(33704, "[$-0E0000]yyyy-mm-dd")</f>
        <v/>
      </c>
      <c r="C33705" t="inlineStr">
        <is>
          <t>1992-03-09</t>
        </is>
      </c>
    </row>
    <row r="33706">
      <c r="A33706" s="1" t="n">
        <v>33705</v>
      </c>
      <c r="B33706">
        <f>TEXT(33705, "[$-0E0000]yyyy-mm-dd")</f>
        <v/>
      </c>
      <c r="C33706" t="inlineStr">
        <is>
          <t>1992-03-10</t>
        </is>
      </c>
    </row>
    <row r="33707">
      <c r="A33707" s="1" t="n">
        <v>33706</v>
      </c>
      <c r="B33707">
        <f>TEXT(33706, "[$-0E0000]yyyy-mm-dd")</f>
        <v/>
      </c>
      <c r="C33707" t="inlineStr">
        <is>
          <t>1992-03-11</t>
        </is>
      </c>
    </row>
    <row r="33708">
      <c r="A33708" s="1" t="n">
        <v>33707</v>
      </c>
      <c r="B33708">
        <f>TEXT(33707, "[$-0E0000]yyyy-mm-dd")</f>
        <v/>
      </c>
      <c r="C33708" t="inlineStr">
        <is>
          <t>1992-03-12</t>
        </is>
      </c>
    </row>
    <row r="33709">
      <c r="A33709" s="1" t="n">
        <v>33708</v>
      </c>
      <c r="B33709">
        <f>TEXT(33708, "[$-0E0000]yyyy-mm-dd")</f>
        <v/>
      </c>
      <c r="C33709" t="inlineStr">
        <is>
          <t>1992-03-13</t>
        </is>
      </c>
    </row>
    <row r="33710">
      <c r="A33710" s="1" t="n">
        <v>33709</v>
      </c>
      <c r="B33710">
        <f>TEXT(33709, "[$-0E0000]yyyy-mm-dd")</f>
        <v/>
      </c>
      <c r="C33710" t="inlineStr">
        <is>
          <t>1992-03-14</t>
        </is>
      </c>
    </row>
    <row r="33711">
      <c r="A33711" s="1" t="n">
        <v>33710</v>
      </c>
      <c r="B33711">
        <f>TEXT(33710, "[$-0E0000]yyyy-mm-dd")</f>
        <v/>
      </c>
      <c r="C33711" t="inlineStr">
        <is>
          <t>1992-03-15</t>
        </is>
      </c>
    </row>
    <row r="33712">
      <c r="A33712" s="1" t="n">
        <v>33711</v>
      </c>
      <c r="B33712">
        <f>TEXT(33711, "[$-0E0000]yyyy-mm-dd")</f>
        <v/>
      </c>
      <c r="C33712" t="inlineStr">
        <is>
          <t>1992-03-16</t>
        </is>
      </c>
    </row>
    <row r="33713">
      <c r="A33713" s="1" t="n">
        <v>33712</v>
      </c>
      <c r="B33713">
        <f>TEXT(33712, "[$-0E0000]yyyy-mm-dd")</f>
        <v/>
      </c>
      <c r="C33713" t="inlineStr">
        <is>
          <t>1992-03-17</t>
        </is>
      </c>
    </row>
    <row r="33714">
      <c r="A33714" s="1" t="n">
        <v>33713</v>
      </c>
      <c r="B33714">
        <f>TEXT(33713, "[$-0E0000]yyyy-mm-dd")</f>
        <v/>
      </c>
      <c r="C33714" t="inlineStr">
        <is>
          <t>1992-03-18</t>
        </is>
      </c>
    </row>
    <row r="33715">
      <c r="A33715" s="1" t="n">
        <v>33714</v>
      </c>
      <c r="B33715">
        <f>TEXT(33714, "[$-0E0000]yyyy-mm-dd")</f>
        <v/>
      </c>
      <c r="C33715" t="inlineStr">
        <is>
          <t>1992-03-19</t>
        </is>
      </c>
    </row>
    <row r="33716">
      <c r="A33716" s="1" t="n">
        <v>33715</v>
      </c>
      <c r="B33716">
        <f>TEXT(33715, "[$-0E0000]yyyy-mm-dd")</f>
        <v/>
      </c>
      <c r="C33716" t="inlineStr">
        <is>
          <t>1992-03-20</t>
        </is>
      </c>
    </row>
    <row r="33717">
      <c r="A33717" s="1" t="n">
        <v>33716</v>
      </c>
      <c r="B33717">
        <f>TEXT(33716, "[$-0E0000]yyyy-mm-dd")</f>
        <v/>
      </c>
      <c r="C33717" t="inlineStr">
        <is>
          <t>1992-03-21</t>
        </is>
      </c>
    </row>
    <row r="33718">
      <c r="A33718" s="1" t="n">
        <v>33717</v>
      </c>
      <c r="B33718">
        <f>TEXT(33717, "[$-0E0000]yyyy-mm-dd")</f>
        <v/>
      </c>
      <c r="C33718" t="inlineStr">
        <is>
          <t>1992-03-22</t>
        </is>
      </c>
    </row>
    <row r="33719">
      <c r="A33719" s="1" t="n">
        <v>33718</v>
      </c>
      <c r="B33719">
        <f>TEXT(33718, "[$-0E0000]yyyy-mm-dd")</f>
        <v/>
      </c>
      <c r="C33719" t="inlineStr">
        <is>
          <t>1992-03-23</t>
        </is>
      </c>
    </row>
    <row r="33720">
      <c r="A33720" s="1" t="n">
        <v>33719</v>
      </c>
      <c r="B33720">
        <f>TEXT(33719, "[$-0E0000]yyyy-mm-dd")</f>
        <v/>
      </c>
      <c r="C33720" t="inlineStr">
        <is>
          <t>1992-03-24</t>
        </is>
      </c>
    </row>
    <row r="33721">
      <c r="A33721" s="1" t="n">
        <v>33720</v>
      </c>
      <c r="B33721">
        <f>TEXT(33720, "[$-0E0000]yyyy-mm-dd")</f>
        <v/>
      </c>
      <c r="C33721" t="inlineStr">
        <is>
          <t>1992-03-25</t>
        </is>
      </c>
    </row>
    <row r="33722">
      <c r="A33722" s="1" t="n">
        <v>33721</v>
      </c>
      <c r="B33722">
        <f>TEXT(33721, "[$-0E0000]yyyy-mm-dd")</f>
        <v/>
      </c>
      <c r="C33722" t="inlineStr">
        <is>
          <t>1992-03-26</t>
        </is>
      </c>
    </row>
    <row r="33723">
      <c r="A33723" s="1" t="n">
        <v>33722</v>
      </c>
      <c r="B33723">
        <f>TEXT(33722, "[$-0E0000]yyyy-mm-dd")</f>
        <v/>
      </c>
      <c r="C33723" t="inlineStr">
        <is>
          <t>1992-03-27</t>
        </is>
      </c>
    </row>
    <row r="33724">
      <c r="A33724" s="1" t="n">
        <v>33723</v>
      </c>
      <c r="B33724">
        <f>TEXT(33723, "[$-0E0000]yyyy-mm-dd")</f>
        <v/>
      </c>
      <c r="C33724" t="inlineStr">
        <is>
          <t>1992-03-28</t>
        </is>
      </c>
    </row>
    <row r="33725">
      <c r="A33725" s="1" t="n">
        <v>33724</v>
      </c>
      <c r="B33725">
        <f>TEXT(33724, "[$-0E0000]yyyy-mm-dd")</f>
        <v/>
      </c>
      <c r="C33725" t="inlineStr">
        <is>
          <t>1992-03-29</t>
        </is>
      </c>
    </row>
    <row r="33726">
      <c r="A33726" s="1" t="n">
        <v>33725</v>
      </c>
      <c r="B33726">
        <f>TEXT(33725, "[$-0E0000]yyyy-mm-dd")</f>
        <v/>
      </c>
      <c r="C33726" t="inlineStr">
        <is>
          <t>1992-03-30</t>
        </is>
      </c>
    </row>
    <row r="33727">
      <c r="A33727" s="1" t="n">
        <v>33726</v>
      </c>
      <c r="B33727">
        <f>TEXT(33726, "[$-0E0000]yyyy-mm-dd")</f>
        <v/>
      </c>
      <c r="C33727" t="inlineStr">
        <is>
          <t>1992-04-01</t>
        </is>
      </c>
    </row>
    <row r="33728">
      <c r="A33728" s="1" t="n">
        <v>33727</v>
      </c>
      <c r="B33728">
        <f>TEXT(33727, "[$-0E0000]yyyy-mm-dd")</f>
        <v/>
      </c>
      <c r="C33728" t="inlineStr">
        <is>
          <t>1992-04-02</t>
        </is>
      </c>
    </row>
    <row r="33729">
      <c r="A33729" s="1" t="n">
        <v>33728</v>
      </c>
      <c r="B33729">
        <f>TEXT(33728, "[$-0E0000]yyyy-mm-dd")</f>
        <v/>
      </c>
      <c r="C33729" t="inlineStr">
        <is>
          <t>1992-04-03</t>
        </is>
      </c>
    </row>
    <row r="33730">
      <c r="A33730" s="1" t="n">
        <v>33729</v>
      </c>
      <c r="B33730">
        <f>TEXT(33729, "[$-0E0000]yyyy-mm-dd")</f>
        <v/>
      </c>
      <c r="C33730" t="inlineStr">
        <is>
          <t>1992-04-04</t>
        </is>
      </c>
    </row>
    <row r="33731">
      <c r="A33731" s="1" t="n">
        <v>33730</v>
      </c>
      <c r="B33731">
        <f>TEXT(33730, "[$-0E0000]yyyy-mm-dd")</f>
        <v/>
      </c>
      <c r="C33731" t="inlineStr">
        <is>
          <t>1992-04-05</t>
        </is>
      </c>
    </row>
    <row r="33732">
      <c r="A33732" s="1" t="n">
        <v>33731</v>
      </c>
      <c r="B33732">
        <f>TEXT(33731, "[$-0E0000]yyyy-mm-dd")</f>
        <v/>
      </c>
      <c r="C33732" t="inlineStr">
        <is>
          <t>1992-04-06</t>
        </is>
      </c>
    </row>
    <row r="33733">
      <c r="A33733" s="1" t="n">
        <v>33732</v>
      </c>
      <c r="B33733">
        <f>TEXT(33732, "[$-0E0000]yyyy-mm-dd")</f>
        <v/>
      </c>
      <c r="C33733" t="inlineStr">
        <is>
          <t>1992-04-07</t>
        </is>
      </c>
    </row>
    <row r="33734">
      <c r="A33734" s="1" t="n">
        <v>33733</v>
      </c>
      <c r="B33734">
        <f>TEXT(33733, "[$-0E0000]yyyy-mm-dd")</f>
        <v/>
      </c>
      <c r="C33734" t="inlineStr">
        <is>
          <t>1992-04-08</t>
        </is>
      </c>
    </row>
    <row r="33735">
      <c r="A33735" s="1" t="n">
        <v>33734</v>
      </c>
      <c r="B33735">
        <f>TEXT(33734, "[$-0E0000]yyyy-mm-dd")</f>
        <v/>
      </c>
      <c r="C33735" t="inlineStr">
        <is>
          <t>1992-04-09</t>
        </is>
      </c>
    </row>
    <row r="33736">
      <c r="A33736" s="1" t="n">
        <v>33735</v>
      </c>
      <c r="B33736">
        <f>TEXT(33735, "[$-0E0000]yyyy-mm-dd")</f>
        <v/>
      </c>
      <c r="C33736" t="inlineStr">
        <is>
          <t>1992-04-10</t>
        </is>
      </c>
    </row>
    <row r="33737">
      <c r="A33737" s="1" t="n">
        <v>33736</v>
      </c>
      <c r="B33737">
        <f>TEXT(33736, "[$-0E0000]yyyy-mm-dd")</f>
        <v/>
      </c>
      <c r="C33737" t="inlineStr">
        <is>
          <t>1992-04-11</t>
        </is>
      </c>
    </row>
    <row r="33738">
      <c r="A33738" s="1" t="n">
        <v>33737</v>
      </c>
      <c r="B33738">
        <f>TEXT(33737, "[$-0E0000]yyyy-mm-dd")</f>
        <v/>
      </c>
      <c r="C33738" t="inlineStr">
        <is>
          <t>1992-04-12</t>
        </is>
      </c>
    </row>
    <row r="33739">
      <c r="A33739" s="1" t="n">
        <v>33738</v>
      </c>
      <c r="B33739">
        <f>TEXT(33738, "[$-0E0000]yyyy-mm-dd")</f>
        <v/>
      </c>
      <c r="C33739" t="inlineStr">
        <is>
          <t>1992-04-13</t>
        </is>
      </c>
    </row>
    <row r="33740">
      <c r="A33740" s="1" t="n">
        <v>33739</v>
      </c>
      <c r="B33740">
        <f>TEXT(33739, "[$-0E0000]yyyy-mm-dd")</f>
        <v/>
      </c>
      <c r="C33740" t="inlineStr">
        <is>
          <t>1992-04-14</t>
        </is>
      </c>
    </row>
    <row r="33741">
      <c r="A33741" s="1" t="n">
        <v>33740</v>
      </c>
      <c r="B33741">
        <f>TEXT(33740, "[$-0E0000]yyyy-mm-dd")</f>
        <v/>
      </c>
      <c r="C33741" t="inlineStr">
        <is>
          <t>1992-04-15</t>
        </is>
      </c>
    </row>
    <row r="33742">
      <c r="A33742" s="1" t="n">
        <v>33741</v>
      </c>
      <c r="B33742">
        <f>TEXT(33741, "[$-0E0000]yyyy-mm-dd")</f>
        <v/>
      </c>
      <c r="C33742" t="inlineStr">
        <is>
          <t>1992-04-16</t>
        </is>
      </c>
    </row>
    <row r="33743">
      <c r="A33743" s="1" t="n">
        <v>33742</v>
      </c>
      <c r="B33743">
        <f>TEXT(33742, "[$-0E0000]yyyy-mm-dd")</f>
        <v/>
      </c>
      <c r="C33743" t="inlineStr">
        <is>
          <t>1992-04-17</t>
        </is>
      </c>
    </row>
    <row r="33744">
      <c r="A33744" s="1" t="n">
        <v>33743</v>
      </c>
      <c r="B33744">
        <f>TEXT(33743, "[$-0E0000]yyyy-mm-dd")</f>
        <v/>
      </c>
      <c r="C33744" t="inlineStr">
        <is>
          <t>1992-04-18</t>
        </is>
      </c>
    </row>
    <row r="33745">
      <c r="A33745" s="1" t="n">
        <v>33744</v>
      </c>
      <c r="B33745">
        <f>TEXT(33744, "[$-0E0000]yyyy-mm-dd")</f>
        <v/>
      </c>
      <c r="C33745" t="inlineStr">
        <is>
          <t>1992-04-19</t>
        </is>
      </c>
    </row>
    <row r="33746">
      <c r="A33746" s="1" t="n">
        <v>33745</v>
      </c>
      <c r="B33746">
        <f>TEXT(33745, "[$-0E0000]yyyy-mm-dd")</f>
        <v/>
      </c>
      <c r="C33746" t="inlineStr">
        <is>
          <t>1992-04-20</t>
        </is>
      </c>
    </row>
    <row r="33747">
      <c r="A33747" s="1" t="n">
        <v>33746</v>
      </c>
      <c r="B33747">
        <f>TEXT(33746, "[$-0E0000]yyyy-mm-dd")</f>
        <v/>
      </c>
      <c r="C33747" t="inlineStr">
        <is>
          <t>1992-04-21</t>
        </is>
      </c>
    </row>
    <row r="33748">
      <c r="A33748" s="1" t="n">
        <v>33747</v>
      </c>
      <c r="B33748">
        <f>TEXT(33747, "[$-0E0000]yyyy-mm-dd")</f>
        <v/>
      </c>
      <c r="C33748" t="inlineStr">
        <is>
          <t>1992-04-22</t>
        </is>
      </c>
    </row>
    <row r="33749">
      <c r="A33749" s="1" t="n">
        <v>33748</v>
      </c>
      <c r="B33749">
        <f>TEXT(33748, "[$-0E0000]yyyy-mm-dd")</f>
        <v/>
      </c>
      <c r="C33749" t="inlineStr">
        <is>
          <t>1992-04-23</t>
        </is>
      </c>
    </row>
    <row r="33750">
      <c r="A33750" s="1" t="n">
        <v>33749</v>
      </c>
      <c r="B33750">
        <f>TEXT(33749, "[$-0E0000]yyyy-mm-dd")</f>
        <v/>
      </c>
      <c r="C33750" t="inlineStr">
        <is>
          <t>1992-04-24</t>
        </is>
      </c>
    </row>
    <row r="33751">
      <c r="A33751" s="1" t="n">
        <v>33750</v>
      </c>
      <c r="B33751">
        <f>TEXT(33750, "[$-0E0000]yyyy-mm-dd")</f>
        <v/>
      </c>
      <c r="C33751" t="inlineStr">
        <is>
          <t>1992-04-25</t>
        </is>
      </c>
    </row>
    <row r="33752">
      <c r="A33752" s="1" t="n">
        <v>33751</v>
      </c>
      <c r="B33752">
        <f>TEXT(33751, "[$-0E0000]yyyy-mm-dd")</f>
        <v/>
      </c>
      <c r="C33752" t="inlineStr">
        <is>
          <t>1992-04-26</t>
        </is>
      </c>
    </row>
    <row r="33753">
      <c r="A33753" s="1" t="n">
        <v>33752</v>
      </c>
      <c r="B33753">
        <f>TEXT(33752, "[$-0E0000]yyyy-mm-dd")</f>
        <v/>
      </c>
      <c r="C33753" t="inlineStr">
        <is>
          <t>1992-04-27</t>
        </is>
      </c>
    </row>
    <row r="33754">
      <c r="A33754" s="1" t="n">
        <v>33753</v>
      </c>
      <c r="B33754">
        <f>TEXT(33753, "[$-0E0000]yyyy-mm-dd")</f>
        <v/>
      </c>
      <c r="C33754" t="inlineStr">
        <is>
          <t>1992-04-28</t>
        </is>
      </c>
    </row>
    <row r="33755">
      <c r="A33755" s="1" t="n">
        <v>33754</v>
      </c>
      <c r="B33755">
        <f>TEXT(33754, "[$-0E0000]yyyy-mm-dd")</f>
        <v/>
      </c>
      <c r="C33755" t="inlineStr">
        <is>
          <t>1992-04-29</t>
        </is>
      </c>
    </row>
    <row r="33756">
      <c r="A33756" s="1" t="n">
        <v>33755</v>
      </c>
      <c r="B33756">
        <f>TEXT(33755, "[$-0E0000]yyyy-mm-dd")</f>
        <v/>
      </c>
      <c r="C33756" t="inlineStr">
        <is>
          <t>1992-05-01</t>
        </is>
      </c>
    </row>
    <row r="33757">
      <c r="A33757" s="1" t="n">
        <v>33756</v>
      </c>
      <c r="B33757">
        <f>TEXT(33756, "[$-0E0000]yyyy-mm-dd")</f>
        <v/>
      </c>
      <c r="C33757" t="inlineStr">
        <is>
          <t>1992-05-02</t>
        </is>
      </c>
    </row>
    <row r="33758">
      <c r="A33758" s="1" t="n">
        <v>33757</v>
      </c>
      <c r="B33758">
        <f>TEXT(33757, "[$-0E0000]yyyy-mm-dd")</f>
        <v/>
      </c>
      <c r="C33758" t="inlineStr">
        <is>
          <t>1992-05-03</t>
        </is>
      </c>
    </row>
    <row r="33759">
      <c r="A33759" s="1" t="n">
        <v>33758</v>
      </c>
      <c r="B33759">
        <f>TEXT(33758, "[$-0E0000]yyyy-mm-dd")</f>
        <v/>
      </c>
      <c r="C33759" t="inlineStr">
        <is>
          <t>1992-05-04</t>
        </is>
      </c>
    </row>
    <row r="33760">
      <c r="A33760" s="1" t="n">
        <v>33759</v>
      </c>
      <c r="B33760">
        <f>TEXT(33759, "[$-0E0000]yyyy-mm-dd")</f>
        <v/>
      </c>
      <c r="C33760" t="inlineStr">
        <is>
          <t>1992-05-05</t>
        </is>
      </c>
    </row>
    <row r="33761">
      <c r="A33761" s="1" t="n">
        <v>33760</v>
      </c>
      <c r="B33761">
        <f>TEXT(33760, "[$-0E0000]yyyy-mm-dd")</f>
        <v/>
      </c>
      <c r="C33761" t="inlineStr">
        <is>
          <t>1992-05-06</t>
        </is>
      </c>
    </row>
    <row r="33762">
      <c r="A33762" s="1" t="n">
        <v>33761</v>
      </c>
      <c r="B33762">
        <f>TEXT(33761, "[$-0E0000]yyyy-mm-dd")</f>
        <v/>
      </c>
      <c r="C33762" t="inlineStr">
        <is>
          <t>1992-05-07</t>
        </is>
      </c>
    </row>
    <row r="33763">
      <c r="A33763" s="1" t="n">
        <v>33762</v>
      </c>
      <c r="B33763">
        <f>TEXT(33762, "[$-0E0000]yyyy-mm-dd")</f>
        <v/>
      </c>
      <c r="C33763" t="inlineStr">
        <is>
          <t>1992-05-08</t>
        </is>
      </c>
    </row>
    <row r="33764">
      <c r="A33764" s="1" t="n">
        <v>33763</v>
      </c>
      <c r="B33764">
        <f>TEXT(33763, "[$-0E0000]yyyy-mm-dd")</f>
        <v/>
      </c>
      <c r="C33764" t="inlineStr">
        <is>
          <t>1992-05-09</t>
        </is>
      </c>
    </row>
    <row r="33765">
      <c r="A33765" s="1" t="n">
        <v>33764</v>
      </c>
      <c r="B33765">
        <f>TEXT(33764, "[$-0E0000]yyyy-mm-dd")</f>
        <v/>
      </c>
      <c r="C33765" t="inlineStr">
        <is>
          <t>1992-05-10</t>
        </is>
      </c>
    </row>
    <row r="33766">
      <c r="A33766" s="1" t="n">
        <v>33765</v>
      </c>
      <c r="B33766">
        <f>TEXT(33765, "[$-0E0000]yyyy-mm-dd")</f>
        <v/>
      </c>
      <c r="C33766" t="inlineStr">
        <is>
          <t>1992-05-11</t>
        </is>
      </c>
    </row>
    <row r="33767">
      <c r="A33767" s="1" t="n">
        <v>33766</v>
      </c>
      <c r="B33767">
        <f>TEXT(33766, "[$-0E0000]yyyy-mm-dd")</f>
        <v/>
      </c>
      <c r="C33767" t="inlineStr">
        <is>
          <t>1992-05-12</t>
        </is>
      </c>
    </row>
    <row r="33768">
      <c r="A33768" s="1" t="n">
        <v>33767</v>
      </c>
      <c r="B33768">
        <f>TEXT(33767, "[$-0E0000]yyyy-mm-dd")</f>
        <v/>
      </c>
      <c r="C33768" t="inlineStr">
        <is>
          <t>1992-05-13</t>
        </is>
      </c>
    </row>
    <row r="33769">
      <c r="A33769" s="1" t="n">
        <v>33768</v>
      </c>
      <c r="B33769">
        <f>TEXT(33768, "[$-0E0000]yyyy-mm-dd")</f>
        <v/>
      </c>
      <c r="C33769" t="inlineStr">
        <is>
          <t>1992-05-14</t>
        </is>
      </c>
    </row>
    <row r="33770">
      <c r="A33770" s="1" t="n">
        <v>33769</v>
      </c>
      <c r="B33770">
        <f>TEXT(33769, "[$-0E0000]yyyy-mm-dd")</f>
        <v/>
      </c>
      <c r="C33770" t="inlineStr">
        <is>
          <t>1992-05-15</t>
        </is>
      </c>
    </row>
    <row r="33771">
      <c r="A33771" s="1" t="n">
        <v>33770</v>
      </c>
      <c r="B33771">
        <f>TEXT(33770, "[$-0E0000]yyyy-mm-dd")</f>
        <v/>
      </c>
      <c r="C33771" t="inlineStr">
        <is>
          <t>1992-05-16</t>
        </is>
      </c>
    </row>
    <row r="33772">
      <c r="A33772" s="1" t="n">
        <v>33771</v>
      </c>
      <c r="B33772">
        <f>TEXT(33771, "[$-0E0000]yyyy-mm-dd")</f>
        <v/>
      </c>
      <c r="C33772" t="inlineStr">
        <is>
          <t>1992-05-17</t>
        </is>
      </c>
    </row>
    <row r="33773">
      <c r="A33773" s="1" t="n">
        <v>33772</v>
      </c>
      <c r="B33773">
        <f>TEXT(33772, "[$-0E0000]yyyy-mm-dd")</f>
        <v/>
      </c>
      <c r="C33773" t="inlineStr">
        <is>
          <t>1992-05-18</t>
        </is>
      </c>
    </row>
    <row r="33774">
      <c r="A33774" s="1" t="n">
        <v>33773</v>
      </c>
      <c r="B33774">
        <f>TEXT(33773, "[$-0E0000]yyyy-mm-dd")</f>
        <v/>
      </c>
      <c r="C33774" t="inlineStr">
        <is>
          <t>1992-05-19</t>
        </is>
      </c>
    </row>
    <row r="33775">
      <c r="A33775" s="1" t="n">
        <v>33774</v>
      </c>
      <c r="B33775">
        <f>TEXT(33774, "[$-0E0000]yyyy-mm-dd")</f>
        <v/>
      </c>
      <c r="C33775" t="inlineStr">
        <is>
          <t>1992-05-20</t>
        </is>
      </c>
    </row>
    <row r="33776">
      <c r="A33776" s="1" t="n">
        <v>33775</v>
      </c>
      <c r="B33776">
        <f>TEXT(33775, "[$-0E0000]yyyy-mm-dd")</f>
        <v/>
      </c>
      <c r="C33776" t="inlineStr">
        <is>
          <t>1992-05-21</t>
        </is>
      </c>
    </row>
    <row r="33777">
      <c r="A33777" s="1" t="n">
        <v>33776</v>
      </c>
      <c r="B33777">
        <f>TEXT(33776, "[$-0E0000]yyyy-mm-dd")</f>
        <v/>
      </c>
      <c r="C33777" t="inlineStr">
        <is>
          <t>1992-05-22</t>
        </is>
      </c>
    </row>
    <row r="33778">
      <c r="A33778" s="1" t="n">
        <v>33777</v>
      </c>
      <c r="B33778">
        <f>TEXT(33777, "[$-0E0000]yyyy-mm-dd")</f>
        <v/>
      </c>
      <c r="C33778" t="inlineStr">
        <is>
          <t>1992-05-23</t>
        </is>
      </c>
    </row>
    <row r="33779">
      <c r="A33779" s="1" t="n">
        <v>33778</v>
      </c>
      <c r="B33779">
        <f>TEXT(33778, "[$-0E0000]yyyy-mm-dd")</f>
        <v/>
      </c>
      <c r="C33779" t="inlineStr">
        <is>
          <t>1992-05-24</t>
        </is>
      </c>
    </row>
    <row r="33780">
      <c r="A33780" s="1" t="n">
        <v>33779</v>
      </c>
      <c r="B33780">
        <f>TEXT(33779, "[$-0E0000]yyyy-mm-dd")</f>
        <v/>
      </c>
      <c r="C33780" t="inlineStr">
        <is>
          <t>1992-05-25</t>
        </is>
      </c>
    </row>
    <row r="33781">
      <c r="A33781" s="1" t="n">
        <v>33780</v>
      </c>
      <c r="B33781">
        <f>TEXT(33780, "[$-0E0000]yyyy-mm-dd")</f>
        <v/>
      </c>
      <c r="C33781" t="inlineStr">
        <is>
          <t>1992-05-26</t>
        </is>
      </c>
    </row>
    <row r="33782">
      <c r="A33782" s="1" t="n">
        <v>33781</v>
      </c>
      <c r="B33782">
        <f>TEXT(33781, "[$-0E0000]yyyy-mm-dd")</f>
        <v/>
      </c>
      <c r="C33782" t="inlineStr">
        <is>
          <t>1992-05-27</t>
        </is>
      </c>
    </row>
    <row r="33783">
      <c r="A33783" s="1" t="n">
        <v>33782</v>
      </c>
      <c r="B33783">
        <f>TEXT(33782, "[$-0E0000]yyyy-mm-dd")</f>
        <v/>
      </c>
      <c r="C33783" t="inlineStr">
        <is>
          <t>1992-05-28</t>
        </is>
      </c>
    </row>
    <row r="33784">
      <c r="A33784" s="1" t="n">
        <v>33783</v>
      </c>
      <c r="B33784">
        <f>TEXT(33783, "[$-0E0000]yyyy-mm-dd")</f>
        <v/>
      </c>
      <c r="C33784" t="inlineStr">
        <is>
          <t>1992-05-29</t>
        </is>
      </c>
    </row>
    <row r="33785">
      <c r="A33785" s="1" t="n">
        <v>33784</v>
      </c>
      <c r="B33785">
        <f>TEXT(33784, "[$-0E0000]yyyy-mm-dd")</f>
        <v/>
      </c>
      <c r="C33785" t="inlineStr">
        <is>
          <t>1992-06-01</t>
        </is>
      </c>
    </row>
    <row r="33786">
      <c r="A33786" s="1" t="n">
        <v>33785</v>
      </c>
      <c r="B33786">
        <f>TEXT(33785, "[$-0E0000]yyyy-mm-dd")</f>
        <v/>
      </c>
      <c r="C33786" t="inlineStr">
        <is>
          <t>1992-06-02</t>
        </is>
      </c>
    </row>
    <row r="33787">
      <c r="A33787" s="1" t="n">
        <v>33786</v>
      </c>
      <c r="B33787">
        <f>TEXT(33786, "[$-0E0000]yyyy-mm-dd")</f>
        <v/>
      </c>
      <c r="C33787" t="inlineStr">
        <is>
          <t>1992-06-03</t>
        </is>
      </c>
    </row>
    <row r="33788">
      <c r="A33788" s="1" t="n">
        <v>33787</v>
      </c>
      <c r="B33788">
        <f>TEXT(33787, "[$-0E0000]yyyy-mm-dd")</f>
        <v/>
      </c>
      <c r="C33788" t="inlineStr">
        <is>
          <t>1992-06-04</t>
        </is>
      </c>
    </row>
    <row r="33789">
      <c r="A33789" s="1" t="n">
        <v>33788</v>
      </c>
      <c r="B33789">
        <f>TEXT(33788, "[$-0E0000]yyyy-mm-dd")</f>
        <v/>
      </c>
      <c r="C33789" t="inlineStr">
        <is>
          <t>1992-06-05</t>
        </is>
      </c>
    </row>
    <row r="33790">
      <c r="A33790" s="1" t="n">
        <v>33789</v>
      </c>
      <c r="B33790">
        <f>TEXT(33789, "[$-0E0000]yyyy-mm-dd")</f>
        <v/>
      </c>
      <c r="C33790" t="inlineStr">
        <is>
          <t>1992-06-06</t>
        </is>
      </c>
    </row>
    <row r="33791">
      <c r="A33791" s="1" t="n">
        <v>33790</v>
      </c>
      <c r="B33791">
        <f>TEXT(33790, "[$-0E0000]yyyy-mm-dd")</f>
        <v/>
      </c>
      <c r="C33791" t="inlineStr">
        <is>
          <t>1992-06-07</t>
        </is>
      </c>
    </row>
    <row r="33792">
      <c r="A33792" s="1" t="n">
        <v>33791</v>
      </c>
      <c r="B33792">
        <f>TEXT(33791, "[$-0E0000]yyyy-mm-dd")</f>
        <v/>
      </c>
      <c r="C33792" t="inlineStr">
        <is>
          <t>1992-06-08</t>
        </is>
      </c>
    </row>
    <row r="33793">
      <c r="A33793" s="1" t="n">
        <v>33792</v>
      </c>
      <c r="B33793">
        <f>TEXT(33792, "[$-0E0000]yyyy-mm-dd")</f>
        <v/>
      </c>
      <c r="C33793" t="inlineStr">
        <is>
          <t>1992-06-09</t>
        </is>
      </c>
    </row>
    <row r="33794">
      <c r="A33794" s="1" t="n">
        <v>33793</v>
      </c>
      <c r="B33794">
        <f>TEXT(33793, "[$-0E0000]yyyy-mm-dd")</f>
        <v/>
      </c>
      <c r="C33794" t="inlineStr">
        <is>
          <t>1992-06-10</t>
        </is>
      </c>
    </row>
    <row r="33795">
      <c r="A33795" s="1" t="n">
        <v>33794</v>
      </c>
      <c r="B33795">
        <f>TEXT(33794, "[$-0E0000]yyyy-mm-dd")</f>
        <v/>
      </c>
      <c r="C33795" t="inlineStr">
        <is>
          <t>1992-06-11</t>
        </is>
      </c>
    </row>
    <row r="33796">
      <c r="A33796" s="1" t="n">
        <v>33795</v>
      </c>
      <c r="B33796">
        <f>TEXT(33795, "[$-0E0000]yyyy-mm-dd")</f>
        <v/>
      </c>
      <c r="C33796" t="inlineStr">
        <is>
          <t>1992-06-12</t>
        </is>
      </c>
    </row>
    <row r="33797">
      <c r="A33797" s="1" t="n">
        <v>33796</v>
      </c>
      <c r="B33797">
        <f>TEXT(33796, "[$-0E0000]yyyy-mm-dd")</f>
        <v/>
      </c>
      <c r="C33797" t="inlineStr">
        <is>
          <t>1992-06-13</t>
        </is>
      </c>
    </row>
    <row r="33798">
      <c r="A33798" s="1" t="n">
        <v>33797</v>
      </c>
      <c r="B33798">
        <f>TEXT(33797, "[$-0E0000]yyyy-mm-dd")</f>
        <v/>
      </c>
      <c r="C33798" t="inlineStr">
        <is>
          <t>1992-06-14</t>
        </is>
      </c>
    </row>
    <row r="33799">
      <c r="A33799" s="1" t="n">
        <v>33798</v>
      </c>
      <c r="B33799">
        <f>TEXT(33798, "[$-0E0000]yyyy-mm-dd")</f>
        <v/>
      </c>
      <c r="C33799" t="inlineStr">
        <is>
          <t>1992-06-15</t>
        </is>
      </c>
    </row>
    <row r="33800">
      <c r="A33800" s="1" t="n">
        <v>33799</v>
      </c>
      <c r="B33800">
        <f>TEXT(33799, "[$-0E0000]yyyy-mm-dd")</f>
        <v/>
      </c>
      <c r="C33800" t="inlineStr">
        <is>
          <t>1992-06-16</t>
        </is>
      </c>
    </row>
    <row r="33801">
      <c r="A33801" s="1" t="n">
        <v>33800</v>
      </c>
      <c r="B33801">
        <f>TEXT(33800, "[$-0E0000]yyyy-mm-dd")</f>
        <v/>
      </c>
      <c r="C33801" t="inlineStr">
        <is>
          <t>1992-06-17</t>
        </is>
      </c>
    </row>
    <row r="33802">
      <c r="A33802" s="1" t="n">
        <v>33801</v>
      </c>
      <c r="B33802">
        <f>TEXT(33801, "[$-0E0000]yyyy-mm-dd")</f>
        <v/>
      </c>
      <c r="C33802" t="inlineStr">
        <is>
          <t>1992-06-18</t>
        </is>
      </c>
    </row>
    <row r="33803">
      <c r="A33803" s="1" t="n">
        <v>33802</v>
      </c>
      <c r="B33803">
        <f>TEXT(33802, "[$-0E0000]yyyy-mm-dd")</f>
        <v/>
      </c>
      <c r="C33803" t="inlineStr">
        <is>
          <t>1992-06-19</t>
        </is>
      </c>
    </row>
    <row r="33804">
      <c r="A33804" s="1" t="n">
        <v>33803</v>
      </c>
      <c r="B33804">
        <f>TEXT(33803, "[$-0E0000]yyyy-mm-dd")</f>
        <v/>
      </c>
      <c r="C33804" t="inlineStr">
        <is>
          <t>1992-06-20</t>
        </is>
      </c>
    </row>
    <row r="33805">
      <c r="A33805" s="1" t="n">
        <v>33804</v>
      </c>
      <c r="B33805">
        <f>TEXT(33804, "[$-0E0000]yyyy-mm-dd")</f>
        <v/>
      </c>
      <c r="C33805" t="inlineStr">
        <is>
          <t>1992-06-21</t>
        </is>
      </c>
    </row>
    <row r="33806">
      <c r="A33806" s="1" t="n">
        <v>33805</v>
      </c>
      <c r="B33806">
        <f>TEXT(33805, "[$-0E0000]yyyy-mm-dd")</f>
        <v/>
      </c>
      <c r="C33806" t="inlineStr">
        <is>
          <t>1992-06-22</t>
        </is>
      </c>
    </row>
    <row r="33807">
      <c r="A33807" s="1" t="n">
        <v>33806</v>
      </c>
      <c r="B33807">
        <f>TEXT(33806, "[$-0E0000]yyyy-mm-dd")</f>
        <v/>
      </c>
      <c r="C33807" t="inlineStr">
        <is>
          <t>1992-06-23</t>
        </is>
      </c>
    </row>
    <row r="33808">
      <c r="A33808" s="1" t="n">
        <v>33807</v>
      </c>
      <c r="B33808">
        <f>TEXT(33807, "[$-0E0000]yyyy-mm-dd")</f>
        <v/>
      </c>
      <c r="C33808" t="inlineStr">
        <is>
          <t>1992-06-24</t>
        </is>
      </c>
    </row>
    <row r="33809">
      <c r="A33809" s="1" t="n">
        <v>33808</v>
      </c>
      <c r="B33809">
        <f>TEXT(33808, "[$-0E0000]yyyy-mm-dd")</f>
        <v/>
      </c>
      <c r="C33809" t="inlineStr">
        <is>
          <t>1992-06-25</t>
        </is>
      </c>
    </row>
    <row r="33810">
      <c r="A33810" s="1" t="n">
        <v>33809</v>
      </c>
      <c r="B33810">
        <f>TEXT(33809, "[$-0E0000]yyyy-mm-dd")</f>
        <v/>
      </c>
      <c r="C33810" t="inlineStr">
        <is>
          <t>1992-06-26</t>
        </is>
      </c>
    </row>
    <row r="33811">
      <c r="A33811" s="1" t="n">
        <v>33810</v>
      </c>
      <c r="B33811">
        <f>TEXT(33810, "[$-0E0000]yyyy-mm-dd")</f>
        <v/>
      </c>
      <c r="C33811" t="inlineStr">
        <is>
          <t>1992-06-27</t>
        </is>
      </c>
    </row>
    <row r="33812">
      <c r="A33812" s="1" t="n">
        <v>33811</v>
      </c>
      <c r="B33812">
        <f>TEXT(33811, "[$-0E0000]yyyy-mm-dd")</f>
        <v/>
      </c>
      <c r="C33812" t="inlineStr">
        <is>
          <t>1992-06-28</t>
        </is>
      </c>
    </row>
    <row r="33813">
      <c r="A33813" s="1" t="n">
        <v>33812</v>
      </c>
      <c r="B33813">
        <f>TEXT(33812, "[$-0E0000]yyyy-mm-dd")</f>
        <v/>
      </c>
      <c r="C33813" t="inlineStr">
        <is>
          <t>1992-06-29</t>
        </is>
      </c>
    </row>
    <row r="33814">
      <c r="A33814" s="1" t="n">
        <v>33813</v>
      </c>
      <c r="B33814">
        <f>TEXT(33813, "[$-0E0000]yyyy-mm-dd")</f>
        <v/>
      </c>
      <c r="C33814" t="inlineStr">
        <is>
          <t>1992-06-30</t>
        </is>
      </c>
    </row>
    <row r="33815">
      <c r="A33815" s="1" t="n">
        <v>33814</v>
      </c>
      <c r="B33815">
        <f>TEXT(33814, "[$-0E0000]yyyy-mm-dd")</f>
        <v/>
      </c>
      <c r="C33815" t="inlineStr">
        <is>
          <t>1992-07-01</t>
        </is>
      </c>
    </row>
    <row r="33816">
      <c r="A33816" s="1" t="n">
        <v>33815</v>
      </c>
      <c r="B33816">
        <f>TEXT(33815, "[$-0E0000]yyyy-mm-dd")</f>
        <v/>
      </c>
      <c r="C33816" t="inlineStr">
        <is>
          <t>1992-07-02</t>
        </is>
      </c>
    </row>
    <row r="33817">
      <c r="A33817" s="1" t="n">
        <v>33816</v>
      </c>
      <c r="B33817">
        <f>TEXT(33816, "[$-0E0000]yyyy-mm-dd")</f>
        <v/>
      </c>
      <c r="C33817" t="inlineStr">
        <is>
          <t>1992-07-03</t>
        </is>
      </c>
    </row>
    <row r="33818">
      <c r="A33818" s="1" t="n">
        <v>33817</v>
      </c>
      <c r="B33818">
        <f>TEXT(33817, "[$-0E0000]yyyy-mm-dd")</f>
        <v/>
      </c>
      <c r="C33818" t="inlineStr">
        <is>
          <t>1992-07-04</t>
        </is>
      </c>
    </row>
    <row r="33819">
      <c r="A33819" s="1" t="n">
        <v>33818</v>
      </c>
      <c r="B33819">
        <f>TEXT(33818, "[$-0E0000]yyyy-mm-dd")</f>
        <v/>
      </c>
      <c r="C33819" t="inlineStr">
        <is>
          <t>1992-07-05</t>
        </is>
      </c>
    </row>
    <row r="33820">
      <c r="A33820" s="1" t="n">
        <v>33819</v>
      </c>
      <c r="B33820">
        <f>TEXT(33819, "[$-0E0000]yyyy-mm-dd")</f>
        <v/>
      </c>
      <c r="C33820" t="inlineStr">
        <is>
          <t>1992-07-06</t>
        </is>
      </c>
    </row>
    <row r="33821">
      <c r="A33821" s="1" t="n">
        <v>33820</v>
      </c>
      <c r="B33821">
        <f>TEXT(33820, "[$-0E0000]yyyy-mm-dd")</f>
        <v/>
      </c>
      <c r="C33821" t="inlineStr">
        <is>
          <t>1992-07-07</t>
        </is>
      </c>
    </row>
    <row r="33822">
      <c r="A33822" s="1" t="n">
        <v>33821</v>
      </c>
      <c r="B33822">
        <f>TEXT(33821, "[$-0E0000]yyyy-mm-dd")</f>
        <v/>
      </c>
      <c r="C33822" t="inlineStr">
        <is>
          <t>1992-07-08</t>
        </is>
      </c>
    </row>
    <row r="33823">
      <c r="A33823" s="1" t="n">
        <v>33822</v>
      </c>
      <c r="B33823">
        <f>TEXT(33822, "[$-0E0000]yyyy-mm-dd")</f>
        <v/>
      </c>
      <c r="C33823" t="inlineStr">
        <is>
          <t>1992-07-09</t>
        </is>
      </c>
    </row>
    <row r="33824">
      <c r="A33824" s="1" t="n">
        <v>33823</v>
      </c>
      <c r="B33824">
        <f>TEXT(33823, "[$-0E0000]yyyy-mm-dd")</f>
        <v/>
      </c>
      <c r="C33824" t="inlineStr">
        <is>
          <t>1992-07-10</t>
        </is>
      </c>
    </row>
    <row r="33825">
      <c r="A33825" s="1" t="n">
        <v>33824</v>
      </c>
      <c r="B33825">
        <f>TEXT(33824, "[$-0E0000]yyyy-mm-dd")</f>
        <v/>
      </c>
      <c r="C33825" t="inlineStr">
        <is>
          <t>1992-07-11</t>
        </is>
      </c>
    </row>
    <row r="33826">
      <c r="A33826" s="1" t="n">
        <v>33825</v>
      </c>
      <c r="B33826">
        <f>TEXT(33825, "[$-0E0000]yyyy-mm-dd")</f>
        <v/>
      </c>
      <c r="C33826" t="inlineStr">
        <is>
          <t>1992-07-12</t>
        </is>
      </c>
    </row>
    <row r="33827">
      <c r="A33827" s="1" t="n">
        <v>33826</v>
      </c>
      <c r="B33827">
        <f>TEXT(33826, "[$-0E0000]yyyy-mm-dd")</f>
        <v/>
      </c>
      <c r="C33827" t="inlineStr">
        <is>
          <t>1992-07-13</t>
        </is>
      </c>
    </row>
    <row r="33828">
      <c r="A33828" s="1" t="n">
        <v>33827</v>
      </c>
      <c r="B33828">
        <f>TEXT(33827, "[$-0E0000]yyyy-mm-dd")</f>
        <v/>
      </c>
      <c r="C33828" t="inlineStr">
        <is>
          <t>1992-07-14</t>
        </is>
      </c>
    </row>
    <row r="33829">
      <c r="A33829" s="1" t="n">
        <v>33828</v>
      </c>
      <c r="B33829">
        <f>TEXT(33828, "[$-0E0000]yyyy-mm-dd")</f>
        <v/>
      </c>
      <c r="C33829" t="inlineStr">
        <is>
          <t>1992-07-15</t>
        </is>
      </c>
    </row>
    <row r="33830">
      <c r="A33830" s="1" t="n">
        <v>33829</v>
      </c>
      <c r="B33830">
        <f>TEXT(33829, "[$-0E0000]yyyy-mm-dd")</f>
        <v/>
      </c>
      <c r="C33830" t="inlineStr">
        <is>
          <t>1992-07-16</t>
        </is>
      </c>
    </row>
    <row r="33831">
      <c r="A33831" s="1" t="n">
        <v>33830</v>
      </c>
      <c r="B33831">
        <f>TEXT(33830, "[$-0E0000]yyyy-mm-dd")</f>
        <v/>
      </c>
      <c r="C33831" t="inlineStr">
        <is>
          <t>1992-07-17</t>
        </is>
      </c>
    </row>
    <row r="33832">
      <c r="A33832" s="1" t="n">
        <v>33831</v>
      </c>
      <c r="B33832">
        <f>TEXT(33831, "[$-0E0000]yyyy-mm-dd")</f>
        <v/>
      </c>
      <c r="C33832" t="inlineStr">
        <is>
          <t>1992-07-18</t>
        </is>
      </c>
    </row>
    <row r="33833">
      <c r="A33833" s="1" t="n">
        <v>33832</v>
      </c>
      <c r="B33833">
        <f>TEXT(33832, "[$-0E0000]yyyy-mm-dd")</f>
        <v/>
      </c>
      <c r="C33833" t="inlineStr">
        <is>
          <t>1992-07-19</t>
        </is>
      </c>
    </row>
    <row r="33834">
      <c r="A33834" s="1" t="n">
        <v>33833</v>
      </c>
      <c r="B33834">
        <f>TEXT(33833, "[$-0E0000]yyyy-mm-dd")</f>
        <v/>
      </c>
      <c r="C33834" t="inlineStr">
        <is>
          <t>1992-07-20</t>
        </is>
      </c>
    </row>
    <row r="33835">
      <c r="A33835" s="1" t="n">
        <v>33834</v>
      </c>
      <c r="B33835">
        <f>TEXT(33834, "[$-0E0000]yyyy-mm-dd")</f>
        <v/>
      </c>
      <c r="C33835" t="inlineStr">
        <is>
          <t>1992-07-21</t>
        </is>
      </c>
    </row>
    <row r="33836">
      <c r="A33836" s="1" t="n">
        <v>33835</v>
      </c>
      <c r="B33836">
        <f>TEXT(33835, "[$-0E0000]yyyy-mm-dd")</f>
        <v/>
      </c>
      <c r="C33836" t="inlineStr">
        <is>
          <t>1992-07-22</t>
        </is>
      </c>
    </row>
    <row r="33837">
      <c r="A33837" s="1" t="n">
        <v>33836</v>
      </c>
      <c r="B33837">
        <f>TEXT(33836, "[$-0E0000]yyyy-mm-dd")</f>
        <v/>
      </c>
      <c r="C33837" t="inlineStr">
        <is>
          <t>1992-07-23</t>
        </is>
      </c>
    </row>
    <row r="33838">
      <c r="A33838" s="1" t="n">
        <v>33837</v>
      </c>
      <c r="B33838">
        <f>TEXT(33837, "[$-0E0000]yyyy-mm-dd")</f>
        <v/>
      </c>
      <c r="C33838" t="inlineStr">
        <is>
          <t>1992-07-24</t>
        </is>
      </c>
    </row>
    <row r="33839">
      <c r="A33839" s="1" t="n">
        <v>33838</v>
      </c>
      <c r="B33839">
        <f>TEXT(33838, "[$-0E0000]yyyy-mm-dd")</f>
        <v/>
      </c>
      <c r="C33839" t="inlineStr">
        <is>
          <t>1992-07-25</t>
        </is>
      </c>
    </row>
    <row r="33840">
      <c r="A33840" s="1" t="n">
        <v>33839</v>
      </c>
      <c r="B33840">
        <f>TEXT(33839, "[$-0E0000]yyyy-mm-dd")</f>
        <v/>
      </c>
      <c r="C33840" t="inlineStr">
        <is>
          <t>1992-07-26</t>
        </is>
      </c>
    </row>
    <row r="33841">
      <c r="A33841" s="1" t="n">
        <v>33840</v>
      </c>
      <c r="B33841">
        <f>TEXT(33840, "[$-0E0000]yyyy-mm-dd")</f>
        <v/>
      </c>
      <c r="C33841" t="inlineStr">
        <is>
          <t>1992-07-27</t>
        </is>
      </c>
    </row>
    <row r="33842">
      <c r="A33842" s="1" t="n">
        <v>33841</v>
      </c>
      <c r="B33842">
        <f>TEXT(33841, "[$-0E0000]yyyy-mm-dd")</f>
        <v/>
      </c>
      <c r="C33842" t="inlineStr">
        <is>
          <t>1992-07-28</t>
        </is>
      </c>
    </row>
    <row r="33843">
      <c r="A33843" s="1" t="n">
        <v>33842</v>
      </c>
      <c r="B33843">
        <f>TEXT(33842, "[$-0E0000]yyyy-mm-dd")</f>
        <v/>
      </c>
      <c r="C33843" t="inlineStr">
        <is>
          <t>1992-07-29</t>
        </is>
      </c>
    </row>
    <row r="33844">
      <c r="A33844" s="1" t="n">
        <v>33843</v>
      </c>
      <c r="B33844">
        <f>TEXT(33843, "[$-0E0000]yyyy-mm-dd")</f>
        <v/>
      </c>
      <c r="C33844" t="inlineStr">
        <is>
          <t>1992-08-01</t>
        </is>
      </c>
    </row>
    <row r="33845">
      <c r="A33845" s="1" t="n">
        <v>33844</v>
      </c>
      <c r="B33845">
        <f>TEXT(33844, "[$-0E0000]yyyy-mm-dd")</f>
        <v/>
      </c>
      <c r="C33845" t="inlineStr">
        <is>
          <t>1992-08-02</t>
        </is>
      </c>
    </row>
    <row r="33846">
      <c r="A33846" s="1" t="n">
        <v>33845</v>
      </c>
      <c r="B33846">
        <f>TEXT(33845, "[$-0E0000]yyyy-mm-dd")</f>
        <v/>
      </c>
      <c r="C33846" t="inlineStr">
        <is>
          <t>1992-08-03</t>
        </is>
      </c>
    </row>
    <row r="33847">
      <c r="A33847" s="1" t="n">
        <v>33846</v>
      </c>
      <c r="B33847">
        <f>TEXT(33846, "[$-0E0000]yyyy-mm-dd")</f>
        <v/>
      </c>
      <c r="C33847" t="inlineStr">
        <is>
          <t>1992-08-04</t>
        </is>
      </c>
    </row>
    <row r="33848">
      <c r="A33848" s="1" t="n">
        <v>33847</v>
      </c>
      <c r="B33848">
        <f>TEXT(33847, "[$-0E0000]yyyy-mm-dd")</f>
        <v/>
      </c>
      <c r="C33848" t="inlineStr">
        <is>
          <t>1992-08-05</t>
        </is>
      </c>
    </row>
    <row r="33849">
      <c r="A33849" s="1" t="n">
        <v>33848</v>
      </c>
      <c r="B33849">
        <f>TEXT(33848, "[$-0E0000]yyyy-mm-dd")</f>
        <v/>
      </c>
      <c r="C33849" t="inlineStr">
        <is>
          <t>1992-08-06</t>
        </is>
      </c>
    </row>
    <row r="33850">
      <c r="A33850" s="1" t="n">
        <v>33849</v>
      </c>
      <c r="B33850">
        <f>TEXT(33849, "[$-0E0000]yyyy-mm-dd")</f>
        <v/>
      </c>
      <c r="C33850" t="inlineStr">
        <is>
          <t>1992-08-07</t>
        </is>
      </c>
    </row>
    <row r="33851">
      <c r="A33851" s="1" t="n">
        <v>33850</v>
      </c>
      <c r="B33851">
        <f>TEXT(33850, "[$-0E0000]yyyy-mm-dd")</f>
        <v/>
      </c>
      <c r="C33851" t="inlineStr">
        <is>
          <t>1992-08-08</t>
        </is>
      </c>
    </row>
    <row r="33852">
      <c r="A33852" s="1" t="n">
        <v>33851</v>
      </c>
      <c r="B33852">
        <f>TEXT(33851, "[$-0E0000]yyyy-mm-dd")</f>
        <v/>
      </c>
      <c r="C33852" t="inlineStr">
        <is>
          <t>1992-08-09</t>
        </is>
      </c>
    </row>
    <row r="33853">
      <c r="A33853" s="1" t="n">
        <v>33852</v>
      </c>
      <c r="B33853">
        <f>TEXT(33852, "[$-0E0000]yyyy-mm-dd")</f>
        <v/>
      </c>
      <c r="C33853" t="inlineStr">
        <is>
          <t>1992-08-10</t>
        </is>
      </c>
    </row>
    <row r="33854">
      <c r="A33854" s="1" t="n">
        <v>33853</v>
      </c>
      <c r="B33854">
        <f>TEXT(33853, "[$-0E0000]yyyy-mm-dd")</f>
        <v/>
      </c>
      <c r="C33854" t="inlineStr">
        <is>
          <t>1992-08-11</t>
        </is>
      </c>
    </row>
    <row r="33855">
      <c r="A33855" s="1" t="n">
        <v>33854</v>
      </c>
      <c r="B33855">
        <f>TEXT(33854, "[$-0E0000]yyyy-mm-dd")</f>
        <v/>
      </c>
      <c r="C33855" t="inlineStr">
        <is>
          <t>1992-08-12</t>
        </is>
      </c>
    </row>
    <row r="33856">
      <c r="A33856" s="1" t="n">
        <v>33855</v>
      </c>
      <c r="B33856">
        <f>TEXT(33855, "[$-0E0000]yyyy-mm-dd")</f>
        <v/>
      </c>
      <c r="C33856" t="inlineStr">
        <is>
          <t>1992-08-13</t>
        </is>
      </c>
    </row>
    <row r="33857">
      <c r="A33857" s="1" t="n">
        <v>33856</v>
      </c>
      <c r="B33857">
        <f>TEXT(33856, "[$-0E0000]yyyy-mm-dd")</f>
        <v/>
      </c>
      <c r="C33857" t="inlineStr">
        <is>
          <t>1992-08-14</t>
        </is>
      </c>
    </row>
    <row r="33858">
      <c r="A33858" s="1" t="n">
        <v>33857</v>
      </c>
      <c r="B33858">
        <f>TEXT(33857, "[$-0E0000]yyyy-mm-dd")</f>
        <v/>
      </c>
      <c r="C33858" t="inlineStr">
        <is>
          <t>1992-08-15</t>
        </is>
      </c>
    </row>
    <row r="33859">
      <c r="A33859" s="1" t="n">
        <v>33858</v>
      </c>
      <c r="B33859">
        <f>TEXT(33858, "[$-0E0000]yyyy-mm-dd")</f>
        <v/>
      </c>
      <c r="C33859" t="inlineStr">
        <is>
          <t>1992-08-16</t>
        </is>
      </c>
    </row>
    <row r="33860">
      <c r="A33860" s="1" t="n">
        <v>33859</v>
      </c>
      <c r="B33860">
        <f>TEXT(33859, "[$-0E0000]yyyy-mm-dd")</f>
        <v/>
      </c>
      <c r="C33860" t="inlineStr">
        <is>
          <t>1992-08-17</t>
        </is>
      </c>
    </row>
    <row r="33861">
      <c r="A33861" s="1" t="n">
        <v>33860</v>
      </c>
      <c r="B33861">
        <f>TEXT(33860, "[$-0E0000]yyyy-mm-dd")</f>
        <v/>
      </c>
      <c r="C33861" t="inlineStr">
        <is>
          <t>1992-08-18</t>
        </is>
      </c>
    </row>
    <row r="33862">
      <c r="A33862" s="1" t="n">
        <v>33861</v>
      </c>
      <c r="B33862">
        <f>TEXT(33861, "[$-0E0000]yyyy-mm-dd")</f>
        <v/>
      </c>
      <c r="C33862" t="inlineStr">
        <is>
          <t>1992-08-19</t>
        </is>
      </c>
    </row>
    <row r="33863">
      <c r="A33863" s="1" t="n">
        <v>33862</v>
      </c>
      <c r="B33863">
        <f>TEXT(33862, "[$-0E0000]yyyy-mm-dd")</f>
        <v/>
      </c>
      <c r="C33863" t="inlineStr">
        <is>
          <t>1992-08-20</t>
        </is>
      </c>
    </row>
    <row r="33864">
      <c r="A33864" s="1" t="n">
        <v>33863</v>
      </c>
      <c r="B33864">
        <f>TEXT(33863, "[$-0E0000]yyyy-mm-dd")</f>
        <v/>
      </c>
      <c r="C33864" t="inlineStr">
        <is>
          <t>1992-08-21</t>
        </is>
      </c>
    </row>
    <row r="33865">
      <c r="A33865" s="1" t="n">
        <v>33864</v>
      </c>
      <c r="B33865">
        <f>TEXT(33864, "[$-0E0000]yyyy-mm-dd")</f>
        <v/>
      </c>
      <c r="C33865" t="inlineStr">
        <is>
          <t>1992-08-22</t>
        </is>
      </c>
    </row>
    <row r="33866">
      <c r="A33866" s="1" t="n">
        <v>33865</v>
      </c>
      <c r="B33866">
        <f>TEXT(33865, "[$-0E0000]yyyy-mm-dd")</f>
        <v/>
      </c>
      <c r="C33866" t="inlineStr">
        <is>
          <t>1992-08-23</t>
        </is>
      </c>
    </row>
    <row r="33867">
      <c r="A33867" s="1" t="n">
        <v>33866</v>
      </c>
      <c r="B33867">
        <f>TEXT(33866, "[$-0E0000]yyyy-mm-dd")</f>
        <v/>
      </c>
      <c r="C33867" t="inlineStr">
        <is>
          <t>1992-08-24</t>
        </is>
      </c>
    </row>
    <row r="33868">
      <c r="A33868" s="1" t="n">
        <v>33867</v>
      </c>
      <c r="B33868">
        <f>TEXT(33867, "[$-0E0000]yyyy-mm-dd")</f>
        <v/>
      </c>
      <c r="C33868" t="inlineStr">
        <is>
          <t>1992-08-25</t>
        </is>
      </c>
    </row>
    <row r="33869">
      <c r="A33869" s="1" t="n">
        <v>33868</v>
      </c>
      <c r="B33869">
        <f>TEXT(33868, "[$-0E0000]yyyy-mm-dd")</f>
        <v/>
      </c>
      <c r="C33869" t="inlineStr">
        <is>
          <t>1992-08-26</t>
        </is>
      </c>
    </row>
    <row r="33870">
      <c r="A33870" s="1" t="n">
        <v>33869</v>
      </c>
      <c r="B33870">
        <f>TEXT(33869, "[$-0E0000]yyyy-mm-dd")</f>
        <v/>
      </c>
      <c r="C33870" t="inlineStr">
        <is>
          <t>1992-08-27</t>
        </is>
      </c>
    </row>
    <row r="33871">
      <c r="A33871" s="1" t="n">
        <v>33870</v>
      </c>
      <c r="B33871">
        <f>TEXT(33870, "[$-0E0000]yyyy-mm-dd")</f>
        <v/>
      </c>
      <c r="C33871" t="inlineStr">
        <is>
          <t>1992-08-28</t>
        </is>
      </c>
    </row>
    <row r="33872">
      <c r="A33872" s="1" t="n">
        <v>33871</v>
      </c>
      <c r="B33872">
        <f>TEXT(33871, "[$-0E0000]yyyy-mm-dd")</f>
        <v/>
      </c>
      <c r="C33872" t="inlineStr">
        <is>
          <t>1992-08-29</t>
        </is>
      </c>
    </row>
    <row r="33873">
      <c r="A33873" s="1" t="n">
        <v>33872</v>
      </c>
      <c r="B33873">
        <f>TEXT(33872, "[$-0E0000]yyyy-mm-dd")</f>
        <v/>
      </c>
      <c r="C33873" t="inlineStr">
        <is>
          <t>1992-09-01</t>
        </is>
      </c>
    </row>
    <row r="33874">
      <c r="A33874" s="1" t="n">
        <v>33873</v>
      </c>
      <c r="B33874">
        <f>TEXT(33873, "[$-0E0000]yyyy-mm-dd")</f>
        <v/>
      </c>
      <c r="C33874" t="inlineStr">
        <is>
          <t>1992-09-02</t>
        </is>
      </c>
    </row>
    <row r="33875">
      <c r="A33875" s="1" t="n">
        <v>33874</v>
      </c>
      <c r="B33875">
        <f>TEXT(33874, "[$-0E0000]yyyy-mm-dd")</f>
        <v/>
      </c>
      <c r="C33875" t="inlineStr">
        <is>
          <t>1992-09-03</t>
        </is>
      </c>
    </row>
    <row r="33876">
      <c r="A33876" s="1" t="n">
        <v>33875</v>
      </c>
      <c r="B33876">
        <f>TEXT(33875, "[$-0E0000]yyyy-mm-dd")</f>
        <v/>
      </c>
      <c r="C33876" t="inlineStr">
        <is>
          <t>1992-09-04</t>
        </is>
      </c>
    </row>
    <row r="33877">
      <c r="A33877" s="1" t="n">
        <v>33876</v>
      </c>
      <c r="B33877">
        <f>TEXT(33876, "[$-0E0000]yyyy-mm-dd")</f>
        <v/>
      </c>
      <c r="C33877" t="inlineStr">
        <is>
          <t>1992-09-05</t>
        </is>
      </c>
    </row>
    <row r="33878">
      <c r="A33878" s="1" t="n">
        <v>33877</v>
      </c>
      <c r="B33878">
        <f>TEXT(33877, "[$-0E0000]yyyy-mm-dd")</f>
        <v/>
      </c>
      <c r="C33878" t="inlineStr">
        <is>
          <t>1992-09-06</t>
        </is>
      </c>
    </row>
    <row r="33879">
      <c r="A33879" s="1" t="n">
        <v>33878</v>
      </c>
      <c r="B33879">
        <f>TEXT(33878, "[$-0E0000]yyyy-mm-dd")</f>
        <v/>
      </c>
      <c r="C33879" t="inlineStr">
        <is>
          <t>1992-09-07</t>
        </is>
      </c>
    </row>
    <row r="33880">
      <c r="A33880" s="1" t="n">
        <v>33879</v>
      </c>
      <c r="B33880">
        <f>TEXT(33879, "[$-0E0000]yyyy-mm-dd")</f>
        <v/>
      </c>
      <c r="C33880" t="inlineStr">
        <is>
          <t>1992-09-08</t>
        </is>
      </c>
    </row>
    <row r="33881">
      <c r="A33881" s="1" t="n">
        <v>33880</v>
      </c>
      <c r="B33881">
        <f>TEXT(33880, "[$-0E0000]yyyy-mm-dd")</f>
        <v/>
      </c>
      <c r="C33881" t="inlineStr">
        <is>
          <t>1992-09-09</t>
        </is>
      </c>
    </row>
    <row r="33882">
      <c r="A33882" s="1" t="n">
        <v>33881</v>
      </c>
      <c r="B33882">
        <f>TEXT(33881, "[$-0E0000]yyyy-mm-dd")</f>
        <v/>
      </c>
      <c r="C33882" t="inlineStr">
        <is>
          <t>1992-09-10</t>
        </is>
      </c>
    </row>
    <row r="33883">
      <c r="A33883" s="1" t="n">
        <v>33882</v>
      </c>
      <c r="B33883">
        <f>TEXT(33882, "[$-0E0000]yyyy-mm-dd")</f>
        <v/>
      </c>
      <c r="C33883" t="inlineStr">
        <is>
          <t>1992-09-11</t>
        </is>
      </c>
    </row>
    <row r="33884">
      <c r="A33884" s="1" t="n">
        <v>33883</v>
      </c>
      <c r="B33884">
        <f>TEXT(33883, "[$-0E0000]yyyy-mm-dd")</f>
        <v/>
      </c>
      <c r="C33884" t="inlineStr">
        <is>
          <t>1992-09-12</t>
        </is>
      </c>
    </row>
    <row r="33885">
      <c r="A33885" s="1" t="n">
        <v>33884</v>
      </c>
      <c r="B33885">
        <f>TEXT(33884, "[$-0E0000]yyyy-mm-dd")</f>
        <v/>
      </c>
      <c r="C33885" t="inlineStr">
        <is>
          <t>1992-09-13</t>
        </is>
      </c>
    </row>
    <row r="33886">
      <c r="A33886" s="1" t="n">
        <v>33885</v>
      </c>
      <c r="B33886">
        <f>TEXT(33885, "[$-0E0000]yyyy-mm-dd")</f>
        <v/>
      </c>
      <c r="C33886" t="inlineStr">
        <is>
          <t>1992-09-14</t>
        </is>
      </c>
    </row>
    <row r="33887">
      <c r="A33887" s="1" t="n">
        <v>33886</v>
      </c>
      <c r="B33887">
        <f>TEXT(33886, "[$-0E0000]yyyy-mm-dd")</f>
        <v/>
      </c>
      <c r="C33887" t="inlineStr">
        <is>
          <t>1992-09-15</t>
        </is>
      </c>
    </row>
    <row r="33888">
      <c r="A33888" s="1" t="n">
        <v>33887</v>
      </c>
      <c r="B33888">
        <f>TEXT(33887, "[$-0E0000]yyyy-mm-dd")</f>
        <v/>
      </c>
      <c r="C33888" t="inlineStr">
        <is>
          <t>1992-09-16</t>
        </is>
      </c>
    </row>
    <row r="33889">
      <c r="A33889" s="1" t="n">
        <v>33888</v>
      </c>
      <c r="B33889">
        <f>TEXT(33888, "[$-0E0000]yyyy-mm-dd")</f>
        <v/>
      </c>
      <c r="C33889" t="inlineStr">
        <is>
          <t>1992-09-17</t>
        </is>
      </c>
    </row>
    <row r="33890">
      <c r="A33890" s="1" t="n">
        <v>33889</v>
      </c>
      <c r="B33890">
        <f>TEXT(33889, "[$-0E0000]yyyy-mm-dd")</f>
        <v/>
      </c>
      <c r="C33890" t="inlineStr">
        <is>
          <t>1992-09-18</t>
        </is>
      </c>
    </row>
    <row r="33891">
      <c r="A33891" s="1" t="n">
        <v>33890</v>
      </c>
      <c r="B33891">
        <f>TEXT(33890, "[$-0E0000]yyyy-mm-dd")</f>
        <v/>
      </c>
      <c r="C33891" t="inlineStr">
        <is>
          <t>1992-09-19</t>
        </is>
      </c>
    </row>
    <row r="33892">
      <c r="A33892" s="1" t="n">
        <v>33891</v>
      </c>
      <c r="B33892">
        <f>TEXT(33891, "[$-0E0000]yyyy-mm-dd")</f>
        <v/>
      </c>
      <c r="C33892" t="inlineStr">
        <is>
          <t>1992-09-20</t>
        </is>
      </c>
    </row>
    <row r="33893">
      <c r="A33893" s="1" t="n">
        <v>33892</v>
      </c>
      <c r="B33893">
        <f>TEXT(33892, "[$-0E0000]yyyy-mm-dd")</f>
        <v/>
      </c>
      <c r="C33893" t="inlineStr">
        <is>
          <t>1992-09-21</t>
        </is>
      </c>
    </row>
    <row r="33894">
      <c r="A33894" s="1" t="n">
        <v>33893</v>
      </c>
      <c r="B33894">
        <f>TEXT(33893, "[$-0E0000]yyyy-mm-dd")</f>
        <v/>
      </c>
      <c r="C33894" t="inlineStr">
        <is>
          <t>1992-09-22</t>
        </is>
      </c>
    </row>
    <row r="33895">
      <c r="A33895" s="1" t="n">
        <v>33894</v>
      </c>
      <c r="B33895">
        <f>TEXT(33894, "[$-0E0000]yyyy-mm-dd")</f>
        <v/>
      </c>
      <c r="C33895" t="inlineStr">
        <is>
          <t>1992-09-23</t>
        </is>
      </c>
    </row>
    <row r="33896">
      <c r="A33896" s="1" t="n">
        <v>33895</v>
      </c>
      <c r="B33896">
        <f>TEXT(33895, "[$-0E0000]yyyy-mm-dd")</f>
        <v/>
      </c>
      <c r="C33896" t="inlineStr">
        <is>
          <t>1992-09-24</t>
        </is>
      </c>
    </row>
    <row r="33897">
      <c r="A33897" s="1" t="n">
        <v>33896</v>
      </c>
      <c r="B33897">
        <f>TEXT(33896, "[$-0E0000]yyyy-mm-dd")</f>
        <v/>
      </c>
      <c r="C33897" t="inlineStr">
        <is>
          <t>1992-09-25</t>
        </is>
      </c>
    </row>
    <row r="33898">
      <c r="A33898" s="1" t="n">
        <v>33897</v>
      </c>
      <c r="B33898">
        <f>TEXT(33897, "[$-0E0000]yyyy-mm-dd")</f>
        <v/>
      </c>
      <c r="C33898" t="inlineStr">
        <is>
          <t>1992-09-26</t>
        </is>
      </c>
    </row>
    <row r="33899">
      <c r="A33899" s="1" t="n">
        <v>33898</v>
      </c>
      <c r="B33899">
        <f>TEXT(33898, "[$-0E0000]yyyy-mm-dd")</f>
        <v/>
      </c>
      <c r="C33899" t="inlineStr">
        <is>
          <t>1992-09-27</t>
        </is>
      </c>
    </row>
    <row r="33900">
      <c r="A33900" s="1" t="n">
        <v>33899</v>
      </c>
      <c r="B33900">
        <f>TEXT(33899, "[$-0E0000]yyyy-mm-dd")</f>
        <v/>
      </c>
      <c r="C33900" t="inlineStr">
        <is>
          <t>1992-09-28</t>
        </is>
      </c>
    </row>
    <row r="33901">
      <c r="A33901" s="1" t="n">
        <v>33900</v>
      </c>
      <c r="B33901">
        <f>TEXT(33900, "[$-0E0000]yyyy-mm-dd")</f>
        <v/>
      </c>
      <c r="C33901" t="inlineStr">
        <is>
          <t>1992-09-29</t>
        </is>
      </c>
    </row>
    <row r="33902">
      <c r="A33902" s="1" t="n">
        <v>33901</v>
      </c>
      <c r="B33902">
        <f>TEXT(33901, "[$-0E0000]yyyy-mm-dd")</f>
        <v/>
      </c>
      <c r="C33902" t="inlineStr">
        <is>
          <t>1992-09-30</t>
        </is>
      </c>
    </row>
    <row r="33903">
      <c r="A33903" s="1" t="n">
        <v>33902</v>
      </c>
      <c r="B33903">
        <f>TEXT(33902, "[$-0E0000]yyyy-mm-dd")</f>
        <v/>
      </c>
      <c r="C33903" t="inlineStr">
        <is>
          <t>1992-10-01</t>
        </is>
      </c>
    </row>
    <row r="33904">
      <c r="A33904" s="1" t="n">
        <v>33903</v>
      </c>
      <c r="B33904">
        <f>TEXT(33903, "[$-0E0000]yyyy-mm-dd")</f>
        <v/>
      </c>
      <c r="C33904" t="inlineStr">
        <is>
          <t>1992-10-02</t>
        </is>
      </c>
    </row>
    <row r="33905">
      <c r="A33905" s="1" t="n">
        <v>33904</v>
      </c>
      <c r="B33905">
        <f>TEXT(33904, "[$-0E0000]yyyy-mm-dd")</f>
        <v/>
      </c>
      <c r="C33905" t="inlineStr">
        <is>
          <t>1992-10-03</t>
        </is>
      </c>
    </row>
    <row r="33906">
      <c r="A33906" s="1" t="n">
        <v>33905</v>
      </c>
      <c r="B33906">
        <f>TEXT(33905, "[$-0E0000]yyyy-mm-dd")</f>
        <v/>
      </c>
      <c r="C33906" t="inlineStr">
        <is>
          <t>1992-10-04</t>
        </is>
      </c>
    </row>
    <row r="33907">
      <c r="A33907" s="1" t="n">
        <v>33906</v>
      </c>
      <c r="B33907">
        <f>TEXT(33906, "[$-0E0000]yyyy-mm-dd")</f>
        <v/>
      </c>
      <c r="C33907" t="inlineStr">
        <is>
          <t>1992-10-05</t>
        </is>
      </c>
    </row>
    <row r="33908">
      <c r="A33908" s="1" t="n">
        <v>33907</v>
      </c>
      <c r="B33908">
        <f>TEXT(33907, "[$-0E0000]yyyy-mm-dd")</f>
        <v/>
      </c>
      <c r="C33908" t="inlineStr">
        <is>
          <t>1992-10-06</t>
        </is>
      </c>
    </row>
    <row r="33909">
      <c r="A33909" s="1" t="n">
        <v>33908</v>
      </c>
      <c r="B33909">
        <f>TEXT(33908, "[$-0E0000]yyyy-mm-dd")</f>
        <v/>
      </c>
      <c r="C33909" t="inlineStr">
        <is>
          <t>1992-10-07</t>
        </is>
      </c>
    </row>
    <row r="33910">
      <c r="A33910" s="1" t="n">
        <v>33909</v>
      </c>
      <c r="B33910">
        <f>TEXT(33909, "[$-0E0000]yyyy-mm-dd")</f>
        <v/>
      </c>
      <c r="C33910" t="inlineStr">
        <is>
          <t>1992-10-08</t>
        </is>
      </c>
    </row>
    <row r="33911">
      <c r="A33911" s="1" t="n">
        <v>33910</v>
      </c>
      <c r="B33911">
        <f>TEXT(33910, "[$-0E0000]yyyy-mm-dd")</f>
        <v/>
      </c>
      <c r="C33911" t="inlineStr">
        <is>
          <t>1992-10-09</t>
        </is>
      </c>
    </row>
    <row r="33912">
      <c r="A33912" s="1" t="n">
        <v>33911</v>
      </c>
      <c r="B33912">
        <f>TEXT(33911, "[$-0E0000]yyyy-mm-dd")</f>
        <v/>
      </c>
      <c r="C33912" t="inlineStr">
        <is>
          <t>1992-10-10</t>
        </is>
      </c>
    </row>
    <row r="33913">
      <c r="A33913" s="1" t="n">
        <v>33912</v>
      </c>
      <c r="B33913">
        <f>TEXT(33912, "[$-0E0000]yyyy-mm-dd")</f>
        <v/>
      </c>
      <c r="C33913" t="inlineStr">
        <is>
          <t>1992-10-11</t>
        </is>
      </c>
    </row>
    <row r="33914">
      <c r="A33914" s="1" t="n">
        <v>33913</v>
      </c>
      <c r="B33914">
        <f>TEXT(33913, "[$-0E0000]yyyy-mm-dd")</f>
        <v/>
      </c>
      <c r="C33914" t="inlineStr">
        <is>
          <t>1992-10-12</t>
        </is>
      </c>
    </row>
    <row r="33915">
      <c r="A33915" s="1" t="n">
        <v>33914</v>
      </c>
      <c r="B33915">
        <f>TEXT(33914, "[$-0E0000]yyyy-mm-dd")</f>
        <v/>
      </c>
      <c r="C33915" t="inlineStr">
        <is>
          <t>1992-10-13</t>
        </is>
      </c>
    </row>
    <row r="33916">
      <c r="A33916" s="1" t="n">
        <v>33915</v>
      </c>
      <c r="B33916">
        <f>TEXT(33915, "[$-0E0000]yyyy-mm-dd")</f>
        <v/>
      </c>
      <c r="C33916" t="inlineStr">
        <is>
          <t>1992-10-14</t>
        </is>
      </c>
    </row>
    <row r="33917">
      <c r="A33917" s="1" t="n">
        <v>33916</v>
      </c>
      <c r="B33917">
        <f>TEXT(33916, "[$-0E0000]yyyy-mm-dd")</f>
        <v/>
      </c>
      <c r="C33917" t="inlineStr">
        <is>
          <t>1992-10-15</t>
        </is>
      </c>
    </row>
    <row r="33918">
      <c r="A33918" s="1" t="n">
        <v>33917</v>
      </c>
      <c r="B33918">
        <f>TEXT(33917, "[$-0E0000]yyyy-mm-dd")</f>
        <v/>
      </c>
      <c r="C33918" t="inlineStr">
        <is>
          <t>1992-10-16</t>
        </is>
      </c>
    </row>
    <row r="33919">
      <c r="A33919" s="1" t="n">
        <v>33918</v>
      </c>
      <c r="B33919">
        <f>TEXT(33918, "[$-0E0000]yyyy-mm-dd")</f>
        <v/>
      </c>
      <c r="C33919" t="inlineStr">
        <is>
          <t>1992-10-17</t>
        </is>
      </c>
    </row>
    <row r="33920">
      <c r="A33920" s="1" t="n">
        <v>33919</v>
      </c>
      <c r="B33920">
        <f>TEXT(33919, "[$-0E0000]yyyy-mm-dd")</f>
        <v/>
      </c>
      <c r="C33920" t="inlineStr">
        <is>
          <t>1992-10-18</t>
        </is>
      </c>
    </row>
    <row r="33921">
      <c r="A33921" s="1" t="n">
        <v>33920</v>
      </c>
      <c r="B33921">
        <f>TEXT(33920, "[$-0E0000]yyyy-mm-dd")</f>
        <v/>
      </c>
      <c r="C33921" t="inlineStr">
        <is>
          <t>1992-10-19</t>
        </is>
      </c>
    </row>
    <row r="33922">
      <c r="A33922" s="1" t="n">
        <v>33921</v>
      </c>
      <c r="B33922">
        <f>TEXT(33921, "[$-0E0000]yyyy-mm-dd")</f>
        <v/>
      </c>
      <c r="C33922" t="inlineStr">
        <is>
          <t>1992-10-20</t>
        </is>
      </c>
    </row>
    <row r="33923">
      <c r="A33923" s="1" t="n">
        <v>33922</v>
      </c>
      <c r="B33923">
        <f>TEXT(33922, "[$-0E0000]yyyy-mm-dd")</f>
        <v/>
      </c>
      <c r="C33923" t="inlineStr">
        <is>
          <t>1992-10-21</t>
        </is>
      </c>
    </row>
    <row r="33924">
      <c r="A33924" s="1" t="n">
        <v>33923</v>
      </c>
      <c r="B33924">
        <f>TEXT(33923, "[$-0E0000]yyyy-mm-dd")</f>
        <v/>
      </c>
      <c r="C33924" t="inlineStr">
        <is>
          <t>1992-10-22</t>
        </is>
      </c>
    </row>
    <row r="33925">
      <c r="A33925" s="1" t="n">
        <v>33924</v>
      </c>
      <c r="B33925">
        <f>TEXT(33924, "[$-0E0000]yyyy-mm-dd")</f>
        <v/>
      </c>
      <c r="C33925" t="inlineStr">
        <is>
          <t>1992-10-23</t>
        </is>
      </c>
    </row>
    <row r="33926">
      <c r="A33926" s="1" t="n">
        <v>33925</v>
      </c>
      <c r="B33926">
        <f>TEXT(33925, "[$-0E0000]yyyy-mm-dd")</f>
        <v/>
      </c>
      <c r="C33926" t="inlineStr">
        <is>
          <t>1992-10-24</t>
        </is>
      </c>
    </row>
    <row r="33927">
      <c r="A33927" s="1" t="n">
        <v>33926</v>
      </c>
      <c r="B33927">
        <f>TEXT(33926, "[$-0E0000]yyyy-mm-dd")</f>
        <v/>
      </c>
      <c r="C33927" t="inlineStr">
        <is>
          <t>1992-10-25</t>
        </is>
      </c>
    </row>
    <row r="33928">
      <c r="A33928" s="1" t="n">
        <v>33927</v>
      </c>
      <c r="B33928">
        <f>TEXT(33927, "[$-0E0000]yyyy-mm-dd")</f>
        <v/>
      </c>
      <c r="C33928" t="inlineStr">
        <is>
          <t>1992-10-26</t>
        </is>
      </c>
    </row>
    <row r="33929">
      <c r="A33929" s="1" t="n">
        <v>33928</v>
      </c>
      <c r="B33929">
        <f>TEXT(33928, "[$-0E0000]yyyy-mm-dd")</f>
        <v/>
      </c>
      <c r="C33929" t="inlineStr">
        <is>
          <t>1992-10-27</t>
        </is>
      </c>
    </row>
    <row r="33930">
      <c r="A33930" s="1" t="n">
        <v>33929</v>
      </c>
      <c r="B33930">
        <f>TEXT(33929, "[$-0E0000]yyyy-mm-dd")</f>
        <v/>
      </c>
      <c r="C33930" t="inlineStr">
        <is>
          <t>1992-10-28</t>
        </is>
      </c>
    </row>
    <row r="33931">
      <c r="A33931" s="1" t="n">
        <v>33930</v>
      </c>
      <c r="B33931">
        <f>TEXT(33930, "[$-0E0000]yyyy-mm-dd")</f>
        <v/>
      </c>
      <c r="C33931" t="inlineStr">
        <is>
          <t>1992-10-29</t>
        </is>
      </c>
    </row>
    <row r="33932">
      <c r="A33932" s="1" t="n">
        <v>33931</v>
      </c>
      <c r="B33932">
        <f>TEXT(33931, "[$-0E0000]yyyy-mm-dd")</f>
        <v/>
      </c>
      <c r="C33932" t="inlineStr">
        <is>
          <t>1992-11-01</t>
        </is>
      </c>
    </row>
    <row r="33933">
      <c r="A33933" s="1" t="n">
        <v>33932</v>
      </c>
      <c r="B33933">
        <f>TEXT(33932, "[$-0E0000]yyyy-mm-dd")</f>
        <v/>
      </c>
      <c r="C33933" t="inlineStr">
        <is>
          <t>1992-11-02</t>
        </is>
      </c>
    </row>
    <row r="33934">
      <c r="A33934" s="1" t="n">
        <v>33933</v>
      </c>
      <c r="B33934">
        <f>TEXT(33933, "[$-0E0000]yyyy-mm-dd")</f>
        <v/>
      </c>
      <c r="C33934" t="inlineStr">
        <is>
          <t>1992-11-03</t>
        </is>
      </c>
    </row>
    <row r="33935">
      <c r="A33935" s="1" t="n">
        <v>33934</v>
      </c>
      <c r="B33935">
        <f>TEXT(33934, "[$-0E0000]yyyy-mm-dd")</f>
        <v/>
      </c>
      <c r="C33935" t="inlineStr">
        <is>
          <t>1992-11-04</t>
        </is>
      </c>
    </row>
    <row r="33936">
      <c r="A33936" s="1" t="n">
        <v>33935</v>
      </c>
      <c r="B33936">
        <f>TEXT(33935, "[$-0E0000]yyyy-mm-dd")</f>
        <v/>
      </c>
      <c r="C33936" t="inlineStr">
        <is>
          <t>1992-11-05</t>
        </is>
      </c>
    </row>
    <row r="33937">
      <c r="A33937" s="1" t="n">
        <v>33936</v>
      </c>
      <c r="B33937">
        <f>TEXT(33936, "[$-0E0000]yyyy-mm-dd")</f>
        <v/>
      </c>
      <c r="C33937" t="inlineStr">
        <is>
          <t>1992-11-06</t>
        </is>
      </c>
    </row>
    <row r="33938">
      <c r="A33938" s="1" t="n">
        <v>33937</v>
      </c>
      <c r="B33938">
        <f>TEXT(33937, "[$-0E0000]yyyy-mm-dd")</f>
        <v/>
      </c>
      <c r="C33938" t="inlineStr">
        <is>
          <t>1992-11-07</t>
        </is>
      </c>
    </row>
    <row r="33939">
      <c r="A33939" s="1" t="n">
        <v>33938</v>
      </c>
      <c r="B33939">
        <f>TEXT(33938, "[$-0E0000]yyyy-mm-dd")</f>
        <v/>
      </c>
      <c r="C33939" t="inlineStr">
        <is>
          <t>1992-11-08</t>
        </is>
      </c>
    </row>
    <row r="33940">
      <c r="A33940" s="1" t="n">
        <v>33939</v>
      </c>
      <c r="B33940">
        <f>TEXT(33939, "[$-0E0000]yyyy-mm-dd")</f>
        <v/>
      </c>
      <c r="C33940" t="inlineStr">
        <is>
          <t>1992-11-09</t>
        </is>
      </c>
    </row>
    <row r="33941">
      <c r="A33941" s="1" t="n">
        <v>33940</v>
      </c>
      <c r="B33941">
        <f>TEXT(33940, "[$-0E0000]yyyy-mm-dd")</f>
        <v/>
      </c>
      <c r="C33941" t="inlineStr">
        <is>
          <t>1992-11-10</t>
        </is>
      </c>
    </row>
    <row r="33942">
      <c r="A33942" s="1" t="n">
        <v>33941</v>
      </c>
      <c r="B33942">
        <f>TEXT(33941, "[$-0E0000]yyyy-mm-dd")</f>
        <v/>
      </c>
      <c r="C33942" t="inlineStr">
        <is>
          <t>1992-11-11</t>
        </is>
      </c>
    </row>
    <row r="33943">
      <c r="A33943" s="1" t="n">
        <v>33942</v>
      </c>
      <c r="B33943">
        <f>TEXT(33942, "[$-0E0000]yyyy-mm-dd")</f>
        <v/>
      </c>
      <c r="C33943" t="inlineStr">
        <is>
          <t>1992-11-12</t>
        </is>
      </c>
    </row>
    <row r="33944">
      <c r="A33944" s="1" t="n">
        <v>33943</v>
      </c>
      <c r="B33944">
        <f>TEXT(33943, "[$-0E0000]yyyy-mm-dd")</f>
        <v/>
      </c>
      <c r="C33944" t="inlineStr">
        <is>
          <t>1992-11-13</t>
        </is>
      </c>
    </row>
    <row r="33945">
      <c r="A33945" s="1" t="n">
        <v>33944</v>
      </c>
      <c r="B33945">
        <f>TEXT(33944, "[$-0E0000]yyyy-mm-dd")</f>
        <v/>
      </c>
      <c r="C33945" t="inlineStr">
        <is>
          <t>1992-11-14</t>
        </is>
      </c>
    </row>
    <row r="33946">
      <c r="A33946" s="1" t="n">
        <v>33945</v>
      </c>
      <c r="B33946">
        <f>TEXT(33945, "[$-0E0000]yyyy-mm-dd")</f>
        <v/>
      </c>
      <c r="C33946" t="inlineStr">
        <is>
          <t>1992-11-15</t>
        </is>
      </c>
    </row>
    <row r="33947">
      <c r="A33947" s="1" t="n">
        <v>33946</v>
      </c>
      <c r="B33947">
        <f>TEXT(33946, "[$-0E0000]yyyy-mm-dd")</f>
        <v/>
      </c>
      <c r="C33947" t="inlineStr">
        <is>
          <t>1992-11-16</t>
        </is>
      </c>
    </row>
    <row r="33948">
      <c r="A33948" s="1" t="n">
        <v>33947</v>
      </c>
      <c r="B33948">
        <f>TEXT(33947, "[$-0E0000]yyyy-mm-dd")</f>
        <v/>
      </c>
      <c r="C33948" t="inlineStr">
        <is>
          <t>1992-11-17</t>
        </is>
      </c>
    </row>
    <row r="33949">
      <c r="A33949" s="1" t="n">
        <v>33948</v>
      </c>
      <c r="B33949">
        <f>TEXT(33948, "[$-0E0000]yyyy-mm-dd")</f>
        <v/>
      </c>
      <c r="C33949" t="inlineStr">
        <is>
          <t>1992-11-18</t>
        </is>
      </c>
    </row>
    <row r="33950">
      <c r="A33950" s="1" t="n">
        <v>33949</v>
      </c>
      <c r="B33950">
        <f>TEXT(33949, "[$-0E0000]yyyy-mm-dd")</f>
        <v/>
      </c>
      <c r="C33950" t="inlineStr">
        <is>
          <t>1992-11-19</t>
        </is>
      </c>
    </row>
    <row r="33951">
      <c r="A33951" s="1" t="n">
        <v>33950</v>
      </c>
      <c r="B33951">
        <f>TEXT(33950, "[$-0E0000]yyyy-mm-dd")</f>
        <v/>
      </c>
      <c r="C33951" t="inlineStr">
        <is>
          <t>1992-11-20</t>
        </is>
      </c>
    </row>
    <row r="33952">
      <c r="A33952" s="1" t="n">
        <v>33951</v>
      </c>
      <c r="B33952">
        <f>TEXT(33951, "[$-0E0000]yyyy-mm-dd")</f>
        <v/>
      </c>
      <c r="C33952" t="inlineStr">
        <is>
          <t>1992-11-21</t>
        </is>
      </c>
    </row>
    <row r="33953">
      <c r="A33953" s="1" t="n">
        <v>33952</v>
      </c>
      <c r="B33953">
        <f>TEXT(33952, "[$-0E0000]yyyy-mm-dd")</f>
        <v/>
      </c>
      <c r="C33953" t="inlineStr">
        <is>
          <t>1992-11-22</t>
        </is>
      </c>
    </row>
    <row r="33954">
      <c r="A33954" s="1" t="n">
        <v>33953</v>
      </c>
      <c r="B33954">
        <f>TEXT(33953, "[$-0E0000]yyyy-mm-dd")</f>
        <v/>
      </c>
      <c r="C33954" t="inlineStr">
        <is>
          <t>1992-11-23</t>
        </is>
      </c>
    </row>
    <row r="33955">
      <c r="A33955" s="1" t="n">
        <v>33954</v>
      </c>
      <c r="B33955">
        <f>TEXT(33954, "[$-0E0000]yyyy-mm-dd")</f>
        <v/>
      </c>
      <c r="C33955" t="inlineStr">
        <is>
          <t>1992-11-24</t>
        </is>
      </c>
    </row>
    <row r="33956">
      <c r="A33956" s="1" t="n">
        <v>33955</v>
      </c>
      <c r="B33956">
        <f>TEXT(33955, "[$-0E0000]yyyy-mm-dd")</f>
        <v/>
      </c>
      <c r="C33956" t="inlineStr">
        <is>
          <t>1992-11-25</t>
        </is>
      </c>
    </row>
    <row r="33957">
      <c r="A33957" s="1" t="n">
        <v>33956</v>
      </c>
      <c r="B33957">
        <f>TEXT(33956, "[$-0E0000]yyyy-mm-dd")</f>
        <v/>
      </c>
      <c r="C33957" t="inlineStr">
        <is>
          <t>1992-11-26</t>
        </is>
      </c>
    </row>
    <row r="33958">
      <c r="A33958" s="1" t="n">
        <v>33957</v>
      </c>
      <c r="B33958">
        <f>TEXT(33957, "[$-0E0000]yyyy-mm-dd")</f>
        <v/>
      </c>
      <c r="C33958" t="inlineStr">
        <is>
          <t>1992-11-27</t>
        </is>
      </c>
    </row>
    <row r="33959">
      <c r="A33959" s="1" t="n">
        <v>33958</v>
      </c>
      <c r="B33959">
        <f>TEXT(33958, "[$-0E0000]yyyy-mm-dd")</f>
        <v/>
      </c>
      <c r="C33959" t="inlineStr">
        <is>
          <t>1992-11-28</t>
        </is>
      </c>
    </row>
    <row r="33960">
      <c r="A33960" s="1" t="n">
        <v>33959</v>
      </c>
      <c r="B33960">
        <f>TEXT(33959, "[$-0E0000]yyyy-mm-dd")</f>
        <v/>
      </c>
      <c r="C33960" t="inlineStr">
        <is>
          <t>1992-11-29</t>
        </is>
      </c>
    </row>
    <row r="33961">
      <c r="A33961" s="1" t="n">
        <v>33960</v>
      </c>
      <c r="B33961">
        <f>TEXT(33960, "[$-0E0000]yyyy-mm-dd")</f>
        <v/>
      </c>
      <c r="C33961" t="inlineStr">
        <is>
          <t>1992-11-30</t>
        </is>
      </c>
    </row>
    <row r="33962">
      <c r="A33962" s="1" t="n">
        <v>33961</v>
      </c>
      <c r="B33962">
        <f>TEXT(33961, "[$-0E0000]yyyy-mm-dd")</f>
        <v/>
      </c>
      <c r="C33962" t="inlineStr">
        <is>
          <t>1992-12-01</t>
        </is>
      </c>
    </row>
    <row r="33963">
      <c r="A33963" s="1" t="n">
        <v>33962</v>
      </c>
      <c r="B33963">
        <f>TEXT(33962, "[$-0E0000]yyyy-mm-dd")</f>
        <v/>
      </c>
      <c r="C33963" t="inlineStr">
        <is>
          <t>1992-12-02</t>
        </is>
      </c>
    </row>
    <row r="33964">
      <c r="A33964" s="1" t="n">
        <v>33963</v>
      </c>
      <c r="B33964">
        <f>TEXT(33963, "[$-0E0000]yyyy-mm-dd")</f>
        <v/>
      </c>
      <c r="C33964" t="inlineStr">
        <is>
          <t>1992-12-03</t>
        </is>
      </c>
    </row>
    <row r="33965">
      <c r="A33965" s="1" t="n">
        <v>33964</v>
      </c>
      <c r="B33965">
        <f>TEXT(33964, "[$-0E0000]yyyy-mm-dd")</f>
        <v/>
      </c>
      <c r="C33965" t="inlineStr">
        <is>
          <t>1992-12-04</t>
        </is>
      </c>
    </row>
    <row r="33966">
      <c r="A33966" s="1" t="n">
        <v>33965</v>
      </c>
      <c r="B33966">
        <f>TEXT(33965, "[$-0E0000]yyyy-mm-dd")</f>
        <v/>
      </c>
      <c r="C33966" t="inlineStr">
        <is>
          <t>1992-12-05</t>
        </is>
      </c>
    </row>
    <row r="33967">
      <c r="A33967" s="1" t="n">
        <v>33966</v>
      </c>
      <c r="B33967">
        <f>TEXT(33966, "[$-0E0000]yyyy-mm-dd")</f>
        <v/>
      </c>
      <c r="C33967" t="inlineStr">
        <is>
          <t>1992-12-06</t>
        </is>
      </c>
    </row>
    <row r="33968">
      <c r="A33968" s="1" t="n">
        <v>33967</v>
      </c>
      <c r="B33968">
        <f>TEXT(33967, "[$-0E0000]yyyy-mm-dd")</f>
        <v/>
      </c>
      <c r="C33968" t="inlineStr">
        <is>
          <t>1992-12-07</t>
        </is>
      </c>
    </row>
    <row r="33969">
      <c r="A33969" s="1" t="n">
        <v>33968</v>
      </c>
      <c r="B33969">
        <f>TEXT(33968, "[$-0E0000]yyyy-mm-dd")</f>
        <v/>
      </c>
      <c r="C33969" t="inlineStr">
        <is>
          <t>1992-12-08</t>
        </is>
      </c>
    </row>
    <row r="33970">
      <c r="A33970" s="1" t="n">
        <v>33969</v>
      </c>
      <c r="B33970">
        <f>TEXT(33969, "[$-0E0000]yyyy-mm-dd")</f>
        <v/>
      </c>
      <c r="C33970" t="inlineStr">
        <is>
          <t>1992-12-09</t>
        </is>
      </c>
    </row>
    <row r="33971">
      <c r="A33971" s="1" t="n">
        <v>33970</v>
      </c>
      <c r="B33971">
        <f>TEXT(33970, "[$-0E0000]yyyy-mm-dd")</f>
        <v/>
      </c>
      <c r="C33971" t="inlineStr">
        <is>
          <t>1992-12-10</t>
        </is>
      </c>
    </row>
    <row r="33972">
      <c r="A33972" s="1" t="n">
        <v>33971</v>
      </c>
      <c r="B33972">
        <f>TEXT(33971, "[$-0E0000]yyyy-mm-dd")</f>
        <v/>
      </c>
      <c r="C33972" t="inlineStr">
        <is>
          <t>1992-12-11</t>
        </is>
      </c>
    </row>
    <row r="33973">
      <c r="A33973" s="1" t="n">
        <v>33972</v>
      </c>
      <c r="B33973">
        <f>TEXT(33972, "[$-0E0000]yyyy-mm-dd")</f>
        <v/>
      </c>
      <c r="C33973" t="inlineStr">
        <is>
          <t>1992-12-12</t>
        </is>
      </c>
    </row>
    <row r="33974">
      <c r="A33974" s="1" t="n">
        <v>33973</v>
      </c>
      <c r="B33974">
        <f>TEXT(33973, "[$-0E0000]yyyy-mm-dd")</f>
        <v/>
      </c>
      <c r="C33974" t="inlineStr">
        <is>
          <t>1992-12-13</t>
        </is>
      </c>
    </row>
    <row r="33975">
      <c r="A33975" s="1" t="n">
        <v>33974</v>
      </c>
      <c r="B33975">
        <f>TEXT(33974, "[$-0E0000]yyyy-mm-dd")</f>
        <v/>
      </c>
      <c r="C33975" t="inlineStr">
        <is>
          <t>1992-12-14</t>
        </is>
      </c>
    </row>
    <row r="33976">
      <c r="A33976" s="1" t="n">
        <v>33975</v>
      </c>
      <c r="B33976">
        <f>TEXT(33975, "[$-0E0000]yyyy-mm-dd")</f>
        <v/>
      </c>
      <c r="C33976" t="inlineStr">
        <is>
          <t>1992-12-15</t>
        </is>
      </c>
    </row>
    <row r="33977">
      <c r="A33977" s="1" t="n">
        <v>33976</v>
      </c>
      <c r="B33977">
        <f>TEXT(33976, "[$-0E0000]yyyy-mm-dd")</f>
        <v/>
      </c>
      <c r="C33977" t="inlineStr">
        <is>
          <t>1992-12-16</t>
        </is>
      </c>
    </row>
    <row r="33978">
      <c r="A33978" s="1" t="n">
        <v>33977</v>
      </c>
      <c r="B33978">
        <f>TEXT(33977, "[$-0E0000]yyyy-mm-dd")</f>
        <v/>
      </c>
      <c r="C33978" t="inlineStr">
        <is>
          <t>1992-12-17</t>
        </is>
      </c>
    </row>
    <row r="33979">
      <c r="A33979" s="1" t="n">
        <v>33978</v>
      </c>
      <c r="B33979">
        <f>TEXT(33978, "[$-0E0000]yyyy-mm-dd")</f>
        <v/>
      </c>
      <c r="C33979" t="inlineStr">
        <is>
          <t>1992-12-18</t>
        </is>
      </c>
    </row>
    <row r="33980">
      <c r="A33980" s="1" t="n">
        <v>33979</v>
      </c>
      <c r="B33980">
        <f>TEXT(33979, "[$-0E0000]yyyy-mm-dd")</f>
        <v/>
      </c>
      <c r="C33980" t="inlineStr">
        <is>
          <t>1992-12-19</t>
        </is>
      </c>
    </row>
    <row r="33981">
      <c r="A33981" s="1" t="n">
        <v>33980</v>
      </c>
      <c r="B33981">
        <f>TEXT(33980, "[$-0E0000]yyyy-mm-dd")</f>
        <v/>
      </c>
      <c r="C33981" t="inlineStr">
        <is>
          <t>1992-12-20</t>
        </is>
      </c>
    </row>
    <row r="33982">
      <c r="A33982" s="1" t="n">
        <v>33981</v>
      </c>
      <c r="B33982">
        <f>TEXT(33981, "[$-0E0000]yyyy-mm-dd")</f>
        <v/>
      </c>
      <c r="C33982" t="inlineStr">
        <is>
          <t>1992-12-21</t>
        </is>
      </c>
    </row>
    <row r="33983">
      <c r="A33983" s="1" t="n">
        <v>33982</v>
      </c>
      <c r="B33983">
        <f>TEXT(33982, "[$-0E0000]yyyy-mm-dd")</f>
        <v/>
      </c>
      <c r="C33983" t="inlineStr">
        <is>
          <t>1992-12-22</t>
        </is>
      </c>
    </row>
    <row r="33984">
      <c r="A33984" s="1" t="n">
        <v>33983</v>
      </c>
      <c r="B33984">
        <f>TEXT(33983, "[$-0E0000]yyyy-mm-dd")</f>
        <v/>
      </c>
      <c r="C33984" t="inlineStr">
        <is>
          <t>1992-12-23</t>
        </is>
      </c>
    </row>
    <row r="33985">
      <c r="A33985" s="1" t="n">
        <v>33984</v>
      </c>
      <c r="B33985">
        <f>TEXT(33984, "[$-0E0000]yyyy-mm-dd")</f>
        <v/>
      </c>
      <c r="C33985" t="inlineStr">
        <is>
          <t>1992-12-24</t>
        </is>
      </c>
    </row>
    <row r="33986">
      <c r="A33986" s="1" t="n">
        <v>33985</v>
      </c>
      <c r="B33986">
        <f>TEXT(33985, "[$-0E0000]yyyy-mm-dd")</f>
        <v/>
      </c>
      <c r="C33986" t="inlineStr">
        <is>
          <t>1992-12-25</t>
        </is>
      </c>
    </row>
    <row r="33987">
      <c r="A33987" s="1" t="n">
        <v>33986</v>
      </c>
      <c r="B33987">
        <f>TEXT(33986, "[$-0E0000]yyyy-mm-dd")</f>
        <v/>
      </c>
      <c r="C33987" t="inlineStr">
        <is>
          <t>1992-12-26</t>
        </is>
      </c>
    </row>
    <row r="33988">
      <c r="A33988" s="1" t="n">
        <v>33987</v>
      </c>
      <c r="B33988">
        <f>TEXT(33987, "[$-0E0000]yyyy-mm-dd")</f>
        <v/>
      </c>
      <c r="C33988" t="inlineStr">
        <is>
          <t>1992-12-27</t>
        </is>
      </c>
    </row>
    <row r="33989">
      <c r="A33989" s="1" t="n">
        <v>33988</v>
      </c>
      <c r="B33989">
        <f>TEXT(33988, "[$-0E0000]yyyy-mm-dd")</f>
        <v/>
      </c>
      <c r="C33989" t="inlineStr">
        <is>
          <t>1992-12-28</t>
        </is>
      </c>
    </row>
    <row r="33990">
      <c r="A33990" s="1" t="n">
        <v>33989</v>
      </c>
      <c r="B33990">
        <f>TEXT(33989, "[$-0E0000]yyyy-mm-dd")</f>
        <v/>
      </c>
      <c r="C33990" t="inlineStr">
        <is>
          <t>1992-12-29</t>
        </is>
      </c>
    </row>
    <row r="33991">
      <c r="A33991" s="1" t="n">
        <v>33990</v>
      </c>
      <c r="B33991">
        <f>TEXT(33990, "[$-0E0000]yyyy-mm-dd")</f>
        <v/>
      </c>
      <c r="C33991" t="inlineStr">
        <is>
          <t>1992-12-30</t>
        </is>
      </c>
    </row>
    <row r="33992">
      <c r="A33992" s="1" t="n">
        <v>33991</v>
      </c>
      <c r="B33992">
        <f>TEXT(33991, "[$-0E0000]yyyy-mm-dd")</f>
        <v/>
      </c>
      <c r="C33992" t="inlineStr">
        <is>
          <t>1993-01-01</t>
        </is>
      </c>
    </row>
    <row r="33993">
      <c r="A33993" s="1" t="n">
        <v>33992</v>
      </c>
      <c r="B33993">
        <f>TEXT(33992, "[$-0E0000]yyyy-mm-dd")</f>
        <v/>
      </c>
      <c r="C33993" t="inlineStr">
        <is>
          <t>1993-01-02</t>
        </is>
      </c>
    </row>
    <row r="33994">
      <c r="A33994" s="1" t="n">
        <v>33993</v>
      </c>
      <c r="B33994">
        <f>TEXT(33993, "[$-0E0000]yyyy-mm-dd")</f>
        <v/>
      </c>
      <c r="C33994" t="inlineStr">
        <is>
          <t>1993-01-03</t>
        </is>
      </c>
    </row>
    <row r="33995">
      <c r="A33995" s="1" t="n">
        <v>33994</v>
      </c>
      <c r="B33995">
        <f>TEXT(33994, "[$-0E0000]yyyy-mm-dd")</f>
        <v/>
      </c>
      <c r="C33995" t="inlineStr">
        <is>
          <t>1993-01-04</t>
        </is>
      </c>
    </row>
    <row r="33996">
      <c r="A33996" s="1" t="n">
        <v>33995</v>
      </c>
      <c r="B33996">
        <f>TEXT(33995, "[$-0E0000]yyyy-mm-dd")</f>
        <v/>
      </c>
      <c r="C33996" t="inlineStr">
        <is>
          <t>1993-01-05</t>
        </is>
      </c>
    </row>
    <row r="33997">
      <c r="A33997" s="1" t="n">
        <v>33996</v>
      </c>
      <c r="B33997">
        <f>TEXT(33996, "[$-0E0000]yyyy-mm-dd")</f>
        <v/>
      </c>
      <c r="C33997" t="inlineStr">
        <is>
          <t>1993-01-06</t>
        </is>
      </c>
    </row>
    <row r="33998">
      <c r="A33998" s="1" t="n">
        <v>33997</v>
      </c>
      <c r="B33998">
        <f>TEXT(33997, "[$-0E0000]yyyy-mm-dd")</f>
        <v/>
      </c>
      <c r="C33998" t="inlineStr">
        <is>
          <t>1993-01-07</t>
        </is>
      </c>
    </row>
    <row r="33999">
      <c r="A33999" s="1" t="n">
        <v>33998</v>
      </c>
      <c r="B33999">
        <f>TEXT(33998, "[$-0E0000]yyyy-mm-dd")</f>
        <v/>
      </c>
      <c r="C33999" t="inlineStr">
        <is>
          <t>1993-01-08</t>
        </is>
      </c>
    </row>
    <row r="34000">
      <c r="A34000" s="1" t="n">
        <v>33999</v>
      </c>
      <c r="B34000">
        <f>TEXT(33999, "[$-0E0000]yyyy-mm-dd")</f>
        <v/>
      </c>
      <c r="C34000" t="inlineStr">
        <is>
          <t>1993-01-09</t>
        </is>
      </c>
    </row>
    <row r="34001">
      <c r="A34001" s="1" t="n">
        <v>34000</v>
      </c>
      <c r="B34001">
        <f>TEXT(34000, "[$-0E0000]yyyy-mm-dd")</f>
        <v/>
      </c>
      <c r="C34001" t="inlineStr">
        <is>
          <t>1993-01-10</t>
        </is>
      </c>
    </row>
    <row r="34002">
      <c r="A34002" s="1" t="n">
        <v>34001</v>
      </c>
      <c r="B34002">
        <f>TEXT(34001, "[$-0E0000]yyyy-mm-dd")</f>
        <v/>
      </c>
      <c r="C34002" t="inlineStr">
        <is>
          <t>1993-01-11</t>
        </is>
      </c>
    </row>
    <row r="34003">
      <c r="A34003" s="1" t="n">
        <v>34002</v>
      </c>
      <c r="B34003">
        <f>TEXT(34002, "[$-0E0000]yyyy-mm-dd")</f>
        <v/>
      </c>
      <c r="C34003" t="inlineStr">
        <is>
          <t>1993-01-12</t>
        </is>
      </c>
    </row>
    <row r="34004">
      <c r="A34004" s="1" t="n">
        <v>34003</v>
      </c>
      <c r="B34004">
        <f>TEXT(34003, "[$-0E0000]yyyy-mm-dd")</f>
        <v/>
      </c>
      <c r="C34004" t="inlineStr">
        <is>
          <t>1993-01-13</t>
        </is>
      </c>
    </row>
    <row r="34005">
      <c r="A34005" s="1" t="n">
        <v>34004</v>
      </c>
      <c r="B34005">
        <f>TEXT(34004, "[$-0E0000]yyyy-mm-dd")</f>
        <v/>
      </c>
      <c r="C34005" t="inlineStr">
        <is>
          <t>1993-01-14</t>
        </is>
      </c>
    </row>
    <row r="34006">
      <c r="A34006" s="1" t="n">
        <v>34005</v>
      </c>
      <c r="B34006">
        <f>TEXT(34005, "[$-0E0000]yyyy-mm-dd")</f>
        <v/>
      </c>
      <c r="C34006" t="inlineStr">
        <is>
          <t>1993-01-15</t>
        </is>
      </c>
    </row>
    <row r="34007">
      <c r="A34007" s="1" t="n">
        <v>34006</v>
      </c>
      <c r="B34007">
        <f>TEXT(34006, "[$-0E0000]yyyy-mm-dd")</f>
        <v/>
      </c>
      <c r="C34007" t="inlineStr">
        <is>
          <t>1993-01-16</t>
        </is>
      </c>
    </row>
    <row r="34008">
      <c r="A34008" s="1" t="n">
        <v>34007</v>
      </c>
      <c r="B34008">
        <f>TEXT(34007, "[$-0E0000]yyyy-mm-dd")</f>
        <v/>
      </c>
      <c r="C34008" t="inlineStr">
        <is>
          <t>1993-01-17</t>
        </is>
      </c>
    </row>
    <row r="34009">
      <c r="A34009" s="1" t="n">
        <v>34008</v>
      </c>
      <c r="B34009">
        <f>TEXT(34008, "[$-0E0000]yyyy-mm-dd")</f>
        <v/>
      </c>
      <c r="C34009" t="inlineStr">
        <is>
          <t>1993-01-18</t>
        </is>
      </c>
    </row>
    <row r="34010">
      <c r="A34010" s="1" t="n">
        <v>34009</v>
      </c>
      <c r="B34010">
        <f>TEXT(34009, "[$-0E0000]yyyy-mm-dd")</f>
        <v/>
      </c>
      <c r="C34010" t="inlineStr">
        <is>
          <t>1993-01-19</t>
        </is>
      </c>
    </row>
    <row r="34011">
      <c r="A34011" s="1" t="n">
        <v>34010</v>
      </c>
      <c r="B34011">
        <f>TEXT(34010, "[$-0E0000]yyyy-mm-dd")</f>
        <v/>
      </c>
      <c r="C34011" t="inlineStr">
        <is>
          <t>1993-01-20</t>
        </is>
      </c>
    </row>
    <row r="34012">
      <c r="A34012" s="1" t="n">
        <v>34011</v>
      </c>
      <c r="B34012">
        <f>TEXT(34011, "[$-0E0000]yyyy-mm-dd")</f>
        <v/>
      </c>
      <c r="C34012" t="inlineStr">
        <is>
          <t>1993-01-21</t>
        </is>
      </c>
    </row>
    <row r="34013">
      <c r="A34013" s="1" t="n">
        <v>34012</v>
      </c>
      <c r="B34013">
        <f>TEXT(34012, "[$-0E0000]yyyy-mm-dd")</f>
        <v/>
      </c>
      <c r="C34013" t="inlineStr">
        <is>
          <t>1993-01-22</t>
        </is>
      </c>
    </row>
    <row r="34014">
      <c r="A34014" s="1" t="n">
        <v>34013</v>
      </c>
      <c r="B34014">
        <f>TEXT(34013, "[$-0E0000]yyyy-mm-dd")</f>
        <v/>
      </c>
      <c r="C34014" t="inlineStr">
        <is>
          <t>1993-01-23</t>
        </is>
      </c>
    </row>
    <row r="34015">
      <c r="A34015" s="1" t="n">
        <v>34014</v>
      </c>
      <c r="B34015">
        <f>TEXT(34014, "[$-0E0000]yyyy-mm-dd")</f>
        <v/>
      </c>
      <c r="C34015" t="inlineStr">
        <is>
          <t>1993-01-24</t>
        </is>
      </c>
    </row>
    <row r="34016">
      <c r="A34016" s="1" t="n">
        <v>34015</v>
      </c>
      <c r="B34016">
        <f>TEXT(34015, "[$-0E0000]yyyy-mm-dd")</f>
        <v/>
      </c>
      <c r="C34016" t="inlineStr">
        <is>
          <t>1993-01-25</t>
        </is>
      </c>
    </row>
    <row r="34017">
      <c r="A34017" s="1" t="n">
        <v>34016</v>
      </c>
      <c r="B34017">
        <f>TEXT(34016, "[$-0E0000]yyyy-mm-dd")</f>
        <v/>
      </c>
      <c r="C34017" t="inlineStr">
        <is>
          <t>1993-01-26</t>
        </is>
      </c>
    </row>
    <row r="34018">
      <c r="A34018" s="1" t="n">
        <v>34017</v>
      </c>
      <c r="B34018">
        <f>TEXT(34017, "[$-0E0000]yyyy-mm-dd")</f>
        <v/>
      </c>
      <c r="C34018" t="inlineStr">
        <is>
          <t>1993-01-27</t>
        </is>
      </c>
    </row>
    <row r="34019">
      <c r="A34019" s="1" t="n">
        <v>34018</v>
      </c>
      <c r="B34019">
        <f>TEXT(34018, "[$-0E0000]yyyy-mm-dd")</f>
        <v/>
      </c>
      <c r="C34019" t="inlineStr">
        <is>
          <t>1993-01-28</t>
        </is>
      </c>
    </row>
    <row r="34020">
      <c r="A34020" s="1" t="n">
        <v>34019</v>
      </c>
      <c r="B34020">
        <f>TEXT(34019, "[$-0E0000]yyyy-mm-dd")</f>
        <v/>
      </c>
      <c r="C34020" t="inlineStr">
        <is>
          <t>1993-01-29</t>
        </is>
      </c>
    </row>
    <row r="34021">
      <c r="A34021" s="1" t="n">
        <v>34020</v>
      </c>
      <c r="B34021">
        <f>TEXT(34020, "[$-0E0000]yyyy-mm-dd")</f>
        <v/>
      </c>
      <c r="C34021" t="inlineStr">
        <is>
          <t>1993-02-01</t>
        </is>
      </c>
    </row>
    <row r="34022">
      <c r="A34022" s="1" t="n">
        <v>34021</v>
      </c>
      <c r="B34022">
        <f>TEXT(34021, "[$-0E0000]yyyy-mm-dd")</f>
        <v/>
      </c>
      <c r="C34022" t="inlineStr">
        <is>
          <t>1993-02-02</t>
        </is>
      </c>
    </row>
    <row r="34023">
      <c r="A34023" s="1" t="n">
        <v>34022</v>
      </c>
      <c r="B34023">
        <f>TEXT(34022, "[$-0E0000]yyyy-mm-dd")</f>
        <v/>
      </c>
      <c r="C34023" t="inlineStr">
        <is>
          <t>1993-02-03</t>
        </is>
      </c>
    </row>
    <row r="34024">
      <c r="A34024" s="1" t="n">
        <v>34023</v>
      </c>
      <c r="B34024">
        <f>TEXT(34023, "[$-0E0000]yyyy-mm-dd")</f>
        <v/>
      </c>
      <c r="C34024" t="inlineStr">
        <is>
          <t>1993-02-04</t>
        </is>
      </c>
    </row>
    <row r="34025">
      <c r="A34025" s="1" t="n">
        <v>34024</v>
      </c>
      <c r="B34025">
        <f>TEXT(34024, "[$-0E0000]yyyy-mm-dd")</f>
        <v/>
      </c>
      <c r="C34025" t="inlineStr">
        <is>
          <t>1993-02-05</t>
        </is>
      </c>
    </row>
    <row r="34026">
      <c r="A34026" s="1" t="n">
        <v>34025</v>
      </c>
      <c r="B34026">
        <f>TEXT(34025, "[$-0E0000]yyyy-mm-dd")</f>
        <v/>
      </c>
      <c r="C34026" t="inlineStr">
        <is>
          <t>1993-02-06</t>
        </is>
      </c>
    </row>
    <row r="34027">
      <c r="A34027" s="1" t="n">
        <v>34026</v>
      </c>
      <c r="B34027">
        <f>TEXT(34026, "[$-0E0000]yyyy-mm-dd")</f>
        <v/>
      </c>
      <c r="C34027" t="inlineStr">
        <is>
          <t>1993-02-07</t>
        </is>
      </c>
    </row>
    <row r="34028">
      <c r="A34028" s="1" t="n">
        <v>34027</v>
      </c>
      <c r="B34028">
        <f>TEXT(34027, "[$-0E0000]yyyy-mm-dd")</f>
        <v/>
      </c>
      <c r="C34028" t="inlineStr">
        <is>
          <t>1993-02-08</t>
        </is>
      </c>
    </row>
    <row r="34029">
      <c r="A34029" s="1" t="n">
        <v>34028</v>
      </c>
      <c r="B34029">
        <f>TEXT(34028, "[$-0E0000]yyyy-mm-dd")</f>
        <v/>
      </c>
      <c r="C34029" t="inlineStr">
        <is>
          <t>1993-02-09</t>
        </is>
      </c>
    </row>
    <row r="34030">
      <c r="A34030" s="1" t="n">
        <v>34029</v>
      </c>
      <c r="B34030">
        <f>TEXT(34029, "[$-0E0000]yyyy-mm-dd")</f>
        <v/>
      </c>
      <c r="C34030" t="inlineStr">
        <is>
          <t>1993-02-10</t>
        </is>
      </c>
    </row>
    <row r="34031">
      <c r="A34031" s="1" t="n">
        <v>34030</v>
      </c>
      <c r="B34031">
        <f>TEXT(34030, "[$-0E0000]yyyy-mm-dd")</f>
        <v/>
      </c>
      <c r="C34031" t="inlineStr">
        <is>
          <t>1993-02-11</t>
        </is>
      </c>
    </row>
    <row r="34032">
      <c r="A34032" s="1" t="n">
        <v>34031</v>
      </c>
      <c r="B34032">
        <f>TEXT(34031, "[$-0E0000]yyyy-mm-dd")</f>
        <v/>
      </c>
      <c r="C34032" t="inlineStr">
        <is>
          <t>1993-02-12</t>
        </is>
      </c>
    </row>
    <row r="34033">
      <c r="A34033" s="1" t="n">
        <v>34032</v>
      </c>
      <c r="B34033">
        <f>TEXT(34032, "[$-0E0000]yyyy-mm-dd")</f>
        <v/>
      </c>
      <c r="C34033" t="inlineStr">
        <is>
          <t>1993-02-13</t>
        </is>
      </c>
    </row>
    <row r="34034">
      <c r="A34034" s="1" t="n">
        <v>34033</v>
      </c>
      <c r="B34034">
        <f>TEXT(34033, "[$-0E0000]yyyy-mm-dd")</f>
        <v/>
      </c>
      <c r="C34034" t="inlineStr">
        <is>
          <t>1993-02-14</t>
        </is>
      </c>
    </row>
    <row r="34035">
      <c r="A34035" s="1" t="n">
        <v>34034</v>
      </c>
      <c r="B34035">
        <f>TEXT(34034, "[$-0E0000]yyyy-mm-dd")</f>
        <v/>
      </c>
      <c r="C34035" t="inlineStr">
        <is>
          <t>1993-02-15</t>
        </is>
      </c>
    </row>
    <row r="34036">
      <c r="A34036" s="1" t="n">
        <v>34035</v>
      </c>
      <c r="B34036">
        <f>TEXT(34035, "[$-0E0000]yyyy-mm-dd")</f>
        <v/>
      </c>
      <c r="C34036" t="inlineStr">
        <is>
          <t>1993-02-16</t>
        </is>
      </c>
    </row>
    <row r="34037">
      <c r="A34037" s="1" t="n">
        <v>34036</v>
      </c>
      <c r="B34037">
        <f>TEXT(34036, "[$-0E0000]yyyy-mm-dd")</f>
        <v/>
      </c>
      <c r="C34037" t="inlineStr">
        <is>
          <t>1993-02-17</t>
        </is>
      </c>
    </row>
    <row r="34038">
      <c r="A34038" s="1" t="n">
        <v>34037</v>
      </c>
      <c r="B34038">
        <f>TEXT(34037, "[$-0E0000]yyyy-mm-dd")</f>
        <v/>
      </c>
      <c r="C34038" t="inlineStr">
        <is>
          <t>1993-02-18</t>
        </is>
      </c>
    </row>
    <row r="34039">
      <c r="A34039" s="1" t="n">
        <v>34038</v>
      </c>
      <c r="B34039">
        <f>TEXT(34038, "[$-0E0000]yyyy-mm-dd")</f>
        <v/>
      </c>
      <c r="C34039" t="inlineStr">
        <is>
          <t>1993-02-19</t>
        </is>
      </c>
    </row>
    <row r="34040">
      <c r="A34040" s="1" t="n">
        <v>34039</v>
      </c>
      <c r="B34040">
        <f>TEXT(34039, "[$-0E0000]yyyy-mm-dd")</f>
        <v/>
      </c>
      <c r="C34040" t="inlineStr">
        <is>
          <t>1993-02-20</t>
        </is>
      </c>
    </row>
    <row r="34041">
      <c r="A34041" s="1" t="n">
        <v>34040</v>
      </c>
      <c r="B34041">
        <f>TEXT(34040, "[$-0E0000]yyyy-mm-dd")</f>
        <v/>
      </c>
      <c r="C34041" t="inlineStr">
        <is>
          <t>1993-02-21</t>
        </is>
      </c>
    </row>
    <row r="34042">
      <c r="A34042" s="1" t="n">
        <v>34041</v>
      </c>
      <c r="B34042">
        <f>TEXT(34041, "[$-0E0000]yyyy-mm-dd")</f>
        <v/>
      </c>
      <c r="C34042" t="inlineStr">
        <is>
          <t>1993-02-22</t>
        </is>
      </c>
    </row>
    <row r="34043">
      <c r="A34043" s="1" t="n">
        <v>34042</v>
      </c>
      <c r="B34043">
        <f>TEXT(34042, "[$-0E0000]yyyy-mm-dd")</f>
        <v/>
      </c>
      <c r="C34043" t="inlineStr">
        <is>
          <t>1993-02-23</t>
        </is>
      </c>
    </row>
    <row r="34044">
      <c r="A34044" s="1" t="n">
        <v>34043</v>
      </c>
      <c r="B34044">
        <f>TEXT(34043, "[$-0E0000]yyyy-mm-dd")</f>
        <v/>
      </c>
      <c r="C34044" t="inlineStr">
        <is>
          <t>1993-02-24</t>
        </is>
      </c>
    </row>
    <row r="34045">
      <c r="A34045" s="1" t="n">
        <v>34044</v>
      </c>
      <c r="B34045">
        <f>TEXT(34044, "[$-0E0000]yyyy-mm-dd")</f>
        <v/>
      </c>
      <c r="C34045" t="inlineStr">
        <is>
          <t>1993-02-25</t>
        </is>
      </c>
    </row>
    <row r="34046">
      <c r="A34046" s="1" t="n">
        <v>34045</v>
      </c>
      <c r="B34046">
        <f>TEXT(34045, "[$-0E0000]yyyy-mm-dd")</f>
        <v/>
      </c>
      <c r="C34046" t="inlineStr">
        <is>
          <t>1993-02-26</t>
        </is>
      </c>
    </row>
    <row r="34047">
      <c r="A34047" s="1" t="n">
        <v>34046</v>
      </c>
      <c r="B34047">
        <f>TEXT(34046, "[$-0E0000]yyyy-mm-dd")</f>
        <v/>
      </c>
      <c r="C34047" t="inlineStr">
        <is>
          <t>1993-02-27</t>
        </is>
      </c>
    </row>
    <row r="34048">
      <c r="A34048" s="1" t="n">
        <v>34047</v>
      </c>
      <c r="B34048">
        <f>TEXT(34047, "[$-0E0000]yyyy-mm-dd")</f>
        <v/>
      </c>
      <c r="C34048" t="inlineStr">
        <is>
          <t>1993-02-28</t>
        </is>
      </c>
    </row>
    <row r="34049">
      <c r="A34049" s="1" t="n">
        <v>34048</v>
      </c>
      <c r="B34049">
        <f>TEXT(34048, "[$-0E0000]yyyy-mm-dd")</f>
        <v/>
      </c>
      <c r="C34049" t="inlineStr">
        <is>
          <t>1993-02-29</t>
        </is>
      </c>
    </row>
    <row r="34050">
      <c r="A34050" s="1" t="n">
        <v>34049</v>
      </c>
      <c r="B34050">
        <f>TEXT(34049, "[$-0E0000]yyyy-mm-dd")</f>
        <v/>
      </c>
      <c r="C34050" t="inlineStr">
        <is>
          <t>1993-02-30</t>
        </is>
      </c>
    </row>
    <row r="34051">
      <c r="A34051" s="1" t="n">
        <v>34050</v>
      </c>
      <c r="B34051">
        <f>TEXT(34050, "[$-0E0000]yyyy-mm-dd")</f>
        <v/>
      </c>
      <c r="C34051" t="inlineStr">
        <is>
          <t>1993-03-01</t>
        </is>
      </c>
    </row>
    <row r="34052">
      <c r="A34052" s="1" t="n">
        <v>34051</v>
      </c>
      <c r="B34052">
        <f>TEXT(34051, "[$-0E0000]yyyy-mm-dd")</f>
        <v/>
      </c>
      <c r="C34052" t="inlineStr">
        <is>
          <t>1993-03-02</t>
        </is>
      </c>
    </row>
    <row r="34053">
      <c r="A34053" s="1" t="n">
        <v>34052</v>
      </c>
      <c r="B34053">
        <f>TEXT(34052, "[$-0E0000]yyyy-mm-dd")</f>
        <v/>
      </c>
      <c r="C34053" t="inlineStr">
        <is>
          <t>1993-03-03</t>
        </is>
      </c>
    </row>
    <row r="34054">
      <c r="A34054" s="1" t="n">
        <v>34053</v>
      </c>
      <c r="B34054">
        <f>TEXT(34053, "[$-0E0000]yyyy-mm-dd")</f>
        <v/>
      </c>
      <c r="C34054" t="inlineStr">
        <is>
          <t>1993-03-04</t>
        </is>
      </c>
    </row>
    <row r="34055">
      <c r="A34055" s="1" t="n">
        <v>34054</v>
      </c>
      <c r="B34055">
        <f>TEXT(34054, "[$-0E0000]yyyy-mm-dd")</f>
        <v/>
      </c>
      <c r="C34055" t="inlineStr">
        <is>
          <t>1993-03-05</t>
        </is>
      </c>
    </row>
    <row r="34056">
      <c r="A34056" s="1" t="n">
        <v>34055</v>
      </c>
      <c r="B34056">
        <f>TEXT(34055, "[$-0E0000]yyyy-mm-dd")</f>
        <v/>
      </c>
      <c r="C34056" t="inlineStr">
        <is>
          <t>1993-03-06</t>
        </is>
      </c>
    </row>
    <row r="34057">
      <c r="A34057" s="1" t="n">
        <v>34056</v>
      </c>
      <c r="B34057">
        <f>TEXT(34056, "[$-0E0000]yyyy-mm-dd")</f>
        <v/>
      </c>
      <c r="C34057" t="inlineStr">
        <is>
          <t>1993-03-07</t>
        </is>
      </c>
    </row>
    <row r="34058">
      <c r="A34058" s="1" t="n">
        <v>34057</v>
      </c>
      <c r="B34058">
        <f>TEXT(34057, "[$-0E0000]yyyy-mm-dd")</f>
        <v/>
      </c>
      <c r="C34058" t="inlineStr">
        <is>
          <t>1993-03-08</t>
        </is>
      </c>
    </row>
    <row r="34059">
      <c r="A34059" s="1" t="n">
        <v>34058</v>
      </c>
      <c r="B34059">
        <f>TEXT(34058, "[$-0E0000]yyyy-mm-dd")</f>
        <v/>
      </c>
      <c r="C34059" t="inlineStr">
        <is>
          <t>1993-03-09</t>
        </is>
      </c>
    </row>
    <row r="34060">
      <c r="A34060" s="1" t="n">
        <v>34059</v>
      </c>
      <c r="B34060">
        <f>TEXT(34059, "[$-0E0000]yyyy-mm-dd")</f>
        <v/>
      </c>
      <c r="C34060" t="inlineStr">
        <is>
          <t>1993-03-10</t>
        </is>
      </c>
    </row>
    <row r="34061">
      <c r="A34061" s="1" t="n">
        <v>34060</v>
      </c>
      <c r="B34061">
        <f>TEXT(34060, "[$-0E0000]yyyy-mm-dd")</f>
        <v/>
      </c>
      <c r="C34061" t="inlineStr">
        <is>
          <t>1993-03-11</t>
        </is>
      </c>
    </row>
    <row r="34062">
      <c r="A34062" s="1" t="n">
        <v>34061</v>
      </c>
      <c r="B34062">
        <f>TEXT(34061, "[$-0E0000]yyyy-mm-dd")</f>
        <v/>
      </c>
      <c r="C34062" t="inlineStr">
        <is>
          <t>1993-03-12</t>
        </is>
      </c>
    </row>
    <row r="34063">
      <c r="A34063" s="1" t="n">
        <v>34062</v>
      </c>
      <c r="B34063">
        <f>TEXT(34062, "[$-0E0000]yyyy-mm-dd")</f>
        <v/>
      </c>
      <c r="C34063" t="inlineStr">
        <is>
          <t>1993-03-13</t>
        </is>
      </c>
    </row>
    <row r="34064">
      <c r="A34064" s="1" t="n">
        <v>34063</v>
      </c>
      <c r="B34064">
        <f>TEXT(34063, "[$-0E0000]yyyy-mm-dd")</f>
        <v/>
      </c>
      <c r="C34064" t="inlineStr">
        <is>
          <t>1993-03-14</t>
        </is>
      </c>
    </row>
    <row r="34065">
      <c r="A34065" s="1" t="n">
        <v>34064</v>
      </c>
      <c r="B34065">
        <f>TEXT(34064, "[$-0E0000]yyyy-mm-dd")</f>
        <v/>
      </c>
      <c r="C34065" t="inlineStr">
        <is>
          <t>1993-03-15</t>
        </is>
      </c>
    </row>
    <row r="34066">
      <c r="A34066" s="1" t="n">
        <v>34065</v>
      </c>
      <c r="B34066">
        <f>TEXT(34065, "[$-0E0000]yyyy-mm-dd")</f>
        <v/>
      </c>
      <c r="C34066" t="inlineStr">
        <is>
          <t>1993-03-16</t>
        </is>
      </c>
    </row>
    <row r="34067">
      <c r="A34067" s="1" t="n">
        <v>34066</v>
      </c>
      <c r="B34067">
        <f>TEXT(34066, "[$-0E0000]yyyy-mm-dd")</f>
        <v/>
      </c>
      <c r="C34067" t="inlineStr">
        <is>
          <t>1993-03-17</t>
        </is>
      </c>
    </row>
    <row r="34068">
      <c r="A34068" s="1" t="n">
        <v>34067</v>
      </c>
      <c r="B34068">
        <f>TEXT(34067, "[$-0E0000]yyyy-mm-dd")</f>
        <v/>
      </c>
      <c r="C34068" t="inlineStr">
        <is>
          <t>1993-03-18</t>
        </is>
      </c>
    </row>
    <row r="34069">
      <c r="A34069" s="1" t="n">
        <v>34068</v>
      </c>
      <c r="B34069">
        <f>TEXT(34068, "[$-0E0000]yyyy-mm-dd")</f>
        <v/>
      </c>
      <c r="C34069" t="inlineStr">
        <is>
          <t>1993-03-19</t>
        </is>
      </c>
    </row>
    <row r="34070">
      <c r="A34070" s="1" t="n">
        <v>34069</v>
      </c>
      <c r="B34070">
        <f>TEXT(34069, "[$-0E0000]yyyy-mm-dd")</f>
        <v/>
      </c>
      <c r="C34070" t="inlineStr">
        <is>
          <t>1993-03-20</t>
        </is>
      </c>
    </row>
    <row r="34071">
      <c r="A34071" s="1" t="n">
        <v>34070</v>
      </c>
      <c r="B34071">
        <f>TEXT(34070, "[$-0E0000]yyyy-mm-dd")</f>
        <v/>
      </c>
      <c r="C34071" t="inlineStr">
        <is>
          <t>1993-03-21</t>
        </is>
      </c>
    </row>
    <row r="34072">
      <c r="A34072" s="1" t="n">
        <v>34071</v>
      </c>
      <c r="B34072">
        <f>TEXT(34071, "[$-0E0000]yyyy-mm-dd")</f>
        <v/>
      </c>
      <c r="C34072" t="inlineStr">
        <is>
          <t>1993-03-22</t>
        </is>
      </c>
    </row>
    <row r="34073">
      <c r="A34073" s="1" t="n">
        <v>34072</v>
      </c>
      <c r="B34073">
        <f>TEXT(34072, "[$-0E0000]yyyy-mm-dd")</f>
        <v/>
      </c>
      <c r="C34073" t="inlineStr">
        <is>
          <t>1993-03-23</t>
        </is>
      </c>
    </row>
    <row r="34074">
      <c r="A34074" s="1" t="n">
        <v>34073</v>
      </c>
      <c r="B34074">
        <f>TEXT(34073, "[$-0E0000]yyyy-mm-dd")</f>
        <v/>
      </c>
      <c r="C34074" t="inlineStr">
        <is>
          <t>1993-03-24</t>
        </is>
      </c>
    </row>
    <row r="34075">
      <c r="A34075" s="1" t="n">
        <v>34074</v>
      </c>
      <c r="B34075">
        <f>TEXT(34074, "[$-0E0000]yyyy-mm-dd")</f>
        <v/>
      </c>
      <c r="C34075" t="inlineStr">
        <is>
          <t>1993-03-25</t>
        </is>
      </c>
    </row>
    <row r="34076">
      <c r="A34076" s="1" t="n">
        <v>34075</v>
      </c>
      <c r="B34076">
        <f>TEXT(34075, "[$-0E0000]yyyy-mm-dd")</f>
        <v/>
      </c>
      <c r="C34076" t="inlineStr">
        <is>
          <t>1993-03-26</t>
        </is>
      </c>
    </row>
    <row r="34077">
      <c r="A34077" s="1" t="n">
        <v>34076</v>
      </c>
      <c r="B34077">
        <f>TEXT(34076, "[$-0E0000]yyyy-mm-dd")</f>
        <v/>
      </c>
      <c r="C34077" t="inlineStr">
        <is>
          <t>1993-03-27</t>
        </is>
      </c>
    </row>
    <row r="34078">
      <c r="A34078" s="1" t="n">
        <v>34077</v>
      </c>
      <c r="B34078">
        <f>TEXT(34077, "[$-0E0000]yyyy-mm-dd")</f>
        <v/>
      </c>
      <c r="C34078" t="inlineStr">
        <is>
          <t>1993-03-28</t>
        </is>
      </c>
    </row>
    <row r="34079">
      <c r="A34079" s="1" t="n">
        <v>34078</v>
      </c>
      <c r="B34079">
        <f>TEXT(34078, "[$-0E0000]yyyy-mm-dd")</f>
        <v/>
      </c>
      <c r="C34079" t="inlineStr">
        <is>
          <t>1993-03-29</t>
        </is>
      </c>
    </row>
    <row r="34080">
      <c r="A34080" s="1" t="n">
        <v>34079</v>
      </c>
      <c r="B34080">
        <f>TEXT(34079, "[$-0E0000]yyyy-mm-dd")</f>
        <v/>
      </c>
      <c r="C34080" t="inlineStr">
        <is>
          <t>1993-03-30</t>
        </is>
      </c>
    </row>
    <row r="34081">
      <c r="A34081" s="1" t="n">
        <v>34080</v>
      </c>
      <c r="B34081">
        <f>TEXT(34080, "[$-0E0000]yyyy-mm-dd")</f>
        <v/>
      </c>
      <c r="C34081" t="inlineStr">
        <is>
          <t>1993-03-01</t>
        </is>
      </c>
    </row>
    <row r="34082">
      <c r="A34082" s="1" t="n">
        <v>34081</v>
      </c>
      <c r="B34082">
        <f>TEXT(34081, "[$-0E0000]yyyy-mm-dd")</f>
        <v/>
      </c>
      <c r="C34082" t="inlineStr">
        <is>
          <t>1993-03-02</t>
        </is>
      </c>
    </row>
    <row r="34083">
      <c r="A34083" s="1" t="n">
        <v>34082</v>
      </c>
      <c r="B34083">
        <f>TEXT(34082, "[$-0E0000]yyyy-mm-dd")</f>
        <v/>
      </c>
      <c r="C34083" t="inlineStr">
        <is>
          <t>1993-03-03</t>
        </is>
      </c>
    </row>
    <row r="34084">
      <c r="A34084" s="1" t="n">
        <v>34083</v>
      </c>
      <c r="B34084">
        <f>TEXT(34083, "[$-0E0000]yyyy-mm-dd")</f>
        <v/>
      </c>
      <c r="C34084" t="inlineStr">
        <is>
          <t>1993-03-04</t>
        </is>
      </c>
    </row>
    <row r="34085">
      <c r="A34085" s="1" t="n">
        <v>34084</v>
      </c>
      <c r="B34085">
        <f>TEXT(34084, "[$-0E0000]yyyy-mm-dd")</f>
        <v/>
      </c>
      <c r="C34085" t="inlineStr">
        <is>
          <t>1993-03-05</t>
        </is>
      </c>
    </row>
    <row r="34086">
      <c r="A34086" s="1" t="n">
        <v>34085</v>
      </c>
      <c r="B34086">
        <f>TEXT(34085, "[$-0E0000]yyyy-mm-dd")</f>
        <v/>
      </c>
      <c r="C34086" t="inlineStr">
        <is>
          <t>1993-03-06</t>
        </is>
      </c>
    </row>
    <row r="34087">
      <c r="A34087" s="1" t="n">
        <v>34086</v>
      </c>
      <c r="B34087">
        <f>TEXT(34086, "[$-0E0000]yyyy-mm-dd")</f>
        <v/>
      </c>
      <c r="C34087" t="inlineStr">
        <is>
          <t>1993-03-07</t>
        </is>
      </c>
    </row>
    <row r="34088">
      <c r="A34088" s="1" t="n">
        <v>34087</v>
      </c>
      <c r="B34088">
        <f>TEXT(34087, "[$-0E0000]yyyy-mm-dd")</f>
        <v/>
      </c>
      <c r="C34088" t="inlineStr">
        <is>
          <t>1993-03-08</t>
        </is>
      </c>
    </row>
    <row r="34089">
      <c r="A34089" s="1" t="n">
        <v>34088</v>
      </c>
      <c r="B34089">
        <f>TEXT(34088, "[$-0E0000]yyyy-mm-dd")</f>
        <v/>
      </c>
      <c r="C34089" t="inlineStr">
        <is>
          <t>1993-03-09</t>
        </is>
      </c>
    </row>
    <row r="34090">
      <c r="A34090" s="1" t="n">
        <v>34089</v>
      </c>
      <c r="B34090">
        <f>TEXT(34089, "[$-0E0000]yyyy-mm-dd")</f>
        <v/>
      </c>
      <c r="C34090" t="inlineStr">
        <is>
          <t>1993-03-10</t>
        </is>
      </c>
    </row>
    <row r="34091">
      <c r="A34091" s="1" t="n">
        <v>34090</v>
      </c>
      <c r="B34091">
        <f>TEXT(34090, "[$-0E0000]yyyy-mm-dd")</f>
        <v/>
      </c>
      <c r="C34091" t="inlineStr">
        <is>
          <t>1993-03-11</t>
        </is>
      </c>
    </row>
    <row r="34092">
      <c r="A34092" s="1" t="n">
        <v>34091</v>
      </c>
      <c r="B34092">
        <f>TEXT(34091, "[$-0E0000]yyyy-mm-dd")</f>
        <v/>
      </c>
      <c r="C34092" t="inlineStr">
        <is>
          <t>1993-03-12</t>
        </is>
      </c>
    </row>
    <row r="34093">
      <c r="A34093" s="1" t="n">
        <v>34092</v>
      </c>
      <c r="B34093">
        <f>TEXT(34092, "[$-0E0000]yyyy-mm-dd")</f>
        <v/>
      </c>
      <c r="C34093" t="inlineStr">
        <is>
          <t>1993-03-13</t>
        </is>
      </c>
    </row>
    <row r="34094">
      <c r="A34094" s="1" t="n">
        <v>34093</v>
      </c>
      <c r="B34094">
        <f>TEXT(34093, "[$-0E0000]yyyy-mm-dd")</f>
        <v/>
      </c>
      <c r="C34094" t="inlineStr">
        <is>
          <t>1993-03-14</t>
        </is>
      </c>
    </row>
    <row r="34095">
      <c r="A34095" s="1" t="n">
        <v>34094</v>
      </c>
      <c r="B34095">
        <f>TEXT(34094, "[$-0E0000]yyyy-mm-dd")</f>
        <v/>
      </c>
      <c r="C34095" t="inlineStr">
        <is>
          <t>1993-03-15</t>
        </is>
      </c>
    </row>
    <row r="34096">
      <c r="A34096" s="1" t="n">
        <v>34095</v>
      </c>
      <c r="B34096">
        <f>TEXT(34095, "[$-0E0000]yyyy-mm-dd")</f>
        <v/>
      </c>
      <c r="C34096" t="inlineStr">
        <is>
          <t>1993-03-16</t>
        </is>
      </c>
    </row>
    <row r="34097">
      <c r="A34097" s="1" t="n">
        <v>34096</v>
      </c>
      <c r="B34097">
        <f>TEXT(34096, "[$-0E0000]yyyy-mm-dd")</f>
        <v/>
      </c>
      <c r="C34097" t="inlineStr">
        <is>
          <t>1993-03-17</t>
        </is>
      </c>
    </row>
    <row r="34098">
      <c r="A34098" s="1" t="n">
        <v>34097</v>
      </c>
      <c r="B34098">
        <f>TEXT(34097, "[$-0E0000]yyyy-mm-dd")</f>
        <v/>
      </c>
      <c r="C34098" t="inlineStr">
        <is>
          <t>1993-03-18</t>
        </is>
      </c>
    </row>
    <row r="34099">
      <c r="A34099" s="1" t="n">
        <v>34098</v>
      </c>
      <c r="B34099">
        <f>TEXT(34098, "[$-0E0000]yyyy-mm-dd")</f>
        <v/>
      </c>
      <c r="C34099" t="inlineStr">
        <is>
          <t>1993-03-19</t>
        </is>
      </c>
    </row>
    <row r="34100">
      <c r="A34100" s="1" t="n">
        <v>34099</v>
      </c>
      <c r="B34100">
        <f>TEXT(34099, "[$-0E0000]yyyy-mm-dd")</f>
        <v/>
      </c>
      <c r="C34100" t="inlineStr">
        <is>
          <t>1993-03-20</t>
        </is>
      </c>
    </row>
    <row r="34101">
      <c r="A34101" s="1" t="n">
        <v>34100</v>
      </c>
      <c r="B34101">
        <f>TEXT(34100, "[$-0E0000]yyyy-mm-dd")</f>
        <v/>
      </c>
      <c r="C34101" t="inlineStr">
        <is>
          <t>1993-03-21</t>
        </is>
      </c>
    </row>
    <row r="34102">
      <c r="A34102" s="1" t="n">
        <v>34101</v>
      </c>
      <c r="B34102">
        <f>TEXT(34101, "[$-0E0000]yyyy-mm-dd")</f>
        <v/>
      </c>
      <c r="C34102" t="inlineStr">
        <is>
          <t>1993-03-22</t>
        </is>
      </c>
    </row>
    <row r="34103">
      <c r="A34103" s="1" t="n">
        <v>34102</v>
      </c>
      <c r="B34103">
        <f>TEXT(34102, "[$-0E0000]yyyy-mm-dd")</f>
        <v/>
      </c>
      <c r="C34103" t="inlineStr">
        <is>
          <t>1993-03-23</t>
        </is>
      </c>
    </row>
    <row r="34104">
      <c r="A34104" s="1" t="n">
        <v>34103</v>
      </c>
      <c r="B34104">
        <f>TEXT(34103, "[$-0E0000]yyyy-mm-dd")</f>
        <v/>
      </c>
      <c r="C34104" t="inlineStr">
        <is>
          <t>1993-03-24</t>
        </is>
      </c>
    </row>
    <row r="34105">
      <c r="A34105" s="1" t="n">
        <v>34104</v>
      </c>
      <c r="B34105">
        <f>TEXT(34104, "[$-0E0000]yyyy-mm-dd")</f>
        <v/>
      </c>
      <c r="C34105" t="inlineStr">
        <is>
          <t>1993-03-25</t>
        </is>
      </c>
    </row>
    <row r="34106">
      <c r="A34106" s="1" t="n">
        <v>34105</v>
      </c>
      <c r="B34106">
        <f>TEXT(34105, "[$-0E0000]yyyy-mm-dd")</f>
        <v/>
      </c>
      <c r="C34106" t="inlineStr">
        <is>
          <t>1993-03-26</t>
        </is>
      </c>
    </row>
    <row r="34107">
      <c r="A34107" s="1" t="n">
        <v>34106</v>
      </c>
      <c r="B34107">
        <f>TEXT(34106, "[$-0E0000]yyyy-mm-dd")</f>
        <v/>
      </c>
      <c r="C34107" t="inlineStr">
        <is>
          <t>1993-03-27</t>
        </is>
      </c>
    </row>
    <row r="34108">
      <c r="A34108" s="1" t="n">
        <v>34107</v>
      </c>
      <c r="B34108">
        <f>TEXT(34107, "[$-0E0000]yyyy-mm-dd")</f>
        <v/>
      </c>
      <c r="C34108" t="inlineStr">
        <is>
          <t>1993-03-28</t>
        </is>
      </c>
    </row>
    <row r="34109">
      <c r="A34109" s="1" t="n">
        <v>34108</v>
      </c>
      <c r="B34109">
        <f>TEXT(34108, "[$-0E0000]yyyy-mm-dd")</f>
        <v/>
      </c>
      <c r="C34109" t="inlineStr">
        <is>
          <t>1993-03-29</t>
        </is>
      </c>
    </row>
    <row r="34110">
      <c r="A34110" s="1" t="n">
        <v>34109</v>
      </c>
      <c r="B34110">
        <f>TEXT(34109, "[$-0E0000]yyyy-mm-dd")</f>
        <v/>
      </c>
      <c r="C34110" t="inlineStr">
        <is>
          <t>1993-04-01</t>
        </is>
      </c>
    </row>
    <row r="34111">
      <c r="A34111" s="1" t="n">
        <v>34110</v>
      </c>
      <c r="B34111">
        <f>TEXT(34110, "[$-0E0000]yyyy-mm-dd")</f>
        <v/>
      </c>
      <c r="C34111" t="inlineStr">
        <is>
          <t>1993-04-02</t>
        </is>
      </c>
    </row>
    <row r="34112">
      <c r="A34112" s="1" t="n">
        <v>34111</v>
      </c>
      <c r="B34112">
        <f>TEXT(34111, "[$-0E0000]yyyy-mm-dd")</f>
        <v/>
      </c>
      <c r="C34112" t="inlineStr">
        <is>
          <t>1993-04-03</t>
        </is>
      </c>
    </row>
    <row r="34113">
      <c r="A34113" s="1" t="n">
        <v>34112</v>
      </c>
      <c r="B34113">
        <f>TEXT(34112, "[$-0E0000]yyyy-mm-dd")</f>
        <v/>
      </c>
      <c r="C34113" t="inlineStr">
        <is>
          <t>1993-04-04</t>
        </is>
      </c>
    </row>
    <row r="34114">
      <c r="A34114" s="1" t="n">
        <v>34113</v>
      </c>
      <c r="B34114">
        <f>TEXT(34113, "[$-0E0000]yyyy-mm-dd")</f>
        <v/>
      </c>
      <c r="C34114" t="inlineStr">
        <is>
          <t>1993-04-05</t>
        </is>
      </c>
    </row>
    <row r="34115">
      <c r="A34115" s="1" t="n">
        <v>34114</v>
      </c>
      <c r="B34115">
        <f>TEXT(34114, "[$-0E0000]yyyy-mm-dd")</f>
        <v/>
      </c>
      <c r="C34115" t="inlineStr">
        <is>
          <t>1993-04-06</t>
        </is>
      </c>
    </row>
    <row r="34116">
      <c r="A34116" s="1" t="n">
        <v>34115</v>
      </c>
      <c r="B34116">
        <f>TEXT(34115, "[$-0E0000]yyyy-mm-dd")</f>
        <v/>
      </c>
      <c r="C34116" t="inlineStr">
        <is>
          <t>1993-04-07</t>
        </is>
      </c>
    </row>
    <row r="34117">
      <c r="A34117" s="1" t="n">
        <v>34116</v>
      </c>
      <c r="B34117">
        <f>TEXT(34116, "[$-0E0000]yyyy-mm-dd")</f>
        <v/>
      </c>
      <c r="C34117" t="inlineStr">
        <is>
          <t>1993-04-08</t>
        </is>
      </c>
    </row>
    <row r="34118">
      <c r="A34118" s="1" t="n">
        <v>34117</v>
      </c>
      <c r="B34118">
        <f>TEXT(34117, "[$-0E0000]yyyy-mm-dd")</f>
        <v/>
      </c>
      <c r="C34118" t="inlineStr">
        <is>
          <t>1993-04-09</t>
        </is>
      </c>
    </row>
    <row r="34119">
      <c r="A34119" s="1" t="n">
        <v>34118</v>
      </c>
      <c r="B34119">
        <f>TEXT(34118, "[$-0E0000]yyyy-mm-dd")</f>
        <v/>
      </c>
      <c r="C34119" t="inlineStr">
        <is>
          <t>1993-04-10</t>
        </is>
      </c>
    </row>
    <row r="34120">
      <c r="A34120" s="1" t="n">
        <v>34119</v>
      </c>
      <c r="B34120">
        <f>TEXT(34119, "[$-0E0000]yyyy-mm-dd")</f>
        <v/>
      </c>
      <c r="C34120" t="inlineStr">
        <is>
          <t>1993-04-11</t>
        </is>
      </c>
    </row>
    <row r="34121">
      <c r="A34121" s="1" t="n">
        <v>34120</v>
      </c>
      <c r="B34121">
        <f>TEXT(34120, "[$-0E0000]yyyy-mm-dd")</f>
        <v/>
      </c>
      <c r="C34121" t="inlineStr">
        <is>
          <t>1993-04-12</t>
        </is>
      </c>
    </row>
    <row r="34122">
      <c r="A34122" s="1" t="n">
        <v>34121</v>
      </c>
      <c r="B34122">
        <f>TEXT(34121, "[$-0E0000]yyyy-mm-dd")</f>
        <v/>
      </c>
      <c r="C34122" t="inlineStr">
        <is>
          <t>1993-04-13</t>
        </is>
      </c>
    </row>
    <row r="34123">
      <c r="A34123" s="1" t="n">
        <v>34122</v>
      </c>
      <c r="B34123">
        <f>TEXT(34122, "[$-0E0000]yyyy-mm-dd")</f>
        <v/>
      </c>
      <c r="C34123" t="inlineStr">
        <is>
          <t>1993-04-14</t>
        </is>
      </c>
    </row>
    <row r="34124">
      <c r="A34124" s="1" t="n">
        <v>34123</v>
      </c>
      <c r="B34124">
        <f>TEXT(34123, "[$-0E0000]yyyy-mm-dd")</f>
        <v/>
      </c>
      <c r="C34124" t="inlineStr">
        <is>
          <t>1993-04-15</t>
        </is>
      </c>
    </row>
    <row r="34125">
      <c r="A34125" s="1" t="n">
        <v>34124</v>
      </c>
      <c r="B34125">
        <f>TEXT(34124, "[$-0E0000]yyyy-mm-dd")</f>
        <v/>
      </c>
      <c r="C34125" t="inlineStr">
        <is>
          <t>1993-04-16</t>
        </is>
      </c>
    </row>
    <row r="34126">
      <c r="A34126" s="1" t="n">
        <v>34125</v>
      </c>
      <c r="B34126">
        <f>TEXT(34125, "[$-0E0000]yyyy-mm-dd")</f>
        <v/>
      </c>
      <c r="C34126" t="inlineStr">
        <is>
          <t>1993-04-17</t>
        </is>
      </c>
    </row>
    <row r="34127">
      <c r="A34127" s="1" t="n">
        <v>34126</v>
      </c>
      <c r="B34127">
        <f>TEXT(34126, "[$-0E0000]yyyy-mm-dd")</f>
        <v/>
      </c>
      <c r="C34127" t="inlineStr">
        <is>
          <t>1993-04-18</t>
        </is>
      </c>
    </row>
    <row r="34128">
      <c r="A34128" s="1" t="n">
        <v>34127</v>
      </c>
      <c r="B34128">
        <f>TEXT(34127, "[$-0E0000]yyyy-mm-dd")</f>
        <v/>
      </c>
      <c r="C34128" t="inlineStr">
        <is>
          <t>1993-04-19</t>
        </is>
      </c>
    </row>
    <row r="34129">
      <c r="A34129" s="1" t="n">
        <v>34128</v>
      </c>
      <c r="B34129">
        <f>TEXT(34128, "[$-0E0000]yyyy-mm-dd")</f>
        <v/>
      </c>
      <c r="C34129" t="inlineStr">
        <is>
          <t>1993-04-20</t>
        </is>
      </c>
    </row>
    <row r="34130">
      <c r="A34130" s="1" t="n">
        <v>34129</v>
      </c>
      <c r="B34130">
        <f>TEXT(34129, "[$-0E0000]yyyy-mm-dd")</f>
        <v/>
      </c>
      <c r="C34130" t="inlineStr">
        <is>
          <t>1993-04-21</t>
        </is>
      </c>
    </row>
    <row r="34131">
      <c r="A34131" s="1" t="n">
        <v>34130</v>
      </c>
      <c r="B34131">
        <f>TEXT(34130, "[$-0E0000]yyyy-mm-dd")</f>
        <v/>
      </c>
      <c r="C34131" t="inlineStr">
        <is>
          <t>1993-04-22</t>
        </is>
      </c>
    </row>
    <row r="34132">
      <c r="A34132" s="1" t="n">
        <v>34131</v>
      </c>
      <c r="B34132">
        <f>TEXT(34131, "[$-0E0000]yyyy-mm-dd")</f>
        <v/>
      </c>
      <c r="C34132" t="inlineStr">
        <is>
          <t>1993-04-23</t>
        </is>
      </c>
    </row>
    <row r="34133">
      <c r="A34133" s="1" t="n">
        <v>34132</v>
      </c>
      <c r="B34133">
        <f>TEXT(34132, "[$-0E0000]yyyy-mm-dd")</f>
        <v/>
      </c>
      <c r="C34133" t="inlineStr">
        <is>
          <t>1993-04-24</t>
        </is>
      </c>
    </row>
    <row r="34134">
      <c r="A34134" s="1" t="n">
        <v>34133</v>
      </c>
      <c r="B34134">
        <f>TEXT(34133, "[$-0E0000]yyyy-mm-dd")</f>
        <v/>
      </c>
      <c r="C34134" t="inlineStr">
        <is>
          <t>1993-04-25</t>
        </is>
      </c>
    </row>
    <row r="34135">
      <c r="A34135" s="1" t="n">
        <v>34134</v>
      </c>
      <c r="B34135">
        <f>TEXT(34134, "[$-0E0000]yyyy-mm-dd")</f>
        <v/>
      </c>
      <c r="C34135" t="inlineStr">
        <is>
          <t>1993-04-26</t>
        </is>
      </c>
    </row>
    <row r="34136">
      <c r="A34136" s="1" t="n">
        <v>34135</v>
      </c>
      <c r="B34136">
        <f>TEXT(34135, "[$-0E0000]yyyy-mm-dd")</f>
        <v/>
      </c>
      <c r="C34136" t="inlineStr">
        <is>
          <t>1993-04-27</t>
        </is>
      </c>
    </row>
    <row r="34137">
      <c r="A34137" s="1" t="n">
        <v>34136</v>
      </c>
      <c r="B34137">
        <f>TEXT(34136, "[$-0E0000]yyyy-mm-dd")</f>
        <v/>
      </c>
      <c r="C34137" t="inlineStr">
        <is>
          <t>1993-04-28</t>
        </is>
      </c>
    </row>
    <row r="34138">
      <c r="A34138" s="1" t="n">
        <v>34137</v>
      </c>
      <c r="B34138">
        <f>TEXT(34137, "[$-0E0000]yyyy-mm-dd")</f>
        <v/>
      </c>
      <c r="C34138" t="inlineStr">
        <is>
          <t>1993-04-29</t>
        </is>
      </c>
    </row>
    <row r="34139">
      <c r="A34139" s="1" t="n">
        <v>34138</v>
      </c>
      <c r="B34139">
        <f>TEXT(34138, "[$-0E0000]yyyy-mm-dd")</f>
        <v/>
      </c>
      <c r="C34139" t="inlineStr">
        <is>
          <t>1993-04-30</t>
        </is>
      </c>
    </row>
    <row r="34140">
      <c r="A34140" s="1" t="n">
        <v>34139</v>
      </c>
      <c r="B34140">
        <f>TEXT(34139, "[$-0E0000]yyyy-mm-dd")</f>
        <v/>
      </c>
      <c r="C34140" t="inlineStr">
        <is>
          <t>1993-05-01</t>
        </is>
      </c>
    </row>
    <row r="34141">
      <c r="A34141" s="1" t="n">
        <v>34140</v>
      </c>
      <c r="B34141">
        <f>TEXT(34140, "[$-0E0000]yyyy-mm-dd")</f>
        <v/>
      </c>
      <c r="C34141" t="inlineStr">
        <is>
          <t>1993-05-02</t>
        </is>
      </c>
    </row>
    <row r="34142">
      <c r="A34142" s="1" t="n">
        <v>34141</v>
      </c>
      <c r="B34142">
        <f>TEXT(34141, "[$-0E0000]yyyy-mm-dd")</f>
        <v/>
      </c>
      <c r="C34142" t="inlineStr">
        <is>
          <t>1993-05-03</t>
        </is>
      </c>
    </row>
    <row r="34143">
      <c r="A34143" s="1" t="n">
        <v>34142</v>
      </c>
      <c r="B34143">
        <f>TEXT(34142, "[$-0E0000]yyyy-mm-dd")</f>
        <v/>
      </c>
      <c r="C34143" t="inlineStr">
        <is>
          <t>1993-05-04</t>
        </is>
      </c>
    </row>
    <row r="34144">
      <c r="A34144" s="1" t="n">
        <v>34143</v>
      </c>
      <c r="B34144">
        <f>TEXT(34143, "[$-0E0000]yyyy-mm-dd")</f>
        <v/>
      </c>
      <c r="C34144" t="inlineStr">
        <is>
          <t>1993-05-05</t>
        </is>
      </c>
    </row>
    <row r="34145">
      <c r="A34145" s="1" t="n">
        <v>34144</v>
      </c>
      <c r="B34145">
        <f>TEXT(34144, "[$-0E0000]yyyy-mm-dd")</f>
        <v/>
      </c>
      <c r="C34145" t="inlineStr">
        <is>
          <t>1993-05-06</t>
        </is>
      </c>
    </row>
    <row r="34146">
      <c r="A34146" s="1" t="n">
        <v>34145</v>
      </c>
      <c r="B34146">
        <f>TEXT(34145, "[$-0E0000]yyyy-mm-dd")</f>
        <v/>
      </c>
      <c r="C34146" t="inlineStr">
        <is>
          <t>1993-05-07</t>
        </is>
      </c>
    </row>
    <row r="34147">
      <c r="A34147" s="1" t="n">
        <v>34146</v>
      </c>
      <c r="B34147">
        <f>TEXT(34146, "[$-0E0000]yyyy-mm-dd")</f>
        <v/>
      </c>
      <c r="C34147" t="inlineStr">
        <is>
          <t>1993-05-08</t>
        </is>
      </c>
    </row>
    <row r="34148">
      <c r="A34148" s="1" t="n">
        <v>34147</v>
      </c>
      <c r="B34148">
        <f>TEXT(34147, "[$-0E0000]yyyy-mm-dd")</f>
        <v/>
      </c>
      <c r="C34148" t="inlineStr">
        <is>
          <t>1993-05-09</t>
        </is>
      </c>
    </row>
    <row r="34149">
      <c r="A34149" s="1" t="n">
        <v>34148</v>
      </c>
      <c r="B34149">
        <f>TEXT(34148, "[$-0E0000]yyyy-mm-dd")</f>
        <v/>
      </c>
      <c r="C34149" t="inlineStr">
        <is>
          <t>1993-05-10</t>
        </is>
      </c>
    </row>
    <row r="34150">
      <c r="A34150" s="1" t="n">
        <v>34149</v>
      </c>
      <c r="B34150">
        <f>TEXT(34149, "[$-0E0000]yyyy-mm-dd")</f>
        <v/>
      </c>
      <c r="C34150" t="inlineStr">
        <is>
          <t>1993-05-11</t>
        </is>
      </c>
    </row>
    <row r="34151">
      <c r="A34151" s="1" t="n">
        <v>34150</v>
      </c>
      <c r="B34151">
        <f>TEXT(34150, "[$-0E0000]yyyy-mm-dd")</f>
        <v/>
      </c>
      <c r="C34151" t="inlineStr">
        <is>
          <t>1993-05-12</t>
        </is>
      </c>
    </row>
    <row r="34152">
      <c r="A34152" s="1" t="n">
        <v>34151</v>
      </c>
      <c r="B34152">
        <f>TEXT(34151, "[$-0E0000]yyyy-mm-dd")</f>
        <v/>
      </c>
      <c r="C34152" t="inlineStr">
        <is>
          <t>1993-05-13</t>
        </is>
      </c>
    </row>
    <row r="34153">
      <c r="A34153" s="1" t="n">
        <v>34152</v>
      </c>
      <c r="B34153">
        <f>TEXT(34152, "[$-0E0000]yyyy-mm-dd")</f>
        <v/>
      </c>
      <c r="C34153" t="inlineStr">
        <is>
          <t>1993-05-14</t>
        </is>
      </c>
    </row>
    <row r="34154">
      <c r="A34154" s="1" t="n">
        <v>34153</v>
      </c>
      <c r="B34154">
        <f>TEXT(34153, "[$-0E0000]yyyy-mm-dd")</f>
        <v/>
      </c>
      <c r="C34154" t="inlineStr">
        <is>
          <t>1993-05-15</t>
        </is>
      </c>
    </row>
    <row r="34155">
      <c r="A34155" s="1" t="n">
        <v>34154</v>
      </c>
      <c r="B34155">
        <f>TEXT(34154, "[$-0E0000]yyyy-mm-dd")</f>
        <v/>
      </c>
      <c r="C34155" t="inlineStr">
        <is>
          <t>1993-05-16</t>
        </is>
      </c>
    </row>
    <row r="34156">
      <c r="A34156" s="1" t="n">
        <v>34155</v>
      </c>
      <c r="B34156">
        <f>TEXT(34155, "[$-0E0000]yyyy-mm-dd")</f>
        <v/>
      </c>
      <c r="C34156" t="inlineStr">
        <is>
          <t>1993-05-17</t>
        </is>
      </c>
    </row>
    <row r="34157">
      <c r="A34157" s="1" t="n">
        <v>34156</v>
      </c>
      <c r="B34157">
        <f>TEXT(34156, "[$-0E0000]yyyy-mm-dd")</f>
        <v/>
      </c>
      <c r="C34157" t="inlineStr">
        <is>
          <t>1993-05-18</t>
        </is>
      </c>
    </row>
    <row r="34158">
      <c r="A34158" s="1" t="n">
        <v>34157</v>
      </c>
      <c r="B34158">
        <f>TEXT(34157, "[$-0E0000]yyyy-mm-dd")</f>
        <v/>
      </c>
      <c r="C34158" t="inlineStr">
        <is>
          <t>1993-05-19</t>
        </is>
      </c>
    </row>
    <row r="34159">
      <c r="A34159" s="1" t="n">
        <v>34158</v>
      </c>
      <c r="B34159">
        <f>TEXT(34158, "[$-0E0000]yyyy-mm-dd")</f>
        <v/>
      </c>
      <c r="C34159" t="inlineStr">
        <is>
          <t>1993-05-20</t>
        </is>
      </c>
    </row>
    <row r="34160">
      <c r="A34160" s="1" t="n">
        <v>34159</v>
      </c>
      <c r="B34160">
        <f>TEXT(34159, "[$-0E0000]yyyy-mm-dd")</f>
        <v/>
      </c>
      <c r="C34160" t="inlineStr">
        <is>
          <t>1993-05-21</t>
        </is>
      </c>
    </row>
    <row r="34161">
      <c r="A34161" s="1" t="n">
        <v>34160</v>
      </c>
      <c r="B34161">
        <f>TEXT(34160, "[$-0E0000]yyyy-mm-dd")</f>
        <v/>
      </c>
      <c r="C34161" t="inlineStr">
        <is>
          <t>1993-05-22</t>
        </is>
      </c>
    </row>
    <row r="34162">
      <c r="A34162" s="1" t="n">
        <v>34161</v>
      </c>
      <c r="B34162">
        <f>TEXT(34161, "[$-0E0000]yyyy-mm-dd")</f>
        <v/>
      </c>
      <c r="C34162" t="inlineStr">
        <is>
          <t>1993-05-23</t>
        </is>
      </c>
    </row>
    <row r="34163">
      <c r="A34163" s="1" t="n">
        <v>34162</v>
      </c>
      <c r="B34163">
        <f>TEXT(34162, "[$-0E0000]yyyy-mm-dd")</f>
        <v/>
      </c>
      <c r="C34163" t="inlineStr">
        <is>
          <t>1993-05-24</t>
        </is>
      </c>
    </row>
    <row r="34164">
      <c r="A34164" s="1" t="n">
        <v>34163</v>
      </c>
      <c r="B34164">
        <f>TEXT(34163, "[$-0E0000]yyyy-mm-dd")</f>
        <v/>
      </c>
      <c r="C34164" t="inlineStr">
        <is>
          <t>1993-05-25</t>
        </is>
      </c>
    </row>
    <row r="34165">
      <c r="A34165" s="1" t="n">
        <v>34164</v>
      </c>
      <c r="B34165">
        <f>TEXT(34164, "[$-0E0000]yyyy-mm-dd")</f>
        <v/>
      </c>
      <c r="C34165" t="inlineStr">
        <is>
          <t>1993-05-26</t>
        </is>
      </c>
    </row>
    <row r="34166">
      <c r="A34166" s="1" t="n">
        <v>34165</v>
      </c>
      <c r="B34166">
        <f>TEXT(34165, "[$-0E0000]yyyy-mm-dd")</f>
        <v/>
      </c>
      <c r="C34166" t="inlineStr">
        <is>
          <t>1993-05-27</t>
        </is>
      </c>
    </row>
    <row r="34167">
      <c r="A34167" s="1" t="n">
        <v>34166</v>
      </c>
      <c r="B34167">
        <f>TEXT(34166, "[$-0E0000]yyyy-mm-dd")</f>
        <v/>
      </c>
      <c r="C34167" t="inlineStr">
        <is>
          <t>1993-05-28</t>
        </is>
      </c>
    </row>
    <row r="34168">
      <c r="A34168" s="1" t="n">
        <v>34167</v>
      </c>
      <c r="B34168">
        <f>TEXT(34167, "[$-0E0000]yyyy-mm-dd")</f>
        <v/>
      </c>
      <c r="C34168" t="inlineStr">
        <is>
          <t>1993-05-29</t>
        </is>
      </c>
    </row>
    <row r="34169">
      <c r="A34169" s="1" t="n">
        <v>34168</v>
      </c>
      <c r="B34169">
        <f>TEXT(34168, "[$-0E0000]yyyy-mm-dd")</f>
        <v/>
      </c>
      <c r="C34169" t="inlineStr">
        <is>
          <t>1993-06-01</t>
        </is>
      </c>
    </row>
    <row r="34170">
      <c r="A34170" s="1" t="n">
        <v>34169</v>
      </c>
      <c r="B34170">
        <f>TEXT(34169, "[$-0E0000]yyyy-mm-dd")</f>
        <v/>
      </c>
      <c r="C34170" t="inlineStr">
        <is>
          <t>1993-06-02</t>
        </is>
      </c>
    </row>
    <row r="34171">
      <c r="A34171" s="1" t="n">
        <v>34170</v>
      </c>
      <c r="B34171">
        <f>TEXT(34170, "[$-0E0000]yyyy-mm-dd")</f>
        <v/>
      </c>
      <c r="C34171" t="inlineStr">
        <is>
          <t>1993-06-03</t>
        </is>
      </c>
    </row>
    <row r="34172">
      <c r="A34172" s="1" t="n">
        <v>34171</v>
      </c>
      <c r="B34172">
        <f>TEXT(34171, "[$-0E0000]yyyy-mm-dd")</f>
        <v/>
      </c>
      <c r="C34172" t="inlineStr">
        <is>
          <t>1993-06-04</t>
        </is>
      </c>
    </row>
    <row r="34173">
      <c r="A34173" s="1" t="n">
        <v>34172</v>
      </c>
      <c r="B34173">
        <f>TEXT(34172, "[$-0E0000]yyyy-mm-dd")</f>
        <v/>
      </c>
      <c r="C34173" t="inlineStr">
        <is>
          <t>1993-06-05</t>
        </is>
      </c>
    </row>
    <row r="34174">
      <c r="A34174" s="1" t="n">
        <v>34173</v>
      </c>
      <c r="B34174">
        <f>TEXT(34173, "[$-0E0000]yyyy-mm-dd")</f>
        <v/>
      </c>
      <c r="C34174" t="inlineStr">
        <is>
          <t>1993-06-06</t>
        </is>
      </c>
    </row>
    <row r="34175">
      <c r="A34175" s="1" t="n">
        <v>34174</v>
      </c>
      <c r="B34175">
        <f>TEXT(34174, "[$-0E0000]yyyy-mm-dd")</f>
        <v/>
      </c>
      <c r="C34175" t="inlineStr">
        <is>
          <t>1993-06-07</t>
        </is>
      </c>
    </row>
    <row r="34176">
      <c r="A34176" s="1" t="n">
        <v>34175</v>
      </c>
      <c r="B34176">
        <f>TEXT(34175, "[$-0E0000]yyyy-mm-dd")</f>
        <v/>
      </c>
      <c r="C34176" t="inlineStr">
        <is>
          <t>1993-06-08</t>
        </is>
      </c>
    </row>
    <row r="34177">
      <c r="A34177" s="1" t="n">
        <v>34176</v>
      </c>
      <c r="B34177">
        <f>TEXT(34176, "[$-0E0000]yyyy-mm-dd")</f>
        <v/>
      </c>
      <c r="C34177" t="inlineStr">
        <is>
          <t>1993-06-09</t>
        </is>
      </c>
    </row>
    <row r="34178">
      <c r="A34178" s="1" t="n">
        <v>34177</v>
      </c>
      <c r="B34178">
        <f>TEXT(34177, "[$-0E0000]yyyy-mm-dd")</f>
        <v/>
      </c>
      <c r="C34178" t="inlineStr">
        <is>
          <t>1993-06-10</t>
        </is>
      </c>
    </row>
    <row r="34179">
      <c r="A34179" s="1" t="n">
        <v>34178</v>
      </c>
      <c r="B34179">
        <f>TEXT(34178, "[$-0E0000]yyyy-mm-dd")</f>
        <v/>
      </c>
      <c r="C34179" t="inlineStr">
        <is>
          <t>1993-06-11</t>
        </is>
      </c>
    </row>
    <row r="34180">
      <c r="A34180" s="1" t="n">
        <v>34179</v>
      </c>
      <c r="B34180">
        <f>TEXT(34179, "[$-0E0000]yyyy-mm-dd")</f>
        <v/>
      </c>
      <c r="C34180" t="inlineStr">
        <is>
          <t>1993-06-12</t>
        </is>
      </c>
    </row>
    <row r="34181">
      <c r="A34181" s="1" t="n">
        <v>34180</v>
      </c>
      <c r="B34181">
        <f>TEXT(34180, "[$-0E0000]yyyy-mm-dd")</f>
        <v/>
      </c>
      <c r="C34181" t="inlineStr">
        <is>
          <t>1993-06-13</t>
        </is>
      </c>
    </row>
    <row r="34182">
      <c r="A34182" s="1" t="n">
        <v>34181</v>
      </c>
      <c r="B34182">
        <f>TEXT(34181, "[$-0E0000]yyyy-mm-dd")</f>
        <v/>
      </c>
      <c r="C34182" t="inlineStr">
        <is>
          <t>1993-06-14</t>
        </is>
      </c>
    </row>
    <row r="34183">
      <c r="A34183" s="1" t="n">
        <v>34182</v>
      </c>
      <c r="B34183">
        <f>TEXT(34182, "[$-0E0000]yyyy-mm-dd")</f>
        <v/>
      </c>
      <c r="C34183" t="inlineStr">
        <is>
          <t>1993-06-15</t>
        </is>
      </c>
    </row>
    <row r="34184">
      <c r="A34184" s="1" t="n">
        <v>34183</v>
      </c>
      <c r="B34184">
        <f>TEXT(34183, "[$-0E0000]yyyy-mm-dd")</f>
        <v/>
      </c>
      <c r="C34184" t="inlineStr">
        <is>
          <t>1993-06-16</t>
        </is>
      </c>
    </row>
    <row r="34185">
      <c r="A34185" s="1" t="n">
        <v>34184</v>
      </c>
      <c r="B34185">
        <f>TEXT(34184, "[$-0E0000]yyyy-mm-dd")</f>
        <v/>
      </c>
      <c r="C34185" t="inlineStr">
        <is>
          <t>1993-06-17</t>
        </is>
      </c>
    </row>
    <row r="34186">
      <c r="A34186" s="1" t="n">
        <v>34185</v>
      </c>
      <c r="B34186">
        <f>TEXT(34185, "[$-0E0000]yyyy-mm-dd")</f>
        <v/>
      </c>
      <c r="C34186" t="inlineStr">
        <is>
          <t>1993-06-18</t>
        </is>
      </c>
    </row>
    <row r="34187">
      <c r="A34187" s="1" t="n">
        <v>34186</v>
      </c>
      <c r="B34187">
        <f>TEXT(34186, "[$-0E0000]yyyy-mm-dd")</f>
        <v/>
      </c>
      <c r="C34187" t="inlineStr">
        <is>
          <t>1993-06-19</t>
        </is>
      </c>
    </row>
    <row r="34188">
      <c r="A34188" s="1" t="n">
        <v>34187</v>
      </c>
      <c r="B34188">
        <f>TEXT(34187, "[$-0E0000]yyyy-mm-dd")</f>
        <v/>
      </c>
      <c r="C34188" t="inlineStr">
        <is>
          <t>1993-06-20</t>
        </is>
      </c>
    </row>
    <row r="34189">
      <c r="A34189" s="1" t="n">
        <v>34188</v>
      </c>
      <c r="B34189">
        <f>TEXT(34188, "[$-0E0000]yyyy-mm-dd")</f>
        <v/>
      </c>
      <c r="C34189" t="inlineStr">
        <is>
          <t>1993-06-21</t>
        </is>
      </c>
    </row>
    <row r="34190">
      <c r="A34190" s="1" t="n">
        <v>34189</v>
      </c>
      <c r="B34190">
        <f>TEXT(34189, "[$-0E0000]yyyy-mm-dd")</f>
        <v/>
      </c>
      <c r="C34190" t="inlineStr">
        <is>
          <t>1993-06-22</t>
        </is>
      </c>
    </row>
    <row r="34191">
      <c r="A34191" s="1" t="n">
        <v>34190</v>
      </c>
      <c r="B34191">
        <f>TEXT(34190, "[$-0E0000]yyyy-mm-dd")</f>
        <v/>
      </c>
      <c r="C34191" t="inlineStr">
        <is>
          <t>1993-06-23</t>
        </is>
      </c>
    </row>
    <row r="34192">
      <c r="A34192" s="1" t="n">
        <v>34191</v>
      </c>
      <c r="B34192">
        <f>TEXT(34191, "[$-0E0000]yyyy-mm-dd")</f>
        <v/>
      </c>
      <c r="C34192" t="inlineStr">
        <is>
          <t>1993-06-24</t>
        </is>
      </c>
    </row>
    <row r="34193">
      <c r="A34193" s="1" t="n">
        <v>34192</v>
      </c>
      <c r="B34193">
        <f>TEXT(34192, "[$-0E0000]yyyy-mm-dd")</f>
        <v/>
      </c>
      <c r="C34193" t="inlineStr">
        <is>
          <t>1993-06-25</t>
        </is>
      </c>
    </row>
    <row r="34194">
      <c r="A34194" s="1" t="n">
        <v>34193</v>
      </c>
      <c r="B34194">
        <f>TEXT(34193, "[$-0E0000]yyyy-mm-dd")</f>
        <v/>
      </c>
      <c r="C34194" t="inlineStr">
        <is>
          <t>1993-06-26</t>
        </is>
      </c>
    </row>
    <row r="34195">
      <c r="A34195" s="1" t="n">
        <v>34194</v>
      </c>
      <c r="B34195">
        <f>TEXT(34194, "[$-0E0000]yyyy-mm-dd")</f>
        <v/>
      </c>
      <c r="C34195" t="inlineStr">
        <is>
          <t>1993-06-27</t>
        </is>
      </c>
    </row>
    <row r="34196">
      <c r="A34196" s="1" t="n">
        <v>34195</v>
      </c>
      <c r="B34196">
        <f>TEXT(34195, "[$-0E0000]yyyy-mm-dd")</f>
        <v/>
      </c>
      <c r="C34196" t="inlineStr">
        <is>
          <t>1993-06-28</t>
        </is>
      </c>
    </row>
    <row r="34197">
      <c r="A34197" s="1" t="n">
        <v>34196</v>
      </c>
      <c r="B34197">
        <f>TEXT(34196, "[$-0E0000]yyyy-mm-dd")</f>
        <v/>
      </c>
      <c r="C34197" t="inlineStr">
        <is>
          <t>1993-06-29</t>
        </is>
      </c>
    </row>
    <row r="34198">
      <c r="A34198" s="1" t="n">
        <v>34197</v>
      </c>
      <c r="B34198">
        <f>TEXT(34197, "[$-0E0000]yyyy-mm-dd")</f>
        <v/>
      </c>
      <c r="C34198" t="inlineStr">
        <is>
          <t>1993-06-30</t>
        </is>
      </c>
    </row>
    <row r="34199">
      <c r="A34199" s="1" t="n">
        <v>34198</v>
      </c>
      <c r="B34199">
        <f>TEXT(34198, "[$-0E0000]yyyy-mm-dd")</f>
        <v/>
      </c>
      <c r="C34199" t="inlineStr">
        <is>
          <t>1993-07-01</t>
        </is>
      </c>
    </row>
    <row r="34200">
      <c r="A34200" s="1" t="n">
        <v>34199</v>
      </c>
      <c r="B34200">
        <f>TEXT(34199, "[$-0E0000]yyyy-mm-dd")</f>
        <v/>
      </c>
      <c r="C34200" t="inlineStr">
        <is>
          <t>1993-07-02</t>
        </is>
      </c>
    </row>
    <row r="34201">
      <c r="A34201" s="1" t="n">
        <v>34200</v>
      </c>
      <c r="B34201">
        <f>TEXT(34200, "[$-0E0000]yyyy-mm-dd")</f>
        <v/>
      </c>
      <c r="C34201" t="inlineStr">
        <is>
          <t>1993-07-03</t>
        </is>
      </c>
    </row>
    <row r="34202">
      <c r="A34202" s="1" t="n">
        <v>34201</v>
      </c>
      <c r="B34202">
        <f>TEXT(34201, "[$-0E0000]yyyy-mm-dd")</f>
        <v/>
      </c>
      <c r="C34202" t="inlineStr">
        <is>
          <t>1993-07-04</t>
        </is>
      </c>
    </row>
    <row r="34203">
      <c r="A34203" s="1" t="n">
        <v>34202</v>
      </c>
      <c r="B34203">
        <f>TEXT(34202, "[$-0E0000]yyyy-mm-dd")</f>
        <v/>
      </c>
      <c r="C34203" t="inlineStr">
        <is>
          <t>1993-07-05</t>
        </is>
      </c>
    </row>
    <row r="34204">
      <c r="A34204" s="1" t="n">
        <v>34203</v>
      </c>
      <c r="B34204">
        <f>TEXT(34203, "[$-0E0000]yyyy-mm-dd")</f>
        <v/>
      </c>
      <c r="C34204" t="inlineStr">
        <is>
          <t>1993-07-06</t>
        </is>
      </c>
    </row>
    <row r="34205">
      <c r="A34205" s="1" t="n">
        <v>34204</v>
      </c>
      <c r="B34205">
        <f>TEXT(34204, "[$-0E0000]yyyy-mm-dd")</f>
        <v/>
      </c>
      <c r="C34205" t="inlineStr">
        <is>
          <t>1993-07-07</t>
        </is>
      </c>
    </row>
    <row r="34206">
      <c r="A34206" s="1" t="n">
        <v>34205</v>
      </c>
      <c r="B34206">
        <f>TEXT(34205, "[$-0E0000]yyyy-mm-dd")</f>
        <v/>
      </c>
      <c r="C34206" t="inlineStr">
        <is>
          <t>1993-07-08</t>
        </is>
      </c>
    </row>
    <row r="34207">
      <c r="A34207" s="1" t="n">
        <v>34206</v>
      </c>
      <c r="B34207">
        <f>TEXT(34206, "[$-0E0000]yyyy-mm-dd")</f>
        <v/>
      </c>
      <c r="C34207" t="inlineStr">
        <is>
          <t>1993-07-09</t>
        </is>
      </c>
    </row>
    <row r="34208">
      <c r="A34208" s="1" t="n">
        <v>34207</v>
      </c>
      <c r="B34208">
        <f>TEXT(34207, "[$-0E0000]yyyy-mm-dd")</f>
        <v/>
      </c>
      <c r="C34208" t="inlineStr">
        <is>
          <t>1993-07-10</t>
        </is>
      </c>
    </row>
    <row r="34209">
      <c r="A34209" s="1" t="n">
        <v>34208</v>
      </c>
      <c r="B34209">
        <f>TEXT(34208, "[$-0E0000]yyyy-mm-dd")</f>
        <v/>
      </c>
      <c r="C34209" t="inlineStr">
        <is>
          <t>1993-07-11</t>
        </is>
      </c>
    </row>
    <row r="34210">
      <c r="A34210" s="1" t="n">
        <v>34209</v>
      </c>
      <c r="B34210">
        <f>TEXT(34209, "[$-0E0000]yyyy-mm-dd")</f>
        <v/>
      </c>
      <c r="C34210" t="inlineStr">
        <is>
          <t>1993-07-12</t>
        </is>
      </c>
    </row>
    <row r="34211">
      <c r="A34211" s="1" t="n">
        <v>34210</v>
      </c>
      <c r="B34211">
        <f>TEXT(34210, "[$-0E0000]yyyy-mm-dd")</f>
        <v/>
      </c>
      <c r="C34211" t="inlineStr">
        <is>
          <t>1993-07-13</t>
        </is>
      </c>
    </row>
    <row r="34212">
      <c r="A34212" s="1" t="n">
        <v>34211</v>
      </c>
      <c r="B34212">
        <f>TEXT(34211, "[$-0E0000]yyyy-mm-dd")</f>
        <v/>
      </c>
      <c r="C34212" t="inlineStr">
        <is>
          <t>1993-07-14</t>
        </is>
      </c>
    </row>
    <row r="34213">
      <c r="A34213" s="1" t="n">
        <v>34212</v>
      </c>
      <c r="B34213">
        <f>TEXT(34212, "[$-0E0000]yyyy-mm-dd")</f>
        <v/>
      </c>
      <c r="C34213" t="inlineStr">
        <is>
          <t>1993-07-15</t>
        </is>
      </c>
    </row>
    <row r="34214">
      <c r="A34214" s="1" t="n">
        <v>34213</v>
      </c>
      <c r="B34214">
        <f>TEXT(34213, "[$-0E0000]yyyy-mm-dd")</f>
        <v/>
      </c>
      <c r="C34214" t="inlineStr">
        <is>
          <t>1993-07-16</t>
        </is>
      </c>
    </row>
    <row r="34215">
      <c r="A34215" s="1" t="n">
        <v>34214</v>
      </c>
      <c r="B34215">
        <f>TEXT(34214, "[$-0E0000]yyyy-mm-dd")</f>
        <v/>
      </c>
      <c r="C34215" t="inlineStr">
        <is>
          <t>1993-07-17</t>
        </is>
      </c>
    </row>
    <row r="34216">
      <c r="A34216" s="1" t="n">
        <v>34215</v>
      </c>
      <c r="B34216">
        <f>TEXT(34215, "[$-0E0000]yyyy-mm-dd")</f>
        <v/>
      </c>
      <c r="C34216" t="inlineStr">
        <is>
          <t>1993-07-18</t>
        </is>
      </c>
    </row>
    <row r="34217">
      <c r="A34217" s="1" t="n">
        <v>34216</v>
      </c>
      <c r="B34217">
        <f>TEXT(34216, "[$-0E0000]yyyy-mm-dd")</f>
        <v/>
      </c>
      <c r="C34217" t="inlineStr">
        <is>
          <t>1993-07-19</t>
        </is>
      </c>
    </row>
    <row r="34218">
      <c r="A34218" s="1" t="n">
        <v>34217</v>
      </c>
      <c r="B34218">
        <f>TEXT(34217, "[$-0E0000]yyyy-mm-dd")</f>
        <v/>
      </c>
      <c r="C34218" t="inlineStr">
        <is>
          <t>1993-07-20</t>
        </is>
      </c>
    </row>
    <row r="34219">
      <c r="A34219" s="1" t="n">
        <v>34218</v>
      </c>
      <c r="B34219">
        <f>TEXT(34218, "[$-0E0000]yyyy-mm-dd")</f>
        <v/>
      </c>
      <c r="C34219" t="inlineStr">
        <is>
          <t>1993-07-21</t>
        </is>
      </c>
    </row>
    <row r="34220">
      <c r="A34220" s="1" t="n">
        <v>34219</v>
      </c>
      <c r="B34220">
        <f>TEXT(34219, "[$-0E0000]yyyy-mm-dd")</f>
        <v/>
      </c>
      <c r="C34220" t="inlineStr">
        <is>
          <t>1993-07-22</t>
        </is>
      </c>
    </row>
    <row r="34221">
      <c r="A34221" s="1" t="n">
        <v>34220</v>
      </c>
      <c r="B34221">
        <f>TEXT(34220, "[$-0E0000]yyyy-mm-dd")</f>
        <v/>
      </c>
      <c r="C34221" t="inlineStr">
        <is>
          <t>1993-07-23</t>
        </is>
      </c>
    </row>
    <row r="34222">
      <c r="A34222" s="1" t="n">
        <v>34221</v>
      </c>
      <c r="B34222">
        <f>TEXT(34221, "[$-0E0000]yyyy-mm-dd")</f>
        <v/>
      </c>
      <c r="C34222" t="inlineStr">
        <is>
          <t>1993-07-24</t>
        </is>
      </c>
    </row>
    <row r="34223">
      <c r="A34223" s="1" t="n">
        <v>34222</v>
      </c>
      <c r="B34223">
        <f>TEXT(34222, "[$-0E0000]yyyy-mm-dd")</f>
        <v/>
      </c>
      <c r="C34223" t="inlineStr">
        <is>
          <t>1993-07-25</t>
        </is>
      </c>
    </row>
    <row r="34224">
      <c r="A34224" s="1" t="n">
        <v>34223</v>
      </c>
      <c r="B34224">
        <f>TEXT(34223, "[$-0E0000]yyyy-mm-dd")</f>
        <v/>
      </c>
      <c r="C34224" t="inlineStr">
        <is>
          <t>1993-07-26</t>
        </is>
      </c>
    </row>
    <row r="34225">
      <c r="A34225" s="1" t="n">
        <v>34224</v>
      </c>
      <c r="B34225">
        <f>TEXT(34224, "[$-0E0000]yyyy-mm-dd")</f>
        <v/>
      </c>
      <c r="C34225" t="inlineStr">
        <is>
          <t>1993-07-27</t>
        </is>
      </c>
    </row>
    <row r="34226">
      <c r="A34226" s="1" t="n">
        <v>34225</v>
      </c>
      <c r="B34226">
        <f>TEXT(34225, "[$-0E0000]yyyy-mm-dd")</f>
        <v/>
      </c>
      <c r="C34226" t="inlineStr">
        <is>
          <t>1993-07-28</t>
        </is>
      </c>
    </row>
    <row r="34227">
      <c r="A34227" s="1" t="n">
        <v>34226</v>
      </c>
      <c r="B34227">
        <f>TEXT(34226, "[$-0E0000]yyyy-mm-dd")</f>
        <v/>
      </c>
      <c r="C34227" t="inlineStr">
        <is>
          <t>1993-07-29</t>
        </is>
      </c>
    </row>
    <row r="34228">
      <c r="A34228" s="1" t="n">
        <v>34227</v>
      </c>
      <c r="B34228">
        <f>TEXT(34227, "[$-0E0000]yyyy-mm-dd")</f>
        <v/>
      </c>
      <c r="C34228" t="inlineStr">
        <is>
          <t>1993-08-01</t>
        </is>
      </c>
    </row>
    <row r="34229">
      <c r="A34229" s="1" t="n">
        <v>34228</v>
      </c>
      <c r="B34229">
        <f>TEXT(34228, "[$-0E0000]yyyy-mm-dd")</f>
        <v/>
      </c>
      <c r="C34229" t="inlineStr">
        <is>
          <t>1993-08-02</t>
        </is>
      </c>
    </row>
    <row r="34230">
      <c r="A34230" s="1" t="n">
        <v>34229</v>
      </c>
      <c r="B34230">
        <f>TEXT(34229, "[$-0E0000]yyyy-mm-dd")</f>
        <v/>
      </c>
      <c r="C34230" t="inlineStr">
        <is>
          <t>1993-08-03</t>
        </is>
      </c>
    </row>
    <row r="34231">
      <c r="A34231" s="1" t="n">
        <v>34230</v>
      </c>
      <c r="B34231">
        <f>TEXT(34230, "[$-0E0000]yyyy-mm-dd")</f>
        <v/>
      </c>
      <c r="C34231" t="inlineStr">
        <is>
          <t>1993-08-04</t>
        </is>
      </c>
    </row>
    <row r="34232">
      <c r="A34232" s="1" t="n">
        <v>34231</v>
      </c>
      <c r="B34232">
        <f>TEXT(34231, "[$-0E0000]yyyy-mm-dd")</f>
        <v/>
      </c>
      <c r="C34232" t="inlineStr">
        <is>
          <t>1993-08-05</t>
        </is>
      </c>
    </row>
    <row r="34233">
      <c r="A34233" s="1" t="n">
        <v>34232</v>
      </c>
      <c r="B34233">
        <f>TEXT(34232, "[$-0E0000]yyyy-mm-dd")</f>
        <v/>
      </c>
      <c r="C34233" t="inlineStr">
        <is>
          <t>1993-08-06</t>
        </is>
      </c>
    </row>
    <row r="34234">
      <c r="A34234" s="1" t="n">
        <v>34233</v>
      </c>
      <c r="B34234">
        <f>TEXT(34233, "[$-0E0000]yyyy-mm-dd")</f>
        <v/>
      </c>
      <c r="C34234" t="inlineStr">
        <is>
          <t>1993-08-07</t>
        </is>
      </c>
    </row>
    <row r="34235">
      <c r="A34235" s="1" t="n">
        <v>34234</v>
      </c>
      <c r="B34235">
        <f>TEXT(34234, "[$-0E0000]yyyy-mm-dd")</f>
        <v/>
      </c>
      <c r="C34235" t="inlineStr">
        <is>
          <t>1993-08-08</t>
        </is>
      </c>
    </row>
    <row r="34236">
      <c r="A34236" s="1" t="n">
        <v>34235</v>
      </c>
      <c r="B34236">
        <f>TEXT(34235, "[$-0E0000]yyyy-mm-dd")</f>
        <v/>
      </c>
      <c r="C34236" t="inlineStr">
        <is>
          <t>1993-08-09</t>
        </is>
      </c>
    </row>
    <row r="34237">
      <c r="A34237" s="1" t="n">
        <v>34236</v>
      </c>
      <c r="B34237">
        <f>TEXT(34236, "[$-0E0000]yyyy-mm-dd")</f>
        <v/>
      </c>
      <c r="C34237" t="inlineStr">
        <is>
          <t>1993-08-10</t>
        </is>
      </c>
    </row>
    <row r="34238">
      <c r="A34238" s="1" t="n">
        <v>34237</v>
      </c>
      <c r="B34238">
        <f>TEXT(34237, "[$-0E0000]yyyy-mm-dd")</f>
        <v/>
      </c>
      <c r="C34238" t="inlineStr">
        <is>
          <t>1993-08-11</t>
        </is>
      </c>
    </row>
    <row r="34239">
      <c r="A34239" s="1" t="n">
        <v>34238</v>
      </c>
      <c r="B34239">
        <f>TEXT(34238, "[$-0E0000]yyyy-mm-dd")</f>
        <v/>
      </c>
      <c r="C34239" t="inlineStr">
        <is>
          <t>1993-08-12</t>
        </is>
      </c>
    </row>
    <row r="34240">
      <c r="A34240" s="1" t="n">
        <v>34239</v>
      </c>
      <c r="B34240">
        <f>TEXT(34239, "[$-0E0000]yyyy-mm-dd")</f>
        <v/>
      </c>
      <c r="C34240" t="inlineStr">
        <is>
          <t>1993-08-13</t>
        </is>
      </c>
    </row>
    <row r="34241">
      <c r="A34241" s="1" t="n">
        <v>34240</v>
      </c>
      <c r="B34241">
        <f>TEXT(34240, "[$-0E0000]yyyy-mm-dd")</f>
        <v/>
      </c>
      <c r="C34241" t="inlineStr">
        <is>
          <t>1993-08-14</t>
        </is>
      </c>
    </row>
    <row r="34242">
      <c r="A34242" s="1" t="n">
        <v>34241</v>
      </c>
      <c r="B34242">
        <f>TEXT(34241, "[$-0E0000]yyyy-mm-dd")</f>
        <v/>
      </c>
      <c r="C34242" t="inlineStr">
        <is>
          <t>1993-08-15</t>
        </is>
      </c>
    </row>
    <row r="34243">
      <c r="A34243" s="1" t="n">
        <v>34242</v>
      </c>
      <c r="B34243">
        <f>TEXT(34242, "[$-0E0000]yyyy-mm-dd")</f>
        <v/>
      </c>
      <c r="C34243" t="inlineStr">
        <is>
          <t>1993-08-16</t>
        </is>
      </c>
    </row>
    <row r="34244">
      <c r="A34244" s="1" t="n">
        <v>34243</v>
      </c>
      <c r="B34244">
        <f>TEXT(34243, "[$-0E0000]yyyy-mm-dd")</f>
        <v/>
      </c>
      <c r="C34244" t="inlineStr">
        <is>
          <t>1993-08-17</t>
        </is>
      </c>
    </row>
    <row r="34245">
      <c r="A34245" s="1" t="n">
        <v>34244</v>
      </c>
      <c r="B34245">
        <f>TEXT(34244, "[$-0E0000]yyyy-mm-dd")</f>
        <v/>
      </c>
      <c r="C34245" t="inlineStr">
        <is>
          <t>1993-08-18</t>
        </is>
      </c>
    </row>
    <row r="34246">
      <c r="A34246" s="1" t="n">
        <v>34245</v>
      </c>
      <c r="B34246">
        <f>TEXT(34245, "[$-0E0000]yyyy-mm-dd")</f>
        <v/>
      </c>
      <c r="C34246" t="inlineStr">
        <is>
          <t>1993-08-19</t>
        </is>
      </c>
    </row>
    <row r="34247">
      <c r="A34247" s="1" t="n">
        <v>34246</v>
      </c>
      <c r="B34247">
        <f>TEXT(34246, "[$-0E0000]yyyy-mm-dd")</f>
        <v/>
      </c>
      <c r="C34247" t="inlineStr">
        <is>
          <t>1993-08-20</t>
        </is>
      </c>
    </row>
    <row r="34248">
      <c r="A34248" s="1" t="n">
        <v>34247</v>
      </c>
      <c r="B34248">
        <f>TEXT(34247, "[$-0E0000]yyyy-mm-dd")</f>
        <v/>
      </c>
      <c r="C34248" t="inlineStr">
        <is>
          <t>1993-08-21</t>
        </is>
      </c>
    </row>
    <row r="34249">
      <c r="A34249" s="1" t="n">
        <v>34248</v>
      </c>
      <c r="B34249">
        <f>TEXT(34248, "[$-0E0000]yyyy-mm-dd")</f>
        <v/>
      </c>
      <c r="C34249" t="inlineStr">
        <is>
          <t>1993-08-22</t>
        </is>
      </c>
    </row>
    <row r="34250">
      <c r="A34250" s="1" t="n">
        <v>34249</v>
      </c>
      <c r="B34250">
        <f>TEXT(34249, "[$-0E0000]yyyy-mm-dd")</f>
        <v/>
      </c>
      <c r="C34250" t="inlineStr">
        <is>
          <t>1993-08-23</t>
        </is>
      </c>
    </row>
    <row r="34251">
      <c r="A34251" s="1" t="n">
        <v>34250</v>
      </c>
      <c r="B34251">
        <f>TEXT(34250, "[$-0E0000]yyyy-mm-dd")</f>
        <v/>
      </c>
      <c r="C34251" t="inlineStr">
        <is>
          <t>1993-08-24</t>
        </is>
      </c>
    </row>
    <row r="34252">
      <c r="A34252" s="1" t="n">
        <v>34251</v>
      </c>
      <c r="B34252">
        <f>TEXT(34251, "[$-0E0000]yyyy-mm-dd")</f>
        <v/>
      </c>
      <c r="C34252" t="inlineStr">
        <is>
          <t>1993-08-25</t>
        </is>
      </c>
    </row>
    <row r="34253">
      <c r="A34253" s="1" t="n">
        <v>34252</v>
      </c>
      <c r="B34253">
        <f>TEXT(34252, "[$-0E0000]yyyy-mm-dd")</f>
        <v/>
      </c>
      <c r="C34253" t="inlineStr">
        <is>
          <t>1993-08-26</t>
        </is>
      </c>
    </row>
    <row r="34254">
      <c r="A34254" s="1" t="n">
        <v>34253</v>
      </c>
      <c r="B34254">
        <f>TEXT(34253, "[$-0E0000]yyyy-mm-dd")</f>
        <v/>
      </c>
      <c r="C34254" t="inlineStr">
        <is>
          <t>1993-08-27</t>
        </is>
      </c>
    </row>
    <row r="34255">
      <c r="A34255" s="1" t="n">
        <v>34254</v>
      </c>
      <c r="B34255">
        <f>TEXT(34254, "[$-0E0000]yyyy-mm-dd")</f>
        <v/>
      </c>
      <c r="C34255" t="inlineStr">
        <is>
          <t>1993-08-28</t>
        </is>
      </c>
    </row>
    <row r="34256">
      <c r="A34256" s="1" t="n">
        <v>34255</v>
      </c>
      <c r="B34256">
        <f>TEXT(34255, "[$-0E0000]yyyy-mm-dd")</f>
        <v/>
      </c>
      <c r="C34256" t="inlineStr">
        <is>
          <t>1993-08-29</t>
        </is>
      </c>
    </row>
    <row r="34257">
      <c r="A34257" s="1" t="n">
        <v>34256</v>
      </c>
      <c r="B34257">
        <f>TEXT(34256, "[$-0E0000]yyyy-mm-dd")</f>
        <v/>
      </c>
      <c r="C34257" t="inlineStr">
        <is>
          <t>1993-09-01</t>
        </is>
      </c>
    </row>
    <row r="34258">
      <c r="A34258" s="1" t="n">
        <v>34257</v>
      </c>
      <c r="B34258">
        <f>TEXT(34257, "[$-0E0000]yyyy-mm-dd")</f>
        <v/>
      </c>
      <c r="C34258" t="inlineStr">
        <is>
          <t>1993-09-02</t>
        </is>
      </c>
    </row>
    <row r="34259">
      <c r="A34259" s="1" t="n">
        <v>34258</v>
      </c>
      <c r="B34259">
        <f>TEXT(34258, "[$-0E0000]yyyy-mm-dd")</f>
        <v/>
      </c>
      <c r="C34259" t="inlineStr">
        <is>
          <t>1993-09-03</t>
        </is>
      </c>
    </row>
    <row r="34260">
      <c r="A34260" s="1" t="n">
        <v>34259</v>
      </c>
      <c r="B34260">
        <f>TEXT(34259, "[$-0E0000]yyyy-mm-dd")</f>
        <v/>
      </c>
      <c r="C34260" t="inlineStr">
        <is>
          <t>1993-09-04</t>
        </is>
      </c>
    </row>
    <row r="34261">
      <c r="A34261" s="1" t="n">
        <v>34260</v>
      </c>
      <c r="B34261">
        <f>TEXT(34260, "[$-0E0000]yyyy-mm-dd")</f>
        <v/>
      </c>
      <c r="C34261" t="inlineStr">
        <is>
          <t>1993-09-05</t>
        </is>
      </c>
    </row>
    <row r="34262">
      <c r="A34262" s="1" t="n">
        <v>34261</v>
      </c>
      <c r="B34262">
        <f>TEXT(34261, "[$-0E0000]yyyy-mm-dd")</f>
        <v/>
      </c>
      <c r="C34262" t="inlineStr">
        <is>
          <t>1993-09-06</t>
        </is>
      </c>
    </row>
    <row r="34263">
      <c r="A34263" s="1" t="n">
        <v>34262</v>
      </c>
      <c r="B34263">
        <f>TEXT(34262, "[$-0E0000]yyyy-mm-dd")</f>
        <v/>
      </c>
      <c r="C34263" t="inlineStr">
        <is>
          <t>1993-09-07</t>
        </is>
      </c>
    </row>
    <row r="34264">
      <c r="A34264" s="1" t="n">
        <v>34263</v>
      </c>
      <c r="B34264">
        <f>TEXT(34263, "[$-0E0000]yyyy-mm-dd")</f>
        <v/>
      </c>
      <c r="C34264" t="inlineStr">
        <is>
          <t>1993-09-08</t>
        </is>
      </c>
    </row>
    <row r="34265">
      <c r="A34265" s="1" t="n">
        <v>34264</v>
      </c>
      <c r="B34265">
        <f>TEXT(34264, "[$-0E0000]yyyy-mm-dd")</f>
        <v/>
      </c>
      <c r="C34265" t="inlineStr">
        <is>
          <t>1993-09-09</t>
        </is>
      </c>
    </row>
    <row r="34266">
      <c r="A34266" s="1" t="n">
        <v>34265</v>
      </c>
      <c r="B34266">
        <f>TEXT(34265, "[$-0E0000]yyyy-mm-dd")</f>
        <v/>
      </c>
      <c r="C34266" t="inlineStr">
        <is>
          <t>1993-09-10</t>
        </is>
      </c>
    </row>
    <row r="34267">
      <c r="A34267" s="1" t="n">
        <v>34266</v>
      </c>
      <c r="B34267">
        <f>TEXT(34266, "[$-0E0000]yyyy-mm-dd")</f>
        <v/>
      </c>
      <c r="C34267" t="inlineStr">
        <is>
          <t>1993-09-11</t>
        </is>
      </c>
    </row>
    <row r="34268">
      <c r="A34268" s="1" t="n">
        <v>34267</v>
      </c>
      <c r="B34268">
        <f>TEXT(34267, "[$-0E0000]yyyy-mm-dd")</f>
        <v/>
      </c>
      <c r="C34268" t="inlineStr">
        <is>
          <t>1993-09-12</t>
        </is>
      </c>
    </row>
    <row r="34269">
      <c r="A34269" s="1" t="n">
        <v>34268</v>
      </c>
      <c r="B34269">
        <f>TEXT(34268, "[$-0E0000]yyyy-mm-dd")</f>
        <v/>
      </c>
      <c r="C34269" t="inlineStr">
        <is>
          <t>1993-09-13</t>
        </is>
      </c>
    </row>
    <row r="34270">
      <c r="A34270" s="1" t="n">
        <v>34269</v>
      </c>
      <c r="B34270">
        <f>TEXT(34269, "[$-0E0000]yyyy-mm-dd")</f>
        <v/>
      </c>
      <c r="C34270" t="inlineStr">
        <is>
          <t>1993-09-14</t>
        </is>
      </c>
    </row>
    <row r="34271">
      <c r="A34271" s="1" t="n">
        <v>34270</v>
      </c>
      <c r="B34271">
        <f>TEXT(34270, "[$-0E0000]yyyy-mm-dd")</f>
        <v/>
      </c>
      <c r="C34271" t="inlineStr">
        <is>
          <t>1993-09-15</t>
        </is>
      </c>
    </row>
    <row r="34272">
      <c r="A34272" s="1" t="n">
        <v>34271</v>
      </c>
      <c r="B34272">
        <f>TEXT(34271, "[$-0E0000]yyyy-mm-dd")</f>
        <v/>
      </c>
      <c r="C34272" t="inlineStr">
        <is>
          <t>1993-09-16</t>
        </is>
      </c>
    </row>
    <row r="34273">
      <c r="A34273" s="1" t="n">
        <v>34272</v>
      </c>
      <c r="B34273">
        <f>TEXT(34272, "[$-0E0000]yyyy-mm-dd")</f>
        <v/>
      </c>
      <c r="C34273" t="inlineStr">
        <is>
          <t>1993-09-17</t>
        </is>
      </c>
    </row>
    <row r="34274">
      <c r="A34274" s="1" t="n">
        <v>34273</v>
      </c>
      <c r="B34274">
        <f>TEXT(34273, "[$-0E0000]yyyy-mm-dd")</f>
        <v/>
      </c>
      <c r="C34274" t="inlineStr">
        <is>
          <t>1993-09-18</t>
        </is>
      </c>
    </row>
    <row r="34275">
      <c r="A34275" s="1" t="n">
        <v>34274</v>
      </c>
      <c r="B34275">
        <f>TEXT(34274, "[$-0E0000]yyyy-mm-dd")</f>
        <v/>
      </c>
      <c r="C34275" t="inlineStr">
        <is>
          <t>1993-09-19</t>
        </is>
      </c>
    </row>
    <row r="34276">
      <c r="A34276" s="1" t="n">
        <v>34275</v>
      </c>
      <c r="B34276">
        <f>TEXT(34275, "[$-0E0000]yyyy-mm-dd")</f>
        <v/>
      </c>
      <c r="C34276" t="inlineStr">
        <is>
          <t>1993-09-20</t>
        </is>
      </c>
    </row>
    <row r="34277">
      <c r="A34277" s="1" t="n">
        <v>34276</v>
      </c>
      <c r="B34277">
        <f>TEXT(34276, "[$-0E0000]yyyy-mm-dd")</f>
        <v/>
      </c>
      <c r="C34277" t="inlineStr">
        <is>
          <t>1993-09-21</t>
        </is>
      </c>
    </row>
    <row r="34278">
      <c r="A34278" s="1" t="n">
        <v>34277</v>
      </c>
      <c r="B34278">
        <f>TEXT(34277, "[$-0E0000]yyyy-mm-dd")</f>
        <v/>
      </c>
      <c r="C34278" t="inlineStr">
        <is>
          <t>1993-09-22</t>
        </is>
      </c>
    </row>
    <row r="34279">
      <c r="A34279" s="1" t="n">
        <v>34278</v>
      </c>
      <c r="B34279">
        <f>TEXT(34278, "[$-0E0000]yyyy-mm-dd")</f>
        <v/>
      </c>
      <c r="C34279" t="inlineStr">
        <is>
          <t>1993-09-23</t>
        </is>
      </c>
    </row>
    <row r="34280">
      <c r="A34280" s="1" t="n">
        <v>34279</v>
      </c>
      <c r="B34280">
        <f>TEXT(34279, "[$-0E0000]yyyy-mm-dd")</f>
        <v/>
      </c>
      <c r="C34280" t="inlineStr">
        <is>
          <t>1993-09-24</t>
        </is>
      </c>
    </row>
    <row r="34281">
      <c r="A34281" s="1" t="n">
        <v>34280</v>
      </c>
      <c r="B34281">
        <f>TEXT(34280, "[$-0E0000]yyyy-mm-dd")</f>
        <v/>
      </c>
      <c r="C34281" t="inlineStr">
        <is>
          <t>1993-09-25</t>
        </is>
      </c>
    </row>
    <row r="34282">
      <c r="A34282" s="1" t="n">
        <v>34281</v>
      </c>
      <c r="B34282">
        <f>TEXT(34281, "[$-0E0000]yyyy-mm-dd")</f>
        <v/>
      </c>
      <c r="C34282" t="inlineStr">
        <is>
          <t>1993-09-26</t>
        </is>
      </c>
    </row>
    <row r="34283">
      <c r="A34283" s="1" t="n">
        <v>34282</v>
      </c>
      <c r="B34283">
        <f>TEXT(34282, "[$-0E0000]yyyy-mm-dd")</f>
        <v/>
      </c>
      <c r="C34283" t="inlineStr">
        <is>
          <t>1993-09-27</t>
        </is>
      </c>
    </row>
    <row r="34284">
      <c r="A34284" s="1" t="n">
        <v>34283</v>
      </c>
      <c r="B34284">
        <f>TEXT(34283, "[$-0E0000]yyyy-mm-dd")</f>
        <v/>
      </c>
      <c r="C34284" t="inlineStr">
        <is>
          <t>1993-09-28</t>
        </is>
      </c>
    </row>
    <row r="34285">
      <c r="A34285" s="1" t="n">
        <v>34284</v>
      </c>
      <c r="B34285">
        <f>TEXT(34284, "[$-0E0000]yyyy-mm-dd")</f>
        <v/>
      </c>
      <c r="C34285" t="inlineStr">
        <is>
          <t>1993-09-29</t>
        </is>
      </c>
    </row>
    <row r="34286">
      <c r="A34286" s="1" t="n">
        <v>34285</v>
      </c>
      <c r="B34286">
        <f>TEXT(34285, "[$-0E0000]yyyy-mm-dd")</f>
        <v/>
      </c>
      <c r="C34286" t="inlineStr">
        <is>
          <t>1993-09-30</t>
        </is>
      </c>
    </row>
    <row r="34287">
      <c r="A34287" s="1" t="n">
        <v>34286</v>
      </c>
      <c r="B34287">
        <f>TEXT(34286, "[$-0E0000]yyyy-mm-dd")</f>
        <v/>
      </c>
      <c r="C34287" t="inlineStr">
        <is>
          <t>1993-10-01</t>
        </is>
      </c>
    </row>
    <row r="34288">
      <c r="A34288" s="1" t="n">
        <v>34287</v>
      </c>
      <c r="B34288">
        <f>TEXT(34287, "[$-0E0000]yyyy-mm-dd")</f>
        <v/>
      </c>
      <c r="C34288" t="inlineStr">
        <is>
          <t>1993-10-02</t>
        </is>
      </c>
    </row>
    <row r="34289">
      <c r="A34289" s="1" t="n">
        <v>34288</v>
      </c>
      <c r="B34289">
        <f>TEXT(34288, "[$-0E0000]yyyy-mm-dd")</f>
        <v/>
      </c>
      <c r="C34289" t="inlineStr">
        <is>
          <t>1993-10-03</t>
        </is>
      </c>
    </row>
    <row r="34290">
      <c r="A34290" s="1" t="n">
        <v>34289</v>
      </c>
      <c r="B34290">
        <f>TEXT(34289, "[$-0E0000]yyyy-mm-dd")</f>
        <v/>
      </c>
      <c r="C34290" t="inlineStr">
        <is>
          <t>1993-10-04</t>
        </is>
      </c>
    </row>
    <row r="34291">
      <c r="A34291" s="1" t="n">
        <v>34290</v>
      </c>
      <c r="B34291">
        <f>TEXT(34290, "[$-0E0000]yyyy-mm-dd")</f>
        <v/>
      </c>
      <c r="C34291" t="inlineStr">
        <is>
          <t>1993-10-05</t>
        </is>
      </c>
    </row>
    <row r="34292">
      <c r="A34292" s="1" t="n">
        <v>34291</v>
      </c>
      <c r="B34292">
        <f>TEXT(34291, "[$-0E0000]yyyy-mm-dd")</f>
        <v/>
      </c>
      <c r="C34292" t="inlineStr">
        <is>
          <t>1993-10-06</t>
        </is>
      </c>
    </row>
    <row r="34293">
      <c r="A34293" s="1" t="n">
        <v>34292</v>
      </c>
      <c r="B34293">
        <f>TEXT(34292, "[$-0E0000]yyyy-mm-dd")</f>
        <v/>
      </c>
      <c r="C34293" t="inlineStr">
        <is>
          <t>1993-10-07</t>
        </is>
      </c>
    </row>
    <row r="34294">
      <c r="A34294" s="1" t="n">
        <v>34293</v>
      </c>
      <c r="B34294">
        <f>TEXT(34293, "[$-0E0000]yyyy-mm-dd")</f>
        <v/>
      </c>
      <c r="C34294" t="inlineStr">
        <is>
          <t>1993-10-08</t>
        </is>
      </c>
    </row>
    <row r="34295">
      <c r="A34295" s="1" t="n">
        <v>34294</v>
      </c>
      <c r="B34295">
        <f>TEXT(34294, "[$-0E0000]yyyy-mm-dd")</f>
        <v/>
      </c>
      <c r="C34295" t="inlineStr">
        <is>
          <t>1993-10-09</t>
        </is>
      </c>
    </row>
    <row r="34296">
      <c r="A34296" s="1" t="n">
        <v>34295</v>
      </c>
      <c r="B34296">
        <f>TEXT(34295, "[$-0E0000]yyyy-mm-dd")</f>
        <v/>
      </c>
      <c r="C34296" t="inlineStr">
        <is>
          <t>1993-10-10</t>
        </is>
      </c>
    </row>
    <row r="34297">
      <c r="A34297" s="1" t="n">
        <v>34296</v>
      </c>
      <c r="B34297">
        <f>TEXT(34296, "[$-0E0000]yyyy-mm-dd")</f>
        <v/>
      </c>
      <c r="C34297" t="inlineStr">
        <is>
          <t>1993-10-11</t>
        </is>
      </c>
    </row>
    <row r="34298">
      <c r="A34298" s="1" t="n">
        <v>34297</v>
      </c>
      <c r="B34298">
        <f>TEXT(34297, "[$-0E0000]yyyy-mm-dd")</f>
        <v/>
      </c>
      <c r="C34298" t="inlineStr">
        <is>
          <t>1993-10-12</t>
        </is>
      </c>
    </row>
    <row r="34299">
      <c r="A34299" s="1" t="n">
        <v>34298</v>
      </c>
      <c r="B34299">
        <f>TEXT(34298, "[$-0E0000]yyyy-mm-dd")</f>
        <v/>
      </c>
      <c r="C34299" t="inlineStr">
        <is>
          <t>1993-10-13</t>
        </is>
      </c>
    </row>
    <row r="34300">
      <c r="A34300" s="1" t="n">
        <v>34299</v>
      </c>
      <c r="B34300">
        <f>TEXT(34299, "[$-0E0000]yyyy-mm-dd")</f>
        <v/>
      </c>
      <c r="C34300" t="inlineStr">
        <is>
          <t>1993-10-14</t>
        </is>
      </c>
    </row>
    <row r="34301">
      <c r="A34301" s="1" t="n">
        <v>34300</v>
      </c>
      <c r="B34301">
        <f>TEXT(34300, "[$-0E0000]yyyy-mm-dd")</f>
        <v/>
      </c>
      <c r="C34301" t="inlineStr">
        <is>
          <t>1993-10-15</t>
        </is>
      </c>
    </row>
    <row r="34302">
      <c r="A34302" s="1" t="n">
        <v>34301</v>
      </c>
      <c r="B34302">
        <f>TEXT(34301, "[$-0E0000]yyyy-mm-dd")</f>
        <v/>
      </c>
      <c r="C34302" t="inlineStr">
        <is>
          <t>1993-10-16</t>
        </is>
      </c>
    </row>
    <row r="34303">
      <c r="A34303" s="1" t="n">
        <v>34302</v>
      </c>
      <c r="B34303">
        <f>TEXT(34302, "[$-0E0000]yyyy-mm-dd")</f>
        <v/>
      </c>
      <c r="C34303" t="inlineStr">
        <is>
          <t>1993-10-17</t>
        </is>
      </c>
    </row>
    <row r="34304">
      <c r="A34304" s="1" t="n">
        <v>34303</v>
      </c>
      <c r="B34304">
        <f>TEXT(34303, "[$-0E0000]yyyy-mm-dd")</f>
        <v/>
      </c>
      <c r="C34304" t="inlineStr">
        <is>
          <t>1993-10-18</t>
        </is>
      </c>
    </row>
    <row r="34305">
      <c r="A34305" s="1" t="n">
        <v>34304</v>
      </c>
      <c r="B34305">
        <f>TEXT(34304, "[$-0E0000]yyyy-mm-dd")</f>
        <v/>
      </c>
      <c r="C34305" t="inlineStr">
        <is>
          <t>1993-10-19</t>
        </is>
      </c>
    </row>
    <row r="34306">
      <c r="A34306" s="1" t="n">
        <v>34305</v>
      </c>
      <c r="B34306">
        <f>TEXT(34305, "[$-0E0000]yyyy-mm-dd")</f>
        <v/>
      </c>
      <c r="C34306" t="inlineStr">
        <is>
          <t>1993-10-20</t>
        </is>
      </c>
    </row>
    <row r="34307">
      <c r="A34307" s="1" t="n">
        <v>34306</v>
      </c>
      <c r="B34307">
        <f>TEXT(34306, "[$-0E0000]yyyy-mm-dd")</f>
        <v/>
      </c>
      <c r="C34307" t="inlineStr">
        <is>
          <t>1993-10-21</t>
        </is>
      </c>
    </row>
    <row r="34308">
      <c r="A34308" s="1" t="n">
        <v>34307</v>
      </c>
      <c r="B34308">
        <f>TEXT(34307, "[$-0E0000]yyyy-mm-dd")</f>
        <v/>
      </c>
      <c r="C34308" t="inlineStr">
        <is>
          <t>1993-10-22</t>
        </is>
      </c>
    </row>
    <row r="34309">
      <c r="A34309" s="1" t="n">
        <v>34308</v>
      </c>
      <c r="B34309">
        <f>TEXT(34308, "[$-0E0000]yyyy-mm-dd")</f>
        <v/>
      </c>
      <c r="C34309" t="inlineStr">
        <is>
          <t>1993-10-23</t>
        </is>
      </c>
    </row>
    <row r="34310">
      <c r="A34310" s="1" t="n">
        <v>34309</v>
      </c>
      <c r="B34310">
        <f>TEXT(34309, "[$-0E0000]yyyy-mm-dd")</f>
        <v/>
      </c>
      <c r="C34310" t="inlineStr">
        <is>
          <t>1993-10-24</t>
        </is>
      </c>
    </row>
    <row r="34311">
      <c r="A34311" s="1" t="n">
        <v>34310</v>
      </c>
      <c r="B34311">
        <f>TEXT(34310, "[$-0E0000]yyyy-mm-dd")</f>
        <v/>
      </c>
      <c r="C34311" t="inlineStr">
        <is>
          <t>1993-10-25</t>
        </is>
      </c>
    </row>
    <row r="34312">
      <c r="A34312" s="1" t="n">
        <v>34311</v>
      </c>
      <c r="B34312">
        <f>TEXT(34311, "[$-0E0000]yyyy-mm-dd")</f>
        <v/>
      </c>
      <c r="C34312" t="inlineStr">
        <is>
          <t>1993-10-26</t>
        </is>
      </c>
    </row>
    <row r="34313">
      <c r="A34313" s="1" t="n">
        <v>34312</v>
      </c>
      <c r="B34313">
        <f>TEXT(34312, "[$-0E0000]yyyy-mm-dd")</f>
        <v/>
      </c>
      <c r="C34313" t="inlineStr">
        <is>
          <t>1993-10-27</t>
        </is>
      </c>
    </row>
    <row r="34314">
      <c r="A34314" s="1" t="n">
        <v>34313</v>
      </c>
      <c r="B34314">
        <f>TEXT(34313, "[$-0E0000]yyyy-mm-dd")</f>
        <v/>
      </c>
      <c r="C34314" t="inlineStr">
        <is>
          <t>1993-10-28</t>
        </is>
      </c>
    </row>
    <row r="34315">
      <c r="A34315" s="1" t="n">
        <v>34314</v>
      </c>
      <c r="B34315">
        <f>TEXT(34314, "[$-0E0000]yyyy-mm-dd")</f>
        <v/>
      </c>
      <c r="C34315" t="inlineStr">
        <is>
          <t>1993-10-29</t>
        </is>
      </c>
    </row>
    <row r="34316">
      <c r="A34316" s="1" t="n">
        <v>34315</v>
      </c>
      <c r="B34316">
        <f>TEXT(34315, "[$-0E0000]yyyy-mm-dd")</f>
        <v/>
      </c>
      <c r="C34316" t="inlineStr">
        <is>
          <t>1993-11-01</t>
        </is>
      </c>
    </row>
    <row r="34317">
      <c r="A34317" s="1" t="n">
        <v>34316</v>
      </c>
      <c r="B34317">
        <f>TEXT(34316, "[$-0E0000]yyyy-mm-dd")</f>
        <v/>
      </c>
      <c r="C34317" t="inlineStr">
        <is>
          <t>1993-11-02</t>
        </is>
      </c>
    </row>
    <row r="34318">
      <c r="A34318" s="1" t="n">
        <v>34317</v>
      </c>
      <c r="B34318">
        <f>TEXT(34317, "[$-0E0000]yyyy-mm-dd")</f>
        <v/>
      </c>
      <c r="C34318" t="inlineStr">
        <is>
          <t>1993-11-03</t>
        </is>
      </c>
    </row>
    <row r="34319">
      <c r="A34319" s="1" t="n">
        <v>34318</v>
      </c>
      <c r="B34319">
        <f>TEXT(34318, "[$-0E0000]yyyy-mm-dd")</f>
        <v/>
      </c>
      <c r="C34319" t="inlineStr">
        <is>
          <t>1993-11-04</t>
        </is>
      </c>
    </row>
    <row r="34320">
      <c r="A34320" s="1" t="n">
        <v>34319</v>
      </c>
      <c r="B34320">
        <f>TEXT(34319, "[$-0E0000]yyyy-mm-dd")</f>
        <v/>
      </c>
      <c r="C34320" t="inlineStr">
        <is>
          <t>1993-11-05</t>
        </is>
      </c>
    </row>
    <row r="34321">
      <c r="A34321" s="1" t="n">
        <v>34320</v>
      </c>
      <c r="B34321">
        <f>TEXT(34320, "[$-0E0000]yyyy-mm-dd")</f>
        <v/>
      </c>
      <c r="C34321" t="inlineStr">
        <is>
          <t>1993-11-06</t>
        </is>
      </c>
    </row>
    <row r="34322">
      <c r="A34322" s="1" t="n">
        <v>34321</v>
      </c>
      <c r="B34322">
        <f>TEXT(34321, "[$-0E0000]yyyy-mm-dd")</f>
        <v/>
      </c>
      <c r="C34322" t="inlineStr">
        <is>
          <t>1993-11-07</t>
        </is>
      </c>
    </row>
    <row r="34323">
      <c r="A34323" s="1" t="n">
        <v>34322</v>
      </c>
      <c r="B34323">
        <f>TEXT(34322, "[$-0E0000]yyyy-mm-dd")</f>
        <v/>
      </c>
      <c r="C34323" t="inlineStr">
        <is>
          <t>1993-11-08</t>
        </is>
      </c>
    </row>
    <row r="34324">
      <c r="A34324" s="1" t="n">
        <v>34323</v>
      </c>
      <c r="B34324">
        <f>TEXT(34323, "[$-0E0000]yyyy-mm-dd")</f>
        <v/>
      </c>
      <c r="C34324" t="inlineStr">
        <is>
          <t>1993-11-09</t>
        </is>
      </c>
    </row>
    <row r="34325">
      <c r="A34325" s="1" t="n">
        <v>34324</v>
      </c>
      <c r="B34325">
        <f>TEXT(34324, "[$-0E0000]yyyy-mm-dd")</f>
        <v/>
      </c>
      <c r="C34325" t="inlineStr">
        <is>
          <t>1993-11-10</t>
        </is>
      </c>
    </row>
    <row r="34326">
      <c r="A34326" s="1" t="n">
        <v>34325</v>
      </c>
      <c r="B34326">
        <f>TEXT(34325, "[$-0E0000]yyyy-mm-dd")</f>
        <v/>
      </c>
      <c r="C34326" t="inlineStr">
        <is>
          <t>1993-11-11</t>
        </is>
      </c>
    </row>
    <row r="34327">
      <c r="A34327" s="1" t="n">
        <v>34326</v>
      </c>
      <c r="B34327">
        <f>TEXT(34326, "[$-0E0000]yyyy-mm-dd")</f>
        <v/>
      </c>
      <c r="C34327" t="inlineStr">
        <is>
          <t>1993-11-12</t>
        </is>
      </c>
    </row>
    <row r="34328">
      <c r="A34328" s="1" t="n">
        <v>34327</v>
      </c>
      <c r="B34328">
        <f>TEXT(34327, "[$-0E0000]yyyy-mm-dd")</f>
        <v/>
      </c>
      <c r="C34328" t="inlineStr">
        <is>
          <t>1993-11-13</t>
        </is>
      </c>
    </row>
    <row r="34329">
      <c r="A34329" s="1" t="n">
        <v>34328</v>
      </c>
      <c r="B34329">
        <f>TEXT(34328, "[$-0E0000]yyyy-mm-dd")</f>
        <v/>
      </c>
      <c r="C34329" t="inlineStr">
        <is>
          <t>1993-11-14</t>
        </is>
      </c>
    </row>
    <row r="34330">
      <c r="A34330" s="1" t="n">
        <v>34329</v>
      </c>
      <c r="B34330">
        <f>TEXT(34329, "[$-0E0000]yyyy-mm-dd")</f>
        <v/>
      </c>
      <c r="C34330" t="inlineStr">
        <is>
          <t>1993-11-15</t>
        </is>
      </c>
    </row>
    <row r="34331">
      <c r="A34331" s="1" t="n">
        <v>34330</v>
      </c>
      <c r="B34331">
        <f>TEXT(34330, "[$-0E0000]yyyy-mm-dd")</f>
        <v/>
      </c>
      <c r="C34331" t="inlineStr">
        <is>
          <t>1993-11-16</t>
        </is>
      </c>
    </row>
    <row r="34332">
      <c r="A34332" s="1" t="n">
        <v>34331</v>
      </c>
      <c r="B34332">
        <f>TEXT(34331, "[$-0E0000]yyyy-mm-dd")</f>
        <v/>
      </c>
      <c r="C34332" t="inlineStr">
        <is>
          <t>1993-11-17</t>
        </is>
      </c>
    </row>
    <row r="34333">
      <c r="A34333" s="1" t="n">
        <v>34332</v>
      </c>
      <c r="B34333">
        <f>TEXT(34332, "[$-0E0000]yyyy-mm-dd")</f>
        <v/>
      </c>
      <c r="C34333" t="inlineStr">
        <is>
          <t>1993-11-18</t>
        </is>
      </c>
    </row>
    <row r="34334">
      <c r="A34334" s="1" t="n">
        <v>34333</v>
      </c>
      <c r="B34334">
        <f>TEXT(34333, "[$-0E0000]yyyy-mm-dd")</f>
        <v/>
      </c>
      <c r="C34334" t="inlineStr">
        <is>
          <t>1993-11-19</t>
        </is>
      </c>
    </row>
    <row r="34335">
      <c r="A34335" s="1" t="n">
        <v>34334</v>
      </c>
      <c r="B34335">
        <f>TEXT(34334, "[$-0E0000]yyyy-mm-dd")</f>
        <v/>
      </c>
      <c r="C34335" t="inlineStr">
        <is>
          <t>1993-11-20</t>
        </is>
      </c>
    </row>
    <row r="34336">
      <c r="A34336" s="1" t="n">
        <v>34335</v>
      </c>
      <c r="B34336">
        <f>TEXT(34335, "[$-0E0000]yyyy-mm-dd")</f>
        <v/>
      </c>
      <c r="C34336" t="inlineStr">
        <is>
          <t>1993-11-21</t>
        </is>
      </c>
    </row>
    <row r="34337">
      <c r="A34337" s="1" t="n">
        <v>34336</v>
      </c>
      <c r="B34337">
        <f>TEXT(34336, "[$-0E0000]yyyy-mm-dd")</f>
        <v/>
      </c>
      <c r="C34337" t="inlineStr">
        <is>
          <t>1993-11-22</t>
        </is>
      </c>
    </row>
    <row r="34338">
      <c r="A34338" s="1" t="n">
        <v>34337</v>
      </c>
      <c r="B34338">
        <f>TEXT(34337, "[$-0E0000]yyyy-mm-dd")</f>
        <v/>
      </c>
      <c r="C34338" t="inlineStr">
        <is>
          <t>1993-11-23</t>
        </is>
      </c>
    </row>
    <row r="34339">
      <c r="A34339" s="1" t="n">
        <v>34338</v>
      </c>
      <c r="B34339">
        <f>TEXT(34338, "[$-0E0000]yyyy-mm-dd")</f>
        <v/>
      </c>
      <c r="C34339" t="inlineStr">
        <is>
          <t>1993-11-24</t>
        </is>
      </c>
    </row>
    <row r="34340">
      <c r="A34340" s="1" t="n">
        <v>34339</v>
      </c>
      <c r="B34340">
        <f>TEXT(34339, "[$-0E0000]yyyy-mm-dd")</f>
        <v/>
      </c>
      <c r="C34340" t="inlineStr">
        <is>
          <t>1993-11-25</t>
        </is>
      </c>
    </row>
    <row r="34341">
      <c r="A34341" s="1" t="n">
        <v>34340</v>
      </c>
      <c r="B34341">
        <f>TEXT(34340, "[$-0E0000]yyyy-mm-dd")</f>
        <v/>
      </c>
      <c r="C34341" t="inlineStr">
        <is>
          <t>1993-11-26</t>
        </is>
      </c>
    </row>
    <row r="34342">
      <c r="A34342" s="1" t="n">
        <v>34341</v>
      </c>
      <c r="B34342">
        <f>TEXT(34341, "[$-0E0000]yyyy-mm-dd")</f>
        <v/>
      </c>
      <c r="C34342" t="inlineStr">
        <is>
          <t>1993-11-27</t>
        </is>
      </c>
    </row>
    <row r="34343">
      <c r="A34343" s="1" t="n">
        <v>34342</v>
      </c>
      <c r="B34343">
        <f>TEXT(34342, "[$-0E0000]yyyy-mm-dd")</f>
        <v/>
      </c>
      <c r="C34343" t="inlineStr">
        <is>
          <t>1993-11-28</t>
        </is>
      </c>
    </row>
    <row r="34344">
      <c r="A34344" s="1" t="n">
        <v>34343</v>
      </c>
      <c r="B34344">
        <f>TEXT(34343, "[$-0E0000]yyyy-mm-dd")</f>
        <v/>
      </c>
      <c r="C34344" t="inlineStr">
        <is>
          <t>1993-11-29</t>
        </is>
      </c>
    </row>
    <row r="34345">
      <c r="A34345" s="1" t="n">
        <v>34344</v>
      </c>
      <c r="B34345">
        <f>TEXT(34344, "[$-0E0000]yyyy-mm-dd")</f>
        <v/>
      </c>
      <c r="C34345" t="inlineStr">
        <is>
          <t>1993-11-30</t>
        </is>
      </c>
    </row>
    <row r="34346">
      <c r="A34346" s="1" t="n">
        <v>34345</v>
      </c>
      <c r="B34346">
        <f>TEXT(34345, "[$-0E0000]yyyy-mm-dd")</f>
        <v/>
      </c>
      <c r="C34346" t="inlineStr">
        <is>
          <t>1993-12-01</t>
        </is>
      </c>
    </row>
    <row r="34347">
      <c r="A34347" s="1" t="n">
        <v>34346</v>
      </c>
      <c r="B34347">
        <f>TEXT(34346, "[$-0E0000]yyyy-mm-dd")</f>
        <v/>
      </c>
      <c r="C34347" t="inlineStr">
        <is>
          <t>1993-12-02</t>
        </is>
      </c>
    </row>
    <row r="34348">
      <c r="A34348" s="1" t="n">
        <v>34347</v>
      </c>
      <c r="B34348">
        <f>TEXT(34347, "[$-0E0000]yyyy-mm-dd")</f>
        <v/>
      </c>
      <c r="C34348" t="inlineStr">
        <is>
          <t>1993-12-03</t>
        </is>
      </c>
    </row>
    <row r="34349">
      <c r="A34349" s="1" t="n">
        <v>34348</v>
      </c>
      <c r="B34349">
        <f>TEXT(34348, "[$-0E0000]yyyy-mm-dd")</f>
        <v/>
      </c>
      <c r="C34349" t="inlineStr">
        <is>
          <t>1993-12-04</t>
        </is>
      </c>
    </row>
    <row r="34350">
      <c r="A34350" s="1" t="n">
        <v>34349</v>
      </c>
      <c r="B34350">
        <f>TEXT(34349, "[$-0E0000]yyyy-mm-dd")</f>
        <v/>
      </c>
      <c r="C34350" t="inlineStr">
        <is>
          <t>1993-12-05</t>
        </is>
      </c>
    </row>
    <row r="34351">
      <c r="A34351" s="1" t="n">
        <v>34350</v>
      </c>
      <c r="B34351">
        <f>TEXT(34350, "[$-0E0000]yyyy-mm-dd")</f>
        <v/>
      </c>
      <c r="C34351" t="inlineStr">
        <is>
          <t>1993-12-06</t>
        </is>
      </c>
    </row>
    <row r="34352">
      <c r="A34352" s="1" t="n">
        <v>34351</v>
      </c>
      <c r="B34352">
        <f>TEXT(34351, "[$-0E0000]yyyy-mm-dd")</f>
        <v/>
      </c>
      <c r="C34352" t="inlineStr">
        <is>
          <t>1993-12-07</t>
        </is>
      </c>
    </row>
    <row r="34353">
      <c r="A34353" s="1" t="n">
        <v>34352</v>
      </c>
      <c r="B34353">
        <f>TEXT(34352, "[$-0E0000]yyyy-mm-dd")</f>
        <v/>
      </c>
      <c r="C34353" t="inlineStr">
        <is>
          <t>1993-12-08</t>
        </is>
      </c>
    </row>
    <row r="34354">
      <c r="A34354" s="1" t="n">
        <v>34353</v>
      </c>
      <c r="B34354">
        <f>TEXT(34353, "[$-0E0000]yyyy-mm-dd")</f>
        <v/>
      </c>
      <c r="C34354" t="inlineStr">
        <is>
          <t>1993-12-09</t>
        </is>
      </c>
    </row>
    <row r="34355">
      <c r="A34355" s="1" t="n">
        <v>34354</v>
      </c>
      <c r="B34355">
        <f>TEXT(34354, "[$-0E0000]yyyy-mm-dd")</f>
        <v/>
      </c>
      <c r="C34355" t="inlineStr">
        <is>
          <t>1993-12-10</t>
        </is>
      </c>
    </row>
    <row r="34356">
      <c r="A34356" s="1" t="n">
        <v>34355</v>
      </c>
      <c r="B34356">
        <f>TEXT(34355, "[$-0E0000]yyyy-mm-dd")</f>
        <v/>
      </c>
      <c r="C34356" t="inlineStr">
        <is>
          <t>1993-12-11</t>
        </is>
      </c>
    </row>
    <row r="34357">
      <c r="A34357" s="1" t="n">
        <v>34356</v>
      </c>
      <c r="B34357">
        <f>TEXT(34356, "[$-0E0000]yyyy-mm-dd")</f>
        <v/>
      </c>
      <c r="C34357" t="inlineStr">
        <is>
          <t>1993-12-12</t>
        </is>
      </c>
    </row>
    <row r="34358">
      <c r="A34358" s="1" t="n">
        <v>34357</v>
      </c>
      <c r="B34358">
        <f>TEXT(34357, "[$-0E0000]yyyy-mm-dd")</f>
        <v/>
      </c>
      <c r="C34358" t="inlineStr">
        <is>
          <t>1993-12-13</t>
        </is>
      </c>
    </row>
    <row r="34359">
      <c r="A34359" s="1" t="n">
        <v>34358</v>
      </c>
      <c r="B34359">
        <f>TEXT(34358, "[$-0E0000]yyyy-mm-dd")</f>
        <v/>
      </c>
      <c r="C34359" t="inlineStr">
        <is>
          <t>1993-12-14</t>
        </is>
      </c>
    </row>
    <row r="34360">
      <c r="A34360" s="1" t="n">
        <v>34359</v>
      </c>
      <c r="B34360">
        <f>TEXT(34359, "[$-0E0000]yyyy-mm-dd")</f>
        <v/>
      </c>
      <c r="C34360" t="inlineStr">
        <is>
          <t>1993-12-15</t>
        </is>
      </c>
    </row>
    <row r="34361">
      <c r="A34361" s="1" t="n">
        <v>34360</v>
      </c>
      <c r="B34361">
        <f>TEXT(34360, "[$-0E0000]yyyy-mm-dd")</f>
        <v/>
      </c>
      <c r="C34361" t="inlineStr">
        <is>
          <t>1993-12-16</t>
        </is>
      </c>
    </row>
    <row r="34362">
      <c r="A34362" s="1" t="n">
        <v>34361</v>
      </c>
      <c r="B34362">
        <f>TEXT(34361, "[$-0E0000]yyyy-mm-dd")</f>
        <v/>
      </c>
      <c r="C34362" t="inlineStr">
        <is>
          <t>1993-12-17</t>
        </is>
      </c>
    </row>
    <row r="34363">
      <c r="A34363" s="1" t="n">
        <v>34362</v>
      </c>
      <c r="B34363">
        <f>TEXT(34362, "[$-0E0000]yyyy-mm-dd")</f>
        <v/>
      </c>
      <c r="C34363" t="inlineStr">
        <is>
          <t>1993-12-18</t>
        </is>
      </c>
    </row>
    <row r="34364">
      <c r="A34364" s="1" t="n">
        <v>34363</v>
      </c>
      <c r="B34364">
        <f>TEXT(34363, "[$-0E0000]yyyy-mm-dd")</f>
        <v/>
      </c>
      <c r="C34364" t="inlineStr">
        <is>
          <t>1993-12-19</t>
        </is>
      </c>
    </row>
    <row r="34365">
      <c r="A34365" s="1" t="n">
        <v>34364</v>
      </c>
      <c r="B34365">
        <f>TEXT(34364, "[$-0E0000]yyyy-mm-dd")</f>
        <v/>
      </c>
      <c r="C34365" t="inlineStr">
        <is>
          <t>1993-12-20</t>
        </is>
      </c>
    </row>
    <row r="34366">
      <c r="A34366" s="1" t="n">
        <v>34365</v>
      </c>
      <c r="B34366">
        <f>TEXT(34365, "[$-0E0000]yyyy-mm-dd")</f>
        <v/>
      </c>
      <c r="C34366" t="inlineStr">
        <is>
          <t>1993-12-21</t>
        </is>
      </c>
    </row>
    <row r="34367">
      <c r="A34367" s="1" t="n">
        <v>34366</v>
      </c>
      <c r="B34367">
        <f>TEXT(34366, "[$-0E0000]yyyy-mm-dd")</f>
        <v/>
      </c>
      <c r="C34367" t="inlineStr">
        <is>
          <t>1993-12-22</t>
        </is>
      </c>
    </row>
    <row r="34368">
      <c r="A34368" s="1" t="n">
        <v>34367</v>
      </c>
      <c r="B34368">
        <f>TEXT(34367, "[$-0E0000]yyyy-mm-dd")</f>
        <v/>
      </c>
      <c r="C34368" t="inlineStr">
        <is>
          <t>1993-12-23</t>
        </is>
      </c>
    </row>
    <row r="34369">
      <c r="A34369" s="1" t="n">
        <v>34368</v>
      </c>
      <c r="B34369">
        <f>TEXT(34368, "[$-0E0000]yyyy-mm-dd")</f>
        <v/>
      </c>
      <c r="C34369" t="inlineStr">
        <is>
          <t>1993-12-24</t>
        </is>
      </c>
    </row>
    <row r="34370">
      <c r="A34370" s="1" t="n">
        <v>34369</v>
      </c>
      <c r="B34370">
        <f>TEXT(34369, "[$-0E0000]yyyy-mm-dd")</f>
        <v/>
      </c>
      <c r="C34370" t="inlineStr">
        <is>
          <t>1993-12-25</t>
        </is>
      </c>
    </row>
    <row r="34371">
      <c r="A34371" s="1" t="n">
        <v>34370</v>
      </c>
      <c r="B34371">
        <f>TEXT(34370, "[$-0E0000]yyyy-mm-dd")</f>
        <v/>
      </c>
      <c r="C34371" t="inlineStr">
        <is>
          <t>1993-12-26</t>
        </is>
      </c>
    </row>
    <row r="34372">
      <c r="A34372" s="1" t="n">
        <v>34371</v>
      </c>
      <c r="B34372">
        <f>TEXT(34371, "[$-0E0000]yyyy-mm-dd")</f>
        <v/>
      </c>
      <c r="C34372" t="inlineStr">
        <is>
          <t>1993-12-27</t>
        </is>
      </c>
    </row>
    <row r="34373">
      <c r="A34373" s="1" t="n">
        <v>34372</v>
      </c>
      <c r="B34373">
        <f>TEXT(34372, "[$-0E0000]yyyy-mm-dd")</f>
        <v/>
      </c>
      <c r="C34373" t="inlineStr">
        <is>
          <t>1993-12-28</t>
        </is>
      </c>
    </row>
    <row r="34374">
      <c r="A34374" s="1" t="n">
        <v>34373</v>
      </c>
      <c r="B34374">
        <f>TEXT(34373, "[$-0E0000]yyyy-mm-dd")</f>
        <v/>
      </c>
      <c r="C34374" t="inlineStr">
        <is>
          <t>1993-12-29</t>
        </is>
      </c>
    </row>
    <row r="34375">
      <c r="A34375" s="1" t="n">
        <v>34374</v>
      </c>
      <c r="B34375">
        <f>TEXT(34374, "[$-0E0000]yyyy-mm-dd")</f>
        <v/>
      </c>
      <c r="C34375" t="inlineStr">
        <is>
          <t>1994-01-01</t>
        </is>
      </c>
    </row>
    <row r="34376">
      <c r="A34376" s="1" t="n">
        <v>34375</v>
      </c>
      <c r="B34376">
        <f>TEXT(34375, "[$-0E0000]yyyy-mm-dd")</f>
        <v/>
      </c>
      <c r="C34376" t="inlineStr">
        <is>
          <t>1994-01-02</t>
        </is>
      </c>
    </row>
    <row r="34377">
      <c r="A34377" s="1" t="n">
        <v>34376</v>
      </c>
      <c r="B34377">
        <f>TEXT(34376, "[$-0E0000]yyyy-mm-dd")</f>
        <v/>
      </c>
      <c r="C34377" t="inlineStr">
        <is>
          <t>1994-01-03</t>
        </is>
      </c>
    </row>
    <row r="34378">
      <c r="A34378" s="1" t="n">
        <v>34377</v>
      </c>
      <c r="B34378">
        <f>TEXT(34377, "[$-0E0000]yyyy-mm-dd")</f>
        <v/>
      </c>
      <c r="C34378" t="inlineStr">
        <is>
          <t>1994-01-04</t>
        </is>
      </c>
    </row>
    <row r="34379">
      <c r="A34379" s="1" t="n">
        <v>34378</v>
      </c>
      <c r="B34379">
        <f>TEXT(34378, "[$-0E0000]yyyy-mm-dd")</f>
        <v/>
      </c>
      <c r="C34379" t="inlineStr">
        <is>
          <t>1994-01-05</t>
        </is>
      </c>
    </row>
    <row r="34380">
      <c r="A34380" s="1" t="n">
        <v>34379</v>
      </c>
      <c r="B34380">
        <f>TEXT(34379, "[$-0E0000]yyyy-mm-dd")</f>
        <v/>
      </c>
      <c r="C34380" t="inlineStr">
        <is>
          <t>1994-01-06</t>
        </is>
      </c>
    </row>
    <row r="34381">
      <c r="A34381" s="1" t="n">
        <v>34380</v>
      </c>
      <c r="B34381">
        <f>TEXT(34380, "[$-0E0000]yyyy-mm-dd")</f>
        <v/>
      </c>
      <c r="C34381" t="inlineStr">
        <is>
          <t>1994-01-07</t>
        </is>
      </c>
    </row>
    <row r="34382">
      <c r="A34382" s="1" t="n">
        <v>34381</v>
      </c>
      <c r="B34382">
        <f>TEXT(34381, "[$-0E0000]yyyy-mm-dd")</f>
        <v/>
      </c>
      <c r="C34382" t="inlineStr">
        <is>
          <t>1994-01-08</t>
        </is>
      </c>
    </row>
    <row r="34383">
      <c r="A34383" s="1" t="n">
        <v>34382</v>
      </c>
      <c r="B34383">
        <f>TEXT(34382, "[$-0E0000]yyyy-mm-dd")</f>
        <v/>
      </c>
      <c r="C34383" t="inlineStr">
        <is>
          <t>1994-01-09</t>
        </is>
      </c>
    </row>
    <row r="34384">
      <c r="A34384" s="1" t="n">
        <v>34383</v>
      </c>
      <c r="B34384">
        <f>TEXT(34383, "[$-0E0000]yyyy-mm-dd")</f>
        <v/>
      </c>
      <c r="C34384" t="inlineStr">
        <is>
          <t>1994-01-10</t>
        </is>
      </c>
    </row>
    <row r="34385">
      <c r="A34385" s="1" t="n">
        <v>34384</v>
      </c>
      <c r="B34385">
        <f>TEXT(34384, "[$-0E0000]yyyy-mm-dd")</f>
        <v/>
      </c>
      <c r="C34385" t="inlineStr">
        <is>
          <t>1994-01-11</t>
        </is>
      </c>
    </row>
    <row r="34386">
      <c r="A34386" s="1" t="n">
        <v>34385</v>
      </c>
      <c r="B34386">
        <f>TEXT(34385, "[$-0E0000]yyyy-mm-dd")</f>
        <v/>
      </c>
      <c r="C34386" t="inlineStr">
        <is>
          <t>1994-01-12</t>
        </is>
      </c>
    </row>
    <row r="34387">
      <c r="A34387" s="1" t="n">
        <v>34386</v>
      </c>
      <c r="B34387">
        <f>TEXT(34386, "[$-0E0000]yyyy-mm-dd")</f>
        <v/>
      </c>
      <c r="C34387" t="inlineStr">
        <is>
          <t>1994-01-13</t>
        </is>
      </c>
    </row>
    <row r="34388">
      <c r="A34388" s="1" t="n">
        <v>34387</v>
      </c>
      <c r="B34388">
        <f>TEXT(34387, "[$-0E0000]yyyy-mm-dd")</f>
        <v/>
      </c>
      <c r="C34388" t="inlineStr">
        <is>
          <t>1994-01-14</t>
        </is>
      </c>
    </row>
    <row r="34389">
      <c r="A34389" s="1" t="n">
        <v>34388</v>
      </c>
      <c r="B34389">
        <f>TEXT(34388, "[$-0E0000]yyyy-mm-dd")</f>
        <v/>
      </c>
      <c r="C34389" t="inlineStr">
        <is>
          <t>1994-01-15</t>
        </is>
      </c>
    </row>
    <row r="34390">
      <c r="A34390" s="1" t="n">
        <v>34389</v>
      </c>
      <c r="B34390">
        <f>TEXT(34389, "[$-0E0000]yyyy-mm-dd")</f>
        <v/>
      </c>
      <c r="C34390" t="inlineStr">
        <is>
          <t>1994-01-16</t>
        </is>
      </c>
    </row>
    <row r="34391">
      <c r="A34391" s="1" t="n">
        <v>34390</v>
      </c>
      <c r="B34391">
        <f>TEXT(34390, "[$-0E0000]yyyy-mm-dd")</f>
        <v/>
      </c>
      <c r="C34391" t="inlineStr">
        <is>
          <t>1994-01-17</t>
        </is>
      </c>
    </row>
    <row r="34392">
      <c r="A34392" s="1" t="n">
        <v>34391</v>
      </c>
      <c r="B34392">
        <f>TEXT(34391, "[$-0E0000]yyyy-mm-dd")</f>
        <v/>
      </c>
      <c r="C34392" t="inlineStr">
        <is>
          <t>1994-01-18</t>
        </is>
      </c>
    </row>
    <row r="34393">
      <c r="A34393" s="1" t="n">
        <v>34392</v>
      </c>
      <c r="B34393">
        <f>TEXT(34392, "[$-0E0000]yyyy-mm-dd")</f>
        <v/>
      </c>
      <c r="C34393" t="inlineStr">
        <is>
          <t>1994-01-19</t>
        </is>
      </c>
    </row>
    <row r="34394">
      <c r="A34394" s="1" t="n">
        <v>34393</v>
      </c>
      <c r="B34394">
        <f>TEXT(34393, "[$-0E0000]yyyy-mm-dd")</f>
        <v/>
      </c>
      <c r="C34394" t="inlineStr">
        <is>
          <t>1994-01-20</t>
        </is>
      </c>
    </row>
    <row r="34395">
      <c r="A34395" s="1" t="n">
        <v>34394</v>
      </c>
      <c r="B34395">
        <f>TEXT(34394, "[$-0E0000]yyyy-mm-dd")</f>
        <v/>
      </c>
      <c r="C34395" t="inlineStr">
        <is>
          <t>1994-01-21</t>
        </is>
      </c>
    </row>
    <row r="34396">
      <c r="A34396" s="1" t="n">
        <v>34395</v>
      </c>
      <c r="B34396">
        <f>TEXT(34395, "[$-0E0000]yyyy-mm-dd")</f>
        <v/>
      </c>
      <c r="C34396" t="inlineStr">
        <is>
          <t>1994-01-22</t>
        </is>
      </c>
    </row>
    <row r="34397">
      <c r="A34397" s="1" t="n">
        <v>34396</v>
      </c>
      <c r="B34397">
        <f>TEXT(34396, "[$-0E0000]yyyy-mm-dd")</f>
        <v/>
      </c>
      <c r="C34397" t="inlineStr">
        <is>
          <t>1994-01-23</t>
        </is>
      </c>
    </row>
    <row r="34398">
      <c r="A34398" s="1" t="n">
        <v>34397</v>
      </c>
      <c r="B34398">
        <f>TEXT(34397, "[$-0E0000]yyyy-mm-dd")</f>
        <v/>
      </c>
      <c r="C34398" t="inlineStr">
        <is>
          <t>1994-01-24</t>
        </is>
      </c>
    </row>
    <row r="34399">
      <c r="A34399" s="1" t="n">
        <v>34398</v>
      </c>
      <c r="B34399">
        <f>TEXT(34398, "[$-0E0000]yyyy-mm-dd")</f>
        <v/>
      </c>
      <c r="C34399" t="inlineStr">
        <is>
          <t>1994-01-25</t>
        </is>
      </c>
    </row>
    <row r="34400">
      <c r="A34400" s="1" t="n">
        <v>34399</v>
      </c>
      <c r="B34400">
        <f>TEXT(34399, "[$-0E0000]yyyy-mm-dd")</f>
        <v/>
      </c>
      <c r="C34400" t="inlineStr">
        <is>
          <t>1994-01-26</t>
        </is>
      </c>
    </row>
    <row r="34401">
      <c r="A34401" s="1" t="n">
        <v>34400</v>
      </c>
      <c r="B34401">
        <f>TEXT(34400, "[$-0E0000]yyyy-mm-dd")</f>
        <v/>
      </c>
      <c r="C34401" t="inlineStr">
        <is>
          <t>1994-01-27</t>
        </is>
      </c>
    </row>
    <row r="34402">
      <c r="A34402" s="1" t="n">
        <v>34401</v>
      </c>
      <c r="B34402">
        <f>TEXT(34401, "[$-0E0000]yyyy-mm-dd")</f>
        <v/>
      </c>
      <c r="C34402" t="inlineStr">
        <is>
          <t>1994-01-28</t>
        </is>
      </c>
    </row>
    <row r="34403">
      <c r="A34403" s="1" t="n">
        <v>34402</v>
      </c>
      <c r="B34403">
        <f>TEXT(34402, "[$-0E0000]yyyy-mm-dd")</f>
        <v/>
      </c>
      <c r="C34403" t="inlineStr">
        <is>
          <t>1994-01-29</t>
        </is>
      </c>
    </row>
    <row r="34404">
      <c r="A34404" s="1" t="n">
        <v>34403</v>
      </c>
      <c r="B34404">
        <f>TEXT(34403, "[$-0E0000]yyyy-mm-dd")</f>
        <v/>
      </c>
      <c r="C34404" t="inlineStr">
        <is>
          <t>1994-01-30</t>
        </is>
      </c>
    </row>
    <row r="34405">
      <c r="A34405" s="1" t="n">
        <v>34404</v>
      </c>
      <c r="B34405">
        <f>TEXT(34404, "[$-0E0000]yyyy-mm-dd")</f>
        <v/>
      </c>
      <c r="C34405" t="inlineStr">
        <is>
          <t>1994-02-01</t>
        </is>
      </c>
    </row>
    <row r="34406">
      <c r="A34406" s="1" t="n">
        <v>34405</v>
      </c>
      <c r="B34406">
        <f>TEXT(34405, "[$-0E0000]yyyy-mm-dd")</f>
        <v/>
      </c>
      <c r="C34406" t="inlineStr">
        <is>
          <t>1994-02-02</t>
        </is>
      </c>
    </row>
    <row r="34407">
      <c r="A34407" s="1" t="n">
        <v>34406</v>
      </c>
      <c r="B34407">
        <f>TEXT(34406, "[$-0E0000]yyyy-mm-dd")</f>
        <v/>
      </c>
      <c r="C34407" t="inlineStr">
        <is>
          <t>1994-02-03</t>
        </is>
      </c>
    </row>
    <row r="34408">
      <c r="A34408" s="1" t="n">
        <v>34407</v>
      </c>
      <c r="B34408">
        <f>TEXT(34407, "[$-0E0000]yyyy-mm-dd")</f>
        <v/>
      </c>
      <c r="C34408" t="inlineStr">
        <is>
          <t>1994-02-04</t>
        </is>
      </c>
    </row>
    <row r="34409">
      <c r="A34409" s="1" t="n">
        <v>34408</v>
      </c>
      <c r="B34409">
        <f>TEXT(34408, "[$-0E0000]yyyy-mm-dd")</f>
        <v/>
      </c>
      <c r="C34409" t="inlineStr">
        <is>
          <t>1994-02-05</t>
        </is>
      </c>
    </row>
    <row r="34410">
      <c r="A34410" s="1" t="n">
        <v>34409</v>
      </c>
      <c r="B34410">
        <f>TEXT(34409, "[$-0E0000]yyyy-mm-dd")</f>
        <v/>
      </c>
      <c r="C34410" t="inlineStr">
        <is>
          <t>1994-02-06</t>
        </is>
      </c>
    </row>
    <row r="34411">
      <c r="A34411" s="1" t="n">
        <v>34410</v>
      </c>
      <c r="B34411">
        <f>TEXT(34410, "[$-0E0000]yyyy-mm-dd")</f>
        <v/>
      </c>
      <c r="C34411" t="inlineStr">
        <is>
          <t>1994-02-07</t>
        </is>
      </c>
    </row>
    <row r="34412">
      <c r="A34412" s="1" t="n">
        <v>34411</v>
      </c>
      <c r="B34412">
        <f>TEXT(34411, "[$-0E0000]yyyy-mm-dd")</f>
        <v/>
      </c>
      <c r="C34412" t="inlineStr">
        <is>
          <t>1994-02-08</t>
        </is>
      </c>
    </row>
    <row r="34413">
      <c r="A34413" s="1" t="n">
        <v>34412</v>
      </c>
      <c r="B34413">
        <f>TEXT(34412, "[$-0E0000]yyyy-mm-dd")</f>
        <v/>
      </c>
      <c r="C34413" t="inlineStr">
        <is>
          <t>1994-02-09</t>
        </is>
      </c>
    </row>
    <row r="34414">
      <c r="A34414" s="1" t="n">
        <v>34413</v>
      </c>
      <c r="B34414">
        <f>TEXT(34413, "[$-0E0000]yyyy-mm-dd")</f>
        <v/>
      </c>
      <c r="C34414" t="inlineStr">
        <is>
          <t>1994-02-10</t>
        </is>
      </c>
    </row>
    <row r="34415">
      <c r="A34415" s="1" t="n">
        <v>34414</v>
      </c>
      <c r="B34415">
        <f>TEXT(34414, "[$-0E0000]yyyy-mm-dd")</f>
        <v/>
      </c>
      <c r="C34415" t="inlineStr">
        <is>
          <t>1994-02-11</t>
        </is>
      </c>
    </row>
    <row r="34416">
      <c r="A34416" s="1" t="n">
        <v>34415</v>
      </c>
      <c r="B34416">
        <f>TEXT(34415, "[$-0E0000]yyyy-mm-dd")</f>
        <v/>
      </c>
      <c r="C34416" t="inlineStr">
        <is>
          <t>1994-02-12</t>
        </is>
      </c>
    </row>
    <row r="34417">
      <c r="A34417" s="1" t="n">
        <v>34416</v>
      </c>
      <c r="B34417">
        <f>TEXT(34416, "[$-0E0000]yyyy-mm-dd")</f>
        <v/>
      </c>
      <c r="C34417" t="inlineStr">
        <is>
          <t>1994-02-13</t>
        </is>
      </c>
    </row>
    <row r="34418">
      <c r="A34418" s="1" t="n">
        <v>34417</v>
      </c>
      <c r="B34418">
        <f>TEXT(34417, "[$-0E0000]yyyy-mm-dd")</f>
        <v/>
      </c>
      <c r="C34418" t="inlineStr">
        <is>
          <t>1994-02-14</t>
        </is>
      </c>
    </row>
    <row r="34419">
      <c r="A34419" s="1" t="n">
        <v>34418</v>
      </c>
      <c r="B34419">
        <f>TEXT(34418, "[$-0E0000]yyyy-mm-dd")</f>
        <v/>
      </c>
      <c r="C34419" t="inlineStr">
        <is>
          <t>1994-02-15</t>
        </is>
      </c>
    </row>
    <row r="34420">
      <c r="A34420" s="1" t="n">
        <v>34419</v>
      </c>
      <c r="B34420">
        <f>TEXT(34419, "[$-0E0000]yyyy-mm-dd")</f>
        <v/>
      </c>
      <c r="C34420" t="inlineStr">
        <is>
          <t>1994-02-16</t>
        </is>
      </c>
    </row>
    <row r="34421">
      <c r="A34421" s="1" t="n">
        <v>34420</v>
      </c>
      <c r="B34421">
        <f>TEXT(34420, "[$-0E0000]yyyy-mm-dd")</f>
        <v/>
      </c>
      <c r="C34421" t="inlineStr">
        <is>
          <t>1994-02-17</t>
        </is>
      </c>
    </row>
    <row r="34422">
      <c r="A34422" s="1" t="n">
        <v>34421</v>
      </c>
      <c r="B34422">
        <f>TEXT(34421, "[$-0E0000]yyyy-mm-dd")</f>
        <v/>
      </c>
      <c r="C34422" t="inlineStr">
        <is>
          <t>1994-02-18</t>
        </is>
      </c>
    </row>
    <row r="34423">
      <c r="A34423" s="1" t="n">
        <v>34422</v>
      </c>
      <c r="B34423">
        <f>TEXT(34422, "[$-0E0000]yyyy-mm-dd")</f>
        <v/>
      </c>
      <c r="C34423" t="inlineStr">
        <is>
          <t>1994-02-19</t>
        </is>
      </c>
    </row>
    <row r="34424">
      <c r="A34424" s="1" t="n">
        <v>34423</v>
      </c>
      <c r="B34424">
        <f>TEXT(34423, "[$-0E0000]yyyy-mm-dd")</f>
        <v/>
      </c>
      <c r="C34424" t="inlineStr">
        <is>
          <t>1994-02-20</t>
        </is>
      </c>
    </row>
    <row r="34425">
      <c r="A34425" s="1" t="n">
        <v>34424</v>
      </c>
      <c r="B34425">
        <f>TEXT(34424, "[$-0E0000]yyyy-mm-dd")</f>
        <v/>
      </c>
      <c r="C34425" t="inlineStr">
        <is>
          <t>1994-02-21</t>
        </is>
      </c>
    </row>
    <row r="34426">
      <c r="A34426" s="1" t="n">
        <v>34425</v>
      </c>
      <c r="B34426">
        <f>TEXT(34425, "[$-0E0000]yyyy-mm-dd")</f>
        <v/>
      </c>
      <c r="C34426" t="inlineStr">
        <is>
          <t>1994-02-22</t>
        </is>
      </c>
    </row>
    <row r="34427">
      <c r="A34427" s="1" t="n">
        <v>34426</v>
      </c>
      <c r="B34427">
        <f>TEXT(34426, "[$-0E0000]yyyy-mm-dd")</f>
        <v/>
      </c>
      <c r="C34427" t="inlineStr">
        <is>
          <t>1994-02-23</t>
        </is>
      </c>
    </row>
    <row r="34428">
      <c r="A34428" s="1" t="n">
        <v>34427</v>
      </c>
      <c r="B34428">
        <f>TEXT(34427, "[$-0E0000]yyyy-mm-dd")</f>
        <v/>
      </c>
      <c r="C34428" t="inlineStr">
        <is>
          <t>1994-02-24</t>
        </is>
      </c>
    </row>
    <row r="34429">
      <c r="A34429" s="1" t="n">
        <v>34428</v>
      </c>
      <c r="B34429">
        <f>TEXT(34428, "[$-0E0000]yyyy-mm-dd")</f>
        <v/>
      </c>
      <c r="C34429" t="inlineStr">
        <is>
          <t>1994-02-25</t>
        </is>
      </c>
    </row>
    <row r="34430">
      <c r="A34430" s="1" t="n">
        <v>34429</v>
      </c>
      <c r="B34430">
        <f>TEXT(34429, "[$-0E0000]yyyy-mm-dd")</f>
        <v/>
      </c>
      <c r="C34430" t="inlineStr">
        <is>
          <t>1994-02-26</t>
        </is>
      </c>
    </row>
    <row r="34431">
      <c r="A34431" s="1" t="n">
        <v>34430</v>
      </c>
      <c r="B34431">
        <f>TEXT(34430, "[$-0E0000]yyyy-mm-dd")</f>
        <v/>
      </c>
      <c r="C34431" t="inlineStr">
        <is>
          <t>1994-02-27</t>
        </is>
      </c>
    </row>
    <row r="34432">
      <c r="A34432" s="1" t="n">
        <v>34431</v>
      </c>
      <c r="B34432">
        <f>TEXT(34431, "[$-0E0000]yyyy-mm-dd")</f>
        <v/>
      </c>
      <c r="C34432" t="inlineStr">
        <is>
          <t>1994-02-28</t>
        </is>
      </c>
    </row>
    <row r="34433">
      <c r="A34433" s="1" t="n">
        <v>34432</v>
      </c>
      <c r="B34433">
        <f>TEXT(34432, "[$-0E0000]yyyy-mm-dd")</f>
        <v/>
      </c>
      <c r="C34433" t="inlineStr">
        <is>
          <t>1994-02-29</t>
        </is>
      </c>
    </row>
    <row r="34434">
      <c r="A34434" s="1" t="n">
        <v>34433</v>
      </c>
      <c r="B34434">
        <f>TEXT(34433, "[$-0E0000]yyyy-mm-dd")</f>
        <v/>
      </c>
      <c r="C34434" t="inlineStr">
        <is>
          <t>1994-02-30</t>
        </is>
      </c>
    </row>
    <row r="34435">
      <c r="A34435" s="1" t="n">
        <v>34434</v>
      </c>
      <c r="B34435">
        <f>TEXT(34434, "[$-0E0000]yyyy-mm-dd")</f>
        <v/>
      </c>
      <c r="C34435" t="inlineStr">
        <is>
          <t>1994-03-01</t>
        </is>
      </c>
    </row>
    <row r="34436">
      <c r="A34436" s="1" t="n">
        <v>34435</v>
      </c>
      <c r="B34436">
        <f>TEXT(34435, "[$-0E0000]yyyy-mm-dd")</f>
        <v/>
      </c>
      <c r="C34436" t="inlineStr">
        <is>
          <t>1994-03-02</t>
        </is>
      </c>
    </row>
    <row r="34437">
      <c r="A34437" s="1" t="n">
        <v>34436</v>
      </c>
      <c r="B34437">
        <f>TEXT(34436, "[$-0E0000]yyyy-mm-dd")</f>
        <v/>
      </c>
      <c r="C34437" t="inlineStr">
        <is>
          <t>1994-03-03</t>
        </is>
      </c>
    </row>
    <row r="34438">
      <c r="A34438" s="1" t="n">
        <v>34437</v>
      </c>
      <c r="B34438">
        <f>TEXT(34437, "[$-0E0000]yyyy-mm-dd")</f>
        <v/>
      </c>
      <c r="C34438" t="inlineStr">
        <is>
          <t>1994-03-04</t>
        </is>
      </c>
    </row>
    <row r="34439">
      <c r="A34439" s="1" t="n">
        <v>34438</v>
      </c>
      <c r="B34439">
        <f>TEXT(34438, "[$-0E0000]yyyy-mm-dd")</f>
        <v/>
      </c>
      <c r="C34439" t="inlineStr">
        <is>
          <t>1994-03-05</t>
        </is>
      </c>
    </row>
    <row r="34440">
      <c r="A34440" s="1" t="n">
        <v>34439</v>
      </c>
      <c r="B34440">
        <f>TEXT(34439, "[$-0E0000]yyyy-mm-dd")</f>
        <v/>
      </c>
      <c r="C34440" t="inlineStr">
        <is>
          <t>1994-03-06</t>
        </is>
      </c>
    </row>
    <row r="34441">
      <c r="A34441" s="1" t="n">
        <v>34440</v>
      </c>
      <c r="B34441">
        <f>TEXT(34440, "[$-0E0000]yyyy-mm-dd")</f>
        <v/>
      </c>
      <c r="C34441" t="inlineStr">
        <is>
          <t>1994-03-07</t>
        </is>
      </c>
    </row>
    <row r="34442">
      <c r="A34442" s="1" t="n">
        <v>34441</v>
      </c>
      <c r="B34442">
        <f>TEXT(34441, "[$-0E0000]yyyy-mm-dd")</f>
        <v/>
      </c>
      <c r="C34442" t="inlineStr">
        <is>
          <t>1994-03-08</t>
        </is>
      </c>
    </row>
    <row r="34443">
      <c r="A34443" s="1" t="n">
        <v>34442</v>
      </c>
      <c r="B34443">
        <f>TEXT(34442, "[$-0E0000]yyyy-mm-dd")</f>
        <v/>
      </c>
      <c r="C34443" t="inlineStr">
        <is>
          <t>1994-03-09</t>
        </is>
      </c>
    </row>
    <row r="34444">
      <c r="A34444" s="1" t="n">
        <v>34443</v>
      </c>
      <c r="B34444">
        <f>TEXT(34443, "[$-0E0000]yyyy-mm-dd")</f>
        <v/>
      </c>
      <c r="C34444" t="inlineStr">
        <is>
          <t>1994-03-10</t>
        </is>
      </c>
    </row>
    <row r="34445">
      <c r="A34445" s="1" t="n">
        <v>34444</v>
      </c>
      <c r="B34445">
        <f>TEXT(34444, "[$-0E0000]yyyy-mm-dd")</f>
        <v/>
      </c>
      <c r="C34445" t="inlineStr">
        <is>
          <t>1994-03-11</t>
        </is>
      </c>
    </row>
    <row r="34446">
      <c r="A34446" s="1" t="n">
        <v>34445</v>
      </c>
      <c r="B34446">
        <f>TEXT(34445, "[$-0E0000]yyyy-mm-dd")</f>
        <v/>
      </c>
      <c r="C34446" t="inlineStr">
        <is>
          <t>1994-03-12</t>
        </is>
      </c>
    </row>
    <row r="34447">
      <c r="A34447" s="1" t="n">
        <v>34446</v>
      </c>
      <c r="B34447">
        <f>TEXT(34446, "[$-0E0000]yyyy-mm-dd")</f>
        <v/>
      </c>
      <c r="C34447" t="inlineStr">
        <is>
          <t>1994-03-13</t>
        </is>
      </c>
    </row>
    <row r="34448">
      <c r="A34448" s="1" t="n">
        <v>34447</v>
      </c>
      <c r="B34448">
        <f>TEXT(34447, "[$-0E0000]yyyy-mm-dd")</f>
        <v/>
      </c>
      <c r="C34448" t="inlineStr">
        <is>
          <t>1994-03-14</t>
        </is>
      </c>
    </row>
    <row r="34449">
      <c r="A34449" s="1" t="n">
        <v>34448</v>
      </c>
      <c r="B34449">
        <f>TEXT(34448, "[$-0E0000]yyyy-mm-dd")</f>
        <v/>
      </c>
      <c r="C34449" t="inlineStr">
        <is>
          <t>1994-03-15</t>
        </is>
      </c>
    </row>
    <row r="34450">
      <c r="A34450" s="1" t="n">
        <v>34449</v>
      </c>
      <c r="B34450">
        <f>TEXT(34449, "[$-0E0000]yyyy-mm-dd")</f>
        <v/>
      </c>
      <c r="C34450" t="inlineStr">
        <is>
          <t>1994-03-16</t>
        </is>
      </c>
    </row>
    <row r="34451">
      <c r="A34451" s="1" t="n">
        <v>34450</v>
      </c>
      <c r="B34451">
        <f>TEXT(34450, "[$-0E0000]yyyy-mm-dd")</f>
        <v/>
      </c>
      <c r="C34451" t="inlineStr">
        <is>
          <t>1994-03-17</t>
        </is>
      </c>
    </row>
    <row r="34452">
      <c r="A34452" s="1" t="n">
        <v>34451</v>
      </c>
      <c r="B34452">
        <f>TEXT(34451, "[$-0E0000]yyyy-mm-dd")</f>
        <v/>
      </c>
      <c r="C34452" t="inlineStr">
        <is>
          <t>1994-03-18</t>
        </is>
      </c>
    </row>
    <row r="34453">
      <c r="A34453" s="1" t="n">
        <v>34452</v>
      </c>
      <c r="B34453">
        <f>TEXT(34452, "[$-0E0000]yyyy-mm-dd")</f>
        <v/>
      </c>
      <c r="C34453" t="inlineStr">
        <is>
          <t>1994-03-19</t>
        </is>
      </c>
    </row>
    <row r="34454">
      <c r="A34454" s="1" t="n">
        <v>34453</v>
      </c>
      <c r="B34454">
        <f>TEXT(34453, "[$-0E0000]yyyy-mm-dd")</f>
        <v/>
      </c>
      <c r="C34454" t="inlineStr">
        <is>
          <t>1994-03-20</t>
        </is>
      </c>
    </row>
    <row r="34455">
      <c r="A34455" s="1" t="n">
        <v>34454</v>
      </c>
      <c r="B34455">
        <f>TEXT(34454, "[$-0E0000]yyyy-mm-dd")</f>
        <v/>
      </c>
      <c r="C34455" t="inlineStr">
        <is>
          <t>1994-03-21</t>
        </is>
      </c>
    </row>
    <row r="34456">
      <c r="A34456" s="1" t="n">
        <v>34455</v>
      </c>
      <c r="B34456">
        <f>TEXT(34455, "[$-0E0000]yyyy-mm-dd")</f>
        <v/>
      </c>
      <c r="C34456" t="inlineStr">
        <is>
          <t>1994-03-22</t>
        </is>
      </c>
    </row>
    <row r="34457">
      <c r="A34457" s="1" t="n">
        <v>34456</v>
      </c>
      <c r="B34457">
        <f>TEXT(34456, "[$-0E0000]yyyy-mm-dd")</f>
        <v/>
      </c>
      <c r="C34457" t="inlineStr">
        <is>
          <t>1994-03-23</t>
        </is>
      </c>
    </row>
    <row r="34458">
      <c r="A34458" s="1" t="n">
        <v>34457</v>
      </c>
      <c r="B34458">
        <f>TEXT(34457, "[$-0E0000]yyyy-mm-dd")</f>
        <v/>
      </c>
      <c r="C34458" t="inlineStr">
        <is>
          <t>1994-03-24</t>
        </is>
      </c>
    </row>
    <row r="34459">
      <c r="A34459" s="1" t="n">
        <v>34458</v>
      </c>
      <c r="B34459">
        <f>TEXT(34458, "[$-0E0000]yyyy-mm-dd")</f>
        <v/>
      </c>
      <c r="C34459" t="inlineStr">
        <is>
          <t>1994-03-25</t>
        </is>
      </c>
    </row>
    <row r="34460">
      <c r="A34460" s="1" t="n">
        <v>34459</v>
      </c>
      <c r="B34460">
        <f>TEXT(34459, "[$-0E0000]yyyy-mm-dd")</f>
        <v/>
      </c>
      <c r="C34460" t="inlineStr">
        <is>
          <t>1994-03-26</t>
        </is>
      </c>
    </row>
    <row r="34461">
      <c r="A34461" s="1" t="n">
        <v>34460</v>
      </c>
      <c r="B34461">
        <f>TEXT(34460, "[$-0E0000]yyyy-mm-dd")</f>
        <v/>
      </c>
      <c r="C34461" t="inlineStr">
        <is>
          <t>1994-03-27</t>
        </is>
      </c>
    </row>
    <row r="34462">
      <c r="A34462" s="1" t="n">
        <v>34461</v>
      </c>
      <c r="B34462">
        <f>TEXT(34461, "[$-0E0000]yyyy-mm-dd")</f>
        <v/>
      </c>
      <c r="C34462" t="inlineStr">
        <is>
          <t>1994-03-28</t>
        </is>
      </c>
    </row>
    <row r="34463">
      <c r="A34463" s="1" t="n">
        <v>34462</v>
      </c>
      <c r="B34463">
        <f>TEXT(34462, "[$-0E0000]yyyy-mm-dd")</f>
        <v/>
      </c>
      <c r="C34463" t="inlineStr">
        <is>
          <t>1994-03-29</t>
        </is>
      </c>
    </row>
    <row r="34464">
      <c r="A34464" s="1" t="n">
        <v>34463</v>
      </c>
      <c r="B34464">
        <f>TEXT(34463, "[$-0E0000]yyyy-mm-dd")</f>
        <v/>
      </c>
      <c r="C34464" t="inlineStr">
        <is>
          <t>1994-03-30</t>
        </is>
      </c>
    </row>
    <row r="34465">
      <c r="A34465" s="1" t="n">
        <v>34464</v>
      </c>
      <c r="B34465">
        <f>TEXT(34464, "[$-0E0000]yyyy-mm-dd")</f>
        <v/>
      </c>
      <c r="C34465" t="inlineStr">
        <is>
          <t>1994-04-01</t>
        </is>
      </c>
    </row>
    <row r="34466">
      <c r="A34466" s="1" t="n">
        <v>34465</v>
      </c>
      <c r="B34466">
        <f>TEXT(34465, "[$-0E0000]yyyy-mm-dd")</f>
        <v/>
      </c>
      <c r="C34466" t="inlineStr">
        <is>
          <t>1994-04-02</t>
        </is>
      </c>
    </row>
    <row r="34467">
      <c r="A34467" s="1" t="n">
        <v>34466</v>
      </c>
      <c r="B34467">
        <f>TEXT(34466, "[$-0E0000]yyyy-mm-dd")</f>
        <v/>
      </c>
      <c r="C34467" t="inlineStr">
        <is>
          <t>1994-04-03</t>
        </is>
      </c>
    </row>
    <row r="34468">
      <c r="A34468" s="1" t="n">
        <v>34467</v>
      </c>
      <c r="B34468">
        <f>TEXT(34467, "[$-0E0000]yyyy-mm-dd")</f>
        <v/>
      </c>
      <c r="C34468" t="inlineStr">
        <is>
          <t>1994-04-04</t>
        </is>
      </c>
    </row>
    <row r="34469">
      <c r="A34469" s="1" t="n">
        <v>34468</v>
      </c>
      <c r="B34469">
        <f>TEXT(34468, "[$-0E0000]yyyy-mm-dd")</f>
        <v/>
      </c>
      <c r="C34469" t="inlineStr">
        <is>
          <t>1994-04-05</t>
        </is>
      </c>
    </row>
    <row r="34470">
      <c r="A34470" s="1" t="n">
        <v>34469</v>
      </c>
      <c r="B34470">
        <f>TEXT(34469, "[$-0E0000]yyyy-mm-dd")</f>
        <v/>
      </c>
      <c r="C34470" t="inlineStr">
        <is>
          <t>1994-04-06</t>
        </is>
      </c>
    </row>
    <row r="34471">
      <c r="A34471" s="1" t="n">
        <v>34470</v>
      </c>
      <c r="B34471">
        <f>TEXT(34470, "[$-0E0000]yyyy-mm-dd")</f>
        <v/>
      </c>
      <c r="C34471" t="inlineStr">
        <is>
          <t>1994-04-07</t>
        </is>
      </c>
    </row>
    <row r="34472">
      <c r="A34472" s="1" t="n">
        <v>34471</v>
      </c>
      <c r="B34472">
        <f>TEXT(34471, "[$-0E0000]yyyy-mm-dd")</f>
        <v/>
      </c>
      <c r="C34472" t="inlineStr">
        <is>
          <t>1994-04-08</t>
        </is>
      </c>
    </row>
    <row r="34473">
      <c r="A34473" s="1" t="n">
        <v>34472</v>
      </c>
      <c r="B34473">
        <f>TEXT(34472, "[$-0E0000]yyyy-mm-dd")</f>
        <v/>
      </c>
      <c r="C34473" t="inlineStr">
        <is>
          <t>1994-04-09</t>
        </is>
      </c>
    </row>
    <row r="34474">
      <c r="A34474" s="1" t="n">
        <v>34473</v>
      </c>
      <c r="B34474">
        <f>TEXT(34473, "[$-0E0000]yyyy-mm-dd")</f>
        <v/>
      </c>
      <c r="C34474" t="inlineStr">
        <is>
          <t>1994-04-10</t>
        </is>
      </c>
    </row>
    <row r="34475">
      <c r="A34475" s="1" t="n">
        <v>34474</v>
      </c>
      <c r="B34475">
        <f>TEXT(34474, "[$-0E0000]yyyy-mm-dd")</f>
        <v/>
      </c>
      <c r="C34475" t="inlineStr">
        <is>
          <t>1994-04-11</t>
        </is>
      </c>
    </row>
    <row r="34476">
      <c r="A34476" s="1" t="n">
        <v>34475</v>
      </c>
      <c r="B34476">
        <f>TEXT(34475, "[$-0E0000]yyyy-mm-dd")</f>
        <v/>
      </c>
      <c r="C34476" t="inlineStr">
        <is>
          <t>1994-04-12</t>
        </is>
      </c>
    </row>
    <row r="34477">
      <c r="A34477" s="1" t="n">
        <v>34476</v>
      </c>
      <c r="B34477">
        <f>TEXT(34476, "[$-0E0000]yyyy-mm-dd")</f>
        <v/>
      </c>
      <c r="C34477" t="inlineStr">
        <is>
          <t>1994-04-13</t>
        </is>
      </c>
    </row>
    <row r="34478">
      <c r="A34478" s="1" t="n">
        <v>34477</v>
      </c>
      <c r="B34478">
        <f>TEXT(34477, "[$-0E0000]yyyy-mm-dd")</f>
        <v/>
      </c>
      <c r="C34478" t="inlineStr">
        <is>
          <t>1994-04-14</t>
        </is>
      </c>
    </row>
    <row r="34479">
      <c r="A34479" s="1" t="n">
        <v>34478</v>
      </c>
      <c r="B34479">
        <f>TEXT(34478, "[$-0E0000]yyyy-mm-dd")</f>
        <v/>
      </c>
      <c r="C34479" t="inlineStr">
        <is>
          <t>1994-04-15</t>
        </is>
      </c>
    </row>
    <row r="34480">
      <c r="A34480" s="1" t="n">
        <v>34479</v>
      </c>
      <c r="B34480">
        <f>TEXT(34479, "[$-0E0000]yyyy-mm-dd")</f>
        <v/>
      </c>
      <c r="C34480" t="inlineStr">
        <is>
          <t>1994-04-16</t>
        </is>
      </c>
    </row>
    <row r="34481">
      <c r="A34481" s="1" t="n">
        <v>34480</v>
      </c>
      <c r="B34481">
        <f>TEXT(34480, "[$-0E0000]yyyy-mm-dd")</f>
        <v/>
      </c>
      <c r="C34481" t="inlineStr">
        <is>
          <t>1994-04-17</t>
        </is>
      </c>
    </row>
    <row r="34482">
      <c r="A34482" s="1" t="n">
        <v>34481</v>
      </c>
      <c r="B34482">
        <f>TEXT(34481, "[$-0E0000]yyyy-mm-dd")</f>
        <v/>
      </c>
      <c r="C34482" t="inlineStr">
        <is>
          <t>1994-04-18</t>
        </is>
      </c>
    </row>
    <row r="34483">
      <c r="A34483" s="1" t="n">
        <v>34482</v>
      </c>
      <c r="B34483">
        <f>TEXT(34482, "[$-0E0000]yyyy-mm-dd")</f>
        <v/>
      </c>
      <c r="C34483" t="inlineStr">
        <is>
          <t>1994-04-19</t>
        </is>
      </c>
    </row>
    <row r="34484">
      <c r="A34484" s="1" t="n">
        <v>34483</v>
      </c>
      <c r="B34484">
        <f>TEXT(34483, "[$-0E0000]yyyy-mm-dd")</f>
        <v/>
      </c>
      <c r="C34484" t="inlineStr">
        <is>
          <t>1994-04-20</t>
        </is>
      </c>
    </row>
    <row r="34485">
      <c r="A34485" s="1" t="n">
        <v>34484</v>
      </c>
      <c r="B34485">
        <f>TEXT(34484, "[$-0E0000]yyyy-mm-dd")</f>
        <v/>
      </c>
      <c r="C34485" t="inlineStr">
        <is>
          <t>1994-04-21</t>
        </is>
      </c>
    </row>
    <row r="34486">
      <c r="A34486" s="1" t="n">
        <v>34485</v>
      </c>
      <c r="B34486">
        <f>TEXT(34485, "[$-0E0000]yyyy-mm-dd")</f>
        <v/>
      </c>
      <c r="C34486" t="inlineStr">
        <is>
          <t>1994-04-22</t>
        </is>
      </c>
    </row>
    <row r="34487">
      <c r="A34487" s="1" t="n">
        <v>34486</v>
      </c>
      <c r="B34487">
        <f>TEXT(34486, "[$-0E0000]yyyy-mm-dd")</f>
        <v/>
      </c>
      <c r="C34487" t="inlineStr">
        <is>
          <t>1994-04-23</t>
        </is>
      </c>
    </row>
    <row r="34488">
      <c r="A34488" s="1" t="n">
        <v>34487</v>
      </c>
      <c r="B34488">
        <f>TEXT(34487, "[$-0E0000]yyyy-mm-dd")</f>
        <v/>
      </c>
      <c r="C34488" t="inlineStr">
        <is>
          <t>1994-04-24</t>
        </is>
      </c>
    </row>
    <row r="34489">
      <c r="A34489" s="1" t="n">
        <v>34488</v>
      </c>
      <c r="B34489">
        <f>TEXT(34488, "[$-0E0000]yyyy-mm-dd")</f>
        <v/>
      </c>
      <c r="C34489" t="inlineStr">
        <is>
          <t>1994-04-25</t>
        </is>
      </c>
    </row>
    <row r="34490">
      <c r="A34490" s="1" t="n">
        <v>34489</v>
      </c>
      <c r="B34490">
        <f>TEXT(34489, "[$-0E0000]yyyy-mm-dd")</f>
        <v/>
      </c>
      <c r="C34490" t="inlineStr">
        <is>
          <t>1994-04-26</t>
        </is>
      </c>
    </row>
    <row r="34491">
      <c r="A34491" s="1" t="n">
        <v>34490</v>
      </c>
      <c r="B34491">
        <f>TEXT(34490, "[$-0E0000]yyyy-mm-dd")</f>
        <v/>
      </c>
      <c r="C34491" t="inlineStr">
        <is>
          <t>1994-04-27</t>
        </is>
      </c>
    </row>
    <row r="34492">
      <c r="A34492" s="1" t="n">
        <v>34491</v>
      </c>
      <c r="B34492">
        <f>TEXT(34491, "[$-0E0000]yyyy-mm-dd")</f>
        <v/>
      </c>
      <c r="C34492" t="inlineStr">
        <is>
          <t>1994-04-28</t>
        </is>
      </c>
    </row>
    <row r="34493">
      <c r="A34493" s="1" t="n">
        <v>34492</v>
      </c>
      <c r="B34493">
        <f>TEXT(34492, "[$-0E0000]yyyy-mm-dd")</f>
        <v/>
      </c>
      <c r="C34493" t="inlineStr">
        <is>
          <t>1994-04-29</t>
        </is>
      </c>
    </row>
    <row r="34494">
      <c r="A34494" s="1" t="n">
        <v>34493</v>
      </c>
      <c r="B34494">
        <f>TEXT(34493, "[$-0E0000]yyyy-mm-dd")</f>
        <v/>
      </c>
      <c r="C34494" t="inlineStr">
        <is>
          <t>1994-05-01</t>
        </is>
      </c>
    </row>
    <row r="34495">
      <c r="A34495" s="1" t="n">
        <v>34494</v>
      </c>
      <c r="B34495">
        <f>TEXT(34494, "[$-0E0000]yyyy-mm-dd")</f>
        <v/>
      </c>
      <c r="C34495" t="inlineStr">
        <is>
          <t>1994-05-02</t>
        </is>
      </c>
    </row>
    <row r="34496">
      <c r="A34496" s="1" t="n">
        <v>34495</v>
      </c>
      <c r="B34496">
        <f>TEXT(34495, "[$-0E0000]yyyy-mm-dd")</f>
        <v/>
      </c>
      <c r="C34496" t="inlineStr">
        <is>
          <t>1994-05-03</t>
        </is>
      </c>
    </row>
    <row r="34497">
      <c r="A34497" s="1" t="n">
        <v>34496</v>
      </c>
      <c r="B34497">
        <f>TEXT(34496, "[$-0E0000]yyyy-mm-dd")</f>
        <v/>
      </c>
      <c r="C34497" t="inlineStr">
        <is>
          <t>1994-05-04</t>
        </is>
      </c>
    </row>
    <row r="34498">
      <c r="A34498" s="1" t="n">
        <v>34497</v>
      </c>
      <c r="B34498">
        <f>TEXT(34497, "[$-0E0000]yyyy-mm-dd")</f>
        <v/>
      </c>
      <c r="C34498" t="inlineStr">
        <is>
          <t>1994-05-05</t>
        </is>
      </c>
    </row>
    <row r="34499">
      <c r="A34499" s="1" t="n">
        <v>34498</v>
      </c>
      <c r="B34499">
        <f>TEXT(34498, "[$-0E0000]yyyy-mm-dd")</f>
        <v/>
      </c>
      <c r="C34499" t="inlineStr">
        <is>
          <t>1994-05-06</t>
        </is>
      </c>
    </row>
    <row r="34500">
      <c r="A34500" s="1" t="n">
        <v>34499</v>
      </c>
      <c r="B34500">
        <f>TEXT(34499, "[$-0E0000]yyyy-mm-dd")</f>
        <v/>
      </c>
      <c r="C34500" t="inlineStr">
        <is>
          <t>1994-05-07</t>
        </is>
      </c>
    </row>
    <row r="34501">
      <c r="A34501" s="1" t="n">
        <v>34500</v>
      </c>
      <c r="B34501">
        <f>TEXT(34500, "[$-0E0000]yyyy-mm-dd")</f>
        <v/>
      </c>
      <c r="C34501" t="inlineStr">
        <is>
          <t>1994-05-08</t>
        </is>
      </c>
    </row>
    <row r="34502">
      <c r="A34502" s="1" t="n">
        <v>34501</v>
      </c>
      <c r="B34502">
        <f>TEXT(34501, "[$-0E0000]yyyy-mm-dd")</f>
        <v/>
      </c>
      <c r="C34502" t="inlineStr">
        <is>
          <t>1994-05-09</t>
        </is>
      </c>
    </row>
    <row r="34503">
      <c r="A34503" s="1" t="n">
        <v>34502</v>
      </c>
      <c r="B34503">
        <f>TEXT(34502, "[$-0E0000]yyyy-mm-dd")</f>
        <v/>
      </c>
      <c r="C34503" t="inlineStr">
        <is>
          <t>1994-05-10</t>
        </is>
      </c>
    </row>
    <row r="34504">
      <c r="A34504" s="1" t="n">
        <v>34503</v>
      </c>
      <c r="B34504">
        <f>TEXT(34503, "[$-0E0000]yyyy-mm-dd")</f>
        <v/>
      </c>
      <c r="C34504" t="inlineStr">
        <is>
          <t>1994-05-11</t>
        </is>
      </c>
    </row>
    <row r="34505">
      <c r="A34505" s="1" t="n">
        <v>34504</v>
      </c>
      <c r="B34505">
        <f>TEXT(34504, "[$-0E0000]yyyy-mm-dd")</f>
        <v/>
      </c>
      <c r="C34505" t="inlineStr">
        <is>
          <t>1994-05-12</t>
        </is>
      </c>
    </row>
    <row r="34506">
      <c r="A34506" s="1" t="n">
        <v>34505</v>
      </c>
      <c r="B34506">
        <f>TEXT(34505, "[$-0E0000]yyyy-mm-dd")</f>
        <v/>
      </c>
      <c r="C34506" t="inlineStr">
        <is>
          <t>1994-05-13</t>
        </is>
      </c>
    </row>
    <row r="34507">
      <c r="A34507" s="1" t="n">
        <v>34506</v>
      </c>
      <c r="B34507">
        <f>TEXT(34506, "[$-0E0000]yyyy-mm-dd")</f>
        <v/>
      </c>
      <c r="C34507" t="inlineStr">
        <is>
          <t>1994-05-14</t>
        </is>
      </c>
    </row>
    <row r="34508">
      <c r="A34508" s="1" t="n">
        <v>34507</v>
      </c>
      <c r="B34508">
        <f>TEXT(34507, "[$-0E0000]yyyy-mm-dd")</f>
        <v/>
      </c>
      <c r="C34508" t="inlineStr">
        <is>
          <t>1994-05-15</t>
        </is>
      </c>
    </row>
    <row r="34509">
      <c r="A34509" s="1" t="n">
        <v>34508</v>
      </c>
      <c r="B34509">
        <f>TEXT(34508, "[$-0E0000]yyyy-mm-dd")</f>
        <v/>
      </c>
      <c r="C34509" t="inlineStr">
        <is>
          <t>1994-05-16</t>
        </is>
      </c>
    </row>
    <row r="34510">
      <c r="A34510" s="1" t="n">
        <v>34509</v>
      </c>
      <c r="B34510">
        <f>TEXT(34509, "[$-0E0000]yyyy-mm-dd")</f>
        <v/>
      </c>
      <c r="C34510" t="inlineStr">
        <is>
          <t>1994-05-17</t>
        </is>
      </c>
    </row>
    <row r="34511">
      <c r="A34511" s="1" t="n">
        <v>34510</v>
      </c>
      <c r="B34511">
        <f>TEXT(34510, "[$-0E0000]yyyy-mm-dd")</f>
        <v/>
      </c>
      <c r="C34511" t="inlineStr">
        <is>
          <t>1994-05-18</t>
        </is>
      </c>
    </row>
    <row r="34512">
      <c r="A34512" s="1" t="n">
        <v>34511</v>
      </c>
      <c r="B34512">
        <f>TEXT(34511, "[$-0E0000]yyyy-mm-dd")</f>
        <v/>
      </c>
      <c r="C34512" t="inlineStr">
        <is>
          <t>1994-05-19</t>
        </is>
      </c>
    </row>
    <row r="34513">
      <c r="A34513" s="1" t="n">
        <v>34512</v>
      </c>
      <c r="B34513">
        <f>TEXT(34512, "[$-0E0000]yyyy-mm-dd")</f>
        <v/>
      </c>
      <c r="C34513" t="inlineStr">
        <is>
          <t>1994-05-20</t>
        </is>
      </c>
    </row>
    <row r="34514">
      <c r="A34514" s="1" t="n">
        <v>34513</v>
      </c>
      <c r="B34514">
        <f>TEXT(34513, "[$-0E0000]yyyy-mm-dd")</f>
        <v/>
      </c>
      <c r="C34514" t="inlineStr">
        <is>
          <t>1994-05-21</t>
        </is>
      </c>
    </row>
    <row r="34515">
      <c r="A34515" s="1" t="n">
        <v>34514</v>
      </c>
      <c r="B34515">
        <f>TEXT(34514, "[$-0E0000]yyyy-mm-dd")</f>
        <v/>
      </c>
      <c r="C34515" t="inlineStr">
        <is>
          <t>1994-05-22</t>
        </is>
      </c>
    </row>
    <row r="34516">
      <c r="A34516" s="1" t="n">
        <v>34515</v>
      </c>
      <c r="B34516">
        <f>TEXT(34515, "[$-0E0000]yyyy-mm-dd")</f>
        <v/>
      </c>
      <c r="C34516" t="inlineStr">
        <is>
          <t>1994-05-23</t>
        </is>
      </c>
    </row>
    <row r="34517">
      <c r="A34517" s="1" t="n">
        <v>34516</v>
      </c>
      <c r="B34517">
        <f>TEXT(34516, "[$-0E0000]yyyy-mm-dd")</f>
        <v/>
      </c>
      <c r="C34517" t="inlineStr">
        <is>
          <t>1994-05-24</t>
        </is>
      </c>
    </row>
    <row r="34518">
      <c r="A34518" s="1" t="n">
        <v>34517</v>
      </c>
      <c r="B34518">
        <f>TEXT(34517, "[$-0E0000]yyyy-mm-dd")</f>
        <v/>
      </c>
      <c r="C34518" t="inlineStr">
        <is>
          <t>1994-05-25</t>
        </is>
      </c>
    </row>
    <row r="34519">
      <c r="A34519" s="1" t="n">
        <v>34518</v>
      </c>
      <c r="B34519">
        <f>TEXT(34518, "[$-0E0000]yyyy-mm-dd")</f>
        <v/>
      </c>
      <c r="C34519" t="inlineStr">
        <is>
          <t>1994-05-26</t>
        </is>
      </c>
    </row>
    <row r="34520">
      <c r="A34520" s="1" t="n">
        <v>34519</v>
      </c>
      <c r="B34520">
        <f>TEXT(34519, "[$-0E0000]yyyy-mm-dd")</f>
        <v/>
      </c>
      <c r="C34520" t="inlineStr">
        <is>
          <t>1994-05-27</t>
        </is>
      </c>
    </row>
    <row r="34521">
      <c r="A34521" s="1" t="n">
        <v>34520</v>
      </c>
      <c r="B34521">
        <f>TEXT(34520, "[$-0E0000]yyyy-mm-dd")</f>
        <v/>
      </c>
      <c r="C34521" t="inlineStr">
        <is>
          <t>1994-05-28</t>
        </is>
      </c>
    </row>
    <row r="34522">
      <c r="A34522" s="1" t="n">
        <v>34521</v>
      </c>
      <c r="B34522">
        <f>TEXT(34521, "[$-0E0000]yyyy-mm-dd")</f>
        <v/>
      </c>
      <c r="C34522" t="inlineStr">
        <is>
          <t>1994-05-29</t>
        </is>
      </c>
    </row>
    <row r="34523">
      <c r="A34523" s="1" t="n">
        <v>34522</v>
      </c>
      <c r="B34523">
        <f>TEXT(34522, "[$-0E0000]yyyy-mm-dd")</f>
        <v/>
      </c>
      <c r="C34523" t="inlineStr">
        <is>
          <t>1994-05-30</t>
        </is>
      </c>
    </row>
    <row r="34524">
      <c r="A34524" s="1" t="n">
        <v>34523</v>
      </c>
      <c r="B34524">
        <f>TEXT(34523, "[$-0E0000]yyyy-mm-dd")</f>
        <v/>
      </c>
      <c r="C34524" t="inlineStr">
        <is>
          <t>1994-06-01</t>
        </is>
      </c>
    </row>
    <row r="34525">
      <c r="A34525" s="1" t="n">
        <v>34524</v>
      </c>
      <c r="B34525">
        <f>TEXT(34524, "[$-0E0000]yyyy-mm-dd")</f>
        <v/>
      </c>
      <c r="C34525" t="inlineStr">
        <is>
          <t>1994-06-02</t>
        </is>
      </c>
    </row>
    <row r="34526">
      <c r="A34526" s="1" t="n">
        <v>34525</v>
      </c>
      <c r="B34526">
        <f>TEXT(34525, "[$-0E0000]yyyy-mm-dd")</f>
        <v/>
      </c>
      <c r="C34526" t="inlineStr">
        <is>
          <t>1994-06-03</t>
        </is>
      </c>
    </row>
    <row r="34527">
      <c r="A34527" s="1" t="n">
        <v>34526</v>
      </c>
      <c r="B34527">
        <f>TEXT(34526, "[$-0E0000]yyyy-mm-dd")</f>
        <v/>
      </c>
      <c r="C34527" t="inlineStr">
        <is>
          <t>1994-06-04</t>
        </is>
      </c>
    </row>
    <row r="34528">
      <c r="A34528" s="1" t="n">
        <v>34527</v>
      </c>
      <c r="B34528">
        <f>TEXT(34527, "[$-0E0000]yyyy-mm-dd")</f>
        <v/>
      </c>
      <c r="C34528" t="inlineStr">
        <is>
          <t>1994-06-05</t>
        </is>
      </c>
    </row>
    <row r="34529">
      <c r="A34529" s="1" t="n">
        <v>34528</v>
      </c>
      <c r="B34529">
        <f>TEXT(34528, "[$-0E0000]yyyy-mm-dd")</f>
        <v/>
      </c>
      <c r="C34529" t="inlineStr">
        <is>
          <t>1994-06-06</t>
        </is>
      </c>
    </row>
    <row r="34530">
      <c r="A34530" s="1" t="n">
        <v>34529</v>
      </c>
      <c r="B34530">
        <f>TEXT(34529, "[$-0E0000]yyyy-mm-dd")</f>
        <v/>
      </c>
      <c r="C34530" t="inlineStr">
        <is>
          <t>1994-06-07</t>
        </is>
      </c>
    </row>
    <row r="34531">
      <c r="A34531" s="1" t="n">
        <v>34530</v>
      </c>
      <c r="B34531">
        <f>TEXT(34530, "[$-0E0000]yyyy-mm-dd")</f>
        <v/>
      </c>
      <c r="C34531" t="inlineStr">
        <is>
          <t>1994-06-08</t>
        </is>
      </c>
    </row>
    <row r="34532">
      <c r="A34532" s="1" t="n">
        <v>34531</v>
      </c>
      <c r="B34532">
        <f>TEXT(34531, "[$-0E0000]yyyy-mm-dd")</f>
        <v/>
      </c>
      <c r="C34532" t="inlineStr">
        <is>
          <t>1994-06-09</t>
        </is>
      </c>
    </row>
    <row r="34533">
      <c r="A34533" s="1" t="n">
        <v>34532</v>
      </c>
      <c r="B34533">
        <f>TEXT(34532, "[$-0E0000]yyyy-mm-dd")</f>
        <v/>
      </c>
      <c r="C34533" t="inlineStr">
        <is>
          <t>1994-06-10</t>
        </is>
      </c>
    </row>
    <row r="34534">
      <c r="A34534" s="1" t="n">
        <v>34533</v>
      </c>
      <c r="B34534">
        <f>TEXT(34533, "[$-0E0000]yyyy-mm-dd")</f>
        <v/>
      </c>
      <c r="C34534" t="inlineStr">
        <is>
          <t>1994-06-11</t>
        </is>
      </c>
    </row>
    <row r="34535">
      <c r="A34535" s="1" t="n">
        <v>34534</v>
      </c>
      <c r="B34535">
        <f>TEXT(34534, "[$-0E0000]yyyy-mm-dd")</f>
        <v/>
      </c>
      <c r="C34535" t="inlineStr">
        <is>
          <t>1994-06-12</t>
        </is>
      </c>
    </row>
    <row r="34536">
      <c r="A34536" s="1" t="n">
        <v>34535</v>
      </c>
      <c r="B34536">
        <f>TEXT(34535, "[$-0E0000]yyyy-mm-dd")</f>
        <v/>
      </c>
      <c r="C34536" t="inlineStr">
        <is>
          <t>1994-06-13</t>
        </is>
      </c>
    </row>
    <row r="34537">
      <c r="A34537" s="1" t="n">
        <v>34536</v>
      </c>
      <c r="B34537">
        <f>TEXT(34536, "[$-0E0000]yyyy-mm-dd")</f>
        <v/>
      </c>
      <c r="C34537" t="inlineStr">
        <is>
          <t>1994-06-14</t>
        </is>
      </c>
    </row>
    <row r="34538">
      <c r="A34538" s="1" t="n">
        <v>34537</v>
      </c>
      <c r="B34538">
        <f>TEXT(34537, "[$-0E0000]yyyy-mm-dd")</f>
        <v/>
      </c>
      <c r="C34538" t="inlineStr">
        <is>
          <t>1994-06-15</t>
        </is>
      </c>
    </row>
    <row r="34539">
      <c r="A34539" s="1" t="n">
        <v>34538</v>
      </c>
      <c r="B34539">
        <f>TEXT(34538, "[$-0E0000]yyyy-mm-dd")</f>
        <v/>
      </c>
      <c r="C34539" t="inlineStr">
        <is>
          <t>1994-06-16</t>
        </is>
      </c>
    </row>
    <row r="34540">
      <c r="A34540" s="1" t="n">
        <v>34539</v>
      </c>
      <c r="B34540">
        <f>TEXT(34539, "[$-0E0000]yyyy-mm-dd")</f>
        <v/>
      </c>
      <c r="C34540" t="inlineStr">
        <is>
          <t>1994-06-17</t>
        </is>
      </c>
    </row>
    <row r="34541">
      <c r="A34541" s="1" t="n">
        <v>34540</v>
      </c>
      <c r="B34541">
        <f>TEXT(34540, "[$-0E0000]yyyy-mm-dd")</f>
        <v/>
      </c>
      <c r="C34541" t="inlineStr">
        <is>
          <t>1994-06-18</t>
        </is>
      </c>
    </row>
    <row r="34542">
      <c r="A34542" s="1" t="n">
        <v>34541</v>
      </c>
      <c r="B34542">
        <f>TEXT(34541, "[$-0E0000]yyyy-mm-dd")</f>
        <v/>
      </c>
      <c r="C34542" t="inlineStr">
        <is>
          <t>1994-06-19</t>
        </is>
      </c>
    </row>
    <row r="34543">
      <c r="A34543" s="1" t="n">
        <v>34542</v>
      </c>
      <c r="B34543">
        <f>TEXT(34542, "[$-0E0000]yyyy-mm-dd")</f>
        <v/>
      </c>
      <c r="C34543" t="inlineStr">
        <is>
          <t>1994-06-20</t>
        </is>
      </c>
    </row>
    <row r="34544">
      <c r="A34544" s="1" t="n">
        <v>34543</v>
      </c>
      <c r="B34544">
        <f>TEXT(34543, "[$-0E0000]yyyy-mm-dd")</f>
        <v/>
      </c>
      <c r="C34544" t="inlineStr">
        <is>
          <t>1994-06-21</t>
        </is>
      </c>
    </row>
    <row r="34545">
      <c r="A34545" s="1" t="n">
        <v>34544</v>
      </c>
      <c r="B34545">
        <f>TEXT(34544, "[$-0E0000]yyyy-mm-dd")</f>
        <v/>
      </c>
      <c r="C34545" t="inlineStr">
        <is>
          <t>1994-06-22</t>
        </is>
      </c>
    </row>
    <row r="34546">
      <c r="A34546" s="1" t="n">
        <v>34545</v>
      </c>
      <c r="B34546">
        <f>TEXT(34545, "[$-0E0000]yyyy-mm-dd")</f>
        <v/>
      </c>
      <c r="C34546" t="inlineStr">
        <is>
          <t>1994-06-23</t>
        </is>
      </c>
    </row>
    <row r="34547">
      <c r="A34547" s="1" t="n">
        <v>34546</v>
      </c>
      <c r="B34547">
        <f>TEXT(34546, "[$-0E0000]yyyy-mm-dd")</f>
        <v/>
      </c>
      <c r="C34547" t="inlineStr">
        <is>
          <t>1994-06-24</t>
        </is>
      </c>
    </row>
    <row r="34548">
      <c r="A34548" s="1" t="n">
        <v>34547</v>
      </c>
      <c r="B34548">
        <f>TEXT(34547, "[$-0E0000]yyyy-mm-dd")</f>
        <v/>
      </c>
      <c r="C34548" t="inlineStr">
        <is>
          <t>1994-06-25</t>
        </is>
      </c>
    </row>
    <row r="34549">
      <c r="A34549" s="1" t="n">
        <v>34548</v>
      </c>
      <c r="B34549">
        <f>TEXT(34548, "[$-0E0000]yyyy-mm-dd")</f>
        <v/>
      </c>
      <c r="C34549" t="inlineStr">
        <is>
          <t>1994-06-26</t>
        </is>
      </c>
    </row>
    <row r="34550">
      <c r="A34550" s="1" t="n">
        <v>34549</v>
      </c>
      <c r="B34550">
        <f>TEXT(34549, "[$-0E0000]yyyy-mm-dd")</f>
        <v/>
      </c>
      <c r="C34550" t="inlineStr">
        <is>
          <t>1994-06-27</t>
        </is>
      </c>
    </row>
    <row r="34551">
      <c r="A34551" s="1" t="n">
        <v>34550</v>
      </c>
      <c r="B34551">
        <f>TEXT(34550, "[$-0E0000]yyyy-mm-dd")</f>
        <v/>
      </c>
      <c r="C34551" t="inlineStr">
        <is>
          <t>1994-06-28</t>
        </is>
      </c>
    </row>
    <row r="34552">
      <c r="A34552" s="1" t="n">
        <v>34551</v>
      </c>
      <c r="B34552">
        <f>TEXT(34551, "[$-0E0000]yyyy-mm-dd")</f>
        <v/>
      </c>
      <c r="C34552" t="inlineStr">
        <is>
          <t>1994-06-29</t>
        </is>
      </c>
    </row>
    <row r="34553">
      <c r="A34553" s="1" t="n">
        <v>34552</v>
      </c>
      <c r="B34553">
        <f>TEXT(34552, "[$-0E0000]yyyy-mm-dd")</f>
        <v/>
      </c>
      <c r="C34553" t="inlineStr">
        <is>
          <t>1994-07-01</t>
        </is>
      </c>
    </row>
    <row r="34554">
      <c r="A34554" s="1" t="n">
        <v>34553</v>
      </c>
      <c r="B34554">
        <f>TEXT(34553, "[$-0E0000]yyyy-mm-dd")</f>
        <v/>
      </c>
      <c r="C34554" t="inlineStr">
        <is>
          <t>1994-07-02</t>
        </is>
      </c>
    </row>
    <row r="34555">
      <c r="A34555" s="1" t="n">
        <v>34554</v>
      </c>
      <c r="B34555">
        <f>TEXT(34554, "[$-0E0000]yyyy-mm-dd")</f>
        <v/>
      </c>
      <c r="C34555" t="inlineStr">
        <is>
          <t>1994-07-03</t>
        </is>
      </c>
    </row>
    <row r="34556">
      <c r="A34556" s="1" t="n">
        <v>34555</v>
      </c>
      <c r="B34556">
        <f>TEXT(34555, "[$-0E0000]yyyy-mm-dd")</f>
        <v/>
      </c>
      <c r="C34556" t="inlineStr">
        <is>
          <t>1994-07-04</t>
        </is>
      </c>
    </row>
    <row r="34557">
      <c r="A34557" s="1" t="n">
        <v>34556</v>
      </c>
      <c r="B34557">
        <f>TEXT(34556, "[$-0E0000]yyyy-mm-dd")</f>
        <v/>
      </c>
      <c r="C34557" t="inlineStr">
        <is>
          <t>1994-07-05</t>
        </is>
      </c>
    </row>
    <row r="34558">
      <c r="A34558" s="1" t="n">
        <v>34557</v>
      </c>
      <c r="B34558">
        <f>TEXT(34557, "[$-0E0000]yyyy-mm-dd")</f>
        <v/>
      </c>
      <c r="C34558" t="inlineStr">
        <is>
          <t>1994-07-06</t>
        </is>
      </c>
    </row>
    <row r="34559">
      <c r="A34559" s="1" t="n">
        <v>34558</v>
      </c>
      <c r="B34559">
        <f>TEXT(34558, "[$-0E0000]yyyy-mm-dd")</f>
        <v/>
      </c>
      <c r="C34559" t="inlineStr">
        <is>
          <t>1994-07-07</t>
        </is>
      </c>
    </row>
    <row r="34560">
      <c r="A34560" s="1" t="n">
        <v>34559</v>
      </c>
      <c r="B34560">
        <f>TEXT(34559, "[$-0E0000]yyyy-mm-dd")</f>
        <v/>
      </c>
      <c r="C34560" t="inlineStr">
        <is>
          <t>1994-07-08</t>
        </is>
      </c>
    </row>
    <row r="34561">
      <c r="A34561" s="1" t="n">
        <v>34560</v>
      </c>
      <c r="B34561">
        <f>TEXT(34560, "[$-0E0000]yyyy-mm-dd")</f>
        <v/>
      </c>
      <c r="C34561" t="inlineStr">
        <is>
          <t>1994-07-09</t>
        </is>
      </c>
    </row>
    <row r="34562">
      <c r="A34562" s="1" t="n">
        <v>34561</v>
      </c>
      <c r="B34562">
        <f>TEXT(34561, "[$-0E0000]yyyy-mm-dd")</f>
        <v/>
      </c>
      <c r="C34562" t="inlineStr">
        <is>
          <t>1994-07-10</t>
        </is>
      </c>
    </row>
    <row r="34563">
      <c r="A34563" s="1" t="n">
        <v>34562</v>
      </c>
      <c r="B34563">
        <f>TEXT(34562, "[$-0E0000]yyyy-mm-dd")</f>
        <v/>
      </c>
      <c r="C34563" t="inlineStr">
        <is>
          <t>1994-07-11</t>
        </is>
      </c>
    </row>
    <row r="34564">
      <c r="A34564" s="1" t="n">
        <v>34563</v>
      </c>
      <c r="B34564">
        <f>TEXT(34563, "[$-0E0000]yyyy-mm-dd")</f>
        <v/>
      </c>
      <c r="C34564" t="inlineStr">
        <is>
          <t>1994-07-12</t>
        </is>
      </c>
    </row>
    <row r="34565">
      <c r="A34565" s="1" t="n">
        <v>34564</v>
      </c>
      <c r="B34565">
        <f>TEXT(34564, "[$-0E0000]yyyy-mm-dd")</f>
        <v/>
      </c>
      <c r="C34565" t="inlineStr">
        <is>
          <t>1994-07-13</t>
        </is>
      </c>
    </row>
    <row r="34566">
      <c r="A34566" s="1" t="n">
        <v>34565</v>
      </c>
      <c r="B34566">
        <f>TEXT(34565, "[$-0E0000]yyyy-mm-dd")</f>
        <v/>
      </c>
      <c r="C34566" t="inlineStr">
        <is>
          <t>1994-07-14</t>
        </is>
      </c>
    </row>
    <row r="34567">
      <c r="A34567" s="1" t="n">
        <v>34566</v>
      </c>
      <c r="B34567">
        <f>TEXT(34566, "[$-0E0000]yyyy-mm-dd")</f>
        <v/>
      </c>
      <c r="C34567" t="inlineStr">
        <is>
          <t>1994-07-15</t>
        </is>
      </c>
    </row>
    <row r="34568">
      <c r="A34568" s="1" t="n">
        <v>34567</v>
      </c>
      <c r="B34568">
        <f>TEXT(34567, "[$-0E0000]yyyy-mm-dd")</f>
        <v/>
      </c>
      <c r="C34568" t="inlineStr">
        <is>
          <t>1994-07-16</t>
        </is>
      </c>
    </row>
    <row r="34569">
      <c r="A34569" s="1" t="n">
        <v>34568</v>
      </c>
      <c r="B34569">
        <f>TEXT(34568, "[$-0E0000]yyyy-mm-dd")</f>
        <v/>
      </c>
      <c r="C34569" t="inlineStr">
        <is>
          <t>1994-07-17</t>
        </is>
      </c>
    </row>
    <row r="34570">
      <c r="A34570" s="1" t="n">
        <v>34569</v>
      </c>
      <c r="B34570">
        <f>TEXT(34569, "[$-0E0000]yyyy-mm-dd")</f>
        <v/>
      </c>
      <c r="C34570" t="inlineStr">
        <is>
          <t>1994-07-18</t>
        </is>
      </c>
    </row>
    <row r="34571">
      <c r="A34571" s="1" t="n">
        <v>34570</v>
      </c>
      <c r="B34571">
        <f>TEXT(34570, "[$-0E0000]yyyy-mm-dd")</f>
        <v/>
      </c>
      <c r="C34571" t="inlineStr">
        <is>
          <t>1994-07-19</t>
        </is>
      </c>
    </row>
    <row r="34572">
      <c r="A34572" s="1" t="n">
        <v>34571</v>
      </c>
      <c r="B34572">
        <f>TEXT(34571, "[$-0E0000]yyyy-mm-dd")</f>
        <v/>
      </c>
      <c r="C34572" t="inlineStr">
        <is>
          <t>1994-07-20</t>
        </is>
      </c>
    </row>
    <row r="34573">
      <c r="A34573" s="1" t="n">
        <v>34572</v>
      </c>
      <c r="B34573">
        <f>TEXT(34572, "[$-0E0000]yyyy-mm-dd")</f>
        <v/>
      </c>
      <c r="C34573" t="inlineStr">
        <is>
          <t>1994-07-21</t>
        </is>
      </c>
    </row>
    <row r="34574">
      <c r="A34574" s="1" t="n">
        <v>34573</v>
      </c>
      <c r="B34574">
        <f>TEXT(34573, "[$-0E0000]yyyy-mm-dd")</f>
        <v/>
      </c>
      <c r="C34574" t="inlineStr">
        <is>
          <t>1994-07-22</t>
        </is>
      </c>
    </row>
    <row r="34575">
      <c r="A34575" s="1" t="n">
        <v>34574</v>
      </c>
      <c r="B34575">
        <f>TEXT(34574, "[$-0E0000]yyyy-mm-dd")</f>
        <v/>
      </c>
      <c r="C34575" t="inlineStr">
        <is>
          <t>1994-07-23</t>
        </is>
      </c>
    </row>
    <row r="34576">
      <c r="A34576" s="1" t="n">
        <v>34575</v>
      </c>
      <c r="B34576">
        <f>TEXT(34575, "[$-0E0000]yyyy-mm-dd")</f>
        <v/>
      </c>
      <c r="C34576" t="inlineStr">
        <is>
          <t>1994-07-24</t>
        </is>
      </c>
    </row>
    <row r="34577">
      <c r="A34577" s="1" t="n">
        <v>34576</v>
      </c>
      <c r="B34577">
        <f>TEXT(34576, "[$-0E0000]yyyy-mm-dd")</f>
        <v/>
      </c>
      <c r="C34577" t="inlineStr">
        <is>
          <t>1994-07-25</t>
        </is>
      </c>
    </row>
    <row r="34578">
      <c r="A34578" s="1" t="n">
        <v>34577</v>
      </c>
      <c r="B34578">
        <f>TEXT(34577, "[$-0E0000]yyyy-mm-dd")</f>
        <v/>
      </c>
      <c r="C34578" t="inlineStr">
        <is>
          <t>1994-07-26</t>
        </is>
      </c>
    </row>
    <row r="34579">
      <c r="A34579" s="1" t="n">
        <v>34578</v>
      </c>
      <c r="B34579">
        <f>TEXT(34578, "[$-0E0000]yyyy-mm-dd")</f>
        <v/>
      </c>
      <c r="C34579" t="inlineStr">
        <is>
          <t>1994-07-27</t>
        </is>
      </c>
    </row>
    <row r="34580">
      <c r="A34580" s="1" t="n">
        <v>34579</v>
      </c>
      <c r="B34580">
        <f>TEXT(34579, "[$-0E0000]yyyy-mm-dd")</f>
        <v/>
      </c>
      <c r="C34580" t="inlineStr">
        <is>
          <t>1994-07-28</t>
        </is>
      </c>
    </row>
    <row r="34581">
      <c r="A34581" s="1" t="n">
        <v>34580</v>
      </c>
      <c r="B34581">
        <f>TEXT(34580, "[$-0E0000]yyyy-mm-dd")</f>
        <v/>
      </c>
      <c r="C34581" t="inlineStr">
        <is>
          <t>1994-07-29</t>
        </is>
      </c>
    </row>
    <row r="34582">
      <c r="A34582" s="1" t="n">
        <v>34581</v>
      </c>
      <c r="B34582">
        <f>TEXT(34581, "[$-0E0000]yyyy-mm-dd")</f>
        <v/>
      </c>
      <c r="C34582" t="inlineStr">
        <is>
          <t>1994-07-30</t>
        </is>
      </c>
    </row>
    <row r="34583">
      <c r="A34583" s="1" t="n">
        <v>34582</v>
      </c>
      <c r="B34583">
        <f>TEXT(34582, "[$-0E0000]yyyy-mm-dd")</f>
        <v/>
      </c>
      <c r="C34583" t="inlineStr">
        <is>
          <t>1994-08-01</t>
        </is>
      </c>
    </row>
    <row r="34584">
      <c r="A34584" s="1" t="n">
        <v>34583</v>
      </c>
      <c r="B34584">
        <f>TEXT(34583, "[$-0E0000]yyyy-mm-dd")</f>
        <v/>
      </c>
      <c r="C34584" t="inlineStr">
        <is>
          <t>1994-08-02</t>
        </is>
      </c>
    </row>
    <row r="34585">
      <c r="A34585" s="1" t="n">
        <v>34584</v>
      </c>
      <c r="B34585">
        <f>TEXT(34584, "[$-0E0000]yyyy-mm-dd")</f>
        <v/>
      </c>
      <c r="C34585" t="inlineStr">
        <is>
          <t>1994-08-03</t>
        </is>
      </c>
    </row>
    <row r="34586">
      <c r="A34586" s="1" t="n">
        <v>34585</v>
      </c>
      <c r="B34586">
        <f>TEXT(34585, "[$-0E0000]yyyy-mm-dd")</f>
        <v/>
      </c>
      <c r="C34586" t="inlineStr">
        <is>
          <t>1994-08-04</t>
        </is>
      </c>
    </row>
    <row r="34587">
      <c r="A34587" s="1" t="n">
        <v>34586</v>
      </c>
      <c r="B34587">
        <f>TEXT(34586, "[$-0E0000]yyyy-mm-dd")</f>
        <v/>
      </c>
      <c r="C34587" t="inlineStr">
        <is>
          <t>1994-08-05</t>
        </is>
      </c>
    </row>
    <row r="34588">
      <c r="A34588" s="1" t="n">
        <v>34587</v>
      </c>
      <c r="B34588">
        <f>TEXT(34587, "[$-0E0000]yyyy-mm-dd")</f>
        <v/>
      </c>
      <c r="C34588" t="inlineStr">
        <is>
          <t>1994-08-06</t>
        </is>
      </c>
    </row>
    <row r="34589">
      <c r="A34589" s="1" t="n">
        <v>34588</v>
      </c>
      <c r="B34589">
        <f>TEXT(34588, "[$-0E0000]yyyy-mm-dd")</f>
        <v/>
      </c>
      <c r="C34589" t="inlineStr">
        <is>
          <t>1994-08-07</t>
        </is>
      </c>
    </row>
    <row r="34590">
      <c r="A34590" s="1" t="n">
        <v>34589</v>
      </c>
      <c r="B34590">
        <f>TEXT(34589, "[$-0E0000]yyyy-mm-dd")</f>
        <v/>
      </c>
      <c r="C34590" t="inlineStr">
        <is>
          <t>1994-08-08</t>
        </is>
      </c>
    </row>
    <row r="34591">
      <c r="A34591" s="1" t="n">
        <v>34590</v>
      </c>
      <c r="B34591">
        <f>TEXT(34590, "[$-0E0000]yyyy-mm-dd")</f>
        <v/>
      </c>
      <c r="C34591" t="inlineStr">
        <is>
          <t>1994-08-09</t>
        </is>
      </c>
    </row>
    <row r="34592">
      <c r="A34592" s="1" t="n">
        <v>34591</v>
      </c>
      <c r="B34592">
        <f>TEXT(34591, "[$-0E0000]yyyy-mm-dd")</f>
        <v/>
      </c>
      <c r="C34592" t="inlineStr">
        <is>
          <t>1994-08-10</t>
        </is>
      </c>
    </row>
    <row r="34593">
      <c r="A34593" s="1" t="n">
        <v>34592</v>
      </c>
      <c r="B34593">
        <f>TEXT(34592, "[$-0E0000]yyyy-mm-dd")</f>
        <v/>
      </c>
      <c r="C34593" t="inlineStr">
        <is>
          <t>1994-08-11</t>
        </is>
      </c>
    </row>
    <row r="34594">
      <c r="A34594" s="1" t="n">
        <v>34593</v>
      </c>
      <c r="B34594">
        <f>TEXT(34593, "[$-0E0000]yyyy-mm-dd")</f>
        <v/>
      </c>
      <c r="C34594" t="inlineStr">
        <is>
          <t>1994-08-12</t>
        </is>
      </c>
    </row>
    <row r="34595">
      <c r="A34595" s="1" t="n">
        <v>34594</v>
      </c>
      <c r="B34595">
        <f>TEXT(34594, "[$-0E0000]yyyy-mm-dd")</f>
        <v/>
      </c>
      <c r="C34595" t="inlineStr">
        <is>
          <t>1994-08-13</t>
        </is>
      </c>
    </row>
    <row r="34596">
      <c r="A34596" s="1" t="n">
        <v>34595</v>
      </c>
      <c r="B34596">
        <f>TEXT(34595, "[$-0E0000]yyyy-mm-dd")</f>
        <v/>
      </c>
      <c r="C34596" t="inlineStr">
        <is>
          <t>1994-08-14</t>
        </is>
      </c>
    </row>
    <row r="34597">
      <c r="A34597" s="1" t="n">
        <v>34596</v>
      </c>
      <c r="B34597">
        <f>TEXT(34596, "[$-0E0000]yyyy-mm-dd")</f>
        <v/>
      </c>
      <c r="C34597" t="inlineStr">
        <is>
          <t>1994-08-15</t>
        </is>
      </c>
    </row>
    <row r="34598">
      <c r="A34598" s="1" t="n">
        <v>34597</v>
      </c>
      <c r="B34598">
        <f>TEXT(34597, "[$-0E0000]yyyy-mm-dd")</f>
        <v/>
      </c>
      <c r="C34598" t="inlineStr">
        <is>
          <t>1994-08-16</t>
        </is>
      </c>
    </row>
    <row r="34599">
      <c r="A34599" s="1" t="n">
        <v>34598</v>
      </c>
      <c r="B34599">
        <f>TEXT(34598, "[$-0E0000]yyyy-mm-dd")</f>
        <v/>
      </c>
      <c r="C34599" t="inlineStr">
        <is>
          <t>1994-08-17</t>
        </is>
      </c>
    </row>
    <row r="34600">
      <c r="A34600" s="1" t="n">
        <v>34599</v>
      </c>
      <c r="B34600">
        <f>TEXT(34599, "[$-0E0000]yyyy-mm-dd")</f>
        <v/>
      </c>
      <c r="C34600" t="inlineStr">
        <is>
          <t>1994-08-18</t>
        </is>
      </c>
    </row>
    <row r="34601">
      <c r="A34601" s="1" t="n">
        <v>34600</v>
      </c>
      <c r="B34601">
        <f>TEXT(34600, "[$-0E0000]yyyy-mm-dd")</f>
        <v/>
      </c>
      <c r="C34601" t="inlineStr">
        <is>
          <t>1994-08-19</t>
        </is>
      </c>
    </row>
    <row r="34602">
      <c r="A34602" s="1" t="n">
        <v>34601</v>
      </c>
      <c r="B34602">
        <f>TEXT(34601, "[$-0E0000]yyyy-mm-dd")</f>
        <v/>
      </c>
      <c r="C34602" t="inlineStr">
        <is>
          <t>1994-08-20</t>
        </is>
      </c>
    </row>
    <row r="34603">
      <c r="A34603" s="1" t="n">
        <v>34602</v>
      </c>
      <c r="B34603">
        <f>TEXT(34602, "[$-0E0000]yyyy-mm-dd")</f>
        <v/>
      </c>
      <c r="C34603" t="inlineStr">
        <is>
          <t>1994-08-21</t>
        </is>
      </c>
    </row>
    <row r="34604">
      <c r="A34604" s="1" t="n">
        <v>34603</v>
      </c>
      <c r="B34604">
        <f>TEXT(34603, "[$-0E0000]yyyy-mm-dd")</f>
        <v/>
      </c>
      <c r="C34604" t="inlineStr">
        <is>
          <t>1994-08-22</t>
        </is>
      </c>
    </row>
    <row r="34605">
      <c r="A34605" s="1" t="n">
        <v>34604</v>
      </c>
      <c r="B34605">
        <f>TEXT(34604, "[$-0E0000]yyyy-mm-dd")</f>
        <v/>
      </c>
      <c r="C34605" t="inlineStr">
        <is>
          <t>1994-08-23</t>
        </is>
      </c>
    </row>
    <row r="34606">
      <c r="A34606" s="1" t="n">
        <v>34605</v>
      </c>
      <c r="B34606">
        <f>TEXT(34605, "[$-0E0000]yyyy-mm-dd")</f>
        <v/>
      </c>
      <c r="C34606" t="inlineStr">
        <is>
          <t>1994-08-24</t>
        </is>
      </c>
    </row>
    <row r="34607">
      <c r="A34607" s="1" t="n">
        <v>34606</v>
      </c>
      <c r="B34607">
        <f>TEXT(34606, "[$-0E0000]yyyy-mm-dd")</f>
        <v/>
      </c>
      <c r="C34607" t="inlineStr">
        <is>
          <t>1994-08-25</t>
        </is>
      </c>
    </row>
    <row r="34608">
      <c r="A34608" s="1" t="n">
        <v>34607</v>
      </c>
      <c r="B34608">
        <f>TEXT(34607, "[$-0E0000]yyyy-mm-dd")</f>
        <v/>
      </c>
      <c r="C34608" t="inlineStr">
        <is>
          <t>1994-08-26</t>
        </is>
      </c>
    </row>
    <row r="34609">
      <c r="A34609" s="1" t="n">
        <v>34608</v>
      </c>
      <c r="B34609">
        <f>TEXT(34608, "[$-0E0000]yyyy-mm-dd")</f>
        <v/>
      </c>
      <c r="C34609" t="inlineStr">
        <is>
          <t>1994-08-27</t>
        </is>
      </c>
    </row>
    <row r="34610">
      <c r="A34610" s="1" t="n">
        <v>34609</v>
      </c>
      <c r="B34610">
        <f>TEXT(34609, "[$-0E0000]yyyy-mm-dd")</f>
        <v/>
      </c>
      <c r="C34610" t="inlineStr">
        <is>
          <t>1994-08-28</t>
        </is>
      </c>
    </row>
    <row r="34611">
      <c r="A34611" s="1" t="n">
        <v>34610</v>
      </c>
      <c r="B34611">
        <f>TEXT(34610, "[$-0E0000]yyyy-mm-dd")</f>
        <v/>
      </c>
      <c r="C34611" t="inlineStr">
        <is>
          <t>1994-08-29</t>
        </is>
      </c>
    </row>
    <row r="34612">
      <c r="A34612" s="1" t="n">
        <v>34611</v>
      </c>
      <c r="B34612">
        <f>TEXT(34611, "[$-0E0000]yyyy-mm-dd")</f>
        <v/>
      </c>
      <c r="C34612" t="inlineStr">
        <is>
          <t>1994-09-01</t>
        </is>
      </c>
    </row>
    <row r="34613">
      <c r="A34613" s="1" t="n">
        <v>34612</v>
      </c>
      <c r="B34613">
        <f>TEXT(34612, "[$-0E0000]yyyy-mm-dd")</f>
        <v/>
      </c>
      <c r="C34613" t="inlineStr">
        <is>
          <t>1994-09-02</t>
        </is>
      </c>
    </row>
    <row r="34614">
      <c r="A34614" s="1" t="n">
        <v>34613</v>
      </c>
      <c r="B34614">
        <f>TEXT(34613, "[$-0E0000]yyyy-mm-dd")</f>
        <v/>
      </c>
      <c r="C34614" t="inlineStr">
        <is>
          <t>1994-09-03</t>
        </is>
      </c>
    </row>
    <row r="34615">
      <c r="A34615" s="1" t="n">
        <v>34614</v>
      </c>
      <c r="B34615">
        <f>TEXT(34614, "[$-0E0000]yyyy-mm-dd")</f>
        <v/>
      </c>
      <c r="C34615" t="inlineStr">
        <is>
          <t>1994-09-04</t>
        </is>
      </c>
    </row>
    <row r="34616">
      <c r="A34616" s="1" t="n">
        <v>34615</v>
      </c>
      <c r="B34616">
        <f>TEXT(34615, "[$-0E0000]yyyy-mm-dd")</f>
        <v/>
      </c>
      <c r="C34616" t="inlineStr">
        <is>
          <t>1994-09-05</t>
        </is>
      </c>
    </row>
    <row r="34617">
      <c r="A34617" s="1" t="n">
        <v>34616</v>
      </c>
      <c r="B34617">
        <f>TEXT(34616, "[$-0E0000]yyyy-mm-dd")</f>
        <v/>
      </c>
      <c r="C34617" t="inlineStr">
        <is>
          <t>1994-09-06</t>
        </is>
      </c>
    </row>
    <row r="34618">
      <c r="A34618" s="1" t="n">
        <v>34617</v>
      </c>
      <c r="B34618">
        <f>TEXT(34617, "[$-0E0000]yyyy-mm-dd")</f>
        <v/>
      </c>
      <c r="C34618" t="inlineStr">
        <is>
          <t>1994-09-07</t>
        </is>
      </c>
    </row>
    <row r="34619">
      <c r="A34619" s="1" t="n">
        <v>34618</v>
      </c>
      <c r="B34619">
        <f>TEXT(34618, "[$-0E0000]yyyy-mm-dd")</f>
        <v/>
      </c>
      <c r="C34619" t="inlineStr">
        <is>
          <t>1994-09-08</t>
        </is>
      </c>
    </row>
    <row r="34620">
      <c r="A34620" s="1" t="n">
        <v>34619</v>
      </c>
      <c r="B34620">
        <f>TEXT(34619, "[$-0E0000]yyyy-mm-dd")</f>
        <v/>
      </c>
      <c r="C34620" t="inlineStr">
        <is>
          <t>1994-09-09</t>
        </is>
      </c>
    </row>
    <row r="34621">
      <c r="A34621" s="1" t="n">
        <v>34620</v>
      </c>
      <c r="B34621">
        <f>TEXT(34620, "[$-0E0000]yyyy-mm-dd")</f>
        <v/>
      </c>
      <c r="C34621" t="inlineStr">
        <is>
          <t>1994-09-10</t>
        </is>
      </c>
    </row>
    <row r="34622">
      <c r="A34622" s="1" t="n">
        <v>34621</v>
      </c>
      <c r="B34622">
        <f>TEXT(34621, "[$-0E0000]yyyy-mm-dd")</f>
        <v/>
      </c>
      <c r="C34622" t="inlineStr">
        <is>
          <t>1994-09-11</t>
        </is>
      </c>
    </row>
    <row r="34623">
      <c r="A34623" s="1" t="n">
        <v>34622</v>
      </c>
      <c r="B34623">
        <f>TEXT(34622, "[$-0E0000]yyyy-mm-dd")</f>
        <v/>
      </c>
      <c r="C34623" t="inlineStr">
        <is>
          <t>1994-09-12</t>
        </is>
      </c>
    </row>
    <row r="34624">
      <c r="A34624" s="1" t="n">
        <v>34623</v>
      </c>
      <c r="B34624">
        <f>TEXT(34623, "[$-0E0000]yyyy-mm-dd")</f>
        <v/>
      </c>
      <c r="C34624" t="inlineStr">
        <is>
          <t>1994-09-13</t>
        </is>
      </c>
    </row>
    <row r="34625">
      <c r="A34625" s="1" t="n">
        <v>34624</v>
      </c>
      <c r="B34625">
        <f>TEXT(34624, "[$-0E0000]yyyy-mm-dd")</f>
        <v/>
      </c>
      <c r="C34625" t="inlineStr">
        <is>
          <t>1994-09-14</t>
        </is>
      </c>
    </row>
    <row r="34626">
      <c r="A34626" s="1" t="n">
        <v>34625</v>
      </c>
      <c r="B34626">
        <f>TEXT(34625, "[$-0E0000]yyyy-mm-dd")</f>
        <v/>
      </c>
      <c r="C34626" t="inlineStr">
        <is>
          <t>1994-09-15</t>
        </is>
      </c>
    </row>
    <row r="34627">
      <c r="A34627" s="1" t="n">
        <v>34626</v>
      </c>
      <c r="B34627">
        <f>TEXT(34626, "[$-0E0000]yyyy-mm-dd")</f>
        <v/>
      </c>
      <c r="C34627" t="inlineStr">
        <is>
          <t>1994-09-16</t>
        </is>
      </c>
    </row>
    <row r="34628">
      <c r="A34628" s="1" t="n">
        <v>34627</v>
      </c>
      <c r="B34628">
        <f>TEXT(34627, "[$-0E0000]yyyy-mm-dd")</f>
        <v/>
      </c>
      <c r="C34628" t="inlineStr">
        <is>
          <t>1994-09-17</t>
        </is>
      </c>
    </row>
    <row r="34629">
      <c r="A34629" s="1" t="n">
        <v>34628</v>
      </c>
      <c r="B34629">
        <f>TEXT(34628, "[$-0E0000]yyyy-mm-dd")</f>
        <v/>
      </c>
      <c r="C34629" t="inlineStr">
        <is>
          <t>1994-09-18</t>
        </is>
      </c>
    </row>
    <row r="34630">
      <c r="A34630" s="1" t="n">
        <v>34629</v>
      </c>
      <c r="B34630">
        <f>TEXT(34629, "[$-0E0000]yyyy-mm-dd")</f>
        <v/>
      </c>
      <c r="C34630" t="inlineStr">
        <is>
          <t>1994-09-19</t>
        </is>
      </c>
    </row>
    <row r="34631">
      <c r="A34631" s="1" t="n">
        <v>34630</v>
      </c>
      <c r="B34631">
        <f>TEXT(34630, "[$-0E0000]yyyy-mm-dd")</f>
        <v/>
      </c>
      <c r="C34631" t="inlineStr">
        <is>
          <t>1994-09-20</t>
        </is>
      </c>
    </row>
    <row r="34632">
      <c r="A34632" s="1" t="n">
        <v>34631</v>
      </c>
      <c r="B34632">
        <f>TEXT(34631, "[$-0E0000]yyyy-mm-dd")</f>
        <v/>
      </c>
      <c r="C34632" t="inlineStr">
        <is>
          <t>1994-09-21</t>
        </is>
      </c>
    </row>
    <row r="34633">
      <c r="A34633" s="1" t="n">
        <v>34632</v>
      </c>
      <c r="B34633">
        <f>TEXT(34632, "[$-0E0000]yyyy-mm-dd")</f>
        <v/>
      </c>
      <c r="C34633" t="inlineStr">
        <is>
          <t>1994-09-22</t>
        </is>
      </c>
    </row>
    <row r="34634">
      <c r="A34634" s="1" t="n">
        <v>34633</v>
      </c>
      <c r="B34634">
        <f>TEXT(34633, "[$-0E0000]yyyy-mm-dd")</f>
        <v/>
      </c>
      <c r="C34634" t="inlineStr">
        <is>
          <t>1994-09-23</t>
        </is>
      </c>
    </row>
    <row r="34635">
      <c r="A34635" s="1" t="n">
        <v>34634</v>
      </c>
      <c r="B34635">
        <f>TEXT(34634, "[$-0E0000]yyyy-mm-dd")</f>
        <v/>
      </c>
      <c r="C34635" t="inlineStr">
        <is>
          <t>1994-09-24</t>
        </is>
      </c>
    </row>
    <row r="34636">
      <c r="A34636" s="1" t="n">
        <v>34635</v>
      </c>
      <c r="B34636">
        <f>TEXT(34635, "[$-0E0000]yyyy-mm-dd")</f>
        <v/>
      </c>
      <c r="C34636" t="inlineStr">
        <is>
          <t>1994-09-25</t>
        </is>
      </c>
    </row>
    <row r="34637">
      <c r="A34637" s="1" t="n">
        <v>34636</v>
      </c>
      <c r="B34637">
        <f>TEXT(34636, "[$-0E0000]yyyy-mm-dd")</f>
        <v/>
      </c>
      <c r="C34637" t="inlineStr">
        <is>
          <t>1994-09-26</t>
        </is>
      </c>
    </row>
    <row r="34638">
      <c r="A34638" s="1" t="n">
        <v>34637</v>
      </c>
      <c r="B34638">
        <f>TEXT(34637, "[$-0E0000]yyyy-mm-dd")</f>
        <v/>
      </c>
      <c r="C34638" t="inlineStr">
        <is>
          <t>1994-09-27</t>
        </is>
      </c>
    </row>
    <row r="34639">
      <c r="A34639" s="1" t="n">
        <v>34638</v>
      </c>
      <c r="B34639">
        <f>TEXT(34638, "[$-0E0000]yyyy-mm-dd")</f>
        <v/>
      </c>
      <c r="C34639" t="inlineStr">
        <is>
          <t>1994-09-28</t>
        </is>
      </c>
    </row>
    <row r="34640">
      <c r="A34640" s="1" t="n">
        <v>34639</v>
      </c>
      <c r="B34640">
        <f>TEXT(34639, "[$-0E0000]yyyy-mm-dd")</f>
        <v/>
      </c>
      <c r="C34640" t="inlineStr">
        <is>
          <t>1994-09-29</t>
        </is>
      </c>
    </row>
    <row r="34641">
      <c r="A34641" s="1" t="n">
        <v>34640</v>
      </c>
      <c r="B34641">
        <f>TEXT(34640, "[$-0E0000]yyyy-mm-dd")</f>
        <v/>
      </c>
      <c r="C34641" t="inlineStr">
        <is>
          <t>1994-10-01</t>
        </is>
      </c>
    </row>
    <row r="34642">
      <c r="A34642" s="1" t="n">
        <v>34641</v>
      </c>
      <c r="B34642">
        <f>TEXT(34641, "[$-0E0000]yyyy-mm-dd")</f>
        <v/>
      </c>
      <c r="C34642" t="inlineStr">
        <is>
          <t>1994-10-02</t>
        </is>
      </c>
    </row>
    <row r="34643">
      <c r="A34643" s="1" t="n">
        <v>34642</v>
      </c>
      <c r="B34643">
        <f>TEXT(34642, "[$-0E0000]yyyy-mm-dd")</f>
        <v/>
      </c>
      <c r="C34643" t="inlineStr">
        <is>
          <t>1994-10-03</t>
        </is>
      </c>
    </row>
    <row r="34644">
      <c r="A34644" s="1" t="n">
        <v>34643</v>
      </c>
      <c r="B34644">
        <f>TEXT(34643, "[$-0E0000]yyyy-mm-dd")</f>
        <v/>
      </c>
      <c r="C34644" t="inlineStr">
        <is>
          <t>1994-10-04</t>
        </is>
      </c>
    </row>
    <row r="34645">
      <c r="A34645" s="1" t="n">
        <v>34644</v>
      </c>
      <c r="B34645">
        <f>TEXT(34644, "[$-0E0000]yyyy-mm-dd")</f>
        <v/>
      </c>
      <c r="C34645" t="inlineStr">
        <is>
          <t>1994-10-05</t>
        </is>
      </c>
    </row>
    <row r="34646">
      <c r="A34646" s="1" t="n">
        <v>34645</v>
      </c>
      <c r="B34646">
        <f>TEXT(34645, "[$-0E0000]yyyy-mm-dd")</f>
        <v/>
      </c>
      <c r="C34646" t="inlineStr">
        <is>
          <t>1994-10-06</t>
        </is>
      </c>
    </row>
    <row r="34647">
      <c r="A34647" s="1" t="n">
        <v>34646</v>
      </c>
      <c r="B34647">
        <f>TEXT(34646, "[$-0E0000]yyyy-mm-dd")</f>
        <v/>
      </c>
      <c r="C34647" t="inlineStr">
        <is>
          <t>1994-10-07</t>
        </is>
      </c>
    </row>
    <row r="34648">
      <c r="A34648" s="1" t="n">
        <v>34647</v>
      </c>
      <c r="B34648">
        <f>TEXT(34647, "[$-0E0000]yyyy-mm-dd")</f>
        <v/>
      </c>
      <c r="C34648" t="inlineStr">
        <is>
          <t>1994-10-08</t>
        </is>
      </c>
    </row>
    <row r="34649">
      <c r="A34649" s="1" t="n">
        <v>34648</v>
      </c>
      <c r="B34649">
        <f>TEXT(34648, "[$-0E0000]yyyy-mm-dd")</f>
        <v/>
      </c>
      <c r="C34649" t="inlineStr">
        <is>
          <t>1994-10-09</t>
        </is>
      </c>
    </row>
    <row r="34650">
      <c r="A34650" s="1" t="n">
        <v>34649</v>
      </c>
      <c r="B34650">
        <f>TEXT(34649, "[$-0E0000]yyyy-mm-dd")</f>
        <v/>
      </c>
      <c r="C34650" t="inlineStr">
        <is>
          <t>1994-10-10</t>
        </is>
      </c>
    </row>
    <row r="34651">
      <c r="A34651" s="1" t="n">
        <v>34650</v>
      </c>
      <c r="B34651">
        <f>TEXT(34650, "[$-0E0000]yyyy-mm-dd")</f>
        <v/>
      </c>
      <c r="C34651" t="inlineStr">
        <is>
          <t>1994-10-11</t>
        </is>
      </c>
    </row>
    <row r="34652">
      <c r="A34652" s="1" t="n">
        <v>34651</v>
      </c>
      <c r="B34652">
        <f>TEXT(34651, "[$-0E0000]yyyy-mm-dd")</f>
        <v/>
      </c>
      <c r="C34652" t="inlineStr">
        <is>
          <t>1994-10-12</t>
        </is>
      </c>
    </row>
    <row r="34653">
      <c r="A34653" s="1" t="n">
        <v>34652</v>
      </c>
      <c r="B34653">
        <f>TEXT(34652, "[$-0E0000]yyyy-mm-dd")</f>
        <v/>
      </c>
      <c r="C34653" t="inlineStr">
        <is>
          <t>1994-10-13</t>
        </is>
      </c>
    </row>
    <row r="34654">
      <c r="A34654" s="1" t="n">
        <v>34653</v>
      </c>
      <c r="B34654">
        <f>TEXT(34653, "[$-0E0000]yyyy-mm-dd")</f>
        <v/>
      </c>
      <c r="C34654" t="inlineStr">
        <is>
          <t>1994-10-14</t>
        </is>
      </c>
    </row>
    <row r="34655">
      <c r="A34655" s="1" t="n">
        <v>34654</v>
      </c>
      <c r="B34655">
        <f>TEXT(34654, "[$-0E0000]yyyy-mm-dd")</f>
        <v/>
      </c>
      <c r="C34655" t="inlineStr">
        <is>
          <t>1994-10-15</t>
        </is>
      </c>
    </row>
    <row r="34656">
      <c r="A34656" s="1" t="n">
        <v>34655</v>
      </c>
      <c r="B34656">
        <f>TEXT(34655, "[$-0E0000]yyyy-mm-dd")</f>
        <v/>
      </c>
      <c r="C34656" t="inlineStr">
        <is>
          <t>1994-10-16</t>
        </is>
      </c>
    </row>
    <row r="34657">
      <c r="A34657" s="1" t="n">
        <v>34656</v>
      </c>
      <c r="B34657">
        <f>TEXT(34656, "[$-0E0000]yyyy-mm-dd")</f>
        <v/>
      </c>
      <c r="C34657" t="inlineStr">
        <is>
          <t>1994-10-17</t>
        </is>
      </c>
    </row>
    <row r="34658">
      <c r="A34658" s="1" t="n">
        <v>34657</v>
      </c>
      <c r="B34658">
        <f>TEXT(34657, "[$-0E0000]yyyy-mm-dd")</f>
        <v/>
      </c>
      <c r="C34658" t="inlineStr">
        <is>
          <t>1994-10-18</t>
        </is>
      </c>
    </row>
    <row r="34659">
      <c r="A34659" s="1" t="n">
        <v>34658</v>
      </c>
      <c r="B34659">
        <f>TEXT(34658, "[$-0E0000]yyyy-mm-dd")</f>
        <v/>
      </c>
      <c r="C34659" t="inlineStr">
        <is>
          <t>1994-10-19</t>
        </is>
      </c>
    </row>
    <row r="34660">
      <c r="A34660" s="1" t="n">
        <v>34659</v>
      </c>
      <c r="B34660">
        <f>TEXT(34659, "[$-0E0000]yyyy-mm-dd")</f>
        <v/>
      </c>
      <c r="C34660" t="inlineStr">
        <is>
          <t>1994-10-20</t>
        </is>
      </c>
    </row>
    <row r="34661">
      <c r="A34661" s="1" t="n">
        <v>34660</v>
      </c>
      <c r="B34661">
        <f>TEXT(34660, "[$-0E0000]yyyy-mm-dd")</f>
        <v/>
      </c>
      <c r="C34661" t="inlineStr">
        <is>
          <t>1994-10-21</t>
        </is>
      </c>
    </row>
    <row r="34662">
      <c r="A34662" s="1" t="n">
        <v>34661</v>
      </c>
      <c r="B34662">
        <f>TEXT(34661, "[$-0E0000]yyyy-mm-dd")</f>
        <v/>
      </c>
      <c r="C34662" t="inlineStr">
        <is>
          <t>1994-10-22</t>
        </is>
      </c>
    </row>
    <row r="34663">
      <c r="A34663" s="1" t="n">
        <v>34662</v>
      </c>
      <c r="B34663">
        <f>TEXT(34662, "[$-0E0000]yyyy-mm-dd")</f>
        <v/>
      </c>
      <c r="C34663" t="inlineStr">
        <is>
          <t>1994-10-23</t>
        </is>
      </c>
    </row>
    <row r="34664">
      <c r="A34664" s="1" t="n">
        <v>34663</v>
      </c>
      <c r="B34664">
        <f>TEXT(34663, "[$-0E0000]yyyy-mm-dd")</f>
        <v/>
      </c>
      <c r="C34664" t="inlineStr">
        <is>
          <t>1994-10-24</t>
        </is>
      </c>
    </row>
    <row r="34665">
      <c r="A34665" s="1" t="n">
        <v>34664</v>
      </c>
      <c r="B34665">
        <f>TEXT(34664, "[$-0E0000]yyyy-mm-dd")</f>
        <v/>
      </c>
      <c r="C34665" t="inlineStr">
        <is>
          <t>1994-10-25</t>
        </is>
      </c>
    </row>
    <row r="34666">
      <c r="A34666" s="1" t="n">
        <v>34665</v>
      </c>
      <c r="B34666">
        <f>TEXT(34665, "[$-0E0000]yyyy-mm-dd")</f>
        <v/>
      </c>
      <c r="C34666" t="inlineStr">
        <is>
          <t>1994-10-26</t>
        </is>
      </c>
    </row>
    <row r="34667">
      <c r="A34667" s="1" t="n">
        <v>34666</v>
      </c>
      <c r="B34667">
        <f>TEXT(34666, "[$-0E0000]yyyy-mm-dd")</f>
        <v/>
      </c>
      <c r="C34667" t="inlineStr">
        <is>
          <t>1994-10-27</t>
        </is>
      </c>
    </row>
    <row r="34668">
      <c r="A34668" s="1" t="n">
        <v>34667</v>
      </c>
      <c r="B34668">
        <f>TEXT(34667, "[$-0E0000]yyyy-mm-dd")</f>
        <v/>
      </c>
      <c r="C34668" t="inlineStr">
        <is>
          <t>1994-10-28</t>
        </is>
      </c>
    </row>
    <row r="34669">
      <c r="A34669" s="1" t="n">
        <v>34668</v>
      </c>
      <c r="B34669">
        <f>TEXT(34668, "[$-0E0000]yyyy-mm-dd")</f>
        <v/>
      </c>
      <c r="C34669" t="inlineStr">
        <is>
          <t>1994-10-29</t>
        </is>
      </c>
    </row>
    <row r="34670">
      <c r="A34670" s="1" t="n">
        <v>34669</v>
      </c>
      <c r="B34670">
        <f>TEXT(34669, "[$-0E0000]yyyy-mm-dd")</f>
        <v/>
      </c>
      <c r="C34670" t="inlineStr">
        <is>
          <t>1994-10-30</t>
        </is>
      </c>
    </row>
    <row r="34671">
      <c r="A34671" s="1" t="n">
        <v>34670</v>
      </c>
      <c r="B34671">
        <f>TEXT(34670, "[$-0E0000]yyyy-mm-dd")</f>
        <v/>
      </c>
      <c r="C34671" t="inlineStr">
        <is>
          <t>1994-11-01</t>
        </is>
      </c>
    </row>
    <row r="34672">
      <c r="A34672" s="1" t="n">
        <v>34671</v>
      </c>
      <c r="B34672">
        <f>TEXT(34671, "[$-0E0000]yyyy-mm-dd")</f>
        <v/>
      </c>
      <c r="C34672" t="inlineStr">
        <is>
          <t>1994-11-02</t>
        </is>
      </c>
    </row>
    <row r="34673">
      <c r="A34673" s="1" t="n">
        <v>34672</v>
      </c>
      <c r="B34673">
        <f>TEXT(34672, "[$-0E0000]yyyy-mm-dd")</f>
        <v/>
      </c>
      <c r="C34673" t="inlineStr">
        <is>
          <t>1994-11-03</t>
        </is>
      </c>
    </row>
    <row r="34674">
      <c r="A34674" s="1" t="n">
        <v>34673</v>
      </c>
      <c r="B34674">
        <f>TEXT(34673, "[$-0E0000]yyyy-mm-dd")</f>
        <v/>
      </c>
      <c r="C34674" t="inlineStr">
        <is>
          <t>1994-11-04</t>
        </is>
      </c>
    </row>
    <row r="34675">
      <c r="A34675" s="1" t="n">
        <v>34674</v>
      </c>
      <c r="B34675">
        <f>TEXT(34674, "[$-0E0000]yyyy-mm-dd")</f>
        <v/>
      </c>
      <c r="C34675" t="inlineStr">
        <is>
          <t>1994-11-05</t>
        </is>
      </c>
    </row>
    <row r="34676">
      <c r="A34676" s="1" t="n">
        <v>34675</v>
      </c>
      <c r="B34676">
        <f>TEXT(34675, "[$-0E0000]yyyy-mm-dd")</f>
        <v/>
      </c>
      <c r="C34676" t="inlineStr">
        <is>
          <t>1994-11-06</t>
        </is>
      </c>
    </row>
    <row r="34677">
      <c r="A34677" s="1" t="n">
        <v>34676</v>
      </c>
      <c r="B34677">
        <f>TEXT(34676, "[$-0E0000]yyyy-mm-dd")</f>
        <v/>
      </c>
      <c r="C34677" t="inlineStr">
        <is>
          <t>1994-11-07</t>
        </is>
      </c>
    </row>
    <row r="34678">
      <c r="A34678" s="1" t="n">
        <v>34677</v>
      </c>
      <c r="B34678">
        <f>TEXT(34677, "[$-0E0000]yyyy-mm-dd")</f>
        <v/>
      </c>
      <c r="C34678" t="inlineStr">
        <is>
          <t>1994-11-08</t>
        </is>
      </c>
    </row>
    <row r="34679">
      <c r="A34679" s="1" t="n">
        <v>34678</v>
      </c>
      <c r="B34679">
        <f>TEXT(34678, "[$-0E0000]yyyy-mm-dd")</f>
        <v/>
      </c>
      <c r="C34679" t="inlineStr">
        <is>
          <t>1994-11-09</t>
        </is>
      </c>
    </row>
    <row r="34680">
      <c r="A34680" s="1" t="n">
        <v>34679</v>
      </c>
      <c r="B34680">
        <f>TEXT(34679, "[$-0E0000]yyyy-mm-dd")</f>
        <v/>
      </c>
      <c r="C34680" t="inlineStr">
        <is>
          <t>1994-11-10</t>
        </is>
      </c>
    </row>
    <row r="34681">
      <c r="A34681" s="1" t="n">
        <v>34680</v>
      </c>
      <c r="B34681">
        <f>TEXT(34680, "[$-0E0000]yyyy-mm-dd")</f>
        <v/>
      </c>
      <c r="C34681" t="inlineStr">
        <is>
          <t>1994-11-11</t>
        </is>
      </c>
    </row>
    <row r="34682">
      <c r="A34682" s="1" t="n">
        <v>34681</v>
      </c>
      <c r="B34682">
        <f>TEXT(34681, "[$-0E0000]yyyy-mm-dd")</f>
        <v/>
      </c>
      <c r="C34682" t="inlineStr">
        <is>
          <t>1994-11-12</t>
        </is>
      </c>
    </row>
    <row r="34683">
      <c r="A34683" s="1" t="n">
        <v>34682</v>
      </c>
      <c r="B34683">
        <f>TEXT(34682, "[$-0E0000]yyyy-mm-dd")</f>
        <v/>
      </c>
      <c r="C34683" t="inlineStr">
        <is>
          <t>1994-11-13</t>
        </is>
      </c>
    </row>
    <row r="34684">
      <c r="A34684" s="1" t="n">
        <v>34683</v>
      </c>
      <c r="B34684">
        <f>TEXT(34683, "[$-0E0000]yyyy-mm-dd")</f>
        <v/>
      </c>
      <c r="C34684" t="inlineStr">
        <is>
          <t>1994-11-14</t>
        </is>
      </c>
    </row>
    <row r="34685">
      <c r="A34685" s="1" t="n">
        <v>34684</v>
      </c>
      <c r="B34685">
        <f>TEXT(34684, "[$-0E0000]yyyy-mm-dd")</f>
        <v/>
      </c>
      <c r="C34685" t="inlineStr">
        <is>
          <t>1994-11-15</t>
        </is>
      </c>
    </row>
    <row r="34686">
      <c r="A34686" s="1" t="n">
        <v>34685</v>
      </c>
      <c r="B34686">
        <f>TEXT(34685, "[$-0E0000]yyyy-mm-dd")</f>
        <v/>
      </c>
      <c r="C34686" t="inlineStr">
        <is>
          <t>1994-11-16</t>
        </is>
      </c>
    </row>
    <row r="34687">
      <c r="A34687" s="1" t="n">
        <v>34686</v>
      </c>
      <c r="B34687">
        <f>TEXT(34686, "[$-0E0000]yyyy-mm-dd")</f>
        <v/>
      </c>
      <c r="C34687" t="inlineStr">
        <is>
          <t>1994-11-17</t>
        </is>
      </c>
    </row>
    <row r="34688">
      <c r="A34688" s="1" t="n">
        <v>34687</v>
      </c>
      <c r="B34688">
        <f>TEXT(34687, "[$-0E0000]yyyy-mm-dd")</f>
        <v/>
      </c>
      <c r="C34688" t="inlineStr">
        <is>
          <t>1994-11-18</t>
        </is>
      </c>
    </row>
    <row r="34689">
      <c r="A34689" s="1" t="n">
        <v>34688</v>
      </c>
      <c r="B34689">
        <f>TEXT(34688, "[$-0E0000]yyyy-mm-dd")</f>
        <v/>
      </c>
      <c r="C34689" t="inlineStr">
        <is>
          <t>1994-11-19</t>
        </is>
      </c>
    </row>
    <row r="34690">
      <c r="A34690" s="1" t="n">
        <v>34689</v>
      </c>
      <c r="B34690">
        <f>TEXT(34689, "[$-0E0000]yyyy-mm-dd")</f>
        <v/>
      </c>
      <c r="C34690" t="inlineStr">
        <is>
          <t>1994-11-20</t>
        </is>
      </c>
    </row>
    <row r="34691">
      <c r="A34691" s="1" t="n">
        <v>34690</v>
      </c>
      <c r="B34691">
        <f>TEXT(34690, "[$-0E0000]yyyy-mm-dd")</f>
        <v/>
      </c>
      <c r="C34691" t="inlineStr">
        <is>
          <t>1994-11-21</t>
        </is>
      </c>
    </row>
    <row r="34692">
      <c r="A34692" s="1" t="n">
        <v>34691</v>
      </c>
      <c r="B34692">
        <f>TEXT(34691, "[$-0E0000]yyyy-mm-dd")</f>
        <v/>
      </c>
      <c r="C34692" t="inlineStr">
        <is>
          <t>1994-11-22</t>
        </is>
      </c>
    </row>
    <row r="34693">
      <c r="A34693" s="1" t="n">
        <v>34692</v>
      </c>
      <c r="B34693">
        <f>TEXT(34692, "[$-0E0000]yyyy-mm-dd")</f>
        <v/>
      </c>
      <c r="C34693" t="inlineStr">
        <is>
          <t>1994-11-23</t>
        </is>
      </c>
    </row>
    <row r="34694">
      <c r="A34694" s="1" t="n">
        <v>34693</v>
      </c>
      <c r="B34694">
        <f>TEXT(34693, "[$-0E0000]yyyy-mm-dd")</f>
        <v/>
      </c>
      <c r="C34694" t="inlineStr">
        <is>
          <t>1994-11-24</t>
        </is>
      </c>
    </row>
    <row r="34695">
      <c r="A34695" s="1" t="n">
        <v>34694</v>
      </c>
      <c r="B34695">
        <f>TEXT(34694, "[$-0E0000]yyyy-mm-dd")</f>
        <v/>
      </c>
      <c r="C34695" t="inlineStr">
        <is>
          <t>1994-11-25</t>
        </is>
      </c>
    </row>
    <row r="34696">
      <c r="A34696" s="1" t="n">
        <v>34695</v>
      </c>
      <c r="B34696">
        <f>TEXT(34695, "[$-0E0000]yyyy-mm-dd")</f>
        <v/>
      </c>
      <c r="C34696" t="inlineStr">
        <is>
          <t>1994-11-26</t>
        </is>
      </c>
    </row>
    <row r="34697">
      <c r="A34697" s="1" t="n">
        <v>34696</v>
      </c>
      <c r="B34697">
        <f>TEXT(34696, "[$-0E0000]yyyy-mm-dd")</f>
        <v/>
      </c>
      <c r="C34697" t="inlineStr">
        <is>
          <t>1994-11-27</t>
        </is>
      </c>
    </row>
    <row r="34698">
      <c r="A34698" s="1" t="n">
        <v>34697</v>
      </c>
      <c r="B34698">
        <f>TEXT(34697, "[$-0E0000]yyyy-mm-dd")</f>
        <v/>
      </c>
      <c r="C34698" t="inlineStr">
        <is>
          <t>1994-11-28</t>
        </is>
      </c>
    </row>
    <row r="34699">
      <c r="A34699" s="1" t="n">
        <v>34698</v>
      </c>
      <c r="B34699">
        <f>TEXT(34698, "[$-0E0000]yyyy-mm-dd")</f>
        <v/>
      </c>
      <c r="C34699" t="inlineStr">
        <is>
          <t>1994-11-29</t>
        </is>
      </c>
    </row>
    <row r="34700">
      <c r="A34700" s="1" t="n">
        <v>34699</v>
      </c>
      <c r="B34700">
        <f>TEXT(34699, "[$-0E0000]yyyy-mm-dd")</f>
        <v/>
      </c>
      <c r="C34700" t="inlineStr">
        <is>
          <t>1994-12-01</t>
        </is>
      </c>
    </row>
    <row r="34701">
      <c r="A34701" s="1" t="n">
        <v>34700</v>
      </c>
      <c r="B34701">
        <f>TEXT(34700, "[$-0E0000]yyyy-mm-dd")</f>
        <v/>
      </c>
      <c r="C34701" t="inlineStr">
        <is>
          <t>1994-12-02</t>
        </is>
      </c>
    </row>
    <row r="34702">
      <c r="A34702" s="1" t="n">
        <v>34701</v>
      </c>
      <c r="B34702">
        <f>TEXT(34701, "[$-0E0000]yyyy-mm-dd")</f>
        <v/>
      </c>
      <c r="C34702" t="inlineStr">
        <is>
          <t>1994-12-03</t>
        </is>
      </c>
    </row>
    <row r="34703">
      <c r="A34703" s="1" t="n">
        <v>34702</v>
      </c>
      <c r="B34703">
        <f>TEXT(34702, "[$-0E0000]yyyy-mm-dd")</f>
        <v/>
      </c>
      <c r="C34703" t="inlineStr">
        <is>
          <t>1994-12-04</t>
        </is>
      </c>
    </row>
    <row r="34704">
      <c r="A34704" s="1" t="n">
        <v>34703</v>
      </c>
      <c r="B34704">
        <f>TEXT(34703, "[$-0E0000]yyyy-mm-dd")</f>
        <v/>
      </c>
      <c r="C34704" t="inlineStr">
        <is>
          <t>1994-12-05</t>
        </is>
      </c>
    </row>
    <row r="34705">
      <c r="A34705" s="1" t="n">
        <v>34704</v>
      </c>
      <c r="B34705">
        <f>TEXT(34704, "[$-0E0000]yyyy-mm-dd")</f>
        <v/>
      </c>
      <c r="C34705" t="inlineStr">
        <is>
          <t>1994-12-06</t>
        </is>
      </c>
    </row>
    <row r="34706">
      <c r="A34706" s="1" t="n">
        <v>34705</v>
      </c>
      <c r="B34706">
        <f>TEXT(34705, "[$-0E0000]yyyy-mm-dd")</f>
        <v/>
      </c>
      <c r="C34706" t="inlineStr">
        <is>
          <t>1994-12-07</t>
        </is>
      </c>
    </row>
    <row r="34707">
      <c r="A34707" s="1" t="n">
        <v>34706</v>
      </c>
      <c r="B34707">
        <f>TEXT(34706, "[$-0E0000]yyyy-mm-dd")</f>
        <v/>
      </c>
      <c r="C34707" t="inlineStr">
        <is>
          <t>1994-12-08</t>
        </is>
      </c>
    </row>
    <row r="34708">
      <c r="A34708" s="1" t="n">
        <v>34707</v>
      </c>
      <c r="B34708">
        <f>TEXT(34707, "[$-0E0000]yyyy-mm-dd")</f>
        <v/>
      </c>
      <c r="C34708" t="inlineStr">
        <is>
          <t>1994-12-09</t>
        </is>
      </c>
    </row>
    <row r="34709">
      <c r="A34709" s="1" t="n">
        <v>34708</v>
      </c>
      <c r="B34709">
        <f>TEXT(34708, "[$-0E0000]yyyy-mm-dd")</f>
        <v/>
      </c>
      <c r="C34709" t="inlineStr">
        <is>
          <t>1994-12-10</t>
        </is>
      </c>
    </row>
    <row r="34710">
      <c r="A34710" s="1" t="n">
        <v>34709</v>
      </c>
      <c r="B34710">
        <f>TEXT(34709, "[$-0E0000]yyyy-mm-dd")</f>
        <v/>
      </c>
      <c r="C34710" t="inlineStr">
        <is>
          <t>1994-12-11</t>
        </is>
      </c>
    </row>
    <row r="34711">
      <c r="A34711" s="1" t="n">
        <v>34710</v>
      </c>
      <c r="B34711">
        <f>TEXT(34710, "[$-0E0000]yyyy-mm-dd")</f>
        <v/>
      </c>
      <c r="C34711" t="inlineStr">
        <is>
          <t>1994-12-12</t>
        </is>
      </c>
    </row>
    <row r="34712">
      <c r="A34712" s="1" t="n">
        <v>34711</v>
      </c>
      <c r="B34712">
        <f>TEXT(34711, "[$-0E0000]yyyy-mm-dd")</f>
        <v/>
      </c>
      <c r="C34712" t="inlineStr">
        <is>
          <t>1994-12-13</t>
        </is>
      </c>
    </row>
    <row r="34713">
      <c r="A34713" s="1" t="n">
        <v>34712</v>
      </c>
      <c r="B34713">
        <f>TEXT(34712, "[$-0E0000]yyyy-mm-dd")</f>
        <v/>
      </c>
      <c r="C34713" t="inlineStr">
        <is>
          <t>1994-12-14</t>
        </is>
      </c>
    </row>
    <row r="34714">
      <c r="A34714" s="1" t="n">
        <v>34713</v>
      </c>
      <c r="B34714">
        <f>TEXT(34713, "[$-0E0000]yyyy-mm-dd")</f>
        <v/>
      </c>
      <c r="C34714" t="inlineStr">
        <is>
          <t>1994-12-15</t>
        </is>
      </c>
    </row>
    <row r="34715">
      <c r="A34715" s="1" t="n">
        <v>34714</v>
      </c>
      <c r="B34715">
        <f>TEXT(34714, "[$-0E0000]yyyy-mm-dd")</f>
        <v/>
      </c>
      <c r="C34715" t="inlineStr">
        <is>
          <t>1994-12-16</t>
        </is>
      </c>
    </row>
    <row r="34716">
      <c r="A34716" s="1" t="n">
        <v>34715</v>
      </c>
      <c r="B34716">
        <f>TEXT(34715, "[$-0E0000]yyyy-mm-dd")</f>
        <v/>
      </c>
      <c r="C34716" t="inlineStr">
        <is>
          <t>1994-12-17</t>
        </is>
      </c>
    </row>
    <row r="34717">
      <c r="A34717" s="1" t="n">
        <v>34716</v>
      </c>
      <c r="B34717">
        <f>TEXT(34716, "[$-0E0000]yyyy-mm-dd")</f>
        <v/>
      </c>
      <c r="C34717" t="inlineStr">
        <is>
          <t>1994-12-18</t>
        </is>
      </c>
    </row>
    <row r="34718">
      <c r="A34718" s="1" t="n">
        <v>34717</v>
      </c>
      <c r="B34718">
        <f>TEXT(34717, "[$-0E0000]yyyy-mm-dd")</f>
        <v/>
      </c>
      <c r="C34718" t="inlineStr">
        <is>
          <t>1994-12-19</t>
        </is>
      </c>
    </row>
    <row r="34719">
      <c r="A34719" s="1" t="n">
        <v>34718</v>
      </c>
      <c r="B34719">
        <f>TEXT(34718, "[$-0E0000]yyyy-mm-dd")</f>
        <v/>
      </c>
      <c r="C34719" t="inlineStr">
        <is>
          <t>1994-12-20</t>
        </is>
      </c>
    </row>
    <row r="34720">
      <c r="A34720" s="1" t="n">
        <v>34719</v>
      </c>
      <c r="B34720">
        <f>TEXT(34719, "[$-0E0000]yyyy-mm-dd")</f>
        <v/>
      </c>
      <c r="C34720" t="inlineStr">
        <is>
          <t>1994-12-21</t>
        </is>
      </c>
    </row>
    <row r="34721">
      <c r="A34721" s="1" t="n">
        <v>34720</v>
      </c>
      <c r="B34721">
        <f>TEXT(34720, "[$-0E0000]yyyy-mm-dd")</f>
        <v/>
      </c>
      <c r="C34721" t="inlineStr">
        <is>
          <t>1994-12-22</t>
        </is>
      </c>
    </row>
    <row r="34722">
      <c r="A34722" s="1" t="n">
        <v>34721</v>
      </c>
      <c r="B34722">
        <f>TEXT(34721, "[$-0E0000]yyyy-mm-dd")</f>
        <v/>
      </c>
      <c r="C34722" t="inlineStr">
        <is>
          <t>1994-12-23</t>
        </is>
      </c>
    </row>
    <row r="34723">
      <c r="A34723" s="1" t="n">
        <v>34722</v>
      </c>
      <c r="B34723">
        <f>TEXT(34722, "[$-0E0000]yyyy-mm-dd")</f>
        <v/>
      </c>
      <c r="C34723" t="inlineStr">
        <is>
          <t>1994-12-24</t>
        </is>
      </c>
    </row>
    <row r="34724">
      <c r="A34724" s="1" t="n">
        <v>34723</v>
      </c>
      <c r="B34724">
        <f>TEXT(34723, "[$-0E0000]yyyy-mm-dd")</f>
        <v/>
      </c>
      <c r="C34724" t="inlineStr">
        <is>
          <t>1994-12-25</t>
        </is>
      </c>
    </row>
    <row r="34725">
      <c r="A34725" s="1" t="n">
        <v>34724</v>
      </c>
      <c r="B34725">
        <f>TEXT(34724, "[$-0E0000]yyyy-mm-dd")</f>
        <v/>
      </c>
      <c r="C34725" t="inlineStr">
        <is>
          <t>1994-12-26</t>
        </is>
      </c>
    </row>
    <row r="34726">
      <c r="A34726" s="1" t="n">
        <v>34725</v>
      </c>
      <c r="B34726">
        <f>TEXT(34725, "[$-0E0000]yyyy-mm-dd")</f>
        <v/>
      </c>
      <c r="C34726" t="inlineStr">
        <is>
          <t>1994-12-27</t>
        </is>
      </c>
    </row>
    <row r="34727">
      <c r="A34727" s="1" t="n">
        <v>34726</v>
      </c>
      <c r="B34727">
        <f>TEXT(34726, "[$-0E0000]yyyy-mm-dd")</f>
        <v/>
      </c>
      <c r="C34727" t="inlineStr">
        <is>
          <t>1994-12-28</t>
        </is>
      </c>
    </row>
    <row r="34728">
      <c r="A34728" s="1" t="n">
        <v>34727</v>
      </c>
      <c r="B34728">
        <f>TEXT(34727, "[$-0E0000]yyyy-mm-dd")</f>
        <v/>
      </c>
      <c r="C34728" t="inlineStr">
        <is>
          <t>1994-12-29</t>
        </is>
      </c>
    </row>
    <row r="34729">
      <c r="A34729" s="1" t="n">
        <v>34728</v>
      </c>
      <c r="B34729">
        <f>TEXT(34728, "[$-0E0000]yyyy-mm-dd")</f>
        <v/>
      </c>
      <c r="C34729" t="inlineStr">
        <is>
          <t>1994-12-30</t>
        </is>
      </c>
    </row>
    <row r="34730">
      <c r="A34730" s="1" t="n">
        <v>34729</v>
      </c>
      <c r="B34730">
        <f>TEXT(34729, "[$-0E0000]yyyy-mm-dd")</f>
        <v/>
      </c>
      <c r="C34730" t="inlineStr">
        <is>
          <t>1995-01-01</t>
        </is>
      </c>
    </row>
    <row r="34731">
      <c r="A34731" s="1" t="n">
        <v>34730</v>
      </c>
      <c r="B34731">
        <f>TEXT(34730, "[$-0E0000]yyyy-mm-dd")</f>
        <v/>
      </c>
      <c r="C34731" t="inlineStr">
        <is>
          <t>1995-01-02</t>
        </is>
      </c>
    </row>
    <row r="34732">
      <c r="A34732" s="1" t="n">
        <v>34731</v>
      </c>
      <c r="B34732">
        <f>TEXT(34731, "[$-0E0000]yyyy-mm-dd")</f>
        <v/>
      </c>
      <c r="C34732" t="inlineStr">
        <is>
          <t>1995-01-03</t>
        </is>
      </c>
    </row>
    <row r="34733">
      <c r="A34733" s="1" t="n">
        <v>34732</v>
      </c>
      <c r="B34733">
        <f>TEXT(34732, "[$-0E0000]yyyy-mm-dd")</f>
        <v/>
      </c>
      <c r="C34733" t="inlineStr">
        <is>
          <t>1995-01-04</t>
        </is>
      </c>
    </row>
    <row r="34734">
      <c r="A34734" s="1" t="n">
        <v>34733</v>
      </c>
      <c r="B34734">
        <f>TEXT(34733, "[$-0E0000]yyyy-mm-dd")</f>
        <v/>
      </c>
      <c r="C34734" t="inlineStr">
        <is>
          <t>1995-01-05</t>
        </is>
      </c>
    </row>
    <row r="34735">
      <c r="A34735" s="1" t="n">
        <v>34734</v>
      </c>
      <c r="B34735">
        <f>TEXT(34734, "[$-0E0000]yyyy-mm-dd")</f>
        <v/>
      </c>
      <c r="C34735" t="inlineStr">
        <is>
          <t>1995-01-06</t>
        </is>
      </c>
    </row>
    <row r="34736">
      <c r="A34736" s="1" t="n">
        <v>34735</v>
      </c>
      <c r="B34736">
        <f>TEXT(34735, "[$-0E0000]yyyy-mm-dd")</f>
        <v/>
      </c>
      <c r="C34736" t="inlineStr">
        <is>
          <t>1995-01-07</t>
        </is>
      </c>
    </row>
    <row r="34737">
      <c r="A34737" s="1" t="n">
        <v>34736</v>
      </c>
      <c r="B34737">
        <f>TEXT(34736, "[$-0E0000]yyyy-mm-dd")</f>
        <v/>
      </c>
      <c r="C34737" t="inlineStr">
        <is>
          <t>1995-01-08</t>
        </is>
      </c>
    </row>
    <row r="34738">
      <c r="A34738" s="1" t="n">
        <v>34737</v>
      </c>
      <c r="B34738">
        <f>TEXT(34737, "[$-0E0000]yyyy-mm-dd")</f>
        <v/>
      </c>
      <c r="C34738" t="inlineStr">
        <is>
          <t>1995-01-09</t>
        </is>
      </c>
    </row>
    <row r="34739">
      <c r="A34739" s="1" t="n">
        <v>34738</v>
      </c>
      <c r="B34739">
        <f>TEXT(34738, "[$-0E0000]yyyy-mm-dd")</f>
        <v/>
      </c>
      <c r="C34739" t="inlineStr">
        <is>
          <t>1995-01-10</t>
        </is>
      </c>
    </row>
    <row r="34740">
      <c r="A34740" s="1" t="n">
        <v>34739</v>
      </c>
      <c r="B34740">
        <f>TEXT(34739, "[$-0E0000]yyyy-mm-dd")</f>
        <v/>
      </c>
      <c r="C34740" t="inlineStr">
        <is>
          <t>1995-01-11</t>
        </is>
      </c>
    </row>
    <row r="34741">
      <c r="A34741" s="1" t="n">
        <v>34740</v>
      </c>
      <c r="B34741">
        <f>TEXT(34740, "[$-0E0000]yyyy-mm-dd")</f>
        <v/>
      </c>
      <c r="C34741" t="inlineStr">
        <is>
          <t>1995-01-12</t>
        </is>
      </c>
    </row>
    <row r="34742">
      <c r="A34742" s="1" t="n">
        <v>34741</v>
      </c>
      <c r="B34742">
        <f>TEXT(34741, "[$-0E0000]yyyy-mm-dd")</f>
        <v/>
      </c>
      <c r="C34742" t="inlineStr">
        <is>
          <t>1995-01-13</t>
        </is>
      </c>
    </row>
    <row r="34743">
      <c r="A34743" s="1" t="n">
        <v>34742</v>
      </c>
      <c r="B34743">
        <f>TEXT(34742, "[$-0E0000]yyyy-mm-dd")</f>
        <v/>
      </c>
      <c r="C34743" t="inlineStr">
        <is>
          <t>1995-01-14</t>
        </is>
      </c>
    </row>
    <row r="34744">
      <c r="A34744" s="1" t="n">
        <v>34743</v>
      </c>
      <c r="B34744">
        <f>TEXT(34743, "[$-0E0000]yyyy-mm-dd")</f>
        <v/>
      </c>
      <c r="C34744" t="inlineStr">
        <is>
          <t>1995-01-15</t>
        </is>
      </c>
    </row>
    <row r="34745">
      <c r="A34745" s="1" t="n">
        <v>34744</v>
      </c>
      <c r="B34745">
        <f>TEXT(34744, "[$-0E0000]yyyy-mm-dd")</f>
        <v/>
      </c>
      <c r="C34745" t="inlineStr">
        <is>
          <t>1995-01-16</t>
        </is>
      </c>
    </row>
    <row r="34746">
      <c r="A34746" s="1" t="n">
        <v>34745</v>
      </c>
      <c r="B34746">
        <f>TEXT(34745, "[$-0E0000]yyyy-mm-dd")</f>
        <v/>
      </c>
      <c r="C34746" t="inlineStr">
        <is>
          <t>1995-01-17</t>
        </is>
      </c>
    </row>
    <row r="34747">
      <c r="A34747" s="1" t="n">
        <v>34746</v>
      </c>
      <c r="B34747">
        <f>TEXT(34746, "[$-0E0000]yyyy-mm-dd")</f>
        <v/>
      </c>
      <c r="C34747" t="inlineStr">
        <is>
          <t>1995-01-18</t>
        </is>
      </c>
    </row>
    <row r="34748">
      <c r="A34748" s="1" t="n">
        <v>34747</v>
      </c>
      <c r="B34748">
        <f>TEXT(34747, "[$-0E0000]yyyy-mm-dd")</f>
        <v/>
      </c>
      <c r="C34748" t="inlineStr">
        <is>
          <t>1995-01-19</t>
        </is>
      </c>
    </row>
    <row r="34749">
      <c r="A34749" s="1" t="n">
        <v>34748</v>
      </c>
      <c r="B34749">
        <f>TEXT(34748, "[$-0E0000]yyyy-mm-dd")</f>
        <v/>
      </c>
      <c r="C34749" t="inlineStr">
        <is>
          <t>1995-01-20</t>
        </is>
      </c>
    </row>
    <row r="34750">
      <c r="A34750" s="1" t="n">
        <v>34749</v>
      </c>
      <c r="B34750">
        <f>TEXT(34749, "[$-0E0000]yyyy-mm-dd")</f>
        <v/>
      </c>
      <c r="C34750" t="inlineStr">
        <is>
          <t>1995-01-21</t>
        </is>
      </c>
    </row>
    <row r="34751">
      <c r="A34751" s="1" t="n">
        <v>34750</v>
      </c>
      <c r="B34751">
        <f>TEXT(34750, "[$-0E0000]yyyy-mm-dd")</f>
        <v/>
      </c>
      <c r="C34751" t="inlineStr">
        <is>
          <t>1995-01-22</t>
        </is>
      </c>
    </row>
    <row r="34752">
      <c r="A34752" s="1" t="n">
        <v>34751</v>
      </c>
      <c r="B34752">
        <f>TEXT(34751, "[$-0E0000]yyyy-mm-dd")</f>
        <v/>
      </c>
      <c r="C34752" t="inlineStr">
        <is>
          <t>1995-01-23</t>
        </is>
      </c>
    </row>
    <row r="34753">
      <c r="A34753" s="1" t="n">
        <v>34752</v>
      </c>
      <c r="B34753">
        <f>TEXT(34752, "[$-0E0000]yyyy-mm-dd")</f>
        <v/>
      </c>
      <c r="C34753" t="inlineStr">
        <is>
          <t>1995-01-24</t>
        </is>
      </c>
    </row>
    <row r="34754">
      <c r="A34754" s="1" t="n">
        <v>34753</v>
      </c>
      <c r="B34754">
        <f>TEXT(34753, "[$-0E0000]yyyy-mm-dd")</f>
        <v/>
      </c>
      <c r="C34754" t="inlineStr">
        <is>
          <t>1995-01-25</t>
        </is>
      </c>
    </row>
    <row r="34755">
      <c r="A34755" s="1" t="n">
        <v>34754</v>
      </c>
      <c r="B34755">
        <f>TEXT(34754, "[$-0E0000]yyyy-mm-dd")</f>
        <v/>
      </c>
      <c r="C34755" t="inlineStr">
        <is>
          <t>1995-01-26</t>
        </is>
      </c>
    </row>
    <row r="34756">
      <c r="A34756" s="1" t="n">
        <v>34755</v>
      </c>
      <c r="B34756">
        <f>TEXT(34755, "[$-0E0000]yyyy-mm-dd")</f>
        <v/>
      </c>
      <c r="C34756" t="inlineStr">
        <is>
          <t>1995-01-27</t>
        </is>
      </c>
    </row>
    <row r="34757">
      <c r="A34757" s="1" t="n">
        <v>34756</v>
      </c>
      <c r="B34757">
        <f>TEXT(34756, "[$-0E0000]yyyy-mm-dd")</f>
        <v/>
      </c>
      <c r="C34757" t="inlineStr">
        <is>
          <t>1995-01-28</t>
        </is>
      </c>
    </row>
    <row r="34758">
      <c r="A34758" s="1" t="n">
        <v>34757</v>
      </c>
      <c r="B34758">
        <f>TEXT(34757, "[$-0E0000]yyyy-mm-dd")</f>
        <v/>
      </c>
      <c r="C34758" t="inlineStr">
        <is>
          <t>1995-01-29</t>
        </is>
      </c>
    </row>
    <row r="34759">
      <c r="A34759" s="1" t="n">
        <v>34758</v>
      </c>
      <c r="B34759">
        <f>TEXT(34758, "[$-0E0000]yyyy-mm-dd")</f>
        <v/>
      </c>
      <c r="C34759" t="inlineStr">
        <is>
          <t>1995-02-01</t>
        </is>
      </c>
    </row>
    <row r="34760">
      <c r="A34760" s="1" t="n">
        <v>34759</v>
      </c>
      <c r="B34760">
        <f>TEXT(34759, "[$-0E0000]yyyy-mm-dd")</f>
        <v/>
      </c>
      <c r="C34760" t="inlineStr">
        <is>
          <t>1995-02-02</t>
        </is>
      </c>
    </row>
    <row r="34761">
      <c r="A34761" s="1" t="n">
        <v>34760</v>
      </c>
      <c r="B34761">
        <f>TEXT(34760, "[$-0E0000]yyyy-mm-dd")</f>
        <v/>
      </c>
      <c r="C34761" t="inlineStr">
        <is>
          <t>1995-02-03</t>
        </is>
      </c>
    </row>
    <row r="34762">
      <c r="A34762" s="1" t="n">
        <v>34761</v>
      </c>
      <c r="B34762">
        <f>TEXT(34761, "[$-0E0000]yyyy-mm-dd")</f>
        <v/>
      </c>
      <c r="C34762" t="inlineStr">
        <is>
          <t>1995-02-04</t>
        </is>
      </c>
    </row>
    <row r="34763">
      <c r="A34763" s="1" t="n">
        <v>34762</v>
      </c>
      <c r="B34763">
        <f>TEXT(34762, "[$-0E0000]yyyy-mm-dd")</f>
        <v/>
      </c>
      <c r="C34763" t="inlineStr">
        <is>
          <t>1995-02-05</t>
        </is>
      </c>
    </row>
    <row r="34764">
      <c r="A34764" s="1" t="n">
        <v>34763</v>
      </c>
      <c r="B34764">
        <f>TEXT(34763, "[$-0E0000]yyyy-mm-dd")</f>
        <v/>
      </c>
      <c r="C34764" t="inlineStr">
        <is>
          <t>1995-02-06</t>
        </is>
      </c>
    </row>
    <row r="34765">
      <c r="A34765" s="1" t="n">
        <v>34764</v>
      </c>
      <c r="B34765">
        <f>TEXT(34764, "[$-0E0000]yyyy-mm-dd")</f>
        <v/>
      </c>
      <c r="C34765" t="inlineStr">
        <is>
          <t>1995-02-07</t>
        </is>
      </c>
    </row>
    <row r="34766">
      <c r="A34766" s="1" t="n">
        <v>34765</v>
      </c>
      <c r="B34766">
        <f>TEXT(34765, "[$-0E0000]yyyy-mm-dd")</f>
        <v/>
      </c>
      <c r="C34766" t="inlineStr">
        <is>
          <t>1995-02-08</t>
        </is>
      </c>
    </row>
    <row r="34767">
      <c r="A34767" s="1" t="n">
        <v>34766</v>
      </c>
      <c r="B34767">
        <f>TEXT(34766, "[$-0E0000]yyyy-mm-dd")</f>
        <v/>
      </c>
      <c r="C34767" t="inlineStr">
        <is>
          <t>1995-02-09</t>
        </is>
      </c>
    </row>
    <row r="34768">
      <c r="A34768" s="1" t="n">
        <v>34767</v>
      </c>
      <c r="B34768">
        <f>TEXT(34767, "[$-0E0000]yyyy-mm-dd")</f>
        <v/>
      </c>
      <c r="C34768" t="inlineStr">
        <is>
          <t>1995-02-10</t>
        </is>
      </c>
    </row>
    <row r="34769">
      <c r="A34769" s="1" t="n">
        <v>34768</v>
      </c>
      <c r="B34769">
        <f>TEXT(34768, "[$-0E0000]yyyy-mm-dd")</f>
        <v/>
      </c>
      <c r="C34769" t="inlineStr">
        <is>
          <t>1995-02-11</t>
        </is>
      </c>
    </row>
    <row r="34770">
      <c r="A34770" s="1" t="n">
        <v>34769</v>
      </c>
      <c r="B34770">
        <f>TEXT(34769, "[$-0E0000]yyyy-mm-dd")</f>
        <v/>
      </c>
      <c r="C34770" t="inlineStr">
        <is>
          <t>1995-02-12</t>
        </is>
      </c>
    </row>
    <row r="34771">
      <c r="A34771" s="1" t="n">
        <v>34770</v>
      </c>
      <c r="B34771">
        <f>TEXT(34770, "[$-0E0000]yyyy-mm-dd")</f>
        <v/>
      </c>
      <c r="C34771" t="inlineStr">
        <is>
          <t>1995-02-13</t>
        </is>
      </c>
    </row>
    <row r="34772">
      <c r="A34772" s="1" t="n">
        <v>34771</v>
      </c>
      <c r="B34772">
        <f>TEXT(34771, "[$-0E0000]yyyy-mm-dd")</f>
        <v/>
      </c>
      <c r="C34772" t="inlineStr">
        <is>
          <t>1995-02-14</t>
        </is>
      </c>
    </row>
    <row r="34773">
      <c r="A34773" s="1" t="n">
        <v>34772</v>
      </c>
      <c r="B34773">
        <f>TEXT(34772, "[$-0E0000]yyyy-mm-dd")</f>
        <v/>
      </c>
      <c r="C34773" t="inlineStr">
        <is>
          <t>1995-02-15</t>
        </is>
      </c>
    </row>
    <row r="34774">
      <c r="A34774" s="1" t="n">
        <v>34773</v>
      </c>
      <c r="B34774">
        <f>TEXT(34773, "[$-0E0000]yyyy-mm-dd")</f>
        <v/>
      </c>
      <c r="C34774" t="inlineStr">
        <is>
          <t>1995-02-16</t>
        </is>
      </c>
    </row>
    <row r="34775">
      <c r="A34775" s="1" t="n">
        <v>34774</v>
      </c>
      <c r="B34775">
        <f>TEXT(34774, "[$-0E0000]yyyy-mm-dd")</f>
        <v/>
      </c>
      <c r="C34775" t="inlineStr">
        <is>
          <t>1995-02-17</t>
        </is>
      </c>
    </row>
    <row r="34776">
      <c r="A34776" s="1" t="n">
        <v>34775</v>
      </c>
      <c r="B34776">
        <f>TEXT(34775, "[$-0E0000]yyyy-mm-dd")</f>
        <v/>
      </c>
      <c r="C34776" t="inlineStr">
        <is>
          <t>1995-02-18</t>
        </is>
      </c>
    </row>
    <row r="34777">
      <c r="A34777" s="1" t="n">
        <v>34776</v>
      </c>
      <c r="B34777">
        <f>TEXT(34776, "[$-0E0000]yyyy-mm-dd")</f>
        <v/>
      </c>
      <c r="C34777" t="inlineStr">
        <is>
          <t>1995-02-19</t>
        </is>
      </c>
    </row>
    <row r="34778">
      <c r="A34778" s="1" t="n">
        <v>34777</v>
      </c>
      <c r="B34778">
        <f>TEXT(34777, "[$-0E0000]yyyy-mm-dd")</f>
        <v/>
      </c>
      <c r="C34778" t="inlineStr">
        <is>
          <t>1995-02-20</t>
        </is>
      </c>
    </row>
    <row r="34779">
      <c r="A34779" s="1" t="n">
        <v>34778</v>
      </c>
      <c r="B34779">
        <f>TEXT(34778, "[$-0E0000]yyyy-mm-dd")</f>
        <v/>
      </c>
      <c r="C34779" t="inlineStr">
        <is>
          <t>1995-02-21</t>
        </is>
      </c>
    </row>
    <row r="34780">
      <c r="A34780" s="1" t="n">
        <v>34779</v>
      </c>
      <c r="B34780">
        <f>TEXT(34779, "[$-0E0000]yyyy-mm-dd")</f>
        <v/>
      </c>
      <c r="C34780" t="inlineStr">
        <is>
          <t>1995-02-22</t>
        </is>
      </c>
    </row>
    <row r="34781">
      <c r="A34781" s="1" t="n">
        <v>34780</v>
      </c>
      <c r="B34781">
        <f>TEXT(34780, "[$-0E0000]yyyy-mm-dd")</f>
        <v/>
      </c>
      <c r="C34781" t="inlineStr">
        <is>
          <t>1995-02-23</t>
        </is>
      </c>
    </row>
    <row r="34782">
      <c r="A34782" s="1" t="n">
        <v>34781</v>
      </c>
      <c r="B34782">
        <f>TEXT(34781, "[$-0E0000]yyyy-mm-dd")</f>
        <v/>
      </c>
      <c r="C34782" t="inlineStr">
        <is>
          <t>1995-02-24</t>
        </is>
      </c>
    </row>
    <row r="34783">
      <c r="A34783" s="1" t="n">
        <v>34782</v>
      </c>
      <c r="B34783">
        <f>TEXT(34782, "[$-0E0000]yyyy-mm-dd")</f>
        <v/>
      </c>
      <c r="C34783" t="inlineStr">
        <is>
          <t>1995-02-25</t>
        </is>
      </c>
    </row>
    <row r="34784">
      <c r="A34784" s="1" t="n">
        <v>34783</v>
      </c>
      <c r="B34784">
        <f>TEXT(34783, "[$-0E0000]yyyy-mm-dd")</f>
        <v/>
      </c>
      <c r="C34784" t="inlineStr">
        <is>
          <t>1995-02-26</t>
        </is>
      </c>
    </row>
    <row r="34785">
      <c r="A34785" s="1" t="n">
        <v>34784</v>
      </c>
      <c r="B34785">
        <f>TEXT(34784, "[$-0E0000]yyyy-mm-dd")</f>
        <v/>
      </c>
      <c r="C34785" t="inlineStr">
        <is>
          <t>1995-02-27</t>
        </is>
      </c>
    </row>
    <row r="34786">
      <c r="A34786" s="1" t="n">
        <v>34785</v>
      </c>
      <c r="B34786">
        <f>TEXT(34785, "[$-0E0000]yyyy-mm-dd")</f>
        <v/>
      </c>
      <c r="C34786" t="inlineStr">
        <is>
          <t>1995-02-28</t>
        </is>
      </c>
    </row>
    <row r="34787">
      <c r="A34787" s="1" t="n">
        <v>34786</v>
      </c>
      <c r="B34787">
        <f>TEXT(34786, "[$-0E0000]yyyy-mm-dd")</f>
        <v/>
      </c>
      <c r="C34787" t="inlineStr">
        <is>
          <t>1995-02-29</t>
        </is>
      </c>
    </row>
    <row r="34788">
      <c r="A34788" s="1" t="n">
        <v>34787</v>
      </c>
      <c r="B34788">
        <f>TEXT(34787, "[$-0E0000]yyyy-mm-dd")</f>
        <v/>
      </c>
      <c r="C34788" t="inlineStr">
        <is>
          <t>1995-02-30</t>
        </is>
      </c>
    </row>
    <row r="34789">
      <c r="A34789" s="1" t="n">
        <v>34788</v>
      </c>
      <c r="B34789">
        <f>TEXT(34788, "[$-0E0000]yyyy-mm-dd")</f>
        <v/>
      </c>
      <c r="C34789" t="inlineStr">
        <is>
          <t>1995-03-01</t>
        </is>
      </c>
    </row>
    <row r="34790">
      <c r="A34790" s="1" t="n">
        <v>34789</v>
      </c>
      <c r="B34790">
        <f>TEXT(34789, "[$-0E0000]yyyy-mm-dd")</f>
        <v/>
      </c>
      <c r="C34790" t="inlineStr">
        <is>
          <t>1995-03-02</t>
        </is>
      </c>
    </row>
    <row r="34791">
      <c r="A34791" s="1" t="n">
        <v>34790</v>
      </c>
      <c r="B34791">
        <f>TEXT(34790, "[$-0E0000]yyyy-mm-dd")</f>
        <v/>
      </c>
      <c r="C34791" t="inlineStr">
        <is>
          <t>1995-03-03</t>
        </is>
      </c>
    </row>
    <row r="34792">
      <c r="A34792" s="1" t="n">
        <v>34791</v>
      </c>
      <c r="B34792">
        <f>TEXT(34791, "[$-0E0000]yyyy-mm-dd")</f>
        <v/>
      </c>
      <c r="C34792" t="inlineStr">
        <is>
          <t>1995-03-04</t>
        </is>
      </c>
    </row>
    <row r="34793">
      <c r="A34793" s="1" t="n">
        <v>34792</v>
      </c>
      <c r="B34793">
        <f>TEXT(34792, "[$-0E0000]yyyy-mm-dd")</f>
        <v/>
      </c>
      <c r="C34793" t="inlineStr">
        <is>
          <t>1995-03-05</t>
        </is>
      </c>
    </row>
    <row r="34794">
      <c r="A34794" s="1" t="n">
        <v>34793</v>
      </c>
      <c r="B34794">
        <f>TEXT(34793, "[$-0E0000]yyyy-mm-dd")</f>
        <v/>
      </c>
      <c r="C34794" t="inlineStr">
        <is>
          <t>1995-03-06</t>
        </is>
      </c>
    </row>
    <row r="34795">
      <c r="A34795" s="1" t="n">
        <v>34794</v>
      </c>
      <c r="B34795">
        <f>TEXT(34794, "[$-0E0000]yyyy-mm-dd")</f>
        <v/>
      </c>
      <c r="C34795" t="inlineStr">
        <is>
          <t>1995-03-07</t>
        </is>
      </c>
    </row>
    <row r="34796">
      <c r="A34796" s="1" t="n">
        <v>34795</v>
      </c>
      <c r="B34796">
        <f>TEXT(34795, "[$-0E0000]yyyy-mm-dd")</f>
        <v/>
      </c>
      <c r="C34796" t="inlineStr">
        <is>
          <t>1995-03-08</t>
        </is>
      </c>
    </row>
    <row r="34797">
      <c r="A34797" s="1" t="n">
        <v>34796</v>
      </c>
      <c r="B34797">
        <f>TEXT(34796, "[$-0E0000]yyyy-mm-dd")</f>
        <v/>
      </c>
      <c r="C34797" t="inlineStr">
        <is>
          <t>1995-03-09</t>
        </is>
      </c>
    </row>
    <row r="34798">
      <c r="A34798" s="1" t="n">
        <v>34797</v>
      </c>
      <c r="B34798">
        <f>TEXT(34797, "[$-0E0000]yyyy-mm-dd")</f>
        <v/>
      </c>
      <c r="C34798" t="inlineStr">
        <is>
          <t>1995-03-10</t>
        </is>
      </c>
    </row>
    <row r="34799">
      <c r="A34799" s="1" t="n">
        <v>34798</v>
      </c>
      <c r="B34799">
        <f>TEXT(34798, "[$-0E0000]yyyy-mm-dd")</f>
        <v/>
      </c>
      <c r="C34799" t="inlineStr">
        <is>
          <t>1995-03-11</t>
        </is>
      </c>
    </row>
    <row r="34800">
      <c r="A34800" s="1" t="n">
        <v>34799</v>
      </c>
      <c r="B34800">
        <f>TEXT(34799, "[$-0E0000]yyyy-mm-dd")</f>
        <v/>
      </c>
      <c r="C34800" t="inlineStr">
        <is>
          <t>1995-03-12</t>
        </is>
      </c>
    </row>
    <row r="34801">
      <c r="A34801" s="1" t="n">
        <v>34800</v>
      </c>
      <c r="B34801">
        <f>TEXT(34800, "[$-0E0000]yyyy-mm-dd")</f>
        <v/>
      </c>
      <c r="C34801" t="inlineStr">
        <is>
          <t>1995-03-13</t>
        </is>
      </c>
    </row>
    <row r="34802">
      <c r="A34802" s="1" t="n">
        <v>34801</v>
      </c>
      <c r="B34802">
        <f>TEXT(34801, "[$-0E0000]yyyy-mm-dd")</f>
        <v/>
      </c>
      <c r="C34802" t="inlineStr">
        <is>
          <t>1995-03-14</t>
        </is>
      </c>
    </row>
    <row r="34803">
      <c r="A34803" s="1" t="n">
        <v>34802</v>
      </c>
      <c r="B34803">
        <f>TEXT(34802, "[$-0E0000]yyyy-mm-dd")</f>
        <v/>
      </c>
      <c r="C34803" t="inlineStr">
        <is>
          <t>1995-03-15</t>
        </is>
      </c>
    </row>
    <row r="34804">
      <c r="A34804" s="1" t="n">
        <v>34803</v>
      </c>
      <c r="B34804">
        <f>TEXT(34803, "[$-0E0000]yyyy-mm-dd")</f>
        <v/>
      </c>
      <c r="C34804" t="inlineStr">
        <is>
          <t>1995-03-16</t>
        </is>
      </c>
    </row>
    <row r="34805">
      <c r="A34805" s="1" t="n">
        <v>34804</v>
      </c>
      <c r="B34805">
        <f>TEXT(34804, "[$-0E0000]yyyy-mm-dd")</f>
        <v/>
      </c>
      <c r="C34805" t="inlineStr">
        <is>
          <t>1995-03-17</t>
        </is>
      </c>
    </row>
    <row r="34806">
      <c r="A34806" s="1" t="n">
        <v>34805</v>
      </c>
      <c r="B34806">
        <f>TEXT(34805, "[$-0E0000]yyyy-mm-dd")</f>
        <v/>
      </c>
      <c r="C34806" t="inlineStr">
        <is>
          <t>1995-03-18</t>
        </is>
      </c>
    </row>
    <row r="34807">
      <c r="A34807" s="1" t="n">
        <v>34806</v>
      </c>
      <c r="B34807">
        <f>TEXT(34806, "[$-0E0000]yyyy-mm-dd")</f>
        <v/>
      </c>
      <c r="C34807" t="inlineStr">
        <is>
          <t>1995-03-19</t>
        </is>
      </c>
    </row>
    <row r="34808">
      <c r="A34808" s="1" t="n">
        <v>34807</v>
      </c>
      <c r="B34808">
        <f>TEXT(34807, "[$-0E0000]yyyy-mm-dd")</f>
        <v/>
      </c>
      <c r="C34808" t="inlineStr">
        <is>
          <t>1995-03-20</t>
        </is>
      </c>
    </row>
    <row r="34809">
      <c r="A34809" s="1" t="n">
        <v>34808</v>
      </c>
      <c r="B34809">
        <f>TEXT(34808, "[$-0E0000]yyyy-mm-dd")</f>
        <v/>
      </c>
      <c r="C34809" t="inlineStr">
        <is>
          <t>1995-03-21</t>
        </is>
      </c>
    </row>
    <row r="34810">
      <c r="A34810" s="1" t="n">
        <v>34809</v>
      </c>
      <c r="B34810">
        <f>TEXT(34809, "[$-0E0000]yyyy-mm-dd")</f>
        <v/>
      </c>
      <c r="C34810" t="inlineStr">
        <is>
          <t>1995-03-22</t>
        </is>
      </c>
    </row>
    <row r="34811">
      <c r="A34811" s="1" t="n">
        <v>34810</v>
      </c>
      <c r="B34811">
        <f>TEXT(34810, "[$-0E0000]yyyy-mm-dd")</f>
        <v/>
      </c>
      <c r="C34811" t="inlineStr">
        <is>
          <t>1995-03-23</t>
        </is>
      </c>
    </row>
    <row r="34812">
      <c r="A34812" s="1" t="n">
        <v>34811</v>
      </c>
      <c r="B34812">
        <f>TEXT(34811, "[$-0E0000]yyyy-mm-dd")</f>
        <v/>
      </c>
      <c r="C34812" t="inlineStr">
        <is>
          <t>1995-03-24</t>
        </is>
      </c>
    </row>
    <row r="34813">
      <c r="A34813" s="1" t="n">
        <v>34812</v>
      </c>
      <c r="B34813">
        <f>TEXT(34812, "[$-0E0000]yyyy-mm-dd")</f>
        <v/>
      </c>
      <c r="C34813" t="inlineStr">
        <is>
          <t>1995-03-25</t>
        </is>
      </c>
    </row>
    <row r="34814">
      <c r="A34814" s="1" t="n">
        <v>34813</v>
      </c>
      <c r="B34814">
        <f>TEXT(34813, "[$-0E0000]yyyy-mm-dd")</f>
        <v/>
      </c>
      <c r="C34814" t="inlineStr">
        <is>
          <t>1995-03-26</t>
        </is>
      </c>
    </row>
    <row r="34815">
      <c r="A34815" s="1" t="n">
        <v>34814</v>
      </c>
      <c r="B34815">
        <f>TEXT(34814, "[$-0E0000]yyyy-mm-dd")</f>
        <v/>
      </c>
      <c r="C34815" t="inlineStr">
        <is>
          <t>1995-03-27</t>
        </is>
      </c>
    </row>
    <row r="34816">
      <c r="A34816" s="1" t="n">
        <v>34815</v>
      </c>
      <c r="B34816">
        <f>TEXT(34815, "[$-0E0000]yyyy-mm-dd")</f>
        <v/>
      </c>
      <c r="C34816" t="inlineStr">
        <is>
          <t>1995-03-28</t>
        </is>
      </c>
    </row>
    <row r="34817">
      <c r="A34817" s="1" t="n">
        <v>34816</v>
      </c>
      <c r="B34817">
        <f>TEXT(34816, "[$-0E0000]yyyy-mm-dd")</f>
        <v/>
      </c>
      <c r="C34817" t="inlineStr">
        <is>
          <t>1995-03-29</t>
        </is>
      </c>
    </row>
    <row r="34818">
      <c r="A34818" s="1" t="n">
        <v>34817</v>
      </c>
      <c r="B34818">
        <f>TEXT(34817, "[$-0E0000]yyyy-mm-dd")</f>
        <v/>
      </c>
      <c r="C34818" t="inlineStr">
        <is>
          <t>1995-03-30</t>
        </is>
      </c>
    </row>
    <row r="34819">
      <c r="A34819" s="1" t="n">
        <v>34818</v>
      </c>
      <c r="B34819">
        <f>TEXT(34818, "[$-0E0000]yyyy-mm-dd")</f>
        <v/>
      </c>
      <c r="C34819" t="inlineStr">
        <is>
          <t>1995-04-01</t>
        </is>
      </c>
    </row>
    <row r="34820">
      <c r="A34820" s="1" t="n">
        <v>34819</v>
      </c>
      <c r="B34820">
        <f>TEXT(34819, "[$-0E0000]yyyy-mm-dd")</f>
        <v/>
      </c>
      <c r="C34820" t="inlineStr">
        <is>
          <t>1995-04-02</t>
        </is>
      </c>
    </row>
    <row r="34821">
      <c r="A34821" s="1" t="n">
        <v>34820</v>
      </c>
      <c r="B34821">
        <f>TEXT(34820, "[$-0E0000]yyyy-mm-dd")</f>
        <v/>
      </c>
      <c r="C34821" t="inlineStr">
        <is>
          <t>1995-04-03</t>
        </is>
      </c>
    </row>
    <row r="34822">
      <c r="A34822" s="1" t="n">
        <v>34821</v>
      </c>
      <c r="B34822">
        <f>TEXT(34821, "[$-0E0000]yyyy-mm-dd")</f>
        <v/>
      </c>
      <c r="C34822" t="inlineStr">
        <is>
          <t>1995-04-04</t>
        </is>
      </c>
    </row>
    <row r="34823">
      <c r="A34823" s="1" t="n">
        <v>34822</v>
      </c>
      <c r="B34823">
        <f>TEXT(34822, "[$-0E0000]yyyy-mm-dd")</f>
        <v/>
      </c>
      <c r="C34823" t="inlineStr">
        <is>
          <t>1995-04-05</t>
        </is>
      </c>
    </row>
    <row r="34824">
      <c r="A34824" s="1" t="n">
        <v>34823</v>
      </c>
      <c r="B34824">
        <f>TEXT(34823, "[$-0E0000]yyyy-mm-dd")</f>
        <v/>
      </c>
      <c r="C34824" t="inlineStr">
        <is>
          <t>1995-04-06</t>
        </is>
      </c>
    </row>
    <row r="34825">
      <c r="A34825" s="1" t="n">
        <v>34824</v>
      </c>
      <c r="B34825">
        <f>TEXT(34824, "[$-0E0000]yyyy-mm-dd")</f>
        <v/>
      </c>
      <c r="C34825" t="inlineStr">
        <is>
          <t>1995-04-07</t>
        </is>
      </c>
    </row>
    <row r="34826">
      <c r="A34826" s="1" t="n">
        <v>34825</v>
      </c>
      <c r="B34826">
        <f>TEXT(34825, "[$-0E0000]yyyy-mm-dd")</f>
        <v/>
      </c>
      <c r="C34826" t="inlineStr">
        <is>
          <t>1995-04-08</t>
        </is>
      </c>
    </row>
    <row r="34827">
      <c r="A34827" s="1" t="n">
        <v>34826</v>
      </c>
      <c r="B34827">
        <f>TEXT(34826, "[$-0E0000]yyyy-mm-dd")</f>
        <v/>
      </c>
      <c r="C34827" t="inlineStr">
        <is>
          <t>1995-04-09</t>
        </is>
      </c>
    </row>
    <row r="34828">
      <c r="A34828" s="1" t="n">
        <v>34827</v>
      </c>
      <c r="B34828">
        <f>TEXT(34827, "[$-0E0000]yyyy-mm-dd")</f>
        <v/>
      </c>
      <c r="C34828" t="inlineStr">
        <is>
          <t>1995-04-10</t>
        </is>
      </c>
    </row>
    <row r="34829">
      <c r="A34829" s="1" t="n">
        <v>34828</v>
      </c>
      <c r="B34829">
        <f>TEXT(34828, "[$-0E0000]yyyy-mm-dd")</f>
        <v/>
      </c>
      <c r="C34829" t="inlineStr">
        <is>
          <t>1995-04-11</t>
        </is>
      </c>
    </row>
    <row r="34830">
      <c r="A34830" s="1" t="n">
        <v>34829</v>
      </c>
      <c r="B34830">
        <f>TEXT(34829, "[$-0E0000]yyyy-mm-dd")</f>
        <v/>
      </c>
      <c r="C34830" t="inlineStr">
        <is>
          <t>1995-04-12</t>
        </is>
      </c>
    </row>
    <row r="34831">
      <c r="A34831" s="1" t="n">
        <v>34830</v>
      </c>
      <c r="B34831">
        <f>TEXT(34830, "[$-0E0000]yyyy-mm-dd")</f>
        <v/>
      </c>
      <c r="C34831" t="inlineStr">
        <is>
          <t>1995-04-13</t>
        </is>
      </c>
    </row>
    <row r="34832">
      <c r="A34832" s="1" t="n">
        <v>34831</v>
      </c>
      <c r="B34832">
        <f>TEXT(34831, "[$-0E0000]yyyy-mm-dd")</f>
        <v/>
      </c>
      <c r="C34832" t="inlineStr">
        <is>
          <t>1995-04-14</t>
        </is>
      </c>
    </row>
    <row r="34833">
      <c r="A34833" s="1" t="n">
        <v>34832</v>
      </c>
      <c r="B34833">
        <f>TEXT(34832, "[$-0E0000]yyyy-mm-dd")</f>
        <v/>
      </c>
      <c r="C34833" t="inlineStr">
        <is>
          <t>1995-04-15</t>
        </is>
      </c>
    </row>
    <row r="34834">
      <c r="A34834" s="1" t="n">
        <v>34833</v>
      </c>
      <c r="B34834">
        <f>TEXT(34833, "[$-0E0000]yyyy-mm-dd")</f>
        <v/>
      </c>
      <c r="C34834" t="inlineStr">
        <is>
          <t>1995-04-16</t>
        </is>
      </c>
    </row>
    <row r="34835">
      <c r="A34835" s="1" t="n">
        <v>34834</v>
      </c>
      <c r="B34835">
        <f>TEXT(34834, "[$-0E0000]yyyy-mm-dd")</f>
        <v/>
      </c>
      <c r="C34835" t="inlineStr">
        <is>
          <t>1995-04-17</t>
        </is>
      </c>
    </row>
    <row r="34836">
      <c r="A34836" s="1" t="n">
        <v>34835</v>
      </c>
      <c r="B34836">
        <f>TEXT(34835, "[$-0E0000]yyyy-mm-dd")</f>
        <v/>
      </c>
      <c r="C34836" t="inlineStr">
        <is>
          <t>1995-04-18</t>
        </is>
      </c>
    </row>
    <row r="34837">
      <c r="A34837" s="1" t="n">
        <v>34836</v>
      </c>
      <c r="B34837">
        <f>TEXT(34836, "[$-0E0000]yyyy-mm-dd")</f>
        <v/>
      </c>
      <c r="C34837" t="inlineStr">
        <is>
          <t>1995-04-19</t>
        </is>
      </c>
    </row>
    <row r="34838">
      <c r="A34838" s="1" t="n">
        <v>34837</v>
      </c>
      <c r="B34838">
        <f>TEXT(34837, "[$-0E0000]yyyy-mm-dd")</f>
        <v/>
      </c>
      <c r="C34838" t="inlineStr">
        <is>
          <t>1995-04-20</t>
        </is>
      </c>
    </row>
    <row r="34839">
      <c r="A34839" s="1" t="n">
        <v>34838</v>
      </c>
      <c r="B34839">
        <f>TEXT(34838, "[$-0E0000]yyyy-mm-dd")</f>
        <v/>
      </c>
      <c r="C34839" t="inlineStr">
        <is>
          <t>1995-04-21</t>
        </is>
      </c>
    </row>
    <row r="34840">
      <c r="A34840" s="1" t="n">
        <v>34839</v>
      </c>
      <c r="B34840">
        <f>TEXT(34839, "[$-0E0000]yyyy-mm-dd")</f>
        <v/>
      </c>
      <c r="C34840" t="inlineStr">
        <is>
          <t>1995-04-22</t>
        </is>
      </c>
    </row>
    <row r="34841">
      <c r="A34841" s="1" t="n">
        <v>34840</v>
      </c>
      <c r="B34841">
        <f>TEXT(34840, "[$-0E0000]yyyy-mm-dd")</f>
        <v/>
      </c>
      <c r="C34841" t="inlineStr">
        <is>
          <t>1995-04-23</t>
        </is>
      </c>
    </row>
    <row r="34842">
      <c r="A34842" s="1" t="n">
        <v>34841</v>
      </c>
      <c r="B34842">
        <f>TEXT(34841, "[$-0E0000]yyyy-mm-dd")</f>
        <v/>
      </c>
      <c r="C34842" t="inlineStr">
        <is>
          <t>1995-04-24</t>
        </is>
      </c>
    </row>
    <row r="34843">
      <c r="A34843" s="1" t="n">
        <v>34842</v>
      </c>
      <c r="B34843">
        <f>TEXT(34842, "[$-0E0000]yyyy-mm-dd")</f>
        <v/>
      </c>
      <c r="C34843" t="inlineStr">
        <is>
          <t>1995-04-25</t>
        </is>
      </c>
    </row>
    <row r="34844">
      <c r="A34844" s="1" t="n">
        <v>34843</v>
      </c>
      <c r="B34844">
        <f>TEXT(34843, "[$-0E0000]yyyy-mm-dd")</f>
        <v/>
      </c>
      <c r="C34844" t="inlineStr">
        <is>
          <t>1995-04-26</t>
        </is>
      </c>
    </row>
    <row r="34845">
      <c r="A34845" s="1" t="n">
        <v>34844</v>
      </c>
      <c r="B34845">
        <f>TEXT(34844, "[$-0E0000]yyyy-mm-dd")</f>
        <v/>
      </c>
      <c r="C34845" t="inlineStr">
        <is>
          <t>1995-04-27</t>
        </is>
      </c>
    </row>
    <row r="34846">
      <c r="A34846" s="1" t="n">
        <v>34845</v>
      </c>
      <c r="B34846">
        <f>TEXT(34845, "[$-0E0000]yyyy-mm-dd")</f>
        <v/>
      </c>
      <c r="C34846" t="inlineStr">
        <is>
          <t>1995-04-28</t>
        </is>
      </c>
    </row>
    <row r="34847">
      <c r="A34847" s="1" t="n">
        <v>34846</v>
      </c>
      <c r="B34847">
        <f>TEXT(34846, "[$-0E0000]yyyy-mm-dd")</f>
        <v/>
      </c>
      <c r="C34847" t="inlineStr">
        <is>
          <t>1995-04-29</t>
        </is>
      </c>
    </row>
    <row r="34848">
      <c r="A34848" s="1" t="n">
        <v>34847</v>
      </c>
      <c r="B34848">
        <f>TEXT(34847, "[$-0E0000]yyyy-mm-dd")</f>
        <v/>
      </c>
      <c r="C34848" t="inlineStr">
        <is>
          <t>1995-05-01</t>
        </is>
      </c>
    </row>
    <row r="34849">
      <c r="A34849" s="1" t="n">
        <v>34848</v>
      </c>
      <c r="B34849">
        <f>TEXT(34848, "[$-0E0000]yyyy-mm-dd")</f>
        <v/>
      </c>
      <c r="C34849" t="inlineStr">
        <is>
          <t>1995-05-02</t>
        </is>
      </c>
    </row>
    <row r="34850">
      <c r="A34850" s="1" t="n">
        <v>34849</v>
      </c>
      <c r="B34850">
        <f>TEXT(34849, "[$-0E0000]yyyy-mm-dd")</f>
        <v/>
      </c>
      <c r="C34850" t="inlineStr">
        <is>
          <t>1995-05-03</t>
        </is>
      </c>
    </row>
    <row r="34851">
      <c r="A34851" s="1" t="n">
        <v>34850</v>
      </c>
      <c r="B34851">
        <f>TEXT(34850, "[$-0E0000]yyyy-mm-dd")</f>
        <v/>
      </c>
      <c r="C34851" t="inlineStr">
        <is>
          <t>1995-05-04</t>
        </is>
      </c>
    </row>
    <row r="34852">
      <c r="A34852" s="1" t="n">
        <v>34851</v>
      </c>
      <c r="B34852">
        <f>TEXT(34851, "[$-0E0000]yyyy-mm-dd")</f>
        <v/>
      </c>
      <c r="C34852" t="inlineStr">
        <is>
          <t>1995-05-05</t>
        </is>
      </c>
    </row>
    <row r="34853">
      <c r="A34853" s="1" t="n">
        <v>34852</v>
      </c>
      <c r="B34853">
        <f>TEXT(34852, "[$-0E0000]yyyy-mm-dd")</f>
        <v/>
      </c>
      <c r="C34853" t="inlineStr">
        <is>
          <t>1995-05-06</t>
        </is>
      </c>
    </row>
    <row r="34854">
      <c r="A34854" s="1" t="n">
        <v>34853</v>
      </c>
      <c r="B34854">
        <f>TEXT(34853, "[$-0E0000]yyyy-mm-dd")</f>
        <v/>
      </c>
      <c r="C34854" t="inlineStr">
        <is>
          <t>1995-05-07</t>
        </is>
      </c>
    </row>
    <row r="34855">
      <c r="A34855" s="1" t="n">
        <v>34854</v>
      </c>
      <c r="B34855">
        <f>TEXT(34854, "[$-0E0000]yyyy-mm-dd")</f>
        <v/>
      </c>
      <c r="C34855" t="inlineStr">
        <is>
          <t>1995-05-08</t>
        </is>
      </c>
    </row>
    <row r="34856">
      <c r="A34856" s="1" t="n">
        <v>34855</v>
      </c>
      <c r="B34856">
        <f>TEXT(34855, "[$-0E0000]yyyy-mm-dd")</f>
        <v/>
      </c>
      <c r="C34856" t="inlineStr">
        <is>
          <t>1995-05-09</t>
        </is>
      </c>
    </row>
    <row r="34857">
      <c r="A34857" s="1" t="n">
        <v>34856</v>
      </c>
      <c r="B34857">
        <f>TEXT(34856, "[$-0E0000]yyyy-mm-dd")</f>
        <v/>
      </c>
      <c r="C34857" t="inlineStr">
        <is>
          <t>1995-05-10</t>
        </is>
      </c>
    </row>
    <row r="34858">
      <c r="A34858" s="1" t="n">
        <v>34857</v>
      </c>
      <c r="B34858">
        <f>TEXT(34857, "[$-0E0000]yyyy-mm-dd")</f>
        <v/>
      </c>
      <c r="C34858" t="inlineStr">
        <is>
          <t>1995-05-11</t>
        </is>
      </c>
    </row>
    <row r="34859">
      <c r="A34859" s="1" t="n">
        <v>34858</v>
      </c>
      <c r="B34859">
        <f>TEXT(34858, "[$-0E0000]yyyy-mm-dd")</f>
        <v/>
      </c>
      <c r="C34859" t="inlineStr">
        <is>
          <t>1995-05-12</t>
        </is>
      </c>
    </row>
    <row r="34860">
      <c r="A34860" s="1" t="n">
        <v>34859</v>
      </c>
      <c r="B34860">
        <f>TEXT(34859, "[$-0E0000]yyyy-mm-dd")</f>
        <v/>
      </c>
      <c r="C34860" t="inlineStr">
        <is>
          <t>1995-05-13</t>
        </is>
      </c>
    </row>
    <row r="34861">
      <c r="A34861" s="1" t="n">
        <v>34860</v>
      </c>
      <c r="B34861">
        <f>TEXT(34860, "[$-0E0000]yyyy-mm-dd")</f>
        <v/>
      </c>
      <c r="C34861" t="inlineStr">
        <is>
          <t>1995-05-14</t>
        </is>
      </c>
    </row>
    <row r="34862">
      <c r="A34862" s="1" t="n">
        <v>34861</v>
      </c>
      <c r="B34862">
        <f>TEXT(34861, "[$-0E0000]yyyy-mm-dd")</f>
        <v/>
      </c>
      <c r="C34862" t="inlineStr">
        <is>
          <t>1995-05-15</t>
        </is>
      </c>
    </row>
    <row r="34863">
      <c r="A34863" s="1" t="n">
        <v>34862</v>
      </c>
      <c r="B34863">
        <f>TEXT(34862, "[$-0E0000]yyyy-mm-dd")</f>
        <v/>
      </c>
      <c r="C34863" t="inlineStr">
        <is>
          <t>1995-05-16</t>
        </is>
      </c>
    </row>
    <row r="34864">
      <c r="A34864" s="1" t="n">
        <v>34863</v>
      </c>
      <c r="B34864">
        <f>TEXT(34863, "[$-0E0000]yyyy-mm-dd")</f>
        <v/>
      </c>
      <c r="C34864" t="inlineStr">
        <is>
          <t>1995-05-17</t>
        </is>
      </c>
    </row>
    <row r="34865">
      <c r="A34865" s="1" t="n">
        <v>34864</v>
      </c>
      <c r="B34865">
        <f>TEXT(34864, "[$-0E0000]yyyy-mm-dd")</f>
        <v/>
      </c>
      <c r="C34865" t="inlineStr">
        <is>
          <t>1995-05-18</t>
        </is>
      </c>
    </row>
    <row r="34866">
      <c r="A34866" s="1" t="n">
        <v>34865</v>
      </c>
      <c r="B34866">
        <f>TEXT(34865, "[$-0E0000]yyyy-mm-dd")</f>
        <v/>
      </c>
      <c r="C34866" t="inlineStr">
        <is>
          <t>1995-05-19</t>
        </is>
      </c>
    </row>
    <row r="34867">
      <c r="A34867" s="1" t="n">
        <v>34866</v>
      </c>
      <c r="B34867">
        <f>TEXT(34866, "[$-0E0000]yyyy-mm-dd")</f>
        <v/>
      </c>
      <c r="C34867" t="inlineStr">
        <is>
          <t>1995-05-20</t>
        </is>
      </c>
    </row>
    <row r="34868">
      <c r="A34868" s="1" t="n">
        <v>34867</v>
      </c>
      <c r="B34868">
        <f>TEXT(34867, "[$-0E0000]yyyy-mm-dd")</f>
        <v/>
      </c>
      <c r="C34868" t="inlineStr">
        <is>
          <t>1995-05-21</t>
        </is>
      </c>
    </row>
    <row r="34869">
      <c r="A34869" s="1" t="n">
        <v>34868</v>
      </c>
      <c r="B34869">
        <f>TEXT(34868, "[$-0E0000]yyyy-mm-dd")</f>
        <v/>
      </c>
      <c r="C34869" t="inlineStr">
        <is>
          <t>1995-05-22</t>
        </is>
      </c>
    </row>
    <row r="34870">
      <c r="A34870" s="1" t="n">
        <v>34869</v>
      </c>
      <c r="B34870">
        <f>TEXT(34869, "[$-0E0000]yyyy-mm-dd")</f>
        <v/>
      </c>
      <c r="C34870" t="inlineStr">
        <is>
          <t>1995-05-23</t>
        </is>
      </c>
    </row>
    <row r="34871">
      <c r="A34871" s="1" t="n">
        <v>34870</v>
      </c>
      <c r="B34871">
        <f>TEXT(34870, "[$-0E0000]yyyy-mm-dd")</f>
        <v/>
      </c>
      <c r="C34871" t="inlineStr">
        <is>
          <t>1995-05-24</t>
        </is>
      </c>
    </row>
    <row r="34872">
      <c r="A34872" s="1" t="n">
        <v>34871</v>
      </c>
      <c r="B34872">
        <f>TEXT(34871, "[$-0E0000]yyyy-mm-dd")</f>
        <v/>
      </c>
      <c r="C34872" t="inlineStr">
        <is>
          <t>1995-05-25</t>
        </is>
      </c>
    </row>
    <row r="34873">
      <c r="A34873" s="1" t="n">
        <v>34872</v>
      </c>
      <c r="B34873">
        <f>TEXT(34872, "[$-0E0000]yyyy-mm-dd")</f>
        <v/>
      </c>
      <c r="C34873" t="inlineStr">
        <is>
          <t>1995-05-26</t>
        </is>
      </c>
    </row>
    <row r="34874">
      <c r="A34874" s="1" t="n">
        <v>34873</v>
      </c>
      <c r="B34874">
        <f>TEXT(34873, "[$-0E0000]yyyy-mm-dd")</f>
        <v/>
      </c>
      <c r="C34874" t="inlineStr">
        <is>
          <t>1995-05-27</t>
        </is>
      </c>
    </row>
    <row r="34875">
      <c r="A34875" s="1" t="n">
        <v>34874</v>
      </c>
      <c r="B34875">
        <f>TEXT(34874, "[$-0E0000]yyyy-mm-dd")</f>
        <v/>
      </c>
      <c r="C34875" t="inlineStr">
        <is>
          <t>1995-05-28</t>
        </is>
      </c>
    </row>
    <row r="34876">
      <c r="A34876" s="1" t="n">
        <v>34875</v>
      </c>
      <c r="B34876">
        <f>TEXT(34875, "[$-0E0000]yyyy-mm-dd")</f>
        <v/>
      </c>
      <c r="C34876" t="inlineStr">
        <is>
          <t>1995-05-29</t>
        </is>
      </c>
    </row>
    <row r="34877">
      <c r="A34877" s="1" t="n">
        <v>34876</v>
      </c>
      <c r="B34877">
        <f>TEXT(34876, "[$-0E0000]yyyy-mm-dd")</f>
        <v/>
      </c>
      <c r="C34877" t="inlineStr">
        <is>
          <t>1995-05-30</t>
        </is>
      </c>
    </row>
    <row r="34878">
      <c r="A34878" s="1" t="n">
        <v>34877</v>
      </c>
      <c r="B34878">
        <f>TEXT(34877, "[$-0E0000]yyyy-mm-dd")</f>
        <v/>
      </c>
      <c r="C34878" t="inlineStr">
        <is>
          <t>1995-06-01</t>
        </is>
      </c>
    </row>
    <row r="34879">
      <c r="A34879" s="1" t="n">
        <v>34878</v>
      </c>
      <c r="B34879">
        <f>TEXT(34878, "[$-0E0000]yyyy-mm-dd")</f>
        <v/>
      </c>
      <c r="C34879" t="inlineStr">
        <is>
          <t>1995-06-02</t>
        </is>
      </c>
    </row>
    <row r="34880">
      <c r="A34880" s="1" t="n">
        <v>34879</v>
      </c>
      <c r="B34880">
        <f>TEXT(34879, "[$-0E0000]yyyy-mm-dd")</f>
        <v/>
      </c>
      <c r="C34880" t="inlineStr">
        <is>
          <t>1995-06-03</t>
        </is>
      </c>
    </row>
    <row r="34881">
      <c r="A34881" s="1" t="n">
        <v>34880</v>
      </c>
      <c r="B34881">
        <f>TEXT(34880, "[$-0E0000]yyyy-mm-dd")</f>
        <v/>
      </c>
      <c r="C34881" t="inlineStr">
        <is>
          <t>1995-06-04</t>
        </is>
      </c>
    </row>
    <row r="34882">
      <c r="A34882" s="1" t="n">
        <v>34881</v>
      </c>
      <c r="B34882">
        <f>TEXT(34881, "[$-0E0000]yyyy-mm-dd")</f>
        <v/>
      </c>
      <c r="C34882" t="inlineStr">
        <is>
          <t>1995-06-05</t>
        </is>
      </c>
    </row>
    <row r="34883">
      <c r="A34883" s="1" t="n">
        <v>34882</v>
      </c>
      <c r="B34883">
        <f>TEXT(34882, "[$-0E0000]yyyy-mm-dd")</f>
        <v/>
      </c>
      <c r="C34883" t="inlineStr">
        <is>
          <t>1995-06-06</t>
        </is>
      </c>
    </row>
    <row r="34884">
      <c r="A34884" s="1" t="n">
        <v>34883</v>
      </c>
      <c r="B34884">
        <f>TEXT(34883, "[$-0E0000]yyyy-mm-dd")</f>
        <v/>
      </c>
      <c r="C34884" t="inlineStr">
        <is>
          <t>1995-06-07</t>
        </is>
      </c>
    </row>
    <row r="34885">
      <c r="A34885" s="1" t="n">
        <v>34884</v>
      </c>
      <c r="B34885">
        <f>TEXT(34884, "[$-0E0000]yyyy-mm-dd")</f>
        <v/>
      </c>
      <c r="C34885" t="inlineStr">
        <is>
          <t>1995-06-08</t>
        </is>
      </c>
    </row>
    <row r="34886">
      <c r="A34886" s="1" t="n">
        <v>34885</v>
      </c>
      <c r="B34886">
        <f>TEXT(34885, "[$-0E0000]yyyy-mm-dd")</f>
        <v/>
      </c>
      <c r="C34886" t="inlineStr">
        <is>
          <t>1995-06-09</t>
        </is>
      </c>
    </row>
    <row r="34887">
      <c r="A34887" s="1" t="n">
        <v>34886</v>
      </c>
      <c r="B34887">
        <f>TEXT(34886, "[$-0E0000]yyyy-mm-dd")</f>
        <v/>
      </c>
      <c r="C34887" t="inlineStr">
        <is>
          <t>1995-06-10</t>
        </is>
      </c>
    </row>
    <row r="34888">
      <c r="A34888" s="1" t="n">
        <v>34887</v>
      </c>
      <c r="B34888">
        <f>TEXT(34887, "[$-0E0000]yyyy-mm-dd")</f>
        <v/>
      </c>
      <c r="C34888" t="inlineStr">
        <is>
          <t>1995-06-11</t>
        </is>
      </c>
    </row>
    <row r="34889">
      <c r="A34889" s="1" t="n">
        <v>34888</v>
      </c>
      <c r="B34889">
        <f>TEXT(34888, "[$-0E0000]yyyy-mm-dd")</f>
        <v/>
      </c>
      <c r="C34889" t="inlineStr">
        <is>
          <t>1995-06-12</t>
        </is>
      </c>
    </row>
    <row r="34890">
      <c r="A34890" s="1" t="n">
        <v>34889</v>
      </c>
      <c r="B34890">
        <f>TEXT(34889, "[$-0E0000]yyyy-mm-dd")</f>
        <v/>
      </c>
      <c r="C34890" t="inlineStr">
        <is>
          <t>1995-06-13</t>
        </is>
      </c>
    </row>
    <row r="34891">
      <c r="A34891" s="1" t="n">
        <v>34890</v>
      </c>
      <c r="B34891">
        <f>TEXT(34890, "[$-0E0000]yyyy-mm-dd")</f>
        <v/>
      </c>
      <c r="C34891" t="inlineStr">
        <is>
          <t>1995-06-14</t>
        </is>
      </c>
    </row>
    <row r="34892">
      <c r="A34892" s="1" t="n">
        <v>34891</v>
      </c>
      <c r="B34892">
        <f>TEXT(34891, "[$-0E0000]yyyy-mm-dd")</f>
        <v/>
      </c>
      <c r="C34892" t="inlineStr">
        <is>
          <t>1995-06-15</t>
        </is>
      </c>
    </row>
    <row r="34893">
      <c r="A34893" s="1" t="n">
        <v>34892</v>
      </c>
      <c r="B34893">
        <f>TEXT(34892, "[$-0E0000]yyyy-mm-dd")</f>
        <v/>
      </c>
      <c r="C34893" t="inlineStr">
        <is>
          <t>1995-06-16</t>
        </is>
      </c>
    </row>
    <row r="34894">
      <c r="A34894" s="1" t="n">
        <v>34893</v>
      </c>
      <c r="B34894">
        <f>TEXT(34893, "[$-0E0000]yyyy-mm-dd")</f>
        <v/>
      </c>
      <c r="C34894" t="inlineStr">
        <is>
          <t>1995-06-17</t>
        </is>
      </c>
    </row>
    <row r="34895">
      <c r="A34895" s="1" t="n">
        <v>34894</v>
      </c>
      <c r="B34895">
        <f>TEXT(34894, "[$-0E0000]yyyy-mm-dd")</f>
        <v/>
      </c>
      <c r="C34895" t="inlineStr">
        <is>
          <t>1995-06-18</t>
        </is>
      </c>
    </row>
    <row r="34896">
      <c r="A34896" s="1" t="n">
        <v>34895</v>
      </c>
      <c r="B34896">
        <f>TEXT(34895, "[$-0E0000]yyyy-mm-dd")</f>
        <v/>
      </c>
      <c r="C34896" t="inlineStr">
        <is>
          <t>1995-06-19</t>
        </is>
      </c>
    </row>
    <row r="34897">
      <c r="A34897" s="1" t="n">
        <v>34896</v>
      </c>
      <c r="B34897">
        <f>TEXT(34896, "[$-0E0000]yyyy-mm-dd")</f>
        <v/>
      </c>
      <c r="C34897" t="inlineStr">
        <is>
          <t>1995-06-20</t>
        </is>
      </c>
    </row>
    <row r="34898">
      <c r="A34898" s="1" t="n">
        <v>34897</v>
      </c>
      <c r="B34898">
        <f>TEXT(34897, "[$-0E0000]yyyy-mm-dd")</f>
        <v/>
      </c>
      <c r="C34898" t="inlineStr">
        <is>
          <t>1995-06-21</t>
        </is>
      </c>
    </row>
    <row r="34899">
      <c r="A34899" s="1" t="n">
        <v>34898</v>
      </c>
      <c r="B34899">
        <f>TEXT(34898, "[$-0E0000]yyyy-mm-dd")</f>
        <v/>
      </c>
      <c r="C34899" t="inlineStr">
        <is>
          <t>1995-06-22</t>
        </is>
      </c>
    </row>
    <row r="34900">
      <c r="A34900" s="1" t="n">
        <v>34899</v>
      </c>
      <c r="B34900">
        <f>TEXT(34899, "[$-0E0000]yyyy-mm-dd")</f>
        <v/>
      </c>
      <c r="C34900" t="inlineStr">
        <is>
          <t>1995-06-23</t>
        </is>
      </c>
    </row>
    <row r="34901">
      <c r="A34901" s="1" t="n">
        <v>34900</v>
      </c>
      <c r="B34901">
        <f>TEXT(34900, "[$-0E0000]yyyy-mm-dd")</f>
        <v/>
      </c>
      <c r="C34901" t="inlineStr">
        <is>
          <t>1995-06-24</t>
        </is>
      </c>
    </row>
    <row r="34902">
      <c r="A34902" s="1" t="n">
        <v>34901</v>
      </c>
      <c r="B34902">
        <f>TEXT(34901, "[$-0E0000]yyyy-mm-dd")</f>
        <v/>
      </c>
      <c r="C34902" t="inlineStr">
        <is>
          <t>1995-06-25</t>
        </is>
      </c>
    </row>
    <row r="34903">
      <c r="A34903" s="1" t="n">
        <v>34902</v>
      </c>
      <c r="B34903">
        <f>TEXT(34902, "[$-0E0000]yyyy-mm-dd")</f>
        <v/>
      </c>
      <c r="C34903" t="inlineStr">
        <is>
          <t>1995-06-26</t>
        </is>
      </c>
    </row>
    <row r="34904">
      <c r="A34904" s="1" t="n">
        <v>34903</v>
      </c>
      <c r="B34904">
        <f>TEXT(34903, "[$-0E0000]yyyy-mm-dd")</f>
        <v/>
      </c>
      <c r="C34904" t="inlineStr">
        <is>
          <t>1995-06-27</t>
        </is>
      </c>
    </row>
    <row r="34905">
      <c r="A34905" s="1" t="n">
        <v>34904</v>
      </c>
      <c r="B34905">
        <f>TEXT(34904, "[$-0E0000]yyyy-mm-dd")</f>
        <v/>
      </c>
      <c r="C34905" t="inlineStr">
        <is>
          <t>1995-06-28</t>
        </is>
      </c>
    </row>
    <row r="34906">
      <c r="A34906" s="1" t="n">
        <v>34905</v>
      </c>
      <c r="B34906">
        <f>TEXT(34905, "[$-0E0000]yyyy-mm-dd")</f>
        <v/>
      </c>
      <c r="C34906" t="inlineStr">
        <is>
          <t>1995-06-29</t>
        </is>
      </c>
    </row>
    <row r="34907">
      <c r="A34907" s="1" t="n">
        <v>34906</v>
      </c>
      <c r="B34907">
        <f>TEXT(34906, "[$-0E0000]yyyy-mm-dd")</f>
        <v/>
      </c>
      <c r="C34907" t="inlineStr">
        <is>
          <t>1995-07-01</t>
        </is>
      </c>
    </row>
    <row r="34908">
      <c r="A34908" s="1" t="n">
        <v>34907</v>
      </c>
      <c r="B34908">
        <f>TEXT(34907, "[$-0E0000]yyyy-mm-dd")</f>
        <v/>
      </c>
      <c r="C34908" t="inlineStr">
        <is>
          <t>1995-07-02</t>
        </is>
      </c>
    </row>
    <row r="34909">
      <c r="A34909" s="1" t="n">
        <v>34908</v>
      </c>
      <c r="B34909">
        <f>TEXT(34908, "[$-0E0000]yyyy-mm-dd")</f>
        <v/>
      </c>
      <c r="C34909" t="inlineStr">
        <is>
          <t>1995-07-03</t>
        </is>
      </c>
    </row>
    <row r="34910">
      <c r="A34910" s="1" t="n">
        <v>34909</v>
      </c>
      <c r="B34910">
        <f>TEXT(34909, "[$-0E0000]yyyy-mm-dd")</f>
        <v/>
      </c>
      <c r="C34910" t="inlineStr">
        <is>
          <t>1995-07-04</t>
        </is>
      </c>
    </row>
    <row r="34911">
      <c r="A34911" s="1" t="n">
        <v>34910</v>
      </c>
      <c r="B34911">
        <f>TEXT(34910, "[$-0E0000]yyyy-mm-dd")</f>
        <v/>
      </c>
      <c r="C34911" t="inlineStr">
        <is>
          <t>1995-07-05</t>
        </is>
      </c>
    </row>
    <row r="34912">
      <c r="A34912" s="1" t="n">
        <v>34911</v>
      </c>
      <c r="B34912">
        <f>TEXT(34911, "[$-0E0000]yyyy-mm-dd")</f>
        <v/>
      </c>
      <c r="C34912" t="inlineStr">
        <is>
          <t>1995-07-06</t>
        </is>
      </c>
    </row>
    <row r="34913">
      <c r="A34913" s="1" t="n">
        <v>34912</v>
      </c>
      <c r="B34913">
        <f>TEXT(34912, "[$-0E0000]yyyy-mm-dd")</f>
        <v/>
      </c>
      <c r="C34913" t="inlineStr">
        <is>
          <t>1995-07-07</t>
        </is>
      </c>
    </row>
    <row r="34914">
      <c r="A34914" s="1" t="n">
        <v>34913</v>
      </c>
      <c r="B34914">
        <f>TEXT(34913, "[$-0E0000]yyyy-mm-dd")</f>
        <v/>
      </c>
      <c r="C34914" t="inlineStr">
        <is>
          <t>1995-07-08</t>
        </is>
      </c>
    </row>
    <row r="34915">
      <c r="A34915" s="1" t="n">
        <v>34914</v>
      </c>
      <c r="B34915">
        <f>TEXT(34914, "[$-0E0000]yyyy-mm-dd")</f>
        <v/>
      </c>
      <c r="C34915" t="inlineStr">
        <is>
          <t>1995-07-09</t>
        </is>
      </c>
    </row>
    <row r="34916">
      <c r="A34916" s="1" t="n">
        <v>34915</v>
      </c>
      <c r="B34916">
        <f>TEXT(34915, "[$-0E0000]yyyy-mm-dd")</f>
        <v/>
      </c>
      <c r="C34916" t="inlineStr">
        <is>
          <t>1995-07-10</t>
        </is>
      </c>
    </row>
    <row r="34917">
      <c r="A34917" s="1" t="n">
        <v>34916</v>
      </c>
      <c r="B34917">
        <f>TEXT(34916, "[$-0E0000]yyyy-mm-dd")</f>
        <v/>
      </c>
      <c r="C34917" t="inlineStr">
        <is>
          <t>1995-07-11</t>
        </is>
      </c>
    </row>
    <row r="34918">
      <c r="A34918" s="1" t="n">
        <v>34917</v>
      </c>
      <c r="B34918">
        <f>TEXT(34917, "[$-0E0000]yyyy-mm-dd")</f>
        <v/>
      </c>
      <c r="C34918" t="inlineStr">
        <is>
          <t>1995-07-12</t>
        </is>
      </c>
    </row>
    <row r="34919">
      <c r="A34919" s="1" t="n">
        <v>34918</v>
      </c>
      <c r="B34919">
        <f>TEXT(34918, "[$-0E0000]yyyy-mm-dd")</f>
        <v/>
      </c>
      <c r="C34919" t="inlineStr">
        <is>
          <t>1995-07-13</t>
        </is>
      </c>
    </row>
    <row r="34920">
      <c r="A34920" s="1" t="n">
        <v>34919</v>
      </c>
      <c r="B34920">
        <f>TEXT(34919, "[$-0E0000]yyyy-mm-dd")</f>
        <v/>
      </c>
      <c r="C34920" t="inlineStr">
        <is>
          <t>1995-07-14</t>
        </is>
      </c>
    </row>
    <row r="34921">
      <c r="A34921" s="1" t="n">
        <v>34920</v>
      </c>
      <c r="B34921">
        <f>TEXT(34920, "[$-0E0000]yyyy-mm-dd")</f>
        <v/>
      </c>
      <c r="C34921" t="inlineStr">
        <is>
          <t>1995-07-15</t>
        </is>
      </c>
    </row>
    <row r="34922">
      <c r="A34922" s="1" t="n">
        <v>34921</v>
      </c>
      <c r="B34922">
        <f>TEXT(34921, "[$-0E0000]yyyy-mm-dd")</f>
        <v/>
      </c>
      <c r="C34922" t="inlineStr">
        <is>
          <t>1995-07-16</t>
        </is>
      </c>
    </row>
    <row r="34923">
      <c r="A34923" s="1" t="n">
        <v>34922</v>
      </c>
      <c r="B34923">
        <f>TEXT(34922, "[$-0E0000]yyyy-mm-dd")</f>
        <v/>
      </c>
      <c r="C34923" t="inlineStr">
        <is>
          <t>1995-07-17</t>
        </is>
      </c>
    </row>
    <row r="34924">
      <c r="A34924" s="1" t="n">
        <v>34923</v>
      </c>
      <c r="B34924">
        <f>TEXT(34923, "[$-0E0000]yyyy-mm-dd")</f>
        <v/>
      </c>
      <c r="C34924" t="inlineStr">
        <is>
          <t>1995-07-18</t>
        </is>
      </c>
    </row>
    <row r="34925">
      <c r="A34925" s="1" t="n">
        <v>34924</v>
      </c>
      <c r="B34925">
        <f>TEXT(34924, "[$-0E0000]yyyy-mm-dd")</f>
        <v/>
      </c>
      <c r="C34925" t="inlineStr">
        <is>
          <t>1995-07-19</t>
        </is>
      </c>
    </row>
    <row r="34926">
      <c r="A34926" s="1" t="n">
        <v>34925</v>
      </c>
      <c r="B34926">
        <f>TEXT(34925, "[$-0E0000]yyyy-mm-dd")</f>
        <v/>
      </c>
      <c r="C34926" t="inlineStr">
        <is>
          <t>1995-07-20</t>
        </is>
      </c>
    </row>
    <row r="34927">
      <c r="A34927" s="1" t="n">
        <v>34926</v>
      </c>
      <c r="B34927">
        <f>TEXT(34926, "[$-0E0000]yyyy-mm-dd")</f>
        <v/>
      </c>
      <c r="C34927" t="inlineStr">
        <is>
          <t>1995-07-21</t>
        </is>
      </c>
    </row>
    <row r="34928">
      <c r="A34928" s="1" t="n">
        <v>34927</v>
      </c>
      <c r="B34928">
        <f>TEXT(34927, "[$-0E0000]yyyy-mm-dd")</f>
        <v/>
      </c>
      <c r="C34928" t="inlineStr">
        <is>
          <t>1995-07-22</t>
        </is>
      </c>
    </row>
    <row r="34929">
      <c r="A34929" s="1" t="n">
        <v>34928</v>
      </c>
      <c r="B34929">
        <f>TEXT(34928, "[$-0E0000]yyyy-mm-dd")</f>
        <v/>
      </c>
      <c r="C34929" t="inlineStr">
        <is>
          <t>1995-07-23</t>
        </is>
      </c>
    </row>
    <row r="34930">
      <c r="A34930" s="1" t="n">
        <v>34929</v>
      </c>
      <c r="B34930">
        <f>TEXT(34929, "[$-0E0000]yyyy-mm-dd")</f>
        <v/>
      </c>
      <c r="C34930" t="inlineStr">
        <is>
          <t>1995-07-24</t>
        </is>
      </c>
    </row>
    <row r="34931">
      <c r="A34931" s="1" t="n">
        <v>34930</v>
      </c>
      <c r="B34931">
        <f>TEXT(34930, "[$-0E0000]yyyy-mm-dd")</f>
        <v/>
      </c>
      <c r="C34931" t="inlineStr">
        <is>
          <t>1995-07-25</t>
        </is>
      </c>
    </row>
    <row r="34932">
      <c r="A34932" s="1" t="n">
        <v>34931</v>
      </c>
      <c r="B34932">
        <f>TEXT(34931, "[$-0E0000]yyyy-mm-dd")</f>
        <v/>
      </c>
      <c r="C34932" t="inlineStr">
        <is>
          <t>1995-07-26</t>
        </is>
      </c>
    </row>
    <row r="34933">
      <c r="A34933" s="1" t="n">
        <v>34932</v>
      </c>
      <c r="B34933">
        <f>TEXT(34932, "[$-0E0000]yyyy-mm-dd")</f>
        <v/>
      </c>
      <c r="C34933" t="inlineStr">
        <is>
          <t>1995-07-27</t>
        </is>
      </c>
    </row>
    <row r="34934">
      <c r="A34934" s="1" t="n">
        <v>34933</v>
      </c>
      <c r="B34934">
        <f>TEXT(34933, "[$-0E0000]yyyy-mm-dd")</f>
        <v/>
      </c>
      <c r="C34934" t="inlineStr">
        <is>
          <t>1995-07-28</t>
        </is>
      </c>
    </row>
    <row r="34935">
      <c r="A34935" s="1" t="n">
        <v>34934</v>
      </c>
      <c r="B34935">
        <f>TEXT(34934, "[$-0E0000]yyyy-mm-dd")</f>
        <v/>
      </c>
      <c r="C34935" t="inlineStr">
        <is>
          <t>1995-07-29</t>
        </is>
      </c>
    </row>
    <row r="34936">
      <c r="A34936" s="1" t="n">
        <v>34935</v>
      </c>
      <c r="B34936">
        <f>TEXT(34935, "[$-0E0000]yyyy-mm-dd")</f>
        <v/>
      </c>
      <c r="C34936" t="inlineStr">
        <is>
          <t>1995-07-30</t>
        </is>
      </c>
    </row>
    <row r="34937">
      <c r="A34937" s="1" t="n">
        <v>34936</v>
      </c>
      <c r="B34937">
        <f>TEXT(34936, "[$-0E0000]yyyy-mm-dd")</f>
        <v/>
      </c>
      <c r="C34937" t="inlineStr">
        <is>
          <t>1995-08-01</t>
        </is>
      </c>
    </row>
    <row r="34938">
      <c r="A34938" s="1" t="n">
        <v>34937</v>
      </c>
      <c r="B34938">
        <f>TEXT(34937, "[$-0E0000]yyyy-mm-dd")</f>
        <v/>
      </c>
      <c r="C34938" t="inlineStr">
        <is>
          <t>1995-08-02</t>
        </is>
      </c>
    </row>
    <row r="34939">
      <c r="A34939" s="1" t="n">
        <v>34938</v>
      </c>
      <c r="B34939">
        <f>TEXT(34938, "[$-0E0000]yyyy-mm-dd")</f>
        <v/>
      </c>
      <c r="C34939" t="inlineStr">
        <is>
          <t>1995-08-03</t>
        </is>
      </c>
    </row>
    <row r="34940">
      <c r="A34940" s="1" t="n">
        <v>34939</v>
      </c>
      <c r="B34940">
        <f>TEXT(34939, "[$-0E0000]yyyy-mm-dd")</f>
        <v/>
      </c>
      <c r="C34940" t="inlineStr">
        <is>
          <t>1995-08-04</t>
        </is>
      </c>
    </row>
    <row r="34941">
      <c r="A34941" s="1" t="n">
        <v>34940</v>
      </c>
      <c r="B34941">
        <f>TEXT(34940, "[$-0E0000]yyyy-mm-dd")</f>
        <v/>
      </c>
      <c r="C34941" t="inlineStr">
        <is>
          <t>1995-08-05</t>
        </is>
      </c>
    </row>
    <row r="34942">
      <c r="A34942" s="1" t="n">
        <v>34941</v>
      </c>
      <c r="B34942">
        <f>TEXT(34941, "[$-0E0000]yyyy-mm-dd")</f>
        <v/>
      </c>
      <c r="C34942" t="inlineStr">
        <is>
          <t>1995-08-06</t>
        </is>
      </c>
    </row>
    <row r="34943">
      <c r="A34943" s="1" t="n">
        <v>34942</v>
      </c>
      <c r="B34943">
        <f>TEXT(34942, "[$-0E0000]yyyy-mm-dd")</f>
        <v/>
      </c>
      <c r="C34943" t="inlineStr">
        <is>
          <t>1995-08-07</t>
        </is>
      </c>
    </row>
    <row r="34944">
      <c r="A34944" s="1" t="n">
        <v>34943</v>
      </c>
      <c r="B34944">
        <f>TEXT(34943, "[$-0E0000]yyyy-mm-dd")</f>
        <v/>
      </c>
      <c r="C34944" t="inlineStr">
        <is>
          <t>1995-08-08</t>
        </is>
      </c>
    </row>
    <row r="34945">
      <c r="A34945" s="1" t="n">
        <v>34944</v>
      </c>
      <c r="B34945">
        <f>TEXT(34944, "[$-0E0000]yyyy-mm-dd")</f>
        <v/>
      </c>
      <c r="C34945" t="inlineStr">
        <is>
          <t>1995-08-09</t>
        </is>
      </c>
    </row>
    <row r="34946">
      <c r="A34946" s="1" t="n">
        <v>34945</v>
      </c>
      <c r="B34946">
        <f>TEXT(34945, "[$-0E0000]yyyy-mm-dd")</f>
        <v/>
      </c>
      <c r="C34946" t="inlineStr">
        <is>
          <t>1995-08-10</t>
        </is>
      </c>
    </row>
    <row r="34947">
      <c r="A34947" s="1" t="n">
        <v>34946</v>
      </c>
      <c r="B34947">
        <f>TEXT(34946, "[$-0E0000]yyyy-mm-dd")</f>
        <v/>
      </c>
      <c r="C34947" t="inlineStr">
        <is>
          <t>1995-08-11</t>
        </is>
      </c>
    </row>
    <row r="34948">
      <c r="A34948" s="1" t="n">
        <v>34947</v>
      </c>
      <c r="B34948">
        <f>TEXT(34947, "[$-0E0000]yyyy-mm-dd")</f>
        <v/>
      </c>
      <c r="C34948" t="inlineStr">
        <is>
          <t>1995-08-12</t>
        </is>
      </c>
    </row>
    <row r="34949">
      <c r="A34949" s="1" t="n">
        <v>34948</v>
      </c>
      <c r="B34949">
        <f>TEXT(34948, "[$-0E0000]yyyy-mm-dd")</f>
        <v/>
      </c>
      <c r="C34949" t="inlineStr">
        <is>
          <t>1995-08-13</t>
        </is>
      </c>
    </row>
    <row r="34950">
      <c r="A34950" s="1" t="n">
        <v>34949</v>
      </c>
      <c r="B34950">
        <f>TEXT(34949, "[$-0E0000]yyyy-mm-dd")</f>
        <v/>
      </c>
      <c r="C34950" t="inlineStr">
        <is>
          <t>1995-08-14</t>
        </is>
      </c>
    </row>
    <row r="34951">
      <c r="A34951" s="1" t="n">
        <v>34950</v>
      </c>
      <c r="B34951">
        <f>TEXT(34950, "[$-0E0000]yyyy-mm-dd")</f>
        <v/>
      </c>
      <c r="C34951" t="inlineStr">
        <is>
          <t>1995-08-15</t>
        </is>
      </c>
    </row>
    <row r="34952">
      <c r="A34952" s="1" t="n">
        <v>34951</v>
      </c>
      <c r="B34952">
        <f>TEXT(34951, "[$-0E0000]yyyy-mm-dd")</f>
        <v/>
      </c>
      <c r="C34952" t="inlineStr">
        <is>
          <t>1995-08-16</t>
        </is>
      </c>
    </row>
    <row r="34953">
      <c r="A34953" s="1" t="n">
        <v>34952</v>
      </c>
      <c r="B34953">
        <f>TEXT(34952, "[$-0E0000]yyyy-mm-dd")</f>
        <v/>
      </c>
      <c r="C34953" t="inlineStr">
        <is>
          <t>1995-08-17</t>
        </is>
      </c>
    </row>
    <row r="34954">
      <c r="A34954" s="1" t="n">
        <v>34953</v>
      </c>
      <c r="B34954">
        <f>TEXT(34953, "[$-0E0000]yyyy-mm-dd")</f>
        <v/>
      </c>
      <c r="C34954" t="inlineStr">
        <is>
          <t>1995-08-18</t>
        </is>
      </c>
    </row>
    <row r="34955">
      <c r="A34955" s="1" t="n">
        <v>34954</v>
      </c>
      <c r="B34955">
        <f>TEXT(34954, "[$-0E0000]yyyy-mm-dd")</f>
        <v/>
      </c>
      <c r="C34955" t="inlineStr">
        <is>
          <t>1995-08-19</t>
        </is>
      </c>
    </row>
    <row r="34956">
      <c r="A34956" s="1" t="n">
        <v>34955</v>
      </c>
      <c r="B34956">
        <f>TEXT(34955, "[$-0E0000]yyyy-mm-dd")</f>
        <v/>
      </c>
      <c r="C34956" t="inlineStr">
        <is>
          <t>1995-08-20</t>
        </is>
      </c>
    </row>
    <row r="34957">
      <c r="A34957" s="1" t="n">
        <v>34956</v>
      </c>
      <c r="B34957">
        <f>TEXT(34956, "[$-0E0000]yyyy-mm-dd")</f>
        <v/>
      </c>
      <c r="C34957" t="inlineStr">
        <is>
          <t>1995-08-21</t>
        </is>
      </c>
    </row>
    <row r="34958">
      <c r="A34958" s="1" t="n">
        <v>34957</v>
      </c>
      <c r="B34958">
        <f>TEXT(34957, "[$-0E0000]yyyy-mm-dd")</f>
        <v/>
      </c>
      <c r="C34958" t="inlineStr">
        <is>
          <t>1995-08-22</t>
        </is>
      </c>
    </row>
    <row r="34959">
      <c r="A34959" s="1" t="n">
        <v>34958</v>
      </c>
      <c r="B34959">
        <f>TEXT(34958, "[$-0E0000]yyyy-mm-dd")</f>
        <v/>
      </c>
      <c r="C34959" t="inlineStr">
        <is>
          <t>1995-08-23</t>
        </is>
      </c>
    </row>
    <row r="34960">
      <c r="A34960" s="1" t="n">
        <v>34959</v>
      </c>
      <c r="B34960">
        <f>TEXT(34959, "[$-0E0000]yyyy-mm-dd")</f>
        <v/>
      </c>
      <c r="C34960" t="inlineStr">
        <is>
          <t>1995-08-24</t>
        </is>
      </c>
    </row>
    <row r="34961">
      <c r="A34961" s="1" t="n">
        <v>34960</v>
      </c>
      <c r="B34961">
        <f>TEXT(34960, "[$-0E0000]yyyy-mm-dd")</f>
        <v/>
      </c>
      <c r="C34961" t="inlineStr">
        <is>
          <t>1995-08-25</t>
        </is>
      </c>
    </row>
    <row r="34962">
      <c r="A34962" s="1" t="n">
        <v>34961</v>
      </c>
      <c r="B34962">
        <f>TEXT(34961, "[$-0E0000]yyyy-mm-dd")</f>
        <v/>
      </c>
      <c r="C34962" t="inlineStr">
        <is>
          <t>1995-08-26</t>
        </is>
      </c>
    </row>
    <row r="34963">
      <c r="A34963" s="1" t="n">
        <v>34962</v>
      </c>
      <c r="B34963">
        <f>TEXT(34962, "[$-0E0000]yyyy-mm-dd")</f>
        <v/>
      </c>
      <c r="C34963" t="inlineStr">
        <is>
          <t>1995-08-27</t>
        </is>
      </c>
    </row>
    <row r="34964">
      <c r="A34964" s="1" t="n">
        <v>34963</v>
      </c>
      <c r="B34964">
        <f>TEXT(34963, "[$-0E0000]yyyy-mm-dd")</f>
        <v/>
      </c>
      <c r="C34964" t="inlineStr">
        <is>
          <t>1995-08-28</t>
        </is>
      </c>
    </row>
    <row r="34965">
      <c r="A34965" s="1" t="n">
        <v>34964</v>
      </c>
      <c r="B34965">
        <f>TEXT(34964, "[$-0E0000]yyyy-mm-dd")</f>
        <v/>
      </c>
      <c r="C34965" t="inlineStr">
        <is>
          <t>1995-08-29</t>
        </is>
      </c>
    </row>
    <row r="34966">
      <c r="A34966" s="1" t="n">
        <v>34965</v>
      </c>
      <c r="B34966">
        <f>TEXT(34965, "[$-0E0000]yyyy-mm-dd")</f>
        <v/>
      </c>
      <c r="C34966" t="inlineStr">
        <is>
          <t>1995-08-30</t>
        </is>
      </c>
    </row>
    <row r="34967">
      <c r="A34967" s="1" t="n">
        <v>34966</v>
      </c>
      <c r="B34967">
        <f>TEXT(34966, "[$-0E0000]yyyy-mm-dd")</f>
        <v/>
      </c>
      <c r="C34967" t="inlineStr">
        <is>
          <t>1995-08-01</t>
        </is>
      </c>
    </row>
    <row r="34968">
      <c r="A34968" s="1" t="n">
        <v>34967</v>
      </c>
      <c r="B34968">
        <f>TEXT(34967, "[$-0E0000]yyyy-mm-dd")</f>
        <v/>
      </c>
      <c r="C34968" t="inlineStr">
        <is>
          <t>1995-08-02</t>
        </is>
      </c>
    </row>
    <row r="34969">
      <c r="A34969" s="1" t="n">
        <v>34968</v>
      </c>
      <c r="B34969">
        <f>TEXT(34968, "[$-0E0000]yyyy-mm-dd")</f>
        <v/>
      </c>
      <c r="C34969" t="inlineStr">
        <is>
          <t>1995-08-03</t>
        </is>
      </c>
    </row>
    <row r="34970">
      <c r="A34970" s="1" t="n">
        <v>34969</v>
      </c>
      <c r="B34970">
        <f>TEXT(34969, "[$-0E0000]yyyy-mm-dd")</f>
        <v/>
      </c>
      <c r="C34970" t="inlineStr">
        <is>
          <t>1995-08-04</t>
        </is>
      </c>
    </row>
    <row r="34971">
      <c r="A34971" s="1" t="n">
        <v>34970</v>
      </c>
      <c r="B34971">
        <f>TEXT(34970, "[$-0E0000]yyyy-mm-dd")</f>
        <v/>
      </c>
      <c r="C34971" t="inlineStr">
        <is>
          <t>1995-08-05</t>
        </is>
      </c>
    </row>
    <row r="34972">
      <c r="A34972" s="1" t="n">
        <v>34971</v>
      </c>
      <c r="B34972">
        <f>TEXT(34971, "[$-0E0000]yyyy-mm-dd")</f>
        <v/>
      </c>
      <c r="C34972" t="inlineStr">
        <is>
          <t>1995-08-06</t>
        </is>
      </c>
    </row>
    <row r="34973">
      <c r="A34973" s="1" t="n">
        <v>34972</v>
      </c>
      <c r="B34973">
        <f>TEXT(34972, "[$-0E0000]yyyy-mm-dd")</f>
        <v/>
      </c>
      <c r="C34973" t="inlineStr">
        <is>
          <t>1995-08-07</t>
        </is>
      </c>
    </row>
    <row r="34974">
      <c r="A34974" s="1" t="n">
        <v>34973</v>
      </c>
      <c r="B34974">
        <f>TEXT(34973, "[$-0E0000]yyyy-mm-dd")</f>
        <v/>
      </c>
      <c r="C34974" t="inlineStr">
        <is>
          <t>1995-08-08</t>
        </is>
      </c>
    </row>
    <row r="34975">
      <c r="A34975" s="1" t="n">
        <v>34974</v>
      </c>
      <c r="B34975">
        <f>TEXT(34974, "[$-0E0000]yyyy-mm-dd")</f>
        <v/>
      </c>
      <c r="C34975" t="inlineStr">
        <is>
          <t>1995-08-09</t>
        </is>
      </c>
    </row>
    <row r="34976">
      <c r="A34976" s="1" t="n">
        <v>34975</v>
      </c>
      <c r="B34976">
        <f>TEXT(34975, "[$-0E0000]yyyy-mm-dd")</f>
        <v/>
      </c>
      <c r="C34976" t="inlineStr">
        <is>
          <t>1995-08-10</t>
        </is>
      </c>
    </row>
    <row r="34977">
      <c r="A34977" s="1" t="n">
        <v>34976</v>
      </c>
      <c r="B34977">
        <f>TEXT(34976, "[$-0E0000]yyyy-mm-dd")</f>
        <v/>
      </c>
      <c r="C34977" t="inlineStr">
        <is>
          <t>1995-08-11</t>
        </is>
      </c>
    </row>
    <row r="34978">
      <c r="A34978" s="1" t="n">
        <v>34977</v>
      </c>
      <c r="B34978">
        <f>TEXT(34977, "[$-0E0000]yyyy-mm-dd")</f>
        <v/>
      </c>
      <c r="C34978" t="inlineStr">
        <is>
          <t>1995-08-12</t>
        </is>
      </c>
    </row>
    <row r="34979">
      <c r="A34979" s="1" t="n">
        <v>34978</v>
      </c>
      <c r="B34979">
        <f>TEXT(34978, "[$-0E0000]yyyy-mm-dd")</f>
        <v/>
      </c>
      <c r="C34979" t="inlineStr">
        <is>
          <t>1995-08-13</t>
        </is>
      </c>
    </row>
    <row r="34980">
      <c r="A34980" s="1" t="n">
        <v>34979</v>
      </c>
      <c r="B34980">
        <f>TEXT(34979, "[$-0E0000]yyyy-mm-dd")</f>
        <v/>
      </c>
      <c r="C34980" t="inlineStr">
        <is>
          <t>1995-08-14</t>
        </is>
      </c>
    </row>
    <row r="34981">
      <c r="A34981" s="1" t="n">
        <v>34980</v>
      </c>
      <c r="B34981">
        <f>TEXT(34980, "[$-0E0000]yyyy-mm-dd")</f>
        <v/>
      </c>
      <c r="C34981" t="inlineStr">
        <is>
          <t>1995-08-15</t>
        </is>
      </c>
    </row>
    <row r="34982">
      <c r="A34982" s="1" t="n">
        <v>34981</v>
      </c>
      <c r="B34982">
        <f>TEXT(34981, "[$-0E0000]yyyy-mm-dd")</f>
        <v/>
      </c>
      <c r="C34982" t="inlineStr">
        <is>
          <t>1995-08-16</t>
        </is>
      </c>
    </row>
    <row r="34983">
      <c r="A34983" s="1" t="n">
        <v>34982</v>
      </c>
      <c r="B34983">
        <f>TEXT(34982, "[$-0E0000]yyyy-mm-dd")</f>
        <v/>
      </c>
      <c r="C34983" t="inlineStr">
        <is>
          <t>1995-08-17</t>
        </is>
      </c>
    </row>
    <row r="34984">
      <c r="A34984" s="1" t="n">
        <v>34983</v>
      </c>
      <c r="B34984">
        <f>TEXT(34983, "[$-0E0000]yyyy-mm-dd")</f>
        <v/>
      </c>
      <c r="C34984" t="inlineStr">
        <is>
          <t>1995-08-18</t>
        </is>
      </c>
    </row>
    <row r="34985">
      <c r="A34985" s="1" t="n">
        <v>34984</v>
      </c>
      <c r="B34985">
        <f>TEXT(34984, "[$-0E0000]yyyy-mm-dd")</f>
        <v/>
      </c>
      <c r="C34985" t="inlineStr">
        <is>
          <t>1995-08-19</t>
        </is>
      </c>
    </row>
    <row r="34986">
      <c r="A34986" s="1" t="n">
        <v>34985</v>
      </c>
      <c r="B34986">
        <f>TEXT(34985, "[$-0E0000]yyyy-mm-dd")</f>
        <v/>
      </c>
      <c r="C34986" t="inlineStr">
        <is>
          <t>1995-08-20</t>
        </is>
      </c>
    </row>
    <row r="34987">
      <c r="A34987" s="1" t="n">
        <v>34986</v>
      </c>
      <c r="B34987">
        <f>TEXT(34986, "[$-0E0000]yyyy-mm-dd")</f>
        <v/>
      </c>
      <c r="C34987" t="inlineStr">
        <is>
          <t>1995-08-21</t>
        </is>
      </c>
    </row>
    <row r="34988">
      <c r="A34988" s="1" t="n">
        <v>34987</v>
      </c>
      <c r="B34988">
        <f>TEXT(34987, "[$-0E0000]yyyy-mm-dd")</f>
        <v/>
      </c>
      <c r="C34988" t="inlineStr">
        <is>
          <t>1995-08-22</t>
        </is>
      </c>
    </row>
    <row r="34989">
      <c r="A34989" s="1" t="n">
        <v>34988</v>
      </c>
      <c r="B34989">
        <f>TEXT(34988, "[$-0E0000]yyyy-mm-dd")</f>
        <v/>
      </c>
      <c r="C34989" t="inlineStr">
        <is>
          <t>1995-08-23</t>
        </is>
      </c>
    </row>
    <row r="34990">
      <c r="A34990" s="1" t="n">
        <v>34989</v>
      </c>
      <c r="B34990">
        <f>TEXT(34989, "[$-0E0000]yyyy-mm-dd")</f>
        <v/>
      </c>
      <c r="C34990" t="inlineStr">
        <is>
          <t>1995-08-24</t>
        </is>
      </c>
    </row>
    <row r="34991">
      <c r="A34991" s="1" t="n">
        <v>34990</v>
      </c>
      <c r="B34991">
        <f>TEXT(34990, "[$-0E0000]yyyy-mm-dd")</f>
        <v/>
      </c>
      <c r="C34991" t="inlineStr">
        <is>
          <t>1995-08-25</t>
        </is>
      </c>
    </row>
    <row r="34992">
      <c r="A34992" s="1" t="n">
        <v>34991</v>
      </c>
      <c r="B34992">
        <f>TEXT(34991, "[$-0E0000]yyyy-mm-dd")</f>
        <v/>
      </c>
      <c r="C34992" t="inlineStr">
        <is>
          <t>1995-08-26</t>
        </is>
      </c>
    </row>
    <row r="34993">
      <c r="A34993" s="1" t="n">
        <v>34992</v>
      </c>
      <c r="B34993">
        <f>TEXT(34992, "[$-0E0000]yyyy-mm-dd")</f>
        <v/>
      </c>
      <c r="C34993" t="inlineStr">
        <is>
          <t>1995-08-27</t>
        </is>
      </c>
    </row>
    <row r="34994">
      <c r="A34994" s="1" t="n">
        <v>34993</v>
      </c>
      <c r="B34994">
        <f>TEXT(34993, "[$-0E0000]yyyy-mm-dd")</f>
        <v/>
      </c>
      <c r="C34994" t="inlineStr">
        <is>
          <t>1995-08-28</t>
        </is>
      </c>
    </row>
    <row r="34995">
      <c r="A34995" s="1" t="n">
        <v>34994</v>
      </c>
      <c r="B34995">
        <f>TEXT(34994, "[$-0E0000]yyyy-mm-dd")</f>
        <v/>
      </c>
      <c r="C34995" t="inlineStr">
        <is>
          <t>1995-08-29</t>
        </is>
      </c>
    </row>
    <row r="34996">
      <c r="A34996" s="1" t="n">
        <v>34995</v>
      </c>
      <c r="B34996">
        <f>TEXT(34995, "[$-0E0000]yyyy-mm-dd")</f>
        <v/>
      </c>
      <c r="C34996" t="inlineStr">
        <is>
          <t>1995-09-01</t>
        </is>
      </c>
    </row>
    <row r="34997">
      <c r="A34997" s="1" t="n">
        <v>34996</v>
      </c>
      <c r="B34997">
        <f>TEXT(34996, "[$-0E0000]yyyy-mm-dd")</f>
        <v/>
      </c>
      <c r="C34997" t="inlineStr">
        <is>
          <t>1995-09-02</t>
        </is>
      </c>
    </row>
    <row r="34998">
      <c r="A34998" s="1" t="n">
        <v>34997</v>
      </c>
      <c r="B34998">
        <f>TEXT(34997, "[$-0E0000]yyyy-mm-dd")</f>
        <v/>
      </c>
      <c r="C34998" t="inlineStr">
        <is>
          <t>1995-09-03</t>
        </is>
      </c>
    </row>
    <row r="34999">
      <c r="A34999" s="1" t="n">
        <v>34998</v>
      </c>
      <c r="B34999">
        <f>TEXT(34998, "[$-0E0000]yyyy-mm-dd")</f>
        <v/>
      </c>
      <c r="C34999" t="inlineStr">
        <is>
          <t>1995-09-04</t>
        </is>
      </c>
    </row>
    <row r="35000">
      <c r="A35000" s="1" t="n">
        <v>34999</v>
      </c>
      <c r="B35000">
        <f>TEXT(34999, "[$-0E0000]yyyy-mm-dd")</f>
        <v/>
      </c>
      <c r="C35000" t="inlineStr">
        <is>
          <t>1995-09-05</t>
        </is>
      </c>
    </row>
    <row r="35001">
      <c r="A35001" s="1" t="n">
        <v>35000</v>
      </c>
      <c r="B35001">
        <f>TEXT(35000, "[$-0E0000]yyyy-mm-dd")</f>
        <v/>
      </c>
      <c r="C35001" t="inlineStr">
        <is>
          <t>1995-09-06</t>
        </is>
      </c>
    </row>
    <row r="35002">
      <c r="A35002" s="1" t="n">
        <v>35001</v>
      </c>
      <c r="B35002">
        <f>TEXT(35001, "[$-0E0000]yyyy-mm-dd")</f>
        <v/>
      </c>
      <c r="C35002" t="inlineStr">
        <is>
          <t>1995-09-07</t>
        </is>
      </c>
    </row>
    <row r="35003">
      <c r="A35003" s="1" t="n">
        <v>35002</v>
      </c>
      <c r="B35003">
        <f>TEXT(35002, "[$-0E0000]yyyy-mm-dd")</f>
        <v/>
      </c>
      <c r="C35003" t="inlineStr">
        <is>
          <t>1995-09-08</t>
        </is>
      </c>
    </row>
    <row r="35004">
      <c r="A35004" s="1" t="n">
        <v>35003</v>
      </c>
      <c r="B35004">
        <f>TEXT(35003, "[$-0E0000]yyyy-mm-dd")</f>
        <v/>
      </c>
      <c r="C35004" t="inlineStr">
        <is>
          <t>1995-09-09</t>
        </is>
      </c>
    </row>
    <row r="35005">
      <c r="A35005" s="1" t="n">
        <v>35004</v>
      </c>
      <c r="B35005">
        <f>TEXT(35004, "[$-0E0000]yyyy-mm-dd")</f>
        <v/>
      </c>
      <c r="C35005" t="inlineStr">
        <is>
          <t>1995-09-10</t>
        </is>
      </c>
    </row>
    <row r="35006">
      <c r="A35006" s="1" t="n">
        <v>35005</v>
      </c>
      <c r="B35006">
        <f>TEXT(35005, "[$-0E0000]yyyy-mm-dd")</f>
        <v/>
      </c>
      <c r="C35006" t="inlineStr">
        <is>
          <t>1995-09-11</t>
        </is>
      </c>
    </row>
    <row r="35007">
      <c r="A35007" s="1" t="n">
        <v>35006</v>
      </c>
      <c r="B35007">
        <f>TEXT(35006, "[$-0E0000]yyyy-mm-dd")</f>
        <v/>
      </c>
      <c r="C35007" t="inlineStr">
        <is>
          <t>1995-09-12</t>
        </is>
      </c>
    </row>
    <row r="35008">
      <c r="A35008" s="1" t="n">
        <v>35007</v>
      </c>
      <c r="B35008">
        <f>TEXT(35007, "[$-0E0000]yyyy-mm-dd")</f>
        <v/>
      </c>
      <c r="C35008" t="inlineStr">
        <is>
          <t>1995-09-13</t>
        </is>
      </c>
    </row>
    <row r="35009">
      <c r="A35009" s="1" t="n">
        <v>35008</v>
      </c>
      <c r="B35009">
        <f>TEXT(35008, "[$-0E0000]yyyy-mm-dd")</f>
        <v/>
      </c>
      <c r="C35009" t="inlineStr">
        <is>
          <t>1995-09-14</t>
        </is>
      </c>
    </row>
    <row r="35010">
      <c r="A35010" s="1" t="n">
        <v>35009</v>
      </c>
      <c r="B35010">
        <f>TEXT(35009, "[$-0E0000]yyyy-mm-dd")</f>
        <v/>
      </c>
      <c r="C35010" t="inlineStr">
        <is>
          <t>1995-09-15</t>
        </is>
      </c>
    </row>
    <row r="35011">
      <c r="A35011" s="1" t="n">
        <v>35010</v>
      </c>
      <c r="B35011">
        <f>TEXT(35010, "[$-0E0000]yyyy-mm-dd")</f>
        <v/>
      </c>
      <c r="C35011" t="inlineStr">
        <is>
          <t>1995-09-16</t>
        </is>
      </c>
    </row>
    <row r="35012">
      <c r="A35012" s="1" t="n">
        <v>35011</v>
      </c>
      <c r="B35012">
        <f>TEXT(35011, "[$-0E0000]yyyy-mm-dd")</f>
        <v/>
      </c>
      <c r="C35012" t="inlineStr">
        <is>
          <t>1995-09-17</t>
        </is>
      </c>
    </row>
    <row r="35013">
      <c r="A35013" s="1" t="n">
        <v>35012</v>
      </c>
      <c r="B35013">
        <f>TEXT(35012, "[$-0E0000]yyyy-mm-dd")</f>
        <v/>
      </c>
      <c r="C35013" t="inlineStr">
        <is>
          <t>1995-09-18</t>
        </is>
      </c>
    </row>
    <row r="35014">
      <c r="A35014" s="1" t="n">
        <v>35013</v>
      </c>
      <c r="B35014">
        <f>TEXT(35013, "[$-0E0000]yyyy-mm-dd")</f>
        <v/>
      </c>
      <c r="C35014" t="inlineStr">
        <is>
          <t>1995-09-19</t>
        </is>
      </c>
    </row>
    <row r="35015">
      <c r="A35015" s="1" t="n">
        <v>35014</v>
      </c>
      <c r="B35015">
        <f>TEXT(35014, "[$-0E0000]yyyy-mm-dd")</f>
        <v/>
      </c>
      <c r="C35015" t="inlineStr">
        <is>
          <t>1995-09-20</t>
        </is>
      </c>
    </row>
    <row r="35016">
      <c r="A35016" s="1" t="n">
        <v>35015</v>
      </c>
      <c r="B35016">
        <f>TEXT(35015, "[$-0E0000]yyyy-mm-dd")</f>
        <v/>
      </c>
      <c r="C35016" t="inlineStr">
        <is>
          <t>1995-09-21</t>
        </is>
      </c>
    </row>
    <row r="35017">
      <c r="A35017" s="1" t="n">
        <v>35016</v>
      </c>
      <c r="B35017">
        <f>TEXT(35016, "[$-0E0000]yyyy-mm-dd")</f>
        <v/>
      </c>
      <c r="C35017" t="inlineStr">
        <is>
          <t>1995-09-22</t>
        </is>
      </c>
    </row>
    <row r="35018">
      <c r="A35018" s="1" t="n">
        <v>35017</v>
      </c>
      <c r="B35018">
        <f>TEXT(35017, "[$-0E0000]yyyy-mm-dd")</f>
        <v/>
      </c>
      <c r="C35018" t="inlineStr">
        <is>
          <t>1995-09-23</t>
        </is>
      </c>
    </row>
    <row r="35019">
      <c r="A35019" s="1" t="n">
        <v>35018</v>
      </c>
      <c r="B35019">
        <f>TEXT(35018, "[$-0E0000]yyyy-mm-dd")</f>
        <v/>
      </c>
      <c r="C35019" t="inlineStr">
        <is>
          <t>1995-09-24</t>
        </is>
      </c>
    </row>
    <row r="35020">
      <c r="A35020" s="1" t="n">
        <v>35019</v>
      </c>
      <c r="B35020">
        <f>TEXT(35019, "[$-0E0000]yyyy-mm-dd")</f>
        <v/>
      </c>
      <c r="C35020" t="inlineStr">
        <is>
          <t>1995-09-25</t>
        </is>
      </c>
    </row>
    <row r="35021">
      <c r="A35021" s="1" t="n">
        <v>35020</v>
      </c>
      <c r="B35021">
        <f>TEXT(35020, "[$-0E0000]yyyy-mm-dd")</f>
        <v/>
      </c>
      <c r="C35021" t="inlineStr">
        <is>
          <t>1995-09-26</t>
        </is>
      </c>
    </row>
    <row r="35022">
      <c r="A35022" s="1" t="n">
        <v>35021</v>
      </c>
      <c r="B35022">
        <f>TEXT(35021, "[$-0E0000]yyyy-mm-dd")</f>
        <v/>
      </c>
      <c r="C35022" t="inlineStr">
        <is>
          <t>1995-09-27</t>
        </is>
      </c>
    </row>
    <row r="35023">
      <c r="A35023" s="1" t="n">
        <v>35022</v>
      </c>
      <c r="B35023">
        <f>TEXT(35022, "[$-0E0000]yyyy-mm-dd")</f>
        <v/>
      </c>
      <c r="C35023" t="inlineStr">
        <is>
          <t>1995-09-28</t>
        </is>
      </c>
    </row>
    <row r="35024">
      <c r="A35024" s="1" t="n">
        <v>35023</v>
      </c>
      <c r="B35024">
        <f>TEXT(35023, "[$-0E0000]yyyy-mm-dd")</f>
        <v/>
      </c>
      <c r="C35024" t="inlineStr">
        <is>
          <t>1995-09-29</t>
        </is>
      </c>
    </row>
    <row r="35025">
      <c r="A35025" s="1" t="n">
        <v>35024</v>
      </c>
      <c r="B35025">
        <f>TEXT(35024, "[$-0E0000]yyyy-mm-dd")</f>
        <v/>
      </c>
      <c r="C35025" t="inlineStr">
        <is>
          <t>1995-10-01</t>
        </is>
      </c>
    </row>
    <row r="35026">
      <c r="A35026" s="1" t="n">
        <v>35025</v>
      </c>
      <c r="B35026">
        <f>TEXT(35025, "[$-0E0000]yyyy-mm-dd")</f>
        <v/>
      </c>
      <c r="C35026" t="inlineStr">
        <is>
          <t>1995-10-02</t>
        </is>
      </c>
    </row>
    <row r="35027">
      <c r="A35027" s="1" t="n">
        <v>35026</v>
      </c>
      <c r="B35027">
        <f>TEXT(35026, "[$-0E0000]yyyy-mm-dd")</f>
        <v/>
      </c>
      <c r="C35027" t="inlineStr">
        <is>
          <t>1995-10-03</t>
        </is>
      </c>
    </row>
    <row r="35028">
      <c r="A35028" s="1" t="n">
        <v>35027</v>
      </c>
      <c r="B35028">
        <f>TEXT(35027, "[$-0E0000]yyyy-mm-dd")</f>
        <v/>
      </c>
      <c r="C35028" t="inlineStr">
        <is>
          <t>1995-10-04</t>
        </is>
      </c>
    </row>
    <row r="35029">
      <c r="A35029" s="1" t="n">
        <v>35028</v>
      </c>
      <c r="B35029">
        <f>TEXT(35028, "[$-0E0000]yyyy-mm-dd")</f>
        <v/>
      </c>
      <c r="C35029" t="inlineStr">
        <is>
          <t>1995-10-05</t>
        </is>
      </c>
    </row>
    <row r="35030">
      <c r="A35030" s="1" t="n">
        <v>35029</v>
      </c>
      <c r="B35030">
        <f>TEXT(35029, "[$-0E0000]yyyy-mm-dd")</f>
        <v/>
      </c>
      <c r="C35030" t="inlineStr">
        <is>
          <t>1995-10-06</t>
        </is>
      </c>
    </row>
    <row r="35031">
      <c r="A35031" s="1" t="n">
        <v>35030</v>
      </c>
      <c r="B35031">
        <f>TEXT(35030, "[$-0E0000]yyyy-mm-dd")</f>
        <v/>
      </c>
      <c r="C35031" t="inlineStr">
        <is>
          <t>1995-10-07</t>
        </is>
      </c>
    </row>
    <row r="35032">
      <c r="A35032" s="1" t="n">
        <v>35031</v>
      </c>
      <c r="B35032">
        <f>TEXT(35031, "[$-0E0000]yyyy-mm-dd")</f>
        <v/>
      </c>
      <c r="C35032" t="inlineStr">
        <is>
          <t>1995-10-08</t>
        </is>
      </c>
    </row>
    <row r="35033">
      <c r="A35033" s="1" t="n">
        <v>35032</v>
      </c>
      <c r="B35033">
        <f>TEXT(35032, "[$-0E0000]yyyy-mm-dd")</f>
        <v/>
      </c>
      <c r="C35033" t="inlineStr">
        <is>
          <t>1995-10-09</t>
        </is>
      </c>
    </row>
    <row r="35034">
      <c r="A35034" s="1" t="n">
        <v>35033</v>
      </c>
      <c r="B35034">
        <f>TEXT(35033, "[$-0E0000]yyyy-mm-dd")</f>
        <v/>
      </c>
      <c r="C35034" t="inlineStr">
        <is>
          <t>1995-10-10</t>
        </is>
      </c>
    </row>
    <row r="35035">
      <c r="A35035" s="1" t="n">
        <v>35034</v>
      </c>
      <c r="B35035">
        <f>TEXT(35034, "[$-0E0000]yyyy-mm-dd")</f>
        <v/>
      </c>
      <c r="C35035" t="inlineStr">
        <is>
          <t>1995-10-11</t>
        </is>
      </c>
    </row>
    <row r="35036">
      <c r="A35036" s="1" t="n">
        <v>35035</v>
      </c>
      <c r="B35036">
        <f>TEXT(35035, "[$-0E0000]yyyy-mm-dd")</f>
        <v/>
      </c>
      <c r="C35036" t="inlineStr">
        <is>
          <t>1995-10-12</t>
        </is>
      </c>
    </row>
    <row r="35037">
      <c r="A35037" s="1" t="n">
        <v>35036</v>
      </c>
      <c r="B35037">
        <f>TEXT(35036, "[$-0E0000]yyyy-mm-dd")</f>
        <v/>
      </c>
      <c r="C35037" t="inlineStr">
        <is>
          <t>1995-10-13</t>
        </is>
      </c>
    </row>
    <row r="35038">
      <c r="A35038" s="1" t="n">
        <v>35037</v>
      </c>
      <c r="B35038">
        <f>TEXT(35037, "[$-0E0000]yyyy-mm-dd")</f>
        <v/>
      </c>
      <c r="C35038" t="inlineStr">
        <is>
          <t>1995-10-14</t>
        </is>
      </c>
    </row>
    <row r="35039">
      <c r="A35039" s="1" t="n">
        <v>35038</v>
      </c>
      <c r="B35039">
        <f>TEXT(35038, "[$-0E0000]yyyy-mm-dd")</f>
        <v/>
      </c>
      <c r="C35039" t="inlineStr">
        <is>
          <t>1995-10-15</t>
        </is>
      </c>
    </row>
    <row r="35040">
      <c r="A35040" s="1" t="n">
        <v>35039</v>
      </c>
      <c r="B35040">
        <f>TEXT(35039, "[$-0E0000]yyyy-mm-dd")</f>
        <v/>
      </c>
      <c r="C35040" t="inlineStr">
        <is>
          <t>1995-10-16</t>
        </is>
      </c>
    </row>
    <row r="35041">
      <c r="A35041" s="1" t="n">
        <v>35040</v>
      </c>
      <c r="B35041">
        <f>TEXT(35040, "[$-0E0000]yyyy-mm-dd")</f>
        <v/>
      </c>
      <c r="C35041" t="inlineStr">
        <is>
          <t>1995-10-17</t>
        </is>
      </c>
    </row>
    <row r="35042">
      <c r="A35042" s="1" t="n">
        <v>35041</v>
      </c>
      <c r="B35042">
        <f>TEXT(35041, "[$-0E0000]yyyy-mm-dd")</f>
        <v/>
      </c>
      <c r="C35042" t="inlineStr">
        <is>
          <t>1995-10-18</t>
        </is>
      </c>
    </row>
    <row r="35043">
      <c r="A35043" s="1" t="n">
        <v>35042</v>
      </c>
      <c r="B35043">
        <f>TEXT(35042, "[$-0E0000]yyyy-mm-dd")</f>
        <v/>
      </c>
      <c r="C35043" t="inlineStr">
        <is>
          <t>1995-10-19</t>
        </is>
      </c>
    </row>
    <row r="35044">
      <c r="A35044" s="1" t="n">
        <v>35043</v>
      </c>
      <c r="B35044">
        <f>TEXT(35043, "[$-0E0000]yyyy-mm-dd")</f>
        <v/>
      </c>
      <c r="C35044" t="inlineStr">
        <is>
          <t>1995-10-20</t>
        </is>
      </c>
    </row>
    <row r="35045">
      <c r="A35045" s="1" t="n">
        <v>35044</v>
      </c>
      <c r="B35045">
        <f>TEXT(35044, "[$-0E0000]yyyy-mm-dd")</f>
        <v/>
      </c>
      <c r="C35045" t="inlineStr">
        <is>
          <t>1995-10-21</t>
        </is>
      </c>
    </row>
    <row r="35046">
      <c r="A35046" s="1" t="n">
        <v>35045</v>
      </c>
      <c r="B35046">
        <f>TEXT(35045, "[$-0E0000]yyyy-mm-dd")</f>
        <v/>
      </c>
      <c r="C35046" t="inlineStr">
        <is>
          <t>1995-10-22</t>
        </is>
      </c>
    </row>
    <row r="35047">
      <c r="A35047" s="1" t="n">
        <v>35046</v>
      </c>
      <c r="B35047">
        <f>TEXT(35046, "[$-0E0000]yyyy-mm-dd")</f>
        <v/>
      </c>
      <c r="C35047" t="inlineStr">
        <is>
          <t>1995-10-23</t>
        </is>
      </c>
    </row>
    <row r="35048">
      <c r="A35048" s="1" t="n">
        <v>35047</v>
      </c>
      <c r="B35048">
        <f>TEXT(35047, "[$-0E0000]yyyy-mm-dd")</f>
        <v/>
      </c>
      <c r="C35048" t="inlineStr">
        <is>
          <t>1995-10-24</t>
        </is>
      </c>
    </row>
    <row r="35049">
      <c r="A35049" s="1" t="n">
        <v>35048</v>
      </c>
      <c r="B35049">
        <f>TEXT(35048, "[$-0E0000]yyyy-mm-dd")</f>
        <v/>
      </c>
      <c r="C35049" t="inlineStr">
        <is>
          <t>1995-10-25</t>
        </is>
      </c>
    </row>
    <row r="35050">
      <c r="A35050" s="1" t="n">
        <v>35049</v>
      </c>
      <c r="B35050">
        <f>TEXT(35049, "[$-0E0000]yyyy-mm-dd")</f>
        <v/>
      </c>
      <c r="C35050" t="inlineStr">
        <is>
          <t>1995-10-26</t>
        </is>
      </c>
    </row>
    <row r="35051">
      <c r="A35051" s="1" t="n">
        <v>35050</v>
      </c>
      <c r="B35051">
        <f>TEXT(35050, "[$-0E0000]yyyy-mm-dd")</f>
        <v/>
      </c>
      <c r="C35051" t="inlineStr">
        <is>
          <t>1995-10-27</t>
        </is>
      </c>
    </row>
    <row r="35052">
      <c r="A35052" s="1" t="n">
        <v>35051</v>
      </c>
      <c r="B35052">
        <f>TEXT(35051, "[$-0E0000]yyyy-mm-dd")</f>
        <v/>
      </c>
      <c r="C35052" t="inlineStr">
        <is>
          <t>1995-10-28</t>
        </is>
      </c>
    </row>
    <row r="35053">
      <c r="A35053" s="1" t="n">
        <v>35052</v>
      </c>
      <c r="B35053">
        <f>TEXT(35052, "[$-0E0000]yyyy-mm-dd")</f>
        <v/>
      </c>
      <c r="C35053" t="inlineStr">
        <is>
          <t>1995-10-29</t>
        </is>
      </c>
    </row>
    <row r="35054">
      <c r="A35054" s="1" t="n">
        <v>35053</v>
      </c>
      <c r="B35054">
        <f>TEXT(35053, "[$-0E0000]yyyy-mm-dd")</f>
        <v/>
      </c>
      <c r="C35054" t="inlineStr">
        <is>
          <t>1995-10-30</t>
        </is>
      </c>
    </row>
    <row r="35055">
      <c r="A35055" s="1" t="n">
        <v>35054</v>
      </c>
      <c r="B35055">
        <f>TEXT(35054, "[$-0E0000]yyyy-mm-dd")</f>
        <v/>
      </c>
      <c r="C35055" t="inlineStr">
        <is>
          <t>1995-11-01</t>
        </is>
      </c>
    </row>
    <row r="35056">
      <c r="A35056" s="1" t="n">
        <v>35055</v>
      </c>
      <c r="B35056">
        <f>TEXT(35055, "[$-0E0000]yyyy-mm-dd")</f>
        <v/>
      </c>
      <c r="C35056" t="inlineStr">
        <is>
          <t>1995-11-02</t>
        </is>
      </c>
    </row>
    <row r="35057">
      <c r="A35057" s="1" t="n">
        <v>35056</v>
      </c>
      <c r="B35057">
        <f>TEXT(35056, "[$-0E0000]yyyy-mm-dd")</f>
        <v/>
      </c>
      <c r="C35057" t="inlineStr">
        <is>
          <t>1995-11-03</t>
        </is>
      </c>
    </row>
    <row r="35058">
      <c r="A35058" s="1" t="n">
        <v>35057</v>
      </c>
      <c r="B35058">
        <f>TEXT(35057, "[$-0E0000]yyyy-mm-dd")</f>
        <v/>
      </c>
      <c r="C35058" t="inlineStr">
        <is>
          <t>1995-11-04</t>
        </is>
      </c>
    </row>
    <row r="35059">
      <c r="A35059" s="1" t="n">
        <v>35058</v>
      </c>
      <c r="B35059">
        <f>TEXT(35058, "[$-0E0000]yyyy-mm-dd")</f>
        <v/>
      </c>
      <c r="C35059" t="inlineStr">
        <is>
          <t>1995-11-05</t>
        </is>
      </c>
    </row>
    <row r="35060">
      <c r="A35060" s="1" t="n">
        <v>35059</v>
      </c>
      <c r="B35060">
        <f>TEXT(35059, "[$-0E0000]yyyy-mm-dd")</f>
        <v/>
      </c>
      <c r="C35060" t="inlineStr">
        <is>
          <t>1995-11-06</t>
        </is>
      </c>
    </row>
    <row r="35061">
      <c r="A35061" s="1" t="n">
        <v>35060</v>
      </c>
      <c r="B35061">
        <f>TEXT(35060, "[$-0E0000]yyyy-mm-dd")</f>
        <v/>
      </c>
      <c r="C35061" t="inlineStr">
        <is>
          <t>1995-11-07</t>
        </is>
      </c>
    </row>
    <row r="35062">
      <c r="A35062" s="1" t="n">
        <v>35061</v>
      </c>
      <c r="B35062">
        <f>TEXT(35061, "[$-0E0000]yyyy-mm-dd")</f>
        <v/>
      </c>
      <c r="C35062" t="inlineStr">
        <is>
          <t>1995-11-08</t>
        </is>
      </c>
    </row>
    <row r="35063">
      <c r="A35063" s="1" t="n">
        <v>35062</v>
      </c>
      <c r="B35063">
        <f>TEXT(35062, "[$-0E0000]yyyy-mm-dd")</f>
        <v/>
      </c>
      <c r="C35063" t="inlineStr">
        <is>
          <t>1995-11-09</t>
        </is>
      </c>
    </row>
    <row r="35064">
      <c r="A35064" s="1" t="n">
        <v>35063</v>
      </c>
      <c r="B35064">
        <f>TEXT(35063, "[$-0E0000]yyyy-mm-dd")</f>
        <v/>
      </c>
      <c r="C35064" t="inlineStr">
        <is>
          <t>1995-11-10</t>
        </is>
      </c>
    </row>
    <row r="35065">
      <c r="A35065" s="1" t="n">
        <v>35064</v>
      </c>
      <c r="B35065">
        <f>TEXT(35064, "[$-0E0000]yyyy-mm-dd")</f>
        <v/>
      </c>
      <c r="C35065" t="inlineStr">
        <is>
          <t>1995-11-11</t>
        </is>
      </c>
    </row>
    <row r="35066">
      <c r="A35066" s="1" t="n">
        <v>35065</v>
      </c>
      <c r="B35066">
        <f>TEXT(35065, "[$-0E0000]yyyy-mm-dd")</f>
        <v/>
      </c>
      <c r="C35066" t="inlineStr">
        <is>
          <t>1995-11-12</t>
        </is>
      </c>
    </row>
    <row r="35067">
      <c r="A35067" s="1" t="n">
        <v>35066</v>
      </c>
      <c r="B35067">
        <f>TEXT(35066, "[$-0E0000]yyyy-mm-dd")</f>
        <v/>
      </c>
      <c r="C35067" t="inlineStr">
        <is>
          <t>1995-11-13</t>
        </is>
      </c>
    </row>
    <row r="35068">
      <c r="A35068" s="1" t="n">
        <v>35067</v>
      </c>
      <c r="B35068">
        <f>TEXT(35067, "[$-0E0000]yyyy-mm-dd")</f>
        <v/>
      </c>
      <c r="C35068" t="inlineStr">
        <is>
          <t>1995-11-14</t>
        </is>
      </c>
    </row>
    <row r="35069">
      <c r="A35069" s="1" t="n">
        <v>35068</v>
      </c>
      <c r="B35069">
        <f>TEXT(35068, "[$-0E0000]yyyy-mm-dd")</f>
        <v/>
      </c>
      <c r="C35069" t="inlineStr">
        <is>
          <t>1995-11-15</t>
        </is>
      </c>
    </row>
    <row r="35070">
      <c r="A35070" s="1" t="n">
        <v>35069</v>
      </c>
      <c r="B35070">
        <f>TEXT(35069, "[$-0E0000]yyyy-mm-dd")</f>
        <v/>
      </c>
      <c r="C35070" t="inlineStr">
        <is>
          <t>1995-11-16</t>
        </is>
      </c>
    </row>
    <row r="35071">
      <c r="A35071" s="1" t="n">
        <v>35070</v>
      </c>
      <c r="B35071">
        <f>TEXT(35070, "[$-0E0000]yyyy-mm-dd")</f>
        <v/>
      </c>
      <c r="C35071" t="inlineStr">
        <is>
          <t>1995-11-17</t>
        </is>
      </c>
    </row>
    <row r="35072">
      <c r="A35072" s="1" t="n">
        <v>35071</v>
      </c>
      <c r="B35072">
        <f>TEXT(35071, "[$-0E0000]yyyy-mm-dd")</f>
        <v/>
      </c>
      <c r="C35072" t="inlineStr">
        <is>
          <t>1995-11-18</t>
        </is>
      </c>
    </row>
    <row r="35073">
      <c r="A35073" s="1" t="n">
        <v>35072</v>
      </c>
      <c r="B35073">
        <f>TEXT(35072, "[$-0E0000]yyyy-mm-dd")</f>
        <v/>
      </c>
      <c r="C35073" t="inlineStr">
        <is>
          <t>1995-11-19</t>
        </is>
      </c>
    </row>
    <row r="35074">
      <c r="A35074" s="1" t="n">
        <v>35073</v>
      </c>
      <c r="B35074">
        <f>TEXT(35073, "[$-0E0000]yyyy-mm-dd")</f>
        <v/>
      </c>
      <c r="C35074" t="inlineStr">
        <is>
          <t>1995-11-20</t>
        </is>
      </c>
    </row>
    <row r="35075">
      <c r="A35075" s="1" t="n">
        <v>35074</v>
      </c>
      <c r="B35075">
        <f>TEXT(35074, "[$-0E0000]yyyy-mm-dd")</f>
        <v/>
      </c>
      <c r="C35075" t="inlineStr">
        <is>
          <t>1995-11-21</t>
        </is>
      </c>
    </row>
    <row r="35076">
      <c r="A35076" s="1" t="n">
        <v>35075</v>
      </c>
      <c r="B35076">
        <f>TEXT(35075, "[$-0E0000]yyyy-mm-dd")</f>
        <v/>
      </c>
      <c r="C35076" t="inlineStr">
        <is>
          <t>1995-11-22</t>
        </is>
      </c>
    </row>
    <row r="35077">
      <c r="A35077" s="1" t="n">
        <v>35076</v>
      </c>
      <c r="B35077">
        <f>TEXT(35076, "[$-0E0000]yyyy-mm-dd")</f>
        <v/>
      </c>
      <c r="C35077" t="inlineStr">
        <is>
          <t>1995-11-23</t>
        </is>
      </c>
    </row>
    <row r="35078">
      <c r="A35078" s="1" t="n">
        <v>35077</v>
      </c>
      <c r="B35078">
        <f>TEXT(35077, "[$-0E0000]yyyy-mm-dd")</f>
        <v/>
      </c>
      <c r="C35078" t="inlineStr">
        <is>
          <t>1995-11-24</t>
        </is>
      </c>
    </row>
    <row r="35079">
      <c r="A35079" s="1" t="n">
        <v>35078</v>
      </c>
      <c r="B35079">
        <f>TEXT(35078, "[$-0E0000]yyyy-mm-dd")</f>
        <v/>
      </c>
      <c r="C35079" t="inlineStr">
        <is>
          <t>1995-11-25</t>
        </is>
      </c>
    </row>
    <row r="35080">
      <c r="A35080" s="1" t="n">
        <v>35079</v>
      </c>
      <c r="B35080">
        <f>TEXT(35079, "[$-0E0000]yyyy-mm-dd")</f>
        <v/>
      </c>
      <c r="C35080" t="inlineStr">
        <is>
          <t>1995-11-26</t>
        </is>
      </c>
    </row>
    <row r="35081">
      <c r="A35081" s="1" t="n">
        <v>35080</v>
      </c>
      <c r="B35081">
        <f>TEXT(35080, "[$-0E0000]yyyy-mm-dd")</f>
        <v/>
      </c>
      <c r="C35081" t="inlineStr">
        <is>
          <t>1995-11-27</t>
        </is>
      </c>
    </row>
    <row r="35082">
      <c r="A35082" s="1" t="n">
        <v>35081</v>
      </c>
      <c r="B35082">
        <f>TEXT(35081, "[$-0E0000]yyyy-mm-dd")</f>
        <v/>
      </c>
      <c r="C35082" t="inlineStr">
        <is>
          <t>1995-11-28</t>
        </is>
      </c>
    </row>
    <row r="35083">
      <c r="A35083" s="1" t="n">
        <v>35082</v>
      </c>
      <c r="B35083">
        <f>TEXT(35082, "[$-0E0000]yyyy-mm-dd")</f>
        <v/>
      </c>
      <c r="C35083" t="inlineStr">
        <is>
          <t>1995-11-29</t>
        </is>
      </c>
    </row>
    <row r="35084">
      <c r="A35084" s="1" t="n">
        <v>35083</v>
      </c>
      <c r="B35084">
        <f>TEXT(35083, "[$-0E0000]yyyy-mm-dd")</f>
        <v/>
      </c>
      <c r="C35084" t="inlineStr">
        <is>
          <t>1995-12-01</t>
        </is>
      </c>
    </row>
    <row r="35085">
      <c r="A35085" s="1" t="n">
        <v>35084</v>
      </c>
      <c r="B35085">
        <f>TEXT(35084, "[$-0E0000]yyyy-mm-dd")</f>
        <v/>
      </c>
      <c r="C35085" t="inlineStr">
        <is>
          <t>1995-12-02</t>
        </is>
      </c>
    </row>
    <row r="35086">
      <c r="A35086" s="1" t="n">
        <v>35085</v>
      </c>
      <c r="B35086">
        <f>TEXT(35085, "[$-0E0000]yyyy-mm-dd")</f>
        <v/>
      </c>
      <c r="C35086" t="inlineStr">
        <is>
          <t>1995-12-03</t>
        </is>
      </c>
    </row>
    <row r="35087">
      <c r="A35087" s="1" t="n">
        <v>35086</v>
      </c>
      <c r="B35087">
        <f>TEXT(35086, "[$-0E0000]yyyy-mm-dd")</f>
        <v/>
      </c>
      <c r="C35087" t="inlineStr">
        <is>
          <t>1995-12-04</t>
        </is>
      </c>
    </row>
    <row r="35088">
      <c r="A35088" s="1" t="n">
        <v>35087</v>
      </c>
      <c r="B35088">
        <f>TEXT(35087, "[$-0E0000]yyyy-mm-dd")</f>
        <v/>
      </c>
      <c r="C35088" t="inlineStr">
        <is>
          <t>1995-12-05</t>
        </is>
      </c>
    </row>
    <row r="35089">
      <c r="A35089" s="1" t="n">
        <v>35088</v>
      </c>
      <c r="B35089">
        <f>TEXT(35088, "[$-0E0000]yyyy-mm-dd")</f>
        <v/>
      </c>
      <c r="C35089" t="inlineStr">
        <is>
          <t>1995-12-06</t>
        </is>
      </c>
    </row>
    <row r="35090">
      <c r="A35090" s="1" t="n">
        <v>35089</v>
      </c>
      <c r="B35090">
        <f>TEXT(35089, "[$-0E0000]yyyy-mm-dd")</f>
        <v/>
      </c>
      <c r="C35090" t="inlineStr">
        <is>
          <t>1995-12-07</t>
        </is>
      </c>
    </row>
    <row r="35091">
      <c r="A35091" s="1" t="n">
        <v>35090</v>
      </c>
      <c r="B35091">
        <f>TEXT(35090, "[$-0E0000]yyyy-mm-dd")</f>
        <v/>
      </c>
      <c r="C35091" t="inlineStr">
        <is>
          <t>1995-12-08</t>
        </is>
      </c>
    </row>
    <row r="35092">
      <c r="A35092" s="1" t="n">
        <v>35091</v>
      </c>
      <c r="B35092">
        <f>TEXT(35091, "[$-0E0000]yyyy-mm-dd")</f>
        <v/>
      </c>
      <c r="C35092" t="inlineStr">
        <is>
          <t>1995-12-09</t>
        </is>
      </c>
    </row>
    <row r="35093">
      <c r="A35093" s="1" t="n">
        <v>35092</v>
      </c>
      <c r="B35093">
        <f>TEXT(35092, "[$-0E0000]yyyy-mm-dd")</f>
        <v/>
      </c>
      <c r="C35093" t="inlineStr">
        <is>
          <t>1995-12-10</t>
        </is>
      </c>
    </row>
    <row r="35094">
      <c r="A35094" s="1" t="n">
        <v>35093</v>
      </c>
      <c r="B35094">
        <f>TEXT(35093, "[$-0E0000]yyyy-mm-dd")</f>
        <v/>
      </c>
      <c r="C35094" t="inlineStr">
        <is>
          <t>1995-12-11</t>
        </is>
      </c>
    </row>
    <row r="35095">
      <c r="A35095" s="1" t="n">
        <v>35094</v>
      </c>
      <c r="B35095">
        <f>TEXT(35094, "[$-0E0000]yyyy-mm-dd")</f>
        <v/>
      </c>
      <c r="C35095" t="inlineStr">
        <is>
          <t>1995-12-12</t>
        </is>
      </c>
    </row>
    <row r="35096">
      <c r="A35096" s="1" t="n">
        <v>35095</v>
      </c>
      <c r="B35096">
        <f>TEXT(35095, "[$-0E0000]yyyy-mm-dd")</f>
        <v/>
      </c>
      <c r="C35096" t="inlineStr">
        <is>
          <t>1995-12-13</t>
        </is>
      </c>
    </row>
    <row r="35097">
      <c r="A35097" s="1" t="n">
        <v>35096</v>
      </c>
      <c r="B35097">
        <f>TEXT(35096, "[$-0E0000]yyyy-mm-dd")</f>
        <v/>
      </c>
      <c r="C35097" t="inlineStr">
        <is>
          <t>1995-12-14</t>
        </is>
      </c>
    </row>
    <row r="35098">
      <c r="A35098" s="1" t="n">
        <v>35097</v>
      </c>
      <c r="B35098">
        <f>TEXT(35097, "[$-0E0000]yyyy-mm-dd")</f>
        <v/>
      </c>
      <c r="C35098" t="inlineStr">
        <is>
          <t>1995-12-15</t>
        </is>
      </c>
    </row>
    <row r="35099">
      <c r="A35099" s="1" t="n">
        <v>35098</v>
      </c>
      <c r="B35099">
        <f>TEXT(35098, "[$-0E0000]yyyy-mm-dd")</f>
        <v/>
      </c>
      <c r="C35099" t="inlineStr">
        <is>
          <t>1995-12-16</t>
        </is>
      </c>
    </row>
    <row r="35100">
      <c r="A35100" s="1" t="n">
        <v>35099</v>
      </c>
      <c r="B35100">
        <f>TEXT(35099, "[$-0E0000]yyyy-mm-dd")</f>
        <v/>
      </c>
      <c r="C35100" t="inlineStr">
        <is>
          <t>1995-12-17</t>
        </is>
      </c>
    </row>
    <row r="35101">
      <c r="A35101" s="1" t="n">
        <v>35100</v>
      </c>
      <c r="B35101">
        <f>TEXT(35100, "[$-0E0000]yyyy-mm-dd")</f>
        <v/>
      </c>
      <c r="C35101" t="inlineStr">
        <is>
          <t>1995-12-18</t>
        </is>
      </c>
    </row>
    <row r="35102">
      <c r="A35102" s="1" t="n">
        <v>35101</v>
      </c>
      <c r="B35102">
        <f>TEXT(35101, "[$-0E0000]yyyy-mm-dd")</f>
        <v/>
      </c>
      <c r="C35102" t="inlineStr">
        <is>
          <t>1995-12-19</t>
        </is>
      </c>
    </row>
    <row r="35103">
      <c r="A35103" s="1" t="n">
        <v>35102</v>
      </c>
      <c r="B35103">
        <f>TEXT(35102, "[$-0E0000]yyyy-mm-dd")</f>
        <v/>
      </c>
      <c r="C35103" t="inlineStr">
        <is>
          <t>1995-12-20</t>
        </is>
      </c>
    </row>
    <row r="35104">
      <c r="A35104" s="1" t="n">
        <v>35103</v>
      </c>
      <c r="B35104">
        <f>TEXT(35103, "[$-0E0000]yyyy-mm-dd")</f>
        <v/>
      </c>
      <c r="C35104" t="inlineStr">
        <is>
          <t>1995-12-21</t>
        </is>
      </c>
    </row>
    <row r="35105">
      <c r="A35105" s="1" t="n">
        <v>35104</v>
      </c>
      <c r="B35105">
        <f>TEXT(35104, "[$-0E0000]yyyy-mm-dd")</f>
        <v/>
      </c>
      <c r="C35105" t="inlineStr">
        <is>
          <t>1995-12-22</t>
        </is>
      </c>
    </row>
    <row r="35106">
      <c r="A35106" s="1" t="n">
        <v>35105</v>
      </c>
      <c r="B35106">
        <f>TEXT(35105, "[$-0E0000]yyyy-mm-dd")</f>
        <v/>
      </c>
      <c r="C35106" t="inlineStr">
        <is>
          <t>1995-12-23</t>
        </is>
      </c>
    </row>
    <row r="35107">
      <c r="A35107" s="1" t="n">
        <v>35106</v>
      </c>
      <c r="B35107">
        <f>TEXT(35106, "[$-0E0000]yyyy-mm-dd")</f>
        <v/>
      </c>
      <c r="C35107" t="inlineStr">
        <is>
          <t>1995-12-24</t>
        </is>
      </c>
    </row>
    <row r="35108">
      <c r="A35108" s="1" t="n">
        <v>35107</v>
      </c>
      <c r="B35108">
        <f>TEXT(35107, "[$-0E0000]yyyy-mm-dd")</f>
        <v/>
      </c>
      <c r="C35108" t="inlineStr">
        <is>
          <t>1995-12-25</t>
        </is>
      </c>
    </row>
    <row r="35109">
      <c r="A35109" s="1" t="n">
        <v>35108</v>
      </c>
      <c r="B35109">
        <f>TEXT(35108, "[$-0E0000]yyyy-mm-dd")</f>
        <v/>
      </c>
      <c r="C35109" t="inlineStr">
        <is>
          <t>1995-12-26</t>
        </is>
      </c>
    </row>
    <row r="35110">
      <c r="A35110" s="1" t="n">
        <v>35109</v>
      </c>
      <c r="B35110">
        <f>TEXT(35109, "[$-0E0000]yyyy-mm-dd")</f>
        <v/>
      </c>
      <c r="C35110" t="inlineStr">
        <is>
          <t>1995-12-27</t>
        </is>
      </c>
    </row>
    <row r="35111">
      <c r="A35111" s="1" t="n">
        <v>35110</v>
      </c>
      <c r="B35111">
        <f>TEXT(35110, "[$-0E0000]yyyy-mm-dd")</f>
        <v/>
      </c>
      <c r="C35111" t="inlineStr">
        <is>
          <t>1995-12-28</t>
        </is>
      </c>
    </row>
    <row r="35112">
      <c r="A35112" s="1" t="n">
        <v>35111</v>
      </c>
      <c r="B35112">
        <f>TEXT(35111, "[$-0E0000]yyyy-mm-dd")</f>
        <v/>
      </c>
      <c r="C35112" t="inlineStr">
        <is>
          <t>1995-12-29</t>
        </is>
      </c>
    </row>
    <row r="35113">
      <c r="A35113" s="1" t="n">
        <v>35112</v>
      </c>
      <c r="B35113">
        <f>TEXT(35112, "[$-0E0000]yyyy-mm-dd")</f>
        <v/>
      </c>
      <c r="C35113" t="inlineStr">
        <is>
          <t>1995-12-30</t>
        </is>
      </c>
    </row>
    <row r="35114">
      <c r="A35114" s="1" t="n">
        <v>35113</v>
      </c>
      <c r="B35114">
        <f>TEXT(35113, "[$-0E0000]yyyy-mm-dd")</f>
        <v/>
      </c>
      <c r="C35114" t="inlineStr">
        <is>
          <t>1996-01-01</t>
        </is>
      </c>
    </row>
    <row r="35115">
      <c r="A35115" s="1" t="n">
        <v>35114</v>
      </c>
      <c r="B35115">
        <f>TEXT(35114, "[$-0E0000]yyyy-mm-dd")</f>
        <v/>
      </c>
      <c r="C35115" t="inlineStr">
        <is>
          <t>1996-01-02</t>
        </is>
      </c>
    </row>
    <row r="35116">
      <c r="A35116" s="1" t="n">
        <v>35115</v>
      </c>
      <c r="B35116">
        <f>TEXT(35115, "[$-0E0000]yyyy-mm-dd")</f>
        <v/>
      </c>
      <c r="C35116" t="inlineStr">
        <is>
          <t>1996-01-03</t>
        </is>
      </c>
    </row>
    <row r="35117">
      <c r="A35117" s="1" t="n">
        <v>35116</v>
      </c>
      <c r="B35117">
        <f>TEXT(35116, "[$-0E0000]yyyy-mm-dd")</f>
        <v/>
      </c>
      <c r="C35117" t="inlineStr">
        <is>
          <t>1996-01-04</t>
        </is>
      </c>
    </row>
    <row r="35118">
      <c r="A35118" s="1" t="n">
        <v>35117</v>
      </c>
      <c r="B35118">
        <f>TEXT(35117, "[$-0E0000]yyyy-mm-dd")</f>
        <v/>
      </c>
      <c r="C35118" t="inlineStr">
        <is>
          <t>1996-01-05</t>
        </is>
      </c>
    </row>
    <row r="35119">
      <c r="A35119" s="1" t="n">
        <v>35118</v>
      </c>
      <c r="B35119">
        <f>TEXT(35118, "[$-0E0000]yyyy-mm-dd")</f>
        <v/>
      </c>
      <c r="C35119" t="inlineStr">
        <is>
          <t>1996-01-06</t>
        </is>
      </c>
    </row>
    <row r="35120">
      <c r="A35120" s="1" t="n">
        <v>35119</v>
      </c>
      <c r="B35120">
        <f>TEXT(35119, "[$-0E0000]yyyy-mm-dd")</f>
        <v/>
      </c>
      <c r="C35120" t="inlineStr">
        <is>
          <t>1996-01-07</t>
        </is>
      </c>
    </row>
    <row r="35121">
      <c r="A35121" s="1" t="n">
        <v>35120</v>
      </c>
      <c r="B35121">
        <f>TEXT(35120, "[$-0E0000]yyyy-mm-dd")</f>
        <v/>
      </c>
      <c r="C35121" t="inlineStr">
        <is>
          <t>1996-01-08</t>
        </is>
      </c>
    </row>
    <row r="35122">
      <c r="A35122" s="1" t="n">
        <v>35121</v>
      </c>
      <c r="B35122">
        <f>TEXT(35121, "[$-0E0000]yyyy-mm-dd")</f>
        <v/>
      </c>
      <c r="C35122" t="inlineStr">
        <is>
          <t>1996-01-09</t>
        </is>
      </c>
    </row>
    <row r="35123">
      <c r="A35123" s="1" t="n">
        <v>35122</v>
      </c>
      <c r="B35123">
        <f>TEXT(35122, "[$-0E0000]yyyy-mm-dd")</f>
        <v/>
      </c>
      <c r="C35123" t="inlineStr">
        <is>
          <t>1996-01-10</t>
        </is>
      </c>
    </row>
    <row r="35124">
      <c r="A35124" s="1" t="n">
        <v>35123</v>
      </c>
      <c r="B35124">
        <f>TEXT(35123, "[$-0E0000]yyyy-mm-dd")</f>
        <v/>
      </c>
      <c r="C35124" t="inlineStr">
        <is>
          <t>1996-01-11</t>
        </is>
      </c>
    </row>
    <row r="35125">
      <c r="A35125" s="1" t="n">
        <v>35124</v>
      </c>
      <c r="B35125">
        <f>TEXT(35124, "[$-0E0000]yyyy-mm-dd")</f>
        <v/>
      </c>
      <c r="C35125" t="inlineStr">
        <is>
          <t>1996-01-12</t>
        </is>
      </c>
    </row>
    <row r="35126">
      <c r="A35126" s="1" t="n">
        <v>35125</v>
      </c>
      <c r="B35126">
        <f>TEXT(35125, "[$-0E0000]yyyy-mm-dd")</f>
        <v/>
      </c>
      <c r="C35126" t="inlineStr">
        <is>
          <t>1996-01-13</t>
        </is>
      </c>
    </row>
    <row r="35127">
      <c r="A35127" s="1" t="n">
        <v>35126</v>
      </c>
      <c r="B35127">
        <f>TEXT(35126, "[$-0E0000]yyyy-mm-dd")</f>
        <v/>
      </c>
      <c r="C35127" t="inlineStr">
        <is>
          <t>1996-01-14</t>
        </is>
      </c>
    </row>
    <row r="35128">
      <c r="A35128" s="1" t="n">
        <v>35127</v>
      </c>
      <c r="B35128">
        <f>TEXT(35127, "[$-0E0000]yyyy-mm-dd")</f>
        <v/>
      </c>
      <c r="C35128" t="inlineStr">
        <is>
          <t>1996-01-15</t>
        </is>
      </c>
    </row>
    <row r="35129">
      <c r="A35129" s="1" t="n">
        <v>35128</v>
      </c>
      <c r="B35129">
        <f>TEXT(35128, "[$-0E0000]yyyy-mm-dd")</f>
        <v/>
      </c>
      <c r="C35129" t="inlineStr">
        <is>
          <t>1996-01-16</t>
        </is>
      </c>
    </row>
    <row r="35130">
      <c r="A35130" s="1" t="n">
        <v>35129</v>
      </c>
      <c r="B35130">
        <f>TEXT(35129, "[$-0E0000]yyyy-mm-dd")</f>
        <v/>
      </c>
      <c r="C35130" t="inlineStr">
        <is>
          <t>1996-01-17</t>
        </is>
      </c>
    </row>
    <row r="35131">
      <c r="A35131" s="1" t="n">
        <v>35130</v>
      </c>
      <c r="B35131">
        <f>TEXT(35130, "[$-0E0000]yyyy-mm-dd")</f>
        <v/>
      </c>
      <c r="C35131" t="inlineStr">
        <is>
          <t>1996-01-18</t>
        </is>
      </c>
    </row>
    <row r="35132">
      <c r="A35132" s="1" t="n">
        <v>35131</v>
      </c>
      <c r="B35132">
        <f>TEXT(35131, "[$-0E0000]yyyy-mm-dd")</f>
        <v/>
      </c>
      <c r="C35132" t="inlineStr">
        <is>
          <t>1996-01-19</t>
        </is>
      </c>
    </row>
    <row r="35133">
      <c r="A35133" s="1" t="n">
        <v>35132</v>
      </c>
      <c r="B35133">
        <f>TEXT(35132, "[$-0E0000]yyyy-mm-dd")</f>
        <v/>
      </c>
      <c r="C35133" t="inlineStr">
        <is>
          <t>1996-01-20</t>
        </is>
      </c>
    </row>
    <row r="35134">
      <c r="A35134" s="1" t="n">
        <v>35133</v>
      </c>
      <c r="B35134">
        <f>TEXT(35133, "[$-0E0000]yyyy-mm-dd")</f>
        <v/>
      </c>
      <c r="C35134" t="inlineStr">
        <is>
          <t>1996-01-21</t>
        </is>
      </c>
    </row>
    <row r="35135">
      <c r="A35135" s="1" t="n">
        <v>35134</v>
      </c>
      <c r="B35135">
        <f>TEXT(35134, "[$-0E0000]yyyy-mm-dd")</f>
        <v/>
      </c>
      <c r="C35135" t="inlineStr">
        <is>
          <t>1996-01-22</t>
        </is>
      </c>
    </row>
    <row r="35136">
      <c r="A35136" s="1" t="n">
        <v>35135</v>
      </c>
      <c r="B35136">
        <f>TEXT(35135, "[$-0E0000]yyyy-mm-dd")</f>
        <v/>
      </c>
      <c r="C35136" t="inlineStr">
        <is>
          <t>1996-01-23</t>
        </is>
      </c>
    </row>
    <row r="35137">
      <c r="A35137" s="1" t="n">
        <v>35136</v>
      </c>
      <c r="B35137">
        <f>TEXT(35136, "[$-0E0000]yyyy-mm-dd")</f>
        <v/>
      </c>
      <c r="C35137" t="inlineStr">
        <is>
          <t>1996-01-24</t>
        </is>
      </c>
    </row>
    <row r="35138">
      <c r="A35138" s="1" t="n">
        <v>35137</v>
      </c>
      <c r="B35138">
        <f>TEXT(35137, "[$-0E0000]yyyy-mm-dd")</f>
        <v/>
      </c>
      <c r="C35138" t="inlineStr">
        <is>
          <t>1996-01-25</t>
        </is>
      </c>
    </row>
    <row r="35139">
      <c r="A35139" s="1" t="n">
        <v>35138</v>
      </c>
      <c r="B35139">
        <f>TEXT(35138, "[$-0E0000]yyyy-mm-dd")</f>
        <v/>
      </c>
      <c r="C35139" t="inlineStr">
        <is>
          <t>1996-01-26</t>
        </is>
      </c>
    </row>
    <row r="35140">
      <c r="A35140" s="1" t="n">
        <v>35139</v>
      </c>
      <c r="B35140">
        <f>TEXT(35139, "[$-0E0000]yyyy-mm-dd")</f>
        <v/>
      </c>
      <c r="C35140" t="inlineStr">
        <is>
          <t>1996-01-27</t>
        </is>
      </c>
    </row>
    <row r="35141">
      <c r="A35141" s="1" t="n">
        <v>35140</v>
      </c>
      <c r="B35141">
        <f>TEXT(35140, "[$-0E0000]yyyy-mm-dd")</f>
        <v/>
      </c>
      <c r="C35141" t="inlineStr">
        <is>
          <t>1996-01-28</t>
        </is>
      </c>
    </row>
    <row r="35142">
      <c r="A35142" s="1" t="n">
        <v>35141</v>
      </c>
      <c r="B35142">
        <f>TEXT(35141, "[$-0E0000]yyyy-mm-dd")</f>
        <v/>
      </c>
      <c r="C35142" t="inlineStr">
        <is>
          <t>1996-01-29</t>
        </is>
      </c>
    </row>
    <row r="35143">
      <c r="A35143" s="1" t="n">
        <v>35142</v>
      </c>
      <c r="B35143">
        <f>TEXT(35142, "[$-0E0000]yyyy-mm-dd")</f>
        <v/>
      </c>
      <c r="C35143" t="inlineStr">
        <is>
          <t>1996-02-01</t>
        </is>
      </c>
    </row>
    <row r="35144">
      <c r="A35144" s="1" t="n">
        <v>35143</v>
      </c>
      <c r="B35144">
        <f>TEXT(35143, "[$-0E0000]yyyy-mm-dd")</f>
        <v/>
      </c>
      <c r="C35144" t="inlineStr">
        <is>
          <t>1996-02-02</t>
        </is>
      </c>
    </row>
    <row r="35145">
      <c r="A35145" s="1" t="n">
        <v>35144</v>
      </c>
      <c r="B35145">
        <f>TEXT(35144, "[$-0E0000]yyyy-mm-dd")</f>
        <v/>
      </c>
      <c r="C35145" t="inlineStr">
        <is>
          <t>1996-02-03</t>
        </is>
      </c>
    </row>
    <row r="35146">
      <c r="A35146" s="1" t="n">
        <v>35145</v>
      </c>
      <c r="B35146">
        <f>TEXT(35145, "[$-0E0000]yyyy-mm-dd")</f>
        <v/>
      </c>
      <c r="C35146" t="inlineStr">
        <is>
          <t>1996-02-04</t>
        </is>
      </c>
    </row>
    <row r="35147">
      <c r="A35147" s="1" t="n">
        <v>35146</v>
      </c>
      <c r="B35147">
        <f>TEXT(35146, "[$-0E0000]yyyy-mm-dd")</f>
        <v/>
      </c>
      <c r="C35147" t="inlineStr">
        <is>
          <t>1996-02-05</t>
        </is>
      </c>
    </row>
    <row r="35148">
      <c r="A35148" s="1" t="n">
        <v>35147</v>
      </c>
      <c r="B35148">
        <f>TEXT(35147, "[$-0E0000]yyyy-mm-dd")</f>
        <v/>
      </c>
      <c r="C35148" t="inlineStr">
        <is>
          <t>1996-02-06</t>
        </is>
      </c>
    </row>
    <row r="35149">
      <c r="A35149" s="1" t="n">
        <v>35148</v>
      </c>
      <c r="B35149">
        <f>TEXT(35148, "[$-0E0000]yyyy-mm-dd")</f>
        <v/>
      </c>
      <c r="C35149" t="inlineStr">
        <is>
          <t>1996-02-07</t>
        </is>
      </c>
    </row>
    <row r="35150">
      <c r="A35150" s="1" t="n">
        <v>35149</v>
      </c>
      <c r="B35150">
        <f>TEXT(35149, "[$-0E0000]yyyy-mm-dd")</f>
        <v/>
      </c>
      <c r="C35150" t="inlineStr">
        <is>
          <t>1996-02-08</t>
        </is>
      </c>
    </row>
    <row r="35151">
      <c r="A35151" s="1" t="n">
        <v>35150</v>
      </c>
      <c r="B35151">
        <f>TEXT(35150, "[$-0E0000]yyyy-mm-dd")</f>
        <v/>
      </c>
      <c r="C35151" t="inlineStr">
        <is>
          <t>1996-02-09</t>
        </is>
      </c>
    </row>
    <row r="35152">
      <c r="A35152" s="1" t="n">
        <v>35151</v>
      </c>
      <c r="B35152">
        <f>TEXT(35151, "[$-0E0000]yyyy-mm-dd")</f>
        <v/>
      </c>
      <c r="C35152" t="inlineStr">
        <is>
          <t>1996-02-10</t>
        </is>
      </c>
    </row>
    <row r="35153">
      <c r="A35153" s="1" t="n">
        <v>35152</v>
      </c>
      <c r="B35153">
        <f>TEXT(35152, "[$-0E0000]yyyy-mm-dd")</f>
        <v/>
      </c>
      <c r="C35153" t="inlineStr">
        <is>
          <t>1996-02-11</t>
        </is>
      </c>
    </row>
    <row r="35154">
      <c r="A35154" s="1" t="n">
        <v>35153</v>
      </c>
      <c r="B35154">
        <f>TEXT(35153, "[$-0E0000]yyyy-mm-dd")</f>
        <v/>
      </c>
      <c r="C35154" t="inlineStr">
        <is>
          <t>1996-02-12</t>
        </is>
      </c>
    </row>
    <row r="35155">
      <c r="A35155" s="1" t="n">
        <v>35154</v>
      </c>
      <c r="B35155">
        <f>TEXT(35154, "[$-0E0000]yyyy-mm-dd")</f>
        <v/>
      </c>
      <c r="C35155" t="inlineStr">
        <is>
          <t>1996-02-13</t>
        </is>
      </c>
    </row>
    <row r="35156">
      <c r="A35156" s="1" t="n">
        <v>35155</v>
      </c>
      <c r="B35156">
        <f>TEXT(35155, "[$-0E0000]yyyy-mm-dd")</f>
        <v/>
      </c>
      <c r="C35156" t="inlineStr">
        <is>
          <t>1996-02-14</t>
        </is>
      </c>
    </row>
    <row r="35157">
      <c r="A35157" s="1" t="n">
        <v>35156</v>
      </c>
      <c r="B35157">
        <f>TEXT(35156, "[$-0E0000]yyyy-mm-dd")</f>
        <v/>
      </c>
      <c r="C35157" t="inlineStr">
        <is>
          <t>1996-02-15</t>
        </is>
      </c>
    </row>
    <row r="35158">
      <c r="A35158" s="1" t="n">
        <v>35157</v>
      </c>
      <c r="B35158">
        <f>TEXT(35157, "[$-0E0000]yyyy-mm-dd")</f>
        <v/>
      </c>
      <c r="C35158" t="inlineStr">
        <is>
          <t>1996-02-16</t>
        </is>
      </c>
    </row>
    <row r="35159">
      <c r="A35159" s="1" t="n">
        <v>35158</v>
      </c>
      <c r="B35159">
        <f>TEXT(35158, "[$-0E0000]yyyy-mm-dd")</f>
        <v/>
      </c>
      <c r="C35159" t="inlineStr">
        <is>
          <t>1996-02-17</t>
        </is>
      </c>
    </row>
    <row r="35160">
      <c r="A35160" s="1" t="n">
        <v>35159</v>
      </c>
      <c r="B35160">
        <f>TEXT(35159, "[$-0E0000]yyyy-mm-dd")</f>
        <v/>
      </c>
      <c r="C35160" t="inlineStr">
        <is>
          <t>1996-02-18</t>
        </is>
      </c>
    </row>
    <row r="35161">
      <c r="A35161" s="1" t="n">
        <v>35160</v>
      </c>
      <c r="B35161">
        <f>TEXT(35160, "[$-0E0000]yyyy-mm-dd")</f>
        <v/>
      </c>
      <c r="C35161" t="inlineStr">
        <is>
          <t>1996-02-19</t>
        </is>
      </c>
    </row>
    <row r="35162">
      <c r="A35162" s="1" t="n">
        <v>35161</v>
      </c>
      <c r="B35162">
        <f>TEXT(35161, "[$-0E0000]yyyy-mm-dd")</f>
        <v/>
      </c>
      <c r="C35162" t="inlineStr">
        <is>
          <t>1996-02-20</t>
        </is>
      </c>
    </row>
    <row r="35163">
      <c r="A35163" s="1" t="n">
        <v>35162</v>
      </c>
      <c r="B35163">
        <f>TEXT(35162, "[$-0E0000]yyyy-mm-dd")</f>
        <v/>
      </c>
      <c r="C35163" t="inlineStr">
        <is>
          <t>1996-02-21</t>
        </is>
      </c>
    </row>
    <row r="35164">
      <c r="A35164" s="1" t="n">
        <v>35163</v>
      </c>
      <c r="B35164">
        <f>TEXT(35163, "[$-0E0000]yyyy-mm-dd")</f>
        <v/>
      </c>
      <c r="C35164" t="inlineStr">
        <is>
          <t>1996-02-22</t>
        </is>
      </c>
    </row>
    <row r="35165">
      <c r="A35165" s="1" t="n">
        <v>35164</v>
      </c>
      <c r="B35165">
        <f>TEXT(35164, "[$-0E0000]yyyy-mm-dd")</f>
        <v/>
      </c>
      <c r="C35165" t="inlineStr">
        <is>
          <t>1996-02-23</t>
        </is>
      </c>
    </row>
    <row r="35166">
      <c r="A35166" s="1" t="n">
        <v>35165</v>
      </c>
      <c r="B35166">
        <f>TEXT(35165, "[$-0E0000]yyyy-mm-dd")</f>
        <v/>
      </c>
      <c r="C35166" t="inlineStr">
        <is>
          <t>1996-02-24</t>
        </is>
      </c>
    </row>
    <row r="35167">
      <c r="A35167" s="1" t="n">
        <v>35166</v>
      </c>
      <c r="B35167">
        <f>TEXT(35166, "[$-0E0000]yyyy-mm-dd")</f>
        <v/>
      </c>
      <c r="C35167" t="inlineStr">
        <is>
          <t>1996-02-25</t>
        </is>
      </c>
    </row>
    <row r="35168">
      <c r="A35168" s="1" t="n">
        <v>35167</v>
      </c>
      <c r="B35168">
        <f>TEXT(35167, "[$-0E0000]yyyy-mm-dd")</f>
        <v/>
      </c>
      <c r="C35168" t="inlineStr">
        <is>
          <t>1996-02-26</t>
        </is>
      </c>
    </row>
    <row r="35169">
      <c r="A35169" s="1" t="n">
        <v>35168</v>
      </c>
      <c r="B35169">
        <f>TEXT(35168, "[$-0E0000]yyyy-mm-dd")</f>
        <v/>
      </c>
      <c r="C35169" t="inlineStr">
        <is>
          <t>1996-02-27</t>
        </is>
      </c>
    </row>
    <row r="35170">
      <c r="A35170" s="1" t="n">
        <v>35169</v>
      </c>
      <c r="B35170">
        <f>TEXT(35169, "[$-0E0000]yyyy-mm-dd")</f>
        <v/>
      </c>
      <c r="C35170" t="inlineStr">
        <is>
          <t>1996-02-28</t>
        </is>
      </c>
    </row>
    <row r="35171">
      <c r="A35171" s="1" t="n">
        <v>35170</v>
      </c>
      <c r="B35171">
        <f>TEXT(35170, "[$-0E0000]yyyy-mm-dd")</f>
        <v/>
      </c>
      <c r="C35171" t="inlineStr">
        <is>
          <t>1996-02-29</t>
        </is>
      </c>
    </row>
    <row r="35172">
      <c r="A35172" s="1" t="n">
        <v>35171</v>
      </c>
      <c r="B35172">
        <f>TEXT(35171, "[$-0E0000]yyyy-mm-dd")</f>
        <v/>
      </c>
      <c r="C35172" t="inlineStr">
        <is>
          <t>1996-02-30</t>
        </is>
      </c>
    </row>
    <row r="35173">
      <c r="A35173" s="1" t="n">
        <v>35172</v>
      </c>
      <c r="B35173">
        <f>TEXT(35172, "[$-0E0000]yyyy-mm-dd")</f>
        <v/>
      </c>
      <c r="C35173" t="inlineStr">
        <is>
          <t>1996-03-01</t>
        </is>
      </c>
    </row>
    <row r="35174">
      <c r="A35174" s="1" t="n">
        <v>35173</v>
      </c>
      <c r="B35174">
        <f>TEXT(35173, "[$-0E0000]yyyy-mm-dd")</f>
        <v/>
      </c>
      <c r="C35174" t="inlineStr">
        <is>
          <t>1996-03-02</t>
        </is>
      </c>
    </row>
    <row r="35175">
      <c r="A35175" s="1" t="n">
        <v>35174</v>
      </c>
      <c r="B35175">
        <f>TEXT(35174, "[$-0E0000]yyyy-mm-dd")</f>
        <v/>
      </c>
      <c r="C35175" t="inlineStr">
        <is>
          <t>1996-03-03</t>
        </is>
      </c>
    </row>
    <row r="35176">
      <c r="A35176" s="1" t="n">
        <v>35175</v>
      </c>
      <c r="B35176">
        <f>TEXT(35175, "[$-0E0000]yyyy-mm-dd")</f>
        <v/>
      </c>
      <c r="C35176" t="inlineStr">
        <is>
          <t>1996-03-04</t>
        </is>
      </c>
    </row>
    <row r="35177">
      <c r="A35177" s="1" t="n">
        <v>35176</v>
      </c>
      <c r="B35177">
        <f>TEXT(35176, "[$-0E0000]yyyy-mm-dd")</f>
        <v/>
      </c>
      <c r="C35177" t="inlineStr">
        <is>
          <t>1996-03-05</t>
        </is>
      </c>
    </row>
    <row r="35178">
      <c r="A35178" s="1" t="n">
        <v>35177</v>
      </c>
      <c r="B35178">
        <f>TEXT(35177, "[$-0E0000]yyyy-mm-dd")</f>
        <v/>
      </c>
      <c r="C35178" t="inlineStr">
        <is>
          <t>1996-03-06</t>
        </is>
      </c>
    </row>
    <row r="35179">
      <c r="A35179" s="1" t="n">
        <v>35178</v>
      </c>
      <c r="B35179">
        <f>TEXT(35178, "[$-0E0000]yyyy-mm-dd")</f>
        <v/>
      </c>
      <c r="C35179" t="inlineStr">
        <is>
          <t>1996-03-07</t>
        </is>
      </c>
    </row>
    <row r="35180">
      <c r="A35180" s="1" t="n">
        <v>35179</v>
      </c>
      <c r="B35180">
        <f>TEXT(35179, "[$-0E0000]yyyy-mm-dd")</f>
        <v/>
      </c>
      <c r="C35180" t="inlineStr">
        <is>
          <t>1996-03-08</t>
        </is>
      </c>
    </row>
    <row r="35181">
      <c r="A35181" s="1" t="n">
        <v>35180</v>
      </c>
      <c r="B35181">
        <f>TEXT(35180, "[$-0E0000]yyyy-mm-dd")</f>
        <v/>
      </c>
      <c r="C35181" t="inlineStr">
        <is>
          <t>1996-03-09</t>
        </is>
      </c>
    </row>
    <row r="35182">
      <c r="A35182" s="1" t="n">
        <v>35181</v>
      </c>
      <c r="B35182">
        <f>TEXT(35181, "[$-0E0000]yyyy-mm-dd")</f>
        <v/>
      </c>
      <c r="C35182" t="inlineStr">
        <is>
          <t>1996-03-10</t>
        </is>
      </c>
    </row>
    <row r="35183">
      <c r="A35183" s="1" t="n">
        <v>35182</v>
      </c>
      <c r="B35183">
        <f>TEXT(35182, "[$-0E0000]yyyy-mm-dd")</f>
        <v/>
      </c>
      <c r="C35183" t="inlineStr">
        <is>
          <t>1996-03-11</t>
        </is>
      </c>
    </row>
    <row r="35184">
      <c r="A35184" s="1" t="n">
        <v>35183</v>
      </c>
      <c r="B35184">
        <f>TEXT(35183, "[$-0E0000]yyyy-mm-dd")</f>
        <v/>
      </c>
      <c r="C35184" t="inlineStr">
        <is>
          <t>1996-03-12</t>
        </is>
      </c>
    </row>
    <row r="35185">
      <c r="A35185" s="1" t="n">
        <v>35184</v>
      </c>
      <c r="B35185">
        <f>TEXT(35184, "[$-0E0000]yyyy-mm-dd")</f>
        <v/>
      </c>
      <c r="C35185" t="inlineStr">
        <is>
          <t>1996-03-13</t>
        </is>
      </c>
    </row>
    <row r="35186">
      <c r="A35186" s="1" t="n">
        <v>35185</v>
      </c>
      <c r="B35186">
        <f>TEXT(35185, "[$-0E0000]yyyy-mm-dd")</f>
        <v/>
      </c>
      <c r="C35186" t="inlineStr">
        <is>
          <t>1996-03-14</t>
        </is>
      </c>
    </row>
    <row r="35187">
      <c r="A35187" s="1" t="n">
        <v>35186</v>
      </c>
      <c r="B35187">
        <f>TEXT(35186, "[$-0E0000]yyyy-mm-dd")</f>
        <v/>
      </c>
      <c r="C35187" t="inlineStr">
        <is>
          <t>1996-03-15</t>
        </is>
      </c>
    </row>
    <row r="35188">
      <c r="A35188" s="1" t="n">
        <v>35187</v>
      </c>
      <c r="B35188">
        <f>TEXT(35187, "[$-0E0000]yyyy-mm-dd")</f>
        <v/>
      </c>
      <c r="C35188" t="inlineStr">
        <is>
          <t>1996-03-16</t>
        </is>
      </c>
    </row>
    <row r="35189">
      <c r="A35189" s="1" t="n">
        <v>35188</v>
      </c>
      <c r="B35189">
        <f>TEXT(35188, "[$-0E0000]yyyy-mm-dd")</f>
        <v/>
      </c>
      <c r="C35189" t="inlineStr">
        <is>
          <t>1996-03-17</t>
        </is>
      </c>
    </row>
    <row r="35190">
      <c r="A35190" s="1" t="n">
        <v>35189</v>
      </c>
      <c r="B35190">
        <f>TEXT(35189, "[$-0E0000]yyyy-mm-dd")</f>
        <v/>
      </c>
      <c r="C35190" t="inlineStr">
        <is>
          <t>1996-03-18</t>
        </is>
      </c>
    </row>
    <row r="35191">
      <c r="A35191" s="1" t="n">
        <v>35190</v>
      </c>
      <c r="B35191">
        <f>TEXT(35190, "[$-0E0000]yyyy-mm-dd")</f>
        <v/>
      </c>
      <c r="C35191" t="inlineStr">
        <is>
          <t>1996-03-19</t>
        </is>
      </c>
    </row>
    <row r="35192">
      <c r="A35192" s="1" t="n">
        <v>35191</v>
      </c>
      <c r="B35192">
        <f>TEXT(35191, "[$-0E0000]yyyy-mm-dd")</f>
        <v/>
      </c>
      <c r="C35192" t="inlineStr">
        <is>
          <t>1996-03-20</t>
        </is>
      </c>
    </row>
    <row r="35193">
      <c r="A35193" s="1" t="n">
        <v>35192</v>
      </c>
      <c r="B35193">
        <f>TEXT(35192, "[$-0E0000]yyyy-mm-dd")</f>
        <v/>
      </c>
      <c r="C35193" t="inlineStr">
        <is>
          <t>1996-03-21</t>
        </is>
      </c>
    </row>
    <row r="35194">
      <c r="A35194" s="1" t="n">
        <v>35193</v>
      </c>
      <c r="B35194">
        <f>TEXT(35193, "[$-0E0000]yyyy-mm-dd")</f>
        <v/>
      </c>
      <c r="C35194" t="inlineStr">
        <is>
          <t>1996-03-22</t>
        </is>
      </c>
    </row>
    <row r="35195">
      <c r="A35195" s="1" t="n">
        <v>35194</v>
      </c>
      <c r="B35195">
        <f>TEXT(35194, "[$-0E0000]yyyy-mm-dd")</f>
        <v/>
      </c>
      <c r="C35195" t="inlineStr">
        <is>
          <t>1996-03-23</t>
        </is>
      </c>
    </row>
    <row r="35196">
      <c r="A35196" s="1" t="n">
        <v>35195</v>
      </c>
      <c r="B35196">
        <f>TEXT(35195, "[$-0E0000]yyyy-mm-dd")</f>
        <v/>
      </c>
      <c r="C35196" t="inlineStr">
        <is>
          <t>1996-03-24</t>
        </is>
      </c>
    </row>
    <row r="35197">
      <c r="A35197" s="1" t="n">
        <v>35196</v>
      </c>
      <c r="B35197">
        <f>TEXT(35196, "[$-0E0000]yyyy-mm-dd")</f>
        <v/>
      </c>
      <c r="C35197" t="inlineStr">
        <is>
          <t>1996-03-25</t>
        </is>
      </c>
    </row>
    <row r="35198">
      <c r="A35198" s="1" t="n">
        <v>35197</v>
      </c>
      <c r="B35198">
        <f>TEXT(35197, "[$-0E0000]yyyy-mm-dd")</f>
        <v/>
      </c>
      <c r="C35198" t="inlineStr">
        <is>
          <t>1996-03-26</t>
        </is>
      </c>
    </row>
    <row r="35199">
      <c r="A35199" s="1" t="n">
        <v>35198</v>
      </c>
      <c r="B35199">
        <f>TEXT(35198, "[$-0E0000]yyyy-mm-dd")</f>
        <v/>
      </c>
      <c r="C35199" t="inlineStr">
        <is>
          <t>1996-03-27</t>
        </is>
      </c>
    </row>
    <row r="35200">
      <c r="A35200" s="1" t="n">
        <v>35199</v>
      </c>
      <c r="B35200">
        <f>TEXT(35199, "[$-0E0000]yyyy-mm-dd")</f>
        <v/>
      </c>
      <c r="C35200" t="inlineStr">
        <is>
          <t>1996-03-28</t>
        </is>
      </c>
    </row>
    <row r="35201">
      <c r="A35201" s="1" t="n">
        <v>35200</v>
      </c>
      <c r="B35201">
        <f>TEXT(35200, "[$-0E0000]yyyy-mm-dd")</f>
        <v/>
      </c>
      <c r="C35201" t="inlineStr">
        <is>
          <t>1996-03-29</t>
        </is>
      </c>
    </row>
    <row r="35202">
      <c r="A35202" s="1" t="n">
        <v>35201</v>
      </c>
      <c r="B35202">
        <f>TEXT(35201, "[$-0E0000]yyyy-mm-dd")</f>
        <v/>
      </c>
      <c r="C35202" t="inlineStr">
        <is>
          <t>1996-04-01</t>
        </is>
      </c>
    </row>
    <row r="35203">
      <c r="A35203" s="1" t="n">
        <v>35202</v>
      </c>
      <c r="B35203">
        <f>TEXT(35202, "[$-0E0000]yyyy-mm-dd")</f>
        <v/>
      </c>
      <c r="C35203" t="inlineStr">
        <is>
          <t>1996-04-02</t>
        </is>
      </c>
    </row>
    <row r="35204">
      <c r="A35204" s="1" t="n">
        <v>35203</v>
      </c>
      <c r="B35204">
        <f>TEXT(35203, "[$-0E0000]yyyy-mm-dd")</f>
        <v/>
      </c>
      <c r="C35204" t="inlineStr">
        <is>
          <t>1996-04-03</t>
        </is>
      </c>
    </row>
    <row r="35205">
      <c r="A35205" s="1" t="n">
        <v>35204</v>
      </c>
      <c r="B35205">
        <f>TEXT(35204, "[$-0E0000]yyyy-mm-dd")</f>
        <v/>
      </c>
      <c r="C35205" t="inlineStr">
        <is>
          <t>1996-04-04</t>
        </is>
      </c>
    </row>
    <row r="35206">
      <c r="A35206" s="1" t="n">
        <v>35205</v>
      </c>
      <c r="B35206">
        <f>TEXT(35205, "[$-0E0000]yyyy-mm-dd")</f>
        <v/>
      </c>
      <c r="C35206" t="inlineStr">
        <is>
          <t>1996-04-05</t>
        </is>
      </c>
    </row>
    <row r="35207">
      <c r="A35207" s="1" t="n">
        <v>35206</v>
      </c>
      <c r="B35207">
        <f>TEXT(35206, "[$-0E0000]yyyy-mm-dd")</f>
        <v/>
      </c>
      <c r="C35207" t="inlineStr">
        <is>
          <t>1996-04-06</t>
        </is>
      </c>
    </row>
    <row r="35208">
      <c r="A35208" s="1" t="n">
        <v>35207</v>
      </c>
      <c r="B35208">
        <f>TEXT(35207, "[$-0E0000]yyyy-mm-dd")</f>
        <v/>
      </c>
      <c r="C35208" t="inlineStr">
        <is>
          <t>1996-04-07</t>
        </is>
      </c>
    </row>
    <row r="35209">
      <c r="A35209" s="1" t="n">
        <v>35208</v>
      </c>
      <c r="B35209">
        <f>TEXT(35208, "[$-0E0000]yyyy-mm-dd")</f>
        <v/>
      </c>
      <c r="C35209" t="inlineStr">
        <is>
          <t>1996-04-08</t>
        </is>
      </c>
    </row>
    <row r="35210">
      <c r="A35210" s="1" t="n">
        <v>35209</v>
      </c>
      <c r="B35210">
        <f>TEXT(35209, "[$-0E0000]yyyy-mm-dd")</f>
        <v/>
      </c>
      <c r="C35210" t="inlineStr">
        <is>
          <t>1996-04-09</t>
        </is>
      </c>
    </row>
    <row r="35211">
      <c r="A35211" s="1" t="n">
        <v>35210</v>
      </c>
      <c r="B35211">
        <f>TEXT(35210, "[$-0E0000]yyyy-mm-dd")</f>
        <v/>
      </c>
      <c r="C35211" t="inlineStr">
        <is>
          <t>1996-04-10</t>
        </is>
      </c>
    </row>
    <row r="35212">
      <c r="A35212" s="1" t="n">
        <v>35211</v>
      </c>
      <c r="B35212">
        <f>TEXT(35211, "[$-0E0000]yyyy-mm-dd")</f>
        <v/>
      </c>
      <c r="C35212" t="inlineStr">
        <is>
          <t>1996-04-11</t>
        </is>
      </c>
    </row>
    <row r="35213">
      <c r="A35213" s="1" t="n">
        <v>35212</v>
      </c>
      <c r="B35213">
        <f>TEXT(35212, "[$-0E0000]yyyy-mm-dd")</f>
        <v/>
      </c>
      <c r="C35213" t="inlineStr">
        <is>
          <t>1996-04-12</t>
        </is>
      </c>
    </row>
    <row r="35214">
      <c r="A35214" s="1" t="n">
        <v>35213</v>
      </c>
      <c r="B35214">
        <f>TEXT(35213, "[$-0E0000]yyyy-mm-dd")</f>
        <v/>
      </c>
      <c r="C35214" t="inlineStr">
        <is>
          <t>1996-04-13</t>
        </is>
      </c>
    </row>
    <row r="35215">
      <c r="A35215" s="1" t="n">
        <v>35214</v>
      </c>
      <c r="B35215">
        <f>TEXT(35214, "[$-0E0000]yyyy-mm-dd")</f>
        <v/>
      </c>
      <c r="C35215" t="inlineStr">
        <is>
          <t>1996-04-14</t>
        </is>
      </c>
    </row>
    <row r="35216">
      <c r="A35216" s="1" t="n">
        <v>35215</v>
      </c>
      <c r="B35216">
        <f>TEXT(35215, "[$-0E0000]yyyy-mm-dd")</f>
        <v/>
      </c>
      <c r="C35216" t="inlineStr">
        <is>
          <t>1996-04-15</t>
        </is>
      </c>
    </row>
    <row r="35217">
      <c r="A35217" s="1" t="n">
        <v>35216</v>
      </c>
      <c r="B35217">
        <f>TEXT(35216, "[$-0E0000]yyyy-mm-dd")</f>
        <v/>
      </c>
      <c r="C35217" t="inlineStr">
        <is>
          <t>1996-04-16</t>
        </is>
      </c>
    </row>
    <row r="35218">
      <c r="A35218" s="1" t="n">
        <v>35217</v>
      </c>
      <c r="B35218">
        <f>TEXT(35217, "[$-0E0000]yyyy-mm-dd")</f>
        <v/>
      </c>
      <c r="C35218" t="inlineStr">
        <is>
          <t>1996-04-17</t>
        </is>
      </c>
    </row>
    <row r="35219">
      <c r="A35219" s="1" t="n">
        <v>35218</v>
      </c>
      <c r="B35219">
        <f>TEXT(35218, "[$-0E0000]yyyy-mm-dd")</f>
        <v/>
      </c>
      <c r="C35219" t="inlineStr">
        <is>
          <t>1996-04-18</t>
        </is>
      </c>
    </row>
    <row r="35220">
      <c r="A35220" s="1" t="n">
        <v>35219</v>
      </c>
      <c r="B35220">
        <f>TEXT(35219, "[$-0E0000]yyyy-mm-dd")</f>
        <v/>
      </c>
      <c r="C35220" t="inlineStr">
        <is>
          <t>1996-04-19</t>
        </is>
      </c>
    </row>
    <row r="35221">
      <c r="A35221" s="1" t="n">
        <v>35220</v>
      </c>
      <c r="B35221">
        <f>TEXT(35220, "[$-0E0000]yyyy-mm-dd")</f>
        <v/>
      </c>
      <c r="C35221" t="inlineStr">
        <is>
          <t>1996-04-20</t>
        </is>
      </c>
    </row>
    <row r="35222">
      <c r="A35222" s="1" t="n">
        <v>35221</v>
      </c>
      <c r="B35222">
        <f>TEXT(35221, "[$-0E0000]yyyy-mm-dd")</f>
        <v/>
      </c>
      <c r="C35222" t="inlineStr">
        <is>
          <t>1996-04-21</t>
        </is>
      </c>
    </row>
    <row r="35223">
      <c r="A35223" s="1" t="n">
        <v>35222</v>
      </c>
      <c r="B35223">
        <f>TEXT(35222, "[$-0E0000]yyyy-mm-dd")</f>
        <v/>
      </c>
      <c r="C35223" t="inlineStr">
        <is>
          <t>1996-04-22</t>
        </is>
      </c>
    </row>
    <row r="35224">
      <c r="A35224" s="1" t="n">
        <v>35223</v>
      </c>
      <c r="B35224">
        <f>TEXT(35223, "[$-0E0000]yyyy-mm-dd")</f>
        <v/>
      </c>
      <c r="C35224" t="inlineStr">
        <is>
          <t>1996-04-23</t>
        </is>
      </c>
    </row>
    <row r="35225">
      <c r="A35225" s="1" t="n">
        <v>35224</v>
      </c>
      <c r="B35225">
        <f>TEXT(35224, "[$-0E0000]yyyy-mm-dd")</f>
        <v/>
      </c>
      <c r="C35225" t="inlineStr">
        <is>
          <t>1996-04-24</t>
        </is>
      </c>
    </row>
    <row r="35226">
      <c r="A35226" s="1" t="n">
        <v>35225</v>
      </c>
      <c r="B35226">
        <f>TEXT(35225, "[$-0E0000]yyyy-mm-dd")</f>
        <v/>
      </c>
      <c r="C35226" t="inlineStr">
        <is>
          <t>1996-04-25</t>
        </is>
      </c>
    </row>
    <row r="35227">
      <c r="A35227" s="1" t="n">
        <v>35226</v>
      </c>
      <c r="B35227">
        <f>TEXT(35226, "[$-0E0000]yyyy-mm-dd")</f>
        <v/>
      </c>
      <c r="C35227" t="inlineStr">
        <is>
          <t>1996-04-26</t>
        </is>
      </c>
    </row>
    <row r="35228">
      <c r="A35228" s="1" t="n">
        <v>35227</v>
      </c>
      <c r="B35228">
        <f>TEXT(35227, "[$-0E0000]yyyy-mm-dd")</f>
        <v/>
      </c>
      <c r="C35228" t="inlineStr">
        <is>
          <t>1996-04-27</t>
        </is>
      </c>
    </row>
    <row r="35229">
      <c r="A35229" s="1" t="n">
        <v>35228</v>
      </c>
      <c r="B35229">
        <f>TEXT(35228, "[$-0E0000]yyyy-mm-dd")</f>
        <v/>
      </c>
      <c r="C35229" t="inlineStr">
        <is>
          <t>1996-04-28</t>
        </is>
      </c>
    </row>
    <row r="35230">
      <c r="A35230" s="1" t="n">
        <v>35229</v>
      </c>
      <c r="B35230">
        <f>TEXT(35229, "[$-0E0000]yyyy-mm-dd")</f>
        <v/>
      </c>
      <c r="C35230" t="inlineStr">
        <is>
          <t>1996-04-29</t>
        </is>
      </c>
    </row>
    <row r="35231">
      <c r="A35231" s="1" t="n">
        <v>35230</v>
      </c>
      <c r="B35231">
        <f>TEXT(35230, "[$-0E0000]yyyy-mm-dd")</f>
        <v/>
      </c>
      <c r="C35231" t="inlineStr">
        <is>
          <t>1996-04-30</t>
        </is>
      </c>
    </row>
    <row r="35232">
      <c r="A35232" s="1" t="n">
        <v>35231</v>
      </c>
      <c r="B35232">
        <f>TEXT(35231, "[$-0E0000]yyyy-mm-dd")</f>
        <v/>
      </c>
      <c r="C35232" t="inlineStr">
        <is>
          <t>1996-05-01</t>
        </is>
      </c>
    </row>
    <row r="35233">
      <c r="A35233" s="1" t="n">
        <v>35232</v>
      </c>
      <c r="B35233">
        <f>TEXT(35232, "[$-0E0000]yyyy-mm-dd")</f>
        <v/>
      </c>
      <c r="C35233" t="inlineStr">
        <is>
          <t>1996-05-02</t>
        </is>
      </c>
    </row>
    <row r="35234">
      <c r="A35234" s="1" t="n">
        <v>35233</v>
      </c>
      <c r="B35234">
        <f>TEXT(35233, "[$-0E0000]yyyy-mm-dd")</f>
        <v/>
      </c>
      <c r="C35234" t="inlineStr">
        <is>
          <t>1996-05-03</t>
        </is>
      </c>
    </row>
    <row r="35235">
      <c r="A35235" s="1" t="n">
        <v>35234</v>
      </c>
      <c r="B35235">
        <f>TEXT(35234, "[$-0E0000]yyyy-mm-dd")</f>
        <v/>
      </c>
      <c r="C35235" t="inlineStr">
        <is>
          <t>1996-05-04</t>
        </is>
      </c>
    </row>
    <row r="35236">
      <c r="A35236" s="1" t="n">
        <v>35235</v>
      </c>
      <c r="B35236">
        <f>TEXT(35235, "[$-0E0000]yyyy-mm-dd")</f>
        <v/>
      </c>
      <c r="C35236" t="inlineStr">
        <is>
          <t>1996-05-05</t>
        </is>
      </c>
    </row>
    <row r="35237">
      <c r="A35237" s="1" t="n">
        <v>35236</v>
      </c>
      <c r="B35237">
        <f>TEXT(35236, "[$-0E0000]yyyy-mm-dd")</f>
        <v/>
      </c>
      <c r="C35237" t="inlineStr">
        <is>
          <t>1996-05-06</t>
        </is>
      </c>
    </row>
    <row r="35238">
      <c r="A35238" s="1" t="n">
        <v>35237</v>
      </c>
      <c r="B35238">
        <f>TEXT(35237, "[$-0E0000]yyyy-mm-dd")</f>
        <v/>
      </c>
      <c r="C35238" t="inlineStr">
        <is>
          <t>1996-05-07</t>
        </is>
      </c>
    </row>
    <row r="35239">
      <c r="A35239" s="1" t="n">
        <v>35238</v>
      </c>
      <c r="B35239">
        <f>TEXT(35238, "[$-0E0000]yyyy-mm-dd")</f>
        <v/>
      </c>
      <c r="C35239" t="inlineStr">
        <is>
          <t>1996-05-08</t>
        </is>
      </c>
    </row>
    <row r="35240">
      <c r="A35240" s="1" t="n">
        <v>35239</v>
      </c>
      <c r="B35240">
        <f>TEXT(35239, "[$-0E0000]yyyy-mm-dd")</f>
        <v/>
      </c>
      <c r="C35240" t="inlineStr">
        <is>
          <t>1996-05-09</t>
        </is>
      </c>
    </row>
    <row r="35241">
      <c r="A35241" s="1" t="n">
        <v>35240</v>
      </c>
      <c r="B35241">
        <f>TEXT(35240, "[$-0E0000]yyyy-mm-dd")</f>
        <v/>
      </c>
      <c r="C35241" t="inlineStr">
        <is>
          <t>1996-05-10</t>
        </is>
      </c>
    </row>
    <row r="35242">
      <c r="A35242" s="1" t="n">
        <v>35241</v>
      </c>
      <c r="B35242">
        <f>TEXT(35241, "[$-0E0000]yyyy-mm-dd")</f>
        <v/>
      </c>
      <c r="C35242" t="inlineStr">
        <is>
          <t>1996-05-11</t>
        </is>
      </c>
    </row>
    <row r="35243">
      <c r="A35243" s="1" t="n">
        <v>35242</v>
      </c>
      <c r="B35243">
        <f>TEXT(35242, "[$-0E0000]yyyy-mm-dd")</f>
        <v/>
      </c>
      <c r="C35243" t="inlineStr">
        <is>
          <t>1996-05-12</t>
        </is>
      </c>
    </row>
    <row r="35244">
      <c r="A35244" s="1" t="n">
        <v>35243</v>
      </c>
      <c r="B35244">
        <f>TEXT(35243, "[$-0E0000]yyyy-mm-dd")</f>
        <v/>
      </c>
      <c r="C35244" t="inlineStr">
        <is>
          <t>1996-05-13</t>
        </is>
      </c>
    </row>
    <row r="35245">
      <c r="A35245" s="1" t="n">
        <v>35244</v>
      </c>
      <c r="B35245">
        <f>TEXT(35244, "[$-0E0000]yyyy-mm-dd")</f>
        <v/>
      </c>
      <c r="C35245" t="inlineStr">
        <is>
          <t>1996-05-14</t>
        </is>
      </c>
    </row>
    <row r="35246">
      <c r="A35246" s="1" t="n">
        <v>35245</v>
      </c>
      <c r="B35246">
        <f>TEXT(35245, "[$-0E0000]yyyy-mm-dd")</f>
        <v/>
      </c>
      <c r="C35246" t="inlineStr">
        <is>
          <t>1996-05-15</t>
        </is>
      </c>
    </row>
    <row r="35247">
      <c r="A35247" s="1" t="n">
        <v>35246</v>
      </c>
      <c r="B35247">
        <f>TEXT(35246, "[$-0E0000]yyyy-mm-dd")</f>
        <v/>
      </c>
      <c r="C35247" t="inlineStr">
        <is>
          <t>1996-05-16</t>
        </is>
      </c>
    </row>
    <row r="35248">
      <c r="A35248" s="1" t="n">
        <v>35247</v>
      </c>
      <c r="B35248">
        <f>TEXT(35247, "[$-0E0000]yyyy-mm-dd")</f>
        <v/>
      </c>
      <c r="C35248" t="inlineStr">
        <is>
          <t>1996-05-17</t>
        </is>
      </c>
    </row>
    <row r="35249">
      <c r="A35249" s="1" t="n">
        <v>35248</v>
      </c>
      <c r="B35249">
        <f>TEXT(35248, "[$-0E0000]yyyy-mm-dd")</f>
        <v/>
      </c>
      <c r="C35249" t="inlineStr">
        <is>
          <t>1996-05-18</t>
        </is>
      </c>
    </row>
    <row r="35250">
      <c r="A35250" s="1" t="n">
        <v>35249</v>
      </c>
      <c r="B35250">
        <f>TEXT(35249, "[$-0E0000]yyyy-mm-dd")</f>
        <v/>
      </c>
      <c r="C35250" t="inlineStr">
        <is>
          <t>1996-05-19</t>
        </is>
      </c>
    </row>
    <row r="35251">
      <c r="A35251" s="1" t="n">
        <v>35250</v>
      </c>
      <c r="B35251">
        <f>TEXT(35250, "[$-0E0000]yyyy-mm-dd")</f>
        <v/>
      </c>
      <c r="C35251" t="inlineStr">
        <is>
          <t>1996-05-20</t>
        </is>
      </c>
    </row>
    <row r="35252">
      <c r="A35252" s="1" t="n">
        <v>35251</v>
      </c>
      <c r="B35252">
        <f>TEXT(35251, "[$-0E0000]yyyy-mm-dd")</f>
        <v/>
      </c>
      <c r="C35252" t="inlineStr">
        <is>
          <t>1996-05-21</t>
        </is>
      </c>
    </row>
    <row r="35253">
      <c r="A35253" s="1" t="n">
        <v>35252</v>
      </c>
      <c r="B35253">
        <f>TEXT(35252, "[$-0E0000]yyyy-mm-dd")</f>
        <v/>
      </c>
      <c r="C35253" t="inlineStr">
        <is>
          <t>1996-05-22</t>
        </is>
      </c>
    </row>
    <row r="35254">
      <c r="A35254" s="1" t="n">
        <v>35253</v>
      </c>
      <c r="B35254">
        <f>TEXT(35253, "[$-0E0000]yyyy-mm-dd")</f>
        <v/>
      </c>
      <c r="C35254" t="inlineStr">
        <is>
          <t>1996-05-23</t>
        </is>
      </c>
    </row>
    <row r="35255">
      <c r="A35255" s="1" t="n">
        <v>35254</v>
      </c>
      <c r="B35255">
        <f>TEXT(35254, "[$-0E0000]yyyy-mm-dd")</f>
        <v/>
      </c>
      <c r="C35255" t="inlineStr">
        <is>
          <t>1996-05-24</t>
        </is>
      </c>
    </row>
    <row r="35256">
      <c r="A35256" s="1" t="n">
        <v>35255</v>
      </c>
      <c r="B35256">
        <f>TEXT(35255, "[$-0E0000]yyyy-mm-dd")</f>
        <v/>
      </c>
      <c r="C35256" t="inlineStr">
        <is>
          <t>1996-05-25</t>
        </is>
      </c>
    </row>
    <row r="35257">
      <c r="A35257" s="1" t="n">
        <v>35256</v>
      </c>
      <c r="B35257">
        <f>TEXT(35256, "[$-0E0000]yyyy-mm-dd")</f>
        <v/>
      </c>
      <c r="C35257" t="inlineStr">
        <is>
          <t>1996-05-26</t>
        </is>
      </c>
    </row>
    <row r="35258">
      <c r="A35258" s="1" t="n">
        <v>35257</v>
      </c>
      <c r="B35258">
        <f>TEXT(35257, "[$-0E0000]yyyy-mm-dd")</f>
        <v/>
      </c>
      <c r="C35258" t="inlineStr">
        <is>
          <t>1996-05-27</t>
        </is>
      </c>
    </row>
    <row r="35259">
      <c r="A35259" s="1" t="n">
        <v>35258</v>
      </c>
      <c r="B35259">
        <f>TEXT(35258, "[$-0E0000]yyyy-mm-dd")</f>
        <v/>
      </c>
      <c r="C35259" t="inlineStr">
        <is>
          <t>1996-05-28</t>
        </is>
      </c>
    </row>
    <row r="35260">
      <c r="A35260" s="1" t="n">
        <v>35259</v>
      </c>
      <c r="B35260">
        <f>TEXT(35259, "[$-0E0000]yyyy-mm-dd")</f>
        <v/>
      </c>
      <c r="C35260" t="inlineStr">
        <is>
          <t>1996-05-29</t>
        </is>
      </c>
    </row>
    <row r="35261">
      <c r="A35261" s="1" t="n">
        <v>35260</v>
      </c>
      <c r="B35261">
        <f>TEXT(35260, "[$-0E0000]yyyy-mm-dd")</f>
        <v/>
      </c>
      <c r="C35261" t="inlineStr">
        <is>
          <t>1996-05-30</t>
        </is>
      </c>
    </row>
    <row r="35262">
      <c r="A35262" s="1" t="n">
        <v>35261</v>
      </c>
      <c r="B35262">
        <f>TEXT(35261, "[$-0E0000]yyyy-mm-dd")</f>
        <v/>
      </c>
      <c r="C35262" t="inlineStr">
        <is>
          <t>1996-06-01</t>
        </is>
      </c>
    </row>
    <row r="35263">
      <c r="A35263" s="1" t="n">
        <v>35262</v>
      </c>
      <c r="B35263">
        <f>TEXT(35262, "[$-0E0000]yyyy-mm-dd")</f>
        <v/>
      </c>
      <c r="C35263" t="inlineStr">
        <is>
          <t>1996-06-02</t>
        </is>
      </c>
    </row>
    <row r="35264">
      <c r="A35264" s="1" t="n">
        <v>35263</v>
      </c>
      <c r="B35264">
        <f>TEXT(35263, "[$-0E0000]yyyy-mm-dd")</f>
        <v/>
      </c>
      <c r="C35264" t="inlineStr">
        <is>
          <t>1996-06-03</t>
        </is>
      </c>
    </row>
    <row r="35265">
      <c r="A35265" s="1" t="n">
        <v>35264</v>
      </c>
      <c r="B35265">
        <f>TEXT(35264, "[$-0E0000]yyyy-mm-dd")</f>
        <v/>
      </c>
      <c r="C35265" t="inlineStr">
        <is>
          <t>1996-06-04</t>
        </is>
      </c>
    </row>
    <row r="35266">
      <c r="A35266" s="1" t="n">
        <v>35265</v>
      </c>
      <c r="B35266">
        <f>TEXT(35265, "[$-0E0000]yyyy-mm-dd")</f>
        <v/>
      </c>
      <c r="C35266" t="inlineStr">
        <is>
          <t>1996-06-05</t>
        </is>
      </c>
    </row>
    <row r="35267">
      <c r="A35267" s="1" t="n">
        <v>35266</v>
      </c>
      <c r="B35267">
        <f>TEXT(35266, "[$-0E0000]yyyy-mm-dd")</f>
        <v/>
      </c>
      <c r="C35267" t="inlineStr">
        <is>
          <t>1996-06-06</t>
        </is>
      </c>
    </row>
    <row r="35268">
      <c r="A35268" s="1" t="n">
        <v>35267</v>
      </c>
      <c r="B35268">
        <f>TEXT(35267, "[$-0E0000]yyyy-mm-dd")</f>
        <v/>
      </c>
      <c r="C35268" t="inlineStr">
        <is>
          <t>1996-06-07</t>
        </is>
      </c>
    </row>
    <row r="35269">
      <c r="A35269" s="1" t="n">
        <v>35268</v>
      </c>
      <c r="B35269">
        <f>TEXT(35268, "[$-0E0000]yyyy-mm-dd")</f>
        <v/>
      </c>
      <c r="C35269" t="inlineStr">
        <is>
          <t>1996-06-08</t>
        </is>
      </c>
    </row>
    <row r="35270">
      <c r="A35270" s="1" t="n">
        <v>35269</v>
      </c>
      <c r="B35270">
        <f>TEXT(35269, "[$-0E0000]yyyy-mm-dd")</f>
        <v/>
      </c>
      <c r="C35270" t="inlineStr">
        <is>
          <t>1996-06-09</t>
        </is>
      </c>
    </row>
    <row r="35271">
      <c r="A35271" s="1" t="n">
        <v>35270</v>
      </c>
      <c r="B35271">
        <f>TEXT(35270, "[$-0E0000]yyyy-mm-dd")</f>
        <v/>
      </c>
      <c r="C35271" t="inlineStr">
        <is>
          <t>1996-06-10</t>
        </is>
      </c>
    </row>
    <row r="35272">
      <c r="A35272" s="1" t="n">
        <v>35271</v>
      </c>
      <c r="B35272">
        <f>TEXT(35271, "[$-0E0000]yyyy-mm-dd")</f>
        <v/>
      </c>
      <c r="C35272" t="inlineStr">
        <is>
          <t>1996-06-11</t>
        </is>
      </c>
    </row>
    <row r="35273">
      <c r="A35273" s="1" t="n">
        <v>35272</v>
      </c>
      <c r="B35273">
        <f>TEXT(35272, "[$-0E0000]yyyy-mm-dd")</f>
        <v/>
      </c>
      <c r="C35273" t="inlineStr">
        <is>
          <t>1996-06-12</t>
        </is>
      </c>
    </row>
    <row r="35274">
      <c r="A35274" s="1" t="n">
        <v>35273</v>
      </c>
      <c r="B35274">
        <f>TEXT(35273, "[$-0E0000]yyyy-mm-dd")</f>
        <v/>
      </c>
      <c r="C35274" t="inlineStr">
        <is>
          <t>1996-06-13</t>
        </is>
      </c>
    </row>
    <row r="35275">
      <c r="A35275" s="1" t="n">
        <v>35274</v>
      </c>
      <c r="B35275">
        <f>TEXT(35274, "[$-0E0000]yyyy-mm-dd")</f>
        <v/>
      </c>
      <c r="C35275" t="inlineStr">
        <is>
          <t>1996-06-14</t>
        </is>
      </c>
    </row>
    <row r="35276">
      <c r="A35276" s="1" t="n">
        <v>35275</v>
      </c>
      <c r="B35276">
        <f>TEXT(35275, "[$-0E0000]yyyy-mm-dd")</f>
        <v/>
      </c>
      <c r="C35276" t="inlineStr">
        <is>
          <t>1996-06-15</t>
        </is>
      </c>
    </row>
    <row r="35277">
      <c r="A35277" s="1" t="n">
        <v>35276</v>
      </c>
      <c r="B35277">
        <f>TEXT(35276, "[$-0E0000]yyyy-mm-dd")</f>
        <v/>
      </c>
      <c r="C35277" t="inlineStr">
        <is>
          <t>1996-06-16</t>
        </is>
      </c>
    </row>
    <row r="35278">
      <c r="A35278" s="1" t="n">
        <v>35277</v>
      </c>
      <c r="B35278">
        <f>TEXT(35277, "[$-0E0000]yyyy-mm-dd")</f>
        <v/>
      </c>
      <c r="C35278" t="inlineStr">
        <is>
          <t>1996-06-17</t>
        </is>
      </c>
    </row>
    <row r="35279">
      <c r="A35279" s="1" t="n">
        <v>35278</v>
      </c>
      <c r="B35279">
        <f>TEXT(35278, "[$-0E0000]yyyy-mm-dd")</f>
        <v/>
      </c>
      <c r="C35279" t="inlineStr">
        <is>
          <t>1996-06-18</t>
        </is>
      </c>
    </row>
    <row r="35280">
      <c r="A35280" s="1" t="n">
        <v>35279</v>
      </c>
      <c r="B35280">
        <f>TEXT(35279, "[$-0E0000]yyyy-mm-dd")</f>
        <v/>
      </c>
      <c r="C35280" t="inlineStr">
        <is>
          <t>1996-06-19</t>
        </is>
      </c>
    </row>
    <row r="35281">
      <c r="A35281" s="1" t="n">
        <v>35280</v>
      </c>
      <c r="B35281">
        <f>TEXT(35280, "[$-0E0000]yyyy-mm-dd")</f>
        <v/>
      </c>
      <c r="C35281" t="inlineStr">
        <is>
          <t>1996-06-20</t>
        </is>
      </c>
    </row>
    <row r="35282">
      <c r="A35282" s="1" t="n">
        <v>35281</v>
      </c>
      <c r="B35282">
        <f>TEXT(35281, "[$-0E0000]yyyy-mm-dd")</f>
        <v/>
      </c>
      <c r="C35282" t="inlineStr">
        <is>
          <t>1996-06-21</t>
        </is>
      </c>
    </row>
    <row r="35283">
      <c r="A35283" s="1" t="n">
        <v>35282</v>
      </c>
      <c r="B35283">
        <f>TEXT(35282, "[$-0E0000]yyyy-mm-dd")</f>
        <v/>
      </c>
      <c r="C35283" t="inlineStr">
        <is>
          <t>1996-06-22</t>
        </is>
      </c>
    </row>
    <row r="35284">
      <c r="A35284" s="1" t="n">
        <v>35283</v>
      </c>
      <c r="B35284">
        <f>TEXT(35283, "[$-0E0000]yyyy-mm-dd")</f>
        <v/>
      </c>
      <c r="C35284" t="inlineStr">
        <is>
          <t>1996-06-23</t>
        </is>
      </c>
    </row>
    <row r="35285">
      <c r="A35285" s="1" t="n">
        <v>35284</v>
      </c>
      <c r="B35285">
        <f>TEXT(35284, "[$-0E0000]yyyy-mm-dd")</f>
        <v/>
      </c>
      <c r="C35285" t="inlineStr">
        <is>
          <t>1996-06-24</t>
        </is>
      </c>
    </row>
    <row r="35286">
      <c r="A35286" s="1" t="n">
        <v>35285</v>
      </c>
      <c r="B35286">
        <f>TEXT(35285, "[$-0E0000]yyyy-mm-dd")</f>
        <v/>
      </c>
      <c r="C35286" t="inlineStr">
        <is>
          <t>1996-06-25</t>
        </is>
      </c>
    </row>
    <row r="35287">
      <c r="A35287" s="1" t="n">
        <v>35286</v>
      </c>
      <c r="B35287">
        <f>TEXT(35286, "[$-0E0000]yyyy-mm-dd")</f>
        <v/>
      </c>
      <c r="C35287" t="inlineStr">
        <is>
          <t>1996-06-26</t>
        </is>
      </c>
    </row>
    <row r="35288">
      <c r="A35288" s="1" t="n">
        <v>35287</v>
      </c>
      <c r="B35288">
        <f>TEXT(35287, "[$-0E0000]yyyy-mm-dd")</f>
        <v/>
      </c>
      <c r="C35288" t="inlineStr">
        <is>
          <t>1996-06-27</t>
        </is>
      </c>
    </row>
    <row r="35289">
      <c r="A35289" s="1" t="n">
        <v>35288</v>
      </c>
      <c r="B35289">
        <f>TEXT(35288, "[$-0E0000]yyyy-mm-dd")</f>
        <v/>
      </c>
      <c r="C35289" t="inlineStr">
        <is>
          <t>1996-06-28</t>
        </is>
      </c>
    </row>
    <row r="35290">
      <c r="A35290" s="1" t="n">
        <v>35289</v>
      </c>
      <c r="B35290">
        <f>TEXT(35289, "[$-0E0000]yyyy-mm-dd")</f>
        <v/>
      </c>
      <c r="C35290" t="inlineStr">
        <is>
          <t>1996-06-29</t>
        </is>
      </c>
    </row>
    <row r="35291">
      <c r="A35291" s="1" t="n">
        <v>35290</v>
      </c>
      <c r="B35291">
        <f>TEXT(35290, "[$-0E0000]yyyy-mm-dd")</f>
        <v/>
      </c>
      <c r="C35291" t="inlineStr">
        <is>
          <t>1996-07-01</t>
        </is>
      </c>
    </row>
    <row r="35292">
      <c r="A35292" s="1" t="n">
        <v>35291</v>
      </c>
      <c r="B35292">
        <f>TEXT(35291, "[$-0E0000]yyyy-mm-dd")</f>
        <v/>
      </c>
      <c r="C35292" t="inlineStr">
        <is>
          <t>1996-07-02</t>
        </is>
      </c>
    </row>
    <row r="35293">
      <c r="A35293" s="1" t="n">
        <v>35292</v>
      </c>
      <c r="B35293">
        <f>TEXT(35292, "[$-0E0000]yyyy-mm-dd")</f>
        <v/>
      </c>
      <c r="C35293" t="inlineStr">
        <is>
          <t>1996-07-03</t>
        </is>
      </c>
    </row>
    <row r="35294">
      <c r="A35294" s="1" t="n">
        <v>35293</v>
      </c>
      <c r="B35294">
        <f>TEXT(35293, "[$-0E0000]yyyy-mm-dd")</f>
        <v/>
      </c>
      <c r="C35294" t="inlineStr">
        <is>
          <t>1996-07-04</t>
        </is>
      </c>
    </row>
    <row r="35295">
      <c r="A35295" s="1" t="n">
        <v>35294</v>
      </c>
      <c r="B35295">
        <f>TEXT(35294, "[$-0E0000]yyyy-mm-dd")</f>
        <v/>
      </c>
      <c r="C35295" t="inlineStr">
        <is>
          <t>1996-07-05</t>
        </is>
      </c>
    </row>
    <row r="35296">
      <c r="A35296" s="1" t="n">
        <v>35295</v>
      </c>
      <c r="B35296">
        <f>TEXT(35295, "[$-0E0000]yyyy-mm-dd")</f>
        <v/>
      </c>
      <c r="C35296" t="inlineStr">
        <is>
          <t>1996-07-06</t>
        </is>
      </c>
    </row>
    <row r="35297">
      <c r="A35297" s="1" t="n">
        <v>35296</v>
      </c>
      <c r="B35297">
        <f>TEXT(35296, "[$-0E0000]yyyy-mm-dd")</f>
        <v/>
      </c>
      <c r="C35297" t="inlineStr">
        <is>
          <t>1996-07-07</t>
        </is>
      </c>
    </row>
    <row r="35298">
      <c r="A35298" s="1" t="n">
        <v>35297</v>
      </c>
      <c r="B35298">
        <f>TEXT(35297, "[$-0E0000]yyyy-mm-dd")</f>
        <v/>
      </c>
      <c r="C35298" t="inlineStr">
        <is>
          <t>1996-07-08</t>
        </is>
      </c>
    </row>
    <row r="35299">
      <c r="A35299" s="1" t="n">
        <v>35298</v>
      </c>
      <c r="B35299">
        <f>TEXT(35298, "[$-0E0000]yyyy-mm-dd")</f>
        <v/>
      </c>
      <c r="C35299" t="inlineStr">
        <is>
          <t>1996-07-09</t>
        </is>
      </c>
    </row>
    <row r="35300">
      <c r="A35300" s="1" t="n">
        <v>35299</v>
      </c>
      <c r="B35300">
        <f>TEXT(35299, "[$-0E0000]yyyy-mm-dd")</f>
        <v/>
      </c>
      <c r="C35300" t="inlineStr">
        <is>
          <t>1996-07-10</t>
        </is>
      </c>
    </row>
    <row r="35301">
      <c r="A35301" s="1" t="n">
        <v>35300</v>
      </c>
      <c r="B35301">
        <f>TEXT(35300, "[$-0E0000]yyyy-mm-dd")</f>
        <v/>
      </c>
      <c r="C35301" t="inlineStr">
        <is>
          <t>1996-07-11</t>
        </is>
      </c>
    </row>
    <row r="35302">
      <c r="A35302" s="1" t="n">
        <v>35301</v>
      </c>
      <c r="B35302">
        <f>TEXT(35301, "[$-0E0000]yyyy-mm-dd")</f>
        <v/>
      </c>
      <c r="C35302" t="inlineStr">
        <is>
          <t>1996-07-12</t>
        </is>
      </c>
    </row>
    <row r="35303">
      <c r="A35303" s="1" t="n">
        <v>35302</v>
      </c>
      <c r="B35303">
        <f>TEXT(35302, "[$-0E0000]yyyy-mm-dd")</f>
        <v/>
      </c>
      <c r="C35303" t="inlineStr">
        <is>
          <t>1996-07-13</t>
        </is>
      </c>
    </row>
    <row r="35304">
      <c r="A35304" s="1" t="n">
        <v>35303</v>
      </c>
      <c r="B35304">
        <f>TEXT(35303, "[$-0E0000]yyyy-mm-dd")</f>
        <v/>
      </c>
      <c r="C35304" t="inlineStr">
        <is>
          <t>1996-07-14</t>
        </is>
      </c>
    </row>
    <row r="35305">
      <c r="A35305" s="1" t="n">
        <v>35304</v>
      </c>
      <c r="B35305">
        <f>TEXT(35304, "[$-0E0000]yyyy-mm-dd")</f>
        <v/>
      </c>
      <c r="C35305" t="inlineStr">
        <is>
          <t>1996-07-15</t>
        </is>
      </c>
    </row>
    <row r="35306">
      <c r="A35306" s="1" t="n">
        <v>35305</v>
      </c>
      <c r="B35306">
        <f>TEXT(35305, "[$-0E0000]yyyy-mm-dd")</f>
        <v/>
      </c>
      <c r="C35306" t="inlineStr">
        <is>
          <t>1996-07-16</t>
        </is>
      </c>
    </row>
    <row r="35307">
      <c r="A35307" s="1" t="n">
        <v>35306</v>
      </c>
      <c r="B35307">
        <f>TEXT(35306, "[$-0E0000]yyyy-mm-dd")</f>
        <v/>
      </c>
      <c r="C35307" t="inlineStr">
        <is>
          <t>1996-07-17</t>
        </is>
      </c>
    </row>
    <row r="35308">
      <c r="A35308" s="1" t="n">
        <v>35307</v>
      </c>
      <c r="B35308">
        <f>TEXT(35307, "[$-0E0000]yyyy-mm-dd")</f>
        <v/>
      </c>
      <c r="C35308" t="inlineStr">
        <is>
          <t>1996-07-18</t>
        </is>
      </c>
    </row>
    <row r="35309">
      <c r="A35309" s="1" t="n">
        <v>35308</v>
      </c>
      <c r="B35309">
        <f>TEXT(35308, "[$-0E0000]yyyy-mm-dd")</f>
        <v/>
      </c>
      <c r="C35309" t="inlineStr">
        <is>
          <t>1996-07-19</t>
        </is>
      </c>
    </row>
    <row r="35310">
      <c r="A35310" s="1" t="n">
        <v>35309</v>
      </c>
      <c r="B35310">
        <f>TEXT(35309, "[$-0E0000]yyyy-mm-dd")</f>
        <v/>
      </c>
      <c r="C35310" t="inlineStr">
        <is>
          <t>1996-07-20</t>
        </is>
      </c>
    </row>
    <row r="35311">
      <c r="A35311" s="1" t="n">
        <v>35310</v>
      </c>
      <c r="B35311">
        <f>TEXT(35310, "[$-0E0000]yyyy-mm-dd")</f>
        <v/>
      </c>
      <c r="C35311" t="inlineStr">
        <is>
          <t>1996-07-21</t>
        </is>
      </c>
    </row>
    <row r="35312">
      <c r="A35312" s="1" t="n">
        <v>35311</v>
      </c>
      <c r="B35312">
        <f>TEXT(35311, "[$-0E0000]yyyy-mm-dd")</f>
        <v/>
      </c>
      <c r="C35312" t="inlineStr">
        <is>
          <t>1996-07-22</t>
        </is>
      </c>
    </row>
    <row r="35313">
      <c r="A35313" s="1" t="n">
        <v>35312</v>
      </c>
      <c r="B35313">
        <f>TEXT(35312, "[$-0E0000]yyyy-mm-dd")</f>
        <v/>
      </c>
      <c r="C35313" t="inlineStr">
        <is>
          <t>1996-07-23</t>
        </is>
      </c>
    </row>
    <row r="35314">
      <c r="A35314" s="1" t="n">
        <v>35313</v>
      </c>
      <c r="B35314">
        <f>TEXT(35313, "[$-0E0000]yyyy-mm-dd")</f>
        <v/>
      </c>
      <c r="C35314" t="inlineStr">
        <is>
          <t>1996-07-24</t>
        </is>
      </c>
    </row>
    <row r="35315">
      <c r="A35315" s="1" t="n">
        <v>35314</v>
      </c>
      <c r="B35315">
        <f>TEXT(35314, "[$-0E0000]yyyy-mm-dd")</f>
        <v/>
      </c>
      <c r="C35315" t="inlineStr">
        <is>
          <t>1996-07-25</t>
        </is>
      </c>
    </row>
    <row r="35316">
      <c r="A35316" s="1" t="n">
        <v>35315</v>
      </c>
      <c r="B35316">
        <f>TEXT(35315, "[$-0E0000]yyyy-mm-dd")</f>
        <v/>
      </c>
      <c r="C35316" t="inlineStr">
        <is>
          <t>1996-07-26</t>
        </is>
      </c>
    </row>
    <row r="35317">
      <c r="A35317" s="1" t="n">
        <v>35316</v>
      </c>
      <c r="B35317">
        <f>TEXT(35316, "[$-0E0000]yyyy-mm-dd")</f>
        <v/>
      </c>
      <c r="C35317" t="inlineStr">
        <is>
          <t>1996-07-27</t>
        </is>
      </c>
    </row>
    <row r="35318">
      <c r="A35318" s="1" t="n">
        <v>35317</v>
      </c>
      <c r="B35318">
        <f>TEXT(35317, "[$-0E0000]yyyy-mm-dd")</f>
        <v/>
      </c>
      <c r="C35318" t="inlineStr">
        <is>
          <t>1996-07-28</t>
        </is>
      </c>
    </row>
    <row r="35319">
      <c r="A35319" s="1" t="n">
        <v>35318</v>
      </c>
      <c r="B35319">
        <f>TEXT(35318, "[$-0E0000]yyyy-mm-dd")</f>
        <v/>
      </c>
      <c r="C35319" t="inlineStr">
        <is>
          <t>1996-07-29</t>
        </is>
      </c>
    </row>
    <row r="35320">
      <c r="A35320" s="1" t="n">
        <v>35319</v>
      </c>
      <c r="B35320">
        <f>TEXT(35319, "[$-0E0000]yyyy-mm-dd")</f>
        <v/>
      </c>
      <c r="C35320" t="inlineStr">
        <is>
          <t>1996-07-30</t>
        </is>
      </c>
    </row>
    <row r="35321">
      <c r="A35321" s="1" t="n">
        <v>35320</v>
      </c>
      <c r="B35321">
        <f>TEXT(35320, "[$-0E0000]yyyy-mm-dd")</f>
        <v/>
      </c>
      <c r="C35321" t="inlineStr">
        <is>
          <t>1996-08-01</t>
        </is>
      </c>
    </row>
    <row r="35322">
      <c r="A35322" s="1" t="n">
        <v>35321</v>
      </c>
      <c r="B35322">
        <f>TEXT(35321, "[$-0E0000]yyyy-mm-dd")</f>
        <v/>
      </c>
      <c r="C35322" t="inlineStr">
        <is>
          <t>1996-08-02</t>
        </is>
      </c>
    </row>
    <row r="35323">
      <c r="A35323" s="1" t="n">
        <v>35322</v>
      </c>
      <c r="B35323">
        <f>TEXT(35322, "[$-0E0000]yyyy-mm-dd")</f>
        <v/>
      </c>
      <c r="C35323" t="inlineStr">
        <is>
          <t>1996-08-03</t>
        </is>
      </c>
    </row>
    <row r="35324">
      <c r="A35324" s="1" t="n">
        <v>35323</v>
      </c>
      <c r="B35324">
        <f>TEXT(35323, "[$-0E0000]yyyy-mm-dd")</f>
        <v/>
      </c>
      <c r="C35324" t="inlineStr">
        <is>
          <t>1996-08-04</t>
        </is>
      </c>
    </row>
    <row r="35325">
      <c r="A35325" s="1" t="n">
        <v>35324</v>
      </c>
      <c r="B35325">
        <f>TEXT(35324, "[$-0E0000]yyyy-mm-dd")</f>
        <v/>
      </c>
      <c r="C35325" t="inlineStr">
        <is>
          <t>1996-08-05</t>
        </is>
      </c>
    </row>
    <row r="35326">
      <c r="A35326" s="1" t="n">
        <v>35325</v>
      </c>
      <c r="B35326">
        <f>TEXT(35325, "[$-0E0000]yyyy-mm-dd")</f>
        <v/>
      </c>
      <c r="C35326" t="inlineStr">
        <is>
          <t>1996-08-06</t>
        </is>
      </c>
    </row>
    <row r="35327">
      <c r="A35327" s="1" t="n">
        <v>35326</v>
      </c>
      <c r="B35327">
        <f>TEXT(35326, "[$-0E0000]yyyy-mm-dd")</f>
        <v/>
      </c>
      <c r="C35327" t="inlineStr">
        <is>
          <t>1996-08-07</t>
        </is>
      </c>
    </row>
    <row r="35328">
      <c r="A35328" s="1" t="n">
        <v>35327</v>
      </c>
      <c r="B35328">
        <f>TEXT(35327, "[$-0E0000]yyyy-mm-dd")</f>
        <v/>
      </c>
      <c r="C35328" t="inlineStr">
        <is>
          <t>1996-08-08</t>
        </is>
      </c>
    </row>
    <row r="35329">
      <c r="A35329" s="1" t="n">
        <v>35328</v>
      </c>
      <c r="B35329">
        <f>TEXT(35328, "[$-0E0000]yyyy-mm-dd")</f>
        <v/>
      </c>
      <c r="C35329" t="inlineStr">
        <is>
          <t>1996-08-09</t>
        </is>
      </c>
    </row>
    <row r="35330">
      <c r="A35330" s="1" t="n">
        <v>35329</v>
      </c>
      <c r="B35330">
        <f>TEXT(35329, "[$-0E0000]yyyy-mm-dd")</f>
        <v/>
      </c>
      <c r="C35330" t="inlineStr">
        <is>
          <t>1996-08-10</t>
        </is>
      </c>
    </row>
    <row r="35331">
      <c r="A35331" s="1" t="n">
        <v>35330</v>
      </c>
      <c r="B35331">
        <f>TEXT(35330, "[$-0E0000]yyyy-mm-dd")</f>
        <v/>
      </c>
      <c r="C35331" t="inlineStr">
        <is>
          <t>1996-08-11</t>
        </is>
      </c>
    </row>
    <row r="35332">
      <c r="A35332" s="1" t="n">
        <v>35331</v>
      </c>
      <c r="B35332">
        <f>TEXT(35331, "[$-0E0000]yyyy-mm-dd")</f>
        <v/>
      </c>
      <c r="C35332" t="inlineStr">
        <is>
          <t>1996-08-12</t>
        </is>
      </c>
    </row>
    <row r="35333">
      <c r="A35333" s="1" t="n">
        <v>35332</v>
      </c>
      <c r="B35333">
        <f>TEXT(35332, "[$-0E0000]yyyy-mm-dd")</f>
        <v/>
      </c>
      <c r="C35333" t="inlineStr">
        <is>
          <t>1996-08-13</t>
        </is>
      </c>
    </row>
    <row r="35334">
      <c r="A35334" s="1" t="n">
        <v>35333</v>
      </c>
      <c r="B35334">
        <f>TEXT(35333, "[$-0E0000]yyyy-mm-dd")</f>
        <v/>
      </c>
      <c r="C35334" t="inlineStr">
        <is>
          <t>1996-08-14</t>
        </is>
      </c>
    </row>
    <row r="35335">
      <c r="A35335" s="1" t="n">
        <v>35334</v>
      </c>
      <c r="B35335">
        <f>TEXT(35334, "[$-0E0000]yyyy-mm-dd")</f>
        <v/>
      </c>
      <c r="C35335" t="inlineStr">
        <is>
          <t>1996-08-15</t>
        </is>
      </c>
    </row>
    <row r="35336">
      <c r="A35336" s="1" t="n">
        <v>35335</v>
      </c>
      <c r="B35336">
        <f>TEXT(35335, "[$-0E0000]yyyy-mm-dd")</f>
        <v/>
      </c>
      <c r="C35336" t="inlineStr">
        <is>
          <t>1996-08-16</t>
        </is>
      </c>
    </row>
    <row r="35337">
      <c r="A35337" s="1" t="n">
        <v>35336</v>
      </c>
      <c r="B35337">
        <f>TEXT(35336, "[$-0E0000]yyyy-mm-dd")</f>
        <v/>
      </c>
      <c r="C35337" t="inlineStr">
        <is>
          <t>1996-08-17</t>
        </is>
      </c>
    </row>
    <row r="35338">
      <c r="A35338" s="1" t="n">
        <v>35337</v>
      </c>
      <c r="B35338">
        <f>TEXT(35337, "[$-0E0000]yyyy-mm-dd")</f>
        <v/>
      </c>
      <c r="C35338" t="inlineStr">
        <is>
          <t>1996-08-18</t>
        </is>
      </c>
    </row>
    <row r="35339">
      <c r="A35339" s="1" t="n">
        <v>35338</v>
      </c>
      <c r="B35339">
        <f>TEXT(35338, "[$-0E0000]yyyy-mm-dd")</f>
        <v/>
      </c>
      <c r="C35339" t="inlineStr">
        <is>
          <t>1996-08-19</t>
        </is>
      </c>
    </row>
    <row r="35340">
      <c r="A35340" s="1" t="n">
        <v>35339</v>
      </c>
      <c r="B35340">
        <f>TEXT(35339, "[$-0E0000]yyyy-mm-dd")</f>
        <v/>
      </c>
      <c r="C35340" t="inlineStr">
        <is>
          <t>1996-08-20</t>
        </is>
      </c>
    </row>
    <row r="35341">
      <c r="A35341" s="1" t="n">
        <v>35340</v>
      </c>
      <c r="B35341">
        <f>TEXT(35340, "[$-0E0000]yyyy-mm-dd")</f>
        <v/>
      </c>
      <c r="C35341" t="inlineStr">
        <is>
          <t>1996-08-21</t>
        </is>
      </c>
    </row>
    <row r="35342">
      <c r="A35342" s="1" t="n">
        <v>35341</v>
      </c>
      <c r="B35342">
        <f>TEXT(35341, "[$-0E0000]yyyy-mm-dd")</f>
        <v/>
      </c>
      <c r="C35342" t="inlineStr">
        <is>
          <t>1996-08-22</t>
        </is>
      </c>
    </row>
    <row r="35343">
      <c r="A35343" s="1" t="n">
        <v>35342</v>
      </c>
      <c r="B35343">
        <f>TEXT(35342, "[$-0E0000]yyyy-mm-dd")</f>
        <v/>
      </c>
      <c r="C35343" t="inlineStr">
        <is>
          <t>1996-08-23</t>
        </is>
      </c>
    </row>
    <row r="35344">
      <c r="A35344" s="1" t="n">
        <v>35343</v>
      </c>
      <c r="B35344">
        <f>TEXT(35343, "[$-0E0000]yyyy-mm-dd")</f>
        <v/>
      </c>
      <c r="C35344" t="inlineStr">
        <is>
          <t>1996-08-24</t>
        </is>
      </c>
    </row>
    <row r="35345">
      <c r="A35345" s="1" t="n">
        <v>35344</v>
      </c>
      <c r="B35345">
        <f>TEXT(35344, "[$-0E0000]yyyy-mm-dd")</f>
        <v/>
      </c>
      <c r="C35345" t="inlineStr">
        <is>
          <t>1996-08-25</t>
        </is>
      </c>
    </row>
    <row r="35346">
      <c r="A35346" s="1" t="n">
        <v>35345</v>
      </c>
      <c r="B35346">
        <f>TEXT(35345, "[$-0E0000]yyyy-mm-dd")</f>
        <v/>
      </c>
      <c r="C35346" t="inlineStr">
        <is>
          <t>1996-08-26</t>
        </is>
      </c>
    </row>
    <row r="35347">
      <c r="A35347" s="1" t="n">
        <v>35346</v>
      </c>
      <c r="B35347">
        <f>TEXT(35346, "[$-0E0000]yyyy-mm-dd")</f>
        <v/>
      </c>
      <c r="C35347" t="inlineStr">
        <is>
          <t>1996-08-27</t>
        </is>
      </c>
    </row>
    <row r="35348">
      <c r="A35348" s="1" t="n">
        <v>35347</v>
      </c>
      <c r="B35348">
        <f>TEXT(35347, "[$-0E0000]yyyy-mm-dd")</f>
        <v/>
      </c>
      <c r="C35348" t="inlineStr">
        <is>
          <t>1996-08-28</t>
        </is>
      </c>
    </row>
    <row r="35349">
      <c r="A35349" s="1" t="n">
        <v>35348</v>
      </c>
      <c r="B35349">
        <f>TEXT(35348, "[$-0E0000]yyyy-mm-dd")</f>
        <v/>
      </c>
      <c r="C35349" t="inlineStr">
        <is>
          <t>1996-08-29</t>
        </is>
      </c>
    </row>
    <row r="35350">
      <c r="A35350" s="1" t="n">
        <v>35349</v>
      </c>
      <c r="B35350">
        <f>TEXT(35349, "[$-0E0000]yyyy-mm-dd")</f>
        <v/>
      </c>
      <c r="C35350" t="inlineStr">
        <is>
          <t>1996-09-01</t>
        </is>
      </c>
    </row>
    <row r="35351">
      <c r="A35351" s="1" t="n">
        <v>35350</v>
      </c>
      <c r="B35351">
        <f>TEXT(35350, "[$-0E0000]yyyy-mm-dd")</f>
        <v/>
      </c>
      <c r="C35351" t="inlineStr">
        <is>
          <t>1996-09-02</t>
        </is>
      </c>
    </row>
    <row r="35352">
      <c r="A35352" s="1" t="n">
        <v>35351</v>
      </c>
      <c r="B35352">
        <f>TEXT(35351, "[$-0E0000]yyyy-mm-dd")</f>
        <v/>
      </c>
      <c r="C35352" t="inlineStr">
        <is>
          <t>1996-09-03</t>
        </is>
      </c>
    </row>
    <row r="35353">
      <c r="A35353" s="1" t="n">
        <v>35352</v>
      </c>
      <c r="B35353">
        <f>TEXT(35352, "[$-0E0000]yyyy-mm-dd")</f>
        <v/>
      </c>
      <c r="C35353" t="inlineStr">
        <is>
          <t>1996-09-04</t>
        </is>
      </c>
    </row>
    <row r="35354">
      <c r="A35354" s="1" t="n">
        <v>35353</v>
      </c>
      <c r="B35354">
        <f>TEXT(35353, "[$-0E0000]yyyy-mm-dd")</f>
        <v/>
      </c>
      <c r="C35354" t="inlineStr">
        <is>
          <t>1996-09-05</t>
        </is>
      </c>
    </row>
    <row r="35355">
      <c r="A35355" s="1" t="n">
        <v>35354</v>
      </c>
      <c r="B35355">
        <f>TEXT(35354, "[$-0E0000]yyyy-mm-dd")</f>
        <v/>
      </c>
      <c r="C35355" t="inlineStr">
        <is>
          <t>1996-09-06</t>
        </is>
      </c>
    </row>
    <row r="35356">
      <c r="A35356" s="1" t="n">
        <v>35355</v>
      </c>
      <c r="B35356">
        <f>TEXT(35355, "[$-0E0000]yyyy-mm-dd")</f>
        <v/>
      </c>
      <c r="C35356" t="inlineStr">
        <is>
          <t>1996-09-07</t>
        </is>
      </c>
    </row>
    <row r="35357">
      <c r="A35357" s="1" t="n">
        <v>35356</v>
      </c>
      <c r="B35357">
        <f>TEXT(35356, "[$-0E0000]yyyy-mm-dd")</f>
        <v/>
      </c>
      <c r="C35357" t="inlineStr">
        <is>
          <t>1996-09-08</t>
        </is>
      </c>
    </row>
    <row r="35358">
      <c r="A35358" s="1" t="n">
        <v>35357</v>
      </c>
      <c r="B35358">
        <f>TEXT(35357, "[$-0E0000]yyyy-mm-dd")</f>
        <v/>
      </c>
      <c r="C35358" t="inlineStr">
        <is>
          <t>1996-09-09</t>
        </is>
      </c>
    </row>
    <row r="35359">
      <c r="A35359" s="1" t="n">
        <v>35358</v>
      </c>
      <c r="B35359">
        <f>TEXT(35358, "[$-0E0000]yyyy-mm-dd")</f>
        <v/>
      </c>
      <c r="C35359" t="inlineStr">
        <is>
          <t>1996-09-10</t>
        </is>
      </c>
    </row>
    <row r="35360">
      <c r="A35360" s="1" t="n">
        <v>35359</v>
      </c>
      <c r="B35360">
        <f>TEXT(35359, "[$-0E0000]yyyy-mm-dd")</f>
        <v/>
      </c>
      <c r="C35360" t="inlineStr">
        <is>
          <t>1996-09-11</t>
        </is>
      </c>
    </row>
    <row r="35361">
      <c r="A35361" s="1" t="n">
        <v>35360</v>
      </c>
      <c r="B35361">
        <f>TEXT(35360, "[$-0E0000]yyyy-mm-dd")</f>
        <v/>
      </c>
      <c r="C35361" t="inlineStr">
        <is>
          <t>1996-09-12</t>
        </is>
      </c>
    </row>
    <row r="35362">
      <c r="A35362" s="1" t="n">
        <v>35361</v>
      </c>
      <c r="B35362">
        <f>TEXT(35361, "[$-0E0000]yyyy-mm-dd")</f>
        <v/>
      </c>
      <c r="C35362" t="inlineStr">
        <is>
          <t>1996-09-13</t>
        </is>
      </c>
    </row>
    <row r="35363">
      <c r="A35363" s="1" t="n">
        <v>35362</v>
      </c>
      <c r="B35363">
        <f>TEXT(35362, "[$-0E0000]yyyy-mm-dd")</f>
        <v/>
      </c>
      <c r="C35363" t="inlineStr">
        <is>
          <t>1996-09-14</t>
        </is>
      </c>
    </row>
    <row r="35364">
      <c r="A35364" s="1" t="n">
        <v>35363</v>
      </c>
      <c r="B35364">
        <f>TEXT(35363, "[$-0E0000]yyyy-mm-dd")</f>
        <v/>
      </c>
      <c r="C35364" t="inlineStr">
        <is>
          <t>1996-09-15</t>
        </is>
      </c>
    </row>
    <row r="35365">
      <c r="A35365" s="1" t="n">
        <v>35364</v>
      </c>
      <c r="B35365">
        <f>TEXT(35364, "[$-0E0000]yyyy-mm-dd")</f>
        <v/>
      </c>
      <c r="C35365" t="inlineStr">
        <is>
          <t>1996-09-16</t>
        </is>
      </c>
    </row>
    <row r="35366">
      <c r="A35366" s="1" t="n">
        <v>35365</v>
      </c>
      <c r="B35366">
        <f>TEXT(35365, "[$-0E0000]yyyy-mm-dd")</f>
        <v/>
      </c>
      <c r="C35366" t="inlineStr">
        <is>
          <t>1996-09-17</t>
        </is>
      </c>
    </row>
    <row r="35367">
      <c r="A35367" s="1" t="n">
        <v>35366</v>
      </c>
      <c r="B35367">
        <f>TEXT(35366, "[$-0E0000]yyyy-mm-dd")</f>
        <v/>
      </c>
      <c r="C35367" t="inlineStr">
        <is>
          <t>1996-09-18</t>
        </is>
      </c>
    </row>
    <row r="35368">
      <c r="A35368" s="1" t="n">
        <v>35367</v>
      </c>
      <c r="B35368">
        <f>TEXT(35367, "[$-0E0000]yyyy-mm-dd")</f>
        <v/>
      </c>
      <c r="C35368" t="inlineStr">
        <is>
          <t>1996-09-19</t>
        </is>
      </c>
    </row>
    <row r="35369">
      <c r="A35369" s="1" t="n">
        <v>35368</v>
      </c>
      <c r="B35369">
        <f>TEXT(35368, "[$-0E0000]yyyy-mm-dd")</f>
        <v/>
      </c>
      <c r="C35369" t="inlineStr">
        <is>
          <t>1996-09-20</t>
        </is>
      </c>
    </row>
    <row r="35370">
      <c r="A35370" s="1" t="n">
        <v>35369</v>
      </c>
      <c r="B35370">
        <f>TEXT(35369, "[$-0E0000]yyyy-mm-dd")</f>
        <v/>
      </c>
      <c r="C35370" t="inlineStr">
        <is>
          <t>1996-09-21</t>
        </is>
      </c>
    </row>
    <row r="35371">
      <c r="A35371" s="1" t="n">
        <v>35370</v>
      </c>
      <c r="B35371">
        <f>TEXT(35370, "[$-0E0000]yyyy-mm-dd")</f>
        <v/>
      </c>
      <c r="C35371" t="inlineStr">
        <is>
          <t>1996-09-22</t>
        </is>
      </c>
    </row>
    <row r="35372">
      <c r="A35372" s="1" t="n">
        <v>35371</v>
      </c>
      <c r="B35372">
        <f>TEXT(35371, "[$-0E0000]yyyy-mm-dd")</f>
        <v/>
      </c>
      <c r="C35372" t="inlineStr">
        <is>
          <t>1996-09-23</t>
        </is>
      </c>
    </row>
    <row r="35373">
      <c r="A35373" s="1" t="n">
        <v>35372</v>
      </c>
      <c r="B35373">
        <f>TEXT(35372, "[$-0E0000]yyyy-mm-dd")</f>
        <v/>
      </c>
      <c r="C35373" t="inlineStr">
        <is>
          <t>1996-09-24</t>
        </is>
      </c>
    </row>
    <row r="35374">
      <c r="A35374" s="1" t="n">
        <v>35373</v>
      </c>
      <c r="B35374">
        <f>TEXT(35373, "[$-0E0000]yyyy-mm-dd")</f>
        <v/>
      </c>
      <c r="C35374" t="inlineStr">
        <is>
          <t>1996-09-25</t>
        </is>
      </c>
    </row>
    <row r="35375">
      <c r="A35375" s="1" t="n">
        <v>35374</v>
      </c>
      <c r="B35375">
        <f>TEXT(35374, "[$-0E0000]yyyy-mm-dd")</f>
        <v/>
      </c>
      <c r="C35375" t="inlineStr">
        <is>
          <t>1996-09-26</t>
        </is>
      </c>
    </row>
    <row r="35376">
      <c r="A35376" s="1" t="n">
        <v>35375</v>
      </c>
      <c r="B35376">
        <f>TEXT(35375, "[$-0E0000]yyyy-mm-dd")</f>
        <v/>
      </c>
      <c r="C35376" t="inlineStr">
        <is>
          <t>1996-09-27</t>
        </is>
      </c>
    </row>
    <row r="35377">
      <c r="A35377" s="1" t="n">
        <v>35376</v>
      </c>
      <c r="B35377">
        <f>TEXT(35376, "[$-0E0000]yyyy-mm-dd")</f>
        <v/>
      </c>
      <c r="C35377" t="inlineStr">
        <is>
          <t>1996-09-28</t>
        </is>
      </c>
    </row>
    <row r="35378">
      <c r="A35378" s="1" t="n">
        <v>35377</v>
      </c>
      <c r="B35378">
        <f>TEXT(35377, "[$-0E0000]yyyy-mm-dd")</f>
        <v/>
      </c>
      <c r="C35378" t="inlineStr">
        <is>
          <t>1996-09-29</t>
        </is>
      </c>
    </row>
    <row r="35379">
      <c r="A35379" s="1" t="n">
        <v>35378</v>
      </c>
      <c r="B35379">
        <f>TEXT(35378, "[$-0E0000]yyyy-mm-dd")</f>
        <v/>
      </c>
      <c r="C35379" t="inlineStr">
        <is>
          <t>1996-09-30</t>
        </is>
      </c>
    </row>
    <row r="35380">
      <c r="A35380" s="1" t="n">
        <v>35379</v>
      </c>
      <c r="B35380">
        <f>TEXT(35379, "[$-0E0000]yyyy-mm-dd")</f>
        <v/>
      </c>
      <c r="C35380" t="inlineStr">
        <is>
          <t>1996-10-01</t>
        </is>
      </c>
    </row>
    <row r="35381">
      <c r="A35381" s="1" t="n">
        <v>35380</v>
      </c>
      <c r="B35381">
        <f>TEXT(35380, "[$-0E0000]yyyy-mm-dd")</f>
        <v/>
      </c>
      <c r="C35381" t="inlineStr">
        <is>
          <t>1996-10-02</t>
        </is>
      </c>
    </row>
    <row r="35382">
      <c r="A35382" s="1" t="n">
        <v>35381</v>
      </c>
      <c r="B35382">
        <f>TEXT(35381, "[$-0E0000]yyyy-mm-dd")</f>
        <v/>
      </c>
      <c r="C35382" t="inlineStr">
        <is>
          <t>1996-10-03</t>
        </is>
      </c>
    </row>
    <row r="35383">
      <c r="A35383" s="1" t="n">
        <v>35382</v>
      </c>
      <c r="B35383">
        <f>TEXT(35382, "[$-0E0000]yyyy-mm-dd")</f>
        <v/>
      </c>
      <c r="C35383" t="inlineStr">
        <is>
          <t>1996-10-04</t>
        </is>
      </c>
    </row>
    <row r="35384">
      <c r="A35384" s="1" t="n">
        <v>35383</v>
      </c>
      <c r="B35384">
        <f>TEXT(35383, "[$-0E0000]yyyy-mm-dd")</f>
        <v/>
      </c>
      <c r="C35384" t="inlineStr">
        <is>
          <t>1996-10-05</t>
        </is>
      </c>
    </row>
    <row r="35385">
      <c r="A35385" s="1" t="n">
        <v>35384</v>
      </c>
      <c r="B35385">
        <f>TEXT(35384, "[$-0E0000]yyyy-mm-dd")</f>
        <v/>
      </c>
      <c r="C35385" t="inlineStr">
        <is>
          <t>1996-10-06</t>
        </is>
      </c>
    </row>
    <row r="35386">
      <c r="A35386" s="1" t="n">
        <v>35385</v>
      </c>
      <c r="B35386">
        <f>TEXT(35385, "[$-0E0000]yyyy-mm-dd")</f>
        <v/>
      </c>
      <c r="C35386" t="inlineStr">
        <is>
          <t>1996-10-07</t>
        </is>
      </c>
    </row>
    <row r="35387">
      <c r="A35387" s="1" t="n">
        <v>35386</v>
      </c>
      <c r="B35387">
        <f>TEXT(35386, "[$-0E0000]yyyy-mm-dd")</f>
        <v/>
      </c>
      <c r="C35387" t="inlineStr">
        <is>
          <t>1996-10-08</t>
        </is>
      </c>
    </row>
    <row r="35388">
      <c r="A35388" s="1" t="n">
        <v>35387</v>
      </c>
      <c r="B35388">
        <f>TEXT(35387, "[$-0E0000]yyyy-mm-dd")</f>
        <v/>
      </c>
      <c r="C35388" t="inlineStr">
        <is>
          <t>1996-10-09</t>
        </is>
      </c>
    </row>
    <row r="35389">
      <c r="A35389" s="1" t="n">
        <v>35388</v>
      </c>
      <c r="B35389">
        <f>TEXT(35388, "[$-0E0000]yyyy-mm-dd")</f>
        <v/>
      </c>
      <c r="C35389" t="inlineStr">
        <is>
          <t>1996-10-10</t>
        </is>
      </c>
    </row>
    <row r="35390">
      <c r="A35390" s="1" t="n">
        <v>35389</v>
      </c>
      <c r="B35390">
        <f>TEXT(35389, "[$-0E0000]yyyy-mm-dd")</f>
        <v/>
      </c>
      <c r="C35390" t="inlineStr">
        <is>
          <t>1996-10-11</t>
        </is>
      </c>
    </row>
    <row r="35391">
      <c r="A35391" s="1" t="n">
        <v>35390</v>
      </c>
      <c r="B35391">
        <f>TEXT(35390, "[$-0E0000]yyyy-mm-dd")</f>
        <v/>
      </c>
      <c r="C35391" t="inlineStr">
        <is>
          <t>1996-10-12</t>
        </is>
      </c>
    </row>
    <row r="35392">
      <c r="A35392" s="1" t="n">
        <v>35391</v>
      </c>
      <c r="B35392">
        <f>TEXT(35391, "[$-0E0000]yyyy-mm-dd")</f>
        <v/>
      </c>
      <c r="C35392" t="inlineStr">
        <is>
          <t>1996-10-13</t>
        </is>
      </c>
    </row>
    <row r="35393">
      <c r="A35393" s="1" t="n">
        <v>35392</v>
      </c>
      <c r="B35393">
        <f>TEXT(35392, "[$-0E0000]yyyy-mm-dd")</f>
        <v/>
      </c>
      <c r="C35393" t="inlineStr">
        <is>
          <t>1996-10-14</t>
        </is>
      </c>
    </row>
    <row r="35394">
      <c r="A35394" s="1" t="n">
        <v>35393</v>
      </c>
      <c r="B35394">
        <f>TEXT(35393, "[$-0E0000]yyyy-mm-dd")</f>
        <v/>
      </c>
      <c r="C35394" t="inlineStr">
        <is>
          <t>1996-10-15</t>
        </is>
      </c>
    </row>
    <row r="35395">
      <c r="A35395" s="1" t="n">
        <v>35394</v>
      </c>
      <c r="B35395">
        <f>TEXT(35394, "[$-0E0000]yyyy-mm-dd")</f>
        <v/>
      </c>
      <c r="C35395" t="inlineStr">
        <is>
          <t>1996-10-16</t>
        </is>
      </c>
    </row>
    <row r="35396">
      <c r="A35396" s="1" t="n">
        <v>35395</v>
      </c>
      <c r="B35396">
        <f>TEXT(35395, "[$-0E0000]yyyy-mm-dd")</f>
        <v/>
      </c>
      <c r="C35396" t="inlineStr">
        <is>
          <t>1996-10-17</t>
        </is>
      </c>
    </row>
    <row r="35397">
      <c r="A35397" s="1" t="n">
        <v>35396</v>
      </c>
      <c r="B35397">
        <f>TEXT(35396, "[$-0E0000]yyyy-mm-dd")</f>
        <v/>
      </c>
      <c r="C35397" t="inlineStr">
        <is>
          <t>1996-10-18</t>
        </is>
      </c>
    </row>
    <row r="35398">
      <c r="A35398" s="1" t="n">
        <v>35397</v>
      </c>
      <c r="B35398">
        <f>TEXT(35397, "[$-0E0000]yyyy-mm-dd")</f>
        <v/>
      </c>
      <c r="C35398" t="inlineStr">
        <is>
          <t>1996-10-19</t>
        </is>
      </c>
    </row>
    <row r="35399">
      <c r="A35399" s="1" t="n">
        <v>35398</v>
      </c>
      <c r="B35399">
        <f>TEXT(35398, "[$-0E0000]yyyy-mm-dd")</f>
        <v/>
      </c>
      <c r="C35399" t="inlineStr">
        <is>
          <t>1996-10-20</t>
        </is>
      </c>
    </row>
    <row r="35400">
      <c r="A35400" s="1" t="n">
        <v>35399</v>
      </c>
      <c r="B35400">
        <f>TEXT(35399, "[$-0E0000]yyyy-mm-dd")</f>
        <v/>
      </c>
      <c r="C35400" t="inlineStr">
        <is>
          <t>1996-10-21</t>
        </is>
      </c>
    </row>
    <row r="35401">
      <c r="A35401" s="1" t="n">
        <v>35400</v>
      </c>
      <c r="B35401">
        <f>TEXT(35400, "[$-0E0000]yyyy-mm-dd")</f>
        <v/>
      </c>
      <c r="C35401" t="inlineStr">
        <is>
          <t>1996-10-22</t>
        </is>
      </c>
    </row>
    <row r="35402">
      <c r="A35402" s="1" t="n">
        <v>35401</v>
      </c>
      <c r="B35402">
        <f>TEXT(35401, "[$-0E0000]yyyy-mm-dd")</f>
        <v/>
      </c>
      <c r="C35402" t="inlineStr">
        <is>
          <t>1996-10-23</t>
        </is>
      </c>
    </row>
    <row r="35403">
      <c r="A35403" s="1" t="n">
        <v>35402</v>
      </c>
      <c r="B35403">
        <f>TEXT(35402, "[$-0E0000]yyyy-mm-dd")</f>
        <v/>
      </c>
      <c r="C35403" t="inlineStr">
        <is>
          <t>1996-10-24</t>
        </is>
      </c>
    </row>
    <row r="35404">
      <c r="A35404" s="1" t="n">
        <v>35403</v>
      </c>
      <c r="B35404">
        <f>TEXT(35403, "[$-0E0000]yyyy-mm-dd")</f>
        <v/>
      </c>
      <c r="C35404" t="inlineStr">
        <is>
          <t>1996-10-25</t>
        </is>
      </c>
    </row>
    <row r="35405">
      <c r="A35405" s="1" t="n">
        <v>35404</v>
      </c>
      <c r="B35405">
        <f>TEXT(35404, "[$-0E0000]yyyy-mm-dd")</f>
        <v/>
      </c>
      <c r="C35405" t="inlineStr">
        <is>
          <t>1996-10-26</t>
        </is>
      </c>
    </row>
    <row r="35406">
      <c r="A35406" s="1" t="n">
        <v>35405</v>
      </c>
      <c r="B35406">
        <f>TEXT(35405, "[$-0E0000]yyyy-mm-dd")</f>
        <v/>
      </c>
      <c r="C35406" t="inlineStr">
        <is>
          <t>1996-10-27</t>
        </is>
      </c>
    </row>
    <row r="35407">
      <c r="A35407" s="1" t="n">
        <v>35406</v>
      </c>
      <c r="B35407">
        <f>TEXT(35406, "[$-0E0000]yyyy-mm-dd")</f>
        <v/>
      </c>
      <c r="C35407" t="inlineStr">
        <is>
          <t>1996-10-28</t>
        </is>
      </c>
    </row>
    <row r="35408">
      <c r="A35408" s="1" t="n">
        <v>35407</v>
      </c>
      <c r="B35408">
        <f>TEXT(35407, "[$-0E0000]yyyy-mm-dd")</f>
        <v/>
      </c>
      <c r="C35408" t="inlineStr">
        <is>
          <t>1996-10-29</t>
        </is>
      </c>
    </row>
    <row r="35409">
      <c r="A35409" s="1" t="n">
        <v>35408</v>
      </c>
      <c r="B35409">
        <f>TEXT(35408, "[$-0E0000]yyyy-mm-dd")</f>
        <v/>
      </c>
      <c r="C35409" t="inlineStr">
        <is>
          <t>1996-10-30</t>
        </is>
      </c>
    </row>
    <row r="35410">
      <c r="A35410" s="1" t="n">
        <v>35409</v>
      </c>
      <c r="B35410">
        <f>TEXT(35409, "[$-0E0000]yyyy-mm-dd")</f>
        <v/>
      </c>
      <c r="C35410" t="inlineStr">
        <is>
          <t>1996-11-01</t>
        </is>
      </c>
    </row>
    <row r="35411">
      <c r="A35411" s="1" t="n">
        <v>35410</v>
      </c>
      <c r="B35411">
        <f>TEXT(35410, "[$-0E0000]yyyy-mm-dd")</f>
        <v/>
      </c>
      <c r="C35411" t="inlineStr">
        <is>
          <t>1996-11-02</t>
        </is>
      </c>
    </row>
    <row r="35412">
      <c r="A35412" s="1" t="n">
        <v>35411</v>
      </c>
      <c r="B35412">
        <f>TEXT(35411, "[$-0E0000]yyyy-mm-dd")</f>
        <v/>
      </c>
      <c r="C35412" t="inlineStr">
        <is>
          <t>1996-11-03</t>
        </is>
      </c>
    </row>
    <row r="35413">
      <c r="A35413" s="1" t="n">
        <v>35412</v>
      </c>
      <c r="B35413">
        <f>TEXT(35412, "[$-0E0000]yyyy-mm-dd")</f>
        <v/>
      </c>
      <c r="C35413" t="inlineStr">
        <is>
          <t>1996-11-04</t>
        </is>
      </c>
    </row>
    <row r="35414">
      <c r="A35414" s="1" t="n">
        <v>35413</v>
      </c>
      <c r="B35414">
        <f>TEXT(35413, "[$-0E0000]yyyy-mm-dd")</f>
        <v/>
      </c>
      <c r="C35414" t="inlineStr">
        <is>
          <t>1996-11-05</t>
        </is>
      </c>
    </row>
    <row r="35415">
      <c r="A35415" s="1" t="n">
        <v>35414</v>
      </c>
      <c r="B35415">
        <f>TEXT(35414, "[$-0E0000]yyyy-mm-dd")</f>
        <v/>
      </c>
      <c r="C35415" t="inlineStr">
        <is>
          <t>1996-11-06</t>
        </is>
      </c>
    </row>
    <row r="35416">
      <c r="A35416" s="1" t="n">
        <v>35415</v>
      </c>
      <c r="B35416">
        <f>TEXT(35415, "[$-0E0000]yyyy-mm-dd")</f>
        <v/>
      </c>
      <c r="C35416" t="inlineStr">
        <is>
          <t>1996-11-07</t>
        </is>
      </c>
    </row>
    <row r="35417">
      <c r="A35417" s="1" t="n">
        <v>35416</v>
      </c>
      <c r="B35417">
        <f>TEXT(35416, "[$-0E0000]yyyy-mm-dd")</f>
        <v/>
      </c>
      <c r="C35417" t="inlineStr">
        <is>
          <t>1996-11-08</t>
        </is>
      </c>
    </row>
    <row r="35418">
      <c r="A35418" s="1" t="n">
        <v>35417</v>
      </c>
      <c r="B35418">
        <f>TEXT(35417, "[$-0E0000]yyyy-mm-dd")</f>
        <v/>
      </c>
      <c r="C35418" t="inlineStr">
        <is>
          <t>1996-11-09</t>
        </is>
      </c>
    </row>
    <row r="35419">
      <c r="A35419" s="1" t="n">
        <v>35418</v>
      </c>
      <c r="B35419">
        <f>TEXT(35418, "[$-0E0000]yyyy-mm-dd")</f>
        <v/>
      </c>
      <c r="C35419" t="inlineStr">
        <is>
          <t>1996-11-10</t>
        </is>
      </c>
    </row>
    <row r="35420">
      <c r="A35420" s="1" t="n">
        <v>35419</v>
      </c>
      <c r="B35420">
        <f>TEXT(35419, "[$-0E0000]yyyy-mm-dd")</f>
        <v/>
      </c>
      <c r="C35420" t="inlineStr">
        <is>
          <t>1996-11-11</t>
        </is>
      </c>
    </row>
    <row r="35421">
      <c r="A35421" s="1" t="n">
        <v>35420</v>
      </c>
      <c r="B35421">
        <f>TEXT(35420, "[$-0E0000]yyyy-mm-dd")</f>
        <v/>
      </c>
      <c r="C35421" t="inlineStr">
        <is>
          <t>1996-11-12</t>
        </is>
      </c>
    </row>
    <row r="35422">
      <c r="A35422" s="1" t="n">
        <v>35421</v>
      </c>
      <c r="B35422">
        <f>TEXT(35421, "[$-0E0000]yyyy-mm-dd")</f>
        <v/>
      </c>
      <c r="C35422" t="inlineStr">
        <is>
          <t>1996-11-13</t>
        </is>
      </c>
    </row>
    <row r="35423">
      <c r="A35423" s="1" t="n">
        <v>35422</v>
      </c>
      <c r="B35423">
        <f>TEXT(35422, "[$-0E0000]yyyy-mm-dd")</f>
        <v/>
      </c>
      <c r="C35423" t="inlineStr">
        <is>
          <t>1996-11-14</t>
        </is>
      </c>
    </row>
    <row r="35424">
      <c r="A35424" s="1" t="n">
        <v>35423</v>
      </c>
      <c r="B35424">
        <f>TEXT(35423, "[$-0E0000]yyyy-mm-dd")</f>
        <v/>
      </c>
      <c r="C35424" t="inlineStr">
        <is>
          <t>1996-11-15</t>
        </is>
      </c>
    </row>
    <row r="35425">
      <c r="A35425" s="1" t="n">
        <v>35424</v>
      </c>
      <c r="B35425">
        <f>TEXT(35424, "[$-0E0000]yyyy-mm-dd")</f>
        <v/>
      </c>
      <c r="C35425" t="inlineStr">
        <is>
          <t>1996-11-16</t>
        </is>
      </c>
    </row>
    <row r="35426">
      <c r="A35426" s="1" t="n">
        <v>35425</v>
      </c>
      <c r="B35426">
        <f>TEXT(35425, "[$-0E0000]yyyy-mm-dd")</f>
        <v/>
      </c>
      <c r="C35426" t="inlineStr">
        <is>
          <t>1996-11-17</t>
        </is>
      </c>
    </row>
    <row r="35427">
      <c r="A35427" s="1" t="n">
        <v>35426</v>
      </c>
      <c r="B35427">
        <f>TEXT(35426, "[$-0E0000]yyyy-mm-dd")</f>
        <v/>
      </c>
      <c r="C35427" t="inlineStr">
        <is>
          <t>1996-11-18</t>
        </is>
      </c>
    </row>
    <row r="35428">
      <c r="A35428" s="1" t="n">
        <v>35427</v>
      </c>
      <c r="B35428">
        <f>TEXT(35427, "[$-0E0000]yyyy-mm-dd")</f>
        <v/>
      </c>
      <c r="C35428" t="inlineStr">
        <is>
          <t>1996-11-19</t>
        </is>
      </c>
    </row>
    <row r="35429">
      <c r="A35429" s="1" t="n">
        <v>35428</v>
      </c>
      <c r="B35429">
        <f>TEXT(35428, "[$-0E0000]yyyy-mm-dd")</f>
        <v/>
      </c>
      <c r="C35429" t="inlineStr">
        <is>
          <t>1996-11-20</t>
        </is>
      </c>
    </row>
    <row r="35430">
      <c r="A35430" s="1" t="n">
        <v>35429</v>
      </c>
      <c r="B35430">
        <f>TEXT(35429, "[$-0E0000]yyyy-mm-dd")</f>
        <v/>
      </c>
      <c r="C35430" t="inlineStr">
        <is>
          <t>1996-11-21</t>
        </is>
      </c>
    </row>
    <row r="35431">
      <c r="A35431" s="1" t="n">
        <v>35430</v>
      </c>
      <c r="B35431">
        <f>TEXT(35430, "[$-0E0000]yyyy-mm-dd")</f>
        <v/>
      </c>
      <c r="C35431" t="inlineStr">
        <is>
          <t>1996-11-22</t>
        </is>
      </c>
    </row>
    <row r="35432">
      <c r="A35432" s="1" t="n">
        <v>35431</v>
      </c>
      <c r="B35432">
        <f>TEXT(35431, "[$-0E0000]yyyy-mm-dd")</f>
        <v/>
      </c>
      <c r="C35432" t="inlineStr">
        <is>
          <t>1996-11-23</t>
        </is>
      </c>
    </row>
    <row r="35433">
      <c r="A35433" s="1" t="n">
        <v>35432</v>
      </c>
      <c r="B35433">
        <f>TEXT(35432, "[$-0E0000]yyyy-mm-dd")</f>
        <v/>
      </c>
      <c r="C35433" t="inlineStr">
        <is>
          <t>1996-11-24</t>
        </is>
      </c>
    </row>
    <row r="35434">
      <c r="A35434" s="1" t="n">
        <v>35433</v>
      </c>
      <c r="B35434">
        <f>TEXT(35433, "[$-0E0000]yyyy-mm-dd")</f>
        <v/>
      </c>
      <c r="C35434" t="inlineStr">
        <is>
          <t>1996-11-25</t>
        </is>
      </c>
    </row>
    <row r="35435">
      <c r="A35435" s="1" t="n">
        <v>35434</v>
      </c>
      <c r="B35435">
        <f>TEXT(35434, "[$-0E0000]yyyy-mm-dd")</f>
        <v/>
      </c>
      <c r="C35435" t="inlineStr">
        <is>
          <t>1996-11-26</t>
        </is>
      </c>
    </row>
    <row r="35436">
      <c r="A35436" s="1" t="n">
        <v>35435</v>
      </c>
      <c r="B35436">
        <f>TEXT(35435, "[$-0E0000]yyyy-mm-dd")</f>
        <v/>
      </c>
      <c r="C35436" t="inlineStr">
        <is>
          <t>1996-11-27</t>
        </is>
      </c>
    </row>
    <row r="35437">
      <c r="A35437" s="1" t="n">
        <v>35436</v>
      </c>
      <c r="B35437">
        <f>TEXT(35436, "[$-0E0000]yyyy-mm-dd")</f>
        <v/>
      </c>
      <c r="C35437" t="inlineStr">
        <is>
          <t>1996-11-28</t>
        </is>
      </c>
    </row>
    <row r="35438">
      <c r="A35438" s="1" t="n">
        <v>35437</v>
      </c>
      <c r="B35438">
        <f>TEXT(35437, "[$-0E0000]yyyy-mm-dd")</f>
        <v/>
      </c>
      <c r="C35438" t="inlineStr">
        <is>
          <t>1996-11-29</t>
        </is>
      </c>
    </row>
    <row r="35439">
      <c r="A35439" s="1" t="n">
        <v>35438</v>
      </c>
      <c r="B35439">
        <f>TEXT(35438, "[$-0E0000]yyyy-mm-dd")</f>
        <v/>
      </c>
      <c r="C35439" t="inlineStr">
        <is>
          <t>1996-12-01</t>
        </is>
      </c>
    </row>
    <row r="35440">
      <c r="A35440" s="1" t="n">
        <v>35439</v>
      </c>
      <c r="B35440">
        <f>TEXT(35439, "[$-0E0000]yyyy-mm-dd")</f>
        <v/>
      </c>
      <c r="C35440" t="inlineStr">
        <is>
          <t>1996-12-02</t>
        </is>
      </c>
    </row>
    <row r="35441">
      <c r="A35441" s="1" t="n">
        <v>35440</v>
      </c>
      <c r="B35441">
        <f>TEXT(35440, "[$-0E0000]yyyy-mm-dd")</f>
        <v/>
      </c>
      <c r="C35441" t="inlineStr">
        <is>
          <t>1996-12-03</t>
        </is>
      </c>
    </row>
    <row r="35442">
      <c r="A35442" s="1" t="n">
        <v>35441</v>
      </c>
      <c r="B35442">
        <f>TEXT(35441, "[$-0E0000]yyyy-mm-dd")</f>
        <v/>
      </c>
      <c r="C35442" t="inlineStr">
        <is>
          <t>1996-12-04</t>
        </is>
      </c>
    </row>
    <row r="35443">
      <c r="A35443" s="1" t="n">
        <v>35442</v>
      </c>
      <c r="B35443">
        <f>TEXT(35442, "[$-0E0000]yyyy-mm-dd")</f>
        <v/>
      </c>
      <c r="C35443" t="inlineStr">
        <is>
          <t>1996-12-05</t>
        </is>
      </c>
    </row>
    <row r="35444">
      <c r="A35444" s="1" t="n">
        <v>35443</v>
      </c>
      <c r="B35444">
        <f>TEXT(35443, "[$-0E0000]yyyy-mm-dd")</f>
        <v/>
      </c>
      <c r="C35444" t="inlineStr">
        <is>
          <t>1996-12-06</t>
        </is>
      </c>
    </row>
    <row r="35445">
      <c r="A35445" s="1" t="n">
        <v>35444</v>
      </c>
      <c r="B35445">
        <f>TEXT(35444, "[$-0E0000]yyyy-mm-dd")</f>
        <v/>
      </c>
      <c r="C35445" t="inlineStr">
        <is>
          <t>1996-12-07</t>
        </is>
      </c>
    </row>
    <row r="35446">
      <c r="A35446" s="1" t="n">
        <v>35445</v>
      </c>
      <c r="B35446">
        <f>TEXT(35445, "[$-0E0000]yyyy-mm-dd")</f>
        <v/>
      </c>
      <c r="C35446" t="inlineStr">
        <is>
          <t>1996-12-08</t>
        </is>
      </c>
    </row>
    <row r="35447">
      <c r="A35447" s="1" t="n">
        <v>35446</v>
      </c>
      <c r="B35447">
        <f>TEXT(35446, "[$-0E0000]yyyy-mm-dd")</f>
        <v/>
      </c>
      <c r="C35447" t="inlineStr">
        <is>
          <t>1996-12-09</t>
        </is>
      </c>
    </row>
    <row r="35448">
      <c r="A35448" s="1" t="n">
        <v>35447</v>
      </c>
      <c r="B35448">
        <f>TEXT(35447, "[$-0E0000]yyyy-mm-dd")</f>
        <v/>
      </c>
      <c r="C35448" t="inlineStr">
        <is>
          <t>1996-12-10</t>
        </is>
      </c>
    </row>
    <row r="35449">
      <c r="A35449" s="1" t="n">
        <v>35448</v>
      </c>
      <c r="B35449">
        <f>TEXT(35448, "[$-0E0000]yyyy-mm-dd")</f>
        <v/>
      </c>
      <c r="C35449" t="inlineStr">
        <is>
          <t>1996-12-11</t>
        </is>
      </c>
    </row>
    <row r="35450">
      <c r="A35450" s="1" t="n">
        <v>35449</v>
      </c>
      <c r="B35450">
        <f>TEXT(35449, "[$-0E0000]yyyy-mm-dd")</f>
        <v/>
      </c>
      <c r="C35450" t="inlineStr">
        <is>
          <t>1996-12-12</t>
        </is>
      </c>
    </row>
    <row r="35451">
      <c r="A35451" s="1" t="n">
        <v>35450</v>
      </c>
      <c r="B35451">
        <f>TEXT(35450, "[$-0E0000]yyyy-mm-dd")</f>
        <v/>
      </c>
      <c r="C35451" t="inlineStr">
        <is>
          <t>1996-12-13</t>
        </is>
      </c>
    </row>
    <row r="35452">
      <c r="A35452" s="1" t="n">
        <v>35451</v>
      </c>
      <c r="B35452">
        <f>TEXT(35451, "[$-0E0000]yyyy-mm-dd")</f>
        <v/>
      </c>
      <c r="C35452" t="inlineStr">
        <is>
          <t>1996-12-14</t>
        </is>
      </c>
    </row>
    <row r="35453">
      <c r="A35453" s="1" t="n">
        <v>35452</v>
      </c>
      <c r="B35453">
        <f>TEXT(35452, "[$-0E0000]yyyy-mm-dd")</f>
        <v/>
      </c>
      <c r="C35453" t="inlineStr">
        <is>
          <t>1996-12-15</t>
        </is>
      </c>
    </row>
    <row r="35454">
      <c r="A35454" s="1" t="n">
        <v>35453</v>
      </c>
      <c r="B35454">
        <f>TEXT(35453, "[$-0E0000]yyyy-mm-dd")</f>
        <v/>
      </c>
      <c r="C35454" t="inlineStr">
        <is>
          <t>1996-12-16</t>
        </is>
      </c>
    </row>
    <row r="35455">
      <c r="A35455" s="1" t="n">
        <v>35454</v>
      </c>
      <c r="B35455">
        <f>TEXT(35454, "[$-0E0000]yyyy-mm-dd")</f>
        <v/>
      </c>
      <c r="C35455" t="inlineStr">
        <is>
          <t>1996-12-17</t>
        </is>
      </c>
    </row>
    <row r="35456">
      <c r="A35456" s="1" t="n">
        <v>35455</v>
      </c>
      <c r="B35456">
        <f>TEXT(35455, "[$-0E0000]yyyy-mm-dd")</f>
        <v/>
      </c>
      <c r="C35456" t="inlineStr">
        <is>
          <t>1996-12-18</t>
        </is>
      </c>
    </row>
    <row r="35457">
      <c r="A35457" s="1" t="n">
        <v>35456</v>
      </c>
      <c r="B35457">
        <f>TEXT(35456, "[$-0E0000]yyyy-mm-dd")</f>
        <v/>
      </c>
      <c r="C35457" t="inlineStr">
        <is>
          <t>1996-12-19</t>
        </is>
      </c>
    </row>
    <row r="35458">
      <c r="A35458" s="1" t="n">
        <v>35457</v>
      </c>
      <c r="B35458">
        <f>TEXT(35457, "[$-0E0000]yyyy-mm-dd")</f>
        <v/>
      </c>
      <c r="C35458" t="inlineStr">
        <is>
          <t>1996-12-20</t>
        </is>
      </c>
    </row>
    <row r="35459">
      <c r="A35459" s="1" t="n">
        <v>35458</v>
      </c>
      <c r="B35459">
        <f>TEXT(35458, "[$-0E0000]yyyy-mm-dd")</f>
        <v/>
      </c>
      <c r="C35459" t="inlineStr">
        <is>
          <t>1996-12-21</t>
        </is>
      </c>
    </row>
    <row r="35460">
      <c r="A35460" s="1" t="n">
        <v>35459</v>
      </c>
      <c r="B35460">
        <f>TEXT(35459, "[$-0E0000]yyyy-mm-dd")</f>
        <v/>
      </c>
      <c r="C35460" t="inlineStr">
        <is>
          <t>1996-12-22</t>
        </is>
      </c>
    </row>
    <row r="35461">
      <c r="A35461" s="1" t="n">
        <v>35460</v>
      </c>
      <c r="B35461">
        <f>TEXT(35460, "[$-0E0000]yyyy-mm-dd")</f>
        <v/>
      </c>
      <c r="C35461" t="inlineStr">
        <is>
          <t>1996-12-23</t>
        </is>
      </c>
    </row>
    <row r="35462">
      <c r="A35462" s="1" t="n">
        <v>35461</v>
      </c>
      <c r="B35462">
        <f>TEXT(35461, "[$-0E0000]yyyy-mm-dd")</f>
        <v/>
      </c>
      <c r="C35462" t="inlineStr">
        <is>
          <t>1996-12-24</t>
        </is>
      </c>
    </row>
    <row r="35463">
      <c r="A35463" s="1" t="n">
        <v>35462</v>
      </c>
      <c r="B35463">
        <f>TEXT(35462, "[$-0E0000]yyyy-mm-dd")</f>
        <v/>
      </c>
      <c r="C35463" t="inlineStr">
        <is>
          <t>1996-12-25</t>
        </is>
      </c>
    </row>
    <row r="35464">
      <c r="A35464" s="1" t="n">
        <v>35463</v>
      </c>
      <c r="B35464">
        <f>TEXT(35463, "[$-0E0000]yyyy-mm-dd")</f>
        <v/>
      </c>
      <c r="C35464" t="inlineStr">
        <is>
          <t>1996-12-26</t>
        </is>
      </c>
    </row>
    <row r="35465">
      <c r="A35465" s="1" t="n">
        <v>35464</v>
      </c>
      <c r="B35465">
        <f>TEXT(35464, "[$-0E0000]yyyy-mm-dd")</f>
        <v/>
      </c>
      <c r="C35465" t="inlineStr">
        <is>
          <t>1996-12-27</t>
        </is>
      </c>
    </row>
    <row r="35466">
      <c r="A35466" s="1" t="n">
        <v>35465</v>
      </c>
      <c r="B35466">
        <f>TEXT(35465, "[$-0E0000]yyyy-mm-dd")</f>
        <v/>
      </c>
      <c r="C35466" t="inlineStr">
        <is>
          <t>1996-12-28</t>
        </is>
      </c>
    </row>
    <row r="35467">
      <c r="A35467" s="1" t="n">
        <v>35466</v>
      </c>
      <c r="B35467">
        <f>TEXT(35466, "[$-0E0000]yyyy-mm-dd")</f>
        <v/>
      </c>
      <c r="C35467" t="inlineStr">
        <is>
          <t>1996-12-29</t>
        </is>
      </c>
    </row>
    <row r="35468">
      <c r="A35468" s="1" t="n">
        <v>35467</v>
      </c>
      <c r="B35468">
        <f>TEXT(35467, "[$-0E0000]yyyy-mm-dd")</f>
        <v/>
      </c>
      <c r="C35468" t="inlineStr">
        <is>
          <t>1997-01-01</t>
        </is>
      </c>
    </row>
    <row r="35469">
      <c r="A35469" s="1" t="n">
        <v>35468</v>
      </c>
      <c r="B35469">
        <f>TEXT(35468, "[$-0E0000]yyyy-mm-dd")</f>
        <v/>
      </c>
      <c r="C35469" t="inlineStr">
        <is>
          <t>1997-01-02</t>
        </is>
      </c>
    </row>
    <row r="35470">
      <c r="A35470" s="1" t="n">
        <v>35469</v>
      </c>
      <c r="B35470">
        <f>TEXT(35469, "[$-0E0000]yyyy-mm-dd")</f>
        <v/>
      </c>
      <c r="C35470" t="inlineStr">
        <is>
          <t>1997-01-03</t>
        </is>
      </c>
    </row>
    <row r="35471">
      <c r="A35471" s="1" t="n">
        <v>35470</v>
      </c>
      <c r="B35471">
        <f>TEXT(35470, "[$-0E0000]yyyy-mm-dd")</f>
        <v/>
      </c>
      <c r="C35471" t="inlineStr">
        <is>
          <t>1997-01-04</t>
        </is>
      </c>
    </row>
    <row r="35472">
      <c r="A35472" s="1" t="n">
        <v>35471</v>
      </c>
      <c r="B35472">
        <f>TEXT(35471, "[$-0E0000]yyyy-mm-dd")</f>
        <v/>
      </c>
      <c r="C35472" t="inlineStr">
        <is>
          <t>1997-01-05</t>
        </is>
      </c>
    </row>
    <row r="35473">
      <c r="A35473" s="1" t="n">
        <v>35472</v>
      </c>
      <c r="B35473">
        <f>TEXT(35472, "[$-0E0000]yyyy-mm-dd")</f>
        <v/>
      </c>
      <c r="C35473" t="inlineStr">
        <is>
          <t>1997-01-06</t>
        </is>
      </c>
    </row>
    <row r="35474">
      <c r="A35474" s="1" t="n">
        <v>35473</v>
      </c>
      <c r="B35474">
        <f>TEXT(35473, "[$-0E0000]yyyy-mm-dd")</f>
        <v/>
      </c>
      <c r="C35474" t="inlineStr">
        <is>
          <t>1997-01-07</t>
        </is>
      </c>
    </row>
    <row r="35475">
      <c r="A35475" s="1" t="n">
        <v>35474</v>
      </c>
      <c r="B35475">
        <f>TEXT(35474, "[$-0E0000]yyyy-mm-dd")</f>
        <v/>
      </c>
      <c r="C35475" t="inlineStr">
        <is>
          <t>1997-01-08</t>
        </is>
      </c>
    </row>
    <row r="35476">
      <c r="A35476" s="1" t="n">
        <v>35475</v>
      </c>
      <c r="B35476">
        <f>TEXT(35475, "[$-0E0000]yyyy-mm-dd")</f>
        <v/>
      </c>
      <c r="C35476" t="inlineStr">
        <is>
          <t>1997-01-09</t>
        </is>
      </c>
    </row>
    <row r="35477">
      <c r="A35477" s="1" t="n">
        <v>35476</v>
      </c>
      <c r="B35477">
        <f>TEXT(35476, "[$-0E0000]yyyy-mm-dd")</f>
        <v/>
      </c>
      <c r="C35477" t="inlineStr">
        <is>
          <t>1997-01-10</t>
        </is>
      </c>
    </row>
    <row r="35478">
      <c r="A35478" s="1" t="n">
        <v>35477</v>
      </c>
      <c r="B35478">
        <f>TEXT(35477, "[$-0E0000]yyyy-mm-dd")</f>
        <v/>
      </c>
      <c r="C35478" t="inlineStr">
        <is>
          <t>1997-01-11</t>
        </is>
      </c>
    </row>
    <row r="35479">
      <c r="A35479" s="1" t="n">
        <v>35478</v>
      </c>
      <c r="B35479">
        <f>TEXT(35478, "[$-0E0000]yyyy-mm-dd")</f>
        <v/>
      </c>
      <c r="C35479" t="inlineStr">
        <is>
          <t>1997-01-12</t>
        </is>
      </c>
    </row>
    <row r="35480">
      <c r="A35480" s="1" t="n">
        <v>35479</v>
      </c>
      <c r="B35480">
        <f>TEXT(35479, "[$-0E0000]yyyy-mm-dd")</f>
        <v/>
      </c>
      <c r="C35480" t="inlineStr">
        <is>
          <t>1997-01-13</t>
        </is>
      </c>
    </row>
    <row r="35481">
      <c r="A35481" s="1" t="n">
        <v>35480</v>
      </c>
      <c r="B35481">
        <f>TEXT(35480, "[$-0E0000]yyyy-mm-dd")</f>
        <v/>
      </c>
      <c r="C35481" t="inlineStr">
        <is>
          <t>1997-01-14</t>
        </is>
      </c>
    </row>
    <row r="35482">
      <c r="A35482" s="1" t="n">
        <v>35481</v>
      </c>
      <c r="B35482">
        <f>TEXT(35481, "[$-0E0000]yyyy-mm-dd")</f>
        <v/>
      </c>
      <c r="C35482" t="inlineStr">
        <is>
          <t>1997-01-15</t>
        </is>
      </c>
    </row>
    <row r="35483">
      <c r="A35483" s="1" t="n">
        <v>35482</v>
      </c>
      <c r="B35483">
        <f>TEXT(35482, "[$-0E0000]yyyy-mm-dd")</f>
        <v/>
      </c>
      <c r="C35483" t="inlineStr">
        <is>
          <t>1997-01-16</t>
        </is>
      </c>
    </row>
    <row r="35484">
      <c r="A35484" s="1" t="n">
        <v>35483</v>
      </c>
      <c r="B35484">
        <f>TEXT(35483, "[$-0E0000]yyyy-mm-dd")</f>
        <v/>
      </c>
      <c r="C35484" t="inlineStr">
        <is>
          <t>1997-01-17</t>
        </is>
      </c>
    </row>
    <row r="35485">
      <c r="A35485" s="1" t="n">
        <v>35484</v>
      </c>
      <c r="B35485">
        <f>TEXT(35484, "[$-0E0000]yyyy-mm-dd")</f>
        <v/>
      </c>
      <c r="C35485" t="inlineStr">
        <is>
          <t>1997-01-18</t>
        </is>
      </c>
    </row>
    <row r="35486">
      <c r="A35486" s="1" t="n">
        <v>35485</v>
      </c>
      <c r="B35486">
        <f>TEXT(35485, "[$-0E0000]yyyy-mm-dd")</f>
        <v/>
      </c>
      <c r="C35486" t="inlineStr">
        <is>
          <t>1997-01-19</t>
        </is>
      </c>
    </row>
    <row r="35487">
      <c r="A35487" s="1" t="n">
        <v>35486</v>
      </c>
      <c r="B35487">
        <f>TEXT(35486, "[$-0E0000]yyyy-mm-dd")</f>
        <v/>
      </c>
      <c r="C35487" t="inlineStr">
        <is>
          <t>1997-01-20</t>
        </is>
      </c>
    </row>
    <row r="35488">
      <c r="A35488" s="1" t="n">
        <v>35487</v>
      </c>
      <c r="B35488">
        <f>TEXT(35487, "[$-0E0000]yyyy-mm-dd")</f>
        <v/>
      </c>
      <c r="C35488" t="inlineStr">
        <is>
          <t>1997-01-21</t>
        </is>
      </c>
    </row>
    <row r="35489">
      <c r="A35489" s="1" t="n">
        <v>35488</v>
      </c>
      <c r="B35489">
        <f>TEXT(35488, "[$-0E0000]yyyy-mm-dd")</f>
        <v/>
      </c>
      <c r="C35489" t="inlineStr">
        <is>
          <t>1997-01-22</t>
        </is>
      </c>
    </row>
    <row r="35490">
      <c r="A35490" s="1" t="n">
        <v>35489</v>
      </c>
      <c r="B35490">
        <f>TEXT(35489, "[$-0E0000]yyyy-mm-dd")</f>
        <v/>
      </c>
      <c r="C35490" t="inlineStr">
        <is>
          <t>1997-01-23</t>
        </is>
      </c>
    </row>
    <row r="35491">
      <c r="A35491" s="1" t="n">
        <v>35490</v>
      </c>
      <c r="B35491">
        <f>TEXT(35490, "[$-0E0000]yyyy-mm-dd")</f>
        <v/>
      </c>
      <c r="C35491" t="inlineStr">
        <is>
          <t>1997-01-24</t>
        </is>
      </c>
    </row>
    <row r="35492">
      <c r="A35492" s="1" t="n">
        <v>35491</v>
      </c>
      <c r="B35492">
        <f>TEXT(35491, "[$-0E0000]yyyy-mm-dd")</f>
        <v/>
      </c>
      <c r="C35492" t="inlineStr">
        <is>
          <t>1997-01-25</t>
        </is>
      </c>
    </row>
    <row r="35493">
      <c r="A35493" s="1" t="n">
        <v>35492</v>
      </c>
      <c r="B35493">
        <f>TEXT(35492, "[$-0E0000]yyyy-mm-dd")</f>
        <v/>
      </c>
      <c r="C35493" t="inlineStr">
        <is>
          <t>1997-01-26</t>
        </is>
      </c>
    </row>
    <row r="35494">
      <c r="A35494" s="1" t="n">
        <v>35493</v>
      </c>
      <c r="B35494">
        <f>TEXT(35493, "[$-0E0000]yyyy-mm-dd")</f>
        <v/>
      </c>
      <c r="C35494" t="inlineStr">
        <is>
          <t>1997-01-27</t>
        </is>
      </c>
    </row>
    <row r="35495">
      <c r="A35495" s="1" t="n">
        <v>35494</v>
      </c>
      <c r="B35495">
        <f>TEXT(35494, "[$-0E0000]yyyy-mm-dd")</f>
        <v/>
      </c>
      <c r="C35495" t="inlineStr">
        <is>
          <t>1997-01-28</t>
        </is>
      </c>
    </row>
    <row r="35496">
      <c r="A35496" s="1" t="n">
        <v>35495</v>
      </c>
      <c r="B35496">
        <f>TEXT(35495, "[$-0E0000]yyyy-mm-dd")</f>
        <v/>
      </c>
      <c r="C35496" t="inlineStr">
        <is>
          <t>1997-01-29</t>
        </is>
      </c>
    </row>
    <row r="35497">
      <c r="A35497" s="1" t="n">
        <v>35496</v>
      </c>
      <c r="B35497">
        <f>TEXT(35496, "[$-0E0000]yyyy-mm-dd")</f>
        <v/>
      </c>
      <c r="C35497" t="inlineStr">
        <is>
          <t>1997-01-30</t>
        </is>
      </c>
    </row>
    <row r="35498">
      <c r="A35498" s="1" t="n">
        <v>35497</v>
      </c>
      <c r="B35498">
        <f>TEXT(35497, "[$-0E0000]yyyy-mm-dd")</f>
        <v/>
      </c>
      <c r="C35498" t="inlineStr">
        <is>
          <t>1997-02-01</t>
        </is>
      </c>
    </row>
    <row r="35499">
      <c r="A35499" s="1" t="n">
        <v>35498</v>
      </c>
      <c r="B35499">
        <f>TEXT(35498, "[$-0E0000]yyyy-mm-dd")</f>
        <v/>
      </c>
      <c r="C35499" t="inlineStr">
        <is>
          <t>1997-02-02</t>
        </is>
      </c>
    </row>
    <row r="35500">
      <c r="A35500" s="1" t="n">
        <v>35499</v>
      </c>
      <c r="B35500">
        <f>TEXT(35499, "[$-0E0000]yyyy-mm-dd")</f>
        <v/>
      </c>
      <c r="C35500" t="inlineStr">
        <is>
          <t>1997-02-03</t>
        </is>
      </c>
    </row>
    <row r="35501">
      <c r="A35501" s="1" t="n">
        <v>35500</v>
      </c>
      <c r="B35501">
        <f>TEXT(35500, "[$-0E0000]yyyy-mm-dd")</f>
        <v/>
      </c>
      <c r="C35501" t="inlineStr">
        <is>
          <t>1997-02-04</t>
        </is>
      </c>
    </row>
    <row r="35502">
      <c r="A35502" s="1" t="n">
        <v>35501</v>
      </c>
      <c r="B35502">
        <f>TEXT(35501, "[$-0E0000]yyyy-mm-dd")</f>
        <v/>
      </c>
      <c r="C35502" t="inlineStr">
        <is>
          <t>1997-02-05</t>
        </is>
      </c>
    </row>
    <row r="35503">
      <c r="A35503" s="1" t="n">
        <v>35502</v>
      </c>
      <c r="B35503">
        <f>TEXT(35502, "[$-0E0000]yyyy-mm-dd")</f>
        <v/>
      </c>
      <c r="C35503" t="inlineStr">
        <is>
          <t>1997-02-06</t>
        </is>
      </c>
    </row>
    <row r="35504">
      <c r="A35504" s="1" t="n">
        <v>35503</v>
      </c>
      <c r="B35504">
        <f>TEXT(35503, "[$-0E0000]yyyy-mm-dd")</f>
        <v/>
      </c>
      <c r="C35504" t="inlineStr">
        <is>
          <t>1997-02-07</t>
        </is>
      </c>
    </row>
    <row r="35505">
      <c r="A35505" s="1" t="n">
        <v>35504</v>
      </c>
      <c r="B35505">
        <f>TEXT(35504, "[$-0E0000]yyyy-mm-dd")</f>
        <v/>
      </c>
      <c r="C35505" t="inlineStr">
        <is>
          <t>1997-02-08</t>
        </is>
      </c>
    </row>
    <row r="35506">
      <c r="A35506" s="1" t="n">
        <v>35505</v>
      </c>
      <c r="B35506">
        <f>TEXT(35505, "[$-0E0000]yyyy-mm-dd")</f>
        <v/>
      </c>
      <c r="C35506" t="inlineStr">
        <is>
          <t>1997-02-09</t>
        </is>
      </c>
    </row>
    <row r="35507">
      <c r="A35507" s="1" t="n">
        <v>35506</v>
      </c>
      <c r="B35507">
        <f>TEXT(35506, "[$-0E0000]yyyy-mm-dd")</f>
        <v/>
      </c>
      <c r="C35507" t="inlineStr">
        <is>
          <t>1997-02-10</t>
        </is>
      </c>
    </row>
    <row r="35508">
      <c r="A35508" s="1" t="n">
        <v>35507</v>
      </c>
      <c r="B35508">
        <f>TEXT(35507, "[$-0E0000]yyyy-mm-dd")</f>
        <v/>
      </c>
      <c r="C35508" t="inlineStr">
        <is>
          <t>1997-02-11</t>
        </is>
      </c>
    </row>
    <row r="35509">
      <c r="A35509" s="1" t="n">
        <v>35508</v>
      </c>
      <c r="B35509">
        <f>TEXT(35508, "[$-0E0000]yyyy-mm-dd")</f>
        <v/>
      </c>
      <c r="C35509" t="inlineStr">
        <is>
          <t>1997-02-12</t>
        </is>
      </c>
    </row>
    <row r="35510">
      <c r="A35510" s="1" t="n">
        <v>35509</v>
      </c>
      <c r="B35510">
        <f>TEXT(35509, "[$-0E0000]yyyy-mm-dd")</f>
        <v/>
      </c>
      <c r="C35510" t="inlineStr">
        <is>
          <t>1997-02-13</t>
        </is>
      </c>
    </row>
    <row r="35511">
      <c r="A35511" s="1" t="n">
        <v>35510</v>
      </c>
      <c r="B35511">
        <f>TEXT(35510, "[$-0E0000]yyyy-mm-dd")</f>
        <v/>
      </c>
      <c r="C35511" t="inlineStr">
        <is>
          <t>1997-02-14</t>
        </is>
      </c>
    </row>
    <row r="35512">
      <c r="A35512" s="1" t="n">
        <v>35511</v>
      </c>
      <c r="B35512">
        <f>TEXT(35511, "[$-0E0000]yyyy-mm-dd")</f>
        <v/>
      </c>
      <c r="C35512" t="inlineStr">
        <is>
          <t>1997-02-15</t>
        </is>
      </c>
    </row>
    <row r="35513">
      <c r="A35513" s="1" t="n">
        <v>35512</v>
      </c>
      <c r="B35513">
        <f>TEXT(35512, "[$-0E0000]yyyy-mm-dd")</f>
        <v/>
      </c>
      <c r="C35513" t="inlineStr">
        <is>
          <t>1997-02-16</t>
        </is>
      </c>
    </row>
    <row r="35514">
      <c r="A35514" s="1" t="n">
        <v>35513</v>
      </c>
      <c r="B35514">
        <f>TEXT(35513, "[$-0E0000]yyyy-mm-dd")</f>
        <v/>
      </c>
      <c r="C35514" t="inlineStr">
        <is>
          <t>1997-02-17</t>
        </is>
      </c>
    </row>
    <row r="35515">
      <c r="A35515" s="1" t="n">
        <v>35514</v>
      </c>
      <c r="B35515">
        <f>TEXT(35514, "[$-0E0000]yyyy-mm-dd")</f>
        <v/>
      </c>
      <c r="C35515" t="inlineStr">
        <is>
          <t>1997-02-18</t>
        </is>
      </c>
    </row>
    <row r="35516">
      <c r="A35516" s="1" t="n">
        <v>35515</v>
      </c>
      <c r="B35516">
        <f>TEXT(35515, "[$-0E0000]yyyy-mm-dd")</f>
        <v/>
      </c>
      <c r="C35516" t="inlineStr">
        <is>
          <t>1997-02-19</t>
        </is>
      </c>
    </row>
    <row r="35517">
      <c r="A35517" s="1" t="n">
        <v>35516</v>
      </c>
      <c r="B35517">
        <f>TEXT(35516, "[$-0E0000]yyyy-mm-dd")</f>
        <v/>
      </c>
      <c r="C35517" t="inlineStr">
        <is>
          <t>1997-02-20</t>
        </is>
      </c>
    </row>
    <row r="35518">
      <c r="A35518" s="1" t="n">
        <v>35517</v>
      </c>
      <c r="B35518">
        <f>TEXT(35517, "[$-0E0000]yyyy-mm-dd")</f>
        <v/>
      </c>
      <c r="C35518" t="inlineStr">
        <is>
          <t>1997-02-21</t>
        </is>
      </c>
    </row>
    <row r="35519">
      <c r="A35519" s="1" t="n">
        <v>35518</v>
      </c>
      <c r="B35519">
        <f>TEXT(35518, "[$-0E0000]yyyy-mm-dd")</f>
        <v/>
      </c>
      <c r="C35519" t="inlineStr">
        <is>
          <t>1997-02-22</t>
        </is>
      </c>
    </row>
    <row r="35520">
      <c r="A35520" s="1" t="n">
        <v>35519</v>
      </c>
      <c r="B35520">
        <f>TEXT(35519, "[$-0E0000]yyyy-mm-dd")</f>
        <v/>
      </c>
      <c r="C35520" t="inlineStr">
        <is>
          <t>1997-02-23</t>
        </is>
      </c>
    </row>
    <row r="35521">
      <c r="A35521" s="1" t="n">
        <v>35520</v>
      </c>
      <c r="B35521">
        <f>TEXT(35520, "[$-0E0000]yyyy-mm-dd")</f>
        <v/>
      </c>
      <c r="C35521" t="inlineStr">
        <is>
          <t>1997-02-24</t>
        </is>
      </c>
    </row>
    <row r="35522">
      <c r="A35522" s="1" t="n">
        <v>35521</v>
      </c>
      <c r="B35522">
        <f>TEXT(35521, "[$-0E0000]yyyy-mm-dd")</f>
        <v/>
      </c>
      <c r="C35522" t="inlineStr">
        <is>
          <t>1997-02-25</t>
        </is>
      </c>
    </row>
    <row r="35523">
      <c r="A35523" s="1" t="n">
        <v>35522</v>
      </c>
      <c r="B35523">
        <f>TEXT(35522, "[$-0E0000]yyyy-mm-dd")</f>
        <v/>
      </c>
      <c r="C35523" t="inlineStr">
        <is>
          <t>1997-02-26</t>
        </is>
      </c>
    </row>
    <row r="35524">
      <c r="A35524" s="1" t="n">
        <v>35523</v>
      </c>
      <c r="B35524">
        <f>TEXT(35523, "[$-0E0000]yyyy-mm-dd")</f>
        <v/>
      </c>
      <c r="C35524" t="inlineStr">
        <is>
          <t>1997-02-27</t>
        </is>
      </c>
    </row>
    <row r="35525">
      <c r="A35525" s="1" t="n">
        <v>35524</v>
      </c>
      <c r="B35525">
        <f>TEXT(35524, "[$-0E0000]yyyy-mm-dd")</f>
        <v/>
      </c>
      <c r="C35525" t="inlineStr">
        <is>
          <t>1997-02-28</t>
        </is>
      </c>
    </row>
    <row r="35526">
      <c r="A35526" s="1" t="n">
        <v>35525</v>
      </c>
      <c r="B35526">
        <f>TEXT(35525, "[$-0E0000]yyyy-mm-dd")</f>
        <v/>
      </c>
      <c r="C35526" t="inlineStr">
        <is>
          <t>1997-02-29</t>
        </is>
      </c>
    </row>
    <row r="35527">
      <c r="A35527" s="1" t="n">
        <v>35526</v>
      </c>
      <c r="B35527">
        <f>TEXT(35526, "[$-0E0000]yyyy-mm-dd")</f>
        <v/>
      </c>
      <c r="C35527" t="inlineStr">
        <is>
          <t>1997-03-01</t>
        </is>
      </c>
    </row>
    <row r="35528">
      <c r="A35528" s="1" t="n">
        <v>35527</v>
      </c>
      <c r="B35528">
        <f>TEXT(35527, "[$-0E0000]yyyy-mm-dd")</f>
        <v/>
      </c>
      <c r="C35528" t="inlineStr">
        <is>
          <t>1997-03-02</t>
        </is>
      </c>
    </row>
    <row r="35529">
      <c r="A35529" s="1" t="n">
        <v>35528</v>
      </c>
      <c r="B35529">
        <f>TEXT(35528, "[$-0E0000]yyyy-mm-dd")</f>
        <v/>
      </c>
      <c r="C35529" t="inlineStr">
        <is>
          <t>1997-03-03</t>
        </is>
      </c>
    </row>
    <row r="35530">
      <c r="A35530" s="1" t="n">
        <v>35529</v>
      </c>
      <c r="B35530">
        <f>TEXT(35529, "[$-0E0000]yyyy-mm-dd")</f>
        <v/>
      </c>
      <c r="C35530" t="inlineStr">
        <is>
          <t>1997-03-04</t>
        </is>
      </c>
    </row>
    <row r="35531">
      <c r="A35531" s="1" t="n">
        <v>35530</v>
      </c>
      <c r="B35531">
        <f>TEXT(35530, "[$-0E0000]yyyy-mm-dd")</f>
        <v/>
      </c>
      <c r="C35531" t="inlineStr">
        <is>
          <t>1997-03-05</t>
        </is>
      </c>
    </row>
    <row r="35532">
      <c r="A35532" s="1" t="n">
        <v>35531</v>
      </c>
      <c r="B35532">
        <f>TEXT(35531, "[$-0E0000]yyyy-mm-dd")</f>
        <v/>
      </c>
      <c r="C35532" t="inlineStr">
        <is>
          <t>1997-03-06</t>
        </is>
      </c>
    </row>
    <row r="35533">
      <c r="A35533" s="1" t="n">
        <v>35532</v>
      </c>
      <c r="B35533">
        <f>TEXT(35532, "[$-0E0000]yyyy-mm-dd")</f>
        <v/>
      </c>
      <c r="C35533" t="inlineStr">
        <is>
          <t>1997-03-07</t>
        </is>
      </c>
    </row>
    <row r="35534">
      <c r="A35534" s="1" t="n">
        <v>35533</v>
      </c>
      <c r="B35534">
        <f>TEXT(35533, "[$-0E0000]yyyy-mm-dd")</f>
        <v/>
      </c>
      <c r="C35534" t="inlineStr">
        <is>
          <t>1997-03-08</t>
        </is>
      </c>
    </row>
    <row r="35535">
      <c r="A35535" s="1" t="n">
        <v>35534</v>
      </c>
      <c r="B35535">
        <f>TEXT(35534, "[$-0E0000]yyyy-mm-dd")</f>
        <v/>
      </c>
      <c r="C35535" t="inlineStr">
        <is>
          <t>1997-03-09</t>
        </is>
      </c>
    </row>
    <row r="35536">
      <c r="A35536" s="1" t="n">
        <v>35535</v>
      </c>
      <c r="B35536">
        <f>TEXT(35535, "[$-0E0000]yyyy-mm-dd")</f>
        <v/>
      </c>
      <c r="C35536" t="inlineStr">
        <is>
          <t>1997-03-10</t>
        </is>
      </c>
    </row>
    <row r="35537">
      <c r="A35537" s="1" t="n">
        <v>35536</v>
      </c>
      <c r="B35537">
        <f>TEXT(35536, "[$-0E0000]yyyy-mm-dd")</f>
        <v/>
      </c>
      <c r="C35537" t="inlineStr">
        <is>
          <t>1997-03-11</t>
        </is>
      </c>
    </row>
    <row r="35538">
      <c r="A35538" s="1" t="n">
        <v>35537</v>
      </c>
      <c r="B35538">
        <f>TEXT(35537, "[$-0E0000]yyyy-mm-dd")</f>
        <v/>
      </c>
      <c r="C35538" t="inlineStr">
        <is>
          <t>1997-03-12</t>
        </is>
      </c>
    </row>
    <row r="35539">
      <c r="A35539" s="1" t="n">
        <v>35538</v>
      </c>
      <c r="B35539">
        <f>TEXT(35538, "[$-0E0000]yyyy-mm-dd")</f>
        <v/>
      </c>
      <c r="C35539" t="inlineStr">
        <is>
          <t>1997-03-13</t>
        </is>
      </c>
    </row>
    <row r="35540">
      <c r="A35540" s="1" t="n">
        <v>35539</v>
      </c>
      <c r="B35540">
        <f>TEXT(35539, "[$-0E0000]yyyy-mm-dd")</f>
        <v/>
      </c>
      <c r="C35540" t="inlineStr">
        <is>
          <t>1997-03-14</t>
        </is>
      </c>
    </row>
    <row r="35541">
      <c r="A35541" s="1" t="n">
        <v>35540</v>
      </c>
      <c r="B35541">
        <f>TEXT(35540, "[$-0E0000]yyyy-mm-dd")</f>
        <v/>
      </c>
      <c r="C35541" t="inlineStr">
        <is>
          <t>1997-03-15</t>
        </is>
      </c>
    </row>
    <row r="35542">
      <c r="A35542" s="1" t="n">
        <v>35541</v>
      </c>
      <c r="B35542">
        <f>TEXT(35541, "[$-0E0000]yyyy-mm-dd")</f>
        <v/>
      </c>
      <c r="C35542" t="inlineStr">
        <is>
          <t>1997-03-16</t>
        </is>
      </c>
    </row>
    <row r="35543">
      <c r="A35543" s="1" t="n">
        <v>35542</v>
      </c>
      <c r="B35543">
        <f>TEXT(35542, "[$-0E0000]yyyy-mm-dd")</f>
        <v/>
      </c>
      <c r="C35543" t="inlineStr">
        <is>
          <t>1997-03-17</t>
        </is>
      </c>
    </row>
    <row r="35544">
      <c r="A35544" s="1" t="n">
        <v>35543</v>
      </c>
      <c r="B35544">
        <f>TEXT(35543, "[$-0E0000]yyyy-mm-dd")</f>
        <v/>
      </c>
      <c r="C35544" t="inlineStr">
        <is>
          <t>1997-03-18</t>
        </is>
      </c>
    </row>
    <row r="35545">
      <c r="A35545" s="1" t="n">
        <v>35544</v>
      </c>
      <c r="B35545">
        <f>TEXT(35544, "[$-0E0000]yyyy-mm-dd")</f>
        <v/>
      </c>
      <c r="C35545" t="inlineStr">
        <is>
          <t>1997-03-19</t>
        </is>
      </c>
    </row>
    <row r="35546">
      <c r="A35546" s="1" t="n">
        <v>35545</v>
      </c>
      <c r="B35546">
        <f>TEXT(35545, "[$-0E0000]yyyy-mm-dd")</f>
        <v/>
      </c>
      <c r="C35546" t="inlineStr">
        <is>
          <t>1997-03-20</t>
        </is>
      </c>
    </row>
    <row r="35547">
      <c r="A35547" s="1" t="n">
        <v>35546</v>
      </c>
      <c r="B35547">
        <f>TEXT(35546, "[$-0E0000]yyyy-mm-dd")</f>
        <v/>
      </c>
      <c r="C35547" t="inlineStr">
        <is>
          <t>1997-03-21</t>
        </is>
      </c>
    </row>
    <row r="35548">
      <c r="A35548" s="1" t="n">
        <v>35547</v>
      </c>
      <c r="B35548">
        <f>TEXT(35547, "[$-0E0000]yyyy-mm-dd")</f>
        <v/>
      </c>
      <c r="C35548" t="inlineStr">
        <is>
          <t>1997-03-22</t>
        </is>
      </c>
    </row>
    <row r="35549">
      <c r="A35549" s="1" t="n">
        <v>35548</v>
      </c>
      <c r="B35549">
        <f>TEXT(35548, "[$-0E0000]yyyy-mm-dd")</f>
        <v/>
      </c>
      <c r="C35549" t="inlineStr">
        <is>
          <t>1997-03-23</t>
        </is>
      </c>
    </row>
    <row r="35550">
      <c r="A35550" s="1" t="n">
        <v>35549</v>
      </c>
      <c r="B35550">
        <f>TEXT(35549, "[$-0E0000]yyyy-mm-dd")</f>
        <v/>
      </c>
      <c r="C35550" t="inlineStr">
        <is>
          <t>1997-03-24</t>
        </is>
      </c>
    </row>
    <row r="35551">
      <c r="A35551" s="1" t="n">
        <v>35550</v>
      </c>
      <c r="B35551">
        <f>TEXT(35550, "[$-0E0000]yyyy-mm-dd")</f>
        <v/>
      </c>
      <c r="C35551" t="inlineStr">
        <is>
          <t>1997-03-25</t>
        </is>
      </c>
    </row>
    <row r="35552">
      <c r="A35552" s="1" t="n">
        <v>35551</v>
      </c>
      <c r="B35552">
        <f>TEXT(35551, "[$-0E0000]yyyy-mm-dd")</f>
        <v/>
      </c>
      <c r="C35552" t="inlineStr">
        <is>
          <t>1997-03-26</t>
        </is>
      </c>
    </row>
    <row r="35553">
      <c r="A35553" s="1" t="n">
        <v>35552</v>
      </c>
      <c r="B35553">
        <f>TEXT(35552, "[$-0E0000]yyyy-mm-dd")</f>
        <v/>
      </c>
      <c r="C35553" t="inlineStr">
        <is>
          <t>1997-03-27</t>
        </is>
      </c>
    </row>
    <row r="35554">
      <c r="A35554" s="1" t="n">
        <v>35553</v>
      </c>
      <c r="B35554">
        <f>TEXT(35553, "[$-0E0000]yyyy-mm-dd")</f>
        <v/>
      </c>
      <c r="C35554" t="inlineStr">
        <is>
          <t>1997-03-28</t>
        </is>
      </c>
    </row>
    <row r="35555">
      <c r="A35555" s="1" t="n">
        <v>35554</v>
      </c>
      <c r="B35555">
        <f>TEXT(35554, "[$-0E0000]yyyy-mm-dd")</f>
        <v/>
      </c>
      <c r="C35555" t="inlineStr">
        <is>
          <t>1997-03-29</t>
        </is>
      </c>
    </row>
    <row r="35556">
      <c r="A35556" s="1" t="n">
        <v>35555</v>
      </c>
      <c r="B35556">
        <f>TEXT(35555, "[$-0E0000]yyyy-mm-dd")</f>
        <v/>
      </c>
      <c r="C35556" t="inlineStr">
        <is>
          <t>1997-03-30</t>
        </is>
      </c>
    </row>
    <row r="35557">
      <c r="A35557" s="1" t="n">
        <v>35556</v>
      </c>
      <c r="B35557">
        <f>TEXT(35556, "[$-0E0000]yyyy-mm-dd")</f>
        <v/>
      </c>
      <c r="C35557" t="inlineStr">
        <is>
          <t>1997-04-01</t>
        </is>
      </c>
    </row>
    <row r="35558">
      <c r="A35558" s="1" t="n">
        <v>35557</v>
      </c>
      <c r="B35558">
        <f>TEXT(35557, "[$-0E0000]yyyy-mm-dd")</f>
        <v/>
      </c>
      <c r="C35558" t="inlineStr">
        <is>
          <t>1997-04-02</t>
        </is>
      </c>
    </row>
    <row r="35559">
      <c r="A35559" s="1" t="n">
        <v>35558</v>
      </c>
      <c r="B35559">
        <f>TEXT(35558, "[$-0E0000]yyyy-mm-dd")</f>
        <v/>
      </c>
      <c r="C35559" t="inlineStr">
        <is>
          <t>1997-04-03</t>
        </is>
      </c>
    </row>
    <row r="35560">
      <c r="A35560" s="1" t="n">
        <v>35559</v>
      </c>
      <c r="B35560">
        <f>TEXT(35559, "[$-0E0000]yyyy-mm-dd")</f>
        <v/>
      </c>
      <c r="C35560" t="inlineStr">
        <is>
          <t>1997-04-04</t>
        </is>
      </c>
    </row>
    <row r="35561">
      <c r="A35561" s="1" t="n">
        <v>35560</v>
      </c>
      <c r="B35561">
        <f>TEXT(35560, "[$-0E0000]yyyy-mm-dd")</f>
        <v/>
      </c>
      <c r="C35561" t="inlineStr">
        <is>
          <t>1997-04-05</t>
        </is>
      </c>
    </row>
    <row r="35562">
      <c r="A35562" s="1" t="n">
        <v>35561</v>
      </c>
      <c r="B35562">
        <f>TEXT(35561, "[$-0E0000]yyyy-mm-dd")</f>
        <v/>
      </c>
      <c r="C35562" t="inlineStr">
        <is>
          <t>1997-04-06</t>
        </is>
      </c>
    </row>
    <row r="35563">
      <c r="A35563" s="1" t="n">
        <v>35562</v>
      </c>
      <c r="B35563">
        <f>TEXT(35562, "[$-0E0000]yyyy-mm-dd")</f>
        <v/>
      </c>
      <c r="C35563" t="inlineStr">
        <is>
          <t>1997-04-07</t>
        </is>
      </c>
    </row>
    <row r="35564">
      <c r="A35564" s="1" t="n">
        <v>35563</v>
      </c>
      <c r="B35564">
        <f>TEXT(35563, "[$-0E0000]yyyy-mm-dd")</f>
        <v/>
      </c>
      <c r="C35564" t="inlineStr">
        <is>
          <t>1997-04-08</t>
        </is>
      </c>
    </row>
    <row r="35565">
      <c r="A35565" s="1" t="n">
        <v>35564</v>
      </c>
      <c r="B35565">
        <f>TEXT(35564, "[$-0E0000]yyyy-mm-dd")</f>
        <v/>
      </c>
      <c r="C35565" t="inlineStr">
        <is>
          <t>1997-04-09</t>
        </is>
      </c>
    </row>
    <row r="35566">
      <c r="A35566" s="1" t="n">
        <v>35565</v>
      </c>
      <c r="B35566">
        <f>TEXT(35565, "[$-0E0000]yyyy-mm-dd")</f>
        <v/>
      </c>
      <c r="C35566" t="inlineStr">
        <is>
          <t>1997-04-10</t>
        </is>
      </c>
    </row>
    <row r="35567">
      <c r="A35567" s="1" t="n">
        <v>35566</v>
      </c>
      <c r="B35567">
        <f>TEXT(35566, "[$-0E0000]yyyy-mm-dd")</f>
        <v/>
      </c>
      <c r="C35567" t="inlineStr">
        <is>
          <t>1997-04-11</t>
        </is>
      </c>
    </row>
    <row r="35568">
      <c r="A35568" s="1" t="n">
        <v>35567</v>
      </c>
      <c r="B35568">
        <f>TEXT(35567, "[$-0E0000]yyyy-mm-dd")</f>
        <v/>
      </c>
      <c r="C35568" t="inlineStr">
        <is>
          <t>1997-04-12</t>
        </is>
      </c>
    </row>
    <row r="35569">
      <c r="A35569" s="1" t="n">
        <v>35568</v>
      </c>
      <c r="B35569">
        <f>TEXT(35568, "[$-0E0000]yyyy-mm-dd")</f>
        <v/>
      </c>
      <c r="C35569" t="inlineStr">
        <is>
          <t>1997-04-13</t>
        </is>
      </c>
    </row>
    <row r="35570">
      <c r="A35570" s="1" t="n">
        <v>35569</v>
      </c>
      <c r="B35570">
        <f>TEXT(35569, "[$-0E0000]yyyy-mm-dd")</f>
        <v/>
      </c>
      <c r="C35570" t="inlineStr">
        <is>
          <t>1997-04-14</t>
        </is>
      </c>
    </row>
    <row r="35571">
      <c r="A35571" s="1" t="n">
        <v>35570</v>
      </c>
      <c r="B35571">
        <f>TEXT(35570, "[$-0E0000]yyyy-mm-dd")</f>
        <v/>
      </c>
      <c r="C35571" t="inlineStr">
        <is>
          <t>1997-04-15</t>
        </is>
      </c>
    </row>
    <row r="35572">
      <c r="A35572" s="1" t="n">
        <v>35571</v>
      </c>
      <c r="B35572">
        <f>TEXT(35571, "[$-0E0000]yyyy-mm-dd")</f>
        <v/>
      </c>
      <c r="C35572" t="inlineStr">
        <is>
          <t>1997-04-16</t>
        </is>
      </c>
    </row>
    <row r="35573">
      <c r="A35573" s="1" t="n">
        <v>35572</v>
      </c>
      <c r="B35573">
        <f>TEXT(35572, "[$-0E0000]yyyy-mm-dd")</f>
        <v/>
      </c>
      <c r="C35573" t="inlineStr">
        <is>
          <t>1997-04-17</t>
        </is>
      </c>
    </row>
    <row r="35574">
      <c r="A35574" s="1" t="n">
        <v>35573</v>
      </c>
      <c r="B35574">
        <f>TEXT(35573, "[$-0E0000]yyyy-mm-dd")</f>
        <v/>
      </c>
      <c r="C35574" t="inlineStr">
        <is>
          <t>1997-04-18</t>
        </is>
      </c>
    </row>
    <row r="35575">
      <c r="A35575" s="1" t="n">
        <v>35574</v>
      </c>
      <c r="B35575">
        <f>TEXT(35574, "[$-0E0000]yyyy-mm-dd")</f>
        <v/>
      </c>
      <c r="C35575" t="inlineStr">
        <is>
          <t>1997-04-19</t>
        </is>
      </c>
    </row>
    <row r="35576">
      <c r="A35576" s="1" t="n">
        <v>35575</v>
      </c>
      <c r="B35576">
        <f>TEXT(35575, "[$-0E0000]yyyy-mm-dd")</f>
        <v/>
      </c>
      <c r="C35576" t="inlineStr">
        <is>
          <t>1997-04-20</t>
        </is>
      </c>
    </row>
    <row r="35577">
      <c r="A35577" s="1" t="n">
        <v>35576</v>
      </c>
      <c r="B35577">
        <f>TEXT(35576, "[$-0E0000]yyyy-mm-dd")</f>
        <v/>
      </c>
      <c r="C35577" t="inlineStr">
        <is>
          <t>1997-04-21</t>
        </is>
      </c>
    </row>
    <row r="35578">
      <c r="A35578" s="1" t="n">
        <v>35577</v>
      </c>
      <c r="B35578">
        <f>TEXT(35577, "[$-0E0000]yyyy-mm-dd")</f>
        <v/>
      </c>
      <c r="C35578" t="inlineStr">
        <is>
          <t>1997-04-22</t>
        </is>
      </c>
    </row>
    <row r="35579">
      <c r="A35579" s="1" t="n">
        <v>35578</v>
      </c>
      <c r="B35579">
        <f>TEXT(35578, "[$-0E0000]yyyy-mm-dd")</f>
        <v/>
      </c>
      <c r="C35579" t="inlineStr">
        <is>
          <t>1997-04-23</t>
        </is>
      </c>
    </row>
    <row r="35580">
      <c r="A35580" s="1" t="n">
        <v>35579</v>
      </c>
      <c r="B35580">
        <f>TEXT(35579, "[$-0E0000]yyyy-mm-dd")</f>
        <v/>
      </c>
      <c r="C35580" t="inlineStr">
        <is>
          <t>1997-04-24</t>
        </is>
      </c>
    </row>
    <row r="35581">
      <c r="A35581" s="1" t="n">
        <v>35580</v>
      </c>
      <c r="B35581">
        <f>TEXT(35580, "[$-0E0000]yyyy-mm-dd")</f>
        <v/>
      </c>
      <c r="C35581" t="inlineStr">
        <is>
          <t>1997-04-25</t>
        </is>
      </c>
    </row>
    <row r="35582">
      <c r="A35582" s="1" t="n">
        <v>35581</v>
      </c>
      <c r="B35582">
        <f>TEXT(35581, "[$-0E0000]yyyy-mm-dd")</f>
        <v/>
      </c>
      <c r="C35582" t="inlineStr">
        <is>
          <t>1997-04-26</t>
        </is>
      </c>
    </row>
    <row r="35583">
      <c r="A35583" s="1" t="n">
        <v>35582</v>
      </c>
      <c r="B35583">
        <f>TEXT(35582, "[$-0E0000]yyyy-mm-dd")</f>
        <v/>
      </c>
      <c r="C35583" t="inlineStr">
        <is>
          <t>1997-04-27</t>
        </is>
      </c>
    </row>
    <row r="35584">
      <c r="A35584" s="1" t="n">
        <v>35583</v>
      </c>
      <c r="B35584">
        <f>TEXT(35583, "[$-0E0000]yyyy-mm-dd")</f>
        <v/>
      </c>
      <c r="C35584" t="inlineStr">
        <is>
          <t>1997-04-28</t>
        </is>
      </c>
    </row>
    <row r="35585">
      <c r="A35585" s="1" t="n">
        <v>35584</v>
      </c>
      <c r="B35585">
        <f>TEXT(35584, "[$-0E0000]yyyy-mm-dd")</f>
        <v/>
      </c>
      <c r="C35585" t="inlineStr">
        <is>
          <t>1997-04-29</t>
        </is>
      </c>
    </row>
    <row r="35586">
      <c r="A35586" s="1" t="n">
        <v>35585</v>
      </c>
      <c r="B35586">
        <f>TEXT(35585, "[$-0E0000]yyyy-mm-dd")</f>
        <v/>
      </c>
      <c r="C35586" t="inlineStr">
        <is>
          <t>1997-05-01</t>
        </is>
      </c>
    </row>
    <row r="35587">
      <c r="A35587" s="1" t="n">
        <v>35586</v>
      </c>
      <c r="B35587">
        <f>TEXT(35586, "[$-0E0000]yyyy-mm-dd")</f>
        <v/>
      </c>
      <c r="C35587" t="inlineStr">
        <is>
          <t>1997-05-02</t>
        </is>
      </c>
    </row>
    <row r="35588">
      <c r="A35588" s="1" t="n">
        <v>35587</v>
      </c>
      <c r="B35588">
        <f>TEXT(35587, "[$-0E0000]yyyy-mm-dd")</f>
        <v/>
      </c>
      <c r="C35588" t="inlineStr">
        <is>
          <t>1997-05-03</t>
        </is>
      </c>
    </row>
    <row r="35589">
      <c r="A35589" s="1" t="n">
        <v>35588</v>
      </c>
      <c r="B35589">
        <f>TEXT(35588, "[$-0E0000]yyyy-mm-dd")</f>
        <v/>
      </c>
      <c r="C35589" t="inlineStr">
        <is>
          <t>1997-05-04</t>
        </is>
      </c>
    </row>
    <row r="35590">
      <c r="A35590" s="1" t="n">
        <v>35589</v>
      </c>
      <c r="B35590">
        <f>TEXT(35589, "[$-0E0000]yyyy-mm-dd")</f>
        <v/>
      </c>
      <c r="C35590" t="inlineStr">
        <is>
          <t>1997-05-05</t>
        </is>
      </c>
    </row>
    <row r="35591">
      <c r="A35591" s="1" t="n">
        <v>35590</v>
      </c>
      <c r="B35591">
        <f>TEXT(35590, "[$-0E0000]yyyy-mm-dd")</f>
        <v/>
      </c>
      <c r="C35591" t="inlineStr">
        <is>
          <t>1997-05-06</t>
        </is>
      </c>
    </row>
    <row r="35592">
      <c r="A35592" s="1" t="n">
        <v>35591</v>
      </c>
      <c r="B35592">
        <f>TEXT(35591, "[$-0E0000]yyyy-mm-dd")</f>
        <v/>
      </c>
      <c r="C35592" t="inlineStr">
        <is>
          <t>1997-05-07</t>
        </is>
      </c>
    </row>
    <row r="35593">
      <c r="A35593" s="1" t="n">
        <v>35592</v>
      </c>
      <c r="B35593">
        <f>TEXT(35592, "[$-0E0000]yyyy-mm-dd")</f>
        <v/>
      </c>
      <c r="C35593" t="inlineStr">
        <is>
          <t>1997-05-08</t>
        </is>
      </c>
    </row>
    <row r="35594">
      <c r="A35594" s="1" t="n">
        <v>35593</v>
      </c>
      <c r="B35594">
        <f>TEXT(35593, "[$-0E0000]yyyy-mm-dd")</f>
        <v/>
      </c>
      <c r="C35594" t="inlineStr">
        <is>
          <t>1997-05-09</t>
        </is>
      </c>
    </row>
    <row r="35595">
      <c r="A35595" s="1" t="n">
        <v>35594</v>
      </c>
      <c r="B35595">
        <f>TEXT(35594, "[$-0E0000]yyyy-mm-dd")</f>
        <v/>
      </c>
      <c r="C35595" t="inlineStr">
        <is>
          <t>1997-05-10</t>
        </is>
      </c>
    </row>
    <row r="35596">
      <c r="A35596" s="1" t="n">
        <v>35595</v>
      </c>
      <c r="B35596">
        <f>TEXT(35595, "[$-0E0000]yyyy-mm-dd")</f>
        <v/>
      </c>
      <c r="C35596" t="inlineStr">
        <is>
          <t>1997-05-11</t>
        </is>
      </c>
    </row>
    <row r="35597">
      <c r="A35597" s="1" t="n">
        <v>35596</v>
      </c>
      <c r="B35597">
        <f>TEXT(35596, "[$-0E0000]yyyy-mm-dd")</f>
        <v/>
      </c>
      <c r="C35597" t="inlineStr">
        <is>
          <t>1997-05-12</t>
        </is>
      </c>
    </row>
    <row r="35598">
      <c r="A35598" s="1" t="n">
        <v>35597</v>
      </c>
      <c r="B35598">
        <f>TEXT(35597, "[$-0E0000]yyyy-mm-dd")</f>
        <v/>
      </c>
      <c r="C35598" t="inlineStr">
        <is>
          <t>1997-05-13</t>
        </is>
      </c>
    </row>
    <row r="35599">
      <c r="A35599" s="1" t="n">
        <v>35598</v>
      </c>
      <c r="B35599">
        <f>TEXT(35598, "[$-0E0000]yyyy-mm-dd")</f>
        <v/>
      </c>
      <c r="C35599" t="inlineStr">
        <is>
          <t>1997-05-14</t>
        </is>
      </c>
    </row>
    <row r="35600">
      <c r="A35600" s="1" t="n">
        <v>35599</v>
      </c>
      <c r="B35600">
        <f>TEXT(35599, "[$-0E0000]yyyy-mm-dd")</f>
        <v/>
      </c>
      <c r="C35600" t="inlineStr">
        <is>
          <t>1997-05-15</t>
        </is>
      </c>
    </row>
    <row r="35601">
      <c r="A35601" s="1" t="n">
        <v>35600</v>
      </c>
      <c r="B35601">
        <f>TEXT(35600, "[$-0E0000]yyyy-mm-dd")</f>
        <v/>
      </c>
      <c r="C35601" t="inlineStr">
        <is>
          <t>1997-05-16</t>
        </is>
      </c>
    </row>
    <row r="35602">
      <c r="A35602" s="1" t="n">
        <v>35601</v>
      </c>
      <c r="B35602">
        <f>TEXT(35601, "[$-0E0000]yyyy-mm-dd")</f>
        <v/>
      </c>
      <c r="C35602" t="inlineStr">
        <is>
          <t>1997-05-17</t>
        </is>
      </c>
    </row>
    <row r="35603">
      <c r="A35603" s="1" t="n">
        <v>35602</v>
      </c>
      <c r="B35603">
        <f>TEXT(35602, "[$-0E0000]yyyy-mm-dd")</f>
        <v/>
      </c>
      <c r="C35603" t="inlineStr">
        <is>
          <t>1997-05-18</t>
        </is>
      </c>
    </row>
    <row r="35604">
      <c r="A35604" s="1" t="n">
        <v>35603</v>
      </c>
      <c r="B35604">
        <f>TEXT(35603, "[$-0E0000]yyyy-mm-dd")</f>
        <v/>
      </c>
      <c r="C35604" t="inlineStr">
        <is>
          <t>1997-05-19</t>
        </is>
      </c>
    </row>
    <row r="35605">
      <c r="A35605" s="1" t="n">
        <v>35604</v>
      </c>
      <c r="B35605">
        <f>TEXT(35604, "[$-0E0000]yyyy-mm-dd")</f>
        <v/>
      </c>
      <c r="C35605" t="inlineStr">
        <is>
          <t>1997-05-20</t>
        </is>
      </c>
    </row>
    <row r="35606">
      <c r="A35606" s="1" t="n">
        <v>35605</v>
      </c>
      <c r="B35606">
        <f>TEXT(35605, "[$-0E0000]yyyy-mm-dd")</f>
        <v/>
      </c>
      <c r="C35606" t="inlineStr">
        <is>
          <t>1997-05-21</t>
        </is>
      </c>
    </row>
    <row r="35607">
      <c r="A35607" s="1" t="n">
        <v>35606</v>
      </c>
      <c r="B35607">
        <f>TEXT(35606, "[$-0E0000]yyyy-mm-dd")</f>
        <v/>
      </c>
      <c r="C35607" t="inlineStr">
        <is>
          <t>1997-05-22</t>
        </is>
      </c>
    </row>
    <row r="35608">
      <c r="A35608" s="1" t="n">
        <v>35607</v>
      </c>
      <c r="B35608">
        <f>TEXT(35607, "[$-0E0000]yyyy-mm-dd")</f>
        <v/>
      </c>
      <c r="C35608" t="inlineStr">
        <is>
          <t>1997-05-23</t>
        </is>
      </c>
    </row>
    <row r="35609">
      <c r="A35609" s="1" t="n">
        <v>35608</v>
      </c>
      <c r="B35609">
        <f>TEXT(35608, "[$-0E0000]yyyy-mm-dd")</f>
        <v/>
      </c>
      <c r="C35609" t="inlineStr">
        <is>
          <t>1997-05-24</t>
        </is>
      </c>
    </row>
    <row r="35610">
      <c r="A35610" s="1" t="n">
        <v>35609</v>
      </c>
      <c r="B35610">
        <f>TEXT(35609, "[$-0E0000]yyyy-mm-dd")</f>
        <v/>
      </c>
      <c r="C35610" t="inlineStr">
        <is>
          <t>1997-05-25</t>
        </is>
      </c>
    </row>
    <row r="35611">
      <c r="A35611" s="1" t="n">
        <v>35610</v>
      </c>
      <c r="B35611">
        <f>TEXT(35610, "[$-0E0000]yyyy-mm-dd")</f>
        <v/>
      </c>
      <c r="C35611" t="inlineStr">
        <is>
          <t>1997-05-26</t>
        </is>
      </c>
    </row>
    <row r="35612">
      <c r="A35612" s="1" t="n">
        <v>35611</v>
      </c>
      <c r="B35612">
        <f>TEXT(35611, "[$-0E0000]yyyy-mm-dd")</f>
        <v/>
      </c>
      <c r="C35612" t="inlineStr">
        <is>
          <t>1997-05-27</t>
        </is>
      </c>
    </row>
    <row r="35613">
      <c r="A35613" s="1" t="n">
        <v>35612</v>
      </c>
      <c r="B35613">
        <f>TEXT(35612, "[$-0E0000]yyyy-mm-dd")</f>
        <v/>
      </c>
      <c r="C35613" t="inlineStr">
        <is>
          <t>1997-05-28</t>
        </is>
      </c>
    </row>
    <row r="35614">
      <c r="A35614" s="1" t="n">
        <v>35613</v>
      </c>
      <c r="B35614">
        <f>TEXT(35613, "[$-0E0000]yyyy-mm-dd")</f>
        <v/>
      </c>
      <c r="C35614" t="inlineStr">
        <is>
          <t>1997-05-29</t>
        </is>
      </c>
    </row>
    <row r="35615">
      <c r="A35615" s="1" t="n">
        <v>35614</v>
      </c>
      <c r="B35615">
        <f>TEXT(35614, "[$-0E0000]yyyy-mm-dd")</f>
        <v/>
      </c>
      <c r="C35615" t="inlineStr">
        <is>
          <t>1997-05-30</t>
        </is>
      </c>
    </row>
    <row r="35616">
      <c r="A35616" s="1" t="n">
        <v>35615</v>
      </c>
      <c r="B35616">
        <f>TEXT(35615, "[$-0E0000]yyyy-mm-dd")</f>
        <v/>
      </c>
      <c r="C35616" t="inlineStr">
        <is>
          <t>1997-06-01</t>
        </is>
      </c>
    </row>
    <row r="35617">
      <c r="A35617" s="1" t="n">
        <v>35616</v>
      </c>
      <c r="B35617">
        <f>TEXT(35616, "[$-0E0000]yyyy-mm-dd")</f>
        <v/>
      </c>
      <c r="C35617" t="inlineStr">
        <is>
          <t>1997-06-02</t>
        </is>
      </c>
    </row>
    <row r="35618">
      <c r="A35618" s="1" t="n">
        <v>35617</v>
      </c>
      <c r="B35618">
        <f>TEXT(35617, "[$-0E0000]yyyy-mm-dd")</f>
        <v/>
      </c>
      <c r="C35618" t="inlineStr">
        <is>
          <t>1997-06-03</t>
        </is>
      </c>
    </row>
    <row r="35619">
      <c r="A35619" s="1" t="n">
        <v>35618</v>
      </c>
      <c r="B35619">
        <f>TEXT(35618, "[$-0E0000]yyyy-mm-dd")</f>
        <v/>
      </c>
      <c r="C35619" t="inlineStr">
        <is>
          <t>1997-06-04</t>
        </is>
      </c>
    </row>
    <row r="35620">
      <c r="A35620" s="1" t="n">
        <v>35619</v>
      </c>
      <c r="B35620">
        <f>TEXT(35619, "[$-0E0000]yyyy-mm-dd")</f>
        <v/>
      </c>
      <c r="C35620" t="inlineStr">
        <is>
          <t>1997-06-05</t>
        </is>
      </c>
    </row>
    <row r="35621">
      <c r="A35621" s="1" t="n">
        <v>35620</v>
      </c>
      <c r="B35621">
        <f>TEXT(35620, "[$-0E0000]yyyy-mm-dd")</f>
        <v/>
      </c>
      <c r="C35621" t="inlineStr">
        <is>
          <t>1997-06-06</t>
        </is>
      </c>
    </row>
    <row r="35622">
      <c r="A35622" s="1" t="n">
        <v>35621</v>
      </c>
      <c r="B35622">
        <f>TEXT(35621, "[$-0E0000]yyyy-mm-dd")</f>
        <v/>
      </c>
      <c r="C35622" t="inlineStr">
        <is>
          <t>1997-06-07</t>
        </is>
      </c>
    </row>
    <row r="35623">
      <c r="A35623" s="1" t="n">
        <v>35622</v>
      </c>
      <c r="B35623">
        <f>TEXT(35622, "[$-0E0000]yyyy-mm-dd")</f>
        <v/>
      </c>
      <c r="C35623" t="inlineStr">
        <is>
          <t>1997-06-08</t>
        </is>
      </c>
    </row>
    <row r="35624">
      <c r="A35624" s="1" t="n">
        <v>35623</v>
      </c>
      <c r="B35624">
        <f>TEXT(35623, "[$-0E0000]yyyy-mm-dd")</f>
        <v/>
      </c>
      <c r="C35624" t="inlineStr">
        <is>
          <t>1997-06-09</t>
        </is>
      </c>
    </row>
    <row r="35625">
      <c r="A35625" s="1" t="n">
        <v>35624</v>
      </c>
      <c r="B35625">
        <f>TEXT(35624, "[$-0E0000]yyyy-mm-dd")</f>
        <v/>
      </c>
      <c r="C35625" t="inlineStr">
        <is>
          <t>1997-06-10</t>
        </is>
      </c>
    </row>
    <row r="35626">
      <c r="A35626" s="1" t="n">
        <v>35625</v>
      </c>
      <c r="B35626">
        <f>TEXT(35625, "[$-0E0000]yyyy-mm-dd")</f>
        <v/>
      </c>
      <c r="C35626" t="inlineStr">
        <is>
          <t>1997-06-11</t>
        </is>
      </c>
    </row>
    <row r="35627">
      <c r="A35627" s="1" t="n">
        <v>35626</v>
      </c>
      <c r="B35627">
        <f>TEXT(35626, "[$-0E0000]yyyy-mm-dd")</f>
        <v/>
      </c>
      <c r="C35627" t="inlineStr">
        <is>
          <t>1997-06-12</t>
        </is>
      </c>
    </row>
    <row r="35628">
      <c r="A35628" s="1" t="n">
        <v>35627</v>
      </c>
      <c r="B35628">
        <f>TEXT(35627, "[$-0E0000]yyyy-mm-dd")</f>
        <v/>
      </c>
      <c r="C35628" t="inlineStr">
        <is>
          <t>1997-06-13</t>
        </is>
      </c>
    </row>
    <row r="35629">
      <c r="A35629" s="1" t="n">
        <v>35628</v>
      </c>
      <c r="B35629">
        <f>TEXT(35628, "[$-0E0000]yyyy-mm-dd")</f>
        <v/>
      </c>
      <c r="C35629" t="inlineStr">
        <is>
          <t>1997-06-14</t>
        </is>
      </c>
    </row>
    <row r="35630">
      <c r="A35630" s="1" t="n">
        <v>35629</v>
      </c>
      <c r="B35630">
        <f>TEXT(35629, "[$-0E0000]yyyy-mm-dd")</f>
        <v/>
      </c>
      <c r="C35630" t="inlineStr">
        <is>
          <t>1997-06-15</t>
        </is>
      </c>
    </row>
    <row r="35631">
      <c r="A35631" s="1" t="n">
        <v>35630</v>
      </c>
      <c r="B35631">
        <f>TEXT(35630, "[$-0E0000]yyyy-mm-dd")</f>
        <v/>
      </c>
      <c r="C35631" t="inlineStr">
        <is>
          <t>1997-06-16</t>
        </is>
      </c>
    </row>
    <row r="35632">
      <c r="A35632" s="1" t="n">
        <v>35631</v>
      </c>
      <c r="B35632">
        <f>TEXT(35631, "[$-0E0000]yyyy-mm-dd")</f>
        <v/>
      </c>
      <c r="C35632" t="inlineStr">
        <is>
          <t>1997-06-17</t>
        </is>
      </c>
    </row>
    <row r="35633">
      <c r="A35633" s="1" t="n">
        <v>35632</v>
      </c>
      <c r="B35633">
        <f>TEXT(35632, "[$-0E0000]yyyy-mm-dd")</f>
        <v/>
      </c>
      <c r="C35633" t="inlineStr">
        <is>
          <t>1997-06-18</t>
        </is>
      </c>
    </row>
    <row r="35634">
      <c r="A35634" s="1" t="n">
        <v>35633</v>
      </c>
      <c r="B35634">
        <f>TEXT(35633, "[$-0E0000]yyyy-mm-dd")</f>
        <v/>
      </c>
      <c r="C35634" t="inlineStr">
        <is>
          <t>1997-06-19</t>
        </is>
      </c>
    </row>
    <row r="35635">
      <c r="A35635" s="1" t="n">
        <v>35634</v>
      </c>
      <c r="B35635">
        <f>TEXT(35634, "[$-0E0000]yyyy-mm-dd")</f>
        <v/>
      </c>
      <c r="C35635" t="inlineStr">
        <is>
          <t>1997-06-20</t>
        </is>
      </c>
    </row>
    <row r="35636">
      <c r="A35636" s="1" t="n">
        <v>35635</v>
      </c>
      <c r="B35636">
        <f>TEXT(35635, "[$-0E0000]yyyy-mm-dd")</f>
        <v/>
      </c>
      <c r="C35636" t="inlineStr">
        <is>
          <t>1997-06-21</t>
        </is>
      </c>
    </row>
    <row r="35637">
      <c r="A35637" s="1" t="n">
        <v>35636</v>
      </c>
      <c r="B35637">
        <f>TEXT(35636, "[$-0E0000]yyyy-mm-dd")</f>
        <v/>
      </c>
      <c r="C35637" t="inlineStr">
        <is>
          <t>1997-06-22</t>
        </is>
      </c>
    </row>
    <row r="35638">
      <c r="A35638" s="1" t="n">
        <v>35637</v>
      </c>
      <c r="B35638">
        <f>TEXT(35637, "[$-0E0000]yyyy-mm-dd")</f>
        <v/>
      </c>
      <c r="C35638" t="inlineStr">
        <is>
          <t>1997-06-23</t>
        </is>
      </c>
    </row>
    <row r="35639">
      <c r="A35639" s="1" t="n">
        <v>35638</v>
      </c>
      <c r="B35639">
        <f>TEXT(35638, "[$-0E0000]yyyy-mm-dd")</f>
        <v/>
      </c>
      <c r="C35639" t="inlineStr">
        <is>
          <t>1997-06-24</t>
        </is>
      </c>
    </row>
    <row r="35640">
      <c r="A35640" s="1" t="n">
        <v>35639</v>
      </c>
      <c r="B35640">
        <f>TEXT(35639, "[$-0E0000]yyyy-mm-dd")</f>
        <v/>
      </c>
      <c r="C35640" t="inlineStr">
        <is>
          <t>1997-06-25</t>
        </is>
      </c>
    </row>
    <row r="35641">
      <c r="A35641" s="1" t="n">
        <v>35640</v>
      </c>
      <c r="B35641">
        <f>TEXT(35640, "[$-0E0000]yyyy-mm-dd")</f>
        <v/>
      </c>
      <c r="C35641" t="inlineStr">
        <is>
          <t>1997-06-26</t>
        </is>
      </c>
    </row>
    <row r="35642">
      <c r="A35642" s="1" t="n">
        <v>35641</v>
      </c>
      <c r="B35642">
        <f>TEXT(35641, "[$-0E0000]yyyy-mm-dd")</f>
        <v/>
      </c>
      <c r="C35642" t="inlineStr">
        <is>
          <t>1997-06-27</t>
        </is>
      </c>
    </row>
    <row r="35643">
      <c r="A35643" s="1" t="n">
        <v>35642</v>
      </c>
      <c r="B35643">
        <f>TEXT(35642, "[$-0E0000]yyyy-mm-dd")</f>
        <v/>
      </c>
      <c r="C35643" t="inlineStr">
        <is>
          <t>1997-06-28</t>
        </is>
      </c>
    </row>
    <row r="35644">
      <c r="A35644" s="1" t="n">
        <v>35643</v>
      </c>
      <c r="B35644">
        <f>TEXT(35643, "[$-0E0000]yyyy-mm-dd")</f>
        <v/>
      </c>
      <c r="C35644" t="inlineStr">
        <is>
          <t>1997-06-29</t>
        </is>
      </c>
    </row>
    <row r="35645">
      <c r="A35645" s="1" t="n">
        <v>35644</v>
      </c>
      <c r="B35645">
        <f>TEXT(35644, "[$-0E0000]yyyy-mm-dd")</f>
        <v/>
      </c>
      <c r="C35645" t="inlineStr">
        <is>
          <t>1997-07-01</t>
        </is>
      </c>
    </row>
    <row r="35646">
      <c r="A35646" s="1" t="n">
        <v>35645</v>
      </c>
      <c r="B35646">
        <f>TEXT(35645, "[$-0E0000]yyyy-mm-dd")</f>
        <v/>
      </c>
      <c r="C35646" t="inlineStr">
        <is>
          <t>1997-07-02</t>
        </is>
      </c>
    </row>
    <row r="35647">
      <c r="A35647" s="1" t="n">
        <v>35646</v>
      </c>
      <c r="B35647">
        <f>TEXT(35646, "[$-0E0000]yyyy-mm-dd")</f>
        <v/>
      </c>
      <c r="C35647" t="inlineStr">
        <is>
          <t>1997-07-03</t>
        </is>
      </c>
    </row>
    <row r="35648">
      <c r="A35648" s="1" t="n">
        <v>35647</v>
      </c>
      <c r="B35648">
        <f>TEXT(35647, "[$-0E0000]yyyy-mm-dd")</f>
        <v/>
      </c>
      <c r="C35648" t="inlineStr">
        <is>
          <t>1997-07-04</t>
        </is>
      </c>
    </row>
    <row r="35649">
      <c r="A35649" s="1" t="n">
        <v>35648</v>
      </c>
      <c r="B35649">
        <f>TEXT(35648, "[$-0E0000]yyyy-mm-dd")</f>
        <v/>
      </c>
      <c r="C35649" t="inlineStr">
        <is>
          <t>1997-07-05</t>
        </is>
      </c>
    </row>
    <row r="35650">
      <c r="A35650" s="1" t="n">
        <v>35649</v>
      </c>
      <c r="B35650">
        <f>TEXT(35649, "[$-0E0000]yyyy-mm-dd")</f>
        <v/>
      </c>
      <c r="C35650" t="inlineStr">
        <is>
          <t>1997-07-06</t>
        </is>
      </c>
    </row>
    <row r="35651">
      <c r="A35651" s="1" t="n">
        <v>35650</v>
      </c>
      <c r="B35651">
        <f>TEXT(35650, "[$-0E0000]yyyy-mm-dd")</f>
        <v/>
      </c>
      <c r="C35651" t="inlineStr">
        <is>
          <t>1997-07-07</t>
        </is>
      </c>
    </row>
    <row r="35652">
      <c r="A35652" s="1" t="n">
        <v>35651</v>
      </c>
      <c r="B35652">
        <f>TEXT(35651, "[$-0E0000]yyyy-mm-dd")</f>
        <v/>
      </c>
      <c r="C35652" t="inlineStr">
        <is>
          <t>1997-07-08</t>
        </is>
      </c>
    </row>
    <row r="35653">
      <c r="A35653" s="1" t="n">
        <v>35652</v>
      </c>
      <c r="B35653">
        <f>TEXT(35652, "[$-0E0000]yyyy-mm-dd")</f>
        <v/>
      </c>
      <c r="C35653" t="inlineStr">
        <is>
          <t>1997-07-09</t>
        </is>
      </c>
    </row>
    <row r="35654">
      <c r="A35654" s="1" t="n">
        <v>35653</v>
      </c>
      <c r="B35654">
        <f>TEXT(35653, "[$-0E0000]yyyy-mm-dd")</f>
        <v/>
      </c>
      <c r="C35654" t="inlineStr">
        <is>
          <t>1997-07-10</t>
        </is>
      </c>
    </row>
    <row r="35655">
      <c r="A35655" s="1" t="n">
        <v>35654</v>
      </c>
      <c r="B35655">
        <f>TEXT(35654, "[$-0E0000]yyyy-mm-dd")</f>
        <v/>
      </c>
      <c r="C35655" t="inlineStr">
        <is>
          <t>1997-07-11</t>
        </is>
      </c>
    </row>
    <row r="35656">
      <c r="A35656" s="1" t="n">
        <v>35655</v>
      </c>
      <c r="B35656">
        <f>TEXT(35655, "[$-0E0000]yyyy-mm-dd")</f>
        <v/>
      </c>
      <c r="C35656" t="inlineStr">
        <is>
          <t>1997-07-12</t>
        </is>
      </c>
    </row>
    <row r="35657">
      <c r="A35657" s="1" t="n">
        <v>35656</v>
      </c>
      <c r="B35657">
        <f>TEXT(35656, "[$-0E0000]yyyy-mm-dd")</f>
        <v/>
      </c>
      <c r="C35657" t="inlineStr">
        <is>
          <t>1997-07-13</t>
        </is>
      </c>
    </row>
    <row r="35658">
      <c r="A35658" s="1" t="n">
        <v>35657</v>
      </c>
      <c r="B35658">
        <f>TEXT(35657, "[$-0E0000]yyyy-mm-dd")</f>
        <v/>
      </c>
      <c r="C35658" t="inlineStr">
        <is>
          <t>1997-07-14</t>
        </is>
      </c>
    </row>
    <row r="35659">
      <c r="A35659" s="1" t="n">
        <v>35658</v>
      </c>
      <c r="B35659">
        <f>TEXT(35658, "[$-0E0000]yyyy-mm-dd")</f>
        <v/>
      </c>
      <c r="C35659" t="inlineStr">
        <is>
          <t>1997-07-15</t>
        </is>
      </c>
    </row>
    <row r="35660">
      <c r="A35660" s="1" t="n">
        <v>35659</v>
      </c>
      <c r="B35660">
        <f>TEXT(35659, "[$-0E0000]yyyy-mm-dd")</f>
        <v/>
      </c>
      <c r="C35660" t="inlineStr">
        <is>
          <t>1997-07-16</t>
        </is>
      </c>
    </row>
    <row r="35661">
      <c r="A35661" s="1" t="n">
        <v>35660</v>
      </c>
      <c r="B35661">
        <f>TEXT(35660, "[$-0E0000]yyyy-mm-dd")</f>
        <v/>
      </c>
      <c r="C35661" t="inlineStr">
        <is>
          <t>1997-07-17</t>
        </is>
      </c>
    </row>
    <row r="35662">
      <c r="A35662" s="1" t="n">
        <v>35661</v>
      </c>
      <c r="B35662">
        <f>TEXT(35661, "[$-0E0000]yyyy-mm-dd")</f>
        <v/>
      </c>
      <c r="C35662" t="inlineStr">
        <is>
          <t>1997-07-18</t>
        </is>
      </c>
    </row>
    <row r="35663">
      <c r="A35663" s="1" t="n">
        <v>35662</v>
      </c>
      <c r="B35663">
        <f>TEXT(35662, "[$-0E0000]yyyy-mm-dd")</f>
        <v/>
      </c>
      <c r="C35663" t="inlineStr">
        <is>
          <t>1997-07-19</t>
        </is>
      </c>
    </row>
    <row r="35664">
      <c r="A35664" s="1" t="n">
        <v>35663</v>
      </c>
      <c r="B35664">
        <f>TEXT(35663, "[$-0E0000]yyyy-mm-dd")</f>
        <v/>
      </c>
      <c r="C35664" t="inlineStr">
        <is>
          <t>1997-07-20</t>
        </is>
      </c>
    </row>
    <row r="35665">
      <c r="A35665" s="1" t="n">
        <v>35664</v>
      </c>
      <c r="B35665">
        <f>TEXT(35664, "[$-0E0000]yyyy-mm-dd")</f>
        <v/>
      </c>
      <c r="C35665" t="inlineStr">
        <is>
          <t>1997-07-21</t>
        </is>
      </c>
    </row>
    <row r="35666">
      <c r="A35666" s="1" t="n">
        <v>35665</v>
      </c>
      <c r="B35666">
        <f>TEXT(35665, "[$-0E0000]yyyy-mm-dd")</f>
        <v/>
      </c>
      <c r="C35666" t="inlineStr">
        <is>
          <t>1997-07-22</t>
        </is>
      </c>
    </row>
    <row r="35667">
      <c r="A35667" s="1" t="n">
        <v>35666</v>
      </c>
      <c r="B35667">
        <f>TEXT(35666, "[$-0E0000]yyyy-mm-dd")</f>
        <v/>
      </c>
      <c r="C35667" t="inlineStr">
        <is>
          <t>1997-07-23</t>
        </is>
      </c>
    </row>
    <row r="35668">
      <c r="A35668" s="1" t="n">
        <v>35667</v>
      </c>
      <c r="B35668">
        <f>TEXT(35667, "[$-0E0000]yyyy-mm-dd")</f>
        <v/>
      </c>
      <c r="C35668" t="inlineStr">
        <is>
          <t>1997-07-24</t>
        </is>
      </c>
    </row>
    <row r="35669">
      <c r="A35669" s="1" t="n">
        <v>35668</v>
      </c>
      <c r="B35669">
        <f>TEXT(35668, "[$-0E0000]yyyy-mm-dd")</f>
        <v/>
      </c>
      <c r="C35669" t="inlineStr">
        <is>
          <t>1997-07-25</t>
        </is>
      </c>
    </row>
    <row r="35670">
      <c r="A35670" s="1" t="n">
        <v>35669</v>
      </c>
      <c r="B35670">
        <f>TEXT(35669, "[$-0E0000]yyyy-mm-dd")</f>
        <v/>
      </c>
      <c r="C35670" t="inlineStr">
        <is>
          <t>1997-07-26</t>
        </is>
      </c>
    </row>
    <row r="35671">
      <c r="A35671" s="1" t="n">
        <v>35670</v>
      </c>
      <c r="B35671">
        <f>TEXT(35670, "[$-0E0000]yyyy-mm-dd")</f>
        <v/>
      </c>
      <c r="C35671" t="inlineStr">
        <is>
          <t>1997-07-27</t>
        </is>
      </c>
    </row>
    <row r="35672">
      <c r="A35672" s="1" t="n">
        <v>35671</v>
      </c>
      <c r="B35672">
        <f>TEXT(35671, "[$-0E0000]yyyy-mm-dd")</f>
        <v/>
      </c>
      <c r="C35672" t="inlineStr">
        <is>
          <t>1997-07-28</t>
        </is>
      </c>
    </row>
    <row r="35673">
      <c r="A35673" s="1" t="n">
        <v>35672</v>
      </c>
      <c r="B35673">
        <f>TEXT(35672, "[$-0E0000]yyyy-mm-dd")</f>
        <v/>
      </c>
      <c r="C35673" t="inlineStr">
        <is>
          <t>1997-07-29</t>
        </is>
      </c>
    </row>
    <row r="35674">
      <c r="A35674" s="1" t="n">
        <v>35673</v>
      </c>
      <c r="B35674">
        <f>TEXT(35673, "[$-0E0000]yyyy-mm-dd")</f>
        <v/>
      </c>
      <c r="C35674" t="inlineStr">
        <is>
          <t>1997-07-30</t>
        </is>
      </c>
    </row>
    <row r="35675">
      <c r="A35675" s="1" t="n">
        <v>35674</v>
      </c>
      <c r="B35675">
        <f>TEXT(35674, "[$-0E0000]yyyy-mm-dd")</f>
        <v/>
      </c>
      <c r="C35675" t="inlineStr">
        <is>
          <t>1997-08-01</t>
        </is>
      </c>
    </row>
    <row r="35676">
      <c r="A35676" s="1" t="n">
        <v>35675</v>
      </c>
      <c r="B35676">
        <f>TEXT(35675, "[$-0E0000]yyyy-mm-dd")</f>
        <v/>
      </c>
      <c r="C35676" t="inlineStr">
        <is>
          <t>1997-08-02</t>
        </is>
      </c>
    </row>
    <row r="35677">
      <c r="A35677" s="1" t="n">
        <v>35676</v>
      </c>
      <c r="B35677">
        <f>TEXT(35676, "[$-0E0000]yyyy-mm-dd")</f>
        <v/>
      </c>
      <c r="C35677" t="inlineStr">
        <is>
          <t>1997-08-03</t>
        </is>
      </c>
    </row>
    <row r="35678">
      <c r="A35678" s="1" t="n">
        <v>35677</v>
      </c>
      <c r="B35678">
        <f>TEXT(35677, "[$-0E0000]yyyy-mm-dd")</f>
        <v/>
      </c>
      <c r="C35678" t="inlineStr">
        <is>
          <t>1997-08-04</t>
        </is>
      </c>
    </row>
    <row r="35679">
      <c r="A35679" s="1" t="n">
        <v>35678</v>
      </c>
      <c r="B35679">
        <f>TEXT(35678, "[$-0E0000]yyyy-mm-dd")</f>
        <v/>
      </c>
      <c r="C35679" t="inlineStr">
        <is>
          <t>1997-08-05</t>
        </is>
      </c>
    </row>
    <row r="35680">
      <c r="A35680" s="1" t="n">
        <v>35679</v>
      </c>
      <c r="B35680">
        <f>TEXT(35679, "[$-0E0000]yyyy-mm-dd")</f>
        <v/>
      </c>
      <c r="C35680" t="inlineStr">
        <is>
          <t>1997-08-06</t>
        </is>
      </c>
    </row>
    <row r="35681">
      <c r="A35681" s="1" t="n">
        <v>35680</v>
      </c>
      <c r="B35681">
        <f>TEXT(35680, "[$-0E0000]yyyy-mm-dd")</f>
        <v/>
      </c>
      <c r="C35681" t="inlineStr">
        <is>
          <t>1997-08-07</t>
        </is>
      </c>
    </row>
    <row r="35682">
      <c r="A35682" s="1" t="n">
        <v>35681</v>
      </c>
      <c r="B35682">
        <f>TEXT(35681, "[$-0E0000]yyyy-mm-dd")</f>
        <v/>
      </c>
      <c r="C35682" t="inlineStr">
        <is>
          <t>1997-08-08</t>
        </is>
      </c>
    </row>
    <row r="35683">
      <c r="A35683" s="1" t="n">
        <v>35682</v>
      </c>
      <c r="B35683">
        <f>TEXT(35682, "[$-0E0000]yyyy-mm-dd")</f>
        <v/>
      </c>
      <c r="C35683" t="inlineStr">
        <is>
          <t>1997-08-09</t>
        </is>
      </c>
    </row>
    <row r="35684">
      <c r="A35684" s="1" t="n">
        <v>35683</v>
      </c>
      <c r="B35684">
        <f>TEXT(35683, "[$-0E0000]yyyy-mm-dd")</f>
        <v/>
      </c>
      <c r="C35684" t="inlineStr">
        <is>
          <t>1997-08-10</t>
        </is>
      </c>
    </row>
    <row r="35685">
      <c r="A35685" s="1" t="n">
        <v>35684</v>
      </c>
      <c r="B35685">
        <f>TEXT(35684, "[$-0E0000]yyyy-mm-dd")</f>
        <v/>
      </c>
      <c r="C35685" t="inlineStr">
        <is>
          <t>1997-08-11</t>
        </is>
      </c>
    </row>
    <row r="35686">
      <c r="A35686" s="1" t="n">
        <v>35685</v>
      </c>
      <c r="B35686">
        <f>TEXT(35685, "[$-0E0000]yyyy-mm-dd")</f>
        <v/>
      </c>
      <c r="C35686" t="inlineStr">
        <is>
          <t>1997-08-12</t>
        </is>
      </c>
    </row>
    <row r="35687">
      <c r="A35687" s="1" t="n">
        <v>35686</v>
      </c>
      <c r="B35687">
        <f>TEXT(35686, "[$-0E0000]yyyy-mm-dd")</f>
        <v/>
      </c>
      <c r="C35687" t="inlineStr">
        <is>
          <t>1997-08-13</t>
        </is>
      </c>
    </row>
    <row r="35688">
      <c r="A35688" s="1" t="n">
        <v>35687</v>
      </c>
      <c r="B35688">
        <f>TEXT(35687, "[$-0E0000]yyyy-mm-dd")</f>
        <v/>
      </c>
      <c r="C35688" t="inlineStr">
        <is>
          <t>1997-08-14</t>
        </is>
      </c>
    </row>
    <row r="35689">
      <c r="A35689" s="1" t="n">
        <v>35688</v>
      </c>
      <c r="B35689">
        <f>TEXT(35688, "[$-0E0000]yyyy-mm-dd")</f>
        <v/>
      </c>
      <c r="C35689" t="inlineStr">
        <is>
          <t>1997-08-15</t>
        </is>
      </c>
    </row>
    <row r="35690">
      <c r="A35690" s="1" t="n">
        <v>35689</v>
      </c>
      <c r="B35690">
        <f>TEXT(35689, "[$-0E0000]yyyy-mm-dd")</f>
        <v/>
      </c>
      <c r="C35690" t="inlineStr">
        <is>
          <t>1997-08-16</t>
        </is>
      </c>
    </row>
    <row r="35691">
      <c r="A35691" s="1" t="n">
        <v>35690</v>
      </c>
      <c r="B35691">
        <f>TEXT(35690, "[$-0E0000]yyyy-mm-dd")</f>
        <v/>
      </c>
      <c r="C35691" t="inlineStr">
        <is>
          <t>1997-08-17</t>
        </is>
      </c>
    </row>
    <row r="35692">
      <c r="A35692" s="1" t="n">
        <v>35691</v>
      </c>
      <c r="B35692">
        <f>TEXT(35691, "[$-0E0000]yyyy-mm-dd")</f>
        <v/>
      </c>
      <c r="C35692" t="inlineStr">
        <is>
          <t>1997-08-18</t>
        </is>
      </c>
    </row>
    <row r="35693">
      <c r="A35693" s="1" t="n">
        <v>35692</v>
      </c>
      <c r="B35693">
        <f>TEXT(35692, "[$-0E0000]yyyy-mm-dd")</f>
        <v/>
      </c>
      <c r="C35693" t="inlineStr">
        <is>
          <t>1997-08-19</t>
        </is>
      </c>
    </row>
    <row r="35694">
      <c r="A35694" s="1" t="n">
        <v>35693</v>
      </c>
      <c r="B35694">
        <f>TEXT(35693, "[$-0E0000]yyyy-mm-dd")</f>
        <v/>
      </c>
      <c r="C35694" t="inlineStr">
        <is>
          <t>1997-08-20</t>
        </is>
      </c>
    </row>
    <row r="35695">
      <c r="A35695" s="1" t="n">
        <v>35694</v>
      </c>
      <c r="B35695">
        <f>TEXT(35694, "[$-0E0000]yyyy-mm-dd")</f>
        <v/>
      </c>
      <c r="C35695" t="inlineStr">
        <is>
          <t>1997-08-21</t>
        </is>
      </c>
    </row>
    <row r="35696">
      <c r="A35696" s="1" t="n">
        <v>35695</v>
      </c>
      <c r="B35696">
        <f>TEXT(35695, "[$-0E0000]yyyy-mm-dd")</f>
        <v/>
      </c>
      <c r="C35696" t="inlineStr">
        <is>
          <t>1997-08-22</t>
        </is>
      </c>
    </row>
    <row r="35697">
      <c r="A35697" s="1" t="n">
        <v>35696</v>
      </c>
      <c r="B35697">
        <f>TEXT(35696, "[$-0E0000]yyyy-mm-dd")</f>
        <v/>
      </c>
      <c r="C35697" t="inlineStr">
        <is>
          <t>1997-08-23</t>
        </is>
      </c>
    </row>
    <row r="35698">
      <c r="A35698" s="1" t="n">
        <v>35697</v>
      </c>
      <c r="B35698">
        <f>TEXT(35697, "[$-0E0000]yyyy-mm-dd")</f>
        <v/>
      </c>
      <c r="C35698" t="inlineStr">
        <is>
          <t>1997-08-24</t>
        </is>
      </c>
    </row>
    <row r="35699">
      <c r="A35699" s="1" t="n">
        <v>35698</v>
      </c>
      <c r="B35699">
        <f>TEXT(35698, "[$-0E0000]yyyy-mm-dd")</f>
        <v/>
      </c>
      <c r="C35699" t="inlineStr">
        <is>
          <t>1997-08-25</t>
        </is>
      </c>
    </row>
    <row r="35700">
      <c r="A35700" s="1" t="n">
        <v>35699</v>
      </c>
      <c r="B35700">
        <f>TEXT(35699, "[$-0E0000]yyyy-mm-dd")</f>
        <v/>
      </c>
      <c r="C35700" t="inlineStr">
        <is>
          <t>1997-08-26</t>
        </is>
      </c>
    </row>
    <row r="35701">
      <c r="A35701" s="1" t="n">
        <v>35700</v>
      </c>
      <c r="B35701">
        <f>TEXT(35700, "[$-0E0000]yyyy-mm-dd")</f>
        <v/>
      </c>
      <c r="C35701" t="inlineStr">
        <is>
          <t>1997-08-27</t>
        </is>
      </c>
    </row>
    <row r="35702">
      <c r="A35702" s="1" t="n">
        <v>35701</v>
      </c>
      <c r="B35702">
        <f>TEXT(35701, "[$-0E0000]yyyy-mm-dd")</f>
        <v/>
      </c>
      <c r="C35702" t="inlineStr">
        <is>
          <t>1997-08-28</t>
        </is>
      </c>
    </row>
    <row r="35703">
      <c r="A35703" s="1" t="n">
        <v>35702</v>
      </c>
      <c r="B35703">
        <f>TEXT(35702, "[$-0E0000]yyyy-mm-dd")</f>
        <v/>
      </c>
      <c r="C35703" t="inlineStr">
        <is>
          <t>1997-08-29</t>
        </is>
      </c>
    </row>
    <row r="35704">
      <c r="A35704" s="1" t="n">
        <v>35703</v>
      </c>
      <c r="B35704">
        <f>TEXT(35703, "[$-0E0000]yyyy-mm-dd")</f>
        <v/>
      </c>
      <c r="C35704" t="inlineStr">
        <is>
          <t>1997-08-30</t>
        </is>
      </c>
    </row>
    <row r="35705">
      <c r="A35705" s="1" t="n">
        <v>35704</v>
      </c>
      <c r="B35705">
        <f>TEXT(35704, "[$-0E0000]yyyy-mm-dd")</f>
        <v/>
      </c>
      <c r="C35705" t="inlineStr">
        <is>
          <t>1997-09-01</t>
        </is>
      </c>
    </row>
    <row r="35706">
      <c r="A35706" s="1" t="n">
        <v>35705</v>
      </c>
      <c r="B35706">
        <f>TEXT(35705, "[$-0E0000]yyyy-mm-dd")</f>
        <v/>
      </c>
      <c r="C35706" t="inlineStr">
        <is>
          <t>1997-09-02</t>
        </is>
      </c>
    </row>
    <row r="35707">
      <c r="A35707" s="1" t="n">
        <v>35706</v>
      </c>
      <c r="B35707">
        <f>TEXT(35706, "[$-0E0000]yyyy-mm-dd")</f>
        <v/>
      </c>
      <c r="C35707" t="inlineStr">
        <is>
          <t>1997-09-03</t>
        </is>
      </c>
    </row>
    <row r="35708">
      <c r="A35708" s="1" t="n">
        <v>35707</v>
      </c>
      <c r="B35708">
        <f>TEXT(35707, "[$-0E0000]yyyy-mm-dd")</f>
        <v/>
      </c>
      <c r="C35708" t="inlineStr">
        <is>
          <t>1997-09-04</t>
        </is>
      </c>
    </row>
    <row r="35709">
      <c r="A35709" s="1" t="n">
        <v>35708</v>
      </c>
      <c r="B35709">
        <f>TEXT(35708, "[$-0E0000]yyyy-mm-dd")</f>
        <v/>
      </c>
      <c r="C35709" t="inlineStr">
        <is>
          <t>1997-09-05</t>
        </is>
      </c>
    </row>
    <row r="35710">
      <c r="A35710" s="1" t="n">
        <v>35709</v>
      </c>
      <c r="B35710">
        <f>TEXT(35709, "[$-0E0000]yyyy-mm-dd")</f>
        <v/>
      </c>
      <c r="C35710" t="inlineStr">
        <is>
          <t>1997-09-06</t>
        </is>
      </c>
    </row>
    <row r="35711">
      <c r="A35711" s="1" t="n">
        <v>35710</v>
      </c>
      <c r="B35711">
        <f>TEXT(35710, "[$-0E0000]yyyy-mm-dd")</f>
        <v/>
      </c>
      <c r="C35711" t="inlineStr">
        <is>
          <t>1997-09-07</t>
        </is>
      </c>
    </row>
    <row r="35712">
      <c r="A35712" s="1" t="n">
        <v>35711</v>
      </c>
      <c r="B35712">
        <f>TEXT(35711, "[$-0E0000]yyyy-mm-dd")</f>
        <v/>
      </c>
      <c r="C35712" t="inlineStr">
        <is>
          <t>1997-09-08</t>
        </is>
      </c>
    </row>
    <row r="35713">
      <c r="A35713" s="1" t="n">
        <v>35712</v>
      </c>
      <c r="B35713">
        <f>TEXT(35712, "[$-0E0000]yyyy-mm-dd")</f>
        <v/>
      </c>
      <c r="C35713" t="inlineStr">
        <is>
          <t>1997-09-09</t>
        </is>
      </c>
    </row>
    <row r="35714">
      <c r="A35714" s="1" t="n">
        <v>35713</v>
      </c>
      <c r="B35714">
        <f>TEXT(35713, "[$-0E0000]yyyy-mm-dd")</f>
        <v/>
      </c>
      <c r="C35714" t="inlineStr">
        <is>
          <t>1997-09-10</t>
        </is>
      </c>
    </row>
    <row r="35715">
      <c r="A35715" s="1" t="n">
        <v>35714</v>
      </c>
      <c r="B35715">
        <f>TEXT(35714, "[$-0E0000]yyyy-mm-dd")</f>
        <v/>
      </c>
      <c r="C35715" t="inlineStr">
        <is>
          <t>1997-09-11</t>
        </is>
      </c>
    </row>
    <row r="35716">
      <c r="A35716" s="1" t="n">
        <v>35715</v>
      </c>
      <c r="B35716">
        <f>TEXT(35715, "[$-0E0000]yyyy-mm-dd")</f>
        <v/>
      </c>
      <c r="C35716" t="inlineStr">
        <is>
          <t>1997-09-12</t>
        </is>
      </c>
    </row>
    <row r="35717">
      <c r="A35717" s="1" t="n">
        <v>35716</v>
      </c>
      <c r="B35717">
        <f>TEXT(35716, "[$-0E0000]yyyy-mm-dd")</f>
        <v/>
      </c>
      <c r="C35717" t="inlineStr">
        <is>
          <t>1997-09-13</t>
        </is>
      </c>
    </row>
    <row r="35718">
      <c r="A35718" s="1" t="n">
        <v>35717</v>
      </c>
      <c r="B35718">
        <f>TEXT(35717, "[$-0E0000]yyyy-mm-dd")</f>
        <v/>
      </c>
      <c r="C35718" t="inlineStr">
        <is>
          <t>1997-09-14</t>
        </is>
      </c>
    </row>
    <row r="35719">
      <c r="A35719" s="1" t="n">
        <v>35718</v>
      </c>
      <c r="B35719">
        <f>TEXT(35718, "[$-0E0000]yyyy-mm-dd")</f>
        <v/>
      </c>
      <c r="C35719" t="inlineStr">
        <is>
          <t>1997-09-15</t>
        </is>
      </c>
    </row>
    <row r="35720">
      <c r="A35720" s="1" t="n">
        <v>35719</v>
      </c>
      <c r="B35720">
        <f>TEXT(35719, "[$-0E0000]yyyy-mm-dd")</f>
        <v/>
      </c>
      <c r="C35720" t="inlineStr">
        <is>
          <t>1997-09-16</t>
        </is>
      </c>
    </row>
    <row r="35721">
      <c r="A35721" s="1" t="n">
        <v>35720</v>
      </c>
      <c r="B35721">
        <f>TEXT(35720, "[$-0E0000]yyyy-mm-dd")</f>
        <v/>
      </c>
      <c r="C35721" t="inlineStr">
        <is>
          <t>1997-09-17</t>
        </is>
      </c>
    </row>
    <row r="35722">
      <c r="A35722" s="1" t="n">
        <v>35721</v>
      </c>
      <c r="B35722">
        <f>TEXT(35721, "[$-0E0000]yyyy-mm-dd")</f>
        <v/>
      </c>
      <c r="C35722" t="inlineStr">
        <is>
          <t>1997-09-18</t>
        </is>
      </c>
    </row>
    <row r="35723">
      <c r="A35723" s="1" t="n">
        <v>35722</v>
      </c>
      <c r="B35723">
        <f>TEXT(35722, "[$-0E0000]yyyy-mm-dd")</f>
        <v/>
      </c>
      <c r="C35723" t="inlineStr">
        <is>
          <t>1997-09-19</t>
        </is>
      </c>
    </row>
    <row r="35724">
      <c r="A35724" s="1" t="n">
        <v>35723</v>
      </c>
      <c r="B35724">
        <f>TEXT(35723, "[$-0E0000]yyyy-mm-dd")</f>
        <v/>
      </c>
      <c r="C35724" t="inlineStr">
        <is>
          <t>1997-09-20</t>
        </is>
      </c>
    </row>
    <row r="35725">
      <c r="A35725" s="1" t="n">
        <v>35724</v>
      </c>
      <c r="B35725">
        <f>TEXT(35724, "[$-0E0000]yyyy-mm-dd")</f>
        <v/>
      </c>
      <c r="C35725" t="inlineStr">
        <is>
          <t>1997-09-21</t>
        </is>
      </c>
    </row>
    <row r="35726">
      <c r="A35726" s="1" t="n">
        <v>35725</v>
      </c>
      <c r="B35726">
        <f>TEXT(35725, "[$-0E0000]yyyy-mm-dd")</f>
        <v/>
      </c>
      <c r="C35726" t="inlineStr">
        <is>
          <t>1997-09-22</t>
        </is>
      </c>
    </row>
    <row r="35727">
      <c r="A35727" s="1" t="n">
        <v>35726</v>
      </c>
      <c r="B35727">
        <f>TEXT(35726, "[$-0E0000]yyyy-mm-dd")</f>
        <v/>
      </c>
      <c r="C35727" t="inlineStr">
        <is>
          <t>1997-09-23</t>
        </is>
      </c>
    </row>
    <row r="35728">
      <c r="A35728" s="1" t="n">
        <v>35727</v>
      </c>
      <c r="B35728">
        <f>TEXT(35727, "[$-0E0000]yyyy-mm-dd")</f>
        <v/>
      </c>
      <c r="C35728" t="inlineStr">
        <is>
          <t>1997-09-24</t>
        </is>
      </c>
    </row>
    <row r="35729">
      <c r="A35729" s="1" t="n">
        <v>35728</v>
      </c>
      <c r="B35729">
        <f>TEXT(35728, "[$-0E0000]yyyy-mm-dd")</f>
        <v/>
      </c>
      <c r="C35729" t="inlineStr">
        <is>
          <t>1997-09-25</t>
        </is>
      </c>
    </row>
    <row r="35730">
      <c r="A35730" s="1" t="n">
        <v>35729</v>
      </c>
      <c r="B35730">
        <f>TEXT(35729, "[$-0E0000]yyyy-mm-dd")</f>
        <v/>
      </c>
      <c r="C35730" t="inlineStr">
        <is>
          <t>1997-09-26</t>
        </is>
      </c>
    </row>
    <row r="35731">
      <c r="A35731" s="1" t="n">
        <v>35730</v>
      </c>
      <c r="B35731">
        <f>TEXT(35730, "[$-0E0000]yyyy-mm-dd")</f>
        <v/>
      </c>
      <c r="C35731" t="inlineStr">
        <is>
          <t>1997-09-27</t>
        </is>
      </c>
    </row>
    <row r="35732">
      <c r="A35732" s="1" t="n">
        <v>35731</v>
      </c>
      <c r="B35732">
        <f>TEXT(35731, "[$-0E0000]yyyy-mm-dd")</f>
        <v/>
      </c>
      <c r="C35732" t="inlineStr">
        <is>
          <t>1997-09-28</t>
        </is>
      </c>
    </row>
    <row r="35733">
      <c r="A35733" s="1" t="n">
        <v>35732</v>
      </c>
      <c r="B35733">
        <f>TEXT(35732, "[$-0E0000]yyyy-mm-dd")</f>
        <v/>
      </c>
      <c r="C35733" t="inlineStr">
        <is>
          <t>1997-09-29</t>
        </is>
      </c>
    </row>
    <row r="35734">
      <c r="A35734" s="1" t="n">
        <v>35733</v>
      </c>
      <c r="B35734">
        <f>TEXT(35733, "[$-0E0000]yyyy-mm-dd")</f>
        <v/>
      </c>
      <c r="C35734" t="inlineStr">
        <is>
          <t>1997-10-01</t>
        </is>
      </c>
    </row>
    <row r="35735">
      <c r="A35735" s="1" t="n">
        <v>35734</v>
      </c>
      <c r="B35735">
        <f>TEXT(35734, "[$-0E0000]yyyy-mm-dd")</f>
        <v/>
      </c>
      <c r="C35735" t="inlineStr">
        <is>
          <t>1997-10-02</t>
        </is>
      </c>
    </row>
    <row r="35736">
      <c r="A35736" s="1" t="n">
        <v>35735</v>
      </c>
      <c r="B35736">
        <f>TEXT(35735, "[$-0E0000]yyyy-mm-dd")</f>
        <v/>
      </c>
      <c r="C35736" t="inlineStr">
        <is>
          <t>1997-10-03</t>
        </is>
      </c>
    </row>
    <row r="35737">
      <c r="A35737" s="1" t="n">
        <v>35736</v>
      </c>
      <c r="B35737">
        <f>TEXT(35736, "[$-0E0000]yyyy-mm-dd")</f>
        <v/>
      </c>
      <c r="C35737" t="inlineStr">
        <is>
          <t>1997-10-04</t>
        </is>
      </c>
    </row>
    <row r="35738">
      <c r="A35738" s="1" t="n">
        <v>35737</v>
      </c>
      <c r="B35738">
        <f>TEXT(35737, "[$-0E0000]yyyy-mm-dd")</f>
        <v/>
      </c>
      <c r="C35738" t="inlineStr">
        <is>
          <t>1997-10-05</t>
        </is>
      </c>
    </row>
    <row r="35739">
      <c r="A35739" s="1" t="n">
        <v>35738</v>
      </c>
      <c r="B35739">
        <f>TEXT(35738, "[$-0E0000]yyyy-mm-dd")</f>
        <v/>
      </c>
      <c r="C35739" t="inlineStr">
        <is>
          <t>1997-10-06</t>
        </is>
      </c>
    </row>
    <row r="35740">
      <c r="A35740" s="1" t="n">
        <v>35739</v>
      </c>
      <c r="B35740">
        <f>TEXT(35739, "[$-0E0000]yyyy-mm-dd")</f>
        <v/>
      </c>
      <c r="C35740" t="inlineStr">
        <is>
          <t>1997-10-07</t>
        </is>
      </c>
    </row>
    <row r="35741">
      <c r="A35741" s="1" t="n">
        <v>35740</v>
      </c>
      <c r="B35741">
        <f>TEXT(35740, "[$-0E0000]yyyy-mm-dd")</f>
        <v/>
      </c>
      <c r="C35741" t="inlineStr">
        <is>
          <t>1997-10-08</t>
        </is>
      </c>
    </row>
    <row r="35742">
      <c r="A35742" s="1" t="n">
        <v>35741</v>
      </c>
      <c r="B35742">
        <f>TEXT(35741, "[$-0E0000]yyyy-mm-dd")</f>
        <v/>
      </c>
      <c r="C35742" t="inlineStr">
        <is>
          <t>1997-10-09</t>
        </is>
      </c>
    </row>
    <row r="35743">
      <c r="A35743" s="1" t="n">
        <v>35742</v>
      </c>
      <c r="B35743">
        <f>TEXT(35742, "[$-0E0000]yyyy-mm-dd")</f>
        <v/>
      </c>
      <c r="C35743" t="inlineStr">
        <is>
          <t>1997-10-10</t>
        </is>
      </c>
    </row>
    <row r="35744">
      <c r="A35744" s="1" t="n">
        <v>35743</v>
      </c>
      <c r="B35744">
        <f>TEXT(35743, "[$-0E0000]yyyy-mm-dd")</f>
        <v/>
      </c>
      <c r="C35744" t="inlineStr">
        <is>
          <t>1997-10-11</t>
        </is>
      </c>
    </row>
    <row r="35745">
      <c r="A35745" s="1" t="n">
        <v>35744</v>
      </c>
      <c r="B35745">
        <f>TEXT(35744, "[$-0E0000]yyyy-mm-dd")</f>
        <v/>
      </c>
      <c r="C35745" t="inlineStr">
        <is>
          <t>1997-10-12</t>
        </is>
      </c>
    </row>
    <row r="35746">
      <c r="A35746" s="1" t="n">
        <v>35745</v>
      </c>
      <c r="B35746">
        <f>TEXT(35745, "[$-0E0000]yyyy-mm-dd")</f>
        <v/>
      </c>
      <c r="C35746" t="inlineStr">
        <is>
          <t>1997-10-13</t>
        </is>
      </c>
    </row>
    <row r="35747">
      <c r="A35747" s="1" t="n">
        <v>35746</v>
      </c>
      <c r="B35747">
        <f>TEXT(35746, "[$-0E0000]yyyy-mm-dd")</f>
        <v/>
      </c>
      <c r="C35747" t="inlineStr">
        <is>
          <t>1997-10-14</t>
        </is>
      </c>
    </row>
    <row r="35748">
      <c r="A35748" s="1" t="n">
        <v>35747</v>
      </c>
      <c r="B35748">
        <f>TEXT(35747, "[$-0E0000]yyyy-mm-dd")</f>
        <v/>
      </c>
      <c r="C35748" t="inlineStr">
        <is>
          <t>1997-10-15</t>
        </is>
      </c>
    </row>
    <row r="35749">
      <c r="A35749" s="1" t="n">
        <v>35748</v>
      </c>
      <c r="B35749">
        <f>TEXT(35748, "[$-0E0000]yyyy-mm-dd")</f>
        <v/>
      </c>
      <c r="C35749" t="inlineStr">
        <is>
          <t>1997-10-16</t>
        </is>
      </c>
    </row>
    <row r="35750">
      <c r="A35750" s="1" t="n">
        <v>35749</v>
      </c>
      <c r="B35750">
        <f>TEXT(35749, "[$-0E0000]yyyy-mm-dd")</f>
        <v/>
      </c>
      <c r="C35750" t="inlineStr">
        <is>
          <t>1997-10-17</t>
        </is>
      </c>
    </row>
    <row r="35751">
      <c r="A35751" s="1" t="n">
        <v>35750</v>
      </c>
      <c r="B35751">
        <f>TEXT(35750, "[$-0E0000]yyyy-mm-dd")</f>
        <v/>
      </c>
      <c r="C35751" t="inlineStr">
        <is>
          <t>1997-10-18</t>
        </is>
      </c>
    </row>
    <row r="35752">
      <c r="A35752" s="1" t="n">
        <v>35751</v>
      </c>
      <c r="B35752">
        <f>TEXT(35751, "[$-0E0000]yyyy-mm-dd")</f>
        <v/>
      </c>
      <c r="C35752" t="inlineStr">
        <is>
          <t>1997-10-19</t>
        </is>
      </c>
    </row>
    <row r="35753">
      <c r="A35753" s="1" t="n">
        <v>35752</v>
      </c>
      <c r="B35753">
        <f>TEXT(35752, "[$-0E0000]yyyy-mm-dd")</f>
        <v/>
      </c>
      <c r="C35753" t="inlineStr">
        <is>
          <t>1997-10-20</t>
        </is>
      </c>
    </row>
    <row r="35754">
      <c r="A35754" s="1" t="n">
        <v>35753</v>
      </c>
      <c r="B35754">
        <f>TEXT(35753, "[$-0E0000]yyyy-mm-dd")</f>
        <v/>
      </c>
      <c r="C35754" t="inlineStr">
        <is>
          <t>1997-10-21</t>
        </is>
      </c>
    </row>
    <row r="35755">
      <c r="A35755" s="1" t="n">
        <v>35754</v>
      </c>
      <c r="B35755">
        <f>TEXT(35754, "[$-0E0000]yyyy-mm-dd")</f>
        <v/>
      </c>
      <c r="C35755" t="inlineStr">
        <is>
          <t>1997-10-22</t>
        </is>
      </c>
    </row>
    <row r="35756">
      <c r="A35756" s="1" t="n">
        <v>35755</v>
      </c>
      <c r="B35756">
        <f>TEXT(35755, "[$-0E0000]yyyy-mm-dd")</f>
        <v/>
      </c>
      <c r="C35756" t="inlineStr">
        <is>
          <t>1997-10-23</t>
        </is>
      </c>
    </row>
    <row r="35757">
      <c r="A35757" s="1" t="n">
        <v>35756</v>
      </c>
      <c r="B35757">
        <f>TEXT(35756, "[$-0E0000]yyyy-mm-dd")</f>
        <v/>
      </c>
      <c r="C35757" t="inlineStr">
        <is>
          <t>1997-10-24</t>
        </is>
      </c>
    </row>
    <row r="35758">
      <c r="A35758" s="1" t="n">
        <v>35757</v>
      </c>
      <c r="B35758">
        <f>TEXT(35757, "[$-0E0000]yyyy-mm-dd")</f>
        <v/>
      </c>
      <c r="C35758" t="inlineStr">
        <is>
          <t>1997-10-25</t>
        </is>
      </c>
    </row>
    <row r="35759">
      <c r="A35759" s="1" t="n">
        <v>35758</v>
      </c>
      <c r="B35759">
        <f>TEXT(35758, "[$-0E0000]yyyy-mm-dd")</f>
        <v/>
      </c>
      <c r="C35759" t="inlineStr">
        <is>
          <t>1997-10-26</t>
        </is>
      </c>
    </row>
    <row r="35760">
      <c r="A35760" s="1" t="n">
        <v>35759</v>
      </c>
      <c r="B35760">
        <f>TEXT(35759, "[$-0E0000]yyyy-mm-dd")</f>
        <v/>
      </c>
      <c r="C35760" t="inlineStr">
        <is>
          <t>1997-10-27</t>
        </is>
      </c>
    </row>
    <row r="35761">
      <c r="A35761" s="1" t="n">
        <v>35760</v>
      </c>
      <c r="B35761">
        <f>TEXT(35760, "[$-0E0000]yyyy-mm-dd")</f>
        <v/>
      </c>
      <c r="C35761" t="inlineStr">
        <is>
          <t>1997-10-28</t>
        </is>
      </c>
    </row>
    <row r="35762">
      <c r="A35762" s="1" t="n">
        <v>35761</v>
      </c>
      <c r="B35762">
        <f>TEXT(35761, "[$-0E0000]yyyy-mm-dd")</f>
        <v/>
      </c>
      <c r="C35762" t="inlineStr">
        <is>
          <t>1997-10-29</t>
        </is>
      </c>
    </row>
    <row r="35763">
      <c r="A35763" s="1" t="n">
        <v>35762</v>
      </c>
      <c r="B35763">
        <f>TEXT(35762, "[$-0E0000]yyyy-mm-dd")</f>
        <v/>
      </c>
      <c r="C35763" t="inlineStr">
        <is>
          <t>1997-10-30</t>
        </is>
      </c>
    </row>
    <row r="35764">
      <c r="A35764" s="1" t="n">
        <v>35763</v>
      </c>
      <c r="B35764">
        <f>TEXT(35763, "[$-0E0000]yyyy-mm-dd")</f>
        <v/>
      </c>
      <c r="C35764" t="inlineStr">
        <is>
          <t>1997-11-01</t>
        </is>
      </c>
    </row>
    <row r="35765">
      <c r="A35765" s="1" t="n">
        <v>35764</v>
      </c>
      <c r="B35765">
        <f>TEXT(35764, "[$-0E0000]yyyy-mm-dd")</f>
        <v/>
      </c>
      <c r="C35765" t="inlineStr">
        <is>
          <t>1997-11-02</t>
        </is>
      </c>
    </row>
    <row r="35766">
      <c r="A35766" s="1" t="n">
        <v>35765</v>
      </c>
      <c r="B35766">
        <f>TEXT(35765, "[$-0E0000]yyyy-mm-dd")</f>
        <v/>
      </c>
      <c r="C35766" t="inlineStr">
        <is>
          <t>1997-11-03</t>
        </is>
      </c>
    </row>
    <row r="35767">
      <c r="A35767" s="1" t="n">
        <v>35766</v>
      </c>
      <c r="B35767">
        <f>TEXT(35766, "[$-0E0000]yyyy-mm-dd")</f>
        <v/>
      </c>
      <c r="C35767" t="inlineStr">
        <is>
          <t>1997-11-04</t>
        </is>
      </c>
    </row>
    <row r="35768">
      <c r="A35768" s="1" t="n">
        <v>35767</v>
      </c>
      <c r="B35768">
        <f>TEXT(35767, "[$-0E0000]yyyy-mm-dd")</f>
        <v/>
      </c>
      <c r="C35768" t="inlineStr">
        <is>
          <t>1997-11-05</t>
        </is>
      </c>
    </row>
    <row r="35769">
      <c r="A35769" s="1" t="n">
        <v>35768</v>
      </c>
      <c r="B35769">
        <f>TEXT(35768, "[$-0E0000]yyyy-mm-dd")</f>
        <v/>
      </c>
      <c r="C35769" t="inlineStr">
        <is>
          <t>1997-11-06</t>
        </is>
      </c>
    </row>
    <row r="35770">
      <c r="A35770" s="1" t="n">
        <v>35769</v>
      </c>
      <c r="B35770">
        <f>TEXT(35769, "[$-0E0000]yyyy-mm-dd")</f>
        <v/>
      </c>
      <c r="C35770" t="inlineStr">
        <is>
          <t>1997-11-07</t>
        </is>
      </c>
    </row>
    <row r="35771">
      <c r="A35771" s="1" t="n">
        <v>35770</v>
      </c>
      <c r="B35771">
        <f>TEXT(35770, "[$-0E0000]yyyy-mm-dd")</f>
        <v/>
      </c>
      <c r="C35771" t="inlineStr">
        <is>
          <t>1997-11-08</t>
        </is>
      </c>
    </row>
    <row r="35772">
      <c r="A35772" s="1" t="n">
        <v>35771</v>
      </c>
      <c r="B35772">
        <f>TEXT(35771, "[$-0E0000]yyyy-mm-dd")</f>
        <v/>
      </c>
      <c r="C35772" t="inlineStr">
        <is>
          <t>1997-11-09</t>
        </is>
      </c>
    </row>
    <row r="35773">
      <c r="A35773" s="1" t="n">
        <v>35772</v>
      </c>
      <c r="B35773">
        <f>TEXT(35772, "[$-0E0000]yyyy-mm-dd")</f>
        <v/>
      </c>
      <c r="C35773" t="inlineStr">
        <is>
          <t>1997-11-10</t>
        </is>
      </c>
    </row>
    <row r="35774">
      <c r="A35774" s="1" t="n">
        <v>35773</v>
      </c>
      <c r="B35774">
        <f>TEXT(35773, "[$-0E0000]yyyy-mm-dd")</f>
        <v/>
      </c>
      <c r="C35774" t="inlineStr">
        <is>
          <t>1997-11-11</t>
        </is>
      </c>
    </row>
    <row r="35775">
      <c r="A35775" s="1" t="n">
        <v>35774</v>
      </c>
      <c r="B35775">
        <f>TEXT(35774, "[$-0E0000]yyyy-mm-dd")</f>
        <v/>
      </c>
      <c r="C35775" t="inlineStr">
        <is>
          <t>1997-11-12</t>
        </is>
      </c>
    </row>
    <row r="35776">
      <c r="A35776" s="1" t="n">
        <v>35775</v>
      </c>
      <c r="B35776">
        <f>TEXT(35775, "[$-0E0000]yyyy-mm-dd")</f>
        <v/>
      </c>
      <c r="C35776" t="inlineStr">
        <is>
          <t>1997-11-13</t>
        </is>
      </c>
    </row>
    <row r="35777">
      <c r="A35777" s="1" t="n">
        <v>35776</v>
      </c>
      <c r="B35777">
        <f>TEXT(35776, "[$-0E0000]yyyy-mm-dd")</f>
        <v/>
      </c>
      <c r="C35777" t="inlineStr">
        <is>
          <t>1997-11-14</t>
        </is>
      </c>
    </row>
    <row r="35778">
      <c r="A35778" s="1" t="n">
        <v>35777</v>
      </c>
      <c r="B35778">
        <f>TEXT(35777, "[$-0E0000]yyyy-mm-dd")</f>
        <v/>
      </c>
      <c r="C35778" t="inlineStr">
        <is>
          <t>1997-11-15</t>
        </is>
      </c>
    </row>
    <row r="35779">
      <c r="A35779" s="1" t="n">
        <v>35778</v>
      </c>
      <c r="B35779">
        <f>TEXT(35778, "[$-0E0000]yyyy-mm-dd")</f>
        <v/>
      </c>
      <c r="C35779" t="inlineStr">
        <is>
          <t>1997-11-16</t>
        </is>
      </c>
    </row>
    <row r="35780">
      <c r="A35780" s="1" t="n">
        <v>35779</v>
      </c>
      <c r="B35780">
        <f>TEXT(35779, "[$-0E0000]yyyy-mm-dd")</f>
        <v/>
      </c>
      <c r="C35780" t="inlineStr">
        <is>
          <t>1997-11-17</t>
        </is>
      </c>
    </row>
    <row r="35781">
      <c r="A35781" s="1" t="n">
        <v>35780</v>
      </c>
      <c r="B35781">
        <f>TEXT(35780, "[$-0E0000]yyyy-mm-dd")</f>
        <v/>
      </c>
      <c r="C35781" t="inlineStr">
        <is>
          <t>1997-11-18</t>
        </is>
      </c>
    </row>
    <row r="35782">
      <c r="A35782" s="1" t="n">
        <v>35781</v>
      </c>
      <c r="B35782">
        <f>TEXT(35781, "[$-0E0000]yyyy-mm-dd")</f>
        <v/>
      </c>
      <c r="C35782" t="inlineStr">
        <is>
          <t>1997-11-19</t>
        </is>
      </c>
    </row>
    <row r="35783">
      <c r="A35783" s="1" t="n">
        <v>35782</v>
      </c>
      <c r="B35783">
        <f>TEXT(35782, "[$-0E0000]yyyy-mm-dd")</f>
        <v/>
      </c>
      <c r="C35783" t="inlineStr">
        <is>
          <t>1997-11-20</t>
        </is>
      </c>
    </row>
    <row r="35784">
      <c r="A35784" s="1" t="n">
        <v>35783</v>
      </c>
      <c r="B35784">
        <f>TEXT(35783, "[$-0E0000]yyyy-mm-dd")</f>
        <v/>
      </c>
      <c r="C35784" t="inlineStr">
        <is>
          <t>1997-11-21</t>
        </is>
      </c>
    </row>
    <row r="35785">
      <c r="A35785" s="1" t="n">
        <v>35784</v>
      </c>
      <c r="B35785">
        <f>TEXT(35784, "[$-0E0000]yyyy-mm-dd")</f>
        <v/>
      </c>
      <c r="C35785" t="inlineStr">
        <is>
          <t>1997-11-22</t>
        </is>
      </c>
    </row>
    <row r="35786">
      <c r="A35786" s="1" t="n">
        <v>35785</v>
      </c>
      <c r="B35786">
        <f>TEXT(35785, "[$-0E0000]yyyy-mm-dd")</f>
        <v/>
      </c>
      <c r="C35786" t="inlineStr">
        <is>
          <t>1997-11-23</t>
        </is>
      </c>
    </row>
    <row r="35787">
      <c r="A35787" s="1" t="n">
        <v>35786</v>
      </c>
      <c r="B35787">
        <f>TEXT(35786, "[$-0E0000]yyyy-mm-dd")</f>
        <v/>
      </c>
      <c r="C35787" t="inlineStr">
        <is>
          <t>1997-11-24</t>
        </is>
      </c>
    </row>
    <row r="35788">
      <c r="A35788" s="1" t="n">
        <v>35787</v>
      </c>
      <c r="B35788">
        <f>TEXT(35787, "[$-0E0000]yyyy-mm-dd")</f>
        <v/>
      </c>
      <c r="C35788" t="inlineStr">
        <is>
          <t>1997-11-25</t>
        </is>
      </c>
    </row>
    <row r="35789">
      <c r="A35789" s="1" t="n">
        <v>35788</v>
      </c>
      <c r="B35789">
        <f>TEXT(35788, "[$-0E0000]yyyy-mm-dd")</f>
        <v/>
      </c>
      <c r="C35789" t="inlineStr">
        <is>
          <t>1997-11-26</t>
        </is>
      </c>
    </row>
    <row r="35790">
      <c r="A35790" s="1" t="n">
        <v>35789</v>
      </c>
      <c r="B35790">
        <f>TEXT(35789, "[$-0E0000]yyyy-mm-dd")</f>
        <v/>
      </c>
      <c r="C35790" t="inlineStr">
        <is>
          <t>1997-11-27</t>
        </is>
      </c>
    </row>
    <row r="35791">
      <c r="A35791" s="1" t="n">
        <v>35790</v>
      </c>
      <c r="B35791">
        <f>TEXT(35790, "[$-0E0000]yyyy-mm-dd")</f>
        <v/>
      </c>
      <c r="C35791" t="inlineStr">
        <is>
          <t>1997-11-28</t>
        </is>
      </c>
    </row>
    <row r="35792">
      <c r="A35792" s="1" t="n">
        <v>35791</v>
      </c>
      <c r="B35792">
        <f>TEXT(35791, "[$-0E0000]yyyy-mm-dd")</f>
        <v/>
      </c>
      <c r="C35792" t="inlineStr">
        <is>
          <t>1997-11-29</t>
        </is>
      </c>
    </row>
    <row r="35793">
      <c r="A35793" s="1" t="n">
        <v>35792</v>
      </c>
      <c r="B35793">
        <f>TEXT(35792, "[$-0E0000]yyyy-mm-dd")</f>
        <v/>
      </c>
      <c r="C35793" t="inlineStr">
        <is>
          <t>1997-11-30</t>
        </is>
      </c>
    </row>
    <row r="35794">
      <c r="A35794" s="1" t="n">
        <v>35793</v>
      </c>
      <c r="B35794">
        <f>TEXT(35793, "[$-0E0000]yyyy-mm-dd")</f>
        <v/>
      </c>
      <c r="C35794" t="inlineStr">
        <is>
          <t>1997-12-01</t>
        </is>
      </c>
    </row>
    <row r="35795">
      <c r="A35795" s="1" t="n">
        <v>35794</v>
      </c>
      <c r="B35795">
        <f>TEXT(35794, "[$-0E0000]yyyy-mm-dd")</f>
        <v/>
      </c>
      <c r="C35795" t="inlineStr">
        <is>
          <t>1997-12-02</t>
        </is>
      </c>
    </row>
    <row r="35796">
      <c r="A35796" s="1" t="n">
        <v>35795</v>
      </c>
      <c r="B35796">
        <f>TEXT(35795, "[$-0E0000]yyyy-mm-dd")</f>
        <v/>
      </c>
      <c r="C35796" t="inlineStr">
        <is>
          <t>1997-12-03</t>
        </is>
      </c>
    </row>
    <row r="35797">
      <c r="A35797" s="1" t="n">
        <v>35796</v>
      </c>
      <c r="B35797">
        <f>TEXT(35796, "[$-0E0000]yyyy-mm-dd")</f>
        <v/>
      </c>
      <c r="C35797" t="inlineStr">
        <is>
          <t>1997-12-04</t>
        </is>
      </c>
    </row>
    <row r="35798">
      <c r="A35798" s="1" t="n">
        <v>35797</v>
      </c>
      <c r="B35798">
        <f>TEXT(35797, "[$-0E0000]yyyy-mm-dd")</f>
        <v/>
      </c>
      <c r="C35798" t="inlineStr">
        <is>
          <t>1997-12-05</t>
        </is>
      </c>
    </row>
    <row r="35799">
      <c r="A35799" s="1" t="n">
        <v>35798</v>
      </c>
      <c r="B35799">
        <f>TEXT(35798, "[$-0E0000]yyyy-mm-dd")</f>
        <v/>
      </c>
      <c r="C35799" t="inlineStr">
        <is>
          <t>1997-12-06</t>
        </is>
      </c>
    </row>
    <row r="35800">
      <c r="A35800" s="1" t="n">
        <v>35799</v>
      </c>
      <c r="B35800">
        <f>TEXT(35799, "[$-0E0000]yyyy-mm-dd")</f>
        <v/>
      </c>
      <c r="C35800" t="inlineStr">
        <is>
          <t>1997-12-07</t>
        </is>
      </c>
    </row>
    <row r="35801">
      <c r="A35801" s="1" t="n">
        <v>35800</v>
      </c>
      <c r="B35801">
        <f>TEXT(35800, "[$-0E0000]yyyy-mm-dd")</f>
        <v/>
      </c>
      <c r="C35801" t="inlineStr">
        <is>
          <t>1997-12-08</t>
        </is>
      </c>
    </row>
    <row r="35802">
      <c r="A35802" s="1" t="n">
        <v>35801</v>
      </c>
      <c r="B35802">
        <f>TEXT(35801, "[$-0E0000]yyyy-mm-dd")</f>
        <v/>
      </c>
      <c r="C35802" t="inlineStr">
        <is>
          <t>1997-12-09</t>
        </is>
      </c>
    </row>
    <row r="35803">
      <c r="A35803" s="1" t="n">
        <v>35802</v>
      </c>
      <c r="B35803">
        <f>TEXT(35802, "[$-0E0000]yyyy-mm-dd")</f>
        <v/>
      </c>
      <c r="C35803" t="inlineStr">
        <is>
          <t>1997-12-10</t>
        </is>
      </c>
    </row>
    <row r="35804">
      <c r="A35804" s="1" t="n">
        <v>35803</v>
      </c>
      <c r="B35804">
        <f>TEXT(35803, "[$-0E0000]yyyy-mm-dd")</f>
        <v/>
      </c>
      <c r="C35804" t="inlineStr">
        <is>
          <t>1997-12-11</t>
        </is>
      </c>
    </row>
    <row r="35805">
      <c r="A35805" s="1" t="n">
        <v>35804</v>
      </c>
      <c r="B35805">
        <f>TEXT(35804, "[$-0E0000]yyyy-mm-dd")</f>
        <v/>
      </c>
      <c r="C35805" t="inlineStr">
        <is>
          <t>1997-12-12</t>
        </is>
      </c>
    </row>
    <row r="35806">
      <c r="A35806" s="1" t="n">
        <v>35805</v>
      </c>
      <c r="B35806">
        <f>TEXT(35805, "[$-0E0000]yyyy-mm-dd")</f>
        <v/>
      </c>
      <c r="C35806" t="inlineStr">
        <is>
          <t>1997-12-13</t>
        </is>
      </c>
    </row>
    <row r="35807">
      <c r="A35807" s="1" t="n">
        <v>35806</v>
      </c>
      <c r="B35807">
        <f>TEXT(35806, "[$-0E0000]yyyy-mm-dd")</f>
        <v/>
      </c>
      <c r="C35807" t="inlineStr">
        <is>
          <t>1997-12-14</t>
        </is>
      </c>
    </row>
    <row r="35808">
      <c r="A35808" s="1" t="n">
        <v>35807</v>
      </c>
      <c r="B35808">
        <f>TEXT(35807, "[$-0E0000]yyyy-mm-dd")</f>
        <v/>
      </c>
      <c r="C35808" t="inlineStr">
        <is>
          <t>1997-12-15</t>
        </is>
      </c>
    </row>
    <row r="35809">
      <c r="A35809" s="1" t="n">
        <v>35808</v>
      </c>
      <c r="B35809">
        <f>TEXT(35808, "[$-0E0000]yyyy-mm-dd")</f>
        <v/>
      </c>
      <c r="C35809" t="inlineStr">
        <is>
          <t>1997-12-16</t>
        </is>
      </c>
    </row>
    <row r="35810">
      <c r="A35810" s="1" t="n">
        <v>35809</v>
      </c>
      <c r="B35810">
        <f>TEXT(35809, "[$-0E0000]yyyy-mm-dd")</f>
        <v/>
      </c>
      <c r="C35810" t="inlineStr">
        <is>
          <t>1997-12-17</t>
        </is>
      </c>
    </row>
    <row r="35811">
      <c r="A35811" s="1" t="n">
        <v>35810</v>
      </c>
      <c r="B35811">
        <f>TEXT(35810, "[$-0E0000]yyyy-mm-dd")</f>
        <v/>
      </c>
      <c r="C35811" t="inlineStr">
        <is>
          <t>1997-12-18</t>
        </is>
      </c>
    </row>
    <row r="35812">
      <c r="A35812" s="1" t="n">
        <v>35811</v>
      </c>
      <c r="B35812">
        <f>TEXT(35811, "[$-0E0000]yyyy-mm-dd")</f>
        <v/>
      </c>
      <c r="C35812" t="inlineStr">
        <is>
          <t>1997-12-19</t>
        </is>
      </c>
    </row>
    <row r="35813">
      <c r="A35813" s="1" t="n">
        <v>35812</v>
      </c>
      <c r="B35813">
        <f>TEXT(35812, "[$-0E0000]yyyy-mm-dd")</f>
        <v/>
      </c>
      <c r="C35813" t="inlineStr">
        <is>
          <t>1997-12-20</t>
        </is>
      </c>
    </row>
    <row r="35814">
      <c r="A35814" s="1" t="n">
        <v>35813</v>
      </c>
      <c r="B35814">
        <f>TEXT(35813, "[$-0E0000]yyyy-mm-dd")</f>
        <v/>
      </c>
      <c r="C35814" t="inlineStr">
        <is>
          <t>1997-12-21</t>
        </is>
      </c>
    </row>
    <row r="35815">
      <c r="A35815" s="1" t="n">
        <v>35814</v>
      </c>
      <c r="B35815">
        <f>TEXT(35814, "[$-0E0000]yyyy-mm-dd")</f>
        <v/>
      </c>
      <c r="C35815" t="inlineStr">
        <is>
          <t>1997-12-22</t>
        </is>
      </c>
    </row>
    <row r="35816">
      <c r="A35816" s="1" t="n">
        <v>35815</v>
      </c>
      <c r="B35816">
        <f>TEXT(35815, "[$-0E0000]yyyy-mm-dd")</f>
        <v/>
      </c>
      <c r="C35816" t="inlineStr">
        <is>
          <t>1997-12-23</t>
        </is>
      </c>
    </row>
    <row r="35817">
      <c r="A35817" s="1" t="n">
        <v>35816</v>
      </c>
      <c r="B35817">
        <f>TEXT(35816, "[$-0E0000]yyyy-mm-dd")</f>
        <v/>
      </c>
      <c r="C35817" t="inlineStr">
        <is>
          <t>1997-12-24</t>
        </is>
      </c>
    </row>
    <row r="35818">
      <c r="A35818" s="1" t="n">
        <v>35817</v>
      </c>
      <c r="B35818">
        <f>TEXT(35817, "[$-0E0000]yyyy-mm-dd")</f>
        <v/>
      </c>
      <c r="C35818" t="inlineStr">
        <is>
          <t>1997-12-25</t>
        </is>
      </c>
    </row>
    <row r="35819">
      <c r="A35819" s="1" t="n">
        <v>35818</v>
      </c>
      <c r="B35819">
        <f>TEXT(35818, "[$-0E0000]yyyy-mm-dd")</f>
        <v/>
      </c>
      <c r="C35819" t="inlineStr">
        <is>
          <t>1997-12-26</t>
        </is>
      </c>
    </row>
    <row r="35820">
      <c r="A35820" s="1" t="n">
        <v>35819</v>
      </c>
      <c r="B35820">
        <f>TEXT(35819, "[$-0E0000]yyyy-mm-dd")</f>
        <v/>
      </c>
      <c r="C35820" t="inlineStr">
        <is>
          <t>1997-12-27</t>
        </is>
      </c>
    </row>
    <row r="35821">
      <c r="A35821" s="1" t="n">
        <v>35820</v>
      </c>
      <c r="B35821">
        <f>TEXT(35820, "[$-0E0000]yyyy-mm-dd")</f>
        <v/>
      </c>
      <c r="C35821" t="inlineStr">
        <is>
          <t>1997-12-28</t>
        </is>
      </c>
    </row>
    <row r="35822">
      <c r="A35822" s="1" t="n">
        <v>35821</v>
      </c>
      <c r="B35822">
        <f>TEXT(35821, "[$-0E0000]yyyy-mm-dd")</f>
        <v/>
      </c>
      <c r="C35822" t="inlineStr">
        <is>
          <t>1997-12-29</t>
        </is>
      </c>
    </row>
    <row r="35823">
      <c r="A35823" s="1" t="n">
        <v>35822</v>
      </c>
      <c r="B35823">
        <f>TEXT(35822, "[$-0E0000]yyyy-mm-dd")</f>
        <v/>
      </c>
      <c r="C35823" t="inlineStr">
        <is>
          <t>1998-01-01</t>
        </is>
      </c>
    </row>
    <row r="35824">
      <c r="A35824" s="1" t="n">
        <v>35823</v>
      </c>
      <c r="B35824">
        <f>TEXT(35823, "[$-0E0000]yyyy-mm-dd")</f>
        <v/>
      </c>
      <c r="C35824" t="inlineStr">
        <is>
          <t>1998-01-02</t>
        </is>
      </c>
    </row>
    <row r="35825">
      <c r="A35825" s="1" t="n">
        <v>35824</v>
      </c>
      <c r="B35825">
        <f>TEXT(35824, "[$-0E0000]yyyy-mm-dd")</f>
        <v/>
      </c>
      <c r="C35825" t="inlineStr">
        <is>
          <t>1998-01-03</t>
        </is>
      </c>
    </row>
    <row r="35826">
      <c r="A35826" s="1" t="n">
        <v>35825</v>
      </c>
      <c r="B35826">
        <f>TEXT(35825, "[$-0E0000]yyyy-mm-dd")</f>
        <v/>
      </c>
      <c r="C35826" t="inlineStr">
        <is>
          <t>1998-01-04</t>
        </is>
      </c>
    </row>
    <row r="35827">
      <c r="A35827" s="1" t="n">
        <v>35826</v>
      </c>
      <c r="B35827">
        <f>TEXT(35826, "[$-0E0000]yyyy-mm-dd")</f>
        <v/>
      </c>
      <c r="C35827" t="inlineStr">
        <is>
          <t>1998-01-05</t>
        </is>
      </c>
    </row>
    <row r="35828">
      <c r="A35828" s="1" t="n">
        <v>35827</v>
      </c>
      <c r="B35828">
        <f>TEXT(35827, "[$-0E0000]yyyy-mm-dd")</f>
        <v/>
      </c>
      <c r="C35828" t="inlineStr">
        <is>
          <t>1998-01-06</t>
        </is>
      </c>
    </row>
    <row r="35829">
      <c r="A35829" s="1" t="n">
        <v>35828</v>
      </c>
      <c r="B35829">
        <f>TEXT(35828, "[$-0E0000]yyyy-mm-dd")</f>
        <v/>
      </c>
      <c r="C35829" t="inlineStr">
        <is>
          <t>1998-01-07</t>
        </is>
      </c>
    </row>
    <row r="35830">
      <c r="A35830" s="1" t="n">
        <v>35829</v>
      </c>
      <c r="B35830">
        <f>TEXT(35829, "[$-0E0000]yyyy-mm-dd")</f>
        <v/>
      </c>
      <c r="C35830" t="inlineStr">
        <is>
          <t>1998-01-08</t>
        </is>
      </c>
    </row>
    <row r="35831">
      <c r="A35831" s="1" t="n">
        <v>35830</v>
      </c>
      <c r="B35831">
        <f>TEXT(35830, "[$-0E0000]yyyy-mm-dd")</f>
        <v/>
      </c>
      <c r="C35831" t="inlineStr">
        <is>
          <t>1998-01-09</t>
        </is>
      </c>
    </row>
    <row r="35832">
      <c r="A35832" s="1" t="n">
        <v>35831</v>
      </c>
      <c r="B35832">
        <f>TEXT(35831, "[$-0E0000]yyyy-mm-dd")</f>
        <v/>
      </c>
      <c r="C35832" t="inlineStr">
        <is>
          <t>1998-01-10</t>
        </is>
      </c>
    </row>
    <row r="35833">
      <c r="A35833" s="1" t="n">
        <v>35832</v>
      </c>
      <c r="B35833">
        <f>TEXT(35832, "[$-0E0000]yyyy-mm-dd")</f>
        <v/>
      </c>
      <c r="C35833" t="inlineStr">
        <is>
          <t>1998-01-11</t>
        </is>
      </c>
    </row>
    <row r="35834">
      <c r="A35834" s="1" t="n">
        <v>35833</v>
      </c>
      <c r="B35834">
        <f>TEXT(35833, "[$-0E0000]yyyy-mm-dd")</f>
        <v/>
      </c>
      <c r="C35834" t="inlineStr">
        <is>
          <t>1998-01-12</t>
        </is>
      </c>
    </row>
    <row r="35835">
      <c r="A35835" s="1" t="n">
        <v>35834</v>
      </c>
      <c r="B35835">
        <f>TEXT(35834, "[$-0E0000]yyyy-mm-dd")</f>
        <v/>
      </c>
      <c r="C35835" t="inlineStr">
        <is>
          <t>1998-01-13</t>
        </is>
      </c>
    </row>
    <row r="35836">
      <c r="A35836" s="1" t="n">
        <v>35835</v>
      </c>
      <c r="B35836">
        <f>TEXT(35835, "[$-0E0000]yyyy-mm-dd")</f>
        <v/>
      </c>
      <c r="C35836" t="inlineStr">
        <is>
          <t>1998-01-14</t>
        </is>
      </c>
    </row>
    <row r="35837">
      <c r="A35837" s="1" t="n">
        <v>35836</v>
      </c>
      <c r="B35837">
        <f>TEXT(35836, "[$-0E0000]yyyy-mm-dd")</f>
        <v/>
      </c>
      <c r="C35837" t="inlineStr">
        <is>
          <t>1998-01-15</t>
        </is>
      </c>
    </row>
    <row r="35838">
      <c r="A35838" s="1" t="n">
        <v>35837</v>
      </c>
      <c r="B35838">
        <f>TEXT(35837, "[$-0E0000]yyyy-mm-dd")</f>
        <v/>
      </c>
      <c r="C35838" t="inlineStr">
        <is>
          <t>1998-01-16</t>
        </is>
      </c>
    </row>
    <row r="35839">
      <c r="A35839" s="1" t="n">
        <v>35838</v>
      </c>
      <c r="B35839">
        <f>TEXT(35838, "[$-0E0000]yyyy-mm-dd")</f>
        <v/>
      </c>
      <c r="C35839" t="inlineStr">
        <is>
          <t>1998-01-17</t>
        </is>
      </c>
    </row>
    <row r="35840">
      <c r="A35840" s="1" t="n">
        <v>35839</v>
      </c>
      <c r="B35840">
        <f>TEXT(35839, "[$-0E0000]yyyy-mm-dd")</f>
        <v/>
      </c>
      <c r="C35840" t="inlineStr">
        <is>
          <t>1998-01-18</t>
        </is>
      </c>
    </row>
    <row r="35841">
      <c r="A35841" s="1" t="n">
        <v>35840</v>
      </c>
      <c r="B35841">
        <f>TEXT(35840, "[$-0E0000]yyyy-mm-dd")</f>
        <v/>
      </c>
      <c r="C35841" t="inlineStr">
        <is>
          <t>1998-01-19</t>
        </is>
      </c>
    </row>
    <row r="35842">
      <c r="A35842" s="1" t="n">
        <v>35841</v>
      </c>
      <c r="B35842">
        <f>TEXT(35841, "[$-0E0000]yyyy-mm-dd")</f>
        <v/>
      </c>
      <c r="C35842" t="inlineStr">
        <is>
          <t>1998-01-20</t>
        </is>
      </c>
    </row>
    <row r="35843">
      <c r="A35843" s="1" t="n">
        <v>35842</v>
      </c>
      <c r="B35843">
        <f>TEXT(35842, "[$-0E0000]yyyy-mm-dd")</f>
        <v/>
      </c>
      <c r="C35843" t="inlineStr">
        <is>
          <t>1998-01-21</t>
        </is>
      </c>
    </row>
    <row r="35844">
      <c r="A35844" s="1" t="n">
        <v>35843</v>
      </c>
      <c r="B35844">
        <f>TEXT(35843, "[$-0E0000]yyyy-mm-dd")</f>
        <v/>
      </c>
      <c r="C35844" t="inlineStr">
        <is>
          <t>1998-01-22</t>
        </is>
      </c>
    </row>
    <row r="35845">
      <c r="A35845" s="1" t="n">
        <v>35844</v>
      </c>
      <c r="B35845">
        <f>TEXT(35844, "[$-0E0000]yyyy-mm-dd")</f>
        <v/>
      </c>
      <c r="C35845" t="inlineStr">
        <is>
          <t>1998-01-23</t>
        </is>
      </c>
    </row>
    <row r="35846">
      <c r="A35846" s="1" t="n">
        <v>35845</v>
      </c>
      <c r="B35846">
        <f>TEXT(35845, "[$-0E0000]yyyy-mm-dd")</f>
        <v/>
      </c>
      <c r="C35846" t="inlineStr">
        <is>
          <t>1998-01-24</t>
        </is>
      </c>
    </row>
    <row r="35847">
      <c r="A35847" s="1" t="n">
        <v>35846</v>
      </c>
      <c r="B35847">
        <f>TEXT(35846, "[$-0E0000]yyyy-mm-dd")</f>
        <v/>
      </c>
      <c r="C35847" t="inlineStr">
        <is>
          <t>1998-01-25</t>
        </is>
      </c>
    </row>
    <row r="35848">
      <c r="A35848" s="1" t="n">
        <v>35847</v>
      </c>
      <c r="B35848">
        <f>TEXT(35847, "[$-0E0000]yyyy-mm-dd")</f>
        <v/>
      </c>
      <c r="C35848" t="inlineStr">
        <is>
          <t>1998-01-26</t>
        </is>
      </c>
    </row>
    <row r="35849">
      <c r="A35849" s="1" t="n">
        <v>35848</v>
      </c>
      <c r="B35849">
        <f>TEXT(35848, "[$-0E0000]yyyy-mm-dd")</f>
        <v/>
      </c>
      <c r="C35849" t="inlineStr">
        <is>
          <t>1998-01-27</t>
        </is>
      </c>
    </row>
    <row r="35850">
      <c r="A35850" s="1" t="n">
        <v>35849</v>
      </c>
      <c r="B35850">
        <f>TEXT(35849, "[$-0E0000]yyyy-mm-dd")</f>
        <v/>
      </c>
      <c r="C35850" t="inlineStr">
        <is>
          <t>1998-01-28</t>
        </is>
      </c>
    </row>
    <row r="35851">
      <c r="A35851" s="1" t="n">
        <v>35850</v>
      </c>
      <c r="B35851">
        <f>TEXT(35850, "[$-0E0000]yyyy-mm-dd")</f>
        <v/>
      </c>
      <c r="C35851" t="inlineStr">
        <is>
          <t>1998-01-29</t>
        </is>
      </c>
    </row>
    <row r="35852">
      <c r="A35852" s="1" t="n">
        <v>35851</v>
      </c>
      <c r="B35852">
        <f>TEXT(35851, "[$-0E0000]yyyy-mm-dd")</f>
        <v/>
      </c>
      <c r="C35852" t="inlineStr">
        <is>
          <t>1998-01-30</t>
        </is>
      </c>
    </row>
    <row r="35853">
      <c r="A35853" s="1" t="n">
        <v>35852</v>
      </c>
      <c r="B35853">
        <f>TEXT(35852, "[$-0E0000]yyyy-mm-dd")</f>
        <v/>
      </c>
      <c r="C35853" t="inlineStr">
        <is>
          <t>1998-02-01</t>
        </is>
      </c>
    </row>
    <row r="35854">
      <c r="A35854" s="1" t="n">
        <v>35853</v>
      </c>
      <c r="B35854">
        <f>TEXT(35853, "[$-0E0000]yyyy-mm-dd")</f>
        <v/>
      </c>
      <c r="C35854" t="inlineStr">
        <is>
          <t>1998-02-02</t>
        </is>
      </c>
    </row>
    <row r="35855">
      <c r="A35855" s="1" t="n">
        <v>35854</v>
      </c>
      <c r="B35855">
        <f>TEXT(35854, "[$-0E0000]yyyy-mm-dd")</f>
        <v/>
      </c>
      <c r="C35855" t="inlineStr">
        <is>
          <t>1998-02-03</t>
        </is>
      </c>
    </row>
    <row r="35856">
      <c r="A35856" s="1" t="n">
        <v>35855</v>
      </c>
      <c r="B35856">
        <f>TEXT(35855, "[$-0E0000]yyyy-mm-dd")</f>
        <v/>
      </c>
      <c r="C35856" t="inlineStr">
        <is>
          <t>1998-02-04</t>
        </is>
      </c>
    </row>
    <row r="35857">
      <c r="A35857" s="1" t="n">
        <v>35856</v>
      </c>
      <c r="B35857">
        <f>TEXT(35856, "[$-0E0000]yyyy-mm-dd")</f>
        <v/>
      </c>
      <c r="C35857" t="inlineStr">
        <is>
          <t>1998-02-05</t>
        </is>
      </c>
    </row>
    <row r="35858">
      <c r="A35858" s="1" t="n">
        <v>35857</v>
      </c>
      <c r="B35858">
        <f>TEXT(35857, "[$-0E0000]yyyy-mm-dd")</f>
        <v/>
      </c>
      <c r="C35858" t="inlineStr">
        <is>
          <t>1998-02-06</t>
        </is>
      </c>
    </row>
    <row r="35859">
      <c r="A35859" s="1" t="n">
        <v>35858</v>
      </c>
      <c r="B35859">
        <f>TEXT(35858, "[$-0E0000]yyyy-mm-dd")</f>
        <v/>
      </c>
      <c r="C35859" t="inlineStr">
        <is>
          <t>1998-02-07</t>
        </is>
      </c>
    </row>
    <row r="35860">
      <c r="A35860" s="1" t="n">
        <v>35859</v>
      </c>
      <c r="B35860">
        <f>TEXT(35859, "[$-0E0000]yyyy-mm-dd")</f>
        <v/>
      </c>
      <c r="C35860" t="inlineStr">
        <is>
          <t>1998-02-08</t>
        </is>
      </c>
    </row>
    <row r="35861">
      <c r="A35861" s="1" t="n">
        <v>35860</v>
      </c>
      <c r="B35861">
        <f>TEXT(35860, "[$-0E0000]yyyy-mm-dd")</f>
        <v/>
      </c>
      <c r="C35861" t="inlineStr">
        <is>
          <t>1998-02-09</t>
        </is>
      </c>
    </row>
    <row r="35862">
      <c r="A35862" s="1" t="n">
        <v>35861</v>
      </c>
      <c r="B35862">
        <f>TEXT(35861, "[$-0E0000]yyyy-mm-dd")</f>
        <v/>
      </c>
      <c r="C35862" t="inlineStr">
        <is>
          <t>1998-02-10</t>
        </is>
      </c>
    </row>
    <row r="35863">
      <c r="A35863" s="1" t="n">
        <v>35862</v>
      </c>
      <c r="B35863">
        <f>TEXT(35862, "[$-0E0000]yyyy-mm-dd")</f>
        <v/>
      </c>
      <c r="C35863" t="inlineStr">
        <is>
          <t>1998-02-11</t>
        </is>
      </c>
    </row>
    <row r="35864">
      <c r="A35864" s="1" t="n">
        <v>35863</v>
      </c>
      <c r="B35864">
        <f>TEXT(35863, "[$-0E0000]yyyy-mm-dd")</f>
        <v/>
      </c>
      <c r="C35864" t="inlineStr">
        <is>
          <t>1998-02-12</t>
        </is>
      </c>
    </row>
    <row r="35865">
      <c r="A35865" s="1" t="n">
        <v>35864</v>
      </c>
      <c r="B35865">
        <f>TEXT(35864, "[$-0E0000]yyyy-mm-dd")</f>
        <v/>
      </c>
      <c r="C35865" t="inlineStr">
        <is>
          <t>1998-02-13</t>
        </is>
      </c>
    </row>
    <row r="35866">
      <c r="A35866" s="1" t="n">
        <v>35865</v>
      </c>
      <c r="B35866">
        <f>TEXT(35865, "[$-0E0000]yyyy-mm-dd")</f>
        <v/>
      </c>
      <c r="C35866" t="inlineStr">
        <is>
          <t>1998-02-14</t>
        </is>
      </c>
    </row>
    <row r="35867">
      <c r="A35867" s="1" t="n">
        <v>35866</v>
      </c>
      <c r="B35867">
        <f>TEXT(35866, "[$-0E0000]yyyy-mm-dd")</f>
        <v/>
      </c>
      <c r="C35867" t="inlineStr">
        <is>
          <t>1998-02-15</t>
        </is>
      </c>
    </row>
    <row r="35868">
      <c r="A35868" s="1" t="n">
        <v>35867</v>
      </c>
      <c r="B35868">
        <f>TEXT(35867, "[$-0E0000]yyyy-mm-dd")</f>
        <v/>
      </c>
      <c r="C35868" t="inlineStr">
        <is>
          <t>1998-02-16</t>
        </is>
      </c>
    </row>
    <row r="35869">
      <c r="A35869" s="1" t="n">
        <v>35868</v>
      </c>
      <c r="B35869">
        <f>TEXT(35868, "[$-0E0000]yyyy-mm-dd")</f>
        <v/>
      </c>
      <c r="C35869" t="inlineStr">
        <is>
          <t>1998-02-17</t>
        </is>
      </c>
    </row>
    <row r="35870">
      <c r="A35870" s="1" t="n">
        <v>35869</v>
      </c>
      <c r="B35870">
        <f>TEXT(35869, "[$-0E0000]yyyy-mm-dd")</f>
        <v/>
      </c>
      <c r="C35870" t="inlineStr">
        <is>
          <t>1998-02-18</t>
        </is>
      </c>
    </row>
    <row r="35871">
      <c r="A35871" s="1" t="n">
        <v>35870</v>
      </c>
      <c r="B35871">
        <f>TEXT(35870, "[$-0E0000]yyyy-mm-dd")</f>
        <v/>
      </c>
      <c r="C35871" t="inlineStr">
        <is>
          <t>1998-02-19</t>
        </is>
      </c>
    </row>
    <row r="35872">
      <c r="A35872" s="1" t="n">
        <v>35871</v>
      </c>
      <c r="B35872">
        <f>TEXT(35871, "[$-0E0000]yyyy-mm-dd")</f>
        <v/>
      </c>
      <c r="C35872" t="inlineStr">
        <is>
          <t>1998-02-20</t>
        </is>
      </c>
    </row>
    <row r="35873">
      <c r="A35873" s="1" t="n">
        <v>35872</v>
      </c>
      <c r="B35873">
        <f>TEXT(35872, "[$-0E0000]yyyy-mm-dd")</f>
        <v/>
      </c>
      <c r="C35873" t="inlineStr">
        <is>
          <t>1998-02-21</t>
        </is>
      </c>
    </row>
    <row r="35874">
      <c r="A35874" s="1" t="n">
        <v>35873</v>
      </c>
      <c r="B35874">
        <f>TEXT(35873, "[$-0E0000]yyyy-mm-dd")</f>
        <v/>
      </c>
      <c r="C35874" t="inlineStr">
        <is>
          <t>1998-02-22</t>
        </is>
      </c>
    </row>
    <row r="35875">
      <c r="A35875" s="1" t="n">
        <v>35874</v>
      </c>
      <c r="B35875">
        <f>TEXT(35874, "[$-0E0000]yyyy-mm-dd")</f>
        <v/>
      </c>
      <c r="C35875" t="inlineStr">
        <is>
          <t>1998-02-23</t>
        </is>
      </c>
    </row>
    <row r="35876">
      <c r="A35876" s="1" t="n">
        <v>35875</v>
      </c>
      <c r="B35876">
        <f>TEXT(35875, "[$-0E0000]yyyy-mm-dd")</f>
        <v/>
      </c>
      <c r="C35876" t="inlineStr">
        <is>
          <t>1998-02-24</t>
        </is>
      </c>
    </row>
    <row r="35877">
      <c r="A35877" s="1" t="n">
        <v>35876</v>
      </c>
      <c r="B35877">
        <f>TEXT(35876, "[$-0E0000]yyyy-mm-dd")</f>
        <v/>
      </c>
      <c r="C35877" t="inlineStr">
        <is>
          <t>1998-02-25</t>
        </is>
      </c>
    </row>
    <row r="35878">
      <c r="A35878" s="1" t="n">
        <v>35877</v>
      </c>
      <c r="B35878">
        <f>TEXT(35877, "[$-0E0000]yyyy-mm-dd")</f>
        <v/>
      </c>
      <c r="C35878" t="inlineStr">
        <is>
          <t>1998-02-26</t>
        </is>
      </c>
    </row>
    <row r="35879">
      <c r="A35879" s="1" t="n">
        <v>35878</v>
      </c>
      <c r="B35879">
        <f>TEXT(35878, "[$-0E0000]yyyy-mm-dd")</f>
        <v/>
      </c>
      <c r="C35879" t="inlineStr">
        <is>
          <t>1998-02-27</t>
        </is>
      </c>
    </row>
    <row r="35880">
      <c r="A35880" s="1" t="n">
        <v>35879</v>
      </c>
      <c r="B35880">
        <f>TEXT(35879, "[$-0E0000]yyyy-mm-dd")</f>
        <v/>
      </c>
      <c r="C35880" t="inlineStr">
        <is>
          <t>1998-02-28</t>
        </is>
      </c>
    </row>
    <row r="35881">
      <c r="A35881" s="1" t="n">
        <v>35880</v>
      </c>
      <c r="B35881">
        <f>TEXT(35880, "[$-0E0000]yyyy-mm-dd")</f>
        <v/>
      </c>
      <c r="C35881" t="inlineStr">
        <is>
          <t>1998-02-29</t>
        </is>
      </c>
    </row>
    <row r="35882">
      <c r="A35882" s="1" t="n">
        <v>35881</v>
      </c>
      <c r="B35882">
        <f>TEXT(35881, "[$-0E0000]yyyy-mm-dd")</f>
        <v/>
      </c>
      <c r="C35882" t="inlineStr">
        <is>
          <t>1998-03-01</t>
        </is>
      </c>
    </row>
    <row r="35883">
      <c r="A35883" s="1" t="n">
        <v>35882</v>
      </c>
      <c r="B35883">
        <f>TEXT(35882, "[$-0E0000]yyyy-mm-dd")</f>
        <v/>
      </c>
      <c r="C35883" t="inlineStr">
        <is>
          <t>1998-03-02</t>
        </is>
      </c>
    </row>
    <row r="35884">
      <c r="A35884" s="1" t="n">
        <v>35883</v>
      </c>
      <c r="B35884">
        <f>TEXT(35883, "[$-0E0000]yyyy-mm-dd")</f>
        <v/>
      </c>
      <c r="C35884" t="inlineStr">
        <is>
          <t>1998-03-03</t>
        </is>
      </c>
    </row>
    <row r="35885">
      <c r="A35885" s="1" t="n">
        <v>35884</v>
      </c>
      <c r="B35885">
        <f>TEXT(35884, "[$-0E0000]yyyy-mm-dd")</f>
        <v/>
      </c>
      <c r="C35885" t="inlineStr">
        <is>
          <t>1998-03-04</t>
        </is>
      </c>
    </row>
    <row r="35886">
      <c r="A35886" s="1" t="n">
        <v>35885</v>
      </c>
      <c r="B35886">
        <f>TEXT(35885, "[$-0E0000]yyyy-mm-dd")</f>
        <v/>
      </c>
      <c r="C35886" t="inlineStr">
        <is>
          <t>1998-03-05</t>
        </is>
      </c>
    </row>
    <row r="35887">
      <c r="A35887" s="1" t="n">
        <v>35886</v>
      </c>
      <c r="B35887">
        <f>TEXT(35886, "[$-0E0000]yyyy-mm-dd")</f>
        <v/>
      </c>
      <c r="C35887" t="inlineStr">
        <is>
          <t>1998-03-06</t>
        </is>
      </c>
    </row>
    <row r="35888">
      <c r="A35888" s="1" t="n">
        <v>35887</v>
      </c>
      <c r="B35888">
        <f>TEXT(35887, "[$-0E0000]yyyy-mm-dd")</f>
        <v/>
      </c>
      <c r="C35888" t="inlineStr">
        <is>
          <t>1998-03-07</t>
        </is>
      </c>
    </row>
    <row r="35889">
      <c r="A35889" s="1" t="n">
        <v>35888</v>
      </c>
      <c r="B35889">
        <f>TEXT(35888, "[$-0E0000]yyyy-mm-dd")</f>
        <v/>
      </c>
      <c r="C35889" t="inlineStr">
        <is>
          <t>1998-03-08</t>
        </is>
      </c>
    </row>
    <row r="35890">
      <c r="A35890" s="1" t="n">
        <v>35889</v>
      </c>
      <c r="B35890">
        <f>TEXT(35889, "[$-0E0000]yyyy-mm-dd")</f>
        <v/>
      </c>
      <c r="C35890" t="inlineStr">
        <is>
          <t>1998-03-09</t>
        </is>
      </c>
    </row>
    <row r="35891">
      <c r="A35891" s="1" t="n">
        <v>35890</v>
      </c>
      <c r="B35891">
        <f>TEXT(35890, "[$-0E0000]yyyy-mm-dd")</f>
        <v/>
      </c>
      <c r="C35891" t="inlineStr">
        <is>
          <t>1998-03-10</t>
        </is>
      </c>
    </row>
    <row r="35892">
      <c r="A35892" s="1" t="n">
        <v>35891</v>
      </c>
      <c r="B35892">
        <f>TEXT(35891, "[$-0E0000]yyyy-mm-dd")</f>
        <v/>
      </c>
      <c r="C35892" t="inlineStr">
        <is>
          <t>1998-03-11</t>
        </is>
      </c>
    </row>
    <row r="35893">
      <c r="A35893" s="1" t="n">
        <v>35892</v>
      </c>
      <c r="B35893">
        <f>TEXT(35892, "[$-0E0000]yyyy-mm-dd")</f>
        <v/>
      </c>
      <c r="C35893" t="inlineStr">
        <is>
          <t>1998-03-12</t>
        </is>
      </c>
    </row>
    <row r="35894">
      <c r="A35894" s="1" t="n">
        <v>35893</v>
      </c>
      <c r="B35894">
        <f>TEXT(35893, "[$-0E0000]yyyy-mm-dd")</f>
        <v/>
      </c>
      <c r="C35894" t="inlineStr">
        <is>
          <t>1998-03-13</t>
        </is>
      </c>
    </row>
    <row r="35895">
      <c r="A35895" s="1" t="n">
        <v>35894</v>
      </c>
      <c r="B35895">
        <f>TEXT(35894, "[$-0E0000]yyyy-mm-dd")</f>
        <v/>
      </c>
      <c r="C35895" t="inlineStr">
        <is>
          <t>1998-03-14</t>
        </is>
      </c>
    </row>
    <row r="35896">
      <c r="A35896" s="1" t="n">
        <v>35895</v>
      </c>
      <c r="B35896">
        <f>TEXT(35895, "[$-0E0000]yyyy-mm-dd")</f>
        <v/>
      </c>
      <c r="C35896" t="inlineStr">
        <is>
          <t>1998-03-15</t>
        </is>
      </c>
    </row>
    <row r="35897">
      <c r="A35897" s="1" t="n">
        <v>35896</v>
      </c>
      <c r="B35897">
        <f>TEXT(35896, "[$-0E0000]yyyy-mm-dd")</f>
        <v/>
      </c>
      <c r="C35897" t="inlineStr">
        <is>
          <t>1998-03-16</t>
        </is>
      </c>
    </row>
    <row r="35898">
      <c r="A35898" s="1" t="n">
        <v>35897</v>
      </c>
      <c r="B35898">
        <f>TEXT(35897, "[$-0E0000]yyyy-mm-dd")</f>
        <v/>
      </c>
      <c r="C35898" t="inlineStr">
        <is>
          <t>1998-03-17</t>
        </is>
      </c>
    </row>
    <row r="35899">
      <c r="A35899" s="1" t="n">
        <v>35898</v>
      </c>
      <c r="B35899">
        <f>TEXT(35898, "[$-0E0000]yyyy-mm-dd")</f>
        <v/>
      </c>
      <c r="C35899" t="inlineStr">
        <is>
          <t>1998-03-18</t>
        </is>
      </c>
    </row>
    <row r="35900">
      <c r="A35900" s="1" t="n">
        <v>35899</v>
      </c>
      <c r="B35900">
        <f>TEXT(35899, "[$-0E0000]yyyy-mm-dd")</f>
        <v/>
      </c>
      <c r="C35900" t="inlineStr">
        <is>
          <t>1998-03-19</t>
        </is>
      </c>
    </row>
    <row r="35901">
      <c r="A35901" s="1" t="n">
        <v>35900</v>
      </c>
      <c r="B35901">
        <f>TEXT(35900, "[$-0E0000]yyyy-mm-dd")</f>
        <v/>
      </c>
      <c r="C35901" t="inlineStr">
        <is>
          <t>1998-03-20</t>
        </is>
      </c>
    </row>
    <row r="35902">
      <c r="A35902" s="1" t="n">
        <v>35901</v>
      </c>
      <c r="B35902">
        <f>TEXT(35901, "[$-0E0000]yyyy-mm-dd")</f>
        <v/>
      </c>
      <c r="C35902" t="inlineStr">
        <is>
          <t>1998-03-21</t>
        </is>
      </c>
    </row>
    <row r="35903">
      <c r="A35903" s="1" t="n">
        <v>35902</v>
      </c>
      <c r="B35903">
        <f>TEXT(35902, "[$-0E0000]yyyy-mm-dd")</f>
        <v/>
      </c>
      <c r="C35903" t="inlineStr">
        <is>
          <t>1998-03-22</t>
        </is>
      </c>
    </row>
    <row r="35904">
      <c r="A35904" s="1" t="n">
        <v>35903</v>
      </c>
      <c r="B35904">
        <f>TEXT(35903, "[$-0E0000]yyyy-mm-dd")</f>
        <v/>
      </c>
      <c r="C35904" t="inlineStr">
        <is>
          <t>1998-03-23</t>
        </is>
      </c>
    </row>
    <row r="35905">
      <c r="A35905" s="1" t="n">
        <v>35904</v>
      </c>
      <c r="B35905">
        <f>TEXT(35904, "[$-0E0000]yyyy-mm-dd")</f>
        <v/>
      </c>
      <c r="C35905" t="inlineStr">
        <is>
          <t>1998-03-24</t>
        </is>
      </c>
    </row>
    <row r="35906">
      <c r="A35906" s="1" t="n">
        <v>35905</v>
      </c>
      <c r="B35906">
        <f>TEXT(35905, "[$-0E0000]yyyy-mm-dd")</f>
        <v/>
      </c>
      <c r="C35906" t="inlineStr">
        <is>
          <t>1998-03-25</t>
        </is>
      </c>
    </row>
    <row r="35907">
      <c r="A35907" s="1" t="n">
        <v>35906</v>
      </c>
      <c r="B35907">
        <f>TEXT(35906, "[$-0E0000]yyyy-mm-dd")</f>
        <v/>
      </c>
      <c r="C35907" t="inlineStr">
        <is>
          <t>1998-03-26</t>
        </is>
      </c>
    </row>
    <row r="35908">
      <c r="A35908" s="1" t="n">
        <v>35907</v>
      </c>
      <c r="B35908">
        <f>TEXT(35907, "[$-0E0000]yyyy-mm-dd")</f>
        <v/>
      </c>
      <c r="C35908" t="inlineStr">
        <is>
          <t>1998-03-27</t>
        </is>
      </c>
    </row>
    <row r="35909">
      <c r="A35909" s="1" t="n">
        <v>35908</v>
      </c>
      <c r="B35909">
        <f>TEXT(35908, "[$-0E0000]yyyy-mm-dd")</f>
        <v/>
      </c>
      <c r="C35909" t="inlineStr">
        <is>
          <t>1998-03-28</t>
        </is>
      </c>
    </row>
    <row r="35910">
      <c r="A35910" s="1" t="n">
        <v>35909</v>
      </c>
      <c r="B35910">
        <f>TEXT(35909, "[$-0E0000]yyyy-mm-dd")</f>
        <v/>
      </c>
      <c r="C35910" t="inlineStr">
        <is>
          <t>1998-03-29</t>
        </is>
      </c>
    </row>
    <row r="35911">
      <c r="A35911" s="1" t="n">
        <v>35910</v>
      </c>
      <c r="B35911">
        <f>TEXT(35910, "[$-0E0000]yyyy-mm-dd")</f>
        <v/>
      </c>
      <c r="C35911" t="inlineStr">
        <is>
          <t>1998-04-01</t>
        </is>
      </c>
    </row>
    <row r="35912">
      <c r="A35912" s="1" t="n">
        <v>35911</v>
      </c>
      <c r="B35912">
        <f>TEXT(35911, "[$-0E0000]yyyy-mm-dd")</f>
        <v/>
      </c>
      <c r="C35912" t="inlineStr">
        <is>
          <t>1998-04-02</t>
        </is>
      </c>
    </row>
    <row r="35913">
      <c r="A35913" s="1" t="n">
        <v>35912</v>
      </c>
      <c r="B35913">
        <f>TEXT(35912, "[$-0E0000]yyyy-mm-dd")</f>
        <v/>
      </c>
      <c r="C35913" t="inlineStr">
        <is>
          <t>1998-04-03</t>
        </is>
      </c>
    </row>
    <row r="35914">
      <c r="A35914" s="1" t="n">
        <v>35913</v>
      </c>
      <c r="B35914">
        <f>TEXT(35913, "[$-0E0000]yyyy-mm-dd")</f>
        <v/>
      </c>
      <c r="C35914" t="inlineStr">
        <is>
          <t>1998-04-04</t>
        </is>
      </c>
    </row>
    <row r="35915">
      <c r="A35915" s="1" t="n">
        <v>35914</v>
      </c>
      <c r="B35915">
        <f>TEXT(35914, "[$-0E0000]yyyy-mm-dd")</f>
        <v/>
      </c>
      <c r="C35915" t="inlineStr">
        <is>
          <t>1998-04-05</t>
        </is>
      </c>
    </row>
    <row r="35916">
      <c r="A35916" s="1" t="n">
        <v>35915</v>
      </c>
      <c r="B35916">
        <f>TEXT(35915, "[$-0E0000]yyyy-mm-dd")</f>
        <v/>
      </c>
      <c r="C35916" t="inlineStr">
        <is>
          <t>1998-04-06</t>
        </is>
      </c>
    </row>
    <row r="35917">
      <c r="A35917" s="1" t="n">
        <v>35916</v>
      </c>
      <c r="B35917">
        <f>TEXT(35916, "[$-0E0000]yyyy-mm-dd")</f>
        <v/>
      </c>
      <c r="C35917" t="inlineStr">
        <is>
          <t>1998-04-07</t>
        </is>
      </c>
    </row>
    <row r="35918">
      <c r="A35918" s="1" t="n">
        <v>35917</v>
      </c>
      <c r="B35918">
        <f>TEXT(35917, "[$-0E0000]yyyy-mm-dd")</f>
        <v/>
      </c>
      <c r="C35918" t="inlineStr">
        <is>
          <t>1998-04-08</t>
        </is>
      </c>
    </row>
    <row r="35919">
      <c r="A35919" s="1" t="n">
        <v>35918</v>
      </c>
      <c r="B35919">
        <f>TEXT(35918, "[$-0E0000]yyyy-mm-dd")</f>
        <v/>
      </c>
      <c r="C35919" t="inlineStr">
        <is>
          <t>1998-04-09</t>
        </is>
      </c>
    </row>
    <row r="35920">
      <c r="A35920" s="1" t="n">
        <v>35919</v>
      </c>
      <c r="B35920">
        <f>TEXT(35919, "[$-0E0000]yyyy-mm-dd")</f>
        <v/>
      </c>
      <c r="C35920" t="inlineStr">
        <is>
          <t>1998-04-10</t>
        </is>
      </c>
    </row>
    <row r="35921">
      <c r="A35921" s="1" t="n">
        <v>35920</v>
      </c>
      <c r="B35921">
        <f>TEXT(35920, "[$-0E0000]yyyy-mm-dd")</f>
        <v/>
      </c>
      <c r="C35921" t="inlineStr">
        <is>
          <t>1998-04-11</t>
        </is>
      </c>
    </row>
    <row r="35922">
      <c r="A35922" s="1" t="n">
        <v>35921</v>
      </c>
      <c r="B35922">
        <f>TEXT(35921, "[$-0E0000]yyyy-mm-dd")</f>
        <v/>
      </c>
      <c r="C35922" t="inlineStr">
        <is>
          <t>1998-04-12</t>
        </is>
      </c>
    </row>
    <row r="35923">
      <c r="A35923" s="1" t="n">
        <v>35922</v>
      </c>
      <c r="B35923">
        <f>TEXT(35922, "[$-0E0000]yyyy-mm-dd")</f>
        <v/>
      </c>
      <c r="C35923" t="inlineStr">
        <is>
          <t>1998-04-13</t>
        </is>
      </c>
    </row>
    <row r="35924">
      <c r="A35924" s="1" t="n">
        <v>35923</v>
      </c>
      <c r="B35924">
        <f>TEXT(35923, "[$-0E0000]yyyy-mm-dd")</f>
        <v/>
      </c>
      <c r="C35924" t="inlineStr">
        <is>
          <t>1998-04-14</t>
        </is>
      </c>
    </row>
    <row r="35925">
      <c r="A35925" s="1" t="n">
        <v>35924</v>
      </c>
      <c r="B35925">
        <f>TEXT(35924, "[$-0E0000]yyyy-mm-dd")</f>
        <v/>
      </c>
      <c r="C35925" t="inlineStr">
        <is>
          <t>1998-04-15</t>
        </is>
      </c>
    </row>
    <row r="35926">
      <c r="A35926" s="1" t="n">
        <v>35925</v>
      </c>
      <c r="B35926">
        <f>TEXT(35925, "[$-0E0000]yyyy-mm-dd")</f>
        <v/>
      </c>
      <c r="C35926" t="inlineStr">
        <is>
          <t>1998-04-16</t>
        </is>
      </c>
    </row>
    <row r="35927">
      <c r="A35927" s="1" t="n">
        <v>35926</v>
      </c>
      <c r="B35927">
        <f>TEXT(35926, "[$-0E0000]yyyy-mm-dd")</f>
        <v/>
      </c>
      <c r="C35927" t="inlineStr">
        <is>
          <t>1998-04-17</t>
        </is>
      </c>
    </row>
    <row r="35928">
      <c r="A35928" s="1" t="n">
        <v>35927</v>
      </c>
      <c r="B35928">
        <f>TEXT(35927, "[$-0E0000]yyyy-mm-dd")</f>
        <v/>
      </c>
      <c r="C35928" t="inlineStr">
        <is>
          <t>1998-04-18</t>
        </is>
      </c>
    </row>
    <row r="35929">
      <c r="A35929" s="1" t="n">
        <v>35928</v>
      </c>
      <c r="B35929">
        <f>TEXT(35928, "[$-0E0000]yyyy-mm-dd")</f>
        <v/>
      </c>
      <c r="C35929" t="inlineStr">
        <is>
          <t>1998-04-19</t>
        </is>
      </c>
    </row>
    <row r="35930">
      <c r="A35930" s="1" t="n">
        <v>35929</v>
      </c>
      <c r="B35930">
        <f>TEXT(35929, "[$-0E0000]yyyy-mm-dd")</f>
        <v/>
      </c>
      <c r="C35930" t="inlineStr">
        <is>
          <t>1998-04-20</t>
        </is>
      </c>
    </row>
    <row r="35931">
      <c r="A35931" s="1" t="n">
        <v>35930</v>
      </c>
      <c r="B35931">
        <f>TEXT(35930, "[$-0E0000]yyyy-mm-dd")</f>
        <v/>
      </c>
      <c r="C35931" t="inlineStr">
        <is>
          <t>1998-04-21</t>
        </is>
      </c>
    </row>
    <row r="35932">
      <c r="A35932" s="1" t="n">
        <v>35931</v>
      </c>
      <c r="B35932">
        <f>TEXT(35931, "[$-0E0000]yyyy-mm-dd")</f>
        <v/>
      </c>
      <c r="C35932" t="inlineStr">
        <is>
          <t>1998-04-22</t>
        </is>
      </c>
    </row>
    <row r="35933">
      <c r="A35933" s="1" t="n">
        <v>35932</v>
      </c>
      <c r="B35933">
        <f>TEXT(35932, "[$-0E0000]yyyy-mm-dd")</f>
        <v/>
      </c>
      <c r="C35933" t="inlineStr">
        <is>
          <t>1998-04-23</t>
        </is>
      </c>
    </row>
    <row r="35934">
      <c r="A35934" s="1" t="n">
        <v>35933</v>
      </c>
      <c r="B35934">
        <f>TEXT(35933, "[$-0E0000]yyyy-mm-dd")</f>
        <v/>
      </c>
      <c r="C35934" t="inlineStr">
        <is>
          <t>1998-04-24</t>
        </is>
      </c>
    </row>
    <row r="35935">
      <c r="A35935" s="1" t="n">
        <v>35934</v>
      </c>
      <c r="B35935">
        <f>TEXT(35934, "[$-0E0000]yyyy-mm-dd")</f>
        <v/>
      </c>
      <c r="C35935" t="inlineStr">
        <is>
          <t>1998-04-25</t>
        </is>
      </c>
    </row>
    <row r="35936">
      <c r="A35936" s="1" t="n">
        <v>35935</v>
      </c>
      <c r="B35936">
        <f>TEXT(35935, "[$-0E0000]yyyy-mm-dd")</f>
        <v/>
      </c>
      <c r="C35936" t="inlineStr">
        <is>
          <t>1998-04-26</t>
        </is>
      </c>
    </row>
    <row r="35937">
      <c r="A35937" s="1" t="n">
        <v>35936</v>
      </c>
      <c r="B35937">
        <f>TEXT(35936, "[$-0E0000]yyyy-mm-dd")</f>
        <v/>
      </c>
      <c r="C35937" t="inlineStr">
        <is>
          <t>1998-04-27</t>
        </is>
      </c>
    </row>
    <row r="35938">
      <c r="A35938" s="1" t="n">
        <v>35937</v>
      </c>
      <c r="B35938">
        <f>TEXT(35937, "[$-0E0000]yyyy-mm-dd")</f>
        <v/>
      </c>
      <c r="C35938" t="inlineStr">
        <is>
          <t>1998-04-28</t>
        </is>
      </c>
    </row>
    <row r="35939">
      <c r="A35939" s="1" t="n">
        <v>35938</v>
      </c>
      <c r="B35939">
        <f>TEXT(35938, "[$-0E0000]yyyy-mm-dd")</f>
        <v/>
      </c>
      <c r="C35939" t="inlineStr">
        <is>
          <t>1998-04-29</t>
        </is>
      </c>
    </row>
    <row r="35940">
      <c r="A35940" s="1" t="n">
        <v>35939</v>
      </c>
      <c r="B35940">
        <f>TEXT(35939, "[$-0E0000]yyyy-mm-dd")</f>
        <v/>
      </c>
      <c r="C35940" t="inlineStr">
        <is>
          <t>1998-04-30</t>
        </is>
      </c>
    </row>
    <row r="35941">
      <c r="A35941" s="1" t="n">
        <v>35940</v>
      </c>
      <c r="B35941">
        <f>TEXT(35940, "[$-0E0000]yyyy-mm-dd")</f>
        <v/>
      </c>
      <c r="C35941" t="inlineStr">
        <is>
          <t>1998-05-01</t>
        </is>
      </c>
    </row>
    <row r="35942">
      <c r="A35942" s="1" t="n">
        <v>35941</v>
      </c>
      <c r="B35942">
        <f>TEXT(35941, "[$-0E0000]yyyy-mm-dd")</f>
        <v/>
      </c>
      <c r="C35942" t="inlineStr">
        <is>
          <t>1998-05-02</t>
        </is>
      </c>
    </row>
    <row r="35943">
      <c r="A35943" s="1" t="n">
        <v>35942</v>
      </c>
      <c r="B35943">
        <f>TEXT(35942, "[$-0E0000]yyyy-mm-dd")</f>
        <v/>
      </c>
      <c r="C35943" t="inlineStr">
        <is>
          <t>1998-05-03</t>
        </is>
      </c>
    </row>
    <row r="35944">
      <c r="A35944" s="1" t="n">
        <v>35943</v>
      </c>
      <c r="B35944">
        <f>TEXT(35943, "[$-0E0000]yyyy-mm-dd")</f>
        <v/>
      </c>
      <c r="C35944" t="inlineStr">
        <is>
          <t>1998-05-04</t>
        </is>
      </c>
    </row>
    <row r="35945">
      <c r="A35945" s="1" t="n">
        <v>35944</v>
      </c>
      <c r="B35945">
        <f>TEXT(35944, "[$-0E0000]yyyy-mm-dd")</f>
        <v/>
      </c>
      <c r="C35945" t="inlineStr">
        <is>
          <t>1998-05-05</t>
        </is>
      </c>
    </row>
    <row r="35946">
      <c r="A35946" s="1" t="n">
        <v>35945</v>
      </c>
      <c r="B35946">
        <f>TEXT(35945, "[$-0E0000]yyyy-mm-dd")</f>
        <v/>
      </c>
      <c r="C35946" t="inlineStr">
        <is>
          <t>1998-05-06</t>
        </is>
      </c>
    </row>
    <row r="35947">
      <c r="A35947" s="1" t="n">
        <v>35946</v>
      </c>
      <c r="B35947">
        <f>TEXT(35946, "[$-0E0000]yyyy-mm-dd")</f>
        <v/>
      </c>
      <c r="C35947" t="inlineStr">
        <is>
          <t>1998-05-07</t>
        </is>
      </c>
    </row>
    <row r="35948">
      <c r="A35948" s="1" t="n">
        <v>35947</v>
      </c>
      <c r="B35948">
        <f>TEXT(35947, "[$-0E0000]yyyy-mm-dd")</f>
        <v/>
      </c>
      <c r="C35948" t="inlineStr">
        <is>
          <t>1998-05-08</t>
        </is>
      </c>
    </row>
    <row r="35949">
      <c r="A35949" s="1" t="n">
        <v>35948</v>
      </c>
      <c r="B35949">
        <f>TEXT(35948, "[$-0E0000]yyyy-mm-dd")</f>
        <v/>
      </c>
      <c r="C35949" t="inlineStr">
        <is>
          <t>1998-05-09</t>
        </is>
      </c>
    </row>
    <row r="35950">
      <c r="A35950" s="1" t="n">
        <v>35949</v>
      </c>
      <c r="B35950">
        <f>TEXT(35949, "[$-0E0000]yyyy-mm-dd")</f>
        <v/>
      </c>
      <c r="C35950" t="inlineStr">
        <is>
          <t>1998-05-10</t>
        </is>
      </c>
    </row>
    <row r="35951">
      <c r="A35951" s="1" t="n">
        <v>35950</v>
      </c>
      <c r="B35951">
        <f>TEXT(35950, "[$-0E0000]yyyy-mm-dd")</f>
        <v/>
      </c>
      <c r="C35951" t="inlineStr">
        <is>
          <t>1998-05-11</t>
        </is>
      </c>
    </row>
    <row r="35952">
      <c r="A35952" s="1" t="n">
        <v>35951</v>
      </c>
      <c r="B35952">
        <f>TEXT(35951, "[$-0E0000]yyyy-mm-dd")</f>
        <v/>
      </c>
      <c r="C35952" t="inlineStr">
        <is>
          <t>1998-05-12</t>
        </is>
      </c>
    </row>
    <row r="35953">
      <c r="A35953" s="1" t="n">
        <v>35952</v>
      </c>
      <c r="B35953">
        <f>TEXT(35952, "[$-0E0000]yyyy-mm-dd")</f>
        <v/>
      </c>
      <c r="C35953" t="inlineStr">
        <is>
          <t>1998-05-13</t>
        </is>
      </c>
    </row>
    <row r="35954">
      <c r="A35954" s="1" t="n">
        <v>35953</v>
      </c>
      <c r="B35954">
        <f>TEXT(35953, "[$-0E0000]yyyy-mm-dd")</f>
        <v/>
      </c>
      <c r="C35954" t="inlineStr">
        <is>
          <t>1998-05-14</t>
        </is>
      </c>
    </row>
    <row r="35955">
      <c r="A35955" s="1" t="n">
        <v>35954</v>
      </c>
      <c r="B35955">
        <f>TEXT(35954, "[$-0E0000]yyyy-mm-dd")</f>
        <v/>
      </c>
      <c r="C35955" t="inlineStr">
        <is>
          <t>1998-05-15</t>
        </is>
      </c>
    </row>
    <row r="35956">
      <c r="A35956" s="1" t="n">
        <v>35955</v>
      </c>
      <c r="B35956">
        <f>TEXT(35955, "[$-0E0000]yyyy-mm-dd")</f>
        <v/>
      </c>
      <c r="C35956" t="inlineStr">
        <is>
          <t>1998-05-16</t>
        </is>
      </c>
    </row>
    <row r="35957">
      <c r="A35957" s="1" t="n">
        <v>35956</v>
      </c>
      <c r="B35957">
        <f>TEXT(35956, "[$-0E0000]yyyy-mm-dd")</f>
        <v/>
      </c>
      <c r="C35957" t="inlineStr">
        <is>
          <t>1998-05-17</t>
        </is>
      </c>
    </row>
    <row r="35958">
      <c r="A35958" s="1" t="n">
        <v>35957</v>
      </c>
      <c r="B35958">
        <f>TEXT(35957, "[$-0E0000]yyyy-mm-dd")</f>
        <v/>
      </c>
      <c r="C35958" t="inlineStr">
        <is>
          <t>1998-05-18</t>
        </is>
      </c>
    </row>
    <row r="35959">
      <c r="A35959" s="1" t="n">
        <v>35958</v>
      </c>
      <c r="B35959">
        <f>TEXT(35958, "[$-0E0000]yyyy-mm-dd")</f>
        <v/>
      </c>
      <c r="C35959" t="inlineStr">
        <is>
          <t>1998-05-19</t>
        </is>
      </c>
    </row>
    <row r="35960">
      <c r="A35960" s="1" t="n">
        <v>35959</v>
      </c>
      <c r="B35960">
        <f>TEXT(35959, "[$-0E0000]yyyy-mm-dd")</f>
        <v/>
      </c>
      <c r="C35960" t="inlineStr">
        <is>
          <t>1998-05-20</t>
        </is>
      </c>
    </row>
    <row r="35961">
      <c r="A35961" s="1" t="n">
        <v>35960</v>
      </c>
      <c r="B35961">
        <f>TEXT(35960, "[$-0E0000]yyyy-mm-dd")</f>
        <v/>
      </c>
      <c r="C35961" t="inlineStr">
        <is>
          <t>1998-05-21</t>
        </is>
      </c>
    </row>
    <row r="35962">
      <c r="A35962" s="1" t="n">
        <v>35961</v>
      </c>
      <c r="B35962">
        <f>TEXT(35961, "[$-0E0000]yyyy-mm-dd")</f>
        <v/>
      </c>
      <c r="C35962" t="inlineStr">
        <is>
          <t>1998-05-22</t>
        </is>
      </c>
    </row>
    <row r="35963">
      <c r="A35963" s="1" t="n">
        <v>35962</v>
      </c>
      <c r="B35963">
        <f>TEXT(35962, "[$-0E0000]yyyy-mm-dd")</f>
        <v/>
      </c>
      <c r="C35963" t="inlineStr">
        <is>
          <t>1998-05-23</t>
        </is>
      </c>
    </row>
    <row r="35964">
      <c r="A35964" s="1" t="n">
        <v>35963</v>
      </c>
      <c r="B35964">
        <f>TEXT(35963, "[$-0E0000]yyyy-mm-dd")</f>
        <v/>
      </c>
      <c r="C35964" t="inlineStr">
        <is>
          <t>1998-05-24</t>
        </is>
      </c>
    </row>
    <row r="35965">
      <c r="A35965" s="1" t="n">
        <v>35964</v>
      </c>
      <c r="B35965">
        <f>TEXT(35964, "[$-0E0000]yyyy-mm-dd")</f>
        <v/>
      </c>
      <c r="C35965" t="inlineStr">
        <is>
          <t>1998-05-25</t>
        </is>
      </c>
    </row>
    <row r="35966">
      <c r="A35966" s="1" t="n">
        <v>35965</v>
      </c>
      <c r="B35966">
        <f>TEXT(35965, "[$-0E0000]yyyy-mm-dd")</f>
        <v/>
      </c>
      <c r="C35966" t="inlineStr">
        <is>
          <t>1998-05-26</t>
        </is>
      </c>
    </row>
    <row r="35967">
      <c r="A35967" s="1" t="n">
        <v>35966</v>
      </c>
      <c r="B35967">
        <f>TEXT(35966, "[$-0E0000]yyyy-mm-dd")</f>
        <v/>
      </c>
      <c r="C35967" t="inlineStr">
        <is>
          <t>1998-05-27</t>
        </is>
      </c>
    </row>
    <row r="35968">
      <c r="A35968" s="1" t="n">
        <v>35967</v>
      </c>
      <c r="B35968">
        <f>TEXT(35967, "[$-0E0000]yyyy-mm-dd")</f>
        <v/>
      </c>
      <c r="C35968" t="inlineStr">
        <is>
          <t>1998-05-28</t>
        </is>
      </c>
    </row>
    <row r="35969">
      <c r="A35969" s="1" t="n">
        <v>35968</v>
      </c>
      <c r="B35969">
        <f>TEXT(35968, "[$-0E0000]yyyy-mm-dd")</f>
        <v/>
      </c>
      <c r="C35969" t="inlineStr">
        <is>
          <t>1998-05-29</t>
        </is>
      </c>
    </row>
    <row r="35970">
      <c r="A35970" s="1" t="n">
        <v>35969</v>
      </c>
      <c r="B35970">
        <f>TEXT(35969, "[$-0E0000]yyyy-mm-dd")</f>
        <v/>
      </c>
      <c r="C35970" t="inlineStr">
        <is>
          <t>1998-05-01</t>
        </is>
      </c>
    </row>
    <row r="35971">
      <c r="A35971" s="1" t="n">
        <v>35970</v>
      </c>
      <c r="B35971">
        <f>TEXT(35970, "[$-0E0000]yyyy-mm-dd")</f>
        <v/>
      </c>
      <c r="C35971" t="inlineStr">
        <is>
          <t>1998-05-02</t>
        </is>
      </c>
    </row>
    <row r="35972">
      <c r="A35972" s="1" t="n">
        <v>35971</v>
      </c>
      <c r="B35972">
        <f>TEXT(35971, "[$-0E0000]yyyy-mm-dd")</f>
        <v/>
      </c>
      <c r="C35972" t="inlineStr">
        <is>
          <t>1998-05-03</t>
        </is>
      </c>
    </row>
    <row r="35973">
      <c r="A35973" s="1" t="n">
        <v>35972</v>
      </c>
      <c r="B35973">
        <f>TEXT(35972, "[$-0E0000]yyyy-mm-dd")</f>
        <v/>
      </c>
      <c r="C35973" t="inlineStr">
        <is>
          <t>1998-05-04</t>
        </is>
      </c>
    </row>
    <row r="35974">
      <c r="A35974" s="1" t="n">
        <v>35973</v>
      </c>
      <c r="B35974">
        <f>TEXT(35973, "[$-0E0000]yyyy-mm-dd")</f>
        <v/>
      </c>
      <c r="C35974" t="inlineStr">
        <is>
          <t>1998-05-05</t>
        </is>
      </c>
    </row>
    <row r="35975">
      <c r="A35975" s="1" t="n">
        <v>35974</v>
      </c>
      <c r="B35975">
        <f>TEXT(35974, "[$-0E0000]yyyy-mm-dd")</f>
        <v/>
      </c>
      <c r="C35975" t="inlineStr">
        <is>
          <t>1998-05-06</t>
        </is>
      </c>
    </row>
    <row r="35976">
      <c r="A35976" s="1" t="n">
        <v>35975</v>
      </c>
      <c r="B35976">
        <f>TEXT(35975, "[$-0E0000]yyyy-mm-dd")</f>
        <v/>
      </c>
      <c r="C35976" t="inlineStr">
        <is>
          <t>1998-05-07</t>
        </is>
      </c>
    </row>
    <row r="35977">
      <c r="A35977" s="1" t="n">
        <v>35976</v>
      </c>
      <c r="B35977">
        <f>TEXT(35976, "[$-0E0000]yyyy-mm-dd")</f>
        <v/>
      </c>
      <c r="C35977" t="inlineStr">
        <is>
          <t>1998-05-08</t>
        </is>
      </c>
    </row>
    <row r="35978">
      <c r="A35978" s="1" t="n">
        <v>35977</v>
      </c>
      <c r="B35978">
        <f>TEXT(35977, "[$-0E0000]yyyy-mm-dd")</f>
        <v/>
      </c>
      <c r="C35978" t="inlineStr">
        <is>
          <t>1998-05-09</t>
        </is>
      </c>
    </row>
    <row r="35979">
      <c r="A35979" s="1" t="n">
        <v>35978</v>
      </c>
      <c r="B35979">
        <f>TEXT(35978, "[$-0E0000]yyyy-mm-dd")</f>
        <v/>
      </c>
      <c r="C35979" t="inlineStr">
        <is>
          <t>1998-05-10</t>
        </is>
      </c>
    </row>
    <row r="35980">
      <c r="A35980" s="1" t="n">
        <v>35979</v>
      </c>
      <c r="B35980">
        <f>TEXT(35979, "[$-0E0000]yyyy-mm-dd")</f>
        <v/>
      </c>
      <c r="C35980" t="inlineStr">
        <is>
          <t>1998-05-11</t>
        </is>
      </c>
    </row>
    <row r="35981">
      <c r="A35981" s="1" t="n">
        <v>35980</v>
      </c>
      <c r="B35981">
        <f>TEXT(35980, "[$-0E0000]yyyy-mm-dd")</f>
        <v/>
      </c>
      <c r="C35981" t="inlineStr">
        <is>
          <t>1998-05-12</t>
        </is>
      </c>
    </row>
    <row r="35982">
      <c r="A35982" s="1" t="n">
        <v>35981</v>
      </c>
      <c r="B35982">
        <f>TEXT(35981, "[$-0E0000]yyyy-mm-dd")</f>
        <v/>
      </c>
      <c r="C35982" t="inlineStr">
        <is>
          <t>1998-05-13</t>
        </is>
      </c>
    </row>
    <row r="35983">
      <c r="A35983" s="1" t="n">
        <v>35982</v>
      </c>
      <c r="B35983">
        <f>TEXT(35982, "[$-0E0000]yyyy-mm-dd")</f>
        <v/>
      </c>
      <c r="C35983" t="inlineStr">
        <is>
          <t>1998-05-14</t>
        </is>
      </c>
    </row>
    <row r="35984">
      <c r="A35984" s="1" t="n">
        <v>35983</v>
      </c>
      <c r="B35984">
        <f>TEXT(35983, "[$-0E0000]yyyy-mm-dd")</f>
        <v/>
      </c>
      <c r="C35984" t="inlineStr">
        <is>
          <t>1998-05-15</t>
        </is>
      </c>
    </row>
    <row r="35985">
      <c r="A35985" s="1" t="n">
        <v>35984</v>
      </c>
      <c r="B35985">
        <f>TEXT(35984, "[$-0E0000]yyyy-mm-dd")</f>
        <v/>
      </c>
      <c r="C35985" t="inlineStr">
        <is>
          <t>1998-05-16</t>
        </is>
      </c>
    </row>
    <row r="35986">
      <c r="A35986" s="1" t="n">
        <v>35985</v>
      </c>
      <c r="B35986">
        <f>TEXT(35985, "[$-0E0000]yyyy-mm-dd")</f>
        <v/>
      </c>
      <c r="C35986" t="inlineStr">
        <is>
          <t>1998-05-17</t>
        </is>
      </c>
    </row>
    <row r="35987">
      <c r="A35987" s="1" t="n">
        <v>35986</v>
      </c>
      <c r="B35987">
        <f>TEXT(35986, "[$-0E0000]yyyy-mm-dd")</f>
        <v/>
      </c>
      <c r="C35987" t="inlineStr">
        <is>
          <t>1998-05-18</t>
        </is>
      </c>
    </row>
    <row r="35988">
      <c r="A35988" s="1" t="n">
        <v>35987</v>
      </c>
      <c r="B35988">
        <f>TEXT(35987, "[$-0E0000]yyyy-mm-dd")</f>
        <v/>
      </c>
      <c r="C35988" t="inlineStr">
        <is>
          <t>1998-05-19</t>
        </is>
      </c>
    </row>
    <row r="35989">
      <c r="A35989" s="1" t="n">
        <v>35988</v>
      </c>
      <c r="B35989">
        <f>TEXT(35988, "[$-0E0000]yyyy-mm-dd")</f>
        <v/>
      </c>
      <c r="C35989" t="inlineStr">
        <is>
          <t>1998-05-20</t>
        </is>
      </c>
    </row>
    <row r="35990">
      <c r="A35990" s="1" t="n">
        <v>35989</v>
      </c>
      <c r="B35990">
        <f>TEXT(35989, "[$-0E0000]yyyy-mm-dd")</f>
        <v/>
      </c>
      <c r="C35990" t="inlineStr">
        <is>
          <t>1998-05-21</t>
        </is>
      </c>
    </row>
    <row r="35991">
      <c r="A35991" s="1" t="n">
        <v>35990</v>
      </c>
      <c r="B35991">
        <f>TEXT(35990, "[$-0E0000]yyyy-mm-dd")</f>
        <v/>
      </c>
      <c r="C35991" t="inlineStr">
        <is>
          <t>1998-05-22</t>
        </is>
      </c>
    </row>
    <row r="35992">
      <c r="A35992" s="1" t="n">
        <v>35991</v>
      </c>
      <c r="B35992">
        <f>TEXT(35991, "[$-0E0000]yyyy-mm-dd")</f>
        <v/>
      </c>
      <c r="C35992" t="inlineStr">
        <is>
          <t>1998-05-23</t>
        </is>
      </c>
    </row>
    <row r="35993">
      <c r="A35993" s="1" t="n">
        <v>35992</v>
      </c>
      <c r="B35993">
        <f>TEXT(35992, "[$-0E0000]yyyy-mm-dd")</f>
        <v/>
      </c>
      <c r="C35993" t="inlineStr">
        <is>
          <t>1998-05-24</t>
        </is>
      </c>
    </row>
    <row r="35994">
      <c r="A35994" s="1" t="n">
        <v>35993</v>
      </c>
      <c r="B35994">
        <f>TEXT(35993, "[$-0E0000]yyyy-mm-dd")</f>
        <v/>
      </c>
      <c r="C35994" t="inlineStr">
        <is>
          <t>1998-05-25</t>
        </is>
      </c>
    </row>
    <row r="35995">
      <c r="A35995" s="1" t="n">
        <v>35994</v>
      </c>
      <c r="B35995">
        <f>TEXT(35994, "[$-0E0000]yyyy-mm-dd")</f>
        <v/>
      </c>
      <c r="C35995" t="inlineStr">
        <is>
          <t>1998-05-26</t>
        </is>
      </c>
    </row>
    <row r="35996">
      <c r="A35996" s="1" t="n">
        <v>35995</v>
      </c>
      <c r="B35996">
        <f>TEXT(35995, "[$-0E0000]yyyy-mm-dd")</f>
        <v/>
      </c>
      <c r="C35996" t="inlineStr">
        <is>
          <t>1998-05-27</t>
        </is>
      </c>
    </row>
    <row r="35997">
      <c r="A35997" s="1" t="n">
        <v>35996</v>
      </c>
      <c r="B35997">
        <f>TEXT(35996, "[$-0E0000]yyyy-mm-dd")</f>
        <v/>
      </c>
      <c r="C35997" t="inlineStr">
        <is>
          <t>1998-05-28</t>
        </is>
      </c>
    </row>
    <row r="35998">
      <c r="A35998" s="1" t="n">
        <v>35997</v>
      </c>
      <c r="B35998">
        <f>TEXT(35997, "[$-0E0000]yyyy-mm-dd")</f>
        <v/>
      </c>
      <c r="C35998" t="inlineStr">
        <is>
          <t>1998-05-29</t>
        </is>
      </c>
    </row>
    <row r="35999">
      <c r="A35999" s="1" t="n">
        <v>35998</v>
      </c>
      <c r="B35999">
        <f>TEXT(35998, "[$-0E0000]yyyy-mm-dd")</f>
        <v/>
      </c>
      <c r="C35999" t="inlineStr">
        <is>
          <t>1998-06-01</t>
        </is>
      </c>
    </row>
    <row r="36000">
      <c r="A36000" s="1" t="n">
        <v>35999</v>
      </c>
      <c r="B36000">
        <f>TEXT(35999, "[$-0E0000]yyyy-mm-dd")</f>
        <v/>
      </c>
      <c r="C36000" t="inlineStr">
        <is>
          <t>1998-06-02</t>
        </is>
      </c>
    </row>
    <row r="36001">
      <c r="A36001" s="1" t="n">
        <v>36000</v>
      </c>
      <c r="B36001">
        <f>TEXT(36000, "[$-0E0000]yyyy-mm-dd")</f>
        <v/>
      </c>
      <c r="C36001" t="inlineStr">
        <is>
          <t>1998-06-03</t>
        </is>
      </c>
    </row>
    <row r="36002">
      <c r="A36002" s="1" t="n">
        <v>36001</v>
      </c>
      <c r="B36002">
        <f>TEXT(36001, "[$-0E0000]yyyy-mm-dd")</f>
        <v/>
      </c>
      <c r="C36002" t="inlineStr">
        <is>
          <t>1998-06-04</t>
        </is>
      </c>
    </row>
    <row r="36003">
      <c r="A36003" s="1" t="n">
        <v>36002</v>
      </c>
      <c r="B36003">
        <f>TEXT(36002, "[$-0E0000]yyyy-mm-dd")</f>
        <v/>
      </c>
      <c r="C36003" t="inlineStr">
        <is>
          <t>1998-06-05</t>
        </is>
      </c>
    </row>
    <row r="36004">
      <c r="A36004" s="1" t="n">
        <v>36003</v>
      </c>
      <c r="B36004">
        <f>TEXT(36003, "[$-0E0000]yyyy-mm-dd")</f>
        <v/>
      </c>
      <c r="C36004" t="inlineStr">
        <is>
          <t>1998-06-06</t>
        </is>
      </c>
    </row>
    <row r="36005">
      <c r="A36005" s="1" t="n">
        <v>36004</v>
      </c>
      <c r="B36005">
        <f>TEXT(36004, "[$-0E0000]yyyy-mm-dd")</f>
        <v/>
      </c>
      <c r="C36005" t="inlineStr">
        <is>
          <t>1998-06-07</t>
        </is>
      </c>
    </row>
    <row r="36006">
      <c r="A36006" s="1" t="n">
        <v>36005</v>
      </c>
      <c r="B36006">
        <f>TEXT(36005, "[$-0E0000]yyyy-mm-dd")</f>
        <v/>
      </c>
      <c r="C36006" t="inlineStr">
        <is>
          <t>1998-06-08</t>
        </is>
      </c>
    </row>
    <row r="36007">
      <c r="A36007" s="1" t="n">
        <v>36006</v>
      </c>
      <c r="B36007">
        <f>TEXT(36006, "[$-0E0000]yyyy-mm-dd")</f>
        <v/>
      </c>
      <c r="C36007" t="inlineStr">
        <is>
          <t>1998-06-09</t>
        </is>
      </c>
    </row>
    <row r="36008">
      <c r="A36008" s="1" t="n">
        <v>36007</v>
      </c>
      <c r="B36008">
        <f>TEXT(36007, "[$-0E0000]yyyy-mm-dd")</f>
        <v/>
      </c>
      <c r="C36008" t="inlineStr">
        <is>
          <t>1998-06-10</t>
        </is>
      </c>
    </row>
    <row r="36009">
      <c r="A36009" s="1" t="n">
        <v>36008</v>
      </c>
      <c r="B36009">
        <f>TEXT(36008, "[$-0E0000]yyyy-mm-dd")</f>
        <v/>
      </c>
      <c r="C36009" t="inlineStr">
        <is>
          <t>1998-06-11</t>
        </is>
      </c>
    </row>
    <row r="36010">
      <c r="A36010" s="1" t="n">
        <v>36009</v>
      </c>
      <c r="B36010">
        <f>TEXT(36009, "[$-0E0000]yyyy-mm-dd")</f>
        <v/>
      </c>
      <c r="C36010" t="inlineStr">
        <is>
          <t>1998-06-12</t>
        </is>
      </c>
    </row>
    <row r="36011">
      <c r="A36011" s="1" t="n">
        <v>36010</v>
      </c>
      <c r="B36011">
        <f>TEXT(36010, "[$-0E0000]yyyy-mm-dd")</f>
        <v/>
      </c>
      <c r="C36011" t="inlineStr">
        <is>
          <t>1998-06-13</t>
        </is>
      </c>
    </row>
    <row r="36012">
      <c r="A36012" s="1" t="n">
        <v>36011</v>
      </c>
      <c r="B36012">
        <f>TEXT(36011, "[$-0E0000]yyyy-mm-dd")</f>
        <v/>
      </c>
      <c r="C36012" t="inlineStr">
        <is>
          <t>1998-06-14</t>
        </is>
      </c>
    </row>
    <row r="36013">
      <c r="A36013" s="1" t="n">
        <v>36012</v>
      </c>
      <c r="B36013">
        <f>TEXT(36012, "[$-0E0000]yyyy-mm-dd")</f>
        <v/>
      </c>
      <c r="C36013" t="inlineStr">
        <is>
          <t>1998-06-15</t>
        </is>
      </c>
    </row>
    <row r="36014">
      <c r="A36014" s="1" t="n">
        <v>36013</v>
      </c>
      <c r="B36014">
        <f>TEXT(36013, "[$-0E0000]yyyy-mm-dd")</f>
        <v/>
      </c>
      <c r="C36014" t="inlineStr">
        <is>
          <t>1998-06-16</t>
        </is>
      </c>
    </row>
    <row r="36015">
      <c r="A36015" s="1" t="n">
        <v>36014</v>
      </c>
      <c r="B36015">
        <f>TEXT(36014, "[$-0E0000]yyyy-mm-dd")</f>
        <v/>
      </c>
      <c r="C36015" t="inlineStr">
        <is>
          <t>1998-06-17</t>
        </is>
      </c>
    </row>
    <row r="36016">
      <c r="A36016" s="1" t="n">
        <v>36015</v>
      </c>
      <c r="B36016">
        <f>TEXT(36015, "[$-0E0000]yyyy-mm-dd")</f>
        <v/>
      </c>
      <c r="C36016" t="inlineStr">
        <is>
          <t>1998-06-18</t>
        </is>
      </c>
    </row>
    <row r="36017">
      <c r="A36017" s="1" t="n">
        <v>36016</v>
      </c>
      <c r="B36017">
        <f>TEXT(36016, "[$-0E0000]yyyy-mm-dd")</f>
        <v/>
      </c>
      <c r="C36017" t="inlineStr">
        <is>
          <t>1998-06-19</t>
        </is>
      </c>
    </row>
    <row r="36018">
      <c r="A36018" s="1" t="n">
        <v>36017</v>
      </c>
      <c r="B36018">
        <f>TEXT(36017, "[$-0E0000]yyyy-mm-dd")</f>
        <v/>
      </c>
      <c r="C36018" t="inlineStr">
        <is>
          <t>1998-06-20</t>
        </is>
      </c>
    </row>
    <row r="36019">
      <c r="A36019" s="1" t="n">
        <v>36018</v>
      </c>
      <c r="B36019">
        <f>TEXT(36018, "[$-0E0000]yyyy-mm-dd")</f>
        <v/>
      </c>
      <c r="C36019" t="inlineStr">
        <is>
          <t>1998-06-21</t>
        </is>
      </c>
    </row>
    <row r="36020">
      <c r="A36020" s="1" t="n">
        <v>36019</v>
      </c>
      <c r="B36020">
        <f>TEXT(36019, "[$-0E0000]yyyy-mm-dd")</f>
        <v/>
      </c>
      <c r="C36020" t="inlineStr">
        <is>
          <t>1998-06-22</t>
        </is>
      </c>
    </row>
    <row r="36021">
      <c r="A36021" s="1" t="n">
        <v>36020</v>
      </c>
      <c r="B36021">
        <f>TEXT(36020, "[$-0E0000]yyyy-mm-dd")</f>
        <v/>
      </c>
      <c r="C36021" t="inlineStr">
        <is>
          <t>1998-06-23</t>
        </is>
      </c>
    </row>
    <row r="36022">
      <c r="A36022" s="1" t="n">
        <v>36021</v>
      </c>
      <c r="B36022">
        <f>TEXT(36021, "[$-0E0000]yyyy-mm-dd")</f>
        <v/>
      </c>
      <c r="C36022" t="inlineStr">
        <is>
          <t>1998-06-24</t>
        </is>
      </c>
    </row>
    <row r="36023">
      <c r="A36023" s="1" t="n">
        <v>36022</v>
      </c>
      <c r="B36023">
        <f>TEXT(36022, "[$-0E0000]yyyy-mm-dd")</f>
        <v/>
      </c>
      <c r="C36023" t="inlineStr">
        <is>
          <t>1998-06-25</t>
        </is>
      </c>
    </row>
    <row r="36024">
      <c r="A36024" s="1" t="n">
        <v>36023</v>
      </c>
      <c r="B36024">
        <f>TEXT(36023, "[$-0E0000]yyyy-mm-dd")</f>
        <v/>
      </c>
      <c r="C36024" t="inlineStr">
        <is>
          <t>1998-06-26</t>
        </is>
      </c>
    </row>
    <row r="36025">
      <c r="A36025" s="1" t="n">
        <v>36024</v>
      </c>
      <c r="B36025">
        <f>TEXT(36024, "[$-0E0000]yyyy-mm-dd")</f>
        <v/>
      </c>
      <c r="C36025" t="inlineStr">
        <is>
          <t>1998-06-27</t>
        </is>
      </c>
    </row>
    <row r="36026">
      <c r="A36026" s="1" t="n">
        <v>36025</v>
      </c>
      <c r="B36026">
        <f>TEXT(36025, "[$-0E0000]yyyy-mm-dd")</f>
        <v/>
      </c>
      <c r="C36026" t="inlineStr">
        <is>
          <t>1998-06-28</t>
        </is>
      </c>
    </row>
    <row r="36027">
      <c r="A36027" s="1" t="n">
        <v>36026</v>
      </c>
      <c r="B36027">
        <f>TEXT(36026, "[$-0E0000]yyyy-mm-dd")</f>
        <v/>
      </c>
      <c r="C36027" t="inlineStr">
        <is>
          <t>1998-06-29</t>
        </is>
      </c>
    </row>
    <row r="36028">
      <c r="A36028" s="1" t="n">
        <v>36027</v>
      </c>
      <c r="B36028">
        <f>TEXT(36027, "[$-0E0000]yyyy-mm-dd")</f>
        <v/>
      </c>
      <c r="C36028" t="inlineStr">
        <is>
          <t>1998-06-30</t>
        </is>
      </c>
    </row>
    <row r="36029">
      <c r="A36029" s="1" t="n">
        <v>36028</v>
      </c>
      <c r="B36029">
        <f>TEXT(36028, "[$-0E0000]yyyy-mm-dd")</f>
        <v/>
      </c>
      <c r="C36029" t="inlineStr">
        <is>
          <t>1998-07-01</t>
        </is>
      </c>
    </row>
    <row r="36030">
      <c r="A36030" s="1" t="n">
        <v>36029</v>
      </c>
      <c r="B36030">
        <f>TEXT(36029, "[$-0E0000]yyyy-mm-dd")</f>
        <v/>
      </c>
      <c r="C36030" t="inlineStr">
        <is>
          <t>1998-07-02</t>
        </is>
      </c>
    </row>
    <row r="36031">
      <c r="A36031" s="1" t="n">
        <v>36030</v>
      </c>
      <c r="B36031">
        <f>TEXT(36030, "[$-0E0000]yyyy-mm-dd")</f>
        <v/>
      </c>
      <c r="C36031" t="inlineStr">
        <is>
          <t>1998-07-03</t>
        </is>
      </c>
    </row>
    <row r="36032">
      <c r="A36032" s="1" t="n">
        <v>36031</v>
      </c>
      <c r="B36032">
        <f>TEXT(36031, "[$-0E0000]yyyy-mm-dd")</f>
        <v/>
      </c>
      <c r="C36032" t="inlineStr">
        <is>
          <t>1998-07-04</t>
        </is>
      </c>
    </row>
    <row r="36033">
      <c r="A36033" s="1" t="n">
        <v>36032</v>
      </c>
      <c r="B36033">
        <f>TEXT(36032, "[$-0E0000]yyyy-mm-dd")</f>
        <v/>
      </c>
      <c r="C36033" t="inlineStr">
        <is>
          <t>1998-07-05</t>
        </is>
      </c>
    </row>
    <row r="36034">
      <c r="A36034" s="1" t="n">
        <v>36033</v>
      </c>
      <c r="B36034">
        <f>TEXT(36033, "[$-0E0000]yyyy-mm-dd")</f>
        <v/>
      </c>
      <c r="C36034" t="inlineStr">
        <is>
          <t>1998-07-06</t>
        </is>
      </c>
    </row>
    <row r="36035">
      <c r="A36035" s="1" t="n">
        <v>36034</v>
      </c>
      <c r="B36035">
        <f>TEXT(36034, "[$-0E0000]yyyy-mm-dd")</f>
        <v/>
      </c>
      <c r="C36035" t="inlineStr">
        <is>
          <t>1998-07-07</t>
        </is>
      </c>
    </row>
    <row r="36036">
      <c r="A36036" s="1" t="n">
        <v>36035</v>
      </c>
      <c r="B36036">
        <f>TEXT(36035, "[$-0E0000]yyyy-mm-dd")</f>
        <v/>
      </c>
      <c r="C36036" t="inlineStr">
        <is>
          <t>1998-07-08</t>
        </is>
      </c>
    </row>
    <row r="36037">
      <c r="A36037" s="1" t="n">
        <v>36036</v>
      </c>
      <c r="B36037">
        <f>TEXT(36036, "[$-0E0000]yyyy-mm-dd")</f>
        <v/>
      </c>
      <c r="C36037" t="inlineStr">
        <is>
          <t>1998-07-09</t>
        </is>
      </c>
    </row>
    <row r="36038">
      <c r="A36038" s="1" t="n">
        <v>36037</v>
      </c>
      <c r="B36038">
        <f>TEXT(36037, "[$-0E0000]yyyy-mm-dd")</f>
        <v/>
      </c>
      <c r="C36038" t="inlineStr">
        <is>
          <t>1998-07-10</t>
        </is>
      </c>
    </row>
    <row r="36039">
      <c r="A36039" s="1" t="n">
        <v>36038</v>
      </c>
      <c r="B36039">
        <f>TEXT(36038, "[$-0E0000]yyyy-mm-dd")</f>
        <v/>
      </c>
      <c r="C36039" t="inlineStr">
        <is>
          <t>1998-07-11</t>
        </is>
      </c>
    </row>
    <row r="36040">
      <c r="A36040" s="1" t="n">
        <v>36039</v>
      </c>
      <c r="B36040">
        <f>TEXT(36039, "[$-0E0000]yyyy-mm-dd")</f>
        <v/>
      </c>
      <c r="C36040" t="inlineStr">
        <is>
          <t>1998-07-12</t>
        </is>
      </c>
    </row>
    <row r="36041">
      <c r="A36041" s="1" t="n">
        <v>36040</v>
      </c>
      <c r="B36041">
        <f>TEXT(36040, "[$-0E0000]yyyy-mm-dd")</f>
        <v/>
      </c>
      <c r="C36041" t="inlineStr">
        <is>
          <t>1998-07-13</t>
        </is>
      </c>
    </row>
    <row r="36042">
      <c r="A36042" s="1" t="n">
        <v>36041</v>
      </c>
      <c r="B36042">
        <f>TEXT(36041, "[$-0E0000]yyyy-mm-dd")</f>
        <v/>
      </c>
      <c r="C36042" t="inlineStr">
        <is>
          <t>1998-07-14</t>
        </is>
      </c>
    </row>
    <row r="36043">
      <c r="A36043" s="1" t="n">
        <v>36042</v>
      </c>
      <c r="B36043">
        <f>TEXT(36042, "[$-0E0000]yyyy-mm-dd")</f>
        <v/>
      </c>
      <c r="C36043" t="inlineStr">
        <is>
          <t>1998-07-15</t>
        </is>
      </c>
    </row>
    <row r="36044">
      <c r="A36044" s="1" t="n">
        <v>36043</v>
      </c>
      <c r="B36044">
        <f>TEXT(36043, "[$-0E0000]yyyy-mm-dd")</f>
        <v/>
      </c>
      <c r="C36044" t="inlineStr">
        <is>
          <t>1998-07-16</t>
        </is>
      </c>
    </row>
    <row r="36045">
      <c r="A36045" s="1" t="n">
        <v>36044</v>
      </c>
      <c r="B36045">
        <f>TEXT(36044, "[$-0E0000]yyyy-mm-dd")</f>
        <v/>
      </c>
      <c r="C36045" t="inlineStr">
        <is>
          <t>1998-07-17</t>
        </is>
      </c>
    </row>
    <row r="36046">
      <c r="A36046" s="1" t="n">
        <v>36045</v>
      </c>
      <c r="B36046">
        <f>TEXT(36045, "[$-0E0000]yyyy-mm-dd")</f>
        <v/>
      </c>
      <c r="C36046" t="inlineStr">
        <is>
          <t>1998-07-18</t>
        </is>
      </c>
    </row>
    <row r="36047">
      <c r="A36047" s="1" t="n">
        <v>36046</v>
      </c>
      <c r="B36047">
        <f>TEXT(36046, "[$-0E0000]yyyy-mm-dd")</f>
        <v/>
      </c>
      <c r="C36047" t="inlineStr">
        <is>
          <t>1998-07-19</t>
        </is>
      </c>
    </row>
    <row r="36048">
      <c r="A36048" s="1" t="n">
        <v>36047</v>
      </c>
      <c r="B36048">
        <f>TEXT(36047, "[$-0E0000]yyyy-mm-dd")</f>
        <v/>
      </c>
      <c r="C36048" t="inlineStr">
        <is>
          <t>1998-07-20</t>
        </is>
      </c>
    </row>
    <row r="36049">
      <c r="A36049" s="1" t="n">
        <v>36048</v>
      </c>
      <c r="B36049">
        <f>TEXT(36048, "[$-0E0000]yyyy-mm-dd")</f>
        <v/>
      </c>
      <c r="C36049" t="inlineStr">
        <is>
          <t>1998-07-21</t>
        </is>
      </c>
    </row>
    <row r="36050">
      <c r="A36050" s="1" t="n">
        <v>36049</v>
      </c>
      <c r="B36050">
        <f>TEXT(36049, "[$-0E0000]yyyy-mm-dd")</f>
        <v/>
      </c>
      <c r="C36050" t="inlineStr">
        <is>
          <t>1998-07-22</t>
        </is>
      </c>
    </row>
    <row r="36051">
      <c r="A36051" s="1" t="n">
        <v>36050</v>
      </c>
      <c r="B36051">
        <f>TEXT(36050, "[$-0E0000]yyyy-mm-dd")</f>
        <v/>
      </c>
      <c r="C36051" t="inlineStr">
        <is>
          <t>1998-07-23</t>
        </is>
      </c>
    </row>
    <row r="36052">
      <c r="A36052" s="1" t="n">
        <v>36051</v>
      </c>
      <c r="B36052">
        <f>TEXT(36051, "[$-0E0000]yyyy-mm-dd")</f>
        <v/>
      </c>
      <c r="C36052" t="inlineStr">
        <is>
          <t>1998-07-24</t>
        </is>
      </c>
    </row>
    <row r="36053">
      <c r="A36053" s="1" t="n">
        <v>36052</v>
      </c>
      <c r="B36053">
        <f>TEXT(36052, "[$-0E0000]yyyy-mm-dd")</f>
        <v/>
      </c>
      <c r="C36053" t="inlineStr">
        <is>
          <t>1998-07-25</t>
        </is>
      </c>
    </row>
    <row r="36054">
      <c r="A36054" s="1" t="n">
        <v>36053</v>
      </c>
      <c r="B36054">
        <f>TEXT(36053, "[$-0E0000]yyyy-mm-dd")</f>
        <v/>
      </c>
      <c r="C36054" t="inlineStr">
        <is>
          <t>1998-07-26</t>
        </is>
      </c>
    </row>
    <row r="36055">
      <c r="A36055" s="1" t="n">
        <v>36054</v>
      </c>
      <c r="B36055">
        <f>TEXT(36054, "[$-0E0000]yyyy-mm-dd")</f>
        <v/>
      </c>
      <c r="C36055" t="inlineStr">
        <is>
          <t>1998-07-27</t>
        </is>
      </c>
    </row>
    <row r="36056">
      <c r="A36056" s="1" t="n">
        <v>36055</v>
      </c>
      <c r="B36056">
        <f>TEXT(36055, "[$-0E0000]yyyy-mm-dd")</f>
        <v/>
      </c>
      <c r="C36056" t="inlineStr">
        <is>
          <t>1998-07-28</t>
        </is>
      </c>
    </row>
    <row r="36057">
      <c r="A36057" s="1" t="n">
        <v>36056</v>
      </c>
      <c r="B36057">
        <f>TEXT(36056, "[$-0E0000]yyyy-mm-dd")</f>
        <v/>
      </c>
      <c r="C36057" t="inlineStr">
        <is>
          <t>1998-07-29</t>
        </is>
      </c>
    </row>
    <row r="36058">
      <c r="A36058" s="1" t="n">
        <v>36057</v>
      </c>
      <c r="B36058">
        <f>TEXT(36057, "[$-0E0000]yyyy-mm-dd")</f>
        <v/>
      </c>
      <c r="C36058" t="inlineStr">
        <is>
          <t>1998-07-30</t>
        </is>
      </c>
    </row>
    <row r="36059">
      <c r="A36059" s="1" t="n">
        <v>36058</v>
      </c>
      <c r="B36059">
        <f>TEXT(36058, "[$-0E0000]yyyy-mm-dd")</f>
        <v/>
      </c>
      <c r="C36059" t="inlineStr">
        <is>
          <t>1998-08-01</t>
        </is>
      </c>
    </row>
    <row r="36060">
      <c r="A36060" s="1" t="n">
        <v>36059</v>
      </c>
      <c r="B36060">
        <f>TEXT(36059, "[$-0E0000]yyyy-mm-dd")</f>
        <v/>
      </c>
      <c r="C36060" t="inlineStr">
        <is>
          <t>1998-08-02</t>
        </is>
      </c>
    </row>
    <row r="36061">
      <c r="A36061" s="1" t="n">
        <v>36060</v>
      </c>
      <c r="B36061">
        <f>TEXT(36060, "[$-0E0000]yyyy-mm-dd")</f>
        <v/>
      </c>
      <c r="C36061" t="inlineStr">
        <is>
          <t>1998-08-03</t>
        </is>
      </c>
    </row>
    <row r="36062">
      <c r="A36062" s="1" t="n">
        <v>36061</v>
      </c>
      <c r="B36062">
        <f>TEXT(36061, "[$-0E0000]yyyy-mm-dd")</f>
        <v/>
      </c>
      <c r="C36062" t="inlineStr">
        <is>
          <t>1998-08-04</t>
        </is>
      </c>
    </row>
    <row r="36063">
      <c r="A36063" s="1" t="n">
        <v>36062</v>
      </c>
      <c r="B36063">
        <f>TEXT(36062, "[$-0E0000]yyyy-mm-dd")</f>
        <v/>
      </c>
      <c r="C36063" t="inlineStr">
        <is>
          <t>1998-08-05</t>
        </is>
      </c>
    </row>
    <row r="36064">
      <c r="A36064" s="1" t="n">
        <v>36063</v>
      </c>
      <c r="B36064">
        <f>TEXT(36063, "[$-0E0000]yyyy-mm-dd")</f>
        <v/>
      </c>
      <c r="C36064" t="inlineStr">
        <is>
          <t>1998-08-06</t>
        </is>
      </c>
    </row>
    <row r="36065">
      <c r="A36065" s="1" t="n">
        <v>36064</v>
      </c>
      <c r="B36065">
        <f>TEXT(36064, "[$-0E0000]yyyy-mm-dd")</f>
        <v/>
      </c>
      <c r="C36065" t="inlineStr">
        <is>
          <t>1998-08-07</t>
        </is>
      </c>
    </row>
    <row r="36066">
      <c r="A36066" s="1" t="n">
        <v>36065</v>
      </c>
      <c r="B36066">
        <f>TEXT(36065, "[$-0E0000]yyyy-mm-dd")</f>
        <v/>
      </c>
      <c r="C36066" t="inlineStr">
        <is>
          <t>1998-08-08</t>
        </is>
      </c>
    </row>
    <row r="36067">
      <c r="A36067" s="1" t="n">
        <v>36066</v>
      </c>
      <c r="B36067">
        <f>TEXT(36066, "[$-0E0000]yyyy-mm-dd")</f>
        <v/>
      </c>
      <c r="C36067" t="inlineStr">
        <is>
          <t>1998-08-09</t>
        </is>
      </c>
    </row>
    <row r="36068">
      <c r="A36068" s="1" t="n">
        <v>36067</v>
      </c>
      <c r="B36068">
        <f>TEXT(36067, "[$-0E0000]yyyy-mm-dd")</f>
        <v/>
      </c>
      <c r="C36068" t="inlineStr">
        <is>
          <t>1998-08-10</t>
        </is>
      </c>
    </row>
    <row r="36069">
      <c r="A36069" s="1" t="n">
        <v>36068</v>
      </c>
      <c r="B36069">
        <f>TEXT(36068, "[$-0E0000]yyyy-mm-dd")</f>
        <v/>
      </c>
      <c r="C36069" t="inlineStr">
        <is>
          <t>1998-08-11</t>
        </is>
      </c>
    </row>
    <row r="36070">
      <c r="A36070" s="1" t="n">
        <v>36069</v>
      </c>
      <c r="B36070">
        <f>TEXT(36069, "[$-0E0000]yyyy-mm-dd")</f>
        <v/>
      </c>
      <c r="C36070" t="inlineStr">
        <is>
          <t>1998-08-12</t>
        </is>
      </c>
    </row>
    <row r="36071">
      <c r="A36071" s="1" t="n">
        <v>36070</v>
      </c>
      <c r="B36071">
        <f>TEXT(36070, "[$-0E0000]yyyy-mm-dd")</f>
        <v/>
      </c>
      <c r="C36071" t="inlineStr">
        <is>
          <t>1998-08-13</t>
        </is>
      </c>
    </row>
    <row r="36072">
      <c r="A36072" s="1" t="n">
        <v>36071</v>
      </c>
      <c r="B36072">
        <f>TEXT(36071, "[$-0E0000]yyyy-mm-dd")</f>
        <v/>
      </c>
      <c r="C36072" t="inlineStr">
        <is>
          <t>1998-08-14</t>
        </is>
      </c>
    </row>
    <row r="36073">
      <c r="A36073" s="1" t="n">
        <v>36072</v>
      </c>
      <c r="B36073">
        <f>TEXT(36072, "[$-0E0000]yyyy-mm-dd")</f>
        <v/>
      </c>
      <c r="C36073" t="inlineStr">
        <is>
          <t>1998-08-15</t>
        </is>
      </c>
    </row>
    <row r="36074">
      <c r="A36074" s="1" t="n">
        <v>36073</v>
      </c>
      <c r="B36074">
        <f>TEXT(36073, "[$-0E0000]yyyy-mm-dd")</f>
        <v/>
      </c>
      <c r="C36074" t="inlineStr">
        <is>
          <t>1998-08-16</t>
        </is>
      </c>
    </row>
    <row r="36075">
      <c r="A36075" s="1" t="n">
        <v>36074</v>
      </c>
      <c r="B36075">
        <f>TEXT(36074, "[$-0E0000]yyyy-mm-dd")</f>
        <v/>
      </c>
      <c r="C36075" t="inlineStr">
        <is>
          <t>1998-08-17</t>
        </is>
      </c>
    </row>
    <row r="36076">
      <c r="A36076" s="1" t="n">
        <v>36075</v>
      </c>
      <c r="B36076">
        <f>TEXT(36075, "[$-0E0000]yyyy-mm-dd")</f>
        <v/>
      </c>
      <c r="C36076" t="inlineStr">
        <is>
          <t>1998-08-18</t>
        </is>
      </c>
    </row>
    <row r="36077">
      <c r="A36077" s="1" t="n">
        <v>36076</v>
      </c>
      <c r="B36077">
        <f>TEXT(36076, "[$-0E0000]yyyy-mm-dd")</f>
        <v/>
      </c>
      <c r="C36077" t="inlineStr">
        <is>
          <t>1998-08-19</t>
        </is>
      </c>
    </row>
    <row r="36078">
      <c r="A36078" s="1" t="n">
        <v>36077</v>
      </c>
      <c r="B36078">
        <f>TEXT(36077, "[$-0E0000]yyyy-mm-dd")</f>
        <v/>
      </c>
      <c r="C36078" t="inlineStr">
        <is>
          <t>1998-08-20</t>
        </is>
      </c>
    </row>
    <row r="36079">
      <c r="A36079" s="1" t="n">
        <v>36078</v>
      </c>
      <c r="B36079">
        <f>TEXT(36078, "[$-0E0000]yyyy-mm-dd")</f>
        <v/>
      </c>
      <c r="C36079" t="inlineStr">
        <is>
          <t>1998-08-21</t>
        </is>
      </c>
    </row>
    <row r="36080">
      <c r="A36080" s="1" t="n">
        <v>36079</v>
      </c>
      <c r="B36080">
        <f>TEXT(36079, "[$-0E0000]yyyy-mm-dd")</f>
        <v/>
      </c>
      <c r="C36080" t="inlineStr">
        <is>
          <t>1998-08-22</t>
        </is>
      </c>
    </row>
    <row r="36081">
      <c r="A36081" s="1" t="n">
        <v>36080</v>
      </c>
      <c r="B36081">
        <f>TEXT(36080, "[$-0E0000]yyyy-mm-dd")</f>
        <v/>
      </c>
      <c r="C36081" t="inlineStr">
        <is>
          <t>1998-08-23</t>
        </is>
      </c>
    </row>
    <row r="36082">
      <c r="A36082" s="1" t="n">
        <v>36081</v>
      </c>
      <c r="B36082">
        <f>TEXT(36081, "[$-0E0000]yyyy-mm-dd")</f>
        <v/>
      </c>
      <c r="C36082" t="inlineStr">
        <is>
          <t>1998-08-24</t>
        </is>
      </c>
    </row>
    <row r="36083">
      <c r="A36083" s="1" t="n">
        <v>36082</v>
      </c>
      <c r="B36083">
        <f>TEXT(36082, "[$-0E0000]yyyy-mm-dd")</f>
        <v/>
      </c>
      <c r="C36083" t="inlineStr">
        <is>
          <t>1998-08-25</t>
        </is>
      </c>
    </row>
    <row r="36084">
      <c r="A36084" s="1" t="n">
        <v>36083</v>
      </c>
      <c r="B36084">
        <f>TEXT(36083, "[$-0E0000]yyyy-mm-dd")</f>
        <v/>
      </c>
      <c r="C36084" t="inlineStr">
        <is>
          <t>1998-08-26</t>
        </is>
      </c>
    </row>
    <row r="36085">
      <c r="A36085" s="1" t="n">
        <v>36084</v>
      </c>
      <c r="B36085">
        <f>TEXT(36084, "[$-0E0000]yyyy-mm-dd")</f>
        <v/>
      </c>
      <c r="C36085" t="inlineStr">
        <is>
          <t>1998-08-27</t>
        </is>
      </c>
    </row>
    <row r="36086">
      <c r="A36086" s="1" t="n">
        <v>36085</v>
      </c>
      <c r="B36086">
        <f>TEXT(36085, "[$-0E0000]yyyy-mm-dd")</f>
        <v/>
      </c>
      <c r="C36086" t="inlineStr">
        <is>
          <t>1998-08-28</t>
        </is>
      </c>
    </row>
    <row r="36087">
      <c r="A36087" s="1" t="n">
        <v>36086</v>
      </c>
      <c r="B36087">
        <f>TEXT(36086, "[$-0E0000]yyyy-mm-dd")</f>
        <v/>
      </c>
      <c r="C36087" t="inlineStr">
        <is>
          <t>1998-08-29</t>
        </is>
      </c>
    </row>
    <row r="36088">
      <c r="A36088" s="1" t="n">
        <v>36087</v>
      </c>
      <c r="B36088">
        <f>TEXT(36087, "[$-0E0000]yyyy-mm-dd")</f>
        <v/>
      </c>
      <c r="C36088" t="inlineStr">
        <is>
          <t>1998-09-01</t>
        </is>
      </c>
    </row>
    <row r="36089">
      <c r="A36089" s="1" t="n">
        <v>36088</v>
      </c>
      <c r="B36089">
        <f>TEXT(36088, "[$-0E0000]yyyy-mm-dd")</f>
        <v/>
      </c>
      <c r="C36089" t="inlineStr">
        <is>
          <t>1998-09-02</t>
        </is>
      </c>
    </row>
    <row r="36090">
      <c r="A36090" s="1" t="n">
        <v>36089</v>
      </c>
      <c r="B36090">
        <f>TEXT(36089, "[$-0E0000]yyyy-mm-dd")</f>
        <v/>
      </c>
      <c r="C36090" t="inlineStr">
        <is>
          <t>1998-09-03</t>
        </is>
      </c>
    </row>
    <row r="36091">
      <c r="A36091" s="1" t="n">
        <v>36090</v>
      </c>
      <c r="B36091">
        <f>TEXT(36090, "[$-0E0000]yyyy-mm-dd")</f>
        <v/>
      </c>
      <c r="C36091" t="inlineStr">
        <is>
          <t>1998-09-04</t>
        </is>
      </c>
    </row>
    <row r="36092">
      <c r="A36092" s="1" t="n">
        <v>36091</v>
      </c>
      <c r="B36092">
        <f>TEXT(36091, "[$-0E0000]yyyy-mm-dd")</f>
        <v/>
      </c>
      <c r="C36092" t="inlineStr">
        <is>
          <t>1998-09-05</t>
        </is>
      </c>
    </row>
    <row r="36093">
      <c r="A36093" s="1" t="n">
        <v>36092</v>
      </c>
      <c r="B36093">
        <f>TEXT(36092, "[$-0E0000]yyyy-mm-dd")</f>
        <v/>
      </c>
      <c r="C36093" t="inlineStr">
        <is>
          <t>1998-09-06</t>
        </is>
      </c>
    </row>
    <row r="36094">
      <c r="A36094" s="1" t="n">
        <v>36093</v>
      </c>
      <c r="B36094">
        <f>TEXT(36093, "[$-0E0000]yyyy-mm-dd")</f>
        <v/>
      </c>
      <c r="C36094" t="inlineStr">
        <is>
          <t>1998-09-07</t>
        </is>
      </c>
    </row>
    <row r="36095">
      <c r="A36095" s="1" t="n">
        <v>36094</v>
      </c>
      <c r="B36095">
        <f>TEXT(36094, "[$-0E0000]yyyy-mm-dd")</f>
        <v/>
      </c>
      <c r="C36095" t="inlineStr">
        <is>
          <t>1998-09-08</t>
        </is>
      </c>
    </row>
    <row r="36096">
      <c r="A36096" s="1" t="n">
        <v>36095</v>
      </c>
      <c r="B36096">
        <f>TEXT(36095, "[$-0E0000]yyyy-mm-dd")</f>
        <v/>
      </c>
      <c r="C36096" t="inlineStr">
        <is>
          <t>1998-09-09</t>
        </is>
      </c>
    </row>
    <row r="36097">
      <c r="A36097" s="1" t="n">
        <v>36096</v>
      </c>
      <c r="B36097">
        <f>TEXT(36096, "[$-0E0000]yyyy-mm-dd")</f>
        <v/>
      </c>
      <c r="C36097" t="inlineStr">
        <is>
          <t>1998-09-10</t>
        </is>
      </c>
    </row>
    <row r="36098">
      <c r="A36098" s="1" t="n">
        <v>36097</v>
      </c>
      <c r="B36098">
        <f>TEXT(36097, "[$-0E0000]yyyy-mm-dd")</f>
        <v/>
      </c>
      <c r="C36098" t="inlineStr">
        <is>
          <t>1998-09-11</t>
        </is>
      </c>
    </row>
    <row r="36099">
      <c r="A36099" s="1" t="n">
        <v>36098</v>
      </c>
      <c r="B36099">
        <f>TEXT(36098, "[$-0E0000]yyyy-mm-dd")</f>
        <v/>
      </c>
      <c r="C36099" t="inlineStr">
        <is>
          <t>1998-09-12</t>
        </is>
      </c>
    </row>
    <row r="36100">
      <c r="A36100" s="1" t="n">
        <v>36099</v>
      </c>
      <c r="B36100">
        <f>TEXT(36099, "[$-0E0000]yyyy-mm-dd")</f>
        <v/>
      </c>
      <c r="C36100" t="inlineStr">
        <is>
          <t>1998-09-13</t>
        </is>
      </c>
    </row>
    <row r="36101">
      <c r="A36101" s="1" t="n">
        <v>36100</v>
      </c>
      <c r="B36101">
        <f>TEXT(36100, "[$-0E0000]yyyy-mm-dd")</f>
        <v/>
      </c>
      <c r="C36101" t="inlineStr">
        <is>
          <t>1998-09-14</t>
        </is>
      </c>
    </row>
    <row r="36102">
      <c r="A36102" s="1" t="n">
        <v>36101</v>
      </c>
      <c r="B36102">
        <f>TEXT(36101, "[$-0E0000]yyyy-mm-dd")</f>
        <v/>
      </c>
      <c r="C36102" t="inlineStr">
        <is>
          <t>1998-09-15</t>
        </is>
      </c>
    </row>
    <row r="36103">
      <c r="A36103" s="1" t="n">
        <v>36102</v>
      </c>
      <c r="B36103">
        <f>TEXT(36102, "[$-0E0000]yyyy-mm-dd")</f>
        <v/>
      </c>
      <c r="C36103" t="inlineStr">
        <is>
          <t>1998-09-16</t>
        </is>
      </c>
    </row>
    <row r="36104">
      <c r="A36104" s="1" t="n">
        <v>36103</v>
      </c>
      <c r="B36104">
        <f>TEXT(36103, "[$-0E0000]yyyy-mm-dd")</f>
        <v/>
      </c>
      <c r="C36104" t="inlineStr">
        <is>
          <t>1998-09-17</t>
        </is>
      </c>
    </row>
    <row r="36105">
      <c r="A36105" s="1" t="n">
        <v>36104</v>
      </c>
      <c r="B36105">
        <f>TEXT(36104, "[$-0E0000]yyyy-mm-dd")</f>
        <v/>
      </c>
      <c r="C36105" t="inlineStr">
        <is>
          <t>1998-09-18</t>
        </is>
      </c>
    </row>
    <row r="36106">
      <c r="A36106" s="1" t="n">
        <v>36105</v>
      </c>
      <c r="B36106">
        <f>TEXT(36105, "[$-0E0000]yyyy-mm-dd")</f>
        <v/>
      </c>
      <c r="C36106" t="inlineStr">
        <is>
          <t>1998-09-19</t>
        </is>
      </c>
    </row>
    <row r="36107">
      <c r="A36107" s="1" t="n">
        <v>36106</v>
      </c>
      <c r="B36107">
        <f>TEXT(36106, "[$-0E0000]yyyy-mm-dd")</f>
        <v/>
      </c>
      <c r="C36107" t="inlineStr">
        <is>
          <t>1998-09-20</t>
        </is>
      </c>
    </row>
    <row r="36108">
      <c r="A36108" s="1" t="n">
        <v>36107</v>
      </c>
      <c r="B36108">
        <f>TEXT(36107, "[$-0E0000]yyyy-mm-dd")</f>
        <v/>
      </c>
      <c r="C36108" t="inlineStr">
        <is>
          <t>1998-09-21</t>
        </is>
      </c>
    </row>
    <row r="36109">
      <c r="A36109" s="1" t="n">
        <v>36108</v>
      </c>
      <c r="B36109">
        <f>TEXT(36108, "[$-0E0000]yyyy-mm-dd")</f>
        <v/>
      </c>
      <c r="C36109" t="inlineStr">
        <is>
          <t>1998-09-22</t>
        </is>
      </c>
    </row>
    <row r="36110">
      <c r="A36110" s="1" t="n">
        <v>36109</v>
      </c>
      <c r="B36110">
        <f>TEXT(36109, "[$-0E0000]yyyy-mm-dd")</f>
        <v/>
      </c>
      <c r="C36110" t="inlineStr">
        <is>
          <t>1998-09-23</t>
        </is>
      </c>
    </row>
    <row r="36111">
      <c r="A36111" s="1" t="n">
        <v>36110</v>
      </c>
      <c r="B36111">
        <f>TEXT(36110, "[$-0E0000]yyyy-mm-dd")</f>
        <v/>
      </c>
      <c r="C36111" t="inlineStr">
        <is>
          <t>1998-09-24</t>
        </is>
      </c>
    </row>
    <row r="36112">
      <c r="A36112" s="1" t="n">
        <v>36111</v>
      </c>
      <c r="B36112">
        <f>TEXT(36111, "[$-0E0000]yyyy-mm-dd")</f>
        <v/>
      </c>
      <c r="C36112" t="inlineStr">
        <is>
          <t>1998-09-25</t>
        </is>
      </c>
    </row>
    <row r="36113">
      <c r="A36113" s="1" t="n">
        <v>36112</v>
      </c>
      <c r="B36113">
        <f>TEXT(36112, "[$-0E0000]yyyy-mm-dd")</f>
        <v/>
      </c>
      <c r="C36113" t="inlineStr">
        <is>
          <t>1998-09-26</t>
        </is>
      </c>
    </row>
    <row r="36114">
      <c r="A36114" s="1" t="n">
        <v>36113</v>
      </c>
      <c r="B36114">
        <f>TEXT(36113, "[$-0E0000]yyyy-mm-dd")</f>
        <v/>
      </c>
      <c r="C36114" t="inlineStr">
        <is>
          <t>1998-09-27</t>
        </is>
      </c>
    </row>
    <row r="36115">
      <c r="A36115" s="1" t="n">
        <v>36114</v>
      </c>
      <c r="B36115">
        <f>TEXT(36114, "[$-0E0000]yyyy-mm-dd")</f>
        <v/>
      </c>
      <c r="C36115" t="inlineStr">
        <is>
          <t>1998-09-28</t>
        </is>
      </c>
    </row>
    <row r="36116">
      <c r="A36116" s="1" t="n">
        <v>36115</v>
      </c>
      <c r="B36116">
        <f>TEXT(36115, "[$-0E0000]yyyy-mm-dd")</f>
        <v/>
      </c>
      <c r="C36116" t="inlineStr">
        <is>
          <t>1998-09-29</t>
        </is>
      </c>
    </row>
    <row r="36117">
      <c r="A36117" s="1" t="n">
        <v>36116</v>
      </c>
      <c r="B36117">
        <f>TEXT(36116, "[$-0E0000]yyyy-mm-dd")</f>
        <v/>
      </c>
      <c r="C36117" t="inlineStr">
        <is>
          <t>1998-09-30</t>
        </is>
      </c>
    </row>
    <row r="36118">
      <c r="A36118" s="1" t="n">
        <v>36117</v>
      </c>
      <c r="B36118">
        <f>TEXT(36117, "[$-0E0000]yyyy-mm-dd")</f>
        <v/>
      </c>
      <c r="C36118" t="inlineStr">
        <is>
          <t>1998-10-01</t>
        </is>
      </c>
    </row>
    <row r="36119">
      <c r="A36119" s="1" t="n">
        <v>36118</v>
      </c>
      <c r="B36119">
        <f>TEXT(36118, "[$-0E0000]yyyy-mm-dd")</f>
        <v/>
      </c>
      <c r="C36119" t="inlineStr">
        <is>
          <t>1998-10-02</t>
        </is>
      </c>
    </row>
    <row r="36120">
      <c r="A36120" s="1" t="n">
        <v>36119</v>
      </c>
      <c r="B36120">
        <f>TEXT(36119, "[$-0E0000]yyyy-mm-dd")</f>
        <v/>
      </c>
      <c r="C36120" t="inlineStr">
        <is>
          <t>1998-10-03</t>
        </is>
      </c>
    </row>
    <row r="36121">
      <c r="A36121" s="1" t="n">
        <v>36120</v>
      </c>
      <c r="B36121">
        <f>TEXT(36120, "[$-0E0000]yyyy-mm-dd")</f>
        <v/>
      </c>
      <c r="C36121" t="inlineStr">
        <is>
          <t>1998-10-04</t>
        </is>
      </c>
    </row>
    <row r="36122">
      <c r="A36122" s="1" t="n">
        <v>36121</v>
      </c>
      <c r="B36122">
        <f>TEXT(36121, "[$-0E0000]yyyy-mm-dd")</f>
        <v/>
      </c>
      <c r="C36122" t="inlineStr">
        <is>
          <t>1998-10-05</t>
        </is>
      </c>
    </row>
    <row r="36123">
      <c r="A36123" s="1" t="n">
        <v>36122</v>
      </c>
      <c r="B36123">
        <f>TEXT(36122, "[$-0E0000]yyyy-mm-dd")</f>
        <v/>
      </c>
      <c r="C36123" t="inlineStr">
        <is>
          <t>1998-10-06</t>
        </is>
      </c>
    </row>
    <row r="36124">
      <c r="A36124" s="1" t="n">
        <v>36123</v>
      </c>
      <c r="B36124">
        <f>TEXT(36123, "[$-0E0000]yyyy-mm-dd")</f>
        <v/>
      </c>
      <c r="C36124" t="inlineStr">
        <is>
          <t>1998-10-07</t>
        </is>
      </c>
    </row>
    <row r="36125">
      <c r="A36125" s="1" t="n">
        <v>36124</v>
      </c>
      <c r="B36125">
        <f>TEXT(36124, "[$-0E0000]yyyy-mm-dd")</f>
        <v/>
      </c>
      <c r="C36125" t="inlineStr">
        <is>
          <t>1998-10-08</t>
        </is>
      </c>
    </row>
    <row r="36126">
      <c r="A36126" s="1" t="n">
        <v>36125</v>
      </c>
      <c r="B36126">
        <f>TEXT(36125, "[$-0E0000]yyyy-mm-dd")</f>
        <v/>
      </c>
      <c r="C36126" t="inlineStr">
        <is>
          <t>1998-10-09</t>
        </is>
      </c>
    </row>
    <row r="36127">
      <c r="A36127" s="1" t="n">
        <v>36126</v>
      </c>
      <c r="B36127">
        <f>TEXT(36126, "[$-0E0000]yyyy-mm-dd")</f>
        <v/>
      </c>
      <c r="C36127" t="inlineStr">
        <is>
          <t>1998-10-10</t>
        </is>
      </c>
    </row>
    <row r="36128">
      <c r="A36128" s="1" t="n">
        <v>36127</v>
      </c>
      <c r="B36128">
        <f>TEXT(36127, "[$-0E0000]yyyy-mm-dd")</f>
        <v/>
      </c>
      <c r="C36128" t="inlineStr">
        <is>
          <t>1998-10-11</t>
        </is>
      </c>
    </row>
    <row r="36129">
      <c r="A36129" s="1" t="n">
        <v>36128</v>
      </c>
      <c r="B36129">
        <f>TEXT(36128, "[$-0E0000]yyyy-mm-dd")</f>
        <v/>
      </c>
      <c r="C36129" t="inlineStr">
        <is>
          <t>1998-10-12</t>
        </is>
      </c>
    </row>
    <row r="36130">
      <c r="A36130" s="1" t="n">
        <v>36129</v>
      </c>
      <c r="B36130">
        <f>TEXT(36129, "[$-0E0000]yyyy-mm-dd")</f>
        <v/>
      </c>
      <c r="C36130" t="inlineStr">
        <is>
          <t>1998-10-13</t>
        </is>
      </c>
    </row>
    <row r="36131">
      <c r="A36131" s="1" t="n">
        <v>36130</v>
      </c>
      <c r="B36131">
        <f>TEXT(36130, "[$-0E0000]yyyy-mm-dd")</f>
        <v/>
      </c>
      <c r="C36131" t="inlineStr">
        <is>
          <t>1998-10-14</t>
        </is>
      </c>
    </row>
    <row r="36132">
      <c r="A36132" s="1" t="n">
        <v>36131</v>
      </c>
      <c r="B36132">
        <f>TEXT(36131, "[$-0E0000]yyyy-mm-dd")</f>
        <v/>
      </c>
      <c r="C36132" t="inlineStr">
        <is>
          <t>1998-10-15</t>
        </is>
      </c>
    </row>
    <row r="36133">
      <c r="A36133" s="1" t="n">
        <v>36132</v>
      </c>
      <c r="B36133">
        <f>TEXT(36132, "[$-0E0000]yyyy-mm-dd")</f>
        <v/>
      </c>
      <c r="C36133" t="inlineStr">
        <is>
          <t>1998-10-16</t>
        </is>
      </c>
    </row>
    <row r="36134">
      <c r="A36134" s="1" t="n">
        <v>36133</v>
      </c>
      <c r="B36134">
        <f>TEXT(36133, "[$-0E0000]yyyy-mm-dd")</f>
        <v/>
      </c>
      <c r="C36134" t="inlineStr">
        <is>
          <t>1998-10-17</t>
        </is>
      </c>
    </row>
    <row r="36135">
      <c r="A36135" s="1" t="n">
        <v>36134</v>
      </c>
      <c r="B36135">
        <f>TEXT(36134, "[$-0E0000]yyyy-mm-dd")</f>
        <v/>
      </c>
      <c r="C36135" t="inlineStr">
        <is>
          <t>1998-10-18</t>
        </is>
      </c>
    </row>
    <row r="36136">
      <c r="A36136" s="1" t="n">
        <v>36135</v>
      </c>
      <c r="B36136">
        <f>TEXT(36135, "[$-0E0000]yyyy-mm-dd")</f>
        <v/>
      </c>
      <c r="C36136" t="inlineStr">
        <is>
          <t>1998-10-19</t>
        </is>
      </c>
    </row>
    <row r="36137">
      <c r="A36137" s="1" t="n">
        <v>36136</v>
      </c>
      <c r="B36137">
        <f>TEXT(36136, "[$-0E0000]yyyy-mm-dd")</f>
        <v/>
      </c>
      <c r="C36137" t="inlineStr">
        <is>
          <t>1998-10-20</t>
        </is>
      </c>
    </row>
    <row r="36138">
      <c r="A36138" s="1" t="n">
        <v>36137</v>
      </c>
      <c r="B36138">
        <f>TEXT(36137, "[$-0E0000]yyyy-mm-dd")</f>
        <v/>
      </c>
      <c r="C36138" t="inlineStr">
        <is>
          <t>1998-10-21</t>
        </is>
      </c>
    </row>
    <row r="36139">
      <c r="A36139" s="1" t="n">
        <v>36138</v>
      </c>
      <c r="B36139">
        <f>TEXT(36138, "[$-0E0000]yyyy-mm-dd")</f>
        <v/>
      </c>
      <c r="C36139" t="inlineStr">
        <is>
          <t>1998-10-22</t>
        </is>
      </c>
    </row>
    <row r="36140">
      <c r="A36140" s="1" t="n">
        <v>36139</v>
      </c>
      <c r="B36140">
        <f>TEXT(36139, "[$-0E0000]yyyy-mm-dd")</f>
        <v/>
      </c>
      <c r="C36140" t="inlineStr">
        <is>
          <t>1998-10-23</t>
        </is>
      </c>
    </row>
    <row r="36141">
      <c r="A36141" s="1" t="n">
        <v>36140</v>
      </c>
      <c r="B36141">
        <f>TEXT(36140, "[$-0E0000]yyyy-mm-dd")</f>
        <v/>
      </c>
      <c r="C36141" t="inlineStr">
        <is>
          <t>1998-10-24</t>
        </is>
      </c>
    </row>
    <row r="36142">
      <c r="A36142" s="1" t="n">
        <v>36141</v>
      </c>
      <c r="B36142">
        <f>TEXT(36141, "[$-0E0000]yyyy-mm-dd")</f>
        <v/>
      </c>
      <c r="C36142" t="inlineStr">
        <is>
          <t>1998-10-25</t>
        </is>
      </c>
    </row>
    <row r="36143">
      <c r="A36143" s="1" t="n">
        <v>36142</v>
      </c>
      <c r="B36143">
        <f>TEXT(36142, "[$-0E0000]yyyy-mm-dd")</f>
        <v/>
      </c>
      <c r="C36143" t="inlineStr">
        <is>
          <t>1998-10-26</t>
        </is>
      </c>
    </row>
    <row r="36144">
      <c r="A36144" s="1" t="n">
        <v>36143</v>
      </c>
      <c r="B36144">
        <f>TEXT(36143, "[$-0E0000]yyyy-mm-dd")</f>
        <v/>
      </c>
      <c r="C36144" t="inlineStr">
        <is>
          <t>1998-10-27</t>
        </is>
      </c>
    </row>
    <row r="36145">
      <c r="A36145" s="1" t="n">
        <v>36144</v>
      </c>
      <c r="B36145">
        <f>TEXT(36144, "[$-0E0000]yyyy-mm-dd")</f>
        <v/>
      </c>
      <c r="C36145" t="inlineStr">
        <is>
          <t>1998-10-28</t>
        </is>
      </c>
    </row>
    <row r="36146">
      <c r="A36146" s="1" t="n">
        <v>36145</v>
      </c>
      <c r="B36146">
        <f>TEXT(36145, "[$-0E0000]yyyy-mm-dd")</f>
        <v/>
      </c>
      <c r="C36146" t="inlineStr">
        <is>
          <t>1998-10-29</t>
        </is>
      </c>
    </row>
    <row r="36147">
      <c r="A36147" s="1" t="n">
        <v>36146</v>
      </c>
      <c r="B36147">
        <f>TEXT(36146, "[$-0E0000]yyyy-mm-dd")</f>
        <v/>
      </c>
      <c r="C36147" t="inlineStr">
        <is>
          <t>1998-10-30</t>
        </is>
      </c>
    </row>
    <row r="36148">
      <c r="A36148" s="1" t="n">
        <v>36147</v>
      </c>
      <c r="B36148">
        <f>TEXT(36147, "[$-0E0000]yyyy-mm-dd")</f>
        <v/>
      </c>
      <c r="C36148" t="inlineStr">
        <is>
          <t>1998-11-01</t>
        </is>
      </c>
    </row>
    <row r="36149">
      <c r="A36149" s="1" t="n">
        <v>36148</v>
      </c>
      <c r="B36149">
        <f>TEXT(36148, "[$-0E0000]yyyy-mm-dd")</f>
        <v/>
      </c>
      <c r="C36149" t="inlineStr">
        <is>
          <t>1998-11-02</t>
        </is>
      </c>
    </row>
    <row r="36150">
      <c r="A36150" s="1" t="n">
        <v>36149</v>
      </c>
      <c r="B36150">
        <f>TEXT(36149, "[$-0E0000]yyyy-mm-dd")</f>
        <v/>
      </c>
      <c r="C36150" t="inlineStr">
        <is>
          <t>1998-11-03</t>
        </is>
      </c>
    </row>
    <row r="36151">
      <c r="A36151" s="1" t="n">
        <v>36150</v>
      </c>
      <c r="B36151">
        <f>TEXT(36150, "[$-0E0000]yyyy-mm-dd")</f>
        <v/>
      </c>
      <c r="C36151" t="inlineStr">
        <is>
          <t>1998-11-04</t>
        </is>
      </c>
    </row>
    <row r="36152">
      <c r="A36152" s="1" t="n">
        <v>36151</v>
      </c>
      <c r="B36152">
        <f>TEXT(36151, "[$-0E0000]yyyy-mm-dd")</f>
        <v/>
      </c>
      <c r="C36152" t="inlineStr">
        <is>
          <t>1998-11-05</t>
        </is>
      </c>
    </row>
    <row r="36153">
      <c r="A36153" s="1" t="n">
        <v>36152</v>
      </c>
      <c r="B36153">
        <f>TEXT(36152, "[$-0E0000]yyyy-mm-dd")</f>
        <v/>
      </c>
      <c r="C36153" t="inlineStr">
        <is>
          <t>1998-11-06</t>
        </is>
      </c>
    </row>
    <row r="36154">
      <c r="A36154" s="1" t="n">
        <v>36153</v>
      </c>
      <c r="B36154">
        <f>TEXT(36153, "[$-0E0000]yyyy-mm-dd")</f>
        <v/>
      </c>
      <c r="C36154" t="inlineStr">
        <is>
          <t>1998-11-07</t>
        </is>
      </c>
    </row>
    <row r="36155">
      <c r="A36155" s="1" t="n">
        <v>36154</v>
      </c>
      <c r="B36155">
        <f>TEXT(36154, "[$-0E0000]yyyy-mm-dd")</f>
        <v/>
      </c>
      <c r="C36155" t="inlineStr">
        <is>
          <t>1998-11-08</t>
        </is>
      </c>
    </row>
    <row r="36156">
      <c r="A36156" s="1" t="n">
        <v>36155</v>
      </c>
      <c r="B36156">
        <f>TEXT(36155, "[$-0E0000]yyyy-mm-dd")</f>
        <v/>
      </c>
      <c r="C36156" t="inlineStr">
        <is>
          <t>1998-11-09</t>
        </is>
      </c>
    </row>
    <row r="36157">
      <c r="A36157" s="1" t="n">
        <v>36156</v>
      </c>
      <c r="B36157">
        <f>TEXT(36156, "[$-0E0000]yyyy-mm-dd")</f>
        <v/>
      </c>
      <c r="C36157" t="inlineStr">
        <is>
          <t>1998-11-10</t>
        </is>
      </c>
    </row>
    <row r="36158">
      <c r="A36158" s="1" t="n">
        <v>36157</v>
      </c>
      <c r="B36158">
        <f>TEXT(36157, "[$-0E0000]yyyy-mm-dd")</f>
        <v/>
      </c>
      <c r="C36158" t="inlineStr">
        <is>
          <t>1998-11-11</t>
        </is>
      </c>
    </row>
    <row r="36159">
      <c r="A36159" s="1" t="n">
        <v>36158</v>
      </c>
      <c r="B36159">
        <f>TEXT(36158, "[$-0E0000]yyyy-mm-dd")</f>
        <v/>
      </c>
      <c r="C36159" t="inlineStr">
        <is>
          <t>1998-11-12</t>
        </is>
      </c>
    </row>
    <row r="36160">
      <c r="A36160" s="1" t="n">
        <v>36159</v>
      </c>
      <c r="B36160">
        <f>TEXT(36159, "[$-0E0000]yyyy-mm-dd")</f>
        <v/>
      </c>
      <c r="C36160" t="inlineStr">
        <is>
          <t>1998-11-13</t>
        </is>
      </c>
    </row>
    <row r="36161">
      <c r="A36161" s="1" t="n">
        <v>36160</v>
      </c>
      <c r="B36161">
        <f>TEXT(36160, "[$-0E0000]yyyy-mm-dd")</f>
        <v/>
      </c>
      <c r="C36161" t="inlineStr">
        <is>
          <t>1998-11-14</t>
        </is>
      </c>
    </row>
    <row r="36162">
      <c r="A36162" s="1" t="n">
        <v>36161</v>
      </c>
      <c r="B36162">
        <f>TEXT(36161, "[$-0E0000]yyyy-mm-dd")</f>
        <v/>
      </c>
      <c r="C36162" t="inlineStr">
        <is>
          <t>1998-11-15</t>
        </is>
      </c>
    </row>
    <row r="36163">
      <c r="A36163" s="1" t="n">
        <v>36162</v>
      </c>
      <c r="B36163">
        <f>TEXT(36162, "[$-0E0000]yyyy-mm-dd")</f>
        <v/>
      </c>
      <c r="C36163" t="inlineStr">
        <is>
          <t>1998-11-16</t>
        </is>
      </c>
    </row>
    <row r="36164">
      <c r="A36164" s="1" t="n">
        <v>36163</v>
      </c>
      <c r="B36164">
        <f>TEXT(36163, "[$-0E0000]yyyy-mm-dd")</f>
        <v/>
      </c>
      <c r="C36164" t="inlineStr">
        <is>
          <t>1998-11-17</t>
        </is>
      </c>
    </row>
    <row r="36165">
      <c r="A36165" s="1" t="n">
        <v>36164</v>
      </c>
      <c r="B36165">
        <f>TEXT(36164, "[$-0E0000]yyyy-mm-dd")</f>
        <v/>
      </c>
      <c r="C36165" t="inlineStr">
        <is>
          <t>1998-11-18</t>
        </is>
      </c>
    </row>
    <row r="36166">
      <c r="A36166" s="1" t="n">
        <v>36165</v>
      </c>
      <c r="B36166">
        <f>TEXT(36165, "[$-0E0000]yyyy-mm-dd")</f>
        <v/>
      </c>
      <c r="C36166" t="inlineStr">
        <is>
          <t>1998-11-19</t>
        </is>
      </c>
    </row>
    <row r="36167">
      <c r="A36167" s="1" t="n">
        <v>36166</v>
      </c>
      <c r="B36167">
        <f>TEXT(36166, "[$-0E0000]yyyy-mm-dd")</f>
        <v/>
      </c>
      <c r="C36167" t="inlineStr">
        <is>
          <t>1998-11-20</t>
        </is>
      </c>
    </row>
    <row r="36168">
      <c r="A36168" s="1" t="n">
        <v>36167</v>
      </c>
      <c r="B36168">
        <f>TEXT(36167, "[$-0E0000]yyyy-mm-dd")</f>
        <v/>
      </c>
      <c r="C36168" t="inlineStr">
        <is>
          <t>1998-11-21</t>
        </is>
      </c>
    </row>
    <row r="36169">
      <c r="A36169" s="1" t="n">
        <v>36168</v>
      </c>
      <c r="B36169">
        <f>TEXT(36168, "[$-0E0000]yyyy-mm-dd")</f>
        <v/>
      </c>
      <c r="C36169" t="inlineStr">
        <is>
          <t>1998-11-22</t>
        </is>
      </c>
    </row>
    <row r="36170">
      <c r="A36170" s="1" t="n">
        <v>36169</v>
      </c>
      <c r="B36170">
        <f>TEXT(36169, "[$-0E0000]yyyy-mm-dd")</f>
        <v/>
      </c>
      <c r="C36170" t="inlineStr">
        <is>
          <t>1998-11-23</t>
        </is>
      </c>
    </row>
    <row r="36171">
      <c r="A36171" s="1" t="n">
        <v>36170</v>
      </c>
      <c r="B36171">
        <f>TEXT(36170, "[$-0E0000]yyyy-mm-dd")</f>
        <v/>
      </c>
      <c r="C36171" t="inlineStr">
        <is>
          <t>1998-11-24</t>
        </is>
      </c>
    </row>
    <row r="36172">
      <c r="A36172" s="1" t="n">
        <v>36171</v>
      </c>
      <c r="B36172">
        <f>TEXT(36171, "[$-0E0000]yyyy-mm-dd")</f>
        <v/>
      </c>
      <c r="C36172" t="inlineStr">
        <is>
          <t>1998-11-25</t>
        </is>
      </c>
    </row>
    <row r="36173">
      <c r="A36173" s="1" t="n">
        <v>36172</v>
      </c>
      <c r="B36173">
        <f>TEXT(36172, "[$-0E0000]yyyy-mm-dd")</f>
        <v/>
      </c>
      <c r="C36173" t="inlineStr">
        <is>
          <t>1998-11-26</t>
        </is>
      </c>
    </row>
    <row r="36174">
      <c r="A36174" s="1" t="n">
        <v>36173</v>
      </c>
      <c r="B36174">
        <f>TEXT(36173, "[$-0E0000]yyyy-mm-dd")</f>
        <v/>
      </c>
      <c r="C36174" t="inlineStr">
        <is>
          <t>1998-11-27</t>
        </is>
      </c>
    </row>
    <row r="36175">
      <c r="A36175" s="1" t="n">
        <v>36174</v>
      </c>
      <c r="B36175">
        <f>TEXT(36174, "[$-0E0000]yyyy-mm-dd")</f>
        <v/>
      </c>
      <c r="C36175" t="inlineStr">
        <is>
          <t>1998-11-28</t>
        </is>
      </c>
    </row>
    <row r="36176">
      <c r="A36176" s="1" t="n">
        <v>36175</v>
      </c>
      <c r="B36176">
        <f>TEXT(36175, "[$-0E0000]yyyy-mm-dd")</f>
        <v/>
      </c>
      <c r="C36176" t="inlineStr">
        <is>
          <t>1998-11-29</t>
        </is>
      </c>
    </row>
    <row r="36177">
      <c r="A36177" s="1" t="n">
        <v>36176</v>
      </c>
      <c r="B36177">
        <f>TEXT(36176, "[$-0E0000]yyyy-mm-dd")</f>
        <v/>
      </c>
      <c r="C36177" t="inlineStr">
        <is>
          <t>1998-12-01</t>
        </is>
      </c>
    </row>
    <row r="36178">
      <c r="A36178" s="1" t="n">
        <v>36177</v>
      </c>
      <c r="B36178">
        <f>TEXT(36177, "[$-0E0000]yyyy-mm-dd")</f>
        <v/>
      </c>
      <c r="C36178" t="inlineStr">
        <is>
          <t>1998-12-02</t>
        </is>
      </c>
    </row>
    <row r="36179">
      <c r="A36179" s="1" t="n">
        <v>36178</v>
      </c>
      <c r="B36179">
        <f>TEXT(36178, "[$-0E0000]yyyy-mm-dd")</f>
        <v/>
      </c>
      <c r="C36179" t="inlineStr">
        <is>
          <t>1998-12-03</t>
        </is>
      </c>
    </row>
    <row r="36180">
      <c r="A36180" s="1" t="n">
        <v>36179</v>
      </c>
      <c r="B36180">
        <f>TEXT(36179, "[$-0E0000]yyyy-mm-dd")</f>
        <v/>
      </c>
      <c r="C36180" t="inlineStr">
        <is>
          <t>1998-12-04</t>
        </is>
      </c>
    </row>
    <row r="36181">
      <c r="A36181" s="1" t="n">
        <v>36180</v>
      </c>
      <c r="B36181">
        <f>TEXT(36180, "[$-0E0000]yyyy-mm-dd")</f>
        <v/>
      </c>
      <c r="C36181" t="inlineStr">
        <is>
          <t>1998-12-05</t>
        </is>
      </c>
    </row>
    <row r="36182">
      <c r="A36182" s="1" t="n">
        <v>36181</v>
      </c>
      <c r="B36182">
        <f>TEXT(36181, "[$-0E0000]yyyy-mm-dd")</f>
        <v/>
      </c>
      <c r="C36182" t="inlineStr">
        <is>
          <t>1998-12-06</t>
        </is>
      </c>
    </row>
    <row r="36183">
      <c r="A36183" s="1" t="n">
        <v>36182</v>
      </c>
      <c r="B36183">
        <f>TEXT(36182, "[$-0E0000]yyyy-mm-dd")</f>
        <v/>
      </c>
      <c r="C36183" t="inlineStr">
        <is>
          <t>1998-12-07</t>
        </is>
      </c>
    </row>
    <row r="36184">
      <c r="A36184" s="1" t="n">
        <v>36183</v>
      </c>
      <c r="B36184">
        <f>TEXT(36183, "[$-0E0000]yyyy-mm-dd")</f>
        <v/>
      </c>
      <c r="C36184" t="inlineStr">
        <is>
          <t>1998-12-08</t>
        </is>
      </c>
    </row>
    <row r="36185">
      <c r="A36185" s="1" t="n">
        <v>36184</v>
      </c>
      <c r="B36185">
        <f>TEXT(36184, "[$-0E0000]yyyy-mm-dd")</f>
        <v/>
      </c>
      <c r="C36185" t="inlineStr">
        <is>
          <t>1998-12-09</t>
        </is>
      </c>
    </row>
    <row r="36186">
      <c r="A36186" s="1" t="n">
        <v>36185</v>
      </c>
      <c r="B36186">
        <f>TEXT(36185, "[$-0E0000]yyyy-mm-dd")</f>
        <v/>
      </c>
      <c r="C36186" t="inlineStr">
        <is>
          <t>1998-12-10</t>
        </is>
      </c>
    </row>
    <row r="36187">
      <c r="A36187" s="1" t="n">
        <v>36186</v>
      </c>
      <c r="B36187">
        <f>TEXT(36186, "[$-0E0000]yyyy-mm-dd")</f>
        <v/>
      </c>
      <c r="C36187" t="inlineStr">
        <is>
          <t>1998-12-11</t>
        </is>
      </c>
    </row>
    <row r="36188">
      <c r="A36188" s="1" t="n">
        <v>36187</v>
      </c>
      <c r="B36188">
        <f>TEXT(36187, "[$-0E0000]yyyy-mm-dd")</f>
        <v/>
      </c>
      <c r="C36188" t="inlineStr">
        <is>
          <t>1998-12-12</t>
        </is>
      </c>
    </row>
    <row r="36189">
      <c r="A36189" s="1" t="n">
        <v>36188</v>
      </c>
      <c r="B36189">
        <f>TEXT(36188, "[$-0E0000]yyyy-mm-dd")</f>
        <v/>
      </c>
      <c r="C36189" t="inlineStr">
        <is>
          <t>1998-12-13</t>
        </is>
      </c>
    </row>
    <row r="36190">
      <c r="A36190" s="1" t="n">
        <v>36189</v>
      </c>
      <c r="B36190">
        <f>TEXT(36189, "[$-0E0000]yyyy-mm-dd")</f>
        <v/>
      </c>
      <c r="C36190" t="inlineStr">
        <is>
          <t>1998-12-14</t>
        </is>
      </c>
    </row>
    <row r="36191">
      <c r="A36191" s="1" t="n">
        <v>36190</v>
      </c>
      <c r="B36191">
        <f>TEXT(36190, "[$-0E0000]yyyy-mm-dd")</f>
        <v/>
      </c>
      <c r="C36191" t="inlineStr">
        <is>
          <t>1998-12-15</t>
        </is>
      </c>
    </row>
    <row r="36192">
      <c r="A36192" s="1" t="n">
        <v>36191</v>
      </c>
      <c r="B36192">
        <f>TEXT(36191, "[$-0E0000]yyyy-mm-dd")</f>
        <v/>
      </c>
      <c r="C36192" t="inlineStr">
        <is>
          <t>1998-12-16</t>
        </is>
      </c>
    </row>
    <row r="36193">
      <c r="A36193" s="1" t="n">
        <v>36192</v>
      </c>
      <c r="B36193">
        <f>TEXT(36192, "[$-0E0000]yyyy-mm-dd")</f>
        <v/>
      </c>
      <c r="C36193" t="inlineStr">
        <is>
          <t>1998-12-17</t>
        </is>
      </c>
    </row>
    <row r="36194">
      <c r="A36194" s="1" t="n">
        <v>36193</v>
      </c>
      <c r="B36194">
        <f>TEXT(36193, "[$-0E0000]yyyy-mm-dd")</f>
        <v/>
      </c>
      <c r="C36194" t="inlineStr">
        <is>
          <t>1998-12-18</t>
        </is>
      </c>
    </row>
    <row r="36195">
      <c r="A36195" s="1" t="n">
        <v>36194</v>
      </c>
      <c r="B36195">
        <f>TEXT(36194, "[$-0E0000]yyyy-mm-dd")</f>
        <v/>
      </c>
      <c r="C36195" t="inlineStr">
        <is>
          <t>1998-12-19</t>
        </is>
      </c>
    </row>
    <row r="36196">
      <c r="A36196" s="1" t="n">
        <v>36195</v>
      </c>
      <c r="B36196">
        <f>TEXT(36195, "[$-0E0000]yyyy-mm-dd")</f>
        <v/>
      </c>
      <c r="C36196" t="inlineStr">
        <is>
          <t>1998-12-20</t>
        </is>
      </c>
    </row>
    <row r="36197">
      <c r="A36197" s="1" t="n">
        <v>36196</v>
      </c>
      <c r="B36197">
        <f>TEXT(36196, "[$-0E0000]yyyy-mm-dd")</f>
        <v/>
      </c>
      <c r="C36197" t="inlineStr">
        <is>
          <t>1998-12-21</t>
        </is>
      </c>
    </row>
    <row r="36198">
      <c r="A36198" s="1" t="n">
        <v>36197</v>
      </c>
      <c r="B36198">
        <f>TEXT(36197, "[$-0E0000]yyyy-mm-dd")</f>
        <v/>
      </c>
      <c r="C36198" t="inlineStr">
        <is>
          <t>1998-12-22</t>
        </is>
      </c>
    </row>
    <row r="36199">
      <c r="A36199" s="1" t="n">
        <v>36198</v>
      </c>
      <c r="B36199">
        <f>TEXT(36198, "[$-0E0000]yyyy-mm-dd")</f>
        <v/>
      </c>
      <c r="C36199" t="inlineStr">
        <is>
          <t>1998-12-23</t>
        </is>
      </c>
    </row>
    <row r="36200">
      <c r="A36200" s="1" t="n">
        <v>36199</v>
      </c>
      <c r="B36200">
        <f>TEXT(36199, "[$-0E0000]yyyy-mm-dd")</f>
        <v/>
      </c>
      <c r="C36200" t="inlineStr">
        <is>
          <t>1998-12-24</t>
        </is>
      </c>
    </row>
    <row r="36201">
      <c r="A36201" s="1" t="n">
        <v>36200</v>
      </c>
      <c r="B36201">
        <f>TEXT(36200, "[$-0E0000]yyyy-mm-dd")</f>
        <v/>
      </c>
      <c r="C36201" t="inlineStr">
        <is>
          <t>1998-12-25</t>
        </is>
      </c>
    </row>
    <row r="36202">
      <c r="A36202" s="1" t="n">
        <v>36201</v>
      </c>
      <c r="B36202">
        <f>TEXT(36201, "[$-0E0000]yyyy-mm-dd")</f>
        <v/>
      </c>
      <c r="C36202" t="inlineStr">
        <is>
          <t>1998-12-26</t>
        </is>
      </c>
    </row>
    <row r="36203">
      <c r="A36203" s="1" t="n">
        <v>36202</v>
      </c>
      <c r="B36203">
        <f>TEXT(36202, "[$-0E0000]yyyy-mm-dd")</f>
        <v/>
      </c>
      <c r="C36203" t="inlineStr">
        <is>
          <t>1998-12-27</t>
        </is>
      </c>
    </row>
    <row r="36204">
      <c r="A36204" s="1" t="n">
        <v>36203</v>
      </c>
      <c r="B36204">
        <f>TEXT(36203, "[$-0E0000]yyyy-mm-dd")</f>
        <v/>
      </c>
      <c r="C36204" t="inlineStr">
        <is>
          <t>1998-12-28</t>
        </is>
      </c>
    </row>
    <row r="36205">
      <c r="A36205" s="1" t="n">
        <v>36204</v>
      </c>
      <c r="B36205">
        <f>TEXT(36204, "[$-0E0000]yyyy-mm-dd")</f>
        <v/>
      </c>
      <c r="C36205" t="inlineStr">
        <is>
          <t>1998-12-29</t>
        </is>
      </c>
    </row>
    <row r="36206">
      <c r="A36206" s="1" t="n">
        <v>36205</v>
      </c>
      <c r="B36206">
        <f>TEXT(36205, "[$-0E0000]yyyy-mm-dd")</f>
        <v/>
      </c>
      <c r="C36206" t="inlineStr">
        <is>
          <t>1998-12-30</t>
        </is>
      </c>
    </row>
    <row r="36207">
      <c r="A36207" s="1" t="n">
        <v>36206</v>
      </c>
      <c r="B36207">
        <f>TEXT(36206, "[$-0E0000]yyyy-mm-dd")</f>
        <v/>
      </c>
      <c r="C36207" t="inlineStr">
        <is>
          <t>1999-01-01</t>
        </is>
      </c>
    </row>
    <row r="36208">
      <c r="A36208" s="1" t="n">
        <v>36207</v>
      </c>
      <c r="B36208">
        <f>TEXT(36207, "[$-0E0000]yyyy-mm-dd")</f>
        <v/>
      </c>
      <c r="C36208" t="inlineStr">
        <is>
          <t>1999-01-02</t>
        </is>
      </c>
    </row>
    <row r="36209">
      <c r="A36209" s="1" t="n">
        <v>36208</v>
      </c>
      <c r="B36209">
        <f>TEXT(36208, "[$-0E0000]yyyy-mm-dd")</f>
        <v/>
      </c>
      <c r="C36209" t="inlineStr">
        <is>
          <t>1999-01-03</t>
        </is>
      </c>
    </row>
    <row r="36210">
      <c r="A36210" s="1" t="n">
        <v>36209</v>
      </c>
      <c r="B36210">
        <f>TEXT(36209, "[$-0E0000]yyyy-mm-dd")</f>
        <v/>
      </c>
      <c r="C36210" t="inlineStr">
        <is>
          <t>1999-01-04</t>
        </is>
      </c>
    </row>
    <row r="36211">
      <c r="A36211" s="1" t="n">
        <v>36210</v>
      </c>
      <c r="B36211">
        <f>TEXT(36210, "[$-0E0000]yyyy-mm-dd")</f>
        <v/>
      </c>
      <c r="C36211" t="inlineStr">
        <is>
          <t>1999-01-05</t>
        </is>
      </c>
    </row>
    <row r="36212">
      <c r="A36212" s="1" t="n">
        <v>36211</v>
      </c>
      <c r="B36212">
        <f>TEXT(36211, "[$-0E0000]yyyy-mm-dd")</f>
        <v/>
      </c>
      <c r="C36212" t="inlineStr">
        <is>
          <t>1999-01-06</t>
        </is>
      </c>
    </row>
    <row r="36213">
      <c r="A36213" s="1" t="n">
        <v>36212</v>
      </c>
      <c r="B36213">
        <f>TEXT(36212, "[$-0E0000]yyyy-mm-dd")</f>
        <v/>
      </c>
      <c r="C36213" t="inlineStr">
        <is>
          <t>1999-01-07</t>
        </is>
      </c>
    </row>
    <row r="36214">
      <c r="A36214" s="1" t="n">
        <v>36213</v>
      </c>
      <c r="B36214">
        <f>TEXT(36213, "[$-0E0000]yyyy-mm-dd")</f>
        <v/>
      </c>
      <c r="C36214" t="inlineStr">
        <is>
          <t>1999-01-08</t>
        </is>
      </c>
    </row>
    <row r="36215">
      <c r="A36215" s="1" t="n">
        <v>36214</v>
      </c>
      <c r="B36215">
        <f>TEXT(36214, "[$-0E0000]yyyy-mm-dd")</f>
        <v/>
      </c>
      <c r="C36215" t="inlineStr">
        <is>
          <t>1999-01-09</t>
        </is>
      </c>
    </row>
    <row r="36216">
      <c r="A36216" s="1" t="n">
        <v>36215</v>
      </c>
      <c r="B36216">
        <f>TEXT(36215, "[$-0E0000]yyyy-mm-dd")</f>
        <v/>
      </c>
      <c r="C36216" t="inlineStr">
        <is>
          <t>1999-01-10</t>
        </is>
      </c>
    </row>
    <row r="36217">
      <c r="A36217" s="1" t="n">
        <v>36216</v>
      </c>
      <c r="B36217">
        <f>TEXT(36216, "[$-0E0000]yyyy-mm-dd")</f>
        <v/>
      </c>
      <c r="C36217" t="inlineStr">
        <is>
          <t>1999-01-11</t>
        </is>
      </c>
    </row>
    <row r="36218">
      <c r="A36218" s="1" t="n">
        <v>36217</v>
      </c>
      <c r="B36218">
        <f>TEXT(36217, "[$-0E0000]yyyy-mm-dd")</f>
        <v/>
      </c>
      <c r="C36218" t="inlineStr">
        <is>
          <t>1999-01-12</t>
        </is>
      </c>
    </row>
    <row r="36219">
      <c r="A36219" s="1" t="n">
        <v>36218</v>
      </c>
      <c r="B36219">
        <f>TEXT(36218, "[$-0E0000]yyyy-mm-dd")</f>
        <v/>
      </c>
      <c r="C36219" t="inlineStr">
        <is>
          <t>1999-01-13</t>
        </is>
      </c>
    </row>
    <row r="36220">
      <c r="A36220" s="1" t="n">
        <v>36219</v>
      </c>
      <c r="B36220">
        <f>TEXT(36219, "[$-0E0000]yyyy-mm-dd")</f>
        <v/>
      </c>
      <c r="C36220" t="inlineStr">
        <is>
          <t>1999-01-14</t>
        </is>
      </c>
    </row>
    <row r="36221">
      <c r="A36221" s="1" t="n">
        <v>36220</v>
      </c>
      <c r="B36221">
        <f>TEXT(36220, "[$-0E0000]yyyy-mm-dd")</f>
        <v/>
      </c>
      <c r="C36221" t="inlineStr">
        <is>
          <t>1999-01-15</t>
        </is>
      </c>
    </row>
    <row r="36222">
      <c r="A36222" s="1" t="n">
        <v>36221</v>
      </c>
      <c r="B36222">
        <f>TEXT(36221, "[$-0E0000]yyyy-mm-dd")</f>
        <v/>
      </c>
      <c r="C36222" t="inlineStr">
        <is>
          <t>1999-01-16</t>
        </is>
      </c>
    </row>
    <row r="36223">
      <c r="A36223" s="1" t="n">
        <v>36222</v>
      </c>
      <c r="B36223">
        <f>TEXT(36222, "[$-0E0000]yyyy-mm-dd")</f>
        <v/>
      </c>
      <c r="C36223" t="inlineStr">
        <is>
          <t>1999-01-17</t>
        </is>
      </c>
    </row>
    <row r="36224">
      <c r="A36224" s="1" t="n">
        <v>36223</v>
      </c>
      <c r="B36224">
        <f>TEXT(36223, "[$-0E0000]yyyy-mm-dd")</f>
        <v/>
      </c>
      <c r="C36224" t="inlineStr">
        <is>
          <t>1999-01-18</t>
        </is>
      </c>
    </row>
    <row r="36225">
      <c r="A36225" s="1" t="n">
        <v>36224</v>
      </c>
      <c r="B36225">
        <f>TEXT(36224, "[$-0E0000]yyyy-mm-dd")</f>
        <v/>
      </c>
      <c r="C36225" t="inlineStr">
        <is>
          <t>1999-01-19</t>
        </is>
      </c>
    </row>
    <row r="36226">
      <c r="A36226" s="1" t="n">
        <v>36225</v>
      </c>
      <c r="B36226">
        <f>TEXT(36225, "[$-0E0000]yyyy-mm-dd")</f>
        <v/>
      </c>
      <c r="C36226" t="inlineStr">
        <is>
          <t>1999-01-20</t>
        </is>
      </c>
    </row>
    <row r="36227">
      <c r="A36227" s="1" t="n">
        <v>36226</v>
      </c>
      <c r="B36227">
        <f>TEXT(36226, "[$-0E0000]yyyy-mm-dd")</f>
        <v/>
      </c>
      <c r="C36227" t="inlineStr">
        <is>
          <t>1999-01-21</t>
        </is>
      </c>
    </row>
    <row r="36228">
      <c r="A36228" s="1" t="n">
        <v>36227</v>
      </c>
      <c r="B36228">
        <f>TEXT(36227, "[$-0E0000]yyyy-mm-dd")</f>
        <v/>
      </c>
      <c r="C36228" t="inlineStr">
        <is>
          <t>1999-01-22</t>
        </is>
      </c>
    </row>
    <row r="36229">
      <c r="A36229" s="1" t="n">
        <v>36228</v>
      </c>
      <c r="B36229">
        <f>TEXT(36228, "[$-0E0000]yyyy-mm-dd")</f>
        <v/>
      </c>
      <c r="C36229" t="inlineStr">
        <is>
          <t>1999-01-23</t>
        </is>
      </c>
    </row>
    <row r="36230">
      <c r="A36230" s="1" t="n">
        <v>36229</v>
      </c>
      <c r="B36230">
        <f>TEXT(36229, "[$-0E0000]yyyy-mm-dd")</f>
        <v/>
      </c>
      <c r="C36230" t="inlineStr">
        <is>
          <t>1999-01-24</t>
        </is>
      </c>
    </row>
    <row r="36231">
      <c r="A36231" s="1" t="n">
        <v>36230</v>
      </c>
      <c r="B36231">
        <f>TEXT(36230, "[$-0E0000]yyyy-mm-dd")</f>
        <v/>
      </c>
      <c r="C36231" t="inlineStr">
        <is>
          <t>1999-01-25</t>
        </is>
      </c>
    </row>
    <row r="36232">
      <c r="A36232" s="1" t="n">
        <v>36231</v>
      </c>
      <c r="B36232">
        <f>TEXT(36231, "[$-0E0000]yyyy-mm-dd")</f>
        <v/>
      </c>
      <c r="C36232" t="inlineStr">
        <is>
          <t>1999-01-26</t>
        </is>
      </c>
    </row>
    <row r="36233">
      <c r="A36233" s="1" t="n">
        <v>36232</v>
      </c>
      <c r="B36233">
        <f>TEXT(36232, "[$-0E0000]yyyy-mm-dd")</f>
        <v/>
      </c>
      <c r="C36233" t="inlineStr">
        <is>
          <t>1999-01-27</t>
        </is>
      </c>
    </row>
    <row r="36234">
      <c r="A36234" s="1" t="n">
        <v>36233</v>
      </c>
      <c r="B36234">
        <f>TEXT(36233, "[$-0E0000]yyyy-mm-dd")</f>
        <v/>
      </c>
      <c r="C36234" t="inlineStr">
        <is>
          <t>1999-01-28</t>
        </is>
      </c>
    </row>
    <row r="36235">
      <c r="A36235" s="1" t="n">
        <v>36234</v>
      </c>
      <c r="B36235">
        <f>TEXT(36234, "[$-0E0000]yyyy-mm-dd")</f>
        <v/>
      </c>
      <c r="C36235" t="inlineStr">
        <is>
          <t>1999-01-29</t>
        </is>
      </c>
    </row>
    <row r="36236">
      <c r="A36236" s="1" t="n">
        <v>36235</v>
      </c>
      <c r="B36236">
        <f>TEXT(36235, "[$-0E0000]yyyy-mm-dd")</f>
        <v/>
      </c>
      <c r="C36236" t="inlineStr">
        <is>
          <t>1999-01-30</t>
        </is>
      </c>
    </row>
    <row r="36237">
      <c r="A36237" s="1" t="n">
        <v>36236</v>
      </c>
      <c r="B36237">
        <f>TEXT(36236, "[$-0E0000]yyyy-mm-dd")</f>
        <v/>
      </c>
      <c r="C36237" t="inlineStr">
        <is>
          <t>1999-02-01</t>
        </is>
      </c>
    </row>
    <row r="36238">
      <c r="A36238" s="1" t="n">
        <v>36237</v>
      </c>
      <c r="B36238">
        <f>TEXT(36237, "[$-0E0000]yyyy-mm-dd")</f>
        <v/>
      </c>
      <c r="C36238" t="inlineStr">
        <is>
          <t>1999-02-02</t>
        </is>
      </c>
    </row>
    <row r="36239">
      <c r="A36239" s="1" t="n">
        <v>36238</v>
      </c>
      <c r="B36239">
        <f>TEXT(36238, "[$-0E0000]yyyy-mm-dd")</f>
        <v/>
      </c>
      <c r="C36239" t="inlineStr">
        <is>
          <t>1999-02-03</t>
        </is>
      </c>
    </row>
    <row r="36240">
      <c r="A36240" s="1" t="n">
        <v>36239</v>
      </c>
      <c r="B36240">
        <f>TEXT(36239, "[$-0E0000]yyyy-mm-dd")</f>
        <v/>
      </c>
      <c r="C36240" t="inlineStr">
        <is>
          <t>1999-02-04</t>
        </is>
      </c>
    </row>
    <row r="36241">
      <c r="A36241" s="1" t="n">
        <v>36240</v>
      </c>
      <c r="B36241">
        <f>TEXT(36240, "[$-0E0000]yyyy-mm-dd")</f>
        <v/>
      </c>
      <c r="C36241" t="inlineStr">
        <is>
          <t>1999-02-05</t>
        </is>
      </c>
    </row>
    <row r="36242">
      <c r="A36242" s="1" t="n">
        <v>36241</v>
      </c>
      <c r="B36242">
        <f>TEXT(36241, "[$-0E0000]yyyy-mm-dd")</f>
        <v/>
      </c>
      <c r="C36242" t="inlineStr">
        <is>
          <t>1999-02-06</t>
        </is>
      </c>
    </row>
    <row r="36243">
      <c r="A36243" s="1" t="n">
        <v>36242</v>
      </c>
      <c r="B36243">
        <f>TEXT(36242, "[$-0E0000]yyyy-mm-dd")</f>
        <v/>
      </c>
      <c r="C36243" t="inlineStr">
        <is>
          <t>1999-02-07</t>
        </is>
      </c>
    </row>
    <row r="36244">
      <c r="A36244" s="1" t="n">
        <v>36243</v>
      </c>
      <c r="B36244">
        <f>TEXT(36243, "[$-0E0000]yyyy-mm-dd")</f>
        <v/>
      </c>
      <c r="C36244" t="inlineStr">
        <is>
          <t>1999-02-08</t>
        </is>
      </c>
    </row>
    <row r="36245">
      <c r="A36245" s="1" t="n">
        <v>36244</v>
      </c>
      <c r="B36245">
        <f>TEXT(36244, "[$-0E0000]yyyy-mm-dd")</f>
        <v/>
      </c>
      <c r="C36245" t="inlineStr">
        <is>
          <t>1999-02-09</t>
        </is>
      </c>
    </row>
    <row r="36246">
      <c r="A36246" s="1" t="n">
        <v>36245</v>
      </c>
      <c r="B36246">
        <f>TEXT(36245, "[$-0E0000]yyyy-mm-dd")</f>
        <v/>
      </c>
      <c r="C36246" t="inlineStr">
        <is>
          <t>1999-02-10</t>
        </is>
      </c>
    </row>
    <row r="36247">
      <c r="A36247" s="1" t="n">
        <v>36246</v>
      </c>
      <c r="B36247">
        <f>TEXT(36246, "[$-0E0000]yyyy-mm-dd")</f>
        <v/>
      </c>
      <c r="C36247" t="inlineStr">
        <is>
          <t>1999-02-11</t>
        </is>
      </c>
    </row>
    <row r="36248">
      <c r="A36248" s="1" t="n">
        <v>36247</v>
      </c>
      <c r="B36248">
        <f>TEXT(36247, "[$-0E0000]yyyy-mm-dd")</f>
        <v/>
      </c>
      <c r="C36248" t="inlineStr">
        <is>
          <t>1999-02-12</t>
        </is>
      </c>
    </row>
    <row r="36249">
      <c r="A36249" s="1" t="n">
        <v>36248</v>
      </c>
      <c r="B36249">
        <f>TEXT(36248, "[$-0E0000]yyyy-mm-dd")</f>
        <v/>
      </c>
      <c r="C36249" t="inlineStr">
        <is>
          <t>1999-02-13</t>
        </is>
      </c>
    </row>
    <row r="36250">
      <c r="A36250" s="1" t="n">
        <v>36249</v>
      </c>
      <c r="B36250">
        <f>TEXT(36249, "[$-0E0000]yyyy-mm-dd")</f>
        <v/>
      </c>
      <c r="C36250" t="inlineStr">
        <is>
          <t>1999-02-14</t>
        </is>
      </c>
    </row>
    <row r="36251">
      <c r="A36251" s="1" t="n">
        <v>36250</v>
      </c>
      <c r="B36251">
        <f>TEXT(36250, "[$-0E0000]yyyy-mm-dd")</f>
        <v/>
      </c>
      <c r="C36251" t="inlineStr">
        <is>
          <t>1999-02-15</t>
        </is>
      </c>
    </row>
    <row r="36252">
      <c r="A36252" s="1" t="n">
        <v>36251</v>
      </c>
      <c r="B36252">
        <f>TEXT(36251, "[$-0E0000]yyyy-mm-dd")</f>
        <v/>
      </c>
      <c r="C36252" t="inlineStr">
        <is>
          <t>1999-02-16</t>
        </is>
      </c>
    </row>
    <row r="36253">
      <c r="A36253" s="1" t="n">
        <v>36252</v>
      </c>
      <c r="B36253">
        <f>TEXT(36252, "[$-0E0000]yyyy-mm-dd")</f>
        <v/>
      </c>
      <c r="C36253" t="inlineStr">
        <is>
          <t>1999-02-17</t>
        </is>
      </c>
    </row>
    <row r="36254">
      <c r="A36254" s="1" t="n">
        <v>36253</v>
      </c>
      <c r="B36254">
        <f>TEXT(36253, "[$-0E0000]yyyy-mm-dd")</f>
        <v/>
      </c>
      <c r="C36254" t="inlineStr">
        <is>
          <t>1999-02-18</t>
        </is>
      </c>
    </row>
    <row r="36255">
      <c r="A36255" s="1" t="n">
        <v>36254</v>
      </c>
      <c r="B36255">
        <f>TEXT(36254, "[$-0E0000]yyyy-mm-dd")</f>
        <v/>
      </c>
      <c r="C36255" t="inlineStr">
        <is>
          <t>1999-02-19</t>
        </is>
      </c>
    </row>
    <row r="36256">
      <c r="A36256" s="1" t="n">
        <v>36255</v>
      </c>
      <c r="B36256">
        <f>TEXT(36255, "[$-0E0000]yyyy-mm-dd")</f>
        <v/>
      </c>
      <c r="C36256" t="inlineStr">
        <is>
          <t>1999-02-20</t>
        </is>
      </c>
    </row>
    <row r="36257">
      <c r="A36257" s="1" t="n">
        <v>36256</v>
      </c>
      <c r="B36257">
        <f>TEXT(36256, "[$-0E0000]yyyy-mm-dd")</f>
        <v/>
      </c>
      <c r="C36257" t="inlineStr">
        <is>
          <t>1999-02-21</t>
        </is>
      </c>
    </row>
    <row r="36258">
      <c r="A36258" s="1" t="n">
        <v>36257</v>
      </c>
      <c r="B36258">
        <f>TEXT(36257, "[$-0E0000]yyyy-mm-dd")</f>
        <v/>
      </c>
      <c r="C36258" t="inlineStr">
        <is>
          <t>1999-02-22</t>
        </is>
      </c>
    </row>
    <row r="36259">
      <c r="A36259" s="1" t="n">
        <v>36258</v>
      </c>
      <c r="B36259">
        <f>TEXT(36258, "[$-0E0000]yyyy-mm-dd")</f>
        <v/>
      </c>
      <c r="C36259" t="inlineStr">
        <is>
          <t>1999-02-23</t>
        </is>
      </c>
    </row>
    <row r="36260">
      <c r="A36260" s="1" t="n">
        <v>36259</v>
      </c>
      <c r="B36260">
        <f>TEXT(36259, "[$-0E0000]yyyy-mm-dd")</f>
        <v/>
      </c>
      <c r="C36260" t="inlineStr">
        <is>
          <t>1999-02-24</t>
        </is>
      </c>
    </row>
    <row r="36261">
      <c r="A36261" s="1" t="n">
        <v>36260</v>
      </c>
      <c r="B36261">
        <f>TEXT(36260, "[$-0E0000]yyyy-mm-dd")</f>
        <v/>
      </c>
      <c r="C36261" t="inlineStr">
        <is>
          <t>1999-02-25</t>
        </is>
      </c>
    </row>
    <row r="36262">
      <c r="A36262" s="1" t="n">
        <v>36261</v>
      </c>
      <c r="B36262">
        <f>TEXT(36261, "[$-0E0000]yyyy-mm-dd")</f>
        <v/>
      </c>
      <c r="C36262" t="inlineStr">
        <is>
          <t>1999-02-26</t>
        </is>
      </c>
    </row>
    <row r="36263">
      <c r="A36263" s="1" t="n">
        <v>36262</v>
      </c>
      <c r="B36263">
        <f>TEXT(36262, "[$-0E0000]yyyy-mm-dd")</f>
        <v/>
      </c>
      <c r="C36263" t="inlineStr">
        <is>
          <t>1999-02-27</t>
        </is>
      </c>
    </row>
    <row r="36264">
      <c r="A36264" s="1" t="n">
        <v>36263</v>
      </c>
      <c r="B36264">
        <f>TEXT(36263, "[$-0E0000]yyyy-mm-dd")</f>
        <v/>
      </c>
      <c r="C36264" t="inlineStr">
        <is>
          <t>1999-02-28</t>
        </is>
      </c>
    </row>
    <row r="36265">
      <c r="A36265" s="1" t="n">
        <v>36264</v>
      </c>
      <c r="B36265">
        <f>TEXT(36264, "[$-0E0000]yyyy-mm-dd")</f>
        <v/>
      </c>
      <c r="C36265" t="inlineStr">
        <is>
          <t>1999-02-29</t>
        </is>
      </c>
    </row>
    <row r="36266">
      <c r="A36266" s="1" t="n">
        <v>36265</v>
      </c>
      <c r="B36266">
        <f>TEXT(36265, "[$-0E0000]yyyy-mm-dd")</f>
        <v/>
      </c>
      <c r="C36266" t="inlineStr">
        <is>
          <t>1999-03-01</t>
        </is>
      </c>
    </row>
    <row r="36267">
      <c r="A36267" s="1" t="n">
        <v>36266</v>
      </c>
      <c r="B36267">
        <f>TEXT(36266, "[$-0E0000]yyyy-mm-dd")</f>
        <v/>
      </c>
      <c r="C36267" t="inlineStr">
        <is>
          <t>1999-03-02</t>
        </is>
      </c>
    </row>
    <row r="36268">
      <c r="A36268" s="1" t="n">
        <v>36267</v>
      </c>
      <c r="B36268">
        <f>TEXT(36267, "[$-0E0000]yyyy-mm-dd")</f>
        <v/>
      </c>
      <c r="C36268" t="inlineStr">
        <is>
          <t>1999-03-03</t>
        </is>
      </c>
    </row>
    <row r="36269">
      <c r="A36269" s="1" t="n">
        <v>36268</v>
      </c>
      <c r="B36269">
        <f>TEXT(36268, "[$-0E0000]yyyy-mm-dd")</f>
        <v/>
      </c>
      <c r="C36269" t="inlineStr">
        <is>
          <t>1999-03-04</t>
        </is>
      </c>
    </row>
    <row r="36270">
      <c r="A36270" s="1" t="n">
        <v>36269</v>
      </c>
      <c r="B36270">
        <f>TEXT(36269, "[$-0E0000]yyyy-mm-dd")</f>
        <v/>
      </c>
      <c r="C36270" t="inlineStr">
        <is>
          <t>1999-03-05</t>
        </is>
      </c>
    </row>
    <row r="36271">
      <c r="A36271" s="1" t="n">
        <v>36270</v>
      </c>
      <c r="B36271">
        <f>TEXT(36270, "[$-0E0000]yyyy-mm-dd")</f>
        <v/>
      </c>
      <c r="C36271" t="inlineStr">
        <is>
          <t>1999-03-06</t>
        </is>
      </c>
    </row>
    <row r="36272">
      <c r="A36272" s="1" t="n">
        <v>36271</v>
      </c>
      <c r="B36272">
        <f>TEXT(36271, "[$-0E0000]yyyy-mm-dd")</f>
        <v/>
      </c>
      <c r="C36272" t="inlineStr">
        <is>
          <t>1999-03-07</t>
        </is>
      </c>
    </row>
    <row r="36273">
      <c r="A36273" s="1" t="n">
        <v>36272</v>
      </c>
      <c r="B36273">
        <f>TEXT(36272, "[$-0E0000]yyyy-mm-dd")</f>
        <v/>
      </c>
      <c r="C36273" t="inlineStr">
        <is>
          <t>1999-03-08</t>
        </is>
      </c>
    </row>
    <row r="36274">
      <c r="A36274" s="1" t="n">
        <v>36273</v>
      </c>
      <c r="B36274">
        <f>TEXT(36273, "[$-0E0000]yyyy-mm-dd")</f>
        <v/>
      </c>
      <c r="C36274" t="inlineStr">
        <is>
          <t>1999-03-09</t>
        </is>
      </c>
    </row>
    <row r="36275">
      <c r="A36275" s="1" t="n">
        <v>36274</v>
      </c>
      <c r="B36275">
        <f>TEXT(36274, "[$-0E0000]yyyy-mm-dd")</f>
        <v/>
      </c>
      <c r="C36275" t="inlineStr">
        <is>
          <t>1999-03-10</t>
        </is>
      </c>
    </row>
    <row r="36276">
      <c r="A36276" s="1" t="n">
        <v>36275</v>
      </c>
      <c r="B36276">
        <f>TEXT(36275, "[$-0E0000]yyyy-mm-dd")</f>
        <v/>
      </c>
      <c r="C36276" t="inlineStr">
        <is>
          <t>1999-03-11</t>
        </is>
      </c>
    </row>
    <row r="36277">
      <c r="A36277" s="1" t="n">
        <v>36276</v>
      </c>
      <c r="B36277">
        <f>TEXT(36276, "[$-0E0000]yyyy-mm-dd")</f>
        <v/>
      </c>
      <c r="C36277" t="inlineStr">
        <is>
          <t>1999-03-12</t>
        </is>
      </c>
    </row>
    <row r="36278">
      <c r="A36278" s="1" t="n">
        <v>36277</v>
      </c>
      <c r="B36278">
        <f>TEXT(36277, "[$-0E0000]yyyy-mm-dd")</f>
        <v/>
      </c>
      <c r="C36278" t="inlineStr">
        <is>
          <t>1999-03-13</t>
        </is>
      </c>
    </row>
    <row r="36279">
      <c r="A36279" s="1" t="n">
        <v>36278</v>
      </c>
      <c r="B36279">
        <f>TEXT(36278, "[$-0E0000]yyyy-mm-dd")</f>
        <v/>
      </c>
      <c r="C36279" t="inlineStr">
        <is>
          <t>1999-03-14</t>
        </is>
      </c>
    </row>
    <row r="36280">
      <c r="A36280" s="1" t="n">
        <v>36279</v>
      </c>
      <c r="B36280">
        <f>TEXT(36279, "[$-0E0000]yyyy-mm-dd")</f>
        <v/>
      </c>
      <c r="C36280" t="inlineStr">
        <is>
          <t>1999-03-15</t>
        </is>
      </c>
    </row>
    <row r="36281">
      <c r="A36281" s="1" t="n">
        <v>36280</v>
      </c>
      <c r="B36281">
        <f>TEXT(36280, "[$-0E0000]yyyy-mm-dd")</f>
        <v/>
      </c>
      <c r="C36281" t="inlineStr">
        <is>
          <t>1999-03-16</t>
        </is>
      </c>
    </row>
    <row r="36282">
      <c r="A36282" s="1" t="n">
        <v>36281</v>
      </c>
      <c r="B36282">
        <f>TEXT(36281, "[$-0E0000]yyyy-mm-dd")</f>
        <v/>
      </c>
      <c r="C36282" t="inlineStr">
        <is>
          <t>1999-03-17</t>
        </is>
      </c>
    </row>
    <row r="36283">
      <c r="A36283" s="1" t="n">
        <v>36282</v>
      </c>
      <c r="B36283">
        <f>TEXT(36282, "[$-0E0000]yyyy-mm-dd")</f>
        <v/>
      </c>
      <c r="C36283" t="inlineStr">
        <is>
          <t>1999-03-18</t>
        </is>
      </c>
    </row>
    <row r="36284">
      <c r="A36284" s="1" t="n">
        <v>36283</v>
      </c>
      <c r="B36284">
        <f>TEXT(36283, "[$-0E0000]yyyy-mm-dd")</f>
        <v/>
      </c>
      <c r="C36284" t="inlineStr">
        <is>
          <t>1999-03-19</t>
        </is>
      </c>
    </row>
    <row r="36285">
      <c r="A36285" s="1" t="n">
        <v>36284</v>
      </c>
      <c r="B36285">
        <f>TEXT(36284, "[$-0E0000]yyyy-mm-dd")</f>
        <v/>
      </c>
      <c r="C36285" t="inlineStr">
        <is>
          <t>1999-03-20</t>
        </is>
      </c>
    </row>
    <row r="36286">
      <c r="A36286" s="1" t="n">
        <v>36285</v>
      </c>
      <c r="B36286">
        <f>TEXT(36285, "[$-0E0000]yyyy-mm-dd")</f>
        <v/>
      </c>
      <c r="C36286" t="inlineStr">
        <is>
          <t>1999-03-21</t>
        </is>
      </c>
    </row>
    <row r="36287">
      <c r="A36287" s="1" t="n">
        <v>36286</v>
      </c>
      <c r="B36287">
        <f>TEXT(36286, "[$-0E0000]yyyy-mm-dd")</f>
        <v/>
      </c>
      <c r="C36287" t="inlineStr">
        <is>
          <t>1999-03-22</t>
        </is>
      </c>
    </row>
    <row r="36288">
      <c r="A36288" s="1" t="n">
        <v>36287</v>
      </c>
      <c r="B36288">
        <f>TEXT(36287, "[$-0E0000]yyyy-mm-dd")</f>
        <v/>
      </c>
      <c r="C36288" t="inlineStr">
        <is>
          <t>1999-03-23</t>
        </is>
      </c>
    </row>
    <row r="36289">
      <c r="A36289" s="1" t="n">
        <v>36288</v>
      </c>
      <c r="B36289">
        <f>TEXT(36288, "[$-0E0000]yyyy-mm-dd")</f>
        <v/>
      </c>
      <c r="C36289" t="inlineStr">
        <is>
          <t>1999-03-24</t>
        </is>
      </c>
    </row>
    <row r="36290">
      <c r="A36290" s="1" t="n">
        <v>36289</v>
      </c>
      <c r="B36290">
        <f>TEXT(36289, "[$-0E0000]yyyy-mm-dd")</f>
        <v/>
      </c>
      <c r="C36290" t="inlineStr">
        <is>
          <t>1999-03-25</t>
        </is>
      </c>
    </row>
    <row r="36291">
      <c r="A36291" s="1" t="n">
        <v>36290</v>
      </c>
      <c r="B36291">
        <f>TEXT(36290, "[$-0E0000]yyyy-mm-dd")</f>
        <v/>
      </c>
      <c r="C36291" t="inlineStr">
        <is>
          <t>1999-03-26</t>
        </is>
      </c>
    </row>
    <row r="36292">
      <c r="A36292" s="1" t="n">
        <v>36291</v>
      </c>
      <c r="B36292">
        <f>TEXT(36291, "[$-0E0000]yyyy-mm-dd")</f>
        <v/>
      </c>
      <c r="C36292" t="inlineStr">
        <is>
          <t>1999-03-27</t>
        </is>
      </c>
    </row>
    <row r="36293">
      <c r="A36293" s="1" t="n">
        <v>36292</v>
      </c>
      <c r="B36293">
        <f>TEXT(36292, "[$-0E0000]yyyy-mm-dd")</f>
        <v/>
      </c>
      <c r="C36293" t="inlineStr">
        <is>
          <t>1999-03-28</t>
        </is>
      </c>
    </row>
    <row r="36294">
      <c r="A36294" s="1" t="n">
        <v>36293</v>
      </c>
      <c r="B36294">
        <f>TEXT(36293, "[$-0E0000]yyyy-mm-dd")</f>
        <v/>
      </c>
      <c r="C36294" t="inlineStr">
        <is>
          <t>1999-03-29</t>
        </is>
      </c>
    </row>
    <row r="36295">
      <c r="A36295" s="1" t="n">
        <v>36294</v>
      </c>
      <c r="B36295">
        <f>TEXT(36294, "[$-0E0000]yyyy-mm-dd")</f>
        <v/>
      </c>
      <c r="C36295" t="inlineStr">
        <is>
          <t>1999-04-01</t>
        </is>
      </c>
    </row>
    <row r="36296">
      <c r="A36296" s="1" t="n">
        <v>36295</v>
      </c>
      <c r="B36296">
        <f>TEXT(36295, "[$-0E0000]yyyy-mm-dd")</f>
        <v/>
      </c>
      <c r="C36296" t="inlineStr">
        <is>
          <t>1999-04-02</t>
        </is>
      </c>
    </row>
    <row r="36297">
      <c r="A36297" s="1" t="n">
        <v>36296</v>
      </c>
      <c r="B36297">
        <f>TEXT(36296, "[$-0E0000]yyyy-mm-dd")</f>
        <v/>
      </c>
      <c r="C36297" t="inlineStr">
        <is>
          <t>1999-04-03</t>
        </is>
      </c>
    </row>
    <row r="36298">
      <c r="A36298" s="1" t="n">
        <v>36297</v>
      </c>
      <c r="B36298">
        <f>TEXT(36297, "[$-0E0000]yyyy-mm-dd")</f>
        <v/>
      </c>
      <c r="C36298" t="inlineStr">
        <is>
          <t>1999-04-04</t>
        </is>
      </c>
    </row>
    <row r="36299">
      <c r="A36299" s="1" t="n">
        <v>36298</v>
      </c>
      <c r="B36299">
        <f>TEXT(36298, "[$-0E0000]yyyy-mm-dd")</f>
        <v/>
      </c>
      <c r="C36299" t="inlineStr">
        <is>
          <t>1999-04-05</t>
        </is>
      </c>
    </row>
    <row r="36300">
      <c r="A36300" s="1" t="n">
        <v>36299</v>
      </c>
      <c r="B36300">
        <f>TEXT(36299, "[$-0E0000]yyyy-mm-dd")</f>
        <v/>
      </c>
      <c r="C36300" t="inlineStr">
        <is>
          <t>1999-04-06</t>
        </is>
      </c>
    </row>
    <row r="36301">
      <c r="A36301" s="1" t="n">
        <v>36300</v>
      </c>
      <c r="B36301">
        <f>TEXT(36300, "[$-0E0000]yyyy-mm-dd")</f>
        <v/>
      </c>
      <c r="C36301" t="inlineStr">
        <is>
          <t>1999-04-07</t>
        </is>
      </c>
    </row>
    <row r="36302">
      <c r="A36302" s="1" t="n">
        <v>36301</v>
      </c>
      <c r="B36302">
        <f>TEXT(36301, "[$-0E0000]yyyy-mm-dd")</f>
        <v/>
      </c>
      <c r="C36302" t="inlineStr">
        <is>
          <t>1999-04-08</t>
        </is>
      </c>
    </row>
    <row r="36303">
      <c r="A36303" s="1" t="n">
        <v>36302</v>
      </c>
      <c r="B36303">
        <f>TEXT(36302, "[$-0E0000]yyyy-mm-dd")</f>
        <v/>
      </c>
      <c r="C36303" t="inlineStr">
        <is>
          <t>1999-04-09</t>
        </is>
      </c>
    </row>
    <row r="36304">
      <c r="A36304" s="1" t="n">
        <v>36303</v>
      </c>
      <c r="B36304">
        <f>TEXT(36303, "[$-0E0000]yyyy-mm-dd")</f>
        <v/>
      </c>
      <c r="C36304" t="inlineStr">
        <is>
          <t>1999-04-10</t>
        </is>
      </c>
    </row>
    <row r="36305">
      <c r="A36305" s="1" t="n">
        <v>36304</v>
      </c>
      <c r="B36305">
        <f>TEXT(36304, "[$-0E0000]yyyy-mm-dd")</f>
        <v/>
      </c>
      <c r="C36305" t="inlineStr">
        <is>
          <t>1999-04-11</t>
        </is>
      </c>
    </row>
    <row r="36306">
      <c r="A36306" s="1" t="n">
        <v>36305</v>
      </c>
      <c r="B36306">
        <f>TEXT(36305, "[$-0E0000]yyyy-mm-dd")</f>
        <v/>
      </c>
      <c r="C36306" t="inlineStr">
        <is>
          <t>1999-04-12</t>
        </is>
      </c>
    </row>
    <row r="36307">
      <c r="A36307" s="1" t="n">
        <v>36306</v>
      </c>
      <c r="B36307">
        <f>TEXT(36306, "[$-0E0000]yyyy-mm-dd")</f>
        <v/>
      </c>
      <c r="C36307" t="inlineStr">
        <is>
          <t>1999-04-13</t>
        </is>
      </c>
    </row>
    <row r="36308">
      <c r="A36308" s="1" t="n">
        <v>36307</v>
      </c>
      <c r="B36308">
        <f>TEXT(36307, "[$-0E0000]yyyy-mm-dd")</f>
        <v/>
      </c>
      <c r="C36308" t="inlineStr">
        <is>
          <t>1999-04-14</t>
        </is>
      </c>
    </row>
    <row r="36309">
      <c r="A36309" s="1" t="n">
        <v>36308</v>
      </c>
      <c r="B36309">
        <f>TEXT(36308, "[$-0E0000]yyyy-mm-dd")</f>
        <v/>
      </c>
      <c r="C36309" t="inlineStr">
        <is>
          <t>1999-04-15</t>
        </is>
      </c>
    </row>
    <row r="36310">
      <c r="A36310" s="1" t="n">
        <v>36309</v>
      </c>
      <c r="B36310">
        <f>TEXT(36309, "[$-0E0000]yyyy-mm-dd")</f>
        <v/>
      </c>
      <c r="C36310" t="inlineStr">
        <is>
          <t>1999-04-16</t>
        </is>
      </c>
    </row>
    <row r="36311">
      <c r="A36311" s="1" t="n">
        <v>36310</v>
      </c>
      <c r="B36311">
        <f>TEXT(36310, "[$-0E0000]yyyy-mm-dd")</f>
        <v/>
      </c>
      <c r="C36311" t="inlineStr">
        <is>
          <t>1999-04-17</t>
        </is>
      </c>
    </row>
    <row r="36312">
      <c r="A36312" s="1" t="n">
        <v>36311</v>
      </c>
      <c r="B36312">
        <f>TEXT(36311, "[$-0E0000]yyyy-mm-dd")</f>
        <v/>
      </c>
      <c r="C36312" t="inlineStr">
        <is>
          <t>1999-04-18</t>
        </is>
      </c>
    </row>
    <row r="36313">
      <c r="A36313" s="1" t="n">
        <v>36312</v>
      </c>
      <c r="B36313">
        <f>TEXT(36312, "[$-0E0000]yyyy-mm-dd")</f>
        <v/>
      </c>
      <c r="C36313" t="inlineStr">
        <is>
          <t>1999-04-19</t>
        </is>
      </c>
    </row>
    <row r="36314">
      <c r="A36314" s="1" t="n">
        <v>36313</v>
      </c>
      <c r="B36314">
        <f>TEXT(36313, "[$-0E0000]yyyy-mm-dd")</f>
        <v/>
      </c>
      <c r="C36314" t="inlineStr">
        <is>
          <t>1999-04-20</t>
        </is>
      </c>
    </row>
    <row r="36315">
      <c r="A36315" s="1" t="n">
        <v>36314</v>
      </c>
      <c r="B36315">
        <f>TEXT(36314, "[$-0E0000]yyyy-mm-dd")</f>
        <v/>
      </c>
      <c r="C36315" t="inlineStr">
        <is>
          <t>1999-04-21</t>
        </is>
      </c>
    </row>
    <row r="36316">
      <c r="A36316" s="1" t="n">
        <v>36315</v>
      </c>
      <c r="B36316">
        <f>TEXT(36315, "[$-0E0000]yyyy-mm-dd")</f>
        <v/>
      </c>
      <c r="C36316" t="inlineStr">
        <is>
          <t>1999-04-22</t>
        </is>
      </c>
    </row>
    <row r="36317">
      <c r="A36317" s="1" t="n">
        <v>36316</v>
      </c>
      <c r="B36317">
        <f>TEXT(36316, "[$-0E0000]yyyy-mm-dd")</f>
        <v/>
      </c>
      <c r="C36317" t="inlineStr">
        <is>
          <t>1999-04-23</t>
        </is>
      </c>
    </row>
    <row r="36318">
      <c r="A36318" s="1" t="n">
        <v>36317</v>
      </c>
      <c r="B36318">
        <f>TEXT(36317, "[$-0E0000]yyyy-mm-dd")</f>
        <v/>
      </c>
      <c r="C36318" t="inlineStr">
        <is>
          <t>1999-04-24</t>
        </is>
      </c>
    </row>
    <row r="36319">
      <c r="A36319" s="1" t="n">
        <v>36318</v>
      </c>
      <c r="B36319">
        <f>TEXT(36318, "[$-0E0000]yyyy-mm-dd")</f>
        <v/>
      </c>
      <c r="C36319" t="inlineStr">
        <is>
          <t>1999-04-25</t>
        </is>
      </c>
    </row>
    <row r="36320">
      <c r="A36320" s="1" t="n">
        <v>36319</v>
      </c>
      <c r="B36320">
        <f>TEXT(36319, "[$-0E0000]yyyy-mm-dd")</f>
        <v/>
      </c>
      <c r="C36320" t="inlineStr">
        <is>
          <t>1999-04-26</t>
        </is>
      </c>
    </row>
    <row r="36321">
      <c r="A36321" s="1" t="n">
        <v>36320</v>
      </c>
      <c r="B36321">
        <f>TEXT(36320, "[$-0E0000]yyyy-mm-dd")</f>
        <v/>
      </c>
      <c r="C36321" t="inlineStr">
        <is>
          <t>1999-04-27</t>
        </is>
      </c>
    </row>
    <row r="36322">
      <c r="A36322" s="1" t="n">
        <v>36321</v>
      </c>
      <c r="B36322">
        <f>TEXT(36321, "[$-0E0000]yyyy-mm-dd")</f>
        <v/>
      </c>
      <c r="C36322" t="inlineStr">
        <is>
          <t>1999-04-28</t>
        </is>
      </c>
    </row>
    <row r="36323">
      <c r="A36323" s="1" t="n">
        <v>36322</v>
      </c>
      <c r="B36323">
        <f>TEXT(36322, "[$-0E0000]yyyy-mm-dd")</f>
        <v/>
      </c>
      <c r="C36323" t="inlineStr">
        <is>
          <t>1999-04-29</t>
        </is>
      </c>
    </row>
    <row r="36324">
      <c r="A36324" s="1" t="n">
        <v>36323</v>
      </c>
      <c r="B36324">
        <f>TEXT(36323, "[$-0E0000]yyyy-mm-dd")</f>
        <v/>
      </c>
      <c r="C36324" t="inlineStr">
        <is>
          <t>1999-04-30</t>
        </is>
      </c>
    </row>
    <row r="36325">
      <c r="A36325" s="1" t="n">
        <v>36324</v>
      </c>
      <c r="B36325">
        <f>TEXT(36324, "[$-0E0000]yyyy-mm-dd")</f>
        <v/>
      </c>
      <c r="C36325" t="inlineStr">
        <is>
          <t>1999-05-01</t>
        </is>
      </c>
    </row>
    <row r="36326">
      <c r="A36326" s="1" t="n">
        <v>36325</v>
      </c>
      <c r="B36326">
        <f>TEXT(36325, "[$-0E0000]yyyy-mm-dd")</f>
        <v/>
      </c>
      <c r="C36326" t="inlineStr">
        <is>
          <t>1999-05-02</t>
        </is>
      </c>
    </row>
    <row r="36327">
      <c r="A36327" s="1" t="n">
        <v>36326</v>
      </c>
      <c r="B36327">
        <f>TEXT(36326, "[$-0E0000]yyyy-mm-dd")</f>
        <v/>
      </c>
      <c r="C36327" t="inlineStr">
        <is>
          <t>1999-05-03</t>
        </is>
      </c>
    </row>
    <row r="36328">
      <c r="A36328" s="1" t="n">
        <v>36327</v>
      </c>
      <c r="B36328">
        <f>TEXT(36327, "[$-0E0000]yyyy-mm-dd")</f>
        <v/>
      </c>
      <c r="C36328" t="inlineStr">
        <is>
          <t>1999-05-04</t>
        </is>
      </c>
    </row>
    <row r="36329">
      <c r="A36329" s="1" t="n">
        <v>36328</v>
      </c>
      <c r="B36329">
        <f>TEXT(36328, "[$-0E0000]yyyy-mm-dd")</f>
        <v/>
      </c>
      <c r="C36329" t="inlineStr">
        <is>
          <t>1999-05-05</t>
        </is>
      </c>
    </row>
    <row r="36330">
      <c r="A36330" s="1" t="n">
        <v>36329</v>
      </c>
      <c r="B36330">
        <f>TEXT(36329, "[$-0E0000]yyyy-mm-dd")</f>
        <v/>
      </c>
      <c r="C36330" t="inlineStr">
        <is>
          <t>1999-05-06</t>
        </is>
      </c>
    </row>
    <row r="36331">
      <c r="A36331" s="1" t="n">
        <v>36330</v>
      </c>
      <c r="B36331">
        <f>TEXT(36330, "[$-0E0000]yyyy-mm-dd")</f>
        <v/>
      </c>
      <c r="C36331" t="inlineStr">
        <is>
          <t>1999-05-07</t>
        </is>
      </c>
    </row>
    <row r="36332">
      <c r="A36332" s="1" t="n">
        <v>36331</v>
      </c>
      <c r="B36332">
        <f>TEXT(36331, "[$-0E0000]yyyy-mm-dd")</f>
        <v/>
      </c>
      <c r="C36332" t="inlineStr">
        <is>
          <t>1999-05-08</t>
        </is>
      </c>
    </row>
    <row r="36333">
      <c r="A36333" s="1" t="n">
        <v>36332</v>
      </c>
      <c r="B36333">
        <f>TEXT(36332, "[$-0E0000]yyyy-mm-dd")</f>
        <v/>
      </c>
      <c r="C36333" t="inlineStr">
        <is>
          <t>1999-05-09</t>
        </is>
      </c>
    </row>
    <row r="36334">
      <c r="A36334" s="1" t="n">
        <v>36333</v>
      </c>
      <c r="B36334">
        <f>TEXT(36333, "[$-0E0000]yyyy-mm-dd")</f>
        <v/>
      </c>
      <c r="C36334" t="inlineStr">
        <is>
          <t>1999-05-10</t>
        </is>
      </c>
    </row>
    <row r="36335">
      <c r="A36335" s="1" t="n">
        <v>36334</v>
      </c>
      <c r="B36335">
        <f>TEXT(36334, "[$-0E0000]yyyy-mm-dd")</f>
        <v/>
      </c>
      <c r="C36335" t="inlineStr">
        <is>
          <t>1999-05-11</t>
        </is>
      </c>
    </row>
    <row r="36336">
      <c r="A36336" s="1" t="n">
        <v>36335</v>
      </c>
      <c r="B36336">
        <f>TEXT(36335, "[$-0E0000]yyyy-mm-dd")</f>
        <v/>
      </c>
      <c r="C36336" t="inlineStr">
        <is>
          <t>1999-05-12</t>
        </is>
      </c>
    </row>
    <row r="36337">
      <c r="A36337" s="1" t="n">
        <v>36336</v>
      </c>
      <c r="B36337">
        <f>TEXT(36336, "[$-0E0000]yyyy-mm-dd")</f>
        <v/>
      </c>
      <c r="C36337" t="inlineStr">
        <is>
          <t>1999-05-13</t>
        </is>
      </c>
    </row>
    <row r="36338">
      <c r="A36338" s="1" t="n">
        <v>36337</v>
      </c>
      <c r="B36338">
        <f>TEXT(36337, "[$-0E0000]yyyy-mm-dd")</f>
        <v/>
      </c>
      <c r="C36338" t="inlineStr">
        <is>
          <t>1999-05-14</t>
        </is>
      </c>
    </row>
    <row r="36339">
      <c r="A36339" s="1" t="n">
        <v>36338</v>
      </c>
      <c r="B36339">
        <f>TEXT(36338, "[$-0E0000]yyyy-mm-dd")</f>
        <v/>
      </c>
      <c r="C36339" t="inlineStr">
        <is>
          <t>1999-05-15</t>
        </is>
      </c>
    </row>
    <row r="36340">
      <c r="A36340" s="1" t="n">
        <v>36339</v>
      </c>
      <c r="B36340">
        <f>TEXT(36339, "[$-0E0000]yyyy-mm-dd")</f>
        <v/>
      </c>
      <c r="C36340" t="inlineStr">
        <is>
          <t>1999-05-16</t>
        </is>
      </c>
    </row>
    <row r="36341">
      <c r="A36341" s="1" t="n">
        <v>36340</v>
      </c>
      <c r="B36341">
        <f>TEXT(36340, "[$-0E0000]yyyy-mm-dd")</f>
        <v/>
      </c>
      <c r="C36341" t="inlineStr">
        <is>
          <t>1999-05-17</t>
        </is>
      </c>
    </row>
    <row r="36342">
      <c r="A36342" s="1" t="n">
        <v>36341</v>
      </c>
      <c r="B36342">
        <f>TEXT(36341, "[$-0E0000]yyyy-mm-dd")</f>
        <v/>
      </c>
      <c r="C36342" t="inlineStr">
        <is>
          <t>1999-05-18</t>
        </is>
      </c>
    </row>
    <row r="36343">
      <c r="A36343" s="1" t="n">
        <v>36342</v>
      </c>
      <c r="B36343">
        <f>TEXT(36342, "[$-0E0000]yyyy-mm-dd")</f>
        <v/>
      </c>
      <c r="C36343" t="inlineStr">
        <is>
          <t>1999-05-19</t>
        </is>
      </c>
    </row>
    <row r="36344">
      <c r="A36344" s="1" t="n">
        <v>36343</v>
      </c>
      <c r="B36344">
        <f>TEXT(36343, "[$-0E0000]yyyy-mm-dd")</f>
        <v/>
      </c>
      <c r="C36344" t="inlineStr">
        <is>
          <t>1999-05-20</t>
        </is>
      </c>
    </row>
    <row r="36345">
      <c r="A36345" s="1" t="n">
        <v>36344</v>
      </c>
      <c r="B36345">
        <f>TEXT(36344, "[$-0E0000]yyyy-mm-dd")</f>
        <v/>
      </c>
      <c r="C36345" t="inlineStr">
        <is>
          <t>1999-05-21</t>
        </is>
      </c>
    </row>
    <row r="36346">
      <c r="A36346" s="1" t="n">
        <v>36345</v>
      </c>
      <c r="B36346">
        <f>TEXT(36345, "[$-0E0000]yyyy-mm-dd")</f>
        <v/>
      </c>
      <c r="C36346" t="inlineStr">
        <is>
          <t>1999-05-22</t>
        </is>
      </c>
    </row>
    <row r="36347">
      <c r="A36347" s="1" t="n">
        <v>36346</v>
      </c>
      <c r="B36347">
        <f>TEXT(36346, "[$-0E0000]yyyy-mm-dd")</f>
        <v/>
      </c>
      <c r="C36347" t="inlineStr">
        <is>
          <t>1999-05-23</t>
        </is>
      </c>
    </row>
    <row r="36348">
      <c r="A36348" s="1" t="n">
        <v>36347</v>
      </c>
      <c r="B36348">
        <f>TEXT(36347, "[$-0E0000]yyyy-mm-dd")</f>
        <v/>
      </c>
      <c r="C36348" t="inlineStr">
        <is>
          <t>1999-05-24</t>
        </is>
      </c>
    </row>
    <row r="36349">
      <c r="A36349" s="1" t="n">
        <v>36348</v>
      </c>
      <c r="B36349">
        <f>TEXT(36348, "[$-0E0000]yyyy-mm-dd")</f>
        <v/>
      </c>
      <c r="C36349" t="inlineStr">
        <is>
          <t>1999-05-25</t>
        </is>
      </c>
    </row>
    <row r="36350">
      <c r="A36350" s="1" t="n">
        <v>36349</v>
      </c>
      <c r="B36350">
        <f>TEXT(36349, "[$-0E0000]yyyy-mm-dd")</f>
        <v/>
      </c>
      <c r="C36350" t="inlineStr">
        <is>
          <t>1999-05-26</t>
        </is>
      </c>
    </row>
    <row r="36351">
      <c r="A36351" s="1" t="n">
        <v>36350</v>
      </c>
      <c r="B36351">
        <f>TEXT(36350, "[$-0E0000]yyyy-mm-dd")</f>
        <v/>
      </c>
      <c r="C36351" t="inlineStr">
        <is>
          <t>1999-05-27</t>
        </is>
      </c>
    </row>
    <row r="36352">
      <c r="A36352" s="1" t="n">
        <v>36351</v>
      </c>
      <c r="B36352">
        <f>TEXT(36351, "[$-0E0000]yyyy-mm-dd")</f>
        <v/>
      </c>
      <c r="C36352" t="inlineStr">
        <is>
          <t>1999-05-28</t>
        </is>
      </c>
    </row>
    <row r="36353">
      <c r="A36353" s="1" t="n">
        <v>36352</v>
      </c>
      <c r="B36353">
        <f>TEXT(36352, "[$-0E0000]yyyy-mm-dd")</f>
        <v/>
      </c>
      <c r="C36353" t="inlineStr">
        <is>
          <t>1999-05-29</t>
        </is>
      </c>
    </row>
    <row r="36354">
      <c r="A36354" s="1" t="n">
        <v>36353</v>
      </c>
      <c r="B36354">
        <f>TEXT(36353, "[$-0E0000]yyyy-mm-dd")</f>
        <v/>
      </c>
      <c r="C36354" t="inlineStr">
        <is>
          <t>1999-06-01</t>
        </is>
      </c>
    </row>
    <row r="36355">
      <c r="A36355" s="1" t="n">
        <v>36354</v>
      </c>
      <c r="B36355">
        <f>TEXT(36354, "[$-0E0000]yyyy-mm-dd")</f>
        <v/>
      </c>
      <c r="C36355" t="inlineStr">
        <is>
          <t>1999-06-02</t>
        </is>
      </c>
    </row>
    <row r="36356">
      <c r="A36356" s="1" t="n">
        <v>36355</v>
      </c>
      <c r="B36356">
        <f>TEXT(36355, "[$-0E0000]yyyy-mm-dd")</f>
        <v/>
      </c>
      <c r="C36356" t="inlineStr">
        <is>
          <t>1999-06-03</t>
        </is>
      </c>
    </row>
    <row r="36357">
      <c r="A36357" s="1" t="n">
        <v>36356</v>
      </c>
      <c r="B36357">
        <f>TEXT(36356, "[$-0E0000]yyyy-mm-dd")</f>
        <v/>
      </c>
      <c r="C36357" t="inlineStr">
        <is>
          <t>1999-06-04</t>
        </is>
      </c>
    </row>
    <row r="36358">
      <c r="A36358" s="1" t="n">
        <v>36357</v>
      </c>
      <c r="B36358">
        <f>TEXT(36357, "[$-0E0000]yyyy-mm-dd")</f>
        <v/>
      </c>
      <c r="C36358" t="inlineStr">
        <is>
          <t>1999-06-05</t>
        </is>
      </c>
    </row>
    <row r="36359">
      <c r="A36359" s="1" t="n">
        <v>36358</v>
      </c>
      <c r="B36359">
        <f>TEXT(36358, "[$-0E0000]yyyy-mm-dd")</f>
        <v/>
      </c>
      <c r="C36359" t="inlineStr">
        <is>
          <t>1999-06-06</t>
        </is>
      </c>
    </row>
    <row r="36360">
      <c r="A36360" s="1" t="n">
        <v>36359</v>
      </c>
      <c r="B36360">
        <f>TEXT(36359, "[$-0E0000]yyyy-mm-dd")</f>
        <v/>
      </c>
      <c r="C36360" t="inlineStr">
        <is>
          <t>1999-06-07</t>
        </is>
      </c>
    </row>
    <row r="36361">
      <c r="A36361" s="1" t="n">
        <v>36360</v>
      </c>
      <c r="B36361">
        <f>TEXT(36360, "[$-0E0000]yyyy-mm-dd")</f>
        <v/>
      </c>
      <c r="C36361" t="inlineStr">
        <is>
          <t>1999-06-08</t>
        </is>
      </c>
    </row>
    <row r="36362">
      <c r="A36362" s="1" t="n">
        <v>36361</v>
      </c>
      <c r="B36362">
        <f>TEXT(36361, "[$-0E0000]yyyy-mm-dd")</f>
        <v/>
      </c>
      <c r="C36362" t="inlineStr">
        <is>
          <t>1999-06-09</t>
        </is>
      </c>
    </row>
    <row r="36363">
      <c r="A36363" s="1" t="n">
        <v>36362</v>
      </c>
      <c r="B36363">
        <f>TEXT(36362, "[$-0E0000]yyyy-mm-dd")</f>
        <v/>
      </c>
      <c r="C36363" t="inlineStr">
        <is>
          <t>1999-06-10</t>
        </is>
      </c>
    </row>
    <row r="36364">
      <c r="A36364" s="1" t="n">
        <v>36363</v>
      </c>
      <c r="B36364">
        <f>TEXT(36363, "[$-0E0000]yyyy-mm-dd")</f>
        <v/>
      </c>
      <c r="C36364" t="inlineStr">
        <is>
          <t>1999-06-11</t>
        </is>
      </c>
    </row>
    <row r="36365">
      <c r="A36365" s="1" t="n">
        <v>36364</v>
      </c>
      <c r="B36365">
        <f>TEXT(36364, "[$-0E0000]yyyy-mm-dd")</f>
        <v/>
      </c>
      <c r="C36365" t="inlineStr">
        <is>
          <t>1999-06-12</t>
        </is>
      </c>
    </row>
    <row r="36366">
      <c r="A36366" s="1" t="n">
        <v>36365</v>
      </c>
      <c r="B36366">
        <f>TEXT(36365, "[$-0E0000]yyyy-mm-dd")</f>
        <v/>
      </c>
      <c r="C36366" t="inlineStr">
        <is>
          <t>1999-06-13</t>
        </is>
      </c>
    </row>
    <row r="36367">
      <c r="A36367" s="1" t="n">
        <v>36366</v>
      </c>
      <c r="B36367">
        <f>TEXT(36366, "[$-0E0000]yyyy-mm-dd")</f>
        <v/>
      </c>
      <c r="C36367" t="inlineStr">
        <is>
          <t>1999-06-14</t>
        </is>
      </c>
    </row>
    <row r="36368">
      <c r="A36368" s="1" t="n">
        <v>36367</v>
      </c>
      <c r="B36368">
        <f>TEXT(36367, "[$-0E0000]yyyy-mm-dd")</f>
        <v/>
      </c>
      <c r="C36368" t="inlineStr">
        <is>
          <t>1999-06-15</t>
        </is>
      </c>
    </row>
    <row r="36369">
      <c r="A36369" s="1" t="n">
        <v>36368</v>
      </c>
      <c r="B36369">
        <f>TEXT(36368, "[$-0E0000]yyyy-mm-dd")</f>
        <v/>
      </c>
      <c r="C36369" t="inlineStr">
        <is>
          <t>1999-06-16</t>
        </is>
      </c>
    </row>
    <row r="36370">
      <c r="A36370" s="1" t="n">
        <v>36369</v>
      </c>
      <c r="B36370">
        <f>TEXT(36369, "[$-0E0000]yyyy-mm-dd")</f>
        <v/>
      </c>
      <c r="C36370" t="inlineStr">
        <is>
          <t>1999-06-17</t>
        </is>
      </c>
    </row>
    <row r="36371">
      <c r="A36371" s="1" t="n">
        <v>36370</v>
      </c>
      <c r="B36371">
        <f>TEXT(36370, "[$-0E0000]yyyy-mm-dd")</f>
        <v/>
      </c>
      <c r="C36371" t="inlineStr">
        <is>
          <t>1999-06-18</t>
        </is>
      </c>
    </row>
    <row r="36372">
      <c r="A36372" s="1" t="n">
        <v>36371</v>
      </c>
      <c r="B36372">
        <f>TEXT(36371, "[$-0E0000]yyyy-mm-dd")</f>
        <v/>
      </c>
      <c r="C36372" t="inlineStr">
        <is>
          <t>1999-06-19</t>
        </is>
      </c>
    </row>
    <row r="36373">
      <c r="A36373" s="1" t="n">
        <v>36372</v>
      </c>
      <c r="B36373">
        <f>TEXT(36372, "[$-0E0000]yyyy-mm-dd")</f>
        <v/>
      </c>
      <c r="C36373" t="inlineStr">
        <is>
          <t>1999-06-20</t>
        </is>
      </c>
    </row>
    <row r="36374">
      <c r="A36374" s="1" t="n">
        <v>36373</v>
      </c>
      <c r="B36374">
        <f>TEXT(36373, "[$-0E0000]yyyy-mm-dd")</f>
        <v/>
      </c>
      <c r="C36374" t="inlineStr">
        <is>
          <t>1999-06-21</t>
        </is>
      </c>
    </row>
    <row r="36375">
      <c r="A36375" s="1" t="n">
        <v>36374</v>
      </c>
      <c r="B36375">
        <f>TEXT(36374, "[$-0E0000]yyyy-mm-dd")</f>
        <v/>
      </c>
      <c r="C36375" t="inlineStr">
        <is>
          <t>1999-06-22</t>
        </is>
      </c>
    </row>
    <row r="36376">
      <c r="A36376" s="1" t="n">
        <v>36375</v>
      </c>
      <c r="B36376">
        <f>TEXT(36375, "[$-0E0000]yyyy-mm-dd")</f>
        <v/>
      </c>
      <c r="C36376" t="inlineStr">
        <is>
          <t>1999-06-23</t>
        </is>
      </c>
    </row>
    <row r="36377">
      <c r="A36377" s="1" t="n">
        <v>36376</v>
      </c>
      <c r="B36377">
        <f>TEXT(36376, "[$-0E0000]yyyy-mm-dd")</f>
        <v/>
      </c>
      <c r="C36377" t="inlineStr">
        <is>
          <t>1999-06-24</t>
        </is>
      </c>
    </row>
    <row r="36378">
      <c r="A36378" s="1" t="n">
        <v>36377</v>
      </c>
      <c r="B36378">
        <f>TEXT(36377, "[$-0E0000]yyyy-mm-dd")</f>
        <v/>
      </c>
      <c r="C36378" t="inlineStr">
        <is>
          <t>1999-06-25</t>
        </is>
      </c>
    </row>
    <row r="36379">
      <c r="A36379" s="1" t="n">
        <v>36378</v>
      </c>
      <c r="B36379">
        <f>TEXT(36378, "[$-0E0000]yyyy-mm-dd")</f>
        <v/>
      </c>
      <c r="C36379" t="inlineStr">
        <is>
          <t>1999-06-26</t>
        </is>
      </c>
    </row>
    <row r="36380">
      <c r="A36380" s="1" t="n">
        <v>36379</v>
      </c>
      <c r="B36380">
        <f>TEXT(36379, "[$-0E0000]yyyy-mm-dd")</f>
        <v/>
      </c>
      <c r="C36380" t="inlineStr">
        <is>
          <t>1999-06-27</t>
        </is>
      </c>
    </row>
    <row r="36381">
      <c r="A36381" s="1" t="n">
        <v>36380</v>
      </c>
      <c r="B36381">
        <f>TEXT(36380, "[$-0E0000]yyyy-mm-dd")</f>
        <v/>
      </c>
      <c r="C36381" t="inlineStr">
        <is>
          <t>1999-06-28</t>
        </is>
      </c>
    </row>
    <row r="36382">
      <c r="A36382" s="1" t="n">
        <v>36381</v>
      </c>
      <c r="B36382">
        <f>TEXT(36381, "[$-0E0000]yyyy-mm-dd")</f>
        <v/>
      </c>
      <c r="C36382" t="inlineStr">
        <is>
          <t>1999-06-29</t>
        </is>
      </c>
    </row>
    <row r="36383">
      <c r="A36383" s="1" t="n">
        <v>36382</v>
      </c>
      <c r="B36383">
        <f>TEXT(36382, "[$-0E0000]yyyy-mm-dd")</f>
        <v/>
      </c>
      <c r="C36383" t="inlineStr">
        <is>
          <t>1999-07-01</t>
        </is>
      </c>
    </row>
    <row r="36384">
      <c r="A36384" s="1" t="n">
        <v>36383</v>
      </c>
      <c r="B36384">
        <f>TEXT(36383, "[$-0E0000]yyyy-mm-dd")</f>
        <v/>
      </c>
      <c r="C36384" t="inlineStr">
        <is>
          <t>1999-07-02</t>
        </is>
      </c>
    </row>
    <row r="36385">
      <c r="A36385" s="1" t="n">
        <v>36384</v>
      </c>
      <c r="B36385">
        <f>TEXT(36384, "[$-0E0000]yyyy-mm-dd")</f>
        <v/>
      </c>
      <c r="C36385" t="inlineStr">
        <is>
          <t>1999-07-03</t>
        </is>
      </c>
    </row>
    <row r="36386">
      <c r="A36386" s="1" t="n">
        <v>36385</v>
      </c>
      <c r="B36386">
        <f>TEXT(36385, "[$-0E0000]yyyy-mm-dd")</f>
        <v/>
      </c>
      <c r="C36386" t="inlineStr">
        <is>
          <t>1999-07-04</t>
        </is>
      </c>
    </row>
    <row r="36387">
      <c r="A36387" s="1" t="n">
        <v>36386</v>
      </c>
      <c r="B36387">
        <f>TEXT(36386, "[$-0E0000]yyyy-mm-dd")</f>
        <v/>
      </c>
      <c r="C36387" t="inlineStr">
        <is>
          <t>1999-07-05</t>
        </is>
      </c>
    </row>
    <row r="36388">
      <c r="A36388" s="1" t="n">
        <v>36387</v>
      </c>
      <c r="B36388">
        <f>TEXT(36387, "[$-0E0000]yyyy-mm-dd")</f>
        <v/>
      </c>
      <c r="C36388" t="inlineStr">
        <is>
          <t>1999-07-06</t>
        </is>
      </c>
    </row>
    <row r="36389">
      <c r="A36389" s="1" t="n">
        <v>36388</v>
      </c>
      <c r="B36389">
        <f>TEXT(36388, "[$-0E0000]yyyy-mm-dd")</f>
        <v/>
      </c>
      <c r="C36389" t="inlineStr">
        <is>
          <t>1999-07-07</t>
        </is>
      </c>
    </row>
    <row r="36390">
      <c r="A36390" s="1" t="n">
        <v>36389</v>
      </c>
      <c r="B36390">
        <f>TEXT(36389, "[$-0E0000]yyyy-mm-dd")</f>
        <v/>
      </c>
      <c r="C36390" t="inlineStr">
        <is>
          <t>1999-07-08</t>
        </is>
      </c>
    </row>
    <row r="36391">
      <c r="A36391" s="1" t="n">
        <v>36390</v>
      </c>
      <c r="B36391">
        <f>TEXT(36390, "[$-0E0000]yyyy-mm-dd")</f>
        <v/>
      </c>
      <c r="C36391" t="inlineStr">
        <is>
          <t>1999-07-09</t>
        </is>
      </c>
    </row>
    <row r="36392">
      <c r="A36392" s="1" t="n">
        <v>36391</v>
      </c>
      <c r="B36392">
        <f>TEXT(36391, "[$-0E0000]yyyy-mm-dd")</f>
        <v/>
      </c>
      <c r="C36392" t="inlineStr">
        <is>
          <t>1999-07-10</t>
        </is>
      </c>
    </row>
    <row r="36393">
      <c r="A36393" s="1" t="n">
        <v>36392</v>
      </c>
      <c r="B36393">
        <f>TEXT(36392, "[$-0E0000]yyyy-mm-dd")</f>
        <v/>
      </c>
      <c r="C36393" t="inlineStr">
        <is>
          <t>1999-07-11</t>
        </is>
      </c>
    </row>
    <row r="36394">
      <c r="A36394" s="1" t="n">
        <v>36393</v>
      </c>
      <c r="B36394">
        <f>TEXT(36393, "[$-0E0000]yyyy-mm-dd")</f>
        <v/>
      </c>
      <c r="C36394" t="inlineStr">
        <is>
          <t>1999-07-12</t>
        </is>
      </c>
    </row>
    <row r="36395">
      <c r="A36395" s="1" t="n">
        <v>36394</v>
      </c>
      <c r="B36395">
        <f>TEXT(36394, "[$-0E0000]yyyy-mm-dd")</f>
        <v/>
      </c>
      <c r="C36395" t="inlineStr">
        <is>
          <t>1999-07-13</t>
        </is>
      </c>
    </row>
    <row r="36396">
      <c r="A36396" s="1" t="n">
        <v>36395</v>
      </c>
      <c r="B36396">
        <f>TEXT(36395, "[$-0E0000]yyyy-mm-dd")</f>
        <v/>
      </c>
      <c r="C36396" t="inlineStr">
        <is>
          <t>1999-07-14</t>
        </is>
      </c>
    </row>
    <row r="36397">
      <c r="A36397" s="1" t="n">
        <v>36396</v>
      </c>
      <c r="B36397">
        <f>TEXT(36396, "[$-0E0000]yyyy-mm-dd")</f>
        <v/>
      </c>
      <c r="C36397" t="inlineStr">
        <is>
          <t>1999-07-15</t>
        </is>
      </c>
    </row>
    <row r="36398">
      <c r="A36398" s="1" t="n">
        <v>36397</v>
      </c>
      <c r="B36398">
        <f>TEXT(36397, "[$-0E0000]yyyy-mm-dd")</f>
        <v/>
      </c>
      <c r="C36398" t="inlineStr">
        <is>
          <t>1999-07-16</t>
        </is>
      </c>
    </row>
    <row r="36399">
      <c r="A36399" s="1" t="n">
        <v>36398</v>
      </c>
      <c r="B36399">
        <f>TEXT(36398, "[$-0E0000]yyyy-mm-dd")</f>
        <v/>
      </c>
      <c r="C36399" t="inlineStr">
        <is>
          <t>1999-07-17</t>
        </is>
      </c>
    </row>
    <row r="36400">
      <c r="A36400" s="1" t="n">
        <v>36399</v>
      </c>
      <c r="B36400">
        <f>TEXT(36399, "[$-0E0000]yyyy-mm-dd")</f>
        <v/>
      </c>
      <c r="C36400" t="inlineStr">
        <is>
          <t>1999-07-18</t>
        </is>
      </c>
    </row>
    <row r="36401">
      <c r="A36401" s="1" t="n">
        <v>36400</v>
      </c>
      <c r="B36401">
        <f>TEXT(36400, "[$-0E0000]yyyy-mm-dd")</f>
        <v/>
      </c>
      <c r="C36401" t="inlineStr">
        <is>
          <t>1999-07-19</t>
        </is>
      </c>
    </row>
    <row r="36402">
      <c r="A36402" s="1" t="n">
        <v>36401</v>
      </c>
      <c r="B36402">
        <f>TEXT(36401, "[$-0E0000]yyyy-mm-dd")</f>
        <v/>
      </c>
      <c r="C36402" t="inlineStr">
        <is>
          <t>1999-07-20</t>
        </is>
      </c>
    </row>
    <row r="36403">
      <c r="A36403" s="1" t="n">
        <v>36402</v>
      </c>
      <c r="B36403">
        <f>TEXT(36402, "[$-0E0000]yyyy-mm-dd")</f>
        <v/>
      </c>
      <c r="C36403" t="inlineStr">
        <is>
          <t>1999-07-21</t>
        </is>
      </c>
    </row>
    <row r="36404">
      <c r="A36404" s="1" t="n">
        <v>36403</v>
      </c>
      <c r="B36404">
        <f>TEXT(36403, "[$-0E0000]yyyy-mm-dd")</f>
        <v/>
      </c>
      <c r="C36404" t="inlineStr">
        <is>
          <t>1999-07-22</t>
        </is>
      </c>
    </row>
    <row r="36405">
      <c r="A36405" s="1" t="n">
        <v>36404</v>
      </c>
      <c r="B36405">
        <f>TEXT(36404, "[$-0E0000]yyyy-mm-dd")</f>
        <v/>
      </c>
      <c r="C36405" t="inlineStr">
        <is>
          <t>1999-07-23</t>
        </is>
      </c>
    </row>
    <row r="36406">
      <c r="A36406" s="1" t="n">
        <v>36405</v>
      </c>
      <c r="B36406">
        <f>TEXT(36405, "[$-0E0000]yyyy-mm-dd")</f>
        <v/>
      </c>
      <c r="C36406" t="inlineStr">
        <is>
          <t>1999-07-24</t>
        </is>
      </c>
    </row>
    <row r="36407">
      <c r="A36407" s="1" t="n">
        <v>36406</v>
      </c>
      <c r="B36407">
        <f>TEXT(36406, "[$-0E0000]yyyy-mm-dd")</f>
        <v/>
      </c>
      <c r="C36407" t="inlineStr">
        <is>
          <t>1999-07-25</t>
        </is>
      </c>
    </row>
    <row r="36408">
      <c r="A36408" s="1" t="n">
        <v>36407</v>
      </c>
      <c r="B36408">
        <f>TEXT(36407, "[$-0E0000]yyyy-mm-dd")</f>
        <v/>
      </c>
      <c r="C36408" t="inlineStr">
        <is>
          <t>1999-07-26</t>
        </is>
      </c>
    </row>
    <row r="36409">
      <c r="A36409" s="1" t="n">
        <v>36408</v>
      </c>
      <c r="B36409">
        <f>TEXT(36408, "[$-0E0000]yyyy-mm-dd")</f>
        <v/>
      </c>
      <c r="C36409" t="inlineStr">
        <is>
          <t>1999-07-27</t>
        </is>
      </c>
    </row>
    <row r="36410">
      <c r="A36410" s="1" t="n">
        <v>36409</v>
      </c>
      <c r="B36410">
        <f>TEXT(36409, "[$-0E0000]yyyy-mm-dd")</f>
        <v/>
      </c>
      <c r="C36410" t="inlineStr">
        <is>
          <t>1999-07-28</t>
        </is>
      </c>
    </row>
    <row r="36411">
      <c r="A36411" s="1" t="n">
        <v>36410</v>
      </c>
      <c r="B36411">
        <f>TEXT(36410, "[$-0E0000]yyyy-mm-dd")</f>
        <v/>
      </c>
      <c r="C36411" t="inlineStr">
        <is>
          <t>1999-07-29</t>
        </is>
      </c>
    </row>
    <row r="36412">
      <c r="A36412" s="1" t="n">
        <v>36411</v>
      </c>
      <c r="B36412">
        <f>TEXT(36411, "[$-0E0000]yyyy-mm-dd")</f>
        <v/>
      </c>
      <c r="C36412" t="inlineStr">
        <is>
          <t>1999-07-30</t>
        </is>
      </c>
    </row>
    <row r="36413">
      <c r="A36413" s="1" t="n">
        <v>36412</v>
      </c>
      <c r="B36413">
        <f>TEXT(36412, "[$-0E0000]yyyy-mm-dd")</f>
        <v/>
      </c>
      <c r="C36413" t="inlineStr">
        <is>
          <t>1999-08-01</t>
        </is>
      </c>
    </row>
    <row r="36414">
      <c r="A36414" s="1" t="n">
        <v>36413</v>
      </c>
      <c r="B36414">
        <f>TEXT(36413, "[$-0E0000]yyyy-mm-dd")</f>
        <v/>
      </c>
      <c r="C36414" t="inlineStr">
        <is>
          <t>1999-08-02</t>
        </is>
      </c>
    </row>
    <row r="36415">
      <c r="A36415" s="1" t="n">
        <v>36414</v>
      </c>
      <c r="B36415">
        <f>TEXT(36414, "[$-0E0000]yyyy-mm-dd")</f>
        <v/>
      </c>
      <c r="C36415" t="inlineStr">
        <is>
          <t>1999-08-03</t>
        </is>
      </c>
    </row>
    <row r="36416">
      <c r="A36416" s="1" t="n">
        <v>36415</v>
      </c>
      <c r="B36416">
        <f>TEXT(36415, "[$-0E0000]yyyy-mm-dd")</f>
        <v/>
      </c>
      <c r="C36416" t="inlineStr">
        <is>
          <t>1999-08-04</t>
        </is>
      </c>
    </row>
    <row r="36417">
      <c r="A36417" s="1" t="n">
        <v>36416</v>
      </c>
      <c r="B36417">
        <f>TEXT(36416, "[$-0E0000]yyyy-mm-dd")</f>
        <v/>
      </c>
      <c r="C36417" t="inlineStr">
        <is>
          <t>1999-08-05</t>
        </is>
      </c>
    </row>
    <row r="36418">
      <c r="A36418" s="1" t="n">
        <v>36417</v>
      </c>
      <c r="B36418">
        <f>TEXT(36417, "[$-0E0000]yyyy-mm-dd")</f>
        <v/>
      </c>
      <c r="C36418" t="inlineStr">
        <is>
          <t>1999-08-06</t>
        </is>
      </c>
    </row>
    <row r="36419">
      <c r="A36419" s="1" t="n">
        <v>36418</v>
      </c>
      <c r="B36419">
        <f>TEXT(36418, "[$-0E0000]yyyy-mm-dd")</f>
        <v/>
      </c>
      <c r="C36419" t="inlineStr">
        <is>
          <t>1999-08-07</t>
        </is>
      </c>
    </row>
    <row r="36420">
      <c r="A36420" s="1" t="n">
        <v>36419</v>
      </c>
      <c r="B36420">
        <f>TEXT(36419, "[$-0E0000]yyyy-mm-dd")</f>
        <v/>
      </c>
      <c r="C36420" t="inlineStr">
        <is>
          <t>1999-08-08</t>
        </is>
      </c>
    </row>
    <row r="36421">
      <c r="A36421" s="1" t="n">
        <v>36420</v>
      </c>
      <c r="B36421">
        <f>TEXT(36420, "[$-0E0000]yyyy-mm-dd")</f>
        <v/>
      </c>
      <c r="C36421" t="inlineStr">
        <is>
          <t>1999-08-09</t>
        </is>
      </c>
    </row>
    <row r="36422">
      <c r="A36422" s="1" t="n">
        <v>36421</v>
      </c>
      <c r="B36422">
        <f>TEXT(36421, "[$-0E0000]yyyy-mm-dd")</f>
        <v/>
      </c>
      <c r="C36422" t="inlineStr">
        <is>
          <t>1999-08-10</t>
        </is>
      </c>
    </row>
    <row r="36423">
      <c r="A36423" s="1" t="n">
        <v>36422</v>
      </c>
      <c r="B36423">
        <f>TEXT(36422, "[$-0E0000]yyyy-mm-dd")</f>
        <v/>
      </c>
      <c r="C36423" t="inlineStr">
        <is>
          <t>1999-08-11</t>
        </is>
      </c>
    </row>
    <row r="36424">
      <c r="A36424" s="1" t="n">
        <v>36423</v>
      </c>
      <c r="B36424">
        <f>TEXT(36423, "[$-0E0000]yyyy-mm-dd")</f>
        <v/>
      </c>
      <c r="C36424" t="inlineStr">
        <is>
          <t>1999-08-12</t>
        </is>
      </c>
    </row>
    <row r="36425">
      <c r="A36425" s="1" t="n">
        <v>36424</v>
      </c>
      <c r="B36425">
        <f>TEXT(36424, "[$-0E0000]yyyy-mm-dd")</f>
        <v/>
      </c>
      <c r="C36425" t="inlineStr">
        <is>
          <t>1999-08-13</t>
        </is>
      </c>
    </row>
    <row r="36426">
      <c r="A36426" s="1" t="n">
        <v>36425</v>
      </c>
      <c r="B36426">
        <f>TEXT(36425, "[$-0E0000]yyyy-mm-dd")</f>
        <v/>
      </c>
      <c r="C36426" t="inlineStr">
        <is>
          <t>1999-08-14</t>
        </is>
      </c>
    </row>
    <row r="36427">
      <c r="A36427" s="1" t="n">
        <v>36426</v>
      </c>
      <c r="B36427">
        <f>TEXT(36426, "[$-0E0000]yyyy-mm-dd")</f>
        <v/>
      </c>
      <c r="C36427" t="inlineStr">
        <is>
          <t>1999-08-15</t>
        </is>
      </c>
    </row>
    <row r="36428">
      <c r="A36428" s="1" t="n">
        <v>36427</v>
      </c>
      <c r="B36428">
        <f>TEXT(36427, "[$-0E0000]yyyy-mm-dd")</f>
        <v/>
      </c>
      <c r="C36428" t="inlineStr">
        <is>
          <t>1999-08-16</t>
        </is>
      </c>
    </row>
    <row r="36429">
      <c r="A36429" s="1" t="n">
        <v>36428</v>
      </c>
      <c r="B36429">
        <f>TEXT(36428, "[$-0E0000]yyyy-mm-dd")</f>
        <v/>
      </c>
      <c r="C36429" t="inlineStr">
        <is>
          <t>1999-08-17</t>
        </is>
      </c>
    </row>
    <row r="36430">
      <c r="A36430" s="1" t="n">
        <v>36429</v>
      </c>
      <c r="B36430">
        <f>TEXT(36429, "[$-0E0000]yyyy-mm-dd")</f>
        <v/>
      </c>
      <c r="C36430" t="inlineStr">
        <is>
          <t>1999-08-18</t>
        </is>
      </c>
    </row>
    <row r="36431">
      <c r="A36431" s="1" t="n">
        <v>36430</v>
      </c>
      <c r="B36431">
        <f>TEXT(36430, "[$-0E0000]yyyy-mm-dd")</f>
        <v/>
      </c>
      <c r="C36431" t="inlineStr">
        <is>
          <t>1999-08-19</t>
        </is>
      </c>
    </row>
    <row r="36432">
      <c r="A36432" s="1" t="n">
        <v>36431</v>
      </c>
      <c r="B36432">
        <f>TEXT(36431, "[$-0E0000]yyyy-mm-dd")</f>
        <v/>
      </c>
      <c r="C36432" t="inlineStr">
        <is>
          <t>1999-08-20</t>
        </is>
      </c>
    </row>
    <row r="36433">
      <c r="A36433" s="1" t="n">
        <v>36432</v>
      </c>
      <c r="B36433">
        <f>TEXT(36432, "[$-0E0000]yyyy-mm-dd")</f>
        <v/>
      </c>
      <c r="C36433" t="inlineStr">
        <is>
          <t>1999-08-21</t>
        </is>
      </c>
    </row>
    <row r="36434">
      <c r="A36434" s="1" t="n">
        <v>36433</v>
      </c>
      <c r="B36434">
        <f>TEXT(36433, "[$-0E0000]yyyy-mm-dd")</f>
        <v/>
      </c>
      <c r="C36434" t="inlineStr">
        <is>
          <t>1999-08-22</t>
        </is>
      </c>
    </row>
    <row r="36435">
      <c r="A36435" s="1" t="n">
        <v>36434</v>
      </c>
      <c r="B36435">
        <f>TEXT(36434, "[$-0E0000]yyyy-mm-dd")</f>
        <v/>
      </c>
      <c r="C36435" t="inlineStr">
        <is>
          <t>1999-08-23</t>
        </is>
      </c>
    </row>
    <row r="36436">
      <c r="A36436" s="1" t="n">
        <v>36435</v>
      </c>
      <c r="B36436">
        <f>TEXT(36435, "[$-0E0000]yyyy-mm-dd")</f>
        <v/>
      </c>
      <c r="C36436" t="inlineStr">
        <is>
          <t>1999-08-24</t>
        </is>
      </c>
    </row>
    <row r="36437">
      <c r="A36437" s="1" t="n">
        <v>36436</v>
      </c>
      <c r="B36437">
        <f>TEXT(36436, "[$-0E0000]yyyy-mm-dd")</f>
        <v/>
      </c>
      <c r="C36437" t="inlineStr">
        <is>
          <t>1999-08-25</t>
        </is>
      </c>
    </row>
    <row r="36438">
      <c r="A36438" s="1" t="n">
        <v>36437</v>
      </c>
      <c r="B36438">
        <f>TEXT(36437, "[$-0E0000]yyyy-mm-dd")</f>
        <v/>
      </c>
      <c r="C36438" t="inlineStr">
        <is>
          <t>1999-08-26</t>
        </is>
      </c>
    </row>
    <row r="36439">
      <c r="A36439" s="1" t="n">
        <v>36438</v>
      </c>
      <c r="B36439">
        <f>TEXT(36438, "[$-0E0000]yyyy-mm-dd")</f>
        <v/>
      </c>
      <c r="C36439" t="inlineStr">
        <is>
          <t>1999-08-27</t>
        </is>
      </c>
    </row>
    <row r="36440">
      <c r="A36440" s="1" t="n">
        <v>36439</v>
      </c>
      <c r="B36440">
        <f>TEXT(36439, "[$-0E0000]yyyy-mm-dd")</f>
        <v/>
      </c>
      <c r="C36440" t="inlineStr">
        <is>
          <t>1999-08-28</t>
        </is>
      </c>
    </row>
    <row r="36441">
      <c r="A36441" s="1" t="n">
        <v>36440</v>
      </c>
      <c r="B36441">
        <f>TEXT(36440, "[$-0E0000]yyyy-mm-dd")</f>
        <v/>
      </c>
      <c r="C36441" t="inlineStr">
        <is>
          <t>1999-08-29</t>
        </is>
      </c>
    </row>
    <row r="36442">
      <c r="A36442" s="1" t="n">
        <v>36441</v>
      </c>
      <c r="B36442">
        <f>TEXT(36441, "[$-0E0000]yyyy-mm-dd")</f>
        <v/>
      </c>
      <c r="C36442" t="inlineStr">
        <is>
          <t>1999-09-01</t>
        </is>
      </c>
    </row>
    <row r="36443">
      <c r="A36443" s="1" t="n">
        <v>36442</v>
      </c>
      <c r="B36443">
        <f>TEXT(36442, "[$-0E0000]yyyy-mm-dd")</f>
        <v/>
      </c>
      <c r="C36443" t="inlineStr">
        <is>
          <t>1999-09-02</t>
        </is>
      </c>
    </row>
    <row r="36444">
      <c r="A36444" s="1" t="n">
        <v>36443</v>
      </c>
      <c r="B36444">
        <f>TEXT(36443, "[$-0E0000]yyyy-mm-dd")</f>
        <v/>
      </c>
      <c r="C36444" t="inlineStr">
        <is>
          <t>1999-09-03</t>
        </is>
      </c>
    </row>
    <row r="36445">
      <c r="A36445" s="1" t="n">
        <v>36444</v>
      </c>
      <c r="B36445">
        <f>TEXT(36444, "[$-0E0000]yyyy-mm-dd")</f>
        <v/>
      </c>
      <c r="C36445" t="inlineStr">
        <is>
          <t>1999-09-04</t>
        </is>
      </c>
    </row>
    <row r="36446">
      <c r="A36446" s="1" t="n">
        <v>36445</v>
      </c>
      <c r="B36446">
        <f>TEXT(36445, "[$-0E0000]yyyy-mm-dd")</f>
        <v/>
      </c>
      <c r="C36446" t="inlineStr">
        <is>
          <t>1999-09-05</t>
        </is>
      </c>
    </row>
    <row r="36447">
      <c r="A36447" s="1" t="n">
        <v>36446</v>
      </c>
      <c r="B36447">
        <f>TEXT(36446, "[$-0E0000]yyyy-mm-dd")</f>
        <v/>
      </c>
      <c r="C36447" t="inlineStr">
        <is>
          <t>1999-09-06</t>
        </is>
      </c>
    </row>
    <row r="36448">
      <c r="A36448" s="1" t="n">
        <v>36447</v>
      </c>
      <c r="B36448">
        <f>TEXT(36447, "[$-0E0000]yyyy-mm-dd")</f>
        <v/>
      </c>
      <c r="C36448" t="inlineStr">
        <is>
          <t>1999-09-07</t>
        </is>
      </c>
    </row>
    <row r="36449">
      <c r="A36449" s="1" t="n">
        <v>36448</v>
      </c>
      <c r="B36449">
        <f>TEXT(36448, "[$-0E0000]yyyy-mm-dd")</f>
        <v/>
      </c>
      <c r="C36449" t="inlineStr">
        <is>
          <t>1999-09-08</t>
        </is>
      </c>
    </row>
    <row r="36450">
      <c r="A36450" s="1" t="n">
        <v>36449</v>
      </c>
      <c r="B36450">
        <f>TEXT(36449, "[$-0E0000]yyyy-mm-dd")</f>
        <v/>
      </c>
      <c r="C36450" t="inlineStr">
        <is>
          <t>1999-09-09</t>
        </is>
      </c>
    </row>
    <row r="36451">
      <c r="A36451" s="1" t="n">
        <v>36450</v>
      </c>
      <c r="B36451">
        <f>TEXT(36450, "[$-0E0000]yyyy-mm-dd")</f>
        <v/>
      </c>
      <c r="C36451" t="inlineStr">
        <is>
          <t>1999-09-10</t>
        </is>
      </c>
    </row>
    <row r="36452">
      <c r="A36452" s="1" t="n">
        <v>36451</v>
      </c>
      <c r="B36452">
        <f>TEXT(36451, "[$-0E0000]yyyy-mm-dd")</f>
        <v/>
      </c>
      <c r="C36452" t="inlineStr">
        <is>
          <t>1999-09-11</t>
        </is>
      </c>
    </row>
    <row r="36453">
      <c r="A36453" s="1" t="n">
        <v>36452</v>
      </c>
      <c r="B36453">
        <f>TEXT(36452, "[$-0E0000]yyyy-mm-dd")</f>
        <v/>
      </c>
      <c r="C36453" t="inlineStr">
        <is>
          <t>1999-09-12</t>
        </is>
      </c>
    </row>
    <row r="36454">
      <c r="A36454" s="1" t="n">
        <v>36453</v>
      </c>
      <c r="B36454">
        <f>TEXT(36453, "[$-0E0000]yyyy-mm-dd")</f>
        <v/>
      </c>
      <c r="C36454" t="inlineStr">
        <is>
          <t>1999-09-13</t>
        </is>
      </c>
    </row>
    <row r="36455">
      <c r="A36455" s="1" t="n">
        <v>36454</v>
      </c>
      <c r="B36455">
        <f>TEXT(36454, "[$-0E0000]yyyy-mm-dd")</f>
        <v/>
      </c>
      <c r="C36455" t="inlineStr">
        <is>
          <t>1999-09-14</t>
        </is>
      </c>
    </row>
    <row r="36456">
      <c r="A36456" s="1" t="n">
        <v>36455</v>
      </c>
      <c r="B36456">
        <f>TEXT(36455, "[$-0E0000]yyyy-mm-dd")</f>
        <v/>
      </c>
      <c r="C36456" t="inlineStr">
        <is>
          <t>1999-09-15</t>
        </is>
      </c>
    </row>
    <row r="36457">
      <c r="A36457" s="1" t="n">
        <v>36456</v>
      </c>
      <c r="B36457">
        <f>TEXT(36456, "[$-0E0000]yyyy-mm-dd")</f>
        <v/>
      </c>
      <c r="C36457" t="inlineStr">
        <is>
          <t>1999-09-16</t>
        </is>
      </c>
    </row>
    <row r="36458">
      <c r="A36458" s="1" t="n">
        <v>36457</v>
      </c>
      <c r="B36458">
        <f>TEXT(36457, "[$-0E0000]yyyy-mm-dd")</f>
        <v/>
      </c>
      <c r="C36458" t="inlineStr">
        <is>
          <t>1999-09-17</t>
        </is>
      </c>
    </row>
    <row r="36459">
      <c r="A36459" s="1" t="n">
        <v>36458</v>
      </c>
      <c r="B36459">
        <f>TEXT(36458, "[$-0E0000]yyyy-mm-dd")</f>
        <v/>
      </c>
      <c r="C36459" t="inlineStr">
        <is>
          <t>1999-09-18</t>
        </is>
      </c>
    </row>
    <row r="36460">
      <c r="A36460" s="1" t="n">
        <v>36459</v>
      </c>
      <c r="B36460">
        <f>TEXT(36459, "[$-0E0000]yyyy-mm-dd")</f>
        <v/>
      </c>
      <c r="C36460" t="inlineStr">
        <is>
          <t>1999-09-19</t>
        </is>
      </c>
    </row>
    <row r="36461">
      <c r="A36461" s="1" t="n">
        <v>36460</v>
      </c>
      <c r="B36461">
        <f>TEXT(36460, "[$-0E0000]yyyy-mm-dd")</f>
        <v/>
      </c>
      <c r="C36461" t="inlineStr">
        <is>
          <t>1999-09-20</t>
        </is>
      </c>
    </row>
    <row r="36462">
      <c r="A36462" s="1" t="n">
        <v>36461</v>
      </c>
      <c r="B36462">
        <f>TEXT(36461, "[$-0E0000]yyyy-mm-dd")</f>
        <v/>
      </c>
      <c r="C36462" t="inlineStr">
        <is>
          <t>1999-09-21</t>
        </is>
      </c>
    </row>
    <row r="36463">
      <c r="A36463" s="1" t="n">
        <v>36462</v>
      </c>
      <c r="B36463">
        <f>TEXT(36462, "[$-0E0000]yyyy-mm-dd")</f>
        <v/>
      </c>
      <c r="C36463" t="inlineStr">
        <is>
          <t>1999-09-22</t>
        </is>
      </c>
    </row>
    <row r="36464">
      <c r="A36464" s="1" t="n">
        <v>36463</v>
      </c>
      <c r="B36464">
        <f>TEXT(36463, "[$-0E0000]yyyy-mm-dd")</f>
        <v/>
      </c>
      <c r="C36464" t="inlineStr">
        <is>
          <t>1999-09-23</t>
        </is>
      </c>
    </row>
    <row r="36465">
      <c r="A36465" s="1" t="n">
        <v>36464</v>
      </c>
      <c r="B36465">
        <f>TEXT(36464, "[$-0E0000]yyyy-mm-dd")</f>
        <v/>
      </c>
      <c r="C36465" t="inlineStr">
        <is>
          <t>1999-09-24</t>
        </is>
      </c>
    </row>
    <row r="36466">
      <c r="A36466" s="1" t="n">
        <v>36465</v>
      </c>
      <c r="B36466">
        <f>TEXT(36465, "[$-0E0000]yyyy-mm-dd")</f>
        <v/>
      </c>
      <c r="C36466" t="inlineStr">
        <is>
          <t>1999-09-25</t>
        </is>
      </c>
    </row>
    <row r="36467">
      <c r="A36467" s="1" t="n">
        <v>36466</v>
      </c>
      <c r="B36467">
        <f>TEXT(36466, "[$-0E0000]yyyy-mm-dd")</f>
        <v/>
      </c>
      <c r="C36467" t="inlineStr">
        <is>
          <t>1999-09-26</t>
        </is>
      </c>
    </row>
    <row r="36468">
      <c r="A36468" s="1" t="n">
        <v>36467</v>
      </c>
      <c r="B36468">
        <f>TEXT(36467, "[$-0E0000]yyyy-mm-dd")</f>
        <v/>
      </c>
      <c r="C36468" t="inlineStr">
        <is>
          <t>1999-09-27</t>
        </is>
      </c>
    </row>
    <row r="36469">
      <c r="A36469" s="1" t="n">
        <v>36468</v>
      </c>
      <c r="B36469">
        <f>TEXT(36468, "[$-0E0000]yyyy-mm-dd")</f>
        <v/>
      </c>
      <c r="C36469" t="inlineStr">
        <is>
          <t>1999-09-28</t>
        </is>
      </c>
    </row>
    <row r="36470">
      <c r="A36470" s="1" t="n">
        <v>36469</v>
      </c>
      <c r="B36470">
        <f>TEXT(36469, "[$-0E0000]yyyy-mm-dd")</f>
        <v/>
      </c>
      <c r="C36470" t="inlineStr">
        <is>
          <t>1999-09-29</t>
        </is>
      </c>
    </row>
    <row r="36471">
      <c r="A36471" s="1" t="n">
        <v>36470</v>
      </c>
      <c r="B36471">
        <f>TEXT(36470, "[$-0E0000]yyyy-mm-dd")</f>
        <v/>
      </c>
      <c r="C36471" t="inlineStr">
        <is>
          <t>1999-09-30</t>
        </is>
      </c>
    </row>
    <row r="36472">
      <c r="A36472" s="1" t="n">
        <v>36471</v>
      </c>
      <c r="B36472">
        <f>TEXT(36471, "[$-0E0000]yyyy-mm-dd")</f>
        <v/>
      </c>
      <c r="C36472" t="inlineStr">
        <is>
          <t>1999-10-01</t>
        </is>
      </c>
    </row>
    <row r="36473">
      <c r="A36473" s="1" t="n">
        <v>36472</v>
      </c>
      <c r="B36473">
        <f>TEXT(36472, "[$-0E0000]yyyy-mm-dd")</f>
        <v/>
      </c>
      <c r="C36473" t="inlineStr">
        <is>
          <t>1999-10-02</t>
        </is>
      </c>
    </row>
    <row r="36474">
      <c r="A36474" s="1" t="n">
        <v>36473</v>
      </c>
      <c r="B36474">
        <f>TEXT(36473, "[$-0E0000]yyyy-mm-dd")</f>
        <v/>
      </c>
      <c r="C36474" t="inlineStr">
        <is>
          <t>1999-10-03</t>
        </is>
      </c>
    </row>
    <row r="36475">
      <c r="A36475" s="1" t="n">
        <v>36474</v>
      </c>
      <c r="B36475">
        <f>TEXT(36474, "[$-0E0000]yyyy-mm-dd")</f>
        <v/>
      </c>
      <c r="C36475" t="inlineStr">
        <is>
          <t>1999-10-04</t>
        </is>
      </c>
    </row>
    <row r="36476">
      <c r="A36476" s="1" t="n">
        <v>36475</v>
      </c>
      <c r="B36476">
        <f>TEXT(36475, "[$-0E0000]yyyy-mm-dd")</f>
        <v/>
      </c>
      <c r="C36476" t="inlineStr">
        <is>
          <t>1999-10-05</t>
        </is>
      </c>
    </row>
    <row r="36477">
      <c r="A36477" s="1" t="n">
        <v>36476</v>
      </c>
      <c r="B36477">
        <f>TEXT(36476, "[$-0E0000]yyyy-mm-dd")</f>
        <v/>
      </c>
      <c r="C36477" t="inlineStr">
        <is>
          <t>1999-10-06</t>
        </is>
      </c>
    </row>
    <row r="36478">
      <c r="A36478" s="1" t="n">
        <v>36477</v>
      </c>
      <c r="B36478">
        <f>TEXT(36477, "[$-0E0000]yyyy-mm-dd")</f>
        <v/>
      </c>
      <c r="C36478" t="inlineStr">
        <is>
          <t>1999-10-07</t>
        </is>
      </c>
    </row>
    <row r="36479">
      <c r="A36479" s="1" t="n">
        <v>36478</v>
      </c>
      <c r="B36479">
        <f>TEXT(36478, "[$-0E0000]yyyy-mm-dd")</f>
        <v/>
      </c>
      <c r="C36479" t="inlineStr">
        <is>
          <t>1999-10-08</t>
        </is>
      </c>
    </row>
    <row r="36480">
      <c r="A36480" s="1" t="n">
        <v>36479</v>
      </c>
      <c r="B36480">
        <f>TEXT(36479, "[$-0E0000]yyyy-mm-dd")</f>
        <v/>
      </c>
      <c r="C36480" t="inlineStr">
        <is>
          <t>1999-10-09</t>
        </is>
      </c>
    </row>
    <row r="36481">
      <c r="A36481" s="1" t="n">
        <v>36480</v>
      </c>
      <c r="B36481">
        <f>TEXT(36480, "[$-0E0000]yyyy-mm-dd")</f>
        <v/>
      </c>
      <c r="C36481" t="inlineStr">
        <is>
          <t>1999-10-10</t>
        </is>
      </c>
    </row>
    <row r="36482">
      <c r="A36482" s="1" t="n">
        <v>36481</v>
      </c>
      <c r="B36482">
        <f>TEXT(36481, "[$-0E0000]yyyy-mm-dd")</f>
        <v/>
      </c>
      <c r="C36482" t="inlineStr">
        <is>
          <t>1999-10-11</t>
        </is>
      </c>
    </row>
    <row r="36483">
      <c r="A36483" s="1" t="n">
        <v>36482</v>
      </c>
      <c r="B36483">
        <f>TEXT(36482, "[$-0E0000]yyyy-mm-dd")</f>
        <v/>
      </c>
      <c r="C36483" t="inlineStr">
        <is>
          <t>1999-10-12</t>
        </is>
      </c>
    </row>
    <row r="36484">
      <c r="A36484" s="1" t="n">
        <v>36483</v>
      </c>
      <c r="B36484">
        <f>TEXT(36483, "[$-0E0000]yyyy-mm-dd")</f>
        <v/>
      </c>
      <c r="C36484" t="inlineStr">
        <is>
          <t>1999-10-13</t>
        </is>
      </c>
    </row>
    <row r="36485">
      <c r="A36485" s="1" t="n">
        <v>36484</v>
      </c>
      <c r="B36485">
        <f>TEXT(36484, "[$-0E0000]yyyy-mm-dd")</f>
        <v/>
      </c>
      <c r="C36485" t="inlineStr">
        <is>
          <t>1999-10-14</t>
        </is>
      </c>
    </row>
    <row r="36486">
      <c r="A36486" s="1" t="n">
        <v>36485</v>
      </c>
      <c r="B36486">
        <f>TEXT(36485, "[$-0E0000]yyyy-mm-dd")</f>
        <v/>
      </c>
      <c r="C36486" t="inlineStr">
        <is>
          <t>1999-10-15</t>
        </is>
      </c>
    </row>
    <row r="36487">
      <c r="A36487" s="1" t="n">
        <v>36486</v>
      </c>
      <c r="B36487">
        <f>TEXT(36486, "[$-0E0000]yyyy-mm-dd")</f>
        <v/>
      </c>
      <c r="C36487" t="inlineStr">
        <is>
          <t>1999-10-16</t>
        </is>
      </c>
    </row>
    <row r="36488">
      <c r="A36488" s="1" t="n">
        <v>36487</v>
      </c>
      <c r="B36488">
        <f>TEXT(36487, "[$-0E0000]yyyy-mm-dd")</f>
        <v/>
      </c>
      <c r="C36488" t="inlineStr">
        <is>
          <t>1999-10-17</t>
        </is>
      </c>
    </row>
    <row r="36489">
      <c r="A36489" s="1" t="n">
        <v>36488</v>
      </c>
      <c r="B36489">
        <f>TEXT(36488, "[$-0E0000]yyyy-mm-dd")</f>
        <v/>
      </c>
      <c r="C36489" t="inlineStr">
        <is>
          <t>1999-10-18</t>
        </is>
      </c>
    </row>
    <row r="36490">
      <c r="A36490" s="1" t="n">
        <v>36489</v>
      </c>
      <c r="B36490">
        <f>TEXT(36489, "[$-0E0000]yyyy-mm-dd")</f>
        <v/>
      </c>
      <c r="C36490" t="inlineStr">
        <is>
          <t>1999-10-19</t>
        </is>
      </c>
    </row>
    <row r="36491">
      <c r="A36491" s="1" t="n">
        <v>36490</v>
      </c>
      <c r="B36491">
        <f>TEXT(36490, "[$-0E0000]yyyy-mm-dd")</f>
        <v/>
      </c>
      <c r="C36491" t="inlineStr">
        <is>
          <t>1999-10-20</t>
        </is>
      </c>
    </row>
    <row r="36492">
      <c r="A36492" s="1" t="n">
        <v>36491</v>
      </c>
      <c r="B36492">
        <f>TEXT(36491, "[$-0E0000]yyyy-mm-dd")</f>
        <v/>
      </c>
      <c r="C36492" t="inlineStr">
        <is>
          <t>1999-10-21</t>
        </is>
      </c>
    </row>
    <row r="36493">
      <c r="A36493" s="1" t="n">
        <v>36492</v>
      </c>
      <c r="B36493">
        <f>TEXT(36492, "[$-0E0000]yyyy-mm-dd")</f>
        <v/>
      </c>
      <c r="C36493" t="inlineStr">
        <is>
          <t>1999-10-22</t>
        </is>
      </c>
    </row>
    <row r="36494">
      <c r="A36494" s="1" t="n">
        <v>36493</v>
      </c>
      <c r="B36494">
        <f>TEXT(36493, "[$-0E0000]yyyy-mm-dd")</f>
        <v/>
      </c>
      <c r="C36494" t="inlineStr">
        <is>
          <t>1999-10-23</t>
        </is>
      </c>
    </row>
    <row r="36495">
      <c r="A36495" s="1" t="n">
        <v>36494</v>
      </c>
      <c r="B36495">
        <f>TEXT(36494, "[$-0E0000]yyyy-mm-dd")</f>
        <v/>
      </c>
      <c r="C36495" t="inlineStr">
        <is>
          <t>1999-10-24</t>
        </is>
      </c>
    </row>
    <row r="36496">
      <c r="A36496" s="1" t="n">
        <v>36495</v>
      </c>
      <c r="B36496">
        <f>TEXT(36495, "[$-0E0000]yyyy-mm-dd")</f>
        <v/>
      </c>
      <c r="C36496" t="inlineStr">
        <is>
          <t>1999-10-25</t>
        </is>
      </c>
    </row>
    <row r="36497">
      <c r="A36497" s="1" t="n">
        <v>36496</v>
      </c>
      <c r="B36497">
        <f>TEXT(36496, "[$-0E0000]yyyy-mm-dd")</f>
        <v/>
      </c>
      <c r="C36497" t="inlineStr">
        <is>
          <t>1999-10-26</t>
        </is>
      </c>
    </row>
    <row r="36498">
      <c r="A36498" s="1" t="n">
        <v>36497</v>
      </c>
      <c r="B36498">
        <f>TEXT(36497, "[$-0E0000]yyyy-mm-dd")</f>
        <v/>
      </c>
      <c r="C36498" t="inlineStr">
        <is>
          <t>1999-10-27</t>
        </is>
      </c>
    </row>
    <row r="36499">
      <c r="A36499" s="1" t="n">
        <v>36498</v>
      </c>
      <c r="B36499">
        <f>TEXT(36498, "[$-0E0000]yyyy-mm-dd")</f>
        <v/>
      </c>
      <c r="C36499" t="inlineStr">
        <is>
          <t>1999-10-28</t>
        </is>
      </c>
    </row>
    <row r="36500">
      <c r="A36500" s="1" t="n">
        <v>36499</v>
      </c>
      <c r="B36500">
        <f>TEXT(36499, "[$-0E0000]yyyy-mm-dd")</f>
        <v/>
      </c>
      <c r="C36500" t="inlineStr">
        <is>
          <t>1999-10-29</t>
        </is>
      </c>
    </row>
    <row r="36501">
      <c r="A36501" s="1" t="n">
        <v>36500</v>
      </c>
      <c r="B36501">
        <f>TEXT(36500, "[$-0E0000]yyyy-mm-dd")</f>
        <v/>
      </c>
      <c r="C36501" t="inlineStr">
        <is>
          <t>1999-10-30</t>
        </is>
      </c>
    </row>
    <row r="36502">
      <c r="A36502" s="1" t="n">
        <v>36501</v>
      </c>
      <c r="B36502">
        <f>TEXT(36501, "[$-0E0000]yyyy-mm-dd")</f>
        <v/>
      </c>
      <c r="C36502" t="inlineStr">
        <is>
          <t>1999-11-01</t>
        </is>
      </c>
    </row>
    <row r="36503">
      <c r="A36503" s="1" t="n">
        <v>36502</v>
      </c>
      <c r="B36503">
        <f>TEXT(36502, "[$-0E0000]yyyy-mm-dd")</f>
        <v/>
      </c>
      <c r="C36503" t="inlineStr">
        <is>
          <t>1999-11-02</t>
        </is>
      </c>
    </row>
    <row r="36504">
      <c r="A36504" s="1" t="n">
        <v>36503</v>
      </c>
      <c r="B36504">
        <f>TEXT(36503, "[$-0E0000]yyyy-mm-dd")</f>
        <v/>
      </c>
      <c r="C36504" t="inlineStr">
        <is>
          <t>1999-11-03</t>
        </is>
      </c>
    </row>
    <row r="36505">
      <c r="A36505" s="1" t="n">
        <v>36504</v>
      </c>
      <c r="B36505">
        <f>TEXT(36504, "[$-0E0000]yyyy-mm-dd")</f>
        <v/>
      </c>
      <c r="C36505" t="inlineStr">
        <is>
          <t>1999-11-04</t>
        </is>
      </c>
    </row>
    <row r="36506">
      <c r="A36506" s="1" t="n">
        <v>36505</v>
      </c>
      <c r="B36506">
        <f>TEXT(36505, "[$-0E0000]yyyy-mm-dd")</f>
        <v/>
      </c>
      <c r="C36506" t="inlineStr">
        <is>
          <t>1999-11-05</t>
        </is>
      </c>
    </row>
    <row r="36507">
      <c r="A36507" s="1" t="n">
        <v>36506</v>
      </c>
      <c r="B36507">
        <f>TEXT(36506, "[$-0E0000]yyyy-mm-dd")</f>
        <v/>
      </c>
      <c r="C36507" t="inlineStr">
        <is>
          <t>1999-11-06</t>
        </is>
      </c>
    </row>
    <row r="36508">
      <c r="A36508" s="1" t="n">
        <v>36507</v>
      </c>
      <c r="B36508">
        <f>TEXT(36507, "[$-0E0000]yyyy-mm-dd")</f>
        <v/>
      </c>
      <c r="C36508" t="inlineStr">
        <is>
          <t>1999-11-07</t>
        </is>
      </c>
    </row>
    <row r="36509">
      <c r="A36509" s="1" t="n">
        <v>36508</v>
      </c>
      <c r="B36509">
        <f>TEXT(36508, "[$-0E0000]yyyy-mm-dd")</f>
        <v/>
      </c>
      <c r="C36509" t="inlineStr">
        <is>
          <t>1999-11-08</t>
        </is>
      </c>
    </row>
    <row r="36510">
      <c r="A36510" s="1" t="n">
        <v>36509</v>
      </c>
      <c r="B36510">
        <f>TEXT(36509, "[$-0E0000]yyyy-mm-dd")</f>
        <v/>
      </c>
      <c r="C36510" t="inlineStr">
        <is>
          <t>1999-11-09</t>
        </is>
      </c>
    </row>
    <row r="36511">
      <c r="A36511" s="1" t="n">
        <v>36510</v>
      </c>
      <c r="B36511">
        <f>TEXT(36510, "[$-0E0000]yyyy-mm-dd")</f>
        <v/>
      </c>
      <c r="C36511" t="inlineStr">
        <is>
          <t>1999-11-10</t>
        </is>
      </c>
    </row>
    <row r="36512">
      <c r="A36512" s="1" t="n">
        <v>36511</v>
      </c>
      <c r="B36512">
        <f>TEXT(36511, "[$-0E0000]yyyy-mm-dd")</f>
        <v/>
      </c>
      <c r="C36512" t="inlineStr">
        <is>
          <t>1999-11-11</t>
        </is>
      </c>
    </row>
    <row r="36513">
      <c r="A36513" s="1" t="n">
        <v>36512</v>
      </c>
      <c r="B36513">
        <f>TEXT(36512, "[$-0E0000]yyyy-mm-dd")</f>
        <v/>
      </c>
      <c r="C36513" t="inlineStr">
        <is>
          <t>1999-11-12</t>
        </is>
      </c>
    </row>
    <row r="36514">
      <c r="A36514" s="1" t="n">
        <v>36513</v>
      </c>
      <c r="B36514">
        <f>TEXT(36513, "[$-0E0000]yyyy-mm-dd")</f>
        <v/>
      </c>
      <c r="C36514" t="inlineStr">
        <is>
          <t>1999-11-13</t>
        </is>
      </c>
    </row>
    <row r="36515">
      <c r="A36515" s="1" t="n">
        <v>36514</v>
      </c>
      <c r="B36515">
        <f>TEXT(36514, "[$-0E0000]yyyy-mm-dd")</f>
        <v/>
      </c>
      <c r="C36515" t="inlineStr">
        <is>
          <t>1999-11-14</t>
        </is>
      </c>
    </row>
    <row r="36516">
      <c r="A36516" s="1" t="n">
        <v>36515</v>
      </c>
      <c r="B36516">
        <f>TEXT(36515, "[$-0E0000]yyyy-mm-dd")</f>
        <v/>
      </c>
      <c r="C36516" t="inlineStr">
        <is>
          <t>1999-11-15</t>
        </is>
      </c>
    </row>
    <row r="36517">
      <c r="A36517" s="1" t="n">
        <v>36516</v>
      </c>
      <c r="B36517">
        <f>TEXT(36516, "[$-0E0000]yyyy-mm-dd")</f>
        <v/>
      </c>
      <c r="C36517" t="inlineStr">
        <is>
          <t>1999-11-16</t>
        </is>
      </c>
    </row>
    <row r="36518">
      <c r="A36518" s="1" t="n">
        <v>36517</v>
      </c>
      <c r="B36518">
        <f>TEXT(36517, "[$-0E0000]yyyy-mm-dd")</f>
        <v/>
      </c>
      <c r="C36518" t="inlineStr">
        <is>
          <t>1999-11-17</t>
        </is>
      </c>
    </row>
    <row r="36519">
      <c r="A36519" s="1" t="n">
        <v>36518</v>
      </c>
      <c r="B36519">
        <f>TEXT(36518, "[$-0E0000]yyyy-mm-dd")</f>
        <v/>
      </c>
      <c r="C36519" t="inlineStr">
        <is>
          <t>1999-11-18</t>
        </is>
      </c>
    </row>
    <row r="36520">
      <c r="A36520" s="1" t="n">
        <v>36519</v>
      </c>
      <c r="B36520">
        <f>TEXT(36519, "[$-0E0000]yyyy-mm-dd")</f>
        <v/>
      </c>
      <c r="C36520" t="inlineStr">
        <is>
          <t>1999-11-19</t>
        </is>
      </c>
    </row>
    <row r="36521">
      <c r="A36521" s="1" t="n">
        <v>36520</v>
      </c>
      <c r="B36521">
        <f>TEXT(36520, "[$-0E0000]yyyy-mm-dd")</f>
        <v/>
      </c>
      <c r="C36521" t="inlineStr">
        <is>
          <t>1999-11-20</t>
        </is>
      </c>
    </row>
    <row r="36522">
      <c r="A36522" s="1" t="n">
        <v>36521</v>
      </c>
      <c r="B36522">
        <f>TEXT(36521, "[$-0E0000]yyyy-mm-dd")</f>
        <v/>
      </c>
      <c r="C36522" t="inlineStr">
        <is>
          <t>1999-11-21</t>
        </is>
      </c>
    </row>
    <row r="36523">
      <c r="A36523" s="1" t="n">
        <v>36522</v>
      </c>
      <c r="B36523">
        <f>TEXT(36522, "[$-0E0000]yyyy-mm-dd")</f>
        <v/>
      </c>
      <c r="C36523" t="inlineStr">
        <is>
          <t>1999-11-22</t>
        </is>
      </c>
    </row>
    <row r="36524">
      <c r="A36524" s="1" t="n">
        <v>36523</v>
      </c>
      <c r="B36524">
        <f>TEXT(36523, "[$-0E0000]yyyy-mm-dd")</f>
        <v/>
      </c>
      <c r="C36524" t="inlineStr">
        <is>
          <t>1999-11-23</t>
        </is>
      </c>
    </row>
    <row r="36525">
      <c r="A36525" s="1" t="n">
        <v>36524</v>
      </c>
      <c r="B36525">
        <f>TEXT(36524, "[$-0E0000]yyyy-mm-dd")</f>
        <v/>
      </c>
      <c r="C36525" t="inlineStr">
        <is>
          <t>1999-11-24</t>
        </is>
      </c>
    </row>
    <row r="36526">
      <c r="A36526" s="1" t="n">
        <v>36525</v>
      </c>
      <c r="B36526">
        <f>TEXT(36525, "[$-0E0000]yyyy-mm-dd")</f>
        <v/>
      </c>
      <c r="C36526" t="inlineStr">
        <is>
          <t>1999-11-25</t>
        </is>
      </c>
    </row>
    <row r="36527">
      <c r="A36527" s="1" t="n">
        <v>36526</v>
      </c>
      <c r="B36527">
        <f>TEXT(36526, "[$-0E0000]yyyy-mm-dd")</f>
        <v/>
      </c>
      <c r="C36527" t="inlineStr">
        <is>
          <t>1999-11-26</t>
        </is>
      </c>
    </row>
    <row r="36528">
      <c r="A36528" s="1" t="n">
        <v>36527</v>
      </c>
      <c r="B36528">
        <f>TEXT(36527, "[$-0E0000]yyyy-mm-dd")</f>
        <v/>
      </c>
      <c r="C36528" t="inlineStr">
        <is>
          <t>1999-11-27</t>
        </is>
      </c>
    </row>
    <row r="36529">
      <c r="A36529" s="1" t="n">
        <v>36528</v>
      </c>
      <c r="B36529">
        <f>TEXT(36528, "[$-0E0000]yyyy-mm-dd")</f>
        <v/>
      </c>
      <c r="C36529" t="inlineStr">
        <is>
          <t>1999-11-28</t>
        </is>
      </c>
    </row>
    <row r="36530">
      <c r="A36530" s="1" t="n">
        <v>36529</v>
      </c>
      <c r="B36530">
        <f>TEXT(36529, "[$-0E0000]yyyy-mm-dd")</f>
        <v/>
      </c>
      <c r="C36530" t="inlineStr">
        <is>
          <t>1999-11-29</t>
        </is>
      </c>
    </row>
    <row r="36531">
      <c r="A36531" s="1" t="n">
        <v>36530</v>
      </c>
      <c r="B36531">
        <f>TEXT(36530, "[$-0E0000]yyyy-mm-dd")</f>
        <v/>
      </c>
      <c r="C36531" t="inlineStr">
        <is>
          <t>1999-11-30</t>
        </is>
      </c>
    </row>
    <row r="36532">
      <c r="A36532" s="1" t="n">
        <v>36531</v>
      </c>
      <c r="B36532">
        <f>TEXT(36531, "[$-0E0000]yyyy-mm-dd")</f>
        <v/>
      </c>
      <c r="C36532" t="inlineStr">
        <is>
          <t>1999-12-01</t>
        </is>
      </c>
    </row>
    <row r="36533">
      <c r="A36533" s="1" t="n">
        <v>36532</v>
      </c>
      <c r="B36533">
        <f>TEXT(36532, "[$-0E0000]yyyy-mm-dd")</f>
        <v/>
      </c>
      <c r="C36533" t="inlineStr">
        <is>
          <t>1999-12-02</t>
        </is>
      </c>
    </row>
    <row r="36534">
      <c r="A36534" s="1" t="n">
        <v>36533</v>
      </c>
      <c r="B36534">
        <f>TEXT(36533, "[$-0E0000]yyyy-mm-dd")</f>
        <v/>
      </c>
      <c r="C36534" t="inlineStr">
        <is>
          <t>1999-12-03</t>
        </is>
      </c>
    </row>
    <row r="36535">
      <c r="A36535" s="1" t="n">
        <v>36534</v>
      </c>
      <c r="B36535">
        <f>TEXT(36534, "[$-0E0000]yyyy-mm-dd")</f>
        <v/>
      </c>
      <c r="C36535" t="inlineStr">
        <is>
          <t>1999-12-04</t>
        </is>
      </c>
    </row>
    <row r="36536">
      <c r="A36536" s="1" t="n">
        <v>36535</v>
      </c>
      <c r="B36536">
        <f>TEXT(36535, "[$-0E0000]yyyy-mm-dd")</f>
        <v/>
      </c>
      <c r="C36536" t="inlineStr">
        <is>
          <t>1999-12-05</t>
        </is>
      </c>
    </row>
    <row r="36537">
      <c r="A36537" s="1" t="n">
        <v>36536</v>
      </c>
      <c r="B36537">
        <f>TEXT(36536, "[$-0E0000]yyyy-mm-dd")</f>
        <v/>
      </c>
      <c r="C36537" t="inlineStr">
        <is>
          <t>1999-12-06</t>
        </is>
      </c>
    </row>
    <row r="36538">
      <c r="A36538" s="1" t="n">
        <v>36537</v>
      </c>
      <c r="B36538">
        <f>TEXT(36537, "[$-0E0000]yyyy-mm-dd")</f>
        <v/>
      </c>
      <c r="C36538" t="inlineStr">
        <is>
          <t>1999-12-07</t>
        </is>
      </c>
    </row>
    <row r="36539">
      <c r="A36539" s="1" t="n">
        <v>36538</v>
      </c>
      <c r="B36539">
        <f>TEXT(36538, "[$-0E0000]yyyy-mm-dd")</f>
        <v/>
      </c>
      <c r="C36539" t="inlineStr">
        <is>
          <t>1999-12-08</t>
        </is>
      </c>
    </row>
    <row r="36540">
      <c r="A36540" s="1" t="n">
        <v>36539</v>
      </c>
      <c r="B36540">
        <f>TEXT(36539, "[$-0E0000]yyyy-mm-dd")</f>
        <v/>
      </c>
      <c r="C36540" t="inlineStr">
        <is>
          <t>1999-12-09</t>
        </is>
      </c>
    </row>
    <row r="36541">
      <c r="A36541" s="1" t="n">
        <v>36540</v>
      </c>
      <c r="B36541">
        <f>TEXT(36540, "[$-0E0000]yyyy-mm-dd")</f>
        <v/>
      </c>
      <c r="C36541" t="inlineStr">
        <is>
          <t>1999-12-10</t>
        </is>
      </c>
    </row>
    <row r="36542">
      <c r="A36542" s="1" t="n">
        <v>36541</v>
      </c>
      <c r="B36542">
        <f>TEXT(36541, "[$-0E0000]yyyy-mm-dd")</f>
        <v/>
      </c>
      <c r="C36542" t="inlineStr">
        <is>
          <t>1999-12-11</t>
        </is>
      </c>
    </row>
    <row r="36543">
      <c r="A36543" s="1" t="n">
        <v>36542</v>
      </c>
      <c r="B36543">
        <f>TEXT(36542, "[$-0E0000]yyyy-mm-dd")</f>
        <v/>
      </c>
      <c r="C36543" t="inlineStr">
        <is>
          <t>1999-12-12</t>
        </is>
      </c>
    </row>
    <row r="36544">
      <c r="A36544" s="1" t="n">
        <v>36543</v>
      </c>
      <c r="B36544">
        <f>TEXT(36543, "[$-0E0000]yyyy-mm-dd")</f>
        <v/>
      </c>
      <c r="C36544" t="inlineStr">
        <is>
          <t>1999-12-13</t>
        </is>
      </c>
    </row>
    <row r="36545">
      <c r="A36545" s="1" t="n">
        <v>36544</v>
      </c>
      <c r="B36545">
        <f>TEXT(36544, "[$-0E0000]yyyy-mm-dd")</f>
        <v/>
      </c>
      <c r="C36545" t="inlineStr">
        <is>
          <t>1999-12-14</t>
        </is>
      </c>
    </row>
    <row r="36546">
      <c r="A36546" s="1" t="n">
        <v>36545</v>
      </c>
      <c r="B36546">
        <f>TEXT(36545, "[$-0E0000]yyyy-mm-dd")</f>
        <v/>
      </c>
      <c r="C36546" t="inlineStr">
        <is>
          <t>1999-12-15</t>
        </is>
      </c>
    </row>
    <row r="36547">
      <c r="A36547" s="1" t="n">
        <v>36546</v>
      </c>
      <c r="B36547">
        <f>TEXT(36546, "[$-0E0000]yyyy-mm-dd")</f>
        <v/>
      </c>
      <c r="C36547" t="inlineStr">
        <is>
          <t>1999-12-16</t>
        </is>
      </c>
    </row>
    <row r="36548">
      <c r="A36548" s="1" t="n">
        <v>36547</v>
      </c>
      <c r="B36548">
        <f>TEXT(36547, "[$-0E0000]yyyy-mm-dd")</f>
        <v/>
      </c>
      <c r="C36548" t="inlineStr">
        <is>
          <t>1999-12-17</t>
        </is>
      </c>
    </row>
    <row r="36549">
      <c r="A36549" s="1" t="n">
        <v>36548</v>
      </c>
      <c r="B36549">
        <f>TEXT(36548, "[$-0E0000]yyyy-mm-dd")</f>
        <v/>
      </c>
      <c r="C36549" t="inlineStr">
        <is>
          <t>1999-12-18</t>
        </is>
      </c>
    </row>
    <row r="36550">
      <c r="A36550" s="1" t="n">
        <v>36549</v>
      </c>
      <c r="B36550">
        <f>TEXT(36549, "[$-0E0000]yyyy-mm-dd")</f>
        <v/>
      </c>
      <c r="C36550" t="inlineStr">
        <is>
          <t>1999-12-19</t>
        </is>
      </c>
    </row>
    <row r="36551">
      <c r="A36551" s="1" t="n">
        <v>36550</v>
      </c>
      <c r="B36551">
        <f>TEXT(36550, "[$-0E0000]yyyy-mm-dd")</f>
        <v/>
      </c>
      <c r="C36551" t="inlineStr">
        <is>
          <t>1999-12-20</t>
        </is>
      </c>
    </row>
    <row r="36552">
      <c r="A36552" s="1" t="n">
        <v>36551</v>
      </c>
      <c r="B36552">
        <f>TEXT(36551, "[$-0E0000]yyyy-mm-dd")</f>
        <v/>
      </c>
      <c r="C36552" t="inlineStr">
        <is>
          <t>1999-12-21</t>
        </is>
      </c>
    </row>
    <row r="36553">
      <c r="A36553" s="1" t="n">
        <v>36552</v>
      </c>
      <c r="B36553">
        <f>TEXT(36552, "[$-0E0000]yyyy-mm-dd")</f>
        <v/>
      </c>
      <c r="C36553" t="inlineStr">
        <is>
          <t>1999-12-22</t>
        </is>
      </c>
    </row>
    <row r="36554">
      <c r="A36554" s="1" t="n">
        <v>36553</v>
      </c>
      <c r="B36554">
        <f>TEXT(36553, "[$-0E0000]yyyy-mm-dd")</f>
        <v/>
      </c>
      <c r="C36554" t="inlineStr">
        <is>
          <t>1999-12-23</t>
        </is>
      </c>
    </row>
    <row r="36555">
      <c r="A36555" s="1" t="n">
        <v>36554</v>
      </c>
      <c r="B36555">
        <f>TEXT(36554, "[$-0E0000]yyyy-mm-dd")</f>
        <v/>
      </c>
      <c r="C36555" t="inlineStr">
        <is>
          <t>1999-12-24</t>
        </is>
      </c>
    </row>
    <row r="36556">
      <c r="A36556" s="1" t="n">
        <v>36555</v>
      </c>
      <c r="B36556">
        <f>TEXT(36555, "[$-0E0000]yyyy-mm-dd")</f>
        <v/>
      </c>
      <c r="C36556" t="inlineStr">
        <is>
          <t>1999-12-25</t>
        </is>
      </c>
    </row>
    <row r="36557">
      <c r="A36557" s="1" t="n">
        <v>36556</v>
      </c>
      <c r="B36557">
        <f>TEXT(36556, "[$-0E0000]yyyy-mm-dd")</f>
        <v/>
      </c>
      <c r="C36557" t="inlineStr">
        <is>
          <t>1999-12-26</t>
        </is>
      </c>
    </row>
    <row r="36558">
      <c r="A36558" s="1" t="n">
        <v>36557</v>
      </c>
      <c r="B36558">
        <f>TEXT(36557, "[$-0E0000]yyyy-mm-dd")</f>
        <v/>
      </c>
      <c r="C36558" t="inlineStr">
        <is>
          <t>1999-12-27</t>
        </is>
      </c>
    </row>
    <row r="36559">
      <c r="A36559" s="1" t="n">
        <v>36558</v>
      </c>
      <c r="B36559">
        <f>TEXT(36558, "[$-0E0000]yyyy-mm-dd")</f>
        <v/>
      </c>
      <c r="C36559" t="inlineStr">
        <is>
          <t>1999-12-28</t>
        </is>
      </c>
    </row>
    <row r="36560">
      <c r="A36560" s="1" t="n">
        <v>36559</v>
      </c>
      <c r="B36560">
        <f>TEXT(36559, "[$-0E0000]yyyy-mm-dd")</f>
        <v/>
      </c>
      <c r="C36560" t="inlineStr">
        <is>
          <t>1999-12-29</t>
        </is>
      </c>
    </row>
    <row r="36561">
      <c r="A36561" s="1" t="n">
        <v>36560</v>
      </c>
      <c r="B36561">
        <f>TEXT(36560, "[$-0E0000]yyyy-mm-dd")</f>
        <v/>
      </c>
      <c r="C36561" t="inlineStr">
        <is>
          <t>2000-01-01</t>
        </is>
      </c>
    </row>
    <row r="36562">
      <c r="A36562" s="1" t="n">
        <v>36561</v>
      </c>
      <c r="B36562">
        <f>TEXT(36561, "[$-0E0000]yyyy-mm-dd")</f>
        <v/>
      </c>
      <c r="C36562" t="inlineStr">
        <is>
          <t>2000-01-02</t>
        </is>
      </c>
    </row>
    <row r="36563">
      <c r="A36563" s="1" t="n">
        <v>36562</v>
      </c>
      <c r="B36563">
        <f>TEXT(36562, "[$-0E0000]yyyy-mm-dd")</f>
        <v/>
      </c>
      <c r="C36563" t="inlineStr">
        <is>
          <t>2000-01-03</t>
        </is>
      </c>
    </row>
    <row r="36564">
      <c r="A36564" s="1" t="n">
        <v>36563</v>
      </c>
      <c r="B36564">
        <f>TEXT(36563, "[$-0E0000]yyyy-mm-dd")</f>
        <v/>
      </c>
      <c r="C36564" t="inlineStr">
        <is>
          <t>2000-01-04</t>
        </is>
      </c>
    </row>
    <row r="36565">
      <c r="A36565" s="1" t="n">
        <v>36564</v>
      </c>
      <c r="B36565">
        <f>TEXT(36564, "[$-0E0000]yyyy-mm-dd")</f>
        <v/>
      </c>
      <c r="C36565" t="inlineStr">
        <is>
          <t>2000-01-05</t>
        </is>
      </c>
    </row>
    <row r="36566">
      <c r="A36566" s="1" t="n">
        <v>36565</v>
      </c>
      <c r="B36566">
        <f>TEXT(36565, "[$-0E0000]yyyy-mm-dd")</f>
        <v/>
      </c>
      <c r="C36566" t="inlineStr">
        <is>
          <t>2000-01-06</t>
        </is>
      </c>
    </row>
    <row r="36567">
      <c r="A36567" s="1" t="n">
        <v>36566</v>
      </c>
      <c r="B36567">
        <f>TEXT(36566, "[$-0E0000]yyyy-mm-dd")</f>
        <v/>
      </c>
      <c r="C36567" t="inlineStr">
        <is>
          <t>2000-01-07</t>
        </is>
      </c>
    </row>
    <row r="36568">
      <c r="A36568" s="1" t="n">
        <v>36567</v>
      </c>
      <c r="B36568">
        <f>TEXT(36567, "[$-0E0000]yyyy-mm-dd")</f>
        <v/>
      </c>
      <c r="C36568" t="inlineStr">
        <is>
          <t>2000-01-08</t>
        </is>
      </c>
    </row>
    <row r="36569">
      <c r="A36569" s="1" t="n">
        <v>36568</v>
      </c>
      <c r="B36569">
        <f>TEXT(36568, "[$-0E0000]yyyy-mm-dd")</f>
        <v/>
      </c>
      <c r="C36569" t="inlineStr">
        <is>
          <t>2000-01-09</t>
        </is>
      </c>
    </row>
    <row r="36570">
      <c r="A36570" s="1" t="n">
        <v>36569</v>
      </c>
      <c r="B36570">
        <f>TEXT(36569, "[$-0E0000]yyyy-mm-dd")</f>
        <v/>
      </c>
      <c r="C36570" t="inlineStr">
        <is>
          <t>2000-01-10</t>
        </is>
      </c>
    </row>
    <row r="36571">
      <c r="A36571" s="1" t="n">
        <v>36570</v>
      </c>
      <c r="B36571">
        <f>TEXT(36570, "[$-0E0000]yyyy-mm-dd")</f>
        <v/>
      </c>
      <c r="C36571" t="inlineStr">
        <is>
          <t>2000-01-11</t>
        </is>
      </c>
    </row>
    <row r="36572">
      <c r="A36572" s="1" t="n">
        <v>36571</v>
      </c>
      <c r="B36572">
        <f>TEXT(36571, "[$-0E0000]yyyy-mm-dd")</f>
        <v/>
      </c>
      <c r="C36572" t="inlineStr">
        <is>
          <t>2000-01-12</t>
        </is>
      </c>
    </row>
    <row r="36573">
      <c r="A36573" s="1" t="n">
        <v>36572</v>
      </c>
      <c r="B36573">
        <f>TEXT(36572, "[$-0E0000]yyyy-mm-dd")</f>
        <v/>
      </c>
      <c r="C36573" t="inlineStr">
        <is>
          <t>2000-01-13</t>
        </is>
      </c>
    </row>
    <row r="36574">
      <c r="A36574" s="1" t="n">
        <v>36573</v>
      </c>
      <c r="B36574">
        <f>TEXT(36573, "[$-0E0000]yyyy-mm-dd")</f>
        <v/>
      </c>
      <c r="C36574" t="inlineStr">
        <is>
          <t>2000-01-14</t>
        </is>
      </c>
    </row>
    <row r="36575">
      <c r="A36575" s="1" t="n">
        <v>36574</v>
      </c>
      <c r="B36575">
        <f>TEXT(36574, "[$-0E0000]yyyy-mm-dd")</f>
        <v/>
      </c>
      <c r="C36575" t="inlineStr">
        <is>
          <t>2000-01-15</t>
        </is>
      </c>
    </row>
    <row r="36576">
      <c r="A36576" s="1" t="n">
        <v>36575</v>
      </c>
      <c r="B36576">
        <f>TEXT(36575, "[$-0E0000]yyyy-mm-dd")</f>
        <v/>
      </c>
      <c r="C36576" t="inlineStr">
        <is>
          <t>2000-01-16</t>
        </is>
      </c>
    </row>
    <row r="36577">
      <c r="A36577" s="1" t="n">
        <v>36576</v>
      </c>
      <c r="B36577">
        <f>TEXT(36576, "[$-0E0000]yyyy-mm-dd")</f>
        <v/>
      </c>
      <c r="C36577" t="inlineStr">
        <is>
          <t>2000-01-17</t>
        </is>
      </c>
    </row>
    <row r="36578">
      <c r="A36578" s="1" t="n">
        <v>36577</v>
      </c>
      <c r="B36578">
        <f>TEXT(36577, "[$-0E0000]yyyy-mm-dd")</f>
        <v/>
      </c>
      <c r="C36578" t="inlineStr">
        <is>
          <t>2000-01-18</t>
        </is>
      </c>
    </row>
    <row r="36579">
      <c r="A36579" s="1" t="n">
        <v>36578</v>
      </c>
      <c r="B36579">
        <f>TEXT(36578, "[$-0E0000]yyyy-mm-dd")</f>
        <v/>
      </c>
      <c r="C36579" t="inlineStr">
        <is>
          <t>2000-01-19</t>
        </is>
      </c>
    </row>
    <row r="36580">
      <c r="A36580" s="1" t="n">
        <v>36579</v>
      </c>
      <c r="B36580">
        <f>TEXT(36579, "[$-0E0000]yyyy-mm-dd")</f>
        <v/>
      </c>
      <c r="C36580" t="inlineStr">
        <is>
          <t>2000-01-20</t>
        </is>
      </c>
    </row>
    <row r="36581">
      <c r="A36581" s="1" t="n">
        <v>36580</v>
      </c>
      <c r="B36581">
        <f>TEXT(36580, "[$-0E0000]yyyy-mm-dd")</f>
        <v/>
      </c>
      <c r="C36581" t="inlineStr">
        <is>
          <t>2000-01-21</t>
        </is>
      </c>
    </row>
    <row r="36582">
      <c r="A36582" s="1" t="n">
        <v>36581</v>
      </c>
      <c r="B36582">
        <f>TEXT(36581, "[$-0E0000]yyyy-mm-dd")</f>
        <v/>
      </c>
      <c r="C36582" t="inlineStr">
        <is>
          <t>2000-01-22</t>
        </is>
      </c>
    </row>
    <row r="36583">
      <c r="A36583" s="1" t="n">
        <v>36582</v>
      </c>
      <c r="B36583">
        <f>TEXT(36582, "[$-0E0000]yyyy-mm-dd")</f>
        <v/>
      </c>
      <c r="C36583" t="inlineStr">
        <is>
          <t>2000-01-23</t>
        </is>
      </c>
    </row>
    <row r="36584">
      <c r="A36584" s="1" t="n">
        <v>36583</v>
      </c>
      <c r="B36584">
        <f>TEXT(36583, "[$-0E0000]yyyy-mm-dd")</f>
        <v/>
      </c>
      <c r="C36584" t="inlineStr">
        <is>
          <t>2000-01-24</t>
        </is>
      </c>
    </row>
    <row r="36585">
      <c r="A36585" s="1" t="n">
        <v>36584</v>
      </c>
      <c r="B36585">
        <f>TEXT(36584, "[$-0E0000]yyyy-mm-dd")</f>
        <v/>
      </c>
      <c r="C36585" t="inlineStr">
        <is>
          <t>2000-01-25</t>
        </is>
      </c>
    </row>
    <row r="36586">
      <c r="A36586" s="1" t="n">
        <v>36585</v>
      </c>
      <c r="B36586">
        <f>TEXT(36585, "[$-0E0000]yyyy-mm-dd")</f>
        <v/>
      </c>
      <c r="C36586" t="inlineStr">
        <is>
          <t>2000-01-26</t>
        </is>
      </c>
    </row>
    <row r="36587">
      <c r="A36587" s="1" t="n">
        <v>36586</v>
      </c>
      <c r="B36587">
        <f>TEXT(36586, "[$-0E0000]yyyy-mm-dd")</f>
        <v/>
      </c>
      <c r="C36587" t="inlineStr">
        <is>
          <t>2000-01-27</t>
        </is>
      </c>
    </row>
    <row r="36588">
      <c r="A36588" s="1" t="n">
        <v>36587</v>
      </c>
      <c r="B36588">
        <f>TEXT(36587, "[$-0E0000]yyyy-mm-dd")</f>
        <v/>
      </c>
      <c r="C36588" t="inlineStr">
        <is>
          <t>2000-01-28</t>
        </is>
      </c>
    </row>
    <row r="36589">
      <c r="A36589" s="1" t="n">
        <v>36588</v>
      </c>
      <c r="B36589">
        <f>TEXT(36588, "[$-0E0000]yyyy-mm-dd")</f>
        <v/>
      </c>
      <c r="C36589" t="inlineStr">
        <is>
          <t>2000-01-29</t>
        </is>
      </c>
    </row>
    <row r="36590">
      <c r="A36590" s="1" t="n">
        <v>36589</v>
      </c>
      <c r="B36590">
        <f>TEXT(36589, "[$-0E0000]yyyy-mm-dd")</f>
        <v/>
      </c>
      <c r="C36590" t="inlineStr">
        <is>
          <t>2000-01-30</t>
        </is>
      </c>
    </row>
    <row r="36591">
      <c r="A36591" s="1" t="n">
        <v>36590</v>
      </c>
      <c r="B36591">
        <f>TEXT(36590, "[$-0E0000]yyyy-mm-dd")</f>
        <v/>
      </c>
      <c r="C36591" t="inlineStr">
        <is>
          <t>2000-02-01</t>
        </is>
      </c>
    </row>
    <row r="36592">
      <c r="A36592" s="1" t="n">
        <v>36591</v>
      </c>
      <c r="B36592">
        <f>TEXT(36591, "[$-0E0000]yyyy-mm-dd")</f>
        <v/>
      </c>
      <c r="C36592" t="inlineStr">
        <is>
          <t>2000-02-02</t>
        </is>
      </c>
    </row>
    <row r="36593">
      <c r="A36593" s="1" t="n">
        <v>36592</v>
      </c>
      <c r="B36593">
        <f>TEXT(36592, "[$-0E0000]yyyy-mm-dd")</f>
        <v/>
      </c>
      <c r="C36593" t="inlineStr">
        <is>
          <t>2000-02-03</t>
        </is>
      </c>
    </row>
    <row r="36594">
      <c r="A36594" s="1" t="n">
        <v>36593</v>
      </c>
      <c r="B36594">
        <f>TEXT(36593, "[$-0E0000]yyyy-mm-dd")</f>
        <v/>
      </c>
      <c r="C36594" t="inlineStr">
        <is>
          <t>2000-02-04</t>
        </is>
      </c>
    </row>
    <row r="36595">
      <c r="A36595" s="1" t="n">
        <v>36594</v>
      </c>
      <c r="B36595">
        <f>TEXT(36594, "[$-0E0000]yyyy-mm-dd")</f>
        <v/>
      </c>
      <c r="C36595" t="inlineStr">
        <is>
          <t>2000-02-05</t>
        </is>
      </c>
    </row>
    <row r="36596">
      <c r="A36596" s="1" t="n">
        <v>36595</v>
      </c>
      <c r="B36596">
        <f>TEXT(36595, "[$-0E0000]yyyy-mm-dd")</f>
        <v/>
      </c>
      <c r="C36596" t="inlineStr">
        <is>
          <t>2000-02-06</t>
        </is>
      </c>
    </row>
    <row r="36597">
      <c r="A36597" s="1" t="n">
        <v>36596</v>
      </c>
      <c r="B36597">
        <f>TEXT(36596, "[$-0E0000]yyyy-mm-dd")</f>
        <v/>
      </c>
      <c r="C36597" t="inlineStr">
        <is>
          <t>2000-02-07</t>
        </is>
      </c>
    </row>
    <row r="36598">
      <c r="A36598" s="1" t="n">
        <v>36597</v>
      </c>
      <c r="B36598">
        <f>TEXT(36597, "[$-0E0000]yyyy-mm-dd")</f>
        <v/>
      </c>
      <c r="C36598" t="inlineStr">
        <is>
          <t>2000-02-08</t>
        </is>
      </c>
    </row>
    <row r="36599">
      <c r="A36599" s="1" t="n">
        <v>36598</v>
      </c>
      <c r="B36599">
        <f>TEXT(36598, "[$-0E0000]yyyy-mm-dd")</f>
        <v/>
      </c>
      <c r="C36599" t="inlineStr">
        <is>
          <t>2000-02-09</t>
        </is>
      </c>
    </row>
    <row r="36600">
      <c r="A36600" s="1" t="n">
        <v>36599</v>
      </c>
      <c r="B36600">
        <f>TEXT(36599, "[$-0E0000]yyyy-mm-dd")</f>
        <v/>
      </c>
      <c r="C36600" t="inlineStr">
        <is>
          <t>2000-02-10</t>
        </is>
      </c>
    </row>
    <row r="36601">
      <c r="A36601" s="1" t="n">
        <v>36600</v>
      </c>
      <c r="B36601">
        <f>TEXT(36600, "[$-0E0000]yyyy-mm-dd")</f>
        <v/>
      </c>
      <c r="C36601" t="inlineStr">
        <is>
          <t>2000-02-11</t>
        </is>
      </c>
    </row>
    <row r="36602">
      <c r="A36602" s="1" t="n">
        <v>36601</v>
      </c>
      <c r="B36602">
        <f>TEXT(36601, "[$-0E0000]yyyy-mm-dd")</f>
        <v/>
      </c>
      <c r="C36602" t="inlineStr">
        <is>
          <t>2000-02-12</t>
        </is>
      </c>
    </row>
    <row r="36603">
      <c r="A36603" s="1" t="n">
        <v>36602</v>
      </c>
      <c r="B36603">
        <f>TEXT(36602, "[$-0E0000]yyyy-mm-dd")</f>
        <v/>
      </c>
      <c r="C36603" t="inlineStr">
        <is>
          <t>2000-02-13</t>
        </is>
      </c>
    </row>
    <row r="36604">
      <c r="A36604" s="1" t="n">
        <v>36603</v>
      </c>
      <c r="B36604">
        <f>TEXT(36603, "[$-0E0000]yyyy-mm-dd")</f>
        <v/>
      </c>
      <c r="C36604" t="inlineStr">
        <is>
          <t>2000-02-14</t>
        </is>
      </c>
    </row>
    <row r="36605">
      <c r="A36605" s="1" t="n">
        <v>36604</v>
      </c>
      <c r="B36605">
        <f>TEXT(36604, "[$-0E0000]yyyy-mm-dd")</f>
        <v/>
      </c>
      <c r="C36605" t="inlineStr">
        <is>
          <t>2000-02-15</t>
        </is>
      </c>
    </row>
    <row r="36606">
      <c r="A36606" s="1" t="n">
        <v>36605</v>
      </c>
      <c r="B36606">
        <f>TEXT(36605, "[$-0E0000]yyyy-mm-dd")</f>
        <v/>
      </c>
      <c r="C36606" t="inlineStr">
        <is>
          <t>2000-02-16</t>
        </is>
      </c>
    </row>
    <row r="36607">
      <c r="A36607" s="1" t="n">
        <v>36606</v>
      </c>
      <c r="B36607">
        <f>TEXT(36606, "[$-0E0000]yyyy-mm-dd")</f>
        <v/>
      </c>
      <c r="C36607" t="inlineStr">
        <is>
          <t>2000-02-17</t>
        </is>
      </c>
    </row>
    <row r="36608">
      <c r="A36608" s="1" t="n">
        <v>36607</v>
      </c>
      <c r="B36608">
        <f>TEXT(36607, "[$-0E0000]yyyy-mm-dd")</f>
        <v/>
      </c>
      <c r="C36608" t="inlineStr">
        <is>
          <t>2000-02-18</t>
        </is>
      </c>
    </row>
    <row r="36609">
      <c r="A36609" s="1" t="n">
        <v>36608</v>
      </c>
      <c r="B36609">
        <f>TEXT(36608, "[$-0E0000]yyyy-mm-dd")</f>
        <v/>
      </c>
      <c r="C36609" t="inlineStr">
        <is>
          <t>2000-02-19</t>
        </is>
      </c>
    </row>
    <row r="36610">
      <c r="A36610" s="1" t="n">
        <v>36609</v>
      </c>
      <c r="B36610">
        <f>TEXT(36609, "[$-0E0000]yyyy-mm-dd")</f>
        <v/>
      </c>
      <c r="C36610" t="inlineStr">
        <is>
          <t>2000-02-20</t>
        </is>
      </c>
    </row>
    <row r="36611">
      <c r="A36611" s="1" t="n">
        <v>36610</v>
      </c>
      <c r="B36611">
        <f>TEXT(36610, "[$-0E0000]yyyy-mm-dd")</f>
        <v/>
      </c>
      <c r="C36611" t="inlineStr">
        <is>
          <t>2000-02-21</t>
        </is>
      </c>
    </row>
    <row r="36612">
      <c r="A36612" s="1" t="n">
        <v>36611</v>
      </c>
      <c r="B36612">
        <f>TEXT(36611, "[$-0E0000]yyyy-mm-dd")</f>
        <v/>
      </c>
      <c r="C36612" t="inlineStr">
        <is>
          <t>2000-02-22</t>
        </is>
      </c>
    </row>
    <row r="36613">
      <c r="A36613" s="1" t="n">
        <v>36612</v>
      </c>
      <c r="B36613">
        <f>TEXT(36612, "[$-0E0000]yyyy-mm-dd")</f>
        <v/>
      </c>
      <c r="C36613" t="inlineStr">
        <is>
          <t>2000-02-23</t>
        </is>
      </c>
    </row>
    <row r="36614">
      <c r="A36614" s="1" t="n">
        <v>36613</v>
      </c>
      <c r="B36614">
        <f>TEXT(36613, "[$-0E0000]yyyy-mm-dd")</f>
        <v/>
      </c>
      <c r="C36614" t="inlineStr">
        <is>
          <t>2000-02-24</t>
        </is>
      </c>
    </row>
    <row r="36615">
      <c r="A36615" s="1" t="n">
        <v>36614</v>
      </c>
      <c r="B36615">
        <f>TEXT(36614, "[$-0E0000]yyyy-mm-dd")</f>
        <v/>
      </c>
      <c r="C36615" t="inlineStr">
        <is>
          <t>2000-02-25</t>
        </is>
      </c>
    </row>
    <row r="36616">
      <c r="A36616" s="1" t="n">
        <v>36615</v>
      </c>
      <c r="B36616">
        <f>TEXT(36615, "[$-0E0000]yyyy-mm-dd")</f>
        <v/>
      </c>
      <c r="C36616" t="inlineStr">
        <is>
          <t>2000-02-26</t>
        </is>
      </c>
    </row>
    <row r="36617">
      <c r="A36617" s="1" t="n">
        <v>36616</v>
      </c>
      <c r="B36617">
        <f>TEXT(36616, "[$-0E0000]yyyy-mm-dd")</f>
        <v/>
      </c>
      <c r="C36617" t="inlineStr">
        <is>
          <t>2000-02-27</t>
        </is>
      </c>
    </row>
    <row r="36618">
      <c r="A36618" s="1" t="n">
        <v>36617</v>
      </c>
      <c r="B36618">
        <f>TEXT(36617, "[$-0E0000]yyyy-mm-dd")</f>
        <v/>
      </c>
      <c r="C36618" t="inlineStr">
        <is>
          <t>2000-02-28</t>
        </is>
      </c>
    </row>
    <row r="36619">
      <c r="A36619" s="1" t="n">
        <v>36618</v>
      </c>
      <c r="B36619">
        <f>TEXT(36618, "[$-0E0000]yyyy-mm-dd")</f>
        <v/>
      </c>
      <c r="C36619" t="inlineStr">
        <is>
          <t>2000-02-29</t>
        </is>
      </c>
    </row>
    <row r="36620">
      <c r="A36620" s="1" t="n">
        <v>36619</v>
      </c>
      <c r="B36620">
        <f>TEXT(36619, "[$-0E0000]yyyy-mm-dd")</f>
        <v/>
      </c>
      <c r="C36620" t="inlineStr">
        <is>
          <t>2000-02-30</t>
        </is>
      </c>
    </row>
    <row r="36621">
      <c r="A36621" s="1" t="n">
        <v>36620</v>
      </c>
      <c r="B36621">
        <f>TEXT(36620, "[$-0E0000]yyyy-mm-dd")</f>
        <v/>
      </c>
      <c r="C36621" t="inlineStr">
        <is>
          <t>2000-03-01</t>
        </is>
      </c>
    </row>
    <row r="36622">
      <c r="A36622" s="1" t="n">
        <v>36621</v>
      </c>
      <c r="B36622">
        <f>TEXT(36621, "[$-0E0000]yyyy-mm-dd")</f>
        <v/>
      </c>
      <c r="C36622" t="inlineStr">
        <is>
          <t>2000-03-02</t>
        </is>
      </c>
    </row>
    <row r="36623">
      <c r="A36623" s="1" t="n">
        <v>36622</v>
      </c>
      <c r="B36623">
        <f>TEXT(36622, "[$-0E0000]yyyy-mm-dd")</f>
        <v/>
      </c>
      <c r="C36623" t="inlineStr">
        <is>
          <t>2000-03-03</t>
        </is>
      </c>
    </row>
    <row r="36624">
      <c r="A36624" s="1" t="n">
        <v>36623</v>
      </c>
      <c r="B36624">
        <f>TEXT(36623, "[$-0E0000]yyyy-mm-dd")</f>
        <v/>
      </c>
      <c r="C36624" t="inlineStr">
        <is>
          <t>2000-03-04</t>
        </is>
      </c>
    </row>
    <row r="36625">
      <c r="A36625" s="1" t="n">
        <v>36624</v>
      </c>
      <c r="B36625">
        <f>TEXT(36624, "[$-0E0000]yyyy-mm-dd")</f>
        <v/>
      </c>
      <c r="C36625" t="inlineStr">
        <is>
          <t>2000-03-05</t>
        </is>
      </c>
    </row>
    <row r="36626">
      <c r="A36626" s="1" t="n">
        <v>36625</v>
      </c>
      <c r="B36626">
        <f>TEXT(36625, "[$-0E0000]yyyy-mm-dd")</f>
        <v/>
      </c>
      <c r="C36626" t="inlineStr">
        <is>
          <t>2000-03-06</t>
        </is>
      </c>
    </row>
    <row r="36627">
      <c r="A36627" s="1" t="n">
        <v>36626</v>
      </c>
      <c r="B36627">
        <f>TEXT(36626, "[$-0E0000]yyyy-mm-dd")</f>
        <v/>
      </c>
      <c r="C36627" t="inlineStr">
        <is>
          <t>2000-03-07</t>
        </is>
      </c>
    </row>
    <row r="36628">
      <c r="A36628" s="1" t="n">
        <v>36627</v>
      </c>
      <c r="B36628">
        <f>TEXT(36627, "[$-0E0000]yyyy-mm-dd")</f>
        <v/>
      </c>
      <c r="C36628" t="inlineStr">
        <is>
          <t>2000-03-08</t>
        </is>
      </c>
    </row>
    <row r="36629">
      <c r="A36629" s="1" t="n">
        <v>36628</v>
      </c>
      <c r="B36629">
        <f>TEXT(36628, "[$-0E0000]yyyy-mm-dd")</f>
        <v/>
      </c>
      <c r="C36629" t="inlineStr">
        <is>
          <t>2000-03-09</t>
        </is>
      </c>
    </row>
    <row r="36630">
      <c r="A36630" s="1" t="n">
        <v>36629</v>
      </c>
      <c r="B36630">
        <f>TEXT(36629, "[$-0E0000]yyyy-mm-dd")</f>
        <v/>
      </c>
      <c r="C36630" t="inlineStr">
        <is>
          <t>2000-03-10</t>
        </is>
      </c>
    </row>
    <row r="36631">
      <c r="A36631" s="1" t="n">
        <v>36630</v>
      </c>
      <c r="B36631">
        <f>TEXT(36630, "[$-0E0000]yyyy-mm-dd")</f>
        <v/>
      </c>
      <c r="C36631" t="inlineStr">
        <is>
          <t>2000-03-11</t>
        </is>
      </c>
    </row>
    <row r="36632">
      <c r="A36632" s="1" t="n">
        <v>36631</v>
      </c>
      <c r="B36632">
        <f>TEXT(36631, "[$-0E0000]yyyy-mm-dd")</f>
        <v/>
      </c>
      <c r="C36632" t="inlineStr">
        <is>
          <t>2000-03-12</t>
        </is>
      </c>
    </row>
    <row r="36633">
      <c r="A36633" s="1" t="n">
        <v>36632</v>
      </c>
      <c r="B36633">
        <f>TEXT(36632, "[$-0E0000]yyyy-mm-dd")</f>
        <v/>
      </c>
      <c r="C36633" t="inlineStr">
        <is>
          <t>2000-03-13</t>
        </is>
      </c>
    </row>
    <row r="36634">
      <c r="A36634" s="1" t="n">
        <v>36633</v>
      </c>
      <c r="B36634">
        <f>TEXT(36633, "[$-0E0000]yyyy-mm-dd")</f>
        <v/>
      </c>
      <c r="C36634" t="inlineStr">
        <is>
          <t>2000-03-14</t>
        </is>
      </c>
    </row>
    <row r="36635">
      <c r="A36635" s="1" t="n">
        <v>36634</v>
      </c>
      <c r="B36635">
        <f>TEXT(36634, "[$-0E0000]yyyy-mm-dd")</f>
        <v/>
      </c>
      <c r="C36635" t="inlineStr">
        <is>
          <t>2000-03-15</t>
        </is>
      </c>
    </row>
    <row r="36636">
      <c r="A36636" s="1" t="n">
        <v>36635</v>
      </c>
      <c r="B36636">
        <f>TEXT(36635, "[$-0E0000]yyyy-mm-dd")</f>
        <v/>
      </c>
      <c r="C36636" t="inlineStr">
        <is>
          <t>2000-03-16</t>
        </is>
      </c>
    </row>
    <row r="36637">
      <c r="A36637" s="1" t="n">
        <v>36636</v>
      </c>
      <c r="B36637">
        <f>TEXT(36636, "[$-0E0000]yyyy-mm-dd")</f>
        <v/>
      </c>
      <c r="C36637" t="inlineStr">
        <is>
          <t>2000-03-17</t>
        </is>
      </c>
    </row>
    <row r="36638">
      <c r="A36638" s="1" t="n">
        <v>36637</v>
      </c>
      <c r="B36638">
        <f>TEXT(36637, "[$-0E0000]yyyy-mm-dd")</f>
        <v/>
      </c>
      <c r="C36638" t="inlineStr">
        <is>
          <t>2000-03-18</t>
        </is>
      </c>
    </row>
    <row r="36639">
      <c r="A36639" s="1" t="n">
        <v>36638</v>
      </c>
      <c r="B36639">
        <f>TEXT(36638, "[$-0E0000]yyyy-mm-dd")</f>
        <v/>
      </c>
      <c r="C36639" t="inlineStr">
        <is>
          <t>2000-03-19</t>
        </is>
      </c>
    </row>
    <row r="36640">
      <c r="A36640" s="1" t="n">
        <v>36639</v>
      </c>
      <c r="B36640">
        <f>TEXT(36639, "[$-0E0000]yyyy-mm-dd")</f>
        <v/>
      </c>
      <c r="C36640" t="inlineStr">
        <is>
          <t>2000-03-20</t>
        </is>
      </c>
    </row>
    <row r="36641">
      <c r="A36641" s="1" t="n">
        <v>36640</v>
      </c>
      <c r="B36641">
        <f>TEXT(36640, "[$-0E0000]yyyy-mm-dd")</f>
        <v/>
      </c>
      <c r="C36641" t="inlineStr">
        <is>
          <t>2000-03-21</t>
        </is>
      </c>
    </row>
    <row r="36642">
      <c r="A36642" s="1" t="n">
        <v>36641</v>
      </c>
      <c r="B36642">
        <f>TEXT(36641, "[$-0E0000]yyyy-mm-dd")</f>
        <v/>
      </c>
      <c r="C36642" t="inlineStr">
        <is>
          <t>2000-03-22</t>
        </is>
      </c>
    </row>
    <row r="36643">
      <c r="A36643" s="1" t="n">
        <v>36642</v>
      </c>
      <c r="B36643">
        <f>TEXT(36642, "[$-0E0000]yyyy-mm-dd")</f>
        <v/>
      </c>
      <c r="C36643" t="inlineStr">
        <is>
          <t>2000-03-23</t>
        </is>
      </c>
    </row>
    <row r="36644">
      <c r="A36644" s="1" t="n">
        <v>36643</v>
      </c>
      <c r="B36644">
        <f>TEXT(36643, "[$-0E0000]yyyy-mm-dd")</f>
        <v/>
      </c>
      <c r="C36644" t="inlineStr">
        <is>
          <t>2000-03-24</t>
        </is>
      </c>
    </row>
    <row r="36645">
      <c r="A36645" s="1" t="n">
        <v>36644</v>
      </c>
      <c r="B36645">
        <f>TEXT(36644, "[$-0E0000]yyyy-mm-dd")</f>
        <v/>
      </c>
      <c r="C36645" t="inlineStr">
        <is>
          <t>2000-03-25</t>
        </is>
      </c>
    </row>
    <row r="36646">
      <c r="A36646" s="1" t="n">
        <v>36645</v>
      </c>
      <c r="B36646">
        <f>TEXT(36645, "[$-0E0000]yyyy-mm-dd")</f>
        <v/>
      </c>
      <c r="C36646" t="inlineStr">
        <is>
          <t>2000-03-26</t>
        </is>
      </c>
    </row>
    <row r="36647">
      <c r="A36647" s="1" t="n">
        <v>36646</v>
      </c>
      <c r="B36647">
        <f>TEXT(36646, "[$-0E0000]yyyy-mm-dd")</f>
        <v/>
      </c>
      <c r="C36647" t="inlineStr">
        <is>
          <t>2000-03-27</t>
        </is>
      </c>
    </row>
    <row r="36648">
      <c r="A36648" s="1" t="n">
        <v>36647</v>
      </c>
      <c r="B36648">
        <f>TEXT(36647, "[$-0E0000]yyyy-mm-dd")</f>
        <v/>
      </c>
      <c r="C36648" t="inlineStr">
        <is>
          <t>2000-03-28</t>
        </is>
      </c>
    </row>
    <row r="36649">
      <c r="A36649" s="1" t="n">
        <v>36648</v>
      </c>
      <c r="B36649">
        <f>TEXT(36648, "[$-0E0000]yyyy-mm-dd")</f>
        <v/>
      </c>
      <c r="C36649" t="inlineStr">
        <is>
          <t>2000-03-29</t>
        </is>
      </c>
    </row>
    <row r="36650">
      <c r="A36650" s="1" t="n">
        <v>36649</v>
      </c>
      <c r="B36650">
        <f>TEXT(36649, "[$-0E0000]yyyy-mm-dd")</f>
        <v/>
      </c>
      <c r="C36650" t="inlineStr">
        <is>
          <t>2000-04-01</t>
        </is>
      </c>
    </row>
    <row r="36651">
      <c r="A36651" s="1" t="n">
        <v>36650</v>
      </c>
      <c r="B36651">
        <f>TEXT(36650, "[$-0E0000]yyyy-mm-dd")</f>
        <v/>
      </c>
      <c r="C36651" t="inlineStr">
        <is>
          <t>2000-04-02</t>
        </is>
      </c>
    </row>
    <row r="36652">
      <c r="A36652" s="1" t="n">
        <v>36651</v>
      </c>
      <c r="B36652">
        <f>TEXT(36651, "[$-0E0000]yyyy-mm-dd")</f>
        <v/>
      </c>
      <c r="C36652" t="inlineStr">
        <is>
          <t>2000-04-03</t>
        </is>
      </c>
    </row>
    <row r="36653">
      <c r="A36653" s="1" t="n">
        <v>36652</v>
      </c>
      <c r="B36653">
        <f>TEXT(36652, "[$-0E0000]yyyy-mm-dd")</f>
        <v/>
      </c>
      <c r="C36653" t="inlineStr">
        <is>
          <t>2000-04-04</t>
        </is>
      </c>
    </row>
    <row r="36654">
      <c r="A36654" s="1" t="n">
        <v>36653</v>
      </c>
      <c r="B36654">
        <f>TEXT(36653, "[$-0E0000]yyyy-mm-dd")</f>
        <v/>
      </c>
      <c r="C36654" t="inlineStr">
        <is>
          <t>2000-04-05</t>
        </is>
      </c>
    </row>
    <row r="36655">
      <c r="A36655" s="1" t="n">
        <v>36654</v>
      </c>
      <c r="B36655">
        <f>TEXT(36654, "[$-0E0000]yyyy-mm-dd")</f>
        <v/>
      </c>
      <c r="C36655" t="inlineStr">
        <is>
          <t>2000-04-06</t>
        </is>
      </c>
    </row>
    <row r="36656">
      <c r="A36656" s="1" t="n">
        <v>36655</v>
      </c>
      <c r="B36656">
        <f>TEXT(36655, "[$-0E0000]yyyy-mm-dd")</f>
        <v/>
      </c>
      <c r="C36656" t="inlineStr">
        <is>
          <t>2000-04-07</t>
        </is>
      </c>
    </row>
    <row r="36657">
      <c r="A36657" s="1" t="n">
        <v>36656</v>
      </c>
      <c r="B36657">
        <f>TEXT(36656, "[$-0E0000]yyyy-mm-dd")</f>
        <v/>
      </c>
      <c r="C36657" t="inlineStr">
        <is>
          <t>2000-04-08</t>
        </is>
      </c>
    </row>
    <row r="36658">
      <c r="A36658" s="1" t="n">
        <v>36657</v>
      </c>
      <c r="B36658">
        <f>TEXT(36657, "[$-0E0000]yyyy-mm-dd")</f>
        <v/>
      </c>
      <c r="C36658" t="inlineStr">
        <is>
          <t>2000-04-09</t>
        </is>
      </c>
    </row>
    <row r="36659">
      <c r="A36659" s="1" t="n">
        <v>36658</v>
      </c>
      <c r="B36659">
        <f>TEXT(36658, "[$-0E0000]yyyy-mm-dd")</f>
        <v/>
      </c>
      <c r="C36659" t="inlineStr">
        <is>
          <t>2000-04-10</t>
        </is>
      </c>
    </row>
    <row r="36660">
      <c r="A36660" s="1" t="n">
        <v>36659</v>
      </c>
      <c r="B36660">
        <f>TEXT(36659, "[$-0E0000]yyyy-mm-dd")</f>
        <v/>
      </c>
      <c r="C36660" t="inlineStr">
        <is>
          <t>2000-04-11</t>
        </is>
      </c>
    </row>
    <row r="36661">
      <c r="A36661" s="1" t="n">
        <v>36660</v>
      </c>
      <c r="B36661">
        <f>TEXT(36660, "[$-0E0000]yyyy-mm-dd")</f>
        <v/>
      </c>
      <c r="C36661" t="inlineStr">
        <is>
          <t>2000-04-12</t>
        </is>
      </c>
    </row>
    <row r="36662">
      <c r="A36662" s="1" t="n">
        <v>36661</v>
      </c>
      <c r="B36662">
        <f>TEXT(36661, "[$-0E0000]yyyy-mm-dd")</f>
        <v/>
      </c>
      <c r="C36662" t="inlineStr">
        <is>
          <t>2000-04-13</t>
        </is>
      </c>
    </row>
    <row r="36663">
      <c r="A36663" s="1" t="n">
        <v>36662</v>
      </c>
      <c r="B36663">
        <f>TEXT(36662, "[$-0E0000]yyyy-mm-dd")</f>
        <v/>
      </c>
      <c r="C36663" t="inlineStr">
        <is>
          <t>2000-04-14</t>
        </is>
      </c>
    </row>
    <row r="36664">
      <c r="A36664" s="1" t="n">
        <v>36663</v>
      </c>
      <c r="B36664">
        <f>TEXT(36663, "[$-0E0000]yyyy-mm-dd")</f>
        <v/>
      </c>
      <c r="C36664" t="inlineStr">
        <is>
          <t>2000-04-15</t>
        </is>
      </c>
    </row>
    <row r="36665">
      <c r="A36665" s="1" t="n">
        <v>36664</v>
      </c>
      <c r="B36665">
        <f>TEXT(36664, "[$-0E0000]yyyy-mm-dd")</f>
        <v/>
      </c>
      <c r="C36665" t="inlineStr">
        <is>
          <t>2000-04-16</t>
        </is>
      </c>
    </row>
    <row r="36666">
      <c r="A36666" s="1" t="n">
        <v>36665</v>
      </c>
      <c r="B36666">
        <f>TEXT(36665, "[$-0E0000]yyyy-mm-dd")</f>
        <v/>
      </c>
      <c r="C36666" t="inlineStr">
        <is>
          <t>2000-04-17</t>
        </is>
      </c>
    </row>
    <row r="36667">
      <c r="A36667" s="1" t="n">
        <v>36666</v>
      </c>
      <c r="B36667">
        <f>TEXT(36666, "[$-0E0000]yyyy-mm-dd")</f>
        <v/>
      </c>
      <c r="C36667" t="inlineStr">
        <is>
          <t>2000-04-18</t>
        </is>
      </c>
    </row>
    <row r="36668">
      <c r="A36668" s="1" t="n">
        <v>36667</v>
      </c>
      <c r="B36668">
        <f>TEXT(36667, "[$-0E0000]yyyy-mm-dd")</f>
        <v/>
      </c>
      <c r="C36668" t="inlineStr">
        <is>
          <t>2000-04-19</t>
        </is>
      </c>
    </row>
    <row r="36669">
      <c r="A36669" s="1" t="n">
        <v>36668</v>
      </c>
      <c r="B36669">
        <f>TEXT(36668, "[$-0E0000]yyyy-mm-dd")</f>
        <v/>
      </c>
      <c r="C36669" t="inlineStr">
        <is>
          <t>2000-04-20</t>
        </is>
      </c>
    </row>
    <row r="36670">
      <c r="A36670" s="1" t="n">
        <v>36669</v>
      </c>
      <c r="B36670">
        <f>TEXT(36669, "[$-0E0000]yyyy-mm-dd")</f>
        <v/>
      </c>
      <c r="C36670" t="inlineStr">
        <is>
          <t>2000-04-21</t>
        </is>
      </c>
    </row>
    <row r="36671">
      <c r="A36671" s="1" t="n">
        <v>36670</v>
      </c>
      <c r="B36671">
        <f>TEXT(36670, "[$-0E0000]yyyy-mm-dd")</f>
        <v/>
      </c>
      <c r="C36671" t="inlineStr">
        <is>
          <t>2000-04-22</t>
        </is>
      </c>
    </row>
    <row r="36672">
      <c r="A36672" s="1" t="n">
        <v>36671</v>
      </c>
      <c r="B36672">
        <f>TEXT(36671, "[$-0E0000]yyyy-mm-dd")</f>
        <v/>
      </c>
      <c r="C36672" t="inlineStr">
        <is>
          <t>2000-04-23</t>
        </is>
      </c>
    </row>
    <row r="36673">
      <c r="A36673" s="1" t="n">
        <v>36672</v>
      </c>
      <c r="B36673">
        <f>TEXT(36672, "[$-0E0000]yyyy-mm-dd")</f>
        <v/>
      </c>
      <c r="C36673" t="inlineStr">
        <is>
          <t>2000-04-24</t>
        </is>
      </c>
    </row>
    <row r="36674">
      <c r="A36674" s="1" t="n">
        <v>36673</v>
      </c>
      <c r="B36674">
        <f>TEXT(36673, "[$-0E0000]yyyy-mm-dd")</f>
        <v/>
      </c>
      <c r="C36674" t="inlineStr">
        <is>
          <t>2000-04-25</t>
        </is>
      </c>
    </row>
    <row r="36675">
      <c r="A36675" s="1" t="n">
        <v>36674</v>
      </c>
      <c r="B36675">
        <f>TEXT(36674, "[$-0E0000]yyyy-mm-dd")</f>
        <v/>
      </c>
      <c r="C36675" t="inlineStr">
        <is>
          <t>2000-04-26</t>
        </is>
      </c>
    </row>
    <row r="36676">
      <c r="A36676" s="1" t="n">
        <v>36675</v>
      </c>
      <c r="B36676">
        <f>TEXT(36675, "[$-0E0000]yyyy-mm-dd")</f>
        <v/>
      </c>
      <c r="C36676" t="inlineStr">
        <is>
          <t>2000-04-27</t>
        </is>
      </c>
    </row>
    <row r="36677">
      <c r="A36677" s="1" t="n">
        <v>36676</v>
      </c>
      <c r="B36677">
        <f>TEXT(36676, "[$-0E0000]yyyy-mm-dd")</f>
        <v/>
      </c>
      <c r="C36677" t="inlineStr">
        <is>
          <t>2000-04-28</t>
        </is>
      </c>
    </row>
    <row r="36678">
      <c r="A36678" s="1" t="n">
        <v>36677</v>
      </c>
      <c r="B36678">
        <f>TEXT(36677, "[$-0E0000]yyyy-mm-dd")</f>
        <v/>
      </c>
      <c r="C36678" t="inlineStr">
        <is>
          <t>2000-04-29</t>
        </is>
      </c>
    </row>
    <row r="36679">
      <c r="A36679" s="1" t="n">
        <v>36678</v>
      </c>
      <c r="B36679">
        <f>TEXT(36678, "[$-0E0000]yyyy-mm-dd")</f>
        <v/>
      </c>
      <c r="C36679" t="inlineStr">
        <is>
          <t>2000-05-01</t>
        </is>
      </c>
    </row>
    <row r="36680">
      <c r="A36680" s="1" t="n">
        <v>36679</v>
      </c>
      <c r="B36680">
        <f>TEXT(36679, "[$-0E0000]yyyy-mm-dd")</f>
        <v/>
      </c>
      <c r="C36680" t="inlineStr">
        <is>
          <t>2000-05-02</t>
        </is>
      </c>
    </row>
    <row r="36681">
      <c r="A36681" s="1" t="n">
        <v>36680</v>
      </c>
      <c r="B36681">
        <f>TEXT(36680, "[$-0E0000]yyyy-mm-dd")</f>
        <v/>
      </c>
      <c r="C36681" t="inlineStr">
        <is>
          <t>2000-05-03</t>
        </is>
      </c>
    </row>
    <row r="36682">
      <c r="A36682" s="1" t="n">
        <v>36681</v>
      </c>
      <c r="B36682">
        <f>TEXT(36681, "[$-0E0000]yyyy-mm-dd")</f>
        <v/>
      </c>
      <c r="C36682" t="inlineStr">
        <is>
          <t>2000-05-04</t>
        </is>
      </c>
    </row>
    <row r="36683">
      <c r="A36683" s="1" t="n">
        <v>36682</v>
      </c>
      <c r="B36683">
        <f>TEXT(36682, "[$-0E0000]yyyy-mm-dd")</f>
        <v/>
      </c>
      <c r="C36683" t="inlineStr">
        <is>
          <t>2000-05-05</t>
        </is>
      </c>
    </row>
    <row r="36684">
      <c r="A36684" s="1" t="n">
        <v>36683</v>
      </c>
      <c r="B36684">
        <f>TEXT(36683, "[$-0E0000]yyyy-mm-dd")</f>
        <v/>
      </c>
      <c r="C36684" t="inlineStr">
        <is>
          <t>2000-05-06</t>
        </is>
      </c>
    </row>
    <row r="36685">
      <c r="A36685" s="1" t="n">
        <v>36684</v>
      </c>
      <c r="B36685">
        <f>TEXT(36684, "[$-0E0000]yyyy-mm-dd")</f>
        <v/>
      </c>
      <c r="C36685" t="inlineStr">
        <is>
          <t>2000-05-07</t>
        </is>
      </c>
    </row>
    <row r="36686">
      <c r="A36686" s="1" t="n">
        <v>36685</v>
      </c>
      <c r="B36686">
        <f>TEXT(36685, "[$-0E0000]yyyy-mm-dd")</f>
        <v/>
      </c>
      <c r="C36686" t="inlineStr">
        <is>
          <t>2000-05-08</t>
        </is>
      </c>
    </row>
    <row r="36687">
      <c r="A36687" s="1" t="n">
        <v>36686</v>
      </c>
      <c r="B36687">
        <f>TEXT(36686, "[$-0E0000]yyyy-mm-dd")</f>
        <v/>
      </c>
      <c r="C36687" t="inlineStr">
        <is>
          <t>2000-05-09</t>
        </is>
      </c>
    </row>
    <row r="36688">
      <c r="A36688" s="1" t="n">
        <v>36687</v>
      </c>
      <c r="B36688">
        <f>TEXT(36687, "[$-0E0000]yyyy-mm-dd")</f>
        <v/>
      </c>
      <c r="C36688" t="inlineStr">
        <is>
          <t>2000-05-10</t>
        </is>
      </c>
    </row>
    <row r="36689">
      <c r="A36689" s="1" t="n">
        <v>36688</v>
      </c>
      <c r="B36689">
        <f>TEXT(36688, "[$-0E0000]yyyy-mm-dd")</f>
        <v/>
      </c>
      <c r="C36689" t="inlineStr">
        <is>
          <t>2000-05-11</t>
        </is>
      </c>
    </row>
    <row r="36690">
      <c r="A36690" s="1" t="n">
        <v>36689</v>
      </c>
      <c r="B36690">
        <f>TEXT(36689, "[$-0E0000]yyyy-mm-dd")</f>
        <v/>
      </c>
      <c r="C36690" t="inlineStr">
        <is>
          <t>2000-05-12</t>
        </is>
      </c>
    </row>
    <row r="36691">
      <c r="A36691" s="1" t="n">
        <v>36690</v>
      </c>
      <c r="B36691">
        <f>TEXT(36690, "[$-0E0000]yyyy-mm-dd")</f>
        <v/>
      </c>
      <c r="C36691" t="inlineStr">
        <is>
          <t>2000-05-13</t>
        </is>
      </c>
    </row>
    <row r="36692">
      <c r="A36692" s="1" t="n">
        <v>36691</v>
      </c>
      <c r="B36692">
        <f>TEXT(36691, "[$-0E0000]yyyy-mm-dd")</f>
        <v/>
      </c>
      <c r="C36692" t="inlineStr">
        <is>
          <t>2000-05-14</t>
        </is>
      </c>
    </row>
    <row r="36693">
      <c r="A36693" s="1" t="n">
        <v>36692</v>
      </c>
      <c r="B36693">
        <f>TEXT(36692, "[$-0E0000]yyyy-mm-dd")</f>
        <v/>
      </c>
      <c r="C36693" t="inlineStr">
        <is>
          <t>2000-05-15</t>
        </is>
      </c>
    </row>
    <row r="36694">
      <c r="A36694" s="1" t="n">
        <v>36693</v>
      </c>
      <c r="B36694">
        <f>TEXT(36693, "[$-0E0000]yyyy-mm-dd")</f>
        <v/>
      </c>
      <c r="C36694" t="inlineStr">
        <is>
          <t>2000-05-16</t>
        </is>
      </c>
    </row>
    <row r="36695">
      <c r="A36695" s="1" t="n">
        <v>36694</v>
      </c>
      <c r="B36695">
        <f>TEXT(36694, "[$-0E0000]yyyy-mm-dd")</f>
        <v/>
      </c>
      <c r="C36695" t="inlineStr">
        <is>
          <t>2000-05-17</t>
        </is>
      </c>
    </row>
    <row r="36696">
      <c r="A36696" s="1" t="n">
        <v>36695</v>
      </c>
      <c r="B36696">
        <f>TEXT(36695, "[$-0E0000]yyyy-mm-dd")</f>
        <v/>
      </c>
      <c r="C36696" t="inlineStr">
        <is>
          <t>2000-05-18</t>
        </is>
      </c>
    </row>
    <row r="36697">
      <c r="A36697" s="1" t="n">
        <v>36696</v>
      </c>
      <c r="B36697">
        <f>TEXT(36696, "[$-0E0000]yyyy-mm-dd")</f>
        <v/>
      </c>
      <c r="C36697" t="inlineStr">
        <is>
          <t>2000-05-19</t>
        </is>
      </c>
    </row>
    <row r="36698">
      <c r="A36698" s="1" t="n">
        <v>36697</v>
      </c>
      <c r="B36698">
        <f>TEXT(36697, "[$-0E0000]yyyy-mm-dd")</f>
        <v/>
      </c>
      <c r="C36698" t="inlineStr">
        <is>
          <t>2000-05-20</t>
        </is>
      </c>
    </row>
    <row r="36699">
      <c r="A36699" s="1" t="n">
        <v>36698</v>
      </c>
      <c r="B36699">
        <f>TEXT(36698, "[$-0E0000]yyyy-mm-dd")</f>
        <v/>
      </c>
      <c r="C36699" t="inlineStr">
        <is>
          <t>2000-05-21</t>
        </is>
      </c>
    </row>
    <row r="36700">
      <c r="A36700" s="1" t="n">
        <v>36699</v>
      </c>
      <c r="B36700">
        <f>TEXT(36699, "[$-0E0000]yyyy-mm-dd")</f>
        <v/>
      </c>
      <c r="C36700" t="inlineStr">
        <is>
          <t>2000-05-22</t>
        </is>
      </c>
    </row>
    <row r="36701">
      <c r="A36701" s="1" t="n">
        <v>36700</v>
      </c>
      <c r="B36701">
        <f>TEXT(36700, "[$-0E0000]yyyy-mm-dd")</f>
        <v/>
      </c>
      <c r="C36701" t="inlineStr">
        <is>
          <t>2000-05-23</t>
        </is>
      </c>
    </row>
    <row r="36702">
      <c r="A36702" s="1" t="n">
        <v>36701</v>
      </c>
      <c r="B36702">
        <f>TEXT(36701, "[$-0E0000]yyyy-mm-dd")</f>
        <v/>
      </c>
      <c r="C36702" t="inlineStr">
        <is>
          <t>2000-05-24</t>
        </is>
      </c>
    </row>
    <row r="36703">
      <c r="A36703" s="1" t="n">
        <v>36702</v>
      </c>
      <c r="B36703">
        <f>TEXT(36702, "[$-0E0000]yyyy-mm-dd")</f>
        <v/>
      </c>
      <c r="C36703" t="inlineStr">
        <is>
          <t>2000-05-25</t>
        </is>
      </c>
    </row>
    <row r="36704">
      <c r="A36704" s="1" t="n">
        <v>36703</v>
      </c>
      <c r="B36704">
        <f>TEXT(36703, "[$-0E0000]yyyy-mm-dd")</f>
        <v/>
      </c>
      <c r="C36704" t="inlineStr">
        <is>
          <t>2000-05-26</t>
        </is>
      </c>
    </row>
    <row r="36705">
      <c r="A36705" s="1" t="n">
        <v>36704</v>
      </c>
      <c r="B36705">
        <f>TEXT(36704, "[$-0E0000]yyyy-mm-dd")</f>
        <v/>
      </c>
      <c r="C36705" t="inlineStr">
        <is>
          <t>2000-05-27</t>
        </is>
      </c>
    </row>
    <row r="36706">
      <c r="A36706" s="1" t="n">
        <v>36705</v>
      </c>
      <c r="B36706">
        <f>TEXT(36705, "[$-0E0000]yyyy-mm-dd")</f>
        <v/>
      </c>
      <c r="C36706" t="inlineStr">
        <is>
          <t>2000-05-28</t>
        </is>
      </c>
    </row>
    <row r="36707">
      <c r="A36707" s="1" t="n">
        <v>36706</v>
      </c>
      <c r="B36707">
        <f>TEXT(36706, "[$-0E0000]yyyy-mm-dd")</f>
        <v/>
      </c>
      <c r="C36707" t="inlineStr">
        <is>
          <t>2000-05-29</t>
        </is>
      </c>
    </row>
    <row r="36708">
      <c r="A36708" s="1" t="n">
        <v>36707</v>
      </c>
      <c r="B36708">
        <f>TEXT(36707, "[$-0E0000]yyyy-mm-dd")</f>
        <v/>
      </c>
      <c r="C36708" t="inlineStr">
        <is>
          <t>2000-05-30</t>
        </is>
      </c>
    </row>
    <row r="36709">
      <c r="A36709" s="1" t="n">
        <v>36708</v>
      </c>
      <c r="B36709">
        <f>TEXT(36708, "[$-0E0000]yyyy-mm-dd")</f>
        <v/>
      </c>
      <c r="C36709" t="inlineStr">
        <is>
          <t>2000-06-01</t>
        </is>
      </c>
    </row>
    <row r="36710">
      <c r="A36710" s="1" t="n">
        <v>36709</v>
      </c>
      <c r="B36710">
        <f>TEXT(36709, "[$-0E0000]yyyy-mm-dd")</f>
        <v/>
      </c>
      <c r="C36710" t="inlineStr">
        <is>
          <t>2000-06-02</t>
        </is>
      </c>
    </row>
    <row r="36711">
      <c r="A36711" s="1" t="n">
        <v>36710</v>
      </c>
      <c r="B36711">
        <f>TEXT(36710, "[$-0E0000]yyyy-mm-dd")</f>
        <v/>
      </c>
      <c r="C36711" t="inlineStr">
        <is>
          <t>2000-06-03</t>
        </is>
      </c>
    </row>
    <row r="36712">
      <c r="A36712" s="1" t="n">
        <v>36711</v>
      </c>
      <c r="B36712">
        <f>TEXT(36711, "[$-0E0000]yyyy-mm-dd")</f>
        <v/>
      </c>
      <c r="C36712" t="inlineStr">
        <is>
          <t>2000-06-04</t>
        </is>
      </c>
    </row>
    <row r="36713">
      <c r="A36713" s="1" t="n">
        <v>36712</v>
      </c>
      <c r="B36713">
        <f>TEXT(36712, "[$-0E0000]yyyy-mm-dd")</f>
        <v/>
      </c>
      <c r="C36713" t="inlineStr">
        <is>
          <t>2000-06-05</t>
        </is>
      </c>
    </row>
    <row r="36714">
      <c r="A36714" s="1" t="n">
        <v>36713</v>
      </c>
      <c r="B36714">
        <f>TEXT(36713, "[$-0E0000]yyyy-mm-dd")</f>
        <v/>
      </c>
      <c r="C36714" t="inlineStr">
        <is>
          <t>2000-06-06</t>
        </is>
      </c>
    </row>
    <row r="36715">
      <c r="A36715" s="1" t="n">
        <v>36714</v>
      </c>
      <c r="B36715">
        <f>TEXT(36714, "[$-0E0000]yyyy-mm-dd")</f>
        <v/>
      </c>
      <c r="C36715" t="inlineStr">
        <is>
          <t>2000-06-07</t>
        </is>
      </c>
    </row>
    <row r="36716">
      <c r="A36716" s="1" t="n">
        <v>36715</v>
      </c>
      <c r="B36716">
        <f>TEXT(36715, "[$-0E0000]yyyy-mm-dd")</f>
        <v/>
      </c>
      <c r="C36716" t="inlineStr">
        <is>
          <t>2000-06-08</t>
        </is>
      </c>
    </row>
    <row r="36717">
      <c r="A36717" s="1" t="n">
        <v>36716</v>
      </c>
      <c r="B36717">
        <f>TEXT(36716, "[$-0E0000]yyyy-mm-dd")</f>
        <v/>
      </c>
      <c r="C36717" t="inlineStr">
        <is>
          <t>2000-06-09</t>
        </is>
      </c>
    </row>
    <row r="36718">
      <c r="A36718" s="1" t="n">
        <v>36717</v>
      </c>
      <c r="B36718">
        <f>TEXT(36717, "[$-0E0000]yyyy-mm-dd")</f>
        <v/>
      </c>
      <c r="C36718" t="inlineStr">
        <is>
          <t>2000-06-10</t>
        </is>
      </c>
    </row>
    <row r="36719">
      <c r="A36719" s="1" t="n">
        <v>36718</v>
      </c>
      <c r="B36719">
        <f>TEXT(36718, "[$-0E0000]yyyy-mm-dd")</f>
        <v/>
      </c>
      <c r="C36719" t="inlineStr">
        <is>
          <t>2000-06-11</t>
        </is>
      </c>
    </row>
    <row r="36720">
      <c r="A36720" s="1" t="n">
        <v>36719</v>
      </c>
      <c r="B36720">
        <f>TEXT(36719, "[$-0E0000]yyyy-mm-dd")</f>
        <v/>
      </c>
      <c r="C36720" t="inlineStr">
        <is>
          <t>2000-06-12</t>
        </is>
      </c>
    </row>
    <row r="36721">
      <c r="A36721" s="1" t="n">
        <v>36720</v>
      </c>
      <c r="B36721">
        <f>TEXT(36720, "[$-0E0000]yyyy-mm-dd")</f>
        <v/>
      </c>
      <c r="C36721" t="inlineStr">
        <is>
          <t>2000-06-13</t>
        </is>
      </c>
    </row>
    <row r="36722">
      <c r="A36722" s="1" t="n">
        <v>36721</v>
      </c>
      <c r="B36722">
        <f>TEXT(36721, "[$-0E0000]yyyy-mm-dd")</f>
        <v/>
      </c>
      <c r="C36722" t="inlineStr">
        <is>
          <t>2000-06-14</t>
        </is>
      </c>
    </row>
    <row r="36723">
      <c r="A36723" s="1" t="n">
        <v>36722</v>
      </c>
      <c r="B36723">
        <f>TEXT(36722, "[$-0E0000]yyyy-mm-dd")</f>
        <v/>
      </c>
      <c r="C36723" t="inlineStr">
        <is>
          <t>2000-06-15</t>
        </is>
      </c>
    </row>
    <row r="36724">
      <c r="A36724" s="1" t="n">
        <v>36723</v>
      </c>
      <c r="B36724">
        <f>TEXT(36723, "[$-0E0000]yyyy-mm-dd")</f>
        <v/>
      </c>
      <c r="C36724" t="inlineStr">
        <is>
          <t>2000-06-16</t>
        </is>
      </c>
    </row>
    <row r="36725">
      <c r="A36725" s="1" t="n">
        <v>36724</v>
      </c>
      <c r="B36725">
        <f>TEXT(36724, "[$-0E0000]yyyy-mm-dd")</f>
        <v/>
      </c>
      <c r="C36725" t="inlineStr">
        <is>
          <t>2000-06-17</t>
        </is>
      </c>
    </row>
    <row r="36726">
      <c r="A36726" s="1" t="n">
        <v>36725</v>
      </c>
      <c r="B36726">
        <f>TEXT(36725, "[$-0E0000]yyyy-mm-dd")</f>
        <v/>
      </c>
      <c r="C36726" t="inlineStr">
        <is>
          <t>2000-06-18</t>
        </is>
      </c>
    </row>
    <row r="36727">
      <c r="A36727" s="1" t="n">
        <v>36726</v>
      </c>
      <c r="B36727">
        <f>TEXT(36726, "[$-0E0000]yyyy-mm-dd")</f>
        <v/>
      </c>
      <c r="C36727" t="inlineStr">
        <is>
          <t>2000-06-19</t>
        </is>
      </c>
    </row>
    <row r="36728">
      <c r="A36728" s="1" t="n">
        <v>36727</v>
      </c>
      <c r="B36728">
        <f>TEXT(36727, "[$-0E0000]yyyy-mm-dd")</f>
        <v/>
      </c>
      <c r="C36728" t="inlineStr">
        <is>
          <t>2000-06-20</t>
        </is>
      </c>
    </row>
    <row r="36729">
      <c r="A36729" s="1" t="n">
        <v>36728</v>
      </c>
      <c r="B36729">
        <f>TEXT(36728, "[$-0E0000]yyyy-mm-dd")</f>
        <v/>
      </c>
      <c r="C36729" t="inlineStr">
        <is>
          <t>2000-06-21</t>
        </is>
      </c>
    </row>
    <row r="36730">
      <c r="A36730" s="1" t="n">
        <v>36729</v>
      </c>
      <c r="B36730">
        <f>TEXT(36729, "[$-0E0000]yyyy-mm-dd")</f>
        <v/>
      </c>
      <c r="C36730" t="inlineStr">
        <is>
          <t>2000-06-22</t>
        </is>
      </c>
    </row>
    <row r="36731">
      <c r="A36731" s="1" t="n">
        <v>36730</v>
      </c>
      <c r="B36731">
        <f>TEXT(36730, "[$-0E0000]yyyy-mm-dd")</f>
        <v/>
      </c>
      <c r="C36731" t="inlineStr">
        <is>
          <t>2000-06-23</t>
        </is>
      </c>
    </row>
    <row r="36732">
      <c r="A36732" s="1" t="n">
        <v>36731</v>
      </c>
      <c r="B36732">
        <f>TEXT(36731, "[$-0E0000]yyyy-mm-dd")</f>
        <v/>
      </c>
      <c r="C36732" t="inlineStr">
        <is>
          <t>2000-06-24</t>
        </is>
      </c>
    </row>
    <row r="36733">
      <c r="A36733" s="1" t="n">
        <v>36732</v>
      </c>
      <c r="B36733">
        <f>TEXT(36732, "[$-0E0000]yyyy-mm-dd")</f>
        <v/>
      </c>
      <c r="C36733" t="inlineStr">
        <is>
          <t>2000-06-25</t>
        </is>
      </c>
    </row>
    <row r="36734">
      <c r="A36734" s="1" t="n">
        <v>36733</v>
      </c>
      <c r="B36734">
        <f>TEXT(36733, "[$-0E0000]yyyy-mm-dd")</f>
        <v/>
      </c>
      <c r="C36734" t="inlineStr">
        <is>
          <t>2000-06-26</t>
        </is>
      </c>
    </row>
    <row r="36735">
      <c r="A36735" s="1" t="n">
        <v>36734</v>
      </c>
      <c r="B36735">
        <f>TEXT(36734, "[$-0E0000]yyyy-mm-dd")</f>
        <v/>
      </c>
      <c r="C36735" t="inlineStr">
        <is>
          <t>2000-06-27</t>
        </is>
      </c>
    </row>
    <row r="36736">
      <c r="A36736" s="1" t="n">
        <v>36735</v>
      </c>
      <c r="B36736">
        <f>TEXT(36735, "[$-0E0000]yyyy-mm-dd")</f>
        <v/>
      </c>
      <c r="C36736" t="inlineStr">
        <is>
          <t>2000-06-28</t>
        </is>
      </c>
    </row>
    <row r="36737">
      <c r="A36737" s="1" t="n">
        <v>36736</v>
      </c>
      <c r="B36737">
        <f>TEXT(36736, "[$-0E0000]yyyy-mm-dd")</f>
        <v/>
      </c>
      <c r="C36737" t="inlineStr">
        <is>
          <t>2000-06-29</t>
        </is>
      </c>
    </row>
    <row r="36738">
      <c r="A36738" s="1" t="n">
        <v>36737</v>
      </c>
      <c r="B36738">
        <f>TEXT(36737, "[$-0E0000]yyyy-mm-dd")</f>
        <v/>
      </c>
      <c r="C36738" t="inlineStr">
        <is>
          <t>2000-07-01</t>
        </is>
      </c>
    </row>
    <row r="36739">
      <c r="A36739" s="1" t="n">
        <v>36738</v>
      </c>
      <c r="B36739">
        <f>TEXT(36738, "[$-0E0000]yyyy-mm-dd")</f>
        <v/>
      </c>
      <c r="C36739" t="inlineStr">
        <is>
          <t>2000-07-02</t>
        </is>
      </c>
    </row>
    <row r="36740">
      <c r="A36740" s="1" t="n">
        <v>36739</v>
      </c>
      <c r="B36740">
        <f>TEXT(36739, "[$-0E0000]yyyy-mm-dd")</f>
        <v/>
      </c>
      <c r="C36740" t="inlineStr">
        <is>
          <t>2000-07-03</t>
        </is>
      </c>
    </row>
    <row r="36741">
      <c r="A36741" s="1" t="n">
        <v>36740</v>
      </c>
      <c r="B36741">
        <f>TEXT(36740, "[$-0E0000]yyyy-mm-dd")</f>
        <v/>
      </c>
      <c r="C36741" t="inlineStr">
        <is>
          <t>2000-07-04</t>
        </is>
      </c>
    </row>
    <row r="36742">
      <c r="A36742" s="1" t="n">
        <v>36741</v>
      </c>
      <c r="B36742">
        <f>TEXT(36741, "[$-0E0000]yyyy-mm-dd")</f>
        <v/>
      </c>
      <c r="C36742" t="inlineStr">
        <is>
          <t>2000-07-05</t>
        </is>
      </c>
    </row>
    <row r="36743">
      <c r="A36743" s="1" t="n">
        <v>36742</v>
      </c>
      <c r="B36743">
        <f>TEXT(36742, "[$-0E0000]yyyy-mm-dd")</f>
        <v/>
      </c>
      <c r="C36743" t="inlineStr">
        <is>
          <t>2000-07-06</t>
        </is>
      </c>
    </row>
    <row r="36744">
      <c r="A36744" s="1" t="n">
        <v>36743</v>
      </c>
      <c r="B36744">
        <f>TEXT(36743, "[$-0E0000]yyyy-mm-dd")</f>
        <v/>
      </c>
      <c r="C36744" t="inlineStr">
        <is>
          <t>2000-07-07</t>
        </is>
      </c>
    </row>
    <row r="36745">
      <c r="A36745" s="1" t="n">
        <v>36744</v>
      </c>
      <c r="B36745">
        <f>TEXT(36744, "[$-0E0000]yyyy-mm-dd")</f>
        <v/>
      </c>
      <c r="C36745" t="inlineStr">
        <is>
          <t>2000-07-08</t>
        </is>
      </c>
    </row>
    <row r="36746">
      <c r="A36746" s="1" t="n">
        <v>36745</v>
      </c>
      <c r="B36746">
        <f>TEXT(36745, "[$-0E0000]yyyy-mm-dd")</f>
        <v/>
      </c>
      <c r="C36746" t="inlineStr">
        <is>
          <t>2000-07-09</t>
        </is>
      </c>
    </row>
    <row r="36747">
      <c r="A36747" s="1" t="n">
        <v>36746</v>
      </c>
      <c r="B36747">
        <f>TEXT(36746, "[$-0E0000]yyyy-mm-dd")</f>
        <v/>
      </c>
      <c r="C36747" t="inlineStr">
        <is>
          <t>2000-07-10</t>
        </is>
      </c>
    </row>
    <row r="36748">
      <c r="A36748" s="1" t="n">
        <v>36747</v>
      </c>
      <c r="B36748">
        <f>TEXT(36747, "[$-0E0000]yyyy-mm-dd")</f>
        <v/>
      </c>
      <c r="C36748" t="inlineStr">
        <is>
          <t>2000-07-11</t>
        </is>
      </c>
    </row>
    <row r="36749">
      <c r="A36749" s="1" t="n">
        <v>36748</v>
      </c>
      <c r="B36749">
        <f>TEXT(36748, "[$-0E0000]yyyy-mm-dd")</f>
        <v/>
      </c>
      <c r="C36749" t="inlineStr">
        <is>
          <t>2000-07-12</t>
        </is>
      </c>
    </row>
    <row r="36750">
      <c r="A36750" s="1" t="n">
        <v>36749</v>
      </c>
      <c r="B36750">
        <f>TEXT(36749, "[$-0E0000]yyyy-mm-dd")</f>
        <v/>
      </c>
      <c r="C36750" t="inlineStr">
        <is>
          <t>2000-07-13</t>
        </is>
      </c>
    </row>
    <row r="36751">
      <c r="A36751" s="1" t="n">
        <v>36750</v>
      </c>
      <c r="B36751">
        <f>TEXT(36750, "[$-0E0000]yyyy-mm-dd")</f>
        <v/>
      </c>
      <c r="C36751" t="inlineStr">
        <is>
          <t>2000-07-14</t>
        </is>
      </c>
    </row>
    <row r="36752">
      <c r="A36752" s="1" t="n">
        <v>36751</v>
      </c>
      <c r="B36752">
        <f>TEXT(36751, "[$-0E0000]yyyy-mm-dd")</f>
        <v/>
      </c>
      <c r="C36752" t="inlineStr">
        <is>
          <t>2000-07-15</t>
        </is>
      </c>
    </row>
    <row r="36753">
      <c r="A36753" s="1" t="n">
        <v>36752</v>
      </c>
      <c r="B36753">
        <f>TEXT(36752, "[$-0E0000]yyyy-mm-dd")</f>
        <v/>
      </c>
      <c r="C36753" t="inlineStr">
        <is>
          <t>2000-07-16</t>
        </is>
      </c>
    </row>
    <row r="36754">
      <c r="A36754" s="1" t="n">
        <v>36753</v>
      </c>
      <c r="B36754">
        <f>TEXT(36753, "[$-0E0000]yyyy-mm-dd")</f>
        <v/>
      </c>
      <c r="C36754" t="inlineStr">
        <is>
          <t>2000-07-17</t>
        </is>
      </c>
    </row>
    <row r="36755">
      <c r="A36755" s="1" t="n">
        <v>36754</v>
      </c>
      <c r="B36755">
        <f>TEXT(36754, "[$-0E0000]yyyy-mm-dd")</f>
        <v/>
      </c>
      <c r="C36755" t="inlineStr">
        <is>
          <t>2000-07-18</t>
        </is>
      </c>
    </row>
    <row r="36756">
      <c r="A36756" s="1" t="n">
        <v>36755</v>
      </c>
      <c r="B36756">
        <f>TEXT(36755, "[$-0E0000]yyyy-mm-dd")</f>
        <v/>
      </c>
      <c r="C36756" t="inlineStr">
        <is>
          <t>2000-07-19</t>
        </is>
      </c>
    </row>
    <row r="36757">
      <c r="A36757" s="1" t="n">
        <v>36756</v>
      </c>
      <c r="B36757">
        <f>TEXT(36756, "[$-0E0000]yyyy-mm-dd")</f>
        <v/>
      </c>
      <c r="C36757" t="inlineStr">
        <is>
          <t>2000-07-20</t>
        </is>
      </c>
    </row>
    <row r="36758">
      <c r="A36758" s="1" t="n">
        <v>36757</v>
      </c>
      <c r="B36758">
        <f>TEXT(36757, "[$-0E0000]yyyy-mm-dd")</f>
        <v/>
      </c>
      <c r="C36758" t="inlineStr">
        <is>
          <t>2000-07-21</t>
        </is>
      </c>
    </row>
    <row r="36759">
      <c r="A36759" s="1" t="n">
        <v>36758</v>
      </c>
      <c r="B36759">
        <f>TEXT(36758, "[$-0E0000]yyyy-mm-dd")</f>
        <v/>
      </c>
      <c r="C36759" t="inlineStr">
        <is>
          <t>2000-07-22</t>
        </is>
      </c>
    </row>
    <row r="36760">
      <c r="A36760" s="1" t="n">
        <v>36759</v>
      </c>
      <c r="B36760">
        <f>TEXT(36759, "[$-0E0000]yyyy-mm-dd")</f>
        <v/>
      </c>
      <c r="C36760" t="inlineStr">
        <is>
          <t>2000-07-23</t>
        </is>
      </c>
    </row>
    <row r="36761">
      <c r="A36761" s="1" t="n">
        <v>36760</v>
      </c>
      <c r="B36761">
        <f>TEXT(36760, "[$-0E0000]yyyy-mm-dd")</f>
        <v/>
      </c>
      <c r="C36761" t="inlineStr">
        <is>
          <t>2000-07-24</t>
        </is>
      </c>
    </row>
    <row r="36762">
      <c r="A36762" s="1" t="n">
        <v>36761</v>
      </c>
      <c r="B36762">
        <f>TEXT(36761, "[$-0E0000]yyyy-mm-dd")</f>
        <v/>
      </c>
      <c r="C36762" t="inlineStr">
        <is>
          <t>2000-07-25</t>
        </is>
      </c>
    </row>
    <row r="36763">
      <c r="A36763" s="1" t="n">
        <v>36762</v>
      </c>
      <c r="B36763">
        <f>TEXT(36762, "[$-0E0000]yyyy-mm-dd")</f>
        <v/>
      </c>
      <c r="C36763" t="inlineStr">
        <is>
          <t>2000-07-26</t>
        </is>
      </c>
    </row>
    <row r="36764">
      <c r="A36764" s="1" t="n">
        <v>36763</v>
      </c>
      <c r="B36764">
        <f>TEXT(36763, "[$-0E0000]yyyy-mm-dd")</f>
        <v/>
      </c>
      <c r="C36764" t="inlineStr">
        <is>
          <t>2000-07-27</t>
        </is>
      </c>
    </row>
    <row r="36765">
      <c r="A36765" s="1" t="n">
        <v>36764</v>
      </c>
      <c r="B36765">
        <f>TEXT(36764, "[$-0E0000]yyyy-mm-dd")</f>
        <v/>
      </c>
      <c r="C36765" t="inlineStr">
        <is>
          <t>2000-07-28</t>
        </is>
      </c>
    </row>
    <row r="36766">
      <c r="A36766" s="1" t="n">
        <v>36765</v>
      </c>
      <c r="B36766">
        <f>TEXT(36765, "[$-0E0000]yyyy-mm-dd")</f>
        <v/>
      </c>
      <c r="C36766" t="inlineStr">
        <is>
          <t>2000-07-29</t>
        </is>
      </c>
    </row>
    <row r="36767">
      <c r="A36767" s="1" t="n">
        <v>36766</v>
      </c>
      <c r="B36767">
        <f>TEXT(36766, "[$-0E0000]yyyy-mm-dd")</f>
        <v/>
      </c>
      <c r="C36767" t="inlineStr">
        <is>
          <t>2000-08-01</t>
        </is>
      </c>
    </row>
    <row r="36768">
      <c r="A36768" s="1" t="n">
        <v>36767</v>
      </c>
      <c r="B36768">
        <f>TEXT(36767, "[$-0E0000]yyyy-mm-dd")</f>
        <v/>
      </c>
      <c r="C36768" t="inlineStr">
        <is>
          <t>2000-08-02</t>
        </is>
      </c>
    </row>
    <row r="36769">
      <c r="A36769" s="1" t="n">
        <v>36768</v>
      </c>
      <c r="B36769">
        <f>TEXT(36768, "[$-0E0000]yyyy-mm-dd")</f>
        <v/>
      </c>
      <c r="C36769" t="inlineStr">
        <is>
          <t>2000-08-03</t>
        </is>
      </c>
    </row>
    <row r="36770">
      <c r="A36770" s="1" t="n">
        <v>36769</v>
      </c>
      <c r="B36770">
        <f>TEXT(36769, "[$-0E0000]yyyy-mm-dd")</f>
        <v/>
      </c>
      <c r="C36770" t="inlineStr">
        <is>
          <t>2000-08-04</t>
        </is>
      </c>
    </row>
    <row r="36771">
      <c r="A36771" s="1" t="n">
        <v>36770</v>
      </c>
      <c r="B36771">
        <f>TEXT(36770, "[$-0E0000]yyyy-mm-dd")</f>
        <v/>
      </c>
      <c r="C36771" t="inlineStr">
        <is>
          <t>2000-08-05</t>
        </is>
      </c>
    </row>
    <row r="36772">
      <c r="A36772" s="1" t="n">
        <v>36771</v>
      </c>
      <c r="B36772">
        <f>TEXT(36771, "[$-0E0000]yyyy-mm-dd")</f>
        <v/>
      </c>
      <c r="C36772" t="inlineStr">
        <is>
          <t>2000-08-06</t>
        </is>
      </c>
    </row>
    <row r="36773">
      <c r="A36773" s="1" t="n">
        <v>36772</v>
      </c>
      <c r="B36773">
        <f>TEXT(36772, "[$-0E0000]yyyy-mm-dd")</f>
        <v/>
      </c>
      <c r="C36773" t="inlineStr">
        <is>
          <t>2000-08-07</t>
        </is>
      </c>
    </row>
    <row r="36774">
      <c r="A36774" s="1" t="n">
        <v>36773</v>
      </c>
      <c r="B36774">
        <f>TEXT(36773, "[$-0E0000]yyyy-mm-dd")</f>
        <v/>
      </c>
      <c r="C36774" t="inlineStr">
        <is>
          <t>2000-08-08</t>
        </is>
      </c>
    </row>
    <row r="36775">
      <c r="A36775" s="1" t="n">
        <v>36774</v>
      </c>
      <c r="B36775">
        <f>TEXT(36774, "[$-0E0000]yyyy-mm-dd")</f>
        <v/>
      </c>
      <c r="C36775" t="inlineStr">
        <is>
          <t>2000-08-09</t>
        </is>
      </c>
    </row>
    <row r="36776">
      <c r="A36776" s="1" t="n">
        <v>36775</v>
      </c>
      <c r="B36776">
        <f>TEXT(36775, "[$-0E0000]yyyy-mm-dd")</f>
        <v/>
      </c>
      <c r="C36776" t="inlineStr">
        <is>
          <t>2000-08-10</t>
        </is>
      </c>
    </row>
    <row r="36777">
      <c r="A36777" s="1" t="n">
        <v>36776</v>
      </c>
      <c r="B36777">
        <f>TEXT(36776, "[$-0E0000]yyyy-mm-dd")</f>
        <v/>
      </c>
      <c r="C36777" t="inlineStr">
        <is>
          <t>2000-08-11</t>
        </is>
      </c>
    </row>
    <row r="36778">
      <c r="A36778" s="1" t="n">
        <v>36777</v>
      </c>
      <c r="B36778">
        <f>TEXT(36777, "[$-0E0000]yyyy-mm-dd")</f>
        <v/>
      </c>
      <c r="C36778" t="inlineStr">
        <is>
          <t>2000-08-12</t>
        </is>
      </c>
    </row>
    <row r="36779">
      <c r="A36779" s="1" t="n">
        <v>36778</v>
      </c>
      <c r="B36779">
        <f>TEXT(36778, "[$-0E0000]yyyy-mm-dd")</f>
        <v/>
      </c>
      <c r="C36779" t="inlineStr">
        <is>
          <t>2000-08-13</t>
        </is>
      </c>
    </row>
    <row r="36780">
      <c r="A36780" s="1" t="n">
        <v>36779</v>
      </c>
      <c r="B36780">
        <f>TEXT(36779, "[$-0E0000]yyyy-mm-dd")</f>
        <v/>
      </c>
      <c r="C36780" t="inlineStr">
        <is>
          <t>2000-08-14</t>
        </is>
      </c>
    </row>
    <row r="36781">
      <c r="A36781" s="1" t="n">
        <v>36780</v>
      </c>
      <c r="B36781">
        <f>TEXT(36780, "[$-0E0000]yyyy-mm-dd")</f>
        <v/>
      </c>
      <c r="C36781" t="inlineStr">
        <is>
          <t>2000-08-15</t>
        </is>
      </c>
    </row>
    <row r="36782">
      <c r="A36782" s="1" t="n">
        <v>36781</v>
      </c>
      <c r="B36782">
        <f>TEXT(36781, "[$-0E0000]yyyy-mm-dd")</f>
        <v/>
      </c>
      <c r="C36782" t="inlineStr">
        <is>
          <t>2000-08-16</t>
        </is>
      </c>
    </row>
    <row r="36783">
      <c r="A36783" s="1" t="n">
        <v>36782</v>
      </c>
      <c r="B36783">
        <f>TEXT(36782, "[$-0E0000]yyyy-mm-dd")</f>
        <v/>
      </c>
      <c r="C36783" t="inlineStr">
        <is>
          <t>2000-08-17</t>
        </is>
      </c>
    </row>
    <row r="36784">
      <c r="A36784" s="1" t="n">
        <v>36783</v>
      </c>
      <c r="B36784">
        <f>TEXT(36783, "[$-0E0000]yyyy-mm-dd")</f>
        <v/>
      </c>
      <c r="C36784" t="inlineStr">
        <is>
          <t>2000-08-18</t>
        </is>
      </c>
    </row>
    <row r="36785">
      <c r="A36785" s="1" t="n">
        <v>36784</v>
      </c>
      <c r="B36785">
        <f>TEXT(36784, "[$-0E0000]yyyy-mm-dd")</f>
        <v/>
      </c>
      <c r="C36785" t="inlineStr">
        <is>
          <t>2000-08-19</t>
        </is>
      </c>
    </row>
    <row r="36786">
      <c r="A36786" s="1" t="n">
        <v>36785</v>
      </c>
      <c r="B36786">
        <f>TEXT(36785, "[$-0E0000]yyyy-mm-dd")</f>
        <v/>
      </c>
      <c r="C36786" t="inlineStr">
        <is>
          <t>2000-08-20</t>
        </is>
      </c>
    </row>
    <row r="36787">
      <c r="A36787" s="1" t="n">
        <v>36786</v>
      </c>
      <c r="B36787">
        <f>TEXT(36786, "[$-0E0000]yyyy-mm-dd")</f>
        <v/>
      </c>
      <c r="C36787" t="inlineStr">
        <is>
          <t>2000-08-21</t>
        </is>
      </c>
    </row>
    <row r="36788">
      <c r="A36788" s="1" t="n">
        <v>36787</v>
      </c>
      <c r="B36788">
        <f>TEXT(36787, "[$-0E0000]yyyy-mm-dd")</f>
        <v/>
      </c>
      <c r="C36788" t="inlineStr">
        <is>
          <t>2000-08-22</t>
        </is>
      </c>
    </row>
    <row r="36789">
      <c r="A36789" s="1" t="n">
        <v>36788</v>
      </c>
      <c r="B36789">
        <f>TEXT(36788, "[$-0E0000]yyyy-mm-dd")</f>
        <v/>
      </c>
      <c r="C36789" t="inlineStr">
        <is>
          <t>2000-08-23</t>
        </is>
      </c>
    </row>
    <row r="36790">
      <c r="A36790" s="1" t="n">
        <v>36789</v>
      </c>
      <c r="B36790">
        <f>TEXT(36789, "[$-0E0000]yyyy-mm-dd")</f>
        <v/>
      </c>
      <c r="C36790" t="inlineStr">
        <is>
          <t>2000-08-24</t>
        </is>
      </c>
    </row>
    <row r="36791">
      <c r="A36791" s="1" t="n">
        <v>36790</v>
      </c>
      <c r="B36791">
        <f>TEXT(36790, "[$-0E0000]yyyy-mm-dd")</f>
        <v/>
      </c>
      <c r="C36791" t="inlineStr">
        <is>
          <t>2000-08-25</t>
        </is>
      </c>
    </row>
    <row r="36792">
      <c r="A36792" s="1" t="n">
        <v>36791</v>
      </c>
      <c r="B36792">
        <f>TEXT(36791, "[$-0E0000]yyyy-mm-dd")</f>
        <v/>
      </c>
      <c r="C36792" t="inlineStr">
        <is>
          <t>2000-08-26</t>
        </is>
      </c>
    </row>
    <row r="36793">
      <c r="A36793" s="1" t="n">
        <v>36792</v>
      </c>
      <c r="B36793">
        <f>TEXT(36792, "[$-0E0000]yyyy-mm-dd")</f>
        <v/>
      </c>
      <c r="C36793" t="inlineStr">
        <is>
          <t>2000-08-27</t>
        </is>
      </c>
    </row>
    <row r="36794">
      <c r="A36794" s="1" t="n">
        <v>36793</v>
      </c>
      <c r="B36794">
        <f>TEXT(36793, "[$-0E0000]yyyy-mm-dd")</f>
        <v/>
      </c>
      <c r="C36794" t="inlineStr">
        <is>
          <t>2000-08-28</t>
        </is>
      </c>
    </row>
    <row r="36795">
      <c r="A36795" s="1" t="n">
        <v>36794</v>
      </c>
      <c r="B36795">
        <f>TEXT(36794, "[$-0E0000]yyyy-mm-dd")</f>
        <v/>
      </c>
      <c r="C36795" t="inlineStr">
        <is>
          <t>2000-08-29</t>
        </is>
      </c>
    </row>
    <row r="36796">
      <c r="A36796" s="1" t="n">
        <v>36795</v>
      </c>
      <c r="B36796">
        <f>TEXT(36795, "[$-0E0000]yyyy-mm-dd")</f>
        <v/>
      </c>
      <c r="C36796" t="inlineStr">
        <is>
          <t>2000-08-30</t>
        </is>
      </c>
    </row>
    <row r="36797">
      <c r="A36797" s="1" t="n">
        <v>36796</v>
      </c>
      <c r="B36797">
        <f>TEXT(36796, "[$-0E0000]yyyy-mm-dd")</f>
        <v/>
      </c>
      <c r="C36797" t="inlineStr">
        <is>
          <t>2000-09-01</t>
        </is>
      </c>
    </row>
    <row r="36798">
      <c r="A36798" s="1" t="n">
        <v>36797</v>
      </c>
      <c r="B36798">
        <f>TEXT(36797, "[$-0E0000]yyyy-mm-dd")</f>
        <v/>
      </c>
      <c r="C36798" t="inlineStr">
        <is>
          <t>2000-09-02</t>
        </is>
      </c>
    </row>
    <row r="36799">
      <c r="A36799" s="1" t="n">
        <v>36798</v>
      </c>
      <c r="B36799">
        <f>TEXT(36798, "[$-0E0000]yyyy-mm-dd")</f>
        <v/>
      </c>
      <c r="C36799" t="inlineStr">
        <is>
          <t>2000-09-03</t>
        </is>
      </c>
    </row>
    <row r="36800">
      <c r="A36800" s="1" t="n">
        <v>36799</v>
      </c>
      <c r="B36800">
        <f>TEXT(36799, "[$-0E0000]yyyy-mm-dd")</f>
        <v/>
      </c>
      <c r="C36800" t="inlineStr">
        <is>
          <t>2000-09-04</t>
        </is>
      </c>
    </row>
    <row r="36801">
      <c r="A36801" s="1" t="n">
        <v>36800</v>
      </c>
      <c r="B36801">
        <f>TEXT(36800, "[$-0E0000]yyyy-mm-dd")</f>
        <v/>
      </c>
      <c r="C36801" t="inlineStr">
        <is>
          <t>2000-09-05</t>
        </is>
      </c>
    </row>
    <row r="36802">
      <c r="A36802" s="1" t="n">
        <v>36801</v>
      </c>
      <c r="B36802">
        <f>TEXT(36801, "[$-0E0000]yyyy-mm-dd")</f>
        <v/>
      </c>
      <c r="C36802" t="inlineStr">
        <is>
          <t>2000-09-06</t>
        </is>
      </c>
    </row>
    <row r="36803">
      <c r="A36803" s="1" t="n">
        <v>36802</v>
      </c>
      <c r="B36803">
        <f>TEXT(36802, "[$-0E0000]yyyy-mm-dd")</f>
        <v/>
      </c>
      <c r="C36803" t="inlineStr">
        <is>
          <t>2000-09-07</t>
        </is>
      </c>
    </row>
    <row r="36804">
      <c r="A36804" s="1" t="n">
        <v>36803</v>
      </c>
      <c r="B36804">
        <f>TEXT(36803, "[$-0E0000]yyyy-mm-dd")</f>
        <v/>
      </c>
      <c r="C36804" t="inlineStr">
        <is>
          <t>2000-09-08</t>
        </is>
      </c>
    </row>
    <row r="36805">
      <c r="A36805" s="1" t="n">
        <v>36804</v>
      </c>
      <c r="B36805">
        <f>TEXT(36804, "[$-0E0000]yyyy-mm-dd")</f>
        <v/>
      </c>
      <c r="C36805" t="inlineStr">
        <is>
          <t>2000-09-09</t>
        </is>
      </c>
    </row>
    <row r="36806">
      <c r="A36806" s="1" t="n">
        <v>36805</v>
      </c>
      <c r="B36806">
        <f>TEXT(36805, "[$-0E0000]yyyy-mm-dd")</f>
        <v/>
      </c>
      <c r="C36806" t="inlineStr">
        <is>
          <t>2000-09-10</t>
        </is>
      </c>
    </row>
    <row r="36807">
      <c r="A36807" s="1" t="n">
        <v>36806</v>
      </c>
      <c r="B36807">
        <f>TEXT(36806, "[$-0E0000]yyyy-mm-dd")</f>
        <v/>
      </c>
      <c r="C36807" t="inlineStr">
        <is>
          <t>2000-09-11</t>
        </is>
      </c>
    </row>
    <row r="36808">
      <c r="A36808" s="1" t="n">
        <v>36807</v>
      </c>
      <c r="B36808">
        <f>TEXT(36807, "[$-0E0000]yyyy-mm-dd")</f>
        <v/>
      </c>
      <c r="C36808" t="inlineStr">
        <is>
          <t>2000-09-12</t>
        </is>
      </c>
    </row>
    <row r="36809">
      <c r="A36809" s="1" t="n">
        <v>36808</v>
      </c>
      <c r="B36809">
        <f>TEXT(36808, "[$-0E0000]yyyy-mm-dd")</f>
        <v/>
      </c>
      <c r="C36809" t="inlineStr">
        <is>
          <t>2000-09-13</t>
        </is>
      </c>
    </row>
    <row r="36810">
      <c r="A36810" s="1" t="n">
        <v>36809</v>
      </c>
      <c r="B36810">
        <f>TEXT(36809, "[$-0E0000]yyyy-mm-dd")</f>
        <v/>
      </c>
      <c r="C36810" t="inlineStr">
        <is>
          <t>2000-09-14</t>
        </is>
      </c>
    </row>
    <row r="36811">
      <c r="A36811" s="1" t="n">
        <v>36810</v>
      </c>
      <c r="B36811">
        <f>TEXT(36810, "[$-0E0000]yyyy-mm-dd")</f>
        <v/>
      </c>
      <c r="C36811" t="inlineStr">
        <is>
          <t>2000-09-15</t>
        </is>
      </c>
    </row>
    <row r="36812">
      <c r="A36812" s="1" t="n">
        <v>36811</v>
      </c>
      <c r="B36812">
        <f>TEXT(36811, "[$-0E0000]yyyy-mm-dd")</f>
        <v/>
      </c>
      <c r="C36812" t="inlineStr">
        <is>
          <t>2000-09-16</t>
        </is>
      </c>
    </row>
    <row r="36813">
      <c r="A36813" s="1" t="n">
        <v>36812</v>
      </c>
      <c r="B36813">
        <f>TEXT(36812, "[$-0E0000]yyyy-mm-dd")</f>
        <v/>
      </c>
      <c r="C36813" t="inlineStr">
        <is>
          <t>2000-09-17</t>
        </is>
      </c>
    </row>
    <row r="36814">
      <c r="A36814" s="1" t="n">
        <v>36813</v>
      </c>
      <c r="B36814">
        <f>TEXT(36813, "[$-0E0000]yyyy-mm-dd")</f>
        <v/>
      </c>
      <c r="C36814" t="inlineStr">
        <is>
          <t>2000-09-18</t>
        </is>
      </c>
    </row>
    <row r="36815">
      <c r="A36815" s="1" t="n">
        <v>36814</v>
      </c>
      <c r="B36815">
        <f>TEXT(36814, "[$-0E0000]yyyy-mm-dd")</f>
        <v/>
      </c>
      <c r="C36815" t="inlineStr">
        <is>
          <t>2000-09-19</t>
        </is>
      </c>
    </row>
    <row r="36816">
      <c r="A36816" s="1" t="n">
        <v>36815</v>
      </c>
      <c r="B36816">
        <f>TEXT(36815, "[$-0E0000]yyyy-mm-dd")</f>
        <v/>
      </c>
      <c r="C36816" t="inlineStr">
        <is>
          <t>2000-09-20</t>
        </is>
      </c>
    </row>
    <row r="36817">
      <c r="A36817" s="1" t="n">
        <v>36816</v>
      </c>
      <c r="B36817">
        <f>TEXT(36816, "[$-0E0000]yyyy-mm-dd")</f>
        <v/>
      </c>
      <c r="C36817" t="inlineStr">
        <is>
          <t>2000-09-21</t>
        </is>
      </c>
    </row>
    <row r="36818">
      <c r="A36818" s="1" t="n">
        <v>36817</v>
      </c>
      <c r="B36818">
        <f>TEXT(36817, "[$-0E0000]yyyy-mm-dd")</f>
        <v/>
      </c>
      <c r="C36818" t="inlineStr">
        <is>
          <t>2000-09-22</t>
        </is>
      </c>
    </row>
    <row r="36819">
      <c r="A36819" s="1" t="n">
        <v>36818</v>
      </c>
      <c r="B36819">
        <f>TEXT(36818, "[$-0E0000]yyyy-mm-dd")</f>
        <v/>
      </c>
      <c r="C36819" t="inlineStr">
        <is>
          <t>2000-09-23</t>
        </is>
      </c>
    </row>
    <row r="36820">
      <c r="A36820" s="1" t="n">
        <v>36819</v>
      </c>
      <c r="B36820">
        <f>TEXT(36819, "[$-0E0000]yyyy-mm-dd")</f>
        <v/>
      </c>
      <c r="C36820" t="inlineStr">
        <is>
          <t>2000-09-24</t>
        </is>
      </c>
    </row>
    <row r="36821">
      <c r="A36821" s="1" t="n">
        <v>36820</v>
      </c>
      <c r="B36821">
        <f>TEXT(36820, "[$-0E0000]yyyy-mm-dd")</f>
        <v/>
      </c>
      <c r="C36821" t="inlineStr">
        <is>
          <t>2000-09-25</t>
        </is>
      </c>
    </row>
    <row r="36822">
      <c r="A36822" s="1" t="n">
        <v>36821</v>
      </c>
      <c r="B36822">
        <f>TEXT(36821, "[$-0E0000]yyyy-mm-dd")</f>
        <v/>
      </c>
      <c r="C36822" t="inlineStr">
        <is>
          <t>2000-09-26</t>
        </is>
      </c>
    </row>
    <row r="36823">
      <c r="A36823" s="1" t="n">
        <v>36822</v>
      </c>
      <c r="B36823">
        <f>TEXT(36822, "[$-0E0000]yyyy-mm-dd")</f>
        <v/>
      </c>
      <c r="C36823" t="inlineStr">
        <is>
          <t>2000-09-27</t>
        </is>
      </c>
    </row>
    <row r="36824">
      <c r="A36824" s="1" t="n">
        <v>36823</v>
      </c>
      <c r="B36824">
        <f>TEXT(36823, "[$-0E0000]yyyy-mm-dd")</f>
        <v/>
      </c>
      <c r="C36824" t="inlineStr">
        <is>
          <t>2000-09-28</t>
        </is>
      </c>
    </row>
    <row r="36825">
      <c r="A36825" s="1" t="n">
        <v>36824</v>
      </c>
      <c r="B36825">
        <f>TEXT(36824, "[$-0E0000]yyyy-mm-dd")</f>
        <v/>
      </c>
      <c r="C36825" t="inlineStr">
        <is>
          <t>2000-09-29</t>
        </is>
      </c>
    </row>
    <row r="36826">
      <c r="A36826" s="1" t="n">
        <v>36825</v>
      </c>
      <c r="B36826">
        <f>TEXT(36825, "[$-0E0000]yyyy-mm-dd")</f>
        <v/>
      </c>
      <c r="C36826" t="inlineStr">
        <is>
          <t>2000-10-01</t>
        </is>
      </c>
    </row>
    <row r="36827">
      <c r="A36827" s="1" t="n">
        <v>36826</v>
      </c>
      <c r="B36827">
        <f>TEXT(36826, "[$-0E0000]yyyy-mm-dd")</f>
        <v/>
      </c>
      <c r="C36827" t="inlineStr">
        <is>
          <t>2000-10-02</t>
        </is>
      </c>
    </row>
    <row r="36828">
      <c r="A36828" s="1" t="n">
        <v>36827</v>
      </c>
      <c r="B36828">
        <f>TEXT(36827, "[$-0E0000]yyyy-mm-dd")</f>
        <v/>
      </c>
      <c r="C36828" t="inlineStr">
        <is>
          <t>2000-10-03</t>
        </is>
      </c>
    </row>
    <row r="36829">
      <c r="A36829" s="1" t="n">
        <v>36828</v>
      </c>
      <c r="B36829">
        <f>TEXT(36828, "[$-0E0000]yyyy-mm-dd")</f>
        <v/>
      </c>
      <c r="C36829" t="inlineStr">
        <is>
          <t>2000-10-04</t>
        </is>
      </c>
    </row>
    <row r="36830">
      <c r="A36830" s="1" t="n">
        <v>36829</v>
      </c>
      <c r="B36830">
        <f>TEXT(36829, "[$-0E0000]yyyy-mm-dd")</f>
        <v/>
      </c>
      <c r="C36830" t="inlineStr">
        <is>
          <t>2000-10-05</t>
        </is>
      </c>
    </row>
    <row r="36831">
      <c r="A36831" s="1" t="n">
        <v>36830</v>
      </c>
      <c r="B36831">
        <f>TEXT(36830, "[$-0E0000]yyyy-mm-dd")</f>
        <v/>
      </c>
      <c r="C36831" t="inlineStr">
        <is>
          <t>2000-10-06</t>
        </is>
      </c>
    </row>
    <row r="36832">
      <c r="A36832" s="1" t="n">
        <v>36831</v>
      </c>
      <c r="B36832">
        <f>TEXT(36831, "[$-0E0000]yyyy-mm-dd")</f>
        <v/>
      </c>
      <c r="C36832" t="inlineStr">
        <is>
          <t>2000-10-07</t>
        </is>
      </c>
    </row>
    <row r="36833">
      <c r="A36833" s="1" t="n">
        <v>36832</v>
      </c>
      <c r="B36833">
        <f>TEXT(36832, "[$-0E0000]yyyy-mm-dd")</f>
        <v/>
      </c>
      <c r="C36833" t="inlineStr">
        <is>
          <t>2000-10-08</t>
        </is>
      </c>
    </row>
    <row r="36834">
      <c r="A36834" s="1" t="n">
        <v>36833</v>
      </c>
      <c r="B36834">
        <f>TEXT(36833, "[$-0E0000]yyyy-mm-dd")</f>
        <v/>
      </c>
      <c r="C36834" t="inlineStr">
        <is>
          <t>2000-10-09</t>
        </is>
      </c>
    </row>
    <row r="36835">
      <c r="A36835" s="1" t="n">
        <v>36834</v>
      </c>
      <c r="B36835">
        <f>TEXT(36834, "[$-0E0000]yyyy-mm-dd")</f>
        <v/>
      </c>
      <c r="C36835" t="inlineStr">
        <is>
          <t>2000-10-10</t>
        </is>
      </c>
    </row>
    <row r="36836">
      <c r="A36836" s="1" t="n">
        <v>36835</v>
      </c>
      <c r="B36836">
        <f>TEXT(36835, "[$-0E0000]yyyy-mm-dd")</f>
        <v/>
      </c>
      <c r="C36836" t="inlineStr">
        <is>
          <t>2000-10-11</t>
        </is>
      </c>
    </row>
    <row r="36837">
      <c r="A36837" s="1" t="n">
        <v>36836</v>
      </c>
      <c r="B36837">
        <f>TEXT(36836, "[$-0E0000]yyyy-mm-dd")</f>
        <v/>
      </c>
      <c r="C36837" t="inlineStr">
        <is>
          <t>2000-10-12</t>
        </is>
      </c>
    </row>
    <row r="36838">
      <c r="A36838" s="1" t="n">
        <v>36837</v>
      </c>
      <c r="B36838">
        <f>TEXT(36837, "[$-0E0000]yyyy-mm-dd")</f>
        <v/>
      </c>
      <c r="C36838" t="inlineStr">
        <is>
          <t>2000-10-13</t>
        </is>
      </c>
    </row>
    <row r="36839">
      <c r="A36839" s="1" t="n">
        <v>36838</v>
      </c>
      <c r="B36839">
        <f>TEXT(36838, "[$-0E0000]yyyy-mm-dd")</f>
        <v/>
      </c>
      <c r="C36839" t="inlineStr">
        <is>
          <t>2000-10-14</t>
        </is>
      </c>
    </row>
    <row r="36840">
      <c r="A36840" s="1" t="n">
        <v>36839</v>
      </c>
      <c r="B36840">
        <f>TEXT(36839, "[$-0E0000]yyyy-mm-dd")</f>
        <v/>
      </c>
      <c r="C36840" t="inlineStr">
        <is>
          <t>2000-10-15</t>
        </is>
      </c>
    </row>
    <row r="36841">
      <c r="A36841" s="1" t="n">
        <v>36840</v>
      </c>
      <c r="B36841">
        <f>TEXT(36840, "[$-0E0000]yyyy-mm-dd")</f>
        <v/>
      </c>
      <c r="C36841" t="inlineStr">
        <is>
          <t>2000-10-16</t>
        </is>
      </c>
    </row>
    <row r="36842">
      <c r="A36842" s="1" t="n">
        <v>36841</v>
      </c>
      <c r="B36842">
        <f>TEXT(36841, "[$-0E0000]yyyy-mm-dd")</f>
        <v/>
      </c>
      <c r="C36842" t="inlineStr">
        <is>
          <t>2000-10-17</t>
        </is>
      </c>
    </row>
    <row r="36843">
      <c r="A36843" s="1" t="n">
        <v>36842</v>
      </c>
      <c r="B36843">
        <f>TEXT(36842, "[$-0E0000]yyyy-mm-dd")</f>
        <v/>
      </c>
      <c r="C36843" t="inlineStr">
        <is>
          <t>2000-10-18</t>
        </is>
      </c>
    </row>
    <row r="36844">
      <c r="A36844" s="1" t="n">
        <v>36843</v>
      </c>
      <c r="B36844">
        <f>TEXT(36843, "[$-0E0000]yyyy-mm-dd")</f>
        <v/>
      </c>
      <c r="C36844" t="inlineStr">
        <is>
          <t>2000-10-19</t>
        </is>
      </c>
    </row>
    <row r="36845">
      <c r="A36845" s="1" t="n">
        <v>36844</v>
      </c>
      <c r="B36845">
        <f>TEXT(36844, "[$-0E0000]yyyy-mm-dd")</f>
        <v/>
      </c>
      <c r="C36845" t="inlineStr">
        <is>
          <t>2000-10-20</t>
        </is>
      </c>
    </row>
    <row r="36846">
      <c r="A36846" s="1" t="n">
        <v>36845</v>
      </c>
      <c r="B36846">
        <f>TEXT(36845, "[$-0E0000]yyyy-mm-dd")</f>
        <v/>
      </c>
      <c r="C36846" t="inlineStr">
        <is>
          <t>2000-10-21</t>
        </is>
      </c>
    </row>
    <row r="36847">
      <c r="A36847" s="1" t="n">
        <v>36846</v>
      </c>
      <c r="B36847">
        <f>TEXT(36846, "[$-0E0000]yyyy-mm-dd")</f>
        <v/>
      </c>
      <c r="C36847" t="inlineStr">
        <is>
          <t>2000-10-22</t>
        </is>
      </c>
    </row>
    <row r="36848">
      <c r="A36848" s="1" t="n">
        <v>36847</v>
      </c>
      <c r="B36848">
        <f>TEXT(36847, "[$-0E0000]yyyy-mm-dd")</f>
        <v/>
      </c>
      <c r="C36848" t="inlineStr">
        <is>
          <t>2000-10-23</t>
        </is>
      </c>
    </row>
    <row r="36849">
      <c r="A36849" s="1" t="n">
        <v>36848</v>
      </c>
      <c r="B36849">
        <f>TEXT(36848, "[$-0E0000]yyyy-mm-dd")</f>
        <v/>
      </c>
      <c r="C36849" t="inlineStr">
        <is>
          <t>2000-10-24</t>
        </is>
      </c>
    </row>
    <row r="36850">
      <c r="A36850" s="1" t="n">
        <v>36849</v>
      </c>
      <c r="B36850">
        <f>TEXT(36849, "[$-0E0000]yyyy-mm-dd")</f>
        <v/>
      </c>
      <c r="C36850" t="inlineStr">
        <is>
          <t>2000-10-25</t>
        </is>
      </c>
    </row>
    <row r="36851">
      <c r="A36851" s="1" t="n">
        <v>36850</v>
      </c>
      <c r="B36851">
        <f>TEXT(36850, "[$-0E0000]yyyy-mm-dd")</f>
        <v/>
      </c>
      <c r="C36851" t="inlineStr">
        <is>
          <t>2000-10-26</t>
        </is>
      </c>
    </row>
    <row r="36852">
      <c r="A36852" s="1" t="n">
        <v>36851</v>
      </c>
      <c r="B36852">
        <f>TEXT(36851, "[$-0E0000]yyyy-mm-dd")</f>
        <v/>
      </c>
      <c r="C36852" t="inlineStr">
        <is>
          <t>2000-10-27</t>
        </is>
      </c>
    </row>
    <row r="36853">
      <c r="A36853" s="1" t="n">
        <v>36852</v>
      </c>
      <c r="B36853">
        <f>TEXT(36852, "[$-0E0000]yyyy-mm-dd")</f>
        <v/>
      </c>
      <c r="C36853" t="inlineStr">
        <is>
          <t>2000-10-28</t>
        </is>
      </c>
    </row>
    <row r="36854">
      <c r="A36854" s="1" t="n">
        <v>36853</v>
      </c>
      <c r="B36854">
        <f>TEXT(36853, "[$-0E0000]yyyy-mm-dd")</f>
        <v/>
      </c>
      <c r="C36854" t="inlineStr">
        <is>
          <t>2000-10-29</t>
        </is>
      </c>
    </row>
    <row r="36855">
      <c r="A36855" s="1" t="n">
        <v>36854</v>
      </c>
      <c r="B36855">
        <f>TEXT(36854, "[$-0E0000]yyyy-mm-dd")</f>
        <v/>
      </c>
      <c r="C36855" t="inlineStr">
        <is>
          <t>2000-10-30</t>
        </is>
      </c>
    </row>
    <row r="36856">
      <c r="A36856" s="1" t="n">
        <v>36855</v>
      </c>
      <c r="B36856">
        <f>TEXT(36855, "[$-0E0000]yyyy-mm-dd")</f>
        <v/>
      </c>
      <c r="C36856" t="inlineStr">
        <is>
          <t>2000-11-01</t>
        </is>
      </c>
    </row>
    <row r="36857">
      <c r="A36857" s="1" t="n">
        <v>36856</v>
      </c>
      <c r="B36857">
        <f>TEXT(36856, "[$-0E0000]yyyy-mm-dd")</f>
        <v/>
      </c>
      <c r="C36857" t="inlineStr">
        <is>
          <t>2000-11-02</t>
        </is>
      </c>
    </row>
    <row r="36858">
      <c r="A36858" s="1" t="n">
        <v>36857</v>
      </c>
      <c r="B36858">
        <f>TEXT(36857, "[$-0E0000]yyyy-mm-dd")</f>
        <v/>
      </c>
      <c r="C36858" t="inlineStr">
        <is>
          <t>2000-11-03</t>
        </is>
      </c>
    </row>
    <row r="36859">
      <c r="A36859" s="1" t="n">
        <v>36858</v>
      </c>
      <c r="B36859">
        <f>TEXT(36858, "[$-0E0000]yyyy-mm-dd")</f>
        <v/>
      </c>
      <c r="C36859" t="inlineStr">
        <is>
          <t>2000-11-04</t>
        </is>
      </c>
    </row>
    <row r="36860">
      <c r="A36860" s="1" t="n">
        <v>36859</v>
      </c>
      <c r="B36860">
        <f>TEXT(36859, "[$-0E0000]yyyy-mm-dd")</f>
        <v/>
      </c>
      <c r="C36860" t="inlineStr">
        <is>
          <t>2000-11-05</t>
        </is>
      </c>
    </row>
    <row r="36861">
      <c r="A36861" s="1" t="n">
        <v>36860</v>
      </c>
      <c r="B36861">
        <f>TEXT(36860, "[$-0E0000]yyyy-mm-dd")</f>
        <v/>
      </c>
      <c r="C36861" t="inlineStr">
        <is>
          <t>2000-11-06</t>
        </is>
      </c>
    </row>
    <row r="36862">
      <c r="A36862" s="1" t="n">
        <v>36861</v>
      </c>
      <c r="B36862">
        <f>TEXT(36861, "[$-0E0000]yyyy-mm-dd")</f>
        <v/>
      </c>
      <c r="C36862" t="inlineStr">
        <is>
          <t>2000-11-07</t>
        </is>
      </c>
    </row>
    <row r="36863">
      <c r="A36863" s="1" t="n">
        <v>36862</v>
      </c>
      <c r="B36863">
        <f>TEXT(36862, "[$-0E0000]yyyy-mm-dd")</f>
        <v/>
      </c>
      <c r="C36863" t="inlineStr">
        <is>
          <t>2000-11-08</t>
        </is>
      </c>
    </row>
    <row r="36864">
      <c r="A36864" s="1" t="n">
        <v>36863</v>
      </c>
      <c r="B36864">
        <f>TEXT(36863, "[$-0E0000]yyyy-mm-dd")</f>
        <v/>
      </c>
      <c r="C36864" t="inlineStr">
        <is>
          <t>2000-11-09</t>
        </is>
      </c>
    </row>
    <row r="36865">
      <c r="A36865" s="1" t="n">
        <v>36864</v>
      </c>
      <c r="B36865">
        <f>TEXT(36864, "[$-0E0000]yyyy-mm-dd")</f>
        <v/>
      </c>
      <c r="C36865" t="inlineStr">
        <is>
          <t>2000-11-10</t>
        </is>
      </c>
    </row>
    <row r="36866">
      <c r="A36866" s="1" t="n">
        <v>36865</v>
      </c>
      <c r="B36866">
        <f>TEXT(36865, "[$-0E0000]yyyy-mm-dd")</f>
        <v/>
      </c>
      <c r="C36866" t="inlineStr">
        <is>
          <t>2000-11-11</t>
        </is>
      </c>
    </row>
    <row r="36867">
      <c r="A36867" s="1" t="n">
        <v>36866</v>
      </c>
      <c r="B36867">
        <f>TEXT(36866, "[$-0E0000]yyyy-mm-dd")</f>
        <v/>
      </c>
      <c r="C36867" t="inlineStr">
        <is>
          <t>2000-11-12</t>
        </is>
      </c>
    </row>
    <row r="36868">
      <c r="A36868" s="1" t="n">
        <v>36867</v>
      </c>
      <c r="B36868">
        <f>TEXT(36867, "[$-0E0000]yyyy-mm-dd")</f>
        <v/>
      </c>
      <c r="C36868" t="inlineStr">
        <is>
          <t>2000-11-13</t>
        </is>
      </c>
    </row>
    <row r="36869">
      <c r="A36869" s="1" t="n">
        <v>36868</v>
      </c>
      <c r="B36869">
        <f>TEXT(36868, "[$-0E0000]yyyy-mm-dd")</f>
        <v/>
      </c>
      <c r="C36869" t="inlineStr">
        <is>
          <t>2000-11-14</t>
        </is>
      </c>
    </row>
    <row r="36870">
      <c r="A36870" s="1" t="n">
        <v>36869</v>
      </c>
      <c r="B36870">
        <f>TEXT(36869, "[$-0E0000]yyyy-mm-dd")</f>
        <v/>
      </c>
      <c r="C36870" t="inlineStr">
        <is>
          <t>2000-11-15</t>
        </is>
      </c>
    </row>
    <row r="36871">
      <c r="A36871" s="1" t="n">
        <v>36870</v>
      </c>
      <c r="B36871">
        <f>TEXT(36870, "[$-0E0000]yyyy-mm-dd")</f>
        <v/>
      </c>
      <c r="C36871" t="inlineStr">
        <is>
          <t>2000-11-16</t>
        </is>
      </c>
    </row>
    <row r="36872">
      <c r="A36872" s="1" t="n">
        <v>36871</v>
      </c>
      <c r="B36872">
        <f>TEXT(36871, "[$-0E0000]yyyy-mm-dd")</f>
        <v/>
      </c>
      <c r="C36872" t="inlineStr">
        <is>
          <t>2000-11-17</t>
        </is>
      </c>
    </row>
    <row r="36873">
      <c r="A36873" s="1" t="n">
        <v>36872</v>
      </c>
      <c r="B36873">
        <f>TEXT(36872, "[$-0E0000]yyyy-mm-dd")</f>
        <v/>
      </c>
      <c r="C36873" t="inlineStr">
        <is>
          <t>2000-11-18</t>
        </is>
      </c>
    </row>
    <row r="36874">
      <c r="A36874" s="1" t="n">
        <v>36873</v>
      </c>
      <c r="B36874">
        <f>TEXT(36873, "[$-0E0000]yyyy-mm-dd")</f>
        <v/>
      </c>
      <c r="C36874" t="inlineStr">
        <is>
          <t>2000-11-19</t>
        </is>
      </c>
    </row>
    <row r="36875">
      <c r="A36875" s="1" t="n">
        <v>36874</v>
      </c>
      <c r="B36875">
        <f>TEXT(36874, "[$-0E0000]yyyy-mm-dd")</f>
        <v/>
      </c>
      <c r="C36875" t="inlineStr">
        <is>
          <t>2000-11-20</t>
        </is>
      </c>
    </row>
    <row r="36876">
      <c r="A36876" s="1" t="n">
        <v>36875</v>
      </c>
      <c r="B36876">
        <f>TEXT(36875, "[$-0E0000]yyyy-mm-dd")</f>
        <v/>
      </c>
      <c r="C36876" t="inlineStr">
        <is>
          <t>2000-11-21</t>
        </is>
      </c>
    </row>
    <row r="36877">
      <c r="A36877" s="1" t="n">
        <v>36876</v>
      </c>
      <c r="B36877">
        <f>TEXT(36876, "[$-0E0000]yyyy-mm-dd")</f>
        <v/>
      </c>
      <c r="C36877" t="inlineStr">
        <is>
          <t>2000-11-22</t>
        </is>
      </c>
    </row>
    <row r="36878">
      <c r="A36878" s="1" t="n">
        <v>36877</v>
      </c>
      <c r="B36878">
        <f>TEXT(36877, "[$-0E0000]yyyy-mm-dd")</f>
        <v/>
      </c>
      <c r="C36878" t="inlineStr">
        <is>
          <t>2000-11-23</t>
        </is>
      </c>
    </row>
    <row r="36879">
      <c r="A36879" s="1" t="n">
        <v>36878</v>
      </c>
      <c r="B36879">
        <f>TEXT(36878, "[$-0E0000]yyyy-mm-dd")</f>
        <v/>
      </c>
      <c r="C36879" t="inlineStr">
        <is>
          <t>2000-11-24</t>
        </is>
      </c>
    </row>
    <row r="36880">
      <c r="A36880" s="1" t="n">
        <v>36879</v>
      </c>
      <c r="B36880">
        <f>TEXT(36879, "[$-0E0000]yyyy-mm-dd")</f>
        <v/>
      </c>
      <c r="C36880" t="inlineStr">
        <is>
          <t>2000-11-25</t>
        </is>
      </c>
    </row>
    <row r="36881">
      <c r="A36881" s="1" t="n">
        <v>36880</v>
      </c>
      <c r="B36881">
        <f>TEXT(36880, "[$-0E0000]yyyy-mm-dd")</f>
        <v/>
      </c>
      <c r="C36881" t="inlineStr">
        <is>
          <t>2000-11-26</t>
        </is>
      </c>
    </row>
    <row r="36882">
      <c r="A36882" s="1" t="n">
        <v>36881</v>
      </c>
      <c r="B36882">
        <f>TEXT(36881, "[$-0E0000]yyyy-mm-dd")</f>
        <v/>
      </c>
      <c r="C36882" t="inlineStr">
        <is>
          <t>2000-11-27</t>
        </is>
      </c>
    </row>
    <row r="36883">
      <c r="A36883" s="1" t="n">
        <v>36882</v>
      </c>
      <c r="B36883">
        <f>TEXT(36882, "[$-0E0000]yyyy-mm-dd")</f>
        <v/>
      </c>
      <c r="C36883" t="inlineStr">
        <is>
          <t>2000-11-28</t>
        </is>
      </c>
    </row>
    <row r="36884">
      <c r="A36884" s="1" t="n">
        <v>36883</v>
      </c>
      <c r="B36884">
        <f>TEXT(36883, "[$-0E0000]yyyy-mm-dd")</f>
        <v/>
      </c>
      <c r="C36884" t="inlineStr">
        <is>
          <t>2000-11-29</t>
        </is>
      </c>
    </row>
    <row r="36885">
      <c r="A36885" s="1" t="n">
        <v>36884</v>
      </c>
      <c r="B36885">
        <f>TEXT(36884, "[$-0E0000]yyyy-mm-dd")</f>
        <v/>
      </c>
      <c r="C36885" t="inlineStr">
        <is>
          <t>2000-11-30</t>
        </is>
      </c>
    </row>
    <row r="36886">
      <c r="A36886" s="1" t="n">
        <v>36885</v>
      </c>
      <c r="B36886">
        <f>TEXT(36885, "[$-0E0000]yyyy-mm-dd")</f>
        <v/>
      </c>
      <c r="C36886" t="inlineStr">
        <is>
          <t>2000-12-01</t>
        </is>
      </c>
    </row>
    <row r="36887">
      <c r="A36887" s="1" t="n">
        <v>36886</v>
      </c>
      <c r="B36887">
        <f>TEXT(36886, "[$-0E0000]yyyy-mm-dd")</f>
        <v/>
      </c>
      <c r="C36887" t="inlineStr">
        <is>
          <t>2000-12-02</t>
        </is>
      </c>
    </row>
    <row r="36888">
      <c r="A36888" s="1" t="n">
        <v>36887</v>
      </c>
      <c r="B36888">
        <f>TEXT(36887, "[$-0E0000]yyyy-mm-dd")</f>
        <v/>
      </c>
      <c r="C36888" t="inlineStr">
        <is>
          <t>2000-12-03</t>
        </is>
      </c>
    </row>
    <row r="36889">
      <c r="A36889" s="1" t="n">
        <v>36888</v>
      </c>
      <c r="B36889">
        <f>TEXT(36888, "[$-0E0000]yyyy-mm-dd")</f>
        <v/>
      </c>
      <c r="C36889" t="inlineStr">
        <is>
          <t>2000-12-04</t>
        </is>
      </c>
    </row>
    <row r="36890">
      <c r="A36890" s="1" t="n">
        <v>36889</v>
      </c>
      <c r="B36890">
        <f>TEXT(36889, "[$-0E0000]yyyy-mm-dd")</f>
        <v/>
      </c>
      <c r="C36890" t="inlineStr">
        <is>
          <t>2000-12-05</t>
        </is>
      </c>
    </row>
    <row r="36891">
      <c r="A36891" s="1" t="n">
        <v>36890</v>
      </c>
      <c r="B36891">
        <f>TEXT(36890, "[$-0E0000]yyyy-mm-dd")</f>
        <v/>
      </c>
      <c r="C36891" t="inlineStr">
        <is>
          <t>2000-12-06</t>
        </is>
      </c>
    </row>
    <row r="36892">
      <c r="A36892" s="1" t="n">
        <v>36891</v>
      </c>
      <c r="B36892">
        <f>TEXT(36891, "[$-0E0000]yyyy-mm-dd")</f>
        <v/>
      </c>
      <c r="C36892" t="inlineStr">
        <is>
          <t>2000-12-07</t>
        </is>
      </c>
    </row>
    <row r="36893">
      <c r="A36893" s="1" t="n">
        <v>36892</v>
      </c>
      <c r="B36893">
        <f>TEXT(36892, "[$-0E0000]yyyy-mm-dd")</f>
        <v/>
      </c>
      <c r="C36893" t="inlineStr">
        <is>
          <t>2000-12-08</t>
        </is>
      </c>
    </row>
    <row r="36894">
      <c r="A36894" s="1" t="n">
        <v>36893</v>
      </c>
      <c r="B36894">
        <f>TEXT(36893, "[$-0E0000]yyyy-mm-dd")</f>
        <v/>
      </c>
      <c r="C36894" t="inlineStr">
        <is>
          <t>2000-12-09</t>
        </is>
      </c>
    </row>
    <row r="36895">
      <c r="A36895" s="1" t="n">
        <v>36894</v>
      </c>
      <c r="B36895">
        <f>TEXT(36894, "[$-0E0000]yyyy-mm-dd")</f>
        <v/>
      </c>
      <c r="C36895" t="inlineStr">
        <is>
          <t>2000-12-10</t>
        </is>
      </c>
    </row>
    <row r="36896">
      <c r="A36896" s="1" t="n">
        <v>36895</v>
      </c>
      <c r="B36896">
        <f>TEXT(36895, "[$-0E0000]yyyy-mm-dd")</f>
        <v/>
      </c>
      <c r="C36896" t="inlineStr">
        <is>
          <t>2000-12-11</t>
        </is>
      </c>
    </row>
    <row r="36897">
      <c r="A36897" s="1" t="n">
        <v>36896</v>
      </c>
      <c r="B36897">
        <f>TEXT(36896, "[$-0E0000]yyyy-mm-dd")</f>
        <v/>
      </c>
      <c r="C36897" t="inlineStr">
        <is>
          <t>2000-12-12</t>
        </is>
      </c>
    </row>
    <row r="36898">
      <c r="A36898" s="1" t="n">
        <v>36897</v>
      </c>
      <c r="B36898">
        <f>TEXT(36897, "[$-0E0000]yyyy-mm-dd")</f>
        <v/>
      </c>
      <c r="C36898" t="inlineStr">
        <is>
          <t>2000-12-13</t>
        </is>
      </c>
    </row>
    <row r="36899">
      <c r="A36899" s="1" t="n">
        <v>36898</v>
      </c>
      <c r="B36899">
        <f>TEXT(36898, "[$-0E0000]yyyy-mm-dd")</f>
        <v/>
      </c>
      <c r="C36899" t="inlineStr">
        <is>
          <t>2000-12-14</t>
        </is>
      </c>
    </row>
    <row r="36900">
      <c r="A36900" s="1" t="n">
        <v>36899</v>
      </c>
      <c r="B36900">
        <f>TEXT(36899, "[$-0E0000]yyyy-mm-dd")</f>
        <v/>
      </c>
      <c r="C36900" t="inlineStr">
        <is>
          <t>2000-12-15</t>
        </is>
      </c>
    </row>
    <row r="36901">
      <c r="A36901" s="1" t="n">
        <v>36900</v>
      </c>
      <c r="B36901">
        <f>TEXT(36900, "[$-0E0000]yyyy-mm-dd")</f>
        <v/>
      </c>
      <c r="C36901" t="inlineStr">
        <is>
          <t>2000-12-16</t>
        </is>
      </c>
    </row>
    <row r="36902">
      <c r="A36902" s="1" t="n">
        <v>36901</v>
      </c>
      <c r="B36902">
        <f>TEXT(36901, "[$-0E0000]yyyy-mm-dd")</f>
        <v/>
      </c>
      <c r="C36902" t="inlineStr">
        <is>
          <t>2000-12-17</t>
        </is>
      </c>
    </row>
    <row r="36903">
      <c r="A36903" s="1" t="n">
        <v>36902</v>
      </c>
      <c r="B36903">
        <f>TEXT(36902, "[$-0E0000]yyyy-mm-dd")</f>
        <v/>
      </c>
      <c r="C36903" t="inlineStr">
        <is>
          <t>2000-12-18</t>
        </is>
      </c>
    </row>
    <row r="36904">
      <c r="A36904" s="1" t="n">
        <v>36903</v>
      </c>
      <c r="B36904">
        <f>TEXT(36903, "[$-0E0000]yyyy-mm-dd")</f>
        <v/>
      </c>
      <c r="C36904" t="inlineStr">
        <is>
          <t>2000-12-19</t>
        </is>
      </c>
    </row>
    <row r="36905">
      <c r="A36905" s="1" t="n">
        <v>36904</v>
      </c>
      <c r="B36905">
        <f>TEXT(36904, "[$-0E0000]yyyy-mm-dd")</f>
        <v/>
      </c>
      <c r="C36905" t="inlineStr">
        <is>
          <t>2000-12-20</t>
        </is>
      </c>
    </row>
    <row r="36906">
      <c r="A36906" s="1" t="n">
        <v>36905</v>
      </c>
      <c r="B36906">
        <f>TEXT(36905, "[$-0E0000]yyyy-mm-dd")</f>
        <v/>
      </c>
      <c r="C36906" t="inlineStr">
        <is>
          <t>2000-12-21</t>
        </is>
      </c>
    </row>
    <row r="36907">
      <c r="A36907" s="1" t="n">
        <v>36906</v>
      </c>
      <c r="B36907">
        <f>TEXT(36906, "[$-0E0000]yyyy-mm-dd")</f>
        <v/>
      </c>
      <c r="C36907" t="inlineStr">
        <is>
          <t>2000-12-22</t>
        </is>
      </c>
    </row>
    <row r="36908">
      <c r="A36908" s="1" t="n">
        <v>36907</v>
      </c>
      <c r="B36908">
        <f>TEXT(36907, "[$-0E0000]yyyy-mm-dd")</f>
        <v/>
      </c>
      <c r="C36908" t="inlineStr">
        <is>
          <t>2000-12-23</t>
        </is>
      </c>
    </row>
    <row r="36909">
      <c r="A36909" s="1" t="n">
        <v>36908</v>
      </c>
      <c r="B36909">
        <f>TEXT(36908, "[$-0E0000]yyyy-mm-dd")</f>
        <v/>
      </c>
      <c r="C36909" t="inlineStr">
        <is>
          <t>2000-12-24</t>
        </is>
      </c>
    </row>
    <row r="36910">
      <c r="A36910" s="1" t="n">
        <v>36909</v>
      </c>
      <c r="B36910">
        <f>TEXT(36909, "[$-0E0000]yyyy-mm-dd")</f>
        <v/>
      </c>
      <c r="C36910" t="inlineStr">
        <is>
          <t>2000-12-25</t>
        </is>
      </c>
    </row>
    <row r="36911">
      <c r="A36911" s="1" t="n">
        <v>36910</v>
      </c>
      <c r="B36911">
        <f>TEXT(36910, "[$-0E0000]yyyy-mm-dd")</f>
        <v/>
      </c>
      <c r="C36911" t="inlineStr">
        <is>
          <t>2000-12-26</t>
        </is>
      </c>
    </row>
    <row r="36912">
      <c r="A36912" s="1" t="n">
        <v>36911</v>
      </c>
      <c r="B36912">
        <f>TEXT(36911, "[$-0E0000]yyyy-mm-dd")</f>
        <v/>
      </c>
      <c r="C36912" t="inlineStr">
        <is>
          <t>2000-12-27</t>
        </is>
      </c>
    </row>
    <row r="36913">
      <c r="A36913" s="1" t="n">
        <v>36912</v>
      </c>
      <c r="B36913">
        <f>TEXT(36912, "[$-0E0000]yyyy-mm-dd")</f>
        <v/>
      </c>
      <c r="C36913" t="inlineStr">
        <is>
          <t>2000-12-28</t>
        </is>
      </c>
    </row>
    <row r="36914">
      <c r="A36914" s="1" t="n">
        <v>36913</v>
      </c>
      <c r="B36914">
        <f>TEXT(36913, "[$-0E0000]yyyy-mm-dd")</f>
        <v/>
      </c>
      <c r="C36914" t="inlineStr">
        <is>
          <t>2000-12-29</t>
        </is>
      </c>
    </row>
    <row r="36915">
      <c r="A36915" s="1" t="n">
        <v>36914</v>
      </c>
      <c r="B36915">
        <f>TEXT(36914, "[$-0E0000]yyyy-mm-dd")</f>
        <v/>
      </c>
      <c r="C36915" t="inlineStr">
        <is>
          <t>2001-01-01</t>
        </is>
      </c>
    </row>
    <row r="36916">
      <c r="A36916" s="1" t="n">
        <v>36915</v>
      </c>
      <c r="B36916">
        <f>TEXT(36915, "[$-0E0000]yyyy-mm-dd")</f>
        <v/>
      </c>
      <c r="C36916" t="inlineStr">
        <is>
          <t>2001-01-02</t>
        </is>
      </c>
    </row>
    <row r="36917">
      <c r="A36917" s="1" t="n">
        <v>36916</v>
      </c>
      <c r="B36917">
        <f>TEXT(36916, "[$-0E0000]yyyy-mm-dd")</f>
        <v/>
      </c>
      <c r="C36917" t="inlineStr">
        <is>
          <t>2001-01-03</t>
        </is>
      </c>
    </row>
    <row r="36918">
      <c r="A36918" s="1" t="n">
        <v>36917</v>
      </c>
      <c r="B36918">
        <f>TEXT(36917, "[$-0E0000]yyyy-mm-dd")</f>
        <v/>
      </c>
      <c r="C36918" t="inlineStr">
        <is>
          <t>2001-01-04</t>
        </is>
      </c>
    </row>
    <row r="36919">
      <c r="A36919" s="1" t="n">
        <v>36918</v>
      </c>
      <c r="B36919">
        <f>TEXT(36918, "[$-0E0000]yyyy-mm-dd")</f>
        <v/>
      </c>
      <c r="C36919" t="inlineStr">
        <is>
          <t>2001-01-05</t>
        </is>
      </c>
    </row>
    <row r="36920">
      <c r="A36920" s="1" t="n">
        <v>36919</v>
      </c>
      <c r="B36920">
        <f>TEXT(36919, "[$-0E0000]yyyy-mm-dd")</f>
        <v/>
      </c>
      <c r="C36920" t="inlineStr">
        <is>
          <t>2001-01-06</t>
        </is>
      </c>
    </row>
    <row r="36921">
      <c r="A36921" s="1" t="n">
        <v>36920</v>
      </c>
      <c r="B36921">
        <f>TEXT(36920, "[$-0E0000]yyyy-mm-dd")</f>
        <v/>
      </c>
      <c r="C36921" t="inlineStr">
        <is>
          <t>2001-01-07</t>
        </is>
      </c>
    </row>
    <row r="36922">
      <c r="A36922" s="1" t="n">
        <v>36921</v>
      </c>
      <c r="B36922">
        <f>TEXT(36921, "[$-0E0000]yyyy-mm-dd")</f>
        <v/>
      </c>
      <c r="C36922" t="inlineStr">
        <is>
          <t>2001-01-08</t>
        </is>
      </c>
    </row>
    <row r="36923">
      <c r="A36923" s="1" t="n">
        <v>36922</v>
      </c>
      <c r="B36923">
        <f>TEXT(36922, "[$-0E0000]yyyy-mm-dd")</f>
        <v/>
      </c>
      <c r="C36923" t="inlineStr">
        <is>
          <t>2001-01-09</t>
        </is>
      </c>
    </row>
    <row r="36924">
      <c r="A36924" s="1" t="n">
        <v>36923</v>
      </c>
      <c r="B36924">
        <f>TEXT(36923, "[$-0E0000]yyyy-mm-dd")</f>
        <v/>
      </c>
      <c r="C36924" t="inlineStr">
        <is>
          <t>2001-01-10</t>
        </is>
      </c>
    </row>
    <row r="36925">
      <c r="A36925" s="1" t="n">
        <v>36924</v>
      </c>
      <c r="B36925">
        <f>TEXT(36924, "[$-0E0000]yyyy-mm-dd")</f>
        <v/>
      </c>
      <c r="C36925" t="inlineStr">
        <is>
          <t>2001-01-11</t>
        </is>
      </c>
    </row>
    <row r="36926">
      <c r="A36926" s="1" t="n">
        <v>36925</v>
      </c>
      <c r="B36926">
        <f>TEXT(36925, "[$-0E0000]yyyy-mm-dd")</f>
        <v/>
      </c>
      <c r="C36926" t="inlineStr">
        <is>
          <t>2001-01-12</t>
        </is>
      </c>
    </row>
    <row r="36927">
      <c r="A36927" s="1" t="n">
        <v>36926</v>
      </c>
      <c r="B36927">
        <f>TEXT(36926, "[$-0E0000]yyyy-mm-dd")</f>
        <v/>
      </c>
      <c r="C36927" t="inlineStr">
        <is>
          <t>2001-01-13</t>
        </is>
      </c>
    </row>
    <row r="36928">
      <c r="A36928" s="1" t="n">
        <v>36927</v>
      </c>
      <c r="B36928">
        <f>TEXT(36927, "[$-0E0000]yyyy-mm-dd")</f>
        <v/>
      </c>
      <c r="C36928" t="inlineStr">
        <is>
          <t>2001-01-14</t>
        </is>
      </c>
    </row>
    <row r="36929">
      <c r="A36929" s="1" t="n">
        <v>36928</v>
      </c>
      <c r="B36929">
        <f>TEXT(36928, "[$-0E0000]yyyy-mm-dd")</f>
        <v/>
      </c>
      <c r="C36929" t="inlineStr">
        <is>
          <t>2001-01-15</t>
        </is>
      </c>
    </row>
    <row r="36930">
      <c r="A36930" s="1" t="n">
        <v>36929</v>
      </c>
      <c r="B36930">
        <f>TEXT(36929, "[$-0E0000]yyyy-mm-dd")</f>
        <v/>
      </c>
      <c r="C36930" t="inlineStr">
        <is>
          <t>2001-01-16</t>
        </is>
      </c>
    </row>
    <row r="36931">
      <c r="A36931" s="1" t="n">
        <v>36930</v>
      </c>
      <c r="B36931">
        <f>TEXT(36930, "[$-0E0000]yyyy-mm-dd")</f>
        <v/>
      </c>
      <c r="C36931" t="inlineStr">
        <is>
          <t>2001-01-17</t>
        </is>
      </c>
    </row>
    <row r="36932">
      <c r="A36932" s="1" t="n">
        <v>36931</v>
      </c>
      <c r="B36932">
        <f>TEXT(36931, "[$-0E0000]yyyy-mm-dd")</f>
        <v/>
      </c>
      <c r="C36932" t="inlineStr">
        <is>
          <t>2001-01-18</t>
        </is>
      </c>
    </row>
    <row r="36933">
      <c r="A36933" s="1" t="n">
        <v>36932</v>
      </c>
      <c r="B36933">
        <f>TEXT(36932, "[$-0E0000]yyyy-mm-dd")</f>
        <v/>
      </c>
      <c r="C36933" t="inlineStr">
        <is>
          <t>2001-01-19</t>
        </is>
      </c>
    </row>
    <row r="36934">
      <c r="A36934" s="1" t="n">
        <v>36933</v>
      </c>
      <c r="B36934">
        <f>TEXT(36933, "[$-0E0000]yyyy-mm-dd")</f>
        <v/>
      </c>
      <c r="C36934" t="inlineStr">
        <is>
          <t>2001-01-20</t>
        </is>
      </c>
    </row>
    <row r="36935">
      <c r="A36935" s="1" t="n">
        <v>36934</v>
      </c>
      <c r="B36935">
        <f>TEXT(36934, "[$-0E0000]yyyy-mm-dd")</f>
        <v/>
      </c>
      <c r="C36935" t="inlineStr">
        <is>
          <t>2001-01-21</t>
        </is>
      </c>
    </row>
    <row r="36936">
      <c r="A36936" s="1" t="n">
        <v>36935</v>
      </c>
      <c r="B36936">
        <f>TEXT(36935, "[$-0E0000]yyyy-mm-dd")</f>
        <v/>
      </c>
      <c r="C36936" t="inlineStr">
        <is>
          <t>2001-01-22</t>
        </is>
      </c>
    </row>
    <row r="36937">
      <c r="A36937" s="1" t="n">
        <v>36936</v>
      </c>
      <c r="B36937">
        <f>TEXT(36936, "[$-0E0000]yyyy-mm-dd")</f>
        <v/>
      </c>
      <c r="C36937" t="inlineStr">
        <is>
          <t>2001-01-23</t>
        </is>
      </c>
    </row>
    <row r="36938">
      <c r="A36938" s="1" t="n">
        <v>36937</v>
      </c>
      <c r="B36938">
        <f>TEXT(36937, "[$-0E0000]yyyy-mm-dd")</f>
        <v/>
      </c>
      <c r="C36938" t="inlineStr">
        <is>
          <t>2001-01-24</t>
        </is>
      </c>
    </row>
    <row r="36939">
      <c r="A36939" s="1" t="n">
        <v>36938</v>
      </c>
      <c r="B36939">
        <f>TEXT(36938, "[$-0E0000]yyyy-mm-dd")</f>
        <v/>
      </c>
      <c r="C36939" t="inlineStr">
        <is>
          <t>2001-01-25</t>
        </is>
      </c>
    </row>
    <row r="36940">
      <c r="A36940" s="1" t="n">
        <v>36939</v>
      </c>
      <c r="B36940">
        <f>TEXT(36939, "[$-0E0000]yyyy-mm-dd")</f>
        <v/>
      </c>
      <c r="C36940" t="inlineStr">
        <is>
          <t>2001-01-26</t>
        </is>
      </c>
    </row>
    <row r="36941">
      <c r="A36941" s="1" t="n">
        <v>36940</v>
      </c>
      <c r="B36941">
        <f>TEXT(36940, "[$-0E0000]yyyy-mm-dd")</f>
        <v/>
      </c>
      <c r="C36941" t="inlineStr">
        <is>
          <t>2001-01-27</t>
        </is>
      </c>
    </row>
    <row r="36942">
      <c r="A36942" s="1" t="n">
        <v>36941</v>
      </c>
      <c r="B36942">
        <f>TEXT(36941, "[$-0E0000]yyyy-mm-dd")</f>
        <v/>
      </c>
      <c r="C36942" t="inlineStr">
        <is>
          <t>2001-01-28</t>
        </is>
      </c>
    </row>
    <row r="36943">
      <c r="A36943" s="1" t="n">
        <v>36942</v>
      </c>
      <c r="B36943">
        <f>TEXT(36942, "[$-0E0000]yyyy-mm-dd")</f>
        <v/>
      </c>
      <c r="C36943" t="inlineStr">
        <is>
          <t>2001-01-29</t>
        </is>
      </c>
    </row>
    <row r="36944">
      <c r="A36944" s="1" t="n">
        <v>36943</v>
      </c>
      <c r="B36944">
        <f>TEXT(36943, "[$-0E0000]yyyy-mm-dd")</f>
        <v/>
      </c>
      <c r="C36944" t="inlineStr">
        <is>
          <t>2001-01-30</t>
        </is>
      </c>
    </row>
    <row r="36945">
      <c r="A36945" s="1" t="n">
        <v>36944</v>
      </c>
      <c r="B36945">
        <f>TEXT(36944, "[$-0E0000]yyyy-mm-dd")</f>
        <v/>
      </c>
      <c r="C36945" t="inlineStr">
        <is>
          <t>2001-02-01</t>
        </is>
      </c>
    </row>
    <row r="36946">
      <c r="A36946" s="1" t="n">
        <v>36945</v>
      </c>
      <c r="B36946">
        <f>TEXT(36945, "[$-0E0000]yyyy-mm-dd")</f>
        <v/>
      </c>
      <c r="C36946" t="inlineStr">
        <is>
          <t>2001-02-02</t>
        </is>
      </c>
    </row>
    <row r="36947">
      <c r="A36947" s="1" t="n">
        <v>36946</v>
      </c>
      <c r="B36947">
        <f>TEXT(36946, "[$-0E0000]yyyy-mm-dd")</f>
        <v/>
      </c>
      <c r="C36947" t="inlineStr">
        <is>
          <t>2001-02-03</t>
        </is>
      </c>
    </row>
    <row r="36948">
      <c r="A36948" s="1" t="n">
        <v>36947</v>
      </c>
      <c r="B36948">
        <f>TEXT(36947, "[$-0E0000]yyyy-mm-dd")</f>
        <v/>
      </c>
      <c r="C36948" t="inlineStr">
        <is>
          <t>2001-02-04</t>
        </is>
      </c>
    </row>
    <row r="36949">
      <c r="A36949" s="1" t="n">
        <v>36948</v>
      </c>
      <c r="B36949">
        <f>TEXT(36948, "[$-0E0000]yyyy-mm-dd")</f>
        <v/>
      </c>
      <c r="C36949" t="inlineStr">
        <is>
          <t>2001-02-05</t>
        </is>
      </c>
    </row>
    <row r="36950">
      <c r="A36950" s="1" t="n">
        <v>36949</v>
      </c>
      <c r="B36950">
        <f>TEXT(36949, "[$-0E0000]yyyy-mm-dd")</f>
        <v/>
      </c>
      <c r="C36950" t="inlineStr">
        <is>
          <t>2001-02-06</t>
        </is>
      </c>
    </row>
    <row r="36951">
      <c r="A36951" s="1" t="n">
        <v>36950</v>
      </c>
      <c r="B36951">
        <f>TEXT(36950, "[$-0E0000]yyyy-mm-dd")</f>
        <v/>
      </c>
      <c r="C36951" t="inlineStr">
        <is>
          <t>2001-02-07</t>
        </is>
      </c>
    </row>
    <row r="36952">
      <c r="A36952" s="1" t="n">
        <v>36951</v>
      </c>
      <c r="B36952">
        <f>TEXT(36951, "[$-0E0000]yyyy-mm-dd")</f>
        <v/>
      </c>
      <c r="C36952" t="inlineStr">
        <is>
          <t>2001-02-08</t>
        </is>
      </c>
    </row>
    <row r="36953">
      <c r="A36953" s="1" t="n">
        <v>36952</v>
      </c>
      <c r="B36953">
        <f>TEXT(36952, "[$-0E0000]yyyy-mm-dd")</f>
        <v/>
      </c>
      <c r="C36953" t="inlineStr">
        <is>
          <t>2001-02-09</t>
        </is>
      </c>
    </row>
    <row r="36954">
      <c r="A36954" s="1" t="n">
        <v>36953</v>
      </c>
      <c r="B36954">
        <f>TEXT(36953, "[$-0E0000]yyyy-mm-dd")</f>
        <v/>
      </c>
      <c r="C36954" t="inlineStr">
        <is>
          <t>2001-02-10</t>
        </is>
      </c>
    </row>
    <row r="36955">
      <c r="A36955" s="1" t="n">
        <v>36954</v>
      </c>
      <c r="B36955">
        <f>TEXT(36954, "[$-0E0000]yyyy-mm-dd")</f>
        <v/>
      </c>
      <c r="C36955" t="inlineStr">
        <is>
          <t>2001-02-11</t>
        </is>
      </c>
    </row>
    <row r="36956">
      <c r="A36956" s="1" t="n">
        <v>36955</v>
      </c>
      <c r="B36956">
        <f>TEXT(36955, "[$-0E0000]yyyy-mm-dd")</f>
        <v/>
      </c>
      <c r="C36956" t="inlineStr">
        <is>
          <t>2001-02-12</t>
        </is>
      </c>
    </row>
    <row r="36957">
      <c r="A36957" s="1" t="n">
        <v>36956</v>
      </c>
      <c r="B36957">
        <f>TEXT(36956, "[$-0E0000]yyyy-mm-dd")</f>
        <v/>
      </c>
      <c r="C36957" t="inlineStr">
        <is>
          <t>2001-02-13</t>
        </is>
      </c>
    </row>
    <row r="36958">
      <c r="A36958" s="1" t="n">
        <v>36957</v>
      </c>
      <c r="B36958">
        <f>TEXT(36957, "[$-0E0000]yyyy-mm-dd")</f>
        <v/>
      </c>
      <c r="C36958" t="inlineStr">
        <is>
          <t>2001-02-14</t>
        </is>
      </c>
    </row>
    <row r="36959">
      <c r="A36959" s="1" t="n">
        <v>36958</v>
      </c>
      <c r="B36959">
        <f>TEXT(36958, "[$-0E0000]yyyy-mm-dd")</f>
        <v/>
      </c>
      <c r="C36959" t="inlineStr">
        <is>
          <t>2001-02-15</t>
        </is>
      </c>
    </row>
    <row r="36960">
      <c r="A36960" s="1" t="n">
        <v>36959</v>
      </c>
      <c r="B36960">
        <f>TEXT(36959, "[$-0E0000]yyyy-mm-dd")</f>
        <v/>
      </c>
      <c r="C36960" t="inlineStr">
        <is>
          <t>2001-02-16</t>
        </is>
      </c>
    </row>
    <row r="36961">
      <c r="A36961" s="1" t="n">
        <v>36960</v>
      </c>
      <c r="B36961">
        <f>TEXT(36960, "[$-0E0000]yyyy-mm-dd")</f>
        <v/>
      </c>
      <c r="C36961" t="inlineStr">
        <is>
          <t>2001-02-17</t>
        </is>
      </c>
    </row>
    <row r="36962">
      <c r="A36962" s="1" t="n">
        <v>36961</v>
      </c>
      <c r="B36962">
        <f>TEXT(36961, "[$-0E0000]yyyy-mm-dd")</f>
        <v/>
      </c>
      <c r="C36962" t="inlineStr">
        <is>
          <t>2001-02-18</t>
        </is>
      </c>
    </row>
    <row r="36963">
      <c r="A36963" s="1" t="n">
        <v>36962</v>
      </c>
      <c r="B36963">
        <f>TEXT(36962, "[$-0E0000]yyyy-mm-dd")</f>
        <v/>
      </c>
      <c r="C36963" t="inlineStr">
        <is>
          <t>2001-02-19</t>
        </is>
      </c>
    </row>
    <row r="36964">
      <c r="A36964" s="1" t="n">
        <v>36963</v>
      </c>
      <c r="B36964">
        <f>TEXT(36963, "[$-0E0000]yyyy-mm-dd")</f>
        <v/>
      </c>
      <c r="C36964" t="inlineStr">
        <is>
          <t>2001-02-20</t>
        </is>
      </c>
    </row>
    <row r="36965">
      <c r="A36965" s="1" t="n">
        <v>36964</v>
      </c>
      <c r="B36965">
        <f>TEXT(36964, "[$-0E0000]yyyy-mm-dd")</f>
        <v/>
      </c>
      <c r="C36965" t="inlineStr">
        <is>
          <t>2001-02-21</t>
        </is>
      </c>
    </row>
    <row r="36966">
      <c r="A36966" s="1" t="n">
        <v>36965</v>
      </c>
      <c r="B36966">
        <f>TEXT(36965, "[$-0E0000]yyyy-mm-dd")</f>
        <v/>
      </c>
      <c r="C36966" t="inlineStr">
        <is>
          <t>2001-02-22</t>
        </is>
      </c>
    </row>
    <row r="36967">
      <c r="A36967" s="1" t="n">
        <v>36966</v>
      </c>
      <c r="B36967">
        <f>TEXT(36966, "[$-0E0000]yyyy-mm-dd")</f>
        <v/>
      </c>
      <c r="C36967" t="inlineStr">
        <is>
          <t>2001-02-23</t>
        </is>
      </c>
    </row>
    <row r="36968">
      <c r="A36968" s="1" t="n">
        <v>36967</v>
      </c>
      <c r="B36968">
        <f>TEXT(36967, "[$-0E0000]yyyy-mm-dd")</f>
        <v/>
      </c>
      <c r="C36968" t="inlineStr">
        <is>
          <t>2001-02-24</t>
        </is>
      </c>
    </row>
    <row r="36969">
      <c r="A36969" s="1" t="n">
        <v>36968</v>
      </c>
      <c r="B36969">
        <f>TEXT(36968, "[$-0E0000]yyyy-mm-dd")</f>
        <v/>
      </c>
      <c r="C36969" t="inlineStr">
        <is>
          <t>2001-02-25</t>
        </is>
      </c>
    </row>
    <row r="36970">
      <c r="A36970" s="1" t="n">
        <v>36969</v>
      </c>
      <c r="B36970">
        <f>TEXT(36969, "[$-0E0000]yyyy-mm-dd")</f>
        <v/>
      </c>
      <c r="C36970" t="inlineStr">
        <is>
          <t>2001-02-26</t>
        </is>
      </c>
    </row>
    <row r="36971">
      <c r="A36971" s="1" t="n">
        <v>36970</v>
      </c>
      <c r="B36971">
        <f>TEXT(36970, "[$-0E0000]yyyy-mm-dd")</f>
        <v/>
      </c>
      <c r="C36971" t="inlineStr">
        <is>
          <t>2001-02-27</t>
        </is>
      </c>
    </row>
    <row r="36972">
      <c r="A36972" s="1" t="n">
        <v>36971</v>
      </c>
      <c r="B36972">
        <f>TEXT(36971, "[$-0E0000]yyyy-mm-dd")</f>
        <v/>
      </c>
      <c r="C36972" t="inlineStr">
        <is>
          <t>2001-02-28</t>
        </is>
      </c>
    </row>
    <row r="36973">
      <c r="A36973" s="1" t="n">
        <v>36972</v>
      </c>
      <c r="B36973">
        <f>TEXT(36972, "[$-0E0000]yyyy-mm-dd")</f>
        <v/>
      </c>
      <c r="C36973" t="inlineStr">
        <is>
          <t>2001-02-29</t>
        </is>
      </c>
    </row>
    <row r="36974">
      <c r="A36974" s="1" t="n">
        <v>36973</v>
      </c>
      <c r="B36974">
        <f>TEXT(36973, "[$-0E0000]yyyy-mm-dd")</f>
        <v/>
      </c>
      <c r="C36974" t="inlineStr">
        <is>
          <t>2001-02-30</t>
        </is>
      </c>
    </row>
    <row r="36975">
      <c r="A36975" s="1" t="n">
        <v>36974</v>
      </c>
      <c r="B36975">
        <f>TEXT(36974, "[$-0E0000]yyyy-mm-dd")</f>
        <v/>
      </c>
      <c r="C36975" t="inlineStr">
        <is>
          <t>2001-03-01</t>
        </is>
      </c>
    </row>
    <row r="36976">
      <c r="A36976" s="1" t="n">
        <v>36975</v>
      </c>
      <c r="B36976">
        <f>TEXT(36975, "[$-0E0000]yyyy-mm-dd")</f>
        <v/>
      </c>
      <c r="C36976" t="inlineStr">
        <is>
          <t>2001-03-02</t>
        </is>
      </c>
    </row>
    <row r="36977">
      <c r="A36977" s="1" t="n">
        <v>36976</v>
      </c>
      <c r="B36977">
        <f>TEXT(36976, "[$-0E0000]yyyy-mm-dd")</f>
        <v/>
      </c>
      <c r="C36977" t="inlineStr">
        <is>
          <t>2001-03-03</t>
        </is>
      </c>
    </row>
    <row r="36978">
      <c r="A36978" s="1" t="n">
        <v>36977</v>
      </c>
      <c r="B36978">
        <f>TEXT(36977, "[$-0E0000]yyyy-mm-dd")</f>
        <v/>
      </c>
      <c r="C36978" t="inlineStr">
        <is>
          <t>2001-03-04</t>
        </is>
      </c>
    </row>
    <row r="36979">
      <c r="A36979" s="1" t="n">
        <v>36978</v>
      </c>
      <c r="B36979">
        <f>TEXT(36978, "[$-0E0000]yyyy-mm-dd")</f>
        <v/>
      </c>
      <c r="C36979" t="inlineStr">
        <is>
          <t>2001-03-05</t>
        </is>
      </c>
    </row>
    <row r="36980">
      <c r="A36980" s="1" t="n">
        <v>36979</v>
      </c>
      <c r="B36980">
        <f>TEXT(36979, "[$-0E0000]yyyy-mm-dd")</f>
        <v/>
      </c>
      <c r="C36980" t="inlineStr">
        <is>
          <t>2001-03-06</t>
        </is>
      </c>
    </row>
    <row r="36981">
      <c r="A36981" s="1" t="n">
        <v>36980</v>
      </c>
      <c r="B36981">
        <f>TEXT(36980, "[$-0E0000]yyyy-mm-dd")</f>
        <v/>
      </c>
      <c r="C36981" t="inlineStr">
        <is>
          <t>2001-03-07</t>
        </is>
      </c>
    </row>
    <row r="36982">
      <c r="A36982" s="1" t="n">
        <v>36981</v>
      </c>
      <c r="B36982">
        <f>TEXT(36981, "[$-0E0000]yyyy-mm-dd")</f>
        <v/>
      </c>
      <c r="C36982" t="inlineStr">
        <is>
          <t>2001-03-08</t>
        </is>
      </c>
    </row>
    <row r="36983">
      <c r="A36983" s="1" t="n">
        <v>36982</v>
      </c>
      <c r="B36983">
        <f>TEXT(36982, "[$-0E0000]yyyy-mm-dd")</f>
        <v/>
      </c>
      <c r="C36983" t="inlineStr">
        <is>
          <t>2001-03-09</t>
        </is>
      </c>
    </row>
    <row r="36984">
      <c r="A36984" s="1" t="n">
        <v>36983</v>
      </c>
      <c r="B36984">
        <f>TEXT(36983, "[$-0E0000]yyyy-mm-dd")</f>
        <v/>
      </c>
      <c r="C36984" t="inlineStr">
        <is>
          <t>2001-03-10</t>
        </is>
      </c>
    </row>
    <row r="36985">
      <c r="A36985" s="1" t="n">
        <v>36984</v>
      </c>
      <c r="B36985">
        <f>TEXT(36984, "[$-0E0000]yyyy-mm-dd")</f>
        <v/>
      </c>
      <c r="C36985" t="inlineStr">
        <is>
          <t>2001-03-11</t>
        </is>
      </c>
    </row>
    <row r="36986">
      <c r="A36986" s="1" t="n">
        <v>36985</v>
      </c>
      <c r="B36986">
        <f>TEXT(36985, "[$-0E0000]yyyy-mm-dd")</f>
        <v/>
      </c>
      <c r="C36986" t="inlineStr">
        <is>
          <t>2001-03-12</t>
        </is>
      </c>
    </row>
    <row r="36987">
      <c r="A36987" s="1" t="n">
        <v>36986</v>
      </c>
      <c r="B36987">
        <f>TEXT(36986, "[$-0E0000]yyyy-mm-dd")</f>
        <v/>
      </c>
      <c r="C36987" t="inlineStr">
        <is>
          <t>2001-03-13</t>
        </is>
      </c>
    </row>
    <row r="36988">
      <c r="A36988" s="1" t="n">
        <v>36987</v>
      </c>
      <c r="B36988">
        <f>TEXT(36987, "[$-0E0000]yyyy-mm-dd")</f>
        <v/>
      </c>
      <c r="C36988" t="inlineStr">
        <is>
          <t>2001-03-14</t>
        </is>
      </c>
    </row>
    <row r="36989">
      <c r="A36989" s="1" t="n">
        <v>36988</v>
      </c>
      <c r="B36989">
        <f>TEXT(36988, "[$-0E0000]yyyy-mm-dd")</f>
        <v/>
      </c>
      <c r="C36989" t="inlineStr">
        <is>
          <t>2001-03-15</t>
        </is>
      </c>
    </row>
    <row r="36990">
      <c r="A36990" s="1" t="n">
        <v>36989</v>
      </c>
      <c r="B36990">
        <f>TEXT(36989, "[$-0E0000]yyyy-mm-dd")</f>
        <v/>
      </c>
      <c r="C36990" t="inlineStr">
        <is>
          <t>2001-03-16</t>
        </is>
      </c>
    </row>
    <row r="36991">
      <c r="A36991" s="1" t="n">
        <v>36990</v>
      </c>
      <c r="B36991">
        <f>TEXT(36990, "[$-0E0000]yyyy-mm-dd")</f>
        <v/>
      </c>
      <c r="C36991" t="inlineStr">
        <is>
          <t>2001-03-17</t>
        </is>
      </c>
    </row>
    <row r="36992">
      <c r="A36992" s="1" t="n">
        <v>36991</v>
      </c>
      <c r="B36992">
        <f>TEXT(36991, "[$-0E0000]yyyy-mm-dd")</f>
        <v/>
      </c>
      <c r="C36992" t="inlineStr">
        <is>
          <t>2001-03-18</t>
        </is>
      </c>
    </row>
    <row r="36993">
      <c r="A36993" s="1" t="n">
        <v>36992</v>
      </c>
      <c r="B36993">
        <f>TEXT(36992, "[$-0E0000]yyyy-mm-dd")</f>
        <v/>
      </c>
      <c r="C36993" t="inlineStr">
        <is>
          <t>2001-03-19</t>
        </is>
      </c>
    </row>
    <row r="36994">
      <c r="A36994" s="1" t="n">
        <v>36993</v>
      </c>
      <c r="B36994">
        <f>TEXT(36993, "[$-0E0000]yyyy-mm-dd")</f>
        <v/>
      </c>
      <c r="C36994" t="inlineStr">
        <is>
          <t>2001-03-20</t>
        </is>
      </c>
    </row>
    <row r="36995">
      <c r="A36995" s="1" t="n">
        <v>36994</v>
      </c>
      <c r="B36995">
        <f>TEXT(36994, "[$-0E0000]yyyy-mm-dd")</f>
        <v/>
      </c>
      <c r="C36995" t="inlineStr">
        <is>
          <t>2001-03-21</t>
        </is>
      </c>
    </row>
    <row r="36996">
      <c r="A36996" s="1" t="n">
        <v>36995</v>
      </c>
      <c r="B36996">
        <f>TEXT(36995, "[$-0E0000]yyyy-mm-dd")</f>
        <v/>
      </c>
      <c r="C36996" t="inlineStr">
        <is>
          <t>2001-03-22</t>
        </is>
      </c>
    </row>
    <row r="36997">
      <c r="A36997" s="1" t="n">
        <v>36996</v>
      </c>
      <c r="B36997">
        <f>TEXT(36996, "[$-0E0000]yyyy-mm-dd")</f>
        <v/>
      </c>
      <c r="C36997" t="inlineStr">
        <is>
          <t>2001-03-23</t>
        </is>
      </c>
    </row>
    <row r="36998">
      <c r="A36998" s="1" t="n">
        <v>36997</v>
      </c>
      <c r="B36998">
        <f>TEXT(36997, "[$-0E0000]yyyy-mm-dd")</f>
        <v/>
      </c>
      <c r="C36998" t="inlineStr">
        <is>
          <t>2001-03-24</t>
        </is>
      </c>
    </row>
    <row r="36999">
      <c r="A36999" s="1" t="n">
        <v>36998</v>
      </c>
      <c r="B36999">
        <f>TEXT(36998, "[$-0E0000]yyyy-mm-dd")</f>
        <v/>
      </c>
      <c r="C36999" t="inlineStr">
        <is>
          <t>2001-03-25</t>
        </is>
      </c>
    </row>
    <row r="37000">
      <c r="A37000" s="1" t="n">
        <v>36999</v>
      </c>
      <c r="B37000">
        <f>TEXT(36999, "[$-0E0000]yyyy-mm-dd")</f>
        <v/>
      </c>
      <c r="C37000" t="inlineStr">
        <is>
          <t>2001-03-26</t>
        </is>
      </c>
    </row>
    <row r="37001">
      <c r="A37001" s="1" t="n">
        <v>37000</v>
      </c>
      <c r="B37001">
        <f>TEXT(37000, "[$-0E0000]yyyy-mm-dd")</f>
        <v/>
      </c>
      <c r="C37001" t="inlineStr">
        <is>
          <t>2001-03-27</t>
        </is>
      </c>
    </row>
    <row r="37002">
      <c r="A37002" s="1" t="n">
        <v>37001</v>
      </c>
      <c r="B37002">
        <f>TEXT(37001, "[$-0E0000]yyyy-mm-dd")</f>
        <v/>
      </c>
      <c r="C37002" t="inlineStr">
        <is>
          <t>2001-03-28</t>
        </is>
      </c>
    </row>
    <row r="37003">
      <c r="A37003" s="1" t="n">
        <v>37002</v>
      </c>
      <c r="B37003">
        <f>TEXT(37002, "[$-0E0000]yyyy-mm-dd")</f>
        <v/>
      </c>
      <c r="C37003" t="inlineStr">
        <is>
          <t>2001-03-29</t>
        </is>
      </c>
    </row>
    <row r="37004">
      <c r="A37004" s="1" t="n">
        <v>37003</v>
      </c>
      <c r="B37004">
        <f>TEXT(37003, "[$-0E0000]yyyy-mm-dd")</f>
        <v/>
      </c>
      <c r="C37004" t="inlineStr">
        <is>
          <t>2001-04-01</t>
        </is>
      </c>
    </row>
    <row r="37005">
      <c r="A37005" s="1" t="n">
        <v>37004</v>
      </c>
      <c r="B37005">
        <f>TEXT(37004, "[$-0E0000]yyyy-mm-dd")</f>
        <v/>
      </c>
      <c r="C37005" t="inlineStr">
        <is>
          <t>2001-04-02</t>
        </is>
      </c>
    </row>
    <row r="37006">
      <c r="A37006" s="1" t="n">
        <v>37005</v>
      </c>
      <c r="B37006">
        <f>TEXT(37005, "[$-0E0000]yyyy-mm-dd")</f>
        <v/>
      </c>
      <c r="C37006" t="inlineStr">
        <is>
          <t>2001-04-03</t>
        </is>
      </c>
    </row>
    <row r="37007">
      <c r="A37007" s="1" t="n">
        <v>37006</v>
      </c>
      <c r="B37007">
        <f>TEXT(37006, "[$-0E0000]yyyy-mm-dd")</f>
        <v/>
      </c>
      <c r="C37007" t="inlineStr">
        <is>
          <t>2001-04-04</t>
        </is>
      </c>
    </row>
    <row r="37008">
      <c r="A37008" s="1" t="n">
        <v>37007</v>
      </c>
      <c r="B37008">
        <f>TEXT(37007, "[$-0E0000]yyyy-mm-dd")</f>
        <v/>
      </c>
      <c r="C37008" t="inlineStr">
        <is>
          <t>2001-04-05</t>
        </is>
      </c>
    </row>
    <row r="37009">
      <c r="A37009" s="1" t="n">
        <v>37008</v>
      </c>
      <c r="B37009">
        <f>TEXT(37008, "[$-0E0000]yyyy-mm-dd")</f>
        <v/>
      </c>
      <c r="C37009" t="inlineStr">
        <is>
          <t>2001-04-06</t>
        </is>
      </c>
    </row>
    <row r="37010">
      <c r="A37010" s="1" t="n">
        <v>37009</v>
      </c>
      <c r="B37010">
        <f>TEXT(37009, "[$-0E0000]yyyy-mm-dd")</f>
        <v/>
      </c>
      <c r="C37010" t="inlineStr">
        <is>
          <t>2001-04-07</t>
        </is>
      </c>
    </row>
    <row r="37011">
      <c r="A37011" s="1" t="n">
        <v>37010</v>
      </c>
      <c r="B37011">
        <f>TEXT(37010, "[$-0E0000]yyyy-mm-dd")</f>
        <v/>
      </c>
      <c r="C37011" t="inlineStr">
        <is>
          <t>2001-04-08</t>
        </is>
      </c>
    </row>
    <row r="37012">
      <c r="A37012" s="1" t="n">
        <v>37011</v>
      </c>
      <c r="B37012">
        <f>TEXT(37011, "[$-0E0000]yyyy-mm-dd")</f>
        <v/>
      </c>
      <c r="C37012" t="inlineStr">
        <is>
          <t>2001-04-09</t>
        </is>
      </c>
    </row>
    <row r="37013">
      <c r="A37013" s="1" t="n">
        <v>37012</v>
      </c>
      <c r="B37013">
        <f>TEXT(37012, "[$-0E0000]yyyy-mm-dd")</f>
        <v/>
      </c>
      <c r="C37013" t="inlineStr">
        <is>
          <t>2001-04-10</t>
        </is>
      </c>
    </row>
    <row r="37014">
      <c r="A37014" s="1" t="n">
        <v>37013</v>
      </c>
      <c r="B37014">
        <f>TEXT(37013, "[$-0E0000]yyyy-mm-dd")</f>
        <v/>
      </c>
      <c r="C37014" t="inlineStr">
        <is>
          <t>2001-04-11</t>
        </is>
      </c>
    </row>
    <row r="37015">
      <c r="A37015" s="1" t="n">
        <v>37014</v>
      </c>
      <c r="B37015">
        <f>TEXT(37014, "[$-0E0000]yyyy-mm-dd")</f>
        <v/>
      </c>
      <c r="C37015" t="inlineStr">
        <is>
          <t>2001-04-12</t>
        </is>
      </c>
    </row>
    <row r="37016">
      <c r="A37016" s="1" t="n">
        <v>37015</v>
      </c>
      <c r="B37016">
        <f>TEXT(37015, "[$-0E0000]yyyy-mm-dd")</f>
        <v/>
      </c>
      <c r="C37016" t="inlineStr">
        <is>
          <t>2001-04-13</t>
        </is>
      </c>
    </row>
    <row r="37017">
      <c r="A37017" s="1" t="n">
        <v>37016</v>
      </c>
      <c r="B37017">
        <f>TEXT(37016, "[$-0E0000]yyyy-mm-dd")</f>
        <v/>
      </c>
      <c r="C37017" t="inlineStr">
        <is>
          <t>2001-04-14</t>
        </is>
      </c>
    </row>
    <row r="37018">
      <c r="A37018" s="1" t="n">
        <v>37017</v>
      </c>
      <c r="B37018">
        <f>TEXT(37017, "[$-0E0000]yyyy-mm-dd")</f>
        <v/>
      </c>
      <c r="C37018" t="inlineStr">
        <is>
          <t>2001-04-15</t>
        </is>
      </c>
    </row>
    <row r="37019">
      <c r="A37019" s="1" t="n">
        <v>37018</v>
      </c>
      <c r="B37019">
        <f>TEXT(37018, "[$-0E0000]yyyy-mm-dd")</f>
        <v/>
      </c>
      <c r="C37019" t="inlineStr">
        <is>
          <t>2001-04-16</t>
        </is>
      </c>
    </row>
    <row r="37020">
      <c r="A37020" s="1" t="n">
        <v>37019</v>
      </c>
      <c r="B37020">
        <f>TEXT(37019, "[$-0E0000]yyyy-mm-dd")</f>
        <v/>
      </c>
      <c r="C37020" t="inlineStr">
        <is>
          <t>2001-04-17</t>
        </is>
      </c>
    </row>
    <row r="37021">
      <c r="A37021" s="1" t="n">
        <v>37020</v>
      </c>
      <c r="B37021">
        <f>TEXT(37020, "[$-0E0000]yyyy-mm-dd")</f>
        <v/>
      </c>
      <c r="C37021" t="inlineStr">
        <is>
          <t>2001-04-18</t>
        </is>
      </c>
    </row>
    <row r="37022">
      <c r="A37022" s="1" t="n">
        <v>37021</v>
      </c>
      <c r="B37022">
        <f>TEXT(37021, "[$-0E0000]yyyy-mm-dd")</f>
        <v/>
      </c>
      <c r="C37022" t="inlineStr">
        <is>
          <t>2001-04-19</t>
        </is>
      </c>
    </row>
    <row r="37023">
      <c r="A37023" s="1" t="n">
        <v>37022</v>
      </c>
      <c r="B37023">
        <f>TEXT(37022, "[$-0E0000]yyyy-mm-dd")</f>
        <v/>
      </c>
      <c r="C37023" t="inlineStr">
        <is>
          <t>2001-04-20</t>
        </is>
      </c>
    </row>
    <row r="37024">
      <c r="A37024" s="1" t="n">
        <v>37023</v>
      </c>
      <c r="B37024">
        <f>TEXT(37023, "[$-0E0000]yyyy-mm-dd")</f>
        <v/>
      </c>
      <c r="C37024" t="inlineStr">
        <is>
          <t>2001-04-21</t>
        </is>
      </c>
    </row>
    <row r="37025">
      <c r="A37025" s="1" t="n">
        <v>37024</v>
      </c>
      <c r="B37025">
        <f>TEXT(37024, "[$-0E0000]yyyy-mm-dd")</f>
        <v/>
      </c>
      <c r="C37025" t="inlineStr">
        <is>
          <t>2001-04-22</t>
        </is>
      </c>
    </row>
    <row r="37026">
      <c r="A37026" s="1" t="n">
        <v>37025</v>
      </c>
      <c r="B37026">
        <f>TEXT(37025, "[$-0E0000]yyyy-mm-dd")</f>
        <v/>
      </c>
      <c r="C37026" t="inlineStr">
        <is>
          <t>2001-04-23</t>
        </is>
      </c>
    </row>
    <row r="37027">
      <c r="A37027" s="1" t="n">
        <v>37026</v>
      </c>
      <c r="B37027">
        <f>TEXT(37026, "[$-0E0000]yyyy-mm-dd")</f>
        <v/>
      </c>
      <c r="C37027" t="inlineStr">
        <is>
          <t>2001-04-24</t>
        </is>
      </c>
    </row>
    <row r="37028">
      <c r="A37028" s="1" t="n">
        <v>37027</v>
      </c>
      <c r="B37028">
        <f>TEXT(37027, "[$-0E0000]yyyy-mm-dd")</f>
        <v/>
      </c>
      <c r="C37028" t="inlineStr">
        <is>
          <t>2001-04-25</t>
        </is>
      </c>
    </row>
    <row r="37029">
      <c r="A37029" s="1" t="n">
        <v>37028</v>
      </c>
      <c r="B37029">
        <f>TEXT(37028, "[$-0E0000]yyyy-mm-dd")</f>
        <v/>
      </c>
      <c r="C37029" t="inlineStr">
        <is>
          <t>2001-04-26</t>
        </is>
      </c>
    </row>
    <row r="37030">
      <c r="A37030" s="1" t="n">
        <v>37029</v>
      </c>
      <c r="B37030">
        <f>TEXT(37029, "[$-0E0000]yyyy-mm-dd")</f>
        <v/>
      </c>
      <c r="C37030" t="inlineStr">
        <is>
          <t>2001-04-27</t>
        </is>
      </c>
    </row>
    <row r="37031">
      <c r="A37031" s="1" t="n">
        <v>37030</v>
      </c>
      <c r="B37031">
        <f>TEXT(37030, "[$-0E0000]yyyy-mm-dd")</f>
        <v/>
      </c>
      <c r="C37031" t="inlineStr">
        <is>
          <t>2001-04-28</t>
        </is>
      </c>
    </row>
    <row r="37032">
      <c r="A37032" s="1" t="n">
        <v>37031</v>
      </c>
      <c r="B37032">
        <f>TEXT(37031, "[$-0E0000]yyyy-mm-dd")</f>
        <v/>
      </c>
      <c r="C37032" t="inlineStr">
        <is>
          <t>2001-04-29</t>
        </is>
      </c>
    </row>
    <row r="37033">
      <c r="A37033" s="1" t="n">
        <v>37032</v>
      </c>
      <c r="B37033">
        <f>TEXT(37032, "[$-0E0000]yyyy-mm-dd")</f>
        <v/>
      </c>
      <c r="C37033" t="inlineStr">
        <is>
          <t>2001-04-30</t>
        </is>
      </c>
    </row>
    <row r="37034">
      <c r="A37034" s="1" t="n">
        <v>37033</v>
      </c>
      <c r="B37034">
        <f>TEXT(37033, "[$-0E0000]yyyy-mm-dd")</f>
        <v/>
      </c>
      <c r="C37034" t="inlineStr">
        <is>
          <t>2001-04-01</t>
        </is>
      </c>
    </row>
    <row r="37035">
      <c r="A37035" s="1" t="n">
        <v>37034</v>
      </c>
      <c r="B37035">
        <f>TEXT(37034, "[$-0E0000]yyyy-mm-dd")</f>
        <v/>
      </c>
      <c r="C37035" t="inlineStr">
        <is>
          <t>2001-04-02</t>
        </is>
      </c>
    </row>
    <row r="37036">
      <c r="A37036" s="1" t="n">
        <v>37035</v>
      </c>
      <c r="B37036">
        <f>TEXT(37035, "[$-0E0000]yyyy-mm-dd")</f>
        <v/>
      </c>
      <c r="C37036" t="inlineStr">
        <is>
          <t>2001-04-03</t>
        </is>
      </c>
    </row>
    <row r="37037">
      <c r="A37037" s="1" t="n">
        <v>37036</v>
      </c>
      <c r="B37037">
        <f>TEXT(37036, "[$-0E0000]yyyy-mm-dd")</f>
        <v/>
      </c>
      <c r="C37037" t="inlineStr">
        <is>
          <t>2001-04-04</t>
        </is>
      </c>
    </row>
    <row r="37038">
      <c r="A37038" s="1" t="n">
        <v>37037</v>
      </c>
      <c r="B37038">
        <f>TEXT(37037, "[$-0E0000]yyyy-mm-dd")</f>
        <v/>
      </c>
      <c r="C37038" t="inlineStr">
        <is>
          <t>2001-04-05</t>
        </is>
      </c>
    </row>
    <row r="37039">
      <c r="A37039" s="1" t="n">
        <v>37038</v>
      </c>
      <c r="B37039">
        <f>TEXT(37038, "[$-0E0000]yyyy-mm-dd")</f>
        <v/>
      </c>
      <c r="C37039" t="inlineStr">
        <is>
          <t>2001-04-06</t>
        </is>
      </c>
    </row>
    <row r="37040">
      <c r="A37040" s="1" t="n">
        <v>37039</v>
      </c>
      <c r="B37040">
        <f>TEXT(37039, "[$-0E0000]yyyy-mm-dd")</f>
        <v/>
      </c>
      <c r="C37040" t="inlineStr">
        <is>
          <t>2001-04-07</t>
        </is>
      </c>
    </row>
    <row r="37041">
      <c r="A37041" s="1" t="n">
        <v>37040</v>
      </c>
      <c r="B37041">
        <f>TEXT(37040, "[$-0E0000]yyyy-mm-dd")</f>
        <v/>
      </c>
      <c r="C37041" t="inlineStr">
        <is>
          <t>2001-04-08</t>
        </is>
      </c>
    </row>
    <row r="37042">
      <c r="A37042" s="1" t="n">
        <v>37041</v>
      </c>
      <c r="B37042">
        <f>TEXT(37041, "[$-0E0000]yyyy-mm-dd")</f>
        <v/>
      </c>
      <c r="C37042" t="inlineStr">
        <is>
          <t>2001-04-09</t>
        </is>
      </c>
    </row>
    <row r="37043">
      <c r="A37043" s="1" t="n">
        <v>37042</v>
      </c>
      <c r="B37043">
        <f>TEXT(37042, "[$-0E0000]yyyy-mm-dd")</f>
        <v/>
      </c>
      <c r="C37043" t="inlineStr">
        <is>
          <t>2001-04-10</t>
        </is>
      </c>
    </row>
    <row r="37044">
      <c r="A37044" s="1" t="n">
        <v>37043</v>
      </c>
      <c r="B37044">
        <f>TEXT(37043, "[$-0E0000]yyyy-mm-dd")</f>
        <v/>
      </c>
      <c r="C37044" t="inlineStr">
        <is>
          <t>2001-04-11</t>
        </is>
      </c>
    </row>
    <row r="37045">
      <c r="A37045" s="1" t="n">
        <v>37044</v>
      </c>
      <c r="B37045">
        <f>TEXT(37044, "[$-0E0000]yyyy-mm-dd")</f>
        <v/>
      </c>
      <c r="C37045" t="inlineStr">
        <is>
          <t>2001-04-12</t>
        </is>
      </c>
    </row>
    <row r="37046">
      <c r="A37046" s="1" t="n">
        <v>37045</v>
      </c>
      <c r="B37046">
        <f>TEXT(37045, "[$-0E0000]yyyy-mm-dd")</f>
        <v/>
      </c>
      <c r="C37046" t="inlineStr">
        <is>
          <t>2001-04-13</t>
        </is>
      </c>
    </row>
    <row r="37047">
      <c r="A37047" s="1" t="n">
        <v>37046</v>
      </c>
      <c r="B37047">
        <f>TEXT(37046, "[$-0E0000]yyyy-mm-dd")</f>
        <v/>
      </c>
      <c r="C37047" t="inlineStr">
        <is>
          <t>2001-04-14</t>
        </is>
      </c>
    </row>
    <row r="37048">
      <c r="A37048" s="1" t="n">
        <v>37047</v>
      </c>
      <c r="B37048">
        <f>TEXT(37047, "[$-0E0000]yyyy-mm-dd")</f>
        <v/>
      </c>
      <c r="C37048" t="inlineStr">
        <is>
          <t>2001-04-15</t>
        </is>
      </c>
    </row>
    <row r="37049">
      <c r="A37049" s="1" t="n">
        <v>37048</v>
      </c>
      <c r="B37049">
        <f>TEXT(37048, "[$-0E0000]yyyy-mm-dd")</f>
        <v/>
      </c>
      <c r="C37049" t="inlineStr">
        <is>
          <t>2001-04-16</t>
        </is>
      </c>
    </row>
    <row r="37050">
      <c r="A37050" s="1" t="n">
        <v>37049</v>
      </c>
      <c r="B37050">
        <f>TEXT(37049, "[$-0E0000]yyyy-mm-dd")</f>
        <v/>
      </c>
      <c r="C37050" t="inlineStr">
        <is>
          <t>2001-04-17</t>
        </is>
      </c>
    </row>
    <row r="37051">
      <c r="A37051" s="1" t="n">
        <v>37050</v>
      </c>
      <c r="B37051">
        <f>TEXT(37050, "[$-0E0000]yyyy-mm-dd")</f>
        <v/>
      </c>
      <c r="C37051" t="inlineStr">
        <is>
          <t>2001-04-18</t>
        </is>
      </c>
    </row>
    <row r="37052">
      <c r="A37052" s="1" t="n">
        <v>37051</v>
      </c>
      <c r="B37052">
        <f>TEXT(37051, "[$-0E0000]yyyy-mm-dd")</f>
        <v/>
      </c>
      <c r="C37052" t="inlineStr">
        <is>
          <t>2001-04-19</t>
        </is>
      </c>
    </row>
    <row r="37053">
      <c r="A37053" s="1" t="n">
        <v>37052</v>
      </c>
      <c r="B37053">
        <f>TEXT(37052, "[$-0E0000]yyyy-mm-dd")</f>
        <v/>
      </c>
      <c r="C37053" t="inlineStr">
        <is>
          <t>2001-04-20</t>
        </is>
      </c>
    </row>
    <row r="37054">
      <c r="A37054" s="1" t="n">
        <v>37053</v>
      </c>
      <c r="B37054">
        <f>TEXT(37053, "[$-0E0000]yyyy-mm-dd")</f>
        <v/>
      </c>
      <c r="C37054" t="inlineStr">
        <is>
          <t>2001-04-21</t>
        </is>
      </c>
    </row>
    <row r="37055">
      <c r="A37055" s="1" t="n">
        <v>37054</v>
      </c>
      <c r="B37055">
        <f>TEXT(37054, "[$-0E0000]yyyy-mm-dd")</f>
        <v/>
      </c>
      <c r="C37055" t="inlineStr">
        <is>
          <t>2001-04-22</t>
        </is>
      </c>
    </row>
    <row r="37056">
      <c r="A37056" s="1" t="n">
        <v>37055</v>
      </c>
      <c r="B37056">
        <f>TEXT(37055, "[$-0E0000]yyyy-mm-dd")</f>
        <v/>
      </c>
      <c r="C37056" t="inlineStr">
        <is>
          <t>2001-04-23</t>
        </is>
      </c>
    </row>
    <row r="37057">
      <c r="A37057" s="1" t="n">
        <v>37056</v>
      </c>
      <c r="B37057">
        <f>TEXT(37056, "[$-0E0000]yyyy-mm-dd")</f>
        <v/>
      </c>
      <c r="C37057" t="inlineStr">
        <is>
          <t>2001-04-24</t>
        </is>
      </c>
    </row>
    <row r="37058">
      <c r="A37058" s="1" t="n">
        <v>37057</v>
      </c>
      <c r="B37058">
        <f>TEXT(37057, "[$-0E0000]yyyy-mm-dd")</f>
        <v/>
      </c>
      <c r="C37058" t="inlineStr">
        <is>
          <t>2001-04-25</t>
        </is>
      </c>
    </row>
    <row r="37059">
      <c r="A37059" s="1" t="n">
        <v>37058</v>
      </c>
      <c r="B37059">
        <f>TEXT(37058, "[$-0E0000]yyyy-mm-dd")</f>
        <v/>
      </c>
      <c r="C37059" t="inlineStr">
        <is>
          <t>2001-04-26</t>
        </is>
      </c>
    </row>
    <row r="37060">
      <c r="A37060" s="1" t="n">
        <v>37059</v>
      </c>
      <c r="B37060">
        <f>TEXT(37059, "[$-0E0000]yyyy-mm-dd")</f>
        <v/>
      </c>
      <c r="C37060" t="inlineStr">
        <is>
          <t>2001-04-27</t>
        </is>
      </c>
    </row>
    <row r="37061">
      <c r="A37061" s="1" t="n">
        <v>37060</v>
      </c>
      <c r="B37061">
        <f>TEXT(37060, "[$-0E0000]yyyy-mm-dd")</f>
        <v/>
      </c>
      <c r="C37061" t="inlineStr">
        <is>
          <t>2001-04-28</t>
        </is>
      </c>
    </row>
    <row r="37062">
      <c r="A37062" s="1" t="n">
        <v>37061</v>
      </c>
      <c r="B37062">
        <f>TEXT(37061, "[$-0E0000]yyyy-mm-dd")</f>
        <v/>
      </c>
      <c r="C37062" t="inlineStr">
        <is>
          <t>2001-04-29</t>
        </is>
      </c>
    </row>
    <row r="37063">
      <c r="A37063" s="1" t="n">
        <v>37062</v>
      </c>
      <c r="B37063">
        <f>TEXT(37062, "[$-0E0000]yyyy-mm-dd")</f>
        <v/>
      </c>
      <c r="C37063" t="inlineStr">
        <is>
          <t>2001-05-01</t>
        </is>
      </c>
    </row>
    <row r="37064">
      <c r="A37064" s="1" t="n">
        <v>37063</v>
      </c>
      <c r="B37064">
        <f>TEXT(37063, "[$-0E0000]yyyy-mm-dd")</f>
        <v/>
      </c>
      <c r="C37064" t="inlineStr">
        <is>
          <t>2001-05-02</t>
        </is>
      </c>
    </row>
    <row r="37065">
      <c r="A37065" s="1" t="n">
        <v>37064</v>
      </c>
      <c r="B37065">
        <f>TEXT(37064, "[$-0E0000]yyyy-mm-dd")</f>
        <v/>
      </c>
      <c r="C37065" t="inlineStr">
        <is>
          <t>2001-05-03</t>
        </is>
      </c>
    </row>
    <row r="37066">
      <c r="A37066" s="1" t="n">
        <v>37065</v>
      </c>
      <c r="B37066">
        <f>TEXT(37065, "[$-0E0000]yyyy-mm-dd")</f>
        <v/>
      </c>
      <c r="C37066" t="inlineStr">
        <is>
          <t>2001-05-04</t>
        </is>
      </c>
    </row>
    <row r="37067">
      <c r="A37067" s="1" t="n">
        <v>37066</v>
      </c>
      <c r="B37067">
        <f>TEXT(37066, "[$-0E0000]yyyy-mm-dd")</f>
        <v/>
      </c>
      <c r="C37067" t="inlineStr">
        <is>
          <t>2001-05-05</t>
        </is>
      </c>
    </row>
    <row r="37068">
      <c r="A37068" s="1" t="n">
        <v>37067</v>
      </c>
      <c r="B37068">
        <f>TEXT(37067, "[$-0E0000]yyyy-mm-dd")</f>
        <v/>
      </c>
      <c r="C37068" t="inlineStr">
        <is>
          <t>2001-05-06</t>
        </is>
      </c>
    </row>
    <row r="37069">
      <c r="A37069" s="1" t="n">
        <v>37068</v>
      </c>
      <c r="B37069">
        <f>TEXT(37068, "[$-0E0000]yyyy-mm-dd")</f>
        <v/>
      </c>
      <c r="C37069" t="inlineStr">
        <is>
          <t>2001-05-07</t>
        </is>
      </c>
    </row>
    <row r="37070">
      <c r="A37070" s="1" t="n">
        <v>37069</v>
      </c>
      <c r="B37070">
        <f>TEXT(37069, "[$-0E0000]yyyy-mm-dd")</f>
        <v/>
      </c>
      <c r="C37070" t="inlineStr">
        <is>
          <t>2001-05-08</t>
        </is>
      </c>
    </row>
    <row r="37071">
      <c r="A37071" s="1" t="n">
        <v>37070</v>
      </c>
      <c r="B37071">
        <f>TEXT(37070, "[$-0E0000]yyyy-mm-dd")</f>
        <v/>
      </c>
      <c r="C37071" t="inlineStr">
        <is>
          <t>2001-05-09</t>
        </is>
      </c>
    </row>
    <row r="37072">
      <c r="A37072" s="1" t="n">
        <v>37071</v>
      </c>
      <c r="B37072">
        <f>TEXT(37071, "[$-0E0000]yyyy-mm-dd")</f>
        <v/>
      </c>
      <c r="C37072" t="inlineStr">
        <is>
          <t>2001-05-10</t>
        </is>
      </c>
    </row>
    <row r="37073">
      <c r="A37073" s="1" t="n">
        <v>37072</v>
      </c>
      <c r="B37073">
        <f>TEXT(37072, "[$-0E0000]yyyy-mm-dd")</f>
        <v/>
      </c>
      <c r="C37073" t="inlineStr">
        <is>
          <t>2001-05-11</t>
        </is>
      </c>
    </row>
    <row r="37074">
      <c r="A37074" s="1" t="n">
        <v>37073</v>
      </c>
      <c r="B37074">
        <f>TEXT(37073, "[$-0E0000]yyyy-mm-dd")</f>
        <v/>
      </c>
      <c r="C37074" t="inlineStr">
        <is>
          <t>2001-05-12</t>
        </is>
      </c>
    </row>
    <row r="37075">
      <c r="A37075" s="1" t="n">
        <v>37074</v>
      </c>
      <c r="B37075">
        <f>TEXT(37074, "[$-0E0000]yyyy-mm-dd")</f>
        <v/>
      </c>
      <c r="C37075" t="inlineStr">
        <is>
          <t>2001-05-13</t>
        </is>
      </c>
    </row>
    <row r="37076">
      <c r="A37076" s="1" t="n">
        <v>37075</v>
      </c>
      <c r="B37076">
        <f>TEXT(37075, "[$-0E0000]yyyy-mm-dd")</f>
        <v/>
      </c>
      <c r="C37076" t="inlineStr">
        <is>
          <t>2001-05-14</t>
        </is>
      </c>
    </row>
    <row r="37077">
      <c r="A37077" s="1" t="n">
        <v>37076</v>
      </c>
      <c r="B37077">
        <f>TEXT(37076, "[$-0E0000]yyyy-mm-dd")</f>
        <v/>
      </c>
      <c r="C37077" t="inlineStr">
        <is>
          <t>2001-05-15</t>
        </is>
      </c>
    </row>
    <row r="37078">
      <c r="A37078" s="1" t="n">
        <v>37077</v>
      </c>
      <c r="B37078">
        <f>TEXT(37077, "[$-0E0000]yyyy-mm-dd")</f>
        <v/>
      </c>
      <c r="C37078" t="inlineStr">
        <is>
          <t>2001-05-16</t>
        </is>
      </c>
    </row>
    <row r="37079">
      <c r="A37079" s="1" t="n">
        <v>37078</v>
      </c>
      <c r="B37079">
        <f>TEXT(37078, "[$-0E0000]yyyy-mm-dd")</f>
        <v/>
      </c>
      <c r="C37079" t="inlineStr">
        <is>
          <t>2001-05-17</t>
        </is>
      </c>
    </row>
    <row r="37080">
      <c r="A37080" s="1" t="n">
        <v>37079</v>
      </c>
      <c r="B37080">
        <f>TEXT(37079, "[$-0E0000]yyyy-mm-dd")</f>
        <v/>
      </c>
      <c r="C37080" t="inlineStr">
        <is>
          <t>2001-05-18</t>
        </is>
      </c>
    </row>
    <row r="37081">
      <c r="A37081" s="1" t="n">
        <v>37080</v>
      </c>
      <c r="B37081">
        <f>TEXT(37080, "[$-0E0000]yyyy-mm-dd")</f>
        <v/>
      </c>
      <c r="C37081" t="inlineStr">
        <is>
          <t>2001-05-19</t>
        </is>
      </c>
    </row>
    <row r="37082">
      <c r="A37082" s="1" t="n">
        <v>37081</v>
      </c>
      <c r="B37082">
        <f>TEXT(37081, "[$-0E0000]yyyy-mm-dd")</f>
        <v/>
      </c>
      <c r="C37082" t="inlineStr">
        <is>
          <t>2001-05-20</t>
        </is>
      </c>
    </row>
    <row r="37083">
      <c r="A37083" s="1" t="n">
        <v>37082</v>
      </c>
      <c r="B37083">
        <f>TEXT(37082, "[$-0E0000]yyyy-mm-dd")</f>
        <v/>
      </c>
      <c r="C37083" t="inlineStr">
        <is>
          <t>2001-05-21</t>
        </is>
      </c>
    </row>
    <row r="37084">
      <c r="A37084" s="1" t="n">
        <v>37083</v>
      </c>
      <c r="B37084">
        <f>TEXT(37083, "[$-0E0000]yyyy-mm-dd")</f>
        <v/>
      </c>
      <c r="C37084" t="inlineStr">
        <is>
          <t>2001-05-22</t>
        </is>
      </c>
    </row>
    <row r="37085">
      <c r="A37085" s="1" t="n">
        <v>37084</v>
      </c>
      <c r="B37085">
        <f>TEXT(37084, "[$-0E0000]yyyy-mm-dd")</f>
        <v/>
      </c>
      <c r="C37085" t="inlineStr">
        <is>
          <t>2001-05-23</t>
        </is>
      </c>
    </row>
    <row r="37086">
      <c r="A37086" s="1" t="n">
        <v>37085</v>
      </c>
      <c r="B37086">
        <f>TEXT(37085, "[$-0E0000]yyyy-mm-dd")</f>
        <v/>
      </c>
      <c r="C37086" t="inlineStr">
        <is>
          <t>2001-05-24</t>
        </is>
      </c>
    </row>
    <row r="37087">
      <c r="A37087" s="1" t="n">
        <v>37086</v>
      </c>
      <c r="B37087">
        <f>TEXT(37086, "[$-0E0000]yyyy-mm-dd")</f>
        <v/>
      </c>
      <c r="C37087" t="inlineStr">
        <is>
          <t>2001-05-25</t>
        </is>
      </c>
    </row>
    <row r="37088">
      <c r="A37088" s="1" t="n">
        <v>37087</v>
      </c>
      <c r="B37088">
        <f>TEXT(37087, "[$-0E0000]yyyy-mm-dd")</f>
        <v/>
      </c>
      <c r="C37088" t="inlineStr">
        <is>
          <t>2001-05-26</t>
        </is>
      </c>
    </row>
    <row r="37089">
      <c r="A37089" s="1" t="n">
        <v>37088</v>
      </c>
      <c r="B37089">
        <f>TEXT(37088, "[$-0E0000]yyyy-mm-dd")</f>
        <v/>
      </c>
      <c r="C37089" t="inlineStr">
        <is>
          <t>2001-05-27</t>
        </is>
      </c>
    </row>
    <row r="37090">
      <c r="A37090" s="1" t="n">
        <v>37089</v>
      </c>
      <c r="B37090">
        <f>TEXT(37089, "[$-0E0000]yyyy-mm-dd")</f>
        <v/>
      </c>
      <c r="C37090" t="inlineStr">
        <is>
          <t>2001-05-28</t>
        </is>
      </c>
    </row>
    <row r="37091">
      <c r="A37091" s="1" t="n">
        <v>37090</v>
      </c>
      <c r="B37091">
        <f>TEXT(37090, "[$-0E0000]yyyy-mm-dd")</f>
        <v/>
      </c>
      <c r="C37091" t="inlineStr">
        <is>
          <t>2001-05-29</t>
        </is>
      </c>
    </row>
    <row r="37092">
      <c r="A37092" s="1" t="n">
        <v>37091</v>
      </c>
      <c r="B37092">
        <f>TEXT(37091, "[$-0E0000]yyyy-mm-dd")</f>
        <v/>
      </c>
      <c r="C37092" t="inlineStr">
        <is>
          <t>2001-05-30</t>
        </is>
      </c>
    </row>
    <row r="37093">
      <c r="A37093" s="1" t="n">
        <v>37092</v>
      </c>
      <c r="B37093">
        <f>TEXT(37092, "[$-0E0000]yyyy-mm-dd")</f>
        <v/>
      </c>
      <c r="C37093" t="inlineStr">
        <is>
          <t>2001-06-01</t>
        </is>
      </c>
    </row>
    <row r="37094">
      <c r="A37094" s="1" t="n">
        <v>37093</v>
      </c>
      <c r="B37094">
        <f>TEXT(37093, "[$-0E0000]yyyy-mm-dd")</f>
        <v/>
      </c>
      <c r="C37094" t="inlineStr">
        <is>
          <t>2001-06-02</t>
        </is>
      </c>
    </row>
    <row r="37095">
      <c r="A37095" s="1" t="n">
        <v>37094</v>
      </c>
      <c r="B37095">
        <f>TEXT(37094, "[$-0E0000]yyyy-mm-dd")</f>
        <v/>
      </c>
      <c r="C37095" t="inlineStr">
        <is>
          <t>2001-06-03</t>
        </is>
      </c>
    </row>
    <row r="37096">
      <c r="A37096" s="1" t="n">
        <v>37095</v>
      </c>
      <c r="B37096">
        <f>TEXT(37095, "[$-0E0000]yyyy-mm-dd")</f>
        <v/>
      </c>
      <c r="C37096" t="inlineStr">
        <is>
          <t>2001-06-04</t>
        </is>
      </c>
    </row>
    <row r="37097">
      <c r="A37097" s="1" t="n">
        <v>37096</v>
      </c>
      <c r="B37097">
        <f>TEXT(37096, "[$-0E0000]yyyy-mm-dd")</f>
        <v/>
      </c>
      <c r="C37097" t="inlineStr">
        <is>
          <t>2001-06-05</t>
        </is>
      </c>
    </row>
    <row r="37098">
      <c r="A37098" s="1" t="n">
        <v>37097</v>
      </c>
      <c r="B37098">
        <f>TEXT(37097, "[$-0E0000]yyyy-mm-dd")</f>
        <v/>
      </c>
      <c r="C37098" t="inlineStr">
        <is>
          <t>2001-06-06</t>
        </is>
      </c>
    </row>
    <row r="37099">
      <c r="A37099" s="1" t="n">
        <v>37098</v>
      </c>
      <c r="B37099">
        <f>TEXT(37098, "[$-0E0000]yyyy-mm-dd")</f>
        <v/>
      </c>
      <c r="C37099" t="inlineStr">
        <is>
          <t>2001-06-07</t>
        </is>
      </c>
    </row>
    <row r="37100">
      <c r="A37100" s="1" t="n">
        <v>37099</v>
      </c>
      <c r="B37100">
        <f>TEXT(37099, "[$-0E0000]yyyy-mm-dd")</f>
        <v/>
      </c>
      <c r="C37100" t="inlineStr">
        <is>
          <t>2001-06-08</t>
        </is>
      </c>
    </row>
    <row r="37101">
      <c r="A37101" s="1" t="n">
        <v>37100</v>
      </c>
      <c r="B37101">
        <f>TEXT(37100, "[$-0E0000]yyyy-mm-dd")</f>
        <v/>
      </c>
      <c r="C37101" t="inlineStr">
        <is>
          <t>2001-06-09</t>
        </is>
      </c>
    </row>
    <row r="37102">
      <c r="A37102" s="1" t="n">
        <v>37101</v>
      </c>
      <c r="B37102">
        <f>TEXT(37101, "[$-0E0000]yyyy-mm-dd")</f>
        <v/>
      </c>
      <c r="C37102" t="inlineStr">
        <is>
          <t>2001-06-10</t>
        </is>
      </c>
    </row>
    <row r="37103">
      <c r="A37103" s="1" t="n">
        <v>37102</v>
      </c>
      <c r="B37103">
        <f>TEXT(37102, "[$-0E0000]yyyy-mm-dd")</f>
        <v/>
      </c>
      <c r="C37103" t="inlineStr">
        <is>
          <t>2001-06-11</t>
        </is>
      </c>
    </row>
    <row r="37104">
      <c r="A37104" s="1" t="n">
        <v>37103</v>
      </c>
      <c r="B37104">
        <f>TEXT(37103, "[$-0E0000]yyyy-mm-dd")</f>
        <v/>
      </c>
      <c r="C37104" t="inlineStr">
        <is>
          <t>2001-06-12</t>
        </is>
      </c>
    </row>
    <row r="37105">
      <c r="A37105" s="1" t="n">
        <v>37104</v>
      </c>
      <c r="B37105">
        <f>TEXT(37104, "[$-0E0000]yyyy-mm-dd")</f>
        <v/>
      </c>
      <c r="C37105" t="inlineStr">
        <is>
          <t>2001-06-13</t>
        </is>
      </c>
    </row>
    <row r="37106">
      <c r="A37106" s="1" t="n">
        <v>37105</v>
      </c>
      <c r="B37106">
        <f>TEXT(37105, "[$-0E0000]yyyy-mm-dd")</f>
        <v/>
      </c>
      <c r="C37106" t="inlineStr">
        <is>
          <t>2001-06-14</t>
        </is>
      </c>
    </row>
    <row r="37107">
      <c r="A37107" s="1" t="n">
        <v>37106</v>
      </c>
      <c r="B37107">
        <f>TEXT(37106, "[$-0E0000]yyyy-mm-dd")</f>
        <v/>
      </c>
      <c r="C37107" t="inlineStr">
        <is>
          <t>2001-06-15</t>
        </is>
      </c>
    </row>
    <row r="37108">
      <c r="A37108" s="1" t="n">
        <v>37107</v>
      </c>
      <c r="B37108">
        <f>TEXT(37107, "[$-0E0000]yyyy-mm-dd")</f>
        <v/>
      </c>
      <c r="C37108" t="inlineStr">
        <is>
          <t>2001-06-16</t>
        </is>
      </c>
    </row>
    <row r="37109">
      <c r="A37109" s="1" t="n">
        <v>37108</v>
      </c>
      <c r="B37109">
        <f>TEXT(37108, "[$-0E0000]yyyy-mm-dd")</f>
        <v/>
      </c>
      <c r="C37109" t="inlineStr">
        <is>
          <t>2001-06-17</t>
        </is>
      </c>
    </row>
    <row r="37110">
      <c r="A37110" s="1" t="n">
        <v>37109</v>
      </c>
      <c r="B37110">
        <f>TEXT(37109, "[$-0E0000]yyyy-mm-dd")</f>
        <v/>
      </c>
      <c r="C37110" t="inlineStr">
        <is>
          <t>2001-06-18</t>
        </is>
      </c>
    </row>
    <row r="37111">
      <c r="A37111" s="1" t="n">
        <v>37110</v>
      </c>
      <c r="B37111">
        <f>TEXT(37110, "[$-0E0000]yyyy-mm-dd")</f>
        <v/>
      </c>
      <c r="C37111" t="inlineStr">
        <is>
          <t>2001-06-19</t>
        </is>
      </c>
    </row>
    <row r="37112">
      <c r="A37112" s="1" t="n">
        <v>37111</v>
      </c>
      <c r="B37112">
        <f>TEXT(37111, "[$-0E0000]yyyy-mm-dd")</f>
        <v/>
      </c>
      <c r="C37112" t="inlineStr">
        <is>
          <t>2001-06-20</t>
        </is>
      </c>
    </row>
    <row r="37113">
      <c r="A37113" s="1" t="n">
        <v>37112</v>
      </c>
      <c r="B37113">
        <f>TEXT(37112, "[$-0E0000]yyyy-mm-dd")</f>
        <v/>
      </c>
      <c r="C37113" t="inlineStr">
        <is>
          <t>2001-06-21</t>
        </is>
      </c>
    </row>
    <row r="37114">
      <c r="A37114" s="1" t="n">
        <v>37113</v>
      </c>
      <c r="B37114">
        <f>TEXT(37113, "[$-0E0000]yyyy-mm-dd")</f>
        <v/>
      </c>
      <c r="C37114" t="inlineStr">
        <is>
          <t>2001-06-22</t>
        </is>
      </c>
    </row>
    <row r="37115">
      <c r="A37115" s="1" t="n">
        <v>37114</v>
      </c>
      <c r="B37115">
        <f>TEXT(37114, "[$-0E0000]yyyy-mm-dd")</f>
        <v/>
      </c>
      <c r="C37115" t="inlineStr">
        <is>
          <t>2001-06-23</t>
        </is>
      </c>
    </row>
    <row r="37116">
      <c r="A37116" s="1" t="n">
        <v>37115</v>
      </c>
      <c r="B37116">
        <f>TEXT(37115, "[$-0E0000]yyyy-mm-dd")</f>
        <v/>
      </c>
      <c r="C37116" t="inlineStr">
        <is>
          <t>2001-06-24</t>
        </is>
      </c>
    </row>
    <row r="37117">
      <c r="A37117" s="1" t="n">
        <v>37116</v>
      </c>
      <c r="B37117">
        <f>TEXT(37116, "[$-0E0000]yyyy-mm-dd")</f>
        <v/>
      </c>
      <c r="C37117" t="inlineStr">
        <is>
          <t>2001-06-25</t>
        </is>
      </c>
    </row>
    <row r="37118">
      <c r="A37118" s="1" t="n">
        <v>37117</v>
      </c>
      <c r="B37118">
        <f>TEXT(37117, "[$-0E0000]yyyy-mm-dd")</f>
        <v/>
      </c>
      <c r="C37118" t="inlineStr">
        <is>
          <t>2001-06-26</t>
        </is>
      </c>
    </row>
    <row r="37119">
      <c r="A37119" s="1" t="n">
        <v>37118</v>
      </c>
      <c r="B37119">
        <f>TEXT(37118, "[$-0E0000]yyyy-mm-dd")</f>
        <v/>
      </c>
      <c r="C37119" t="inlineStr">
        <is>
          <t>2001-06-27</t>
        </is>
      </c>
    </row>
    <row r="37120">
      <c r="A37120" s="1" t="n">
        <v>37119</v>
      </c>
      <c r="B37120">
        <f>TEXT(37119, "[$-0E0000]yyyy-mm-dd")</f>
        <v/>
      </c>
      <c r="C37120" t="inlineStr">
        <is>
          <t>2001-06-28</t>
        </is>
      </c>
    </row>
    <row r="37121">
      <c r="A37121" s="1" t="n">
        <v>37120</v>
      </c>
      <c r="B37121">
        <f>TEXT(37120, "[$-0E0000]yyyy-mm-dd")</f>
        <v/>
      </c>
      <c r="C37121" t="inlineStr">
        <is>
          <t>2001-06-29</t>
        </is>
      </c>
    </row>
    <row r="37122">
      <c r="A37122" s="1" t="n">
        <v>37121</v>
      </c>
      <c r="B37122">
        <f>TEXT(37121, "[$-0E0000]yyyy-mm-dd")</f>
        <v/>
      </c>
      <c r="C37122" t="inlineStr">
        <is>
          <t>2001-07-01</t>
        </is>
      </c>
    </row>
    <row r="37123">
      <c r="A37123" s="1" t="n">
        <v>37122</v>
      </c>
      <c r="B37123">
        <f>TEXT(37122, "[$-0E0000]yyyy-mm-dd")</f>
        <v/>
      </c>
      <c r="C37123" t="inlineStr">
        <is>
          <t>2001-07-02</t>
        </is>
      </c>
    </row>
    <row r="37124">
      <c r="A37124" s="1" t="n">
        <v>37123</v>
      </c>
      <c r="B37124">
        <f>TEXT(37123, "[$-0E0000]yyyy-mm-dd")</f>
        <v/>
      </c>
      <c r="C37124" t="inlineStr">
        <is>
          <t>2001-07-03</t>
        </is>
      </c>
    </row>
    <row r="37125">
      <c r="A37125" s="1" t="n">
        <v>37124</v>
      </c>
      <c r="B37125">
        <f>TEXT(37124, "[$-0E0000]yyyy-mm-dd")</f>
        <v/>
      </c>
      <c r="C37125" t="inlineStr">
        <is>
          <t>2001-07-04</t>
        </is>
      </c>
    </row>
    <row r="37126">
      <c r="A37126" s="1" t="n">
        <v>37125</v>
      </c>
      <c r="B37126">
        <f>TEXT(37125, "[$-0E0000]yyyy-mm-dd")</f>
        <v/>
      </c>
      <c r="C37126" t="inlineStr">
        <is>
          <t>2001-07-05</t>
        </is>
      </c>
    </row>
    <row r="37127">
      <c r="A37127" s="1" t="n">
        <v>37126</v>
      </c>
      <c r="B37127">
        <f>TEXT(37126, "[$-0E0000]yyyy-mm-dd")</f>
        <v/>
      </c>
      <c r="C37127" t="inlineStr">
        <is>
          <t>2001-07-06</t>
        </is>
      </c>
    </row>
    <row r="37128">
      <c r="A37128" s="1" t="n">
        <v>37127</v>
      </c>
      <c r="B37128">
        <f>TEXT(37127, "[$-0E0000]yyyy-mm-dd")</f>
        <v/>
      </c>
      <c r="C37128" t="inlineStr">
        <is>
          <t>2001-07-07</t>
        </is>
      </c>
    </row>
    <row r="37129">
      <c r="A37129" s="1" t="n">
        <v>37128</v>
      </c>
      <c r="B37129">
        <f>TEXT(37128, "[$-0E0000]yyyy-mm-dd")</f>
        <v/>
      </c>
      <c r="C37129" t="inlineStr">
        <is>
          <t>2001-07-08</t>
        </is>
      </c>
    </row>
    <row r="37130">
      <c r="A37130" s="1" t="n">
        <v>37129</v>
      </c>
      <c r="B37130">
        <f>TEXT(37129, "[$-0E0000]yyyy-mm-dd")</f>
        <v/>
      </c>
      <c r="C37130" t="inlineStr">
        <is>
          <t>2001-07-09</t>
        </is>
      </c>
    </row>
    <row r="37131">
      <c r="A37131" s="1" t="n">
        <v>37130</v>
      </c>
      <c r="B37131">
        <f>TEXT(37130, "[$-0E0000]yyyy-mm-dd")</f>
        <v/>
      </c>
      <c r="C37131" t="inlineStr">
        <is>
          <t>2001-07-10</t>
        </is>
      </c>
    </row>
    <row r="37132">
      <c r="A37132" s="1" t="n">
        <v>37131</v>
      </c>
      <c r="B37132">
        <f>TEXT(37131, "[$-0E0000]yyyy-mm-dd")</f>
        <v/>
      </c>
      <c r="C37132" t="inlineStr">
        <is>
          <t>2001-07-11</t>
        </is>
      </c>
    </row>
    <row r="37133">
      <c r="A37133" s="1" t="n">
        <v>37132</v>
      </c>
      <c r="B37133">
        <f>TEXT(37132, "[$-0E0000]yyyy-mm-dd")</f>
        <v/>
      </c>
      <c r="C37133" t="inlineStr">
        <is>
          <t>2001-07-12</t>
        </is>
      </c>
    </row>
    <row r="37134">
      <c r="A37134" s="1" t="n">
        <v>37133</v>
      </c>
      <c r="B37134">
        <f>TEXT(37133, "[$-0E0000]yyyy-mm-dd")</f>
        <v/>
      </c>
      <c r="C37134" t="inlineStr">
        <is>
          <t>2001-07-13</t>
        </is>
      </c>
    </row>
    <row r="37135">
      <c r="A37135" s="1" t="n">
        <v>37134</v>
      </c>
      <c r="B37135">
        <f>TEXT(37134, "[$-0E0000]yyyy-mm-dd")</f>
        <v/>
      </c>
      <c r="C37135" t="inlineStr">
        <is>
          <t>2001-07-14</t>
        </is>
      </c>
    </row>
    <row r="37136">
      <c r="A37136" s="1" t="n">
        <v>37135</v>
      </c>
      <c r="B37136">
        <f>TEXT(37135, "[$-0E0000]yyyy-mm-dd")</f>
        <v/>
      </c>
      <c r="C37136" t="inlineStr">
        <is>
          <t>2001-07-15</t>
        </is>
      </c>
    </row>
    <row r="37137">
      <c r="A37137" s="1" t="n">
        <v>37136</v>
      </c>
      <c r="B37137">
        <f>TEXT(37136, "[$-0E0000]yyyy-mm-dd")</f>
        <v/>
      </c>
      <c r="C37137" t="inlineStr">
        <is>
          <t>2001-07-16</t>
        </is>
      </c>
    </row>
    <row r="37138">
      <c r="A37138" s="1" t="n">
        <v>37137</v>
      </c>
      <c r="B37138">
        <f>TEXT(37137, "[$-0E0000]yyyy-mm-dd")</f>
        <v/>
      </c>
      <c r="C37138" t="inlineStr">
        <is>
          <t>2001-07-17</t>
        </is>
      </c>
    </row>
    <row r="37139">
      <c r="A37139" s="1" t="n">
        <v>37138</v>
      </c>
      <c r="B37139">
        <f>TEXT(37138, "[$-0E0000]yyyy-mm-dd")</f>
        <v/>
      </c>
      <c r="C37139" t="inlineStr">
        <is>
          <t>2001-07-18</t>
        </is>
      </c>
    </row>
    <row r="37140">
      <c r="A37140" s="1" t="n">
        <v>37139</v>
      </c>
      <c r="B37140">
        <f>TEXT(37139, "[$-0E0000]yyyy-mm-dd")</f>
        <v/>
      </c>
      <c r="C37140" t="inlineStr">
        <is>
          <t>2001-07-19</t>
        </is>
      </c>
    </row>
    <row r="37141">
      <c r="A37141" s="1" t="n">
        <v>37140</v>
      </c>
      <c r="B37141">
        <f>TEXT(37140, "[$-0E0000]yyyy-mm-dd")</f>
        <v/>
      </c>
      <c r="C37141" t="inlineStr">
        <is>
          <t>2001-07-20</t>
        </is>
      </c>
    </row>
    <row r="37142">
      <c r="A37142" s="1" t="n">
        <v>37141</v>
      </c>
      <c r="B37142">
        <f>TEXT(37141, "[$-0E0000]yyyy-mm-dd")</f>
        <v/>
      </c>
      <c r="C37142" t="inlineStr">
        <is>
          <t>2001-07-21</t>
        </is>
      </c>
    </row>
    <row r="37143">
      <c r="A37143" s="1" t="n">
        <v>37142</v>
      </c>
      <c r="B37143">
        <f>TEXT(37142, "[$-0E0000]yyyy-mm-dd")</f>
        <v/>
      </c>
      <c r="C37143" t="inlineStr">
        <is>
          <t>2001-07-22</t>
        </is>
      </c>
    </row>
    <row r="37144">
      <c r="A37144" s="1" t="n">
        <v>37143</v>
      </c>
      <c r="B37144">
        <f>TEXT(37143, "[$-0E0000]yyyy-mm-dd")</f>
        <v/>
      </c>
      <c r="C37144" t="inlineStr">
        <is>
          <t>2001-07-23</t>
        </is>
      </c>
    </row>
    <row r="37145">
      <c r="A37145" s="1" t="n">
        <v>37144</v>
      </c>
      <c r="B37145">
        <f>TEXT(37144, "[$-0E0000]yyyy-mm-dd")</f>
        <v/>
      </c>
      <c r="C37145" t="inlineStr">
        <is>
          <t>2001-07-24</t>
        </is>
      </c>
    </row>
    <row r="37146">
      <c r="A37146" s="1" t="n">
        <v>37145</v>
      </c>
      <c r="B37146">
        <f>TEXT(37145, "[$-0E0000]yyyy-mm-dd")</f>
        <v/>
      </c>
      <c r="C37146" t="inlineStr">
        <is>
          <t>2001-07-25</t>
        </is>
      </c>
    </row>
    <row r="37147">
      <c r="A37147" s="1" t="n">
        <v>37146</v>
      </c>
      <c r="B37147">
        <f>TEXT(37146, "[$-0E0000]yyyy-mm-dd")</f>
        <v/>
      </c>
      <c r="C37147" t="inlineStr">
        <is>
          <t>2001-07-26</t>
        </is>
      </c>
    </row>
    <row r="37148">
      <c r="A37148" s="1" t="n">
        <v>37147</v>
      </c>
      <c r="B37148">
        <f>TEXT(37147, "[$-0E0000]yyyy-mm-dd")</f>
        <v/>
      </c>
      <c r="C37148" t="inlineStr">
        <is>
          <t>2001-07-27</t>
        </is>
      </c>
    </row>
    <row r="37149">
      <c r="A37149" s="1" t="n">
        <v>37148</v>
      </c>
      <c r="B37149">
        <f>TEXT(37148, "[$-0E0000]yyyy-mm-dd")</f>
        <v/>
      </c>
      <c r="C37149" t="inlineStr">
        <is>
          <t>2001-07-28</t>
        </is>
      </c>
    </row>
    <row r="37150">
      <c r="A37150" s="1" t="n">
        <v>37149</v>
      </c>
      <c r="B37150">
        <f>TEXT(37149, "[$-0E0000]yyyy-mm-dd")</f>
        <v/>
      </c>
      <c r="C37150" t="inlineStr">
        <is>
          <t>2001-07-29</t>
        </is>
      </c>
    </row>
    <row r="37151">
      <c r="A37151" s="1" t="n">
        <v>37150</v>
      </c>
      <c r="B37151">
        <f>TEXT(37150, "[$-0E0000]yyyy-mm-dd")</f>
        <v/>
      </c>
      <c r="C37151" t="inlineStr">
        <is>
          <t>2001-08-01</t>
        </is>
      </c>
    </row>
    <row r="37152">
      <c r="A37152" s="1" t="n">
        <v>37151</v>
      </c>
      <c r="B37152">
        <f>TEXT(37151, "[$-0E0000]yyyy-mm-dd")</f>
        <v/>
      </c>
      <c r="C37152" t="inlineStr">
        <is>
          <t>2001-08-02</t>
        </is>
      </c>
    </row>
    <row r="37153">
      <c r="A37153" s="1" t="n">
        <v>37152</v>
      </c>
      <c r="B37153">
        <f>TEXT(37152, "[$-0E0000]yyyy-mm-dd")</f>
        <v/>
      </c>
      <c r="C37153" t="inlineStr">
        <is>
          <t>2001-08-03</t>
        </is>
      </c>
    </row>
    <row r="37154">
      <c r="A37154" s="1" t="n">
        <v>37153</v>
      </c>
      <c r="B37154">
        <f>TEXT(37153, "[$-0E0000]yyyy-mm-dd")</f>
        <v/>
      </c>
      <c r="C37154" t="inlineStr">
        <is>
          <t>2001-08-04</t>
        </is>
      </c>
    </row>
    <row r="37155">
      <c r="A37155" s="1" t="n">
        <v>37154</v>
      </c>
      <c r="B37155">
        <f>TEXT(37154, "[$-0E0000]yyyy-mm-dd")</f>
        <v/>
      </c>
      <c r="C37155" t="inlineStr">
        <is>
          <t>2001-08-05</t>
        </is>
      </c>
    </row>
    <row r="37156">
      <c r="A37156" s="1" t="n">
        <v>37155</v>
      </c>
      <c r="B37156">
        <f>TEXT(37155, "[$-0E0000]yyyy-mm-dd")</f>
        <v/>
      </c>
      <c r="C37156" t="inlineStr">
        <is>
          <t>2001-08-06</t>
        </is>
      </c>
    </row>
    <row r="37157">
      <c r="A37157" s="1" t="n">
        <v>37156</v>
      </c>
      <c r="B37157">
        <f>TEXT(37156, "[$-0E0000]yyyy-mm-dd")</f>
        <v/>
      </c>
      <c r="C37157" t="inlineStr">
        <is>
          <t>2001-08-07</t>
        </is>
      </c>
    </row>
    <row r="37158">
      <c r="A37158" s="1" t="n">
        <v>37157</v>
      </c>
      <c r="B37158">
        <f>TEXT(37157, "[$-0E0000]yyyy-mm-dd")</f>
        <v/>
      </c>
      <c r="C37158" t="inlineStr">
        <is>
          <t>2001-08-08</t>
        </is>
      </c>
    </row>
    <row r="37159">
      <c r="A37159" s="1" t="n">
        <v>37158</v>
      </c>
      <c r="B37159">
        <f>TEXT(37158, "[$-0E0000]yyyy-mm-dd")</f>
        <v/>
      </c>
      <c r="C37159" t="inlineStr">
        <is>
          <t>2001-08-09</t>
        </is>
      </c>
    </row>
    <row r="37160">
      <c r="A37160" s="1" t="n">
        <v>37159</v>
      </c>
      <c r="B37160">
        <f>TEXT(37159, "[$-0E0000]yyyy-mm-dd")</f>
        <v/>
      </c>
      <c r="C37160" t="inlineStr">
        <is>
          <t>2001-08-10</t>
        </is>
      </c>
    </row>
    <row r="37161">
      <c r="A37161" s="1" t="n">
        <v>37160</v>
      </c>
      <c r="B37161">
        <f>TEXT(37160, "[$-0E0000]yyyy-mm-dd")</f>
        <v/>
      </c>
      <c r="C37161" t="inlineStr">
        <is>
          <t>2001-08-11</t>
        </is>
      </c>
    </row>
    <row r="37162">
      <c r="A37162" s="1" t="n">
        <v>37161</v>
      </c>
      <c r="B37162">
        <f>TEXT(37161, "[$-0E0000]yyyy-mm-dd")</f>
        <v/>
      </c>
      <c r="C37162" t="inlineStr">
        <is>
          <t>2001-08-12</t>
        </is>
      </c>
    </row>
    <row r="37163">
      <c r="A37163" s="1" t="n">
        <v>37162</v>
      </c>
      <c r="B37163">
        <f>TEXT(37162, "[$-0E0000]yyyy-mm-dd")</f>
        <v/>
      </c>
      <c r="C37163" t="inlineStr">
        <is>
          <t>2001-08-13</t>
        </is>
      </c>
    </row>
    <row r="37164">
      <c r="A37164" s="1" t="n">
        <v>37163</v>
      </c>
      <c r="B37164">
        <f>TEXT(37163, "[$-0E0000]yyyy-mm-dd")</f>
        <v/>
      </c>
      <c r="C37164" t="inlineStr">
        <is>
          <t>2001-08-14</t>
        </is>
      </c>
    </row>
    <row r="37165">
      <c r="A37165" s="1" t="n">
        <v>37164</v>
      </c>
      <c r="B37165">
        <f>TEXT(37164, "[$-0E0000]yyyy-mm-dd")</f>
        <v/>
      </c>
      <c r="C37165" t="inlineStr">
        <is>
          <t>2001-08-15</t>
        </is>
      </c>
    </row>
    <row r="37166">
      <c r="A37166" s="1" t="n">
        <v>37165</v>
      </c>
      <c r="B37166">
        <f>TEXT(37165, "[$-0E0000]yyyy-mm-dd")</f>
        <v/>
      </c>
      <c r="C37166" t="inlineStr">
        <is>
          <t>2001-08-16</t>
        </is>
      </c>
    </row>
    <row r="37167">
      <c r="A37167" s="1" t="n">
        <v>37166</v>
      </c>
      <c r="B37167">
        <f>TEXT(37166, "[$-0E0000]yyyy-mm-dd")</f>
        <v/>
      </c>
      <c r="C37167" t="inlineStr">
        <is>
          <t>2001-08-17</t>
        </is>
      </c>
    </row>
    <row r="37168">
      <c r="A37168" s="1" t="n">
        <v>37167</v>
      </c>
      <c r="B37168">
        <f>TEXT(37167, "[$-0E0000]yyyy-mm-dd")</f>
        <v/>
      </c>
      <c r="C37168" t="inlineStr">
        <is>
          <t>2001-08-18</t>
        </is>
      </c>
    </row>
    <row r="37169">
      <c r="A37169" s="1" t="n">
        <v>37168</v>
      </c>
      <c r="B37169">
        <f>TEXT(37168, "[$-0E0000]yyyy-mm-dd")</f>
        <v/>
      </c>
      <c r="C37169" t="inlineStr">
        <is>
          <t>2001-08-19</t>
        </is>
      </c>
    </row>
    <row r="37170">
      <c r="A37170" s="1" t="n">
        <v>37169</v>
      </c>
      <c r="B37170">
        <f>TEXT(37169, "[$-0E0000]yyyy-mm-dd")</f>
        <v/>
      </c>
      <c r="C37170" t="inlineStr">
        <is>
          <t>2001-08-20</t>
        </is>
      </c>
    </row>
    <row r="37171">
      <c r="A37171" s="1" t="n">
        <v>37170</v>
      </c>
      <c r="B37171">
        <f>TEXT(37170, "[$-0E0000]yyyy-mm-dd")</f>
        <v/>
      </c>
      <c r="C37171" t="inlineStr">
        <is>
          <t>2001-08-21</t>
        </is>
      </c>
    </row>
    <row r="37172">
      <c r="A37172" s="1" t="n">
        <v>37171</v>
      </c>
      <c r="B37172">
        <f>TEXT(37171, "[$-0E0000]yyyy-mm-dd")</f>
        <v/>
      </c>
      <c r="C37172" t="inlineStr">
        <is>
          <t>2001-08-22</t>
        </is>
      </c>
    </row>
    <row r="37173">
      <c r="A37173" s="1" t="n">
        <v>37172</v>
      </c>
      <c r="B37173">
        <f>TEXT(37172, "[$-0E0000]yyyy-mm-dd")</f>
        <v/>
      </c>
      <c r="C37173" t="inlineStr">
        <is>
          <t>2001-08-23</t>
        </is>
      </c>
    </row>
    <row r="37174">
      <c r="A37174" s="1" t="n">
        <v>37173</v>
      </c>
      <c r="B37174">
        <f>TEXT(37173, "[$-0E0000]yyyy-mm-dd")</f>
        <v/>
      </c>
      <c r="C37174" t="inlineStr">
        <is>
          <t>2001-08-24</t>
        </is>
      </c>
    </row>
    <row r="37175">
      <c r="A37175" s="1" t="n">
        <v>37174</v>
      </c>
      <c r="B37175">
        <f>TEXT(37174, "[$-0E0000]yyyy-mm-dd")</f>
        <v/>
      </c>
      <c r="C37175" t="inlineStr">
        <is>
          <t>2001-08-25</t>
        </is>
      </c>
    </row>
    <row r="37176">
      <c r="A37176" s="1" t="n">
        <v>37175</v>
      </c>
      <c r="B37176">
        <f>TEXT(37175, "[$-0E0000]yyyy-mm-dd")</f>
        <v/>
      </c>
      <c r="C37176" t="inlineStr">
        <is>
          <t>2001-08-26</t>
        </is>
      </c>
    </row>
    <row r="37177">
      <c r="A37177" s="1" t="n">
        <v>37176</v>
      </c>
      <c r="B37177">
        <f>TEXT(37176, "[$-0E0000]yyyy-mm-dd")</f>
        <v/>
      </c>
      <c r="C37177" t="inlineStr">
        <is>
          <t>2001-08-27</t>
        </is>
      </c>
    </row>
    <row r="37178">
      <c r="A37178" s="1" t="n">
        <v>37177</v>
      </c>
      <c r="B37178">
        <f>TEXT(37177, "[$-0E0000]yyyy-mm-dd")</f>
        <v/>
      </c>
      <c r="C37178" t="inlineStr">
        <is>
          <t>2001-08-28</t>
        </is>
      </c>
    </row>
    <row r="37179">
      <c r="A37179" s="1" t="n">
        <v>37178</v>
      </c>
      <c r="B37179">
        <f>TEXT(37178, "[$-0E0000]yyyy-mm-dd")</f>
        <v/>
      </c>
      <c r="C37179" t="inlineStr">
        <is>
          <t>2001-08-29</t>
        </is>
      </c>
    </row>
    <row r="37180">
      <c r="A37180" s="1" t="n">
        <v>37179</v>
      </c>
      <c r="B37180">
        <f>TEXT(37179, "[$-0E0000]yyyy-mm-dd")</f>
        <v/>
      </c>
      <c r="C37180" t="inlineStr">
        <is>
          <t>2001-08-30</t>
        </is>
      </c>
    </row>
    <row r="37181">
      <c r="A37181" s="1" t="n">
        <v>37180</v>
      </c>
      <c r="B37181">
        <f>TEXT(37180, "[$-0E0000]yyyy-mm-dd")</f>
        <v/>
      </c>
      <c r="C37181" t="inlineStr">
        <is>
          <t>2001-09-01</t>
        </is>
      </c>
    </row>
    <row r="37182">
      <c r="A37182" s="1" t="n">
        <v>37181</v>
      </c>
      <c r="B37182">
        <f>TEXT(37181, "[$-0E0000]yyyy-mm-dd")</f>
        <v/>
      </c>
      <c r="C37182" t="inlineStr">
        <is>
          <t>2001-09-02</t>
        </is>
      </c>
    </row>
    <row r="37183">
      <c r="A37183" s="1" t="n">
        <v>37182</v>
      </c>
      <c r="B37183">
        <f>TEXT(37182, "[$-0E0000]yyyy-mm-dd")</f>
        <v/>
      </c>
      <c r="C37183" t="inlineStr">
        <is>
          <t>2001-09-03</t>
        </is>
      </c>
    </row>
    <row r="37184">
      <c r="A37184" s="1" t="n">
        <v>37183</v>
      </c>
      <c r="B37184">
        <f>TEXT(37183, "[$-0E0000]yyyy-mm-dd")</f>
        <v/>
      </c>
      <c r="C37184" t="inlineStr">
        <is>
          <t>2001-09-04</t>
        </is>
      </c>
    </row>
    <row r="37185">
      <c r="A37185" s="1" t="n">
        <v>37184</v>
      </c>
      <c r="B37185">
        <f>TEXT(37184, "[$-0E0000]yyyy-mm-dd")</f>
        <v/>
      </c>
      <c r="C37185" t="inlineStr">
        <is>
          <t>2001-09-05</t>
        </is>
      </c>
    </row>
    <row r="37186">
      <c r="A37186" s="1" t="n">
        <v>37185</v>
      </c>
      <c r="B37186">
        <f>TEXT(37185, "[$-0E0000]yyyy-mm-dd")</f>
        <v/>
      </c>
      <c r="C37186" t="inlineStr">
        <is>
          <t>2001-09-06</t>
        </is>
      </c>
    </row>
    <row r="37187">
      <c r="A37187" s="1" t="n">
        <v>37186</v>
      </c>
      <c r="B37187">
        <f>TEXT(37186, "[$-0E0000]yyyy-mm-dd")</f>
        <v/>
      </c>
      <c r="C37187" t="inlineStr">
        <is>
          <t>2001-09-07</t>
        </is>
      </c>
    </row>
    <row r="37188">
      <c r="A37188" s="1" t="n">
        <v>37187</v>
      </c>
      <c r="B37188">
        <f>TEXT(37187, "[$-0E0000]yyyy-mm-dd")</f>
        <v/>
      </c>
      <c r="C37188" t="inlineStr">
        <is>
          <t>2001-09-08</t>
        </is>
      </c>
    </row>
    <row r="37189">
      <c r="A37189" s="1" t="n">
        <v>37188</v>
      </c>
      <c r="B37189">
        <f>TEXT(37188, "[$-0E0000]yyyy-mm-dd")</f>
        <v/>
      </c>
      <c r="C37189" t="inlineStr">
        <is>
          <t>2001-09-09</t>
        </is>
      </c>
    </row>
    <row r="37190">
      <c r="A37190" s="1" t="n">
        <v>37189</v>
      </c>
      <c r="B37190">
        <f>TEXT(37189, "[$-0E0000]yyyy-mm-dd")</f>
        <v/>
      </c>
      <c r="C37190" t="inlineStr">
        <is>
          <t>2001-09-10</t>
        </is>
      </c>
    </row>
    <row r="37191">
      <c r="A37191" s="1" t="n">
        <v>37190</v>
      </c>
      <c r="B37191">
        <f>TEXT(37190, "[$-0E0000]yyyy-mm-dd")</f>
        <v/>
      </c>
      <c r="C37191" t="inlineStr">
        <is>
          <t>2001-09-11</t>
        </is>
      </c>
    </row>
    <row r="37192">
      <c r="A37192" s="1" t="n">
        <v>37191</v>
      </c>
      <c r="B37192">
        <f>TEXT(37191, "[$-0E0000]yyyy-mm-dd")</f>
        <v/>
      </c>
      <c r="C37192" t="inlineStr">
        <is>
          <t>2001-09-12</t>
        </is>
      </c>
    </row>
    <row r="37193">
      <c r="A37193" s="1" t="n">
        <v>37192</v>
      </c>
      <c r="B37193">
        <f>TEXT(37192, "[$-0E0000]yyyy-mm-dd")</f>
        <v/>
      </c>
      <c r="C37193" t="inlineStr">
        <is>
          <t>2001-09-13</t>
        </is>
      </c>
    </row>
    <row r="37194">
      <c r="A37194" s="1" t="n">
        <v>37193</v>
      </c>
      <c r="B37194">
        <f>TEXT(37193, "[$-0E0000]yyyy-mm-dd")</f>
        <v/>
      </c>
      <c r="C37194" t="inlineStr">
        <is>
          <t>2001-09-14</t>
        </is>
      </c>
    </row>
    <row r="37195">
      <c r="A37195" s="1" t="n">
        <v>37194</v>
      </c>
      <c r="B37195">
        <f>TEXT(37194, "[$-0E0000]yyyy-mm-dd")</f>
        <v/>
      </c>
      <c r="C37195" t="inlineStr">
        <is>
          <t>2001-09-15</t>
        </is>
      </c>
    </row>
    <row r="37196">
      <c r="A37196" s="1" t="n">
        <v>37195</v>
      </c>
      <c r="B37196">
        <f>TEXT(37195, "[$-0E0000]yyyy-mm-dd")</f>
        <v/>
      </c>
      <c r="C37196" t="inlineStr">
        <is>
          <t>2001-09-16</t>
        </is>
      </c>
    </row>
    <row r="37197">
      <c r="A37197" s="1" t="n">
        <v>37196</v>
      </c>
      <c r="B37197">
        <f>TEXT(37196, "[$-0E0000]yyyy-mm-dd")</f>
        <v/>
      </c>
      <c r="C37197" t="inlineStr">
        <is>
          <t>2001-09-17</t>
        </is>
      </c>
    </row>
    <row r="37198">
      <c r="A37198" s="1" t="n">
        <v>37197</v>
      </c>
      <c r="B37198">
        <f>TEXT(37197, "[$-0E0000]yyyy-mm-dd")</f>
        <v/>
      </c>
      <c r="C37198" t="inlineStr">
        <is>
          <t>2001-09-18</t>
        </is>
      </c>
    </row>
    <row r="37199">
      <c r="A37199" s="1" t="n">
        <v>37198</v>
      </c>
      <c r="B37199">
        <f>TEXT(37198, "[$-0E0000]yyyy-mm-dd")</f>
        <v/>
      </c>
      <c r="C37199" t="inlineStr">
        <is>
          <t>2001-09-19</t>
        </is>
      </c>
    </row>
    <row r="37200">
      <c r="A37200" s="1" t="n">
        <v>37199</v>
      </c>
      <c r="B37200">
        <f>TEXT(37199, "[$-0E0000]yyyy-mm-dd")</f>
        <v/>
      </c>
      <c r="C37200" t="inlineStr">
        <is>
          <t>2001-09-20</t>
        </is>
      </c>
    </row>
    <row r="37201">
      <c r="A37201" s="1" t="n">
        <v>37200</v>
      </c>
      <c r="B37201">
        <f>TEXT(37200, "[$-0E0000]yyyy-mm-dd")</f>
        <v/>
      </c>
      <c r="C37201" t="inlineStr">
        <is>
          <t>2001-09-21</t>
        </is>
      </c>
    </row>
    <row r="37202">
      <c r="A37202" s="1" t="n">
        <v>37201</v>
      </c>
      <c r="B37202">
        <f>TEXT(37201, "[$-0E0000]yyyy-mm-dd")</f>
        <v/>
      </c>
      <c r="C37202" t="inlineStr">
        <is>
          <t>2001-09-22</t>
        </is>
      </c>
    </row>
    <row r="37203">
      <c r="A37203" s="1" t="n">
        <v>37202</v>
      </c>
      <c r="B37203">
        <f>TEXT(37202, "[$-0E0000]yyyy-mm-dd")</f>
        <v/>
      </c>
      <c r="C37203" t="inlineStr">
        <is>
          <t>2001-09-23</t>
        </is>
      </c>
    </row>
    <row r="37204">
      <c r="A37204" s="1" t="n">
        <v>37203</v>
      </c>
      <c r="B37204">
        <f>TEXT(37203, "[$-0E0000]yyyy-mm-dd")</f>
        <v/>
      </c>
      <c r="C37204" t="inlineStr">
        <is>
          <t>2001-09-24</t>
        </is>
      </c>
    </row>
    <row r="37205">
      <c r="A37205" s="1" t="n">
        <v>37204</v>
      </c>
      <c r="B37205">
        <f>TEXT(37204, "[$-0E0000]yyyy-mm-dd")</f>
        <v/>
      </c>
      <c r="C37205" t="inlineStr">
        <is>
          <t>2001-09-25</t>
        </is>
      </c>
    </row>
    <row r="37206">
      <c r="A37206" s="1" t="n">
        <v>37205</v>
      </c>
      <c r="B37206">
        <f>TEXT(37205, "[$-0E0000]yyyy-mm-dd")</f>
        <v/>
      </c>
      <c r="C37206" t="inlineStr">
        <is>
          <t>2001-09-26</t>
        </is>
      </c>
    </row>
    <row r="37207">
      <c r="A37207" s="1" t="n">
        <v>37206</v>
      </c>
      <c r="B37207">
        <f>TEXT(37206, "[$-0E0000]yyyy-mm-dd")</f>
        <v/>
      </c>
      <c r="C37207" t="inlineStr">
        <is>
          <t>2001-09-27</t>
        </is>
      </c>
    </row>
    <row r="37208">
      <c r="A37208" s="1" t="n">
        <v>37207</v>
      </c>
      <c r="B37208">
        <f>TEXT(37207, "[$-0E0000]yyyy-mm-dd")</f>
        <v/>
      </c>
      <c r="C37208" t="inlineStr">
        <is>
          <t>2001-09-28</t>
        </is>
      </c>
    </row>
    <row r="37209">
      <c r="A37209" s="1" t="n">
        <v>37208</v>
      </c>
      <c r="B37209">
        <f>TEXT(37208, "[$-0E0000]yyyy-mm-dd")</f>
        <v/>
      </c>
      <c r="C37209" t="inlineStr">
        <is>
          <t>2001-09-29</t>
        </is>
      </c>
    </row>
    <row r="37210">
      <c r="A37210" s="1" t="n">
        <v>37209</v>
      </c>
      <c r="B37210">
        <f>TEXT(37209, "[$-0E0000]yyyy-mm-dd")</f>
        <v/>
      </c>
      <c r="C37210" t="inlineStr">
        <is>
          <t>2001-10-01</t>
        </is>
      </c>
    </row>
    <row r="37211">
      <c r="A37211" s="1" t="n">
        <v>37210</v>
      </c>
      <c r="B37211">
        <f>TEXT(37210, "[$-0E0000]yyyy-mm-dd")</f>
        <v/>
      </c>
      <c r="C37211" t="inlineStr">
        <is>
          <t>2001-10-02</t>
        </is>
      </c>
    </row>
    <row r="37212">
      <c r="A37212" s="1" t="n">
        <v>37211</v>
      </c>
      <c r="B37212">
        <f>TEXT(37211, "[$-0E0000]yyyy-mm-dd")</f>
        <v/>
      </c>
      <c r="C37212" t="inlineStr">
        <is>
          <t>2001-10-03</t>
        </is>
      </c>
    </row>
    <row r="37213">
      <c r="A37213" s="1" t="n">
        <v>37212</v>
      </c>
      <c r="B37213">
        <f>TEXT(37212, "[$-0E0000]yyyy-mm-dd")</f>
        <v/>
      </c>
      <c r="C37213" t="inlineStr">
        <is>
          <t>2001-10-04</t>
        </is>
      </c>
    </row>
    <row r="37214">
      <c r="A37214" s="1" t="n">
        <v>37213</v>
      </c>
      <c r="B37214">
        <f>TEXT(37213, "[$-0E0000]yyyy-mm-dd")</f>
        <v/>
      </c>
      <c r="C37214" t="inlineStr">
        <is>
          <t>2001-10-05</t>
        </is>
      </c>
    </row>
    <row r="37215">
      <c r="A37215" s="1" t="n">
        <v>37214</v>
      </c>
      <c r="B37215">
        <f>TEXT(37214, "[$-0E0000]yyyy-mm-dd")</f>
        <v/>
      </c>
      <c r="C37215" t="inlineStr">
        <is>
          <t>2001-10-06</t>
        </is>
      </c>
    </row>
    <row r="37216">
      <c r="A37216" s="1" t="n">
        <v>37215</v>
      </c>
      <c r="B37216">
        <f>TEXT(37215, "[$-0E0000]yyyy-mm-dd")</f>
        <v/>
      </c>
      <c r="C37216" t="inlineStr">
        <is>
          <t>2001-10-07</t>
        </is>
      </c>
    </row>
    <row r="37217">
      <c r="A37217" s="1" t="n">
        <v>37216</v>
      </c>
      <c r="B37217">
        <f>TEXT(37216, "[$-0E0000]yyyy-mm-dd")</f>
        <v/>
      </c>
      <c r="C37217" t="inlineStr">
        <is>
          <t>2001-10-08</t>
        </is>
      </c>
    </row>
    <row r="37218">
      <c r="A37218" s="1" t="n">
        <v>37217</v>
      </c>
      <c r="B37218">
        <f>TEXT(37217, "[$-0E0000]yyyy-mm-dd")</f>
        <v/>
      </c>
      <c r="C37218" t="inlineStr">
        <is>
          <t>2001-10-09</t>
        </is>
      </c>
    </row>
    <row r="37219">
      <c r="A37219" s="1" t="n">
        <v>37218</v>
      </c>
      <c r="B37219">
        <f>TEXT(37218, "[$-0E0000]yyyy-mm-dd")</f>
        <v/>
      </c>
      <c r="C37219" t="inlineStr">
        <is>
          <t>2001-10-10</t>
        </is>
      </c>
    </row>
    <row r="37220">
      <c r="A37220" s="1" t="n">
        <v>37219</v>
      </c>
      <c r="B37220">
        <f>TEXT(37219, "[$-0E0000]yyyy-mm-dd")</f>
        <v/>
      </c>
      <c r="C37220" t="inlineStr">
        <is>
          <t>2001-10-11</t>
        </is>
      </c>
    </row>
    <row r="37221">
      <c r="A37221" s="1" t="n">
        <v>37220</v>
      </c>
      <c r="B37221">
        <f>TEXT(37220, "[$-0E0000]yyyy-mm-dd")</f>
        <v/>
      </c>
      <c r="C37221" t="inlineStr">
        <is>
          <t>2001-10-12</t>
        </is>
      </c>
    </row>
    <row r="37222">
      <c r="A37222" s="1" t="n">
        <v>37221</v>
      </c>
      <c r="B37222">
        <f>TEXT(37221, "[$-0E0000]yyyy-mm-dd")</f>
        <v/>
      </c>
      <c r="C37222" t="inlineStr">
        <is>
          <t>2001-10-13</t>
        </is>
      </c>
    </row>
    <row r="37223">
      <c r="A37223" s="1" t="n">
        <v>37222</v>
      </c>
      <c r="B37223">
        <f>TEXT(37222, "[$-0E0000]yyyy-mm-dd")</f>
        <v/>
      </c>
      <c r="C37223" t="inlineStr">
        <is>
          <t>2001-10-14</t>
        </is>
      </c>
    </row>
    <row r="37224">
      <c r="A37224" s="1" t="n">
        <v>37223</v>
      </c>
      <c r="B37224">
        <f>TEXT(37223, "[$-0E0000]yyyy-mm-dd")</f>
        <v/>
      </c>
      <c r="C37224" t="inlineStr">
        <is>
          <t>2001-10-15</t>
        </is>
      </c>
    </row>
    <row r="37225">
      <c r="A37225" s="1" t="n">
        <v>37224</v>
      </c>
      <c r="B37225">
        <f>TEXT(37224, "[$-0E0000]yyyy-mm-dd")</f>
        <v/>
      </c>
      <c r="C37225" t="inlineStr">
        <is>
          <t>2001-10-16</t>
        </is>
      </c>
    </row>
    <row r="37226">
      <c r="A37226" s="1" t="n">
        <v>37225</v>
      </c>
      <c r="B37226">
        <f>TEXT(37225, "[$-0E0000]yyyy-mm-dd")</f>
        <v/>
      </c>
      <c r="C37226" t="inlineStr">
        <is>
          <t>2001-10-17</t>
        </is>
      </c>
    </row>
    <row r="37227">
      <c r="A37227" s="1" t="n">
        <v>37226</v>
      </c>
      <c r="B37227">
        <f>TEXT(37226, "[$-0E0000]yyyy-mm-dd")</f>
        <v/>
      </c>
      <c r="C37227" t="inlineStr">
        <is>
          <t>2001-10-18</t>
        </is>
      </c>
    </row>
    <row r="37228">
      <c r="A37228" s="1" t="n">
        <v>37227</v>
      </c>
      <c r="B37228">
        <f>TEXT(37227, "[$-0E0000]yyyy-mm-dd")</f>
        <v/>
      </c>
      <c r="C37228" t="inlineStr">
        <is>
          <t>2001-10-19</t>
        </is>
      </c>
    </row>
    <row r="37229">
      <c r="A37229" s="1" t="n">
        <v>37228</v>
      </c>
      <c r="B37229">
        <f>TEXT(37228, "[$-0E0000]yyyy-mm-dd")</f>
        <v/>
      </c>
      <c r="C37229" t="inlineStr">
        <is>
          <t>2001-10-20</t>
        </is>
      </c>
    </row>
    <row r="37230">
      <c r="A37230" s="1" t="n">
        <v>37229</v>
      </c>
      <c r="B37230">
        <f>TEXT(37229, "[$-0E0000]yyyy-mm-dd")</f>
        <v/>
      </c>
      <c r="C37230" t="inlineStr">
        <is>
          <t>2001-10-21</t>
        </is>
      </c>
    </row>
    <row r="37231">
      <c r="A37231" s="1" t="n">
        <v>37230</v>
      </c>
      <c r="B37231">
        <f>TEXT(37230, "[$-0E0000]yyyy-mm-dd")</f>
        <v/>
      </c>
      <c r="C37231" t="inlineStr">
        <is>
          <t>2001-10-22</t>
        </is>
      </c>
    </row>
    <row r="37232">
      <c r="A37232" s="1" t="n">
        <v>37231</v>
      </c>
      <c r="B37232">
        <f>TEXT(37231, "[$-0E0000]yyyy-mm-dd")</f>
        <v/>
      </c>
      <c r="C37232" t="inlineStr">
        <is>
          <t>2001-10-23</t>
        </is>
      </c>
    </row>
    <row r="37233">
      <c r="A37233" s="1" t="n">
        <v>37232</v>
      </c>
      <c r="B37233">
        <f>TEXT(37232, "[$-0E0000]yyyy-mm-dd")</f>
        <v/>
      </c>
      <c r="C37233" t="inlineStr">
        <is>
          <t>2001-10-24</t>
        </is>
      </c>
    </row>
    <row r="37234">
      <c r="A37234" s="1" t="n">
        <v>37233</v>
      </c>
      <c r="B37234">
        <f>TEXT(37233, "[$-0E0000]yyyy-mm-dd")</f>
        <v/>
      </c>
      <c r="C37234" t="inlineStr">
        <is>
          <t>2001-10-25</t>
        </is>
      </c>
    </row>
    <row r="37235">
      <c r="A37235" s="1" t="n">
        <v>37234</v>
      </c>
      <c r="B37235">
        <f>TEXT(37234, "[$-0E0000]yyyy-mm-dd")</f>
        <v/>
      </c>
      <c r="C37235" t="inlineStr">
        <is>
          <t>2001-10-26</t>
        </is>
      </c>
    </row>
    <row r="37236">
      <c r="A37236" s="1" t="n">
        <v>37235</v>
      </c>
      <c r="B37236">
        <f>TEXT(37235, "[$-0E0000]yyyy-mm-dd")</f>
        <v/>
      </c>
      <c r="C37236" t="inlineStr">
        <is>
          <t>2001-10-27</t>
        </is>
      </c>
    </row>
    <row r="37237">
      <c r="A37237" s="1" t="n">
        <v>37236</v>
      </c>
      <c r="B37237">
        <f>TEXT(37236, "[$-0E0000]yyyy-mm-dd")</f>
        <v/>
      </c>
      <c r="C37237" t="inlineStr">
        <is>
          <t>2001-10-28</t>
        </is>
      </c>
    </row>
    <row r="37238">
      <c r="A37238" s="1" t="n">
        <v>37237</v>
      </c>
      <c r="B37238">
        <f>TEXT(37237, "[$-0E0000]yyyy-mm-dd")</f>
        <v/>
      </c>
      <c r="C37238" t="inlineStr">
        <is>
          <t>2001-10-29</t>
        </is>
      </c>
    </row>
    <row r="37239">
      <c r="A37239" s="1" t="n">
        <v>37238</v>
      </c>
      <c r="B37239">
        <f>TEXT(37238, "[$-0E0000]yyyy-mm-dd")</f>
        <v/>
      </c>
      <c r="C37239" t="inlineStr">
        <is>
          <t>2001-10-30</t>
        </is>
      </c>
    </row>
    <row r="37240">
      <c r="A37240" s="1" t="n">
        <v>37239</v>
      </c>
      <c r="B37240">
        <f>TEXT(37239, "[$-0E0000]yyyy-mm-dd")</f>
        <v/>
      </c>
      <c r="C37240" t="inlineStr">
        <is>
          <t>2001-11-01</t>
        </is>
      </c>
    </row>
    <row r="37241">
      <c r="A37241" s="1" t="n">
        <v>37240</v>
      </c>
      <c r="B37241">
        <f>TEXT(37240, "[$-0E0000]yyyy-mm-dd")</f>
        <v/>
      </c>
      <c r="C37241" t="inlineStr">
        <is>
          <t>2001-11-02</t>
        </is>
      </c>
    </row>
    <row r="37242">
      <c r="A37242" s="1" t="n">
        <v>37241</v>
      </c>
      <c r="B37242">
        <f>TEXT(37241, "[$-0E0000]yyyy-mm-dd")</f>
        <v/>
      </c>
      <c r="C37242" t="inlineStr">
        <is>
          <t>2001-11-03</t>
        </is>
      </c>
    </row>
    <row r="37243">
      <c r="A37243" s="1" t="n">
        <v>37242</v>
      </c>
      <c r="B37243">
        <f>TEXT(37242, "[$-0E0000]yyyy-mm-dd")</f>
        <v/>
      </c>
      <c r="C37243" t="inlineStr">
        <is>
          <t>2001-11-04</t>
        </is>
      </c>
    </row>
    <row r="37244">
      <c r="A37244" s="1" t="n">
        <v>37243</v>
      </c>
      <c r="B37244">
        <f>TEXT(37243, "[$-0E0000]yyyy-mm-dd")</f>
        <v/>
      </c>
      <c r="C37244" t="inlineStr">
        <is>
          <t>2001-11-05</t>
        </is>
      </c>
    </row>
    <row r="37245">
      <c r="A37245" s="1" t="n">
        <v>37244</v>
      </c>
      <c r="B37245">
        <f>TEXT(37244, "[$-0E0000]yyyy-mm-dd")</f>
        <v/>
      </c>
      <c r="C37245" t="inlineStr">
        <is>
          <t>2001-11-06</t>
        </is>
      </c>
    </row>
    <row r="37246">
      <c r="A37246" s="1" t="n">
        <v>37245</v>
      </c>
      <c r="B37246">
        <f>TEXT(37245, "[$-0E0000]yyyy-mm-dd")</f>
        <v/>
      </c>
      <c r="C37246" t="inlineStr">
        <is>
          <t>2001-11-07</t>
        </is>
      </c>
    </row>
    <row r="37247">
      <c r="A37247" s="1" t="n">
        <v>37246</v>
      </c>
      <c r="B37247">
        <f>TEXT(37246, "[$-0E0000]yyyy-mm-dd")</f>
        <v/>
      </c>
      <c r="C37247" t="inlineStr">
        <is>
          <t>2001-11-08</t>
        </is>
      </c>
    </row>
    <row r="37248">
      <c r="A37248" s="1" t="n">
        <v>37247</v>
      </c>
      <c r="B37248">
        <f>TEXT(37247, "[$-0E0000]yyyy-mm-dd")</f>
        <v/>
      </c>
      <c r="C37248" t="inlineStr">
        <is>
          <t>2001-11-09</t>
        </is>
      </c>
    </row>
    <row r="37249">
      <c r="A37249" s="1" t="n">
        <v>37248</v>
      </c>
      <c r="B37249">
        <f>TEXT(37248, "[$-0E0000]yyyy-mm-dd")</f>
        <v/>
      </c>
      <c r="C37249" t="inlineStr">
        <is>
          <t>2001-11-10</t>
        </is>
      </c>
    </row>
    <row r="37250">
      <c r="A37250" s="1" t="n">
        <v>37249</v>
      </c>
      <c r="B37250">
        <f>TEXT(37249, "[$-0E0000]yyyy-mm-dd")</f>
        <v/>
      </c>
      <c r="C37250" t="inlineStr">
        <is>
          <t>2001-11-11</t>
        </is>
      </c>
    </row>
    <row r="37251">
      <c r="A37251" s="1" t="n">
        <v>37250</v>
      </c>
      <c r="B37251">
        <f>TEXT(37250, "[$-0E0000]yyyy-mm-dd")</f>
        <v/>
      </c>
      <c r="C37251" t="inlineStr">
        <is>
          <t>2001-11-12</t>
        </is>
      </c>
    </row>
    <row r="37252">
      <c r="A37252" s="1" t="n">
        <v>37251</v>
      </c>
      <c r="B37252">
        <f>TEXT(37251, "[$-0E0000]yyyy-mm-dd")</f>
        <v/>
      </c>
      <c r="C37252" t="inlineStr">
        <is>
          <t>2001-11-13</t>
        </is>
      </c>
    </row>
    <row r="37253">
      <c r="A37253" s="1" t="n">
        <v>37252</v>
      </c>
      <c r="B37253">
        <f>TEXT(37252, "[$-0E0000]yyyy-mm-dd")</f>
        <v/>
      </c>
      <c r="C37253" t="inlineStr">
        <is>
          <t>2001-11-14</t>
        </is>
      </c>
    </row>
    <row r="37254">
      <c r="A37254" s="1" t="n">
        <v>37253</v>
      </c>
      <c r="B37254">
        <f>TEXT(37253, "[$-0E0000]yyyy-mm-dd")</f>
        <v/>
      </c>
      <c r="C37254" t="inlineStr">
        <is>
          <t>2001-11-15</t>
        </is>
      </c>
    </row>
    <row r="37255">
      <c r="A37255" s="1" t="n">
        <v>37254</v>
      </c>
      <c r="B37255">
        <f>TEXT(37254, "[$-0E0000]yyyy-mm-dd")</f>
        <v/>
      </c>
      <c r="C37255" t="inlineStr">
        <is>
          <t>2001-11-16</t>
        </is>
      </c>
    </row>
    <row r="37256">
      <c r="A37256" s="1" t="n">
        <v>37255</v>
      </c>
      <c r="B37256">
        <f>TEXT(37255, "[$-0E0000]yyyy-mm-dd")</f>
        <v/>
      </c>
      <c r="C37256" t="inlineStr">
        <is>
          <t>2001-11-17</t>
        </is>
      </c>
    </row>
    <row r="37257">
      <c r="A37257" s="1" t="n">
        <v>37256</v>
      </c>
      <c r="B37257">
        <f>TEXT(37256, "[$-0E0000]yyyy-mm-dd")</f>
        <v/>
      </c>
      <c r="C37257" t="inlineStr">
        <is>
          <t>2001-11-18</t>
        </is>
      </c>
    </row>
    <row r="37258">
      <c r="A37258" s="1" t="n">
        <v>37257</v>
      </c>
      <c r="B37258">
        <f>TEXT(37257, "[$-0E0000]yyyy-mm-dd")</f>
        <v/>
      </c>
      <c r="C37258" t="inlineStr">
        <is>
          <t>2001-11-19</t>
        </is>
      </c>
    </row>
    <row r="37259">
      <c r="A37259" s="1" t="n">
        <v>37258</v>
      </c>
      <c r="B37259">
        <f>TEXT(37258, "[$-0E0000]yyyy-mm-dd")</f>
        <v/>
      </c>
      <c r="C37259" t="inlineStr">
        <is>
          <t>2001-11-20</t>
        </is>
      </c>
    </row>
    <row r="37260">
      <c r="A37260" s="1" t="n">
        <v>37259</v>
      </c>
      <c r="B37260">
        <f>TEXT(37259, "[$-0E0000]yyyy-mm-dd")</f>
        <v/>
      </c>
      <c r="C37260" t="inlineStr">
        <is>
          <t>2001-11-21</t>
        </is>
      </c>
    </row>
    <row r="37261">
      <c r="A37261" s="1" t="n">
        <v>37260</v>
      </c>
      <c r="B37261">
        <f>TEXT(37260, "[$-0E0000]yyyy-mm-dd")</f>
        <v/>
      </c>
      <c r="C37261" t="inlineStr">
        <is>
          <t>2001-11-22</t>
        </is>
      </c>
    </row>
    <row r="37262">
      <c r="A37262" s="1" t="n">
        <v>37261</v>
      </c>
      <c r="B37262">
        <f>TEXT(37261, "[$-0E0000]yyyy-mm-dd")</f>
        <v/>
      </c>
      <c r="C37262" t="inlineStr">
        <is>
          <t>2001-11-23</t>
        </is>
      </c>
    </row>
    <row r="37263">
      <c r="A37263" s="1" t="n">
        <v>37262</v>
      </c>
      <c r="B37263">
        <f>TEXT(37262, "[$-0E0000]yyyy-mm-dd")</f>
        <v/>
      </c>
      <c r="C37263" t="inlineStr">
        <is>
          <t>2001-11-24</t>
        </is>
      </c>
    </row>
    <row r="37264">
      <c r="A37264" s="1" t="n">
        <v>37263</v>
      </c>
      <c r="B37264">
        <f>TEXT(37263, "[$-0E0000]yyyy-mm-dd")</f>
        <v/>
      </c>
      <c r="C37264" t="inlineStr">
        <is>
          <t>2001-11-25</t>
        </is>
      </c>
    </row>
    <row r="37265">
      <c r="A37265" s="1" t="n">
        <v>37264</v>
      </c>
      <c r="B37265">
        <f>TEXT(37264, "[$-0E0000]yyyy-mm-dd")</f>
        <v/>
      </c>
      <c r="C37265" t="inlineStr">
        <is>
          <t>2001-11-26</t>
        </is>
      </c>
    </row>
    <row r="37266">
      <c r="A37266" s="1" t="n">
        <v>37265</v>
      </c>
      <c r="B37266">
        <f>TEXT(37265, "[$-0E0000]yyyy-mm-dd")</f>
        <v/>
      </c>
      <c r="C37266" t="inlineStr">
        <is>
          <t>2001-11-27</t>
        </is>
      </c>
    </row>
    <row r="37267">
      <c r="A37267" s="1" t="n">
        <v>37266</v>
      </c>
      <c r="B37267">
        <f>TEXT(37266, "[$-0E0000]yyyy-mm-dd")</f>
        <v/>
      </c>
      <c r="C37267" t="inlineStr">
        <is>
          <t>2001-11-28</t>
        </is>
      </c>
    </row>
    <row r="37268">
      <c r="A37268" s="1" t="n">
        <v>37267</v>
      </c>
      <c r="B37268">
        <f>TEXT(37267, "[$-0E0000]yyyy-mm-dd")</f>
        <v/>
      </c>
      <c r="C37268" t="inlineStr">
        <is>
          <t>2001-11-29</t>
        </is>
      </c>
    </row>
    <row r="37269">
      <c r="A37269" s="1" t="n">
        <v>37268</v>
      </c>
      <c r="B37269">
        <f>TEXT(37268, "[$-0E0000]yyyy-mm-dd")</f>
        <v/>
      </c>
      <c r="C37269" t="inlineStr">
        <is>
          <t>2001-12-01</t>
        </is>
      </c>
    </row>
    <row r="37270">
      <c r="A37270" s="1" t="n">
        <v>37269</v>
      </c>
      <c r="B37270">
        <f>TEXT(37269, "[$-0E0000]yyyy-mm-dd")</f>
        <v/>
      </c>
      <c r="C37270" t="inlineStr">
        <is>
          <t>2001-12-02</t>
        </is>
      </c>
    </row>
    <row r="37271">
      <c r="A37271" s="1" t="n">
        <v>37270</v>
      </c>
      <c r="B37271">
        <f>TEXT(37270, "[$-0E0000]yyyy-mm-dd")</f>
        <v/>
      </c>
      <c r="C37271" t="inlineStr">
        <is>
          <t>2001-12-03</t>
        </is>
      </c>
    </row>
    <row r="37272">
      <c r="A37272" s="1" t="n">
        <v>37271</v>
      </c>
      <c r="B37272">
        <f>TEXT(37271, "[$-0E0000]yyyy-mm-dd")</f>
        <v/>
      </c>
      <c r="C37272" t="inlineStr">
        <is>
          <t>2001-12-04</t>
        </is>
      </c>
    </row>
    <row r="37273">
      <c r="A37273" s="1" t="n">
        <v>37272</v>
      </c>
      <c r="B37273">
        <f>TEXT(37272, "[$-0E0000]yyyy-mm-dd")</f>
        <v/>
      </c>
      <c r="C37273" t="inlineStr">
        <is>
          <t>2001-12-05</t>
        </is>
      </c>
    </row>
    <row r="37274">
      <c r="A37274" s="1" t="n">
        <v>37273</v>
      </c>
      <c r="B37274">
        <f>TEXT(37273, "[$-0E0000]yyyy-mm-dd")</f>
        <v/>
      </c>
      <c r="C37274" t="inlineStr">
        <is>
          <t>2001-12-06</t>
        </is>
      </c>
    </row>
    <row r="37275">
      <c r="A37275" s="1" t="n">
        <v>37274</v>
      </c>
      <c r="B37275">
        <f>TEXT(37274, "[$-0E0000]yyyy-mm-dd")</f>
        <v/>
      </c>
      <c r="C37275" t="inlineStr">
        <is>
          <t>2001-12-07</t>
        </is>
      </c>
    </row>
    <row r="37276">
      <c r="A37276" s="1" t="n">
        <v>37275</v>
      </c>
      <c r="B37276">
        <f>TEXT(37275, "[$-0E0000]yyyy-mm-dd")</f>
        <v/>
      </c>
      <c r="C37276" t="inlineStr">
        <is>
          <t>2001-12-08</t>
        </is>
      </c>
    </row>
    <row r="37277">
      <c r="A37277" s="1" t="n">
        <v>37276</v>
      </c>
      <c r="B37277">
        <f>TEXT(37276, "[$-0E0000]yyyy-mm-dd")</f>
        <v/>
      </c>
      <c r="C37277" t="inlineStr">
        <is>
          <t>2001-12-09</t>
        </is>
      </c>
    </row>
    <row r="37278">
      <c r="A37278" s="1" t="n">
        <v>37277</v>
      </c>
      <c r="B37278">
        <f>TEXT(37277, "[$-0E0000]yyyy-mm-dd")</f>
        <v/>
      </c>
      <c r="C37278" t="inlineStr">
        <is>
          <t>2001-12-10</t>
        </is>
      </c>
    </row>
    <row r="37279">
      <c r="A37279" s="1" t="n">
        <v>37278</v>
      </c>
      <c r="B37279">
        <f>TEXT(37278, "[$-0E0000]yyyy-mm-dd")</f>
        <v/>
      </c>
      <c r="C37279" t="inlineStr">
        <is>
          <t>2001-12-11</t>
        </is>
      </c>
    </row>
    <row r="37280">
      <c r="A37280" s="1" t="n">
        <v>37279</v>
      </c>
      <c r="B37280">
        <f>TEXT(37279, "[$-0E0000]yyyy-mm-dd")</f>
        <v/>
      </c>
      <c r="C37280" t="inlineStr">
        <is>
          <t>2001-12-12</t>
        </is>
      </c>
    </row>
    <row r="37281">
      <c r="A37281" s="1" t="n">
        <v>37280</v>
      </c>
      <c r="B37281">
        <f>TEXT(37280, "[$-0E0000]yyyy-mm-dd")</f>
        <v/>
      </c>
      <c r="C37281" t="inlineStr">
        <is>
          <t>2001-12-13</t>
        </is>
      </c>
    </row>
    <row r="37282">
      <c r="A37282" s="1" t="n">
        <v>37281</v>
      </c>
      <c r="B37282">
        <f>TEXT(37281, "[$-0E0000]yyyy-mm-dd")</f>
        <v/>
      </c>
      <c r="C37282" t="inlineStr">
        <is>
          <t>2001-12-14</t>
        </is>
      </c>
    </row>
    <row r="37283">
      <c r="A37283" s="1" t="n">
        <v>37282</v>
      </c>
      <c r="B37283">
        <f>TEXT(37282, "[$-0E0000]yyyy-mm-dd")</f>
        <v/>
      </c>
      <c r="C37283" t="inlineStr">
        <is>
          <t>2001-12-15</t>
        </is>
      </c>
    </row>
    <row r="37284">
      <c r="A37284" s="1" t="n">
        <v>37283</v>
      </c>
      <c r="B37284">
        <f>TEXT(37283, "[$-0E0000]yyyy-mm-dd")</f>
        <v/>
      </c>
      <c r="C37284" t="inlineStr">
        <is>
          <t>2001-12-16</t>
        </is>
      </c>
    </row>
    <row r="37285">
      <c r="A37285" s="1" t="n">
        <v>37284</v>
      </c>
      <c r="B37285">
        <f>TEXT(37284, "[$-0E0000]yyyy-mm-dd")</f>
        <v/>
      </c>
      <c r="C37285" t="inlineStr">
        <is>
          <t>2001-12-17</t>
        </is>
      </c>
    </row>
    <row r="37286">
      <c r="A37286" s="1" t="n">
        <v>37285</v>
      </c>
      <c r="B37286">
        <f>TEXT(37285, "[$-0E0000]yyyy-mm-dd")</f>
        <v/>
      </c>
      <c r="C37286" t="inlineStr">
        <is>
          <t>2001-12-18</t>
        </is>
      </c>
    </row>
    <row r="37287">
      <c r="A37287" s="1" t="n">
        <v>37286</v>
      </c>
      <c r="B37287">
        <f>TEXT(37286, "[$-0E0000]yyyy-mm-dd")</f>
        <v/>
      </c>
      <c r="C37287" t="inlineStr">
        <is>
          <t>2001-12-19</t>
        </is>
      </c>
    </row>
    <row r="37288">
      <c r="A37288" s="1" t="n">
        <v>37287</v>
      </c>
      <c r="B37288">
        <f>TEXT(37287, "[$-0E0000]yyyy-mm-dd")</f>
        <v/>
      </c>
      <c r="C37288" t="inlineStr">
        <is>
          <t>2001-12-20</t>
        </is>
      </c>
    </row>
    <row r="37289">
      <c r="A37289" s="1" t="n">
        <v>37288</v>
      </c>
      <c r="B37289">
        <f>TEXT(37288, "[$-0E0000]yyyy-mm-dd")</f>
        <v/>
      </c>
      <c r="C37289" t="inlineStr">
        <is>
          <t>2001-12-21</t>
        </is>
      </c>
    </row>
    <row r="37290">
      <c r="A37290" s="1" t="n">
        <v>37289</v>
      </c>
      <c r="B37290">
        <f>TEXT(37289, "[$-0E0000]yyyy-mm-dd")</f>
        <v/>
      </c>
      <c r="C37290" t="inlineStr">
        <is>
          <t>2001-12-22</t>
        </is>
      </c>
    </row>
    <row r="37291">
      <c r="A37291" s="1" t="n">
        <v>37290</v>
      </c>
      <c r="B37291">
        <f>TEXT(37290, "[$-0E0000]yyyy-mm-dd")</f>
        <v/>
      </c>
      <c r="C37291" t="inlineStr">
        <is>
          <t>2001-12-23</t>
        </is>
      </c>
    </row>
    <row r="37292">
      <c r="A37292" s="1" t="n">
        <v>37291</v>
      </c>
      <c r="B37292">
        <f>TEXT(37291, "[$-0E0000]yyyy-mm-dd")</f>
        <v/>
      </c>
      <c r="C37292" t="inlineStr">
        <is>
          <t>2001-12-24</t>
        </is>
      </c>
    </row>
    <row r="37293">
      <c r="A37293" s="1" t="n">
        <v>37292</v>
      </c>
      <c r="B37293">
        <f>TEXT(37292, "[$-0E0000]yyyy-mm-dd")</f>
        <v/>
      </c>
      <c r="C37293" t="inlineStr">
        <is>
          <t>2001-12-25</t>
        </is>
      </c>
    </row>
    <row r="37294">
      <c r="A37294" s="1" t="n">
        <v>37293</v>
      </c>
      <c r="B37294">
        <f>TEXT(37293, "[$-0E0000]yyyy-mm-dd")</f>
        <v/>
      </c>
      <c r="C37294" t="inlineStr">
        <is>
          <t>2001-12-26</t>
        </is>
      </c>
    </row>
    <row r="37295">
      <c r="A37295" s="1" t="n">
        <v>37294</v>
      </c>
      <c r="B37295">
        <f>TEXT(37294, "[$-0E0000]yyyy-mm-dd")</f>
        <v/>
      </c>
      <c r="C37295" t="inlineStr">
        <is>
          <t>2001-12-27</t>
        </is>
      </c>
    </row>
    <row r="37296">
      <c r="A37296" s="1" t="n">
        <v>37295</v>
      </c>
      <c r="B37296">
        <f>TEXT(37295, "[$-0E0000]yyyy-mm-dd")</f>
        <v/>
      </c>
      <c r="C37296" t="inlineStr">
        <is>
          <t>2001-12-28</t>
        </is>
      </c>
    </row>
    <row r="37297">
      <c r="A37297" s="1" t="n">
        <v>37296</v>
      </c>
      <c r="B37297">
        <f>TEXT(37296, "[$-0E0000]yyyy-mm-dd")</f>
        <v/>
      </c>
      <c r="C37297" t="inlineStr">
        <is>
          <t>2001-12-29</t>
        </is>
      </c>
    </row>
    <row r="37298">
      <c r="A37298" s="1" t="n">
        <v>37297</v>
      </c>
      <c r="B37298">
        <f>TEXT(37297, "[$-0E0000]yyyy-mm-dd")</f>
        <v/>
      </c>
      <c r="C37298" t="inlineStr">
        <is>
          <t>2001-12-30</t>
        </is>
      </c>
    </row>
    <row r="37299">
      <c r="A37299" s="1" t="n">
        <v>37298</v>
      </c>
      <c r="B37299">
        <f>TEXT(37298, "[$-0E0000]yyyy-mm-dd")</f>
        <v/>
      </c>
      <c r="C37299" t="inlineStr">
        <is>
          <t>2002-01-01</t>
        </is>
      </c>
    </row>
    <row r="37300">
      <c r="A37300" s="1" t="n">
        <v>37299</v>
      </c>
      <c r="B37300">
        <f>TEXT(37299, "[$-0E0000]yyyy-mm-dd")</f>
        <v/>
      </c>
      <c r="C37300" t="inlineStr">
        <is>
          <t>2002-01-02</t>
        </is>
      </c>
    </row>
    <row r="37301">
      <c r="A37301" s="1" t="n">
        <v>37300</v>
      </c>
      <c r="B37301">
        <f>TEXT(37300, "[$-0E0000]yyyy-mm-dd")</f>
        <v/>
      </c>
      <c r="C37301" t="inlineStr">
        <is>
          <t>2002-01-03</t>
        </is>
      </c>
    </row>
    <row r="37302">
      <c r="A37302" s="1" t="n">
        <v>37301</v>
      </c>
      <c r="B37302">
        <f>TEXT(37301, "[$-0E0000]yyyy-mm-dd")</f>
        <v/>
      </c>
      <c r="C37302" t="inlineStr">
        <is>
          <t>2002-01-04</t>
        </is>
      </c>
    </row>
    <row r="37303">
      <c r="A37303" s="1" t="n">
        <v>37302</v>
      </c>
      <c r="B37303">
        <f>TEXT(37302, "[$-0E0000]yyyy-mm-dd")</f>
        <v/>
      </c>
      <c r="C37303" t="inlineStr">
        <is>
          <t>2002-01-05</t>
        </is>
      </c>
    </row>
    <row r="37304">
      <c r="A37304" s="1" t="n">
        <v>37303</v>
      </c>
      <c r="B37304">
        <f>TEXT(37303, "[$-0E0000]yyyy-mm-dd")</f>
        <v/>
      </c>
      <c r="C37304" t="inlineStr">
        <is>
          <t>2002-01-06</t>
        </is>
      </c>
    </row>
    <row r="37305">
      <c r="A37305" s="1" t="n">
        <v>37304</v>
      </c>
      <c r="B37305">
        <f>TEXT(37304, "[$-0E0000]yyyy-mm-dd")</f>
        <v/>
      </c>
      <c r="C37305" t="inlineStr">
        <is>
          <t>2002-01-07</t>
        </is>
      </c>
    </row>
    <row r="37306">
      <c r="A37306" s="1" t="n">
        <v>37305</v>
      </c>
      <c r="B37306">
        <f>TEXT(37305, "[$-0E0000]yyyy-mm-dd")</f>
        <v/>
      </c>
      <c r="C37306" t="inlineStr">
        <is>
          <t>2002-01-08</t>
        </is>
      </c>
    </row>
    <row r="37307">
      <c r="A37307" s="1" t="n">
        <v>37306</v>
      </c>
      <c r="B37307">
        <f>TEXT(37306, "[$-0E0000]yyyy-mm-dd")</f>
        <v/>
      </c>
      <c r="C37307" t="inlineStr">
        <is>
          <t>2002-01-09</t>
        </is>
      </c>
    </row>
    <row r="37308">
      <c r="A37308" s="1" t="n">
        <v>37307</v>
      </c>
      <c r="B37308">
        <f>TEXT(37307, "[$-0E0000]yyyy-mm-dd")</f>
        <v/>
      </c>
      <c r="C37308" t="inlineStr">
        <is>
          <t>2002-01-10</t>
        </is>
      </c>
    </row>
    <row r="37309">
      <c r="A37309" s="1" t="n">
        <v>37308</v>
      </c>
      <c r="B37309">
        <f>TEXT(37308, "[$-0E0000]yyyy-mm-dd")</f>
        <v/>
      </c>
      <c r="C37309" t="inlineStr">
        <is>
          <t>2002-01-11</t>
        </is>
      </c>
    </row>
    <row r="37310">
      <c r="A37310" s="1" t="n">
        <v>37309</v>
      </c>
      <c r="B37310">
        <f>TEXT(37309, "[$-0E0000]yyyy-mm-dd")</f>
        <v/>
      </c>
      <c r="C37310" t="inlineStr">
        <is>
          <t>2002-01-12</t>
        </is>
      </c>
    </row>
    <row r="37311">
      <c r="A37311" s="1" t="n">
        <v>37310</v>
      </c>
      <c r="B37311">
        <f>TEXT(37310, "[$-0E0000]yyyy-mm-dd")</f>
        <v/>
      </c>
      <c r="C37311" t="inlineStr">
        <is>
          <t>2002-01-13</t>
        </is>
      </c>
    </row>
    <row r="37312">
      <c r="A37312" s="1" t="n">
        <v>37311</v>
      </c>
      <c r="B37312">
        <f>TEXT(37311, "[$-0E0000]yyyy-mm-dd")</f>
        <v/>
      </c>
      <c r="C37312" t="inlineStr">
        <is>
          <t>2002-01-14</t>
        </is>
      </c>
    </row>
    <row r="37313">
      <c r="A37313" s="1" t="n">
        <v>37312</v>
      </c>
      <c r="B37313">
        <f>TEXT(37312, "[$-0E0000]yyyy-mm-dd")</f>
        <v/>
      </c>
      <c r="C37313" t="inlineStr">
        <is>
          <t>2002-01-15</t>
        </is>
      </c>
    </row>
    <row r="37314">
      <c r="A37314" s="1" t="n">
        <v>37313</v>
      </c>
      <c r="B37314">
        <f>TEXT(37313, "[$-0E0000]yyyy-mm-dd")</f>
        <v/>
      </c>
      <c r="C37314" t="inlineStr">
        <is>
          <t>2002-01-16</t>
        </is>
      </c>
    </row>
    <row r="37315">
      <c r="A37315" s="1" t="n">
        <v>37314</v>
      </c>
      <c r="B37315">
        <f>TEXT(37314, "[$-0E0000]yyyy-mm-dd")</f>
        <v/>
      </c>
      <c r="C37315" t="inlineStr">
        <is>
          <t>2002-01-17</t>
        </is>
      </c>
    </row>
    <row r="37316">
      <c r="A37316" s="1" t="n">
        <v>37315</v>
      </c>
      <c r="B37316">
        <f>TEXT(37315, "[$-0E0000]yyyy-mm-dd")</f>
        <v/>
      </c>
      <c r="C37316" t="inlineStr">
        <is>
          <t>2002-01-18</t>
        </is>
      </c>
    </row>
    <row r="37317">
      <c r="A37317" s="1" t="n">
        <v>37316</v>
      </c>
      <c r="B37317">
        <f>TEXT(37316, "[$-0E0000]yyyy-mm-dd")</f>
        <v/>
      </c>
      <c r="C37317" t="inlineStr">
        <is>
          <t>2002-01-19</t>
        </is>
      </c>
    </row>
    <row r="37318">
      <c r="A37318" s="1" t="n">
        <v>37317</v>
      </c>
      <c r="B37318">
        <f>TEXT(37317, "[$-0E0000]yyyy-mm-dd")</f>
        <v/>
      </c>
      <c r="C37318" t="inlineStr">
        <is>
          <t>2002-01-20</t>
        </is>
      </c>
    </row>
    <row r="37319">
      <c r="A37319" s="1" t="n">
        <v>37318</v>
      </c>
      <c r="B37319">
        <f>TEXT(37318, "[$-0E0000]yyyy-mm-dd")</f>
        <v/>
      </c>
      <c r="C37319" t="inlineStr">
        <is>
          <t>2002-01-21</t>
        </is>
      </c>
    </row>
    <row r="37320">
      <c r="A37320" s="1" t="n">
        <v>37319</v>
      </c>
      <c r="B37320">
        <f>TEXT(37319, "[$-0E0000]yyyy-mm-dd")</f>
        <v/>
      </c>
      <c r="C37320" t="inlineStr">
        <is>
          <t>2002-01-22</t>
        </is>
      </c>
    </row>
    <row r="37321">
      <c r="A37321" s="1" t="n">
        <v>37320</v>
      </c>
      <c r="B37321">
        <f>TEXT(37320, "[$-0E0000]yyyy-mm-dd")</f>
        <v/>
      </c>
      <c r="C37321" t="inlineStr">
        <is>
          <t>2002-01-23</t>
        </is>
      </c>
    </row>
    <row r="37322">
      <c r="A37322" s="1" t="n">
        <v>37321</v>
      </c>
      <c r="B37322">
        <f>TEXT(37321, "[$-0E0000]yyyy-mm-dd")</f>
        <v/>
      </c>
      <c r="C37322" t="inlineStr">
        <is>
          <t>2002-01-24</t>
        </is>
      </c>
    </row>
    <row r="37323">
      <c r="A37323" s="1" t="n">
        <v>37322</v>
      </c>
      <c r="B37323">
        <f>TEXT(37322, "[$-0E0000]yyyy-mm-dd")</f>
        <v/>
      </c>
      <c r="C37323" t="inlineStr">
        <is>
          <t>2002-01-25</t>
        </is>
      </c>
    </row>
    <row r="37324">
      <c r="A37324" s="1" t="n">
        <v>37323</v>
      </c>
      <c r="B37324">
        <f>TEXT(37323, "[$-0E0000]yyyy-mm-dd")</f>
        <v/>
      </c>
      <c r="C37324" t="inlineStr">
        <is>
          <t>2002-01-26</t>
        </is>
      </c>
    </row>
    <row r="37325">
      <c r="A37325" s="1" t="n">
        <v>37324</v>
      </c>
      <c r="B37325">
        <f>TEXT(37324, "[$-0E0000]yyyy-mm-dd")</f>
        <v/>
      </c>
      <c r="C37325" t="inlineStr">
        <is>
          <t>2002-01-27</t>
        </is>
      </c>
    </row>
    <row r="37326">
      <c r="A37326" s="1" t="n">
        <v>37325</v>
      </c>
      <c r="B37326">
        <f>TEXT(37325, "[$-0E0000]yyyy-mm-dd")</f>
        <v/>
      </c>
      <c r="C37326" t="inlineStr">
        <is>
          <t>2002-01-28</t>
        </is>
      </c>
    </row>
    <row r="37327">
      <c r="A37327" s="1" t="n">
        <v>37326</v>
      </c>
      <c r="B37327">
        <f>TEXT(37326, "[$-0E0000]yyyy-mm-dd")</f>
        <v/>
      </c>
      <c r="C37327" t="inlineStr">
        <is>
          <t>2002-01-29</t>
        </is>
      </c>
    </row>
    <row r="37328">
      <c r="A37328" s="1" t="n">
        <v>37327</v>
      </c>
      <c r="B37328">
        <f>TEXT(37327, "[$-0E0000]yyyy-mm-dd")</f>
        <v/>
      </c>
      <c r="C37328" t="inlineStr">
        <is>
          <t>2002-01-30</t>
        </is>
      </c>
    </row>
    <row r="37329">
      <c r="A37329" s="1" t="n">
        <v>37328</v>
      </c>
      <c r="B37329">
        <f>TEXT(37328, "[$-0E0000]yyyy-mm-dd")</f>
        <v/>
      </c>
      <c r="C37329" t="inlineStr">
        <is>
          <t>2002-02-01</t>
        </is>
      </c>
    </row>
    <row r="37330">
      <c r="A37330" s="1" t="n">
        <v>37329</v>
      </c>
      <c r="B37330">
        <f>TEXT(37329, "[$-0E0000]yyyy-mm-dd")</f>
        <v/>
      </c>
      <c r="C37330" t="inlineStr">
        <is>
          <t>2002-02-02</t>
        </is>
      </c>
    </row>
    <row r="37331">
      <c r="A37331" s="1" t="n">
        <v>37330</v>
      </c>
      <c r="B37331">
        <f>TEXT(37330, "[$-0E0000]yyyy-mm-dd")</f>
        <v/>
      </c>
      <c r="C37331" t="inlineStr">
        <is>
          <t>2002-02-03</t>
        </is>
      </c>
    </row>
    <row r="37332">
      <c r="A37332" s="1" t="n">
        <v>37331</v>
      </c>
      <c r="B37332">
        <f>TEXT(37331, "[$-0E0000]yyyy-mm-dd")</f>
        <v/>
      </c>
      <c r="C37332" t="inlineStr">
        <is>
          <t>2002-02-04</t>
        </is>
      </c>
    </row>
    <row r="37333">
      <c r="A37333" s="1" t="n">
        <v>37332</v>
      </c>
      <c r="B37333">
        <f>TEXT(37332, "[$-0E0000]yyyy-mm-dd")</f>
        <v/>
      </c>
      <c r="C37333" t="inlineStr">
        <is>
          <t>2002-02-05</t>
        </is>
      </c>
    </row>
    <row r="37334">
      <c r="A37334" s="1" t="n">
        <v>37333</v>
      </c>
      <c r="B37334">
        <f>TEXT(37333, "[$-0E0000]yyyy-mm-dd")</f>
        <v/>
      </c>
      <c r="C37334" t="inlineStr">
        <is>
          <t>2002-02-06</t>
        </is>
      </c>
    </row>
    <row r="37335">
      <c r="A37335" s="1" t="n">
        <v>37334</v>
      </c>
      <c r="B37335">
        <f>TEXT(37334, "[$-0E0000]yyyy-mm-dd")</f>
        <v/>
      </c>
      <c r="C37335" t="inlineStr">
        <is>
          <t>2002-02-07</t>
        </is>
      </c>
    </row>
    <row r="37336">
      <c r="A37336" s="1" t="n">
        <v>37335</v>
      </c>
      <c r="B37336">
        <f>TEXT(37335, "[$-0E0000]yyyy-mm-dd")</f>
        <v/>
      </c>
      <c r="C37336" t="inlineStr">
        <is>
          <t>2002-02-08</t>
        </is>
      </c>
    </row>
    <row r="37337">
      <c r="A37337" s="1" t="n">
        <v>37336</v>
      </c>
      <c r="B37337">
        <f>TEXT(37336, "[$-0E0000]yyyy-mm-dd")</f>
        <v/>
      </c>
      <c r="C37337" t="inlineStr">
        <is>
          <t>2002-02-09</t>
        </is>
      </c>
    </row>
    <row r="37338">
      <c r="A37338" s="1" t="n">
        <v>37337</v>
      </c>
      <c r="B37338">
        <f>TEXT(37337, "[$-0E0000]yyyy-mm-dd")</f>
        <v/>
      </c>
      <c r="C37338" t="inlineStr">
        <is>
          <t>2002-02-10</t>
        </is>
      </c>
    </row>
    <row r="37339">
      <c r="A37339" s="1" t="n">
        <v>37338</v>
      </c>
      <c r="B37339">
        <f>TEXT(37338, "[$-0E0000]yyyy-mm-dd")</f>
        <v/>
      </c>
      <c r="C37339" t="inlineStr">
        <is>
          <t>2002-02-11</t>
        </is>
      </c>
    </row>
    <row r="37340">
      <c r="A37340" s="1" t="n">
        <v>37339</v>
      </c>
      <c r="B37340">
        <f>TEXT(37339, "[$-0E0000]yyyy-mm-dd")</f>
        <v/>
      </c>
      <c r="C37340" t="inlineStr">
        <is>
          <t>2002-02-12</t>
        </is>
      </c>
    </row>
    <row r="37341">
      <c r="A37341" s="1" t="n">
        <v>37340</v>
      </c>
      <c r="B37341">
        <f>TEXT(37340, "[$-0E0000]yyyy-mm-dd")</f>
        <v/>
      </c>
      <c r="C37341" t="inlineStr">
        <is>
          <t>2002-02-13</t>
        </is>
      </c>
    </row>
    <row r="37342">
      <c r="A37342" s="1" t="n">
        <v>37341</v>
      </c>
      <c r="B37342">
        <f>TEXT(37341, "[$-0E0000]yyyy-mm-dd")</f>
        <v/>
      </c>
      <c r="C37342" t="inlineStr">
        <is>
          <t>2002-02-14</t>
        </is>
      </c>
    </row>
    <row r="37343">
      <c r="A37343" s="1" t="n">
        <v>37342</v>
      </c>
      <c r="B37343">
        <f>TEXT(37342, "[$-0E0000]yyyy-mm-dd")</f>
        <v/>
      </c>
      <c r="C37343" t="inlineStr">
        <is>
          <t>2002-02-15</t>
        </is>
      </c>
    </row>
    <row r="37344">
      <c r="A37344" s="1" t="n">
        <v>37343</v>
      </c>
      <c r="B37344">
        <f>TEXT(37343, "[$-0E0000]yyyy-mm-dd")</f>
        <v/>
      </c>
      <c r="C37344" t="inlineStr">
        <is>
          <t>2002-02-16</t>
        </is>
      </c>
    </row>
    <row r="37345">
      <c r="A37345" s="1" t="n">
        <v>37344</v>
      </c>
      <c r="B37345">
        <f>TEXT(37344, "[$-0E0000]yyyy-mm-dd")</f>
        <v/>
      </c>
      <c r="C37345" t="inlineStr">
        <is>
          <t>2002-02-17</t>
        </is>
      </c>
    </row>
    <row r="37346">
      <c r="A37346" s="1" t="n">
        <v>37345</v>
      </c>
      <c r="B37346">
        <f>TEXT(37345, "[$-0E0000]yyyy-mm-dd")</f>
        <v/>
      </c>
      <c r="C37346" t="inlineStr">
        <is>
          <t>2002-02-18</t>
        </is>
      </c>
    </row>
    <row r="37347">
      <c r="A37347" s="1" t="n">
        <v>37346</v>
      </c>
      <c r="B37347">
        <f>TEXT(37346, "[$-0E0000]yyyy-mm-dd")</f>
        <v/>
      </c>
      <c r="C37347" t="inlineStr">
        <is>
          <t>2002-02-19</t>
        </is>
      </c>
    </row>
    <row r="37348">
      <c r="A37348" s="1" t="n">
        <v>37347</v>
      </c>
      <c r="B37348">
        <f>TEXT(37347, "[$-0E0000]yyyy-mm-dd")</f>
        <v/>
      </c>
      <c r="C37348" t="inlineStr">
        <is>
          <t>2002-02-20</t>
        </is>
      </c>
    </row>
    <row r="37349">
      <c r="A37349" s="1" t="n">
        <v>37348</v>
      </c>
      <c r="B37349">
        <f>TEXT(37348, "[$-0E0000]yyyy-mm-dd")</f>
        <v/>
      </c>
      <c r="C37349" t="inlineStr">
        <is>
          <t>2002-02-21</t>
        </is>
      </c>
    </row>
    <row r="37350">
      <c r="A37350" s="1" t="n">
        <v>37349</v>
      </c>
      <c r="B37350">
        <f>TEXT(37349, "[$-0E0000]yyyy-mm-dd")</f>
        <v/>
      </c>
      <c r="C37350" t="inlineStr">
        <is>
          <t>2002-02-22</t>
        </is>
      </c>
    </row>
    <row r="37351">
      <c r="A37351" s="1" t="n">
        <v>37350</v>
      </c>
      <c r="B37351">
        <f>TEXT(37350, "[$-0E0000]yyyy-mm-dd")</f>
        <v/>
      </c>
      <c r="C37351" t="inlineStr">
        <is>
          <t>2002-02-23</t>
        </is>
      </c>
    </row>
    <row r="37352">
      <c r="A37352" s="1" t="n">
        <v>37351</v>
      </c>
      <c r="B37352">
        <f>TEXT(37351, "[$-0E0000]yyyy-mm-dd")</f>
        <v/>
      </c>
      <c r="C37352" t="inlineStr">
        <is>
          <t>2002-02-24</t>
        </is>
      </c>
    </row>
    <row r="37353">
      <c r="A37353" s="1" t="n">
        <v>37352</v>
      </c>
      <c r="B37353">
        <f>TEXT(37352, "[$-0E0000]yyyy-mm-dd")</f>
        <v/>
      </c>
      <c r="C37353" t="inlineStr">
        <is>
          <t>2002-02-25</t>
        </is>
      </c>
    </row>
    <row r="37354">
      <c r="A37354" s="1" t="n">
        <v>37353</v>
      </c>
      <c r="B37354">
        <f>TEXT(37353, "[$-0E0000]yyyy-mm-dd")</f>
        <v/>
      </c>
      <c r="C37354" t="inlineStr">
        <is>
          <t>2002-02-26</t>
        </is>
      </c>
    </row>
    <row r="37355">
      <c r="A37355" s="1" t="n">
        <v>37354</v>
      </c>
      <c r="B37355">
        <f>TEXT(37354, "[$-0E0000]yyyy-mm-dd")</f>
        <v/>
      </c>
      <c r="C37355" t="inlineStr">
        <is>
          <t>2002-02-27</t>
        </is>
      </c>
    </row>
    <row r="37356">
      <c r="A37356" s="1" t="n">
        <v>37355</v>
      </c>
      <c r="B37356">
        <f>TEXT(37355, "[$-0E0000]yyyy-mm-dd")</f>
        <v/>
      </c>
      <c r="C37356" t="inlineStr">
        <is>
          <t>2002-02-28</t>
        </is>
      </c>
    </row>
    <row r="37357">
      <c r="A37357" s="1" t="n">
        <v>37356</v>
      </c>
      <c r="B37357">
        <f>TEXT(37356, "[$-0E0000]yyyy-mm-dd")</f>
        <v/>
      </c>
      <c r="C37357" t="inlineStr">
        <is>
          <t>2002-02-29</t>
        </is>
      </c>
    </row>
    <row r="37358">
      <c r="A37358" s="1" t="n">
        <v>37357</v>
      </c>
      <c r="B37358">
        <f>TEXT(37357, "[$-0E0000]yyyy-mm-dd")</f>
        <v/>
      </c>
      <c r="C37358" t="inlineStr">
        <is>
          <t>2002-02-30</t>
        </is>
      </c>
    </row>
    <row r="37359">
      <c r="A37359" s="1" t="n">
        <v>37358</v>
      </c>
      <c r="B37359">
        <f>TEXT(37358, "[$-0E0000]yyyy-mm-dd")</f>
        <v/>
      </c>
      <c r="C37359" t="inlineStr">
        <is>
          <t>2002-03-01</t>
        </is>
      </c>
    </row>
    <row r="37360">
      <c r="A37360" s="1" t="n">
        <v>37359</v>
      </c>
      <c r="B37360">
        <f>TEXT(37359, "[$-0E0000]yyyy-mm-dd")</f>
        <v/>
      </c>
      <c r="C37360" t="inlineStr">
        <is>
          <t>2002-03-02</t>
        </is>
      </c>
    </row>
    <row r="37361">
      <c r="A37361" s="1" t="n">
        <v>37360</v>
      </c>
      <c r="B37361">
        <f>TEXT(37360, "[$-0E0000]yyyy-mm-dd")</f>
        <v/>
      </c>
      <c r="C37361" t="inlineStr">
        <is>
          <t>2002-03-03</t>
        </is>
      </c>
    </row>
    <row r="37362">
      <c r="A37362" s="1" t="n">
        <v>37361</v>
      </c>
      <c r="B37362">
        <f>TEXT(37361, "[$-0E0000]yyyy-mm-dd")</f>
        <v/>
      </c>
      <c r="C37362" t="inlineStr">
        <is>
          <t>2002-03-04</t>
        </is>
      </c>
    </row>
    <row r="37363">
      <c r="A37363" s="1" t="n">
        <v>37362</v>
      </c>
      <c r="B37363">
        <f>TEXT(37362, "[$-0E0000]yyyy-mm-dd")</f>
        <v/>
      </c>
      <c r="C37363" t="inlineStr">
        <is>
          <t>2002-03-05</t>
        </is>
      </c>
    </row>
    <row r="37364">
      <c r="A37364" s="1" t="n">
        <v>37363</v>
      </c>
      <c r="B37364">
        <f>TEXT(37363, "[$-0E0000]yyyy-mm-dd")</f>
        <v/>
      </c>
      <c r="C37364" t="inlineStr">
        <is>
          <t>2002-03-06</t>
        </is>
      </c>
    </row>
    <row r="37365">
      <c r="A37365" s="1" t="n">
        <v>37364</v>
      </c>
      <c r="B37365">
        <f>TEXT(37364, "[$-0E0000]yyyy-mm-dd")</f>
        <v/>
      </c>
      <c r="C37365" t="inlineStr">
        <is>
          <t>2002-03-07</t>
        </is>
      </c>
    </row>
    <row r="37366">
      <c r="A37366" s="1" t="n">
        <v>37365</v>
      </c>
      <c r="B37366">
        <f>TEXT(37365, "[$-0E0000]yyyy-mm-dd")</f>
        <v/>
      </c>
      <c r="C37366" t="inlineStr">
        <is>
          <t>2002-03-08</t>
        </is>
      </c>
    </row>
    <row r="37367">
      <c r="A37367" s="1" t="n">
        <v>37366</v>
      </c>
      <c r="B37367">
        <f>TEXT(37366, "[$-0E0000]yyyy-mm-dd")</f>
        <v/>
      </c>
      <c r="C37367" t="inlineStr">
        <is>
          <t>2002-03-09</t>
        </is>
      </c>
    </row>
    <row r="37368">
      <c r="A37368" s="1" t="n">
        <v>37367</v>
      </c>
      <c r="B37368">
        <f>TEXT(37367, "[$-0E0000]yyyy-mm-dd")</f>
        <v/>
      </c>
      <c r="C37368" t="inlineStr">
        <is>
          <t>2002-03-10</t>
        </is>
      </c>
    </row>
    <row r="37369">
      <c r="A37369" s="1" t="n">
        <v>37368</v>
      </c>
      <c r="B37369">
        <f>TEXT(37368, "[$-0E0000]yyyy-mm-dd")</f>
        <v/>
      </c>
      <c r="C37369" t="inlineStr">
        <is>
          <t>2002-03-11</t>
        </is>
      </c>
    </row>
    <row r="37370">
      <c r="A37370" s="1" t="n">
        <v>37369</v>
      </c>
      <c r="B37370">
        <f>TEXT(37369, "[$-0E0000]yyyy-mm-dd")</f>
        <v/>
      </c>
      <c r="C37370" t="inlineStr">
        <is>
          <t>2002-03-12</t>
        </is>
      </c>
    </row>
    <row r="37371">
      <c r="A37371" s="1" t="n">
        <v>37370</v>
      </c>
      <c r="B37371">
        <f>TEXT(37370, "[$-0E0000]yyyy-mm-dd")</f>
        <v/>
      </c>
      <c r="C37371" t="inlineStr">
        <is>
          <t>2002-03-13</t>
        </is>
      </c>
    </row>
    <row r="37372">
      <c r="A37372" s="1" t="n">
        <v>37371</v>
      </c>
      <c r="B37372">
        <f>TEXT(37371, "[$-0E0000]yyyy-mm-dd")</f>
        <v/>
      </c>
      <c r="C37372" t="inlineStr">
        <is>
          <t>2002-03-14</t>
        </is>
      </c>
    </row>
    <row r="37373">
      <c r="A37373" s="1" t="n">
        <v>37372</v>
      </c>
      <c r="B37373">
        <f>TEXT(37372, "[$-0E0000]yyyy-mm-dd")</f>
        <v/>
      </c>
      <c r="C37373" t="inlineStr">
        <is>
          <t>2002-03-15</t>
        </is>
      </c>
    </row>
    <row r="37374">
      <c r="A37374" s="1" t="n">
        <v>37373</v>
      </c>
      <c r="B37374">
        <f>TEXT(37373, "[$-0E0000]yyyy-mm-dd")</f>
        <v/>
      </c>
      <c r="C37374" t="inlineStr">
        <is>
          <t>2002-03-16</t>
        </is>
      </c>
    </row>
    <row r="37375">
      <c r="A37375" s="1" t="n">
        <v>37374</v>
      </c>
      <c r="B37375">
        <f>TEXT(37374, "[$-0E0000]yyyy-mm-dd")</f>
        <v/>
      </c>
      <c r="C37375" t="inlineStr">
        <is>
          <t>2002-03-17</t>
        </is>
      </c>
    </row>
    <row r="37376">
      <c r="A37376" s="1" t="n">
        <v>37375</v>
      </c>
      <c r="B37376">
        <f>TEXT(37375, "[$-0E0000]yyyy-mm-dd")</f>
        <v/>
      </c>
      <c r="C37376" t="inlineStr">
        <is>
          <t>2002-03-18</t>
        </is>
      </c>
    </row>
    <row r="37377">
      <c r="A37377" s="1" t="n">
        <v>37376</v>
      </c>
      <c r="B37377">
        <f>TEXT(37376, "[$-0E0000]yyyy-mm-dd")</f>
        <v/>
      </c>
      <c r="C37377" t="inlineStr">
        <is>
          <t>2002-03-19</t>
        </is>
      </c>
    </row>
    <row r="37378">
      <c r="A37378" s="1" t="n">
        <v>37377</v>
      </c>
      <c r="B37378">
        <f>TEXT(37377, "[$-0E0000]yyyy-mm-dd")</f>
        <v/>
      </c>
      <c r="C37378" t="inlineStr">
        <is>
          <t>2002-03-20</t>
        </is>
      </c>
    </row>
    <row r="37379">
      <c r="A37379" s="1" t="n">
        <v>37378</v>
      </c>
      <c r="B37379">
        <f>TEXT(37378, "[$-0E0000]yyyy-mm-dd")</f>
        <v/>
      </c>
      <c r="C37379" t="inlineStr">
        <is>
          <t>2002-03-21</t>
        </is>
      </c>
    </row>
    <row r="37380">
      <c r="A37380" s="1" t="n">
        <v>37379</v>
      </c>
      <c r="B37380">
        <f>TEXT(37379, "[$-0E0000]yyyy-mm-dd")</f>
        <v/>
      </c>
      <c r="C37380" t="inlineStr">
        <is>
          <t>2002-03-22</t>
        </is>
      </c>
    </row>
    <row r="37381">
      <c r="A37381" s="1" t="n">
        <v>37380</v>
      </c>
      <c r="B37381">
        <f>TEXT(37380, "[$-0E0000]yyyy-mm-dd")</f>
        <v/>
      </c>
      <c r="C37381" t="inlineStr">
        <is>
          <t>2002-03-23</t>
        </is>
      </c>
    </row>
    <row r="37382">
      <c r="A37382" s="1" t="n">
        <v>37381</v>
      </c>
      <c r="B37382">
        <f>TEXT(37381, "[$-0E0000]yyyy-mm-dd")</f>
        <v/>
      </c>
      <c r="C37382" t="inlineStr">
        <is>
          <t>2002-03-24</t>
        </is>
      </c>
    </row>
    <row r="37383">
      <c r="A37383" s="1" t="n">
        <v>37382</v>
      </c>
      <c r="B37383">
        <f>TEXT(37382, "[$-0E0000]yyyy-mm-dd")</f>
        <v/>
      </c>
      <c r="C37383" t="inlineStr">
        <is>
          <t>2002-03-25</t>
        </is>
      </c>
    </row>
    <row r="37384">
      <c r="A37384" s="1" t="n">
        <v>37383</v>
      </c>
      <c r="B37384">
        <f>TEXT(37383, "[$-0E0000]yyyy-mm-dd")</f>
        <v/>
      </c>
      <c r="C37384" t="inlineStr">
        <is>
          <t>2002-03-26</t>
        </is>
      </c>
    </row>
    <row r="37385">
      <c r="A37385" s="1" t="n">
        <v>37384</v>
      </c>
      <c r="B37385">
        <f>TEXT(37384, "[$-0E0000]yyyy-mm-dd")</f>
        <v/>
      </c>
      <c r="C37385" t="inlineStr">
        <is>
          <t>2002-03-27</t>
        </is>
      </c>
    </row>
    <row r="37386">
      <c r="A37386" s="1" t="n">
        <v>37385</v>
      </c>
      <c r="B37386">
        <f>TEXT(37385, "[$-0E0000]yyyy-mm-dd")</f>
        <v/>
      </c>
      <c r="C37386" t="inlineStr">
        <is>
          <t>2002-03-28</t>
        </is>
      </c>
    </row>
    <row r="37387">
      <c r="A37387" s="1" t="n">
        <v>37386</v>
      </c>
      <c r="B37387">
        <f>TEXT(37386, "[$-0E0000]yyyy-mm-dd")</f>
        <v/>
      </c>
      <c r="C37387" t="inlineStr">
        <is>
          <t>2002-03-29</t>
        </is>
      </c>
    </row>
    <row r="37388">
      <c r="A37388" s="1" t="n">
        <v>37387</v>
      </c>
      <c r="B37388">
        <f>TEXT(37387, "[$-0E0000]yyyy-mm-dd")</f>
        <v/>
      </c>
      <c r="C37388" t="inlineStr">
        <is>
          <t>2002-04-01</t>
        </is>
      </c>
    </row>
    <row r="37389">
      <c r="A37389" s="1" t="n">
        <v>37388</v>
      </c>
      <c r="B37389">
        <f>TEXT(37388, "[$-0E0000]yyyy-mm-dd")</f>
        <v/>
      </c>
      <c r="C37389" t="inlineStr">
        <is>
          <t>2002-04-02</t>
        </is>
      </c>
    </row>
    <row r="37390">
      <c r="A37390" s="1" t="n">
        <v>37389</v>
      </c>
      <c r="B37390">
        <f>TEXT(37389, "[$-0E0000]yyyy-mm-dd")</f>
        <v/>
      </c>
      <c r="C37390" t="inlineStr">
        <is>
          <t>2002-04-03</t>
        </is>
      </c>
    </row>
    <row r="37391">
      <c r="A37391" s="1" t="n">
        <v>37390</v>
      </c>
      <c r="B37391">
        <f>TEXT(37390, "[$-0E0000]yyyy-mm-dd")</f>
        <v/>
      </c>
      <c r="C37391" t="inlineStr">
        <is>
          <t>2002-04-04</t>
        </is>
      </c>
    </row>
    <row r="37392">
      <c r="A37392" s="1" t="n">
        <v>37391</v>
      </c>
      <c r="B37392">
        <f>TEXT(37391, "[$-0E0000]yyyy-mm-dd")</f>
        <v/>
      </c>
      <c r="C37392" t="inlineStr">
        <is>
          <t>2002-04-05</t>
        </is>
      </c>
    </row>
    <row r="37393">
      <c r="A37393" s="1" t="n">
        <v>37392</v>
      </c>
      <c r="B37393">
        <f>TEXT(37392, "[$-0E0000]yyyy-mm-dd")</f>
        <v/>
      </c>
      <c r="C37393" t="inlineStr">
        <is>
          <t>2002-04-06</t>
        </is>
      </c>
    </row>
    <row r="37394">
      <c r="A37394" s="1" t="n">
        <v>37393</v>
      </c>
      <c r="B37394">
        <f>TEXT(37393, "[$-0E0000]yyyy-mm-dd")</f>
        <v/>
      </c>
      <c r="C37394" t="inlineStr">
        <is>
          <t>2002-04-07</t>
        </is>
      </c>
    </row>
    <row r="37395">
      <c r="A37395" s="1" t="n">
        <v>37394</v>
      </c>
      <c r="B37395">
        <f>TEXT(37394, "[$-0E0000]yyyy-mm-dd")</f>
        <v/>
      </c>
      <c r="C37395" t="inlineStr">
        <is>
          <t>2002-04-08</t>
        </is>
      </c>
    </row>
    <row r="37396">
      <c r="A37396" s="1" t="n">
        <v>37395</v>
      </c>
      <c r="B37396">
        <f>TEXT(37395, "[$-0E0000]yyyy-mm-dd")</f>
        <v/>
      </c>
      <c r="C37396" t="inlineStr">
        <is>
          <t>2002-04-09</t>
        </is>
      </c>
    </row>
    <row r="37397">
      <c r="A37397" s="1" t="n">
        <v>37396</v>
      </c>
      <c r="B37397">
        <f>TEXT(37396, "[$-0E0000]yyyy-mm-dd")</f>
        <v/>
      </c>
      <c r="C37397" t="inlineStr">
        <is>
          <t>2002-04-10</t>
        </is>
      </c>
    </row>
    <row r="37398">
      <c r="A37398" s="1" t="n">
        <v>37397</v>
      </c>
      <c r="B37398">
        <f>TEXT(37397, "[$-0E0000]yyyy-mm-dd")</f>
        <v/>
      </c>
      <c r="C37398" t="inlineStr">
        <is>
          <t>2002-04-11</t>
        </is>
      </c>
    </row>
    <row r="37399">
      <c r="A37399" s="1" t="n">
        <v>37398</v>
      </c>
      <c r="B37399">
        <f>TEXT(37398, "[$-0E0000]yyyy-mm-dd")</f>
        <v/>
      </c>
      <c r="C37399" t="inlineStr">
        <is>
          <t>2002-04-12</t>
        </is>
      </c>
    </row>
    <row r="37400">
      <c r="A37400" s="1" t="n">
        <v>37399</v>
      </c>
      <c r="B37400">
        <f>TEXT(37399, "[$-0E0000]yyyy-mm-dd")</f>
        <v/>
      </c>
      <c r="C37400" t="inlineStr">
        <is>
          <t>2002-04-13</t>
        </is>
      </c>
    </row>
    <row r="37401">
      <c r="A37401" s="1" t="n">
        <v>37400</v>
      </c>
      <c r="B37401">
        <f>TEXT(37400, "[$-0E0000]yyyy-mm-dd")</f>
        <v/>
      </c>
      <c r="C37401" t="inlineStr">
        <is>
          <t>2002-04-14</t>
        </is>
      </c>
    </row>
    <row r="37402">
      <c r="A37402" s="1" t="n">
        <v>37401</v>
      </c>
      <c r="B37402">
        <f>TEXT(37401, "[$-0E0000]yyyy-mm-dd")</f>
        <v/>
      </c>
      <c r="C37402" t="inlineStr">
        <is>
          <t>2002-04-15</t>
        </is>
      </c>
    </row>
    <row r="37403">
      <c r="A37403" s="1" t="n">
        <v>37402</v>
      </c>
      <c r="B37403">
        <f>TEXT(37402, "[$-0E0000]yyyy-mm-dd")</f>
        <v/>
      </c>
      <c r="C37403" t="inlineStr">
        <is>
          <t>2002-04-16</t>
        </is>
      </c>
    </row>
    <row r="37404">
      <c r="A37404" s="1" t="n">
        <v>37403</v>
      </c>
      <c r="B37404">
        <f>TEXT(37403, "[$-0E0000]yyyy-mm-dd")</f>
        <v/>
      </c>
      <c r="C37404" t="inlineStr">
        <is>
          <t>2002-04-17</t>
        </is>
      </c>
    </row>
    <row r="37405">
      <c r="A37405" s="1" t="n">
        <v>37404</v>
      </c>
      <c r="B37405">
        <f>TEXT(37404, "[$-0E0000]yyyy-mm-dd")</f>
        <v/>
      </c>
      <c r="C37405" t="inlineStr">
        <is>
          <t>2002-04-18</t>
        </is>
      </c>
    </row>
    <row r="37406">
      <c r="A37406" s="1" t="n">
        <v>37405</v>
      </c>
      <c r="B37406">
        <f>TEXT(37405, "[$-0E0000]yyyy-mm-dd")</f>
        <v/>
      </c>
      <c r="C37406" t="inlineStr">
        <is>
          <t>2002-04-19</t>
        </is>
      </c>
    </row>
    <row r="37407">
      <c r="A37407" s="1" t="n">
        <v>37406</v>
      </c>
      <c r="B37407">
        <f>TEXT(37406, "[$-0E0000]yyyy-mm-dd")</f>
        <v/>
      </c>
      <c r="C37407" t="inlineStr">
        <is>
          <t>2002-04-20</t>
        </is>
      </c>
    </row>
    <row r="37408">
      <c r="A37408" s="1" t="n">
        <v>37407</v>
      </c>
      <c r="B37408">
        <f>TEXT(37407, "[$-0E0000]yyyy-mm-dd")</f>
        <v/>
      </c>
      <c r="C37408" t="inlineStr">
        <is>
          <t>2002-04-21</t>
        </is>
      </c>
    </row>
    <row r="37409">
      <c r="A37409" s="1" t="n">
        <v>37408</v>
      </c>
      <c r="B37409">
        <f>TEXT(37408, "[$-0E0000]yyyy-mm-dd")</f>
        <v/>
      </c>
      <c r="C37409" t="inlineStr">
        <is>
          <t>2002-04-22</t>
        </is>
      </c>
    </row>
    <row r="37410">
      <c r="A37410" s="1" t="n">
        <v>37409</v>
      </c>
      <c r="B37410">
        <f>TEXT(37409, "[$-0E0000]yyyy-mm-dd")</f>
        <v/>
      </c>
      <c r="C37410" t="inlineStr">
        <is>
          <t>2002-04-23</t>
        </is>
      </c>
    </row>
    <row r="37411">
      <c r="A37411" s="1" t="n">
        <v>37410</v>
      </c>
      <c r="B37411">
        <f>TEXT(37410, "[$-0E0000]yyyy-mm-dd")</f>
        <v/>
      </c>
      <c r="C37411" t="inlineStr">
        <is>
          <t>2002-04-24</t>
        </is>
      </c>
    </row>
    <row r="37412">
      <c r="A37412" s="1" t="n">
        <v>37411</v>
      </c>
      <c r="B37412">
        <f>TEXT(37411, "[$-0E0000]yyyy-mm-dd")</f>
        <v/>
      </c>
      <c r="C37412" t="inlineStr">
        <is>
          <t>2002-04-25</t>
        </is>
      </c>
    </row>
    <row r="37413">
      <c r="A37413" s="1" t="n">
        <v>37412</v>
      </c>
      <c r="B37413">
        <f>TEXT(37412, "[$-0E0000]yyyy-mm-dd")</f>
        <v/>
      </c>
      <c r="C37413" t="inlineStr">
        <is>
          <t>2002-04-26</t>
        </is>
      </c>
    </row>
    <row r="37414">
      <c r="A37414" s="1" t="n">
        <v>37413</v>
      </c>
      <c r="B37414">
        <f>TEXT(37413, "[$-0E0000]yyyy-mm-dd")</f>
        <v/>
      </c>
      <c r="C37414" t="inlineStr">
        <is>
          <t>2002-04-27</t>
        </is>
      </c>
    </row>
    <row r="37415">
      <c r="A37415" s="1" t="n">
        <v>37414</v>
      </c>
      <c r="B37415">
        <f>TEXT(37414, "[$-0E0000]yyyy-mm-dd")</f>
        <v/>
      </c>
      <c r="C37415" t="inlineStr">
        <is>
          <t>2002-04-28</t>
        </is>
      </c>
    </row>
    <row r="37416">
      <c r="A37416" s="1" t="n">
        <v>37415</v>
      </c>
      <c r="B37416">
        <f>TEXT(37415, "[$-0E0000]yyyy-mm-dd")</f>
        <v/>
      </c>
      <c r="C37416" t="inlineStr">
        <is>
          <t>2002-04-29</t>
        </is>
      </c>
    </row>
    <row r="37417">
      <c r="A37417" s="1" t="n">
        <v>37416</v>
      </c>
      <c r="B37417">
        <f>TEXT(37416, "[$-0E0000]yyyy-mm-dd")</f>
        <v/>
      </c>
      <c r="C37417" t="inlineStr">
        <is>
          <t>2002-04-30</t>
        </is>
      </c>
    </row>
    <row r="37418">
      <c r="A37418" s="1" t="n">
        <v>37417</v>
      </c>
      <c r="B37418">
        <f>TEXT(37417, "[$-0E0000]yyyy-mm-dd")</f>
        <v/>
      </c>
      <c r="C37418" t="inlineStr">
        <is>
          <t>2002-05-01</t>
        </is>
      </c>
    </row>
    <row r="37419">
      <c r="A37419" s="1" t="n">
        <v>37418</v>
      </c>
      <c r="B37419">
        <f>TEXT(37418, "[$-0E0000]yyyy-mm-dd")</f>
        <v/>
      </c>
      <c r="C37419" t="inlineStr">
        <is>
          <t>2002-05-02</t>
        </is>
      </c>
    </row>
    <row r="37420">
      <c r="A37420" s="1" t="n">
        <v>37419</v>
      </c>
      <c r="B37420">
        <f>TEXT(37419, "[$-0E0000]yyyy-mm-dd")</f>
        <v/>
      </c>
      <c r="C37420" t="inlineStr">
        <is>
          <t>2002-05-03</t>
        </is>
      </c>
    </row>
    <row r="37421">
      <c r="A37421" s="1" t="n">
        <v>37420</v>
      </c>
      <c r="B37421">
        <f>TEXT(37420, "[$-0E0000]yyyy-mm-dd")</f>
        <v/>
      </c>
      <c r="C37421" t="inlineStr">
        <is>
          <t>2002-05-04</t>
        </is>
      </c>
    </row>
    <row r="37422">
      <c r="A37422" s="1" t="n">
        <v>37421</v>
      </c>
      <c r="B37422">
        <f>TEXT(37421, "[$-0E0000]yyyy-mm-dd")</f>
        <v/>
      </c>
      <c r="C37422" t="inlineStr">
        <is>
          <t>2002-05-05</t>
        </is>
      </c>
    </row>
    <row r="37423">
      <c r="A37423" s="1" t="n">
        <v>37422</v>
      </c>
      <c r="B37423">
        <f>TEXT(37422, "[$-0E0000]yyyy-mm-dd")</f>
        <v/>
      </c>
      <c r="C37423" t="inlineStr">
        <is>
          <t>2002-05-06</t>
        </is>
      </c>
    </row>
    <row r="37424">
      <c r="A37424" s="1" t="n">
        <v>37423</v>
      </c>
      <c r="B37424">
        <f>TEXT(37423, "[$-0E0000]yyyy-mm-dd")</f>
        <v/>
      </c>
      <c r="C37424" t="inlineStr">
        <is>
          <t>2002-05-07</t>
        </is>
      </c>
    </row>
    <row r="37425">
      <c r="A37425" s="1" t="n">
        <v>37424</v>
      </c>
      <c r="B37425">
        <f>TEXT(37424, "[$-0E0000]yyyy-mm-dd")</f>
        <v/>
      </c>
      <c r="C37425" t="inlineStr">
        <is>
          <t>2002-05-08</t>
        </is>
      </c>
    </row>
    <row r="37426">
      <c r="A37426" s="1" t="n">
        <v>37425</v>
      </c>
      <c r="B37426">
        <f>TEXT(37425, "[$-0E0000]yyyy-mm-dd")</f>
        <v/>
      </c>
      <c r="C37426" t="inlineStr">
        <is>
          <t>2002-05-09</t>
        </is>
      </c>
    </row>
    <row r="37427">
      <c r="A37427" s="1" t="n">
        <v>37426</v>
      </c>
      <c r="B37427">
        <f>TEXT(37426, "[$-0E0000]yyyy-mm-dd")</f>
        <v/>
      </c>
      <c r="C37427" t="inlineStr">
        <is>
          <t>2002-05-10</t>
        </is>
      </c>
    </row>
    <row r="37428">
      <c r="A37428" s="1" t="n">
        <v>37427</v>
      </c>
      <c r="B37428">
        <f>TEXT(37427, "[$-0E0000]yyyy-mm-dd")</f>
        <v/>
      </c>
      <c r="C37428" t="inlineStr">
        <is>
          <t>2002-05-11</t>
        </is>
      </c>
    </row>
    <row r="37429">
      <c r="A37429" s="1" t="n">
        <v>37428</v>
      </c>
      <c r="B37429">
        <f>TEXT(37428, "[$-0E0000]yyyy-mm-dd")</f>
        <v/>
      </c>
      <c r="C37429" t="inlineStr">
        <is>
          <t>2002-05-12</t>
        </is>
      </c>
    </row>
    <row r="37430">
      <c r="A37430" s="1" t="n">
        <v>37429</v>
      </c>
      <c r="B37430">
        <f>TEXT(37429, "[$-0E0000]yyyy-mm-dd")</f>
        <v/>
      </c>
      <c r="C37430" t="inlineStr">
        <is>
          <t>2002-05-13</t>
        </is>
      </c>
    </row>
    <row r="37431">
      <c r="A37431" s="1" t="n">
        <v>37430</v>
      </c>
      <c r="B37431">
        <f>TEXT(37430, "[$-0E0000]yyyy-mm-dd")</f>
        <v/>
      </c>
      <c r="C37431" t="inlineStr">
        <is>
          <t>2002-05-14</t>
        </is>
      </c>
    </row>
    <row r="37432">
      <c r="A37432" s="1" t="n">
        <v>37431</v>
      </c>
      <c r="B37432">
        <f>TEXT(37431, "[$-0E0000]yyyy-mm-dd")</f>
        <v/>
      </c>
      <c r="C37432" t="inlineStr">
        <is>
          <t>2002-05-15</t>
        </is>
      </c>
    </row>
    <row r="37433">
      <c r="A37433" s="1" t="n">
        <v>37432</v>
      </c>
      <c r="B37433">
        <f>TEXT(37432, "[$-0E0000]yyyy-mm-dd")</f>
        <v/>
      </c>
      <c r="C37433" t="inlineStr">
        <is>
          <t>2002-05-16</t>
        </is>
      </c>
    </row>
    <row r="37434">
      <c r="A37434" s="1" t="n">
        <v>37433</v>
      </c>
      <c r="B37434">
        <f>TEXT(37433, "[$-0E0000]yyyy-mm-dd")</f>
        <v/>
      </c>
      <c r="C37434" t="inlineStr">
        <is>
          <t>2002-05-17</t>
        </is>
      </c>
    </row>
    <row r="37435">
      <c r="A37435" s="1" t="n">
        <v>37434</v>
      </c>
      <c r="B37435">
        <f>TEXT(37434, "[$-0E0000]yyyy-mm-dd")</f>
        <v/>
      </c>
      <c r="C37435" t="inlineStr">
        <is>
          <t>2002-05-18</t>
        </is>
      </c>
    </row>
    <row r="37436">
      <c r="A37436" s="1" t="n">
        <v>37435</v>
      </c>
      <c r="B37436">
        <f>TEXT(37435, "[$-0E0000]yyyy-mm-dd")</f>
        <v/>
      </c>
      <c r="C37436" t="inlineStr">
        <is>
          <t>2002-05-19</t>
        </is>
      </c>
    </row>
    <row r="37437">
      <c r="A37437" s="1" t="n">
        <v>37436</v>
      </c>
      <c r="B37437">
        <f>TEXT(37436, "[$-0E0000]yyyy-mm-dd")</f>
        <v/>
      </c>
      <c r="C37437" t="inlineStr">
        <is>
          <t>2002-05-20</t>
        </is>
      </c>
    </row>
    <row r="37438">
      <c r="A37438" s="1" t="n">
        <v>37437</v>
      </c>
      <c r="B37438">
        <f>TEXT(37437, "[$-0E0000]yyyy-mm-dd")</f>
        <v/>
      </c>
      <c r="C37438" t="inlineStr">
        <is>
          <t>2002-05-21</t>
        </is>
      </c>
    </row>
    <row r="37439">
      <c r="A37439" s="1" t="n">
        <v>37438</v>
      </c>
      <c r="B37439">
        <f>TEXT(37438, "[$-0E0000]yyyy-mm-dd")</f>
        <v/>
      </c>
      <c r="C37439" t="inlineStr">
        <is>
          <t>2002-05-22</t>
        </is>
      </c>
    </row>
    <row r="37440">
      <c r="A37440" s="1" t="n">
        <v>37439</v>
      </c>
      <c r="B37440">
        <f>TEXT(37439, "[$-0E0000]yyyy-mm-dd")</f>
        <v/>
      </c>
      <c r="C37440" t="inlineStr">
        <is>
          <t>2002-05-23</t>
        </is>
      </c>
    </row>
    <row r="37441">
      <c r="A37441" s="1" t="n">
        <v>37440</v>
      </c>
      <c r="B37441">
        <f>TEXT(37440, "[$-0E0000]yyyy-mm-dd")</f>
        <v/>
      </c>
      <c r="C37441" t="inlineStr">
        <is>
          <t>2002-05-24</t>
        </is>
      </c>
    </row>
    <row r="37442">
      <c r="A37442" s="1" t="n">
        <v>37441</v>
      </c>
      <c r="B37442">
        <f>TEXT(37441, "[$-0E0000]yyyy-mm-dd")</f>
        <v/>
      </c>
      <c r="C37442" t="inlineStr">
        <is>
          <t>2002-05-25</t>
        </is>
      </c>
    </row>
    <row r="37443">
      <c r="A37443" s="1" t="n">
        <v>37442</v>
      </c>
      <c r="B37443">
        <f>TEXT(37442, "[$-0E0000]yyyy-mm-dd")</f>
        <v/>
      </c>
      <c r="C37443" t="inlineStr">
        <is>
          <t>2002-05-26</t>
        </is>
      </c>
    </row>
    <row r="37444">
      <c r="A37444" s="1" t="n">
        <v>37443</v>
      </c>
      <c r="B37444">
        <f>TEXT(37443, "[$-0E0000]yyyy-mm-dd")</f>
        <v/>
      </c>
      <c r="C37444" t="inlineStr">
        <is>
          <t>2002-05-27</t>
        </is>
      </c>
    </row>
    <row r="37445">
      <c r="A37445" s="1" t="n">
        <v>37444</v>
      </c>
      <c r="B37445">
        <f>TEXT(37444, "[$-0E0000]yyyy-mm-dd")</f>
        <v/>
      </c>
      <c r="C37445" t="inlineStr">
        <is>
          <t>2002-05-28</t>
        </is>
      </c>
    </row>
    <row r="37446">
      <c r="A37446" s="1" t="n">
        <v>37445</v>
      </c>
      <c r="B37446">
        <f>TEXT(37445, "[$-0E0000]yyyy-mm-dd")</f>
        <v/>
      </c>
      <c r="C37446" t="inlineStr">
        <is>
          <t>2002-05-29</t>
        </is>
      </c>
    </row>
    <row r="37447">
      <c r="A37447" s="1" t="n">
        <v>37446</v>
      </c>
      <c r="B37447">
        <f>TEXT(37446, "[$-0E0000]yyyy-mm-dd")</f>
        <v/>
      </c>
      <c r="C37447" t="inlineStr">
        <is>
          <t>2002-06-01</t>
        </is>
      </c>
    </row>
    <row r="37448">
      <c r="A37448" s="1" t="n">
        <v>37447</v>
      </c>
      <c r="B37448">
        <f>TEXT(37447, "[$-0E0000]yyyy-mm-dd")</f>
        <v/>
      </c>
      <c r="C37448" t="inlineStr">
        <is>
          <t>2002-06-02</t>
        </is>
      </c>
    </row>
    <row r="37449">
      <c r="A37449" s="1" t="n">
        <v>37448</v>
      </c>
      <c r="B37449">
        <f>TEXT(37448, "[$-0E0000]yyyy-mm-dd")</f>
        <v/>
      </c>
      <c r="C37449" t="inlineStr">
        <is>
          <t>2002-06-03</t>
        </is>
      </c>
    </row>
    <row r="37450">
      <c r="A37450" s="1" t="n">
        <v>37449</v>
      </c>
      <c r="B37450">
        <f>TEXT(37449, "[$-0E0000]yyyy-mm-dd")</f>
        <v/>
      </c>
      <c r="C37450" t="inlineStr">
        <is>
          <t>2002-06-04</t>
        </is>
      </c>
    </row>
    <row r="37451">
      <c r="A37451" s="1" t="n">
        <v>37450</v>
      </c>
      <c r="B37451">
        <f>TEXT(37450, "[$-0E0000]yyyy-mm-dd")</f>
        <v/>
      </c>
      <c r="C37451" t="inlineStr">
        <is>
          <t>2002-06-05</t>
        </is>
      </c>
    </row>
    <row r="37452">
      <c r="A37452" s="1" t="n">
        <v>37451</v>
      </c>
      <c r="B37452">
        <f>TEXT(37451, "[$-0E0000]yyyy-mm-dd")</f>
        <v/>
      </c>
      <c r="C37452" t="inlineStr">
        <is>
          <t>2002-06-06</t>
        </is>
      </c>
    </row>
    <row r="37453">
      <c r="A37453" s="1" t="n">
        <v>37452</v>
      </c>
      <c r="B37453">
        <f>TEXT(37452, "[$-0E0000]yyyy-mm-dd")</f>
        <v/>
      </c>
      <c r="C37453" t="inlineStr">
        <is>
          <t>2002-06-07</t>
        </is>
      </c>
    </row>
    <row r="37454">
      <c r="A37454" s="1" t="n">
        <v>37453</v>
      </c>
      <c r="B37454">
        <f>TEXT(37453, "[$-0E0000]yyyy-mm-dd")</f>
        <v/>
      </c>
      <c r="C37454" t="inlineStr">
        <is>
          <t>2002-06-08</t>
        </is>
      </c>
    </row>
    <row r="37455">
      <c r="A37455" s="1" t="n">
        <v>37454</v>
      </c>
      <c r="B37455">
        <f>TEXT(37454, "[$-0E0000]yyyy-mm-dd")</f>
        <v/>
      </c>
      <c r="C37455" t="inlineStr">
        <is>
          <t>2002-06-09</t>
        </is>
      </c>
    </row>
    <row r="37456">
      <c r="A37456" s="1" t="n">
        <v>37455</v>
      </c>
      <c r="B37456">
        <f>TEXT(37455, "[$-0E0000]yyyy-mm-dd")</f>
        <v/>
      </c>
      <c r="C37456" t="inlineStr">
        <is>
          <t>2002-06-10</t>
        </is>
      </c>
    </row>
    <row r="37457">
      <c r="A37457" s="1" t="n">
        <v>37456</v>
      </c>
      <c r="B37457">
        <f>TEXT(37456, "[$-0E0000]yyyy-mm-dd")</f>
        <v/>
      </c>
      <c r="C37457" t="inlineStr">
        <is>
          <t>2002-06-11</t>
        </is>
      </c>
    </row>
    <row r="37458">
      <c r="A37458" s="1" t="n">
        <v>37457</v>
      </c>
      <c r="B37458">
        <f>TEXT(37457, "[$-0E0000]yyyy-mm-dd")</f>
        <v/>
      </c>
      <c r="C37458" t="inlineStr">
        <is>
          <t>2002-06-12</t>
        </is>
      </c>
    </row>
    <row r="37459">
      <c r="A37459" s="1" t="n">
        <v>37458</v>
      </c>
      <c r="B37459">
        <f>TEXT(37458, "[$-0E0000]yyyy-mm-dd")</f>
        <v/>
      </c>
      <c r="C37459" t="inlineStr">
        <is>
          <t>2002-06-13</t>
        </is>
      </c>
    </row>
    <row r="37460">
      <c r="A37460" s="1" t="n">
        <v>37459</v>
      </c>
      <c r="B37460">
        <f>TEXT(37459, "[$-0E0000]yyyy-mm-dd")</f>
        <v/>
      </c>
      <c r="C37460" t="inlineStr">
        <is>
          <t>2002-06-14</t>
        </is>
      </c>
    </row>
    <row r="37461">
      <c r="A37461" s="1" t="n">
        <v>37460</v>
      </c>
      <c r="B37461">
        <f>TEXT(37460, "[$-0E0000]yyyy-mm-dd")</f>
        <v/>
      </c>
      <c r="C37461" t="inlineStr">
        <is>
          <t>2002-06-15</t>
        </is>
      </c>
    </row>
    <row r="37462">
      <c r="A37462" s="1" t="n">
        <v>37461</v>
      </c>
      <c r="B37462">
        <f>TEXT(37461, "[$-0E0000]yyyy-mm-dd")</f>
        <v/>
      </c>
      <c r="C37462" t="inlineStr">
        <is>
          <t>2002-06-16</t>
        </is>
      </c>
    </row>
    <row r="37463">
      <c r="A37463" s="1" t="n">
        <v>37462</v>
      </c>
      <c r="B37463">
        <f>TEXT(37462, "[$-0E0000]yyyy-mm-dd")</f>
        <v/>
      </c>
      <c r="C37463" t="inlineStr">
        <is>
          <t>2002-06-17</t>
        </is>
      </c>
    </row>
    <row r="37464">
      <c r="A37464" s="1" t="n">
        <v>37463</v>
      </c>
      <c r="B37464">
        <f>TEXT(37463, "[$-0E0000]yyyy-mm-dd")</f>
        <v/>
      </c>
      <c r="C37464" t="inlineStr">
        <is>
          <t>2002-06-18</t>
        </is>
      </c>
    </row>
    <row r="37465">
      <c r="A37465" s="1" t="n">
        <v>37464</v>
      </c>
      <c r="B37465">
        <f>TEXT(37464, "[$-0E0000]yyyy-mm-dd")</f>
        <v/>
      </c>
      <c r="C37465" t="inlineStr">
        <is>
          <t>2002-06-19</t>
        </is>
      </c>
    </row>
    <row r="37466">
      <c r="A37466" s="1" t="n">
        <v>37465</v>
      </c>
      <c r="B37466">
        <f>TEXT(37465, "[$-0E0000]yyyy-mm-dd")</f>
        <v/>
      </c>
      <c r="C37466" t="inlineStr">
        <is>
          <t>2002-06-20</t>
        </is>
      </c>
    </row>
    <row r="37467">
      <c r="A37467" s="1" t="n">
        <v>37466</v>
      </c>
      <c r="B37467">
        <f>TEXT(37466, "[$-0E0000]yyyy-mm-dd")</f>
        <v/>
      </c>
      <c r="C37467" t="inlineStr">
        <is>
          <t>2002-06-21</t>
        </is>
      </c>
    </row>
    <row r="37468">
      <c r="A37468" s="1" t="n">
        <v>37467</v>
      </c>
      <c r="B37468">
        <f>TEXT(37467, "[$-0E0000]yyyy-mm-dd")</f>
        <v/>
      </c>
      <c r="C37468" t="inlineStr">
        <is>
          <t>2002-06-22</t>
        </is>
      </c>
    </row>
    <row r="37469">
      <c r="A37469" s="1" t="n">
        <v>37468</v>
      </c>
      <c r="B37469">
        <f>TEXT(37468, "[$-0E0000]yyyy-mm-dd")</f>
        <v/>
      </c>
      <c r="C37469" t="inlineStr">
        <is>
          <t>2002-06-23</t>
        </is>
      </c>
    </row>
    <row r="37470">
      <c r="A37470" s="1" t="n">
        <v>37469</v>
      </c>
      <c r="B37470">
        <f>TEXT(37469, "[$-0E0000]yyyy-mm-dd")</f>
        <v/>
      </c>
      <c r="C37470" t="inlineStr">
        <is>
          <t>2002-06-24</t>
        </is>
      </c>
    </row>
    <row r="37471">
      <c r="A37471" s="1" t="n">
        <v>37470</v>
      </c>
      <c r="B37471">
        <f>TEXT(37470, "[$-0E0000]yyyy-mm-dd")</f>
        <v/>
      </c>
      <c r="C37471" t="inlineStr">
        <is>
          <t>2002-06-25</t>
        </is>
      </c>
    </row>
    <row r="37472">
      <c r="A37472" s="1" t="n">
        <v>37471</v>
      </c>
      <c r="B37472">
        <f>TEXT(37471, "[$-0E0000]yyyy-mm-dd")</f>
        <v/>
      </c>
      <c r="C37472" t="inlineStr">
        <is>
          <t>2002-06-26</t>
        </is>
      </c>
    </row>
    <row r="37473">
      <c r="A37473" s="1" t="n">
        <v>37472</v>
      </c>
      <c r="B37473">
        <f>TEXT(37472, "[$-0E0000]yyyy-mm-dd")</f>
        <v/>
      </c>
      <c r="C37473" t="inlineStr">
        <is>
          <t>2002-06-27</t>
        </is>
      </c>
    </row>
    <row r="37474">
      <c r="A37474" s="1" t="n">
        <v>37473</v>
      </c>
      <c r="B37474">
        <f>TEXT(37473, "[$-0E0000]yyyy-mm-dd")</f>
        <v/>
      </c>
      <c r="C37474" t="inlineStr">
        <is>
          <t>2002-06-28</t>
        </is>
      </c>
    </row>
    <row r="37475">
      <c r="A37475" s="1" t="n">
        <v>37474</v>
      </c>
      <c r="B37475">
        <f>TEXT(37474, "[$-0E0000]yyyy-mm-dd")</f>
        <v/>
      </c>
      <c r="C37475" t="inlineStr">
        <is>
          <t>2002-06-29</t>
        </is>
      </c>
    </row>
    <row r="37476">
      <c r="A37476" s="1" t="n">
        <v>37475</v>
      </c>
      <c r="B37476">
        <f>TEXT(37475, "[$-0E0000]yyyy-mm-dd")</f>
        <v/>
      </c>
      <c r="C37476" t="inlineStr">
        <is>
          <t>2002-06-30</t>
        </is>
      </c>
    </row>
    <row r="37477">
      <c r="A37477" s="1" t="n">
        <v>37476</v>
      </c>
      <c r="B37477">
        <f>TEXT(37476, "[$-0E0000]yyyy-mm-dd")</f>
        <v/>
      </c>
      <c r="C37477" t="inlineStr">
        <is>
          <t>2002-07-01</t>
        </is>
      </c>
    </row>
    <row r="37478">
      <c r="A37478" s="1" t="n">
        <v>37477</v>
      </c>
      <c r="B37478">
        <f>TEXT(37477, "[$-0E0000]yyyy-mm-dd")</f>
        <v/>
      </c>
      <c r="C37478" t="inlineStr">
        <is>
          <t>2002-07-02</t>
        </is>
      </c>
    </row>
    <row r="37479">
      <c r="A37479" s="1" t="n">
        <v>37478</v>
      </c>
      <c r="B37479">
        <f>TEXT(37478, "[$-0E0000]yyyy-mm-dd")</f>
        <v/>
      </c>
      <c r="C37479" t="inlineStr">
        <is>
          <t>2002-07-03</t>
        </is>
      </c>
    </row>
    <row r="37480">
      <c r="A37480" s="1" t="n">
        <v>37479</v>
      </c>
      <c r="B37480">
        <f>TEXT(37479, "[$-0E0000]yyyy-mm-dd")</f>
        <v/>
      </c>
      <c r="C37480" t="inlineStr">
        <is>
          <t>2002-07-04</t>
        </is>
      </c>
    </row>
    <row r="37481">
      <c r="A37481" s="1" t="n">
        <v>37480</v>
      </c>
      <c r="B37481">
        <f>TEXT(37480, "[$-0E0000]yyyy-mm-dd")</f>
        <v/>
      </c>
      <c r="C37481" t="inlineStr">
        <is>
          <t>2002-07-05</t>
        </is>
      </c>
    </row>
    <row r="37482">
      <c r="A37482" s="1" t="n">
        <v>37481</v>
      </c>
      <c r="B37482">
        <f>TEXT(37481, "[$-0E0000]yyyy-mm-dd")</f>
        <v/>
      </c>
      <c r="C37482" t="inlineStr">
        <is>
          <t>2002-07-06</t>
        </is>
      </c>
    </row>
    <row r="37483">
      <c r="A37483" s="1" t="n">
        <v>37482</v>
      </c>
      <c r="B37483">
        <f>TEXT(37482, "[$-0E0000]yyyy-mm-dd")</f>
        <v/>
      </c>
      <c r="C37483" t="inlineStr">
        <is>
          <t>2002-07-07</t>
        </is>
      </c>
    </row>
    <row r="37484">
      <c r="A37484" s="1" t="n">
        <v>37483</v>
      </c>
      <c r="B37484">
        <f>TEXT(37483, "[$-0E0000]yyyy-mm-dd")</f>
        <v/>
      </c>
      <c r="C37484" t="inlineStr">
        <is>
          <t>2002-07-08</t>
        </is>
      </c>
    </row>
    <row r="37485">
      <c r="A37485" s="1" t="n">
        <v>37484</v>
      </c>
      <c r="B37485">
        <f>TEXT(37484, "[$-0E0000]yyyy-mm-dd")</f>
        <v/>
      </c>
      <c r="C37485" t="inlineStr">
        <is>
          <t>2002-07-09</t>
        </is>
      </c>
    </row>
    <row r="37486">
      <c r="A37486" s="1" t="n">
        <v>37485</v>
      </c>
      <c r="B37486">
        <f>TEXT(37485, "[$-0E0000]yyyy-mm-dd")</f>
        <v/>
      </c>
      <c r="C37486" t="inlineStr">
        <is>
          <t>2002-07-10</t>
        </is>
      </c>
    </row>
    <row r="37487">
      <c r="A37487" s="1" t="n">
        <v>37486</v>
      </c>
      <c r="B37487">
        <f>TEXT(37486, "[$-0E0000]yyyy-mm-dd")</f>
        <v/>
      </c>
      <c r="C37487" t="inlineStr">
        <is>
          <t>2002-07-11</t>
        </is>
      </c>
    </row>
    <row r="37488">
      <c r="A37488" s="1" t="n">
        <v>37487</v>
      </c>
      <c r="B37488">
        <f>TEXT(37487, "[$-0E0000]yyyy-mm-dd")</f>
        <v/>
      </c>
      <c r="C37488" t="inlineStr">
        <is>
          <t>2002-07-12</t>
        </is>
      </c>
    </row>
    <row r="37489">
      <c r="A37489" s="1" t="n">
        <v>37488</v>
      </c>
      <c r="B37489">
        <f>TEXT(37488, "[$-0E0000]yyyy-mm-dd")</f>
        <v/>
      </c>
      <c r="C37489" t="inlineStr">
        <is>
          <t>2002-07-13</t>
        </is>
      </c>
    </row>
    <row r="37490">
      <c r="A37490" s="1" t="n">
        <v>37489</v>
      </c>
      <c r="B37490">
        <f>TEXT(37489, "[$-0E0000]yyyy-mm-dd")</f>
        <v/>
      </c>
      <c r="C37490" t="inlineStr">
        <is>
          <t>2002-07-14</t>
        </is>
      </c>
    </row>
    <row r="37491">
      <c r="A37491" s="1" t="n">
        <v>37490</v>
      </c>
      <c r="B37491">
        <f>TEXT(37490, "[$-0E0000]yyyy-mm-dd")</f>
        <v/>
      </c>
      <c r="C37491" t="inlineStr">
        <is>
          <t>2002-07-15</t>
        </is>
      </c>
    </row>
    <row r="37492">
      <c r="A37492" s="1" t="n">
        <v>37491</v>
      </c>
      <c r="B37492">
        <f>TEXT(37491, "[$-0E0000]yyyy-mm-dd")</f>
        <v/>
      </c>
      <c r="C37492" t="inlineStr">
        <is>
          <t>2002-07-16</t>
        </is>
      </c>
    </row>
    <row r="37493">
      <c r="A37493" s="1" t="n">
        <v>37492</v>
      </c>
      <c r="B37493">
        <f>TEXT(37492, "[$-0E0000]yyyy-mm-dd")</f>
        <v/>
      </c>
      <c r="C37493" t="inlineStr">
        <is>
          <t>2002-07-17</t>
        </is>
      </c>
    </row>
    <row r="37494">
      <c r="A37494" s="1" t="n">
        <v>37493</v>
      </c>
      <c r="B37494">
        <f>TEXT(37493, "[$-0E0000]yyyy-mm-dd")</f>
        <v/>
      </c>
      <c r="C37494" t="inlineStr">
        <is>
          <t>2002-07-18</t>
        </is>
      </c>
    </row>
    <row r="37495">
      <c r="A37495" s="1" t="n">
        <v>37494</v>
      </c>
      <c r="B37495">
        <f>TEXT(37494, "[$-0E0000]yyyy-mm-dd")</f>
        <v/>
      </c>
      <c r="C37495" t="inlineStr">
        <is>
          <t>2002-07-19</t>
        </is>
      </c>
    </row>
    <row r="37496">
      <c r="A37496" s="1" t="n">
        <v>37495</v>
      </c>
      <c r="B37496">
        <f>TEXT(37495, "[$-0E0000]yyyy-mm-dd")</f>
        <v/>
      </c>
      <c r="C37496" t="inlineStr">
        <is>
          <t>2002-07-20</t>
        </is>
      </c>
    </row>
    <row r="37497">
      <c r="A37497" s="1" t="n">
        <v>37496</v>
      </c>
      <c r="B37497">
        <f>TEXT(37496, "[$-0E0000]yyyy-mm-dd")</f>
        <v/>
      </c>
      <c r="C37497" t="inlineStr">
        <is>
          <t>2002-07-21</t>
        </is>
      </c>
    </row>
    <row r="37498">
      <c r="A37498" s="1" t="n">
        <v>37497</v>
      </c>
      <c r="B37498">
        <f>TEXT(37497, "[$-0E0000]yyyy-mm-dd")</f>
        <v/>
      </c>
      <c r="C37498" t="inlineStr">
        <is>
          <t>2002-07-22</t>
        </is>
      </c>
    </row>
    <row r="37499">
      <c r="A37499" s="1" t="n">
        <v>37498</v>
      </c>
      <c r="B37499">
        <f>TEXT(37498, "[$-0E0000]yyyy-mm-dd")</f>
        <v/>
      </c>
      <c r="C37499" t="inlineStr">
        <is>
          <t>2002-07-23</t>
        </is>
      </c>
    </row>
    <row r="37500">
      <c r="A37500" s="1" t="n">
        <v>37499</v>
      </c>
      <c r="B37500">
        <f>TEXT(37499, "[$-0E0000]yyyy-mm-dd")</f>
        <v/>
      </c>
      <c r="C37500" t="inlineStr">
        <is>
          <t>2002-07-24</t>
        </is>
      </c>
    </row>
    <row r="37501">
      <c r="A37501" s="1" t="n">
        <v>37500</v>
      </c>
      <c r="B37501">
        <f>TEXT(37500, "[$-0E0000]yyyy-mm-dd")</f>
        <v/>
      </c>
      <c r="C37501" t="inlineStr">
        <is>
          <t>2002-07-25</t>
        </is>
      </c>
    </row>
    <row r="37502">
      <c r="A37502" s="1" t="n">
        <v>37501</v>
      </c>
      <c r="B37502">
        <f>TEXT(37501, "[$-0E0000]yyyy-mm-dd")</f>
        <v/>
      </c>
      <c r="C37502" t="inlineStr">
        <is>
          <t>2002-07-26</t>
        </is>
      </c>
    </row>
    <row r="37503">
      <c r="A37503" s="1" t="n">
        <v>37502</v>
      </c>
      <c r="B37503">
        <f>TEXT(37502, "[$-0E0000]yyyy-mm-dd")</f>
        <v/>
      </c>
      <c r="C37503" t="inlineStr">
        <is>
          <t>2002-07-27</t>
        </is>
      </c>
    </row>
    <row r="37504">
      <c r="A37504" s="1" t="n">
        <v>37503</v>
      </c>
      <c r="B37504">
        <f>TEXT(37503, "[$-0E0000]yyyy-mm-dd")</f>
        <v/>
      </c>
      <c r="C37504" t="inlineStr">
        <is>
          <t>2002-07-28</t>
        </is>
      </c>
    </row>
    <row r="37505">
      <c r="A37505" s="1" t="n">
        <v>37504</v>
      </c>
      <c r="B37505">
        <f>TEXT(37504, "[$-0E0000]yyyy-mm-dd")</f>
        <v/>
      </c>
      <c r="C37505" t="inlineStr">
        <is>
          <t>2002-07-29</t>
        </is>
      </c>
    </row>
    <row r="37506">
      <c r="A37506" s="1" t="n">
        <v>37505</v>
      </c>
      <c r="B37506">
        <f>TEXT(37505, "[$-0E0000]yyyy-mm-dd")</f>
        <v/>
      </c>
      <c r="C37506" t="inlineStr">
        <is>
          <t>2002-08-01</t>
        </is>
      </c>
    </row>
    <row r="37507">
      <c r="A37507" s="1" t="n">
        <v>37506</v>
      </c>
      <c r="B37507">
        <f>TEXT(37506, "[$-0E0000]yyyy-mm-dd")</f>
        <v/>
      </c>
      <c r="C37507" t="inlineStr">
        <is>
          <t>2002-08-02</t>
        </is>
      </c>
    </row>
    <row r="37508">
      <c r="A37508" s="1" t="n">
        <v>37507</v>
      </c>
      <c r="B37508">
        <f>TEXT(37507, "[$-0E0000]yyyy-mm-dd")</f>
        <v/>
      </c>
      <c r="C37508" t="inlineStr">
        <is>
          <t>2002-08-03</t>
        </is>
      </c>
    </row>
    <row r="37509">
      <c r="A37509" s="1" t="n">
        <v>37508</v>
      </c>
      <c r="B37509">
        <f>TEXT(37508, "[$-0E0000]yyyy-mm-dd")</f>
        <v/>
      </c>
      <c r="C37509" t="inlineStr">
        <is>
          <t>2002-08-04</t>
        </is>
      </c>
    </row>
    <row r="37510">
      <c r="A37510" s="1" t="n">
        <v>37509</v>
      </c>
      <c r="B37510">
        <f>TEXT(37509, "[$-0E0000]yyyy-mm-dd")</f>
        <v/>
      </c>
      <c r="C37510" t="inlineStr">
        <is>
          <t>2002-08-05</t>
        </is>
      </c>
    </row>
    <row r="37511">
      <c r="A37511" s="1" t="n">
        <v>37510</v>
      </c>
      <c r="B37511">
        <f>TEXT(37510, "[$-0E0000]yyyy-mm-dd")</f>
        <v/>
      </c>
      <c r="C37511" t="inlineStr">
        <is>
          <t>2002-08-06</t>
        </is>
      </c>
    </row>
    <row r="37512">
      <c r="A37512" s="1" t="n">
        <v>37511</v>
      </c>
      <c r="B37512">
        <f>TEXT(37511, "[$-0E0000]yyyy-mm-dd")</f>
        <v/>
      </c>
      <c r="C37512" t="inlineStr">
        <is>
          <t>2002-08-07</t>
        </is>
      </c>
    </row>
    <row r="37513">
      <c r="A37513" s="1" t="n">
        <v>37512</v>
      </c>
      <c r="B37513">
        <f>TEXT(37512, "[$-0E0000]yyyy-mm-dd")</f>
        <v/>
      </c>
      <c r="C37513" t="inlineStr">
        <is>
          <t>2002-08-08</t>
        </is>
      </c>
    </row>
    <row r="37514">
      <c r="A37514" s="1" t="n">
        <v>37513</v>
      </c>
      <c r="B37514">
        <f>TEXT(37513, "[$-0E0000]yyyy-mm-dd")</f>
        <v/>
      </c>
      <c r="C37514" t="inlineStr">
        <is>
          <t>2002-08-09</t>
        </is>
      </c>
    </row>
    <row r="37515">
      <c r="A37515" s="1" t="n">
        <v>37514</v>
      </c>
      <c r="B37515">
        <f>TEXT(37514, "[$-0E0000]yyyy-mm-dd")</f>
        <v/>
      </c>
      <c r="C37515" t="inlineStr">
        <is>
          <t>2002-08-10</t>
        </is>
      </c>
    </row>
    <row r="37516">
      <c r="A37516" s="1" t="n">
        <v>37515</v>
      </c>
      <c r="B37516">
        <f>TEXT(37515, "[$-0E0000]yyyy-mm-dd")</f>
        <v/>
      </c>
      <c r="C37516" t="inlineStr">
        <is>
          <t>2002-08-11</t>
        </is>
      </c>
    </row>
    <row r="37517">
      <c r="A37517" s="1" t="n">
        <v>37516</v>
      </c>
      <c r="B37517">
        <f>TEXT(37516, "[$-0E0000]yyyy-mm-dd")</f>
        <v/>
      </c>
      <c r="C37517" t="inlineStr">
        <is>
          <t>2002-08-12</t>
        </is>
      </c>
    </row>
    <row r="37518">
      <c r="A37518" s="1" t="n">
        <v>37517</v>
      </c>
      <c r="B37518">
        <f>TEXT(37517, "[$-0E0000]yyyy-mm-dd")</f>
        <v/>
      </c>
      <c r="C37518" t="inlineStr">
        <is>
          <t>2002-08-13</t>
        </is>
      </c>
    </row>
    <row r="37519">
      <c r="A37519" s="1" t="n">
        <v>37518</v>
      </c>
      <c r="B37519">
        <f>TEXT(37518, "[$-0E0000]yyyy-mm-dd")</f>
        <v/>
      </c>
      <c r="C37519" t="inlineStr">
        <is>
          <t>2002-08-14</t>
        </is>
      </c>
    </row>
    <row r="37520">
      <c r="A37520" s="1" t="n">
        <v>37519</v>
      </c>
      <c r="B37520">
        <f>TEXT(37519, "[$-0E0000]yyyy-mm-dd")</f>
        <v/>
      </c>
      <c r="C37520" t="inlineStr">
        <is>
          <t>2002-08-15</t>
        </is>
      </c>
    </row>
    <row r="37521">
      <c r="A37521" s="1" t="n">
        <v>37520</v>
      </c>
      <c r="B37521">
        <f>TEXT(37520, "[$-0E0000]yyyy-mm-dd")</f>
        <v/>
      </c>
      <c r="C37521" t="inlineStr">
        <is>
          <t>2002-08-16</t>
        </is>
      </c>
    </row>
    <row r="37522">
      <c r="A37522" s="1" t="n">
        <v>37521</v>
      </c>
      <c r="B37522">
        <f>TEXT(37521, "[$-0E0000]yyyy-mm-dd")</f>
        <v/>
      </c>
      <c r="C37522" t="inlineStr">
        <is>
          <t>2002-08-17</t>
        </is>
      </c>
    </row>
    <row r="37523">
      <c r="A37523" s="1" t="n">
        <v>37522</v>
      </c>
      <c r="B37523">
        <f>TEXT(37522, "[$-0E0000]yyyy-mm-dd")</f>
        <v/>
      </c>
      <c r="C37523" t="inlineStr">
        <is>
          <t>2002-08-18</t>
        </is>
      </c>
    </row>
    <row r="37524">
      <c r="A37524" s="1" t="n">
        <v>37523</v>
      </c>
      <c r="B37524">
        <f>TEXT(37523, "[$-0E0000]yyyy-mm-dd")</f>
        <v/>
      </c>
      <c r="C37524" t="inlineStr">
        <is>
          <t>2002-08-19</t>
        </is>
      </c>
    </row>
    <row r="37525">
      <c r="A37525" s="1" t="n">
        <v>37524</v>
      </c>
      <c r="B37525">
        <f>TEXT(37524, "[$-0E0000]yyyy-mm-dd")</f>
        <v/>
      </c>
      <c r="C37525" t="inlineStr">
        <is>
          <t>2002-08-20</t>
        </is>
      </c>
    </row>
    <row r="37526">
      <c r="A37526" s="1" t="n">
        <v>37525</v>
      </c>
      <c r="B37526">
        <f>TEXT(37525, "[$-0E0000]yyyy-mm-dd")</f>
        <v/>
      </c>
      <c r="C37526" t="inlineStr">
        <is>
          <t>2002-08-21</t>
        </is>
      </c>
    </row>
    <row r="37527">
      <c r="A37527" s="1" t="n">
        <v>37526</v>
      </c>
      <c r="B37527">
        <f>TEXT(37526, "[$-0E0000]yyyy-mm-dd")</f>
        <v/>
      </c>
      <c r="C37527" t="inlineStr">
        <is>
          <t>2002-08-22</t>
        </is>
      </c>
    </row>
    <row r="37528">
      <c r="A37528" s="1" t="n">
        <v>37527</v>
      </c>
      <c r="B37528">
        <f>TEXT(37527, "[$-0E0000]yyyy-mm-dd")</f>
        <v/>
      </c>
      <c r="C37528" t="inlineStr">
        <is>
          <t>2002-08-23</t>
        </is>
      </c>
    </row>
    <row r="37529">
      <c r="A37529" s="1" t="n">
        <v>37528</v>
      </c>
      <c r="B37529">
        <f>TEXT(37528, "[$-0E0000]yyyy-mm-dd")</f>
        <v/>
      </c>
      <c r="C37529" t="inlineStr">
        <is>
          <t>2002-08-24</t>
        </is>
      </c>
    </row>
    <row r="37530">
      <c r="A37530" s="1" t="n">
        <v>37529</v>
      </c>
      <c r="B37530">
        <f>TEXT(37529, "[$-0E0000]yyyy-mm-dd")</f>
        <v/>
      </c>
      <c r="C37530" t="inlineStr">
        <is>
          <t>2002-08-25</t>
        </is>
      </c>
    </row>
    <row r="37531">
      <c r="A37531" s="1" t="n">
        <v>37530</v>
      </c>
      <c r="B37531">
        <f>TEXT(37530, "[$-0E0000]yyyy-mm-dd")</f>
        <v/>
      </c>
      <c r="C37531" t="inlineStr">
        <is>
          <t>2002-08-26</t>
        </is>
      </c>
    </row>
    <row r="37532">
      <c r="A37532" s="1" t="n">
        <v>37531</v>
      </c>
      <c r="B37532">
        <f>TEXT(37531, "[$-0E0000]yyyy-mm-dd")</f>
        <v/>
      </c>
      <c r="C37532" t="inlineStr">
        <is>
          <t>2002-08-27</t>
        </is>
      </c>
    </row>
    <row r="37533">
      <c r="A37533" s="1" t="n">
        <v>37532</v>
      </c>
      <c r="B37533">
        <f>TEXT(37532, "[$-0E0000]yyyy-mm-dd")</f>
        <v/>
      </c>
      <c r="C37533" t="inlineStr">
        <is>
          <t>2002-08-28</t>
        </is>
      </c>
    </row>
    <row r="37534">
      <c r="A37534" s="1" t="n">
        <v>37533</v>
      </c>
      <c r="B37534">
        <f>TEXT(37533, "[$-0E0000]yyyy-mm-dd")</f>
        <v/>
      </c>
      <c r="C37534" t="inlineStr">
        <is>
          <t>2002-08-29</t>
        </is>
      </c>
    </row>
    <row r="37535">
      <c r="A37535" s="1" t="n">
        <v>37534</v>
      </c>
      <c r="B37535">
        <f>TEXT(37534, "[$-0E0000]yyyy-mm-dd")</f>
        <v/>
      </c>
      <c r="C37535" t="inlineStr">
        <is>
          <t>2002-09-01</t>
        </is>
      </c>
    </row>
    <row r="37536">
      <c r="A37536" s="1" t="n">
        <v>37535</v>
      </c>
      <c r="B37536">
        <f>TEXT(37535, "[$-0E0000]yyyy-mm-dd")</f>
        <v/>
      </c>
      <c r="C37536" t="inlineStr">
        <is>
          <t>2002-09-02</t>
        </is>
      </c>
    </row>
    <row r="37537">
      <c r="A37537" s="1" t="n">
        <v>37536</v>
      </c>
      <c r="B37537">
        <f>TEXT(37536, "[$-0E0000]yyyy-mm-dd")</f>
        <v/>
      </c>
      <c r="C37537" t="inlineStr">
        <is>
          <t>2002-09-03</t>
        </is>
      </c>
    </row>
    <row r="37538">
      <c r="A37538" s="1" t="n">
        <v>37537</v>
      </c>
      <c r="B37538">
        <f>TEXT(37537, "[$-0E0000]yyyy-mm-dd")</f>
        <v/>
      </c>
      <c r="C37538" t="inlineStr">
        <is>
          <t>2002-09-04</t>
        </is>
      </c>
    </row>
    <row r="37539">
      <c r="A37539" s="1" t="n">
        <v>37538</v>
      </c>
      <c r="B37539">
        <f>TEXT(37538, "[$-0E0000]yyyy-mm-dd")</f>
        <v/>
      </c>
      <c r="C37539" t="inlineStr">
        <is>
          <t>2002-09-05</t>
        </is>
      </c>
    </row>
    <row r="37540">
      <c r="A37540" s="1" t="n">
        <v>37539</v>
      </c>
      <c r="B37540">
        <f>TEXT(37539, "[$-0E0000]yyyy-mm-dd")</f>
        <v/>
      </c>
      <c r="C37540" t="inlineStr">
        <is>
          <t>2002-09-06</t>
        </is>
      </c>
    </row>
    <row r="37541">
      <c r="A37541" s="1" t="n">
        <v>37540</v>
      </c>
      <c r="B37541">
        <f>TEXT(37540, "[$-0E0000]yyyy-mm-dd")</f>
        <v/>
      </c>
      <c r="C37541" t="inlineStr">
        <is>
          <t>2002-09-07</t>
        </is>
      </c>
    </row>
    <row r="37542">
      <c r="A37542" s="1" t="n">
        <v>37541</v>
      </c>
      <c r="B37542">
        <f>TEXT(37541, "[$-0E0000]yyyy-mm-dd")</f>
        <v/>
      </c>
      <c r="C37542" t="inlineStr">
        <is>
          <t>2002-09-08</t>
        </is>
      </c>
    </row>
    <row r="37543">
      <c r="A37543" s="1" t="n">
        <v>37542</v>
      </c>
      <c r="B37543">
        <f>TEXT(37542, "[$-0E0000]yyyy-mm-dd")</f>
        <v/>
      </c>
      <c r="C37543" t="inlineStr">
        <is>
          <t>2002-09-09</t>
        </is>
      </c>
    </row>
    <row r="37544">
      <c r="A37544" s="1" t="n">
        <v>37543</v>
      </c>
      <c r="B37544">
        <f>TEXT(37543, "[$-0E0000]yyyy-mm-dd")</f>
        <v/>
      </c>
      <c r="C37544" t="inlineStr">
        <is>
          <t>2002-09-10</t>
        </is>
      </c>
    </row>
    <row r="37545">
      <c r="A37545" s="1" t="n">
        <v>37544</v>
      </c>
      <c r="B37545">
        <f>TEXT(37544, "[$-0E0000]yyyy-mm-dd")</f>
        <v/>
      </c>
      <c r="C37545" t="inlineStr">
        <is>
          <t>2002-09-11</t>
        </is>
      </c>
    </row>
    <row r="37546">
      <c r="A37546" s="1" t="n">
        <v>37545</v>
      </c>
      <c r="B37546">
        <f>TEXT(37545, "[$-0E0000]yyyy-mm-dd")</f>
        <v/>
      </c>
      <c r="C37546" t="inlineStr">
        <is>
          <t>2002-09-12</t>
        </is>
      </c>
    </row>
    <row r="37547">
      <c r="A37547" s="1" t="n">
        <v>37546</v>
      </c>
      <c r="B37547">
        <f>TEXT(37546, "[$-0E0000]yyyy-mm-dd")</f>
        <v/>
      </c>
      <c r="C37547" t="inlineStr">
        <is>
          <t>2002-09-13</t>
        </is>
      </c>
    </row>
    <row r="37548">
      <c r="A37548" s="1" t="n">
        <v>37547</v>
      </c>
      <c r="B37548">
        <f>TEXT(37547, "[$-0E0000]yyyy-mm-dd")</f>
        <v/>
      </c>
      <c r="C37548" t="inlineStr">
        <is>
          <t>2002-09-14</t>
        </is>
      </c>
    </row>
    <row r="37549">
      <c r="A37549" s="1" t="n">
        <v>37548</v>
      </c>
      <c r="B37549">
        <f>TEXT(37548, "[$-0E0000]yyyy-mm-dd")</f>
        <v/>
      </c>
      <c r="C37549" t="inlineStr">
        <is>
          <t>2002-09-15</t>
        </is>
      </c>
    </row>
    <row r="37550">
      <c r="A37550" s="1" t="n">
        <v>37549</v>
      </c>
      <c r="B37550">
        <f>TEXT(37549, "[$-0E0000]yyyy-mm-dd")</f>
        <v/>
      </c>
      <c r="C37550" t="inlineStr">
        <is>
          <t>2002-09-16</t>
        </is>
      </c>
    </row>
    <row r="37551">
      <c r="A37551" s="1" t="n">
        <v>37550</v>
      </c>
      <c r="B37551">
        <f>TEXT(37550, "[$-0E0000]yyyy-mm-dd")</f>
        <v/>
      </c>
      <c r="C37551" t="inlineStr">
        <is>
          <t>2002-09-17</t>
        </is>
      </c>
    </row>
    <row r="37552">
      <c r="A37552" s="1" t="n">
        <v>37551</v>
      </c>
      <c r="B37552">
        <f>TEXT(37551, "[$-0E0000]yyyy-mm-dd")</f>
        <v/>
      </c>
      <c r="C37552" t="inlineStr">
        <is>
          <t>2002-09-18</t>
        </is>
      </c>
    </row>
    <row r="37553">
      <c r="A37553" s="1" t="n">
        <v>37552</v>
      </c>
      <c r="B37553">
        <f>TEXT(37552, "[$-0E0000]yyyy-mm-dd")</f>
        <v/>
      </c>
      <c r="C37553" t="inlineStr">
        <is>
          <t>2002-09-19</t>
        </is>
      </c>
    </row>
    <row r="37554">
      <c r="A37554" s="1" t="n">
        <v>37553</v>
      </c>
      <c r="B37554">
        <f>TEXT(37553, "[$-0E0000]yyyy-mm-dd")</f>
        <v/>
      </c>
      <c r="C37554" t="inlineStr">
        <is>
          <t>2002-09-20</t>
        </is>
      </c>
    </row>
    <row r="37555">
      <c r="A37555" s="1" t="n">
        <v>37554</v>
      </c>
      <c r="B37555">
        <f>TEXT(37554, "[$-0E0000]yyyy-mm-dd")</f>
        <v/>
      </c>
      <c r="C37555" t="inlineStr">
        <is>
          <t>2002-09-21</t>
        </is>
      </c>
    </row>
    <row r="37556">
      <c r="A37556" s="1" t="n">
        <v>37555</v>
      </c>
      <c r="B37556">
        <f>TEXT(37555, "[$-0E0000]yyyy-mm-dd")</f>
        <v/>
      </c>
      <c r="C37556" t="inlineStr">
        <is>
          <t>2002-09-22</t>
        </is>
      </c>
    </row>
    <row r="37557">
      <c r="A37557" s="1" t="n">
        <v>37556</v>
      </c>
      <c r="B37557">
        <f>TEXT(37556, "[$-0E0000]yyyy-mm-dd")</f>
        <v/>
      </c>
      <c r="C37557" t="inlineStr">
        <is>
          <t>2002-09-23</t>
        </is>
      </c>
    </row>
    <row r="37558">
      <c r="A37558" s="1" t="n">
        <v>37557</v>
      </c>
      <c r="B37558">
        <f>TEXT(37557, "[$-0E0000]yyyy-mm-dd")</f>
        <v/>
      </c>
      <c r="C37558" t="inlineStr">
        <is>
          <t>2002-09-24</t>
        </is>
      </c>
    </row>
    <row r="37559">
      <c r="A37559" s="1" t="n">
        <v>37558</v>
      </c>
      <c r="B37559">
        <f>TEXT(37558, "[$-0E0000]yyyy-mm-dd")</f>
        <v/>
      </c>
      <c r="C37559" t="inlineStr">
        <is>
          <t>2002-09-25</t>
        </is>
      </c>
    </row>
    <row r="37560">
      <c r="A37560" s="1" t="n">
        <v>37559</v>
      </c>
      <c r="B37560">
        <f>TEXT(37559, "[$-0E0000]yyyy-mm-dd")</f>
        <v/>
      </c>
      <c r="C37560" t="inlineStr">
        <is>
          <t>2002-09-26</t>
        </is>
      </c>
    </row>
    <row r="37561">
      <c r="A37561" s="1" t="n">
        <v>37560</v>
      </c>
      <c r="B37561">
        <f>TEXT(37560, "[$-0E0000]yyyy-mm-dd")</f>
        <v/>
      </c>
      <c r="C37561" t="inlineStr">
        <is>
          <t>2002-09-27</t>
        </is>
      </c>
    </row>
    <row r="37562">
      <c r="A37562" s="1" t="n">
        <v>37561</v>
      </c>
      <c r="B37562">
        <f>TEXT(37561, "[$-0E0000]yyyy-mm-dd")</f>
        <v/>
      </c>
      <c r="C37562" t="inlineStr">
        <is>
          <t>2002-09-28</t>
        </is>
      </c>
    </row>
    <row r="37563">
      <c r="A37563" s="1" t="n">
        <v>37562</v>
      </c>
      <c r="B37563">
        <f>TEXT(37562, "[$-0E0000]yyyy-mm-dd")</f>
        <v/>
      </c>
      <c r="C37563" t="inlineStr">
        <is>
          <t>2002-09-29</t>
        </is>
      </c>
    </row>
    <row r="37564">
      <c r="A37564" s="1" t="n">
        <v>37563</v>
      </c>
      <c r="B37564">
        <f>TEXT(37563, "[$-0E0000]yyyy-mm-dd")</f>
        <v/>
      </c>
      <c r="C37564" t="inlineStr">
        <is>
          <t>2002-09-30</t>
        </is>
      </c>
    </row>
    <row r="37565">
      <c r="A37565" s="1" t="n">
        <v>37564</v>
      </c>
      <c r="B37565">
        <f>TEXT(37564, "[$-0E0000]yyyy-mm-dd")</f>
        <v/>
      </c>
      <c r="C37565" t="inlineStr">
        <is>
          <t>2002-10-01</t>
        </is>
      </c>
    </row>
    <row r="37566">
      <c r="A37566" s="1" t="n">
        <v>37565</v>
      </c>
      <c r="B37566">
        <f>TEXT(37565, "[$-0E0000]yyyy-mm-dd")</f>
        <v/>
      </c>
      <c r="C37566" t="inlineStr">
        <is>
          <t>2002-10-02</t>
        </is>
      </c>
    </row>
    <row r="37567">
      <c r="A37567" s="1" t="n">
        <v>37566</v>
      </c>
      <c r="B37567">
        <f>TEXT(37566, "[$-0E0000]yyyy-mm-dd")</f>
        <v/>
      </c>
      <c r="C37567" t="inlineStr">
        <is>
          <t>2002-10-03</t>
        </is>
      </c>
    </row>
    <row r="37568">
      <c r="A37568" s="1" t="n">
        <v>37567</v>
      </c>
      <c r="B37568">
        <f>TEXT(37567, "[$-0E0000]yyyy-mm-dd")</f>
        <v/>
      </c>
      <c r="C37568" t="inlineStr">
        <is>
          <t>2002-10-04</t>
        </is>
      </c>
    </row>
    <row r="37569">
      <c r="A37569" s="1" t="n">
        <v>37568</v>
      </c>
      <c r="B37569">
        <f>TEXT(37568, "[$-0E0000]yyyy-mm-dd")</f>
        <v/>
      </c>
      <c r="C37569" t="inlineStr">
        <is>
          <t>2002-10-05</t>
        </is>
      </c>
    </row>
    <row r="37570">
      <c r="A37570" s="1" t="n">
        <v>37569</v>
      </c>
      <c r="B37570">
        <f>TEXT(37569, "[$-0E0000]yyyy-mm-dd")</f>
        <v/>
      </c>
      <c r="C37570" t="inlineStr">
        <is>
          <t>2002-10-06</t>
        </is>
      </c>
    </row>
    <row r="37571">
      <c r="A37571" s="1" t="n">
        <v>37570</v>
      </c>
      <c r="B37571">
        <f>TEXT(37570, "[$-0E0000]yyyy-mm-dd")</f>
        <v/>
      </c>
      <c r="C37571" t="inlineStr">
        <is>
          <t>2002-10-07</t>
        </is>
      </c>
    </row>
    <row r="37572">
      <c r="A37572" s="1" t="n">
        <v>37571</v>
      </c>
      <c r="B37572">
        <f>TEXT(37571, "[$-0E0000]yyyy-mm-dd")</f>
        <v/>
      </c>
      <c r="C37572" t="inlineStr">
        <is>
          <t>2002-10-08</t>
        </is>
      </c>
    </row>
    <row r="37573">
      <c r="A37573" s="1" t="n">
        <v>37572</v>
      </c>
      <c r="B37573">
        <f>TEXT(37572, "[$-0E0000]yyyy-mm-dd")</f>
        <v/>
      </c>
      <c r="C37573" t="inlineStr">
        <is>
          <t>2002-10-09</t>
        </is>
      </c>
    </row>
    <row r="37574">
      <c r="A37574" s="1" t="n">
        <v>37573</v>
      </c>
      <c r="B37574">
        <f>TEXT(37573, "[$-0E0000]yyyy-mm-dd")</f>
        <v/>
      </c>
      <c r="C37574" t="inlineStr">
        <is>
          <t>2002-10-10</t>
        </is>
      </c>
    </row>
    <row r="37575">
      <c r="A37575" s="1" t="n">
        <v>37574</v>
      </c>
      <c r="B37575">
        <f>TEXT(37574, "[$-0E0000]yyyy-mm-dd")</f>
        <v/>
      </c>
      <c r="C37575" t="inlineStr">
        <is>
          <t>2002-10-11</t>
        </is>
      </c>
    </row>
    <row r="37576">
      <c r="A37576" s="1" t="n">
        <v>37575</v>
      </c>
      <c r="B37576">
        <f>TEXT(37575, "[$-0E0000]yyyy-mm-dd")</f>
        <v/>
      </c>
      <c r="C37576" t="inlineStr">
        <is>
          <t>2002-10-12</t>
        </is>
      </c>
    </row>
    <row r="37577">
      <c r="A37577" s="1" t="n">
        <v>37576</v>
      </c>
      <c r="B37577">
        <f>TEXT(37576, "[$-0E0000]yyyy-mm-dd")</f>
        <v/>
      </c>
      <c r="C37577" t="inlineStr">
        <is>
          <t>2002-10-13</t>
        </is>
      </c>
    </row>
    <row r="37578">
      <c r="A37578" s="1" t="n">
        <v>37577</v>
      </c>
      <c r="B37578">
        <f>TEXT(37577, "[$-0E0000]yyyy-mm-dd")</f>
        <v/>
      </c>
      <c r="C37578" t="inlineStr">
        <is>
          <t>2002-10-14</t>
        </is>
      </c>
    </row>
    <row r="37579">
      <c r="A37579" s="1" t="n">
        <v>37578</v>
      </c>
      <c r="B37579">
        <f>TEXT(37578, "[$-0E0000]yyyy-mm-dd")</f>
        <v/>
      </c>
      <c r="C37579" t="inlineStr">
        <is>
          <t>2002-10-15</t>
        </is>
      </c>
    </row>
    <row r="37580">
      <c r="A37580" s="1" t="n">
        <v>37579</v>
      </c>
      <c r="B37580">
        <f>TEXT(37579, "[$-0E0000]yyyy-mm-dd")</f>
        <v/>
      </c>
      <c r="C37580" t="inlineStr">
        <is>
          <t>2002-10-16</t>
        </is>
      </c>
    </row>
    <row r="37581">
      <c r="A37581" s="1" t="n">
        <v>37580</v>
      </c>
      <c r="B37581">
        <f>TEXT(37580, "[$-0E0000]yyyy-mm-dd")</f>
        <v/>
      </c>
      <c r="C37581" t="inlineStr">
        <is>
          <t>2002-10-17</t>
        </is>
      </c>
    </row>
    <row r="37582">
      <c r="A37582" s="1" t="n">
        <v>37581</v>
      </c>
      <c r="B37582">
        <f>TEXT(37581, "[$-0E0000]yyyy-mm-dd")</f>
        <v/>
      </c>
      <c r="C37582" t="inlineStr">
        <is>
          <t>2002-10-18</t>
        </is>
      </c>
    </row>
    <row r="37583">
      <c r="A37583" s="1" t="n">
        <v>37582</v>
      </c>
      <c r="B37583">
        <f>TEXT(37582, "[$-0E0000]yyyy-mm-dd")</f>
        <v/>
      </c>
      <c r="C37583" t="inlineStr">
        <is>
          <t>2002-10-19</t>
        </is>
      </c>
    </row>
    <row r="37584">
      <c r="A37584" s="1" t="n">
        <v>37583</v>
      </c>
      <c r="B37584">
        <f>TEXT(37583, "[$-0E0000]yyyy-mm-dd")</f>
        <v/>
      </c>
      <c r="C37584" t="inlineStr">
        <is>
          <t>2002-10-20</t>
        </is>
      </c>
    </row>
    <row r="37585">
      <c r="A37585" s="1" t="n">
        <v>37584</v>
      </c>
      <c r="B37585">
        <f>TEXT(37584, "[$-0E0000]yyyy-mm-dd")</f>
        <v/>
      </c>
      <c r="C37585" t="inlineStr">
        <is>
          <t>2002-10-21</t>
        </is>
      </c>
    </row>
    <row r="37586">
      <c r="A37586" s="1" t="n">
        <v>37585</v>
      </c>
      <c r="B37586">
        <f>TEXT(37585, "[$-0E0000]yyyy-mm-dd")</f>
        <v/>
      </c>
      <c r="C37586" t="inlineStr">
        <is>
          <t>2002-10-22</t>
        </is>
      </c>
    </row>
    <row r="37587">
      <c r="A37587" s="1" t="n">
        <v>37586</v>
      </c>
      <c r="B37587">
        <f>TEXT(37586, "[$-0E0000]yyyy-mm-dd")</f>
        <v/>
      </c>
      <c r="C37587" t="inlineStr">
        <is>
          <t>2002-10-23</t>
        </is>
      </c>
    </row>
    <row r="37588">
      <c r="A37588" s="1" t="n">
        <v>37587</v>
      </c>
      <c r="B37588">
        <f>TEXT(37587, "[$-0E0000]yyyy-mm-dd")</f>
        <v/>
      </c>
      <c r="C37588" t="inlineStr">
        <is>
          <t>2002-10-24</t>
        </is>
      </c>
    </row>
    <row r="37589">
      <c r="A37589" s="1" t="n">
        <v>37588</v>
      </c>
      <c r="B37589">
        <f>TEXT(37588, "[$-0E0000]yyyy-mm-dd")</f>
        <v/>
      </c>
      <c r="C37589" t="inlineStr">
        <is>
          <t>2002-10-25</t>
        </is>
      </c>
    </row>
    <row r="37590">
      <c r="A37590" s="1" t="n">
        <v>37589</v>
      </c>
      <c r="B37590">
        <f>TEXT(37589, "[$-0E0000]yyyy-mm-dd")</f>
        <v/>
      </c>
      <c r="C37590" t="inlineStr">
        <is>
          <t>2002-10-26</t>
        </is>
      </c>
    </row>
    <row r="37591">
      <c r="A37591" s="1" t="n">
        <v>37590</v>
      </c>
      <c r="B37591">
        <f>TEXT(37590, "[$-0E0000]yyyy-mm-dd")</f>
        <v/>
      </c>
      <c r="C37591" t="inlineStr">
        <is>
          <t>2002-10-27</t>
        </is>
      </c>
    </row>
    <row r="37592">
      <c r="A37592" s="1" t="n">
        <v>37591</v>
      </c>
      <c r="B37592">
        <f>TEXT(37591, "[$-0E0000]yyyy-mm-dd")</f>
        <v/>
      </c>
      <c r="C37592" t="inlineStr">
        <is>
          <t>2002-10-28</t>
        </is>
      </c>
    </row>
    <row r="37593">
      <c r="A37593" s="1" t="n">
        <v>37592</v>
      </c>
      <c r="B37593">
        <f>TEXT(37592, "[$-0E0000]yyyy-mm-dd")</f>
        <v/>
      </c>
      <c r="C37593" t="inlineStr">
        <is>
          <t>2002-10-29</t>
        </is>
      </c>
    </row>
    <row r="37594">
      <c r="A37594" s="1" t="n">
        <v>37593</v>
      </c>
      <c r="B37594">
        <f>TEXT(37593, "[$-0E0000]yyyy-mm-dd")</f>
        <v/>
      </c>
      <c r="C37594" t="inlineStr">
        <is>
          <t>2002-11-01</t>
        </is>
      </c>
    </row>
    <row r="37595">
      <c r="A37595" s="1" t="n">
        <v>37594</v>
      </c>
      <c r="B37595">
        <f>TEXT(37594, "[$-0E0000]yyyy-mm-dd")</f>
        <v/>
      </c>
      <c r="C37595" t="inlineStr">
        <is>
          <t>2002-11-02</t>
        </is>
      </c>
    </row>
    <row r="37596">
      <c r="A37596" s="1" t="n">
        <v>37595</v>
      </c>
      <c r="B37596">
        <f>TEXT(37595, "[$-0E0000]yyyy-mm-dd")</f>
        <v/>
      </c>
      <c r="C37596" t="inlineStr">
        <is>
          <t>2002-11-03</t>
        </is>
      </c>
    </row>
    <row r="37597">
      <c r="A37597" s="1" t="n">
        <v>37596</v>
      </c>
      <c r="B37597">
        <f>TEXT(37596, "[$-0E0000]yyyy-mm-dd")</f>
        <v/>
      </c>
      <c r="C37597" t="inlineStr">
        <is>
          <t>2002-11-04</t>
        </is>
      </c>
    </row>
    <row r="37598">
      <c r="A37598" s="1" t="n">
        <v>37597</v>
      </c>
      <c r="B37598">
        <f>TEXT(37597, "[$-0E0000]yyyy-mm-dd")</f>
        <v/>
      </c>
      <c r="C37598" t="inlineStr">
        <is>
          <t>2002-11-05</t>
        </is>
      </c>
    </row>
    <row r="37599">
      <c r="A37599" s="1" t="n">
        <v>37598</v>
      </c>
      <c r="B37599">
        <f>TEXT(37598, "[$-0E0000]yyyy-mm-dd")</f>
        <v/>
      </c>
      <c r="C37599" t="inlineStr">
        <is>
          <t>2002-11-06</t>
        </is>
      </c>
    </row>
    <row r="37600">
      <c r="A37600" s="1" t="n">
        <v>37599</v>
      </c>
      <c r="B37600">
        <f>TEXT(37599, "[$-0E0000]yyyy-mm-dd")</f>
        <v/>
      </c>
      <c r="C37600" t="inlineStr">
        <is>
          <t>2002-11-07</t>
        </is>
      </c>
    </row>
    <row r="37601">
      <c r="A37601" s="1" t="n">
        <v>37600</v>
      </c>
      <c r="B37601">
        <f>TEXT(37600, "[$-0E0000]yyyy-mm-dd")</f>
        <v/>
      </c>
      <c r="C37601" t="inlineStr">
        <is>
          <t>2002-11-08</t>
        </is>
      </c>
    </row>
    <row r="37602">
      <c r="A37602" s="1" t="n">
        <v>37601</v>
      </c>
      <c r="B37602">
        <f>TEXT(37601, "[$-0E0000]yyyy-mm-dd")</f>
        <v/>
      </c>
      <c r="C37602" t="inlineStr">
        <is>
          <t>2002-11-09</t>
        </is>
      </c>
    </row>
    <row r="37603">
      <c r="A37603" s="1" t="n">
        <v>37602</v>
      </c>
      <c r="B37603">
        <f>TEXT(37602, "[$-0E0000]yyyy-mm-dd")</f>
        <v/>
      </c>
      <c r="C37603" t="inlineStr">
        <is>
          <t>2002-11-10</t>
        </is>
      </c>
    </row>
    <row r="37604">
      <c r="A37604" s="1" t="n">
        <v>37603</v>
      </c>
      <c r="B37604">
        <f>TEXT(37603, "[$-0E0000]yyyy-mm-dd")</f>
        <v/>
      </c>
      <c r="C37604" t="inlineStr">
        <is>
          <t>2002-11-11</t>
        </is>
      </c>
    </row>
    <row r="37605">
      <c r="A37605" s="1" t="n">
        <v>37604</v>
      </c>
      <c r="B37605">
        <f>TEXT(37604, "[$-0E0000]yyyy-mm-dd")</f>
        <v/>
      </c>
      <c r="C37605" t="inlineStr">
        <is>
          <t>2002-11-12</t>
        </is>
      </c>
    </row>
    <row r="37606">
      <c r="A37606" s="1" t="n">
        <v>37605</v>
      </c>
      <c r="B37606">
        <f>TEXT(37605, "[$-0E0000]yyyy-mm-dd")</f>
        <v/>
      </c>
      <c r="C37606" t="inlineStr">
        <is>
          <t>2002-11-13</t>
        </is>
      </c>
    </row>
    <row r="37607">
      <c r="A37607" s="1" t="n">
        <v>37606</v>
      </c>
      <c r="B37607">
        <f>TEXT(37606, "[$-0E0000]yyyy-mm-dd")</f>
        <v/>
      </c>
      <c r="C37607" t="inlineStr">
        <is>
          <t>2002-11-14</t>
        </is>
      </c>
    </row>
    <row r="37608">
      <c r="A37608" s="1" t="n">
        <v>37607</v>
      </c>
      <c r="B37608">
        <f>TEXT(37607, "[$-0E0000]yyyy-mm-dd")</f>
        <v/>
      </c>
      <c r="C37608" t="inlineStr">
        <is>
          <t>2002-11-15</t>
        </is>
      </c>
    </row>
    <row r="37609">
      <c r="A37609" s="1" t="n">
        <v>37608</v>
      </c>
      <c r="B37609">
        <f>TEXT(37608, "[$-0E0000]yyyy-mm-dd")</f>
        <v/>
      </c>
      <c r="C37609" t="inlineStr">
        <is>
          <t>2002-11-16</t>
        </is>
      </c>
    </row>
    <row r="37610">
      <c r="A37610" s="1" t="n">
        <v>37609</v>
      </c>
      <c r="B37610">
        <f>TEXT(37609, "[$-0E0000]yyyy-mm-dd")</f>
        <v/>
      </c>
      <c r="C37610" t="inlineStr">
        <is>
          <t>2002-11-17</t>
        </is>
      </c>
    </row>
    <row r="37611">
      <c r="A37611" s="1" t="n">
        <v>37610</v>
      </c>
      <c r="B37611">
        <f>TEXT(37610, "[$-0E0000]yyyy-mm-dd")</f>
        <v/>
      </c>
      <c r="C37611" t="inlineStr">
        <is>
          <t>2002-11-18</t>
        </is>
      </c>
    </row>
    <row r="37612">
      <c r="A37612" s="1" t="n">
        <v>37611</v>
      </c>
      <c r="B37612">
        <f>TEXT(37611, "[$-0E0000]yyyy-mm-dd")</f>
        <v/>
      </c>
      <c r="C37612" t="inlineStr">
        <is>
          <t>2002-11-19</t>
        </is>
      </c>
    </row>
    <row r="37613">
      <c r="A37613" s="1" t="n">
        <v>37612</v>
      </c>
      <c r="B37613">
        <f>TEXT(37612, "[$-0E0000]yyyy-mm-dd")</f>
        <v/>
      </c>
      <c r="C37613" t="inlineStr">
        <is>
          <t>2002-11-20</t>
        </is>
      </c>
    </row>
    <row r="37614">
      <c r="A37614" s="1" t="n">
        <v>37613</v>
      </c>
      <c r="B37614">
        <f>TEXT(37613, "[$-0E0000]yyyy-mm-dd")</f>
        <v/>
      </c>
      <c r="C37614" t="inlineStr">
        <is>
          <t>2002-11-21</t>
        </is>
      </c>
    </row>
    <row r="37615">
      <c r="A37615" s="1" t="n">
        <v>37614</v>
      </c>
      <c r="B37615">
        <f>TEXT(37614, "[$-0E0000]yyyy-mm-dd")</f>
        <v/>
      </c>
      <c r="C37615" t="inlineStr">
        <is>
          <t>2002-11-22</t>
        </is>
      </c>
    </row>
    <row r="37616">
      <c r="A37616" s="1" t="n">
        <v>37615</v>
      </c>
      <c r="B37616">
        <f>TEXT(37615, "[$-0E0000]yyyy-mm-dd")</f>
        <v/>
      </c>
      <c r="C37616" t="inlineStr">
        <is>
          <t>2002-11-23</t>
        </is>
      </c>
    </row>
    <row r="37617">
      <c r="A37617" s="1" t="n">
        <v>37616</v>
      </c>
      <c r="B37617">
        <f>TEXT(37616, "[$-0E0000]yyyy-mm-dd")</f>
        <v/>
      </c>
      <c r="C37617" t="inlineStr">
        <is>
          <t>2002-11-24</t>
        </is>
      </c>
    </row>
    <row r="37618">
      <c r="A37618" s="1" t="n">
        <v>37617</v>
      </c>
      <c r="B37618">
        <f>TEXT(37617, "[$-0E0000]yyyy-mm-dd")</f>
        <v/>
      </c>
      <c r="C37618" t="inlineStr">
        <is>
          <t>2002-11-25</t>
        </is>
      </c>
    </row>
    <row r="37619">
      <c r="A37619" s="1" t="n">
        <v>37618</v>
      </c>
      <c r="B37619">
        <f>TEXT(37618, "[$-0E0000]yyyy-mm-dd")</f>
        <v/>
      </c>
      <c r="C37619" t="inlineStr">
        <is>
          <t>2002-11-26</t>
        </is>
      </c>
    </row>
    <row r="37620">
      <c r="A37620" s="1" t="n">
        <v>37619</v>
      </c>
      <c r="B37620">
        <f>TEXT(37619, "[$-0E0000]yyyy-mm-dd")</f>
        <v/>
      </c>
      <c r="C37620" t="inlineStr">
        <is>
          <t>2002-11-27</t>
        </is>
      </c>
    </row>
    <row r="37621">
      <c r="A37621" s="1" t="n">
        <v>37620</v>
      </c>
      <c r="B37621">
        <f>TEXT(37620, "[$-0E0000]yyyy-mm-dd")</f>
        <v/>
      </c>
      <c r="C37621" t="inlineStr">
        <is>
          <t>2002-11-28</t>
        </is>
      </c>
    </row>
    <row r="37622">
      <c r="A37622" s="1" t="n">
        <v>37621</v>
      </c>
      <c r="B37622">
        <f>TEXT(37621, "[$-0E0000]yyyy-mm-dd")</f>
        <v/>
      </c>
      <c r="C37622" t="inlineStr">
        <is>
          <t>2002-11-29</t>
        </is>
      </c>
    </row>
    <row r="37623">
      <c r="A37623" s="1" t="n">
        <v>37622</v>
      </c>
      <c r="B37623">
        <f>TEXT(37622, "[$-0E0000]yyyy-mm-dd")</f>
        <v/>
      </c>
      <c r="C37623" t="inlineStr">
        <is>
          <t>2002-11-30</t>
        </is>
      </c>
    </row>
    <row r="37624">
      <c r="A37624" s="1" t="n">
        <v>37623</v>
      </c>
      <c r="B37624">
        <f>TEXT(37623, "[$-0E0000]yyyy-mm-dd")</f>
        <v/>
      </c>
      <c r="C37624" t="inlineStr">
        <is>
          <t>2002-12-01</t>
        </is>
      </c>
    </row>
    <row r="37625">
      <c r="A37625" s="1" t="n">
        <v>37624</v>
      </c>
      <c r="B37625">
        <f>TEXT(37624, "[$-0E0000]yyyy-mm-dd")</f>
        <v/>
      </c>
      <c r="C37625" t="inlineStr">
        <is>
          <t>2002-12-02</t>
        </is>
      </c>
    </row>
    <row r="37626">
      <c r="A37626" s="1" t="n">
        <v>37625</v>
      </c>
      <c r="B37626">
        <f>TEXT(37625, "[$-0E0000]yyyy-mm-dd")</f>
        <v/>
      </c>
      <c r="C37626" t="inlineStr">
        <is>
          <t>2002-12-03</t>
        </is>
      </c>
    </row>
    <row r="37627">
      <c r="A37627" s="1" t="n">
        <v>37626</v>
      </c>
      <c r="B37627">
        <f>TEXT(37626, "[$-0E0000]yyyy-mm-dd")</f>
        <v/>
      </c>
      <c r="C37627" t="inlineStr">
        <is>
          <t>2002-12-04</t>
        </is>
      </c>
    </row>
    <row r="37628">
      <c r="A37628" s="1" t="n">
        <v>37627</v>
      </c>
      <c r="B37628">
        <f>TEXT(37627, "[$-0E0000]yyyy-mm-dd")</f>
        <v/>
      </c>
      <c r="C37628" t="inlineStr">
        <is>
          <t>2002-12-05</t>
        </is>
      </c>
    </row>
    <row r="37629">
      <c r="A37629" s="1" t="n">
        <v>37628</v>
      </c>
      <c r="B37629">
        <f>TEXT(37628, "[$-0E0000]yyyy-mm-dd")</f>
        <v/>
      </c>
      <c r="C37629" t="inlineStr">
        <is>
          <t>2002-12-06</t>
        </is>
      </c>
    </row>
    <row r="37630">
      <c r="A37630" s="1" t="n">
        <v>37629</v>
      </c>
      <c r="B37630">
        <f>TEXT(37629, "[$-0E0000]yyyy-mm-dd")</f>
        <v/>
      </c>
      <c r="C37630" t="inlineStr">
        <is>
          <t>2002-12-07</t>
        </is>
      </c>
    </row>
    <row r="37631">
      <c r="A37631" s="1" t="n">
        <v>37630</v>
      </c>
      <c r="B37631">
        <f>TEXT(37630, "[$-0E0000]yyyy-mm-dd")</f>
        <v/>
      </c>
      <c r="C37631" t="inlineStr">
        <is>
          <t>2002-12-08</t>
        </is>
      </c>
    </row>
    <row r="37632">
      <c r="A37632" s="1" t="n">
        <v>37631</v>
      </c>
      <c r="B37632">
        <f>TEXT(37631, "[$-0E0000]yyyy-mm-dd")</f>
        <v/>
      </c>
      <c r="C37632" t="inlineStr">
        <is>
          <t>2002-12-09</t>
        </is>
      </c>
    </row>
    <row r="37633">
      <c r="A37633" s="1" t="n">
        <v>37632</v>
      </c>
      <c r="B37633">
        <f>TEXT(37632, "[$-0E0000]yyyy-mm-dd")</f>
        <v/>
      </c>
      <c r="C37633" t="inlineStr">
        <is>
          <t>2002-12-10</t>
        </is>
      </c>
    </row>
    <row r="37634">
      <c r="A37634" s="1" t="n">
        <v>37633</v>
      </c>
      <c r="B37634">
        <f>TEXT(37633, "[$-0E0000]yyyy-mm-dd")</f>
        <v/>
      </c>
      <c r="C37634" t="inlineStr">
        <is>
          <t>2002-12-11</t>
        </is>
      </c>
    </row>
    <row r="37635">
      <c r="A37635" s="1" t="n">
        <v>37634</v>
      </c>
      <c r="B37635">
        <f>TEXT(37634, "[$-0E0000]yyyy-mm-dd")</f>
        <v/>
      </c>
      <c r="C37635" t="inlineStr">
        <is>
          <t>2002-12-12</t>
        </is>
      </c>
    </row>
    <row r="37636">
      <c r="A37636" s="1" t="n">
        <v>37635</v>
      </c>
      <c r="B37636">
        <f>TEXT(37635, "[$-0E0000]yyyy-mm-dd")</f>
        <v/>
      </c>
      <c r="C37636" t="inlineStr">
        <is>
          <t>2002-12-13</t>
        </is>
      </c>
    </row>
    <row r="37637">
      <c r="A37637" s="1" t="n">
        <v>37636</v>
      </c>
      <c r="B37637">
        <f>TEXT(37636, "[$-0E0000]yyyy-mm-dd")</f>
        <v/>
      </c>
      <c r="C37637" t="inlineStr">
        <is>
          <t>2002-12-14</t>
        </is>
      </c>
    </row>
    <row r="37638">
      <c r="A37638" s="1" t="n">
        <v>37637</v>
      </c>
      <c r="B37638">
        <f>TEXT(37637, "[$-0E0000]yyyy-mm-dd")</f>
        <v/>
      </c>
      <c r="C37638" t="inlineStr">
        <is>
          <t>2002-12-15</t>
        </is>
      </c>
    </row>
    <row r="37639">
      <c r="A37639" s="1" t="n">
        <v>37638</v>
      </c>
      <c r="B37639">
        <f>TEXT(37638, "[$-0E0000]yyyy-mm-dd")</f>
        <v/>
      </c>
      <c r="C37639" t="inlineStr">
        <is>
          <t>2002-12-16</t>
        </is>
      </c>
    </row>
    <row r="37640">
      <c r="A37640" s="1" t="n">
        <v>37639</v>
      </c>
      <c r="B37640">
        <f>TEXT(37639, "[$-0E0000]yyyy-mm-dd")</f>
        <v/>
      </c>
      <c r="C37640" t="inlineStr">
        <is>
          <t>2002-12-17</t>
        </is>
      </c>
    </row>
    <row r="37641">
      <c r="A37641" s="1" t="n">
        <v>37640</v>
      </c>
      <c r="B37641">
        <f>TEXT(37640, "[$-0E0000]yyyy-mm-dd")</f>
        <v/>
      </c>
      <c r="C37641" t="inlineStr">
        <is>
          <t>2002-12-18</t>
        </is>
      </c>
    </row>
    <row r="37642">
      <c r="A37642" s="1" t="n">
        <v>37641</v>
      </c>
      <c r="B37642">
        <f>TEXT(37641, "[$-0E0000]yyyy-mm-dd")</f>
        <v/>
      </c>
      <c r="C37642" t="inlineStr">
        <is>
          <t>2002-12-19</t>
        </is>
      </c>
    </row>
    <row r="37643">
      <c r="A37643" s="1" t="n">
        <v>37642</v>
      </c>
      <c r="B37643">
        <f>TEXT(37642, "[$-0E0000]yyyy-mm-dd")</f>
        <v/>
      </c>
      <c r="C37643" t="inlineStr">
        <is>
          <t>2002-12-20</t>
        </is>
      </c>
    </row>
    <row r="37644">
      <c r="A37644" s="1" t="n">
        <v>37643</v>
      </c>
      <c r="B37644">
        <f>TEXT(37643, "[$-0E0000]yyyy-mm-dd")</f>
        <v/>
      </c>
      <c r="C37644" t="inlineStr">
        <is>
          <t>2002-12-21</t>
        </is>
      </c>
    </row>
    <row r="37645">
      <c r="A37645" s="1" t="n">
        <v>37644</v>
      </c>
      <c r="B37645">
        <f>TEXT(37644, "[$-0E0000]yyyy-mm-dd")</f>
        <v/>
      </c>
      <c r="C37645" t="inlineStr">
        <is>
          <t>2002-12-22</t>
        </is>
      </c>
    </row>
    <row r="37646">
      <c r="A37646" s="1" t="n">
        <v>37645</v>
      </c>
      <c r="B37646">
        <f>TEXT(37645, "[$-0E0000]yyyy-mm-dd")</f>
        <v/>
      </c>
      <c r="C37646" t="inlineStr">
        <is>
          <t>2002-12-23</t>
        </is>
      </c>
    </row>
    <row r="37647">
      <c r="A37647" s="1" t="n">
        <v>37646</v>
      </c>
      <c r="B37647">
        <f>TEXT(37646, "[$-0E0000]yyyy-mm-dd")</f>
        <v/>
      </c>
      <c r="C37647" t="inlineStr">
        <is>
          <t>2002-12-24</t>
        </is>
      </c>
    </row>
    <row r="37648">
      <c r="A37648" s="1" t="n">
        <v>37647</v>
      </c>
      <c r="B37648">
        <f>TEXT(37647, "[$-0E0000]yyyy-mm-dd")</f>
        <v/>
      </c>
      <c r="C37648" t="inlineStr">
        <is>
          <t>2002-12-25</t>
        </is>
      </c>
    </row>
    <row r="37649">
      <c r="A37649" s="1" t="n">
        <v>37648</v>
      </c>
      <c r="B37649">
        <f>TEXT(37648, "[$-0E0000]yyyy-mm-dd")</f>
        <v/>
      </c>
      <c r="C37649" t="inlineStr">
        <is>
          <t>2002-12-26</t>
        </is>
      </c>
    </row>
    <row r="37650">
      <c r="A37650" s="1" t="n">
        <v>37649</v>
      </c>
      <c r="B37650">
        <f>TEXT(37649, "[$-0E0000]yyyy-mm-dd")</f>
        <v/>
      </c>
      <c r="C37650" t="inlineStr">
        <is>
          <t>2002-12-27</t>
        </is>
      </c>
    </row>
    <row r="37651">
      <c r="A37651" s="1" t="n">
        <v>37650</v>
      </c>
      <c r="B37651">
        <f>TEXT(37650, "[$-0E0000]yyyy-mm-dd")</f>
        <v/>
      </c>
      <c r="C37651" t="inlineStr">
        <is>
          <t>2002-12-28</t>
        </is>
      </c>
    </row>
    <row r="37652">
      <c r="A37652" s="1" t="n">
        <v>37651</v>
      </c>
      <c r="B37652">
        <f>TEXT(37651, "[$-0E0000]yyyy-mm-dd")</f>
        <v/>
      </c>
      <c r="C37652" t="inlineStr">
        <is>
          <t>2002-12-29</t>
        </is>
      </c>
    </row>
    <row r="37653">
      <c r="A37653" s="1" t="n">
        <v>37652</v>
      </c>
      <c r="B37653">
        <f>TEXT(37652, "[$-0E0000]yyyy-mm-dd")</f>
        <v/>
      </c>
      <c r="C37653" t="inlineStr">
        <is>
          <t>2003-01-01</t>
        </is>
      </c>
    </row>
    <row r="37654">
      <c r="A37654" s="1" t="n">
        <v>37653</v>
      </c>
      <c r="B37654">
        <f>TEXT(37653, "[$-0E0000]yyyy-mm-dd")</f>
        <v/>
      </c>
      <c r="C37654" t="inlineStr">
        <is>
          <t>2003-01-02</t>
        </is>
      </c>
    </row>
    <row r="37655">
      <c r="A37655" s="1" t="n">
        <v>37654</v>
      </c>
      <c r="B37655">
        <f>TEXT(37654, "[$-0E0000]yyyy-mm-dd")</f>
        <v/>
      </c>
      <c r="C37655" t="inlineStr">
        <is>
          <t>2003-01-03</t>
        </is>
      </c>
    </row>
    <row r="37656">
      <c r="A37656" s="1" t="n">
        <v>37655</v>
      </c>
      <c r="B37656">
        <f>TEXT(37655, "[$-0E0000]yyyy-mm-dd")</f>
        <v/>
      </c>
      <c r="C37656" t="inlineStr">
        <is>
          <t>2003-01-04</t>
        </is>
      </c>
    </row>
    <row r="37657">
      <c r="A37657" s="1" t="n">
        <v>37656</v>
      </c>
      <c r="B37657">
        <f>TEXT(37656, "[$-0E0000]yyyy-mm-dd")</f>
        <v/>
      </c>
      <c r="C37657" t="inlineStr">
        <is>
          <t>2003-01-05</t>
        </is>
      </c>
    </row>
    <row r="37658">
      <c r="A37658" s="1" t="n">
        <v>37657</v>
      </c>
      <c r="B37658">
        <f>TEXT(37657, "[$-0E0000]yyyy-mm-dd")</f>
        <v/>
      </c>
      <c r="C37658" t="inlineStr">
        <is>
          <t>2003-01-06</t>
        </is>
      </c>
    </row>
    <row r="37659">
      <c r="A37659" s="1" t="n">
        <v>37658</v>
      </c>
      <c r="B37659">
        <f>TEXT(37658, "[$-0E0000]yyyy-mm-dd")</f>
        <v/>
      </c>
      <c r="C37659" t="inlineStr">
        <is>
          <t>2003-01-07</t>
        </is>
      </c>
    </row>
    <row r="37660">
      <c r="A37660" s="1" t="n">
        <v>37659</v>
      </c>
      <c r="B37660">
        <f>TEXT(37659, "[$-0E0000]yyyy-mm-dd")</f>
        <v/>
      </c>
      <c r="C37660" t="inlineStr">
        <is>
          <t>2003-01-08</t>
        </is>
      </c>
    </row>
    <row r="37661">
      <c r="A37661" s="1" t="n">
        <v>37660</v>
      </c>
      <c r="B37661">
        <f>TEXT(37660, "[$-0E0000]yyyy-mm-dd")</f>
        <v/>
      </c>
      <c r="C37661" t="inlineStr">
        <is>
          <t>2003-01-09</t>
        </is>
      </c>
    </row>
    <row r="37662">
      <c r="A37662" s="1" t="n">
        <v>37661</v>
      </c>
      <c r="B37662">
        <f>TEXT(37661, "[$-0E0000]yyyy-mm-dd")</f>
        <v/>
      </c>
      <c r="C37662" t="inlineStr">
        <is>
          <t>2003-01-10</t>
        </is>
      </c>
    </row>
    <row r="37663">
      <c r="A37663" s="1" t="n">
        <v>37662</v>
      </c>
      <c r="B37663">
        <f>TEXT(37662, "[$-0E0000]yyyy-mm-dd")</f>
        <v/>
      </c>
      <c r="C37663" t="inlineStr">
        <is>
          <t>2003-01-11</t>
        </is>
      </c>
    </row>
    <row r="37664">
      <c r="A37664" s="1" t="n">
        <v>37663</v>
      </c>
      <c r="B37664">
        <f>TEXT(37663, "[$-0E0000]yyyy-mm-dd")</f>
        <v/>
      </c>
      <c r="C37664" t="inlineStr">
        <is>
          <t>2003-01-12</t>
        </is>
      </c>
    </row>
    <row r="37665">
      <c r="A37665" s="1" t="n">
        <v>37664</v>
      </c>
      <c r="B37665">
        <f>TEXT(37664, "[$-0E0000]yyyy-mm-dd")</f>
        <v/>
      </c>
      <c r="C37665" t="inlineStr">
        <is>
          <t>2003-01-13</t>
        </is>
      </c>
    </row>
    <row r="37666">
      <c r="A37666" s="1" t="n">
        <v>37665</v>
      </c>
      <c r="B37666">
        <f>TEXT(37665, "[$-0E0000]yyyy-mm-dd")</f>
        <v/>
      </c>
      <c r="C37666" t="inlineStr">
        <is>
          <t>2003-01-14</t>
        </is>
      </c>
    </row>
    <row r="37667">
      <c r="A37667" s="1" t="n">
        <v>37666</v>
      </c>
      <c r="B37667">
        <f>TEXT(37666, "[$-0E0000]yyyy-mm-dd")</f>
        <v/>
      </c>
      <c r="C37667" t="inlineStr">
        <is>
          <t>2003-01-15</t>
        </is>
      </c>
    </row>
    <row r="37668">
      <c r="A37668" s="1" t="n">
        <v>37667</v>
      </c>
      <c r="B37668">
        <f>TEXT(37667, "[$-0E0000]yyyy-mm-dd")</f>
        <v/>
      </c>
      <c r="C37668" t="inlineStr">
        <is>
          <t>2003-01-16</t>
        </is>
      </c>
    </row>
    <row r="37669">
      <c r="A37669" s="1" t="n">
        <v>37668</v>
      </c>
      <c r="B37669">
        <f>TEXT(37668, "[$-0E0000]yyyy-mm-dd")</f>
        <v/>
      </c>
      <c r="C37669" t="inlineStr">
        <is>
          <t>2003-01-17</t>
        </is>
      </c>
    </row>
    <row r="37670">
      <c r="A37670" s="1" t="n">
        <v>37669</v>
      </c>
      <c r="B37670">
        <f>TEXT(37669, "[$-0E0000]yyyy-mm-dd")</f>
        <v/>
      </c>
      <c r="C37670" t="inlineStr">
        <is>
          <t>2003-01-18</t>
        </is>
      </c>
    </row>
    <row r="37671">
      <c r="A37671" s="1" t="n">
        <v>37670</v>
      </c>
      <c r="B37671">
        <f>TEXT(37670, "[$-0E0000]yyyy-mm-dd")</f>
        <v/>
      </c>
      <c r="C37671" t="inlineStr">
        <is>
          <t>2003-01-19</t>
        </is>
      </c>
    </row>
    <row r="37672">
      <c r="A37672" s="1" t="n">
        <v>37671</v>
      </c>
      <c r="B37672">
        <f>TEXT(37671, "[$-0E0000]yyyy-mm-dd")</f>
        <v/>
      </c>
      <c r="C37672" t="inlineStr">
        <is>
          <t>2003-01-20</t>
        </is>
      </c>
    </row>
    <row r="37673">
      <c r="A37673" s="1" t="n">
        <v>37672</v>
      </c>
      <c r="B37673">
        <f>TEXT(37672, "[$-0E0000]yyyy-mm-dd")</f>
        <v/>
      </c>
      <c r="C37673" t="inlineStr">
        <is>
          <t>2003-01-21</t>
        </is>
      </c>
    </row>
    <row r="37674">
      <c r="A37674" s="1" t="n">
        <v>37673</v>
      </c>
      <c r="B37674">
        <f>TEXT(37673, "[$-0E0000]yyyy-mm-dd")</f>
        <v/>
      </c>
      <c r="C37674" t="inlineStr">
        <is>
          <t>2003-01-22</t>
        </is>
      </c>
    </row>
    <row r="37675">
      <c r="A37675" s="1" t="n">
        <v>37674</v>
      </c>
      <c r="B37675">
        <f>TEXT(37674, "[$-0E0000]yyyy-mm-dd")</f>
        <v/>
      </c>
      <c r="C37675" t="inlineStr">
        <is>
          <t>2003-01-23</t>
        </is>
      </c>
    </row>
    <row r="37676">
      <c r="A37676" s="1" t="n">
        <v>37675</v>
      </c>
      <c r="B37676">
        <f>TEXT(37675, "[$-0E0000]yyyy-mm-dd")</f>
        <v/>
      </c>
      <c r="C37676" t="inlineStr">
        <is>
          <t>2003-01-24</t>
        </is>
      </c>
    </row>
    <row r="37677">
      <c r="A37677" s="1" t="n">
        <v>37676</v>
      </c>
      <c r="B37677">
        <f>TEXT(37676, "[$-0E0000]yyyy-mm-dd")</f>
        <v/>
      </c>
      <c r="C37677" t="inlineStr">
        <is>
          <t>2003-01-25</t>
        </is>
      </c>
    </row>
    <row r="37678">
      <c r="A37678" s="1" t="n">
        <v>37677</v>
      </c>
      <c r="B37678">
        <f>TEXT(37677, "[$-0E0000]yyyy-mm-dd")</f>
        <v/>
      </c>
      <c r="C37678" t="inlineStr">
        <is>
          <t>2003-01-26</t>
        </is>
      </c>
    </row>
    <row r="37679">
      <c r="A37679" s="1" t="n">
        <v>37678</v>
      </c>
      <c r="B37679">
        <f>TEXT(37678, "[$-0E0000]yyyy-mm-dd")</f>
        <v/>
      </c>
      <c r="C37679" t="inlineStr">
        <is>
          <t>2003-01-27</t>
        </is>
      </c>
    </row>
    <row r="37680">
      <c r="A37680" s="1" t="n">
        <v>37679</v>
      </c>
      <c r="B37680">
        <f>TEXT(37679, "[$-0E0000]yyyy-mm-dd")</f>
        <v/>
      </c>
      <c r="C37680" t="inlineStr">
        <is>
          <t>2003-01-28</t>
        </is>
      </c>
    </row>
    <row r="37681">
      <c r="A37681" s="1" t="n">
        <v>37680</v>
      </c>
      <c r="B37681">
        <f>TEXT(37680, "[$-0E0000]yyyy-mm-dd")</f>
        <v/>
      </c>
      <c r="C37681" t="inlineStr">
        <is>
          <t>2003-01-29</t>
        </is>
      </c>
    </row>
    <row r="37682">
      <c r="A37682" s="1" t="n">
        <v>37681</v>
      </c>
      <c r="B37682">
        <f>TEXT(37681, "[$-0E0000]yyyy-mm-dd")</f>
        <v/>
      </c>
      <c r="C37682" t="inlineStr">
        <is>
          <t>2003-01-30</t>
        </is>
      </c>
    </row>
    <row r="37683">
      <c r="A37683" s="1" t="n">
        <v>37682</v>
      </c>
      <c r="B37683">
        <f>TEXT(37682, "[$-0E0000]yyyy-mm-dd")</f>
        <v/>
      </c>
      <c r="C37683" t="inlineStr">
        <is>
          <t>2003-02-01</t>
        </is>
      </c>
    </row>
    <row r="37684">
      <c r="A37684" s="1" t="n">
        <v>37683</v>
      </c>
      <c r="B37684">
        <f>TEXT(37683, "[$-0E0000]yyyy-mm-dd")</f>
        <v/>
      </c>
      <c r="C37684" t="inlineStr">
        <is>
          <t>2003-02-02</t>
        </is>
      </c>
    </row>
    <row r="37685">
      <c r="A37685" s="1" t="n">
        <v>37684</v>
      </c>
      <c r="B37685">
        <f>TEXT(37684, "[$-0E0000]yyyy-mm-dd")</f>
        <v/>
      </c>
      <c r="C37685" t="inlineStr">
        <is>
          <t>2003-02-03</t>
        </is>
      </c>
    </row>
    <row r="37686">
      <c r="A37686" s="1" t="n">
        <v>37685</v>
      </c>
      <c r="B37686">
        <f>TEXT(37685, "[$-0E0000]yyyy-mm-dd")</f>
        <v/>
      </c>
      <c r="C37686" t="inlineStr">
        <is>
          <t>2003-02-04</t>
        </is>
      </c>
    </row>
    <row r="37687">
      <c r="A37687" s="1" t="n">
        <v>37686</v>
      </c>
      <c r="B37687">
        <f>TEXT(37686, "[$-0E0000]yyyy-mm-dd")</f>
        <v/>
      </c>
      <c r="C37687" t="inlineStr">
        <is>
          <t>2003-02-05</t>
        </is>
      </c>
    </row>
    <row r="37688">
      <c r="A37688" s="1" t="n">
        <v>37687</v>
      </c>
      <c r="B37688">
        <f>TEXT(37687, "[$-0E0000]yyyy-mm-dd")</f>
        <v/>
      </c>
      <c r="C37688" t="inlineStr">
        <is>
          <t>2003-02-06</t>
        </is>
      </c>
    </row>
    <row r="37689">
      <c r="A37689" s="1" t="n">
        <v>37688</v>
      </c>
      <c r="B37689">
        <f>TEXT(37688, "[$-0E0000]yyyy-mm-dd")</f>
        <v/>
      </c>
      <c r="C37689" t="inlineStr">
        <is>
          <t>2003-02-07</t>
        </is>
      </c>
    </row>
    <row r="37690">
      <c r="A37690" s="1" t="n">
        <v>37689</v>
      </c>
      <c r="B37690">
        <f>TEXT(37689, "[$-0E0000]yyyy-mm-dd")</f>
        <v/>
      </c>
      <c r="C37690" t="inlineStr">
        <is>
          <t>2003-02-08</t>
        </is>
      </c>
    </row>
    <row r="37691">
      <c r="A37691" s="1" t="n">
        <v>37690</v>
      </c>
      <c r="B37691">
        <f>TEXT(37690, "[$-0E0000]yyyy-mm-dd")</f>
        <v/>
      </c>
      <c r="C37691" t="inlineStr">
        <is>
          <t>2003-02-09</t>
        </is>
      </c>
    </row>
    <row r="37692">
      <c r="A37692" s="1" t="n">
        <v>37691</v>
      </c>
      <c r="B37692">
        <f>TEXT(37691, "[$-0E0000]yyyy-mm-dd")</f>
        <v/>
      </c>
      <c r="C37692" t="inlineStr">
        <is>
          <t>2003-02-10</t>
        </is>
      </c>
    </row>
    <row r="37693">
      <c r="A37693" s="1" t="n">
        <v>37692</v>
      </c>
      <c r="B37693">
        <f>TEXT(37692, "[$-0E0000]yyyy-mm-dd")</f>
        <v/>
      </c>
      <c r="C37693" t="inlineStr">
        <is>
          <t>2003-02-11</t>
        </is>
      </c>
    </row>
    <row r="37694">
      <c r="A37694" s="1" t="n">
        <v>37693</v>
      </c>
      <c r="B37694">
        <f>TEXT(37693, "[$-0E0000]yyyy-mm-dd")</f>
        <v/>
      </c>
      <c r="C37694" t="inlineStr">
        <is>
          <t>2003-02-12</t>
        </is>
      </c>
    </row>
    <row r="37695">
      <c r="A37695" s="1" t="n">
        <v>37694</v>
      </c>
      <c r="B37695">
        <f>TEXT(37694, "[$-0E0000]yyyy-mm-dd")</f>
        <v/>
      </c>
      <c r="C37695" t="inlineStr">
        <is>
          <t>2003-02-13</t>
        </is>
      </c>
    </row>
    <row r="37696">
      <c r="A37696" s="1" t="n">
        <v>37695</v>
      </c>
      <c r="B37696">
        <f>TEXT(37695, "[$-0E0000]yyyy-mm-dd")</f>
        <v/>
      </c>
      <c r="C37696" t="inlineStr">
        <is>
          <t>2003-02-14</t>
        </is>
      </c>
    </row>
    <row r="37697">
      <c r="A37697" s="1" t="n">
        <v>37696</v>
      </c>
      <c r="B37697">
        <f>TEXT(37696, "[$-0E0000]yyyy-mm-dd")</f>
        <v/>
      </c>
      <c r="C37697" t="inlineStr">
        <is>
          <t>2003-02-15</t>
        </is>
      </c>
    </row>
    <row r="37698">
      <c r="A37698" s="1" t="n">
        <v>37697</v>
      </c>
      <c r="B37698">
        <f>TEXT(37697, "[$-0E0000]yyyy-mm-dd")</f>
        <v/>
      </c>
      <c r="C37698" t="inlineStr">
        <is>
          <t>2003-02-16</t>
        </is>
      </c>
    </row>
    <row r="37699">
      <c r="A37699" s="1" t="n">
        <v>37698</v>
      </c>
      <c r="B37699">
        <f>TEXT(37698, "[$-0E0000]yyyy-mm-dd")</f>
        <v/>
      </c>
      <c r="C37699" t="inlineStr">
        <is>
          <t>2003-02-17</t>
        </is>
      </c>
    </row>
    <row r="37700">
      <c r="A37700" s="1" t="n">
        <v>37699</v>
      </c>
      <c r="B37700">
        <f>TEXT(37699, "[$-0E0000]yyyy-mm-dd")</f>
        <v/>
      </c>
      <c r="C37700" t="inlineStr">
        <is>
          <t>2003-02-18</t>
        </is>
      </c>
    </row>
    <row r="37701">
      <c r="A37701" s="1" t="n">
        <v>37700</v>
      </c>
      <c r="B37701">
        <f>TEXT(37700, "[$-0E0000]yyyy-mm-dd")</f>
        <v/>
      </c>
      <c r="C37701" t="inlineStr">
        <is>
          <t>2003-02-19</t>
        </is>
      </c>
    </row>
    <row r="37702">
      <c r="A37702" s="1" t="n">
        <v>37701</v>
      </c>
      <c r="B37702">
        <f>TEXT(37701, "[$-0E0000]yyyy-mm-dd")</f>
        <v/>
      </c>
      <c r="C37702" t="inlineStr">
        <is>
          <t>2003-02-20</t>
        </is>
      </c>
    </row>
    <row r="37703">
      <c r="A37703" s="1" t="n">
        <v>37702</v>
      </c>
      <c r="B37703">
        <f>TEXT(37702, "[$-0E0000]yyyy-mm-dd")</f>
        <v/>
      </c>
      <c r="C37703" t="inlineStr">
        <is>
          <t>2003-02-21</t>
        </is>
      </c>
    </row>
    <row r="37704">
      <c r="A37704" s="1" t="n">
        <v>37703</v>
      </c>
      <c r="B37704">
        <f>TEXT(37703, "[$-0E0000]yyyy-mm-dd")</f>
        <v/>
      </c>
      <c r="C37704" t="inlineStr">
        <is>
          <t>2003-02-22</t>
        </is>
      </c>
    </row>
    <row r="37705">
      <c r="A37705" s="1" t="n">
        <v>37704</v>
      </c>
      <c r="B37705">
        <f>TEXT(37704, "[$-0E0000]yyyy-mm-dd")</f>
        <v/>
      </c>
      <c r="C37705" t="inlineStr">
        <is>
          <t>2003-02-23</t>
        </is>
      </c>
    </row>
    <row r="37706">
      <c r="A37706" s="1" t="n">
        <v>37705</v>
      </c>
      <c r="B37706">
        <f>TEXT(37705, "[$-0E0000]yyyy-mm-dd")</f>
        <v/>
      </c>
      <c r="C37706" t="inlineStr">
        <is>
          <t>2003-02-24</t>
        </is>
      </c>
    </row>
    <row r="37707">
      <c r="A37707" s="1" t="n">
        <v>37706</v>
      </c>
      <c r="B37707">
        <f>TEXT(37706, "[$-0E0000]yyyy-mm-dd")</f>
        <v/>
      </c>
      <c r="C37707" t="inlineStr">
        <is>
          <t>2003-02-25</t>
        </is>
      </c>
    </row>
    <row r="37708">
      <c r="A37708" s="1" t="n">
        <v>37707</v>
      </c>
      <c r="B37708">
        <f>TEXT(37707, "[$-0E0000]yyyy-mm-dd")</f>
        <v/>
      </c>
      <c r="C37708" t="inlineStr">
        <is>
          <t>2003-02-26</t>
        </is>
      </c>
    </row>
    <row r="37709">
      <c r="A37709" s="1" t="n">
        <v>37708</v>
      </c>
      <c r="B37709">
        <f>TEXT(37708, "[$-0E0000]yyyy-mm-dd")</f>
        <v/>
      </c>
      <c r="C37709" t="inlineStr">
        <is>
          <t>2003-02-27</t>
        </is>
      </c>
    </row>
    <row r="37710">
      <c r="A37710" s="1" t="n">
        <v>37709</v>
      </c>
      <c r="B37710">
        <f>TEXT(37709, "[$-0E0000]yyyy-mm-dd")</f>
        <v/>
      </c>
      <c r="C37710" t="inlineStr">
        <is>
          <t>2003-02-28</t>
        </is>
      </c>
    </row>
    <row r="37711">
      <c r="A37711" s="1" t="n">
        <v>37710</v>
      </c>
      <c r="B37711">
        <f>TEXT(37710, "[$-0E0000]yyyy-mm-dd")</f>
        <v/>
      </c>
      <c r="C37711" t="inlineStr">
        <is>
          <t>2003-02-29</t>
        </is>
      </c>
    </row>
    <row r="37712">
      <c r="A37712" s="1" t="n">
        <v>37711</v>
      </c>
      <c r="B37712">
        <f>TEXT(37711, "[$-0E0000]yyyy-mm-dd")</f>
        <v/>
      </c>
      <c r="C37712" t="inlineStr">
        <is>
          <t>2003-02-30</t>
        </is>
      </c>
    </row>
    <row r="37713">
      <c r="A37713" s="1" t="n">
        <v>37712</v>
      </c>
      <c r="B37713">
        <f>TEXT(37712, "[$-0E0000]yyyy-mm-dd")</f>
        <v/>
      </c>
      <c r="C37713" t="inlineStr">
        <is>
          <t>2003-03-01</t>
        </is>
      </c>
    </row>
    <row r="37714">
      <c r="A37714" s="1" t="n">
        <v>37713</v>
      </c>
      <c r="B37714">
        <f>TEXT(37713, "[$-0E0000]yyyy-mm-dd")</f>
        <v/>
      </c>
      <c r="C37714" t="inlineStr">
        <is>
          <t>2003-03-02</t>
        </is>
      </c>
    </row>
    <row r="37715">
      <c r="A37715" s="1" t="n">
        <v>37714</v>
      </c>
      <c r="B37715">
        <f>TEXT(37714, "[$-0E0000]yyyy-mm-dd")</f>
        <v/>
      </c>
      <c r="C37715" t="inlineStr">
        <is>
          <t>2003-03-03</t>
        </is>
      </c>
    </row>
    <row r="37716">
      <c r="A37716" s="1" t="n">
        <v>37715</v>
      </c>
      <c r="B37716">
        <f>TEXT(37715, "[$-0E0000]yyyy-mm-dd")</f>
        <v/>
      </c>
      <c r="C37716" t="inlineStr">
        <is>
          <t>2003-03-04</t>
        </is>
      </c>
    </row>
    <row r="37717">
      <c r="A37717" s="1" t="n">
        <v>37716</v>
      </c>
      <c r="B37717">
        <f>TEXT(37716, "[$-0E0000]yyyy-mm-dd")</f>
        <v/>
      </c>
      <c r="C37717" t="inlineStr">
        <is>
          <t>2003-03-05</t>
        </is>
      </c>
    </row>
    <row r="37718">
      <c r="A37718" s="1" t="n">
        <v>37717</v>
      </c>
      <c r="B37718">
        <f>TEXT(37717, "[$-0E0000]yyyy-mm-dd")</f>
        <v/>
      </c>
      <c r="C37718" t="inlineStr">
        <is>
          <t>2003-03-06</t>
        </is>
      </c>
    </row>
    <row r="37719">
      <c r="A37719" s="1" t="n">
        <v>37718</v>
      </c>
      <c r="B37719">
        <f>TEXT(37718, "[$-0E0000]yyyy-mm-dd")</f>
        <v/>
      </c>
      <c r="C37719" t="inlineStr">
        <is>
          <t>2003-03-07</t>
        </is>
      </c>
    </row>
    <row r="37720">
      <c r="A37720" s="1" t="n">
        <v>37719</v>
      </c>
      <c r="B37720">
        <f>TEXT(37719, "[$-0E0000]yyyy-mm-dd")</f>
        <v/>
      </c>
      <c r="C37720" t="inlineStr">
        <is>
          <t>2003-03-08</t>
        </is>
      </c>
    </row>
    <row r="37721">
      <c r="A37721" s="1" t="n">
        <v>37720</v>
      </c>
      <c r="B37721">
        <f>TEXT(37720, "[$-0E0000]yyyy-mm-dd")</f>
        <v/>
      </c>
      <c r="C37721" t="inlineStr">
        <is>
          <t>2003-03-09</t>
        </is>
      </c>
    </row>
    <row r="37722">
      <c r="A37722" s="1" t="n">
        <v>37721</v>
      </c>
      <c r="B37722">
        <f>TEXT(37721, "[$-0E0000]yyyy-mm-dd")</f>
        <v/>
      </c>
      <c r="C37722" t="inlineStr">
        <is>
          <t>2003-03-10</t>
        </is>
      </c>
    </row>
    <row r="37723">
      <c r="A37723" s="1" t="n">
        <v>37722</v>
      </c>
      <c r="B37723">
        <f>TEXT(37722, "[$-0E0000]yyyy-mm-dd")</f>
        <v/>
      </c>
      <c r="C37723" t="inlineStr">
        <is>
          <t>2003-03-11</t>
        </is>
      </c>
    </row>
    <row r="37724">
      <c r="A37724" s="1" t="n">
        <v>37723</v>
      </c>
      <c r="B37724">
        <f>TEXT(37723, "[$-0E0000]yyyy-mm-dd")</f>
        <v/>
      </c>
      <c r="C37724" t="inlineStr">
        <is>
          <t>2003-03-12</t>
        </is>
      </c>
    </row>
    <row r="37725">
      <c r="A37725" s="1" t="n">
        <v>37724</v>
      </c>
      <c r="B37725">
        <f>TEXT(37724, "[$-0E0000]yyyy-mm-dd")</f>
        <v/>
      </c>
      <c r="C37725" t="inlineStr">
        <is>
          <t>2003-03-13</t>
        </is>
      </c>
    </row>
    <row r="37726">
      <c r="A37726" s="1" t="n">
        <v>37725</v>
      </c>
      <c r="B37726">
        <f>TEXT(37725, "[$-0E0000]yyyy-mm-dd")</f>
        <v/>
      </c>
      <c r="C37726" t="inlineStr">
        <is>
          <t>2003-03-14</t>
        </is>
      </c>
    </row>
    <row r="37727">
      <c r="A37727" s="1" t="n">
        <v>37726</v>
      </c>
      <c r="B37727">
        <f>TEXT(37726, "[$-0E0000]yyyy-mm-dd")</f>
        <v/>
      </c>
      <c r="C37727" t="inlineStr">
        <is>
          <t>2003-03-15</t>
        </is>
      </c>
    </row>
    <row r="37728">
      <c r="A37728" s="1" t="n">
        <v>37727</v>
      </c>
      <c r="B37728">
        <f>TEXT(37727, "[$-0E0000]yyyy-mm-dd")</f>
        <v/>
      </c>
      <c r="C37728" t="inlineStr">
        <is>
          <t>2003-03-16</t>
        </is>
      </c>
    </row>
    <row r="37729">
      <c r="A37729" s="1" t="n">
        <v>37728</v>
      </c>
      <c r="B37729">
        <f>TEXT(37728, "[$-0E0000]yyyy-mm-dd")</f>
        <v/>
      </c>
      <c r="C37729" t="inlineStr">
        <is>
          <t>2003-03-17</t>
        </is>
      </c>
    </row>
    <row r="37730">
      <c r="A37730" s="1" t="n">
        <v>37729</v>
      </c>
      <c r="B37730">
        <f>TEXT(37729, "[$-0E0000]yyyy-mm-dd")</f>
        <v/>
      </c>
      <c r="C37730" t="inlineStr">
        <is>
          <t>2003-03-18</t>
        </is>
      </c>
    </row>
    <row r="37731">
      <c r="A37731" s="1" t="n">
        <v>37730</v>
      </c>
      <c r="B37731">
        <f>TEXT(37730, "[$-0E0000]yyyy-mm-dd")</f>
        <v/>
      </c>
      <c r="C37731" t="inlineStr">
        <is>
          <t>2003-03-19</t>
        </is>
      </c>
    </row>
    <row r="37732">
      <c r="A37732" s="1" t="n">
        <v>37731</v>
      </c>
      <c r="B37732">
        <f>TEXT(37731, "[$-0E0000]yyyy-mm-dd")</f>
        <v/>
      </c>
      <c r="C37732" t="inlineStr">
        <is>
          <t>2003-03-20</t>
        </is>
      </c>
    </row>
    <row r="37733">
      <c r="A37733" s="1" t="n">
        <v>37732</v>
      </c>
      <c r="B37733">
        <f>TEXT(37732, "[$-0E0000]yyyy-mm-dd")</f>
        <v/>
      </c>
      <c r="C37733" t="inlineStr">
        <is>
          <t>2003-03-21</t>
        </is>
      </c>
    </row>
    <row r="37734">
      <c r="A37734" s="1" t="n">
        <v>37733</v>
      </c>
      <c r="B37734">
        <f>TEXT(37733, "[$-0E0000]yyyy-mm-dd")</f>
        <v/>
      </c>
      <c r="C37734" t="inlineStr">
        <is>
          <t>2003-03-22</t>
        </is>
      </c>
    </row>
    <row r="37735">
      <c r="A37735" s="1" t="n">
        <v>37734</v>
      </c>
      <c r="B37735">
        <f>TEXT(37734, "[$-0E0000]yyyy-mm-dd")</f>
        <v/>
      </c>
      <c r="C37735" t="inlineStr">
        <is>
          <t>2003-03-23</t>
        </is>
      </c>
    </row>
    <row r="37736">
      <c r="A37736" s="1" t="n">
        <v>37735</v>
      </c>
      <c r="B37736">
        <f>TEXT(37735, "[$-0E0000]yyyy-mm-dd")</f>
        <v/>
      </c>
      <c r="C37736" t="inlineStr">
        <is>
          <t>2003-03-24</t>
        </is>
      </c>
    </row>
    <row r="37737">
      <c r="A37737" s="1" t="n">
        <v>37736</v>
      </c>
      <c r="B37737">
        <f>TEXT(37736, "[$-0E0000]yyyy-mm-dd")</f>
        <v/>
      </c>
      <c r="C37737" t="inlineStr">
        <is>
          <t>2003-03-25</t>
        </is>
      </c>
    </row>
    <row r="37738">
      <c r="A37738" s="1" t="n">
        <v>37737</v>
      </c>
      <c r="B37738">
        <f>TEXT(37737, "[$-0E0000]yyyy-mm-dd")</f>
        <v/>
      </c>
      <c r="C37738" t="inlineStr">
        <is>
          <t>2003-03-26</t>
        </is>
      </c>
    </row>
    <row r="37739">
      <c r="A37739" s="1" t="n">
        <v>37738</v>
      </c>
      <c r="B37739">
        <f>TEXT(37738, "[$-0E0000]yyyy-mm-dd")</f>
        <v/>
      </c>
      <c r="C37739" t="inlineStr">
        <is>
          <t>2003-03-27</t>
        </is>
      </c>
    </row>
    <row r="37740">
      <c r="A37740" s="1" t="n">
        <v>37739</v>
      </c>
      <c r="B37740">
        <f>TEXT(37739, "[$-0E0000]yyyy-mm-dd")</f>
        <v/>
      </c>
      <c r="C37740" t="inlineStr">
        <is>
          <t>2003-03-28</t>
        </is>
      </c>
    </row>
    <row r="37741">
      <c r="A37741" s="1" t="n">
        <v>37740</v>
      </c>
      <c r="B37741">
        <f>TEXT(37740, "[$-0E0000]yyyy-mm-dd")</f>
        <v/>
      </c>
      <c r="C37741" t="inlineStr">
        <is>
          <t>2003-03-29</t>
        </is>
      </c>
    </row>
    <row r="37742">
      <c r="A37742" s="1" t="n">
        <v>37741</v>
      </c>
      <c r="B37742">
        <f>TEXT(37741, "[$-0E0000]yyyy-mm-dd")</f>
        <v/>
      </c>
      <c r="C37742" t="inlineStr">
        <is>
          <t>2003-04-01</t>
        </is>
      </c>
    </row>
    <row r="37743">
      <c r="A37743" s="1" t="n">
        <v>37742</v>
      </c>
      <c r="B37743">
        <f>TEXT(37742, "[$-0E0000]yyyy-mm-dd")</f>
        <v/>
      </c>
      <c r="C37743" t="inlineStr">
        <is>
          <t>2003-04-02</t>
        </is>
      </c>
    </row>
    <row r="37744">
      <c r="A37744" s="1" t="n">
        <v>37743</v>
      </c>
      <c r="B37744">
        <f>TEXT(37743, "[$-0E0000]yyyy-mm-dd")</f>
        <v/>
      </c>
      <c r="C37744" t="inlineStr">
        <is>
          <t>2003-04-03</t>
        </is>
      </c>
    </row>
    <row r="37745">
      <c r="A37745" s="1" t="n">
        <v>37744</v>
      </c>
      <c r="B37745">
        <f>TEXT(37744, "[$-0E0000]yyyy-mm-dd")</f>
        <v/>
      </c>
      <c r="C37745" t="inlineStr">
        <is>
          <t>2003-04-04</t>
        </is>
      </c>
    </row>
    <row r="37746">
      <c r="A37746" s="1" t="n">
        <v>37745</v>
      </c>
      <c r="B37746">
        <f>TEXT(37745, "[$-0E0000]yyyy-mm-dd")</f>
        <v/>
      </c>
      <c r="C37746" t="inlineStr">
        <is>
          <t>2003-04-05</t>
        </is>
      </c>
    </row>
    <row r="37747">
      <c r="A37747" s="1" t="n">
        <v>37746</v>
      </c>
      <c r="B37747">
        <f>TEXT(37746, "[$-0E0000]yyyy-mm-dd")</f>
        <v/>
      </c>
      <c r="C37747" t="inlineStr">
        <is>
          <t>2003-04-06</t>
        </is>
      </c>
    </row>
    <row r="37748">
      <c r="A37748" s="1" t="n">
        <v>37747</v>
      </c>
      <c r="B37748">
        <f>TEXT(37747, "[$-0E0000]yyyy-mm-dd")</f>
        <v/>
      </c>
      <c r="C37748" t="inlineStr">
        <is>
          <t>2003-04-07</t>
        </is>
      </c>
    </row>
    <row r="37749">
      <c r="A37749" s="1" t="n">
        <v>37748</v>
      </c>
      <c r="B37749">
        <f>TEXT(37748, "[$-0E0000]yyyy-mm-dd")</f>
        <v/>
      </c>
      <c r="C37749" t="inlineStr">
        <is>
          <t>2003-04-08</t>
        </is>
      </c>
    </row>
    <row r="37750">
      <c r="A37750" s="1" t="n">
        <v>37749</v>
      </c>
      <c r="B37750">
        <f>TEXT(37749, "[$-0E0000]yyyy-mm-dd")</f>
        <v/>
      </c>
      <c r="C37750" t="inlineStr">
        <is>
          <t>2003-04-09</t>
        </is>
      </c>
    </row>
    <row r="37751">
      <c r="A37751" s="1" t="n">
        <v>37750</v>
      </c>
      <c r="B37751">
        <f>TEXT(37750, "[$-0E0000]yyyy-mm-dd")</f>
        <v/>
      </c>
      <c r="C37751" t="inlineStr">
        <is>
          <t>2003-04-10</t>
        </is>
      </c>
    </row>
    <row r="37752">
      <c r="A37752" s="1" t="n">
        <v>37751</v>
      </c>
      <c r="B37752">
        <f>TEXT(37751, "[$-0E0000]yyyy-mm-dd")</f>
        <v/>
      </c>
      <c r="C37752" t="inlineStr">
        <is>
          <t>2003-04-11</t>
        </is>
      </c>
    </row>
    <row r="37753">
      <c r="A37753" s="1" t="n">
        <v>37752</v>
      </c>
      <c r="B37753">
        <f>TEXT(37752, "[$-0E0000]yyyy-mm-dd")</f>
        <v/>
      </c>
      <c r="C37753" t="inlineStr">
        <is>
          <t>2003-04-12</t>
        </is>
      </c>
    </row>
    <row r="37754">
      <c r="A37754" s="1" t="n">
        <v>37753</v>
      </c>
      <c r="B37754">
        <f>TEXT(37753, "[$-0E0000]yyyy-mm-dd")</f>
        <v/>
      </c>
      <c r="C37754" t="inlineStr">
        <is>
          <t>2003-04-13</t>
        </is>
      </c>
    </row>
    <row r="37755">
      <c r="A37755" s="1" t="n">
        <v>37754</v>
      </c>
      <c r="B37755">
        <f>TEXT(37754, "[$-0E0000]yyyy-mm-dd")</f>
        <v/>
      </c>
      <c r="C37755" t="inlineStr">
        <is>
          <t>2003-04-14</t>
        </is>
      </c>
    </row>
    <row r="37756">
      <c r="A37756" s="1" t="n">
        <v>37755</v>
      </c>
      <c r="B37756">
        <f>TEXT(37755, "[$-0E0000]yyyy-mm-dd")</f>
        <v/>
      </c>
      <c r="C37756" t="inlineStr">
        <is>
          <t>2003-04-15</t>
        </is>
      </c>
    </row>
    <row r="37757">
      <c r="A37757" s="1" t="n">
        <v>37756</v>
      </c>
      <c r="B37757">
        <f>TEXT(37756, "[$-0E0000]yyyy-mm-dd")</f>
        <v/>
      </c>
      <c r="C37757" t="inlineStr">
        <is>
          <t>2003-04-16</t>
        </is>
      </c>
    </row>
    <row r="37758">
      <c r="A37758" s="1" t="n">
        <v>37757</v>
      </c>
      <c r="B37758">
        <f>TEXT(37757, "[$-0E0000]yyyy-mm-dd")</f>
        <v/>
      </c>
      <c r="C37758" t="inlineStr">
        <is>
          <t>2003-04-17</t>
        </is>
      </c>
    </row>
    <row r="37759">
      <c r="A37759" s="1" t="n">
        <v>37758</v>
      </c>
      <c r="B37759">
        <f>TEXT(37758, "[$-0E0000]yyyy-mm-dd")</f>
        <v/>
      </c>
      <c r="C37759" t="inlineStr">
        <is>
          <t>2003-04-18</t>
        </is>
      </c>
    </row>
    <row r="37760">
      <c r="A37760" s="1" t="n">
        <v>37759</v>
      </c>
      <c r="B37760">
        <f>TEXT(37759, "[$-0E0000]yyyy-mm-dd")</f>
        <v/>
      </c>
      <c r="C37760" t="inlineStr">
        <is>
          <t>2003-04-19</t>
        </is>
      </c>
    </row>
    <row r="37761">
      <c r="A37761" s="1" t="n">
        <v>37760</v>
      </c>
      <c r="B37761">
        <f>TEXT(37760, "[$-0E0000]yyyy-mm-dd")</f>
        <v/>
      </c>
      <c r="C37761" t="inlineStr">
        <is>
          <t>2003-04-20</t>
        </is>
      </c>
    </row>
    <row r="37762">
      <c r="A37762" s="1" t="n">
        <v>37761</v>
      </c>
      <c r="B37762">
        <f>TEXT(37761, "[$-0E0000]yyyy-mm-dd")</f>
        <v/>
      </c>
      <c r="C37762" t="inlineStr">
        <is>
          <t>2003-04-21</t>
        </is>
      </c>
    </row>
    <row r="37763">
      <c r="A37763" s="1" t="n">
        <v>37762</v>
      </c>
      <c r="B37763">
        <f>TEXT(37762, "[$-0E0000]yyyy-mm-dd")</f>
        <v/>
      </c>
      <c r="C37763" t="inlineStr">
        <is>
          <t>2003-04-22</t>
        </is>
      </c>
    </row>
    <row r="37764">
      <c r="A37764" s="1" t="n">
        <v>37763</v>
      </c>
      <c r="B37764">
        <f>TEXT(37763, "[$-0E0000]yyyy-mm-dd")</f>
        <v/>
      </c>
      <c r="C37764" t="inlineStr">
        <is>
          <t>2003-04-23</t>
        </is>
      </c>
    </row>
    <row r="37765">
      <c r="A37765" s="1" t="n">
        <v>37764</v>
      </c>
      <c r="B37765">
        <f>TEXT(37764, "[$-0E0000]yyyy-mm-dd")</f>
        <v/>
      </c>
      <c r="C37765" t="inlineStr">
        <is>
          <t>2003-04-24</t>
        </is>
      </c>
    </row>
    <row r="37766">
      <c r="A37766" s="1" t="n">
        <v>37765</v>
      </c>
      <c r="B37766">
        <f>TEXT(37765, "[$-0E0000]yyyy-mm-dd")</f>
        <v/>
      </c>
      <c r="C37766" t="inlineStr">
        <is>
          <t>2003-04-25</t>
        </is>
      </c>
    </row>
    <row r="37767">
      <c r="A37767" s="1" t="n">
        <v>37766</v>
      </c>
      <c r="B37767">
        <f>TEXT(37766, "[$-0E0000]yyyy-mm-dd")</f>
        <v/>
      </c>
      <c r="C37767" t="inlineStr">
        <is>
          <t>2003-04-26</t>
        </is>
      </c>
    </row>
    <row r="37768">
      <c r="A37768" s="1" t="n">
        <v>37767</v>
      </c>
      <c r="B37768">
        <f>TEXT(37767, "[$-0E0000]yyyy-mm-dd")</f>
        <v/>
      </c>
      <c r="C37768" t="inlineStr">
        <is>
          <t>2003-04-27</t>
        </is>
      </c>
    </row>
    <row r="37769">
      <c r="A37769" s="1" t="n">
        <v>37768</v>
      </c>
      <c r="B37769">
        <f>TEXT(37768, "[$-0E0000]yyyy-mm-dd")</f>
        <v/>
      </c>
      <c r="C37769" t="inlineStr">
        <is>
          <t>2003-04-28</t>
        </is>
      </c>
    </row>
    <row r="37770">
      <c r="A37770" s="1" t="n">
        <v>37769</v>
      </c>
      <c r="B37770">
        <f>TEXT(37769, "[$-0E0000]yyyy-mm-dd")</f>
        <v/>
      </c>
      <c r="C37770" t="inlineStr">
        <is>
          <t>2003-04-29</t>
        </is>
      </c>
    </row>
    <row r="37771">
      <c r="A37771" s="1" t="n">
        <v>37770</v>
      </c>
      <c r="B37771">
        <f>TEXT(37770, "[$-0E0000]yyyy-mm-dd")</f>
        <v/>
      </c>
      <c r="C37771" t="inlineStr">
        <is>
          <t>2003-04-30</t>
        </is>
      </c>
    </row>
    <row r="37772">
      <c r="A37772" s="1" t="n">
        <v>37771</v>
      </c>
      <c r="B37772">
        <f>TEXT(37771, "[$-0E0000]yyyy-mm-dd")</f>
        <v/>
      </c>
      <c r="C37772" t="inlineStr">
        <is>
          <t>2003-05-01</t>
        </is>
      </c>
    </row>
    <row r="37773">
      <c r="A37773" s="1" t="n">
        <v>37772</v>
      </c>
      <c r="B37773">
        <f>TEXT(37772, "[$-0E0000]yyyy-mm-dd")</f>
        <v/>
      </c>
      <c r="C37773" t="inlineStr">
        <is>
          <t>2003-05-02</t>
        </is>
      </c>
    </row>
    <row r="37774">
      <c r="A37774" s="1" t="n">
        <v>37773</v>
      </c>
      <c r="B37774">
        <f>TEXT(37773, "[$-0E0000]yyyy-mm-dd")</f>
        <v/>
      </c>
      <c r="C37774" t="inlineStr">
        <is>
          <t>2003-05-03</t>
        </is>
      </c>
    </row>
    <row r="37775">
      <c r="A37775" s="1" t="n">
        <v>37774</v>
      </c>
      <c r="B37775">
        <f>TEXT(37774, "[$-0E0000]yyyy-mm-dd")</f>
        <v/>
      </c>
      <c r="C37775" t="inlineStr">
        <is>
          <t>2003-05-04</t>
        </is>
      </c>
    </row>
    <row r="37776">
      <c r="A37776" s="1" t="n">
        <v>37775</v>
      </c>
      <c r="B37776">
        <f>TEXT(37775, "[$-0E0000]yyyy-mm-dd")</f>
        <v/>
      </c>
      <c r="C37776" t="inlineStr">
        <is>
          <t>2003-05-05</t>
        </is>
      </c>
    </row>
    <row r="37777">
      <c r="A37777" s="1" t="n">
        <v>37776</v>
      </c>
      <c r="B37777">
        <f>TEXT(37776, "[$-0E0000]yyyy-mm-dd")</f>
        <v/>
      </c>
      <c r="C37777" t="inlineStr">
        <is>
          <t>2003-05-06</t>
        </is>
      </c>
    </row>
    <row r="37778">
      <c r="A37778" s="1" t="n">
        <v>37777</v>
      </c>
      <c r="B37778">
        <f>TEXT(37777, "[$-0E0000]yyyy-mm-dd")</f>
        <v/>
      </c>
      <c r="C37778" t="inlineStr">
        <is>
          <t>2003-05-07</t>
        </is>
      </c>
    </row>
    <row r="37779">
      <c r="A37779" s="1" t="n">
        <v>37778</v>
      </c>
      <c r="B37779">
        <f>TEXT(37778, "[$-0E0000]yyyy-mm-dd")</f>
        <v/>
      </c>
      <c r="C37779" t="inlineStr">
        <is>
          <t>2003-05-08</t>
        </is>
      </c>
    </row>
    <row r="37780">
      <c r="A37780" s="1" t="n">
        <v>37779</v>
      </c>
      <c r="B37780">
        <f>TEXT(37779, "[$-0E0000]yyyy-mm-dd")</f>
        <v/>
      </c>
      <c r="C37780" t="inlineStr">
        <is>
          <t>2003-05-09</t>
        </is>
      </c>
    </row>
    <row r="37781">
      <c r="A37781" s="1" t="n">
        <v>37780</v>
      </c>
      <c r="B37781">
        <f>TEXT(37780, "[$-0E0000]yyyy-mm-dd")</f>
        <v/>
      </c>
      <c r="C37781" t="inlineStr">
        <is>
          <t>2003-05-10</t>
        </is>
      </c>
    </row>
    <row r="37782">
      <c r="A37782" s="1" t="n">
        <v>37781</v>
      </c>
      <c r="B37782">
        <f>TEXT(37781, "[$-0E0000]yyyy-mm-dd")</f>
        <v/>
      </c>
      <c r="C37782" t="inlineStr">
        <is>
          <t>2003-05-11</t>
        </is>
      </c>
    </row>
    <row r="37783">
      <c r="A37783" s="1" t="n">
        <v>37782</v>
      </c>
      <c r="B37783">
        <f>TEXT(37782, "[$-0E0000]yyyy-mm-dd")</f>
        <v/>
      </c>
      <c r="C37783" t="inlineStr">
        <is>
          <t>2003-05-12</t>
        </is>
      </c>
    </row>
    <row r="37784">
      <c r="A37784" s="1" t="n">
        <v>37783</v>
      </c>
      <c r="B37784">
        <f>TEXT(37783, "[$-0E0000]yyyy-mm-dd")</f>
        <v/>
      </c>
      <c r="C37784" t="inlineStr">
        <is>
          <t>2003-05-13</t>
        </is>
      </c>
    </row>
    <row r="37785">
      <c r="A37785" s="1" t="n">
        <v>37784</v>
      </c>
      <c r="B37785">
        <f>TEXT(37784, "[$-0E0000]yyyy-mm-dd")</f>
        <v/>
      </c>
      <c r="C37785" t="inlineStr">
        <is>
          <t>2003-05-14</t>
        </is>
      </c>
    </row>
    <row r="37786">
      <c r="A37786" s="1" t="n">
        <v>37785</v>
      </c>
      <c r="B37786">
        <f>TEXT(37785, "[$-0E0000]yyyy-mm-dd")</f>
        <v/>
      </c>
      <c r="C37786" t="inlineStr">
        <is>
          <t>2003-05-15</t>
        </is>
      </c>
    </row>
    <row r="37787">
      <c r="A37787" s="1" t="n">
        <v>37786</v>
      </c>
      <c r="B37787">
        <f>TEXT(37786, "[$-0E0000]yyyy-mm-dd")</f>
        <v/>
      </c>
      <c r="C37787" t="inlineStr">
        <is>
          <t>2003-05-16</t>
        </is>
      </c>
    </row>
    <row r="37788">
      <c r="A37788" s="1" t="n">
        <v>37787</v>
      </c>
      <c r="B37788">
        <f>TEXT(37787, "[$-0E0000]yyyy-mm-dd")</f>
        <v/>
      </c>
      <c r="C37788" t="inlineStr">
        <is>
          <t>2003-05-17</t>
        </is>
      </c>
    </row>
    <row r="37789">
      <c r="A37789" s="1" t="n">
        <v>37788</v>
      </c>
      <c r="B37789">
        <f>TEXT(37788, "[$-0E0000]yyyy-mm-dd")</f>
        <v/>
      </c>
      <c r="C37789" t="inlineStr">
        <is>
          <t>2003-05-18</t>
        </is>
      </c>
    </row>
    <row r="37790">
      <c r="A37790" s="1" t="n">
        <v>37789</v>
      </c>
      <c r="B37790">
        <f>TEXT(37789, "[$-0E0000]yyyy-mm-dd")</f>
        <v/>
      </c>
      <c r="C37790" t="inlineStr">
        <is>
          <t>2003-05-19</t>
        </is>
      </c>
    </row>
    <row r="37791">
      <c r="A37791" s="1" t="n">
        <v>37790</v>
      </c>
      <c r="B37791">
        <f>TEXT(37790, "[$-0E0000]yyyy-mm-dd")</f>
        <v/>
      </c>
      <c r="C37791" t="inlineStr">
        <is>
          <t>2003-05-20</t>
        </is>
      </c>
    </row>
    <row r="37792">
      <c r="A37792" s="1" t="n">
        <v>37791</v>
      </c>
      <c r="B37792">
        <f>TEXT(37791, "[$-0E0000]yyyy-mm-dd")</f>
        <v/>
      </c>
      <c r="C37792" t="inlineStr">
        <is>
          <t>2003-05-21</t>
        </is>
      </c>
    </row>
    <row r="37793">
      <c r="A37793" s="1" t="n">
        <v>37792</v>
      </c>
      <c r="B37793">
        <f>TEXT(37792, "[$-0E0000]yyyy-mm-dd")</f>
        <v/>
      </c>
      <c r="C37793" t="inlineStr">
        <is>
          <t>2003-05-22</t>
        </is>
      </c>
    </row>
    <row r="37794">
      <c r="A37794" s="1" t="n">
        <v>37793</v>
      </c>
      <c r="B37794">
        <f>TEXT(37793, "[$-0E0000]yyyy-mm-dd")</f>
        <v/>
      </c>
      <c r="C37794" t="inlineStr">
        <is>
          <t>2003-05-23</t>
        </is>
      </c>
    </row>
    <row r="37795">
      <c r="A37795" s="1" t="n">
        <v>37794</v>
      </c>
      <c r="B37795">
        <f>TEXT(37794, "[$-0E0000]yyyy-mm-dd")</f>
        <v/>
      </c>
      <c r="C37795" t="inlineStr">
        <is>
          <t>2003-05-24</t>
        </is>
      </c>
    </row>
    <row r="37796">
      <c r="A37796" s="1" t="n">
        <v>37795</v>
      </c>
      <c r="B37796">
        <f>TEXT(37795, "[$-0E0000]yyyy-mm-dd")</f>
        <v/>
      </c>
      <c r="C37796" t="inlineStr">
        <is>
          <t>2003-05-25</t>
        </is>
      </c>
    </row>
    <row r="37797">
      <c r="A37797" s="1" t="n">
        <v>37796</v>
      </c>
      <c r="B37797">
        <f>TEXT(37796, "[$-0E0000]yyyy-mm-dd")</f>
        <v/>
      </c>
      <c r="C37797" t="inlineStr">
        <is>
          <t>2003-05-26</t>
        </is>
      </c>
    </row>
    <row r="37798">
      <c r="A37798" s="1" t="n">
        <v>37797</v>
      </c>
      <c r="B37798">
        <f>TEXT(37797, "[$-0E0000]yyyy-mm-dd")</f>
        <v/>
      </c>
      <c r="C37798" t="inlineStr">
        <is>
          <t>2003-05-27</t>
        </is>
      </c>
    </row>
    <row r="37799">
      <c r="A37799" s="1" t="n">
        <v>37798</v>
      </c>
      <c r="B37799">
        <f>TEXT(37798, "[$-0E0000]yyyy-mm-dd")</f>
        <v/>
      </c>
      <c r="C37799" t="inlineStr">
        <is>
          <t>2003-05-28</t>
        </is>
      </c>
    </row>
    <row r="37800">
      <c r="A37800" s="1" t="n">
        <v>37799</v>
      </c>
      <c r="B37800">
        <f>TEXT(37799, "[$-0E0000]yyyy-mm-dd")</f>
        <v/>
      </c>
      <c r="C37800" t="inlineStr">
        <is>
          <t>2003-05-29</t>
        </is>
      </c>
    </row>
    <row r="37801">
      <c r="A37801" s="1" t="n">
        <v>37800</v>
      </c>
      <c r="B37801">
        <f>TEXT(37800, "[$-0E0000]yyyy-mm-dd")</f>
        <v/>
      </c>
      <c r="C37801" t="inlineStr">
        <is>
          <t>2003-05-30</t>
        </is>
      </c>
    </row>
    <row r="37802">
      <c r="A37802" s="1" t="n">
        <v>37801</v>
      </c>
      <c r="B37802">
        <f>TEXT(37801, "[$-0E0000]yyyy-mm-dd")</f>
        <v/>
      </c>
      <c r="C37802" t="inlineStr">
        <is>
          <t>2003-06-01</t>
        </is>
      </c>
    </row>
    <row r="37803">
      <c r="A37803" s="1" t="n">
        <v>37802</v>
      </c>
      <c r="B37803">
        <f>TEXT(37802, "[$-0E0000]yyyy-mm-dd")</f>
        <v/>
      </c>
      <c r="C37803" t="inlineStr">
        <is>
          <t>2003-06-02</t>
        </is>
      </c>
    </row>
    <row r="37804">
      <c r="A37804" s="1" t="n">
        <v>37803</v>
      </c>
      <c r="B37804">
        <f>TEXT(37803, "[$-0E0000]yyyy-mm-dd")</f>
        <v/>
      </c>
      <c r="C37804" t="inlineStr">
        <is>
          <t>2003-06-03</t>
        </is>
      </c>
    </row>
    <row r="37805">
      <c r="A37805" s="1" t="n">
        <v>37804</v>
      </c>
      <c r="B37805">
        <f>TEXT(37804, "[$-0E0000]yyyy-mm-dd")</f>
        <v/>
      </c>
      <c r="C37805" t="inlineStr">
        <is>
          <t>2003-06-04</t>
        </is>
      </c>
    </row>
    <row r="37806">
      <c r="A37806" s="1" t="n">
        <v>37805</v>
      </c>
      <c r="B37806">
        <f>TEXT(37805, "[$-0E0000]yyyy-mm-dd")</f>
        <v/>
      </c>
      <c r="C37806" t="inlineStr">
        <is>
          <t>2003-06-05</t>
        </is>
      </c>
    </row>
    <row r="37807">
      <c r="A37807" s="1" t="n">
        <v>37806</v>
      </c>
      <c r="B37807">
        <f>TEXT(37806, "[$-0E0000]yyyy-mm-dd")</f>
        <v/>
      </c>
      <c r="C37807" t="inlineStr">
        <is>
          <t>2003-06-06</t>
        </is>
      </c>
    </row>
    <row r="37808">
      <c r="A37808" s="1" t="n">
        <v>37807</v>
      </c>
      <c r="B37808">
        <f>TEXT(37807, "[$-0E0000]yyyy-mm-dd")</f>
        <v/>
      </c>
      <c r="C37808" t="inlineStr">
        <is>
          <t>2003-06-07</t>
        </is>
      </c>
    </row>
    <row r="37809">
      <c r="A37809" s="1" t="n">
        <v>37808</v>
      </c>
      <c r="B37809">
        <f>TEXT(37808, "[$-0E0000]yyyy-mm-dd")</f>
        <v/>
      </c>
      <c r="C37809" t="inlineStr">
        <is>
          <t>2003-06-08</t>
        </is>
      </c>
    </row>
    <row r="37810">
      <c r="A37810" s="1" t="n">
        <v>37809</v>
      </c>
      <c r="B37810">
        <f>TEXT(37809, "[$-0E0000]yyyy-mm-dd")</f>
        <v/>
      </c>
      <c r="C37810" t="inlineStr">
        <is>
          <t>2003-06-09</t>
        </is>
      </c>
    </row>
    <row r="37811">
      <c r="A37811" s="1" t="n">
        <v>37810</v>
      </c>
      <c r="B37811">
        <f>TEXT(37810, "[$-0E0000]yyyy-mm-dd")</f>
        <v/>
      </c>
      <c r="C37811" t="inlineStr">
        <is>
          <t>2003-06-10</t>
        </is>
      </c>
    </row>
    <row r="37812">
      <c r="A37812" s="1" t="n">
        <v>37811</v>
      </c>
      <c r="B37812">
        <f>TEXT(37811, "[$-0E0000]yyyy-mm-dd")</f>
        <v/>
      </c>
      <c r="C37812" t="inlineStr">
        <is>
          <t>2003-06-11</t>
        </is>
      </c>
    </row>
    <row r="37813">
      <c r="A37813" s="1" t="n">
        <v>37812</v>
      </c>
      <c r="B37813">
        <f>TEXT(37812, "[$-0E0000]yyyy-mm-dd")</f>
        <v/>
      </c>
      <c r="C37813" t="inlineStr">
        <is>
          <t>2003-06-12</t>
        </is>
      </c>
    </row>
    <row r="37814">
      <c r="A37814" s="1" t="n">
        <v>37813</v>
      </c>
      <c r="B37814">
        <f>TEXT(37813, "[$-0E0000]yyyy-mm-dd")</f>
        <v/>
      </c>
      <c r="C37814" t="inlineStr">
        <is>
          <t>2003-06-13</t>
        </is>
      </c>
    </row>
    <row r="37815">
      <c r="A37815" s="1" t="n">
        <v>37814</v>
      </c>
      <c r="B37815">
        <f>TEXT(37814, "[$-0E0000]yyyy-mm-dd")</f>
        <v/>
      </c>
      <c r="C37815" t="inlineStr">
        <is>
          <t>2003-06-14</t>
        </is>
      </c>
    </row>
    <row r="37816">
      <c r="A37816" s="1" t="n">
        <v>37815</v>
      </c>
      <c r="B37816">
        <f>TEXT(37815, "[$-0E0000]yyyy-mm-dd")</f>
        <v/>
      </c>
      <c r="C37816" t="inlineStr">
        <is>
          <t>2003-06-15</t>
        </is>
      </c>
    </row>
    <row r="37817">
      <c r="A37817" s="1" t="n">
        <v>37816</v>
      </c>
      <c r="B37817">
        <f>TEXT(37816, "[$-0E0000]yyyy-mm-dd")</f>
        <v/>
      </c>
      <c r="C37817" t="inlineStr">
        <is>
          <t>2003-06-16</t>
        </is>
      </c>
    </row>
    <row r="37818">
      <c r="A37818" s="1" t="n">
        <v>37817</v>
      </c>
      <c r="B37818">
        <f>TEXT(37817, "[$-0E0000]yyyy-mm-dd")</f>
        <v/>
      </c>
      <c r="C37818" t="inlineStr">
        <is>
          <t>2003-06-17</t>
        </is>
      </c>
    </row>
    <row r="37819">
      <c r="A37819" s="1" t="n">
        <v>37818</v>
      </c>
      <c r="B37819">
        <f>TEXT(37818, "[$-0E0000]yyyy-mm-dd")</f>
        <v/>
      </c>
      <c r="C37819" t="inlineStr">
        <is>
          <t>2003-06-18</t>
        </is>
      </c>
    </row>
    <row r="37820">
      <c r="A37820" s="1" t="n">
        <v>37819</v>
      </c>
      <c r="B37820">
        <f>TEXT(37819, "[$-0E0000]yyyy-mm-dd")</f>
        <v/>
      </c>
      <c r="C37820" t="inlineStr">
        <is>
          <t>2003-06-19</t>
        </is>
      </c>
    </row>
    <row r="37821">
      <c r="A37821" s="1" t="n">
        <v>37820</v>
      </c>
      <c r="B37821">
        <f>TEXT(37820, "[$-0E0000]yyyy-mm-dd")</f>
        <v/>
      </c>
      <c r="C37821" t="inlineStr">
        <is>
          <t>2003-06-20</t>
        </is>
      </c>
    </row>
    <row r="37822">
      <c r="A37822" s="1" t="n">
        <v>37821</v>
      </c>
      <c r="B37822">
        <f>TEXT(37821, "[$-0E0000]yyyy-mm-dd")</f>
        <v/>
      </c>
      <c r="C37822" t="inlineStr">
        <is>
          <t>2003-06-21</t>
        </is>
      </c>
    </row>
    <row r="37823">
      <c r="A37823" s="1" t="n">
        <v>37822</v>
      </c>
      <c r="B37823">
        <f>TEXT(37822, "[$-0E0000]yyyy-mm-dd")</f>
        <v/>
      </c>
      <c r="C37823" t="inlineStr">
        <is>
          <t>2003-06-22</t>
        </is>
      </c>
    </row>
    <row r="37824">
      <c r="A37824" s="1" t="n">
        <v>37823</v>
      </c>
      <c r="B37824">
        <f>TEXT(37823, "[$-0E0000]yyyy-mm-dd")</f>
        <v/>
      </c>
      <c r="C37824" t="inlineStr">
        <is>
          <t>2003-06-23</t>
        </is>
      </c>
    </row>
    <row r="37825">
      <c r="A37825" s="1" t="n">
        <v>37824</v>
      </c>
      <c r="B37825">
        <f>TEXT(37824, "[$-0E0000]yyyy-mm-dd")</f>
        <v/>
      </c>
      <c r="C37825" t="inlineStr">
        <is>
          <t>2003-06-24</t>
        </is>
      </c>
    </row>
    <row r="37826">
      <c r="A37826" s="1" t="n">
        <v>37825</v>
      </c>
      <c r="B37826">
        <f>TEXT(37825, "[$-0E0000]yyyy-mm-dd")</f>
        <v/>
      </c>
      <c r="C37826" t="inlineStr">
        <is>
          <t>2003-06-25</t>
        </is>
      </c>
    </row>
    <row r="37827">
      <c r="A37827" s="1" t="n">
        <v>37826</v>
      </c>
      <c r="B37827">
        <f>TEXT(37826, "[$-0E0000]yyyy-mm-dd")</f>
        <v/>
      </c>
      <c r="C37827" t="inlineStr">
        <is>
          <t>2003-06-26</t>
        </is>
      </c>
    </row>
    <row r="37828">
      <c r="A37828" s="1" t="n">
        <v>37827</v>
      </c>
      <c r="B37828">
        <f>TEXT(37827, "[$-0E0000]yyyy-mm-dd")</f>
        <v/>
      </c>
      <c r="C37828" t="inlineStr">
        <is>
          <t>2003-06-27</t>
        </is>
      </c>
    </row>
    <row r="37829">
      <c r="A37829" s="1" t="n">
        <v>37828</v>
      </c>
      <c r="B37829">
        <f>TEXT(37828, "[$-0E0000]yyyy-mm-dd")</f>
        <v/>
      </c>
      <c r="C37829" t="inlineStr">
        <is>
          <t>2003-06-28</t>
        </is>
      </c>
    </row>
    <row r="37830">
      <c r="A37830" s="1" t="n">
        <v>37829</v>
      </c>
      <c r="B37830">
        <f>TEXT(37829, "[$-0E0000]yyyy-mm-dd")</f>
        <v/>
      </c>
      <c r="C37830" t="inlineStr">
        <is>
          <t>2003-06-29</t>
        </is>
      </c>
    </row>
    <row r="37831">
      <c r="A37831" s="1" t="n">
        <v>37830</v>
      </c>
      <c r="B37831">
        <f>TEXT(37830, "[$-0E0000]yyyy-mm-dd")</f>
        <v/>
      </c>
      <c r="C37831" t="inlineStr">
        <is>
          <t>2003-07-01</t>
        </is>
      </c>
    </row>
    <row r="37832">
      <c r="A37832" s="1" t="n">
        <v>37831</v>
      </c>
      <c r="B37832">
        <f>TEXT(37831, "[$-0E0000]yyyy-mm-dd")</f>
        <v/>
      </c>
      <c r="C37832" t="inlineStr">
        <is>
          <t>2003-07-02</t>
        </is>
      </c>
    </row>
    <row r="37833">
      <c r="A37833" s="1" t="n">
        <v>37832</v>
      </c>
      <c r="B37833">
        <f>TEXT(37832, "[$-0E0000]yyyy-mm-dd")</f>
        <v/>
      </c>
      <c r="C37833" t="inlineStr">
        <is>
          <t>2003-07-03</t>
        </is>
      </c>
    </row>
    <row r="37834">
      <c r="A37834" s="1" t="n">
        <v>37833</v>
      </c>
      <c r="B37834">
        <f>TEXT(37833, "[$-0E0000]yyyy-mm-dd")</f>
        <v/>
      </c>
      <c r="C37834" t="inlineStr">
        <is>
          <t>2003-07-04</t>
        </is>
      </c>
    </row>
    <row r="37835">
      <c r="A37835" s="1" t="n">
        <v>37834</v>
      </c>
      <c r="B37835">
        <f>TEXT(37834, "[$-0E0000]yyyy-mm-dd")</f>
        <v/>
      </c>
      <c r="C37835" t="inlineStr">
        <is>
          <t>2003-07-05</t>
        </is>
      </c>
    </row>
    <row r="37836">
      <c r="A37836" s="1" t="n">
        <v>37835</v>
      </c>
      <c r="B37836">
        <f>TEXT(37835, "[$-0E0000]yyyy-mm-dd")</f>
        <v/>
      </c>
      <c r="C37836" t="inlineStr">
        <is>
          <t>2003-07-06</t>
        </is>
      </c>
    </row>
    <row r="37837">
      <c r="A37837" s="1" t="n">
        <v>37836</v>
      </c>
      <c r="B37837">
        <f>TEXT(37836, "[$-0E0000]yyyy-mm-dd")</f>
        <v/>
      </c>
      <c r="C37837" t="inlineStr">
        <is>
          <t>2003-07-07</t>
        </is>
      </c>
    </row>
    <row r="37838">
      <c r="A37838" s="1" t="n">
        <v>37837</v>
      </c>
      <c r="B37838">
        <f>TEXT(37837, "[$-0E0000]yyyy-mm-dd")</f>
        <v/>
      </c>
      <c r="C37838" t="inlineStr">
        <is>
          <t>2003-07-08</t>
        </is>
      </c>
    </row>
    <row r="37839">
      <c r="A37839" s="1" t="n">
        <v>37838</v>
      </c>
      <c r="B37839">
        <f>TEXT(37838, "[$-0E0000]yyyy-mm-dd")</f>
        <v/>
      </c>
      <c r="C37839" t="inlineStr">
        <is>
          <t>2003-07-09</t>
        </is>
      </c>
    </row>
    <row r="37840">
      <c r="A37840" s="1" t="n">
        <v>37839</v>
      </c>
      <c r="B37840">
        <f>TEXT(37839, "[$-0E0000]yyyy-mm-dd")</f>
        <v/>
      </c>
      <c r="C37840" t="inlineStr">
        <is>
          <t>2003-07-10</t>
        </is>
      </c>
    </row>
    <row r="37841">
      <c r="A37841" s="1" t="n">
        <v>37840</v>
      </c>
      <c r="B37841">
        <f>TEXT(37840, "[$-0E0000]yyyy-mm-dd")</f>
        <v/>
      </c>
      <c r="C37841" t="inlineStr">
        <is>
          <t>2003-07-11</t>
        </is>
      </c>
    </row>
    <row r="37842">
      <c r="A37842" s="1" t="n">
        <v>37841</v>
      </c>
      <c r="B37842">
        <f>TEXT(37841, "[$-0E0000]yyyy-mm-dd")</f>
        <v/>
      </c>
      <c r="C37842" t="inlineStr">
        <is>
          <t>2003-07-12</t>
        </is>
      </c>
    </row>
    <row r="37843">
      <c r="A37843" s="1" t="n">
        <v>37842</v>
      </c>
      <c r="B37843">
        <f>TEXT(37842, "[$-0E0000]yyyy-mm-dd")</f>
        <v/>
      </c>
      <c r="C37843" t="inlineStr">
        <is>
          <t>2003-07-13</t>
        </is>
      </c>
    </row>
    <row r="37844">
      <c r="A37844" s="1" t="n">
        <v>37843</v>
      </c>
      <c r="B37844">
        <f>TEXT(37843, "[$-0E0000]yyyy-mm-dd")</f>
        <v/>
      </c>
      <c r="C37844" t="inlineStr">
        <is>
          <t>2003-07-14</t>
        </is>
      </c>
    </row>
    <row r="37845">
      <c r="A37845" s="1" t="n">
        <v>37844</v>
      </c>
      <c r="B37845">
        <f>TEXT(37844, "[$-0E0000]yyyy-mm-dd")</f>
        <v/>
      </c>
      <c r="C37845" t="inlineStr">
        <is>
          <t>2003-07-15</t>
        </is>
      </c>
    </row>
    <row r="37846">
      <c r="A37846" s="1" t="n">
        <v>37845</v>
      </c>
      <c r="B37846">
        <f>TEXT(37845, "[$-0E0000]yyyy-mm-dd")</f>
        <v/>
      </c>
      <c r="C37846" t="inlineStr">
        <is>
          <t>2003-07-16</t>
        </is>
      </c>
    </row>
    <row r="37847">
      <c r="A37847" s="1" t="n">
        <v>37846</v>
      </c>
      <c r="B37847">
        <f>TEXT(37846, "[$-0E0000]yyyy-mm-dd")</f>
        <v/>
      </c>
      <c r="C37847" t="inlineStr">
        <is>
          <t>2003-07-17</t>
        </is>
      </c>
    </row>
    <row r="37848">
      <c r="A37848" s="1" t="n">
        <v>37847</v>
      </c>
      <c r="B37848">
        <f>TEXT(37847, "[$-0E0000]yyyy-mm-dd")</f>
        <v/>
      </c>
      <c r="C37848" t="inlineStr">
        <is>
          <t>2003-07-18</t>
        </is>
      </c>
    </row>
    <row r="37849">
      <c r="A37849" s="1" t="n">
        <v>37848</v>
      </c>
      <c r="B37849">
        <f>TEXT(37848, "[$-0E0000]yyyy-mm-dd")</f>
        <v/>
      </c>
      <c r="C37849" t="inlineStr">
        <is>
          <t>2003-07-19</t>
        </is>
      </c>
    </row>
    <row r="37850">
      <c r="A37850" s="1" t="n">
        <v>37849</v>
      </c>
      <c r="B37850">
        <f>TEXT(37849, "[$-0E0000]yyyy-mm-dd")</f>
        <v/>
      </c>
      <c r="C37850" t="inlineStr">
        <is>
          <t>2003-07-20</t>
        </is>
      </c>
    </row>
    <row r="37851">
      <c r="A37851" s="1" t="n">
        <v>37850</v>
      </c>
      <c r="B37851">
        <f>TEXT(37850, "[$-0E0000]yyyy-mm-dd")</f>
        <v/>
      </c>
      <c r="C37851" t="inlineStr">
        <is>
          <t>2003-07-21</t>
        </is>
      </c>
    </row>
    <row r="37852">
      <c r="A37852" s="1" t="n">
        <v>37851</v>
      </c>
      <c r="B37852">
        <f>TEXT(37851, "[$-0E0000]yyyy-mm-dd")</f>
        <v/>
      </c>
      <c r="C37852" t="inlineStr">
        <is>
          <t>2003-07-22</t>
        </is>
      </c>
    </row>
    <row r="37853">
      <c r="A37853" s="1" t="n">
        <v>37852</v>
      </c>
      <c r="B37853">
        <f>TEXT(37852, "[$-0E0000]yyyy-mm-dd")</f>
        <v/>
      </c>
      <c r="C37853" t="inlineStr">
        <is>
          <t>2003-07-23</t>
        </is>
      </c>
    </row>
    <row r="37854">
      <c r="A37854" s="1" t="n">
        <v>37853</v>
      </c>
      <c r="B37854">
        <f>TEXT(37853, "[$-0E0000]yyyy-mm-dd")</f>
        <v/>
      </c>
      <c r="C37854" t="inlineStr">
        <is>
          <t>2003-07-24</t>
        </is>
      </c>
    </row>
    <row r="37855">
      <c r="A37855" s="1" t="n">
        <v>37854</v>
      </c>
      <c r="B37855">
        <f>TEXT(37854, "[$-0E0000]yyyy-mm-dd")</f>
        <v/>
      </c>
      <c r="C37855" t="inlineStr">
        <is>
          <t>2003-07-25</t>
        </is>
      </c>
    </row>
    <row r="37856">
      <c r="A37856" s="1" t="n">
        <v>37855</v>
      </c>
      <c r="B37856">
        <f>TEXT(37855, "[$-0E0000]yyyy-mm-dd")</f>
        <v/>
      </c>
      <c r="C37856" t="inlineStr">
        <is>
          <t>2003-07-26</t>
        </is>
      </c>
    </row>
    <row r="37857">
      <c r="A37857" s="1" t="n">
        <v>37856</v>
      </c>
      <c r="B37857">
        <f>TEXT(37856, "[$-0E0000]yyyy-mm-dd")</f>
        <v/>
      </c>
      <c r="C37857" t="inlineStr">
        <is>
          <t>2003-07-27</t>
        </is>
      </c>
    </row>
    <row r="37858">
      <c r="A37858" s="1" t="n">
        <v>37857</v>
      </c>
      <c r="B37858">
        <f>TEXT(37857, "[$-0E0000]yyyy-mm-dd")</f>
        <v/>
      </c>
      <c r="C37858" t="inlineStr">
        <is>
          <t>2003-07-28</t>
        </is>
      </c>
    </row>
    <row r="37859">
      <c r="A37859" s="1" t="n">
        <v>37858</v>
      </c>
      <c r="B37859">
        <f>TEXT(37858, "[$-0E0000]yyyy-mm-dd")</f>
        <v/>
      </c>
      <c r="C37859" t="inlineStr">
        <is>
          <t>2003-07-29</t>
        </is>
      </c>
    </row>
    <row r="37860">
      <c r="A37860" s="1" t="n">
        <v>37859</v>
      </c>
      <c r="B37860">
        <f>TEXT(37859, "[$-0E0000]yyyy-mm-dd")</f>
        <v/>
      </c>
      <c r="C37860" t="inlineStr">
        <is>
          <t>2003-07-30</t>
        </is>
      </c>
    </row>
    <row r="37861">
      <c r="A37861" s="1" t="n">
        <v>37860</v>
      </c>
      <c r="B37861">
        <f>TEXT(37860, "[$-0E0000]yyyy-mm-dd")</f>
        <v/>
      </c>
      <c r="C37861" t="inlineStr">
        <is>
          <t>2003-08-01</t>
        </is>
      </c>
    </row>
    <row r="37862">
      <c r="A37862" s="1" t="n">
        <v>37861</v>
      </c>
      <c r="B37862">
        <f>TEXT(37861, "[$-0E0000]yyyy-mm-dd")</f>
        <v/>
      </c>
      <c r="C37862" t="inlineStr">
        <is>
          <t>2003-08-02</t>
        </is>
      </c>
    </row>
    <row r="37863">
      <c r="A37863" s="1" t="n">
        <v>37862</v>
      </c>
      <c r="B37863">
        <f>TEXT(37862, "[$-0E0000]yyyy-mm-dd")</f>
        <v/>
      </c>
      <c r="C37863" t="inlineStr">
        <is>
          <t>2003-08-03</t>
        </is>
      </c>
    </row>
    <row r="37864">
      <c r="A37864" s="1" t="n">
        <v>37863</v>
      </c>
      <c r="B37864">
        <f>TEXT(37863, "[$-0E0000]yyyy-mm-dd")</f>
        <v/>
      </c>
      <c r="C37864" t="inlineStr">
        <is>
          <t>2003-08-04</t>
        </is>
      </c>
    </row>
    <row r="37865">
      <c r="A37865" s="1" t="n">
        <v>37864</v>
      </c>
      <c r="B37865">
        <f>TEXT(37864, "[$-0E0000]yyyy-mm-dd")</f>
        <v/>
      </c>
      <c r="C37865" t="inlineStr">
        <is>
          <t>2003-08-05</t>
        </is>
      </c>
    </row>
    <row r="37866">
      <c r="A37866" s="1" t="n">
        <v>37865</v>
      </c>
      <c r="B37866">
        <f>TEXT(37865, "[$-0E0000]yyyy-mm-dd")</f>
        <v/>
      </c>
      <c r="C37866" t="inlineStr">
        <is>
          <t>2003-08-06</t>
        </is>
      </c>
    </row>
    <row r="37867">
      <c r="A37867" s="1" t="n">
        <v>37866</v>
      </c>
      <c r="B37867">
        <f>TEXT(37866, "[$-0E0000]yyyy-mm-dd")</f>
        <v/>
      </c>
      <c r="C37867" t="inlineStr">
        <is>
          <t>2003-08-07</t>
        </is>
      </c>
    </row>
    <row r="37868">
      <c r="A37868" s="1" t="n">
        <v>37867</v>
      </c>
      <c r="B37868">
        <f>TEXT(37867, "[$-0E0000]yyyy-mm-dd")</f>
        <v/>
      </c>
      <c r="C37868" t="inlineStr">
        <is>
          <t>2003-08-08</t>
        </is>
      </c>
    </row>
    <row r="37869">
      <c r="A37869" s="1" t="n">
        <v>37868</v>
      </c>
      <c r="B37869">
        <f>TEXT(37868, "[$-0E0000]yyyy-mm-dd")</f>
        <v/>
      </c>
      <c r="C37869" t="inlineStr">
        <is>
          <t>2003-08-09</t>
        </is>
      </c>
    </row>
    <row r="37870">
      <c r="A37870" s="1" t="n">
        <v>37869</v>
      </c>
      <c r="B37870">
        <f>TEXT(37869, "[$-0E0000]yyyy-mm-dd")</f>
        <v/>
      </c>
      <c r="C37870" t="inlineStr">
        <is>
          <t>2003-08-10</t>
        </is>
      </c>
    </row>
    <row r="37871">
      <c r="A37871" s="1" t="n">
        <v>37870</v>
      </c>
      <c r="B37871">
        <f>TEXT(37870, "[$-0E0000]yyyy-mm-dd")</f>
        <v/>
      </c>
      <c r="C37871" t="inlineStr">
        <is>
          <t>2003-08-11</t>
        </is>
      </c>
    </row>
    <row r="37872">
      <c r="A37872" s="1" t="n">
        <v>37871</v>
      </c>
      <c r="B37872">
        <f>TEXT(37871, "[$-0E0000]yyyy-mm-dd")</f>
        <v/>
      </c>
      <c r="C37872" t="inlineStr">
        <is>
          <t>2003-08-12</t>
        </is>
      </c>
    </row>
    <row r="37873">
      <c r="A37873" s="1" t="n">
        <v>37872</v>
      </c>
      <c r="B37873">
        <f>TEXT(37872, "[$-0E0000]yyyy-mm-dd")</f>
        <v/>
      </c>
      <c r="C37873" t="inlineStr">
        <is>
          <t>2003-08-13</t>
        </is>
      </c>
    </row>
    <row r="37874">
      <c r="A37874" s="1" t="n">
        <v>37873</v>
      </c>
      <c r="B37874">
        <f>TEXT(37873, "[$-0E0000]yyyy-mm-dd")</f>
        <v/>
      </c>
      <c r="C37874" t="inlineStr">
        <is>
          <t>2003-08-14</t>
        </is>
      </c>
    </row>
    <row r="37875">
      <c r="A37875" s="1" t="n">
        <v>37874</v>
      </c>
      <c r="B37875">
        <f>TEXT(37874, "[$-0E0000]yyyy-mm-dd")</f>
        <v/>
      </c>
      <c r="C37875" t="inlineStr">
        <is>
          <t>2003-08-15</t>
        </is>
      </c>
    </row>
    <row r="37876">
      <c r="A37876" s="1" t="n">
        <v>37875</v>
      </c>
      <c r="B37876">
        <f>TEXT(37875, "[$-0E0000]yyyy-mm-dd")</f>
        <v/>
      </c>
      <c r="C37876" t="inlineStr">
        <is>
          <t>2003-08-16</t>
        </is>
      </c>
    </row>
    <row r="37877">
      <c r="A37877" s="1" t="n">
        <v>37876</v>
      </c>
      <c r="B37877">
        <f>TEXT(37876, "[$-0E0000]yyyy-mm-dd")</f>
        <v/>
      </c>
      <c r="C37877" t="inlineStr">
        <is>
          <t>2003-08-17</t>
        </is>
      </c>
    </row>
    <row r="37878">
      <c r="A37878" s="1" t="n">
        <v>37877</v>
      </c>
      <c r="B37878">
        <f>TEXT(37877, "[$-0E0000]yyyy-mm-dd")</f>
        <v/>
      </c>
      <c r="C37878" t="inlineStr">
        <is>
          <t>2003-08-18</t>
        </is>
      </c>
    </row>
    <row r="37879">
      <c r="A37879" s="1" t="n">
        <v>37878</v>
      </c>
      <c r="B37879">
        <f>TEXT(37878, "[$-0E0000]yyyy-mm-dd")</f>
        <v/>
      </c>
      <c r="C37879" t="inlineStr">
        <is>
          <t>2003-08-19</t>
        </is>
      </c>
    </row>
    <row r="37880">
      <c r="A37880" s="1" t="n">
        <v>37879</v>
      </c>
      <c r="B37880">
        <f>TEXT(37879, "[$-0E0000]yyyy-mm-dd")</f>
        <v/>
      </c>
      <c r="C37880" t="inlineStr">
        <is>
          <t>2003-08-20</t>
        </is>
      </c>
    </row>
    <row r="37881">
      <c r="A37881" s="1" t="n">
        <v>37880</v>
      </c>
      <c r="B37881">
        <f>TEXT(37880, "[$-0E0000]yyyy-mm-dd")</f>
        <v/>
      </c>
      <c r="C37881" t="inlineStr">
        <is>
          <t>2003-08-21</t>
        </is>
      </c>
    </row>
    <row r="37882">
      <c r="A37882" s="1" t="n">
        <v>37881</v>
      </c>
      <c r="B37882">
        <f>TEXT(37881, "[$-0E0000]yyyy-mm-dd")</f>
        <v/>
      </c>
      <c r="C37882" t="inlineStr">
        <is>
          <t>2003-08-22</t>
        </is>
      </c>
    </row>
    <row r="37883">
      <c r="A37883" s="1" t="n">
        <v>37882</v>
      </c>
      <c r="B37883">
        <f>TEXT(37882, "[$-0E0000]yyyy-mm-dd")</f>
        <v/>
      </c>
      <c r="C37883" t="inlineStr">
        <is>
          <t>2003-08-23</t>
        </is>
      </c>
    </row>
    <row r="37884">
      <c r="A37884" s="1" t="n">
        <v>37883</v>
      </c>
      <c r="B37884">
        <f>TEXT(37883, "[$-0E0000]yyyy-mm-dd")</f>
        <v/>
      </c>
      <c r="C37884" t="inlineStr">
        <is>
          <t>2003-08-24</t>
        </is>
      </c>
    </row>
    <row r="37885">
      <c r="A37885" s="1" t="n">
        <v>37884</v>
      </c>
      <c r="B37885">
        <f>TEXT(37884, "[$-0E0000]yyyy-mm-dd")</f>
        <v/>
      </c>
      <c r="C37885" t="inlineStr">
        <is>
          <t>2003-08-25</t>
        </is>
      </c>
    </row>
    <row r="37886">
      <c r="A37886" s="1" t="n">
        <v>37885</v>
      </c>
      <c r="B37886">
        <f>TEXT(37885, "[$-0E0000]yyyy-mm-dd")</f>
        <v/>
      </c>
      <c r="C37886" t="inlineStr">
        <is>
          <t>2003-08-26</t>
        </is>
      </c>
    </row>
    <row r="37887">
      <c r="A37887" s="1" t="n">
        <v>37886</v>
      </c>
      <c r="B37887">
        <f>TEXT(37886, "[$-0E0000]yyyy-mm-dd")</f>
        <v/>
      </c>
      <c r="C37887" t="inlineStr">
        <is>
          <t>2003-08-27</t>
        </is>
      </c>
    </row>
    <row r="37888">
      <c r="A37888" s="1" t="n">
        <v>37887</v>
      </c>
      <c r="B37888">
        <f>TEXT(37887, "[$-0E0000]yyyy-mm-dd")</f>
        <v/>
      </c>
      <c r="C37888" t="inlineStr">
        <is>
          <t>2003-08-28</t>
        </is>
      </c>
    </row>
    <row r="37889">
      <c r="A37889" s="1" t="n">
        <v>37888</v>
      </c>
      <c r="B37889">
        <f>TEXT(37888, "[$-0E0000]yyyy-mm-dd")</f>
        <v/>
      </c>
      <c r="C37889" t="inlineStr">
        <is>
          <t>2003-08-29</t>
        </is>
      </c>
    </row>
    <row r="37890">
      <c r="A37890" s="1" t="n">
        <v>37889</v>
      </c>
      <c r="B37890">
        <f>TEXT(37889, "[$-0E0000]yyyy-mm-dd")</f>
        <v/>
      </c>
      <c r="C37890" t="inlineStr">
        <is>
          <t>2003-09-01</t>
        </is>
      </c>
    </row>
    <row r="37891">
      <c r="A37891" s="1" t="n">
        <v>37890</v>
      </c>
      <c r="B37891">
        <f>TEXT(37890, "[$-0E0000]yyyy-mm-dd")</f>
        <v/>
      </c>
      <c r="C37891" t="inlineStr">
        <is>
          <t>2003-09-02</t>
        </is>
      </c>
    </row>
    <row r="37892">
      <c r="A37892" s="1" t="n">
        <v>37891</v>
      </c>
      <c r="B37892">
        <f>TEXT(37891, "[$-0E0000]yyyy-mm-dd")</f>
        <v/>
      </c>
      <c r="C37892" t="inlineStr">
        <is>
          <t>2003-09-03</t>
        </is>
      </c>
    </row>
    <row r="37893">
      <c r="A37893" s="1" t="n">
        <v>37892</v>
      </c>
      <c r="B37893">
        <f>TEXT(37892, "[$-0E0000]yyyy-mm-dd")</f>
        <v/>
      </c>
      <c r="C37893" t="inlineStr">
        <is>
          <t>2003-09-04</t>
        </is>
      </c>
    </row>
    <row r="37894">
      <c r="A37894" s="1" t="n">
        <v>37893</v>
      </c>
      <c r="B37894">
        <f>TEXT(37893, "[$-0E0000]yyyy-mm-dd")</f>
        <v/>
      </c>
      <c r="C37894" t="inlineStr">
        <is>
          <t>2003-09-05</t>
        </is>
      </c>
    </row>
    <row r="37895">
      <c r="A37895" s="1" t="n">
        <v>37894</v>
      </c>
      <c r="B37895">
        <f>TEXT(37894, "[$-0E0000]yyyy-mm-dd")</f>
        <v/>
      </c>
      <c r="C37895" t="inlineStr">
        <is>
          <t>2003-09-06</t>
        </is>
      </c>
    </row>
    <row r="37896">
      <c r="A37896" s="1" t="n">
        <v>37895</v>
      </c>
      <c r="B37896">
        <f>TEXT(37895, "[$-0E0000]yyyy-mm-dd")</f>
        <v/>
      </c>
      <c r="C37896" t="inlineStr">
        <is>
          <t>2003-09-07</t>
        </is>
      </c>
    </row>
    <row r="37897">
      <c r="A37897" s="1" t="n">
        <v>37896</v>
      </c>
      <c r="B37897">
        <f>TEXT(37896, "[$-0E0000]yyyy-mm-dd")</f>
        <v/>
      </c>
      <c r="C37897" t="inlineStr">
        <is>
          <t>2003-09-08</t>
        </is>
      </c>
    </row>
    <row r="37898">
      <c r="A37898" s="1" t="n">
        <v>37897</v>
      </c>
      <c r="B37898">
        <f>TEXT(37897, "[$-0E0000]yyyy-mm-dd")</f>
        <v/>
      </c>
      <c r="C37898" t="inlineStr">
        <is>
          <t>2003-09-09</t>
        </is>
      </c>
    </row>
    <row r="37899">
      <c r="A37899" s="1" t="n">
        <v>37898</v>
      </c>
      <c r="B37899">
        <f>TEXT(37898, "[$-0E0000]yyyy-mm-dd")</f>
        <v/>
      </c>
      <c r="C37899" t="inlineStr">
        <is>
          <t>2003-09-10</t>
        </is>
      </c>
    </row>
    <row r="37900">
      <c r="A37900" s="1" t="n">
        <v>37899</v>
      </c>
      <c r="B37900">
        <f>TEXT(37899, "[$-0E0000]yyyy-mm-dd")</f>
        <v/>
      </c>
      <c r="C37900" t="inlineStr">
        <is>
          <t>2003-09-11</t>
        </is>
      </c>
    </row>
    <row r="37901">
      <c r="A37901" s="1" t="n">
        <v>37900</v>
      </c>
      <c r="B37901">
        <f>TEXT(37900, "[$-0E0000]yyyy-mm-dd")</f>
        <v/>
      </c>
      <c r="C37901" t="inlineStr">
        <is>
          <t>2003-09-12</t>
        </is>
      </c>
    </row>
    <row r="37902">
      <c r="A37902" s="1" t="n">
        <v>37901</v>
      </c>
      <c r="B37902">
        <f>TEXT(37901, "[$-0E0000]yyyy-mm-dd")</f>
        <v/>
      </c>
      <c r="C37902" t="inlineStr">
        <is>
          <t>2003-09-13</t>
        </is>
      </c>
    </row>
    <row r="37903">
      <c r="A37903" s="1" t="n">
        <v>37902</v>
      </c>
      <c r="B37903">
        <f>TEXT(37902, "[$-0E0000]yyyy-mm-dd")</f>
        <v/>
      </c>
      <c r="C37903" t="inlineStr">
        <is>
          <t>2003-09-14</t>
        </is>
      </c>
    </row>
    <row r="37904">
      <c r="A37904" s="1" t="n">
        <v>37903</v>
      </c>
      <c r="B37904">
        <f>TEXT(37903, "[$-0E0000]yyyy-mm-dd")</f>
        <v/>
      </c>
      <c r="C37904" t="inlineStr">
        <is>
          <t>2003-09-15</t>
        </is>
      </c>
    </row>
    <row r="37905">
      <c r="A37905" s="1" t="n">
        <v>37904</v>
      </c>
      <c r="B37905">
        <f>TEXT(37904, "[$-0E0000]yyyy-mm-dd")</f>
        <v/>
      </c>
      <c r="C37905" t="inlineStr">
        <is>
          <t>2003-09-16</t>
        </is>
      </c>
    </row>
    <row r="37906">
      <c r="A37906" s="1" t="n">
        <v>37905</v>
      </c>
      <c r="B37906">
        <f>TEXT(37905, "[$-0E0000]yyyy-mm-dd")</f>
        <v/>
      </c>
      <c r="C37906" t="inlineStr">
        <is>
          <t>2003-09-17</t>
        </is>
      </c>
    </row>
    <row r="37907">
      <c r="A37907" s="1" t="n">
        <v>37906</v>
      </c>
      <c r="B37907">
        <f>TEXT(37906, "[$-0E0000]yyyy-mm-dd")</f>
        <v/>
      </c>
      <c r="C37907" t="inlineStr">
        <is>
          <t>2003-09-18</t>
        </is>
      </c>
    </row>
    <row r="37908">
      <c r="A37908" s="1" t="n">
        <v>37907</v>
      </c>
      <c r="B37908">
        <f>TEXT(37907, "[$-0E0000]yyyy-mm-dd")</f>
        <v/>
      </c>
      <c r="C37908" t="inlineStr">
        <is>
          <t>2003-09-19</t>
        </is>
      </c>
    </row>
    <row r="37909">
      <c r="A37909" s="1" t="n">
        <v>37908</v>
      </c>
      <c r="B37909">
        <f>TEXT(37908, "[$-0E0000]yyyy-mm-dd")</f>
        <v/>
      </c>
      <c r="C37909" t="inlineStr">
        <is>
          <t>2003-09-20</t>
        </is>
      </c>
    </row>
    <row r="37910">
      <c r="A37910" s="1" t="n">
        <v>37909</v>
      </c>
      <c r="B37910">
        <f>TEXT(37909, "[$-0E0000]yyyy-mm-dd")</f>
        <v/>
      </c>
      <c r="C37910" t="inlineStr">
        <is>
          <t>2003-09-21</t>
        </is>
      </c>
    </row>
    <row r="37911">
      <c r="A37911" s="1" t="n">
        <v>37910</v>
      </c>
      <c r="B37911">
        <f>TEXT(37910, "[$-0E0000]yyyy-mm-dd")</f>
        <v/>
      </c>
      <c r="C37911" t="inlineStr">
        <is>
          <t>2003-09-22</t>
        </is>
      </c>
    </row>
    <row r="37912">
      <c r="A37912" s="1" t="n">
        <v>37911</v>
      </c>
      <c r="B37912">
        <f>TEXT(37911, "[$-0E0000]yyyy-mm-dd")</f>
        <v/>
      </c>
      <c r="C37912" t="inlineStr">
        <is>
          <t>2003-09-23</t>
        </is>
      </c>
    </row>
    <row r="37913">
      <c r="A37913" s="1" t="n">
        <v>37912</v>
      </c>
      <c r="B37913">
        <f>TEXT(37912, "[$-0E0000]yyyy-mm-dd")</f>
        <v/>
      </c>
      <c r="C37913" t="inlineStr">
        <is>
          <t>2003-09-24</t>
        </is>
      </c>
    </row>
    <row r="37914">
      <c r="A37914" s="1" t="n">
        <v>37913</v>
      </c>
      <c r="B37914">
        <f>TEXT(37913, "[$-0E0000]yyyy-mm-dd")</f>
        <v/>
      </c>
      <c r="C37914" t="inlineStr">
        <is>
          <t>2003-09-25</t>
        </is>
      </c>
    </row>
    <row r="37915">
      <c r="A37915" s="1" t="n">
        <v>37914</v>
      </c>
      <c r="B37915">
        <f>TEXT(37914, "[$-0E0000]yyyy-mm-dd")</f>
        <v/>
      </c>
      <c r="C37915" t="inlineStr">
        <is>
          <t>2003-09-26</t>
        </is>
      </c>
    </row>
    <row r="37916">
      <c r="A37916" s="1" t="n">
        <v>37915</v>
      </c>
      <c r="B37916">
        <f>TEXT(37915, "[$-0E0000]yyyy-mm-dd")</f>
        <v/>
      </c>
      <c r="C37916" t="inlineStr">
        <is>
          <t>2003-09-27</t>
        </is>
      </c>
    </row>
    <row r="37917">
      <c r="A37917" s="1" t="n">
        <v>37916</v>
      </c>
      <c r="B37917">
        <f>TEXT(37916, "[$-0E0000]yyyy-mm-dd")</f>
        <v/>
      </c>
      <c r="C37917" t="inlineStr">
        <is>
          <t>2003-09-28</t>
        </is>
      </c>
    </row>
    <row r="37918">
      <c r="A37918" s="1" t="n">
        <v>37917</v>
      </c>
      <c r="B37918">
        <f>TEXT(37917, "[$-0E0000]yyyy-mm-dd")</f>
        <v/>
      </c>
      <c r="C37918" t="inlineStr">
        <is>
          <t>2003-09-29</t>
        </is>
      </c>
    </row>
    <row r="37919">
      <c r="A37919" s="1" t="n">
        <v>37918</v>
      </c>
      <c r="B37919">
        <f>TEXT(37918, "[$-0E0000]yyyy-mm-dd")</f>
        <v/>
      </c>
      <c r="C37919" t="inlineStr">
        <is>
          <t>2003-10-01</t>
        </is>
      </c>
    </row>
    <row r="37920">
      <c r="A37920" s="1" t="n">
        <v>37919</v>
      </c>
      <c r="B37920">
        <f>TEXT(37919, "[$-0E0000]yyyy-mm-dd")</f>
        <v/>
      </c>
      <c r="C37920" t="inlineStr">
        <is>
          <t>2003-10-02</t>
        </is>
      </c>
    </row>
    <row r="37921">
      <c r="A37921" s="1" t="n">
        <v>37920</v>
      </c>
      <c r="B37921">
        <f>TEXT(37920, "[$-0E0000]yyyy-mm-dd")</f>
        <v/>
      </c>
      <c r="C37921" t="inlineStr">
        <is>
          <t>2003-10-03</t>
        </is>
      </c>
    </row>
    <row r="37922">
      <c r="A37922" s="1" t="n">
        <v>37921</v>
      </c>
      <c r="B37922">
        <f>TEXT(37921, "[$-0E0000]yyyy-mm-dd")</f>
        <v/>
      </c>
      <c r="C37922" t="inlineStr">
        <is>
          <t>2003-10-04</t>
        </is>
      </c>
    </row>
    <row r="37923">
      <c r="A37923" s="1" t="n">
        <v>37922</v>
      </c>
      <c r="B37923">
        <f>TEXT(37922, "[$-0E0000]yyyy-mm-dd")</f>
        <v/>
      </c>
      <c r="C37923" t="inlineStr">
        <is>
          <t>2003-10-05</t>
        </is>
      </c>
    </row>
    <row r="37924">
      <c r="A37924" s="1" t="n">
        <v>37923</v>
      </c>
      <c r="B37924">
        <f>TEXT(37923, "[$-0E0000]yyyy-mm-dd")</f>
        <v/>
      </c>
      <c r="C37924" t="inlineStr">
        <is>
          <t>2003-10-06</t>
        </is>
      </c>
    </row>
    <row r="37925">
      <c r="A37925" s="1" t="n">
        <v>37924</v>
      </c>
      <c r="B37925">
        <f>TEXT(37924, "[$-0E0000]yyyy-mm-dd")</f>
        <v/>
      </c>
      <c r="C37925" t="inlineStr">
        <is>
          <t>2003-10-07</t>
        </is>
      </c>
    </row>
    <row r="37926">
      <c r="A37926" s="1" t="n">
        <v>37925</v>
      </c>
      <c r="B37926">
        <f>TEXT(37925, "[$-0E0000]yyyy-mm-dd")</f>
        <v/>
      </c>
      <c r="C37926" t="inlineStr">
        <is>
          <t>2003-10-08</t>
        </is>
      </c>
    </row>
    <row r="37927">
      <c r="A37927" s="1" t="n">
        <v>37926</v>
      </c>
      <c r="B37927">
        <f>TEXT(37926, "[$-0E0000]yyyy-mm-dd")</f>
        <v/>
      </c>
      <c r="C37927" t="inlineStr">
        <is>
          <t>2003-10-09</t>
        </is>
      </c>
    </row>
    <row r="37928">
      <c r="A37928" s="1" t="n">
        <v>37927</v>
      </c>
      <c r="B37928">
        <f>TEXT(37927, "[$-0E0000]yyyy-mm-dd")</f>
        <v/>
      </c>
      <c r="C37928" t="inlineStr">
        <is>
          <t>2003-10-10</t>
        </is>
      </c>
    </row>
    <row r="37929">
      <c r="A37929" s="1" t="n">
        <v>37928</v>
      </c>
      <c r="B37929">
        <f>TEXT(37928, "[$-0E0000]yyyy-mm-dd")</f>
        <v/>
      </c>
      <c r="C37929" t="inlineStr">
        <is>
          <t>2003-10-11</t>
        </is>
      </c>
    </row>
    <row r="37930">
      <c r="A37930" s="1" t="n">
        <v>37929</v>
      </c>
      <c r="B37930">
        <f>TEXT(37929, "[$-0E0000]yyyy-mm-dd")</f>
        <v/>
      </c>
      <c r="C37930" t="inlineStr">
        <is>
          <t>2003-10-12</t>
        </is>
      </c>
    </row>
    <row r="37931">
      <c r="A37931" s="1" t="n">
        <v>37930</v>
      </c>
      <c r="B37931">
        <f>TEXT(37930, "[$-0E0000]yyyy-mm-dd")</f>
        <v/>
      </c>
      <c r="C37931" t="inlineStr">
        <is>
          <t>2003-10-13</t>
        </is>
      </c>
    </row>
    <row r="37932">
      <c r="A37932" s="1" t="n">
        <v>37931</v>
      </c>
      <c r="B37932">
        <f>TEXT(37931, "[$-0E0000]yyyy-mm-dd")</f>
        <v/>
      </c>
      <c r="C37932" t="inlineStr">
        <is>
          <t>2003-10-14</t>
        </is>
      </c>
    </row>
    <row r="37933">
      <c r="A37933" s="1" t="n">
        <v>37932</v>
      </c>
      <c r="B37933">
        <f>TEXT(37932, "[$-0E0000]yyyy-mm-dd")</f>
        <v/>
      </c>
      <c r="C37933" t="inlineStr">
        <is>
          <t>2003-10-15</t>
        </is>
      </c>
    </row>
    <row r="37934">
      <c r="A37934" s="1" t="n">
        <v>37933</v>
      </c>
      <c r="B37934">
        <f>TEXT(37933, "[$-0E0000]yyyy-mm-dd")</f>
        <v/>
      </c>
      <c r="C37934" t="inlineStr">
        <is>
          <t>2003-10-16</t>
        </is>
      </c>
    </row>
    <row r="37935">
      <c r="A37935" s="1" t="n">
        <v>37934</v>
      </c>
      <c r="B37935">
        <f>TEXT(37934, "[$-0E0000]yyyy-mm-dd")</f>
        <v/>
      </c>
      <c r="C37935" t="inlineStr">
        <is>
          <t>2003-10-17</t>
        </is>
      </c>
    </row>
    <row r="37936">
      <c r="A37936" s="1" t="n">
        <v>37935</v>
      </c>
      <c r="B37936">
        <f>TEXT(37935, "[$-0E0000]yyyy-mm-dd")</f>
        <v/>
      </c>
      <c r="C37936" t="inlineStr">
        <is>
          <t>2003-10-18</t>
        </is>
      </c>
    </row>
    <row r="37937">
      <c r="A37937" s="1" t="n">
        <v>37936</v>
      </c>
      <c r="B37937">
        <f>TEXT(37936, "[$-0E0000]yyyy-mm-dd")</f>
        <v/>
      </c>
      <c r="C37937" t="inlineStr">
        <is>
          <t>2003-10-19</t>
        </is>
      </c>
    </row>
    <row r="37938">
      <c r="A37938" s="1" t="n">
        <v>37937</v>
      </c>
      <c r="B37938">
        <f>TEXT(37937, "[$-0E0000]yyyy-mm-dd")</f>
        <v/>
      </c>
      <c r="C37938" t="inlineStr">
        <is>
          <t>2003-10-20</t>
        </is>
      </c>
    </row>
    <row r="37939">
      <c r="A37939" s="1" t="n">
        <v>37938</v>
      </c>
      <c r="B37939">
        <f>TEXT(37938, "[$-0E0000]yyyy-mm-dd")</f>
        <v/>
      </c>
      <c r="C37939" t="inlineStr">
        <is>
          <t>2003-10-21</t>
        </is>
      </c>
    </row>
    <row r="37940">
      <c r="A37940" s="1" t="n">
        <v>37939</v>
      </c>
      <c r="B37940">
        <f>TEXT(37939, "[$-0E0000]yyyy-mm-dd")</f>
        <v/>
      </c>
      <c r="C37940" t="inlineStr">
        <is>
          <t>2003-10-22</t>
        </is>
      </c>
    </row>
    <row r="37941">
      <c r="A37941" s="1" t="n">
        <v>37940</v>
      </c>
      <c r="B37941">
        <f>TEXT(37940, "[$-0E0000]yyyy-mm-dd")</f>
        <v/>
      </c>
      <c r="C37941" t="inlineStr">
        <is>
          <t>2003-10-23</t>
        </is>
      </c>
    </row>
    <row r="37942">
      <c r="A37942" s="1" t="n">
        <v>37941</v>
      </c>
      <c r="B37942">
        <f>TEXT(37941, "[$-0E0000]yyyy-mm-dd")</f>
        <v/>
      </c>
      <c r="C37942" t="inlineStr">
        <is>
          <t>2003-10-24</t>
        </is>
      </c>
    </row>
    <row r="37943">
      <c r="A37943" s="1" t="n">
        <v>37942</v>
      </c>
      <c r="B37943">
        <f>TEXT(37942, "[$-0E0000]yyyy-mm-dd")</f>
        <v/>
      </c>
      <c r="C37943" t="inlineStr">
        <is>
          <t>2003-10-25</t>
        </is>
      </c>
    </row>
    <row r="37944">
      <c r="A37944" s="1" t="n">
        <v>37943</v>
      </c>
      <c r="B37944">
        <f>TEXT(37943, "[$-0E0000]yyyy-mm-dd")</f>
        <v/>
      </c>
      <c r="C37944" t="inlineStr">
        <is>
          <t>2003-10-26</t>
        </is>
      </c>
    </row>
    <row r="37945">
      <c r="A37945" s="1" t="n">
        <v>37944</v>
      </c>
      <c r="B37945">
        <f>TEXT(37944, "[$-0E0000]yyyy-mm-dd")</f>
        <v/>
      </c>
      <c r="C37945" t="inlineStr">
        <is>
          <t>2003-10-27</t>
        </is>
      </c>
    </row>
    <row r="37946">
      <c r="A37946" s="1" t="n">
        <v>37945</v>
      </c>
      <c r="B37946">
        <f>TEXT(37945, "[$-0E0000]yyyy-mm-dd")</f>
        <v/>
      </c>
      <c r="C37946" t="inlineStr">
        <is>
          <t>2003-10-28</t>
        </is>
      </c>
    </row>
    <row r="37947">
      <c r="A37947" s="1" t="n">
        <v>37946</v>
      </c>
      <c r="B37947">
        <f>TEXT(37946, "[$-0E0000]yyyy-mm-dd")</f>
        <v/>
      </c>
      <c r="C37947" t="inlineStr">
        <is>
          <t>2003-10-29</t>
        </is>
      </c>
    </row>
    <row r="37948">
      <c r="A37948" s="1" t="n">
        <v>37947</v>
      </c>
      <c r="B37948">
        <f>TEXT(37947, "[$-0E0000]yyyy-mm-dd")</f>
        <v/>
      </c>
      <c r="C37948" t="inlineStr">
        <is>
          <t>2003-10-30</t>
        </is>
      </c>
    </row>
    <row r="37949">
      <c r="A37949" s="1" t="n">
        <v>37948</v>
      </c>
      <c r="B37949">
        <f>TEXT(37948, "[$-0E0000]yyyy-mm-dd")</f>
        <v/>
      </c>
      <c r="C37949" t="inlineStr">
        <is>
          <t>2003-11-01</t>
        </is>
      </c>
    </row>
    <row r="37950">
      <c r="A37950" s="1" t="n">
        <v>37949</v>
      </c>
      <c r="B37950">
        <f>TEXT(37949, "[$-0E0000]yyyy-mm-dd")</f>
        <v/>
      </c>
      <c r="C37950" t="inlineStr">
        <is>
          <t>2003-11-02</t>
        </is>
      </c>
    </row>
    <row r="37951">
      <c r="A37951" s="1" t="n">
        <v>37950</v>
      </c>
      <c r="B37951">
        <f>TEXT(37950, "[$-0E0000]yyyy-mm-dd")</f>
        <v/>
      </c>
      <c r="C37951" t="inlineStr">
        <is>
          <t>2003-11-03</t>
        </is>
      </c>
    </row>
    <row r="37952">
      <c r="A37952" s="1" t="n">
        <v>37951</v>
      </c>
      <c r="B37952">
        <f>TEXT(37951, "[$-0E0000]yyyy-mm-dd")</f>
        <v/>
      </c>
      <c r="C37952" t="inlineStr">
        <is>
          <t>2003-11-04</t>
        </is>
      </c>
    </row>
    <row r="37953">
      <c r="A37953" s="1" t="n">
        <v>37952</v>
      </c>
      <c r="B37953">
        <f>TEXT(37952, "[$-0E0000]yyyy-mm-dd")</f>
        <v/>
      </c>
      <c r="C37953" t="inlineStr">
        <is>
          <t>2003-11-05</t>
        </is>
      </c>
    </row>
    <row r="37954">
      <c r="A37954" s="1" t="n">
        <v>37953</v>
      </c>
      <c r="B37954">
        <f>TEXT(37953, "[$-0E0000]yyyy-mm-dd")</f>
        <v/>
      </c>
      <c r="C37954" t="inlineStr">
        <is>
          <t>2003-11-06</t>
        </is>
      </c>
    </row>
    <row r="37955">
      <c r="A37955" s="1" t="n">
        <v>37954</v>
      </c>
      <c r="B37955">
        <f>TEXT(37954, "[$-0E0000]yyyy-mm-dd")</f>
        <v/>
      </c>
      <c r="C37955" t="inlineStr">
        <is>
          <t>2003-11-07</t>
        </is>
      </c>
    </row>
    <row r="37956">
      <c r="A37956" s="1" t="n">
        <v>37955</v>
      </c>
      <c r="B37956">
        <f>TEXT(37955, "[$-0E0000]yyyy-mm-dd")</f>
        <v/>
      </c>
      <c r="C37956" t="inlineStr">
        <is>
          <t>2003-11-08</t>
        </is>
      </c>
    </row>
    <row r="37957">
      <c r="A37957" s="1" t="n">
        <v>37956</v>
      </c>
      <c r="B37957">
        <f>TEXT(37956, "[$-0E0000]yyyy-mm-dd")</f>
        <v/>
      </c>
      <c r="C37957" t="inlineStr">
        <is>
          <t>2003-11-09</t>
        </is>
      </c>
    </row>
    <row r="37958">
      <c r="A37958" s="1" t="n">
        <v>37957</v>
      </c>
      <c r="B37958">
        <f>TEXT(37957, "[$-0E0000]yyyy-mm-dd")</f>
        <v/>
      </c>
      <c r="C37958" t="inlineStr">
        <is>
          <t>2003-11-10</t>
        </is>
      </c>
    </row>
    <row r="37959">
      <c r="A37959" s="1" t="n">
        <v>37958</v>
      </c>
      <c r="B37959">
        <f>TEXT(37958, "[$-0E0000]yyyy-mm-dd")</f>
        <v/>
      </c>
      <c r="C37959" t="inlineStr">
        <is>
          <t>2003-11-11</t>
        </is>
      </c>
    </row>
    <row r="37960">
      <c r="A37960" s="1" t="n">
        <v>37959</v>
      </c>
      <c r="B37960">
        <f>TEXT(37959, "[$-0E0000]yyyy-mm-dd")</f>
        <v/>
      </c>
      <c r="C37960" t="inlineStr">
        <is>
          <t>2003-11-12</t>
        </is>
      </c>
    </row>
    <row r="37961">
      <c r="A37961" s="1" t="n">
        <v>37960</v>
      </c>
      <c r="B37961">
        <f>TEXT(37960, "[$-0E0000]yyyy-mm-dd")</f>
        <v/>
      </c>
      <c r="C37961" t="inlineStr">
        <is>
          <t>2003-11-13</t>
        </is>
      </c>
    </row>
    <row r="37962">
      <c r="A37962" s="1" t="n">
        <v>37961</v>
      </c>
      <c r="B37962">
        <f>TEXT(37961, "[$-0E0000]yyyy-mm-dd")</f>
        <v/>
      </c>
      <c r="C37962" t="inlineStr">
        <is>
          <t>2003-11-14</t>
        </is>
      </c>
    </row>
    <row r="37963">
      <c r="A37963" s="1" t="n">
        <v>37962</v>
      </c>
      <c r="B37963">
        <f>TEXT(37962, "[$-0E0000]yyyy-mm-dd")</f>
        <v/>
      </c>
      <c r="C37963" t="inlineStr">
        <is>
          <t>2003-11-15</t>
        </is>
      </c>
    </row>
    <row r="37964">
      <c r="A37964" s="1" t="n">
        <v>37963</v>
      </c>
      <c r="B37964">
        <f>TEXT(37963, "[$-0E0000]yyyy-mm-dd")</f>
        <v/>
      </c>
      <c r="C37964" t="inlineStr">
        <is>
          <t>2003-11-16</t>
        </is>
      </c>
    </row>
    <row r="37965">
      <c r="A37965" s="1" t="n">
        <v>37964</v>
      </c>
      <c r="B37965">
        <f>TEXT(37964, "[$-0E0000]yyyy-mm-dd")</f>
        <v/>
      </c>
      <c r="C37965" t="inlineStr">
        <is>
          <t>2003-11-17</t>
        </is>
      </c>
    </row>
    <row r="37966">
      <c r="A37966" s="1" t="n">
        <v>37965</v>
      </c>
      <c r="B37966">
        <f>TEXT(37965, "[$-0E0000]yyyy-mm-dd")</f>
        <v/>
      </c>
      <c r="C37966" t="inlineStr">
        <is>
          <t>2003-11-18</t>
        </is>
      </c>
    </row>
    <row r="37967">
      <c r="A37967" s="1" t="n">
        <v>37966</v>
      </c>
      <c r="B37967">
        <f>TEXT(37966, "[$-0E0000]yyyy-mm-dd")</f>
        <v/>
      </c>
      <c r="C37967" t="inlineStr">
        <is>
          <t>2003-11-19</t>
        </is>
      </c>
    </row>
    <row r="37968">
      <c r="A37968" s="1" t="n">
        <v>37967</v>
      </c>
      <c r="B37968">
        <f>TEXT(37967, "[$-0E0000]yyyy-mm-dd")</f>
        <v/>
      </c>
      <c r="C37968" t="inlineStr">
        <is>
          <t>2003-11-20</t>
        </is>
      </c>
    </row>
    <row r="37969">
      <c r="A37969" s="1" t="n">
        <v>37968</v>
      </c>
      <c r="B37969">
        <f>TEXT(37968, "[$-0E0000]yyyy-mm-dd")</f>
        <v/>
      </c>
      <c r="C37969" t="inlineStr">
        <is>
          <t>2003-11-21</t>
        </is>
      </c>
    </row>
    <row r="37970">
      <c r="A37970" s="1" t="n">
        <v>37969</v>
      </c>
      <c r="B37970">
        <f>TEXT(37969, "[$-0E0000]yyyy-mm-dd")</f>
        <v/>
      </c>
      <c r="C37970" t="inlineStr">
        <is>
          <t>2003-11-22</t>
        </is>
      </c>
    </row>
    <row r="37971">
      <c r="A37971" s="1" t="n">
        <v>37970</v>
      </c>
      <c r="B37971">
        <f>TEXT(37970, "[$-0E0000]yyyy-mm-dd")</f>
        <v/>
      </c>
      <c r="C37971" t="inlineStr">
        <is>
          <t>2003-11-23</t>
        </is>
      </c>
    </row>
    <row r="37972">
      <c r="A37972" s="1" t="n">
        <v>37971</v>
      </c>
      <c r="B37972">
        <f>TEXT(37971, "[$-0E0000]yyyy-mm-dd")</f>
        <v/>
      </c>
      <c r="C37972" t="inlineStr">
        <is>
          <t>2003-11-24</t>
        </is>
      </c>
    </row>
    <row r="37973">
      <c r="A37973" s="1" t="n">
        <v>37972</v>
      </c>
      <c r="B37973">
        <f>TEXT(37972, "[$-0E0000]yyyy-mm-dd")</f>
        <v/>
      </c>
      <c r="C37973" t="inlineStr">
        <is>
          <t>2003-11-25</t>
        </is>
      </c>
    </row>
    <row r="37974">
      <c r="A37974" s="1" t="n">
        <v>37973</v>
      </c>
      <c r="B37974">
        <f>TEXT(37973, "[$-0E0000]yyyy-mm-dd")</f>
        <v/>
      </c>
      <c r="C37974" t="inlineStr">
        <is>
          <t>2003-11-26</t>
        </is>
      </c>
    </row>
    <row r="37975">
      <c r="A37975" s="1" t="n">
        <v>37974</v>
      </c>
      <c r="B37975">
        <f>TEXT(37974, "[$-0E0000]yyyy-mm-dd")</f>
        <v/>
      </c>
      <c r="C37975" t="inlineStr">
        <is>
          <t>2003-11-27</t>
        </is>
      </c>
    </row>
    <row r="37976">
      <c r="A37976" s="1" t="n">
        <v>37975</v>
      </c>
      <c r="B37976">
        <f>TEXT(37975, "[$-0E0000]yyyy-mm-dd")</f>
        <v/>
      </c>
      <c r="C37976" t="inlineStr">
        <is>
          <t>2003-11-28</t>
        </is>
      </c>
    </row>
    <row r="37977">
      <c r="A37977" s="1" t="n">
        <v>37976</v>
      </c>
      <c r="B37977">
        <f>TEXT(37976, "[$-0E0000]yyyy-mm-dd")</f>
        <v/>
      </c>
      <c r="C37977" t="inlineStr">
        <is>
          <t>2003-11-29</t>
        </is>
      </c>
    </row>
    <row r="37978">
      <c r="A37978" s="1" t="n">
        <v>37977</v>
      </c>
      <c r="B37978">
        <f>TEXT(37977, "[$-0E0000]yyyy-mm-dd")</f>
        <v/>
      </c>
      <c r="C37978" t="inlineStr">
        <is>
          <t>2003-12-01</t>
        </is>
      </c>
    </row>
    <row r="37979">
      <c r="A37979" s="1" t="n">
        <v>37978</v>
      </c>
      <c r="B37979">
        <f>TEXT(37978, "[$-0E0000]yyyy-mm-dd")</f>
        <v/>
      </c>
      <c r="C37979" t="inlineStr">
        <is>
          <t>2003-12-02</t>
        </is>
      </c>
    </row>
    <row r="37980">
      <c r="A37980" s="1" t="n">
        <v>37979</v>
      </c>
      <c r="B37980">
        <f>TEXT(37979, "[$-0E0000]yyyy-mm-dd")</f>
        <v/>
      </c>
      <c r="C37980" t="inlineStr">
        <is>
          <t>2003-12-03</t>
        </is>
      </c>
    </row>
    <row r="37981">
      <c r="A37981" s="1" t="n">
        <v>37980</v>
      </c>
      <c r="B37981">
        <f>TEXT(37980, "[$-0E0000]yyyy-mm-dd")</f>
        <v/>
      </c>
      <c r="C37981" t="inlineStr">
        <is>
          <t>2003-12-04</t>
        </is>
      </c>
    </row>
    <row r="37982">
      <c r="A37982" s="1" t="n">
        <v>37981</v>
      </c>
      <c r="B37982">
        <f>TEXT(37981, "[$-0E0000]yyyy-mm-dd")</f>
        <v/>
      </c>
      <c r="C37982" t="inlineStr">
        <is>
          <t>2003-12-05</t>
        </is>
      </c>
    </row>
    <row r="37983">
      <c r="A37983" s="1" t="n">
        <v>37982</v>
      </c>
      <c r="B37983">
        <f>TEXT(37982, "[$-0E0000]yyyy-mm-dd")</f>
        <v/>
      </c>
      <c r="C37983" t="inlineStr">
        <is>
          <t>2003-12-06</t>
        </is>
      </c>
    </row>
    <row r="37984">
      <c r="A37984" s="1" t="n">
        <v>37983</v>
      </c>
      <c r="B37984">
        <f>TEXT(37983, "[$-0E0000]yyyy-mm-dd")</f>
        <v/>
      </c>
      <c r="C37984" t="inlineStr">
        <is>
          <t>2003-12-07</t>
        </is>
      </c>
    </row>
    <row r="37985">
      <c r="A37985" s="1" t="n">
        <v>37984</v>
      </c>
      <c r="B37985">
        <f>TEXT(37984, "[$-0E0000]yyyy-mm-dd")</f>
        <v/>
      </c>
      <c r="C37985" t="inlineStr">
        <is>
          <t>2003-12-08</t>
        </is>
      </c>
    </row>
    <row r="37986">
      <c r="A37986" s="1" t="n">
        <v>37985</v>
      </c>
      <c r="B37986">
        <f>TEXT(37985, "[$-0E0000]yyyy-mm-dd")</f>
        <v/>
      </c>
      <c r="C37986" t="inlineStr">
        <is>
          <t>2003-12-09</t>
        </is>
      </c>
    </row>
    <row r="37987">
      <c r="A37987" s="1" t="n">
        <v>37986</v>
      </c>
      <c r="B37987">
        <f>TEXT(37986, "[$-0E0000]yyyy-mm-dd")</f>
        <v/>
      </c>
      <c r="C37987" t="inlineStr">
        <is>
          <t>2003-12-10</t>
        </is>
      </c>
    </row>
    <row r="37988">
      <c r="A37988" s="1" t="n">
        <v>37987</v>
      </c>
      <c r="B37988">
        <f>TEXT(37987, "[$-0E0000]yyyy-mm-dd")</f>
        <v/>
      </c>
      <c r="C37988" t="inlineStr">
        <is>
          <t>2003-12-11</t>
        </is>
      </c>
    </row>
    <row r="37989">
      <c r="A37989" s="1" t="n">
        <v>37988</v>
      </c>
      <c r="B37989">
        <f>TEXT(37988, "[$-0E0000]yyyy-mm-dd")</f>
        <v/>
      </c>
      <c r="C37989" t="inlineStr">
        <is>
          <t>2003-12-12</t>
        </is>
      </c>
    </row>
    <row r="37990">
      <c r="A37990" s="1" t="n">
        <v>37989</v>
      </c>
      <c r="B37990">
        <f>TEXT(37989, "[$-0E0000]yyyy-mm-dd")</f>
        <v/>
      </c>
      <c r="C37990" t="inlineStr">
        <is>
          <t>2003-12-13</t>
        </is>
      </c>
    </row>
    <row r="37991">
      <c r="A37991" s="1" t="n">
        <v>37990</v>
      </c>
      <c r="B37991">
        <f>TEXT(37990, "[$-0E0000]yyyy-mm-dd")</f>
        <v/>
      </c>
      <c r="C37991" t="inlineStr">
        <is>
          <t>2003-12-14</t>
        </is>
      </c>
    </row>
    <row r="37992">
      <c r="A37992" s="1" t="n">
        <v>37991</v>
      </c>
      <c r="B37992">
        <f>TEXT(37991, "[$-0E0000]yyyy-mm-dd")</f>
        <v/>
      </c>
      <c r="C37992" t="inlineStr">
        <is>
          <t>2003-12-15</t>
        </is>
      </c>
    </row>
    <row r="37993">
      <c r="A37993" s="1" t="n">
        <v>37992</v>
      </c>
      <c r="B37993">
        <f>TEXT(37992, "[$-0E0000]yyyy-mm-dd")</f>
        <v/>
      </c>
      <c r="C37993" t="inlineStr">
        <is>
          <t>2003-12-16</t>
        </is>
      </c>
    </row>
    <row r="37994">
      <c r="A37994" s="1" t="n">
        <v>37993</v>
      </c>
      <c r="B37994">
        <f>TEXT(37993, "[$-0E0000]yyyy-mm-dd")</f>
        <v/>
      </c>
      <c r="C37994" t="inlineStr">
        <is>
          <t>2003-12-17</t>
        </is>
      </c>
    </row>
    <row r="37995">
      <c r="A37995" s="1" t="n">
        <v>37994</v>
      </c>
      <c r="B37995">
        <f>TEXT(37994, "[$-0E0000]yyyy-mm-dd")</f>
        <v/>
      </c>
      <c r="C37995" t="inlineStr">
        <is>
          <t>2003-12-18</t>
        </is>
      </c>
    </row>
    <row r="37996">
      <c r="A37996" s="1" t="n">
        <v>37995</v>
      </c>
      <c r="B37996">
        <f>TEXT(37995, "[$-0E0000]yyyy-mm-dd")</f>
        <v/>
      </c>
      <c r="C37996" t="inlineStr">
        <is>
          <t>2003-12-19</t>
        </is>
      </c>
    </row>
    <row r="37997">
      <c r="A37997" s="1" t="n">
        <v>37996</v>
      </c>
      <c r="B37997">
        <f>TEXT(37996, "[$-0E0000]yyyy-mm-dd")</f>
        <v/>
      </c>
      <c r="C37997" t="inlineStr">
        <is>
          <t>2003-12-20</t>
        </is>
      </c>
    </row>
    <row r="37998">
      <c r="A37998" s="1" t="n">
        <v>37997</v>
      </c>
      <c r="B37998">
        <f>TEXT(37997, "[$-0E0000]yyyy-mm-dd")</f>
        <v/>
      </c>
      <c r="C37998" t="inlineStr">
        <is>
          <t>2003-12-21</t>
        </is>
      </c>
    </row>
    <row r="37999">
      <c r="A37999" s="1" t="n">
        <v>37998</v>
      </c>
      <c r="B37999">
        <f>TEXT(37998, "[$-0E0000]yyyy-mm-dd")</f>
        <v/>
      </c>
      <c r="C37999" t="inlineStr">
        <is>
          <t>2003-12-22</t>
        </is>
      </c>
    </row>
    <row r="38000">
      <c r="A38000" s="1" t="n">
        <v>37999</v>
      </c>
      <c r="B38000">
        <f>TEXT(37999, "[$-0E0000]yyyy-mm-dd")</f>
        <v/>
      </c>
      <c r="C38000" t="inlineStr">
        <is>
          <t>2003-12-23</t>
        </is>
      </c>
    </row>
    <row r="38001">
      <c r="A38001" s="1" t="n">
        <v>38000</v>
      </c>
      <c r="B38001">
        <f>TEXT(38000, "[$-0E0000]yyyy-mm-dd")</f>
        <v/>
      </c>
      <c r="C38001" t="inlineStr">
        <is>
          <t>2003-12-24</t>
        </is>
      </c>
    </row>
    <row r="38002">
      <c r="A38002" s="1" t="n">
        <v>38001</v>
      </c>
      <c r="B38002">
        <f>TEXT(38001, "[$-0E0000]yyyy-mm-dd")</f>
        <v/>
      </c>
      <c r="C38002" t="inlineStr">
        <is>
          <t>2003-12-25</t>
        </is>
      </c>
    </row>
    <row r="38003">
      <c r="A38003" s="1" t="n">
        <v>38002</v>
      </c>
      <c r="B38003">
        <f>TEXT(38002, "[$-0E0000]yyyy-mm-dd")</f>
        <v/>
      </c>
      <c r="C38003" t="inlineStr">
        <is>
          <t>2003-12-26</t>
        </is>
      </c>
    </row>
    <row r="38004">
      <c r="A38004" s="1" t="n">
        <v>38003</v>
      </c>
      <c r="B38004">
        <f>TEXT(38003, "[$-0E0000]yyyy-mm-dd")</f>
        <v/>
      </c>
      <c r="C38004" t="inlineStr">
        <is>
          <t>2003-12-27</t>
        </is>
      </c>
    </row>
    <row r="38005">
      <c r="A38005" s="1" t="n">
        <v>38004</v>
      </c>
      <c r="B38005">
        <f>TEXT(38004, "[$-0E0000]yyyy-mm-dd")</f>
        <v/>
      </c>
      <c r="C38005" t="inlineStr">
        <is>
          <t>2003-12-28</t>
        </is>
      </c>
    </row>
    <row r="38006">
      <c r="A38006" s="1" t="n">
        <v>38005</v>
      </c>
      <c r="B38006">
        <f>TEXT(38005, "[$-0E0000]yyyy-mm-dd")</f>
        <v/>
      </c>
      <c r="C38006" t="inlineStr">
        <is>
          <t>2003-12-29</t>
        </is>
      </c>
    </row>
    <row r="38007">
      <c r="A38007" s="1" t="n">
        <v>38006</v>
      </c>
      <c r="B38007">
        <f>TEXT(38006, "[$-0E0000]yyyy-mm-dd")</f>
        <v/>
      </c>
      <c r="C38007" t="inlineStr">
        <is>
          <t>2003-12-30</t>
        </is>
      </c>
    </row>
    <row r="38008">
      <c r="A38008" s="1" t="n">
        <v>38007</v>
      </c>
      <c r="B38008">
        <f>TEXT(38007, "[$-0E0000]yyyy-mm-dd")</f>
        <v/>
      </c>
      <c r="C38008" t="inlineStr">
        <is>
          <t>2004-01-01</t>
        </is>
      </c>
    </row>
    <row r="38009">
      <c r="A38009" s="1" t="n">
        <v>38008</v>
      </c>
      <c r="B38009">
        <f>TEXT(38008, "[$-0E0000]yyyy-mm-dd")</f>
        <v/>
      </c>
      <c r="C38009" t="inlineStr">
        <is>
          <t>2004-01-02</t>
        </is>
      </c>
    </row>
    <row r="38010">
      <c r="A38010" s="1" t="n">
        <v>38009</v>
      </c>
      <c r="B38010">
        <f>TEXT(38009, "[$-0E0000]yyyy-mm-dd")</f>
        <v/>
      </c>
      <c r="C38010" t="inlineStr">
        <is>
          <t>2004-01-03</t>
        </is>
      </c>
    </row>
    <row r="38011">
      <c r="A38011" s="1" t="n">
        <v>38010</v>
      </c>
      <c r="B38011">
        <f>TEXT(38010, "[$-0E0000]yyyy-mm-dd")</f>
        <v/>
      </c>
      <c r="C38011" t="inlineStr">
        <is>
          <t>2004-01-04</t>
        </is>
      </c>
    </row>
    <row r="38012">
      <c r="A38012" s="1" t="n">
        <v>38011</v>
      </c>
      <c r="B38012">
        <f>TEXT(38011, "[$-0E0000]yyyy-mm-dd")</f>
        <v/>
      </c>
      <c r="C38012" t="inlineStr">
        <is>
          <t>2004-01-05</t>
        </is>
      </c>
    </row>
    <row r="38013">
      <c r="A38013" s="1" t="n">
        <v>38012</v>
      </c>
      <c r="B38013">
        <f>TEXT(38012, "[$-0E0000]yyyy-mm-dd")</f>
        <v/>
      </c>
      <c r="C38013" t="inlineStr">
        <is>
          <t>2004-01-06</t>
        </is>
      </c>
    </row>
    <row r="38014">
      <c r="A38014" s="1" t="n">
        <v>38013</v>
      </c>
      <c r="B38014">
        <f>TEXT(38013, "[$-0E0000]yyyy-mm-dd")</f>
        <v/>
      </c>
      <c r="C38014" t="inlineStr">
        <is>
          <t>2004-01-07</t>
        </is>
      </c>
    </row>
    <row r="38015">
      <c r="A38015" s="1" t="n">
        <v>38014</v>
      </c>
      <c r="B38015">
        <f>TEXT(38014, "[$-0E0000]yyyy-mm-dd")</f>
        <v/>
      </c>
      <c r="C38015" t="inlineStr">
        <is>
          <t>2004-01-08</t>
        </is>
      </c>
    </row>
    <row r="38016">
      <c r="A38016" s="1" t="n">
        <v>38015</v>
      </c>
      <c r="B38016">
        <f>TEXT(38015, "[$-0E0000]yyyy-mm-dd")</f>
        <v/>
      </c>
      <c r="C38016" t="inlineStr">
        <is>
          <t>2004-01-09</t>
        </is>
      </c>
    </row>
    <row r="38017">
      <c r="A38017" s="1" t="n">
        <v>38016</v>
      </c>
      <c r="B38017">
        <f>TEXT(38016, "[$-0E0000]yyyy-mm-dd")</f>
        <v/>
      </c>
      <c r="C38017" t="inlineStr">
        <is>
          <t>2004-01-10</t>
        </is>
      </c>
    </row>
    <row r="38018">
      <c r="A38018" s="1" t="n">
        <v>38017</v>
      </c>
      <c r="B38018">
        <f>TEXT(38017, "[$-0E0000]yyyy-mm-dd")</f>
        <v/>
      </c>
      <c r="C38018" t="inlineStr">
        <is>
          <t>2004-01-11</t>
        </is>
      </c>
    </row>
    <row r="38019">
      <c r="A38019" s="1" t="n">
        <v>38018</v>
      </c>
      <c r="B38019">
        <f>TEXT(38018, "[$-0E0000]yyyy-mm-dd")</f>
        <v/>
      </c>
      <c r="C38019" t="inlineStr">
        <is>
          <t>2004-01-12</t>
        </is>
      </c>
    </row>
    <row r="38020">
      <c r="A38020" s="1" t="n">
        <v>38019</v>
      </c>
      <c r="B38020">
        <f>TEXT(38019, "[$-0E0000]yyyy-mm-dd")</f>
        <v/>
      </c>
      <c r="C38020" t="inlineStr">
        <is>
          <t>2004-01-13</t>
        </is>
      </c>
    </row>
    <row r="38021">
      <c r="A38021" s="1" t="n">
        <v>38020</v>
      </c>
      <c r="B38021">
        <f>TEXT(38020, "[$-0E0000]yyyy-mm-dd")</f>
        <v/>
      </c>
      <c r="C38021" t="inlineStr">
        <is>
          <t>2004-01-14</t>
        </is>
      </c>
    </row>
    <row r="38022">
      <c r="A38022" s="1" t="n">
        <v>38021</v>
      </c>
      <c r="B38022">
        <f>TEXT(38021, "[$-0E0000]yyyy-mm-dd")</f>
        <v/>
      </c>
      <c r="C38022" t="inlineStr">
        <is>
          <t>2004-01-15</t>
        </is>
      </c>
    </row>
    <row r="38023">
      <c r="A38023" s="1" t="n">
        <v>38022</v>
      </c>
      <c r="B38023">
        <f>TEXT(38022, "[$-0E0000]yyyy-mm-dd")</f>
        <v/>
      </c>
      <c r="C38023" t="inlineStr">
        <is>
          <t>2004-01-16</t>
        </is>
      </c>
    </row>
    <row r="38024">
      <c r="A38024" s="1" t="n">
        <v>38023</v>
      </c>
      <c r="B38024">
        <f>TEXT(38023, "[$-0E0000]yyyy-mm-dd")</f>
        <v/>
      </c>
      <c r="C38024" t="inlineStr">
        <is>
          <t>2004-01-17</t>
        </is>
      </c>
    </row>
    <row r="38025">
      <c r="A38025" s="1" t="n">
        <v>38024</v>
      </c>
      <c r="B38025">
        <f>TEXT(38024, "[$-0E0000]yyyy-mm-dd")</f>
        <v/>
      </c>
      <c r="C38025" t="inlineStr">
        <is>
          <t>2004-01-18</t>
        </is>
      </c>
    </row>
    <row r="38026">
      <c r="A38026" s="1" t="n">
        <v>38025</v>
      </c>
      <c r="B38026">
        <f>TEXT(38025, "[$-0E0000]yyyy-mm-dd")</f>
        <v/>
      </c>
      <c r="C38026" t="inlineStr">
        <is>
          <t>2004-01-19</t>
        </is>
      </c>
    </row>
    <row r="38027">
      <c r="A38027" s="1" t="n">
        <v>38026</v>
      </c>
      <c r="B38027">
        <f>TEXT(38026, "[$-0E0000]yyyy-mm-dd")</f>
        <v/>
      </c>
      <c r="C38027" t="inlineStr">
        <is>
          <t>2004-01-20</t>
        </is>
      </c>
    </row>
    <row r="38028">
      <c r="A38028" s="1" t="n">
        <v>38027</v>
      </c>
      <c r="B38028">
        <f>TEXT(38027, "[$-0E0000]yyyy-mm-dd")</f>
        <v/>
      </c>
      <c r="C38028" t="inlineStr">
        <is>
          <t>2004-01-21</t>
        </is>
      </c>
    </row>
    <row r="38029">
      <c r="A38029" s="1" t="n">
        <v>38028</v>
      </c>
      <c r="B38029">
        <f>TEXT(38028, "[$-0E0000]yyyy-mm-dd")</f>
        <v/>
      </c>
      <c r="C38029" t="inlineStr">
        <is>
          <t>2004-01-22</t>
        </is>
      </c>
    </row>
    <row r="38030">
      <c r="A38030" s="1" t="n">
        <v>38029</v>
      </c>
      <c r="B38030">
        <f>TEXT(38029, "[$-0E0000]yyyy-mm-dd")</f>
        <v/>
      </c>
      <c r="C38030" t="inlineStr">
        <is>
          <t>2004-01-23</t>
        </is>
      </c>
    </row>
    <row r="38031">
      <c r="A38031" s="1" t="n">
        <v>38030</v>
      </c>
      <c r="B38031">
        <f>TEXT(38030, "[$-0E0000]yyyy-mm-dd")</f>
        <v/>
      </c>
      <c r="C38031" t="inlineStr">
        <is>
          <t>2004-01-24</t>
        </is>
      </c>
    </row>
    <row r="38032">
      <c r="A38032" s="1" t="n">
        <v>38031</v>
      </c>
      <c r="B38032">
        <f>TEXT(38031, "[$-0E0000]yyyy-mm-dd")</f>
        <v/>
      </c>
      <c r="C38032" t="inlineStr">
        <is>
          <t>2004-01-25</t>
        </is>
      </c>
    </row>
    <row r="38033">
      <c r="A38033" s="1" t="n">
        <v>38032</v>
      </c>
      <c r="B38033">
        <f>TEXT(38032, "[$-0E0000]yyyy-mm-dd")</f>
        <v/>
      </c>
      <c r="C38033" t="inlineStr">
        <is>
          <t>2004-01-26</t>
        </is>
      </c>
    </row>
    <row r="38034">
      <c r="A38034" s="1" t="n">
        <v>38033</v>
      </c>
      <c r="B38034">
        <f>TEXT(38033, "[$-0E0000]yyyy-mm-dd")</f>
        <v/>
      </c>
      <c r="C38034" t="inlineStr">
        <is>
          <t>2004-01-27</t>
        </is>
      </c>
    </row>
    <row r="38035">
      <c r="A38035" s="1" t="n">
        <v>38034</v>
      </c>
      <c r="B38035">
        <f>TEXT(38034, "[$-0E0000]yyyy-mm-dd")</f>
        <v/>
      </c>
      <c r="C38035" t="inlineStr">
        <is>
          <t>2004-01-28</t>
        </is>
      </c>
    </row>
    <row r="38036">
      <c r="A38036" s="1" t="n">
        <v>38035</v>
      </c>
      <c r="B38036">
        <f>TEXT(38035, "[$-0E0000]yyyy-mm-dd")</f>
        <v/>
      </c>
      <c r="C38036" t="inlineStr">
        <is>
          <t>2004-01-29</t>
        </is>
      </c>
    </row>
    <row r="38037">
      <c r="A38037" s="1" t="n">
        <v>38036</v>
      </c>
      <c r="B38037">
        <f>TEXT(38036, "[$-0E0000]yyyy-mm-dd")</f>
        <v/>
      </c>
      <c r="C38037" t="inlineStr">
        <is>
          <t>2004-02-01</t>
        </is>
      </c>
    </row>
    <row r="38038">
      <c r="A38038" s="1" t="n">
        <v>38037</v>
      </c>
      <c r="B38038">
        <f>TEXT(38037, "[$-0E0000]yyyy-mm-dd")</f>
        <v/>
      </c>
      <c r="C38038" t="inlineStr">
        <is>
          <t>2004-02-02</t>
        </is>
      </c>
    </row>
    <row r="38039">
      <c r="A38039" s="1" t="n">
        <v>38038</v>
      </c>
      <c r="B38039">
        <f>TEXT(38038, "[$-0E0000]yyyy-mm-dd")</f>
        <v/>
      </c>
      <c r="C38039" t="inlineStr">
        <is>
          <t>2004-02-03</t>
        </is>
      </c>
    </row>
    <row r="38040">
      <c r="A38040" s="1" t="n">
        <v>38039</v>
      </c>
      <c r="B38040">
        <f>TEXT(38039, "[$-0E0000]yyyy-mm-dd")</f>
        <v/>
      </c>
      <c r="C38040" t="inlineStr">
        <is>
          <t>2004-02-04</t>
        </is>
      </c>
    </row>
    <row r="38041">
      <c r="A38041" s="1" t="n">
        <v>38040</v>
      </c>
      <c r="B38041">
        <f>TEXT(38040, "[$-0E0000]yyyy-mm-dd")</f>
        <v/>
      </c>
      <c r="C38041" t="inlineStr">
        <is>
          <t>2004-02-05</t>
        </is>
      </c>
    </row>
    <row r="38042">
      <c r="A38042" s="1" t="n">
        <v>38041</v>
      </c>
      <c r="B38042">
        <f>TEXT(38041, "[$-0E0000]yyyy-mm-dd")</f>
        <v/>
      </c>
      <c r="C38042" t="inlineStr">
        <is>
          <t>2004-02-06</t>
        </is>
      </c>
    </row>
    <row r="38043">
      <c r="A38043" s="1" t="n">
        <v>38042</v>
      </c>
      <c r="B38043">
        <f>TEXT(38042, "[$-0E0000]yyyy-mm-dd")</f>
        <v/>
      </c>
      <c r="C38043" t="inlineStr">
        <is>
          <t>2004-02-07</t>
        </is>
      </c>
    </row>
    <row r="38044">
      <c r="A38044" s="1" t="n">
        <v>38043</v>
      </c>
      <c r="B38044">
        <f>TEXT(38043, "[$-0E0000]yyyy-mm-dd")</f>
        <v/>
      </c>
      <c r="C38044" t="inlineStr">
        <is>
          <t>2004-02-08</t>
        </is>
      </c>
    </row>
    <row r="38045">
      <c r="A38045" s="1" t="n">
        <v>38044</v>
      </c>
      <c r="B38045">
        <f>TEXT(38044, "[$-0E0000]yyyy-mm-dd")</f>
        <v/>
      </c>
      <c r="C38045" t="inlineStr">
        <is>
          <t>2004-02-09</t>
        </is>
      </c>
    </row>
    <row r="38046">
      <c r="A38046" s="1" t="n">
        <v>38045</v>
      </c>
      <c r="B38046">
        <f>TEXT(38045, "[$-0E0000]yyyy-mm-dd")</f>
        <v/>
      </c>
      <c r="C38046" t="inlineStr">
        <is>
          <t>2004-02-10</t>
        </is>
      </c>
    </row>
    <row r="38047">
      <c r="A38047" s="1" t="n">
        <v>38046</v>
      </c>
      <c r="B38047">
        <f>TEXT(38046, "[$-0E0000]yyyy-mm-dd")</f>
        <v/>
      </c>
      <c r="C38047" t="inlineStr">
        <is>
          <t>2004-02-11</t>
        </is>
      </c>
    </row>
    <row r="38048">
      <c r="A38048" s="1" t="n">
        <v>38047</v>
      </c>
      <c r="B38048">
        <f>TEXT(38047, "[$-0E0000]yyyy-mm-dd")</f>
        <v/>
      </c>
      <c r="C38048" t="inlineStr">
        <is>
          <t>2004-02-12</t>
        </is>
      </c>
    </row>
    <row r="38049">
      <c r="A38049" s="1" t="n">
        <v>38048</v>
      </c>
      <c r="B38049">
        <f>TEXT(38048, "[$-0E0000]yyyy-mm-dd")</f>
        <v/>
      </c>
      <c r="C38049" t="inlineStr">
        <is>
          <t>2004-02-13</t>
        </is>
      </c>
    </row>
    <row r="38050">
      <c r="A38050" s="1" t="n">
        <v>38049</v>
      </c>
      <c r="B38050">
        <f>TEXT(38049, "[$-0E0000]yyyy-mm-dd")</f>
        <v/>
      </c>
      <c r="C38050" t="inlineStr">
        <is>
          <t>2004-02-14</t>
        </is>
      </c>
    </row>
    <row r="38051">
      <c r="A38051" s="1" t="n">
        <v>38050</v>
      </c>
      <c r="B38051">
        <f>TEXT(38050, "[$-0E0000]yyyy-mm-dd")</f>
        <v/>
      </c>
      <c r="C38051" t="inlineStr">
        <is>
          <t>2004-02-15</t>
        </is>
      </c>
    </row>
    <row r="38052">
      <c r="A38052" s="1" t="n">
        <v>38051</v>
      </c>
      <c r="B38052">
        <f>TEXT(38051, "[$-0E0000]yyyy-mm-dd")</f>
        <v/>
      </c>
      <c r="C38052" t="inlineStr">
        <is>
          <t>2004-02-16</t>
        </is>
      </c>
    </row>
    <row r="38053">
      <c r="A38053" s="1" t="n">
        <v>38052</v>
      </c>
      <c r="B38053">
        <f>TEXT(38052, "[$-0E0000]yyyy-mm-dd")</f>
        <v/>
      </c>
      <c r="C38053" t="inlineStr">
        <is>
          <t>2004-02-17</t>
        </is>
      </c>
    </row>
    <row r="38054">
      <c r="A38054" s="1" t="n">
        <v>38053</v>
      </c>
      <c r="B38054">
        <f>TEXT(38053, "[$-0E0000]yyyy-mm-dd")</f>
        <v/>
      </c>
      <c r="C38054" t="inlineStr">
        <is>
          <t>2004-02-18</t>
        </is>
      </c>
    </row>
    <row r="38055">
      <c r="A38055" s="1" t="n">
        <v>38054</v>
      </c>
      <c r="B38055">
        <f>TEXT(38054, "[$-0E0000]yyyy-mm-dd")</f>
        <v/>
      </c>
      <c r="C38055" t="inlineStr">
        <is>
          <t>2004-02-19</t>
        </is>
      </c>
    </row>
    <row r="38056">
      <c r="A38056" s="1" t="n">
        <v>38055</v>
      </c>
      <c r="B38056">
        <f>TEXT(38055, "[$-0E0000]yyyy-mm-dd")</f>
        <v/>
      </c>
      <c r="C38056" t="inlineStr">
        <is>
          <t>2004-02-20</t>
        </is>
      </c>
    </row>
    <row r="38057">
      <c r="A38057" s="1" t="n">
        <v>38056</v>
      </c>
      <c r="B38057">
        <f>TEXT(38056, "[$-0E0000]yyyy-mm-dd")</f>
        <v/>
      </c>
      <c r="C38057" t="inlineStr">
        <is>
          <t>2004-02-21</t>
        </is>
      </c>
    </row>
    <row r="38058">
      <c r="A38058" s="1" t="n">
        <v>38057</v>
      </c>
      <c r="B38058">
        <f>TEXT(38057, "[$-0E0000]yyyy-mm-dd")</f>
        <v/>
      </c>
      <c r="C38058" t="inlineStr">
        <is>
          <t>2004-02-22</t>
        </is>
      </c>
    </row>
    <row r="38059">
      <c r="A38059" s="1" t="n">
        <v>38058</v>
      </c>
      <c r="B38059">
        <f>TEXT(38058, "[$-0E0000]yyyy-mm-dd")</f>
        <v/>
      </c>
      <c r="C38059" t="inlineStr">
        <is>
          <t>2004-02-23</t>
        </is>
      </c>
    </row>
    <row r="38060">
      <c r="A38060" s="1" t="n">
        <v>38059</v>
      </c>
      <c r="B38060">
        <f>TEXT(38059, "[$-0E0000]yyyy-mm-dd")</f>
        <v/>
      </c>
      <c r="C38060" t="inlineStr">
        <is>
          <t>2004-02-24</t>
        </is>
      </c>
    </row>
    <row r="38061">
      <c r="A38061" s="1" t="n">
        <v>38060</v>
      </c>
      <c r="B38061">
        <f>TEXT(38060, "[$-0E0000]yyyy-mm-dd")</f>
        <v/>
      </c>
      <c r="C38061" t="inlineStr">
        <is>
          <t>2004-02-25</t>
        </is>
      </c>
    </row>
    <row r="38062">
      <c r="A38062" s="1" t="n">
        <v>38061</v>
      </c>
      <c r="B38062">
        <f>TEXT(38061, "[$-0E0000]yyyy-mm-dd")</f>
        <v/>
      </c>
      <c r="C38062" t="inlineStr">
        <is>
          <t>2004-02-26</t>
        </is>
      </c>
    </row>
    <row r="38063">
      <c r="A38063" s="1" t="n">
        <v>38062</v>
      </c>
      <c r="B38063">
        <f>TEXT(38062, "[$-0E0000]yyyy-mm-dd")</f>
        <v/>
      </c>
      <c r="C38063" t="inlineStr">
        <is>
          <t>2004-02-27</t>
        </is>
      </c>
    </row>
    <row r="38064">
      <c r="A38064" s="1" t="n">
        <v>38063</v>
      </c>
      <c r="B38064">
        <f>TEXT(38063, "[$-0E0000]yyyy-mm-dd")</f>
        <v/>
      </c>
      <c r="C38064" t="inlineStr">
        <is>
          <t>2004-02-28</t>
        </is>
      </c>
    </row>
    <row r="38065">
      <c r="A38065" s="1" t="n">
        <v>38064</v>
      </c>
      <c r="B38065">
        <f>TEXT(38064, "[$-0E0000]yyyy-mm-dd")</f>
        <v/>
      </c>
      <c r="C38065" t="inlineStr">
        <is>
          <t>2004-02-29</t>
        </is>
      </c>
    </row>
    <row r="38066">
      <c r="A38066" s="1" t="n">
        <v>38065</v>
      </c>
      <c r="B38066">
        <f>TEXT(38065, "[$-0E0000]yyyy-mm-dd")</f>
        <v/>
      </c>
      <c r="C38066" t="inlineStr">
        <is>
          <t>2004-02-30</t>
        </is>
      </c>
    </row>
    <row r="38067">
      <c r="A38067" s="1" t="n">
        <v>38066</v>
      </c>
      <c r="B38067">
        <f>TEXT(38066, "[$-0E0000]yyyy-mm-dd")</f>
        <v/>
      </c>
      <c r="C38067" t="inlineStr">
        <is>
          <t>2004-02-01</t>
        </is>
      </c>
    </row>
    <row r="38068">
      <c r="A38068" s="1" t="n">
        <v>38067</v>
      </c>
      <c r="B38068">
        <f>TEXT(38067, "[$-0E0000]yyyy-mm-dd")</f>
        <v/>
      </c>
      <c r="C38068" t="inlineStr">
        <is>
          <t>2004-02-02</t>
        </is>
      </c>
    </row>
    <row r="38069">
      <c r="A38069" s="1" t="n">
        <v>38068</v>
      </c>
      <c r="B38069">
        <f>TEXT(38068, "[$-0E0000]yyyy-mm-dd")</f>
        <v/>
      </c>
      <c r="C38069" t="inlineStr">
        <is>
          <t>2004-02-03</t>
        </is>
      </c>
    </row>
    <row r="38070">
      <c r="A38070" s="1" t="n">
        <v>38069</v>
      </c>
      <c r="B38070">
        <f>TEXT(38069, "[$-0E0000]yyyy-mm-dd")</f>
        <v/>
      </c>
      <c r="C38070" t="inlineStr">
        <is>
          <t>2004-02-04</t>
        </is>
      </c>
    </row>
    <row r="38071">
      <c r="A38071" s="1" t="n">
        <v>38070</v>
      </c>
      <c r="B38071">
        <f>TEXT(38070, "[$-0E0000]yyyy-mm-dd")</f>
        <v/>
      </c>
      <c r="C38071" t="inlineStr">
        <is>
          <t>2004-02-05</t>
        </is>
      </c>
    </row>
    <row r="38072">
      <c r="A38072" s="1" t="n">
        <v>38071</v>
      </c>
      <c r="B38072">
        <f>TEXT(38071, "[$-0E0000]yyyy-mm-dd")</f>
        <v/>
      </c>
      <c r="C38072" t="inlineStr">
        <is>
          <t>2004-02-06</t>
        </is>
      </c>
    </row>
    <row r="38073">
      <c r="A38073" s="1" t="n">
        <v>38072</v>
      </c>
      <c r="B38073">
        <f>TEXT(38072, "[$-0E0000]yyyy-mm-dd")</f>
        <v/>
      </c>
      <c r="C38073" t="inlineStr">
        <is>
          <t>2004-02-07</t>
        </is>
      </c>
    </row>
    <row r="38074">
      <c r="A38074" s="1" t="n">
        <v>38073</v>
      </c>
      <c r="B38074">
        <f>TEXT(38073, "[$-0E0000]yyyy-mm-dd")</f>
        <v/>
      </c>
      <c r="C38074" t="inlineStr">
        <is>
          <t>2004-02-08</t>
        </is>
      </c>
    </row>
    <row r="38075">
      <c r="A38075" s="1" t="n">
        <v>38074</v>
      </c>
      <c r="B38075">
        <f>TEXT(38074, "[$-0E0000]yyyy-mm-dd")</f>
        <v/>
      </c>
      <c r="C38075" t="inlineStr">
        <is>
          <t>2004-02-09</t>
        </is>
      </c>
    </row>
    <row r="38076">
      <c r="A38076" s="1" t="n">
        <v>38075</v>
      </c>
      <c r="B38076">
        <f>TEXT(38075, "[$-0E0000]yyyy-mm-dd")</f>
        <v/>
      </c>
      <c r="C38076" t="inlineStr">
        <is>
          <t>2004-02-10</t>
        </is>
      </c>
    </row>
    <row r="38077">
      <c r="A38077" s="1" t="n">
        <v>38076</v>
      </c>
      <c r="B38077">
        <f>TEXT(38076, "[$-0E0000]yyyy-mm-dd")</f>
        <v/>
      </c>
      <c r="C38077" t="inlineStr">
        <is>
          <t>2004-02-11</t>
        </is>
      </c>
    </row>
    <row r="38078">
      <c r="A38078" s="1" t="n">
        <v>38077</v>
      </c>
      <c r="B38078">
        <f>TEXT(38077, "[$-0E0000]yyyy-mm-dd")</f>
        <v/>
      </c>
      <c r="C38078" t="inlineStr">
        <is>
          <t>2004-02-12</t>
        </is>
      </c>
    </row>
    <row r="38079">
      <c r="A38079" s="1" t="n">
        <v>38078</v>
      </c>
      <c r="B38079">
        <f>TEXT(38078, "[$-0E0000]yyyy-mm-dd")</f>
        <v/>
      </c>
      <c r="C38079" t="inlineStr">
        <is>
          <t>2004-02-13</t>
        </is>
      </c>
    </row>
    <row r="38080">
      <c r="A38080" s="1" t="n">
        <v>38079</v>
      </c>
      <c r="B38080">
        <f>TEXT(38079, "[$-0E0000]yyyy-mm-dd")</f>
        <v/>
      </c>
      <c r="C38080" t="inlineStr">
        <is>
          <t>2004-02-14</t>
        </is>
      </c>
    </row>
    <row r="38081">
      <c r="A38081" s="1" t="n">
        <v>38080</v>
      </c>
      <c r="B38081">
        <f>TEXT(38080, "[$-0E0000]yyyy-mm-dd")</f>
        <v/>
      </c>
      <c r="C38081" t="inlineStr">
        <is>
          <t>2004-02-15</t>
        </is>
      </c>
    </row>
    <row r="38082">
      <c r="A38082" s="1" t="n">
        <v>38081</v>
      </c>
      <c r="B38082">
        <f>TEXT(38081, "[$-0E0000]yyyy-mm-dd")</f>
        <v/>
      </c>
      <c r="C38082" t="inlineStr">
        <is>
          <t>2004-02-16</t>
        </is>
      </c>
    </row>
    <row r="38083">
      <c r="A38083" s="1" t="n">
        <v>38082</v>
      </c>
      <c r="B38083">
        <f>TEXT(38082, "[$-0E0000]yyyy-mm-dd")</f>
        <v/>
      </c>
      <c r="C38083" t="inlineStr">
        <is>
          <t>2004-02-17</t>
        </is>
      </c>
    </row>
    <row r="38084">
      <c r="A38084" s="1" t="n">
        <v>38083</v>
      </c>
      <c r="B38084">
        <f>TEXT(38083, "[$-0E0000]yyyy-mm-dd")</f>
        <v/>
      </c>
      <c r="C38084" t="inlineStr">
        <is>
          <t>2004-02-18</t>
        </is>
      </c>
    </row>
    <row r="38085">
      <c r="A38085" s="1" t="n">
        <v>38084</v>
      </c>
      <c r="B38085">
        <f>TEXT(38084, "[$-0E0000]yyyy-mm-dd")</f>
        <v/>
      </c>
      <c r="C38085" t="inlineStr">
        <is>
          <t>2004-02-19</t>
        </is>
      </c>
    </row>
    <row r="38086">
      <c r="A38086" s="1" t="n">
        <v>38085</v>
      </c>
      <c r="B38086">
        <f>TEXT(38085, "[$-0E0000]yyyy-mm-dd")</f>
        <v/>
      </c>
      <c r="C38086" t="inlineStr">
        <is>
          <t>2004-02-20</t>
        </is>
      </c>
    </row>
    <row r="38087">
      <c r="A38087" s="1" t="n">
        <v>38086</v>
      </c>
      <c r="B38087">
        <f>TEXT(38086, "[$-0E0000]yyyy-mm-dd")</f>
        <v/>
      </c>
      <c r="C38087" t="inlineStr">
        <is>
          <t>2004-02-21</t>
        </is>
      </c>
    </row>
    <row r="38088">
      <c r="A38088" s="1" t="n">
        <v>38087</v>
      </c>
      <c r="B38088">
        <f>TEXT(38087, "[$-0E0000]yyyy-mm-dd")</f>
        <v/>
      </c>
      <c r="C38088" t="inlineStr">
        <is>
          <t>2004-02-22</t>
        </is>
      </c>
    </row>
    <row r="38089">
      <c r="A38089" s="1" t="n">
        <v>38088</v>
      </c>
      <c r="B38089">
        <f>TEXT(38088, "[$-0E0000]yyyy-mm-dd")</f>
        <v/>
      </c>
      <c r="C38089" t="inlineStr">
        <is>
          <t>2004-02-23</t>
        </is>
      </c>
    </row>
    <row r="38090">
      <c r="A38090" s="1" t="n">
        <v>38089</v>
      </c>
      <c r="B38090">
        <f>TEXT(38089, "[$-0E0000]yyyy-mm-dd")</f>
        <v/>
      </c>
      <c r="C38090" t="inlineStr">
        <is>
          <t>2004-02-24</t>
        </is>
      </c>
    </row>
    <row r="38091">
      <c r="A38091" s="1" t="n">
        <v>38090</v>
      </c>
      <c r="B38091">
        <f>TEXT(38090, "[$-0E0000]yyyy-mm-dd")</f>
        <v/>
      </c>
      <c r="C38091" t="inlineStr">
        <is>
          <t>2004-02-25</t>
        </is>
      </c>
    </row>
    <row r="38092">
      <c r="A38092" s="1" t="n">
        <v>38091</v>
      </c>
      <c r="B38092">
        <f>TEXT(38091, "[$-0E0000]yyyy-mm-dd")</f>
        <v/>
      </c>
      <c r="C38092" t="inlineStr">
        <is>
          <t>2004-02-26</t>
        </is>
      </c>
    </row>
    <row r="38093">
      <c r="A38093" s="1" t="n">
        <v>38092</v>
      </c>
      <c r="B38093">
        <f>TEXT(38092, "[$-0E0000]yyyy-mm-dd")</f>
        <v/>
      </c>
      <c r="C38093" t="inlineStr">
        <is>
          <t>2004-02-27</t>
        </is>
      </c>
    </row>
    <row r="38094">
      <c r="A38094" s="1" t="n">
        <v>38093</v>
      </c>
      <c r="B38094">
        <f>TEXT(38093, "[$-0E0000]yyyy-mm-dd")</f>
        <v/>
      </c>
      <c r="C38094" t="inlineStr">
        <is>
          <t>2004-02-28</t>
        </is>
      </c>
    </row>
    <row r="38095">
      <c r="A38095" s="1" t="n">
        <v>38094</v>
      </c>
      <c r="B38095">
        <f>TEXT(38094, "[$-0E0000]yyyy-mm-dd")</f>
        <v/>
      </c>
      <c r="C38095" t="inlineStr">
        <is>
          <t>2004-02-29</t>
        </is>
      </c>
    </row>
    <row r="38096">
      <c r="A38096" s="1" t="n">
        <v>38095</v>
      </c>
      <c r="B38096">
        <f>TEXT(38095, "[$-0E0000]yyyy-mm-dd")</f>
        <v/>
      </c>
      <c r="C38096" t="inlineStr">
        <is>
          <t>2004-03-01</t>
        </is>
      </c>
    </row>
    <row r="38097">
      <c r="A38097" s="1" t="n">
        <v>38096</v>
      </c>
      <c r="B38097">
        <f>TEXT(38096, "[$-0E0000]yyyy-mm-dd")</f>
        <v/>
      </c>
      <c r="C38097" t="inlineStr">
        <is>
          <t>2004-03-02</t>
        </is>
      </c>
    </row>
    <row r="38098">
      <c r="A38098" s="1" t="n">
        <v>38097</v>
      </c>
      <c r="B38098">
        <f>TEXT(38097, "[$-0E0000]yyyy-mm-dd")</f>
        <v/>
      </c>
      <c r="C38098" t="inlineStr">
        <is>
          <t>2004-03-03</t>
        </is>
      </c>
    </row>
    <row r="38099">
      <c r="A38099" s="1" t="n">
        <v>38098</v>
      </c>
      <c r="B38099">
        <f>TEXT(38098, "[$-0E0000]yyyy-mm-dd")</f>
        <v/>
      </c>
      <c r="C38099" t="inlineStr">
        <is>
          <t>2004-03-04</t>
        </is>
      </c>
    </row>
    <row r="38100">
      <c r="A38100" s="1" t="n">
        <v>38099</v>
      </c>
      <c r="B38100">
        <f>TEXT(38099, "[$-0E0000]yyyy-mm-dd")</f>
        <v/>
      </c>
      <c r="C38100" t="inlineStr">
        <is>
          <t>2004-03-05</t>
        </is>
      </c>
    </row>
    <row r="38101">
      <c r="A38101" s="1" t="n">
        <v>38100</v>
      </c>
      <c r="B38101">
        <f>TEXT(38100, "[$-0E0000]yyyy-mm-dd")</f>
        <v/>
      </c>
      <c r="C38101" t="inlineStr">
        <is>
          <t>2004-03-06</t>
        </is>
      </c>
    </row>
    <row r="38102">
      <c r="A38102" s="1" t="n">
        <v>38101</v>
      </c>
      <c r="B38102">
        <f>TEXT(38101, "[$-0E0000]yyyy-mm-dd")</f>
        <v/>
      </c>
      <c r="C38102" t="inlineStr">
        <is>
          <t>2004-03-07</t>
        </is>
      </c>
    </row>
    <row r="38103">
      <c r="A38103" s="1" t="n">
        <v>38102</v>
      </c>
      <c r="B38103">
        <f>TEXT(38102, "[$-0E0000]yyyy-mm-dd")</f>
        <v/>
      </c>
      <c r="C38103" t="inlineStr">
        <is>
          <t>2004-03-08</t>
        </is>
      </c>
    </row>
    <row r="38104">
      <c r="A38104" s="1" t="n">
        <v>38103</v>
      </c>
      <c r="B38104">
        <f>TEXT(38103, "[$-0E0000]yyyy-mm-dd")</f>
        <v/>
      </c>
      <c r="C38104" t="inlineStr">
        <is>
          <t>2004-03-09</t>
        </is>
      </c>
    </row>
    <row r="38105">
      <c r="A38105" s="1" t="n">
        <v>38104</v>
      </c>
      <c r="B38105">
        <f>TEXT(38104, "[$-0E0000]yyyy-mm-dd")</f>
        <v/>
      </c>
      <c r="C38105" t="inlineStr">
        <is>
          <t>2004-03-10</t>
        </is>
      </c>
    </row>
    <row r="38106">
      <c r="A38106" s="1" t="n">
        <v>38105</v>
      </c>
      <c r="B38106">
        <f>TEXT(38105, "[$-0E0000]yyyy-mm-dd")</f>
        <v/>
      </c>
      <c r="C38106" t="inlineStr">
        <is>
          <t>2004-03-11</t>
        </is>
      </c>
    </row>
    <row r="38107">
      <c r="A38107" s="1" t="n">
        <v>38106</v>
      </c>
      <c r="B38107">
        <f>TEXT(38106, "[$-0E0000]yyyy-mm-dd")</f>
        <v/>
      </c>
      <c r="C38107" t="inlineStr">
        <is>
          <t>2004-03-12</t>
        </is>
      </c>
    </row>
    <row r="38108">
      <c r="A38108" s="1" t="n">
        <v>38107</v>
      </c>
      <c r="B38108">
        <f>TEXT(38107, "[$-0E0000]yyyy-mm-dd")</f>
        <v/>
      </c>
      <c r="C38108" t="inlineStr">
        <is>
          <t>2004-03-13</t>
        </is>
      </c>
    </row>
    <row r="38109">
      <c r="A38109" s="1" t="n">
        <v>38108</v>
      </c>
      <c r="B38109">
        <f>TEXT(38108, "[$-0E0000]yyyy-mm-dd")</f>
        <v/>
      </c>
      <c r="C38109" t="inlineStr">
        <is>
          <t>2004-03-14</t>
        </is>
      </c>
    </row>
    <row r="38110">
      <c r="A38110" s="1" t="n">
        <v>38109</v>
      </c>
      <c r="B38110">
        <f>TEXT(38109, "[$-0E0000]yyyy-mm-dd")</f>
        <v/>
      </c>
      <c r="C38110" t="inlineStr">
        <is>
          <t>2004-03-15</t>
        </is>
      </c>
    </row>
    <row r="38111">
      <c r="A38111" s="1" t="n">
        <v>38110</v>
      </c>
      <c r="B38111">
        <f>TEXT(38110, "[$-0E0000]yyyy-mm-dd")</f>
        <v/>
      </c>
      <c r="C38111" t="inlineStr">
        <is>
          <t>2004-03-16</t>
        </is>
      </c>
    </row>
    <row r="38112">
      <c r="A38112" s="1" t="n">
        <v>38111</v>
      </c>
      <c r="B38112">
        <f>TEXT(38111, "[$-0E0000]yyyy-mm-dd")</f>
        <v/>
      </c>
      <c r="C38112" t="inlineStr">
        <is>
          <t>2004-03-17</t>
        </is>
      </c>
    </row>
    <row r="38113">
      <c r="A38113" s="1" t="n">
        <v>38112</v>
      </c>
      <c r="B38113">
        <f>TEXT(38112, "[$-0E0000]yyyy-mm-dd")</f>
        <v/>
      </c>
      <c r="C38113" t="inlineStr">
        <is>
          <t>2004-03-18</t>
        </is>
      </c>
    </row>
    <row r="38114">
      <c r="A38114" s="1" t="n">
        <v>38113</v>
      </c>
      <c r="B38114">
        <f>TEXT(38113, "[$-0E0000]yyyy-mm-dd")</f>
        <v/>
      </c>
      <c r="C38114" t="inlineStr">
        <is>
          <t>2004-03-19</t>
        </is>
      </c>
    </row>
    <row r="38115">
      <c r="A38115" s="1" t="n">
        <v>38114</v>
      </c>
      <c r="B38115">
        <f>TEXT(38114, "[$-0E0000]yyyy-mm-dd")</f>
        <v/>
      </c>
      <c r="C38115" t="inlineStr">
        <is>
          <t>2004-03-20</t>
        </is>
      </c>
    </row>
    <row r="38116">
      <c r="A38116" s="1" t="n">
        <v>38115</v>
      </c>
      <c r="B38116">
        <f>TEXT(38115, "[$-0E0000]yyyy-mm-dd")</f>
        <v/>
      </c>
      <c r="C38116" t="inlineStr">
        <is>
          <t>2004-03-21</t>
        </is>
      </c>
    </row>
    <row r="38117">
      <c r="A38117" s="1" t="n">
        <v>38116</v>
      </c>
      <c r="B38117">
        <f>TEXT(38116, "[$-0E0000]yyyy-mm-dd")</f>
        <v/>
      </c>
      <c r="C38117" t="inlineStr">
        <is>
          <t>2004-03-22</t>
        </is>
      </c>
    </row>
    <row r="38118">
      <c r="A38118" s="1" t="n">
        <v>38117</v>
      </c>
      <c r="B38118">
        <f>TEXT(38117, "[$-0E0000]yyyy-mm-dd")</f>
        <v/>
      </c>
      <c r="C38118" t="inlineStr">
        <is>
          <t>2004-03-23</t>
        </is>
      </c>
    </row>
    <row r="38119">
      <c r="A38119" s="1" t="n">
        <v>38118</v>
      </c>
      <c r="B38119">
        <f>TEXT(38118, "[$-0E0000]yyyy-mm-dd")</f>
        <v/>
      </c>
      <c r="C38119" t="inlineStr">
        <is>
          <t>2004-03-24</t>
        </is>
      </c>
    </row>
    <row r="38120">
      <c r="A38120" s="1" t="n">
        <v>38119</v>
      </c>
      <c r="B38120">
        <f>TEXT(38119, "[$-0E0000]yyyy-mm-dd")</f>
        <v/>
      </c>
      <c r="C38120" t="inlineStr">
        <is>
          <t>2004-03-25</t>
        </is>
      </c>
    </row>
    <row r="38121">
      <c r="A38121" s="1" t="n">
        <v>38120</v>
      </c>
      <c r="B38121">
        <f>TEXT(38120, "[$-0E0000]yyyy-mm-dd")</f>
        <v/>
      </c>
      <c r="C38121" t="inlineStr">
        <is>
          <t>2004-03-26</t>
        </is>
      </c>
    </row>
    <row r="38122">
      <c r="A38122" s="1" t="n">
        <v>38121</v>
      </c>
      <c r="B38122">
        <f>TEXT(38121, "[$-0E0000]yyyy-mm-dd")</f>
        <v/>
      </c>
      <c r="C38122" t="inlineStr">
        <is>
          <t>2004-03-27</t>
        </is>
      </c>
    </row>
    <row r="38123">
      <c r="A38123" s="1" t="n">
        <v>38122</v>
      </c>
      <c r="B38123">
        <f>TEXT(38122, "[$-0E0000]yyyy-mm-dd")</f>
        <v/>
      </c>
      <c r="C38123" t="inlineStr">
        <is>
          <t>2004-03-28</t>
        </is>
      </c>
    </row>
    <row r="38124">
      <c r="A38124" s="1" t="n">
        <v>38123</v>
      </c>
      <c r="B38124">
        <f>TEXT(38123, "[$-0E0000]yyyy-mm-dd")</f>
        <v/>
      </c>
      <c r="C38124" t="inlineStr">
        <is>
          <t>2004-03-29</t>
        </is>
      </c>
    </row>
    <row r="38125">
      <c r="A38125" s="1" t="n">
        <v>38124</v>
      </c>
      <c r="B38125">
        <f>TEXT(38124, "[$-0E0000]yyyy-mm-dd")</f>
        <v/>
      </c>
      <c r="C38125" t="inlineStr">
        <is>
          <t>2004-03-30</t>
        </is>
      </c>
    </row>
    <row r="38126">
      <c r="A38126" s="1" t="n">
        <v>38125</v>
      </c>
      <c r="B38126">
        <f>TEXT(38125, "[$-0E0000]yyyy-mm-dd")</f>
        <v/>
      </c>
      <c r="C38126" t="inlineStr">
        <is>
          <t>2004-04-01</t>
        </is>
      </c>
    </row>
    <row r="38127">
      <c r="A38127" s="1" t="n">
        <v>38126</v>
      </c>
      <c r="B38127">
        <f>TEXT(38126, "[$-0E0000]yyyy-mm-dd")</f>
        <v/>
      </c>
      <c r="C38127" t="inlineStr">
        <is>
          <t>2004-04-02</t>
        </is>
      </c>
    </row>
    <row r="38128">
      <c r="A38128" s="1" t="n">
        <v>38127</v>
      </c>
      <c r="B38128">
        <f>TEXT(38127, "[$-0E0000]yyyy-mm-dd")</f>
        <v/>
      </c>
      <c r="C38128" t="inlineStr">
        <is>
          <t>2004-04-03</t>
        </is>
      </c>
    </row>
    <row r="38129">
      <c r="A38129" s="1" t="n">
        <v>38128</v>
      </c>
      <c r="B38129">
        <f>TEXT(38128, "[$-0E0000]yyyy-mm-dd")</f>
        <v/>
      </c>
      <c r="C38129" t="inlineStr">
        <is>
          <t>2004-04-04</t>
        </is>
      </c>
    </row>
    <row r="38130">
      <c r="A38130" s="1" t="n">
        <v>38129</v>
      </c>
      <c r="B38130">
        <f>TEXT(38129, "[$-0E0000]yyyy-mm-dd")</f>
        <v/>
      </c>
      <c r="C38130" t="inlineStr">
        <is>
          <t>2004-04-05</t>
        </is>
      </c>
    </row>
    <row r="38131">
      <c r="A38131" s="1" t="n">
        <v>38130</v>
      </c>
      <c r="B38131">
        <f>TEXT(38130, "[$-0E0000]yyyy-mm-dd")</f>
        <v/>
      </c>
      <c r="C38131" t="inlineStr">
        <is>
          <t>2004-04-06</t>
        </is>
      </c>
    </row>
    <row r="38132">
      <c r="A38132" s="1" t="n">
        <v>38131</v>
      </c>
      <c r="B38132">
        <f>TEXT(38131, "[$-0E0000]yyyy-mm-dd")</f>
        <v/>
      </c>
      <c r="C38132" t="inlineStr">
        <is>
          <t>2004-04-07</t>
        </is>
      </c>
    </row>
    <row r="38133">
      <c r="A38133" s="1" t="n">
        <v>38132</v>
      </c>
      <c r="B38133">
        <f>TEXT(38132, "[$-0E0000]yyyy-mm-dd")</f>
        <v/>
      </c>
      <c r="C38133" t="inlineStr">
        <is>
          <t>2004-04-08</t>
        </is>
      </c>
    </row>
    <row r="38134">
      <c r="A38134" s="1" t="n">
        <v>38133</v>
      </c>
      <c r="B38134">
        <f>TEXT(38133, "[$-0E0000]yyyy-mm-dd")</f>
        <v/>
      </c>
      <c r="C38134" t="inlineStr">
        <is>
          <t>2004-04-09</t>
        </is>
      </c>
    </row>
    <row r="38135">
      <c r="A38135" s="1" t="n">
        <v>38134</v>
      </c>
      <c r="B38135">
        <f>TEXT(38134, "[$-0E0000]yyyy-mm-dd")</f>
        <v/>
      </c>
      <c r="C38135" t="inlineStr">
        <is>
          <t>2004-04-10</t>
        </is>
      </c>
    </row>
    <row r="38136">
      <c r="A38136" s="1" t="n">
        <v>38135</v>
      </c>
      <c r="B38136">
        <f>TEXT(38135, "[$-0E0000]yyyy-mm-dd")</f>
        <v/>
      </c>
      <c r="C38136" t="inlineStr">
        <is>
          <t>2004-04-11</t>
        </is>
      </c>
    </row>
    <row r="38137">
      <c r="A38137" s="1" t="n">
        <v>38136</v>
      </c>
      <c r="B38137">
        <f>TEXT(38136, "[$-0E0000]yyyy-mm-dd")</f>
        <v/>
      </c>
      <c r="C38137" t="inlineStr">
        <is>
          <t>2004-04-12</t>
        </is>
      </c>
    </row>
    <row r="38138">
      <c r="A38138" s="1" t="n">
        <v>38137</v>
      </c>
      <c r="B38138">
        <f>TEXT(38137, "[$-0E0000]yyyy-mm-dd")</f>
        <v/>
      </c>
      <c r="C38138" t="inlineStr">
        <is>
          <t>2004-04-13</t>
        </is>
      </c>
    </row>
    <row r="38139">
      <c r="A38139" s="1" t="n">
        <v>38138</v>
      </c>
      <c r="B38139">
        <f>TEXT(38138, "[$-0E0000]yyyy-mm-dd")</f>
        <v/>
      </c>
      <c r="C38139" t="inlineStr">
        <is>
          <t>2004-04-14</t>
        </is>
      </c>
    </row>
    <row r="38140">
      <c r="A38140" s="1" t="n">
        <v>38139</v>
      </c>
      <c r="B38140">
        <f>TEXT(38139, "[$-0E0000]yyyy-mm-dd")</f>
        <v/>
      </c>
      <c r="C38140" t="inlineStr">
        <is>
          <t>2004-04-15</t>
        </is>
      </c>
    </row>
    <row r="38141">
      <c r="A38141" s="1" t="n">
        <v>38140</v>
      </c>
      <c r="B38141">
        <f>TEXT(38140, "[$-0E0000]yyyy-mm-dd")</f>
        <v/>
      </c>
      <c r="C38141" t="inlineStr">
        <is>
          <t>2004-04-16</t>
        </is>
      </c>
    </row>
    <row r="38142">
      <c r="A38142" s="1" t="n">
        <v>38141</v>
      </c>
      <c r="B38142">
        <f>TEXT(38141, "[$-0E0000]yyyy-mm-dd")</f>
        <v/>
      </c>
      <c r="C38142" t="inlineStr">
        <is>
          <t>2004-04-17</t>
        </is>
      </c>
    </row>
    <row r="38143">
      <c r="A38143" s="1" t="n">
        <v>38142</v>
      </c>
      <c r="B38143">
        <f>TEXT(38142, "[$-0E0000]yyyy-mm-dd")</f>
        <v/>
      </c>
      <c r="C38143" t="inlineStr">
        <is>
          <t>2004-04-18</t>
        </is>
      </c>
    </row>
    <row r="38144">
      <c r="A38144" s="1" t="n">
        <v>38143</v>
      </c>
      <c r="B38144">
        <f>TEXT(38143, "[$-0E0000]yyyy-mm-dd")</f>
        <v/>
      </c>
      <c r="C38144" t="inlineStr">
        <is>
          <t>2004-04-19</t>
        </is>
      </c>
    </row>
    <row r="38145">
      <c r="A38145" s="1" t="n">
        <v>38144</v>
      </c>
      <c r="B38145">
        <f>TEXT(38144, "[$-0E0000]yyyy-mm-dd")</f>
        <v/>
      </c>
      <c r="C38145" t="inlineStr">
        <is>
          <t>2004-04-20</t>
        </is>
      </c>
    </row>
    <row r="38146">
      <c r="A38146" s="1" t="n">
        <v>38145</v>
      </c>
      <c r="B38146">
        <f>TEXT(38145, "[$-0E0000]yyyy-mm-dd")</f>
        <v/>
      </c>
      <c r="C38146" t="inlineStr">
        <is>
          <t>2004-04-21</t>
        </is>
      </c>
    </row>
    <row r="38147">
      <c r="A38147" s="1" t="n">
        <v>38146</v>
      </c>
      <c r="B38147">
        <f>TEXT(38146, "[$-0E0000]yyyy-mm-dd")</f>
        <v/>
      </c>
      <c r="C38147" t="inlineStr">
        <is>
          <t>2004-04-22</t>
        </is>
      </c>
    </row>
    <row r="38148">
      <c r="A38148" s="1" t="n">
        <v>38147</v>
      </c>
      <c r="B38148">
        <f>TEXT(38147, "[$-0E0000]yyyy-mm-dd")</f>
        <v/>
      </c>
      <c r="C38148" t="inlineStr">
        <is>
          <t>2004-04-23</t>
        </is>
      </c>
    </row>
    <row r="38149">
      <c r="A38149" s="1" t="n">
        <v>38148</v>
      </c>
      <c r="B38149">
        <f>TEXT(38148, "[$-0E0000]yyyy-mm-dd")</f>
        <v/>
      </c>
      <c r="C38149" t="inlineStr">
        <is>
          <t>2004-04-24</t>
        </is>
      </c>
    </row>
    <row r="38150">
      <c r="A38150" s="1" t="n">
        <v>38149</v>
      </c>
      <c r="B38150">
        <f>TEXT(38149, "[$-0E0000]yyyy-mm-dd")</f>
        <v/>
      </c>
      <c r="C38150" t="inlineStr">
        <is>
          <t>2004-04-25</t>
        </is>
      </c>
    </row>
    <row r="38151">
      <c r="A38151" s="1" t="n">
        <v>38150</v>
      </c>
      <c r="B38151">
        <f>TEXT(38150, "[$-0E0000]yyyy-mm-dd")</f>
        <v/>
      </c>
      <c r="C38151" t="inlineStr">
        <is>
          <t>2004-04-26</t>
        </is>
      </c>
    </row>
    <row r="38152">
      <c r="A38152" s="1" t="n">
        <v>38151</v>
      </c>
      <c r="B38152">
        <f>TEXT(38151, "[$-0E0000]yyyy-mm-dd")</f>
        <v/>
      </c>
      <c r="C38152" t="inlineStr">
        <is>
          <t>2004-04-27</t>
        </is>
      </c>
    </row>
    <row r="38153">
      <c r="A38153" s="1" t="n">
        <v>38152</v>
      </c>
      <c r="B38153">
        <f>TEXT(38152, "[$-0E0000]yyyy-mm-dd")</f>
        <v/>
      </c>
      <c r="C38153" t="inlineStr">
        <is>
          <t>2004-04-28</t>
        </is>
      </c>
    </row>
    <row r="38154">
      <c r="A38154" s="1" t="n">
        <v>38153</v>
      </c>
      <c r="B38154">
        <f>TEXT(38153, "[$-0E0000]yyyy-mm-dd")</f>
        <v/>
      </c>
      <c r="C38154" t="inlineStr">
        <is>
          <t>2004-04-29</t>
        </is>
      </c>
    </row>
    <row r="38155">
      <c r="A38155" s="1" t="n">
        <v>38154</v>
      </c>
      <c r="B38155">
        <f>TEXT(38154, "[$-0E0000]yyyy-mm-dd")</f>
        <v/>
      </c>
      <c r="C38155" t="inlineStr">
        <is>
          <t>2004-04-30</t>
        </is>
      </c>
    </row>
    <row r="38156">
      <c r="A38156" s="1" t="n">
        <v>38155</v>
      </c>
      <c r="B38156">
        <f>TEXT(38155, "[$-0E0000]yyyy-mm-dd")</f>
        <v/>
      </c>
      <c r="C38156" t="inlineStr">
        <is>
          <t>2004-05-01</t>
        </is>
      </c>
    </row>
    <row r="38157">
      <c r="A38157" s="1" t="n">
        <v>38156</v>
      </c>
      <c r="B38157">
        <f>TEXT(38156, "[$-0E0000]yyyy-mm-dd")</f>
        <v/>
      </c>
      <c r="C38157" t="inlineStr">
        <is>
          <t>2004-05-02</t>
        </is>
      </c>
    </row>
    <row r="38158">
      <c r="A38158" s="1" t="n">
        <v>38157</v>
      </c>
      <c r="B38158">
        <f>TEXT(38157, "[$-0E0000]yyyy-mm-dd")</f>
        <v/>
      </c>
      <c r="C38158" t="inlineStr">
        <is>
          <t>2004-05-03</t>
        </is>
      </c>
    </row>
    <row r="38159">
      <c r="A38159" s="1" t="n">
        <v>38158</v>
      </c>
      <c r="B38159">
        <f>TEXT(38158, "[$-0E0000]yyyy-mm-dd")</f>
        <v/>
      </c>
      <c r="C38159" t="inlineStr">
        <is>
          <t>2004-05-04</t>
        </is>
      </c>
    </row>
    <row r="38160">
      <c r="A38160" s="1" t="n">
        <v>38159</v>
      </c>
      <c r="B38160">
        <f>TEXT(38159, "[$-0E0000]yyyy-mm-dd")</f>
        <v/>
      </c>
      <c r="C38160" t="inlineStr">
        <is>
          <t>2004-05-05</t>
        </is>
      </c>
    </row>
    <row r="38161">
      <c r="A38161" s="1" t="n">
        <v>38160</v>
      </c>
      <c r="B38161">
        <f>TEXT(38160, "[$-0E0000]yyyy-mm-dd")</f>
        <v/>
      </c>
      <c r="C38161" t="inlineStr">
        <is>
          <t>2004-05-06</t>
        </is>
      </c>
    </row>
    <row r="38162">
      <c r="A38162" s="1" t="n">
        <v>38161</v>
      </c>
      <c r="B38162">
        <f>TEXT(38161, "[$-0E0000]yyyy-mm-dd")</f>
        <v/>
      </c>
      <c r="C38162" t="inlineStr">
        <is>
          <t>2004-05-07</t>
        </is>
      </c>
    </row>
    <row r="38163">
      <c r="A38163" s="1" t="n">
        <v>38162</v>
      </c>
      <c r="B38163">
        <f>TEXT(38162, "[$-0E0000]yyyy-mm-dd")</f>
        <v/>
      </c>
      <c r="C38163" t="inlineStr">
        <is>
          <t>2004-05-08</t>
        </is>
      </c>
    </row>
    <row r="38164">
      <c r="A38164" s="1" t="n">
        <v>38163</v>
      </c>
      <c r="B38164">
        <f>TEXT(38163, "[$-0E0000]yyyy-mm-dd")</f>
        <v/>
      </c>
      <c r="C38164" t="inlineStr">
        <is>
          <t>2004-05-09</t>
        </is>
      </c>
    </row>
    <row r="38165">
      <c r="A38165" s="1" t="n">
        <v>38164</v>
      </c>
      <c r="B38165">
        <f>TEXT(38164, "[$-0E0000]yyyy-mm-dd")</f>
        <v/>
      </c>
      <c r="C38165" t="inlineStr">
        <is>
          <t>2004-05-10</t>
        </is>
      </c>
    </row>
    <row r="38166">
      <c r="A38166" s="1" t="n">
        <v>38165</v>
      </c>
      <c r="B38166">
        <f>TEXT(38165, "[$-0E0000]yyyy-mm-dd")</f>
        <v/>
      </c>
      <c r="C38166" t="inlineStr">
        <is>
          <t>2004-05-11</t>
        </is>
      </c>
    </row>
    <row r="38167">
      <c r="A38167" s="1" t="n">
        <v>38166</v>
      </c>
      <c r="B38167">
        <f>TEXT(38166, "[$-0E0000]yyyy-mm-dd")</f>
        <v/>
      </c>
      <c r="C38167" t="inlineStr">
        <is>
          <t>2004-05-12</t>
        </is>
      </c>
    </row>
    <row r="38168">
      <c r="A38168" s="1" t="n">
        <v>38167</v>
      </c>
      <c r="B38168">
        <f>TEXT(38167, "[$-0E0000]yyyy-mm-dd")</f>
        <v/>
      </c>
      <c r="C38168" t="inlineStr">
        <is>
          <t>2004-05-13</t>
        </is>
      </c>
    </row>
    <row r="38169">
      <c r="A38169" s="1" t="n">
        <v>38168</v>
      </c>
      <c r="B38169">
        <f>TEXT(38168, "[$-0E0000]yyyy-mm-dd")</f>
        <v/>
      </c>
      <c r="C38169" t="inlineStr">
        <is>
          <t>2004-05-14</t>
        </is>
      </c>
    </row>
    <row r="38170">
      <c r="A38170" s="1" t="n">
        <v>38169</v>
      </c>
      <c r="B38170">
        <f>TEXT(38169, "[$-0E0000]yyyy-mm-dd")</f>
        <v/>
      </c>
      <c r="C38170" t="inlineStr">
        <is>
          <t>2004-05-15</t>
        </is>
      </c>
    </row>
    <row r="38171">
      <c r="A38171" s="1" t="n">
        <v>38170</v>
      </c>
      <c r="B38171">
        <f>TEXT(38170, "[$-0E0000]yyyy-mm-dd")</f>
        <v/>
      </c>
      <c r="C38171" t="inlineStr">
        <is>
          <t>2004-05-16</t>
        </is>
      </c>
    </row>
    <row r="38172">
      <c r="A38172" s="1" t="n">
        <v>38171</v>
      </c>
      <c r="B38172">
        <f>TEXT(38171, "[$-0E0000]yyyy-mm-dd")</f>
        <v/>
      </c>
      <c r="C38172" t="inlineStr">
        <is>
          <t>2004-05-17</t>
        </is>
      </c>
    </row>
    <row r="38173">
      <c r="A38173" s="1" t="n">
        <v>38172</v>
      </c>
      <c r="B38173">
        <f>TEXT(38172, "[$-0E0000]yyyy-mm-dd")</f>
        <v/>
      </c>
      <c r="C38173" t="inlineStr">
        <is>
          <t>2004-05-18</t>
        </is>
      </c>
    </row>
    <row r="38174">
      <c r="A38174" s="1" t="n">
        <v>38173</v>
      </c>
      <c r="B38174">
        <f>TEXT(38173, "[$-0E0000]yyyy-mm-dd")</f>
        <v/>
      </c>
      <c r="C38174" t="inlineStr">
        <is>
          <t>2004-05-19</t>
        </is>
      </c>
    </row>
    <row r="38175">
      <c r="A38175" s="1" t="n">
        <v>38174</v>
      </c>
      <c r="B38175">
        <f>TEXT(38174, "[$-0E0000]yyyy-mm-dd")</f>
        <v/>
      </c>
      <c r="C38175" t="inlineStr">
        <is>
          <t>2004-05-20</t>
        </is>
      </c>
    </row>
    <row r="38176">
      <c r="A38176" s="1" t="n">
        <v>38175</v>
      </c>
      <c r="B38176">
        <f>TEXT(38175, "[$-0E0000]yyyy-mm-dd")</f>
        <v/>
      </c>
      <c r="C38176" t="inlineStr">
        <is>
          <t>2004-05-21</t>
        </is>
      </c>
    </row>
    <row r="38177">
      <c r="A38177" s="1" t="n">
        <v>38176</v>
      </c>
      <c r="B38177">
        <f>TEXT(38176, "[$-0E0000]yyyy-mm-dd")</f>
        <v/>
      </c>
      <c r="C38177" t="inlineStr">
        <is>
          <t>2004-05-22</t>
        </is>
      </c>
    </row>
    <row r="38178">
      <c r="A38178" s="1" t="n">
        <v>38177</v>
      </c>
      <c r="B38178">
        <f>TEXT(38177, "[$-0E0000]yyyy-mm-dd")</f>
        <v/>
      </c>
      <c r="C38178" t="inlineStr">
        <is>
          <t>2004-05-23</t>
        </is>
      </c>
    </row>
    <row r="38179">
      <c r="A38179" s="1" t="n">
        <v>38178</v>
      </c>
      <c r="B38179">
        <f>TEXT(38178, "[$-0E0000]yyyy-mm-dd")</f>
        <v/>
      </c>
      <c r="C38179" t="inlineStr">
        <is>
          <t>2004-05-24</t>
        </is>
      </c>
    </row>
    <row r="38180">
      <c r="A38180" s="1" t="n">
        <v>38179</v>
      </c>
      <c r="B38180">
        <f>TEXT(38179, "[$-0E0000]yyyy-mm-dd")</f>
        <v/>
      </c>
      <c r="C38180" t="inlineStr">
        <is>
          <t>2004-05-25</t>
        </is>
      </c>
    </row>
    <row r="38181">
      <c r="A38181" s="1" t="n">
        <v>38180</v>
      </c>
      <c r="B38181">
        <f>TEXT(38180, "[$-0E0000]yyyy-mm-dd")</f>
        <v/>
      </c>
      <c r="C38181" t="inlineStr">
        <is>
          <t>2004-05-26</t>
        </is>
      </c>
    </row>
    <row r="38182">
      <c r="A38182" s="1" t="n">
        <v>38181</v>
      </c>
      <c r="B38182">
        <f>TEXT(38181, "[$-0E0000]yyyy-mm-dd")</f>
        <v/>
      </c>
      <c r="C38182" t="inlineStr">
        <is>
          <t>2004-05-27</t>
        </is>
      </c>
    </row>
    <row r="38183">
      <c r="A38183" s="1" t="n">
        <v>38182</v>
      </c>
      <c r="B38183">
        <f>TEXT(38182, "[$-0E0000]yyyy-mm-dd")</f>
        <v/>
      </c>
      <c r="C38183" t="inlineStr">
        <is>
          <t>2004-05-28</t>
        </is>
      </c>
    </row>
    <row r="38184">
      <c r="A38184" s="1" t="n">
        <v>38183</v>
      </c>
      <c r="B38184">
        <f>TEXT(38183, "[$-0E0000]yyyy-mm-dd")</f>
        <v/>
      </c>
      <c r="C38184" t="inlineStr">
        <is>
          <t>2004-05-29</t>
        </is>
      </c>
    </row>
    <row r="38185">
      <c r="A38185" s="1" t="n">
        <v>38184</v>
      </c>
      <c r="B38185">
        <f>TEXT(38184, "[$-0E0000]yyyy-mm-dd")</f>
        <v/>
      </c>
      <c r="C38185" t="inlineStr">
        <is>
          <t>2004-06-01</t>
        </is>
      </c>
    </row>
    <row r="38186">
      <c r="A38186" s="1" t="n">
        <v>38185</v>
      </c>
      <c r="B38186">
        <f>TEXT(38185, "[$-0E0000]yyyy-mm-dd")</f>
        <v/>
      </c>
      <c r="C38186" t="inlineStr">
        <is>
          <t>2004-06-02</t>
        </is>
      </c>
    </row>
    <row r="38187">
      <c r="A38187" s="1" t="n">
        <v>38186</v>
      </c>
      <c r="B38187">
        <f>TEXT(38186, "[$-0E0000]yyyy-mm-dd")</f>
        <v/>
      </c>
      <c r="C38187" t="inlineStr">
        <is>
          <t>2004-06-03</t>
        </is>
      </c>
    </row>
    <row r="38188">
      <c r="A38188" s="1" t="n">
        <v>38187</v>
      </c>
      <c r="B38188">
        <f>TEXT(38187, "[$-0E0000]yyyy-mm-dd")</f>
        <v/>
      </c>
      <c r="C38188" t="inlineStr">
        <is>
          <t>2004-06-04</t>
        </is>
      </c>
    </row>
    <row r="38189">
      <c r="A38189" s="1" t="n">
        <v>38188</v>
      </c>
      <c r="B38189">
        <f>TEXT(38188, "[$-0E0000]yyyy-mm-dd")</f>
        <v/>
      </c>
      <c r="C38189" t="inlineStr">
        <is>
          <t>2004-06-05</t>
        </is>
      </c>
    </row>
    <row r="38190">
      <c r="A38190" s="1" t="n">
        <v>38189</v>
      </c>
      <c r="B38190">
        <f>TEXT(38189, "[$-0E0000]yyyy-mm-dd")</f>
        <v/>
      </c>
      <c r="C38190" t="inlineStr">
        <is>
          <t>2004-06-06</t>
        </is>
      </c>
    </row>
    <row r="38191">
      <c r="A38191" s="1" t="n">
        <v>38190</v>
      </c>
      <c r="B38191">
        <f>TEXT(38190, "[$-0E0000]yyyy-mm-dd")</f>
        <v/>
      </c>
      <c r="C38191" t="inlineStr">
        <is>
          <t>2004-06-07</t>
        </is>
      </c>
    </row>
    <row r="38192">
      <c r="A38192" s="1" t="n">
        <v>38191</v>
      </c>
      <c r="B38192">
        <f>TEXT(38191, "[$-0E0000]yyyy-mm-dd")</f>
        <v/>
      </c>
      <c r="C38192" t="inlineStr">
        <is>
          <t>2004-06-08</t>
        </is>
      </c>
    </row>
    <row r="38193">
      <c r="A38193" s="1" t="n">
        <v>38192</v>
      </c>
      <c r="B38193">
        <f>TEXT(38192, "[$-0E0000]yyyy-mm-dd")</f>
        <v/>
      </c>
      <c r="C38193" t="inlineStr">
        <is>
          <t>2004-06-09</t>
        </is>
      </c>
    </row>
    <row r="38194">
      <c r="A38194" s="1" t="n">
        <v>38193</v>
      </c>
      <c r="B38194">
        <f>TEXT(38193, "[$-0E0000]yyyy-mm-dd")</f>
        <v/>
      </c>
      <c r="C38194" t="inlineStr">
        <is>
          <t>2004-06-10</t>
        </is>
      </c>
    </row>
    <row r="38195">
      <c r="A38195" s="1" t="n">
        <v>38194</v>
      </c>
      <c r="B38195">
        <f>TEXT(38194, "[$-0E0000]yyyy-mm-dd")</f>
        <v/>
      </c>
      <c r="C38195" t="inlineStr">
        <is>
          <t>2004-06-11</t>
        </is>
      </c>
    </row>
    <row r="38196">
      <c r="A38196" s="1" t="n">
        <v>38195</v>
      </c>
      <c r="B38196">
        <f>TEXT(38195, "[$-0E0000]yyyy-mm-dd")</f>
        <v/>
      </c>
      <c r="C38196" t="inlineStr">
        <is>
          <t>2004-06-12</t>
        </is>
      </c>
    </row>
    <row r="38197">
      <c r="A38197" s="1" t="n">
        <v>38196</v>
      </c>
      <c r="B38197">
        <f>TEXT(38196, "[$-0E0000]yyyy-mm-dd")</f>
        <v/>
      </c>
      <c r="C38197" t="inlineStr">
        <is>
          <t>2004-06-13</t>
        </is>
      </c>
    </row>
    <row r="38198">
      <c r="A38198" s="1" t="n">
        <v>38197</v>
      </c>
      <c r="B38198">
        <f>TEXT(38197, "[$-0E0000]yyyy-mm-dd")</f>
        <v/>
      </c>
      <c r="C38198" t="inlineStr">
        <is>
          <t>2004-06-14</t>
        </is>
      </c>
    </row>
    <row r="38199">
      <c r="A38199" s="1" t="n">
        <v>38198</v>
      </c>
      <c r="B38199">
        <f>TEXT(38198, "[$-0E0000]yyyy-mm-dd")</f>
        <v/>
      </c>
      <c r="C38199" t="inlineStr">
        <is>
          <t>2004-06-15</t>
        </is>
      </c>
    </row>
    <row r="38200">
      <c r="A38200" s="1" t="n">
        <v>38199</v>
      </c>
      <c r="B38200">
        <f>TEXT(38199, "[$-0E0000]yyyy-mm-dd")</f>
        <v/>
      </c>
      <c r="C38200" t="inlineStr">
        <is>
          <t>2004-06-16</t>
        </is>
      </c>
    </row>
    <row r="38201">
      <c r="A38201" s="1" t="n">
        <v>38200</v>
      </c>
      <c r="B38201">
        <f>TEXT(38200, "[$-0E0000]yyyy-mm-dd")</f>
        <v/>
      </c>
      <c r="C38201" t="inlineStr">
        <is>
          <t>2004-06-17</t>
        </is>
      </c>
    </row>
    <row r="38202">
      <c r="A38202" s="1" t="n">
        <v>38201</v>
      </c>
      <c r="B38202">
        <f>TEXT(38201, "[$-0E0000]yyyy-mm-dd")</f>
        <v/>
      </c>
      <c r="C38202" t="inlineStr">
        <is>
          <t>2004-06-18</t>
        </is>
      </c>
    </row>
    <row r="38203">
      <c r="A38203" s="1" t="n">
        <v>38202</v>
      </c>
      <c r="B38203">
        <f>TEXT(38202, "[$-0E0000]yyyy-mm-dd")</f>
        <v/>
      </c>
      <c r="C38203" t="inlineStr">
        <is>
          <t>2004-06-19</t>
        </is>
      </c>
    </row>
    <row r="38204">
      <c r="A38204" s="1" t="n">
        <v>38203</v>
      </c>
      <c r="B38204">
        <f>TEXT(38203, "[$-0E0000]yyyy-mm-dd")</f>
        <v/>
      </c>
      <c r="C38204" t="inlineStr">
        <is>
          <t>2004-06-20</t>
        </is>
      </c>
    </row>
    <row r="38205">
      <c r="A38205" s="1" t="n">
        <v>38204</v>
      </c>
      <c r="B38205">
        <f>TEXT(38204, "[$-0E0000]yyyy-mm-dd")</f>
        <v/>
      </c>
      <c r="C38205" t="inlineStr">
        <is>
          <t>2004-06-21</t>
        </is>
      </c>
    </row>
    <row r="38206">
      <c r="A38206" s="1" t="n">
        <v>38205</v>
      </c>
      <c r="B38206">
        <f>TEXT(38205, "[$-0E0000]yyyy-mm-dd")</f>
        <v/>
      </c>
      <c r="C38206" t="inlineStr">
        <is>
          <t>2004-06-22</t>
        </is>
      </c>
    </row>
    <row r="38207">
      <c r="A38207" s="1" t="n">
        <v>38206</v>
      </c>
      <c r="B38207">
        <f>TEXT(38206, "[$-0E0000]yyyy-mm-dd")</f>
        <v/>
      </c>
      <c r="C38207" t="inlineStr">
        <is>
          <t>2004-06-23</t>
        </is>
      </c>
    </row>
    <row r="38208">
      <c r="A38208" s="1" t="n">
        <v>38207</v>
      </c>
      <c r="B38208">
        <f>TEXT(38207, "[$-0E0000]yyyy-mm-dd")</f>
        <v/>
      </c>
      <c r="C38208" t="inlineStr">
        <is>
          <t>2004-06-24</t>
        </is>
      </c>
    </row>
    <row r="38209">
      <c r="A38209" s="1" t="n">
        <v>38208</v>
      </c>
      <c r="B38209">
        <f>TEXT(38208, "[$-0E0000]yyyy-mm-dd")</f>
        <v/>
      </c>
      <c r="C38209" t="inlineStr">
        <is>
          <t>2004-06-25</t>
        </is>
      </c>
    </row>
    <row r="38210">
      <c r="A38210" s="1" t="n">
        <v>38209</v>
      </c>
      <c r="B38210">
        <f>TEXT(38209, "[$-0E0000]yyyy-mm-dd")</f>
        <v/>
      </c>
      <c r="C38210" t="inlineStr">
        <is>
          <t>2004-06-26</t>
        </is>
      </c>
    </row>
    <row r="38211">
      <c r="A38211" s="1" t="n">
        <v>38210</v>
      </c>
      <c r="B38211">
        <f>TEXT(38210, "[$-0E0000]yyyy-mm-dd")</f>
        <v/>
      </c>
      <c r="C38211" t="inlineStr">
        <is>
          <t>2004-06-27</t>
        </is>
      </c>
    </row>
    <row r="38212">
      <c r="A38212" s="1" t="n">
        <v>38211</v>
      </c>
      <c r="B38212">
        <f>TEXT(38211, "[$-0E0000]yyyy-mm-dd")</f>
        <v/>
      </c>
      <c r="C38212" t="inlineStr">
        <is>
          <t>2004-06-28</t>
        </is>
      </c>
    </row>
    <row r="38213">
      <c r="A38213" s="1" t="n">
        <v>38212</v>
      </c>
      <c r="B38213">
        <f>TEXT(38212, "[$-0E0000]yyyy-mm-dd")</f>
        <v/>
      </c>
      <c r="C38213" t="inlineStr">
        <is>
          <t>2004-06-29</t>
        </is>
      </c>
    </row>
    <row r="38214">
      <c r="A38214" s="1" t="n">
        <v>38213</v>
      </c>
      <c r="B38214">
        <f>TEXT(38213, "[$-0E0000]yyyy-mm-dd")</f>
        <v/>
      </c>
      <c r="C38214" t="inlineStr">
        <is>
          <t>2004-06-30</t>
        </is>
      </c>
    </row>
    <row r="38215">
      <c r="A38215" s="1" t="n">
        <v>38214</v>
      </c>
      <c r="B38215">
        <f>TEXT(38214, "[$-0E0000]yyyy-mm-dd")</f>
        <v/>
      </c>
      <c r="C38215" t="inlineStr">
        <is>
          <t>2004-07-01</t>
        </is>
      </c>
    </row>
    <row r="38216">
      <c r="A38216" s="1" t="n">
        <v>38215</v>
      </c>
      <c r="B38216">
        <f>TEXT(38215, "[$-0E0000]yyyy-mm-dd")</f>
        <v/>
      </c>
      <c r="C38216" t="inlineStr">
        <is>
          <t>2004-07-02</t>
        </is>
      </c>
    </row>
    <row r="38217">
      <c r="A38217" s="1" t="n">
        <v>38216</v>
      </c>
      <c r="B38217">
        <f>TEXT(38216, "[$-0E0000]yyyy-mm-dd")</f>
        <v/>
      </c>
      <c r="C38217" t="inlineStr">
        <is>
          <t>2004-07-03</t>
        </is>
      </c>
    </row>
    <row r="38218">
      <c r="A38218" s="1" t="n">
        <v>38217</v>
      </c>
      <c r="B38218">
        <f>TEXT(38217, "[$-0E0000]yyyy-mm-dd")</f>
        <v/>
      </c>
      <c r="C38218" t="inlineStr">
        <is>
          <t>2004-07-04</t>
        </is>
      </c>
    </row>
    <row r="38219">
      <c r="A38219" s="1" t="n">
        <v>38218</v>
      </c>
      <c r="B38219">
        <f>TEXT(38218, "[$-0E0000]yyyy-mm-dd")</f>
        <v/>
      </c>
      <c r="C38219" t="inlineStr">
        <is>
          <t>2004-07-05</t>
        </is>
      </c>
    </row>
    <row r="38220">
      <c r="A38220" s="1" t="n">
        <v>38219</v>
      </c>
      <c r="B38220">
        <f>TEXT(38219, "[$-0E0000]yyyy-mm-dd")</f>
        <v/>
      </c>
      <c r="C38220" t="inlineStr">
        <is>
          <t>2004-07-06</t>
        </is>
      </c>
    </row>
    <row r="38221">
      <c r="A38221" s="1" t="n">
        <v>38220</v>
      </c>
      <c r="B38221">
        <f>TEXT(38220, "[$-0E0000]yyyy-mm-dd")</f>
        <v/>
      </c>
      <c r="C38221" t="inlineStr">
        <is>
          <t>2004-07-07</t>
        </is>
      </c>
    </row>
    <row r="38222">
      <c r="A38222" s="1" t="n">
        <v>38221</v>
      </c>
      <c r="B38222">
        <f>TEXT(38221, "[$-0E0000]yyyy-mm-dd")</f>
        <v/>
      </c>
      <c r="C38222" t="inlineStr">
        <is>
          <t>2004-07-08</t>
        </is>
      </c>
    </row>
    <row r="38223">
      <c r="A38223" s="1" t="n">
        <v>38222</v>
      </c>
      <c r="B38223">
        <f>TEXT(38222, "[$-0E0000]yyyy-mm-dd")</f>
        <v/>
      </c>
      <c r="C38223" t="inlineStr">
        <is>
          <t>2004-07-09</t>
        </is>
      </c>
    </row>
    <row r="38224">
      <c r="A38224" s="1" t="n">
        <v>38223</v>
      </c>
      <c r="B38224">
        <f>TEXT(38223, "[$-0E0000]yyyy-mm-dd")</f>
        <v/>
      </c>
      <c r="C38224" t="inlineStr">
        <is>
          <t>2004-07-10</t>
        </is>
      </c>
    </row>
    <row r="38225">
      <c r="A38225" s="1" t="n">
        <v>38224</v>
      </c>
      <c r="B38225">
        <f>TEXT(38224, "[$-0E0000]yyyy-mm-dd")</f>
        <v/>
      </c>
      <c r="C38225" t="inlineStr">
        <is>
          <t>2004-07-11</t>
        </is>
      </c>
    </row>
    <row r="38226">
      <c r="A38226" s="1" t="n">
        <v>38225</v>
      </c>
      <c r="B38226">
        <f>TEXT(38225, "[$-0E0000]yyyy-mm-dd")</f>
        <v/>
      </c>
      <c r="C38226" t="inlineStr">
        <is>
          <t>2004-07-12</t>
        </is>
      </c>
    </row>
    <row r="38227">
      <c r="A38227" s="1" t="n">
        <v>38226</v>
      </c>
      <c r="B38227">
        <f>TEXT(38226, "[$-0E0000]yyyy-mm-dd")</f>
        <v/>
      </c>
      <c r="C38227" t="inlineStr">
        <is>
          <t>2004-07-13</t>
        </is>
      </c>
    </row>
    <row r="38228">
      <c r="A38228" s="1" t="n">
        <v>38227</v>
      </c>
      <c r="B38228">
        <f>TEXT(38227, "[$-0E0000]yyyy-mm-dd")</f>
        <v/>
      </c>
      <c r="C38228" t="inlineStr">
        <is>
          <t>2004-07-14</t>
        </is>
      </c>
    </row>
    <row r="38229">
      <c r="A38229" s="1" t="n">
        <v>38228</v>
      </c>
      <c r="B38229">
        <f>TEXT(38228, "[$-0E0000]yyyy-mm-dd")</f>
        <v/>
      </c>
      <c r="C38229" t="inlineStr">
        <is>
          <t>2004-07-15</t>
        </is>
      </c>
    </row>
    <row r="38230">
      <c r="A38230" s="1" t="n">
        <v>38229</v>
      </c>
      <c r="B38230">
        <f>TEXT(38229, "[$-0E0000]yyyy-mm-dd")</f>
        <v/>
      </c>
      <c r="C38230" t="inlineStr">
        <is>
          <t>2004-07-16</t>
        </is>
      </c>
    </row>
    <row r="38231">
      <c r="A38231" s="1" t="n">
        <v>38230</v>
      </c>
      <c r="B38231">
        <f>TEXT(38230, "[$-0E0000]yyyy-mm-dd")</f>
        <v/>
      </c>
      <c r="C38231" t="inlineStr">
        <is>
          <t>2004-07-17</t>
        </is>
      </c>
    </row>
    <row r="38232">
      <c r="A38232" s="1" t="n">
        <v>38231</v>
      </c>
      <c r="B38232">
        <f>TEXT(38231, "[$-0E0000]yyyy-mm-dd")</f>
        <v/>
      </c>
      <c r="C38232" t="inlineStr">
        <is>
          <t>2004-07-18</t>
        </is>
      </c>
    </row>
    <row r="38233">
      <c r="A38233" s="1" t="n">
        <v>38232</v>
      </c>
      <c r="B38233">
        <f>TEXT(38232, "[$-0E0000]yyyy-mm-dd")</f>
        <v/>
      </c>
      <c r="C38233" t="inlineStr">
        <is>
          <t>2004-07-19</t>
        </is>
      </c>
    </row>
    <row r="38234">
      <c r="A38234" s="1" t="n">
        <v>38233</v>
      </c>
      <c r="B38234">
        <f>TEXT(38233, "[$-0E0000]yyyy-mm-dd")</f>
        <v/>
      </c>
      <c r="C38234" t="inlineStr">
        <is>
          <t>2004-07-20</t>
        </is>
      </c>
    </row>
    <row r="38235">
      <c r="A38235" s="1" t="n">
        <v>38234</v>
      </c>
      <c r="B38235">
        <f>TEXT(38234, "[$-0E0000]yyyy-mm-dd")</f>
        <v/>
      </c>
      <c r="C38235" t="inlineStr">
        <is>
          <t>2004-07-21</t>
        </is>
      </c>
    </row>
    <row r="38236">
      <c r="A38236" s="1" t="n">
        <v>38235</v>
      </c>
      <c r="B38236">
        <f>TEXT(38235, "[$-0E0000]yyyy-mm-dd")</f>
        <v/>
      </c>
      <c r="C38236" t="inlineStr">
        <is>
          <t>2004-07-22</t>
        </is>
      </c>
    </row>
    <row r="38237">
      <c r="A38237" s="1" t="n">
        <v>38236</v>
      </c>
      <c r="B38237">
        <f>TEXT(38236, "[$-0E0000]yyyy-mm-dd")</f>
        <v/>
      </c>
      <c r="C38237" t="inlineStr">
        <is>
          <t>2004-07-23</t>
        </is>
      </c>
    </row>
    <row r="38238">
      <c r="A38238" s="1" t="n">
        <v>38237</v>
      </c>
      <c r="B38238">
        <f>TEXT(38237, "[$-0E0000]yyyy-mm-dd")</f>
        <v/>
      </c>
      <c r="C38238" t="inlineStr">
        <is>
          <t>2004-07-24</t>
        </is>
      </c>
    </row>
    <row r="38239">
      <c r="A38239" s="1" t="n">
        <v>38238</v>
      </c>
      <c r="B38239">
        <f>TEXT(38238, "[$-0E0000]yyyy-mm-dd")</f>
        <v/>
      </c>
      <c r="C38239" t="inlineStr">
        <is>
          <t>2004-07-25</t>
        </is>
      </c>
    </row>
    <row r="38240">
      <c r="A38240" s="1" t="n">
        <v>38239</v>
      </c>
      <c r="B38240">
        <f>TEXT(38239, "[$-0E0000]yyyy-mm-dd")</f>
        <v/>
      </c>
      <c r="C38240" t="inlineStr">
        <is>
          <t>2004-07-26</t>
        </is>
      </c>
    </row>
    <row r="38241">
      <c r="A38241" s="1" t="n">
        <v>38240</v>
      </c>
      <c r="B38241">
        <f>TEXT(38240, "[$-0E0000]yyyy-mm-dd")</f>
        <v/>
      </c>
      <c r="C38241" t="inlineStr">
        <is>
          <t>2004-07-27</t>
        </is>
      </c>
    </row>
    <row r="38242">
      <c r="A38242" s="1" t="n">
        <v>38241</v>
      </c>
      <c r="B38242">
        <f>TEXT(38241, "[$-0E0000]yyyy-mm-dd")</f>
        <v/>
      </c>
      <c r="C38242" t="inlineStr">
        <is>
          <t>2004-07-28</t>
        </is>
      </c>
    </row>
    <row r="38243">
      <c r="A38243" s="1" t="n">
        <v>38242</v>
      </c>
      <c r="B38243">
        <f>TEXT(38242, "[$-0E0000]yyyy-mm-dd")</f>
        <v/>
      </c>
      <c r="C38243" t="inlineStr">
        <is>
          <t>2004-07-29</t>
        </is>
      </c>
    </row>
    <row r="38244">
      <c r="A38244" s="1" t="n">
        <v>38243</v>
      </c>
      <c r="B38244">
        <f>TEXT(38243, "[$-0E0000]yyyy-mm-dd")</f>
        <v/>
      </c>
      <c r="C38244" t="inlineStr">
        <is>
          <t>2004-08-01</t>
        </is>
      </c>
    </row>
    <row r="38245">
      <c r="A38245" s="1" t="n">
        <v>38244</v>
      </c>
      <c r="B38245">
        <f>TEXT(38244, "[$-0E0000]yyyy-mm-dd")</f>
        <v/>
      </c>
      <c r="C38245" t="inlineStr">
        <is>
          <t>2004-08-02</t>
        </is>
      </c>
    </row>
    <row r="38246">
      <c r="A38246" s="1" t="n">
        <v>38245</v>
      </c>
      <c r="B38246">
        <f>TEXT(38245, "[$-0E0000]yyyy-mm-dd")</f>
        <v/>
      </c>
      <c r="C38246" t="inlineStr">
        <is>
          <t>2004-08-03</t>
        </is>
      </c>
    </row>
    <row r="38247">
      <c r="A38247" s="1" t="n">
        <v>38246</v>
      </c>
      <c r="B38247">
        <f>TEXT(38246, "[$-0E0000]yyyy-mm-dd")</f>
        <v/>
      </c>
      <c r="C38247" t="inlineStr">
        <is>
          <t>2004-08-04</t>
        </is>
      </c>
    </row>
    <row r="38248">
      <c r="A38248" s="1" t="n">
        <v>38247</v>
      </c>
      <c r="B38248">
        <f>TEXT(38247, "[$-0E0000]yyyy-mm-dd")</f>
        <v/>
      </c>
      <c r="C38248" t="inlineStr">
        <is>
          <t>2004-08-05</t>
        </is>
      </c>
    </row>
    <row r="38249">
      <c r="A38249" s="1" t="n">
        <v>38248</v>
      </c>
      <c r="B38249">
        <f>TEXT(38248, "[$-0E0000]yyyy-mm-dd")</f>
        <v/>
      </c>
      <c r="C38249" t="inlineStr">
        <is>
          <t>2004-08-06</t>
        </is>
      </c>
    </row>
    <row r="38250">
      <c r="A38250" s="1" t="n">
        <v>38249</v>
      </c>
      <c r="B38250">
        <f>TEXT(38249, "[$-0E0000]yyyy-mm-dd")</f>
        <v/>
      </c>
      <c r="C38250" t="inlineStr">
        <is>
          <t>2004-08-07</t>
        </is>
      </c>
    </row>
    <row r="38251">
      <c r="A38251" s="1" t="n">
        <v>38250</v>
      </c>
      <c r="B38251">
        <f>TEXT(38250, "[$-0E0000]yyyy-mm-dd")</f>
        <v/>
      </c>
      <c r="C38251" t="inlineStr">
        <is>
          <t>2004-08-08</t>
        </is>
      </c>
    </row>
    <row r="38252">
      <c r="A38252" s="1" t="n">
        <v>38251</v>
      </c>
      <c r="B38252">
        <f>TEXT(38251, "[$-0E0000]yyyy-mm-dd")</f>
        <v/>
      </c>
      <c r="C38252" t="inlineStr">
        <is>
          <t>2004-08-09</t>
        </is>
      </c>
    </row>
    <row r="38253">
      <c r="A38253" s="1" t="n">
        <v>38252</v>
      </c>
      <c r="B38253">
        <f>TEXT(38252, "[$-0E0000]yyyy-mm-dd")</f>
        <v/>
      </c>
      <c r="C38253" t="inlineStr">
        <is>
          <t>2004-08-10</t>
        </is>
      </c>
    </row>
    <row r="38254">
      <c r="A38254" s="1" t="n">
        <v>38253</v>
      </c>
      <c r="B38254">
        <f>TEXT(38253, "[$-0E0000]yyyy-mm-dd")</f>
        <v/>
      </c>
      <c r="C38254" t="inlineStr">
        <is>
          <t>2004-08-11</t>
        </is>
      </c>
    </row>
    <row r="38255">
      <c r="A38255" s="1" t="n">
        <v>38254</v>
      </c>
      <c r="B38255">
        <f>TEXT(38254, "[$-0E0000]yyyy-mm-dd")</f>
        <v/>
      </c>
      <c r="C38255" t="inlineStr">
        <is>
          <t>2004-08-12</t>
        </is>
      </c>
    </row>
    <row r="38256">
      <c r="A38256" s="1" t="n">
        <v>38255</v>
      </c>
      <c r="B38256">
        <f>TEXT(38255, "[$-0E0000]yyyy-mm-dd")</f>
        <v/>
      </c>
      <c r="C38256" t="inlineStr">
        <is>
          <t>2004-08-13</t>
        </is>
      </c>
    </row>
    <row r="38257">
      <c r="A38257" s="1" t="n">
        <v>38256</v>
      </c>
      <c r="B38257">
        <f>TEXT(38256, "[$-0E0000]yyyy-mm-dd")</f>
        <v/>
      </c>
      <c r="C38257" t="inlineStr">
        <is>
          <t>2004-08-14</t>
        </is>
      </c>
    </row>
    <row r="38258">
      <c r="A38258" s="1" t="n">
        <v>38257</v>
      </c>
      <c r="B38258">
        <f>TEXT(38257, "[$-0E0000]yyyy-mm-dd")</f>
        <v/>
      </c>
      <c r="C38258" t="inlineStr">
        <is>
          <t>2004-08-15</t>
        </is>
      </c>
    </row>
    <row r="38259">
      <c r="A38259" s="1" t="n">
        <v>38258</v>
      </c>
      <c r="B38259">
        <f>TEXT(38258, "[$-0E0000]yyyy-mm-dd")</f>
        <v/>
      </c>
      <c r="C38259" t="inlineStr">
        <is>
          <t>2004-08-16</t>
        </is>
      </c>
    </row>
    <row r="38260">
      <c r="A38260" s="1" t="n">
        <v>38259</v>
      </c>
      <c r="B38260">
        <f>TEXT(38259, "[$-0E0000]yyyy-mm-dd")</f>
        <v/>
      </c>
      <c r="C38260" t="inlineStr">
        <is>
          <t>2004-08-17</t>
        </is>
      </c>
    </row>
    <row r="38261">
      <c r="A38261" s="1" t="n">
        <v>38260</v>
      </c>
      <c r="B38261">
        <f>TEXT(38260, "[$-0E0000]yyyy-mm-dd")</f>
        <v/>
      </c>
      <c r="C38261" t="inlineStr">
        <is>
          <t>2004-08-18</t>
        </is>
      </c>
    </row>
    <row r="38262">
      <c r="A38262" s="1" t="n">
        <v>38261</v>
      </c>
      <c r="B38262">
        <f>TEXT(38261, "[$-0E0000]yyyy-mm-dd")</f>
        <v/>
      </c>
      <c r="C38262" t="inlineStr">
        <is>
          <t>2004-08-19</t>
        </is>
      </c>
    </row>
    <row r="38263">
      <c r="A38263" s="1" t="n">
        <v>38262</v>
      </c>
      <c r="B38263">
        <f>TEXT(38262, "[$-0E0000]yyyy-mm-dd")</f>
        <v/>
      </c>
      <c r="C38263" t="inlineStr">
        <is>
          <t>2004-08-20</t>
        </is>
      </c>
    </row>
    <row r="38264">
      <c r="A38264" s="1" t="n">
        <v>38263</v>
      </c>
      <c r="B38264">
        <f>TEXT(38263, "[$-0E0000]yyyy-mm-dd")</f>
        <v/>
      </c>
      <c r="C38264" t="inlineStr">
        <is>
          <t>2004-08-21</t>
        </is>
      </c>
    </row>
    <row r="38265">
      <c r="A38265" s="1" t="n">
        <v>38264</v>
      </c>
      <c r="B38265">
        <f>TEXT(38264, "[$-0E0000]yyyy-mm-dd")</f>
        <v/>
      </c>
      <c r="C38265" t="inlineStr">
        <is>
          <t>2004-08-22</t>
        </is>
      </c>
    </row>
    <row r="38266">
      <c r="A38266" s="1" t="n">
        <v>38265</v>
      </c>
      <c r="B38266">
        <f>TEXT(38265, "[$-0E0000]yyyy-mm-dd")</f>
        <v/>
      </c>
      <c r="C38266" t="inlineStr">
        <is>
          <t>2004-08-23</t>
        </is>
      </c>
    </row>
    <row r="38267">
      <c r="A38267" s="1" t="n">
        <v>38266</v>
      </c>
      <c r="B38267">
        <f>TEXT(38266, "[$-0E0000]yyyy-mm-dd")</f>
        <v/>
      </c>
      <c r="C38267" t="inlineStr">
        <is>
          <t>2004-08-24</t>
        </is>
      </c>
    </row>
    <row r="38268">
      <c r="A38268" s="1" t="n">
        <v>38267</v>
      </c>
      <c r="B38268">
        <f>TEXT(38267, "[$-0E0000]yyyy-mm-dd")</f>
        <v/>
      </c>
      <c r="C38268" t="inlineStr">
        <is>
          <t>2004-08-25</t>
        </is>
      </c>
    </row>
    <row r="38269">
      <c r="A38269" s="1" t="n">
        <v>38268</v>
      </c>
      <c r="B38269">
        <f>TEXT(38268, "[$-0E0000]yyyy-mm-dd")</f>
        <v/>
      </c>
      <c r="C38269" t="inlineStr">
        <is>
          <t>2004-08-26</t>
        </is>
      </c>
    </row>
    <row r="38270">
      <c r="A38270" s="1" t="n">
        <v>38269</v>
      </c>
      <c r="B38270">
        <f>TEXT(38269, "[$-0E0000]yyyy-mm-dd")</f>
        <v/>
      </c>
      <c r="C38270" t="inlineStr">
        <is>
          <t>2004-08-27</t>
        </is>
      </c>
    </row>
    <row r="38271">
      <c r="A38271" s="1" t="n">
        <v>38270</v>
      </c>
      <c r="B38271">
        <f>TEXT(38270, "[$-0E0000]yyyy-mm-dd")</f>
        <v/>
      </c>
      <c r="C38271" t="inlineStr">
        <is>
          <t>2004-08-28</t>
        </is>
      </c>
    </row>
    <row r="38272">
      <c r="A38272" s="1" t="n">
        <v>38271</v>
      </c>
      <c r="B38272">
        <f>TEXT(38271, "[$-0E0000]yyyy-mm-dd")</f>
        <v/>
      </c>
      <c r="C38272" t="inlineStr">
        <is>
          <t>2004-08-29</t>
        </is>
      </c>
    </row>
    <row r="38273">
      <c r="A38273" s="1" t="n">
        <v>38272</v>
      </c>
      <c r="B38273">
        <f>TEXT(38272, "[$-0E0000]yyyy-mm-dd")</f>
        <v/>
      </c>
      <c r="C38273" t="inlineStr">
        <is>
          <t>2004-08-30</t>
        </is>
      </c>
    </row>
    <row r="38274">
      <c r="A38274" s="1" t="n">
        <v>38273</v>
      </c>
      <c r="B38274">
        <f>TEXT(38273, "[$-0E0000]yyyy-mm-dd")</f>
        <v/>
      </c>
      <c r="C38274" t="inlineStr">
        <is>
          <t>2004-09-01</t>
        </is>
      </c>
    </row>
    <row r="38275">
      <c r="A38275" s="1" t="n">
        <v>38274</v>
      </c>
      <c r="B38275">
        <f>TEXT(38274, "[$-0E0000]yyyy-mm-dd")</f>
        <v/>
      </c>
      <c r="C38275" t="inlineStr">
        <is>
          <t>2004-09-02</t>
        </is>
      </c>
    </row>
    <row r="38276">
      <c r="A38276" s="1" t="n">
        <v>38275</v>
      </c>
      <c r="B38276">
        <f>TEXT(38275, "[$-0E0000]yyyy-mm-dd")</f>
        <v/>
      </c>
      <c r="C38276" t="inlineStr">
        <is>
          <t>2004-09-03</t>
        </is>
      </c>
    </row>
    <row r="38277">
      <c r="A38277" s="1" t="n">
        <v>38276</v>
      </c>
      <c r="B38277">
        <f>TEXT(38276, "[$-0E0000]yyyy-mm-dd")</f>
        <v/>
      </c>
      <c r="C38277" t="inlineStr">
        <is>
          <t>2004-09-04</t>
        </is>
      </c>
    </row>
    <row r="38278">
      <c r="A38278" s="1" t="n">
        <v>38277</v>
      </c>
      <c r="B38278">
        <f>TEXT(38277, "[$-0E0000]yyyy-mm-dd")</f>
        <v/>
      </c>
      <c r="C38278" t="inlineStr">
        <is>
          <t>2004-09-05</t>
        </is>
      </c>
    </row>
    <row r="38279">
      <c r="A38279" s="1" t="n">
        <v>38278</v>
      </c>
      <c r="B38279">
        <f>TEXT(38278, "[$-0E0000]yyyy-mm-dd")</f>
        <v/>
      </c>
      <c r="C38279" t="inlineStr">
        <is>
          <t>2004-09-06</t>
        </is>
      </c>
    </row>
    <row r="38280">
      <c r="A38280" s="1" t="n">
        <v>38279</v>
      </c>
      <c r="B38280">
        <f>TEXT(38279, "[$-0E0000]yyyy-mm-dd")</f>
        <v/>
      </c>
      <c r="C38280" t="inlineStr">
        <is>
          <t>2004-09-07</t>
        </is>
      </c>
    </row>
    <row r="38281">
      <c r="A38281" s="1" t="n">
        <v>38280</v>
      </c>
      <c r="B38281">
        <f>TEXT(38280, "[$-0E0000]yyyy-mm-dd")</f>
        <v/>
      </c>
      <c r="C38281" t="inlineStr">
        <is>
          <t>2004-09-08</t>
        </is>
      </c>
    </row>
    <row r="38282">
      <c r="A38282" s="1" t="n">
        <v>38281</v>
      </c>
      <c r="B38282">
        <f>TEXT(38281, "[$-0E0000]yyyy-mm-dd")</f>
        <v/>
      </c>
      <c r="C38282" t="inlineStr">
        <is>
          <t>2004-09-09</t>
        </is>
      </c>
    </row>
    <row r="38283">
      <c r="A38283" s="1" t="n">
        <v>38282</v>
      </c>
      <c r="B38283">
        <f>TEXT(38282, "[$-0E0000]yyyy-mm-dd")</f>
        <v/>
      </c>
      <c r="C38283" t="inlineStr">
        <is>
          <t>2004-09-10</t>
        </is>
      </c>
    </row>
    <row r="38284">
      <c r="A38284" s="1" t="n">
        <v>38283</v>
      </c>
      <c r="B38284">
        <f>TEXT(38283, "[$-0E0000]yyyy-mm-dd")</f>
        <v/>
      </c>
      <c r="C38284" t="inlineStr">
        <is>
          <t>2004-09-11</t>
        </is>
      </c>
    </row>
    <row r="38285">
      <c r="A38285" s="1" t="n">
        <v>38284</v>
      </c>
      <c r="B38285">
        <f>TEXT(38284, "[$-0E0000]yyyy-mm-dd")</f>
        <v/>
      </c>
      <c r="C38285" t="inlineStr">
        <is>
          <t>2004-09-12</t>
        </is>
      </c>
    </row>
    <row r="38286">
      <c r="A38286" s="1" t="n">
        <v>38285</v>
      </c>
      <c r="B38286">
        <f>TEXT(38285, "[$-0E0000]yyyy-mm-dd")</f>
        <v/>
      </c>
      <c r="C38286" t="inlineStr">
        <is>
          <t>2004-09-13</t>
        </is>
      </c>
    </row>
    <row r="38287">
      <c r="A38287" s="1" t="n">
        <v>38286</v>
      </c>
      <c r="B38287">
        <f>TEXT(38286, "[$-0E0000]yyyy-mm-dd")</f>
        <v/>
      </c>
      <c r="C38287" t="inlineStr">
        <is>
          <t>2004-09-14</t>
        </is>
      </c>
    </row>
    <row r="38288">
      <c r="A38288" s="1" t="n">
        <v>38287</v>
      </c>
      <c r="B38288">
        <f>TEXT(38287, "[$-0E0000]yyyy-mm-dd")</f>
        <v/>
      </c>
      <c r="C38288" t="inlineStr">
        <is>
          <t>2004-09-15</t>
        </is>
      </c>
    </row>
    <row r="38289">
      <c r="A38289" s="1" t="n">
        <v>38288</v>
      </c>
      <c r="B38289">
        <f>TEXT(38288, "[$-0E0000]yyyy-mm-dd")</f>
        <v/>
      </c>
      <c r="C38289" t="inlineStr">
        <is>
          <t>2004-09-16</t>
        </is>
      </c>
    </row>
    <row r="38290">
      <c r="A38290" s="1" t="n">
        <v>38289</v>
      </c>
      <c r="B38290">
        <f>TEXT(38289, "[$-0E0000]yyyy-mm-dd")</f>
        <v/>
      </c>
      <c r="C38290" t="inlineStr">
        <is>
          <t>2004-09-17</t>
        </is>
      </c>
    </row>
    <row r="38291">
      <c r="A38291" s="1" t="n">
        <v>38290</v>
      </c>
      <c r="B38291">
        <f>TEXT(38290, "[$-0E0000]yyyy-mm-dd")</f>
        <v/>
      </c>
      <c r="C38291" t="inlineStr">
        <is>
          <t>2004-09-18</t>
        </is>
      </c>
    </row>
    <row r="38292">
      <c r="A38292" s="1" t="n">
        <v>38291</v>
      </c>
      <c r="B38292">
        <f>TEXT(38291, "[$-0E0000]yyyy-mm-dd")</f>
        <v/>
      </c>
      <c r="C38292" t="inlineStr">
        <is>
          <t>2004-09-19</t>
        </is>
      </c>
    </row>
    <row r="38293">
      <c r="A38293" s="1" t="n">
        <v>38292</v>
      </c>
      <c r="B38293">
        <f>TEXT(38292, "[$-0E0000]yyyy-mm-dd")</f>
        <v/>
      </c>
      <c r="C38293" t="inlineStr">
        <is>
          <t>2004-09-20</t>
        </is>
      </c>
    </row>
    <row r="38294">
      <c r="A38294" s="1" t="n">
        <v>38293</v>
      </c>
      <c r="B38294">
        <f>TEXT(38293, "[$-0E0000]yyyy-mm-dd")</f>
        <v/>
      </c>
      <c r="C38294" t="inlineStr">
        <is>
          <t>2004-09-21</t>
        </is>
      </c>
    </row>
    <row r="38295">
      <c r="A38295" s="1" t="n">
        <v>38294</v>
      </c>
      <c r="B38295">
        <f>TEXT(38294, "[$-0E0000]yyyy-mm-dd")</f>
        <v/>
      </c>
      <c r="C38295" t="inlineStr">
        <is>
          <t>2004-09-22</t>
        </is>
      </c>
    </row>
    <row r="38296">
      <c r="A38296" s="1" t="n">
        <v>38295</v>
      </c>
      <c r="B38296">
        <f>TEXT(38295, "[$-0E0000]yyyy-mm-dd")</f>
        <v/>
      </c>
      <c r="C38296" t="inlineStr">
        <is>
          <t>2004-09-23</t>
        </is>
      </c>
    </row>
    <row r="38297">
      <c r="A38297" s="1" t="n">
        <v>38296</v>
      </c>
      <c r="B38297">
        <f>TEXT(38296, "[$-0E0000]yyyy-mm-dd")</f>
        <v/>
      </c>
      <c r="C38297" t="inlineStr">
        <is>
          <t>2004-09-24</t>
        </is>
      </c>
    </row>
    <row r="38298">
      <c r="A38298" s="1" t="n">
        <v>38297</v>
      </c>
      <c r="B38298">
        <f>TEXT(38297, "[$-0E0000]yyyy-mm-dd")</f>
        <v/>
      </c>
      <c r="C38298" t="inlineStr">
        <is>
          <t>2004-09-25</t>
        </is>
      </c>
    </row>
    <row r="38299">
      <c r="A38299" s="1" t="n">
        <v>38298</v>
      </c>
      <c r="B38299">
        <f>TEXT(38298, "[$-0E0000]yyyy-mm-dd")</f>
        <v/>
      </c>
      <c r="C38299" t="inlineStr">
        <is>
          <t>2004-09-26</t>
        </is>
      </c>
    </row>
    <row r="38300">
      <c r="A38300" s="1" t="n">
        <v>38299</v>
      </c>
      <c r="B38300">
        <f>TEXT(38299, "[$-0E0000]yyyy-mm-dd")</f>
        <v/>
      </c>
      <c r="C38300" t="inlineStr">
        <is>
          <t>2004-09-27</t>
        </is>
      </c>
    </row>
    <row r="38301">
      <c r="A38301" s="1" t="n">
        <v>38300</v>
      </c>
      <c r="B38301">
        <f>TEXT(38300, "[$-0E0000]yyyy-mm-dd")</f>
        <v/>
      </c>
      <c r="C38301" t="inlineStr">
        <is>
          <t>2004-09-28</t>
        </is>
      </c>
    </row>
    <row r="38302">
      <c r="A38302" s="1" t="n">
        <v>38301</v>
      </c>
      <c r="B38302">
        <f>TEXT(38301, "[$-0E0000]yyyy-mm-dd")</f>
        <v/>
      </c>
      <c r="C38302" t="inlineStr">
        <is>
          <t>2004-09-29</t>
        </is>
      </c>
    </row>
    <row r="38303">
      <c r="A38303" s="1" t="n">
        <v>38302</v>
      </c>
      <c r="B38303">
        <f>TEXT(38302, "[$-0E0000]yyyy-mm-dd")</f>
        <v/>
      </c>
      <c r="C38303" t="inlineStr">
        <is>
          <t>2004-10-01</t>
        </is>
      </c>
    </row>
    <row r="38304">
      <c r="A38304" s="1" t="n">
        <v>38303</v>
      </c>
      <c r="B38304">
        <f>TEXT(38303, "[$-0E0000]yyyy-mm-dd")</f>
        <v/>
      </c>
      <c r="C38304" t="inlineStr">
        <is>
          <t>2004-10-02</t>
        </is>
      </c>
    </row>
    <row r="38305">
      <c r="A38305" s="1" t="n">
        <v>38304</v>
      </c>
      <c r="B38305">
        <f>TEXT(38304, "[$-0E0000]yyyy-mm-dd")</f>
        <v/>
      </c>
      <c r="C38305" t="inlineStr">
        <is>
          <t>2004-10-03</t>
        </is>
      </c>
    </row>
    <row r="38306">
      <c r="A38306" s="1" t="n">
        <v>38305</v>
      </c>
      <c r="B38306">
        <f>TEXT(38305, "[$-0E0000]yyyy-mm-dd")</f>
        <v/>
      </c>
      <c r="C38306" t="inlineStr">
        <is>
          <t>2004-10-04</t>
        </is>
      </c>
    </row>
    <row r="38307">
      <c r="A38307" s="1" t="n">
        <v>38306</v>
      </c>
      <c r="B38307">
        <f>TEXT(38306, "[$-0E0000]yyyy-mm-dd")</f>
        <v/>
      </c>
      <c r="C38307" t="inlineStr">
        <is>
          <t>2004-10-05</t>
        </is>
      </c>
    </row>
    <row r="38308">
      <c r="A38308" s="1" t="n">
        <v>38307</v>
      </c>
      <c r="B38308">
        <f>TEXT(38307, "[$-0E0000]yyyy-mm-dd")</f>
        <v/>
      </c>
      <c r="C38308" t="inlineStr">
        <is>
          <t>2004-10-06</t>
        </is>
      </c>
    </row>
    <row r="38309">
      <c r="A38309" s="1" t="n">
        <v>38308</v>
      </c>
      <c r="B38309">
        <f>TEXT(38308, "[$-0E0000]yyyy-mm-dd")</f>
        <v/>
      </c>
      <c r="C38309" t="inlineStr">
        <is>
          <t>2004-10-07</t>
        </is>
      </c>
    </row>
    <row r="38310">
      <c r="A38310" s="1" t="n">
        <v>38309</v>
      </c>
      <c r="B38310">
        <f>TEXT(38309, "[$-0E0000]yyyy-mm-dd")</f>
        <v/>
      </c>
      <c r="C38310" t="inlineStr">
        <is>
          <t>2004-10-08</t>
        </is>
      </c>
    </row>
    <row r="38311">
      <c r="A38311" s="1" t="n">
        <v>38310</v>
      </c>
      <c r="B38311">
        <f>TEXT(38310, "[$-0E0000]yyyy-mm-dd")</f>
        <v/>
      </c>
      <c r="C38311" t="inlineStr">
        <is>
          <t>2004-10-09</t>
        </is>
      </c>
    </row>
    <row r="38312">
      <c r="A38312" s="1" t="n">
        <v>38311</v>
      </c>
      <c r="B38312">
        <f>TEXT(38311, "[$-0E0000]yyyy-mm-dd")</f>
        <v/>
      </c>
      <c r="C38312" t="inlineStr">
        <is>
          <t>2004-10-10</t>
        </is>
      </c>
    </row>
    <row r="38313">
      <c r="A38313" s="1" t="n">
        <v>38312</v>
      </c>
      <c r="B38313">
        <f>TEXT(38312, "[$-0E0000]yyyy-mm-dd")</f>
        <v/>
      </c>
      <c r="C38313" t="inlineStr">
        <is>
          <t>2004-10-11</t>
        </is>
      </c>
    </row>
    <row r="38314">
      <c r="A38314" s="1" t="n">
        <v>38313</v>
      </c>
      <c r="B38314">
        <f>TEXT(38313, "[$-0E0000]yyyy-mm-dd")</f>
        <v/>
      </c>
      <c r="C38314" t="inlineStr">
        <is>
          <t>2004-10-12</t>
        </is>
      </c>
    </row>
    <row r="38315">
      <c r="A38315" s="1" t="n">
        <v>38314</v>
      </c>
      <c r="B38315">
        <f>TEXT(38314, "[$-0E0000]yyyy-mm-dd")</f>
        <v/>
      </c>
      <c r="C38315" t="inlineStr">
        <is>
          <t>2004-10-13</t>
        </is>
      </c>
    </row>
    <row r="38316">
      <c r="A38316" s="1" t="n">
        <v>38315</v>
      </c>
      <c r="B38316">
        <f>TEXT(38315, "[$-0E0000]yyyy-mm-dd")</f>
        <v/>
      </c>
      <c r="C38316" t="inlineStr">
        <is>
          <t>2004-10-14</t>
        </is>
      </c>
    </row>
    <row r="38317">
      <c r="A38317" s="1" t="n">
        <v>38316</v>
      </c>
      <c r="B38317">
        <f>TEXT(38316, "[$-0E0000]yyyy-mm-dd")</f>
        <v/>
      </c>
      <c r="C38317" t="inlineStr">
        <is>
          <t>2004-10-15</t>
        </is>
      </c>
    </row>
    <row r="38318">
      <c r="A38318" s="1" t="n">
        <v>38317</v>
      </c>
      <c r="B38318">
        <f>TEXT(38317, "[$-0E0000]yyyy-mm-dd")</f>
        <v/>
      </c>
      <c r="C38318" t="inlineStr">
        <is>
          <t>2004-10-16</t>
        </is>
      </c>
    </row>
    <row r="38319">
      <c r="A38319" s="1" t="n">
        <v>38318</v>
      </c>
      <c r="B38319">
        <f>TEXT(38318, "[$-0E0000]yyyy-mm-dd")</f>
        <v/>
      </c>
      <c r="C38319" t="inlineStr">
        <is>
          <t>2004-10-17</t>
        </is>
      </c>
    </row>
    <row r="38320">
      <c r="A38320" s="1" t="n">
        <v>38319</v>
      </c>
      <c r="B38320">
        <f>TEXT(38319, "[$-0E0000]yyyy-mm-dd")</f>
        <v/>
      </c>
      <c r="C38320" t="inlineStr">
        <is>
          <t>2004-10-18</t>
        </is>
      </c>
    </row>
    <row r="38321">
      <c r="A38321" s="1" t="n">
        <v>38320</v>
      </c>
      <c r="B38321">
        <f>TEXT(38320, "[$-0E0000]yyyy-mm-dd")</f>
        <v/>
      </c>
      <c r="C38321" t="inlineStr">
        <is>
          <t>2004-10-19</t>
        </is>
      </c>
    </row>
    <row r="38322">
      <c r="A38322" s="1" t="n">
        <v>38321</v>
      </c>
      <c r="B38322">
        <f>TEXT(38321, "[$-0E0000]yyyy-mm-dd")</f>
        <v/>
      </c>
      <c r="C38322" t="inlineStr">
        <is>
          <t>2004-10-20</t>
        </is>
      </c>
    </row>
    <row r="38323">
      <c r="A38323" s="1" t="n">
        <v>38322</v>
      </c>
      <c r="B38323">
        <f>TEXT(38322, "[$-0E0000]yyyy-mm-dd")</f>
        <v/>
      </c>
      <c r="C38323" t="inlineStr">
        <is>
          <t>2004-10-21</t>
        </is>
      </c>
    </row>
    <row r="38324">
      <c r="A38324" s="1" t="n">
        <v>38323</v>
      </c>
      <c r="B38324">
        <f>TEXT(38323, "[$-0E0000]yyyy-mm-dd")</f>
        <v/>
      </c>
      <c r="C38324" t="inlineStr">
        <is>
          <t>2004-10-22</t>
        </is>
      </c>
    </row>
    <row r="38325">
      <c r="A38325" s="1" t="n">
        <v>38324</v>
      </c>
      <c r="B38325">
        <f>TEXT(38324, "[$-0E0000]yyyy-mm-dd")</f>
        <v/>
      </c>
      <c r="C38325" t="inlineStr">
        <is>
          <t>2004-10-23</t>
        </is>
      </c>
    </row>
    <row r="38326">
      <c r="A38326" s="1" t="n">
        <v>38325</v>
      </c>
      <c r="B38326">
        <f>TEXT(38325, "[$-0E0000]yyyy-mm-dd")</f>
        <v/>
      </c>
      <c r="C38326" t="inlineStr">
        <is>
          <t>2004-10-24</t>
        </is>
      </c>
    </row>
    <row r="38327">
      <c r="A38327" s="1" t="n">
        <v>38326</v>
      </c>
      <c r="B38327">
        <f>TEXT(38326, "[$-0E0000]yyyy-mm-dd")</f>
        <v/>
      </c>
      <c r="C38327" t="inlineStr">
        <is>
          <t>2004-10-25</t>
        </is>
      </c>
    </row>
    <row r="38328">
      <c r="A38328" s="1" t="n">
        <v>38327</v>
      </c>
      <c r="B38328">
        <f>TEXT(38327, "[$-0E0000]yyyy-mm-dd")</f>
        <v/>
      </c>
      <c r="C38328" t="inlineStr">
        <is>
          <t>2004-10-26</t>
        </is>
      </c>
    </row>
    <row r="38329">
      <c r="A38329" s="1" t="n">
        <v>38328</v>
      </c>
      <c r="B38329">
        <f>TEXT(38328, "[$-0E0000]yyyy-mm-dd")</f>
        <v/>
      </c>
      <c r="C38329" t="inlineStr">
        <is>
          <t>2004-10-27</t>
        </is>
      </c>
    </row>
    <row r="38330">
      <c r="A38330" s="1" t="n">
        <v>38329</v>
      </c>
      <c r="B38330">
        <f>TEXT(38329, "[$-0E0000]yyyy-mm-dd")</f>
        <v/>
      </c>
      <c r="C38330" t="inlineStr">
        <is>
          <t>2004-10-28</t>
        </is>
      </c>
    </row>
    <row r="38331">
      <c r="A38331" s="1" t="n">
        <v>38330</v>
      </c>
      <c r="B38331">
        <f>TEXT(38330, "[$-0E0000]yyyy-mm-dd")</f>
        <v/>
      </c>
      <c r="C38331" t="inlineStr">
        <is>
          <t>2004-10-29</t>
        </is>
      </c>
    </row>
    <row r="38332">
      <c r="A38332" s="1" t="n">
        <v>38331</v>
      </c>
      <c r="B38332">
        <f>TEXT(38331, "[$-0E0000]yyyy-mm-dd")</f>
        <v/>
      </c>
      <c r="C38332" t="inlineStr">
        <is>
          <t>2004-10-30</t>
        </is>
      </c>
    </row>
    <row r="38333">
      <c r="A38333" s="1" t="n">
        <v>38332</v>
      </c>
      <c r="B38333">
        <f>TEXT(38332, "[$-0E0000]yyyy-mm-dd")</f>
        <v/>
      </c>
      <c r="C38333" t="inlineStr">
        <is>
          <t>2004-11-01</t>
        </is>
      </c>
    </row>
    <row r="38334">
      <c r="A38334" s="1" t="n">
        <v>38333</v>
      </c>
      <c r="B38334">
        <f>TEXT(38333, "[$-0E0000]yyyy-mm-dd")</f>
        <v/>
      </c>
      <c r="C38334" t="inlineStr">
        <is>
          <t>2004-11-02</t>
        </is>
      </c>
    </row>
    <row r="38335">
      <c r="A38335" s="1" t="n">
        <v>38334</v>
      </c>
      <c r="B38335">
        <f>TEXT(38334, "[$-0E0000]yyyy-mm-dd")</f>
        <v/>
      </c>
      <c r="C38335" t="inlineStr">
        <is>
          <t>2004-11-03</t>
        </is>
      </c>
    </row>
    <row r="38336">
      <c r="A38336" s="1" t="n">
        <v>38335</v>
      </c>
      <c r="B38336">
        <f>TEXT(38335, "[$-0E0000]yyyy-mm-dd")</f>
        <v/>
      </c>
      <c r="C38336" t="inlineStr">
        <is>
          <t>2004-11-04</t>
        </is>
      </c>
    </row>
    <row r="38337">
      <c r="A38337" s="1" t="n">
        <v>38336</v>
      </c>
      <c r="B38337">
        <f>TEXT(38336, "[$-0E0000]yyyy-mm-dd")</f>
        <v/>
      </c>
      <c r="C38337" t="inlineStr">
        <is>
          <t>2004-11-05</t>
        </is>
      </c>
    </row>
    <row r="38338">
      <c r="A38338" s="1" t="n">
        <v>38337</v>
      </c>
      <c r="B38338">
        <f>TEXT(38337, "[$-0E0000]yyyy-mm-dd")</f>
        <v/>
      </c>
      <c r="C38338" t="inlineStr">
        <is>
          <t>2004-11-06</t>
        </is>
      </c>
    </row>
    <row r="38339">
      <c r="A38339" s="1" t="n">
        <v>38338</v>
      </c>
      <c r="B38339">
        <f>TEXT(38338, "[$-0E0000]yyyy-mm-dd")</f>
        <v/>
      </c>
      <c r="C38339" t="inlineStr">
        <is>
          <t>2004-11-07</t>
        </is>
      </c>
    </row>
    <row r="38340">
      <c r="A38340" s="1" t="n">
        <v>38339</v>
      </c>
      <c r="B38340">
        <f>TEXT(38339, "[$-0E0000]yyyy-mm-dd")</f>
        <v/>
      </c>
      <c r="C38340" t="inlineStr">
        <is>
          <t>2004-11-08</t>
        </is>
      </c>
    </row>
    <row r="38341">
      <c r="A38341" s="1" t="n">
        <v>38340</v>
      </c>
      <c r="B38341">
        <f>TEXT(38340, "[$-0E0000]yyyy-mm-dd")</f>
        <v/>
      </c>
      <c r="C38341" t="inlineStr">
        <is>
          <t>2004-11-09</t>
        </is>
      </c>
    </row>
    <row r="38342">
      <c r="A38342" s="1" t="n">
        <v>38341</v>
      </c>
      <c r="B38342">
        <f>TEXT(38341, "[$-0E0000]yyyy-mm-dd")</f>
        <v/>
      </c>
      <c r="C38342" t="inlineStr">
        <is>
          <t>2004-11-10</t>
        </is>
      </c>
    </row>
    <row r="38343">
      <c r="A38343" s="1" t="n">
        <v>38342</v>
      </c>
      <c r="B38343">
        <f>TEXT(38342, "[$-0E0000]yyyy-mm-dd")</f>
        <v/>
      </c>
      <c r="C38343" t="inlineStr">
        <is>
          <t>2004-11-11</t>
        </is>
      </c>
    </row>
    <row r="38344">
      <c r="A38344" s="1" t="n">
        <v>38343</v>
      </c>
      <c r="B38344">
        <f>TEXT(38343, "[$-0E0000]yyyy-mm-dd")</f>
        <v/>
      </c>
      <c r="C38344" t="inlineStr">
        <is>
          <t>2004-11-12</t>
        </is>
      </c>
    </row>
    <row r="38345">
      <c r="A38345" s="1" t="n">
        <v>38344</v>
      </c>
      <c r="B38345">
        <f>TEXT(38344, "[$-0E0000]yyyy-mm-dd")</f>
        <v/>
      </c>
      <c r="C38345" t="inlineStr">
        <is>
          <t>2004-11-13</t>
        </is>
      </c>
    </row>
    <row r="38346">
      <c r="A38346" s="1" t="n">
        <v>38345</v>
      </c>
      <c r="B38346">
        <f>TEXT(38345, "[$-0E0000]yyyy-mm-dd")</f>
        <v/>
      </c>
      <c r="C38346" t="inlineStr">
        <is>
          <t>2004-11-14</t>
        </is>
      </c>
    </row>
    <row r="38347">
      <c r="A38347" s="1" t="n">
        <v>38346</v>
      </c>
      <c r="B38347">
        <f>TEXT(38346, "[$-0E0000]yyyy-mm-dd")</f>
        <v/>
      </c>
      <c r="C38347" t="inlineStr">
        <is>
          <t>2004-11-15</t>
        </is>
      </c>
    </row>
    <row r="38348">
      <c r="A38348" s="1" t="n">
        <v>38347</v>
      </c>
      <c r="B38348">
        <f>TEXT(38347, "[$-0E0000]yyyy-mm-dd")</f>
        <v/>
      </c>
      <c r="C38348" t="inlineStr">
        <is>
          <t>2004-11-16</t>
        </is>
      </c>
    </row>
    <row r="38349">
      <c r="A38349" s="1" t="n">
        <v>38348</v>
      </c>
      <c r="B38349">
        <f>TEXT(38348, "[$-0E0000]yyyy-mm-dd")</f>
        <v/>
      </c>
      <c r="C38349" t="inlineStr">
        <is>
          <t>2004-11-17</t>
        </is>
      </c>
    </row>
    <row r="38350">
      <c r="A38350" s="1" t="n">
        <v>38349</v>
      </c>
      <c r="B38350">
        <f>TEXT(38349, "[$-0E0000]yyyy-mm-dd")</f>
        <v/>
      </c>
      <c r="C38350" t="inlineStr">
        <is>
          <t>2004-11-18</t>
        </is>
      </c>
    </row>
    <row r="38351">
      <c r="A38351" s="1" t="n">
        <v>38350</v>
      </c>
      <c r="B38351">
        <f>TEXT(38350, "[$-0E0000]yyyy-mm-dd")</f>
        <v/>
      </c>
      <c r="C38351" t="inlineStr">
        <is>
          <t>2004-11-19</t>
        </is>
      </c>
    </row>
    <row r="38352">
      <c r="A38352" s="1" t="n">
        <v>38351</v>
      </c>
      <c r="B38352">
        <f>TEXT(38351, "[$-0E0000]yyyy-mm-dd")</f>
        <v/>
      </c>
      <c r="C38352" t="inlineStr">
        <is>
          <t>2004-11-20</t>
        </is>
      </c>
    </row>
    <row r="38353">
      <c r="A38353" s="1" t="n">
        <v>38352</v>
      </c>
      <c r="B38353">
        <f>TEXT(38352, "[$-0E0000]yyyy-mm-dd")</f>
        <v/>
      </c>
      <c r="C38353" t="inlineStr">
        <is>
          <t>2004-11-21</t>
        </is>
      </c>
    </row>
    <row r="38354">
      <c r="A38354" s="1" t="n">
        <v>38353</v>
      </c>
      <c r="B38354">
        <f>TEXT(38353, "[$-0E0000]yyyy-mm-dd")</f>
        <v/>
      </c>
      <c r="C38354" t="inlineStr">
        <is>
          <t>2004-11-22</t>
        </is>
      </c>
    </row>
    <row r="38355">
      <c r="A38355" s="1" t="n">
        <v>38354</v>
      </c>
      <c r="B38355">
        <f>TEXT(38354, "[$-0E0000]yyyy-mm-dd")</f>
        <v/>
      </c>
      <c r="C38355" t="inlineStr">
        <is>
          <t>2004-11-23</t>
        </is>
      </c>
    </row>
    <row r="38356">
      <c r="A38356" s="1" t="n">
        <v>38355</v>
      </c>
      <c r="B38356">
        <f>TEXT(38355, "[$-0E0000]yyyy-mm-dd")</f>
        <v/>
      </c>
      <c r="C38356" t="inlineStr">
        <is>
          <t>2004-11-24</t>
        </is>
      </c>
    </row>
    <row r="38357">
      <c r="A38357" s="1" t="n">
        <v>38356</v>
      </c>
      <c r="B38357">
        <f>TEXT(38356, "[$-0E0000]yyyy-mm-dd")</f>
        <v/>
      </c>
      <c r="C38357" t="inlineStr">
        <is>
          <t>2004-11-25</t>
        </is>
      </c>
    </row>
    <row r="38358">
      <c r="A38358" s="1" t="n">
        <v>38357</v>
      </c>
      <c r="B38358">
        <f>TEXT(38357, "[$-0E0000]yyyy-mm-dd")</f>
        <v/>
      </c>
      <c r="C38358" t="inlineStr">
        <is>
          <t>2004-11-26</t>
        </is>
      </c>
    </row>
    <row r="38359">
      <c r="A38359" s="1" t="n">
        <v>38358</v>
      </c>
      <c r="B38359">
        <f>TEXT(38358, "[$-0E0000]yyyy-mm-dd")</f>
        <v/>
      </c>
      <c r="C38359" t="inlineStr">
        <is>
          <t>2004-11-27</t>
        </is>
      </c>
    </row>
    <row r="38360">
      <c r="A38360" s="1" t="n">
        <v>38359</v>
      </c>
      <c r="B38360">
        <f>TEXT(38359, "[$-0E0000]yyyy-mm-dd")</f>
        <v/>
      </c>
      <c r="C38360" t="inlineStr">
        <is>
          <t>2004-11-28</t>
        </is>
      </c>
    </row>
    <row r="38361">
      <c r="A38361" s="1" t="n">
        <v>38360</v>
      </c>
      <c r="B38361">
        <f>TEXT(38360, "[$-0E0000]yyyy-mm-dd")</f>
        <v/>
      </c>
      <c r="C38361" t="inlineStr">
        <is>
          <t>2004-11-29</t>
        </is>
      </c>
    </row>
    <row r="38362">
      <c r="A38362" s="1" t="n">
        <v>38361</v>
      </c>
      <c r="B38362">
        <f>TEXT(38361, "[$-0E0000]yyyy-mm-dd")</f>
        <v/>
      </c>
      <c r="C38362" t="inlineStr">
        <is>
          <t>2004-12-01</t>
        </is>
      </c>
    </row>
    <row r="38363">
      <c r="A38363" s="1" t="n">
        <v>38362</v>
      </c>
      <c r="B38363">
        <f>TEXT(38362, "[$-0E0000]yyyy-mm-dd")</f>
        <v/>
      </c>
      <c r="C38363" t="inlineStr">
        <is>
          <t>2004-12-02</t>
        </is>
      </c>
    </row>
    <row r="38364">
      <c r="A38364" s="1" t="n">
        <v>38363</v>
      </c>
      <c r="B38364">
        <f>TEXT(38363, "[$-0E0000]yyyy-mm-dd")</f>
        <v/>
      </c>
      <c r="C38364" t="inlineStr">
        <is>
          <t>2004-12-03</t>
        </is>
      </c>
    </row>
    <row r="38365">
      <c r="A38365" s="1" t="n">
        <v>38364</v>
      </c>
      <c r="B38365">
        <f>TEXT(38364, "[$-0E0000]yyyy-mm-dd")</f>
        <v/>
      </c>
      <c r="C38365" t="inlineStr">
        <is>
          <t>2004-12-04</t>
        </is>
      </c>
    </row>
    <row r="38366">
      <c r="A38366" s="1" t="n">
        <v>38365</v>
      </c>
      <c r="B38366">
        <f>TEXT(38365, "[$-0E0000]yyyy-mm-dd")</f>
        <v/>
      </c>
      <c r="C38366" t="inlineStr">
        <is>
          <t>2004-12-05</t>
        </is>
      </c>
    </row>
    <row r="38367">
      <c r="A38367" s="1" t="n">
        <v>38366</v>
      </c>
      <c r="B38367">
        <f>TEXT(38366, "[$-0E0000]yyyy-mm-dd")</f>
        <v/>
      </c>
      <c r="C38367" t="inlineStr">
        <is>
          <t>2004-12-06</t>
        </is>
      </c>
    </row>
    <row r="38368">
      <c r="A38368" s="1" t="n">
        <v>38367</v>
      </c>
      <c r="B38368">
        <f>TEXT(38367, "[$-0E0000]yyyy-mm-dd")</f>
        <v/>
      </c>
      <c r="C38368" t="inlineStr">
        <is>
          <t>2004-12-07</t>
        </is>
      </c>
    </row>
    <row r="38369">
      <c r="A38369" s="1" t="n">
        <v>38368</v>
      </c>
      <c r="B38369">
        <f>TEXT(38368, "[$-0E0000]yyyy-mm-dd")</f>
        <v/>
      </c>
      <c r="C38369" t="inlineStr">
        <is>
          <t>2004-12-08</t>
        </is>
      </c>
    </row>
    <row r="38370">
      <c r="A38370" s="1" t="n">
        <v>38369</v>
      </c>
      <c r="B38370">
        <f>TEXT(38369, "[$-0E0000]yyyy-mm-dd")</f>
        <v/>
      </c>
      <c r="C38370" t="inlineStr">
        <is>
          <t>2004-12-09</t>
        </is>
      </c>
    </row>
    <row r="38371">
      <c r="A38371" s="1" t="n">
        <v>38370</v>
      </c>
      <c r="B38371">
        <f>TEXT(38370, "[$-0E0000]yyyy-mm-dd")</f>
        <v/>
      </c>
      <c r="C38371" t="inlineStr">
        <is>
          <t>2004-12-10</t>
        </is>
      </c>
    </row>
    <row r="38372">
      <c r="A38372" s="1" t="n">
        <v>38371</v>
      </c>
      <c r="B38372">
        <f>TEXT(38371, "[$-0E0000]yyyy-mm-dd")</f>
        <v/>
      </c>
      <c r="C38372" t="inlineStr">
        <is>
          <t>2004-12-11</t>
        </is>
      </c>
    </row>
    <row r="38373">
      <c r="A38373" s="1" t="n">
        <v>38372</v>
      </c>
      <c r="B38373">
        <f>TEXT(38372, "[$-0E0000]yyyy-mm-dd")</f>
        <v/>
      </c>
      <c r="C38373" t="inlineStr">
        <is>
          <t>2004-12-12</t>
        </is>
      </c>
    </row>
    <row r="38374">
      <c r="A38374" s="1" t="n">
        <v>38373</v>
      </c>
      <c r="B38374">
        <f>TEXT(38373, "[$-0E0000]yyyy-mm-dd")</f>
        <v/>
      </c>
      <c r="C38374" t="inlineStr">
        <is>
          <t>2004-12-13</t>
        </is>
      </c>
    </row>
    <row r="38375">
      <c r="A38375" s="1" t="n">
        <v>38374</v>
      </c>
      <c r="B38375">
        <f>TEXT(38374, "[$-0E0000]yyyy-mm-dd")</f>
        <v/>
      </c>
      <c r="C38375" t="inlineStr">
        <is>
          <t>2004-12-14</t>
        </is>
      </c>
    </row>
    <row r="38376">
      <c r="A38376" s="1" t="n">
        <v>38375</v>
      </c>
      <c r="B38376">
        <f>TEXT(38375, "[$-0E0000]yyyy-mm-dd")</f>
        <v/>
      </c>
      <c r="C38376" t="inlineStr">
        <is>
          <t>2004-12-15</t>
        </is>
      </c>
    </row>
    <row r="38377">
      <c r="A38377" s="1" t="n">
        <v>38376</v>
      </c>
      <c r="B38377">
        <f>TEXT(38376, "[$-0E0000]yyyy-mm-dd")</f>
        <v/>
      </c>
      <c r="C38377" t="inlineStr">
        <is>
          <t>2004-12-16</t>
        </is>
      </c>
    </row>
    <row r="38378">
      <c r="A38378" s="1" t="n">
        <v>38377</v>
      </c>
      <c r="B38378">
        <f>TEXT(38377, "[$-0E0000]yyyy-mm-dd")</f>
        <v/>
      </c>
      <c r="C38378" t="inlineStr">
        <is>
          <t>2004-12-17</t>
        </is>
      </c>
    </row>
    <row r="38379">
      <c r="A38379" s="1" t="n">
        <v>38378</v>
      </c>
      <c r="B38379">
        <f>TEXT(38378, "[$-0E0000]yyyy-mm-dd")</f>
        <v/>
      </c>
      <c r="C38379" t="inlineStr">
        <is>
          <t>2004-12-18</t>
        </is>
      </c>
    </row>
    <row r="38380">
      <c r="A38380" s="1" t="n">
        <v>38379</v>
      </c>
      <c r="B38380">
        <f>TEXT(38379, "[$-0E0000]yyyy-mm-dd")</f>
        <v/>
      </c>
      <c r="C38380" t="inlineStr">
        <is>
          <t>2004-12-19</t>
        </is>
      </c>
    </row>
    <row r="38381">
      <c r="A38381" s="1" t="n">
        <v>38380</v>
      </c>
      <c r="B38381">
        <f>TEXT(38380, "[$-0E0000]yyyy-mm-dd")</f>
        <v/>
      </c>
      <c r="C38381" t="inlineStr">
        <is>
          <t>2004-12-20</t>
        </is>
      </c>
    </row>
    <row r="38382">
      <c r="A38382" s="1" t="n">
        <v>38381</v>
      </c>
      <c r="B38382">
        <f>TEXT(38381, "[$-0E0000]yyyy-mm-dd")</f>
        <v/>
      </c>
      <c r="C38382" t="inlineStr">
        <is>
          <t>2004-12-21</t>
        </is>
      </c>
    </row>
    <row r="38383">
      <c r="A38383" s="1" t="n">
        <v>38382</v>
      </c>
      <c r="B38383">
        <f>TEXT(38382, "[$-0E0000]yyyy-mm-dd")</f>
        <v/>
      </c>
      <c r="C38383" t="inlineStr">
        <is>
          <t>2004-12-22</t>
        </is>
      </c>
    </row>
    <row r="38384">
      <c r="A38384" s="1" t="n">
        <v>38383</v>
      </c>
      <c r="B38384">
        <f>TEXT(38383, "[$-0E0000]yyyy-mm-dd")</f>
        <v/>
      </c>
      <c r="C38384" t="inlineStr">
        <is>
          <t>2004-12-23</t>
        </is>
      </c>
    </row>
    <row r="38385">
      <c r="A38385" s="1" t="n">
        <v>38384</v>
      </c>
      <c r="B38385">
        <f>TEXT(38384, "[$-0E0000]yyyy-mm-dd")</f>
        <v/>
      </c>
      <c r="C38385" t="inlineStr">
        <is>
          <t>2004-12-24</t>
        </is>
      </c>
    </row>
    <row r="38386">
      <c r="A38386" s="1" t="n">
        <v>38385</v>
      </c>
      <c r="B38386">
        <f>TEXT(38385, "[$-0E0000]yyyy-mm-dd")</f>
        <v/>
      </c>
      <c r="C38386" t="inlineStr">
        <is>
          <t>2004-12-25</t>
        </is>
      </c>
    </row>
    <row r="38387">
      <c r="A38387" s="1" t="n">
        <v>38386</v>
      </c>
      <c r="B38387">
        <f>TEXT(38386, "[$-0E0000]yyyy-mm-dd")</f>
        <v/>
      </c>
      <c r="C38387" t="inlineStr">
        <is>
          <t>2004-12-26</t>
        </is>
      </c>
    </row>
    <row r="38388">
      <c r="A38388" s="1" t="n">
        <v>38387</v>
      </c>
      <c r="B38388">
        <f>TEXT(38387, "[$-0E0000]yyyy-mm-dd")</f>
        <v/>
      </c>
      <c r="C38388" t="inlineStr">
        <is>
          <t>2004-12-27</t>
        </is>
      </c>
    </row>
    <row r="38389">
      <c r="A38389" s="1" t="n">
        <v>38388</v>
      </c>
      <c r="B38389">
        <f>TEXT(38388, "[$-0E0000]yyyy-mm-dd")</f>
        <v/>
      </c>
      <c r="C38389" t="inlineStr">
        <is>
          <t>2004-12-28</t>
        </is>
      </c>
    </row>
    <row r="38390">
      <c r="A38390" s="1" t="n">
        <v>38389</v>
      </c>
      <c r="B38390">
        <f>TEXT(38389, "[$-0E0000]yyyy-mm-dd")</f>
        <v/>
      </c>
      <c r="C38390" t="inlineStr">
        <is>
          <t>2004-12-29</t>
        </is>
      </c>
    </row>
    <row r="38391">
      <c r="A38391" s="1" t="n">
        <v>38390</v>
      </c>
      <c r="B38391">
        <f>TEXT(38390, "[$-0E0000]yyyy-mm-dd")</f>
        <v/>
      </c>
      <c r="C38391" t="inlineStr">
        <is>
          <t>2004-12-30</t>
        </is>
      </c>
    </row>
    <row r="38392">
      <c r="A38392" s="1" t="n">
        <v>38391</v>
      </c>
      <c r="B38392">
        <f>TEXT(38391, "[$-0E0000]yyyy-mm-dd")</f>
        <v/>
      </c>
      <c r="C38392" t="inlineStr">
        <is>
          <t>2005-01-01</t>
        </is>
      </c>
    </row>
    <row r="38393">
      <c r="A38393" s="1" t="n">
        <v>38392</v>
      </c>
      <c r="B38393">
        <f>TEXT(38392, "[$-0E0000]yyyy-mm-dd")</f>
        <v/>
      </c>
      <c r="C38393" t="inlineStr">
        <is>
          <t>2005-01-02</t>
        </is>
      </c>
    </row>
    <row r="38394">
      <c r="A38394" s="1" t="n">
        <v>38393</v>
      </c>
      <c r="B38394">
        <f>TEXT(38393, "[$-0E0000]yyyy-mm-dd")</f>
        <v/>
      </c>
      <c r="C38394" t="inlineStr">
        <is>
          <t>2005-01-03</t>
        </is>
      </c>
    </row>
    <row r="38395">
      <c r="A38395" s="1" t="n">
        <v>38394</v>
      </c>
      <c r="B38395">
        <f>TEXT(38394, "[$-0E0000]yyyy-mm-dd")</f>
        <v/>
      </c>
      <c r="C38395" t="inlineStr">
        <is>
          <t>2005-01-04</t>
        </is>
      </c>
    </row>
    <row r="38396">
      <c r="A38396" s="1" t="n">
        <v>38395</v>
      </c>
      <c r="B38396">
        <f>TEXT(38395, "[$-0E0000]yyyy-mm-dd")</f>
        <v/>
      </c>
      <c r="C38396" t="inlineStr">
        <is>
          <t>2005-01-05</t>
        </is>
      </c>
    </row>
    <row r="38397">
      <c r="A38397" s="1" t="n">
        <v>38396</v>
      </c>
      <c r="B38397">
        <f>TEXT(38396, "[$-0E0000]yyyy-mm-dd")</f>
        <v/>
      </c>
      <c r="C38397" t="inlineStr">
        <is>
          <t>2005-01-06</t>
        </is>
      </c>
    </row>
    <row r="38398">
      <c r="A38398" s="1" t="n">
        <v>38397</v>
      </c>
      <c r="B38398">
        <f>TEXT(38397, "[$-0E0000]yyyy-mm-dd")</f>
        <v/>
      </c>
      <c r="C38398" t="inlineStr">
        <is>
          <t>2005-01-07</t>
        </is>
      </c>
    </row>
    <row r="38399">
      <c r="A38399" s="1" t="n">
        <v>38398</v>
      </c>
      <c r="B38399">
        <f>TEXT(38398, "[$-0E0000]yyyy-mm-dd")</f>
        <v/>
      </c>
      <c r="C38399" t="inlineStr">
        <is>
          <t>2005-01-08</t>
        </is>
      </c>
    </row>
    <row r="38400">
      <c r="A38400" s="1" t="n">
        <v>38399</v>
      </c>
      <c r="B38400">
        <f>TEXT(38399, "[$-0E0000]yyyy-mm-dd")</f>
        <v/>
      </c>
      <c r="C38400" t="inlineStr">
        <is>
          <t>2005-01-09</t>
        </is>
      </c>
    </row>
    <row r="38401">
      <c r="A38401" s="1" t="n">
        <v>38400</v>
      </c>
      <c r="B38401">
        <f>TEXT(38400, "[$-0E0000]yyyy-mm-dd")</f>
        <v/>
      </c>
      <c r="C38401" t="inlineStr">
        <is>
          <t>2005-01-10</t>
        </is>
      </c>
    </row>
    <row r="38402">
      <c r="A38402" s="1" t="n">
        <v>38401</v>
      </c>
      <c r="B38402">
        <f>TEXT(38401, "[$-0E0000]yyyy-mm-dd")</f>
        <v/>
      </c>
      <c r="C38402" t="inlineStr">
        <is>
          <t>2005-01-11</t>
        </is>
      </c>
    </row>
    <row r="38403">
      <c r="A38403" s="1" t="n">
        <v>38402</v>
      </c>
      <c r="B38403">
        <f>TEXT(38402, "[$-0E0000]yyyy-mm-dd")</f>
        <v/>
      </c>
      <c r="C38403" t="inlineStr">
        <is>
          <t>2005-01-12</t>
        </is>
      </c>
    </row>
    <row r="38404">
      <c r="A38404" s="1" t="n">
        <v>38403</v>
      </c>
      <c r="B38404">
        <f>TEXT(38403, "[$-0E0000]yyyy-mm-dd")</f>
        <v/>
      </c>
      <c r="C38404" t="inlineStr">
        <is>
          <t>2005-01-13</t>
        </is>
      </c>
    </row>
    <row r="38405">
      <c r="A38405" s="1" t="n">
        <v>38404</v>
      </c>
      <c r="B38405">
        <f>TEXT(38404, "[$-0E0000]yyyy-mm-dd")</f>
        <v/>
      </c>
      <c r="C38405" t="inlineStr">
        <is>
          <t>2005-01-14</t>
        </is>
      </c>
    </row>
    <row r="38406">
      <c r="A38406" s="1" t="n">
        <v>38405</v>
      </c>
      <c r="B38406">
        <f>TEXT(38405, "[$-0E0000]yyyy-mm-dd")</f>
        <v/>
      </c>
      <c r="C38406" t="inlineStr">
        <is>
          <t>2005-01-15</t>
        </is>
      </c>
    </row>
    <row r="38407">
      <c r="A38407" s="1" t="n">
        <v>38406</v>
      </c>
      <c r="B38407">
        <f>TEXT(38406, "[$-0E0000]yyyy-mm-dd")</f>
        <v/>
      </c>
      <c r="C38407" t="inlineStr">
        <is>
          <t>2005-01-16</t>
        </is>
      </c>
    </row>
    <row r="38408">
      <c r="A38408" s="1" t="n">
        <v>38407</v>
      </c>
      <c r="B38408">
        <f>TEXT(38407, "[$-0E0000]yyyy-mm-dd")</f>
        <v/>
      </c>
      <c r="C38408" t="inlineStr">
        <is>
          <t>2005-01-17</t>
        </is>
      </c>
    </row>
    <row r="38409">
      <c r="A38409" s="1" t="n">
        <v>38408</v>
      </c>
      <c r="B38409">
        <f>TEXT(38408, "[$-0E0000]yyyy-mm-dd")</f>
        <v/>
      </c>
      <c r="C38409" t="inlineStr">
        <is>
          <t>2005-01-18</t>
        </is>
      </c>
    </row>
    <row r="38410">
      <c r="A38410" s="1" t="n">
        <v>38409</v>
      </c>
      <c r="B38410">
        <f>TEXT(38409, "[$-0E0000]yyyy-mm-dd")</f>
        <v/>
      </c>
      <c r="C38410" t="inlineStr">
        <is>
          <t>2005-01-19</t>
        </is>
      </c>
    </row>
    <row r="38411">
      <c r="A38411" s="1" t="n">
        <v>38410</v>
      </c>
      <c r="B38411">
        <f>TEXT(38410, "[$-0E0000]yyyy-mm-dd")</f>
        <v/>
      </c>
      <c r="C38411" t="inlineStr">
        <is>
          <t>2005-01-20</t>
        </is>
      </c>
    </row>
    <row r="38412">
      <c r="A38412" s="1" t="n">
        <v>38411</v>
      </c>
      <c r="B38412">
        <f>TEXT(38411, "[$-0E0000]yyyy-mm-dd")</f>
        <v/>
      </c>
      <c r="C38412" t="inlineStr">
        <is>
          <t>2005-01-21</t>
        </is>
      </c>
    </row>
    <row r="38413">
      <c r="A38413" s="1" t="n">
        <v>38412</v>
      </c>
      <c r="B38413">
        <f>TEXT(38412, "[$-0E0000]yyyy-mm-dd")</f>
        <v/>
      </c>
      <c r="C38413" t="inlineStr">
        <is>
          <t>2005-01-22</t>
        </is>
      </c>
    </row>
    <row r="38414">
      <c r="A38414" s="1" t="n">
        <v>38413</v>
      </c>
      <c r="B38414">
        <f>TEXT(38413, "[$-0E0000]yyyy-mm-dd")</f>
        <v/>
      </c>
      <c r="C38414" t="inlineStr">
        <is>
          <t>2005-01-23</t>
        </is>
      </c>
    </row>
    <row r="38415">
      <c r="A38415" s="1" t="n">
        <v>38414</v>
      </c>
      <c r="B38415">
        <f>TEXT(38414, "[$-0E0000]yyyy-mm-dd")</f>
        <v/>
      </c>
      <c r="C38415" t="inlineStr">
        <is>
          <t>2005-01-24</t>
        </is>
      </c>
    </row>
    <row r="38416">
      <c r="A38416" s="1" t="n">
        <v>38415</v>
      </c>
      <c r="B38416">
        <f>TEXT(38415, "[$-0E0000]yyyy-mm-dd")</f>
        <v/>
      </c>
      <c r="C38416" t="inlineStr">
        <is>
          <t>2005-01-25</t>
        </is>
      </c>
    </row>
    <row r="38417">
      <c r="A38417" s="1" t="n">
        <v>38416</v>
      </c>
      <c r="B38417">
        <f>TEXT(38416, "[$-0E0000]yyyy-mm-dd")</f>
        <v/>
      </c>
      <c r="C38417" t="inlineStr">
        <is>
          <t>2005-01-26</t>
        </is>
      </c>
    </row>
    <row r="38418">
      <c r="A38418" s="1" t="n">
        <v>38417</v>
      </c>
      <c r="B38418">
        <f>TEXT(38417, "[$-0E0000]yyyy-mm-dd")</f>
        <v/>
      </c>
      <c r="C38418" t="inlineStr">
        <is>
          <t>2005-01-27</t>
        </is>
      </c>
    </row>
    <row r="38419">
      <c r="A38419" s="1" t="n">
        <v>38418</v>
      </c>
      <c r="B38419">
        <f>TEXT(38418, "[$-0E0000]yyyy-mm-dd")</f>
        <v/>
      </c>
      <c r="C38419" t="inlineStr">
        <is>
          <t>2005-01-28</t>
        </is>
      </c>
    </row>
    <row r="38420">
      <c r="A38420" s="1" t="n">
        <v>38419</v>
      </c>
      <c r="B38420">
        <f>TEXT(38419, "[$-0E0000]yyyy-mm-dd")</f>
        <v/>
      </c>
      <c r="C38420" t="inlineStr">
        <is>
          <t>2005-01-29</t>
        </is>
      </c>
    </row>
    <row r="38421">
      <c r="A38421" s="1" t="n">
        <v>38420</v>
      </c>
      <c r="B38421">
        <f>TEXT(38420, "[$-0E0000]yyyy-mm-dd")</f>
        <v/>
      </c>
      <c r="C38421" t="inlineStr">
        <is>
          <t>2005-02-01</t>
        </is>
      </c>
    </row>
    <row r="38422">
      <c r="A38422" s="1" t="n">
        <v>38421</v>
      </c>
      <c r="B38422">
        <f>TEXT(38421, "[$-0E0000]yyyy-mm-dd")</f>
        <v/>
      </c>
      <c r="C38422" t="inlineStr">
        <is>
          <t>2005-02-02</t>
        </is>
      </c>
    </row>
    <row r="38423">
      <c r="A38423" s="1" t="n">
        <v>38422</v>
      </c>
      <c r="B38423">
        <f>TEXT(38422, "[$-0E0000]yyyy-mm-dd")</f>
        <v/>
      </c>
      <c r="C38423" t="inlineStr">
        <is>
          <t>2005-02-03</t>
        </is>
      </c>
    </row>
    <row r="38424">
      <c r="A38424" s="1" t="n">
        <v>38423</v>
      </c>
      <c r="B38424">
        <f>TEXT(38423, "[$-0E0000]yyyy-mm-dd")</f>
        <v/>
      </c>
      <c r="C38424" t="inlineStr">
        <is>
          <t>2005-02-04</t>
        </is>
      </c>
    </row>
    <row r="38425">
      <c r="A38425" s="1" t="n">
        <v>38424</v>
      </c>
      <c r="B38425">
        <f>TEXT(38424, "[$-0E0000]yyyy-mm-dd")</f>
        <v/>
      </c>
      <c r="C38425" t="inlineStr">
        <is>
          <t>2005-02-05</t>
        </is>
      </c>
    </row>
    <row r="38426">
      <c r="A38426" s="1" t="n">
        <v>38425</v>
      </c>
      <c r="B38426">
        <f>TEXT(38425, "[$-0E0000]yyyy-mm-dd")</f>
        <v/>
      </c>
      <c r="C38426" t="inlineStr">
        <is>
          <t>2005-02-06</t>
        </is>
      </c>
    </row>
    <row r="38427">
      <c r="A38427" s="1" t="n">
        <v>38426</v>
      </c>
      <c r="B38427">
        <f>TEXT(38426, "[$-0E0000]yyyy-mm-dd")</f>
        <v/>
      </c>
      <c r="C38427" t="inlineStr">
        <is>
          <t>2005-02-07</t>
        </is>
      </c>
    </row>
    <row r="38428">
      <c r="A38428" s="1" t="n">
        <v>38427</v>
      </c>
      <c r="B38428">
        <f>TEXT(38427, "[$-0E0000]yyyy-mm-dd")</f>
        <v/>
      </c>
      <c r="C38428" t="inlineStr">
        <is>
          <t>2005-02-08</t>
        </is>
      </c>
    </row>
    <row r="38429">
      <c r="A38429" s="1" t="n">
        <v>38428</v>
      </c>
      <c r="B38429">
        <f>TEXT(38428, "[$-0E0000]yyyy-mm-dd")</f>
        <v/>
      </c>
      <c r="C38429" t="inlineStr">
        <is>
          <t>2005-02-09</t>
        </is>
      </c>
    </row>
    <row r="38430">
      <c r="A38430" s="1" t="n">
        <v>38429</v>
      </c>
      <c r="B38430">
        <f>TEXT(38429, "[$-0E0000]yyyy-mm-dd")</f>
        <v/>
      </c>
      <c r="C38430" t="inlineStr">
        <is>
          <t>2005-02-10</t>
        </is>
      </c>
    </row>
    <row r="38431">
      <c r="A38431" s="1" t="n">
        <v>38430</v>
      </c>
      <c r="B38431">
        <f>TEXT(38430, "[$-0E0000]yyyy-mm-dd")</f>
        <v/>
      </c>
      <c r="C38431" t="inlineStr">
        <is>
          <t>2005-02-11</t>
        </is>
      </c>
    </row>
    <row r="38432">
      <c r="A38432" s="1" t="n">
        <v>38431</v>
      </c>
      <c r="B38432">
        <f>TEXT(38431, "[$-0E0000]yyyy-mm-dd")</f>
        <v/>
      </c>
      <c r="C38432" t="inlineStr">
        <is>
          <t>2005-02-12</t>
        </is>
      </c>
    </row>
    <row r="38433">
      <c r="A38433" s="1" t="n">
        <v>38432</v>
      </c>
      <c r="B38433">
        <f>TEXT(38432, "[$-0E0000]yyyy-mm-dd")</f>
        <v/>
      </c>
      <c r="C38433" t="inlineStr">
        <is>
          <t>2005-02-13</t>
        </is>
      </c>
    </row>
    <row r="38434">
      <c r="A38434" s="1" t="n">
        <v>38433</v>
      </c>
      <c r="B38434">
        <f>TEXT(38433, "[$-0E0000]yyyy-mm-dd")</f>
        <v/>
      </c>
      <c r="C38434" t="inlineStr">
        <is>
          <t>2005-02-14</t>
        </is>
      </c>
    </row>
    <row r="38435">
      <c r="A38435" s="1" t="n">
        <v>38434</v>
      </c>
      <c r="B38435">
        <f>TEXT(38434, "[$-0E0000]yyyy-mm-dd")</f>
        <v/>
      </c>
      <c r="C38435" t="inlineStr">
        <is>
          <t>2005-02-15</t>
        </is>
      </c>
    </row>
    <row r="38436">
      <c r="A38436" s="1" t="n">
        <v>38435</v>
      </c>
      <c r="B38436">
        <f>TEXT(38435, "[$-0E0000]yyyy-mm-dd")</f>
        <v/>
      </c>
      <c r="C38436" t="inlineStr">
        <is>
          <t>2005-02-16</t>
        </is>
      </c>
    </row>
    <row r="38437">
      <c r="A38437" s="1" t="n">
        <v>38436</v>
      </c>
      <c r="B38437">
        <f>TEXT(38436, "[$-0E0000]yyyy-mm-dd")</f>
        <v/>
      </c>
      <c r="C38437" t="inlineStr">
        <is>
          <t>2005-02-17</t>
        </is>
      </c>
    </row>
    <row r="38438">
      <c r="A38438" s="1" t="n">
        <v>38437</v>
      </c>
      <c r="B38438">
        <f>TEXT(38437, "[$-0E0000]yyyy-mm-dd")</f>
        <v/>
      </c>
      <c r="C38438" t="inlineStr">
        <is>
          <t>2005-02-18</t>
        </is>
      </c>
    </row>
    <row r="38439">
      <c r="A38439" s="1" t="n">
        <v>38438</v>
      </c>
      <c r="B38439">
        <f>TEXT(38438, "[$-0E0000]yyyy-mm-dd")</f>
        <v/>
      </c>
      <c r="C38439" t="inlineStr">
        <is>
          <t>2005-02-19</t>
        </is>
      </c>
    </row>
    <row r="38440">
      <c r="A38440" s="1" t="n">
        <v>38439</v>
      </c>
      <c r="B38440">
        <f>TEXT(38439, "[$-0E0000]yyyy-mm-dd")</f>
        <v/>
      </c>
      <c r="C38440" t="inlineStr">
        <is>
          <t>2005-02-20</t>
        </is>
      </c>
    </row>
    <row r="38441">
      <c r="A38441" s="1" t="n">
        <v>38440</v>
      </c>
      <c r="B38441">
        <f>TEXT(38440, "[$-0E0000]yyyy-mm-dd")</f>
        <v/>
      </c>
      <c r="C38441" t="inlineStr">
        <is>
          <t>2005-02-21</t>
        </is>
      </c>
    </row>
    <row r="38442">
      <c r="A38442" s="1" t="n">
        <v>38441</v>
      </c>
      <c r="B38442">
        <f>TEXT(38441, "[$-0E0000]yyyy-mm-dd")</f>
        <v/>
      </c>
      <c r="C38442" t="inlineStr">
        <is>
          <t>2005-02-22</t>
        </is>
      </c>
    </row>
    <row r="38443">
      <c r="A38443" s="1" t="n">
        <v>38442</v>
      </c>
      <c r="B38443">
        <f>TEXT(38442, "[$-0E0000]yyyy-mm-dd")</f>
        <v/>
      </c>
      <c r="C38443" t="inlineStr">
        <is>
          <t>2005-02-23</t>
        </is>
      </c>
    </row>
    <row r="38444">
      <c r="A38444" s="1" t="n">
        <v>38443</v>
      </c>
      <c r="B38444">
        <f>TEXT(38443, "[$-0E0000]yyyy-mm-dd")</f>
        <v/>
      </c>
      <c r="C38444" t="inlineStr">
        <is>
          <t>2005-02-24</t>
        </is>
      </c>
    </row>
    <row r="38445">
      <c r="A38445" s="1" t="n">
        <v>38444</v>
      </c>
      <c r="B38445">
        <f>TEXT(38444, "[$-0E0000]yyyy-mm-dd")</f>
        <v/>
      </c>
      <c r="C38445" t="inlineStr">
        <is>
          <t>2005-02-25</t>
        </is>
      </c>
    </row>
    <row r="38446">
      <c r="A38446" s="1" t="n">
        <v>38445</v>
      </c>
      <c r="B38446">
        <f>TEXT(38445, "[$-0E0000]yyyy-mm-dd")</f>
        <v/>
      </c>
      <c r="C38446" t="inlineStr">
        <is>
          <t>2005-02-26</t>
        </is>
      </c>
    </row>
    <row r="38447">
      <c r="A38447" s="1" t="n">
        <v>38446</v>
      </c>
      <c r="B38447">
        <f>TEXT(38446, "[$-0E0000]yyyy-mm-dd")</f>
        <v/>
      </c>
      <c r="C38447" t="inlineStr">
        <is>
          <t>2005-02-27</t>
        </is>
      </c>
    </row>
    <row r="38448">
      <c r="A38448" s="1" t="n">
        <v>38447</v>
      </c>
      <c r="B38448">
        <f>TEXT(38447, "[$-0E0000]yyyy-mm-dd")</f>
        <v/>
      </c>
      <c r="C38448" t="inlineStr">
        <is>
          <t>2005-02-28</t>
        </is>
      </c>
    </row>
    <row r="38449">
      <c r="A38449" s="1" t="n">
        <v>38448</v>
      </c>
      <c r="B38449">
        <f>TEXT(38448, "[$-0E0000]yyyy-mm-dd")</f>
        <v/>
      </c>
      <c r="C38449" t="inlineStr">
        <is>
          <t>2005-02-29</t>
        </is>
      </c>
    </row>
    <row r="38450">
      <c r="A38450" s="1" t="n">
        <v>38449</v>
      </c>
      <c r="B38450">
        <f>TEXT(38449, "[$-0E0000]yyyy-mm-dd")</f>
        <v/>
      </c>
      <c r="C38450" t="inlineStr">
        <is>
          <t>2005-02-30</t>
        </is>
      </c>
    </row>
    <row r="38451">
      <c r="A38451" s="1" t="n">
        <v>38450</v>
      </c>
      <c r="B38451">
        <f>TEXT(38450, "[$-0E0000]yyyy-mm-dd")</f>
        <v/>
      </c>
      <c r="C38451" t="inlineStr">
        <is>
          <t>2005-03-01</t>
        </is>
      </c>
    </row>
    <row r="38452">
      <c r="A38452" s="1" t="n">
        <v>38451</v>
      </c>
      <c r="B38452">
        <f>TEXT(38451, "[$-0E0000]yyyy-mm-dd")</f>
        <v/>
      </c>
      <c r="C38452" t="inlineStr">
        <is>
          <t>2005-03-02</t>
        </is>
      </c>
    </row>
    <row r="38453">
      <c r="A38453" s="1" t="n">
        <v>38452</v>
      </c>
      <c r="B38453">
        <f>TEXT(38452, "[$-0E0000]yyyy-mm-dd")</f>
        <v/>
      </c>
      <c r="C38453" t="inlineStr">
        <is>
          <t>2005-03-03</t>
        </is>
      </c>
    </row>
    <row r="38454">
      <c r="A38454" s="1" t="n">
        <v>38453</v>
      </c>
      <c r="B38454">
        <f>TEXT(38453, "[$-0E0000]yyyy-mm-dd")</f>
        <v/>
      </c>
      <c r="C38454" t="inlineStr">
        <is>
          <t>2005-03-04</t>
        </is>
      </c>
    </row>
    <row r="38455">
      <c r="A38455" s="1" t="n">
        <v>38454</v>
      </c>
      <c r="B38455">
        <f>TEXT(38454, "[$-0E0000]yyyy-mm-dd")</f>
        <v/>
      </c>
      <c r="C38455" t="inlineStr">
        <is>
          <t>2005-03-05</t>
        </is>
      </c>
    </row>
    <row r="38456">
      <c r="A38456" s="1" t="n">
        <v>38455</v>
      </c>
      <c r="B38456">
        <f>TEXT(38455, "[$-0E0000]yyyy-mm-dd")</f>
        <v/>
      </c>
      <c r="C38456" t="inlineStr">
        <is>
          <t>2005-03-06</t>
        </is>
      </c>
    </row>
    <row r="38457">
      <c r="A38457" s="1" t="n">
        <v>38456</v>
      </c>
      <c r="B38457">
        <f>TEXT(38456, "[$-0E0000]yyyy-mm-dd")</f>
        <v/>
      </c>
      <c r="C38457" t="inlineStr">
        <is>
          <t>2005-03-07</t>
        </is>
      </c>
    </row>
    <row r="38458">
      <c r="A38458" s="1" t="n">
        <v>38457</v>
      </c>
      <c r="B38458">
        <f>TEXT(38457, "[$-0E0000]yyyy-mm-dd")</f>
        <v/>
      </c>
      <c r="C38458" t="inlineStr">
        <is>
          <t>2005-03-08</t>
        </is>
      </c>
    </row>
    <row r="38459">
      <c r="A38459" s="1" t="n">
        <v>38458</v>
      </c>
      <c r="B38459">
        <f>TEXT(38458, "[$-0E0000]yyyy-mm-dd")</f>
        <v/>
      </c>
      <c r="C38459" t="inlineStr">
        <is>
          <t>2005-03-09</t>
        </is>
      </c>
    </row>
    <row r="38460">
      <c r="A38460" s="1" t="n">
        <v>38459</v>
      </c>
      <c r="B38460">
        <f>TEXT(38459, "[$-0E0000]yyyy-mm-dd")</f>
        <v/>
      </c>
      <c r="C38460" t="inlineStr">
        <is>
          <t>2005-03-10</t>
        </is>
      </c>
    </row>
    <row r="38461">
      <c r="A38461" s="1" t="n">
        <v>38460</v>
      </c>
      <c r="B38461">
        <f>TEXT(38460, "[$-0E0000]yyyy-mm-dd")</f>
        <v/>
      </c>
      <c r="C38461" t="inlineStr">
        <is>
          <t>2005-03-11</t>
        </is>
      </c>
    </row>
    <row r="38462">
      <c r="A38462" s="1" t="n">
        <v>38461</v>
      </c>
      <c r="B38462">
        <f>TEXT(38461, "[$-0E0000]yyyy-mm-dd")</f>
        <v/>
      </c>
      <c r="C38462" t="inlineStr">
        <is>
          <t>2005-03-12</t>
        </is>
      </c>
    </row>
    <row r="38463">
      <c r="A38463" s="1" t="n">
        <v>38462</v>
      </c>
      <c r="B38463">
        <f>TEXT(38462, "[$-0E0000]yyyy-mm-dd")</f>
        <v/>
      </c>
      <c r="C38463" t="inlineStr">
        <is>
          <t>2005-03-13</t>
        </is>
      </c>
    </row>
    <row r="38464">
      <c r="A38464" s="1" t="n">
        <v>38463</v>
      </c>
      <c r="B38464">
        <f>TEXT(38463, "[$-0E0000]yyyy-mm-dd")</f>
        <v/>
      </c>
      <c r="C38464" t="inlineStr">
        <is>
          <t>2005-03-14</t>
        </is>
      </c>
    </row>
    <row r="38465">
      <c r="A38465" s="1" t="n">
        <v>38464</v>
      </c>
      <c r="B38465">
        <f>TEXT(38464, "[$-0E0000]yyyy-mm-dd")</f>
        <v/>
      </c>
      <c r="C38465" t="inlineStr">
        <is>
          <t>2005-03-15</t>
        </is>
      </c>
    </row>
    <row r="38466">
      <c r="A38466" s="1" t="n">
        <v>38465</v>
      </c>
      <c r="B38466">
        <f>TEXT(38465, "[$-0E0000]yyyy-mm-dd")</f>
        <v/>
      </c>
      <c r="C38466" t="inlineStr">
        <is>
          <t>2005-03-16</t>
        </is>
      </c>
    </row>
    <row r="38467">
      <c r="A38467" s="1" t="n">
        <v>38466</v>
      </c>
      <c r="B38467">
        <f>TEXT(38466, "[$-0E0000]yyyy-mm-dd")</f>
        <v/>
      </c>
      <c r="C38467" t="inlineStr">
        <is>
          <t>2005-03-17</t>
        </is>
      </c>
    </row>
    <row r="38468">
      <c r="A38468" s="1" t="n">
        <v>38467</v>
      </c>
      <c r="B38468">
        <f>TEXT(38467, "[$-0E0000]yyyy-mm-dd")</f>
        <v/>
      </c>
      <c r="C38468" t="inlineStr">
        <is>
          <t>2005-03-18</t>
        </is>
      </c>
    </row>
    <row r="38469">
      <c r="A38469" s="1" t="n">
        <v>38468</v>
      </c>
      <c r="B38469">
        <f>TEXT(38468, "[$-0E0000]yyyy-mm-dd")</f>
        <v/>
      </c>
      <c r="C38469" t="inlineStr">
        <is>
          <t>2005-03-19</t>
        </is>
      </c>
    </row>
    <row r="38470">
      <c r="A38470" s="1" t="n">
        <v>38469</v>
      </c>
      <c r="B38470">
        <f>TEXT(38469, "[$-0E0000]yyyy-mm-dd")</f>
        <v/>
      </c>
      <c r="C38470" t="inlineStr">
        <is>
          <t>2005-03-20</t>
        </is>
      </c>
    </row>
    <row r="38471">
      <c r="A38471" s="1" t="n">
        <v>38470</v>
      </c>
      <c r="B38471">
        <f>TEXT(38470, "[$-0E0000]yyyy-mm-dd")</f>
        <v/>
      </c>
      <c r="C38471" t="inlineStr">
        <is>
          <t>2005-03-21</t>
        </is>
      </c>
    </row>
    <row r="38472">
      <c r="A38472" s="1" t="n">
        <v>38471</v>
      </c>
      <c r="B38472">
        <f>TEXT(38471, "[$-0E0000]yyyy-mm-dd")</f>
        <v/>
      </c>
      <c r="C38472" t="inlineStr">
        <is>
          <t>2005-03-22</t>
        </is>
      </c>
    </row>
    <row r="38473">
      <c r="A38473" s="1" t="n">
        <v>38472</v>
      </c>
      <c r="B38473">
        <f>TEXT(38472, "[$-0E0000]yyyy-mm-dd")</f>
        <v/>
      </c>
      <c r="C38473" t="inlineStr">
        <is>
          <t>2005-03-23</t>
        </is>
      </c>
    </row>
    <row r="38474">
      <c r="A38474" s="1" t="n">
        <v>38473</v>
      </c>
      <c r="B38474">
        <f>TEXT(38473, "[$-0E0000]yyyy-mm-dd")</f>
        <v/>
      </c>
      <c r="C38474" t="inlineStr">
        <is>
          <t>2005-03-24</t>
        </is>
      </c>
    </row>
    <row r="38475">
      <c r="A38475" s="1" t="n">
        <v>38474</v>
      </c>
      <c r="B38475">
        <f>TEXT(38474, "[$-0E0000]yyyy-mm-dd")</f>
        <v/>
      </c>
      <c r="C38475" t="inlineStr">
        <is>
          <t>2005-03-25</t>
        </is>
      </c>
    </row>
    <row r="38476">
      <c r="A38476" s="1" t="n">
        <v>38475</v>
      </c>
      <c r="B38476">
        <f>TEXT(38475, "[$-0E0000]yyyy-mm-dd")</f>
        <v/>
      </c>
      <c r="C38476" t="inlineStr">
        <is>
          <t>2005-03-26</t>
        </is>
      </c>
    </row>
    <row r="38477">
      <c r="A38477" s="1" t="n">
        <v>38476</v>
      </c>
      <c r="B38477">
        <f>TEXT(38476, "[$-0E0000]yyyy-mm-dd")</f>
        <v/>
      </c>
      <c r="C38477" t="inlineStr">
        <is>
          <t>2005-03-27</t>
        </is>
      </c>
    </row>
    <row r="38478">
      <c r="A38478" s="1" t="n">
        <v>38477</v>
      </c>
      <c r="B38478">
        <f>TEXT(38477, "[$-0E0000]yyyy-mm-dd")</f>
        <v/>
      </c>
      <c r="C38478" t="inlineStr">
        <is>
          <t>2005-03-28</t>
        </is>
      </c>
    </row>
    <row r="38479">
      <c r="A38479" s="1" t="n">
        <v>38478</v>
      </c>
      <c r="B38479">
        <f>TEXT(38478, "[$-0E0000]yyyy-mm-dd")</f>
        <v/>
      </c>
      <c r="C38479" t="inlineStr">
        <is>
          <t>2005-03-29</t>
        </is>
      </c>
    </row>
    <row r="38480">
      <c r="A38480" s="1" t="n">
        <v>38479</v>
      </c>
      <c r="B38480">
        <f>TEXT(38479, "[$-0E0000]yyyy-mm-dd")</f>
        <v/>
      </c>
      <c r="C38480" t="inlineStr">
        <is>
          <t>2005-04-01</t>
        </is>
      </c>
    </row>
    <row r="38481">
      <c r="A38481" s="1" t="n">
        <v>38480</v>
      </c>
      <c r="B38481">
        <f>TEXT(38480, "[$-0E0000]yyyy-mm-dd")</f>
        <v/>
      </c>
      <c r="C38481" t="inlineStr">
        <is>
          <t>2005-04-02</t>
        </is>
      </c>
    </row>
    <row r="38482">
      <c r="A38482" s="1" t="n">
        <v>38481</v>
      </c>
      <c r="B38482">
        <f>TEXT(38481, "[$-0E0000]yyyy-mm-dd")</f>
        <v/>
      </c>
      <c r="C38482" t="inlineStr">
        <is>
          <t>2005-04-03</t>
        </is>
      </c>
    </row>
    <row r="38483">
      <c r="A38483" s="1" t="n">
        <v>38482</v>
      </c>
      <c r="B38483">
        <f>TEXT(38482, "[$-0E0000]yyyy-mm-dd")</f>
        <v/>
      </c>
      <c r="C38483" t="inlineStr">
        <is>
          <t>2005-04-04</t>
        </is>
      </c>
    </row>
    <row r="38484">
      <c r="A38484" s="1" t="n">
        <v>38483</v>
      </c>
      <c r="B38484">
        <f>TEXT(38483, "[$-0E0000]yyyy-mm-dd")</f>
        <v/>
      </c>
      <c r="C38484" t="inlineStr">
        <is>
          <t>2005-04-05</t>
        </is>
      </c>
    </row>
    <row r="38485">
      <c r="A38485" s="1" t="n">
        <v>38484</v>
      </c>
      <c r="B38485">
        <f>TEXT(38484, "[$-0E0000]yyyy-mm-dd")</f>
        <v/>
      </c>
      <c r="C38485" t="inlineStr">
        <is>
          <t>2005-04-06</t>
        </is>
      </c>
    </row>
    <row r="38486">
      <c r="A38486" s="1" t="n">
        <v>38485</v>
      </c>
      <c r="B38486">
        <f>TEXT(38485, "[$-0E0000]yyyy-mm-dd")</f>
        <v/>
      </c>
      <c r="C38486" t="inlineStr">
        <is>
          <t>2005-04-07</t>
        </is>
      </c>
    </row>
    <row r="38487">
      <c r="A38487" s="1" t="n">
        <v>38486</v>
      </c>
      <c r="B38487">
        <f>TEXT(38486, "[$-0E0000]yyyy-mm-dd")</f>
        <v/>
      </c>
      <c r="C38487" t="inlineStr">
        <is>
          <t>2005-04-08</t>
        </is>
      </c>
    </row>
    <row r="38488">
      <c r="A38488" s="1" t="n">
        <v>38487</v>
      </c>
      <c r="B38488">
        <f>TEXT(38487, "[$-0E0000]yyyy-mm-dd")</f>
        <v/>
      </c>
      <c r="C38488" t="inlineStr">
        <is>
          <t>2005-04-09</t>
        </is>
      </c>
    </row>
    <row r="38489">
      <c r="A38489" s="1" t="n">
        <v>38488</v>
      </c>
      <c r="B38489">
        <f>TEXT(38488, "[$-0E0000]yyyy-mm-dd")</f>
        <v/>
      </c>
      <c r="C38489" t="inlineStr">
        <is>
          <t>2005-04-10</t>
        </is>
      </c>
    </row>
    <row r="38490">
      <c r="A38490" s="1" t="n">
        <v>38489</v>
      </c>
      <c r="B38490">
        <f>TEXT(38489, "[$-0E0000]yyyy-mm-dd")</f>
        <v/>
      </c>
      <c r="C38490" t="inlineStr">
        <is>
          <t>2005-04-11</t>
        </is>
      </c>
    </row>
    <row r="38491">
      <c r="A38491" s="1" t="n">
        <v>38490</v>
      </c>
      <c r="B38491">
        <f>TEXT(38490, "[$-0E0000]yyyy-mm-dd")</f>
        <v/>
      </c>
      <c r="C38491" t="inlineStr">
        <is>
          <t>2005-04-12</t>
        </is>
      </c>
    </row>
    <row r="38492">
      <c r="A38492" s="1" t="n">
        <v>38491</v>
      </c>
      <c r="B38492">
        <f>TEXT(38491, "[$-0E0000]yyyy-mm-dd")</f>
        <v/>
      </c>
      <c r="C38492" t="inlineStr">
        <is>
          <t>2005-04-13</t>
        </is>
      </c>
    </row>
    <row r="38493">
      <c r="A38493" s="1" t="n">
        <v>38492</v>
      </c>
      <c r="B38493">
        <f>TEXT(38492, "[$-0E0000]yyyy-mm-dd")</f>
        <v/>
      </c>
      <c r="C38493" t="inlineStr">
        <is>
          <t>2005-04-14</t>
        </is>
      </c>
    </row>
    <row r="38494">
      <c r="A38494" s="1" t="n">
        <v>38493</v>
      </c>
      <c r="B38494">
        <f>TEXT(38493, "[$-0E0000]yyyy-mm-dd")</f>
        <v/>
      </c>
      <c r="C38494" t="inlineStr">
        <is>
          <t>2005-04-15</t>
        </is>
      </c>
    </row>
    <row r="38495">
      <c r="A38495" s="1" t="n">
        <v>38494</v>
      </c>
      <c r="B38495">
        <f>TEXT(38494, "[$-0E0000]yyyy-mm-dd")</f>
        <v/>
      </c>
      <c r="C38495" t="inlineStr">
        <is>
          <t>2005-04-16</t>
        </is>
      </c>
    </row>
    <row r="38496">
      <c r="A38496" s="1" t="n">
        <v>38495</v>
      </c>
      <c r="B38496">
        <f>TEXT(38495, "[$-0E0000]yyyy-mm-dd")</f>
        <v/>
      </c>
      <c r="C38496" t="inlineStr">
        <is>
          <t>2005-04-17</t>
        </is>
      </c>
    </row>
    <row r="38497">
      <c r="A38497" s="1" t="n">
        <v>38496</v>
      </c>
      <c r="B38497">
        <f>TEXT(38496, "[$-0E0000]yyyy-mm-dd")</f>
        <v/>
      </c>
      <c r="C38497" t="inlineStr">
        <is>
          <t>2005-04-18</t>
        </is>
      </c>
    </row>
    <row r="38498">
      <c r="A38498" s="1" t="n">
        <v>38497</v>
      </c>
      <c r="B38498">
        <f>TEXT(38497, "[$-0E0000]yyyy-mm-dd")</f>
        <v/>
      </c>
      <c r="C38498" t="inlineStr">
        <is>
          <t>2005-04-19</t>
        </is>
      </c>
    </row>
    <row r="38499">
      <c r="A38499" s="1" t="n">
        <v>38498</v>
      </c>
      <c r="B38499">
        <f>TEXT(38498, "[$-0E0000]yyyy-mm-dd")</f>
        <v/>
      </c>
      <c r="C38499" t="inlineStr">
        <is>
          <t>2005-04-20</t>
        </is>
      </c>
    </row>
    <row r="38500">
      <c r="A38500" s="1" t="n">
        <v>38499</v>
      </c>
      <c r="B38500">
        <f>TEXT(38499, "[$-0E0000]yyyy-mm-dd")</f>
        <v/>
      </c>
      <c r="C38500" t="inlineStr">
        <is>
          <t>2005-04-21</t>
        </is>
      </c>
    </row>
    <row r="38501">
      <c r="A38501" s="1" t="n">
        <v>38500</v>
      </c>
      <c r="B38501">
        <f>TEXT(38500, "[$-0E0000]yyyy-mm-dd")</f>
        <v/>
      </c>
      <c r="C38501" t="inlineStr">
        <is>
          <t>2005-04-22</t>
        </is>
      </c>
    </row>
    <row r="38502">
      <c r="A38502" s="1" t="n">
        <v>38501</v>
      </c>
      <c r="B38502">
        <f>TEXT(38501, "[$-0E0000]yyyy-mm-dd")</f>
        <v/>
      </c>
      <c r="C38502" t="inlineStr">
        <is>
          <t>2005-04-23</t>
        </is>
      </c>
    </row>
    <row r="38503">
      <c r="A38503" s="1" t="n">
        <v>38502</v>
      </c>
      <c r="B38503">
        <f>TEXT(38502, "[$-0E0000]yyyy-mm-dd")</f>
        <v/>
      </c>
      <c r="C38503" t="inlineStr">
        <is>
          <t>2005-04-24</t>
        </is>
      </c>
    </row>
    <row r="38504">
      <c r="A38504" s="1" t="n">
        <v>38503</v>
      </c>
      <c r="B38504">
        <f>TEXT(38503, "[$-0E0000]yyyy-mm-dd")</f>
        <v/>
      </c>
      <c r="C38504" t="inlineStr">
        <is>
          <t>2005-04-25</t>
        </is>
      </c>
    </row>
    <row r="38505">
      <c r="A38505" s="1" t="n">
        <v>38504</v>
      </c>
      <c r="B38505">
        <f>TEXT(38504, "[$-0E0000]yyyy-mm-dd")</f>
        <v/>
      </c>
      <c r="C38505" t="inlineStr">
        <is>
          <t>2005-04-26</t>
        </is>
      </c>
    </row>
    <row r="38506">
      <c r="A38506" s="1" t="n">
        <v>38505</v>
      </c>
      <c r="B38506">
        <f>TEXT(38505, "[$-0E0000]yyyy-mm-dd")</f>
        <v/>
      </c>
      <c r="C38506" t="inlineStr">
        <is>
          <t>2005-04-27</t>
        </is>
      </c>
    </row>
    <row r="38507">
      <c r="A38507" s="1" t="n">
        <v>38506</v>
      </c>
      <c r="B38507">
        <f>TEXT(38506, "[$-0E0000]yyyy-mm-dd")</f>
        <v/>
      </c>
      <c r="C38507" t="inlineStr">
        <is>
          <t>2005-04-28</t>
        </is>
      </c>
    </row>
    <row r="38508">
      <c r="A38508" s="1" t="n">
        <v>38507</v>
      </c>
      <c r="B38508">
        <f>TEXT(38507, "[$-0E0000]yyyy-mm-dd")</f>
        <v/>
      </c>
      <c r="C38508" t="inlineStr">
        <is>
          <t>2005-04-29</t>
        </is>
      </c>
    </row>
    <row r="38509">
      <c r="A38509" s="1" t="n">
        <v>38508</v>
      </c>
      <c r="B38509">
        <f>TEXT(38508, "[$-0E0000]yyyy-mm-dd")</f>
        <v/>
      </c>
      <c r="C38509" t="inlineStr">
        <is>
          <t>2005-04-30</t>
        </is>
      </c>
    </row>
    <row r="38510">
      <c r="A38510" s="1" t="n">
        <v>38509</v>
      </c>
      <c r="B38510">
        <f>TEXT(38509, "[$-0E0000]yyyy-mm-dd")</f>
        <v/>
      </c>
      <c r="C38510" t="inlineStr">
        <is>
          <t>2005-05-01</t>
        </is>
      </c>
    </row>
    <row r="38511">
      <c r="A38511" s="1" t="n">
        <v>38510</v>
      </c>
      <c r="B38511">
        <f>TEXT(38510, "[$-0E0000]yyyy-mm-dd")</f>
        <v/>
      </c>
      <c r="C38511" t="inlineStr">
        <is>
          <t>2005-05-02</t>
        </is>
      </c>
    </row>
    <row r="38512">
      <c r="A38512" s="1" t="n">
        <v>38511</v>
      </c>
      <c r="B38512">
        <f>TEXT(38511, "[$-0E0000]yyyy-mm-dd")</f>
        <v/>
      </c>
      <c r="C38512" t="inlineStr">
        <is>
          <t>2005-05-03</t>
        </is>
      </c>
    </row>
    <row r="38513">
      <c r="A38513" s="1" t="n">
        <v>38512</v>
      </c>
      <c r="B38513">
        <f>TEXT(38512, "[$-0E0000]yyyy-mm-dd")</f>
        <v/>
      </c>
      <c r="C38513" t="inlineStr">
        <is>
          <t>2005-05-04</t>
        </is>
      </c>
    </row>
    <row r="38514">
      <c r="A38514" s="1" t="n">
        <v>38513</v>
      </c>
      <c r="B38514">
        <f>TEXT(38513, "[$-0E0000]yyyy-mm-dd")</f>
        <v/>
      </c>
      <c r="C38514" t="inlineStr">
        <is>
          <t>2005-05-05</t>
        </is>
      </c>
    </row>
    <row r="38515">
      <c r="A38515" s="1" t="n">
        <v>38514</v>
      </c>
      <c r="B38515">
        <f>TEXT(38514, "[$-0E0000]yyyy-mm-dd")</f>
        <v/>
      </c>
      <c r="C38515" t="inlineStr">
        <is>
          <t>2005-05-06</t>
        </is>
      </c>
    </row>
    <row r="38516">
      <c r="A38516" s="1" t="n">
        <v>38515</v>
      </c>
      <c r="B38516">
        <f>TEXT(38515, "[$-0E0000]yyyy-mm-dd")</f>
        <v/>
      </c>
      <c r="C38516" t="inlineStr">
        <is>
          <t>2005-05-07</t>
        </is>
      </c>
    </row>
    <row r="38517">
      <c r="A38517" s="1" t="n">
        <v>38516</v>
      </c>
      <c r="B38517">
        <f>TEXT(38516, "[$-0E0000]yyyy-mm-dd")</f>
        <v/>
      </c>
      <c r="C38517" t="inlineStr">
        <is>
          <t>2005-05-08</t>
        </is>
      </c>
    </row>
    <row r="38518">
      <c r="A38518" s="1" t="n">
        <v>38517</v>
      </c>
      <c r="B38518">
        <f>TEXT(38517, "[$-0E0000]yyyy-mm-dd")</f>
        <v/>
      </c>
      <c r="C38518" t="inlineStr">
        <is>
          <t>2005-05-09</t>
        </is>
      </c>
    </row>
    <row r="38519">
      <c r="A38519" s="1" t="n">
        <v>38518</v>
      </c>
      <c r="B38519">
        <f>TEXT(38518, "[$-0E0000]yyyy-mm-dd")</f>
        <v/>
      </c>
      <c r="C38519" t="inlineStr">
        <is>
          <t>2005-05-10</t>
        </is>
      </c>
    </row>
    <row r="38520">
      <c r="A38520" s="1" t="n">
        <v>38519</v>
      </c>
      <c r="B38520">
        <f>TEXT(38519, "[$-0E0000]yyyy-mm-dd")</f>
        <v/>
      </c>
      <c r="C38520" t="inlineStr">
        <is>
          <t>2005-05-11</t>
        </is>
      </c>
    </row>
    <row r="38521">
      <c r="A38521" s="1" t="n">
        <v>38520</v>
      </c>
      <c r="B38521">
        <f>TEXT(38520, "[$-0E0000]yyyy-mm-dd")</f>
        <v/>
      </c>
      <c r="C38521" t="inlineStr">
        <is>
          <t>2005-05-12</t>
        </is>
      </c>
    </row>
    <row r="38522">
      <c r="A38522" s="1" t="n">
        <v>38521</v>
      </c>
      <c r="B38522">
        <f>TEXT(38521, "[$-0E0000]yyyy-mm-dd")</f>
        <v/>
      </c>
      <c r="C38522" t="inlineStr">
        <is>
          <t>2005-05-13</t>
        </is>
      </c>
    </row>
    <row r="38523">
      <c r="A38523" s="1" t="n">
        <v>38522</v>
      </c>
      <c r="B38523">
        <f>TEXT(38522, "[$-0E0000]yyyy-mm-dd")</f>
        <v/>
      </c>
      <c r="C38523" t="inlineStr">
        <is>
          <t>2005-05-14</t>
        </is>
      </c>
    </row>
    <row r="38524">
      <c r="A38524" s="1" t="n">
        <v>38523</v>
      </c>
      <c r="B38524">
        <f>TEXT(38523, "[$-0E0000]yyyy-mm-dd")</f>
        <v/>
      </c>
      <c r="C38524" t="inlineStr">
        <is>
          <t>2005-05-15</t>
        </is>
      </c>
    </row>
    <row r="38525">
      <c r="A38525" s="1" t="n">
        <v>38524</v>
      </c>
      <c r="B38525">
        <f>TEXT(38524, "[$-0E0000]yyyy-mm-dd")</f>
        <v/>
      </c>
      <c r="C38525" t="inlineStr">
        <is>
          <t>2005-05-16</t>
        </is>
      </c>
    </row>
    <row r="38526">
      <c r="A38526" s="1" t="n">
        <v>38525</v>
      </c>
      <c r="B38526">
        <f>TEXT(38525, "[$-0E0000]yyyy-mm-dd")</f>
        <v/>
      </c>
      <c r="C38526" t="inlineStr">
        <is>
          <t>2005-05-17</t>
        </is>
      </c>
    </row>
    <row r="38527">
      <c r="A38527" s="1" t="n">
        <v>38526</v>
      </c>
      <c r="B38527">
        <f>TEXT(38526, "[$-0E0000]yyyy-mm-dd")</f>
        <v/>
      </c>
      <c r="C38527" t="inlineStr">
        <is>
          <t>2005-05-18</t>
        </is>
      </c>
    </row>
    <row r="38528">
      <c r="A38528" s="1" t="n">
        <v>38527</v>
      </c>
      <c r="B38528">
        <f>TEXT(38527, "[$-0E0000]yyyy-mm-dd")</f>
        <v/>
      </c>
      <c r="C38528" t="inlineStr">
        <is>
          <t>2005-05-19</t>
        </is>
      </c>
    </row>
    <row r="38529">
      <c r="A38529" s="1" t="n">
        <v>38528</v>
      </c>
      <c r="B38529">
        <f>TEXT(38528, "[$-0E0000]yyyy-mm-dd")</f>
        <v/>
      </c>
      <c r="C38529" t="inlineStr">
        <is>
          <t>2005-05-20</t>
        </is>
      </c>
    </row>
    <row r="38530">
      <c r="A38530" s="1" t="n">
        <v>38529</v>
      </c>
      <c r="B38530">
        <f>TEXT(38529, "[$-0E0000]yyyy-mm-dd")</f>
        <v/>
      </c>
      <c r="C38530" t="inlineStr">
        <is>
          <t>2005-05-21</t>
        </is>
      </c>
    </row>
    <row r="38531">
      <c r="A38531" s="1" t="n">
        <v>38530</v>
      </c>
      <c r="B38531">
        <f>TEXT(38530, "[$-0E0000]yyyy-mm-dd")</f>
        <v/>
      </c>
      <c r="C38531" t="inlineStr">
        <is>
          <t>2005-05-22</t>
        </is>
      </c>
    </row>
    <row r="38532">
      <c r="A38532" s="1" t="n">
        <v>38531</v>
      </c>
      <c r="B38532">
        <f>TEXT(38531, "[$-0E0000]yyyy-mm-dd")</f>
        <v/>
      </c>
      <c r="C38532" t="inlineStr">
        <is>
          <t>2005-05-23</t>
        </is>
      </c>
    </row>
    <row r="38533">
      <c r="A38533" s="1" t="n">
        <v>38532</v>
      </c>
      <c r="B38533">
        <f>TEXT(38532, "[$-0E0000]yyyy-mm-dd")</f>
        <v/>
      </c>
      <c r="C38533" t="inlineStr">
        <is>
          <t>2005-05-24</t>
        </is>
      </c>
    </row>
    <row r="38534">
      <c r="A38534" s="1" t="n">
        <v>38533</v>
      </c>
      <c r="B38534">
        <f>TEXT(38533, "[$-0E0000]yyyy-mm-dd")</f>
        <v/>
      </c>
      <c r="C38534" t="inlineStr">
        <is>
          <t>2005-05-25</t>
        </is>
      </c>
    </row>
    <row r="38535">
      <c r="A38535" s="1" t="n">
        <v>38534</v>
      </c>
      <c r="B38535">
        <f>TEXT(38534, "[$-0E0000]yyyy-mm-dd")</f>
        <v/>
      </c>
      <c r="C38535" t="inlineStr">
        <is>
          <t>2005-05-26</t>
        </is>
      </c>
    </row>
    <row r="38536">
      <c r="A38536" s="1" t="n">
        <v>38535</v>
      </c>
      <c r="B38536">
        <f>TEXT(38535, "[$-0E0000]yyyy-mm-dd")</f>
        <v/>
      </c>
      <c r="C38536" t="inlineStr">
        <is>
          <t>2005-05-27</t>
        </is>
      </c>
    </row>
    <row r="38537">
      <c r="A38537" s="1" t="n">
        <v>38536</v>
      </c>
      <c r="B38537">
        <f>TEXT(38536, "[$-0E0000]yyyy-mm-dd")</f>
        <v/>
      </c>
      <c r="C38537" t="inlineStr">
        <is>
          <t>2005-05-28</t>
        </is>
      </c>
    </row>
    <row r="38538">
      <c r="A38538" s="1" t="n">
        <v>38537</v>
      </c>
      <c r="B38538">
        <f>TEXT(38537, "[$-0E0000]yyyy-mm-dd")</f>
        <v/>
      </c>
      <c r="C38538" t="inlineStr">
        <is>
          <t>2005-05-29</t>
        </is>
      </c>
    </row>
    <row r="38539">
      <c r="A38539" s="1" t="n">
        <v>38538</v>
      </c>
      <c r="B38539">
        <f>TEXT(38538, "[$-0E0000]yyyy-mm-dd")</f>
        <v/>
      </c>
      <c r="C38539" t="inlineStr">
        <is>
          <t>2005-06-01</t>
        </is>
      </c>
    </row>
    <row r="38540">
      <c r="A38540" s="1" t="n">
        <v>38539</v>
      </c>
      <c r="B38540">
        <f>TEXT(38539, "[$-0E0000]yyyy-mm-dd")</f>
        <v/>
      </c>
      <c r="C38540" t="inlineStr">
        <is>
          <t>2005-06-02</t>
        </is>
      </c>
    </row>
    <row r="38541">
      <c r="A38541" s="1" t="n">
        <v>38540</v>
      </c>
      <c r="B38541">
        <f>TEXT(38540, "[$-0E0000]yyyy-mm-dd")</f>
        <v/>
      </c>
      <c r="C38541" t="inlineStr">
        <is>
          <t>2005-06-03</t>
        </is>
      </c>
    </row>
    <row r="38542">
      <c r="A38542" s="1" t="n">
        <v>38541</v>
      </c>
      <c r="B38542">
        <f>TEXT(38541, "[$-0E0000]yyyy-mm-dd")</f>
        <v/>
      </c>
      <c r="C38542" t="inlineStr">
        <is>
          <t>2005-06-04</t>
        </is>
      </c>
    </row>
    <row r="38543">
      <c r="A38543" s="1" t="n">
        <v>38542</v>
      </c>
      <c r="B38543">
        <f>TEXT(38542, "[$-0E0000]yyyy-mm-dd")</f>
        <v/>
      </c>
      <c r="C38543" t="inlineStr">
        <is>
          <t>2005-06-05</t>
        </is>
      </c>
    </row>
    <row r="38544">
      <c r="A38544" s="1" t="n">
        <v>38543</v>
      </c>
      <c r="B38544">
        <f>TEXT(38543, "[$-0E0000]yyyy-mm-dd")</f>
        <v/>
      </c>
      <c r="C38544" t="inlineStr">
        <is>
          <t>2005-06-06</t>
        </is>
      </c>
    </row>
    <row r="38545">
      <c r="A38545" s="1" t="n">
        <v>38544</v>
      </c>
      <c r="B38545">
        <f>TEXT(38544, "[$-0E0000]yyyy-mm-dd")</f>
        <v/>
      </c>
      <c r="C38545" t="inlineStr">
        <is>
          <t>2005-06-07</t>
        </is>
      </c>
    </row>
    <row r="38546">
      <c r="A38546" s="1" t="n">
        <v>38545</v>
      </c>
      <c r="B38546">
        <f>TEXT(38545, "[$-0E0000]yyyy-mm-dd")</f>
        <v/>
      </c>
      <c r="C38546" t="inlineStr">
        <is>
          <t>2005-06-08</t>
        </is>
      </c>
    </row>
    <row r="38547">
      <c r="A38547" s="1" t="n">
        <v>38546</v>
      </c>
      <c r="B38547">
        <f>TEXT(38546, "[$-0E0000]yyyy-mm-dd")</f>
        <v/>
      </c>
      <c r="C38547" t="inlineStr">
        <is>
          <t>2005-06-09</t>
        </is>
      </c>
    </row>
    <row r="38548">
      <c r="A38548" s="1" t="n">
        <v>38547</v>
      </c>
      <c r="B38548">
        <f>TEXT(38547, "[$-0E0000]yyyy-mm-dd")</f>
        <v/>
      </c>
      <c r="C38548" t="inlineStr">
        <is>
          <t>2005-06-10</t>
        </is>
      </c>
    </row>
    <row r="38549">
      <c r="A38549" s="1" t="n">
        <v>38548</v>
      </c>
      <c r="B38549">
        <f>TEXT(38548, "[$-0E0000]yyyy-mm-dd")</f>
        <v/>
      </c>
      <c r="C38549" t="inlineStr">
        <is>
          <t>2005-06-11</t>
        </is>
      </c>
    </row>
    <row r="38550">
      <c r="A38550" s="1" t="n">
        <v>38549</v>
      </c>
      <c r="B38550">
        <f>TEXT(38549, "[$-0E0000]yyyy-mm-dd")</f>
        <v/>
      </c>
      <c r="C38550" t="inlineStr">
        <is>
          <t>2005-06-12</t>
        </is>
      </c>
    </row>
    <row r="38551">
      <c r="A38551" s="1" t="n">
        <v>38550</v>
      </c>
      <c r="B38551">
        <f>TEXT(38550, "[$-0E0000]yyyy-mm-dd")</f>
        <v/>
      </c>
      <c r="C38551" t="inlineStr">
        <is>
          <t>2005-06-13</t>
        </is>
      </c>
    </row>
    <row r="38552">
      <c r="A38552" s="1" t="n">
        <v>38551</v>
      </c>
      <c r="B38552">
        <f>TEXT(38551, "[$-0E0000]yyyy-mm-dd")</f>
        <v/>
      </c>
      <c r="C38552" t="inlineStr">
        <is>
          <t>2005-06-14</t>
        </is>
      </c>
    </row>
    <row r="38553">
      <c r="A38553" s="1" t="n">
        <v>38552</v>
      </c>
      <c r="B38553">
        <f>TEXT(38552, "[$-0E0000]yyyy-mm-dd")</f>
        <v/>
      </c>
      <c r="C38553" t="inlineStr">
        <is>
          <t>2005-06-15</t>
        </is>
      </c>
    </row>
    <row r="38554">
      <c r="A38554" s="1" t="n">
        <v>38553</v>
      </c>
      <c r="B38554">
        <f>TEXT(38553, "[$-0E0000]yyyy-mm-dd")</f>
        <v/>
      </c>
      <c r="C38554" t="inlineStr">
        <is>
          <t>2005-06-16</t>
        </is>
      </c>
    </row>
    <row r="38555">
      <c r="A38555" s="1" t="n">
        <v>38554</v>
      </c>
      <c r="B38555">
        <f>TEXT(38554, "[$-0E0000]yyyy-mm-dd")</f>
        <v/>
      </c>
      <c r="C38555" t="inlineStr">
        <is>
          <t>2005-06-17</t>
        </is>
      </c>
    </row>
    <row r="38556">
      <c r="A38556" s="1" t="n">
        <v>38555</v>
      </c>
      <c r="B38556">
        <f>TEXT(38555, "[$-0E0000]yyyy-mm-dd")</f>
        <v/>
      </c>
      <c r="C38556" t="inlineStr">
        <is>
          <t>2005-06-18</t>
        </is>
      </c>
    </row>
    <row r="38557">
      <c r="A38557" s="1" t="n">
        <v>38556</v>
      </c>
      <c r="B38557">
        <f>TEXT(38556, "[$-0E0000]yyyy-mm-dd")</f>
        <v/>
      </c>
      <c r="C38557" t="inlineStr">
        <is>
          <t>2005-06-19</t>
        </is>
      </c>
    </row>
    <row r="38558">
      <c r="A38558" s="1" t="n">
        <v>38557</v>
      </c>
      <c r="B38558">
        <f>TEXT(38557, "[$-0E0000]yyyy-mm-dd")</f>
        <v/>
      </c>
      <c r="C38558" t="inlineStr">
        <is>
          <t>2005-06-20</t>
        </is>
      </c>
    </row>
    <row r="38559">
      <c r="A38559" s="1" t="n">
        <v>38558</v>
      </c>
      <c r="B38559">
        <f>TEXT(38558, "[$-0E0000]yyyy-mm-dd")</f>
        <v/>
      </c>
      <c r="C38559" t="inlineStr">
        <is>
          <t>2005-06-21</t>
        </is>
      </c>
    </row>
    <row r="38560">
      <c r="A38560" s="1" t="n">
        <v>38559</v>
      </c>
      <c r="B38560">
        <f>TEXT(38559, "[$-0E0000]yyyy-mm-dd")</f>
        <v/>
      </c>
      <c r="C38560" t="inlineStr">
        <is>
          <t>2005-06-22</t>
        </is>
      </c>
    </row>
    <row r="38561">
      <c r="A38561" s="1" t="n">
        <v>38560</v>
      </c>
      <c r="B38561">
        <f>TEXT(38560, "[$-0E0000]yyyy-mm-dd")</f>
        <v/>
      </c>
      <c r="C38561" t="inlineStr">
        <is>
          <t>2005-06-23</t>
        </is>
      </c>
    </row>
    <row r="38562">
      <c r="A38562" s="1" t="n">
        <v>38561</v>
      </c>
      <c r="B38562">
        <f>TEXT(38561, "[$-0E0000]yyyy-mm-dd")</f>
        <v/>
      </c>
      <c r="C38562" t="inlineStr">
        <is>
          <t>2005-06-24</t>
        </is>
      </c>
    </row>
    <row r="38563">
      <c r="A38563" s="1" t="n">
        <v>38562</v>
      </c>
      <c r="B38563">
        <f>TEXT(38562, "[$-0E0000]yyyy-mm-dd")</f>
        <v/>
      </c>
      <c r="C38563" t="inlineStr">
        <is>
          <t>2005-06-25</t>
        </is>
      </c>
    </row>
    <row r="38564">
      <c r="A38564" s="1" t="n">
        <v>38563</v>
      </c>
      <c r="B38564">
        <f>TEXT(38563, "[$-0E0000]yyyy-mm-dd")</f>
        <v/>
      </c>
      <c r="C38564" t="inlineStr">
        <is>
          <t>2005-06-26</t>
        </is>
      </c>
    </row>
    <row r="38565">
      <c r="A38565" s="1" t="n">
        <v>38564</v>
      </c>
      <c r="B38565">
        <f>TEXT(38564, "[$-0E0000]yyyy-mm-dd")</f>
        <v/>
      </c>
      <c r="C38565" t="inlineStr">
        <is>
          <t>2005-06-27</t>
        </is>
      </c>
    </row>
    <row r="38566">
      <c r="A38566" s="1" t="n">
        <v>38565</v>
      </c>
      <c r="B38566">
        <f>TEXT(38565, "[$-0E0000]yyyy-mm-dd")</f>
        <v/>
      </c>
      <c r="C38566" t="inlineStr">
        <is>
          <t>2005-06-28</t>
        </is>
      </c>
    </row>
    <row r="38567">
      <c r="A38567" s="1" t="n">
        <v>38566</v>
      </c>
      <c r="B38567">
        <f>TEXT(38566, "[$-0E0000]yyyy-mm-dd")</f>
        <v/>
      </c>
      <c r="C38567" t="inlineStr">
        <is>
          <t>2005-06-29</t>
        </is>
      </c>
    </row>
    <row r="38568">
      <c r="A38568" s="1" t="n">
        <v>38567</v>
      </c>
      <c r="B38568">
        <f>TEXT(38567, "[$-0E0000]yyyy-mm-dd")</f>
        <v/>
      </c>
      <c r="C38568" t="inlineStr">
        <is>
          <t>2005-06-30</t>
        </is>
      </c>
    </row>
    <row r="38569">
      <c r="A38569" s="1" t="n">
        <v>38568</v>
      </c>
      <c r="B38569">
        <f>TEXT(38568, "[$-0E0000]yyyy-mm-dd")</f>
        <v/>
      </c>
      <c r="C38569" t="inlineStr">
        <is>
          <t>2005-07-01</t>
        </is>
      </c>
    </row>
    <row r="38570">
      <c r="A38570" s="1" t="n">
        <v>38569</v>
      </c>
      <c r="B38570">
        <f>TEXT(38569, "[$-0E0000]yyyy-mm-dd")</f>
        <v/>
      </c>
      <c r="C38570" t="inlineStr">
        <is>
          <t>2005-07-02</t>
        </is>
      </c>
    </row>
    <row r="38571">
      <c r="A38571" s="1" t="n">
        <v>38570</v>
      </c>
      <c r="B38571">
        <f>TEXT(38570, "[$-0E0000]yyyy-mm-dd")</f>
        <v/>
      </c>
      <c r="C38571" t="inlineStr">
        <is>
          <t>2005-07-03</t>
        </is>
      </c>
    </row>
    <row r="38572">
      <c r="A38572" s="1" t="n">
        <v>38571</v>
      </c>
      <c r="B38572">
        <f>TEXT(38571, "[$-0E0000]yyyy-mm-dd")</f>
        <v/>
      </c>
      <c r="C38572" t="inlineStr">
        <is>
          <t>2005-07-04</t>
        </is>
      </c>
    </row>
    <row r="38573">
      <c r="A38573" s="1" t="n">
        <v>38572</v>
      </c>
      <c r="B38573">
        <f>TEXT(38572, "[$-0E0000]yyyy-mm-dd")</f>
        <v/>
      </c>
      <c r="C38573" t="inlineStr">
        <is>
          <t>2005-07-05</t>
        </is>
      </c>
    </row>
    <row r="38574">
      <c r="A38574" s="1" t="n">
        <v>38573</v>
      </c>
      <c r="B38574">
        <f>TEXT(38573, "[$-0E0000]yyyy-mm-dd")</f>
        <v/>
      </c>
      <c r="C38574" t="inlineStr">
        <is>
          <t>2005-07-06</t>
        </is>
      </c>
    </row>
    <row r="38575">
      <c r="A38575" s="1" t="n">
        <v>38574</v>
      </c>
      <c r="B38575">
        <f>TEXT(38574, "[$-0E0000]yyyy-mm-dd")</f>
        <v/>
      </c>
      <c r="C38575" t="inlineStr">
        <is>
          <t>2005-07-07</t>
        </is>
      </c>
    </row>
    <row r="38576">
      <c r="A38576" s="1" t="n">
        <v>38575</v>
      </c>
      <c r="B38576">
        <f>TEXT(38575, "[$-0E0000]yyyy-mm-dd")</f>
        <v/>
      </c>
      <c r="C38576" t="inlineStr">
        <is>
          <t>2005-07-08</t>
        </is>
      </c>
    </row>
    <row r="38577">
      <c r="A38577" s="1" t="n">
        <v>38576</v>
      </c>
      <c r="B38577">
        <f>TEXT(38576, "[$-0E0000]yyyy-mm-dd")</f>
        <v/>
      </c>
      <c r="C38577" t="inlineStr">
        <is>
          <t>2005-07-09</t>
        </is>
      </c>
    </row>
    <row r="38578">
      <c r="A38578" s="1" t="n">
        <v>38577</v>
      </c>
      <c r="B38578">
        <f>TEXT(38577, "[$-0E0000]yyyy-mm-dd")</f>
        <v/>
      </c>
      <c r="C38578" t="inlineStr">
        <is>
          <t>2005-07-10</t>
        </is>
      </c>
    </row>
    <row r="38579">
      <c r="A38579" s="1" t="n">
        <v>38578</v>
      </c>
      <c r="B38579">
        <f>TEXT(38578, "[$-0E0000]yyyy-mm-dd")</f>
        <v/>
      </c>
      <c r="C38579" t="inlineStr">
        <is>
          <t>2005-07-11</t>
        </is>
      </c>
    </row>
    <row r="38580">
      <c r="A38580" s="1" t="n">
        <v>38579</v>
      </c>
      <c r="B38580">
        <f>TEXT(38579, "[$-0E0000]yyyy-mm-dd")</f>
        <v/>
      </c>
      <c r="C38580" t="inlineStr">
        <is>
          <t>2005-07-12</t>
        </is>
      </c>
    </row>
    <row r="38581">
      <c r="A38581" s="1" t="n">
        <v>38580</v>
      </c>
      <c r="B38581">
        <f>TEXT(38580, "[$-0E0000]yyyy-mm-dd")</f>
        <v/>
      </c>
      <c r="C38581" t="inlineStr">
        <is>
          <t>2005-07-13</t>
        </is>
      </c>
    </row>
    <row r="38582">
      <c r="A38582" s="1" t="n">
        <v>38581</v>
      </c>
      <c r="B38582">
        <f>TEXT(38581, "[$-0E0000]yyyy-mm-dd")</f>
        <v/>
      </c>
      <c r="C38582" t="inlineStr">
        <is>
          <t>2005-07-14</t>
        </is>
      </c>
    </row>
    <row r="38583">
      <c r="A38583" s="1" t="n">
        <v>38582</v>
      </c>
      <c r="B38583">
        <f>TEXT(38582, "[$-0E0000]yyyy-mm-dd")</f>
        <v/>
      </c>
      <c r="C38583" t="inlineStr">
        <is>
          <t>2005-07-15</t>
        </is>
      </c>
    </row>
    <row r="38584">
      <c r="A38584" s="1" t="n">
        <v>38583</v>
      </c>
      <c r="B38584">
        <f>TEXT(38583, "[$-0E0000]yyyy-mm-dd")</f>
        <v/>
      </c>
      <c r="C38584" t="inlineStr">
        <is>
          <t>2005-07-16</t>
        </is>
      </c>
    </row>
    <row r="38585">
      <c r="A38585" s="1" t="n">
        <v>38584</v>
      </c>
      <c r="B38585">
        <f>TEXT(38584, "[$-0E0000]yyyy-mm-dd")</f>
        <v/>
      </c>
      <c r="C38585" t="inlineStr">
        <is>
          <t>2005-07-17</t>
        </is>
      </c>
    </row>
    <row r="38586">
      <c r="A38586" s="1" t="n">
        <v>38585</v>
      </c>
      <c r="B38586">
        <f>TEXT(38585, "[$-0E0000]yyyy-mm-dd")</f>
        <v/>
      </c>
      <c r="C38586" t="inlineStr">
        <is>
          <t>2005-07-18</t>
        </is>
      </c>
    </row>
    <row r="38587">
      <c r="A38587" s="1" t="n">
        <v>38586</v>
      </c>
      <c r="B38587">
        <f>TEXT(38586, "[$-0E0000]yyyy-mm-dd")</f>
        <v/>
      </c>
      <c r="C38587" t="inlineStr">
        <is>
          <t>2005-07-19</t>
        </is>
      </c>
    </row>
    <row r="38588">
      <c r="A38588" s="1" t="n">
        <v>38587</v>
      </c>
      <c r="B38588">
        <f>TEXT(38587, "[$-0E0000]yyyy-mm-dd")</f>
        <v/>
      </c>
      <c r="C38588" t="inlineStr">
        <is>
          <t>2005-07-20</t>
        </is>
      </c>
    </row>
    <row r="38589">
      <c r="A38589" s="1" t="n">
        <v>38588</v>
      </c>
      <c r="B38589">
        <f>TEXT(38588, "[$-0E0000]yyyy-mm-dd")</f>
        <v/>
      </c>
      <c r="C38589" t="inlineStr">
        <is>
          <t>2005-07-21</t>
        </is>
      </c>
    </row>
    <row r="38590">
      <c r="A38590" s="1" t="n">
        <v>38589</v>
      </c>
      <c r="B38590">
        <f>TEXT(38589, "[$-0E0000]yyyy-mm-dd")</f>
        <v/>
      </c>
      <c r="C38590" t="inlineStr">
        <is>
          <t>2005-07-22</t>
        </is>
      </c>
    </row>
    <row r="38591">
      <c r="A38591" s="1" t="n">
        <v>38590</v>
      </c>
      <c r="B38591">
        <f>TEXT(38590, "[$-0E0000]yyyy-mm-dd")</f>
        <v/>
      </c>
      <c r="C38591" t="inlineStr">
        <is>
          <t>2005-07-23</t>
        </is>
      </c>
    </row>
    <row r="38592">
      <c r="A38592" s="1" t="n">
        <v>38591</v>
      </c>
      <c r="B38592">
        <f>TEXT(38591, "[$-0E0000]yyyy-mm-dd")</f>
        <v/>
      </c>
      <c r="C38592" t="inlineStr">
        <is>
          <t>2005-07-24</t>
        </is>
      </c>
    </row>
    <row r="38593">
      <c r="A38593" s="1" t="n">
        <v>38592</v>
      </c>
      <c r="B38593">
        <f>TEXT(38592, "[$-0E0000]yyyy-mm-dd")</f>
        <v/>
      </c>
      <c r="C38593" t="inlineStr">
        <is>
          <t>2005-07-25</t>
        </is>
      </c>
    </row>
    <row r="38594">
      <c r="A38594" s="1" t="n">
        <v>38593</v>
      </c>
      <c r="B38594">
        <f>TEXT(38593, "[$-0E0000]yyyy-mm-dd")</f>
        <v/>
      </c>
      <c r="C38594" t="inlineStr">
        <is>
          <t>2005-07-26</t>
        </is>
      </c>
    </row>
    <row r="38595">
      <c r="A38595" s="1" t="n">
        <v>38594</v>
      </c>
      <c r="B38595">
        <f>TEXT(38594, "[$-0E0000]yyyy-mm-dd")</f>
        <v/>
      </c>
      <c r="C38595" t="inlineStr">
        <is>
          <t>2005-07-27</t>
        </is>
      </c>
    </row>
    <row r="38596">
      <c r="A38596" s="1" t="n">
        <v>38595</v>
      </c>
      <c r="B38596">
        <f>TEXT(38595, "[$-0E0000]yyyy-mm-dd")</f>
        <v/>
      </c>
      <c r="C38596" t="inlineStr">
        <is>
          <t>2005-07-28</t>
        </is>
      </c>
    </row>
    <row r="38597">
      <c r="A38597" s="1" t="n">
        <v>38596</v>
      </c>
      <c r="B38597">
        <f>TEXT(38596, "[$-0E0000]yyyy-mm-dd")</f>
        <v/>
      </c>
      <c r="C38597" t="inlineStr">
        <is>
          <t>2005-07-29</t>
        </is>
      </c>
    </row>
    <row r="38598">
      <c r="A38598" s="1" t="n">
        <v>38597</v>
      </c>
      <c r="B38598">
        <f>TEXT(38597, "[$-0E0000]yyyy-mm-dd")</f>
        <v/>
      </c>
      <c r="C38598" t="inlineStr">
        <is>
          <t>2005-07-30</t>
        </is>
      </c>
    </row>
    <row r="38599">
      <c r="A38599" s="1" t="n">
        <v>38598</v>
      </c>
      <c r="B38599">
        <f>TEXT(38598, "[$-0E0000]yyyy-mm-dd")</f>
        <v/>
      </c>
      <c r="C38599" t="inlineStr">
        <is>
          <t>2005-08-01</t>
        </is>
      </c>
    </row>
    <row r="38600">
      <c r="A38600" s="1" t="n">
        <v>38599</v>
      </c>
      <c r="B38600">
        <f>TEXT(38599, "[$-0E0000]yyyy-mm-dd")</f>
        <v/>
      </c>
      <c r="C38600" t="inlineStr">
        <is>
          <t>2005-08-02</t>
        </is>
      </c>
    </row>
    <row r="38601">
      <c r="A38601" s="1" t="n">
        <v>38600</v>
      </c>
      <c r="B38601">
        <f>TEXT(38600, "[$-0E0000]yyyy-mm-dd")</f>
        <v/>
      </c>
      <c r="C38601" t="inlineStr">
        <is>
          <t>2005-08-03</t>
        </is>
      </c>
    </row>
    <row r="38602">
      <c r="A38602" s="1" t="n">
        <v>38601</v>
      </c>
      <c r="B38602">
        <f>TEXT(38601, "[$-0E0000]yyyy-mm-dd")</f>
        <v/>
      </c>
      <c r="C38602" t="inlineStr">
        <is>
          <t>2005-08-04</t>
        </is>
      </c>
    </row>
    <row r="38603">
      <c r="A38603" s="1" t="n">
        <v>38602</v>
      </c>
      <c r="B38603">
        <f>TEXT(38602, "[$-0E0000]yyyy-mm-dd")</f>
        <v/>
      </c>
      <c r="C38603" t="inlineStr">
        <is>
          <t>2005-08-05</t>
        </is>
      </c>
    </row>
    <row r="38604">
      <c r="A38604" s="1" t="n">
        <v>38603</v>
      </c>
      <c r="B38604">
        <f>TEXT(38603, "[$-0E0000]yyyy-mm-dd")</f>
        <v/>
      </c>
      <c r="C38604" t="inlineStr">
        <is>
          <t>2005-08-06</t>
        </is>
      </c>
    </row>
    <row r="38605">
      <c r="A38605" s="1" t="n">
        <v>38604</v>
      </c>
      <c r="B38605">
        <f>TEXT(38604, "[$-0E0000]yyyy-mm-dd")</f>
        <v/>
      </c>
      <c r="C38605" t="inlineStr">
        <is>
          <t>2005-08-07</t>
        </is>
      </c>
    </row>
    <row r="38606">
      <c r="A38606" s="1" t="n">
        <v>38605</v>
      </c>
      <c r="B38606">
        <f>TEXT(38605, "[$-0E0000]yyyy-mm-dd")</f>
        <v/>
      </c>
      <c r="C38606" t="inlineStr">
        <is>
          <t>2005-08-08</t>
        </is>
      </c>
    </row>
    <row r="38607">
      <c r="A38607" s="1" t="n">
        <v>38606</v>
      </c>
      <c r="B38607">
        <f>TEXT(38606, "[$-0E0000]yyyy-mm-dd")</f>
        <v/>
      </c>
      <c r="C38607" t="inlineStr">
        <is>
          <t>2005-08-09</t>
        </is>
      </c>
    </row>
    <row r="38608">
      <c r="A38608" s="1" t="n">
        <v>38607</v>
      </c>
      <c r="B38608">
        <f>TEXT(38607, "[$-0E0000]yyyy-mm-dd")</f>
        <v/>
      </c>
      <c r="C38608" t="inlineStr">
        <is>
          <t>2005-08-10</t>
        </is>
      </c>
    </row>
    <row r="38609">
      <c r="A38609" s="1" t="n">
        <v>38608</v>
      </c>
      <c r="B38609">
        <f>TEXT(38608, "[$-0E0000]yyyy-mm-dd")</f>
        <v/>
      </c>
      <c r="C38609" t="inlineStr">
        <is>
          <t>2005-08-11</t>
        </is>
      </c>
    </row>
    <row r="38610">
      <c r="A38610" s="1" t="n">
        <v>38609</v>
      </c>
      <c r="B38610">
        <f>TEXT(38609, "[$-0E0000]yyyy-mm-dd")</f>
        <v/>
      </c>
      <c r="C38610" t="inlineStr">
        <is>
          <t>2005-08-12</t>
        </is>
      </c>
    </row>
    <row r="38611">
      <c r="A38611" s="1" t="n">
        <v>38610</v>
      </c>
      <c r="B38611">
        <f>TEXT(38610, "[$-0E0000]yyyy-mm-dd")</f>
        <v/>
      </c>
      <c r="C38611" t="inlineStr">
        <is>
          <t>2005-08-13</t>
        </is>
      </c>
    </row>
    <row r="38612">
      <c r="A38612" s="1" t="n">
        <v>38611</v>
      </c>
      <c r="B38612">
        <f>TEXT(38611, "[$-0E0000]yyyy-mm-dd")</f>
        <v/>
      </c>
      <c r="C38612" t="inlineStr">
        <is>
          <t>2005-08-14</t>
        </is>
      </c>
    </row>
    <row r="38613">
      <c r="A38613" s="1" t="n">
        <v>38612</v>
      </c>
      <c r="B38613">
        <f>TEXT(38612, "[$-0E0000]yyyy-mm-dd")</f>
        <v/>
      </c>
      <c r="C38613" t="inlineStr">
        <is>
          <t>2005-08-15</t>
        </is>
      </c>
    </row>
    <row r="38614">
      <c r="A38614" s="1" t="n">
        <v>38613</v>
      </c>
      <c r="B38614">
        <f>TEXT(38613, "[$-0E0000]yyyy-mm-dd")</f>
        <v/>
      </c>
      <c r="C38614" t="inlineStr">
        <is>
          <t>2005-08-16</t>
        </is>
      </c>
    </row>
    <row r="38615">
      <c r="A38615" s="1" t="n">
        <v>38614</v>
      </c>
      <c r="B38615">
        <f>TEXT(38614, "[$-0E0000]yyyy-mm-dd")</f>
        <v/>
      </c>
      <c r="C38615" t="inlineStr">
        <is>
          <t>2005-08-17</t>
        </is>
      </c>
    </row>
    <row r="38616">
      <c r="A38616" s="1" t="n">
        <v>38615</v>
      </c>
      <c r="B38616">
        <f>TEXT(38615, "[$-0E0000]yyyy-mm-dd")</f>
        <v/>
      </c>
      <c r="C38616" t="inlineStr">
        <is>
          <t>2005-08-18</t>
        </is>
      </c>
    </row>
    <row r="38617">
      <c r="A38617" s="1" t="n">
        <v>38616</v>
      </c>
      <c r="B38617">
        <f>TEXT(38616, "[$-0E0000]yyyy-mm-dd")</f>
        <v/>
      </c>
      <c r="C38617" t="inlineStr">
        <is>
          <t>2005-08-19</t>
        </is>
      </c>
    </row>
    <row r="38618">
      <c r="A38618" s="1" t="n">
        <v>38617</v>
      </c>
      <c r="B38618">
        <f>TEXT(38617, "[$-0E0000]yyyy-mm-dd")</f>
        <v/>
      </c>
      <c r="C38618" t="inlineStr">
        <is>
          <t>2005-08-20</t>
        </is>
      </c>
    </row>
    <row r="38619">
      <c r="A38619" s="1" t="n">
        <v>38618</v>
      </c>
      <c r="B38619">
        <f>TEXT(38618, "[$-0E0000]yyyy-mm-dd")</f>
        <v/>
      </c>
      <c r="C38619" t="inlineStr">
        <is>
          <t>2005-08-21</t>
        </is>
      </c>
    </row>
    <row r="38620">
      <c r="A38620" s="1" t="n">
        <v>38619</v>
      </c>
      <c r="B38620">
        <f>TEXT(38619, "[$-0E0000]yyyy-mm-dd")</f>
        <v/>
      </c>
      <c r="C38620" t="inlineStr">
        <is>
          <t>2005-08-22</t>
        </is>
      </c>
    </row>
    <row r="38621">
      <c r="A38621" s="1" t="n">
        <v>38620</v>
      </c>
      <c r="B38621">
        <f>TEXT(38620, "[$-0E0000]yyyy-mm-dd")</f>
        <v/>
      </c>
      <c r="C38621" t="inlineStr">
        <is>
          <t>2005-08-23</t>
        </is>
      </c>
    </row>
    <row r="38622">
      <c r="A38622" s="1" t="n">
        <v>38621</v>
      </c>
      <c r="B38622">
        <f>TEXT(38621, "[$-0E0000]yyyy-mm-dd")</f>
        <v/>
      </c>
      <c r="C38622" t="inlineStr">
        <is>
          <t>2005-08-24</t>
        </is>
      </c>
    </row>
    <row r="38623">
      <c r="A38623" s="1" t="n">
        <v>38622</v>
      </c>
      <c r="B38623">
        <f>TEXT(38622, "[$-0E0000]yyyy-mm-dd")</f>
        <v/>
      </c>
      <c r="C38623" t="inlineStr">
        <is>
          <t>2005-08-25</t>
        </is>
      </c>
    </row>
    <row r="38624">
      <c r="A38624" s="1" t="n">
        <v>38623</v>
      </c>
      <c r="B38624">
        <f>TEXT(38623, "[$-0E0000]yyyy-mm-dd")</f>
        <v/>
      </c>
      <c r="C38624" t="inlineStr">
        <is>
          <t>2005-08-26</t>
        </is>
      </c>
    </row>
    <row r="38625">
      <c r="A38625" s="1" t="n">
        <v>38624</v>
      </c>
      <c r="B38625">
        <f>TEXT(38624, "[$-0E0000]yyyy-mm-dd")</f>
        <v/>
      </c>
      <c r="C38625" t="inlineStr">
        <is>
          <t>2005-08-27</t>
        </is>
      </c>
    </row>
    <row r="38626">
      <c r="A38626" s="1" t="n">
        <v>38625</v>
      </c>
      <c r="B38626">
        <f>TEXT(38625, "[$-0E0000]yyyy-mm-dd")</f>
        <v/>
      </c>
      <c r="C38626" t="inlineStr">
        <is>
          <t>2005-08-28</t>
        </is>
      </c>
    </row>
    <row r="38627">
      <c r="A38627" s="1" t="n">
        <v>38626</v>
      </c>
      <c r="B38627">
        <f>TEXT(38626, "[$-0E0000]yyyy-mm-dd")</f>
        <v/>
      </c>
      <c r="C38627" t="inlineStr">
        <is>
          <t>2005-08-29</t>
        </is>
      </c>
    </row>
    <row r="38628">
      <c r="A38628" s="1" t="n">
        <v>38627</v>
      </c>
      <c r="B38628">
        <f>TEXT(38627, "[$-0E0000]yyyy-mm-dd")</f>
        <v/>
      </c>
      <c r="C38628" t="inlineStr">
        <is>
          <t>2005-09-01</t>
        </is>
      </c>
    </row>
    <row r="38629">
      <c r="A38629" s="1" t="n">
        <v>38628</v>
      </c>
      <c r="B38629">
        <f>TEXT(38628, "[$-0E0000]yyyy-mm-dd")</f>
        <v/>
      </c>
      <c r="C38629" t="inlineStr">
        <is>
          <t>2005-09-02</t>
        </is>
      </c>
    </row>
    <row r="38630">
      <c r="A38630" s="1" t="n">
        <v>38629</v>
      </c>
      <c r="B38630">
        <f>TEXT(38629, "[$-0E0000]yyyy-mm-dd")</f>
        <v/>
      </c>
      <c r="C38630" t="inlineStr">
        <is>
          <t>2005-09-03</t>
        </is>
      </c>
    </row>
    <row r="38631">
      <c r="A38631" s="1" t="n">
        <v>38630</v>
      </c>
      <c r="B38631">
        <f>TEXT(38630, "[$-0E0000]yyyy-mm-dd")</f>
        <v/>
      </c>
      <c r="C38631" t="inlineStr">
        <is>
          <t>2005-09-04</t>
        </is>
      </c>
    </row>
    <row r="38632">
      <c r="A38632" s="1" t="n">
        <v>38631</v>
      </c>
      <c r="B38632">
        <f>TEXT(38631, "[$-0E0000]yyyy-mm-dd")</f>
        <v/>
      </c>
      <c r="C38632" t="inlineStr">
        <is>
          <t>2005-09-05</t>
        </is>
      </c>
    </row>
    <row r="38633">
      <c r="A38633" s="1" t="n">
        <v>38632</v>
      </c>
      <c r="B38633">
        <f>TEXT(38632, "[$-0E0000]yyyy-mm-dd")</f>
        <v/>
      </c>
      <c r="C38633" t="inlineStr">
        <is>
          <t>2005-09-06</t>
        </is>
      </c>
    </row>
    <row r="38634">
      <c r="A38634" s="1" t="n">
        <v>38633</v>
      </c>
      <c r="B38634">
        <f>TEXT(38633, "[$-0E0000]yyyy-mm-dd")</f>
        <v/>
      </c>
      <c r="C38634" t="inlineStr">
        <is>
          <t>2005-09-07</t>
        </is>
      </c>
    </row>
    <row r="38635">
      <c r="A38635" s="1" t="n">
        <v>38634</v>
      </c>
      <c r="B38635">
        <f>TEXT(38634, "[$-0E0000]yyyy-mm-dd")</f>
        <v/>
      </c>
      <c r="C38635" t="inlineStr">
        <is>
          <t>2005-09-08</t>
        </is>
      </c>
    </row>
    <row r="38636">
      <c r="A38636" s="1" t="n">
        <v>38635</v>
      </c>
      <c r="B38636">
        <f>TEXT(38635, "[$-0E0000]yyyy-mm-dd")</f>
        <v/>
      </c>
      <c r="C38636" t="inlineStr">
        <is>
          <t>2005-09-09</t>
        </is>
      </c>
    </row>
    <row r="38637">
      <c r="A38637" s="1" t="n">
        <v>38636</v>
      </c>
      <c r="B38637">
        <f>TEXT(38636, "[$-0E0000]yyyy-mm-dd")</f>
        <v/>
      </c>
      <c r="C38637" t="inlineStr">
        <is>
          <t>2005-09-10</t>
        </is>
      </c>
    </row>
    <row r="38638">
      <c r="A38638" s="1" t="n">
        <v>38637</v>
      </c>
      <c r="B38638">
        <f>TEXT(38637, "[$-0E0000]yyyy-mm-dd")</f>
        <v/>
      </c>
      <c r="C38638" t="inlineStr">
        <is>
          <t>2005-09-11</t>
        </is>
      </c>
    </row>
    <row r="38639">
      <c r="A38639" s="1" t="n">
        <v>38638</v>
      </c>
      <c r="B38639">
        <f>TEXT(38638, "[$-0E0000]yyyy-mm-dd")</f>
        <v/>
      </c>
      <c r="C38639" t="inlineStr">
        <is>
          <t>2005-09-12</t>
        </is>
      </c>
    </row>
    <row r="38640">
      <c r="A38640" s="1" t="n">
        <v>38639</v>
      </c>
      <c r="B38640">
        <f>TEXT(38639, "[$-0E0000]yyyy-mm-dd")</f>
        <v/>
      </c>
      <c r="C38640" t="inlineStr">
        <is>
          <t>2005-09-13</t>
        </is>
      </c>
    </row>
    <row r="38641">
      <c r="A38641" s="1" t="n">
        <v>38640</v>
      </c>
      <c r="B38641">
        <f>TEXT(38640, "[$-0E0000]yyyy-mm-dd")</f>
        <v/>
      </c>
      <c r="C38641" t="inlineStr">
        <is>
          <t>2005-09-14</t>
        </is>
      </c>
    </row>
    <row r="38642">
      <c r="A38642" s="1" t="n">
        <v>38641</v>
      </c>
      <c r="B38642">
        <f>TEXT(38641, "[$-0E0000]yyyy-mm-dd")</f>
        <v/>
      </c>
      <c r="C38642" t="inlineStr">
        <is>
          <t>2005-09-15</t>
        </is>
      </c>
    </row>
    <row r="38643">
      <c r="A38643" s="1" t="n">
        <v>38642</v>
      </c>
      <c r="B38643">
        <f>TEXT(38642, "[$-0E0000]yyyy-mm-dd")</f>
        <v/>
      </c>
      <c r="C38643" t="inlineStr">
        <is>
          <t>2005-09-16</t>
        </is>
      </c>
    </row>
    <row r="38644">
      <c r="A38644" s="1" t="n">
        <v>38643</v>
      </c>
      <c r="B38644">
        <f>TEXT(38643, "[$-0E0000]yyyy-mm-dd")</f>
        <v/>
      </c>
      <c r="C38644" t="inlineStr">
        <is>
          <t>2005-09-17</t>
        </is>
      </c>
    </row>
    <row r="38645">
      <c r="A38645" s="1" t="n">
        <v>38644</v>
      </c>
      <c r="B38645">
        <f>TEXT(38644, "[$-0E0000]yyyy-mm-dd")</f>
        <v/>
      </c>
      <c r="C38645" t="inlineStr">
        <is>
          <t>2005-09-18</t>
        </is>
      </c>
    </row>
    <row r="38646">
      <c r="A38646" s="1" t="n">
        <v>38645</v>
      </c>
      <c r="B38646">
        <f>TEXT(38645, "[$-0E0000]yyyy-mm-dd")</f>
        <v/>
      </c>
      <c r="C38646" t="inlineStr">
        <is>
          <t>2005-09-19</t>
        </is>
      </c>
    </row>
    <row r="38647">
      <c r="A38647" s="1" t="n">
        <v>38646</v>
      </c>
      <c r="B38647">
        <f>TEXT(38646, "[$-0E0000]yyyy-mm-dd")</f>
        <v/>
      </c>
      <c r="C38647" t="inlineStr">
        <is>
          <t>2005-09-20</t>
        </is>
      </c>
    </row>
    <row r="38648">
      <c r="A38648" s="1" t="n">
        <v>38647</v>
      </c>
      <c r="B38648">
        <f>TEXT(38647, "[$-0E0000]yyyy-mm-dd")</f>
        <v/>
      </c>
      <c r="C38648" t="inlineStr">
        <is>
          <t>2005-09-21</t>
        </is>
      </c>
    </row>
    <row r="38649">
      <c r="A38649" s="1" t="n">
        <v>38648</v>
      </c>
      <c r="B38649">
        <f>TEXT(38648, "[$-0E0000]yyyy-mm-dd")</f>
        <v/>
      </c>
      <c r="C38649" t="inlineStr">
        <is>
          <t>2005-09-22</t>
        </is>
      </c>
    </row>
    <row r="38650">
      <c r="A38650" s="1" t="n">
        <v>38649</v>
      </c>
      <c r="B38650">
        <f>TEXT(38649, "[$-0E0000]yyyy-mm-dd")</f>
        <v/>
      </c>
      <c r="C38650" t="inlineStr">
        <is>
          <t>2005-09-23</t>
        </is>
      </c>
    </row>
    <row r="38651">
      <c r="A38651" s="1" t="n">
        <v>38650</v>
      </c>
      <c r="B38651">
        <f>TEXT(38650, "[$-0E0000]yyyy-mm-dd")</f>
        <v/>
      </c>
      <c r="C38651" t="inlineStr">
        <is>
          <t>2005-09-24</t>
        </is>
      </c>
    </row>
    <row r="38652">
      <c r="A38652" s="1" t="n">
        <v>38651</v>
      </c>
      <c r="B38652">
        <f>TEXT(38651, "[$-0E0000]yyyy-mm-dd")</f>
        <v/>
      </c>
      <c r="C38652" t="inlineStr">
        <is>
          <t>2005-09-25</t>
        </is>
      </c>
    </row>
    <row r="38653">
      <c r="A38653" s="1" t="n">
        <v>38652</v>
      </c>
      <c r="B38653">
        <f>TEXT(38652, "[$-0E0000]yyyy-mm-dd")</f>
        <v/>
      </c>
      <c r="C38653" t="inlineStr">
        <is>
          <t>2005-09-26</t>
        </is>
      </c>
    </row>
    <row r="38654">
      <c r="A38654" s="1" t="n">
        <v>38653</v>
      </c>
      <c r="B38654">
        <f>TEXT(38653, "[$-0E0000]yyyy-mm-dd")</f>
        <v/>
      </c>
      <c r="C38654" t="inlineStr">
        <is>
          <t>2005-09-27</t>
        </is>
      </c>
    </row>
    <row r="38655">
      <c r="A38655" s="1" t="n">
        <v>38654</v>
      </c>
      <c r="B38655">
        <f>TEXT(38654, "[$-0E0000]yyyy-mm-dd")</f>
        <v/>
      </c>
      <c r="C38655" t="inlineStr">
        <is>
          <t>2005-09-28</t>
        </is>
      </c>
    </row>
    <row r="38656">
      <c r="A38656" s="1" t="n">
        <v>38655</v>
      </c>
      <c r="B38656">
        <f>TEXT(38655, "[$-0E0000]yyyy-mm-dd")</f>
        <v/>
      </c>
      <c r="C38656" t="inlineStr">
        <is>
          <t>2005-09-29</t>
        </is>
      </c>
    </row>
    <row r="38657">
      <c r="A38657" s="1" t="n">
        <v>38656</v>
      </c>
      <c r="B38657">
        <f>TEXT(38656, "[$-0E0000]yyyy-mm-dd")</f>
        <v/>
      </c>
      <c r="C38657" t="inlineStr">
        <is>
          <t>2005-09-30</t>
        </is>
      </c>
    </row>
    <row r="38658">
      <c r="A38658" s="1" t="n">
        <v>38657</v>
      </c>
      <c r="B38658">
        <f>TEXT(38657, "[$-0E0000]yyyy-mm-dd")</f>
        <v/>
      </c>
      <c r="C38658" t="inlineStr">
        <is>
          <t>2005-10-01</t>
        </is>
      </c>
    </row>
    <row r="38659">
      <c r="A38659" s="1" t="n">
        <v>38658</v>
      </c>
      <c r="B38659">
        <f>TEXT(38658, "[$-0E0000]yyyy-mm-dd")</f>
        <v/>
      </c>
      <c r="C38659" t="inlineStr">
        <is>
          <t>2005-10-02</t>
        </is>
      </c>
    </row>
    <row r="38660">
      <c r="A38660" s="1" t="n">
        <v>38659</v>
      </c>
      <c r="B38660">
        <f>TEXT(38659, "[$-0E0000]yyyy-mm-dd")</f>
        <v/>
      </c>
      <c r="C38660" t="inlineStr">
        <is>
          <t>2005-10-03</t>
        </is>
      </c>
    </row>
    <row r="38661">
      <c r="A38661" s="1" t="n">
        <v>38660</v>
      </c>
      <c r="B38661">
        <f>TEXT(38660, "[$-0E0000]yyyy-mm-dd")</f>
        <v/>
      </c>
      <c r="C38661" t="inlineStr">
        <is>
          <t>2005-10-04</t>
        </is>
      </c>
    </row>
    <row r="38662">
      <c r="A38662" s="1" t="n">
        <v>38661</v>
      </c>
      <c r="B38662">
        <f>TEXT(38661, "[$-0E0000]yyyy-mm-dd")</f>
        <v/>
      </c>
      <c r="C38662" t="inlineStr">
        <is>
          <t>2005-10-05</t>
        </is>
      </c>
    </row>
    <row r="38663">
      <c r="A38663" s="1" t="n">
        <v>38662</v>
      </c>
      <c r="B38663">
        <f>TEXT(38662, "[$-0E0000]yyyy-mm-dd")</f>
        <v/>
      </c>
      <c r="C38663" t="inlineStr">
        <is>
          <t>2005-10-06</t>
        </is>
      </c>
    </row>
    <row r="38664">
      <c r="A38664" s="1" t="n">
        <v>38663</v>
      </c>
      <c r="B38664">
        <f>TEXT(38663, "[$-0E0000]yyyy-mm-dd")</f>
        <v/>
      </c>
      <c r="C38664" t="inlineStr">
        <is>
          <t>2005-10-07</t>
        </is>
      </c>
    </row>
    <row r="38665">
      <c r="A38665" s="1" t="n">
        <v>38664</v>
      </c>
      <c r="B38665">
        <f>TEXT(38664, "[$-0E0000]yyyy-mm-dd")</f>
        <v/>
      </c>
      <c r="C38665" t="inlineStr">
        <is>
          <t>2005-10-08</t>
        </is>
      </c>
    </row>
    <row r="38666">
      <c r="A38666" s="1" t="n">
        <v>38665</v>
      </c>
      <c r="B38666">
        <f>TEXT(38665, "[$-0E0000]yyyy-mm-dd")</f>
        <v/>
      </c>
      <c r="C38666" t="inlineStr">
        <is>
          <t>2005-10-09</t>
        </is>
      </c>
    </row>
    <row r="38667">
      <c r="A38667" s="1" t="n">
        <v>38666</v>
      </c>
      <c r="B38667">
        <f>TEXT(38666, "[$-0E0000]yyyy-mm-dd")</f>
        <v/>
      </c>
      <c r="C38667" t="inlineStr">
        <is>
          <t>2005-10-10</t>
        </is>
      </c>
    </row>
    <row r="38668">
      <c r="A38668" s="1" t="n">
        <v>38667</v>
      </c>
      <c r="B38668">
        <f>TEXT(38667, "[$-0E0000]yyyy-mm-dd")</f>
        <v/>
      </c>
      <c r="C38668" t="inlineStr">
        <is>
          <t>2005-10-11</t>
        </is>
      </c>
    </row>
    <row r="38669">
      <c r="A38669" s="1" t="n">
        <v>38668</v>
      </c>
      <c r="B38669">
        <f>TEXT(38668, "[$-0E0000]yyyy-mm-dd")</f>
        <v/>
      </c>
      <c r="C38669" t="inlineStr">
        <is>
          <t>2005-10-12</t>
        </is>
      </c>
    </row>
    <row r="38670">
      <c r="A38670" s="1" t="n">
        <v>38669</v>
      </c>
      <c r="B38670">
        <f>TEXT(38669, "[$-0E0000]yyyy-mm-dd")</f>
        <v/>
      </c>
      <c r="C38670" t="inlineStr">
        <is>
          <t>2005-10-13</t>
        </is>
      </c>
    </row>
    <row r="38671">
      <c r="A38671" s="1" t="n">
        <v>38670</v>
      </c>
      <c r="B38671">
        <f>TEXT(38670, "[$-0E0000]yyyy-mm-dd")</f>
        <v/>
      </c>
      <c r="C38671" t="inlineStr">
        <is>
          <t>2005-10-14</t>
        </is>
      </c>
    </row>
    <row r="38672">
      <c r="A38672" s="1" t="n">
        <v>38671</v>
      </c>
      <c r="B38672">
        <f>TEXT(38671, "[$-0E0000]yyyy-mm-dd")</f>
        <v/>
      </c>
      <c r="C38672" t="inlineStr">
        <is>
          <t>2005-10-15</t>
        </is>
      </c>
    </row>
    <row r="38673">
      <c r="A38673" s="1" t="n">
        <v>38672</v>
      </c>
      <c r="B38673">
        <f>TEXT(38672, "[$-0E0000]yyyy-mm-dd")</f>
        <v/>
      </c>
      <c r="C38673" t="inlineStr">
        <is>
          <t>2005-10-16</t>
        </is>
      </c>
    </row>
    <row r="38674">
      <c r="A38674" s="1" t="n">
        <v>38673</v>
      </c>
      <c r="B38674">
        <f>TEXT(38673, "[$-0E0000]yyyy-mm-dd")</f>
        <v/>
      </c>
      <c r="C38674" t="inlineStr">
        <is>
          <t>2005-10-17</t>
        </is>
      </c>
    </row>
    <row r="38675">
      <c r="A38675" s="1" t="n">
        <v>38674</v>
      </c>
      <c r="B38675">
        <f>TEXT(38674, "[$-0E0000]yyyy-mm-dd")</f>
        <v/>
      </c>
      <c r="C38675" t="inlineStr">
        <is>
          <t>2005-10-18</t>
        </is>
      </c>
    </row>
    <row r="38676">
      <c r="A38676" s="1" t="n">
        <v>38675</v>
      </c>
      <c r="B38676">
        <f>TEXT(38675, "[$-0E0000]yyyy-mm-dd")</f>
        <v/>
      </c>
      <c r="C38676" t="inlineStr">
        <is>
          <t>2005-10-19</t>
        </is>
      </c>
    </row>
    <row r="38677">
      <c r="A38677" s="1" t="n">
        <v>38676</v>
      </c>
      <c r="B38677">
        <f>TEXT(38676, "[$-0E0000]yyyy-mm-dd")</f>
        <v/>
      </c>
      <c r="C38677" t="inlineStr">
        <is>
          <t>2005-10-20</t>
        </is>
      </c>
    </row>
    <row r="38678">
      <c r="A38678" s="1" t="n">
        <v>38677</v>
      </c>
      <c r="B38678">
        <f>TEXT(38677, "[$-0E0000]yyyy-mm-dd")</f>
        <v/>
      </c>
      <c r="C38678" t="inlineStr">
        <is>
          <t>2005-10-21</t>
        </is>
      </c>
    </row>
    <row r="38679">
      <c r="A38679" s="1" t="n">
        <v>38678</v>
      </c>
      <c r="B38679">
        <f>TEXT(38678, "[$-0E0000]yyyy-mm-dd")</f>
        <v/>
      </c>
      <c r="C38679" t="inlineStr">
        <is>
          <t>2005-10-22</t>
        </is>
      </c>
    </row>
    <row r="38680">
      <c r="A38680" s="1" t="n">
        <v>38679</v>
      </c>
      <c r="B38680">
        <f>TEXT(38679, "[$-0E0000]yyyy-mm-dd")</f>
        <v/>
      </c>
      <c r="C38680" t="inlineStr">
        <is>
          <t>2005-10-23</t>
        </is>
      </c>
    </row>
    <row r="38681">
      <c r="A38681" s="1" t="n">
        <v>38680</v>
      </c>
      <c r="B38681">
        <f>TEXT(38680, "[$-0E0000]yyyy-mm-dd")</f>
        <v/>
      </c>
      <c r="C38681" t="inlineStr">
        <is>
          <t>2005-10-24</t>
        </is>
      </c>
    </row>
    <row r="38682">
      <c r="A38682" s="1" t="n">
        <v>38681</v>
      </c>
      <c r="B38682">
        <f>TEXT(38681, "[$-0E0000]yyyy-mm-dd")</f>
        <v/>
      </c>
      <c r="C38682" t="inlineStr">
        <is>
          <t>2005-10-25</t>
        </is>
      </c>
    </row>
    <row r="38683">
      <c r="A38683" s="1" t="n">
        <v>38682</v>
      </c>
      <c r="B38683">
        <f>TEXT(38682, "[$-0E0000]yyyy-mm-dd")</f>
        <v/>
      </c>
      <c r="C38683" t="inlineStr">
        <is>
          <t>2005-10-26</t>
        </is>
      </c>
    </row>
    <row r="38684">
      <c r="A38684" s="1" t="n">
        <v>38683</v>
      </c>
      <c r="B38684">
        <f>TEXT(38683, "[$-0E0000]yyyy-mm-dd")</f>
        <v/>
      </c>
      <c r="C38684" t="inlineStr">
        <is>
          <t>2005-10-27</t>
        </is>
      </c>
    </row>
    <row r="38685">
      <c r="A38685" s="1" t="n">
        <v>38684</v>
      </c>
      <c r="B38685">
        <f>TEXT(38684, "[$-0E0000]yyyy-mm-dd")</f>
        <v/>
      </c>
      <c r="C38685" t="inlineStr">
        <is>
          <t>2005-10-28</t>
        </is>
      </c>
    </row>
    <row r="38686">
      <c r="A38686" s="1" t="n">
        <v>38685</v>
      </c>
      <c r="B38686">
        <f>TEXT(38685, "[$-0E0000]yyyy-mm-dd")</f>
        <v/>
      </c>
      <c r="C38686" t="inlineStr">
        <is>
          <t>2005-10-29</t>
        </is>
      </c>
    </row>
    <row r="38687">
      <c r="A38687" s="1" t="n">
        <v>38686</v>
      </c>
      <c r="B38687">
        <f>TEXT(38686, "[$-0E0000]yyyy-mm-dd")</f>
        <v/>
      </c>
      <c r="C38687" t="inlineStr">
        <is>
          <t>2005-11-01</t>
        </is>
      </c>
    </row>
    <row r="38688">
      <c r="A38688" s="1" t="n">
        <v>38687</v>
      </c>
      <c r="B38688">
        <f>TEXT(38687, "[$-0E0000]yyyy-mm-dd")</f>
        <v/>
      </c>
      <c r="C38688" t="inlineStr">
        <is>
          <t>2005-11-02</t>
        </is>
      </c>
    </row>
    <row r="38689">
      <c r="A38689" s="1" t="n">
        <v>38688</v>
      </c>
      <c r="B38689">
        <f>TEXT(38688, "[$-0E0000]yyyy-mm-dd")</f>
        <v/>
      </c>
      <c r="C38689" t="inlineStr">
        <is>
          <t>2005-11-03</t>
        </is>
      </c>
    </row>
    <row r="38690">
      <c r="A38690" s="1" t="n">
        <v>38689</v>
      </c>
      <c r="B38690">
        <f>TEXT(38689, "[$-0E0000]yyyy-mm-dd")</f>
        <v/>
      </c>
      <c r="C38690" t="inlineStr">
        <is>
          <t>2005-11-04</t>
        </is>
      </c>
    </row>
    <row r="38691">
      <c r="A38691" s="1" t="n">
        <v>38690</v>
      </c>
      <c r="B38691">
        <f>TEXT(38690, "[$-0E0000]yyyy-mm-dd")</f>
        <v/>
      </c>
      <c r="C38691" t="inlineStr">
        <is>
          <t>2005-11-05</t>
        </is>
      </c>
    </row>
    <row r="38692">
      <c r="A38692" s="1" t="n">
        <v>38691</v>
      </c>
      <c r="B38692">
        <f>TEXT(38691, "[$-0E0000]yyyy-mm-dd")</f>
        <v/>
      </c>
      <c r="C38692" t="inlineStr">
        <is>
          <t>2005-11-06</t>
        </is>
      </c>
    </row>
    <row r="38693">
      <c r="A38693" s="1" t="n">
        <v>38692</v>
      </c>
      <c r="B38693">
        <f>TEXT(38692, "[$-0E0000]yyyy-mm-dd")</f>
        <v/>
      </c>
      <c r="C38693" t="inlineStr">
        <is>
          <t>2005-11-07</t>
        </is>
      </c>
    </row>
    <row r="38694">
      <c r="A38694" s="1" t="n">
        <v>38693</v>
      </c>
      <c r="B38694">
        <f>TEXT(38693, "[$-0E0000]yyyy-mm-dd")</f>
        <v/>
      </c>
      <c r="C38694" t="inlineStr">
        <is>
          <t>2005-11-08</t>
        </is>
      </c>
    </row>
    <row r="38695">
      <c r="A38695" s="1" t="n">
        <v>38694</v>
      </c>
      <c r="B38695">
        <f>TEXT(38694, "[$-0E0000]yyyy-mm-dd")</f>
        <v/>
      </c>
      <c r="C38695" t="inlineStr">
        <is>
          <t>2005-11-09</t>
        </is>
      </c>
    </row>
    <row r="38696">
      <c r="A38696" s="1" t="n">
        <v>38695</v>
      </c>
      <c r="B38696">
        <f>TEXT(38695, "[$-0E0000]yyyy-mm-dd")</f>
        <v/>
      </c>
      <c r="C38696" t="inlineStr">
        <is>
          <t>2005-11-10</t>
        </is>
      </c>
    </row>
    <row r="38697">
      <c r="A38697" s="1" t="n">
        <v>38696</v>
      </c>
      <c r="B38697">
        <f>TEXT(38696, "[$-0E0000]yyyy-mm-dd")</f>
        <v/>
      </c>
      <c r="C38697" t="inlineStr">
        <is>
          <t>2005-11-11</t>
        </is>
      </c>
    </row>
    <row r="38698">
      <c r="A38698" s="1" t="n">
        <v>38697</v>
      </c>
      <c r="B38698">
        <f>TEXT(38697, "[$-0E0000]yyyy-mm-dd")</f>
        <v/>
      </c>
      <c r="C38698" t="inlineStr">
        <is>
          <t>2005-11-12</t>
        </is>
      </c>
    </row>
    <row r="38699">
      <c r="A38699" s="1" t="n">
        <v>38698</v>
      </c>
      <c r="B38699">
        <f>TEXT(38698, "[$-0E0000]yyyy-mm-dd")</f>
        <v/>
      </c>
      <c r="C38699" t="inlineStr">
        <is>
          <t>2005-11-13</t>
        </is>
      </c>
    </row>
    <row r="38700">
      <c r="A38700" s="1" t="n">
        <v>38699</v>
      </c>
      <c r="B38700">
        <f>TEXT(38699, "[$-0E0000]yyyy-mm-dd")</f>
        <v/>
      </c>
      <c r="C38700" t="inlineStr">
        <is>
          <t>2005-11-14</t>
        </is>
      </c>
    </row>
    <row r="38701">
      <c r="A38701" s="1" t="n">
        <v>38700</v>
      </c>
      <c r="B38701">
        <f>TEXT(38700, "[$-0E0000]yyyy-mm-dd")</f>
        <v/>
      </c>
      <c r="C38701" t="inlineStr">
        <is>
          <t>2005-11-15</t>
        </is>
      </c>
    </row>
    <row r="38702">
      <c r="A38702" s="1" t="n">
        <v>38701</v>
      </c>
      <c r="B38702">
        <f>TEXT(38701, "[$-0E0000]yyyy-mm-dd")</f>
        <v/>
      </c>
      <c r="C38702" t="inlineStr">
        <is>
          <t>2005-11-16</t>
        </is>
      </c>
    </row>
    <row r="38703">
      <c r="A38703" s="1" t="n">
        <v>38702</v>
      </c>
      <c r="B38703">
        <f>TEXT(38702, "[$-0E0000]yyyy-mm-dd")</f>
        <v/>
      </c>
      <c r="C38703" t="inlineStr">
        <is>
          <t>2005-11-17</t>
        </is>
      </c>
    </row>
    <row r="38704">
      <c r="A38704" s="1" t="n">
        <v>38703</v>
      </c>
      <c r="B38704">
        <f>TEXT(38703, "[$-0E0000]yyyy-mm-dd")</f>
        <v/>
      </c>
      <c r="C38704" t="inlineStr">
        <is>
          <t>2005-11-18</t>
        </is>
      </c>
    </row>
    <row r="38705">
      <c r="A38705" s="1" t="n">
        <v>38704</v>
      </c>
      <c r="B38705">
        <f>TEXT(38704, "[$-0E0000]yyyy-mm-dd")</f>
        <v/>
      </c>
      <c r="C38705" t="inlineStr">
        <is>
          <t>2005-11-19</t>
        </is>
      </c>
    </row>
    <row r="38706">
      <c r="A38706" s="1" t="n">
        <v>38705</v>
      </c>
      <c r="B38706">
        <f>TEXT(38705, "[$-0E0000]yyyy-mm-dd")</f>
        <v/>
      </c>
      <c r="C38706" t="inlineStr">
        <is>
          <t>2005-11-20</t>
        </is>
      </c>
    </row>
    <row r="38707">
      <c r="A38707" s="1" t="n">
        <v>38706</v>
      </c>
      <c r="B38707">
        <f>TEXT(38706, "[$-0E0000]yyyy-mm-dd")</f>
        <v/>
      </c>
      <c r="C38707" t="inlineStr">
        <is>
          <t>2005-11-21</t>
        </is>
      </c>
    </row>
    <row r="38708">
      <c r="A38708" s="1" t="n">
        <v>38707</v>
      </c>
      <c r="B38708">
        <f>TEXT(38707, "[$-0E0000]yyyy-mm-dd")</f>
        <v/>
      </c>
      <c r="C38708" t="inlineStr">
        <is>
          <t>2005-11-22</t>
        </is>
      </c>
    </row>
    <row r="38709">
      <c r="A38709" s="1" t="n">
        <v>38708</v>
      </c>
      <c r="B38709">
        <f>TEXT(38708, "[$-0E0000]yyyy-mm-dd")</f>
        <v/>
      </c>
      <c r="C38709" t="inlineStr">
        <is>
          <t>2005-11-23</t>
        </is>
      </c>
    </row>
    <row r="38710">
      <c r="A38710" s="1" t="n">
        <v>38709</v>
      </c>
      <c r="B38710">
        <f>TEXT(38709, "[$-0E0000]yyyy-mm-dd")</f>
        <v/>
      </c>
      <c r="C38710" t="inlineStr">
        <is>
          <t>2005-11-24</t>
        </is>
      </c>
    </row>
    <row r="38711">
      <c r="A38711" s="1" t="n">
        <v>38710</v>
      </c>
      <c r="B38711">
        <f>TEXT(38710, "[$-0E0000]yyyy-mm-dd")</f>
        <v/>
      </c>
      <c r="C38711" t="inlineStr">
        <is>
          <t>2005-11-25</t>
        </is>
      </c>
    </row>
    <row r="38712">
      <c r="A38712" s="1" t="n">
        <v>38711</v>
      </c>
      <c r="B38712">
        <f>TEXT(38711, "[$-0E0000]yyyy-mm-dd")</f>
        <v/>
      </c>
      <c r="C38712" t="inlineStr">
        <is>
          <t>2005-11-26</t>
        </is>
      </c>
    </row>
    <row r="38713">
      <c r="A38713" s="1" t="n">
        <v>38712</v>
      </c>
      <c r="B38713">
        <f>TEXT(38712, "[$-0E0000]yyyy-mm-dd")</f>
        <v/>
      </c>
      <c r="C38713" t="inlineStr">
        <is>
          <t>2005-11-27</t>
        </is>
      </c>
    </row>
    <row r="38714">
      <c r="A38714" s="1" t="n">
        <v>38713</v>
      </c>
      <c r="B38714">
        <f>TEXT(38713, "[$-0E0000]yyyy-mm-dd")</f>
        <v/>
      </c>
      <c r="C38714" t="inlineStr">
        <is>
          <t>2005-11-28</t>
        </is>
      </c>
    </row>
    <row r="38715">
      <c r="A38715" s="1" t="n">
        <v>38714</v>
      </c>
      <c r="B38715">
        <f>TEXT(38714, "[$-0E0000]yyyy-mm-dd")</f>
        <v/>
      </c>
      <c r="C38715" t="inlineStr">
        <is>
          <t>2005-11-29</t>
        </is>
      </c>
    </row>
    <row r="38716">
      <c r="A38716" s="1" t="n">
        <v>38715</v>
      </c>
      <c r="B38716">
        <f>TEXT(38715, "[$-0E0000]yyyy-mm-dd")</f>
        <v/>
      </c>
      <c r="C38716" t="inlineStr">
        <is>
          <t>2005-11-30</t>
        </is>
      </c>
    </row>
    <row r="38717">
      <c r="A38717" s="1" t="n">
        <v>38716</v>
      </c>
      <c r="B38717">
        <f>TEXT(38716, "[$-0E0000]yyyy-mm-dd")</f>
        <v/>
      </c>
      <c r="C38717" t="inlineStr">
        <is>
          <t>2005-12-01</t>
        </is>
      </c>
    </row>
    <row r="38718">
      <c r="A38718" s="1" t="n">
        <v>38717</v>
      </c>
      <c r="B38718">
        <f>TEXT(38717, "[$-0E0000]yyyy-mm-dd")</f>
        <v/>
      </c>
      <c r="C38718" t="inlineStr">
        <is>
          <t>2005-12-02</t>
        </is>
      </c>
    </row>
    <row r="38719">
      <c r="A38719" s="1" t="n">
        <v>38718</v>
      </c>
      <c r="B38719">
        <f>TEXT(38718, "[$-0E0000]yyyy-mm-dd")</f>
        <v/>
      </c>
      <c r="C38719" t="inlineStr">
        <is>
          <t>2005-12-03</t>
        </is>
      </c>
    </row>
    <row r="38720">
      <c r="A38720" s="1" t="n">
        <v>38719</v>
      </c>
      <c r="B38720">
        <f>TEXT(38719, "[$-0E0000]yyyy-mm-dd")</f>
        <v/>
      </c>
      <c r="C38720" t="inlineStr">
        <is>
          <t>2005-12-04</t>
        </is>
      </c>
    </row>
    <row r="38721">
      <c r="A38721" s="1" t="n">
        <v>38720</v>
      </c>
      <c r="B38721">
        <f>TEXT(38720, "[$-0E0000]yyyy-mm-dd")</f>
        <v/>
      </c>
      <c r="C38721" t="inlineStr">
        <is>
          <t>2005-12-05</t>
        </is>
      </c>
    </row>
    <row r="38722">
      <c r="A38722" s="1" t="n">
        <v>38721</v>
      </c>
      <c r="B38722">
        <f>TEXT(38721, "[$-0E0000]yyyy-mm-dd")</f>
        <v/>
      </c>
      <c r="C38722" t="inlineStr">
        <is>
          <t>2005-12-06</t>
        </is>
      </c>
    </row>
    <row r="38723">
      <c r="A38723" s="1" t="n">
        <v>38722</v>
      </c>
      <c r="B38723">
        <f>TEXT(38722, "[$-0E0000]yyyy-mm-dd")</f>
        <v/>
      </c>
      <c r="C38723" t="inlineStr">
        <is>
          <t>2005-12-07</t>
        </is>
      </c>
    </row>
    <row r="38724">
      <c r="A38724" s="1" t="n">
        <v>38723</v>
      </c>
      <c r="B38724">
        <f>TEXT(38723, "[$-0E0000]yyyy-mm-dd")</f>
        <v/>
      </c>
      <c r="C38724" t="inlineStr">
        <is>
          <t>2005-12-08</t>
        </is>
      </c>
    </row>
    <row r="38725">
      <c r="A38725" s="1" t="n">
        <v>38724</v>
      </c>
      <c r="B38725">
        <f>TEXT(38724, "[$-0E0000]yyyy-mm-dd")</f>
        <v/>
      </c>
      <c r="C38725" t="inlineStr">
        <is>
          <t>2005-12-09</t>
        </is>
      </c>
    </row>
    <row r="38726">
      <c r="A38726" s="1" t="n">
        <v>38725</v>
      </c>
      <c r="B38726">
        <f>TEXT(38725, "[$-0E0000]yyyy-mm-dd")</f>
        <v/>
      </c>
      <c r="C38726" t="inlineStr">
        <is>
          <t>2005-12-10</t>
        </is>
      </c>
    </row>
    <row r="38727">
      <c r="A38727" s="1" t="n">
        <v>38726</v>
      </c>
      <c r="B38727">
        <f>TEXT(38726, "[$-0E0000]yyyy-mm-dd")</f>
        <v/>
      </c>
      <c r="C38727" t="inlineStr">
        <is>
          <t>2005-12-11</t>
        </is>
      </c>
    </row>
    <row r="38728">
      <c r="A38728" s="1" t="n">
        <v>38727</v>
      </c>
      <c r="B38728">
        <f>TEXT(38727, "[$-0E0000]yyyy-mm-dd")</f>
        <v/>
      </c>
      <c r="C38728" t="inlineStr">
        <is>
          <t>2005-12-12</t>
        </is>
      </c>
    </row>
    <row r="38729">
      <c r="A38729" s="1" t="n">
        <v>38728</v>
      </c>
      <c r="B38729">
        <f>TEXT(38728, "[$-0E0000]yyyy-mm-dd")</f>
        <v/>
      </c>
      <c r="C38729" t="inlineStr">
        <is>
          <t>2005-12-13</t>
        </is>
      </c>
    </row>
    <row r="38730">
      <c r="A38730" s="1" t="n">
        <v>38729</v>
      </c>
      <c r="B38730">
        <f>TEXT(38729, "[$-0E0000]yyyy-mm-dd")</f>
        <v/>
      </c>
      <c r="C38730" t="inlineStr">
        <is>
          <t>2005-12-14</t>
        </is>
      </c>
    </row>
    <row r="38731">
      <c r="A38731" s="1" t="n">
        <v>38730</v>
      </c>
      <c r="B38731">
        <f>TEXT(38730, "[$-0E0000]yyyy-mm-dd")</f>
        <v/>
      </c>
      <c r="C38731" t="inlineStr">
        <is>
          <t>2005-12-15</t>
        </is>
      </c>
    </row>
    <row r="38732">
      <c r="A38732" s="1" t="n">
        <v>38731</v>
      </c>
      <c r="B38732">
        <f>TEXT(38731, "[$-0E0000]yyyy-mm-dd")</f>
        <v/>
      </c>
      <c r="C38732" t="inlineStr">
        <is>
          <t>2005-12-16</t>
        </is>
      </c>
    </row>
    <row r="38733">
      <c r="A38733" s="1" t="n">
        <v>38732</v>
      </c>
      <c r="B38733">
        <f>TEXT(38732, "[$-0E0000]yyyy-mm-dd")</f>
        <v/>
      </c>
      <c r="C38733" t="inlineStr">
        <is>
          <t>2005-12-17</t>
        </is>
      </c>
    </row>
    <row r="38734">
      <c r="A38734" s="1" t="n">
        <v>38733</v>
      </c>
      <c r="B38734">
        <f>TEXT(38733, "[$-0E0000]yyyy-mm-dd")</f>
        <v/>
      </c>
      <c r="C38734" t="inlineStr">
        <is>
          <t>2005-12-18</t>
        </is>
      </c>
    </row>
    <row r="38735">
      <c r="A38735" s="1" t="n">
        <v>38734</v>
      </c>
      <c r="B38735">
        <f>TEXT(38734, "[$-0E0000]yyyy-mm-dd")</f>
        <v/>
      </c>
      <c r="C38735" t="inlineStr">
        <is>
          <t>2005-12-19</t>
        </is>
      </c>
    </row>
    <row r="38736">
      <c r="A38736" s="1" t="n">
        <v>38735</v>
      </c>
      <c r="B38736">
        <f>TEXT(38735, "[$-0E0000]yyyy-mm-dd")</f>
        <v/>
      </c>
      <c r="C38736" t="inlineStr">
        <is>
          <t>2005-12-20</t>
        </is>
      </c>
    </row>
    <row r="38737">
      <c r="A38737" s="1" t="n">
        <v>38736</v>
      </c>
      <c r="B38737">
        <f>TEXT(38736, "[$-0E0000]yyyy-mm-dd")</f>
        <v/>
      </c>
      <c r="C38737" t="inlineStr">
        <is>
          <t>2005-12-21</t>
        </is>
      </c>
    </row>
    <row r="38738">
      <c r="A38738" s="1" t="n">
        <v>38737</v>
      </c>
      <c r="B38738">
        <f>TEXT(38737, "[$-0E0000]yyyy-mm-dd")</f>
        <v/>
      </c>
      <c r="C38738" t="inlineStr">
        <is>
          <t>2005-12-22</t>
        </is>
      </c>
    </row>
    <row r="38739">
      <c r="A38739" s="1" t="n">
        <v>38738</v>
      </c>
      <c r="B38739">
        <f>TEXT(38738, "[$-0E0000]yyyy-mm-dd")</f>
        <v/>
      </c>
      <c r="C38739" t="inlineStr">
        <is>
          <t>2005-12-23</t>
        </is>
      </c>
    </row>
    <row r="38740">
      <c r="A38740" s="1" t="n">
        <v>38739</v>
      </c>
      <c r="B38740">
        <f>TEXT(38739, "[$-0E0000]yyyy-mm-dd")</f>
        <v/>
      </c>
      <c r="C38740" t="inlineStr">
        <is>
          <t>2005-12-24</t>
        </is>
      </c>
    </row>
    <row r="38741">
      <c r="A38741" s="1" t="n">
        <v>38740</v>
      </c>
      <c r="B38741">
        <f>TEXT(38740, "[$-0E0000]yyyy-mm-dd")</f>
        <v/>
      </c>
      <c r="C38741" t="inlineStr">
        <is>
          <t>2005-12-25</t>
        </is>
      </c>
    </row>
    <row r="38742">
      <c r="A38742" s="1" t="n">
        <v>38741</v>
      </c>
      <c r="B38742">
        <f>TEXT(38741, "[$-0E0000]yyyy-mm-dd")</f>
        <v/>
      </c>
      <c r="C38742" t="inlineStr">
        <is>
          <t>2005-12-26</t>
        </is>
      </c>
    </row>
    <row r="38743">
      <c r="A38743" s="1" t="n">
        <v>38742</v>
      </c>
      <c r="B38743">
        <f>TEXT(38742, "[$-0E0000]yyyy-mm-dd")</f>
        <v/>
      </c>
      <c r="C38743" t="inlineStr">
        <is>
          <t>2005-12-27</t>
        </is>
      </c>
    </row>
    <row r="38744">
      <c r="A38744" s="1" t="n">
        <v>38743</v>
      </c>
      <c r="B38744">
        <f>TEXT(38743, "[$-0E0000]yyyy-mm-dd")</f>
        <v/>
      </c>
      <c r="C38744" t="inlineStr">
        <is>
          <t>2005-12-28</t>
        </is>
      </c>
    </row>
    <row r="38745">
      <c r="A38745" s="1" t="n">
        <v>38744</v>
      </c>
      <c r="B38745">
        <f>TEXT(38744, "[$-0E0000]yyyy-mm-dd")</f>
        <v/>
      </c>
      <c r="C38745" t="inlineStr">
        <is>
          <t>2005-12-29</t>
        </is>
      </c>
    </row>
    <row r="38746">
      <c r="A38746" s="1" t="n">
        <v>38745</v>
      </c>
      <c r="B38746">
        <f>TEXT(38745, "[$-0E0000]yyyy-mm-dd")</f>
        <v/>
      </c>
      <c r="C38746" t="inlineStr">
        <is>
          <t>2006-01-01</t>
        </is>
      </c>
    </row>
    <row r="38747">
      <c r="A38747" s="1" t="n">
        <v>38746</v>
      </c>
      <c r="B38747">
        <f>TEXT(38746, "[$-0E0000]yyyy-mm-dd")</f>
        <v/>
      </c>
      <c r="C38747" t="inlineStr">
        <is>
          <t>2006-01-02</t>
        </is>
      </c>
    </row>
    <row r="38748">
      <c r="A38748" s="1" t="n">
        <v>38747</v>
      </c>
      <c r="B38748">
        <f>TEXT(38747, "[$-0E0000]yyyy-mm-dd")</f>
        <v/>
      </c>
      <c r="C38748" t="inlineStr">
        <is>
          <t>2006-01-03</t>
        </is>
      </c>
    </row>
    <row r="38749">
      <c r="A38749" s="1" t="n">
        <v>38748</v>
      </c>
      <c r="B38749">
        <f>TEXT(38748, "[$-0E0000]yyyy-mm-dd")</f>
        <v/>
      </c>
      <c r="C38749" t="inlineStr">
        <is>
          <t>2006-01-04</t>
        </is>
      </c>
    </row>
    <row r="38750">
      <c r="A38750" s="1" t="n">
        <v>38749</v>
      </c>
      <c r="B38750">
        <f>TEXT(38749, "[$-0E0000]yyyy-mm-dd")</f>
        <v/>
      </c>
      <c r="C38750" t="inlineStr">
        <is>
          <t>2006-01-05</t>
        </is>
      </c>
    </row>
    <row r="38751">
      <c r="A38751" s="1" t="n">
        <v>38750</v>
      </c>
      <c r="B38751">
        <f>TEXT(38750, "[$-0E0000]yyyy-mm-dd")</f>
        <v/>
      </c>
      <c r="C38751" t="inlineStr">
        <is>
          <t>2006-01-06</t>
        </is>
      </c>
    </row>
    <row r="38752">
      <c r="A38752" s="1" t="n">
        <v>38751</v>
      </c>
      <c r="B38752">
        <f>TEXT(38751, "[$-0E0000]yyyy-mm-dd")</f>
        <v/>
      </c>
      <c r="C38752" t="inlineStr">
        <is>
          <t>2006-01-07</t>
        </is>
      </c>
    </row>
    <row r="38753">
      <c r="A38753" s="1" t="n">
        <v>38752</v>
      </c>
      <c r="B38753">
        <f>TEXT(38752, "[$-0E0000]yyyy-mm-dd")</f>
        <v/>
      </c>
      <c r="C38753" t="inlineStr">
        <is>
          <t>2006-01-08</t>
        </is>
      </c>
    </row>
    <row r="38754">
      <c r="A38754" s="1" t="n">
        <v>38753</v>
      </c>
      <c r="B38754">
        <f>TEXT(38753, "[$-0E0000]yyyy-mm-dd")</f>
        <v/>
      </c>
      <c r="C38754" t="inlineStr">
        <is>
          <t>2006-01-09</t>
        </is>
      </c>
    </row>
    <row r="38755">
      <c r="A38755" s="1" t="n">
        <v>38754</v>
      </c>
      <c r="B38755">
        <f>TEXT(38754, "[$-0E0000]yyyy-mm-dd")</f>
        <v/>
      </c>
      <c r="C38755" t="inlineStr">
        <is>
          <t>2006-01-10</t>
        </is>
      </c>
    </row>
    <row r="38756">
      <c r="A38756" s="1" t="n">
        <v>38755</v>
      </c>
      <c r="B38756">
        <f>TEXT(38755, "[$-0E0000]yyyy-mm-dd")</f>
        <v/>
      </c>
      <c r="C38756" t="inlineStr">
        <is>
          <t>2006-01-11</t>
        </is>
      </c>
    </row>
    <row r="38757">
      <c r="A38757" s="1" t="n">
        <v>38756</v>
      </c>
      <c r="B38757">
        <f>TEXT(38756, "[$-0E0000]yyyy-mm-dd")</f>
        <v/>
      </c>
      <c r="C38757" t="inlineStr">
        <is>
          <t>2006-01-12</t>
        </is>
      </c>
    </row>
    <row r="38758">
      <c r="A38758" s="1" t="n">
        <v>38757</v>
      </c>
      <c r="B38758">
        <f>TEXT(38757, "[$-0E0000]yyyy-mm-dd")</f>
        <v/>
      </c>
      <c r="C38758" t="inlineStr">
        <is>
          <t>2006-01-13</t>
        </is>
      </c>
    </row>
    <row r="38759">
      <c r="A38759" s="1" t="n">
        <v>38758</v>
      </c>
      <c r="B38759">
        <f>TEXT(38758, "[$-0E0000]yyyy-mm-dd")</f>
        <v/>
      </c>
      <c r="C38759" t="inlineStr">
        <is>
          <t>2006-01-14</t>
        </is>
      </c>
    </row>
    <row r="38760">
      <c r="A38760" s="1" t="n">
        <v>38759</v>
      </c>
      <c r="B38760">
        <f>TEXT(38759, "[$-0E0000]yyyy-mm-dd")</f>
        <v/>
      </c>
      <c r="C38760" t="inlineStr">
        <is>
          <t>2006-01-15</t>
        </is>
      </c>
    </row>
    <row r="38761">
      <c r="A38761" s="1" t="n">
        <v>38760</v>
      </c>
      <c r="B38761">
        <f>TEXT(38760, "[$-0E0000]yyyy-mm-dd")</f>
        <v/>
      </c>
      <c r="C38761" t="inlineStr">
        <is>
          <t>2006-01-16</t>
        </is>
      </c>
    </row>
    <row r="38762">
      <c r="A38762" s="1" t="n">
        <v>38761</v>
      </c>
      <c r="B38762">
        <f>TEXT(38761, "[$-0E0000]yyyy-mm-dd")</f>
        <v/>
      </c>
      <c r="C38762" t="inlineStr">
        <is>
          <t>2006-01-17</t>
        </is>
      </c>
    </row>
    <row r="38763">
      <c r="A38763" s="1" t="n">
        <v>38762</v>
      </c>
      <c r="B38763">
        <f>TEXT(38762, "[$-0E0000]yyyy-mm-dd")</f>
        <v/>
      </c>
      <c r="C38763" t="inlineStr">
        <is>
          <t>2006-01-18</t>
        </is>
      </c>
    </row>
    <row r="38764">
      <c r="A38764" s="1" t="n">
        <v>38763</v>
      </c>
      <c r="B38764">
        <f>TEXT(38763, "[$-0E0000]yyyy-mm-dd")</f>
        <v/>
      </c>
      <c r="C38764" t="inlineStr">
        <is>
          <t>2006-01-19</t>
        </is>
      </c>
    </row>
    <row r="38765">
      <c r="A38765" s="1" t="n">
        <v>38764</v>
      </c>
      <c r="B38765">
        <f>TEXT(38764, "[$-0E0000]yyyy-mm-dd")</f>
        <v/>
      </c>
      <c r="C38765" t="inlineStr">
        <is>
          <t>2006-01-20</t>
        </is>
      </c>
    </row>
    <row r="38766">
      <c r="A38766" s="1" t="n">
        <v>38765</v>
      </c>
      <c r="B38766">
        <f>TEXT(38765, "[$-0E0000]yyyy-mm-dd")</f>
        <v/>
      </c>
      <c r="C38766" t="inlineStr">
        <is>
          <t>2006-01-21</t>
        </is>
      </c>
    </row>
    <row r="38767">
      <c r="A38767" s="1" t="n">
        <v>38766</v>
      </c>
      <c r="B38767">
        <f>TEXT(38766, "[$-0E0000]yyyy-mm-dd")</f>
        <v/>
      </c>
      <c r="C38767" t="inlineStr">
        <is>
          <t>2006-01-22</t>
        </is>
      </c>
    </row>
    <row r="38768">
      <c r="A38768" s="1" t="n">
        <v>38767</v>
      </c>
      <c r="B38768">
        <f>TEXT(38767, "[$-0E0000]yyyy-mm-dd")</f>
        <v/>
      </c>
      <c r="C38768" t="inlineStr">
        <is>
          <t>2006-01-23</t>
        </is>
      </c>
    </row>
    <row r="38769">
      <c r="A38769" s="1" t="n">
        <v>38768</v>
      </c>
      <c r="B38769">
        <f>TEXT(38768, "[$-0E0000]yyyy-mm-dd")</f>
        <v/>
      </c>
      <c r="C38769" t="inlineStr">
        <is>
          <t>2006-01-24</t>
        </is>
      </c>
    </row>
    <row r="38770">
      <c r="A38770" s="1" t="n">
        <v>38769</v>
      </c>
      <c r="B38770">
        <f>TEXT(38769, "[$-0E0000]yyyy-mm-dd")</f>
        <v/>
      </c>
      <c r="C38770" t="inlineStr">
        <is>
          <t>2006-01-25</t>
        </is>
      </c>
    </row>
    <row r="38771">
      <c r="A38771" s="1" t="n">
        <v>38770</v>
      </c>
      <c r="B38771">
        <f>TEXT(38770, "[$-0E0000]yyyy-mm-dd")</f>
        <v/>
      </c>
      <c r="C38771" t="inlineStr">
        <is>
          <t>2006-01-26</t>
        </is>
      </c>
    </row>
    <row r="38772">
      <c r="A38772" s="1" t="n">
        <v>38771</v>
      </c>
      <c r="B38772">
        <f>TEXT(38771, "[$-0E0000]yyyy-mm-dd")</f>
        <v/>
      </c>
      <c r="C38772" t="inlineStr">
        <is>
          <t>2006-01-27</t>
        </is>
      </c>
    </row>
    <row r="38773">
      <c r="A38773" s="1" t="n">
        <v>38772</v>
      </c>
      <c r="B38773">
        <f>TEXT(38772, "[$-0E0000]yyyy-mm-dd")</f>
        <v/>
      </c>
      <c r="C38773" t="inlineStr">
        <is>
          <t>2006-01-28</t>
        </is>
      </c>
    </row>
    <row r="38774">
      <c r="A38774" s="1" t="n">
        <v>38773</v>
      </c>
      <c r="B38774">
        <f>TEXT(38773, "[$-0E0000]yyyy-mm-dd")</f>
        <v/>
      </c>
      <c r="C38774" t="inlineStr">
        <is>
          <t>2006-01-29</t>
        </is>
      </c>
    </row>
    <row r="38775">
      <c r="A38775" s="1" t="n">
        <v>38774</v>
      </c>
      <c r="B38775">
        <f>TEXT(38774, "[$-0E0000]yyyy-mm-dd")</f>
        <v/>
      </c>
      <c r="C38775" t="inlineStr">
        <is>
          <t>2006-01-30</t>
        </is>
      </c>
    </row>
    <row r="38776">
      <c r="A38776" s="1" t="n">
        <v>38775</v>
      </c>
      <c r="B38776">
        <f>TEXT(38775, "[$-0E0000]yyyy-mm-dd")</f>
        <v/>
      </c>
      <c r="C38776" t="inlineStr">
        <is>
          <t>2006-02-01</t>
        </is>
      </c>
    </row>
    <row r="38777">
      <c r="A38777" s="1" t="n">
        <v>38776</v>
      </c>
      <c r="B38777">
        <f>TEXT(38776, "[$-0E0000]yyyy-mm-dd")</f>
        <v/>
      </c>
      <c r="C38777" t="inlineStr">
        <is>
          <t>2006-02-02</t>
        </is>
      </c>
    </row>
    <row r="38778">
      <c r="A38778" s="1" t="n">
        <v>38777</v>
      </c>
      <c r="B38778">
        <f>TEXT(38777, "[$-0E0000]yyyy-mm-dd")</f>
        <v/>
      </c>
      <c r="C38778" t="inlineStr">
        <is>
          <t>2006-02-03</t>
        </is>
      </c>
    </row>
    <row r="38779">
      <c r="A38779" s="1" t="n">
        <v>38778</v>
      </c>
      <c r="B38779">
        <f>TEXT(38778, "[$-0E0000]yyyy-mm-dd")</f>
        <v/>
      </c>
      <c r="C38779" t="inlineStr">
        <is>
          <t>2006-02-04</t>
        </is>
      </c>
    </row>
    <row r="38780">
      <c r="A38780" s="1" t="n">
        <v>38779</v>
      </c>
      <c r="B38780">
        <f>TEXT(38779, "[$-0E0000]yyyy-mm-dd")</f>
        <v/>
      </c>
      <c r="C38780" t="inlineStr">
        <is>
          <t>2006-02-05</t>
        </is>
      </c>
    </row>
    <row r="38781">
      <c r="A38781" s="1" t="n">
        <v>38780</v>
      </c>
      <c r="B38781">
        <f>TEXT(38780, "[$-0E0000]yyyy-mm-dd")</f>
        <v/>
      </c>
      <c r="C38781" t="inlineStr">
        <is>
          <t>2006-02-06</t>
        </is>
      </c>
    </row>
    <row r="38782">
      <c r="A38782" s="1" t="n">
        <v>38781</v>
      </c>
      <c r="B38782">
        <f>TEXT(38781, "[$-0E0000]yyyy-mm-dd")</f>
        <v/>
      </c>
      <c r="C38782" t="inlineStr">
        <is>
          <t>2006-02-07</t>
        </is>
      </c>
    </row>
    <row r="38783">
      <c r="A38783" s="1" t="n">
        <v>38782</v>
      </c>
      <c r="B38783">
        <f>TEXT(38782, "[$-0E0000]yyyy-mm-dd")</f>
        <v/>
      </c>
      <c r="C38783" t="inlineStr">
        <is>
          <t>2006-02-08</t>
        </is>
      </c>
    </row>
    <row r="38784">
      <c r="A38784" s="1" t="n">
        <v>38783</v>
      </c>
      <c r="B38784">
        <f>TEXT(38783, "[$-0E0000]yyyy-mm-dd")</f>
        <v/>
      </c>
      <c r="C38784" t="inlineStr">
        <is>
          <t>2006-02-09</t>
        </is>
      </c>
    </row>
    <row r="38785">
      <c r="A38785" s="1" t="n">
        <v>38784</v>
      </c>
      <c r="B38785">
        <f>TEXT(38784, "[$-0E0000]yyyy-mm-dd")</f>
        <v/>
      </c>
      <c r="C38785" t="inlineStr">
        <is>
          <t>2006-02-10</t>
        </is>
      </c>
    </row>
    <row r="38786">
      <c r="A38786" s="1" t="n">
        <v>38785</v>
      </c>
      <c r="B38786">
        <f>TEXT(38785, "[$-0E0000]yyyy-mm-dd")</f>
        <v/>
      </c>
      <c r="C38786" t="inlineStr">
        <is>
          <t>2006-02-11</t>
        </is>
      </c>
    </row>
    <row r="38787">
      <c r="A38787" s="1" t="n">
        <v>38786</v>
      </c>
      <c r="B38787">
        <f>TEXT(38786, "[$-0E0000]yyyy-mm-dd")</f>
        <v/>
      </c>
      <c r="C38787" t="inlineStr">
        <is>
          <t>2006-02-12</t>
        </is>
      </c>
    </row>
    <row r="38788">
      <c r="A38788" s="1" t="n">
        <v>38787</v>
      </c>
      <c r="B38788">
        <f>TEXT(38787, "[$-0E0000]yyyy-mm-dd")</f>
        <v/>
      </c>
      <c r="C38788" t="inlineStr">
        <is>
          <t>2006-02-13</t>
        </is>
      </c>
    </row>
    <row r="38789">
      <c r="A38789" s="1" t="n">
        <v>38788</v>
      </c>
      <c r="B38789">
        <f>TEXT(38788, "[$-0E0000]yyyy-mm-dd")</f>
        <v/>
      </c>
      <c r="C38789" t="inlineStr">
        <is>
          <t>2006-02-14</t>
        </is>
      </c>
    </row>
    <row r="38790">
      <c r="A38790" s="1" t="n">
        <v>38789</v>
      </c>
      <c r="B38790">
        <f>TEXT(38789, "[$-0E0000]yyyy-mm-dd")</f>
        <v/>
      </c>
      <c r="C38790" t="inlineStr">
        <is>
          <t>2006-02-15</t>
        </is>
      </c>
    </row>
    <row r="38791">
      <c r="A38791" s="1" t="n">
        <v>38790</v>
      </c>
      <c r="B38791">
        <f>TEXT(38790, "[$-0E0000]yyyy-mm-dd")</f>
        <v/>
      </c>
      <c r="C38791" t="inlineStr">
        <is>
          <t>2006-02-16</t>
        </is>
      </c>
    </row>
    <row r="38792">
      <c r="A38792" s="1" t="n">
        <v>38791</v>
      </c>
      <c r="B38792">
        <f>TEXT(38791, "[$-0E0000]yyyy-mm-dd")</f>
        <v/>
      </c>
      <c r="C38792" t="inlineStr">
        <is>
          <t>2006-02-17</t>
        </is>
      </c>
    </row>
    <row r="38793">
      <c r="A38793" s="1" t="n">
        <v>38792</v>
      </c>
      <c r="B38793">
        <f>TEXT(38792, "[$-0E0000]yyyy-mm-dd")</f>
        <v/>
      </c>
      <c r="C38793" t="inlineStr">
        <is>
          <t>2006-02-18</t>
        </is>
      </c>
    </row>
    <row r="38794">
      <c r="A38794" s="1" t="n">
        <v>38793</v>
      </c>
      <c r="B38794">
        <f>TEXT(38793, "[$-0E0000]yyyy-mm-dd")</f>
        <v/>
      </c>
      <c r="C38794" t="inlineStr">
        <is>
          <t>2006-02-19</t>
        </is>
      </c>
    </row>
    <row r="38795">
      <c r="A38795" s="1" t="n">
        <v>38794</v>
      </c>
      <c r="B38795">
        <f>TEXT(38794, "[$-0E0000]yyyy-mm-dd")</f>
        <v/>
      </c>
      <c r="C38795" t="inlineStr">
        <is>
          <t>2006-02-20</t>
        </is>
      </c>
    </row>
    <row r="38796">
      <c r="A38796" s="1" t="n">
        <v>38795</v>
      </c>
      <c r="B38796">
        <f>TEXT(38795, "[$-0E0000]yyyy-mm-dd")</f>
        <v/>
      </c>
      <c r="C38796" t="inlineStr">
        <is>
          <t>2006-02-21</t>
        </is>
      </c>
    </row>
    <row r="38797">
      <c r="A38797" s="1" t="n">
        <v>38796</v>
      </c>
      <c r="B38797">
        <f>TEXT(38796, "[$-0E0000]yyyy-mm-dd")</f>
        <v/>
      </c>
      <c r="C38797" t="inlineStr">
        <is>
          <t>2006-02-22</t>
        </is>
      </c>
    </row>
    <row r="38798">
      <c r="A38798" s="1" t="n">
        <v>38797</v>
      </c>
      <c r="B38798">
        <f>TEXT(38797, "[$-0E0000]yyyy-mm-dd")</f>
        <v/>
      </c>
      <c r="C38798" t="inlineStr">
        <is>
          <t>2006-02-23</t>
        </is>
      </c>
    </row>
    <row r="38799">
      <c r="A38799" s="1" t="n">
        <v>38798</v>
      </c>
      <c r="B38799">
        <f>TEXT(38798, "[$-0E0000]yyyy-mm-dd")</f>
        <v/>
      </c>
      <c r="C38799" t="inlineStr">
        <is>
          <t>2006-02-24</t>
        </is>
      </c>
    </row>
    <row r="38800">
      <c r="A38800" s="1" t="n">
        <v>38799</v>
      </c>
      <c r="B38800">
        <f>TEXT(38799, "[$-0E0000]yyyy-mm-dd")</f>
        <v/>
      </c>
      <c r="C38800" t="inlineStr">
        <is>
          <t>2006-02-25</t>
        </is>
      </c>
    </row>
    <row r="38801">
      <c r="A38801" s="1" t="n">
        <v>38800</v>
      </c>
      <c r="B38801">
        <f>TEXT(38800, "[$-0E0000]yyyy-mm-dd")</f>
        <v/>
      </c>
      <c r="C38801" t="inlineStr">
        <is>
          <t>2006-02-26</t>
        </is>
      </c>
    </row>
    <row r="38802">
      <c r="A38802" s="1" t="n">
        <v>38801</v>
      </c>
      <c r="B38802">
        <f>TEXT(38801, "[$-0E0000]yyyy-mm-dd")</f>
        <v/>
      </c>
      <c r="C38802" t="inlineStr">
        <is>
          <t>2006-02-27</t>
        </is>
      </c>
    </row>
    <row r="38803">
      <c r="A38803" s="1" t="n">
        <v>38802</v>
      </c>
      <c r="B38803">
        <f>TEXT(38802, "[$-0E0000]yyyy-mm-dd")</f>
        <v/>
      </c>
      <c r="C38803" t="inlineStr">
        <is>
          <t>2006-02-28</t>
        </is>
      </c>
    </row>
    <row r="38804">
      <c r="A38804" s="1" t="n">
        <v>38803</v>
      </c>
      <c r="B38804">
        <f>TEXT(38803, "[$-0E0000]yyyy-mm-dd")</f>
        <v/>
      </c>
      <c r="C38804" t="inlineStr">
        <is>
          <t>2006-02-29</t>
        </is>
      </c>
    </row>
    <row r="38805">
      <c r="A38805" s="1" t="n">
        <v>38804</v>
      </c>
      <c r="B38805">
        <f>TEXT(38804, "[$-0E0000]yyyy-mm-dd")</f>
        <v/>
      </c>
      <c r="C38805" t="inlineStr">
        <is>
          <t>2006-03-01</t>
        </is>
      </c>
    </row>
    <row r="38806">
      <c r="A38806" s="1" t="n">
        <v>38805</v>
      </c>
      <c r="B38806">
        <f>TEXT(38805, "[$-0E0000]yyyy-mm-dd")</f>
        <v/>
      </c>
      <c r="C38806" t="inlineStr">
        <is>
          <t>2006-03-02</t>
        </is>
      </c>
    </row>
    <row r="38807">
      <c r="A38807" s="1" t="n">
        <v>38806</v>
      </c>
      <c r="B38807">
        <f>TEXT(38806, "[$-0E0000]yyyy-mm-dd")</f>
        <v/>
      </c>
      <c r="C38807" t="inlineStr">
        <is>
          <t>2006-03-03</t>
        </is>
      </c>
    </row>
    <row r="38808">
      <c r="A38808" s="1" t="n">
        <v>38807</v>
      </c>
      <c r="B38808">
        <f>TEXT(38807, "[$-0E0000]yyyy-mm-dd")</f>
        <v/>
      </c>
      <c r="C38808" t="inlineStr">
        <is>
          <t>2006-03-04</t>
        </is>
      </c>
    </row>
    <row r="38809">
      <c r="A38809" s="1" t="n">
        <v>38808</v>
      </c>
      <c r="B38809">
        <f>TEXT(38808, "[$-0E0000]yyyy-mm-dd")</f>
        <v/>
      </c>
      <c r="C38809" t="inlineStr">
        <is>
          <t>2006-03-05</t>
        </is>
      </c>
    </row>
    <row r="38810">
      <c r="A38810" s="1" t="n">
        <v>38809</v>
      </c>
      <c r="B38810">
        <f>TEXT(38809, "[$-0E0000]yyyy-mm-dd")</f>
        <v/>
      </c>
      <c r="C38810" t="inlineStr">
        <is>
          <t>2006-03-06</t>
        </is>
      </c>
    </row>
    <row r="38811">
      <c r="A38811" s="1" t="n">
        <v>38810</v>
      </c>
      <c r="B38811">
        <f>TEXT(38810, "[$-0E0000]yyyy-mm-dd")</f>
        <v/>
      </c>
      <c r="C38811" t="inlineStr">
        <is>
          <t>2006-03-07</t>
        </is>
      </c>
    </row>
    <row r="38812">
      <c r="A38812" s="1" t="n">
        <v>38811</v>
      </c>
      <c r="B38812">
        <f>TEXT(38811, "[$-0E0000]yyyy-mm-dd")</f>
        <v/>
      </c>
      <c r="C38812" t="inlineStr">
        <is>
          <t>2006-03-08</t>
        </is>
      </c>
    </row>
    <row r="38813">
      <c r="A38813" s="1" t="n">
        <v>38812</v>
      </c>
      <c r="B38813">
        <f>TEXT(38812, "[$-0E0000]yyyy-mm-dd")</f>
        <v/>
      </c>
      <c r="C38813" t="inlineStr">
        <is>
          <t>2006-03-09</t>
        </is>
      </c>
    </row>
    <row r="38814">
      <c r="A38814" s="1" t="n">
        <v>38813</v>
      </c>
      <c r="B38814">
        <f>TEXT(38813, "[$-0E0000]yyyy-mm-dd")</f>
        <v/>
      </c>
      <c r="C38814" t="inlineStr">
        <is>
          <t>2006-03-10</t>
        </is>
      </c>
    </row>
    <row r="38815">
      <c r="A38815" s="1" t="n">
        <v>38814</v>
      </c>
      <c r="B38815">
        <f>TEXT(38814, "[$-0E0000]yyyy-mm-dd")</f>
        <v/>
      </c>
      <c r="C38815" t="inlineStr">
        <is>
          <t>2006-03-11</t>
        </is>
      </c>
    </row>
    <row r="38816">
      <c r="A38816" s="1" t="n">
        <v>38815</v>
      </c>
      <c r="B38816">
        <f>TEXT(38815, "[$-0E0000]yyyy-mm-dd")</f>
        <v/>
      </c>
      <c r="C38816" t="inlineStr">
        <is>
          <t>2006-03-12</t>
        </is>
      </c>
    </row>
    <row r="38817">
      <c r="A38817" s="1" t="n">
        <v>38816</v>
      </c>
      <c r="B38817">
        <f>TEXT(38816, "[$-0E0000]yyyy-mm-dd")</f>
        <v/>
      </c>
      <c r="C38817" t="inlineStr">
        <is>
          <t>2006-03-13</t>
        </is>
      </c>
    </row>
    <row r="38818">
      <c r="A38818" s="1" t="n">
        <v>38817</v>
      </c>
      <c r="B38818">
        <f>TEXT(38817, "[$-0E0000]yyyy-mm-dd")</f>
        <v/>
      </c>
      <c r="C38818" t="inlineStr">
        <is>
          <t>2006-03-14</t>
        </is>
      </c>
    </row>
    <row r="38819">
      <c r="A38819" s="1" t="n">
        <v>38818</v>
      </c>
      <c r="B38819">
        <f>TEXT(38818, "[$-0E0000]yyyy-mm-dd")</f>
        <v/>
      </c>
      <c r="C38819" t="inlineStr">
        <is>
          <t>2006-03-15</t>
        </is>
      </c>
    </row>
    <row r="38820">
      <c r="A38820" s="1" t="n">
        <v>38819</v>
      </c>
      <c r="B38820">
        <f>TEXT(38819, "[$-0E0000]yyyy-mm-dd")</f>
        <v/>
      </c>
      <c r="C38820" t="inlineStr">
        <is>
          <t>2006-03-16</t>
        </is>
      </c>
    </row>
    <row r="38821">
      <c r="A38821" s="1" t="n">
        <v>38820</v>
      </c>
      <c r="B38821">
        <f>TEXT(38820, "[$-0E0000]yyyy-mm-dd")</f>
        <v/>
      </c>
      <c r="C38821" t="inlineStr">
        <is>
          <t>2006-03-17</t>
        </is>
      </c>
    </row>
    <row r="38822">
      <c r="A38822" s="1" t="n">
        <v>38821</v>
      </c>
      <c r="B38822">
        <f>TEXT(38821, "[$-0E0000]yyyy-mm-dd")</f>
        <v/>
      </c>
      <c r="C38822" t="inlineStr">
        <is>
          <t>2006-03-18</t>
        </is>
      </c>
    </row>
    <row r="38823">
      <c r="A38823" s="1" t="n">
        <v>38822</v>
      </c>
      <c r="B38823">
        <f>TEXT(38822, "[$-0E0000]yyyy-mm-dd")</f>
        <v/>
      </c>
      <c r="C38823" t="inlineStr">
        <is>
          <t>2006-03-19</t>
        </is>
      </c>
    </row>
    <row r="38824">
      <c r="A38824" s="1" t="n">
        <v>38823</v>
      </c>
      <c r="B38824">
        <f>TEXT(38823, "[$-0E0000]yyyy-mm-dd")</f>
        <v/>
      </c>
      <c r="C38824" t="inlineStr">
        <is>
          <t>2006-03-20</t>
        </is>
      </c>
    </row>
    <row r="38825">
      <c r="A38825" s="1" t="n">
        <v>38824</v>
      </c>
      <c r="B38825">
        <f>TEXT(38824, "[$-0E0000]yyyy-mm-dd")</f>
        <v/>
      </c>
      <c r="C38825" t="inlineStr">
        <is>
          <t>2006-03-21</t>
        </is>
      </c>
    </row>
    <row r="38826">
      <c r="A38826" s="1" t="n">
        <v>38825</v>
      </c>
      <c r="B38826">
        <f>TEXT(38825, "[$-0E0000]yyyy-mm-dd")</f>
        <v/>
      </c>
      <c r="C38826" t="inlineStr">
        <is>
          <t>2006-03-22</t>
        </is>
      </c>
    </row>
    <row r="38827">
      <c r="A38827" s="1" t="n">
        <v>38826</v>
      </c>
      <c r="B38827">
        <f>TEXT(38826, "[$-0E0000]yyyy-mm-dd")</f>
        <v/>
      </c>
      <c r="C38827" t="inlineStr">
        <is>
          <t>2006-03-23</t>
        </is>
      </c>
    </row>
    <row r="38828">
      <c r="A38828" s="1" t="n">
        <v>38827</v>
      </c>
      <c r="B38828">
        <f>TEXT(38827, "[$-0E0000]yyyy-mm-dd")</f>
        <v/>
      </c>
      <c r="C38828" t="inlineStr">
        <is>
          <t>2006-03-24</t>
        </is>
      </c>
    </row>
    <row r="38829">
      <c r="A38829" s="1" t="n">
        <v>38828</v>
      </c>
      <c r="B38829">
        <f>TEXT(38828, "[$-0E0000]yyyy-mm-dd")</f>
        <v/>
      </c>
      <c r="C38829" t="inlineStr">
        <is>
          <t>2006-03-25</t>
        </is>
      </c>
    </row>
    <row r="38830">
      <c r="A38830" s="1" t="n">
        <v>38829</v>
      </c>
      <c r="B38830">
        <f>TEXT(38829, "[$-0E0000]yyyy-mm-dd")</f>
        <v/>
      </c>
      <c r="C38830" t="inlineStr">
        <is>
          <t>2006-03-26</t>
        </is>
      </c>
    </row>
    <row r="38831">
      <c r="A38831" s="1" t="n">
        <v>38830</v>
      </c>
      <c r="B38831">
        <f>TEXT(38830, "[$-0E0000]yyyy-mm-dd")</f>
        <v/>
      </c>
      <c r="C38831" t="inlineStr">
        <is>
          <t>2006-03-27</t>
        </is>
      </c>
    </row>
    <row r="38832">
      <c r="A38832" s="1" t="n">
        <v>38831</v>
      </c>
      <c r="B38832">
        <f>TEXT(38831, "[$-0E0000]yyyy-mm-dd")</f>
        <v/>
      </c>
      <c r="C38832" t="inlineStr">
        <is>
          <t>2006-03-28</t>
        </is>
      </c>
    </row>
    <row r="38833">
      <c r="A38833" s="1" t="n">
        <v>38832</v>
      </c>
      <c r="B38833">
        <f>TEXT(38832, "[$-0E0000]yyyy-mm-dd")</f>
        <v/>
      </c>
      <c r="C38833" t="inlineStr">
        <is>
          <t>2006-03-29</t>
        </is>
      </c>
    </row>
    <row r="38834">
      <c r="A38834" s="1" t="n">
        <v>38833</v>
      </c>
      <c r="B38834">
        <f>TEXT(38833, "[$-0E0000]yyyy-mm-dd")</f>
        <v/>
      </c>
      <c r="C38834" t="inlineStr">
        <is>
          <t>2006-03-30</t>
        </is>
      </c>
    </row>
    <row r="38835">
      <c r="A38835" s="1" t="n">
        <v>38834</v>
      </c>
      <c r="B38835">
        <f>TEXT(38834, "[$-0E0000]yyyy-mm-dd")</f>
        <v/>
      </c>
      <c r="C38835" t="inlineStr">
        <is>
          <t>2006-04-01</t>
        </is>
      </c>
    </row>
    <row r="38836">
      <c r="A38836" s="1" t="n">
        <v>38835</v>
      </c>
      <c r="B38836">
        <f>TEXT(38835, "[$-0E0000]yyyy-mm-dd")</f>
        <v/>
      </c>
      <c r="C38836" t="inlineStr">
        <is>
          <t>2006-04-02</t>
        </is>
      </c>
    </row>
    <row r="38837">
      <c r="A38837" s="1" t="n">
        <v>38836</v>
      </c>
      <c r="B38837">
        <f>TEXT(38836, "[$-0E0000]yyyy-mm-dd")</f>
        <v/>
      </c>
      <c r="C38837" t="inlineStr">
        <is>
          <t>2006-04-03</t>
        </is>
      </c>
    </row>
    <row r="38838">
      <c r="A38838" s="1" t="n">
        <v>38837</v>
      </c>
      <c r="B38838">
        <f>TEXT(38837, "[$-0E0000]yyyy-mm-dd")</f>
        <v/>
      </c>
      <c r="C38838" t="inlineStr">
        <is>
          <t>2006-04-04</t>
        </is>
      </c>
    </row>
    <row r="38839">
      <c r="A38839" s="1" t="n">
        <v>38838</v>
      </c>
      <c r="B38839">
        <f>TEXT(38838, "[$-0E0000]yyyy-mm-dd")</f>
        <v/>
      </c>
      <c r="C38839" t="inlineStr">
        <is>
          <t>2006-04-05</t>
        </is>
      </c>
    </row>
    <row r="38840">
      <c r="A38840" s="1" t="n">
        <v>38839</v>
      </c>
      <c r="B38840">
        <f>TEXT(38839, "[$-0E0000]yyyy-mm-dd")</f>
        <v/>
      </c>
      <c r="C38840" t="inlineStr">
        <is>
          <t>2006-04-06</t>
        </is>
      </c>
    </row>
    <row r="38841">
      <c r="A38841" s="1" t="n">
        <v>38840</v>
      </c>
      <c r="B38841">
        <f>TEXT(38840, "[$-0E0000]yyyy-mm-dd")</f>
        <v/>
      </c>
      <c r="C38841" t="inlineStr">
        <is>
          <t>2006-04-07</t>
        </is>
      </c>
    </row>
    <row r="38842">
      <c r="A38842" s="1" t="n">
        <v>38841</v>
      </c>
      <c r="B38842">
        <f>TEXT(38841, "[$-0E0000]yyyy-mm-dd")</f>
        <v/>
      </c>
      <c r="C38842" t="inlineStr">
        <is>
          <t>2006-04-08</t>
        </is>
      </c>
    </row>
    <row r="38843">
      <c r="A38843" s="1" t="n">
        <v>38842</v>
      </c>
      <c r="B38843">
        <f>TEXT(38842, "[$-0E0000]yyyy-mm-dd")</f>
        <v/>
      </c>
      <c r="C38843" t="inlineStr">
        <is>
          <t>2006-04-09</t>
        </is>
      </c>
    </row>
    <row r="38844">
      <c r="A38844" s="1" t="n">
        <v>38843</v>
      </c>
      <c r="B38844">
        <f>TEXT(38843, "[$-0E0000]yyyy-mm-dd")</f>
        <v/>
      </c>
      <c r="C38844" t="inlineStr">
        <is>
          <t>2006-04-10</t>
        </is>
      </c>
    </row>
    <row r="38845">
      <c r="A38845" s="1" t="n">
        <v>38844</v>
      </c>
      <c r="B38845">
        <f>TEXT(38844, "[$-0E0000]yyyy-mm-dd")</f>
        <v/>
      </c>
      <c r="C38845" t="inlineStr">
        <is>
          <t>2006-04-11</t>
        </is>
      </c>
    </row>
    <row r="38846">
      <c r="A38846" s="1" t="n">
        <v>38845</v>
      </c>
      <c r="B38846">
        <f>TEXT(38845, "[$-0E0000]yyyy-mm-dd")</f>
        <v/>
      </c>
      <c r="C38846" t="inlineStr">
        <is>
          <t>2006-04-12</t>
        </is>
      </c>
    </row>
    <row r="38847">
      <c r="A38847" s="1" t="n">
        <v>38846</v>
      </c>
      <c r="B38847">
        <f>TEXT(38846, "[$-0E0000]yyyy-mm-dd")</f>
        <v/>
      </c>
      <c r="C38847" t="inlineStr">
        <is>
          <t>2006-04-13</t>
        </is>
      </c>
    </row>
    <row r="38848">
      <c r="A38848" s="1" t="n">
        <v>38847</v>
      </c>
      <c r="B38848">
        <f>TEXT(38847, "[$-0E0000]yyyy-mm-dd")</f>
        <v/>
      </c>
      <c r="C38848" t="inlineStr">
        <is>
          <t>2006-04-14</t>
        </is>
      </c>
    </row>
    <row r="38849">
      <c r="A38849" s="1" t="n">
        <v>38848</v>
      </c>
      <c r="B38849">
        <f>TEXT(38848, "[$-0E0000]yyyy-mm-dd")</f>
        <v/>
      </c>
      <c r="C38849" t="inlineStr">
        <is>
          <t>2006-04-15</t>
        </is>
      </c>
    </row>
    <row r="38850">
      <c r="A38850" s="1" t="n">
        <v>38849</v>
      </c>
      <c r="B38850">
        <f>TEXT(38849, "[$-0E0000]yyyy-mm-dd")</f>
        <v/>
      </c>
      <c r="C38850" t="inlineStr">
        <is>
          <t>2006-04-16</t>
        </is>
      </c>
    </row>
    <row r="38851">
      <c r="A38851" s="1" t="n">
        <v>38850</v>
      </c>
      <c r="B38851">
        <f>TEXT(38850, "[$-0E0000]yyyy-mm-dd")</f>
        <v/>
      </c>
      <c r="C38851" t="inlineStr">
        <is>
          <t>2006-04-17</t>
        </is>
      </c>
    </row>
    <row r="38852">
      <c r="A38852" s="1" t="n">
        <v>38851</v>
      </c>
      <c r="B38852">
        <f>TEXT(38851, "[$-0E0000]yyyy-mm-dd")</f>
        <v/>
      </c>
      <c r="C38852" t="inlineStr">
        <is>
          <t>2006-04-18</t>
        </is>
      </c>
    </row>
    <row r="38853">
      <c r="A38853" s="1" t="n">
        <v>38852</v>
      </c>
      <c r="B38853">
        <f>TEXT(38852, "[$-0E0000]yyyy-mm-dd")</f>
        <v/>
      </c>
      <c r="C38853" t="inlineStr">
        <is>
          <t>2006-04-19</t>
        </is>
      </c>
    </row>
    <row r="38854">
      <c r="A38854" s="1" t="n">
        <v>38853</v>
      </c>
      <c r="B38854">
        <f>TEXT(38853, "[$-0E0000]yyyy-mm-dd")</f>
        <v/>
      </c>
      <c r="C38854" t="inlineStr">
        <is>
          <t>2006-04-20</t>
        </is>
      </c>
    </row>
    <row r="38855">
      <c r="A38855" s="1" t="n">
        <v>38854</v>
      </c>
      <c r="B38855">
        <f>TEXT(38854, "[$-0E0000]yyyy-mm-dd")</f>
        <v/>
      </c>
      <c r="C38855" t="inlineStr">
        <is>
          <t>2006-04-21</t>
        </is>
      </c>
    </row>
    <row r="38856">
      <c r="A38856" s="1" t="n">
        <v>38855</v>
      </c>
      <c r="B38856">
        <f>TEXT(38855, "[$-0E0000]yyyy-mm-dd")</f>
        <v/>
      </c>
      <c r="C38856" t="inlineStr">
        <is>
          <t>2006-04-22</t>
        </is>
      </c>
    </row>
    <row r="38857">
      <c r="A38857" s="1" t="n">
        <v>38856</v>
      </c>
      <c r="B38857">
        <f>TEXT(38856, "[$-0E0000]yyyy-mm-dd")</f>
        <v/>
      </c>
      <c r="C38857" t="inlineStr">
        <is>
          <t>2006-04-23</t>
        </is>
      </c>
    </row>
    <row r="38858">
      <c r="A38858" s="1" t="n">
        <v>38857</v>
      </c>
      <c r="B38858">
        <f>TEXT(38857, "[$-0E0000]yyyy-mm-dd")</f>
        <v/>
      </c>
      <c r="C38858" t="inlineStr">
        <is>
          <t>2006-04-24</t>
        </is>
      </c>
    </row>
    <row r="38859">
      <c r="A38859" s="1" t="n">
        <v>38858</v>
      </c>
      <c r="B38859">
        <f>TEXT(38858, "[$-0E0000]yyyy-mm-dd")</f>
        <v/>
      </c>
      <c r="C38859" t="inlineStr">
        <is>
          <t>2006-04-25</t>
        </is>
      </c>
    </row>
    <row r="38860">
      <c r="A38860" s="1" t="n">
        <v>38859</v>
      </c>
      <c r="B38860">
        <f>TEXT(38859, "[$-0E0000]yyyy-mm-dd")</f>
        <v/>
      </c>
      <c r="C38860" t="inlineStr">
        <is>
          <t>2006-04-26</t>
        </is>
      </c>
    </row>
    <row r="38861">
      <c r="A38861" s="1" t="n">
        <v>38860</v>
      </c>
      <c r="B38861">
        <f>TEXT(38860, "[$-0E0000]yyyy-mm-dd")</f>
        <v/>
      </c>
      <c r="C38861" t="inlineStr">
        <is>
          <t>2006-04-27</t>
        </is>
      </c>
    </row>
    <row r="38862">
      <c r="A38862" s="1" t="n">
        <v>38861</v>
      </c>
      <c r="B38862">
        <f>TEXT(38861, "[$-0E0000]yyyy-mm-dd")</f>
        <v/>
      </c>
      <c r="C38862" t="inlineStr">
        <is>
          <t>2006-04-28</t>
        </is>
      </c>
    </row>
    <row r="38863">
      <c r="A38863" s="1" t="n">
        <v>38862</v>
      </c>
      <c r="B38863">
        <f>TEXT(38862, "[$-0E0000]yyyy-mm-dd")</f>
        <v/>
      </c>
      <c r="C38863" t="inlineStr">
        <is>
          <t>2006-04-29</t>
        </is>
      </c>
    </row>
    <row r="38864">
      <c r="A38864" s="1" t="n">
        <v>38863</v>
      </c>
      <c r="B38864">
        <f>TEXT(38863, "[$-0E0000]yyyy-mm-dd")</f>
        <v/>
      </c>
      <c r="C38864" t="inlineStr">
        <is>
          <t>2006-05-01</t>
        </is>
      </c>
    </row>
    <row r="38865">
      <c r="A38865" s="1" t="n">
        <v>38864</v>
      </c>
      <c r="B38865">
        <f>TEXT(38864, "[$-0E0000]yyyy-mm-dd")</f>
        <v/>
      </c>
      <c r="C38865" t="inlineStr">
        <is>
          <t>2006-05-02</t>
        </is>
      </c>
    </row>
    <row r="38866">
      <c r="A38866" s="1" t="n">
        <v>38865</v>
      </c>
      <c r="B38866">
        <f>TEXT(38865, "[$-0E0000]yyyy-mm-dd")</f>
        <v/>
      </c>
      <c r="C38866" t="inlineStr">
        <is>
          <t>2006-05-03</t>
        </is>
      </c>
    </row>
    <row r="38867">
      <c r="A38867" s="1" t="n">
        <v>38866</v>
      </c>
      <c r="B38867">
        <f>TEXT(38866, "[$-0E0000]yyyy-mm-dd")</f>
        <v/>
      </c>
      <c r="C38867" t="inlineStr">
        <is>
          <t>2006-05-04</t>
        </is>
      </c>
    </row>
    <row r="38868">
      <c r="A38868" s="1" t="n">
        <v>38867</v>
      </c>
      <c r="B38868">
        <f>TEXT(38867, "[$-0E0000]yyyy-mm-dd")</f>
        <v/>
      </c>
      <c r="C38868" t="inlineStr">
        <is>
          <t>2006-05-05</t>
        </is>
      </c>
    </row>
    <row r="38869">
      <c r="A38869" s="1" t="n">
        <v>38868</v>
      </c>
      <c r="B38869">
        <f>TEXT(38868, "[$-0E0000]yyyy-mm-dd")</f>
        <v/>
      </c>
      <c r="C38869" t="inlineStr">
        <is>
          <t>2006-05-06</t>
        </is>
      </c>
    </row>
    <row r="38870">
      <c r="A38870" s="1" t="n">
        <v>38869</v>
      </c>
      <c r="B38870">
        <f>TEXT(38869, "[$-0E0000]yyyy-mm-dd")</f>
        <v/>
      </c>
      <c r="C38870" t="inlineStr">
        <is>
          <t>2006-05-07</t>
        </is>
      </c>
    </row>
    <row r="38871">
      <c r="A38871" s="1" t="n">
        <v>38870</v>
      </c>
      <c r="B38871">
        <f>TEXT(38870, "[$-0E0000]yyyy-mm-dd")</f>
        <v/>
      </c>
      <c r="C38871" t="inlineStr">
        <is>
          <t>2006-05-08</t>
        </is>
      </c>
    </row>
    <row r="38872">
      <c r="A38872" s="1" t="n">
        <v>38871</v>
      </c>
      <c r="B38872">
        <f>TEXT(38871, "[$-0E0000]yyyy-mm-dd")</f>
        <v/>
      </c>
      <c r="C38872" t="inlineStr">
        <is>
          <t>2006-05-09</t>
        </is>
      </c>
    </row>
    <row r="38873">
      <c r="A38873" s="1" t="n">
        <v>38872</v>
      </c>
      <c r="B38873">
        <f>TEXT(38872, "[$-0E0000]yyyy-mm-dd")</f>
        <v/>
      </c>
      <c r="C38873" t="inlineStr">
        <is>
          <t>2006-05-10</t>
        </is>
      </c>
    </row>
    <row r="38874">
      <c r="A38874" s="1" t="n">
        <v>38873</v>
      </c>
      <c r="B38874">
        <f>TEXT(38873, "[$-0E0000]yyyy-mm-dd")</f>
        <v/>
      </c>
      <c r="C38874" t="inlineStr">
        <is>
          <t>2006-05-11</t>
        </is>
      </c>
    </row>
    <row r="38875">
      <c r="A38875" s="1" t="n">
        <v>38874</v>
      </c>
      <c r="B38875">
        <f>TEXT(38874, "[$-0E0000]yyyy-mm-dd")</f>
        <v/>
      </c>
      <c r="C38875" t="inlineStr">
        <is>
          <t>2006-05-12</t>
        </is>
      </c>
    </row>
    <row r="38876">
      <c r="A38876" s="1" t="n">
        <v>38875</v>
      </c>
      <c r="B38876">
        <f>TEXT(38875, "[$-0E0000]yyyy-mm-dd")</f>
        <v/>
      </c>
      <c r="C38876" t="inlineStr">
        <is>
          <t>2006-05-13</t>
        </is>
      </c>
    </row>
    <row r="38877">
      <c r="A38877" s="1" t="n">
        <v>38876</v>
      </c>
      <c r="B38877">
        <f>TEXT(38876, "[$-0E0000]yyyy-mm-dd")</f>
        <v/>
      </c>
      <c r="C38877" t="inlineStr">
        <is>
          <t>2006-05-14</t>
        </is>
      </c>
    </row>
    <row r="38878">
      <c r="A38878" s="1" t="n">
        <v>38877</v>
      </c>
      <c r="B38878">
        <f>TEXT(38877, "[$-0E0000]yyyy-mm-dd")</f>
        <v/>
      </c>
      <c r="C38878" t="inlineStr">
        <is>
          <t>2006-05-15</t>
        </is>
      </c>
    </row>
    <row r="38879">
      <c r="A38879" s="1" t="n">
        <v>38878</v>
      </c>
      <c r="B38879">
        <f>TEXT(38878, "[$-0E0000]yyyy-mm-dd")</f>
        <v/>
      </c>
      <c r="C38879" t="inlineStr">
        <is>
          <t>2006-05-16</t>
        </is>
      </c>
    </row>
    <row r="38880">
      <c r="A38880" s="1" t="n">
        <v>38879</v>
      </c>
      <c r="B38880">
        <f>TEXT(38879, "[$-0E0000]yyyy-mm-dd")</f>
        <v/>
      </c>
      <c r="C38880" t="inlineStr">
        <is>
          <t>2006-05-17</t>
        </is>
      </c>
    </row>
    <row r="38881">
      <c r="A38881" s="1" t="n">
        <v>38880</v>
      </c>
      <c r="B38881">
        <f>TEXT(38880, "[$-0E0000]yyyy-mm-dd")</f>
        <v/>
      </c>
      <c r="C38881" t="inlineStr">
        <is>
          <t>2006-05-18</t>
        </is>
      </c>
    </row>
    <row r="38882">
      <c r="A38882" s="1" t="n">
        <v>38881</v>
      </c>
      <c r="B38882">
        <f>TEXT(38881, "[$-0E0000]yyyy-mm-dd")</f>
        <v/>
      </c>
      <c r="C38882" t="inlineStr">
        <is>
          <t>2006-05-19</t>
        </is>
      </c>
    </row>
    <row r="38883">
      <c r="A38883" s="1" t="n">
        <v>38882</v>
      </c>
      <c r="B38883">
        <f>TEXT(38882, "[$-0E0000]yyyy-mm-dd")</f>
        <v/>
      </c>
      <c r="C38883" t="inlineStr">
        <is>
          <t>2006-05-20</t>
        </is>
      </c>
    </row>
    <row r="38884">
      <c r="A38884" s="1" t="n">
        <v>38883</v>
      </c>
      <c r="B38884">
        <f>TEXT(38883, "[$-0E0000]yyyy-mm-dd")</f>
        <v/>
      </c>
      <c r="C38884" t="inlineStr">
        <is>
          <t>2006-05-21</t>
        </is>
      </c>
    </row>
    <row r="38885">
      <c r="A38885" s="1" t="n">
        <v>38884</v>
      </c>
      <c r="B38885">
        <f>TEXT(38884, "[$-0E0000]yyyy-mm-dd")</f>
        <v/>
      </c>
      <c r="C38885" t="inlineStr">
        <is>
          <t>2006-05-22</t>
        </is>
      </c>
    </row>
    <row r="38886">
      <c r="A38886" s="1" t="n">
        <v>38885</v>
      </c>
      <c r="B38886">
        <f>TEXT(38885, "[$-0E0000]yyyy-mm-dd")</f>
        <v/>
      </c>
      <c r="C38886" t="inlineStr">
        <is>
          <t>2006-05-23</t>
        </is>
      </c>
    </row>
    <row r="38887">
      <c r="A38887" s="1" t="n">
        <v>38886</v>
      </c>
      <c r="B38887">
        <f>TEXT(38886, "[$-0E0000]yyyy-mm-dd")</f>
        <v/>
      </c>
      <c r="C38887" t="inlineStr">
        <is>
          <t>2006-05-24</t>
        </is>
      </c>
    </row>
    <row r="38888">
      <c r="A38888" s="1" t="n">
        <v>38887</v>
      </c>
      <c r="B38888">
        <f>TEXT(38887, "[$-0E0000]yyyy-mm-dd")</f>
        <v/>
      </c>
      <c r="C38888" t="inlineStr">
        <is>
          <t>2006-05-25</t>
        </is>
      </c>
    </row>
    <row r="38889">
      <c r="A38889" s="1" t="n">
        <v>38888</v>
      </c>
      <c r="B38889">
        <f>TEXT(38888, "[$-0E0000]yyyy-mm-dd")</f>
        <v/>
      </c>
      <c r="C38889" t="inlineStr">
        <is>
          <t>2006-05-26</t>
        </is>
      </c>
    </row>
    <row r="38890">
      <c r="A38890" s="1" t="n">
        <v>38889</v>
      </c>
      <c r="B38890">
        <f>TEXT(38889, "[$-0E0000]yyyy-mm-dd")</f>
        <v/>
      </c>
      <c r="C38890" t="inlineStr">
        <is>
          <t>2006-05-27</t>
        </is>
      </c>
    </row>
    <row r="38891">
      <c r="A38891" s="1" t="n">
        <v>38890</v>
      </c>
      <c r="B38891">
        <f>TEXT(38890, "[$-0E0000]yyyy-mm-dd")</f>
        <v/>
      </c>
      <c r="C38891" t="inlineStr">
        <is>
          <t>2006-05-28</t>
        </is>
      </c>
    </row>
    <row r="38892">
      <c r="A38892" s="1" t="n">
        <v>38891</v>
      </c>
      <c r="B38892">
        <f>TEXT(38891, "[$-0E0000]yyyy-mm-dd")</f>
        <v/>
      </c>
      <c r="C38892" t="inlineStr">
        <is>
          <t>2006-05-29</t>
        </is>
      </c>
    </row>
    <row r="38893">
      <c r="A38893" s="1" t="n">
        <v>38892</v>
      </c>
      <c r="B38893">
        <f>TEXT(38892, "[$-0E0000]yyyy-mm-dd")</f>
        <v/>
      </c>
      <c r="C38893" t="inlineStr">
        <is>
          <t>2006-05-30</t>
        </is>
      </c>
    </row>
    <row r="38894">
      <c r="A38894" s="1" t="n">
        <v>38893</v>
      </c>
      <c r="B38894">
        <f>TEXT(38893, "[$-0E0000]yyyy-mm-dd")</f>
        <v/>
      </c>
      <c r="C38894" t="inlineStr">
        <is>
          <t>2006-06-01</t>
        </is>
      </c>
    </row>
    <row r="38895">
      <c r="A38895" s="1" t="n">
        <v>38894</v>
      </c>
      <c r="B38895">
        <f>TEXT(38894, "[$-0E0000]yyyy-mm-dd")</f>
        <v/>
      </c>
      <c r="C38895" t="inlineStr">
        <is>
          <t>2006-06-02</t>
        </is>
      </c>
    </row>
    <row r="38896">
      <c r="A38896" s="1" t="n">
        <v>38895</v>
      </c>
      <c r="B38896">
        <f>TEXT(38895, "[$-0E0000]yyyy-mm-dd")</f>
        <v/>
      </c>
      <c r="C38896" t="inlineStr">
        <is>
          <t>2006-06-03</t>
        </is>
      </c>
    </row>
    <row r="38897">
      <c r="A38897" s="1" t="n">
        <v>38896</v>
      </c>
      <c r="B38897">
        <f>TEXT(38896, "[$-0E0000]yyyy-mm-dd")</f>
        <v/>
      </c>
      <c r="C38897" t="inlineStr">
        <is>
          <t>2006-06-04</t>
        </is>
      </c>
    </row>
    <row r="38898">
      <c r="A38898" s="1" t="n">
        <v>38897</v>
      </c>
      <c r="B38898">
        <f>TEXT(38897, "[$-0E0000]yyyy-mm-dd")</f>
        <v/>
      </c>
      <c r="C38898" t="inlineStr">
        <is>
          <t>2006-06-05</t>
        </is>
      </c>
    </row>
    <row r="38899">
      <c r="A38899" s="1" t="n">
        <v>38898</v>
      </c>
      <c r="B38899">
        <f>TEXT(38898, "[$-0E0000]yyyy-mm-dd")</f>
        <v/>
      </c>
      <c r="C38899" t="inlineStr">
        <is>
          <t>2006-06-06</t>
        </is>
      </c>
    </row>
    <row r="38900">
      <c r="A38900" s="1" t="n">
        <v>38899</v>
      </c>
      <c r="B38900">
        <f>TEXT(38899, "[$-0E0000]yyyy-mm-dd")</f>
        <v/>
      </c>
      <c r="C38900" t="inlineStr">
        <is>
          <t>2006-06-07</t>
        </is>
      </c>
    </row>
    <row r="38901">
      <c r="A38901" s="1" t="n">
        <v>38900</v>
      </c>
      <c r="B38901">
        <f>TEXT(38900, "[$-0E0000]yyyy-mm-dd")</f>
        <v/>
      </c>
      <c r="C38901" t="inlineStr">
        <is>
          <t>2006-06-08</t>
        </is>
      </c>
    </row>
    <row r="38902">
      <c r="A38902" s="1" t="n">
        <v>38901</v>
      </c>
      <c r="B38902">
        <f>TEXT(38901, "[$-0E0000]yyyy-mm-dd")</f>
        <v/>
      </c>
      <c r="C38902" t="inlineStr">
        <is>
          <t>2006-06-09</t>
        </is>
      </c>
    </row>
    <row r="38903">
      <c r="A38903" s="1" t="n">
        <v>38902</v>
      </c>
      <c r="B38903">
        <f>TEXT(38902, "[$-0E0000]yyyy-mm-dd")</f>
        <v/>
      </c>
      <c r="C38903" t="inlineStr">
        <is>
          <t>2006-06-10</t>
        </is>
      </c>
    </row>
    <row r="38904">
      <c r="A38904" s="1" t="n">
        <v>38903</v>
      </c>
      <c r="B38904">
        <f>TEXT(38903, "[$-0E0000]yyyy-mm-dd")</f>
        <v/>
      </c>
      <c r="C38904" t="inlineStr">
        <is>
          <t>2006-06-11</t>
        </is>
      </c>
    </row>
    <row r="38905">
      <c r="A38905" s="1" t="n">
        <v>38904</v>
      </c>
      <c r="B38905">
        <f>TEXT(38904, "[$-0E0000]yyyy-mm-dd")</f>
        <v/>
      </c>
      <c r="C38905" t="inlineStr">
        <is>
          <t>2006-06-12</t>
        </is>
      </c>
    </row>
    <row r="38906">
      <c r="A38906" s="1" t="n">
        <v>38905</v>
      </c>
      <c r="B38906">
        <f>TEXT(38905, "[$-0E0000]yyyy-mm-dd")</f>
        <v/>
      </c>
      <c r="C38906" t="inlineStr">
        <is>
          <t>2006-06-13</t>
        </is>
      </c>
    </row>
    <row r="38907">
      <c r="A38907" s="1" t="n">
        <v>38906</v>
      </c>
      <c r="B38907">
        <f>TEXT(38906, "[$-0E0000]yyyy-mm-dd")</f>
        <v/>
      </c>
      <c r="C38907" t="inlineStr">
        <is>
          <t>2006-06-14</t>
        </is>
      </c>
    </row>
    <row r="38908">
      <c r="A38908" s="1" t="n">
        <v>38907</v>
      </c>
      <c r="B38908">
        <f>TEXT(38907, "[$-0E0000]yyyy-mm-dd")</f>
        <v/>
      </c>
      <c r="C38908" t="inlineStr">
        <is>
          <t>2006-06-15</t>
        </is>
      </c>
    </row>
    <row r="38909">
      <c r="A38909" s="1" t="n">
        <v>38908</v>
      </c>
      <c r="B38909">
        <f>TEXT(38908, "[$-0E0000]yyyy-mm-dd")</f>
        <v/>
      </c>
      <c r="C38909" t="inlineStr">
        <is>
          <t>2006-06-16</t>
        </is>
      </c>
    </row>
    <row r="38910">
      <c r="A38910" s="1" t="n">
        <v>38909</v>
      </c>
      <c r="B38910">
        <f>TEXT(38909, "[$-0E0000]yyyy-mm-dd")</f>
        <v/>
      </c>
      <c r="C38910" t="inlineStr">
        <is>
          <t>2006-06-17</t>
        </is>
      </c>
    </row>
    <row r="38911">
      <c r="A38911" s="1" t="n">
        <v>38910</v>
      </c>
      <c r="B38911">
        <f>TEXT(38910, "[$-0E0000]yyyy-mm-dd")</f>
        <v/>
      </c>
      <c r="C38911" t="inlineStr">
        <is>
          <t>2006-06-18</t>
        </is>
      </c>
    </row>
    <row r="38912">
      <c r="A38912" s="1" t="n">
        <v>38911</v>
      </c>
      <c r="B38912">
        <f>TEXT(38911, "[$-0E0000]yyyy-mm-dd")</f>
        <v/>
      </c>
      <c r="C38912" t="inlineStr">
        <is>
          <t>2006-06-19</t>
        </is>
      </c>
    </row>
    <row r="38913">
      <c r="A38913" s="1" t="n">
        <v>38912</v>
      </c>
      <c r="B38913">
        <f>TEXT(38912, "[$-0E0000]yyyy-mm-dd")</f>
        <v/>
      </c>
      <c r="C38913" t="inlineStr">
        <is>
          <t>2006-06-20</t>
        </is>
      </c>
    </row>
    <row r="38914">
      <c r="A38914" s="1" t="n">
        <v>38913</v>
      </c>
      <c r="B38914">
        <f>TEXT(38913, "[$-0E0000]yyyy-mm-dd")</f>
        <v/>
      </c>
      <c r="C38914" t="inlineStr">
        <is>
          <t>2006-06-21</t>
        </is>
      </c>
    </row>
    <row r="38915">
      <c r="A38915" s="1" t="n">
        <v>38914</v>
      </c>
      <c r="B38915">
        <f>TEXT(38914, "[$-0E0000]yyyy-mm-dd")</f>
        <v/>
      </c>
      <c r="C38915" t="inlineStr">
        <is>
          <t>2006-06-22</t>
        </is>
      </c>
    </row>
    <row r="38916">
      <c r="A38916" s="1" t="n">
        <v>38915</v>
      </c>
      <c r="B38916">
        <f>TEXT(38915, "[$-0E0000]yyyy-mm-dd")</f>
        <v/>
      </c>
      <c r="C38916" t="inlineStr">
        <is>
          <t>2006-06-23</t>
        </is>
      </c>
    </row>
    <row r="38917">
      <c r="A38917" s="1" t="n">
        <v>38916</v>
      </c>
      <c r="B38917">
        <f>TEXT(38916, "[$-0E0000]yyyy-mm-dd")</f>
        <v/>
      </c>
      <c r="C38917" t="inlineStr">
        <is>
          <t>2006-06-24</t>
        </is>
      </c>
    </row>
    <row r="38918">
      <c r="A38918" s="1" t="n">
        <v>38917</v>
      </c>
      <c r="B38918">
        <f>TEXT(38917, "[$-0E0000]yyyy-mm-dd")</f>
        <v/>
      </c>
      <c r="C38918" t="inlineStr">
        <is>
          <t>2006-06-25</t>
        </is>
      </c>
    </row>
    <row r="38919">
      <c r="A38919" s="1" t="n">
        <v>38918</v>
      </c>
      <c r="B38919">
        <f>TEXT(38918, "[$-0E0000]yyyy-mm-dd")</f>
        <v/>
      </c>
      <c r="C38919" t="inlineStr">
        <is>
          <t>2006-06-26</t>
        </is>
      </c>
    </row>
    <row r="38920">
      <c r="A38920" s="1" t="n">
        <v>38919</v>
      </c>
      <c r="B38920">
        <f>TEXT(38919, "[$-0E0000]yyyy-mm-dd")</f>
        <v/>
      </c>
      <c r="C38920" t="inlineStr">
        <is>
          <t>2006-06-27</t>
        </is>
      </c>
    </row>
    <row r="38921">
      <c r="A38921" s="1" t="n">
        <v>38920</v>
      </c>
      <c r="B38921">
        <f>TEXT(38920, "[$-0E0000]yyyy-mm-dd")</f>
        <v/>
      </c>
      <c r="C38921" t="inlineStr">
        <is>
          <t>2006-06-28</t>
        </is>
      </c>
    </row>
    <row r="38922">
      <c r="A38922" s="1" t="n">
        <v>38921</v>
      </c>
      <c r="B38922">
        <f>TEXT(38921, "[$-0E0000]yyyy-mm-dd")</f>
        <v/>
      </c>
      <c r="C38922" t="inlineStr">
        <is>
          <t>2006-06-29</t>
        </is>
      </c>
    </row>
    <row r="38923">
      <c r="A38923" s="1" t="n">
        <v>38922</v>
      </c>
      <c r="B38923">
        <f>TEXT(38922, "[$-0E0000]yyyy-mm-dd")</f>
        <v/>
      </c>
      <c r="C38923" t="inlineStr">
        <is>
          <t>2006-07-01</t>
        </is>
      </c>
    </row>
    <row r="38924">
      <c r="A38924" s="1" t="n">
        <v>38923</v>
      </c>
      <c r="B38924">
        <f>TEXT(38923, "[$-0E0000]yyyy-mm-dd")</f>
        <v/>
      </c>
      <c r="C38924" t="inlineStr">
        <is>
          <t>2006-07-02</t>
        </is>
      </c>
    </row>
    <row r="38925">
      <c r="A38925" s="1" t="n">
        <v>38924</v>
      </c>
      <c r="B38925">
        <f>TEXT(38924, "[$-0E0000]yyyy-mm-dd")</f>
        <v/>
      </c>
      <c r="C38925" t="inlineStr">
        <is>
          <t>2006-07-03</t>
        </is>
      </c>
    </row>
    <row r="38926">
      <c r="A38926" s="1" t="n">
        <v>38925</v>
      </c>
      <c r="B38926">
        <f>TEXT(38925, "[$-0E0000]yyyy-mm-dd")</f>
        <v/>
      </c>
      <c r="C38926" t="inlineStr">
        <is>
          <t>2006-07-04</t>
        </is>
      </c>
    </row>
    <row r="38927">
      <c r="A38927" s="1" t="n">
        <v>38926</v>
      </c>
      <c r="B38927">
        <f>TEXT(38926, "[$-0E0000]yyyy-mm-dd")</f>
        <v/>
      </c>
      <c r="C38927" t="inlineStr">
        <is>
          <t>2006-07-05</t>
        </is>
      </c>
    </row>
    <row r="38928">
      <c r="A38928" s="1" t="n">
        <v>38927</v>
      </c>
      <c r="B38928">
        <f>TEXT(38927, "[$-0E0000]yyyy-mm-dd")</f>
        <v/>
      </c>
      <c r="C38928" t="inlineStr">
        <is>
          <t>2006-07-06</t>
        </is>
      </c>
    </row>
    <row r="38929">
      <c r="A38929" s="1" t="n">
        <v>38928</v>
      </c>
      <c r="B38929">
        <f>TEXT(38928, "[$-0E0000]yyyy-mm-dd")</f>
        <v/>
      </c>
      <c r="C38929" t="inlineStr">
        <is>
          <t>2006-07-07</t>
        </is>
      </c>
    </row>
    <row r="38930">
      <c r="A38930" s="1" t="n">
        <v>38929</v>
      </c>
      <c r="B38930">
        <f>TEXT(38929, "[$-0E0000]yyyy-mm-dd")</f>
        <v/>
      </c>
      <c r="C38930" t="inlineStr">
        <is>
          <t>2006-07-08</t>
        </is>
      </c>
    </row>
    <row r="38931">
      <c r="A38931" s="1" t="n">
        <v>38930</v>
      </c>
      <c r="B38931">
        <f>TEXT(38930, "[$-0E0000]yyyy-mm-dd")</f>
        <v/>
      </c>
      <c r="C38931" t="inlineStr">
        <is>
          <t>2006-07-09</t>
        </is>
      </c>
    </row>
    <row r="38932">
      <c r="A38932" s="1" t="n">
        <v>38931</v>
      </c>
      <c r="B38932">
        <f>TEXT(38931, "[$-0E0000]yyyy-mm-dd")</f>
        <v/>
      </c>
      <c r="C38932" t="inlineStr">
        <is>
          <t>2006-07-10</t>
        </is>
      </c>
    </row>
    <row r="38933">
      <c r="A38933" s="1" t="n">
        <v>38932</v>
      </c>
      <c r="B38933">
        <f>TEXT(38932, "[$-0E0000]yyyy-mm-dd")</f>
        <v/>
      </c>
      <c r="C38933" t="inlineStr">
        <is>
          <t>2006-07-11</t>
        </is>
      </c>
    </row>
    <row r="38934">
      <c r="A38934" s="1" t="n">
        <v>38933</v>
      </c>
      <c r="B38934">
        <f>TEXT(38933, "[$-0E0000]yyyy-mm-dd")</f>
        <v/>
      </c>
      <c r="C38934" t="inlineStr">
        <is>
          <t>2006-07-12</t>
        </is>
      </c>
    </row>
    <row r="38935">
      <c r="A38935" s="1" t="n">
        <v>38934</v>
      </c>
      <c r="B38935">
        <f>TEXT(38934, "[$-0E0000]yyyy-mm-dd")</f>
        <v/>
      </c>
      <c r="C38935" t="inlineStr">
        <is>
          <t>2006-07-13</t>
        </is>
      </c>
    </row>
    <row r="38936">
      <c r="A38936" s="1" t="n">
        <v>38935</v>
      </c>
      <c r="B38936">
        <f>TEXT(38935, "[$-0E0000]yyyy-mm-dd")</f>
        <v/>
      </c>
      <c r="C38936" t="inlineStr">
        <is>
          <t>2006-07-14</t>
        </is>
      </c>
    </row>
    <row r="38937">
      <c r="A38937" s="1" t="n">
        <v>38936</v>
      </c>
      <c r="B38937">
        <f>TEXT(38936, "[$-0E0000]yyyy-mm-dd")</f>
        <v/>
      </c>
      <c r="C38937" t="inlineStr">
        <is>
          <t>2006-07-15</t>
        </is>
      </c>
    </row>
    <row r="38938">
      <c r="A38938" s="1" t="n">
        <v>38937</v>
      </c>
      <c r="B38938">
        <f>TEXT(38937, "[$-0E0000]yyyy-mm-dd")</f>
        <v/>
      </c>
      <c r="C38938" t="inlineStr">
        <is>
          <t>2006-07-16</t>
        </is>
      </c>
    </row>
    <row r="38939">
      <c r="A38939" s="1" t="n">
        <v>38938</v>
      </c>
      <c r="B38939">
        <f>TEXT(38938, "[$-0E0000]yyyy-mm-dd")</f>
        <v/>
      </c>
      <c r="C38939" t="inlineStr">
        <is>
          <t>2006-07-17</t>
        </is>
      </c>
    </row>
    <row r="38940">
      <c r="A38940" s="1" t="n">
        <v>38939</v>
      </c>
      <c r="B38940">
        <f>TEXT(38939, "[$-0E0000]yyyy-mm-dd")</f>
        <v/>
      </c>
      <c r="C38940" t="inlineStr">
        <is>
          <t>2006-07-18</t>
        </is>
      </c>
    </row>
    <row r="38941">
      <c r="A38941" s="1" t="n">
        <v>38940</v>
      </c>
      <c r="B38941">
        <f>TEXT(38940, "[$-0E0000]yyyy-mm-dd")</f>
        <v/>
      </c>
      <c r="C38941" t="inlineStr">
        <is>
          <t>2006-07-19</t>
        </is>
      </c>
    </row>
    <row r="38942">
      <c r="A38942" s="1" t="n">
        <v>38941</v>
      </c>
      <c r="B38942">
        <f>TEXT(38941, "[$-0E0000]yyyy-mm-dd")</f>
        <v/>
      </c>
      <c r="C38942" t="inlineStr">
        <is>
          <t>2006-07-20</t>
        </is>
      </c>
    </row>
    <row r="38943">
      <c r="A38943" s="1" t="n">
        <v>38942</v>
      </c>
      <c r="B38943">
        <f>TEXT(38942, "[$-0E0000]yyyy-mm-dd")</f>
        <v/>
      </c>
      <c r="C38943" t="inlineStr">
        <is>
          <t>2006-07-21</t>
        </is>
      </c>
    </row>
    <row r="38944">
      <c r="A38944" s="1" t="n">
        <v>38943</v>
      </c>
      <c r="B38944">
        <f>TEXT(38943, "[$-0E0000]yyyy-mm-dd")</f>
        <v/>
      </c>
      <c r="C38944" t="inlineStr">
        <is>
          <t>2006-07-22</t>
        </is>
      </c>
    </row>
    <row r="38945">
      <c r="A38945" s="1" t="n">
        <v>38944</v>
      </c>
      <c r="B38945">
        <f>TEXT(38944, "[$-0E0000]yyyy-mm-dd")</f>
        <v/>
      </c>
      <c r="C38945" t="inlineStr">
        <is>
          <t>2006-07-23</t>
        </is>
      </c>
    </row>
    <row r="38946">
      <c r="A38946" s="1" t="n">
        <v>38945</v>
      </c>
      <c r="B38946">
        <f>TEXT(38945, "[$-0E0000]yyyy-mm-dd")</f>
        <v/>
      </c>
      <c r="C38946" t="inlineStr">
        <is>
          <t>2006-07-24</t>
        </is>
      </c>
    </row>
    <row r="38947">
      <c r="A38947" s="1" t="n">
        <v>38946</v>
      </c>
      <c r="B38947">
        <f>TEXT(38946, "[$-0E0000]yyyy-mm-dd")</f>
        <v/>
      </c>
      <c r="C38947" t="inlineStr">
        <is>
          <t>2006-07-25</t>
        </is>
      </c>
    </row>
    <row r="38948">
      <c r="A38948" s="1" t="n">
        <v>38947</v>
      </c>
      <c r="B38948">
        <f>TEXT(38947, "[$-0E0000]yyyy-mm-dd")</f>
        <v/>
      </c>
      <c r="C38948" t="inlineStr">
        <is>
          <t>2006-07-26</t>
        </is>
      </c>
    </row>
    <row r="38949">
      <c r="A38949" s="1" t="n">
        <v>38948</v>
      </c>
      <c r="B38949">
        <f>TEXT(38948, "[$-0E0000]yyyy-mm-dd")</f>
        <v/>
      </c>
      <c r="C38949" t="inlineStr">
        <is>
          <t>2006-07-27</t>
        </is>
      </c>
    </row>
    <row r="38950">
      <c r="A38950" s="1" t="n">
        <v>38949</v>
      </c>
      <c r="B38950">
        <f>TEXT(38949, "[$-0E0000]yyyy-mm-dd")</f>
        <v/>
      </c>
      <c r="C38950" t="inlineStr">
        <is>
          <t>2006-07-28</t>
        </is>
      </c>
    </row>
    <row r="38951">
      <c r="A38951" s="1" t="n">
        <v>38950</v>
      </c>
      <c r="B38951">
        <f>TEXT(38950, "[$-0E0000]yyyy-mm-dd")</f>
        <v/>
      </c>
      <c r="C38951" t="inlineStr">
        <is>
          <t>2006-07-29</t>
        </is>
      </c>
    </row>
    <row r="38952">
      <c r="A38952" s="1" t="n">
        <v>38951</v>
      </c>
      <c r="B38952">
        <f>TEXT(38951, "[$-0E0000]yyyy-mm-dd")</f>
        <v/>
      </c>
      <c r="C38952" t="inlineStr">
        <is>
          <t>2006-07-30</t>
        </is>
      </c>
    </row>
    <row r="38953">
      <c r="A38953" s="1" t="n">
        <v>38952</v>
      </c>
      <c r="B38953">
        <f>TEXT(38952, "[$-0E0000]yyyy-mm-dd")</f>
        <v/>
      </c>
      <c r="C38953" t="inlineStr">
        <is>
          <t>2006-07-01</t>
        </is>
      </c>
    </row>
    <row r="38954">
      <c r="A38954" s="1" t="n">
        <v>38953</v>
      </c>
      <c r="B38954">
        <f>TEXT(38953, "[$-0E0000]yyyy-mm-dd")</f>
        <v/>
      </c>
      <c r="C38954" t="inlineStr">
        <is>
          <t>2006-07-02</t>
        </is>
      </c>
    </row>
    <row r="38955">
      <c r="A38955" s="1" t="n">
        <v>38954</v>
      </c>
      <c r="B38955">
        <f>TEXT(38954, "[$-0E0000]yyyy-mm-dd")</f>
        <v/>
      </c>
      <c r="C38955" t="inlineStr">
        <is>
          <t>2006-07-03</t>
        </is>
      </c>
    </row>
    <row r="38956">
      <c r="A38956" s="1" t="n">
        <v>38955</v>
      </c>
      <c r="B38956">
        <f>TEXT(38955, "[$-0E0000]yyyy-mm-dd")</f>
        <v/>
      </c>
      <c r="C38956" t="inlineStr">
        <is>
          <t>2006-07-04</t>
        </is>
      </c>
    </row>
    <row r="38957">
      <c r="A38957" s="1" t="n">
        <v>38956</v>
      </c>
      <c r="B38957">
        <f>TEXT(38956, "[$-0E0000]yyyy-mm-dd")</f>
        <v/>
      </c>
      <c r="C38957" t="inlineStr">
        <is>
          <t>2006-07-05</t>
        </is>
      </c>
    </row>
    <row r="38958">
      <c r="A38958" s="1" t="n">
        <v>38957</v>
      </c>
      <c r="B38958">
        <f>TEXT(38957, "[$-0E0000]yyyy-mm-dd")</f>
        <v/>
      </c>
      <c r="C38958" t="inlineStr">
        <is>
          <t>2006-07-06</t>
        </is>
      </c>
    </row>
    <row r="38959">
      <c r="A38959" s="1" t="n">
        <v>38958</v>
      </c>
      <c r="B38959">
        <f>TEXT(38958, "[$-0E0000]yyyy-mm-dd")</f>
        <v/>
      </c>
      <c r="C38959" t="inlineStr">
        <is>
          <t>2006-07-07</t>
        </is>
      </c>
    </row>
    <row r="38960">
      <c r="A38960" s="1" t="n">
        <v>38959</v>
      </c>
      <c r="B38960">
        <f>TEXT(38959, "[$-0E0000]yyyy-mm-dd")</f>
        <v/>
      </c>
      <c r="C38960" t="inlineStr">
        <is>
          <t>2006-07-08</t>
        </is>
      </c>
    </row>
    <row r="38961">
      <c r="A38961" s="1" t="n">
        <v>38960</v>
      </c>
      <c r="B38961">
        <f>TEXT(38960, "[$-0E0000]yyyy-mm-dd")</f>
        <v/>
      </c>
      <c r="C38961" t="inlineStr">
        <is>
          <t>2006-07-09</t>
        </is>
      </c>
    </row>
    <row r="38962">
      <c r="A38962" s="1" t="n">
        <v>38961</v>
      </c>
      <c r="B38962">
        <f>TEXT(38961, "[$-0E0000]yyyy-mm-dd")</f>
        <v/>
      </c>
      <c r="C38962" t="inlineStr">
        <is>
          <t>2006-07-10</t>
        </is>
      </c>
    </row>
    <row r="38963">
      <c r="A38963" s="1" t="n">
        <v>38962</v>
      </c>
      <c r="B38963">
        <f>TEXT(38962, "[$-0E0000]yyyy-mm-dd")</f>
        <v/>
      </c>
      <c r="C38963" t="inlineStr">
        <is>
          <t>2006-07-11</t>
        </is>
      </c>
    </row>
    <row r="38964">
      <c r="A38964" s="1" t="n">
        <v>38963</v>
      </c>
      <c r="B38964">
        <f>TEXT(38963, "[$-0E0000]yyyy-mm-dd")</f>
        <v/>
      </c>
      <c r="C38964" t="inlineStr">
        <is>
          <t>2006-07-12</t>
        </is>
      </c>
    </row>
    <row r="38965">
      <c r="A38965" s="1" t="n">
        <v>38964</v>
      </c>
      <c r="B38965">
        <f>TEXT(38964, "[$-0E0000]yyyy-mm-dd")</f>
        <v/>
      </c>
      <c r="C38965" t="inlineStr">
        <is>
          <t>2006-07-13</t>
        </is>
      </c>
    </row>
    <row r="38966">
      <c r="A38966" s="1" t="n">
        <v>38965</v>
      </c>
      <c r="B38966">
        <f>TEXT(38965, "[$-0E0000]yyyy-mm-dd")</f>
        <v/>
      </c>
      <c r="C38966" t="inlineStr">
        <is>
          <t>2006-07-14</t>
        </is>
      </c>
    </row>
    <row r="38967">
      <c r="A38967" s="1" t="n">
        <v>38966</v>
      </c>
      <c r="B38967">
        <f>TEXT(38966, "[$-0E0000]yyyy-mm-dd")</f>
        <v/>
      </c>
      <c r="C38967" t="inlineStr">
        <is>
          <t>2006-07-15</t>
        </is>
      </c>
    </row>
    <row r="38968">
      <c r="A38968" s="1" t="n">
        <v>38967</v>
      </c>
      <c r="B38968">
        <f>TEXT(38967, "[$-0E0000]yyyy-mm-dd")</f>
        <v/>
      </c>
      <c r="C38968" t="inlineStr">
        <is>
          <t>2006-07-16</t>
        </is>
      </c>
    </row>
    <row r="38969">
      <c r="A38969" s="1" t="n">
        <v>38968</v>
      </c>
      <c r="B38969">
        <f>TEXT(38968, "[$-0E0000]yyyy-mm-dd")</f>
        <v/>
      </c>
      <c r="C38969" t="inlineStr">
        <is>
          <t>2006-07-17</t>
        </is>
      </c>
    </row>
    <row r="38970">
      <c r="A38970" s="1" t="n">
        <v>38969</v>
      </c>
      <c r="B38970">
        <f>TEXT(38969, "[$-0E0000]yyyy-mm-dd")</f>
        <v/>
      </c>
      <c r="C38970" t="inlineStr">
        <is>
          <t>2006-07-18</t>
        </is>
      </c>
    </row>
    <row r="38971">
      <c r="A38971" s="1" t="n">
        <v>38970</v>
      </c>
      <c r="B38971">
        <f>TEXT(38970, "[$-0E0000]yyyy-mm-dd")</f>
        <v/>
      </c>
      <c r="C38971" t="inlineStr">
        <is>
          <t>2006-07-19</t>
        </is>
      </c>
    </row>
    <row r="38972">
      <c r="A38972" s="1" t="n">
        <v>38971</v>
      </c>
      <c r="B38972">
        <f>TEXT(38971, "[$-0E0000]yyyy-mm-dd")</f>
        <v/>
      </c>
      <c r="C38972" t="inlineStr">
        <is>
          <t>2006-07-20</t>
        </is>
      </c>
    </row>
    <row r="38973">
      <c r="A38973" s="1" t="n">
        <v>38972</v>
      </c>
      <c r="B38973">
        <f>TEXT(38972, "[$-0E0000]yyyy-mm-dd")</f>
        <v/>
      </c>
      <c r="C38973" t="inlineStr">
        <is>
          <t>2006-07-21</t>
        </is>
      </c>
    </row>
    <row r="38974">
      <c r="A38974" s="1" t="n">
        <v>38973</v>
      </c>
      <c r="B38974">
        <f>TEXT(38973, "[$-0E0000]yyyy-mm-dd")</f>
        <v/>
      </c>
      <c r="C38974" t="inlineStr">
        <is>
          <t>2006-07-22</t>
        </is>
      </c>
    </row>
    <row r="38975">
      <c r="A38975" s="1" t="n">
        <v>38974</v>
      </c>
      <c r="B38975">
        <f>TEXT(38974, "[$-0E0000]yyyy-mm-dd")</f>
        <v/>
      </c>
      <c r="C38975" t="inlineStr">
        <is>
          <t>2006-07-23</t>
        </is>
      </c>
    </row>
    <row r="38976">
      <c r="A38976" s="1" t="n">
        <v>38975</v>
      </c>
      <c r="B38976">
        <f>TEXT(38975, "[$-0E0000]yyyy-mm-dd")</f>
        <v/>
      </c>
      <c r="C38976" t="inlineStr">
        <is>
          <t>2006-07-24</t>
        </is>
      </c>
    </row>
    <row r="38977">
      <c r="A38977" s="1" t="n">
        <v>38976</v>
      </c>
      <c r="B38977">
        <f>TEXT(38976, "[$-0E0000]yyyy-mm-dd")</f>
        <v/>
      </c>
      <c r="C38977" t="inlineStr">
        <is>
          <t>2006-07-25</t>
        </is>
      </c>
    </row>
    <row r="38978">
      <c r="A38978" s="1" t="n">
        <v>38977</v>
      </c>
      <c r="B38978">
        <f>TEXT(38977, "[$-0E0000]yyyy-mm-dd")</f>
        <v/>
      </c>
      <c r="C38978" t="inlineStr">
        <is>
          <t>2006-07-26</t>
        </is>
      </c>
    </row>
    <row r="38979">
      <c r="A38979" s="1" t="n">
        <v>38978</v>
      </c>
      <c r="B38979">
        <f>TEXT(38978, "[$-0E0000]yyyy-mm-dd")</f>
        <v/>
      </c>
      <c r="C38979" t="inlineStr">
        <is>
          <t>2006-07-27</t>
        </is>
      </c>
    </row>
    <row r="38980">
      <c r="A38980" s="1" t="n">
        <v>38979</v>
      </c>
      <c r="B38980">
        <f>TEXT(38979, "[$-0E0000]yyyy-mm-dd")</f>
        <v/>
      </c>
      <c r="C38980" t="inlineStr">
        <is>
          <t>2006-07-28</t>
        </is>
      </c>
    </row>
    <row r="38981">
      <c r="A38981" s="1" t="n">
        <v>38980</v>
      </c>
      <c r="B38981">
        <f>TEXT(38980, "[$-0E0000]yyyy-mm-dd")</f>
        <v/>
      </c>
      <c r="C38981" t="inlineStr">
        <is>
          <t>2006-07-29</t>
        </is>
      </c>
    </row>
    <row r="38982">
      <c r="A38982" s="1" t="n">
        <v>38981</v>
      </c>
      <c r="B38982">
        <f>TEXT(38981, "[$-0E0000]yyyy-mm-dd")</f>
        <v/>
      </c>
      <c r="C38982" t="inlineStr">
        <is>
          <t>2006-08-01</t>
        </is>
      </c>
    </row>
    <row r="38983">
      <c r="A38983" s="1" t="n">
        <v>38982</v>
      </c>
      <c r="B38983">
        <f>TEXT(38982, "[$-0E0000]yyyy-mm-dd")</f>
        <v/>
      </c>
      <c r="C38983" t="inlineStr">
        <is>
          <t>2006-08-02</t>
        </is>
      </c>
    </row>
    <row r="38984">
      <c r="A38984" s="1" t="n">
        <v>38983</v>
      </c>
      <c r="B38984">
        <f>TEXT(38983, "[$-0E0000]yyyy-mm-dd")</f>
        <v/>
      </c>
      <c r="C38984" t="inlineStr">
        <is>
          <t>2006-08-03</t>
        </is>
      </c>
    </row>
    <row r="38985">
      <c r="A38985" s="1" t="n">
        <v>38984</v>
      </c>
      <c r="B38985">
        <f>TEXT(38984, "[$-0E0000]yyyy-mm-dd")</f>
        <v/>
      </c>
      <c r="C38985" t="inlineStr">
        <is>
          <t>2006-08-04</t>
        </is>
      </c>
    </row>
    <row r="38986">
      <c r="A38986" s="1" t="n">
        <v>38985</v>
      </c>
      <c r="B38986">
        <f>TEXT(38985, "[$-0E0000]yyyy-mm-dd")</f>
        <v/>
      </c>
      <c r="C38986" t="inlineStr">
        <is>
          <t>2006-08-05</t>
        </is>
      </c>
    </row>
    <row r="38987">
      <c r="A38987" s="1" t="n">
        <v>38986</v>
      </c>
      <c r="B38987">
        <f>TEXT(38986, "[$-0E0000]yyyy-mm-dd")</f>
        <v/>
      </c>
      <c r="C38987" t="inlineStr">
        <is>
          <t>2006-08-06</t>
        </is>
      </c>
    </row>
    <row r="38988">
      <c r="A38988" s="1" t="n">
        <v>38987</v>
      </c>
      <c r="B38988">
        <f>TEXT(38987, "[$-0E0000]yyyy-mm-dd")</f>
        <v/>
      </c>
      <c r="C38988" t="inlineStr">
        <is>
          <t>2006-08-07</t>
        </is>
      </c>
    </row>
    <row r="38989">
      <c r="A38989" s="1" t="n">
        <v>38988</v>
      </c>
      <c r="B38989">
        <f>TEXT(38988, "[$-0E0000]yyyy-mm-dd")</f>
        <v/>
      </c>
      <c r="C38989" t="inlineStr">
        <is>
          <t>2006-08-08</t>
        </is>
      </c>
    </row>
    <row r="38990">
      <c r="A38990" s="1" t="n">
        <v>38989</v>
      </c>
      <c r="B38990">
        <f>TEXT(38989, "[$-0E0000]yyyy-mm-dd")</f>
        <v/>
      </c>
      <c r="C38990" t="inlineStr">
        <is>
          <t>2006-08-09</t>
        </is>
      </c>
    </row>
    <row r="38991">
      <c r="A38991" s="1" t="n">
        <v>38990</v>
      </c>
      <c r="B38991">
        <f>TEXT(38990, "[$-0E0000]yyyy-mm-dd")</f>
        <v/>
      </c>
      <c r="C38991" t="inlineStr">
        <is>
          <t>2006-08-10</t>
        </is>
      </c>
    </row>
    <row r="38992">
      <c r="A38992" s="1" t="n">
        <v>38991</v>
      </c>
      <c r="B38992">
        <f>TEXT(38991, "[$-0E0000]yyyy-mm-dd")</f>
        <v/>
      </c>
      <c r="C38992" t="inlineStr">
        <is>
          <t>2006-08-11</t>
        </is>
      </c>
    </row>
    <row r="38993">
      <c r="A38993" s="1" t="n">
        <v>38992</v>
      </c>
      <c r="B38993">
        <f>TEXT(38992, "[$-0E0000]yyyy-mm-dd")</f>
        <v/>
      </c>
      <c r="C38993" t="inlineStr">
        <is>
          <t>2006-08-12</t>
        </is>
      </c>
    </row>
    <row r="38994">
      <c r="A38994" s="1" t="n">
        <v>38993</v>
      </c>
      <c r="B38994">
        <f>TEXT(38993, "[$-0E0000]yyyy-mm-dd")</f>
        <v/>
      </c>
      <c r="C38994" t="inlineStr">
        <is>
          <t>2006-08-13</t>
        </is>
      </c>
    </row>
    <row r="38995">
      <c r="A38995" s="1" t="n">
        <v>38994</v>
      </c>
      <c r="B38995">
        <f>TEXT(38994, "[$-0E0000]yyyy-mm-dd")</f>
        <v/>
      </c>
      <c r="C38995" t="inlineStr">
        <is>
          <t>2006-08-14</t>
        </is>
      </c>
    </row>
    <row r="38996">
      <c r="A38996" s="1" t="n">
        <v>38995</v>
      </c>
      <c r="B38996">
        <f>TEXT(38995, "[$-0E0000]yyyy-mm-dd")</f>
        <v/>
      </c>
      <c r="C38996" t="inlineStr">
        <is>
          <t>2006-08-15</t>
        </is>
      </c>
    </row>
    <row r="38997">
      <c r="A38997" s="1" t="n">
        <v>38996</v>
      </c>
      <c r="B38997">
        <f>TEXT(38996, "[$-0E0000]yyyy-mm-dd")</f>
        <v/>
      </c>
      <c r="C38997" t="inlineStr">
        <is>
          <t>2006-08-16</t>
        </is>
      </c>
    </row>
    <row r="38998">
      <c r="A38998" s="1" t="n">
        <v>38997</v>
      </c>
      <c r="B38998">
        <f>TEXT(38997, "[$-0E0000]yyyy-mm-dd")</f>
        <v/>
      </c>
      <c r="C38998" t="inlineStr">
        <is>
          <t>2006-08-17</t>
        </is>
      </c>
    </row>
    <row r="38999">
      <c r="A38999" s="1" t="n">
        <v>38998</v>
      </c>
      <c r="B38999">
        <f>TEXT(38998, "[$-0E0000]yyyy-mm-dd")</f>
        <v/>
      </c>
      <c r="C38999" t="inlineStr">
        <is>
          <t>2006-08-18</t>
        </is>
      </c>
    </row>
    <row r="39000">
      <c r="A39000" s="1" t="n">
        <v>38999</v>
      </c>
      <c r="B39000">
        <f>TEXT(38999, "[$-0E0000]yyyy-mm-dd")</f>
        <v/>
      </c>
      <c r="C39000" t="inlineStr">
        <is>
          <t>2006-08-19</t>
        </is>
      </c>
    </row>
    <row r="39001">
      <c r="A39001" s="1" t="n">
        <v>39000</v>
      </c>
      <c r="B39001">
        <f>TEXT(39000, "[$-0E0000]yyyy-mm-dd")</f>
        <v/>
      </c>
      <c r="C39001" t="inlineStr">
        <is>
          <t>2006-08-20</t>
        </is>
      </c>
    </row>
    <row r="39002">
      <c r="A39002" s="1" t="n">
        <v>39001</v>
      </c>
      <c r="B39002">
        <f>TEXT(39001, "[$-0E0000]yyyy-mm-dd")</f>
        <v/>
      </c>
      <c r="C39002" t="inlineStr">
        <is>
          <t>2006-08-21</t>
        </is>
      </c>
    </row>
    <row r="39003">
      <c r="A39003" s="1" t="n">
        <v>39002</v>
      </c>
      <c r="B39003">
        <f>TEXT(39002, "[$-0E0000]yyyy-mm-dd")</f>
        <v/>
      </c>
      <c r="C39003" t="inlineStr">
        <is>
          <t>2006-08-22</t>
        </is>
      </c>
    </row>
    <row r="39004">
      <c r="A39004" s="1" t="n">
        <v>39003</v>
      </c>
      <c r="B39004">
        <f>TEXT(39003, "[$-0E0000]yyyy-mm-dd")</f>
        <v/>
      </c>
      <c r="C39004" t="inlineStr">
        <is>
          <t>2006-08-23</t>
        </is>
      </c>
    </row>
    <row r="39005">
      <c r="A39005" s="1" t="n">
        <v>39004</v>
      </c>
      <c r="B39005">
        <f>TEXT(39004, "[$-0E0000]yyyy-mm-dd")</f>
        <v/>
      </c>
      <c r="C39005" t="inlineStr">
        <is>
          <t>2006-08-24</t>
        </is>
      </c>
    </row>
    <row r="39006">
      <c r="A39006" s="1" t="n">
        <v>39005</v>
      </c>
      <c r="B39006">
        <f>TEXT(39005, "[$-0E0000]yyyy-mm-dd")</f>
        <v/>
      </c>
      <c r="C39006" t="inlineStr">
        <is>
          <t>2006-08-25</t>
        </is>
      </c>
    </row>
    <row r="39007">
      <c r="A39007" s="1" t="n">
        <v>39006</v>
      </c>
      <c r="B39007">
        <f>TEXT(39006, "[$-0E0000]yyyy-mm-dd")</f>
        <v/>
      </c>
      <c r="C39007" t="inlineStr">
        <is>
          <t>2006-08-26</t>
        </is>
      </c>
    </row>
    <row r="39008">
      <c r="A39008" s="1" t="n">
        <v>39007</v>
      </c>
      <c r="B39008">
        <f>TEXT(39007, "[$-0E0000]yyyy-mm-dd")</f>
        <v/>
      </c>
      <c r="C39008" t="inlineStr">
        <is>
          <t>2006-08-27</t>
        </is>
      </c>
    </row>
    <row r="39009">
      <c r="A39009" s="1" t="n">
        <v>39008</v>
      </c>
      <c r="B39009">
        <f>TEXT(39008, "[$-0E0000]yyyy-mm-dd")</f>
        <v/>
      </c>
      <c r="C39009" t="inlineStr">
        <is>
          <t>2006-08-28</t>
        </is>
      </c>
    </row>
    <row r="39010">
      <c r="A39010" s="1" t="n">
        <v>39009</v>
      </c>
      <c r="B39010">
        <f>TEXT(39009, "[$-0E0000]yyyy-mm-dd")</f>
        <v/>
      </c>
      <c r="C39010" t="inlineStr">
        <is>
          <t>2006-08-29</t>
        </is>
      </c>
    </row>
    <row r="39011">
      <c r="A39011" s="1" t="n">
        <v>39010</v>
      </c>
      <c r="B39011">
        <f>TEXT(39010, "[$-0E0000]yyyy-mm-dd")</f>
        <v/>
      </c>
      <c r="C39011" t="inlineStr">
        <is>
          <t>2006-08-30</t>
        </is>
      </c>
    </row>
    <row r="39012">
      <c r="A39012" s="1" t="n">
        <v>39011</v>
      </c>
      <c r="B39012">
        <f>TEXT(39011, "[$-0E0000]yyyy-mm-dd")</f>
        <v/>
      </c>
      <c r="C39012" t="inlineStr">
        <is>
          <t>2006-09-01</t>
        </is>
      </c>
    </row>
    <row r="39013">
      <c r="A39013" s="1" t="n">
        <v>39012</v>
      </c>
      <c r="B39013">
        <f>TEXT(39012, "[$-0E0000]yyyy-mm-dd")</f>
        <v/>
      </c>
      <c r="C39013" t="inlineStr">
        <is>
          <t>2006-09-02</t>
        </is>
      </c>
    </row>
    <row r="39014">
      <c r="A39014" s="1" t="n">
        <v>39013</v>
      </c>
      <c r="B39014">
        <f>TEXT(39013, "[$-0E0000]yyyy-mm-dd")</f>
        <v/>
      </c>
      <c r="C39014" t="inlineStr">
        <is>
          <t>2006-09-03</t>
        </is>
      </c>
    </row>
    <row r="39015">
      <c r="A39015" s="1" t="n">
        <v>39014</v>
      </c>
      <c r="B39015">
        <f>TEXT(39014, "[$-0E0000]yyyy-mm-dd")</f>
        <v/>
      </c>
      <c r="C39015" t="inlineStr">
        <is>
          <t>2006-09-04</t>
        </is>
      </c>
    </row>
    <row r="39016">
      <c r="A39016" s="1" t="n">
        <v>39015</v>
      </c>
      <c r="B39016">
        <f>TEXT(39015, "[$-0E0000]yyyy-mm-dd")</f>
        <v/>
      </c>
      <c r="C39016" t="inlineStr">
        <is>
          <t>2006-09-05</t>
        </is>
      </c>
    </row>
    <row r="39017">
      <c r="A39017" s="1" t="n">
        <v>39016</v>
      </c>
      <c r="B39017">
        <f>TEXT(39016, "[$-0E0000]yyyy-mm-dd")</f>
        <v/>
      </c>
      <c r="C39017" t="inlineStr">
        <is>
          <t>2006-09-06</t>
        </is>
      </c>
    </row>
    <row r="39018">
      <c r="A39018" s="1" t="n">
        <v>39017</v>
      </c>
      <c r="B39018">
        <f>TEXT(39017, "[$-0E0000]yyyy-mm-dd")</f>
        <v/>
      </c>
      <c r="C39018" t="inlineStr">
        <is>
          <t>2006-09-07</t>
        </is>
      </c>
    </row>
    <row r="39019">
      <c r="A39019" s="1" t="n">
        <v>39018</v>
      </c>
      <c r="B39019">
        <f>TEXT(39018, "[$-0E0000]yyyy-mm-dd")</f>
        <v/>
      </c>
      <c r="C39019" t="inlineStr">
        <is>
          <t>2006-09-08</t>
        </is>
      </c>
    </row>
    <row r="39020">
      <c r="A39020" s="1" t="n">
        <v>39019</v>
      </c>
      <c r="B39020">
        <f>TEXT(39019, "[$-0E0000]yyyy-mm-dd")</f>
        <v/>
      </c>
      <c r="C39020" t="inlineStr">
        <is>
          <t>2006-09-09</t>
        </is>
      </c>
    </row>
    <row r="39021">
      <c r="A39021" s="1" t="n">
        <v>39020</v>
      </c>
      <c r="B39021">
        <f>TEXT(39020, "[$-0E0000]yyyy-mm-dd")</f>
        <v/>
      </c>
      <c r="C39021" t="inlineStr">
        <is>
          <t>2006-09-10</t>
        </is>
      </c>
    </row>
    <row r="39022">
      <c r="A39022" s="1" t="n">
        <v>39021</v>
      </c>
      <c r="B39022">
        <f>TEXT(39021, "[$-0E0000]yyyy-mm-dd")</f>
        <v/>
      </c>
      <c r="C39022" t="inlineStr">
        <is>
          <t>2006-09-11</t>
        </is>
      </c>
    </row>
    <row r="39023">
      <c r="A39023" s="1" t="n">
        <v>39022</v>
      </c>
      <c r="B39023">
        <f>TEXT(39022, "[$-0E0000]yyyy-mm-dd")</f>
        <v/>
      </c>
      <c r="C39023" t="inlineStr">
        <is>
          <t>2006-09-12</t>
        </is>
      </c>
    </row>
    <row r="39024">
      <c r="A39024" s="1" t="n">
        <v>39023</v>
      </c>
      <c r="B39024">
        <f>TEXT(39023, "[$-0E0000]yyyy-mm-dd")</f>
        <v/>
      </c>
      <c r="C39024" t="inlineStr">
        <is>
          <t>2006-09-13</t>
        </is>
      </c>
    </row>
    <row r="39025">
      <c r="A39025" s="1" t="n">
        <v>39024</v>
      </c>
      <c r="B39025">
        <f>TEXT(39024, "[$-0E0000]yyyy-mm-dd")</f>
        <v/>
      </c>
      <c r="C39025" t="inlineStr">
        <is>
          <t>2006-09-14</t>
        </is>
      </c>
    </row>
    <row r="39026">
      <c r="A39026" s="1" t="n">
        <v>39025</v>
      </c>
      <c r="B39026">
        <f>TEXT(39025, "[$-0E0000]yyyy-mm-dd")</f>
        <v/>
      </c>
      <c r="C39026" t="inlineStr">
        <is>
          <t>2006-09-15</t>
        </is>
      </c>
    </row>
    <row r="39027">
      <c r="A39027" s="1" t="n">
        <v>39026</v>
      </c>
      <c r="B39027">
        <f>TEXT(39026, "[$-0E0000]yyyy-mm-dd")</f>
        <v/>
      </c>
      <c r="C39027" t="inlineStr">
        <is>
          <t>2006-09-16</t>
        </is>
      </c>
    </row>
    <row r="39028">
      <c r="A39028" s="1" t="n">
        <v>39027</v>
      </c>
      <c r="B39028">
        <f>TEXT(39027, "[$-0E0000]yyyy-mm-dd")</f>
        <v/>
      </c>
      <c r="C39028" t="inlineStr">
        <is>
          <t>2006-09-17</t>
        </is>
      </c>
    </row>
    <row r="39029">
      <c r="A39029" s="1" t="n">
        <v>39028</v>
      </c>
      <c r="B39029">
        <f>TEXT(39028, "[$-0E0000]yyyy-mm-dd")</f>
        <v/>
      </c>
      <c r="C39029" t="inlineStr">
        <is>
          <t>2006-09-18</t>
        </is>
      </c>
    </row>
    <row r="39030">
      <c r="A39030" s="1" t="n">
        <v>39029</v>
      </c>
      <c r="B39030">
        <f>TEXT(39029, "[$-0E0000]yyyy-mm-dd")</f>
        <v/>
      </c>
      <c r="C39030" t="inlineStr">
        <is>
          <t>2006-09-19</t>
        </is>
      </c>
    </row>
    <row r="39031">
      <c r="A39031" s="1" t="n">
        <v>39030</v>
      </c>
      <c r="B39031">
        <f>TEXT(39030, "[$-0E0000]yyyy-mm-dd")</f>
        <v/>
      </c>
      <c r="C39031" t="inlineStr">
        <is>
          <t>2006-09-20</t>
        </is>
      </c>
    </row>
    <row r="39032">
      <c r="A39032" s="1" t="n">
        <v>39031</v>
      </c>
      <c r="B39032">
        <f>TEXT(39031, "[$-0E0000]yyyy-mm-dd")</f>
        <v/>
      </c>
      <c r="C39032" t="inlineStr">
        <is>
          <t>2006-09-21</t>
        </is>
      </c>
    </row>
    <row r="39033">
      <c r="A39033" s="1" t="n">
        <v>39032</v>
      </c>
      <c r="B39033">
        <f>TEXT(39032, "[$-0E0000]yyyy-mm-dd")</f>
        <v/>
      </c>
      <c r="C39033" t="inlineStr">
        <is>
          <t>2006-09-22</t>
        </is>
      </c>
    </row>
    <row r="39034">
      <c r="A39034" s="1" t="n">
        <v>39033</v>
      </c>
      <c r="B39034">
        <f>TEXT(39033, "[$-0E0000]yyyy-mm-dd")</f>
        <v/>
      </c>
      <c r="C39034" t="inlineStr">
        <is>
          <t>2006-09-23</t>
        </is>
      </c>
    </row>
    <row r="39035">
      <c r="A39035" s="1" t="n">
        <v>39034</v>
      </c>
      <c r="B39035">
        <f>TEXT(39034, "[$-0E0000]yyyy-mm-dd")</f>
        <v/>
      </c>
      <c r="C39035" t="inlineStr">
        <is>
          <t>2006-09-24</t>
        </is>
      </c>
    </row>
    <row r="39036">
      <c r="A39036" s="1" t="n">
        <v>39035</v>
      </c>
      <c r="B39036">
        <f>TEXT(39035, "[$-0E0000]yyyy-mm-dd")</f>
        <v/>
      </c>
      <c r="C39036" t="inlineStr">
        <is>
          <t>2006-09-25</t>
        </is>
      </c>
    </row>
    <row r="39037">
      <c r="A39037" s="1" t="n">
        <v>39036</v>
      </c>
      <c r="B39037">
        <f>TEXT(39036, "[$-0E0000]yyyy-mm-dd")</f>
        <v/>
      </c>
      <c r="C39037" t="inlineStr">
        <is>
          <t>2006-09-26</t>
        </is>
      </c>
    </row>
    <row r="39038">
      <c r="A39038" s="1" t="n">
        <v>39037</v>
      </c>
      <c r="B39038">
        <f>TEXT(39037, "[$-0E0000]yyyy-mm-dd")</f>
        <v/>
      </c>
      <c r="C39038" t="inlineStr">
        <is>
          <t>2006-09-27</t>
        </is>
      </c>
    </row>
    <row r="39039">
      <c r="A39039" s="1" t="n">
        <v>39038</v>
      </c>
      <c r="B39039">
        <f>TEXT(39038, "[$-0E0000]yyyy-mm-dd")</f>
        <v/>
      </c>
      <c r="C39039" t="inlineStr">
        <is>
          <t>2006-09-28</t>
        </is>
      </c>
    </row>
    <row r="39040">
      <c r="A39040" s="1" t="n">
        <v>39039</v>
      </c>
      <c r="B39040">
        <f>TEXT(39039, "[$-0E0000]yyyy-mm-dd")</f>
        <v/>
      </c>
      <c r="C39040" t="inlineStr">
        <is>
          <t>2006-09-29</t>
        </is>
      </c>
    </row>
    <row r="39041">
      <c r="A39041" s="1" t="n">
        <v>39040</v>
      </c>
      <c r="B39041">
        <f>TEXT(39040, "[$-0E0000]yyyy-mm-dd")</f>
        <v/>
      </c>
      <c r="C39041" t="inlineStr">
        <is>
          <t>2006-09-30</t>
        </is>
      </c>
    </row>
    <row r="39042">
      <c r="A39042" s="1" t="n">
        <v>39041</v>
      </c>
      <c r="B39042">
        <f>TEXT(39041, "[$-0E0000]yyyy-mm-dd")</f>
        <v/>
      </c>
      <c r="C39042" t="inlineStr">
        <is>
          <t>2006-10-01</t>
        </is>
      </c>
    </row>
    <row r="39043">
      <c r="A39043" s="1" t="n">
        <v>39042</v>
      </c>
      <c r="B39043">
        <f>TEXT(39042, "[$-0E0000]yyyy-mm-dd")</f>
        <v/>
      </c>
      <c r="C39043" t="inlineStr">
        <is>
          <t>2006-10-02</t>
        </is>
      </c>
    </row>
    <row r="39044">
      <c r="A39044" s="1" t="n">
        <v>39043</v>
      </c>
      <c r="B39044">
        <f>TEXT(39043, "[$-0E0000]yyyy-mm-dd")</f>
        <v/>
      </c>
      <c r="C39044" t="inlineStr">
        <is>
          <t>2006-10-03</t>
        </is>
      </c>
    </row>
    <row r="39045">
      <c r="A39045" s="1" t="n">
        <v>39044</v>
      </c>
      <c r="B39045">
        <f>TEXT(39044, "[$-0E0000]yyyy-mm-dd")</f>
        <v/>
      </c>
      <c r="C39045" t="inlineStr">
        <is>
          <t>2006-10-04</t>
        </is>
      </c>
    </row>
    <row r="39046">
      <c r="A39046" s="1" t="n">
        <v>39045</v>
      </c>
      <c r="B39046">
        <f>TEXT(39045, "[$-0E0000]yyyy-mm-dd")</f>
        <v/>
      </c>
      <c r="C39046" t="inlineStr">
        <is>
          <t>2006-10-05</t>
        </is>
      </c>
    </row>
    <row r="39047">
      <c r="A39047" s="1" t="n">
        <v>39046</v>
      </c>
      <c r="B39047">
        <f>TEXT(39046, "[$-0E0000]yyyy-mm-dd")</f>
        <v/>
      </c>
      <c r="C39047" t="inlineStr">
        <is>
          <t>2006-10-06</t>
        </is>
      </c>
    </row>
    <row r="39048">
      <c r="A39048" s="1" t="n">
        <v>39047</v>
      </c>
      <c r="B39048">
        <f>TEXT(39047, "[$-0E0000]yyyy-mm-dd")</f>
        <v/>
      </c>
      <c r="C39048" t="inlineStr">
        <is>
          <t>2006-10-07</t>
        </is>
      </c>
    </row>
    <row r="39049">
      <c r="A39049" s="1" t="n">
        <v>39048</v>
      </c>
      <c r="B39049">
        <f>TEXT(39048, "[$-0E0000]yyyy-mm-dd")</f>
        <v/>
      </c>
      <c r="C39049" t="inlineStr">
        <is>
          <t>2006-10-08</t>
        </is>
      </c>
    </row>
    <row r="39050">
      <c r="A39050" s="1" t="n">
        <v>39049</v>
      </c>
      <c r="B39050">
        <f>TEXT(39049, "[$-0E0000]yyyy-mm-dd")</f>
        <v/>
      </c>
      <c r="C39050" t="inlineStr">
        <is>
          <t>2006-10-09</t>
        </is>
      </c>
    </row>
    <row r="39051">
      <c r="A39051" s="1" t="n">
        <v>39050</v>
      </c>
      <c r="B39051">
        <f>TEXT(39050, "[$-0E0000]yyyy-mm-dd")</f>
        <v/>
      </c>
      <c r="C39051" t="inlineStr">
        <is>
          <t>2006-10-10</t>
        </is>
      </c>
    </row>
    <row r="39052">
      <c r="A39052" s="1" t="n">
        <v>39051</v>
      </c>
      <c r="B39052">
        <f>TEXT(39051, "[$-0E0000]yyyy-mm-dd")</f>
        <v/>
      </c>
      <c r="C39052" t="inlineStr">
        <is>
          <t>2006-10-11</t>
        </is>
      </c>
    </row>
    <row r="39053">
      <c r="A39053" s="1" t="n">
        <v>39052</v>
      </c>
      <c r="B39053">
        <f>TEXT(39052, "[$-0E0000]yyyy-mm-dd")</f>
        <v/>
      </c>
      <c r="C39053" t="inlineStr">
        <is>
          <t>2006-10-12</t>
        </is>
      </c>
    </row>
    <row r="39054">
      <c r="A39054" s="1" t="n">
        <v>39053</v>
      </c>
      <c r="B39054">
        <f>TEXT(39053, "[$-0E0000]yyyy-mm-dd")</f>
        <v/>
      </c>
      <c r="C39054" t="inlineStr">
        <is>
          <t>2006-10-13</t>
        </is>
      </c>
    </row>
    <row r="39055">
      <c r="A39055" s="1" t="n">
        <v>39054</v>
      </c>
      <c r="B39055">
        <f>TEXT(39054, "[$-0E0000]yyyy-mm-dd")</f>
        <v/>
      </c>
      <c r="C39055" t="inlineStr">
        <is>
          <t>2006-10-14</t>
        </is>
      </c>
    </row>
    <row r="39056">
      <c r="A39056" s="1" t="n">
        <v>39055</v>
      </c>
      <c r="B39056">
        <f>TEXT(39055, "[$-0E0000]yyyy-mm-dd")</f>
        <v/>
      </c>
      <c r="C39056" t="inlineStr">
        <is>
          <t>2006-10-15</t>
        </is>
      </c>
    </row>
    <row r="39057">
      <c r="A39057" s="1" t="n">
        <v>39056</v>
      </c>
      <c r="B39057">
        <f>TEXT(39056, "[$-0E0000]yyyy-mm-dd")</f>
        <v/>
      </c>
      <c r="C39057" t="inlineStr">
        <is>
          <t>2006-10-16</t>
        </is>
      </c>
    </row>
    <row r="39058">
      <c r="A39058" s="1" t="n">
        <v>39057</v>
      </c>
      <c r="B39058">
        <f>TEXT(39057, "[$-0E0000]yyyy-mm-dd")</f>
        <v/>
      </c>
      <c r="C39058" t="inlineStr">
        <is>
          <t>2006-10-17</t>
        </is>
      </c>
    </row>
    <row r="39059">
      <c r="A39059" s="1" t="n">
        <v>39058</v>
      </c>
      <c r="B39059">
        <f>TEXT(39058, "[$-0E0000]yyyy-mm-dd")</f>
        <v/>
      </c>
      <c r="C39059" t="inlineStr">
        <is>
          <t>2006-10-18</t>
        </is>
      </c>
    </row>
    <row r="39060">
      <c r="A39060" s="1" t="n">
        <v>39059</v>
      </c>
      <c r="B39060">
        <f>TEXT(39059, "[$-0E0000]yyyy-mm-dd")</f>
        <v/>
      </c>
      <c r="C39060" t="inlineStr">
        <is>
          <t>2006-10-19</t>
        </is>
      </c>
    </row>
    <row r="39061">
      <c r="A39061" s="1" t="n">
        <v>39060</v>
      </c>
      <c r="B39061">
        <f>TEXT(39060, "[$-0E0000]yyyy-mm-dd")</f>
        <v/>
      </c>
      <c r="C39061" t="inlineStr">
        <is>
          <t>2006-10-20</t>
        </is>
      </c>
    </row>
    <row r="39062">
      <c r="A39062" s="1" t="n">
        <v>39061</v>
      </c>
      <c r="B39062">
        <f>TEXT(39061, "[$-0E0000]yyyy-mm-dd")</f>
        <v/>
      </c>
      <c r="C39062" t="inlineStr">
        <is>
          <t>2006-10-21</t>
        </is>
      </c>
    </row>
    <row r="39063">
      <c r="A39063" s="1" t="n">
        <v>39062</v>
      </c>
      <c r="B39063">
        <f>TEXT(39062, "[$-0E0000]yyyy-mm-dd")</f>
        <v/>
      </c>
      <c r="C39063" t="inlineStr">
        <is>
          <t>2006-10-22</t>
        </is>
      </c>
    </row>
    <row r="39064">
      <c r="A39064" s="1" t="n">
        <v>39063</v>
      </c>
      <c r="B39064">
        <f>TEXT(39063, "[$-0E0000]yyyy-mm-dd")</f>
        <v/>
      </c>
      <c r="C39064" t="inlineStr">
        <is>
          <t>2006-10-23</t>
        </is>
      </c>
    </row>
    <row r="39065">
      <c r="A39065" s="1" t="n">
        <v>39064</v>
      </c>
      <c r="B39065">
        <f>TEXT(39064, "[$-0E0000]yyyy-mm-dd")</f>
        <v/>
      </c>
      <c r="C39065" t="inlineStr">
        <is>
          <t>2006-10-24</t>
        </is>
      </c>
    </row>
    <row r="39066">
      <c r="A39066" s="1" t="n">
        <v>39065</v>
      </c>
      <c r="B39066">
        <f>TEXT(39065, "[$-0E0000]yyyy-mm-dd")</f>
        <v/>
      </c>
      <c r="C39066" t="inlineStr">
        <is>
          <t>2006-10-25</t>
        </is>
      </c>
    </row>
    <row r="39067">
      <c r="A39067" s="1" t="n">
        <v>39066</v>
      </c>
      <c r="B39067">
        <f>TEXT(39066, "[$-0E0000]yyyy-mm-dd")</f>
        <v/>
      </c>
      <c r="C39067" t="inlineStr">
        <is>
          <t>2006-10-26</t>
        </is>
      </c>
    </row>
    <row r="39068">
      <c r="A39068" s="1" t="n">
        <v>39067</v>
      </c>
      <c r="B39068">
        <f>TEXT(39067, "[$-0E0000]yyyy-mm-dd")</f>
        <v/>
      </c>
      <c r="C39068" t="inlineStr">
        <is>
          <t>2006-10-27</t>
        </is>
      </c>
    </row>
    <row r="39069">
      <c r="A39069" s="1" t="n">
        <v>39068</v>
      </c>
      <c r="B39069">
        <f>TEXT(39068, "[$-0E0000]yyyy-mm-dd")</f>
        <v/>
      </c>
      <c r="C39069" t="inlineStr">
        <is>
          <t>2006-10-28</t>
        </is>
      </c>
    </row>
    <row r="39070">
      <c r="A39070" s="1" t="n">
        <v>39069</v>
      </c>
      <c r="B39070">
        <f>TEXT(39069, "[$-0E0000]yyyy-mm-dd")</f>
        <v/>
      </c>
      <c r="C39070" t="inlineStr">
        <is>
          <t>2006-10-29</t>
        </is>
      </c>
    </row>
    <row r="39071">
      <c r="A39071" s="1" t="n">
        <v>39070</v>
      </c>
      <c r="B39071">
        <f>TEXT(39070, "[$-0E0000]yyyy-mm-dd")</f>
        <v/>
      </c>
      <c r="C39071" t="inlineStr">
        <is>
          <t>2006-11-01</t>
        </is>
      </c>
    </row>
    <row r="39072">
      <c r="A39072" s="1" t="n">
        <v>39071</v>
      </c>
      <c r="B39072">
        <f>TEXT(39071, "[$-0E0000]yyyy-mm-dd")</f>
        <v/>
      </c>
      <c r="C39072" t="inlineStr">
        <is>
          <t>2006-11-02</t>
        </is>
      </c>
    </row>
    <row r="39073">
      <c r="A39073" s="1" t="n">
        <v>39072</v>
      </c>
      <c r="B39073">
        <f>TEXT(39072, "[$-0E0000]yyyy-mm-dd")</f>
        <v/>
      </c>
      <c r="C39073" t="inlineStr">
        <is>
          <t>2006-11-03</t>
        </is>
      </c>
    </row>
    <row r="39074">
      <c r="A39074" s="1" t="n">
        <v>39073</v>
      </c>
      <c r="B39074">
        <f>TEXT(39073, "[$-0E0000]yyyy-mm-dd")</f>
        <v/>
      </c>
      <c r="C39074" t="inlineStr">
        <is>
          <t>2006-11-04</t>
        </is>
      </c>
    </row>
    <row r="39075">
      <c r="A39075" s="1" t="n">
        <v>39074</v>
      </c>
      <c r="B39075">
        <f>TEXT(39074, "[$-0E0000]yyyy-mm-dd")</f>
        <v/>
      </c>
      <c r="C39075" t="inlineStr">
        <is>
          <t>2006-11-05</t>
        </is>
      </c>
    </row>
    <row r="39076">
      <c r="A39076" s="1" t="n">
        <v>39075</v>
      </c>
      <c r="B39076">
        <f>TEXT(39075, "[$-0E0000]yyyy-mm-dd")</f>
        <v/>
      </c>
      <c r="C39076" t="inlineStr">
        <is>
          <t>2006-11-06</t>
        </is>
      </c>
    </row>
    <row r="39077">
      <c r="A39077" s="1" t="n">
        <v>39076</v>
      </c>
      <c r="B39077">
        <f>TEXT(39076, "[$-0E0000]yyyy-mm-dd")</f>
        <v/>
      </c>
      <c r="C39077" t="inlineStr">
        <is>
          <t>2006-11-07</t>
        </is>
      </c>
    </row>
    <row r="39078">
      <c r="A39078" s="1" t="n">
        <v>39077</v>
      </c>
      <c r="B39078">
        <f>TEXT(39077, "[$-0E0000]yyyy-mm-dd")</f>
        <v/>
      </c>
      <c r="C39078" t="inlineStr">
        <is>
          <t>2006-11-08</t>
        </is>
      </c>
    </row>
    <row r="39079">
      <c r="A39079" s="1" t="n">
        <v>39078</v>
      </c>
      <c r="B39079">
        <f>TEXT(39078, "[$-0E0000]yyyy-mm-dd")</f>
        <v/>
      </c>
      <c r="C39079" t="inlineStr">
        <is>
          <t>2006-11-09</t>
        </is>
      </c>
    </row>
    <row r="39080">
      <c r="A39080" s="1" t="n">
        <v>39079</v>
      </c>
      <c r="B39080">
        <f>TEXT(39079, "[$-0E0000]yyyy-mm-dd")</f>
        <v/>
      </c>
      <c r="C39080" t="inlineStr">
        <is>
          <t>2006-11-10</t>
        </is>
      </c>
    </row>
    <row r="39081">
      <c r="A39081" s="1" t="n">
        <v>39080</v>
      </c>
      <c r="B39081">
        <f>TEXT(39080, "[$-0E0000]yyyy-mm-dd")</f>
        <v/>
      </c>
      <c r="C39081" t="inlineStr">
        <is>
          <t>2006-11-11</t>
        </is>
      </c>
    </row>
    <row r="39082">
      <c r="A39082" s="1" t="n">
        <v>39081</v>
      </c>
      <c r="B39082">
        <f>TEXT(39081, "[$-0E0000]yyyy-mm-dd")</f>
        <v/>
      </c>
      <c r="C39082" t="inlineStr">
        <is>
          <t>2006-11-12</t>
        </is>
      </c>
    </row>
    <row r="39083">
      <c r="A39083" s="1" t="n">
        <v>39082</v>
      </c>
      <c r="B39083">
        <f>TEXT(39082, "[$-0E0000]yyyy-mm-dd")</f>
        <v/>
      </c>
      <c r="C39083" t="inlineStr">
        <is>
          <t>2006-11-13</t>
        </is>
      </c>
    </row>
    <row r="39084">
      <c r="A39084" s="1" t="n">
        <v>39083</v>
      </c>
      <c r="B39084">
        <f>TEXT(39083, "[$-0E0000]yyyy-mm-dd")</f>
        <v/>
      </c>
      <c r="C39084" t="inlineStr">
        <is>
          <t>2006-11-14</t>
        </is>
      </c>
    </row>
    <row r="39085">
      <c r="A39085" s="1" t="n">
        <v>39084</v>
      </c>
      <c r="B39085">
        <f>TEXT(39084, "[$-0E0000]yyyy-mm-dd")</f>
        <v/>
      </c>
      <c r="C39085" t="inlineStr">
        <is>
          <t>2006-11-15</t>
        </is>
      </c>
    </row>
    <row r="39086">
      <c r="A39086" s="1" t="n">
        <v>39085</v>
      </c>
      <c r="B39086">
        <f>TEXT(39085, "[$-0E0000]yyyy-mm-dd")</f>
        <v/>
      </c>
      <c r="C39086" t="inlineStr">
        <is>
          <t>2006-11-16</t>
        </is>
      </c>
    </row>
    <row r="39087">
      <c r="A39087" s="1" t="n">
        <v>39086</v>
      </c>
      <c r="B39087">
        <f>TEXT(39086, "[$-0E0000]yyyy-mm-dd")</f>
        <v/>
      </c>
      <c r="C39087" t="inlineStr">
        <is>
          <t>2006-11-17</t>
        </is>
      </c>
    </row>
    <row r="39088">
      <c r="A39088" s="1" t="n">
        <v>39087</v>
      </c>
      <c r="B39088">
        <f>TEXT(39087, "[$-0E0000]yyyy-mm-dd")</f>
        <v/>
      </c>
      <c r="C39088" t="inlineStr">
        <is>
          <t>2006-11-18</t>
        </is>
      </c>
    </row>
    <row r="39089">
      <c r="A39089" s="1" t="n">
        <v>39088</v>
      </c>
      <c r="B39089">
        <f>TEXT(39088, "[$-0E0000]yyyy-mm-dd")</f>
        <v/>
      </c>
      <c r="C39089" t="inlineStr">
        <is>
          <t>2006-11-19</t>
        </is>
      </c>
    </row>
    <row r="39090">
      <c r="A39090" s="1" t="n">
        <v>39089</v>
      </c>
      <c r="B39090">
        <f>TEXT(39089, "[$-0E0000]yyyy-mm-dd")</f>
        <v/>
      </c>
      <c r="C39090" t="inlineStr">
        <is>
          <t>2006-11-20</t>
        </is>
      </c>
    </row>
    <row r="39091">
      <c r="A39091" s="1" t="n">
        <v>39090</v>
      </c>
      <c r="B39091">
        <f>TEXT(39090, "[$-0E0000]yyyy-mm-dd")</f>
        <v/>
      </c>
      <c r="C39091" t="inlineStr">
        <is>
          <t>2006-11-21</t>
        </is>
      </c>
    </row>
    <row r="39092">
      <c r="A39092" s="1" t="n">
        <v>39091</v>
      </c>
      <c r="B39092">
        <f>TEXT(39091, "[$-0E0000]yyyy-mm-dd")</f>
        <v/>
      </c>
      <c r="C39092" t="inlineStr">
        <is>
          <t>2006-11-22</t>
        </is>
      </c>
    </row>
    <row r="39093">
      <c r="A39093" s="1" t="n">
        <v>39092</v>
      </c>
      <c r="B39093">
        <f>TEXT(39092, "[$-0E0000]yyyy-mm-dd")</f>
        <v/>
      </c>
      <c r="C39093" t="inlineStr">
        <is>
          <t>2006-11-23</t>
        </is>
      </c>
    </row>
    <row r="39094">
      <c r="A39094" s="1" t="n">
        <v>39093</v>
      </c>
      <c r="B39094">
        <f>TEXT(39093, "[$-0E0000]yyyy-mm-dd")</f>
        <v/>
      </c>
      <c r="C39094" t="inlineStr">
        <is>
          <t>2006-11-24</t>
        </is>
      </c>
    </row>
    <row r="39095">
      <c r="A39095" s="1" t="n">
        <v>39094</v>
      </c>
      <c r="B39095">
        <f>TEXT(39094, "[$-0E0000]yyyy-mm-dd")</f>
        <v/>
      </c>
      <c r="C39095" t="inlineStr">
        <is>
          <t>2006-11-25</t>
        </is>
      </c>
    </row>
    <row r="39096">
      <c r="A39096" s="1" t="n">
        <v>39095</v>
      </c>
      <c r="B39096">
        <f>TEXT(39095, "[$-0E0000]yyyy-mm-dd")</f>
        <v/>
      </c>
      <c r="C39096" t="inlineStr">
        <is>
          <t>2006-11-26</t>
        </is>
      </c>
    </row>
    <row r="39097">
      <c r="A39097" s="1" t="n">
        <v>39096</v>
      </c>
      <c r="B39097">
        <f>TEXT(39096, "[$-0E0000]yyyy-mm-dd")</f>
        <v/>
      </c>
      <c r="C39097" t="inlineStr">
        <is>
          <t>2006-11-27</t>
        </is>
      </c>
    </row>
    <row r="39098">
      <c r="A39098" s="1" t="n">
        <v>39097</v>
      </c>
      <c r="B39098">
        <f>TEXT(39097, "[$-0E0000]yyyy-mm-dd")</f>
        <v/>
      </c>
      <c r="C39098" t="inlineStr">
        <is>
          <t>2006-11-28</t>
        </is>
      </c>
    </row>
    <row r="39099">
      <c r="A39099" s="1" t="n">
        <v>39098</v>
      </c>
      <c r="B39099">
        <f>TEXT(39098, "[$-0E0000]yyyy-mm-dd")</f>
        <v/>
      </c>
      <c r="C39099" t="inlineStr">
        <is>
          <t>2006-11-29</t>
        </is>
      </c>
    </row>
    <row r="39100">
      <c r="A39100" s="1" t="n">
        <v>39099</v>
      </c>
      <c r="B39100">
        <f>TEXT(39099, "[$-0E0000]yyyy-mm-dd")</f>
        <v/>
      </c>
      <c r="C39100" t="inlineStr">
        <is>
          <t>2006-11-30</t>
        </is>
      </c>
    </row>
    <row r="39101">
      <c r="A39101" s="1" t="n">
        <v>39100</v>
      </c>
      <c r="B39101">
        <f>TEXT(39100, "[$-0E0000]yyyy-mm-dd")</f>
        <v/>
      </c>
      <c r="C39101" t="inlineStr">
        <is>
          <t>2006-12-01</t>
        </is>
      </c>
    </row>
    <row r="39102">
      <c r="A39102" s="1" t="n">
        <v>39101</v>
      </c>
      <c r="B39102">
        <f>TEXT(39101, "[$-0E0000]yyyy-mm-dd")</f>
        <v/>
      </c>
      <c r="C39102" t="inlineStr">
        <is>
          <t>2006-12-02</t>
        </is>
      </c>
    </row>
    <row r="39103">
      <c r="A39103" s="1" t="n">
        <v>39102</v>
      </c>
      <c r="B39103">
        <f>TEXT(39102, "[$-0E0000]yyyy-mm-dd")</f>
        <v/>
      </c>
      <c r="C39103" t="inlineStr">
        <is>
          <t>2006-12-03</t>
        </is>
      </c>
    </row>
    <row r="39104">
      <c r="A39104" s="1" t="n">
        <v>39103</v>
      </c>
      <c r="B39104">
        <f>TEXT(39103, "[$-0E0000]yyyy-mm-dd")</f>
        <v/>
      </c>
      <c r="C39104" t="inlineStr">
        <is>
          <t>2006-12-04</t>
        </is>
      </c>
    </row>
    <row r="39105">
      <c r="A39105" s="1" t="n">
        <v>39104</v>
      </c>
      <c r="B39105">
        <f>TEXT(39104, "[$-0E0000]yyyy-mm-dd")</f>
        <v/>
      </c>
      <c r="C39105" t="inlineStr">
        <is>
          <t>2006-12-05</t>
        </is>
      </c>
    </row>
    <row r="39106">
      <c r="A39106" s="1" t="n">
        <v>39105</v>
      </c>
      <c r="B39106">
        <f>TEXT(39105, "[$-0E0000]yyyy-mm-dd")</f>
        <v/>
      </c>
      <c r="C39106" t="inlineStr">
        <is>
          <t>2006-12-06</t>
        </is>
      </c>
    </row>
    <row r="39107">
      <c r="A39107" s="1" t="n">
        <v>39106</v>
      </c>
      <c r="B39107">
        <f>TEXT(39106, "[$-0E0000]yyyy-mm-dd")</f>
        <v/>
      </c>
      <c r="C39107" t="inlineStr">
        <is>
          <t>2006-12-07</t>
        </is>
      </c>
    </row>
    <row r="39108">
      <c r="A39108" s="1" t="n">
        <v>39107</v>
      </c>
      <c r="B39108">
        <f>TEXT(39107, "[$-0E0000]yyyy-mm-dd")</f>
        <v/>
      </c>
      <c r="C39108" t="inlineStr">
        <is>
          <t>2006-12-08</t>
        </is>
      </c>
    </row>
    <row r="39109">
      <c r="A39109" s="1" t="n">
        <v>39108</v>
      </c>
      <c r="B39109">
        <f>TEXT(39108, "[$-0E0000]yyyy-mm-dd")</f>
        <v/>
      </c>
      <c r="C39109" t="inlineStr">
        <is>
          <t>2006-12-09</t>
        </is>
      </c>
    </row>
    <row r="39110">
      <c r="A39110" s="1" t="n">
        <v>39109</v>
      </c>
      <c r="B39110">
        <f>TEXT(39109, "[$-0E0000]yyyy-mm-dd")</f>
        <v/>
      </c>
      <c r="C39110" t="inlineStr">
        <is>
          <t>2006-12-10</t>
        </is>
      </c>
    </row>
    <row r="39111">
      <c r="A39111" s="1" t="n">
        <v>39110</v>
      </c>
      <c r="B39111">
        <f>TEXT(39110, "[$-0E0000]yyyy-mm-dd")</f>
        <v/>
      </c>
      <c r="C39111" t="inlineStr">
        <is>
          <t>2006-12-11</t>
        </is>
      </c>
    </row>
    <row r="39112">
      <c r="A39112" s="1" t="n">
        <v>39111</v>
      </c>
      <c r="B39112">
        <f>TEXT(39111, "[$-0E0000]yyyy-mm-dd")</f>
        <v/>
      </c>
      <c r="C39112" t="inlineStr">
        <is>
          <t>2006-12-12</t>
        </is>
      </c>
    </row>
    <row r="39113">
      <c r="A39113" s="1" t="n">
        <v>39112</v>
      </c>
      <c r="B39113">
        <f>TEXT(39112, "[$-0E0000]yyyy-mm-dd")</f>
        <v/>
      </c>
      <c r="C39113" t="inlineStr">
        <is>
          <t>2006-12-13</t>
        </is>
      </c>
    </row>
    <row r="39114">
      <c r="A39114" s="1" t="n">
        <v>39113</v>
      </c>
      <c r="B39114">
        <f>TEXT(39113, "[$-0E0000]yyyy-mm-dd")</f>
        <v/>
      </c>
      <c r="C39114" t="inlineStr">
        <is>
          <t>2006-12-14</t>
        </is>
      </c>
    </row>
    <row r="39115">
      <c r="A39115" s="1" t="n">
        <v>39114</v>
      </c>
      <c r="B39115">
        <f>TEXT(39114, "[$-0E0000]yyyy-mm-dd")</f>
        <v/>
      </c>
      <c r="C39115" t="inlineStr">
        <is>
          <t>2006-12-15</t>
        </is>
      </c>
    </row>
    <row r="39116">
      <c r="A39116" s="1" t="n">
        <v>39115</v>
      </c>
      <c r="B39116">
        <f>TEXT(39115, "[$-0E0000]yyyy-mm-dd")</f>
        <v/>
      </c>
      <c r="C39116" t="inlineStr">
        <is>
          <t>2006-12-16</t>
        </is>
      </c>
    </row>
    <row r="39117">
      <c r="A39117" s="1" t="n">
        <v>39116</v>
      </c>
      <c r="B39117">
        <f>TEXT(39116, "[$-0E0000]yyyy-mm-dd")</f>
        <v/>
      </c>
      <c r="C39117" t="inlineStr">
        <is>
          <t>2006-12-17</t>
        </is>
      </c>
    </row>
    <row r="39118">
      <c r="A39118" s="1" t="n">
        <v>39117</v>
      </c>
      <c r="B39118">
        <f>TEXT(39117, "[$-0E0000]yyyy-mm-dd")</f>
        <v/>
      </c>
      <c r="C39118" t="inlineStr">
        <is>
          <t>2006-12-18</t>
        </is>
      </c>
    </row>
    <row r="39119">
      <c r="A39119" s="1" t="n">
        <v>39118</v>
      </c>
      <c r="B39119">
        <f>TEXT(39118, "[$-0E0000]yyyy-mm-dd")</f>
        <v/>
      </c>
      <c r="C39119" t="inlineStr">
        <is>
          <t>2006-12-19</t>
        </is>
      </c>
    </row>
    <row r="39120">
      <c r="A39120" s="1" t="n">
        <v>39119</v>
      </c>
      <c r="B39120">
        <f>TEXT(39119, "[$-0E0000]yyyy-mm-dd")</f>
        <v/>
      </c>
      <c r="C39120" t="inlineStr">
        <is>
          <t>2006-12-20</t>
        </is>
      </c>
    </row>
    <row r="39121">
      <c r="A39121" s="1" t="n">
        <v>39120</v>
      </c>
      <c r="B39121">
        <f>TEXT(39120, "[$-0E0000]yyyy-mm-dd")</f>
        <v/>
      </c>
      <c r="C39121" t="inlineStr">
        <is>
          <t>2006-12-21</t>
        </is>
      </c>
    </row>
    <row r="39122">
      <c r="A39122" s="1" t="n">
        <v>39121</v>
      </c>
      <c r="B39122">
        <f>TEXT(39121, "[$-0E0000]yyyy-mm-dd")</f>
        <v/>
      </c>
      <c r="C39122" t="inlineStr">
        <is>
          <t>2006-12-22</t>
        </is>
      </c>
    </row>
    <row r="39123">
      <c r="A39123" s="1" t="n">
        <v>39122</v>
      </c>
      <c r="B39123">
        <f>TEXT(39122, "[$-0E0000]yyyy-mm-dd")</f>
        <v/>
      </c>
      <c r="C39123" t="inlineStr">
        <is>
          <t>2006-12-23</t>
        </is>
      </c>
    </row>
    <row r="39124">
      <c r="A39124" s="1" t="n">
        <v>39123</v>
      </c>
      <c r="B39124">
        <f>TEXT(39123, "[$-0E0000]yyyy-mm-dd")</f>
        <v/>
      </c>
      <c r="C39124" t="inlineStr">
        <is>
          <t>2006-12-24</t>
        </is>
      </c>
    </row>
    <row r="39125">
      <c r="A39125" s="1" t="n">
        <v>39124</v>
      </c>
      <c r="B39125">
        <f>TEXT(39124, "[$-0E0000]yyyy-mm-dd")</f>
        <v/>
      </c>
      <c r="C39125" t="inlineStr">
        <is>
          <t>2006-12-25</t>
        </is>
      </c>
    </row>
    <row r="39126">
      <c r="A39126" s="1" t="n">
        <v>39125</v>
      </c>
      <c r="B39126">
        <f>TEXT(39125, "[$-0E0000]yyyy-mm-dd")</f>
        <v/>
      </c>
      <c r="C39126" t="inlineStr">
        <is>
          <t>2006-12-26</t>
        </is>
      </c>
    </row>
    <row r="39127">
      <c r="A39127" s="1" t="n">
        <v>39126</v>
      </c>
      <c r="B39127">
        <f>TEXT(39126, "[$-0E0000]yyyy-mm-dd")</f>
        <v/>
      </c>
      <c r="C39127" t="inlineStr">
        <is>
          <t>2006-12-27</t>
        </is>
      </c>
    </row>
    <row r="39128">
      <c r="A39128" s="1" t="n">
        <v>39127</v>
      </c>
      <c r="B39128">
        <f>TEXT(39127, "[$-0E0000]yyyy-mm-dd")</f>
        <v/>
      </c>
      <c r="C39128" t="inlineStr">
        <is>
          <t>2006-12-28</t>
        </is>
      </c>
    </row>
    <row r="39129">
      <c r="A39129" s="1" t="n">
        <v>39128</v>
      </c>
      <c r="B39129">
        <f>TEXT(39128, "[$-0E0000]yyyy-mm-dd")</f>
        <v/>
      </c>
      <c r="C39129" t="inlineStr">
        <is>
          <t>2006-12-29</t>
        </is>
      </c>
    </row>
    <row r="39130">
      <c r="A39130" s="1" t="n">
        <v>39129</v>
      </c>
      <c r="B39130">
        <f>TEXT(39129, "[$-0E0000]yyyy-mm-dd")</f>
        <v/>
      </c>
      <c r="C39130" t="inlineStr">
        <is>
          <t>2006-12-30</t>
        </is>
      </c>
    </row>
    <row r="39131">
      <c r="A39131" s="1" t="n">
        <v>39130</v>
      </c>
      <c r="B39131">
        <f>TEXT(39130, "[$-0E0000]yyyy-mm-dd")</f>
        <v/>
      </c>
      <c r="C39131" t="inlineStr">
        <is>
          <t>2007-01-01</t>
        </is>
      </c>
    </row>
    <row r="39132">
      <c r="A39132" s="1" t="n">
        <v>39131</v>
      </c>
      <c r="B39132">
        <f>TEXT(39131, "[$-0E0000]yyyy-mm-dd")</f>
        <v/>
      </c>
      <c r="C39132" t="inlineStr">
        <is>
          <t>2007-01-02</t>
        </is>
      </c>
    </row>
    <row r="39133">
      <c r="A39133" s="1" t="n">
        <v>39132</v>
      </c>
      <c r="B39133">
        <f>TEXT(39132, "[$-0E0000]yyyy-mm-dd")</f>
        <v/>
      </c>
      <c r="C39133" t="inlineStr">
        <is>
          <t>2007-01-03</t>
        </is>
      </c>
    </row>
    <row r="39134">
      <c r="A39134" s="1" t="n">
        <v>39133</v>
      </c>
      <c r="B39134">
        <f>TEXT(39133, "[$-0E0000]yyyy-mm-dd")</f>
        <v/>
      </c>
      <c r="C39134" t="inlineStr">
        <is>
          <t>2007-01-04</t>
        </is>
      </c>
    </row>
    <row r="39135">
      <c r="A39135" s="1" t="n">
        <v>39134</v>
      </c>
      <c r="B39135">
        <f>TEXT(39134, "[$-0E0000]yyyy-mm-dd")</f>
        <v/>
      </c>
      <c r="C39135" t="inlineStr">
        <is>
          <t>2007-01-05</t>
        </is>
      </c>
    </row>
    <row r="39136">
      <c r="A39136" s="1" t="n">
        <v>39135</v>
      </c>
      <c r="B39136">
        <f>TEXT(39135, "[$-0E0000]yyyy-mm-dd")</f>
        <v/>
      </c>
      <c r="C39136" t="inlineStr">
        <is>
          <t>2007-01-06</t>
        </is>
      </c>
    </row>
    <row r="39137">
      <c r="A39137" s="1" t="n">
        <v>39136</v>
      </c>
      <c r="B39137">
        <f>TEXT(39136, "[$-0E0000]yyyy-mm-dd")</f>
        <v/>
      </c>
      <c r="C39137" t="inlineStr">
        <is>
          <t>2007-01-07</t>
        </is>
      </c>
    </row>
    <row r="39138">
      <c r="A39138" s="1" t="n">
        <v>39137</v>
      </c>
      <c r="B39138">
        <f>TEXT(39137, "[$-0E0000]yyyy-mm-dd")</f>
        <v/>
      </c>
      <c r="C39138" t="inlineStr">
        <is>
          <t>2007-01-08</t>
        </is>
      </c>
    </row>
    <row r="39139">
      <c r="A39139" s="1" t="n">
        <v>39138</v>
      </c>
      <c r="B39139">
        <f>TEXT(39138, "[$-0E0000]yyyy-mm-dd")</f>
        <v/>
      </c>
      <c r="C39139" t="inlineStr">
        <is>
          <t>2007-01-09</t>
        </is>
      </c>
    </row>
    <row r="39140">
      <c r="A39140" s="1" t="n">
        <v>39139</v>
      </c>
      <c r="B39140">
        <f>TEXT(39139, "[$-0E0000]yyyy-mm-dd")</f>
        <v/>
      </c>
      <c r="C39140" t="inlineStr">
        <is>
          <t>2007-01-10</t>
        </is>
      </c>
    </row>
    <row r="39141">
      <c r="A39141" s="1" t="n">
        <v>39140</v>
      </c>
      <c r="B39141">
        <f>TEXT(39140, "[$-0E0000]yyyy-mm-dd")</f>
        <v/>
      </c>
      <c r="C39141" t="inlineStr">
        <is>
          <t>2007-01-11</t>
        </is>
      </c>
    </row>
    <row r="39142">
      <c r="A39142" s="1" t="n">
        <v>39141</v>
      </c>
      <c r="B39142">
        <f>TEXT(39141, "[$-0E0000]yyyy-mm-dd")</f>
        <v/>
      </c>
      <c r="C39142" t="inlineStr">
        <is>
          <t>2007-01-12</t>
        </is>
      </c>
    </row>
    <row r="39143">
      <c r="A39143" s="1" t="n">
        <v>39142</v>
      </c>
      <c r="B39143">
        <f>TEXT(39142, "[$-0E0000]yyyy-mm-dd")</f>
        <v/>
      </c>
      <c r="C39143" t="inlineStr">
        <is>
          <t>2007-01-13</t>
        </is>
      </c>
    </row>
    <row r="39144">
      <c r="A39144" s="1" t="n">
        <v>39143</v>
      </c>
      <c r="B39144">
        <f>TEXT(39143, "[$-0E0000]yyyy-mm-dd")</f>
        <v/>
      </c>
      <c r="C39144" t="inlineStr">
        <is>
          <t>2007-01-14</t>
        </is>
      </c>
    </row>
    <row r="39145">
      <c r="A39145" s="1" t="n">
        <v>39144</v>
      </c>
      <c r="B39145">
        <f>TEXT(39144, "[$-0E0000]yyyy-mm-dd")</f>
        <v/>
      </c>
      <c r="C39145" t="inlineStr">
        <is>
          <t>2007-01-15</t>
        </is>
      </c>
    </row>
    <row r="39146">
      <c r="A39146" s="1" t="n">
        <v>39145</v>
      </c>
      <c r="B39146">
        <f>TEXT(39145, "[$-0E0000]yyyy-mm-dd")</f>
        <v/>
      </c>
      <c r="C39146" t="inlineStr">
        <is>
          <t>2007-01-16</t>
        </is>
      </c>
    </row>
    <row r="39147">
      <c r="A39147" s="1" t="n">
        <v>39146</v>
      </c>
      <c r="B39147">
        <f>TEXT(39146, "[$-0E0000]yyyy-mm-dd")</f>
        <v/>
      </c>
      <c r="C39147" t="inlineStr">
        <is>
          <t>2007-01-17</t>
        </is>
      </c>
    </row>
    <row r="39148">
      <c r="A39148" s="1" t="n">
        <v>39147</v>
      </c>
      <c r="B39148">
        <f>TEXT(39147, "[$-0E0000]yyyy-mm-dd")</f>
        <v/>
      </c>
      <c r="C39148" t="inlineStr">
        <is>
          <t>2007-01-18</t>
        </is>
      </c>
    </row>
    <row r="39149">
      <c r="A39149" s="1" t="n">
        <v>39148</v>
      </c>
      <c r="B39149">
        <f>TEXT(39148, "[$-0E0000]yyyy-mm-dd")</f>
        <v/>
      </c>
      <c r="C39149" t="inlineStr">
        <is>
          <t>2007-01-19</t>
        </is>
      </c>
    </row>
    <row r="39150">
      <c r="A39150" s="1" t="n">
        <v>39149</v>
      </c>
      <c r="B39150">
        <f>TEXT(39149, "[$-0E0000]yyyy-mm-dd")</f>
        <v/>
      </c>
      <c r="C39150" t="inlineStr">
        <is>
          <t>2007-01-20</t>
        </is>
      </c>
    </row>
    <row r="39151">
      <c r="A39151" s="1" t="n">
        <v>39150</v>
      </c>
      <c r="B39151">
        <f>TEXT(39150, "[$-0E0000]yyyy-mm-dd")</f>
        <v/>
      </c>
      <c r="C39151" t="inlineStr">
        <is>
          <t>2007-01-21</t>
        </is>
      </c>
    </row>
    <row r="39152">
      <c r="A39152" s="1" t="n">
        <v>39151</v>
      </c>
      <c r="B39152">
        <f>TEXT(39151, "[$-0E0000]yyyy-mm-dd")</f>
        <v/>
      </c>
      <c r="C39152" t="inlineStr">
        <is>
          <t>2007-01-22</t>
        </is>
      </c>
    </row>
    <row r="39153">
      <c r="A39153" s="1" t="n">
        <v>39152</v>
      </c>
      <c r="B39153">
        <f>TEXT(39152, "[$-0E0000]yyyy-mm-dd")</f>
        <v/>
      </c>
      <c r="C39153" t="inlineStr">
        <is>
          <t>2007-01-23</t>
        </is>
      </c>
    </row>
    <row r="39154">
      <c r="A39154" s="1" t="n">
        <v>39153</v>
      </c>
      <c r="B39154">
        <f>TEXT(39153, "[$-0E0000]yyyy-mm-dd")</f>
        <v/>
      </c>
      <c r="C39154" t="inlineStr">
        <is>
          <t>2007-01-24</t>
        </is>
      </c>
    </row>
    <row r="39155">
      <c r="A39155" s="1" t="n">
        <v>39154</v>
      </c>
      <c r="B39155">
        <f>TEXT(39154, "[$-0E0000]yyyy-mm-dd")</f>
        <v/>
      </c>
      <c r="C39155" t="inlineStr">
        <is>
          <t>2007-01-25</t>
        </is>
      </c>
    </row>
    <row r="39156">
      <c r="A39156" s="1" t="n">
        <v>39155</v>
      </c>
      <c r="B39156">
        <f>TEXT(39155, "[$-0E0000]yyyy-mm-dd")</f>
        <v/>
      </c>
      <c r="C39156" t="inlineStr">
        <is>
          <t>2007-01-26</t>
        </is>
      </c>
    </row>
    <row r="39157">
      <c r="A39157" s="1" t="n">
        <v>39156</v>
      </c>
      <c r="B39157">
        <f>TEXT(39156, "[$-0E0000]yyyy-mm-dd")</f>
        <v/>
      </c>
      <c r="C39157" t="inlineStr">
        <is>
          <t>2007-01-27</t>
        </is>
      </c>
    </row>
    <row r="39158">
      <c r="A39158" s="1" t="n">
        <v>39157</v>
      </c>
      <c r="B39158">
        <f>TEXT(39157, "[$-0E0000]yyyy-mm-dd")</f>
        <v/>
      </c>
      <c r="C39158" t="inlineStr">
        <is>
          <t>2007-01-28</t>
        </is>
      </c>
    </row>
    <row r="39159">
      <c r="A39159" s="1" t="n">
        <v>39158</v>
      </c>
      <c r="B39159">
        <f>TEXT(39158, "[$-0E0000]yyyy-mm-dd")</f>
        <v/>
      </c>
      <c r="C39159" t="inlineStr">
        <is>
          <t>2007-01-29</t>
        </is>
      </c>
    </row>
    <row r="39160">
      <c r="A39160" s="1" t="n">
        <v>39159</v>
      </c>
      <c r="B39160">
        <f>TEXT(39159, "[$-0E0000]yyyy-mm-dd")</f>
        <v/>
      </c>
      <c r="C39160" t="inlineStr">
        <is>
          <t>2007-02-01</t>
        </is>
      </c>
    </row>
    <row r="39161">
      <c r="A39161" s="1" t="n">
        <v>39160</v>
      </c>
      <c r="B39161">
        <f>TEXT(39160, "[$-0E0000]yyyy-mm-dd")</f>
        <v/>
      </c>
      <c r="C39161" t="inlineStr">
        <is>
          <t>2007-02-02</t>
        </is>
      </c>
    </row>
    <row r="39162">
      <c r="A39162" s="1" t="n">
        <v>39161</v>
      </c>
      <c r="B39162">
        <f>TEXT(39161, "[$-0E0000]yyyy-mm-dd")</f>
        <v/>
      </c>
      <c r="C39162" t="inlineStr">
        <is>
          <t>2007-02-03</t>
        </is>
      </c>
    </row>
    <row r="39163">
      <c r="A39163" s="1" t="n">
        <v>39162</v>
      </c>
      <c r="B39163">
        <f>TEXT(39162, "[$-0E0000]yyyy-mm-dd")</f>
        <v/>
      </c>
      <c r="C39163" t="inlineStr">
        <is>
          <t>2007-02-04</t>
        </is>
      </c>
    </row>
    <row r="39164">
      <c r="A39164" s="1" t="n">
        <v>39163</v>
      </c>
      <c r="B39164">
        <f>TEXT(39163, "[$-0E0000]yyyy-mm-dd")</f>
        <v/>
      </c>
      <c r="C39164" t="inlineStr">
        <is>
          <t>2007-02-05</t>
        </is>
      </c>
    </row>
    <row r="39165">
      <c r="A39165" s="1" t="n">
        <v>39164</v>
      </c>
      <c r="B39165">
        <f>TEXT(39164, "[$-0E0000]yyyy-mm-dd")</f>
        <v/>
      </c>
      <c r="C39165" t="inlineStr">
        <is>
          <t>2007-02-06</t>
        </is>
      </c>
    </row>
    <row r="39166">
      <c r="A39166" s="1" t="n">
        <v>39165</v>
      </c>
      <c r="B39166">
        <f>TEXT(39165, "[$-0E0000]yyyy-mm-dd")</f>
        <v/>
      </c>
      <c r="C39166" t="inlineStr">
        <is>
          <t>2007-02-07</t>
        </is>
      </c>
    </row>
    <row r="39167">
      <c r="A39167" s="1" t="n">
        <v>39166</v>
      </c>
      <c r="B39167">
        <f>TEXT(39166, "[$-0E0000]yyyy-mm-dd")</f>
        <v/>
      </c>
      <c r="C39167" t="inlineStr">
        <is>
          <t>2007-02-08</t>
        </is>
      </c>
    </row>
    <row r="39168">
      <c r="A39168" s="1" t="n">
        <v>39167</v>
      </c>
      <c r="B39168">
        <f>TEXT(39167, "[$-0E0000]yyyy-mm-dd")</f>
        <v/>
      </c>
      <c r="C39168" t="inlineStr">
        <is>
          <t>2007-02-09</t>
        </is>
      </c>
    </row>
    <row r="39169">
      <c r="A39169" s="1" t="n">
        <v>39168</v>
      </c>
      <c r="B39169">
        <f>TEXT(39168, "[$-0E0000]yyyy-mm-dd")</f>
        <v/>
      </c>
      <c r="C39169" t="inlineStr">
        <is>
          <t>2007-02-10</t>
        </is>
      </c>
    </row>
    <row r="39170">
      <c r="A39170" s="1" t="n">
        <v>39169</v>
      </c>
      <c r="B39170">
        <f>TEXT(39169, "[$-0E0000]yyyy-mm-dd")</f>
        <v/>
      </c>
      <c r="C39170" t="inlineStr">
        <is>
          <t>2007-02-11</t>
        </is>
      </c>
    </row>
    <row r="39171">
      <c r="A39171" s="1" t="n">
        <v>39170</v>
      </c>
      <c r="B39171">
        <f>TEXT(39170, "[$-0E0000]yyyy-mm-dd")</f>
        <v/>
      </c>
      <c r="C39171" t="inlineStr">
        <is>
          <t>2007-02-12</t>
        </is>
      </c>
    </row>
    <row r="39172">
      <c r="A39172" s="1" t="n">
        <v>39171</v>
      </c>
      <c r="B39172">
        <f>TEXT(39171, "[$-0E0000]yyyy-mm-dd")</f>
        <v/>
      </c>
      <c r="C39172" t="inlineStr">
        <is>
          <t>2007-02-13</t>
        </is>
      </c>
    </row>
    <row r="39173">
      <c r="A39173" s="1" t="n">
        <v>39172</v>
      </c>
      <c r="B39173">
        <f>TEXT(39172, "[$-0E0000]yyyy-mm-dd")</f>
        <v/>
      </c>
      <c r="C39173" t="inlineStr">
        <is>
          <t>2007-02-14</t>
        </is>
      </c>
    </row>
    <row r="39174">
      <c r="A39174" s="1" t="n">
        <v>39173</v>
      </c>
      <c r="B39174">
        <f>TEXT(39173, "[$-0E0000]yyyy-mm-dd")</f>
        <v/>
      </c>
      <c r="C39174" t="inlineStr">
        <is>
          <t>2007-02-15</t>
        </is>
      </c>
    </row>
    <row r="39175">
      <c r="A39175" s="1" t="n">
        <v>39174</v>
      </c>
      <c r="B39175">
        <f>TEXT(39174, "[$-0E0000]yyyy-mm-dd")</f>
        <v/>
      </c>
      <c r="C39175" t="inlineStr">
        <is>
          <t>2007-02-16</t>
        </is>
      </c>
    </row>
    <row r="39176">
      <c r="A39176" s="1" t="n">
        <v>39175</v>
      </c>
      <c r="B39176">
        <f>TEXT(39175, "[$-0E0000]yyyy-mm-dd")</f>
        <v/>
      </c>
      <c r="C39176" t="inlineStr">
        <is>
          <t>2007-02-17</t>
        </is>
      </c>
    </row>
    <row r="39177">
      <c r="A39177" s="1" t="n">
        <v>39176</v>
      </c>
      <c r="B39177">
        <f>TEXT(39176, "[$-0E0000]yyyy-mm-dd")</f>
        <v/>
      </c>
      <c r="C39177" t="inlineStr">
        <is>
          <t>2007-02-18</t>
        </is>
      </c>
    </row>
    <row r="39178">
      <c r="A39178" s="1" t="n">
        <v>39177</v>
      </c>
      <c r="B39178">
        <f>TEXT(39177, "[$-0E0000]yyyy-mm-dd")</f>
        <v/>
      </c>
      <c r="C39178" t="inlineStr">
        <is>
          <t>2007-02-19</t>
        </is>
      </c>
    </row>
    <row r="39179">
      <c r="A39179" s="1" t="n">
        <v>39178</v>
      </c>
      <c r="B39179">
        <f>TEXT(39178, "[$-0E0000]yyyy-mm-dd")</f>
        <v/>
      </c>
      <c r="C39179" t="inlineStr">
        <is>
          <t>2007-02-20</t>
        </is>
      </c>
    </row>
    <row r="39180">
      <c r="A39180" s="1" t="n">
        <v>39179</v>
      </c>
      <c r="B39180">
        <f>TEXT(39179, "[$-0E0000]yyyy-mm-dd")</f>
        <v/>
      </c>
      <c r="C39180" t="inlineStr">
        <is>
          <t>2007-02-21</t>
        </is>
      </c>
    </row>
    <row r="39181">
      <c r="A39181" s="1" t="n">
        <v>39180</v>
      </c>
      <c r="B39181">
        <f>TEXT(39180, "[$-0E0000]yyyy-mm-dd")</f>
        <v/>
      </c>
      <c r="C39181" t="inlineStr">
        <is>
          <t>2007-02-22</t>
        </is>
      </c>
    </row>
    <row r="39182">
      <c r="A39182" s="1" t="n">
        <v>39181</v>
      </c>
      <c r="B39182">
        <f>TEXT(39181, "[$-0E0000]yyyy-mm-dd")</f>
        <v/>
      </c>
      <c r="C39182" t="inlineStr">
        <is>
          <t>2007-02-23</t>
        </is>
      </c>
    </row>
    <row r="39183">
      <c r="A39183" s="1" t="n">
        <v>39182</v>
      </c>
      <c r="B39183">
        <f>TEXT(39182, "[$-0E0000]yyyy-mm-dd")</f>
        <v/>
      </c>
      <c r="C39183" t="inlineStr">
        <is>
          <t>2007-02-24</t>
        </is>
      </c>
    </row>
    <row r="39184">
      <c r="A39184" s="1" t="n">
        <v>39183</v>
      </c>
      <c r="B39184">
        <f>TEXT(39183, "[$-0E0000]yyyy-mm-dd")</f>
        <v/>
      </c>
      <c r="C39184" t="inlineStr">
        <is>
          <t>2007-02-25</t>
        </is>
      </c>
    </row>
    <row r="39185">
      <c r="A39185" s="1" t="n">
        <v>39184</v>
      </c>
      <c r="B39185">
        <f>TEXT(39184, "[$-0E0000]yyyy-mm-dd")</f>
        <v/>
      </c>
      <c r="C39185" t="inlineStr">
        <is>
          <t>2007-02-26</t>
        </is>
      </c>
    </row>
    <row r="39186">
      <c r="A39186" s="1" t="n">
        <v>39185</v>
      </c>
      <c r="B39186">
        <f>TEXT(39185, "[$-0E0000]yyyy-mm-dd")</f>
        <v/>
      </c>
      <c r="C39186" t="inlineStr">
        <is>
          <t>2007-02-27</t>
        </is>
      </c>
    </row>
    <row r="39187">
      <c r="A39187" s="1" t="n">
        <v>39186</v>
      </c>
      <c r="B39187">
        <f>TEXT(39186, "[$-0E0000]yyyy-mm-dd")</f>
        <v/>
      </c>
      <c r="C39187" t="inlineStr">
        <is>
          <t>2007-02-28</t>
        </is>
      </c>
    </row>
    <row r="39188">
      <c r="A39188" s="1" t="n">
        <v>39187</v>
      </c>
      <c r="B39188">
        <f>TEXT(39187, "[$-0E0000]yyyy-mm-dd")</f>
        <v/>
      </c>
      <c r="C39188" t="inlineStr">
        <is>
          <t>2007-02-29</t>
        </is>
      </c>
    </row>
    <row r="39189">
      <c r="A39189" s="1" t="n">
        <v>39188</v>
      </c>
      <c r="B39189">
        <f>TEXT(39188, "[$-0E0000]yyyy-mm-dd")</f>
        <v/>
      </c>
      <c r="C39189" t="inlineStr">
        <is>
          <t>2007-03-01</t>
        </is>
      </c>
    </row>
    <row r="39190">
      <c r="A39190" s="1" t="n">
        <v>39189</v>
      </c>
      <c r="B39190">
        <f>TEXT(39189, "[$-0E0000]yyyy-mm-dd")</f>
        <v/>
      </c>
      <c r="C39190" t="inlineStr">
        <is>
          <t>2007-03-02</t>
        </is>
      </c>
    </row>
    <row r="39191">
      <c r="A39191" s="1" t="n">
        <v>39190</v>
      </c>
      <c r="B39191">
        <f>TEXT(39190, "[$-0E0000]yyyy-mm-dd")</f>
        <v/>
      </c>
      <c r="C39191" t="inlineStr">
        <is>
          <t>2007-03-03</t>
        </is>
      </c>
    </row>
    <row r="39192">
      <c r="A39192" s="1" t="n">
        <v>39191</v>
      </c>
      <c r="B39192">
        <f>TEXT(39191, "[$-0E0000]yyyy-mm-dd")</f>
        <v/>
      </c>
      <c r="C39192" t="inlineStr">
        <is>
          <t>2007-03-04</t>
        </is>
      </c>
    </row>
    <row r="39193">
      <c r="A39193" s="1" t="n">
        <v>39192</v>
      </c>
      <c r="B39193">
        <f>TEXT(39192, "[$-0E0000]yyyy-mm-dd")</f>
        <v/>
      </c>
      <c r="C39193" t="inlineStr">
        <is>
          <t>2007-03-05</t>
        </is>
      </c>
    </row>
    <row r="39194">
      <c r="A39194" s="1" t="n">
        <v>39193</v>
      </c>
      <c r="B39194">
        <f>TEXT(39193, "[$-0E0000]yyyy-mm-dd")</f>
        <v/>
      </c>
      <c r="C39194" t="inlineStr">
        <is>
          <t>2007-03-06</t>
        </is>
      </c>
    </row>
    <row r="39195">
      <c r="A39195" s="1" t="n">
        <v>39194</v>
      </c>
      <c r="B39195">
        <f>TEXT(39194, "[$-0E0000]yyyy-mm-dd")</f>
        <v/>
      </c>
      <c r="C39195" t="inlineStr">
        <is>
          <t>2007-03-07</t>
        </is>
      </c>
    </row>
    <row r="39196">
      <c r="A39196" s="1" t="n">
        <v>39195</v>
      </c>
      <c r="B39196">
        <f>TEXT(39195, "[$-0E0000]yyyy-mm-dd")</f>
        <v/>
      </c>
      <c r="C39196" t="inlineStr">
        <is>
          <t>2007-03-08</t>
        </is>
      </c>
    </row>
    <row r="39197">
      <c r="A39197" s="1" t="n">
        <v>39196</v>
      </c>
      <c r="B39197">
        <f>TEXT(39196, "[$-0E0000]yyyy-mm-dd")</f>
        <v/>
      </c>
      <c r="C39197" t="inlineStr">
        <is>
          <t>2007-03-09</t>
        </is>
      </c>
    </row>
    <row r="39198">
      <c r="A39198" s="1" t="n">
        <v>39197</v>
      </c>
      <c r="B39198">
        <f>TEXT(39197, "[$-0E0000]yyyy-mm-dd")</f>
        <v/>
      </c>
      <c r="C39198" t="inlineStr">
        <is>
          <t>2007-03-10</t>
        </is>
      </c>
    </row>
    <row r="39199">
      <c r="A39199" s="1" t="n">
        <v>39198</v>
      </c>
      <c r="B39199">
        <f>TEXT(39198, "[$-0E0000]yyyy-mm-dd")</f>
        <v/>
      </c>
      <c r="C39199" t="inlineStr">
        <is>
          <t>2007-03-11</t>
        </is>
      </c>
    </row>
    <row r="39200">
      <c r="A39200" s="1" t="n">
        <v>39199</v>
      </c>
      <c r="B39200">
        <f>TEXT(39199, "[$-0E0000]yyyy-mm-dd")</f>
        <v/>
      </c>
      <c r="C39200" t="inlineStr">
        <is>
          <t>2007-03-12</t>
        </is>
      </c>
    </row>
    <row r="39201">
      <c r="A39201" s="1" t="n">
        <v>39200</v>
      </c>
      <c r="B39201">
        <f>TEXT(39200, "[$-0E0000]yyyy-mm-dd")</f>
        <v/>
      </c>
      <c r="C39201" t="inlineStr">
        <is>
          <t>2007-03-13</t>
        </is>
      </c>
    </row>
    <row r="39202">
      <c r="A39202" s="1" t="n">
        <v>39201</v>
      </c>
      <c r="B39202">
        <f>TEXT(39201, "[$-0E0000]yyyy-mm-dd")</f>
        <v/>
      </c>
      <c r="C39202" t="inlineStr">
        <is>
          <t>2007-03-14</t>
        </is>
      </c>
    </row>
    <row r="39203">
      <c r="A39203" s="1" t="n">
        <v>39202</v>
      </c>
      <c r="B39203">
        <f>TEXT(39202, "[$-0E0000]yyyy-mm-dd")</f>
        <v/>
      </c>
      <c r="C39203" t="inlineStr">
        <is>
          <t>2007-03-15</t>
        </is>
      </c>
    </row>
    <row r="39204">
      <c r="A39204" s="1" t="n">
        <v>39203</v>
      </c>
      <c r="B39204">
        <f>TEXT(39203, "[$-0E0000]yyyy-mm-dd")</f>
        <v/>
      </c>
      <c r="C39204" t="inlineStr">
        <is>
          <t>2007-03-16</t>
        </is>
      </c>
    </row>
    <row r="39205">
      <c r="A39205" s="1" t="n">
        <v>39204</v>
      </c>
      <c r="B39205">
        <f>TEXT(39204, "[$-0E0000]yyyy-mm-dd")</f>
        <v/>
      </c>
      <c r="C39205" t="inlineStr">
        <is>
          <t>2007-03-17</t>
        </is>
      </c>
    </row>
    <row r="39206">
      <c r="A39206" s="1" t="n">
        <v>39205</v>
      </c>
      <c r="B39206">
        <f>TEXT(39205, "[$-0E0000]yyyy-mm-dd")</f>
        <v/>
      </c>
      <c r="C39206" t="inlineStr">
        <is>
          <t>2007-03-18</t>
        </is>
      </c>
    </row>
    <row r="39207">
      <c r="A39207" s="1" t="n">
        <v>39206</v>
      </c>
      <c r="B39207">
        <f>TEXT(39206, "[$-0E0000]yyyy-mm-dd")</f>
        <v/>
      </c>
      <c r="C39207" t="inlineStr">
        <is>
          <t>2007-03-19</t>
        </is>
      </c>
    </row>
    <row r="39208">
      <c r="A39208" s="1" t="n">
        <v>39207</v>
      </c>
      <c r="B39208">
        <f>TEXT(39207, "[$-0E0000]yyyy-mm-dd")</f>
        <v/>
      </c>
      <c r="C39208" t="inlineStr">
        <is>
          <t>2007-03-20</t>
        </is>
      </c>
    </row>
    <row r="39209">
      <c r="A39209" s="1" t="n">
        <v>39208</v>
      </c>
      <c r="B39209">
        <f>TEXT(39208, "[$-0E0000]yyyy-mm-dd")</f>
        <v/>
      </c>
      <c r="C39209" t="inlineStr">
        <is>
          <t>2007-03-21</t>
        </is>
      </c>
    </row>
    <row r="39210">
      <c r="A39210" s="1" t="n">
        <v>39209</v>
      </c>
      <c r="B39210">
        <f>TEXT(39209, "[$-0E0000]yyyy-mm-dd")</f>
        <v/>
      </c>
      <c r="C39210" t="inlineStr">
        <is>
          <t>2007-03-22</t>
        </is>
      </c>
    </row>
    <row r="39211">
      <c r="A39211" s="1" t="n">
        <v>39210</v>
      </c>
      <c r="B39211">
        <f>TEXT(39210, "[$-0E0000]yyyy-mm-dd")</f>
        <v/>
      </c>
      <c r="C39211" t="inlineStr">
        <is>
          <t>2007-03-23</t>
        </is>
      </c>
    </row>
    <row r="39212">
      <c r="A39212" s="1" t="n">
        <v>39211</v>
      </c>
      <c r="B39212">
        <f>TEXT(39211, "[$-0E0000]yyyy-mm-dd")</f>
        <v/>
      </c>
      <c r="C39212" t="inlineStr">
        <is>
          <t>2007-03-24</t>
        </is>
      </c>
    </row>
    <row r="39213">
      <c r="A39213" s="1" t="n">
        <v>39212</v>
      </c>
      <c r="B39213">
        <f>TEXT(39212, "[$-0E0000]yyyy-mm-dd")</f>
        <v/>
      </c>
      <c r="C39213" t="inlineStr">
        <is>
          <t>2007-03-25</t>
        </is>
      </c>
    </row>
    <row r="39214">
      <c r="A39214" s="1" t="n">
        <v>39213</v>
      </c>
      <c r="B39214">
        <f>TEXT(39213, "[$-0E0000]yyyy-mm-dd")</f>
        <v/>
      </c>
      <c r="C39214" t="inlineStr">
        <is>
          <t>2007-03-26</t>
        </is>
      </c>
    </row>
    <row r="39215">
      <c r="A39215" s="1" t="n">
        <v>39214</v>
      </c>
      <c r="B39215">
        <f>TEXT(39214, "[$-0E0000]yyyy-mm-dd")</f>
        <v/>
      </c>
      <c r="C39215" t="inlineStr">
        <is>
          <t>2007-03-27</t>
        </is>
      </c>
    </row>
    <row r="39216">
      <c r="A39216" s="1" t="n">
        <v>39215</v>
      </c>
      <c r="B39216">
        <f>TEXT(39215, "[$-0E0000]yyyy-mm-dd")</f>
        <v/>
      </c>
      <c r="C39216" t="inlineStr">
        <is>
          <t>2007-03-28</t>
        </is>
      </c>
    </row>
    <row r="39217">
      <c r="A39217" s="1" t="n">
        <v>39216</v>
      </c>
      <c r="B39217">
        <f>TEXT(39216, "[$-0E0000]yyyy-mm-dd")</f>
        <v/>
      </c>
      <c r="C39217" t="inlineStr">
        <is>
          <t>2007-03-29</t>
        </is>
      </c>
    </row>
    <row r="39218">
      <c r="A39218" s="1" t="n">
        <v>39217</v>
      </c>
      <c r="B39218">
        <f>TEXT(39217, "[$-0E0000]yyyy-mm-dd")</f>
        <v/>
      </c>
      <c r="C39218" t="inlineStr">
        <is>
          <t>2007-03-30</t>
        </is>
      </c>
    </row>
    <row r="39219">
      <c r="A39219" s="1" t="n">
        <v>39218</v>
      </c>
      <c r="B39219">
        <f>TEXT(39218, "[$-0E0000]yyyy-mm-dd")</f>
        <v/>
      </c>
      <c r="C39219" t="inlineStr">
        <is>
          <t>2007-04-01</t>
        </is>
      </c>
    </row>
    <row r="39220">
      <c r="A39220" s="1" t="n">
        <v>39219</v>
      </c>
      <c r="B39220">
        <f>TEXT(39219, "[$-0E0000]yyyy-mm-dd")</f>
        <v/>
      </c>
      <c r="C39220" t="inlineStr">
        <is>
          <t>2007-04-02</t>
        </is>
      </c>
    </row>
    <row r="39221">
      <c r="A39221" s="1" t="n">
        <v>39220</v>
      </c>
      <c r="B39221">
        <f>TEXT(39220, "[$-0E0000]yyyy-mm-dd")</f>
        <v/>
      </c>
      <c r="C39221" t="inlineStr">
        <is>
          <t>2007-04-03</t>
        </is>
      </c>
    </row>
    <row r="39222">
      <c r="A39222" s="1" t="n">
        <v>39221</v>
      </c>
      <c r="B39222">
        <f>TEXT(39221, "[$-0E0000]yyyy-mm-dd")</f>
        <v/>
      </c>
      <c r="C39222" t="inlineStr">
        <is>
          <t>2007-04-04</t>
        </is>
      </c>
    </row>
    <row r="39223">
      <c r="A39223" s="1" t="n">
        <v>39222</v>
      </c>
      <c r="B39223">
        <f>TEXT(39222, "[$-0E0000]yyyy-mm-dd")</f>
        <v/>
      </c>
      <c r="C39223" t="inlineStr">
        <is>
          <t>2007-04-05</t>
        </is>
      </c>
    </row>
    <row r="39224">
      <c r="A39224" s="1" t="n">
        <v>39223</v>
      </c>
      <c r="B39224">
        <f>TEXT(39223, "[$-0E0000]yyyy-mm-dd")</f>
        <v/>
      </c>
      <c r="C39224" t="inlineStr">
        <is>
          <t>2007-04-06</t>
        </is>
      </c>
    </row>
    <row r="39225">
      <c r="A39225" s="1" t="n">
        <v>39224</v>
      </c>
      <c r="B39225">
        <f>TEXT(39224, "[$-0E0000]yyyy-mm-dd")</f>
        <v/>
      </c>
      <c r="C39225" t="inlineStr">
        <is>
          <t>2007-04-07</t>
        </is>
      </c>
    </row>
    <row r="39226">
      <c r="A39226" s="1" t="n">
        <v>39225</v>
      </c>
      <c r="B39226">
        <f>TEXT(39225, "[$-0E0000]yyyy-mm-dd")</f>
        <v/>
      </c>
      <c r="C39226" t="inlineStr">
        <is>
          <t>2007-04-08</t>
        </is>
      </c>
    </row>
    <row r="39227">
      <c r="A39227" s="1" t="n">
        <v>39226</v>
      </c>
      <c r="B39227">
        <f>TEXT(39226, "[$-0E0000]yyyy-mm-dd")</f>
        <v/>
      </c>
      <c r="C39227" t="inlineStr">
        <is>
          <t>2007-04-09</t>
        </is>
      </c>
    </row>
    <row r="39228">
      <c r="A39228" s="1" t="n">
        <v>39227</v>
      </c>
      <c r="B39228">
        <f>TEXT(39227, "[$-0E0000]yyyy-mm-dd")</f>
        <v/>
      </c>
      <c r="C39228" t="inlineStr">
        <is>
          <t>2007-04-10</t>
        </is>
      </c>
    </row>
    <row r="39229">
      <c r="A39229" s="1" t="n">
        <v>39228</v>
      </c>
      <c r="B39229">
        <f>TEXT(39228, "[$-0E0000]yyyy-mm-dd")</f>
        <v/>
      </c>
      <c r="C39229" t="inlineStr">
        <is>
          <t>2007-04-11</t>
        </is>
      </c>
    </row>
    <row r="39230">
      <c r="A39230" s="1" t="n">
        <v>39229</v>
      </c>
      <c r="B39230">
        <f>TEXT(39229, "[$-0E0000]yyyy-mm-dd")</f>
        <v/>
      </c>
      <c r="C39230" t="inlineStr">
        <is>
          <t>2007-04-12</t>
        </is>
      </c>
    </row>
    <row r="39231">
      <c r="A39231" s="1" t="n">
        <v>39230</v>
      </c>
      <c r="B39231">
        <f>TEXT(39230, "[$-0E0000]yyyy-mm-dd")</f>
        <v/>
      </c>
      <c r="C39231" t="inlineStr">
        <is>
          <t>2007-04-13</t>
        </is>
      </c>
    </row>
    <row r="39232">
      <c r="A39232" s="1" t="n">
        <v>39231</v>
      </c>
      <c r="B39232">
        <f>TEXT(39231, "[$-0E0000]yyyy-mm-dd")</f>
        <v/>
      </c>
      <c r="C39232" t="inlineStr">
        <is>
          <t>2007-04-14</t>
        </is>
      </c>
    </row>
    <row r="39233">
      <c r="A39233" s="1" t="n">
        <v>39232</v>
      </c>
      <c r="B39233">
        <f>TEXT(39232, "[$-0E0000]yyyy-mm-dd")</f>
        <v/>
      </c>
      <c r="C39233" t="inlineStr">
        <is>
          <t>2007-04-15</t>
        </is>
      </c>
    </row>
    <row r="39234">
      <c r="A39234" s="1" t="n">
        <v>39233</v>
      </c>
      <c r="B39234">
        <f>TEXT(39233, "[$-0E0000]yyyy-mm-dd")</f>
        <v/>
      </c>
      <c r="C39234" t="inlineStr">
        <is>
          <t>2007-04-16</t>
        </is>
      </c>
    </row>
    <row r="39235">
      <c r="A39235" s="1" t="n">
        <v>39234</v>
      </c>
      <c r="B39235">
        <f>TEXT(39234, "[$-0E0000]yyyy-mm-dd")</f>
        <v/>
      </c>
      <c r="C39235" t="inlineStr">
        <is>
          <t>2007-04-17</t>
        </is>
      </c>
    </row>
    <row r="39236">
      <c r="A39236" s="1" t="n">
        <v>39235</v>
      </c>
      <c r="B39236">
        <f>TEXT(39235, "[$-0E0000]yyyy-mm-dd")</f>
        <v/>
      </c>
      <c r="C39236" t="inlineStr">
        <is>
          <t>2007-04-18</t>
        </is>
      </c>
    </row>
    <row r="39237">
      <c r="A39237" s="1" t="n">
        <v>39236</v>
      </c>
      <c r="B39237">
        <f>TEXT(39236, "[$-0E0000]yyyy-mm-dd")</f>
        <v/>
      </c>
      <c r="C39237" t="inlineStr">
        <is>
          <t>2007-04-19</t>
        </is>
      </c>
    </row>
    <row r="39238">
      <c r="A39238" s="1" t="n">
        <v>39237</v>
      </c>
      <c r="B39238">
        <f>TEXT(39237, "[$-0E0000]yyyy-mm-dd")</f>
        <v/>
      </c>
      <c r="C39238" t="inlineStr">
        <is>
          <t>2007-04-20</t>
        </is>
      </c>
    </row>
    <row r="39239">
      <c r="A39239" s="1" t="n">
        <v>39238</v>
      </c>
      <c r="B39239">
        <f>TEXT(39238, "[$-0E0000]yyyy-mm-dd")</f>
        <v/>
      </c>
      <c r="C39239" t="inlineStr">
        <is>
          <t>2007-04-21</t>
        </is>
      </c>
    </row>
    <row r="39240">
      <c r="A39240" s="1" t="n">
        <v>39239</v>
      </c>
      <c r="B39240">
        <f>TEXT(39239, "[$-0E0000]yyyy-mm-dd")</f>
        <v/>
      </c>
      <c r="C39240" t="inlineStr">
        <is>
          <t>2007-04-22</t>
        </is>
      </c>
    </row>
    <row r="39241">
      <c r="A39241" s="1" t="n">
        <v>39240</v>
      </c>
      <c r="B39241">
        <f>TEXT(39240, "[$-0E0000]yyyy-mm-dd")</f>
        <v/>
      </c>
      <c r="C39241" t="inlineStr">
        <is>
          <t>2007-04-23</t>
        </is>
      </c>
    </row>
    <row r="39242">
      <c r="A39242" s="1" t="n">
        <v>39241</v>
      </c>
      <c r="B39242">
        <f>TEXT(39241, "[$-0E0000]yyyy-mm-dd")</f>
        <v/>
      </c>
      <c r="C39242" t="inlineStr">
        <is>
          <t>2007-04-24</t>
        </is>
      </c>
    </row>
    <row r="39243">
      <c r="A39243" s="1" t="n">
        <v>39242</v>
      </c>
      <c r="B39243">
        <f>TEXT(39242, "[$-0E0000]yyyy-mm-dd")</f>
        <v/>
      </c>
      <c r="C39243" t="inlineStr">
        <is>
          <t>2007-04-25</t>
        </is>
      </c>
    </row>
    <row r="39244">
      <c r="A39244" s="1" t="n">
        <v>39243</v>
      </c>
      <c r="B39244">
        <f>TEXT(39243, "[$-0E0000]yyyy-mm-dd")</f>
        <v/>
      </c>
      <c r="C39244" t="inlineStr">
        <is>
          <t>2007-04-26</t>
        </is>
      </c>
    </row>
    <row r="39245">
      <c r="A39245" s="1" t="n">
        <v>39244</v>
      </c>
      <c r="B39245">
        <f>TEXT(39244, "[$-0E0000]yyyy-mm-dd")</f>
        <v/>
      </c>
      <c r="C39245" t="inlineStr">
        <is>
          <t>2007-04-27</t>
        </is>
      </c>
    </row>
    <row r="39246">
      <c r="A39246" s="1" t="n">
        <v>39245</v>
      </c>
      <c r="B39246">
        <f>TEXT(39245, "[$-0E0000]yyyy-mm-dd")</f>
        <v/>
      </c>
      <c r="C39246" t="inlineStr">
        <is>
          <t>2007-04-28</t>
        </is>
      </c>
    </row>
    <row r="39247">
      <c r="A39247" s="1" t="n">
        <v>39246</v>
      </c>
      <c r="B39247">
        <f>TEXT(39246, "[$-0E0000]yyyy-mm-dd")</f>
        <v/>
      </c>
      <c r="C39247" t="inlineStr">
        <is>
          <t>2007-04-29</t>
        </is>
      </c>
    </row>
    <row r="39248">
      <c r="A39248" s="1" t="n">
        <v>39247</v>
      </c>
      <c r="B39248">
        <f>TEXT(39247, "[$-0E0000]yyyy-mm-dd")</f>
        <v/>
      </c>
      <c r="C39248" t="inlineStr">
        <is>
          <t>2007-05-01</t>
        </is>
      </c>
    </row>
    <row r="39249">
      <c r="A39249" s="1" t="n">
        <v>39248</v>
      </c>
      <c r="B39249">
        <f>TEXT(39248, "[$-0E0000]yyyy-mm-dd")</f>
        <v/>
      </c>
      <c r="C39249" t="inlineStr">
        <is>
          <t>2007-05-02</t>
        </is>
      </c>
    </row>
    <row r="39250">
      <c r="A39250" s="1" t="n">
        <v>39249</v>
      </c>
      <c r="B39250">
        <f>TEXT(39249, "[$-0E0000]yyyy-mm-dd")</f>
        <v/>
      </c>
      <c r="C39250" t="inlineStr">
        <is>
          <t>2007-05-03</t>
        </is>
      </c>
    </row>
    <row r="39251">
      <c r="A39251" s="1" t="n">
        <v>39250</v>
      </c>
      <c r="B39251">
        <f>TEXT(39250, "[$-0E0000]yyyy-mm-dd")</f>
        <v/>
      </c>
      <c r="C39251" t="inlineStr">
        <is>
          <t>2007-05-04</t>
        </is>
      </c>
    </row>
    <row r="39252">
      <c r="A39252" s="1" t="n">
        <v>39251</v>
      </c>
      <c r="B39252">
        <f>TEXT(39251, "[$-0E0000]yyyy-mm-dd")</f>
        <v/>
      </c>
      <c r="C39252" t="inlineStr">
        <is>
          <t>2007-05-05</t>
        </is>
      </c>
    </row>
    <row r="39253">
      <c r="A39253" s="1" t="n">
        <v>39252</v>
      </c>
      <c r="B39253">
        <f>TEXT(39252, "[$-0E0000]yyyy-mm-dd")</f>
        <v/>
      </c>
      <c r="C39253" t="inlineStr">
        <is>
          <t>2007-05-06</t>
        </is>
      </c>
    </row>
    <row r="39254">
      <c r="A39254" s="1" t="n">
        <v>39253</v>
      </c>
      <c r="B39254">
        <f>TEXT(39253, "[$-0E0000]yyyy-mm-dd")</f>
        <v/>
      </c>
      <c r="C39254" t="inlineStr">
        <is>
          <t>2007-05-07</t>
        </is>
      </c>
    </row>
    <row r="39255">
      <c r="A39255" s="1" t="n">
        <v>39254</v>
      </c>
      <c r="B39255">
        <f>TEXT(39254, "[$-0E0000]yyyy-mm-dd")</f>
        <v/>
      </c>
      <c r="C39255" t="inlineStr">
        <is>
          <t>2007-05-08</t>
        </is>
      </c>
    </row>
    <row r="39256">
      <c r="A39256" s="1" t="n">
        <v>39255</v>
      </c>
      <c r="B39256">
        <f>TEXT(39255, "[$-0E0000]yyyy-mm-dd")</f>
        <v/>
      </c>
      <c r="C39256" t="inlineStr">
        <is>
          <t>2007-05-09</t>
        </is>
      </c>
    </row>
    <row r="39257">
      <c r="A39257" s="1" t="n">
        <v>39256</v>
      </c>
      <c r="B39257">
        <f>TEXT(39256, "[$-0E0000]yyyy-mm-dd")</f>
        <v/>
      </c>
      <c r="C39257" t="inlineStr">
        <is>
          <t>2007-05-10</t>
        </is>
      </c>
    </row>
    <row r="39258">
      <c r="A39258" s="1" t="n">
        <v>39257</v>
      </c>
      <c r="B39258">
        <f>TEXT(39257, "[$-0E0000]yyyy-mm-dd")</f>
        <v/>
      </c>
      <c r="C39258" t="inlineStr">
        <is>
          <t>2007-05-11</t>
        </is>
      </c>
    </row>
    <row r="39259">
      <c r="A39259" s="1" t="n">
        <v>39258</v>
      </c>
      <c r="B39259">
        <f>TEXT(39258, "[$-0E0000]yyyy-mm-dd")</f>
        <v/>
      </c>
      <c r="C39259" t="inlineStr">
        <is>
          <t>2007-05-12</t>
        </is>
      </c>
    </row>
    <row r="39260">
      <c r="A39260" s="1" t="n">
        <v>39259</v>
      </c>
      <c r="B39260">
        <f>TEXT(39259, "[$-0E0000]yyyy-mm-dd")</f>
        <v/>
      </c>
      <c r="C39260" t="inlineStr">
        <is>
          <t>2007-05-13</t>
        </is>
      </c>
    </row>
    <row r="39261">
      <c r="A39261" s="1" t="n">
        <v>39260</v>
      </c>
      <c r="B39261">
        <f>TEXT(39260, "[$-0E0000]yyyy-mm-dd")</f>
        <v/>
      </c>
      <c r="C39261" t="inlineStr">
        <is>
          <t>2007-05-14</t>
        </is>
      </c>
    </row>
    <row r="39262">
      <c r="A39262" s="1" t="n">
        <v>39261</v>
      </c>
      <c r="B39262">
        <f>TEXT(39261, "[$-0E0000]yyyy-mm-dd")</f>
        <v/>
      </c>
      <c r="C39262" t="inlineStr">
        <is>
          <t>2007-05-15</t>
        </is>
      </c>
    </row>
    <row r="39263">
      <c r="A39263" s="1" t="n">
        <v>39262</v>
      </c>
      <c r="B39263">
        <f>TEXT(39262, "[$-0E0000]yyyy-mm-dd")</f>
        <v/>
      </c>
      <c r="C39263" t="inlineStr">
        <is>
          <t>2007-05-16</t>
        </is>
      </c>
    </row>
    <row r="39264">
      <c r="A39264" s="1" t="n">
        <v>39263</v>
      </c>
      <c r="B39264">
        <f>TEXT(39263, "[$-0E0000]yyyy-mm-dd")</f>
        <v/>
      </c>
      <c r="C39264" t="inlineStr">
        <is>
          <t>2007-05-17</t>
        </is>
      </c>
    </row>
    <row r="39265">
      <c r="A39265" s="1" t="n">
        <v>39264</v>
      </c>
      <c r="B39265">
        <f>TEXT(39264, "[$-0E0000]yyyy-mm-dd")</f>
        <v/>
      </c>
      <c r="C39265" t="inlineStr">
        <is>
          <t>2007-05-18</t>
        </is>
      </c>
    </row>
    <row r="39266">
      <c r="A39266" s="1" t="n">
        <v>39265</v>
      </c>
      <c r="B39266">
        <f>TEXT(39265, "[$-0E0000]yyyy-mm-dd")</f>
        <v/>
      </c>
      <c r="C39266" t="inlineStr">
        <is>
          <t>2007-05-19</t>
        </is>
      </c>
    </row>
    <row r="39267">
      <c r="A39267" s="1" t="n">
        <v>39266</v>
      </c>
      <c r="B39267">
        <f>TEXT(39266, "[$-0E0000]yyyy-mm-dd")</f>
        <v/>
      </c>
      <c r="C39267" t="inlineStr">
        <is>
          <t>2007-05-20</t>
        </is>
      </c>
    </row>
    <row r="39268">
      <c r="A39268" s="1" t="n">
        <v>39267</v>
      </c>
      <c r="B39268">
        <f>TEXT(39267, "[$-0E0000]yyyy-mm-dd")</f>
        <v/>
      </c>
      <c r="C39268" t="inlineStr">
        <is>
          <t>2007-05-21</t>
        </is>
      </c>
    </row>
    <row r="39269">
      <c r="A39269" s="1" t="n">
        <v>39268</v>
      </c>
      <c r="B39269">
        <f>TEXT(39268, "[$-0E0000]yyyy-mm-dd")</f>
        <v/>
      </c>
      <c r="C39269" t="inlineStr">
        <is>
          <t>2007-05-22</t>
        </is>
      </c>
    </row>
    <row r="39270">
      <c r="A39270" s="1" t="n">
        <v>39269</v>
      </c>
      <c r="B39270">
        <f>TEXT(39269, "[$-0E0000]yyyy-mm-dd")</f>
        <v/>
      </c>
      <c r="C39270" t="inlineStr">
        <is>
          <t>2007-05-23</t>
        </is>
      </c>
    </row>
    <row r="39271">
      <c r="A39271" s="1" t="n">
        <v>39270</v>
      </c>
      <c r="B39271">
        <f>TEXT(39270, "[$-0E0000]yyyy-mm-dd")</f>
        <v/>
      </c>
      <c r="C39271" t="inlineStr">
        <is>
          <t>2007-05-24</t>
        </is>
      </c>
    </row>
    <row r="39272">
      <c r="A39272" s="1" t="n">
        <v>39271</v>
      </c>
      <c r="B39272">
        <f>TEXT(39271, "[$-0E0000]yyyy-mm-dd")</f>
        <v/>
      </c>
      <c r="C39272" t="inlineStr">
        <is>
          <t>2007-05-25</t>
        </is>
      </c>
    </row>
    <row r="39273">
      <c r="A39273" s="1" t="n">
        <v>39272</v>
      </c>
      <c r="B39273">
        <f>TEXT(39272, "[$-0E0000]yyyy-mm-dd")</f>
        <v/>
      </c>
      <c r="C39273" t="inlineStr">
        <is>
          <t>2007-05-26</t>
        </is>
      </c>
    </row>
    <row r="39274">
      <c r="A39274" s="1" t="n">
        <v>39273</v>
      </c>
      <c r="B39274">
        <f>TEXT(39273, "[$-0E0000]yyyy-mm-dd")</f>
        <v/>
      </c>
      <c r="C39274" t="inlineStr">
        <is>
          <t>2007-05-27</t>
        </is>
      </c>
    </row>
    <row r="39275">
      <c r="A39275" s="1" t="n">
        <v>39274</v>
      </c>
      <c r="B39275">
        <f>TEXT(39274, "[$-0E0000]yyyy-mm-dd")</f>
        <v/>
      </c>
      <c r="C39275" t="inlineStr">
        <is>
          <t>2007-05-28</t>
        </is>
      </c>
    </row>
    <row r="39276">
      <c r="A39276" s="1" t="n">
        <v>39275</v>
      </c>
      <c r="B39276">
        <f>TEXT(39275, "[$-0E0000]yyyy-mm-dd")</f>
        <v/>
      </c>
      <c r="C39276" t="inlineStr">
        <is>
          <t>2007-05-29</t>
        </is>
      </c>
    </row>
    <row r="39277">
      <c r="A39277" s="1" t="n">
        <v>39276</v>
      </c>
      <c r="B39277">
        <f>TEXT(39276, "[$-0E0000]yyyy-mm-dd")</f>
        <v/>
      </c>
      <c r="C39277" t="inlineStr">
        <is>
          <t>2007-06-01</t>
        </is>
      </c>
    </row>
    <row r="39278">
      <c r="A39278" s="1" t="n">
        <v>39277</v>
      </c>
      <c r="B39278">
        <f>TEXT(39277, "[$-0E0000]yyyy-mm-dd")</f>
        <v/>
      </c>
      <c r="C39278" t="inlineStr">
        <is>
          <t>2007-06-02</t>
        </is>
      </c>
    </row>
    <row r="39279">
      <c r="A39279" s="1" t="n">
        <v>39278</v>
      </c>
      <c r="B39279">
        <f>TEXT(39278, "[$-0E0000]yyyy-mm-dd")</f>
        <v/>
      </c>
      <c r="C39279" t="inlineStr">
        <is>
          <t>2007-06-03</t>
        </is>
      </c>
    </row>
    <row r="39280">
      <c r="A39280" s="1" t="n">
        <v>39279</v>
      </c>
      <c r="B39280">
        <f>TEXT(39279, "[$-0E0000]yyyy-mm-dd")</f>
        <v/>
      </c>
      <c r="C39280" t="inlineStr">
        <is>
          <t>2007-06-04</t>
        </is>
      </c>
    </row>
    <row r="39281">
      <c r="A39281" s="1" t="n">
        <v>39280</v>
      </c>
      <c r="B39281">
        <f>TEXT(39280, "[$-0E0000]yyyy-mm-dd")</f>
        <v/>
      </c>
      <c r="C39281" t="inlineStr">
        <is>
          <t>2007-06-05</t>
        </is>
      </c>
    </row>
    <row r="39282">
      <c r="A39282" s="1" t="n">
        <v>39281</v>
      </c>
      <c r="B39282">
        <f>TEXT(39281, "[$-0E0000]yyyy-mm-dd")</f>
        <v/>
      </c>
      <c r="C39282" t="inlineStr">
        <is>
          <t>2007-06-06</t>
        </is>
      </c>
    </row>
    <row r="39283">
      <c r="A39283" s="1" t="n">
        <v>39282</v>
      </c>
      <c r="B39283">
        <f>TEXT(39282, "[$-0E0000]yyyy-mm-dd")</f>
        <v/>
      </c>
      <c r="C39283" t="inlineStr">
        <is>
          <t>2007-06-07</t>
        </is>
      </c>
    </row>
    <row r="39284">
      <c r="A39284" s="1" t="n">
        <v>39283</v>
      </c>
      <c r="B39284">
        <f>TEXT(39283, "[$-0E0000]yyyy-mm-dd")</f>
        <v/>
      </c>
      <c r="C39284" t="inlineStr">
        <is>
          <t>2007-06-08</t>
        </is>
      </c>
    </row>
    <row r="39285">
      <c r="A39285" s="1" t="n">
        <v>39284</v>
      </c>
      <c r="B39285">
        <f>TEXT(39284, "[$-0E0000]yyyy-mm-dd")</f>
        <v/>
      </c>
      <c r="C39285" t="inlineStr">
        <is>
          <t>2007-06-09</t>
        </is>
      </c>
    </row>
    <row r="39286">
      <c r="A39286" s="1" t="n">
        <v>39285</v>
      </c>
      <c r="B39286">
        <f>TEXT(39285, "[$-0E0000]yyyy-mm-dd")</f>
        <v/>
      </c>
      <c r="C39286" t="inlineStr">
        <is>
          <t>2007-06-10</t>
        </is>
      </c>
    </row>
    <row r="39287">
      <c r="A39287" s="1" t="n">
        <v>39286</v>
      </c>
      <c r="B39287">
        <f>TEXT(39286, "[$-0E0000]yyyy-mm-dd")</f>
        <v/>
      </c>
      <c r="C39287" t="inlineStr">
        <is>
          <t>2007-06-11</t>
        </is>
      </c>
    </row>
    <row r="39288">
      <c r="A39288" s="1" t="n">
        <v>39287</v>
      </c>
      <c r="B39288">
        <f>TEXT(39287, "[$-0E0000]yyyy-mm-dd")</f>
        <v/>
      </c>
      <c r="C39288" t="inlineStr">
        <is>
          <t>2007-06-12</t>
        </is>
      </c>
    </row>
    <row r="39289">
      <c r="A39289" s="1" t="n">
        <v>39288</v>
      </c>
      <c r="B39289">
        <f>TEXT(39288, "[$-0E0000]yyyy-mm-dd")</f>
        <v/>
      </c>
      <c r="C39289" t="inlineStr">
        <is>
          <t>2007-06-13</t>
        </is>
      </c>
    </row>
    <row r="39290">
      <c r="A39290" s="1" t="n">
        <v>39289</v>
      </c>
      <c r="B39290">
        <f>TEXT(39289, "[$-0E0000]yyyy-mm-dd")</f>
        <v/>
      </c>
      <c r="C39290" t="inlineStr">
        <is>
          <t>2007-06-14</t>
        </is>
      </c>
    </row>
    <row r="39291">
      <c r="A39291" s="1" t="n">
        <v>39290</v>
      </c>
      <c r="B39291">
        <f>TEXT(39290, "[$-0E0000]yyyy-mm-dd")</f>
        <v/>
      </c>
      <c r="C39291" t="inlineStr">
        <is>
          <t>2007-06-15</t>
        </is>
      </c>
    </row>
    <row r="39292">
      <c r="A39292" s="1" t="n">
        <v>39291</v>
      </c>
      <c r="B39292">
        <f>TEXT(39291, "[$-0E0000]yyyy-mm-dd")</f>
        <v/>
      </c>
      <c r="C39292" t="inlineStr">
        <is>
          <t>2007-06-16</t>
        </is>
      </c>
    </row>
    <row r="39293">
      <c r="A39293" s="1" t="n">
        <v>39292</v>
      </c>
      <c r="B39293">
        <f>TEXT(39292, "[$-0E0000]yyyy-mm-dd")</f>
        <v/>
      </c>
      <c r="C39293" t="inlineStr">
        <is>
          <t>2007-06-17</t>
        </is>
      </c>
    </row>
    <row r="39294">
      <c r="A39294" s="1" t="n">
        <v>39293</v>
      </c>
      <c r="B39294">
        <f>TEXT(39293, "[$-0E0000]yyyy-mm-dd")</f>
        <v/>
      </c>
      <c r="C39294" t="inlineStr">
        <is>
          <t>2007-06-18</t>
        </is>
      </c>
    </row>
    <row r="39295">
      <c r="A39295" s="1" t="n">
        <v>39294</v>
      </c>
      <c r="B39295">
        <f>TEXT(39294, "[$-0E0000]yyyy-mm-dd")</f>
        <v/>
      </c>
      <c r="C39295" t="inlineStr">
        <is>
          <t>2007-06-19</t>
        </is>
      </c>
    </row>
    <row r="39296">
      <c r="A39296" s="1" t="n">
        <v>39295</v>
      </c>
      <c r="B39296">
        <f>TEXT(39295, "[$-0E0000]yyyy-mm-dd")</f>
        <v/>
      </c>
      <c r="C39296" t="inlineStr">
        <is>
          <t>2007-06-20</t>
        </is>
      </c>
    </row>
    <row r="39297">
      <c r="A39297" s="1" t="n">
        <v>39296</v>
      </c>
      <c r="B39297">
        <f>TEXT(39296, "[$-0E0000]yyyy-mm-dd")</f>
        <v/>
      </c>
      <c r="C39297" t="inlineStr">
        <is>
          <t>2007-06-21</t>
        </is>
      </c>
    </row>
    <row r="39298">
      <c r="A39298" s="1" t="n">
        <v>39297</v>
      </c>
      <c r="B39298">
        <f>TEXT(39297, "[$-0E0000]yyyy-mm-dd")</f>
        <v/>
      </c>
      <c r="C39298" t="inlineStr">
        <is>
          <t>2007-06-22</t>
        </is>
      </c>
    </row>
    <row r="39299">
      <c r="A39299" s="1" t="n">
        <v>39298</v>
      </c>
      <c r="B39299">
        <f>TEXT(39298, "[$-0E0000]yyyy-mm-dd")</f>
        <v/>
      </c>
      <c r="C39299" t="inlineStr">
        <is>
          <t>2007-06-23</t>
        </is>
      </c>
    </row>
    <row r="39300">
      <c r="A39300" s="1" t="n">
        <v>39299</v>
      </c>
      <c r="B39300">
        <f>TEXT(39299, "[$-0E0000]yyyy-mm-dd")</f>
        <v/>
      </c>
      <c r="C39300" t="inlineStr">
        <is>
          <t>2007-06-24</t>
        </is>
      </c>
    </row>
    <row r="39301">
      <c r="A39301" s="1" t="n">
        <v>39300</v>
      </c>
      <c r="B39301">
        <f>TEXT(39300, "[$-0E0000]yyyy-mm-dd")</f>
        <v/>
      </c>
      <c r="C39301" t="inlineStr">
        <is>
          <t>2007-06-25</t>
        </is>
      </c>
    </row>
    <row r="39302">
      <c r="A39302" s="1" t="n">
        <v>39301</v>
      </c>
      <c r="B39302">
        <f>TEXT(39301, "[$-0E0000]yyyy-mm-dd")</f>
        <v/>
      </c>
      <c r="C39302" t="inlineStr">
        <is>
          <t>2007-06-26</t>
        </is>
      </c>
    </row>
    <row r="39303">
      <c r="A39303" s="1" t="n">
        <v>39302</v>
      </c>
      <c r="B39303">
        <f>TEXT(39302, "[$-0E0000]yyyy-mm-dd")</f>
        <v/>
      </c>
      <c r="C39303" t="inlineStr">
        <is>
          <t>2007-06-27</t>
        </is>
      </c>
    </row>
    <row r="39304">
      <c r="A39304" s="1" t="n">
        <v>39303</v>
      </c>
      <c r="B39304">
        <f>TEXT(39303, "[$-0E0000]yyyy-mm-dd")</f>
        <v/>
      </c>
      <c r="C39304" t="inlineStr">
        <is>
          <t>2007-06-28</t>
        </is>
      </c>
    </row>
    <row r="39305">
      <c r="A39305" s="1" t="n">
        <v>39304</v>
      </c>
      <c r="B39305">
        <f>TEXT(39304, "[$-0E0000]yyyy-mm-dd")</f>
        <v/>
      </c>
      <c r="C39305" t="inlineStr">
        <is>
          <t>2007-06-29</t>
        </is>
      </c>
    </row>
    <row r="39306">
      <c r="A39306" s="1" t="n">
        <v>39305</v>
      </c>
      <c r="B39306">
        <f>TEXT(39305, "[$-0E0000]yyyy-mm-dd")</f>
        <v/>
      </c>
      <c r="C39306" t="inlineStr">
        <is>
          <t>2007-06-30</t>
        </is>
      </c>
    </row>
    <row r="39307">
      <c r="A39307" s="1" t="n">
        <v>39306</v>
      </c>
      <c r="B39307">
        <f>TEXT(39306, "[$-0E0000]yyyy-mm-dd")</f>
        <v/>
      </c>
      <c r="C39307" t="inlineStr">
        <is>
          <t>2007-07-01</t>
        </is>
      </c>
    </row>
    <row r="39308">
      <c r="A39308" s="1" t="n">
        <v>39307</v>
      </c>
      <c r="B39308">
        <f>TEXT(39307, "[$-0E0000]yyyy-mm-dd")</f>
        <v/>
      </c>
      <c r="C39308" t="inlineStr">
        <is>
          <t>2007-07-02</t>
        </is>
      </c>
    </row>
    <row r="39309">
      <c r="A39309" s="1" t="n">
        <v>39308</v>
      </c>
      <c r="B39309">
        <f>TEXT(39308, "[$-0E0000]yyyy-mm-dd")</f>
        <v/>
      </c>
      <c r="C39309" t="inlineStr">
        <is>
          <t>2007-07-03</t>
        </is>
      </c>
    </row>
    <row r="39310">
      <c r="A39310" s="1" t="n">
        <v>39309</v>
      </c>
      <c r="B39310">
        <f>TEXT(39309, "[$-0E0000]yyyy-mm-dd")</f>
        <v/>
      </c>
      <c r="C39310" t="inlineStr">
        <is>
          <t>2007-07-04</t>
        </is>
      </c>
    </row>
    <row r="39311">
      <c r="A39311" s="1" t="n">
        <v>39310</v>
      </c>
      <c r="B39311">
        <f>TEXT(39310, "[$-0E0000]yyyy-mm-dd")</f>
        <v/>
      </c>
      <c r="C39311" t="inlineStr">
        <is>
          <t>2007-07-05</t>
        </is>
      </c>
    </row>
    <row r="39312">
      <c r="A39312" s="1" t="n">
        <v>39311</v>
      </c>
      <c r="B39312">
        <f>TEXT(39311, "[$-0E0000]yyyy-mm-dd")</f>
        <v/>
      </c>
      <c r="C39312" t="inlineStr">
        <is>
          <t>2007-07-06</t>
        </is>
      </c>
    </row>
    <row r="39313">
      <c r="A39313" s="1" t="n">
        <v>39312</v>
      </c>
      <c r="B39313">
        <f>TEXT(39312, "[$-0E0000]yyyy-mm-dd")</f>
        <v/>
      </c>
      <c r="C39313" t="inlineStr">
        <is>
          <t>2007-07-07</t>
        </is>
      </c>
    </row>
    <row r="39314">
      <c r="A39314" s="1" t="n">
        <v>39313</v>
      </c>
      <c r="B39314">
        <f>TEXT(39313, "[$-0E0000]yyyy-mm-dd")</f>
        <v/>
      </c>
      <c r="C39314" t="inlineStr">
        <is>
          <t>2007-07-08</t>
        </is>
      </c>
    </row>
    <row r="39315">
      <c r="A39315" s="1" t="n">
        <v>39314</v>
      </c>
      <c r="B39315">
        <f>TEXT(39314, "[$-0E0000]yyyy-mm-dd")</f>
        <v/>
      </c>
      <c r="C39315" t="inlineStr">
        <is>
          <t>2007-07-09</t>
        </is>
      </c>
    </row>
    <row r="39316">
      <c r="A39316" s="1" t="n">
        <v>39315</v>
      </c>
      <c r="B39316">
        <f>TEXT(39315, "[$-0E0000]yyyy-mm-dd")</f>
        <v/>
      </c>
      <c r="C39316" t="inlineStr">
        <is>
          <t>2007-07-10</t>
        </is>
      </c>
    </row>
    <row r="39317">
      <c r="A39317" s="1" t="n">
        <v>39316</v>
      </c>
      <c r="B39317">
        <f>TEXT(39316, "[$-0E0000]yyyy-mm-dd")</f>
        <v/>
      </c>
      <c r="C39317" t="inlineStr">
        <is>
          <t>2007-07-11</t>
        </is>
      </c>
    </row>
    <row r="39318">
      <c r="A39318" s="1" t="n">
        <v>39317</v>
      </c>
      <c r="B39318">
        <f>TEXT(39317, "[$-0E0000]yyyy-mm-dd")</f>
        <v/>
      </c>
      <c r="C39318" t="inlineStr">
        <is>
          <t>2007-07-12</t>
        </is>
      </c>
    </row>
    <row r="39319">
      <c r="A39319" s="1" t="n">
        <v>39318</v>
      </c>
      <c r="B39319">
        <f>TEXT(39318, "[$-0E0000]yyyy-mm-dd")</f>
        <v/>
      </c>
      <c r="C39319" t="inlineStr">
        <is>
          <t>2007-07-13</t>
        </is>
      </c>
    </row>
    <row r="39320">
      <c r="A39320" s="1" t="n">
        <v>39319</v>
      </c>
      <c r="B39320">
        <f>TEXT(39319, "[$-0E0000]yyyy-mm-dd")</f>
        <v/>
      </c>
      <c r="C39320" t="inlineStr">
        <is>
          <t>2007-07-14</t>
        </is>
      </c>
    </row>
    <row r="39321">
      <c r="A39321" s="1" t="n">
        <v>39320</v>
      </c>
      <c r="B39321">
        <f>TEXT(39320, "[$-0E0000]yyyy-mm-dd")</f>
        <v/>
      </c>
      <c r="C39321" t="inlineStr">
        <is>
          <t>2007-07-15</t>
        </is>
      </c>
    </row>
    <row r="39322">
      <c r="A39322" s="1" t="n">
        <v>39321</v>
      </c>
      <c r="B39322">
        <f>TEXT(39321, "[$-0E0000]yyyy-mm-dd")</f>
        <v/>
      </c>
      <c r="C39322" t="inlineStr">
        <is>
          <t>2007-07-16</t>
        </is>
      </c>
    </row>
    <row r="39323">
      <c r="A39323" s="1" t="n">
        <v>39322</v>
      </c>
      <c r="B39323">
        <f>TEXT(39322, "[$-0E0000]yyyy-mm-dd")</f>
        <v/>
      </c>
      <c r="C39323" t="inlineStr">
        <is>
          <t>2007-07-17</t>
        </is>
      </c>
    </row>
    <row r="39324">
      <c r="A39324" s="1" t="n">
        <v>39323</v>
      </c>
      <c r="B39324">
        <f>TEXT(39323, "[$-0E0000]yyyy-mm-dd")</f>
        <v/>
      </c>
      <c r="C39324" t="inlineStr">
        <is>
          <t>2007-07-18</t>
        </is>
      </c>
    </row>
    <row r="39325">
      <c r="A39325" s="1" t="n">
        <v>39324</v>
      </c>
      <c r="B39325">
        <f>TEXT(39324, "[$-0E0000]yyyy-mm-dd")</f>
        <v/>
      </c>
      <c r="C39325" t="inlineStr">
        <is>
          <t>2007-07-19</t>
        </is>
      </c>
    </row>
    <row r="39326">
      <c r="A39326" s="1" t="n">
        <v>39325</v>
      </c>
      <c r="B39326">
        <f>TEXT(39325, "[$-0E0000]yyyy-mm-dd")</f>
        <v/>
      </c>
      <c r="C39326" t="inlineStr">
        <is>
          <t>2007-07-20</t>
        </is>
      </c>
    </row>
    <row r="39327">
      <c r="A39327" s="1" t="n">
        <v>39326</v>
      </c>
      <c r="B39327">
        <f>TEXT(39326, "[$-0E0000]yyyy-mm-dd")</f>
        <v/>
      </c>
      <c r="C39327" t="inlineStr">
        <is>
          <t>2007-07-21</t>
        </is>
      </c>
    </row>
    <row r="39328">
      <c r="A39328" s="1" t="n">
        <v>39327</v>
      </c>
      <c r="B39328">
        <f>TEXT(39327, "[$-0E0000]yyyy-mm-dd")</f>
        <v/>
      </c>
      <c r="C39328" t="inlineStr">
        <is>
          <t>2007-07-22</t>
        </is>
      </c>
    </row>
    <row r="39329">
      <c r="A39329" s="1" t="n">
        <v>39328</v>
      </c>
      <c r="B39329">
        <f>TEXT(39328, "[$-0E0000]yyyy-mm-dd")</f>
        <v/>
      </c>
      <c r="C39329" t="inlineStr">
        <is>
          <t>2007-07-23</t>
        </is>
      </c>
    </row>
    <row r="39330">
      <c r="A39330" s="1" t="n">
        <v>39329</v>
      </c>
      <c r="B39330">
        <f>TEXT(39329, "[$-0E0000]yyyy-mm-dd")</f>
        <v/>
      </c>
      <c r="C39330" t="inlineStr">
        <is>
          <t>2007-07-24</t>
        </is>
      </c>
    </row>
    <row r="39331">
      <c r="A39331" s="1" t="n">
        <v>39330</v>
      </c>
      <c r="B39331">
        <f>TEXT(39330, "[$-0E0000]yyyy-mm-dd")</f>
        <v/>
      </c>
      <c r="C39331" t="inlineStr">
        <is>
          <t>2007-07-25</t>
        </is>
      </c>
    </row>
    <row r="39332">
      <c r="A39332" s="1" t="n">
        <v>39331</v>
      </c>
      <c r="B39332">
        <f>TEXT(39331, "[$-0E0000]yyyy-mm-dd")</f>
        <v/>
      </c>
      <c r="C39332" t="inlineStr">
        <is>
          <t>2007-07-26</t>
        </is>
      </c>
    </row>
    <row r="39333">
      <c r="A39333" s="1" t="n">
        <v>39332</v>
      </c>
      <c r="B39333">
        <f>TEXT(39332, "[$-0E0000]yyyy-mm-dd")</f>
        <v/>
      </c>
      <c r="C39333" t="inlineStr">
        <is>
          <t>2007-07-27</t>
        </is>
      </c>
    </row>
    <row r="39334">
      <c r="A39334" s="1" t="n">
        <v>39333</v>
      </c>
      <c r="B39334">
        <f>TEXT(39333, "[$-0E0000]yyyy-mm-dd")</f>
        <v/>
      </c>
      <c r="C39334" t="inlineStr">
        <is>
          <t>2007-07-28</t>
        </is>
      </c>
    </row>
    <row r="39335">
      <c r="A39335" s="1" t="n">
        <v>39334</v>
      </c>
      <c r="B39335">
        <f>TEXT(39334, "[$-0E0000]yyyy-mm-dd")</f>
        <v/>
      </c>
      <c r="C39335" t="inlineStr">
        <is>
          <t>2007-07-29</t>
        </is>
      </c>
    </row>
    <row r="39336">
      <c r="A39336" s="1" t="n">
        <v>39335</v>
      </c>
      <c r="B39336">
        <f>TEXT(39335, "[$-0E0000]yyyy-mm-dd")</f>
        <v/>
      </c>
      <c r="C39336" t="inlineStr">
        <is>
          <t>2007-08-01</t>
        </is>
      </c>
    </row>
    <row r="39337">
      <c r="A39337" s="1" t="n">
        <v>39336</v>
      </c>
      <c r="B39337">
        <f>TEXT(39336, "[$-0E0000]yyyy-mm-dd")</f>
        <v/>
      </c>
      <c r="C39337" t="inlineStr">
        <is>
          <t>2007-08-02</t>
        </is>
      </c>
    </row>
    <row r="39338">
      <c r="A39338" s="1" t="n">
        <v>39337</v>
      </c>
      <c r="B39338">
        <f>TEXT(39337, "[$-0E0000]yyyy-mm-dd")</f>
        <v/>
      </c>
      <c r="C39338" t="inlineStr">
        <is>
          <t>2007-08-03</t>
        </is>
      </c>
    </row>
    <row r="39339">
      <c r="A39339" s="1" t="n">
        <v>39338</v>
      </c>
      <c r="B39339">
        <f>TEXT(39338, "[$-0E0000]yyyy-mm-dd")</f>
        <v/>
      </c>
      <c r="C39339" t="inlineStr">
        <is>
          <t>2007-08-04</t>
        </is>
      </c>
    </row>
    <row r="39340">
      <c r="A39340" s="1" t="n">
        <v>39339</v>
      </c>
      <c r="B39340">
        <f>TEXT(39339, "[$-0E0000]yyyy-mm-dd")</f>
        <v/>
      </c>
      <c r="C39340" t="inlineStr">
        <is>
          <t>2007-08-05</t>
        </is>
      </c>
    </row>
    <row r="39341">
      <c r="A39341" s="1" t="n">
        <v>39340</v>
      </c>
      <c r="B39341">
        <f>TEXT(39340, "[$-0E0000]yyyy-mm-dd")</f>
        <v/>
      </c>
      <c r="C39341" t="inlineStr">
        <is>
          <t>2007-08-06</t>
        </is>
      </c>
    </row>
    <row r="39342">
      <c r="A39342" s="1" t="n">
        <v>39341</v>
      </c>
      <c r="B39342">
        <f>TEXT(39341, "[$-0E0000]yyyy-mm-dd")</f>
        <v/>
      </c>
      <c r="C39342" t="inlineStr">
        <is>
          <t>2007-08-07</t>
        </is>
      </c>
    </row>
    <row r="39343">
      <c r="A39343" s="1" t="n">
        <v>39342</v>
      </c>
      <c r="B39343">
        <f>TEXT(39342, "[$-0E0000]yyyy-mm-dd")</f>
        <v/>
      </c>
      <c r="C39343" t="inlineStr">
        <is>
          <t>2007-08-08</t>
        </is>
      </c>
    </row>
    <row r="39344">
      <c r="A39344" s="1" t="n">
        <v>39343</v>
      </c>
      <c r="B39344">
        <f>TEXT(39343, "[$-0E0000]yyyy-mm-dd")</f>
        <v/>
      </c>
      <c r="C39344" t="inlineStr">
        <is>
          <t>2007-08-09</t>
        </is>
      </c>
    </row>
    <row r="39345">
      <c r="A39345" s="1" t="n">
        <v>39344</v>
      </c>
      <c r="B39345">
        <f>TEXT(39344, "[$-0E0000]yyyy-mm-dd")</f>
        <v/>
      </c>
      <c r="C39345" t="inlineStr">
        <is>
          <t>2007-08-10</t>
        </is>
      </c>
    </row>
    <row r="39346">
      <c r="A39346" s="1" t="n">
        <v>39345</v>
      </c>
      <c r="B39346">
        <f>TEXT(39345, "[$-0E0000]yyyy-mm-dd")</f>
        <v/>
      </c>
      <c r="C39346" t="inlineStr">
        <is>
          <t>2007-08-11</t>
        </is>
      </c>
    </row>
    <row r="39347">
      <c r="A39347" s="1" t="n">
        <v>39346</v>
      </c>
      <c r="B39347">
        <f>TEXT(39346, "[$-0E0000]yyyy-mm-dd")</f>
        <v/>
      </c>
      <c r="C39347" t="inlineStr">
        <is>
          <t>2007-08-12</t>
        </is>
      </c>
    </row>
    <row r="39348">
      <c r="A39348" s="1" t="n">
        <v>39347</v>
      </c>
      <c r="B39348">
        <f>TEXT(39347, "[$-0E0000]yyyy-mm-dd")</f>
        <v/>
      </c>
      <c r="C39348" t="inlineStr">
        <is>
          <t>2007-08-13</t>
        </is>
      </c>
    </row>
    <row r="39349">
      <c r="A39349" s="1" t="n">
        <v>39348</v>
      </c>
      <c r="B39349">
        <f>TEXT(39348, "[$-0E0000]yyyy-mm-dd")</f>
        <v/>
      </c>
      <c r="C39349" t="inlineStr">
        <is>
          <t>2007-08-14</t>
        </is>
      </c>
    </row>
    <row r="39350">
      <c r="A39350" s="1" t="n">
        <v>39349</v>
      </c>
      <c r="B39350">
        <f>TEXT(39349, "[$-0E0000]yyyy-mm-dd")</f>
        <v/>
      </c>
      <c r="C39350" t="inlineStr">
        <is>
          <t>2007-08-15</t>
        </is>
      </c>
    </row>
    <row r="39351">
      <c r="A39351" s="1" t="n">
        <v>39350</v>
      </c>
      <c r="B39351">
        <f>TEXT(39350, "[$-0E0000]yyyy-mm-dd")</f>
        <v/>
      </c>
      <c r="C39351" t="inlineStr">
        <is>
          <t>2007-08-16</t>
        </is>
      </c>
    </row>
    <row r="39352">
      <c r="A39352" s="1" t="n">
        <v>39351</v>
      </c>
      <c r="B39352">
        <f>TEXT(39351, "[$-0E0000]yyyy-mm-dd")</f>
        <v/>
      </c>
      <c r="C39352" t="inlineStr">
        <is>
          <t>2007-08-17</t>
        </is>
      </c>
    </row>
    <row r="39353">
      <c r="A39353" s="1" t="n">
        <v>39352</v>
      </c>
      <c r="B39353">
        <f>TEXT(39352, "[$-0E0000]yyyy-mm-dd")</f>
        <v/>
      </c>
      <c r="C39353" t="inlineStr">
        <is>
          <t>2007-08-18</t>
        </is>
      </c>
    </row>
    <row r="39354">
      <c r="A39354" s="1" t="n">
        <v>39353</v>
      </c>
      <c r="B39354">
        <f>TEXT(39353, "[$-0E0000]yyyy-mm-dd")</f>
        <v/>
      </c>
      <c r="C39354" t="inlineStr">
        <is>
          <t>2007-08-19</t>
        </is>
      </c>
    </row>
    <row r="39355">
      <c r="A39355" s="1" t="n">
        <v>39354</v>
      </c>
      <c r="B39355">
        <f>TEXT(39354, "[$-0E0000]yyyy-mm-dd")</f>
        <v/>
      </c>
      <c r="C39355" t="inlineStr">
        <is>
          <t>2007-08-20</t>
        </is>
      </c>
    </row>
    <row r="39356">
      <c r="A39356" s="1" t="n">
        <v>39355</v>
      </c>
      <c r="B39356">
        <f>TEXT(39355, "[$-0E0000]yyyy-mm-dd")</f>
        <v/>
      </c>
      <c r="C39356" t="inlineStr">
        <is>
          <t>2007-08-21</t>
        </is>
      </c>
    </row>
    <row r="39357">
      <c r="A39357" s="1" t="n">
        <v>39356</v>
      </c>
      <c r="B39357">
        <f>TEXT(39356, "[$-0E0000]yyyy-mm-dd")</f>
        <v/>
      </c>
      <c r="C39357" t="inlineStr">
        <is>
          <t>2007-08-22</t>
        </is>
      </c>
    </row>
    <row r="39358">
      <c r="A39358" s="1" t="n">
        <v>39357</v>
      </c>
      <c r="B39358">
        <f>TEXT(39357, "[$-0E0000]yyyy-mm-dd")</f>
        <v/>
      </c>
      <c r="C39358" t="inlineStr">
        <is>
          <t>2007-08-23</t>
        </is>
      </c>
    </row>
    <row r="39359">
      <c r="A39359" s="1" t="n">
        <v>39358</v>
      </c>
      <c r="B39359">
        <f>TEXT(39358, "[$-0E0000]yyyy-mm-dd")</f>
        <v/>
      </c>
      <c r="C39359" t="inlineStr">
        <is>
          <t>2007-08-24</t>
        </is>
      </c>
    </row>
    <row r="39360">
      <c r="A39360" s="1" t="n">
        <v>39359</v>
      </c>
      <c r="B39360">
        <f>TEXT(39359, "[$-0E0000]yyyy-mm-dd")</f>
        <v/>
      </c>
      <c r="C39360" t="inlineStr">
        <is>
          <t>2007-08-25</t>
        </is>
      </c>
    </row>
    <row r="39361">
      <c r="A39361" s="1" t="n">
        <v>39360</v>
      </c>
      <c r="B39361">
        <f>TEXT(39360, "[$-0E0000]yyyy-mm-dd")</f>
        <v/>
      </c>
      <c r="C39361" t="inlineStr">
        <is>
          <t>2007-08-26</t>
        </is>
      </c>
    </row>
    <row r="39362">
      <c r="A39362" s="1" t="n">
        <v>39361</v>
      </c>
      <c r="B39362">
        <f>TEXT(39361, "[$-0E0000]yyyy-mm-dd")</f>
        <v/>
      </c>
      <c r="C39362" t="inlineStr">
        <is>
          <t>2007-08-27</t>
        </is>
      </c>
    </row>
    <row r="39363">
      <c r="A39363" s="1" t="n">
        <v>39362</v>
      </c>
      <c r="B39363">
        <f>TEXT(39362, "[$-0E0000]yyyy-mm-dd")</f>
        <v/>
      </c>
      <c r="C39363" t="inlineStr">
        <is>
          <t>2007-08-28</t>
        </is>
      </c>
    </row>
    <row r="39364">
      <c r="A39364" s="1" t="n">
        <v>39363</v>
      </c>
      <c r="B39364">
        <f>TEXT(39363, "[$-0E0000]yyyy-mm-dd")</f>
        <v/>
      </c>
      <c r="C39364" t="inlineStr">
        <is>
          <t>2007-08-29</t>
        </is>
      </c>
    </row>
    <row r="39365">
      <c r="A39365" s="1" t="n">
        <v>39364</v>
      </c>
      <c r="B39365">
        <f>TEXT(39364, "[$-0E0000]yyyy-mm-dd")</f>
        <v/>
      </c>
      <c r="C39365" t="inlineStr">
        <is>
          <t>2007-08-30</t>
        </is>
      </c>
    </row>
    <row r="39366">
      <c r="A39366" s="1" t="n">
        <v>39365</v>
      </c>
      <c r="B39366">
        <f>TEXT(39365, "[$-0E0000]yyyy-mm-dd")</f>
        <v/>
      </c>
      <c r="C39366" t="inlineStr">
        <is>
          <t>2007-09-01</t>
        </is>
      </c>
    </row>
    <row r="39367">
      <c r="A39367" s="1" t="n">
        <v>39366</v>
      </c>
      <c r="B39367">
        <f>TEXT(39366, "[$-0E0000]yyyy-mm-dd")</f>
        <v/>
      </c>
      <c r="C39367" t="inlineStr">
        <is>
          <t>2007-09-02</t>
        </is>
      </c>
    </row>
    <row r="39368">
      <c r="A39368" s="1" t="n">
        <v>39367</v>
      </c>
      <c r="B39368">
        <f>TEXT(39367, "[$-0E0000]yyyy-mm-dd")</f>
        <v/>
      </c>
      <c r="C39368" t="inlineStr">
        <is>
          <t>2007-09-03</t>
        </is>
      </c>
    </row>
    <row r="39369">
      <c r="A39369" s="1" t="n">
        <v>39368</v>
      </c>
      <c r="B39369">
        <f>TEXT(39368, "[$-0E0000]yyyy-mm-dd")</f>
        <v/>
      </c>
      <c r="C39369" t="inlineStr">
        <is>
          <t>2007-09-04</t>
        </is>
      </c>
    </row>
    <row r="39370">
      <c r="A39370" s="1" t="n">
        <v>39369</v>
      </c>
      <c r="B39370">
        <f>TEXT(39369, "[$-0E0000]yyyy-mm-dd")</f>
        <v/>
      </c>
      <c r="C39370" t="inlineStr">
        <is>
          <t>2007-09-05</t>
        </is>
      </c>
    </row>
    <row r="39371">
      <c r="A39371" s="1" t="n">
        <v>39370</v>
      </c>
      <c r="B39371">
        <f>TEXT(39370, "[$-0E0000]yyyy-mm-dd")</f>
        <v/>
      </c>
      <c r="C39371" t="inlineStr">
        <is>
          <t>2007-09-06</t>
        </is>
      </c>
    </row>
    <row r="39372">
      <c r="A39372" s="1" t="n">
        <v>39371</v>
      </c>
      <c r="B39372">
        <f>TEXT(39371, "[$-0E0000]yyyy-mm-dd")</f>
        <v/>
      </c>
      <c r="C39372" t="inlineStr">
        <is>
          <t>2007-09-07</t>
        </is>
      </c>
    </row>
    <row r="39373">
      <c r="A39373" s="1" t="n">
        <v>39372</v>
      </c>
      <c r="B39373">
        <f>TEXT(39372, "[$-0E0000]yyyy-mm-dd")</f>
        <v/>
      </c>
      <c r="C39373" t="inlineStr">
        <is>
          <t>2007-09-08</t>
        </is>
      </c>
    </row>
    <row r="39374">
      <c r="A39374" s="1" t="n">
        <v>39373</v>
      </c>
      <c r="B39374">
        <f>TEXT(39373, "[$-0E0000]yyyy-mm-dd")</f>
        <v/>
      </c>
      <c r="C39374" t="inlineStr">
        <is>
          <t>2007-09-09</t>
        </is>
      </c>
    </row>
    <row r="39375">
      <c r="A39375" s="1" t="n">
        <v>39374</v>
      </c>
      <c r="B39375">
        <f>TEXT(39374, "[$-0E0000]yyyy-mm-dd")</f>
        <v/>
      </c>
      <c r="C39375" t="inlineStr">
        <is>
          <t>2007-09-10</t>
        </is>
      </c>
    </row>
    <row r="39376">
      <c r="A39376" s="1" t="n">
        <v>39375</v>
      </c>
      <c r="B39376">
        <f>TEXT(39375, "[$-0E0000]yyyy-mm-dd")</f>
        <v/>
      </c>
      <c r="C39376" t="inlineStr">
        <is>
          <t>2007-09-11</t>
        </is>
      </c>
    </row>
    <row r="39377">
      <c r="A39377" s="1" t="n">
        <v>39376</v>
      </c>
      <c r="B39377">
        <f>TEXT(39376, "[$-0E0000]yyyy-mm-dd")</f>
        <v/>
      </c>
      <c r="C39377" t="inlineStr">
        <is>
          <t>2007-09-12</t>
        </is>
      </c>
    </row>
    <row r="39378">
      <c r="A39378" s="1" t="n">
        <v>39377</v>
      </c>
      <c r="B39378">
        <f>TEXT(39377, "[$-0E0000]yyyy-mm-dd")</f>
        <v/>
      </c>
      <c r="C39378" t="inlineStr">
        <is>
          <t>2007-09-13</t>
        </is>
      </c>
    </row>
    <row r="39379">
      <c r="A39379" s="1" t="n">
        <v>39378</v>
      </c>
      <c r="B39379">
        <f>TEXT(39378, "[$-0E0000]yyyy-mm-dd")</f>
        <v/>
      </c>
      <c r="C39379" t="inlineStr">
        <is>
          <t>2007-09-14</t>
        </is>
      </c>
    </row>
    <row r="39380">
      <c r="A39380" s="1" t="n">
        <v>39379</v>
      </c>
      <c r="B39380">
        <f>TEXT(39379, "[$-0E0000]yyyy-mm-dd")</f>
        <v/>
      </c>
      <c r="C39380" t="inlineStr">
        <is>
          <t>2007-09-15</t>
        </is>
      </c>
    </row>
    <row r="39381">
      <c r="A39381" s="1" t="n">
        <v>39380</v>
      </c>
      <c r="B39381">
        <f>TEXT(39380, "[$-0E0000]yyyy-mm-dd")</f>
        <v/>
      </c>
      <c r="C39381" t="inlineStr">
        <is>
          <t>2007-09-16</t>
        </is>
      </c>
    </row>
    <row r="39382">
      <c r="A39382" s="1" t="n">
        <v>39381</v>
      </c>
      <c r="B39382">
        <f>TEXT(39381, "[$-0E0000]yyyy-mm-dd")</f>
        <v/>
      </c>
      <c r="C39382" t="inlineStr">
        <is>
          <t>2007-09-17</t>
        </is>
      </c>
    </row>
    <row r="39383">
      <c r="A39383" s="1" t="n">
        <v>39382</v>
      </c>
      <c r="B39383">
        <f>TEXT(39382, "[$-0E0000]yyyy-mm-dd")</f>
        <v/>
      </c>
      <c r="C39383" t="inlineStr">
        <is>
          <t>2007-09-18</t>
        </is>
      </c>
    </row>
    <row r="39384">
      <c r="A39384" s="1" t="n">
        <v>39383</v>
      </c>
      <c r="B39384">
        <f>TEXT(39383, "[$-0E0000]yyyy-mm-dd")</f>
        <v/>
      </c>
      <c r="C39384" t="inlineStr">
        <is>
          <t>2007-09-19</t>
        </is>
      </c>
    </row>
    <row r="39385">
      <c r="A39385" s="1" t="n">
        <v>39384</v>
      </c>
      <c r="B39385">
        <f>TEXT(39384, "[$-0E0000]yyyy-mm-dd")</f>
        <v/>
      </c>
      <c r="C39385" t="inlineStr">
        <is>
          <t>2007-09-20</t>
        </is>
      </c>
    </row>
    <row r="39386">
      <c r="A39386" s="1" t="n">
        <v>39385</v>
      </c>
      <c r="B39386">
        <f>TEXT(39385, "[$-0E0000]yyyy-mm-dd")</f>
        <v/>
      </c>
      <c r="C39386" t="inlineStr">
        <is>
          <t>2007-09-21</t>
        </is>
      </c>
    </row>
    <row r="39387">
      <c r="A39387" s="1" t="n">
        <v>39386</v>
      </c>
      <c r="B39387">
        <f>TEXT(39386, "[$-0E0000]yyyy-mm-dd")</f>
        <v/>
      </c>
      <c r="C39387" t="inlineStr">
        <is>
          <t>2007-09-22</t>
        </is>
      </c>
    </row>
    <row r="39388">
      <c r="A39388" s="1" t="n">
        <v>39387</v>
      </c>
      <c r="B39388">
        <f>TEXT(39387, "[$-0E0000]yyyy-mm-dd")</f>
        <v/>
      </c>
      <c r="C39388" t="inlineStr">
        <is>
          <t>2007-09-23</t>
        </is>
      </c>
    </row>
    <row r="39389">
      <c r="A39389" s="1" t="n">
        <v>39388</v>
      </c>
      <c r="B39389">
        <f>TEXT(39388, "[$-0E0000]yyyy-mm-dd")</f>
        <v/>
      </c>
      <c r="C39389" t="inlineStr">
        <is>
          <t>2007-09-24</t>
        </is>
      </c>
    </row>
    <row r="39390">
      <c r="A39390" s="1" t="n">
        <v>39389</v>
      </c>
      <c r="B39390">
        <f>TEXT(39389, "[$-0E0000]yyyy-mm-dd")</f>
        <v/>
      </c>
      <c r="C39390" t="inlineStr">
        <is>
          <t>2007-09-25</t>
        </is>
      </c>
    </row>
    <row r="39391">
      <c r="A39391" s="1" t="n">
        <v>39390</v>
      </c>
      <c r="B39391">
        <f>TEXT(39390, "[$-0E0000]yyyy-mm-dd")</f>
        <v/>
      </c>
      <c r="C39391" t="inlineStr">
        <is>
          <t>2007-09-26</t>
        </is>
      </c>
    </row>
    <row r="39392">
      <c r="A39392" s="1" t="n">
        <v>39391</v>
      </c>
      <c r="B39392">
        <f>TEXT(39391, "[$-0E0000]yyyy-mm-dd")</f>
        <v/>
      </c>
      <c r="C39392" t="inlineStr">
        <is>
          <t>2007-09-27</t>
        </is>
      </c>
    </row>
    <row r="39393">
      <c r="A39393" s="1" t="n">
        <v>39392</v>
      </c>
      <c r="B39393">
        <f>TEXT(39392, "[$-0E0000]yyyy-mm-dd")</f>
        <v/>
      </c>
      <c r="C39393" t="inlineStr">
        <is>
          <t>2007-09-28</t>
        </is>
      </c>
    </row>
    <row r="39394">
      <c r="A39394" s="1" t="n">
        <v>39393</v>
      </c>
      <c r="B39394">
        <f>TEXT(39393, "[$-0E0000]yyyy-mm-dd")</f>
        <v/>
      </c>
      <c r="C39394" t="inlineStr">
        <is>
          <t>2007-09-29</t>
        </is>
      </c>
    </row>
    <row r="39395">
      <c r="A39395" s="1" t="n">
        <v>39394</v>
      </c>
      <c r="B39395">
        <f>TEXT(39394, "[$-0E0000]yyyy-mm-dd")</f>
        <v/>
      </c>
      <c r="C39395" t="inlineStr">
        <is>
          <t>2007-09-30</t>
        </is>
      </c>
    </row>
    <row r="39396">
      <c r="A39396" s="1" t="n">
        <v>39395</v>
      </c>
      <c r="B39396">
        <f>TEXT(39395, "[$-0E0000]yyyy-mm-dd")</f>
        <v/>
      </c>
      <c r="C39396" t="inlineStr">
        <is>
          <t>2007-10-01</t>
        </is>
      </c>
    </row>
    <row r="39397">
      <c r="A39397" s="1" t="n">
        <v>39396</v>
      </c>
      <c r="B39397">
        <f>TEXT(39396, "[$-0E0000]yyyy-mm-dd")</f>
        <v/>
      </c>
      <c r="C39397" t="inlineStr">
        <is>
          <t>2007-10-02</t>
        </is>
      </c>
    </row>
    <row r="39398">
      <c r="A39398" s="1" t="n">
        <v>39397</v>
      </c>
      <c r="B39398">
        <f>TEXT(39397, "[$-0E0000]yyyy-mm-dd")</f>
        <v/>
      </c>
      <c r="C39398" t="inlineStr">
        <is>
          <t>2007-10-03</t>
        </is>
      </c>
    </row>
    <row r="39399">
      <c r="A39399" s="1" t="n">
        <v>39398</v>
      </c>
      <c r="B39399">
        <f>TEXT(39398, "[$-0E0000]yyyy-mm-dd")</f>
        <v/>
      </c>
      <c r="C39399" t="inlineStr">
        <is>
          <t>2007-10-04</t>
        </is>
      </c>
    </row>
    <row r="39400">
      <c r="A39400" s="1" t="n">
        <v>39399</v>
      </c>
      <c r="B39400">
        <f>TEXT(39399, "[$-0E0000]yyyy-mm-dd")</f>
        <v/>
      </c>
      <c r="C39400" t="inlineStr">
        <is>
          <t>2007-10-05</t>
        </is>
      </c>
    </row>
    <row r="39401">
      <c r="A39401" s="1" t="n">
        <v>39400</v>
      </c>
      <c r="B39401">
        <f>TEXT(39400, "[$-0E0000]yyyy-mm-dd")</f>
        <v/>
      </c>
      <c r="C39401" t="inlineStr">
        <is>
          <t>2007-10-06</t>
        </is>
      </c>
    </row>
    <row r="39402">
      <c r="A39402" s="1" t="n">
        <v>39401</v>
      </c>
      <c r="B39402">
        <f>TEXT(39401, "[$-0E0000]yyyy-mm-dd")</f>
        <v/>
      </c>
      <c r="C39402" t="inlineStr">
        <is>
          <t>2007-10-07</t>
        </is>
      </c>
    </row>
    <row r="39403">
      <c r="A39403" s="1" t="n">
        <v>39402</v>
      </c>
      <c r="B39403">
        <f>TEXT(39402, "[$-0E0000]yyyy-mm-dd")</f>
        <v/>
      </c>
      <c r="C39403" t="inlineStr">
        <is>
          <t>2007-10-08</t>
        </is>
      </c>
    </row>
    <row r="39404">
      <c r="A39404" s="1" t="n">
        <v>39403</v>
      </c>
      <c r="B39404">
        <f>TEXT(39403, "[$-0E0000]yyyy-mm-dd")</f>
        <v/>
      </c>
      <c r="C39404" t="inlineStr">
        <is>
          <t>2007-10-09</t>
        </is>
      </c>
    </row>
    <row r="39405">
      <c r="A39405" s="1" t="n">
        <v>39404</v>
      </c>
      <c r="B39405">
        <f>TEXT(39404, "[$-0E0000]yyyy-mm-dd")</f>
        <v/>
      </c>
      <c r="C39405" t="inlineStr">
        <is>
          <t>2007-10-10</t>
        </is>
      </c>
    </row>
    <row r="39406">
      <c r="A39406" s="1" t="n">
        <v>39405</v>
      </c>
      <c r="B39406">
        <f>TEXT(39405, "[$-0E0000]yyyy-mm-dd")</f>
        <v/>
      </c>
      <c r="C39406" t="inlineStr">
        <is>
          <t>2007-10-11</t>
        </is>
      </c>
    </row>
    <row r="39407">
      <c r="A39407" s="1" t="n">
        <v>39406</v>
      </c>
      <c r="B39407">
        <f>TEXT(39406, "[$-0E0000]yyyy-mm-dd")</f>
        <v/>
      </c>
      <c r="C39407" t="inlineStr">
        <is>
          <t>2007-10-12</t>
        </is>
      </c>
    </row>
    <row r="39408">
      <c r="A39408" s="1" t="n">
        <v>39407</v>
      </c>
      <c r="B39408">
        <f>TEXT(39407, "[$-0E0000]yyyy-mm-dd")</f>
        <v/>
      </c>
      <c r="C39408" t="inlineStr">
        <is>
          <t>2007-10-13</t>
        </is>
      </c>
    </row>
    <row r="39409">
      <c r="A39409" s="1" t="n">
        <v>39408</v>
      </c>
      <c r="B39409">
        <f>TEXT(39408, "[$-0E0000]yyyy-mm-dd")</f>
        <v/>
      </c>
      <c r="C39409" t="inlineStr">
        <is>
          <t>2007-10-14</t>
        </is>
      </c>
    </row>
    <row r="39410">
      <c r="A39410" s="1" t="n">
        <v>39409</v>
      </c>
      <c r="B39410">
        <f>TEXT(39409, "[$-0E0000]yyyy-mm-dd")</f>
        <v/>
      </c>
      <c r="C39410" t="inlineStr">
        <is>
          <t>2007-10-15</t>
        </is>
      </c>
    </row>
    <row r="39411">
      <c r="A39411" s="1" t="n">
        <v>39410</v>
      </c>
      <c r="B39411">
        <f>TEXT(39410, "[$-0E0000]yyyy-mm-dd")</f>
        <v/>
      </c>
      <c r="C39411" t="inlineStr">
        <is>
          <t>2007-10-16</t>
        </is>
      </c>
    </row>
    <row r="39412">
      <c r="A39412" s="1" t="n">
        <v>39411</v>
      </c>
      <c r="B39412">
        <f>TEXT(39411, "[$-0E0000]yyyy-mm-dd")</f>
        <v/>
      </c>
      <c r="C39412" t="inlineStr">
        <is>
          <t>2007-10-17</t>
        </is>
      </c>
    </row>
    <row r="39413">
      <c r="A39413" s="1" t="n">
        <v>39412</v>
      </c>
      <c r="B39413">
        <f>TEXT(39412, "[$-0E0000]yyyy-mm-dd")</f>
        <v/>
      </c>
      <c r="C39413" t="inlineStr">
        <is>
          <t>2007-10-18</t>
        </is>
      </c>
    </row>
    <row r="39414">
      <c r="A39414" s="1" t="n">
        <v>39413</v>
      </c>
      <c r="B39414">
        <f>TEXT(39413, "[$-0E0000]yyyy-mm-dd")</f>
        <v/>
      </c>
      <c r="C39414" t="inlineStr">
        <is>
          <t>2007-10-19</t>
        </is>
      </c>
    </row>
    <row r="39415">
      <c r="A39415" s="1" t="n">
        <v>39414</v>
      </c>
      <c r="B39415">
        <f>TEXT(39414, "[$-0E0000]yyyy-mm-dd")</f>
        <v/>
      </c>
      <c r="C39415" t="inlineStr">
        <is>
          <t>2007-10-20</t>
        </is>
      </c>
    </row>
    <row r="39416">
      <c r="A39416" s="1" t="n">
        <v>39415</v>
      </c>
      <c r="B39416">
        <f>TEXT(39415, "[$-0E0000]yyyy-mm-dd")</f>
        <v/>
      </c>
      <c r="C39416" t="inlineStr">
        <is>
          <t>2007-10-21</t>
        </is>
      </c>
    </row>
    <row r="39417">
      <c r="A39417" s="1" t="n">
        <v>39416</v>
      </c>
      <c r="B39417">
        <f>TEXT(39416, "[$-0E0000]yyyy-mm-dd")</f>
        <v/>
      </c>
      <c r="C39417" t="inlineStr">
        <is>
          <t>2007-10-22</t>
        </is>
      </c>
    </row>
    <row r="39418">
      <c r="A39418" s="1" t="n">
        <v>39417</v>
      </c>
      <c r="B39418">
        <f>TEXT(39417, "[$-0E0000]yyyy-mm-dd")</f>
        <v/>
      </c>
      <c r="C39418" t="inlineStr">
        <is>
          <t>2007-10-23</t>
        </is>
      </c>
    </row>
    <row r="39419">
      <c r="A39419" s="1" t="n">
        <v>39418</v>
      </c>
      <c r="B39419">
        <f>TEXT(39418, "[$-0E0000]yyyy-mm-dd")</f>
        <v/>
      </c>
      <c r="C39419" t="inlineStr">
        <is>
          <t>2007-10-24</t>
        </is>
      </c>
    </row>
    <row r="39420">
      <c r="A39420" s="1" t="n">
        <v>39419</v>
      </c>
      <c r="B39420">
        <f>TEXT(39419, "[$-0E0000]yyyy-mm-dd")</f>
        <v/>
      </c>
      <c r="C39420" t="inlineStr">
        <is>
          <t>2007-10-25</t>
        </is>
      </c>
    </row>
    <row r="39421">
      <c r="A39421" s="1" t="n">
        <v>39420</v>
      </c>
      <c r="B39421">
        <f>TEXT(39420, "[$-0E0000]yyyy-mm-dd")</f>
        <v/>
      </c>
      <c r="C39421" t="inlineStr">
        <is>
          <t>2007-10-26</t>
        </is>
      </c>
    </row>
    <row r="39422">
      <c r="A39422" s="1" t="n">
        <v>39421</v>
      </c>
      <c r="B39422">
        <f>TEXT(39421, "[$-0E0000]yyyy-mm-dd")</f>
        <v/>
      </c>
      <c r="C39422" t="inlineStr">
        <is>
          <t>2007-10-27</t>
        </is>
      </c>
    </row>
    <row r="39423">
      <c r="A39423" s="1" t="n">
        <v>39422</v>
      </c>
      <c r="B39423">
        <f>TEXT(39422, "[$-0E0000]yyyy-mm-dd")</f>
        <v/>
      </c>
      <c r="C39423" t="inlineStr">
        <is>
          <t>2007-10-28</t>
        </is>
      </c>
    </row>
    <row r="39424">
      <c r="A39424" s="1" t="n">
        <v>39423</v>
      </c>
      <c r="B39424">
        <f>TEXT(39423, "[$-0E0000]yyyy-mm-dd")</f>
        <v/>
      </c>
      <c r="C39424" t="inlineStr">
        <is>
          <t>2007-10-29</t>
        </is>
      </c>
    </row>
    <row r="39425">
      <c r="A39425" s="1" t="n">
        <v>39424</v>
      </c>
      <c r="B39425">
        <f>TEXT(39424, "[$-0E0000]yyyy-mm-dd")</f>
        <v/>
      </c>
      <c r="C39425" t="inlineStr">
        <is>
          <t>2007-10-30</t>
        </is>
      </c>
    </row>
    <row r="39426">
      <c r="A39426" s="1" t="n">
        <v>39425</v>
      </c>
      <c r="B39426">
        <f>TEXT(39425, "[$-0E0000]yyyy-mm-dd")</f>
        <v/>
      </c>
      <c r="C39426" t="inlineStr">
        <is>
          <t>2007-11-01</t>
        </is>
      </c>
    </row>
    <row r="39427">
      <c r="A39427" s="1" t="n">
        <v>39426</v>
      </c>
      <c r="B39427">
        <f>TEXT(39426, "[$-0E0000]yyyy-mm-dd")</f>
        <v/>
      </c>
      <c r="C39427" t="inlineStr">
        <is>
          <t>2007-11-02</t>
        </is>
      </c>
    </row>
    <row r="39428">
      <c r="A39428" s="1" t="n">
        <v>39427</v>
      </c>
      <c r="B39428">
        <f>TEXT(39427, "[$-0E0000]yyyy-mm-dd")</f>
        <v/>
      </c>
      <c r="C39428" t="inlineStr">
        <is>
          <t>2007-11-03</t>
        </is>
      </c>
    </row>
    <row r="39429">
      <c r="A39429" s="1" t="n">
        <v>39428</v>
      </c>
      <c r="B39429">
        <f>TEXT(39428, "[$-0E0000]yyyy-mm-dd")</f>
        <v/>
      </c>
      <c r="C39429" t="inlineStr">
        <is>
          <t>2007-11-04</t>
        </is>
      </c>
    </row>
    <row r="39430">
      <c r="A39430" s="1" t="n">
        <v>39429</v>
      </c>
      <c r="B39430">
        <f>TEXT(39429, "[$-0E0000]yyyy-mm-dd")</f>
        <v/>
      </c>
      <c r="C39430" t="inlineStr">
        <is>
          <t>2007-11-05</t>
        </is>
      </c>
    </row>
    <row r="39431">
      <c r="A39431" s="1" t="n">
        <v>39430</v>
      </c>
      <c r="B39431">
        <f>TEXT(39430, "[$-0E0000]yyyy-mm-dd")</f>
        <v/>
      </c>
      <c r="C39431" t="inlineStr">
        <is>
          <t>2007-11-06</t>
        </is>
      </c>
    </row>
    <row r="39432">
      <c r="A39432" s="1" t="n">
        <v>39431</v>
      </c>
      <c r="B39432">
        <f>TEXT(39431, "[$-0E0000]yyyy-mm-dd")</f>
        <v/>
      </c>
      <c r="C39432" t="inlineStr">
        <is>
          <t>2007-11-07</t>
        </is>
      </c>
    </row>
    <row r="39433">
      <c r="A39433" s="1" t="n">
        <v>39432</v>
      </c>
      <c r="B39433">
        <f>TEXT(39432, "[$-0E0000]yyyy-mm-dd")</f>
        <v/>
      </c>
      <c r="C39433" t="inlineStr">
        <is>
          <t>2007-11-08</t>
        </is>
      </c>
    </row>
    <row r="39434">
      <c r="A39434" s="1" t="n">
        <v>39433</v>
      </c>
      <c r="B39434">
        <f>TEXT(39433, "[$-0E0000]yyyy-mm-dd")</f>
        <v/>
      </c>
      <c r="C39434" t="inlineStr">
        <is>
          <t>2007-11-09</t>
        </is>
      </c>
    </row>
    <row r="39435">
      <c r="A39435" s="1" t="n">
        <v>39434</v>
      </c>
      <c r="B39435">
        <f>TEXT(39434, "[$-0E0000]yyyy-mm-dd")</f>
        <v/>
      </c>
      <c r="C39435" t="inlineStr">
        <is>
          <t>2007-11-10</t>
        </is>
      </c>
    </row>
    <row r="39436">
      <c r="A39436" s="1" t="n">
        <v>39435</v>
      </c>
      <c r="B39436">
        <f>TEXT(39435, "[$-0E0000]yyyy-mm-dd")</f>
        <v/>
      </c>
      <c r="C39436" t="inlineStr">
        <is>
          <t>2007-11-11</t>
        </is>
      </c>
    </row>
    <row r="39437">
      <c r="A39437" s="1" t="n">
        <v>39436</v>
      </c>
      <c r="B39437">
        <f>TEXT(39436, "[$-0E0000]yyyy-mm-dd")</f>
        <v/>
      </c>
      <c r="C39437" t="inlineStr">
        <is>
          <t>2007-11-12</t>
        </is>
      </c>
    </row>
    <row r="39438">
      <c r="A39438" s="1" t="n">
        <v>39437</v>
      </c>
      <c r="B39438">
        <f>TEXT(39437, "[$-0E0000]yyyy-mm-dd")</f>
        <v/>
      </c>
      <c r="C39438" t="inlineStr">
        <is>
          <t>2007-11-13</t>
        </is>
      </c>
    </row>
    <row r="39439">
      <c r="A39439" s="1" t="n">
        <v>39438</v>
      </c>
      <c r="B39439">
        <f>TEXT(39438, "[$-0E0000]yyyy-mm-dd")</f>
        <v/>
      </c>
      <c r="C39439" t="inlineStr">
        <is>
          <t>2007-11-14</t>
        </is>
      </c>
    </row>
    <row r="39440">
      <c r="A39440" s="1" t="n">
        <v>39439</v>
      </c>
      <c r="B39440">
        <f>TEXT(39439, "[$-0E0000]yyyy-mm-dd")</f>
        <v/>
      </c>
      <c r="C39440" t="inlineStr">
        <is>
          <t>2007-11-15</t>
        </is>
      </c>
    </row>
    <row r="39441">
      <c r="A39441" s="1" t="n">
        <v>39440</v>
      </c>
      <c r="B39441">
        <f>TEXT(39440, "[$-0E0000]yyyy-mm-dd")</f>
        <v/>
      </c>
      <c r="C39441" t="inlineStr">
        <is>
          <t>2007-11-16</t>
        </is>
      </c>
    </row>
    <row r="39442">
      <c r="A39442" s="1" t="n">
        <v>39441</v>
      </c>
      <c r="B39442">
        <f>TEXT(39441, "[$-0E0000]yyyy-mm-dd")</f>
        <v/>
      </c>
      <c r="C39442" t="inlineStr">
        <is>
          <t>2007-11-17</t>
        </is>
      </c>
    </row>
    <row r="39443">
      <c r="A39443" s="1" t="n">
        <v>39442</v>
      </c>
      <c r="B39443">
        <f>TEXT(39442, "[$-0E0000]yyyy-mm-dd")</f>
        <v/>
      </c>
      <c r="C39443" t="inlineStr">
        <is>
          <t>2007-11-18</t>
        </is>
      </c>
    </row>
    <row r="39444">
      <c r="A39444" s="1" t="n">
        <v>39443</v>
      </c>
      <c r="B39444">
        <f>TEXT(39443, "[$-0E0000]yyyy-mm-dd")</f>
        <v/>
      </c>
      <c r="C39444" t="inlineStr">
        <is>
          <t>2007-11-19</t>
        </is>
      </c>
    </row>
    <row r="39445">
      <c r="A39445" s="1" t="n">
        <v>39444</v>
      </c>
      <c r="B39445">
        <f>TEXT(39444, "[$-0E0000]yyyy-mm-dd")</f>
        <v/>
      </c>
      <c r="C39445" t="inlineStr">
        <is>
          <t>2007-11-20</t>
        </is>
      </c>
    </row>
    <row r="39446">
      <c r="A39446" s="1" t="n">
        <v>39445</v>
      </c>
      <c r="B39446">
        <f>TEXT(39445, "[$-0E0000]yyyy-mm-dd")</f>
        <v/>
      </c>
      <c r="C39446" t="inlineStr">
        <is>
          <t>2007-11-21</t>
        </is>
      </c>
    </row>
    <row r="39447">
      <c r="A39447" s="1" t="n">
        <v>39446</v>
      </c>
      <c r="B39447">
        <f>TEXT(39446, "[$-0E0000]yyyy-mm-dd")</f>
        <v/>
      </c>
      <c r="C39447" t="inlineStr">
        <is>
          <t>2007-11-22</t>
        </is>
      </c>
    </row>
    <row r="39448">
      <c r="A39448" s="1" t="n">
        <v>39447</v>
      </c>
      <c r="B39448">
        <f>TEXT(39447, "[$-0E0000]yyyy-mm-dd")</f>
        <v/>
      </c>
      <c r="C39448" t="inlineStr">
        <is>
          <t>2007-11-23</t>
        </is>
      </c>
    </row>
    <row r="39449">
      <c r="A39449" s="1" t="n">
        <v>39448</v>
      </c>
      <c r="B39449">
        <f>TEXT(39448, "[$-0E0000]yyyy-mm-dd")</f>
        <v/>
      </c>
      <c r="C39449" t="inlineStr">
        <is>
          <t>2007-11-24</t>
        </is>
      </c>
    </row>
    <row r="39450">
      <c r="A39450" s="1" t="n">
        <v>39449</v>
      </c>
      <c r="B39450">
        <f>TEXT(39449, "[$-0E0000]yyyy-mm-dd")</f>
        <v/>
      </c>
      <c r="C39450" t="inlineStr">
        <is>
          <t>2007-11-25</t>
        </is>
      </c>
    </row>
    <row r="39451">
      <c r="A39451" s="1" t="n">
        <v>39450</v>
      </c>
      <c r="B39451">
        <f>TEXT(39450, "[$-0E0000]yyyy-mm-dd")</f>
        <v/>
      </c>
      <c r="C39451" t="inlineStr">
        <is>
          <t>2007-11-26</t>
        </is>
      </c>
    </row>
    <row r="39452">
      <c r="A39452" s="1" t="n">
        <v>39451</v>
      </c>
      <c r="B39452">
        <f>TEXT(39451, "[$-0E0000]yyyy-mm-dd")</f>
        <v/>
      </c>
      <c r="C39452" t="inlineStr">
        <is>
          <t>2007-11-27</t>
        </is>
      </c>
    </row>
    <row r="39453">
      <c r="A39453" s="1" t="n">
        <v>39452</v>
      </c>
      <c r="B39453">
        <f>TEXT(39452, "[$-0E0000]yyyy-mm-dd")</f>
        <v/>
      </c>
      <c r="C39453" t="inlineStr">
        <is>
          <t>2007-11-28</t>
        </is>
      </c>
    </row>
    <row r="39454">
      <c r="A39454" s="1" t="n">
        <v>39453</v>
      </c>
      <c r="B39454">
        <f>TEXT(39453, "[$-0E0000]yyyy-mm-dd")</f>
        <v/>
      </c>
      <c r="C39454" t="inlineStr">
        <is>
          <t>2007-11-29</t>
        </is>
      </c>
    </row>
    <row r="39455">
      <c r="A39455" s="1" t="n">
        <v>39454</v>
      </c>
      <c r="B39455">
        <f>TEXT(39454, "[$-0E0000]yyyy-mm-dd")</f>
        <v/>
      </c>
      <c r="C39455" t="inlineStr">
        <is>
          <t>2007-12-01</t>
        </is>
      </c>
    </row>
    <row r="39456">
      <c r="A39456" s="1" t="n">
        <v>39455</v>
      </c>
      <c r="B39456">
        <f>TEXT(39455, "[$-0E0000]yyyy-mm-dd")</f>
        <v/>
      </c>
      <c r="C39456" t="inlineStr">
        <is>
          <t>2007-12-02</t>
        </is>
      </c>
    </row>
    <row r="39457">
      <c r="A39457" s="1" t="n">
        <v>39456</v>
      </c>
      <c r="B39457">
        <f>TEXT(39456, "[$-0E0000]yyyy-mm-dd")</f>
        <v/>
      </c>
      <c r="C39457" t="inlineStr">
        <is>
          <t>2007-12-03</t>
        </is>
      </c>
    </row>
    <row r="39458">
      <c r="A39458" s="1" t="n">
        <v>39457</v>
      </c>
      <c r="B39458">
        <f>TEXT(39457, "[$-0E0000]yyyy-mm-dd")</f>
        <v/>
      </c>
      <c r="C39458" t="inlineStr">
        <is>
          <t>2007-12-04</t>
        </is>
      </c>
    </row>
    <row r="39459">
      <c r="A39459" s="1" t="n">
        <v>39458</v>
      </c>
      <c r="B39459">
        <f>TEXT(39458, "[$-0E0000]yyyy-mm-dd")</f>
        <v/>
      </c>
      <c r="C39459" t="inlineStr">
        <is>
          <t>2007-12-05</t>
        </is>
      </c>
    </row>
    <row r="39460">
      <c r="A39460" s="1" t="n">
        <v>39459</v>
      </c>
      <c r="B39460">
        <f>TEXT(39459, "[$-0E0000]yyyy-mm-dd")</f>
        <v/>
      </c>
      <c r="C39460" t="inlineStr">
        <is>
          <t>2007-12-06</t>
        </is>
      </c>
    </row>
    <row r="39461">
      <c r="A39461" s="1" t="n">
        <v>39460</v>
      </c>
      <c r="B39461">
        <f>TEXT(39460, "[$-0E0000]yyyy-mm-dd")</f>
        <v/>
      </c>
      <c r="C39461" t="inlineStr">
        <is>
          <t>2007-12-07</t>
        </is>
      </c>
    </row>
    <row r="39462">
      <c r="A39462" s="1" t="n">
        <v>39461</v>
      </c>
      <c r="B39462">
        <f>TEXT(39461, "[$-0E0000]yyyy-mm-dd")</f>
        <v/>
      </c>
      <c r="C39462" t="inlineStr">
        <is>
          <t>2007-12-08</t>
        </is>
      </c>
    </row>
    <row r="39463">
      <c r="A39463" s="1" t="n">
        <v>39462</v>
      </c>
      <c r="B39463">
        <f>TEXT(39462, "[$-0E0000]yyyy-mm-dd")</f>
        <v/>
      </c>
      <c r="C39463" t="inlineStr">
        <is>
          <t>2007-12-09</t>
        </is>
      </c>
    </row>
    <row r="39464">
      <c r="A39464" s="1" t="n">
        <v>39463</v>
      </c>
      <c r="B39464">
        <f>TEXT(39463, "[$-0E0000]yyyy-mm-dd")</f>
        <v/>
      </c>
      <c r="C39464" t="inlineStr">
        <is>
          <t>2007-12-10</t>
        </is>
      </c>
    </row>
    <row r="39465">
      <c r="A39465" s="1" t="n">
        <v>39464</v>
      </c>
      <c r="B39465">
        <f>TEXT(39464, "[$-0E0000]yyyy-mm-dd")</f>
        <v/>
      </c>
      <c r="C39465" t="inlineStr">
        <is>
          <t>2007-12-11</t>
        </is>
      </c>
    </row>
    <row r="39466">
      <c r="A39466" s="1" t="n">
        <v>39465</v>
      </c>
      <c r="B39466">
        <f>TEXT(39465, "[$-0E0000]yyyy-mm-dd")</f>
        <v/>
      </c>
      <c r="C39466" t="inlineStr">
        <is>
          <t>2007-12-12</t>
        </is>
      </c>
    </row>
    <row r="39467">
      <c r="A39467" s="1" t="n">
        <v>39466</v>
      </c>
      <c r="B39467">
        <f>TEXT(39466, "[$-0E0000]yyyy-mm-dd")</f>
        <v/>
      </c>
      <c r="C39467" t="inlineStr">
        <is>
          <t>2007-12-13</t>
        </is>
      </c>
    </row>
    <row r="39468">
      <c r="A39468" s="1" t="n">
        <v>39467</v>
      </c>
      <c r="B39468">
        <f>TEXT(39467, "[$-0E0000]yyyy-mm-dd")</f>
        <v/>
      </c>
      <c r="C39468" t="inlineStr">
        <is>
          <t>2007-12-14</t>
        </is>
      </c>
    </row>
    <row r="39469">
      <c r="A39469" s="1" t="n">
        <v>39468</v>
      </c>
      <c r="B39469">
        <f>TEXT(39468, "[$-0E0000]yyyy-mm-dd")</f>
        <v/>
      </c>
      <c r="C39469" t="inlineStr">
        <is>
          <t>2007-12-15</t>
        </is>
      </c>
    </row>
    <row r="39470">
      <c r="A39470" s="1" t="n">
        <v>39469</v>
      </c>
      <c r="B39470">
        <f>TEXT(39469, "[$-0E0000]yyyy-mm-dd")</f>
        <v/>
      </c>
      <c r="C39470" t="inlineStr">
        <is>
          <t>2007-12-16</t>
        </is>
      </c>
    </row>
    <row r="39471">
      <c r="A39471" s="1" t="n">
        <v>39470</v>
      </c>
      <c r="B39471">
        <f>TEXT(39470, "[$-0E0000]yyyy-mm-dd")</f>
        <v/>
      </c>
      <c r="C39471" t="inlineStr">
        <is>
          <t>2007-12-17</t>
        </is>
      </c>
    </row>
    <row r="39472">
      <c r="A39472" s="1" t="n">
        <v>39471</v>
      </c>
      <c r="B39472">
        <f>TEXT(39471, "[$-0E0000]yyyy-mm-dd")</f>
        <v/>
      </c>
      <c r="C39472" t="inlineStr">
        <is>
          <t>2007-12-18</t>
        </is>
      </c>
    </row>
    <row r="39473">
      <c r="A39473" s="1" t="n">
        <v>39472</v>
      </c>
      <c r="B39473">
        <f>TEXT(39472, "[$-0E0000]yyyy-mm-dd")</f>
        <v/>
      </c>
      <c r="C39473" t="inlineStr">
        <is>
          <t>2007-12-19</t>
        </is>
      </c>
    </row>
    <row r="39474">
      <c r="A39474" s="1" t="n">
        <v>39473</v>
      </c>
      <c r="B39474">
        <f>TEXT(39473, "[$-0E0000]yyyy-mm-dd")</f>
        <v/>
      </c>
      <c r="C39474" t="inlineStr">
        <is>
          <t>2007-12-20</t>
        </is>
      </c>
    </row>
    <row r="39475">
      <c r="A39475" s="1" t="n">
        <v>39474</v>
      </c>
      <c r="B39475">
        <f>TEXT(39474, "[$-0E0000]yyyy-mm-dd")</f>
        <v/>
      </c>
      <c r="C39475" t="inlineStr">
        <is>
          <t>2007-12-21</t>
        </is>
      </c>
    </row>
    <row r="39476">
      <c r="A39476" s="1" t="n">
        <v>39475</v>
      </c>
      <c r="B39476">
        <f>TEXT(39475, "[$-0E0000]yyyy-mm-dd")</f>
        <v/>
      </c>
      <c r="C39476" t="inlineStr">
        <is>
          <t>2007-12-22</t>
        </is>
      </c>
    </row>
    <row r="39477">
      <c r="A39477" s="1" t="n">
        <v>39476</v>
      </c>
      <c r="B39477">
        <f>TEXT(39476, "[$-0E0000]yyyy-mm-dd")</f>
        <v/>
      </c>
      <c r="C39477" t="inlineStr">
        <is>
          <t>2007-12-23</t>
        </is>
      </c>
    </row>
    <row r="39478">
      <c r="A39478" s="1" t="n">
        <v>39477</v>
      </c>
      <c r="B39478">
        <f>TEXT(39477, "[$-0E0000]yyyy-mm-dd")</f>
        <v/>
      </c>
      <c r="C39478" t="inlineStr">
        <is>
          <t>2007-12-24</t>
        </is>
      </c>
    </row>
    <row r="39479">
      <c r="A39479" s="1" t="n">
        <v>39478</v>
      </c>
      <c r="B39479">
        <f>TEXT(39478, "[$-0E0000]yyyy-mm-dd")</f>
        <v/>
      </c>
      <c r="C39479" t="inlineStr">
        <is>
          <t>2007-12-25</t>
        </is>
      </c>
    </row>
    <row r="39480">
      <c r="A39480" s="1" t="n">
        <v>39479</v>
      </c>
      <c r="B39480">
        <f>TEXT(39479, "[$-0E0000]yyyy-mm-dd")</f>
        <v/>
      </c>
      <c r="C39480" t="inlineStr">
        <is>
          <t>2007-12-26</t>
        </is>
      </c>
    </row>
    <row r="39481">
      <c r="A39481" s="1" t="n">
        <v>39480</v>
      </c>
      <c r="B39481">
        <f>TEXT(39480, "[$-0E0000]yyyy-mm-dd")</f>
        <v/>
      </c>
      <c r="C39481" t="inlineStr">
        <is>
          <t>2007-12-27</t>
        </is>
      </c>
    </row>
    <row r="39482">
      <c r="A39482" s="1" t="n">
        <v>39481</v>
      </c>
      <c r="B39482">
        <f>TEXT(39481, "[$-0E0000]yyyy-mm-dd")</f>
        <v/>
      </c>
      <c r="C39482" t="inlineStr">
        <is>
          <t>2007-12-28</t>
        </is>
      </c>
    </row>
    <row r="39483">
      <c r="A39483" s="1" t="n">
        <v>39482</v>
      </c>
      <c r="B39483">
        <f>TEXT(39482, "[$-0E0000]yyyy-mm-dd")</f>
        <v/>
      </c>
      <c r="C39483" t="inlineStr">
        <is>
          <t>2007-12-29</t>
        </is>
      </c>
    </row>
    <row r="39484">
      <c r="A39484" s="1" t="n">
        <v>39483</v>
      </c>
      <c r="B39484">
        <f>TEXT(39483, "[$-0E0000]yyyy-mm-dd")</f>
        <v/>
      </c>
      <c r="C39484" t="inlineStr">
        <is>
          <t>2007-12-30</t>
        </is>
      </c>
    </row>
    <row r="39485">
      <c r="A39485" s="1" t="n">
        <v>39484</v>
      </c>
      <c r="B39485">
        <f>TEXT(39484, "[$-0E0000]yyyy-mm-dd")</f>
        <v/>
      </c>
      <c r="C39485" t="inlineStr">
        <is>
          <t>2008-01-01</t>
        </is>
      </c>
    </row>
    <row r="39486">
      <c r="A39486" s="1" t="n">
        <v>39485</v>
      </c>
      <c r="B39486">
        <f>TEXT(39485, "[$-0E0000]yyyy-mm-dd")</f>
        <v/>
      </c>
      <c r="C39486" t="inlineStr">
        <is>
          <t>2008-01-02</t>
        </is>
      </c>
    </row>
    <row r="39487">
      <c r="A39487" s="1" t="n">
        <v>39486</v>
      </c>
      <c r="B39487">
        <f>TEXT(39486, "[$-0E0000]yyyy-mm-dd")</f>
        <v/>
      </c>
      <c r="C39487" t="inlineStr">
        <is>
          <t>2008-01-03</t>
        </is>
      </c>
    </row>
    <row r="39488">
      <c r="A39488" s="1" t="n">
        <v>39487</v>
      </c>
      <c r="B39488">
        <f>TEXT(39487, "[$-0E0000]yyyy-mm-dd")</f>
        <v/>
      </c>
      <c r="C39488" t="inlineStr">
        <is>
          <t>2008-01-04</t>
        </is>
      </c>
    </row>
    <row r="39489">
      <c r="A39489" s="1" t="n">
        <v>39488</v>
      </c>
      <c r="B39489">
        <f>TEXT(39488, "[$-0E0000]yyyy-mm-dd")</f>
        <v/>
      </c>
      <c r="C39489" t="inlineStr">
        <is>
          <t>2008-01-05</t>
        </is>
      </c>
    </row>
    <row r="39490">
      <c r="A39490" s="1" t="n">
        <v>39489</v>
      </c>
      <c r="B39490">
        <f>TEXT(39489, "[$-0E0000]yyyy-mm-dd")</f>
        <v/>
      </c>
      <c r="C39490" t="inlineStr">
        <is>
          <t>2008-01-06</t>
        </is>
      </c>
    </row>
    <row r="39491">
      <c r="A39491" s="1" t="n">
        <v>39490</v>
      </c>
      <c r="B39491">
        <f>TEXT(39490, "[$-0E0000]yyyy-mm-dd")</f>
        <v/>
      </c>
      <c r="C39491" t="inlineStr">
        <is>
          <t>2008-01-07</t>
        </is>
      </c>
    </row>
    <row r="39492">
      <c r="A39492" s="1" t="n">
        <v>39491</v>
      </c>
      <c r="B39492">
        <f>TEXT(39491, "[$-0E0000]yyyy-mm-dd")</f>
        <v/>
      </c>
      <c r="C39492" t="inlineStr">
        <is>
          <t>2008-01-08</t>
        </is>
      </c>
    </row>
    <row r="39493">
      <c r="A39493" s="1" t="n">
        <v>39492</v>
      </c>
      <c r="B39493">
        <f>TEXT(39492, "[$-0E0000]yyyy-mm-dd")</f>
        <v/>
      </c>
      <c r="C39493" t="inlineStr">
        <is>
          <t>2008-01-09</t>
        </is>
      </c>
    </row>
    <row r="39494">
      <c r="A39494" s="1" t="n">
        <v>39493</v>
      </c>
      <c r="B39494">
        <f>TEXT(39493, "[$-0E0000]yyyy-mm-dd")</f>
        <v/>
      </c>
      <c r="C39494" t="inlineStr">
        <is>
          <t>2008-01-10</t>
        </is>
      </c>
    </row>
    <row r="39495">
      <c r="A39495" s="1" t="n">
        <v>39494</v>
      </c>
      <c r="B39495">
        <f>TEXT(39494, "[$-0E0000]yyyy-mm-dd")</f>
        <v/>
      </c>
      <c r="C39495" t="inlineStr">
        <is>
          <t>2008-01-11</t>
        </is>
      </c>
    </row>
    <row r="39496">
      <c r="A39496" s="1" t="n">
        <v>39495</v>
      </c>
      <c r="B39496">
        <f>TEXT(39495, "[$-0E0000]yyyy-mm-dd")</f>
        <v/>
      </c>
      <c r="C39496" t="inlineStr">
        <is>
          <t>2008-01-12</t>
        </is>
      </c>
    </row>
    <row r="39497">
      <c r="A39497" s="1" t="n">
        <v>39496</v>
      </c>
      <c r="B39497">
        <f>TEXT(39496, "[$-0E0000]yyyy-mm-dd")</f>
        <v/>
      </c>
      <c r="C39497" t="inlineStr">
        <is>
          <t>2008-01-13</t>
        </is>
      </c>
    </row>
    <row r="39498">
      <c r="A39498" s="1" t="n">
        <v>39497</v>
      </c>
      <c r="B39498">
        <f>TEXT(39497, "[$-0E0000]yyyy-mm-dd")</f>
        <v/>
      </c>
      <c r="C39498" t="inlineStr">
        <is>
          <t>2008-01-14</t>
        </is>
      </c>
    </row>
    <row r="39499">
      <c r="A39499" s="1" t="n">
        <v>39498</v>
      </c>
      <c r="B39499">
        <f>TEXT(39498, "[$-0E0000]yyyy-mm-dd")</f>
        <v/>
      </c>
      <c r="C39499" t="inlineStr">
        <is>
          <t>2008-01-15</t>
        </is>
      </c>
    </row>
    <row r="39500">
      <c r="A39500" s="1" t="n">
        <v>39499</v>
      </c>
      <c r="B39500">
        <f>TEXT(39499, "[$-0E0000]yyyy-mm-dd")</f>
        <v/>
      </c>
      <c r="C39500" t="inlineStr">
        <is>
          <t>2008-01-16</t>
        </is>
      </c>
    </row>
    <row r="39501">
      <c r="A39501" s="1" t="n">
        <v>39500</v>
      </c>
      <c r="B39501">
        <f>TEXT(39500, "[$-0E0000]yyyy-mm-dd")</f>
        <v/>
      </c>
      <c r="C39501" t="inlineStr">
        <is>
          <t>2008-01-17</t>
        </is>
      </c>
    </row>
    <row r="39502">
      <c r="A39502" s="1" t="n">
        <v>39501</v>
      </c>
      <c r="B39502">
        <f>TEXT(39501, "[$-0E0000]yyyy-mm-dd")</f>
        <v/>
      </c>
      <c r="C39502" t="inlineStr">
        <is>
          <t>2008-01-18</t>
        </is>
      </c>
    </row>
    <row r="39503">
      <c r="A39503" s="1" t="n">
        <v>39502</v>
      </c>
      <c r="B39503">
        <f>TEXT(39502, "[$-0E0000]yyyy-mm-dd")</f>
        <v/>
      </c>
      <c r="C39503" t="inlineStr">
        <is>
          <t>2008-01-19</t>
        </is>
      </c>
    </row>
    <row r="39504">
      <c r="A39504" s="1" t="n">
        <v>39503</v>
      </c>
      <c r="B39504">
        <f>TEXT(39503, "[$-0E0000]yyyy-mm-dd")</f>
        <v/>
      </c>
      <c r="C39504" t="inlineStr">
        <is>
          <t>2008-01-20</t>
        </is>
      </c>
    </row>
    <row r="39505">
      <c r="A39505" s="1" t="n">
        <v>39504</v>
      </c>
      <c r="B39505">
        <f>TEXT(39504, "[$-0E0000]yyyy-mm-dd")</f>
        <v/>
      </c>
      <c r="C39505" t="inlineStr">
        <is>
          <t>2008-01-21</t>
        </is>
      </c>
    </row>
    <row r="39506">
      <c r="A39506" s="1" t="n">
        <v>39505</v>
      </c>
      <c r="B39506">
        <f>TEXT(39505, "[$-0E0000]yyyy-mm-dd")</f>
        <v/>
      </c>
      <c r="C39506" t="inlineStr">
        <is>
          <t>2008-01-22</t>
        </is>
      </c>
    </row>
    <row r="39507">
      <c r="A39507" s="1" t="n">
        <v>39506</v>
      </c>
      <c r="B39507">
        <f>TEXT(39506, "[$-0E0000]yyyy-mm-dd")</f>
        <v/>
      </c>
      <c r="C39507" t="inlineStr">
        <is>
          <t>2008-01-23</t>
        </is>
      </c>
    </row>
    <row r="39508">
      <c r="A39508" s="1" t="n">
        <v>39507</v>
      </c>
      <c r="B39508">
        <f>TEXT(39507, "[$-0E0000]yyyy-mm-dd")</f>
        <v/>
      </c>
      <c r="C39508" t="inlineStr">
        <is>
          <t>2008-01-24</t>
        </is>
      </c>
    </row>
    <row r="39509">
      <c r="A39509" s="1" t="n">
        <v>39508</v>
      </c>
      <c r="B39509">
        <f>TEXT(39508, "[$-0E0000]yyyy-mm-dd")</f>
        <v/>
      </c>
      <c r="C39509" t="inlineStr">
        <is>
          <t>2008-01-25</t>
        </is>
      </c>
    </row>
    <row r="39510">
      <c r="A39510" s="1" t="n">
        <v>39509</v>
      </c>
      <c r="B39510">
        <f>TEXT(39509, "[$-0E0000]yyyy-mm-dd")</f>
        <v/>
      </c>
      <c r="C39510" t="inlineStr">
        <is>
          <t>2008-01-26</t>
        </is>
      </c>
    </row>
    <row r="39511">
      <c r="A39511" s="1" t="n">
        <v>39510</v>
      </c>
      <c r="B39511">
        <f>TEXT(39510, "[$-0E0000]yyyy-mm-dd")</f>
        <v/>
      </c>
      <c r="C39511" t="inlineStr">
        <is>
          <t>2008-01-27</t>
        </is>
      </c>
    </row>
    <row r="39512">
      <c r="A39512" s="1" t="n">
        <v>39511</v>
      </c>
      <c r="B39512">
        <f>TEXT(39511, "[$-0E0000]yyyy-mm-dd")</f>
        <v/>
      </c>
      <c r="C39512" t="inlineStr">
        <is>
          <t>2008-01-28</t>
        </is>
      </c>
    </row>
    <row r="39513">
      <c r="A39513" s="1" t="n">
        <v>39512</v>
      </c>
      <c r="B39513">
        <f>TEXT(39512, "[$-0E0000]yyyy-mm-dd")</f>
        <v/>
      </c>
      <c r="C39513" t="inlineStr">
        <is>
          <t>2008-01-29</t>
        </is>
      </c>
    </row>
    <row r="39514">
      <c r="A39514" s="1" t="n">
        <v>39513</v>
      </c>
      <c r="B39514">
        <f>TEXT(39513, "[$-0E0000]yyyy-mm-dd")</f>
        <v/>
      </c>
      <c r="C39514" t="inlineStr">
        <is>
          <t>2008-01-30</t>
        </is>
      </c>
    </row>
    <row r="39515">
      <c r="A39515" s="1" t="n">
        <v>39514</v>
      </c>
      <c r="B39515">
        <f>TEXT(39514, "[$-0E0000]yyyy-mm-dd")</f>
        <v/>
      </c>
      <c r="C39515" t="inlineStr">
        <is>
          <t>2008-02-01</t>
        </is>
      </c>
    </row>
    <row r="39516">
      <c r="A39516" s="1" t="n">
        <v>39515</v>
      </c>
      <c r="B39516">
        <f>TEXT(39515, "[$-0E0000]yyyy-mm-dd")</f>
        <v/>
      </c>
      <c r="C39516" t="inlineStr">
        <is>
          <t>2008-02-02</t>
        </is>
      </c>
    </row>
    <row r="39517">
      <c r="A39517" s="1" t="n">
        <v>39516</v>
      </c>
      <c r="B39517">
        <f>TEXT(39516, "[$-0E0000]yyyy-mm-dd")</f>
        <v/>
      </c>
      <c r="C39517" t="inlineStr">
        <is>
          <t>2008-02-03</t>
        </is>
      </c>
    </row>
    <row r="39518">
      <c r="A39518" s="1" t="n">
        <v>39517</v>
      </c>
      <c r="B39518">
        <f>TEXT(39517, "[$-0E0000]yyyy-mm-dd")</f>
        <v/>
      </c>
      <c r="C39518" t="inlineStr">
        <is>
          <t>2008-02-04</t>
        </is>
      </c>
    </row>
    <row r="39519">
      <c r="A39519" s="1" t="n">
        <v>39518</v>
      </c>
      <c r="B39519">
        <f>TEXT(39518, "[$-0E0000]yyyy-mm-dd")</f>
        <v/>
      </c>
      <c r="C39519" t="inlineStr">
        <is>
          <t>2008-02-05</t>
        </is>
      </c>
    </row>
    <row r="39520">
      <c r="A39520" s="1" t="n">
        <v>39519</v>
      </c>
      <c r="B39520">
        <f>TEXT(39519, "[$-0E0000]yyyy-mm-dd")</f>
        <v/>
      </c>
      <c r="C39520" t="inlineStr">
        <is>
          <t>2008-02-06</t>
        </is>
      </c>
    </row>
    <row r="39521">
      <c r="A39521" s="1" t="n">
        <v>39520</v>
      </c>
      <c r="B39521">
        <f>TEXT(39520, "[$-0E0000]yyyy-mm-dd")</f>
        <v/>
      </c>
      <c r="C39521" t="inlineStr">
        <is>
          <t>2008-02-07</t>
        </is>
      </c>
    </row>
    <row r="39522">
      <c r="A39522" s="1" t="n">
        <v>39521</v>
      </c>
      <c r="B39522">
        <f>TEXT(39521, "[$-0E0000]yyyy-mm-dd")</f>
        <v/>
      </c>
      <c r="C39522" t="inlineStr">
        <is>
          <t>2008-02-08</t>
        </is>
      </c>
    </row>
    <row r="39523">
      <c r="A39523" s="1" t="n">
        <v>39522</v>
      </c>
      <c r="B39523">
        <f>TEXT(39522, "[$-0E0000]yyyy-mm-dd")</f>
        <v/>
      </c>
      <c r="C39523" t="inlineStr">
        <is>
          <t>2008-02-09</t>
        </is>
      </c>
    </row>
    <row r="39524">
      <c r="A39524" s="1" t="n">
        <v>39523</v>
      </c>
      <c r="B39524">
        <f>TEXT(39523, "[$-0E0000]yyyy-mm-dd")</f>
        <v/>
      </c>
      <c r="C39524" t="inlineStr">
        <is>
          <t>2008-02-10</t>
        </is>
      </c>
    </row>
    <row r="39525">
      <c r="A39525" s="1" t="n">
        <v>39524</v>
      </c>
      <c r="B39525">
        <f>TEXT(39524, "[$-0E0000]yyyy-mm-dd")</f>
        <v/>
      </c>
      <c r="C39525" t="inlineStr">
        <is>
          <t>2008-02-11</t>
        </is>
      </c>
    </row>
    <row r="39526">
      <c r="A39526" s="1" t="n">
        <v>39525</v>
      </c>
      <c r="B39526">
        <f>TEXT(39525, "[$-0E0000]yyyy-mm-dd")</f>
        <v/>
      </c>
      <c r="C39526" t="inlineStr">
        <is>
          <t>2008-02-12</t>
        </is>
      </c>
    </row>
    <row r="39527">
      <c r="A39527" s="1" t="n">
        <v>39526</v>
      </c>
      <c r="B39527">
        <f>TEXT(39526, "[$-0E0000]yyyy-mm-dd")</f>
        <v/>
      </c>
      <c r="C39527" t="inlineStr">
        <is>
          <t>2008-02-13</t>
        </is>
      </c>
    </row>
    <row r="39528">
      <c r="A39528" s="1" t="n">
        <v>39527</v>
      </c>
      <c r="B39528">
        <f>TEXT(39527, "[$-0E0000]yyyy-mm-dd")</f>
        <v/>
      </c>
      <c r="C39528" t="inlineStr">
        <is>
          <t>2008-02-14</t>
        </is>
      </c>
    </row>
    <row r="39529">
      <c r="A39529" s="1" t="n">
        <v>39528</v>
      </c>
      <c r="B39529">
        <f>TEXT(39528, "[$-0E0000]yyyy-mm-dd")</f>
        <v/>
      </c>
      <c r="C39529" t="inlineStr">
        <is>
          <t>2008-02-15</t>
        </is>
      </c>
    </row>
    <row r="39530">
      <c r="A39530" s="1" t="n">
        <v>39529</v>
      </c>
      <c r="B39530">
        <f>TEXT(39529, "[$-0E0000]yyyy-mm-dd")</f>
        <v/>
      </c>
      <c r="C39530" t="inlineStr">
        <is>
          <t>2008-02-16</t>
        </is>
      </c>
    </row>
    <row r="39531">
      <c r="A39531" s="1" t="n">
        <v>39530</v>
      </c>
      <c r="B39531">
        <f>TEXT(39530, "[$-0E0000]yyyy-mm-dd")</f>
        <v/>
      </c>
      <c r="C39531" t="inlineStr">
        <is>
          <t>2008-02-17</t>
        </is>
      </c>
    </row>
    <row r="39532">
      <c r="A39532" s="1" t="n">
        <v>39531</v>
      </c>
      <c r="B39532">
        <f>TEXT(39531, "[$-0E0000]yyyy-mm-dd")</f>
        <v/>
      </c>
      <c r="C39532" t="inlineStr">
        <is>
          <t>2008-02-18</t>
        </is>
      </c>
    </row>
    <row r="39533">
      <c r="A39533" s="1" t="n">
        <v>39532</v>
      </c>
      <c r="B39533">
        <f>TEXT(39532, "[$-0E0000]yyyy-mm-dd")</f>
        <v/>
      </c>
      <c r="C39533" t="inlineStr">
        <is>
          <t>2008-02-19</t>
        </is>
      </c>
    </row>
    <row r="39534">
      <c r="A39534" s="1" t="n">
        <v>39533</v>
      </c>
      <c r="B39534">
        <f>TEXT(39533, "[$-0E0000]yyyy-mm-dd")</f>
        <v/>
      </c>
      <c r="C39534" t="inlineStr">
        <is>
          <t>2008-02-20</t>
        </is>
      </c>
    </row>
    <row r="39535">
      <c r="A39535" s="1" t="n">
        <v>39534</v>
      </c>
      <c r="B39535">
        <f>TEXT(39534, "[$-0E0000]yyyy-mm-dd")</f>
        <v/>
      </c>
      <c r="C39535" t="inlineStr">
        <is>
          <t>2008-02-21</t>
        </is>
      </c>
    </row>
    <row r="39536">
      <c r="A39536" s="1" t="n">
        <v>39535</v>
      </c>
      <c r="B39536">
        <f>TEXT(39535, "[$-0E0000]yyyy-mm-dd")</f>
        <v/>
      </c>
      <c r="C39536" t="inlineStr">
        <is>
          <t>2008-02-22</t>
        </is>
      </c>
    </row>
    <row r="39537">
      <c r="A39537" s="1" t="n">
        <v>39536</v>
      </c>
      <c r="B39537">
        <f>TEXT(39536, "[$-0E0000]yyyy-mm-dd")</f>
        <v/>
      </c>
      <c r="C39537" t="inlineStr">
        <is>
          <t>2008-02-23</t>
        </is>
      </c>
    </row>
    <row r="39538">
      <c r="A39538" s="1" t="n">
        <v>39537</v>
      </c>
      <c r="B39538">
        <f>TEXT(39537, "[$-0E0000]yyyy-mm-dd")</f>
        <v/>
      </c>
      <c r="C39538" t="inlineStr">
        <is>
          <t>2008-02-24</t>
        </is>
      </c>
    </row>
    <row r="39539">
      <c r="A39539" s="1" t="n">
        <v>39538</v>
      </c>
      <c r="B39539">
        <f>TEXT(39538, "[$-0E0000]yyyy-mm-dd")</f>
        <v/>
      </c>
      <c r="C39539" t="inlineStr">
        <is>
          <t>2008-02-25</t>
        </is>
      </c>
    </row>
    <row r="39540">
      <c r="A39540" s="1" t="n">
        <v>39539</v>
      </c>
      <c r="B39540">
        <f>TEXT(39539, "[$-0E0000]yyyy-mm-dd")</f>
        <v/>
      </c>
      <c r="C39540" t="inlineStr">
        <is>
          <t>2008-02-26</t>
        </is>
      </c>
    </row>
    <row r="39541">
      <c r="A39541" s="1" t="n">
        <v>39540</v>
      </c>
      <c r="B39541">
        <f>TEXT(39540, "[$-0E0000]yyyy-mm-dd")</f>
        <v/>
      </c>
      <c r="C39541" t="inlineStr">
        <is>
          <t>2008-02-27</t>
        </is>
      </c>
    </row>
    <row r="39542">
      <c r="A39542" s="1" t="n">
        <v>39541</v>
      </c>
      <c r="B39542">
        <f>TEXT(39541, "[$-0E0000]yyyy-mm-dd")</f>
        <v/>
      </c>
      <c r="C39542" t="inlineStr">
        <is>
          <t>2008-02-28</t>
        </is>
      </c>
    </row>
    <row r="39543">
      <c r="A39543" s="1" t="n">
        <v>39542</v>
      </c>
      <c r="B39543">
        <f>TEXT(39542, "[$-0E0000]yyyy-mm-dd")</f>
        <v/>
      </c>
      <c r="C39543" t="inlineStr">
        <is>
          <t>2008-02-29</t>
        </is>
      </c>
    </row>
    <row r="39544">
      <c r="A39544" s="1" t="n">
        <v>39543</v>
      </c>
      <c r="B39544">
        <f>TEXT(39543, "[$-0E0000]yyyy-mm-dd")</f>
        <v/>
      </c>
      <c r="C39544" t="inlineStr">
        <is>
          <t>2008-03-01</t>
        </is>
      </c>
    </row>
    <row r="39545">
      <c r="A39545" s="1" t="n">
        <v>39544</v>
      </c>
      <c r="B39545">
        <f>TEXT(39544, "[$-0E0000]yyyy-mm-dd")</f>
        <v/>
      </c>
      <c r="C39545" t="inlineStr">
        <is>
          <t>2008-03-02</t>
        </is>
      </c>
    </row>
    <row r="39546">
      <c r="A39546" s="1" t="n">
        <v>39545</v>
      </c>
      <c r="B39546">
        <f>TEXT(39545, "[$-0E0000]yyyy-mm-dd")</f>
        <v/>
      </c>
      <c r="C39546" t="inlineStr">
        <is>
          <t>2008-03-03</t>
        </is>
      </c>
    </row>
    <row r="39547">
      <c r="A39547" s="1" t="n">
        <v>39546</v>
      </c>
      <c r="B39547">
        <f>TEXT(39546, "[$-0E0000]yyyy-mm-dd")</f>
        <v/>
      </c>
      <c r="C39547" t="inlineStr">
        <is>
          <t>2008-03-04</t>
        </is>
      </c>
    </row>
    <row r="39548">
      <c r="A39548" s="1" t="n">
        <v>39547</v>
      </c>
      <c r="B39548">
        <f>TEXT(39547, "[$-0E0000]yyyy-mm-dd")</f>
        <v/>
      </c>
      <c r="C39548" t="inlineStr">
        <is>
          <t>2008-03-05</t>
        </is>
      </c>
    </row>
    <row r="39549">
      <c r="A39549" s="1" t="n">
        <v>39548</v>
      </c>
      <c r="B39549">
        <f>TEXT(39548, "[$-0E0000]yyyy-mm-dd")</f>
        <v/>
      </c>
      <c r="C39549" t="inlineStr">
        <is>
          <t>2008-03-06</t>
        </is>
      </c>
    </row>
    <row r="39550">
      <c r="A39550" s="1" t="n">
        <v>39549</v>
      </c>
      <c r="B39550">
        <f>TEXT(39549, "[$-0E0000]yyyy-mm-dd")</f>
        <v/>
      </c>
      <c r="C39550" t="inlineStr">
        <is>
          <t>2008-03-07</t>
        </is>
      </c>
    </row>
    <row r="39551">
      <c r="A39551" s="1" t="n">
        <v>39550</v>
      </c>
      <c r="B39551">
        <f>TEXT(39550, "[$-0E0000]yyyy-mm-dd")</f>
        <v/>
      </c>
      <c r="C39551" t="inlineStr">
        <is>
          <t>2008-03-08</t>
        </is>
      </c>
    </row>
    <row r="39552">
      <c r="A39552" s="1" t="n">
        <v>39551</v>
      </c>
      <c r="B39552">
        <f>TEXT(39551, "[$-0E0000]yyyy-mm-dd")</f>
        <v/>
      </c>
      <c r="C39552" t="inlineStr">
        <is>
          <t>2008-03-09</t>
        </is>
      </c>
    </row>
    <row r="39553">
      <c r="A39553" s="1" t="n">
        <v>39552</v>
      </c>
      <c r="B39553">
        <f>TEXT(39552, "[$-0E0000]yyyy-mm-dd")</f>
        <v/>
      </c>
      <c r="C39553" t="inlineStr">
        <is>
          <t>2008-03-10</t>
        </is>
      </c>
    </row>
    <row r="39554">
      <c r="A39554" s="1" t="n">
        <v>39553</v>
      </c>
      <c r="B39554">
        <f>TEXT(39553, "[$-0E0000]yyyy-mm-dd")</f>
        <v/>
      </c>
      <c r="C39554" t="inlineStr">
        <is>
          <t>2008-03-11</t>
        </is>
      </c>
    </row>
    <row r="39555">
      <c r="A39555" s="1" t="n">
        <v>39554</v>
      </c>
      <c r="B39555">
        <f>TEXT(39554, "[$-0E0000]yyyy-mm-dd")</f>
        <v/>
      </c>
      <c r="C39555" t="inlineStr">
        <is>
          <t>2008-03-12</t>
        </is>
      </c>
    </row>
    <row r="39556">
      <c r="A39556" s="1" t="n">
        <v>39555</v>
      </c>
      <c r="B39556">
        <f>TEXT(39555, "[$-0E0000]yyyy-mm-dd")</f>
        <v/>
      </c>
      <c r="C39556" t="inlineStr">
        <is>
          <t>2008-03-13</t>
        </is>
      </c>
    </row>
    <row r="39557">
      <c r="A39557" s="1" t="n">
        <v>39556</v>
      </c>
      <c r="B39557">
        <f>TEXT(39556, "[$-0E0000]yyyy-mm-dd")</f>
        <v/>
      </c>
      <c r="C39557" t="inlineStr">
        <is>
          <t>2008-03-14</t>
        </is>
      </c>
    </row>
    <row r="39558">
      <c r="A39558" s="1" t="n">
        <v>39557</v>
      </c>
      <c r="B39558">
        <f>TEXT(39557, "[$-0E0000]yyyy-mm-dd")</f>
        <v/>
      </c>
      <c r="C39558" t="inlineStr">
        <is>
          <t>2008-03-15</t>
        </is>
      </c>
    </row>
    <row r="39559">
      <c r="A39559" s="1" t="n">
        <v>39558</v>
      </c>
      <c r="B39559">
        <f>TEXT(39558, "[$-0E0000]yyyy-mm-dd")</f>
        <v/>
      </c>
      <c r="C39559" t="inlineStr">
        <is>
          <t>2008-03-16</t>
        </is>
      </c>
    </row>
    <row r="39560">
      <c r="A39560" s="1" t="n">
        <v>39559</v>
      </c>
      <c r="B39560">
        <f>TEXT(39559, "[$-0E0000]yyyy-mm-dd")</f>
        <v/>
      </c>
      <c r="C39560" t="inlineStr">
        <is>
          <t>2008-03-17</t>
        </is>
      </c>
    </row>
    <row r="39561">
      <c r="A39561" s="1" t="n">
        <v>39560</v>
      </c>
      <c r="B39561">
        <f>TEXT(39560, "[$-0E0000]yyyy-mm-dd")</f>
        <v/>
      </c>
      <c r="C39561" t="inlineStr">
        <is>
          <t>2008-03-18</t>
        </is>
      </c>
    </row>
    <row r="39562">
      <c r="A39562" s="1" t="n">
        <v>39561</v>
      </c>
      <c r="B39562">
        <f>TEXT(39561, "[$-0E0000]yyyy-mm-dd")</f>
        <v/>
      </c>
      <c r="C39562" t="inlineStr">
        <is>
          <t>2008-03-19</t>
        </is>
      </c>
    </row>
    <row r="39563">
      <c r="A39563" s="1" t="n">
        <v>39562</v>
      </c>
      <c r="B39563">
        <f>TEXT(39562, "[$-0E0000]yyyy-mm-dd")</f>
        <v/>
      </c>
      <c r="C39563" t="inlineStr">
        <is>
          <t>2008-03-20</t>
        </is>
      </c>
    </row>
    <row r="39564">
      <c r="A39564" s="1" t="n">
        <v>39563</v>
      </c>
      <c r="B39564">
        <f>TEXT(39563, "[$-0E0000]yyyy-mm-dd")</f>
        <v/>
      </c>
      <c r="C39564" t="inlineStr">
        <is>
          <t>2008-03-21</t>
        </is>
      </c>
    </row>
    <row r="39565">
      <c r="A39565" s="1" t="n">
        <v>39564</v>
      </c>
      <c r="B39565">
        <f>TEXT(39564, "[$-0E0000]yyyy-mm-dd")</f>
        <v/>
      </c>
      <c r="C39565" t="inlineStr">
        <is>
          <t>2008-03-22</t>
        </is>
      </c>
    </row>
    <row r="39566">
      <c r="A39566" s="1" t="n">
        <v>39565</v>
      </c>
      <c r="B39566">
        <f>TEXT(39565, "[$-0E0000]yyyy-mm-dd")</f>
        <v/>
      </c>
      <c r="C39566" t="inlineStr">
        <is>
          <t>2008-03-23</t>
        </is>
      </c>
    </row>
    <row r="39567">
      <c r="A39567" s="1" t="n">
        <v>39566</v>
      </c>
      <c r="B39567">
        <f>TEXT(39566, "[$-0E0000]yyyy-mm-dd")</f>
        <v/>
      </c>
      <c r="C39567" t="inlineStr">
        <is>
          <t>2008-03-24</t>
        </is>
      </c>
    </row>
    <row r="39568">
      <c r="A39568" s="1" t="n">
        <v>39567</v>
      </c>
      <c r="B39568">
        <f>TEXT(39567, "[$-0E0000]yyyy-mm-dd")</f>
        <v/>
      </c>
      <c r="C39568" t="inlineStr">
        <is>
          <t>2008-03-25</t>
        </is>
      </c>
    </row>
    <row r="39569">
      <c r="A39569" s="1" t="n">
        <v>39568</v>
      </c>
      <c r="B39569">
        <f>TEXT(39568, "[$-0E0000]yyyy-mm-dd")</f>
        <v/>
      </c>
      <c r="C39569" t="inlineStr">
        <is>
          <t>2008-03-26</t>
        </is>
      </c>
    </row>
    <row r="39570">
      <c r="A39570" s="1" t="n">
        <v>39569</v>
      </c>
      <c r="B39570">
        <f>TEXT(39569, "[$-0E0000]yyyy-mm-dd")</f>
        <v/>
      </c>
      <c r="C39570" t="inlineStr">
        <is>
          <t>2008-03-27</t>
        </is>
      </c>
    </row>
    <row r="39571">
      <c r="A39571" s="1" t="n">
        <v>39570</v>
      </c>
      <c r="B39571">
        <f>TEXT(39570, "[$-0E0000]yyyy-mm-dd")</f>
        <v/>
      </c>
      <c r="C39571" t="inlineStr">
        <is>
          <t>2008-03-28</t>
        </is>
      </c>
    </row>
    <row r="39572">
      <c r="A39572" s="1" t="n">
        <v>39571</v>
      </c>
      <c r="B39572">
        <f>TEXT(39571, "[$-0E0000]yyyy-mm-dd")</f>
        <v/>
      </c>
      <c r="C39572" t="inlineStr">
        <is>
          <t>2008-03-29</t>
        </is>
      </c>
    </row>
    <row r="39573">
      <c r="A39573" s="1" t="n">
        <v>39572</v>
      </c>
      <c r="B39573">
        <f>TEXT(39572, "[$-0E0000]yyyy-mm-dd")</f>
        <v/>
      </c>
      <c r="C39573" t="inlineStr">
        <is>
          <t>2008-04-01</t>
        </is>
      </c>
    </row>
    <row r="39574">
      <c r="A39574" s="1" t="n">
        <v>39573</v>
      </c>
      <c r="B39574">
        <f>TEXT(39573, "[$-0E0000]yyyy-mm-dd")</f>
        <v/>
      </c>
      <c r="C39574" t="inlineStr">
        <is>
          <t>2008-04-02</t>
        </is>
      </c>
    </row>
    <row r="39575">
      <c r="A39575" s="1" t="n">
        <v>39574</v>
      </c>
      <c r="B39575">
        <f>TEXT(39574, "[$-0E0000]yyyy-mm-dd")</f>
        <v/>
      </c>
      <c r="C39575" t="inlineStr">
        <is>
          <t>2008-04-03</t>
        </is>
      </c>
    </row>
    <row r="39576">
      <c r="A39576" s="1" t="n">
        <v>39575</v>
      </c>
      <c r="B39576">
        <f>TEXT(39575, "[$-0E0000]yyyy-mm-dd")</f>
        <v/>
      </c>
      <c r="C39576" t="inlineStr">
        <is>
          <t>2008-04-04</t>
        </is>
      </c>
    </row>
    <row r="39577">
      <c r="A39577" s="1" t="n">
        <v>39576</v>
      </c>
      <c r="B39577">
        <f>TEXT(39576, "[$-0E0000]yyyy-mm-dd")</f>
        <v/>
      </c>
      <c r="C39577" t="inlineStr">
        <is>
          <t>2008-04-05</t>
        </is>
      </c>
    </row>
    <row r="39578">
      <c r="A39578" s="1" t="n">
        <v>39577</v>
      </c>
      <c r="B39578">
        <f>TEXT(39577, "[$-0E0000]yyyy-mm-dd")</f>
        <v/>
      </c>
      <c r="C39578" t="inlineStr">
        <is>
          <t>2008-04-06</t>
        </is>
      </c>
    </row>
    <row r="39579">
      <c r="A39579" s="1" t="n">
        <v>39578</v>
      </c>
      <c r="B39579">
        <f>TEXT(39578, "[$-0E0000]yyyy-mm-dd")</f>
        <v/>
      </c>
      <c r="C39579" t="inlineStr">
        <is>
          <t>2008-04-07</t>
        </is>
      </c>
    </row>
    <row r="39580">
      <c r="A39580" s="1" t="n">
        <v>39579</v>
      </c>
      <c r="B39580">
        <f>TEXT(39579, "[$-0E0000]yyyy-mm-dd")</f>
        <v/>
      </c>
      <c r="C39580" t="inlineStr">
        <is>
          <t>2008-04-08</t>
        </is>
      </c>
    </row>
    <row r="39581">
      <c r="A39581" s="1" t="n">
        <v>39580</v>
      </c>
      <c r="B39581">
        <f>TEXT(39580, "[$-0E0000]yyyy-mm-dd")</f>
        <v/>
      </c>
      <c r="C39581" t="inlineStr">
        <is>
          <t>2008-04-09</t>
        </is>
      </c>
    </row>
    <row r="39582">
      <c r="A39582" s="1" t="n">
        <v>39581</v>
      </c>
      <c r="B39582">
        <f>TEXT(39581, "[$-0E0000]yyyy-mm-dd")</f>
        <v/>
      </c>
      <c r="C39582" t="inlineStr">
        <is>
          <t>2008-04-10</t>
        </is>
      </c>
    </row>
    <row r="39583">
      <c r="A39583" s="1" t="n">
        <v>39582</v>
      </c>
      <c r="B39583">
        <f>TEXT(39582, "[$-0E0000]yyyy-mm-dd")</f>
        <v/>
      </c>
      <c r="C39583" t="inlineStr">
        <is>
          <t>2008-04-11</t>
        </is>
      </c>
    </row>
    <row r="39584">
      <c r="A39584" s="1" t="n">
        <v>39583</v>
      </c>
      <c r="B39584">
        <f>TEXT(39583, "[$-0E0000]yyyy-mm-dd")</f>
        <v/>
      </c>
      <c r="C39584" t="inlineStr">
        <is>
          <t>2008-04-12</t>
        </is>
      </c>
    </row>
    <row r="39585">
      <c r="A39585" s="1" t="n">
        <v>39584</v>
      </c>
      <c r="B39585">
        <f>TEXT(39584, "[$-0E0000]yyyy-mm-dd")</f>
        <v/>
      </c>
      <c r="C39585" t="inlineStr">
        <is>
          <t>2008-04-13</t>
        </is>
      </c>
    </row>
    <row r="39586">
      <c r="A39586" s="1" t="n">
        <v>39585</v>
      </c>
      <c r="B39586">
        <f>TEXT(39585, "[$-0E0000]yyyy-mm-dd")</f>
        <v/>
      </c>
      <c r="C39586" t="inlineStr">
        <is>
          <t>2008-04-14</t>
        </is>
      </c>
    </row>
    <row r="39587">
      <c r="A39587" s="1" t="n">
        <v>39586</v>
      </c>
      <c r="B39587">
        <f>TEXT(39586, "[$-0E0000]yyyy-mm-dd")</f>
        <v/>
      </c>
      <c r="C39587" t="inlineStr">
        <is>
          <t>2008-04-15</t>
        </is>
      </c>
    </row>
    <row r="39588">
      <c r="A39588" s="1" t="n">
        <v>39587</v>
      </c>
      <c r="B39588">
        <f>TEXT(39587, "[$-0E0000]yyyy-mm-dd")</f>
        <v/>
      </c>
      <c r="C39588" t="inlineStr">
        <is>
          <t>2008-04-16</t>
        </is>
      </c>
    </row>
    <row r="39589">
      <c r="A39589" s="1" t="n">
        <v>39588</v>
      </c>
      <c r="B39589">
        <f>TEXT(39588, "[$-0E0000]yyyy-mm-dd")</f>
        <v/>
      </c>
      <c r="C39589" t="inlineStr">
        <is>
          <t>2008-04-17</t>
        </is>
      </c>
    </row>
    <row r="39590">
      <c r="A39590" s="1" t="n">
        <v>39589</v>
      </c>
      <c r="B39590">
        <f>TEXT(39589, "[$-0E0000]yyyy-mm-dd")</f>
        <v/>
      </c>
      <c r="C39590" t="inlineStr">
        <is>
          <t>2008-04-18</t>
        </is>
      </c>
    </row>
    <row r="39591">
      <c r="A39591" s="1" t="n">
        <v>39590</v>
      </c>
      <c r="B39591">
        <f>TEXT(39590, "[$-0E0000]yyyy-mm-dd")</f>
        <v/>
      </c>
      <c r="C39591" t="inlineStr">
        <is>
          <t>2008-04-19</t>
        </is>
      </c>
    </row>
    <row r="39592">
      <c r="A39592" s="1" t="n">
        <v>39591</v>
      </c>
      <c r="B39592">
        <f>TEXT(39591, "[$-0E0000]yyyy-mm-dd")</f>
        <v/>
      </c>
      <c r="C39592" t="inlineStr">
        <is>
          <t>2008-04-20</t>
        </is>
      </c>
    </row>
    <row r="39593">
      <c r="A39593" s="1" t="n">
        <v>39592</v>
      </c>
      <c r="B39593">
        <f>TEXT(39592, "[$-0E0000]yyyy-mm-dd")</f>
        <v/>
      </c>
      <c r="C39593" t="inlineStr">
        <is>
          <t>2008-04-21</t>
        </is>
      </c>
    </row>
    <row r="39594">
      <c r="A39594" s="1" t="n">
        <v>39593</v>
      </c>
      <c r="B39594">
        <f>TEXT(39593, "[$-0E0000]yyyy-mm-dd")</f>
        <v/>
      </c>
      <c r="C39594" t="inlineStr">
        <is>
          <t>2008-04-22</t>
        </is>
      </c>
    </row>
    <row r="39595">
      <c r="A39595" s="1" t="n">
        <v>39594</v>
      </c>
      <c r="B39595">
        <f>TEXT(39594, "[$-0E0000]yyyy-mm-dd")</f>
        <v/>
      </c>
      <c r="C39595" t="inlineStr">
        <is>
          <t>2008-04-23</t>
        </is>
      </c>
    </row>
    <row r="39596">
      <c r="A39596" s="1" t="n">
        <v>39595</v>
      </c>
      <c r="B39596">
        <f>TEXT(39595, "[$-0E0000]yyyy-mm-dd")</f>
        <v/>
      </c>
      <c r="C39596" t="inlineStr">
        <is>
          <t>2008-04-24</t>
        </is>
      </c>
    </row>
    <row r="39597">
      <c r="A39597" s="1" t="n">
        <v>39596</v>
      </c>
      <c r="B39597">
        <f>TEXT(39596, "[$-0E0000]yyyy-mm-dd")</f>
        <v/>
      </c>
      <c r="C39597" t="inlineStr">
        <is>
          <t>2008-04-25</t>
        </is>
      </c>
    </row>
    <row r="39598">
      <c r="A39598" s="1" t="n">
        <v>39597</v>
      </c>
      <c r="B39598">
        <f>TEXT(39597, "[$-0E0000]yyyy-mm-dd")</f>
        <v/>
      </c>
      <c r="C39598" t="inlineStr">
        <is>
          <t>2008-04-26</t>
        </is>
      </c>
    </row>
    <row r="39599">
      <c r="A39599" s="1" t="n">
        <v>39598</v>
      </c>
      <c r="B39599">
        <f>TEXT(39598, "[$-0E0000]yyyy-mm-dd")</f>
        <v/>
      </c>
      <c r="C39599" t="inlineStr">
        <is>
          <t>2008-04-27</t>
        </is>
      </c>
    </row>
    <row r="39600">
      <c r="A39600" s="1" t="n">
        <v>39599</v>
      </c>
      <c r="B39600">
        <f>TEXT(39599, "[$-0E0000]yyyy-mm-dd")</f>
        <v/>
      </c>
      <c r="C39600" t="inlineStr">
        <is>
          <t>2008-04-28</t>
        </is>
      </c>
    </row>
    <row r="39601">
      <c r="A39601" s="1" t="n">
        <v>39600</v>
      </c>
      <c r="B39601">
        <f>TEXT(39600, "[$-0E0000]yyyy-mm-dd")</f>
        <v/>
      </c>
      <c r="C39601" t="inlineStr">
        <is>
          <t>2008-04-29</t>
        </is>
      </c>
    </row>
    <row r="39602">
      <c r="A39602" s="1" t="n">
        <v>39601</v>
      </c>
      <c r="B39602">
        <f>TEXT(39601, "[$-0E0000]yyyy-mm-dd")</f>
        <v/>
      </c>
      <c r="C39602" t="inlineStr">
        <is>
          <t>2008-04-30</t>
        </is>
      </c>
    </row>
    <row r="39603">
      <c r="A39603" s="1" t="n">
        <v>39602</v>
      </c>
      <c r="B39603">
        <f>TEXT(39602, "[$-0E0000]yyyy-mm-dd")</f>
        <v/>
      </c>
      <c r="C39603" t="inlineStr">
        <is>
          <t>2008-05-01</t>
        </is>
      </c>
    </row>
    <row r="39604">
      <c r="A39604" s="1" t="n">
        <v>39603</v>
      </c>
      <c r="B39604">
        <f>TEXT(39603, "[$-0E0000]yyyy-mm-dd")</f>
        <v/>
      </c>
      <c r="C39604" t="inlineStr">
        <is>
          <t>2008-05-02</t>
        </is>
      </c>
    </row>
    <row r="39605">
      <c r="A39605" s="1" t="n">
        <v>39604</v>
      </c>
      <c r="B39605">
        <f>TEXT(39604, "[$-0E0000]yyyy-mm-dd")</f>
        <v/>
      </c>
      <c r="C39605" t="inlineStr">
        <is>
          <t>2008-05-03</t>
        </is>
      </c>
    </row>
    <row r="39606">
      <c r="A39606" s="1" t="n">
        <v>39605</v>
      </c>
      <c r="B39606">
        <f>TEXT(39605, "[$-0E0000]yyyy-mm-dd")</f>
        <v/>
      </c>
      <c r="C39606" t="inlineStr">
        <is>
          <t>2008-05-04</t>
        </is>
      </c>
    </row>
    <row r="39607">
      <c r="A39607" s="1" t="n">
        <v>39606</v>
      </c>
      <c r="B39607">
        <f>TEXT(39606, "[$-0E0000]yyyy-mm-dd")</f>
        <v/>
      </c>
      <c r="C39607" t="inlineStr">
        <is>
          <t>2008-05-05</t>
        </is>
      </c>
    </row>
    <row r="39608">
      <c r="A39608" s="1" t="n">
        <v>39607</v>
      </c>
      <c r="B39608">
        <f>TEXT(39607, "[$-0E0000]yyyy-mm-dd")</f>
        <v/>
      </c>
      <c r="C39608" t="inlineStr">
        <is>
          <t>2008-05-06</t>
        </is>
      </c>
    </row>
    <row r="39609">
      <c r="A39609" s="1" t="n">
        <v>39608</v>
      </c>
      <c r="B39609">
        <f>TEXT(39608, "[$-0E0000]yyyy-mm-dd")</f>
        <v/>
      </c>
      <c r="C39609" t="inlineStr">
        <is>
          <t>2008-05-07</t>
        </is>
      </c>
    </row>
    <row r="39610">
      <c r="A39610" s="1" t="n">
        <v>39609</v>
      </c>
      <c r="B39610">
        <f>TEXT(39609, "[$-0E0000]yyyy-mm-dd")</f>
        <v/>
      </c>
      <c r="C39610" t="inlineStr">
        <is>
          <t>2008-05-08</t>
        </is>
      </c>
    </row>
    <row r="39611">
      <c r="A39611" s="1" t="n">
        <v>39610</v>
      </c>
      <c r="B39611">
        <f>TEXT(39610, "[$-0E0000]yyyy-mm-dd")</f>
        <v/>
      </c>
      <c r="C39611" t="inlineStr">
        <is>
          <t>2008-05-09</t>
        </is>
      </c>
    </row>
    <row r="39612">
      <c r="A39612" s="1" t="n">
        <v>39611</v>
      </c>
      <c r="B39612">
        <f>TEXT(39611, "[$-0E0000]yyyy-mm-dd")</f>
        <v/>
      </c>
      <c r="C39612" t="inlineStr">
        <is>
          <t>2008-05-10</t>
        </is>
      </c>
    </row>
    <row r="39613">
      <c r="A39613" s="1" t="n">
        <v>39612</v>
      </c>
      <c r="B39613">
        <f>TEXT(39612, "[$-0E0000]yyyy-mm-dd")</f>
        <v/>
      </c>
      <c r="C39613" t="inlineStr">
        <is>
          <t>2008-05-11</t>
        </is>
      </c>
    </row>
    <row r="39614">
      <c r="A39614" s="1" t="n">
        <v>39613</v>
      </c>
      <c r="B39614">
        <f>TEXT(39613, "[$-0E0000]yyyy-mm-dd")</f>
        <v/>
      </c>
      <c r="C39614" t="inlineStr">
        <is>
          <t>2008-05-12</t>
        </is>
      </c>
    </row>
    <row r="39615">
      <c r="A39615" s="1" t="n">
        <v>39614</v>
      </c>
      <c r="B39615">
        <f>TEXT(39614, "[$-0E0000]yyyy-mm-dd")</f>
        <v/>
      </c>
      <c r="C39615" t="inlineStr">
        <is>
          <t>2008-05-13</t>
        </is>
      </c>
    </row>
    <row r="39616">
      <c r="A39616" s="1" t="n">
        <v>39615</v>
      </c>
      <c r="B39616">
        <f>TEXT(39615, "[$-0E0000]yyyy-mm-dd")</f>
        <v/>
      </c>
      <c r="C39616" t="inlineStr">
        <is>
          <t>2008-05-14</t>
        </is>
      </c>
    </row>
    <row r="39617">
      <c r="A39617" s="1" t="n">
        <v>39616</v>
      </c>
      <c r="B39617">
        <f>TEXT(39616, "[$-0E0000]yyyy-mm-dd")</f>
        <v/>
      </c>
      <c r="C39617" t="inlineStr">
        <is>
          <t>2008-05-15</t>
        </is>
      </c>
    </row>
    <row r="39618">
      <c r="A39618" s="1" t="n">
        <v>39617</v>
      </c>
      <c r="B39618">
        <f>TEXT(39617, "[$-0E0000]yyyy-mm-dd")</f>
        <v/>
      </c>
      <c r="C39618" t="inlineStr">
        <is>
          <t>2008-05-16</t>
        </is>
      </c>
    </row>
    <row r="39619">
      <c r="A39619" s="1" t="n">
        <v>39618</v>
      </c>
      <c r="B39619">
        <f>TEXT(39618, "[$-0E0000]yyyy-mm-dd")</f>
        <v/>
      </c>
      <c r="C39619" t="inlineStr">
        <is>
          <t>2008-05-17</t>
        </is>
      </c>
    </row>
    <row r="39620">
      <c r="A39620" s="1" t="n">
        <v>39619</v>
      </c>
      <c r="B39620">
        <f>TEXT(39619, "[$-0E0000]yyyy-mm-dd")</f>
        <v/>
      </c>
      <c r="C39620" t="inlineStr">
        <is>
          <t>2008-05-18</t>
        </is>
      </c>
    </row>
    <row r="39621">
      <c r="A39621" s="1" t="n">
        <v>39620</v>
      </c>
      <c r="B39621">
        <f>TEXT(39620, "[$-0E0000]yyyy-mm-dd")</f>
        <v/>
      </c>
      <c r="C39621" t="inlineStr">
        <is>
          <t>2008-05-19</t>
        </is>
      </c>
    </row>
    <row r="39622">
      <c r="A39622" s="1" t="n">
        <v>39621</v>
      </c>
      <c r="B39622">
        <f>TEXT(39621, "[$-0E0000]yyyy-mm-dd")</f>
        <v/>
      </c>
      <c r="C39622" t="inlineStr">
        <is>
          <t>2008-05-20</t>
        </is>
      </c>
    </row>
    <row r="39623">
      <c r="A39623" s="1" t="n">
        <v>39622</v>
      </c>
      <c r="B39623">
        <f>TEXT(39622, "[$-0E0000]yyyy-mm-dd")</f>
        <v/>
      </c>
      <c r="C39623" t="inlineStr">
        <is>
          <t>2008-05-21</t>
        </is>
      </c>
    </row>
    <row r="39624">
      <c r="A39624" s="1" t="n">
        <v>39623</v>
      </c>
      <c r="B39624">
        <f>TEXT(39623, "[$-0E0000]yyyy-mm-dd")</f>
        <v/>
      </c>
      <c r="C39624" t="inlineStr">
        <is>
          <t>2008-05-22</t>
        </is>
      </c>
    </row>
    <row r="39625">
      <c r="A39625" s="1" t="n">
        <v>39624</v>
      </c>
      <c r="B39625">
        <f>TEXT(39624, "[$-0E0000]yyyy-mm-dd")</f>
        <v/>
      </c>
      <c r="C39625" t="inlineStr">
        <is>
          <t>2008-05-23</t>
        </is>
      </c>
    </row>
    <row r="39626">
      <c r="A39626" s="1" t="n">
        <v>39625</v>
      </c>
      <c r="B39626">
        <f>TEXT(39625, "[$-0E0000]yyyy-mm-dd")</f>
        <v/>
      </c>
      <c r="C39626" t="inlineStr">
        <is>
          <t>2008-05-24</t>
        </is>
      </c>
    </row>
    <row r="39627">
      <c r="A39627" s="1" t="n">
        <v>39626</v>
      </c>
      <c r="B39627">
        <f>TEXT(39626, "[$-0E0000]yyyy-mm-dd")</f>
        <v/>
      </c>
      <c r="C39627" t="inlineStr">
        <is>
          <t>2008-05-25</t>
        </is>
      </c>
    </row>
    <row r="39628">
      <c r="A39628" s="1" t="n">
        <v>39627</v>
      </c>
      <c r="B39628">
        <f>TEXT(39627, "[$-0E0000]yyyy-mm-dd")</f>
        <v/>
      </c>
      <c r="C39628" t="inlineStr">
        <is>
          <t>2008-05-26</t>
        </is>
      </c>
    </row>
    <row r="39629">
      <c r="A39629" s="1" t="n">
        <v>39628</v>
      </c>
      <c r="B39629">
        <f>TEXT(39628, "[$-0E0000]yyyy-mm-dd")</f>
        <v/>
      </c>
      <c r="C39629" t="inlineStr">
        <is>
          <t>2008-05-27</t>
        </is>
      </c>
    </row>
    <row r="39630">
      <c r="A39630" s="1" t="n">
        <v>39629</v>
      </c>
      <c r="B39630">
        <f>TEXT(39629, "[$-0E0000]yyyy-mm-dd")</f>
        <v/>
      </c>
      <c r="C39630" t="inlineStr">
        <is>
          <t>2008-05-28</t>
        </is>
      </c>
    </row>
    <row r="39631">
      <c r="A39631" s="1" t="n">
        <v>39630</v>
      </c>
      <c r="B39631">
        <f>TEXT(39630, "[$-0E0000]yyyy-mm-dd")</f>
        <v/>
      </c>
      <c r="C39631" t="inlineStr">
        <is>
          <t>2008-05-29</t>
        </is>
      </c>
    </row>
    <row r="39632">
      <c r="A39632" s="1" t="n">
        <v>39631</v>
      </c>
      <c r="B39632">
        <f>TEXT(39631, "[$-0E0000]yyyy-mm-dd")</f>
        <v/>
      </c>
      <c r="C39632" t="inlineStr">
        <is>
          <t>2008-06-01</t>
        </is>
      </c>
    </row>
    <row r="39633">
      <c r="A39633" s="1" t="n">
        <v>39632</v>
      </c>
      <c r="B39633">
        <f>TEXT(39632, "[$-0E0000]yyyy-mm-dd")</f>
        <v/>
      </c>
      <c r="C39633" t="inlineStr">
        <is>
          <t>2008-06-02</t>
        </is>
      </c>
    </row>
    <row r="39634">
      <c r="A39634" s="1" t="n">
        <v>39633</v>
      </c>
      <c r="B39634">
        <f>TEXT(39633, "[$-0E0000]yyyy-mm-dd")</f>
        <v/>
      </c>
      <c r="C39634" t="inlineStr">
        <is>
          <t>2008-06-03</t>
        </is>
      </c>
    </row>
    <row r="39635">
      <c r="A39635" s="1" t="n">
        <v>39634</v>
      </c>
      <c r="B39635">
        <f>TEXT(39634, "[$-0E0000]yyyy-mm-dd")</f>
        <v/>
      </c>
      <c r="C39635" t="inlineStr">
        <is>
          <t>2008-06-04</t>
        </is>
      </c>
    </row>
    <row r="39636">
      <c r="A39636" s="1" t="n">
        <v>39635</v>
      </c>
      <c r="B39636">
        <f>TEXT(39635, "[$-0E0000]yyyy-mm-dd")</f>
        <v/>
      </c>
      <c r="C39636" t="inlineStr">
        <is>
          <t>2008-06-05</t>
        </is>
      </c>
    </row>
    <row r="39637">
      <c r="A39637" s="1" t="n">
        <v>39636</v>
      </c>
      <c r="B39637">
        <f>TEXT(39636, "[$-0E0000]yyyy-mm-dd")</f>
        <v/>
      </c>
      <c r="C39637" t="inlineStr">
        <is>
          <t>2008-06-06</t>
        </is>
      </c>
    </row>
    <row r="39638">
      <c r="A39638" s="1" t="n">
        <v>39637</v>
      </c>
      <c r="B39638">
        <f>TEXT(39637, "[$-0E0000]yyyy-mm-dd")</f>
        <v/>
      </c>
      <c r="C39638" t="inlineStr">
        <is>
          <t>2008-06-07</t>
        </is>
      </c>
    </row>
    <row r="39639">
      <c r="A39639" s="1" t="n">
        <v>39638</v>
      </c>
      <c r="B39639">
        <f>TEXT(39638, "[$-0E0000]yyyy-mm-dd")</f>
        <v/>
      </c>
      <c r="C39639" t="inlineStr">
        <is>
          <t>2008-06-08</t>
        </is>
      </c>
    </row>
    <row r="39640">
      <c r="A39640" s="1" t="n">
        <v>39639</v>
      </c>
      <c r="B39640">
        <f>TEXT(39639, "[$-0E0000]yyyy-mm-dd")</f>
        <v/>
      </c>
      <c r="C39640" t="inlineStr">
        <is>
          <t>2008-06-09</t>
        </is>
      </c>
    </row>
    <row r="39641">
      <c r="A39641" s="1" t="n">
        <v>39640</v>
      </c>
      <c r="B39641">
        <f>TEXT(39640, "[$-0E0000]yyyy-mm-dd")</f>
        <v/>
      </c>
      <c r="C39641" t="inlineStr">
        <is>
          <t>2008-06-10</t>
        </is>
      </c>
    </row>
    <row r="39642">
      <c r="A39642" s="1" t="n">
        <v>39641</v>
      </c>
      <c r="B39642">
        <f>TEXT(39641, "[$-0E0000]yyyy-mm-dd")</f>
        <v/>
      </c>
      <c r="C39642" t="inlineStr">
        <is>
          <t>2008-06-11</t>
        </is>
      </c>
    </row>
    <row r="39643">
      <c r="A39643" s="1" t="n">
        <v>39642</v>
      </c>
      <c r="B39643">
        <f>TEXT(39642, "[$-0E0000]yyyy-mm-dd")</f>
        <v/>
      </c>
      <c r="C39643" t="inlineStr">
        <is>
          <t>2008-06-12</t>
        </is>
      </c>
    </row>
    <row r="39644">
      <c r="A39644" s="1" t="n">
        <v>39643</v>
      </c>
      <c r="B39644">
        <f>TEXT(39643, "[$-0E0000]yyyy-mm-dd")</f>
        <v/>
      </c>
      <c r="C39644" t="inlineStr">
        <is>
          <t>2008-06-13</t>
        </is>
      </c>
    </row>
    <row r="39645">
      <c r="A39645" s="1" t="n">
        <v>39644</v>
      </c>
      <c r="B39645">
        <f>TEXT(39644, "[$-0E0000]yyyy-mm-dd")</f>
        <v/>
      </c>
      <c r="C39645" t="inlineStr">
        <is>
          <t>2008-06-14</t>
        </is>
      </c>
    </row>
    <row r="39646">
      <c r="A39646" s="1" t="n">
        <v>39645</v>
      </c>
      <c r="B39646">
        <f>TEXT(39645, "[$-0E0000]yyyy-mm-dd")</f>
        <v/>
      </c>
      <c r="C39646" t="inlineStr">
        <is>
          <t>2008-06-15</t>
        </is>
      </c>
    </row>
    <row r="39647">
      <c r="A39647" s="1" t="n">
        <v>39646</v>
      </c>
      <c r="B39647">
        <f>TEXT(39646, "[$-0E0000]yyyy-mm-dd")</f>
        <v/>
      </c>
      <c r="C39647" t="inlineStr">
        <is>
          <t>2008-06-16</t>
        </is>
      </c>
    </row>
    <row r="39648">
      <c r="A39648" s="1" t="n">
        <v>39647</v>
      </c>
      <c r="B39648">
        <f>TEXT(39647, "[$-0E0000]yyyy-mm-dd")</f>
        <v/>
      </c>
      <c r="C39648" t="inlineStr">
        <is>
          <t>2008-06-17</t>
        </is>
      </c>
    </row>
    <row r="39649">
      <c r="A39649" s="1" t="n">
        <v>39648</v>
      </c>
      <c r="B39649">
        <f>TEXT(39648, "[$-0E0000]yyyy-mm-dd")</f>
        <v/>
      </c>
      <c r="C39649" t="inlineStr">
        <is>
          <t>2008-06-18</t>
        </is>
      </c>
    </row>
    <row r="39650">
      <c r="A39650" s="1" t="n">
        <v>39649</v>
      </c>
      <c r="B39650">
        <f>TEXT(39649, "[$-0E0000]yyyy-mm-dd")</f>
        <v/>
      </c>
      <c r="C39650" t="inlineStr">
        <is>
          <t>2008-06-19</t>
        </is>
      </c>
    </row>
    <row r="39651">
      <c r="A39651" s="1" t="n">
        <v>39650</v>
      </c>
      <c r="B39651">
        <f>TEXT(39650, "[$-0E0000]yyyy-mm-dd")</f>
        <v/>
      </c>
      <c r="C39651" t="inlineStr">
        <is>
          <t>2008-06-20</t>
        </is>
      </c>
    </row>
    <row r="39652">
      <c r="A39652" s="1" t="n">
        <v>39651</v>
      </c>
      <c r="B39652">
        <f>TEXT(39651, "[$-0E0000]yyyy-mm-dd")</f>
        <v/>
      </c>
      <c r="C39652" t="inlineStr">
        <is>
          <t>2008-06-21</t>
        </is>
      </c>
    </row>
    <row r="39653">
      <c r="A39653" s="1" t="n">
        <v>39652</v>
      </c>
      <c r="B39653">
        <f>TEXT(39652, "[$-0E0000]yyyy-mm-dd")</f>
        <v/>
      </c>
      <c r="C39653" t="inlineStr">
        <is>
          <t>2008-06-22</t>
        </is>
      </c>
    </row>
    <row r="39654">
      <c r="A39654" s="1" t="n">
        <v>39653</v>
      </c>
      <c r="B39654">
        <f>TEXT(39653, "[$-0E0000]yyyy-mm-dd")</f>
        <v/>
      </c>
      <c r="C39654" t="inlineStr">
        <is>
          <t>2008-06-23</t>
        </is>
      </c>
    </row>
    <row r="39655">
      <c r="A39655" s="1" t="n">
        <v>39654</v>
      </c>
      <c r="B39655">
        <f>TEXT(39654, "[$-0E0000]yyyy-mm-dd")</f>
        <v/>
      </c>
      <c r="C39655" t="inlineStr">
        <is>
          <t>2008-06-24</t>
        </is>
      </c>
    </row>
    <row r="39656">
      <c r="A39656" s="1" t="n">
        <v>39655</v>
      </c>
      <c r="B39656">
        <f>TEXT(39655, "[$-0E0000]yyyy-mm-dd")</f>
        <v/>
      </c>
      <c r="C39656" t="inlineStr">
        <is>
          <t>2008-06-25</t>
        </is>
      </c>
    </row>
    <row r="39657">
      <c r="A39657" s="1" t="n">
        <v>39656</v>
      </c>
      <c r="B39657">
        <f>TEXT(39656, "[$-0E0000]yyyy-mm-dd")</f>
        <v/>
      </c>
      <c r="C39657" t="inlineStr">
        <is>
          <t>2008-06-26</t>
        </is>
      </c>
    </row>
    <row r="39658">
      <c r="A39658" s="1" t="n">
        <v>39657</v>
      </c>
      <c r="B39658">
        <f>TEXT(39657, "[$-0E0000]yyyy-mm-dd")</f>
        <v/>
      </c>
      <c r="C39658" t="inlineStr">
        <is>
          <t>2008-06-27</t>
        </is>
      </c>
    </row>
    <row r="39659">
      <c r="A39659" s="1" t="n">
        <v>39658</v>
      </c>
      <c r="B39659">
        <f>TEXT(39658, "[$-0E0000]yyyy-mm-dd")</f>
        <v/>
      </c>
      <c r="C39659" t="inlineStr">
        <is>
          <t>2008-06-28</t>
        </is>
      </c>
    </row>
    <row r="39660">
      <c r="A39660" s="1" t="n">
        <v>39659</v>
      </c>
      <c r="B39660">
        <f>TEXT(39659, "[$-0E0000]yyyy-mm-dd")</f>
        <v/>
      </c>
      <c r="C39660" t="inlineStr">
        <is>
          <t>2008-06-29</t>
        </is>
      </c>
    </row>
    <row r="39661">
      <c r="A39661" s="1" t="n">
        <v>39660</v>
      </c>
      <c r="B39661">
        <f>TEXT(39660, "[$-0E0000]yyyy-mm-dd")</f>
        <v/>
      </c>
      <c r="C39661" t="inlineStr">
        <is>
          <t>2008-07-01</t>
        </is>
      </c>
    </row>
    <row r="39662">
      <c r="A39662" s="1" t="n">
        <v>39661</v>
      </c>
      <c r="B39662">
        <f>TEXT(39661, "[$-0E0000]yyyy-mm-dd")</f>
        <v/>
      </c>
      <c r="C39662" t="inlineStr">
        <is>
          <t>2008-07-02</t>
        </is>
      </c>
    </row>
    <row r="39663">
      <c r="A39663" s="1" t="n">
        <v>39662</v>
      </c>
      <c r="B39663">
        <f>TEXT(39662, "[$-0E0000]yyyy-mm-dd")</f>
        <v/>
      </c>
      <c r="C39663" t="inlineStr">
        <is>
          <t>2008-07-03</t>
        </is>
      </c>
    </row>
    <row r="39664">
      <c r="A39664" s="1" t="n">
        <v>39663</v>
      </c>
      <c r="B39664">
        <f>TEXT(39663, "[$-0E0000]yyyy-mm-dd")</f>
        <v/>
      </c>
      <c r="C39664" t="inlineStr">
        <is>
          <t>2008-07-04</t>
        </is>
      </c>
    </row>
    <row r="39665">
      <c r="A39665" s="1" t="n">
        <v>39664</v>
      </c>
      <c r="B39665">
        <f>TEXT(39664, "[$-0E0000]yyyy-mm-dd")</f>
        <v/>
      </c>
      <c r="C39665" t="inlineStr">
        <is>
          <t>2008-07-05</t>
        </is>
      </c>
    </row>
    <row r="39666">
      <c r="A39666" s="1" t="n">
        <v>39665</v>
      </c>
      <c r="B39666">
        <f>TEXT(39665, "[$-0E0000]yyyy-mm-dd")</f>
        <v/>
      </c>
      <c r="C39666" t="inlineStr">
        <is>
          <t>2008-07-06</t>
        </is>
      </c>
    </row>
    <row r="39667">
      <c r="A39667" s="1" t="n">
        <v>39666</v>
      </c>
      <c r="B39667">
        <f>TEXT(39666, "[$-0E0000]yyyy-mm-dd")</f>
        <v/>
      </c>
      <c r="C39667" t="inlineStr">
        <is>
          <t>2008-07-07</t>
        </is>
      </c>
    </row>
    <row r="39668">
      <c r="A39668" s="1" t="n">
        <v>39667</v>
      </c>
      <c r="B39668">
        <f>TEXT(39667, "[$-0E0000]yyyy-mm-dd")</f>
        <v/>
      </c>
      <c r="C39668" t="inlineStr">
        <is>
          <t>2008-07-08</t>
        </is>
      </c>
    </row>
    <row r="39669">
      <c r="A39669" s="1" t="n">
        <v>39668</v>
      </c>
      <c r="B39669">
        <f>TEXT(39668, "[$-0E0000]yyyy-mm-dd")</f>
        <v/>
      </c>
      <c r="C39669" t="inlineStr">
        <is>
          <t>2008-07-09</t>
        </is>
      </c>
    </row>
    <row r="39670">
      <c r="A39670" s="1" t="n">
        <v>39669</v>
      </c>
      <c r="B39670">
        <f>TEXT(39669, "[$-0E0000]yyyy-mm-dd")</f>
        <v/>
      </c>
      <c r="C39670" t="inlineStr">
        <is>
          <t>2008-07-10</t>
        </is>
      </c>
    </row>
    <row r="39671">
      <c r="A39671" s="1" t="n">
        <v>39670</v>
      </c>
      <c r="B39671">
        <f>TEXT(39670, "[$-0E0000]yyyy-mm-dd")</f>
        <v/>
      </c>
      <c r="C39671" t="inlineStr">
        <is>
          <t>2008-07-11</t>
        </is>
      </c>
    </row>
    <row r="39672">
      <c r="A39672" s="1" t="n">
        <v>39671</v>
      </c>
      <c r="B39672">
        <f>TEXT(39671, "[$-0E0000]yyyy-mm-dd")</f>
        <v/>
      </c>
      <c r="C39672" t="inlineStr">
        <is>
          <t>2008-07-12</t>
        </is>
      </c>
    </row>
    <row r="39673">
      <c r="A39673" s="1" t="n">
        <v>39672</v>
      </c>
      <c r="B39673">
        <f>TEXT(39672, "[$-0E0000]yyyy-mm-dd")</f>
        <v/>
      </c>
      <c r="C39673" t="inlineStr">
        <is>
          <t>2008-07-13</t>
        </is>
      </c>
    </row>
    <row r="39674">
      <c r="A39674" s="1" t="n">
        <v>39673</v>
      </c>
      <c r="B39674">
        <f>TEXT(39673, "[$-0E0000]yyyy-mm-dd")</f>
        <v/>
      </c>
      <c r="C39674" t="inlineStr">
        <is>
          <t>2008-07-14</t>
        </is>
      </c>
    </row>
    <row r="39675">
      <c r="A39675" s="1" t="n">
        <v>39674</v>
      </c>
      <c r="B39675">
        <f>TEXT(39674, "[$-0E0000]yyyy-mm-dd")</f>
        <v/>
      </c>
      <c r="C39675" t="inlineStr">
        <is>
          <t>2008-07-15</t>
        </is>
      </c>
    </row>
    <row r="39676">
      <c r="A39676" s="1" t="n">
        <v>39675</v>
      </c>
      <c r="B39676">
        <f>TEXT(39675, "[$-0E0000]yyyy-mm-dd")</f>
        <v/>
      </c>
      <c r="C39676" t="inlineStr">
        <is>
          <t>2008-07-16</t>
        </is>
      </c>
    </row>
    <row r="39677">
      <c r="A39677" s="1" t="n">
        <v>39676</v>
      </c>
      <c r="B39677">
        <f>TEXT(39676, "[$-0E0000]yyyy-mm-dd")</f>
        <v/>
      </c>
      <c r="C39677" t="inlineStr">
        <is>
          <t>2008-07-17</t>
        </is>
      </c>
    </row>
    <row r="39678">
      <c r="A39678" s="1" t="n">
        <v>39677</v>
      </c>
      <c r="B39678">
        <f>TEXT(39677, "[$-0E0000]yyyy-mm-dd")</f>
        <v/>
      </c>
      <c r="C39678" t="inlineStr">
        <is>
          <t>2008-07-18</t>
        </is>
      </c>
    </row>
    <row r="39679">
      <c r="A39679" s="1" t="n">
        <v>39678</v>
      </c>
      <c r="B39679">
        <f>TEXT(39678, "[$-0E0000]yyyy-mm-dd")</f>
        <v/>
      </c>
      <c r="C39679" t="inlineStr">
        <is>
          <t>2008-07-19</t>
        </is>
      </c>
    </row>
    <row r="39680">
      <c r="A39680" s="1" t="n">
        <v>39679</v>
      </c>
      <c r="B39680">
        <f>TEXT(39679, "[$-0E0000]yyyy-mm-dd")</f>
        <v/>
      </c>
      <c r="C39680" t="inlineStr">
        <is>
          <t>2008-07-20</t>
        </is>
      </c>
    </row>
    <row r="39681">
      <c r="A39681" s="1" t="n">
        <v>39680</v>
      </c>
      <c r="B39681">
        <f>TEXT(39680, "[$-0E0000]yyyy-mm-dd")</f>
        <v/>
      </c>
      <c r="C39681" t="inlineStr">
        <is>
          <t>2008-07-21</t>
        </is>
      </c>
    </row>
    <row r="39682">
      <c r="A39682" s="1" t="n">
        <v>39681</v>
      </c>
      <c r="B39682">
        <f>TEXT(39681, "[$-0E0000]yyyy-mm-dd")</f>
        <v/>
      </c>
      <c r="C39682" t="inlineStr">
        <is>
          <t>2008-07-22</t>
        </is>
      </c>
    </row>
    <row r="39683">
      <c r="A39683" s="1" t="n">
        <v>39682</v>
      </c>
      <c r="B39683">
        <f>TEXT(39682, "[$-0E0000]yyyy-mm-dd")</f>
        <v/>
      </c>
      <c r="C39683" t="inlineStr">
        <is>
          <t>2008-07-23</t>
        </is>
      </c>
    </row>
    <row r="39684">
      <c r="A39684" s="1" t="n">
        <v>39683</v>
      </c>
      <c r="B39684">
        <f>TEXT(39683, "[$-0E0000]yyyy-mm-dd")</f>
        <v/>
      </c>
      <c r="C39684" t="inlineStr">
        <is>
          <t>2008-07-24</t>
        </is>
      </c>
    </row>
    <row r="39685">
      <c r="A39685" s="1" t="n">
        <v>39684</v>
      </c>
      <c r="B39685">
        <f>TEXT(39684, "[$-0E0000]yyyy-mm-dd")</f>
        <v/>
      </c>
      <c r="C39685" t="inlineStr">
        <is>
          <t>2008-07-25</t>
        </is>
      </c>
    </row>
    <row r="39686">
      <c r="A39686" s="1" t="n">
        <v>39685</v>
      </c>
      <c r="B39686">
        <f>TEXT(39685, "[$-0E0000]yyyy-mm-dd")</f>
        <v/>
      </c>
      <c r="C39686" t="inlineStr">
        <is>
          <t>2008-07-26</t>
        </is>
      </c>
    </row>
    <row r="39687">
      <c r="A39687" s="1" t="n">
        <v>39686</v>
      </c>
      <c r="B39687">
        <f>TEXT(39686, "[$-0E0000]yyyy-mm-dd")</f>
        <v/>
      </c>
      <c r="C39687" t="inlineStr">
        <is>
          <t>2008-07-27</t>
        </is>
      </c>
    </row>
    <row r="39688">
      <c r="A39688" s="1" t="n">
        <v>39687</v>
      </c>
      <c r="B39688">
        <f>TEXT(39687, "[$-0E0000]yyyy-mm-dd")</f>
        <v/>
      </c>
      <c r="C39688" t="inlineStr">
        <is>
          <t>2008-07-28</t>
        </is>
      </c>
    </row>
    <row r="39689">
      <c r="A39689" s="1" t="n">
        <v>39688</v>
      </c>
      <c r="B39689">
        <f>TEXT(39688, "[$-0E0000]yyyy-mm-dd")</f>
        <v/>
      </c>
      <c r="C39689" t="inlineStr">
        <is>
          <t>2008-07-29</t>
        </is>
      </c>
    </row>
    <row r="39690">
      <c r="A39690" s="1" t="n">
        <v>39689</v>
      </c>
      <c r="B39690">
        <f>TEXT(39689, "[$-0E0000]yyyy-mm-dd")</f>
        <v/>
      </c>
      <c r="C39690" t="inlineStr">
        <is>
          <t>2008-07-30</t>
        </is>
      </c>
    </row>
    <row r="39691">
      <c r="A39691" s="1" t="n">
        <v>39690</v>
      </c>
      <c r="B39691">
        <f>TEXT(39690, "[$-0E0000]yyyy-mm-dd")</f>
        <v/>
      </c>
      <c r="C39691" t="inlineStr">
        <is>
          <t>2008-08-01</t>
        </is>
      </c>
    </row>
    <row r="39692">
      <c r="A39692" s="1" t="n">
        <v>39691</v>
      </c>
      <c r="B39692">
        <f>TEXT(39691, "[$-0E0000]yyyy-mm-dd")</f>
        <v/>
      </c>
      <c r="C39692" t="inlineStr">
        <is>
          <t>2008-08-02</t>
        </is>
      </c>
    </row>
    <row r="39693">
      <c r="A39693" s="1" t="n">
        <v>39692</v>
      </c>
      <c r="B39693">
        <f>TEXT(39692, "[$-0E0000]yyyy-mm-dd")</f>
        <v/>
      </c>
      <c r="C39693" t="inlineStr">
        <is>
          <t>2008-08-03</t>
        </is>
      </c>
    </row>
    <row r="39694">
      <c r="A39694" s="1" t="n">
        <v>39693</v>
      </c>
      <c r="B39694">
        <f>TEXT(39693, "[$-0E0000]yyyy-mm-dd")</f>
        <v/>
      </c>
      <c r="C39694" t="inlineStr">
        <is>
          <t>2008-08-04</t>
        </is>
      </c>
    </row>
    <row r="39695">
      <c r="A39695" s="1" t="n">
        <v>39694</v>
      </c>
      <c r="B39695">
        <f>TEXT(39694, "[$-0E0000]yyyy-mm-dd")</f>
        <v/>
      </c>
      <c r="C39695" t="inlineStr">
        <is>
          <t>2008-08-05</t>
        </is>
      </c>
    </row>
    <row r="39696">
      <c r="A39696" s="1" t="n">
        <v>39695</v>
      </c>
      <c r="B39696">
        <f>TEXT(39695, "[$-0E0000]yyyy-mm-dd")</f>
        <v/>
      </c>
      <c r="C39696" t="inlineStr">
        <is>
          <t>2008-08-06</t>
        </is>
      </c>
    </row>
    <row r="39697">
      <c r="A39697" s="1" t="n">
        <v>39696</v>
      </c>
      <c r="B39697">
        <f>TEXT(39696, "[$-0E0000]yyyy-mm-dd")</f>
        <v/>
      </c>
      <c r="C39697" t="inlineStr">
        <is>
          <t>2008-08-07</t>
        </is>
      </c>
    </row>
    <row r="39698">
      <c r="A39698" s="1" t="n">
        <v>39697</v>
      </c>
      <c r="B39698">
        <f>TEXT(39697, "[$-0E0000]yyyy-mm-dd")</f>
        <v/>
      </c>
      <c r="C39698" t="inlineStr">
        <is>
          <t>2008-08-08</t>
        </is>
      </c>
    </row>
    <row r="39699">
      <c r="A39699" s="1" t="n">
        <v>39698</v>
      </c>
      <c r="B39699">
        <f>TEXT(39698, "[$-0E0000]yyyy-mm-dd")</f>
        <v/>
      </c>
      <c r="C39699" t="inlineStr">
        <is>
          <t>2008-08-09</t>
        </is>
      </c>
    </row>
    <row r="39700">
      <c r="A39700" s="1" t="n">
        <v>39699</v>
      </c>
      <c r="B39700">
        <f>TEXT(39699, "[$-0E0000]yyyy-mm-dd")</f>
        <v/>
      </c>
      <c r="C39700" t="inlineStr">
        <is>
          <t>2008-08-10</t>
        </is>
      </c>
    </row>
    <row r="39701">
      <c r="A39701" s="1" t="n">
        <v>39700</v>
      </c>
      <c r="B39701">
        <f>TEXT(39700, "[$-0E0000]yyyy-mm-dd")</f>
        <v/>
      </c>
      <c r="C39701" t="inlineStr">
        <is>
          <t>2008-08-11</t>
        </is>
      </c>
    </row>
    <row r="39702">
      <c r="A39702" s="1" t="n">
        <v>39701</v>
      </c>
      <c r="B39702">
        <f>TEXT(39701, "[$-0E0000]yyyy-mm-dd")</f>
        <v/>
      </c>
      <c r="C39702" t="inlineStr">
        <is>
          <t>2008-08-12</t>
        </is>
      </c>
    </row>
    <row r="39703">
      <c r="A39703" s="1" t="n">
        <v>39702</v>
      </c>
      <c r="B39703">
        <f>TEXT(39702, "[$-0E0000]yyyy-mm-dd")</f>
        <v/>
      </c>
      <c r="C39703" t="inlineStr">
        <is>
          <t>2008-08-13</t>
        </is>
      </c>
    </row>
    <row r="39704">
      <c r="A39704" s="1" t="n">
        <v>39703</v>
      </c>
      <c r="B39704">
        <f>TEXT(39703, "[$-0E0000]yyyy-mm-dd")</f>
        <v/>
      </c>
      <c r="C39704" t="inlineStr">
        <is>
          <t>2008-08-14</t>
        </is>
      </c>
    </row>
    <row r="39705">
      <c r="A39705" s="1" t="n">
        <v>39704</v>
      </c>
      <c r="B39705">
        <f>TEXT(39704, "[$-0E0000]yyyy-mm-dd")</f>
        <v/>
      </c>
      <c r="C39705" t="inlineStr">
        <is>
          <t>2008-08-15</t>
        </is>
      </c>
    </row>
    <row r="39706">
      <c r="A39706" s="1" t="n">
        <v>39705</v>
      </c>
      <c r="B39706">
        <f>TEXT(39705, "[$-0E0000]yyyy-mm-dd")</f>
        <v/>
      </c>
      <c r="C39706" t="inlineStr">
        <is>
          <t>2008-08-16</t>
        </is>
      </c>
    </row>
    <row r="39707">
      <c r="A39707" s="1" t="n">
        <v>39706</v>
      </c>
      <c r="B39707">
        <f>TEXT(39706, "[$-0E0000]yyyy-mm-dd")</f>
        <v/>
      </c>
      <c r="C39707" t="inlineStr">
        <is>
          <t>2008-08-17</t>
        </is>
      </c>
    </row>
    <row r="39708">
      <c r="A39708" s="1" t="n">
        <v>39707</v>
      </c>
      <c r="B39708">
        <f>TEXT(39707, "[$-0E0000]yyyy-mm-dd")</f>
        <v/>
      </c>
      <c r="C39708" t="inlineStr">
        <is>
          <t>2008-08-18</t>
        </is>
      </c>
    </row>
    <row r="39709">
      <c r="A39709" s="1" t="n">
        <v>39708</v>
      </c>
      <c r="B39709">
        <f>TEXT(39708, "[$-0E0000]yyyy-mm-dd")</f>
        <v/>
      </c>
      <c r="C39709" t="inlineStr">
        <is>
          <t>2008-08-19</t>
        </is>
      </c>
    </row>
    <row r="39710">
      <c r="A39710" s="1" t="n">
        <v>39709</v>
      </c>
      <c r="B39710">
        <f>TEXT(39709, "[$-0E0000]yyyy-mm-dd")</f>
        <v/>
      </c>
      <c r="C39710" t="inlineStr">
        <is>
          <t>2008-08-20</t>
        </is>
      </c>
    </row>
    <row r="39711">
      <c r="A39711" s="1" t="n">
        <v>39710</v>
      </c>
      <c r="B39711">
        <f>TEXT(39710, "[$-0E0000]yyyy-mm-dd")</f>
        <v/>
      </c>
      <c r="C39711" t="inlineStr">
        <is>
          <t>2008-08-21</t>
        </is>
      </c>
    </row>
    <row r="39712">
      <c r="A39712" s="1" t="n">
        <v>39711</v>
      </c>
      <c r="B39712">
        <f>TEXT(39711, "[$-0E0000]yyyy-mm-dd")</f>
        <v/>
      </c>
      <c r="C39712" t="inlineStr">
        <is>
          <t>2008-08-22</t>
        </is>
      </c>
    </row>
    <row r="39713">
      <c r="A39713" s="1" t="n">
        <v>39712</v>
      </c>
      <c r="B39713">
        <f>TEXT(39712, "[$-0E0000]yyyy-mm-dd")</f>
        <v/>
      </c>
      <c r="C39713" t="inlineStr">
        <is>
          <t>2008-08-23</t>
        </is>
      </c>
    </row>
    <row r="39714">
      <c r="A39714" s="1" t="n">
        <v>39713</v>
      </c>
      <c r="B39714">
        <f>TEXT(39713, "[$-0E0000]yyyy-mm-dd")</f>
        <v/>
      </c>
      <c r="C39714" t="inlineStr">
        <is>
          <t>2008-08-24</t>
        </is>
      </c>
    </row>
    <row r="39715">
      <c r="A39715" s="1" t="n">
        <v>39714</v>
      </c>
      <c r="B39715">
        <f>TEXT(39714, "[$-0E0000]yyyy-mm-dd")</f>
        <v/>
      </c>
      <c r="C39715" t="inlineStr">
        <is>
          <t>2008-08-25</t>
        </is>
      </c>
    </row>
    <row r="39716">
      <c r="A39716" s="1" t="n">
        <v>39715</v>
      </c>
      <c r="B39716">
        <f>TEXT(39715, "[$-0E0000]yyyy-mm-dd")</f>
        <v/>
      </c>
      <c r="C39716" t="inlineStr">
        <is>
          <t>2008-08-26</t>
        </is>
      </c>
    </row>
    <row r="39717">
      <c r="A39717" s="1" t="n">
        <v>39716</v>
      </c>
      <c r="B39717">
        <f>TEXT(39716, "[$-0E0000]yyyy-mm-dd")</f>
        <v/>
      </c>
      <c r="C39717" t="inlineStr">
        <is>
          <t>2008-08-27</t>
        </is>
      </c>
    </row>
    <row r="39718">
      <c r="A39718" s="1" t="n">
        <v>39717</v>
      </c>
      <c r="B39718">
        <f>TEXT(39717, "[$-0E0000]yyyy-mm-dd")</f>
        <v/>
      </c>
      <c r="C39718" t="inlineStr">
        <is>
          <t>2008-08-28</t>
        </is>
      </c>
    </row>
    <row r="39719">
      <c r="A39719" s="1" t="n">
        <v>39718</v>
      </c>
      <c r="B39719">
        <f>TEXT(39718, "[$-0E0000]yyyy-mm-dd")</f>
        <v/>
      </c>
      <c r="C39719" t="inlineStr">
        <is>
          <t>2008-08-29</t>
        </is>
      </c>
    </row>
    <row r="39720">
      <c r="A39720" s="1" t="n">
        <v>39719</v>
      </c>
      <c r="B39720">
        <f>TEXT(39719, "[$-0E0000]yyyy-mm-dd")</f>
        <v/>
      </c>
      <c r="C39720" t="inlineStr">
        <is>
          <t>2008-09-01</t>
        </is>
      </c>
    </row>
    <row r="39721">
      <c r="A39721" s="1" t="n">
        <v>39720</v>
      </c>
      <c r="B39721">
        <f>TEXT(39720, "[$-0E0000]yyyy-mm-dd")</f>
        <v/>
      </c>
      <c r="C39721" t="inlineStr">
        <is>
          <t>2008-09-02</t>
        </is>
      </c>
    </row>
    <row r="39722">
      <c r="A39722" s="1" t="n">
        <v>39721</v>
      </c>
      <c r="B39722">
        <f>TEXT(39721, "[$-0E0000]yyyy-mm-dd")</f>
        <v/>
      </c>
      <c r="C39722" t="inlineStr">
        <is>
          <t>2008-09-03</t>
        </is>
      </c>
    </row>
    <row r="39723">
      <c r="A39723" s="1" t="n">
        <v>39722</v>
      </c>
      <c r="B39723">
        <f>TEXT(39722, "[$-0E0000]yyyy-mm-dd")</f>
        <v/>
      </c>
      <c r="C39723" t="inlineStr">
        <is>
          <t>2008-09-04</t>
        </is>
      </c>
    </row>
    <row r="39724">
      <c r="A39724" s="1" t="n">
        <v>39723</v>
      </c>
      <c r="B39724">
        <f>TEXT(39723, "[$-0E0000]yyyy-mm-dd")</f>
        <v/>
      </c>
      <c r="C39724" t="inlineStr">
        <is>
          <t>2008-09-05</t>
        </is>
      </c>
    </row>
    <row r="39725">
      <c r="A39725" s="1" t="n">
        <v>39724</v>
      </c>
      <c r="B39725">
        <f>TEXT(39724, "[$-0E0000]yyyy-mm-dd")</f>
        <v/>
      </c>
      <c r="C39725" t="inlineStr">
        <is>
          <t>2008-09-06</t>
        </is>
      </c>
    </row>
    <row r="39726">
      <c r="A39726" s="1" t="n">
        <v>39725</v>
      </c>
      <c r="B39726">
        <f>TEXT(39725, "[$-0E0000]yyyy-mm-dd")</f>
        <v/>
      </c>
      <c r="C39726" t="inlineStr">
        <is>
          <t>2008-09-07</t>
        </is>
      </c>
    </row>
    <row r="39727">
      <c r="A39727" s="1" t="n">
        <v>39726</v>
      </c>
      <c r="B39727">
        <f>TEXT(39726, "[$-0E0000]yyyy-mm-dd")</f>
        <v/>
      </c>
      <c r="C39727" t="inlineStr">
        <is>
          <t>2008-09-08</t>
        </is>
      </c>
    </row>
    <row r="39728">
      <c r="A39728" s="1" t="n">
        <v>39727</v>
      </c>
      <c r="B39728">
        <f>TEXT(39727, "[$-0E0000]yyyy-mm-dd")</f>
        <v/>
      </c>
      <c r="C39728" t="inlineStr">
        <is>
          <t>2008-09-09</t>
        </is>
      </c>
    </row>
    <row r="39729">
      <c r="A39729" s="1" t="n">
        <v>39728</v>
      </c>
      <c r="B39729">
        <f>TEXT(39728, "[$-0E0000]yyyy-mm-dd")</f>
        <v/>
      </c>
      <c r="C39729" t="inlineStr">
        <is>
          <t>2008-09-10</t>
        </is>
      </c>
    </row>
    <row r="39730">
      <c r="A39730" s="1" t="n">
        <v>39729</v>
      </c>
      <c r="B39730">
        <f>TEXT(39729, "[$-0E0000]yyyy-mm-dd")</f>
        <v/>
      </c>
      <c r="C39730" t="inlineStr">
        <is>
          <t>2008-09-11</t>
        </is>
      </c>
    </row>
    <row r="39731">
      <c r="A39731" s="1" t="n">
        <v>39730</v>
      </c>
      <c r="B39731">
        <f>TEXT(39730, "[$-0E0000]yyyy-mm-dd")</f>
        <v/>
      </c>
      <c r="C39731" t="inlineStr">
        <is>
          <t>2008-09-12</t>
        </is>
      </c>
    </row>
    <row r="39732">
      <c r="A39732" s="1" t="n">
        <v>39731</v>
      </c>
      <c r="B39732">
        <f>TEXT(39731, "[$-0E0000]yyyy-mm-dd")</f>
        <v/>
      </c>
      <c r="C39732" t="inlineStr">
        <is>
          <t>2008-09-13</t>
        </is>
      </c>
    </row>
    <row r="39733">
      <c r="A39733" s="1" t="n">
        <v>39732</v>
      </c>
      <c r="B39733">
        <f>TEXT(39732, "[$-0E0000]yyyy-mm-dd")</f>
        <v/>
      </c>
      <c r="C39733" t="inlineStr">
        <is>
          <t>2008-09-14</t>
        </is>
      </c>
    </row>
    <row r="39734">
      <c r="A39734" s="1" t="n">
        <v>39733</v>
      </c>
      <c r="B39734">
        <f>TEXT(39733, "[$-0E0000]yyyy-mm-dd")</f>
        <v/>
      </c>
      <c r="C39734" t="inlineStr">
        <is>
          <t>2008-09-15</t>
        </is>
      </c>
    </row>
    <row r="39735">
      <c r="A39735" s="1" t="n">
        <v>39734</v>
      </c>
      <c r="B39735">
        <f>TEXT(39734, "[$-0E0000]yyyy-mm-dd")</f>
        <v/>
      </c>
      <c r="C39735" t="inlineStr">
        <is>
          <t>2008-09-16</t>
        </is>
      </c>
    </row>
    <row r="39736">
      <c r="A39736" s="1" t="n">
        <v>39735</v>
      </c>
      <c r="B39736">
        <f>TEXT(39735, "[$-0E0000]yyyy-mm-dd")</f>
        <v/>
      </c>
      <c r="C39736" t="inlineStr">
        <is>
          <t>2008-09-17</t>
        </is>
      </c>
    </row>
    <row r="39737">
      <c r="A39737" s="1" t="n">
        <v>39736</v>
      </c>
      <c r="B39737">
        <f>TEXT(39736, "[$-0E0000]yyyy-mm-dd")</f>
        <v/>
      </c>
      <c r="C39737" t="inlineStr">
        <is>
          <t>2008-09-18</t>
        </is>
      </c>
    </row>
    <row r="39738">
      <c r="A39738" s="1" t="n">
        <v>39737</v>
      </c>
      <c r="B39738">
        <f>TEXT(39737, "[$-0E0000]yyyy-mm-dd")</f>
        <v/>
      </c>
      <c r="C39738" t="inlineStr">
        <is>
          <t>2008-09-19</t>
        </is>
      </c>
    </row>
    <row r="39739">
      <c r="A39739" s="1" t="n">
        <v>39738</v>
      </c>
      <c r="B39739">
        <f>TEXT(39738, "[$-0E0000]yyyy-mm-dd")</f>
        <v/>
      </c>
      <c r="C39739" t="inlineStr">
        <is>
          <t>2008-09-20</t>
        </is>
      </c>
    </row>
    <row r="39740">
      <c r="A39740" s="1" t="n">
        <v>39739</v>
      </c>
      <c r="B39740">
        <f>TEXT(39739, "[$-0E0000]yyyy-mm-dd")</f>
        <v/>
      </c>
      <c r="C39740" t="inlineStr">
        <is>
          <t>2008-09-21</t>
        </is>
      </c>
    </row>
    <row r="39741">
      <c r="A39741" s="1" t="n">
        <v>39740</v>
      </c>
      <c r="B39741">
        <f>TEXT(39740, "[$-0E0000]yyyy-mm-dd")</f>
        <v/>
      </c>
      <c r="C39741" t="inlineStr">
        <is>
          <t>2008-09-22</t>
        </is>
      </c>
    </row>
    <row r="39742">
      <c r="A39742" s="1" t="n">
        <v>39741</v>
      </c>
      <c r="B39742">
        <f>TEXT(39741, "[$-0E0000]yyyy-mm-dd")</f>
        <v/>
      </c>
      <c r="C39742" t="inlineStr">
        <is>
          <t>2008-09-23</t>
        </is>
      </c>
    </row>
    <row r="39743">
      <c r="A39743" s="1" t="n">
        <v>39742</v>
      </c>
      <c r="B39743">
        <f>TEXT(39742, "[$-0E0000]yyyy-mm-dd")</f>
        <v/>
      </c>
      <c r="C39743" t="inlineStr">
        <is>
          <t>2008-09-24</t>
        </is>
      </c>
    </row>
    <row r="39744">
      <c r="A39744" s="1" t="n">
        <v>39743</v>
      </c>
      <c r="B39744">
        <f>TEXT(39743, "[$-0E0000]yyyy-mm-dd")</f>
        <v/>
      </c>
      <c r="C39744" t="inlineStr">
        <is>
          <t>2008-09-25</t>
        </is>
      </c>
    </row>
    <row r="39745">
      <c r="A39745" s="1" t="n">
        <v>39744</v>
      </c>
      <c r="B39745">
        <f>TEXT(39744, "[$-0E0000]yyyy-mm-dd")</f>
        <v/>
      </c>
      <c r="C39745" t="inlineStr">
        <is>
          <t>2008-09-26</t>
        </is>
      </c>
    </row>
    <row r="39746">
      <c r="A39746" s="1" t="n">
        <v>39745</v>
      </c>
      <c r="B39746">
        <f>TEXT(39745, "[$-0E0000]yyyy-mm-dd")</f>
        <v/>
      </c>
      <c r="C39746" t="inlineStr">
        <is>
          <t>2008-09-27</t>
        </is>
      </c>
    </row>
    <row r="39747">
      <c r="A39747" s="1" t="n">
        <v>39746</v>
      </c>
      <c r="B39747">
        <f>TEXT(39746, "[$-0E0000]yyyy-mm-dd")</f>
        <v/>
      </c>
      <c r="C39747" t="inlineStr">
        <is>
          <t>2008-09-28</t>
        </is>
      </c>
    </row>
    <row r="39748">
      <c r="A39748" s="1" t="n">
        <v>39747</v>
      </c>
      <c r="B39748">
        <f>TEXT(39747, "[$-0E0000]yyyy-mm-dd")</f>
        <v/>
      </c>
      <c r="C39748" t="inlineStr">
        <is>
          <t>2008-09-29</t>
        </is>
      </c>
    </row>
    <row r="39749">
      <c r="A39749" s="1" t="n">
        <v>39748</v>
      </c>
      <c r="B39749">
        <f>TEXT(39748, "[$-0E0000]yyyy-mm-dd")</f>
        <v/>
      </c>
      <c r="C39749" t="inlineStr">
        <is>
          <t>2008-09-30</t>
        </is>
      </c>
    </row>
    <row r="39750">
      <c r="A39750" s="1" t="n">
        <v>39749</v>
      </c>
      <c r="B39750">
        <f>TEXT(39749, "[$-0E0000]yyyy-mm-dd")</f>
        <v/>
      </c>
      <c r="C39750" t="inlineStr">
        <is>
          <t>2008-10-01</t>
        </is>
      </c>
    </row>
    <row r="39751">
      <c r="A39751" s="1" t="n">
        <v>39750</v>
      </c>
      <c r="B39751">
        <f>TEXT(39750, "[$-0E0000]yyyy-mm-dd")</f>
        <v/>
      </c>
      <c r="C39751" t="inlineStr">
        <is>
          <t>2008-10-02</t>
        </is>
      </c>
    </row>
    <row r="39752">
      <c r="A39752" s="1" t="n">
        <v>39751</v>
      </c>
      <c r="B39752">
        <f>TEXT(39751, "[$-0E0000]yyyy-mm-dd")</f>
        <v/>
      </c>
      <c r="C39752" t="inlineStr">
        <is>
          <t>2008-10-03</t>
        </is>
      </c>
    </row>
    <row r="39753">
      <c r="A39753" s="1" t="n">
        <v>39752</v>
      </c>
      <c r="B39753">
        <f>TEXT(39752, "[$-0E0000]yyyy-mm-dd")</f>
        <v/>
      </c>
      <c r="C39753" t="inlineStr">
        <is>
          <t>2008-10-04</t>
        </is>
      </c>
    </row>
    <row r="39754">
      <c r="A39754" s="1" t="n">
        <v>39753</v>
      </c>
      <c r="B39754">
        <f>TEXT(39753, "[$-0E0000]yyyy-mm-dd")</f>
        <v/>
      </c>
      <c r="C39754" t="inlineStr">
        <is>
          <t>2008-10-05</t>
        </is>
      </c>
    </row>
    <row r="39755">
      <c r="A39755" s="1" t="n">
        <v>39754</v>
      </c>
      <c r="B39755">
        <f>TEXT(39754, "[$-0E0000]yyyy-mm-dd")</f>
        <v/>
      </c>
      <c r="C39755" t="inlineStr">
        <is>
          <t>2008-10-06</t>
        </is>
      </c>
    </row>
    <row r="39756">
      <c r="A39756" s="1" t="n">
        <v>39755</v>
      </c>
      <c r="B39756">
        <f>TEXT(39755, "[$-0E0000]yyyy-mm-dd")</f>
        <v/>
      </c>
      <c r="C39756" t="inlineStr">
        <is>
          <t>2008-10-07</t>
        </is>
      </c>
    </row>
    <row r="39757">
      <c r="A39757" s="1" t="n">
        <v>39756</v>
      </c>
      <c r="B39757">
        <f>TEXT(39756, "[$-0E0000]yyyy-mm-dd")</f>
        <v/>
      </c>
      <c r="C39757" t="inlineStr">
        <is>
          <t>2008-10-08</t>
        </is>
      </c>
    </row>
    <row r="39758">
      <c r="A39758" s="1" t="n">
        <v>39757</v>
      </c>
      <c r="B39758">
        <f>TEXT(39757, "[$-0E0000]yyyy-mm-dd")</f>
        <v/>
      </c>
      <c r="C39758" t="inlineStr">
        <is>
          <t>2008-10-09</t>
        </is>
      </c>
    </row>
    <row r="39759">
      <c r="A39759" s="1" t="n">
        <v>39758</v>
      </c>
      <c r="B39759">
        <f>TEXT(39758, "[$-0E0000]yyyy-mm-dd")</f>
        <v/>
      </c>
      <c r="C39759" t="inlineStr">
        <is>
          <t>2008-10-10</t>
        </is>
      </c>
    </row>
    <row r="39760">
      <c r="A39760" s="1" t="n">
        <v>39759</v>
      </c>
      <c r="B39760">
        <f>TEXT(39759, "[$-0E0000]yyyy-mm-dd")</f>
        <v/>
      </c>
      <c r="C39760" t="inlineStr">
        <is>
          <t>2008-10-11</t>
        </is>
      </c>
    </row>
    <row r="39761">
      <c r="A39761" s="1" t="n">
        <v>39760</v>
      </c>
      <c r="B39761">
        <f>TEXT(39760, "[$-0E0000]yyyy-mm-dd")</f>
        <v/>
      </c>
      <c r="C39761" t="inlineStr">
        <is>
          <t>2008-10-12</t>
        </is>
      </c>
    </row>
    <row r="39762">
      <c r="A39762" s="1" t="n">
        <v>39761</v>
      </c>
      <c r="B39762">
        <f>TEXT(39761, "[$-0E0000]yyyy-mm-dd")</f>
        <v/>
      </c>
      <c r="C39762" t="inlineStr">
        <is>
          <t>2008-10-13</t>
        </is>
      </c>
    </row>
    <row r="39763">
      <c r="A39763" s="1" t="n">
        <v>39762</v>
      </c>
      <c r="B39763">
        <f>TEXT(39762, "[$-0E0000]yyyy-mm-dd")</f>
        <v/>
      </c>
      <c r="C39763" t="inlineStr">
        <is>
          <t>2008-10-14</t>
        </is>
      </c>
    </row>
    <row r="39764">
      <c r="A39764" s="1" t="n">
        <v>39763</v>
      </c>
      <c r="B39764">
        <f>TEXT(39763, "[$-0E0000]yyyy-mm-dd")</f>
        <v/>
      </c>
      <c r="C39764" t="inlineStr">
        <is>
          <t>2008-10-15</t>
        </is>
      </c>
    </row>
    <row r="39765">
      <c r="A39765" s="1" t="n">
        <v>39764</v>
      </c>
      <c r="B39765">
        <f>TEXT(39764, "[$-0E0000]yyyy-mm-dd")</f>
        <v/>
      </c>
      <c r="C39765" t="inlineStr">
        <is>
          <t>2008-10-16</t>
        </is>
      </c>
    </row>
    <row r="39766">
      <c r="A39766" s="1" t="n">
        <v>39765</v>
      </c>
      <c r="B39766">
        <f>TEXT(39765, "[$-0E0000]yyyy-mm-dd")</f>
        <v/>
      </c>
      <c r="C39766" t="inlineStr">
        <is>
          <t>2008-10-17</t>
        </is>
      </c>
    </row>
    <row r="39767">
      <c r="A39767" s="1" t="n">
        <v>39766</v>
      </c>
      <c r="B39767">
        <f>TEXT(39766, "[$-0E0000]yyyy-mm-dd")</f>
        <v/>
      </c>
      <c r="C39767" t="inlineStr">
        <is>
          <t>2008-10-18</t>
        </is>
      </c>
    </row>
    <row r="39768">
      <c r="A39768" s="1" t="n">
        <v>39767</v>
      </c>
      <c r="B39768">
        <f>TEXT(39767, "[$-0E0000]yyyy-mm-dd")</f>
        <v/>
      </c>
      <c r="C39768" t="inlineStr">
        <is>
          <t>2008-10-19</t>
        </is>
      </c>
    </row>
    <row r="39769">
      <c r="A39769" s="1" t="n">
        <v>39768</v>
      </c>
      <c r="B39769">
        <f>TEXT(39768, "[$-0E0000]yyyy-mm-dd")</f>
        <v/>
      </c>
      <c r="C39769" t="inlineStr">
        <is>
          <t>2008-10-20</t>
        </is>
      </c>
    </row>
    <row r="39770">
      <c r="A39770" s="1" t="n">
        <v>39769</v>
      </c>
      <c r="B39770">
        <f>TEXT(39769, "[$-0E0000]yyyy-mm-dd")</f>
        <v/>
      </c>
      <c r="C39770" t="inlineStr">
        <is>
          <t>2008-10-21</t>
        </is>
      </c>
    </row>
    <row r="39771">
      <c r="A39771" s="1" t="n">
        <v>39770</v>
      </c>
      <c r="B39771">
        <f>TEXT(39770, "[$-0E0000]yyyy-mm-dd")</f>
        <v/>
      </c>
      <c r="C39771" t="inlineStr">
        <is>
          <t>2008-10-22</t>
        </is>
      </c>
    </row>
    <row r="39772">
      <c r="A39772" s="1" t="n">
        <v>39771</v>
      </c>
      <c r="B39772">
        <f>TEXT(39771, "[$-0E0000]yyyy-mm-dd")</f>
        <v/>
      </c>
      <c r="C39772" t="inlineStr">
        <is>
          <t>2008-10-23</t>
        </is>
      </c>
    </row>
    <row r="39773">
      <c r="A39773" s="1" t="n">
        <v>39772</v>
      </c>
      <c r="B39773">
        <f>TEXT(39772, "[$-0E0000]yyyy-mm-dd")</f>
        <v/>
      </c>
      <c r="C39773" t="inlineStr">
        <is>
          <t>2008-10-24</t>
        </is>
      </c>
    </row>
    <row r="39774">
      <c r="A39774" s="1" t="n">
        <v>39773</v>
      </c>
      <c r="B39774">
        <f>TEXT(39773, "[$-0E0000]yyyy-mm-dd")</f>
        <v/>
      </c>
      <c r="C39774" t="inlineStr">
        <is>
          <t>2008-10-25</t>
        </is>
      </c>
    </row>
    <row r="39775">
      <c r="A39775" s="1" t="n">
        <v>39774</v>
      </c>
      <c r="B39775">
        <f>TEXT(39774, "[$-0E0000]yyyy-mm-dd")</f>
        <v/>
      </c>
      <c r="C39775" t="inlineStr">
        <is>
          <t>2008-10-26</t>
        </is>
      </c>
    </row>
    <row r="39776">
      <c r="A39776" s="1" t="n">
        <v>39775</v>
      </c>
      <c r="B39776">
        <f>TEXT(39775, "[$-0E0000]yyyy-mm-dd")</f>
        <v/>
      </c>
      <c r="C39776" t="inlineStr">
        <is>
          <t>2008-10-27</t>
        </is>
      </c>
    </row>
    <row r="39777">
      <c r="A39777" s="1" t="n">
        <v>39776</v>
      </c>
      <c r="B39777">
        <f>TEXT(39776, "[$-0E0000]yyyy-mm-dd")</f>
        <v/>
      </c>
      <c r="C39777" t="inlineStr">
        <is>
          <t>2008-10-28</t>
        </is>
      </c>
    </row>
    <row r="39778">
      <c r="A39778" s="1" t="n">
        <v>39777</v>
      </c>
      <c r="B39778">
        <f>TEXT(39777, "[$-0E0000]yyyy-mm-dd")</f>
        <v/>
      </c>
      <c r="C39778" t="inlineStr">
        <is>
          <t>2008-10-29</t>
        </is>
      </c>
    </row>
    <row r="39779">
      <c r="A39779" s="1" t="n">
        <v>39778</v>
      </c>
      <c r="B39779">
        <f>TEXT(39778, "[$-0E0000]yyyy-mm-dd")</f>
        <v/>
      </c>
      <c r="C39779" t="inlineStr">
        <is>
          <t>2008-10-30</t>
        </is>
      </c>
    </row>
    <row r="39780">
      <c r="A39780" s="1" t="n">
        <v>39779</v>
      </c>
      <c r="B39780">
        <f>TEXT(39779, "[$-0E0000]yyyy-mm-dd")</f>
        <v/>
      </c>
      <c r="C39780" t="inlineStr">
        <is>
          <t>2008-11-01</t>
        </is>
      </c>
    </row>
    <row r="39781">
      <c r="A39781" s="1" t="n">
        <v>39780</v>
      </c>
      <c r="B39781">
        <f>TEXT(39780, "[$-0E0000]yyyy-mm-dd")</f>
        <v/>
      </c>
      <c r="C39781" t="inlineStr">
        <is>
          <t>2008-11-02</t>
        </is>
      </c>
    </row>
    <row r="39782">
      <c r="A39782" s="1" t="n">
        <v>39781</v>
      </c>
      <c r="B39782">
        <f>TEXT(39781, "[$-0E0000]yyyy-mm-dd")</f>
        <v/>
      </c>
      <c r="C39782" t="inlineStr">
        <is>
          <t>2008-11-03</t>
        </is>
      </c>
    </row>
    <row r="39783">
      <c r="A39783" s="1" t="n">
        <v>39782</v>
      </c>
      <c r="B39783">
        <f>TEXT(39782, "[$-0E0000]yyyy-mm-dd")</f>
        <v/>
      </c>
      <c r="C39783" t="inlineStr">
        <is>
          <t>2008-11-04</t>
        </is>
      </c>
    </row>
    <row r="39784">
      <c r="A39784" s="1" t="n">
        <v>39783</v>
      </c>
      <c r="B39784">
        <f>TEXT(39783, "[$-0E0000]yyyy-mm-dd")</f>
        <v/>
      </c>
      <c r="C39784" t="inlineStr">
        <is>
          <t>2008-11-05</t>
        </is>
      </c>
    </row>
    <row r="39785">
      <c r="A39785" s="1" t="n">
        <v>39784</v>
      </c>
      <c r="B39785">
        <f>TEXT(39784, "[$-0E0000]yyyy-mm-dd")</f>
        <v/>
      </c>
      <c r="C39785" t="inlineStr">
        <is>
          <t>2008-11-06</t>
        </is>
      </c>
    </row>
    <row r="39786">
      <c r="A39786" s="1" t="n">
        <v>39785</v>
      </c>
      <c r="B39786">
        <f>TEXT(39785, "[$-0E0000]yyyy-mm-dd")</f>
        <v/>
      </c>
      <c r="C39786" t="inlineStr">
        <is>
          <t>2008-11-07</t>
        </is>
      </c>
    </row>
    <row r="39787">
      <c r="A39787" s="1" t="n">
        <v>39786</v>
      </c>
      <c r="B39787">
        <f>TEXT(39786, "[$-0E0000]yyyy-mm-dd")</f>
        <v/>
      </c>
      <c r="C39787" t="inlineStr">
        <is>
          <t>2008-11-08</t>
        </is>
      </c>
    </row>
    <row r="39788">
      <c r="A39788" s="1" t="n">
        <v>39787</v>
      </c>
      <c r="B39788">
        <f>TEXT(39787, "[$-0E0000]yyyy-mm-dd")</f>
        <v/>
      </c>
      <c r="C39788" t="inlineStr">
        <is>
          <t>2008-11-09</t>
        </is>
      </c>
    </row>
    <row r="39789">
      <c r="A39789" s="1" t="n">
        <v>39788</v>
      </c>
      <c r="B39789">
        <f>TEXT(39788, "[$-0E0000]yyyy-mm-dd")</f>
        <v/>
      </c>
      <c r="C39789" t="inlineStr">
        <is>
          <t>2008-11-10</t>
        </is>
      </c>
    </row>
    <row r="39790">
      <c r="A39790" s="1" t="n">
        <v>39789</v>
      </c>
      <c r="B39790">
        <f>TEXT(39789, "[$-0E0000]yyyy-mm-dd")</f>
        <v/>
      </c>
      <c r="C39790" t="inlineStr">
        <is>
          <t>2008-11-11</t>
        </is>
      </c>
    </row>
    <row r="39791">
      <c r="A39791" s="1" t="n">
        <v>39790</v>
      </c>
      <c r="B39791">
        <f>TEXT(39790, "[$-0E0000]yyyy-mm-dd")</f>
        <v/>
      </c>
      <c r="C39791" t="inlineStr">
        <is>
          <t>2008-11-12</t>
        </is>
      </c>
    </row>
    <row r="39792">
      <c r="A39792" s="1" t="n">
        <v>39791</v>
      </c>
      <c r="B39792">
        <f>TEXT(39791, "[$-0E0000]yyyy-mm-dd")</f>
        <v/>
      </c>
      <c r="C39792" t="inlineStr">
        <is>
          <t>2008-11-13</t>
        </is>
      </c>
    </row>
    <row r="39793">
      <c r="A39793" s="1" t="n">
        <v>39792</v>
      </c>
      <c r="B39793">
        <f>TEXT(39792, "[$-0E0000]yyyy-mm-dd")</f>
        <v/>
      </c>
      <c r="C39793" t="inlineStr">
        <is>
          <t>2008-11-14</t>
        </is>
      </c>
    </row>
    <row r="39794">
      <c r="A39794" s="1" t="n">
        <v>39793</v>
      </c>
      <c r="B39794">
        <f>TEXT(39793, "[$-0E0000]yyyy-mm-dd")</f>
        <v/>
      </c>
      <c r="C39794" t="inlineStr">
        <is>
          <t>2008-11-15</t>
        </is>
      </c>
    </row>
    <row r="39795">
      <c r="A39795" s="1" t="n">
        <v>39794</v>
      </c>
      <c r="B39795">
        <f>TEXT(39794, "[$-0E0000]yyyy-mm-dd")</f>
        <v/>
      </c>
      <c r="C39795" t="inlineStr">
        <is>
          <t>2008-11-16</t>
        </is>
      </c>
    </row>
    <row r="39796">
      <c r="A39796" s="1" t="n">
        <v>39795</v>
      </c>
      <c r="B39796">
        <f>TEXT(39795, "[$-0E0000]yyyy-mm-dd")</f>
        <v/>
      </c>
      <c r="C39796" t="inlineStr">
        <is>
          <t>2008-11-17</t>
        </is>
      </c>
    </row>
    <row r="39797">
      <c r="A39797" s="1" t="n">
        <v>39796</v>
      </c>
      <c r="B39797">
        <f>TEXT(39796, "[$-0E0000]yyyy-mm-dd")</f>
        <v/>
      </c>
      <c r="C39797" t="inlineStr">
        <is>
          <t>2008-11-18</t>
        </is>
      </c>
    </row>
    <row r="39798">
      <c r="A39798" s="1" t="n">
        <v>39797</v>
      </c>
      <c r="B39798">
        <f>TEXT(39797, "[$-0E0000]yyyy-mm-dd")</f>
        <v/>
      </c>
      <c r="C39798" t="inlineStr">
        <is>
          <t>2008-11-19</t>
        </is>
      </c>
    </row>
    <row r="39799">
      <c r="A39799" s="1" t="n">
        <v>39798</v>
      </c>
      <c r="B39799">
        <f>TEXT(39798, "[$-0E0000]yyyy-mm-dd")</f>
        <v/>
      </c>
      <c r="C39799" t="inlineStr">
        <is>
          <t>2008-11-20</t>
        </is>
      </c>
    </row>
    <row r="39800">
      <c r="A39800" s="1" t="n">
        <v>39799</v>
      </c>
      <c r="B39800">
        <f>TEXT(39799, "[$-0E0000]yyyy-mm-dd")</f>
        <v/>
      </c>
      <c r="C39800" t="inlineStr">
        <is>
          <t>2008-11-21</t>
        </is>
      </c>
    </row>
    <row r="39801">
      <c r="A39801" s="1" t="n">
        <v>39800</v>
      </c>
      <c r="B39801">
        <f>TEXT(39800, "[$-0E0000]yyyy-mm-dd")</f>
        <v/>
      </c>
      <c r="C39801" t="inlineStr">
        <is>
          <t>2008-11-22</t>
        </is>
      </c>
    </row>
    <row r="39802">
      <c r="A39802" s="1" t="n">
        <v>39801</v>
      </c>
      <c r="B39802">
        <f>TEXT(39801, "[$-0E0000]yyyy-mm-dd")</f>
        <v/>
      </c>
      <c r="C39802" t="inlineStr">
        <is>
          <t>2008-11-23</t>
        </is>
      </c>
    </row>
    <row r="39803">
      <c r="A39803" s="1" t="n">
        <v>39802</v>
      </c>
      <c r="B39803">
        <f>TEXT(39802, "[$-0E0000]yyyy-mm-dd")</f>
        <v/>
      </c>
      <c r="C39803" t="inlineStr">
        <is>
          <t>2008-11-24</t>
        </is>
      </c>
    </row>
    <row r="39804">
      <c r="A39804" s="1" t="n">
        <v>39803</v>
      </c>
      <c r="B39804">
        <f>TEXT(39803, "[$-0E0000]yyyy-mm-dd")</f>
        <v/>
      </c>
      <c r="C39804" t="inlineStr">
        <is>
          <t>2008-11-25</t>
        </is>
      </c>
    </row>
    <row r="39805">
      <c r="A39805" s="1" t="n">
        <v>39804</v>
      </c>
      <c r="B39805">
        <f>TEXT(39804, "[$-0E0000]yyyy-mm-dd")</f>
        <v/>
      </c>
      <c r="C39805" t="inlineStr">
        <is>
          <t>2008-11-26</t>
        </is>
      </c>
    </row>
    <row r="39806">
      <c r="A39806" s="1" t="n">
        <v>39805</v>
      </c>
      <c r="B39806">
        <f>TEXT(39805, "[$-0E0000]yyyy-mm-dd")</f>
        <v/>
      </c>
      <c r="C39806" t="inlineStr">
        <is>
          <t>2008-11-27</t>
        </is>
      </c>
    </row>
    <row r="39807">
      <c r="A39807" s="1" t="n">
        <v>39806</v>
      </c>
      <c r="B39807">
        <f>TEXT(39806, "[$-0E0000]yyyy-mm-dd")</f>
        <v/>
      </c>
      <c r="C39807" t="inlineStr">
        <is>
          <t>2008-11-28</t>
        </is>
      </c>
    </row>
    <row r="39808">
      <c r="A39808" s="1" t="n">
        <v>39807</v>
      </c>
      <c r="B39808">
        <f>TEXT(39807, "[$-0E0000]yyyy-mm-dd")</f>
        <v/>
      </c>
      <c r="C39808" t="inlineStr">
        <is>
          <t>2008-11-29</t>
        </is>
      </c>
    </row>
    <row r="39809">
      <c r="A39809" s="1" t="n">
        <v>39808</v>
      </c>
      <c r="B39809">
        <f>TEXT(39808, "[$-0E0000]yyyy-mm-dd")</f>
        <v/>
      </c>
      <c r="C39809" t="inlineStr">
        <is>
          <t>2008-12-01</t>
        </is>
      </c>
    </row>
    <row r="39810">
      <c r="A39810" s="1" t="n">
        <v>39809</v>
      </c>
      <c r="B39810">
        <f>TEXT(39809, "[$-0E0000]yyyy-mm-dd")</f>
        <v/>
      </c>
      <c r="C39810" t="inlineStr">
        <is>
          <t>2008-12-02</t>
        </is>
      </c>
    </row>
    <row r="39811">
      <c r="A39811" s="1" t="n">
        <v>39810</v>
      </c>
      <c r="B39811">
        <f>TEXT(39810, "[$-0E0000]yyyy-mm-dd")</f>
        <v/>
      </c>
      <c r="C39811" t="inlineStr">
        <is>
          <t>2008-12-03</t>
        </is>
      </c>
    </row>
    <row r="39812">
      <c r="A39812" s="1" t="n">
        <v>39811</v>
      </c>
      <c r="B39812">
        <f>TEXT(39811, "[$-0E0000]yyyy-mm-dd")</f>
        <v/>
      </c>
      <c r="C39812" t="inlineStr">
        <is>
          <t>2008-12-04</t>
        </is>
      </c>
    </row>
    <row r="39813">
      <c r="A39813" s="1" t="n">
        <v>39812</v>
      </c>
      <c r="B39813">
        <f>TEXT(39812, "[$-0E0000]yyyy-mm-dd")</f>
        <v/>
      </c>
      <c r="C39813" t="inlineStr">
        <is>
          <t>2008-12-05</t>
        </is>
      </c>
    </row>
    <row r="39814">
      <c r="A39814" s="1" t="n">
        <v>39813</v>
      </c>
      <c r="B39814">
        <f>TEXT(39813, "[$-0E0000]yyyy-mm-dd")</f>
        <v/>
      </c>
      <c r="C39814" t="inlineStr">
        <is>
          <t>2008-12-06</t>
        </is>
      </c>
    </row>
    <row r="39815">
      <c r="A39815" s="1" t="n">
        <v>39814</v>
      </c>
      <c r="B39815">
        <f>TEXT(39814, "[$-0E0000]yyyy-mm-dd")</f>
        <v/>
      </c>
      <c r="C39815" t="inlineStr">
        <is>
          <t>2008-12-07</t>
        </is>
      </c>
    </row>
    <row r="39816">
      <c r="A39816" s="1" t="n">
        <v>39815</v>
      </c>
      <c r="B39816">
        <f>TEXT(39815, "[$-0E0000]yyyy-mm-dd")</f>
        <v/>
      </c>
      <c r="C39816" t="inlineStr">
        <is>
          <t>2008-12-08</t>
        </is>
      </c>
    </row>
    <row r="39817">
      <c r="A39817" s="1" t="n">
        <v>39816</v>
      </c>
      <c r="B39817">
        <f>TEXT(39816, "[$-0E0000]yyyy-mm-dd")</f>
        <v/>
      </c>
      <c r="C39817" t="inlineStr">
        <is>
          <t>2008-12-09</t>
        </is>
      </c>
    </row>
    <row r="39818">
      <c r="A39818" s="1" t="n">
        <v>39817</v>
      </c>
      <c r="B39818">
        <f>TEXT(39817, "[$-0E0000]yyyy-mm-dd")</f>
        <v/>
      </c>
      <c r="C39818" t="inlineStr">
        <is>
          <t>2008-12-10</t>
        </is>
      </c>
    </row>
    <row r="39819">
      <c r="A39819" s="1" t="n">
        <v>39818</v>
      </c>
      <c r="B39819">
        <f>TEXT(39818, "[$-0E0000]yyyy-mm-dd")</f>
        <v/>
      </c>
      <c r="C39819" t="inlineStr">
        <is>
          <t>2008-12-11</t>
        </is>
      </c>
    </row>
    <row r="39820">
      <c r="A39820" s="1" t="n">
        <v>39819</v>
      </c>
      <c r="B39820">
        <f>TEXT(39819, "[$-0E0000]yyyy-mm-dd")</f>
        <v/>
      </c>
      <c r="C39820" t="inlineStr">
        <is>
          <t>2008-12-12</t>
        </is>
      </c>
    </row>
    <row r="39821">
      <c r="A39821" s="1" t="n">
        <v>39820</v>
      </c>
      <c r="B39821">
        <f>TEXT(39820, "[$-0E0000]yyyy-mm-dd")</f>
        <v/>
      </c>
      <c r="C39821" t="inlineStr">
        <is>
          <t>2008-12-13</t>
        </is>
      </c>
    </row>
    <row r="39822">
      <c r="A39822" s="1" t="n">
        <v>39821</v>
      </c>
      <c r="B39822">
        <f>TEXT(39821, "[$-0E0000]yyyy-mm-dd")</f>
        <v/>
      </c>
      <c r="C39822" t="inlineStr">
        <is>
          <t>2008-12-14</t>
        </is>
      </c>
    </row>
    <row r="39823">
      <c r="A39823" s="1" t="n">
        <v>39822</v>
      </c>
      <c r="B39823">
        <f>TEXT(39822, "[$-0E0000]yyyy-mm-dd")</f>
        <v/>
      </c>
      <c r="C39823" t="inlineStr">
        <is>
          <t>2008-12-15</t>
        </is>
      </c>
    </row>
    <row r="39824">
      <c r="A39824" s="1" t="n">
        <v>39823</v>
      </c>
      <c r="B39824">
        <f>TEXT(39823, "[$-0E0000]yyyy-mm-dd")</f>
        <v/>
      </c>
      <c r="C39824" t="inlineStr">
        <is>
          <t>2008-12-16</t>
        </is>
      </c>
    </row>
    <row r="39825">
      <c r="A39825" s="1" t="n">
        <v>39824</v>
      </c>
      <c r="B39825">
        <f>TEXT(39824, "[$-0E0000]yyyy-mm-dd")</f>
        <v/>
      </c>
      <c r="C39825" t="inlineStr">
        <is>
          <t>2008-12-17</t>
        </is>
      </c>
    </row>
    <row r="39826">
      <c r="A39826" s="1" t="n">
        <v>39825</v>
      </c>
      <c r="B39826">
        <f>TEXT(39825, "[$-0E0000]yyyy-mm-dd")</f>
        <v/>
      </c>
      <c r="C39826" t="inlineStr">
        <is>
          <t>2008-12-18</t>
        </is>
      </c>
    </row>
    <row r="39827">
      <c r="A39827" s="1" t="n">
        <v>39826</v>
      </c>
      <c r="B39827">
        <f>TEXT(39826, "[$-0E0000]yyyy-mm-dd")</f>
        <v/>
      </c>
      <c r="C39827" t="inlineStr">
        <is>
          <t>2008-12-19</t>
        </is>
      </c>
    </row>
    <row r="39828">
      <c r="A39828" s="1" t="n">
        <v>39827</v>
      </c>
      <c r="B39828">
        <f>TEXT(39827, "[$-0E0000]yyyy-mm-dd")</f>
        <v/>
      </c>
      <c r="C39828" t="inlineStr">
        <is>
          <t>2008-12-20</t>
        </is>
      </c>
    </row>
    <row r="39829">
      <c r="A39829" s="1" t="n">
        <v>39828</v>
      </c>
      <c r="B39829">
        <f>TEXT(39828, "[$-0E0000]yyyy-mm-dd")</f>
        <v/>
      </c>
      <c r="C39829" t="inlineStr">
        <is>
          <t>2008-12-21</t>
        </is>
      </c>
    </row>
    <row r="39830">
      <c r="A39830" s="1" t="n">
        <v>39829</v>
      </c>
      <c r="B39830">
        <f>TEXT(39829, "[$-0E0000]yyyy-mm-dd")</f>
        <v/>
      </c>
      <c r="C39830" t="inlineStr">
        <is>
          <t>2008-12-22</t>
        </is>
      </c>
    </row>
    <row r="39831">
      <c r="A39831" s="1" t="n">
        <v>39830</v>
      </c>
      <c r="B39831">
        <f>TEXT(39830, "[$-0E0000]yyyy-mm-dd")</f>
        <v/>
      </c>
      <c r="C39831" t="inlineStr">
        <is>
          <t>2008-12-23</t>
        </is>
      </c>
    </row>
    <row r="39832">
      <c r="A39832" s="1" t="n">
        <v>39831</v>
      </c>
      <c r="B39832">
        <f>TEXT(39831, "[$-0E0000]yyyy-mm-dd")</f>
        <v/>
      </c>
      <c r="C39832" t="inlineStr">
        <is>
          <t>2008-12-24</t>
        </is>
      </c>
    </row>
    <row r="39833">
      <c r="A39833" s="1" t="n">
        <v>39832</v>
      </c>
      <c r="B39833">
        <f>TEXT(39832, "[$-0E0000]yyyy-mm-dd")</f>
        <v/>
      </c>
      <c r="C39833" t="inlineStr">
        <is>
          <t>2008-12-25</t>
        </is>
      </c>
    </row>
    <row r="39834">
      <c r="A39834" s="1" t="n">
        <v>39833</v>
      </c>
      <c r="B39834">
        <f>TEXT(39833, "[$-0E0000]yyyy-mm-dd")</f>
        <v/>
      </c>
      <c r="C39834" t="inlineStr">
        <is>
          <t>2008-12-26</t>
        </is>
      </c>
    </row>
    <row r="39835">
      <c r="A39835" s="1" t="n">
        <v>39834</v>
      </c>
      <c r="B39835">
        <f>TEXT(39834, "[$-0E0000]yyyy-mm-dd")</f>
        <v/>
      </c>
      <c r="C39835" t="inlineStr">
        <is>
          <t>2008-12-27</t>
        </is>
      </c>
    </row>
    <row r="39836">
      <c r="A39836" s="1" t="n">
        <v>39835</v>
      </c>
      <c r="B39836">
        <f>TEXT(39835, "[$-0E0000]yyyy-mm-dd")</f>
        <v/>
      </c>
      <c r="C39836" t="inlineStr">
        <is>
          <t>2008-12-28</t>
        </is>
      </c>
    </row>
    <row r="39837">
      <c r="A39837" s="1" t="n">
        <v>39836</v>
      </c>
      <c r="B39837">
        <f>TEXT(39836, "[$-0E0000]yyyy-mm-dd")</f>
        <v/>
      </c>
      <c r="C39837" t="inlineStr">
        <is>
          <t>2008-12-29</t>
        </is>
      </c>
    </row>
    <row r="39838">
      <c r="A39838" s="1" t="n">
        <v>39837</v>
      </c>
      <c r="B39838">
        <f>TEXT(39837, "[$-0E0000]yyyy-mm-dd")</f>
        <v/>
      </c>
      <c r="C39838" t="inlineStr">
        <is>
          <t>2008-12-30</t>
        </is>
      </c>
    </row>
    <row r="39839">
      <c r="A39839" s="1" t="n">
        <v>39838</v>
      </c>
      <c r="B39839">
        <f>TEXT(39838, "[$-0E0000]yyyy-mm-dd")</f>
        <v/>
      </c>
      <c r="C39839" t="inlineStr">
        <is>
          <t>2009-01-01</t>
        </is>
      </c>
    </row>
    <row r="39840">
      <c r="A39840" s="1" t="n">
        <v>39839</v>
      </c>
      <c r="B39840">
        <f>TEXT(39839, "[$-0E0000]yyyy-mm-dd")</f>
        <v/>
      </c>
      <c r="C39840" t="inlineStr">
        <is>
          <t>2009-01-02</t>
        </is>
      </c>
    </row>
    <row r="39841">
      <c r="A39841" s="1" t="n">
        <v>39840</v>
      </c>
      <c r="B39841">
        <f>TEXT(39840, "[$-0E0000]yyyy-mm-dd")</f>
        <v/>
      </c>
      <c r="C39841" t="inlineStr">
        <is>
          <t>2009-01-03</t>
        </is>
      </c>
    </row>
    <row r="39842">
      <c r="A39842" s="1" t="n">
        <v>39841</v>
      </c>
      <c r="B39842">
        <f>TEXT(39841, "[$-0E0000]yyyy-mm-dd")</f>
        <v/>
      </c>
      <c r="C39842" t="inlineStr">
        <is>
          <t>2009-01-04</t>
        </is>
      </c>
    </row>
    <row r="39843">
      <c r="A39843" s="1" t="n">
        <v>39842</v>
      </c>
      <c r="B39843">
        <f>TEXT(39842, "[$-0E0000]yyyy-mm-dd")</f>
        <v/>
      </c>
      <c r="C39843" t="inlineStr">
        <is>
          <t>2009-01-05</t>
        </is>
      </c>
    </row>
    <row r="39844">
      <c r="A39844" s="1" t="n">
        <v>39843</v>
      </c>
      <c r="B39844">
        <f>TEXT(39843, "[$-0E0000]yyyy-mm-dd")</f>
        <v/>
      </c>
      <c r="C39844" t="inlineStr">
        <is>
          <t>2009-01-06</t>
        </is>
      </c>
    </row>
    <row r="39845">
      <c r="A39845" s="1" t="n">
        <v>39844</v>
      </c>
      <c r="B39845">
        <f>TEXT(39844, "[$-0E0000]yyyy-mm-dd")</f>
        <v/>
      </c>
      <c r="C39845" t="inlineStr">
        <is>
          <t>2009-01-07</t>
        </is>
      </c>
    </row>
    <row r="39846">
      <c r="A39846" s="1" t="n">
        <v>39845</v>
      </c>
      <c r="B39846">
        <f>TEXT(39845, "[$-0E0000]yyyy-mm-dd")</f>
        <v/>
      </c>
      <c r="C39846" t="inlineStr">
        <is>
          <t>2009-01-08</t>
        </is>
      </c>
    </row>
    <row r="39847">
      <c r="A39847" s="1" t="n">
        <v>39846</v>
      </c>
      <c r="B39847">
        <f>TEXT(39846, "[$-0E0000]yyyy-mm-dd")</f>
        <v/>
      </c>
      <c r="C39847" t="inlineStr">
        <is>
          <t>2009-01-09</t>
        </is>
      </c>
    </row>
    <row r="39848">
      <c r="A39848" s="1" t="n">
        <v>39847</v>
      </c>
      <c r="B39848">
        <f>TEXT(39847, "[$-0E0000]yyyy-mm-dd")</f>
        <v/>
      </c>
      <c r="C39848" t="inlineStr">
        <is>
          <t>2009-01-10</t>
        </is>
      </c>
    </row>
    <row r="39849">
      <c r="A39849" s="1" t="n">
        <v>39848</v>
      </c>
      <c r="B39849">
        <f>TEXT(39848, "[$-0E0000]yyyy-mm-dd")</f>
        <v/>
      </c>
      <c r="C39849" t="inlineStr">
        <is>
          <t>2009-01-11</t>
        </is>
      </c>
    </row>
    <row r="39850">
      <c r="A39850" s="1" t="n">
        <v>39849</v>
      </c>
      <c r="B39850">
        <f>TEXT(39849, "[$-0E0000]yyyy-mm-dd")</f>
        <v/>
      </c>
      <c r="C39850" t="inlineStr">
        <is>
          <t>2009-01-12</t>
        </is>
      </c>
    </row>
    <row r="39851">
      <c r="A39851" s="1" t="n">
        <v>39850</v>
      </c>
      <c r="B39851">
        <f>TEXT(39850, "[$-0E0000]yyyy-mm-dd")</f>
        <v/>
      </c>
      <c r="C39851" t="inlineStr">
        <is>
          <t>2009-01-13</t>
        </is>
      </c>
    </row>
    <row r="39852">
      <c r="A39852" s="1" t="n">
        <v>39851</v>
      </c>
      <c r="B39852">
        <f>TEXT(39851, "[$-0E0000]yyyy-mm-dd")</f>
        <v/>
      </c>
      <c r="C39852" t="inlineStr">
        <is>
          <t>2009-01-14</t>
        </is>
      </c>
    </row>
    <row r="39853">
      <c r="A39853" s="1" t="n">
        <v>39852</v>
      </c>
      <c r="B39853">
        <f>TEXT(39852, "[$-0E0000]yyyy-mm-dd")</f>
        <v/>
      </c>
      <c r="C39853" t="inlineStr">
        <is>
          <t>2009-01-15</t>
        </is>
      </c>
    </row>
    <row r="39854">
      <c r="A39854" s="1" t="n">
        <v>39853</v>
      </c>
      <c r="B39854">
        <f>TEXT(39853, "[$-0E0000]yyyy-mm-dd")</f>
        <v/>
      </c>
      <c r="C39854" t="inlineStr">
        <is>
          <t>2009-01-16</t>
        </is>
      </c>
    </row>
    <row r="39855">
      <c r="A39855" s="1" t="n">
        <v>39854</v>
      </c>
      <c r="B39855">
        <f>TEXT(39854, "[$-0E0000]yyyy-mm-dd")</f>
        <v/>
      </c>
      <c r="C39855" t="inlineStr">
        <is>
          <t>2009-01-17</t>
        </is>
      </c>
    </row>
    <row r="39856">
      <c r="A39856" s="1" t="n">
        <v>39855</v>
      </c>
      <c r="B39856">
        <f>TEXT(39855, "[$-0E0000]yyyy-mm-dd")</f>
        <v/>
      </c>
      <c r="C39856" t="inlineStr">
        <is>
          <t>2009-01-18</t>
        </is>
      </c>
    </row>
    <row r="39857">
      <c r="A39857" s="1" t="n">
        <v>39856</v>
      </c>
      <c r="B39857">
        <f>TEXT(39856, "[$-0E0000]yyyy-mm-dd")</f>
        <v/>
      </c>
      <c r="C39857" t="inlineStr">
        <is>
          <t>2009-01-19</t>
        </is>
      </c>
    </row>
    <row r="39858">
      <c r="A39858" s="1" t="n">
        <v>39857</v>
      </c>
      <c r="B39858">
        <f>TEXT(39857, "[$-0E0000]yyyy-mm-dd")</f>
        <v/>
      </c>
      <c r="C39858" t="inlineStr">
        <is>
          <t>2009-01-20</t>
        </is>
      </c>
    </row>
    <row r="39859">
      <c r="A39859" s="1" t="n">
        <v>39858</v>
      </c>
      <c r="B39859">
        <f>TEXT(39858, "[$-0E0000]yyyy-mm-dd")</f>
        <v/>
      </c>
      <c r="C39859" t="inlineStr">
        <is>
          <t>2009-01-21</t>
        </is>
      </c>
    </row>
    <row r="39860">
      <c r="A39860" s="1" t="n">
        <v>39859</v>
      </c>
      <c r="B39860">
        <f>TEXT(39859, "[$-0E0000]yyyy-mm-dd")</f>
        <v/>
      </c>
      <c r="C39860" t="inlineStr">
        <is>
          <t>2009-01-22</t>
        </is>
      </c>
    </row>
    <row r="39861">
      <c r="A39861" s="1" t="n">
        <v>39860</v>
      </c>
      <c r="B39861">
        <f>TEXT(39860, "[$-0E0000]yyyy-mm-dd")</f>
        <v/>
      </c>
      <c r="C39861" t="inlineStr">
        <is>
          <t>2009-01-23</t>
        </is>
      </c>
    </row>
    <row r="39862">
      <c r="A39862" s="1" t="n">
        <v>39861</v>
      </c>
      <c r="B39862">
        <f>TEXT(39861, "[$-0E0000]yyyy-mm-dd")</f>
        <v/>
      </c>
      <c r="C39862" t="inlineStr">
        <is>
          <t>2009-01-24</t>
        </is>
      </c>
    </row>
    <row r="39863">
      <c r="A39863" s="1" t="n">
        <v>39862</v>
      </c>
      <c r="B39863">
        <f>TEXT(39862, "[$-0E0000]yyyy-mm-dd")</f>
        <v/>
      </c>
      <c r="C39863" t="inlineStr">
        <is>
          <t>2009-01-25</t>
        </is>
      </c>
    </row>
    <row r="39864">
      <c r="A39864" s="1" t="n">
        <v>39863</v>
      </c>
      <c r="B39864">
        <f>TEXT(39863, "[$-0E0000]yyyy-mm-dd")</f>
        <v/>
      </c>
      <c r="C39864" t="inlineStr">
        <is>
          <t>2009-01-26</t>
        </is>
      </c>
    </row>
    <row r="39865">
      <c r="A39865" s="1" t="n">
        <v>39864</v>
      </c>
      <c r="B39865">
        <f>TEXT(39864, "[$-0E0000]yyyy-mm-dd")</f>
        <v/>
      </c>
      <c r="C39865" t="inlineStr">
        <is>
          <t>2009-01-27</t>
        </is>
      </c>
    </row>
    <row r="39866">
      <c r="A39866" s="1" t="n">
        <v>39865</v>
      </c>
      <c r="B39866">
        <f>TEXT(39865, "[$-0E0000]yyyy-mm-dd")</f>
        <v/>
      </c>
      <c r="C39866" t="inlineStr">
        <is>
          <t>2009-01-28</t>
        </is>
      </c>
    </row>
    <row r="39867">
      <c r="A39867" s="1" t="n">
        <v>39866</v>
      </c>
      <c r="B39867">
        <f>TEXT(39866, "[$-0E0000]yyyy-mm-dd")</f>
        <v/>
      </c>
      <c r="C39867" t="inlineStr">
        <is>
          <t>2009-01-29</t>
        </is>
      </c>
    </row>
    <row r="39868">
      <c r="A39868" s="1" t="n">
        <v>39867</v>
      </c>
      <c r="B39868">
        <f>TEXT(39867, "[$-0E0000]yyyy-mm-dd")</f>
        <v/>
      </c>
      <c r="C39868" t="inlineStr">
        <is>
          <t>2009-01-30</t>
        </is>
      </c>
    </row>
    <row r="39869">
      <c r="A39869" s="1" t="n">
        <v>39868</v>
      </c>
      <c r="B39869">
        <f>TEXT(39868, "[$-0E0000]yyyy-mm-dd")</f>
        <v/>
      </c>
      <c r="C39869" t="inlineStr">
        <is>
          <t>2009-02-01</t>
        </is>
      </c>
    </row>
    <row r="39870">
      <c r="A39870" s="1" t="n">
        <v>39869</v>
      </c>
      <c r="B39870">
        <f>TEXT(39869, "[$-0E0000]yyyy-mm-dd")</f>
        <v/>
      </c>
      <c r="C39870" t="inlineStr">
        <is>
          <t>2009-02-02</t>
        </is>
      </c>
    </row>
    <row r="39871">
      <c r="A39871" s="1" t="n">
        <v>39870</v>
      </c>
      <c r="B39871">
        <f>TEXT(39870, "[$-0E0000]yyyy-mm-dd")</f>
        <v/>
      </c>
      <c r="C39871" t="inlineStr">
        <is>
          <t>2009-02-03</t>
        </is>
      </c>
    </row>
    <row r="39872">
      <c r="A39872" s="1" t="n">
        <v>39871</v>
      </c>
      <c r="B39872">
        <f>TEXT(39871, "[$-0E0000]yyyy-mm-dd")</f>
        <v/>
      </c>
      <c r="C39872" t="inlineStr">
        <is>
          <t>2009-02-04</t>
        </is>
      </c>
    </row>
    <row r="39873">
      <c r="A39873" s="1" t="n">
        <v>39872</v>
      </c>
      <c r="B39873">
        <f>TEXT(39872, "[$-0E0000]yyyy-mm-dd")</f>
        <v/>
      </c>
      <c r="C39873" t="inlineStr">
        <is>
          <t>2009-02-05</t>
        </is>
      </c>
    </row>
    <row r="39874">
      <c r="A39874" s="1" t="n">
        <v>39873</v>
      </c>
      <c r="B39874">
        <f>TEXT(39873, "[$-0E0000]yyyy-mm-dd")</f>
        <v/>
      </c>
      <c r="C39874" t="inlineStr">
        <is>
          <t>2009-02-06</t>
        </is>
      </c>
    </row>
    <row r="39875">
      <c r="A39875" s="1" t="n">
        <v>39874</v>
      </c>
      <c r="B39875">
        <f>TEXT(39874, "[$-0E0000]yyyy-mm-dd")</f>
        <v/>
      </c>
      <c r="C39875" t="inlineStr">
        <is>
          <t>2009-02-07</t>
        </is>
      </c>
    </row>
    <row r="39876">
      <c r="A39876" s="1" t="n">
        <v>39875</v>
      </c>
      <c r="B39876">
        <f>TEXT(39875, "[$-0E0000]yyyy-mm-dd")</f>
        <v/>
      </c>
      <c r="C39876" t="inlineStr">
        <is>
          <t>2009-02-08</t>
        </is>
      </c>
    </row>
    <row r="39877">
      <c r="A39877" s="1" t="n">
        <v>39876</v>
      </c>
      <c r="B39877">
        <f>TEXT(39876, "[$-0E0000]yyyy-mm-dd")</f>
        <v/>
      </c>
      <c r="C39877" t="inlineStr">
        <is>
          <t>2009-02-09</t>
        </is>
      </c>
    </row>
    <row r="39878">
      <c r="A39878" s="1" t="n">
        <v>39877</v>
      </c>
      <c r="B39878">
        <f>TEXT(39877, "[$-0E0000]yyyy-mm-dd")</f>
        <v/>
      </c>
      <c r="C39878" t="inlineStr">
        <is>
          <t>2009-02-10</t>
        </is>
      </c>
    </row>
    <row r="39879">
      <c r="A39879" s="1" t="n">
        <v>39878</v>
      </c>
      <c r="B39879">
        <f>TEXT(39878, "[$-0E0000]yyyy-mm-dd")</f>
        <v/>
      </c>
      <c r="C39879" t="inlineStr">
        <is>
          <t>2009-02-11</t>
        </is>
      </c>
    </row>
    <row r="39880">
      <c r="A39880" s="1" t="n">
        <v>39879</v>
      </c>
      <c r="B39880">
        <f>TEXT(39879, "[$-0E0000]yyyy-mm-dd")</f>
        <v/>
      </c>
      <c r="C39880" t="inlineStr">
        <is>
          <t>2009-02-12</t>
        </is>
      </c>
    </row>
    <row r="39881">
      <c r="A39881" s="1" t="n">
        <v>39880</v>
      </c>
      <c r="B39881">
        <f>TEXT(39880, "[$-0E0000]yyyy-mm-dd")</f>
        <v/>
      </c>
      <c r="C39881" t="inlineStr">
        <is>
          <t>2009-02-13</t>
        </is>
      </c>
    </row>
    <row r="39882">
      <c r="A39882" s="1" t="n">
        <v>39881</v>
      </c>
      <c r="B39882">
        <f>TEXT(39881, "[$-0E0000]yyyy-mm-dd")</f>
        <v/>
      </c>
      <c r="C39882" t="inlineStr">
        <is>
          <t>2009-02-14</t>
        </is>
      </c>
    </row>
    <row r="39883">
      <c r="A39883" s="1" t="n">
        <v>39882</v>
      </c>
      <c r="B39883">
        <f>TEXT(39882, "[$-0E0000]yyyy-mm-dd")</f>
        <v/>
      </c>
      <c r="C39883" t="inlineStr">
        <is>
          <t>2009-02-15</t>
        </is>
      </c>
    </row>
    <row r="39884">
      <c r="A39884" s="1" t="n">
        <v>39883</v>
      </c>
      <c r="B39884">
        <f>TEXT(39883, "[$-0E0000]yyyy-mm-dd")</f>
        <v/>
      </c>
      <c r="C39884" t="inlineStr">
        <is>
          <t>2009-02-16</t>
        </is>
      </c>
    </row>
    <row r="39885">
      <c r="A39885" s="1" t="n">
        <v>39884</v>
      </c>
      <c r="B39885">
        <f>TEXT(39884, "[$-0E0000]yyyy-mm-dd")</f>
        <v/>
      </c>
      <c r="C39885" t="inlineStr">
        <is>
          <t>2009-02-17</t>
        </is>
      </c>
    </row>
    <row r="39886">
      <c r="A39886" s="1" t="n">
        <v>39885</v>
      </c>
      <c r="B39886">
        <f>TEXT(39885, "[$-0E0000]yyyy-mm-dd")</f>
        <v/>
      </c>
      <c r="C39886" t="inlineStr">
        <is>
          <t>2009-02-18</t>
        </is>
      </c>
    </row>
    <row r="39887">
      <c r="A39887" s="1" t="n">
        <v>39886</v>
      </c>
      <c r="B39887">
        <f>TEXT(39886, "[$-0E0000]yyyy-mm-dd")</f>
        <v/>
      </c>
      <c r="C39887" t="inlineStr">
        <is>
          <t>2009-02-19</t>
        </is>
      </c>
    </row>
    <row r="39888">
      <c r="A39888" s="1" t="n">
        <v>39887</v>
      </c>
      <c r="B39888">
        <f>TEXT(39887, "[$-0E0000]yyyy-mm-dd")</f>
        <v/>
      </c>
      <c r="C39888" t="inlineStr">
        <is>
          <t>2009-02-20</t>
        </is>
      </c>
    </row>
    <row r="39889">
      <c r="A39889" s="1" t="n">
        <v>39888</v>
      </c>
      <c r="B39889">
        <f>TEXT(39888, "[$-0E0000]yyyy-mm-dd")</f>
        <v/>
      </c>
      <c r="C39889" t="inlineStr">
        <is>
          <t>2009-02-21</t>
        </is>
      </c>
    </row>
    <row r="39890">
      <c r="A39890" s="1" t="n">
        <v>39889</v>
      </c>
      <c r="B39890">
        <f>TEXT(39889, "[$-0E0000]yyyy-mm-dd")</f>
        <v/>
      </c>
      <c r="C39890" t="inlineStr">
        <is>
          <t>2009-02-22</t>
        </is>
      </c>
    </row>
    <row r="39891">
      <c r="A39891" s="1" t="n">
        <v>39890</v>
      </c>
      <c r="B39891">
        <f>TEXT(39890, "[$-0E0000]yyyy-mm-dd")</f>
        <v/>
      </c>
      <c r="C39891" t="inlineStr">
        <is>
          <t>2009-02-23</t>
        </is>
      </c>
    </row>
    <row r="39892">
      <c r="A39892" s="1" t="n">
        <v>39891</v>
      </c>
      <c r="B39892">
        <f>TEXT(39891, "[$-0E0000]yyyy-mm-dd")</f>
        <v/>
      </c>
      <c r="C39892" t="inlineStr">
        <is>
          <t>2009-02-24</t>
        </is>
      </c>
    </row>
    <row r="39893">
      <c r="A39893" s="1" t="n">
        <v>39892</v>
      </c>
      <c r="B39893">
        <f>TEXT(39892, "[$-0E0000]yyyy-mm-dd")</f>
        <v/>
      </c>
      <c r="C39893" t="inlineStr">
        <is>
          <t>2009-02-25</t>
        </is>
      </c>
    </row>
    <row r="39894">
      <c r="A39894" s="1" t="n">
        <v>39893</v>
      </c>
      <c r="B39894">
        <f>TEXT(39893, "[$-0E0000]yyyy-mm-dd")</f>
        <v/>
      </c>
      <c r="C39894" t="inlineStr">
        <is>
          <t>2009-02-26</t>
        </is>
      </c>
    </row>
    <row r="39895">
      <c r="A39895" s="1" t="n">
        <v>39894</v>
      </c>
      <c r="B39895">
        <f>TEXT(39894, "[$-0E0000]yyyy-mm-dd")</f>
        <v/>
      </c>
      <c r="C39895" t="inlineStr">
        <is>
          <t>2009-02-27</t>
        </is>
      </c>
    </row>
    <row r="39896">
      <c r="A39896" s="1" t="n">
        <v>39895</v>
      </c>
      <c r="B39896">
        <f>TEXT(39895, "[$-0E0000]yyyy-mm-dd")</f>
        <v/>
      </c>
      <c r="C39896" t="inlineStr">
        <is>
          <t>2009-02-28</t>
        </is>
      </c>
    </row>
    <row r="39897">
      <c r="A39897" s="1" t="n">
        <v>39896</v>
      </c>
      <c r="B39897">
        <f>TEXT(39896, "[$-0E0000]yyyy-mm-dd")</f>
        <v/>
      </c>
      <c r="C39897" t="inlineStr">
        <is>
          <t>2009-02-29</t>
        </is>
      </c>
    </row>
    <row r="39898">
      <c r="A39898" s="1" t="n">
        <v>39897</v>
      </c>
      <c r="B39898">
        <f>TEXT(39897, "[$-0E0000]yyyy-mm-dd")</f>
        <v/>
      </c>
      <c r="C39898" t="inlineStr">
        <is>
          <t>2009-02-30</t>
        </is>
      </c>
    </row>
    <row r="39899">
      <c r="A39899" s="1" t="n">
        <v>39898</v>
      </c>
      <c r="B39899">
        <f>TEXT(39898, "[$-0E0000]yyyy-mm-dd")</f>
        <v/>
      </c>
      <c r="C39899" t="inlineStr">
        <is>
          <t>2009-03-01</t>
        </is>
      </c>
    </row>
    <row r="39900">
      <c r="A39900" s="1" t="n">
        <v>39899</v>
      </c>
      <c r="B39900">
        <f>TEXT(39899, "[$-0E0000]yyyy-mm-dd")</f>
        <v/>
      </c>
      <c r="C39900" t="inlineStr">
        <is>
          <t>2009-03-02</t>
        </is>
      </c>
    </row>
    <row r="39901">
      <c r="A39901" s="1" t="n">
        <v>39900</v>
      </c>
      <c r="B39901">
        <f>TEXT(39900, "[$-0E0000]yyyy-mm-dd")</f>
        <v/>
      </c>
      <c r="C39901" t="inlineStr">
        <is>
          <t>2009-03-03</t>
        </is>
      </c>
    </row>
    <row r="39902">
      <c r="A39902" s="1" t="n">
        <v>39901</v>
      </c>
      <c r="B39902">
        <f>TEXT(39901, "[$-0E0000]yyyy-mm-dd")</f>
        <v/>
      </c>
      <c r="C39902" t="inlineStr">
        <is>
          <t>2009-03-04</t>
        </is>
      </c>
    </row>
    <row r="39903">
      <c r="A39903" s="1" t="n">
        <v>39902</v>
      </c>
      <c r="B39903">
        <f>TEXT(39902, "[$-0E0000]yyyy-mm-dd")</f>
        <v/>
      </c>
      <c r="C39903" t="inlineStr">
        <is>
          <t>2009-03-05</t>
        </is>
      </c>
    </row>
    <row r="39904">
      <c r="A39904" s="1" t="n">
        <v>39903</v>
      </c>
      <c r="B39904">
        <f>TEXT(39903, "[$-0E0000]yyyy-mm-dd")</f>
        <v/>
      </c>
      <c r="C39904" t="inlineStr">
        <is>
          <t>2009-03-06</t>
        </is>
      </c>
    </row>
    <row r="39905">
      <c r="A39905" s="1" t="n">
        <v>39904</v>
      </c>
      <c r="B39905">
        <f>TEXT(39904, "[$-0E0000]yyyy-mm-dd")</f>
        <v/>
      </c>
      <c r="C39905" t="inlineStr">
        <is>
          <t>2009-03-07</t>
        </is>
      </c>
    </row>
    <row r="39906">
      <c r="A39906" s="1" t="n">
        <v>39905</v>
      </c>
      <c r="B39906">
        <f>TEXT(39905, "[$-0E0000]yyyy-mm-dd")</f>
        <v/>
      </c>
      <c r="C39906" t="inlineStr">
        <is>
          <t>2009-03-08</t>
        </is>
      </c>
    </row>
    <row r="39907">
      <c r="A39907" s="1" t="n">
        <v>39906</v>
      </c>
      <c r="B39907">
        <f>TEXT(39906, "[$-0E0000]yyyy-mm-dd")</f>
        <v/>
      </c>
      <c r="C39907" t="inlineStr">
        <is>
          <t>2009-03-09</t>
        </is>
      </c>
    </row>
    <row r="39908">
      <c r="A39908" s="1" t="n">
        <v>39907</v>
      </c>
      <c r="B39908">
        <f>TEXT(39907, "[$-0E0000]yyyy-mm-dd")</f>
        <v/>
      </c>
      <c r="C39908" t="inlineStr">
        <is>
          <t>2009-03-10</t>
        </is>
      </c>
    </row>
    <row r="39909">
      <c r="A39909" s="1" t="n">
        <v>39908</v>
      </c>
      <c r="B39909">
        <f>TEXT(39908, "[$-0E0000]yyyy-mm-dd")</f>
        <v/>
      </c>
      <c r="C39909" t="inlineStr">
        <is>
          <t>2009-03-11</t>
        </is>
      </c>
    </row>
    <row r="39910">
      <c r="A39910" s="1" t="n">
        <v>39909</v>
      </c>
      <c r="B39910">
        <f>TEXT(39909, "[$-0E0000]yyyy-mm-dd")</f>
        <v/>
      </c>
      <c r="C39910" t="inlineStr">
        <is>
          <t>2009-03-12</t>
        </is>
      </c>
    </row>
    <row r="39911">
      <c r="A39911" s="1" t="n">
        <v>39910</v>
      </c>
      <c r="B39911">
        <f>TEXT(39910, "[$-0E0000]yyyy-mm-dd")</f>
        <v/>
      </c>
      <c r="C39911" t="inlineStr">
        <is>
          <t>2009-03-13</t>
        </is>
      </c>
    </row>
    <row r="39912">
      <c r="A39912" s="1" t="n">
        <v>39911</v>
      </c>
      <c r="B39912">
        <f>TEXT(39911, "[$-0E0000]yyyy-mm-dd")</f>
        <v/>
      </c>
      <c r="C39912" t="inlineStr">
        <is>
          <t>2009-03-14</t>
        </is>
      </c>
    </row>
    <row r="39913">
      <c r="A39913" s="1" t="n">
        <v>39912</v>
      </c>
      <c r="B39913">
        <f>TEXT(39912, "[$-0E0000]yyyy-mm-dd")</f>
        <v/>
      </c>
      <c r="C39913" t="inlineStr">
        <is>
          <t>2009-03-15</t>
        </is>
      </c>
    </row>
    <row r="39914">
      <c r="A39914" s="1" t="n">
        <v>39913</v>
      </c>
      <c r="B39914">
        <f>TEXT(39913, "[$-0E0000]yyyy-mm-dd")</f>
        <v/>
      </c>
      <c r="C39914" t="inlineStr">
        <is>
          <t>2009-03-16</t>
        </is>
      </c>
    </row>
    <row r="39915">
      <c r="A39915" s="1" t="n">
        <v>39914</v>
      </c>
      <c r="B39915">
        <f>TEXT(39914, "[$-0E0000]yyyy-mm-dd")</f>
        <v/>
      </c>
      <c r="C39915" t="inlineStr">
        <is>
          <t>2009-03-17</t>
        </is>
      </c>
    </row>
    <row r="39916">
      <c r="A39916" s="1" t="n">
        <v>39915</v>
      </c>
      <c r="B39916">
        <f>TEXT(39915, "[$-0E0000]yyyy-mm-dd")</f>
        <v/>
      </c>
      <c r="C39916" t="inlineStr">
        <is>
          <t>2009-03-18</t>
        </is>
      </c>
    </row>
    <row r="39917">
      <c r="A39917" s="1" t="n">
        <v>39916</v>
      </c>
      <c r="B39917">
        <f>TEXT(39916, "[$-0E0000]yyyy-mm-dd")</f>
        <v/>
      </c>
      <c r="C39917" t="inlineStr">
        <is>
          <t>2009-03-19</t>
        </is>
      </c>
    </row>
    <row r="39918">
      <c r="A39918" s="1" t="n">
        <v>39917</v>
      </c>
      <c r="B39918">
        <f>TEXT(39917, "[$-0E0000]yyyy-mm-dd")</f>
        <v/>
      </c>
      <c r="C39918" t="inlineStr">
        <is>
          <t>2009-03-20</t>
        </is>
      </c>
    </row>
    <row r="39919">
      <c r="A39919" s="1" t="n">
        <v>39918</v>
      </c>
      <c r="B39919">
        <f>TEXT(39918, "[$-0E0000]yyyy-mm-dd")</f>
        <v/>
      </c>
      <c r="C39919" t="inlineStr">
        <is>
          <t>2009-03-21</t>
        </is>
      </c>
    </row>
    <row r="39920">
      <c r="A39920" s="1" t="n">
        <v>39919</v>
      </c>
      <c r="B39920">
        <f>TEXT(39919, "[$-0E0000]yyyy-mm-dd")</f>
        <v/>
      </c>
      <c r="C39920" t="inlineStr">
        <is>
          <t>2009-03-22</t>
        </is>
      </c>
    </row>
    <row r="39921">
      <c r="A39921" s="1" t="n">
        <v>39920</v>
      </c>
      <c r="B39921">
        <f>TEXT(39920, "[$-0E0000]yyyy-mm-dd")</f>
        <v/>
      </c>
      <c r="C39921" t="inlineStr">
        <is>
          <t>2009-03-23</t>
        </is>
      </c>
    </row>
    <row r="39922">
      <c r="A39922" s="1" t="n">
        <v>39921</v>
      </c>
      <c r="B39922">
        <f>TEXT(39921, "[$-0E0000]yyyy-mm-dd")</f>
        <v/>
      </c>
      <c r="C39922" t="inlineStr">
        <is>
          <t>2009-03-24</t>
        </is>
      </c>
    </row>
    <row r="39923">
      <c r="A39923" s="1" t="n">
        <v>39922</v>
      </c>
      <c r="B39923">
        <f>TEXT(39922, "[$-0E0000]yyyy-mm-dd")</f>
        <v/>
      </c>
      <c r="C39923" t="inlineStr">
        <is>
          <t>2009-03-25</t>
        </is>
      </c>
    </row>
    <row r="39924">
      <c r="A39924" s="1" t="n">
        <v>39923</v>
      </c>
      <c r="B39924">
        <f>TEXT(39923, "[$-0E0000]yyyy-mm-dd")</f>
        <v/>
      </c>
      <c r="C39924" t="inlineStr">
        <is>
          <t>2009-03-26</t>
        </is>
      </c>
    </row>
    <row r="39925">
      <c r="A39925" s="1" t="n">
        <v>39924</v>
      </c>
      <c r="B39925">
        <f>TEXT(39924, "[$-0E0000]yyyy-mm-dd")</f>
        <v/>
      </c>
      <c r="C39925" t="inlineStr">
        <is>
          <t>2009-03-27</t>
        </is>
      </c>
    </row>
    <row r="39926">
      <c r="A39926" s="1" t="n">
        <v>39925</v>
      </c>
      <c r="B39926">
        <f>TEXT(39925, "[$-0E0000]yyyy-mm-dd")</f>
        <v/>
      </c>
      <c r="C39926" t="inlineStr">
        <is>
          <t>2009-03-28</t>
        </is>
      </c>
    </row>
    <row r="39927">
      <c r="A39927" s="1" t="n">
        <v>39926</v>
      </c>
      <c r="B39927">
        <f>TEXT(39926, "[$-0E0000]yyyy-mm-dd")</f>
        <v/>
      </c>
      <c r="C39927" t="inlineStr">
        <is>
          <t>2009-03-29</t>
        </is>
      </c>
    </row>
    <row r="39928">
      <c r="A39928" s="1" t="n">
        <v>39927</v>
      </c>
      <c r="B39928">
        <f>TEXT(39927, "[$-0E0000]yyyy-mm-dd")</f>
        <v/>
      </c>
      <c r="C39928" t="inlineStr">
        <is>
          <t>2009-04-01</t>
        </is>
      </c>
    </row>
    <row r="39929">
      <c r="A39929" s="1" t="n">
        <v>39928</v>
      </c>
      <c r="B39929">
        <f>TEXT(39928, "[$-0E0000]yyyy-mm-dd")</f>
        <v/>
      </c>
      <c r="C39929" t="inlineStr">
        <is>
          <t>2009-04-02</t>
        </is>
      </c>
    </row>
    <row r="39930">
      <c r="A39930" s="1" t="n">
        <v>39929</v>
      </c>
      <c r="B39930">
        <f>TEXT(39929, "[$-0E0000]yyyy-mm-dd")</f>
        <v/>
      </c>
      <c r="C39930" t="inlineStr">
        <is>
          <t>2009-04-03</t>
        </is>
      </c>
    </row>
    <row r="39931">
      <c r="A39931" s="1" t="n">
        <v>39930</v>
      </c>
      <c r="B39931">
        <f>TEXT(39930, "[$-0E0000]yyyy-mm-dd")</f>
        <v/>
      </c>
      <c r="C39931" t="inlineStr">
        <is>
          <t>2009-04-04</t>
        </is>
      </c>
    </row>
    <row r="39932">
      <c r="A39932" s="1" t="n">
        <v>39931</v>
      </c>
      <c r="B39932">
        <f>TEXT(39931, "[$-0E0000]yyyy-mm-dd")</f>
        <v/>
      </c>
      <c r="C39932" t="inlineStr">
        <is>
          <t>2009-04-05</t>
        </is>
      </c>
    </row>
    <row r="39933">
      <c r="A39933" s="1" t="n">
        <v>39932</v>
      </c>
      <c r="B39933">
        <f>TEXT(39932, "[$-0E0000]yyyy-mm-dd")</f>
        <v/>
      </c>
      <c r="C39933" t="inlineStr">
        <is>
          <t>2009-04-06</t>
        </is>
      </c>
    </row>
    <row r="39934">
      <c r="A39934" s="1" t="n">
        <v>39933</v>
      </c>
      <c r="B39934">
        <f>TEXT(39933, "[$-0E0000]yyyy-mm-dd")</f>
        <v/>
      </c>
      <c r="C39934" t="inlineStr">
        <is>
          <t>2009-04-07</t>
        </is>
      </c>
    </row>
    <row r="39935">
      <c r="A39935" s="1" t="n">
        <v>39934</v>
      </c>
      <c r="B39935">
        <f>TEXT(39934, "[$-0E0000]yyyy-mm-dd")</f>
        <v/>
      </c>
      <c r="C39935" t="inlineStr">
        <is>
          <t>2009-04-08</t>
        </is>
      </c>
    </row>
    <row r="39936">
      <c r="A39936" s="1" t="n">
        <v>39935</v>
      </c>
      <c r="B39936">
        <f>TEXT(39935, "[$-0E0000]yyyy-mm-dd")</f>
        <v/>
      </c>
      <c r="C39936" t="inlineStr">
        <is>
          <t>2009-04-09</t>
        </is>
      </c>
    </row>
    <row r="39937">
      <c r="A39937" s="1" t="n">
        <v>39936</v>
      </c>
      <c r="B39937">
        <f>TEXT(39936, "[$-0E0000]yyyy-mm-dd")</f>
        <v/>
      </c>
      <c r="C39937" t="inlineStr">
        <is>
          <t>2009-04-10</t>
        </is>
      </c>
    </row>
    <row r="39938">
      <c r="A39938" s="1" t="n">
        <v>39937</v>
      </c>
      <c r="B39938">
        <f>TEXT(39937, "[$-0E0000]yyyy-mm-dd")</f>
        <v/>
      </c>
      <c r="C39938" t="inlineStr">
        <is>
          <t>2009-04-11</t>
        </is>
      </c>
    </row>
    <row r="39939">
      <c r="A39939" s="1" t="n">
        <v>39938</v>
      </c>
      <c r="B39939">
        <f>TEXT(39938, "[$-0E0000]yyyy-mm-dd")</f>
        <v/>
      </c>
      <c r="C39939" t="inlineStr">
        <is>
          <t>2009-04-12</t>
        </is>
      </c>
    </row>
    <row r="39940">
      <c r="A39940" s="1" t="n">
        <v>39939</v>
      </c>
      <c r="B39940">
        <f>TEXT(39939, "[$-0E0000]yyyy-mm-dd")</f>
        <v/>
      </c>
      <c r="C39940" t="inlineStr">
        <is>
          <t>2009-04-13</t>
        </is>
      </c>
    </row>
    <row r="39941">
      <c r="A39941" s="1" t="n">
        <v>39940</v>
      </c>
      <c r="B39941">
        <f>TEXT(39940, "[$-0E0000]yyyy-mm-dd")</f>
        <v/>
      </c>
      <c r="C39941" t="inlineStr">
        <is>
          <t>2009-04-14</t>
        </is>
      </c>
    </row>
    <row r="39942">
      <c r="A39942" s="1" t="n">
        <v>39941</v>
      </c>
      <c r="B39942">
        <f>TEXT(39941, "[$-0E0000]yyyy-mm-dd")</f>
        <v/>
      </c>
      <c r="C39942" t="inlineStr">
        <is>
          <t>2009-04-15</t>
        </is>
      </c>
    </row>
    <row r="39943">
      <c r="A39943" s="1" t="n">
        <v>39942</v>
      </c>
      <c r="B39943">
        <f>TEXT(39942, "[$-0E0000]yyyy-mm-dd")</f>
        <v/>
      </c>
      <c r="C39943" t="inlineStr">
        <is>
          <t>2009-04-16</t>
        </is>
      </c>
    </row>
    <row r="39944">
      <c r="A39944" s="1" t="n">
        <v>39943</v>
      </c>
      <c r="B39944">
        <f>TEXT(39943, "[$-0E0000]yyyy-mm-dd")</f>
        <v/>
      </c>
      <c r="C39944" t="inlineStr">
        <is>
          <t>2009-04-17</t>
        </is>
      </c>
    </row>
    <row r="39945">
      <c r="A39945" s="1" t="n">
        <v>39944</v>
      </c>
      <c r="B39945">
        <f>TEXT(39944, "[$-0E0000]yyyy-mm-dd")</f>
        <v/>
      </c>
      <c r="C39945" t="inlineStr">
        <is>
          <t>2009-04-18</t>
        </is>
      </c>
    </row>
    <row r="39946">
      <c r="A39946" s="1" t="n">
        <v>39945</v>
      </c>
      <c r="B39946">
        <f>TEXT(39945, "[$-0E0000]yyyy-mm-dd")</f>
        <v/>
      </c>
      <c r="C39946" t="inlineStr">
        <is>
          <t>2009-04-19</t>
        </is>
      </c>
    </row>
    <row r="39947">
      <c r="A39947" s="1" t="n">
        <v>39946</v>
      </c>
      <c r="B39947">
        <f>TEXT(39946, "[$-0E0000]yyyy-mm-dd")</f>
        <v/>
      </c>
      <c r="C39947" t="inlineStr">
        <is>
          <t>2009-04-20</t>
        </is>
      </c>
    </row>
    <row r="39948">
      <c r="A39948" s="1" t="n">
        <v>39947</v>
      </c>
      <c r="B39948">
        <f>TEXT(39947, "[$-0E0000]yyyy-mm-dd")</f>
        <v/>
      </c>
      <c r="C39948" t="inlineStr">
        <is>
          <t>2009-04-21</t>
        </is>
      </c>
    </row>
    <row r="39949">
      <c r="A39949" s="1" t="n">
        <v>39948</v>
      </c>
      <c r="B39949">
        <f>TEXT(39948, "[$-0E0000]yyyy-mm-dd")</f>
        <v/>
      </c>
      <c r="C39949" t="inlineStr">
        <is>
          <t>2009-04-22</t>
        </is>
      </c>
    </row>
    <row r="39950">
      <c r="A39950" s="1" t="n">
        <v>39949</v>
      </c>
      <c r="B39950">
        <f>TEXT(39949, "[$-0E0000]yyyy-mm-dd")</f>
        <v/>
      </c>
      <c r="C39950" t="inlineStr">
        <is>
          <t>2009-04-23</t>
        </is>
      </c>
    </row>
    <row r="39951">
      <c r="A39951" s="1" t="n">
        <v>39950</v>
      </c>
      <c r="B39951">
        <f>TEXT(39950, "[$-0E0000]yyyy-mm-dd")</f>
        <v/>
      </c>
      <c r="C39951" t="inlineStr">
        <is>
          <t>2009-04-24</t>
        </is>
      </c>
    </row>
    <row r="39952">
      <c r="A39952" s="1" t="n">
        <v>39951</v>
      </c>
      <c r="B39952">
        <f>TEXT(39951, "[$-0E0000]yyyy-mm-dd")</f>
        <v/>
      </c>
      <c r="C39952" t="inlineStr">
        <is>
          <t>2009-04-25</t>
        </is>
      </c>
    </row>
    <row r="39953">
      <c r="A39953" s="1" t="n">
        <v>39952</v>
      </c>
      <c r="B39953">
        <f>TEXT(39952, "[$-0E0000]yyyy-mm-dd")</f>
        <v/>
      </c>
      <c r="C39953" t="inlineStr">
        <is>
          <t>2009-04-26</t>
        </is>
      </c>
    </row>
    <row r="39954">
      <c r="A39954" s="1" t="n">
        <v>39953</v>
      </c>
      <c r="B39954">
        <f>TEXT(39953, "[$-0E0000]yyyy-mm-dd")</f>
        <v/>
      </c>
      <c r="C39954" t="inlineStr">
        <is>
          <t>2009-04-27</t>
        </is>
      </c>
    </row>
    <row r="39955">
      <c r="A39955" s="1" t="n">
        <v>39954</v>
      </c>
      <c r="B39955">
        <f>TEXT(39954, "[$-0E0000]yyyy-mm-dd")</f>
        <v/>
      </c>
      <c r="C39955" t="inlineStr">
        <is>
          <t>2009-04-28</t>
        </is>
      </c>
    </row>
    <row r="39956">
      <c r="A39956" s="1" t="n">
        <v>39955</v>
      </c>
      <c r="B39956">
        <f>TEXT(39955, "[$-0E0000]yyyy-mm-dd")</f>
        <v/>
      </c>
      <c r="C39956" t="inlineStr">
        <is>
          <t>2009-04-29</t>
        </is>
      </c>
    </row>
    <row r="39957">
      <c r="A39957" s="1" t="n">
        <v>39956</v>
      </c>
      <c r="B39957">
        <f>TEXT(39956, "[$-0E0000]yyyy-mm-dd")</f>
        <v/>
      </c>
      <c r="C39957" t="inlineStr">
        <is>
          <t>2009-05-01</t>
        </is>
      </c>
    </row>
    <row r="39958">
      <c r="A39958" s="1" t="n">
        <v>39957</v>
      </c>
      <c r="B39958">
        <f>TEXT(39957, "[$-0E0000]yyyy-mm-dd")</f>
        <v/>
      </c>
      <c r="C39958" t="inlineStr">
        <is>
          <t>2009-05-02</t>
        </is>
      </c>
    </row>
    <row r="39959">
      <c r="A39959" s="1" t="n">
        <v>39958</v>
      </c>
      <c r="B39959">
        <f>TEXT(39958, "[$-0E0000]yyyy-mm-dd")</f>
        <v/>
      </c>
      <c r="C39959" t="inlineStr">
        <is>
          <t>2009-05-03</t>
        </is>
      </c>
    </row>
    <row r="39960">
      <c r="A39960" s="1" t="n">
        <v>39959</v>
      </c>
      <c r="B39960">
        <f>TEXT(39959, "[$-0E0000]yyyy-mm-dd")</f>
        <v/>
      </c>
      <c r="C39960" t="inlineStr">
        <is>
          <t>2009-05-04</t>
        </is>
      </c>
    </row>
    <row r="39961">
      <c r="A39961" s="1" t="n">
        <v>39960</v>
      </c>
      <c r="B39961">
        <f>TEXT(39960, "[$-0E0000]yyyy-mm-dd")</f>
        <v/>
      </c>
      <c r="C39961" t="inlineStr">
        <is>
          <t>2009-05-05</t>
        </is>
      </c>
    </row>
    <row r="39962">
      <c r="A39962" s="1" t="n">
        <v>39961</v>
      </c>
      <c r="B39962">
        <f>TEXT(39961, "[$-0E0000]yyyy-mm-dd")</f>
        <v/>
      </c>
      <c r="C39962" t="inlineStr">
        <is>
          <t>2009-05-06</t>
        </is>
      </c>
    </row>
    <row r="39963">
      <c r="A39963" s="1" t="n">
        <v>39962</v>
      </c>
      <c r="B39963">
        <f>TEXT(39962, "[$-0E0000]yyyy-mm-dd")</f>
        <v/>
      </c>
      <c r="C39963" t="inlineStr">
        <is>
          <t>2009-05-07</t>
        </is>
      </c>
    </row>
    <row r="39964">
      <c r="A39964" s="1" t="n">
        <v>39963</v>
      </c>
      <c r="B39964">
        <f>TEXT(39963, "[$-0E0000]yyyy-mm-dd")</f>
        <v/>
      </c>
      <c r="C39964" t="inlineStr">
        <is>
          <t>2009-05-08</t>
        </is>
      </c>
    </row>
    <row r="39965">
      <c r="A39965" s="1" t="n">
        <v>39964</v>
      </c>
      <c r="B39965">
        <f>TEXT(39964, "[$-0E0000]yyyy-mm-dd")</f>
        <v/>
      </c>
      <c r="C39965" t="inlineStr">
        <is>
          <t>2009-05-09</t>
        </is>
      </c>
    </row>
    <row r="39966">
      <c r="A39966" s="1" t="n">
        <v>39965</v>
      </c>
      <c r="B39966">
        <f>TEXT(39965, "[$-0E0000]yyyy-mm-dd")</f>
        <v/>
      </c>
      <c r="C39966" t="inlineStr">
        <is>
          <t>2009-05-10</t>
        </is>
      </c>
    </row>
    <row r="39967">
      <c r="A39967" s="1" t="n">
        <v>39966</v>
      </c>
      <c r="B39967">
        <f>TEXT(39966, "[$-0E0000]yyyy-mm-dd")</f>
        <v/>
      </c>
      <c r="C39967" t="inlineStr">
        <is>
          <t>2009-05-11</t>
        </is>
      </c>
    </row>
    <row r="39968">
      <c r="A39968" s="1" t="n">
        <v>39967</v>
      </c>
      <c r="B39968">
        <f>TEXT(39967, "[$-0E0000]yyyy-mm-dd")</f>
        <v/>
      </c>
      <c r="C39968" t="inlineStr">
        <is>
          <t>2009-05-12</t>
        </is>
      </c>
    </row>
    <row r="39969">
      <c r="A39969" s="1" t="n">
        <v>39968</v>
      </c>
      <c r="B39969">
        <f>TEXT(39968, "[$-0E0000]yyyy-mm-dd")</f>
        <v/>
      </c>
      <c r="C39969" t="inlineStr">
        <is>
          <t>2009-05-13</t>
        </is>
      </c>
    </row>
    <row r="39970">
      <c r="A39970" s="1" t="n">
        <v>39969</v>
      </c>
      <c r="B39970">
        <f>TEXT(39969, "[$-0E0000]yyyy-mm-dd")</f>
        <v/>
      </c>
      <c r="C39970" t="inlineStr">
        <is>
          <t>2009-05-14</t>
        </is>
      </c>
    </row>
    <row r="39971">
      <c r="A39971" s="1" t="n">
        <v>39970</v>
      </c>
      <c r="B39971">
        <f>TEXT(39970, "[$-0E0000]yyyy-mm-dd")</f>
        <v/>
      </c>
      <c r="C39971" t="inlineStr">
        <is>
          <t>2009-05-15</t>
        </is>
      </c>
    </row>
    <row r="39972">
      <c r="A39972" s="1" t="n">
        <v>39971</v>
      </c>
      <c r="B39972">
        <f>TEXT(39971, "[$-0E0000]yyyy-mm-dd")</f>
        <v/>
      </c>
      <c r="C39972" t="inlineStr">
        <is>
          <t>2009-05-16</t>
        </is>
      </c>
    </row>
    <row r="39973">
      <c r="A39973" s="1" t="n">
        <v>39972</v>
      </c>
      <c r="B39973">
        <f>TEXT(39972, "[$-0E0000]yyyy-mm-dd")</f>
        <v/>
      </c>
      <c r="C39973" t="inlineStr">
        <is>
          <t>2009-05-17</t>
        </is>
      </c>
    </row>
    <row r="39974">
      <c r="A39974" s="1" t="n">
        <v>39973</v>
      </c>
      <c r="B39974">
        <f>TEXT(39973, "[$-0E0000]yyyy-mm-dd")</f>
        <v/>
      </c>
      <c r="C39974" t="inlineStr">
        <is>
          <t>2009-05-18</t>
        </is>
      </c>
    </row>
    <row r="39975">
      <c r="A39975" s="1" t="n">
        <v>39974</v>
      </c>
      <c r="B39975">
        <f>TEXT(39974, "[$-0E0000]yyyy-mm-dd")</f>
        <v/>
      </c>
      <c r="C39975" t="inlineStr">
        <is>
          <t>2009-05-19</t>
        </is>
      </c>
    </row>
    <row r="39976">
      <c r="A39976" s="1" t="n">
        <v>39975</v>
      </c>
      <c r="B39976">
        <f>TEXT(39975, "[$-0E0000]yyyy-mm-dd")</f>
        <v/>
      </c>
      <c r="C39976" t="inlineStr">
        <is>
          <t>2009-05-20</t>
        </is>
      </c>
    </row>
    <row r="39977">
      <c r="A39977" s="1" t="n">
        <v>39976</v>
      </c>
      <c r="B39977">
        <f>TEXT(39976, "[$-0E0000]yyyy-mm-dd")</f>
        <v/>
      </c>
      <c r="C39977" t="inlineStr">
        <is>
          <t>2009-05-21</t>
        </is>
      </c>
    </row>
    <row r="39978">
      <c r="A39978" s="1" t="n">
        <v>39977</v>
      </c>
      <c r="B39978">
        <f>TEXT(39977, "[$-0E0000]yyyy-mm-dd")</f>
        <v/>
      </c>
      <c r="C39978" t="inlineStr">
        <is>
          <t>2009-05-22</t>
        </is>
      </c>
    </row>
    <row r="39979">
      <c r="A39979" s="1" t="n">
        <v>39978</v>
      </c>
      <c r="B39979">
        <f>TEXT(39978, "[$-0E0000]yyyy-mm-dd")</f>
        <v/>
      </c>
      <c r="C39979" t="inlineStr">
        <is>
          <t>2009-05-23</t>
        </is>
      </c>
    </row>
    <row r="39980">
      <c r="A39980" s="1" t="n">
        <v>39979</v>
      </c>
      <c r="B39980">
        <f>TEXT(39979, "[$-0E0000]yyyy-mm-dd")</f>
        <v/>
      </c>
      <c r="C39980" t="inlineStr">
        <is>
          <t>2009-05-24</t>
        </is>
      </c>
    </row>
    <row r="39981">
      <c r="A39981" s="1" t="n">
        <v>39980</v>
      </c>
      <c r="B39981">
        <f>TEXT(39980, "[$-0E0000]yyyy-mm-dd")</f>
        <v/>
      </c>
      <c r="C39981" t="inlineStr">
        <is>
          <t>2009-05-25</t>
        </is>
      </c>
    </row>
    <row r="39982">
      <c r="A39982" s="1" t="n">
        <v>39981</v>
      </c>
      <c r="B39982">
        <f>TEXT(39981, "[$-0E0000]yyyy-mm-dd")</f>
        <v/>
      </c>
      <c r="C39982" t="inlineStr">
        <is>
          <t>2009-05-26</t>
        </is>
      </c>
    </row>
    <row r="39983">
      <c r="A39983" s="1" t="n">
        <v>39982</v>
      </c>
      <c r="B39983">
        <f>TEXT(39982, "[$-0E0000]yyyy-mm-dd")</f>
        <v/>
      </c>
      <c r="C39983" t="inlineStr">
        <is>
          <t>2009-05-27</t>
        </is>
      </c>
    </row>
    <row r="39984">
      <c r="A39984" s="1" t="n">
        <v>39983</v>
      </c>
      <c r="B39984">
        <f>TEXT(39983, "[$-0E0000]yyyy-mm-dd")</f>
        <v/>
      </c>
      <c r="C39984" t="inlineStr">
        <is>
          <t>2009-05-28</t>
        </is>
      </c>
    </row>
    <row r="39985">
      <c r="A39985" s="1" t="n">
        <v>39984</v>
      </c>
      <c r="B39985">
        <f>TEXT(39984, "[$-0E0000]yyyy-mm-dd")</f>
        <v/>
      </c>
      <c r="C39985" t="inlineStr">
        <is>
          <t>2009-05-29</t>
        </is>
      </c>
    </row>
    <row r="39986">
      <c r="A39986" s="1" t="n">
        <v>39985</v>
      </c>
      <c r="B39986">
        <f>TEXT(39985, "[$-0E0000]yyyy-mm-dd")</f>
        <v/>
      </c>
      <c r="C39986" t="inlineStr">
        <is>
          <t>2009-05-30</t>
        </is>
      </c>
    </row>
    <row r="39987">
      <c r="A39987" s="1" t="n">
        <v>39986</v>
      </c>
      <c r="B39987">
        <f>TEXT(39986, "[$-0E0000]yyyy-mm-dd")</f>
        <v/>
      </c>
      <c r="C39987" t="inlineStr">
        <is>
          <t>2009-05-01</t>
        </is>
      </c>
    </row>
    <row r="39988">
      <c r="A39988" s="1" t="n">
        <v>39987</v>
      </c>
      <c r="B39988">
        <f>TEXT(39987, "[$-0E0000]yyyy-mm-dd")</f>
        <v/>
      </c>
      <c r="C39988" t="inlineStr">
        <is>
          <t>2009-05-02</t>
        </is>
      </c>
    </row>
    <row r="39989">
      <c r="A39989" s="1" t="n">
        <v>39988</v>
      </c>
      <c r="B39989">
        <f>TEXT(39988, "[$-0E0000]yyyy-mm-dd")</f>
        <v/>
      </c>
      <c r="C39989" t="inlineStr">
        <is>
          <t>2009-05-03</t>
        </is>
      </c>
    </row>
    <row r="39990">
      <c r="A39990" s="1" t="n">
        <v>39989</v>
      </c>
      <c r="B39990">
        <f>TEXT(39989, "[$-0E0000]yyyy-mm-dd")</f>
        <v/>
      </c>
      <c r="C39990" t="inlineStr">
        <is>
          <t>2009-05-04</t>
        </is>
      </c>
    </row>
    <row r="39991">
      <c r="A39991" s="1" t="n">
        <v>39990</v>
      </c>
      <c r="B39991">
        <f>TEXT(39990, "[$-0E0000]yyyy-mm-dd")</f>
        <v/>
      </c>
      <c r="C39991" t="inlineStr">
        <is>
          <t>2009-05-05</t>
        </is>
      </c>
    </row>
    <row r="39992">
      <c r="A39992" s="1" t="n">
        <v>39991</v>
      </c>
      <c r="B39992">
        <f>TEXT(39991, "[$-0E0000]yyyy-mm-dd")</f>
        <v/>
      </c>
      <c r="C39992" t="inlineStr">
        <is>
          <t>2009-05-06</t>
        </is>
      </c>
    </row>
    <row r="39993">
      <c r="A39993" s="1" t="n">
        <v>39992</v>
      </c>
      <c r="B39993">
        <f>TEXT(39992, "[$-0E0000]yyyy-mm-dd")</f>
        <v/>
      </c>
      <c r="C39993" t="inlineStr">
        <is>
          <t>2009-05-07</t>
        </is>
      </c>
    </row>
    <row r="39994">
      <c r="A39994" s="1" t="n">
        <v>39993</v>
      </c>
      <c r="B39994">
        <f>TEXT(39993, "[$-0E0000]yyyy-mm-dd")</f>
        <v/>
      </c>
      <c r="C39994" t="inlineStr">
        <is>
          <t>2009-05-08</t>
        </is>
      </c>
    </row>
    <row r="39995">
      <c r="A39995" s="1" t="n">
        <v>39994</v>
      </c>
      <c r="B39995">
        <f>TEXT(39994, "[$-0E0000]yyyy-mm-dd")</f>
        <v/>
      </c>
      <c r="C39995" t="inlineStr">
        <is>
          <t>2009-05-09</t>
        </is>
      </c>
    </row>
    <row r="39996">
      <c r="A39996" s="1" t="n">
        <v>39995</v>
      </c>
      <c r="B39996">
        <f>TEXT(39995, "[$-0E0000]yyyy-mm-dd")</f>
        <v/>
      </c>
      <c r="C39996" t="inlineStr">
        <is>
          <t>2009-05-10</t>
        </is>
      </c>
    </row>
    <row r="39997">
      <c r="A39997" s="1" t="n">
        <v>39996</v>
      </c>
      <c r="B39997">
        <f>TEXT(39996, "[$-0E0000]yyyy-mm-dd")</f>
        <v/>
      </c>
      <c r="C39997" t="inlineStr">
        <is>
          <t>2009-05-11</t>
        </is>
      </c>
    </row>
    <row r="39998">
      <c r="A39998" s="1" t="n">
        <v>39997</v>
      </c>
      <c r="B39998">
        <f>TEXT(39997, "[$-0E0000]yyyy-mm-dd")</f>
        <v/>
      </c>
      <c r="C39998" t="inlineStr">
        <is>
          <t>2009-05-12</t>
        </is>
      </c>
    </row>
    <row r="39999">
      <c r="A39999" s="1" t="n">
        <v>39998</v>
      </c>
      <c r="B39999">
        <f>TEXT(39998, "[$-0E0000]yyyy-mm-dd")</f>
        <v/>
      </c>
      <c r="C39999" t="inlineStr">
        <is>
          <t>2009-05-13</t>
        </is>
      </c>
    </row>
    <row r="40000">
      <c r="A40000" s="1" t="n">
        <v>39999</v>
      </c>
      <c r="B40000">
        <f>TEXT(39999, "[$-0E0000]yyyy-mm-dd")</f>
        <v/>
      </c>
      <c r="C40000" t="inlineStr">
        <is>
          <t>2009-05-14</t>
        </is>
      </c>
    </row>
    <row r="40001">
      <c r="A40001" s="1" t="n">
        <v>40000</v>
      </c>
      <c r="B40001">
        <f>TEXT(40000, "[$-0E0000]yyyy-mm-dd")</f>
        <v/>
      </c>
      <c r="C40001" t="inlineStr">
        <is>
          <t>2009-05-15</t>
        </is>
      </c>
    </row>
    <row r="40002">
      <c r="A40002" s="1" t="n">
        <v>40001</v>
      </c>
      <c r="B40002">
        <f>TEXT(40001, "[$-0E0000]yyyy-mm-dd")</f>
        <v/>
      </c>
      <c r="C40002" t="inlineStr">
        <is>
          <t>2009-05-16</t>
        </is>
      </c>
    </row>
    <row r="40003">
      <c r="A40003" s="1" t="n">
        <v>40002</v>
      </c>
      <c r="B40003">
        <f>TEXT(40002, "[$-0E0000]yyyy-mm-dd")</f>
        <v/>
      </c>
      <c r="C40003" t="inlineStr">
        <is>
          <t>2009-05-17</t>
        </is>
      </c>
    </row>
    <row r="40004">
      <c r="A40004" s="1" t="n">
        <v>40003</v>
      </c>
      <c r="B40004">
        <f>TEXT(40003, "[$-0E0000]yyyy-mm-dd")</f>
        <v/>
      </c>
      <c r="C40004" t="inlineStr">
        <is>
          <t>2009-05-18</t>
        </is>
      </c>
    </row>
    <row r="40005">
      <c r="A40005" s="1" t="n">
        <v>40004</v>
      </c>
      <c r="B40005">
        <f>TEXT(40004, "[$-0E0000]yyyy-mm-dd")</f>
        <v/>
      </c>
      <c r="C40005" t="inlineStr">
        <is>
          <t>2009-05-19</t>
        </is>
      </c>
    </row>
    <row r="40006">
      <c r="A40006" s="1" t="n">
        <v>40005</v>
      </c>
      <c r="B40006">
        <f>TEXT(40005, "[$-0E0000]yyyy-mm-dd")</f>
        <v/>
      </c>
      <c r="C40006" t="inlineStr">
        <is>
          <t>2009-05-20</t>
        </is>
      </c>
    </row>
    <row r="40007">
      <c r="A40007" s="1" t="n">
        <v>40006</v>
      </c>
      <c r="B40007">
        <f>TEXT(40006, "[$-0E0000]yyyy-mm-dd")</f>
        <v/>
      </c>
      <c r="C40007" t="inlineStr">
        <is>
          <t>2009-05-21</t>
        </is>
      </c>
    </row>
    <row r="40008">
      <c r="A40008" s="1" t="n">
        <v>40007</v>
      </c>
      <c r="B40008">
        <f>TEXT(40007, "[$-0E0000]yyyy-mm-dd")</f>
        <v/>
      </c>
      <c r="C40008" t="inlineStr">
        <is>
          <t>2009-05-22</t>
        </is>
      </c>
    </row>
    <row r="40009">
      <c r="A40009" s="1" t="n">
        <v>40008</v>
      </c>
      <c r="B40009">
        <f>TEXT(40008, "[$-0E0000]yyyy-mm-dd")</f>
        <v/>
      </c>
      <c r="C40009" t="inlineStr">
        <is>
          <t>2009-05-23</t>
        </is>
      </c>
    </row>
    <row r="40010">
      <c r="A40010" s="1" t="n">
        <v>40009</v>
      </c>
      <c r="B40010">
        <f>TEXT(40009, "[$-0E0000]yyyy-mm-dd")</f>
        <v/>
      </c>
      <c r="C40010" t="inlineStr">
        <is>
          <t>2009-05-24</t>
        </is>
      </c>
    </row>
    <row r="40011">
      <c r="A40011" s="1" t="n">
        <v>40010</v>
      </c>
      <c r="B40011">
        <f>TEXT(40010, "[$-0E0000]yyyy-mm-dd")</f>
        <v/>
      </c>
      <c r="C40011" t="inlineStr">
        <is>
          <t>2009-05-25</t>
        </is>
      </c>
    </row>
    <row r="40012">
      <c r="A40012" s="1" t="n">
        <v>40011</v>
      </c>
      <c r="B40012">
        <f>TEXT(40011, "[$-0E0000]yyyy-mm-dd")</f>
        <v/>
      </c>
      <c r="C40012" t="inlineStr">
        <is>
          <t>2009-05-26</t>
        </is>
      </c>
    </row>
    <row r="40013">
      <c r="A40013" s="1" t="n">
        <v>40012</v>
      </c>
      <c r="B40013">
        <f>TEXT(40012, "[$-0E0000]yyyy-mm-dd")</f>
        <v/>
      </c>
      <c r="C40013" t="inlineStr">
        <is>
          <t>2009-05-27</t>
        </is>
      </c>
    </row>
    <row r="40014">
      <c r="A40014" s="1" t="n">
        <v>40013</v>
      </c>
      <c r="B40014">
        <f>TEXT(40013, "[$-0E0000]yyyy-mm-dd")</f>
        <v/>
      </c>
      <c r="C40014" t="inlineStr">
        <is>
          <t>2009-05-28</t>
        </is>
      </c>
    </row>
    <row r="40015">
      <c r="A40015" s="1" t="n">
        <v>40014</v>
      </c>
      <c r="B40015">
        <f>TEXT(40014, "[$-0E0000]yyyy-mm-dd")</f>
        <v/>
      </c>
      <c r="C40015" t="inlineStr">
        <is>
          <t>2009-05-29</t>
        </is>
      </c>
    </row>
    <row r="40016">
      <c r="A40016" s="1" t="n">
        <v>40015</v>
      </c>
      <c r="B40016">
        <f>TEXT(40015, "[$-0E0000]yyyy-mm-dd")</f>
        <v/>
      </c>
      <c r="C40016" t="inlineStr">
        <is>
          <t>2009-06-01</t>
        </is>
      </c>
    </row>
    <row r="40017">
      <c r="A40017" s="1" t="n">
        <v>40016</v>
      </c>
      <c r="B40017">
        <f>TEXT(40016, "[$-0E0000]yyyy-mm-dd")</f>
        <v/>
      </c>
      <c r="C40017" t="inlineStr">
        <is>
          <t>2009-06-02</t>
        </is>
      </c>
    </row>
    <row r="40018">
      <c r="A40018" s="1" t="n">
        <v>40017</v>
      </c>
      <c r="B40018">
        <f>TEXT(40017, "[$-0E0000]yyyy-mm-dd")</f>
        <v/>
      </c>
      <c r="C40018" t="inlineStr">
        <is>
          <t>2009-06-03</t>
        </is>
      </c>
    </row>
    <row r="40019">
      <c r="A40019" s="1" t="n">
        <v>40018</v>
      </c>
      <c r="B40019">
        <f>TEXT(40018, "[$-0E0000]yyyy-mm-dd")</f>
        <v/>
      </c>
      <c r="C40019" t="inlineStr">
        <is>
          <t>2009-06-04</t>
        </is>
      </c>
    </row>
    <row r="40020">
      <c r="A40020" s="1" t="n">
        <v>40019</v>
      </c>
      <c r="B40020">
        <f>TEXT(40019, "[$-0E0000]yyyy-mm-dd")</f>
        <v/>
      </c>
      <c r="C40020" t="inlineStr">
        <is>
          <t>2009-06-05</t>
        </is>
      </c>
    </row>
    <row r="40021">
      <c r="A40021" s="1" t="n">
        <v>40020</v>
      </c>
      <c r="B40021">
        <f>TEXT(40020, "[$-0E0000]yyyy-mm-dd")</f>
        <v/>
      </c>
      <c r="C40021" t="inlineStr">
        <is>
          <t>2009-06-06</t>
        </is>
      </c>
    </row>
    <row r="40022">
      <c r="A40022" s="1" t="n">
        <v>40021</v>
      </c>
      <c r="B40022">
        <f>TEXT(40021, "[$-0E0000]yyyy-mm-dd")</f>
        <v/>
      </c>
      <c r="C40022" t="inlineStr">
        <is>
          <t>2009-06-07</t>
        </is>
      </c>
    </row>
    <row r="40023">
      <c r="A40023" s="1" t="n">
        <v>40022</v>
      </c>
      <c r="B40023">
        <f>TEXT(40022, "[$-0E0000]yyyy-mm-dd")</f>
        <v/>
      </c>
      <c r="C40023" t="inlineStr">
        <is>
          <t>2009-06-08</t>
        </is>
      </c>
    </row>
    <row r="40024">
      <c r="A40024" s="1" t="n">
        <v>40023</v>
      </c>
      <c r="B40024">
        <f>TEXT(40023, "[$-0E0000]yyyy-mm-dd")</f>
        <v/>
      </c>
      <c r="C40024" t="inlineStr">
        <is>
          <t>2009-06-09</t>
        </is>
      </c>
    </row>
    <row r="40025">
      <c r="A40025" s="1" t="n">
        <v>40024</v>
      </c>
      <c r="B40025">
        <f>TEXT(40024, "[$-0E0000]yyyy-mm-dd")</f>
        <v/>
      </c>
      <c r="C40025" t="inlineStr">
        <is>
          <t>2009-06-10</t>
        </is>
      </c>
    </row>
    <row r="40026">
      <c r="A40026" s="1" t="n">
        <v>40025</v>
      </c>
      <c r="B40026">
        <f>TEXT(40025, "[$-0E0000]yyyy-mm-dd")</f>
        <v/>
      </c>
      <c r="C40026" t="inlineStr">
        <is>
          <t>2009-06-11</t>
        </is>
      </c>
    </row>
    <row r="40027">
      <c r="A40027" s="1" t="n">
        <v>40026</v>
      </c>
      <c r="B40027">
        <f>TEXT(40026, "[$-0E0000]yyyy-mm-dd")</f>
        <v/>
      </c>
      <c r="C40027" t="inlineStr">
        <is>
          <t>2009-06-12</t>
        </is>
      </c>
    </row>
    <row r="40028">
      <c r="A40028" s="1" t="n">
        <v>40027</v>
      </c>
      <c r="B40028">
        <f>TEXT(40027, "[$-0E0000]yyyy-mm-dd")</f>
        <v/>
      </c>
      <c r="C40028" t="inlineStr">
        <is>
          <t>2009-06-13</t>
        </is>
      </c>
    </row>
    <row r="40029">
      <c r="A40029" s="1" t="n">
        <v>40028</v>
      </c>
      <c r="B40029">
        <f>TEXT(40028, "[$-0E0000]yyyy-mm-dd")</f>
        <v/>
      </c>
      <c r="C40029" t="inlineStr">
        <is>
          <t>2009-06-14</t>
        </is>
      </c>
    </row>
    <row r="40030">
      <c r="A40030" s="1" t="n">
        <v>40029</v>
      </c>
      <c r="B40030">
        <f>TEXT(40029, "[$-0E0000]yyyy-mm-dd")</f>
        <v/>
      </c>
      <c r="C40030" t="inlineStr">
        <is>
          <t>2009-06-15</t>
        </is>
      </c>
    </row>
    <row r="40031">
      <c r="A40031" s="1" t="n">
        <v>40030</v>
      </c>
      <c r="B40031">
        <f>TEXT(40030, "[$-0E0000]yyyy-mm-dd")</f>
        <v/>
      </c>
      <c r="C40031" t="inlineStr">
        <is>
          <t>2009-06-16</t>
        </is>
      </c>
    </row>
    <row r="40032">
      <c r="A40032" s="1" t="n">
        <v>40031</v>
      </c>
      <c r="B40032">
        <f>TEXT(40031, "[$-0E0000]yyyy-mm-dd")</f>
        <v/>
      </c>
      <c r="C40032" t="inlineStr">
        <is>
          <t>2009-06-17</t>
        </is>
      </c>
    </row>
    <row r="40033">
      <c r="A40033" s="1" t="n">
        <v>40032</v>
      </c>
      <c r="B40033">
        <f>TEXT(40032, "[$-0E0000]yyyy-mm-dd")</f>
        <v/>
      </c>
      <c r="C40033" t="inlineStr">
        <is>
          <t>2009-06-18</t>
        </is>
      </c>
    </row>
    <row r="40034">
      <c r="A40034" s="1" t="n">
        <v>40033</v>
      </c>
      <c r="B40034">
        <f>TEXT(40033, "[$-0E0000]yyyy-mm-dd")</f>
        <v/>
      </c>
      <c r="C40034" t="inlineStr">
        <is>
          <t>2009-06-19</t>
        </is>
      </c>
    </row>
    <row r="40035">
      <c r="A40035" s="1" t="n">
        <v>40034</v>
      </c>
      <c r="B40035">
        <f>TEXT(40034, "[$-0E0000]yyyy-mm-dd")</f>
        <v/>
      </c>
      <c r="C40035" t="inlineStr">
        <is>
          <t>2009-06-20</t>
        </is>
      </c>
    </row>
    <row r="40036">
      <c r="A40036" s="1" t="n">
        <v>40035</v>
      </c>
      <c r="B40036">
        <f>TEXT(40035, "[$-0E0000]yyyy-mm-dd")</f>
        <v/>
      </c>
      <c r="C40036" t="inlineStr">
        <is>
          <t>2009-06-21</t>
        </is>
      </c>
    </row>
    <row r="40037">
      <c r="A40037" s="1" t="n">
        <v>40036</v>
      </c>
      <c r="B40037">
        <f>TEXT(40036, "[$-0E0000]yyyy-mm-dd")</f>
        <v/>
      </c>
      <c r="C40037" t="inlineStr">
        <is>
          <t>2009-06-22</t>
        </is>
      </c>
    </row>
    <row r="40038">
      <c r="A40038" s="1" t="n">
        <v>40037</v>
      </c>
      <c r="B40038">
        <f>TEXT(40037, "[$-0E0000]yyyy-mm-dd")</f>
        <v/>
      </c>
      <c r="C40038" t="inlineStr">
        <is>
          <t>2009-06-23</t>
        </is>
      </c>
    </row>
    <row r="40039">
      <c r="A40039" s="1" t="n">
        <v>40038</v>
      </c>
      <c r="B40039">
        <f>TEXT(40038, "[$-0E0000]yyyy-mm-dd")</f>
        <v/>
      </c>
      <c r="C40039" t="inlineStr">
        <is>
          <t>2009-06-24</t>
        </is>
      </c>
    </row>
    <row r="40040">
      <c r="A40040" s="1" t="n">
        <v>40039</v>
      </c>
      <c r="B40040">
        <f>TEXT(40039, "[$-0E0000]yyyy-mm-dd")</f>
        <v/>
      </c>
      <c r="C40040" t="inlineStr">
        <is>
          <t>2009-06-25</t>
        </is>
      </c>
    </row>
    <row r="40041">
      <c r="A40041" s="1" t="n">
        <v>40040</v>
      </c>
      <c r="B40041">
        <f>TEXT(40040, "[$-0E0000]yyyy-mm-dd")</f>
        <v/>
      </c>
      <c r="C40041" t="inlineStr">
        <is>
          <t>2009-06-26</t>
        </is>
      </c>
    </row>
    <row r="40042">
      <c r="A40042" s="1" t="n">
        <v>40041</v>
      </c>
      <c r="B40042">
        <f>TEXT(40041, "[$-0E0000]yyyy-mm-dd")</f>
        <v/>
      </c>
      <c r="C40042" t="inlineStr">
        <is>
          <t>2009-06-27</t>
        </is>
      </c>
    </row>
    <row r="40043">
      <c r="A40043" s="1" t="n">
        <v>40042</v>
      </c>
      <c r="B40043">
        <f>TEXT(40042, "[$-0E0000]yyyy-mm-dd")</f>
        <v/>
      </c>
      <c r="C40043" t="inlineStr">
        <is>
          <t>2009-06-28</t>
        </is>
      </c>
    </row>
    <row r="40044">
      <c r="A40044" s="1" t="n">
        <v>40043</v>
      </c>
      <c r="B40044">
        <f>TEXT(40043, "[$-0E0000]yyyy-mm-dd")</f>
        <v/>
      </c>
      <c r="C40044" t="inlineStr">
        <is>
          <t>2009-06-29</t>
        </is>
      </c>
    </row>
    <row r="40045">
      <c r="A40045" s="1" t="n">
        <v>40044</v>
      </c>
      <c r="B40045">
        <f>TEXT(40044, "[$-0E0000]yyyy-mm-dd")</f>
        <v/>
      </c>
      <c r="C40045" t="inlineStr">
        <is>
          <t>2009-07-01</t>
        </is>
      </c>
    </row>
    <row r="40046">
      <c r="A40046" s="1" t="n">
        <v>40045</v>
      </c>
      <c r="B40046">
        <f>TEXT(40045, "[$-0E0000]yyyy-mm-dd")</f>
        <v/>
      </c>
      <c r="C40046" t="inlineStr">
        <is>
          <t>2009-07-02</t>
        </is>
      </c>
    </row>
    <row r="40047">
      <c r="A40047" s="1" t="n">
        <v>40046</v>
      </c>
      <c r="B40047">
        <f>TEXT(40046, "[$-0E0000]yyyy-mm-dd")</f>
        <v/>
      </c>
      <c r="C40047" t="inlineStr">
        <is>
          <t>2009-07-03</t>
        </is>
      </c>
    </row>
    <row r="40048">
      <c r="A40048" s="1" t="n">
        <v>40047</v>
      </c>
      <c r="B40048">
        <f>TEXT(40047, "[$-0E0000]yyyy-mm-dd")</f>
        <v/>
      </c>
      <c r="C40048" t="inlineStr">
        <is>
          <t>2009-07-04</t>
        </is>
      </c>
    </row>
    <row r="40049">
      <c r="A40049" s="1" t="n">
        <v>40048</v>
      </c>
      <c r="B40049">
        <f>TEXT(40048, "[$-0E0000]yyyy-mm-dd")</f>
        <v/>
      </c>
      <c r="C40049" t="inlineStr">
        <is>
          <t>2009-07-05</t>
        </is>
      </c>
    </row>
    <row r="40050">
      <c r="A40050" s="1" t="n">
        <v>40049</v>
      </c>
      <c r="B40050">
        <f>TEXT(40049, "[$-0E0000]yyyy-mm-dd")</f>
        <v/>
      </c>
      <c r="C40050" t="inlineStr">
        <is>
          <t>2009-07-06</t>
        </is>
      </c>
    </row>
    <row r="40051">
      <c r="A40051" s="1" t="n">
        <v>40050</v>
      </c>
      <c r="B40051">
        <f>TEXT(40050, "[$-0E0000]yyyy-mm-dd")</f>
        <v/>
      </c>
      <c r="C40051" t="inlineStr">
        <is>
          <t>2009-07-07</t>
        </is>
      </c>
    </row>
    <row r="40052">
      <c r="A40052" s="1" t="n">
        <v>40051</v>
      </c>
      <c r="B40052">
        <f>TEXT(40051, "[$-0E0000]yyyy-mm-dd")</f>
        <v/>
      </c>
      <c r="C40052" t="inlineStr">
        <is>
          <t>2009-07-08</t>
        </is>
      </c>
    </row>
    <row r="40053">
      <c r="A40053" s="1" t="n">
        <v>40052</v>
      </c>
      <c r="B40053">
        <f>TEXT(40052, "[$-0E0000]yyyy-mm-dd")</f>
        <v/>
      </c>
      <c r="C40053" t="inlineStr">
        <is>
          <t>2009-07-09</t>
        </is>
      </c>
    </row>
    <row r="40054">
      <c r="A40054" s="1" t="n">
        <v>40053</v>
      </c>
      <c r="B40054">
        <f>TEXT(40053, "[$-0E0000]yyyy-mm-dd")</f>
        <v/>
      </c>
      <c r="C40054" t="inlineStr">
        <is>
          <t>2009-07-10</t>
        </is>
      </c>
    </row>
    <row r="40055">
      <c r="A40055" s="1" t="n">
        <v>40054</v>
      </c>
      <c r="B40055">
        <f>TEXT(40054, "[$-0E0000]yyyy-mm-dd")</f>
        <v/>
      </c>
      <c r="C40055" t="inlineStr">
        <is>
          <t>2009-07-11</t>
        </is>
      </c>
    </row>
    <row r="40056">
      <c r="A40056" s="1" t="n">
        <v>40055</v>
      </c>
      <c r="B40056">
        <f>TEXT(40055, "[$-0E0000]yyyy-mm-dd")</f>
        <v/>
      </c>
      <c r="C40056" t="inlineStr">
        <is>
          <t>2009-07-12</t>
        </is>
      </c>
    </row>
    <row r="40057">
      <c r="A40057" s="1" t="n">
        <v>40056</v>
      </c>
      <c r="B40057">
        <f>TEXT(40056, "[$-0E0000]yyyy-mm-dd")</f>
        <v/>
      </c>
      <c r="C40057" t="inlineStr">
        <is>
          <t>2009-07-13</t>
        </is>
      </c>
    </row>
    <row r="40058">
      <c r="A40058" s="1" t="n">
        <v>40057</v>
      </c>
      <c r="B40058">
        <f>TEXT(40057, "[$-0E0000]yyyy-mm-dd")</f>
        <v/>
      </c>
      <c r="C40058" t="inlineStr">
        <is>
          <t>2009-07-14</t>
        </is>
      </c>
    </row>
    <row r="40059">
      <c r="A40059" s="1" t="n">
        <v>40058</v>
      </c>
      <c r="B40059">
        <f>TEXT(40058, "[$-0E0000]yyyy-mm-dd")</f>
        <v/>
      </c>
      <c r="C40059" t="inlineStr">
        <is>
          <t>2009-07-15</t>
        </is>
      </c>
    </row>
    <row r="40060">
      <c r="A40060" s="1" t="n">
        <v>40059</v>
      </c>
      <c r="B40060">
        <f>TEXT(40059, "[$-0E0000]yyyy-mm-dd")</f>
        <v/>
      </c>
      <c r="C40060" t="inlineStr">
        <is>
          <t>2009-07-16</t>
        </is>
      </c>
    </row>
    <row r="40061">
      <c r="A40061" s="1" t="n">
        <v>40060</v>
      </c>
      <c r="B40061">
        <f>TEXT(40060, "[$-0E0000]yyyy-mm-dd")</f>
        <v/>
      </c>
      <c r="C40061" t="inlineStr">
        <is>
          <t>2009-07-17</t>
        </is>
      </c>
    </row>
    <row r="40062">
      <c r="A40062" s="1" t="n">
        <v>40061</v>
      </c>
      <c r="B40062">
        <f>TEXT(40061, "[$-0E0000]yyyy-mm-dd")</f>
        <v/>
      </c>
      <c r="C40062" t="inlineStr">
        <is>
          <t>2009-07-18</t>
        </is>
      </c>
    </row>
    <row r="40063">
      <c r="A40063" s="1" t="n">
        <v>40062</v>
      </c>
      <c r="B40063">
        <f>TEXT(40062, "[$-0E0000]yyyy-mm-dd")</f>
        <v/>
      </c>
      <c r="C40063" t="inlineStr">
        <is>
          <t>2009-07-19</t>
        </is>
      </c>
    </row>
    <row r="40064">
      <c r="A40064" s="1" t="n">
        <v>40063</v>
      </c>
      <c r="B40064">
        <f>TEXT(40063, "[$-0E0000]yyyy-mm-dd")</f>
        <v/>
      </c>
      <c r="C40064" t="inlineStr">
        <is>
          <t>2009-07-20</t>
        </is>
      </c>
    </row>
    <row r="40065">
      <c r="A40065" s="1" t="n">
        <v>40064</v>
      </c>
      <c r="B40065">
        <f>TEXT(40064, "[$-0E0000]yyyy-mm-dd")</f>
        <v/>
      </c>
      <c r="C40065" t="inlineStr">
        <is>
          <t>2009-07-21</t>
        </is>
      </c>
    </row>
    <row r="40066">
      <c r="A40066" s="1" t="n">
        <v>40065</v>
      </c>
      <c r="B40066">
        <f>TEXT(40065, "[$-0E0000]yyyy-mm-dd")</f>
        <v/>
      </c>
      <c r="C40066" t="inlineStr">
        <is>
          <t>2009-07-22</t>
        </is>
      </c>
    </row>
    <row r="40067">
      <c r="A40067" s="1" t="n">
        <v>40066</v>
      </c>
      <c r="B40067">
        <f>TEXT(40066, "[$-0E0000]yyyy-mm-dd")</f>
        <v/>
      </c>
      <c r="C40067" t="inlineStr">
        <is>
          <t>2009-07-23</t>
        </is>
      </c>
    </row>
    <row r="40068">
      <c r="A40068" s="1" t="n">
        <v>40067</v>
      </c>
      <c r="B40068">
        <f>TEXT(40067, "[$-0E0000]yyyy-mm-dd")</f>
        <v/>
      </c>
      <c r="C40068" t="inlineStr">
        <is>
          <t>2009-07-24</t>
        </is>
      </c>
    </row>
    <row r="40069">
      <c r="A40069" s="1" t="n">
        <v>40068</v>
      </c>
      <c r="B40069">
        <f>TEXT(40068, "[$-0E0000]yyyy-mm-dd")</f>
        <v/>
      </c>
      <c r="C40069" t="inlineStr">
        <is>
          <t>2009-07-25</t>
        </is>
      </c>
    </row>
    <row r="40070">
      <c r="A40070" s="1" t="n">
        <v>40069</v>
      </c>
      <c r="B40070">
        <f>TEXT(40069, "[$-0E0000]yyyy-mm-dd")</f>
        <v/>
      </c>
      <c r="C40070" t="inlineStr">
        <is>
          <t>2009-07-26</t>
        </is>
      </c>
    </row>
    <row r="40071">
      <c r="A40071" s="1" t="n">
        <v>40070</v>
      </c>
      <c r="B40071">
        <f>TEXT(40070, "[$-0E0000]yyyy-mm-dd")</f>
        <v/>
      </c>
      <c r="C40071" t="inlineStr">
        <is>
          <t>2009-07-27</t>
        </is>
      </c>
    </row>
    <row r="40072">
      <c r="A40072" s="1" t="n">
        <v>40071</v>
      </c>
      <c r="B40072">
        <f>TEXT(40071, "[$-0E0000]yyyy-mm-dd")</f>
        <v/>
      </c>
      <c r="C40072" t="inlineStr">
        <is>
          <t>2009-07-28</t>
        </is>
      </c>
    </row>
    <row r="40073">
      <c r="A40073" s="1" t="n">
        <v>40072</v>
      </c>
      <c r="B40073">
        <f>TEXT(40072, "[$-0E0000]yyyy-mm-dd")</f>
        <v/>
      </c>
      <c r="C40073" t="inlineStr">
        <is>
          <t>2009-07-29</t>
        </is>
      </c>
    </row>
    <row r="40074">
      <c r="A40074" s="1" t="n">
        <v>40073</v>
      </c>
      <c r="B40074">
        <f>TEXT(40073, "[$-0E0000]yyyy-mm-dd")</f>
        <v/>
      </c>
      <c r="C40074" t="inlineStr">
        <is>
          <t>2009-07-30</t>
        </is>
      </c>
    </row>
    <row r="40075">
      <c r="A40075" s="1" t="n">
        <v>40074</v>
      </c>
      <c r="B40075">
        <f>TEXT(40074, "[$-0E0000]yyyy-mm-dd")</f>
        <v/>
      </c>
      <c r="C40075" t="inlineStr">
        <is>
          <t>2009-08-01</t>
        </is>
      </c>
    </row>
    <row r="40076">
      <c r="A40076" s="1" t="n">
        <v>40075</v>
      </c>
      <c r="B40076">
        <f>TEXT(40075, "[$-0E0000]yyyy-mm-dd")</f>
        <v/>
      </c>
      <c r="C40076" t="inlineStr">
        <is>
          <t>2009-08-02</t>
        </is>
      </c>
    </row>
    <row r="40077">
      <c r="A40077" s="1" t="n">
        <v>40076</v>
      </c>
      <c r="B40077">
        <f>TEXT(40076, "[$-0E0000]yyyy-mm-dd")</f>
        <v/>
      </c>
      <c r="C40077" t="inlineStr">
        <is>
          <t>2009-08-03</t>
        </is>
      </c>
    </row>
    <row r="40078">
      <c r="A40078" s="1" t="n">
        <v>40077</v>
      </c>
      <c r="B40078">
        <f>TEXT(40077, "[$-0E0000]yyyy-mm-dd")</f>
        <v/>
      </c>
      <c r="C40078" t="inlineStr">
        <is>
          <t>2009-08-04</t>
        </is>
      </c>
    </row>
    <row r="40079">
      <c r="A40079" s="1" t="n">
        <v>40078</v>
      </c>
      <c r="B40079">
        <f>TEXT(40078, "[$-0E0000]yyyy-mm-dd")</f>
        <v/>
      </c>
      <c r="C40079" t="inlineStr">
        <is>
          <t>2009-08-05</t>
        </is>
      </c>
    </row>
    <row r="40080">
      <c r="A40080" s="1" t="n">
        <v>40079</v>
      </c>
      <c r="B40080">
        <f>TEXT(40079, "[$-0E0000]yyyy-mm-dd")</f>
        <v/>
      </c>
      <c r="C40080" t="inlineStr">
        <is>
          <t>2009-08-06</t>
        </is>
      </c>
    </row>
    <row r="40081">
      <c r="A40081" s="1" t="n">
        <v>40080</v>
      </c>
      <c r="B40081">
        <f>TEXT(40080, "[$-0E0000]yyyy-mm-dd")</f>
        <v/>
      </c>
      <c r="C40081" t="inlineStr">
        <is>
          <t>2009-08-07</t>
        </is>
      </c>
    </row>
    <row r="40082">
      <c r="A40082" s="1" t="n">
        <v>40081</v>
      </c>
      <c r="B40082">
        <f>TEXT(40081, "[$-0E0000]yyyy-mm-dd")</f>
        <v/>
      </c>
      <c r="C40082" t="inlineStr">
        <is>
          <t>2009-08-08</t>
        </is>
      </c>
    </row>
    <row r="40083">
      <c r="A40083" s="1" t="n">
        <v>40082</v>
      </c>
      <c r="B40083">
        <f>TEXT(40082, "[$-0E0000]yyyy-mm-dd")</f>
        <v/>
      </c>
      <c r="C40083" t="inlineStr">
        <is>
          <t>2009-08-09</t>
        </is>
      </c>
    </row>
    <row r="40084">
      <c r="A40084" s="1" t="n">
        <v>40083</v>
      </c>
      <c r="B40084">
        <f>TEXT(40083, "[$-0E0000]yyyy-mm-dd")</f>
        <v/>
      </c>
      <c r="C40084" t="inlineStr">
        <is>
          <t>2009-08-10</t>
        </is>
      </c>
    </row>
    <row r="40085">
      <c r="A40085" s="1" t="n">
        <v>40084</v>
      </c>
      <c r="B40085">
        <f>TEXT(40084, "[$-0E0000]yyyy-mm-dd")</f>
        <v/>
      </c>
      <c r="C40085" t="inlineStr">
        <is>
          <t>2009-08-11</t>
        </is>
      </c>
    </row>
    <row r="40086">
      <c r="A40086" s="1" t="n">
        <v>40085</v>
      </c>
      <c r="B40086">
        <f>TEXT(40085, "[$-0E0000]yyyy-mm-dd")</f>
        <v/>
      </c>
      <c r="C40086" t="inlineStr">
        <is>
          <t>2009-08-12</t>
        </is>
      </c>
    </row>
    <row r="40087">
      <c r="A40087" s="1" t="n">
        <v>40086</v>
      </c>
      <c r="B40087">
        <f>TEXT(40086, "[$-0E0000]yyyy-mm-dd")</f>
        <v/>
      </c>
      <c r="C40087" t="inlineStr">
        <is>
          <t>2009-08-13</t>
        </is>
      </c>
    </row>
    <row r="40088">
      <c r="A40088" s="1" t="n">
        <v>40087</v>
      </c>
      <c r="B40088">
        <f>TEXT(40087, "[$-0E0000]yyyy-mm-dd")</f>
        <v/>
      </c>
      <c r="C40088" t="inlineStr">
        <is>
          <t>2009-08-14</t>
        </is>
      </c>
    </row>
    <row r="40089">
      <c r="A40089" s="1" t="n">
        <v>40088</v>
      </c>
      <c r="B40089">
        <f>TEXT(40088, "[$-0E0000]yyyy-mm-dd")</f>
        <v/>
      </c>
      <c r="C40089" t="inlineStr">
        <is>
          <t>2009-08-15</t>
        </is>
      </c>
    </row>
    <row r="40090">
      <c r="A40090" s="1" t="n">
        <v>40089</v>
      </c>
      <c r="B40090">
        <f>TEXT(40089, "[$-0E0000]yyyy-mm-dd")</f>
        <v/>
      </c>
      <c r="C40090" t="inlineStr">
        <is>
          <t>2009-08-16</t>
        </is>
      </c>
    </row>
    <row r="40091">
      <c r="A40091" s="1" t="n">
        <v>40090</v>
      </c>
      <c r="B40091">
        <f>TEXT(40090, "[$-0E0000]yyyy-mm-dd")</f>
        <v/>
      </c>
      <c r="C40091" t="inlineStr">
        <is>
          <t>2009-08-17</t>
        </is>
      </c>
    </row>
    <row r="40092">
      <c r="A40092" s="1" t="n">
        <v>40091</v>
      </c>
      <c r="B40092">
        <f>TEXT(40091, "[$-0E0000]yyyy-mm-dd")</f>
        <v/>
      </c>
      <c r="C40092" t="inlineStr">
        <is>
          <t>2009-08-18</t>
        </is>
      </c>
    </row>
    <row r="40093">
      <c r="A40093" s="1" t="n">
        <v>40092</v>
      </c>
      <c r="B40093">
        <f>TEXT(40092, "[$-0E0000]yyyy-mm-dd")</f>
        <v/>
      </c>
      <c r="C40093" t="inlineStr">
        <is>
          <t>2009-08-19</t>
        </is>
      </c>
    </row>
    <row r="40094">
      <c r="A40094" s="1" t="n">
        <v>40093</v>
      </c>
      <c r="B40094">
        <f>TEXT(40093, "[$-0E0000]yyyy-mm-dd")</f>
        <v/>
      </c>
      <c r="C40094" t="inlineStr">
        <is>
          <t>2009-08-20</t>
        </is>
      </c>
    </row>
    <row r="40095">
      <c r="A40095" s="1" t="n">
        <v>40094</v>
      </c>
      <c r="B40095">
        <f>TEXT(40094, "[$-0E0000]yyyy-mm-dd")</f>
        <v/>
      </c>
      <c r="C40095" t="inlineStr">
        <is>
          <t>2009-08-21</t>
        </is>
      </c>
    </row>
    <row r="40096">
      <c r="A40096" s="1" t="n">
        <v>40095</v>
      </c>
      <c r="B40096">
        <f>TEXT(40095, "[$-0E0000]yyyy-mm-dd")</f>
        <v/>
      </c>
      <c r="C40096" t="inlineStr">
        <is>
          <t>2009-08-22</t>
        </is>
      </c>
    </row>
    <row r="40097">
      <c r="A40097" s="1" t="n">
        <v>40096</v>
      </c>
      <c r="B40097">
        <f>TEXT(40096, "[$-0E0000]yyyy-mm-dd")</f>
        <v/>
      </c>
      <c r="C40097" t="inlineStr">
        <is>
          <t>2009-08-23</t>
        </is>
      </c>
    </row>
    <row r="40098">
      <c r="A40098" s="1" t="n">
        <v>40097</v>
      </c>
      <c r="B40098">
        <f>TEXT(40097, "[$-0E0000]yyyy-mm-dd")</f>
        <v/>
      </c>
      <c r="C40098" t="inlineStr">
        <is>
          <t>2009-08-24</t>
        </is>
      </c>
    </row>
    <row r="40099">
      <c r="A40099" s="1" t="n">
        <v>40098</v>
      </c>
      <c r="B40099">
        <f>TEXT(40098, "[$-0E0000]yyyy-mm-dd")</f>
        <v/>
      </c>
      <c r="C40099" t="inlineStr">
        <is>
          <t>2009-08-25</t>
        </is>
      </c>
    </row>
    <row r="40100">
      <c r="A40100" s="1" t="n">
        <v>40099</v>
      </c>
      <c r="B40100">
        <f>TEXT(40099, "[$-0E0000]yyyy-mm-dd")</f>
        <v/>
      </c>
      <c r="C40100" t="inlineStr">
        <is>
          <t>2009-08-26</t>
        </is>
      </c>
    </row>
    <row r="40101">
      <c r="A40101" s="1" t="n">
        <v>40100</v>
      </c>
      <c r="B40101">
        <f>TEXT(40100, "[$-0E0000]yyyy-mm-dd")</f>
        <v/>
      </c>
      <c r="C40101" t="inlineStr">
        <is>
          <t>2009-08-27</t>
        </is>
      </c>
    </row>
    <row r="40102">
      <c r="A40102" s="1" t="n">
        <v>40101</v>
      </c>
      <c r="B40102">
        <f>TEXT(40101, "[$-0E0000]yyyy-mm-dd")</f>
        <v/>
      </c>
      <c r="C40102" t="inlineStr">
        <is>
          <t>2009-08-28</t>
        </is>
      </c>
    </row>
    <row r="40103">
      <c r="A40103" s="1" t="n">
        <v>40102</v>
      </c>
      <c r="B40103">
        <f>TEXT(40102, "[$-0E0000]yyyy-mm-dd")</f>
        <v/>
      </c>
      <c r="C40103" t="inlineStr">
        <is>
          <t>2009-08-29</t>
        </is>
      </c>
    </row>
    <row r="40104">
      <c r="A40104" s="1" t="n">
        <v>40103</v>
      </c>
      <c r="B40104">
        <f>TEXT(40103, "[$-0E0000]yyyy-mm-dd")</f>
        <v/>
      </c>
      <c r="C40104" t="inlineStr">
        <is>
          <t>2009-09-01</t>
        </is>
      </c>
    </row>
    <row r="40105">
      <c r="A40105" s="1" t="n">
        <v>40104</v>
      </c>
      <c r="B40105">
        <f>TEXT(40104, "[$-0E0000]yyyy-mm-dd")</f>
        <v/>
      </c>
      <c r="C40105" t="inlineStr">
        <is>
          <t>2009-09-02</t>
        </is>
      </c>
    </row>
    <row r="40106">
      <c r="A40106" s="1" t="n">
        <v>40105</v>
      </c>
      <c r="B40106">
        <f>TEXT(40105, "[$-0E0000]yyyy-mm-dd")</f>
        <v/>
      </c>
      <c r="C40106" t="inlineStr">
        <is>
          <t>2009-09-03</t>
        </is>
      </c>
    </row>
    <row r="40107">
      <c r="A40107" s="1" t="n">
        <v>40106</v>
      </c>
      <c r="B40107">
        <f>TEXT(40106, "[$-0E0000]yyyy-mm-dd")</f>
        <v/>
      </c>
      <c r="C40107" t="inlineStr">
        <is>
          <t>2009-09-04</t>
        </is>
      </c>
    </row>
    <row r="40108">
      <c r="A40108" s="1" t="n">
        <v>40107</v>
      </c>
      <c r="B40108">
        <f>TEXT(40107, "[$-0E0000]yyyy-mm-dd")</f>
        <v/>
      </c>
      <c r="C40108" t="inlineStr">
        <is>
          <t>2009-09-05</t>
        </is>
      </c>
    </row>
    <row r="40109">
      <c r="A40109" s="1" t="n">
        <v>40108</v>
      </c>
      <c r="B40109">
        <f>TEXT(40108, "[$-0E0000]yyyy-mm-dd")</f>
        <v/>
      </c>
      <c r="C40109" t="inlineStr">
        <is>
          <t>2009-09-06</t>
        </is>
      </c>
    </row>
    <row r="40110">
      <c r="A40110" s="1" t="n">
        <v>40109</v>
      </c>
      <c r="B40110">
        <f>TEXT(40109, "[$-0E0000]yyyy-mm-dd")</f>
        <v/>
      </c>
      <c r="C40110" t="inlineStr">
        <is>
          <t>2009-09-07</t>
        </is>
      </c>
    </row>
    <row r="40111">
      <c r="A40111" s="1" t="n">
        <v>40110</v>
      </c>
      <c r="B40111">
        <f>TEXT(40110, "[$-0E0000]yyyy-mm-dd")</f>
        <v/>
      </c>
      <c r="C40111" t="inlineStr">
        <is>
          <t>2009-09-08</t>
        </is>
      </c>
    </row>
    <row r="40112">
      <c r="A40112" s="1" t="n">
        <v>40111</v>
      </c>
      <c r="B40112">
        <f>TEXT(40111, "[$-0E0000]yyyy-mm-dd")</f>
        <v/>
      </c>
      <c r="C40112" t="inlineStr">
        <is>
          <t>2009-09-09</t>
        </is>
      </c>
    </row>
    <row r="40113">
      <c r="A40113" s="1" t="n">
        <v>40112</v>
      </c>
      <c r="B40113">
        <f>TEXT(40112, "[$-0E0000]yyyy-mm-dd")</f>
        <v/>
      </c>
      <c r="C40113" t="inlineStr">
        <is>
          <t>2009-09-10</t>
        </is>
      </c>
    </row>
    <row r="40114">
      <c r="A40114" s="1" t="n">
        <v>40113</v>
      </c>
      <c r="B40114">
        <f>TEXT(40113, "[$-0E0000]yyyy-mm-dd")</f>
        <v/>
      </c>
      <c r="C40114" t="inlineStr">
        <is>
          <t>2009-09-11</t>
        </is>
      </c>
    </row>
    <row r="40115">
      <c r="A40115" s="1" t="n">
        <v>40114</v>
      </c>
      <c r="B40115">
        <f>TEXT(40114, "[$-0E0000]yyyy-mm-dd")</f>
        <v/>
      </c>
      <c r="C40115" t="inlineStr">
        <is>
          <t>2009-09-12</t>
        </is>
      </c>
    </row>
    <row r="40116">
      <c r="A40116" s="1" t="n">
        <v>40115</v>
      </c>
      <c r="B40116">
        <f>TEXT(40115, "[$-0E0000]yyyy-mm-dd")</f>
        <v/>
      </c>
      <c r="C40116" t="inlineStr">
        <is>
          <t>2009-09-13</t>
        </is>
      </c>
    </row>
    <row r="40117">
      <c r="A40117" s="1" t="n">
        <v>40116</v>
      </c>
      <c r="B40117">
        <f>TEXT(40116, "[$-0E0000]yyyy-mm-dd")</f>
        <v/>
      </c>
      <c r="C40117" t="inlineStr">
        <is>
          <t>2009-09-14</t>
        </is>
      </c>
    </row>
    <row r="40118">
      <c r="A40118" s="1" t="n">
        <v>40117</v>
      </c>
      <c r="B40118">
        <f>TEXT(40117, "[$-0E0000]yyyy-mm-dd")</f>
        <v/>
      </c>
      <c r="C40118" t="inlineStr">
        <is>
          <t>2009-09-15</t>
        </is>
      </c>
    </row>
    <row r="40119">
      <c r="A40119" s="1" t="n">
        <v>40118</v>
      </c>
      <c r="B40119">
        <f>TEXT(40118, "[$-0E0000]yyyy-mm-dd")</f>
        <v/>
      </c>
      <c r="C40119" t="inlineStr">
        <is>
          <t>2009-09-16</t>
        </is>
      </c>
    </row>
    <row r="40120">
      <c r="A40120" s="1" t="n">
        <v>40119</v>
      </c>
      <c r="B40120">
        <f>TEXT(40119, "[$-0E0000]yyyy-mm-dd")</f>
        <v/>
      </c>
      <c r="C40120" t="inlineStr">
        <is>
          <t>2009-09-17</t>
        </is>
      </c>
    </row>
    <row r="40121">
      <c r="A40121" s="1" t="n">
        <v>40120</v>
      </c>
      <c r="B40121">
        <f>TEXT(40120, "[$-0E0000]yyyy-mm-dd")</f>
        <v/>
      </c>
      <c r="C40121" t="inlineStr">
        <is>
          <t>2009-09-18</t>
        </is>
      </c>
    </row>
    <row r="40122">
      <c r="A40122" s="1" t="n">
        <v>40121</v>
      </c>
      <c r="B40122">
        <f>TEXT(40121, "[$-0E0000]yyyy-mm-dd")</f>
        <v/>
      </c>
      <c r="C40122" t="inlineStr">
        <is>
          <t>2009-09-19</t>
        </is>
      </c>
    </row>
    <row r="40123">
      <c r="A40123" s="1" t="n">
        <v>40122</v>
      </c>
      <c r="B40123">
        <f>TEXT(40122, "[$-0E0000]yyyy-mm-dd")</f>
        <v/>
      </c>
      <c r="C40123" t="inlineStr">
        <is>
          <t>2009-09-20</t>
        </is>
      </c>
    </row>
    <row r="40124">
      <c r="A40124" s="1" t="n">
        <v>40123</v>
      </c>
      <c r="B40124">
        <f>TEXT(40123, "[$-0E0000]yyyy-mm-dd")</f>
        <v/>
      </c>
      <c r="C40124" t="inlineStr">
        <is>
          <t>2009-09-21</t>
        </is>
      </c>
    </row>
    <row r="40125">
      <c r="A40125" s="1" t="n">
        <v>40124</v>
      </c>
      <c r="B40125">
        <f>TEXT(40124, "[$-0E0000]yyyy-mm-dd")</f>
        <v/>
      </c>
      <c r="C40125" t="inlineStr">
        <is>
          <t>2009-09-22</t>
        </is>
      </c>
    </row>
    <row r="40126">
      <c r="A40126" s="1" t="n">
        <v>40125</v>
      </c>
      <c r="B40126">
        <f>TEXT(40125, "[$-0E0000]yyyy-mm-dd")</f>
        <v/>
      </c>
      <c r="C40126" t="inlineStr">
        <is>
          <t>2009-09-23</t>
        </is>
      </c>
    </row>
    <row r="40127">
      <c r="A40127" s="1" t="n">
        <v>40126</v>
      </c>
      <c r="B40127">
        <f>TEXT(40126, "[$-0E0000]yyyy-mm-dd")</f>
        <v/>
      </c>
      <c r="C40127" t="inlineStr">
        <is>
          <t>2009-09-24</t>
        </is>
      </c>
    </row>
    <row r="40128">
      <c r="A40128" s="1" t="n">
        <v>40127</v>
      </c>
      <c r="B40128">
        <f>TEXT(40127, "[$-0E0000]yyyy-mm-dd")</f>
        <v/>
      </c>
      <c r="C40128" t="inlineStr">
        <is>
          <t>2009-09-25</t>
        </is>
      </c>
    </row>
    <row r="40129">
      <c r="A40129" s="1" t="n">
        <v>40128</v>
      </c>
      <c r="B40129">
        <f>TEXT(40128, "[$-0E0000]yyyy-mm-dd")</f>
        <v/>
      </c>
      <c r="C40129" t="inlineStr">
        <is>
          <t>2009-09-26</t>
        </is>
      </c>
    </row>
    <row r="40130">
      <c r="A40130" s="1" t="n">
        <v>40129</v>
      </c>
      <c r="B40130">
        <f>TEXT(40129, "[$-0E0000]yyyy-mm-dd")</f>
        <v/>
      </c>
      <c r="C40130" t="inlineStr">
        <is>
          <t>2009-09-27</t>
        </is>
      </c>
    </row>
    <row r="40131">
      <c r="A40131" s="1" t="n">
        <v>40130</v>
      </c>
      <c r="B40131">
        <f>TEXT(40130, "[$-0E0000]yyyy-mm-dd")</f>
        <v/>
      </c>
      <c r="C40131" t="inlineStr">
        <is>
          <t>2009-09-28</t>
        </is>
      </c>
    </row>
    <row r="40132">
      <c r="A40132" s="1" t="n">
        <v>40131</v>
      </c>
      <c r="B40132">
        <f>TEXT(40131, "[$-0E0000]yyyy-mm-dd")</f>
        <v/>
      </c>
      <c r="C40132" t="inlineStr">
        <is>
          <t>2009-09-29</t>
        </is>
      </c>
    </row>
    <row r="40133">
      <c r="A40133" s="1" t="n">
        <v>40132</v>
      </c>
      <c r="B40133">
        <f>TEXT(40132, "[$-0E0000]yyyy-mm-dd")</f>
        <v/>
      </c>
      <c r="C40133" t="inlineStr">
        <is>
          <t>2009-09-30</t>
        </is>
      </c>
    </row>
    <row r="40134">
      <c r="A40134" s="1" t="n">
        <v>40133</v>
      </c>
      <c r="B40134">
        <f>TEXT(40133, "[$-0E0000]yyyy-mm-dd")</f>
        <v/>
      </c>
      <c r="C40134" t="inlineStr">
        <is>
          <t>2009-10-01</t>
        </is>
      </c>
    </row>
    <row r="40135">
      <c r="A40135" s="1" t="n">
        <v>40134</v>
      </c>
      <c r="B40135">
        <f>TEXT(40134, "[$-0E0000]yyyy-mm-dd")</f>
        <v/>
      </c>
      <c r="C40135" t="inlineStr">
        <is>
          <t>2009-10-02</t>
        </is>
      </c>
    </row>
    <row r="40136">
      <c r="A40136" s="1" t="n">
        <v>40135</v>
      </c>
      <c r="B40136">
        <f>TEXT(40135, "[$-0E0000]yyyy-mm-dd")</f>
        <v/>
      </c>
      <c r="C40136" t="inlineStr">
        <is>
          <t>2009-10-03</t>
        </is>
      </c>
    </row>
    <row r="40137">
      <c r="A40137" s="1" t="n">
        <v>40136</v>
      </c>
      <c r="B40137">
        <f>TEXT(40136, "[$-0E0000]yyyy-mm-dd")</f>
        <v/>
      </c>
      <c r="C40137" t="inlineStr">
        <is>
          <t>2009-10-04</t>
        </is>
      </c>
    </row>
    <row r="40138">
      <c r="A40138" s="1" t="n">
        <v>40137</v>
      </c>
      <c r="B40138">
        <f>TEXT(40137, "[$-0E0000]yyyy-mm-dd")</f>
        <v/>
      </c>
      <c r="C40138" t="inlineStr">
        <is>
          <t>2009-10-05</t>
        </is>
      </c>
    </row>
    <row r="40139">
      <c r="A40139" s="1" t="n">
        <v>40138</v>
      </c>
      <c r="B40139">
        <f>TEXT(40138, "[$-0E0000]yyyy-mm-dd")</f>
        <v/>
      </c>
      <c r="C40139" t="inlineStr">
        <is>
          <t>2009-10-06</t>
        </is>
      </c>
    </row>
    <row r="40140">
      <c r="A40140" s="1" t="n">
        <v>40139</v>
      </c>
      <c r="B40140">
        <f>TEXT(40139, "[$-0E0000]yyyy-mm-dd")</f>
        <v/>
      </c>
      <c r="C40140" t="inlineStr">
        <is>
          <t>2009-10-07</t>
        </is>
      </c>
    </row>
    <row r="40141">
      <c r="A40141" s="1" t="n">
        <v>40140</v>
      </c>
      <c r="B40141">
        <f>TEXT(40140, "[$-0E0000]yyyy-mm-dd")</f>
        <v/>
      </c>
      <c r="C40141" t="inlineStr">
        <is>
          <t>2009-10-08</t>
        </is>
      </c>
    </row>
    <row r="40142">
      <c r="A40142" s="1" t="n">
        <v>40141</v>
      </c>
      <c r="B40142">
        <f>TEXT(40141, "[$-0E0000]yyyy-mm-dd")</f>
        <v/>
      </c>
      <c r="C40142" t="inlineStr">
        <is>
          <t>2009-10-09</t>
        </is>
      </c>
    </row>
    <row r="40143">
      <c r="A40143" s="1" t="n">
        <v>40142</v>
      </c>
      <c r="B40143">
        <f>TEXT(40142, "[$-0E0000]yyyy-mm-dd")</f>
        <v/>
      </c>
      <c r="C40143" t="inlineStr">
        <is>
          <t>2009-10-10</t>
        </is>
      </c>
    </row>
    <row r="40144">
      <c r="A40144" s="1" t="n">
        <v>40143</v>
      </c>
      <c r="B40144">
        <f>TEXT(40143, "[$-0E0000]yyyy-mm-dd")</f>
        <v/>
      </c>
      <c r="C40144" t="inlineStr">
        <is>
          <t>2009-10-11</t>
        </is>
      </c>
    </row>
    <row r="40145">
      <c r="A40145" s="1" t="n">
        <v>40144</v>
      </c>
      <c r="B40145">
        <f>TEXT(40144, "[$-0E0000]yyyy-mm-dd")</f>
        <v/>
      </c>
      <c r="C40145" t="inlineStr">
        <is>
          <t>2009-10-12</t>
        </is>
      </c>
    </row>
    <row r="40146">
      <c r="A40146" s="1" t="n">
        <v>40145</v>
      </c>
      <c r="B40146">
        <f>TEXT(40145, "[$-0E0000]yyyy-mm-dd")</f>
        <v/>
      </c>
      <c r="C40146" t="inlineStr">
        <is>
          <t>2009-10-13</t>
        </is>
      </c>
    </row>
    <row r="40147">
      <c r="A40147" s="1" t="n">
        <v>40146</v>
      </c>
      <c r="B40147">
        <f>TEXT(40146, "[$-0E0000]yyyy-mm-dd")</f>
        <v/>
      </c>
      <c r="C40147" t="inlineStr">
        <is>
          <t>2009-10-14</t>
        </is>
      </c>
    </row>
    <row r="40148">
      <c r="A40148" s="1" t="n">
        <v>40147</v>
      </c>
      <c r="B40148">
        <f>TEXT(40147, "[$-0E0000]yyyy-mm-dd")</f>
        <v/>
      </c>
      <c r="C40148" t="inlineStr">
        <is>
          <t>2009-10-15</t>
        </is>
      </c>
    </row>
    <row r="40149">
      <c r="A40149" s="1" t="n">
        <v>40148</v>
      </c>
      <c r="B40149">
        <f>TEXT(40148, "[$-0E0000]yyyy-mm-dd")</f>
        <v/>
      </c>
      <c r="C40149" t="inlineStr">
        <is>
          <t>2009-10-16</t>
        </is>
      </c>
    </row>
    <row r="40150">
      <c r="A40150" s="1" t="n">
        <v>40149</v>
      </c>
      <c r="B40150">
        <f>TEXT(40149, "[$-0E0000]yyyy-mm-dd")</f>
        <v/>
      </c>
      <c r="C40150" t="inlineStr">
        <is>
          <t>2009-10-17</t>
        </is>
      </c>
    </row>
    <row r="40151">
      <c r="A40151" s="1" t="n">
        <v>40150</v>
      </c>
      <c r="B40151">
        <f>TEXT(40150, "[$-0E0000]yyyy-mm-dd")</f>
        <v/>
      </c>
      <c r="C40151" t="inlineStr">
        <is>
          <t>2009-10-18</t>
        </is>
      </c>
    </row>
    <row r="40152">
      <c r="A40152" s="1" t="n">
        <v>40151</v>
      </c>
      <c r="B40152">
        <f>TEXT(40151, "[$-0E0000]yyyy-mm-dd")</f>
        <v/>
      </c>
      <c r="C40152" t="inlineStr">
        <is>
          <t>2009-10-19</t>
        </is>
      </c>
    </row>
    <row r="40153">
      <c r="A40153" s="1" t="n">
        <v>40152</v>
      </c>
      <c r="B40153">
        <f>TEXT(40152, "[$-0E0000]yyyy-mm-dd")</f>
        <v/>
      </c>
      <c r="C40153" t="inlineStr">
        <is>
          <t>2009-10-20</t>
        </is>
      </c>
    </row>
    <row r="40154">
      <c r="A40154" s="1" t="n">
        <v>40153</v>
      </c>
      <c r="B40154">
        <f>TEXT(40153, "[$-0E0000]yyyy-mm-dd")</f>
        <v/>
      </c>
      <c r="C40154" t="inlineStr">
        <is>
          <t>2009-10-21</t>
        </is>
      </c>
    </row>
    <row r="40155">
      <c r="A40155" s="1" t="n">
        <v>40154</v>
      </c>
      <c r="B40155">
        <f>TEXT(40154, "[$-0E0000]yyyy-mm-dd")</f>
        <v/>
      </c>
      <c r="C40155" t="inlineStr">
        <is>
          <t>2009-10-22</t>
        </is>
      </c>
    </row>
    <row r="40156">
      <c r="A40156" s="1" t="n">
        <v>40155</v>
      </c>
      <c r="B40156">
        <f>TEXT(40155, "[$-0E0000]yyyy-mm-dd")</f>
        <v/>
      </c>
      <c r="C40156" t="inlineStr">
        <is>
          <t>2009-10-23</t>
        </is>
      </c>
    </row>
    <row r="40157">
      <c r="A40157" s="1" t="n">
        <v>40156</v>
      </c>
      <c r="B40157">
        <f>TEXT(40156, "[$-0E0000]yyyy-mm-dd")</f>
        <v/>
      </c>
      <c r="C40157" t="inlineStr">
        <is>
          <t>2009-10-24</t>
        </is>
      </c>
    </row>
    <row r="40158">
      <c r="A40158" s="1" t="n">
        <v>40157</v>
      </c>
      <c r="B40158">
        <f>TEXT(40157, "[$-0E0000]yyyy-mm-dd")</f>
        <v/>
      </c>
      <c r="C40158" t="inlineStr">
        <is>
          <t>2009-10-25</t>
        </is>
      </c>
    </row>
    <row r="40159">
      <c r="A40159" s="1" t="n">
        <v>40158</v>
      </c>
      <c r="B40159">
        <f>TEXT(40158, "[$-0E0000]yyyy-mm-dd")</f>
        <v/>
      </c>
      <c r="C40159" t="inlineStr">
        <is>
          <t>2009-10-26</t>
        </is>
      </c>
    </row>
    <row r="40160">
      <c r="A40160" s="1" t="n">
        <v>40159</v>
      </c>
      <c r="B40160">
        <f>TEXT(40159, "[$-0E0000]yyyy-mm-dd")</f>
        <v/>
      </c>
      <c r="C40160" t="inlineStr">
        <is>
          <t>2009-10-27</t>
        </is>
      </c>
    </row>
    <row r="40161">
      <c r="A40161" s="1" t="n">
        <v>40160</v>
      </c>
      <c r="B40161">
        <f>TEXT(40160, "[$-0E0000]yyyy-mm-dd")</f>
        <v/>
      </c>
      <c r="C40161" t="inlineStr">
        <is>
          <t>2009-10-28</t>
        </is>
      </c>
    </row>
    <row r="40162">
      <c r="A40162" s="1" t="n">
        <v>40161</v>
      </c>
      <c r="B40162">
        <f>TEXT(40161, "[$-0E0000]yyyy-mm-dd")</f>
        <v/>
      </c>
      <c r="C40162" t="inlineStr">
        <is>
          <t>2009-10-29</t>
        </is>
      </c>
    </row>
    <row r="40163">
      <c r="A40163" s="1" t="n">
        <v>40162</v>
      </c>
      <c r="B40163">
        <f>TEXT(40162, "[$-0E0000]yyyy-mm-dd")</f>
        <v/>
      </c>
      <c r="C40163" t="inlineStr">
        <is>
          <t>2009-11-01</t>
        </is>
      </c>
    </row>
    <row r="40164">
      <c r="A40164" s="1" t="n">
        <v>40163</v>
      </c>
      <c r="B40164">
        <f>TEXT(40163, "[$-0E0000]yyyy-mm-dd")</f>
        <v/>
      </c>
      <c r="C40164" t="inlineStr">
        <is>
          <t>2009-11-02</t>
        </is>
      </c>
    </row>
    <row r="40165">
      <c r="A40165" s="1" t="n">
        <v>40164</v>
      </c>
      <c r="B40165">
        <f>TEXT(40164, "[$-0E0000]yyyy-mm-dd")</f>
        <v/>
      </c>
      <c r="C40165" t="inlineStr">
        <is>
          <t>2009-11-03</t>
        </is>
      </c>
    </row>
    <row r="40166">
      <c r="A40166" s="1" t="n">
        <v>40165</v>
      </c>
      <c r="B40166">
        <f>TEXT(40165, "[$-0E0000]yyyy-mm-dd")</f>
        <v/>
      </c>
      <c r="C40166" t="inlineStr">
        <is>
          <t>2009-11-04</t>
        </is>
      </c>
    </row>
    <row r="40167">
      <c r="A40167" s="1" t="n">
        <v>40166</v>
      </c>
      <c r="B40167">
        <f>TEXT(40166, "[$-0E0000]yyyy-mm-dd")</f>
        <v/>
      </c>
      <c r="C40167" t="inlineStr">
        <is>
          <t>2009-11-05</t>
        </is>
      </c>
    </row>
    <row r="40168">
      <c r="A40168" s="1" t="n">
        <v>40167</v>
      </c>
      <c r="B40168">
        <f>TEXT(40167, "[$-0E0000]yyyy-mm-dd")</f>
        <v/>
      </c>
      <c r="C40168" t="inlineStr">
        <is>
          <t>2009-11-06</t>
        </is>
      </c>
    </row>
    <row r="40169">
      <c r="A40169" s="1" t="n">
        <v>40168</v>
      </c>
      <c r="B40169">
        <f>TEXT(40168, "[$-0E0000]yyyy-mm-dd")</f>
        <v/>
      </c>
      <c r="C40169" t="inlineStr">
        <is>
          <t>2009-11-07</t>
        </is>
      </c>
    </row>
    <row r="40170">
      <c r="A40170" s="1" t="n">
        <v>40169</v>
      </c>
      <c r="B40170">
        <f>TEXT(40169, "[$-0E0000]yyyy-mm-dd")</f>
        <v/>
      </c>
      <c r="C40170" t="inlineStr">
        <is>
          <t>2009-11-08</t>
        </is>
      </c>
    </row>
    <row r="40171">
      <c r="A40171" s="1" t="n">
        <v>40170</v>
      </c>
      <c r="B40171">
        <f>TEXT(40170, "[$-0E0000]yyyy-mm-dd")</f>
        <v/>
      </c>
      <c r="C40171" t="inlineStr">
        <is>
          <t>2009-11-09</t>
        </is>
      </c>
    </row>
    <row r="40172">
      <c r="A40172" s="1" t="n">
        <v>40171</v>
      </c>
      <c r="B40172">
        <f>TEXT(40171, "[$-0E0000]yyyy-mm-dd")</f>
        <v/>
      </c>
      <c r="C40172" t="inlineStr">
        <is>
          <t>2009-11-10</t>
        </is>
      </c>
    </row>
    <row r="40173">
      <c r="A40173" s="1" t="n">
        <v>40172</v>
      </c>
      <c r="B40173">
        <f>TEXT(40172, "[$-0E0000]yyyy-mm-dd")</f>
        <v/>
      </c>
      <c r="C40173" t="inlineStr">
        <is>
          <t>2009-11-11</t>
        </is>
      </c>
    </row>
    <row r="40174">
      <c r="A40174" s="1" t="n">
        <v>40173</v>
      </c>
      <c r="B40174">
        <f>TEXT(40173, "[$-0E0000]yyyy-mm-dd")</f>
        <v/>
      </c>
      <c r="C40174" t="inlineStr">
        <is>
          <t>2009-11-12</t>
        </is>
      </c>
    </row>
    <row r="40175">
      <c r="A40175" s="1" t="n">
        <v>40174</v>
      </c>
      <c r="B40175">
        <f>TEXT(40174, "[$-0E0000]yyyy-mm-dd")</f>
        <v/>
      </c>
      <c r="C40175" t="inlineStr">
        <is>
          <t>2009-11-13</t>
        </is>
      </c>
    </row>
    <row r="40176">
      <c r="A40176" s="1" t="n">
        <v>40175</v>
      </c>
      <c r="B40176">
        <f>TEXT(40175, "[$-0E0000]yyyy-mm-dd")</f>
        <v/>
      </c>
      <c r="C40176" t="inlineStr">
        <is>
          <t>2009-11-14</t>
        </is>
      </c>
    </row>
    <row r="40177">
      <c r="A40177" s="1" t="n">
        <v>40176</v>
      </c>
      <c r="B40177">
        <f>TEXT(40176, "[$-0E0000]yyyy-mm-dd")</f>
        <v/>
      </c>
      <c r="C40177" t="inlineStr">
        <is>
          <t>2009-11-15</t>
        </is>
      </c>
    </row>
    <row r="40178">
      <c r="A40178" s="1" t="n">
        <v>40177</v>
      </c>
      <c r="B40178">
        <f>TEXT(40177, "[$-0E0000]yyyy-mm-dd")</f>
        <v/>
      </c>
      <c r="C40178" t="inlineStr">
        <is>
          <t>2009-11-16</t>
        </is>
      </c>
    </row>
    <row r="40179">
      <c r="A40179" s="1" t="n">
        <v>40178</v>
      </c>
      <c r="B40179">
        <f>TEXT(40178, "[$-0E0000]yyyy-mm-dd")</f>
        <v/>
      </c>
      <c r="C40179" t="inlineStr">
        <is>
          <t>2009-11-17</t>
        </is>
      </c>
    </row>
    <row r="40180">
      <c r="A40180" s="1" t="n">
        <v>40179</v>
      </c>
      <c r="B40180">
        <f>TEXT(40179, "[$-0E0000]yyyy-mm-dd")</f>
        <v/>
      </c>
      <c r="C40180" t="inlineStr">
        <is>
          <t>2009-11-18</t>
        </is>
      </c>
    </row>
    <row r="40181">
      <c r="A40181" s="1" t="n">
        <v>40180</v>
      </c>
      <c r="B40181">
        <f>TEXT(40180, "[$-0E0000]yyyy-mm-dd")</f>
        <v/>
      </c>
      <c r="C40181" t="inlineStr">
        <is>
          <t>2009-11-19</t>
        </is>
      </c>
    </row>
    <row r="40182">
      <c r="A40182" s="1" t="n">
        <v>40181</v>
      </c>
      <c r="B40182">
        <f>TEXT(40181, "[$-0E0000]yyyy-mm-dd")</f>
        <v/>
      </c>
      <c r="C40182" t="inlineStr">
        <is>
          <t>2009-11-20</t>
        </is>
      </c>
    </row>
    <row r="40183">
      <c r="A40183" s="1" t="n">
        <v>40182</v>
      </c>
      <c r="B40183">
        <f>TEXT(40182, "[$-0E0000]yyyy-mm-dd")</f>
        <v/>
      </c>
      <c r="C40183" t="inlineStr">
        <is>
          <t>2009-11-21</t>
        </is>
      </c>
    </row>
    <row r="40184">
      <c r="A40184" s="1" t="n">
        <v>40183</v>
      </c>
      <c r="B40184">
        <f>TEXT(40183, "[$-0E0000]yyyy-mm-dd")</f>
        <v/>
      </c>
      <c r="C40184" t="inlineStr">
        <is>
          <t>2009-11-22</t>
        </is>
      </c>
    </row>
    <row r="40185">
      <c r="A40185" s="1" t="n">
        <v>40184</v>
      </c>
      <c r="B40185">
        <f>TEXT(40184, "[$-0E0000]yyyy-mm-dd")</f>
        <v/>
      </c>
      <c r="C40185" t="inlineStr">
        <is>
          <t>2009-11-23</t>
        </is>
      </c>
    </row>
    <row r="40186">
      <c r="A40186" s="1" t="n">
        <v>40185</v>
      </c>
      <c r="B40186">
        <f>TEXT(40185, "[$-0E0000]yyyy-mm-dd")</f>
        <v/>
      </c>
      <c r="C40186" t="inlineStr">
        <is>
          <t>2009-11-24</t>
        </is>
      </c>
    </row>
    <row r="40187">
      <c r="A40187" s="1" t="n">
        <v>40186</v>
      </c>
      <c r="B40187">
        <f>TEXT(40186, "[$-0E0000]yyyy-mm-dd")</f>
        <v/>
      </c>
      <c r="C40187" t="inlineStr">
        <is>
          <t>2009-11-25</t>
        </is>
      </c>
    </row>
    <row r="40188">
      <c r="A40188" s="1" t="n">
        <v>40187</v>
      </c>
      <c r="B40188">
        <f>TEXT(40187, "[$-0E0000]yyyy-mm-dd")</f>
        <v/>
      </c>
      <c r="C40188" t="inlineStr">
        <is>
          <t>2009-11-26</t>
        </is>
      </c>
    </row>
    <row r="40189">
      <c r="A40189" s="1" t="n">
        <v>40188</v>
      </c>
      <c r="B40189">
        <f>TEXT(40188, "[$-0E0000]yyyy-mm-dd")</f>
        <v/>
      </c>
      <c r="C40189" t="inlineStr">
        <is>
          <t>2009-11-27</t>
        </is>
      </c>
    </row>
    <row r="40190">
      <c r="A40190" s="1" t="n">
        <v>40189</v>
      </c>
      <c r="B40190">
        <f>TEXT(40189, "[$-0E0000]yyyy-mm-dd")</f>
        <v/>
      </c>
      <c r="C40190" t="inlineStr">
        <is>
          <t>2009-11-28</t>
        </is>
      </c>
    </row>
    <row r="40191">
      <c r="A40191" s="1" t="n">
        <v>40190</v>
      </c>
      <c r="B40191">
        <f>TEXT(40190, "[$-0E0000]yyyy-mm-dd")</f>
        <v/>
      </c>
      <c r="C40191" t="inlineStr">
        <is>
          <t>2009-11-29</t>
        </is>
      </c>
    </row>
    <row r="40192">
      <c r="A40192" s="1" t="n">
        <v>40191</v>
      </c>
      <c r="B40192">
        <f>TEXT(40191, "[$-0E0000]yyyy-mm-dd")</f>
        <v/>
      </c>
      <c r="C40192" t="inlineStr">
        <is>
          <t>2009-11-30</t>
        </is>
      </c>
    </row>
    <row r="40193">
      <c r="A40193" s="1" t="n">
        <v>40192</v>
      </c>
      <c r="B40193">
        <f>TEXT(40192, "[$-0E0000]yyyy-mm-dd")</f>
        <v/>
      </c>
      <c r="C40193" t="inlineStr">
        <is>
          <t>2009-12-01</t>
        </is>
      </c>
    </row>
    <row r="40194">
      <c r="A40194" s="1" t="n">
        <v>40193</v>
      </c>
      <c r="B40194">
        <f>TEXT(40193, "[$-0E0000]yyyy-mm-dd")</f>
        <v/>
      </c>
      <c r="C40194" t="inlineStr">
        <is>
          <t>2009-12-02</t>
        </is>
      </c>
    </row>
    <row r="40195">
      <c r="A40195" s="1" t="n">
        <v>40194</v>
      </c>
      <c r="B40195">
        <f>TEXT(40194, "[$-0E0000]yyyy-mm-dd")</f>
        <v/>
      </c>
      <c r="C40195" t="inlineStr">
        <is>
          <t>2009-12-03</t>
        </is>
      </c>
    </row>
    <row r="40196">
      <c r="A40196" s="1" t="n">
        <v>40195</v>
      </c>
      <c r="B40196">
        <f>TEXT(40195, "[$-0E0000]yyyy-mm-dd")</f>
        <v/>
      </c>
      <c r="C40196" t="inlineStr">
        <is>
          <t>2009-12-04</t>
        </is>
      </c>
    </row>
    <row r="40197">
      <c r="A40197" s="1" t="n">
        <v>40196</v>
      </c>
      <c r="B40197">
        <f>TEXT(40196, "[$-0E0000]yyyy-mm-dd")</f>
        <v/>
      </c>
      <c r="C40197" t="inlineStr">
        <is>
          <t>2009-12-05</t>
        </is>
      </c>
    </row>
    <row r="40198">
      <c r="A40198" s="1" t="n">
        <v>40197</v>
      </c>
      <c r="B40198">
        <f>TEXT(40197, "[$-0E0000]yyyy-mm-dd")</f>
        <v/>
      </c>
      <c r="C40198" t="inlineStr">
        <is>
          <t>2009-12-06</t>
        </is>
      </c>
    </row>
    <row r="40199">
      <c r="A40199" s="1" t="n">
        <v>40198</v>
      </c>
      <c r="B40199">
        <f>TEXT(40198, "[$-0E0000]yyyy-mm-dd")</f>
        <v/>
      </c>
      <c r="C40199" t="inlineStr">
        <is>
          <t>2009-12-07</t>
        </is>
      </c>
    </row>
    <row r="40200">
      <c r="A40200" s="1" t="n">
        <v>40199</v>
      </c>
      <c r="B40200">
        <f>TEXT(40199, "[$-0E0000]yyyy-mm-dd")</f>
        <v/>
      </c>
      <c r="C40200" t="inlineStr">
        <is>
          <t>2009-12-08</t>
        </is>
      </c>
    </row>
    <row r="40201">
      <c r="A40201" s="1" t="n">
        <v>40200</v>
      </c>
      <c r="B40201">
        <f>TEXT(40200, "[$-0E0000]yyyy-mm-dd")</f>
        <v/>
      </c>
      <c r="C40201" t="inlineStr">
        <is>
          <t>2009-12-09</t>
        </is>
      </c>
    </row>
    <row r="40202">
      <c r="A40202" s="1" t="n">
        <v>40201</v>
      </c>
      <c r="B40202">
        <f>TEXT(40201, "[$-0E0000]yyyy-mm-dd")</f>
        <v/>
      </c>
      <c r="C40202" t="inlineStr">
        <is>
          <t>2009-12-10</t>
        </is>
      </c>
    </row>
    <row r="40203">
      <c r="A40203" s="1" t="n">
        <v>40202</v>
      </c>
      <c r="B40203">
        <f>TEXT(40202, "[$-0E0000]yyyy-mm-dd")</f>
        <v/>
      </c>
      <c r="C40203" t="inlineStr">
        <is>
          <t>2009-12-11</t>
        </is>
      </c>
    </row>
    <row r="40204">
      <c r="A40204" s="1" t="n">
        <v>40203</v>
      </c>
      <c r="B40204">
        <f>TEXT(40203, "[$-0E0000]yyyy-mm-dd")</f>
        <v/>
      </c>
      <c r="C40204" t="inlineStr">
        <is>
          <t>2009-12-12</t>
        </is>
      </c>
    </row>
    <row r="40205">
      <c r="A40205" s="1" t="n">
        <v>40204</v>
      </c>
      <c r="B40205">
        <f>TEXT(40204, "[$-0E0000]yyyy-mm-dd")</f>
        <v/>
      </c>
      <c r="C40205" t="inlineStr">
        <is>
          <t>2009-12-13</t>
        </is>
      </c>
    </row>
    <row r="40206">
      <c r="A40206" s="1" t="n">
        <v>40205</v>
      </c>
      <c r="B40206">
        <f>TEXT(40205, "[$-0E0000]yyyy-mm-dd")</f>
        <v/>
      </c>
      <c r="C40206" t="inlineStr">
        <is>
          <t>2009-12-14</t>
        </is>
      </c>
    </row>
    <row r="40207">
      <c r="A40207" s="1" t="n">
        <v>40206</v>
      </c>
      <c r="B40207">
        <f>TEXT(40206, "[$-0E0000]yyyy-mm-dd")</f>
        <v/>
      </c>
      <c r="C40207" t="inlineStr">
        <is>
          <t>2009-12-15</t>
        </is>
      </c>
    </row>
    <row r="40208">
      <c r="A40208" s="1" t="n">
        <v>40207</v>
      </c>
      <c r="B40208">
        <f>TEXT(40207, "[$-0E0000]yyyy-mm-dd")</f>
        <v/>
      </c>
      <c r="C40208" t="inlineStr">
        <is>
          <t>2009-12-16</t>
        </is>
      </c>
    </row>
    <row r="40209">
      <c r="A40209" s="1" t="n">
        <v>40208</v>
      </c>
      <c r="B40209">
        <f>TEXT(40208, "[$-0E0000]yyyy-mm-dd")</f>
        <v/>
      </c>
      <c r="C40209" t="inlineStr">
        <is>
          <t>2009-12-17</t>
        </is>
      </c>
    </row>
    <row r="40210">
      <c r="A40210" s="1" t="n">
        <v>40209</v>
      </c>
      <c r="B40210">
        <f>TEXT(40209, "[$-0E0000]yyyy-mm-dd")</f>
        <v/>
      </c>
      <c r="C40210" t="inlineStr">
        <is>
          <t>2009-12-18</t>
        </is>
      </c>
    </row>
    <row r="40211">
      <c r="A40211" s="1" t="n">
        <v>40210</v>
      </c>
      <c r="B40211">
        <f>TEXT(40210, "[$-0E0000]yyyy-mm-dd")</f>
        <v/>
      </c>
      <c r="C40211" t="inlineStr">
        <is>
          <t>2009-12-19</t>
        </is>
      </c>
    </row>
    <row r="40212">
      <c r="A40212" s="1" t="n">
        <v>40211</v>
      </c>
      <c r="B40212">
        <f>TEXT(40211, "[$-0E0000]yyyy-mm-dd")</f>
        <v/>
      </c>
      <c r="C40212" t="inlineStr">
        <is>
          <t>2009-12-20</t>
        </is>
      </c>
    </row>
    <row r="40213">
      <c r="A40213" s="1" t="n">
        <v>40212</v>
      </c>
      <c r="B40213">
        <f>TEXT(40212, "[$-0E0000]yyyy-mm-dd")</f>
        <v/>
      </c>
      <c r="C40213" t="inlineStr">
        <is>
          <t>2009-12-21</t>
        </is>
      </c>
    </row>
    <row r="40214">
      <c r="A40214" s="1" t="n">
        <v>40213</v>
      </c>
      <c r="B40214">
        <f>TEXT(40213, "[$-0E0000]yyyy-mm-dd")</f>
        <v/>
      </c>
      <c r="C40214" t="inlineStr">
        <is>
          <t>2009-12-22</t>
        </is>
      </c>
    </row>
    <row r="40215">
      <c r="A40215" s="1" t="n">
        <v>40214</v>
      </c>
      <c r="B40215">
        <f>TEXT(40214, "[$-0E0000]yyyy-mm-dd")</f>
        <v/>
      </c>
      <c r="C40215" t="inlineStr">
        <is>
          <t>2009-12-23</t>
        </is>
      </c>
    </row>
    <row r="40216">
      <c r="A40216" s="1" t="n">
        <v>40215</v>
      </c>
      <c r="B40216">
        <f>TEXT(40215, "[$-0E0000]yyyy-mm-dd")</f>
        <v/>
      </c>
      <c r="C40216" t="inlineStr">
        <is>
          <t>2009-12-24</t>
        </is>
      </c>
    </row>
    <row r="40217">
      <c r="A40217" s="1" t="n">
        <v>40216</v>
      </c>
      <c r="B40217">
        <f>TEXT(40216, "[$-0E0000]yyyy-mm-dd")</f>
        <v/>
      </c>
      <c r="C40217" t="inlineStr">
        <is>
          <t>2009-12-25</t>
        </is>
      </c>
    </row>
    <row r="40218">
      <c r="A40218" s="1" t="n">
        <v>40217</v>
      </c>
      <c r="B40218">
        <f>TEXT(40217, "[$-0E0000]yyyy-mm-dd")</f>
        <v/>
      </c>
      <c r="C40218" t="inlineStr">
        <is>
          <t>2009-12-26</t>
        </is>
      </c>
    </row>
    <row r="40219">
      <c r="A40219" s="1" t="n">
        <v>40218</v>
      </c>
      <c r="B40219">
        <f>TEXT(40218, "[$-0E0000]yyyy-mm-dd")</f>
        <v/>
      </c>
      <c r="C40219" t="inlineStr">
        <is>
          <t>2009-12-27</t>
        </is>
      </c>
    </row>
    <row r="40220">
      <c r="A40220" s="1" t="n">
        <v>40219</v>
      </c>
      <c r="B40220">
        <f>TEXT(40219, "[$-0E0000]yyyy-mm-dd")</f>
        <v/>
      </c>
      <c r="C40220" t="inlineStr">
        <is>
          <t>2009-12-28</t>
        </is>
      </c>
    </row>
    <row r="40221">
      <c r="A40221" s="1" t="n">
        <v>40220</v>
      </c>
      <c r="B40221">
        <f>TEXT(40220, "[$-0E0000]yyyy-mm-dd")</f>
        <v/>
      </c>
      <c r="C40221" t="inlineStr">
        <is>
          <t>2009-12-29</t>
        </is>
      </c>
    </row>
    <row r="40222">
      <c r="A40222" s="1" t="n">
        <v>40221</v>
      </c>
      <c r="B40222">
        <f>TEXT(40221, "[$-0E0000]yyyy-mm-dd")</f>
        <v/>
      </c>
      <c r="C40222" t="inlineStr">
        <is>
          <t>2009-12-30</t>
        </is>
      </c>
    </row>
    <row r="40223">
      <c r="A40223" s="1" t="n">
        <v>40222</v>
      </c>
      <c r="B40223">
        <f>TEXT(40222, "[$-0E0000]yyyy-mm-dd")</f>
        <v/>
      </c>
      <c r="C40223" t="inlineStr">
        <is>
          <t>2010-01-01</t>
        </is>
      </c>
    </row>
    <row r="40224">
      <c r="A40224" s="1" t="n">
        <v>40223</v>
      </c>
      <c r="B40224">
        <f>TEXT(40223, "[$-0E0000]yyyy-mm-dd")</f>
        <v/>
      </c>
      <c r="C40224" t="inlineStr">
        <is>
          <t>2010-01-02</t>
        </is>
      </c>
    </row>
    <row r="40225">
      <c r="A40225" s="1" t="n">
        <v>40224</v>
      </c>
      <c r="B40225">
        <f>TEXT(40224, "[$-0E0000]yyyy-mm-dd")</f>
        <v/>
      </c>
      <c r="C40225" t="inlineStr">
        <is>
          <t>2010-01-03</t>
        </is>
      </c>
    </row>
    <row r="40226">
      <c r="A40226" s="1" t="n">
        <v>40225</v>
      </c>
      <c r="B40226">
        <f>TEXT(40225, "[$-0E0000]yyyy-mm-dd")</f>
        <v/>
      </c>
      <c r="C40226" t="inlineStr">
        <is>
          <t>2010-01-04</t>
        </is>
      </c>
    </row>
    <row r="40227">
      <c r="A40227" s="1" t="n">
        <v>40226</v>
      </c>
      <c r="B40227">
        <f>TEXT(40226, "[$-0E0000]yyyy-mm-dd")</f>
        <v/>
      </c>
      <c r="C40227" t="inlineStr">
        <is>
          <t>2010-01-05</t>
        </is>
      </c>
    </row>
    <row r="40228">
      <c r="A40228" s="1" t="n">
        <v>40227</v>
      </c>
      <c r="B40228">
        <f>TEXT(40227, "[$-0E0000]yyyy-mm-dd")</f>
        <v/>
      </c>
      <c r="C40228" t="inlineStr">
        <is>
          <t>2010-01-06</t>
        </is>
      </c>
    </row>
    <row r="40229">
      <c r="A40229" s="1" t="n">
        <v>40228</v>
      </c>
      <c r="B40229">
        <f>TEXT(40228, "[$-0E0000]yyyy-mm-dd")</f>
        <v/>
      </c>
      <c r="C40229" t="inlineStr">
        <is>
          <t>2010-01-07</t>
        </is>
      </c>
    </row>
    <row r="40230">
      <c r="A40230" s="1" t="n">
        <v>40229</v>
      </c>
      <c r="B40230">
        <f>TEXT(40229, "[$-0E0000]yyyy-mm-dd")</f>
        <v/>
      </c>
      <c r="C40230" t="inlineStr">
        <is>
          <t>2010-01-08</t>
        </is>
      </c>
    </row>
    <row r="40231">
      <c r="A40231" s="1" t="n">
        <v>40230</v>
      </c>
      <c r="B40231">
        <f>TEXT(40230, "[$-0E0000]yyyy-mm-dd")</f>
        <v/>
      </c>
      <c r="C40231" t="inlineStr">
        <is>
          <t>2010-01-09</t>
        </is>
      </c>
    </row>
    <row r="40232">
      <c r="A40232" s="1" t="n">
        <v>40231</v>
      </c>
      <c r="B40232">
        <f>TEXT(40231, "[$-0E0000]yyyy-mm-dd")</f>
        <v/>
      </c>
      <c r="C40232" t="inlineStr">
        <is>
          <t>2010-01-10</t>
        </is>
      </c>
    </row>
    <row r="40233">
      <c r="A40233" s="1" t="n">
        <v>40232</v>
      </c>
      <c r="B40233">
        <f>TEXT(40232, "[$-0E0000]yyyy-mm-dd")</f>
        <v/>
      </c>
      <c r="C40233" t="inlineStr">
        <is>
          <t>2010-01-11</t>
        </is>
      </c>
    </row>
    <row r="40234">
      <c r="A40234" s="1" t="n">
        <v>40233</v>
      </c>
      <c r="B40234">
        <f>TEXT(40233, "[$-0E0000]yyyy-mm-dd")</f>
        <v/>
      </c>
      <c r="C40234" t="inlineStr">
        <is>
          <t>2010-01-12</t>
        </is>
      </c>
    </row>
    <row r="40235">
      <c r="A40235" s="1" t="n">
        <v>40234</v>
      </c>
      <c r="B40235">
        <f>TEXT(40234, "[$-0E0000]yyyy-mm-dd")</f>
        <v/>
      </c>
      <c r="C40235" t="inlineStr">
        <is>
          <t>2010-01-13</t>
        </is>
      </c>
    </row>
    <row r="40236">
      <c r="A40236" s="1" t="n">
        <v>40235</v>
      </c>
      <c r="B40236">
        <f>TEXT(40235, "[$-0E0000]yyyy-mm-dd")</f>
        <v/>
      </c>
      <c r="C40236" t="inlineStr">
        <is>
          <t>2010-01-14</t>
        </is>
      </c>
    </row>
    <row r="40237">
      <c r="A40237" s="1" t="n">
        <v>40236</v>
      </c>
      <c r="B40237">
        <f>TEXT(40236, "[$-0E0000]yyyy-mm-dd")</f>
        <v/>
      </c>
      <c r="C40237" t="inlineStr">
        <is>
          <t>2010-01-15</t>
        </is>
      </c>
    </row>
    <row r="40238">
      <c r="A40238" s="1" t="n">
        <v>40237</v>
      </c>
      <c r="B40238">
        <f>TEXT(40237, "[$-0E0000]yyyy-mm-dd")</f>
        <v/>
      </c>
      <c r="C40238" t="inlineStr">
        <is>
          <t>2010-01-16</t>
        </is>
      </c>
    </row>
    <row r="40239">
      <c r="A40239" s="1" t="n">
        <v>40238</v>
      </c>
      <c r="B40239">
        <f>TEXT(40238, "[$-0E0000]yyyy-mm-dd")</f>
        <v/>
      </c>
      <c r="C40239" t="inlineStr">
        <is>
          <t>2010-01-17</t>
        </is>
      </c>
    </row>
    <row r="40240">
      <c r="A40240" s="1" t="n">
        <v>40239</v>
      </c>
      <c r="B40240">
        <f>TEXT(40239, "[$-0E0000]yyyy-mm-dd")</f>
        <v/>
      </c>
      <c r="C40240" t="inlineStr">
        <is>
          <t>2010-01-18</t>
        </is>
      </c>
    </row>
    <row r="40241">
      <c r="A40241" s="1" t="n">
        <v>40240</v>
      </c>
      <c r="B40241">
        <f>TEXT(40240, "[$-0E0000]yyyy-mm-dd")</f>
        <v/>
      </c>
      <c r="C40241" t="inlineStr">
        <is>
          <t>2010-01-19</t>
        </is>
      </c>
    </row>
    <row r="40242">
      <c r="A40242" s="1" t="n">
        <v>40241</v>
      </c>
      <c r="B40242">
        <f>TEXT(40241, "[$-0E0000]yyyy-mm-dd")</f>
        <v/>
      </c>
      <c r="C40242" t="inlineStr">
        <is>
          <t>2010-01-20</t>
        </is>
      </c>
    </row>
    <row r="40243">
      <c r="A40243" s="1" t="n">
        <v>40242</v>
      </c>
      <c r="B40243">
        <f>TEXT(40242, "[$-0E0000]yyyy-mm-dd")</f>
        <v/>
      </c>
      <c r="C40243" t="inlineStr">
        <is>
          <t>2010-01-21</t>
        </is>
      </c>
    </row>
    <row r="40244">
      <c r="A40244" s="1" t="n">
        <v>40243</v>
      </c>
      <c r="B40244">
        <f>TEXT(40243, "[$-0E0000]yyyy-mm-dd")</f>
        <v/>
      </c>
      <c r="C40244" t="inlineStr">
        <is>
          <t>2010-01-22</t>
        </is>
      </c>
    </row>
    <row r="40245">
      <c r="A40245" s="1" t="n">
        <v>40244</v>
      </c>
      <c r="B40245">
        <f>TEXT(40244, "[$-0E0000]yyyy-mm-dd")</f>
        <v/>
      </c>
      <c r="C40245" t="inlineStr">
        <is>
          <t>2010-01-23</t>
        </is>
      </c>
    </row>
    <row r="40246">
      <c r="A40246" s="1" t="n">
        <v>40245</v>
      </c>
      <c r="B40246">
        <f>TEXT(40245, "[$-0E0000]yyyy-mm-dd")</f>
        <v/>
      </c>
      <c r="C40246" t="inlineStr">
        <is>
          <t>2010-01-24</t>
        </is>
      </c>
    </row>
    <row r="40247">
      <c r="A40247" s="1" t="n">
        <v>40246</v>
      </c>
      <c r="B40247">
        <f>TEXT(40246, "[$-0E0000]yyyy-mm-dd")</f>
        <v/>
      </c>
      <c r="C40247" t="inlineStr">
        <is>
          <t>2010-01-25</t>
        </is>
      </c>
    </row>
    <row r="40248">
      <c r="A40248" s="1" t="n">
        <v>40247</v>
      </c>
      <c r="B40248">
        <f>TEXT(40247, "[$-0E0000]yyyy-mm-dd")</f>
        <v/>
      </c>
      <c r="C40248" t="inlineStr">
        <is>
          <t>2010-01-26</t>
        </is>
      </c>
    </row>
    <row r="40249">
      <c r="A40249" s="1" t="n">
        <v>40248</v>
      </c>
      <c r="B40249">
        <f>TEXT(40248, "[$-0E0000]yyyy-mm-dd")</f>
        <v/>
      </c>
      <c r="C40249" t="inlineStr">
        <is>
          <t>2010-01-27</t>
        </is>
      </c>
    </row>
    <row r="40250">
      <c r="A40250" s="1" t="n">
        <v>40249</v>
      </c>
      <c r="B40250">
        <f>TEXT(40249, "[$-0E0000]yyyy-mm-dd")</f>
        <v/>
      </c>
      <c r="C40250" t="inlineStr">
        <is>
          <t>2010-01-28</t>
        </is>
      </c>
    </row>
    <row r="40251">
      <c r="A40251" s="1" t="n">
        <v>40250</v>
      </c>
      <c r="B40251">
        <f>TEXT(40250, "[$-0E0000]yyyy-mm-dd")</f>
        <v/>
      </c>
      <c r="C40251" t="inlineStr">
        <is>
          <t>2010-01-29</t>
        </is>
      </c>
    </row>
    <row r="40252">
      <c r="A40252" s="1" t="n">
        <v>40251</v>
      </c>
      <c r="B40252">
        <f>TEXT(40251, "[$-0E0000]yyyy-mm-dd")</f>
        <v/>
      </c>
      <c r="C40252" t="inlineStr">
        <is>
          <t>2010-01-30</t>
        </is>
      </c>
    </row>
    <row r="40253">
      <c r="A40253" s="1" t="n">
        <v>40252</v>
      </c>
      <c r="B40253">
        <f>TEXT(40252, "[$-0E0000]yyyy-mm-dd")</f>
        <v/>
      </c>
      <c r="C40253" t="inlineStr">
        <is>
          <t>2010-02-01</t>
        </is>
      </c>
    </row>
    <row r="40254">
      <c r="A40254" s="1" t="n">
        <v>40253</v>
      </c>
      <c r="B40254">
        <f>TEXT(40253, "[$-0E0000]yyyy-mm-dd")</f>
        <v/>
      </c>
      <c r="C40254" t="inlineStr">
        <is>
          <t>2010-02-02</t>
        </is>
      </c>
    </row>
    <row r="40255">
      <c r="A40255" s="1" t="n">
        <v>40254</v>
      </c>
      <c r="B40255">
        <f>TEXT(40254, "[$-0E0000]yyyy-mm-dd")</f>
        <v/>
      </c>
      <c r="C40255" t="inlineStr">
        <is>
          <t>2010-02-03</t>
        </is>
      </c>
    </row>
    <row r="40256">
      <c r="A40256" s="1" t="n">
        <v>40255</v>
      </c>
      <c r="B40256">
        <f>TEXT(40255, "[$-0E0000]yyyy-mm-dd")</f>
        <v/>
      </c>
      <c r="C40256" t="inlineStr">
        <is>
          <t>2010-02-04</t>
        </is>
      </c>
    </row>
    <row r="40257">
      <c r="A40257" s="1" t="n">
        <v>40256</v>
      </c>
      <c r="B40257">
        <f>TEXT(40256, "[$-0E0000]yyyy-mm-dd")</f>
        <v/>
      </c>
      <c r="C40257" t="inlineStr">
        <is>
          <t>2010-02-05</t>
        </is>
      </c>
    </row>
    <row r="40258">
      <c r="A40258" s="1" t="n">
        <v>40257</v>
      </c>
      <c r="B40258">
        <f>TEXT(40257, "[$-0E0000]yyyy-mm-dd")</f>
        <v/>
      </c>
      <c r="C40258" t="inlineStr">
        <is>
          <t>2010-02-06</t>
        </is>
      </c>
    </row>
    <row r="40259">
      <c r="A40259" s="1" t="n">
        <v>40258</v>
      </c>
      <c r="B40259">
        <f>TEXT(40258, "[$-0E0000]yyyy-mm-dd")</f>
        <v/>
      </c>
      <c r="C40259" t="inlineStr">
        <is>
          <t>2010-02-07</t>
        </is>
      </c>
    </row>
    <row r="40260">
      <c r="A40260" s="1" t="n">
        <v>40259</v>
      </c>
      <c r="B40260">
        <f>TEXT(40259, "[$-0E0000]yyyy-mm-dd")</f>
        <v/>
      </c>
      <c r="C40260" t="inlineStr">
        <is>
          <t>2010-02-08</t>
        </is>
      </c>
    </row>
    <row r="40261">
      <c r="A40261" s="1" t="n">
        <v>40260</v>
      </c>
      <c r="B40261">
        <f>TEXT(40260, "[$-0E0000]yyyy-mm-dd")</f>
        <v/>
      </c>
      <c r="C40261" t="inlineStr">
        <is>
          <t>2010-02-09</t>
        </is>
      </c>
    </row>
    <row r="40262">
      <c r="A40262" s="1" t="n">
        <v>40261</v>
      </c>
      <c r="B40262">
        <f>TEXT(40261, "[$-0E0000]yyyy-mm-dd")</f>
        <v/>
      </c>
      <c r="C40262" t="inlineStr">
        <is>
          <t>2010-02-10</t>
        </is>
      </c>
    </row>
    <row r="40263">
      <c r="A40263" s="1" t="n">
        <v>40262</v>
      </c>
      <c r="B40263">
        <f>TEXT(40262, "[$-0E0000]yyyy-mm-dd")</f>
        <v/>
      </c>
      <c r="C40263" t="inlineStr">
        <is>
          <t>2010-02-11</t>
        </is>
      </c>
    </row>
    <row r="40264">
      <c r="A40264" s="1" t="n">
        <v>40263</v>
      </c>
      <c r="B40264">
        <f>TEXT(40263, "[$-0E0000]yyyy-mm-dd")</f>
        <v/>
      </c>
      <c r="C40264" t="inlineStr">
        <is>
          <t>2010-02-12</t>
        </is>
      </c>
    </row>
    <row r="40265">
      <c r="A40265" s="1" t="n">
        <v>40264</v>
      </c>
      <c r="B40265">
        <f>TEXT(40264, "[$-0E0000]yyyy-mm-dd")</f>
        <v/>
      </c>
      <c r="C40265" t="inlineStr">
        <is>
          <t>2010-02-13</t>
        </is>
      </c>
    </row>
    <row r="40266">
      <c r="A40266" s="1" t="n">
        <v>40265</v>
      </c>
      <c r="B40266">
        <f>TEXT(40265, "[$-0E0000]yyyy-mm-dd")</f>
        <v/>
      </c>
      <c r="C40266" t="inlineStr">
        <is>
          <t>2010-02-14</t>
        </is>
      </c>
    </row>
    <row r="40267">
      <c r="A40267" s="1" t="n">
        <v>40266</v>
      </c>
      <c r="B40267">
        <f>TEXT(40266, "[$-0E0000]yyyy-mm-dd")</f>
        <v/>
      </c>
      <c r="C40267" t="inlineStr">
        <is>
          <t>2010-02-15</t>
        </is>
      </c>
    </row>
    <row r="40268">
      <c r="A40268" s="1" t="n">
        <v>40267</v>
      </c>
      <c r="B40268">
        <f>TEXT(40267, "[$-0E0000]yyyy-mm-dd")</f>
        <v/>
      </c>
      <c r="C40268" t="inlineStr">
        <is>
          <t>2010-02-16</t>
        </is>
      </c>
    </row>
    <row r="40269">
      <c r="A40269" s="1" t="n">
        <v>40268</v>
      </c>
      <c r="B40269">
        <f>TEXT(40268, "[$-0E0000]yyyy-mm-dd")</f>
        <v/>
      </c>
      <c r="C40269" t="inlineStr">
        <is>
          <t>2010-02-17</t>
        </is>
      </c>
    </row>
    <row r="40270">
      <c r="A40270" s="1" t="n">
        <v>40269</v>
      </c>
      <c r="B40270">
        <f>TEXT(40269, "[$-0E0000]yyyy-mm-dd")</f>
        <v/>
      </c>
      <c r="C40270" t="inlineStr">
        <is>
          <t>2010-02-18</t>
        </is>
      </c>
    </row>
    <row r="40271">
      <c r="A40271" s="1" t="n">
        <v>40270</v>
      </c>
      <c r="B40271">
        <f>TEXT(40270, "[$-0E0000]yyyy-mm-dd")</f>
        <v/>
      </c>
      <c r="C40271" t="inlineStr">
        <is>
          <t>2010-02-19</t>
        </is>
      </c>
    </row>
    <row r="40272">
      <c r="A40272" s="1" t="n">
        <v>40271</v>
      </c>
      <c r="B40272">
        <f>TEXT(40271, "[$-0E0000]yyyy-mm-dd")</f>
        <v/>
      </c>
      <c r="C40272" t="inlineStr">
        <is>
          <t>2010-02-20</t>
        </is>
      </c>
    </row>
    <row r="40273">
      <c r="A40273" s="1" t="n">
        <v>40272</v>
      </c>
      <c r="B40273">
        <f>TEXT(40272, "[$-0E0000]yyyy-mm-dd")</f>
        <v/>
      </c>
      <c r="C40273" t="inlineStr">
        <is>
          <t>2010-02-21</t>
        </is>
      </c>
    </row>
    <row r="40274">
      <c r="A40274" s="1" t="n">
        <v>40273</v>
      </c>
      <c r="B40274">
        <f>TEXT(40273, "[$-0E0000]yyyy-mm-dd")</f>
        <v/>
      </c>
      <c r="C40274" t="inlineStr">
        <is>
          <t>2010-02-22</t>
        </is>
      </c>
    </row>
    <row r="40275">
      <c r="A40275" s="1" t="n">
        <v>40274</v>
      </c>
      <c r="B40275">
        <f>TEXT(40274, "[$-0E0000]yyyy-mm-dd")</f>
        <v/>
      </c>
      <c r="C40275" t="inlineStr">
        <is>
          <t>2010-02-23</t>
        </is>
      </c>
    </row>
    <row r="40276">
      <c r="A40276" s="1" t="n">
        <v>40275</v>
      </c>
      <c r="B40276">
        <f>TEXT(40275, "[$-0E0000]yyyy-mm-dd")</f>
        <v/>
      </c>
      <c r="C40276" t="inlineStr">
        <is>
          <t>2010-02-24</t>
        </is>
      </c>
    </row>
    <row r="40277">
      <c r="A40277" s="1" t="n">
        <v>40276</v>
      </c>
      <c r="B40277">
        <f>TEXT(40276, "[$-0E0000]yyyy-mm-dd")</f>
        <v/>
      </c>
      <c r="C40277" t="inlineStr">
        <is>
          <t>2010-02-25</t>
        </is>
      </c>
    </row>
    <row r="40278">
      <c r="A40278" s="1" t="n">
        <v>40277</v>
      </c>
      <c r="B40278">
        <f>TEXT(40277, "[$-0E0000]yyyy-mm-dd")</f>
        <v/>
      </c>
      <c r="C40278" t="inlineStr">
        <is>
          <t>2010-02-26</t>
        </is>
      </c>
    </row>
    <row r="40279">
      <c r="A40279" s="1" t="n">
        <v>40278</v>
      </c>
      <c r="B40279">
        <f>TEXT(40278, "[$-0E0000]yyyy-mm-dd")</f>
        <v/>
      </c>
      <c r="C40279" t="inlineStr">
        <is>
          <t>2010-02-27</t>
        </is>
      </c>
    </row>
    <row r="40280">
      <c r="A40280" s="1" t="n">
        <v>40279</v>
      </c>
      <c r="B40280">
        <f>TEXT(40279, "[$-0E0000]yyyy-mm-dd")</f>
        <v/>
      </c>
      <c r="C40280" t="inlineStr">
        <is>
          <t>2010-02-28</t>
        </is>
      </c>
    </row>
    <row r="40281">
      <c r="A40281" s="1" t="n">
        <v>40280</v>
      </c>
      <c r="B40281">
        <f>TEXT(40280, "[$-0E0000]yyyy-mm-dd")</f>
        <v/>
      </c>
      <c r="C40281" t="inlineStr">
        <is>
          <t>2010-02-29</t>
        </is>
      </c>
    </row>
    <row r="40282">
      <c r="A40282" s="1" t="n">
        <v>40281</v>
      </c>
      <c r="B40282">
        <f>TEXT(40281, "[$-0E0000]yyyy-mm-dd")</f>
        <v/>
      </c>
      <c r="C40282" t="inlineStr">
        <is>
          <t>2010-03-01</t>
        </is>
      </c>
    </row>
    <row r="40283">
      <c r="A40283" s="1" t="n">
        <v>40282</v>
      </c>
      <c r="B40283">
        <f>TEXT(40282, "[$-0E0000]yyyy-mm-dd")</f>
        <v/>
      </c>
      <c r="C40283" t="inlineStr">
        <is>
          <t>2010-03-02</t>
        </is>
      </c>
    </row>
    <row r="40284">
      <c r="A40284" s="1" t="n">
        <v>40283</v>
      </c>
      <c r="B40284">
        <f>TEXT(40283, "[$-0E0000]yyyy-mm-dd")</f>
        <v/>
      </c>
      <c r="C40284" t="inlineStr">
        <is>
          <t>2010-03-03</t>
        </is>
      </c>
    </row>
    <row r="40285">
      <c r="A40285" s="1" t="n">
        <v>40284</v>
      </c>
      <c r="B40285">
        <f>TEXT(40284, "[$-0E0000]yyyy-mm-dd")</f>
        <v/>
      </c>
      <c r="C40285" t="inlineStr">
        <is>
          <t>2010-03-04</t>
        </is>
      </c>
    </row>
    <row r="40286">
      <c r="A40286" s="1" t="n">
        <v>40285</v>
      </c>
      <c r="B40286">
        <f>TEXT(40285, "[$-0E0000]yyyy-mm-dd")</f>
        <v/>
      </c>
      <c r="C40286" t="inlineStr">
        <is>
          <t>2010-03-05</t>
        </is>
      </c>
    </row>
    <row r="40287">
      <c r="A40287" s="1" t="n">
        <v>40286</v>
      </c>
      <c r="B40287">
        <f>TEXT(40286, "[$-0E0000]yyyy-mm-dd")</f>
        <v/>
      </c>
      <c r="C40287" t="inlineStr">
        <is>
          <t>2010-03-06</t>
        </is>
      </c>
    </row>
    <row r="40288">
      <c r="A40288" s="1" t="n">
        <v>40287</v>
      </c>
      <c r="B40288">
        <f>TEXT(40287, "[$-0E0000]yyyy-mm-dd")</f>
        <v/>
      </c>
      <c r="C40288" t="inlineStr">
        <is>
          <t>2010-03-07</t>
        </is>
      </c>
    </row>
    <row r="40289">
      <c r="A40289" s="1" t="n">
        <v>40288</v>
      </c>
      <c r="B40289">
        <f>TEXT(40288, "[$-0E0000]yyyy-mm-dd")</f>
        <v/>
      </c>
      <c r="C40289" t="inlineStr">
        <is>
          <t>2010-03-08</t>
        </is>
      </c>
    </row>
    <row r="40290">
      <c r="A40290" s="1" t="n">
        <v>40289</v>
      </c>
      <c r="B40290">
        <f>TEXT(40289, "[$-0E0000]yyyy-mm-dd")</f>
        <v/>
      </c>
      <c r="C40290" t="inlineStr">
        <is>
          <t>2010-03-09</t>
        </is>
      </c>
    </row>
    <row r="40291">
      <c r="A40291" s="1" t="n">
        <v>40290</v>
      </c>
      <c r="B40291">
        <f>TEXT(40290, "[$-0E0000]yyyy-mm-dd")</f>
        <v/>
      </c>
      <c r="C40291" t="inlineStr">
        <is>
          <t>2010-03-10</t>
        </is>
      </c>
    </row>
    <row r="40292">
      <c r="A40292" s="1" t="n">
        <v>40291</v>
      </c>
      <c r="B40292">
        <f>TEXT(40291, "[$-0E0000]yyyy-mm-dd")</f>
        <v/>
      </c>
      <c r="C40292" t="inlineStr">
        <is>
          <t>2010-03-11</t>
        </is>
      </c>
    </row>
    <row r="40293">
      <c r="A40293" s="1" t="n">
        <v>40292</v>
      </c>
      <c r="B40293">
        <f>TEXT(40292, "[$-0E0000]yyyy-mm-dd")</f>
        <v/>
      </c>
      <c r="C40293" t="inlineStr">
        <is>
          <t>2010-03-12</t>
        </is>
      </c>
    </row>
    <row r="40294">
      <c r="A40294" s="1" t="n">
        <v>40293</v>
      </c>
      <c r="B40294">
        <f>TEXT(40293, "[$-0E0000]yyyy-mm-dd")</f>
        <v/>
      </c>
      <c r="C40294" t="inlineStr">
        <is>
          <t>2010-03-13</t>
        </is>
      </c>
    </row>
    <row r="40295">
      <c r="A40295" s="1" t="n">
        <v>40294</v>
      </c>
      <c r="B40295">
        <f>TEXT(40294, "[$-0E0000]yyyy-mm-dd")</f>
        <v/>
      </c>
      <c r="C40295" t="inlineStr">
        <is>
          <t>2010-03-14</t>
        </is>
      </c>
    </row>
    <row r="40296">
      <c r="A40296" s="1" t="n">
        <v>40295</v>
      </c>
      <c r="B40296">
        <f>TEXT(40295, "[$-0E0000]yyyy-mm-dd")</f>
        <v/>
      </c>
      <c r="C40296" t="inlineStr">
        <is>
          <t>2010-03-15</t>
        </is>
      </c>
    </row>
    <row r="40297">
      <c r="A40297" s="1" t="n">
        <v>40296</v>
      </c>
      <c r="B40297">
        <f>TEXT(40296, "[$-0E0000]yyyy-mm-dd")</f>
        <v/>
      </c>
      <c r="C40297" t="inlineStr">
        <is>
          <t>2010-03-16</t>
        </is>
      </c>
    </row>
    <row r="40298">
      <c r="A40298" s="1" t="n">
        <v>40297</v>
      </c>
      <c r="B40298">
        <f>TEXT(40297, "[$-0E0000]yyyy-mm-dd")</f>
        <v/>
      </c>
      <c r="C40298" t="inlineStr">
        <is>
          <t>2010-03-17</t>
        </is>
      </c>
    </row>
    <row r="40299">
      <c r="A40299" s="1" t="n">
        <v>40298</v>
      </c>
      <c r="B40299">
        <f>TEXT(40298, "[$-0E0000]yyyy-mm-dd")</f>
        <v/>
      </c>
      <c r="C40299" t="inlineStr">
        <is>
          <t>2010-03-18</t>
        </is>
      </c>
    </row>
    <row r="40300">
      <c r="A40300" s="1" t="n">
        <v>40299</v>
      </c>
      <c r="B40300">
        <f>TEXT(40299, "[$-0E0000]yyyy-mm-dd")</f>
        <v/>
      </c>
      <c r="C40300" t="inlineStr">
        <is>
          <t>2010-03-19</t>
        </is>
      </c>
    </row>
    <row r="40301">
      <c r="A40301" s="1" t="n">
        <v>40300</v>
      </c>
      <c r="B40301">
        <f>TEXT(40300, "[$-0E0000]yyyy-mm-dd")</f>
        <v/>
      </c>
      <c r="C40301" t="inlineStr">
        <is>
          <t>2010-03-20</t>
        </is>
      </c>
    </row>
    <row r="40302">
      <c r="A40302" s="1" t="n">
        <v>40301</v>
      </c>
      <c r="B40302">
        <f>TEXT(40301, "[$-0E0000]yyyy-mm-dd")</f>
        <v/>
      </c>
      <c r="C40302" t="inlineStr">
        <is>
          <t>2010-03-21</t>
        </is>
      </c>
    </row>
    <row r="40303">
      <c r="A40303" s="1" t="n">
        <v>40302</v>
      </c>
      <c r="B40303">
        <f>TEXT(40302, "[$-0E0000]yyyy-mm-dd")</f>
        <v/>
      </c>
      <c r="C40303" t="inlineStr">
        <is>
          <t>2010-03-22</t>
        </is>
      </c>
    </row>
    <row r="40304">
      <c r="A40304" s="1" t="n">
        <v>40303</v>
      </c>
      <c r="B40304">
        <f>TEXT(40303, "[$-0E0000]yyyy-mm-dd")</f>
        <v/>
      </c>
      <c r="C40304" t="inlineStr">
        <is>
          <t>2010-03-23</t>
        </is>
      </c>
    </row>
    <row r="40305">
      <c r="A40305" s="1" t="n">
        <v>40304</v>
      </c>
      <c r="B40305">
        <f>TEXT(40304, "[$-0E0000]yyyy-mm-dd")</f>
        <v/>
      </c>
      <c r="C40305" t="inlineStr">
        <is>
          <t>2010-03-24</t>
        </is>
      </c>
    </row>
    <row r="40306">
      <c r="A40306" s="1" t="n">
        <v>40305</v>
      </c>
      <c r="B40306">
        <f>TEXT(40305, "[$-0E0000]yyyy-mm-dd")</f>
        <v/>
      </c>
      <c r="C40306" t="inlineStr">
        <is>
          <t>2010-03-25</t>
        </is>
      </c>
    </row>
    <row r="40307">
      <c r="A40307" s="1" t="n">
        <v>40306</v>
      </c>
      <c r="B40307">
        <f>TEXT(40306, "[$-0E0000]yyyy-mm-dd")</f>
        <v/>
      </c>
      <c r="C40307" t="inlineStr">
        <is>
          <t>2010-03-26</t>
        </is>
      </c>
    </row>
    <row r="40308">
      <c r="A40308" s="1" t="n">
        <v>40307</v>
      </c>
      <c r="B40308">
        <f>TEXT(40307, "[$-0E0000]yyyy-mm-dd")</f>
        <v/>
      </c>
      <c r="C40308" t="inlineStr">
        <is>
          <t>2010-03-27</t>
        </is>
      </c>
    </row>
    <row r="40309">
      <c r="A40309" s="1" t="n">
        <v>40308</v>
      </c>
      <c r="B40309">
        <f>TEXT(40308, "[$-0E0000]yyyy-mm-dd")</f>
        <v/>
      </c>
      <c r="C40309" t="inlineStr">
        <is>
          <t>2010-03-28</t>
        </is>
      </c>
    </row>
    <row r="40310">
      <c r="A40310" s="1" t="n">
        <v>40309</v>
      </c>
      <c r="B40310">
        <f>TEXT(40309, "[$-0E0000]yyyy-mm-dd")</f>
        <v/>
      </c>
      <c r="C40310" t="inlineStr">
        <is>
          <t>2010-03-29</t>
        </is>
      </c>
    </row>
    <row r="40311">
      <c r="A40311" s="1" t="n">
        <v>40310</v>
      </c>
      <c r="B40311">
        <f>TEXT(40310, "[$-0E0000]yyyy-mm-dd")</f>
        <v/>
      </c>
      <c r="C40311" t="inlineStr">
        <is>
          <t>2010-03-30</t>
        </is>
      </c>
    </row>
    <row r="40312">
      <c r="A40312" s="1" t="n">
        <v>40311</v>
      </c>
      <c r="B40312">
        <f>TEXT(40311, "[$-0E0000]yyyy-mm-dd")</f>
        <v/>
      </c>
      <c r="C40312" t="inlineStr">
        <is>
          <t>2010-04-01</t>
        </is>
      </c>
    </row>
    <row r="40313">
      <c r="A40313" s="1" t="n">
        <v>40312</v>
      </c>
      <c r="B40313">
        <f>TEXT(40312, "[$-0E0000]yyyy-mm-dd")</f>
        <v/>
      </c>
      <c r="C40313" t="inlineStr">
        <is>
          <t>2010-04-02</t>
        </is>
      </c>
    </row>
    <row r="40314">
      <c r="A40314" s="1" t="n">
        <v>40313</v>
      </c>
      <c r="B40314">
        <f>TEXT(40313, "[$-0E0000]yyyy-mm-dd")</f>
        <v/>
      </c>
      <c r="C40314" t="inlineStr">
        <is>
          <t>2010-04-03</t>
        </is>
      </c>
    </row>
    <row r="40315">
      <c r="A40315" s="1" t="n">
        <v>40314</v>
      </c>
      <c r="B40315">
        <f>TEXT(40314, "[$-0E0000]yyyy-mm-dd")</f>
        <v/>
      </c>
      <c r="C40315" t="inlineStr">
        <is>
          <t>2010-04-04</t>
        </is>
      </c>
    </row>
    <row r="40316">
      <c r="A40316" s="1" t="n">
        <v>40315</v>
      </c>
      <c r="B40316">
        <f>TEXT(40315, "[$-0E0000]yyyy-mm-dd")</f>
        <v/>
      </c>
      <c r="C40316" t="inlineStr">
        <is>
          <t>2010-04-05</t>
        </is>
      </c>
    </row>
    <row r="40317">
      <c r="A40317" s="1" t="n">
        <v>40316</v>
      </c>
      <c r="B40317">
        <f>TEXT(40316, "[$-0E0000]yyyy-mm-dd")</f>
        <v/>
      </c>
      <c r="C40317" t="inlineStr">
        <is>
          <t>2010-04-06</t>
        </is>
      </c>
    </row>
    <row r="40318">
      <c r="A40318" s="1" t="n">
        <v>40317</v>
      </c>
      <c r="B40318">
        <f>TEXT(40317, "[$-0E0000]yyyy-mm-dd")</f>
        <v/>
      </c>
      <c r="C40318" t="inlineStr">
        <is>
          <t>2010-04-07</t>
        </is>
      </c>
    </row>
    <row r="40319">
      <c r="A40319" s="1" t="n">
        <v>40318</v>
      </c>
      <c r="B40319">
        <f>TEXT(40318, "[$-0E0000]yyyy-mm-dd")</f>
        <v/>
      </c>
      <c r="C40319" t="inlineStr">
        <is>
          <t>2010-04-08</t>
        </is>
      </c>
    </row>
    <row r="40320">
      <c r="A40320" s="1" t="n">
        <v>40319</v>
      </c>
      <c r="B40320">
        <f>TEXT(40319, "[$-0E0000]yyyy-mm-dd")</f>
        <v/>
      </c>
      <c r="C40320" t="inlineStr">
        <is>
          <t>2010-04-09</t>
        </is>
      </c>
    </row>
    <row r="40321">
      <c r="A40321" s="1" t="n">
        <v>40320</v>
      </c>
      <c r="B40321">
        <f>TEXT(40320, "[$-0E0000]yyyy-mm-dd")</f>
        <v/>
      </c>
      <c r="C40321" t="inlineStr">
        <is>
          <t>2010-04-10</t>
        </is>
      </c>
    </row>
    <row r="40322">
      <c r="A40322" s="1" t="n">
        <v>40321</v>
      </c>
      <c r="B40322">
        <f>TEXT(40321, "[$-0E0000]yyyy-mm-dd")</f>
        <v/>
      </c>
      <c r="C40322" t="inlineStr">
        <is>
          <t>2010-04-11</t>
        </is>
      </c>
    </row>
    <row r="40323">
      <c r="A40323" s="1" t="n">
        <v>40322</v>
      </c>
      <c r="B40323">
        <f>TEXT(40322, "[$-0E0000]yyyy-mm-dd")</f>
        <v/>
      </c>
      <c r="C40323" t="inlineStr">
        <is>
          <t>2010-04-12</t>
        </is>
      </c>
    </row>
    <row r="40324">
      <c r="A40324" s="1" t="n">
        <v>40323</v>
      </c>
      <c r="B40324">
        <f>TEXT(40323, "[$-0E0000]yyyy-mm-dd")</f>
        <v/>
      </c>
      <c r="C40324" t="inlineStr">
        <is>
          <t>2010-04-13</t>
        </is>
      </c>
    </row>
    <row r="40325">
      <c r="A40325" s="1" t="n">
        <v>40324</v>
      </c>
      <c r="B40325">
        <f>TEXT(40324, "[$-0E0000]yyyy-mm-dd")</f>
        <v/>
      </c>
      <c r="C40325" t="inlineStr">
        <is>
          <t>2010-04-14</t>
        </is>
      </c>
    </row>
    <row r="40326">
      <c r="A40326" s="1" t="n">
        <v>40325</v>
      </c>
      <c r="B40326">
        <f>TEXT(40325, "[$-0E0000]yyyy-mm-dd")</f>
        <v/>
      </c>
      <c r="C40326" t="inlineStr">
        <is>
          <t>2010-04-15</t>
        </is>
      </c>
    </row>
    <row r="40327">
      <c r="A40327" s="1" t="n">
        <v>40326</v>
      </c>
      <c r="B40327">
        <f>TEXT(40326, "[$-0E0000]yyyy-mm-dd")</f>
        <v/>
      </c>
      <c r="C40327" t="inlineStr">
        <is>
          <t>2010-04-16</t>
        </is>
      </c>
    </row>
    <row r="40328">
      <c r="A40328" s="1" t="n">
        <v>40327</v>
      </c>
      <c r="B40328">
        <f>TEXT(40327, "[$-0E0000]yyyy-mm-dd")</f>
        <v/>
      </c>
      <c r="C40328" t="inlineStr">
        <is>
          <t>2010-04-17</t>
        </is>
      </c>
    </row>
    <row r="40329">
      <c r="A40329" s="1" t="n">
        <v>40328</v>
      </c>
      <c r="B40329">
        <f>TEXT(40328, "[$-0E0000]yyyy-mm-dd")</f>
        <v/>
      </c>
      <c r="C40329" t="inlineStr">
        <is>
          <t>2010-04-18</t>
        </is>
      </c>
    </row>
    <row r="40330">
      <c r="A40330" s="1" t="n">
        <v>40329</v>
      </c>
      <c r="B40330">
        <f>TEXT(40329, "[$-0E0000]yyyy-mm-dd")</f>
        <v/>
      </c>
      <c r="C40330" t="inlineStr">
        <is>
          <t>2010-04-19</t>
        </is>
      </c>
    </row>
    <row r="40331">
      <c r="A40331" s="1" t="n">
        <v>40330</v>
      </c>
      <c r="B40331">
        <f>TEXT(40330, "[$-0E0000]yyyy-mm-dd")</f>
        <v/>
      </c>
      <c r="C40331" t="inlineStr">
        <is>
          <t>2010-04-20</t>
        </is>
      </c>
    </row>
    <row r="40332">
      <c r="A40332" s="1" t="n">
        <v>40331</v>
      </c>
      <c r="B40332">
        <f>TEXT(40331, "[$-0E0000]yyyy-mm-dd")</f>
        <v/>
      </c>
      <c r="C40332" t="inlineStr">
        <is>
          <t>2010-04-21</t>
        </is>
      </c>
    </row>
    <row r="40333">
      <c r="A40333" s="1" t="n">
        <v>40332</v>
      </c>
      <c r="B40333">
        <f>TEXT(40332, "[$-0E0000]yyyy-mm-dd")</f>
        <v/>
      </c>
      <c r="C40333" t="inlineStr">
        <is>
          <t>2010-04-22</t>
        </is>
      </c>
    </row>
    <row r="40334">
      <c r="A40334" s="1" t="n">
        <v>40333</v>
      </c>
      <c r="B40334">
        <f>TEXT(40333, "[$-0E0000]yyyy-mm-dd")</f>
        <v/>
      </c>
      <c r="C40334" t="inlineStr">
        <is>
          <t>2010-04-23</t>
        </is>
      </c>
    </row>
    <row r="40335">
      <c r="A40335" s="1" t="n">
        <v>40334</v>
      </c>
      <c r="B40335">
        <f>TEXT(40334, "[$-0E0000]yyyy-mm-dd")</f>
        <v/>
      </c>
      <c r="C40335" t="inlineStr">
        <is>
          <t>2010-04-24</t>
        </is>
      </c>
    </row>
    <row r="40336">
      <c r="A40336" s="1" t="n">
        <v>40335</v>
      </c>
      <c r="B40336">
        <f>TEXT(40335, "[$-0E0000]yyyy-mm-dd")</f>
        <v/>
      </c>
      <c r="C40336" t="inlineStr">
        <is>
          <t>2010-04-25</t>
        </is>
      </c>
    </row>
    <row r="40337">
      <c r="A40337" s="1" t="n">
        <v>40336</v>
      </c>
      <c r="B40337">
        <f>TEXT(40336, "[$-0E0000]yyyy-mm-dd")</f>
        <v/>
      </c>
      <c r="C40337" t="inlineStr">
        <is>
          <t>2010-04-26</t>
        </is>
      </c>
    </row>
    <row r="40338">
      <c r="A40338" s="1" t="n">
        <v>40337</v>
      </c>
      <c r="B40338">
        <f>TEXT(40337, "[$-0E0000]yyyy-mm-dd")</f>
        <v/>
      </c>
      <c r="C40338" t="inlineStr">
        <is>
          <t>2010-04-27</t>
        </is>
      </c>
    </row>
    <row r="40339">
      <c r="A40339" s="1" t="n">
        <v>40338</v>
      </c>
      <c r="B40339">
        <f>TEXT(40338, "[$-0E0000]yyyy-mm-dd")</f>
        <v/>
      </c>
      <c r="C40339" t="inlineStr">
        <is>
          <t>2010-04-28</t>
        </is>
      </c>
    </row>
    <row r="40340">
      <c r="A40340" s="1" t="n">
        <v>40339</v>
      </c>
      <c r="B40340">
        <f>TEXT(40339, "[$-0E0000]yyyy-mm-dd")</f>
        <v/>
      </c>
      <c r="C40340" t="inlineStr">
        <is>
          <t>2010-04-29</t>
        </is>
      </c>
    </row>
    <row r="40341">
      <c r="A40341" s="1" t="n">
        <v>40340</v>
      </c>
      <c r="B40341">
        <f>TEXT(40340, "[$-0E0000]yyyy-mm-dd")</f>
        <v/>
      </c>
      <c r="C40341" t="inlineStr">
        <is>
          <t>2010-05-01</t>
        </is>
      </c>
    </row>
    <row r="40342">
      <c r="A40342" s="1" t="n">
        <v>40341</v>
      </c>
      <c r="B40342">
        <f>TEXT(40341, "[$-0E0000]yyyy-mm-dd")</f>
        <v/>
      </c>
      <c r="C40342" t="inlineStr">
        <is>
          <t>2010-05-02</t>
        </is>
      </c>
    </row>
    <row r="40343">
      <c r="A40343" s="1" t="n">
        <v>40342</v>
      </c>
      <c r="B40343">
        <f>TEXT(40342, "[$-0E0000]yyyy-mm-dd")</f>
        <v/>
      </c>
      <c r="C40343" t="inlineStr">
        <is>
          <t>2010-05-03</t>
        </is>
      </c>
    </row>
    <row r="40344">
      <c r="A40344" s="1" t="n">
        <v>40343</v>
      </c>
      <c r="B40344">
        <f>TEXT(40343, "[$-0E0000]yyyy-mm-dd")</f>
        <v/>
      </c>
      <c r="C40344" t="inlineStr">
        <is>
          <t>2010-05-04</t>
        </is>
      </c>
    </row>
    <row r="40345">
      <c r="A40345" s="1" t="n">
        <v>40344</v>
      </c>
      <c r="B40345">
        <f>TEXT(40344, "[$-0E0000]yyyy-mm-dd")</f>
        <v/>
      </c>
      <c r="C40345" t="inlineStr">
        <is>
          <t>2010-05-05</t>
        </is>
      </c>
    </row>
    <row r="40346">
      <c r="A40346" s="1" t="n">
        <v>40345</v>
      </c>
      <c r="B40346">
        <f>TEXT(40345, "[$-0E0000]yyyy-mm-dd")</f>
        <v/>
      </c>
      <c r="C40346" t="inlineStr">
        <is>
          <t>2010-05-06</t>
        </is>
      </c>
    </row>
    <row r="40347">
      <c r="A40347" s="1" t="n">
        <v>40346</v>
      </c>
      <c r="B40347">
        <f>TEXT(40346, "[$-0E0000]yyyy-mm-dd")</f>
        <v/>
      </c>
      <c r="C40347" t="inlineStr">
        <is>
          <t>2010-05-07</t>
        </is>
      </c>
    </row>
    <row r="40348">
      <c r="A40348" s="1" t="n">
        <v>40347</v>
      </c>
      <c r="B40348">
        <f>TEXT(40347, "[$-0E0000]yyyy-mm-dd")</f>
        <v/>
      </c>
      <c r="C40348" t="inlineStr">
        <is>
          <t>2010-05-08</t>
        </is>
      </c>
    </row>
    <row r="40349">
      <c r="A40349" s="1" t="n">
        <v>40348</v>
      </c>
      <c r="B40349">
        <f>TEXT(40348, "[$-0E0000]yyyy-mm-dd")</f>
        <v/>
      </c>
      <c r="C40349" t="inlineStr">
        <is>
          <t>2010-05-09</t>
        </is>
      </c>
    </row>
    <row r="40350">
      <c r="A40350" s="1" t="n">
        <v>40349</v>
      </c>
      <c r="B40350">
        <f>TEXT(40349, "[$-0E0000]yyyy-mm-dd")</f>
        <v/>
      </c>
      <c r="C40350" t="inlineStr">
        <is>
          <t>2010-05-10</t>
        </is>
      </c>
    </row>
    <row r="40351">
      <c r="A40351" s="1" t="n">
        <v>40350</v>
      </c>
      <c r="B40351">
        <f>TEXT(40350, "[$-0E0000]yyyy-mm-dd")</f>
        <v/>
      </c>
      <c r="C40351" t="inlineStr">
        <is>
          <t>2010-05-11</t>
        </is>
      </c>
    </row>
    <row r="40352">
      <c r="A40352" s="1" t="n">
        <v>40351</v>
      </c>
      <c r="B40352">
        <f>TEXT(40351, "[$-0E0000]yyyy-mm-dd")</f>
        <v/>
      </c>
      <c r="C40352" t="inlineStr">
        <is>
          <t>2010-05-12</t>
        </is>
      </c>
    </row>
    <row r="40353">
      <c r="A40353" s="1" t="n">
        <v>40352</v>
      </c>
      <c r="B40353">
        <f>TEXT(40352, "[$-0E0000]yyyy-mm-dd")</f>
        <v/>
      </c>
      <c r="C40353" t="inlineStr">
        <is>
          <t>2010-05-13</t>
        </is>
      </c>
    </row>
    <row r="40354">
      <c r="A40354" s="1" t="n">
        <v>40353</v>
      </c>
      <c r="B40354">
        <f>TEXT(40353, "[$-0E0000]yyyy-mm-dd")</f>
        <v/>
      </c>
      <c r="C40354" t="inlineStr">
        <is>
          <t>2010-05-14</t>
        </is>
      </c>
    </row>
    <row r="40355">
      <c r="A40355" s="1" t="n">
        <v>40354</v>
      </c>
      <c r="B40355">
        <f>TEXT(40354, "[$-0E0000]yyyy-mm-dd")</f>
        <v/>
      </c>
      <c r="C40355" t="inlineStr">
        <is>
          <t>2010-05-15</t>
        </is>
      </c>
    </row>
    <row r="40356">
      <c r="A40356" s="1" t="n">
        <v>40355</v>
      </c>
      <c r="B40356">
        <f>TEXT(40355, "[$-0E0000]yyyy-mm-dd")</f>
        <v/>
      </c>
      <c r="C40356" t="inlineStr">
        <is>
          <t>2010-05-16</t>
        </is>
      </c>
    </row>
    <row r="40357">
      <c r="A40357" s="1" t="n">
        <v>40356</v>
      </c>
      <c r="B40357">
        <f>TEXT(40356, "[$-0E0000]yyyy-mm-dd")</f>
        <v/>
      </c>
      <c r="C40357" t="inlineStr">
        <is>
          <t>2010-05-17</t>
        </is>
      </c>
    </row>
    <row r="40358">
      <c r="A40358" s="1" t="n">
        <v>40357</v>
      </c>
      <c r="B40358">
        <f>TEXT(40357, "[$-0E0000]yyyy-mm-dd")</f>
        <v/>
      </c>
      <c r="C40358" t="inlineStr">
        <is>
          <t>2010-05-18</t>
        </is>
      </c>
    </row>
    <row r="40359">
      <c r="A40359" s="1" t="n">
        <v>40358</v>
      </c>
      <c r="B40359">
        <f>TEXT(40358, "[$-0E0000]yyyy-mm-dd")</f>
        <v/>
      </c>
      <c r="C40359" t="inlineStr">
        <is>
          <t>2010-05-19</t>
        </is>
      </c>
    </row>
    <row r="40360">
      <c r="A40360" s="1" t="n">
        <v>40359</v>
      </c>
      <c r="B40360">
        <f>TEXT(40359, "[$-0E0000]yyyy-mm-dd")</f>
        <v/>
      </c>
      <c r="C40360" t="inlineStr">
        <is>
          <t>2010-05-20</t>
        </is>
      </c>
    </row>
    <row r="40361">
      <c r="A40361" s="1" t="n">
        <v>40360</v>
      </c>
      <c r="B40361">
        <f>TEXT(40360, "[$-0E0000]yyyy-mm-dd")</f>
        <v/>
      </c>
      <c r="C40361" t="inlineStr">
        <is>
          <t>2010-05-21</t>
        </is>
      </c>
    </row>
    <row r="40362">
      <c r="A40362" s="1" t="n">
        <v>40361</v>
      </c>
      <c r="B40362">
        <f>TEXT(40361, "[$-0E0000]yyyy-mm-dd")</f>
        <v/>
      </c>
      <c r="C40362" t="inlineStr">
        <is>
          <t>2010-05-22</t>
        </is>
      </c>
    </row>
    <row r="40363">
      <c r="A40363" s="1" t="n">
        <v>40362</v>
      </c>
      <c r="B40363">
        <f>TEXT(40362, "[$-0E0000]yyyy-mm-dd")</f>
        <v/>
      </c>
      <c r="C40363" t="inlineStr">
        <is>
          <t>2010-05-23</t>
        </is>
      </c>
    </row>
    <row r="40364">
      <c r="A40364" s="1" t="n">
        <v>40363</v>
      </c>
      <c r="B40364">
        <f>TEXT(40363, "[$-0E0000]yyyy-mm-dd")</f>
        <v/>
      </c>
      <c r="C40364" t="inlineStr">
        <is>
          <t>2010-05-24</t>
        </is>
      </c>
    </row>
    <row r="40365">
      <c r="A40365" s="1" t="n">
        <v>40364</v>
      </c>
      <c r="B40365">
        <f>TEXT(40364, "[$-0E0000]yyyy-mm-dd")</f>
        <v/>
      </c>
      <c r="C40365" t="inlineStr">
        <is>
          <t>2010-05-25</t>
        </is>
      </c>
    </row>
    <row r="40366">
      <c r="A40366" s="1" t="n">
        <v>40365</v>
      </c>
      <c r="B40366">
        <f>TEXT(40365, "[$-0E0000]yyyy-mm-dd")</f>
        <v/>
      </c>
      <c r="C40366" t="inlineStr">
        <is>
          <t>2010-05-26</t>
        </is>
      </c>
    </row>
    <row r="40367">
      <c r="A40367" s="1" t="n">
        <v>40366</v>
      </c>
      <c r="B40367">
        <f>TEXT(40366, "[$-0E0000]yyyy-mm-dd")</f>
        <v/>
      </c>
      <c r="C40367" t="inlineStr">
        <is>
          <t>2010-05-27</t>
        </is>
      </c>
    </row>
    <row r="40368">
      <c r="A40368" s="1" t="n">
        <v>40367</v>
      </c>
      <c r="B40368">
        <f>TEXT(40367, "[$-0E0000]yyyy-mm-dd")</f>
        <v/>
      </c>
      <c r="C40368" t="inlineStr">
        <is>
          <t>2010-05-28</t>
        </is>
      </c>
    </row>
    <row r="40369">
      <c r="A40369" s="1" t="n">
        <v>40368</v>
      </c>
      <c r="B40369">
        <f>TEXT(40368, "[$-0E0000]yyyy-mm-dd")</f>
        <v/>
      </c>
      <c r="C40369" t="inlineStr">
        <is>
          <t>2010-05-29</t>
        </is>
      </c>
    </row>
    <row r="40370">
      <c r="A40370" s="1" t="n">
        <v>40369</v>
      </c>
      <c r="B40370">
        <f>TEXT(40369, "[$-0E0000]yyyy-mm-dd")</f>
        <v/>
      </c>
      <c r="C40370" t="inlineStr">
        <is>
          <t>2010-05-30</t>
        </is>
      </c>
    </row>
    <row r="40371">
      <c r="A40371" s="1" t="n">
        <v>40370</v>
      </c>
      <c r="B40371">
        <f>TEXT(40370, "[$-0E0000]yyyy-mm-dd")</f>
        <v/>
      </c>
      <c r="C40371" t="inlineStr">
        <is>
          <t>2010-06-01</t>
        </is>
      </c>
    </row>
    <row r="40372">
      <c r="A40372" s="1" t="n">
        <v>40371</v>
      </c>
      <c r="B40372">
        <f>TEXT(40371, "[$-0E0000]yyyy-mm-dd")</f>
        <v/>
      </c>
      <c r="C40372" t="inlineStr">
        <is>
          <t>2010-06-02</t>
        </is>
      </c>
    </row>
    <row r="40373">
      <c r="A40373" s="1" t="n">
        <v>40372</v>
      </c>
      <c r="B40373">
        <f>TEXT(40372, "[$-0E0000]yyyy-mm-dd")</f>
        <v/>
      </c>
      <c r="C40373" t="inlineStr">
        <is>
          <t>2010-06-03</t>
        </is>
      </c>
    </row>
    <row r="40374">
      <c r="A40374" s="1" t="n">
        <v>40373</v>
      </c>
      <c r="B40374">
        <f>TEXT(40373, "[$-0E0000]yyyy-mm-dd")</f>
        <v/>
      </c>
      <c r="C40374" t="inlineStr">
        <is>
          <t>2010-06-04</t>
        </is>
      </c>
    </row>
    <row r="40375">
      <c r="A40375" s="1" t="n">
        <v>40374</v>
      </c>
      <c r="B40375">
        <f>TEXT(40374, "[$-0E0000]yyyy-mm-dd")</f>
        <v/>
      </c>
      <c r="C40375" t="inlineStr">
        <is>
          <t>2010-06-05</t>
        </is>
      </c>
    </row>
    <row r="40376">
      <c r="A40376" s="1" t="n">
        <v>40375</v>
      </c>
      <c r="B40376">
        <f>TEXT(40375, "[$-0E0000]yyyy-mm-dd")</f>
        <v/>
      </c>
      <c r="C40376" t="inlineStr">
        <is>
          <t>2010-06-06</t>
        </is>
      </c>
    </row>
    <row r="40377">
      <c r="A40377" s="1" t="n">
        <v>40376</v>
      </c>
      <c r="B40377">
        <f>TEXT(40376, "[$-0E0000]yyyy-mm-dd")</f>
        <v/>
      </c>
      <c r="C40377" t="inlineStr">
        <is>
          <t>2010-06-07</t>
        </is>
      </c>
    </row>
    <row r="40378">
      <c r="A40378" s="1" t="n">
        <v>40377</v>
      </c>
      <c r="B40378">
        <f>TEXT(40377, "[$-0E0000]yyyy-mm-dd")</f>
        <v/>
      </c>
      <c r="C40378" t="inlineStr">
        <is>
          <t>2010-06-08</t>
        </is>
      </c>
    </row>
    <row r="40379">
      <c r="A40379" s="1" t="n">
        <v>40378</v>
      </c>
      <c r="B40379">
        <f>TEXT(40378, "[$-0E0000]yyyy-mm-dd")</f>
        <v/>
      </c>
      <c r="C40379" t="inlineStr">
        <is>
          <t>2010-06-09</t>
        </is>
      </c>
    </row>
    <row r="40380">
      <c r="A40380" s="1" t="n">
        <v>40379</v>
      </c>
      <c r="B40380">
        <f>TEXT(40379, "[$-0E0000]yyyy-mm-dd")</f>
        <v/>
      </c>
      <c r="C40380" t="inlineStr">
        <is>
          <t>2010-06-10</t>
        </is>
      </c>
    </row>
    <row r="40381">
      <c r="A40381" s="1" t="n">
        <v>40380</v>
      </c>
      <c r="B40381">
        <f>TEXT(40380, "[$-0E0000]yyyy-mm-dd")</f>
        <v/>
      </c>
      <c r="C40381" t="inlineStr">
        <is>
          <t>2010-06-11</t>
        </is>
      </c>
    </row>
    <row r="40382">
      <c r="A40382" s="1" t="n">
        <v>40381</v>
      </c>
      <c r="B40382">
        <f>TEXT(40381, "[$-0E0000]yyyy-mm-dd")</f>
        <v/>
      </c>
      <c r="C40382" t="inlineStr">
        <is>
          <t>2010-06-12</t>
        </is>
      </c>
    </row>
    <row r="40383">
      <c r="A40383" s="1" t="n">
        <v>40382</v>
      </c>
      <c r="B40383">
        <f>TEXT(40382, "[$-0E0000]yyyy-mm-dd")</f>
        <v/>
      </c>
      <c r="C40383" t="inlineStr">
        <is>
          <t>2010-06-13</t>
        </is>
      </c>
    </row>
    <row r="40384">
      <c r="A40384" s="1" t="n">
        <v>40383</v>
      </c>
      <c r="B40384">
        <f>TEXT(40383, "[$-0E0000]yyyy-mm-dd")</f>
        <v/>
      </c>
      <c r="C40384" t="inlineStr">
        <is>
          <t>2010-06-14</t>
        </is>
      </c>
    </row>
    <row r="40385">
      <c r="A40385" s="1" t="n">
        <v>40384</v>
      </c>
      <c r="B40385">
        <f>TEXT(40384, "[$-0E0000]yyyy-mm-dd")</f>
        <v/>
      </c>
      <c r="C40385" t="inlineStr">
        <is>
          <t>2010-06-15</t>
        </is>
      </c>
    </row>
    <row r="40386">
      <c r="A40386" s="1" t="n">
        <v>40385</v>
      </c>
      <c r="B40386">
        <f>TEXT(40385, "[$-0E0000]yyyy-mm-dd")</f>
        <v/>
      </c>
      <c r="C40386" t="inlineStr">
        <is>
          <t>2010-06-16</t>
        </is>
      </c>
    </row>
    <row r="40387">
      <c r="A40387" s="1" t="n">
        <v>40386</v>
      </c>
      <c r="B40387">
        <f>TEXT(40386, "[$-0E0000]yyyy-mm-dd")</f>
        <v/>
      </c>
      <c r="C40387" t="inlineStr">
        <is>
          <t>2010-06-17</t>
        </is>
      </c>
    </row>
    <row r="40388">
      <c r="A40388" s="1" t="n">
        <v>40387</v>
      </c>
      <c r="B40388">
        <f>TEXT(40387, "[$-0E0000]yyyy-mm-dd")</f>
        <v/>
      </c>
      <c r="C40388" t="inlineStr">
        <is>
          <t>2010-06-18</t>
        </is>
      </c>
    </row>
    <row r="40389">
      <c r="A40389" s="1" t="n">
        <v>40388</v>
      </c>
      <c r="B40389">
        <f>TEXT(40388, "[$-0E0000]yyyy-mm-dd")</f>
        <v/>
      </c>
      <c r="C40389" t="inlineStr">
        <is>
          <t>2010-06-19</t>
        </is>
      </c>
    </row>
    <row r="40390">
      <c r="A40390" s="1" t="n">
        <v>40389</v>
      </c>
      <c r="B40390">
        <f>TEXT(40389, "[$-0E0000]yyyy-mm-dd")</f>
        <v/>
      </c>
      <c r="C40390" t="inlineStr">
        <is>
          <t>2010-06-20</t>
        </is>
      </c>
    </row>
    <row r="40391">
      <c r="A40391" s="1" t="n">
        <v>40390</v>
      </c>
      <c r="B40391">
        <f>TEXT(40390, "[$-0E0000]yyyy-mm-dd")</f>
        <v/>
      </c>
      <c r="C40391" t="inlineStr">
        <is>
          <t>2010-06-21</t>
        </is>
      </c>
    </row>
    <row r="40392">
      <c r="A40392" s="1" t="n">
        <v>40391</v>
      </c>
      <c r="B40392">
        <f>TEXT(40391, "[$-0E0000]yyyy-mm-dd")</f>
        <v/>
      </c>
      <c r="C40392" t="inlineStr">
        <is>
          <t>2010-06-22</t>
        </is>
      </c>
    </row>
    <row r="40393">
      <c r="A40393" s="1" t="n">
        <v>40392</v>
      </c>
      <c r="B40393">
        <f>TEXT(40392, "[$-0E0000]yyyy-mm-dd")</f>
        <v/>
      </c>
      <c r="C40393" t="inlineStr">
        <is>
          <t>2010-06-23</t>
        </is>
      </c>
    </row>
    <row r="40394">
      <c r="A40394" s="1" t="n">
        <v>40393</v>
      </c>
      <c r="B40394">
        <f>TEXT(40393, "[$-0E0000]yyyy-mm-dd")</f>
        <v/>
      </c>
      <c r="C40394" t="inlineStr">
        <is>
          <t>2010-06-24</t>
        </is>
      </c>
    </row>
    <row r="40395">
      <c r="A40395" s="1" t="n">
        <v>40394</v>
      </c>
      <c r="B40395">
        <f>TEXT(40394, "[$-0E0000]yyyy-mm-dd")</f>
        <v/>
      </c>
      <c r="C40395" t="inlineStr">
        <is>
          <t>2010-06-25</t>
        </is>
      </c>
    </row>
    <row r="40396">
      <c r="A40396" s="1" t="n">
        <v>40395</v>
      </c>
      <c r="B40396">
        <f>TEXT(40395, "[$-0E0000]yyyy-mm-dd")</f>
        <v/>
      </c>
      <c r="C40396" t="inlineStr">
        <is>
          <t>2010-06-26</t>
        </is>
      </c>
    </row>
    <row r="40397">
      <c r="A40397" s="1" t="n">
        <v>40396</v>
      </c>
      <c r="B40397">
        <f>TEXT(40396, "[$-0E0000]yyyy-mm-dd")</f>
        <v/>
      </c>
      <c r="C40397" t="inlineStr">
        <is>
          <t>2010-06-27</t>
        </is>
      </c>
    </row>
    <row r="40398">
      <c r="A40398" s="1" t="n">
        <v>40397</v>
      </c>
      <c r="B40398">
        <f>TEXT(40397, "[$-0E0000]yyyy-mm-dd")</f>
        <v/>
      </c>
      <c r="C40398" t="inlineStr">
        <is>
          <t>2010-06-28</t>
        </is>
      </c>
    </row>
    <row r="40399">
      <c r="A40399" s="1" t="n">
        <v>40398</v>
      </c>
      <c r="B40399">
        <f>TEXT(40398, "[$-0E0000]yyyy-mm-dd")</f>
        <v/>
      </c>
      <c r="C40399" t="inlineStr">
        <is>
          <t>2010-06-29</t>
        </is>
      </c>
    </row>
    <row r="40400">
      <c r="A40400" s="1" t="n">
        <v>40399</v>
      </c>
      <c r="B40400">
        <f>TEXT(40399, "[$-0E0000]yyyy-mm-dd")</f>
        <v/>
      </c>
      <c r="C40400" t="inlineStr">
        <is>
          <t>2010-07-01</t>
        </is>
      </c>
    </row>
    <row r="40401">
      <c r="A40401" s="1" t="n">
        <v>40400</v>
      </c>
      <c r="B40401">
        <f>TEXT(40400, "[$-0E0000]yyyy-mm-dd")</f>
        <v/>
      </c>
      <c r="C40401" t="inlineStr">
        <is>
          <t>2010-07-02</t>
        </is>
      </c>
    </row>
    <row r="40402">
      <c r="A40402" s="1" t="n">
        <v>40401</v>
      </c>
      <c r="B40402">
        <f>TEXT(40401, "[$-0E0000]yyyy-mm-dd")</f>
        <v/>
      </c>
      <c r="C40402" t="inlineStr">
        <is>
          <t>2010-07-03</t>
        </is>
      </c>
    </row>
    <row r="40403">
      <c r="A40403" s="1" t="n">
        <v>40402</v>
      </c>
      <c r="B40403">
        <f>TEXT(40402, "[$-0E0000]yyyy-mm-dd")</f>
        <v/>
      </c>
      <c r="C40403" t="inlineStr">
        <is>
          <t>2010-07-04</t>
        </is>
      </c>
    </row>
    <row r="40404">
      <c r="A40404" s="1" t="n">
        <v>40403</v>
      </c>
      <c r="B40404">
        <f>TEXT(40403, "[$-0E0000]yyyy-mm-dd")</f>
        <v/>
      </c>
      <c r="C40404" t="inlineStr">
        <is>
          <t>2010-07-05</t>
        </is>
      </c>
    </row>
    <row r="40405">
      <c r="A40405" s="1" t="n">
        <v>40404</v>
      </c>
      <c r="B40405">
        <f>TEXT(40404, "[$-0E0000]yyyy-mm-dd")</f>
        <v/>
      </c>
      <c r="C40405" t="inlineStr">
        <is>
          <t>2010-07-06</t>
        </is>
      </c>
    </row>
    <row r="40406">
      <c r="A40406" s="1" t="n">
        <v>40405</v>
      </c>
      <c r="B40406">
        <f>TEXT(40405, "[$-0E0000]yyyy-mm-dd")</f>
        <v/>
      </c>
      <c r="C40406" t="inlineStr">
        <is>
          <t>2010-07-07</t>
        </is>
      </c>
    </row>
    <row r="40407">
      <c r="A40407" s="1" t="n">
        <v>40406</v>
      </c>
      <c r="B40407">
        <f>TEXT(40406, "[$-0E0000]yyyy-mm-dd")</f>
        <v/>
      </c>
      <c r="C40407" t="inlineStr">
        <is>
          <t>2010-07-08</t>
        </is>
      </c>
    </row>
    <row r="40408">
      <c r="A40408" s="1" t="n">
        <v>40407</v>
      </c>
      <c r="B40408">
        <f>TEXT(40407, "[$-0E0000]yyyy-mm-dd")</f>
        <v/>
      </c>
      <c r="C40408" t="inlineStr">
        <is>
          <t>2010-07-09</t>
        </is>
      </c>
    </row>
    <row r="40409">
      <c r="A40409" s="1" t="n">
        <v>40408</v>
      </c>
      <c r="B40409">
        <f>TEXT(40408, "[$-0E0000]yyyy-mm-dd")</f>
        <v/>
      </c>
      <c r="C40409" t="inlineStr">
        <is>
          <t>2010-07-10</t>
        </is>
      </c>
    </row>
    <row r="40410">
      <c r="A40410" s="1" t="n">
        <v>40409</v>
      </c>
      <c r="B40410">
        <f>TEXT(40409, "[$-0E0000]yyyy-mm-dd")</f>
        <v/>
      </c>
      <c r="C40410" t="inlineStr">
        <is>
          <t>2010-07-11</t>
        </is>
      </c>
    </row>
    <row r="40411">
      <c r="A40411" s="1" t="n">
        <v>40410</v>
      </c>
      <c r="B40411">
        <f>TEXT(40410, "[$-0E0000]yyyy-mm-dd")</f>
        <v/>
      </c>
      <c r="C40411" t="inlineStr">
        <is>
          <t>2010-07-12</t>
        </is>
      </c>
    </row>
    <row r="40412">
      <c r="A40412" s="1" t="n">
        <v>40411</v>
      </c>
      <c r="B40412">
        <f>TEXT(40411, "[$-0E0000]yyyy-mm-dd")</f>
        <v/>
      </c>
      <c r="C40412" t="inlineStr">
        <is>
          <t>2010-07-13</t>
        </is>
      </c>
    </row>
    <row r="40413">
      <c r="A40413" s="1" t="n">
        <v>40412</v>
      </c>
      <c r="B40413">
        <f>TEXT(40412, "[$-0E0000]yyyy-mm-dd")</f>
        <v/>
      </c>
      <c r="C40413" t="inlineStr">
        <is>
          <t>2010-07-14</t>
        </is>
      </c>
    </row>
    <row r="40414">
      <c r="A40414" s="1" t="n">
        <v>40413</v>
      </c>
      <c r="B40414">
        <f>TEXT(40413, "[$-0E0000]yyyy-mm-dd")</f>
        <v/>
      </c>
      <c r="C40414" t="inlineStr">
        <is>
          <t>2010-07-15</t>
        </is>
      </c>
    </row>
    <row r="40415">
      <c r="A40415" s="1" t="n">
        <v>40414</v>
      </c>
      <c r="B40415">
        <f>TEXT(40414, "[$-0E0000]yyyy-mm-dd")</f>
        <v/>
      </c>
      <c r="C40415" t="inlineStr">
        <is>
          <t>2010-07-16</t>
        </is>
      </c>
    </row>
    <row r="40416">
      <c r="A40416" s="1" t="n">
        <v>40415</v>
      </c>
      <c r="B40416">
        <f>TEXT(40415, "[$-0E0000]yyyy-mm-dd")</f>
        <v/>
      </c>
      <c r="C40416" t="inlineStr">
        <is>
          <t>2010-07-17</t>
        </is>
      </c>
    </row>
    <row r="40417">
      <c r="A40417" s="1" t="n">
        <v>40416</v>
      </c>
      <c r="B40417">
        <f>TEXT(40416, "[$-0E0000]yyyy-mm-dd")</f>
        <v/>
      </c>
      <c r="C40417" t="inlineStr">
        <is>
          <t>2010-07-18</t>
        </is>
      </c>
    </row>
    <row r="40418">
      <c r="A40418" s="1" t="n">
        <v>40417</v>
      </c>
      <c r="B40418">
        <f>TEXT(40417, "[$-0E0000]yyyy-mm-dd")</f>
        <v/>
      </c>
      <c r="C40418" t="inlineStr">
        <is>
          <t>2010-07-19</t>
        </is>
      </c>
    </row>
    <row r="40419">
      <c r="A40419" s="1" t="n">
        <v>40418</v>
      </c>
      <c r="B40419">
        <f>TEXT(40418, "[$-0E0000]yyyy-mm-dd")</f>
        <v/>
      </c>
      <c r="C40419" t="inlineStr">
        <is>
          <t>2010-07-20</t>
        </is>
      </c>
    </row>
    <row r="40420">
      <c r="A40420" s="1" t="n">
        <v>40419</v>
      </c>
      <c r="B40420">
        <f>TEXT(40419, "[$-0E0000]yyyy-mm-dd")</f>
        <v/>
      </c>
      <c r="C40420" t="inlineStr">
        <is>
          <t>2010-07-21</t>
        </is>
      </c>
    </row>
    <row r="40421">
      <c r="A40421" s="1" t="n">
        <v>40420</v>
      </c>
      <c r="B40421">
        <f>TEXT(40420, "[$-0E0000]yyyy-mm-dd")</f>
        <v/>
      </c>
      <c r="C40421" t="inlineStr">
        <is>
          <t>2010-07-22</t>
        </is>
      </c>
    </row>
    <row r="40422">
      <c r="A40422" s="1" t="n">
        <v>40421</v>
      </c>
      <c r="B40422">
        <f>TEXT(40421, "[$-0E0000]yyyy-mm-dd")</f>
        <v/>
      </c>
      <c r="C40422" t="inlineStr">
        <is>
          <t>2010-07-23</t>
        </is>
      </c>
    </row>
    <row r="40423">
      <c r="A40423" s="1" t="n">
        <v>40422</v>
      </c>
      <c r="B40423">
        <f>TEXT(40422, "[$-0E0000]yyyy-mm-dd")</f>
        <v/>
      </c>
      <c r="C40423" t="inlineStr">
        <is>
          <t>2010-07-24</t>
        </is>
      </c>
    </row>
    <row r="40424">
      <c r="A40424" s="1" t="n">
        <v>40423</v>
      </c>
      <c r="B40424">
        <f>TEXT(40423, "[$-0E0000]yyyy-mm-dd")</f>
        <v/>
      </c>
      <c r="C40424" t="inlineStr">
        <is>
          <t>2010-07-25</t>
        </is>
      </c>
    </row>
    <row r="40425">
      <c r="A40425" s="1" t="n">
        <v>40424</v>
      </c>
      <c r="B40425">
        <f>TEXT(40424, "[$-0E0000]yyyy-mm-dd")</f>
        <v/>
      </c>
      <c r="C40425" t="inlineStr">
        <is>
          <t>2010-07-26</t>
        </is>
      </c>
    </row>
    <row r="40426">
      <c r="A40426" s="1" t="n">
        <v>40425</v>
      </c>
      <c r="B40426">
        <f>TEXT(40425, "[$-0E0000]yyyy-mm-dd")</f>
        <v/>
      </c>
      <c r="C40426" t="inlineStr">
        <is>
          <t>2010-07-27</t>
        </is>
      </c>
    </row>
    <row r="40427">
      <c r="A40427" s="1" t="n">
        <v>40426</v>
      </c>
      <c r="B40427">
        <f>TEXT(40426, "[$-0E0000]yyyy-mm-dd")</f>
        <v/>
      </c>
      <c r="C40427" t="inlineStr">
        <is>
          <t>2010-07-28</t>
        </is>
      </c>
    </row>
    <row r="40428">
      <c r="A40428" s="1" t="n">
        <v>40427</v>
      </c>
      <c r="B40428">
        <f>TEXT(40427, "[$-0E0000]yyyy-mm-dd")</f>
        <v/>
      </c>
      <c r="C40428" t="inlineStr">
        <is>
          <t>2010-07-29</t>
        </is>
      </c>
    </row>
    <row r="40429">
      <c r="A40429" s="1" t="n">
        <v>40428</v>
      </c>
      <c r="B40429">
        <f>TEXT(40428, "[$-0E0000]yyyy-mm-dd")</f>
        <v/>
      </c>
      <c r="C40429" t="inlineStr">
        <is>
          <t>2010-08-01</t>
        </is>
      </c>
    </row>
    <row r="40430">
      <c r="A40430" s="1" t="n">
        <v>40429</v>
      </c>
      <c r="B40430">
        <f>TEXT(40429, "[$-0E0000]yyyy-mm-dd")</f>
        <v/>
      </c>
      <c r="C40430" t="inlineStr">
        <is>
          <t>2010-08-02</t>
        </is>
      </c>
    </row>
    <row r="40431">
      <c r="A40431" s="1" t="n">
        <v>40430</v>
      </c>
      <c r="B40431">
        <f>TEXT(40430, "[$-0E0000]yyyy-mm-dd")</f>
        <v/>
      </c>
      <c r="C40431" t="inlineStr">
        <is>
          <t>2010-08-03</t>
        </is>
      </c>
    </row>
    <row r="40432">
      <c r="A40432" s="1" t="n">
        <v>40431</v>
      </c>
      <c r="B40432">
        <f>TEXT(40431, "[$-0E0000]yyyy-mm-dd")</f>
        <v/>
      </c>
      <c r="C40432" t="inlineStr">
        <is>
          <t>2010-08-04</t>
        </is>
      </c>
    </row>
    <row r="40433">
      <c r="A40433" s="1" t="n">
        <v>40432</v>
      </c>
      <c r="B40433">
        <f>TEXT(40432, "[$-0E0000]yyyy-mm-dd")</f>
        <v/>
      </c>
      <c r="C40433" t="inlineStr">
        <is>
          <t>2010-08-05</t>
        </is>
      </c>
    </row>
    <row r="40434">
      <c r="A40434" s="1" t="n">
        <v>40433</v>
      </c>
      <c r="B40434">
        <f>TEXT(40433, "[$-0E0000]yyyy-mm-dd")</f>
        <v/>
      </c>
      <c r="C40434" t="inlineStr">
        <is>
          <t>2010-08-06</t>
        </is>
      </c>
    </row>
    <row r="40435">
      <c r="A40435" s="1" t="n">
        <v>40434</v>
      </c>
      <c r="B40435">
        <f>TEXT(40434, "[$-0E0000]yyyy-mm-dd")</f>
        <v/>
      </c>
      <c r="C40435" t="inlineStr">
        <is>
          <t>2010-08-07</t>
        </is>
      </c>
    </row>
    <row r="40436">
      <c r="A40436" s="1" t="n">
        <v>40435</v>
      </c>
      <c r="B40436">
        <f>TEXT(40435, "[$-0E0000]yyyy-mm-dd")</f>
        <v/>
      </c>
      <c r="C40436" t="inlineStr">
        <is>
          <t>2010-08-08</t>
        </is>
      </c>
    </row>
    <row r="40437">
      <c r="A40437" s="1" t="n">
        <v>40436</v>
      </c>
      <c r="B40437">
        <f>TEXT(40436, "[$-0E0000]yyyy-mm-dd")</f>
        <v/>
      </c>
      <c r="C40437" t="inlineStr">
        <is>
          <t>2010-08-09</t>
        </is>
      </c>
    </row>
    <row r="40438">
      <c r="A40438" s="1" t="n">
        <v>40437</v>
      </c>
      <c r="B40438">
        <f>TEXT(40437, "[$-0E0000]yyyy-mm-dd")</f>
        <v/>
      </c>
      <c r="C40438" t="inlineStr">
        <is>
          <t>2010-08-10</t>
        </is>
      </c>
    </row>
    <row r="40439">
      <c r="A40439" s="1" t="n">
        <v>40438</v>
      </c>
      <c r="B40439">
        <f>TEXT(40438, "[$-0E0000]yyyy-mm-dd")</f>
        <v/>
      </c>
      <c r="C40439" t="inlineStr">
        <is>
          <t>2010-08-11</t>
        </is>
      </c>
    </row>
    <row r="40440">
      <c r="A40440" s="1" t="n">
        <v>40439</v>
      </c>
      <c r="B40440">
        <f>TEXT(40439, "[$-0E0000]yyyy-mm-dd")</f>
        <v/>
      </c>
      <c r="C40440" t="inlineStr">
        <is>
          <t>2010-08-12</t>
        </is>
      </c>
    </row>
    <row r="40441">
      <c r="A40441" s="1" t="n">
        <v>40440</v>
      </c>
      <c r="B40441">
        <f>TEXT(40440, "[$-0E0000]yyyy-mm-dd")</f>
        <v/>
      </c>
      <c r="C40441" t="inlineStr">
        <is>
          <t>2010-08-13</t>
        </is>
      </c>
    </row>
    <row r="40442">
      <c r="A40442" s="1" t="n">
        <v>40441</v>
      </c>
      <c r="B40442">
        <f>TEXT(40441, "[$-0E0000]yyyy-mm-dd")</f>
        <v/>
      </c>
      <c r="C40442" t="inlineStr">
        <is>
          <t>2010-08-14</t>
        </is>
      </c>
    </row>
    <row r="40443">
      <c r="A40443" s="1" t="n">
        <v>40442</v>
      </c>
      <c r="B40443">
        <f>TEXT(40442, "[$-0E0000]yyyy-mm-dd")</f>
        <v/>
      </c>
      <c r="C40443" t="inlineStr">
        <is>
          <t>2010-08-15</t>
        </is>
      </c>
    </row>
    <row r="40444">
      <c r="A40444" s="1" t="n">
        <v>40443</v>
      </c>
      <c r="B40444">
        <f>TEXT(40443, "[$-0E0000]yyyy-mm-dd")</f>
        <v/>
      </c>
      <c r="C40444" t="inlineStr">
        <is>
          <t>2010-08-16</t>
        </is>
      </c>
    </row>
    <row r="40445">
      <c r="A40445" s="1" t="n">
        <v>40444</v>
      </c>
      <c r="B40445">
        <f>TEXT(40444, "[$-0E0000]yyyy-mm-dd")</f>
        <v/>
      </c>
      <c r="C40445" t="inlineStr">
        <is>
          <t>2010-08-17</t>
        </is>
      </c>
    </row>
    <row r="40446">
      <c r="A40446" s="1" t="n">
        <v>40445</v>
      </c>
      <c r="B40446">
        <f>TEXT(40445, "[$-0E0000]yyyy-mm-dd")</f>
        <v/>
      </c>
      <c r="C40446" t="inlineStr">
        <is>
          <t>2010-08-18</t>
        </is>
      </c>
    </row>
    <row r="40447">
      <c r="A40447" s="1" t="n">
        <v>40446</v>
      </c>
      <c r="B40447">
        <f>TEXT(40446, "[$-0E0000]yyyy-mm-dd")</f>
        <v/>
      </c>
      <c r="C40447" t="inlineStr">
        <is>
          <t>2010-08-19</t>
        </is>
      </c>
    </row>
    <row r="40448">
      <c r="A40448" s="1" t="n">
        <v>40447</v>
      </c>
      <c r="B40448">
        <f>TEXT(40447, "[$-0E0000]yyyy-mm-dd")</f>
        <v/>
      </c>
      <c r="C40448" t="inlineStr">
        <is>
          <t>2010-08-20</t>
        </is>
      </c>
    </row>
    <row r="40449">
      <c r="A40449" s="1" t="n">
        <v>40448</v>
      </c>
      <c r="B40449">
        <f>TEXT(40448, "[$-0E0000]yyyy-mm-dd")</f>
        <v/>
      </c>
      <c r="C40449" t="inlineStr">
        <is>
          <t>2010-08-21</t>
        </is>
      </c>
    </row>
    <row r="40450">
      <c r="A40450" s="1" t="n">
        <v>40449</v>
      </c>
      <c r="B40450">
        <f>TEXT(40449, "[$-0E0000]yyyy-mm-dd")</f>
        <v/>
      </c>
      <c r="C40450" t="inlineStr">
        <is>
          <t>2010-08-22</t>
        </is>
      </c>
    </row>
    <row r="40451">
      <c r="A40451" s="1" t="n">
        <v>40450</v>
      </c>
      <c r="B40451">
        <f>TEXT(40450, "[$-0E0000]yyyy-mm-dd")</f>
        <v/>
      </c>
      <c r="C40451" t="inlineStr">
        <is>
          <t>2010-08-23</t>
        </is>
      </c>
    </row>
    <row r="40452">
      <c r="A40452" s="1" t="n">
        <v>40451</v>
      </c>
      <c r="B40452">
        <f>TEXT(40451, "[$-0E0000]yyyy-mm-dd")</f>
        <v/>
      </c>
      <c r="C40452" t="inlineStr">
        <is>
          <t>2010-08-24</t>
        </is>
      </c>
    </row>
    <row r="40453">
      <c r="A40453" s="1" t="n">
        <v>40452</v>
      </c>
      <c r="B40453">
        <f>TEXT(40452, "[$-0E0000]yyyy-mm-dd")</f>
        <v/>
      </c>
      <c r="C40453" t="inlineStr">
        <is>
          <t>2010-08-25</t>
        </is>
      </c>
    </row>
    <row r="40454">
      <c r="A40454" s="1" t="n">
        <v>40453</v>
      </c>
      <c r="B40454">
        <f>TEXT(40453, "[$-0E0000]yyyy-mm-dd")</f>
        <v/>
      </c>
      <c r="C40454" t="inlineStr">
        <is>
          <t>2010-08-26</t>
        </is>
      </c>
    </row>
    <row r="40455">
      <c r="A40455" s="1" t="n">
        <v>40454</v>
      </c>
      <c r="B40455">
        <f>TEXT(40454, "[$-0E0000]yyyy-mm-dd")</f>
        <v/>
      </c>
      <c r="C40455" t="inlineStr">
        <is>
          <t>2010-08-27</t>
        </is>
      </c>
    </row>
    <row r="40456">
      <c r="A40456" s="1" t="n">
        <v>40455</v>
      </c>
      <c r="B40456">
        <f>TEXT(40455, "[$-0E0000]yyyy-mm-dd")</f>
        <v/>
      </c>
      <c r="C40456" t="inlineStr">
        <is>
          <t>2010-08-28</t>
        </is>
      </c>
    </row>
    <row r="40457">
      <c r="A40457" s="1" t="n">
        <v>40456</v>
      </c>
      <c r="B40457">
        <f>TEXT(40456, "[$-0E0000]yyyy-mm-dd")</f>
        <v/>
      </c>
      <c r="C40457" t="inlineStr">
        <is>
          <t>2010-08-29</t>
        </is>
      </c>
    </row>
    <row r="40458">
      <c r="A40458" s="1" t="n">
        <v>40457</v>
      </c>
      <c r="B40458">
        <f>TEXT(40457, "[$-0E0000]yyyy-mm-dd")</f>
        <v/>
      </c>
      <c r="C40458" t="inlineStr">
        <is>
          <t>2010-08-30</t>
        </is>
      </c>
    </row>
    <row r="40459">
      <c r="A40459" s="1" t="n">
        <v>40458</v>
      </c>
      <c r="B40459">
        <f>TEXT(40458, "[$-0E0000]yyyy-mm-dd")</f>
        <v/>
      </c>
      <c r="C40459" t="inlineStr">
        <is>
          <t>2010-09-01</t>
        </is>
      </c>
    </row>
    <row r="40460">
      <c r="A40460" s="1" t="n">
        <v>40459</v>
      </c>
      <c r="B40460">
        <f>TEXT(40459, "[$-0E0000]yyyy-mm-dd")</f>
        <v/>
      </c>
      <c r="C40460" t="inlineStr">
        <is>
          <t>2010-09-02</t>
        </is>
      </c>
    </row>
    <row r="40461">
      <c r="A40461" s="1" t="n">
        <v>40460</v>
      </c>
      <c r="B40461">
        <f>TEXT(40460, "[$-0E0000]yyyy-mm-dd")</f>
        <v/>
      </c>
      <c r="C40461" t="inlineStr">
        <is>
          <t>2010-09-03</t>
        </is>
      </c>
    </row>
    <row r="40462">
      <c r="A40462" s="1" t="n">
        <v>40461</v>
      </c>
      <c r="B40462">
        <f>TEXT(40461, "[$-0E0000]yyyy-mm-dd")</f>
        <v/>
      </c>
      <c r="C40462" t="inlineStr">
        <is>
          <t>2010-09-04</t>
        </is>
      </c>
    </row>
    <row r="40463">
      <c r="A40463" s="1" t="n">
        <v>40462</v>
      </c>
      <c r="B40463">
        <f>TEXT(40462, "[$-0E0000]yyyy-mm-dd")</f>
        <v/>
      </c>
      <c r="C40463" t="inlineStr">
        <is>
          <t>2010-09-05</t>
        </is>
      </c>
    </row>
    <row r="40464">
      <c r="A40464" s="1" t="n">
        <v>40463</v>
      </c>
      <c r="B40464">
        <f>TEXT(40463, "[$-0E0000]yyyy-mm-dd")</f>
        <v/>
      </c>
      <c r="C40464" t="inlineStr">
        <is>
          <t>2010-09-06</t>
        </is>
      </c>
    </row>
    <row r="40465">
      <c r="A40465" s="1" t="n">
        <v>40464</v>
      </c>
      <c r="B40465">
        <f>TEXT(40464, "[$-0E0000]yyyy-mm-dd")</f>
        <v/>
      </c>
      <c r="C40465" t="inlineStr">
        <is>
          <t>2010-09-07</t>
        </is>
      </c>
    </row>
    <row r="40466">
      <c r="A40466" s="1" t="n">
        <v>40465</v>
      </c>
      <c r="B40466">
        <f>TEXT(40465, "[$-0E0000]yyyy-mm-dd")</f>
        <v/>
      </c>
      <c r="C40466" t="inlineStr">
        <is>
          <t>2010-09-08</t>
        </is>
      </c>
    </row>
    <row r="40467">
      <c r="A40467" s="1" t="n">
        <v>40466</v>
      </c>
      <c r="B40467">
        <f>TEXT(40466, "[$-0E0000]yyyy-mm-dd")</f>
        <v/>
      </c>
      <c r="C40467" t="inlineStr">
        <is>
          <t>2010-09-09</t>
        </is>
      </c>
    </row>
    <row r="40468">
      <c r="A40468" s="1" t="n">
        <v>40467</v>
      </c>
      <c r="B40468">
        <f>TEXT(40467, "[$-0E0000]yyyy-mm-dd")</f>
        <v/>
      </c>
      <c r="C40468" t="inlineStr">
        <is>
          <t>2010-09-10</t>
        </is>
      </c>
    </row>
    <row r="40469">
      <c r="A40469" s="1" t="n">
        <v>40468</v>
      </c>
      <c r="B40469">
        <f>TEXT(40468, "[$-0E0000]yyyy-mm-dd")</f>
        <v/>
      </c>
      <c r="C40469" t="inlineStr">
        <is>
          <t>2010-09-11</t>
        </is>
      </c>
    </row>
    <row r="40470">
      <c r="A40470" s="1" t="n">
        <v>40469</v>
      </c>
      <c r="B40470">
        <f>TEXT(40469, "[$-0E0000]yyyy-mm-dd")</f>
        <v/>
      </c>
      <c r="C40470" t="inlineStr">
        <is>
          <t>2010-09-12</t>
        </is>
      </c>
    </row>
    <row r="40471">
      <c r="A40471" s="1" t="n">
        <v>40470</v>
      </c>
      <c r="B40471">
        <f>TEXT(40470, "[$-0E0000]yyyy-mm-dd")</f>
        <v/>
      </c>
      <c r="C40471" t="inlineStr">
        <is>
          <t>2010-09-13</t>
        </is>
      </c>
    </row>
    <row r="40472">
      <c r="A40472" s="1" t="n">
        <v>40471</v>
      </c>
      <c r="B40472">
        <f>TEXT(40471, "[$-0E0000]yyyy-mm-dd")</f>
        <v/>
      </c>
      <c r="C40472" t="inlineStr">
        <is>
          <t>2010-09-14</t>
        </is>
      </c>
    </row>
    <row r="40473">
      <c r="A40473" s="1" t="n">
        <v>40472</v>
      </c>
      <c r="B40473">
        <f>TEXT(40472, "[$-0E0000]yyyy-mm-dd")</f>
        <v/>
      </c>
      <c r="C40473" t="inlineStr">
        <is>
          <t>2010-09-15</t>
        </is>
      </c>
    </row>
    <row r="40474">
      <c r="A40474" s="1" t="n">
        <v>40473</v>
      </c>
      <c r="B40474">
        <f>TEXT(40473, "[$-0E0000]yyyy-mm-dd")</f>
        <v/>
      </c>
      <c r="C40474" t="inlineStr">
        <is>
          <t>2010-09-16</t>
        </is>
      </c>
    </row>
    <row r="40475">
      <c r="A40475" s="1" t="n">
        <v>40474</v>
      </c>
      <c r="B40475">
        <f>TEXT(40474, "[$-0E0000]yyyy-mm-dd")</f>
        <v/>
      </c>
      <c r="C40475" t="inlineStr">
        <is>
          <t>2010-09-17</t>
        </is>
      </c>
    </row>
    <row r="40476">
      <c r="A40476" s="1" t="n">
        <v>40475</v>
      </c>
      <c r="B40476">
        <f>TEXT(40475, "[$-0E0000]yyyy-mm-dd")</f>
        <v/>
      </c>
      <c r="C40476" t="inlineStr">
        <is>
          <t>2010-09-18</t>
        </is>
      </c>
    </row>
    <row r="40477">
      <c r="A40477" s="1" t="n">
        <v>40476</v>
      </c>
      <c r="B40477">
        <f>TEXT(40476, "[$-0E0000]yyyy-mm-dd")</f>
        <v/>
      </c>
      <c r="C40477" t="inlineStr">
        <is>
          <t>2010-09-19</t>
        </is>
      </c>
    </row>
    <row r="40478">
      <c r="A40478" s="1" t="n">
        <v>40477</v>
      </c>
      <c r="B40478">
        <f>TEXT(40477, "[$-0E0000]yyyy-mm-dd")</f>
        <v/>
      </c>
      <c r="C40478" t="inlineStr">
        <is>
          <t>2010-09-20</t>
        </is>
      </c>
    </row>
    <row r="40479">
      <c r="A40479" s="1" t="n">
        <v>40478</v>
      </c>
      <c r="B40479">
        <f>TEXT(40478, "[$-0E0000]yyyy-mm-dd")</f>
        <v/>
      </c>
      <c r="C40479" t="inlineStr">
        <is>
          <t>2010-09-21</t>
        </is>
      </c>
    </row>
    <row r="40480">
      <c r="A40480" s="1" t="n">
        <v>40479</v>
      </c>
      <c r="B40480">
        <f>TEXT(40479, "[$-0E0000]yyyy-mm-dd")</f>
        <v/>
      </c>
      <c r="C40480" t="inlineStr">
        <is>
          <t>2010-09-22</t>
        </is>
      </c>
    </row>
    <row r="40481">
      <c r="A40481" s="1" t="n">
        <v>40480</v>
      </c>
      <c r="B40481">
        <f>TEXT(40480, "[$-0E0000]yyyy-mm-dd")</f>
        <v/>
      </c>
      <c r="C40481" t="inlineStr">
        <is>
          <t>2010-09-23</t>
        </is>
      </c>
    </row>
    <row r="40482">
      <c r="A40482" s="1" t="n">
        <v>40481</v>
      </c>
      <c r="B40482">
        <f>TEXT(40481, "[$-0E0000]yyyy-mm-dd")</f>
        <v/>
      </c>
      <c r="C40482" t="inlineStr">
        <is>
          <t>2010-09-24</t>
        </is>
      </c>
    </row>
    <row r="40483">
      <c r="A40483" s="1" t="n">
        <v>40482</v>
      </c>
      <c r="B40483">
        <f>TEXT(40482, "[$-0E0000]yyyy-mm-dd")</f>
        <v/>
      </c>
      <c r="C40483" t="inlineStr">
        <is>
          <t>2010-09-25</t>
        </is>
      </c>
    </row>
    <row r="40484">
      <c r="A40484" s="1" t="n">
        <v>40483</v>
      </c>
      <c r="B40484">
        <f>TEXT(40483, "[$-0E0000]yyyy-mm-dd")</f>
        <v/>
      </c>
      <c r="C40484" t="inlineStr">
        <is>
          <t>2010-09-26</t>
        </is>
      </c>
    </row>
    <row r="40485">
      <c r="A40485" s="1" t="n">
        <v>40484</v>
      </c>
      <c r="B40485">
        <f>TEXT(40484, "[$-0E0000]yyyy-mm-dd")</f>
        <v/>
      </c>
      <c r="C40485" t="inlineStr">
        <is>
          <t>2010-09-27</t>
        </is>
      </c>
    </row>
    <row r="40486">
      <c r="A40486" s="1" t="n">
        <v>40485</v>
      </c>
      <c r="B40486">
        <f>TEXT(40485, "[$-0E0000]yyyy-mm-dd")</f>
        <v/>
      </c>
      <c r="C40486" t="inlineStr">
        <is>
          <t>2010-09-28</t>
        </is>
      </c>
    </row>
    <row r="40487">
      <c r="A40487" s="1" t="n">
        <v>40486</v>
      </c>
      <c r="B40487">
        <f>TEXT(40486, "[$-0E0000]yyyy-mm-dd")</f>
        <v/>
      </c>
      <c r="C40487" t="inlineStr">
        <is>
          <t>2010-09-29</t>
        </is>
      </c>
    </row>
    <row r="40488">
      <c r="A40488" s="1" t="n">
        <v>40487</v>
      </c>
      <c r="B40488">
        <f>TEXT(40487, "[$-0E0000]yyyy-mm-dd")</f>
        <v/>
      </c>
      <c r="C40488" t="inlineStr">
        <is>
          <t>2010-10-01</t>
        </is>
      </c>
    </row>
    <row r="40489">
      <c r="A40489" s="1" t="n">
        <v>40488</v>
      </c>
      <c r="B40489">
        <f>TEXT(40488, "[$-0E0000]yyyy-mm-dd")</f>
        <v/>
      </c>
      <c r="C40489" t="inlineStr">
        <is>
          <t>2010-10-02</t>
        </is>
      </c>
    </row>
    <row r="40490">
      <c r="A40490" s="1" t="n">
        <v>40489</v>
      </c>
      <c r="B40490">
        <f>TEXT(40489, "[$-0E0000]yyyy-mm-dd")</f>
        <v/>
      </c>
      <c r="C40490" t="inlineStr">
        <is>
          <t>2010-10-03</t>
        </is>
      </c>
    </row>
    <row r="40491">
      <c r="A40491" s="1" t="n">
        <v>40490</v>
      </c>
      <c r="B40491">
        <f>TEXT(40490, "[$-0E0000]yyyy-mm-dd")</f>
        <v/>
      </c>
      <c r="C40491" t="inlineStr">
        <is>
          <t>2010-10-04</t>
        </is>
      </c>
    </row>
    <row r="40492">
      <c r="A40492" s="1" t="n">
        <v>40491</v>
      </c>
      <c r="B40492">
        <f>TEXT(40491, "[$-0E0000]yyyy-mm-dd")</f>
        <v/>
      </c>
      <c r="C40492" t="inlineStr">
        <is>
          <t>2010-10-05</t>
        </is>
      </c>
    </row>
    <row r="40493">
      <c r="A40493" s="1" t="n">
        <v>40492</v>
      </c>
      <c r="B40493">
        <f>TEXT(40492, "[$-0E0000]yyyy-mm-dd")</f>
        <v/>
      </c>
      <c r="C40493" t="inlineStr">
        <is>
          <t>2010-10-06</t>
        </is>
      </c>
    </row>
    <row r="40494">
      <c r="A40494" s="1" t="n">
        <v>40493</v>
      </c>
      <c r="B40494">
        <f>TEXT(40493, "[$-0E0000]yyyy-mm-dd")</f>
        <v/>
      </c>
      <c r="C40494" t="inlineStr">
        <is>
          <t>2010-10-07</t>
        </is>
      </c>
    </row>
    <row r="40495">
      <c r="A40495" s="1" t="n">
        <v>40494</v>
      </c>
      <c r="B40495">
        <f>TEXT(40494, "[$-0E0000]yyyy-mm-dd")</f>
        <v/>
      </c>
      <c r="C40495" t="inlineStr">
        <is>
          <t>2010-10-08</t>
        </is>
      </c>
    </row>
    <row r="40496">
      <c r="A40496" s="1" t="n">
        <v>40495</v>
      </c>
      <c r="B40496">
        <f>TEXT(40495, "[$-0E0000]yyyy-mm-dd")</f>
        <v/>
      </c>
      <c r="C40496" t="inlineStr">
        <is>
          <t>2010-10-09</t>
        </is>
      </c>
    </row>
    <row r="40497">
      <c r="A40497" s="1" t="n">
        <v>40496</v>
      </c>
      <c r="B40497">
        <f>TEXT(40496, "[$-0E0000]yyyy-mm-dd")</f>
        <v/>
      </c>
      <c r="C40497" t="inlineStr">
        <is>
          <t>2010-10-10</t>
        </is>
      </c>
    </row>
    <row r="40498">
      <c r="A40498" s="1" t="n">
        <v>40497</v>
      </c>
      <c r="B40498">
        <f>TEXT(40497, "[$-0E0000]yyyy-mm-dd")</f>
        <v/>
      </c>
      <c r="C40498" t="inlineStr">
        <is>
          <t>2010-10-11</t>
        </is>
      </c>
    </row>
    <row r="40499">
      <c r="A40499" s="1" t="n">
        <v>40498</v>
      </c>
      <c r="B40499">
        <f>TEXT(40498, "[$-0E0000]yyyy-mm-dd")</f>
        <v/>
      </c>
      <c r="C40499" t="inlineStr">
        <is>
          <t>2010-10-12</t>
        </is>
      </c>
    </row>
    <row r="40500">
      <c r="A40500" s="1" t="n">
        <v>40499</v>
      </c>
      <c r="B40500">
        <f>TEXT(40499, "[$-0E0000]yyyy-mm-dd")</f>
        <v/>
      </c>
      <c r="C40500" t="inlineStr">
        <is>
          <t>2010-10-13</t>
        </is>
      </c>
    </row>
    <row r="40501">
      <c r="A40501" s="1" t="n">
        <v>40500</v>
      </c>
      <c r="B40501">
        <f>TEXT(40500, "[$-0E0000]yyyy-mm-dd")</f>
        <v/>
      </c>
      <c r="C40501" t="inlineStr">
        <is>
          <t>2010-10-14</t>
        </is>
      </c>
    </row>
    <row r="40502">
      <c r="A40502" s="1" t="n">
        <v>40501</v>
      </c>
      <c r="B40502">
        <f>TEXT(40501, "[$-0E0000]yyyy-mm-dd")</f>
        <v/>
      </c>
      <c r="C40502" t="inlineStr">
        <is>
          <t>2010-10-15</t>
        </is>
      </c>
    </row>
    <row r="40503">
      <c r="A40503" s="1" t="n">
        <v>40502</v>
      </c>
      <c r="B40503">
        <f>TEXT(40502, "[$-0E0000]yyyy-mm-dd")</f>
        <v/>
      </c>
      <c r="C40503" t="inlineStr">
        <is>
          <t>2010-10-16</t>
        </is>
      </c>
    </row>
    <row r="40504">
      <c r="A40504" s="1" t="n">
        <v>40503</v>
      </c>
      <c r="B40504">
        <f>TEXT(40503, "[$-0E0000]yyyy-mm-dd")</f>
        <v/>
      </c>
      <c r="C40504" t="inlineStr">
        <is>
          <t>2010-10-17</t>
        </is>
      </c>
    </row>
    <row r="40505">
      <c r="A40505" s="1" t="n">
        <v>40504</v>
      </c>
      <c r="B40505">
        <f>TEXT(40504, "[$-0E0000]yyyy-mm-dd")</f>
        <v/>
      </c>
      <c r="C40505" t="inlineStr">
        <is>
          <t>2010-10-18</t>
        </is>
      </c>
    </row>
    <row r="40506">
      <c r="A40506" s="1" t="n">
        <v>40505</v>
      </c>
      <c r="B40506">
        <f>TEXT(40505, "[$-0E0000]yyyy-mm-dd")</f>
        <v/>
      </c>
      <c r="C40506" t="inlineStr">
        <is>
          <t>2010-10-19</t>
        </is>
      </c>
    </row>
    <row r="40507">
      <c r="A40507" s="1" t="n">
        <v>40506</v>
      </c>
      <c r="B40507">
        <f>TEXT(40506, "[$-0E0000]yyyy-mm-dd")</f>
        <v/>
      </c>
      <c r="C40507" t="inlineStr">
        <is>
          <t>2010-10-20</t>
        </is>
      </c>
    </row>
    <row r="40508">
      <c r="A40508" s="1" t="n">
        <v>40507</v>
      </c>
      <c r="B40508">
        <f>TEXT(40507, "[$-0E0000]yyyy-mm-dd")</f>
        <v/>
      </c>
      <c r="C40508" t="inlineStr">
        <is>
          <t>2010-10-21</t>
        </is>
      </c>
    </row>
    <row r="40509">
      <c r="A40509" s="1" t="n">
        <v>40508</v>
      </c>
      <c r="B40509">
        <f>TEXT(40508, "[$-0E0000]yyyy-mm-dd")</f>
        <v/>
      </c>
      <c r="C40509" t="inlineStr">
        <is>
          <t>2010-10-22</t>
        </is>
      </c>
    </row>
    <row r="40510">
      <c r="A40510" s="1" t="n">
        <v>40509</v>
      </c>
      <c r="B40510">
        <f>TEXT(40509, "[$-0E0000]yyyy-mm-dd")</f>
        <v/>
      </c>
      <c r="C40510" t="inlineStr">
        <is>
          <t>2010-10-23</t>
        </is>
      </c>
    </row>
    <row r="40511">
      <c r="A40511" s="1" t="n">
        <v>40510</v>
      </c>
      <c r="B40511">
        <f>TEXT(40510, "[$-0E0000]yyyy-mm-dd")</f>
        <v/>
      </c>
      <c r="C40511" t="inlineStr">
        <is>
          <t>2010-10-24</t>
        </is>
      </c>
    </row>
    <row r="40512">
      <c r="A40512" s="1" t="n">
        <v>40511</v>
      </c>
      <c r="B40512">
        <f>TEXT(40511, "[$-0E0000]yyyy-mm-dd")</f>
        <v/>
      </c>
      <c r="C40512" t="inlineStr">
        <is>
          <t>2010-10-25</t>
        </is>
      </c>
    </row>
    <row r="40513">
      <c r="A40513" s="1" t="n">
        <v>40512</v>
      </c>
      <c r="B40513">
        <f>TEXT(40512, "[$-0E0000]yyyy-mm-dd")</f>
        <v/>
      </c>
      <c r="C40513" t="inlineStr">
        <is>
          <t>2010-10-26</t>
        </is>
      </c>
    </row>
    <row r="40514">
      <c r="A40514" s="1" t="n">
        <v>40513</v>
      </c>
      <c r="B40514">
        <f>TEXT(40513, "[$-0E0000]yyyy-mm-dd")</f>
        <v/>
      </c>
      <c r="C40514" t="inlineStr">
        <is>
          <t>2010-10-27</t>
        </is>
      </c>
    </row>
    <row r="40515">
      <c r="A40515" s="1" t="n">
        <v>40514</v>
      </c>
      <c r="B40515">
        <f>TEXT(40514, "[$-0E0000]yyyy-mm-dd")</f>
        <v/>
      </c>
      <c r="C40515" t="inlineStr">
        <is>
          <t>2010-10-28</t>
        </is>
      </c>
    </row>
    <row r="40516">
      <c r="A40516" s="1" t="n">
        <v>40515</v>
      </c>
      <c r="B40516">
        <f>TEXT(40515, "[$-0E0000]yyyy-mm-dd")</f>
        <v/>
      </c>
      <c r="C40516" t="inlineStr">
        <is>
          <t>2010-10-29</t>
        </is>
      </c>
    </row>
    <row r="40517">
      <c r="A40517" s="1" t="n">
        <v>40516</v>
      </c>
      <c r="B40517">
        <f>TEXT(40516, "[$-0E0000]yyyy-mm-dd")</f>
        <v/>
      </c>
      <c r="C40517" t="inlineStr">
        <is>
          <t>2010-10-30</t>
        </is>
      </c>
    </row>
    <row r="40518">
      <c r="A40518" s="1" t="n">
        <v>40517</v>
      </c>
      <c r="B40518">
        <f>TEXT(40517, "[$-0E0000]yyyy-mm-dd")</f>
        <v/>
      </c>
      <c r="C40518" t="inlineStr">
        <is>
          <t>2010-11-01</t>
        </is>
      </c>
    </row>
    <row r="40519">
      <c r="A40519" s="1" t="n">
        <v>40518</v>
      </c>
      <c r="B40519">
        <f>TEXT(40518, "[$-0E0000]yyyy-mm-dd")</f>
        <v/>
      </c>
      <c r="C40519" t="inlineStr">
        <is>
          <t>2010-11-02</t>
        </is>
      </c>
    </row>
    <row r="40520">
      <c r="A40520" s="1" t="n">
        <v>40519</v>
      </c>
      <c r="B40520">
        <f>TEXT(40519, "[$-0E0000]yyyy-mm-dd")</f>
        <v/>
      </c>
      <c r="C40520" t="inlineStr">
        <is>
          <t>2010-11-03</t>
        </is>
      </c>
    </row>
    <row r="40521">
      <c r="A40521" s="1" t="n">
        <v>40520</v>
      </c>
      <c r="B40521">
        <f>TEXT(40520, "[$-0E0000]yyyy-mm-dd")</f>
        <v/>
      </c>
      <c r="C40521" t="inlineStr">
        <is>
          <t>2010-11-04</t>
        </is>
      </c>
    </row>
    <row r="40522">
      <c r="A40522" s="1" t="n">
        <v>40521</v>
      </c>
      <c r="B40522">
        <f>TEXT(40521, "[$-0E0000]yyyy-mm-dd")</f>
        <v/>
      </c>
      <c r="C40522" t="inlineStr">
        <is>
          <t>2010-11-05</t>
        </is>
      </c>
    </row>
    <row r="40523">
      <c r="A40523" s="1" t="n">
        <v>40522</v>
      </c>
      <c r="B40523">
        <f>TEXT(40522, "[$-0E0000]yyyy-mm-dd")</f>
        <v/>
      </c>
      <c r="C40523" t="inlineStr">
        <is>
          <t>2010-11-06</t>
        </is>
      </c>
    </row>
    <row r="40524">
      <c r="A40524" s="1" t="n">
        <v>40523</v>
      </c>
      <c r="B40524">
        <f>TEXT(40523, "[$-0E0000]yyyy-mm-dd")</f>
        <v/>
      </c>
      <c r="C40524" t="inlineStr">
        <is>
          <t>2010-11-07</t>
        </is>
      </c>
    </row>
    <row r="40525">
      <c r="A40525" s="1" t="n">
        <v>40524</v>
      </c>
      <c r="B40525">
        <f>TEXT(40524, "[$-0E0000]yyyy-mm-dd")</f>
        <v/>
      </c>
      <c r="C40525" t="inlineStr">
        <is>
          <t>2010-11-08</t>
        </is>
      </c>
    </row>
    <row r="40526">
      <c r="A40526" s="1" t="n">
        <v>40525</v>
      </c>
      <c r="B40526">
        <f>TEXT(40525, "[$-0E0000]yyyy-mm-dd")</f>
        <v/>
      </c>
      <c r="C40526" t="inlineStr">
        <is>
          <t>2010-11-09</t>
        </is>
      </c>
    </row>
    <row r="40527">
      <c r="A40527" s="1" t="n">
        <v>40526</v>
      </c>
      <c r="B40527">
        <f>TEXT(40526, "[$-0E0000]yyyy-mm-dd")</f>
        <v/>
      </c>
      <c r="C40527" t="inlineStr">
        <is>
          <t>2010-11-10</t>
        </is>
      </c>
    </row>
    <row r="40528">
      <c r="A40528" s="1" t="n">
        <v>40527</v>
      </c>
      <c r="B40528">
        <f>TEXT(40527, "[$-0E0000]yyyy-mm-dd")</f>
        <v/>
      </c>
      <c r="C40528" t="inlineStr">
        <is>
          <t>2010-11-11</t>
        </is>
      </c>
    </row>
    <row r="40529">
      <c r="A40529" s="1" t="n">
        <v>40528</v>
      </c>
      <c r="B40529">
        <f>TEXT(40528, "[$-0E0000]yyyy-mm-dd")</f>
        <v/>
      </c>
      <c r="C40529" t="inlineStr">
        <is>
          <t>2010-11-12</t>
        </is>
      </c>
    </row>
    <row r="40530">
      <c r="A40530" s="1" t="n">
        <v>40529</v>
      </c>
      <c r="B40530">
        <f>TEXT(40529, "[$-0E0000]yyyy-mm-dd")</f>
        <v/>
      </c>
      <c r="C40530" t="inlineStr">
        <is>
          <t>2010-11-13</t>
        </is>
      </c>
    </row>
    <row r="40531">
      <c r="A40531" s="1" t="n">
        <v>40530</v>
      </c>
      <c r="B40531">
        <f>TEXT(40530, "[$-0E0000]yyyy-mm-dd")</f>
        <v/>
      </c>
      <c r="C40531" t="inlineStr">
        <is>
          <t>2010-11-14</t>
        </is>
      </c>
    </row>
    <row r="40532">
      <c r="A40532" s="1" t="n">
        <v>40531</v>
      </c>
      <c r="B40532">
        <f>TEXT(40531, "[$-0E0000]yyyy-mm-dd")</f>
        <v/>
      </c>
      <c r="C40532" t="inlineStr">
        <is>
          <t>2010-11-15</t>
        </is>
      </c>
    </row>
    <row r="40533">
      <c r="A40533" s="1" t="n">
        <v>40532</v>
      </c>
      <c r="B40533">
        <f>TEXT(40532, "[$-0E0000]yyyy-mm-dd")</f>
        <v/>
      </c>
      <c r="C40533" t="inlineStr">
        <is>
          <t>2010-11-16</t>
        </is>
      </c>
    </row>
    <row r="40534">
      <c r="A40534" s="1" t="n">
        <v>40533</v>
      </c>
      <c r="B40534">
        <f>TEXT(40533, "[$-0E0000]yyyy-mm-dd")</f>
        <v/>
      </c>
      <c r="C40534" t="inlineStr">
        <is>
          <t>2010-11-17</t>
        </is>
      </c>
    </row>
    <row r="40535">
      <c r="A40535" s="1" t="n">
        <v>40534</v>
      </c>
      <c r="B40535">
        <f>TEXT(40534, "[$-0E0000]yyyy-mm-dd")</f>
        <v/>
      </c>
      <c r="C40535" t="inlineStr">
        <is>
          <t>2010-11-18</t>
        </is>
      </c>
    </row>
    <row r="40536">
      <c r="A40536" s="1" t="n">
        <v>40535</v>
      </c>
      <c r="B40536">
        <f>TEXT(40535, "[$-0E0000]yyyy-mm-dd")</f>
        <v/>
      </c>
      <c r="C40536" t="inlineStr">
        <is>
          <t>2010-11-19</t>
        </is>
      </c>
    </row>
    <row r="40537">
      <c r="A40537" s="1" t="n">
        <v>40536</v>
      </c>
      <c r="B40537">
        <f>TEXT(40536, "[$-0E0000]yyyy-mm-dd")</f>
        <v/>
      </c>
      <c r="C40537" t="inlineStr">
        <is>
          <t>2010-11-20</t>
        </is>
      </c>
    </row>
    <row r="40538">
      <c r="A40538" s="1" t="n">
        <v>40537</v>
      </c>
      <c r="B40538">
        <f>TEXT(40537, "[$-0E0000]yyyy-mm-dd")</f>
        <v/>
      </c>
      <c r="C40538" t="inlineStr">
        <is>
          <t>2010-11-21</t>
        </is>
      </c>
    </row>
    <row r="40539">
      <c r="A40539" s="1" t="n">
        <v>40538</v>
      </c>
      <c r="B40539">
        <f>TEXT(40538, "[$-0E0000]yyyy-mm-dd")</f>
        <v/>
      </c>
      <c r="C40539" t="inlineStr">
        <is>
          <t>2010-11-22</t>
        </is>
      </c>
    </row>
    <row r="40540">
      <c r="A40540" s="1" t="n">
        <v>40539</v>
      </c>
      <c r="B40540">
        <f>TEXT(40539, "[$-0E0000]yyyy-mm-dd")</f>
        <v/>
      </c>
      <c r="C40540" t="inlineStr">
        <is>
          <t>2010-11-23</t>
        </is>
      </c>
    </row>
    <row r="40541">
      <c r="A40541" s="1" t="n">
        <v>40540</v>
      </c>
      <c r="B40541">
        <f>TEXT(40540, "[$-0E0000]yyyy-mm-dd")</f>
        <v/>
      </c>
      <c r="C40541" t="inlineStr">
        <is>
          <t>2010-11-24</t>
        </is>
      </c>
    </row>
    <row r="40542">
      <c r="A40542" s="1" t="n">
        <v>40541</v>
      </c>
      <c r="B40542">
        <f>TEXT(40541, "[$-0E0000]yyyy-mm-dd")</f>
        <v/>
      </c>
      <c r="C40542" t="inlineStr">
        <is>
          <t>2010-11-25</t>
        </is>
      </c>
    </row>
    <row r="40543">
      <c r="A40543" s="1" t="n">
        <v>40542</v>
      </c>
      <c r="B40543">
        <f>TEXT(40542, "[$-0E0000]yyyy-mm-dd")</f>
        <v/>
      </c>
      <c r="C40543" t="inlineStr">
        <is>
          <t>2010-11-26</t>
        </is>
      </c>
    </row>
    <row r="40544">
      <c r="A40544" s="1" t="n">
        <v>40543</v>
      </c>
      <c r="B40544">
        <f>TEXT(40543, "[$-0E0000]yyyy-mm-dd")</f>
        <v/>
      </c>
      <c r="C40544" t="inlineStr">
        <is>
          <t>2010-11-27</t>
        </is>
      </c>
    </row>
    <row r="40545">
      <c r="A40545" s="1" t="n">
        <v>40544</v>
      </c>
      <c r="B40545">
        <f>TEXT(40544, "[$-0E0000]yyyy-mm-dd")</f>
        <v/>
      </c>
      <c r="C40545" t="inlineStr">
        <is>
          <t>2010-11-28</t>
        </is>
      </c>
    </row>
    <row r="40546">
      <c r="A40546" s="1" t="n">
        <v>40545</v>
      </c>
      <c r="B40546">
        <f>TEXT(40545, "[$-0E0000]yyyy-mm-dd")</f>
        <v/>
      </c>
      <c r="C40546" t="inlineStr">
        <is>
          <t>2010-11-29</t>
        </is>
      </c>
    </row>
    <row r="40547">
      <c r="A40547" s="1" t="n">
        <v>40546</v>
      </c>
      <c r="B40547">
        <f>TEXT(40546, "[$-0E0000]yyyy-mm-dd")</f>
        <v/>
      </c>
      <c r="C40547" t="inlineStr">
        <is>
          <t>2010-12-01</t>
        </is>
      </c>
    </row>
    <row r="40548">
      <c r="A40548" s="1" t="n">
        <v>40547</v>
      </c>
      <c r="B40548">
        <f>TEXT(40547, "[$-0E0000]yyyy-mm-dd")</f>
        <v/>
      </c>
      <c r="C40548" t="inlineStr">
        <is>
          <t>2010-12-02</t>
        </is>
      </c>
    </row>
    <row r="40549">
      <c r="A40549" s="1" t="n">
        <v>40548</v>
      </c>
      <c r="B40549">
        <f>TEXT(40548, "[$-0E0000]yyyy-mm-dd")</f>
        <v/>
      </c>
      <c r="C40549" t="inlineStr">
        <is>
          <t>2010-12-03</t>
        </is>
      </c>
    </row>
    <row r="40550">
      <c r="A40550" s="1" t="n">
        <v>40549</v>
      </c>
      <c r="B40550">
        <f>TEXT(40549, "[$-0E0000]yyyy-mm-dd")</f>
        <v/>
      </c>
      <c r="C40550" t="inlineStr">
        <is>
          <t>2010-12-04</t>
        </is>
      </c>
    </row>
    <row r="40551">
      <c r="A40551" s="1" t="n">
        <v>40550</v>
      </c>
      <c r="B40551">
        <f>TEXT(40550, "[$-0E0000]yyyy-mm-dd")</f>
        <v/>
      </c>
      <c r="C40551" t="inlineStr">
        <is>
          <t>2010-12-05</t>
        </is>
      </c>
    </row>
    <row r="40552">
      <c r="A40552" s="1" t="n">
        <v>40551</v>
      </c>
      <c r="B40552">
        <f>TEXT(40551, "[$-0E0000]yyyy-mm-dd")</f>
        <v/>
      </c>
      <c r="C40552" t="inlineStr">
        <is>
          <t>2010-12-06</t>
        </is>
      </c>
    </row>
    <row r="40553">
      <c r="A40553" s="1" t="n">
        <v>40552</v>
      </c>
      <c r="B40553">
        <f>TEXT(40552, "[$-0E0000]yyyy-mm-dd")</f>
        <v/>
      </c>
      <c r="C40553" t="inlineStr">
        <is>
          <t>2010-12-07</t>
        </is>
      </c>
    </row>
    <row r="40554">
      <c r="A40554" s="1" t="n">
        <v>40553</v>
      </c>
      <c r="B40554">
        <f>TEXT(40553, "[$-0E0000]yyyy-mm-dd")</f>
        <v/>
      </c>
      <c r="C40554" t="inlineStr">
        <is>
          <t>2010-12-08</t>
        </is>
      </c>
    </row>
    <row r="40555">
      <c r="A40555" s="1" t="n">
        <v>40554</v>
      </c>
      <c r="B40555">
        <f>TEXT(40554, "[$-0E0000]yyyy-mm-dd")</f>
        <v/>
      </c>
      <c r="C40555" t="inlineStr">
        <is>
          <t>2010-12-09</t>
        </is>
      </c>
    </row>
    <row r="40556">
      <c r="A40556" s="1" t="n">
        <v>40555</v>
      </c>
      <c r="B40556">
        <f>TEXT(40555, "[$-0E0000]yyyy-mm-dd")</f>
        <v/>
      </c>
      <c r="C40556" t="inlineStr">
        <is>
          <t>2010-12-10</t>
        </is>
      </c>
    </row>
    <row r="40557">
      <c r="A40557" s="1" t="n">
        <v>40556</v>
      </c>
      <c r="B40557">
        <f>TEXT(40556, "[$-0E0000]yyyy-mm-dd")</f>
        <v/>
      </c>
      <c r="C40557" t="inlineStr">
        <is>
          <t>2010-12-11</t>
        </is>
      </c>
    </row>
    <row r="40558">
      <c r="A40558" s="1" t="n">
        <v>40557</v>
      </c>
      <c r="B40558">
        <f>TEXT(40557, "[$-0E0000]yyyy-mm-dd")</f>
        <v/>
      </c>
      <c r="C40558" t="inlineStr">
        <is>
          <t>2010-12-12</t>
        </is>
      </c>
    </row>
    <row r="40559">
      <c r="A40559" s="1" t="n">
        <v>40558</v>
      </c>
      <c r="B40559">
        <f>TEXT(40558, "[$-0E0000]yyyy-mm-dd")</f>
        <v/>
      </c>
      <c r="C40559" t="inlineStr">
        <is>
          <t>2010-12-13</t>
        </is>
      </c>
    </row>
    <row r="40560">
      <c r="A40560" s="1" t="n">
        <v>40559</v>
      </c>
      <c r="B40560">
        <f>TEXT(40559, "[$-0E0000]yyyy-mm-dd")</f>
        <v/>
      </c>
      <c r="C40560" t="inlineStr">
        <is>
          <t>2010-12-14</t>
        </is>
      </c>
    </row>
    <row r="40561">
      <c r="A40561" s="1" t="n">
        <v>40560</v>
      </c>
      <c r="B40561">
        <f>TEXT(40560, "[$-0E0000]yyyy-mm-dd")</f>
        <v/>
      </c>
      <c r="C40561" t="inlineStr">
        <is>
          <t>2010-12-15</t>
        </is>
      </c>
    </row>
    <row r="40562">
      <c r="A40562" s="1" t="n">
        <v>40561</v>
      </c>
      <c r="B40562">
        <f>TEXT(40561, "[$-0E0000]yyyy-mm-dd")</f>
        <v/>
      </c>
      <c r="C40562" t="inlineStr">
        <is>
          <t>2010-12-16</t>
        </is>
      </c>
    </row>
    <row r="40563">
      <c r="A40563" s="1" t="n">
        <v>40562</v>
      </c>
      <c r="B40563">
        <f>TEXT(40562, "[$-0E0000]yyyy-mm-dd")</f>
        <v/>
      </c>
      <c r="C40563" t="inlineStr">
        <is>
          <t>2010-12-17</t>
        </is>
      </c>
    </row>
    <row r="40564">
      <c r="A40564" s="1" t="n">
        <v>40563</v>
      </c>
      <c r="B40564">
        <f>TEXT(40563, "[$-0E0000]yyyy-mm-dd")</f>
        <v/>
      </c>
      <c r="C40564" t="inlineStr">
        <is>
          <t>2010-12-18</t>
        </is>
      </c>
    </row>
    <row r="40565">
      <c r="A40565" s="1" t="n">
        <v>40564</v>
      </c>
      <c r="B40565">
        <f>TEXT(40564, "[$-0E0000]yyyy-mm-dd")</f>
        <v/>
      </c>
      <c r="C40565" t="inlineStr">
        <is>
          <t>2010-12-19</t>
        </is>
      </c>
    </row>
    <row r="40566">
      <c r="A40566" s="1" t="n">
        <v>40565</v>
      </c>
      <c r="B40566">
        <f>TEXT(40565, "[$-0E0000]yyyy-mm-dd")</f>
        <v/>
      </c>
      <c r="C40566" t="inlineStr">
        <is>
          <t>2010-12-20</t>
        </is>
      </c>
    </row>
    <row r="40567">
      <c r="A40567" s="1" t="n">
        <v>40566</v>
      </c>
      <c r="B40567">
        <f>TEXT(40566, "[$-0E0000]yyyy-mm-dd")</f>
        <v/>
      </c>
      <c r="C40567" t="inlineStr">
        <is>
          <t>2010-12-21</t>
        </is>
      </c>
    </row>
    <row r="40568">
      <c r="A40568" s="1" t="n">
        <v>40567</v>
      </c>
      <c r="B40568">
        <f>TEXT(40567, "[$-0E0000]yyyy-mm-dd")</f>
        <v/>
      </c>
      <c r="C40568" t="inlineStr">
        <is>
          <t>2010-12-22</t>
        </is>
      </c>
    </row>
    <row r="40569">
      <c r="A40569" s="1" t="n">
        <v>40568</v>
      </c>
      <c r="B40569">
        <f>TEXT(40568, "[$-0E0000]yyyy-mm-dd")</f>
        <v/>
      </c>
      <c r="C40569" t="inlineStr">
        <is>
          <t>2010-12-23</t>
        </is>
      </c>
    </row>
    <row r="40570">
      <c r="A40570" s="1" t="n">
        <v>40569</v>
      </c>
      <c r="B40570">
        <f>TEXT(40569, "[$-0E0000]yyyy-mm-dd")</f>
        <v/>
      </c>
      <c r="C40570" t="inlineStr">
        <is>
          <t>2010-12-24</t>
        </is>
      </c>
    </row>
    <row r="40571">
      <c r="A40571" s="1" t="n">
        <v>40570</v>
      </c>
      <c r="B40571">
        <f>TEXT(40570, "[$-0E0000]yyyy-mm-dd")</f>
        <v/>
      </c>
      <c r="C40571" t="inlineStr">
        <is>
          <t>2010-12-25</t>
        </is>
      </c>
    </row>
    <row r="40572">
      <c r="A40572" s="1" t="n">
        <v>40571</v>
      </c>
      <c r="B40572">
        <f>TEXT(40571, "[$-0E0000]yyyy-mm-dd")</f>
        <v/>
      </c>
      <c r="C40572" t="inlineStr">
        <is>
          <t>2010-12-26</t>
        </is>
      </c>
    </row>
    <row r="40573">
      <c r="A40573" s="1" t="n">
        <v>40572</v>
      </c>
      <c r="B40573">
        <f>TEXT(40572, "[$-0E0000]yyyy-mm-dd")</f>
        <v/>
      </c>
      <c r="C40573" t="inlineStr">
        <is>
          <t>2010-12-27</t>
        </is>
      </c>
    </row>
    <row r="40574">
      <c r="A40574" s="1" t="n">
        <v>40573</v>
      </c>
      <c r="B40574">
        <f>TEXT(40573, "[$-0E0000]yyyy-mm-dd")</f>
        <v/>
      </c>
      <c r="C40574" t="inlineStr">
        <is>
          <t>2010-12-28</t>
        </is>
      </c>
    </row>
    <row r="40575">
      <c r="A40575" s="1" t="n">
        <v>40574</v>
      </c>
      <c r="B40575">
        <f>TEXT(40574, "[$-0E0000]yyyy-mm-dd")</f>
        <v/>
      </c>
      <c r="C40575" t="inlineStr">
        <is>
          <t>2010-12-29</t>
        </is>
      </c>
    </row>
    <row r="40576">
      <c r="A40576" s="1" t="n">
        <v>40575</v>
      </c>
      <c r="B40576">
        <f>TEXT(40575, "[$-0E0000]yyyy-mm-dd")</f>
        <v/>
      </c>
      <c r="C40576" t="inlineStr">
        <is>
          <t>2010-12-30</t>
        </is>
      </c>
    </row>
    <row r="40577">
      <c r="A40577" s="1" t="n">
        <v>40576</v>
      </c>
      <c r="B40577">
        <f>TEXT(40576, "[$-0E0000]yyyy-mm-dd")</f>
        <v/>
      </c>
      <c r="C40577" t="inlineStr">
        <is>
          <t>2011-01-01</t>
        </is>
      </c>
    </row>
    <row r="40578">
      <c r="A40578" s="1" t="n">
        <v>40577</v>
      </c>
      <c r="B40578">
        <f>TEXT(40577, "[$-0E0000]yyyy-mm-dd")</f>
        <v/>
      </c>
      <c r="C40578" t="inlineStr">
        <is>
          <t>2011-01-02</t>
        </is>
      </c>
    </row>
    <row r="40579">
      <c r="A40579" s="1" t="n">
        <v>40578</v>
      </c>
      <c r="B40579">
        <f>TEXT(40578, "[$-0E0000]yyyy-mm-dd")</f>
        <v/>
      </c>
      <c r="C40579" t="inlineStr">
        <is>
          <t>2011-01-03</t>
        </is>
      </c>
    </row>
    <row r="40580">
      <c r="A40580" s="1" t="n">
        <v>40579</v>
      </c>
      <c r="B40580">
        <f>TEXT(40579, "[$-0E0000]yyyy-mm-dd")</f>
        <v/>
      </c>
      <c r="C40580" t="inlineStr">
        <is>
          <t>2011-01-04</t>
        </is>
      </c>
    </row>
    <row r="40581">
      <c r="A40581" s="1" t="n">
        <v>40580</v>
      </c>
      <c r="B40581">
        <f>TEXT(40580, "[$-0E0000]yyyy-mm-dd")</f>
        <v/>
      </c>
      <c r="C40581" t="inlineStr">
        <is>
          <t>2011-01-05</t>
        </is>
      </c>
    </row>
    <row r="40582">
      <c r="A40582" s="1" t="n">
        <v>40581</v>
      </c>
      <c r="B40582">
        <f>TEXT(40581, "[$-0E0000]yyyy-mm-dd")</f>
        <v/>
      </c>
      <c r="C40582" t="inlineStr">
        <is>
          <t>2011-01-06</t>
        </is>
      </c>
    </row>
    <row r="40583">
      <c r="A40583" s="1" t="n">
        <v>40582</v>
      </c>
      <c r="B40583">
        <f>TEXT(40582, "[$-0E0000]yyyy-mm-dd")</f>
        <v/>
      </c>
      <c r="C40583" t="inlineStr">
        <is>
          <t>2011-01-07</t>
        </is>
      </c>
    </row>
    <row r="40584">
      <c r="A40584" s="1" t="n">
        <v>40583</v>
      </c>
      <c r="B40584">
        <f>TEXT(40583, "[$-0E0000]yyyy-mm-dd")</f>
        <v/>
      </c>
      <c r="C40584" t="inlineStr">
        <is>
          <t>2011-01-08</t>
        </is>
      </c>
    </row>
    <row r="40585">
      <c r="A40585" s="1" t="n">
        <v>40584</v>
      </c>
      <c r="B40585">
        <f>TEXT(40584, "[$-0E0000]yyyy-mm-dd")</f>
        <v/>
      </c>
      <c r="C40585" t="inlineStr">
        <is>
          <t>2011-01-09</t>
        </is>
      </c>
    </row>
    <row r="40586">
      <c r="A40586" s="1" t="n">
        <v>40585</v>
      </c>
      <c r="B40586">
        <f>TEXT(40585, "[$-0E0000]yyyy-mm-dd")</f>
        <v/>
      </c>
      <c r="C40586" t="inlineStr">
        <is>
          <t>2011-01-10</t>
        </is>
      </c>
    </row>
    <row r="40587">
      <c r="A40587" s="1" t="n">
        <v>40586</v>
      </c>
      <c r="B40587">
        <f>TEXT(40586, "[$-0E0000]yyyy-mm-dd")</f>
        <v/>
      </c>
      <c r="C40587" t="inlineStr">
        <is>
          <t>2011-01-11</t>
        </is>
      </c>
    </row>
    <row r="40588">
      <c r="A40588" s="1" t="n">
        <v>40587</v>
      </c>
      <c r="B40588">
        <f>TEXT(40587, "[$-0E0000]yyyy-mm-dd")</f>
        <v/>
      </c>
      <c r="C40588" t="inlineStr">
        <is>
          <t>2011-01-12</t>
        </is>
      </c>
    </row>
    <row r="40589">
      <c r="A40589" s="1" t="n">
        <v>40588</v>
      </c>
      <c r="B40589">
        <f>TEXT(40588, "[$-0E0000]yyyy-mm-dd")</f>
        <v/>
      </c>
      <c r="C40589" t="inlineStr">
        <is>
          <t>2011-01-13</t>
        </is>
      </c>
    </row>
    <row r="40590">
      <c r="A40590" s="1" t="n">
        <v>40589</v>
      </c>
      <c r="B40590">
        <f>TEXT(40589, "[$-0E0000]yyyy-mm-dd")</f>
        <v/>
      </c>
      <c r="C40590" t="inlineStr">
        <is>
          <t>2011-01-14</t>
        </is>
      </c>
    </row>
    <row r="40591">
      <c r="A40591" s="1" t="n">
        <v>40590</v>
      </c>
      <c r="B40591">
        <f>TEXT(40590, "[$-0E0000]yyyy-mm-dd")</f>
        <v/>
      </c>
      <c r="C40591" t="inlineStr">
        <is>
          <t>2011-01-15</t>
        </is>
      </c>
    </row>
    <row r="40592">
      <c r="A40592" s="1" t="n">
        <v>40591</v>
      </c>
      <c r="B40592">
        <f>TEXT(40591, "[$-0E0000]yyyy-mm-dd")</f>
        <v/>
      </c>
      <c r="C40592" t="inlineStr">
        <is>
          <t>2011-01-16</t>
        </is>
      </c>
    </row>
    <row r="40593">
      <c r="A40593" s="1" t="n">
        <v>40592</v>
      </c>
      <c r="B40593">
        <f>TEXT(40592, "[$-0E0000]yyyy-mm-dd")</f>
        <v/>
      </c>
      <c r="C40593" t="inlineStr">
        <is>
          <t>2011-01-17</t>
        </is>
      </c>
    </row>
    <row r="40594">
      <c r="A40594" s="1" t="n">
        <v>40593</v>
      </c>
      <c r="B40594">
        <f>TEXT(40593, "[$-0E0000]yyyy-mm-dd")</f>
        <v/>
      </c>
      <c r="C40594" t="inlineStr">
        <is>
          <t>2011-01-18</t>
        </is>
      </c>
    </row>
    <row r="40595">
      <c r="A40595" s="1" t="n">
        <v>40594</v>
      </c>
      <c r="B40595">
        <f>TEXT(40594, "[$-0E0000]yyyy-mm-dd")</f>
        <v/>
      </c>
      <c r="C40595" t="inlineStr">
        <is>
          <t>2011-01-19</t>
        </is>
      </c>
    </row>
    <row r="40596">
      <c r="A40596" s="1" t="n">
        <v>40595</v>
      </c>
      <c r="B40596">
        <f>TEXT(40595, "[$-0E0000]yyyy-mm-dd")</f>
        <v/>
      </c>
      <c r="C40596" t="inlineStr">
        <is>
          <t>2011-01-20</t>
        </is>
      </c>
    </row>
    <row r="40597">
      <c r="A40597" s="1" t="n">
        <v>40596</v>
      </c>
      <c r="B40597">
        <f>TEXT(40596, "[$-0E0000]yyyy-mm-dd")</f>
        <v/>
      </c>
      <c r="C40597" t="inlineStr">
        <is>
          <t>2011-01-21</t>
        </is>
      </c>
    </row>
    <row r="40598">
      <c r="A40598" s="1" t="n">
        <v>40597</v>
      </c>
      <c r="B40598">
        <f>TEXT(40597, "[$-0E0000]yyyy-mm-dd")</f>
        <v/>
      </c>
      <c r="C40598" t="inlineStr">
        <is>
          <t>2011-01-22</t>
        </is>
      </c>
    </row>
    <row r="40599">
      <c r="A40599" s="1" t="n">
        <v>40598</v>
      </c>
      <c r="B40599">
        <f>TEXT(40598, "[$-0E0000]yyyy-mm-dd")</f>
        <v/>
      </c>
      <c r="C40599" t="inlineStr">
        <is>
          <t>2011-01-23</t>
        </is>
      </c>
    </row>
    <row r="40600">
      <c r="A40600" s="1" t="n">
        <v>40599</v>
      </c>
      <c r="B40600">
        <f>TEXT(40599, "[$-0E0000]yyyy-mm-dd")</f>
        <v/>
      </c>
      <c r="C40600" t="inlineStr">
        <is>
          <t>2011-01-24</t>
        </is>
      </c>
    </row>
    <row r="40601">
      <c r="A40601" s="1" t="n">
        <v>40600</v>
      </c>
      <c r="B40601">
        <f>TEXT(40600, "[$-0E0000]yyyy-mm-dd")</f>
        <v/>
      </c>
      <c r="C40601" t="inlineStr">
        <is>
          <t>2011-01-25</t>
        </is>
      </c>
    </row>
    <row r="40602">
      <c r="A40602" s="1" t="n">
        <v>40601</v>
      </c>
      <c r="B40602">
        <f>TEXT(40601, "[$-0E0000]yyyy-mm-dd")</f>
        <v/>
      </c>
      <c r="C40602" t="inlineStr">
        <is>
          <t>2011-01-26</t>
        </is>
      </c>
    </row>
    <row r="40603">
      <c r="A40603" s="1" t="n">
        <v>40602</v>
      </c>
      <c r="B40603">
        <f>TEXT(40602, "[$-0E0000]yyyy-mm-dd")</f>
        <v/>
      </c>
      <c r="C40603" t="inlineStr">
        <is>
          <t>2011-01-27</t>
        </is>
      </c>
    </row>
    <row r="40604">
      <c r="A40604" s="1" t="n">
        <v>40603</v>
      </c>
      <c r="B40604">
        <f>TEXT(40603, "[$-0E0000]yyyy-mm-dd")</f>
        <v/>
      </c>
      <c r="C40604" t="inlineStr">
        <is>
          <t>2011-01-28</t>
        </is>
      </c>
    </row>
    <row r="40605">
      <c r="A40605" s="1" t="n">
        <v>40604</v>
      </c>
      <c r="B40605">
        <f>TEXT(40604, "[$-0E0000]yyyy-mm-dd")</f>
        <v/>
      </c>
      <c r="C40605" t="inlineStr">
        <is>
          <t>2011-01-29</t>
        </is>
      </c>
    </row>
    <row r="40606">
      <c r="A40606" s="1" t="n">
        <v>40605</v>
      </c>
      <c r="B40606">
        <f>TEXT(40605, "[$-0E0000]yyyy-mm-dd")</f>
        <v/>
      </c>
      <c r="C40606" t="inlineStr">
        <is>
          <t>2011-01-30</t>
        </is>
      </c>
    </row>
    <row r="40607">
      <c r="A40607" s="1" t="n">
        <v>40606</v>
      </c>
      <c r="B40607">
        <f>TEXT(40606, "[$-0E0000]yyyy-mm-dd")</f>
        <v/>
      </c>
      <c r="C40607" t="inlineStr">
        <is>
          <t>2011-02-01</t>
        </is>
      </c>
    </row>
    <row r="40608">
      <c r="A40608" s="1" t="n">
        <v>40607</v>
      </c>
      <c r="B40608">
        <f>TEXT(40607, "[$-0E0000]yyyy-mm-dd")</f>
        <v/>
      </c>
      <c r="C40608" t="inlineStr">
        <is>
          <t>2011-02-02</t>
        </is>
      </c>
    </row>
    <row r="40609">
      <c r="A40609" s="1" t="n">
        <v>40608</v>
      </c>
      <c r="B40609">
        <f>TEXT(40608, "[$-0E0000]yyyy-mm-dd")</f>
        <v/>
      </c>
      <c r="C40609" t="inlineStr">
        <is>
          <t>2011-02-03</t>
        </is>
      </c>
    </row>
    <row r="40610">
      <c r="A40610" s="1" t="n">
        <v>40609</v>
      </c>
      <c r="B40610">
        <f>TEXT(40609, "[$-0E0000]yyyy-mm-dd")</f>
        <v/>
      </c>
      <c r="C40610" t="inlineStr">
        <is>
          <t>2011-02-04</t>
        </is>
      </c>
    </row>
    <row r="40611">
      <c r="A40611" s="1" t="n">
        <v>40610</v>
      </c>
      <c r="B40611">
        <f>TEXT(40610, "[$-0E0000]yyyy-mm-dd")</f>
        <v/>
      </c>
      <c r="C40611" t="inlineStr">
        <is>
          <t>2011-02-05</t>
        </is>
      </c>
    </row>
    <row r="40612">
      <c r="A40612" s="1" t="n">
        <v>40611</v>
      </c>
      <c r="B40612">
        <f>TEXT(40611, "[$-0E0000]yyyy-mm-dd")</f>
        <v/>
      </c>
      <c r="C40612" t="inlineStr">
        <is>
          <t>2011-02-06</t>
        </is>
      </c>
    </row>
    <row r="40613">
      <c r="A40613" s="1" t="n">
        <v>40612</v>
      </c>
      <c r="B40613">
        <f>TEXT(40612, "[$-0E0000]yyyy-mm-dd")</f>
        <v/>
      </c>
      <c r="C40613" t="inlineStr">
        <is>
          <t>2011-02-07</t>
        </is>
      </c>
    </row>
    <row r="40614">
      <c r="A40614" s="1" t="n">
        <v>40613</v>
      </c>
      <c r="B40614">
        <f>TEXT(40613, "[$-0E0000]yyyy-mm-dd")</f>
        <v/>
      </c>
      <c r="C40614" t="inlineStr">
        <is>
          <t>2011-02-08</t>
        </is>
      </c>
    </row>
    <row r="40615">
      <c r="A40615" s="1" t="n">
        <v>40614</v>
      </c>
      <c r="B40615">
        <f>TEXT(40614, "[$-0E0000]yyyy-mm-dd")</f>
        <v/>
      </c>
      <c r="C40615" t="inlineStr">
        <is>
          <t>2011-02-09</t>
        </is>
      </c>
    </row>
    <row r="40616">
      <c r="A40616" s="1" t="n">
        <v>40615</v>
      </c>
      <c r="B40616">
        <f>TEXT(40615, "[$-0E0000]yyyy-mm-dd")</f>
        <v/>
      </c>
      <c r="C40616" t="inlineStr">
        <is>
          <t>2011-02-10</t>
        </is>
      </c>
    </row>
    <row r="40617">
      <c r="A40617" s="1" t="n">
        <v>40616</v>
      </c>
      <c r="B40617">
        <f>TEXT(40616, "[$-0E0000]yyyy-mm-dd")</f>
        <v/>
      </c>
      <c r="C40617" t="inlineStr">
        <is>
          <t>2011-02-11</t>
        </is>
      </c>
    </row>
    <row r="40618">
      <c r="A40618" s="1" t="n">
        <v>40617</v>
      </c>
      <c r="B40618">
        <f>TEXT(40617, "[$-0E0000]yyyy-mm-dd")</f>
        <v/>
      </c>
      <c r="C40618" t="inlineStr">
        <is>
          <t>2011-02-12</t>
        </is>
      </c>
    </row>
    <row r="40619">
      <c r="A40619" s="1" t="n">
        <v>40618</v>
      </c>
      <c r="B40619">
        <f>TEXT(40618, "[$-0E0000]yyyy-mm-dd")</f>
        <v/>
      </c>
      <c r="C40619" t="inlineStr">
        <is>
          <t>2011-02-13</t>
        </is>
      </c>
    </row>
    <row r="40620">
      <c r="A40620" s="1" t="n">
        <v>40619</v>
      </c>
      <c r="B40620">
        <f>TEXT(40619, "[$-0E0000]yyyy-mm-dd")</f>
        <v/>
      </c>
      <c r="C40620" t="inlineStr">
        <is>
          <t>2011-02-14</t>
        </is>
      </c>
    </row>
    <row r="40621">
      <c r="A40621" s="1" t="n">
        <v>40620</v>
      </c>
      <c r="B40621">
        <f>TEXT(40620, "[$-0E0000]yyyy-mm-dd")</f>
        <v/>
      </c>
      <c r="C40621" t="inlineStr">
        <is>
          <t>2011-02-15</t>
        </is>
      </c>
    </row>
    <row r="40622">
      <c r="A40622" s="1" t="n">
        <v>40621</v>
      </c>
      <c r="B40622">
        <f>TEXT(40621, "[$-0E0000]yyyy-mm-dd")</f>
        <v/>
      </c>
      <c r="C40622" t="inlineStr">
        <is>
          <t>2011-02-16</t>
        </is>
      </c>
    </row>
    <row r="40623">
      <c r="A40623" s="1" t="n">
        <v>40622</v>
      </c>
      <c r="B40623">
        <f>TEXT(40622, "[$-0E0000]yyyy-mm-dd")</f>
        <v/>
      </c>
      <c r="C40623" t="inlineStr">
        <is>
          <t>2011-02-17</t>
        </is>
      </c>
    </row>
    <row r="40624">
      <c r="A40624" s="1" t="n">
        <v>40623</v>
      </c>
      <c r="B40624">
        <f>TEXT(40623, "[$-0E0000]yyyy-mm-dd")</f>
        <v/>
      </c>
      <c r="C40624" t="inlineStr">
        <is>
          <t>2011-02-18</t>
        </is>
      </c>
    </row>
    <row r="40625">
      <c r="A40625" s="1" t="n">
        <v>40624</v>
      </c>
      <c r="B40625">
        <f>TEXT(40624, "[$-0E0000]yyyy-mm-dd")</f>
        <v/>
      </c>
      <c r="C40625" t="inlineStr">
        <is>
          <t>2011-02-19</t>
        </is>
      </c>
    </row>
    <row r="40626">
      <c r="A40626" s="1" t="n">
        <v>40625</v>
      </c>
      <c r="B40626">
        <f>TEXT(40625, "[$-0E0000]yyyy-mm-dd")</f>
        <v/>
      </c>
      <c r="C40626" t="inlineStr">
        <is>
          <t>2011-02-20</t>
        </is>
      </c>
    </row>
    <row r="40627">
      <c r="A40627" s="1" t="n">
        <v>40626</v>
      </c>
      <c r="B40627">
        <f>TEXT(40626, "[$-0E0000]yyyy-mm-dd")</f>
        <v/>
      </c>
      <c r="C40627" t="inlineStr">
        <is>
          <t>2011-02-21</t>
        </is>
      </c>
    </row>
    <row r="40628">
      <c r="A40628" s="1" t="n">
        <v>40627</v>
      </c>
      <c r="B40628">
        <f>TEXT(40627, "[$-0E0000]yyyy-mm-dd")</f>
        <v/>
      </c>
      <c r="C40628" t="inlineStr">
        <is>
          <t>2011-02-22</t>
        </is>
      </c>
    </row>
    <row r="40629">
      <c r="A40629" s="1" t="n">
        <v>40628</v>
      </c>
      <c r="B40629">
        <f>TEXT(40628, "[$-0E0000]yyyy-mm-dd")</f>
        <v/>
      </c>
      <c r="C40629" t="inlineStr">
        <is>
          <t>2011-02-23</t>
        </is>
      </c>
    </row>
    <row r="40630">
      <c r="A40630" s="1" t="n">
        <v>40629</v>
      </c>
      <c r="B40630">
        <f>TEXT(40629, "[$-0E0000]yyyy-mm-dd")</f>
        <v/>
      </c>
      <c r="C40630" t="inlineStr">
        <is>
          <t>2011-02-24</t>
        </is>
      </c>
    </row>
    <row r="40631">
      <c r="A40631" s="1" t="n">
        <v>40630</v>
      </c>
      <c r="B40631">
        <f>TEXT(40630, "[$-0E0000]yyyy-mm-dd")</f>
        <v/>
      </c>
      <c r="C40631" t="inlineStr">
        <is>
          <t>2011-02-25</t>
        </is>
      </c>
    </row>
    <row r="40632">
      <c r="A40632" s="1" t="n">
        <v>40631</v>
      </c>
      <c r="B40632">
        <f>TEXT(40631, "[$-0E0000]yyyy-mm-dd")</f>
        <v/>
      </c>
      <c r="C40632" t="inlineStr">
        <is>
          <t>2011-02-26</t>
        </is>
      </c>
    </row>
    <row r="40633">
      <c r="A40633" s="1" t="n">
        <v>40632</v>
      </c>
      <c r="B40633">
        <f>TEXT(40632, "[$-0E0000]yyyy-mm-dd")</f>
        <v/>
      </c>
      <c r="C40633" t="inlineStr">
        <is>
          <t>2011-02-27</t>
        </is>
      </c>
    </row>
    <row r="40634">
      <c r="A40634" s="1" t="n">
        <v>40633</v>
      </c>
      <c r="B40634">
        <f>TEXT(40633, "[$-0E0000]yyyy-mm-dd")</f>
        <v/>
      </c>
      <c r="C40634" t="inlineStr">
        <is>
          <t>2011-02-28</t>
        </is>
      </c>
    </row>
    <row r="40635">
      <c r="A40635" s="1" t="n">
        <v>40634</v>
      </c>
      <c r="B40635">
        <f>TEXT(40634, "[$-0E0000]yyyy-mm-dd")</f>
        <v/>
      </c>
      <c r="C40635" t="inlineStr">
        <is>
          <t>2011-02-29</t>
        </is>
      </c>
    </row>
    <row r="40636">
      <c r="A40636" s="1" t="n">
        <v>40635</v>
      </c>
      <c r="B40636">
        <f>TEXT(40635, "[$-0E0000]yyyy-mm-dd")</f>
        <v/>
      </c>
      <c r="C40636" t="inlineStr">
        <is>
          <t>2011-03-01</t>
        </is>
      </c>
    </row>
    <row r="40637">
      <c r="A40637" s="1" t="n">
        <v>40636</v>
      </c>
      <c r="B40637">
        <f>TEXT(40636, "[$-0E0000]yyyy-mm-dd")</f>
        <v/>
      </c>
      <c r="C40637" t="inlineStr">
        <is>
          <t>2011-03-02</t>
        </is>
      </c>
    </row>
    <row r="40638">
      <c r="A40638" s="1" t="n">
        <v>40637</v>
      </c>
      <c r="B40638">
        <f>TEXT(40637, "[$-0E0000]yyyy-mm-dd")</f>
        <v/>
      </c>
      <c r="C40638" t="inlineStr">
        <is>
          <t>2011-03-03</t>
        </is>
      </c>
    </row>
    <row r="40639">
      <c r="A40639" s="1" t="n">
        <v>40638</v>
      </c>
      <c r="B40639">
        <f>TEXT(40638, "[$-0E0000]yyyy-mm-dd")</f>
        <v/>
      </c>
      <c r="C40639" t="inlineStr">
        <is>
          <t>2011-03-04</t>
        </is>
      </c>
    </row>
    <row r="40640">
      <c r="A40640" s="1" t="n">
        <v>40639</v>
      </c>
      <c r="B40640">
        <f>TEXT(40639, "[$-0E0000]yyyy-mm-dd")</f>
        <v/>
      </c>
      <c r="C40640" t="inlineStr">
        <is>
          <t>2011-03-05</t>
        </is>
      </c>
    </row>
    <row r="40641">
      <c r="A40641" s="1" t="n">
        <v>40640</v>
      </c>
      <c r="B40641">
        <f>TEXT(40640, "[$-0E0000]yyyy-mm-dd")</f>
        <v/>
      </c>
      <c r="C40641" t="inlineStr">
        <is>
          <t>2011-03-06</t>
        </is>
      </c>
    </row>
    <row r="40642">
      <c r="A40642" s="1" t="n">
        <v>40641</v>
      </c>
      <c r="B40642">
        <f>TEXT(40641, "[$-0E0000]yyyy-mm-dd")</f>
        <v/>
      </c>
      <c r="C40642" t="inlineStr">
        <is>
          <t>2011-03-07</t>
        </is>
      </c>
    </row>
    <row r="40643">
      <c r="A40643" s="1" t="n">
        <v>40642</v>
      </c>
      <c r="B40643">
        <f>TEXT(40642, "[$-0E0000]yyyy-mm-dd")</f>
        <v/>
      </c>
      <c r="C40643" t="inlineStr">
        <is>
          <t>2011-03-08</t>
        </is>
      </c>
    </row>
    <row r="40644">
      <c r="A40644" s="1" t="n">
        <v>40643</v>
      </c>
      <c r="B40644">
        <f>TEXT(40643, "[$-0E0000]yyyy-mm-dd")</f>
        <v/>
      </c>
      <c r="C40644" t="inlineStr">
        <is>
          <t>2011-03-09</t>
        </is>
      </c>
    </row>
    <row r="40645">
      <c r="A40645" s="1" t="n">
        <v>40644</v>
      </c>
      <c r="B40645">
        <f>TEXT(40644, "[$-0E0000]yyyy-mm-dd")</f>
        <v/>
      </c>
      <c r="C40645" t="inlineStr">
        <is>
          <t>2011-03-10</t>
        </is>
      </c>
    </row>
    <row r="40646">
      <c r="A40646" s="1" t="n">
        <v>40645</v>
      </c>
      <c r="B40646">
        <f>TEXT(40645, "[$-0E0000]yyyy-mm-dd")</f>
        <v/>
      </c>
      <c r="C40646" t="inlineStr">
        <is>
          <t>2011-03-11</t>
        </is>
      </c>
    </row>
    <row r="40647">
      <c r="A40647" s="1" t="n">
        <v>40646</v>
      </c>
      <c r="B40647">
        <f>TEXT(40646, "[$-0E0000]yyyy-mm-dd")</f>
        <v/>
      </c>
      <c r="C40647" t="inlineStr">
        <is>
          <t>2011-03-12</t>
        </is>
      </c>
    </row>
    <row r="40648">
      <c r="A40648" s="1" t="n">
        <v>40647</v>
      </c>
      <c r="B40648">
        <f>TEXT(40647, "[$-0E0000]yyyy-mm-dd")</f>
        <v/>
      </c>
      <c r="C40648" t="inlineStr">
        <is>
          <t>2011-03-13</t>
        </is>
      </c>
    </row>
    <row r="40649">
      <c r="A40649" s="1" t="n">
        <v>40648</v>
      </c>
      <c r="B40649">
        <f>TEXT(40648, "[$-0E0000]yyyy-mm-dd")</f>
        <v/>
      </c>
      <c r="C40649" t="inlineStr">
        <is>
          <t>2011-03-14</t>
        </is>
      </c>
    </row>
    <row r="40650">
      <c r="A40650" s="1" t="n">
        <v>40649</v>
      </c>
      <c r="B40650">
        <f>TEXT(40649, "[$-0E0000]yyyy-mm-dd")</f>
        <v/>
      </c>
      <c r="C40650" t="inlineStr">
        <is>
          <t>2011-03-15</t>
        </is>
      </c>
    </row>
    <row r="40651">
      <c r="A40651" s="1" t="n">
        <v>40650</v>
      </c>
      <c r="B40651">
        <f>TEXT(40650, "[$-0E0000]yyyy-mm-dd")</f>
        <v/>
      </c>
      <c r="C40651" t="inlineStr">
        <is>
          <t>2011-03-16</t>
        </is>
      </c>
    </row>
    <row r="40652">
      <c r="A40652" s="1" t="n">
        <v>40651</v>
      </c>
      <c r="B40652">
        <f>TEXT(40651, "[$-0E0000]yyyy-mm-dd")</f>
        <v/>
      </c>
      <c r="C40652" t="inlineStr">
        <is>
          <t>2011-03-17</t>
        </is>
      </c>
    </row>
    <row r="40653">
      <c r="A40653" s="1" t="n">
        <v>40652</v>
      </c>
      <c r="B40653">
        <f>TEXT(40652, "[$-0E0000]yyyy-mm-dd")</f>
        <v/>
      </c>
      <c r="C40653" t="inlineStr">
        <is>
          <t>2011-03-18</t>
        </is>
      </c>
    </row>
    <row r="40654">
      <c r="A40654" s="1" t="n">
        <v>40653</v>
      </c>
      <c r="B40654">
        <f>TEXT(40653, "[$-0E0000]yyyy-mm-dd")</f>
        <v/>
      </c>
      <c r="C40654" t="inlineStr">
        <is>
          <t>2011-03-19</t>
        </is>
      </c>
    </row>
    <row r="40655">
      <c r="A40655" s="1" t="n">
        <v>40654</v>
      </c>
      <c r="B40655">
        <f>TEXT(40654, "[$-0E0000]yyyy-mm-dd")</f>
        <v/>
      </c>
      <c r="C40655" t="inlineStr">
        <is>
          <t>2011-03-20</t>
        </is>
      </c>
    </row>
    <row r="40656">
      <c r="A40656" s="1" t="n">
        <v>40655</v>
      </c>
      <c r="B40656">
        <f>TEXT(40655, "[$-0E0000]yyyy-mm-dd")</f>
        <v/>
      </c>
      <c r="C40656" t="inlineStr">
        <is>
          <t>2011-03-21</t>
        </is>
      </c>
    </row>
    <row r="40657">
      <c r="A40657" s="1" t="n">
        <v>40656</v>
      </c>
      <c r="B40657">
        <f>TEXT(40656, "[$-0E0000]yyyy-mm-dd")</f>
        <v/>
      </c>
      <c r="C40657" t="inlineStr">
        <is>
          <t>2011-03-22</t>
        </is>
      </c>
    </row>
    <row r="40658">
      <c r="A40658" s="1" t="n">
        <v>40657</v>
      </c>
      <c r="B40658">
        <f>TEXT(40657, "[$-0E0000]yyyy-mm-dd")</f>
        <v/>
      </c>
      <c r="C40658" t="inlineStr">
        <is>
          <t>2011-03-23</t>
        </is>
      </c>
    </row>
    <row r="40659">
      <c r="A40659" s="1" t="n">
        <v>40658</v>
      </c>
      <c r="B40659">
        <f>TEXT(40658, "[$-0E0000]yyyy-mm-dd")</f>
        <v/>
      </c>
      <c r="C40659" t="inlineStr">
        <is>
          <t>2011-03-24</t>
        </is>
      </c>
    </row>
    <row r="40660">
      <c r="A40660" s="1" t="n">
        <v>40659</v>
      </c>
      <c r="B40660">
        <f>TEXT(40659, "[$-0E0000]yyyy-mm-dd")</f>
        <v/>
      </c>
      <c r="C40660" t="inlineStr">
        <is>
          <t>2011-03-25</t>
        </is>
      </c>
    </row>
    <row r="40661">
      <c r="A40661" s="1" t="n">
        <v>40660</v>
      </c>
      <c r="B40661">
        <f>TEXT(40660, "[$-0E0000]yyyy-mm-dd")</f>
        <v/>
      </c>
      <c r="C40661" t="inlineStr">
        <is>
          <t>2011-03-26</t>
        </is>
      </c>
    </row>
    <row r="40662">
      <c r="A40662" s="1" t="n">
        <v>40661</v>
      </c>
      <c r="B40662">
        <f>TEXT(40661, "[$-0E0000]yyyy-mm-dd")</f>
        <v/>
      </c>
      <c r="C40662" t="inlineStr">
        <is>
          <t>2011-03-27</t>
        </is>
      </c>
    </row>
    <row r="40663">
      <c r="A40663" s="1" t="n">
        <v>40662</v>
      </c>
      <c r="B40663">
        <f>TEXT(40662, "[$-0E0000]yyyy-mm-dd")</f>
        <v/>
      </c>
      <c r="C40663" t="inlineStr">
        <is>
          <t>2011-03-28</t>
        </is>
      </c>
    </row>
    <row r="40664">
      <c r="A40664" s="1" t="n">
        <v>40663</v>
      </c>
      <c r="B40664">
        <f>TEXT(40663, "[$-0E0000]yyyy-mm-dd")</f>
        <v/>
      </c>
      <c r="C40664" t="inlineStr">
        <is>
          <t>2011-03-29</t>
        </is>
      </c>
    </row>
    <row r="40665">
      <c r="A40665" s="1" t="n">
        <v>40664</v>
      </c>
      <c r="B40665">
        <f>TEXT(40664, "[$-0E0000]yyyy-mm-dd")</f>
        <v/>
      </c>
      <c r="C40665" t="inlineStr">
        <is>
          <t>2011-03-30</t>
        </is>
      </c>
    </row>
    <row r="40666">
      <c r="A40666" s="1" t="n">
        <v>40665</v>
      </c>
      <c r="B40666">
        <f>TEXT(40665, "[$-0E0000]yyyy-mm-dd")</f>
        <v/>
      </c>
      <c r="C40666" t="inlineStr">
        <is>
          <t>2011-04-01</t>
        </is>
      </c>
    </row>
    <row r="40667">
      <c r="A40667" s="1" t="n">
        <v>40666</v>
      </c>
      <c r="B40667">
        <f>TEXT(40666, "[$-0E0000]yyyy-mm-dd")</f>
        <v/>
      </c>
      <c r="C40667" t="inlineStr">
        <is>
          <t>2011-04-02</t>
        </is>
      </c>
    </row>
    <row r="40668">
      <c r="A40668" s="1" t="n">
        <v>40667</v>
      </c>
      <c r="B40668">
        <f>TEXT(40667, "[$-0E0000]yyyy-mm-dd")</f>
        <v/>
      </c>
      <c r="C40668" t="inlineStr">
        <is>
          <t>2011-04-03</t>
        </is>
      </c>
    </row>
    <row r="40669">
      <c r="A40669" s="1" t="n">
        <v>40668</v>
      </c>
      <c r="B40669">
        <f>TEXT(40668, "[$-0E0000]yyyy-mm-dd")</f>
        <v/>
      </c>
      <c r="C40669" t="inlineStr">
        <is>
          <t>2011-04-04</t>
        </is>
      </c>
    </row>
    <row r="40670">
      <c r="A40670" s="1" t="n">
        <v>40669</v>
      </c>
      <c r="B40670">
        <f>TEXT(40669, "[$-0E0000]yyyy-mm-dd")</f>
        <v/>
      </c>
      <c r="C40670" t="inlineStr">
        <is>
          <t>2011-04-05</t>
        </is>
      </c>
    </row>
    <row r="40671">
      <c r="A40671" s="1" t="n">
        <v>40670</v>
      </c>
      <c r="B40671">
        <f>TEXT(40670, "[$-0E0000]yyyy-mm-dd")</f>
        <v/>
      </c>
      <c r="C40671" t="inlineStr">
        <is>
          <t>2011-04-06</t>
        </is>
      </c>
    </row>
    <row r="40672">
      <c r="A40672" s="1" t="n">
        <v>40671</v>
      </c>
      <c r="B40672">
        <f>TEXT(40671, "[$-0E0000]yyyy-mm-dd")</f>
        <v/>
      </c>
      <c r="C40672" t="inlineStr">
        <is>
          <t>2011-04-07</t>
        </is>
      </c>
    </row>
    <row r="40673">
      <c r="A40673" s="1" t="n">
        <v>40672</v>
      </c>
      <c r="B40673">
        <f>TEXT(40672, "[$-0E0000]yyyy-mm-dd")</f>
        <v/>
      </c>
      <c r="C40673" t="inlineStr">
        <is>
          <t>2011-04-08</t>
        </is>
      </c>
    </row>
    <row r="40674">
      <c r="A40674" s="1" t="n">
        <v>40673</v>
      </c>
      <c r="B40674">
        <f>TEXT(40673, "[$-0E0000]yyyy-mm-dd")</f>
        <v/>
      </c>
      <c r="C40674" t="inlineStr">
        <is>
          <t>2011-04-09</t>
        </is>
      </c>
    </row>
    <row r="40675">
      <c r="A40675" s="1" t="n">
        <v>40674</v>
      </c>
      <c r="B40675">
        <f>TEXT(40674, "[$-0E0000]yyyy-mm-dd")</f>
        <v/>
      </c>
      <c r="C40675" t="inlineStr">
        <is>
          <t>2011-04-10</t>
        </is>
      </c>
    </row>
    <row r="40676">
      <c r="A40676" s="1" t="n">
        <v>40675</v>
      </c>
      <c r="B40676">
        <f>TEXT(40675, "[$-0E0000]yyyy-mm-dd")</f>
        <v/>
      </c>
      <c r="C40676" t="inlineStr">
        <is>
          <t>2011-04-11</t>
        </is>
      </c>
    </row>
    <row r="40677">
      <c r="A40677" s="1" t="n">
        <v>40676</v>
      </c>
      <c r="B40677">
        <f>TEXT(40676, "[$-0E0000]yyyy-mm-dd")</f>
        <v/>
      </c>
      <c r="C40677" t="inlineStr">
        <is>
          <t>2011-04-12</t>
        </is>
      </c>
    </row>
    <row r="40678">
      <c r="A40678" s="1" t="n">
        <v>40677</v>
      </c>
      <c r="B40678">
        <f>TEXT(40677, "[$-0E0000]yyyy-mm-dd")</f>
        <v/>
      </c>
      <c r="C40678" t="inlineStr">
        <is>
          <t>2011-04-13</t>
        </is>
      </c>
    </row>
    <row r="40679">
      <c r="A40679" s="1" t="n">
        <v>40678</v>
      </c>
      <c r="B40679">
        <f>TEXT(40678, "[$-0E0000]yyyy-mm-dd")</f>
        <v/>
      </c>
      <c r="C40679" t="inlineStr">
        <is>
          <t>2011-04-14</t>
        </is>
      </c>
    </row>
    <row r="40680">
      <c r="A40680" s="1" t="n">
        <v>40679</v>
      </c>
      <c r="B40680">
        <f>TEXT(40679, "[$-0E0000]yyyy-mm-dd")</f>
        <v/>
      </c>
      <c r="C40680" t="inlineStr">
        <is>
          <t>2011-04-15</t>
        </is>
      </c>
    </row>
    <row r="40681">
      <c r="A40681" s="1" t="n">
        <v>40680</v>
      </c>
      <c r="B40681">
        <f>TEXT(40680, "[$-0E0000]yyyy-mm-dd")</f>
        <v/>
      </c>
      <c r="C40681" t="inlineStr">
        <is>
          <t>2011-04-16</t>
        </is>
      </c>
    </row>
    <row r="40682">
      <c r="A40682" s="1" t="n">
        <v>40681</v>
      </c>
      <c r="B40682">
        <f>TEXT(40681, "[$-0E0000]yyyy-mm-dd")</f>
        <v/>
      </c>
      <c r="C40682" t="inlineStr">
        <is>
          <t>2011-04-17</t>
        </is>
      </c>
    </row>
    <row r="40683">
      <c r="A40683" s="1" t="n">
        <v>40682</v>
      </c>
      <c r="B40683">
        <f>TEXT(40682, "[$-0E0000]yyyy-mm-dd")</f>
        <v/>
      </c>
      <c r="C40683" t="inlineStr">
        <is>
          <t>2011-04-18</t>
        </is>
      </c>
    </row>
    <row r="40684">
      <c r="A40684" s="1" t="n">
        <v>40683</v>
      </c>
      <c r="B40684">
        <f>TEXT(40683, "[$-0E0000]yyyy-mm-dd")</f>
        <v/>
      </c>
      <c r="C40684" t="inlineStr">
        <is>
          <t>2011-04-19</t>
        </is>
      </c>
    </row>
    <row r="40685">
      <c r="A40685" s="1" t="n">
        <v>40684</v>
      </c>
      <c r="B40685">
        <f>TEXT(40684, "[$-0E0000]yyyy-mm-dd")</f>
        <v/>
      </c>
      <c r="C40685" t="inlineStr">
        <is>
          <t>2011-04-20</t>
        </is>
      </c>
    </row>
    <row r="40686">
      <c r="A40686" s="1" t="n">
        <v>40685</v>
      </c>
      <c r="B40686">
        <f>TEXT(40685, "[$-0E0000]yyyy-mm-dd")</f>
        <v/>
      </c>
      <c r="C40686" t="inlineStr">
        <is>
          <t>2011-04-21</t>
        </is>
      </c>
    </row>
    <row r="40687">
      <c r="A40687" s="1" t="n">
        <v>40686</v>
      </c>
      <c r="B40687">
        <f>TEXT(40686, "[$-0E0000]yyyy-mm-dd")</f>
        <v/>
      </c>
      <c r="C40687" t="inlineStr">
        <is>
          <t>2011-04-22</t>
        </is>
      </c>
    </row>
    <row r="40688">
      <c r="A40688" s="1" t="n">
        <v>40687</v>
      </c>
      <c r="B40688">
        <f>TEXT(40687, "[$-0E0000]yyyy-mm-dd")</f>
        <v/>
      </c>
      <c r="C40688" t="inlineStr">
        <is>
          <t>2011-04-23</t>
        </is>
      </c>
    </row>
    <row r="40689">
      <c r="A40689" s="1" t="n">
        <v>40688</v>
      </c>
      <c r="B40689">
        <f>TEXT(40688, "[$-0E0000]yyyy-mm-dd")</f>
        <v/>
      </c>
      <c r="C40689" t="inlineStr">
        <is>
          <t>2011-04-24</t>
        </is>
      </c>
    </row>
    <row r="40690">
      <c r="A40690" s="1" t="n">
        <v>40689</v>
      </c>
      <c r="B40690">
        <f>TEXT(40689, "[$-0E0000]yyyy-mm-dd")</f>
        <v/>
      </c>
      <c r="C40690" t="inlineStr">
        <is>
          <t>2011-04-25</t>
        </is>
      </c>
    </row>
    <row r="40691">
      <c r="A40691" s="1" t="n">
        <v>40690</v>
      </c>
      <c r="B40691">
        <f>TEXT(40690, "[$-0E0000]yyyy-mm-dd")</f>
        <v/>
      </c>
      <c r="C40691" t="inlineStr">
        <is>
          <t>2011-04-26</t>
        </is>
      </c>
    </row>
    <row r="40692">
      <c r="A40692" s="1" t="n">
        <v>40691</v>
      </c>
      <c r="B40692">
        <f>TEXT(40691, "[$-0E0000]yyyy-mm-dd")</f>
        <v/>
      </c>
      <c r="C40692" t="inlineStr">
        <is>
          <t>2011-04-27</t>
        </is>
      </c>
    </row>
    <row r="40693">
      <c r="A40693" s="1" t="n">
        <v>40692</v>
      </c>
      <c r="B40693">
        <f>TEXT(40692, "[$-0E0000]yyyy-mm-dd")</f>
        <v/>
      </c>
      <c r="C40693" t="inlineStr">
        <is>
          <t>2011-04-28</t>
        </is>
      </c>
    </row>
    <row r="40694">
      <c r="A40694" s="1" t="n">
        <v>40693</v>
      </c>
      <c r="B40694">
        <f>TEXT(40693, "[$-0E0000]yyyy-mm-dd")</f>
        <v/>
      </c>
      <c r="C40694" t="inlineStr">
        <is>
          <t>2011-04-29</t>
        </is>
      </c>
    </row>
    <row r="40695">
      <c r="A40695" s="1" t="n">
        <v>40694</v>
      </c>
      <c r="B40695">
        <f>TEXT(40694, "[$-0E0000]yyyy-mm-dd")</f>
        <v/>
      </c>
      <c r="C40695" t="inlineStr">
        <is>
          <t>2011-04-30</t>
        </is>
      </c>
    </row>
    <row r="40696">
      <c r="A40696" s="1" t="n">
        <v>40695</v>
      </c>
      <c r="B40696">
        <f>TEXT(40695, "[$-0E0000]yyyy-mm-dd")</f>
        <v/>
      </c>
      <c r="C40696" t="inlineStr">
        <is>
          <t>2011-05-01</t>
        </is>
      </c>
    </row>
    <row r="40697">
      <c r="A40697" s="1" t="n">
        <v>40696</v>
      </c>
      <c r="B40697">
        <f>TEXT(40696, "[$-0E0000]yyyy-mm-dd")</f>
        <v/>
      </c>
      <c r="C40697" t="inlineStr">
        <is>
          <t>2011-05-02</t>
        </is>
      </c>
    </row>
    <row r="40698">
      <c r="A40698" s="1" t="n">
        <v>40697</v>
      </c>
      <c r="B40698">
        <f>TEXT(40697, "[$-0E0000]yyyy-mm-dd")</f>
        <v/>
      </c>
      <c r="C40698" t="inlineStr">
        <is>
          <t>2011-05-03</t>
        </is>
      </c>
    </row>
    <row r="40699">
      <c r="A40699" s="1" t="n">
        <v>40698</v>
      </c>
      <c r="B40699">
        <f>TEXT(40698, "[$-0E0000]yyyy-mm-dd")</f>
        <v/>
      </c>
      <c r="C40699" t="inlineStr">
        <is>
          <t>2011-05-04</t>
        </is>
      </c>
    </row>
    <row r="40700">
      <c r="A40700" s="1" t="n">
        <v>40699</v>
      </c>
      <c r="B40700">
        <f>TEXT(40699, "[$-0E0000]yyyy-mm-dd")</f>
        <v/>
      </c>
      <c r="C40700" t="inlineStr">
        <is>
          <t>2011-05-05</t>
        </is>
      </c>
    </row>
    <row r="40701">
      <c r="A40701" s="1" t="n">
        <v>40700</v>
      </c>
      <c r="B40701">
        <f>TEXT(40700, "[$-0E0000]yyyy-mm-dd")</f>
        <v/>
      </c>
      <c r="C40701" t="inlineStr">
        <is>
          <t>2011-05-06</t>
        </is>
      </c>
    </row>
    <row r="40702">
      <c r="A40702" s="1" t="n">
        <v>40701</v>
      </c>
      <c r="B40702">
        <f>TEXT(40701, "[$-0E0000]yyyy-mm-dd")</f>
        <v/>
      </c>
      <c r="C40702" t="inlineStr">
        <is>
          <t>2011-05-07</t>
        </is>
      </c>
    </row>
    <row r="40703">
      <c r="A40703" s="1" t="n">
        <v>40702</v>
      </c>
      <c r="B40703">
        <f>TEXT(40702, "[$-0E0000]yyyy-mm-dd")</f>
        <v/>
      </c>
      <c r="C40703" t="inlineStr">
        <is>
          <t>2011-05-08</t>
        </is>
      </c>
    </row>
    <row r="40704">
      <c r="A40704" s="1" t="n">
        <v>40703</v>
      </c>
      <c r="B40704">
        <f>TEXT(40703, "[$-0E0000]yyyy-mm-dd")</f>
        <v/>
      </c>
      <c r="C40704" t="inlineStr">
        <is>
          <t>2011-05-09</t>
        </is>
      </c>
    </row>
    <row r="40705">
      <c r="A40705" s="1" t="n">
        <v>40704</v>
      </c>
      <c r="B40705">
        <f>TEXT(40704, "[$-0E0000]yyyy-mm-dd")</f>
        <v/>
      </c>
      <c r="C40705" t="inlineStr">
        <is>
          <t>2011-05-10</t>
        </is>
      </c>
    </row>
    <row r="40706">
      <c r="A40706" s="1" t="n">
        <v>40705</v>
      </c>
      <c r="B40706">
        <f>TEXT(40705, "[$-0E0000]yyyy-mm-dd")</f>
        <v/>
      </c>
      <c r="C40706" t="inlineStr">
        <is>
          <t>2011-05-11</t>
        </is>
      </c>
    </row>
    <row r="40707">
      <c r="A40707" s="1" t="n">
        <v>40706</v>
      </c>
      <c r="B40707">
        <f>TEXT(40706, "[$-0E0000]yyyy-mm-dd")</f>
        <v/>
      </c>
      <c r="C40707" t="inlineStr">
        <is>
          <t>2011-05-12</t>
        </is>
      </c>
    </row>
    <row r="40708">
      <c r="A40708" s="1" t="n">
        <v>40707</v>
      </c>
      <c r="B40708">
        <f>TEXT(40707, "[$-0E0000]yyyy-mm-dd")</f>
        <v/>
      </c>
      <c r="C40708" t="inlineStr">
        <is>
          <t>2011-05-13</t>
        </is>
      </c>
    </row>
    <row r="40709">
      <c r="A40709" s="1" t="n">
        <v>40708</v>
      </c>
      <c r="B40709">
        <f>TEXT(40708, "[$-0E0000]yyyy-mm-dd")</f>
        <v/>
      </c>
      <c r="C40709" t="inlineStr">
        <is>
          <t>2011-05-14</t>
        </is>
      </c>
    </row>
    <row r="40710">
      <c r="A40710" s="1" t="n">
        <v>40709</v>
      </c>
      <c r="B40710">
        <f>TEXT(40709, "[$-0E0000]yyyy-mm-dd")</f>
        <v/>
      </c>
      <c r="C40710" t="inlineStr">
        <is>
          <t>2011-05-15</t>
        </is>
      </c>
    </row>
    <row r="40711">
      <c r="A40711" s="1" t="n">
        <v>40710</v>
      </c>
      <c r="B40711">
        <f>TEXT(40710, "[$-0E0000]yyyy-mm-dd")</f>
        <v/>
      </c>
      <c r="C40711" t="inlineStr">
        <is>
          <t>2011-05-16</t>
        </is>
      </c>
    </row>
    <row r="40712">
      <c r="A40712" s="1" t="n">
        <v>40711</v>
      </c>
      <c r="B40712">
        <f>TEXT(40711, "[$-0E0000]yyyy-mm-dd")</f>
        <v/>
      </c>
      <c r="C40712" t="inlineStr">
        <is>
          <t>2011-05-17</t>
        </is>
      </c>
    </row>
    <row r="40713">
      <c r="A40713" s="1" t="n">
        <v>40712</v>
      </c>
      <c r="B40713">
        <f>TEXT(40712, "[$-0E0000]yyyy-mm-dd")</f>
        <v/>
      </c>
      <c r="C40713" t="inlineStr">
        <is>
          <t>2011-05-18</t>
        </is>
      </c>
    </row>
    <row r="40714">
      <c r="A40714" s="1" t="n">
        <v>40713</v>
      </c>
      <c r="B40714">
        <f>TEXT(40713, "[$-0E0000]yyyy-mm-dd")</f>
        <v/>
      </c>
      <c r="C40714" t="inlineStr">
        <is>
          <t>2011-05-19</t>
        </is>
      </c>
    </row>
    <row r="40715">
      <c r="A40715" s="1" t="n">
        <v>40714</v>
      </c>
      <c r="B40715">
        <f>TEXT(40714, "[$-0E0000]yyyy-mm-dd")</f>
        <v/>
      </c>
      <c r="C40715" t="inlineStr">
        <is>
          <t>2011-05-20</t>
        </is>
      </c>
    </row>
    <row r="40716">
      <c r="A40716" s="1" t="n">
        <v>40715</v>
      </c>
      <c r="B40716">
        <f>TEXT(40715, "[$-0E0000]yyyy-mm-dd")</f>
        <v/>
      </c>
      <c r="C40716" t="inlineStr">
        <is>
          <t>2011-05-21</t>
        </is>
      </c>
    </row>
    <row r="40717">
      <c r="A40717" s="1" t="n">
        <v>40716</v>
      </c>
      <c r="B40717">
        <f>TEXT(40716, "[$-0E0000]yyyy-mm-dd")</f>
        <v/>
      </c>
      <c r="C40717" t="inlineStr">
        <is>
          <t>2011-05-22</t>
        </is>
      </c>
    </row>
    <row r="40718">
      <c r="A40718" s="1" t="n">
        <v>40717</v>
      </c>
      <c r="B40718">
        <f>TEXT(40717, "[$-0E0000]yyyy-mm-dd")</f>
        <v/>
      </c>
      <c r="C40718" t="inlineStr">
        <is>
          <t>2011-05-23</t>
        </is>
      </c>
    </row>
    <row r="40719">
      <c r="A40719" s="1" t="n">
        <v>40718</v>
      </c>
      <c r="B40719">
        <f>TEXT(40718, "[$-0E0000]yyyy-mm-dd")</f>
        <v/>
      </c>
      <c r="C40719" t="inlineStr">
        <is>
          <t>2011-05-24</t>
        </is>
      </c>
    </row>
    <row r="40720">
      <c r="A40720" s="1" t="n">
        <v>40719</v>
      </c>
      <c r="B40720">
        <f>TEXT(40719, "[$-0E0000]yyyy-mm-dd")</f>
        <v/>
      </c>
      <c r="C40720" t="inlineStr">
        <is>
          <t>2011-05-25</t>
        </is>
      </c>
    </row>
    <row r="40721">
      <c r="A40721" s="1" t="n">
        <v>40720</v>
      </c>
      <c r="B40721">
        <f>TEXT(40720, "[$-0E0000]yyyy-mm-dd")</f>
        <v/>
      </c>
      <c r="C40721" t="inlineStr">
        <is>
          <t>2011-05-26</t>
        </is>
      </c>
    </row>
    <row r="40722">
      <c r="A40722" s="1" t="n">
        <v>40721</v>
      </c>
      <c r="B40722">
        <f>TEXT(40721, "[$-0E0000]yyyy-mm-dd")</f>
        <v/>
      </c>
      <c r="C40722" t="inlineStr">
        <is>
          <t>2011-05-27</t>
        </is>
      </c>
    </row>
    <row r="40723">
      <c r="A40723" s="1" t="n">
        <v>40722</v>
      </c>
      <c r="B40723">
        <f>TEXT(40722, "[$-0E0000]yyyy-mm-dd")</f>
        <v/>
      </c>
      <c r="C40723" t="inlineStr">
        <is>
          <t>2011-05-28</t>
        </is>
      </c>
    </row>
    <row r="40724">
      <c r="A40724" s="1" t="n">
        <v>40723</v>
      </c>
      <c r="B40724">
        <f>TEXT(40723, "[$-0E0000]yyyy-mm-dd")</f>
        <v/>
      </c>
      <c r="C40724" t="inlineStr">
        <is>
          <t>2011-05-29</t>
        </is>
      </c>
    </row>
    <row r="40725">
      <c r="A40725" s="1" t="n">
        <v>40724</v>
      </c>
      <c r="B40725">
        <f>TEXT(40724, "[$-0E0000]yyyy-mm-dd")</f>
        <v/>
      </c>
      <c r="C40725" t="inlineStr">
        <is>
          <t>2011-06-01</t>
        </is>
      </c>
    </row>
    <row r="40726">
      <c r="A40726" s="1" t="n">
        <v>40725</v>
      </c>
      <c r="B40726">
        <f>TEXT(40725, "[$-0E0000]yyyy-mm-dd")</f>
        <v/>
      </c>
      <c r="C40726" t="inlineStr">
        <is>
          <t>2011-06-02</t>
        </is>
      </c>
    </row>
    <row r="40727">
      <c r="A40727" s="1" t="n">
        <v>40726</v>
      </c>
      <c r="B40727">
        <f>TEXT(40726, "[$-0E0000]yyyy-mm-dd")</f>
        <v/>
      </c>
      <c r="C40727" t="inlineStr">
        <is>
          <t>2011-06-03</t>
        </is>
      </c>
    </row>
    <row r="40728">
      <c r="A40728" s="1" t="n">
        <v>40727</v>
      </c>
      <c r="B40728">
        <f>TEXT(40727, "[$-0E0000]yyyy-mm-dd")</f>
        <v/>
      </c>
      <c r="C40728" t="inlineStr">
        <is>
          <t>2011-06-04</t>
        </is>
      </c>
    </row>
    <row r="40729">
      <c r="A40729" s="1" t="n">
        <v>40728</v>
      </c>
      <c r="B40729">
        <f>TEXT(40728, "[$-0E0000]yyyy-mm-dd")</f>
        <v/>
      </c>
      <c r="C40729" t="inlineStr">
        <is>
          <t>2011-06-05</t>
        </is>
      </c>
    </row>
    <row r="40730">
      <c r="A40730" s="1" t="n">
        <v>40729</v>
      </c>
      <c r="B40730">
        <f>TEXT(40729, "[$-0E0000]yyyy-mm-dd")</f>
        <v/>
      </c>
      <c r="C40730" t="inlineStr">
        <is>
          <t>2011-06-06</t>
        </is>
      </c>
    </row>
    <row r="40731">
      <c r="A40731" s="1" t="n">
        <v>40730</v>
      </c>
      <c r="B40731">
        <f>TEXT(40730, "[$-0E0000]yyyy-mm-dd")</f>
        <v/>
      </c>
      <c r="C40731" t="inlineStr">
        <is>
          <t>2011-06-07</t>
        </is>
      </c>
    </row>
    <row r="40732">
      <c r="A40732" s="1" t="n">
        <v>40731</v>
      </c>
      <c r="B40732">
        <f>TEXT(40731, "[$-0E0000]yyyy-mm-dd")</f>
        <v/>
      </c>
      <c r="C40732" t="inlineStr">
        <is>
          <t>2011-06-08</t>
        </is>
      </c>
    </row>
    <row r="40733">
      <c r="A40733" s="1" t="n">
        <v>40732</v>
      </c>
      <c r="B40733">
        <f>TEXT(40732, "[$-0E0000]yyyy-mm-dd")</f>
        <v/>
      </c>
      <c r="C40733" t="inlineStr">
        <is>
          <t>2011-06-09</t>
        </is>
      </c>
    </row>
    <row r="40734">
      <c r="A40734" s="1" t="n">
        <v>40733</v>
      </c>
      <c r="B40734">
        <f>TEXT(40733, "[$-0E0000]yyyy-mm-dd")</f>
        <v/>
      </c>
      <c r="C40734" t="inlineStr">
        <is>
          <t>2011-06-10</t>
        </is>
      </c>
    </row>
    <row r="40735">
      <c r="A40735" s="1" t="n">
        <v>40734</v>
      </c>
      <c r="B40735">
        <f>TEXT(40734, "[$-0E0000]yyyy-mm-dd")</f>
        <v/>
      </c>
      <c r="C40735" t="inlineStr">
        <is>
          <t>2011-06-11</t>
        </is>
      </c>
    </row>
    <row r="40736">
      <c r="A40736" s="1" t="n">
        <v>40735</v>
      </c>
      <c r="B40736">
        <f>TEXT(40735, "[$-0E0000]yyyy-mm-dd")</f>
        <v/>
      </c>
      <c r="C40736" t="inlineStr">
        <is>
          <t>2011-06-12</t>
        </is>
      </c>
    </row>
    <row r="40737">
      <c r="A40737" s="1" t="n">
        <v>40736</v>
      </c>
      <c r="B40737">
        <f>TEXT(40736, "[$-0E0000]yyyy-mm-dd")</f>
        <v/>
      </c>
      <c r="C40737" t="inlineStr">
        <is>
          <t>2011-06-13</t>
        </is>
      </c>
    </row>
    <row r="40738">
      <c r="A40738" s="1" t="n">
        <v>40737</v>
      </c>
      <c r="B40738">
        <f>TEXT(40737, "[$-0E0000]yyyy-mm-dd")</f>
        <v/>
      </c>
      <c r="C40738" t="inlineStr">
        <is>
          <t>2011-06-14</t>
        </is>
      </c>
    </row>
    <row r="40739">
      <c r="A40739" s="1" t="n">
        <v>40738</v>
      </c>
      <c r="B40739">
        <f>TEXT(40738, "[$-0E0000]yyyy-mm-dd")</f>
        <v/>
      </c>
      <c r="C40739" t="inlineStr">
        <is>
          <t>2011-06-15</t>
        </is>
      </c>
    </row>
    <row r="40740">
      <c r="A40740" s="1" t="n">
        <v>40739</v>
      </c>
      <c r="B40740">
        <f>TEXT(40739, "[$-0E0000]yyyy-mm-dd")</f>
        <v/>
      </c>
      <c r="C40740" t="inlineStr">
        <is>
          <t>2011-06-16</t>
        </is>
      </c>
    </row>
    <row r="40741">
      <c r="A40741" s="1" t="n">
        <v>40740</v>
      </c>
      <c r="B40741">
        <f>TEXT(40740, "[$-0E0000]yyyy-mm-dd")</f>
        <v/>
      </c>
      <c r="C40741" t="inlineStr">
        <is>
          <t>2011-06-17</t>
        </is>
      </c>
    </row>
    <row r="40742">
      <c r="A40742" s="1" t="n">
        <v>40741</v>
      </c>
      <c r="B40742">
        <f>TEXT(40741, "[$-0E0000]yyyy-mm-dd")</f>
        <v/>
      </c>
      <c r="C40742" t="inlineStr">
        <is>
          <t>2011-06-18</t>
        </is>
      </c>
    </row>
    <row r="40743">
      <c r="A40743" s="1" t="n">
        <v>40742</v>
      </c>
      <c r="B40743">
        <f>TEXT(40742, "[$-0E0000]yyyy-mm-dd")</f>
        <v/>
      </c>
      <c r="C40743" t="inlineStr">
        <is>
          <t>2011-06-19</t>
        </is>
      </c>
    </row>
    <row r="40744">
      <c r="A40744" s="1" t="n">
        <v>40743</v>
      </c>
      <c r="B40744">
        <f>TEXT(40743, "[$-0E0000]yyyy-mm-dd")</f>
        <v/>
      </c>
      <c r="C40744" t="inlineStr">
        <is>
          <t>2011-06-20</t>
        </is>
      </c>
    </row>
    <row r="40745">
      <c r="A40745" s="1" t="n">
        <v>40744</v>
      </c>
      <c r="B40745">
        <f>TEXT(40744, "[$-0E0000]yyyy-mm-dd")</f>
        <v/>
      </c>
      <c r="C40745" t="inlineStr">
        <is>
          <t>2011-06-21</t>
        </is>
      </c>
    </row>
    <row r="40746">
      <c r="A40746" s="1" t="n">
        <v>40745</v>
      </c>
      <c r="B40746">
        <f>TEXT(40745, "[$-0E0000]yyyy-mm-dd")</f>
        <v/>
      </c>
      <c r="C40746" t="inlineStr">
        <is>
          <t>2011-06-22</t>
        </is>
      </c>
    </row>
    <row r="40747">
      <c r="A40747" s="1" t="n">
        <v>40746</v>
      </c>
      <c r="B40747">
        <f>TEXT(40746, "[$-0E0000]yyyy-mm-dd")</f>
        <v/>
      </c>
      <c r="C40747" t="inlineStr">
        <is>
          <t>2011-06-23</t>
        </is>
      </c>
    </row>
    <row r="40748">
      <c r="A40748" s="1" t="n">
        <v>40747</v>
      </c>
      <c r="B40748">
        <f>TEXT(40747, "[$-0E0000]yyyy-mm-dd")</f>
        <v/>
      </c>
      <c r="C40748" t="inlineStr">
        <is>
          <t>2011-06-24</t>
        </is>
      </c>
    </row>
    <row r="40749">
      <c r="A40749" s="1" t="n">
        <v>40748</v>
      </c>
      <c r="B40749">
        <f>TEXT(40748, "[$-0E0000]yyyy-mm-dd")</f>
        <v/>
      </c>
      <c r="C40749" t="inlineStr">
        <is>
          <t>2011-06-25</t>
        </is>
      </c>
    </row>
    <row r="40750">
      <c r="A40750" s="1" t="n">
        <v>40749</v>
      </c>
      <c r="B40750">
        <f>TEXT(40749, "[$-0E0000]yyyy-mm-dd")</f>
        <v/>
      </c>
      <c r="C40750" t="inlineStr">
        <is>
          <t>2011-06-26</t>
        </is>
      </c>
    </row>
    <row r="40751">
      <c r="A40751" s="1" t="n">
        <v>40750</v>
      </c>
      <c r="B40751">
        <f>TEXT(40750, "[$-0E0000]yyyy-mm-dd")</f>
        <v/>
      </c>
      <c r="C40751" t="inlineStr">
        <is>
          <t>2011-06-27</t>
        </is>
      </c>
    </row>
    <row r="40752">
      <c r="A40752" s="1" t="n">
        <v>40751</v>
      </c>
      <c r="B40752">
        <f>TEXT(40751, "[$-0E0000]yyyy-mm-dd")</f>
        <v/>
      </c>
      <c r="C40752" t="inlineStr">
        <is>
          <t>2011-06-28</t>
        </is>
      </c>
    </row>
    <row r="40753">
      <c r="A40753" s="1" t="n">
        <v>40752</v>
      </c>
      <c r="B40753">
        <f>TEXT(40752, "[$-0E0000]yyyy-mm-dd")</f>
        <v/>
      </c>
      <c r="C40753" t="inlineStr">
        <is>
          <t>2011-06-29</t>
        </is>
      </c>
    </row>
    <row r="40754">
      <c r="A40754" s="1" t="n">
        <v>40753</v>
      </c>
      <c r="B40754">
        <f>TEXT(40753, "[$-0E0000]yyyy-mm-dd")</f>
        <v/>
      </c>
      <c r="C40754" t="inlineStr">
        <is>
          <t>2011-06-30</t>
        </is>
      </c>
    </row>
    <row r="40755">
      <c r="A40755" s="1" t="n">
        <v>40754</v>
      </c>
      <c r="B40755">
        <f>TEXT(40754, "[$-0E0000]yyyy-mm-dd")</f>
        <v/>
      </c>
      <c r="C40755" t="inlineStr">
        <is>
          <t>2011-07-01</t>
        </is>
      </c>
    </row>
    <row r="40756">
      <c r="A40756" s="1" t="n">
        <v>40755</v>
      </c>
      <c r="B40756">
        <f>TEXT(40755, "[$-0E0000]yyyy-mm-dd")</f>
        <v/>
      </c>
      <c r="C40756" t="inlineStr">
        <is>
          <t>2011-07-02</t>
        </is>
      </c>
    </row>
    <row r="40757">
      <c r="A40757" s="1" t="n">
        <v>40756</v>
      </c>
      <c r="B40757">
        <f>TEXT(40756, "[$-0E0000]yyyy-mm-dd")</f>
        <v/>
      </c>
      <c r="C40757" t="inlineStr">
        <is>
          <t>2011-07-03</t>
        </is>
      </c>
    </row>
    <row r="40758">
      <c r="A40758" s="1" t="n">
        <v>40757</v>
      </c>
      <c r="B40758">
        <f>TEXT(40757, "[$-0E0000]yyyy-mm-dd")</f>
        <v/>
      </c>
      <c r="C40758" t="inlineStr">
        <is>
          <t>2011-07-04</t>
        </is>
      </c>
    </row>
    <row r="40759">
      <c r="A40759" s="1" t="n">
        <v>40758</v>
      </c>
      <c r="B40759">
        <f>TEXT(40758, "[$-0E0000]yyyy-mm-dd")</f>
        <v/>
      </c>
      <c r="C40759" t="inlineStr">
        <is>
          <t>2011-07-05</t>
        </is>
      </c>
    </row>
    <row r="40760">
      <c r="A40760" s="1" t="n">
        <v>40759</v>
      </c>
      <c r="B40760">
        <f>TEXT(40759, "[$-0E0000]yyyy-mm-dd")</f>
        <v/>
      </c>
      <c r="C40760" t="inlineStr">
        <is>
          <t>2011-07-06</t>
        </is>
      </c>
    </row>
    <row r="40761">
      <c r="A40761" s="1" t="n">
        <v>40760</v>
      </c>
      <c r="B40761">
        <f>TEXT(40760, "[$-0E0000]yyyy-mm-dd")</f>
        <v/>
      </c>
      <c r="C40761" t="inlineStr">
        <is>
          <t>2011-07-07</t>
        </is>
      </c>
    </row>
    <row r="40762">
      <c r="A40762" s="1" t="n">
        <v>40761</v>
      </c>
      <c r="B40762">
        <f>TEXT(40761, "[$-0E0000]yyyy-mm-dd")</f>
        <v/>
      </c>
      <c r="C40762" t="inlineStr">
        <is>
          <t>2011-07-08</t>
        </is>
      </c>
    </row>
    <row r="40763">
      <c r="A40763" s="1" t="n">
        <v>40762</v>
      </c>
      <c r="B40763">
        <f>TEXT(40762, "[$-0E0000]yyyy-mm-dd")</f>
        <v/>
      </c>
      <c r="C40763" t="inlineStr">
        <is>
          <t>2011-07-09</t>
        </is>
      </c>
    </row>
    <row r="40764">
      <c r="A40764" s="1" t="n">
        <v>40763</v>
      </c>
      <c r="B40764">
        <f>TEXT(40763, "[$-0E0000]yyyy-mm-dd")</f>
        <v/>
      </c>
      <c r="C40764" t="inlineStr">
        <is>
          <t>2011-07-10</t>
        </is>
      </c>
    </row>
    <row r="40765">
      <c r="A40765" s="1" t="n">
        <v>40764</v>
      </c>
      <c r="B40765">
        <f>TEXT(40764, "[$-0E0000]yyyy-mm-dd")</f>
        <v/>
      </c>
      <c r="C40765" t="inlineStr">
        <is>
          <t>2011-07-11</t>
        </is>
      </c>
    </row>
    <row r="40766">
      <c r="A40766" s="1" t="n">
        <v>40765</v>
      </c>
      <c r="B40766">
        <f>TEXT(40765, "[$-0E0000]yyyy-mm-dd")</f>
        <v/>
      </c>
      <c r="C40766" t="inlineStr">
        <is>
          <t>2011-07-12</t>
        </is>
      </c>
    </row>
    <row r="40767">
      <c r="A40767" s="1" t="n">
        <v>40766</v>
      </c>
      <c r="B40767">
        <f>TEXT(40766, "[$-0E0000]yyyy-mm-dd")</f>
        <v/>
      </c>
      <c r="C40767" t="inlineStr">
        <is>
          <t>2011-07-13</t>
        </is>
      </c>
    </row>
    <row r="40768">
      <c r="A40768" s="1" t="n">
        <v>40767</v>
      </c>
      <c r="B40768">
        <f>TEXT(40767, "[$-0E0000]yyyy-mm-dd")</f>
        <v/>
      </c>
      <c r="C40768" t="inlineStr">
        <is>
          <t>2011-07-14</t>
        </is>
      </c>
    </row>
    <row r="40769">
      <c r="A40769" s="1" t="n">
        <v>40768</v>
      </c>
      <c r="B40769">
        <f>TEXT(40768, "[$-0E0000]yyyy-mm-dd")</f>
        <v/>
      </c>
      <c r="C40769" t="inlineStr">
        <is>
          <t>2011-07-15</t>
        </is>
      </c>
    </row>
    <row r="40770">
      <c r="A40770" s="1" t="n">
        <v>40769</v>
      </c>
      <c r="B40770">
        <f>TEXT(40769, "[$-0E0000]yyyy-mm-dd")</f>
        <v/>
      </c>
      <c r="C40770" t="inlineStr">
        <is>
          <t>2011-07-16</t>
        </is>
      </c>
    </row>
    <row r="40771">
      <c r="A40771" s="1" t="n">
        <v>40770</v>
      </c>
      <c r="B40771">
        <f>TEXT(40770, "[$-0E0000]yyyy-mm-dd")</f>
        <v/>
      </c>
      <c r="C40771" t="inlineStr">
        <is>
          <t>2011-07-17</t>
        </is>
      </c>
    </row>
    <row r="40772">
      <c r="A40772" s="1" t="n">
        <v>40771</v>
      </c>
      <c r="B40772">
        <f>TEXT(40771, "[$-0E0000]yyyy-mm-dd")</f>
        <v/>
      </c>
      <c r="C40772" t="inlineStr">
        <is>
          <t>2011-07-18</t>
        </is>
      </c>
    </row>
    <row r="40773">
      <c r="A40773" s="1" t="n">
        <v>40772</v>
      </c>
      <c r="B40773">
        <f>TEXT(40772, "[$-0E0000]yyyy-mm-dd")</f>
        <v/>
      </c>
      <c r="C40773" t="inlineStr">
        <is>
          <t>2011-07-19</t>
        </is>
      </c>
    </row>
    <row r="40774">
      <c r="A40774" s="1" t="n">
        <v>40773</v>
      </c>
      <c r="B40774">
        <f>TEXT(40773, "[$-0E0000]yyyy-mm-dd")</f>
        <v/>
      </c>
      <c r="C40774" t="inlineStr">
        <is>
          <t>2011-07-20</t>
        </is>
      </c>
    </row>
    <row r="40775">
      <c r="A40775" s="1" t="n">
        <v>40774</v>
      </c>
      <c r="B40775">
        <f>TEXT(40774, "[$-0E0000]yyyy-mm-dd")</f>
        <v/>
      </c>
      <c r="C40775" t="inlineStr">
        <is>
          <t>2011-07-21</t>
        </is>
      </c>
    </row>
    <row r="40776">
      <c r="A40776" s="1" t="n">
        <v>40775</v>
      </c>
      <c r="B40776">
        <f>TEXT(40775, "[$-0E0000]yyyy-mm-dd")</f>
        <v/>
      </c>
      <c r="C40776" t="inlineStr">
        <is>
          <t>2011-07-22</t>
        </is>
      </c>
    </row>
    <row r="40777">
      <c r="A40777" s="1" t="n">
        <v>40776</v>
      </c>
      <c r="B40777">
        <f>TEXT(40776, "[$-0E0000]yyyy-mm-dd")</f>
        <v/>
      </c>
      <c r="C40777" t="inlineStr">
        <is>
          <t>2011-07-23</t>
        </is>
      </c>
    </row>
    <row r="40778">
      <c r="A40778" s="1" t="n">
        <v>40777</v>
      </c>
      <c r="B40778">
        <f>TEXT(40777, "[$-0E0000]yyyy-mm-dd")</f>
        <v/>
      </c>
      <c r="C40778" t="inlineStr">
        <is>
          <t>2011-07-24</t>
        </is>
      </c>
    </row>
    <row r="40779">
      <c r="A40779" s="1" t="n">
        <v>40778</v>
      </c>
      <c r="B40779">
        <f>TEXT(40778, "[$-0E0000]yyyy-mm-dd")</f>
        <v/>
      </c>
      <c r="C40779" t="inlineStr">
        <is>
          <t>2011-07-25</t>
        </is>
      </c>
    </row>
    <row r="40780">
      <c r="A40780" s="1" t="n">
        <v>40779</v>
      </c>
      <c r="B40780">
        <f>TEXT(40779, "[$-0E0000]yyyy-mm-dd")</f>
        <v/>
      </c>
      <c r="C40780" t="inlineStr">
        <is>
          <t>2011-07-26</t>
        </is>
      </c>
    </row>
    <row r="40781">
      <c r="A40781" s="1" t="n">
        <v>40780</v>
      </c>
      <c r="B40781">
        <f>TEXT(40780, "[$-0E0000]yyyy-mm-dd")</f>
        <v/>
      </c>
      <c r="C40781" t="inlineStr">
        <is>
          <t>2011-07-27</t>
        </is>
      </c>
    </row>
    <row r="40782">
      <c r="A40782" s="1" t="n">
        <v>40781</v>
      </c>
      <c r="B40782">
        <f>TEXT(40781, "[$-0E0000]yyyy-mm-dd")</f>
        <v/>
      </c>
      <c r="C40782" t="inlineStr">
        <is>
          <t>2011-07-28</t>
        </is>
      </c>
    </row>
    <row r="40783">
      <c r="A40783" s="1" t="n">
        <v>40782</v>
      </c>
      <c r="B40783">
        <f>TEXT(40782, "[$-0E0000]yyyy-mm-dd")</f>
        <v/>
      </c>
      <c r="C40783" t="inlineStr">
        <is>
          <t>2011-07-29</t>
        </is>
      </c>
    </row>
    <row r="40784">
      <c r="A40784" s="1" t="n">
        <v>40783</v>
      </c>
      <c r="B40784">
        <f>TEXT(40783, "[$-0E0000]yyyy-mm-dd")</f>
        <v/>
      </c>
      <c r="C40784" t="inlineStr">
        <is>
          <t>2011-08-01</t>
        </is>
      </c>
    </row>
    <row r="40785">
      <c r="A40785" s="1" t="n">
        <v>40784</v>
      </c>
      <c r="B40785">
        <f>TEXT(40784, "[$-0E0000]yyyy-mm-dd")</f>
        <v/>
      </c>
      <c r="C40785" t="inlineStr">
        <is>
          <t>2011-08-02</t>
        </is>
      </c>
    </row>
    <row r="40786">
      <c r="A40786" s="1" t="n">
        <v>40785</v>
      </c>
      <c r="B40786">
        <f>TEXT(40785, "[$-0E0000]yyyy-mm-dd")</f>
        <v/>
      </c>
      <c r="C40786" t="inlineStr">
        <is>
          <t>2011-08-03</t>
        </is>
      </c>
    </row>
    <row r="40787">
      <c r="A40787" s="1" t="n">
        <v>40786</v>
      </c>
      <c r="B40787">
        <f>TEXT(40786, "[$-0E0000]yyyy-mm-dd")</f>
        <v/>
      </c>
      <c r="C40787" t="inlineStr">
        <is>
          <t>2011-08-04</t>
        </is>
      </c>
    </row>
    <row r="40788">
      <c r="A40788" s="1" t="n">
        <v>40787</v>
      </c>
      <c r="B40788">
        <f>TEXT(40787, "[$-0E0000]yyyy-mm-dd")</f>
        <v/>
      </c>
      <c r="C40788" t="inlineStr">
        <is>
          <t>2011-08-05</t>
        </is>
      </c>
    </row>
    <row r="40789">
      <c r="A40789" s="1" t="n">
        <v>40788</v>
      </c>
      <c r="B40789">
        <f>TEXT(40788, "[$-0E0000]yyyy-mm-dd")</f>
        <v/>
      </c>
      <c r="C40789" t="inlineStr">
        <is>
          <t>2011-08-06</t>
        </is>
      </c>
    </row>
    <row r="40790">
      <c r="A40790" s="1" t="n">
        <v>40789</v>
      </c>
      <c r="B40790">
        <f>TEXT(40789, "[$-0E0000]yyyy-mm-dd")</f>
        <v/>
      </c>
      <c r="C40790" t="inlineStr">
        <is>
          <t>2011-08-07</t>
        </is>
      </c>
    </row>
    <row r="40791">
      <c r="A40791" s="1" t="n">
        <v>40790</v>
      </c>
      <c r="B40791">
        <f>TEXT(40790, "[$-0E0000]yyyy-mm-dd")</f>
        <v/>
      </c>
      <c r="C40791" t="inlineStr">
        <is>
          <t>2011-08-08</t>
        </is>
      </c>
    </row>
    <row r="40792">
      <c r="A40792" s="1" t="n">
        <v>40791</v>
      </c>
      <c r="B40792">
        <f>TEXT(40791, "[$-0E0000]yyyy-mm-dd")</f>
        <v/>
      </c>
      <c r="C40792" t="inlineStr">
        <is>
          <t>2011-08-09</t>
        </is>
      </c>
    </row>
    <row r="40793">
      <c r="A40793" s="1" t="n">
        <v>40792</v>
      </c>
      <c r="B40793">
        <f>TEXT(40792, "[$-0E0000]yyyy-mm-dd")</f>
        <v/>
      </c>
      <c r="C40793" t="inlineStr">
        <is>
          <t>2011-08-10</t>
        </is>
      </c>
    </row>
    <row r="40794">
      <c r="A40794" s="1" t="n">
        <v>40793</v>
      </c>
      <c r="B40794">
        <f>TEXT(40793, "[$-0E0000]yyyy-mm-dd")</f>
        <v/>
      </c>
      <c r="C40794" t="inlineStr">
        <is>
          <t>2011-08-11</t>
        </is>
      </c>
    </row>
    <row r="40795">
      <c r="A40795" s="1" t="n">
        <v>40794</v>
      </c>
      <c r="B40795">
        <f>TEXT(40794, "[$-0E0000]yyyy-mm-dd")</f>
        <v/>
      </c>
      <c r="C40795" t="inlineStr">
        <is>
          <t>2011-08-12</t>
        </is>
      </c>
    </row>
    <row r="40796">
      <c r="A40796" s="1" t="n">
        <v>40795</v>
      </c>
      <c r="B40796">
        <f>TEXT(40795, "[$-0E0000]yyyy-mm-dd")</f>
        <v/>
      </c>
      <c r="C40796" t="inlineStr">
        <is>
          <t>2011-08-13</t>
        </is>
      </c>
    </row>
    <row r="40797">
      <c r="A40797" s="1" t="n">
        <v>40796</v>
      </c>
      <c r="B40797">
        <f>TEXT(40796, "[$-0E0000]yyyy-mm-dd")</f>
        <v/>
      </c>
      <c r="C40797" t="inlineStr">
        <is>
          <t>2011-08-14</t>
        </is>
      </c>
    </row>
    <row r="40798">
      <c r="A40798" s="1" t="n">
        <v>40797</v>
      </c>
      <c r="B40798">
        <f>TEXT(40797, "[$-0E0000]yyyy-mm-dd")</f>
        <v/>
      </c>
      <c r="C40798" t="inlineStr">
        <is>
          <t>2011-08-15</t>
        </is>
      </c>
    </row>
    <row r="40799">
      <c r="A40799" s="1" t="n">
        <v>40798</v>
      </c>
      <c r="B40799">
        <f>TEXT(40798, "[$-0E0000]yyyy-mm-dd")</f>
        <v/>
      </c>
      <c r="C40799" t="inlineStr">
        <is>
          <t>2011-08-16</t>
        </is>
      </c>
    </row>
    <row r="40800">
      <c r="A40800" s="1" t="n">
        <v>40799</v>
      </c>
      <c r="B40800">
        <f>TEXT(40799, "[$-0E0000]yyyy-mm-dd")</f>
        <v/>
      </c>
      <c r="C40800" t="inlineStr">
        <is>
          <t>2011-08-17</t>
        </is>
      </c>
    </row>
    <row r="40801">
      <c r="A40801" s="1" t="n">
        <v>40800</v>
      </c>
      <c r="B40801">
        <f>TEXT(40800, "[$-0E0000]yyyy-mm-dd")</f>
        <v/>
      </c>
      <c r="C40801" t="inlineStr">
        <is>
          <t>2011-08-18</t>
        </is>
      </c>
    </row>
    <row r="40802">
      <c r="A40802" s="1" t="n">
        <v>40801</v>
      </c>
      <c r="B40802">
        <f>TEXT(40801, "[$-0E0000]yyyy-mm-dd")</f>
        <v/>
      </c>
      <c r="C40802" t="inlineStr">
        <is>
          <t>2011-08-19</t>
        </is>
      </c>
    </row>
    <row r="40803">
      <c r="A40803" s="1" t="n">
        <v>40802</v>
      </c>
      <c r="B40803">
        <f>TEXT(40802, "[$-0E0000]yyyy-mm-dd")</f>
        <v/>
      </c>
      <c r="C40803" t="inlineStr">
        <is>
          <t>2011-08-20</t>
        </is>
      </c>
    </row>
    <row r="40804">
      <c r="A40804" s="1" t="n">
        <v>40803</v>
      </c>
      <c r="B40804">
        <f>TEXT(40803, "[$-0E0000]yyyy-mm-dd")</f>
        <v/>
      </c>
      <c r="C40804" t="inlineStr">
        <is>
          <t>2011-08-21</t>
        </is>
      </c>
    </row>
    <row r="40805">
      <c r="A40805" s="1" t="n">
        <v>40804</v>
      </c>
      <c r="B40805">
        <f>TEXT(40804, "[$-0E0000]yyyy-mm-dd")</f>
        <v/>
      </c>
      <c r="C40805" t="inlineStr">
        <is>
          <t>2011-08-22</t>
        </is>
      </c>
    </row>
    <row r="40806">
      <c r="A40806" s="1" t="n">
        <v>40805</v>
      </c>
      <c r="B40806">
        <f>TEXT(40805, "[$-0E0000]yyyy-mm-dd")</f>
        <v/>
      </c>
      <c r="C40806" t="inlineStr">
        <is>
          <t>2011-08-23</t>
        </is>
      </c>
    </row>
    <row r="40807">
      <c r="A40807" s="1" t="n">
        <v>40806</v>
      </c>
      <c r="B40807">
        <f>TEXT(40806, "[$-0E0000]yyyy-mm-dd")</f>
        <v/>
      </c>
      <c r="C40807" t="inlineStr">
        <is>
          <t>2011-08-24</t>
        </is>
      </c>
    </row>
    <row r="40808">
      <c r="A40808" s="1" t="n">
        <v>40807</v>
      </c>
      <c r="B40808">
        <f>TEXT(40807, "[$-0E0000]yyyy-mm-dd")</f>
        <v/>
      </c>
      <c r="C40808" t="inlineStr">
        <is>
          <t>2011-08-25</t>
        </is>
      </c>
    </row>
    <row r="40809">
      <c r="A40809" s="1" t="n">
        <v>40808</v>
      </c>
      <c r="B40809">
        <f>TEXT(40808, "[$-0E0000]yyyy-mm-dd")</f>
        <v/>
      </c>
      <c r="C40809" t="inlineStr">
        <is>
          <t>2011-08-26</t>
        </is>
      </c>
    </row>
    <row r="40810">
      <c r="A40810" s="1" t="n">
        <v>40809</v>
      </c>
      <c r="B40810">
        <f>TEXT(40809, "[$-0E0000]yyyy-mm-dd")</f>
        <v/>
      </c>
      <c r="C40810" t="inlineStr">
        <is>
          <t>2011-08-27</t>
        </is>
      </c>
    </row>
    <row r="40811">
      <c r="A40811" s="1" t="n">
        <v>40810</v>
      </c>
      <c r="B40811">
        <f>TEXT(40810, "[$-0E0000]yyyy-mm-dd")</f>
        <v/>
      </c>
      <c r="C40811" t="inlineStr">
        <is>
          <t>2011-08-28</t>
        </is>
      </c>
    </row>
    <row r="40812">
      <c r="A40812" s="1" t="n">
        <v>40811</v>
      </c>
      <c r="B40812">
        <f>TEXT(40811, "[$-0E0000]yyyy-mm-dd")</f>
        <v/>
      </c>
      <c r="C40812" t="inlineStr">
        <is>
          <t>2011-08-29</t>
        </is>
      </c>
    </row>
    <row r="40813">
      <c r="A40813" s="1" t="n">
        <v>40812</v>
      </c>
      <c r="B40813">
        <f>TEXT(40812, "[$-0E0000]yyyy-mm-dd")</f>
        <v/>
      </c>
      <c r="C40813" t="inlineStr">
        <is>
          <t>2011-09-01</t>
        </is>
      </c>
    </row>
    <row r="40814">
      <c r="A40814" s="1" t="n">
        <v>40813</v>
      </c>
      <c r="B40814">
        <f>TEXT(40813, "[$-0E0000]yyyy-mm-dd")</f>
        <v/>
      </c>
      <c r="C40814" t="inlineStr">
        <is>
          <t>2011-09-02</t>
        </is>
      </c>
    </row>
    <row r="40815">
      <c r="A40815" s="1" t="n">
        <v>40814</v>
      </c>
      <c r="B40815">
        <f>TEXT(40814, "[$-0E0000]yyyy-mm-dd")</f>
        <v/>
      </c>
      <c r="C40815" t="inlineStr">
        <is>
          <t>2011-09-03</t>
        </is>
      </c>
    </row>
    <row r="40816">
      <c r="A40816" s="1" t="n">
        <v>40815</v>
      </c>
      <c r="B40816">
        <f>TEXT(40815, "[$-0E0000]yyyy-mm-dd")</f>
        <v/>
      </c>
      <c r="C40816" t="inlineStr">
        <is>
          <t>2011-09-04</t>
        </is>
      </c>
    </row>
    <row r="40817">
      <c r="A40817" s="1" t="n">
        <v>40816</v>
      </c>
      <c r="B40817">
        <f>TEXT(40816, "[$-0E0000]yyyy-mm-dd")</f>
        <v/>
      </c>
      <c r="C40817" t="inlineStr">
        <is>
          <t>2011-09-05</t>
        </is>
      </c>
    </row>
    <row r="40818">
      <c r="A40818" s="1" t="n">
        <v>40817</v>
      </c>
      <c r="B40818">
        <f>TEXT(40817, "[$-0E0000]yyyy-mm-dd")</f>
        <v/>
      </c>
      <c r="C40818" t="inlineStr">
        <is>
          <t>2011-09-06</t>
        </is>
      </c>
    </row>
    <row r="40819">
      <c r="A40819" s="1" t="n">
        <v>40818</v>
      </c>
      <c r="B40819">
        <f>TEXT(40818, "[$-0E0000]yyyy-mm-dd")</f>
        <v/>
      </c>
      <c r="C40819" t="inlineStr">
        <is>
          <t>2011-09-07</t>
        </is>
      </c>
    </row>
    <row r="40820">
      <c r="A40820" s="1" t="n">
        <v>40819</v>
      </c>
      <c r="B40820">
        <f>TEXT(40819, "[$-0E0000]yyyy-mm-dd")</f>
        <v/>
      </c>
      <c r="C40820" t="inlineStr">
        <is>
          <t>2011-09-08</t>
        </is>
      </c>
    </row>
    <row r="40821">
      <c r="A40821" s="1" t="n">
        <v>40820</v>
      </c>
      <c r="B40821">
        <f>TEXT(40820, "[$-0E0000]yyyy-mm-dd")</f>
        <v/>
      </c>
      <c r="C40821" t="inlineStr">
        <is>
          <t>2011-09-09</t>
        </is>
      </c>
    </row>
    <row r="40822">
      <c r="A40822" s="1" t="n">
        <v>40821</v>
      </c>
      <c r="B40822">
        <f>TEXT(40821, "[$-0E0000]yyyy-mm-dd")</f>
        <v/>
      </c>
      <c r="C40822" t="inlineStr">
        <is>
          <t>2011-09-10</t>
        </is>
      </c>
    </row>
    <row r="40823">
      <c r="A40823" s="1" t="n">
        <v>40822</v>
      </c>
      <c r="B40823">
        <f>TEXT(40822, "[$-0E0000]yyyy-mm-dd")</f>
        <v/>
      </c>
      <c r="C40823" t="inlineStr">
        <is>
          <t>2011-09-11</t>
        </is>
      </c>
    </row>
    <row r="40824">
      <c r="A40824" s="1" t="n">
        <v>40823</v>
      </c>
      <c r="B40824">
        <f>TEXT(40823, "[$-0E0000]yyyy-mm-dd")</f>
        <v/>
      </c>
      <c r="C40824" t="inlineStr">
        <is>
          <t>2011-09-12</t>
        </is>
      </c>
    </row>
    <row r="40825">
      <c r="A40825" s="1" t="n">
        <v>40824</v>
      </c>
      <c r="B40825">
        <f>TEXT(40824, "[$-0E0000]yyyy-mm-dd")</f>
        <v/>
      </c>
      <c r="C40825" t="inlineStr">
        <is>
          <t>2011-09-13</t>
        </is>
      </c>
    </row>
    <row r="40826">
      <c r="A40826" s="1" t="n">
        <v>40825</v>
      </c>
      <c r="B40826">
        <f>TEXT(40825, "[$-0E0000]yyyy-mm-dd")</f>
        <v/>
      </c>
      <c r="C40826" t="inlineStr">
        <is>
          <t>2011-09-14</t>
        </is>
      </c>
    </row>
    <row r="40827">
      <c r="A40827" s="1" t="n">
        <v>40826</v>
      </c>
      <c r="B40827">
        <f>TEXT(40826, "[$-0E0000]yyyy-mm-dd")</f>
        <v/>
      </c>
      <c r="C40827" t="inlineStr">
        <is>
          <t>2011-09-15</t>
        </is>
      </c>
    </row>
    <row r="40828">
      <c r="A40828" s="1" t="n">
        <v>40827</v>
      </c>
      <c r="B40828">
        <f>TEXT(40827, "[$-0E0000]yyyy-mm-dd")</f>
        <v/>
      </c>
      <c r="C40828" t="inlineStr">
        <is>
          <t>2011-09-16</t>
        </is>
      </c>
    </row>
    <row r="40829">
      <c r="A40829" s="1" t="n">
        <v>40828</v>
      </c>
      <c r="B40829">
        <f>TEXT(40828, "[$-0E0000]yyyy-mm-dd")</f>
        <v/>
      </c>
      <c r="C40829" t="inlineStr">
        <is>
          <t>2011-09-17</t>
        </is>
      </c>
    </row>
    <row r="40830">
      <c r="A40830" s="1" t="n">
        <v>40829</v>
      </c>
      <c r="B40830">
        <f>TEXT(40829, "[$-0E0000]yyyy-mm-dd")</f>
        <v/>
      </c>
      <c r="C40830" t="inlineStr">
        <is>
          <t>2011-09-18</t>
        </is>
      </c>
    </row>
    <row r="40831">
      <c r="A40831" s="1" t="n">
        <v>40830</v>
      </c>
      <c r="B40831">
        <f>TEXT(40830, "[$-0E0000]yyyy-mm-dd")</f>
        <v/>
      </c>
      <c r="C40831" t="inlineStr">
        <is>
          <t>2011-09-19</t>
        </is>
      </c>
    </row>
    <row r="40832">
      <c r="A40832" s="1" t="n">
        <v>40831</v>
      </c>
      <c r="B40832">
        <f>TEXT(40831, "[$-0E0000]yyyy-mm-dd")</f>
        <v/>
      </c>
      <c r="C40832" t="inlineStr">
        <is>
          <t>2011-09-20</t>
        </is>
      </c>
    </row>
    <row r="40833">
      <c r="A40833" s="1" t="n">
        <v>40832</v>
      </c>
      <c r="B40833">
        <f>TEXT(40832, "[$-0E0000]yyyy-mm-dd")</f>
        <v/>
      </c>
      <c r="C40833" t="inlineStr">
        <is>
          <t>2011-09-21</t>
        </is>
      </c>
    </row>
    <row r="40834">
      <c r="A40834" s="1" t="n">
        <v>40833</v>
      </c>
      <c r="B40834">
        <f>TEXT(40833, "[$-0E0000]yyyy-mm-dd")</f>
        <v/>
      </c>
      <c r="C40834" t="inlineStr">
        <is>
          <t>2011-09-22</t>
        </is>
      </c>
    </row>
    <row r="40835">
      <c r="A40835" s="1" t="n">
        <v>40834</v>
      </c>
      <c r="B40835">
        <f>TEXT(40834, "[$-0E0000]yyyy-mm-dd")</f>
        <v/>
      </c>
      <c r="C40835" t="inlineStr">
        <is>
          <t>2011-09-23</t>
        </is>
      </c>
    </row>
    <row r="40836">
      <c r="A40836" s="1" t="n">
        <v>40835</v>
      </c>
      <c r="B40836">
        <f>TEXT(40835, "[$-0E0000]yyyy-mm-dd")</f>
        <v/>
      </c>
      <c r="C40836" t="inlineStr">
        <is>
          <t>2011-09-24</t>
        </is>
      </c>
    </row>
    <row r="40837">
      <c r="A40837" s="1" t="n">
        <v>40836</v>
      </c>
      <c r="B40837">
        <f>TEXT(40836, "[$-0E0000]yyyy-mm-dd")</f>
        <v/>
      </c>
      <c r="C40837" t="inlineStr">
        <is>
          <t>2011-09-25</t>
        </is>
      </c>
    </row>
    <row r="40838">
      <c r="A40838" s="1" t="n">
        <v>40837</v>
      </c>
      <c r="B40838">
        <f>TEXT(40837, "[$-0E0000]yyyy-mm-dd")</f>
        <v/>
      </c>
      <c r="C40838" t="inlineStr">
        <is>
          <t>2011-09-26</t>
        </is>
      </c>
    </row>
    <row r="40839">
      <c r="A40839" s="1" t="n">
        <v>40838</v>
      </c>
      <c r="B40839">
        <f>TEXT(40838, "[$-0E0000]yyyy-mm-dd")</f>
        <v/>
      </c>
      <c r="C40839" t="inlineStr">
        <is>
          <t>2011-09-27</t>
        </is>
      </c>
    </row>
    <row r="40840">
      <c r="A40840" s="1" t="n">
        <v>40839</v>
      </c>
      <c r="B40840">
        <f>TEXT(40839, "[$-0E0000]yyyy-mm-dd")</f>
        <v/>
      </c>
      <c r="C40840" t="inlineStr">
        <is>
          <t>2011-09-28</t>
        </is>
      </c>
    </row>
    <row r="40841">
      <c r="A40841" s="1" t="n">
        <v>40840</v>
      </c>
      <c r="B40841">
        <f>TEXT(40840, "[$-0E0000]yyyy-mm-dd")</f>
        <v/>
      </c>
      <c r="C40841" t="inlineStr">
        <is>
          <t>2011-09-29</t>
        </is>
      </c>
    </row>
    <row r="40842">
      <c r="A40842" s="1" t="n">
        <v>40841</v>
      </c>
      <c r="B40842">
        <f>TEXT(40841, "[$-0E0000]yyyy-mm-dd")</f>
        <v/>
      </c>
      <c r="C40842" t="inlineStr">
        <is>
          <t>2011-09-30</t>
        </is>
      </c>
    </row>
    <row r="40843">
      <c r="A40843" s="1" t="n">
        <v>40842</v>
      </c>
      <c r="B40843">
        <f>TEXT(40842, "[$-0E0000]yyyy-mm-dd")</f>
        <v/>
      </c>
      <c r="C40843" t="inlineStr">
        <is>
          <t>2011-10-01</t>
        </is>
      </c>
    </row>
    <row r="40844">
      <c r="A40844" s="1" t="n">
        <v>40843</v>
      </c>
      <c r="B40844">
        <f>TEXT(40843, "[$-0E0000]yyyy-mm-dd")</f>
        <v/>
      </c>
      <c r="C40844" t="inlineStr">
        <is>
          <t>2011-10-02</t>
        </is>
      </c>
    </row>
    <row r="40845">
      <c r="A40845" s="1" t="n">
        <v>40844</v>
      </c>
      <c r="B40845">
        <f>TEXT(40844, "[$-0E0000]yyyy-mm-dd")</f>
        <v/>
      </c>
      <c r="C40845" t="inlineStr">
        <is>
          <t>2011-10-03</t>
        </is>
      </c>
    </row>
    <row r="40846">
      <c r="A40846" s="1" t="n">
        <v>40845</v>
      </c>
      <c r="B40846">
        <f>TEXT(40845, "[$-0E0000]yyyy-mm-dd")</f>
        <v/>
      </c>
      <c r="C40846" t="inlineStr">
        <is>
          <t>2011-10-04</t>
        </is>
      </c>
    </row>
    <row r="40847">
      <c r="A40847" s="1" t="n">
        <v>40846</v>
      </c>
      <c r="B40847">
        <f>TEXT(40846, "[$-0E0000]yyyy-mm-dd")</f>
        <v/>
      </c>
      <c r="C40847" t="inlineStr">
        <is>
          <t>2011-10-05</t>
        </is>
      </c>
    </row>
    <row r="40848">
      <c r="A40848" s="1" t="n">
        <v>40847</v>
      </c>
      <c r="B40848">
        <f>TEXT(40847, "[$-0E0000]yyyy-mm-dd")</f>
        <v/>
      </c>
      <c r="C40848" t="inlineStr">
        <is>
          <t>2011-10-06</t>
        </is>
      </c>
    </row>
    <row r="40849">
      <c r="A40849" s="1" t="n">
        <v>40848</v>
      </c>
      <c r="B40849">
        <f>TEXT(40848, "[$-0E0000]yyyy-mm-dd")</f>
        <v/>
      </c>
      <c r="C40849" t="inlineStr">
        <is>
          <t>2011-10-07</t>
        </is>
      </c>
    </row>
    <row r="40850">
      <c r="A40850" s="1" t="n">
        <v>40849</v>
      </c>
      <c r="B40850">
        <f>TEXT(40849, "[$-0E0000]yyyy-mm-dd")</f>
        <v/>
      </c>
      <c r="C40850" t="inlineStr">
        <is>
          <t>2011-10-08</t>
        </is>
      </c>
    </row>
    <row r="40851">
      <c r="A40851" s="1" t="n">
        <v>40850</v>
      </c>
      <c r="B40851">
        <f>TEXT(40850, "[$-0E0000]yyyy-mm-dd")</f>
        <v/>
      </c>
      <c r="C40851" t="inlineStr">
        <is>
          <t>2011-10-09</t>
        </is>
      </c>
    </row>
    <row r="40852">
      <c r="A40852" s="1" t="n">
        <v>40851</v>
      </c>
      <c r="B40852">
        <f>TEXT(40851, "[$-0E0000]yyyy-mm-dd")</f>
        <v/>
      </c>
      <c r="C40852" t="inlineStr">
        <is>
          <t>2011-10-10</t>
        </is>
      </c>
    </row>
    <row r="40853">
      <c r="A40853" s="1" t="n">
        <v>40852</v>
      </c>
      <c r="B40853">
        <f>TEXT(40852, "[$-0E0000]yyyy-mm-dd")</f>
        <v/>
      </c>
      <c r="C40853" t="inlineStr">
        <is>
          <t>2011-10-11</t>
        </is>
      </c>
    </row>
    <row r="40854">
      <c r="A40854" s="1" t="n">
        <v>40853</v>
      </c>
      <c r="B40854">
        <f>TEXT(40853, "[$-0E0000]yyyy-mm-dd")</f>
        <v/>
      </c>
      <c r="C40854" t="inlineStr">
        <is>
          <t>2011-10-12</t>
        </is>
      </c>
    </row>
    <row r="40855">
      <c r="A40855" s="1" t="n">
        <v>40854</v>
      </c>
      <c r="B40855">
        <f>TEXT(40854, "[$-0E0000]yyyy-mm-dd")</f>
        <v/>
      </c>
      <c r="C40855" t="inlineStr">
        <is>
          <t>2011-10-13</t>
        </is>
      </c>
    </row>
    <row r="40856">
      <c r="A40856" s="1" t="n">
        <v>40855</v>
      </c>
      <c r="B40856">
        <f>TEXT(40855, "[$-0E0000]yyyy-mm-dd")</f>
        <v/>
      </c>
      <c r="C40856" t="inlineStr">
        <is>
          <t>2011-10-14</t>
        </is>
      </c>
    </row>
    <row r="40857">
      <c r="A40857" s="1" t="n">
        <v>40856</v>
      </c>
      <c r="B40857">
        <f>TEXT(40856, "[$-0E0000]yyyy-mm-dd")</f>
        <v/>
      </c>
      <c r="C40857" t="inlineStr">
        <is>
          <t>2011-10-15</t>
        </is>
      </c>
    </row>
    <row r="40858">
      <c r="A40858" s="1" t="n">
        <v>40857</v>
      </c>
      <c r="B40858">
        <f>TEXT(40857, "[$-0E0000]yyyy-mm-dd")</f>
        <v/>
      </c>
      <c r="C40858" t="inlineStr">
        <is>
          <t>2011-10-16</t>
        </is>
      </c>
    </row>
    <row r="40859">
      <c r="A40859" s="1" t="n">
        <v>40858</v>
      </c>
      <c r="B40859">
        <f>TEXT(40858, "[$-0E0000]yyyy-mm-dd")</f>
        <v/>
      </c>
      <c r="C40859" t="inlineStr">
        <is>
          <t>2011-10-17</t>
        </is>
      </c>
    </row>
    <row r="40860">
      <c r="A40860" s="1" t="n">
        <v>40859</v>
      </c>
      <c r="B40860">
        <f>TEXT(40859, "[$-0E0000]yyyy-mm-dd")</f>
        <v/>
      </c>
      <c r="C40860" t="inlineStr">
        <is>
          <t>2011-10-18</t>
        </is>
      </c>
    </row>
    <row r="40861">
      <c r="A40861" s="1" t="n">
        <v>40860</v>
      </c>
      <c r="B40861">
        <f>TEXT(40860, "[$-0E0000]yyyy-mm-dd")</f>
        <v/>
      </c>
      <c r="C40861" t="inlineStr">
        <is>
          <t>2011-10-19</t>
        </is>
      </c>
    </row>
    <row r="40862">
      <c r="A40862" s="1" t="n">
        <v>40861</v>
      </c>
      <c r="B40862">
        <f>TEXT(40861, "[$-0E0000]yyyy-mm-dd")</f>
        <v/>
      </c>
      <c r="C40862" t="inlineStr">
        <is>
          <t>2011-10-20</t>
        </is>
      </c>
    </row>
    <row r="40863">
      <c r="A40863" s="1" t="n">
        <v>40862</v>
      </c>
      <c r="B40863">
        <f>TEXT(40862, "[$-0E0000]yyyy-mm-dd")</f>
        <v/>
      </c>
      <c r="C40863" t="inlineStr">
        <is>
          <t>2011-10-21</t>
        </is>
      </c>
    </row>
    <row r="40864">
      <c r="A40864" s="1" t="n">
        <v>40863</v>
      </c>
      <c r="B40864">
        <f>TEXT(40863, "[$-0E0000]yyyy-mm-dd")</f>
        <v/>
      </c>
      <c r="C40864" t="inlineStr">
        <is>
          <t>2011-10-22</t>
        </is>
      </c>
    </row>
    <row r="40865">
      <c r="A40865" s="1" t="n">
        <v>40864</v>
      </c>
      <c r="B40865">
        <f>TEXT(40864, "[$-0E0000]yyyy-mm-dd")</f>
        <v/>
      </c>
      <c r="C40865" t="inlineStr">
        <is>
          <t>2011-10-23</t>
        </is>
      </c>
    </row>
    <row r="40866">
      <c r="A40866" s="1" t="n">
        <v>40865</v>
      </c>
      <c r="B40866">
        <f>TEXT(40865, "[$-0E0000]yyyy-mm-dd")</f>
        <v/>
      </c>
      <c r="C40866" t="inlineStr">
        <is>
          <t>2011-10-24</t>
        </is>
      </c>
    </row>
    <row r="40867">
      <c r="A40867" s="1" t="n">
        <v>40866</v>
      </c>
      <c r="B40867">
        <f>TEXT(40866, "[$-0E0000]yyyy-mm-dd")</f>
        <v/>
      </c>
      <c r="C40867" t="inlineStr">
        <is>
          <t>2011-10-25</t>
        </is>
      </c>
    </row>
    <row r="40868">
      <c r="A40868" s="1" t="n">
        <v>40867</v>
      </c>
      <c r="B40868">
        <f>TEXT(40867, "[$-0E0000]yyyy-mm-dd")</f>
        <v/>
      </c>
      <c r="C40868" t="inlineStr">
        <is>
          <t>2011-10-26</t>
        </is>
      </c>
    </row>
    <row r="40869">
      <c r="A40869" s="1" t="n">
        <v>40868</v>
      </c>
      <c r="B40869">
        <f>TEXT(40868, "[$-0E0000]yyyy-mm-dd")</f>
        <v/>
      </c>
      <c r="C40869" t="inlineStr">
        <is>
          <t>2011-10-27</t>
        </is>
      </c>
    </row>
    <row r="40870">
      <c r="A40870" s="1" t="n">
        <v>40869</v>
      </c>
      <c r="B40870">
        <f>TEXT(40869, "[$-0E0000]yyyy-mm-dd")</f>
        <v/>
      </c>
      <c r="C40870" t="inlineStr">
        <is>
          <t>2011-10-28</t>
        </is>
      </c>
    </row>
    <row r="40871">
      <c r="A40871" s="1" t="n">
        <v>40870</v>
      </c>
      <c r="B40871">
        <f>TEXT(40870, "[$-0E0000]yyyy-mm-dd")</f>
        <v/>
      </c>
      <c r="C40871" t="inlineStr">
        <is>
          <t>2011-10-29</t>
        </is>
      </c>
    </row>
    <row r="40872">
      <c r="A40872" s="1" t="n">
        <v>40871</v>
      </c>
      <c r="B40872">
        <f>TEXT(40871, "[$-0E0000]yyyy-mm-dd")</f>
        <v/>
      </c>
      <c r="C40872" t="inlineStr">
        <is>
          <t>2011-11-01</t>
        </is>
      </c>
    </row>
    <row r="40873">
      <c r="A40873" s="1" t="n">
        <v>40872</v>
      </c>
      <c r="B40873">
        <f>TEXT(40872, "[$-0E0000]yyyy-mm-dd")</f>
        <v/>
      </c>
      <c r="C40873" t="inlineStr">
        <is>
          <t>2011-11-02</t>
        </is>
      </c>
    </row>
    <row r="40874">
      <c r="A40874" s="1" t="n">
        <v>40873</v>
      </c>
      <c r="B40874">
        <f>TEXT(40873, "[$-0E0000]yyyy-mm-dd")</f>
        <v/>
      </c>
      <c r="C40874" t="inlineStr">
        <is>
          <t>2011-11-03</t>
        </is>
      </c>
    </row>
    <row r="40875">
      <c r="A40875" s="1" t="n">
        <v>40874</v>
      </c>
      <c r="B40875">
        <f>TEXT(40874, "[$-0E0000]yyyy-mm-dd")</f>
        <v/>
      </c>
      <c r="C40875" t="inlineStr">
        <is>
          <t>2011-11-04</t>
        </is>
      </c>
    </row>
    <row r="40876">
      <c r="A40876" s="1" t="n">
        <v>40875</v>
      </c>
      <c r="B40876">
        <f>TEXT(40875, "[$-0E0000]yyyy-mm-dd")</f>
        <v/>
      </c>
      <c r="C40876" t="inlineStr">
        <is>
          <t>2011-11-05</t>
        </is>
      </c>
    </row>
    <row r="40877">
      <c r="A40877" s="1" t="n">
        <v>40876</v>
      </c>
      <c r="B40877">
        <f>TEXT(40876, "[$-0E0000]yyyy-mm-dd")</f>
        <v/>
      </c>
      <c r="C40877" t="inlineStr">
        <is>
          <t>2011-11-06</t>
        </is>
      </c>
    </row>
    <row r="40878">
      <c r="A40878" s="1" t="n">
        <v>40877</v>
      </c>
      <c r="B40878">
        <f>TEXT(40877, "[$-0E0000]yyyy-mm-dd")</f>
        <v/>
      </c>
      <c r="C40878" t="inlineStr">
        <is>
          <t>2011-11-07</t>
        </is>
      </c>
    </row>
    <row r="40879">
      <c r="A40879" s="1" t="n">
        <v>40878</v>
      </c>
      <c r="B40879">
        <f>TEXT(40878, "[$-0E0000]yyyy-mm-dd")</f>
        <v/>
      </c>
      <c r="C40879" t="inlineStr">
        <is>
          <t>2011-11-08</t>
        </is>
      </c>
    </row>
    <row r="40880">
      <c r="A40880" s="1" t="n">
        <v>40879</v>
      </c>
      <c r="B40880">
        <f>TEXT(40879, "[$-0E0000]yyyy-mm-dd")</f>
        <v/>
      </c>
      <c r="C40880" t="inlineStr">
        <is>
          <t>2011-11-09</t>
        </is>
      </c>
    </row>
    <row r="40881">
      <c r="A40881" s="1" t="n">
        <v>40880</v>
      </c>
      <c r="B40881">
        <f>TEXT(40880, "[$-0E0000]yyyy-mm-dd")</f>
        <v/>
      </c>
      <c r="C40881" t="inlineStr">
        <is>
          <t>2011-11-10</t>
        </is>
      </c>
    </row>
    <row r="40882">
      <c r="A40882" s="1" t="n">
        <v>40881</v>
      </c>
      <c r="B40882">
        <f>TEXT(40881, "[$-0E0000]yyyy-mm-dd")</f>
        <v/>
      </c>
      <c r="C40882" t="inlineStr">
        <is>
          <t>2011-11-11</t>
        </is>
      </c>
    </row>
    <row r="40883">
      <c r="A40883" s="1" t="n">
        <v>40882</v>
      </c>
      <c r="B40883">
        <f>TEXT(40882, "[$-0E0000]yyyy-mm-dd")</f>
        <v/>
      </c>
      <c r="C40883" t="inlineStr">
        <is>
          <t>2011-11-12</t>
        </is>
      </c>
    </row>
    <row r="40884">
      <c r="A40884" s="1" t="n">
        <v>40883</v>
      </c>
      <c r="B40884">
        <f>TEXT(40883, "[$-0E0000]yyyy-mm-dd")</f>
        <v/>
      </c>
      <c r="C40884" t="inlineStr">
        <is>
          <t>2011-11-13</t>
        </is>
      </c>
    </row>
    <row r="40885">
      <c r="A40885" s="1" t="n">
        <v>40884</v>
      </c>
      <c r="B40885">
        <f>TEXT(40884, "[$-0E0000]yyyy-mm-dd")</f>
        <v/>
      </c>
      <c r="C40885" t="inlineStr">
        <is>
          <t>2011-11-14</t>
        </is>
      </c>
    </row>
    <row r="40886">
      <c r="A40886" s="1" t="n">
        <v>40885</v>
      </c>
      <c r="B40886">
        <f>TEXT(40885, "[$-0E0000]yyyy-mm-dd")</f>
        <v/>
      </c>
      <c r="C40886" t="inlineStr">
        <is>
          <t>2011-11-15</t>
        </is>
      </c>
    </row>
    <row r="40887">
      <c r="A40887" s="1" t="n">
        <v>40886</v>
      </c>
      <c r="B40887">
        <f>TEXT(40886, "[$-0E0000]yyyy-mm-dd")</f>
        <v/>
      </c>
      <c r="C40887" t="inlineStr">
        <is>
          <t>2011-11-16</t>
        </is>
      </c>
    </row>
    <row r="40888">
      <c r="A40888" s="1" t="n">
        <v>40887</v>
      </c>
      <c r="B40888">
        <f>TEXT(40887, "[$-0E0000]yyyy-mm-dd")</f>
        <v/>
      </c>
      <c r="C40888" t="inlineStr">
        <is>
          <t>2011-11-17</t>
        </is>
      </c>
    </row>
    <row r="40889">
      <c r="A40889" s="1" t="n">
        <v>40888</v>
      </c>
      <c r="B40889">
        <f>TEXT(40888, "[$-0E0000]yyyy-mm-dd")</f>
        <v/>
      </c>
      <c r="C40889" t="inlineStr">
        <is>
          <t>2011-11-18</t>
        </is>
      </c>
    </row>
    <row r="40890">
      <c r="A40890" s="1" t="n">
        <v>40889</v>
      </c>
      <c r="B40890">
        <f>TEXT(40889, "[$-0E0000]yyyy-mm-dd")</f>
        <v/>
      </c>
      <c r="C40890" t="inlineStr">
        <is>
          <t>2011-11-19</t>
        </is>
      </c>
    </row>
    <row r="40891">
      <c r="A40891" s="1" t="n">
        <v>40890</v>
      </c>
      <c r="B40891">
        <f>TEXT(40890, "[$-0E0000]yyyy-mm-dd")</f>
        <v/>
      </c>
      <c r="C40891" t="inlineStr">
        <is>
          <t>2011-11-20</t>
        </is>
      </c>
    </row>
    <row r="40892">
      <c r="A40892" s="1" t="n">
        <v>40891</v>
      </c>
      <c r="B40892">
        <f>TEXT(40891, "[$-0E0000]yyyy-mm-dd")</f>
        <v/>
      </c>
      <c r="C40892" t="inlineStr">
        <is>
          <t>2011-11-21</t>
        </is>
      </c>
    </row>
    <row r="40893">
      <c r="A40893" s="1" t="n">
        <v>40892</v>
      </c>
      <c r="B40893">
        <f>TEXT(40892, "[$-0E0000]yyyy-mm-dd")</f>
        <v/>
      </c>
      <c r="C40893" t="inlineStr">
        <is>
          <t>2011-11-22</t>
        </is>
      </c>
    </row>
    <row r="40894">
      <c r="A40894" s="1" t="n">
        <v>40893</v>
      </c>
      <c r="B40894">
        <f>TEXT(40893, "[$-0E0000]yyyy-mm-dd")</f>
        <v/>
      </c>
      <c r="C40894" t="inlineStr">
        <is>
          <t>2011-11-23</t>
        </is>
      </c>
    </row>
    <row r="40895">
      <c r="A40895" s="1" t="n">
        <v>40894</v>
      </c>
      <c r="B40895">
        <f>TEXT(40894, "[$-0E0000]yyyy-mm-dd")</f>
        <v/>
      </c>
      <c r="C40895" t="inlineStr">
        <is>
          <t>2011-11-24</t>
        </is>
      </c>
    </row>
    <row r="40896">
      <c r="A40896" s="1" t="n">
        <v>40895</v>
      </c>
      <c r="B40896">
        <f>TEXT(40895, "[$-0E0000]yyyy-mm-dd")</f>
        <v/>
      </c>
      <c r="C40896" t="inlineStr">
        <is>
          <t>2011-11-25</t>
        </is>
      </c>
    </row>
    <row r="40897">
      <c r="A40897" s="1" t="n">
        <v>40896</v>
      </c>
      <c r="B40897">
        <f>TEXT(40896, "[$-0E0000]yyyy-mm-dd")</f>
        <v/>
      </c>
      <c r="C40897" t="inlineStr">
        <is>
          <t>2011-11-26</t>
        </is>
      </c>
    </row>
    <row r="40898">
      <c r="A40898" s="1" t="n">
        <v>40897</v>
      </c>
      <c r="B40898">
        <f>TEXT(40897, "[$-0E0000]yyyy-mm-dd")</f>
        <v/>
      </c>
      <c r="C40898" t="inlineStr">
        <is>
          <t>2011-11-27</t>
        </is>
      </c>
    </row>
    <row r="40899">
      <c r="A40899" s="1" t="n">
        <v>40898</v>
      </c>
      <c r="B40899">
        <f>TEXT(40898, "[$-0E0000]yyyy-mm-dd")</f>
        <v/>
      </c>
      <c r="C40899" t="inlineStr">
        <is>
          <t>2011-11-28</t>
        </is>
      </c>
    </row>
    <row r="40900">
      <c r="A40900" s="1" t="n">
        <v>40899</v>
      </c>
      <c r="B40900">
        <f>TEXT(40899, "[$-0E0000]yyyy-mm-dd")</f>
        <v/>
      </c>
      <c r="C40900" t="inlineStr">
        <is>
          <t>2011-11-29</t>
        </is>
      </c>
    </row>
    <row r="40901">
      <c r="A40901" s="1" t="n">
        <v>40900</v>
      </c>
      <c r="B40901">
        <f>TEXT(40900, "[$-0E0000]yyyy-mm-dd")</f>
        <v/>
      </c>
      <c r="C40901" t="inlineStr">
        <is>
          <t>2011-11-30</t>
        </is>
      </c>
    </row>
    <row r="40902">
      <c r="A40902" s="1" t="n">
        <v>40901</v>
      </c>
      <c r="B40902">
        <f>TEXT(40901, "[$-0E0000]yyyy-mm-dd")</f>
        <v/>
      </c>
      <c r="C40902" t="inlineStr">
        <is>
          <t>2011-12-01</t>
        </is>
      </c>
    </row>
    <row r="40903">
      <c r="A40903" s="1" t="n">
        <v>40902</v>
      </c>
      <c r="B40903">
        <f>TEXT(40902, "[$-0E0000]yyyy-mm-dd")</f>
        <v/>
      </c>
      <c r="C40903" t="inlineStr">
        <is>
          <t>2011-12-02</t>
        </is>
      </c>
    </row>
    <row r="40904">
      <c r="A40904" s="1" t="n">
        <v>40903</v>
      </c>
      <c r="B40904">
        <f>TEXT(40903, "[$-0E0000]yyyy-mm-dd")</f>
        <v/>
      </c>
      <c r="C40904" t="inlineStr">
        <is>
          <t>2011-12-03</t>
        </is>
      </c>
    </row>
    <row r="40905">
      <c r="A40905" s="1" t="n">
        <v>40904</v>
      </c>
      <c r="B40905">
        <f>TEXT(40904, "[$-0E0000]yyyy-mm-dd")</f>
        <v/>
      </c>
      <c r="C40905" t="inlineStr">
        <is>
          <t>2011-12-04</t>
        </is>
      </c>
    </row>
    <row r="40906">
      <c r="A40906" s="1" t="n">
        <v>40905</v>
      </c>
      <c r="B40906">
        <f>TEXT(40905, "[$-0E0000]yyyy-mm-dd")</f>
        <v/>
      </c>
      <c r="C40906" t="inlineStr">
        <is>
          <t>2011-12-05</t>
        </is>
      </c>
    </row>
    <row r="40907">
      <c r="A40907" s="1" t="n">
        <v>40906</v>
      </c>
      <c r="B40907">
        <f>TEXT(40906, "[$-0E0000]yyyy-mm-dd")</f>
        <v/>
      </c>
      <c r="C40907" t="inlineStr">
        <is>
          <t>2011-12-06</t>
        </is>
      </c>
    </row>
    <row r="40908">
      <c r="A40908" s="1" t="n">
        <v>40907</v>
      </c>
      <c r="B40908">
        <f>TEXT(40907, "[$-0E0000]yyyy-mm-dd")</f>
        <v/>
      </c>
      <c r="C40908" t="inlineStr">
        <is>
          <t>2011-12-07</t>
        </is>
      </c>
    </row>
    <row r="40909">
      <c r="A40909" s="1" t="n">
        <v>40908</v>
      </c>
      <c r="B40909">
        <f>TEXT(40908, "[$-0E0000]yyyy-mm-dd")</f>
        <v/>
      </c>
      <c r="C40909" t="inlineStr">
        <is>
          <t>2011-12-08</t>
        </is>
      </c>
    </row>
    <row r="40910">
      <c r="A40910" s="1" t="n">
        <v>40909</v>
      </c>
      <c r="B40910">
        <f>TEXT(40909, "[$-0E0000]yyyy-mm-dd")</f>
        <v/>
      </c>
      <c r="C40910" t="inlineStr">
        <is>
          <t>2011-12-09</t>
        </is>
      </c>
    </row>
    <row r="40911">
      <c r="A40911" s="1" t="n">
        <v>40910</v>
      </c>
      <c r="B40911">
        <f>TEXT(40910, "[$-0E0000]yyyy-mm-dd")</f>
        <v/>
      </c>
      <c r="C40911" t="inlineStr">
        <is>
          <t>2011-12-10</t>
        </is>
      </c>
    </row>
    <row r="40912">
      <c r="A40912" s="1" t="n">
        <v>40911</v>
      </c>
      <c r="B40912">
        <f>TEXT(40911, "[$-0E0000]yyyy-mm-dd")</f>
        <v/>
      </c>
      <c r="C40912" t="inlineStr">
        <is>
          <t>2011-12-11</t>
        </is>
      </c>
    </row>
    <row r="40913">
      <c r="A40913" s="1" t="n">
        <v>40912</v>
      </c>
      <c r="B40913">
        <f>TEXT(40912, "[$-0E0000]yyyy-mm-dd")</f>
        <v/>
      </c>
      <c r="C40913" t="inlineStr">
        <is>
          <t>2011-12-12</t>
        </is>
      </c>
    </row>
    <row r="40914">
      <c r="A40914" s="1" t="n">
        <v>40913</v>
      </c>
      <c r="B40914">
        <f>TEXT(40913, "[$-0E0000]yyyy-mm-dd")</f>
        <v/>
      </c>
      <c r="C40914" t="inlineStr">
        <is>
          <t>2011-12-13</t>
        </is>
      </c>
    </row>
    <row r="40915">
      <c r="A40915" s="1" t="n">
        <v>40914</v>
      </c>
      <c r="B40915">
        <f>TEXT(40914, "[$-0E0000]yyyy-mm-dd")</f>
        <v/>
      </c>
      <c r="C40915" t="inlineStr">
        <is>
          <t>2011-12-14</t>
        </is>
      </c>
    </row>
    <row r="40916">
      <c r="A40916" s="1" t="n">
        <v>40915</v>
      </c>
      <c r="B40916">
        <f>TEXT(40915, "[$-0E0000]yyyy-mm-dd")</f>
        <v/>
      </c>
      <c r="C40916" t="inlineStr">
        <is>
          <t>2011-12-15</t>
        </is>
      </c>
    </row>
    <row r="40917">
      <c r="A40917" s="1" t="n">
        <v>40916</v>
      </c>
      <c r="B40917">
        <f>TEXT(40916, "[$-0E0000]yyyy-mm-dd")</f>
        <v/>
      </c>
      <c r="C40917" t="inlineStr">
        <is>
          <t>2011-12-16</t>
        </is>
      </c>
    </row>
    <row r="40918">
      <c r="A40918" s="1" t="n">
        <v>40917</v>
      </c>
      <c r="B40918">
        <f>TEXT(40917, "[$-0E0000]yyyy-mm-dd")</f>
        <v/>
      </c>
      <c r="C40918" t="inlineStr">
        <is>
          <t>2011-12-17</t>
        </is>
      </c>
    </row>
    <row r="40919">
      <c r="A40919" s="1" t="n">
        <v>40918</v>
      </c>
      <c r="B40919">
        <f>TEXT(40918, "[$-0E0000]yyyy-mm-dd")</f>
        <v/>
      </c>
      <c r="C40919" t="inlineStr">
        <is>
          <t>2011-12-18</t>
        </is>
      </c>
    </row>
    <row r="40920">
      <c r="A40920" s="1" t="n">
        <v>40919</v>
      </c>
      <c r="B40920">
        <f>TEXT(40919, "[$-0E0000]yyyy-mm-dd")</f>
        <v/>
      </c>
      <c r="C40920" t="inlineStr">
        <is>
          <t>2011-12-19</t>
        </is>
      </c>
    </row>
    <row r="40921">
      <c r="A40921" s="1" t="n">
        <v>40920</v>
      </c>
      <c r="B40921">
        <f>TEXT(40920, "[$-0E0000]yyyy-mm-dd")</f>
        <v/>
      </c>
      <c r="C40921" t="inlineStr">
        <is>
          <t>2011-12-20</t>
        </is>
      </c>
    </row>
    <row r="40922">
      <c r="A40922" s="1" t="n">
        <v>40921</v>
      </c>
      <c r="B40922">
        <f>TEXT(40921, "[$-0E0000]yyyy-mm-dd")</f>
        <v/>
      </c>
      <c r="C40922" t="inlineStr">
        <is>
          <t>2011-12-21</t>
        </is>
      </c>
    </row>
    <row r="40923">
      <c r="A40923" s="1" t="n">
        <v>40922</v>
      </c>
      <c r="B40923">
        <f>TEXT(40922, "[$-0E0000]yyyy-mm-dd")</f>
        <v/>
      </c>
      <c r="C40923" t="inlineStr">
        <is>
          <t>2011-12-22</t>
        </is>
      </c>
    </row>
    <row r="40924">
      <c r="A40924" s="1" t="n">
        <v>40923</v>
      </c>
      <c r="B40924">
        <f>TEXT(40923, "[$-0E0000]yyyy-mm-dd")</f>
        <v/>
      </c>
      <c r="C40924" t="inlineStr">
        <is>
          <t>2011-12-23</t>
        </is>
      </c>
    </row>
    <row r="40925">
      <c r="A40925" s="1" t="n">
        <v>40924</v>
      </c>
      <c r="B40925">
        <f>TEXT(40924, "[$-0E0000]yyyy-mm-dd")</f>
        <v/>
      </c>
      <c r="C40925" t="inlineStr">
        <is>
          <t>2011-12-24</t>
        </is>
      </c>
    </row>
    <row r="40926">
      <c r="A40926" s="1" t="n">
        <v>40925</v>
      </c>
      <c r="B40926">
        <f>TEXT(40925, "[$-0E0000]yyyy-mm-dd")</f>
        <v/>
      </c>
      <c r="C40926" t="inlineStr">
        <is>
          <t>2011-12-25</t>
        </is>
      </c>
    </row>
    <row r="40927">
      <c r="A40927" s="1" t="n">
        <v>40926</v>
      </c>
      <c r="B40927">
        <f>TEXT(40926, "[$-0E0000]yyyy-mm-dd")</f>
        <v/>
      </c>
      <c r="C40927" t="inlineStr">
        <is>
          <t>2011-12-26</t>
        </is>
      </c>
    </row>
    <row r="40928">
      <c r="A40928" s="1" t="n">
        <v>40927</v>
      </c>
      <c r="B40928">
        <f>TEXT(40927, "[$-0E0000]yyyy-mm-dd")</f>
        <v/>
      </c>
      <c r="C40928" t="inlineStr">
        <is>
          <t>2011-12-27</t>
        </is>
      </c>
    </row>
    <row r="40929">
      <c r="A40929" s="1" t="n">
        <v>40928</v>
      </c>
      <c r="B40929">
        <f>TEXT(40928, "[$-0E0000]yyyy-mm-dd")</f>
        <v/>
      </c>
      <c r="C40929" t="inlineStr">
        <is>
          <t>2011-12-28</t>
        </is>
      </c>
    </row>
    <row r="40930">
      <c r="A40930" s="1" t="n">
        <v>40929</v>
      </c>
      <c r="B40930">
        <f>TEXT(40929, "[$-0E0000]yyyy-mm-dd")</f>
        <v/>
      </c>
      <c r="C40930" t="inlineStr">
        <is>
          <t>2011-12-29</t>
        </is>
      </c>
    </row>
    <row r="40931">
      <c r="A40931" s="1" t="n">
        <v>40930</v>
      </c>
      <c r="B40931">
        <f>TEXT(40930, "[$-0E0000]yyyy-mm-dd")</f>
        <v/>
      </c>
      <c r="C40931" t="inlineStr">
        <is>
          <t>2012-01-01</t>
        </is>
      </c>
    </row>
    <row r="40932">
      <c r="A40932" s="1" t="n">
        <v>40931</v>
      </c>
      <c r="B40932">
        <f>TEXT(40931, "[$-0E0000]yyyy-mm-dd")</f>
        <v/>
      </c>
      <c r="C40932" t="inlineStr">
        <is>
          <t>2012-01-02</t>
        </is>
      </c>
    </row>
    <row r="40933">
      <c r="A40933" s="1" t="n">
        <v>40932</v>
      </c>
      <c r="B40933">
        <f>TEXT(40932, "[$-0E0000]yyyy-mm-dd")</f>
        <v/>
      </c>
      <c r="C40933" t="inlineStr">
        <is>
          <t>2012-01-03</t>
        </is>
      </c>
    </row>
    <row r="40934">
      <c r="A40934" s="1" t="n">
        <v>40933</v>
      </c>
      <c r="B40934">
        <f>TEXT(40933, "[$-0E0000]yyyy-mm-dd")</f>
        <v/>
      </c>
      <c r="C40934" t="inlineStr">
        <is>
          <t>2012-01-04</t>
        </is>
      </c>
    </row>
    <row r="40935">
      <c r="A40935" s="1" t="n">
        <v>40934</v>
      </c>
      <c r="B40935">
        <f>TEXT(40934, "[$-0E0000]yyyy-mm-dd")</f>
        <v/>
      </c>
      <c r="C40935" t="inlineStr">
        <is>
          <t>2012-01-05</t>
        </is>
      </c>
    </row>
    <row r="40936">
      <c r="A40936" s="1" t="n">
        <v>40935</v>
      </c>
      <c r="B40936">
        <f>TEXT(40935, "[$-0E0000]yyyy-mm-dd")</f>
        <v/>
      </c>
      <c r="C40936" t="inlineStr">
        <is>
          <t>2012-01-06</t>
        </is>
      </c>
    </row>
    <row r="40937">
      <c r="A40937" s="1" t="n">
        <v>40936</v>
      </c>
      <c r="B40937">
        <f>TEXT(40936, "[$-0E0000]yyyy-mm-dd")</f>
        <v/>
      </c>
      <c r="C40937" t="inlineStr">
        <is>
          <t>2012-01-07</t>
        </is>
      </c>
    </row>
    <row r="40938">
      <c r="A40938" s="1" t="n">
        <v>40937</v>
      </c>
      <c r="B40938">
        <f>TEXT(40937, "[$-0E0000]yyyy-mm-dd")</f>
        <v/>
      </c>
      <c r="C40938" t="inlineStr">
        <is>
          <t>2012-01-08</t>
        </is>
      </c>
    </row>
    <row r="40939">
      <c r="A40939" s="1" t="n">
        <v>40938</v>
      </c>
      <c r="B40939">
        <f>TEXT(40938, "[$-0E0000]yyyy-mm-dd")</f>
        <v/>
      </c>
      <c r="C40939" t="inlineStr">
        <is>
          <t>2012-01-09</t>
        </is>
      </c>
    </row>
    <row r="40940">
      <c r="A40940" s="1" t="n">
        <v>40939</v>
      </c>
      <c r="B40940">
        <f>TEXT(40939, "[$-0E0000]yyyy-mm-dd")</f>
        <v/>
      </c>
      <c r="C40940" t="inlineStr">
        <is>
          <t>2012-01-10</t>
        </is>
      </c>
    </row>
    <row r="40941">
      <c r="A40941" s="1" t="n">
        <v>40940</v>
      </c>
      <c r="B40941">
        <f>TEXT(40940, "[$-0E0000]yyyy-mm-dd")</f>
        <v/>
      </c>
      <c r="C40941" t="inlineStr">
        <is>
          <t>2012-01-11</t>
        </is>
      </c>
    </row>
    <row r="40942">
      <c r="A40942" s="1" t="n">
        <v>40941</v>
      </c>
      <c r="B40942">
        <f>TEXT(40941, "[$-0E0000]yyyy-mm-dd")</f>
        <v/>
      </c>
      <c r="C40942" t="inlineStr">
        <is>
          <t>2012-01-12</t>
        </is>
      </c>
    </row>
    <row r="40943">
      <c r="A40943" s="1" t="n">
        <v>40942</v>
      </c>
      <c r="B40943">
        <f>TEXT(40942, "[$-0E0000]yyyy-mm-dd")</f>
        <v/>
      </c>
      <c r="C40943" t="inlineStr">
        <is>
          <t>2012-01-13</t>
        </is>
      </c>
    </row>
    <row r="40944">
      <c r="A40944" s="1" t="n">
        <v>40943</v>
      </c>
      <c r="B40944">
        <f>TEXT(40943, "[$-0E0000]yyyy-mm-dd")</f>
        <v/>
      </c>
      <c r="C40944" t="inlineStr">
        <is>
          <t>2012-01-14</t>
        </is>
      </c>
    </row>
    <row r="40945">
      <c r="A40945" s="1" t="n">
        <v>40944</v>
      </c>
      <c r="B40945">
        <f>TEXT(40944, "[$-0E0000]yyyy-mm-dd")</f>
        <v/>
      </c>
      <c r="C40945" t="inlineStr">
        <is>
          <t>2012-01-15</t>
        </is>
      </c>
    </row>
    <row r="40946">
      <c r="A40946" s="1" t="n">
        <v>40945</v>
      </c>
      <c r="B40946">
        <f>TEXT(40945, "[$-0E0000]yyyy-mm-dd")</f>
        <v/>
      </c>
      <c r="C40946" t="inlineStr">
        <is>
          <t>2012-01-16</t>
        </is>
      </c>
    </row>
    <row r="40947">
      <c r="A40947" s="1" t="n">
        <v>40946</v>
      </c>
      <c r="B40947">
        <f>TEXT(40946, "[$-0E0000]yyyy-mm-dd")</f>
        <v/>
      </c>
      <c r="C40947" t="inlineStr">
        <is>
          <t>2012-01-17</t>
        </is>
      </c>
    </row>
    <row r="40948">
      <c r="A40948" s="1" t="n">
        <v>40947</v>
      </c>
      <c r="B40948">
        <f>TEXT(40947, "[$-0E0000]yyyy-mm-dd")</f>
        <v/>
      </c>
      <c r="C40948" t="inlineStr">
        <is>
          <t>2012-01-18</t>
        </is>
      </c>
    </row>
    <row r="40949">
      <c r="A40949" s="1" t="n">
        <v>40948</v>
      </c>
      <c r="B40949">
        <f>TEXT(40948, "[$-0E0000]yyyy-mm-dd")</f>
        <v/>
      </c>
      <c r="C40949" t="inlineStr">
        <is>
          <t>2012-01-19</t>
        </is>
      </c>
    </row>
    <row r="40950">
      <c r="A40950" s="1" t="n">
        <v>40949</v>
      </c>
      <c r="B40950">
        <f>TEXT(40949, "[$-0E0000]yyyy-mm-dd")</f>
        <v/>
      </c>
      <c r="C40950" t="inlineStr">
        <is>
          <t>2012-01-20</t>
        </is>
      </c>
    </row>
    <row r="40951">
      <c r="A40951" s="1" t="n">
        <v>40950</v>
      </c>
      <c r="B40951">
        <f>TEXT(40950, "[$-0E0000]yyyy-mm-dd")</f>
        <v/>
      </c>
      <c r="C40951" t="inlineStr">
        <is>
          <t>2012-01-21</t>
        </is>
      </c>
    </row>
    <row r="40952">
      <c r="A40952" s="1" t="n">
        <v>40951</v>
      </c>
      <c r="B40952">
        <f>TEXT(40951, "[$-0E0000]yyyy-mm-dd")</f>
        <v/>
      </c>
      <c r="C40952" t="inlineStr">
        <is>
          <t>2012-01-22</t>
        </is>
      </c>
    </row>
    <row r="40953">
      <c r="A40953" s="1" t="n">
        <v>40952</v>
      </c>
      <c r="B40953">
        <f>TEXT(40952, "[$-0E0000]yyyy-mm-dd")</f>
        <v/>
      </c>
      <c r="C40953" t="inlineStr">
        <is>
          <t>2012-01-23</t>
        </is>
      </c>
    </row>
    <row r="40954">
      <c r="A40954" s="1" t="n">
        <v>40953</v>
      </c>
      <c r="B40954">
        <f>TEXT(40953, "[$-0E0000]yyyy-mm-dd")</f>
        <v/>
      </c>
      <c r="C40954" t="inlineStr">
        <is>
          <t>2012-01-24</t>
        </is>
      </c>
    </row>
    <row r="40955">
      <c r="A40955" s="1" t="n">
        <v>40954</v>
      </c>
      <c r="B40955">
        <f>TEXT(40954, "[$-0E0000]yyyy-mm-dd")</f>
        <v/>
      </c>
      <c r="C40955" t="inlineStr">
        <is>
          <t>2012-01-25</t>
        </is>
      </c>
    </row>
    <row r="40956">
      <c r="A40956" s="1" t="n">
        <v>40955</v>
      </c>
      <c r="B40956">
        <f>TEXT(40955, "[$-0E0000]yyyy-mm-dd")</f>
        <v/>
      </c>
      <c r="C40956" t="inlineStr">
        <is>
          <t>2012-01-26</t>
        </is>
      </c>
    </row>
    <row r="40957">
      <c r="A40957" s="1" t="n">
        <v>40956</v>
      </c>
      <c r="B40957">
        <f>TEXT(40956, "[$-0E0000]yyyy-mm-dd")</f>
        <v/>
      </c>
      <c r="C40957" t="inlineStr">
        <is>
          <t>2012-01-27</t>
        </is>
      </c>
    </row>
    <row r="40958">
      <c r="A40958" s="1" t="n">
        <v>40957</v>
      </c>
      <c r="B40958">
        <f>TEXT(40957, "[$-0E0000]yyyy-mm-dd")</f>
        <v/>
      </c>
      <c r="C40958" t="inlineStr">
        <is>
          <t>2012-01-28</t>
        </is>
      </c>
    </row>
    <row r="40959">
      <c r="A40959" s="1" t="n">
        <v>40958</v>
      </c>
      <c r="B40959">
        <f>TEXT(40958, "[$-0E0000]yyyy-mm-dd")</f>
        <v/>
      </c>
      <c r="C40959" t="inlineStr">
        <is>
          <t>2012-01-29</t>
        </is>
      </c>
    </row>
    <row r="40960">
      <c r="A40960" s="1" t="n">
        <v>40959</v>
      </c>
      <c r="B40960">
        <f>TEXT(40959, "[$-0E0000]yyyy-mm-dd")</f>
        <v/>
      </c>
      <c r="C40960" t="inlineStr">
        <is>
          <t>2012-01-30</t>
        </is>
      </c>
    </row>
    <row r="40961">
      <c r="A40961" s="1" t="n">
        <v>40960</v>
      </c>
      <c r="B40961">
        <f>TEXT(40960, "[$-0E0000]yyyy-mm-dd")</f>
        <v/>
      </c>
      <c r="C40961" t="inlineStr">
        <is>
          <t>2012-02-01</t>
        </is>
      </c>
    </row>
    <row r="40962">
      <c r="A40962" s="1" t="n">
        <v>40961</v>
      </c>
      <c r="B40962">
        <f>TEXT(40961, "[$-0E0000]yyyy-mm-dd")</f>
        <v/>
      </c>
      <c r="C40962" t="inlineStr">
        <is>
          <t>2012-02-02</t>
        </is>
      </c>
    </row>
    <row r="40963">
      <c r="A40963" s="1" t="n">
        <v>40962</v>
      </c>
      <c r="B40963">
        <f>TEXT(40962, "[$-0E0000]yyyy-mm-dd")</f>
        <v/>
      </c>
      <c r="C40963" t="inlineStr">
        <is>
          <t>2012-02-03</t>
        </is>
      </c>
    </row>
    <row r="40964">
      <c r="A40964" s="1" t="n">
        <v>40963</v>
      </c>
      <c r="B40964">
        <f>TEXT(40963, "[$-0E0000]yyyy-mm-dd")</f>
        <v/>
      </c>
      <c r="C40964" t="inlineStr">
        <is>
          <t>2012-02-04</t>
        </is>
      </c>
    </row>
    <row r="40965">
      <c r="A40965" s="1" t="n">
        <v>40964</v>
      </c>
      <c r="B40965">
        <f>TEXT(40964, "[$-0E0000]yyyy-mm-dd")</f>
        <v/>
      </c>
      <c r="C40965" t="inlineStr">
        <is>
          <t>2012-02-05</t>
        </is>
      </c>
    </row>
    <row r="40966">
      <c r="A40966" s="1" t="n">
        <v>40965</v>
      </c>
      <c r="B40966">
        <f>TEXT(40965, "[$-0E0000]yyyy-mm-dd")</f>
        <v/>
      </c>
      <c r="C40966" t="inlineStr">
        <is>
          <t>2012-02-06</t>
        </is>
      </c>
    </row>
    <row r="40967">
      <c r="A40967" s="1" t="n">
        <v>40966</v>
      </c>
      <c r="B40967">
        <f>TEXT(40966, "[$-0E0000]yyyy-mm-dd")</f>
        <v/>
      </c>
      <c r="C40967" t="inlineStr">
        <is>
          <t>2012-02-07</t>
        </is>
      </c>
    </row>
    <row r="40968">
      <c r="A40968" s="1" t="n">
        <v>40967</v>
      </c>
      <c r="B40968">
        <f>TEXT(40967, "[$-0E0000]yyyy-mm-dd")</f>
        <v/>
      </c>
      <c r="C40968" t="inlineStr">
        <is>
          <t>2012-02-08</t>
        </is>
      </c>
    </row>
    <row r="40969">
      <c r="A40969" s="1" t="n">
        <v>40968</v>
      </c>
      <c r="B40969">
        <f>TEXT(40968, "[$-0E0000]yyyy-mm-dd")</f>
        <v/>
      </c>
      <c r="C40969" t="inlineStr">
        <is>
          <t>2012-02-09</t>
        </is>
      </c>
    </row>
    <row r="40970">
      <c r="A40970" s="1" t="n">
        <v>40969</v>
      </c>
      <c r="B40970">
        <f>TEXT(40969, "[$-0E0000]yyyy-mm-dd")</f>
        <v/>
      </c>
      <c r="C40970" t="inlineStr">
        <is>
          <t>2012-02-10</t>
        </is>
      </c>
    </row>
    <row r="40971">
      <c r="A40971" s="1" t="n">
        <v>40970</v>
      </c>
      <c r="B40971">
        <f>TEXT(40970, "[$-0E0000]yyyy-mm-dd")</f>
        <v/>
      </c>
      <c r="C40971" t="inlineStr">
        <is>
          <t>2012-02-11</t>
        </is>
      </c>
    </row>
    <row r="40972">
      <c r="A40972" s="1" t="n">
        <v>40971</v>
      </c>
      <c r="B40972">
        <f>TEXT(40971, "[$-0E0000]yyyy-mm-dd")</f>
        <v/>
      </c>
      <c r="C40972" t="inlineStr">
        <is>
          <t>2012-02-12</t>
        </is>
      </c>
    </row>
    <row r="40973">
      <c r="A40973" s="1" t="n">
        <v>40972</v>
      </c>
      <c r="B40973">
        <f>TEXT(40972, "[$-0E0000]yyyy-mm-dd")</f>
        <v/>
      </c>
      <c r="C40973" t="inlineStr">
        <is>
          <t>2012-02-13</t>
        </is>
      </c>
    </row>
    <row r="40974">
      <c r="A40974" s="1" t="n">
        <v>40973</v>
      </c>
      <c r="B40974">
        <f>TEXT(40973, "[$-0E0000]yyyy-mm-dd")</f>
        <v/>
      </c>
      <c r="C40974" t="inlineStr">
        <is>
          <t>2012-02-14</t>
        </is>
      </c>
    </row>
    <row r="40975">
      <c r="A40975" s="1" t="n">
        <v>40974</v>
      </c>
      <c r="B40975">
        <f>TEXT(40974, "[$-0E0000]yyyy-mm-dd")</f>
        <v/>
      </c>
      <c r="C40975" t="inlineStr">
        <is>
          <t>2012-02-15</t>
        </is>
      </c>
    </row>
    <row r="40976">
      <c r="A40976" s="1" t="n">
        <v>40975</v>
      </c>
      <c r="B40976">
        <f>TEXT(40975, "[$-0E0000]yyyy-mm-dd")</f>
        <v/>
      </c>
      <c r="C40976" t="inlineStr">
        <is>
          <t>2012-02-16</t>
        </is>
      </c>
    </row>
    <row r="40977">
      <c r="A40977" s="1" t="n">
        <v>40976</v>
      </c>
      <c r="B40977">
        <f>TEXT(40976, "[$-0E0000]yyyy-mm-dd")</f>
        <v/>
      </c>
      <c r="C40977" t="inlineStr">
        <is>
          <t>2012-02-17</t>
        </is>
      </c>
    </row>
    <row r="40978">
      <c r="A40978" s="1" t="n">
        <v>40977</v>
      </c>
      <c r="B40978">
        <f>TEXT(40977, "[$-0E0000]yyyy-mm-dd")</f>
        <v/>
      </c>
      <c r="C40978" t="inlineStr">
        <is>
          <t>2012-02-18</t>
        </is>
      </c>
    </row>
    <row r="40979">
      <c r="A40979" s="1" t="n">
        <v>40978</v>
      </c>
      <c r="B40979">
        <f>TEXT(40978, "[$-0E0000]yyyy-mm-dd")</f>
        <v/>
      </c>
      <c r="C40979" t="inlineStr">
        <is>
          <t>2012-02-19</t>
        </is>
      </c>
    </row>
    <row r="40980">
      <c r="A40980" s="1" t="n">
        <v>40979</v>
      </c>
      <c r="B40980">
        <f>TEXT(40979, "[$-0E0000]yyyy-mm-dd")</f>
        <v/>
      </c>
      <c r="C40980" t="inlineStr">
        <is>
          <t>2012-02-20</t>
        </is>
      </c>
    </row>
    <row r="40981">
      <c r="A40981" s="1" t="n">
        <v>40980</v>
      </c>
      <c r="B40981">
        <f>TEXT(40980, "[$-0E0000]yyyy-mm-dd")</f>
        <v/>
      </c>
      <c r="C40981" t="inlineStr">
        <is>
          <t>2012-02-21</t>
        </is>
      </c>
    </row>
    <row r="40982">
      <c r="A40982" s="1" t="n">
        <v>40981</v>
      </c>
      <c r="B40982">
        <f>TEXT(40981, "[$-0E0000]yyyy-mm-dd")</f>
        <v/>
      </c>
      <c r="C40982" t="inlineStr">
        <is>
          <t>2012-02-22</t>
        </is>
      </c>
    </row>
    <row r="40983">
      <c r="A40983" s="1" t="n">
        <v>40982</v>
      </c>
      <c r="B40983">
        <f>TEXT(40982, "[$-0E0000]yyyy-mm-dd")</f>
        <v/>
      </c>
      <c r="C40983" t="inlineStr">
        <is>
          <t>2012-02-23</t>
        </is>
      </c>
    </row>
    <row r="40984">
      <c r="A40984" s="1" t="n">
        <v>40983</v>
      </c>
      <c r="B40984">
        <f>TEXT(40983, "[$-0E0000]yyyy-mm-dd")</f>
        <v/>
      </c>
      <c r="C40984" t="inlineStr">
        <is>
          <t>2012-02-24</t>
        </is>
      </c>
    </row>
    <row r="40985">
      <c r="A40985" s="1" t="n">
        <v>40984</v>
      </c>
      <c r="B40985">
        <f>TEXT(40984, "[$-0E0000]yyyy-mm-dd")</f>
        <v/>
      </c>
      <c r="C40985" t="inlineStr">
        <is>
          <t>2012-02-25</t>
        </is>
      </c>
    </row>
    <row r="40986">
      <c r="A40986" s="1" t="n">
        <v>40985</v>
      </c>
      <c r="B40986">
        <f>TEXT(40985, "[$-0E0000]yyyy-mm-dd")</f>
        <v/>
      </c>
      <c r="C40986" t="inlineStr">
        <is>
          <t>2012-02-26</t>
        </is>
      </c>
    </row>
    <row r="40987">
      <c r="A40987" s="1" t="n">
        <v>40986</v>
      </c>
      <c r="B40987">
        <f>TEXT(40986, "[$-0E0000]yyyy-mm-dd")</f>
        <v/>
      </c>
      <c r="C40987" t="inlineStr">
        <is>
          <t>2012-02-27</t>
        </is>
      </c>
    </row>
    <row r="40988">
      <c r="A40988" s="1" t="n">
        <v>40987</v>
      </c>
      <c r="B40988">
        <f>TEXT(40987, "[$-0E0000]yyyy-mm-dd")</f>
        <v/>
      </c>
      <c r="C40988" t="inlineStr">
        <is>
          <t>2012-02-28</t>
        </is>
      </c>
    </row>
    <row r="40989">
      <c r="A40989" s="1" t="n">
        <v>40988</v>
      </c>
      <c r="B40989">
        <f>TEXT(40988, "[$-0E0000]yyyy-mm-dd")</f>
        <v/>
      </c>
      <c r="C40989" t="inlineStr">
        <is>
          <t>2012-02-29</t>
        </is>
      </c>
    </row>
    <row r="40990">
      <c r="A40990" s="1" t="n">
        <v>40989</v>
      </c>
      <c r="B40990">
        <f>TEXT(40989, "[$-0E0000]yyyy-mm-dd")</f>
        <v/>
      </c>
      <c r="C40990" t="inlineStr">
        <is>
          <t>2012-03-01</t>
        </is>
      </c>
    </row>
    <row r="40991">
      <c r="A40991" s="1" t="n">
        <v>40990</v>
      </c>
      <c r="B40991">
        <f>TEXT(40990, "[$-0E0000]yyyy-mm-dd")</f>
        <v/>
      </c>
      <c r="C40991" t="inlineStr">
        <is>
          <t>2012-03-02</t>
        </is>
      </c>
    </row>
    <row r="40992">
      <c r="A40992" s="1" t="n">
        <v>40991</v>
      </c>
      <c r="B40992">
        <f>TEXT(40991, "[$-0E0000]yyyy-mm-dd")</f>
        <v/>
      </c>
      <c r="C40992" t="inlineStr">
        <is>
          <t>2012-03-03</t>
        </is>
      </c>
    </row>
    <row r="40993">
      <c r="A40993" s="1" t="n">
        <v>40992</v>
      </c>
      <c r="B40993">
        <f>TEXT(40992, "[$-0E0000]yyyy-mm-dd")</f>
        <v/>
      </c>
      <c r="C40993" t="inlineStr">
        <is>
          <t>2012-03-04</t>
        </is>
      </c>
    </row>
    <row r="40994">
      <c r="A40994" s="1" t="n">
        <v>40993</v>
      </c>
      <c r="B40994">
        <f>TEXT(40993, "[$-0E0000]yyyy-mm-dd")</f>
        <v/>
      </c>
      <c r="C40994" t="inlineStr">
        <is>
          <t>2012-03-05</t>
        </is>
      </c>
    </row>
    <row r="40995">
      <c r="A40995" s="1" t="n">
        <v>40994</v>
      </c>
      <c r="B40995">
        <f>TEXT(40994, "[$-0E0000]yyyy-mm-dd")</f>
        <v/>
      </c>
      <c r="C40995" t="inlineStr">
        <is>
          <t>2012-03-06</t>
        </is>
      </c>
    </row>
    <row r="40996">
      <c r="A40996" s="1" t="n">
        <v>40995</v>
      </c>
      <c r="B40996">
        <f>TEXT(40995, "[$-0E0000]yyyy-mm-dd")</f>
        <v/>
      </c>
      <c r="C40996" t="inlineStr">
        <is>
          <t>2012-03-07</t>
        </is>
      </c>
    </row>
    <row r="40997">
      <c r="A40997" s="1" t="n">
        <v>40996</v>
      </c>
      <c r="B40997">
        <f>TEXT(40996, "[$-0E0000]yyyy-mm-dd")</f>
        <v/>
      </c>
      <c r="C40997" t="inlineStr">
        <is>
          <t>2012-03-08</t>
        </is>
      </c>
    </row>
    <row r="40998">
      <c r="A40998" s="1" t="n">
        <v>40997</v>
      </c>
      <c r="B40998">
        <f>TEXT(40997, "[$-0E0000]yyyy-mm-dd")</f>
        <v/>
      </c>
      <c r="C40998" t="inlineStr">
        <is>
          <t>2012-03-09</t>
        </is>
      </c>
    </row>
    <row r="40999">
      <c r="A40999" s="1" t="n">
        <v>40998</v>
      </c>
      <c r="B40999">
        <f>TEXT(40998, "[$-0E0000]yyyy-mm-dd")</f>
        <v/>
      </c>
      <c r="C40999" t="inlineStr">
        <is>
          <t>2012-03-10</t>
        </is>
      </c>
    </row>
    <row r="41000">
      <c r="A41000" s="1" t="n">
        <v>40999</v>
      </c>
      <c r="B41000">
        <f>TEXT(40999, "[$-0E0000]yyyy-mm-dd")</f>
        <v/>
      </c>
      <c r="C41000" t="inlineStr">
        <is>
          <t>2012-03-11</t>
        </is>
      </c>
    </row>
    <row r="41001">
      <c r="A41001" s="1" t="n">
        <v>41000</v>
      </c>
      <c r="B41001">
        <f>TEXT(41000, "[$-0E0000]yyyy-mm-dd")</f>
        <v/>
      </c>
      <c r="C41001" t="inlineStr">
        <is>
          <t>2012-03-12</t>
        </is>
      </c>
    </row>
    <row r="41002">
      <c r="A41002" s="1" t="n">
        <v>41001</v>
      </c>
      <c r="B41002">
        <f>TEXT(41001, "[$-0E0000]yyyy-mm-dd")</f>
        <v/>
      </c>
      <c r="C41002" t="inlineStr">
        <is>
          <t>2012-03-13</t>
        </is>
      </c>
    </row>
    <row r="41003">
      <c r="A41003" s="1" t="n">
        <v>41002</v>
      </c>
      <c r="B41003">
        <f>TEXT(41002, "[$-0E0000]yyyy-mm-dd")</f>
        <v/>
      </c>
      <c r="C41003" t="inlineStr">
        <is>
          <t>2012-03-14</t>
        </is>
      </c>
    </row>
    <row r="41004">
      <c r="A41004" s="1" t="n">
        <v>41003</v>
      </c>
      <c r="B41004">
        <f>TEXT(41003, "[$-0E0000]yyyy-mm-dd")</f>
        <v/>
      </c>
      <c r="C41004" t="inlineStr">
        <is>
          <t>2012-03-15</t>
        </is>
      </c>
    </row>
    <row r="41005">
      <c r="A41005" s="1" t="n">
        <v>41004</v>
      </c>
      <c r="B41005">
        <f>TEXT(41004, "[$-0E0000]yyyy-mm-dd")</f>
        <v/>
      </c>
      <c r="C41005" t="inlineStr">
        <is>
          <t>2012-03-16</t>
        </is>
      </c>
    </row>
    <row r="41006">
      <c r="A41006" s="1" t="n">
        <v>41005</v>
      </c>
      <c r="B41006">
        <f>TEXT(41005, "[$-0E0000]yyyy-mm-dd")</f>
        <v/>
      </c>
      <c r="C41006" t="inlineStr">
        <is>
          <t>2012-03-17</t>
        </is>
      </c>
    </row>
    <row r="41007">
      <c r="A41007" s="1" t="n">
        <v>41006</v>
      </c>
      <c r="B41007">
        <f>TEXT(41006, "[$-0E0000]yyyy-mm-dd")</f>
        <v/>
      </c>
      <c r="C41007" t="inlineStr">
        <is>
          <t>2012-03-18</t>
        </is>
      </c>
    </row>
    <row r="41008">
      <c r="A41008" s="1" t="n">
        <v>41007</v>
      </c>
      <c r="B41008">
        <f>TEXT(41007, "[$-0E0000]yyyy-mm-dd")</f>
        <v/>
      </c>
      <c r="C41008" t="inlineStr">
        <is>
          <t>2012-03-19</t>
        </is>
      </c>
    </row>
    <row r="41009">
      <c r="A41009" s="1" t="n">
        <v>41008</v>
      </c>
      <c r="B41009">
        <f>TEXT(41008, "[$-0E0000]yyyy-mm-dd")</f>
        <v/>
      </c>
      <c r="C41009" t="inlineStr">
        <is>
          <t>2012-03-20</t>
        </is>
      </c>
    </row>
    <row r="41010">
      <c r="A41010" s="1" t="n">
        <v>41009</v>
      </c>
      <c r="B41010">
        <f>TEXT(41009, "[$-0E0000]yyyy-mm-dd")</f>
        <v/>
      </c>
      <c r="C41010" t="inlineStr">
        <is>
          <t>2012-03-21</t>
        </is>
      </c>
    </row>
    <row r="41011">
      <c r="A41011" s="1" t="n">
        <v>41010</v>
      </c>
      <c r="B41011">
        <f>TEXT(41010, "[$-0E0000]yyyy-mm-dd")</f>
        <v/>
      </c>
      <c r="C41011" t="inlineStr">
        <is>
          <t>2012-03-22</t>
        </is>
      </c>
    </row>
    <row r="41012">
      <c r="A41012" s="1" t="n">
        <v>41011</v>
      </c>
      <c r="B41012">
        <f>TEXT(41011, "[$-0E0000]yyyy-mm-dd")</f>
        <v/>
      </c>
      <c r="C41012" t="inlineStr">
        <is>
          <t>2012-03-23</t>
        </is>
      </c>
    </row>
    <row r="41013">
      <c r="A41013" s="1" t="n">
        <v>41012</v>
      </c>
      <c r="B41013">
        <f>TEXT(41012, "[$-0E0000]yyyy-mm-dd")</f>
        <v/>
      </c>
      <c r="C41013" t="inlineStr">
        <is>
          <t>2012-03-24</t>
        </is>
      </c>
    </row>
    <row r="41014">
      <c r="A41014" s="1" t="n">
        <v>41013</v>
      </c>
      <c r="B41014">
        <f>TEXT(41013, "[$-0E0000]yyyy-mm-dd")</f>
        <v/>
      </c>
      <c r="C41014" t="inlineStr">
        <is>
          <t>2012-03-25</t>
        </is>
      </c>
    </row>
    <row r="41015">
      <c r="A41015" s="1" t="n">
        <v>41014</v>
      </c>
      <c r="B41015">
        <f>TEXT(41014, "[$-0E0000]yyyy-mm-dd")</f>
        <v/>
      </c>
      <c r="C41015" t="inlineStr">
        <is>
          <t>2012-03-26</t>
        </is>
      </c>
    </row>
    <row r="41016">
      <c r="A41016" s="1" t="n">
        <v>41015</v>
      </c>
      <c r="B41016">
        <f>TEXT(41015, "[$-0E0000]yyyy-mm-dd")</f>
        <v/>
      </c>
      <c r="C41016" t="inlineStr">
        <is>
          <t>2012-03-27</t>
        </is>
      </c>
    </row>
    <row r="41017">
      <c r="A41017" s="1" t="n">
        <v>41016</v>
      </c>
      <c r="B41017">
        <f>TEXT(41016, "[$-0E0000]yyyy-mm-dd")</f>
        <v/>
      </c>
      <c r="C41017" t="inlineStr">
        <is>
          <t>2012-03-28</t>
        </is>
      </c>
    </row>
    <row r="41018">
      <c r="A41018" s="1" t="n">
        <v>41017</v>
      </c>
      <c r="B41018">
        <f>TEXT(41017, "[$-0E0000]yyyy-mm-dd")</f>
        <v/>
      </c>
      <c r="C41018" t="inlineStr">
        <is>
          <t>2012-03-29</t>
        </is>
      </c>
    </row>
    <row r="41019">
      <c r="A41019" s="1" t="n">
        <v>41018</v>
      </c>
      <c r="B41019">
        <f>TEXT(41018, "[$-0E0000]yyyy-mm-dd")</f>
        <v/>
      </c>
      <c r="C41019" t="inlineStr">
        <is>
          <t>2012-03-30</t>
        </is>
      </c>
    </row>
    <row r="41020">
      <c r="A41020" s="1" t="n">
        <v>41019</v>
      </c>
      <c r="B41020">
        <f>TEXT(41019, "[$-0E0000]yyyy-mm-dd")</f>
        <v/>
      </c>
      <c r="C41020" t="inlineStr">
        <is>
          <t>2012-04-01</t>
        </is>
      </c>
    </row>
    <row r="41021">
      <c r="A41021" s="1" t="n">
        <v>41020</v>
      </c>
      <c r="B41021">
        <f>TEXT(41020, "[$-0E0000]yyyy-mm-dd")</f>
        <v/>
      </c>
      <c r="C41021" t="inlineStr">
        <is>
          <t>2012-04-02</t>
        </is>
      </c>
    </row>
    <row r="41022">
      <c r="A41022" s="1" t="n">
        <v>41021</v>
      </c>
      <c r="B41022">
        <f>TEXT(41021, "[$-0E0000]yyyy-mm-dd")</f>
        <v/>
      </c>
      <c r="C41022" t="inlineStr">
        <is>
          <t>2012-04-03</t>
        </is>
      </c>
    </row>
    <row r="41023">
      <c r="A41023" s="1" t="n">
        <v>41022</v>
      </c>
      <c r="B41023">
        <f>TEXT(41022, "[$-0E0000]yyyy-mm-dd")</f>
        <v/>
      </c>
      <c r="C41023" t="inlineStr">
        <is>
          <t>2012-04-04</t>
        </is>
      </c>
    </row>
    <row r="41024">
      <c r="A41024" s="1" t="n">
        <v>41023</v>
      </c>
      <c r="B41024">
        <f>TEXT(41023, "[$-0E0000]yyyy-mm-dd")</f>
        <v/>
      </c>
      <c r="C41024" t="inlineStr">
        <is>
          <t>2012-04-05</t>
        </is>
      </c>
    </row>
    <row r="41025">
      <c r="A41025" s="1" t="n">
        <v>41024</v>
      </c>
      <c r="B41025">
        <f>TEXT(41024, "[$-0E0000]yyyy-mm-dd")</f>
        <v/>
      </c>
      <c r="C41025" t="inlineStr">
        <is>
          <t>2012-04-06</t>
        </is>
      </c>
    </row>
    <row r="41026">
      <c r="A41026" s="1" t="n">
        <v>41025</v>
      </c>
      <c r="B41026">
        <f>TEXT(41025, "[$-0E0000]yyyy-mm-dd")</f>
        <v/>
      </c>
      <c r="C41026" t="inlineStr">
        <is>
          <t>2012-04-07</t>
        </is>
      </c>
    </row>
    <row r="41027">
      <c r="A41027" s="1" t="n">
        <v>41026</v>
      </c>
      <c r="B41027">
        <f>TEXT(41026, "[$-0E0000]yyyy-mm-dd")</f>
        <v/>
      </c>
      <c r="C41027" t="inlineStr">
        <is>
          <t>2012-04-08</t>
        </is>
      </c>
    </row>
    <row r="41028">
      <c r="A41028" s="1" t="n">
        <v>41027</v>
      </c>
      <c r="B41028">
        <f>TEXT(41027, "[$-0E0000]yyyy-mm-dd")</f>
        <v/>
      </c>
      <c r="C41028" t="inlineStr">
        <is>
          <t>2012-04-09</t>
        </is>
      </c>
    </row>
    <row r="41029">
      <c r="A41029" s="1" t="n">
        <v>41028</v>
      </c>
      <c r="B41029">
        <f>TEXT(41028, "[$-0E0000]yyyy-mm-dd")</f>
        <v/>
      </c>
      <c r="C41029" t="inlineStr">
        <is>
          <t>2012-04-10</t>
        </is>
      </c>
    </row>
    <row r="41030">
      <c r="A41030" s="1" t="n">
        <v>41029</v>
      </c>
      <c r="B41030">
        <f>TEXT(41029, "[$-0E0000]yyyy-mm-dd")</f>
        <v/>
      </c>
      <c r="C41030" t="inlineStr">
        <is>
          <t>2012-04-11</t>
        </is>
      </c>
    </row>
    <row r="41031">
      <c r="A41031" s="1" t="n">
        <v>41030</v>
      </c>
      <c r="B41031">
        <f>TEXT(41030, "[$-0E0000]yyyy-mm-dd")</f>
        <v/>
      </c>
      <c r="C41031" t="inlineStr">
        <is>
          <t>2012-04-12</t>
        </is>
      </c>
    </row>
    <row r="41032">
      <c r="A41032" s="1" t="n">
        <v>41031</v>
      </c>
      <c r="B41032">
        <f>TEXT(41031, "[$-0E0000]yyyy-mm-dd")</f>
        <v/>
      </c>
      <c r="C41032" t="inlineStr">
        <is>
          <t>2012-04-13</t>
        </is>
      </c>
    </row>
    <row r="41033">
      <c r="A41033" s="1" t="n">
        <v>41032</v>
      </c>
      <c r="B41033">
        <f>TEXT(41032, "[$-0E0000]yyyy-mm-dd")</f>
        <v/>
      </c>
      <c r="C41033" t="inlineStr">
        <is>
          <t>2012-04-14</t>
        </is>
      </c>
    </row>
    <row r="41034">
      <c r="A41034" s="1" t="n">
        <v>41033</v>
      </c>
      <c r="B41034">
        <f>TEXT(41033, "[$-0E0000]yyyy-mm-dd")</f>
        <v/>
      </c>
      <c r="C41034" t="inlineStr">
        <is>
          <t>2012-04-15</t>
        </is>
      </c>
    </row>
    <row r="41035">
      <c r="A41035" s="1" t="n">
        <v>41034</v>
      </c>
      <c r="B41035">
        <f>TEXT(41034, "[$-0E0000]yyyy-mm-dd")</f>
        <v/>
      </c>
      <c r="C41035" t="inlineStr">
        <is>
          <t>2012-04-16</t>
        </is>
      </c>
    </row>
    <row r="41036">
      <c r="A41036" s="1" t="n">
        <v>41035</v>
      </c>
      <c r="B41036">
        <f>TEXT(41035, "[$-0E0000]yyyy-mm-dd")</f>
        <v/>
      </c>
      <c r="C41036" t="inlineStr">
        <is>
          <t>2012-04-17</t>
        </is>
      </c>
    </row>
    <row r="41037">
      <c r="A41037" s="1" t="n">
        <v>41036</v>
      </c>
      <c r="B41037">
        <f>TEXT(41036, "[$-0E0000]yyyy-mm-dd")</f>
        <v/>
      </c>
      <c r="C41037" t="inlineStr">
        <is>
          <t>2012-04-18</t>
        </is>
      </c>
    </row>
    <row r="41038">
      <c r="A41038" s="1" t="n">
        <v>41037</v>
      </c>
      <c r="B41038">
        <f>TEXT(41037, "[$-0E0000]yyyy-mm-dd")</f>
        <v/>
      </c>
      <c r="C41038" t="inlineStr">
        <is>
          <t>2012-04-19</t>
        </is>
      </c>
    </row>
    <row r="41039">
      <c r="A41039" s="1" t="n">
        <v>41038</v>
      </c>
      <c r="B41039">
        <f>TEXT(41038, "[$-0E0000]yyyy-mm-dd")</f>
        <v/>
      </c>
      <c r="C41039" t="inlineStr">
        <is>
          <t>2012-04-20</t>
        </is>
      </c>
    </row>
    <row r="41040">
      <c r="A41040" s="1" t="n">
        <v>41039</v>
      </c>
      <c r="B41040">
        <f>TEXT(41039, "[$-0E0000]yyyy-mm-dd")</f>
        <v/>
      </c>
      <c r="C41040" t="inlineStr">
        <is>
          <t>2012-04-21</t>
        </is>
      </c>
    </row>
    <row r="41041">
      <c r="A41041" s="1" t="n">
        <v>41040</v>
      </c>
      <c r="B41041">
        <f>TEXT(41040, "[$-0E0000]yyyy-mm-dd")</f>
        <v/>
      </c>
      <c r="C41041" t="inlineStr">
        <is>
          <t>2012-04-22</t>
        </is>
      </c>
    </row>
    <row r="41042">
      <c r="A41042" s="1" t="n">
        <v>41041</v>
      </c>
      <c r="B41042">
        <f>TEXT(41041, "[$-0E0000]yyyy-mm-dd")</f>
        <v/>
      </c>
      <c r="C41042" t="inlineStr">
        <is>
          <t>2012-04-23</t>
        </is>
      </c>
    </row>
    <row r="41043">
      <c r="A41043" s="1" t="n">
        <v>41042</v>
      </c>
      <c r="B41043">
        <f>TEXT(41042, "[$-0E0000]yyyy-mm-dd")</f>
        <v/>
      </c>
      <c r="C41043" t="inlineStr">
        <is>
          <t>2012-04-24</t>
        </is>
      </c>
    </row>
    <row r="41044">
      <c r="A41044" s="1" t="n">
        <v>41043</v>
      </c>
      <c r="B41044">
        <f>TEXT(41043, "[$-0E0000]yyyy-mm-dd")</f>
        <v/>
      </c>
      <c r="C41044" t="inlineStr">
        <is>
          <t>2012-04-25</t>
        </is>
      </c>
    </row>
    <row r="41045">
      <c r="A41045" s="1" t="n">
        <v>41044</v>
      </c>
      <c r="B41045">
        <f>TEXT(41044, "[$-0E0000]yyyy-mm-dd")</f>
        <v/>
      </c>
      <c r="C41045" t="inlineStr">
        <is>
          <t>2012-04-26</t>
        </is>
      </c>
    </row>
    <row r="41046">
      <c r="A41046" s="1" t="n">
        <v>41045</v>
      </c>
      <c r="B41046">
        <f>TEXT(41045, "[$-0E0000]yyyy-mm-dd")</f>
        <v/>
      </c>
      <c r="C41046" t="inlineStr">
        <is>
          <t>2012-04-27</t>
        </is>
      </c>
    </row>
    <row r="41047">
      <c r="A41047" s="1" t="n">
        <v>41046</v>
      </c>
      <c r="B41047">
        <f>TEXT(41046, "[$-0E0000]yyyy-mm-dd")</f>
        <v/>
      </c>
      <c r="C41047" t="inlineStr">
        <is>
          <t>2012-04-28</t>
        </is>
      </c>
    </row>
    <row r="41048">
      <c r="A41048" s="1" t="n">
        <v>41047</v>
      </c>
      <c r="B41048">
        <f>TEXT(41047, "[$-0E0000]yyyy-mm-dd")</f>
        <v/>
      </c>
      <c r="C41048" t="inlineStr">
        <is>
          <t>2012-04-29</t>
        </is>
      </c>
    </row>
    <row r="41049">
      <c r="A41049" s="1" t="n">
        <v>41048</v>
      </c>
      <c r="B41049">
        <f>TEXT(41048, "[$-0E0000]yyyy-mm-dd")</f>
        <v/>
      </c>
      <c r="C41049" t="inlineStr">
        <is>
          <t>2012-04-30</t>
        </is>
      </c>
    </row>
    <row r="41050">
      <c r="A41050" s="1" t="n">
        <v>41049</v>
      </c>
      <c r="B41050">
        <f>TEXT(41049, "[$-0E0000]yyyy-mm-dd")</f>
        <v/>
      </c>
      <c r="C41050" t="inlineStr">
        <is>
          <t>2012-04-01</t>
        </is>
      </c>
    </row>
    <row r="41051">
      <c r="A41051" s="1" t="n">
        <v>41050</v>
      </c>
      <c r="B41051">
        <f>TEXT(41050, "[$-0E0000]yyyy-mm-dd")</f>
        <v/>
      </c>
      <c r="C41051" t="inlineStr">
        <is>
          <t>2012-04-02</t>
        </is>
      </c>
    </row>
    <row r="41052">
      <c r="A41052" s="1" t="n">
        <v>41051</v>
      </c>
      <c r="B41052">
        <f>TEXT(41051, "[$-0E0000]yyyy-mm-dd")</f>
        <v/>
      </c>
      <c r="C41052" t="inlineStr">
        <is>
          <t>2012-04-03</t>
        </is>
      </c>
    </row>
    <row r="41053">
      <c r="A41053" s="1" t="n">
        <v>41052</v>
      </c>
      <c r="B41053">
        <f>TEXT(41052, "[$-0E0000]yyyy-mm-dd")</f>
        <v/>
      </c>
      <c r="C41053" t="inlineStr">
        <is>
          <t>2012-04-04</t>
        </is>
      </c>
    </row>
    <row r="41054">
      <c r="A41054" s="1" t="n">
        <v>41053</v>
      </c>
      <c r="B41054">
        <f>TEXT(41053, "[$-0E0000]yyyy-mm-dd")</f>
        <v/>
      </c>
      <c r="C41054" t="inlineStr">
        <is>
          <t>2012-04-05</t>
        </is>
      </c>
    </row>
    <row r="41055">
      <c r="A41055" s="1" t="n">
        <v>41054</v>
      </c>
      <c r="B41055">
        <f>TEXT(41054, "[$-0E0000]yyyy-mm-dd")</f>
        <v/>
      </c>
      <c r="C41055" t="inlineStr">
        <is>
          <t>2012-04-06</t>
        </is>
      </c>
    </row>
    <row r="41056">
      <c r="A41056" s="1" t="n">
        <v>41055</v>
      </c>
      <c r="B41056">
        <f>TEXT(41055, "[$-0E0000]yyyy-mm-dd")</f>
        <v/>
      </c>
      <c r="C41056" t="inlineStr">
        <is>
          <t>2012-04-07</t>
        </is>
      </c>
    </row>
    <row r="41057">
      <c r="A41057" s="1" t="n">
        <v>41056</v>
      </c>
      <c r="B41057">
        <f>TEXT(41056, "[$-0E0000]yyyy-mm-dd")</f>
        <v/>
      </c>
      <c r="C41057" t="inlineStr">
        <is>
          <t>2012-04-08</t>
        </is>
      </c>
    </row>
    <row r="41058">
      <c r="A41058" s="1" t="n">
        <v>41057</v>
      </c>
      <c r="B41058">
        <f>TEXT(41057, "[$-0E0000]yyyy-mm-dd")</f>
        <v/>
      </c>
      <c r="C41058" t="inlineStr">
        <is>
          <t>2012-04-09</t>
        </is>
      </c>
    </row>
    <row r="41059">
      <c r="A41059" s="1" t="n">
        <v>41058</v>
      </c>
      <c r="B41059">
        <f>TEXT(41058, "[$-0E0000]yyyy-mm-dd")</f>
        <v/>
      </c>
      <c r="C41059" t="inlineStr">
        <is>
          <t>2012-04-10</t>
        </is>
      </c>
    </row>
    <row r="41060">
      <c r="A41060" s="1" t="n">
        <v>41059</v>
      </c>
      <c r="B41060">
        <f>TEXT(41059, "[$-0E0000]yyyy-mm-dd")</f>
        <v/>
      </c>
      <c r="C41060" t="inlineStr">
        <is>
          <t>2012-04-11</t>
        </is>
      </c>
    </row>
    <row r="41061">
      <c r="A41061" s="1" t="n">
        <v>41060</v>
      </c>
      <c r="B41061">
        <f>TEXT(41060, "[$-0E0000]yyyy-mm-dd")</f>
        <v/>
      </c>
      <c r="C41061" t="inlineStr">
        <is>
          <t>2012-04-12</t>
        </is>
      </c>
    </row>
    <row r="41062">
      <c r="A41062" s="1" t="n">
        <v>41061</v>
      </c>
      <c r="B41062">
        <f>TEXT(41061, "[$-0E0000]yyyy-mm-dd")</f>
        <v/>
      </c>
      <c r="C41062" t="inlineStr">
        <is>
          <t>2012-04-13</t>
        </is>
      </c>
    </row>
    <row r="41063">
      <c r="A41063" s="1" t="n">
        <v>41062</v>
      </c>
      <c r="B41063">
        <f>TEXT(41062, "[$-0E0000]yyyy-mm-dd")</f>
        <v/>
      </c>
      <c r="C41063" t="inlineStr">
        <is>
          <t>2012-04-14</t>
        </is>
      </c>
    </row>
    <row r="41064">
      <c r="A41064" s="1" t="n">
        <v>41063</v>
      </c>
      <c r="B41064">
        <f>TEXT(41063, "[$-0E0000]yyyy-mm-dd")</f>
        <v/>
      </c>
      <c r="C41064" t="inlineStr">
        <is>
          <t>2012-04-15</t>
        </is>
      </c>
    </row>
    <row r="41065">
      <c r="A41065" s="1" t="n">
        <v>41064</v>
      </c>
      <c r="B41065">
        <f>TEXT(41064, "[$-0E0000]yyyy-mm-dd")</f>
        <v/>
      </c>
      <c r="C41065" t="inlineStr">
        <is>
          <t>2012-04-16</t>
        </is>
      </c>
    </row>
    <row r="41066">
      <c r="A41066" s="1" t="n">
        <v>41065</v>
      </c>
      <c r="B41066">
        <f>TEXT(41065, "[$-0E0000]yyyy-mm-dd")</f>
        <v/>
      </c>
      <c r="C41066" t="inlineStr">
        <is>
          <t>2012-04-17</t>
        </is>
      </c>
    </row>
    <row r="41067">
      <c r="A41067" s="1" t="n">
        <v>41066</v>
      </c>
      <c r="B41067">
        <f>TEXT(41066, "[$-0E0000]yyyy-mm-dd")</f>
        <v/>
      </c>
      <c r="C41067" t="inlineStr">
        <is>
          <t>2012-04-18</t>
        </is>
      </c>
    </row>
    <row r="41068">
      <c r="A41068" s="1" t="n">
        <v>41067</v>
      </c>
      <c r="B41068">
        <f>TEXT(41067, "[$-0E0000]yyyy-mm-dd")</f>
        <v/>
      </c>
      <c r="C41068" t="inlineStr">
        <is>
          <t>2012-04-19</t>
        </is>
      </c>
    </row>
    <row r="41069">
      <c r="A41069" s="1" t="n">
        <v>41068</v>
      </c>
      <c r="B41069">
        <f>TEXT(41068, "[$-0E0000]yyyy-mm-dd")</f>
        <v/>
      </c>
      <c r="C41069" t="inlineStr">
        <is>
          <t>2012-04-20</t>
        </is>
      </c>
    </row>
    <row r="41070">
      <c r="A41070" s="1" t="n">
        <v>41069</v>
      </c>
      <c r="B41070">
        <f>TEXT(41069, "[$-0E0000]yyyy-mm-dd")</f>
        <v/>
      </c>
      <c r="C41070" t="inlineStr">
        <is>
          <t>2012-04-21</t>
        </is>
      </c>
    </row>
    <row r="41071">
      <c r="A41071" s="1" t="n">
        <v>41070</v>
      </c>
      <c r="B41071">
        <f>TEXT(41070, "[$-0E0000]yyyy-mm-dd")</f>
        <v/>
      </c>
      <c r="C41071" t="inlineStr">
        <is>
          <t>2012-04-22</t>
        </is>
      </c>
    </row>
    <row r="41072">
      <c r="A41072" s="1" t="n">
        <v>41071</v>
      </c>
      <c r="B41072">
        <f>TEXT(41071, "[$-0E0000]yyyy-mm-dd")</f>
        <v/>
      </c>
      <c r="C41072" t="inlineStr">
        <is>
          <t>2012-04-23</t>
        </is>
      </c>
    </row>
    <row r="41073">
      <c r="A41073" s="1" t="n">
        <v>41072</v>
      </c>
      <c r="B41073">
        <f>TEXT(41072, "[$-0E0000]yyyy-mm-dd")</f>
        <v/>
      </c>
      <c r="C41073" t="inlineStr">
        <is>
          <t>2012-04-24</t>
        </is>
      </c>
    </row>
    <row r="41074">
      <c r="A41074" s="1" t="n">
        <v>41073</v>
      </c>
      <c r="B41074">
        <f>TEXT(41073, "[$-0E0000]yyyy-mm-dd")</f>
        <v/>
      </c>
      <c r="C41074" t="inlineStr">
        <is>
          <t>2012-04-25</t>
        </is>
      </c>
    </row>
    <row r="41075">
      <c r="A41075" s="1" t="n">
        <v>41074</v>
      </c>
      <c r="B41075">
        <f>TEXT(41074, "[$-0E0000]yyyy-mm-dd")</f>
        <v/>
      </c>
      <c r="C41075" t="inlineStr">
        <is>
          <t>2012-04-26</t>
        </is>
      </c>
    </row>
    <row r="41076">
      <c r="A41076" s="1" t="n">
        <v>41075</v>
      </c>
      <c r="B41076">
        <f>TEXT(41075, "[$-0E0000]yyyy-mm-dd")</f>
        <v/>
      </c>
      <c r="C41076" t="inlineStr">
        <is>
          <t>2012-04-27</t>
        </is>
      </c>
    </row>
    <row r="41077">
      <c r="A41077" s="1" t="n">
        <v>41076</v>
      </c>
      <c r="B41077">
        <f>TEXT(41076, "[$-0E0000]yyyy-mm-dd")</f>
        <v/>
      </c>
      <c r="C41077" t="inlineStr">
        <is>
          <t>2012-04-28</t>
        </is>
      </c>
    </row>
    <row r="41078">
      <c r="A41078" s="1" t="n">
        <v>41077</v>
      </c>
      <c r="B41078">
        <f>TEXT(41077, "[$-0E0000]yyyy-mm-dd")</f>
        <v/>
      </c>
      <c r="C41078" t="inlineStr">
        <is>
          <t>2012-04-29</t>
        </is>
      </c>
    </row>
    <row r="41079">
      <c r="A41079" s="1" t="n">
        <v>41078</v>
      </c>
      <c r="B41079">
        <f>TEXT(41078, "[$-0E0000]yyyy-mm-dd")</f>
        <v/>
      </c>
      <c r="C41079" t="inlineStr">
        <is>
          <t>2012-05-01</t>
        </is>
      </c>
    </row>
    <row r="41080">
      <c r="A41080" s="1" t="n">
        <v>41079</v>
      </c>
      <c r="B41080">
        <f>TEXT(41079, "[$-0E0000]yyyy-mm-dd")</f>
        <v/>
      </c>
      <c r="C41080" t="inlineStr">
        <is>
          <t>2012-05-02</t>
        </is>
      </c>
    </row>
    <row r="41081">
      <c r="A41081" s="1" t="n">
        <v>41080</v>
      </c>
      <c r="B41081">
        <f>TEXT(41080, "[$-0E0000]yyyy-mm-dd")</f>
        <v/>
      </c>
      <c r="C41081" t="inlineStr">
        <is>
          <t>2012-05-03</t>
        </is>
      </c>
    </row>
    <row r="41082">
      <c r="A41082" s="1" t="n">
        <v>41081</v>
      </c>
      <c r="B41082">
        <f>TEXT(41081, "[$-0E0000]yyyy-mm-dd")</f>
        <v/>
      </c>
      <c r="C41082" t="inlineStr">
        <is>
          <t>2012-05-04</t>
        </is>
      </c>
    </row>
    <row r="41083">
      <c r="A41083" s="1" t="n">
        <v>41082</v>
      </c>
      <c r="B41083">
        <f>TEXT(41082, "[$-0E0000]yyyy-mm-dd")</f>
        <v/>
      </c>
      <c r="C41083" t="inlineStr">
        <is>
          <t>2012-05-05</t>
        </is>
      </c>
    </row>
    <row r="41084">
      <c r="A41084" s="1" t="n">
        <v>41083</v>
      </c>
      <c r="B41084">
        <f>TEXT(41083, "[$-0E0000]yyyy-mm-dd")</f>
        <v/>
      </c>
      <c r="C41084" t="inlineStr">
        <is>
          <t>2012-05-06</t>
        </is>
      </c>
    </row>
    <row r="41085">
      <c r="A41085" s="1" t="n">
        <v>41084</v>
      </c>
      <c r="B41085">
        <f>TEXT(41084, "[$-0E0000]yyyy-mm-dd")</f>
        <v/>
      </c>
      <c r="C41085" t="inlineStr">
        <is>
          <t>2012-05-07</t>
        </is>
      </c>
    </row>
    <row r="41086">
      <c r="A41086" s="1" t="n">
        <v>41085</v>
      </c>
      <c r="B41086">
        <f>TEXT(41085, "[$-0E0000]yyyy-mm-dd")</f>
        <v/>
      </c>
      <c r="C41086" t="inlineStr">
        <is>
          <t>2012-05-08</t>
        </is>
      </c>
    </row>
    <row r="41087">
      <c r="A41087" s="1" t="n">
        <v>41086</v>
      </c>
      <c r="B41087">
        <f>TEXT(41086, "[$-0E0000]yyyy-mm-dd")</f>
        <v/>
      </c>
      <c r="C41087" t="inlineStr">
        <is>
          <t>2012-05-09</t>
        </is>
      </c>
    </row>
    <row r="41088">
      <c r="A41088" s="1" t="n">
        <v>41087</v>
      </c>
      <c r="B41088">
        <f>TEXT(41087, "[$-0E0000]yyyy-mm-dd")</f>
        <v/>
      </c>
      <c r="C41088" t="inlineStr">
        <is>
          <t>2012-05-10</t>
        </is>
      </c>
    </row>
    <row r="41089">
      <c r="A41089" s="1" t="n">
        <v>41088</v>
      </c>
      <c r="B41089">
        <f>TEXT(41088, "[$-0E0000]yyyy-mm-dd")</f>
        <v/>
      </c>
      <c r="C41089" t="inlineStr">
        <is>
          <t>2012-05-11</t>
        </is>
      </c>
    </row>
    <row r="41090">
      <c r="A41090" s="1" t="n">
        <v>41089</v>
      </c>
      <c r="B41090">
        <f>TEXT(41089, "[$-0E0000]yyyy-mm-dd")</f>
        <v/>
      </c>
      <c r="C41090" t="inlineStr">
        <is>
          <t>2012-05-12</t>
        </is>
      </c>
    </row>
    <row r="41091">
      <c r="A41091" s="1" t="n">
        <v>41090</v>
      </c>
      <c r="B41091">
        <f>TEXT(41090, "[$-0E0000]yyyy-mm-dd")</f>
        <v/>
      </c>
      <c r="C41091" t="inlineStr">
        <is>
          <t>2012-05-13</t>
        </is>
      </c>
    </row>
    <row r="41092">
      <c r="A41092" s="1" t="n">
        <v>41091</v>
      </c>
      <c r="B41092">
        <f>TEXT(41091, "[$-0E0000]yyyy-mm-dd")</f>
        <v/>
      </c>
      <c r="C41092" t="inlineStr">
        <is>
          <t>2012-05-14</t>
        </is>
      </c>
    </row>
    <row r="41093">
      <c r="A41093" s="1" t="n">
        <v>41092</v>
      </c>
      <c r="B41093">
        <f>TEXT(41092, "[$-0E0000]yyyy-mm-dd")</f>
        <v/>
      </c>
      <c r="C41093" t="inlineStr">
        <is>
          <t>2012-05-15</t>
        </is>
      </c>
    </row>
    <row r="41094">
      <c r="A41094" s="1" t="n">
        <v>41093</v>
      </c>
      <c r="B41094">
        <f>TEXT(41093, "[$-0E0000]yyyy-mm-dd")</f>
        <v/>
      </c>
      <c r="C41094" t="inlineStr">
        <is>
          <t>2012-05-16</t>
        </is>
      </c>
    </row>
    <row r="41095">
      <c r="A41095" s="1" t="n">
        <v>41094</v>
      </c>
      <c r="B41095">
        <f>TEXT(41094, "[$-0E0000]yyyy-mm-dd")</f>
        <v/>
      </c>
      <c r="C41095" t="inlineStr">
        <is>
          <t>2012-05-17</t>
        </is>
      </c>
    </row>
    <row r="41096">
      <c r="A41096" s="1" t="n">
        <v>41095</v>
      </c>
      <c r="B41096">
        <f>TEXT(41095, "[$-0E0000]yyyy-mm-dd")</f>
        <v/>
      </c>
      <c r="C41096" t="inlineStr">
        <is>
          <t>2012-05-18</t>
        </is>
      </c>
    </row>
    <row r="41097">
      <c r="A41097" s="1" t="n">
        <v>41096</v>
      </c>
      <c r="B41097">
        <f>TEXT(41096, "[$-0E0000]yyyy-mm-dd")</f>
        <v/>
      </c>
      <c r="C41097" t="inlineStr">
        <is>
          <t>2012-05-19</t>
        </is>
      </c>
    </row>
    <row r="41098">
      <c r="A41098" s="1" t="n">
        <v>41097</v>
      </c>
      <c r="B41098">
        <f>TEXT(41097, "[$-0E0000]yyyy-mm-dd")</f>
        <v/>
      </c>
      <c r="C41098" t="inlineStr">
        <is>
          <t>2012-05-20</t>
        </is>
      </c>
    </row>
    <row r="41099">
      <c r="A41099" s="1" t="n">
        <v>41098</v>
      </c>
      <c r="B41099">
        <f>TEXT(41098, "[$-0E0000]yyyy-mm-dd")</f>
        <v/>
      </c>
      <c r="C41099" t="inlineStr">
        <is>
          <t>2012-05-21</t>
        </is>
      </c>
    </row>
    <row r="41100">
      <c r="A41100" s="1" t="n">
        <v>41099</v>
      </c>
      <c r="B41100">
        <f>TEXT(41099, "[$-0E0000]yyyy-mm-dd")</f>
        <v/>
      </c>
      <c r="C41100" t="inlineStr">
        <is>
          <t>2012-05-22</t>
        </is>
      </c>
    </row>
    <row r="41101">
      <c r="A41101" s="1" t="n">
        <v>41100</v>
      </c>
      <c r="B41101">
        <f>TEXT(41100, "[$-0E0000]yyyy-mm-dd")</f>
        <v/>
      </c>
      <c r="C41101" t="inlineStr">
        <is>
          <t>2012-05-23</t>
        </is>
      </c>
    </row>
    <row r="41102">
      <c r="A41102" s="1" t="n">
        <v>41101</v>
      </c>
      <c r="B41102">
        <f>TEXT(41101, "[$-0E0000]yyyy-mm-dd")</f>
        <v/>
      </c>
      <c r="C41102" t="inlineStr">
        <is>
          <t>2012-05-24</t>
        </is>
      </c>
    </row>
    <row r="41103">
      <c r="A41103" s="1" t="n">
        <v>41102</v>
      </c>
      <c r="B41103">
        <f>TEXT(41102, "[$-0E0000]yyyy-mm-dd")</f>
        <v/>
      </c>
      <c r="C41103" t="inlineStr">
        <is>
          <t>2012-05-25</t>
        </is>
      </c>
    </row>
    <row r="41104">
      <c r="A41104" s="1" t="n">
        <v>41103</v>
      </c>
      <c r="B41104">
        <f>TEXT(41103, "[$-0E0000]yyyy-mm-dd")</f>
        <v/>
      </c>
      <c r="C41104" t="inlineStr">
        <is>
          <t>2012-05-26</t>
        </is>
      </c>
    </row>
    <row r="41105">
      <c r="A41105" s="1" t="n">
        <v>41104</v>
      </c>
      <c r="B41105">
        <f>TEXT(41104, "[$-0E0000]yyyy-mm-dd")</f>
        <v/>
      </c>
      <c r="C41105" t="inlineStr">
        <is>
          <t>2012-05-27</t>
        </is>
      </c>
    </row>
    <row r="41106">
      <c r="A41106" s="1" t="n">
        <v>41105</v>
      </c>
      <c r="B41106">
        <f>TEXT(41105, "[$-0E0000]yyyy-mm-dd")</f>
        <v/>
      </c>
      <c r="C41106" t="inlineStr">
        <is>
          <t>2012-05-28</t>
        </is>
      </c>
    </row>
    <row r="41107">
      <c r="A41107" s="1" t="n">
        <v>41106</v>
      </c>
      <c r="B41107">
        <f>TEXT(41106, "[$-0E0000]yyyy-mm-dd")</f>
        <v/>
      </c>
      <c r="C41107" t="inlineStr">
        <is>
          <t>2012-05-29</t>
        </is>
      </c>
    </row>
    <row r="41108">
      <c r="A41108" s="1" t="n">
        <v>41107</v>
      </c>
      <c r="B41108">
        <f>TEXT(41107, "[$-0E0000]yyyy-mm-dd")</f>
        <v/>
      </c>
      <c r="C41108" t="inlineStr">
        <is>
          <t>2012-05-30</t>
        </is>
      </c>
    </row>
    <row r="41109">
      <c r="A41109" s="1" t="n">
        <v>41108</v>
      </c>
      <c r="B41109">
        <f>TEXT(41108, "[$-0E0000]yyyy-mm-dd")</f>
        <v/>
      </c>
      <c r="C41109" t="inlineStr">
        <is>
          <t>2012-06-01</t>
        </is>
      </c>
    </row>
    <row r="41110">
      <c r="A41110" s="1" t="n">
        <v>41109</v>
      </c>
      <c r="B41110">
        <f>TEXT(41109, "[$-0E0000]yyyy-mm-dd")</f>
        <v/>
      </c>
      <c r="C41110" t="inlineStr">
        <is>
          <t>2012-06-02</t>
        </is>
      </c>
    </row>
    <row r="41111">
      <c r="A41111" s="1" t="n">
        <v>41110</v>
      </c>
      <c r="B41111">
        <f>TEXT(41110, "[$-0E0000]yyyy-mm-dd")</f>
        <v/>
      </c>
      <c r="C41111" t="inlineStr">
        <is>
          <t>2012-06-03</t>
        </is>
      </c>
    </row>
    <row r="41112">
      <c r="A41112" s="1" t="n">
        <v>41111</v>
      </c>
      <c r="B41112">
        <f>TEXT(41111, "[$-0E0000]yyyy-mm-dd")</f>
        <v/>
      </c>
      <c r="C41112" t="inlineStr">
        <is>
          <t>2012-06-04</t>
        </is>
      </c>
    </row>
    <row r="41113">
      <c r="A41113" s="1" t="n">
        <v>41112</v>
      </c>
      <c r="B41113">
        <f>TEXT(41112, "[$-0E0000]yyyy-mm-dd")</f>
        <v/>
      </c>
      <c r="C41113" t="inlineStr">
        <is>
          <t>2012-06-05</t>
        </is>
      </c>
    </row>
    <row r="41114">
      <c r="A41114" s="1" t="n">
        <v>41113</v>
      </c>
      <c r="B41114">
        <f>TEXT(41113, "[$-0E0000]yyyy-mm-dd")</f>
        <v/>
      </c>
      <c r="C41114" t="inlineStr">
        <is>
          <t>2012-06-06</t>
        </is>
      </c>
    </row>
    <row r="41115">
      <c r="A41115" s="1" t="n">
        <v>41114</v>
      </c>
      <c r="B41115">
        <f>TEXT(41114, "[$-0E0000]yyyy-mm-dd")</f>
        <v/>
      </c>
      <c r="C41115" t="inlineStr">
        <is>
          <t>2012-06-07</t>
        </is>
      </c>
    </row>
    <row r="41116">
      <c r="A41116" s="1" t="n">
        <v>41115</v>
      </c>
      <c r="B41116">
        <f>TEXT(41115, "[$-0E0000]yyyy-mm-dd")</f>
        <v/>
      </c>
      <c r="C41116" t="inlineStr">
        <is>
          <t>2012-06-08</t>
        </is>
      </c>
    </row>
    <row r="41117">
      <c r="A41117" s="1" t="n">
        <v>41116</v>
      </c>
      <c r="B41117">
        <f>TEXT(41116, "[$-0E0000]yyyy-mm-dd")</f>
        <v/>
      </c>
      <c r="C41117" t="inlineStr">
        <is>
          <t>2012-06-09</t>
        </is>
      </c>
    </row>
    <row r="41118">
      <c r="A41118" s="1" t="n">
        <v>41117</v>
      </c>
      <c r="B41118">
        <f>TEXT(41117, "[$-0E0000]yyyy-mm-dd")</f>
        <v/>
      </c>
      <c r="C41118" t="inlineStr">
        <is>
          <t>2012-06-10</t>
        </is>
      </c>
    </row>
    <row r="41119">
      <c r="A41119" s="1" t="n">
        <v>41118</v>
      </c>
      <c r="B41119">
        <f>TEXT(41118, "[$-0E0000]yyyy-mm-dd")</f>
        <v/>
      </c>
      <c r="C41119" t="inlineStr">
        <is>
          <t>2012-06-11</t>
        </is>
      </c>
    </row>
    <row r="41120">
      <c r="A41120" s="1" t="n">
        <v>41119</v>
      </c>
      <c r="B41120">
        <f>TEXT(41119, "[$-0E0000]yyyy-mm-dd")</f>
        <v/>
      </c>
      <c r="C41120" t="inlineStr">
        <is>
          <t>2012-06-12</t>
        </is>
      </c>
    </row>
    <row r="41121">
      <c r="A41121" s="1" t="n">
        <v>41120</v>
      </c>
      <c r="B41121">
        <f>TEXT(41120, "[$-0E0000]yyyy-mm-dd")</f>
        <v/>
      </c>
      <c r="C41121" t="inlineStr">
        <is>
          <t>2012-06-13</t>
        </is>
      </c>
    </row>
    <row r="41122">
      <c r="A41122" s="1" t="n">
        <v>41121</v>
      </c>
      <c r="B41122">
        <f>TEXT(41121, "[$-0E0000]yyyy-mm-dd")</f>
        <v/>
      </c>
      <c r="C41122" t="inlineStr">
        <is>
          <t>2012-06-14</t>
        </is>
      </c>
    </row>
    <row r="41123">
      <c r="A41123" s="1" t="n">
        <v>41122</v>
      </c>
      <c r="B41123">
        <f>TEXT(41122, "[$-0E0000]yyyy-mm-dd")</f>
        <v/>
      </c>
      <c r="C41123" t="inlineStr">
        <is>
          <t>2012-06-15</t>
        </is>
      </c>
    </row>
    <row r="41124">
      <c r="A41124" s="1" t="n">
        <v>41123</v>
      </c>
      <c r="B41124">
        <f>TEXT(41123, "[$-0E0000]yyyy-mm-dd")</f>
        <v/>
      </c>
      <c r="C41124" t="inlineStr">
        <is>
          <t>2012-06-16</t>
        </is>
      </c>
    </row>
    <row r="41125">
      <c r="A41125" s="1" t="n">
        <v>41124</v>
      </c>
      <c r="B41125">
        <f>TEXT(41124, "[$-0E0000]yyyy-mm-dd")</f>
        <v/>
      </c>
      <c r="C41125" t="inlineStr">
        <is>
          <t>2012-06-17</t>
        </is>
      </c>
    </row>
    <row r="41126">
      <c r="A41126" s="1" t="n">
        <v>41125</v>
      </c>
      <c r="B41126">
        <f>TEXT(41125, "[$-0E0000]yyyy-mm-dd")</f>
        <v/>
      </c>
      <c r="C41126" t="inlineStr">
        <is>
          <t>2012-06-18</t>
        </is>
      </c>
    </row>
    <row r="41127">
      <c r="A41127" s="1" t="n">
        <v>41126</v>
      </c>
      <c r="B41127">
        <f>TEXT(41126, "[$-0E0000]yyyy-mm-dd")</f>
        <v/>
      </c>
      <c r="C41127" t="inlineStr">
        <is>
          <t>2012-06-19</t>
        </is>
      </c>
    </row>
    <row r="41128">
      <c r="A41128" s="1" t="n">
        <v>41127</v>
      </c>
      <c r="B41128">
        <f>TEXT(41127, "[$-0E0000]yyyy-mm-dd")</f>
        <v/>
      </c>
      <c r="C41128" t="inlineStr">
        <is>
          <t>2012-06-20</t>
        </is>
      </c>
    </row>
    <row r="41129">
      <c r="A41129" s="1" t="n">
        <v>41128</v>
      </c>
      <c r="B41129">
        <f>TEXT(41128, "[$-0E0000]yyyy-mm-dd")</f>
        <v/>
      </c>
      <c r="C41129" t="inlineStr">
        <is>
          <t>2012-06-21</t>
        </is>
      </c>
    </row>
    <row r="41130">
      <c r="A41130" s="1" t="n">
        <v>41129</v>
      </c>
      <c r="B41130">
        <f>TEXT(41129, "[$-0E0000]yyyy-mm-dd")</f>
        <v/>
      </c>
      <c r="C41130" t="inlineStr">
        <is>
          <t>2012-06-22</t>
        </is>
      </c>
    </row>
    <row r="41131">
      <c r="A41131" s="1" t="n">
        <v>41130</v>
      </c>
      <c r="B41131">
        <f>TEXT(41130, "[$-0E0000]yyyy-mm-dd")</f>
        <v/>
      </c>
      <c r="C41131" t="inlineStr">
        <is>
          <t>2012-06-23</t>
        </is>
      </c>
    </row>
    <row r="41132">
      <c r="A41132" s="1" t="n">
        <v>41131</v>
      </c>
      <c r="B41132">
        <f>TEXT(41131, "[$-0E0000]yyyy-mm-dd")</f>
        <v/>
      </c>
      <c r="C41132" t="inlineStr">
        <is>
          <t>2012-06-24</t>
        </is>
      </c>
    </row>
    <row r="41133">
      <c r="A41133" s="1" t="n">
        <v>41132</v>
      </c>
      <c r="B41133">
        <f>TEXT(41132, "[$-0E0000]yyyy-mm-dd")</f>
        <v/>
      </c>
      <c r="C41133" t="inlineStr">
        <is>
          <t>2012-06-25</t>
        </is>
      </c>
    </row>
    <row r="41134">
      <c r="A41134" s="1" t="n">
        <v>41133</v>
      </c>
      <c r="B41134">
        <f>TEXT(41133, "[$-0E0000]yyyy-mm-dd")</f>
        <v/>
      </c>
      <c r="C41134" t="inlineStr">
        <is>
          <t>2012-06-26</t>
        </is>
      </c>
    </row>
    <row r="41135">
      <c r="A41135" s="1" t="n">
        <v>41134</v>
      </c>
      <c r="B41135">
        <f>TEXT(41134, "[$-0E0000]yyyy-mm-dd")</f>
        <v/>
      </c>
      <c r="C41135" t="inlineStr">
        <is>
          <t>2012-06-27</t>
        </is>
      </c>
    </row>
    <row r="41136">
      <c r="A41136" s="1" t="n">
        <v>41135</v>
      </c>
      <c r="B41136">
        <f>TEXT(41135, "[$-0E0000]yyyy-mm-dd")</f>
        <v/>
      </c>
      <c r="C41136" t="inlineStr">
        <is>
          <t>2012-06-28</t>
        </is>
      </c>
    </row>
    <row r="41137">
      <c r="A41137" s="1" t="n">
        <v>41136</v>
      </c>
      <c r="B41137">
        <f>TEXT(41136, "[$-0E0000]yyyy-mm-dd")</f>
        <v/>
      </c>
      <c r="C41137" t="inlineStr">
        <is>
          <t>2012-06-29</t>
        </is>
      </c>
    </row>
    <row r="41138">
      <c r="A41138" s="1" t="n">
        <v>41137</v>
      </c>
      <c r="B41138">
        <f>TEXT(41137, "[$-0E0000]yyyy-mm-dd")</f>
        <v/>
      </c>
      <c r="C41138" t="inlineStr">
        <is>
          <t>2012-07-01</t>
        </is>
      </c>
    </row>
    <row r="41139">
      <c r="A41139" s="1" t="n">
        <v>41138</v>
      </c>
      <c r="B41139">
        <f>TEXT(41138, "[$-0E0000]yyyy-mm-dd")</f>
        <v/>
      </c>
      <c r="C41139" t="inlineStr">
        <is>
          <t>2012-07-02</t>
        </is>
      </c>
    </row>
    <row r="41140">
      <c r="A41140" s="1" t="n">
        <v>41139</v>
      </c>
      <c r="B41140">
        <f>TEXT(41139, "[$-0E0000]yyyy-mm-dd")</f>
        <v/>
      </c>
      <c r="C41140" t="inlineStr">
        <is>
          <t>2012-07-03</t>
        </is>
      </c>
    </row>
    <row r="41141">
      <c r="A41141" s="1" t="n">
        <v>41140</v>
      </c>
      <c r="B41141">
        <f>TEXT(41140, "[$-0E0000]yyyy-mm-dd")</f>
        <v/>
      </c>
      <c r="C41141" t="inlineStr">
        <is>
          <t>2012-07-04</t>
        </is>
      </c>
    </row>
    <row r="41142">
      <c r="A41142" s="1" t="n">
        <v>41141</v>
      </c>
      <c r="B41142">
        <f>TEXT(41141, "[$-0E0000]yyyy-mm-dd")</f>
        <v/>
      </c>
      <c r="C41142" t="inlineStr">
        <is>
          <t>2012-07-05</t>
        </is>
      </c>
    </row>
    <row r="41143">
      <c r="A41143" s="1" t="n">
        <v>41142</v>
      </c>
      <c r="B41143">
        <f>TEXT(41142, "[$-0E0000]yyyy-mm-dd")</f>
        <v/>
      </c>
      <c r="C41143" t="inlineStr">
        <is>
          <t>2012-07-06</t>
        </is>
      </c>
    </row>
    <row r="41144">
      <c r="A41144" s="1" t="n">
        <v>41143</v>
      </c>
      <c r="B41144">
        <f>TEXT(41143, "[$-0E0000]yyyy-mm-dd")</f>
        <v/>
      </c>
      <c r="C41144" t="inlineStr">
        <is>
          <t>2012-07-07</t>
        </is>
      </c>
    </row>
    <row r="41145">
      <c r="A41145" s="1" t="n">
        <v>41144</v>
      </c>
      <c r="B41145">
        <f>TEXT(41144, "[$-0E0000]yyyy-mm-dd")</f>
        <v/>
      </c>
      <c r="C41145" t="inlineStr">
        <is>
          <t>2012-07-08</t>
        </is>
      </c>
    </row>
    <row r="41146">
      <c r="A41146" s="1" t="n">
        <v>41145</v>
      </c>
      <c r="B41146">
        <f>TEXT(41145, "[$-0E0000]yyyy-mm-dd")</f>
        <v/>
      </c>
      <c r="C41146" t="inlineStr">
        <is>
          <t>2012-07-09</t>
        </is>
      </c>
    </row>
    <row r="41147">
      <c r="A41147" s="1" t="n">
        <v>41146</v>
      </c>
      <c r="B41147">
        <f>TEXT(41146, "[$-0E0000]yyyy-mm-dd")</f>
        <v/>
      </c>
      <c r="C41147" t="inlineStr">
        <is>
          <t>2012-07-10</t>
        </is>
      </c>
    </row>
    <row r="41148">
      <c r="A41148" s="1" t="n">
        <v>41147</v>
      </c>
      <c r="B41148">
        <f>TEXT(41147, "[$-0E0000]yyyy-mm-dd")</f>
        <v/>
      </c>
      <c r="C41148" t="inlineStr">
        <is>
          <t>2012-07-11</t>
        </is>
      </c>
    </row>
    <row r="41149">
      <c r="A41149" s="1" t="n">
        <v>41148</v>
      </c>
      <c r="B41149">
        <f>TEXT(41148, "[$-0E0000]yyyy-mm-dd")</f>
        <v/>
      </c>
      <c r="C41149" t="inlineStr">
        <is>
          <t>2012-07-12</t>
        </is>
      </c>
    </row>
    <row r="41150">
      <c r="A41150" s="1" t="n">
        <v>41149</v>
      </c>
      <c r="B41150">
        <f>TEXT(41149, "[$-0E0000]yyyy-mm-dd")</f>
        <v/>
      </c>
      <c r="C41150" t="inlineStr">
        <is>
          <t>2012-07-13</t>
        </is>
      </c>
    </row>
    <row r="41151">
      <c r="A41151" s="1" t="n">
        <v>41150</v>
      </c>
      <c r="B41151">
        <f>TEXT(41150, "[$-0E0000]yyyy-mm-dd")</f>
        <v/>
      </c>
      <c r="C41151" t="inlineStr">
        <is>
          <t>2012-07-14</t>
        </is>
      </c>
    </row>
    <row r="41152">
      <c r="A41152" s="1" t="n">
        <v>41151</v>
      </c>
      <c r="B41152">
        <f>TEXT(41151, "[$-0E0000]yyyy-mm-dd")</f>
        <v/>
      </c>
      <c r="C41152" t="inlineStr">
        <is>
          <t>2012-07-15</t>
        </is>
      </c>
    </row>
    <row r="41153">
      <c r="A41153" s="1" t="n">
        <v>41152</v>
      </c>
      <c r="B41153">
        <f>TEXT(41152, "[$-0E0000]yyyy-mm-dd")</f>
        <v/>
      </c>
      <c r="C41153" t="inlineStr">
        <is>
          <t>2012-07-16</t>
        </is>
      </c>
    </row>
    <row r="41154">
      <c r="A41154" s="1" t="n">
        <v>41153</v>
      </c>
      <c r="B41154">
        <f>TEXT(41153, "[$-0E0000]yyyy-mm-dd")</f>
        <v/>
      </c>
      <c r="C41154" t="inlineStr">
        <is>
          <t>2012-07-17</t>
        </is>
      </c>
    </row>
    <row r="41155">
      <c r="A41155" s="1" t="n">
        <v>41154</v>
      </c>
      <c r="B41155">
        <f>TEXT(41154, "[$-0E0000]yyyy-mm-dd")</f>
        <v/>
      </c>
      <c r="C41155" t="inlineStr">
        <is>
          <t>2012-07-18</t>
        </is>
      </c>
    </row>
    <row r="41156">
      <c r="A41156" s="1" t="n">
        <v>41155</v>
      </c>
      <c r="B41156">
        <f>TEXT(41155, "[$-0E0000]yyyy-mm-dd")</f>
        <v/>
      </c>
      <c r="C41156" t="inlineStr">
        <is>
          <t>2012-07-19</t>
        </is>
      </c>
    </row>
    <row r="41157">
      <c r="A41157" s="1" t="n">
        <v>41156</v>
      </c>
      <c r="B41157">
        <f>TEXT(41156, "[$-0E0000]yyyy-mm-dd")</f>
        <v/>
      </c>
      <c r="C41157" t="inlineStr">
        <is>
          <t>2012-07-20</t>
        </is>
      </c>
    </row>
    <row r="41158">
      <c r="A41158" s="1" t="n">
        <v>41157</v>
      </c>
      <c r="B41158">
        <f>TEXT(41157, "[$-0E0000]yyyy-mm-dd")</f>
        <v/>
      </c>
      <c r="C41158" t="inlineStr">
        <is>
          <t>2012-07-21</t>
        </is>
      </c>
    </row>
    <row r="41159">
      <c r="A41159" s="1" t="n">
        <v>41158</v>
      </c>
      <c r="B41159">
        <f>TEXT(41158, "[$-0E0000]yyyy-mm-dd")</f>
        <v/>
      </c>
      <c r="C41159" t="inlineStr">
        <is>
          <t>2012-07-22</t>
        </is>
      </c>
    </row>
    <row r="41160">
      <c r="A41160" s="1" t="n">
        <v>41159</v>
      </c>
      <c r="B41160">
        <f>TEXT(41159, "[$-0E0000]yyyy-mm-dd")</f>
        <v/>
      </c>
      <c r="C41160" t="inlineStr">
        <is>
          <t>2012-07-23</t>
        </is>
      </c>
    </row>
    <row r="41161">
      <c r="A41161" s="1" t="n">
        <v>41160</v>
      </c>
      <c r="B41161">
        <f>TEXT(41160, "[$-0E0000]yyyy-mm-dd")</f>
        <v/>
      </c>
      <c r="C41161" t="inlineStr">
        <is>
          <t>2012-07-24</t>
        </is>
      </c>
    </row>
    <row r="41162">
      <c r="A41162" s="1" t="n">
        <v>41161</v>
      </c>
      <c r="B41162">
        <f>TEXT(41161, "[$-0E0000]yyyy-mm-dd")</f>
        <v/>
      </c>
      <c r="C41162" t="inlineStr">
        <is>
          <t>2012-07-25</t>
        </is>
      </c>
    </row>
    <row r="41163">
      <c r="A41163" s="1" t="n">
        <v>41162</v>
      </c>
      <c r="B41163">
        <f>TEXT(41162, "[$-0E0000]yyyy-mm-dd")</f>
        <v/>
      </c>
      <c r="C41163" t="inlineStr">
        <is>
          <t>2012-07-26</t>
        </is>
      </c>
    </row>
    <row r="41164">
      <c r="A41164" s="1" t="n">
        <v>41163</v>
      </c>
      <c r="B41164">
        <f>TEXT(41163, "[$-0E0000]yyyy-mm-dd")</f>
        <v/>
      </c>
      <c r="C41164" t="inlineStr">
        <is>
          <t>2012-07-27</t>
        </is>
      </c>
    </row>
    <row r="41165">
      <c r="A41165" s="1" t="n">
        <v>41164</v>
      </c>
      <c r="B41165">
        <f>TEXT(41164, "[$-0E0000]yyyy-mm-dd")</f>
        <v/>
      </c>
      <c r="C41165" t="inlineStr">
        <is>
          <t>2012-07-28</t>
        </is>
      </c>
    </row>
    <row r="41166">
      <c r="A41166" s="1" t="n">
        <v>41165</v>
      </c>
      <c r="B41166">
        <f>TEXT(41165, "[$-0E0000]yyyy-mm-dd")</f>
        <v/>
      </c>
      <c r="C41166" t="inlineStr">
        <is>
          <t>2012-07-29</t>
        </is>
      </c>
    </row>
    <row r="41167">
      <c r="A41167" s="1" t="n">
        <v>41166</v>
      </c>
      <c r="B41167">
        <f>TEXT(41166, "[$-0E0000]yyyy-mm-dd")</f>
        <v/>
      </c>
      <c r="C41167" t="inlineStr">
        <is>
          <t>2012-07-30</t>
        </is>
      </c>
    </row>
    <row r="41168">
      <c r="A41168" s="1" t="n">
        <v>41167</v>
      </c>
      <c r="B41168">
        <f>TEXT(41167, "[$-0E0000]yyyy-mm-dd")</f>
        <v/>
      </c>
      <c r="C41168" t="inlineStr">
        <is>
          <t>2012-08-01</t>
        </is>
      </c>
    </row>
    <row r="41169">
      <c r="A41169" s="1" t="n">
        <v>41168</v>
      </c>
      <c r="B41169">
        <f>TEXT(41168, "[$-0E0000]yyyy-mm-dd")</f>
        <v/>
      </c>
      <c r="C41169" t="inlineStr">
        <is>
          <t>2012-08-02</t>
        </is>
      </c>
    </row>
    <row r="41170">
      <c r="A41170" s="1" t="n">
        <v>41169</v>
      </c>
      <c r="B41170">
        <f>TEXT(41169, "[$-0E0000]yyyy-mm-dd")</f>
        <v/>
      </c>
      <c r="C41170" t="inlineStr">
        <is>
          <t>2012-08-03</t>
        </is>
      </c>
    </row>
    <row r="41171">
      <c r="A41171" s="1" t="n">
        <v>41170</v>
      </c>
      <c r="B41171">
        <f>TEXT(41170, "[$-0E0000]yyyy-mm-dd")</f>
        <v/>
      </c>
      <c r="C41171" t="inlineStr">
        <is>
          <t>2012-08-04</t>
        </is>
      </c>
    </row>
    <row r="41172">
      <c r="A41172" s="1" t="n">
        <v>41171</v>
      </c>
      <c r="B41172">
        <f>TEXT(41171, "[$-0E0000]yyyy-mm-dd")</f>
        <v/>
      </c>
      <c r="C41172" t="inlineStr">
        <is>
          <t>2012-08-05</t>
        </is>
      </c>
    </row>
    <row r="41173">
      <c r="A41173" s="1" t="n">
        <v>41172</v>
      </c>
      <c r="B41173">
        <f>TEXT(41172, "[$-0E0000]yyyy-mm-dd")</f>
        <v/>
      </c>
      <c r="C41173" t="inlineStr">
        <is>
          <t>2012-08-06</t>
        </is>
      </c>
    </row>
    <row r="41174">
      <c r="A41174" s="1" t="n">
        <v>41173</v>
      </c>
      <c r="B41174">
        <f>TEXT(41173, "[$-0E0000]yyyy-mm-dd")</f>
        <v/>
      </c>
      <c r="C41174" t="inlineStr">
        <is>
          <t>2012-08-07</t>
        </is>
      </c>
    </row>
    <row r="41175">
      <c r="A41175" s="1" t="n">
        <v>41174</v>
      </c>
      <c r="B41175">
        <f>TEXT(41174, "[$-0E0000]yyyy-mm-dd")</f>
        <v/>
      </c>
      <c r="C41175" t="inlineStr">
        <is>
          <t>2012-08-08</t>
        </is>
      </c>
    </row>
    <row r="41176">
      <c r="A41176" s="1" t="n">
        <v>41175</v>
      </c>
      <c r="B41176">
        <f>TEXT(41175, "[$-0E0000]yyyy-mm-dd")</f>
        <v/>
      </c>
      <c r="C41176" t="inlineStr">
        <is>
          <t>2012-08-09</t>
        </is>
      </c>
    </row>
    <row r="41177">
      <c r="A41177" s="1" t="n">
        <v>41176</v>
      </c>
      <c r="B41177">
        <f>TEXT(41176, "[$-0E0000]yyyy-mm-dd")</f>
        <v/>
      </c>
      <c r="C41177" t="inlineStr">
        <is>
          <t>2012-08-10</t>
        </is>
      </c>
    </row>
    <row r="41178">
      <c r="A41178" s="1" t="n">
        <v>41177</v>
      </c>
      <c r="B41178">
        <f>TEXT(41177, "[$-0E0000]yyyy-mm-dd")</f>
        <v/>
      </c>
      <c r="C41178" t="inlineStr">
        <is>
          <t>2012-08-11</t>
        </is>
      </c>
    </row>
    <row r="41179">
      <c r="A41179" s="1" t="n">
        <v>41178</v>
      </c>
      <c r="B41179">
        <f>TEXT(41178, "[$-0E0000]yyyy-mm-dd")</f>
        <v/>
      </c>
      <c r="C41179" t="inlineStr">
        <is>
          <t>2012-08-12</t>
        </is>
      </c>
    </row>
    <row r="41180">
      <c r="A41180" s="1" t="n">
        <v>41179</v>
      </c>
      <c r="B41180">
        <f>TEXT(41179, "[$-0E0000]yyyy-mm-dd")</f>
        <v/>
      </c>
      <c r="C41180" t="inlineStr">
        <is>
          <t>2012-08-13</t>
        </is>
      </c>
    </row>
    <row r="41181">
      <c r="A41181" s="1" t="n">
        <v>41180</v>
      </c>
      <c r="B41181">
        <f>TEXT(41180, "[$-0E0000]yyyy-mm-dd")</f>
        <v/>
      </c>
      <c r="C41181" t="inlineStr">
        <is>
          <t>2012-08-14</t>
        </is>
      </c>
    </row>
    <row r="41182">
      <c r="A41182" s="1" t="n">
        <v>41181</v>
      </c>
      <c r="B41182">
        <f>TEXT(41181, "[$-0E0000]yyyy-mm-dd")</f>
        <v/>
      </c>
      <c r="C41182" t="inlineStr">
        <is>
          <t>2012-08-15</t>
        </is>
      </c>
    </row>
    <row r="41183">
      <c r="A41183" s="1" t="n">
        <v>41182</v>
      </c>
      <c r="B41183">
        <f>TEXT(41182, "[$-0E0000]yyyy-mm-dd")</f>
        <v/>
      </c>
      <c r="C41183" t="inlineStr">
        <is>
          <t>2012-08-16</t>
        </is>
      </c>
    </row>
    <row r="41184">
      <c r="A41184" s="1" t="n">
        <v>41183</v>
      </c>
      <c r="B41184">
        <f>TEXT(41183, "[$-0E0000]yyyy-mm-dd")</f>
        <v/>
      </c>
      <c r="C41184" t="inlineStr">
        <is>
          <t>2012-08-17</t>
        </is>
      </c>
    </row>
    <row r="41185">
      <c r="A41185" s="1" t="n">
        <v>41184</v>
      </c>
      <c r="B41185">
        <f>TEXT(41184, "[$-0E0000]yyyy-mm-dd")</f>
        <v/>
      </c>
      <c r="C41185" t="inlineStr">
        <is>
          <t>2012-08-18</t>
        </is>
      </c>
    </row>
    <row r="41186">
      <c r="A41186" s="1" t="n">
        <v>41185</v>
      </c>
      <c r="B41186">
        <f>TEXT(41185, "[$-0E0000]yyyy-mm-dd")</f>
        <v/>
      </c>
      <c r="C41186" t="inlineStr">
        <is>
          <t>2012-08-19</t>
        </is>
      </c>
    </row>
    <row r="41187">
      <c r="A41187" s="1" t="n">
        <v>41186</v>
      </c>
      <c r="B41187">
        <f>TEXT(41186, "[$-0E0000]yyyy-mm-dd")</f>
        <v/>
      </c>
      <c r="C41187" t="inlineStr">
        <is>
          <t>2012-08-20</t>
        </is>
      </c>
    </row>
    <row r="41188">
      <c r="A41188" s="1" t="n">
        <v>41187</v>
      </c>
      <c r="B41188">
        <f>TEXT(41187, "[$-0E0000]yyyy-mm-dd")</f>
        <v/>
      </c>
      <c r="C41188" t="inlineStr">
        <is>
          <t>2012-08-21</t>
        </is>
      </c>
    </row>
    <row r="41189">
      <c r="A41189" s="1" t="n">
        <v>41188</v>
      </c>
      <c r="B41189">
        <f>TEXT(41188, "[$-0E0000]yyyy-mm-dd")</f>
        <v/>
      </c>
      <c r="C41189" t="inlineStr">
        <is>
          <t>2012-08-22</t>
        </is>
      </c>
    </row>
    <row r="41190">
      <c r="A41190" s="1" t="n">
        <v>41189</v>
      </c>
      <c r="B41190">
        <f>TEXT(41189, "[$-0E0000]yyyy-mm-dd")</f>
        <v/>
      </c>
      <c r="C41190" t="inlineStr">
        <is>
          <t>2012-08-23</t>
        </is>
      </c>
    </row>
    <row r="41191">
      <c r="A41191" s="1" t="n">
        <v>41190</v>
      </c>
      <c r="B41191">
        <f>TEXT(41190, "[$-0E0000]yyyy-mm-dd")</f>
        <v/>
      </c>
      <c r="C41191" t="inlineStr">
        <is>
          <t>2012-08-24</t>
        </is>
      </c>
    </row>
    <row r="41192">
      <c r="A41192" s="1" t="n">
        <v>41191</v>
      </c>
      <c r="B41192">
        <f>TEXT(41191, "[$-0E0000]yyyy-mm-dd")</f>
        <v/>
      </c>
      <c r="C41192" t="inlineStr">
        <is>
          <t>2012-08-25</t>
        </is>
      </c>
    </row>
    <row r="41193">
      <c r="A41193" s="1" t="n">
        <v>41192</v>
      </c>
      <c r="B41193">
        <f>TEXT(41192, "[$-0E0000]yyyy-mm-dd")</f>
        <v/>
      </c>
      <c r="C41193" t="inlineStr">
        <is>
          <t>2012-08-26</t>
        </is>
      </c>
    </row>
    <row r="41194">
      <c r="A41194" s="1" t="n">
        <v>41193</v>
      </c>
      <c r="B41194">
        <f>TEXT(41193, "[$-0E0000]yyyy-mm-dd")</f>
        <v/>
      </c>
      <c r="C41194" t="inlineStr">
        <is>
          <t>2012-08-27</t>
        </is>
      </c>
    </row>
    <row r="41195">
      <c r="A41195" s="1" t="n">
        <v>41194</v>
      </c>
      <c r="B41195">
        <f>TEXT(41194, "[$-0E0000]yyyy-mm-dd")</f>
        <v/>
      </c>
      <c r="C41195" t="inlineStr">
        <is>
          <t>2012-08-28</t>
        </is>
      </c>
    </row>
    <row r="41196">
      <c r="A41196" s="1" t="n">
        <v>41195</v>
      </c>
      <c r="B41196">
        <f>TEXT(41195, "[$-0E0000]yyyy-mm-dd")</f>
        <v/>
      </c>
      <c r="C41196" t="inlineStr">
        <is>
          <t>2012-08-29</t>
        </is>
      </c>
    </row>
    <row r="41197">
      <c r="A41197" s="1" t="n">
        <v>41196</v>
      </c>
      <c r="B41197">
        <f>TEXT(41196, "[$-0E0000]yyyy-mm-dd")</f>
        <v/>
      </c>
      <c r="C41197" t="inlineStr">
        <is>
          <t>2012-09-01</t>
        </is>
      </c>
    </row>
    <row r="41198">
      <c r="A41198" s="1" t="n">
        <v>41197</v>
      </c>
      <c r="B41198">
        <f>TEXT(41197, "[$-0E0000]yyyy-mm-dd")</f>
        <v/>
      </c>
      <c r="C41198" t="inlineStr">
        <is>
          <t>2012-09-02</t>
        </is>
      </c>
    </row>
    <row r="41199">
      <c r="A41199" s="1" t="n">
        <v>41198</v>
      </c>
      <c r="B41199">
        <f>TEXT(41198, "[$-0E0000]yyyy-mm-dd")</f>
        <v/>
      </c>
      <c r="C41199" t="inlineStr">
        <is>
          <t>2012-09-03</t>
        </is>
      </c>
    </row>
    <row r="41200">
      <c r="A41200" s="1" t="n">
        <v>41199</v>
      </c>
      <c r="B41200">
        <f>TEXT(41199, "[$-0E0000]yyyy-mm-dd")</f>
        <v/>
      </c>
      <c r="C41200" t="inlineStr">
        <is>
          <t>2012-09-04</t>
        </is>
      </c>
    </row>
    <row r="41201">
      <c r="A41201" s="1" t="n">
        <v>41200</v>
      </c>
      <c r="B41201">
        <f>TEXT(41200, "[$-0E0000]yyyy-mm-dd")</f>
        <v/>
      </c>
      <c r="C41201" t="inlineStr">
        <is>
          <t>2012-09-05</t>
        </is>
      </c>
    </row>
    <row r="41202">
      <c r="A41202" s="1" t="n">
        <v>41201</v>
      </c>
      <c r="B41202">
        <f>TEXT(41201, "[$-0E0000]yyyy-mm-dd")</f>
        <v/>
      </c>
      <c r="C41202" t="inlineStr">
        <is>
          <t>2012-09-06</t>
        </is>
      </c>
    </row>
    <row r="41203">
      <c r="A41203" s="1" t="n">
        <v>41202</v>
      </c>
      <c r="B41203">
        <f>TEXT(41202, "[$-0E0000]yyyy-mm-dd")</f>
        <v/>
      </c>
      <c r="C41203" t="inlineStr">
        <is>
          <t>2012-09-07</t>
        </is>
      </c>
    </row>
    <row r="41204">
      <c r="A41204" s="1" t="n">
        <v>41203</v>
      </c>
      <c r="B41204">
        <f>TEXT(41203, "[$-0E0000]yyyy-mm-dd")</f>
        <v/>
      </c>
      <c r="C41204" t="inlineStr">
        <is>
          <t>2012-09-08</t>
        </is>
      </c>
    </row>
    <row r="41205">
      <c r="A41205" s="1" t="n">
        <v>41204</v>
      </c>
      <c r="B41205">
        <f>TEXT(41204, "[$-0E0000]yyyy-mm-dd")</f>
        <v/>
      </c>
      <c r="C41205" t="inlineStr">
        <is>
          <t>2012-09-09</t>
        </is>
      </c>
    </row>
    <row r="41206">
      <c r="A41206" s="1" t="n">
        <v>41205</v>
      </c>
      <c r="B41206">
        <f>TEXT(41205, "[$-0E0000]yyyy-mm-dd")</f>
        <v/>
      </c>
      <c r="C41206" t="inlineStr">
        <is>
          <t>2012-09-10</t>
        </is>
      </c>
    </row>
    <row r="41207">
      <c r="A41207" s="1" t="n">
        <v>41206</v>
      </c>
      <c r="B41207">
        <f>TEXT(41206, "[$-0E0000]yyyy-mm-dd")</f>
        <v/>
      </c>
      <c r="C41207" t="inlineStr">
        <is>
          <t>2012-09-11</t>
        </is>
      </c>
    </row>
    <row r="41208">
      <c r="A41208" s="1" t="n">
        <v>41207</v>
      </c>
      <c r="B41208">
        <f>TEXT(41207, "[$-0E0000]yyyy-mm-dd")</f>
        <v/>
      </c>
      <c r="C41208" t="inlineStr">
        <is>
          <t>2012-09-12</t>
        </is>
      </c>
    </row>
    <row r="41209">
      <c r="A41209" s="1" t="n">
        <v>41208</v>
      </c>
      <c r="B41209">
        <f>TEXT(41208, "[$-0E0000]yyyy-mm-dd")</f>
        <v/>
      </c>
      <c r="C41209" t="inlineStr">
        <is>
          <t>2012-09-13</t>
        </is>
      </c>
    </row>
    <row r="41210">
      <c r="A41210" s="1" t="n">
        <v>41209</v>
      </c>
      <c r="B41210">
        <f>TEXT(41209, "[$-0E0000]yyyy-mm-dd")</f>
        <v/>
      </c>
      <c r="C41210" t="inlineStr">
        <is>
          <t>2012-09-14</t>
        </is>
      </c>
    </row>
    <row r="41211">
      <c r="A41211" s="1" t="n">
        <v>41210</v>
      </c>
      <c r="B41211">
        <f>TEXT(41210, "[$-0E0000]yyyy-mm-dd")</f>
        <v/>
      </c>
      <c r="C41211" t="inlineStr">
        <is>
          <t>2012-09-15</t>
        </is>
      </c>
    </row>
    <row r="41212">
      <c r="A41212" s="1" t="n">
        <v>41211</v>
      </c>
      <c r="B41212">
        <f>TEXT(41211, "[$-0E0000]yyyy-mm-dd")</f>
        <v/>
      </c>
      <c r="C41212" t="inlineStr">
        <is>
          <t>2012-09-16</t>
        </is>
      </c>
    </row>
    <row r="41213">
      <c r="A41213" s="1" t="n">
        <v>41212</v>
      </c>
      <c r="B41213">
        <f>TEXT(41212, "[$-0E0000]yyyy-mm-dd")</f>
        <v/>
      </c>
      <c r="C41213" t="inlineStr">
        <is>
          <t>2012-09-17</t>
        </is>
      </c>
    </row>
    <row r="41214">
      <c r="A41214" s="1" t="n">
        <v>41213</v>
      </c>
      <c r="B41214">
        <f>TEXT(41213, "[$-0E0000]yyyy-mm-dd")</f>
        <v/>
      </c>
      <c r="C41214" t="inlineStr">
        <is>
          <t>2012-09-18</t>
        </is>
      </c>
    </row>
    <row r="41215">
      <c r="A41215" s="1" t="n">
        <v>41214</v>
      </c>
      <c r="B41215">
        <f>TEXT(41214, "[$-0E0000]yyyy-mm-dd")</f>
        <v/>
      </c>
      <c r="C41215" t="inlineStr">
        <is>
          <t>2012-09-19</t>
        </is>
      </c>
    </row>
    <row r="41216">
      <c r="A41216" s="1" t="n">
        <v>41215</v>
      </c>
      <c r="B41216">
        <f>TEXT(41215, "[$-0E0000]yyyy-mm-dd")</f>
        <v/>
      </c>
      <c r="C41216" t="inlineStr">
        <is>
          <t>2012-09-20</t>
        </is>
      </c>
    </row>
    <row r="41217">
      <c r="A41217" s="1" t="n">
        <v>41216</v>
      </c>
      <c r="B41217">
        <f>TEXT(41216, "[$-0E0000]yyyy-mm-dd")</f>
        <v/>
      </c>
      <c r="C41217" t="inlineStr">
        <is>
          <t>2012-09-21</t>
        </is>
      </c>
    </row>
    <row r="41218">
      <c r="A41218" s="1" t="n">
        <v>41217</v>
      </c>
      <c r="B41218">
        <f>TEXT(41217, "[$-0E0000]yyyy-mm-dd")</f>
        <v/>
      </c>
      <c r="C41218" t="inlineStr">
        <is>
          <t>2012-09-22</t>
        </is>
      </c>
    </row>
    <row r="41219">
      <c r="A41219" s="1" t="n">
        <v>41218</v>
      </c>
      <c r="B41219">
        <f>TEXT(41218, "[$-0E0000]yyyy-mm-dd")</f>
        <v/>
      </c>
      <c r="C41219" t="inlineStr">
        <is>
          <t>2012-09-23</t>
        </is>
      </c>
    </row>
    <row r="41220">
      <c r="A41220" s="1" t="n">
        <v>41219</v>
      </c>
      <c r="B41220">
        <f>TEXT(41219, "[$-0E0000]yyyy-mm-dd")</f>
        <v/>
      </c>
      <c r="C41220" t="inlineStr">
        <is>
          <t>2012-09-24</t>
        </is>
      </c>
    </row>
    <row r="41221">
      <c r="A41221" s="1" t="n">
        <v>41220</v>
      </c>
      <c r="B41221">
        <f>TEXT(41220, "[$-0E0000]yyyy-mm-dd")</f>
        <v/>
      </c>
      <c r="C41221" t="inlineStr">
        <is>
          <t>2012-09-25</t>
        </is>
      </c>
    </row>
    <row r="41222">
      <c r="A41222" s="1" t="n">
        <v>41221</v>
      </c>
      <c r="B41222">
        <f>TEXT(41221, "[$-0E0000]yyyy-mm-dd")</f>
        <v/>
      </c>
      <c r="C41222" t="inlineStr">
        <is>
          <t>2012-09-26</t>
        </is>
      </c>
    </row>
    <row r="41223">
      <c r="A41223" s="1" t="n">
        <v>41222</v>
      </c>
      <c r="B41223">
        <f>TEXT(41222, "[$-0E0000]yyyy-mm-dd")</f>
        <v/>
      </c>
      <c r="C41223" t="inlineStr">
        <is>
          <t>2012-09-27</t>
        </is>
      </c>
    </row>
    <row r="41224">
      <c r="A41224" s="1" t="n">
        <v>41223</v>
      </c>
      <c r="B41224">
        <f>TEXT(41223, "[$-0E0000]yyyy-mm-dd")</f>
        <v/>
      </c>
      <c r="C41224" t="inlineStr">
        <is>
          <t>2012-09-28</t>
        </is>
      </c>
    </row>
    <row r="41225">
      <c r="A41225" s="1" t="n">
        <v>41224</v>
      </c>
      <c r="B41225">
        <f>TEXT(41224, "[$-0E0000]yyyy-mm-dd")</f>
        <v/>
      </c>
      <c r="C41225" t="inlineStr">
        <is>
          <t>2012-09-29</t>
        </is>
      </c>
    </row>
    <row r="41226">
      <c r="A41226" s="1" t="n">
        <v>41225</v>
      </c>
      <c r="B41226">
        <f>TEXT(41225, "[$-0E0000]yyyy-mm-dd")</f>
        <v/>
      </c>
      <c r="C41226" t="inlineStr">
        <is>
          <t>2012-09-30</t>
        </is>
      </c>
    </row>
    <row r="41227">
      <c r="A41227" s="1" t="n">
        <v>41226</v>
      </c>
      <c r="B41227">
        <f>TEXT(41226, "[$-0E0000]yyyy-mm-dd")</f>
        <v/>
      </c>
      <c r="C41227" t="inlineStr">
        <is>
          <t>2012-10-01</t>
        </is>
      </c>
    </row>
    <row r="41228">
      <c r="A41228" s="1" t="n">
        <v>41227</v>
      </c>
      <c r="B41228">
        <f>TEXT(41227, "[$-0E0000]yyyy-mm-dd")</f>
        <v/>
      </c>
      <c r="C41228" t="inlineStr">
        <is>
          <t>2012-10-02</t>
        </is>
      </c>
    </row>
    <row r="41229">
      <c r="A41229" s="1" t="n">
        <v>41228</v>
      </c>
      <c r="B41229">
        <f>TEXT(41228, "[$-0E0000]yyyy-mm-dd")</f>
        <v/>
      </c>
      <c r="C41229" t="inlineStr">
        <is>
          <t>2012-10-03</t>
        </is>
      </c>
    </row>
    <row r="41230">
      <c r="A41230" s="1" t="n">
        <v>41229</v>
      </c>
      <c r="B41230">
        <f>TEXT(41229, "[$-0E0000]yyyy-mm-dd")</f>
        <v/>
      </c>
      <c r="C41230" t="inlineStr">
        <is>
          <t>2012-10-04</t>
        </is>
      </c>
    </row>
    <row r="41231">
      <c r="A41231" s="1" t="n">
        <v>41230</v>
      </c>
      <c r="B41231">
        <f>TEXT(41230, "[$-0E0000]yyyy-mm-dd")</f>
        <v/>
      </c>
      <c r="C41231" t="inlineStr">
        <is>
          <t>2012-10-05</t>
        </is>
      </c>
    </row>
    <row r="41232">
      <c r="A41232" s="1" t="n">
        <v>41231</v>
      </c>
      <c r="B41232">
        <f>TEXT(41231, "[$-0E0000]yyyy-mm-dd")</f>
        <v/>
      </c>
      <c r="C41232" t="inlineStr">
        <is>
          <t>2012-10-06</t>
        </is>
      </c>
    </row>
    <row r="41233">
      <c r="A41233" s="1" t="n">
        <v>41232</v>
      </c>
      <c r="B41233">
        <f>TEXT(41232, "[$-0E0000]yyyy-mm-dd")</f>
        <v/>
      </c>
      <c r="C41233" t="inlineStr">
        <is>
          <t>2012-10-07</t>
        </is>
      </c>
    </row>
    <row r="41234">
      <c r="A41234" s="1" t="n">
        <v>41233</v>
      </c>
      <c r="B41234">
        <f>TEXT(41233, "[$-0E0000]yyyy-mm-dd")</f>
        <v/>
      </c>
      <c r="C41234" t="inlineStr">
        <is>
          <t>2012-10-08</t>
        </is>
      </c>
    </row>
    <row r="41235">
      <c r="A41235" s="1" t="n">
        <v>41234</v>
      </c>
      <c r="B41235">
        <f>TEXT(41234, "[$-0E0000]yyyy-mm-dd")</f>
        <v/>
      </c>
      <c r="C41235" t="inlineStr">
        <is>
          <t>2012-10-09</t>
        </is>
      </c>
    </row>
    <row r="41236">
      <c r="A41236" s="1" t="n">
        <v>41235</v>
      </c>
      <c r="B41236">
        <f>TEXT(41235, "[$-0E0000]yyyy-mm-dd")</f>
        <v/>
      </c>
      <c r="C41236" t="inlineStr">
        <is>
          <t>2012-10-10</t>
        </is>
      </c>
    </row>
    <row r="41237">
      <c r="A41237" s="1" t="n">
        <v>41236</v>
      </c>
      <c r="B41237">
        <f>TEXT(41236, "[$-0E0000]yyyy-mm-dd")</f>
        <v/>
      </c>
      <c r="C41237" t="inlineStr">
        <is>
          <t>2012-10-11</t>
        </is>
      </c>
    </row>
    <row r="41238">
      <c r="A41238" s="1" t="n">
        <v>41237</v>
      </c>
      <c r="B41238">
        <f>TEXT(41237, "[$-0E0000]yyyy-mm-dd")</f>
        <v/>
      </c>
      <c r="C41238" t="inlineStr">
        <is>
          <t>2012-10-12</t>
        </is>
      </c>
    </row>
    <row r="41239">
      <c r="A41239" s="1" t="n">
        <v>41238</v>
      </c>
      <c r="B41239">
        <f>TEXT(41238, "[$-0E0000]yyyy-mm-dd")</f>
        <v/>
      </c>
      <c r="C41239" t="inlineStr">
        <is>
          <t>2012-10-13</t>
        </is>
      </c>
    </row>
    <row r="41240">
      <c r="A41240" s="1" t="n">
        <v>41239</v>
      </c>
      <c r="B41240">
        <f>TEXT(41239, "[$-0E0000]yyyy-mm-dd")</f>
        <v/>
      </c>
      <c r="C41240" t="inlineStr">
        <is>
          <t>2012-10-14</t>
        </is>
      </c>
    </row>
    <row r="41241">
      <c r="A41241" s="1" t="n">
        <v>41240</v>
      </c>
      <c r="B41241">
        <f>TEXT(41240, "[$-0E0000]yyyy-mm-dd")</f>
        <v/>
      </c>
      <c r="C41241" t="inlineStr">
        <is>
          <t>2012-10-15</t>
        </is>
      </c>
    </row>
    <row r="41242">
      <c r="A41242" s="1" t="n">
        <v>41241</v>
      </c>
      <c r="B41242">
        <f>TEXT(41241, "[$-0E0000]yyyy-mm-dd")</f>
        <v/>
      </c>
      <c r="C41242" t="inlineStr">
        <is>
          <t>2012-10-16</t>
        </is>
      </c>
    </row>
    <row r="41243">
      <c r="A41243" s="1" t="n">
        <v>41242</v>
      </c>
      <c r="B41243">
        <f>TEXT(41242, "[$-0E0000]yyyy-mm-dd")</f>
        <v/>
      </c>
      <c r="C41243" t="inlineStr">
        <is>
          <t>2012-10-17</t>
        </is>
      </c>
    </row>
    <row r="41244">
      <c r="A41244" s="1" t="n">
        <v>41243</v>
      </c>
      <c r="B41244">
        <f>TEXT(41243, "[$-0E0000]yyyy-mm-dd")</f>
        <v/>
      </c>
      <c r="C41244" t="inlineStr">
        <is>
          <t>2012-10-18</t>
        </is>
      </c>
    </row>
    <row r="41245">
      <c r="A41245" s="1" t="n">
        <v>41244</v>
      </c>
      <c r="B41245">
        <f>TEXT(41244, "[$-0E0000]yyyy-mm-dd")</f>
        <v/>
      </c>
      <c r="C41245" t="inlineStr">
        <is>
          <t>2012-10-19</t>
        </is>
      </c>
    </row>
    <row r="41246">
      <c r="A41246" s="1" t="n">
        <v>41245</v>
      </c>
      <c r="B41246">
        <f>TEXT(41245, "[$-0E0000]yyyy-mm-dd")</f>
        <v/>
      </c>
      <c r="C41246" t="inlineStr">
        <is>
          <t>2012-10-20</t>
        </is>
      </c>
    </row>
    <row r="41247">
      <c r="A41247" s="1" t="n">
        <v>41246</v>
      </c>
      <c r="B41247">
        <f>TEXT(41246, "[$-0E0000]yyyy-mm-dd")</f>
        <v/>
      </c>
      <c r="C41247" t="inlineStr">
        <is>
          <t>2012-10-21</t>
        </is>
      </c>
    </row>
    <row r="41248">
      <c r="A41248" s="1" t="n">
        <v>41247</v>
      </c>
      <c r="B41248">
        <f>TEXT(41247, "[$-0E0000]yyyy-mm-dd")</f>
        <v/>
      </c>
      <c r="C41248" t="inlineStr">
        <is>
          <t>2012-10-22</t>
        </is>
      </c>
    </row>
    <row r="41249">
      <c r="A41249" s="1" t="n">
        <v>41248</v>
      </c>
      <c r="B41249">
        <f>TEXT(41248, "[$-0E0000]yyyy-mm-dd")</f>
        <v/>
      </c>
      <c r="C41249" t="inlineStr">
        <is>
          <t>2012-10-23</t>
        </is>
      </c>
    </row>
    <row r="41250">
      <c r="A41250" s="1" t="n">
        <v>41249</v>
      </c>
      <c r="B41250">
        <f>TEXT(41249, "[$-0E0000]yyyy-mm-dd")</f>
        <v/>
      </c>
      <c r="C41250" t="inlineStr">
        <is>
          <t>2012-10-24</t>
        </is>
      </c>
    </row>
    <row r="41251">
      <c r="A41251" s="1" t="n">
        <v>41250</v>
      </c>
      <c r="B41251">
        <f>TEXT(41250, "[$-0E0000]yyyy-mm-dd")</f>
        <v/>
      </c>
      <c r="C41251" t="inlineStr">
        <is>
          <t>2012-10-25</t>
        </is>
      </c>
    </row>
    <row r="41252">
      <c r="A41252" s="1" t="n">
        <v>41251</v>
      </c>
      <c r="B41252">
        <f>TEXT(41251, "[$-0E0000]yyyy-mm-dd")</f>
        <v/>
      </c>
      <c r="C41252" t="inlineStr">
        <is>
          <t>2012-10-26</t>
        </is>
      </c>
    </row>
    <row r="41253">
      <c r="A41253" s="1" t="n">
        <v>41252</v>
      </c>
      <c r="B41253">
        <f>TEXT(41252, "[$-0E0000]yyyy-mm-dd")</f>
        <v/>
      </c>
      <c r="C41253" t="inlineStr">
        <is>
          <t>2012-10-27</t>
        </is>
      </c>
    </row>
    <row r="41254">
      <c r="A41254" s="1" t="n">
        <v>41253</v>
      </c>
      <c r="B41254">
        <f>TEXT(41253, "[$-0E0000]yyyy-mm-dd")</f>
        <v/>
      </c>
      <c r="C41254" t="inlineStr">
        <is>
          <t>2012-10-28</t>
        </is>
      </c>
    </row>
    <row r="41255">
      <c r="A41255" s="1" t="n">
        <v>41254</v>
      </c>
      <c r="B41255">
        <f>TEXT(41254, "[$-0E0000]yyyy-mm-dd")</f>
        <v/>
      </c>
      <c r="C41255" t="inlineStr">
        <is>
          <t>2012-10-29</t>
        </is>
      </c>
    </row>
    <row r="41256">
      <c r="A41256" s="1" t="n">
        <v>41255</v>
      </c>
      <c r="B41256">
        <f>TEXT(41255, "[$-0E0000]yyyy-mm-dd")</f>
        <v/>
      </c>
      <c r="C41256" t="inlineStr">
        <is>
          <t>2012-11-01</t>
        </is>
      </c>
    </row>
    <row r="41257">
      <c r="A41257" s="1" t="n">
        <v>41256</v>
      </c>
      <c r="B41257">
        <f>TEXT(41256, "[$-0E0000]yyyy-mm-dd")</f>
        <v/>
      </c>
      <c r="C41257" t="inlineStr">
        <is>
          <t>2012-11-02</t>
        </is>
      </c>
    </row>
    <row r="41258">
      <c r="A41258" s="1" t="n">
        <v>41257</v>
      </c>
      <c r="B41258">
        <f>TEXT(41257, "[$-0E0000]yyyy-mm-dd")</f>
        <v/>
      </c>
      <c r="C41258" t="inlineStr">
        <is>
          <t>2012-11-03</t>
        </is>
      </c>
    </row>
    <row r="41259">
      <c r="A41259" s="1" t="n">
        <v>41258</v>
      </c>
      <c r="B41259">
        <f>TEXT(41258, "[$-0E0000]yyyy-mm-dd")</f>
        <v/>
      </c>
      <c r="C41259" t="inlineStr">
        <is>
          <t>2012-11-04</t>
        </is>
      </c>
    </row>
    <row r="41260">
      <c r="A41260" s="1" t="n">
        <v>41259</v>
      </c>
      <c r="B41260">
        <f>TEXT(41259, "[$-0E0000]yyyy-mm-dd")</f>
        <v/>
      </c>
      <c r="C41260" t="inlineStr">
        <is>
          <t>2012-11-05</t>
        </is>
      </c>
    </row>
    <row r="41261">
      <c r="A41261" s="1" t="n">
        <v>41260</v>
      </c>
      <c r="B41261">
        <f>TEXT(41260, "[$-0E0000]yyyy-mm-dd")</f>
        <v/>
      </c>
      <c r="C41261" t="inlineStr">
        <is>
          <t>2012-11-06</t>
        </is>
      </c>
    </row>
    <row r="41262">
      <c r="A41262" s="1" t="n">
        <v>41261</v>
      </c>
      <c r="B41262">
        <f>TEXT(41261, "[$-0E0000]yyyy-mm-dd")</f>
        <v/>
      </c>
      <c r="C41262" t="inlineStr">
        <is>
          <t>2012-11-07</t>
        </is>
      </c>
    </row>
    <row r="41263">
      <c r="A41263" s="1" t="n">
        <v>41262</v>
      </c>
      <c r="B41263">
        <f>TEXT(41262, "[$-0E0000]yyyy-mm-dd")</f>
        <v/>
      </c>
      <c r="C41263" t="inlineStr">
        <is>
          <t>2012-11-08</t>
        </is>
      </c>
    </row>
    <row r="41264">
      <c r="A41264" s="1" t="n">
        <v>41263</v>
      </c>
      <c r="B41264">
        <f>TEXT(41263, "[$-0E0000]yyyy-mm-dd")</f>
        <v/>
      </c>
      <c r="C41264" t="inlineStr">
        <is>
          <t>2012-11-09</t>
        </is>
      </c>
    </row>
    <row r="41265">
      <c r="A41265" s="1" t="n">
        <v>41264</v>
      </c>
      <c r="B41265">
        <f>TEXT(41264, "[$-0E0000]yyyy-mm-dd")</f>
        <v/>
      </c>
      <c r="C41265" t="inlineStr">
        <is>
          <t>2012-11-10</t>
        </is>
      </c>
    </row>
    <row r="41266">
      <c r="A41266" s="1" t="n">
        <v>41265</v>
      </c>
      <c r="B41266">
        <f>TEXT(41265, "[$-0E0000]yyyy-mm-dd")</f>
        <v/>
      </c>
      <c r="C41266" t="inlineStr">
        <is>
          <t>2012-11-11</t>
        </is>
      </c>
    </row>
    <row r="41267">
      <c r="A41267" s="1" t="n">
        <v>41266</v>
      </c>
      <c r="B41267">
        <f>TEXT(41266, "[$-0E0000]yyyy-mm-dd")</f>
        <v/>
      </c>
      <c r="C41267" t="inlineStr">
        <is>
          <t>2012-11-12</t>
        </is>
      </c>
    </row>
    <row r="41268">
      <c r="A41268" s="1" t="n">
        <v>41267</v>
      </c>
      <c r="B41268">
        <f>TEXT(41267, "[$-0E0000]yyyy-mm-dd")</f>
        <v/>
      </c>
      <c r="C41268" t="inlineStr">
        <is>
          <t>2012-11-13</t>
        </is>
      </c>
    </row>
    <row r="41269">
      <c r="A41269" s="1" t="n">
        <v>41268</v>
      </c>
      <c r="B41269">
        <f>TEXT(41268, "[$-0E0000]yyyy-mm-dd")</f>
        <v/>
      </c>
      <c r="C41269" t="inlineStr">
        <is>
          <t>2012-11-14</t>
        </is>
      </c>
    </row>
    <row r="41270">
      <c r="A41270" s="1" t="n">
        <v>41269</v>
      </c>
      <c r="B41270">
        <f>TEXT(41269, "[$-0E0000]yyyy-mm-dd")</f>
        <v/>
      </c>
      <c r="C41270" t="inlineStr">
        <is>
          <t>2012-11-15</t>
        </is>
      </c>
    </row>
    <row r="41271">
      <c r="A41271" s="1" t="n">
        <v>41270</v>
      </c>
      <c r="B41271">
        <f>TEXT(41270, "[$-0E0000]yyyy-mm-dd")</f>
        <v/>
      </c>
      <c r="C41271" t="inlineStr">
        <is>
          <t>2012-11-16</t>
        </is>
      </c>
    </row>
    <row r="41272">
      <c r="A41272" s="1" t="n">
        <v>41271</v>
      </c>
      <c r="B41272">
        <f>TEXT(41271, "[$-0E0000]yyyy-mm-dd")</f>
        <v/>
      </c>
      <c r="C41272" t="inlineStr">
        <is>
          <t>2012-11-17</t>
        </is>
      </c>
    </row>
    <row r="41273">
      <c r="A41273" s="1" t="n">
        <v>41272</v>
      </c>
      <c r="B41273">
        <f>TEXT(41272, "[$-0E0000]yyyy-mm-dd")</f>
        <v/>
      </c>
      <c r="C41273" t="inlineStr">
        <is>
          <t>2012-11-18</t>
        </is>
      </c>
    </row>
    <row r="41274">
      <c r="A41274" s="1" t="n">
        <v>41273</v>
      </c>
      <c r="B41274">
        <f>TEXT(41273, "[$-0E0000]yyyy-mm-dd")</f>
        <v/>
      </c>
      <c r="C41274" t="inlineStr">
        <is>
          <t>2012-11-19</t>
        </is>
      </c>
    </row>
    <row r="41275">
      <c r="A41275" s="1" t="n">
        <v>41274</v>
      </c>
      <c r="B41275">
        <f>TEXT(41274, "[$-0E0000]yyyy-mm-dd")</f>
        <v/>
      </c>
      <c r="C41275" t="inlineStr">
        <is>
          <t>2012-11-20</t>
        </is>
      </c>
    </row>
    <row r="41276">
      <c r="A41276" s="1" t="n">
        <v>41275</v>
      </c>
      <c r="B41276">
        <f>TEXT(41275, "[$-0E0000]yyyy-mm-dd")</f>
        <v/>
      </c>
      <c r="C41276" t="inlineStr">
        <is>
          <t>2012-11-21</t>
        </is>
      </c>
    </row>
    <row r="41277">
      <c r="A41277" s="1" t="n">
        <v>41276</v>
      </c>
      <c r="B41277">
        <f>TEXT(41276, "[$-0E0000]yyyy-mm-dd")</f>
        <v/>
      </c>
      <c r="C41277" t="inlineStr">
        <is>
          <t>2012-11-22</t>
        </is>
      </c>
    </row>
    <row r="41278">
      <c r="A41278" s="1" t="n">
        <v>41277</v>
      </c>
      <c r="B41278">
        <f>TEXT(41277, "[$-0E0000]yyyy-mm-dd")</f>
        <v/>
      </c>
      <c r="C41278" t="inlineStr">
        <is>
          <t>2012-11-23</t>
        </is>
      </c>
    </row>
    <row r="41279">
      <c r="A41279" s="1" t="n">
        <v>41278</v>
      </c>
      <c r="B41279">
        <f>TEXT(41278, "[$-0E0000]yyyy-mm-dd")</f>
        <v/>
      </c>
      <c r="C41279" t="inlineStr">
        <is>
          <t>2012-11-24</t>
        </is>
      </c>
    </row>
    <row r="41280">
      <c r="A41280" s="1" t="n">
        <v>41279</v>
      </c>
      <c r="B41280">
        <f>TEXT(41279, "[$-0E0000]yyyy-mm-dd")</f>
        <v/>
      </c>
      <c r="C41280" t="inlineStr">
        <is>
          <t>2012-11-25</t>
        </is>
      </c>
    </row>
    <row r="41281">
      <c r="A41281" s="1" t="n">
        <v>41280</v>
      </c>
      <c r="B41281">
        <f>TEXT(41280, "[$-0E0000]yyyy-mm-dd")</f>
        <v/>
      </c>
      <c r="C41281" t="inlineStr">
        <is>
          <t>2012-11-26</t>
        </is>
      </c>
    </row>
    <row r="41282">
      <c r="A41282" s="1" t="n">
        <v>41281</v>
      </c>
      <c r="B41282">
        <f>TEXT(41281, "[$-0E0000]yyyy-mm-dd")</f>
        <v/>
      </c>
      <c r="C41282" t="inlineStr">
        <is>
          <t>2012-11-27</t>
        </is>
      </c>
    </row>
    <row r="41283">
      <c r="A41283" s="1" t="n">
        <v>41282</v>
      </c>
      <c r="B41283">
        <f>TEXT(41282, "[$-0E0000]yyyy-mm-dd")</f>
        <v/>
      </c>
      <c r="C41283" t="inlineStr">
        <is>
          <t>2012-11-28</t>
        </is>
      </c>
    </row>
    <row r="41284">
      <c r="A41284" s="1" t="n">
        <v>41283</v>
      </c>
      <c r="B41284">
        <f>TEXT(41283, "[$-0E0000]yyyy-mm-dd")</f>
        <v/>
      </c>
      <c r="C41284" t="inlineStr">
        <is>
          <t>2012-11-29</t>
        </is>
      </c>
    </row>
    <row r="41285">
      <c r="A41285" s="1" t="n">
        <v>41284</v>
      </c>
      <c r="B41285">
        <f>TEXT(41284, "[$-0E0000]yyyy-mm-dd")</f>
        <v/>
      </c>
      <c r="C41285" t="inlineStr">
        <is>
          <t>2012-11-30</t>
        </is>
      </c>
    </row>
    <row r="41286">
      <c r="A41286" s="1" t="n">
        <v>41285</v>
      </c>
      <c r="B41286">
        <f>TEXT(41285, "[$-0E0000]yyyy-mm-dd")</f>
        <v/>
      </c>
      <c r="C41286" t="inlineStr">
        <is>
          <t>2012-12-01</t>
        </is>
      </c>
    </row>
    <row r="41287">
      <c r="A41287" s="1" t="n">
        <v>41286</v>
      </c>
      <c r="B41287">
        <f>TEXT(41286, "[$-0E0000]yyyy-mm-dd")</f>
        <v/>
      </c>
      <c r="C41287" t="inlineStr">
        <is>
          <t>2012-12-02</t>
        </is>
      </c>
    </row>
    <row r="41288">
      <c r="A41288" s="1" t="n">
        <v>41287</v>
      </c>
      <c r="B41288">
        <f>TEXT(41287, "[$-0E0000]yyyy-mm-dd")</f>
        <v/>
      </c>
      <c r="C41288" t="inlineStr">
        <is>
          <t>2012-12-03</t>
        </is>
      </c>
    </row>
    <row r="41289">
      <c r="A41289" s="1" t="n">
        <v>41288</v>
      </c>
      <c r="B41289">
        <f>TEXT(41288, "[$-0E0000]yyyy-mm-dd")</f>
        <v/>
      </c>
      <c r="C41289" t="inlineStr">
        <is>
          <t>2012-12-04</t>
        </is>
      </c>
    </row>
    <row r="41290">
      <c r="A41290" s="1" t="n">
        <v>41289</v>
      </c>
      <c r="B41290">
        <f>TEXT(41289, "[$-0E0000]yyyy-mm-dd")</f>
        <v/>
      </c>
      <c r="C41290" t="inlineStr">
        <is>
          <t>2012-12-05</t>
        </is>
      </c>
    </row>
    <row r="41291">
      <c r="A41291" s="1" t="n">
        <v>41290</v>
      </c>
      <c r="B41291">
        <f>TEXT(41290, "[$-0E0000]yyyy-mm-dd")</f>
        <v/>
      </c>
      <c r="C41291" t="inlineStr">
        <is>
          <t>2012-12-06</t>
        </is>
      </c>
    </row>
    <row r="41292">
      <c r="A41292" s="1" t="n">
        <v>41291</v>
      </c>
      <c r="B41292">
        <f>TEXT(41291, "[$-0E0000]yyyy-mm-dd")</f>
        <v/>
      </c>
      <c r="C41292" t="inlineStr">
        <is>
          <t>2012-12-07</t>
        </is>
      </c>
    </row>
    <row r="41293">
      <c r="A41293" s="1" t="n">
        <v>41292</v>
      </c>
      <c r="B41293">
        <f>TEXT(41292, "[$-0E0000]yyyy-mm-dd")</f>
        <v/>
      </c>
      <c r="C41293" t="inlineStr">
        <is>
          <t>2012-12-08</t>
        </is>
      </c>
    </row>
    <row r="41294">
      <c r="A41294" s="1" t="n">
        <v>41293</v>
      </c>
      <c r="B41294">
        <f>TEXT(41293, "[$-0E0000]yyyy-mm-dd")</f>
        <v/>
      </c>
      <c r="C41294" t="inlineStr">
        <is>
          <t>2012-12-09</t>
        </is>
      </c>
    </row>
    <row r="41295">
      <c r="A41295" s="1" t="n">
        <v>41294</v>
      </c>
      <c r="B41295">
        <f>TEXT(41294, "[$-0E0000]yyyy-mm-dd")</f>
        <v/>
      </c>
      <c r="C41295" t="inlineStr">
        <is>
          <t>2012-12-10</t>
        </is>
      </c>
    </row>
    <row r="41296">
      <c r="A41296" s="1" t="n">
        <v>41295</v>
      </c>
      <c r="B41296">
        <f>TEXT(41295, "[$-0E0000]yyyy-mm-dd")</f>
        <v/>
      </c>
      <c r="C41296" t="inlineStr">
        <is>
          <t>2012-12-11</t>
        </is>
      </c>
    </row>
    <row r="41297">
      <c r="A41297" s="1" t="n">
        <v>41296</v>
      </c>
      <c r="B41297">
        <f>TEXT(41296, "[$-0E0000]yyyy-mm-dd")</f>
        <v/>
      </c>
      <c r="C41297" t="inlineStr">
        <is>
          <t>2012-12-12</t>
        </is>
      </c>
    </row>
    <row r="41298">
      <c r="A41298" s="1" t="n">
        <v>41297</v>
      </c>
      <c r="B41298">
        <f>TEXT(41297, "[$-0E0000]yyyy-mm-dd")</f>
        <v/>
      </c>
      <c r="C41298" t="inlineStr">
        <is>
          <t>2012-12-13</t>
        </is>
      </c>
    </row>
    <row r="41299">
      <c r="A41299" s="1" t="n">
        <v>41298</v>
      </c>
      <c r="B41299">
        <f>TEXT(41298, "[$-0E0000]yyyy-mm-dd")</f>
        <v/>
      </c>
      <c r="C41299" t="inlineStr">
        <is>
          <t>2012-12-14</t>
        </is>
      </c>
    </row>
    <row r="41300">
      <c r="A41300" s="1" t="n">
        <v>41299</v>
      </c>
      <c r="B41300">
        <f>TEXT(41299, "[$-0E0000]yyyy-mm-dd")</f>
        <v/>
      </c>
      <c r="C41300" t="inlineStr">
        <is>
          <t>2012-12-15</t>
        </is>
      </c>
    </row>
    <row r="41301">
      <c r="A41301" s="1" t="n">
        <v>41300</v>
      </c>
      <c r="B41301">
        <f>TEXT(41300, "[$-0E0000]yyyy-mm-dd")</f>
        <v/>
      </c>
      <c r="C41301" t="inlineStr">
        <is>
          <t>2012-12-16</t>
        </is>
      </c>
    </row>
    <row r="41302">
      <c r="A41302" s="1" t="n">
        <v>41301</v>
      </c>
      <c r="B41302">
        <f>TEXT(41301, "[$-0E0000]yyyy-mm-dd")</f>
        <v/>
      </c>
      <c r="C41302" t="inlineStr">
        <is>
          <t>2012-12-17</t>
        </is>
      </c>
    </row>
    <row r="41303">
      <c r="A41303" s="1" t="n">
        <v>41302</v>
      </c>
      <c r="B41303">
        <f>TEXT(41302, "[$-0E0000]yyyy-mm-dd")</f>
        <v/>
      </c>
      <c r="C41303" t="inlineStr">
        <is>
          <t>2012-12-18</t>
        </is>
      </c>
    </row>
    <row r="41304">
      <c r="A41304" s="1" t="n">
        <v>41303</v>
      </c>
      <c r="B41304">
        <f>TEXT(41303, "[$-0E0000]yyyy-mm-dd")</f>
        <v/>
      </c>
      <c r="C41304" t="inlineStr">
        <is>
          <t>2012-12-19</t>
        </is>
      </c>
    </row>
    <row r="41305">
      <c r="A41305" s="1" t="n">
        <v>41304</v>
      </c>
      <c r="B41305">
        <f>TEXT(41304, "[$-0E0000]yyyy-mm-dd")</f>
        <v/>
      </c>
      <c r="C41305" t="inlineStr">
        <is>
          <t>2012-12-20</t>
        </is>
      </c>
    </row>
    <row r="41306">
      <c r="A41306" s="1" t="n">
        <v>41305</v>
      </c>
      <c r="B41306">
        <f>TEXT(41305, "[$-0E0000]yyyy-mm-dd")</f>
        <v/>
      </c>
      <c r="C41306" t="inlineStr">
        <is>
          <t>2012-12-21</t>
        </is>
      </c>
    </row>
    <row r="41307">
      <c r="A41307" s="1" t="n">
        <v>41306</v>
      </c>
      <c r="B41307">
        <f>TEXT(41306, "[$-0E0000]yyyy-mm-dd")</f>
        <v/>
      </c>
      <c r="C41307" t="inlineStr">
        <is>
          <t>2012-12-22</t>
        </is>
      </c>
    </row>
    <row r="41308">
      <c r="A41308" s="1" t="n">
        <v>41307</v>
      </c>
      <c r="B41308">
        <f>TEXT(41307, "[$-0E0000]yyyy-mm-dd")</f>
        <v/>
      </c>
      <c r="C41308" t="inlineStr">
        <is>
          <t>2012-12-23</t>
        </is>
      </c>
    </row>
    <row r="41309">
      <c r="A41309" s="1" t="n">
        <v>41308</v>
      </c>
      <c r="B41309">
        <f>TEXT(41308, "[$-0E0000]yyyy-mm-dd")</f>
        <v/>
      </c>
      <c r="C41309" t="inlineStr">
        <is>
          <t>2012-12-24</t>
        </is>
      </c>
    </row>
    <row r="41310">
      <c r="A41310" s="1" t="n">
        <v>41309</v>
      </c>
      <c r="B41310">
        <f>TEXT(41309, "[$-0E0000]yyyy-mm-dd")</f>
        <v/>
      </c>
      <c r="C41310" t="inlineStr">
        <is>
          <t>2012-12-25</t>
        </is>
      </c>
    </row>
    <row r="41311">
      <c r="A41311" s="1" t="n">
        <v>41310</v>
      </c>
      <c r="B41311">
        <f>TEXT(41310, "[$-0E0000]yyyy-mm-dd")</f>
        <v/>
      </c>
      <c r="C41311" t="inlineStr">
        <is>
          <t>2012-12-26</t>
        </is>
      </c>
    </row>
    <row r="41312">
      <c r="A41312" s="1" t="n">
        <v>41311</v>
      </c>
      <c r="B41312">
        <f>TEXT(41311, "[$-0E0000]yyyy-mm-dd")</f>
        <v/>
      </c>
      <c r="C41312" t="inlineStr">
        <is>
          <t>2012-12-27</t>
        </is>
      </c>
    </row>
    <row r="41313">
      <c r="A41313" s="1" t="n">
        <v>41312</v>
      </c>
      <c r="B41313">
        <f>TEXT(41312, "[$-0E0000]yyyy-mm-dd")</f>
        <v/>
      </c>
      <c r="C41313" t="inlineStr">
        <is>
          <t>2012-12-28</t>
        </is>
      </c>
    </row>
    <row r="41314">
      <c r="A41314" s="1" t="n">
        <v>41313</v>
      </c>
      <c r="B41314">
        <f>TEXT(41313, "[$-0E0000]yyyy-mm-dd")</f>
        <v/>
      </c>
      <c r="C41314" t="inlineStr">
        <is>
          <t>2012-12-29</t>
        </is>
      </c>
    </row>
    <row r="41315">
      <c r="A41315" s="1" t="n">
        <v>41314</v>
      </c>
      <c r="B41315">
        <f>TEXT(41314, "[$-0E0000]yyyy-mm-dd")</f>
        <v/>
      </c>
      <c r="C41315" t="inlineStr">
        <is>
          <t>2013-01-01</t>
        </is>
      </c>
    </row>
    <row r="41316">
      <c r="A41316" s="1" t="n">
        <v>41315</v>
      </c>
      <c r="B41316">
        <f>TEXT(41315, "[$-0E0000]yyyy-mm-dd")</f>
        <v/>
      </c>
      <c r="C41316" t="inlineStr">
        <is>
          <t>2013-01-02</t>
        </is>
      </c>
    </row>
    <row r="41317">
      <c r="A41317" s="1" t="n">
        <v>41316</v>
      </c>
      <c r="B41317">
        <f>TEXT(41316, "[$-0E0000]yyyy-mm-dd")</f>
        <v/>
      </c>
      <c r="C41317" t="inlineStr">
        <is>
          <t>2013-01-03</t>
        </is>
      </c>
    </row>
    <row r="41318">
      <c r="A41318" s="1" t="n">
        <v>41317</v>
      </c>
      <c r="B41318">
        <f>TEXT(41317, "[$-0E0000]yyyy-mm-dd")</f>
        <v/>
      </c>
      <c r="C41318" t="inlineStr">
        <is>
          <t>2013-01-04</t>
        </is>
      </c>
    </row>
    <row r="41319">
      <c r="A41319" s="1" t="n">
        <v>41318</v>
      </c>
      <c r="B41319">
        <f>TEXT(41318, "[$-0E0000]yyyy-mm-dd")</f>
        <v/>
      </c>
      <c r="C41319" t="inlineStr">
        <is>
          <t>2013-01-05</t>
        </is>
      </c>
    </row>
    <row r="41320">
      <c r="A41320" s="1" t="n">
        <v>41319</v>
      </c>
      <c r="B41320">
        <f>TEXT(41319, "[$-0E0000]yyyy-mm-dd")</f>
        <v/>
      </c>
      <c r="C41320" t="inlineStr">
        <is>
          <t>2013-01-06</t>
        </is>
      </c>
    </row>
    <row r="41321">
      <c r="A41321" s="1" t="n">
        <v>41320</v>
      </c>
      <c r="B41321">
        <f>TEXT(41320, "[$-0E0000]yyyy-mm-dd")</f>
        <v/>
      </c>
      <c r="C41321" t="inlineStr">
        <is>
          <t>2013-01-07</t>
        </is>
      </c>
    </row>
    <row r="41322">
      <c r="A41322" s="1" t="n">
        <v>41321</v>
      </c>
      <c r="B41322">
        <f>TEXT(41321, "[$-0E0000]yyyy-mm-dd")</f>
        <v/>
      </c>
      <c r="C41322" t="inlineStr">
        <is>
          <t>2013-01-08</t>
        </is>
      </c>
    </row>
    <row r="41323">
      <c r="A41323" s="1" t="n">
        <v>41322</v>
      </c>
      <c r="B41323">
        <f>TEXT(41322, "[$-0E0000]yyyy-mm-dd")</f>
        <v/>
      </c>
      <c r="C41323" t="inlineStr">
        <is>
          <t>2013-01-09</t>
        </is>
      </c>
    </row>
    <row r="41324">
      <c r="A41324" s="1" t="n">
        <v>41323</v>
      </c>
      <c r="B41324">
        <f>TEXT(41323, "[$-0E0000]yyyy-mm-dd")</f>
        <v/>
      </c>
      <c r="C41324" t="inlineStr">
        <is>
          <t>2013-01-10</t>
        </is>
      </c>
    </row>
    <row r="41325">
      <c r="A41325" s="1" t="n">
        <v>41324</v>
      </c>
      <c r="B41325">
        <f>TEXT(41324, "[$-0E0000]yyyy-mm-dd")</f>
        <v/>
      </c>
      <c r="C41325" t="inlineStr">
        <is>
          <t>2013-01-11</t>
        </is>
      </c>
    </row>
    <row r="41326">
      <c r="A41326" s="1" t="n">
        <v>41325</v>
      </c>
      <c r="B41326">
        <f>TEXT(41325, "[$-0E0000]yyyy-mm-dd")</f>
        <v/>
      </c>
      <c r="C41326" t="inlineStr">
        <is>
          <t>2013-01-12</t>
        </is>
      </c>
    </row>
    <row r="41327">
      <c r="A41327" s="1" t="n">
        <v>41326</v>
      </c>
      <c r="B41327">
        <f>TEXT(41326, "[$-0E0000]yyyy-mm-dd")</f>
        <v/>
      </c>
      <c r="C41327" t="inlineStr">
        <is>
          <t>2013-01-13</t>
        </is>
      </c>
    </row>
    <row r="41328">
      <c r="A41328" s="1" t="n">
        <v>41327</v>
      </c>
      <c r="B41328">
        <f>TEXT(41327, "[$-0E0000]yyyy-mm-dd")</f>
        <v/>
      </c>
      <c r="C41328" t="inlineStr">
        <is>
          <t>2013-01-14</t>
        </is>
      </c>
    </row>
    <row r="41329">
      <c r="A41329" s="1" t="n">
        <v>41328</v>
      </c>
      <c r="B41329">
        <f>TEXT(41328, "[$-0E0000]yyyy-mm-dd")</f>
        <v/>
      </c>
      <c r="C41329" t="inlineStr">
        <is>
          <t>2013-01-15</t>
        </is>
      </c>
    </row>
    <row r="41330">
      <c r="A41330" s="1" t="n">
        <v>41329</v>
      </c>
      <c r="B41330">
        <f>TEXT(41329, "[$-0E0000]yyyy-mm-dd")</f>
        <v/>
      </c>
      <c r="C41330" t="inlineStr">
        <is>
          <t>2013-01-16</t>
        </is>
      </c>
    </row>
    <row r="41331">
      <c r="A41331" s="1" t="n">
        <v>41330</v>
      </c>
      <c r="B41331">
        <f>TEXT(41330, "[$-0E0000]yyyy-mm-dd")</f>
        <v/>
      </c>
      <c r="C41331" t="inlineStr">
        <is>
          <t>2013-01-17</t>
        </is>
      </c>
    </row>
    <row r="41332">
      <c r="A41332" s="1" t="n">
        <v>41331</v>
      </c>
      <c r="B41332">
        <f>TEXT(41331, "[$-0E0000]yyyy-mm-dd")</f>
        <v/>
      </c>
      <c r="C41332" t="inlineStr">
        <is>
          <t>2013-01-18</t>
        </is>
      </c>
    </row>
    <row r="41333">
      <c r="A41333" s="1" t="n">
        <v>41332</v>
      </c>
      <c r="B41333">
        <f>TEXT(41332, "[$-0E0000]yyyy-mm-dd")</f>
        <v/>
      </c>
      <c r="C41333" t="inlineStr">
        <is>
          <t>2013-01-19</t>
        </is>
      </c>
    </row>
    <row r="41334">
      <c r="A41334" s="1" t="n">
        <v>41333</v>
      </c>
      <c r="B41334">
        <f>TEXT(41333, "[$-0E0000]yyyy-mm-dd")</f>
        <v/>
      </c>
      <c r="C41334" t="inlineStr">
        <is>
          <t>2013-01-20</t>
        </is>
      </c>
    </row>
    <row r="41335">
      <c r="A41335" s="1" t="n">
        <v>41334</v>
      </c>
      <c r="B41335">
        <f>TEXT(41334, "[$-0E0000]yyyy-mm-dd")</f>
        <v/>
      </c>
      <c r="C41335" t="inlineStr">
        <is>
          <t>2013-01-21</t>
        </is>
      </c>
    </row>
    <row r="41336">
      <c r="A41336" s="1" t="n">
        <v>41335</v>
      </c>
      <c r="B41336">
        <f>TEXT(41335, "[$-0E0000]yyyy-mm-dd")</f>
        <v/>
      </c>
      <c r="C41336" t="inlineStr">
        <is>
          <t>2013-01-22</t>
        </is>
      </c>
    </row>
    <row r="41337">
      <c r="A41337" s="1" t="n">
        <v>41336</v>
      </c>
      <c r="B41337">
        <f>TEXT(41336, "[$-0E0000]yyyy-mm-dd")</f>
        <v/>
      </c>
      <c r="C41337" t="inlineStr">
        <is>
          <t>2013-01-23</t>
        </is>
      </c>
    </row>
    <row r="41338">
      <c r="A41338" s="1" t="n">
        <v>41337</v>
      </c>
      <c r="B41338">
        <f>TEXT(41337, "[$-0E0000]yyyy-mm-dd")</f>
        <v/>
      </c>
      <c r="C41338" t="inlineStr">
        <is>
          <t>2013-01-24</t>
        </is>
      </c>
    </row>
    <row r="41339">
      <c r="A41339" s="1" t="n">
        <v>41338</v>
      </c>
      <c r="B41339">
        <f>TEXT(41338, "[$-0E0000]yyyy-mm-dd")</f>
        <v/>
      </c>
      <c r="C41339" t="inlineStr">
        <is>
          <t>2013-01-25</t>
        </is>
      </c>
    </row>
    <row r="41340">
      <c r="A41340" s="1" t="n">
        <v>41339</v>
      </c>
      <c r="B41340">
        <f>TEXT(41339, "[$-0E0000]yyyy-mm-dd")</f>
        <v/>
      </c>
      <c r="C41340" t="inlineStr">
        <is>
          <t>2013-01-26</t>
        </is>
      </c>
    </row>
    <row r="41341">
      <c r="A41341" s="1" t="n">
        <v>41340</v>
      </c>
      <c r="B41341">
        <f>TEXT(41340, "[$-0E0000]yyyy-mm-dd")</f>
        <v/>
      </c>
      <c r="C41341" t="inlineStr">
        <is>
          <t>2013-01-27</t>
        </is>
      </c>
    </row>
    <row r="41342">
      <c r="A41342" s="1" t="n">
        <v>41341</v>
      </c>
      <c r="B41342">
        <f>TEXT(41341, "[$-0E0000]yyyy-mm-dd")</f>
        <v/>
      </c>
      <c r="C41342" t="inlineStr">
        <is>
          <t>2013-01-28</t>
        </is>
      </c>
    </row>
    <row r="41343">
      <c r="A41343" s="1" t="n">
        <v>41342</v>
      </c>
      <c r="B41343">
        <f>TEXT(41342, "[$-0E0000]yyyy-mm-dd")</f>
        <v/>
      </c>
      <c r="C41343" t="inlineStr">
        <is>
          <t>2013-01-29</t>
        </is>
      </c>
    </row>
    <row r="41344">
      <c r="A41344" s="1" t="n">
        <v>41343</v>
      </c>
      <c r="B41344">
        <f>TEXT(41343, "[$-0E0000]yyyy-mm-dd")</f>
        <v/>
      </c>
      <c r="C41344" t="inlineStr">
        <is>
          <t>2013-01-30</t>
        </is>
      </c>
    </row>
    <row r="41345">
      <c r="A41345" s="1" t="n">
        <v>41344</v>
      </c>
      <c r="B41345">
        <f>TEXT(41344, "[$-0E0000]yyyy-mm-dd")</f>
        <v/>
      </c>
      <c r="C41345" t="inlineStr">
        <is>
          <t>2013-02-01</t>
        </is>
      </c>
    </row>
    <row r="41346">
      <c r="A41346" s="1" t="n">
        <v>41345</v>
      </c>
      <c r="B41346">
        <f>TEXT(41345, "[$-0E0000]yyyy-mm-dd")</f>
        <v/>
      </c>
      <c r="C41346" t="inlineStr">
        <is>
          <t>2013-02-02</t>
        </is>
      </c>
    </row>
    <row r="41347">
      <c r="A41347" s="1" t="n">
        <v>41346</v>
      </c>
      <c r="B41347">
        <f>TEXT(41346, "[$-0E0000]yyyy-mm-dd")</f>
        <v/>
      </c>
      <c r="C41347" t="inlineStr">
        <is>
          <t>2013-02-03</t>
        </is>
      </c>
    </row>
    <row r="41348">
      <c r="A41348" s="1" t="n">
        <v>41347</v>
      </c>
      <c r="B41348">
        <f>TEXT(41347, "[$-0E0000]yyyy-mm-dd")</f>
        <v/>
      </c>
      <c r="C41348" t="inlineStr">
        <is>
          <t>2013-02-04</t>
        </is>
      </c>
    </row>
    <row r="41349">
      <c r="A41349" s="1" t="n">
        <v>41348</v>
      </c>
      <c r="B41349">
        <f>TEXT(41348, "[$-0E0000]yyyy-mm-dd")</f>
        <v/>
      </c>
      <c r="C41349" t="inlineStr">
        <is>
          <t>2013-02-05</t>
        </is>
      </c>
    </row>
    <row r="41350">
      <c r="A41350" s="1" t="n">
        <v>41349</v>
      </c>
      <c r="B41350">
        <f>TEXT(41349, "[$-0E0000]yyyy-mm-dd")</f>
        <v/>
      </c>
      <c r="C41350" t="inlineStr">
        <is>
          <t>2013-02-06</t>
        </is>
      </c>
    </row>
    <row r="41351">
      <c r="A41351" s="1" t="n">
        <v>41350</v>
      </c>
      <c r="B41351">
        <f>TEXT(41350, "[$-0E0000]yyyy-mm-dd")</f>
        <v/>
      </c>
      <c r="C41351" t="inlineStr">
        <is>
          <t>2013-02-07</t>
        </is>
      </c>
    </row>
    <row r="41352">
      <c r="A41352" s="1" t="n">
        <v>41351</v>
      </c>
      <c r="B41352">
        <f>TEXT(41351, "[$-0E0000]yyyy-mm-dd")</f>
        <v/>
      </c>
      <c r="C41352" t="inlineStr">
        <is>
          <t>2013-02-08</t>
        </is>
      </c>
    </row>
    <row r="41353">
      <c r="A41353" s="1" t="n">
        <v>41352</v>
      </c>
      <c r="B41353">
        <f>TEXT(41352, "[$-0E0000]yyyy-mm-dd")</f>
        <v/>
      </c>
      <c r="C41353" t="inlineStr">
        <is>
          <t>2013-02-09</t>
        </is>
      </c>
    </row>
    <row r="41354">
      <c r="A41354" s="1" t="n">
        <v>41353</v>
      </c>
      <c r="B41354">
        <f>TEXT(41353, "[$-0E0000]yyyy-mm-dd")</f>
        <v/>
      </c>
      <c r="C41354" t="inlineStr">
        <is>
          <t>2013-02-10</t>
        </is>
      </c>
    </row>
    <row r="41355">
      <c r="A41355" s="1" t="n">
        <v>41354</v>
      </c>
      <c r="B41355">
        <f>TEXT(41354, "[$-0E0000]yyyy-mm-dd")</f>
        <v/>
      </c>
      <c r="C41355" t="inlineStr">
        <is>
          <t>2013-02-11</t>
        </is>
      </c>
    </row>
    <row r="41356">
      <c r="A41356" s="1" t="n">
        <v>41355</v>
      </c>
      <c r="B41356">
        <f>TEXT(41355, "[$-0E0000]yyyy-mm-dd")</f>
        <v/>
      </c>
      <c r="C41356" t="inlineStr">
        <is>
          <t>2013-02-12</t>
        </is>
      </c>
    </row>
    <row r="41357">
      <c r="A41357" s="1" t="n">
        <v>41356</v>
      </c>
      <c r="B41357">
        <f>TEXT(41356, "[$-0E0000]yyyy-mm-dd")</f>
        <v/>
      </c>
      <c r="C41357" t="inlineStr">
        <is>
          <t>2013-02-13</t>
        </is>
      </c>
    </row>
    <row r="41358">
      <c r="A41358" s="1" t="n">
        <v>41357</v>
      </c>
      <c r="B41358">
        <f>TEXT(41357, "[$-0E0000]yyyy-mm-dd")</f>
        <v/>
      </c>
      <c r="C41358" t="inlineStr">
        <is>
          <t>2013-02-14</t>
        </is>
      </c>
    </row>
    <row r="41359">
      <c r="A41359" s="1" t="n">
        <v>41358</v>
      </c>
      <c r="B41359">
        <f>TEXT(41358, "[$-0E0000]yyyy-mm-dd")</f>
        <v/>
      </c>
      <c r="C41359" t="inlineStr">
        <is>
          <t>2013-02-15</t>
        </is>
      </c>
    </row>
    <row r="41360">
      <c r="A41360" s="1" t="n">
        <v>41359</v>
      </c>
      <c r="B41360">
        <f>TEXT(41359, "[$-0E0000]yyyy-mm-dd")</f>
        <v/>
      </c>
      <c r="C41360" t="inlineStr">
        <is>
          <t>2013-02-16</t>
        </is>
      </c>
    </row>
    <row r="41361">
      <c r="A41361" s="1" t="n">
        <v>41360</v>
      </c>
      <c r="B41361">
        <f>TEXT(41360, "[$-0E0000]yyyy-mm-dd")</f>
        <v/>
      </c>
      <c r="C41361" t="inlineStr">
        <is>
          <t>2013-02-17</t>
        </is>
      </c>
    </row>
    <row r="41362">
      <c r="A41362" s="1" t="n">
        <v>41361</v>
      </c>
      <c r="B41362">
        <f>TEXT(41361, "[$-0E0000]yyyy-mm-dd")</f>
        <v/>
      </c>
      <c r="C41362" t="inlineStr">
        <is>
          <t>2013-02-18</t>
        </is>
      </c>
    </row>
    <row r="41363">
      <c r="A41363" s="1" t="n">
        <v>41362</v>
      </c>
      <c r="B41363">
        <f>TEXT(41362, "[$-0E0000]yyyy-mm-dd")</f>
        <v/>
      </c>
      <c r="C41363" t="inlineStr">
        <is>
          <t>2013-02-19</t>
        </is>
      </c>
    </row>
    <row r="41364">
      <c r="A41364" s="1" t="n">
        <v>41363</v>
      </c>
      <c r="B41364">
        <f>TEXT(41363, "[$-0E0000]yyyy-mm-dd")</f>
        <v/>
      </c>
      <c r="C41364" t="inlineStr">
        <is>
          <t>2013-02-20</t>
        </is>
      </c>
    </row>
    <row r="41365">
      <c r="A41365" s="1" t="n">
        <v>41364</v>
      </c>
      <c r="B41365">
        <f>TEXT(41364, "[$-0E0000]yyyy-mm-dd")</f>
        <v/>
      </c>
      <c r="C41365" t="inlineStr">
        <is>
          <t>2013-02-21</t>
        </is>
      </c>
    </row>
    <row r="41366">
      <c r="A41366" s="1" t="n">
        <v>41365</v>
      </c>
      <c r="B41366">
        <f>TEXT(41365, "[$-0E0000]yyyy-mm-dd")</f>
        <v/>
      </c>
      <c r="C41366" t="inlineStr">
        <is>
          <t>2013-02-22</t>
        </is>
      </c>
    </row>
    <row r="41367">
      <c r="A41367" s="1" t="n">
        <v>41366</v>
      </c>
      <c r="B41367">
        <f>TEXT(41366, "[$-0E0000]yyyy-mm-dd")</f>
        <v/>
      </c>
      <c r="C41367" t="inlineStr">
        <is>
          <t>2013-02-23</t>
        </is>
      </c>
    </row>
    <row r="41368">
      <c r="A41368" s="1" t="n">
        <v>41367</v>
      </c>
      <c r="B41368">
        <f>TEXT(41367, "[$-0E0000]yyyy-mm-dd")</f>
        <v/>
      </c>
      <c r="C41368" t="inlineStr">
        <is>
          <t>2013-02-24</t>
        </is>
      </c>
    </row>
    <row r="41369">
      <c r="A41369" s="1" t="n">
        <v>41368</v>
      </c>
      <c r="B41369">
        <f>TEXT(41368, "[$-0E0000]yyyy-mm-dd")</f>
        <v/>
      </c>
      <c r="C41369" t="inlineStr">
        <is>
          <t>2013-02-25</t>
        </is>
      </c>
    </row>
    <row r="41370">
      <c r="A41370" s="1" t="n">
        <v>41369</v>
      </c>
      <c r="B41370">
        <f>TEXT(41369, "[$-0E0000]yyyy-mm-dd")</f>
        <v/>
      </c>
      <c r="C41370" t="inlineStr">
        <is>
          <t>2013-02-26</t>
        </is>
      </c>
    </row>
    <row r="41371">
      <c r="A41371" s="1" t="n">
        <v>41370</v>
      </c>
      <c r="B41371">
        <f>TEXT(41370, "[$-0E0000]yyyy-mm-dd")</f>
        <v/>
      </c>
      <c r="C41371" t="inlineStr">
        <is>
          <t>2013-02-27</t>
        </is>
      </c>
    </row>
    <row r="41372">
      <c r="A41372" s="1" t="n">
        <v>41371</v>
      </c>
      <c r="B41372">
        <f>TEXT(41371, "[$-0E0000]yyyy-mm-dd")</f>
        <v/>
      </c>
      <c r="C41372" t="inlineStr">
        <is>
          <t>2013-02-28</t>
        </is>
      </c>
    </row>
    <row r="41373">
      <c r="A41373" s="1" t="n">
        <v>41372</v>
      </c>
      <c r="B41373">
        <f>TEXT(41372, "[$-0E0000]yyyy-mm-dd")</f>
        <v/>
      </c>
      <c r="C41373" t="inlineStr">
        <is>
          <t>2013-02-29</t>
        </is>
      </c>
    </row>
    <row r="41374">
      <c r="A41374" s="1" t="n">
        <v>41373</v>
      </c>
      <c r="B41374">
        <f>TEXT(41373, "[$-0E0000]yyyy-mm-dd")</f>
        <v/>
      </c>
      <c r="C41374" t="inlineStr">
        <is>
          <t>2013-03-01</t>
        </is>
      </c>
    </row>
    <row r="41375">
      <c r="A41375" s="1" t="n">
        <v>41374</v>
      </c>
      <c r="B41375">
        <f>TEXT(41374, "[$-0E0000]yyyy-mm-dd")</f>
        <v/>
      </c>
      <c r="C41375" t="inlineStr">
        <is>
          <t>2013-03-02</t>
        </is>
      </c>
    </row>
    <row r="41376">
      <c r="A41376" s="1" t="n">
        <v>41375</v>
      </c>
      <c r="B41376">
        <f>TEXT(41375, "[$-0E0000]yyyy-mm-dd")</f>
        <v/>
      </c>
      <c r="C41376" t="inlineStr">
        <is>
          <t>2013-03-03</t>
        </is>
      </c>
    </row>
    <row r="41377">
      <c r="A41377" s="1" t="n">
        <v>41376</v>
      </c>
      <c r="B41377">
        <f>TEXT(41376, "[$-0E0000]yyyy-mm-dd")</f>
        <v/>
      </c>
      <c r="C41377" t="inlineStr">
        <is>
          <t>2013-03-04</t>
        </is>
      </c>
    </row>
    <row r="41378">
      <c r="A41378" s="1" t="n">
        <v>41377</v>
      </c>
      <c r="B41378">
        <f>TEXT(41377, "[$-0E0000]yyyy-mm-dd")</f>
        <v/>
      </c>
      <c r="C41378" t="inlineStr">
        <is>
          <t>2013-03-05</t>
        </is>
      </c>
    </row>
    <row r="41379">
      <c r="A41379" s="1" t="n">
        <v>41378</v>
      </c>
      <c r="B41379">
        <f>TEXT(41378, "[$-0E0000]yyyy-mm-dd")</f>
        <v/>
      </c>
      <c r="C41379" t="inlineStr">
        <is>
          <t>2013-03-06</t>
        </is>
      </c>
    </row>
    <row r="41380">
      <c r="A41380" s="1" t="n">
        <v>41379</v>
      </c>
      <c r="B41380">
        <f>TEXT(41379, "[$-0E0000]yyyy-mm-dd")</f>
        <v/>
      </c>
      <c r="C41380" t="inlineStr">
        <is>
          <t>2013-03-07</t>
        </is>
      </c>
    </row>
    <row r="41381">
      <c r="A41381" s="1" t="n">
        <v>41380</v>
      </c>
      <c r="B41381">
        <f>TEXT(41380, "[$-0E0000]yyyy-mm-dd")</f>
        <v/>
      </c>
      <c r="C41381" t="inlineStr">
        <is>
          <t>2013-03-08</t>
        </is>
      </c>
    </row>
    <row r="41382">
      <c r="A41382" s="1" t="n">
        <v>41381</v>
      </c>
      <c r="B41382">
        <f>TEXT(41381, "[$-0E0000]yyyy-mm-dd")</f>
        <v/>
      </c>
      <c r="C41382" t="inlineStr">
        <is>
          <t>2013-03-09</t>
        </is>
      </c>
    </row>
    <row r="41383">
      <c r="A41383" s="1" t="n">
        <v>41382</v>
      </c>
      <c r="B41383">
        <f>TEXT(41382, "[$-0E0000]yyyy-mm-dd")</f>
        <v/>
      </c>
      <c r="C41383" t="inlineStr">
        <is>
          <t>2013-03-10</t>
        </is>
      </c>
    </row>
    <row r="41384">
      <c r="A41384" s="1" t="n">
        <v>41383</v>
      </c>
      <c r="B41384">
        <f>TEXT(41383, "[$-0E0000]yyyy-mm-dd")</f>
        <v/>
      </c>
      <c r="C41384" t="inlineStr">
        <is>
          <t>2013-03-11</t>
        </is>
      </c>
    </row>
    <row r="41385">
      <c r="A41385" s="1" t="n">
        <v>41384</v>
      </c>
      <c r="B41385">
        <f>TEXT(41384, "[$-0E0000]yyyy-mm-dd")</f>
        <v/>
      </c>
      <c r="C41385" t="inlineStr">
        <is>
          <t>2013-03-12</t>
        </is>
      </c>
    </row>
    <row r="41386">
      <c r="A41386" s="1" t="n">
        <v>41385</v>
      </c>
      <c r="B41386">
        <f>TEXT(41385, "[$-0E0000]yyyy-mm-dd")</f>
        <v/>
      </c>
      <c r="C41386" t="inlineStr">
        <is>
          <t>2013-03-13</t>
        </is>
      </c>
    </row>
    <row r="41387">
      <c r="A41387" s="1" t="n">
        <v>41386</v>
      </c>
      <c r="B41387">
        <f>TEXT(41386, "[$-0E0000]yyyy-mm-dd")</f>
        <v/>
      </c>
      <c r="C41387" t="inlineStr">
        <is>
          <t>2013-03-14</t>
        </is>
      </c>
    </row>
    <row r="41388">
      <c r="A41388" s="1" t="n">
        <v>41387</v>
      </c>
      <c r="B41388">
        <f>TEXT(41387, "[$-0E0000]yyyy-mm-dd")</f>
        <v/>
      </c>
      <c r="C41388" t="inlineStr">
        <is>
          <t>2013-03-15</t>
        </is>
      </c>
    </row>
    <row r="41389">
      <c r="A41389" s="1" t="n">
        <v>41388</v>
      </c>
      <c r="B41389">
        <f>TEXT(41388, "[$-0E0000]yyyy-mm-dd")</f>
        <v/>
      </c>
      <c r="C41389" t="inlineStr">
        <is>
          <t>2013-03-16</t>
        </is>
      </c>
    </row>
    <row r="41390">
      <c r="A41390" s="1" t="n">
        <v>41389</v>
      </c>
      <c r="B41390">
        <f>TEXT(41389, "[$-0E0000]yyyy-mm-dd")</f>
        <v/>
      </c>
      <c r="C41390" t="inlineStr">
        <is>
          <t>2013-03-17</t>
        </is>
      </c>
    </row>
    <row r="41391">
      <c r="A41391" s="1" t="n">
        <v>41390</v>
      </c>
      <c r="B41391">
        <f>TEXT(41390, "[$-0E0000]yyyy-mm-dd")</f>
        <v/>
      </c>
      <c r="C41391" t="inlineStr">
        <is>
          <t>2013-03-18</t>
        </is>
      </c>
    </row>
    <row r="41392">
      <c r="A41392" s="1" t="n">
        <v>41391</v>
      </c>
      <c r="B41392">
        <f>TEXT(41391, "[$-0E0000]yyyy-mm-dd")</f>
        <v/>
      </c>
      <c r="C41392" t="inlineStr">
        <is>
          <t>2013-03-19</t>
        </is>
      </c>
    </row>
    <row r="41393">
      <c r="A41393" s="1" t="n">
        <v>41392</v>
      </c>
      <c r="B41393">
        <f>TEXT(41392, "[$-0E0000]yyyy-mm-dd")</f>
        <v/>
      </c>
      <c r="C41393" t="inlineStr">
        <is>
          <t>2013-03-20</t>
        </is>
      </c>
    </row>
    <row r="41394">
      <c r="A41394" s="1" t="n">
        <v>41393</v>
      </c>
      <c r="B41394">
        <f>TEXT(41393, "[$-0E0000]yyyy-mm-dd")</f>
        <v/>
      </c>
      <c r="C41394" t="inlineStr">
        <is>
          <t>2013-03-21</t>
        </is>
      </c>
    </row>
    <row r="41395">
      <c r="A41395" s="1" t="n">
        <v>41394</v>
      </c>
      <c r="B41395">
        <f>TEXT(41394, "[$-0E0000]yyyy-mm-dd")</f>
        <v/>
      </c>
      <c r="C41395" t="inlineStr">
        <is>
          <t>2013-03-22</t>
        </is>
      </c>
    </row>
    <row r="41396">
      <c r="A41396" s="1" t="n">
        <v>41395</v>
      </c>
      <c r="B41396">
        <f>TEXT(41395, "[$-0E0000]yyyy-mm-dd")</f>
        <v/>
      </c>
      <c r="C41396" t="inlineStr">
        <is>
          <t>2013-03-23</t>
        </is>
      </c>
    </row>
    <row r="41397">
      <c r="A41397" s="1" t="n">
        <v>41396</v>
      </c>
      <c r="B41397">
        <f>TEXT(41396, "[$-0E0000]yyyy-mm-dd")</f>
        <v/>
      </c>
      <c r="C41397" t="inlineStr">
        <is>
          <t>2013-03-24</t>
        </is>
      </c>
    </row>
    <row r="41398">
      <c r="A41398" s="1" t="n">
        <v>41397</v>
      </c>
      <c r="B41398">
        <f>TEXT(41397, "[$-0E0000]yyyy-mm-dd")</f>
        <v/>
      </c>
      <c r="C41398" t="inlineStr">
        <is>
          <t>2013-03-25</t>
        </is>
      </c>
    </row>
    <row r="41399">
      <c r="A41399" s="1" t="n">
        <v>41398</v>
      </c>
      <c r="B41399">
        <f>TEXT(41398, "[$-0E0000]yyyy-mm-dd")</f>
        <v/>
      </c>
      <c r="C41399" t="inlineStr">
        <is>
          <t>2013-03-26</t>
        </is>
      </c>
    </row>
    <row r="41400">
      <c r="A41400" s="1" t="n">
        <v>41399</v>
      </c>
      <c r="B41400">
        <f>TEXT(41399, "[$-0E0000]yyyy-mm-dd")</f>
        <v/>
      </c>
      <c r="C41400" t="inlineStr">
        <is>
          <t>2013-03-27</t>
        </is>
      </c>
    </row>
    <row r="41401">
      <c r="A41401" s="1" t="n">
        <v>41400</v>
      </c>
      <c r="B41401">
        <f>TEXT(41400, "[$-0E0000]yyyy-mm-dd")</f>
        <v/>
      </c>
      <c r="C41401" t="inlineStr">
        <is>
          <t>2013-03-28</t>
        </is>
      </c>
    </row>
    <row r="41402">
      <c r="A41402" s="1" t="n">
        <v>41401</v>
      </c>
      <c r="B41402">
        <f>TEXT(41401, "[$-0E0000]yyyy-mm-dd")</f>
        <v/>
      </c>
      <c r="C41402" t="inlineStr">
        <is>
          <t>2013-03-29</t>
        </is>
      </c>
    </row>
    <row r="41403">
      <c r="A41403" s="1" t="n">
        <v>41402</v>
      </c>
      <c r="B41403">
        <f>TEXT(41402, "[$-0E0000]yyyy-mm-dd")</f>
        <v/>
      </c>
      <c r="C41403" t="inlineStr">
        <is>
          <t>2013-03-30</t>
        </is>
      </c>
    </row>
    <row r="41404">
      <c r="A41404" s="1" t="n">
        <v>41403</v>
      </c>
      <c r="B41404">
        <f>TEXT(41403, "[$-0E0000]yyyy-mm-dd")</f>
        <v/>
      </c>
      <c r="C41404" t="inlineStr">
        <is>
          <t>2013-04-01</t>
        </is>
      </c>
    </row>
    <row r="41405">
      <c r="A41405" s="1" t="n">
        <v>41404</v>
      </c>
      <c r="B41405">
        <f>TEXT(41404, "[$-0E0000]yyyy-mm-dd")</f>
        <v/>
      </c>
      <c r="C41405" t="inlineStr">
        <is>
          <t>2013-04-02</t>
        </is>
      </c>
    </row>
    <row r="41406">
      <c r="A41406" s="1" t="n">
        <v>41405</v>
      </c>
      <c r="B41406">
        <f>TEXT(41405, "[$-0E0000]yyyy-mm-dd")</f>
        <v/>
      </c>
      <c r="C41406" t="inlineStr">
        <is>
          <t>2013-04-03</t>
        </is>
      </c>
    </row>
    <row r="41407">
      <c r="A41407" s="1" t="n">
        <v>41406</v>
      </c>
      <c r="B41407">
        <f>TEXT(41406, "[$-0E0000]yyyy-mm-dd")</f>
        <v/>
      </c>
      <c r="C41407" t="inlineStr">
        <is>
          <t>2013-04-04</t>
        </is>
      </c>
    </row>
    <row r="41408">
      <c r="A41408" s="1" t="n">
        <v>41407</v>
      </c>
      <c r="B41408">
        <f>TEXT(41407, "[$-0E0000]yyyy-mm-dd")</f>
        <v/>
      </c>
      <c r="C41408" t="inlineStr">
        <is>
          <t>2013-04-05</t>
        </is>
      </c>
    </row>
    <row r="41409">
      <c r="A41409" s="1" t="n">
        <v>41408</v>
      </c>
      <c r="B41409">
        <f>TEXT(41408, "[$-0E0000]yyyy-mm-dd")</f>
        <v/>
      </c>
      <c r="C41409" t="inlineStr">
        <is>
          <t>2013-04-06</t>
        </is>
      </c>
    </row>
    <row r="41410">
      <c r="A41410" s="1" t="n">
        <v>41409</v>
      </c>
      <c r="B41410">
        <f>TEXT(41409, "[$-0E0000]yyyy-mm-dd")</f>
        <v/>
      </c>
      <c r="C41410" t="inlineStr">
        <is>
          <t>2013-04-07</t>
        </is>
      </c>
    </row>
    <row r="41411">
      <c r="A41411" s="1" t="n">
        <v>41410</v>
      </c>
      <c r="B41411">
        <f>TEXT(41410, "[$-0E0000]yyyy-mm-dd")</f>
        <v/>
      </c>
      <c r="C41411" t="inlineStr">
        <is>
          <t>2013-04-08</t>
        </is>
      </c>
    </row>
    <row r="41412">
      <c r="A41412" s="1" t="n">
        <v>41411</v>
      </c>
      <c r="B41412">
        <f>TEXT(41411, "[$-0E0000]yyyy-mm-dd")</f>
        <v/>
      </c>
      <c r="C41412" t="inlineStr">
        <is>
          <t>2013-04-09</t>
        </is>
      </c>
    </row>
    <row r="41413">
      <c r="A41413" s="1" t="n">
        <v>41412</v>
      </c>
      <c r="B41413">
        <f>TEXT(41412, "[$-0E0000]yyyy-mm-dd")</f>
        <v/>
      </c>
      <c r="C41413" t="inlineStr">
        <is>
          <t>2013-04-10</t>
        </is>
      </c>
    </row>
    <row r="41414">
      <c r="A41414" s="1" t="n">
        <v>41413</v>
      </c>
      <c r="B41414">
        <f>TEXT(41413, "[$-0E0000]yyyy-mm-dd")</f>
        <v/>
      </c>
      <c r="C41414" t="inlineStr">
        <is>
          <t>2013-04-11</t>
        </is>
      </c>
    </row>
    <row r="41415">
      <c r="A41415" s="1" t="n">
        <v>41414</v>
      </c>
      <c r="B41415">
        <f>TEXT(41414, "[$-0E0000]yyyy-mm-dd")</f>
        <v/>
      </c>
      <c r="C41415" t="inlineStr">
        <is>
          <t>2013-04-12</t>
        </is>
      </c>
    </row>
    <row r="41416">
      <c r="A41416" s="1" t="n">
        <v>41415</v>
      </c>
      <c r="B41416">
        <f>TEXT(41415, "[$-0E0000]yyyy-mm-dd")</f>
        <v/>
      </c>
      <c r="C41416" t="inlineStr">
        <is>
          <t>2013-04-13</t>
        </is>
      </c>
    </row>
    <row r="41417">
      <c r="A41417" s="1" t="n">
        <v>41416</v>
      </c>
      <c r="B41417">
        <f>TEXT(41416, "[$-0E0000]yyyy-mm-dd")</f>
        <v/>
      </c>
      <c r="C41417" t="inlineStr">
        <is>
          <t>2013-04-14</t>
        </is>
      </c>
    </row>
    <row r="41418">
      <c r="A41418" s="1" t="n">
        <v>41417</v>
      </c>
      <c r="B41418">
        <f>TEXT(41417, "[$-0E0000]yyyy-mm-dd")</f>
        <v/>
      </c>
      <c r="C41418" t="inlineStr">
        <is>
          <t>2013-04-15</t>
        </is>
      </c>
    </row>
    <row r="41419">
      <c r="A41419" s="1" t="n">
        <v>41418</v>
      </c>
      <c r="B41419">
        <f>TEXT(41418, "[$-0E0000]yyyy-mm-dd")</f>
        <v/>
      </c>
      <c r="C41419" t="inlineStr">
        <is>
          <t>2013-04-16</t>
        </is>
      </c>
    </row>
    <row r="41420">
      <c r="A41420" s="1" t="n">
        <v>41419</v>
      </c>
      <c r="B41420">
        <f>TEXT(41419, "[$-0E0000]yyyy-mm-dd")</f>
        <v/>
      </c>
      <c r="C41420" t="inlineStr">
        <is>
          <t>2013-04-17</t>
        </is>
      </c>
    </row>
    <row r="41421">
      <c r="A41421" s="1" t="n">
        <v>41420</v>
      </c>
      <c r="B41421">
        <f>TEXT(41420, "[$-0E0000]yyyy-mm-dd")</f>
        <v/>
      </c>
      <c r="C41421" t="inlineStr">
        <is>
          <t>2013-04-18</t>
        </is>
      </c>
    </row>
    <row r="41422">
      <c r="A41422" s="1" t="n">
        <v>41421</v>
      </c>
      <c r="B41422">
        <f>TEXT(41421, "[$-0E0000]yyyy-mm-dd")</f>
        <v/>
      </c>
      <c r="C41422" t="inlineStr">
        <is>
          <t>2013-04-19</t>
        </is>
      </c>
    </row>
    <row r="41423">
      <c r="A41423" s="1" t="n">
        <v>41422</v>
      </c>
      <c r="B41423">
        <f>TEXT(41422, "[$-0E0000]yyyy-mm-dd")</f>
        <v/>
      </c>
      <c r="C41423" t="inlineStr">
        <is>
          <t>2013-04-20</t>
        </is>
      </c>
    </row>
    <row r="41424">
      <c r="A41424" s="1" t="n">
        <v>41423</v>
      </c>
      <c r="B41424">
        <f>TEXT(41423, "[$-0E0000]yyyy-mm-dd")</f>
        <v/>
      </c>
      <c r="C41424" t="inlineStr">
        <is>
          <t>2013-04-21</t>
        </is>
      </c>
    </row>
    <row r="41425">
      <c r="A41425" s="1" t="n">
        <v>41424</v>
      </c>
      <c r="B41425">
        <f>TEXT(41424, "[$-0E0000]yyyy-mm-dd")</f>
        <v/>
      </c>
      <c r="C41425" t="inlineStr">
        <is>
          <t>2013-04-22</t>
        </is>
      </c>
    </row>
    <row r="41426">
      <c r="A41426" s="1" t="n">
        <v>41425</v>
      </c>
      <c r="B41426">
        <f>TEXT(41425, "[$-0E0000]yyyy-mm-dd")</f>
        <v/>
      </c>
      <c r="C41426" t="inlineStr">
        <is>
          <t>2013-04-23</t>
        </is>
      </c>
    </row>
    <row r="41427">
      <c r="A41427" s="1" t="n">
        <v>41426</v>
      </c>
      <c r="B41427">
        <f>TEXT(41426, "[$-0E0000]yyyy-mm-dd")</f>
        <v/>
      </c>
      <c r="C41427" t="inlineStr">
        <is>
          <t>2013-04-24</t>
        </is>
      </c>
    </row>
    <row r="41428">
      <c r="A41428" s="1" t="n">
        <v>41427</v>
      </c>
      <c r="B41428">
        <f>TEXT(41427, "[$-0E0000]yyyy-mm-dd")</f>
        <v/>
      </c>
      <c r="C41428" t="inlineStr">
        <is>
          <t>2013-04-25</t>
        </is>
      </c>
    </row>
    <row r="41429">
      <c r="A41429" s="1" t="n">
        <v>41428</v>
      </c>
      <c r="B41429">
        <f>TEXT(41428, "[$-0E0000]yyyy-mm-dd")</f>
        <v/>
      </c>
      <c r="C41429" t="inlineStr">
        <is>
          <t>2013-04-26</t>
        </is>
      </c>
    </row>
    <row r="41430">
      <c r="A41430" s="1" t="n">
        <v>41429</v>
      </c>
      <c r="B41430">
        <f>TEXT(41429, "[$-0E0000]yyyy-mm-dd")</f>
        <v/>
      </c>
      <c r="C41430" t="inlineStr">
        <is>
          <t>2013-04-27</t>
        </is>
      </c>
    </row>
    <row r="41431">
      <c r="A41431" s="1" t="n">
        <v>41430</v>
      </c>
      <c r="B41431">
        <f>TEXT(41430, "[$-0E0000]yyyy-mm-dd")</f>
        <v/>
      </c>
      <c r="C41431" t="inlineStr">
        <is>
          <t>2013-04-28</t>
        </is>
      </c>
    </row>
    <row r="41432">
      <c r="A41432" s="1" t="n">
        <v>41431</v>
      </c>
      <c r="B41432">
        <f>TEXT(41431, "[$-0E0000]yyyy-mm-dd")</f>
        <v/>
      </c>
      <c r="C41432" t="inlineStr">
        <is>
          <t>2013-04-29</t>
        </is>
      </c>
    </row>
    <row r="41433">
      <c r="A41433" s="1" t="n">
        <v>41432</v>
      </c>
      <c r="B41433">
        <f>TEXT(41432, "[$-0E0000]yyyy-mm-dd")</f>
        <v/>
      </c>
      <c r="C41433" t="inlineStr">
        <is>
          <t>2013-05-01</t>
        </is>
      </c>
    </row>
    <row r="41434">
      <c r="A41434" s="1" t="n">
        <v>41433</v>
      </c>
      <c r="B41434">
        <f>TEXT(41433, "[$-0E0000]yyyy-mm-dd")</f>
        <v/>
      </c>
      <c r="C41434" t="inlineStr">
        <is>
          <t>2013-05-02</t>
        </is>
      </c>
    </row>
    <row r="41435">
      <c r="A41435" s="1" t="n">
        <v>41434</v>
      </c>
      <c r="B41435">
        <f>TEXT(41434, "[$-0E0000]yyyy-mm-dd")</f>
        <v/>
      </c>
      <c r="C41435" t="inlineStr">
        <is>
          <t>2013-05-03</t>
        </is>
      </c>
    </row>
    <row r="41436">
      <c r="A41436" s="1" t="n">
        <v>41435</v>
      </c>
      <c r="B41436">
        <f>TEXT(41435, "[$-0E0000]yyyy-mm-dd")</f>
        <v/>
      </c>
      <c r="C41436" t="inlineStr">
        <is>
          <t>2013-05-04</t>
        </is>
      </c>
    </row>
    <row r="41437">
      <c r="A41437" s="1" t="n">
        <v>41436</v>
      </c>
      <c r="B41437">
        <f>TEXT(41436, "[$-0E0000]yyyy-mm-dd")</f>
        <v/>
      </c>
      <c r="C41437" t="inlineStr">
        <is>
          <t>2013-05-05</t>
        </is>
      </c>
    </row>
    <row r="41438">
      <c r="A41438" s="1" t="n">
        <v>41437</v>
      </c>
      <c r="B41438">
        <f>TEXT(41437, "[$-0E0000]yyyy-mm-dd")</f>
        <v/>
      </c>
      <c r="C41438" t="inlineStr">
        <is>
          <t>2013-05-06</t>
        </is>
      </c>
    </row>
    <row r="41439">
      <c r="A41439" s="1" t="n">
        <v>41438</v>
      </c>
      <c r="B41439">
        <f>TEXT(41438, "[$-0E0000]yyyy-mm-dd")</f>
        <v/>
      </c>
      <c r="C41439" t="inlineStr">
        <is>
          <t>2013-05-07</t>
        </is>
      </c>
    </row>
    <row r="41440">
      <c r="A41440" s="1" t="n">
        <v>41439</v>
      </c>
      <c r="B41440">
        <f>TEXT(41439, "[$-0E0000]yyyy-mm-dd")</f>
        <v/>
      </c>
      <c r="C41440" t="inlineStr">
        <is>
          <t>2013-05-08</t>
        </is>
      </c>
    </row>
    <row r="41441">
      <c r="A41441" s="1" t="n">
        <v>41440</v>
      </c>
      <c r="B41441">
        <f>TEXT(41440, "[$-0E0000]yyyy-mm-dd")</f>
        <v/>
      </c>
      <c r="C41441" t="inlineStr">
        <is>
          <t>2013-05-09</t>
        </is>
      </c>
    </row>
    <row r="41442">
      <c r="A41442" s="1" t="n">
        <v>41441</v>
      </c>
      <c r="B41442">
        <f>TEXT(41441, "[$-0E0000]yyyy-mm-dd")</f>
        <v/>
      </c>
      <c r="C41442" t="inlineStr">
        <is>
          <t>2013-05-10</t>
        </is>
      </c>
    </row>
    <row r="41443">
      <c r="A41443" s="1" t="n">
        <v>41442</v>
      </c>
      <c r="B41443">
        <f>TEXT(41442, "[$-0E0000]yyyy-mm-dd")</f>
        <v/>
      </c>
      <c r="C41443" t="inlineStr">
        <is>
          <t>2013-05-11</t>
        </is>
      </c>
    </row>
    <row r="41444">
      <c r="A41444" s="1" t="n">
        <v>41443</v>
      </c>
      <c r="B41444">
        <f>TEXT(41443, "[$-0E0000]yyyy-mm-dd")</f>
        <v/>
      </c>
      <c r="C41444" t="inlineStr">
        <is>
          <t>2013-05-12</t>
        </is>
      </c>
    </row>
    <row r="41445">
      <c r="A41445" s="1" t="n">
        <v>41444</v>
      </c>
      <c r="B41445">
        <f>TEXT(41444, "[$-0E0000]yyyy-mm-dd")</f>
        <v/>
      </c>
      <c r="C41445" t="inlineStr">
        <is>
          <t>2013-05-13</t>
        </is>
      </c>
    </row>
    <row r="41446">
      <c r="A41446" s="1" t="n">
        <v>41445</v>
      </c>
      <c r="B41446">
        <f>TEXT(41445, "[$-0E0000]yyyy-mm-dd")</f>
        <v/>
      </c>
      <c r="C41446" t="inlineStr">
        <is>
          <t>2013-05-14</t>
        </is>
      </c>
    </row>
    <row r="41447">
      <c r="A41447" s="1" t="n">
        <v>41446</v>
      </c>
      <c r="B41447">
        <f>TEXT(41446, "[$-0E0000]yyyy-mm-dd")</f>
        <v/>
      </c>
      <c r="C41447" t="inlineStr">
        <is>
          <t>2013-05-15</t>
        </is>
      </c>
    </row>
    <row r="41448">
      <c r="A41448" s="1" t="n">
        <v>41447</v>
      </c>
      <c r="B41448">
        <f>TEXT(41447, "[$-0E0000]yyyy-mm-dd")</f>
        <v/>
      </c>
      <c r="C41448" t="inlineStr">
        <is>
          <t>2013-05-16</t>
        </is>
      </c>
    </row>
    <row r="41449">
      <c r="A41449" s="1" t="n">
        <v>41448</v>
      </c>
      <c r="B41449">
        <f>TEXT(41448, "[$-0E0000]yyyy-mm-dd")</f>
        <v/>
      </c>
      <c r="C41449" t="inlineStr">
        <is>
          <t>2013-05-17</t>
        </is>
      </c>
    </row>
    <row r="41450">
      <c r="A41450" s="1" t="n">
        <v>41449</v>
      </c>
      <c r="B41450">
        <f>TEXT(41449, "[$-0E0000]yyyy-mm-dd")</f>
        <v/>
      </c>
      <c r="C41450" t="inlineStr">
        <is>
          <t>2013-05-18</t>
        </is>
      </c>
    </row>
    <row r="41451">
      <c r="A41451" s="1" t="n">
        <v>41450</v>
      </c>
      <c r="B41451">
        <f>TEXT(41450, "[$-0E0000]yyyy-mm-dd")</f>
        <v/>
      </c>
      <c r="C41451" t="inlineStr">
        <is>
          <t>2013-05-19</t>
        </is>
      </c>
    </row>
    <row r="41452">
      <c r="A41452" s="1" t="n">
        <v>41451</v>
      </c>
      <c r="B41452">
        <f>TEXT(41451, "[$-0E0000]yyyy-mm-dd")</f>
        <v/>
      </c>
      <c r="C41452" t="inlineStr">
        <is>
          <t>2013-05-20</t>
        </is>
      </c>
    </row>
    <row r="41453">
      <c r="A41453" s="1" t="n">
        <v>41452</v>
      </c>
      <c r="B41453">
        <f>TEXT(41452, "[$-0E0000]yyyy-mm-dd")</f>
        <v/>
      </c>
      <c r="C41453" t="inlineStr">
        <is>
          <t>2013-05-21</t>
        </is>
      </c>
    </row>
    <row r="41454">
      <c r="A41454" s="1" t="n">
        <v>41453</v>
      </c>
      <c r="B41454">
        <f>TEXT(41453, "[$-0E0000]yyyy-mm-dd")</f>
        <v/>
      </c>
      <c r="C41454" t="inlineStr">
        <is>
          <t>2013-05-22</t>
        </is>
      </c>
    </row>
    <row r="41455">
      <c r="A41455" s="1" t="n">
        <v>41454</v>
      </c>
      <c r="B41455">
        <f>TEXT(41454, "[$-0E0000]yyyy-mm-dd")</f>
        <v/>
      </c>
      <c r="C41455" t="inlineStr">
        <is>
          <t>2013-05-23</t>
        </is>
      </c>
    </row>
    <row r="41456">
      <c r="A41456" s="1" t="n">
        <v>41455</v>
      </c>
      <c r="B41456">
        <f>TEXT(41455, "[$-0E0000]yyyy-mm-dd")</f>
        <v/>
      </c>
      <c r="C41456" t="inlineStr">
        <is>
          <t>2013-05-24</t>
        </is>
      </c>
    </row>
    <row r="41457">
      <c r="A41457" s="1" t="n">
        <v>41456</v>
      </c>
      <c r="B41457">
        <f>TEXT(41456, "[$-0E0000]yyyy-mm-dd")</f>
        <v/>
      </c>
      <c r="C41457" t="inlineStr">
        <is>
          <t>2013-05-25</t>
        </is>
      </c>
    </row>
    <row r="41458">
      <c r="A41458" s="1" t="n">
        <v>41457</v>
      </c>
      <c r="B41458">
        <f>TEXT(41457, "[$-0E0000]yyyy-mm-dd")</f>
        <v/>
      </c>
      <c r="C41458" t="inlineStr">
        <is>
          <t>2013-05-26</t>
        </is>
      </c>
    </row>
    <row r="41459">
      <c r="A41459" s="1" t="n">
        <v>41458</v>
      </c>
      <c r="B41459">
        <f>TEXT(41458, "[$-0E0000]yyyy-mm-dd")</f>
        <v/>
      </c>
      <c r="C41459" t="inlineStr">
        <is>
          <t>2013-05-27</t>
        </is>
      </c>
    </row>
    <row r="41460">
      <c r="A41460" s="1" t="n">
        <v>41459</v>
      </c>
      <c r="B41460">
        <f>TEXT(41459, "[$-0E0000]yyyy-mm-dd")</f>
        <v/>
      </c>
      <c r="C41460" t="inlineStr">
        <is>
          <t>2013-05-28</t>
        </is>
      </c>
    </row>
    <row r="41461">
      <c r="A41461" s="1" t="n">
        <v>41460</v>
      </c>
      <c r="B41461">
        <f>TEXT(41460, "[$-0E0000]yyyy-mm-dd")</f>
        <v/>
      </c>
      <c r="C41461" t="inlineStr">
        <is>
          <t>2013-05-29</t>
        </is>
      </c>
    </row>
    <row r="41462">
      <c r="A41462" s="1" t="n">
        <v>41461</v>
      </c>
      <c r="B41462">
        <f>TEXT(41461, "[$-0E0000]yyyy-mm-dd")</f>
        <v/>
      </c>
      <c r="C41462" t="inlineStr">
        <is>
          <t>2013-05-30</t>
        </is>
      </c>
    </row>
    <row r="41463">
      <c r="A41463" s="1" t="n">
        <v>41462</v>
      </c>
      <c r="B41463">
        <f>TEXT(41462, "[$-0E0000]yyyy-mm-dd")</f>
        <v/>
      </c>
      <c r="C41463" t="inlineStr">
        <is>
          <t>2013-06-01</t>
        </is>
      </c>
    </row>
    <row r="41464">
      <c r="A41464" s="1" t="n">
        <v>41463</v>
      </c>
      <c r="B41464">
        <f>TEXT(41463, "[$-0E0000]yyyy-mm-dd")</f>
        <v/>
      </c>
      <c r="C41464" t="inlineStr">
        <is>
          <t>2013-06-02</t>
        </is>
      </c>
    </row>
    <row r="41465">
      <c r="A41465" s="1" t="n">
        <v>41464</v>
      </c>
      <c r="B41465">
        <f>TEXT(41464, "[$-0E0000]yyyy-mm-dd")</f>
        <v/>
      </c>
      <c r="C41465" t="inlineStr">
        <is>
          <t>2013-06-03</t>
        </is>
      </c>
    </row>
    <row r="41466">
      <c r="A41466" s="1" t="n">
        <v>41465</v>
      </c>
      <c r="B41466">
        <f>TEXT(41465, "[$-0E0000]yyyy-mm-dd")</f>
        <v/>
      </c>
      <c r="C41466" t="inlineStr">
        <is>
          <t>2013-06-04</t>
        </is>
      </c>
    </row>
    <row r="41467">
      <c r="A41467" s="1" t="n">
        <v>41466</v>
      </c>
      <c r="B41467">
        <f>TEXT(41466, "[$-0E0000]yyyy-mm-dd")</f>
        <v/>
      </c>
      <c r="C41467" t="inlineStr">
        <is>
          <t>2013-06-05</t>
        </is>
      </c>
    </row>
    <row r="41468">
      <c r="A41468" s="1" t="n">
        <v>41467</v>
      </c>
      <c r="B41468">
        <f>TEXT(41467, "[$-0E0000]yyyy-mm-dd")</f>
        <v/>
      </c>
      <c r="C41468" t="inlineStr">
        <is>
          <t>2013-06-06</t>
        </is>
      </c>
    </row>
    <row r="41469">
      <c r="A41469" s="1" t="n">
        <v>41468</v>
      </c>
      <c r="B41469">
        <f>TEXT(41468, "[$-0E0000]yyyy-mm-dd")</f>
        <v/>
      </c>
      <c r="C41469" t="inlineStr">
        <is>
          <t>2013-06-07</t>
        </is>
      </c>
    </row>
    <row r="41470">
      <c r="A41470" s="1" t="n">
        <v>41469</v>
      </c>
      <c r="B41470">
        <f>TEXT(41469, "[$-0E0000]yyyy-mm-dd")</f>
        <v/>
      </c>
      <c r="C41470" t="inlineStr">
        <is>
          <t>2013-06-08</t>
        </is>
      </c>
    </row>
    <row r="41471">
      <c r="A41471" s="1" t="n">
        <v>41470</v>
      </c>
      <c r="B41471">
        <f>TEXT(41470, "[$-0E0000]yyyy-mm-dd")</f>
        <v/>
      </c>
      <c r="C41471" t="inlineStr">
        <is>
          <t>2013-06-09</t>
        </is>
      </c>
    </row>
    <row r="41472">
      <c r="A41472" s="1" t="n">
        <v>41471</v>
      </c>
      <c r="B41472">
        <f>TEXT(41471, "[$-0E0000]yyyy-mm-dd")</f>
        <v/>
      </c>
      <c r="C41472" t="inlineStr">
        <is>
          <t>2013-06-10</t>
        </is>
      </c>
    </row>
    <row r="41473">
      <c r="A41473" s="1" t="n">
        <v>41472</v>
      </c>
      <c r="B41473">
        <f>TEXT(41472, "[$-0E0000]yyyy-mm-dd")</f>
        <v/>
      </c>
      <c r="C41473" t="inlineStr">
        <is>
          <t>2013-06-11</t>
        </is>
      </c>
    </row>
    <row r="41474">
      <c r="A41474" s="1" t="n">
        <v>41473</v>
      </c>
      <c r="B41474">
        <f>TEXT(41473, "[$-0E0000]yyyy-mm-dd")</f>
        <v/>
      </c>
      <c r="C41474" t="inlineStr">
        <is>
          <t>2013-06-12</t>
        </is>
      </c>
    </row>
    <row r="41475">
      <c r="A41475" s="1" t="n">
        <v>41474</v>
      </c>
      <c r="B41475">
        <f>TEXT(41474, "[$-0E0000]yyyy-mm-dd")</f>
        <v/>
      </c>
      <c r="C41475" t="inlineStr">
        <is>
          <t>2013-06-13</t>
        </is>
      </c>
    </row>
    <row r="41476">
      <c r="A41476" s="1" t="n">
        <v>41475</v>
      </c>
      <c r="B41476">
        <f>TEXT(41475, "[$-0E0000]yyyy-mm-dd")</f>
        <v/>
      </c>
      <c r="C41476" t="inlineStr">
        <is>
          <t>2013-06-14</t>
        </is>
      </c>
    </row>
    <row r="41477">
      <c r="A41477" s="1" t="n">
        <v>41476</v>
      </c>
      <c r="B41477">
        <f>TEXT(41476, "[$-0E0000]yyyy-mm-dd")</f>
        <v/>
      </c>
      <c r="C41477" t="inlineStr">
        <is>
          <t>2013-06-15</t>
        </is>
      </c>
    </row>
    <row r="41478">
      <c r="A41478" s="1" t="n">
        <v>41477</v>
      </c>
      <c r="B41478">
        <f>TEXT(41477, "[$-0E0000]yyyy-mm-dd")</f>
        <v/>
      </c>
      <c r="C41478" t="inlineStr">
        <is>
          <t>2013-06-16</t>
        </is>
      </c>
    </row>
    <row r="41479">
      <c r="A41479" s="1" t="n">
        <v>41478</v>
      </c>
      <c r="B41479">
        <f>TEXT(41478, "[$-0E0000]yyyy-mm-dd")</f>
        <v/>
      </c>
      <c r="C41479" t="inlineStr">
        <is>
          <t>2013-06-17</t>
        </is>
      </c>
    </row>
    <row r="41480">
      <c r="A41480" s="1" t="n">
        <v>41479</v>
      </c>
      <c r="B41480">
        <f>TEXT(41479, "[$-0E0000]yyyy-mm-dd")</f>
        <v/>
      </c>
      <c r="C41480" t="inlineStr">
        <is>
          <t>2013-06-18</t>
        </is>
      </c>
    </row>
    <row r="41481">
      <c r="A41481" s="1" t="n">
        <v>41480</v>
      </c>
      <c r="B41481">
        <f>TEXT(41480, "[$-0E0000]yyyy-mm-dd")</f>
        <v/>
      </c>
      <c r="C41481" t="inlineStr">
        <is>
          <t>2013-06-19</t>
        </is>
      </c>
    </row>
    <row r="41482">
      <c r="A41482" s="1" t="n">
        <v>41481</v>
      </c>
      <c r="B41482">
        <f>TEXT(41481, "[$-0E0000]yyyy-mm-dd")</f>
        <v/>
      </c>
      <c r="C41482" t="inlineStr">
        <is>
          <t>2013-06-20</t>
        </is>
      </c>
    </row>
    <row r="41483">
      <c r="A41483" s="1" t="n">
        <v>41482</v>
      </c>
      <c r="B41483">
        <f>TEXT(41482, "[$-0E0000]yyyy-mm-dd")</f>
        <v/>
      </c>
      <c r="C41483" t="inlineStr">
        <is>
          <t>2013-06-21</t>
        </is>
      </c>
    </row>
    <row r="41484">
      <c r="A41484" s="1" t="n">
        <v>41483</v>
      </c>
      <c r="B41484">
        <f>TEXT(41483, "[$-0E0000]yyyy-mm-dd")</f>
        <v/>
      </c>
      <c r="C41484" t="inlineStr">
        <is>
          <t>2013-06-22</t>
        </is>
      </c>
    </row>
    <row r="41485">
      <c r="A41485" s="1" t="n">
        <v>41484</v>
      </c>
      <c r="B41485">
        <f>TEXT(41484, "[$-0E0000]yyyy-mm-dd")</f>
        <v/>
      </c>
      <c r="C41485" t="inlineStr">
        <is>
          <t>2013-06-23</t>
        </is>
      </c>
    </row>
    <row r="41486">
      <c r="A41486" s="1" t="n">
        <v>41485</v>
      </c>
      <c r="B41486">
        <f>TEXT(41485, "[$-0E0000]yyyy-mm-dd")</f>
        <v/>
      </c>
      <c r="C41486" t="inlineStr">
        <is>
          <t>2013-06-24</t>
        </is>
      </c>
    </row>
    <row r="41487">
      <c r="A41487" s="1" t="n">
        <v>41486</v>
      </c>
      <c r="B41487">
        <f>TEXT(41486, "[$-0E0000]yyyy-mm-dd")</f>
        <v/>
      </c>
      <c r="C41487" t="inlineStr">
        <is>
          <t>2013-06-25</t>
        </is>
      </c>
    </row>
    <row r="41488">
      <c r="A41488" s="1" t="n">
        <v>41487</v>
      </c>
      <c r="B41488">
        <f>TEXT(41487, "[$-0E0000]yyyy-mm-dd")</f>
        <v/>
      </c>
      <c r="C41488" t="inlineStr">
        <is>
          <t>2013-06-26</t>
        </is>
      </c>
    </row>
    <row r="41489">
      <c r="A41489" s="1" t="n">
        <v>41488</v>
      </c>
      <c r="B41489">
        <f>TEXT(41488, "[$-0E0000]yyyy-mm-dd")</f>
        <v/>
      </c>
      <c r="C41489" t="inlineStr">
        <is>
          <t>2013-06-27</t>
        </is>
      </c>
    </row>
    <row r="41490">
      <c r="A41490" s="1" t="n">
        <v>41489</v>
      </c>
      <c r="B41490">
        <f>TEXT(41489, "[$-0E0000]yyyy-mm-dd")</f>
        <v/>
      </c>
      <c r="C41490" t="inlineStr">
        <is>
          <t>2013-06-28</t>
        </is>
      </c>
    </row>
    <row r="41491">
      <c r="A41491" s="1" t="n">
        <v>41490</v>
      </c>
      <c r="B41491">
        <f>TEXT(41490, "[$-0E0000]yyyy-mm-dd")</f>
        <v/>
      </c>
      <c r="C41491" t="inlineStr">
        <is>
          <t>2013-06-29</t>
        </is>
      </c>
    </row>
    <row r="41492">
      <c r="A41492" s="1" t="n">
        <v>41491</v>
      </c>
      <c r="B41492">
        <f>TEXT(41491, "[$-0E0000]yyyy-mm-dd")</f>
        <v/>
      </c>
      <c r="C41492" t="inlineStr">
        <is>
          <t>2013-06-30</t>
        </is>
      </c>
    </row>
    <row r="41493">
      <c r="A41493" s="1" t="n">
        <v>41492</v>
      </c>
      <c r="B41493">
        <f>TEXT(41492, "[$-0E0000]yyyy-mm-dd")</f>
        <v/>
      </c>
      <c r="C41493" t="inlineStr">
        <is>
          <t>2013-07-01</t>
        </is>
      </c>
    </row>
    <row r="41494">
      <c r="A41494" s="1" t="n">
        <v>41493</v>
      </c>
      <c r="B41494">
        <f>TEXT(41493, "[$-0E0000]yyyy-mm-dd")</f>
        <v/>
      </c>
      <c r="C41494" t="inlineStr">
        <is>
          <t>2013-07-02</t>
        </is>
      </c>
    </row>
    <row r="41495">
      <c r="A41495" s="1" t="n">
        <v>41494</v>
      </c>
      <c r="B41495">
        <f>TEXT(41494, "[$-0E0000]yyyy-mm-dd")</f>
        <v/>
      </c>
      <c r="C41495" t="inlineStr">
        <is>
          <t>2013-07-03</t>
        </is>
      </c>
    </row>
    <row r="41496">
      <c r="A41496" s="1" t="n">
        <v>41495</v>
      </c>
      <c r="B41496">
        <f>TEXT(41495, "[$-0E0000]yyyy-mm-dd")</f>
        <v/>
      </c>
      <c r="C41496" t="inlineStr">
        <is>
          <t>2013-07-04</t>
        </is>
      </c>
    </row>
    <row r="41497">
      <c r="A41497" s="1" t="n">
        <v>41496</v>
      </c>
      <c r="B41497">
        <f>TEXT(41496, "[$-0E0000]yyyy-mm-dd")</f>
        <v/>
      </c>
      <c r="C41497" t="inlineStr">
        <is>
          <t>2013-07-05</t>
        </is>
      </c>
    </row>
    <row r="41498">
      <c r="A41498" s="1" t="n">
        <v>41497</v>
      </c>
      <c r="B41498">
        <f>TEXT(41497, "[$-0E0000]yyyy-mm-dd")</f>
        <v/>
      </c>
      <c r="C41498" t="inlineStr">
        <is>
          <t>2013-07-06</t>
        </is>
      </c>
    </row>
    <row r="41499">
      <c r="A41499" s="1" t="n">
        <v>41498</v>
      </c>
      <c r="B41499">
        <f>TEXT(41498, "[$-0E0000]yyyy-mm-dd")</f>
        <v/>
      </c>
      <c r="C41499" t="inlineStr">
        <is>
          <t>2013-07-07</t>
        </is>
      </c>
    </row>
    <row r="41500">
      <c r="A41500" s="1" t="n">
        <v>41499</v>
      </c>
      <c r="B41500">
        <f>TEXT(41499, "[$-0E0000]yyyy-mm-dd")</f>
        <v/>
      </c>
      <c r="C41500" t="inlineStr">
        <is>
          <t>2013-07-08</t>
        </is>
      </c>
    </row>
    <row r="41501">
      <c r="A41501" s="1" t="n">
        <v>41500</v>
      </c>
      <c r="B41501">
        <f>TEXT(41500, "[$-0E0000]yyyy-mm-dd")</f>
        <v/>
      </c>
      <c r="C41501" t="inlineStr">
        <is>
          <t>2013-07-09</t>
        </is>
      </c>
    </row>
    <row r="41502">
      <c r="A41502" s="1" t="n">
        <v>41501</v>
      </c>
      <c r="B41502">
        <f>TEXT(41501, "[$-0E0000]yyyy-mm-dd")</f>
        <v/>
      </c>
      <c r="C41502" t="inlineStr">
        <is>
          <t>2013-07-10</t>
        </is>
      </c>
    </row>
    <row r="41503">
      <c r="A41503" s="1" t="n">
        <v>41502</v>
      </c>
      <c r="B41503">
        <f>TEXT(41502, "[$-0E0000]yyyy-mm-dd")</f>
        <v/>
      </c>
      <c r="C41503" t="inlineStr">
        <is>
          <t>2013-07-11</t>
        </is>
      </c>
    </row>
    <row r="41504">
      <c r="A41504" s="1" t="n">
        <v>41503</v>
      </c>
      <c r="B41504">
        <f>TEXT(41503, "[$-0E0000]yyyy-mm-dd")</f>
        <v/>
      </c>
      <c r="C41504" t="inlineStr">
        <is>
          <t>2013-07-12</t>
        </is>
      </c>
    </row>
    <row r="41505">
      <c r="A41505" s="1" t="n">
        <v>41504</v>
      </c>
      <c r="B41505">
        <f>TEXT(41504, "[$-0E0000]yyyy-mm-dd")</f>
        <v/>
      </c>
      <c r="C41505" t="inlineStr">
        <is>
          <t>2013-07-13</t>
        </is>
      </c>
    </row>
    <row r="41506">
      <c r="A41506" s="1" t="n">
        <v>41505</v>
      </c>
      <c r="B41506">
        <f>TEXT(41505, "[$-0E0000]yyyy-mm-dd")</f>
        <v/>
      </c>
      <c r="C41506" t="inlineStr">
        <is>
          <t>2013-07-14</t>
        </is>
      </c>
    </row>
    <row r="41507">
      <c r="A41507" s="1" t="n">
        <v>41506</v>
      </c>
      <c r="B41507">
        <f>TEXT(41506, "[$-0E0000]yyyy-mm-dd")</f>
        <v/>
      </c>
      <c r="C41507" t="inlineStr">
        <is>
          <t>2013-07-15</t>
        </is>
      </c>
    </row>
    <row r="41508">
      <c r="A41508" s="1" t="n">
        <v>41507</v>
      </c>
      <c r="B41508">
        <f>TEXT(41507, "[$-0E0000]yyyy-mm-dd")</f>
        <v/>
      </c>
      <c r="C41508" t="inlineStr">
        <is>
          <t>2013-07-16</t>
        </is>
      </c>
    </row>
    <row r="41509">
      <c r="A41509" s="1" t="n">
        <v>41508</v>
      </c>
      <c r="B41509">
        <f>TEXT(41508, "[$-0E0000]yyyy-mm-dd")</f>
        <v/>
      </c>
      <c r="C41509" t="inlineStr">
        <is>
          <t>2013-07-17</t>
        </is>
      </c>
    </row>
    <row r="41510">
      <c r="A41510" s="1" t="n">
        <v>41509</v>
      </c>
      <c r="B41510">
        <f>TEXT(41509, "[$-0E0000]yyyy-mm-dd")</f>
        <v/>
      </c>
      <c r="C41510" t="inlineStr">
        <is>
          <t>2013-07-18</t>
        </is>
      </c>
    </row>
    <row r="41511">
      <c r="A41511" s="1" t="n">
        <v>41510</v>
      </c>
      <c r="B41511">
        <f>TEXT(41510, "[$-0E0000]yyyy-mm-dd")</f>
        <v/>
      </c>
      <c r="C41511" t="inlineStr">
        <is>
          <t>2013-07-19</t>
        </is>
      </c>
    </row>
    <row r="41512">
      <c r="A41512" s="1" t="n">
        <v>41511</v>
      </c>
      <c r="B41512">
        <f>TEXT(41511, "[$-0E0000]yyyy-mm-dd")</f>
        <v/>
      </c>
      <c r="C41512" t="inlineStr">
        <is>
          <t>2013-07-20</t>
        </is>
      </c>
    </row>
    <row r="41513">
      <c r="A41513" s="1" t="n">
        <v>41512</v>
      </c>
      <c r="B41513">
        <f>TEXT(41512, "[$-0E0000]yyyy-mm-dd")</f>
        <v/>
      </c>
      <c r="C41513" t="inlineStr">
        <is>
          <t>2013-07-21</t>
        </is>
      </c>
    </row>
    <row r="41514">
      <c r="A41514" s="1" t="n">
        <v>41513</v>
      </c>
      <c r="B41514">
        <f>TEXT(41513, "[$-0E0000]yyyy-mm-dd")</f>
        <v/>
      </c>
      <c r="C41514" t="inlineStr">
        <is>
          <t>2013-07-22</t>
        </is>
      </c>
    </row>
    <row r="41515">
      <c r="A41515" s="1" t="n">
        <v>41514</v>
      </c>
      <c r="B41515">
        <f>TEXT(41514, "[$-0E0000]yyyy-mm-dd")</f>
        <v/>
      </c>
      <c r="C41515" t="inlineStr">
        <is>
          <t>2013-07-23</t>
        </is>
      </c>
    </row>
    <row r="41516">
      <c r="A41516" s="1" t="n">
        <v>41515</v>
      </c>
      <c r="B41516">
        <f>TEXT(41515, "[$-0E0000]yyyy-mm-dd")</f>
        <v/>
      </c>
      <c r="C41516" t="inlineStr">
        <is>
          <t>2013-07-24</t>
        </is>
      </c>
    </row>
    <row r="41517">
      <c r="A41517" s="1" t="n">
        <v>41516</v>
      </c>
      <c r="B41517">
        <f>TEXT(41516, "[$-0E0000]yyyy-mm-dd")</f>
        <v/>
      </c>
      <c r="C41517" t="inlineStr">
        <is>
          <t>2013-07-25</t>
        </is>
      </c>
    </row>
    <row r="41518">
      <c r="A41518" s="1" t="n">
        <v>41517</v>
      </c>
      <c r="B41518">
        <f>TEXT(41517, "[$-0E0000]yyyy-mm-dd")</f>
        <v/>
      </c>
      <c r="C41518" t="inlineStr">
        <is>
          <t>2013-07-26</t>
        </is>
      </c>
    </row>
    <row r="41519">
      <c r="A41519" s="1" t="n">
        <v>41518</v>
      </c>
      <c r="B41519">
        <f>TEXT(41518, "[$-0E0000]yyyy-mm-dd")</f>
        <v/>
      </c>
      <c r="C41519" t="inlineStr">
        <is>
          <t>2013-07-27</t>
        </is>
      </c>
    </row>
    <row r="41520">
      <c r="A41520" s="1" t="n">
        <v>41519</v>
      </c>
      <c r="B41520">
        <f>TEXT(41519, "[$-0E0000]yyyy-mm-dd")</f>
        <v/>
      </c>
      <c r="C41520" t="inlineStr">
        <is>
          <t>2013-07-28</t>
        </is>
      </c>
    </row>
    <row r="41521">
      <c r="A41521" s="1" t="n">
        <v>41520</v>
      </c>
      <c r="B41521">
        <f>TEXT(41520, "[$-0E0000]yyyy-mm-dd")</f>
        <v/>
      </c>
      <c r="C41521" t="inlineStr">
        <is>
          <t>2013-07-29</t>
        </is>
      </c>
    </row>
    <row r="41522">
      <c r="A41522" s="1" t="n">
        <v>41521</v>
      </c>
      <c r="B41522">
        <f>TEXT(41521, "[$-0E0000]yyyy-mm-dd")</f>
        <v/>
      </c>
      <c r="C41522" t="inlineStr">
        <is>
          <t>2013-08-01</t>
        </is>
      </c>
    </row>
    <row r="41523">
      <c r="A41523" s="1" t="n">
        <v>41522</v>
      </c>
      <c r="B41523">
        <f>TEXT(41522, "[$-0E0000]yyyy-mm-dd")</f>
        <v/>
      </c>
      <c r="C41523" t="inlineStr">
        <is>
          <t>2013-08-02</t>
        </is>
      </c>
    </row>
    <row r="41524">
      <c r="A41524" s="1" t="n">
        <v>41523</v>
      </c>
      <c r="B41524">
        <f>TEXT(41523, "[$-0E0000]yyyy-mm-dd")</f>
        <v/>
      </c>
      <c r="C41524" t="inlineStr">
        <is>
          <t>2013-08-03</t>
        </is>
      </c>
    </row>
    <row r="41525">
      <c r="A41525" s="1" t="n">
        <v>41524</v>
      </c>
      <c r="B41525">
        <f>TEXT(41524, "[$-0E0000]yyyy-mm-dd")</f>
        <v/>
      </c>
      <c r="C41525" t="inlineStr">
        <is>
          <t>2013-08-04</t>
        </is>
      </c>
    </row>
    <row r="41526">
      <c r="A41526" s="1" t="n">
        <v>41525</v>
      </c>
      <c r="B41526">
        <f>TEXT(41525, "[$-0E0000]yyyy-mm-dd")</f>
        <v/>
      </c>
      <c r="C41526" t="inlineStr">
        <is>
          <t>2013-08-05</t>
        </is>
      </c>
    </row>
    <row r="41527">
      <c r="A41527" s="1" t="n">
        <v>41526</v>
      </c>
      <c r="B41527">
        <f>TEXT(41526, "[$-0E0000]yyyy-mm-dd")</f>
        <v/>
      </c>
      <c r="C41527" t="inlineStr">
        <is>
          <t>2013-08-06</t>
        </is>
      </c>
    </row>
    <row r="41528">
      <c r="A41528" s="1" t="n">
        <v>41527</v>
      </c>
      <c r="B41528">
        <f>TEXT(41527, "[$-0E0000]yyyy-mm-dd")</f>
        <v/>
      </c>
      <c r="C41528" t="inlineStr">
        <is>
          <t>2013-08-07</t>
        </is>
      </c>
    </row>
    <row r="41529">
      <c r="A41529" s="1" t="n">
        <v>41528</v>
      </c>
      <c r="B41529">
        <f>TEXT(41528, "[$-0E0000]yyyy-mm-dd")</f>
        <v/>
      </c>
      <c r="C41529" t="inlineStr">
        <is>
          <t>2013-08-08</t>
        </is>
      </c>
    </row>
    <row r="41530">
      <c r="A41530" s="1" t="n">
        <v>41529</v>
      </c>
      <c r="B41530">
        <f>TEXT(41529, "[$-0E0000]yyyy-mm-dd")</f>
        <v/>
      </c>
      <c r="C41530" t="inlineStr">
        <is>
          <t>2013-08-09</t>
        </is>
      </c>
    </row>
    <row r="41531">
      <c r="A41531" s="1" t="n">
        <v>41530</v>
      </c>
      <c r="B41531">
        <f>TEXT(41530, "[$-0E0000]yyyy-mm-dd")</f>
        <v/>
      </c>
      <c r="C41531" t="inlineStr">
        <is>
          <t>2013-08-10</t>
        </is>
      </c>
    </row>
    <row r="41532">
      <c r="A41532" s="1" t="n">
        <v>41531</v>
      </c>
      <c r="B41532">
        <f>TEXT(41531, "[$-0E0000]yyyy-mm-dd")</f>
        <v/>
      </c>
      <c r="C41532" t="inlineStr">
        <is>
          <t>2013-08-11</t>
        </is>
      </c>
    </row>
    <row r="41533">
      <c r="A41533" s="1" t="n">
        <v>41532</v>
      </c>
      <c r="B41533">
        <f>TEXT(41532, "[$-0E0000]yyyy-mm-dd")</f>
        <v/>
      </c>
      <c r="C41533" t="inlineStr">
        <is>
          <t>2013-08-12</t>
        </is>
      </c>
    </row>
    <row r="41534">
      <c r="A41534" s="1" t="n">
        <v>41533</v>
      </c>
      <c r="B41534">
        <f>TEXT(41533, "[$-0E0000]yyyy-mm-dd")</f>
        <v/>
      </c>
      <c r="C41534" t="inlineStr">
        <is>
          <t>2013-08-13</t>
        </is>
      </c>
    </row>
    <row r="41535">
      <c r="A41535" s="1" t="n">
        <v>41534</v>
      </c>
      <c r="B41535">
        <f>TEXT(41534, "[$-0E0000]yyyy-mm-dd")</f>
        <v/>
      </c>
      <c r="C41535" t="inlineStr">
        <is>
          <t>2013-08-14</t>
        </is>
      </c>
    </row>
    <row r="41536">
      <c r="A41536" s="1" t="n">
        <v>41535</v>
      </c>
      <c r="B41536">
        <f>TEXT(41535, "[$-0E0000]yyyy-mm-dd")</f>
        <v/>
      </c>
      <c r="C41536" t="inlineStr">
        <is>
          <t>2013-08-15</t>
        </is>
      </c>
    </row>
    <row r="41537">
      <c r="A41537" s="1" t="n">
        <v>41536</v>
      </c>
      <c r="B41537">
        <f>TEXT(41536, "[$-0E0000]yyyy-mm-dd")</f>
        <v/>
      </c>
      <c r="C41537" t="inlineStr">
        <is>
          <t>2013-08-16</t>
        </is>
      </c>
    </row>
    <row r="41538">
      <c r="A41538" s="1" t="n">
        <v>41537</v>
      </c>
      <c r="B41538">
        <f>TEXT(41537, "[$-0E0000]yyyy-mm-dd")</f>
        <v/>
      </c>
      <c r="C41538" t="inlineStr">
        <is>
          <t>2013-08-17</t>
        </is>
      </c>
    </row>
    <row r="41539">
      <c r="A41539" s="1" t="n">
        <v>41538</v>
      </c>
      <c r="B41539">
        <f>TEXT(41538, "[$-0E0000]yyyy-mm-dd")</f>
        <v/>
      </c>
      <c r="C41539" t="inlineStr">
        <is>
          <t>2013-08-18</t>
        </is>
      </c>
    </row>
    <row r="41540">
      <c r="A41540" s="1" t="n">
        <v>41539</v>
      </c>
      <c r="B41540">
        <f>TEXT(41539, "[$-0E0000]yyyy-mm-dd")</f>
        <v/>
      </c>
      <c r="C41540" t="inlineStr">
        <is>
          <t>2013-08-19</t>
        </is>
      </c>
    </row>
    <row r="41541">
      <c r="A41541" s="1" t="n">
        <v>41540</v>
      </c>
      <c r="B41541">
        <f>TEXT(41540, "[$-0E0000]yyyy-mm-dd")</f>
        <v/>
      </c>
      <c r="C41541" t="inlineStr">
        <is>
          <t>2013-08-20</t>
        </is>
      </c>
    </row>
    <row r="41542">
      <c r="A41542" s="1" t="n">
        <v>41541</v>
      </c>
      <c r="B41542">
        <f>TEXT(41541, "[$-0E0000]yyyy-mm-dd")</f>
        <v/>
      </c>
      <c r="C41542" t="inlineStr">
        <is>
          <t>2013-08-21</t>
        </is>
      </c>
    </row>
    <row r="41543">
      <c r="A41543" s="1" t="n">
        <v>41542</v>
      </c>
      <c r="B41543">
        <f>TEXT(41542, "[$-0E0000]yyyy-mm-dd")</f>
        <v/>
      </c>
      <c r="C41543" t="inlineStr">
        <is>
          <t>2013-08-22</t>
        </is>
      </c>
    </row>
    <row r="41544">
      <c r="A41544" s="1" t="n">
        <v>41543</v>
      </c>
      <c r="B41544">
        <f>TEXT(41543, "[$-0E0000]yyyy-mm-dd")</f>
        <v/>
      </c>
      <c r="C41544" t="inlineStr">
        <is>
          <t>2013-08-23</t>
        </is>
      </c>
    </row>
    <row r="41545">
      <c r="A41545" s="1" t="n">
        <v>41544</v>
      </c>
      <c r="B41545">
        <f>TEXT(41544, "[$-0E0000]yyyy-mm-dd")</f>
        <v/>
      </c>
      <c r="C41545" t="inlineStr">
        <is>
          <t>2013-08-24</t>
        </is>
      </c>
    </row>
    <row r="41546">
      <c r="A41546" s="1" t="n">
        <v>41545</v>
      </c>
      <c r="B41546">
        <f>TEXT(41545, "[$-0E0000]yyyy-mm-dd")</f>
        <v/>
      </c>
      <c r="C41546" t="inlineStr">
        <is>
          <t>2013-08-25</t>
        </is>
      </c>
    </row>
    <row r="41547">
      <c r="A41547" s="1" t="n">
        <v>41546</v>
      </c>
      <c r="B41547">
        <f>TEXT(41546, "[$-0E0000]yyyy-mm-dd")</f>
        <v/>
      </c>
      <c r="C41547" t="inlineStr">
        <is>
          <t>2013-08-26</t>
        </is>
      </c>
    </row>
    <row r="41548">
      <c r="A41548" s="1" t="n">
        <v>41547</v>
      </c>
      <c r="B41548">
        <f>TEXT(41547, "[$-0E0000]yyyy-mm-dd")</f>
        <v/>
      </c>
      <c r="C41548" t="inlineStr">
        <is>
          <t>2013-08-27</t>
        </is>
      </c>
    </row>
    <row r="41549">
      <c r="A41549" s="1" t="n">
        <v>41548</v>
      </c>
      <c r="B41549">
        <f>TEXT(41548, "[$-0E0000]yyyy-mm-dd")</f>
        <v/>
      </c>
      <c r="C41549" t="inlineStr">
        <is>
          <t>2013-08-28</t>
        </is>
      </c>
    </row>
    <row r="41550">
      <c r="A41550" s="1" t="n">
        <v>41549</v>
      </c>
      <c r="B41550">
        <f>TEXT(41549, "[$-0E0000]yyyy-mm-dd")</f>
        <v/>
      </c>
      <c r="C41550" t="inlineStr">
        <is>
          <t>2013-08-29</t>
        </is>
      </c>
    </row>
    <row r="41551">
      <c r="A41551" s="1" t="n">
        <v>41550</v>
      </c>
      <c r="B41551">
        <f>TEXT(41550, "[$-0E0000]yyyy-mm-dd")</f>
        <v/>
      </c>
      <c r="C41551" t="inlineStr">
        <is>
          <t>2013-08-30</t>
        </is>
      </c>
    </row>
    <row r="41552">
      <c r="A41552" s="1" t="n">
        <v>41551</v>
      </c>
      <c r="B41552">
        <f>TEXT(41551, "[$-0E0000]yyyy-mm-dd")</f>
        <v/>
      </c>
      <c r="C41552" t="inlineStr">
        <is>
          <t>2013-09-01</t>
        </is>
      </c>
    </row>
    <row r="41553">
      <c r="A41553" s="1" t="n">
        <v>41552</v>
      </c>
      <c r="B41553">
        <f>TEXT(41552, "[$-0E0000]yyyy-mm-dd")</f>
        <v/>
      </c>
      <c r="C41553" t="inlineStr">
        <is>
          <t>2013-09-02</t>
        </is>
      </c>
    </row>
    <row r="41554">
      <c r="A41554" s="1" t="n">
        <v>41553</v>
      </c>
      <c r="B41554">
        <f>TEXT(41553, "[$-0E0000]yyyy-mm-dd")</f>
        <v/>
      </c>
      <c r="C41554" t="inlineStr">
        <is>
          <t>2013-09-03</t>
        </is>
      </c>
    </row>
    <row r="41555">
      <c r="A41555" s="1" t="n">
        <v>41554</v>
      </c>
      <c r="B41555">
        <f>TEXT(41554, "[$-0E0000]yyyy-mm-dd")</f>
        <v/>
      </c>
      <c r="C41555" t="inlineStr">
        <is>
          <t>2013-09-04</t>
        </is>
      </c>
    </row>
    <row r="41556">
      <c r="A41556" s="1" t="n">
        <v>41555</v>
      </c>
      <c r="B41556">
        <f>TEXT(41555, "[$-0E0000]yyyy-mm-dd")</f>
        <v/>
      </c>
      <c r="C41556" t="inlineStr">
        <is>
          <t>2013-09-05</t>
        </is>
      </c>
    </row>
    <row r="41557">
      <c r="A41557" s="1" t="n">
        <v>41556</v>
      </c>
      <c r="B41557">
        <f>TEXT(41556, "[$-0E0000]yyyy-mm-dd")</f>
        <v/>
      </c>
      <c r="C41557" t="inlineStr">
        <is>
          <t>2013-09-06</t>
        </is>
      </c>
    </row>
    <row r="41558">
      <c r="A41558" s="1" t="n">
        <v>41557</v>
      </c>
      <c r="B41558">
        <f>TEXT(41557, "[$-0E0000]yyyy-mm-dd")</f>
        <v/>
      </c>
      <c r="C41558" t="inlineStr">
        <is>
          <t>2013-09-07</t>
        </is>
      </c>
    </row>
    <row r="41559">
      <c r="A41559" s="1" t="n">
        <v>41558</v>
      </c>
      <c r="B41559">
        <f>TEXT(41558, "[$-0E0000]yyyy-mm-dd")</f>
        <v/>
      </c>
      <c r="C41559" t="inlineStr">
        <is>
          <t>2013-09-08</t>
        </is>
      </c>
    </row>
    <row r="41560">
      <c r="A41560" s="1" t="n">
        <v>41559</v>
      </c>
      <c r="B41560">
        <f>TEXT(41559, "[$-0E0000]yyyy-mm-dd")</f>
        <v/>
      </c>
      <c r="C41560" t="inlineStr">
        <is>
          <t>2013-09-09</t>
        </is>
      </c>
    </row>
    <row r="41561">
      <c r="A41561" s="1" t="n">
        <v>41560</v>
      </c>
      <c r="B41561">
        <f>TEXT(41560, "[$-0E0000]yyyy-mm-dd")</f>
        <v/>
      </c>
      <c r="C41561" t="inlineStr">
        <is>
          <t>2013-09-10</t>
        </is>
      </c>
    </row>
    <row r="41562">
      <c r="A41562" s="1" t="n">
        <v>41561</v>
      </c>
      <c r="B41562">
        <f>TEXT(41561, "[$-0E0000]yyyy-mm-dd")</f>
        <v/>
      </c>
      <c r="C41562" t="inlineStr">
        <is>
          <t>2013-09-11</t>
        </is>
      </c>
    </row>
    <row r="41563">
      <c r="A41563" s="1" t="n">
        <v>41562</v>
      </c>
      <c r="B41563">
        <f>TEXT(41562, "[$-0E0000]yyyy-mm-dd")</f>
        <v/>
      </c>
      <c r="C41563" t="inlineStr">
        <is>
          <t>2013-09-12</t>
        </is>
      </c>
    </row>
    <row r="41564">
      <c r="A41564" s="1" t="n">
        <v>41563</v>
      </c>
      <c r="B41564">
        <f>TEXT(41563, "[$-0E0000]yyyy-mm-dd")</f>
        <v/>
      </c>
      <c r="C41564" t="inlineStr">
        <is>
          <t>2013-09-13</t>
        </is>
      </c>
    </row>
    <row r="41565">
      <c r="A41565" s="1" t="n">
        <v>41564</v>
      </c>
      <c r="B41565">
        <f>TEXT(41564, "[$-0E0000]yyyy-mm-dd")</f>
        <v/>
      </c>
      <c r="C41565" t="inlineStr">
        <is>
          <t>2013-09-14</t>
        </is>
      </c>
    </row>
    <row r="41566">
      <c r="A41566" s="1" t="n">
        <v>41565</v>
      </c>
      <c r="B41566">
        <f>TEXT(41565, "[$-0E0000]yyyy-mm-dd")</f>
        <v/>
      </c>
      <c r="C41566" t="inlineStr">
        <is>
          <t>2013-09-15</t>
        </is>
      </c>
    </row>
    <row r="41567">
      <c r="A41567" s="1" t="n">
        <v>41566</v>
      </c>
      <c r="B41567">
        <f>TEXT(41566, "[$-0E0000]yyyy-mm-dd")</f>
        <v/>
      </c>
      <c r="C41567" t="inlineStr">
        <is>
          <t>2013-09-16</t>
        </is>
      </c>
    </row>
    <row r="41568">
      <c r="A41568" s="1" t="n">
        <v>41567</v>
      </c>
      <c r="B41568">
        <f>TEXT(41567, "[$-0E0000]yyyy-mm-dd")</f>
        <v/>
      </c>
      <c r="C41568" t="inlineStr">
        <is>
          <t>2013-09-17</t>
        </is>
      </c>
    </row>
    <row r="41569">
      <c r="A41569" s="1" t="n">
        <v>41568</v>
      </c>
      <c r="B41569">
        <f>TEXT(41568, "[$-0E0000]yyyy-mm-dd")</f>
        <v/>
      </c>
      <c r="C41569" t="inlineStr">
        <is>
          <t>2013-09-18</t>
        </is>
      </c>
    </row>
    <row r="41570">
      <c r="A41570" s="1" t="n">
        <v>41569</v>
      </c>
      <c r="B41570">
        <f>TEXT(41569, "[$-0E0000]yyyy-mm-dd")</f>
        <v/>
      </c>
      <c r="C41570" t="inlineStr">
        <is>
          <t>2013-09-19</t>
        </is>
      </c>
    </row>
    <row r="41571">
      <c r="A41571" s="1" t="n">
        <v>41570</v>
      </c>
      <c r="B41571">
        <f>TEXT(41570, "[$-0E0000]yyyy-mm-dd")</f>
        <v/>
      </c>
      <c r="C41571" t="inlineStr">
        <is>
          <t>2013-09-20</t>
        </is>
      </c>
    </row>
    <row r="41572">
      <c r="A41572" s="1" t="n">
        <v>41571</v>
      </c>
      <c r="B41572">
        <f>TEXT(41571, "[$-0E0000]yyyy-mm-dd")</f>
        <v/>
      </c>
      <c r="C41572" t="inlineStr">
        <is>
          <t>2013-09-21</t>
        </is>
      </c>
    </row>
    <row r="41573">
      <c r="A41573" s="1" t="n">
        <v>41572</v>
      </c>
      <c r="B41573">
        <f>TEXT(41572, "[$-0E0000]yyyy-mm-dd")</f>
        <v/>
      </c>
      <c r="C41573" t="inlineStr">
        <is>
          <t>2013-09-22</t>
        </is>
      </c>
    </row>
    <row r="41574">
      <c r="A41574" s="1" t="n">
        <v>41573</v>
      </c>
      <c r="B41574">
        <f>TEXT(41573, "[$-0E0000]yyyy-mm-dd")</f>
        <v/>
      </c>
      <c r="C41574" t="inlineStr">
        <is>
          <t>2013-09-23</t>
        </is>
      </c>
    </row>
    <row r="41575">
      <c r="A41575" s="1" t="n">
        <v>41574</v>
      </c>
      <c r="B41575">
        <f>TEXT(41574, "[$-0E0000]yyyy-mm-dd")</f>
        <v/>
      </c>
      <c r="C41575" t="inlineStr">
        <is>
          <t>2013-09-24</t>
        </is>
      </c>
    </row>
    <row r="41576">
      <c r="A41576" s="1" t="n">
        <v>41575</v>
      </c>
      <c r="B41576">
        <f>TEXT(41575, "[$-0E0000]yyyy-mm-dd")</f>
        <v/>
      </c>
      <c r="C41576" t="inlineStr">
        <is>
          <t>2013-09-25</t>
        </is>
      </c>
    </row>
    <row r="41577">
      <c r="A41577" s="1" t="n">
        <v>41576</v>
      </c>
      <c r="B41577">
        <f>TEXT(41576, "[$-0E0000]yyyy-mm-dd")</f>
        <v/>
      </c>
      <c r="C41577" t="inlineStr">
        <is>
          <t>2013-09-26</t>
        </is>
      </c>
    </row>
    <row r="41578">
      <c r="A41578" s="1" t="n">
        <v>41577</v>
      </c>
      <c r="B41578">
        <f>TEXT(41577, "[$-0E0000]yyyy-mm-dd")</f>
        <v/>
      </c>
      <c r="C41578" t="inlineStr">
        <is>
          <t>2013-09-27</t>
        </is>
      </c>
    </row>
    <row r="41579">
      <c r="A41579" s="1" t="n">
        <v>41578</v>
      </c>
      <c r="B41579">
        <f>TEXT(41578, "[$-0E0000]yyyy-mm-dd")</f>
        <v/>
      </c>
      <c r="C41579" t="inlineStr">
        <is>
          <t>2013-09-28</t>
        </is>
      </c>
    </row>
    <row r="41580">
      <c r="A41580" s="1" t="n">
        <v>41579</v>
      </c>
      <c r="B41580">
        <f>TEXT(41579, "[$-0E0000]yyyy-mm-dd")</f>
        <v/>
      </c>
      <c r="C41580" t="inlineStr">
        <is>
          <t>2013-09-29</t>
        </is>
      </c>
    </row>
    <row r="41581">
      <c r="A41581" s="1" t="n">
        <v>41580</v>
      </c>
      <c r="B41581">
        <f>TEXT(41580, "[$-0E0000]yyyy-mm-dd")</f>
        <v/>
      </c>
      <c r="C41581" t="inlineStr">
        <is>
          <t>2013-10-01</t>
        </is>
      </c>
    </row>
    <row r="41582">
      <c r="A41582" s="1" t="n">
        <v>41581</v>
      </c>
      <c r="B41582">
        <f>TEXT(41581, "[$-0E0000]yyyy-mm-dd")</f>
        <v/>
      </c>
      <c r="C41582" t="inlineStr">
        <is>
          <t>2013-10-02</t>
        </is>
      </c>
    </row>
    <row r="41583">
      <c r="A41583" s="1" t="n">
        <v>41582</v>
      </c>
      <c r="B41583">
        <f>TEXT(41582, "[$-0E0000]yyyy-mm-dd")</f>
        <v/>
      </c>
      <c r="C41583" t="inlineStr">
        <is>
          <t>2013-10-03</t>
        </is>
      </c>
    </row>
    <row r="41584">
      <c r="A41584" s="1" t="n">
        <v>41583</v>
      </c>
      <c r="B41584">
        <f>TEXT(41583, "[$-0E0000]yyyy-mm-dd")</f>
        <v/>
      </c>
      <c r="C41584" t="inlineStr">
        <is>
          <t>2013-10-04</t>
        </is>
      </c>
    </row>
    <row r="41585">
      <c r="A41585" s="1" t="n">
        <v>41584</v>
      </c>
      <c r="B41585">
        <f>TEXT(41584, "[$-0E0000]yyyy-mm-dd")</f>
        <v/>
      </c>
      <c r="C41585" t="inlineStr">
        <is>
          <t>2013-10-05</t>
        </is>
      </c>
    </row>
    <row r="41586">
      <c r="A41586" s="1" t="n">
        <v>41585</v>
      </c>
      <c r="B41586">
        <f>TEXT(41585, "[$-0E0000]yyyy-mm-dd")</f>
        <v/>
      </c>
      <c r="C41586" t="inlineStr">
        <is>
          <t>2013-10-06</t>
        </is>
      </c>
    </row>
    <row r="41587">
      <c r="A41587" s="1" t="n">
        <v>41586</v>
      </c>
      <c r="B41587">
        <f>TEXT(41586, "[$-0E0000]yyyy-mm-dd")</f>
        <v/>
      </c>
      <c r="C41587" t="inlineStr">
        <is>
          <t>2013-10-07</t>
        </is>
      </c>
    </row>
    <row r="41588">
      <c r="A41588" s="1" t="n">
        <v>41587</v>
      </c>
      <c r="B41588">
        <f>TEXT(41587, "[$-0E0000]yyyy-mm-dd")</f>
        <v/>
      </c>
      <c r="C41588" t="inlineStr">
        <is>
          <t>2013-10-08</t>
        </is>
      </c>
    </row>
    <row r="41589">
      <c r="A41589" s="1" t="n">
        <v>41588</v>
      </c>
      <c r="B41589">
        <f>TEXT(41588, "[$-0E0000]yyyy-mm-dd")</f>
        <v/>
      </c>
      <c r="C41589" t="inlineStr">
        <is>
          <t>2013-10-09</t>
        </is>
      </c>
    </row>
    <row r="41590">
      <c r="A41590" s="1" t="n">
        <v>41589</v>
      </c>
      <c r="B41590">
        <f>TEXT(41589, "[$-0E0000]yyyy-mm-dd")</f>
        <v/>
      </c>
      <c r="C41590" t="inlineStr">
        <is>
          <t>2013-10-10</t>
        </is>
      </c>
    </row>
    <row r="41591">
      <c r="A41591" s="1" t="n">
        <v>41590</v>
      </c>
      <c r="B41591">
        <f>TEXT(41590, "[$-0E0000]yyyy-mm-dd")</f>
        <v/>
      </c>
      <c r="C41591" t="inlineStr">
        <is>
          <t>2013-10-11</t>
        </is>
      </c>
    </row>
    <row r="41592">
      <c r="A41592" s="1" t="n">
        <v>41591</v>
      </c>
      <c r="B41592">
        <f>TEXT(41591, "[$-0E0000]yyyy-mm-dd")</f>
        <v/>
      </c>
      <c r="C41592" t="inlineStr">
        <is>
          <t>2013-10-12</t>
        </is>
      </c>
    </row>
    <row r="41593">
      <c r="A41593" s="1" t="n">
        <v>41592</v>
      </c>
      <c r="B41593">
        <f>TEXT(41592, "[$-0E0000]yyyy-mm-dd")</f>
        <v/>
      </c>
      <c r="C41593" t="inlineStr">
        <is>
          <t>2013-10-13</t>
        </is>
      </c>
    </row>
    <row r="41594">
      <c r="A41594" s="1" t="n">
        <v>41593</v>
      </c>
      <c r="B41594">
        <f>TEXT(41593, "[$-0E0000]yyyy-mm-dd")</f>
        <v/>
      </c>
      <c r="C41594" t="inlineStr">
        <is>
          <t>2013-10-14</t>
        </is>
      </c>
    </row>
    <row r="41595">
      <c r="A41595" s="1" t="n">
        <v>41594</v>
      </c>
      <c r="B41595">
        <f>TEXT(41594, "[$-0E0000]yyyy-mm-dd")</f>
        <v/>
      </c>
      <c r="C41595" t="inlineStr">
        <is>
          <t>2013-10-15</t>
        </is>
      </c>
    </row>
    <row r="41596">
      <c r="A41596" s="1" t="n">
        <v>41595</v>
      </c>
      <c r="B41596">
        <f>TEXT(41595, "[$-0E0000]yyyy-mm-dd")</f>
        <v/>
      </c>
      <c r="C41596" t="inlineStr">
        <is>
          <t>2013-10-16</t>
        </is>
      </c>
    </row>
    <row r="41597">
      <c r="A41597" s="1" t="n">
        <v>41596</v>
      </c>
      <c r="B41597">
        <f>TEXT(41596, "[$-0E0000]yyyy-mm-dd")</f>
        <v/>
      </c>
      <c r="C41597" t="inlineStr">
        <is>
          <t>2013-10-17</t>
        </is>
      </c>
    </row>
    <row r="41598">
      <c r="A41598" s="1" t="n">
        <v>41597</v>
      </c>
      <c r="B41598">
        <f>TEXT(41597, "[$-0E0000]yyyy-mm-dd")</f>
        <v/>
      </c>
      <c r="C41598" t="inlineStr">
        <is>
          <t>2013-10-18</t>
        </is>
      </c>
    </row>
    <row r="41599">
      <c r="A41599" s="1" t="n">
        <v>41598</v>
      </c>
      <c r="B41599">
        <f>TEXT(41598, "[$-0E0000]yyyy-mm-dd")</f>
        <v/>
      </c>
      <c r="C41599" t="inlineStr">
        <is>
          <t>2013-10-19</t>
        </is>
      </c>
    </row>
    <row r="41600">
      <c r="A41600" s="1" t="n">
        <v>41599</v>
      </c>
      <c r="B41600">
        <f>TEXT(41599, "[$-0E0000]yyyy-mm-dd")</f>
        <v/>
      </c>
      <c r="C41600" t="inlineStr">
        <is>
          <t>2013-10-20</t>
        </is>
      </c>
    </row>
    <row r="41601">
      <c r="A41601" s="1" t="n">
        <v>41600</v>
      </c>
      <c r="B41601">
        <f>TEXT(41600, "[$-0E0000]yyyy-mm-dd")</f>
        <v/>
      </c>
      <c r="C41601" t="inlineStr">
        <is>
          <t>2013-10-21</t>
        </is>
      </c>
    </row>
    <row r="41602">
      <c r="A41602" s="1" t="n">
        <v>41601</v>
      </c>
      <c r="B41602">
        <f>TEXT(41601, "[$-0E0000]yyyy-mm-dd")</f>
        <v/>
      </c>
      <c r="C41602" t="inlineStr">
        <is>
          <t>2013-10-22</t>
        </is>
      </c>
    </row>
    <row r="41603">
      <c r="A41603" s="1" t="n">
        <v>41602</v>
      </c>
      <c r="B41603">
        <f>TEXT(41602, "[$-0E0000]yyyy-mm-dd")</f>
        <v/>
      </c>
      <c r="C41603" t="inlineStr">
        <is>
          <t>2013-10-23</t>
        </is>
      </c>
    </row>
    <row r="41604">
      <c r="A41604" s="1" t="n">
        <v>41603</v>
      </c>
      <c r="B41604">
        <f>TEXT(41603, "[$-0E0000]yyyy-mm-dd")</f>
        <v/>
      </c>
      <c r="C41604" t="inlineStr">
        <is>
          <t>2013-10-24</t>
        </is>
      </c>
    </row>
    <row r="41605">
      <c r="A41605" s="1" t="n">
        <v>41604</v>
      </c>
      <c r="B41605">
        <f>TEXT(41604, "[$-0E0000]yyyy-mm-dd")</f>
        <v/>
      </c>
      <c r="C41605" t="inlineStr">
        <is>
          <t>2013-10-25</t>
        </is>
      </c>
    </row>
    <row r="41606">
      <c r="A41606" s="1" t="n">
        <v>41605</v>
      </c>
      <c r="B41606">
        <f>TEXT(41605, "[$-0E0000]yyyy-mm-dd")</f>
        <v/>
      </c>
      <c r="C41606" t="inlineStr">
        <is>
          <t>2013-10-26</t>
        </is>
      </c>
    </row>
    <row r="41607">
      <c r="A41607" s="1" t="n">
        <v>41606</v>
      </c>
      <c r="B41607">
        <f>TEXT(41606, "[$-0E0000]yyyy-mm-dd")</f>
        <v/>
      </c>
      <c r="C41607" t="inlineStr">
        <is>
          <t>2013-10-27</t>
        </is>
      </c>
    </row>
    <row r="41608">
      <c r="A41608" s="1" t="n">
        <v>41607</v>
      </c>
      <c r="B41608">
        <f>TEXT(41607, "[$-0E0000]yyyy-mm-dd")</f>
        <v/>
      </c>
      <c r="C41608" t="inlineStr">
        <is>
          <t>2013-10-28</t>
        </is>
      </c>
    </row>
    <row r="41609">
      <c r="A41609" s="1" t="n">
        <v>41608</v>
      </c>
      <c r="B41609">
        <f>TEXT(41608, "[$-0E0000]yyyy-mm-dd")</f>
        <v/>
      </c>
      <c r="C41609" t="inlineStr">
        <is>
          <t>2013-10-29</t>
        </is>
      </c>
    </row>
    <row r="41610">
      <c r="A41610" s="1" t="n">
        <v>41609</v>
      </c>
      <c r="B41610">
        <f>TEXT(41609, "[$-0E0000]yyyy-mm-dd")</f>
        <v/>
      </c>
      <c r="C41610" t="inlineStr">
        <is>
          <t>2013-10-30</t>
        </is>
      </c>
    </row>
    <row r="41611">
      <c r="A41611" s="1" t="n">
        <v>41610</v>
      </c>
      <c r="B41611">
        <f>TEXT(41610, "[$-0E0000]yyyy-mm-dd")</f>
        <v/>
      </c>
      <c r="C41611" t="inlineStr">
        <is>
          <t>2013-11-01</t>
        </is>
      </c>
    </row>
    <row r="41612">
      <c r="A41612" s="1" t="n">
        <v>41611</v>
      </c>
      <c r="B41612">
        <f>TEXT(41611, "[$-0E0000]yyyy-mm-dd")</f>
        <v/>
      </c>
      <c r="C41612" t="inlineStr">
        <is>
          <t>2013-11-02</t>
        </is>
      </c>
    </row>
    <row r="41613">
      <c r="A41613" s="1" t="n">
        <v>41612</v>
      </c>
      <c r="B41613">
        <f>TEXT(41612, "[$-0E0000]yyyy-mm-dd")</f>
        <v/>
      </c>
      <c r="C41613" t="inlineStr">
        <is>
          <t>2013-11-03</t>
        </is>
      </c>
    </row>
    <row r="41614">
      <c r="A41614" s="1" t="n">
        <v>41613</v>
      </c>
      <c r="B41614">
        <f>TEXT(41613, "[$-0E0000]yyyy-mm-dd")</f>
        <v/>
      </c>
      <c r="C41614" t="inlineStr">
        <is>
          <t>2013-11-04</t>
        </is>
      </c>
    </row>
    <row r="41615">
      <c r="A41615" s="1" t="n">
        <v>41614</v>
      </c>
      <c r="B41615">
        <f>TEXT(41614, "[$-0E0000]yyyy-mm-dd")</f>
        <v/>
      </c>
      <c r="C41615" t="inlineStr">
        <is>
          <t>2013-11-05</t>
        </is>
      </c>
    </row>
    <row r="41616">
      <c r="A41616" s="1" t="n">
        <v>41615</v>
      </c>
      <c r="B41616">
        <f>TEXT(41615, "[$-0E0000]yyyy-mm-dd")</f>
        <v/>
      </c>
      <c r="C41616" t="inlineStr">
        <is>
          <t>2013-11-06</t>
        </is>
      </c>
    </row>
    <row r="41617">
      <c r="A41617" s="1" t="n">
        <v>41616</v>
      </c>
      <c r="B41617">
        <f>TEXT(41616, "[$-0E0000]yyyy-mm-dd")</f>
        <v/>
      </c>
      <c r="C41617" t="inlineStr">
        <is>
          <t>2013-11-07</t>
        </is>
      </c>
    </row>
    <row r="41618">
      <c r="A41618" s="1" t="n">
        <v>41617</v>
      </c>
      <c r="B41618">
        <f>TEXT(41617, "[$-0E0000]yyyy-mm-dd")</f>
        <v/>
      </c>
      <c r="C41618" t="inlineStr">
        <is>
          <t>2013-11-08</t>
        </is>
      </c>
    </row>
    <row r="41619">
      <c r="A41619" s="1" t="n">
        <v>41618</v>
      </c>
      <c r="B41619">
        <f>TEXT(41618, "[$-0E0000]yyyy-mm-dd")</f>
        <v/>
      </c>
      <c r="C41619" t="inlineStr">
        <is>
          <t>2013-11-09</t>
        </is>
      </c>
    </row>
    <row r="41620">
      <c r="A41620" s="1" t="n">
        <v>41619</v>
      </c>
      <c r="B41620">
        <f>TEXT(41619, "[$-0E0000]yyyy-mm-dd")</f>
        <v/>
      </c>
      <c r="C41620" t="inlineStr">
        <is>
          <t>2013-11-10</t>
        </is>
      </c>
    </row>
    <row r="41621">
      <c r="A41621" s="1" t="n">
        <v>41620</v>
      </c>
      <c r="B41621">
        <f>TEXT(41620, "[$-0E0000]yyyy-mm-dd")</f>
        <v/>
      </c>
      <c r="C41621" t="inlineStr">
        <is>
          <t>2013-11-11</t>
        </is>
      </c>
    </row>
    <row r="41622">
      <c r="A41622" s="1" t="n">
        <v>41621</v>
      </c>
      <c r="B41622">
        <f>TEXT(41621, "[$-0E0000]yyyy-mm-dd")</f>
        <v/>
      </c>
      <c r="C41622" t="inlineStr">
        <is>
          <t>2013-11-12</t>
        </is>
      </c>
    </row>
    <row r="41623">
      <c r="A41623" s="1" t="n">
        <v>41622</v>
      </c>
      <c r="B41623">
        <f>TEXT(41622, "[$-0E0000]yyyy-mm-dd")</f>
        <v/>
      </c>
      <c r="C41623" t="inlineStr">
        <is>
          <t>2013-11-13</t>
        </is>
      </c>
    </row>
    <row r="41624">
      <c r="A41624" s="1" t="n">
        <v>41623</v>
      </c>
      <c r="B41624">
        <f>TEXT(41623, "[$-0E0000]yyyy-mm-dd")</f>
        <v/>
      </c>
      <c r="C41624" t="inlineStr">
        <is>
          <t>2013-11-14</t>
        </is>
      </c>
    </row>
    <row r="41625">
      <c r="A41625" s="1" t="n">
        <v>41624</v>
      </c>
      <c r="B41625">
        <f>TEXT(41624, "[$-0E0000]yyyy-mm-dd")</f>
        <v/>
      </c>
      <c r="C41625" t="inlineStr">
        <is>
          <t>2013-11-15</t>
        </is>
      </c>
    </row>
    <row r="41626">
      <c r="A41626" s="1" t="n">
        <v>41625</v>
      </c>
      <c r="B41626">
        <f>TEXT(41625, "[$-0E0000]yyyy-mm-dd")</f>
        <v/>
      </c>
      <c r="C41626" t="inlineStr">
        <is>
          <t>2013-11-16</t>
        </is>
      </c>
    </row>
    <row r="41627">
      <c r="A41627" s="1" t="n">
        <v>41626</v>
      </c>
      <c r="B41627">
        <f>TEXT(41626, "[$-0E0000]yyyy-mm-dd")</f>
        <v/>
      </c>
      <c r="C41627" t="inlineStr">
        <is>
          <t>2013-11-17</t>
        </is>
      </c>
    </row>
    <row r="41628">
      <c r="A41628" s="1" t="n">
        <v>41627</v>
      </c>
      <c r="B41628">
        <f>TEXT(41627, "[$-0E0000]yyyy-mm-dd")</f>
        <v/>
      </c>
      <c r="C41628" t="inlineStr">
        <is>
          <t>2013-11-18</t>
        </is>
      </c>
    </row>
    <row r="41629">
      <c r="A41629" s="1" t="n">
        <v>41628</v>
      </c>
      <c r="B41629">
        <f>TEXT(41628, "[$-0E0000]yyyy-mm-dd")</f>
        <v/>
      </c>
      <c r="C41629" t="inlineStr">
        <is>
          <t>2013-11-19</t>
        </is>
      </c>
    </row>
    <row r="41630">
      <c r="A41630" s="1" t="n">
        <v>41629</v>
      </c>
      <c r="B41630">
        <f>TEXT(41629, "[$-0E0000]yyyy-mm-dd")</f>
        <v/>
      </c>
      <c r="C41630" t="inlineStr">
        <is>
          <t>2013-11-20</t>
        </is>
      </c>
    </row>
    <row r="41631">
      <c r="A41631" s="1" t="n">
        <v>41630</v>
      </c>
      <c r="B41631">
        <f>TEXT(41630, "[$-0E0000]yyyy-mm-dd")</f>
        <v/>
      </c>
      <c r="C41631" t="inlineStr">
        <is>
          <t>2013-11-21</t>
        </is>
      </c>
    </row>
    <row r="41632">
      <c r="A41632" s="1" t="n">
        <v>41631</v>
      </c>
      <c r="B41632">
        <f>TEXT(41631, "[$-0E0000]yyyy-mm-dd")</f>
        <v/>
      </c>
      <c r="C41632" t="inlineStr">
        <is>
          <t>2013-11-22</t>
        </is>
      </c>
    </row>
    <row r="41633">
      <c r="A41633" s="1" t="n">
        <v>41632</v>
      </c>
      <c r="B41633">
        <f>TEXT(41632, "[$-0E0000]yyyy-mm-dd")</f>
        <v/>
      </c>
      <c r="C41633" t="inlineStr">
        <is>
          <t>2013-11-23</t>
        </is>
      </c>
    </row>
    <row r="41634">
      <c r="A41634" s="1" t="n">
        <v>41633</v>
      </c>
      <c r="B41634">
        <f>TEXT(41633, "[$-0E0000]yyyy-mm-dd")</f>
        <v/>
      </c>
      <c r="C41634" t="inlineStr">
        <is>
          <t>2013-11-24</t>
        </is>
      </c>
    </row>
    <row r="41635">
      <c r="A41635" s="1" t="n">
        <v>41634</v>
      </c>
      <c r="B41635">
        <f>TEXT(41634, "[$-0E0000]yyyy-mm-dd")</f>
        <v/>
      </c>
      <c r="C41635" t="inlineStr">
        <is>
          <t>2013-11-25</t>
        </is>
      </c>
    </row>
    <row r="41636">
      <c r="A41636" s="1" t="n">
        <v>41635</v>
      </c>
      <c r="B41636">
        <f>TEXT(41635, "[$-0E0000]yyyy-mm-dd")</f>
        <v/>
      </c>
      <c r="C41636" t="inlineStr">
        <is>
          <t>2013-11-26</t>
        </is>
      </c>
    </row>
    <row r="41637">
      <c r="A41637" s="1" t="n">
        <v>41636</v>
      </c>
      <c r="B41637">
        <f>TEXT(41636, "[$-0E0000]yyyy-mm-dd")</f>
        <v/>
      </c>
      <c r="C41637" t="inlineStr">
        <is>
          <t>2013-11-27</t>
        </is>
      </c>
    </row>
    <row r="41638">
      <c r="A41638" s="1" t="n">
        <v>41637</v>
      </c>
      <c r="B41638">
        <f>TEXT(41637, "[$-0E0000]yyyy-mm-dd")</f>
        <v/>
      </c>
      <c r="C41638" t="inlineStr">
        <is>
          <t>2013-11-28</t>
        </is>
      </c>
    </row>
    <row r="41639">
      <c r="A41639" s="1" t="n">
        <v>41638</v>
      </c>
      <c r="B41639">
        <f>TEXT(41638, "[$-0E0000]yyyy-mm-dd")</f>
        <v/>
      </c>
      <c r="C41639" t="inlineStr">
        <is>
          <t>2013-11-29</t>
        </is>
      </c>
    </row>
    <row r="41640">
      <c r="A41640" s="1" t="n">
        <v>41639</v>
      </c>
      <c r="B41640">
        <f>TEXT(41639, "[$-0E0000]yyyy-mm-dd")</f>
        <v/>
      </c>
      <c r="C41640" t="inlineStr">
        <is>
          <t>2013-12-01</t>
        </is>
      </c>
    </row>
    <row r="41641">
      <c r="A41641" s="1" t="n">
        <v>41640</v>
      </c>
      <c r="B41641">
        <f>TEXT(41640, "[$-0E0000]yyyy-mm-dd")</f>
        <v/>
      </c>
      <c r="C41641" t="inlineStr">
        <is>
          <t>2013-12-02</t>
        </is>
      </c>
    </row>
    <row r="41642">
      <c r="A41642" s="1" t="n">
        <v>41641</v>
      </c>
      <c r="B41642">
        <f>TEXT(41641, "[$-0E0000]yyyy-mm-dd")</f>
        <v/>
      </c>
      <c r="C41642" t="inlineStr">
        <is>
          <t>2013-12-03</t>
        </is>
      </c>
    </row>
    <row r="41643">
      <c r="A41643" s="1" t="n">
        <v>41642</v>
      </c>
      <c r="B41643">
        <f>TEXT(41642, "[$-0E0000]yyyy-mm-dd")</f>
        <v/>
      </c>
      <c r="C41643" t="inlineStr">
        <is>
          <t>2013-12-04</t>
        </is>
      </c>
    </row>
    <row r="41644">
      <c r="A41644" s="1" t="n">
        <v>41643</v>
      </c>
      <c r="B41644">
        <f>TEXT(41643, "[$-0E0000]yyyy-mm-dd")</f>
        <v/>
      </c>
      <c r="C41644" t="inlineStr">
        <is>
          <t>2013-12-05</t>
        </is>
      </c>
    </row>
    <row r="41645">
      <c r="A41645" s="1" t="n">
        <v>41644</v>
      </c>
      <c r="B41645">
        <f>TEXT(41644, "[$-0E0000]yyyy-mm-dd")</f>
        <v/>
      </c>
      <c r="C41645" t="inlineStr">
        <is>
          <t>2013-12-06</t>
        </is>
      </c>
    </row>
    <row r="41646">
      <c r="A41646" s="1" t="n">
        <v>41645</v>
      </c>
      <c r="B41646">
        <f>TEXT(41645, "[$-0E0000]yyyy-mm-dd")</f>
        <v/>
      </c>
      <c r="C41646" t="inlineStr">
        <is>
          <t>2013-12-07</t>
        </is>
      </c>
    </row>
    <row r="41647">
      <c r="A41647" s="1" t="n">
        <v>41646</v>
      </c>
      <c r="B41647">
        <f>TEXT(41646, "[$-0E0000]yyyy-mm-dd")</f>
        <v/>
      </c>
      <c r="C41647" t="inlineStr">
        <is>
          <t>2013-12-08</t>
        </is>
      </c>
    </row>
    <row r="41648">
      <c r="A41648" s="1" t="n">
        <v>41647</v>
      </c>
      <c r="B41648">
        <f>TEXT(41647, "[$-0E0000]yyyy-mm-dd")</f>
        <v/>
      </c>
      <c r="C41648" t="inlineStr">
        <is>
          <t>2013-12-09</t>
        </is>
      </c>
    </row>
    <row r="41649">
      <c r="A41649" s="1" t="n">
        <v>41648</v>
      </c>
      <c r="B41649">
        <f>TEXT(41648, "[$-0E0000]yyyy-mm-dd")</f>
        <v/>
      </c>
      <c r="C41649" t="inlineStr">
        <is>
          <t>2013-12-10</t>
        </is>
      </c>
    </row>
    <row r="41650">
      <c r="A41650" s="1" t="n">
        <v>41649</v>
      </c>
      <c r="B41650">
        <f>TEXT(41649, "[$-0E0000]yyyy-mm-dd")</f>
        <v/>
      </c>
      <c r="C41650" t="inlineStr">
        <is>
          <t>2013-12-11</t>
        </is>
      </c>
    </row>
    <row r="41651">
      <c r="A41651" s="1" t="n">
        <v>41650</v>
      </c>
      <c r="B41651">
        <f>TEXT(41650, "[$-0E0000]yyyy-mm-dd")</f>
        <v/>
      </c>
      <c r="C41651" t="inlineStr">
        <is>
          <t>2013-12-12</t>
        </is>
      </c>
    </row>
    <row r="41652">
      <c r="A41652" s="1" t="n">
        <v>41651</v>
      </c>
      <c r="B41652">
        <f>TEXT(41651, "[$-0E0000]yyyy-mm-dd")</f>
        <v/>
      </c>
      <c r="C41652" t="inlineStr">
        <is>
          <t>2013-12-13</t>
        </is>
      </c>
    </row>
    <row r="41653">
      <c r="A41653" s="1" t="n">
        <v>41652</v>
      </c>
      <c r="B41653">
        <f>TEXT(41652, "[$-0E0000]yyyy-mm-dd")</f>
        <v/>
      </c>
      <c r="C41653" t="inlineStr">
        <is>
          <t>2013-12-14</t>
        </is>
      </c>
    </row>
    <row r="41654">
      <c r="A41654" s="1" t="n">
        <v>41653</v>
      </c>
      <c r="B41654">
        <f>TEXT(41653, "[$-0E0000]yyyy-mm-dd")</f>
        <v/>
      </c>
      <c r="C41654" t="inlineStr">
        <is>
          <t>2013-12-15</t>
        </is>
      </c>
    </row>
    <row r="41655">
      <c r="A41655" s="1" t="n">
        <v>41654</v>
      </c>
      <c r="B41655">
        <f>TEXT(41654, "[$-0E0000]yyyy-mm-dd")</f>
        <v/>
      </c>
      <c r="C41655" t="inlineStr">
        <is>
          <t>2013-12-16</t>
        </is>
      </c>
    </row>
    <row r="41656">
      <c r="A41656" s="1" t="n">
        <v>41655</v>
      </c>
      <c r="B41656">
        <f>TEXT(41655, "[$-0E0000]yyyy-mm-dd")</f>
        <v/>
      </c>
      <c r="C41656" t="inlineStr">
        <is>
          <t>2013-12-17</t>
        </is>
      </c>
    </row>
    <row r="41657">
      <c r="A41657" s="1" t="n">
        <v>41656</v>
      </c>
      <c r="B41657">
        <f>TEXT(41656, "[$-0E0000]yyyy-mm-dd")</f>
        <v/>
      </c>
      <c r="C41657" t="inlineStr">
        <is>
          <t>2013-12-18</t>
        </is>
      </c>
    </row>
    <row r="41658">
      <c r="A41658" s="1" t="n">
        <v>41657</v>
      </c>
      <c r="B41658">
        <f>TEXT(41657, "[$-0E0000]yyyy-mm-dd")</f>
        <v/>
      </c>
      <c r="C41658" t="inlineStr">
        <is>
          <t>2013-12-19</t>
        </is>
      </c>
    </row>
    <row r="41659">
      <c r="A41659" s="1" t="n">
        <v>41658</v>
      </c>
      <c r="B41659">
        <f>TEXT(41658, "[$-0E0000]yyyy-mm-dd")</f>
        <v/>
      </c>
      <c r="C41659" t="inlineStr">
        <is>
          <t>2013-12-20</t>
        </is>
      </c>
    </row>
    <row r="41660">
      <c r="A41660" s="1" t="n">
        <v>41659</v>
      </c>
      <c r="B41660">
        <f>TEXT(41659, "[$-0E0000]yyyy-mm-dd")</f>
        <v/>
      </c>
      <c r="C41660" t="inlineStr">
        <is>
          <t>2013-12-21</t>
        </is>
      </c>
    </row>
    <row r="41661">
      <c r="A41661" s="1" t="n">
        <v>41660</v>
      </c>
      <c r="B41661">
        <f>TEXT(41660, "[$-0E0000]yyyy-mm-dd")</f>
        <v/>
      </c>
      <c r="C41661" t="inlineStr">
        <is>
          <t>2013-12-22</t>
        </is>
      </c>
    </row>
    <row r="41662">
      <c r="A41662" s="1" t="n">
        <v>41661</v>
      </c>
      <c r="B41662">
        <f>TEXT(41661, "[$-0E0000]yyyy-mm-dd")</f>
        <v/>
      </c>
      <c r="C41662" t="inlineStr">
        <is>
          <t>2013-12-23</t>
        </is>
      </c>
    </row>
    <row r="41663">
      <c r="A41663" s="1" t="n">
        <v>41662</v>
      </c>
      <c r="B41663">
        <f>TEXT(41662, "[$-0E0000]yyyy-mm-dd")</f>
        <v/>
      </c>
      <c r="C41663" t="inlineStr">
        <is>
          <t>2013-12-24</t>
        </is>
      </c>
    </row>
    <row r="41664">
      <c r="A41664" s="1" t="n">
        <v>41663</v>
      </c>
      <c r="B41664">
        <f>TEXT(41663, "[$-0E0000]yyyy-mm-dd")</f>
        <v/>
      </c>
      <c r="C41664" t="inlineStr">
        <is>
          <t>2013-12-25</t>
        </is>
      </c>
    </row>
    <row r="41665">
      <c r="A41665" s="1" t="n">
        <v>41664</v>
      </c>
      <c r="B41665">
        <f>TEXT(41664, "[$-0E0000]yyyy-mm-dd")</f>
        <v/>
      </c>
      <c r="C41665" t="inlineStr">
        <is>
          <t>2013-12-26</t>
        </is>
      </c>
    </row>
    <row r="41666">
      <c r="A41666" s="1" t="n">
        <v>41665</v>
      </c>
      <c r="B41666">
        <f>TEXT(41665, "[$-0E0000]yyyy-mm-dd")</f>
        <v/>
      </c>
      <c r="C41666" t="inlineStr">
        <is>
          <t>2013-12-27</t>
        </is>
      </c>
    </row>
    <row r="41667">
      <c r="A41667" s="1" t="n">
        <v>41666</v>
      </c>
      <c r="B41667">
        <f>TEXT(41666, "[$-0E0000]yyyy-mm-dd")</f>
        <v/>
      </c>
      <c r="C41667" t="inlineStr">
        <is>
          <t>2013-12-28</t>
        </is>
      </c>
    </row>
    <row r="41668">
      <c r="A41668" s="1" t="n">
        <v>41667</v>
      </c>
      <c r="B41668">
        <f>TEXT(41667, "[$-0E0000]yyyy-mm-dd")</f>
        <v/>
      </c>
      <c r="C41668" t="inlineStr">
        <is>
          <t>2013-12-29</t>
        </is>
      </c>
    </row>
    <row r="41669">
      <c r="A41669" s="1" t="n">
        <v>41668</v>
      </c>
      <c r="B41669">
        <f>TEXT(41668, "[$-0E0000]yyyy-mm-dd")</f>
        <v/>
      </c>
      <c r="C41669" t="inlineStr">
        <is>
          <t>2013-12-30</t>
        </is>
      </c>
    </row>
    <row r="41670">
      <c r="A41670" s="1" t="n">
        <v>41669</v>
      </c>
      <c r="B41670">
        <f>TEXT(41669, "[$-0E0000]yyyy-mm-dd")</f>
        <v/>
      </c>
      <c r="C41670" t="inlineStr">
        <is>
          <t>2014-01-01</t>
        </is>
      </c>
    </row>
    <row r="41671">
      <c r="A41671" s="1" t="n">
        <v>41670</v>
      </c>
      <c r="B41671">
        <f>TEXT(41670, "[$-0E0000]yyyy-mm-dd")</f>
        <v/>
      </c>
      <c r="C41671" t="inlineStr">
        <is>
          <t>2014-01-02</t>
        </is>
      </c>
    </row>
    <row r="41672">
      <c r="A41672" s="1" t="n">
        <v>41671</v>
      </c>
      <c r="B41672">
        <f>TEXT(41671, "[$-0E0000]yyyy-mm-dd")</f>
        <v/>
      </c>
      <c r="C41672" t="inlineStr">
        <is>
          <t>2014-01-03</t>
        </is>
      </c>
    </row>
    <row r="41673">
      <c r="A41673" s="1" t="n">
        <v>41672</v>
      </c>
      <c r="B41673">
        <f>TEXT(41672, "[$-0E0000]yyyy-mm-dd")</f>
        <v/>
      </c>
      <c r="C41673" t="inlineStr">
        <is>
          <t>2014-01-04</t>
        </is>
      </c>
    </row>
    <row r="41674">
      <c r="A41674" s="1" t="n">
        <v>41673</v>
      </c>
      <c r="B41674">
        <f>TEXT(41673, "[$-0E0000]yyyy-mm-dd")</f>
        <v/>
      </c>
      <c r="C41674" t="inlineStr">
        <is>
          <t>2014-01-05</t>
        </is>
      </c>
    </row>
    <row r="41675">
      <c r="A41675" s="1" t="n">
        <v>41674</v>
      </c>
      <c r="B41675">
        <f>TEXT(41674, "[$-0E0000]yyyy-mm-dd")</f>
        <v/>
      </c>
      <c r="C41675" t="inlineStr">
        <is>
          <t>2014-01-06</t>
        </is>
      </c>
    </row>
    <row r="41676">
      <c r="A41676" s="1" t="n">
        <v>41675</v>
      </c>
      <c r="B41676">
        <f>TEXT(41675, "[$-0E0000]yyyy-mm-dd")</f>
        <v/>
      </c>
      <c r="C41676" t="inlineStr">
        <is>
          <t>2014-01-07</t>
        </is>
      </c>
    </row>
    <row r="41677">
      <c r="A41677" s="1" t="n">
        <v>41676</v>
      </c>
      <c r="B41677">
        <f>TEXT(41676, "[$-0E0000]yyyy-mm-dd")</f>
        <v/>
      </c>
      <c r="C41677" t="inlineStr">
        <is>
          <t>2014-01-08</t>
        </is>
      </c>
    </row>
    <row r="41678">
      <c r="A41678" s="1" t="n">
        <v>41677</v>
      </c>
      <c r="B41678">
        <f>TEXT(41677, "[$-0E0000]yyyy-mm-dd")</f>
        <v/>
      </c>
      <c r="C41678" t="inlineStr">
        <is>
          <t>2014-01-09</t>
        </is>
      </c>
    </row>
    <row r="41679">
      <c r="A41679" s="1" t="n">
        <v>41678</v>
      </c>
      <c r="B41679">
        <f>TEXT(41678, "[$-0E0000]yyyy-mm-dd")</f>
        <v/>
      </c>
      <c r="C41679" t="inlineStr">
        <is>
          <t>2014-01-10</t>
        </is>
      </c>
    </row>
    <row r="41680">
      <c r="A41680" s="1" t="n">
        <v>41679</v>
      </c>
      <c r="B41680">
        <f>TEXT(41679, "[$-0E0000]yyyy-mm-dd")</f>
        <v/>
      </c>
      <c r="C41680" t="inlineStr">
        <is>
          <t>2014-01-11</t>
        </is>
      </c>
    </row>
    <row r="41681">
      <c r="A41681" s="1" t="n">
        <v>41680</v>
      </c>
      <c r="B41681">
        <f>TEXT(41680, "[$-0E0000]yyyy-mm-dd")</f>
        <v/>
      </c>
      <c r="C41681" t="inlineStr">
        <is>
          <t>2014-01-12</t>
        </is>
      </c>
    </row>
    <row r="41682">
      <c r="A41682" s="1" t="n">
        <v>41681</v>
      </c>
      <c r="B41682">
        <f>TEXT(41681, "[$-0E0000]yyyy-mm-dd")</f>
        <v/>
      </c>
      <c r="C41682" t="inlineStr">
        <is>
          <t>2014-01-13</t>
        </is>
      </c>
    </row>
    <row r="41683">
      <c r="A41683" s="1" t="n">
        <v>41682</v>
      </c>
      <c r="B41683">
        <f>TEXT(41682, "[$-0E0000]yyyy-mm-dd")</f>
        <v/>
      </c>
      <c r="C41683" t="inlineStr">
        <is>
          <t>2014-01-14</t>
        </is>
      </c>
    </row>
    <row r="41684">
      <c r="A41684" s="1" t="n">
        <v>41683</v>
      </c>
      <c r="B41684">
        <f>TEXT(41683, "[$-0E0000]yyyy-mm-dd")</f>
        <v/>
      </c>
      <c r="C41684" t="inlineStr">
        <is>
          <t>2014-01-15</t>
        </is>
      </c>
    </row>
    <row r="41685">
      <c r="A41685" s="1" t="n">
        <v>41684</v>
      </c>
      <c r="B41685">
        <f>TEXT(41684, "[$-0E0000]yyyy-mm-dd")</f>
        <v/>
      </c>
      <c r="C41685" t="inlineStr">
        <is>
          <t>2014-01-16</t>
        </is>
      </c>
    </row>
    <row r="41686">
      <c r="A41686" s="1" t="n">
        <v>41685</v>
      </c>
      <c r="B41686">
        <f>TEXT(41685, "[$-0E0000]yyyy-mm-dd")</f>
        <v/>
      </c>
      <c r="C41686" t="inlineStr">
        <is>
          <t>2014-01-17</t>
        </is>
      </c>
    </row>
    <row r="41687">
      <c r="A41687" s="1" t="n">
        <v>41686</v>
      </c>
      <c r="B41687">
        <f>TEXT(41686, "[$-0E0000]yyyy-mm-dd")</f>
        <v/>
      </c>
      <c r="C41687" t="inlineStr">
        <is>
          <t>2014-01-18</t>
        </is>
      </c>
    </row>
    <row r="41688">
      <c r="A41688" s="1" t="n">
        <v>41687</v>
      </c>
      <c r="B41688">
        <f>TEXT(41687, "[$-0E0000]yyyy-mm-dd")</f>
        <v/>
      </c>
      <c r="C41688" t="inlineStr">
        <is>
          <t>2014-01-19</t>
        </is>
      </c>
    </row>
    <row r="41689">
      <c r="A41689" s="1" t="n">
        <v>41688</v>
      </c>
      <c r="B41689">
        <f>TEXT(41688, "[$-0E0000]yyyy-mm-dd")</f>
        <v/>
      </c>
      <c r="C41689" t="inlineStr">
        <is>
          <t>2014-01-20</t>
        </is>
      </c>
    </row>
    <row r="41690">
      <c r="A41690" s="1" t="n">
        <v>41689</v>
      </c>
      <c r="B41690">
        <f>TEXT(41689, "[$-0E0000]yyyy-mm-dd")</f>
        <v/>
      </c>
      <c r="C41690" t="inlineStr">
        <is>
          <t>2014-01-21</t>
        </is>
      </c>
    </row>
    <row r="41691">
      <c r="A41691" s="1" t="n">
        <v>41690</v>
      </c>
      <c r="B41691">
        <f>TEXT(41690, "[$-0E0000]yyyy-mm-dd")</f>
        <v/>
      </c>
      <c r="C41691" t="inlineStr">
        <is>
          <t>2014-01-22</t>
        </is>
      </c>
    </row>
    <row r="41692">
      <c r="A41692" s="1" t="n">
        <v>41691</v>
      </c>
      <c r="B41692">
        <f>TEXT(41691, "[$-0E0000]yyyy-mm-dd")</f>
        <v/>
      </c>
      <c r="C41692" t="inlineStr">
        <is>
          <t>2014-01-23</t>
        </is>
      </c>
    </row>
    <row r="41693">
      <c r="A41693" s="1" t="n">
        <v>41692</v>
      </c>
      <c r="B41693">
        <f>TEXT(41692, "[$-0E0000]yyyy-mm-dd")</f>
        <v/>
      </c>
      <c r="C41693" t="inlineStr">
        <is>
          <t>2014-01-24</t>
        </is>
      </c>
    </row>
    <row r="41694">
      <c r="A41694" s="1" t="n">
        <v>41693</v>
      </c>
      <c r="B41694">
        <f>TEXT(41693, "[$-0E0000]yyyy-mm-dd")</f>
        <v/>
      </c>
      <c r="C41694" t="inlineStr">
        <is>
          <t>2014-01-25</t>
        </is>
      </c>
    </row>
    <row r="41695">
      <c r="A41695" s="1" t="n">
        <v>41694</v>
      </c>
      <c r="B41695">
        <f>TEXT(41694, "[$-0E0000]yyyy-mm-dd")</f>
        <v/>
      </c>
      <c r="C41695" t="inlineStr">
        <is>
          <t>2014-01-26</t>
        </is>
      </c>
    </row>
    <row r="41696">
      <c r="A41696" s="1" t="n">
        <v>41695</v>
      </c>
      <c r="B41696">
        <f>TEXT(41695, "[$-0E0000]yyyy-mm-dd")</f>
        <v/>
      </c>
      <c r="C41696" t="inlineStr">
        <is>
          <t>2014-01-27</t>
        </is>
      </c>
    </row>
    <row r="41697">
      <c r="A41697" s="1" t="n">
        <v>41696</v>
      </c>
      <c r="B41697">
        <f>TEXT(41696, "[$-0E0000]yyyy-mm-dd")</f>
        <v/>
      </c>
      <c r="C41697" t="inlineStr">
        <is>
          <t>2014-01-28</t>
        </is>
      </c>
    </row>
    <row r="41698">
      <c r="A41698" s="1" t="n">
        <v>41697</v>
      </c>
      <c r="B41698">
        <f>TEXT(41697, "[$-0E0000]yyyy-mm-dd")</f>
        <v/>
      </c>
      <c r="C41698" t="inlineStr">
        <is>
          <t>2014-01-29</t>
        </is>
      </c>
    </row>
    <row r="41699">
      <c r="A41699" s="1" t="n">
        <v>41698</v>
      </c>
      <c r="B41699">
        <f>TEXT(41698, "[$-0E0000]yyyy-mm-dd")</f>
        <v/>
      </c>
      <c r="C41699" t="inlineStr">
        <is>
          <t>2014-02-01</t>
        </is>
      </c>
    </row>
    <row r="41700">
      <c r="A41700" s="1" t="n">
        <v>41699</v>
      </c>
      <c r="B41700">
        <f>TEXT(41699, "[$-0E0000]yyyy-mm-dd")</f>
        <v/>
      </c>
      <c r="C41700" t="inlineStr">
        <is>
          <t>2014-02-02</t>
        </is>
      </c>
    </row>
    <row r="41701">
      <c r="A41701" s="1" t="n">
        <v>41700</v>
      </c>
      <c r="B41701">
        <f>TEXT(41700, "[$-0E0000]yyyy-mm-dd")</f>
        <v/>
      </c>
      <c r="C41701" t="inlineStr">
        <is>
          <t>2014-02-03</t>
        </is>
      </c>
    </row>
    <row r="41702">
      <c r="A41702" s="1" t="n">
        <v>41701</v>
      </c>
      <c r="B41702">
        <f>TEXT(41701, "[$-0E0000]yyyy-mm-dd")</f>
        <v/>
      </c>
      <c r="C41702" t="inlineStr">
        <is>
          <t>2014-02-04</t>
        </is>
      </c>
    </row>
    <row r="41703">
      <c r="A41703" s="1" t="n">
        <v>41702</v>
      </c>
      <c r="B41703">
        <f>TEXT(41702, "[$-0E0000]yyyy-mm-dd")</f>
        <v/>
      </c>
      <c r="C41703" t="inlineStr">
        <is>
          <t>2014-02-05</t>
        </is>
      </c>
    </row>
    <row r="41704">
      <c r="A41704" s="1" t="n">
        <v>41703</v>
      </c>
      <c r="B41704">
        <f>TEXT(41703, "[$-0E0000]yyyy-mm-dd")</f>
        <v/>
      </c>
      <c r="C41704" t="inlineStr">
        <is>
          <t>2014-02-06</t>
        </is>
      </c>
    </row>
    <row r="41705">
      <c r="A41705" s="1" t="n">
        <v>41704</v>
      </c>
      <c r="B41705">
        <f>TEXT(41704, "[$-0E0000]yyyy-mm-dd")</f>
        <v/>
      </c>
      <c r="C41705" t="inlineStr">
        <is>
          <t>2014-02-07</t>
        </is>
      </c>
    </row>
    <row r="41706">
      <c r="A41706" s="1" t="n">
        <v>41705</v>
      </c>
      <c r="B41706">
        <f>TEXT(41705, "[$-0E0000]yyyy-mm-dd")</f>
        <v/>
      </c>
      <c r="C41706" t="inlineStr">
        <is>
          <t>2014-02-08</t>
        </is>
      </c>
    </row>
    <row r="41707">
      <c r="A41707" s="1" t="n">
        <v>41706</v>
      </c>
      <c r="B41707">
        <f>TEXT(41706, "[$-0E0000]yyyy-mm-dd")</f>
        <v/>
      </c>
      <c r="C41707" t="inlineStr">
        <is>
          <t>2014-02-09</t>
        </is>
      </c>
    </row>
    <row r="41708">
      <c r="A41708" s="1" t="n">
        <v>41707</v>
      </c>
      <c r="B41708">
        <f>TEXT(41707, "[$-0E0000]yyyy-mm-dd")</f>
        <v/>
      </c>
      <c r="C41708" t="inlineStr">
        <is>
          <t>2014-02-10</t>
        </is>
      </c>
    </row>
    <row r="41709">
      <c r="A41709" s="1" t="n">
        <v>41708</v>
      </c>
      <c r="B41709">
        <f>TEXT(41708, "[$-0E0000]yyyy-mm-dd")</f>
        <v/>
      </c>
      <c r="C41709" t="inlineStr">
        <is>
          <t>2014-02-11</t>
        </is>
      </c>
    </row>
    <row r="41710">
      <c r="A41710" s="1" t="n">
        <v>41709</v>
      </c>
      <c r="B41710">
        <f>TEXT(41709, "[$-0E0000]yyyy-mm-dd")</f>
        <v/>
      </c>
      <c r="C41710" t="inlineStr">
        <is>
          <t>2014-02-12</t>
        </is>
      </c>
    </row>
    <row r="41711">
      <c r="A41711" s="1" t="n">
        <v>41710</v>
      </c>
      <c r="B41711">
        <f>TEXT(41710, "[$-0E0000]yyyy-mm-dd")</f>
        <v/>
      </c>
      <c r="C41711" t="inlineStr">
        <is>
          <t>2014-02-13</t>
        </is>
      </c>
    </row>
    <row r="41712">
      <c r="A41712" s="1" t="n">
        <v>41711</v>
      </c>
      <c r="B41712">
        <f>TEXT(41711, "[$-0E0000]yyyy-mm-dd")</f>
        <v/>
      </c>
      <c r="C41712" t="inlineStr">
        <is>
          <t>2014-02-14</t>
        </is>
      </c>
    </row>
    <row r="41713">
      <c r="A41713" s="1" t="n">
        <v>41712</v>
      </c>
      <c r="B41713">
        <f>TEXT(41712, "[$-0E0000]yyyy-mm-dd")</f>
        <v/>
      </c>
      <c r="C41713" t="inlineStr">
        <is>
          <t>2014-02-15</t>
        </is>
      </c>
    </row>
    <row r="41714">
      <c r="A41714" s="1" t="n">
        <v>41713</v>
      </c>
      <c r="B41714">
        <f>TEXT(41713, "[$-0E0000]yyyy-mm-dd")</f>
        <v/>
      </c>
      <c r="C41714" t="inlineStr">
        <is>
          <t>2014-02-16</t>
        </is>
      </c>
    </row>
    <row r="41715">
      <c r="A41715" s="1" t="n">
        <v>41714</v>
      </c>
      <c r="B41715">
        <f>TEXT(41714, "[$-0E0000]yyyy-mm-dd")</f>
        <v/>
      </c>
      <c r="C41715" t="inlineStr">
        <is>
          <t>2014-02-17</t>
        </is>
      </c>
    </row>
    <row r="41716">
      <c r="A41716" s="1" t="n">
        <v>41715</v>
      </c>
      <c r="B41716">
        <f>TEXT(41715, "[$-0E0000]yyyy-mm-dd")</f>
        <v/>
      </c>
      <c r="C41716" t="inlineStr">
        <is>
          <t>2014-02-18</t>
        </is>
      </c>
    </row>
    <row r="41717">
      <c r="A41717" s="1" t="n">
        <v>41716</v>
      </c>
      <c r="B41717">
        <f>TEXT(41716, "[$-0E0000]yyyy-mm-dd")</f>
        <v/>
      </c>
      <c r="C41717" t="inlineStr">
        <is>
          <t>2014-02-19</t>
        </is>
      </c>
    </row>
    <row r="41718">
      <c r="A41718" s="1" t="n">
        <v>41717</v>
      </c>
      <c r="B41718">
        <f>TEXT(41717, "[$-0E0000]yyyy-mm-dd")</f>
        <v/>
      </c>
      <c r="C41718" t="inlineStr">
        <is>
          <t>2014-02-20</t>
        </is>
      </c>
    </row>
    <row r="41719">
      <c r="A41719" s="1" t="n">
        <v>41718</v>
      </c>
      <c r="B41719">
        <f>TEXT(41718, "[$-0E0000]yyyy-mm-dd")</f>
        <v/>
      </c>
      <c r="C41719" t="inlineStr">
        <is>
          <t>2014-02-21</t>
        </is>
      </c>
    </row>
    <row r="41720">
      <c r="A41720" s="1" t="n">
        <v>41719</v>
      </c>
      <c r="B41720">
        <f>TEXT(41719, "[$-0E0000]yyyy-mm-dd")</f>
        <v/>
      </c>
      <c r="C41720" t="inlineStr">
        <is>
          <t>2014-02-22</t>
        </is>
      </c>
    </row>
    <row r="41721">
      <c r="A41721" s="1" t="n">
        <v>41720</v>
      </c>
      <c r="B41721">
        <f>TEXT(41720, "[$-0E0000]yyyy-mm-dd")</f>
        <v/>
      </c>
      <c r="C41721" t="inlineStr">
        <is>
          <t>2014-02-23</t>
        </is>
      </c>
    </row>
    <row r="41722">
      <c r="A41722" s="1" t="n">
        <v>41721</v>
      </c>
      <c r="B41722">
        <f>TEXT(41721, "[$-0E0000]yyyy-mm-dd")</f>
        <v/>
      </c>
      <c r="C41722" t="inlineStr">
        <is>
          <t>2014-02-24</t>
        </is>
      </c>
    </row>
    <row r="41723">
      <c r="A41723" s="1" t="n">
        <v>41722</v>
      </c>
      <c r="B41723">
        <f>TEXT(41722, "[$-0E0000]yyyy-mm-dd")</f>
        <v/>
      </c>
      <c r="C41723" t="inlineStr">
        <is>
          <t>2014-02-25</t>
        </is>
      </c>
    </row>
    <row r="41724">
      <c r="A41724" s="1" t="n">
        <v>41723</v>
      </c>
      <c r="B41724">
        <f>TEXT(41723, "[$-0E0000]yyyy-mm-dd")</f>
        <v/>
      </c>
      <c r="C41724" t="inlineStr">
        <is>
          <t>2014-02-26</t>
        </is>
      </c>
    </row>
    <row r="41725">
      <c r="A41725" s="1" t="n">
        <v>41724</v>
      </c>
      <c r="B41725">
        <f>TEXT(41724, "[$-0E0000]yyyy-mm-dd")</f>
        <v/>
      </c>
      <c r="C41725" t="inlineStr">
        <is>
          <t>2014-02-27</t>
        </is>
      </c>
    </row>
    <row r="41726">
      <c r="A41726" s="1" t="n">
        <v>41725</v>
      </c>
      <c r="B41726">
        <f>TEXT(41725, "[$-0E0000]yyyy-mm-dd")</f>
        <v/>
      </c>
      <c r="C41726" t="inlineStr">
        <is>
          <t>2014-02-28</t>
        </is>
      </c>
    </row>
    <row r="41727">
      <c r="A41727" s="1" t="n">
        <v>41726</v>
      </c>
      <c r="B41727">
        <f>TEXT(41726, "[$-0E0000]yyyy-mm-dd")</f>
        <v/>
      </c>
      <c r="C41727" t="inlineStr">
        <is>
          <t>2014-02-29</t>
        </is>
      </c>
    </row>
    <row r="41728">
      <c r="A41728" s="1" t="n">
        <v>41727</v>
      </c>
      <c r="B41728">
        <f>TEXT(41727, "[$-0E0000]yyyy-mm-dd")</f>
        <v/>
      </c>
      <c r="C41728" t="inlineStr">
        <is>
          <t>2014-02-30</t>
        </is>
      </c>
    </row>
    <row r="41729">
      <c r="A41729" s="1" t="n">
        <v>41728</v>
      </c>
      <c r="B41729">
        <f>TEXT(41728, "[$-0E0000]yyyy-mm-dd")</f>
        <v/>
      </c>
      <c r="C41729" t="inlineStr">
        <is>
          <t>2014-03-01</t>
        </is>
      </c>
    </row>
    <row r="41730">
      <c r="A41730" s="1" t="n">
        <v>41729</v>
      </c>
      <c r="B41730">
        <f>TEXT(41729, "[$-0E0000]yyyy-mm-dd")</f>
        <v/>
      </c>
      <c r="C41730" t="inlineStr">
        <is>
          <t>2014-03-02</t>
        </is>
      </c>
    </row>
    <row r="41731">
      <c r="A41731" s="1" t="n">
        <v>41730</v>
      </c>
      <c r="B41731">
        <f>TEXT(41730, "[$-0E0000]yyyy-mm-dd")</f>
        <v/>
      </c>
      <c r="C41731" t="inlineStr">
        <is>
          <t>2014-03-03</t>
        </is>
      </c>
    </row>
    <row r="41732">
      <c r="A41732" s="1" t="n">
        <v>41731</v>
      </c>
      <c r="B41732">
        <f>TEXT(41731, "[$-0E0000]yyyy-mm-dd")</f>
        <v/>
      </c>
      <c r="C41732" t="inlineStr">
        <is>
          <t>2014-03-04</t>
        </is>
      </c>
    </row>
    <row r="41733">
      <c r="A41733" s="1" t="n">
        <v>41732</v>
      </c>
      <c r="B41733">
        <f>TEXT(41732, "[$-0E0000]yyyy-mm-dd")</f>
        <v/>
      </c>
      <c r="C41733" t="inlineStr">
        <is>
          <t>2014-03-05</t>
        </is>
      </c>
    </row>
    <row r="41734">
      <c r="A41734" s="1" t="n">
        <v>41733</v>
      </c>
      <c r="B41734">
        <f>TEXT(41733, "[$-0E0000]yyyy-mm-dd")</f>
        <v/>
      </c>
      <c r="C41734" t="inlineStr">
        <is>
          <t>2014-03-06</t>
        </is>
      </c>
    </row>
    <row r="41735">
      <c r="A41735" s="1" t="n">
        <v>41734</v>
      </c>
      <c r="B41735">
        <f>TEXT(41734, "[$-0E0000]yyyy-mm-dd")</f>
        <v/>
      </c>
      <c r="C41735" t="inlineStr">
        <is>
          <t>2014-03-07</t>
        </is>
      </c>
    </row>
    <row r="41736">
      <c r="A41736" s="1" t="n">
        <v>41735</v>
      </c>
      <c r="B41736">
        <f>TEXT(41735, "[$-0E0000]yyyy-mm-dd")</f>
        <v/>
      </c>
      <c r="C41736" t="inlineStr">
        <is>
          <t>2014-03-08</t>
        </is>
      </c>
    </row>
    <row r="41737">
      <c r="A41737" s="1" t="n">
        <v>41736</v>
      </c>
      <c r="B41737">
        <f>TEXT(41736, "[$-0E0000]yyyy-mm-dd")</f>
        <v/>
      </c>
      <c r="C41737" t="inlineStr">
        <is>
          <t>2014-03-09</t>
        </is>
      </c>
    </row>
    <row r="41738">
      <c r="A41738" s="1" t="n">
        <v>41737</v>
      </c>
      <c r="B41738">
        <f>TEXT(41737, "[$-0E0000]yyyy-mm-dd")</f>
        <v/>
      </c>
      <c r="C41738" t="inlineStr">
        <is>
          <t>2014-03-10</t>
        </is>
      </c>
    </row>
    <row r="41739">
      <c r="A41739" s="1" t="n">
        <v>41738</v>
      </c>
      <c r="B41739">
        <f>TEXT(41738, "[$-0E0000]yyyy-mm-dd")</f>
        <v/>
      </c>
      <c r="C41739" t="inlineStr">
        <is>
          <t>2014-03-11</t>
        </is>
      </c>
    </row>
    <row r="41740">
      <c r="A41740" s="1" t="n">
        <v>41739</v>
      </c>
      <c r="B41740">
        <f>TEXT(41739, "[$-0E0000]yyyy-mm-dd")</f>
        <v/>
      </c>
      <c r="C41740" t="inlineStr">
        <is>
          <t>2014-03-12</t>
        </is>
      </c>
    </row>
    <row r="41741">
      <c r="A41741" s="1" t="n">
        <v>41740</v>
      </c>
      <c r="B41741">
        <f>TEXT(41740, "[$-0E0000]yyyy-mm-dd")</f>
        <v/>
      </c>
      <c r="C41741" t="inlineStr">
        <is>
          <t>2014-03-13</t>
        </is>
      </c>
    </row>
    <row r="41742">
      <c r="A41742" s="1" t="n">
        <v>41741</v>
      </c>
      <c r="B41742">
        <f>TEXT(41741, "[$-0E0000]yyyy-mm-dd")</f>
        <v/>
      </c>
      <c r="C41742" t="inlineStr">
        <is>
          <t>2014-03-14</t>
        </is>
      </c>
    </row>
    <row r="41743">
      <c r="A41743" s="1" t="n">
        <v>41742</v>
      </c>
      <c r="B41743">
        <f>TEXT(41742, "[$-0E0000]yyyy-mm-dd")</f>
        <v/>
      </c>
      <c r="C41743" t="inlineStr">
        <is>
          <t>2014-03-15</t>
        </is>
      </c>
    </row>
    <row r="41744">
      <c r="A41744" s="1" t="n">
        <v>41743</v>
      </c>
      <c r="B41744">
        <f>TEXT(41743, "[$-0E0000]yyyy-mm-dd")</f>
        <v/>
      </c>
      <c r="C41744" t="inlineStr">
        <is>
          <t>2014-03-16</t>
        </is>
      </c>
    </row>
    <row r="41745">
      <c r="A41745" s="1" t="n">
        <v>41744</v>
      </c>
      <c r="B41745">
        <f>TEXT(41744, "[$-0E0000]yyyy-mm-dd")</f>
        <v/>
      </c>
      <c r="C41745" t="inlineStr">
        <is>
          <t>2014-03-17</t>
        </is>
      </c>
    </row>
    <row r="41746">
      <c r="A41746" s="1" t="n">
        <v>41745</v>
      </c>
      <c r="B41746">
        <f>TEXT(41745, "[$-0E0000]yyyy-mm-dd")</f>
        <v/>
      </c>
      <c r="C41746" t="inlineStr">
        <is>
          <t>2014-03-18</t>
        </is>
      </c>
    </row>
    <row r="41747">
      <c r="A41747" s="1" t="n">
        <v>41746</v>
      </c>
      <c r="B41747">
        <f>TEXT(41746, "[$-0E0000]yyyy-mm-dd")</f>
        <v/>
      </c>
      <c r="C41747" t="inlineStr">
        <is>
          <t>2014-03-19</t>
        </is>
      </c>
    </row>
    <row r="41748">
      <c r="A41748" s="1" t="n">
        <v>41747</v>
      </c>
      <c r="B41748">
        <f>TEXT(41747, "[$-0E0000]yyyy-mm-dd")</f>
        <v/>
      </c>
      <c r="C41748" t="inlineStr">
        <is>
          <t>2014-03-20</t>
        </is>
      </c>
    </row>
    <row r="41749">
      <c r="A41749" s="1" t="n">
        <v>41748</v>
      </c>
      <c r="B41749">
        <f>TEXT(41748, "[$-0E0000]yyyy-mm-dd")</f>
        <v/>
      </c>
      <c r="C41749" t="inlineStr">
        <is>
          <t>2014-03-21</t>
        </is>
      </c>
    </row>
    <row r="41750">
      <c r="A41750" s="1" t="n">
        <v>41749</v>
      </c>
      <c r="B41750">
        <f>TEXT(41749, "[$-0E0000]yyyy-mm-dd")</f>
        <v/>
      </c>
      <c r="C41750" t="inlineStr">
        <is>
          <t>2014-03-22</t>
        </is>
      </c>
    </row>
    <row r="41751">
      <c r="A41751" s="1" t="n">
        <v>41750</v>
      </c>
      <c r="B41751">
        <f>TEXT(41750, "[$-0E0000]yyyy-mm-dd")</f>
        <v/>
      </c>
      <c r="C41751" t="inlineStr">
        <is>
          <t>2014-03-23</t>
        </is>
      </c>
    </row>
    <row r="41752">
      <c r="A41752" s="1" t="n">
        <v>41751</v>
      </c>
      <c r="B41752">
        <f>TEXT(41751, "[$-0E0000]yyyy-mm-dd")</f>
        <v/>
      </c>
      <c r="C41752" t="inlineStr">
        <is>
          <t>2014-03-24</t>
        </is>
      </c>
    </row>
    <row r="41753">
      <c r="A41753" s="1" t="n">
        <v>41752</v>
      </c>
      <c r="B41753">
        <f>TEXT(41752, "[$-0E0000]yyyy-mm-dd")</f>
        <v/>
      </c>
      <c r="C41753" t="inlineStr">
        <is>
          <t>2014-03-25</t>
        </is>
      </c>
    </row>
    <row r="41754">
      <c r="A41754" s="1" t="n">
        <v>41753</v>
      </c>
      <c r="B41754">
        <f>TEXT(41753, "[$-0E0000]yyyy-mm-dd")</f>
        <v/>
      </c>
      <c r="C41754" t="inlineStr">
        <is>
          <t>2014-03-26</t>
        </is>
      </c>
    </row>
    <row r="41755">
      <c r="A41755" s="1" t="n">
        <v>41754</v>
      </c>
      <c r="B41755">
        <f>TEXT(41754, "[$-0E0000]yyyy-mm-dd")</f>
        <v/>
      </c>
      <c r="C41755" t="inlineStr">
        <is>
          <t>2014-03-27</t>
        </is>
      </c>
    </row>
    <row r="41756">
      <c r="A41756" s="1" t="n">
        <v>41755</v>
      </c>
      <c r="B41756">
        <f>TEXT(41755, "[$-0E0000]yyyy-mm-dd")</f>
        <v/>
      </c>
      <c r="C41756" t="inlineStr">
        <is>
          <t>2014-03-28</t>
        </is>
      </c>
    </row>
    <row r="41757">
      <c r="A41757" s="1" t="n">
        <v>41756</v>
      </c>
      <c r="B41757">
        <f>TEXT(41756, "[$-0E0000]yyyy-mm-dd")</f>
        <v/>
      </c>
      <c r="C41757" t="inlineStr">
        <is>
          <t>2014-03-29</t>
        </is>
      </c>
    </row>
    <row r="41758">
      <c r="A41758" s="1" t="n">
        <v>41757</v>
      </c>
      <c r="B41758">
        <f>TEXT(41757, "[$-0E0000]yyyy-mm-dd")</f>
        <v/>
      </c>
      <c r="C41758" t="inlineStr">
        <is>
          <t>2014-04-01</t>
        </is>
      </c>
    </row>
    <row r="41759">
      <c r="A41759" s="1" t="n">
        <v>41758</v>
      </c>
      <c r="B41759">
        <f>TEXT(41758, "[$-0E0000]yyyy-mm-dd")</f>
        <v/>
      </c>
      <c r="C41759" t="inlineStr">
        <is>
          <t>2014-04-02</t>
        </is>
      </c>
    </row>
    <row r="41760">
      <c r="A41760" s="1" t="n">
        <v>41759</v>
      </c>
      <c r="B41760">
        <f>TEXT(41759, "[$-0E0000]yyyy-mm-dd")</f>
        <v/>
      </c>
      <c r="C41760" t="inlineStr">
        <is>
          <t>2014-04-03</t>
        </is>
      </c>
    </row>
    <row r="41761">
      <c r="A41761" s="1" t="n">
        <v>41760</v>
      </c>
      <c r="B41761">
        <f>TEXT(41760, "[$-0E0000]yyyy-mm-dd")</f>
        <v/>
      </c>
      <c r="C41761" t="inlineStr">
        <is>
          <t>2014-04-04</t>
        </is>
      </c>
    </row>
    <row r="41762">
      <c r="A41762" s="1" t="n">
        <v>41761</v>
      </c>
      <c r="B41762">
        <f>TEXT(41761, "[$-0E0000]yyyy-mm-dd")</f>
        <v/>
      </c>
      <c r="C41762" t="inlineStr">
        <is>
          <t>2014-04-05</t>
        </is>
      </c>
    </row>
    <row r="41763">
      <c r="A41763" s="1" t="n">
        <v>41762</v>
      </c>
      <c r="B41763">
        <f>TEXT(41762, "[$-0E0000]yyyy-mm-dd")</f>
        <v/>
      </c>
      <c r="C41763" t="inlineStr">
        <is>
          <t>2014-04-06</t>
        </is>
      </c>
    </row>
    <row r="41764">
      <c r="A41764" s="1" t="n">
        <v>41763</v>
      </c>
      <c r="B41764">
        <f>TEXT(41763, "[$-0E0000]yyyy-mm-dd")</f>
        <v/>
      </c>
      <c r="C41764" t="inlineStr">
        <is>
          <t>2014-04-07</t>
        </is>
      </c>
    </row>
    <row r="41765">
      <c r="A41765" s="1" t="n">
        <v>41764</v>
      </c>
      <c r="B41765">
        <f>TEXT(41764, "[$-0E0000]yyyy-mm-dd")</f>
        <v/>
      </c>
      <c r="C41765" t="inlineStr">
        <is>
          <t>2014-04-08</t>
        </is>
      </c>
    </row>
    <row r="41766">
      <c r="A41766" s="1" t="n">
        <v>41765</v>
      </c>
      <c r="B41766">
        <f>TEXT(41765, "[$-0E0000]yyyy-mm-dd")</f>
        <v/>
      </c>
      <c r="C41766" t="inlineStr">
        <is>
          <t>2014-04-09</t>
        </is>
      </c>
    </row>
    <row r="41767">
      <c r="A41767" s="1" t="n">
        <v>41766</v>
      </c>
      <c r="B41767">
        <f>TEXT(41766, "[$-0E0000]yyyy-mm-dd")</f>
        <v/>
      </c>
      <c r="C41767" t="inlineStr">
        <is>
          <t>2014-04-10</t>
        </is>
      </c>
    </row>
    <row r="41768">
      <c r="A41768" s="1" t="n">
        <v>41767</v>
      </c>
      <c r="B41768">
        <f>TEXT(41767, "[$-0E0000]yyyy-mm-dd")</f>
        <v/>
      </c>
      <c r="C41768" t="inlineStr">
        <is>
          <t>2014-04-11</t>
        </is>
      </c>
    </row>
    <row r="41769">
      <c r="A41769" s="1" t="n">
        <v>41768</v>
      </c>
      <c r="B41769">
        <f>TEXT(41768, "[$-0E0000]yyyy-mm-dd")</f>
        <v/>
      </c>
      <c r="C41769" t="inlineStr">
        <is>
          <t>2014-04-12</t>
        </is>
      </c>
    </row>
    <row r="41770">
      <c r="A41770" s="1" t="n">
        <v>41769</v>
      </c>
      <c r="B41770">
        <f>TEXT(41769, "[$-0E0000]yyyy-mm-dd")</f>
        <v/>
      </c>
      <c r="C41770" t="inlineStr">
        <is>
          <t>2014-04-13</t>
        </is>
      </c>
    </row>
    <row r="41771">
      <c r="A41771" s="1" t="n">
        <v>41770</v>
      </c>
      <c r="B41771">
        <f>TEXT(41770, "[$-0E0000]yyyy-mm-dd")</f>
        <v/>
      </c>
      <c r="C41771" t="inlineStr">
        <is>
          <t>2014-04-14</t>
        </is>
      </c>
    </row>
    <row r="41772">
      <c r="A41772" s="1" t="n">
        <v>41771</v>
      </c>
      <c r="B41772">
        <f>TEXT(41771, "[$-0E0000]yyyy-mm-dd")</f>
        <v/>
      </c>
      <c r="C41772" t="inlineStr">
        <is>
          <t>2014-04-15</t>
        </is>
      </c>
    </row>
    <row r="41773">
      <c r="A41773" s="1" t="n">
        <v>41772</v>
      </c>
      <c r="B41773">
        <f>TEXT(41772, "[$-0E0000]yyyy-mm-dd")</f>
        <v/>
      </c>
      <c r="C41773" t="inlineStr">
        <is>
          <t>2014-04-16</t>
        </is>
      </c>
    </row>
    <row r="41774">
      <c r="A41774" s="1" t="n">
        <v>41773</v>
      </c>
      <c r="B41774">
        <f>TEXT(41773, "[$-0E0000]yyyy-mm-dd")</f>
        <v/>
      </c>
      <c r="C41774" t="inlineStr">
        <is>
          <t>2014-04-17</t>
        </is>
      </c>
    </row>
    <row r="41775">
      <c r="A41775" s="1" t="n">
        <v>41774</v>
      </c>
      <c r="B41775">
        <f>TEXT(41774, "[$-0E0000]yyyy-mm-dd")</f>
        <v/>
      </c>
      <c r="C41775" t="inlineStr">
        <is>
          <t>2014-04-18</t>
        </is>
      </c>
    </row>
    <row r="41776">
      <c r="A41776" s="1" t="n">
        <v>41775</v>
      </c>
      <c r="B41776">
        <f>TEXT(41775, "[$-0E0000]yyyy-mm-dd")</f>
        <v/>
      </c>
      <c r="C41776" t="inlineStr">
        <is>
          <t>2014-04-19</t>
        </is>
      </c>
    </row>
    <row r="41777">
      <c r="A41777" s="1" t="n">
        <v>41776</v>
      </c>
      <c r="B41777">
        <f>TEXT(41776, "[$-0E0000]yyyy-mm-dd")</f>
        <v/>
      </c>
      <c r="C41777" t="inlineStr">
        <is>
          <t>2014-04-20</t>
        </is>
      </c>
    </row>
    <row r="41778">
      <c r="A41778" s="1" t="n">
        <v>41777</v>
      </c>
      <c r="B41778">
        <f>TEXT(41777, "[$-0E0000]yyyy-mm-dd")</f>
        <v/>
      </c>
      <c r="C41778" t="inlineStr">
        <is>
          <t>2014-04-21</t>
        </is>
      </c>
    </row>
    <row r="41779">
      <c r="A41779" s="1" t="n">
        <v>41778</v>
      </c>
      <c r="B41779">
        <f>TEXT(41778, "[$-0E0000]yyyy-mm-dd")</f>
        <v/>
      </c>
      <c r="C41779" t="inlineStr">
        <is>
          <t>2014-04-22</t>
        </is>
      </c>
    </row>
    <row r="41780">
      <c r="A41780" s="1" t="n">
        <v>41779</v>
      </c>
      <c r="B41780">
        <f>TEXT(41779, "[$-0E0000]yyyy-mm-dd")</f>
        <v/>
      </c>
      <c r="C41780" t="inlineStr">
        <is>
          <t>2014-04-23</t>
        </is>
      </c>
    </row>
    <row r="41781">
      <c r="A41781" s="1" t="n">
        <v>41780</v>
      </c>
      <c r="B41781">
        <f>TEXT(41780, "[$-0E0000]yyyy-mm-dd")</f>
        <v/>
      </c>
      <c r="C41781" t="inlineStr">
        <is>
          <t>2014-04-24</t>
        </is>
      </c>
    </row>
    <row r="41782">
      <c r="A41782" s="1" t="n">
        <v>41781</v>
      </c>
      <c r="B41782">
        <f>TEXT(41781, "[$-0E0000]yyyy-mm-dd")</f>
        <v/>
      </c>
      <c r="C41782" t="inlineStr">
        <is>
          <t>2014-04-25</t>
        </is>
      </c>
    </row>
    <row r="41783">
      <c r="A41783" s="1" t="n">
        <v>41782</v>
      </c>
      <c r="B41783">
        <f>TEXT(41782, "[$-0E0000]yyyy-mm-dd")</f>
        <v/>
      </c>
      <c r="C41783" t="inlineStr">
        <is>
          <t>2014-04-26</t>
        </is>
      </c>
    </row>
    <row r="41784">
      <c r="A41784" s="1" t="n">
        <v>41783</v>
      </c>
      <c r="B41784">
        <f>TEXT(41783, "[$-0E0000]yyyy-mm-dd")</f>
        <v/>
      </c>
      <c r="C41784" t="inlineStr">
        <is>
          <t>2014-04-27</t>
        </is>
      </c>
    </row>
    <row r="41785">
      <c r="A41785" s="1" t="n">
        <v>41784</v>
      </c>
      <c r="B41785">
        <f>TEXT(41784, "[$-0E0000]yyyy-mm-dd")</f>
        <v/>
      </c>
      <c r="C41785" t="inlineStr">
        <is>
          <t>2014-04-28</t>
        </is>
      </c>
    </row>
    <row r="41786">
      <c r="A41786" s="1" t="n">
        <v>41785</v>
      </c>
      <c r="B41786">
        <f>TEXT(41785, "[$-0E0000]yyyy-mm-dd")</f>
        <v/>
      </c>
      <c r="C41786" t="inlineStr">
        <is>
          <t>2014-04-29</t>
        </is>
      </c>
    </row>
    <row r="41787">
      <c r="A41787" s="1" t="n">
        <v>41786</v>
      </c>
      <c r="B41787">
        <f>TEXT(41786, "[$-0E0000]yyyy-mm-dd")</f>
        <v/>
      </c>
      <c r="C41787" t="inlineStr">
        <is>
          <t>2014-04-30</t>
        </is>
      </c>
    </row>
    <row r="41788">
      <c r="A41788" s="1" t="n">
        <v>41787</v>
      </c>
      <c r="B41788">
        <f>TEXT(41787, "[$-0E0000]yyyy-mm-dd")</f>
        <v/>
      </c>
      <c r="C41788" t="inlineStr">
        <is>
          <t>2014-05-01</t>
        </is>
      </c>
    </row>
    <row r="41789">
      <c r="A41789" s="1" t="n">
        <v>41788</v>
      </c>
      <c r="B41789">
        <f>TEXT(41788, "[$-0E0000]yyyy-mm-dd")</f>
        <v/>
      </c>
      <c r="C41789" t="inlineStr">
        <is>
          <t>2014-05-02</t>
        </is>
      </c>
    </row>
    <row r="41790">
      <c r="A41790" s="1" t="n">
        <v>41789</v>
      </c>
      <c r="B41790">
        <f>TEXT(41789, "[$-0E0000]yyyy-mm-dd")</f>
        <v/>
      </c>
      <c r="C41790" t="inlineStr">
        <is>
          <t>2014-05-03</t>
        </is>
      </c>
    </row>
    <row r="41791">
      <c r="A41791" s="1" t="n">
        <v>41790</v>
      </c>
      <c r="B41791">
        <f>TEXT(41790, "[$-0E0000]yyyy-mm-dd")</f>
        <v/>
      </c>
      <c r="C41791" t="inlineStr">
        <is>
          <t>2014-05-04</t>
        </is>
      </c>
    </row>
    <row r="41792">
      <c r="A41792" s="1" t="n">
        <v>41791</v>
      </c>
      <c r="B41792">
        <f>TEXT(41791, "[$-0E0000]yyyy-mm-dd")</f>
        <v/>
      </c>
      <c r="C41792" t="inlineStr">
        <is>
          <t>2014-05-05</t>
        </is>
      </c>
    </row>
    <row r="41793">
      <c r="A41793" s="1" t="n">
        <v>41792</v>
      </c>
      <c r="B41793">
        <f>TEXT(41792, "[$-0E0000]yyyy-mm-dd")</f>
        <v/>
      </c>
      <c r="C41793" t="inlineStr">
        <is>
          <t>2014-05-06</t>
        </is>
      </c>
    </row>
    <row r="41794">
      <c r="A41794" s="1" t="n">
        <v>41793</v>
      </c>
      <c r="B41794">
        <f>TEXT(41793, "[$-0E0000]yyyy-mm-dd")</f>
        <v/>
      </c>
      <c r="C41794" t="inlineStr">
        <is>
          <t>2014-05-07</t>
        </is>
      </c>
    </row>
    <row r="41795">
      <c r="A41795" s="1" t="n">
        <v>41794</v>
      </c>
      <c r="B41795">
        <f>TEXT(41794, "[$-0E0000]yyyy-mm-dd")</f>
        <v/>
      </c>
      <c r="C41795" t="inlineStr">
        <is>
          <t>2014-05-08</t>
        </is>
      </c>
    </row>
    <row r="41796">
      <c r="A41796" s="1" t="n">
        <v>41795</v>
      </c>
      <c r="B41796">
        <f>TEXT(41795, "[$-0E0000]yyyy-mm-dd")</f>
        <v/>
      </c>
      <c r="C41796" t="inlineStr">
        <is>
          <t>2014-05-09</t>
        </is>
      </c>
    </row>
    <row r="41797">
      <c r="A41797" s="1" t="n">
        <v>41796</v>
      </c>
      <c r="B41797">
        <f>TEXT(41796, "[$-0E0000]yyyy-mm-dd")</f>
        <v/>
      </c>
      <c r="C41797" t="inlineStr">
        <is>
          <t>2014-05-10</t>
        </is>
      </c>
    </row>
    <row r="41798">
      <c r="A41798" s="1" t="n">
        <v>41797</v>
      </c>
      <c r="B41798">
        <f>TEXT(41797, "[$-0E0000]yyyy-mm-dd")</f>
        <v/>
      </c>
      <c r="C41798" t="inlineStr">
        <is>
          <t>2014-05-11</t>
        </is>
      </c>
    </row>
    <row r="41799">
      <c r="A41799" s="1" t="n">
        <v>41798</v>
      </c>
      <c r="B41799">
        <f>TEXT(41798, "[$-0E0000]yyyy-mm-dd")</f>
        <v/>
      </c>
      <c r="C41799" t="inlineStr">
        <is>
          <t>2014-05-12</t>
        </is>
      </c>
    </row>
    <row r="41800">
      <c r="A41800" s="1" t="n">
        <v>41799</v>
      </c>
      <c r="B41800">
        <f>TEXT(41799, "[$-0E0000]yyyy-mm-dd")</f>
        <v/>
      </c>
      <c r="C41800" t="inlineStr">
        <is>
          <t>2014-05-13</t>
        </is>
      </c>
    </row>
    <row r="41801">
      <c r="A41801" s="1" t="n">
        <v>41800</v>
      </c>
      <c r="B41801">
        <f>TEXT(41800, "[$-0E0000]yyyy-mm-dd")</f>
        <v/>
      </c>
      <c r="C41801" t="inlineStr">
        <is>
          <t>2014-05-14</t>
        </is>
      </c>
    </row>
    <row r="41802">
      <c r="A41802" s="1" t="n">
        <v>41801</v>
      </c>
      <c r="B41802">
        <f>TEXT(41801, "[$-0E0000]yyyy-mm-dd")</f>
        <v/>
      </c>
      <c r="C41802" t="inlineStr">
        <is>
          <t>2014-05-15</t>
        </is>
      </c>
    </row>
    <row r="41803">
      <c r="A41803" s="1" t="n">
        <v>41802</v>
      </c>
      <c r="B41803">
        <f>TEXT(41802, "[$-0E0000]yyyy-mm-dd")</f>
        <v/>
      </c>
      <c r="C41803" t="inlineStr">
        <is>
          <t>2014-05-16</t>
        </is>
      </c>
    </row>
    <row r="41804">
      <c r="A41804" s="1" t="n">
        <v>41803</v>
      </c>
      <c r="B41804">
        <f>TEXT(41803, "[$-0E0000]yyyy-mm-dd")</f>
        <v/>
      </c>
      <c r="C41804" t="inlineStr">
        <is>
          <t>2014-05-17</t>
        </is>
      </c>
    </row>
    <row r="41805">
      <c r="A41805" s="1" t="n">
        <v>41804</v>
      </c>
      <c r="B41805">
        <f>TEXT(41804, "[$-0E0000]yyyy-mm-dd")</f>
        <v/>
      </c>
      <c r="C41805" t="inlineStr">
        <is>
          <t>2014-05-18</t>
        </is>
      </c>
    </row>
    <row r="41806">
      <c r="A41806" s="1" t="n">
        <v>41805</v>
      </c>
      <c r="B41806">
        <f>TEXT(41805, "[$-0E0000]yyyy-mm-dd")</f>
        <v/>
      </c>
      <c r="C41806" t="inlineStr">
        <is>
          <t>2014-05-19</t>
        </is>
      </c>
    </row>
    <row r="41807">
      <c r="A41807" s="1" t="n">
        <v>41806</v>
      </c>
      <c r="B41807">
        <f>TEXT(41806, "[$-0E0000]yyyy-mm-dd")</f>
        <v/>
      </c>
      <c r="C41807" t="inlineStr">
        <is>
          <t>2014-05-20</t>
        </is>
      </c>
    </row>
    <row r="41808">
      <c r="A41808" s="1" t="n">
        <v>41807</v>
      </c>
      <c r="B41808">
        <f>TEXT(41807, "[$-0E0000]yyyy-mm-dd")</f>
        <v/>
      </c>
      <c r="C41808" t="inlineStr">
        <is>
          <t>2014-05-21</t>
        </is>
      </c>
    </row>
    <row r="41809">
      <c r="A41809" s="1" t="n">
        <v>41808</v>
      </c>
      <c r="B41809">
        <f>TEXT(41808, "[$-0E0000]yyyy-mm-dd")</f>
        <v/>
      </c>
      <c r="C41809" t="inlineStr">
        <is>
          <t>2014-05-22</t>
        </is>
      </c>
    </row>
    <row r="41810">
      <c r="A41810" s="1" t="n">
        <v>41809</v>
      </c>
      <c r="B41810">
        <f>TEXT(41809, "[$-0E0000]yyyy-mm-dd")</f>
        <v/>
      </c>
      <c r="C41810" t="inlineStr">
        <is>
          <t>2014-05-23</t>
        </is>
      </c>
    </row>
    <row r="41811">
      <c r="A41811" s="1" t="n">
        <v>41810</v>
      </c>
      <c r="B41811">
        <f>TEXT(41810, "[$-0E0000]yyyy-mm-dd")</f>
        <v/>
      </c>
      <c r="C41811" t="inlineStr">
        <is>
          <t>2014-05-24</t>
        </is>
      </c>
    </row>
    <row r="41812">
      <c r="A41812" s="1" t="n">
        <v>41811</v>
      </c>
      <c r="B41812">
        <f>TEXT(41811, "[$-0E0000]yyyy-mm-dd")</f>
        <v/>
      </c>
      <c r="C41812" t="inlineStr">
        <is>
          <t>2014-05-25</t>
        </is>
      </c>
    </row>
    <row r="41813">
      <c r="A41813" s="1" t="n">
        <v>41812</v>
      </c>
      <c r="B41813">
        <f>TEXT(41812, "[$-0E0000]yyyy-mm-dd")</f>
        <v/>
      </c>
      <c r="C41813" t="inlineStr">
        <is>
          <t>2014-05-26</t>
        </is>
      </c>
    </row>
    <row r="41814">
      <c r="A41814" s="1" t="n">
        <v>41813</v>
      </c>
      <c r="B41814">
        <f>TEXT(41813, "[$-0E0000]yyyy-mm-dd")</f>
        <v/>
      </c>
      <c r="C41814" t="inlineStr">
        <is>
          <t>2014-05-27</t>
        </is>
      </c>
    </row>
    <row r="41815">
      <c r="A41815" s="1" t="n">
        <v>41814</v>
      </c>
      <c r="B41815">
        <f>TEXT(41814, "[$-0E0000]yyyy-mm-dd")</f>
        <v/>
      </c>
      <c r="C41815" t="inlineStr">
        <is>
          <t>2014-05-28</t>
        </is>
      </c>
    </row>
    <row r="41816">
      <c r="A41816" s="1" t="n">
        <v>41815</v>
      </c>
      <c r="B41816">
        <f>TEXT(41815, "[$-0E0000]yyyy-mm-dd")</f>
        <v/>
      </c>
      <c r="C41816" t="inlineStr">
        <is>
          <t>2014-05-29</t>
        </is>
      </c>
    </row>
    <row r="41817">
      <c r="A41817" s="1" t="n">
        <v>41816</v>
      </c>
      <c r="B41817">
        <f>TEXT(41816, "[$-0E0000]yyyy-mm-dd")</f>
        <v/>
      </c>
      <c r="C41817" t="inlineStr">
        <is>
          <t>2014-06-01</t>
        </is>
      </c>
    </row>
    <row r="41818">
      <c r="A41818" s="1" t="n">
        <v>41817</v>
      </c>
      <c r="B41818">
        <f>TEXT(41817, "[$-0E0000]yyyy-mm-dd")</f>
        <v/>
      </c>
      <c r="C41818" t="inlineStr">
        <is>
          <t>2014-06-02</t>
        </is>
      </c>
    </row>
    <row r="41819">
      <c r="A41819" s="1" t="n">
        <v>41818</v>
      </c>
      <c r="B41819">
        <f>TEXT(41818, "[$-0E0000]yyyy-mm-dd")</f>
        <v/>
      </c>
      <c r="C41819" t="inlineStr">
        <is>
          <t>2014-06-03</t>
        </is>
      </c>
    </row>
    <row r="41820">
      <c r="A41820" s="1" t="n">
        <v>41819</v>
      </c>
      <c r="B41820">
        <f>TEXT(41819, "[$-0E0000]yyyy-mm-dd")</f>
        <v/>
      </c>
      <c r="C41820" t="inlineStr">
        <is>
          <t>2014-06-04</t>
        </is>
      </c>
    </row>
    <row r="41821">
      <c r="A41821" s="1" t="n">
        <v>41820</v>
      </c>
      <c r="B41821">
        <f>TEXT(41820, "[$-0E0000]yyyy-mm-dd")</f>
        <v/>
      </c>
      <c r="C41821" t="inlineStr">
        <is>
          <t>2014-06-05</t>
        </is>
      </c>
    </row>
    <row r="41822">
      <c r="A41822" s="1" t="n">
        <v>41821</v>
      </c>
      <c r="B41822">
        <f>TEXT(41821, "[$-0E0000]yyyy-mm-dd")</f>
        <v/>
      </c>
      <c r="C41822" t="inlineStr">
        <is>
          <t>2014-06-06</t>
        </is>
      </c>
    </row>
    <row r="41823">
      <c r="A41823" s="1" t="n">
        <v>41822</v>
      </c>
      <c r="B41823">
        <f>TEXT(41822, "[$-0E0000]yyyy-mm-dd")</f>
        <v/>
      </c>
      <c r="C41823" t="inlineStr">
        <is>
          <t>2014-06-07</t>
        </is>
      </c>
    </row>
    <row r="41824">
      <c r="A41824" s="1" t="n">
        <v>41823</v>
      </c>
      <c r="B41824">
        <f>TEXT(41823, "[$-0E0000]yyyy-mm-dd")</f>
        <v/>
      </c>
      <c r="C41824" t="inlineStr">
        <is>
          <t>2014-06-08</t>
        </is>
      </c>
    </row>
    <row r="41825">
      <c r="A41825" s="1" t="n">
        <v>41824</v>
      </c>
      <c r="B41825">
        <f>TEXT(41824, "[$-0E0000]yyyy-mm-dd")</f>
        <v/>
      </c>
      <c r="C41825" t="inlineStr">
        <is>
          <t>2014-06-09</t>
        </is>
      </c>
    </row>
    <row r="41826">
      <c r="A41826" s="1" t="n">
        <v>41825</v>
      </c>
      <c r="B41826">
        <f>TEXT(41825, "[$-0E0000]yyyy-mm-dd")</f>
        <v/>
      </c>
      <c r="C41826" t="inlineStr">
        <is>
          <t>2014-06-10</t>
        </is>
      </c>
    </row>
    <row r="41827">
      <c r="A41827" s="1" t="n">
        <v>41826</v>
      </c>
      <c r="B41827">
        <f>TEXT(41826, "[$-0E0000]yyyy-mm-dd")</f>
        <v/>
      </c>
      <c r="C41827" t="inlineStr">
        <is>
          <t>2014-06-11</t>
        </is>
      </c>
    </row>
    <row r="41828">
      <c r="A41828" s="1" t="n">
        <v>41827</v>
      </c>
      <c r="B41828">
        <f>TEXT(41827, "[$-0E0000]yyyy-mm-dd")</f>
        <v/>
      </c>
      <c r="C41828" t="inlineStr">
        <is>
          <t>2014-06-12</t>
        </is>
      </c>
    </row>
    <row r="41829">
      <c r="A41829" s="1" t="n">
        <v>41828</v>
      </c>
      <c r="B41829">
        <f>TEXT(41828, "[$-0E0000]yyyy-mm-dd")</f>
        <v/>
      </c>
      <c r="C41829" t="inlineStr">
        <is>
          <t>2014-06-13</t>
        </is>
      </c>
    </row>
    <row r="41830">
      <c r="A41830" s="1" t="n">
        <v>41829</v>
      </c>
      <c r="B41830">
        <f>TEXT(41829, "[$-0E0000]yyyy-mm-dd")</f>
        <v/>
      </c>
      <c r="C41830" t="inlineStr">
        <is>
          <t>2014-06-14</t>
        </is>
      </c>
    </row>
    <row r="41831">
      <c r="A41831" s="1" t="n">
        <v>41830</v>
      </c>
      <c r="B41831">
        <f>TEXT(41830, "[$-0E0000]yyyy-mm-dd")</f>
        <v/>
      </c>
      <c r="C41831" t="inlineStr">
        <is>
          <t>2014-06-15</t>
        </is>
      </c>
    </row>
    <row r="41832">
      <c r="A41832" s="1" t="n">
        <v>41831</v>
      </c>
      <c r="B41832">
        <f>TEXT(41831, "[$-0E0000]yyyy-mm-dd")</f>
        <v/>
      </c>
      <c r="C41832" t="inlineStr">
        <is>
          <t>2014-06-16</t>
        </is>
      </c>
    </row>
    <row r="41833">
      <c r="A41833" s="1" t="n">
        <v>41832</v>
      </c>
      <c r="B41833">
        <f>TEXT(41832, "[$-0E0000]yyyy-mm-dd")</f>
        <v/>
      </c>
      <c r="C41833" t="inlineStr">
        <is>
          <t>2014-06-17</t>
        </is>
      </c>
    </row>
    <row r="41834">
      <c r="A41834" s="1" t="n">
        <v>41833</v>
      </c>
      <c r="B41834">
        <f>TEXT(41833, "[$-0E0000]yyyy-mm-dd")</f>
        <v/>
      </c>
      <c r="C41834" t="inlineStr">
        <is>
          <t>2014-06-18</t>
        </is>
      </c>
    </row>
    <row r="41835">
      <c r="A41835" s="1" t="n">
        <v>41834</v>
      </c>
      <c r="B41835">
        <f>TEXT(41834, "[$-0E0000]yyyy-mm-dd")</f>
        <v/>
      </c>
      <c r="C41835" t="inlineStr">
        <is>
          <t>2014-06-19</t>
        </is>
      </c>
    </row>
    <row r="41836">
      <c r="A41836" s="1" t="n">
        <v>41835</v>
      </c>
      <c r="B41836">
        <f>TEXT(41835, "[$-0E0000]yyyy-mm-dd")</f>
        <v/>
      </c>
      <c r="C41836" t="inlineStr">
        <is>
          <t>2014-06-20</t>
        </is>
      </c>
    </row>
    <row r="41837">
      <c r="A41837" s="1" t="n">
        <v>41836</v>
      </c>
      <c r="B41837">
        <f>TEXT(41836, "[$-0E0000]yyyy-mm-dd")</f>
        <v/>
      </c>
      <c r="C41837" t="inlineStr">
        <is>
          <t>2014-06-21</t>
        </is>
      </c>
    </row>
    <row r="41838">
      <c r="A41838" s="1" t="n">
        <v>41837</v>
      </c>
      <c r="B41838">
        <f>TEXT(41837, "[$-0E0000]yyyy-mm-dd")</f>
        <v/>
      </c>
      <c r="C41838" t="inlineStr">
        <is>
          <t>2014-06-22</t>
        </is>
      </c>
    </row>
    <row r="41839">
      <c r="A41839" s="1" t="n">
        <v>41838</v>
      </c>
      <c r="B41839">
        <f>TEXT(41838, "[$-0E0000]yyyy-mm-dd")</f>
        <v/>
      </c>
      <c r="C41839" t="inlineStr">
        <is>
          <t>2014-06-23</t>
        </is>
      </c>
    </row>
    <row r="41840">
      <c r="A41840" s="1" t="n">
        <v>41839</v>
      </c>
      <c r="B41840">
        <f>TEXT(41839, "[$-0E0000]yyyy-mm-dd")</f>
        <v/>
      </c>
      <c r="C41840" t="inlineStr">
        <is>
          <t>2014-06-24</t>
        </is>
      </c>
    </row>
    <row r="41841">
      <c r="A41841" s="1" t="n">
        <v>41840</v>
      </c>
      <c r="B41841">
        <f>TEXT(41840, "[$-0E0000]yyyy-mm-dd")</f>
        <v/>
      </c>
      <c r="C41841" t="inlineStr">
        <is>
          <t>2014-06-25</t>
        </is>
      </c>
    </row>
    <row r="41842">
      <c r="A41842" s="1" t="n">
        <v>41841</v>
      </c>
      <c r="B41842">
        <f>TEXT(41841, "[$-0E0000]yyyy-mm-dd")</f>
        <v/>
      </c>
      <c r="C41842" t="inlineStr">
        <is>
          <t>2014-06-26</t>
        </is>
      </c>
    </row>
    <row r="41843">
      <c r="A41843" s="1" t="n">
        <v>41842</v>
      </c>
      <c r="B41843">
        <f>TEXT(41842, "[$-0E0000]yyyy-mm-dd")</f>
        <v/>
      </c>
      <c r="C41843" t="inlineStr">
        <is>
          <t>2014-06-27</t>
        </is>
      </c>
    </row>
    <row r="41844">
      <c r="A41844" s="1" t="n">
        <v>41843</v>
      </c>
      <c r="B41844">
        <f>TEXT(41843, "[$-0E0000]yyyy-mm-dd")</f>
        <v/>
      </c>
      <c r="C41844" t="inlineStr">
        <is>
          <t>2014-06-28</t>
        </is>
      </c>
    </row>
    <row r="41845">
      <c r="A41845" s="1" t="n">
        <v>41844</v>
      </c>
      <c r="B41845">
        <f>TEXT(41844, "[$-0E0000]yyyy-mm-dd")</f>
        <v/>
      </c>
      <c r="C41845" t="inlineStr">
        <is>
          <t>2014-06-29</t>
        </is>
      </c>
    </row>
    <row r="41846">
      <c r="A41846" s="1" t="n">
        <v>41845</v>
      </c>
      <c r="B41846">
        <f>TEXT(41845, "[$-0E0000]yyyy-mm-dd")</f>
        <v/>
      </c>
      <c r="C41846" t="inlineStr">
        <is>
          <t>2014-06-30</t>
        </is>
      </c>
    </row>
    <row r="41847">
      <c r="A41847" s="1" t="n">
        <v>41846</v>
      </c>
      <c r="B41847">
        <f>TEXT(41846, "[$-0E0000]yyyy-mm-dd")</f>
        <v/>
      </c>
      <c r="C41847" t="inlineStr">
        <is>
          <t>2014-07-01</t>
        </is>
      </c>
    </row>
    <row r="41848">
      <c r="A41848" s="1" t="n">
        <v>41847</v>
      </c>
      <c r="B41848">
        <f>TEXT(41847, "[$-0E0000]yyyy-mm-dd")</f>
        <v/>
      </c>
      <c r="C41848" t="inlineStr">
        <is>
          <t>2014-07-02</t>
        </is>
      </c>
    </row>
    <row r="41849">
      <c r="A41849" s="1" t="n">
        <v>41848</v>
      </c>
      <c r="B41849">
        <f>TEXT(41848, "[$-0E0000]yyyy-mm-dd")</f>
        <v/>
      </c>
      <c r="C41849" t="inlineStr">
        <is>
          <t>2014-07-03</t>
        </is>
      </c>
    </row>
    <row r="41850">
      <c r="A41850" s="1" t="n">
        <v>41849</v>
      </c>
      <c r="B41850">
        <f>TEXT(41849, "[$-0E0000]yyyy-mm-dd")</f>
        <v/>
      </c>
      <c r="C41850" t="inlineStr">
        <is>
          <t>2014-07-04</t>
        </is>
      </c>
    </row>
    <row r="41851">
      <c r="A41851" s="1" t="n">
        <v>41850</v>
      </c>
      <c r="B41851">
        <f>TEXT(41850, "[$-0E0000]yyyy-mm-dd")</f>
        <v/>
      </c>
      <c r="C41851" t="inlineStr">
        <is>
          <t>2014-07-05</t>
        </is>
      </c>
    </row>
    <row r="41852">
      <c r="A41852" s="1" t="n">
        <v>41851</v>
      </c>
      <c r="B41852">
        <f>TEXT(41851, "[$-0E0000]yyyy-mm-dd")</f>
        <v/>
      </c>
      <c r="C41852" t="inlineStr">
        <is>
          <t>2014-07-06</t>
        </is>
      </c>
    </row>
    <row r="41853">
      <c r="A41853" s="1" t="n">
        <v>41852</v>
      </c>
      <c r="B41853">
        <f>TEXT(41852, "[$-0E0000]yyyy-mm-dd")</f>
        <v/>
      </c>
      <c r="C41853" t="inlineStr">
        <is>
          <t>2014-07-07</t>
        </is>
      </c>
    </row>
    <row r="41854">
      <c r="A41854" s="1" t="n">
        <v>41853</v>
      </c>
      <c r="B41854">
        <f>TEXT(41853, "[$-0E0000]yyyy-mm-dd")</f>
        <v/>
      </c>
      <c r="C41854" t="inlineStr">
        <is>
          <t>2014-07-08</t>
        </is>
      </c>
    </row>
    <row r="41855">
      <c r="A41855" s="1" t="n">
        <v>41854</v>
      </c>
      <c r="B41855">
        <f>TEXT(41854, "[$-0E0000]yyyy-mm-dd")</f>
        <v/>
      </c>
      <c r="C41855" t="inlineStr">
        <is>
          <t>2014-07-09</t>
        </is>
      </c>
    </row>
    <row r="41856">
      <c r="A41856" s="1" t="n">
        <v>41855</v>
      </c>
      <c r="B41856">
        <f>TEXT(41855, "[$-0E0000]yyyy-mm-dd")</f>
        <v/>
      </c>
      <c r="C41856" t="inlineStr">
        <is>
          <t>2014-07-10</t>
        </is>
      </c>
    </row>
    <row r="41857">
      <c r="A41857" s="1" t="n">
        <v>41856</v>
      </c>
      <c r="B41857">
        <f>TEXT(41856, "[$-0E0000]yyyy-mm-dd")</f>
        <v/>
      </c>
      <c r="C41857" t="inlineStr">
        <is>
          <t>2014-07-11</t>
        </is>
      </c>
    </row>
    <row r="41858">
      <c r="A41858" s="1" t="n">
        <v>41857</v>
      </c>
      <c r="B41858">
        <f>TEXT(41857, "[$-0E0000]yyyy-mm-dd")</f>
        <v/>
      </c>
      <c r="C41858" t="inlineStr">
        <is>
          <t>2014-07-12</t>
        </is>
      </c>
    </row>
    <row r="41859">
      <c r="A41859" s="1" t="n">
        <v>41858</v>
      </c>
      <c r="B41859">
        <f>TEXT(41858, "[$-0E0000]yyyy-mm-dd")</f>
        <v/>
      </c>
      <c r="C41859" t="inlineStr">
        <is>
          <t>2014-07-13</t>
        </is>
      </c>
    </row>
    <row r="41860">
      <c r="A41860" s="1" t="n">
        <v>41859</v>
      </c>
      <c r="B41860">
        <f>TEXT(41859, "[$-0E0000]yyyy-mm-dd")</f>
        <v/>
      </c>
      <c r="C41860" t="inlineStr">
        <is>
          <t>2014-07-14</t>
        </is>
      </c>
    </row>
    <row r="41861">
      <c r="A41861" s="1" t="n">
        <v>41860</v>
      </c>
      <c r="B41861">
        <f>TEXT(41860, "[$-0E0000]yyyy-mm-dd")</f>
        <v/>
      </c>
      <c r="C41861" t="inlineStr">
        <is>
          <t>2014-07-15</t>
        </is>
      </c>
    </row>
    <row r="41862">
      <c r="A41862" s="1" t="n">
        <v>41861</v>
      </c>
      <c r="B41862">
        <f>TEXT(41861, "[$-0E0000]yyyy-mm-dd")</f>
        <v/>
      </c>
      <c r="C41862" t="inlineStr">
        <is>
          <t>2014-07-16</t>
        </is>
      </c>
    </row>
    <row r="41863">
      <c r="A41863" s="1" t="n">
        <v>41862</v>
      </c>
      <c r="B41863">
        <f>TEXT(41862, "[$-0E0000]yyyy-mm-dd")</f>
        <v/>
      </c>
      <c r="C41863" t="inlineStr">
        <is>
          <t>2014-07-17</t>
        </is>
      </c>
    </row>
    <row r="41864">
      <c r="A41864" s="1" t="n">
        <v>41863</v>
      </c>
      <c r="B41864">
        <f>TEXT(41863, "[$-0E0000]yyyy-mm-dd")</f>
        <v/>
      </c>
      <c r="C41864" t="inlineStr">
        <is>
          <t>2014-07-18</t>
        </is>
      </c>
    </row>
    <row r="41865">
      <c r="A41865" s="1" t="n">
        <v>41864</v>
      </c>
      <c r="B41865">
        <f>TEXT(41864, "[$-0E0000]yyyy-mm-dd")</f>
        <v/>
      </c>
      <c r="C41865" t="inlineStr">
        <is>
          <t>2014-07-19</t>
        </is>
      </c>
    </row>
    <row r="41866">
      <c r="A41866" s="1" t="n">
        <v>41865</v>
      </c>
      <c r="B41866">
        <f>TEXT(41865, "[$-0E0000]yyyy-mm-dd")</f>
        <v/>
      </c>
      <c r="C41866" t="inlineStr">
        <is>
          <t>2014-07-20</t>
        </is>
      </c>
    </row>
    <row r="41867">
      <c r="A41867" s="1" t="n">
        <v>41866</v>
      </c>
      <c r="B41867">
        <f>TEXT(41866, "[$-0E0000]yyyy-mm-dd")</f>
        <v/>
      </c>
      <c r="C41867" t="inlineStr">
        <is>
          <t>2014-07-21</t>
        </is>
      </c>
    </row>
    <row r="41868">
      <c r="A41868" s="1" t="n">
        <v>41867</v>
      </c>
      <c r="B41868">
        <f>TEXT(41867, "[$-0E0000]yyyy-mm-dd")</f>
        <v/>
      </c>
      <c r="C41868" t="inlineStr">
        <is>
          <t>2014-07-22</t>
        </is>
      </c>
    </row>
    <row r="41869">
      <c r="A41869" s="1" t="n">
        <v>41868</v>
      </c>
      <c r="B41869">
        <f>TEXT(41868, "[$-0E0000]yyyy-mm-dd")</f>
        <v/>
      </c>
      <c r="C41869" t="inlineStr">
        <is>
          <t>2014-07-23</t>
        </is>
      </c>
    </row>
    <row r="41870">
      <c r="A41870" s="1" t="n">
        <v>41869</v>
      </c>
      <c r="B41870">
        <f>TEXT(41869, "[$-0E0000]yyyy-mm-dd")</f>
        <v/>
      </c>
      <c r="C41870" t="inlineStr">
        <is>
          <t>2014-07-24</t>
        </is>
      </c>
    </row>
    <row r="41871">
      <c r="A41871" s="1" t="n">
        <v>41870</v>
      </c>
      <c r="B41871">
        <f>TEXT(41870, "[$-0E0000]yyyy-mm-dd")</f>
        <v/>
      </c>
      <c r="C41871" t="inlineStr">
        <is>
          <t>2014-07-25</t>
        </is>
      </c>
    </row>
    <row r="41872">
      <c r="A41872" s="1" t="n">
        <v>41871</v>
      </c>
      <c r="B41872">
        <f>TEXT(41871, "[$-0E0000]yyyy-mm-dd")</f>
        <v/>
      </c>
      <c r="C41872" t="inlineStr">
        <is>
          <t>2014-07-26</t>
        </is>
      </c>
    </row>
    <row r="41873">
      <c r="A41873" s="1" t="n">
        <v>41872</v>
      </c>
      <c r="B41873">
        <f>TEXT(41872, "[$-0E0000]yyyy-mm-dd")</f>
        <v/>
      </c>
      <c r="C41873" t="inlineStr">
        <is>
          <t>2014-07-27</t>
        </is>
      </c>
    </row>
    <row r="41874">
      <c r="A41874" s="1" t="n">
        <v>41873</v>
      </c>
      <c r="B41874">
        <f>TEXT(41873, "[$-0E0000]yyyy-mm-dd")</f>
        <v/>
      </c>
      <c r="C41874" t="inlineStr">
        <is>
          <t>2014-07-28</t>
        </is>
      </c>
    </row>
    <row r="41875">
      <c r="A41875" s="1" t="n">
        <v>41874</v>
      </c>
      <c r="B41875">
        <f>TEXT(41874, "[$-0E0000]yyyy-mm-dd")</f>
        <v/>
      </c>
      <c r="C41875" t="inlineStr">
        <is>
          <t>2014-07-29</t>
        </is>
      </c>
    </row>
    <row r="41876">
      <c r="A41876" s="1" t="n">
        <v>41875</v>
      </c>
      <c r="B41876">
        <f>TEXT(41875, "[$-0E0000]yyyy-mm-dd")</f>
        <v/>
      </c>
      <c r="C41876" t="inlineStr">
        <is>
          <t>2014-08-01</t>
        </is>
      </c>
    </row>
    <row r="41877">
      <c r="A41877" s="1" t="n">
        <v>41876</v>
      </c>
      <c r="B41877">
        <f>TEXT(41876, "[$-0E0000]yyyy-mm-dd")</f>
        <v/>
      </c>
      <c r="C41877" t="inlineStr">
        <is>
          <t>2014-08-02</t>
        </is>
      </c>
    </row>
    <row r="41878">
      <c r="A41878" s="1" t="n">
        <v>41877</v>
      </c>
      <c r="B41878">
        <f>TEXT(41877, "[$-0E0000]yyyy-mm-dd")</f>
        <v/>
      </c>
      <c r="C41878" t="inlineStr">
        <is>
          <t>2014-08-03</t>
        </is>
      </c>
    </row>
    <row r="41879">
      <c r="A41879" s="1" t="n">
        <v>41878</v>
      </c>
      <c r="B41879">
        <f>TEXT(41878, "[$-0E0000]yyyy-mm-dd")</f>
        <v/>
      </c>
      <c r="C41879" t="inlineStr">
        <is>
          <t>2014-08-04</t>
        </is>
      </c>
    </row>
    <row r="41880">
      <c r="A41880" s="1" t="n">
        <v>41879</v>
      </c>
      <c r="B41880">
        <f>TEXT(41879, "[$-0E0000]yyyy-mm-dd")</f>
        <v/>
      </c>
      <c r="C41880" t="inlineStr">
        <is>
          <t>2014-08-05</t>
        </is>
      </c>
    </row>
    <row r="41881">
      <c r="A41881" s="1" t="n">
        <v>41880</v>
      </c>
      <c r="B41881">
        <f>TEXT(41880, "[$-0E0000]yyyy-mm-dd")</f>
        <v/>
      </c>
      <c r="C41881" t="inlineStr">
        <is>
          <t>2014-08-06</t>
        </is>
      </c>
    </row>
    <row r="41882">
      <c r="A41882" s="1" t="n">
        <v>41881</v>
      </c>
      <c r="B41882">
        <f>TEXT(41881, "[$-0E0000]yyyy-mm-dd")</f>
        <v/>
      </c>
      <c r="C41882" t="inlineStr">
        <is>
          <t>2014-08-07</t>
        </is>
      </c>
    </row>
    <row r="41883">
      <c r="A41883" s="1" t="n">
        <v>41882</v>
      </c>
      <c r="B41883">
        <f>TEXT(41882, "[$-0E0000]yyyy-mm-dd")</f>
        <v/>
      </c>
      <c r="C41883" t="inlineStr">
        <is>
          <t>2014-08-08</t>
        </is>
      </c>
    </row>
    <row r="41884">
      <c r="A41884" s="1" t="n">
        <v>41883</v>
      </c>
      <c r="B41884">
        <f>TEXT(41883, "[$-0E0000]yyyy-mm-dd")</f>
        <v/>
      </c>
      <c r="C41884" t="inlineStr">
        <is>
          <t>2014-08-09</t>
        </is>
      </c>
    </row>
    <row r="41885">
      <c r="A41885" s="1" t="n">
        <v>41884</v>
      </c>
      <c r="B41885">
        <f>TEXT(41884, "[$-0E0000]yyyy-mm-dd")</f>
        <v/>
      </c>
      <c r="C41885" t="inlineStr">
        <is>
          <t>2014-08-10</t>
        </is>
      </c>
    </row>
    <row r="41886">
      <c r="A41886" s="1" t="n">
        <v>41885</v>
      </c>
      <c r="B41886">
        <f>TEXT(41885, "[$-0E0000]yyyy-mm-dd")</f>
        <v/>
      </c>
      <c r="C41886" t="inlineStr">
        <is>
          <t>2014-08-11</t>
        </is>
      </c>
    </row>
    <row r="41887">
      <c r="A41887" s="1" t="n">
        <v>41886</v>
      </c>
      <c r="B41887">
        <f>TEXT(41886, "[$-0E0000]yyyy-mm-dd")</f>
        <v/>
      </c>
      <c r="C41887" t="inlineStr">
        <is>
          <t>2014-08-12</t>
        </is>
      </c>
    </row>
    <row r="41888">
      <c r="A41888" s="1" t="n">
        <v>41887</v>
      </c>
      <c r="B41888">
        <f>TEXT(41887, "[$-0E0000]yyyy-mm-dd")</f>
        <v/>
      </c>
      <c r="C41888" t="inlineStr">
        <is>
          <t>2014-08-13</t>
        </is>
      </c>
    </row>
    <row r="41889">
      <c r="A41889" s="1" t="n">
        <v>41888</v>
      </c>
      <c r="B41889">
        <f>TEXT(41888, "[$-0E0000]yyyy-mm-dd")</f>
        <v/>
      </c>
      <c r="C41889" t="inlineStr">
        <is>
          <t>2014-08-14</t>
        </is>
      </c>
    </row>
    <row r="41890">
      <c r="A41890" s="1" t="n">
        <v>41889</v>
      </c>
      <c r="B41890">
        <f>TEXT(41889, "[$-0E0000]yyyy-mm-dd")</f>
        <v/>
      </c>
      <c r="C41890" t="inlineStr">
        <is>
          <t>2014-08-15</t>
        </is>
      </c>
    </row>
    <row r="41891">
      <c r="A41891" s="1" t="n">
        <v>41890</v>
      </c>
      <c r="B41891">
        <f>TEXT(41890, "[$-0E0000]yyyy-mm-dd")</f>
        <v/>
      </c>
      <c r="C41891" t="inlineStr">
        <is>
          <t>2014-08-16</t>
        </is>
      </c>
    </row>
    <row r="41892">
      <c r="A41892" s="1" t="n">
        <v>41891</v>
      </c>
      <c r="B41892">
        <f>TEXT(41891, "[$-0E0000]yyyy-mm-dd")</f>
        <v/>
      </c>
      <c r="C41892" t="inlineStr">
        <is>
          <t>2014-08-17</t>
        </is>
      </c>
    </row>
    <row r="41893">
      <c r="A41893" s="1" t="n">
        <v>41892</v>
      </c>
      <c r="B41893">
        <f>TEXT(41892, "[$-0E0000]yyyy-mm-dd")</f>
        <v/>
      </c>
      <c r="C41893" t="inlineStr">
        <is>
          <t>2014-08-18</t>
        </is>
      </c>
    </row>
    <row r="41894">
      <c r="A41894" s="1" t="n">
        <v>41893</v>
      </c>
      <c r="B41894">
        <f>TEXT(41893, "[$-0E0000]yyyy-mm-dd")</f>
        <v/>
      </c>
      <c r="C41894" t="inlineStr">
        <is>
          <t>2014-08-19</t>
        </is>
      </c>
    </row>
    <row r="41895">
      <c r="A41895" s="1" t="n">
        <v>41894</v>
      </c>
      <c r="B41895">
        <f>TEXT(41894, "[$-0E0000]yyyy-mm-dd")</f>
        <v/>
      </c>
      <c r="C41895" t="inlineStr">
        <is>
          <t>2014-08-20</t>
        </is>
      </c>
    </row>
    <row r="41896">
      <c r="A41896" s="1" t="n">
        <v>41895</v>
      </c>
      <c r="B41896">
        <f>TEXT(41895, "[$-0E0000]yyyy-mm-dd")</f>
        <v/>
      </c>
      <c r="C41896" t="inlineStr">
        <is>
          <t>2014-08-21</t>
        </is>
      </c>
    </row>
    <row r="41897">
      <c r="A41897" s="1" t="n">
        <v>41896</v>
      </c>
      <c r="B41897">
        <f>TEXT(41896, "[$-0E0000]yyyy-mm-dd")</f>
        <v/>
      </c>
      <c r="C41897" t="inlineStr">
        <is>
          <t>2014-08-22</t>
        </is>
      </c>
    </row>
    <row r="41898">
      <c r="A41898" s="1" t="n">
        <v>41897</v>
      </c>
      <c r="B41898">
        <f>TEXT(41897, "[$-0E0000]yyyy-mm-dd")</f>
        <v/>
      </c>
      <c r="C41898" t="inlineStr">
        <is>
          <t>2014-08-23</t>
        </is>
      </c>
    </row>
    <row r="41899">
      <c r="A41899" s="1" t="n">
        <v>41898</v>
      </c>
      <c r="B41899">
        <f>TEXT(41898, "[$-0E0000]yyyy-mm-dd")</f>
        <v/>
      </c>
      <c r="C41899" t="inlineStr">
        <is>
          <t>2014-08-24</t>
        </is>
      </c>
    </row>
    <row r="41900">
      <c r="A41900" s="1" t="n">
        <v>41899</v>
      </c>
      <c r="B41900">
        <f>TEXT(41899, "[$-0E0000]yyyy-mm-dd")</f>
        <v/>
      </c>
      <c r="C41900" t="inlineStr">
        <is>
          <t>2014-08-25</t>
        </is>
      </c>
    </row>
    <row r="41901">
      <c r="A41901" s="1" t="n">
        <v>41900</v>
      </c>
      <c r="B41901">
        <f>TEXT(41900, "[$-0E0000]yyyy-mm-dd")</f>
        <v/>
      </c>
      <c r="C41901" t="inlineStr">
        <is>
          <t>2014-08-26</t>
        </is>
      </c>
    </row>
    <row r="41902">
      <c r="A41902" s="1" t="n">
        <v>41901</v>
      </c>
      <c r="B41902">
        <f>TEXT(41901, "[$-0E0000]yyyy-mm-dd")</f>
        <v/>
      </c>
      <c r="C41902" t="inlineStr">
        <is>
          <t>2014-08-27</t>
        </is>
      </c>
    </row>
    <row r="41903">
      <c r="A41903" s="1" t="n">
        <v>41902</v>
      </c>
      <c r="B41903">
        <f>TEXT(41902, "[$-0E0000]yyyy-mm-dd")</f>
        <v/>
      </c>
      <c r="C41903" t="inlineStr">
        <is>
          <t>2014-08-28</t>
        </is>
      </c>
    </row>
    <row r="41904">
      <c r="A41904" s="1" t="n">
        <v>41903</v>
      </c>
      <c r="B41904">
        <f>TEXT(41903, "[$-0E0000]yyyy-mm-dd")</f>
        <v/>
      </c>
      <c r="C41904" t="inlineStr">
        <is>
          <t>2014-08-29</t>
        </is>
      </c>
    </row>
    <row r="41905">
      <c r="A41905" s="1" t="n">
        <v>41904</v>
      </c>
      <c r="B41905">
        <f>TEXT(41904, "[$-0E0000]yyyy-mm-dd")</f>
        <v/>
      </c>
      <c r="C41905" t="inlineStr">
        <is>
          <t>2014-08-30</t>
        </is>
      </c>
    </row>
    <row r="41906">
      <c r="A41906" s="1" t="n">
        <v>41905</v>
      </c>
      <c r="B41906">
        <f>TEXT(41905, "[$-0E0000]yyyy-mm-dd")</f>
        <v/>
      </c>
      <c r="C41906" t="inlineStr">
        <is>
          <t>2014-09-01</t>
        </is>
      </c>
    </row>
    <row r="41907">
      <c r="A41907" s="1" t="n">
        <v>41906</v>
      </c>
      <c r="B41907">
        <f>TEXT(41906, "[$-0E0000]yyyy-mm-dd")</f>
        <v/>
      </c>
      <c r="C41907" t="inlineStr">
        <is>
          <t>2014-09-02</t>
        </is>
      </c>
    </row>
    <row r="41908">
      <c r="A41908" s="1" t="n">
        <v>41907</v>
      </c>
      <c r="B41908">
        <f>TEXT(41907, "[$-0E0000]yyyy-mm-dd")</f>
        <v/>
      </c>
      <c r="C41908" t="inlineStr">
        <is>
          <t>2014-09-03</t>
        </is>
      </c>
    </row>
    <row r="41909">
      <c r="A41909" s="1" t="n">
        <v>41908</v>
      </c>
      <c r="B41909">
        <f>TEXT(41908, "[$-0E0000]yyyy-mm-dd")</f>
        <v/>
      </c>
      <c r="C41909" t="inlineStr">
        <is>
          <t>2014-09-04</t>
        </is>
      </c>
    </row>
    <row r="41910">
      <c r="A41910" s="1" t="n">
        <v>41909</v>
      </c>
      <c r="B41910">
        <f>TEXT(41909, "[$-0E0000]yyyy-mm-dd")</f>
        <v/>
      </c>
      <c r="C41910" t="inlineStr">
        <is>
          <t>2014-09-05</t>
        </is>
      </c>
    </row>
    <row r="41911">
      <c r="A41911" s="1" t="n">
        <v>41910</v>
      </c>
      <c r="B41911">
        <f>TEXT(41910, "[$-0E0000]yyyy-mm-dd")</f>
        <v/>
      </c>
      <c r="C41911" t="inlineStr">
        <is>
          <t>2014-09-06</t>
        </is>
      </c>
    </row>
    <row r="41912">
      <c r="A41912" s="1" t="n">
        <v>41911</v>
      </c>
      <c r="B41912">
        <f>TEXT(41911, "[$-0E0000]yyyy-mm-dd")</f>
        <v/>
      </c>
      <c r="C41912" t="inlineStr">
        <is>
          <t>2014-09-07</t>
        </is>
      </c>
    </row>
    <row r="41913">
      <c r="A41913" s="1" t="n">
        <v>41912</v>
      </c>
      <c r="B41913">
        <f>TEXT(41912, "[$-0E0000]yyyy-mm-dd")</f>
        <v/>
      </c>
      <c r="C41913" t="inlineStr">
        <is>
          <t>2014-09-08</t>
        </is>
      </c>
    </row>
    <row r="41914">
      <c r="A41914" s="1" t="n">
        <v>41913</v>
      </c>
      <c r="B41914">
        <f>TEXT(41913, "[$-0E0000]yyyy-mm-dd")</f>
        <v/>
      </c>
      <c r="C41914" t="inlineStr">
        <is>
          <t>2014-09-09</t>
        </is>
      </c>
    </row>
    <row r="41915">
      <c r="A41915" s="1" t="n">
        <v>41914</v>
      </c>
      <c r="B41915">
        <f>TEXT(41914, "[$-0E0000]yyyy-mm-dd")</f>
        <v/>
      </c>
      <c r="C41915" t="inlineStr">
        <is>
          <t>2014-09-10</t>
        </is>
      </c>
    </row>
    <row r="41916">
      <c r="A41916" s="1" t="n">
        <v>41915</v>
      </c>
      <c r="B41916">
        <f>TEXT(41915, "[$-0E0000]yyyy-mm-dd")</f>
        <v/>
      </c>
      <c r="C41916" t="inlineStr">
        <is>
          <t>2014-09-11</t>
        </is>
      </c>
    </row>
    <row r="41917">
      <c r="A41917" s="1" t="n">
        <v>41916</v>
      </c>
      <c r="B41917">
        <f>TEXT(41916, "[$-0E0000]yyyy-mm-dd")</f>
        <v/>
      </c>
      <c r="C41917" t="inlineStr">
        <is>
          <t>2014-09-12</t>
        </is>
      </c>
    </row>
    <row r="41918">
      <c r="A41918" s="1" t="n">
        <v>41917</v>
      </c>
      <c r="B41918">
        <f>TEXT(41917, "[$-0E0000]yyyy-mm-dd")</f>
        <v/>
      </c>
      <c r="C41918" t="inlineStr">
        <is>
          <t>2014-09-13</t>
        </is>
      </c>
    </row>
    <row r="41919">
      <c r="A41919" s="1" t="n">
        <v>41918</v>
      </c>
      <c r="B41919">
        <f>TEXT(41918, "[$-0E0000]yyyy-mm-dd")</f>
        <v/>
      </c>
      <c r="C41919" t="inlineStr">
        <is>
          <t>2014-09-14</t>
        </is>
      </c>
    </row>
    <row r="41920">
      <c r="A41920" s="1" t="n">
        <v>41919</v>
      </c>
      <c r="B41920">
        <f>TEXT(41919, "[$-0E0000]yyyy-mm-dd")</f>
        <v/>
      </c>
      <c r="C41920" t="inlineStr">
        <is>
          <t>2014-09-15</t>
        </is>
      </c>
    </row>
    <row r="41921">
      <c r="A41921" s="1" t="n">
        <v>41920</v>
      </c>
      <c r="B41921">
        <f>TEXT(41920, "[$-0E0000]yyyy-mm-dd")</f>
        <v/>
      </c>
      <c r="C41921" t="inlineStr">
        <is>
          <t>2014-09-16</t>
        </is>
      </c>
    </row>
    <row r="41922">
      <c r="A41922" s="1" t="n">
        <v>41921</v>
      </c>
      <c r="B41922">
        <f>TEXT(41921, "[$-0E0000]yyyy-mm-dd")</f>
        <v/>
      </c>
      <c r="C41922" t="inlineStr">
        <is>
          <t>2014-09-17</t>
        </is>
      </c>
    </row>
    <row r="41923">
      <c r="A41923" s="1" t="n">
        <v>41922</v>
      </c>
      <c r="B41923">
        <f>TEXT(41922, "[$-0E0000]yyyy-mm-dd")</f>
        <v/>
      </c>
      <c r="C41923" t="inlineStr">
        <is>
          <t>2014-09-18</t>
        </is>
      </c>
    </row>
    <row r="41924">
      <c r="A41924" s="1" t="n">
        <v>41923</v>
      </c>
      <c r="B41924">
        <f>TEXT(41923, "[$-0E0000]yyyy-mm-dd")</f>
        <v/>
      </c>
      <c r="C41924" t="inlineStr">
        <is>
          <t>2014-09-19</t>
        </is>
      </c>
    </row>
    <row r="41925">
      <c r="A41925" s="1" t="n">
        <v>41924</v>
      </c>
      <c r="B41925">
        <f>TEXT(41924, "[$-0E0000]yyyy-mm-dd")</f>
        <v/>
      </c>
      <c r="C41925" t="inlineStr">
        <is>
          <t>2014-09-20</t>
        </is>
      </c>
    </row>
    <row r="41926">
      <c r="A41926" s="1" t="n">
        <v>41925</v>
      </c>
      <c r="B41926">
        <f>TEXT(41925, "[$-0E0000]yyyy-mm-dd")</f>
        <v/>
      </c>
      <c r="C41926" t="inlineStr">
        <is>
          <t>2014-09-21</t>
        </is>
      </c>
    </row>
    <row r="41927">
      <c r="A41927" s="1" t="n">
        <v>41926</v>
      </c>
      <c r="B41927">
        <f>TEXT(41926, "[$-0E0000]yyyy-mm-dd")</f>
        <v/>
      </c>
      <c r="C41927" t="inlineStr">
        <is>
          <t>2014-09-22</t>
        </is>
      </c>
    </row>
    <row r="41928">
      <c r="A41928" s="1" t="n">
        <v>41927</v>
      </c>
      <c r="B41928">
        <f>TEXT(41927, "[$-0E0000]yyyy-mm-dd")</f>
        <v/>
      </c>
      <c r="C41928" t="inlineStr">
        <is>
          <t>2014-09-23</t>
        </is>
      </c>
    </row>
    <row r="41929">
      <c r="A41929" s="1" t="n">
        <v>41928</v>
      </c>
      <c r="B41929">
        <f>TEXT(41928, "[$-0E0000]yyyy-mm-dd")</f>
        <v/>
      </c>
      <c r="C41929" t="inlineStr">
        <is>
          <t>2014-09-24</t>
        </is>
      </c>
    </row>
    <row r="41930">
      <c r="A41930" s="1" t="n">
        <v>41929</v>
      </c>
      <c r="B41930">
        <f>TEXT(41929, "[$-0E0000]yyyy-mm-dd")</f>
        <v/>
      </c>
      <c r="C41930" t="inlineStr">
        <is>
          <t>2014-09-25</t>
        </is>
      </c>
    </row>
    <row r="41931">
      <c r="A41931" s="1" t="n">
        <v>41930</v>
      </c>
      <c r="B41931">
        <f>TEXT(41930, "[$-0E0000]yyyy-mm-dd")</f>
        <v/>
      </c>
      <c r="C41931" t="inlineStr">
        <is>
          <t>2014-09-26</t>
        </is>
      </c>
    </row>
    <row r="41932">
      <c r="A41932" s="1" t="n">
        <v>41931</v>
      </c>
      <c r="B41932">
        <f>TEXT(41931, "[$-0E0000]yyyy-mm-dd")</f>
        <v/>
      </c>
      <c r="C41932" t="inlineStr">
        <is>
          <t>2014-09-27</t>
        </is>
      </c>
    </row>
    <row r="41933">
      <c r="A41933" s="1" t="n">
        <v>41932</v>
      </c>
      <c r="B41933">
        <f>TEXT(41932, "[$-0E0000]yyyy-mm-dd")</f>
        <v/>
      </c>
      <c r="C41933" t="inlineStr">
        <is>
          <t>2014-09-28</t>
        </is>
      </c>
    </row>
    <row r="41934">
      <c r="A41934" s="1" t="n">
        <v>41933</v>
      </c>
      <c r="B41934">
        <f>TEXT(41933, "[$-0E0000]yyyy-mm-dd")</f>
        <v/>
      </c>
      <c r="C41934" t="inlineStr">
        <is>
          <t>2014-09-29</t>
        </is>
      </c>
    </row>
    <row r="41935">
      <c r="A41935" s="1" t="n">
        <v>41934</v>
      </c>
      <c r="B41935">
        <f>TEXT(41934, "[$-0E0000]yyyy-mm-dd")</f>
        <v/>
      </c>
      <c r="C41935" t="inlineStr">
        <is>
          <t>2014-09-30</t>
        </is>
      </c>
    </row>
    <row r="41936">
      <c r="A41936" s="1" t="n">
        <v>41935</v>
      </c>
      <c r="B41936">
        <f>TEXT(41935, "[$-0E0000]yyyy-mm-dd")</f>
        <v/>
      </c>
      <c r="C41936" t="inlineStr">
        <is>
          <t>2014-09-01</t>
        </is>
      </c>
    </row>
    <row r="41937">
      <c r="A41937" s="1" t="n">
        <v>41936</v>
      </c>
      <c r="B41937">
        <f>TEXT(41936, "[$-0E0000]yyyy-mm-dd")</f>
        <v/>
      </c>
      <c r="C41937" t="inlineStr">
        <is>
          <t>2014-09-02</t>
        </is>
      </c>
    </row>
    <row r="41938">
      <c r="A41938" s="1" t="n">
        <v>41937</v>
      </c>
      <c r="B41938">
        <f>TEXT(41937, "[$-0E0000]yyyy-mm-dd")</f>
        <v/>
      </c>
      <c r="C41938" t="inlineStr">
        <is>
          <t>2014-09-03</t>
        </is>
      </c>
    </row>
    <row r="41939">
      <c r="A41939" s="1" t="n">
        <v>41938</v>
      </c>
      <c r="B41939">
        <f>TEXT(41938, "[$-0E0000]yyyy-mm-dd")</f>
        <v/>
      </c>
      <c r="C41939" t="inlineStr">
        <is>
          <t>2014-09-04</t>
        </is>
      </c>
    </row>
    <row r="41940">
      <c r="A41940" s="1" t="n">
        <v>41939</v>
      </c>
      <c r="B41940">
        <f>TEXT(41939, "[$-0E0000]yyyy-mm-dd")</f>
        <v/>
      </c>
      <c r="C41940" t="inlineStr">
        <is>
          <t>2014-09-05</t>
        </is>
      </c>
    </row>
    <row r="41941">
      <c r="A41941" s="1" t="n">
        <v>41940</v>
      </c>
      <c r="B41941">
        <f>TEXT(41940, "[$-0E0000]yyyy-mm-dd")</f>
        <v/>
      </c>
      <c r="C41941" t="inlineStr">
        <is>
          <t>2014-09-06</t>
        </is>
      </c>
    </row>
    <row r="41942">
      <c r="A41942" s="1" t="n">
        <v>41941</v>
      </c>
      <c r="B41942">
        <f>TEXT(41941, "[$-0E0000]yyyy-mm-dd")</f>
        <v/>
      </c>
      <c r="C41942" t="inlineStr">
        <is>
          <t>2014-09-07</t>
        </is>
      </c>
    </row>
    <row r="41943">
      <c r="A41943" s="1" t="n">
        <v>41942</v>
      </c>
      <c r="B41943">
        <f>TEXT(41942, "[$-0E0000]yyyy-mm-dd")</f>
        <v/>
      </c>
      <c r="C41943" t="inlineStr">
        <is>
          <t>2014-09-08</t>
        </is>
      </c>
    </row>
    <row r="41944">
      <c r="A41944" s="1" t="n">
        <v>41943</v>
      </c>
      <c r="B41944">
        <f>TEXT(41943, "[$-0E0000]yyyy-mm-dd")</f>
        <v/>
      </c>
      <c r="C41944" t="inlineStr">
        <is>
          <t>2014-09-09</t>
        </is>
      </c>
    </row>
    <row r="41945">
      <c r="A41945" s="1" t="n">
        <v>41944</v>
      </c>
      <c r="B41945">
        <f>TEXT(41944, "[$-0E0000]yyyy-mm-dd")</f>
        <v/>
      </c>
      <c r="C41945" t="inlineStr">
        <is>
          <t>2014-09-10</t>
        </is>
      </c>
    </row>
    <row r="41946">
      <c r="A41946" s="1" t="n">
        <v>41945</v>
      </c>
      <c r="B41946">
        <f>TEXT(41945, "[$-0E0000]yyyy-mm-dd")</f>
        <v/>
      </c>
      <c r="C41946" t="inlineStr">
        <is>
          <t>2014-09-11</t>
        </is>
      </c>
    </row>
    <row r="41947">
      <c r="A41947" s="1" t="n">
        <v>41946</v>
      </c>
      <c r="B41947">
        <f>TEXT(41946, "[$-0E0000]yyyy-mm-dd")</f>
        <v/>
      </c>
      <c r="C41947" t="inlineStr">
        <is>
          <t>2014-09-12</t>
        </is>
      </c>
    </row>
    <row r="41948">
      <c r="A41948" s="1" t="n">
        <v>41947</v>
      </c>
      <c r="B41948">
        <f>TEXT(41947, "[$-0E0000]yyyy-mm-dd")</f>
        <v/>
      </c>
      <c r="C41948" t="inlineStr">
        <is>
          <t>2014-09-13</t>
        </is>
      </c>
    </row>
    <row r="41949">
      <c r="A41949" s="1" t="n">
        <v>41948</v>
      </c>
      <c r="B41949">
        <f>TEXT(41948, "[$-0E0000]yyyy-mm-dd")</f>
        <v/>
      </c>
      <c r="C41949" t="inlineStr">
        <is>
          <t>2014-09-14</t>
        </is>
      </c>
    </row>
    <row r="41950">
      <c r="A41950" s="1" t="n">
        <v>41949</v>
      </c>
      <c r="B41950">
        <f>TEXT(41949, "[$-0E0000]yyyy-mm-dd")</f>
        <v/>
      </c>
      <c r="C41950" t="inlineStr">
        <is>
          <t>2014-09-15</t>
        </is>
      </c>
    </row>
    <row r="41951">
      <c r="A41951" s="1" t="n">
        <v>41950</v>
      </c>
      <c r="B41951">
        <f>TEXT(41950, "[$-0E0000]yyyy-mm-dd")</f>
        <v/>
      </c>
      <c r="C41951" t="inlineStr">
        <is>
          <t>2014-09-16</t>
        </is>
      </c>
    </row>
    <row r="41952">
      <c r="A41952" s="1" t="n">
        <v>41951</v>
      </c>
      <c r="B41952">
        <f>TEXT(41951, "[$-0E0000]yyyy-mm-dd")</f>
        <v/>
      </c>
      <c r="C41952" t="inlineStr">
        <is>
          <t>2014-09-17</t>
        </is>
      </c>
    </row>
    <row r="41953">
      <c r="A41953" s="1" t="n">
        <v>41952</v>
      </c>
      <c r="B41953">
        <f>TEXT(41952, "[$-0E0000]yyyy-mm-dd")</f>
        <v/>
      </c>
      <c r="C41953" t="inlineStr">
        <is>
          <t>2014-09-18</t>
        </is>
      </c>
    </row>
    <row r="41954">
      <c r="A41954" s="1" t="n">
        <v>41953</v>
      </c>
      <c r="B41954">
        <f>TEXT(41953, "[$-0E0000]yyyy-mm-dd")</f>
        <v/>
      </c>
      <c r="C41954" t="inlineStr">
        <is>
          <t>2014-09-19</t>
        </is>
      </c>
    </row>
    <row r="41955">
      <c r="A41955" s="1" t="n">
        <v>41954</v>
      </c>
      <c r="B41955">
        <f>TEXT(41954, "[$-0E0000]yyyy-mm-dd")</f>
        <v/>
      </c>
      <c r="C41955" t="inlineStr">
        <is>
          <t>2014-09-20</t>
        </is>
      </c>
    </row>
    <row r="41956">
      <c r="A41956" s="1" t="n">
        <v>41955</v>
      </c>
      <c r="B41956">
        <f>TEXT(41955, "[$-0E0000]yyyy-mm-dd")</f>
        <v/>
      </c>
      <c r="C41956" t="inlineStr">
        <is>
          <t>2014-09-21</t>
        </is>
      </c>
    </row>
    <row r="41957">
      <c r="A41957" s="1" t="n">
        <v>41956</v>
      </c>
      <c r="B41957">
        <f>TEXT(41956, "[$-0E0000]yyyy-mm-dd")</f>
        <v/>
      </c>
      <c r="C41957" t="inlineStr">
        <is>
          <t>2014-09-22</t>
        </is>
      </c>
    </row>
    <row r="41958">
      <c r="A41958" s="1" t="n">
        <v>41957</v>
      </c>
      <c r="B41958">
        <f>TEXT(41957, "[$-0E0000]yyyy-mm-dd")</f>
        <v/>
      </c>
      <c r="C41958" t="inlineStr">
        <is>
          <t>2014-09-23</t>
        </is>
      </c>
    </row>
    <row r="41959">
      <c r="A41959" s="1" t="n">
        <v>41958</v>
      </c>
      <c r="B41959">
        <f>TEXT(41958, "[$-0E0000]yyyy-mm-dd")</f>
        <v/>
      </c>
      <c r="C41959" t="inlineStr">
        <is>
          <t>2014-09-24</t>
        </is>
      </c>
    </row>
    <row r="41960">
      <c r="A41960" s="1" t="n">
        <v>41959</v>
      </c>
      <c r="B41960">
        <f>TEXT(41959, "[$-0E0000]yyyy-mm-dd")</f>
        <v/>
      </c>
      <c r="C41960" t="inlineStr">
        <is>
          <t>2014-09-25</t>
        </is>
      </c>
    </row>
    <row r="41961">
      <c r="A41961" s="1" t="n">
        <v>41960</v>
      </c>
      <c r="B41961">
        <f>TEXT(41960, "[$-0E0000]yyyy-mm-dd")</f>
        <v/>
      </c>
      <c r="C41961" t="inlineStr">
        <is>
          <t>2014-09-26</t>
        </is>
      </c>
    </row>
    <row r="41962">
      <c r="A41962" s="1" t="n">
        <v>41961</v>
      </c>
      <c r="B41962">
        <f>TEXT(41961, "[$-0E0000]yyyy-mm-dd")</f>
        <v/>
      </c>
      <c r="C41962" t="inlineStr">
        <is>
          <t>2014-09-27</t>
        </is>
      </c>
    </row>
    <row r="41963">
      <c r="A41963" s="1" t="n">
        <v>41962</v>
      </c>
      <c r="B41963">
        <f>TEXT(41962, "[$-0E0000]yyyy-mm-dd")</f>
        <v/>
      </c>
      <c r="C41963" t="inlineStr">
        <is>
          <t>2014-09-28</t>
        </is>
      </c>
    </row>
    <row r="41964">
      <c r="A41964" s="1" t="n">
        <v>41963</v>
      </c>
      <c r="B41964">
        <f>TEXT(41963, "[$-0E0000]yyyy-mm-dd")</f>
        <v/>
      </c>
      <c r="C41964" t="inlineStr">
        <is>
          <t>2014-09-29</t>
        </is>
      </c>
    </row>
    <row r="41965">
      <c r="A41965" s="1" t="n">
        <v>41964</v>
      </c>
      <c r="B41965">
        <f>TEXT(41964, "[$-0E0000]yyyy-mm-dd")</f>
        <v/>
      </c>
      <c r="C41965" t="inlineStr">
        <is>
          <t>2014-10-01</t>
        </is>
      </c>
    </row>
    <row r="41966">
      <c r="A41966" s="1" t="n">
        <v>41965</v>
      </c>
      <c r="B41966">
        <f>TEXT(41965, "[$-0E0000]yyyy-mm-dd")</f>
        <v/>
      </c>
      <c r="C41966" t="inlineStr">
        <is>
          <t>2014-10-02</t>
        </is>
      </c>
    </row>
    <row r="41967">
      <c r="A41967" s="1" t="n">
        <v>41966</v>
      </c>
      <c r="B41967">
        <f>TEXT(41966, "[$-0E0000]yyyy-mm-dd")</f>
        <v/>
      </c>
      <c r="C41967" t="inlineStr">
        <is>
          <t>2014-10-03</t>
        </is>
      </c>
    </row>
    <row r="41968">
      <c r="A41968" s="1" t="n">
        <v>41967</v>
      </c>
      <c r="B41968">
        <f>TEXT(41967, "[$-0E0000]yyyy-mm-dd")</f>
        <v/>
      </c>
      <c r="C41968" t="inlineStr">
        <is>
          <t>2014-10-04</t>
        </is>
      </c>
    </row>
    <row r="41969">
      <c r="A41969" s="1" t="n">
        <v>41968</v>
      </c>
      <c r="B41969">
        <f>TEXT(41968, "[$-0E0000]yyyy-mm-dd")</f>
        <v/>
      </c>
      <c r="C41969" t="inlineStr">
        <is>
          <t>2014-10-05</t>
        </is>
      </c>
    </row>
    <row r="41970">
      <c r="A41970" s="1" t="n">
        <v>41969</v>
      </c>
      <c r="B41970">
        <f>TEXT(41969, "[$-0E0000]yyyy-mm-dd")</f>
        <v/>
      </c>
      <c r="C41970" t="inlineStr">
        <is>
          <t>2014-10-06</t>
        </is>
      </c>
    </row>
    <row r="41971">
      <c r="A41971" s="1" t="n">
        <v>41970</v>
      </c>
      <c r="B41971">
        <f>TEXT(41970, "[$-0E0000]yyyy-mm-dd")</f>
        <v/>
      </c>
      <c r="C41971" t="inlineStr">
        <is>
          <t>2014-10-07</t>
        </is>
      </c>
    </row>
    <row r="41972">
      <c r="A41972" s="1" t="n">
        <v>41971</v>
      </c>
      <c r="B41972">
        <f>TEXT(41971, "[$-0E0000]yyyy-mm-dd")</f>
        <v/>
      </c>
      <c r="C41972" t="inlineStr">
        <is>
          <t>2014-10-08</t>
        </is>
      </c>
    </row>
    <row r="41973">
      <c r="A41973" s="1" t="n">
        <v>41972</v>
      </c>
      <c r="B41973">
        <f>TEXT(41972, "[$-0E0000]yyyy-mm-dd")</f>
        <v/>
      </c>
      <c r="C41973" t="inlineStr">
        <is>
          <t>2014-10-09</t>
        </is>
      </c>
    </row>
    <row r="41974">
      <c r="A41974" s="1" t="n">
        <v>41973</v>
      </c>
      <c r="B41974">
        <f>TEXT(41973, "[$-0E0000]yyyy-mm-dd")</f>
        <v/>
      </c>
      <c r="C41974" t="inlineStr">
        <is>
          <t>2014-10-10</t>
        </is>
      </c>
    </row>
    <row r="41975">
      <c r="A41975" s="1" t="n">
        <v>41974</v>
      </c>
      <c r="B41975">
        <f>TEXT(41974, "[$-0E0000]yyyy-mm-dd")</f>
        <v/>
      </c>
      <c r="C41975" t="inlineStr">
        <is>
          <t>2014-10-11</t>
        </is>
      </c>
    </row>
    <row r="41976">
      <c r="A41976" s="1" t="n">
        <v>41975</v>
      </c>
      <c r="B41976">
        <f>TEXT(41975, "[$-0E0000]yyyy-mm-dd")</f>
        <v/>
      </c>
      <c r="C41976" t="inlineStr">
        <is>
          <t>2014-10-12</t>
        </is>
      </c>
    </row>
    <row r="41977">
      <c r="A41977" s="1" t="n">
        <v>41976</v>
      </c>
      <c r="B41977">
        <f>TEXT(41976, "[$-0E0000]yyyy-mm-dd")</f>
        <v/>
      </c>
      <c r="C41977" t="inlineStr">
        <is>
          <t>2014-10-13</t>
        </is>
      </c>
    </row>
    <row r="41978">
      <c r="A41978" s="1" t="n">
        <v>41977</v>
      </c>
      <c r="B41978">
        <f>TEXT(41977, "[$-0E0000]yyyy-mm-dd")</f>
        <v/>
      </c>
      <c r="C41978" t="inlineStr">
        <is>
          <t>2014-10-14</t>
        </is>
      </c>
    </row>
    <row r="41979">
      <c r="A41979" s="1" t="n">
        <v>41978</v>
      </c>
      <c r="B41979">
        <f>TEXT(41978, "[$-0E0000]yyyy-mm-dd")</f>
        <v/>
      </c>
      <c r="C41979" t="inlineStr">
        <is>
          <t>2014-10-15</t>
        </is>
      </c>
    </row>
    <row r="41980">
      <c r="A41980" s="1" t="n">
        <v>41979</v>
      </c>
      <c r="B41980">
        <f>TEXT(41979, "[$-0E0000]yyyy-mm-dd")</f>
        <v/>
      </c>
      <c r="C41980" t="inlineStr">
        <is>
          <t>2014-10-16</t>
        </is>
      </c>
    </row>
    <row r="41981">
      <c r="A41981" s="1" t="n">
        <v>41980</v>
      </c>
      <c r="B41981">
        <f>TEXT(41980, "[$-0E0000]yyyy-mm-dd")</f>
        <v/>
      </c>
      <c r="C41981" t="inlineStr">
        <is>
          <t>2014-10-17</t>
        </is>
      </c>
    </row>
    <row r="41982">
      <c r="A41982" s="1" t="n">
        <v>41981</v>
      </c>
      <c r="B41982">
        <f>TEXT(41981, "[$-0E0000]yyyy-mm-dd")</f>
        <v/>
      </c>
      <c r="C41982" t="inlineStr">
        <is>
          <t>2014-10-18</t>
        </is>
      </c>
    </row>
    <row r="41983">
      <c r="A41983" s="1" t="n">
        <v>41982</v>
      </c>
      <c r="B41983">
        <f>TEXT(41982, "[$-0E0000]yyyy-mm-dd")</f>
        <v/>
      </c>
      <c r="C41983" t="inlineStr">
        <is>
          <t>2014-10-19</t>
        </is>
      </c>
    </row>
    <row r="41984">
      <c r="A41984" s="1" t="n">
        <v>41983</v>
      </c>
      <c r="B41984">
        <f>TEXT(41983, "[$-0E0000]yyyy-mm-dd")</f>
        <v/>
      </c>
      <c r="C41984" t="inlineStr">
        <is>
          <t>2014-10-20</t>
        </is>
      </c>
    </row>
    <row r="41985">
      <c r="A41985" s="1" t="n">
        <v>41984</v>
      </c>
      <c r="B41985">
        <f>TEXT(41984, "[$-0E0000]yyyy-mm-dd")</f>
        <v/>
      </c>
      <c r="C41985" t="inlineStr">
        <is>
          <t>2014-10-21</t>
        </is>
      </c>
    </row>
    <row r="41986">
      <c r="A41986" s="1" t="n">
        <v>41985</v>
      </c>
      <c r="B41986">
        <f>TEXT(41985, "[$-0E0000]yyyy-mm-dd")</f>
        <v/>
      </c>
      <c r="C41986" t="inlineStr">
        <is>
          <t>2014-10-22</t>
        </is>
      </c>
    </row>
    <row r="41987">
      <c r="A41987" s="1" t="n">
        <v>41986</v>
      </c>
      <c r="B41987">
        <f>TEXT(41986, "[$-0E0000]yyyy-mm-dd")</f>
        <v/>
      </c>
      <c r="C41987" t="inlineStr">
        <is>
          <t>2014-10-23</t>
        </is>
      </c>
    </row>
    <row r="41988">
      <c r="A41988" s="1" t="n">
        <v>41987</v>
      </c>
      <c r="B41988">
        <f>TEXT(41987, "[$-0E0000]yyyy-mm-dd")</f>
        <v/>
      </c>
      <c r="C41988" t="inlineStr">
        <is>
          <t>2014-10-24</t>
        </is>
      </c>
    </row>
    <row r="41989">
      <c r="A41989" s="1" t="n">
        <v>41988</v>
      </c>
      <c r="B41989">
        <f>TEXT(41988, "[$-0E0000]yyyy-mm-dd")</f>
        <v/>
      </c>
      <c r="C41989" t="inlineStr">
        <is>
          <t>2014-10-25</t>
        </is>
      </c>
    </row>
    <row r="41990">
      <c r="A41990" s="1" t="n">
        <v>41989</v>
      </c>
      <c r="B41990">
        <f>TEXT(41989, "[$-0E0000]yyyy-mm-dd")</f>
        <v/>
      </c>
      <c r="C41990" t="inlineStr">
        <is>
          <t>2014-10-26</t>
        </is>
      </c>
    </row>
    <row r="41991">
      <c r="A41991" s="1" t="n">
        <v>41990</v>
      </c>
      <c r="B41991">
        <f>TEXT(41990, "[$-0E0000]yyyy-mm-dd")</f>
        <v/>
      </c>
      <c r="C41991" t="inlineStr">
        <is>
          <t>2014-10-27</t>
        </is>
      </c>
    </row>
    <row r="41992">
      <c r="A41992" s="1" t="n">
        <v>41991</v>
      </c>
      <c r="B41992">
        <f>TEXT(41991, "[$-0E0000]yyyy-mm-dd")</f>
        <v/>
      </c>
      <c r="C41992" t="inlineStr">
        <is>
          <t>2014-10-28</t>
        </is>
      </c>
    </row>
    <row r="41993">
      <c r="A41993" s="1" t="n">
        <v>41992</v>
      </c>
      <c r="B41993">
        <f>TEXT(41992, "[$-0E0000]yyyy-mm-dd")</f>
        <v/>
      </c>
      <c r="C41993" t="inlineStr">
        <is>
          <t>2014-10-29</t>
        </is>
      </c>
    </row>
    <row r="41994">
      <c r="A41994" s="1" t="n">
        <v>41993</v>
      </c>
      <c r="B41994">
        <f>TEXT(41993, "[$-0E0000]yyyy-mm-dd")</f>
        <v/>
      </c>
      <c r="C41994" t="inlineStr">
        <is>
          <t>2014-10-30</t>
        </is>
      </c>
    </row>
    <row r="41995">
      <c r="A41995" s="1" t="n">
        <v>41994</v>
      </c>
      <c r="B41995">
        <f>TEXT(41994, "[$-0E0000]yyyy-mm-dd")</f>
        <v/>
      </c>
      <c r="C41995" t="inlineStr">
        <is>
          <t>2014-11-01</t>
        </is>
      </c>
    </row>
    <row r="41996">
      <c r="A41996" s="1" t="n">
        <v>41995</v>
      </c>
      <c r="B41996">
        <f>TEXT(41995, "[$-0E0000]yyyy-mm-dd")</f>
        <v/>
      </c>
      <c r="C41996" t="inlineStr">
        <is>
          <t>2014-11-02</t>
        </is>
      </c>
    </row>
    <row r="41997">
      <c r="A41997" s="1" t="n">
        <v>41996</v>
      </c>
      <c r="B41997">
        <f>TEXT(41996, "[$-0E0000]yyyy-mm-dd")</f>
        <v/>
      </c>
      <c r="C41997" t="inlineStr">
        <is>
          <t>2014-11-03</t>
        </is>
      </c>
    </row>
    <row r="41998">
      <c r="A41998" s="1" t="n">
        <v>41997</v>
      </c>
      <c r="B41998">
        <f>TEXT(41997, "[$-0E0000]yyyy-mm-dd")</f>
        <v/>
      </c>
      <c r="C41998" t="inlineStr">
        <is>
          <t>2014-11-04</t>
        </is>
      </c>
    </row>
    <row r="41999">
      <c r="A41999" s="1" t="n">
        <v>41998</v>
      </c>
      <c r="B41999">
        <f>TEXT(41998, "[$-0E0000]yyyy-mm-dd")</f>
        <v/>
      </c>
      <c r="C41999" t="inlineStr">
        <is>
          <t>2014-11-05</t>
        </is>
      </c>
    </row>
    <row r="42000">
      <c r="A42000" s="1" t="n">
        <v>41999</v>
      </c>
      <c r="B42000">
        <f>TEXT(41999, "[$-0E0000]yyyy-mm-dd")</f>
        <v/>
      </c>
      <c r="C42000" t="inlineStr">
        <is>
          <t>2014-11-06</t>
        </is>
      </c>
    </row>
    <row r="42001">
      <c r="A42001" s="1" t="n">
        <v>42000</v>
      </c>
      <c r="B42001">
        <f>TEXT(42000, "[$-0E0000]yyyy-mm-dd")</f>
        <v/>
      </c>
      <c r="C42001" t="inlineStr">
        <is>
          <t>2014-11-07</t>
        </is>
      </c>
    </row>
    <row r="42002">
      <c r="A42002" s="1" t="n">
        <v>42001</v>
      </c>
      <c r="B42002">
        <f>TEXT(42001, "[$-0E0000]yyyy-mm-dd")</f>
        <v/>
      </c>
      <c r="C42002" t="inlineStr">
        <is>
          <t>2014-11-08</t>
        </is>
      </c>
    </row>
    <row r="42003">
      <c r="A42003" s="1" t="n">
        <v>42002</v>
      </c>
      <c r="B42003">
        <f>TEXT(42002, "[$-0E0000]yyyy-mm-dd")</f>
        <v/>
      </c>
      <c r="C42003" t="inlineStr">
        <is>
          <t>2014-11-09</t>
        </is>
      </c>
    </row>
    <row r="42004">
      <c r="A42004" s="1" t="n">
        <v>42003</v>
      </c>
      <c r="B42004">
        <f>TEXT(42003, "[$-0E0000]yyyy-mm-dd")</f>
        <v/>
      </c>
      <c r="C42004" t="inlineStr">
        <is>
          <t>2014-11-10</t>
        </is>
      </c>
    </row>
    <row r="42005">
      <c r="A42005" s="1" t="n">
        <v>42004</v>
      </c>
      <c r="B42005">
        <f>TEXT(42004, "[$-0E0000]yyyy-mm-dd")</f>
        <v/>
      </c>
      <c r="C42005" t="inlineStr">
        <is>
          <t>2014-11-11</t>
        </is>
      </c>
    </row>
    <row r="42006">
      <c r="A42006" s="1" t="n">
        <v>42005</v>
      </c>
      <c r="B42006">
        <f>TEXT(42005, "[$-0E0000]yyyy-mm-dd")</f>
        <v/>
      </c>
      <c r="C42006" t="inlineStr">
        <is>
          <t>2014-11-12</t>
        </is>
      </c>
    </row>
    <row r="42007">
      <c r="A42007" s="1" t="n">
        <v>42006</v>
      </c>
      <c r="B42007">
        <f>TEXT(42006, "[$-0E0000]yyyy-mm-dd")</f>
        <v/>
      </c>
      <c r="C42007" t="inlineStr">
        <is>
          <t>2014-11-13</t>
        </is>
      </c>
    </row>
    <row r="42008">
      <c r="A42008" s="1" t="n">
        <v>42007</v>
      </c>
      <c r="B42008">
        <f>TEXT(42007, "[$-0E0000]yyyy-mm-dd")</f>
        <v/>
      </c>
      <c r="C42008" t="inlineStr">
        <is>
          <t>2014-11-14</t>
        </is>
      </c>
    </row>
    <row r="42009">
      <c r="A42009" s="1" t="n">
        <v>42008</v>
      </c>
      <c r="B42009">
        <f>TEXT(42008, "[$-0E0000]yyyy-mm-dd")</f>
        <v/>
      </c>
      <c r="C42009" t="inlineStr">
        <is>
          <t>2014-11-15</t>
        </is>
      </c>
    </row>
    <row r="42010">
      <c r="A42010" s="1" t="n">
        <v>42009</v>
      </c>
      <c r="B42010">
        <f>TEXT(42009, "[$-0E0000]yyyy-mm-dd")</f>
        <v/>
      </c>
      <c r="C42010" t="inlineStr">
        <is>
          <t>2014-11-16</t>
        </is>
      </c>
    </row>
    <row r="42011">
      <c r="A42011" s="1" t="n">
        <v>42010</v>
      </c>
      <c r="B42011">
        <f>TEXT(42010, "[$-0E0000]yyyy-mm-dd")</f>
        <v/>
      </c>
      <c r="C42011" t="inlineStr">
        <is>
          <t>2014-11-17</t>
        </is>
      </c>
    </row>
    <row r="42012">
      <c r="A42012" s="1" t="n">
        <v>42011</v>
      </c>
      <c r="B42012">
        <f>TEXT(42011, "[$-0E0000]yyyy-mm-dd")</f>
        <v/>
      </c>
      <c r="C42012" t="inlineStr">
        <is>
          <t>2014-11-18</t>
        </is>
      </c>
    </row>
    <row r="42013">
      <c r="A42013" s="1" t="n">
        <v>42012</v>
      </c>
      <c r="B42013">
        <f>TEXT(42012, "[$-0E0000]yyyy-mm-dd")</f>
        <v/>
      </c>
      <c r="C42013" t="inlineStr">
        <is>
          <t>2014-11-19</t>
        </is>
      </c>
    </row>
    <row r="42014">
      <c r="A42014" s="1" t="n">
        <v>42013</v>
      </c>
      <c r="B42014">
        <f>TEXT(42013, "[$-0E0000]yyyy-mm-dd")</f>
        <v/>
      </c>
      <c r="C42014" t="inlineStr">
        <is>
          <t>2014-11-20</t>
        </is>
      </c>
    </row>
    <row r="42015">
      <c r="A42015" s="1" t="n">
        <v>42014</v>
      </c>
      <c r="B42015">
        <f>TEXT(42014, "[$-0E0000]yyyy-mm-dd")</f>
        <v/>
      </c>
      <c r="C42015" t="inlineStr">
        <is>
          <t>2014-11-21</t>
        </is>
      </c>
    </row>
    <row r="42016">
      <c r="A42016" s="1" t="n">
        <v>42015</v>
      </c>
      <c r="B42016">
        <f>TEXT(42015, "[$-0E0000]yyyy-mm-dd")</f>
        <v/>
      </c>
      <c r="C42016" t="inlineStr">
        <is>
          <t>2014-11-22</t>
        </is>
      </c>
    </row>
    <row r="42017">
      <c r="A42017" s="1" t="n">
        <v>42016</v>
      </c>
      <c r="B42017">
        <f>TEXT(42016, "[$-0E0000]yyyy-mm-dd")</f>
        <v/>
      </c>
      <c r="C42017" t="inlineStr">
        <is>
          <t>2014-11-23</t>
        </is>
      </c>
    </row>
    <row r="42018">
      <c r="A42018" s="1" t="n">
        <v>42017</v>
      </c>
      <c r="B42018">
        <f>TEXT(42017, "[$-0E0000]yyyy-mm-dd")</f>
        <v/>
      </c>
      <c r="C42018" t="inlineStr">
        <is>
          <t>2014-11-24</t>
        </is>
      </c>
    </row>
    <row r="42019">
      <c r="A42019" s="1" t="n">
        <v>42018</v>
      </c>
      <c r="B42019">
        <f>TEXT(42018, "[$-0E0000]yyyy-mm-dd")</f>
        <v/>
      </c>
      <c r="C42019" t="inlineStr">
        <is>
          <t>2014-11-25</t>
        </is>
      </c>
    </row>
    <row r="42020">
      <c r="A42020" s="1" t="n">
        <v>42019</v>
      </c>
      <c r="B42020">
        <f>TEXT(42019, "[$-0E0000]yyyy-mm-dd")</f>
        <v/>
      </c>
      <c r="C42020" t="inlineStr">
        <is>
          <t>2014-11-26</t>
        </is>
      </c>
    </row>
    <row r="42021">
      <c r="A42021" s="1" t="n">
        <v>42020</v>
      </c>
      <c r="B42021">
        <f>TEXT(42020, "[$-0E0000]yyyy-mm-dd")</f>
        <v/>
      </c>
      <c r="C42021" t="inlineStr">
        <is>
          <t>2014-11-27</t>
        </is>
      </c>
    </row>
    <row r="42022">
      <c r="A42022" s="1" t="n">
        <v>42021</v>
      </c>
      <c r="B42022">
        <f>TEXT(42021, "[$-0E0000]yyyy-mm-dd")</f>
        <v/>
      </c>
      <c r="C42022" t="inlineStr">
        <is>
          <t>2014-11-28</t>
        </is>
      </c>
    </row>
    <row r="42023">
      <c r="A42023" s="1" t="n">
        <v>42022</v>
      </c>
      <c r="B42023">
        <f>TEXT(42022, "[$-0E0000]yyyy-mm-dd")</f>
        <v/>
      </c>
      <c r="C42023" t="inlineStr">
        <is>
          <t>2014-11-29</t>
        </is>
      </c>
    </row>
    <row r="42024">
      <c r="A42024" s="1" t="n">
        <v>42023</v>
      </c>
      <c r="B42024">
        <f>TEXT(42023, "[$-0E0000]yyyy-mm-dd")</f>
        <v/>
      </c>
      <c r="C42024" t="inlineStr">
        <is>
          <t>2014-12-01</t>
        </is>
      </c>
    </row>
    <row r="42025">
      <c r="A42025" s="1" t="n">
        <v>42024</v>
      </c>
      <c r="B42025">
        <f>TEXT(42024, "[$-0E0000]yyyy-mm-dd")</f>
        <v/>
      </c>
      <c r="C42025" t="inlineStr">
        <is>
          <t>2014-12-02</t>
        </is>
      </c>
    </row>
    <row r="42026">
      <c r="A42026" s="1" t="n">
        <v>42025</v>
      </c>
      <c r="B42026">
        <f>TEXT(42025, "[$-0E0000]yyyy-mm-dd")</f>
        <v/>
      </c>
      <c r="C42026" t="inlineStr">
        <is>
          <t>2014-12-03</t>
        </is>
      </c>
    </row>
    <row r="42027">
      <c r="A42027" s="1" t="n">
        <v>42026</v>
      </c>
      <c r="B42027">
        <f>TEXT(42026, "[$-0E0000]yyyy-mm-dd")</f>
        <v/>
      </c>
      <c r="C42027" t="inlineStr">
        <is>
          <t>2014-12-04</t>
        </is>
      </c>
    </row>
    <row r="42028">
      <c r="A42028" s="1" t="n">
        <v>42027</v>
      </c>
      <c r="B42028">
        <f>TEXT(42027, "[$-0E0000]yyyy-mm-dd")</f>
        <v/>
      </c>
      <c r="C42028" t="inlineStr">
        <is>
          <t>2014-12-05</t>
        </is>
      </c>
    </row>
    <row r="42029">
      <c r="A42029" s="1" t="n">
        <v>42028</v>
      </c>
      <c r="B42029">
        <f>TEXT(42028, "[$-0E0000]yyyy-mm-dd")</f>
        <v/>
      </c>
      <c r="C42029" t="inlineStr">
        <is>
          <t>2014-12-06</t>
        </is>
      </c>
    </row>
    <row r="42030">
      <c r="A42030" s="1" t="n">
        <v>42029</v>
      </c>
      <c r="B42030">
        <f>TEXT(42029, "[$-0E0000]yyyy-mm-dd")</f>
        <v/>
      </c>
      <c r="C42030" t="inlineStr">
        <is>
          <t>2014-12-07</t>
        </is>
      </c>
    </row>
    <row r="42031">
      <c r="A42031" s="1" t="n">
        <v>42030</v>
      </c>
      <c r="B42031">
        <f>TEXT(42030, "[$-0E0000]yyyy-mm-dd")</f>
        <v/>
      </c>
      <c r="C42031" t="inlineStr">
        <is>
          <t>2014-12-08</t>
        </is>
      </c>
    </row>
    <row r="42032">
      <c r="A42032" s="1" t="n">
        <v>42031</v>
      </c>
      <c r="B42032">
        <f>TEXT(42031, "[$-0E0000]yyyy-mm-dd")</f>
        <v/>
      </c>
      <c r="C42032" t="inlineStr">
        <is>
          <t>2014-12-09</t>
        </is>
      </c>
    </row>
    <row r="42033">
      <c r="A42033" s="1" t="n">
        <v>42032</v>
      </c>
      <c r="B42033">
        <f>TEXT(42032, "[$-0E0000]yyyy-mm-dd")</f>
        <v/>
      </c>
      <c r="C42033" t="inlineStr">
        <is>
          <t>2014-12-10</t>
        </is>
      </c>
    </row>
    <row r="42034">
      <c r="A42034" s="1" t="n">
        <v>42033</v>
      </c>
      <c r="B42034">
        <f>TEXT(42033, "[$-0E0000]yyyy-mm-dd")</f>
        <v/>
      </c>
      <c r="C42034" t="inlineStr">
        <is>
          <t>2014-12-11</t>
        </is>
      </c>
    </row>
    <row r="42035">
      <c r="A42035" s="1" t="n">
        <v>42034</v>
      </c>
      <c r="B42035">
        <f>TEXT(42034, "[$-0E0000]yyyy-mm-dd")</f>
        <v/>
      </c>
      <c r="C42035" t="inlineStr">
        <is>
          <t>2014-12-12</t>
        </is>
      </c>
    </row>
    <row r="42036">
      <c r="A42036" s="1" t="n">
        <v>42035</v>
      </c>
      <c r="B42036">
        <f>TEXT(42035, "[$-0E0000]yyyy-mm-dd")</f>
        <v/>
      </c>
      <c r="C42036" t="inlineStr">
        <is>
          <t>2014-12-13</t>
        </is>
      </c>
    </row>
    <row r="42037">
      <c r="A42037" s="1" t="n">
        <v>42036</v>
      </c>
      <c r="B42037">
        <f>TEXT(42036, "[$-0E0000]yyyy-mm-dd")</f>
        <v/>
      </c>
      <c r="C42037" t="inlineStr">
        <is>
          <t>2014-12-14</t>
        </is>
      </c>
    </row>
    <row r="42038">
      <c r="A42038" s="1" t="n">
        <v>42037</v>
      </c>
      <c r="B42038">
        <f>TEXT(42037, "[$-0E0000]yyyy-mm-dd")</f>
        <v/>
      </c>
      <c r="C42038" t="inlineStr">
        <is>
          <t>2014-12-15</t>
        </is>
      </c>
    </row>
    <row r="42039">
      <c r="A42039" s="1" t="n">
        <v>42038</v>
      </c>
      <c r="B42039">
        <f>TEXT(42038, "[$-0E0000]yyyy-mm-dd")</f>
        <v/>
      </c>
      <c r="C42039" t="inlineStr">
        <is>
          <t>2014-12-16</t>
        </is>
      </c>
    </row>
    <row r="42040">
      <c r="A42040" s="1" t="n">
        <v>42039</v>
      </c>
      <c r="B42040">
        <f>TEXT(42039, "[$-0E0000]yyyy-mm-dd")</f>
        <v/>
      </c>
      <c r="C42040" t="inlineStr">
        <is>
          <t>2014-12-17</t>
        </is>
      </c>
    </row>
    <row r="42041">
      <c r="A42041" s="1" t="n">
        <v>42040</v>
      </c>
      <c r="B42041">
        <f>TEXT(42040, "[$-0E0000]yyyy-mm-dd")</f>
        <v/>
      </c>
      <c r="C42041" t="inlineStr">
        <is>
          <t>2014-12-18</t>
        </is>
      </c>
    </row>
    <row r="42042">
      <c r="A42042" s="1" t="n">
        <v>42041</v>
      </c>
      <c r="B42042">
        <f>TEXT(42041, "[$-0E0000]yyyy-mm-dd")</f>
        <v/>
      </c>
      <c r="C42042" t="inlineStr">
        <is>
          <t>2014-12-19</t>
        </is>
      </c>
    </row>
    <row r="42043">
      <c r="A42043" s="1" t="n">
        <v>42042</v>
      </c>
      <c r="B42043">
        <f>TEXT(42042, "[$-0E0000]yyyy-mm-dd")</f>
        <v/>
      </c>
      <c r="C42043" t="inlineStr">
        <is>
          <t>2014-12-20</t>
        </is>
      </c>
    </row>
    <row r="42044">
      <c r="A42044" s="1" t="n">
        <v>42043</v>
      </c>
      <c r="B42044">
        <f>TEXT(42043, "[$-0E0000]yyyy-mm-dd")</f>
        <v/>
      </c>
      <c r="C42044" t="inlineStr">
        <is>
          <t>2014-12-21</t>
        </is>
      </c>
    </row>
    <row r="42045">
      <c r="A42045" s="1" t="n">
        <v>42044</v>
      </c>
      <c r="B42045">
        <f>TEXT(42044, "[$-0E0000]yyyy-mm-dd")</f>
        <v/>
      </c>
      <c r="C42045" t="inlineStr">
        <is>
          <t>2014-12-22</t>
        </is>
      </c>
    </row>
    <row r="42046">
      <c r="A42046" s="1" t="n">
        <v>42045</v>
      </c>
      <c r="B42046">
        <f>TEXT(42045, "[$-0E0000]yyyy-mm-dd")</f>
        <v/>
      </c>
      <c r="C42046" t="inlineStr">
        <is>
          <t>2014-12-23</t>
        </is>
      </c>
    </row>
    <row r="42047">
      <c r="A42047" s="1" t="n">
        <v>42046</v>
      </c>
      <c r="B42047">
        <f>TEXT(42046, "[$-0E0000]yyyy-mm-dd")</f>
        <v/>
      </c>
      <c r="C42047" t="inlineStr">
        <is>
          <t>2014-12-24</t>
        </is>
      </c>
    </row>
    <row r="42048">
      <c r="A42048" s="1" t="n">
        <v>42047</v>
      </c>
      <c r="B42048">
        <f>TEXT(42047, "[$-0E0000]yyyy-mm-dd")</f>
        <v/>
      </c>
      <c r="C42048" t="inlineStr">
        <is>
          <t>2014-12-25</t>
        </is>
      </c>
    </row>
    <row r="42049">
      <c r="A42049" s="1" t="n">
        <v>42048</v>
      </c>
      <c r="B42049">
        <f>TEXT(42048, "[$-0E0000]yyyy-mm-dd")</f>
        <v/>
      </c>
      <c r="C42049" t="inlineStr">
        <is>
          <t>2014-12-26</t>
        </is>
      </c>
    </row>
    <row r="42050">
      <c r="A42050" s="1" t="n">
        <v>42049</v>
      </c>
      <c r="B42050">
        <f>TEXT(42049, "[$-0E0000]yyyy-mm-dd")</f>
        <v/>
      </c>
      <c r="C42050" t="inlineStr">
        <is>
          <t>2014-12-27</t>
        </is>
      </c>
    </row>
    <row r="42051">
      <c r="A42051" s="1" t="n">
        <v>42050</v>
      </c>
      <c r="B42051">
        <f>TEXT(42050, "[$-0E0000]yyyy-mm-dd")</f>
        <v/>
      </c>
      <c r="C42051" t="inlineStr">
        <is>
          <t>2014-12-28</t>
        </is>
      </c>
    </row>
    <row r="42052">
      <c r="A42052" s="1" t="n">
        <v>42051</v>
      </c>
      <c r="B42052">
        <f>TEXT(42051, "[$-0E0000]yyyy-mm-dd")</f>
        <v/>
      </c>
      <c r="C42052" t="inlineStr">
        <is>
          <t>2014-12-29</t>
        </is>
      </c>
    </row>
    <row r="42053">
      <c r="A42053" s="1" t="n">
        <v>42052</v>
      </c>
      <c r="B42053">
        <f>TEXT(42052, "[$-0E0000]yyyy-mm-dd")</f>
        <v/>
      </c>
      <c r="C42053" t="inlineStr">
        <is>
          <t>2014-12-30</t>
        </is>
      </c>
    </row>
    <row r="42054">
      <c r="A42054" s="1" t="n">
        <v>42053</v>
      </c>
      <c r="B42054">
        <f>TEXT(42053, "[$-0E0000]yyyy-mm-dd")</f>
        <v/>
      </c>
      <c r="C42054" t="inlineStr">
        <is>
          <t>2015-01-01</t>
        </is>
      </c>
    </row>
    <row r="42055">
      <c r="A42055" s="1" t="n">
        <v>42054</v>
      </c>
      <c r="B42055">
        <f>TEXT(42054, "[$-0E0000]yyyy-mm-dd")</f>
        <v/>
      </c>
      <c r="C42055" t="inlineStr">
        <is>
          <t>2015-01-02</t>
        </is>
      </c>
    </row>
    <row r="42056">
      <c r="A42056" s="1" t="n">
        <v>42055</v>
      </c>
      <c r="B42056">
        <f>TEXT(42055, "[$-0E0000]yyyy-mm-dd")</f>
        <v/>
      </c>
      <c r="C42056" t="inlineStr">
        <is>
          <t>2015-01-03</t>
        </is>
      </c>
    </row>
    <row r="42057">
      <c r="A42057" s="1" t="n">
        <v>42056</v>
      </c>
      <c r="B42057">
        <f>TEXT(42056, "[$-0E0000]yyyy-mm-dd")</f>
        <v/>
      </c>
      <c r="C42057" t="inlineStr">
        <is>
          <t>2015-01-04</t>
        </is>
      </c>
    </row>
    <row r="42058">
      <c r="A42058" s="1" t="n">
        <v>42057</v>
      </c>
      <c r="B42058">
        <f>TEXT(42057, "[$-0E0000]yyyy-mm-dd")</f>
        <v/>
      </c>
      <c r="C42058" t="inlineStr">
        <is>
          <t>2015-01-05</t>
        </is>
      </c>
    </row>
    <row r="42059">
      <c r="A42059" s="1" t="n">
        <v>42058</v>
      </c>
      <c r="B42059">
        <f>TEXT(42058, "[$-0E0000]yyyy-mm-dd")</f>
        <v/>
      </c>
      <c r="C42059" t="inlineStr">
        <is>
          <t>2015-01-06</t>
        </is>
      </c>
    </row>
    <row r="42060">
      <c r="A42060" s="1" t="n">
        <v>42059</v>
      </c>
      <c r="B42060">
        <f>TEXT(42059, "[$-0E0000]yyyy-mm-dd")</f>
        <v/>
      </c>
      <c r="C42060" t="inlineStr">
        <is>
          <t>2015-01-07</t>
        </is>
      </c>
    </row>
    <row r="42061">
      <c r="A42061" s="1" t="n">
        <v>42060</v>
      </c>
      <c r="B42061">
        <f>TEXT(42060, "[$-0E0000]yyyy-mm-dd")</f>
        <v/>
      </c>
      <c r="C42061" t="inlineStr">
        <is>
          <t>2015-01-08</t>
        </is>
      </c>
    </row>
    <row r="42062">
      <c r="A42062" s="1" t="n">
        <v>42061</v>
      </c>
      <c r="B42062">
        <f>TEXT(42061, "[$-0E0000]yyyy-mm-dd")</f>
        <v/>
      </c>
      <c r="C42062" t="inlineStr">
        <is>
          <t>2015-01-09</t>
        </is>
      </c>
    </row>
    <row r="42063">
      <c r="A42063" s="1" t="n">
        <v>42062</v>
      </c>
      <c r="B42063">
        <f>TEXT(42062, "[$-0E0000]yyyy-mm-dd")</f>
        <v/>
      </c>
      <c r="C42063" t="inlineStr">
        <is>
          <t>2015-01-10</t>
        </is>
      </c>
    </row>
    <row r="42064">
      <c r="A42064" s="1" t="n">
        <v>42063</v>
      </c>
      <c r="B42064">
        <f>TEXT(42063, "[$-0E0000]yyyy-mm-dd")</f>
        <v/>
      </c>
      <c r="C42064" t="inlineStr">
        <is>
          <t>2015-01-11</t>
        </is>
      </c>
    </row>
    <row r="42065">
      <c r="A42065" s="1" t="n">
        <v>42064</v>
      </c>
      <c r="B42065">
        <f>TEXT(42064, "[$-0E0000]yyyy-mm-dd")</f>
        <v/>
      </c>
      <c r="C42065" t="inlineStr">
        <is>
          <t>2015-01-12</t>
        </is>
      </c>
    </row>
    <row r="42066">
      <c r="A42066" s="1" t="n">
        <v>42065</v>
      </c>
      <c r="B42066">
        <f>TEXT(42065, "[$-0E0000]yyyy-mm-dd")</f>
        <v/>
      </c>
      <c r="C42066" t="inlineStr">
        <is>
          <t>2015-01-13</t>
        </is>
      </c>
    </row>
    <row r="42067">
      <c r="A42067" s="1" t="n">
        <v>42066</v>
      </c>
      <c r="B42067">
        <f>TEXT(42066, "[$-0E0000]yyyy-mm-dd")</f>
        <v/>
      </c>
      <c r="C42067" t="inlineStr">
        <is>
          <t>2015-01-14</t>
        </is>
      </c>
    </row>
    <row r="42068">
      <c r="A42068" s="1" t="n">
        <v>42067</v>
      </c>
      <c r="B42068">
        <f>TEXT(42067, "[$-0E0000]yyyy-mm-dd")</f>
        <v/>
      </c>
      <c r="C42068" t="inlineStr">
        <is>
          <t>2015-01-15</t>
        </is>
      </c>
    </row>
    <row r="42069">
      <c r="A42069" s="1" t="n">
        <v>42068</v>
      </c>
      <c r="B42069">
        <f>TEXT(42068, "[$-0E0000]yyyy-mm-dd")</f>
        <v/>
      </c>
      <c r="C42069" t="inlineStr">
        <is>
          <t>2015-01-16</t>
        </is>
      </c>
    </row>
    <row r="42070">
      <c r="A42070" s="1" t="n">
        <v>42069</v>
      </c>
      <c r="B42070">
        <f>TEXT(42069, "[$-0E0000]yyyy-mm-dd")</f>
        <v/>
      </c>
      <c r="C42070" t="inlineStr">
        <is>
          <t>2015-01-17</t>
        </is>
      </c>
    </row>
    <row r="42071">
      <c r="A42071" s="1" t="n">
        <v>42070</v>
      </c>
      <c r="B42071">
        <f>TEXT(42070, "[$-0E0000]yyyy-mm-dd")</f>
        <v/>
      </c>
      <c r="C42071" t="inlineStr">
        <is>
          <t>2015-01-18</t>
        </is>
      </c>
    </row>
    <row r="42072">
      <c r="A42072" s="1" t="n">
        <v>42071</v>
      </c>
      <c r="B42072">
        <f>TEXT(42071, "[$-0E0000]yyyy-mm-dd")</f>
        <v/>
      </c>
      <c r="C42072" t="inlineStr">
        <is>
          <t>2015-01-19</t>
        </is>
      </c>
    </row>
    <row r="42073">
      <c r="A42073" s="1" t="n">
        <v>42072</v>
      </c>
      <c r="B42073">
        <f>TEXT(42072, "[$-0E0000]yyyy-mm-dd")</f>
        <v/>
      </c>
      <c r="C42073" t="inlineStr">
        <is>
          <t>2015-01-20</t>
        </is>
      </c>
    </row>
    <row r="42074">
      <c r="A42074" s="1" t="n">
        <v>42073</v>
      </c>
      <c r="B42074">
        <f>TEXT(42073, "[$-0E0000]yyyy-mm-dd")</f>
        <v/>
      </c>
      <c r="C42074" t="inlineStr">
        <is>
          <t>2015-01-21</t>
        </is>
      </c>
    </row>
    <row r="42075">
      <c r="A42075" s="1" t="n">
        <v>42074</v>
      </c>
      <c r="B42075">
        <f>TEXT(42074, "[$-0E0000]yyyy-mm-dd")</f>
        <v/>
      </c>
      <c r="C42075" t="inlineStr">
        <is>
          <t>2015-01-22</t>
        </is>
      </c>
    </row>
    <row r="42076">
      <c r="A42076" s="1" t="n">
        <v>42075</v>
      </c>
      <c r="B42076">
        <f>TEXT(42075, "[$-0E0000]yyyy-mm-dd")</f>
        <v/>
      </c>
      <c r="C42076" t="inlineStr">
        <is>
          <t>2015-01-23</t>
        </is>
      </c>
    </row>
    <row r="42077">
      <c r="A42077" s="1" t="n">
        <v>42076</v>
      </c>
      <c r="B42077">
        <f>TEXT(42076, "[$-0E0000]yyyy-mm-dd")</f>
        <v/>
      </c>
      <c r="C42077" t="inlineStr">
        <is>
          <t>2015-01-24</t>
        </is>
      </c>
    </row>
    <row r="42078">
      <c r="A42078" s="1" t="n">
        <v>42077</v>
      </c>
      <c r="B42078">
        <f>TEXT(42077, "[$-0E0000]yyyy-mm-dd")</f>
        <v/>
      </c>
      <c r="C42078" t="inlineStr">
        <is>
          <t>2015-01-25</t>
        </is>
      </c>
    </row>
    <row r="42079">
      <c r="A42079" s="1" t="n">
        <v>42078</v>
      </c>
      <c r="B42079">
        <f>TEXT(42078, "[$-0E0000]yyyy-mm-dd")</f>
        <v/>
      </c>
      <c r="C42079" t="inlineStr">
        <is>
          <t>2015-01-26</t>
        </is>
      </c>
    </row>
    <row r="42080">
      <c r="A42080" s="1" t="n">
        <v>42079</v>
      </c>
      <c r="B42080">
        <f>TEXT(42079, "[$-0E0000]yyyy-mm-dd")</f>
        <v/>
      </c>
      <c r="C42080" t="inlineStr">
        <is>
          <t>2015-01-27</t>
        </is>
      </c>
    </row>
    <row r="42081">
      <c r="A42081" s="1" t="n">
        <v>42080</v>
      </c>
      <c r="B42081">
        <f>TEXT(42080, "[$-0E0000]yyyy-mm-dd")</f>
        <v/>
      </c>
      <c r="C42081" t="inlineStr">
        <is>
          <t>2015-01-28</t>
        </is>
      </c>
    </row>
    <row r="42082">
      <c r="A42082" s="1" t="n">
        <v>42081</v>
      </c>
      <c r="B42082">
        <f>TEXT(42081, "[$-0E0000]yyyy-mm-dd")</f>
        <v/>
      </c>
      <c r="C42082" t="inlineStr">
        <is>
          <t>2015-01-29</t>
        </is>
      </c>
    </row>
    <row r="42083">
      <c r="A42083" s="1" t="n">
        <v>42082</v>
      </c>
      <c r="B42083">
        <f>TEXT(42082, "[$-0E0000]yyyy-mm-dd")</f>
        <v/>
      </c>
      <c r="C42083" t="inlineStr">
        <is>
          <t>2015-02-01</t>
        </is>
      </c>
    </row>
    <row r="42084">
      <c r="A42084" s="1" t="n">
        <v>42083</v>
      </c>
      <c r="B42084">
        <f>TEXT(42083, "[$-0E0000]yyyy-mm-dd")</f>
        <v/>
      </c>
      <c r="C42084" t="inlineStr">
        <is>
          <t>2015-02-02</t>
        </is>
      </c>
    </row>
    <row r="42085">
      <c r="A42085" s="1" t="n">
        <v>42084</v>
      </c>
      <c r="B42085">
        <f>TEXT(42084, "[$-0E0000]yyyy-mm-dd")</f>
        <v/>
      </c>
      <c r="C42085" t="inlineStr">
        <is>
          <t>2015-02-03</t>
        </is>
      </c>
    </row>
    <row r="42086">
      <c r="A42086" s="1" t="n">
        <v>42085</v>
      </c>
      <c r="B42086">
        <f>TEXT(42085, "[$-0E0000]yyyy-mm-dd")</f>
        <v/>
      </c>
      <c r="C42086" t="inlineStr">
        <is>
          <t>2015-02-04</t>
        </is>
      </c>
    </row>
    <row r="42087">
      <c r="A42087" s="1" t="n">
        <v>42086</v>
      </c>
      <c r="B42087">
        <f>TEXT(42086, "[$-0E0000]yyyy-mm-dd")</f>
        <v/>
      </c>
      <c r="C42087" t="inlineStr">
        <is>
          <t>2015-02-05</t>
        </is>
      </c>
    </row>
    <row r="42088">
      <c r="A42088" s="1" t="n">
        <v>42087</v>
      </c>
      <c r="B42088">
        <f>TEXT(42087, "[$-0E0000]yyyy-mm-dd")</f>
        <v/>
      </c>
      <c r="C42088" t="inlineStr">
        <is>
          <t>2015-02-06</t>
        </is>
      </c>
    </row>
    <row r="42089">
      <c r="A42089" s="1" t="n">
        <v>42088</v>
      </c>
      <c r="B42089">
        <f>TEXT(42088, "[$-0E0000]yyyy-mm-dd")</f>
        <v/>
      </c>
      <c r="C42089" t="inlineStr">
        <is>
          <t>2015-02-07</t>
        </is>
      </c>
    </row>
    <row r="42090">
      <c r="A42090" s="1" t="n">
        <v>42089</v>
      </c>
      <c r="B42090">
        <f>TEXT(42089, "[$-0E0000]yyyy-mm-dd")</f>
        <v/>
      </c>
      <c r="C42090" t="inlineStr">
        <is>
          <t>2015-02-08</t>
        </is>
      </c>
    </row>
    <row r="42091">
      <c r="A42091" s="1" t="n">
        <v>42090</v>
      </c>
      <c r="B42091">
        <f>TEXT(42090, "[$-0E0000]yyyy-mm-dd")</f>
        <v/>
      </c>
      <c r="C42091" t="inlineStr">
        <is>
          <t>2015-02-09</t>
        </is>
      </c>
    </row>
    <row r="42092">
      <c r="A42092" s="1" t="n">
        <v>42091</v>
      </c>
      <c r="B42092">
        <f>TEXT(42091, "[$-0E0000]yyyy-mm-dd")</f>
        <v/>
      </c>
      <c r="C42092" t="inlineStr">
        <is>
          <t>2015-02-10</t>
        </is>
      </c>
    </row>
    <row r="42093">
      <c r="A42093" s="1" t="n">
        <v>42092</v>
      </c>
      <c r="B42093">
        <f>TEXT(42092, "[$-0E0000]yyyy-mm-dd")</f>
        <v/>
      </c>
      <c r="C42093" t="inlineStr">
        <is>
          <t>2015-02-11</t>
        </is>
      </c>
    </row>
    <row r="42094">
      <c r="A42094" s="1" t="n">
        <v>42093</v>
      </c>
      <c r="B42094">
        <f>TEXT(42093, "[$-0E0000]yyyy-mm-dd")</f>
        <v/>
      </c>
      <c r="C42094" t="inlineStr">
        <is>
          <t>2015-02-12</t>
        </is>
      </c>
    </row>
    <row r="42095">
      <c r="A42095" s="1" t="n">
        <v>42094</v>
      </c>
      <c r="B42095">
        <f>TEXT(42094, "[$-0E0000]yyyy-mm-dd")</f>
        <v/>
      </c>
      <c r="C42095" t="inlineStr">
        <is>
          <t>2015-02-13</t>
        </is>
      </c>
    </row>
    <row r="42096">
      <c r="A42096" s="1" t="n">
        <v>42095</v>
      </c>
      <c r="B42096">
        <f>TEXT(42095, "[$-0E0000]yyyy-mm-dd")</f>
        <v/>
      </c>
      <c r="C42096" t="inlineStr">
        <is>
          <t>2015-02-14</t>
        </is>
      </c>
    </row>
    <row r="42097">
      <c r="A42097" s="1" t="n">
        <v>42096</v>
      </c>
      <c r="B42097">
        <f>TEXT(42096, "[$-0E0000]yyyy-mm-dd")</f>
        <v/>
      </c>
      <c r="C42097" t="inlineStr">
        <is>
          <t>2015-02-15</t>
        </is>
      </c>
    </row>
    <row r="42098">
      <c r="A42098" s="1" t="n">
        <v>42097</v>
      </c>
      <c r="B42098">
        <f>TEXT(42097, "[$-0E0000]yyyy-mm-dd")</f>
        <v/>
      </c>
      <c r="C42098" t="inlineStr">
        <is>
          <t>2015-02-16</t>
        </is>
      </c>
    </row>
    <row r="42099">
      <c r="A42099" s="1" t="n">
        <v>42098</v>
      </c>
      <c r="B42099">
        <f>TEXT(42098, "[$-0E0000]yyyy-mm-dd")</f>
        <v/>
      </c>
      <c r="C42099" t="inlineStr">
        <is>
          <t>2015-02-17</t>
        </is>
      </c>
    </row>
    <row r="42100">
      <c r="A42100" s="1" t="n">
        <v>42099</v>
      </c>
      <c r="B42100">
        <f>TEXT(42099, "[$-0E0000]yyyy-mm-dd")</f>
        <v/>
      </c>
      <c r="C42100" t="inlineStr">
        <is>
          <t>2015-02-18</t>
        </is>
      </c>
    </row>
    <row r="42101">
      <c r="A42101" s="1" t="n">
        <v>42100</v>
      </c>
      <c r="B42101">
        <f>TEXT(42100, "[$-0E0000]yyyy-mm-dd")</f>
        <v/>
      </c>
      <c r="C42101" t="inlineStr">
        <is>
          <t>2015-02-19</t>
        </is>
      </c>
    </row>
    <row r="42102">
      <c r="A42102" s="1" t="n">
        <v>42101</v>
      </c>
      <c r="B42102">
        <f>TEXT(42101, "[$-0E0000]yyyy-mm-dd")</f>
        <v/>
      </c>
      <c r="C42102" t="inlineStr">
        <is>
          <t>2015-02-20</t>
        </is>
      </c>
    </row>
    <row r="42103">
      <c r="A42103" s="1" t="n">
        <v>42102</v>
      </c>
      <c r="B42103">
        <f>TEXT(42102, "[$-0E0000]yyyy-mm-dd")</f>
        <v/>
      </c>
      <c r="C42103" t="inlineStr">
        <is>
          <t>2015-02-21</t>
        </is>
      </c>
    </row>
    <row r="42104">
      <c r="A42104" s="1" t="n">
        <v>42103</v>
      </c>
      <c r="B42104">
        <f>TEXT(42103, "[$-0E0000]yyyy-mm-dd")</f>
        <v/>
      </c>
      <c r="C42104" t="inlineStr">
        <is>
          <t>2015-02-22</t>
        </is>
      </c>
    </row>
    <row r="42105">
      <c r="A42105" s="1" t="n">
        <v>42104</v>
      </c>
      <c r="B42105">
        <f>TEXT(42104, "[$-0E0000]yyyy-mm-dd")</f>
        <v/>
      </c>
      <c r="C42105" t="inlineStr">
        <is>
          <t>2015-02-23</t>
        </is>
      </c>
    </row>
    <row r="42106">
      <c r="A42106" s="1" t="n">
        <v>42105</v>
      </c>
      <c r="B42106">
        <f>TEXT(42105, "[$-0E0000]yyyy-mm-dd")</f>
        <v/>
      </c>
      <c r="C42106" t="inlineStr">
        <is>
          <t>2015-02-24</t>
        </is>
      </c>
    </row>
    <row r="42107">
      <c r="A42107" s="1" t="n">
        <v>42106</v>
      </c>
      <c r="B42107">
        <f>TEXT(42106, "[$-0E0000]yyyy-mm-dd")</f>
        <v/>
      </c>
      <c r="C42107" t="inlineStr">
        <is>
          <t>2015-02-25</t>
        </is>
      </c>
    </row>
    <row r="42108">
      <c r="A42108" s="1" t="n">
        <v>42107</v>
      </c>
      <c r="B42108">
        <f>TEXT(42107, "[$-0E0000]yyyy-mm-dd")</f>
        <v/>
      </c>
      <c r="C42108" t="inlineStr">
        <is>
          <t>2015-02-26</t>
        </is>
      </c>
    </row>
    <row r="42109">
      <c r="A42109" s="1" t="n">
        <v>42108</v>
      </c>
      <c r="B42109">
        <f>TEXT(42108, "[$-0E0000]yyyy-mm-dd")</f>
        <v/>
      </c>
      <c r="C42109" t="inlineStr">
        <is>
          <t>2015-02-27</t>
        </is>
      </c>
    </row>
    <row r="42110">
      <c r="A42110" s="1" t="n">
        <v>42109</v>
      </c>
      <c r="B42110">
        <f>TEXT(42109, "[$-0E0000]yyyy-mm-dd")</f>
        <v/>
      </c>
      <c r="C42110" t="inlineStr">
        <is>
          <t>2015-02-28</t>
        </is>
      </c>
    </row>
    <row r="42111">
      <c r="A42111" s="1" t="n">
        <v>42110</v>
      </c>
      <c r="B42111">
        <f>TEXT(42110, "[$-0E0000]yyyy-mm-dd")</f>
        <v/>
      </c>
      <c r="C42111" t="inlineStr">
        <is>
          <t>2015-02-29</t>
        </is>
      </c>
    </row>
    <row r="42112">
      <c r="A42112" s="1" t="n">
        <v>42111</v>
      </c>
      <c r="B42112">
        <f>TEXT(42111, "[$-0E0000]yyyy-mm-dd")</f>
        <v/>
      </c>
      <c r="C42112" t="inlineStr">
        <is>
          <t>2015-02-30</t>
        </is>
      </c>
    </row>
    <row r="42113">
      <c r="A42113" s="1" t="n">
        <v>42112</v>
      </c>
      <c r="B42113">
        <f>TEXT(42112, "[$-0E0000]yyyy-mm-dd")</f>
        <v/>
      </c>
      <c r="C42113" t="inlineStr">
        <is>
          <t>2015-03-01</t>
        </is>
      </c>
    </row>
    <row r="42114">
      <c r="A42114" s="1" t="n">
        <v>42113</v>
      </c>
      <c r="B42114">
        <f>TEXT(42113, "[$-0E0000]yyyy-mm-dd")</f>
        <v/>
      </c>
      <c r="C42114" t="inlineStr">
        <is>
          <t>2015-03-02</t>
        </is>
      </c>
    </row>
    <row r="42115">
      <c r="A42115" s="1" t="n">
        <v>42114</v>
      </c>
      <c r="B42115">
        <f>TEXT(42114, "[$-0E0000]yyyy-mm-dd")</f>
        <v/>
      </c>
      <c r="C42115" t="inlineStr">
        <is>
          <t>2015-03-03</t>
        </is>
      </c>
    </row>
    <row r="42116">
      <c r="A42116" s="1" t="n">
        <v>42115</v>
      </c>
      <c r="B42116">
        <f>TEXT(42115, "[$-0E0000]yyyy-mm-dd")</f>
        <v/>
      </c>
      <c r="C42116" t="inlineStr">
        <is>
          <t>2015-03-04</t>
        </is>
      </c>
    </row>
    <row r="42117">
      <c r="A42117" s="1" t="n">
        <v>42116</v>
      </c>
      <c r="B42117">
        <f>TEXT(42116, "[$-0E0000]yyyy-mm-dd")</f>
        <v/>
      </c>
      <c r="C42117" t="inlineStr">
        <is>
          <t>2015-03-05</t>
        </is>
      </c>
    </row>
    <row r="42118">
      <c r="A42118" s="1" t="n">
        <v>42117</v>
      </c>
      <c r="B42118">
        <f>TEXT(42117, "[$-0E0000]yyyy-mm-dd")</f>
        <v/>
      </c>
      <c r="C42118" t="inlineStr">
        <is>
          <t>2015-03-06</t>
        </is>
      </c>
    </row>
    <row r="42119">
      <c r="A42119" s="1" t="n">
        <v>42118</v>
      </c>
      <c r="B42119">
        <f>TEXT(42118, "[$-0E0000]yyyy-mm-dd")</f>
        <v/>
      </c>
      <c r="C42119" t="inlineStr">
        <is>
          <t>2015-03-07</t>
        </is>
      </c>
    </row>
    <row r="42120">
      <c r="A42120" s="1" t="n">
        <v>42119</v>
      </c>
      <c r="B42120">
        <f>TEXT(42119, "[$-0E0000]yyyy-mm-dd")</f>
        <v/>
      </c>
      <c r="C42120" t="inlineStr">
        <is>
          <t>2015-03-08</t>
        </is>
      </c>
    </row>
    <row r="42121">
      <c r="A42121" s="1" t="n">
        <v>42120</v>
      </c>
      <c r="B42121">
        <f>TEXT(42120, "[$-0E0000]yyyy-mm-dd")</f>
        <v/>
      </c>
      <c r="C42121" t="inlineStr">
        <is>
          <t>2015-03-09</t>
        </is>
      </c>
    </row>
    <row r="42122">
      <c r="A42122" s="1" t="n">
        <v>42121</v>
      </c>
      <c r="B42122">
        <f>TEXT(42121, "[$-0E0000]yyyy-mm-dd")</f>
        <v/>
      </c>
      <c r="C42122" t="inlineStr">
        <is>
          <t>2015-03-10</t>
        </is>
      </c>
    </row>
    <row r="42123">
      <c r="A42123" s="1" t="n">
        <v>42122</v>
      </c>
      <c r="B42123">
        <f>TEXT(42122, "[$-0E0000]yyyy-mm-dd")</f>
        <v/>
      </c>
      <c r="C42123" t="inlineStr">
        <is>
          <t>2015-03-11</t>
        </is>
      </c>
    </row>
    <row r="42124">
      <c r="A42124" s="1" t="n">
        <v>42123</v>
      </c>
      <c r="B42124">
        <f>TEXT(42123, "[$-0E0000]yyyy-mm-dd")</f>
        <v/>
      </c>
      <c r="C42124" t="inlineStr">
        <is>
          <t>2015-03-12</t>
        </is>
      </c>
    </row>
    <row r="42125">
      <c r="A42125" s="1" t="n">
        <v>42124</v>
      </c>
      <c r="B42125">
        <f>TEXT(42124, "[$-0E0000]yyyy-mm-dd")</f>
        <v/>
      </c>
      <c r="C42125" t="inlineStr">
        <is>
          <t>2015-03-13</t>
        </is>
      </c>
    </row>
    <row r="42126">
      <c r="A42126" s="1" t="n">
        <v>42125</v>
      </c>
      <c r="B42126">
        <f>TEXT(42125, "[$-0E0000]yyyy-mm-dd")</f>
        <v/>
      </c>
      <c r="C42126" t="inlineStr">
        <is>
          <t>2015-03-14</t>
        </is>
      </c>
    </row>
    <row r="42127">
      <c r="A42127" s="1" t="n">
        <v>42126</v>
      </c>
      <c r="B42127">
        <f>TEXT(42126, "[$-0E0000]yyyy-mm-dd")</f>
        <v/>
      </c>
      <c r="C42127" t="inlineStr">
        <is>
          <t>2015-03-15</t>
        </is>
      </c>
    </row>
    <row r="42128">
      <c r="A42128" s="1" t="n">
        <v>42127</v>
      </c>
      <c r="B42128">
        <f>TEXT(42127, "[$-0E0000]yyyy-mm-dd")</f>
        <v/>
      </c>
      <c r="C42128" t="inlineStr">
        <is>
          <t>2015-03-16</t>
        </is>
      </c>
    </row>
    <row r="42129">
      <c r="A42129" s="1" t="n">
        <v>42128</v>
      </c>
      <c r="B42129">
        <f>TEXT(42128, "[$-0E0000]yyyy-mm-dd")</f>
        <v/>
      </c>
      <c r="C42129" t="inlineStr">
        <is>
          <t>2015-03-17</t>
        </is>
      </c>
    </row>
    <row r="42130">
      <c r="A42130" s="1" t="n">
        <v>42129</v>
      </c>
      <c r="B42130">
        <f>TEXT(42129, "[$-0E0000]yyyy-mm-dd")</f>
        <v/>
      </c>
      <c r="C42130" t="inlineStr">
        <is>
          <t>2015-03-18</t>
        </is>
      </c>
    </row>
    <row r="42131">
      <c r="A42131" s="1" t="n">
        <v>42130</v>
      </c>
      <c r="B42131">
        <f>TEXT(42130, "[$-0E0000]yyyy-mm-dd")</f>
        <v/>
      </c>
      <c r="C42131" t="inlineStr">
        <is>
          <t>2015-03-19</t>
        </is>
      </c>
    </row>
    <row r="42132">
      <c r="A42132" s="1" t="n">
        <v>42131</v>
      </c>
      <c r="B42132">
        <f>TEXT(42131, "[$-0E0000]yyyy-mm-dd")</f>
        <v/>
      </c>
      <c r="C42132" t="inlineStr">
        <is>
          <t>2015-03-20</t>
        </is>
      </c>
    </row>
    <row r="42133">
      <c r="A42133" s="1" t="n">
        <v>42132</v>
      </c>
      <c r="B42133">
        <f>TEXT(42132, "[$-0E0000]yyyy-mm-dd")</f>
        <v/>
      </c>
      <c r="C42133" t="inlineStr">
        <is>
          <t>2015-03-21</t>
        </is>
      </c>
    </row>
    <row r="42134">
      <c r="A42134" s="1" t="n">
        <v>42133</v>
      </c>
      <c r="B42134">
        <f>TEXT(42133, "[$-0E0000]yyyy-mm-dd")</f>
        <v/>
      </c>
      <c r="C42134" t="inlineStr">
        <is>
          <t>2015-03-22</t>
        </is>
      </c>
    </row>
    <row r="42135">
      <c r="A42135" s="1" t="n">
        <v>42134</v>
      </c>
      <c r="B42135">
        <f>TEXT(42134, "[$-0E0000]yyyy-mm-dd")</f>
        <v/>
      </c>
      <c r="C42135" t="inlineStr">
        <is>
          <t>2015-03-23</t>
        </is>
      </c>
    </row>
    <row r="42136">
      <c r="A42136" s="1" t="n">
        <v>42135</v>
      </c>
      <c r="B42136">
        <f>TEXT(42135, "[$-0E0000]yyyy-mm-dd")</f>
        <v/>
      </c>
      <c r="C42136" t="inlineStr">
        <is>
          <t>2015-03-24</t>
        </is>
      </c>
    </row>
    <row r="42137">
      <c r="A42137" s="1" t="n">
        <v>42136</v>
      </c>
      <c r="B42137">
        <f>TEXT(42136, "[$-0E0000]yyyy-mm-dd")</f>
        <v/>
      </c>
      <c r="C42137" t="inlineStr">
        <is>
          <t>2015-03-25</t>
        </is>
      </c>
    </row>
    <row r="42138">
      <c r="A42138" s="1" t="n">
        <v>42137</v>
      </c>
      <c r="B42138">
        <f>TEXT(42137, "[$-0E0000]yyyy-mm-dd")</f>
        <v/>
      </c>
      <c r="C42138" t="inlineStr">
        <is>
          <t>2015-03-26</t>
        </is>
      </c>
    </row>
    <row r="42139">
      <c r="A42139" s="1" t="n">
        <v>42138</v>
      </c>
      <c r="B42139">
        <f>TEXT(42138, "[$-0E0000]yyyy-mm-dd")</f>
        <v/>
      </c>
      <c r="C42139" t="inlineStr">
        <is>
          <t>2015-03-27</t>
        </is>
      </c>
    </row>
    <row r="42140">
      <c r="A42140" s="1" t="n">
        <v>42139</v>
      </c>
      <c r="B42140">
        <f>TEXT(42139, "[$-0E0000]yyyy-mm-dd")</f>
        <v/>
      </c>
      <c r="C42140" t="inlineStr">
        <is>
          <t>2015-03-28</t>
        </is>
      </c>
    </row>
    <row r="42141">
      <c r="A42141" s="1" t="n">
        <v>42140</v>
      </c>
      <c r="B42141">
        <f>TEXT(42140, "[$-0E0000]yyyy-mm-dd")</f>
        <v/>
      </c>
      <c r="C42141" t="inlineStr">
        <is>
          <t>2015-03-29</t>
        </is>
      </c>
    </row>
    <row r="42142">
      <c r="A42142" s="1" t="n">
        <v>42141</v>
      </c>
      <c r="B42142">
        <f>TEXT(42141, "[$-0E0000]yyyy-mm-dd")</f>
        <v/>
      </c>
      <c r="C42142" t="inlineStr">
        <is>
          <t>2015-04-01</t>
        </is>
      </c>
    </row>
    <row r="42143">
      <c r="A42143" s="1" t="n">
        <v>42142</v>
      </c>
      <c r="B42143">
        <f>TEXT(42142, "[$-0E0000]yyyy-mm-dd")</f>
        <v/>
      </c>
      <c r="C42143" t="inlineStr">
        <is>
          <t>2015-04-02</t>
        </is>
      </c>
    </row>
    <row r="42144">
      <c r="A42144" s="1" t="n">
        <v>42143</v>
      </c>
      <c r="B42144">
        <f>TEXT(42143, "[$-0E0000]yyyy-mm-dd")</f>
        <v/>
      </c>
      <c r="C42144" t="inlineStr">
        <is>
          <t>2015-04-03</t>
        </is>
      </c>
    </row>
    <row r="42145">
      <c r="A42145" s="1" t="n">
        <v>42144</v>
      </c>
      <c r="B42145">
        <f>TEXT(42144, "[$-0E0000]yyyy-mm-dd")</f>
        <v/>
      </c>
      <c r="C42145" t="inlineStr">
        <is>
          <t>2015-04-04</t>
        </is>
      </c>
    </row>
    <row r="42146">
      <c r="A42146" s="1" t="n">
        <v>42145</v>
      </c>
      <c r="B42146">
        <f>TEXT(42145, "[$-0E0000]yyyy-mm-dd")</f>
        <v/>
      </c>
      <c r="C42146" t="inlineStr">
        <is>
          <t>2015-04-05</t>
        </is>
      </c>
    </row>
    <row r="42147">
      <c r="A42147" s="1" t="n">
        <v>42146</v>
      </c>
      <c r="B42147">
        <f>TEXT(42146, "[$-0E0000]yyyy-mm-dd")</f>
        <v/>
      </c>
      <c r="C42147" t="inlineStr">
        <is>
          <t>2015-04-06</t>
        </is>
      </c>
    </row>
    <row r="42148">
      <c r="A42148" s="1" t="n">
        <v>42147</v>
      </c>
      <c r="B42148">
        <f>TEXT(42147, "[$-0E0000]yyyy-mm-dd")</f>
        <v/>
      </c>
      <c r="C42148" t="inlineStr">
        <is>
          <t>2015-04-07</t>
        </is>
      </c>
    </row>
    <row r="42149">
      <c r="A42149" s="1" t="n">
        <v>42148</v>
      </c>
      <c r="B42149">
        <f>TEXT(42148, "[$-0E0000]yyyy-mm-dd")</f>
        <v/>
      </c>
      <c r="C42149" t="inlineStr">
        <is>
          <t>2015-04-08</t>
        </is>
      </c>
    </row>
    <row r="42150">
      <c r="A42150" s="1" t="n">
        <v>42149</v>
      </c>
      <c r="B42150">
        <f>TEXT(42149, "[$-0E0000]yyyy-mm-dd")</f>
        <v/>
      </c>
      <c r="C42150" t="inlineStr">
        <is>
          <t>2015-04-09</t>
        </is>
      </c>
    </row>
    <row r="42151">
      <c r="A42151" s="1" t="n">
        <v>42150</v>
      </c>
      <c r="B42151">
        <f>TEXT(42150, "[$-0E0000]yyyy-mm-dd")</f>
        <v/>
      </c>
      <c r="C42151" t="inlineStr">
        <is>
          <t>2015-04-10</t>
        </is>
      </c>
    </row>
    <row r="42152">
      <c r="A42152" s="1" t="n">
        <v>42151</v>
      </c>
      <c r="B42152">
        <f>TEXT(42151, "[$-0E0000]yyyy-mm-dd")</f>
        <v/>
      </c>
      <c r="C42152" t="inlineStr">
        <is>
          <t>2015-04-11</t>
        </is>
      </c>
    </row>
    <row r="42153">
      <c r="A42153" s="1" t="n">
        <v>42152</v>
      </c>
      <c r="B42153">
        <f>TEXT(42152, "[$-0E0000]yyyy-mm-dd")</f>
        <v/>
      </c>
      <c r="C42153" t="inlineStr">
        <is>
          <t>2015-04-12</t>
        </is>
      </c>
    </row>
    <row r="42154">
      <c r="A42154" s="1" t="n">
        <v>42153</v>
      </c>
      <c r="B42154">
        <f>TEXT(42153, "[$-0E0000]yyyy-mm-dd")</f>
        <v/>
      </c>
      <c r="C42154" t="inlineStr">
        <is>
          <t>2015-04-13</t>
        </is>
      </c>
    </row>
    <row r="42155">
      <c r="A42155" s="1" t="n">
        <v>42154</v>
      </c>
      <c r="B42155">
        <f>TEXT(42154, "[$-0E0000]yyyy-mm-dd")</f>
        <v/>
      </c>
      <c r="C42155" t="inlineStr">
        <is>
          <t>2015-04-14</t>
        </is>
      </c>
    </row>
    <row r="42156">
      <c r="A42156" s="1" t="n">
        <v>42155</v>
      </c>
      <c r="B42156">
        <f>TEXT(42155, "[$-0E0000]yyyy-mm-dd")</f>
        <v/>
      </c>
      <c r="C42156" t="inlineStr">
        <is>
          <t>2015-04-15</t>
        </is>
      </c>
    </row>
    <row r="42157">
      <c r="A42157" s="1" t="n">
        <v>42156</v>
      </c>
      <c r="B42157">
        <f>TEXT(42156, "[$-0E0000]yyyy-mm-dd")</f>
        <v/>
      </c>
      <c r="C42157" t="inlineStr">
        <is>
          <t>2015-04-16</t>
        </is>
      </c>
    </row>
    <row r="42158">
      <c r="A42158" s="1" t="n">
        <v>42157</v>
      </c>
      <c r="B42158">
        <f>TEXT(42157, "[$-0E0000]yyyy-mm-dd")</f>
        <v/>
      </c>
      <c r="C42158" t="inlineStr">
        <is>
          <t>2015-04-17</t>
        </is>
      </c>
    </row>
    <row r="42159">
      <c r="A42159" s="1" t="n">
        <v>42158</v>
      </c>
      <c r="B42159">
        <f>TEXT(42158, "[$-0E0000]yyyy-mm-dd")</f>
        <v/>
      </c>
      <c r="C42159" t="inlineStr">
        <is>
          <t>2015-04-18</t>
        </is>
      </c>
    </row>
    <row r="42160">
      <c r="A42160" s="1" t="n">
        <v>42159</v>
      </c>
      <c r="B42160">
        <f>TEXT(42159, "[$-0E0000]yyyy-mm-dd")</f>
        <v/>
      </c>
      <c r="C42160" t="inlineStr">
        <is>
          <t>2015-04-19</t>
        </is>
      </c>
    </row>
    <row r="42161">
      <c r="A42161" s="1" t="n">
        <v>42160</v>
      </c>
      <c r="B42161">
        <f>TEXT(42160, "[$-0E0000]yyyy-mm-dd")</f>
        <v/>
      </c>
      <c r="C42161" t="inlineStr">
        <is>
          <t>2015-04-20</t>
        </is>
      </c>
    </row>
    <row r="42162">
      <c r="A42162" s="1" t="n">
        <v>42161</v>
      </c>
      <c r="B42162">
        <f>TEXT(42161, "[$-0E0000]yyyy-mm-dd")</f>
        <v/>
      </c>
      <c r="C42162" t="inlineStr">
        <is>
          <t>2015-04-21</t>
        </is>
      </c>
    </row>
    <row r="42163">
      <c r="A42163" s="1" t="n">
        <v>42162</v>
      </c>
      <c r="B42163">
        <f>TEXT(42162, "[$-0E0000]yyyy-mm-dd")</f>
        <v/>
      </c>
      <c r="C42163" t="inlineStr">
        <is>
          <t>2015-04-22</t>
        </is>
      </c>
    </row>
    <row r="42164">
      <c r="A42164" s="1" t="n">
        <v>42163</v>
      </c>
      <c r="B42164">
        <f>TEXT(42163, "[$-0E0000]yyyy-mm-dd")</f>
        <v/>
      </c>
      <c r="C42164" t="inlineStr">
        <is>
          <t>2015-04-23</t>
        </is>
      </c>
    </row>
    <row r="42165">
      <c r="A42165" s="1" t="n">
        <v>42164</v>
      </c>
      <c r="B42165">
        <f>TEXT(42164, "[$-0E0000]yyyy-mm-dd")</f>
        <v/>
      </c>
      <c r="C42165" t="inlineStr">
        <is>
          <t>2015-04-24</t>
        </is>
      </c>
    </row>
    <row r="42166">
      <c r="A42166" s="1" t="n">
        <v>42165</v>
      </c>
      <c r="B42166">
        <f>TEXT(42165, "[$-0E0000]yyyy-mm-dd")</f>
        <v/>
      </c>
      <c r="C42166" t="inlineStr">
        <is>
          <t>2015-04-25</t>
        </is>
      </c>
    </row>
    <row r="42167">
      <c r="A42167" s="1" t="n">
        <v>42166</v>
      </c>
      <c r="B42167">
        <f>TEXT(42166, "[$-0E0000]yyyy-mm-dd")</f>
        <v/>
      </c>
      <c r="C42167" t="inlineStr">
        <is>
          <t>2015-04-26</t>
        </is>
      </c>
    </row>
    <row r="42168">
      <c r="A42168" s="1" t="n">
        <v>42167</v>
      </c>
      <c r="B42168">
        <f>TEXT(42167, "[$-0E0000]yyyy-mm-dd")</f>
        <v/>
      </c>
      <c r="C42168" t="inlineStr">
        <is>
          <t>2015-04-27</t>
        </is>
      </c>
    </row>
    <row r="42169">
      <c r="A42169" s="1" t="n">
        <v>42168</v>
      </c>
      <c r="B42169">
        <f>TEXT(42168, "[$-0E0000]yyyy-mm-dd")</f>
        <v/>
      </c>
      <c r="C42169" t="inlineStr">
        <is>
          <t>2015-04-28</t>
        </is>
      </c>
    </row>
    <row r="42170">
      <c r="A42170" s="1" t="n">
        <v>42169</v>
      </c>
      <c r="B42170">
        <f>TEXT(42169, "[$-0E0000]yyyy-mm-dd")</f>
        <v/>
      </c>
      <c r="C42170" t="inlineStr">
        <is>
          <t>2015-04-29</t>
        </is>
      </c>
    </row>
    <row r="42171">
      <c r="A42171" s="1" t="n">
        <v>42170</v>
      </c>
      <c r="B42171">
        <f>TEXT(42170, "[$-0E0000]yyyy-mm-dd")</f>
        <v/>
      </c>
      <c r="C42171" t="inlineStr">
        <is>
          <t>2015-05-01</t>
        </is>
      </c>
    </row>
    <row r="42172">
      <c r="A42172" s="1" t="n">
        <v>42171</v>
      </c>
      <c r="B42172">
        <f>TEXT(42171, "[$-0E0000]yyyy-mm-dd")</f>
        <v/>
      </c>
      <c r="C42172" t="inlineStr">
        <is>
          <t>2015-05-02</t>
        </is>
      </c>
    </row>
    <row r="42173">
      <c r="A42173" s="1" t="n">
        <v>42172</v>
      </c>
      <c r="B42173">
        <f>TEXT(42172, "[$-0E0000]yyyy-mm-dd")</f>
        <v/>
      </c>
      <c r="C42173" t="inlineStr">
        <is>
          <t>2015-05-03</t>
        </is>
      </c>
    </row>
    <row r="42174">
      <c r="A42174" s="1" t="n">
        <v>42173</v>
      </c>
      <c r="B42174">
        <f>TEXT(42173, "[$-0E0000]yyyy-mm-dd")</f>
        <v/>
      </c>
      <c r="C42174" t="inlineStr">
        <is>
          <t>2015-05-04</t>
        </is>
      </c>
    </row>
    <row r="42175">
      <c r="A42175" s="1" t="n">
        <v>42174</v>
      </c>
      <c r="B42175">
        <f>TEXT(42174, "[$-0E0000]yyyy-mm-dd")</f>
        <v/>
      </c>
      <c r="C42175" t="inlineStr">
        <is>
          <t>2015-05-05</t>
        </is>
      </c>
    </row>
    <row r="42176">
      <c r="A42176" s="1" t="n">
        <v>42175</v>
      </c>
      <c r="B42176">
        <f>TEXT(42175, "[$-0E0000]yyyy-mm-dd")</f>
        <v/>
      </c>
      <c r="C42176" t="inlineStr">
        <is>
          <t>2015-05-06</t>
        </is>
      </c>
    </row>
    <row r="42177">
      <c r="A42177" s="1" t="n">
        <v>42176</v>
      </c>
      <c r="B42177">
        <f>TEXT(42176, "[$-0E0000]yyyy-mm-dd")</f>
        <v/>
      </c>
      <c r="C42177" t="inlineStr">
        <is>
          <t>2015-05-07</t>
        </is>
      </c>
    </row>
    <row r="42178">
      <c r="A42178" s="1" t="n">
        <v>42177</v>
      </c>
      <c r="B42178">
        <f>TEXT(42177, "[$-0E0000]yyyy-mm-dd")</f>
        <v/>
      </c>
      <c r="C42178" t="inlineStr">
        <is>
          <t>2015-05-08</t>
        </is>
      </c>
    </row>
    <row r="42179">
      <c r="A42179" s="1" t="n">
        <v>42178</v>
      </c>
      <c r="B42179">
        <f>TEXT(42178, "[$-0E0000]yyyy-mm-dd")</f>
        <v/>
      </c>
      <c r="C42179" t="inlineStr">
        <is>
          <t>2015-05-09</t>
        </is>
      </c>
    </row>
    <row r="42180">
      <c r="A42180" s="1" t="n">
        <v>42179</v>
      </c>
      <c r="B42180">
        <f>TEXT(42179, "[$-0E0000]yyyy-mm-dd")</f>
        <v/>
      </c>
      <c r="C42180" t="inlineStr">
        <is>
          <t>2015-05-10</t>
        </is>
      </c>
    </row>
    <row r="42181">
      <c r="A42181" s="1" t="n">
        <v>42180</v>
      </c>
      <c r="B42181">
        <f>TEXT(42180, "[$-0E0000]yyyy-mm-dd")</f>
        <v/>
      </c>
      <c r="C42181" t="inlineStr">
        <is>
          <t>2015-05-11</t>
        </is>
      </c>
    </row>
    <row r="42182">
      <c r="A42182" s="1" t="n">
        <v>42181</v>
      </c>
      <c r="B42182">
        <f>TEXT(42181, "[$-0E0000]yyyy-mm-dd")</f>
        <v/>
      </c>
      <c r="C42182" t="inlineStr">
        <is>
          <t>2015-05-12</t>
        </is>
      </c>
    </row>
    <row r="42183">
      <c r="A42183" s="1" t="n">
        <v>42182</v>
      </c>
      <c r="B42183">
        <f>TEXT(42182, "[$-0E0000]yyyy-mm-dd")</f>
        <v/>
      </c>
      <c r="C42183" t="inlineStr">
        <is>
          <t>2015-05-13</t>
        </is>
      </c>
    </row>
    <row r="42184">
      <c r="A42184" s="1" t="n">
        <v>42183</v>
      </c>
      <c r="B42184">
        <f>TEXT(42183, "[$-0E0000]yyyy-mm-dd")</f>
        <v/>
      </c>
      <c r="C42184" t="inlineStr">
        <is>
          <t>2015-05-14</t>
        </is>
      </c>
    </row>
    <row r="42185">
      <c r="A42185" s="1" t="n">
        <v>42184</v>
      </c>
      <c r="B42185">
        <f>TEXT(42184, "[$-0E0000]yyyy-mm-dd")</f>
        <v/>
      </c>
      <c r="C42185" t="inlineStr">
        <is>
          <t>2015-05-15</t>
        </is>
      </c>
    </row>
    <row r="42186">
      <c r="A42186" s="1" t="n">
        <v>42185</v>
      </c>
      <c r="B42186">
        <f>TEXT(42185, "[$-0E0000]yyyy-mm-dd")</f>
        <v/>
      </c>
      <c r="C42186" t="inlineStr">
        <is>
          <t>2015-05-16</t>
        </is>
      </c>
    </row>
    <row r="42187">
      <c r="A42187" s="1" t="n">
        <v>42186</v>
      </c>
      <c r="B42187">
        <f>TEXT(42186, "[$-0E0000]yyyy-mm-dd")</f>
        <v/>
      </c>
      <c r="C42187" t="inlineStr">
        <is>
          <t>2015-05-17</t>
        </is>
      </c>
    </row>
    <row r="42188">
      <c r="A42188" s="1" t="n">
        <v>42187</v>
      </c>
      <c r="B42188">
        <f>TEXT(42187, "[$-0E0000]yyyy-mm-dd")</f>
        <v/>
      </c>
      <c r="C42188" t="inlineStr">
        <is>
          <t>2015-05-18</t>
        </is>
      </c>
    </row>
    <row r="42189">
      <c r="A42189" s="1" t="n">
        <v>42188</v>
      </c>
      <c r="B42189">
        <f>TEXT(42188, "[$-0E0000]yyyy-mm-dd")</f>
        <v/>
      </c>
      <c r="C42189" t="inlineStr">
        <is>
          <t>2015-05-19</t>
        </is>
      </c>
    </row>
    <row r="42190">
      <c r="A42190" s="1" t="n">
        <v>42189</v>
      </c>
      <c r="B42190">
        <f>TEXT(42189, "[$-0E0000]yyyy-mm-dd")</f>
        <v/>
      </c>
      <c r="C42190" t="inlineStr">
        <is>
          <t>2015-05-20</t>
        </is>
      </c>
    </row>
    <row r="42191">
      <c r="A42191" s="1" t="n">
        <v>42190</v>
      </c>
      <c r="B42191">
        <f>TEXT(42190, "[$-0E0000]yyyy-mm-dd")</f>
        <v/>
      </c>
      <c r="C42191" t="inlineStr">
        <is>
          <t>2015-05-21</t>
        </is>
      </c>
    </row>
    <row r="42192">
      <c r="A42192" s="1" t="n">
        <v>42191</v>
      </c>
      <c r="B42192">
        <f>TEXT(42191, "[$-0E0000]yyyy-mm-dd")</f>
        <v/>
      </c>
      <c r="C42192" t="inlineStr">
        <is>
          <t>2015-05-22</t>
        </is>
      </c>
    </row>
    <row r="42193">
      <c r="A42193" s="1" t="n">
        <v>42192</v>
      </c>
      <c r="B42193">
        <f>TEXT(42192, "[$-0E0000]yyyy-mm-dd")</f>
        <v/>
      </c>
      <c r="C42193" t="inlineStr">
        <is>
          <t>2015-05-23</t>
        </is>
      </c>
    </row>
    <row r="42194">
      <c r="A42194" s="1" t="n">
        <v>42193</v>
      </c>
      <c r="B42194">
        <f>TEXT(42193, "[$-0E0000]yyyy-mm-dd")</f>
        <v/>
      </c>
      <c r="C42194" t="inlineStr">
        <is>
          <t>2015-05-24</t>
        </is>
      </c>
    </row>
    <row r="42195">
      <c r="A42195" s="1" t="n">
        <v>42194</v>
      </c>
      <c r="B42195">
        <f>TEXT(42194, "[$-0E0000]yyyy-mm-dd")</f>
        <v/>
      </c>
      <c r="C42195" t="inlineStr">
        <is>
          <t>2015-05-25</t>
        </is>
      </c>
    </row>
    <row r="42196">
      <c r="A42196" s="1" t="n">
        <v>42195</v>
      </c>
      <c r="B42196">
        <f>TEXT(42195, "[$-0E0000]yyyy-mm-dd")</f>
        <v/>
      </c>
      <c r="C42196" t="inlineStr">
        <is>
          <t>2015-05-26</t>
        </is>
      </c>
    </row>
    <row r="42197">
      <c r="A42197" s="1" t="n">
        <v>42196</v>
      </c>
      <c r="B42197">
        <f>TEXT(42196, "[$-0E0000]yyyy-mm-dd")</f>
        <v/>
      </c>
      <c r="C42197" t="inlineStr">
        <is>
          <t>2015-05-27</t>
        </is>
      </c>
    </row>
    <row r="42198">
      <c r="A42198" s="1" t="n">
        <v>42197</v>
      </c>
      <c r="B42198">
        <f>TEXT(42197, "[$-0E0000]yyyy-mm-dd")</f>
        <v/>
      </c>
      <c r="C42198" t="inlineStr">
        <is>
          <t>2015-05-28</t>
        </is>
      </c>
    </row>
    <row r="42199">
      <c r="A42199" s="1" t="n">
        <v>42198</v>
      </c>
      <c r="B42199">
        <f>TEXT(42198, "[$-0E0000]yyyy-mm-dd")</f>
        <v/>
      </c>
      <c r="C42199" t="inlineStr">
        <is>
          <t>2015-05-29</t>
        </is>
      </c>
    </row>
    <row r="42200">
      <c r="A42200" s="1" t="n">
        <v>42199</v>
      </c>
      <c r="B42200">
        <f>TEXT(42199, "[$-0E0000]yyyy-mm-dd")</f>
        <v/>
      </c>
      <c r="C42200" t="inlineStr">
        <is>
          <t>2015-05-30</t>
        </is>
      </c>
    </row>
    <row r="42201">
      <c r="A42201" s="1" t="n">
        <v>42200</v>
      </c>
      <c r="B42201">
        <f>TEXT(42200, "[$-0E0000]yyyy-mm-dd")</f>
        <v/>
      </c>
      <c r="C42201" t="inlineStr">
        <is>
          <t>2015-06-01</t>
        </is>
      </c>
    </row>
    <row r="42202">
      <c r="A42202" s="1" t="n">
        <v>42201</v>
      </c>
      <c r="B42202">
        <f>TEXT(42201, "[$-0E0000]yyyy-mm-dd")</f>
        <v/>
      </c>
      <c r="C42202" t="inlineStr">
        <is>
          <t>2015-06-02</t>
        </is>
      </c>
    </row>
    <row r="42203">
      <c r="A42203" s="1" t="n">
        <v>42202</v>
      </c>
      <c r="B42203">
        <f>TEXT(42202, "[$-0E0000]yyyy-mm-dd")</f>
        <v/>
      </c>
      <c r="C42203" t="inlineStr">
        <is>
          <t>2015-06-03</t>
        </is>
      </c>
    </row>
    <row r="42204">
      <c r="A42204" s="1" t="n">
        <v>42203</v>
      </c>
      <c r="B42204">
        <f>TEXT(42203, "[$-0E0000]yyyy-mm-dd")</f>
        <v/>
      </c>
      <c r="C42204" t="inlineStr">
        <is>
          <t>2015-06-04</t>
        </is>
      </c>
    </row>
    <row r="42205">
      <c r="A42205" s="1" t="n">
        <v>42204</v>
      </c>
      <c r="B42205">
        <f>TEXT(42204, "[$-0E0000]yyyy-mm-dd")</f>
        <v/>
      </c>
      <c r="C42205" t="inlineStr">
        <is>
          <t>2015-06-05</t>
        </is>
      </c>
    </row>
    <row r="42206">
      <c r="A42206" s="1" t="n">
        <v>42205</v>
      </c>
      <c r="B42206">
        <f>TEXT(42205, "[$-0E0000]yyyy-mm-dd")</f>
        <v/>
      </c>
      <c r="C42206" t="inlineStr">
        <is>
          <t>2015-06-06</t>
        </is>
      </c>
    </row>
    <row r="42207">
      <c r="A42207" s="1" t="n">
        <v>42206</v>
      </c>
      <c r="B42207">
        <f>TEXT(42206, "[$-0E0000]yyyy-mm-dd")</f>
        <v/>
      </c>
      <c r="C42207" t="inlineStr">
        <is>
          <t>2015-06-07</t>
        </is>
      </c>
    </row>
    <row r="42208">
      <c r="A42208" s="1" t="n">
        <v>42207</v>
      </c>
      <c r="B42208">
        <f>TEXT(42207, "[$-0E0000]yyyy-mm-dd")</f>
        <v/>
      </c>
      <c r="C42208" t="inlineStr">
        <is>
          <t>2015-06-08</t>
        </is>
      </c>
    </row>
    <row r="42209">
      <c r="A42209" s="1" t="n">
        <v>42208</v>
      </c>
      <c r="B42209">
        <f>TEXT(42208, "[$-0E0000]yyyy-mm-dd")</f>
        <v/>
      </c>
      <c r="C42209" t="inlineStr">
        <is>
          <t>2015-06-09</t>
        </is>
      </c>
    </row>
    <row r="42210">
      <c r="A42210" s="1" t="n">
        <v>42209</v>
      </c>
      <c r="B42210">
        <f>TEXT(42209, "[$-0E0000]yyyy-mm-dd")</f>
        <v/>
      </c>
      <c r="C42210" t="inlineStr">
        <is>
          <t>2015-06-10</t>
        </is>
      </c>
    </row>
    <row r="42211">
      <c r="A42211" s="1" t="n">
        <v>42210</v>
      </c>
      <c r="B42211">
        <f>TEXT(42210, "[$-0E0000]yyyy-mm-dd")</f>
        <v/>
      </c>
      <c r="C42211" t="inlineStr">
        <is>
          <t>2015-06-11</t>
        </is>
      </c>
    </row>
    <row r="42212">
      <c r="A42212" s="1" t="n">
        <v>42211</v>
      </c>
      <c r="B42212">
        <f>TEXT(42211, "[$-0E0000]yyyy-mm-dd")</f>
        <v/>
      </c>
      <c r="C42212" t="inlineStr">
        <is>
          <t>2015-06-12</t>
        </is>
      </c>
    </row>
    <row r="42213">
      <c r="A42213" s="1" t="n">
        <v>42212</v>
      </c>
      <c r="B42213">
        <f>TEXT(42212, "[$-0E0000]yyyy-mm-dd")</f>
        <v/>
      </c>
      <c r="C42213" t="inlineStr">
        <is>
          <t>2015-06-13</t>
        </is>
      </c>
    </row>
    <row r="42214">
      <c r="A42214" s="1" t="n">
        <v>42213</v>
      </c>
      <c r="B42214">
        <f>TEXT(42213, "[$-0E0000]yyyy-mm-dd")</f>
        <v/>
      </c>
      <c r="C42214" t="inlineStr">
        <is>
          <t>2015-06-14</t>
        </is>
      </c>
    </row>
    <row r="42215">
      <c r="A42215" s="1" t="n">
        <v>42214</v>
      </c>
      <c r="B42215">
        <f>TEXT(42214, "[$-0E0000]yyyy-mm-dd")</f>
        <v/>
      </c>
      <c r="C42215" t="inlineStr">
        <is>
          <t>2015-06-15</t>
        </is>
      </c>
    </row>
    <row r="42216">
      <c r="A42216" s="1" t="n">
        <v>42215</v>
      </c>
      <c r="B42216">
        <f>TEXT(42215, "[$-0E0000]yyyy-mm-dd")</f>
        <v/>
      </c>
      <c r="C42216" t="inlineStr">
        <is>
          <t>2015-06-16</t>
        </is>
      </c>
    </row>
    <row r="42217">
      <c r="A42217" s="1" t="n">
        <v>42216</v>
      </c>
      <c r="B42217">
        <f>TEXT(42216, "[$-0E0000]yyyy-mm-dd")</f>
        <v/>
      </c>
      <c r="C42217" t="inlineStr">
        <is>
          <t>2015-06-17</t>
        </is>
      </c>
    </row>
    <row r="42218">
      <c r="A42218" s="1" t="n">
        <v>42217</v>
      </c>
      <c r="B42218">
        <f>TEXT(42217, "[$-0E0000]yyyy-mm-dd")</f>
        <v/>
      </c>
      <c r="C42218" t="inlineStr">
        <is>
          <t>2015-06-18</t>
        </is>
      </c>
    </row>
    <row r="42219">
      <c r="A42219" s="1" t="n">
        <v>42218</v>
      </c>
      <c r="B42219">
        <f>TEXT(42218, "[$-0E0000]yyyy-mm-dd")</f>
        <v/>
      </c>
      <c r="C42219" t="inlineStr">
        <is>
          <t>2015-06-19</t>
        </is>
      </c>
    </row>
    <row r="42220">
      <c r="A42220" s="1" t="n">
        <v>42219</v>
      </c>
      <c r="B42220">
        <f>TEXT(42219, "[$-0E0000]yyyy-mm-dd")</f>
        <v/>
      </c>
      <c r="C42220" t="inlineStr">
        <is>
          <t>2015-06-20</t>
        </is>
      </c>
    </row>
    <row r="42221">
      <c r="A42221" s="1" t="n">
        <v>42220</v>
      </c>
      <c r="B42221">
        <f>TEXT(42220, "[$-0E0000]yyyy-mm-dd")</f>
        <v/>
      </c>
      <c r="C42221" t="inlineStr">
        <is>
          <t>2015-06-21</t>
        </is>
      </c>
    </row>
    <row r="42222">
      <c r="A42222" s="1" t="n">
        <v>42221</v>
      </c>
      <c r="B42222">
        <f>TEXT(42221, "[$-0E0000]yyyy-mm-dd")</f>
        <v/>
      </c>
      <c r="C42222" t="inlineStr">
        <is>
          <t>2015-06-22</t>
        </is>
      </c>
    </row>
    <row r="42223">
      <c r="A42223" s="1" t="n">
        <v>42222</v>
      </c>
      <c r="B42223">
        <f>TEXT(42222, "[$-0E0000]yyyy-mm-dd")</f>
        <v/>
      </c>
      <c r="C42223" t="inlineStr">
        <is>
          <t>2015-06-23</t>
        </is>
      </c>
    </row>
    <row r="42224">
      <c r="A42224" s="1" t="n">
        <v>42223</v>
      </c>
      <c r="B42224">
        <f>TEXT(42223, "[$-0E0000]yyyy-mm-dd")</f>
        <v/>
      </c>
      <c r="C42224" t="inlineStr">
        <is>
          <t>2015-06-24</t>
        </is>
      </c>
    </row>
    <row r="42225">
      <c r="A42225" s="1" t="n">
        <v>42224</v>
      </c>
      <c r="B42225">
        <f>TEXT(42224, "[$-0E0000]yyyy-mm-dd")</f>
        <v/>
      </c>
      <c r="C42225" t="inlineStr">
        <is>
          <t>2015-06-25</t>
        </is>
      </c>
    </row>
    <row r="42226">
      <c r="A42226" s="1" t="n">
        <v>42225</v>
      </c>
      <c r="B42226">
        <f>TEXT(42225, "[$-0E0000]yyyy-mm-dd")</f>
        <v/>
      </c>
      <c r="C42226" t="inlineStr">
        <is>
          <t>2015-06-26</t>
        </is>
      </c>
    </row>
    <row r="42227">
      <c r="A42227" s="1" t="n">
        <v>42226</v>
      </c>
      <c r="B42227">
        <f>TEXT(42226, "[$-0E0000]yyyy-mm-dd")</f>
        <v/>
      </c>
      <c r="C42227" t="inlineStr">
        <is>
          <t>2015-06-27</t>
        </is>
      </c>
    </row>
    <row r="42228">
      <c r="A42228" s="1" t="n">
        <v>42227</v>
      </c>
      <c r="B42228">
        <f>TEXT(42227, "[$-0E0000]yyyy-mm-dd")</f>
        <v/>
      </c>
      <c r="C42228" t="inlineStr">
        <is>
          <t>2015-06-28</t>
        </is>
      </c>
    </row>
    <row r="42229">
      <c r="A42229" s="1" t="n">
        <v>42228</v>
      </c>
      <c r="B42229">
        <f>TEXT(42228, "[$-0E0000]yyyy-mm-dd")</f>
        <v/>
      </c>
      <c r="C42229" t="inlineStr">
        <is>
          <t>2015-06-29</t>
        </is>
      </c>
    </row>
    <row r="42230">
      <c r="A42230" s="1" t="n">
        <v>42229</v>
      </c>
      <c r="B42230">
        <f>TEXT(42229, "[$-0E0000]yyyy-mm-dd")</f>
        <v/>
      </c>
      <c r="C42230" t="inlineStr">
        <is>
          <t>2015-07-01</t>
        </is>
      </c>
    </row>
    <row r="42231">
      <c r="A42231" s="1" t="n">
        <v>42230</v>
      </c>
      <c r="B42231">
        <f>TEXT(42230, "[$-0E0000]yyyy-mm-dd")</f>
        <v/>
      </c>
      <c r="C42231" t="inlineStr">
        <is>
          <t>2015-07-02</t>
        </is>
      </c>
    </row>
    <row r="42232">
      <c r="A42232" s="1" t="n">
        <v>42231</v>
      </c>
      <c r="B42232">
        <f>TEXT(42231, "[$-0E0000]yyyy-mm-dd")</f>
        <v/>
      </c>
      <c r="C42232" t="inlineStr">
        <is>
          <t>2015-07-03</t>
        </is>
      </c>
    </row>
    <row r="42233">
      <c r="A42233" s="1" t="n">
        <v>42232</v>
      </c>
      <c r="B42233">
        <f>TEXT(42232, "[$-0E0000]yyyy-mm-dd")</f>
        <v/>
      </c>
      <c r="C42233" t="inlineStr">
        <is>
          <t>2015-07-04</t>
        </is>
      </c>
    </row>
    <row r="42234">
      <c r="A42234" s="1" t="n">
        <v>42233</v>
      </c>
      <c r="B42234">
        <f>TEXT(42233, "[$-0E0000]yyyy-mm-dd")</f>
        <v/>
      </c>
      <c r="C42234" t="inlineStr">
        <is>
          <t>2015-07-05</t>
        </is>
      </c>
    </row>
    <row r="42235">
      <c r="A42235" s="1" t="n">
        <v>42234</v>
      </c>
      <c r="B42235">
        <f>TEXT(42234, "[$-0E0000]yyyy-mm-dd")</f>
        <v/>
      </c>
      <c r="C42235" t="inlineStr">
        <is>
          <t>2015-07-06</t>
        </is>
      </c>
    </row>
    <row r="42236">
      <c r="A42236" s="1" t="n">
        <v>42235</v>
      </c>
      <c r="B42236">
        <f>TEXT(42235, "[$-0E0000]yyyy-mm-dd")</f>
        <v/>
      </c>
      <c r="C42236" t="inlineStr">
        <is>
          <t>2015-07-07</t>
        </is>
      </c>
    </row>
    <row r="42237">
      <c r="A42237" s="1" t="n">
        <v>42236</v>
      </c>
      <c r="B42237">
        <f>TEXT(42236, "[$-0E0000]yyyy-mm-dd")</f>
        <v/>
      </c>
      <c r="C42237" t="inlineStr">
        <is>
          <t>2015-07-08</t>
        </is>
      </c>
    </row>
    <row r="42238">
      <c r="A42238" s="1" t="n">
        <v>42237</v>
      </c>
      <c r="B42238">
        <f>TEXT(42237, "[$-0E0000]yyyy-mm-dd")</f>
        <v/>
      </c>
      <c r="C42238" t="inlineStr">
        <is>
          <t>2015-07-09</t>
        </is>
      </c>
    </row>
    <row r="42239">
      <c r="A42239" s="1" t="n">
        <v>42238</v>
      </c>
      <c r="B42239">
        <f>TEXT(42238, "[$-0E0000]yyyy-mm-dd")</f>
        <v/>
      </c>
      <c r="C42239" t="inlineStr">
        <is>
          <t>2015-07-10</t>
        </is>
      </c>
    </row>
    <row r="42240">
      <c r="A42240" s="1" t="n">
        <v>42239</v>
      </c>
      <c r="B42240">
        <f>TEXT(42239, "[$-0E0000]yyyy-mm-dd")</f>
        <v/>
      </c>
      <c r="C42240" t="inlineStr">
        <is>
          <t>2015-07-11</t>
        </is>
      </c>
    </row>
    <row r="42241">
      <c r="A42241" s="1" t="n">
        <v>42240</v>
      </c>
      <c r="B42241">
        <f>TEXT(42240, "[$-0E0000]yyyy-mm-dd")</f>
        <v/>
      </c>
      <c r="C42241" t="inlineStr">
        <is>
          <t>2015-07-12</t>
        </is>
      </c>
    </row>
    <row r="42242">
      <c r="A42242" s="1" t="n">
        <v>42241</v>
      </c>
      <c r="B42242">
        <f>TEXT(42241, "[$-0E0000]yyyy-mm-dd")</f>
        <v/>
      </c>
      <c r="C42242" t="inlineStr">
        <is>
          <t>2015-07-13</t>
        </is>
      </c>
    </row>
    <row r="42243">
      <c r="A42243" s="1" t="n">
        <v>42242</v>
      </c>
      <c r="B42243">
        <f>TEXT(42242, "[$-0E0000]yyyy-mm-dd")</f>
        <v/>
      </c>
      <c r="C42243" t="inlineStr">
        <is>
          <t>2015-07-14</t>
        </is>
      </c>
    </row>
    <row r="42244">
      <c r="A42244" s="1" t="n">
        <v>42243</v>
      </c>
      <c r="B42244">
        <f>TEXT(42243, "[$-0E0000]yyyy-mm-dd")</f>
        <v/>
      </c>
      <c r="C42244" t="inlineStr">
        <is>
          <t>2015-07-15</t>
        </is>
      </c>
    </row>
    <row r="42245">
      <c r="A42245" s="1" t="n">
        <v>42244</v>
      </c>
      <c r="B42245">
        <f>TEXT(42244, "[$-0E0000]yyyy-mm-dd")</f>
        <v/>
      </c>
      <c r="C42245" t="inlineStr">
        <is>
          <t>2015-07-16</t>
        </is>
      </c>
    </row>
    <row r="42246">
      <c r="A42246" s="1" t="n">
        <v>42245</v>
      </c>
      <c r="B42246">
        <f>TEXT(42245, "[$-0E0000]yyyy-mm-dd")</f>
        <v/>
      </c>
      <c r="C42246" t="inlineStr">
        <is>
          <t>2015-07-17</t>
        </is>
      </c>
    </row>
    <row r="42247">
      <c r="A42247" s="1" t="n">
        <v>42246</v>
      </c>
      <c r="B42247">
        <f>TEXT(42246, "[$-0E0000]yyyy-mm-dd")</f>
        <v/>
      </c>
      <c r="C42247" t="inlineStr">
        <is>
          <t>2015-07-18</t>
        </is>
      </c>
    </row>
    <row r="42248">
      <c r="A42248" s="1" t="n">
        <v>42247</v>
      </c>
      <c r="B42248">
        <f>TEXT(42247, "[$-0E0000]yyyy-mm-dd")</f>
        <v/>
      </c>
      <c r="C42248" t="inlineStr">
        <is>
          <t>2015-07-19</t>
        </is>
      </c>
    </row>
    <row r="42249">
      <c r="A42249" s="1" t="n">
        <v>42248</v>
      </c>
      <c r="B42249">
        <f>TEXT(42248, "[$-0E0000]yyyy-mm-dd")</f>
        <v/>
      </c>
      <c r="C42249" t="inlineStr">
        <is>
          <t>2015-07-20</t>
        </is>
      </c>
    </row>
    <row r="42250">
      <c r="A42250" s="1" t="n">
        <v>42249</v>
      </c>
      <c r="B42250">
        <f>TEXT(42249, "[$-0E0000]yyyy-mm-dd")</f>
        <v/>
      </c>
      <c r="C42250" t="inlineStr">
        <is>
          <t>2015-07-21</t>
        </is>
      </c>
    </row>
    <row r="42251">
      <c r="A42251" s="1" t="n">
        <v>42250</v>
      </c>
      <c r="B42251">
        <f>TEXT(42250, "[$-0E0000]yyyy-mm-dd")</f>
        <v/>
      </c>
      <c r="C42251" t="inlineStr">
        <is>
          <t>2015-07-22</t>
        </is>
      </c>
    </row>
    <row r="42252">
      <c r="A42252" s="1" t="n">
        <v>42251</v>
      </c>
      <c r="B42252">
        <f>TEXT(42251, "[$-0E0000]yyyy-mm-dd")</f>
        <v/>
      </c>
      <c r="C42252" t="inlineStr">
        <is>
          <t>2015-07-23</t>
        </is>
      </c>
    </row>
    <row r="42253">
      <c r="A42253" s="1" t="n">
        <v>42252</v>
      </c>
      <c r="B42253">
        <f>TEXT(42252, "[$-0E0000]yyyy-mm-dd")</f>
        <v/>
      </c>
      <c r="C42253" t="inlineStr">
        <is>
          <t>2015-07-24</t>
        </is>
      </c>
    </row>
    <row r="42254">
      <c r="A42254" s="1" t="n">
        <v>42253</v>
      </c>
      <c r="B42254">
        <f>TEXT(42253, "[$-0E0000]yyyy-mm-dd")</f>
        <v/>
      </c>
      <c r="C42254" t="inlineStr">
        <is>
          <t>2015-07-25</t>
        </is>
      </c>
    </row>
    <row r="42255">
      <c r="A42255" s="1" t="n">
        <v>42254</v>
      </c>
      <c r="B42255">
        <f>TEXT(42254, "[$-0E0000]yyyy-mm-dd")</f>
        <v/>
      </c>
      <c r="C42255" t="inlineStr">
        <is>
          <t>2015-07-26</t>
        </is>
      </c>
    </row>
    <row r="42256">
      <c r="A42256" s="1" t="n">
        <v>42255</v>
      </c>
      <c r="B42256">
        <f>TEXT(42255, "[$-0E0000]yyyy-mm-dd")</f>
        <v/>
      </c>
      <c r="C42256" t="inlineStr">
        <is>
          <t>2015-07-27</t>
        </is>
      </c>
    </row>
    <row r="42257">
      <c r="A42257" s="1" t="n">
        <v>42256</v>
      </c>
      <c r="B42257">
        <f>TEXT(42256, "[$-0E0000]yyyy-mm-dd")</f>
        <v/>
      </c>
      <c r="C42257" t="inlineStr">
        <is>
          <t>2015-07-28</t>
        </is>
      </c>
    </row>
    <row r="42258">
      <c r="A42258" s="1" t="n">
        <v>42257</v>
      </c>
      <c r="B42258">
        <f>TEXT(42257, "[$-0E0000]yyyy-mm-dd")</f>
        <v/>
      </c>
      <c r="C42258" t="inlineStr">
        <is>
          <t>2015-07-29</t>
        </is>
      </c>
    </row>
    <row r="42259">
      <c r="A42259" s="1" t="n">
        <v>42258</v>
      </c>
      <c r="B42259">
        <f>TEXT(42258, "[$-0E0000]yyyy-mm-dd")</f>
        <v/>
      </c>
      <c r="C42259" t="inlineStr">
        <is>
          <t>2015-07-30</t>
        </is>
      </c>
    </row>
    <row r="42260">
      <c r="A42260" s="1" t="n">
        <v>42259</v>
      </c>
      <c r="B42260">
        <f>TEXT(42259, "[$-0E0000]yyyy-mm-dd")</f>
        <v/>
      </c>
      <c r="C42260" t="inlineStr">
        <is>
          <t>2015-08-01</t>
        </is>
      </c>
    </row>
    <row r="42261">
      <c r="A42261" s="1" t="n">
        <v>42260</v>
      </c>
      <c r="B42261">
        <f>TEXT(42260, "[$-0E0000]yyyy-mm-dd")</f>
        <v/>
      </c>
      <c r="C42261" t="inlineStr">
        <is>
          <t>2015-08-02</t>
        </is>
      </c>
    </row>
    <row r="42262">
      <c r="A42262" s="1" t="n">
        <v>42261</v>
      </c>
      <c r="B42262">
        <f>TEXT(42261, "[$-0E0000]yyyy-mm-dd")</f>
        <v/>
      </c>
      <c r="C42262" t="inlineStr">
        <is>
          <t>2015-08-03</t>
        </is>
      </c>
    </row>
    <row r="42263">
      <c r="A42263" s="1" t="n">
        <v>42262</v>
      </c>
      <c r="B42263">
        <f>TEXT(42262, "[$-0E0000]yyyy-mm-dd")</f>
        <v/>
      </c>
      <c r="C42263" t="inlineStr">
        <is>
          <t>2015-08-04</t>
        </is>
      </c>
    </row>
    <row r="42264">
      <c r="A42264" s="1" t="n">
        <v>42263</v>
      </c>
      <c r="B42264">
        <f>TEXT(42263, "[$-0E0000]yyyy-mm-dd")</f>
        <v/>
      </c>
      <c r="C42264" t="inlineStr">
        <is>
          <t>2015-08-05</t>
        </is>
      </c>
    </row>
    <row r="42265">
      <c r="A42265" s="1" t="n">
        <v>42264</v>
      </c>
      <c r="B42265">
        <f>TEXT(42264, "[$-0E0000]yyyy-mm-dd")</f>
        <v/>
      </c>
      <c r="C42265" t="inlineStr">
        <is>
          <t>2015-08-06</t>
        </is>
      </c>
    </row>
    <row r="42266">
      <c r="A42266" s="1" t="n">
        <v>42265</v>
      </c>
      <c r="B42266">
        <f>TEXT(42265, "[$-0E0000]yyyy-mm-dd")</f>
        <v/>
      </c>
      <c r="C42266" t="inlineStr">
        <is>
          <t>2015-08-07</t>
        </is>
      </c>
    </row>
    <row r="42267">
      <c r="A42267" s="1" t="n">
        <v>42266</v>
      </c>
      <c r="B42267">
        <f>TEXT(42266, "[$-0E0000]yyyy-mm-dd")</f>
        <v/>
      </c>
      <c r="C42267" t="inlineStr">
        <is>
          <t>2015-08-08</t>
        </is>
      </c>
    </row>
    <row r="42268">
      <c r="A42268" s="1" t="n">
        <v>42267</v>
      </c>
      <c r="B42268">
        <f>TEXT(42267, "[$-0E0000]yyyy-mm-dd")</f>
        <v/>
      </c>
      <c r="C42268" t="inlineStr">
        <is>
          <t>2015-08-09</t>
        </is>
      </c>
    </row>
    <row r="42269">
      <c r="A42269" s="1" t="n">
        <v>42268</v>
      </c>
      <c r="B42269">
        <f>TEXT(42268, "[$-0E0000]yyyy-mm-dd")</f>
        <v/>
      </c>
      <c r="C42269" t="inlineStr">
        <is>
          <t>2015-08-10</t>
        </is>
      </c>
    </row>
    <row r="42270">
      <c r="A42270" s="1" t="n">
        <v>42269</v>
      </c>
      <c r="B42270">
        <f>TEXT(42269, "[$-0E0000]yyyy-mm-dd")</f>
        <v/>
      </c>
      <c r="C42270" t="inlineStr">
        <is>
          <t>2015-08-11</t>
        </is>
      </c>
    </row>
    <row r="42271">
      <c r="A42271" s="1" t="n">
        <v>42270</v>
      </c>
      <c r="B42271">
        <f>TEXT(42270, "[$-0E0000]yyyy-mm-dd")</f>
        <v/>
      </c>
      <c r="C42271" t="inlineStr">
        <is>
          <t>2015-08-12</t>
        </is>
      </c>
    </row>
    <row r="42272">
      <c r="A42272" s="1" t="n">
        <v>42271</v>
      </c>
      <c r="B42272">
        <f>TEXT(42271, "[$-0E0000]yyyy-mm-dd")</f>
        <v/>
      </c>
      <c r="C42272" t="inlineStr">
        <is>
          <t>2015-08-13</t>
        </is>
      </c>
    </row>
    <row r="42273">
      <c r="A42273" s="1" t="n">
        <v>42272</v>
      </c>
      <c r="B42273">
        <f>TEXT(42272, "[$-0E0000]yyyy-mm-dd")</f>
        <v/>
      </c>
      <c r="C42273" t="inlineStr">
        <is>
          <t>2015-08-14</t>
        </is>
      </c>
    </row>
    <row r="42274">
      <c r="A42274" s="1" t="n">
        <v>42273</v>
      </c>
      <c r="B42274">
        <f>TEXT(42273, "[$-0E0000]yyyy-mm-dd")</f>
        <v/>
      </c>
      <c r="C42274" t="inlineStr">
        <is>
          <t>2015-08-15</t>
        </is>
      </c>
    </row>
    <row r="42275">
      <c r="A42275" s="1" t="n">
        <v>42274</v>
      </c>
      <c r="B42275">
        <f>TEXT(42274, "[$-0E0000]yyyy-mm-dd")</f>
        <v/>
      </c>
      <c r="C42275" t="inlineStr">
        <is>
          <t>2015-08-16</t>
        </is>
      </c>
    </row>
    <row r="42276">
      <c r="A42276" s="1" t="n">
        <v>42275</v>
      </c>
      <c r="B42276">
        <f>TEXT(42275, "[$-0E0000]yyyy-mm-dd")</f>
        <v/>
      </c>
      <c r="C42276" t="inlineStr">
        <is>
          <t>2015-08-17</t>
        </is>
      </c>
    </row>
    <row r="42277">
      <c r="A42277" s="1" t="n">
        <v>42276</v>
      </c>
      <c r="B42277">
        <f>TEXT(42276, "[$-0E0000]yyyy-mm-dd")</f>
        <v/>
      </c>
      <c r="C42277" t="inlineStr">
        <is>
          <t>2015-08-18</t>
        </is>
      </c>
    </row>
    <row r="42278">
      <c r="A42278" s="1" t="n">
        <v>42277</v>
      </c>
      <c r="B42278">
        <f>TEXT(42277, "[$-0E0000]yyyy-mm-dd")</f>
        <v/>
      </c>
      <c r="C42278" t="inlineStr">
        <is>
          <t>2015-08-19</t>
        </is>
      </c>
    </row>
    <row r="42279">
      <c r="A42279" s="1" t="n">
        <v>42278</v>
      </c>
      <c r="B42279">
        <f>TEXT(42278, "[$-0E0000]yyyy-mm-dd")</f>
        <v/>
      </c>
      <c r="C42279" t="inlineStr">
        <is>
          <t>2015-08-20</t>
        </is>
      </c>
    </row>
    <row r="42280">
      <c r="A42280" s="1" t="n">
        <v>42279</v>
      </c>
      <c r="B42280">
        <f>TEXT(42279, "[$-0E0000]yyyy-mm-dd")</f>
        <v/>
      </c>
      <c r="C42280" t="inlineStr">
        <is>
          <t>2015-08-21</t>
        </is>
      </c>
    </row>
    <row r="42281">
      <c r="A42281" s="1" t="n">
        <v>42280</v>
      </c>
      <c r="B42281">
        <f>TEXT(42280, "[$-0E0000]yyyy-mm-dd")</f>
        <v/>
      </c>
      <c r="C42281" t="inlineStr">
        <is>
          <t>2015-08-22</t>
        </is>
      </c>
    </row>
    <row r="42282">
      <c r="A42282" s="1" t="n">
        <v>42281</v>
      </c>
      <c r="B42282">
        <f>TEXT(42281, "[$-0E0000]yyyy-mm-dd")</f>
        <v/>
      </c>
      <c r="C42282" t="inlineStr">
        <is>
          <t>2015-08-23</t>
        </is>
      </c>
    </row>
    <row r="42283">
      <c r="A42283" s="1" t="n">
        <v>42282</v>
      </c>
      <c r="B42283">
        <f>TEXT(42282, "[$-0E0000]yyyy-mm-dd")</f>
        <v/>
      </c>
      <c r="C42283" t="inlineStr">
        <is>
          <t>2015-08-24</t>
        </is>
      </c>
    </row>
    <row r="42284">
      <c r="A42284" s="1" t="n">
        <v>42283</v>
      </c>
      <c r="B42284">
        <f>TEXT(42283, "[$-0E0000]yyyy-mm-dd")</f>
        <v/>
      </c>
      <c r="C42284" t="inlineStr">
        <is>
          <t>2015-08-25</t>
        </is>
      </c>
    </row>
    <row r="42285">
      <c r="A42285" s="1" t="n">
        <v>42284</v>
      </c>
      <c r="B42285">
        <f>TEXT(42284, "[$-0E0000]yyyy-mm-dd")</f>
        <v/>
      </c>
      <c r="C42285" t="inlineStr">
        <is>
          <t>2015-08-26</t>
        </is>
      </c>
    </row>
    <row r="42286">
      <c r="A42286" s="1" t="n">
        <v>42285</v>
      </c>
      <c r="B42286">
        <f>TEXT(42285, "[$-0E0000]yyyy-mm-dd")</f>
        <v/>
      </c>
      <c r="C42286" t="inlineStr">
        <is>
          <t>2015-08-27</t>
        </is>
      </c>
    </row>
    <row r="42287">
      <c r="A42287" s="1" t="n">
        <v>42286</v>
      </c>
      <c r="B42287">
        <f>TEXT(42286, "[$-0E0000]yyyy-mm-dd")</f>
        <v/>
      </c>
      <c r="C42287" t="inlineStr">
        <is>
          <t>2015-08-28</t>
        </is>
      </c>
    </row>
    <row r="42288">
      <c r="A42288" s="1" t="n">
        <v>42287</v>
      </c>
      <c r="B42288">
        <f>TEXT(42287, "[$-0E0000]yyyy-mm-dd")</f>
        <v/>
      </c>
      <c r="C42288" t="inlineStr">
        <is>
          <t>2015-08-29</t>
        </is>
      </c>
    </row>
    <row r="42289">
      <c r="A42289" s="1" t="n">
        <v>42288</v>
      </c>
      <c r="B42289">
        <f>TEXT(42288, "[$-0E0000]yyyy-mm-dd")</f>
        <v/>
      </c>
      <c r="C42289" t="inlineStr">
        <is>
          <t>2015-08-30</t>
        </is>
      </c>
    </row>
    <row r="42290">
      <c r="A42290" s="1" t="n">
        <v>42289</v>
      </c>
      <c r="B42290">
        <f>TEXT(42289, "[$-0E0000]yyyy-mm-dd")</f>
        <v/>
      </c>
      <c r="C42290" t="inlineStr">
        <is>
          <t>2015-09-01</t>
        </is>
      </c>
    </row>
    <row r="42291">
      <c r="A42291" s="1" t="n">
        <v>42290</v>
      </c>
      <c r="B42291">
        <f>TEXT(42290, "[$-0E0000]yyyy-mm-dd")</f>
        <v/>
      </c>
      <c r="C42291" t="inlineStr">
        <is>
          <t>2015-09-02</t>
        </is>
      </c>
    </row>
    <row r="42292">
      <c r="A42292" s="1" t="n">
        <v>42291</v>
      </c>
      <c r="B42292">
        <f>TEXT(42291, "[$-0E0000]yyyy-mm-dd")</f>
        <v/>
      </c>
      <c r="C42292" t="inlineStr">
        <is>
          <t>2015-09-03</t>
        </is>
      </c>
    </row>
    <row r="42293">
      <c r="A42293" s="1" t="n">
        <v>42292</v>
      </c>
      <c r="B42293">
        <f>TEXT(42292, "[$-0E0000]yyyy-mm-dd")</f>
        <v/>
      </c>
      <c r="C42293" t="inlineStr">
        <is>
          <t>2015-09-04</t>
        </is>
      </c>
    </row>
    <row r="42294">
      <c r="A42294" s="1" t="n">
        <v>42293</v>
      </c>
      <c r="B42294">
        <f>TEXT(42293, "[$-0E0000]yyyy-mm-dd")</f>
        <v/>
      </c>
      <c r="C42294" t="inlineStr">
        <is>
          <t>2015-09-05</t>
        </is>
      </c>
    </row>
    <row r="42295">
      <c r="A42295" s="1" t="n">
        <v>42294</v>
      </c>
      <c r="B42295">
        <f>TEXT(42294, "[$-0E0000]yyyy-mm-dd")</f>
        <v/>
      </c>
      <c r="C42295" t="inlineStr">
        <is>
          <t>2015-09-06</t>
        </is>
      </c>
    </row>
    <row r="42296">
      <c r="A42296" s="1" t="n">
        <v>42295</v>
      </c>
      <c r="B42296">
        <f>TEXT(42295, "[$-0E0000]yyyy-mm-dd")</f>
        <v/>
      </c>
      <c r="C42296" t="inlineStr">
        <is>
          <t>2015-09-07</t>
        </is>
      </c>
    </row>
    <row r="42297">
      <c r="A42297" s="1" t="n">
        <v>42296</v>
      </c>
      <c r="B42297">
        <f>TEXT(42296, "[$-0E0000]yyyy-mm-dd")</f>
        <v/>
      </c>
      <c r="C42297" t="inlineStr">
        <is>
          <t>2015-09-08</t>
        </is>
      </c>
    </row>
    <row r="42298">
      <c r="A42298" s="1" t="n">
        <v>42297</v>
      </c>
      <c r="B42298">
        <f>TEXT(42297, "[$-0E0000]yyyy-mm-dd")</f>
        <v/>
      </c>
      <c r="C42298" t="inlineStr">
        <is>
          <t>2015-09-09</t>
        </is>
      </c>
    </row>
    <row r="42299">
      <c r="A42299" s="1" t="n">
        <v>42298</v>
      </c>
      <c r="B42299">
        <f>TEXT(42298, "[$-0E0000]yyyy-mm-dd")</f>
        <v/>
      </c>
      <c r="C42299" t="inlineStr">
        <is>
          <t>2015-09-10</t>
        </is>
      </c>
    </row>
    <row r="42300">
      <c r="A42300" s="1" t="n">
        <v>42299</v>
      </c>
      <c r="B42300">
        <f>TEXT(42299, "[$-0E0000]yyyy-mm-dd")</f>
        <v/>
      </c>
      <c r="C42300" t="inlineStr">
        <is>
          <t>2015-09-11</t>
        </is>
      </c>
    </row>
    <row r="42301">
      <c r="A42301" s="1" t="n">
        <v>42300</v>
      </c>
      <c r="B42301">
        <f>TEXT(42300, "[$-0E0000]yyyy-mm-dd")</f>
        <v/>
      </c>
      <c r="C42301" t="inlineStr">
        <is>
          <t>2015-09-12</t>
        </is>
      </c>
    </row>
    <row r="42302">
      <c r="A42302" s="1" t="n">
        <v>42301</v>
      </c>
      <c r="B42302">
        <f>TEXT(42301, "[$-0E0000]yyyy-mm-dd")</f>
        <v/>
      </c>
      <c r="C42302" t="inlineStr">
        <is>
          <t>2015-09-13</t>
        </is>
      </c>
    </row>
    <row r="42303">
      <c r="A42303" s="1" t="n">
        <v>42302</v>
      </c>
      <c r="B42303">
        <f>TEXT(42302, "[$-0E0000]yyyy-mm-dd")</f>
        <v/>
      </c>
      <c r="C42303" t="inlineStr">
        <is>
          <t>2015-09-14</t>
        </is>
      </c>
    </row>
    <row r="42304">
      <c r="A42304" s="1" t="n">
        <v>42303</v>
      </c>
      <c r="B42304">
        <f>TEXT(42303, "[$-0E0000]yyyy-mm-dd")</f>
        <v/>
      </c>
      <c r="C42304" t="inlineStr">
        <is>
          <t>2015-09-15</t>
        </is>
      </c>
    </row>
    <row r="42305">
      <c r="A42305" s="1" t="n">
        <v>42304</v>
      </c>
      <c r="B42305">
        <f>TEXT(42304, "[$-0E0000]yyyy-mm-dd")</f>
        <v/>
      </c>
      <c r="C42305" t="inlineStr">
        <is>
          <t>2015-09-16</t>
        </is>
      </c>
    </row>
    <row r="42306">
      <c r="A42306" s="1" t="n">
        <v>42305</v>
      </c>
      <c r="B42306">
        <f>TEXT(42305, "[$-0E0000]yyyy-mm-dd")</f>
        <v/>
      </c>
      <c r="C42306" t="inlineStr">
        <is>
          <t>2015-09-17</t>
        </is>
      </c>
    </row>
    <row r="42307">
      <c r="A42307" s="1" t="n">
        <v>42306</v>
      </c>
      <c r="B42307">
        <f>TEXT(42306, "[$-0E0000]yyyy-mm-dd")</f>
        <v/>
      </c>
      <c r="C42307" t="inlineStr">
        <is>
          <t>2015-09-18</t>
        </is>
      </c>
    </row>
    <row r="42308">
      <c r="A42308" s="1" t="n">
        <v>42307</v>
      </c>
      <c r="B42308">
        <f>TEXT(42307, "[$-0E0000]yyyy-mm-dd")</f>
        <v/>
      </c>
      <c r="C42308" t="inlineStr">
        <is>
          <t>2015-09-19</t>
        </is>
      </c>
    </row>
    <row r="42309">
      <c r="A42309" s="1" t="n">
        <v>42308</v>
      </c>
      <c r="B42309">
        <f>TEXT(42308, "[$-0E0000]yyyy-mm-dd")</f>
        <v/>
      </c>
      <c r="C42309" t="inlineStr">
        <is>
          <t>2015-09-20</t>
        </is>
      </c>
    </row>
    <row r="42310">
      <c r="A42310" s="1" t="n">
        <v>42309</v>
      </c>
      <c r="B42310">
        <f>TEXT(42309, "[$-0E0000]yyyy-mm-dd")</f>
        <v/>
      </c>
      <c r="C42310" t="inlineStr">
        <is>
          <t>2015-09-21</t>
        </is>
      </c>
    </row>
    <row r="42311">
      <c r="A42311" s="1" t="n">
        <v>42310</v>
      </c>
      <c r="B42311">
        <f>TEXT(42310, "[$-0E0000]yyyy-mm-dd")</f>
        <v/>
      </c>
      <c r="C42311" t="inlineStr">
        <is>
          <t>2015-09-22</t>
        </is>
      </c>
    </row>
    <row r="42312">
      <c r="A42312" s="1" t="n">
        <v>42311</v>
      </c>
      <c r="B42312">
        <f>TEXT(42311, "[$-0E0000]yyyy-mm-dd")</f>
        <v/>
      </c>
      <c r="C42312" t="inlineStr">
        <is>
          <t>2015-09-23</t>
        </is>
      </c>
    </row>
    <row r="42313">
      <c r="A42313" s="1" t="n">
        <v>42312</v>
      </c>
      <c r="B42313">
        <f>TEXT(42312, "[$-0E0000]yyyy-mm-dd")</f>
        <v/>
      </c>
      <c r="C42313" t="inlineStr">
        <is>
          <t>2015-09-24</t>
        </is>
      </c>
    </row>
    <row r="42314">
      <c r="A42314" s="1" t="n">
        <v>42313</v>
      </c>
      <c r="B42314">
        <f>TEXT(42313, "[$-0E0000]yyyy-mm-dd")</f>
        <v/>
      </c>
      <c r="C42314" t="inlineStr">
        <is>
          <t>2015-09-25</t>
        </is>
      </c>
    </row>
    <row r="42315">
      <c r="A42315" s="1" t="n">
        <v>42314</v>
      </c>
      <c r="B42315">
        <f>TEXT(42314, "[$-0E0000]yyyy-mm-dd")</f>
        <v/>
      </c>
      <c r="C42315" t="inlineStr">
        <is>
          <t>2015-09-26</t>
        </is>
      </c>
    </row>
    <row r="42316">
      <c r="A42316" s="1" t="n">
        <v>42315</v>
      </c>
      <c r="B42316">
        <f>TEXT(42315, "[$-0E0000]yyyy-mm-dd")</f>
        <v/>
      </c>
      <c r="C42316" t="inlineStr">
        <is>
          <t>2015-09-27</t>
        </is>
      </c>
    </row>
    <row r="42317">
      <c r="A42317" s="1" t="n">
        <v>42316</v>
      </c>
      <c r="B42317">
        <f>TEXT(42316, "[$-0E0000]yyyy-mm-dd")</f>
        <v/>
      </c>
      <c r="C42317" t="inlineStr">
        <is>
          <t>2015-09-28</t>
        </is>
      </c>
    </row>
    <row r="42318">
      <c r="A42318" s="1" t="n">
        <v>42317</v>
      </c>
      <c r="B42318">
        <f>TEXT(42317, "[$-0E0000]yyyy-mm-dd")</f>
        <v/>
      </c>
      <c r="C42318" t="inlineStr">
        <is>
          <t>2015-09-29</t>
        </is>
      </c>
    </row>
    <row r="42319">
      <c r="A42319" s="1" t="n">
        <v>42318</v>
      </c>
      <c r="B42319">
        <f>TEXT(42318, "[$-0E0000]yyyy-mm-dd")</f>
        <v/>
      </c>
      <c r="C42319" t="inlineStr">
        <is>
          <t>2015-09-30</t>
        </is>
      </c>
    </row>
    <row r="42320">
      <c r="A42320" s="1" t="n">
        <v>42319</v>
      </c>
      <c r="B42320">
        <f>TEXT(42319, "[$-0E0000]yyyy-mm-dd")</f>
        <v/>
      </c>
      <c r="C42320" t="inlineStr">
        <is>
          <t>2015-10-01</t>
        </is>
      </c>
    </row>
    <row r="42321">
      <c r="A42321" s="1" t="n">
        <v>42320</v>
      </c>
      <c r="B42321">
        <f>TEXT(42320, "[$-0E0000]yyyy-mm-dd")</f>
        <v/>
      </c>
      <c r="C42321" t="inlineStr">
        <is>
          <t>2015-10-02</t>
        </is>
      </c>
    </row>
    <row r="42322">
      <c r="A42322" s="1" t="n">
        <v>42321</v>
      </c>
      <c r="B42322">
        <f>TEXT(42321, "[$-0E0000]yyyy-mm-dd")</f>
        <v/>
      </c>
      <c r="C42322" t="inlineStr">
        <is>
          <t>2015-10-03</t>
        </is>
      </c>
    </row>
    <row r="42323">
      <c r="A42323" s="1" t="n">
        <v>42322</v>
      </c>
      <c r="B42323">
        <f>TEXT(42322, "[$-0E0000]yyyy-mm-dd")</f>
        <v/>
      </c>
      <c r="C42323" t="inlineStr">
        <is>
          <t>2015-10-04</t>
        </is>
      </c>
    </row>
    <row r="42324">
      <c r="A42324" s="1" t="n">
        <v>42323</v>
      </c>
      <c r="B42324">
        <f>TEXT(42323, "[$-0E0000]yyyy-mm-dd")</f>
        <v/>
      </c>
      <c r="C42324" t="inlineStr">
        <is>
          <t>2015-10-05</t>
        </is>
      </c>
    </row>
    <row r="42325">
      <c r="A42325" s="1" t="n">
        <v>42324</v>
      </c>
      <c r="B42325">
        <f>TEXT(42324, "[$-0E0000]yyyy-mm-dd")</f>
        <v/>
      </c>
      <c r="C42325" t="inlineStr">
        <is>
          <t>2015-10-06</t>
        </is>
      </c>
    </row>
    <row r="42326">
      <c r="A42326" s="1" t="n">
        <v>42325</v>
      </c>
      <c r="B42326">
        <f>TEXT(42325, "[$-0E0000]yyyy-mm-dd")</f>
        <v/>
      </c>
      <c r="C42326" t="inlineStr">
        <is>
          <t>2015-10-07</t>
        </is>
      </c>
    </row>
    <row r="42327">
      <c r="A42327" s="1" t="n">
        <v>42326</v>
      </c>
      <c r="B42327">
        <f>TEXT(42326, "[$-0E0000]yyyy-mm-dd")</f>
        <v/>
      </c>
      <c r="C42327" t="inlineStr">
        <is>
          <t>2015-10-08</t>
        </is>
      </c>
    </row>
    <row r="42328">
      <c r="A42328" s="1" t="n">
        <v>42327</v>
      </c>
      <c r="B42328">
        <f>TEXT(42327, "[$-0E0000]yyyy-mm-dd")</f>
        <v/>
      </c>
      <c r="C42328" t="inlineStr">
        <is>
          <t>2015-10-09</t>
        </is>
      </c>
    </row>
    <row r="42329">
      <c r="A42329" s="1" t="n">
        <v>42328</v>
      </c>
      <c r="B42329">
        <f>TEXT(42328, "[$-0E0000]yyyy-mm-dd")</f>
        <v/>
      </c>
      <c r="C42329" t="inlineStr">
        <is>
          <t>2015-10-10</t>
        </is>
      </c>
    </row>
    <row r="42330">
      <c r="A42330" s="1" t="n">
        <v>42329</v>
      </c>
      <c r="B42330">
        <f>TEXT(42329, "[$-0E0000]yyyy-mm-dd")</f>
        <v/>
      </c>
      <c r="C42330" t="inlineStr">
        <is>
          <t>2015-10-11</t>
        </is>
      </c>
    </row>
    <row r="42331">
      <c r="A42331" s="1" t="n">
        <v>42330</v>
      </c>
      <c r="B42331">
        <f>TEXT(42330, "[$-0E0000]yyyy-mm-dd")</f>
        <v/>
      </c>
      <c r="C42331" t="inlineStr">
        <is>
          <t>2015-10-12</t>
        </is>
      </c>
    </row>
    <row r="42332">
      <c r="A42332" s="1" t="n">
        <v>42331</v>
      </c>
      <c r="B42332">
        <f>TEXT(42331, "[$-0E0000]yyyy-mm-dd")</f>
        <v/>
      </c>
      <c r="C42332" t="inlineStr">
        <is>
          <t>2015-10-13</t>
        </is>
      </c>
    </row>
    <row r="42333">
      <c r="A42333" s="1" t="n">
        <v>42332</v>
      </c>
      <c r="B42333">
        <f>TEXT(42332, "[$-0E0000]yyyy-mm-dd")</f>
        <v/>
      </c>
      <c r="C42333" t="inlineStr">
        <is>
          <t>2015-10-14</t>
        </is>
      </c>
    </row>
    <row r="42334">
      <c r="A42334" s="1" t="n">
        <v>42333</v>
      </c>
      <c r="B42334">
        <f>TEXT(42333, "[$-0E0000]yyyy-mm-dd")</f>
        <v/>
      </c>
      <c r="C42334" t="inlineStr">
        <is>
          <t>2015-10-15</t>
        </is>
      </c>
    </row>
    <row r="42335">
      <c r="A42335" s="1" t="n">
        <v>42334</v>
      </c>
      <c r="B42335">
        <f>TEXT(42334, "[$-0E0000]yyyy-mm-dd")</f>
        <v/>
      </c>
      <c r="C42335" t="inlineStr">
        <is>
          <t>2015-10-16</t>
        </is>
      </c>
    </row>
    <row r="42336">
      <c r="A42336" s="1" t="n">
        <v>42335</v>
      </c>
      <c r="B42336">
        <f>TEXT(42335, "[$-0E0000]yyyy-mm-dd")</f>
        <v/>
      </c>
      <c r="C42336" t="inlineStr">
        <is>
          <t>2015-10-17</t>
        </is>
      </c>
    </row>
    <row r="42337">
      <c r="A42337" s="1" t="n">
        <v>42336</v>
      </c>
      <c r="B42337">
        <f>TEXT(42336, "[$-0E0000]yyyy-mm-dd")</f>
        <v/>
      </c>
      <c r="C42337" t="inlineStr">
        <is>
          <t>2015-10-18</t>
        </is>
      </c>
    </row>
    <row r="42338">
      <c r="A42338" s="1" t="n">
        <v>42337</v>
      </c>
      <c r="B42338">
        <f>TEXT(42337, "[$-0E0000]yyyy-mm-dd")</f>
        <v/>
      </c>
      <c r="C42338" t="inlineStr">
        <is>
          <t>2015-10-19</t>
        </is>
      </c>
    </row>
    <row r="42339">
      <c r="A42339" s="1" t="n">
        <v>42338</v>
      </c>
      <c r="B42339">
        <f>TEXT(42338, "[$-0E0000]yyyy-mm-dd")</f>
        <v/>
      </c>
      <c r="C42339" t="inlineStr">
        <is>
          <t>2015-10-20</t>
        </is>
      </c>
    </row>
    <row r="42340">
      <c r="A42340" s="1" t="n">
        <v>42339</v>
      </c>
      <c r="B42340">
        <f>TEXT(42339, "[$-0E0000]yyyy-mm-dd")</f>
        <v/>
      </c>
      <c r="C42340" t="inlineStr">
        <is>
          <t>2015-10-21</t>
        </is>
      </c>
    </row>
    <row r="42341">
      <c r="A42341" s="1" t="n">
        <v>42340</v>
      </c>
      <c r="B42341">
        <f>TEXT(42340, "[$-0E0000]yyyy-mm-dd")</f>
        <v/>
      </c>
      <c r="C42341" t="inlineStr">
        <is>
          <t>2015-10-22</t>
        </is>
      </c>
    </row>
    <row r="42342">
      <c r="A42342" s="1" t="n">
        <v>42341</v>
      </c>
      <c r="B42342">
        <f>TEXT(42341, "[$-0E0000]yyyy-mm-dd")</f>
        <v/>
      </c>
      <c r="C42342" t="inlineStr">
        <is>
          <t>2015-10-23</t>
        </is>
      </c>
    </row>
    <row r="42343">
      <c r="A42343" s="1" t="n">
        <v>42342</v>
      </c>
      <c r="B42343">
        <f>TEXT(42342, "[$-0E0000]yyyy-mm-dd")</f>
        <v/>
      </c>
      <c r="C42343" t="inlineStr">
        <is>
          <t>2015-10-24</t>
        </is>
      </c>
    </row>
    <row r="42344">
      <c r="A42344" s="1" t="n">
        <v>42343</v>
      </c>
      <c r="B42344">
        <f>TEXT(42343, "[$-0E0000]yyyy-mm-dd")</f>
        <v/>
      </c>
      <c r="C42344" t="inlineStr">
        <is>
          <t>2015-10-25</t>
        </is>
      </c>
    </row>
    <row r="42345">
      <c r="A42345" s="1" t="n">
        <v>42344</v>
      </c>
      <c r="B42345">
        <f>TEXT(42344, "[$-0E0000]yyyy-mm-dd")</f>
        <v/>
      </c>
      <c r="C42345" t="inlineStr">
        <is>
          <t>2015-10-26</t>
        </is>
      </c>
    </row>
    <row r="42346">
      <c r="A42346" s="1" t="n">
        <v>42345</v>
      </c>
      <c r="B42346">
        <f>TEXT(42345, "[$-0E0000]yyyy-mm-dd")</f>
        <v/>
      </c>
      <c r="C42346" t="inlineStr">
        <is>
          <t>2015-10-27</t>
        </is>
      </c>
    </row>
    <row r="42347">
      <c r="A42347" s="1" t="n">
        <v>42346</v>
      </c>
      <c r="B42347">
        <f>TEXT(42346, "[$-0E0000]yyyy-mm-dd")</f>
        <v/>
      </c>
      <c r="C42347" t="inlineStr">
        <is>
          <t>2015-10-28</t>
        </is>
      </c>
    </row>
    <row r="42348">
      <c r="A42348" s="1" t="n">
        <v>42347</v>
      </c>
      <c r="B42348">
        <f>TEXT(42347, "[$-0E0000]yyyy-mm-dd")</f>
        <v/>
      </c>
      <c r="C42348" t="inlineStr">
        <is>
          <t>2015-10-29</t>
        </is>
      </c>
    </row>
    <row r="42349">
      <c r="A42349" s="1" t="n">
        <v>42348</v>
      </c>
      <c r="B42349">
        <f>TEXT(42348, "[$-0E0000]yyyy-mm-dd")</f>
        <v/>
      </c>
      <c r="C42349" t="inlineStr">
        <is>
          <t>2015-11-01</t>
        </is>
      </c>
    </row>
    <row r="42350">
      <c r="A42350" s="1" t="n">
        <v>42349</v>
      </c>
      <c r="B42350">
        <f>TEXT(42349, "[$-0E0000]yyyy-mm-dd")</f>
        <v/>
      </c>
      <c r="C42350" t="inlineStr">
        <is>
          <t>2015-11-02</t>
        </is>
      </c>
    </row>
    <row r="42351">
      <c r="A42351" s="1" t="n">
        <v>42350</v>
      </c>
      <c r="B42351">
        <f>TEXT(42350, "[$-0E0000]yyyy-mm-dd")</f>
        <v/>
      </c>
      <c r="C42351" t="inlineStr">
        <is>
          <t>2015-11-03</t>
        </is>
      </c>
    </row>
    <row r="42352">
      <c r="A42352" s="1" t="n">
        <v>42351</v>
      </c>
      <c r="B42352">
        <f>TEXT(42351, "[$-0E0000]yyyy-mm-dd")</f>
        <v/>
      </c>
      <c r="C42352" t="inlineStr">
        <is>
          <t>2015-11-04</t>
        </is>
      </c>
    </row>
    <row r="42353">
      <c r="A42353" s="1" t="n">
        <v>42352</v>
      </c>
      <c r="B42353">
        <f>TEXT(42352, "[$-0E0000]yyyy-mm-dd")</f>
        <v/>
      </c>
      <c r="C42353" t="inlineStr">
        <is>
          <t>2015-11-05</t>
        </is>
      </c>
    </row>
    <row r="42354">
      <c r="A42354" s="1" t="n">
        <v>42353</v>
      </c>
      <c r="B42354">
        <f>TEXT(42353, "[$-0E0000]yyyy-mm-dd")</f>
        <v/>
      </c>
      <c r="C42354" t="inlineStr">
        <is>
          <t>2015-11-06</t>
        </is>
      </c>
    </row>
    <row r="42355">
      <c r="A42355" s="1" t="n">
        <v>42354</v>
      </c>
      <c r="B42355">
        <f>TEXT(42354, "[$-0E0000]yyyy-mm-dd")</f>
        <v/>
      </c>
      <c r="C42355" t="inlineStr">
        <is>
          <t>2015-11-07</t>
        </is>
      </c>
    </row>
    <row r="42356">
      <c r="A42356" s="1" t="n">
        <v>42355</v>
      </c>
      <c r="B42356">
        <f>TEXT(42355, "[$-0E0000]yyyy-mm-dd")</f>
        <v/>
      </c>
      <c r="C42356" t="inlineStr">
        <is>
          <t>2015-11-08</t>
        </is>
      </c>
    </row>
    <row r="42357">
      <c r="A42357" s="1" t="n">
        <v>42356</v>
      </c>
      <c r="B42357">
        <f>TEXT(42356, "[$-0E0000]yyyy-mm-dd")</f>
        <v/>
      </c>
      <c r="C42357" t="inlineStr">
        <is>
          <t>2015-11-09</t>
        </is>
      </c>
    </row>
    <row r="42358">
      <c r="A42358" s="1" t="n">
        <v>42357</v>
      </c>
      <c r="B42358">
        <f>TEXT(42357, "[$-0E0000]yyyy-mm-dd")</f>
        <v/>
      </c>
      <c r="C42358" t="inlineStr">
        <is>
          <t>2015-11-10</t>
        </is>
      </c>
    </row>
    <row r="42359">
      <c r="A42359" s="1" t="n">
        <v>42358</v>
      </c>
      <c r="B42359">
        <f>TEXT(42358, "[$-0E0000]yyyy-mm-dd")</f>
        <v/>
      </c>
      <c r="C42359" t="inlineStr">
        <is>
          <t>2015-11-11</t>
        </is>
      </c>
    </row>
    <row r="42360">
      <c r="A42360" s="1" t="n">
        <v>42359</v>
      </c>
      <c r="B42360">
        <f>TEXT(42359, "[$-0E0000]yyyy-mm-dd")</f>
        <v/>
      </c>
      <c r="C42360" t="inlineStr">
        <is>
          <t>2015-11-12</t>
        </is>
      </c>
    </row>
    <row r="42361">
      <c r="A42361" s="1" t="n">
        <v>42360</v>
      </c>
      <c r="B42361">
        <f>TEXT(42360, "[$-0E0000]yyyy-mm-dd")</f>
        <v/>
      </c>
      <c r="C42361" t="inlineStr">
        <is>
          <t>2015-11-13</t>
        </is>
      </c>
    </row>
    <row r="42362">
      <c r="A42362" s="1" t="n">
        <v>42361</v>
      </c>
      <c r="B42362">
        <f>TEXT(42361, "[$-0E0000]yyyy-mm-dd")</f>
        <v/>
      </c>
      <c r="C42362" t="inlineStr">
        <is>
          <t>2015-11-14</t>
        </is>
      </c>
    </row>
    <row r="42363">
      <c r="A42363" s="1" t="n">
        <v>42362</v>
      </c>
      <c r="B42363">
        <f>TEXT(42362, "[$-0E0000]yyyy-mm-dd")</f>
        <v/>
      </c>
      <c r="C42363" t="inlineStr">
        <is>
          <t>2015-11-15</t>
        </is>
      </c>
    </row>
    <row r="42364">
      <c r="A42364" s="1" t="n">
        <v>42363</v>
      </c>
      <c r="B42364">
        <f>TEXT(42363, "[$-0E0000]yyyy-mm-dd")</f>
        <v/>
      </c>
      <c r="C42364" t="inlineStr">
        <is>
          <t>2015-11-16</t>
        </is>
      </c>
    </row>
    <row r="42365">
      <c r="A42365" s="1" t="n">
        <v>42364</v>
      </c>
      <c r="B42365">
        <f>TEXT(42364, "[$-0E0000]yyyy-mm-dd")</f>
        <v/>
      </c>
      <c r="C42365" t="inlineStr">
        <is>
          <t>2015-11-17</t>
        </is>
      </c>
    </row>
    <row r="42366">
      <c r="A42366" s="1" t="n">
        <v>42365</v>
      </c>
      <c r="B42366">
        <f>TEXT(42365, "[$-0E0000]yyyy-mm-dd")</f>
        <v/>
      </c>
      <c r="C42366" t="inlineStr">
        <is>
          <t>2015-11-18</t>
        </is>
      </c>
    </row>
    <row r="42367">
      <c r="A42367" s="1" t="n">
        <v>42366</v>
      </c>
      <c r="B42367">
        <f>TEXT(42366, "[$-0E0000]yyyy-mm-dd")</f>
        <v/>
      </c>
      <c r="C42367" t="inlineStr">
        <is>
          <t>2015-11-19</t>
        </is>
      </c>
    </row>
    <row r="42368">
      <c r="A42368" s="1" t="n">
        <v>42367</v>
      </c>
      <c r="B42368">
        <f>TEXT(42367, "[$-0E0000]yyyy-mm-dd")</f>
        <v/>
      </c>
      <c r="C42368" t="inlineStr">
        <is>
          <t>2015-11-20</t>
        </is>
      </c>
    </row>
    <row r="42369">
      <c r="A42369" s="1" t="n">
        <v>42368</v>
      </c>
      <c r="B42369">
        <f>TEXT(42368, "[$-0E0000]yyyy-mm-dd")</f>
        <v/>
      </c>
      <c r="C42369" t="inlineStr">
        <is>
          <t>2015-11-21</t>
        </is>
      </c>
    </row>
    <row r="42370">
      <c r="A42370" s="1" t="n">
        <v>42369</v>
      </c>
      <c r="B42370">
        <f>TEXT(42369, "[$-0E0000]yyyy-mm-dd")</f>
        <v/>
      </c>
      <c r="C42370" t="inlineStr">
        <is>
          <t>2015-11-22</t>
        </is>
      </c>
    </row>
    <row r="42371">
      <c r="A42371" s="1" t="n">
        <v>42370</v>
      </c>
      <c r="B42371">
        <f>TEXT(42370, "[$-0E0000]yyyy-mm-dd")</f>
        <v/>
      </c>
      <c r="C42371" t="inlineStr">
        <is>
          <t>2015-11-23</t>
        </is>
      </c>
    </row>
    <row r="42372">
      <c r="A42372" s="1" t="n">
        <v>42371</v>
      </c>
      <c r="B42372">
        <f>TEXT(42371, "[$-0E0000]yyyy-mm-dd")</f>
        <v/>
      </c>
      <c r="C42372" t="inlineStr">
        <is>
          <t>2015-11-24</t>
        </is>
      </c>
    </row>
    <row r="42373">
      <c r="A42373" s="1" t="n">
        <v>42372</v>
      </c>
      <c r="B42373">
        <f>TEXT(42372, "[$-0E0000]yyyy-mm-dd")</f>
        <v/>
      </c>
      <c r="C42373" t="inlineStr">
        <is>
          <t>2015-11-25</t>
        </is>
      </c>
    </row>
    <row r="42374">
      <c r="A42374" s="1" t="n">
        <v>42373</v>
      </c>
      <c r="B42374">
        <f>TEXT(42373, "[$-0E0000]yyyy-mm-dd")</f>
        <v/>
      </c>
      <c r="C42374" t="inlineStr">
        <is>
          <t>2015-11-26</t>
        </is>
      </c>
    </row>
    <row r="42375">
      <c r="A42375" s="1" t="n">
        <v>42374</v>
      </c>
      <c r="B42375">
        <f>TEXT(42374, "[$-0E0000]yyyy-mm-dd")</f>
        <v/>
      </c>
      <c r="C42375" t="inlineStr">
        <is>
          <t>2015-11-27</t>
        </is>
      </c>
    </row>
    <row r="42376">
      <c r="A42376" s="1" t="n">
        <v>42375</v>
      </c>
      <c r="B42376">
        <f>TEXT(42375, "[$-0E0000]yyyy-mm-dd")</f>
        <v/>
      </c>
      <c r="C42376" t="inlineStr">
        <is>
          <t>2015-11-28</t>
        </is>
      </c>
    </row>
    <row r="42377">
      <c r="A42377" s="1" t="n">
        <v>42376</v>
      </c>
      <c r="B42377">
        <f>TEXT(42376, "[$-0E0000]yyyy-mm-dd")</f>
        <v/>
      </c>
      <c r="C42377" t="inlineStr">
        <is>
          <t>2015-11-29</t>
        </is>
      </c>
    </row>
    <row r="42378">
      <c r="A42378" s="1" t="n">
        <v>42377</v>
      </c>
      <c r="B42378">
        <f>TEXT(42377, "[$-0E0000]yyyy-mm-dd")</f>
        <v/>
      </c>
      <c r="C42378" t="inlineStr">
        <is>
          <t>2015-11-30</t>
        </is>
      </c>
    </row>
    <row r="42379">
      <c r="A42379" s="1" t="n">
        <v>42378</v>
      </c>
      <c r="B42379">
        <f>TEXT(42378, "[$-0E0000]yyyy-mm-dd")</f>
        <v/>
      </c>
      <c r="C42379" t="inlineStr">
        <is>
          <t>2015-12-01</t>
        </is>
      </c>
    </row>
    <row r="42380">
      <c r="A42380" s="1" t="n">
        <v>42379</v>
      </c>
      <c r="B42380">
        <f>TEXT(42379, "[$-0E0000]yyyy-mm-dd")</f>
        <v/>
      </c>
      <c r="C42380" t="inlineStr">
        <is>
          <t>2015-12-02</t>
        </is>
      </c>
    </row>
    <row r="42381">
      <c r="A42381" s="1" t="n">
        <v>42380</v>
      </c>
      <c r="B42381">
        <f>TEXT(42380, "[$-0E0000]yyyy-mm-dd")</f>
        <v/>
      </c>
      <c r="C42381" t="inlineStr">
        <is>
          <t>2015-12-03</t>
        </is>
      </c>
    </row>
    <row r="42382">
      <c r="A42382" s="1" t="n">
        <v>42381</v>
      </c>
      <c r="B42382">
        <f>TEXT(42381, "[$-0E0000]yyyy-mm-dd")</f>
        <v/>
      </c>
      <c r="C42382" t="inlineStr">
        <is>
          <t>2015-12-04</t>
        </is>
      </c>
    </row>
    <row r="42383">
      <c r="A42383" s="1" t="n">
        <v>42382</v>
      </c>
      <c r="B42383">
        <f>TEXT(42382, "[$-0E0000]yyyy-mm-dd")</f>
        <v/>
      </c>
      <c r="C42383" t="inlineStr">
        <is>
          <t>2015-12-05</t>
        </is>
      </c>
    </row>
    <row r="42384">
      <c r="A42384" s="1" t="n">
        <v>42383</v>
      </c>
      <c r="B42384">
        <f>TEXT(42383, "[$-0E0000]yyyy-mm-dd")</f>
        <v/>
      </c>
      <c r="C42384" t="inlineStr">
        <is>
          <t>2015-12-06</t>
        </is>
      </c>
    </row>
    <row r="42385">
      <c r="A42385" s="1" t="n">
        <v>42384</v>
      </c>
      <c r="B42385">
        <f>TEXT(42384, "[$-0E0000]yyyy-mm-dd")</f>
        <v/>
      </c>
      <c r="C42385" t="inlineStr">
        <is>
          <t>2015-12-07</t>
        </is>
      </c>
    </row>
    <row r="42386">
      <c r="A42386" s="1" t="n">
        <v>42385</v>
      </c>
      <c r="B42386">
        <f>TEXT(42385, "[$-0E0000]yyyy-mm-dd")</f>
        <v/>
      </c>
      <c r="C42386" t="inlineStr">
        <is>
          <t>2015-12-08</t>
        </is>
      </c>
    </row>
    <row r="42387">
      <c r="A42387" s="1" t="n">
        <v>42386</v>
      </c>
      <c r="B42387">
        <f>TEXT(42386, "[$-0E0000]yyyy-mm-dd")</f>
        <v/>
      </c>
      <c r="C42387" t="inlineStr">
        <is>
          <t>2015-12-09</t>
        </is>
      </c>
    </row>
    <row r="42388">
      <c r="A42388" s="1" t="n">
        <v>42387</v>
      </c>
      <c r="B42388">
        <f>TEXT(42387, "[$-0E0000]yyyy-mm-dd")</f>
        <v/>
      </c>
      <c r="C42388" t="inlineStr">
        <is>
          <t>2015-12-10</t>
        </is>
      </c>
    </row>
    <row r="42389">
      <c r="A42389" s="1" t="n">
        <v>42388</v>
      </c>
      <c r="B42389">
        <f>TEXT(42388, "[$-0E0000]yyyy-mm-dd")</f>
        <v/>
      </c>
      <c r="C42389" t="inlineStr">
        <is>
          <t>2015-12-11</t>
        </is>
      </c>
    </row>
    <row r="42390">
      <c r="A42390" s="1" t="n">
        <v>42389</v>
      </c>
      <c r="B42390">
        <f>TEXT(42389, "[$-0E0000]yyyy-mm-dd")</f>
        <v/>
      </c>
      <c r="C42390" t="inlineStr">
        <is>
          <t>2015-12-12</t>
        </is>
      </c>
    </row>
    <row r="42391">
      <c r="A42391" s="1" t="n">
        <v>42390</v>
      </c>
      <c r="B42391">
        <f>TEXT(42390, "[$-0E0000]yyyy-mm-dd")</f>
        <v/>
      </c>
      <c r="C42391" t="inlineStr">
        <is>
          <t>2015-12-13</t>
        </is>
      </c>
    </row>
    <row r="42392">
      <c r="A42392" s="1" t="n">
        <v>42391</v>
      </c>
      <c r="B42392">
        <f>TEXT(42391, "[$-0E0000]yyyy-mm-dd")</f>
        <v/>
      </c>
      <c r="C42392" t="inlineStr">
        <is>
          <t>2015-12-14</t>
        </is>
      </c>
    </row>
    <row r="42393">
      <c r="A42393" s="1" t="n">
        <v>42392</v>
      </c>
      <c r="B42393">
        <f>TEXT(42392, "[$-0E0000]yyyy-mm-dd")</f>
        <v/>
      </c>
      <c r="C42393" t="inlineStr">
        <is>
          <t>2015-12-15</t>
        </is>
      </c>
    </row>
    <row r="42394">
      <c r="A42394" s="1" t="n">
        <v>42393</v>
      </c>
      <c r="B42394">
        <f>TEXT(42393, "[$-0E0000]yyyy-mm-dd")</f>
        <v/>
      </c>
      <c r="C42394" t="inlineStr">
        <is>
          <t>2015-12-16</t>
        </is>
      </c>
    </row>
    <row r="42395">
      <c r="A42395" s="1" t="n">
        <v>42394</v>
      </c>
      <c r="B42395">
        <f>TEXT(42394, "[$-0E0000]yyyy-mm-dd")</f>
        <v/>
      </c>
      <c r="C42395" t="inlineStr">
        <is>
          <t>2015-12-17</t>
        </is>
      </c>
    </row>
    <row r="42396">
      <c r="A42396" s="1" t="n">
        <v>42395</v>
      </c>
      <c r="B42396">
        <f>TEXT(42395, "[$-0E0000]yyyy-mm-dd")</f>
        <v/>
      </c>
      <c r="C42396" t="inlineStr">
        <is>
          <t>2015-12-18</t>
        </is>
      </c>
    </row>
    <row r="42397">
      <c r="A42397" s="1" t="n">
        <v>42396</v>
      </c>
      <c r="B42397">
        <f>TEXT(42396, "[$-0E0000]yyyy-mm-dd")</f>
        <v/>
      </c>
      <c r="C42397" t="inlineStr">
        <is>
          <t>2015-12-19</t>
        </is>
      </c>
    </row>
    <row r="42398">
      <c r="A42398" s="1" t="n">
        <v>42397</v>
      </c>
      <c r="B42398">
        <f>TEXT(42397, "[$-0E0000]yyyy-mm-dd")</f>
        <v/>
      </c>
      <c r="C42398" t="inlineStr">
        <is>
          <t>2015-12-20</t>
        </is>
      </c>
    </row>
    <row r="42399">
      <c r="A42399" s="1" t="n">
        <v>42398</v>
      </c>
      <c r="B42399">
        <f>TEXT(42398, "[$-0E0000]yyyy-mm-dd")</f>
        <v/>
      </c>
      <c r="C42399" t="inlineStr">
        <is>
          <t>2015-12-21</t>
        </is>
      </c>
    </row>
    <row r="42400">
      <c r="A42400" s="1" t="n">
        <v>42399</v>
      </c>
      <c r="B42400">
        <f>TEXT(42399, "[$-0E0000]yyyy-mm-dd")</f>
        <v/>
      </c>
      <c r="C42400" t="inlineStr">
        <is>
          <t>2015-12-22</t>
        </is>
      </c>
    </row>
    <row r="42401">
      <c r="A42401" s="1" t="n">
        <v>42400</v>
      </c>
      <c r="B42401">
        <f>TEXT(42400, "[$-0E0000]yyyy-mm-dd")</f>
        <v/>
      </c>
      <c r="C42401" t="inlineStr">
        <is>
          <t>2015-12-23</t>
        </is>
      </c>
    </row>
    <row r="42402">
      <c r="A42402" s="1" t="n">
        <v>42401</v>
      </c>
      <c r="B42402">
        <f>TEXT(42401, "[$-0E0000]yyyy-mm-dd")</f>
        <v/>
      </c>
      <c r="C42402" t="inlineStr">
        <is>
          <t>2015-12-24</t>
        </is>
      </c>
    </row>
    <row r="42403">
      <c r="A42403" s="1" t="n">
        <v>42402</v>
      </c>
      <c r="B42403">
        <f>TEXT(42402, "[$-0E0000]yyyy-mm-dd")</f>
        <v/>
      </c>
      <c r="C42403" t="inlineStr">
        <is>
          <t>2015-12-25</t>
        </is>
      </c>
    </row>
    <row r="42404">
      <c r="A42404" s="1" t="n">
        <v>42403</v>
      </c>
      <c r="B42404">
        <f>TEXT(42403, "[$-0E0000]yyyy-mm-dd")</f>
        <v/>
      </c>
      <c r="C42404" t="inlineStr">
        <is>
          <t>2015-12-26</t>
        </is>
      </c>
    </row>
    <row r="42405">
      <c r="A42405" s="1" t="n">
        <v>42404</v>
      </c>
      <c r="B42405">
        <f>TEXT(42404, "[$-0E0000]yyyy-mm-dd")</f>
        <v/>
      </c>
      <c r="C42405" t="inlineStr">
        <is>
          <t>2015-12-27</t>
        </is>
      </c>
    </row>
    <row r="42406">
      <c r="A42406" s="1" t="n">
        <v>42405</v>
      </c>
      <c r="B42406">
        <f>TEXT(42405, "[$-0E0000]yyyy-mm-dd")</f>
        <v/>
      </c>
      <c r="C42406" t="inlineStr">
        <is>
          <t>2015-12-28</t>
        </is>
      </c>
    </row>
    <row r="42407">
      <c r="A42407" s="1" t="n">
        <v>42406</v>
      </c>
      <c r="B42407">
        <f>TEXT(42406, "[$-0E0000]yyyy-mm-dd")</f>
        <v/>
      </c>
      <c r="C42407" t="inlineStr">
        <is>
          <t>2015-12-29</t>
        </is>
      </c>
    </row>
    <row r="42408">
      <c r="A42408" s="1" t="n">
        <v>42407</v>
      </c>
      <c r="B42408">
        <f>TEXT(42407, "[$-0E0000]yyyy-mm-dd")</f>
        <v/>
      </c>
      <c r="C42408" t="inlineStr">
        <is>
          <t>2016-01-01</t>
        </is>
      </c>
    </row>
    <row r="42409">
      <c r="A42409" s="1" t="n">
        <v>42408</v>
      </c>
      <c r="B42409">
        <f>TEXT(42408, "[$-0E0000]yyyy-mm-dd")</f>
        <v/>
      </c>
      <c r="C42409" t="inlineStr">
        <is>
          <t>2016-01-02</t>
        </is>
      </c>
    </row>
    <row r="42410">
      <c r="A42410" s="1" t="n">
        <v>42409</v>
      </c>
      <c r="B42410">
        <f>TEXT(42409, "[$-0E0000]yyyy-mm-dd")</f>
        <v/>
      </c>
      <c r="C42410" t="inlineStr">
        <is>
          <t>2016-01-03</t>
        </is>
      </c>
    </row>
    <row r="42411">
      <c r="A42411" s="1" t="n">
        <v>42410</v>
      </c>
      <c r="B42411">
        <f>TEXT(42410, "[$-0E0000]yyyy-mm-dd")</f>
        <v/>
      </c>
      <c r="C42411" t="inlineStr">
        <is>
          <t>2016-01-04</t>
        </is>
      </c>
    </row>
    <row r="42412">
      <c r="A42412" s="1" t="n">
        <v>42411</v>
      </c>
      <c r="B42412">
        <f>TEXT(42411, "[$-0E0000]yyyy-mm-dd")</f>
        <v/>
      </c>
      <c r="C42412" t="inlineStr">
        <is>
          <t>2016-01-05</t>
        </is>
      </c>
    </row>
    <row r="42413">
      <c r="A42413" s="1" t="n">
        <v>42412</v>
      </c>
      <c r="B42413">
        <f>TEXT(42412, "[$-0E0000]yyyy-mm-dd")</f>
        <v/>
      </c>
      <c r="C42413" t="inlineStr">
        <is>
          <t>2016-01-06</t>
        </is>
      </c>
    </row>
    <row r="42414">
      <c r="A42414" s="1" t="n">
        <v>42413</v>
      </c>
      <c r="B42414">
        <f>TEXT(42413, "[$-0E0000]yyyy-mm-dd")</f>
        <v/>
      </c>
      <c r="C42414" t="inlineStr">
        <is>
          <t>2016-01-07</t>
        </is>
      </c>
    </row>
    <row r="42415">
      <c r="A42415" s="1" t="n">
        <v>42414</v>
      </c>
      <c r="B42415">
        <f>TEXT(42414, "[$-0E0000]yyyy-mm-dd")</f>
        <v/>
      </c>
      <c r="C42415" t="inlineStr">
        <is>
          <t>2016-01-08</t>
        </is>
      </c>
    </row>
    <row r="42416">
      <c r="A42416" s="1" t="n">
        <v>42415</v>
      </c>
      <c r="B42416">
        <f>TEXT(42415, "[$-0E0000]yyyy-mm-dd")</f>
        <v/>
      </c>
      <c r="C42416" t="inlineStr">
        <is>
          <t>2016-01-09</t>
        </is>
      </c>
    </row>
    <row r="42417">
      <c r="A42417" s="1" t="n">
        <v>42416</v>
      </c>
      <c r="B42417">
        <f>TEXT(42416, "[$-0E0000]yyyy-mm-dd")</f>
        <v/>
      </c>
      <c r="C42417" t="inlineStr">
        <is>
          <t>2016-01-10</t>
        </is>
      </c>
    </row>
    <row r="42418">
      <c r="A42418" s="1" t="n">
        <v>42417</v>
      </c>
      <c r="B42418">
        <f>TEXT(42417, "[$-0E0000]yyyy-mm-dd")</f>
        <v/>
      </c>
      <c r="C42418" t="inlineStr">
        <is>
          <t>2016-01-11</t>
        </is>
      </c>
    </row>
    <row r="42419">
      <c r="A42419" s="1" t="n">
        <v>42418</v>
      </c>
      <c r="B42419">
        <f>TEXT(42418, "[$-0E0000]yyyy-mm-dd")</f>
        <v/>
      </c>
      <c r="C42419" t="inlineStr">
        <is>
          <t>2016-01-12</t>
        </is>
      </c>
    </row>
    <row r="42420">
      <c r="A42420" s="1" t="n">
        <v>42419</v>
      </c>
      <c r="B42420">
        <f>TEXT(42419, "[$-0E0000]yyyy-mm-dd")</f>
        <v/>
      </c>
      <c r="C42420" t="inlineStr">
        <is>
          <t>2016-01-13</t>
        </is>
      </c>
    </row>
    <row r="42421">
      <c r="A42421" s="1" t="n">
        <v>42420</v>
      </c>
      <c r="B42421">
        <f>TEXT(42420, "[$-0E0000]yyyy-mm-dd")</f>
        <v/>
      </c>
      <c r="C42421" t="inlineStr">
        <is>
          <t>2016-01-14</t>
        </is>
      </c>
    </row>
    <row r="42422">
      <c r="A42422" s="1" t="n">
        <v>42421</v>
      </c>
      <c r="B42422">
        <f>TEXT(42421, "[$-0E0000]yyyy-mm-dd")</f>
        <v/>
      </c>
      <c r="C42422" t="inlineStr">
        <is>
          <t>2016-01-15</t>
        </is>
      </c>
    </row>
    <row r="42423">
      <c r="A42423" s="1" t="n">
        <v>42422</v>
      </c>
      <c r="B42423">
        <f>TEXT(42422, "[$-0E0000]yyyy-mm-dd")</f>
        <v/>
      </c>
      <c r="C42423" t="inlineStr">
        <is>
          <t>2016-01-16</t>
        </is>
      </c>
    </row>
    <row r="42424">
      <c r="A42424" s="1" t="n">
        <v>42423</v>
      </c>
      <c r="B42424">
        <f>TEXT(42423, "[$-0E0000]yyyy-mm-dd")</f>
        <v/>
      </c>
      <c r="C42424" t="inlineStr">
        <is>
          <t>2016-01-17</t>
        </is>
      </c>
    </row>
    <row r="42425">
      <c r="A42425" s="1" t="n">
        <v>42424</v>
      </c>
      <c r="B42425">
        <f>TEXT(42424, "[$-0E0000]yyyy-mm-dd")</f>
        <v/>
      </c>
      <c r="C42425" t="inlineStr">
        <is>
          <t>2016-01-18</t>
        </is>
      </c>
    </row>
    <row r="42426">
      <c r="A42426" s="1" t="n">
        <v>42425</v>
      </c>
      <c r="B42426">
        <f>TEXT(42425, "[$-0E0000]yyyy-mm-dd")</f>
        <v/>
      </c>
      <c r="C42426" t="inlineStr">
        <is>
          <t>2016-01-19</t>
        </is>
      </c>
    </row>
    <row r="42427">
      <c r="A42427" s="1" t="n">
        <v>42426</v>
      </c>
      <c r="B42427">
        <f>TEXT(42426, "[$-0E0000]yyyy-mm-dd")</f>
        <v/>
      </c>
      <c r="C42427" t="inlineStr">
        <is>
          <t>2016-01-20</t>
        </is>
      </c>
    </row>
    <row r="42428">
      <c r="A42428" s="1" t="n">
        <v>42427</v>
      </c>
      <c r="B42428">
        <f>TEXT(42427, "[$-0E0000]yyyy-mm-dd")</f>
        <v/>
      </c>
      <c r="C42428" t="inlineStr">
        <is>
          <t>2016-01-21</t>
        </is>
      </c>
    </row>
    <row r="42429">
      <c r="A42429" s="1" t="n">
        <v>42428</v>
      </c>
      <c r="B42429">
        <f>TEXT(42428, "[$-0E0000]yyyy-mm-dd")</f>
        <v/>
      </c>
      <c r="C42429" t="inlineStr">
        <is>
          <t>2016-01-22</t>
        </is>
      </c>
    </row>
    <row r="42430">
      <c r="A42430" s="1" t="n">
        <v>42429</v>
      </c>
      <c r="B42430">
        <f>TEXT(42429, "[$-0E0000]yyyy-mm-dd")</f>
        <v/>
      </c>
      <c r="C42430" t="inlineStr">
        <is>
          <t>2016-01-23</t>
        </is>
      </c>
    </row>
    <row r="42431">
      <c r="A42431" s="1" t="n">
        <v>42430</v>
      </c>
      <c r="B42431">
        <f>TEXT(42430, "[$-0E0000]yyyy-mm-dd")</f>
        <v/>
      </c>
      <c r="C42431" t="inlineStr">
        <is>
          <t>2016-01-24</t>
        </is>
      </c>
    </row>
    <row r="42432">
      <c r="A42432" s="1" t="n">
        <v>42431</v>
      </c>
      <c r="B42432">
        <f>TEXT(42431, "[$-0E0000]yyyy-mm-dd")</f>
        <v/>
      </c>
      <c r="C42432" t="inlineStr">
        <is>
          <t>2016-01-25</t>
        </is>
      </c>
    </row>
    <row r="42433">
      <c r="A42433" s="1" t="n">
        <v>42432</v>
      </c>
      <c r="B42433">
        <f>TEXT(42432, "[$-0E0000]yyyy-mm-dd")</f>
        <v/>
      </c>
      <c r="C42433" t="inlineStr">
        <is>
          <t>2016-01-26</t>
        </is>
      </c>
    </row>
    <row r="42434">
      <c r="A42434" s="1" t="n">
        <v>42433</v>
      </c>
      <c r="B42434">
        <f>TEXT(42433, "[$-0E0000]yyyy-mm-dd")</f>
        <v/>
      </c>
      <c r="C42434" t="inlineStr">
        <is>
          <t>2016-01-27</t>
        </is>
      </c>
    </row>
    <row r="42435">
      <c r="A42435" s="1" t="n">
        <v>42434</v>
      </c>
      <c r="B42435">
        <f>TEXT(42434, "[$-0E0000]yyyy-mm-dd")</f>
        <v/>
      </c>
      <c r="C42435" t="inlineStr">
        <is>
          <t>2016-01-28</t>
        </is>
      </c>
    </row>
    <row r="42436">
      <c r="A42436" s="1" t="n">
        <v>42435</v>
      </c>
      <c r="B42436">
        <f>TEXT(42435, "[$-0E0000]yyyy-mm-dd")</f>
        <v/>
      </c>
      <c r="C42436" t="inlineStr">
        <is>
          <t>2016-01-29</t>
        </is>
      </c>
    </row>
    <row r="42437">
      <c r="A42437" s="1" t="n">
        <v>42436</v>
      </c>
      <c r="B42437">
        <f>TEXT(42436, "[$-0E0000]yyyy-mm-dd")</f>
        <v/>
      </c>
      <c r="C42437" t="inlineStr">
        <is>
          <t>2016-01-30</t>
        </is>
      </c>
    </row>
    <row r="42438">
      <c r="A42438" s="1" t="n">
        <v>42437</v>
      </c>
      <c r="B42438">
        <f>TEXT(42437, "[$-0E0000]yyyy-mm-dd")</f>
        <v/>
      </c>
      <c r="C42438" t="inlineStr">
        <is>
          <t>2016-02-01</t>
        </is>
      </c>
    </row>
    <row r="42439">
      <c r="A42439" s="1" t="n">
        <v>42438</v>
      </c>
      <c r="B42439">
        <f>TEXT(42438, "[$-0E0000]yyyy-mm-dd")</f>
        <v/>
      </c>
      <c r="C42439" t="inlineStr">
        <is>
          <t>2016-02-02</t>
        </is>
      </c>
    </row>
    <row r="42440">
      <c r="A42440" s="1" t="n">
        <v>42439</v>
      </c>
      <c r="B42440">
        <f>TEXT(42439, "[$-0E0000]yyyy-mm-dd")</f>
        <v/>
      </c>
      <c r="C42440" t="inlineStr">
        <is>
          <t>2016-02-03</t>
        </is>
      </c>
    </row>
    <row r="42441">
      <c r="A42441" s="1" t="n">
        <v>42440</v>
      </c>
      <c r="B42441">
        <f>TEXT(42440, "[$-0E0000]yyyy-mm-dd")</f>
        <v/>
      </c>
      <c r="C42441" t="inlineStr">
        <is>
          <t>2016-02-04</t>
        </is>
      </c>
    </row>
    <row r="42442">
      <c r="A42442" s="1" t="n">
        <v>42441</v>
      </c>
      <c r="B42442">
        <f>TEXT(42441, "[$-0E0000]yyyy-mm-dd")</f>
        <v/>
      </c>
      <c r="C42442" t="inlineStr">
        <is>
          <t>2016-02-05</t>
        </is>
      </c>
    </row>
    <row r="42443">
      <c r="A42443" s="1" t="n">
        <v>42442</v>
      </c>
      <c r="B42443">
        <f>TEXT(42442, "[$-0E0000]yyyy-mm-dd")</f>
        <v/>
      </c>
      <c r="C42443" t="inlineStr">
        <is>
          <t>2016-02-06</t>
        </is>
      </c>
    </row>
    <row r="42444">
      <c r="A42444" s="1" t="n">
        <v>42443</v>
      </c>
      <c r="B42444">
        <f>TEXT(42443, "[$-0E0000]yyyy-mm-dd")</f>
        <v/>
      </c>
      <c r="C42444" t="inlineStr">
        <is>
          <t>2016-02-07</t>
        </is>
      </c>
    </row>
    <row r="42445">
      <c r="A42445" s="1" t="n">
        <v>42444</v>
      </c>
      <c r="B42445">
        <f>TEXT(42444, "[$-0E0000]yyyy-mm-dd")</f>
        <v/>
      </c>
      <c r="C42445" t="inlineStr">
        <is>
          <t>2016-02-08</t>
        </is>
      </c>
    </row>
    <row r="42446">
      <c r="A42446" s="1" t="n">
        <v>42445</v>
      </c>
      <c r="B42446">
        <f>TEXT(42445, "[$-0E0000]yyyy-mm-dd")</f>
        <v/>
      </c>
      <c r="C42446" t="inlineStr">
        <is>
          <t>2016-02-09</t>
        </is>
      </c>
    </row>
    <row r="42447">
      <c r="A42447" s="1" t="n">
        <v>42446</v>
      </c>
      <c r="B42447">
        <f>TEXT(42446, "[$-0E0000]yyyy-mm-dd")</f>
        <v/>
      </c>
      <c r="C42447" t="inlineStr">
        <is>
          <t>2016-02-10</t>
        </is>
      </c>
    </row>
    <row r="42448">
      <c r="A42448" s="1" t="n">
        <v>42447</v>
      </c>
      <c r="B42448">
        <f>TEXT(42447, "[$-0E0000]yyyy-mm-dd")</f>
        <v/>
      </c>
      <c r="C42448" t="inlineStr">
        <is>
          <t>2016-02-11</t>
        </is>
      </c>
    </row>
    <row r="42449">
      <c r="A42449" s="1" t="n">
        <v>42448</v>
      </c>
      <c r="B42449">
        <f>TEXT(42448, "[$-0E0000]yyyy-mm-dd")</f>
        <v/>
      </c>
      <c r="C42449" t="inlineStr">
        <is>
          <t>2016-02-12</t>
        </is>
      </c>
    </row>
    <row r="42450">
      <c r="A42450" s="1" t="n">
        <v>42449</v>
      </c>
      <c r="B42450">
        <f>TEXT(42449, "[$-0E0000]yyyy-mm-dd")</f>
        <v/>
      </c>
      <c r="C42450" t="inlineStr">
        <is>
          <t>2016-02-13</t>
        </is>
      </c>
    </row>
    <row r="42451">
      <c r="A42451" s="1" t="n">
        <v>42450</v>
      </c>
      <c r="B42451">
        <f>TEXT(42450, "[$-0E0000]yyyy-mm-dd")</f>
        <v/>
      </c>
      <c r="C42451" t="inlineStr">
        <is>
          <t>2016-02-14</t>
        </is>
      </c>
    </row>
    <row r="42452">
      <c r="A42452" s="1" t="n">
        <v>42451</v>
      </c>
      <c r="B42452">
        <f>TEXT(42451, "[$-0E0000]yyyy-mm-dd")</f>
        <v/>
      </c>
      <c r="C42452" t="inlineStr">
        <is>
          <t>2016-02-15</t>
        </is>
      </c>
    </row>
    <row r="42453">
      <c r="A42453" s="1" t="n">
        <v>42452</v>
      </c>
      <c r="B42453">
        <f>TEXT(42452, "[$-0E0000]yyyy-mm-dd")</f>
        <v/>
      </c>
      <c r="C42453" t="inlineStr">
        <is>
          <t>2016-02-16</t>
        </is>
      </c>
    </row>
    <row r="42454">
      <c r="A42454" s="1" t="n">
        <v>42453</v>
      </c>
      <c r="B42454">
        <f>TEXT(42453, "[$-0E0000]yyyy-mm-dd")</f>
        <v/>
      </c>
      <c r="C42454" t="inlineStr">
        <is>
          <t>2016-02-17</t>
        </is>
      </c>
    </row>
    <row r="42455">
      <c r="A42455" s="1" t="n">
        <v>42454</v>
      </c>
      <c r="B42455">
        <f>TEXT(42454, "[$-0E0000]yyyy-mm-dd")</f>
        <v/>
      </c>
      <c r="C42455" t="inlineStr">
        <is>
          <t>2016-02-18</t>
        </is>
      </c>
    </row>
    <row r="42456">
      <c r="A42456" s="1" t="n">
        <v>42455</v>
      </c>
      <c r="B42456">
        <f>TEXT(42455, "[$-0E0000]yyyy-mm-dd")</f>
        <v/>
      </c>
      <c r="C42456" t="inlineStr">
        <is>
          <t>2016-02-19</t>
        </is>
      </c>
    </row>
    <row r="42457">
      <c r="A42457" s="1" t="n">
        <v>42456</v>
      </c>
      <c r="B42457">
        <f>TEXT(42456, "[$-0E0000]yyyy-mm-dd")</f>
        <v/>
      </c>
      <c r="C42457" t="inlineStr">
        <is>
          <t>2016-02-20</t>
        </is>
      </c>
    </row>
    <row r="42458">
      <c r="A42458" s="1" t="n">
        <v>42457</v>
      </c>
      <c r="B42458">
        <f>TEXT(42457, "[$-0E0000]yyyy-mm-dd")</f>
        <v/>
      </c>
      <c r="C42458" t="inlineStr">
        <is>
          <t>2016-02-21</t>
        </is>
      </c>
    </row>
    <row r="42459">
      <c r="A42459" s="1" t="n">
        <v>42458</v>
      </c>
      <c r="B42459">
        <f>TEXT(42458, "[$-0E0000]yyyy-mm-dd")</f>
        <v/>
      </c>
      <c r="C42459" t="inlineStr">
        <is>
          <t>2016-02-22</t>
        </is>
      </c>
    </row>
    <row r="42460">
      <c r="A42460" s="1" t="n">
        <v>42459</v>
      </c>
      <c r="B42460">
        <f>TEXT(42459, "[$-0E0000]yyyy-mm-dd")</f>
        <v/>
      </c>
      <c r="C42460" t="inlineStr">
        <is>
          <t>2016-02-23</t>
        </is>
      </c>
    </row>
    <row r="42461">
      <c r="A42461" s="1" t="n">
        <v>42460</v>
      </c>
      <c r="B42461">
        <f>TEXT(42460, "[$-0E0000]yyyy-mm-dd")</f>
        <v/>
      </c>
      <c r="C42461" t="inlineStr">
        <is>
          <t>2016-02-24</t>
        </is>
      </c>
    </row>
    <row r="42462">
      <c r="A42462" s="1" t="n">
        <v>42461</v>
      </c>
      <c r="B42462">
        <f>TEXT(42461, "[$-0E0000]yyyy-mm-dd")</f>
        <v/>
      </c>
      <c r="C42462" t="inlineStr">
        <is>
          <t>2016-02-25</t>
        </is>
      </c>
    </row>
    <row r="42463">
      <c r="A42463" s="1" t="n">
        <v>42462</v>
      </c>
      <c r="B42463">
        <f>TEXT(42462, "[$-0E0000]yyyy-mm-dd")</f>
        <v/>
      </c>
      <c r="C42463" t="inlineStr">
        <is>
          <t>2016-02-26</t>
        </is>
      </c>
    </row>
    <row r="42464">
      <c r="A42464" s="1" t="n">
        <v>42463</v>
      </c>
      <c r="B42464">
        <f>TEXT(42463, "[$-0E0000]yyyy-mm-dd")</f>
        <v/>
      </c>
      <c r="C42464" t="inlineStr">
        <is>
          <t>2016-02-27</t>
        </is>
      </c>
    </row>
    <row r="42465">
      <c r="A42465" s="1" t="n">
        <v>42464</v>
      </c>
      <c r="B42465">
        <f>TEXT(42464, "[$-0E0000]yyyy-mm-dd")</f>
        <v/>
      </c>
      <c r="C42465" t="inlineStr">
        <is>
          <t>2016-02-28</t>
        </is>
      </c>
    </row>
    <row r="42466">
      <c r="A42466" s="1" t="n">
        <v>42465</v>
      </c>
      <c r="B42466">
        <f>TEXT(42465, "[$-0E0000]yyyy-mm-dd")</f>
        <v/>
      </c>
      <c r="C42466" t="inlineStr">
        <is>
          <t>2016-02-29</t>
        </is>
      </c>
    </row>
    <row r="42467">
      <c r="A42467" s="1" t="n">
        <v>42466</v>
      </c>
      <c r="B42467">
        <f>TEXT(42466, "[$-0E0000]yyyy-mm-dd")</f>
        <v/>
      </c>
      <c r="C42467" t="inlineStr">
        <is>
          <t>2016-03-01</t>
        </is>
      </c>
    </row>
    <row r="42468">
      <c r="A42468" s="1" t="n">
        <v>42467</v>
      </c>
      <c r="B42468">
        <f>TEXT(42467, "[$-0E0000]yyyy-mm-dd")</f>
        <v/>
      </c>
      <c r="C42468" t="inlineStr">
        <is>
          <t>2016-03-02</t>
        </is>
      </c>
    </row>
    <row r="42469">
      <c r="A42469" s="1" t="n">
        <v>42468</v>
      </c>
      <c r="B42469">
        <f>TEXT(42468, "[$-0E0000]yyyy-mm-dd")</f>
        <v/>
      </c>
      <c r="C42469" t="inlineStr">
        <is>
          <t>2016-03-03</t>
        </is>
      </c>
    </row>
    <row r="42470">
      <c r="A42470" s="1" t="n">
        <v>42469</v>
      </c>
      <c r="B42470">
        <f>TEXT(42469, "[$-0E0000]yyyy-mm-dd")</f>
        <v/>
      </c>
      <c r="C42470" t="inlineStr">
        <is>
          <t>2016-03-04</t>
        </is>
      </c>
    </row>
    <row r="42471">
      <c r="A42471" s="1" t="n">
        <v>42470</v>
      </c>
      <c r="B42471">
        <f>TEXT(42470, "[$-0E0000]yyyy-mm-dd")</f>
        <v/>
      </c>
      <c r="C42471" t="inlineStr">
        <is>
          <t>2016-03-05</t>
        </is>
      </c>
    </row>
    <row r="42472">
      <c r="A42472" s="1" t="n">
        <v>42471</v>
      </c>
      <c r="B42472">
        <f>TEXT(42471, "[$-0E0000]yyyy-mm-dd")</f>
        <v/>
      </c>
      <c r="C42472" t="inlineStr">
        <is>
          <t>2016-03-06</t>
        </is>
      </c>
    </row>
    <row r="42473">
      <c r="A42473" s="1" t="n">
        <v>42472</v>
      </c>
      <c r="B42473">
        <f>TEXT(42472, "[$-0E0000]yyyy-mm-dd")</f>
        <v/>
      </c>
      <c r="C42473" t="inlineStr">
        <is>
          <t>2016-03-07</t>
        </is>
      </c>
    </row>
    <row r="42474">
      <c r="A42474" s="1" t="n">
        <v>42473</v>
      </c>
      <c r="B42474">
        <f>TEXT(42473, "[$-0E0000]yyyy-mm-dd")</f>
        <v/>
      </c>
      <c r="C42474" t="inlineStr">
        <is>
          <t>2016-03-08</t>
        </is>
      </c>
    </row>
    <row r="42475">
      <c r="A42475" s="1" t="n">
        <v>42474</v>
      </c>
      <c r="B42475">
        <f>TEXT(42474, "[$-0E0000]yyyy-mm-dd")</f>
        <v/>
      </c>
      <c r="C42475" t="inlineStr">
        <is>
          <t>2016-03-09</t>
        </is>
      </c>
    </row>
    <row r="42476">
      <c r="A42476" s="1" t="n">
        <v>42475</v>
      </c>
      <c r="B42476">
        <f>TEXT(42475, "[$-0E0000]yyyy-mm-dd")</f>
        <v/>
      </c>
      <c r="C42476" t="inlineStr">
        <is>
          <t>2016-03-10</t>
        </is>
      </c>
    </row>
    <row r="42477">
      <c r="A42477" s="1" t="n">
        <v>42476</v>
      </c>
      <c r="B42477">
        <f>TEXT(42476, "[$-0E0000]yyyy-mm-dd")</f>
        <v/>
      </c>
      <c r="C42477" t="inlineStr">
        <is>
          <t>2016-03-11</t>
        </is>
      </c>
    </row>
    <row r="42478">
      <c r="A42478" s="1" t="n">
        <v>42477</v>
      </c>
      <c r="B42478">
        <f>TEXT(42477, "[$-0E0000]yyyy-mm-dd")</f>
        <v/>
      </c>
      <c r="C42478" t="inlineStr">
        <is>
          <t>2016-03-12</t>
        </is>
      </c>
    </row>
    <row r="42479">
      <c r="A42479" s="1" t="n">
        <v>42478</v>
      </c>
      <c r="B42479">
        <f>TEXT(42478, "[$-0E0000]yyyy-mm-dd")</f>
        <v/>
      </c>
      <c r="C42479" t="inlineStr">
        <is>
          <t>2016-03-13</t>
        </is>
      </c>
    </row>
    <row r="42480">
      <c r="A42480" s="1" t="n">
        <v>42479</v>
      </c>
      <c r="B42480">
        <f>TEXT(42479, "[$-0E0000]yyyy-mm-dd")</f>
        <v/>
      </c>
      <c r="C42480" t="inlineStr">
        <is>
          <t>2016-03-14</t>
        </is>
      </c>
    </row>
    <row r="42481">
      <c r="A42481" s="1" t="n">
        <v>42480</v>
      </c>
      <c r="B42481">
        <f>TEXT(42480, "[$-0E0000]yyyy-mm-dd")</f>
        <v/>
      </c>
      <c r="C42481" t="inlineStr">
        <is>
          <t>2016-03-15</t>
        </is>
      </c>
    </row>
    <row r="42482">
      <c r="A42482" s="1" t="n">
        <v>42481</v>
      </c>
      <c r="B42482">
        <f>TEXT(42481, "[$-0E0000]yyyy-mm-dd")</f>
        <v/>
      </c>
      <c r="C42482" t="inlineStr">
        <is>
          <t>2016-03-16</t>
        </is>
      </c>
    </row>
    <row r="42483">
      <c r="A42483" s="1" t="n">
        <v>42482</v>
      </c>
      <c r="B42483">
        <f>TEXT(42482, "[$-0E0000]yyyy-mm-dd")</f>
        <v/>
      </c>
      <c r="C42483" t="inlineStr">
        <is>
          <t>2016-03-17</t>
        </is>
      </c>
    </row>
    <row r="42484">
      <c r="A42484" s="1" t="n">
        <v>42483</v>
      </c>
      <c r="B42484">
        <f>TEXT(42483, "[$-0E0000]yyyy-mm-dd")</f>
        <v/>
      </c>
      <c r="C42484" t="inlineStr">
        <is>
          <t>2016-03-18</t>
        </is>
      </c>
    </row>
    <row r="42485">
      <c r="A42485" s="1" t="n">
        <v>42484</v>
      </c>
      <c r="B42485">
        <f>TEXT(42484, "[$-0E0000]yyyy-mm-dd")</f>
        <v/>
      </c>
      <c r="C42485" t="inlineStr">
        <is>
          <t>2016-03-19</t>
        </is>
      </c>
    </row>
    <row r="42486">
      <c r="A42486" s="1" t="n">
        <v>42485</v>
      </c>
      <c r="B42486">
        <f>TEXT(42485, "[$-0E0000]yyyy-mm-dd")</f>
        <v/>
      </c>
      <c r="C42486" t="inlineStr">
        <is>
          <t>2016-03-20</t>
        </is>
      </c>
    </row>
    <row r="42487">
      <c r="A42487" s="1" t="n">
        <v>42486</v>
      </c>
      <c r="B42487">
        <f>TEXT(42486, "[$-0E0000]yyyy-mm-dd")</f>
        <v/>
      </c>
      <c r="C42487" t="inlineStr">
        <is>
          <t>2016-03-21</t>
        </is>
      </c>
    </row>
    <row r="42488">
      <c r="A42488" s="1" t="n">
        <v>42487</v>
      </c>
      <c r="B42488">
        <f>TEXT(42487, "[$-0E0000]yyyy-mm-dd")</f>
        <v/>
      </c>
      <c r="C42488" t="inlineStr">
        <is>
          <t>2016-03-22</t>
        </is>
      </c>
    </row>
    <row r="42489">
      <c r="A42489" s="1" t="n">
        <v>42488</v>
      </c>
      <c r="B42489">
        <f>TEXT(42488, "[$-0E0000]yyyy-mm-dd")</f>
        <v/>
      </c>
      <c r="C42489" t="inlineStr">
        <is>
          <t>2016-03-23</t>
        </is>
      </c>
    </row>
    <row r="42490">
      <c r="A42490" s="1" t="n">
        <v>42489</v>
      </c>
      <c r="B42490">
        <f>TEXT(42489, "[$-0E0000]yyyy-mm-dd")</f>
        <v/>
      </c>
      <c r="C42490" t="inlineStr">
        <is>
          <t>2016-03-24</t>
        </is>
      </c>
    </row>
    <row r="42491">
      <c r="A42491" s="1" t="n">
        <v>42490</v>
      </c>
      <c r="B42491">
        <f>TEXT(42490, "[$-0E0000]yyyy-mm-dd")</f>
        <v/>
      </c>
      <c r="C42491" t="inlineStr">
        <is>
          <t>2016-03-25</t>
        </is>
      </c>
    </row>
    <row r="42492">
      <c r="A42492" s="1" t="n">
        <v>42491</v>
      </c>
      <c r="B42492">
        <f>TEXT(42491, "[$-0E0000]yyyy-mm-dd")</f>
        <v/>
      </c>
      <c r="C42492" t="inlineStr">
        <is>
          <t>2016-03-26</t>
        </is>
      </c>
    </row>
    <row r="42493">
      <c r="A42493" s="1" t="n">
        <v>42492</v>
      </c>
      <c r="B42493">
        <f>TEXT(42492, "[$-0E0000]yyyy-mm-dd")</f>
        <v/>
      </c>
      <c r="C42493" t="inlineStr">
        <is>
          <t>2016-03-27</t>
        </is>
      </c>
    </row>
    <row r="42494">
      <c r="A42494" s="1" t="n">
        <v>42493</v>
      </c>
      <c r="B42494">
        <f>TEXT(42493, "[$-0E0000]yyyy-mm-dd")</f>
        <v/>
      </c>
      <c r="C42494" t="inlineStr">
        <is>
          <t>2016-03-28</t>
        </is>
      </c>
    </row>
    <row r="42495">
      <c r="A42495" s="1" t="n">
        <v>42494</v>
      </c>
      <c r="B42495">
        <f>TEXT(42494, "[$-0E0000]yyyy-mm-dd")</f>
        <v/>
      </c>
      <c r="C42495" t="inlineStr">
        <is>
          <t>2016-03-29</t>
        </is>
      </c>
    </row>
    <row r="42496">
      <c r="A42496" s="1" t="n">
        <v>42495</v>
      </c>
      <c r="B42496">
        <f>TEXT(42495, "[$-0E0000]yyyy-mm-dd")</f>
        <v/>
      </c>
      <c r="C42496" t="inlineStr">
        <is>
          <t>2016-03-30</t>
        </is>
      </c>
    </row>
    <row r="42497">
      <c r="A42497" s="1" t="n">
        <v>42496</v>
      </c>
      <c r="B42497">
        <f>TEXT(42496, "[$-0E0000]yyyy-mm-dd")</f>
        <v/>
      </c>
      <c r="C42497" t="inlineStr">
        <is>
          <t>2016-04-01</t>
        </is>
      </c>
    </row>
    <row r="42498">
      <c r="A42498" s="1" t="n">
        <v>42497</v>
      </c>
      <c r="B42498">
        <f>TEXT(42497, "[$-0E0000]yyyy-mm-dd")</f>
        <v/>
      </c>
      <c r="C42498" t="inlineStr">
        <is>
          <t>2016-04-02</t>
        </is>
      </c>
    </row>
    <row r="42499">
      <c r="A42499" s="1" t="n">
        <v>42498</v>
      </c>
      <c r="B42499">
        <f>TEXT(42498, "[$-0E0000]yyyy-mm-dd")</f>
        <v/>
      </c>
      <c r="C42499" t="inlineStr">
        <is>
          <t>2016-04-03</t>
        </is>
      </c>
    </row>
    <row r="42500">
      <c r="A42500" s="1" t="n">
        <v>42499</v>
      </c>
      <c r="B42500">
        <f>TEXT(42499, "[$-0E0000]yyyy-mm-dd")</f>
        <v/>
      </c>
      <c r="C42500" t="inlineStr">
        <is>
          <t>2016-04-04</t>
        </is>
      </c>
    </row>
    <row r="42501">
      <c r="A42501" s="1" t="n">
        <v>42500</v>
      </c>
      <c r="B42501">
        <f>TEXT(42500, "[$-0E0000]yyyy-mm-dd")</f>
        <v/>
      </c>
      <c r="C42501" t="inlineStr">
        <is>
          <t>2016-04-05</t>
        </is>
      </c>
    </row>
    <row r="42502">
      <c r="A42502" s="1" t="n">
        <v>42501</v>
      </c>
      <c r="B42502">
        <f>TEXT(42501, "[$-0E0000]yyyy-mm-dd")</f>
        <v/>
      </c>
      <c r="C42502" t="inlineStr">
        <is>
          <t>2016-04-06</t>
        </is>
      </c>
    </row>
    <row r="42503">
      <c r="A42503" s="1" t="n">
        <v>42502</v>
      </c>
      <c r="B42503">
        <f>TEXT(42502, "[$-0E0000]yyyy-mm-dd")</f>
        <v/>
      </c>
      <c r="C42503" t="inlineStr">
        <is>
          <t>2016-04-07</t>
        </is>
      </c>
    </row>
    <row r="42504">
      <c r="A42504" s="1" t="n">
        <v>42503</v>
      </c>
      <c r="B42504">
        <f>TEXT(42503, "[$-0E0000]yyyy-mm-dd")</f>
        <v/>
      </c>
      <c r="C42504" t="inlineStr">
        <is>
          <t>2016-04-08</t>
        </is>
      </c>
    </row>
    <row r="42505">
      <c r="A42505" s="1" t="n">
        <v>42504</v>
      </c>
      <c r="B42505">
        <f>TEXT(42504, "[$-0E0000]yyyy-mm-dd")</f>
        <v/>
      </c>
      <c r="C42505" t="inlineStr">
        <is>
          <t>2016-04-09</t>
        </is>
      </c>
    </row>
    <row r="42506">
      <c r="A42506" s="1" t="n">
        <v>42505</v>
      </c>
      <c r="B42506">
        <f>TEXT(42505, "[$-0E0000]yyyy-mm-dd")</f>
        <v/>
      </c>
      <c r="C42506" t="inlineStr">
        <is>
          <t>2016-04-10</t>
        </is>
      </c>
    </row>
    <row r="42507">
      <c r="A42507" s="1" t="n">
        <v>42506</v>
      </c>
      <c r="B42507">
        <f>TEXT(42506, "[$-0E0000]yyyy-mm-dd")</f>
        <v/>
      </c>
      <c r="C42507" t="inlineStr">
        <is>
          <t>2016-04-11</t>
        </is>
      </c>
    </row>
    <row r="42508">
      <c r="A42508" s="1" t="n">
        <v>42507</v>
      </c>
      <c r="B42508">
        <f>TEXT(42507, "[$-0E0000]yyyy-mm-dd")</f>
        <v/>
      </c>
      <c r="C42508" t="inlineStr">
        <is>
          <t>2016-04-12</t>
        </is>
      </c>
    </row>
    <row r="42509">
      <c r="A42509" s="1" t="n">
        <v>42508</v>
      </c>
      <c r="B42509">
        <f>TEXT(42508, "[$-0E0000]yyyy-mm-dd")</f>
        <v/>
      </c>
      <c r="C42509" t="inlineStr">
        <is>
          <t>2016-04-13</t>
        </is>
      </c>
    </row>
    <row r="42510">
      <c r="A42510" s="1" t="n">
        <v>42509</v>
      </c>
      <c r="B42510">
        <f>TEXT(42509, "[$-0E0000]yyyy-mm-dd")</f>
        <v/>
      </c>
      <c r="C42510" t="inlineStr">
        <is>
          <t>2016-04-14</t>
        </is>
      </c>
    </row>
    <row r="42511">
      <c r="A42511" s="1" t="n">
        <v>42510</v>
      </c>
      <c r="B42511">
        <f>TEXT(42510, "[$-0E0000]yyyy-mm-dd")</f>
        <v/>
      </c>
      <c r="C42511" t="inlineStr">
        <is>
          <t>2016-04-15</t>
        </is>
      </c>
    </row>
    <row r="42512">
      <c r="A42512" s="1" t="n">
        <v>42511</v>
      </c>
      <c r="B42512">
        <f>TEXT(42511, "[$-0E0000]yyyy-mm-dd")</f>
        <v/>
      </c>
      <c r="C42512" t="inlineStr">
        <is>
          <t>2016-04-16</t>
        </is>
      </c>
    </row>
    <row r="42513">
      <c r="A42513" s="1" t="n">
        <v>42512</v>
      </c>
      <c r="B42513">
        <f>TEXT(42512, "[$-0E0000]yyyy-mm-dd")</f>
        <v/>
      </c>
      <c r="C42513" t="inlineStr">
        <is>
          <t>2016-04-17</t>
        </is>
      </c>
    </row>
    <row r="42514">
      <c r="A42514" s="1" t="n">
        <v>42513</v>
      </c>
      <c r="B42514">
        <f>TEXT(42513, "[$-0E0000]yyyy-mm-dd")</f>
        <v/>
      </c>
      <c r="C42514" t="inlineStr">
        <is>
          <t>2016-04-18</t>
        </is>
      </c>
    </row>
    <row r="42515">
      <c r="A42515" s="1" t="n">
        <v>42514</v>
      </c>
      <c r="B42515">
        <f>TEXT(42514, "[$-0E0000]yyyy-mm-dd")</f>
        <v/>
      </c>
      <c r="C42515" t="inlineStr">
        <is>
          <t>2016-04-19</t>
        </is>
      </c>
    </row>
    <row r="42516">
      <c r="A42516" s="1" t="n">
        <v>42515</v>
      </c>
      <c r="B42516">
        <f>TEXT(42515, "[$-0E0000]yyyy-mm-dd")</f>
        <v/>
      </c>
      <c r="C42516" t="inlineStr">
        <is>
          <t>2016-04-20</t>
        </is>
      </c>
    </row>
    <row r="42517">
      <c r="A42517" s="1" t="n">
        <v>42516</v>
      </c>
      <c r="B42517">
        <f>TEXT(42516, "[$-0E0000]yyyy-mm-dd")</f>
        <v/>
      </c>
      <c r="C42517" t="inlineStr">
        <is>
          <t>2016-04-21</t>
        </is>
      </c>
    </row>
    <row r="42518">
      <c r="A42518" s="1" t="n">
        <v>42517</v>
      </c>
      <c r="B42518">
        <f>TEXT(42517, "[$-0E0000]yyyy-mm-dd")</f>
        <v/>
      </c>
      <c r="C42518" t="inlineStr">
        <is>
          <t>2016-04-22</t>
        </is>
      </c>
    </row>
    <row r="42519">
      <c r="A42519" s="1" t="n">
        <v>42518</v>
      </c>
      <c r="B42519">
        <f>TEXT(42518, "[$-0E0000]yyyy-mm-dd")</f>
        <v/>
      </c>
      <c r="C42519" t="inlineStr">
        <is>
          <t>2016-04-23</t>
        </is>
      </c>
    </row>
    <row r="42520">
      <c r="A42520" s="1" t="n">
        <v>42519</v>
      </c>
      <c r="B42520">
        <f>TEXT(42519, "[$-0E0000]yyyy-mm-dd")</f>
        <v/>
      </c>
      <c r="C42520" t="inlineStr">
        <is>
          <t>2016-04-24</t>
        </is>
      </c>
    </row>
    <row r="42521">
      <c r="A42521" s="1" t="n">
        <v>42520</v>
      </c>
      <c r="B42521">
        <f>TEXT(42520, "[$-0E0000]yyyy-mm-dd")</f>
        <v/>
      </c>
      <c r="C42521" t="inlineStr">
        <is>
          <t>2016-04-25</t>
        </is>
      </c>
    </row>
    <row r="42522">
      <c r="A42522" s="1" t="n">
        <v>42521</v>
      </c>
      <c r="B42522">
        <f>TEXT(42521, "[$-0E0000]yyyy-mm-dd")</f>
        <v/>
      </c>
      <c r="C42522" t="inlineStr">
        <is>
          <t>2016-04-26</t>
        </is>
      </c>
    </row>
    <row r="42523">
      <c r="A42523" s="1" t="n">
        <v>42522</v>
      </c>
      <c r="B42523">
        <f>TEXT(42522, "[$-0E0000]yyyy-mm-dd")</f>
        <v/>
      </c>
      <c r="C42523" t="inlineStr">
        <is>
          <t>2016-04-27</t>
        </is>
      </c>
    </row>
    <row r="42524">
      <c r="A42524" s="1" t="n">
        <v>42523</v>
      </c>
      <c r="B42524">
        <f>TEXT(42523, "[$-0E0000]yyyy-mm-dd")</f>
        <v/>
      </c>
      <c r="C42524" t="inlineStr">
        <is>
          <t>2016-04-28</t>
        </is>
      </c>
    </row>
    <row r="42525">
      <c r="A42525" s="1" t="n">
        <v>42524</v>
      </c>
      <c r="B42525">
        <f>TEXT(42524, "[$-0E0000]yyyy-mm-dd")</f>
        <v/>
      </c>
      <c r="C42525" t="inlineStr">
        <is>
          <t>2016-04-29</t>
        </is>
      </c>
    </row>
    <row r="42526">
      <c r="A42526" s="1" t="n">
        <v>42525</v>
      </c>
      <c r="B42526">
        <f>TEXT(42525, "[$-0E0000]yyyy-mm-dd")</f>
        <v/>
      </c>
      <c r="C42526" t="inlineStr">
        <is>
          <t>2016-05-01</t>
        </is>
      </c>
    </row>
    <row r="42527">
      <c r="A42527" s="1" t="n">
        <v>42526</v>
      </c>
      <c r="B42527">
        <f>TEXT(42526, "[$-0E0000]yyyy-mm-dd")</f>
        <v/>
      </c>
      <c r="C42527" t="inlineStr">
        <is>
          <t>2016-05-02</t>
        </is>
      </c>
    </row>
    <row r="42528">
      <c r="A42528" s="1" t="n">
        <v>42527</v>
      </c>
      <c r="B42528">
        <f>TEXT(42527, "[$-0E0000]yyyy-mm-dd")</f>
        <v/>
      </c>
      <c r="C42528" t="inlineStr">
        <is>
          <t>2016-05-03</t>
        </is>
      </c>
    </row>
    <row r="42529">
      <c r="A42529" s="1" t="n">
        <v>42528</v>
      </c>
      <c r="B42529">
        <f>TEXT(42528, "[$-0E0000]yyyy-mm-dd")</f>
        <v/>
      </c>
      <c r="C42529" t="inlineStr">
        <is>
          <t>2016-05-04</t>
        </is>
      </c>
    </row>
    <row r="42530">
      <c r="A42530" s="1" t="n">
        <v>42529</v>
      </c>
      <c r="B42530">
        <f>TEXT(42529, "[$-0E0000]yyyy-mm-dd")</f>
        <v/>
      </c>
      <c r="C42530" t="inlineStr">
        <is>
          <t>2016-05-05</t>
        </is>
      </c>
    </row>
    <row r="42531">
      <c r="A42531" s="1" t="n">
        <v>42530</v>
      </c>
      <c r="B42531">
        <f>TEXT(42530, "[$-0E0000]yyyy-mm-dd")</f>
        <v/>
      </c>
      <c r="C42531" t="inlineStr">
        <is>
          <t>2016-05-06</t>
        </is>
      </c>
    </row>
    <row r="42532">
      <c r="A42532" s="1" t="n">
        <v>42531</v>
      </c>
      <c r="B42532">
        <f>TEXT(42531, "[$-0E0000]yyyy-mm-dd")</f>
        <v/>
      </c>
      <c r="C42532" t="inlineStr">
        <is>
          <t>2016-05-07</t>
        </is>
      </c>
    </row>
    <row r="42533">
      <c r="A42533" s="1" t="n">
        <v>42532</v>
      </c>
      <c r="B42533">
        <f>TEXT(42532, "[$-0E0000]yyyy-mm-dd")</f>
        <v/>
      </c>
      <c r="C42533" t="inlineStr">
        <is>
          <t>2016-05-08</t>
        </is>
      </c>
    </row>
    <row r="42534">
      <c r="A42534" s="1" t="n">
        <v>42533</v>
      </c>
      <c r="B42534">
        <f>TEXT(42533, "[$-0E0000]yyyy-mm-dd")</f>
        <v/>
      </c>
      <c r="C42534" t="inlineStr">
        <is>
          <t>2016-05-09</t>
        </is>
      </c>
    </row>
    <row r="42535">
      <c r="A42535" s="1" t="n">
        <v>42534</v>
      </c>
      <c r="B42535">
        <f>TEXT(42534, "[$-0E0000]yyyy-mm-dd")</f>
        <v/>
      </c>
      <c r="C42535" t="inlineStr">
        <is>
          <t>2016-05-10</t>
        </is>
      </c>
    </row>
    <row r="42536">
      <c r="A42536" s="1" t="n">
        <v>42535</v>
      </c>
      <c r="B42536">
        <f>TEXT(42535, "[$-0E0000]yyyy-mm-dd")</f>
        <v/>
      </c>
      <c r="C42536" t="inlineStr">
        <is>
          <t>2016-05-11</t>
        </is>
      </c>
    </row>
    <row r="42537">
      <c r="A42537" s="1" t="n">
        <v>42536</v>
      </c>
      <c r="B42537">
        <f>TEXT(42536, "[$-0E0000]yyyy-mm-dd")</f>
        <v/>
      </c>
      <c r="C42537" t="inlineStr">
        <is>
          <t>2016-05-12</t>
        </is>
      </c>
    </row>
    <row r="42538">
      <c r="A42538" s="1" t="n">
        <v>42537</v>
      </c>
      <c r="B42538">
        <f>TEXT(42537, "[$-0E0000]yyyy-mm-dd")</f>
        <v/>
      </c>
      <c r="C42538" t="inlineStr">
        <is>
          <t>2016-05-13</t>
        </is>
      </c>
    </row>
    <row r="42539">
      <c r="A42539" s="1" t="n">
        <v>42538</v>
      </c>
      <c r="B42539">
        <f>TEXT(42538, "[$-0E0000]yyyy-mm-dd")</f>
        <v/>
      </c>
      <c r="C42539" t="inlineStr">
        <is>
          <t>2016-05-14</t>
        </is>
      </c>
    </row>
    <row r="42540">
      <c r="A42540" s="1" t="n">
        <v>42539</v>
      </c>
      <c r="B42540">
        <f>TEXT(42539, "[$-0E0000]yyyy-mm-dd")</f>
        <v/>
      </c>
      <c r="C42540" t="inlineStr">
        <is>
          <t>2016-05-15</t>
        </is>
      </c>
    </row>
    <row r="42541">
      <c r="A42541" s="1" t="n">
        <v>42540</v>
      </c>
      <c r="B42541">
        <f>TEXT(42540, "[$-0E0000]yyyy-mm-dd")</f>
        <v/>
      </c>
      <c r="C42541" t="inlineStr">
        <is>
          <t>2016-05-16</t>
        </is>
      </c>
    </row>
    <row r="42542">
      <c r="A42542" s="1" t="n">
        <v>42541</v>
      </c>
      <c r="B42542">
        <f>TEXT(42541, "[$-0E0000]yyyy-mm-dd")</f>
        <v/>
      </c>
      <c r="C42542" t="inlineStr">
        <is>
          <t>2016-05-17</t>
        </is>
      </c>
    </row>
    <row r="42543">
      <c r="A42543" s="1" t="n">
        <v>42542</v>
      </c>
      <c r="B42543">
        <f>TEXT(42542, "[$-0E0000]yyyy-mm-dd")</f>
        <v/>
      </c>
      <c r="C42543" t="inlineStr">
        <is>
          <t>2016-05-18</t>
        </is>
      </c>
    </row>
    <row r="42544">
      <c r="A42544" s="1" t="n">
        <v>42543</v>
      </c>
      <c r="B42544">
        <f>TEXT(42543, "[$-0E0000]yyyy-mm-dd")</f>
        <v/>
      </c>
      <c r="C42544" t="inlineStr">
        <is>
          <t>2016-05-19</t>
        </is>
      </c>
    </row>
    <row r="42545">
      <c r="A42545" s="1" t="n">
        <v>42544</v>
      </c>
      <c r="B42545">
        <f>TEXT(42544, "[$-0E0000]yyyy-mm-dd")</f>
        <v/>
      </c>
      <c r="C42545" t="inlineStr">
        <is>
          <t>2016-05-20</t>
        </is>
      </c>
    </row>
    <row r="42546">
      <c r="A42546" s="1" t="n">
        <v>42545</v>
      </c>
      <c r="B42546">
        <f>TEXT(42545, "[$-0E0000]yyyy-mm-dd")</f>
        <v/>
      </c>
      <c r="C42546" t="inlineStr">
        <is>
          <t>2016-05-21</t>
        </is>
      </c>
    </row>
    <row r="42547">
      <c r="A42547" s="1" t="n">
        <v>42546</v>
      </c>
      <c r="B42547">
        <f>TEXT(42546, "[$-0E0000]yyyy-mm-dd")</f>
        <v/>
      </c>
      <c r="C42547" t="inlineStr">
        <is>
          <t>2016-05-22</t>
        </is>
      </c>
    </row>
    <row r="42548">
      <c r="A42548" s="1" t="n">
        <v>42547</v>
      </c>
      <c r="B42548">
        <f>TEXT(42547, "[$-0E0000]yyyy-mm-dd")</f>
        <v/>
      </c>
      <c r="C42548" t="inlineStr">
        <is>
          <t>2016-05-23</t>
        </is>
      </c>
    </row>
    <row r="42549">
      <c r="A42549" s="1" t="n">
        <v>42548</v>
      </c>
      <c r="B42549">
        <f>TEXT(42548, "[$-0E0000]yyyy-mm-dd")</f>
        <v/>
      </c>
      <c r="C42549" t="inlineStr">
        <is>
          <t>2016-05-24</t>
        </is>
      </c>
    </row>
    <row r="42550">
      <c r="A42550" s="1" t="n">
        <v>42549</v>
      </c>
      <c r="B42550">
        <f>TEXT(42549, "[$-0E0000]yyyy-mm-dd")</f>
        <v/>
      </c>
      <c r="C42550" t="inlineStr">
        <is>
          <t>2016-05-25</t>
        </is>
      </c>
    </row>
    <row r="42551">
      <c r="A42551" s="1" t="n">
        <v>42550</v>
      </c>
      <c r="B42551">
        <f>TEXT(42550, "[$-0E0000]yyyy-mm-dd")</f>
        <v/>
      </c>
      <c r="C42551" t="inlineStr">
        <is>
          <t>2016-05-26</t>
        </is>
      </c>
    </row>
    <row r="42552">
      <c r="A42552" s="1" t="n">
        <v>42551</v>
      </c>
      <c r="B42552">
        <f>TEXT(42551, "[$-0E0000]yyyy-mm-dd")</f>
        <v/>
      </c>
      <c r="C42552" t="inlineStr">
        <is>
          <t>2016-05-27</t>
        </is>
      </c>
    </row>
    <row r="42553">
      <c r="A42553" s="1" t="n">
        <v>42552</v>
      </c>
      <c r="B42553">
        <f>TEXT(42552, "[$-0E0000]yyyy-mm-dd")</f>
        <v/>
      </c>
      <c r="C42553" t="inlineStr">
        <is>
          <t>2016-05-28</t>
        </is>
      </c>
    </row>
    <row r="42554">
      <c r="A42554" s="1" t="n">
        <v>42553</v>
      </c>
      <c r="B42554">
        <f>TEXT(42553, "[$-0E0000]yyyy-mm-dd")</f>
        <v/>
      </c>
      <c r="C42554" t="inlineStr">
        <is>
          <t>2016-05-29</t>
        </is>
      </c>
    </row>
    <row r="42555">
      <c r="A42555" s="1" t="n">
        <v>42554</v>
      </c>
      <c r="B42555">
        <f>TEXT(42554, "[$-0E0000]yyyy-mm-dd")</f>
        <v/>
      </c>
      <c r="C42555" t="inlineStr">
        <is>
          <t>2016-06-01</t>
        </is>
      </c>
    </row>
    <row r="42556">
      <c r="A42556" s="1" t="n">
        <v>42555</v>
      </c>
      <c r="B42556">
        <f>TEXT(42555, "[$-0E0000]yyyy-mm-dd")</f>
        <v/>
      </c>
      <c r="C42556" t="inlineStr">
        <is>
          <t>2016-06-02</t>
        </is>
      </c>
    </row>
    <row r="42557">
      <c r="A42557" s="1" t="n">
        <v>42556</v>
      </c>
      <c r="B42557">
        <f>TEXT(42556, "[$-0E0000]yyyy-mm-dd")</f>
        <v/>
      </c>
      <c r="C42557" t="inlineStr">
        <is>
          <t>2016-06-03</t>
        </is>
      </c>
    </row>
    <row r="42558">
      <c r="A42558" s="1" t="n">
        <v>42557</v>
      </c>
      <c r="B42558">
        <f>TEXT(42557, "[$-0E0000]yyyy-mm-dd")</f>
        <v/>
      </c>
      <c r="C42558" t="inlineStr">
        <is>
          <t>2016-06-04</t>
        </is>
      </c>
    </row>
    <row r="42559">
      <c r="A42559" s="1" t="n">
        <v>42558</v>
      </c>
      <c r="B42559">
        <f>TEXT(42558, "[$-0E0000]yyyy-mm-dd")</f>
        <v/>
      </c>
      <c r="C42559" t="inlineStr">
        <is>
          <t>2016-06-05</t>
        </is>
      </c>
    </row>
    <row r="42560">
      <c r="A42560" s="1" t="n">
        <v>42559</v>
      </c>
      <c r="B42560">
        <f>TEXT(42559, "[$-0E0000]yyyy-mm-dd")</f>
        <v/>
      </c>
      <c r="C42560" t="inlineStr">
        <is>
          <t>2016-06-06</t>
        </is>
      </c>
    </row>
    <row r="42561">
      <c r="A42561" s="1" t="n">
        <v>42560</v>
      </c>
      <c r="B42561">
        <f>TEXT(42560, "[$-0E0000]yyyy-mm-dd")</f>
        <v/>
      </c>
      <c r="C42561" t="inlineStr">
        <is>
          <t>2016-06-07</t>
        </is>
      </c>
    </row>
    <row r="42562">
      <c r="A42562" s="1" t="n">
        <v>42561</v>
      </c>
      <c r="B42562">
        <f>TEXT(42561, "[$-0E0000]yyyy-mm-dd")</f>
        <v/>
      </c>
      <c r="C42562" t="inlineStr">
        <is>
          <t>2016-06-08</t>
        </is>
      </c>
    </row>
    <row r="42563">
      <c r="A42563" s="1" t="n">
        <v>42562</v>
      </c>
      <c r="B42563">
        <f>TEXT(42562, "[$-0E0000]yyyy-mm-dd")</f>
        <v/>
      </c>
      <c r="C42563" t="inlineStr">
        <is>
          <t>2016-06-09</t>
        </is>
      </c>
    </row>
    <row r="42564">
      <c r="A42564" s="1" t="n">
        <v>42563</v>
      </c>
      <c r="B42564">
        <f>TEXT(42563, "[$-0E0000]yyyy-mm-dd")</f>
        <v/>
      </c>
      <c r="C42564" t="inlineStr">
        <is>
          <t>2016-06-10</t>
        </is>
      </c>
    </row>
    <row r="42565">
      <c r="A42565" s="1" t="n">
        <v>42564</v>
      </c>
      <c r="B42565">
        <f>TEXT(42564, "[$-0E0000]yyyy-mm-dd")</f>
        <v/>
      </c>
      <c r="C42565" t="inlineStr">
        <is>
          <t>2016-06-11</t>
        </is>
      </c>
    </row>
    <row r="42566">
      <c r="A42566" s="1" t="n">
        <v>42565</v>
      </c>
      <c r="B42566">
        <f>TEXT(42565, "[$-0E0000]yyyy-mm-dd")</f>
        <v/>
      </c>
      <c r="C42566" t="inlineStr">
        <is>
          <t>2016-06-12</t>
        </is>
      </c>
    </row>
    <row r="42567">
      <c r="A42567" s="1" t="n">
        <v>42566</v>
      </c>
      <c r="B42567">
        <f>TEXT(42566, "[$-0E0000]yyyy-mm-dd")</f>
        <v/>
      </c>
      <c r="C42567" t="inlineStr">
        <is>
          <t>2016-06-13</t>
        </is>
      </c>
    </row>
    <row r="42568">
      <c r="A42568" s="1" t="n">
        <v>42567</v>
      </c>
      <c r="B42568">
        <f>TEXT(42567, "[$-0E0000]yyyy-mm-dd")</f>
        <v/>
      </c>
      <c r="C42568" t="inlineStr">
        <is>
          <t>2016-06-14</t>
        </is>
      </c>
    </row>
    <row r="42569">
      <c r="A42569" s="1" t="n">
        <v>42568</v>
      </c>
      <c r="B42569">
        <f>TEXT(42568, "[$-0E0000]yyyy-mm-dd")</f>
        <v/>
      </c>
      <c r="C42569" t="inlineStr">
        <is>
          <t>2016-06-15</t>
        </is>
      </c>
    </row>
    <row r="42570">
      <c r="A42570" s="1" t="n">
        <v>42569</v>
      </c>
      <c r="B42570">
        <f>TEXT(42569, "[$-0E0000]yyyy-mm-dd")</f>
        <v/>
      </c>
      <c r="C42570" t="inlineStr">
        <is>
          <t>2016-06-16</t>
        </is>
      </c>
    </row>
    <row r="42571">
      <c r="A42571" s="1" t="n">
        <v>42570</v>
      </c>
      <c r="B42571">
        <f>TEXT(42570, "[$-0E0000]yyyy-mm-dd")</f>
        <v/>
      </c>
      <c r="C42571" t="inlineStr">
        <is>
          <t>2016-06-17</t>
        </is>
      </c>
    </row>
    <row r="42572">
      <c r="A42572" s="1" t="n">
        <v>42571</v>
      </c>
      <c r="B42572">
        <f>TEXT(42571, "[$-0E0000]yyyy-mm-dd")</f>
        <v/>
      </c>
      <c r="C42572" t="inlineStr">
        <is>
          <t>2016-06-18</t>
        </is>
      </c>
    </row>
    <row r="42573">
      <c r="A42573" s="1" t="n">
        <v>42572</v>
      </c>
      <c r="B42573">
        <f>TEXT(42572, "[$-0E0000]yyyy-mm-dd")</f>
        <v/>
      </c>
      <c r="C42573" t="inlineStr">
        <is>
          <t>2016-06-19</t>
        </is>
      </c>
    </row>
    <row r="42574">
      <c r="A42574" s="1" t="n">
        <v>42573</v>
      </c>
      <c r="B42574">
        <f>TEXT(42573, "[$-0E0000]yyyy-mm-dd")</f>
        <v/>
      </c>
      <c r="C42574" t="inlineStr">
        <is>
          <t>2016-06-20</t>
        </is>
      </c>
    </row>
    <row r="42575">
      <c r="A42575" s="1" t="n">
        <v>42574</v>
      </c>
      <c r="B42575">
        <f>TEXT(42574, "[$-0E0000]yyyy-mm-dd")</f>
        <v/>
      </c>
      <c r="C42575" t="inlineStr">
        <is>
          <t>2016-06-21</t>
        </is>
      </c>
    </row>
    <row r="42576">
      <c r="A42576" s="1" t="n">
        <v>42575</v>
      </c>
      <c r="B42576">
        <f>TEXT(42575, "[$-0E0000]yyyy-mm-dd")</f>
        <v/>
      </c>
      <c r="C42576" t="inlineStr">
        <is>
          <t>2016-06-22</t>
        </is>
      </c>
    </row>
    <row r="42577">
      <c r="A42577" s="1" t="n">
        <v>42576</v>
      </c>
      <c r="B42577">
        <f>TEXT(42576, "[$-0E0000]yyyy-mm-dd")</f>
        <v/>
      </c>
      <c r="C42577" t="inlineStr">
        <is>
          <t>2016-06-23</t>
        </is>
      </c>
    </row>
    <row r="42578">
      <c r="A42578" s="1" t="n">
        <v>42577</v>
      </c>
      <c r="B42578">
        <f>TEXT(42577, "[$-0E0000]yyyy-mm-dd")</f>
        <v/>
      </c>
      <c r="C42578" t="inlineStr">
        <is>
          <t>2016-06-24</t>
        </is>
      </c>
    </row>
    <row r="42579">
      <c r="A42579" s="1" t="n">
        <v>42578</v>
      </c>
      <c r="B42579">
        <f>TEXT(42578, "[$-0E0000]yyyy-mm-dd")</f>
        <v/>
      </c>
      <c r="C42579" t="inlineStr">
        <is>
          <t>2016-06-25</t>
        </is>
      </c>
    </row>
    <row r="42580">
      <c r="A42580" s="1" t="n">
        <v>42579</v>
      </c>
      <c r="B42580">
        <f>TEXT(42579, "[$-0E0000]yyyy-mm-dd")</f>
        <v/>
      </c>
      <c r="C42580" t="inlineStr">
        <is>
          <t>2016-06-26</t>
        </is>
      </c>
    </row>
    <row r="42581">
      <c r="A42581" s="1" t="n">
        <v>42580</v>
      </c>
      <c r="B42581">
        <f>TEXT(42580, "[$-0E0000]yyyy-mm-dd")</f>
        <v/>
      </c>
      <c r="C42581" t="inlineStr">
        <is>
          <t>2016-06-27</t>
        </is>
      </c>
    </row>
    <row r="42582">
      <c r="A42582" s="1" t="n">
        <v>42581</v>
      </c>
      <c r="B42582">
        <f>TEXT(42581, "[$-0E0000]yyyy-mm-dd")</f>
        <v/>
      </c>
      <c r="C42582" t="inlineStr">
        <is>
          <t>2016-06-28</t>
        </is>
      </c>
    </row>
    <row r="42583">
      <c r="A42583" s="1" t="n">
        <v>42582</v>
      </c>
      <c r="B42583">
        <f>TEXT(42582, "[$-0E0000]yyyy-mm-dd")</f>
        <v/>
      </c>
      <c r="C42583" t="inlineStr">
        <is>
          <t>2016-06-29</t>
        </is>
      </c>
    </row>
    <row r="42584">
      <c r="A42584" s="1" t="n">
        <v>42583</v>
      </c>
      <c r="B42584">
        <f>TEXT(42583, "[$-0E0000]yyyy-mm-dd")</f>
        <v/>
      </c>
      <c r="C42584" t="inlineStr">
        <is>
          <t>2016-06-30</t>
        </is>
      </c>
    </row>
    <row r="42585">
      <c r="A42585" s="1" t="n">
        <v>42584</v>
      </c>
      <c r="B42585">
        <f>TEXT(42584, "[$-0E0000]yyyy-mm-dd")</f>
        <v/>
      </c>
      <c r="C42585" t="inlineStr">
        <is>
          <t>2016-07-01</t>
        </is>
      </c>
    </row>
    <row r="42586">
      <c r="A42586" s="1" t="n">
        <v>42585</v>
      </c>
      <c r="B42586">
        <f>TEXT(42585, "[$-0E0000]yyyy-mm-dd")</f>
        <v/>
      </c>
      <c r="C42586" t="inlineStr">
        <is>
          <t>2016-07-02</t>
        </is>
      </c>
    </row>
    <row r="42587">
      <c r="A42587" s="1" t="n">
        <v>42586</v>
      </c>
      <c r="B42587">
        <f>TEXT(42586, "[$-0E0000]yyyy-mm-dd")</f>
        <v/>
      </c>
      <c r="C42587" t="inlineStr">
        <is>
          <t>2016-07-03</t>
        </is>
      </c>
    </row>
    <row r="42588">
      <c r="A42588" s="1" t="n">
        <v>42587</v>
      </c>
      <c r="B42588">
        <f>TEXT(42587, "[$-0E0000]yyyy-mm-dd")</f>
        <v/>
      </c>
      <c r="C42588" t="inlineStr">
        <is>
          <t>2016-07-04</t>
        </is>
      </c>
    </row>
    <row r="42589">
      <c r="A42589" s="1" t="n">
        <v>42588</v>
      </c>
      <c r="B42589">
        <f>TEXT(42588, "[$-0E0000]yyyy-mm-dd")</f>
        <v/>
      </c>
      <c r="C42589" t="inlineStr">
        <is>
          <t>2016-07-05</t>
        </is>
      </c>
    </row>
    <row r="42590">
      <c r="A42590" s="1" t="n">
        <v>42589</v>
      </c>
      <c r="B42590">
        <f>TEXT(42589, "[$-0E0000]yyyy-mm-dd")</f>
        <v/>
      </c>
      <c r="C42590" t="inlineStr">
        <is>
          <t>2016-07-06</t>
        </is>
      </c>
    </row>
    <row r="42591">
      <c r="A42591" s="1" t="n">
        <v>42590</v>
      </c>
      <c r="B42591">
        <f>TEXT(42590, "[$-0E0000]yyyy-mm-dd")</f>
        <v/>
      </c>
      <c r="C42591" t="inlineStr">
        <is>
          <t>2016-07-07</t>
        </is>
      </c>
    </row>
    <row r="42592">
      <c r="A42592" s="1" t="n">
        <v>42591</v>
      </c>
      <c r="B42592">
        <f>TEXT(42591, "[$-0E0000]yyyy-mm-dd")</f>
        <v/>
      </c>
      <c r="C42592" t="inlineStr">
        <is>
          <t>2016-07-08</t>
        </is>
      </c>
    </row>
    <row r="42593">
      <c r="A42593" s="1" t="n">
        <v>42592</v>
      </c>
      <c r="B42593">
        <f>TEXT(42592, "[$-0E0000]yyyy-mm-dd")</f>
        <v/>
      </c>
      <c r="C42593" t="inlineStr">
        <is>
          <t>2016-07-09</t>
        </is>
      </c>
    </row>
    <row r="42594">
      <c r="A42594" s="1" t="n">
        <v>42593</v>
      </c>
      <c r="B42594">
        <f>TEXT(42593, "[$-0E0000]yyyy-mm-dd")</f>
        <v/>
      </c>
      <c r="C42594" t="inlineStr">
        <is>
          <t>2016-07-10</t>
        </is>
      </c>
    </row>
    <row r="42595">
      <c r="A42595" s="1" t="n">
        <v>42594</v>
      </c>
      <c r="B42595">
        <f>TEXT(42594, "[$-0E0000]yyyy-mm-dd")</f>
        <v/>
      </c>
      <c r="C42595" t="inlineStr">
        <is>
          <t>2016-07-11</t>
        </is>
      </c>
    </row>
    <row r="42596">
      <c r="A42596" s="1" t="n">
        <v>42595</v>
      </c>
      <c r="B42596">
        <f>TEXT(42595, "[$-0E0000]yyyy-mm-dd")</f>
        <v/>
      </c>
      <c r="C42596" t="inlineStr">
        <is>
          <t>2016-07-12</t>
        </is>
      </c>
    </row>
    <row r="42597">
      <c r="A42597" s="1" t="n">
        <v>42596</v>
      </c>
      <c r="B42597">
        <f>TEXT(42596, "[$-0E0000]yyyy-mm-dd")</f>
        <v/>
      </c>
      <c r="C42597" t="inlineStr">
        <is>
          <t>2016-07-13</t>
        </is>
      </c>
    </row>
    <row r="42598">
      <c r="A42598" s="1" t="n">
        <v>42597</v>
      </c>
      <c r="B42598">
        <f>TEXT(42597, "[$-0E0000]yyyy-mm-dd")</f>
        <v/>
      </c>
      <c r="C42598" t="inlineStr">
        <is>
          <t>2016-07-14</t>
        </is>
      </c>
    </row>
    <row r="42599">
      <c r="A42599" s="1" t="n">
        <v>42598</v>
      </c>
      <c r="B42599">
        <f>TEXT(42598, "[$-0E0000]yyyy-mm-dd")</f>
        <v/>
      </c>
      <c r="C42599" t="inlineStr">
        <is>
          <t>2016-07-15</t>
        </is>
      </c>
    </row>
    <row r="42600">
      <c r="A42600" s="1" t="n">
        <v>42599</v>
      </c>
      <c r="B42600">
        <f>TEXT(42599, "[$-0E0000]yyyy-mm-dd")</f>
        <v/>
      </c>
      <c r="C42600" t="inlineStr">
        <is>
          <t>2016-07-16</t>
        </is>
      </c>
    </row>
    <row r="42601">
      <c r="A42601" s="1" t="n">
        <v>42600</v>
      </c>
      <c r="B42601">
        <f>TEXT(42600, "[$-0E0000]yyyy-mm-dd")</f>
        <v/>
      </c>
      <c r="C42601" t="inlineStr">
        <is>
          <t>2016-07-17</t>
        </is>
      </c>
    </row>
    <row r="42602">
      <c r="A42602" s="1" t="n">
        <v>42601</v>
      </c>
      <c r="B42602">
        <f>TEXT(42601, "[$-0E0000]yyyy-mm-dd")</f>
        <v/>
      </c>
      <c r="C42602" t="inlineStr">
        <is>
          <t>2016-07-18</t>
        </is>
      </c>
    </row>
    <row r="42603">
      <c r="A42603" s="1" t="n">
        <v>42602</v>
      </c>
      <c r="B42603">
        <f>TEXT(42602, "[$-0E0000]yyyy-mm-dd")</f>
        <v/>
      </c>
      <c r="C42603" t="inlineStr">
        <is>
          <t>2016-07-19</t>
        </is>
      </c>
    </row>
    <row r="42604">
      <c r="A42604" s="1" t="n">
        <v>42603</v>
      </c>
      <c r="B42604">
        <f>TEXT(42603, "[$-0E0000]yyyy-mm-dd")</f>
        <v/>
      </c>
      <c r="C42604" t="inlineStr">
        <is>
          <t>2016-07-20</t>
        </is>
      </c>
    </row>
    <row r="42605">
      <c r="A42605" s="1" t="n">
        <v>42604</v>
      </c>
      <c r="B42605">
        <f>TEXT(42604, "[$-0E0000]yyyy-mm-dd")</f>
        <v/>
      </c>
      <c r="C42605" t="inlineStr">
        <is>
          <t>2016-07-21</t>
        </is>
      </c>
    </row>
    <row r="42606">
      <c r="A42606" s="1" t="n">
        <v>42605</v>
      </c>
      <c r="B42606">
        <f>TEXT(42605, "[$-0E0000]yyyy-mm-dd")</f>
        <v/>
      </c>
      <c r="C42606" t="inlineStr">
        <is>
          <t>2016-07-22</t>
        </is>
      </c>
    </row>
    <row r="42607">
      <c r="A42607" s="1" t="n">
        <v>42606</v>
      </c>
      <c r="B42607">
        <f>TEXT(42606, "[$-0E0000]yyyy-mm-dd")</f>
        <v/>
      </c>
      <c r="C42607" t="inlineStr">
        <is>
          <t>2016-07-23</t>
        </is>
      </c>
    </row>
    <row r="42608">
      <c r="A42608" s="1" t="n">
        <v>42607</v>
      </c>
      <c r="B42608">
        <f>TEXT(42607, "[$-0E0000]yyyy-mm-dd")</f>
        <v/>
      </c>
      <c r="C42608" t="inlineStr">
        <is>
          <t>2016-07-24</t>
        </is>
      </c>
    </row>
    <row r="42609">
      <c r="A42609" s="1" t="n">
        <v>42608</v>
      </c>
      <c r="B42609">
        <f>TEXT(42608, "[$-0E0000]yyyy-mm-dd")</f>
        <v/>
      </c>
      <c r="C42609" t="inlineStr">
        <is>
          <t>2016-07-25</t>
        </is>
      </c>
    </row>
    <row r="42610">
      <c r="A42610" s="1" t="n">
        <v>42609</v>
      </c>
      <c r="B42610">
        <f>TEXT(42609, "[$-0E0000]yyyy-mm-dd")</f>
        <v/>
      </c>
      <c r="C42610" t="inlineStr">
        <is>
          <t>2016-07-26</t>
        </is>
      </c>
    </row>
    <row r="42611">
      <c r="A42611" s="1" t="n">
        <v>42610</v>
      </c>
      <c r="B42611">
        <f>TEXT(42610, "[$-0E0000]yyyy-mm-dd")</f>
        <v/>
      </c>
      <c r="C42611" t="inlineStr">
        <is>
          <t>2016-07-27</t>
        </is>
      </c>
    </row>
    <row r="42612">
      <c r="A42612" s="1" t="n">
        <v>42611</v>
      </c>
      <c r="B42612">
        <f>TEXT(42611, "[$-0E0000]yyyy-mm-dd")</f>
        <v/>
      </c>
      <c r="C42612" t="inlineStr">
        <is>
          <t>2016-07-28</t>
        </is>
      </c>
    </row>
    <row r="42613">
      <c r="A42613" s="1" t="n">
        <v>42612</v>
      </c>
      <c r="B42613">
        <f>TEXT(42612, "[$-0E0000]yyyy-mm-dd")</f>
        <v/>
      </c>
      <c r="C42613" t="inlineStr">
        <is>
          <t>2016-07-29</t>
        </is>
      </c>
    </row>
    <row r="42614">
      <c r="A42614" s="1" t="n">
        <v>42613</v>
      </c>
      <c r="B42614">
        <f>TEXT(42613, "[$-0E0000]yyyy-mm-dd")</f>
        <v/>
      </c>
      <c r="C42614" t="inlineStr">
        <is>
          <t>2016-08-01</t>
        </is>
      </c>
    </row>
    <row r="42615">
      <c r="A42615" s="1" t="n">
        <v>42614</v>
      </c>
      <c r="B42615">
        <f>TEXT(42614, "[$-0E0000]yyyy-mm-dd")</f>
        <v/>
      </c>
      <c r="C42615" t="inlineStr">
        <is>
          <t>2016-08-02</t>
        </is>
      </c>
    </row>
    <row r="42616">
      <c r="A42616" s="1" t="n">
        <v>42615</v>
      </c>
      <c r="B42616">
        <f>TEXT(42615, "[$-0E0000]yyyy-mm-dd")</f>
        <v/>
      </c>
      <c r="C42616" t="inlineStr">
        <is>
          <t>2016-08-03</t>
        </is>
      </c>
    </row>
    <row r="42617">
      <c r="A42617" s="1" t="n">
        <v>42616</v>
      </c>
      <c r="B42617">
        <f>TEXT(42616, "[$-0E0000]yyyy-mm-dd")</f>
        <v/>
      </c>
      <c r="C42617" t="inlineStr">
        <is>
          <t>2016-08-04</t>
        </is>
      </c>
    </row>
    <row r="42618">
      <c r="A42618" s="1" t="n">
        <v>42617</v>
      </c>
      <c r="B42618">
        <f>TEXT(42617, "[$-0E0000]yyyy-mm-dd")</f>
        <v/>
      </c>
      <c r="C42618" t="inlineStr">
        <is>
          <t>2016-08-05</t>
        </is>
      </c>
    </row>
    <row r="42619">
      <c r="A42619" s="1" t="n">
        <v>42618</v>
      </c>
      <c r="B42619">
        <f>TEXT(42618, "[$-0E0000]yyyy-mm-dd")</f>
        <v/>
      </c>
      <c r="C42619" t="inlineStr">
        <is>
          <t>2016-08-06</t>
        </is>
      </c>
    </row>
    <row r="42620">
      <c r="A42620" s="1" t="n">
        <v>42619</v>
      </c>
      <c r="B42620">
        <f>TEXT(42619, "[$-0E0000]yyyy-mm-dd")</f>
        <v/>
      </c>
      <c r="C42620" t="inlineStr">
        <is>
          <t>2016-08-07</t>
        </is>
      </c>
    </row>
    <row r="42621">
      <c r="A42621" s="1" t="n">
        <v>42620</v>
      </c>
      <c r="B42621">
        <f>TEXT(42620, "[$-0E0000]yyyy-mm-dd")</f>
        <v/>
      </c>
      <c r="C42621" t="inlineStr">
        <is>
          <t>2016-08-08</t>
        </is>
      </c>
    </row>
    <row r="42622">
      <c r="A42622" s="1" t="n">
        <v>42621</v>
      </c>
      <c r="B42622">
        <f>TEXT(42621, "[$-0E0000]yyyy-mm-dd")</f>
        <v/>
      </c>
      <c r="C42622" t="inlineStr">
        <is>
          <t>2016-08-09</t>
        </is>
      </c>
    </row>
    <row r="42623">
      <c r="A42623" s="1" t="n">
        <v>42622</v>
      </c>
      <c r="B42623">
        <f>TEXT(42622, "[$-0E0000]yyyy-mm-dd")</f>
        <v/>
      </c>
      <c r="C42623" t="inlineStr">
        <is>
          <t>2016-08-10</t>
        </is>
      </c>
    </row>
    <row r="42624">
      <c r="A42624" s="1" t="n">
        <v>42623</v>
      </c>
      <c r="B42624">
        <f>TEXT(42623, "[$-0E0000]yyyy-mm-dd")</f>
        <v/>
      </c>
      <c r="C42624" t="inlineStr">
        <is>
          <t>2016-08-11</t>
        </is>
      </c>
    </row>
    <row r="42625">
      <c r="A42625" s="1" t="n">
        <v>42624</v>
      </c>
      <c r="B42625">
        <f>TEXT(42624, "[$-0E0000]yyyy-mm-dd")</f>
        <v/>
      </c>
      <c r="C42625" t="inlineStr">
        <is>
          <t>2016-08-12</t>
        </is>
      </c>
    </row>
    <row r="42626">
      <c r="A42626" s="1" t="n">
        <v>42625</v>
      </c>
      <c r="B42626">
        <f>TEXT(42625, "[$-0E0000]yyyy-mm-dd")</f>
        <v/>
      </c>
      <c r="C42626" t="inlineStr">
        <is>
          <t>2016-08-13</t>
        </is>
      </c>
    </row>
    <row r="42627">
      <c r="A42627" s="1" t="n">
        <v>42626</v>
      </c>
      <c r="B42627">
        <f>TEXT(42626, "[$-0E0000]yyyy-mm-dd")</f>
        <v/>
      </c>
      <c r="C42627" t="inlineStr">
        <is>
          <t>2016-08-14</t>
        </is>
      </c>
    </row>
    <row r="42628">
      <c r="A42628" s="1" t="n">
        <v>42627</v>
      </c>
      <c r="B42628">
        <f>TEXT(42627, "[$-0E0000]yyyy-mm-dd")</f>
        <v/>
      </c>
      <c r="C42628" t="inlineStr">
        <is>
          <t>2016-08-15</t>
        </is>
      </c>
    </row>
    <row r="42629">
      <c r="A42629" s="1" t="n">
        <v>42628</v>
      </c>
      <c r="B42629">
        <f>TEXT(42628, "[$-0E0000]yyyy-mm-dd")</f>
        <v/>
      </c>
      <c r="C42629" t="inlineStr">
        <is>
          <t>2016-08-16</t>
        </is>
      </c>
    </row>
    <row r="42630">
      <c r="A42630" s="1" t="n">
        <v>42629</v>
      </c>
      <c r="B42630">
        <f>TEXT(42629, "[$-0E0000]yyyy-mm-dd")</f>
        <v/>
      </c>
      <c r="C42630" t="inlineStr">
        <is>
          <t>2016-08-17</t>
        </is>
      </c>
    </row>
    <row r="42631">
      <c r="A42631" s="1" t="n">
        <v>42630</v>
      </c>
      <c r="B42631">
        <f>TEXT(42630, "[$-0E0000]yyyy-mm-dd")</f>
        <v/>
      </c>
      <c r="C42631" t="inlineStr">
        <is>
          <t>2016-08-18</t>
        </is>
      </c>
    </row>
    <row r="42632">
      <c r="A42632" s="1" t="n">
        <v>42631</v>
      </c>
      <c r="B42632">
        <f>TEXT(42631, "[$-0E0000]yyyy-mm-dd")</f>
        <v/>
      </c>
      <c r="C42632" t="inlineStr">
        <is>
          <t>2016-08-19</t>
        </is>
      </c>
    </row>
    <row r="42633">
      <c r="A42633" s="1" t="n">
        <v>42632</v>
      </c>
      <c r="B42633">
        <f>TEXT(42632, "[$-0E0000]yyyy-mm-dd")</f>
        <v/>
      </c>
      <c r="C42633" t="inlineStr">
        <is>
          <t>2016-08-20</t>
        </is>
      </c>
    </row>
    <row r="42634">
      <c r="A42634" s="1" t="n">
        <v>42633</v>
      </c>
      <c r="B42634">
        <f>TEXT(42633, "[$-0E0000]yyyy-mm-dd")</f>
        <v/>
      </c>
      <c r="C42634" t="inlineStr">
        <is>
          <t>2016-08-21</t>
        </is>
      </c>
    </row>
    <row r="42635">
      <c r="A42635" s="1" t="n">
        <v>42634</v>
      </c>
      <c r="B42635">
        <f>TEXT(42634, "[$-0E0000]yyyy-mm-dd")</f>
        <v/>
      </c>
      <c r="C42635" t="inlineStr">
        <is>
          <t>2016-08-22</t>
        </is>
      </c>
    </row>
    <row r="42636">
      <c r="A42636" s="1" t="n">
        <v>42635</v>
      </c>
      <c r="B42636">
        <f>TEXT(42635, "[$-0E0000]yyyy-mm-dd")</f>
        <v/>
      </c>
      <c r="C42636" t="inlineStr">
        <is>
          <t>2016-08-23</t>
        </is>
      </c>
    </row>
    <row r="42637">
      <c r="A42637" s="1" t="n">
        <v>42636</v>
      </c>
      <c r="B42637">
        <f>TEXT(42636, "[$-0E0000]yyyy-mm-dd")</f>
        <v/>
      </c>
      <c r="C42637" t="inlineStr">
        <is>
          <t>2016-08-24</t>
        </is>
      </c>
    </row>
    <row r="42638">
      <c r="A42638" s="1" t="n">
        <v>42637</v>
      </c>
      <c r="B42638">
        <f>TEXT(42637, "[$-0E0000]yyyy-mm-dd")</f>
        <v/>
      </c>
      <c r="C42638" t="inlineStr">
        <is>
          <t>2016-08-25</t>
        </is>
      </c>
    </row>
    <row r="42639">
      <c r="A42639" s="1" t="n">
        <v>42638</v>
      </c>
      <c r="B42639">
        <f>TEXT(42638, "[$-0E0000]yyyy-mm-dd")</f>
        <v/>
      </c>
      <c r="C42639" t="inlineStr">
        <is>
          <t>2016-08-26</t>
        </is>
      </c>
    </row>
    <row r="42640">
      <c r="A42640" s="1" t="n">
        <v>42639</v>
      </c>
      <c r="B42640">
        <f>TEXT(42639, "[$-0E0000]yyyy-mm-dd")</f>
        <v/>
      </c>
      <c r="C42640" t="inlineStr">
        <is>
          <t>2016-08-27</t>
        </is>
      </c>
    </row>
    <row r="42641">
      <c r="A42641" s="1" t="n">
        <v>42640</v>
      </c>
      <c r="B42641">
        <f>TEXT(42640, "[$-0E0000]yyyy-mm-dd")</f>
        <v/>
      </c>
      <c r="C42641" t="inlineStr">
        <is>
          <t>2016-08-28</t>
        </is>
      </c>
    </row>
    <row r="42642">
      <c r="A42642" s="1" t="n">
        <v>42641</v>
      </c>
      <c r="B42642">
        <f>TEXT(42641, "[$-0E0000]yyyy-mm-dd")</f>
        <v/>
      </c>
      <c r="C42642" t="inlineStr">
        <is>
          <t>2016-08-29</t>
        </is>
      </c>
    </row>
    <row r="42643">
      <c r="A42643" s="1" t="n">
        <v>42642</v>
      </c>
      <c r="B42643">
        <f>TEXT(42642, "[$-0E0000]yyyy-mm-dd")</f>
        <v/>
      </c>
      <c r="C42643" t="inlineStr">
        <is>
          <t>2016-08-30</t>
        </is>
      </c>
    </row>
    <row r="42644">
      <c r="A42644" s="1" t="n">
        <v>42643</v>
      </c>
      <c r="B42644">
        <f>TEXT(42643, "[$-0E0000]yyyy-mm-dd")</f>
        <v/>
      </c>
      <c r="C42644" t="inlineStr">
        <is>
          <t>2016-09-01</t>
        </is>
      </c>
    </row>
    <row r="42645">
      <c r="A42645" s="1" t="n">
        <v>42644</v>
      </c>
      <c r="B42645">
        <f>TEXT(42644, "[$-0E0000]yyyy-mm-dd")</f>
        <v/>
      </c>
      <c r="C42645" t="inlineStr">
        <is>
          <t>2016-09-02</t>
        </is>
      </c>
    </row>
    <row r="42646">
      <c r="A42646" s="1" t="n">
        <v>42645</v>
      </c>
      <c r="B42646">
        <f>TEXT(42645, "[$-0E0000]yyyy-mm-dd")</f>
        <v/>
      </c>
      <c r="C42646" t="inlineStr">
        <is>
          <t>2016-09-03</t>
        </is>
      </c>
    </row>
    <row r="42647">
      <c r="A42647" s="1" t="n">
        <v>42646</v>
      </c>
      <c r="B42647">
        <f>TEXT(42646, "[$-0E0000]yyyy-mm-dd")</f>
        <v/>
      </c>
      <c r="C42647" t="inlineStr">
        <is>
          <t>2016-09-04</t>
        </is>
      </c>
    </row>
    <row r="42648">
      <c r="A42648" s="1" t="n">
        <v>42647</v>
      </c>
      <c r="B42648">
        <f>TEXT(42647, "[$-0E0000]yyyy-mm-dd")</f>
        <v/>
      </c>
      <c r="C42648" t="inlineStr">
        <is>
          <t>2016-09-05</t>
        </is>
      </c>
    </row>
    <row r="42649">
      <c r="A42649" s="1" t="n">
        <v>42648</v>
      </c>
      <c r="B42649">
        <f>TEXT(42648, "[$-0E0000]yyyy-mm-dd")</f>
        <v/>
      </c>
      <c r="C42649" t="inlineStr">
        <is>
          <t>2016-09-06</t>
        </is>
      </c>
    </row>
    <row r="42650">
      <c r="A42650" s="1" t="n">
        <v>42649</v>
      </c>
      <c r="B42650">
        <f>TEXT(42649, "[$-0E0000]yyyy-mm-dd")</f>
        <v/>
      </c>
      <c r="C42650" t="inlineStr">
        <is>
          <t>2016-09-07</t>
        </is>
      </c>
    </row>
    <row r="42651">
      <c r="A42651" s="1" t="n">
        <v>42650</v>
      </c>
      <c r="B42651">
        <f>TEXT(42650, "[$-0E0000]yyyy-mm-dd")</f>
        <v/>
      </c>
      <c r="C42651" t="inlineStr">
        <is>
          <t>2016-09-08</t>
        </is>
      </c>
    </row>
    <row r="42652">
      <c r="A42652" s="1" t="n">
        <v>42651</v>
      </c>
      <c r="B42652">
        <f>TEXT(42651, "[$-0E0000]yyyy-mm-dd")</f>
        <v/>
      </c>
      <c r="C42652" t="inlineStr">
        <is>
          <t>2016-09-09</t>
        </is>
      </c>
    </row>
    <row r="42653">
      <c r="A42653" s="1" t="n">
        <v>42652</v>
      </c>
      <c r="B42653">
        <f>TEXT(42652, "[$-0E0000]yyyy-mm-dd")</f>
        <v/>
      </c>
      <c r="C42653" t="inlineStr">
        <is>
          <t>2016-09-10</t>
        </is>
      </c>
    </row>
    <row r="42654">
      <c r="A42654" s="1" t="n">
        <v>42653</v>
      </c>
      <c r="B42654">
        <f>TEXT(42653, "[$-0E0000]yyyy-mm-dd")</f>
        <v/>
      </c>
      <c r="C42654" t="inlineStr">
        <is>
          <t>2016-09-11</t>
        </is>
      </c>
    </row>
    <row r="42655">
      <c r="A42655" s="1" t="n">
        <v>42654</v>
      </c>
      <c r="B42655">
        <f>TEXT(42654, "[$-0E0000]yyyy-mm-dd")</f>
        <v/>
      </c>
      <c r="C42655" t="inlineStr">
        <is>
          <t>2016-09-12</t>
        </is>
      </c>
    </row>
    <row r="42656">
      <c r="A42656" s="1" t="n">
        <v>42655</v>
      </c>
      <c r="B42656">
        <f>TEXT(42655, "[$-0E0000]yyyy-mm-dd")</f>
        <v/>
      </c>
      <c r="C42656" t="inlineStr">
        <is>
          <t>2016-09-13</t>
        </is>
      </c>
    </row>
    <row r="42657">
      <c r="A42657" s="1" t="n">
        <v>42656</v>
      </c>
      <c r="B42657">
        <f>TEXT(42656, "[$-0E0000]yyyy-mm-dd")</f>
        <v/>
      </c>
      <c r="C42657" t="inlineStr">
        <is>
          <t>2016-09-14</t>
        </is>
      </c>
    </row>
    <row r="42658">
      <c r="A42658" s="1" t="n">
        <v>42657</v>
      </c>
      <c r="B42658">
        <f>TEXT(42657, "[$-0E0000]yyyy-mm-dd")</f>
        <v/>
      </c>
      <c r="C42658" t="inlineStr">
        <is>
          <t>2016-09-15</t>
        </is>
      </c>
    </row>
    <row r="42659">
      <c r="A42659" s="1" t="n">
        <v>42658</v>
      </c>
      <c r="B42659">
        <f>TEXT(42658, "[$-0E0000]yyyy-mm-dd")</f>
        <v/>
      </c>
      <c r="C42659" t="inlineStr">
        <is>
          <t>2016-09-16</t>
        </is>
      </c>
    </row>
    <row r="42660">
      <c r="A42660" s="1" t="n">
        <v>42659</v>
      </c>
      <c r="B42660">
        <f>TEXT(42659, "[$-0E0000]yyyy-mm-dd")</f>
        <v/>
      </c>
      <c r="C42660" t="inlineStr">
        <is>
          <t>2016-09-17</t>
        </is>
      </c>
    </row>
    <row r="42661">
      <c r="A42661" s="1" t="n">
        <v>42660</v>
      </c>
      <c r="B42661">
        <f>TEXT(42660, "[$-0E0000]yyyy-mm-dd")</f>
        <v/>
      </c>
      <c r="C42661" t="inlineStr">
        <is>
          <t>2016-09-18</t>
        </is>
      </c>
    </row>
    <row r="42662">
      <c r="A42662" s="1" t="n">
        <v>42661</v>
      </c>
      <c r="B42662">
        <f>TEXT(42661, "[$-0E0000]yyyy-mm-dd")</f>
        <v/>
      </c>
      <c r="C42662" t="inlineStr">
        <is>
          <t>2016-09-19</t>
        </is>
      </c>
    </row>
    <row r="42663">
      <c r="A42663" s="1" t="n">
        <v>42662</v>
      </c>
      <c r="B42663">
        <f>TEXT(42662, "[$-0E0000]yyyy-mm-dd")</f>
        <v/>
      </c>
      <c r="C42663" t="inlineStr">
        <is>
          <t>2016-09-20</t>
        </is>
      </c>
    </row>
    <row r="42664">
      <c r="A42664" s="1" t="n">
        <v>42663</v>
      </c>
      <c r="B42664">
        <f>TEXT(42663, "[$-0E0000]yyyy-mm-dd")</f>
        <v/>
      </c>
      <c r="C42664" t="inlineStr">
        <is>
          <t>2016-09-21</t>
        </is>
      </c>
    </row>
    <row r="42665">
      <c r="A42665" s="1" t="n">
        <v>42664</v>
      </c>
      <c r="B42665">
        <f>TEXT(42664, "[$-0E0000]yyyy-mm-dd")</f>
        <v/>
      </c>
      <c r="C42665" t="inlineStr">
        <is>
          <t>2016-09-22</t>
        </is>
      </c>
    </row>
    <row r="42666">
      <c r="A42666" s="1" t="n">
        <v>42665</v>
      </c>
      <c r="B42666">
        <f>TEXT(42665, "[$-0E0000]yyyy-mm-dd")</f>
        <v/>
      </c>
      <c r="C42666" t="inlineStr">
        <is>
          <t>2016-09-23</t>
        </is>
      </c>
    </row>
    <row r="42667">
      <c r="A42667" s="1" t="n">
        <v>42666</v>
      </c>
      <c r="B42667">
        <f>TEXT(42666, "[$-0E0000]yyyy-mm-dd")</f>
        <v/>
      </c>
      <c r="C42667" t="inlineStr">
        <is>
          <t>2016-09-24</t>
        </is>
      </c>
    </row>
    <row r="42668">
      <c r="A42668" s="1" t="n">
        <v>42667</v>
      </c>
      <c r="B42668">
        <f>TEXT(42667, "[$-0E0000]yyyy-mm-dd")</f>
        <v/>
      </c>
      <c r="C42668" t="inlineStr">
        <is>
          <t>2016-09-25</t>
        </is>
      </c>
    </row>
    <row r="42669">
      <c r="A42669" s="1" t="n">
        <v>42668</v>
      </c>
      <c r="B42669">
        <f>TEXT(42668, "[$-0E0000]yyyy-mm-dd")</f>
        <v/>
      </c>
      <c r="C42669" t="inlineStr">
        <is>
          <t>2016-09-26</t>
        </is>
      </c>
    </row>
    <row r="42670">
      <c r="A42670" s="1" t="n">
        <v>42669</v>
      </c>
      <c r="B42670">
        <f>TEXT(42669, "[$-0E0000]yyyy-mm-dd")</f>
        <v/>
      </c>
      <c r="C42670" t="inlineStr">
        <is>
          <t>2016-09-27</t>
        </is>
      </c>
    </row>
    <row r="42671">
      <c r="A42671" s="1" t="n">
        <v>42670</v>
      </c>
      <c r="B42671">
        <f>TEXT(42670, "[$-0E0000]yyyy-mm-dd")</f>
        <v/>
      </c>
      <c r="C42671" t="inlineStr">
        <is>
          <t>2016-09-28</t>
        </is>
      </c>
    </row>
    <row r="42672">
      <c r="A42672" s="1" t="n">
        <v>42671</v>
      </c>
      <c r="B42672">
        <f>TEXT(42671, "[$-0E0000]yyyy-mm-dd")</f>
        <v/>
      </c>
      <c r="C42672" t="inlineStr">
        <is>
          <t>2016-09-29</t>
        </is>
      </c>
    </row>
    <row r="42673">
      <c r="A42673" s="1" t="n">
        <v>42672</v>
      </c>
      <c r="B42673">
        <f>TEXT(42672, "[$-0E0000]yyyy-mm-dd")</f>
        <v/>
      </c>
      <c r="C42673" t="inlineStr">
        <is>
          <t>2016-09-30</t>
        </is>
      </c>
    </row>
    <row r="42674">
      <c r="A42674" s="1" t="n">
        <v>42673</v>
      </c>
      <c r="B42674">
        <f>TEXT(42673, "[$-0E0000]yyyy-mm-dd")</f>
        <v/>
      </c>
      <c r="C42674" t="inlineStr">
        <is>
          <t>2016-10-01</t>
        </is>
      </c>
    </row>
    <row r="42675">
      <c r="A42675" s="1" t="n">
        <v>42674</v>
      </c>
      <c r="B42675">
        <f>TEXT(42674, "[$-0E0000]yyyy-mm-dd")</f>
        <v/>
      </c>
      <c r="C42675" t="inlineStr">
        <is>
          <t>2016-10-02</t>
        </is>
      </c>
    </row>
    <row r="42676">
      <c r="A42676" s="1" t="n">
        <v>42675</v>
      </c>
      <c r="B42676">
        <f>TEXT(42675, "[$-0E0000]yyyy-mm-dd")</f>
        <v/>
      </c>
      <c r="C42676" t="inlineStr">
        <is>
          <t>2016-10-03</t>
        </is>
      </c>
    </row>
    <row r="42677">
      <c r="A42677" s="1" t="n">
        <v>42676</v>
      </c>
      <c r="B42677">
        <f>TEXT(42676, "[$-0E0000]yyyy-mm-dd")</f>
        <v/>
      </c>
      <c r="C42677" t="inlineStr">
        <is>
          <t>2016-10-04</t>
        </is>
      </c>
    </row>
    <row r="42678">
      <c r="A42678" s="1" t="n">
        <v>42677</v>
      </c>
      <c r="B42678">
        <f>TEXT(42677, "[$-0E0000]yyyy-mm-dd")</f>
        <v/>
      </c>
      <c r="C42678" t="inlineStr">
        <is>
          <t>2016-10-05</t>
        </is>
      </c>
    </row>
    <row r="42679">
      <c r="A42679" s="1" t="n">
        <v>42678</v>
      </c>
      <c r="B42679">
        <f>TEXT(42678, "[$-0E0000]yyyy-mm-dd")</f>
        <v/>
      </c>
      <c r="C42679" t="inlineStr">
        <is>
          <t>2016-10-06</t>
        </is>
      </c>
    </row>
    <row r="42680">
      <c r="A42680" s="1" t="n">
        <v>42679</v>
      </c>
      <c r="B42680">
        <f>TEXT(42679, "[$-0E0000]yyyy-mm-dd")</f>
        <v/>
      </c>
      <c r="C42680" t="inlineStr">
        <is>
          <t>2016-10-07</t>
        </is>
      </c>
    </row>
    <row r="42681">
      <c r="A42681" s="1" t="n">
        <v>42680</v>
      </c>
      <c r="B42681">
        <f>TEXT(42680, "[$-0E0000]yyyy-mm-dd")</f>
        <v/>
      </c>
      <c r="C42681" t="inlineStr">
        <is>
          <t>2016-10-08</t>
        </is>
      </c>
    </row>
    <row r="42682">
      <c r="A42682" s="1" t="n">
        <v>42681</v>
      </c>
      <c r="B42682">
        <f>TEXT(42681, "[$-0E0000]yyyy-mm-dd")</f>
        <v/>
      </c>
      <c r="C42682" t="inlineStr">
        <is>
          <t>2016-10-09</t>
        </is>
      </c>
    </row>
    <row r="42683">
      <c r="A42683" s="1" t="n">
        <v>42682</v>
      </c>
      <c r="B42683">
        <f>TEXT(42682, "[$-0E0000]yyyy-mm-dd")</f>
        <v/>
      </c>
      <c r="C42683" t="inlineStr">
        <is>
          <t>2016-10-10</t>
        </is>
      </c>
    </row>
    <row r="42684">
      <c r="A42684" s="1" t="n">
        <v>42683</v>
      </c>
      <c r="B42684">
        <f>TEXT(42683, "[$-0E0000]yyyy-mm-dd")</f>
        <v/>
      </c>
      <c r="C42684" t="inlineStr">
        <is>
          <t>2016-10-11</t>
        </is>
      </c>
    </row>
    <row r="42685">
      <c r="A42685" s="1" t="n">
        <v>42684</v>
      </c>
      <c r="B42685">
        <f>TEXT(42684, "[$-0E0000]yyyy-mm-dd")</f>
        <v/>
      </c>
      <c r="C42685" t="inlineStr">
        <is>
          <t>2016-10-12</t>
        </is>
      </c>
    </row>
    <row r="42686">
      <c r="A42686" s="1" t="n">
        <v>42685</v>
      </c>
      <c r="B42686">
        <f>TEXT(42685, "[$-0E0000]yyyy-mm-dd")</f>
        <v/>
      </c>
      <c r="C42686" t="inlineStr">
        <is>
          <t>2016-10-13</t>
        </is>
      </c>
    </row>
    <row r="42687">
      <c r="A42687" s="1" t="n">
        <v>42686</v>
      </c>
      <c r="B42687">
        <f>TEXT(42686, "[$-0E0000]yyyy-mm-dd")</f>
        <v/>
      </c>
      <c r="C42687" t="inlineStr">
        <is>
          <t>2016-10-14</t>
        </is>
      </c>
    </row>
    <row r="42688">
      <c r="A42688" s="1" t="n">
        <v>42687</v>
      </c>
      <c r="B42688">
        <f>TEXT(42687, "[$-0E0000]yyyy-mm-dd")</f>
        <v/>
      </c>
      <c r="C42688" t="inlineStr">
        <is>
          <t>2016-10-15</t>
        </is>
      </c>
    </row>
    <row r="42689">
      <c r="A42689" s="1" t="n">
        <v>42688</v>
      </c>
      <c r="B42689">
        <f>TEXT(42688, "[$-0E0000]yyyy-mm-dd")</f>
        <v/>
      </c>
      <c r="C42689" t="inlineStr">
        <is>
          <t>2016-10-16</t>
        </is>
      </c>
    </row>
    <row r="42690">
      <c r="A42690" s="1" t="n">
        <v>42689</v>
      </c>
      <c r="B42690">
        <f>TEXT(42689, "[$-0E0000]yyyy-mm-dd")</f>
        <v/>
      </c>
      <c r="C42690" t="inlineStr">
        <is>
          <t>2016-10-17</t>
        </is>
      </c>
    </row>
    <row r="42691">
      <c r="A42691" s="1" t="n">
        <v>42690</v>
      </c>
      <c r="B42691">
        <f>TEXT(42690, "[$-0E0000]yyyy-mm-dd")</f>
        <v/>
      </c>
      <c r="C42691" t="inlineStr">
        <is>
          <t>2016-10-18</t>
        </is>
      </c>
    </row>
    <row r="42692">
      <c r="A42692" s="1" t="n">
        <v>42691</v>
      </c>
      <c r="B42692">
        <f>TEXT(42691, "[$-0E0000]yyyy-mm-dd")</f>
        <v/>
      </c>
      <c r="C42692" t="inlineStr">
        <is>
          <t>2016-10-19</t>
        </is>
      </c>
    </row>
    <row r="42693">
      <c r="A42693" s="1" t="n">
        <v>42692</v>
      </c>
      <c r="B42693">
        <f>TEXT(42692, "[$-0E0000]yyyy-mm-dd")</f>
        <v/>
      </c>
      <c r="C42693" t="inlineStr">
        <is>
          <t>2016-10-20</t>
        </is>
      </c>
    </row>
    <row r="42694">
      <c r="A42694" s="1" t="n">
        <v>42693</v>
      </c>
      <c r="B42694">
        <f>TEXT(42693, "[$-0E0000]yyyy-mm-dd")</f>
        <v/>
      </c>
      <c r="C42694" t="inlineStr">
        <is>
          <t>2016-10-21</t>
        </is>
      </c>
    </row>
    <row r="42695">
      <c r="A42695" s="1" t="n">
        <v>42694</v>
      </c>
      <c r="B42695">
        <f>TEXT(42694, "[$-0E0000]yyyy-mm-dd")</f>
        <v/>
      </c>
      <c r="C42695" t="inlineStr">
        <is>
          <t>2016-10-22</t>
        </is>
      </c>
    </row>
    <row r="42696">
      <c r="A42696" s="1" t="n">
        <v>42695</v>
      </c>
      <c r="B42696">
        <f>TEXT(42695, "[$-0E0000]yyyy-mm-dd")</f>
        <v/>
      </c>
      <c r="C42696" t="inlineStr">
        <is>
          <t>2016-10-23</t>
        </is>
      </c>
    </row>
    <row r="42697">
      <c r="A42697" s="1" t="n">
        <v>42696</v>
      </c>
      <c r="B42697">
        <f>TEXT(42696, "[$-0E0000]yyyy-mm-dd")</f>
        <v/>
      </c>
      <c r="C42697" t="inlineStr">
        <is>
          <t>2016-10-24</t>
        </is>
      </c>
    </row>
    <row r="42698">
      <c r="A42698" s="1" t="n">
        <v>42697</v>
      </c>
      <c r="B42698">
        <f>TEXT(42697, "[$-0E0000]yyyy-mm-dd")</f>
        <v/>
      </c>
      <c r="C42698" t="inlineStr">
        <is>
          <t>2016-10-25</t>
        </is>
      </c>
    </row>
    <row r="42699">
      <c r="A42699" s="1" t="n">
        <v>42698</v>
      </c>
      <c r="B42699">
        <f>TEXT(42698, "[$-0E0000]yyyy-mm-dd")</f>
        <v/>
      </c>
      <c r="C42699" t="inlineStr">
        <is>
          <t>2016-10-26</t>
        </is>
      </c>
    </row>
    <row r="42700">
      <c r="A42700" s="1" t="n">
        <v>42699</v>
      </c>
      <c r="B42700">
        <f>TEXT(42699, "[$-0E0000]yyyy-mm-dd")</f>
        <v/>
      </c>
      <c r="C42700" t="inlineStr">
        <is>
          <t>2016-10-27</t>
        </is>
      </c>
    </row>
    <row r="42701">
      <c r="A42701" s="1" t="n">
        <v>42700</v>
      </c>
      <c r="B42701">
        <f>TEXT(42700, "[$-0E0000]yyyy-mm-dd")</f>
        <v/>
      </c>
      <c r="C42701" t="inlineStr">
        <is>
          <t>2016-10-28</t>
        </is>
      </c>
    </row>
    <row r="42702">
      <c r="A42702" s="1" t="n">
        <v>42701</v>
      </c>
      <c r="B42702">
        <f>TEXT(42701, "[$-0E0000]yyyy-mm-dd")</f>
        <v/>
      </c>
      <c r="C42702" t="inlineStr">
        <is>
          <t>2016-10-29</t>
        </is>
      </c>
    </row>
    <row r="42703">
      <c r="A42703" s="1" t="n">
        <v>42702</v>
      </c>
      <c r="B42703">
        <f>TEXT(42702, "[$-0E0000]yyyy-mm-dd")</f>
        <v/>
      </c>
      <c r="C42703" t="inlineStr">
        <is>
          <t>2016-11-01</t>
        </is>
      </c>
    </row>
    <row r="42704">
      <c r="A42704" s="1" t="n">
        <v>42703</v>
      </c>
      <c r="B42704">
        <f>TEXT(42703, "[$-0E0000]yyyy-mm-dd")</f>
        <v/>
      </c>
      <c r="C42704" t="inlineStr">
        <is>
          <t>2016-11-02</t>
        </is>
      </c>
    </row>
    <row r="42705">
      <c r="A42705" s="1" t="n">
        <v>42704</v>
      </c>
      <c r="B42705">
        <f>TEXT(42704, "[$-0E0000]yyyy-mm-dd")</f>
        <v/>
      </c>
      <c r="C42705" t="inlineStr">
        <is>
          <t>2016-11-03</t>
        </is>
      </c>
    </row>
    <row r="42706">
      <c r="A42706" s="1" t="n">
        <v>42705</v>
      </c>
      <c r="B42706">
        <f>TEXT(42705, "[$-0E0000]yyyy-mm-dd")</f>
        <v/>
      </c>
      <c r="C42706" t="inlineStr">
        <is>
          <t>2016-11-04</t>
        </is>
      </c>
    </row>
    <row r="42707">
      <c r="A42707" s="1" t="n">
        <v>42706</v>
      </c>
      <c r="B42707">
        <f>TEXT(42706, "[$-0E0000]yyyy-mm-dd")</f>
        <v/>
      </c>
      <c r="C42707" t="inlineStr">
        <is>
          <t>2016-11-05</t>
        </is>
      </c>
    </row>
    <row r="42708">
      <c r="A42708" s="1" t="n">
        <v>42707</v>
      </c>
      <c r="B42708">
        <f>TEXT(42707, "[$-0E0000]yyyy-mm-dd")</f>
        <v/>
      </c>
      <c r="C42708" t="inlineStr">
        <is>
          <t>2016-11-06</t>
        </is>
      </c>
    </row>
    <row r="42709">
      <c r="A42709" s="1" t="n">
        <v>42708</v>
      </c>
      <c r="B42709">
        <f>TEXT(42708, "[$-0E0000]yyyy-mm-dd")</f>
        <v/>
      </c>
      <c r="C42709" t="inlineStr">
        <is>
          <t>2016-11-07</t>
        </is>
      </c>
    </row>
    <row r="42710">
      <c r="A42710" s="1" t="n">
        <v>42709</v>
      </c>
      <c r="B42710">
        <f>TEXT(42709, "[$-0E0000]yyyy-mm-dd")</f>
        <v/>
      </c>
      <c r="C42710" t="inlineStr">
        <is>
          <t>2016-11-08</t>
        </is>
      </c>
    </row>
    <row r="42711">
      <c r="A42711" s="1" t="n">
        <v>42710</v>
      </c>
      <c r="B42711">
        <f>TEXT(42710, "[$-0E0000]yyyy-mm-dd")</f>
        <v/>
      </c>
      <c r="C42711" t="inlineStr">
        <is>
          <t>2016-11-09</t>
        </is>
      </c>
    </row>
    <row r="42712">
      <c r="A42712" s="1" t="n">
        <v>42711</v>
      </c>
      <c r="B42712">
        <f>TEXT(42711, "[$-0E0000]yyyy-mm-dd")</f>
        <v/>
      </c>
      <c r="C42712" t="inlineStr">
        <is>
          <t>2016-11-10</t>
        </is>
      </c>
    </row>
    <row r="42713">
      <c r="A42713" s="1" t="n">
        <v>42712</v>
      </c>
      <c r="B42713">
        <f>TEXT(42712, "[$-0E0000]yyyy-mm-dd")</f>
        <v/>
      </c>
      <c r="C42713" t="inlineStr">
        <is>
          <t>2016-11-11</t>
        </is>
      </c>
    </row>
    <row r="42714">
      <c r="A42714" s="1" t="n">
        <v>42713</v>
      </c>
      <c r="B42714">
        <f>TEXT(42713, "[$-0E0000]yyyy-mm-dd")</f>
        <v/>
      </c>
      <c r="C42714" t="inlineStr">
        <is>
          <t>2016-11-12</t>
        </is>
      </c>
    </row>
    <row r="42715">
      <c r="A42715" s="1" t="n">
        <v>42714</v>
      </c>
      <c r="B42715">
        <f>TEXT(42714, "[$-0E0000]yyyy-mm-dd")</f>
        <v/>
      </c>
      <c r="C42715" t="inlineStr">
        <is>
          <t>2016-11-13</t>
        </is>
      </c>
    </row>
    <row r="42716">
      <c r="A42716" s="1" t="n">
        <v>42715</v>
      </c>
      <c r="B42716">
        <f>TEXT(42715, "[$-0E0000]yyyy-mm-dd")</f>
        <v/>
      </c>
      <c r="C42716" t="inlineStr">
        <is>
          <t>2016-11-14</t>
        </is>
      </c>
    </row>
    <row r="42717">
      <c r="A42717" s="1" t="n">
        <v>42716</v>
      </c>
      <c r="B42717">
        <f>TEXT(42716, "[$-0E0000]yyyy-mm-dd")</f>
        <v/>
      </c>
      <c r="C42717" t="inlineStr">
        <is>
          <t>2016-11-15</t>
        </is>
      </c>
    </row>
    <row r="42718">
      <c r="A42718" s="1" t="n">
        <v>42717</v>
      </c>
      <c r="B42718">
        <f>TEXT(42717, "[$-0E0000]yyyy-mm-dd")</f>
        <v/>
      </c>
      <c r="C42718" t="inlineStr">
        <is>
          <t>2016-11-16</t>
        </is>
      </c>
    </row>
    <row r="42719">
      <c r="A42719" s="1" t="n">
        <v>42718</v>
      </c>
      <c r="B42719">
        <f>TEXT(42718, "[$-0E0000]yyyy-mm-dd")</f>
        <v/>
      </c>
      <c r="C42719" t="inlineStr">
        <is>
          <t>2016-11-17</t>
        </is>
      </c>
    </row>
    <row r="42720">
      <c r="A42720" s="1" t="n">
        <v>42719</v>
      </c>
      <c r="B42720">
        <f>TEXT(42719, "[$-0E0000]yyyy-mm-dd")</f>
        <v/>
      </c>
      <c r="C42720" t="inlineStr">
        <is>
          <t>2016-11-18</t>
        </is>
      </c>
    </row>
    <row r="42721">
      <c r="A42721" s="1" t="n">
        <v>42720</v>
      </c>
      <c r="B42721">
        <f>TEXT(42720, "[$-0E0000]yyyy-mm-dd")</f>
        <v/>
      </c>
      <c r="C42721" t="inlineStr">
        <is>
          <t>2016-11-19</t>
        </is>
      </c>
    </row>
    <row r="42722">
      <c r="A42722" s="1" t="n">
        <v>42721</v>
      </c>
      <c r="B42722">
        <f>TEXT(42721, "[$-0E0000]yyyy-mm-dd")</f>
        <v/>
      </c>
      <c r="C42722" t="inlineStr">
        <is>
          <t>2016-11-20</t>
        </is>
      </c>
    </row>
    <row r="42723">
      <c r="A42723" s="1" t="n">
        <v>42722</v>
      </c>
      <c r="B42723">
        <f>TEXT(42722, "[$-0E0000]yyyy-mm-dd")</f>
        <v/>
      </c>
      <c r="C42723" t="inlineStr">
        <is>
          <t>2016-11-21</t>
        </is>
      </c>
    </row>
    <row r="42724">
      <c r="A42724" s="1" t="n">
        <v>42723</v>
      </c>
      <c r="B42724">
        <f>TEXT(42723, "[$-0E0000]yyyy-mm-dd")</f>
        <v/>
      </c>
      <c r="C42724" t="inlineStr">
        <is>
          <t>2016-11-22</t>
        </is>
      </c>
    </row>
    <row r="42725">
      <c r="A42725" s="1" t="n">
        <v>42724</v>
      </c>
      <c r="B42725">
        <f>TEXT(42724, "[$-0E0000]yyyy-mm-dd")</f>
        <v/>
      </c>
      <c r="C42725" t="inlineStr">
        <is>
          <t>2016-11-23</t>
        </is>
      </c>
    </row>
    <row r="42726">
      <c r="A42726" s="1" t="n">
        <v>42725</v>
      </c>
      <c r="B42726">
        <f>TEXT(42725, "[$-0E0000]yyyy-mm-dd")</f>
        <v/>
      </c>
      <c r="C42726" t="inlineStr">
        <is>
          <t>2016-11-24</t>
        </is>
      </c>
    </row>
    <row r="42727">
      <c r="A42727" s="1" t="n">
        <v>42726</v>
      </c>
      <c r="B42727">
        <f>TEXT(42726, "[$-0E0000]yyyy-mm-dd")</f>
        <v/>
      </c>
      <c r="C42727" t="inlineStr">
        <is>
          <t>2016-11-25</t>
        </is>
      </c>
    </row>
    <row r="42728">
      <c r="A42728" s="1" t="n">
        <v>42727</v>
      </c>
      <c r="B42728">
        <f>TEXT(42727, "[$-0E0000]yyyy-mm-dd")</f>
        <v/>
      </c>
      <c r="C42728" t="inlineStr">
        <is>
          <t>2016-11-26</t>
        </is>
      </c>
    </row>
    <row r="42729">
      <c r="A42729" s="1" t="n">
        <v>42728</v>
      </c>
      <c r="B42729">
        <f>TEXT(42728, "[$-0E0000]yyyy-mm-dd")</f>
        <v/>
      </c>
      <c r="C42729" t="inlineStr">
        <is>
          <t>2016-11-27</t>
        </is>
      </c>
    </row>
    <row r="42730">
      <c r="A42730" s="1" t="n">
        <v>42729</v>
      </c>
      <c r="B42730">
        <f>TEXT(42729, "[$-0E0000]yyyy-mm-dd")</f>
        <v/>
      </c>
      <c r="C42730" t="inlineStr">
        <is>
          <t>2016-11-28</t>
        </is>
      </c>
    </row>
    <row r="42731">
      <c r="A42731" s="1" t="n">
        <v>42730</v>
      </c>
      <c r="B42731">
        <f>TEXT(42730, "[$-0E0000]yyyy-mm-dd")</f>
        <v/>
      </c>
      <c r="C42731" t="inlineStr">
        <is>
          <t>2016-11-29</t>
        </is>
      </c>
    </row>
    <row r="42732">
      <c r="A42732" s="1" t="n">
        <v>42731</v>
      </c>
      <c r="B42732">
        <f>TEXT(42731, "[$-0E0000]yyyy-mm-dd")</f>
        <v/>
      </c>
      <c r="C42732" t="inlineStr">
        <is>
          <t>2016-11-30</t>
        </is>
      </c>
    </row>
    <row r="42733">
      <c r="A42733" s="1" t="n">
        <v>42732</v>
      </c>
      <c r="B42733">
        <f>TEXT(42732, "[$-0E0000]yyyy-mm-dd")</f>
        <v/>
      </c>
      <c r="C42733" t="inlineStr">
        <is>
          <t>2016-12-01</t>
        </is>
      </c>
    </row>
    <row r="42734">
      <c r="A42734" s="1" t="n">
        <v>42733</v>
      </c>
      <c r="B42734">
        <f>TEXT(42733, "[$-0E0000]yyyy-mm-dd")</f>
        <v/>
      </c>
      <c r="C42734" t="inlineStr">
        <is>
          <t>2016-12-02</t>
        </is>
      </c>
    </row>
    <row r="42735">
      <c r="A42735" s="1" t="n">
        <v>42734</v>
      </c>
      <c r="B42735">
        <f>TEXT(42734, "[$-0E0000]yyyy-mm-dd")</f>
        <v/>
      </c>
      <c r="C42735" t="inlineStr">
        <is>
          <t>2016-12-03</t>
        </is>
      </c>
    </row>
    <row r="42736">
      <c r="A42736" s="1" t="n">
        <v>42735</v>
      </c>
      <c r="B42736">
        <f>TEXT(42735, "[$-0E0000]yyyy-mm-dd")</f>
        <v/>
      </c>
      <c r="C42736" t="inlineStr">
        <is>
          <t>2016-12-04</t>
        </is>
      </c>
    </row>
    <row r="42737">
      <c r="A42737" s="1" t="n">
        <v>42736</v>
      </c>
      <c r="B42737">
        <f>TEXT(42736, "[$-0E0000]yyyy-mm-dd")</f>
        <v/>
      </c>
      <c r="C42737" t="inlineStr">
        <is>
          <t>2016-12-05</t>
        </is>
      </c>
    </row>
    <row r="42738">
      <c r="A42738" s="1" t="n">
        <v>42737</v>
      </c>
      <c r="B42738">
        <f>TEXT(42737, "[$-0E0000]yyyy-mm-dd")</f>
        <v/>
      </c>
      <c r="C42738" t="inlineStr">
        <is>
          <t>2016-12-06</t>
        </is>
      </c>
    </row>
    <row r="42739">
      <c r="A42739" s="1" t="n">
        <v>42738</v>
      </c>
      <c r="B42739">
        <f>TEXT(42738, "[$-0E0000]yyyy-mm-dd")</f>
        <v/>
      </c>
      <c r="C42739" t="inlineStr">
        <is>
          <t>2016-12-07</t>
        </is>
      </c>
    </row>
    <row r="42740">
      <c r="A42740" s="1" t="n">
        <v>42739</v>
      </c>
      <c r="B42740">
        <f>TEXT(42739, "[$-0E0000]yyyy-mm-dd")</f>
        <v/>
      </c>
      <c r="C42740" t="inlineStr">
        <is>
          <t>2016-12-08</t>
        </is>
      </c>
    </row>
    <row r="42741">
      <c r="A42741" s="1" t="n">
        <v>42740</v>
      </c>
      <c r="B42741">
        <f>TEXT(42740, "[$-0E0000]yyyy-mm-dd")</f>
        <v/>
      </c>
      <c r="C42741" t="inlineStr">
        <is>
          <t>2016-12-09</t>
        </is>
      </c>
    </row>
    <row r="42742">
      <c r="A42742" s="1" t="n">
        <v>42741</v>
      </c>
      <c r="B42742">
        <f>TEXT(42741, "[$-0E0000]yyyy-mm-dd")</f>
        <v/>
      </c>
      <c r="C42742" t="inlineStr">
        <is>
          <t>2016-12-10</t>
        </is>
      </c>
    </row>
    <row r="42743">
      <c r="A42743" s="1" t="n">
        <v>42742</v>
      </c>
      <c r="B42743">
        <f>TEXT(42742, "[$-0E0000]yyyy-mm-dd")</f>
        <v/>
      </c>
      <c r="C42743" t="inlineStr">
        <is>
          <t>2016-12-11</t>
        </is>
      </c>
    </row>
    <row r="42744">
      <c r="A42744" s="1" t="n">
        <v>42743</v>
      </c>
      <c r="B42744">
        <f>TEXT(42743, "[$-0E0000]yyyy-mm-dd")</f>
        <v/>
      </c>
      <c r="C42744" t="inlineStr">
        <is>
          <t>2016-12-12</t>
        </is>
      </c>
    </row>
    <row r="42745">
      <c r="A42745" s="1" t="n">
        <v>42744</v>
      </c>
      <c r="B42745">
        <f>TEXT(42744, "[$-0E0000]yyyy-mm-dd")</f>
        <v/>
      </c>
      <c r="C42745" t="inlineStr">
        <is>
          <t>2016-12-13</t>
        </is>
      </c>
    </row>
    <row r="42746">
      <c r="A42746" s="1" t="n">
        <v>42745</v>
      </c>
      <c r="B42746">
        <f>TEXT(42745, "[$-0E0000]yyyy-mm-dd")</f>
        <v/>
      </c>
      <c r="C42746" t="inlineStr">
        <is>
          <t>2016-12-14</t>
        </is>
      </c>
    </row>
    <row r="42747">
      <c r="A42747" s="1" t="n">
        <v>42746</v>
      </c>
      <c r="B42747">
        <f>TEXT(42746, "[$-0E0000]yyyy-mm-dd")</f>
        <v/>
      </c>
      <c r="C42747" t="inlineStr">
        <is>
          <t>2016-12-15</t>
        </is>
      </c>
    </row>
    <row r="42748">
      <c r="A42748" s="1" t="n">
        <v>42747</v>
      </c>
      <c r="B42748">
        <f>TEXT(42747, "[$-0E0000]yyyy-mm-dd")</f>
        <v/>
      </c>
      <c r="C42748" t="inlineStr">
        <is>
          <t>2016-12-16</t>
        </is>
      </c>
    </row>
    <row r="42749">
      <c r="A42749" s="1" t="n">
        <v>42748</v>
      </c>
      <c r="B42749">
        <f>TEXT(42748, "[$-0E0000]yyyy-mm-dd")</f>
        <v/>
      </c>
      <c r="C42749" t="inlineStr">
        <is>
          <t>2016-12-17</t>
        </is>
      </c>
    </row>
    <row r="42750">
      <c r="A42750" s="1" t="n">
        <v>42749</v>
      </c>
      <c r="B42750">
        <f>TEXT(42749, "[$-0E0000]yyyy-mm-dd")</f>
        <v/>
      </c>
      <c r="C42750" t="inlineStr">
        <is>
          <t>2016-12-18</t>
        </is>
      </c>
    </row>
    <row r="42751">
      <c r="A42751" s="1" t="n">
        <v>42750</v>
      </c>
      <c r="B42751">
        <f>TEXT(42750, "[$-0E0000]yyyy-mm-dd")</f>
        <v/>
      </c>
      <c r="C42751" t="inlineStr">
        <is>
          <t>2016-12-19</t>
        </is>
      </c>
    </row>
    <row r="42752">
      <c r="A42752" s="1" t="n">
        <v>42751</v>
      </c>
      <c r="B42752">
        <f>TEXT(42751, "[$-0E0000]yyyy-mm-dd")</f>
        <v/>
      </c>
      <c r="C42752" t="inlineStr">
        <is>
          <t>2016-12-20</t>
        </is>
      </c>
    </row>
    <row r="42753">
      <c r="A42753" s="1" t="n">
        <v>42752</v>
      </c>
      <c r="B42753">
        <f>TEXT(42752, "[$-0E0000]yyyy-mm-dd")</f>
        <v/>
      </c>
      <c r="C42753" t="inlineStr">
        <is>
          <t>2016-12-21</t>
        </is>
      </c>
    </row>
    <row r="42754">
      <c r="A42754" s="1" t="n">
        <v>42753</v>
      </c>
      <c r="B42754">
        <f>TEXT(42753, "[$-0E0000]yyyy-mm-dd")</f>
        <v/>
      </c>
      <c r="C42754" t="inlineStr">
        <is>
          <t>2016-12-22</t>
        </is>
      </c>
    </row>
    <row r="42755">
      <c r="A42755" s="1" t="n">
        <v>42754</v>
      </c>
      <c r="B42755">
        <f>TEXT(42754, "[$-0E0000]yyyy-mm-dd")</f>
        <v/>
      </c>
      <c r="C42755" t="inlineStr">
        <is>
          <t>2016-12-23</t>
        </is>
      </c>
    </row>
    <row r="42756">
      <c r="A42756" s="1" t="n">
        <v>42755</v>
      </c>
      <c r="B42756">
        <f>TEXT(42755, "[$-0E0000]yyyy-mm-dd")</f>
        <v/>
      </c>
      <c r="C42756" t="inlineStr">
        <is>
          <t>2016-12-24</t>
        </is>
      </c>
    </row>
    <row r="42757">
      <c r="A42757" s="1" t="n">
        <v>42756</v>
      </c>
      <c r="B42757">
        <f>TEXT(42756, "[$-0E0000]yyyy-mm-dd")</f>
        <v/>
      </c>
      <c r="C42757" t="inlineStr">
        <is>
          <t>2016-12-25</t>
        </is>
      </c>
    </row>
    <row r="42758">
      <c r="A42758" s="1" t="n">
        <v>42757</v>
      </c>
      <c r="B42758">
        <f>TEXT(42757, "[$-0E0000]yyyy-mm-dd")</f>
        <v/>
      </c>
      <c r="C42758" t="inlineStr">
        <is>
          <t>2016-12-26</t>
        </is>
      </c>
    </row>
    <row r="42759">
      <c r="A42759" s="1" t="n">
        <v>42758</v>
      </c>
      <c r="B42759">
        <f>TEXT(42758, "[$-0E0000]yyyy-mm-dd")</f>
        <v/>
      </c>
      <c r="C42759" t="inlineStr">
        <is>
          <t>2016-12-27</t>
        </is>
      </c>
    </row>
    <row r="42760">
      <c r="A42760" s="1" t="n">
        <v>42759</v>
      </c>
      <c r="B42760">
        <f>TEXT(42759, "[$-0E0000]yyyy-mm-dd")</f>
        <v/>
      </c>
      <c r="C42760" t="inlineStr">
        <is>
          <t>2016-12-28</t>
        </is>
      </c>
    </row>
    <row r="42761">
      <c r="A42761" s="1" t="n">
        <v>42760</v>
      </c>
      <c r="B42761">
        <f>TEXT(42760, "[$-0E0000]yyyy-mm-dd")</f>
        <v/>
      </c>
      <c r="C42761" t="inlineStr">
        <is>
          <t>2016-12-29</t>
        </is>
      </c>
    </row>
    <row r="42762">
      <c r="A42762" s="1" t="n">
        <v>42761</v>
      </c>
      <c r="B42762">
        <f>TEXT(42761, "[$-0E0000]yyyy-mm-dd")</f>
        <v/>
      </c>
      <c r="C42762" t="inlineStr">
        <is>
          <t>2016-12-30</t>
        </is>
      </c>
    </row>
    <row r="42763">
      <c r="A42763" s="1" t="n">
        <v>42762</v>
      </c>
      <c r="B42763">
        <f>TEXT(42762, "[$-0E0000]yyyy-mm-dd")</f>
        <v/>
      </c>
      <c r="C42763" t="inlineStr">
        <is>
          <t>2017-01-01</t>
        </is>
      </c>
    </row>
    <row r="42764">
      <c r="A42764" s="1" t="n">
        <v>42763</v>
      </c>
      <c r="B42764">
        <f>TEXT(42763, "[$-0E0000]yyyy-mm-dd")</f>
        <v/>
      </c>
      <c r="C42764" t="inlineStr">
        <is>
          <t>2017-01-02</t>
        </is>
      </c>
    </row>
    <row r="42765">
      <c r="A42765" s="1" t="n">
        <v>42764</v>
      </c>
      <c r="B42765">
        <f>TEXT(42764, "[$-0E0000]yyyy-mm-dd")</f>
        <v/>
      </c>
      <c r="C42765" t="inlineStr">
        <is>
          <t>2017-01-03</t>
        </is>
      </c>
    </row>
    <row r="42766">
      <c r="A42766" s="1" t="n">
        <v>42765</v>
      </c>
      <c r="B42766">
        <f>TEXT(42765, "[$-0E0000]yyyy-mm-dd")</f>
        <v/>
      </c>
      <c r="C42766" t="inlineStr">
        <is>
          <t>2017-01-04</t>
        </is>
      </c>
    </row>
    <row r="42767">
      <c r="A42767" s="1" t="n">
        <v>42766</v>
      </c>
      <c r="B42767">
        <f>TEXT(42766, "[$-0E0000]yyyy-mm-dd")</f>
        <v/>
      </c>
      <c r="C42767" t="inlineStr">
        <is>
          <t>2017-01-05</t>
        </is>
      </c>
    </row>
    <row r="42768">
      <c r="A42768" s="1" t="n">
        <v>42767</v>
      </c>
      <c r="B42768">
        <f>TEXT(42767, "[$-0E0000]yyyy-mm-dd")</f>
        <v/>
      </c>
      <c r="C42768" t="inlineStr">
        <is>
          <t>2017-01-06</t>
        </is>
      </c>
    </row>
    <row r="42769">
      <c r="A42769" s="1" t="n">
        <v>42768</v>
      </c>
      <c r="B42769">
        <f>TEXT(42768, "[$-0E0000]yyyy-mm-dd")</f>
        <v/>
      </c>
      <c r="C42769" t="inlineStr">
        <is>
          <t>2017-01-07</t>
        </is>
      </c>
    </row>
    <row r="42770">
      <c r="A42770" s="1" t="n">
        <v>42769</v>
      </c>
      <c r="B42770">
        <f>TEXT(42769, "[$-0E0000]yyyy-mm-dd")</f>
        <v/>
      </c>
      <c r="C42770" t="inlineStr">
        <is>
          <t>2017-01-08</t>
        </is>
      </c>
    </row>
    <row r="42771">
      <c r="A42771" s="1" t="n">
        <v>42770</v>
      </c>
      <c r="B42771">
        <f>TEXT(42770, "[$-0E0000]yyyy-mm-dd")</f>
        <v/>
      </c>
      <c r="C42771" t="inlineStr">
        <is>
          <t>2017-01-09</t>
        </is>
      </c>
    </row>
    <row r="42772">
      <c r="A42772" s="1" t="n">
        <v>42771</v>
      </c>
      <c r="B42772">
        <f>TEXT(42771, "[$-0E0000]yyyy-mm-dd")</f>
        <v/>
      </c>
      <c r="C42772" t="inlineStr">
        <is>
          <t>2017-01-10</t>
        </is>
      </c>
    </row>
    <row r="42773">
      <c r="A42773" s="1" t="n">
        <v>42772</v>
      </c>
      <c r="B42773">
        <f>TEXT(42772, "[$-0E0000]yyyy-mm-dd")</f>
        <v/>
      </c>
      <c r="C42773" t="inlineStr">
        <is>
          <t>2017-01-11</t>
        </is>
      </c>
    </row>
    <row r="42774">
      <c r="A42774" s="1" t="n">
        <v>42773</v>
      </c>
      <c r="B42774">
        <f>TEXT(42773, "[$-0E0000]yyyy-mm-dd")</f>
        <v/>
      </c>
      <c r="C42774" t="inlineStr">
        <is>
          <t>2017-01-12</t>
        </is>
      </c>
    </row>
    <row r="42775">
      <c r="A42775" s="1" t="n">
        <v>42774</v>
      </c>
      <c r="B42775">
        <f>TEXT(42774, "[$-0E0000]yyyy-mm-dd")</f>
        <v/>
      </c>
      <c r="C42775" t="inlineStr">
        <is>
          <t>2017-01-13</t>
        </is>
      </c>
    </row>
    <row r="42776">
      <c r="A42776" s="1" t="n">
        <v>42775</v>
      </c>
      <c r="B42776">
        <f>TEXT(42775, "[$-0E0000]yyyy-mm-dd")</f>
        <v/>
      </c>
      <c r="C42776" t="inlineStr">
        <is>
          <t>2017-01-14</t>
        </is>
      </c>
    </row>
    <row r="42777">
      <c r="A42777" s="1" t="n">
        <v>42776</v>
      </c>
      <c r="B42777">
        <f>TEXT(42776, "[$-0E0000]yyyy-mm-dd")</f>
        <v/>
      </c>
      <c r="C42777" t="inlineStr">
        <is>
          <t>2017-01-15</t>
        </is>
      </c>
    </row>
    <row r="42778">
      <c r="A42778" s="1" t="n">
        <v>42777</v>
      </c>
      <c r="B42778">
        <f>TEXT(42777, "[$-0E0000]yyyy-mm-dd")</f>
        <v/>
      </c>
      <c r="C42778" t="inlineStr">
        <is>
          <t>2017-01-16</t>
        </is>
      </c>
    </row>
    <row r="42779">
      <c r="A42779" s="1" t="n">
        <v>42778</v>
      </c>
      <c r="B42779">
        <f>TEXT(42778, "[$-0E0000]yyyy-mm-dd")</f>
        <v/>
      </c>
      <c r="C42779" t="inlineStr">
        <is>
          <t>2017-01-17</t>
        </is>
      </c>
    </row>
    <row r="42780">
      <c r="A42780" s="1" t="n">
        <v>42779</v>
      </c>
      <c r="B42780">
        <f>TEXT(42779, "[$-0E0000]yyyy-mm-dd")</f>
        <v/>
      </c>
      <c r="C42780" t="inlineStr">
        <is>
          <t>2017-01-18</t>
        </is>
      </c>
    </row>
    <row r="42781">
      <c r="A42781" s="1" t="n">
        <v>42780</v>
      </c>
      <c r="B42781">
        <f>TEXT(42780, "[$-0E0000]yyyy-mm-dd")</f>
        <v/>
      </c>
      <c r="C42781" t="inlineStr">
        <is>
          <t>2017-01-19</t>
        </is>
      </c>
    </row>
    <row r="42782">
      <c r="A42782" s="1" t="n">
        <v>42781</v>
      </c>
      <c r="B42782">
        <f>TEXT(42781, "[$-0E0000]yyyy-mm-dd")</f>
        <v/>
      </c>
      <c r="C42782" t="inlineStr">
        <is>
          <t>2017-01-20</t>
        </is>
      </c>
    </row>
    <row r="42783">
      <c r="A42783" s="1" t="n">
        <v>42782</v>
      </c>
      <c r="B42783">
        <f>TEXT(42782, "[$-0E0000]yyyy-mm-dd")</f>
        <v/>
      </c>
      <c r="C42783" t="inlineStr">
        <is>
          <t>2017-01-21</t>
        </is>
      </c>
    </row>
    <row r="42784">
      <c r="A42784" s="1" t="n">
        <v>42783</v>
      </c>
      <c r="B42784">
        <f>TEXT(42783, "[$-0E0000]yyyy-mm-dd")</f>
        <v/>
      </c>
      <c r="C42784" t="inlineStr">
        <is>
          <t>2017-01-22</t>
        </is>
      </c>
    </row>
    <row r="42785">
      <c r="A42785" s="1" t="n">
        <v>42784</v>
      </c>
      <c r="B42785">
        <f>TEXT(42784, "[$-0E0000]yyyy-mm-dd")</f>
        <v/>
      </c>
      <c r="C42785" t="inlineStr">
        <is>
          <t>2017-01-23</t>
        </is>
      </c>
    </row>
    <row r="42786">
      <c r="A42786" s="1" t="n">
        <v>42785</v>
      </c>
      <c r="B42786">
        <f>TEXT(42785, "[$-0E0000]yyyy-mm-dd")</f>
        <v/>
      </c>
      <c r="C42786" t="inlineStr">
        <is>
          <t>2017-01-24</t>
        </is>
      </c>
    </row>
    <row r="42787">
      <c r="A42787" s="1" t="n">
        <v>42786</v>
      </c>
      <c r="B42787">
        <f>TEXT(42786, "[$-0E0000]yyyy-mm-dd")</f>
        <v/>
      </c>
      <c r="C42787" t="inlineStr">
        <is>
          <t>2017-01-25</t>
        </is>
      </c>
    </row>
    <row r="42788">
      <c r="A42788" s="1" t="n">
        <v>42787</v>
      </c>
      <c r="B42788">
        <f>TEXT(42787, "[$-0E0000]yyyy-mm-dd")</f>
        <v/>
      </c>
      <c r="C42788" t="inlineStr">
        <is>
          <t>2017-01-26</t>
        </is>
      </c>
    </row>
    <row r="42789">
      <c r="A42789" s="1" t="n">
        <v>42788</v>
      </c>
      <c r="B42789">
        <f>TEXT(42788, "[$-0E0000]yyyy-mm-dd")</f>
        <v/>
      </c>
      <c r="C42789" t="inlineStr">
        <is>
          <t>2017-01-27</t>
        </is>
      </c>
    </row>
    <row r="42790">
      <c r="A42790" s="1" t="n">
        <v>42789</v>
      </c>
      <c r="B42790">
        <f>TEXT(42789, "[$-0E0000]yyyy-mm-dd")</f>
        <v/>
      </c>
      <c r="C42790" t="inlineStr">
        <is>
          <t>2017-01-28</t>
        </is>
      </c>
    </row>
    <row r="42791">
      <c r="A42791" s="1" t="n">
        <v>42790</v>
      </c>
      <c r="B42791">
        <f>TEXT(42790, "[$-0E0000]yyyy-mm-dd")</f>
        <v/>
      </c>
      <c r="C42791" t="inlineStr">
        <is>
          <t>2017-01-29</t>
        </is>
      </c>
    </row>
    <row r="42792">
      <c r="A42792" s="1" t="n">
        <v>42791</v>
      </c>
      <c r="B42792">
        <f>TEXT(42791, "[$-0E0000]yyyy-mm-dd")</f>
        <v/>
      </c>
      <c r="C42792" t="inlineStr">
        <is>
          <t>2017-02-01</t>
        </is>
      </c>
    </row>
    <row r="42793">
      <c r="A42793" s="1" t="n">
        <v>42792</v>
      </c>
      <c r="B42793">
        <f>TEXT(42792, "[$-0E0000]yyyy-mm-dd")</f>
        <v/>
      </c>
      <c r="C42793" t="inlineStr">
        <is>
          <t>2017-02-02</t>
        </is>
      </c>
    </row>
    <row r="42794">
      <c r="A42794" s="1" t="n">
        <v>42793</v>
      </c>
      <c r="B42794">
        <f>TEXT(42793, "[$-0E0000]yyyy-mm-dd")</f>
        <v/>
      </c>
      <c r="C42794" t="inlineStr">
        <is>
          <t>2017-02-03</t>
        </is>
      </c>
    </row>
    <row r="42795">
      <c r="A42795" s="1" t="n">
        <v>42794</v>
      </c>
      <c r="B42795">
        <f>TEXT(42794, "[$-0E0000]yyyy-mm-dd")</f>
        <v/>
      </c>
      <c r="C42795" t="inlineStr">
        <is>
          <t>2017-02-04</t>
        </is>
      </c>
    </row>
    <row r="42796">
      <c r="A42796" s="1" t="n">
        <v>42795</v>
      </c>
      <c r="B42796">
        <f>TEXT(42795, "[$-0E0000]yyyy-mm-dd")</f>
        <v/>
      </c>
      <c r="C42796" t="inlineStr">
        <is>
          <t>2017-02-05</t>
        </is>
      </c>
    </row>
    <row r="42797">
      <c r="A42797" s="1" t="n">
        <v>42796</v>
      </c>
      <c r="B42797">
        <f>TEXT(42796, "[$-0E0000]yyyy-mm-dd")</f>
        <v/>
      </c>
      <c r="C42797" t="inlineStr">
        <is>
          <t>2017-02-06</t>
        </is>
      </c>
    </row>
    <row r="42798">
      <c r="A42798" s="1" t="n">
        <v>42797</v>
      </c>
      <c r="B42798">
        <f>TEXT(42797, "[$-0E0000]yyyy-mm-dd")</f>
        <v/>
      </c>
      <c r="C42798" t="inlineStr">
        <is>
          <t>2017-02-07</t>
        </is>
      </c>
    </row>
    <row r="42799">
      <c r="A42799" s="1" t="n">
        <v>42798</v>
      </c>
      <c r="B42799">
        <f>TEXT(42798, "[$-0E0000]yyyy-mm-dd")</f>
        <v/>
      </c>
      <c r="C42799" t="inlineStr">
        <is>
          <t>2017-02-08</t>
        </is>
      </c>
    </row>
    <row r="42800">
      <c r="A42800" s="1" t="n">
        <v>42799</v>
      </c>
      <c r="B42800">
        <f>TEXT(42799, "[$-0E0000]yyyy-mm-dd")</f>
        <v/>
      </c>
      <c r="C42800" t="inlineStr">
        <is>
          <t>2017-02-09</t>
        </is>
      </c>
    </row>
    <row r="42801">
      <c r="A42801" s="1" t="n">
        <v>42800</v>
      </c>
      <c r="B42801">
        <f>TEXT(42800, "[$-0E0000]yyyy-mm-dd")</f>
        <v/>
      </c>
      <c r="C42801" t="inlineStr">
        <is>
          <t>2017-02-10</t>
        </is>
      </c>
    </row>
    <row r="42802">
      <c r="A42802" s="1" t="n">
        <v>42801</v>
      </c>
      <c r="B42802">
        <f>TEXT(42801, "[$-0E0000]yyyy-mm-dd")</f>
        <v/>
      </c>
      <c r="C42802" t="inlineStr">
        <is>
          <t>2017-02-11</t>
        </is>
      </c>
    </row>
    <row r="42803">
      <c r="A42803" s="1" t="n">
        <v>42802</v>
      </c>
      <c r="B42803">
        <f>TEXT(42802, "[$-0E0000]yyyy-mm-dd")</f>
        <v/>
      </c>
      <c r="C42803" t="inlineStr">
        <is>
          <t>2017-02-12</t>
        </is>
      </c>
    </row>
    <row r="42804">
      <c r="A42804" s="1" t="n">
        <v>42803</v>
      </c>
      <c r="B42804">
        <f>TEXT(42803, "[$-0E0000]yyyy-mm-dd")</f>
        <v/>
      </c>
      <c r="C42804" t="inlineStr">
        <is>
          <t>2017-02-13</t>
        </is>
      </c>
    </row>
    <row r="42805">
      <c r="A42805" s="1" t="n">
        <v>42804</v>
      </c>
      <c r="B42805">
        <f>TEXT(42804, "[$-0E0000]yyyy-mm-dd")</f>
        <v/>
      </c>
      <c r="C42805" t="inlineStr">
        <is>
          <t>2017-02-14</t>
        </is>
      </c>
    </row>
    <row r="42806">
      <c r="A42806" s="1" t="n">
        <v>42805</v>
      </c>
      <c r="B42806">
        <f>TEXT(42805, "[$-0E0000]yyyy-mm-dd")</f>
        <v/>
      </c>
      <c r="C42806" t="inlineStr">
        <is>
          <t>2017-02-15</t>
        </is>
      </c>
    </row>
    <row r="42807">
      <c r="A42807" s="1" t="n">
        <v>42806</v>
      </c>
      <c r="B42807">
        <f>TEXT(42806, "[$-0E0000]yyyy-mm-dd")</f>
        <v/>
      </c>
      <c r="C42807" t="inlineStr">
        <is>
          <t>2017-02-16</t>
        </is>
      </c>
    </row>
    <row r="42808">
      <c r="A42808" s="1" t="n">
        <v>42807</v>
      </c>
      <c r="B42808">
        <f>TEXT(42807, "[$-0E0000]yyyy-mm-dd")</f>
        <v/>
      </c>
      <c r="C42808" t="inlineStr">
        <is>
          <t>2017-02-17</t>
        </is>
      </c>
    </row>
    <row r="42809">
      <c r="A42809" s="1" t="n">
        <v>42808</v>
      </c>
      <c r="B42809">
        <f>TEXT(42808, "[$-0E0000]yyyy-mm-dd")</f>
        <v/>
      </c>
      <c r="C42809" t="inlineStr">
        <is>
          <t>2017-02-18</t>
        </is>
      </c>
    </row>
    <row r="42810">
      <c r="A42810" s="1" t="n">
        <v>42809</v>
      </c>
      <c r="B42810">
        <f>TEXT(42809, "[$-0E0000]yyyy-mm-dd")</f>
        <v/>
      </c>
      <c r="C42810" t="inlineStr">
        <is>
          <t>2017-02-19</t>
        </is>
      </c>
    </row>
    <row r="42811">
      <c r="A42811" s="1" t="n">
        <v>42810</v>
      </c>
      <c r="B42811">
        <f>TEXT(42810, "[$-0E0000]yyyy-mm-dd")</f>
        <v/>
      </c>
      <c r="C42811" t="inlineStr">
        <is>
          <t>2017-02-20</t>
        </is>
      </c>
    </row>
    <row r="42812">
      <c r="A42812" s="1" t="n">
        <v>42811</v>
      </c>
      <c r="B42812">
        <f>TEXT(42811, "[$-0E0000]yyyy-mm-dd")</f>
        <v/>
      </c>
      <c r="C42812" t="inlineStr">
        <is>
          <t>2017-02-21</t>
        </is>
      </c>
    </row>
    <row r="42813">
      <c r="A42813" s="1" t="n">
        <v>42812</v>
      </c>
      <c r="B42813">
        <f>TEXT(42812, "[$-0E0000]yyyy-mm-dd")</f>
        <v/>
      </c>
      <c r="C42813" t="inlineStr">
        <is>
          <t>2017-02-22</t>
        </is>
      </c>
    </row>
    <row r="42814">
      <c r="A42814" s="1" t="n">
        <v>42813</v>
      </c>
      <c r="B42814">
        <f>TEXT(42813, "[$-0E0000]yyyy-mm-dd")</f>
        <v/>
      </c>
      <c r="C42814" t="inlineStr">
        <is>
          <t>2017-02-23</t>
        </is>
      </c>
    </row>
    <row r="42815">
      <c r="A42815" s="1" t="n">
        <v>42814</v>
      </c>
      <c r="B42815">
        <f>TEXT(42814, "[$-0E0000]yyyy-mm-dd")</f>
        <v/>
      </c>
      <c r="C42815" t="inlineStr">
        <is>
          <t>2017-02-24</t>
        </is>
      </c>
    </row>
    <row r="42816">
      <c r="A42816" s="1" t="n">
        <v>42815</v>
      </c>
      <c r="B42816">
        <f>TEXT(42815, "[$-0E0000]yyyy-mm-dd")</f>
        <v/>
      </c>
      <c r="C42816" t="inlineStr">
        <is>
          <t>2017-02-25</t>
        </is>
      </c>
    </row>
    <row r="42817">
      <c r="A42817" s="1" t="n">
        <v>42816</v>
      </c>
      <c r="B42817">
        <f>TEXT(42816, "[$-0E0000]yyyy-mm-dd")</f>
        <v/>
      </c>
      <c r="C42817" t="inlineStr">
        <is>
          <t>2017-02-26</t>
        </is>
      </c>
    </row>
    <row r="42818">
      <c r="A42818" s="1" t="n">
        <v>42817</v>
      </c>
      <c r="B42818">
        <f>TEXT(42817, "[$-0E0000]yyyy-mm-dd")</f>
        <v/>
      </c>
      <c r="C42818" t="inlineStr">
        <is>
          <t>2017-02-27</t>
        </is>
      </c>
    </row>
    <row r="42819">
      <c r="A42819" s="1" t="n">
        <v>42818</v>
      </c>
      <c r="B42819">
        <f>TEXT(42818, "[$-0E0000]yyyy-mm-dd")</f>
        <v/>
      </c>
      <c r="C42819" t="inlineStr">
        <is>
          <t>2017-02-28</t>
        </is>
      </c>
    </row>
    <row r="42820">
      <c r="A42820" s="1" t="n">
        <v>42819</v>
      </c>
      <c r="B42820">
        <f>TEXT(42819, "[$-0E0000]yyyy-mm-dd")</f>
        <v/>
      </c>
      <c r="C42820" t="inlineStr">
        <is>
          <t>2017-02-29</t>
        </is>
      </c>
    </row>
    <row r="42821">
      <c r="A42821" s="1" t="n">
        <v>42820</v>
      </c>
      <c r="B42821">
        <f>TEXT(42820, "[$-0E0000]yyyy-mm-dd")</f>
        <v/>
      </c>
      <c r="C42821" t="inlineStr">
        <is>
          <t>2017-02-30</t>
        </is>
      </c>
    </row>
    <row r="42822">
      <c r="A42822" s="1" t="n">
        <v>42821</v>
      </c>
      <c r="B42822">
        <f>TEXT(42821, "[$-0E0000]yyyy-mm-dd")</f>
        <v/>
      </c>
      <c r="C42822" t="inlineStr">
        <is>
          <t>2017-03-01</t>
        </is>
      </c>
    </row>
    <row r="42823">
      <c r="A42823" s="1" t="n">
        <v>42822</v>
      </c>
      <c r="B42823">
        <f>TEXT(42822, "[$-0E0000]yyyy-mm-dd")</f>
        <v/>
      </c>
      <c r="C42823" t="inlineStr">
        <is>
          <t>2017-03-02</t>
        </is>
      </c>
    </row>
    <row r="42824">
      <c r="A42824" s="1" t="n">
        <v>42823</v>
      </c>
      <c r="B42824">
        <f>TEXT(42823, "[$-0E0000]yyyy-mm-dd")</f>
        <v/>
      </c>
      <c r="C42824" t="inlineStr">
        <is>
          <t>2017-03-03</t>
        </is>
      </c>
    </row>
    <row r="42825">
      <c r="A42825" s="1" t="n">
        <v>42824</v>
      </c>
      <c r="B42825">
        <f>TEXT(42824, "[$-0E0000]yyyy-mm-dd")</f>
        <v/>
      </c>
      <c r="C42825" t="inlineStr">
        <is>
          <t>2017-03-04</t>
        </is>
      </c>
    </row>
    <row r="42826">
      <c r="A42826" s="1" t="n">
        <v>42825</v>
      </c>
      <c r="B42826">
        <f>TEXT(42825, "[$-0E0000]yyyy-mm-dd")</f>
        <v/>
      </c>
      <c r="C42826" t="inlineStr">
        <is>
          <t>2017-03-05</t>
        </is>
      </c>
    </row>
    <row r="42827">
      <c r="A42827" s="1" t="n">
        <v>42826</v>
      </c>
      <c r="B42827">
        <f>TEXT(42826, "[$-0E0000]yyyy-mm-dd")</f>
        <v/>
      </c>
      <c r="C42827" t="inlineStr">
        <is>
          <t>2017-03-06</t>
        </is>
      </c>
    </row>
    <row r="42828">
      <c r="A42828" s="1" t="n">
        <v>42827</v>
      </c>
      <c r="B42828">
        <f>TEXT(42827, "[$-0E0000]yyyy-mm-dd")</f>
        <v/>
      </c>
      <c r="C42828" t="inlineStr">
        <is>
          <t>2017-03-07</t>
        </is>
      </c>
    </row>
    <row r="42829">
      <c r="A42829" s="1" t="n">
        <v>42828</v>
      </c>
      <c r="B42829">
        <f>TEXT(42828, "[$-0E0000]yyyy-mm-dd")</f>
        <v/>
      </c>
      <c r="C42829" t="inlineStr">
        <is>
          <t>2017-03-08</t>
        </is>
      </c>
    </row>
    <row r="42830">
      <c r="A42830" s="1" t="n">
        <v>42829</v>
      </c>
      <c r="B42830">
        <f>TEXT(42829, "[$-0E0000]yyyy-mm-dd")</f>
        <v/>
      </c>
      <c r="C42830" t="inlineStr">
        <is>
          <t>2017-03-09</t>
        </is>
      </c>
    </row>
    <row r="42831">
      <c r="A42831" s="1" t="n">
        <v>42830</v>
      </c>
      <c r="B42831">
        <f>TEXT(42830, "[$-0E0000]yyyy-mm-dd")</f>
        <v/>
      </c>
      <c r="C42831" t="inlineStr">
        <is>
          <t>2017-03-10</t>
        </is>
      </c>
    </row>
    <row r="42832">
      <c r="A42832" s="1" t="n">
        <v>42831</v>
      </c>
      <c r="B42832">
        <f>TEXT(42831, "[$-0E0000]yyyy-mm-dd")</f>
        <v/>
      </c>
      <c r="C42832" t="inlineStr">
        <is>
          <t>2017-03-11</t>
        </is>
      </c>
    </row>
    <row r="42833">
      <c r="A42833" s="1" t="n">
        <v>42832</v>
      </c>
      <c r="B42833">
        <f>TEXT(42832, "[$-0E0000]yyyy-mm-dd")</f>
        <v/>
      </c>
      <c r="C42833" t="inlineStr">
        <is>
          <t>2017-03-12</t>
        </is>
      </c>
    </row>
    <row r="42834">
      <c r="A42834" s="1" t="n">
        <v>42833</v>
      </c>
      <c r="B42834">
        <f>TEXT(42833, "[$-0E0000]yyyy-mm-dd")</f>
        <v/>
      </c>
      <c r="C42834" t="inlineStr">
        <is>
          <t>2017-03-13</t>
        </is>
      </c>
    </row>
    <row r="42835">
      <c r="A42835" s="1" t="n">
        <v>42834</v>
      </c>
      <c r="B42835">
        <f>TEXT(42834, "[$-0E0000]yyyy-mm-dd")</f>
        <v/>
      </c>
      <c r="C42835" t="inlineStr">
        <is>
          <t>2017-03-14</t>
        </is>
      </c>
    </row>
    <row r="42836">
      <c r="A42836" s="1" t="n">
        <v>42835</v>
      </c>
      <c r="B42836">
        <f>TEXT(42835, "[$-0E0000]yyyy-mm-dd")</f>
        <v/>
      </c>
      <c r="C42836" t="inlineStr">
        <is>
          <t>2017-03-15</t>
        </is>
      </c>
    </row>
    <row r="42837">
      <c r="A42837" s="1" t="n">
        <v>42836</v>
      </c>
      <c r="B42837">
        <f>TEXT(42836, "[$-0E0000]yyyy-mm-dd")</f>
        <v/>
      </c>
      <c r="C42837" t="inlineStr">
        <is>
          <t>2017-03-16</t>
        </is>
      </c>
    </row>
    <row r="42838">
      <c r="A42838" s="1" t="n">
        <v>42837</v>
      </c>
      <c r="B42838">
        <f>TEXT(42837, "[$-0E0000]yyyy-mm-dd")</f>
        <v/>
      </c>
      <c r="C42838" t="inlineStr">
        <is>
          <t>2017-03-17</t>
        </is>
      </c>
    </row>
    <row r="42839">
      <c r="A42839" s="1" t="n">
        <v>42838</v>
      </c>
      <c r="B42839">
        <f>TEXT(42838, "[$-0E0000]yyyy-mm-dd")</f>
        <v/>
      </c>
      <c r="C42839" t="inlineStr">
        <is>
          <t>2017-03-18</t>
        </is>
      </c>
    </row>
    <row r="42840">
      <c r="A42840" s="1" t="n">
        <v>42839</v>
      </c>
      <c r="B42840">
        <f>TEXT(42839, "[$-0E0000]yyyy-mm-dd")</f>
        <v/>
      </c>
      <c r="C42840" t="inlineStr">
        <is>
          <t>2017-03-19</t>
        </is>
      </c>
    </row>
    <row r="42841">
      <c r="A42841" s="1" t="n">
        <v>42840</v>
      </c>
      <c r="B42841">
        <f>TEXT(42840, "[$-0E0000]yyyy-mm-dd")</f>
        <v/>
      </c>
      <c r="C42841" t="inlineStr">
        <is>
          <t>2017-03-20</t>
        </is>
      </c>
    </row>
    <row r="42842">
      <c r="A42842" s="1" t="n">
        <v>42841</v>
      </c>
      <c r="B42842">
        <f>TEXT(42841, "[$-0E0000]yyyy-mm-dd")</f>
        <v/>
      </c>
      <c r="C42842" t="inlineStr">
        <is>
          <t>2017-03-21</t>
        </is>
      </c>
    </row>
    <row r="42843">
      <c r="A42843" s="1" t="n">
        <v>42842</v>
      </c>
      <c r="B42843">
        <f>TEXT(42842, "[$-0E0000]yyyy-mm-dd")</f>
        <v/>
      </c>
      <c r="C42843" t="inlineStr">
        <is>
          <t>2017-03-22</t>
        </is>
      </c>
    </row>
    <row r="42844">
      <c r="A42844" s="1" t="n">
        <v>42843</v>
      </c>
      <c r="B42844">
        <f>TEXT(42843, "[$-0E0000]yyyy-mm-dd")</f>
        <v/>
      </c>
      <c r="C42844" t="inlineStr">
        <is>
          <t>2017-03-23</t>
        </is>
      </c>
    </row>
    <row r="42845">
      <c r="A42845" s="1" t="n">
        <v>42844</v>
      </c>
      <c r="B42845">
        <f>TEXT(42844, "[$-0E0000]yyyy-mm-dd")</f>
        <v/>
      </c>
      <c r="C42845" t="inlineStr">
        <is>
          <t>2017-03-24</t>
        </is>
      </c>
    </row>
    <row r="42846">
      <c r="A42846" s="1" t="n">
        <v>42845</v>
      </c>
      <c r="B42846">
        <f>TEXT(42845, "[$-0E0000]yyyy-mm-dd")</f>
        <v/>
      </c>
      <c r="C42846" t="inlineStr">
        <is>
          <t>2017-03-25</t>
        </is>
      </c>
    </row>
    <row r="42847">
      <c r="A42847" s="1" t="n">
        <v>42846</v>
      </c>
      <c r="B42847">
        <f>TEXT(42846, "[$-0E0000]yyyy-mm-dd")</f>
        <v/>
      </c>
      <c r="C42847" t="inlineStr">
        <is>
          <t>2017-03-26</t>
        </is>
      </c>
    </row>
    <row r="42848">
      <c r="A42848" s="1" t="n">
        <v>42847</v>
      </c>
      <c r="B42848">
        <f>TEXT(42847, "[$-0E0000]yyyy-mm-dd")</f>
        <v/>
      </c>
      <c r="C42848" t="inlineStr">
        <is>
          <t>2017-03-27</t>
        </is>
      </c>
    </row>
    <row r="42849">
      <c r="A42849" s="1" t="n">
        <v>42848</v>
      </c>
      <c r="B42849">
        <f>TEXT(42848, "[$-0E0000]yyyy-mm-dd")</f>
        <v/>
      </c>
      <c r="C42849" t="inlineStr">
        <is>
          <t>2017-03-28</t>
        </is>
      </c>
    </row>
    <row r="42850">
      <c r="A42850" s="1" t="n">
        <v>42849</v>
      </c>
      <c r="B42850">
        <f>TEXT(42849, "[$-0E0000]yyyy-mm-dd")</f>
        <v/>
      </c>
      <c r="C42850" t="inlineStr">
        <is>
          <t>2017-03-29</t>
        </is>
      </c>
    </row>
    <row r="42851">
      <c r="A42851" s="1" t="n">
        <v>42850</v>
      </c>
      <c r="B42851">
        <f>TEXT(42850, "[$-0E0000]yyyy-mm-dd")</f>
        <v/>
      </c>
      <c r="C42851" t="inlineStr">
        <is>
          <t>2017-04-01</t>
        </is>
      </c>
    </row>
    <row r="42852">
      <c r="A42852" s="1" t="n">
        <v>42851</v>
      </c>
      <c r="B42852">
        <f>TEXT(42851, "[$-0E0000]yyyy-mm-dd")</f>
        <v/>
      </c>
      <c r="C42852" t="inlineStr">
        <is>
          <t>2017-04-02</t>
        </is>
      </c>
    </row>
    <row r="42853">
      <c r="A42853" s="1" t="n">
        <v>42852</v>
      </c>
      <c r="B42853">
        <f>TEXT(42852, "[$-0E0000]yyyy-mm-dd")</f>
        <v/>
      </c>
      <c r="C42853" t="inlineStr">
        <is>
          <t>2017-04-03</t>
        </is>
      </c>
    </row>
    <row r="42854">
      <c r="A42854" s="1" t="n">
        <v>42853</v>
      </c>
      <c r="B42854">
        <f>TEXT(42853, "[$-0E0000]yyyy-mm-dd")</f>
        <v/>
      </c>
      <c r="C42854" t="inlineStr">
        <is>
          <t>2017-04-04</t>
        </is>
      </c>
    </row>
    <row r="42855">
      <c r="A42855" s="1" t="n">
        <v>42854</v>
      </c>
      <c r="B42855">
        <f>TEXT(42854, "[$-0E0000]yyyy-mm-dd")</f>
        <v/>
      </c>
      <c r="C42855" t="inlineStr">
        <is>
          <t>2017-04-05</t>
        </is>
      </c>
    </row>
    <row r="42856">
      <c r="A42856" s="1" t="n">
        <v>42855</v>
      </c>
      <c r="B42856">
        <f>TEXT(42855, "[$-0E0000]yyyy-mm-dd")</f>
        <v/>
      </c>
      <c r="C42856" t="inlineStr">
        <is>
          <t>2017-04-06</t>
        </is>
      </c>
    </row>
    <row r="42857">
      <c r="A42857" s="1" t="n">
        <v>42856</v>
      </c>
      <c r="B42857">
        <f>TEXT(42856, "[$-0E0000]yyyy-mm-dd")</f>
        <v/>
      </c>
      <c r="C42857" t="inlineStr">
        <is>
          <t>2017-04-07</t>
        </is>
      </c>
    </row>
    <row r="42858">
      <c r="A42858" s="1" t="n">
        <v>42857</v>
      </c>
      <c r="B42858">
        <f>TEXT(42857, "[$-0E0000]yyyy-mm-dd")</f>
        <v/>
      </c>
      <c r="C42858" t="inlineStr">
        <is>
          <t>2017-04-08</t>
        </is>
      </c>
    </row>
    <row r="42859">
      <c r="A42859" s="1" t="n">
        <v>42858</v>
      </c>
      <c r="B42859">
        <f>TEXT(42858, "[$-0E0000]yyyy-mm-dd")</f>
        <v/>
      </c>
      <c r="C42859" t="inlineStr">
        <is>
          <t>2017-04-09</t>
        </is>
      </c>
    </row>
    <row r="42860">
      <c r="A42860" s="1" t="n">
        <v>42859</v>
      </c>
      <c r="B42860">
        <f>TEXT(42859, "[$-0E0000]yyyy-mm-dd")</f>
        <v/>
      </c>
      <c r="C42860" t="inlineStr">
        <is>
          <t>2017-04-10</t>
        </is>
      </c>
    </row>
    <row r="42861">
      <c r="A42861" s="1" t="n">
        <v>42860</v>
      </c>
      <c r="B42861">
        <f>TEXT(42860, "[$-0E0000]yyyy-mm-dd")</f>
        <v/>
      </c>
      <c r="C42861" t="inlineStr">
        <is>
          <t>2017-04-11</t>
        </is>
      </c>
    </row>
    <row r="42862">
      <c r="A42862" s="1" t="n">
        <v>42861</v>
      </c>
      <c r="B42862">
        <f>TEXT(42861, "[$-0E0000]yyyy-mm-dd")</f>
        <v/>
      </c>
      <c r="C42862" t="inlineStr">
        <is>
          <t>2017-04-12</t>
        </is>
      </c>
    </row>
    <row r="42863">
      <c r="A42863" s="1" t="n">
        <v>42862</v>
      </c>
      <c r="B42863">
        <f>TEXT(42862, "[$-0E0000]yyyy-mm-dd")</f>
        <v/>
      </c>
      <c r="C42863" t="inlineStr">
        <is>
          <t>2017-04-13</t>
        </is>
      </c>
    </row>
    <row r="42864">
      <c r="A42864" s="1" t="n">
        <v>42863</v>
      </c>
      <c r="B42864">
        <f>TEXT(42863, "[$-0E0000]yyyy-mm-dd")</f>
        <v/>
      </c>
      <c r="C42864" t="inlineStr">
        <is>
          <t>2017-04-14</t>
        </is>
      </c>
    </row>
    <row r="42865">
      <c r="A42865" s="1" t="n">
        <v>42864</v>
      </c>
      <c r="B42865">
        <f>TEXT(42864, "[$-0E0000]yyyy-mm-dd")</f>
        <v/>
      </c>
      <c r="C42865" t="inlineStr">
        <is>
          <t>2017-04-15</t>
        </is>
      </c>
    </row>
    <row r="42866">
      <c r="A42866" s="1" t="n">
        <v>42865</v>
      </c>
      <c r="B42866">
        <f>TEXT(42865, "[$-0E0000]yyyy-mm-dd")</f>
        <v/>
      </c>
      <c r="C42866" t="inlineStr">
        <is>
          <t>2017-04-16</t>
        </is>
      </c>
    </row>
    <row r="42867">
      <c r="A42867" s="1" t="n">
        <v>42866</v>
      </c>
      <c r="B42867">
        <f>TEXT(42866, "[$-0E0000]yyyy-mm-dd")</f>
        <v/>
      </c>
      <c r="C42867" t="inlineStr">
        <is>
          <t>2017-04-17</t>
        </is>
      </c>
    </row>
    <row r="42868">
      <c r="A42868" s="1" t="n">
        <v>42867</v>
      </c>
      <c r="B42868">
        <f>TEXT(42867, "[$-0E0000]yyyy-mm-dd")</f>
        <v/>
      </c>
      <c r="C42868" t="inlineStr">
        <is>
          <t>2017-04-18</t>
        </is>
      </c>
    </row>
    <row r="42869">
      <c r="A42869" s="1" t="n">
        <v>42868</v>
      </c>
      <c r="B42869">
        <f>TEXT(42868, "[$-0E0000]yyyy-mm-dd")</f>
        <v/>
      </c>
      <c r="C42869" t="inlineStr">
        <is>
          <t>2017-04-19</t>
        </is>
      </c>
    </row>
    <row r="42870">
      <c r="A42870" s="1" t="n">
        <v>42869</v>
      </c>
      <c r="B42870">
        <f>TEXT(42869, "[$-0E0000]yyyy-mm-dd")</f>
        <v/>
      </c>
      <c r="C42870" t="inlineStr">
        <is>
          <t>2017-04-20</t>
        </is>
      </c>
    </row>
    <row r="42871">
      <c r="A42871" s="1" t="n">
        <v>42870</v>
      </c>
      <c r="B42871">
        <f>TEXT(42870, "[$-0E0000]yyyy-mm-dd")</f>
        <v/>
      </c>
      <c r="C42871" t="inlineStr">
        <is>
          <t>2017-04-21</t>
        </is>
      </c>
    </row>
    <row r="42872">
      <c r="A42872" s="1" t="n">
        <v>42871</v>
      </c>
      <c r="B42872">
        <f>TEXT(42871, "[$-0E0000]yyyy-mm-dd")</f>
        <v/>
      </c>
      <c r="C42872" t="inlineStr">
        <is>
          <t>2017-04-22</t>
        </is>
      </c>
    </row>
    <row r="42873">
      <c r="A42873" s="1" t="n">
        <v>42872</v>
      </c>
      <c r="B42873">
        <f>TEXT(42872, "[$-0E0000]yyyy-mm-dd")</f>
        <v/>
      </c>
      <c r="C42873" t="inlineStr">
        <is>
          <t>2017-04-23</t>
        </is>
      </c>
    </row>
    <row r="42874">
      <c r="A42874" s="1" t="n">
        <v>42873</v>
      </c>
      <c r="B42874">
        <f>TEXT(42873, "[$-0E0000]yyyy-mm-dd")</f>
        <v/>
      </c>
      <c r="C42874" t="inlineStr">
        <is>
          <t>2017-04-24</t>
        </is>
      </c>
    </row>
    <row r="42875">
      <c r="A42875" s="1" t="n">
        <v>42874</v>
      </c>
      <c r="B42875">
        <f>TEXT(42874, "[$-0E0000]yyyy-mm-dd")</f>
        <v/>
      </c>
      <c r="C42875" t="inlineStr">
        <is>
          <t>2017-04-25</t>
        </is>
      </c>
    </row>
    <row r="42876">
      <c r="A42876" s="1" t="n">
        <v>42875</v>
      </c>
      <c r="B42876">
        <f>TEXT(42875, "[$-0E0000]yyyy-mm-dd")</f>
        <v/>
      </c>
      <c r="C42876" t="inlineStr">
        <is>
          <t>2017-04-26</t>
        </is>
      </c>
    </row>
    <row r="42877">
      <c r="A42877" s="1" t="n">
        <v>42876</v>
      </c>
      <c r="B42877">
        <f>TEXT(42876, "[$-0E0000]yyyy-mm-dd")</f>
        <v/>
      </c>
      <c r="C42877" t="inlineStr">
        <is>
          <t>2017-04-27</t>
        </is>
      </c>
    </row>
    <row r="42878">
      <c r="A42878" s="1" t="n">
        <v>42877</v>
      </c>
      <c r="B42878">
        <f>TEXT(42877, "[$-0E0000]yyyy-mm-dd")</f>
        <v/>
      </c>
      <c r="C42878" t="inlineStr">
        <is>
          <t>2017-04-28</t>
        </is>
      </c>
    </row>
    <row r="42879">
      <c r="A42879" s="1" t="n">
        <v>42878</v>
      </c>
      <c r="B42879">
        <f>TEXT(42878, "[$-0E0000]yyyy-mm-dd")</f>
        <v/>
      </c>
      <c r="C42879" t="inlineStr">
        <is>
          <t>2017-04-29</t>
        </is>
      </c>
    </row>
    <row r="42880">
      <c r="A42880" s="1" t="n">
        <v>42879</v>
      </c>
      <c r="B42880">
        <f>TEXT(42879, "[$-0E0000]yyyy-mm-dd")</f>
        <v/>
      </c>
      <c r="C42880" t="inlineStr">
        <is>
          <t>2017-04-30</t>
        </is>
      </c>
    </row>
    <row r="42881">
      <c r="A42881" s="1" t="n">
        <v>42880</v>
      </c>
      <c r="B42881">
        <f>TEXT(42880, "[$-0E0000]yyyy-mm-dd")</f>
        <v/>
      </c>
      <c r="C42881" t="inlineStr">
        <is>
          <t>2017-05-01</t>
        </is>
      </c>
    </row>
    <row r="42882">
      <c r="A42882" s="1" t="n">
        <v>42881</v>
      </c>
      <c r="B42882">
        <f>TEXT(42881, "[$-0E0000]yyyy-mm-dd")</f>
        <v/>
      </c>
      <c r="C42882" t="inlineStr">
        <is>
          <t>2017-05-02</t>
        </is>
      </c>
    </row>
    <row r="42883">
      <c r="A42883" s="1" t="n">
        <v>42882</v>
      </c>
      <c r="B42883">
        <f>TEXT(42882, "[$-0E0000]yyyy-mm-dd")</f>
        <v/>
      </c>
      <c r="C42883" t="inlineStr">
        <is>
          <t>2017-05-03</t>
        </is>
      </c>
    </row>
    <row r="42884">
      <c r="A42884" s="1" t="n">
        <v>42883</v>
      </c>
      <c r="B42884">
        <f>TEXT(42883, "[$-0E0000]yyyy-mm-dd")</f>
        <v/>
      </c>
      <c r="C42884" t="inlineStr">
        <is>
          <t>2017-05-04</t>
        </is>
      </c>
    </row>
    <row r="42885">
      <c r="A42885" s="1" t="n">
        <v>42884</v>
      </c>
      <c r="B42885">
        <f>TEXT(42884, "[$-0E0000]yyyy-mm-dd")</f>
        <v/>
      </c>
      <c r="C42885" t="inlineStr">
        <is>
          <t>2017-05-05</t>
        </is>
      </c>
    </row>
    <row r="42886">
      <c r="A42886" s="1" t="n">
        <v>42885</v>
      </c>
      <c r="B42886">
        <f>TEXT(42885, "[$-0E0000]yyyy-mm-dd")</f>
        <v/>
      </c>
      <c r="C42886" t="inlineStr">
        <is>
          <t>2017-05-06</t>
        </is>
      </c>
    </row>
    <row r="42887">
      <c r="A42887" s="1" t="n">
        <v>42886</v>
      </c>
      <c r="B42887">
        <f>TEXT(42886, "[$-0E0000]yyyy-mm-dd")</f>
        <v/>
      </c>
      <c r="C42887" t="inlineStr">
        <is>
          <t>2017-05-07</t>
        </is>
      </c>
    </row>
    <row r="42888">
      <c r="A42888" s="1" t="n">
        <v>42887</v>
      </c>
      <c r="B42888">
        <f>TEXT(42887, "[$-0E0000]yyyy-mm-dd")</f>
        <v/>
      </c>
      <c r="C42888" t="inlineStr">
        <is>
          <t>2017-05-08</t>
        </is>
      </c>
    </row>
    <row r="42889">
      <c r="A42889" s="1" t="n">
        <v>42888</v>
      </c>
      <c r="B42889">
        <f>TEXT(42888, "[$-0E0000]yyyy-mm-dd")</f>
        <v/>
      </c>
      <c r="C42889" t="inlineStr">
        <is>
          <t>2017-05-09</t>
        </is>
      </c>
    </row>
    <row r="42890">
      <c r="A42890" s="1" t="n">
        <v>42889</v>
      </c>
      <c r="B42890">
        <f>TEXT(42889, "[$-0E0000]yyyy-mm-dd")</f>
        <v/>
      </c>
      <c r="C42890" t="inlineStr">
        <is>
          <t>2017-05-10</t>
        </is>
      </c>
    </row>
    <row r="42891">
      <c r="A42891" s="1" t="n">
        <v>42890</v>
      </c>
      <c r="B42891">
        <f>TEXT(42890, "[$-0E0000]yyyy-mm-dd")</f>
        <v/>
      </c>
      <c r="C42891" t="inlineStr">
        <is>
          <t>2017-05-11</t>
        </is>
      </c>
    </row>
    <row r="42892">
      <c r="A42892" s="1" t="n">
        <v>42891</v>
      </c>
      <c r="B42892">
        <f>TEXT(42891, "[$-0E0000]yyyy-mm-dd")</f>
        <v/>
      </c>
      <c r="C42892" t="inlineStr">
        <is>
          <t>2017-05-12</t>
        </is>
      </c>
    </row>
    <row r="42893">
      <c r="A42893" s="1" t="n">
        <v>42892</v>
      </c>
      <c r="B42893">
        <f>TEXT(42892, "[$-0E0000]yyyy-mm-dd")</f>
        <v/>
      </c>
      <c r="C42893" t="inlineStr">
        <is>
          <t>2017-05-13</t>
        </is>
      </c>
    </row>
    <row r="42894">
      <c r="A42894" s="1" t="n">
        <v>42893</v>
      </c>
      <c r="B42894">
        <f>TEXT(42893, "[$-0E0000]yyyy-mm-dd")</f>
        <v/>
      </c>
      <c r="C42894" t="inlineStr">
        <is>
          <t>2017-05-14</t>
        </is>
      </c>
    </row>
    <row r="42895">
      <c r="A42895" s="1" t="n">
        <v>42894</v>
      </c>
      <c r="B42895">
        <f>TEXT(42894, "[$-0E0000]yyyy-mm-dd")</f>
        <v/>
      </c>
      <c r="C42895" t="inlineStr">
        <is>
          <t>2017-05-15</t>
        </is>
      </c>
    </row>
    <row r="42896">
      <c r="A42896" s="1" t="n">
        <v>42895</v>
      </c>
      <c r="B42896">
        <f>TEXT(42895, "[$-0E0000]yyyy-mm-dd")</f>
        <v/>
      </c>
      <c r="C42896" t="inlineStr">
        <is>
          <t>2017-05-16</t>
        </is>
      </c>
    </row>
    <row r="42897">
      <c r="A42897" s="1" t="n">
        <v>42896</v>
      </c>
      <c r="B42897">
        <f>TEXT(42896, "[$-0E0000]yyyy-mm-dd")</f>
        <v/>
      </c>
      <c r="C42897" t="inlineStr">
        <is>
          <t>2017-05-17</t>
        </is>
      </c>
    </row>
    <row r="42898">
      <c r="A42898" s="1" t="n">
        <v>42897</v>
      </c>
      <c r="B42898">
        <f>TEXT(42897, "[$-0E0000]yyyy-mm-dd")</f>
        <v/>
      </c>
      <c r="C42898" t="inlineStr">
        <is>
          <t>2017-05-18</t>
        </is>
      </c>
    </row>
    <row r="42899">
      <c r="A42899" s="1" t="n">
        <v>42898</v>
      </c>
      <c r="B42899">
        <f>TEXT(42898, "[$-0E0000]yyyy-mm-dd")</f>
        <v/>
      </c>
      <c r="C42899" t="inlineStr">
        <is>
          <t>2017-05-19</t>
        </is>
      </c>
    </row>
    <row r="42900">
      <c r="A42900" s="1" t="n">
        <v>42899</v>
      </c>
      <c r="B42900">
        <f>TEXT(42899, "[$-0E0000]yyyy-mm-dd")</f>
        <v/>
      </c>
      <c r="C42900" t="inlineStr">
        <is>
          <t>2017-05-20</t>
        </is>
      </c>
    </row>
    <row r="42901">
      <c r="A42901" s="1" t="n">
        <v>42900</v>
      </c>
      <c r="B42901">
        <f>TEXT(42900, "[$-0E0000]yyyy-mm-dd")</f>
        <v/>
      </c>
      <c r="C42901" t="inlineStr">
        <is>
          <t>2017-05-21</t>
        </is>
      </c>
    </row>
    <row r="42902">
      <c r="A42902" s="1" t="n">
        <v>42901</v>
      </c>
      <c r="B42902">
        <f>TEXT(42901, "[$-0E0000]yyyy-mm-dd")</f>
        <v/>
      </c>
      <c r="C42902" t="inlineStr">
        <is>
          <t>2017-05-22</t>
        </is>
      </c>
    </row>
    <row r="42903">
      <c r="A42903" s="1" t="n">
        <v>42902</v>
      </c>
      <c r="B42903">
        <f>TEXT(42902, "[$-0E0000]yyyy-mm-dd")</f>
        <v/>
      </c>
      <c r="C42903" t="inlineStr">
        <is>
          <t>2017-05-23</t>
        </is>
      </c>
    </row>
    <row r="42904">
      <c r="A42904" s="1" t="n">
        <v>42903</v>
      </c>
      <c r="B42904">
        <f>TEXT(42903, "[$-0E0000]yyyy-mm-dd")</f>
        <v/>
      </c>
      <c r="C42904" t="inlineStr">
        <is>
          <t>2017-05-24</t>
        </is>
      </c>
    </row>
    <row r="42905">
      <c r="A42905" s="1" t="n">
        <v>42904</v>
      </c>
      <c r="B42905">
        <f>TEXT(42904, "[$-0E0000]yyyy-mm-dd")</f>
        <v/>
      </c>
      <c r="C42905" t="inlineStr">
        <is>
          <t>2017-05-25</t>
        </is>
      </c>
    </row>
    <row r="42906">
      <c r="A42906" s="1" t="n">
        <v>42905</v>
      </c>
      <c r="B42906">
        <f>TEXT(42905, "[$-0E0000]yyyy-mm-dd")</f>
        <v/>
      </c>
      <c r="C42906" t="inlineStr">
        <is>
          <t>2017-05-26</t>
        </is>
      </c>
    </row>
    <row r="42907">
      <c r="A42907" s="1" t="n">
        <v>42906</v>
      </c>
      <c r="B42907">
        <f>TEXT(42906, "[$-0E0000]yyyy-mm-dd")</f>
        <v/>
      </c>
      <c r="C42907" t="inlineStr">
        <is>
          <t>2017-05-27</t>
        </is>
      </c>
    </row>
    <row r="42908">
      <c r="A42908" s="1" t="n">
        <v>42907</v>
      </c>
      <c r="B42908">
        <f>TEXT(42907, "[$-0E0000]yyyy-mm-dd")</f>
        <v/>
      </c>
      <c r="C42908" t="inlineStr">
        <is>
          <t>2017-05-28</t>
        </is>
      </c>
    </row>
    <row r="42909">
      <c r="A42909" s="1" t="n">
        <v>42908</v>
      </c>
      <c r="B42909">
        <f>TEXT(42908, "[$-0E0000]yyyy-mm-dd")</f>
        <v/>
      </c>
      <c r="C42909" t="inlineStr">
        <is>
          <t>2017-05-29</t>
        </is>
      </c>
    </row>
    <row r="42910">
      <c r="A42910" s="1" t="n">
        <v>42909</v>
      </c>
      <c r="B42910">
        <f>TEXT(42909, "[$-0E0000]yyyy-mm-dd")</f>
        <v/>
      </c>
      <c r="C42910" t="inlineStr">
        <is>
          <t>2017-06-01</t>
        </is>
      </c>
    </row>
    <row r="42911">
      <c r="A42911" s="1" t="n">
        <v>42910</v>
      </c>
      <c r="B42911">
        <f>TEXT(42910, "[$-0E0000]yyyy-mm-dd")</f>
        <v/>
      </c>
      <c r="C42911" t="inlineStr">
        <is>
          <t>2017-06-02</t>
        </is>
      </c>
    </row>
    <row r="42912">
      <c r="A42912" s="1" t="n">
        <v>42911</v>
      </c>
      <c r="B42912">
        <f>TEXT(42911, "[$-0E0000]yyyy-mm-dd")</f>
        <v/>
      </c>
      <c r="C42912" t="inlineStr">
        <is>
          <t>2017-06-03</t>
        </is>
      </c>
    </row>
    <row r="42913">
      <c r="A42913" s="1" t="n">
        <v>42912</v>
      </c>
      <c r="B42913">
        <f>TEXT(42912, "[$-0E0000]yyyy-mm-dd")</f>
        <v/>
      </c>
      <c r="C42913" t="inlineStr">
        <is>
          <t>2017-06-04</t>
        </is>
      </c>
    </row>
    <row r="42914">
      <c r="A42914" s="1" t="n">
        <v>42913</v>
      </c>
      <c r="B42914">
        <f>TEXT(42913, "[$-0E0000]yyyy-mm-dd")</f>
        <v/>
      </c>
      <c r="C42914" t="inlineStr">
        <is>
          <t>2017-06-05</t>
        </is>
      </c>
    </row>
    <row r="42915">
      <c r="A42915" s="1" t="n">
        <v>42914</v>
      </c>
      <c r="B42915">
        <f>TEXT(42914, "[$-0E0000]yyyy-mm-dd")</f>
        <v/>
      </c>
      <c r="C42915" t="inlineStr">
        <is>
          <t>2017-06-06</t>
        </is>
      </c>
    </row>
    <row r="42916">
      <c r="A42916" s="1" t="n">
        <v>42915</v>
      </c>
      <c r="B42916">
        <f>TEXT(42915, "[$-0E0000]yyyy-mm-dd")</f>
        <v/>
      </c>
      <c r="C42916" t="inlineStr">
        <is>
          <t>2017-06-07</t>
        </is>
      </c>
    </row>
    <row r="42917">
      <c r="A42917" s="1" t="n">
        <v>42916</v>
      </c>
      <c r="B42917">
        <f>TEXT(42916, "[$-0E0000]yyyy-mm-dd")</f>
        <v/>
      </c>
      <c r="C42917" t="inlineStr">
        <is>
          <t>2017-06-08</t>
        </is>
      </c>
    </row>
    <row r="42918">
      <c r="A42918" s="1" t="n">
        <v>42917</v>
      </c>
      <c r="B42918">
        <f>TEXT(42917, "[$-0E0000]yyyy-mm-dd")</f>
        <v/>
      </c>
      <c r="C42918" t="inlineStr">
        <is>
          <t>2017-06-09</t>
        </is>
      </c>
    </row>
    <row r="42919">
      <c r="A42919" s="1" t="n">
        <v>42918</v>
      </c>
      <c r="B42919">
        <f>TEXT(42918, "[$-0E0000]yyyy-mm-dd")</f>
        <v/>
      </c>
      <c r="C42919" t="inlineStr">
        <is>
          <t>2017-06-10</t>
        </is>
      </c>
    </row>
    <row r="42920">
      <c r="A42920" s="1" t="n">
        <v>42919</v>
      </c>
      <c r="B42920">
        <f>TEXT(42919, "[$-0E0000]yyyy-mm-dd")</f>
        <v/>
      </c>
      <c r="C42920" t="inlineStr">
        <is>
          <t>2017-06-11</t>
        </is>
      </c>
    </row>
    <row r="42921">
      <c r="A42921" s="1" t="n">
        <v>42920</v>
      </c>
      <c r="B42921">
        <f>TEXT(42920, "[$-0E0000]yyyy-mm-dd")</f>
        <v/>
      </c>
      <c r="C42921" t="inlineStr">
        <is>
          <t>2017-06-12</t>
        </is>
      </c>
    </row>
    <row r="42922">
      <c r="A42922" s="1" t="n">
        <v>42921</v>
      </c>
      <c r="B42922">
        <f>TEXT(42921, "[$-0E0000]yyyy-mm-dd")</f>
        <v/>
      </c>
      <c r="C42922" t="inlineStr">
        <is>
          <t>2017-06-13</t>
        </is>
      </c>
    </row>
    <row r="42923">
      <c r="A42923" s="1" t="n">
        <v>42922</v>
      </c>
      <c r="B42923">
        <f>TEXT(42922, "[$-0E0000]yyyy-mm-dd")</f>
        <v/>
      </c>
      <c r="C42923" t="inlineStr">
        <is>
          <t>2017-06-14</t>
        </is>
      </c>
    </row>
    <row r="42924">
      <c r="A42924" s="1" t="n">
        <v>42923</v>
      </c>
      <c r="B42924">
        <f>TEXT(42923, "[$-0E0000]yyyy-mm-dd")</f>
        <v/>
      </c>
      <c r="C42924" t="inlineStr">
        <is>
          <t>2017-06-15</t>
        </is>
      </c>
    </row>
    <row r="42925">
      <c r="A42925" s="1" t="n">
        <v>42924</v>
      </c>
      <c r="B42925">
        <f>TEXT(42924, "[$-0E0000]yyyy-mm-dd")</f>
        <v/>
      </c>
      <c r="C42925" t="inlineStr">
        <is>
          <t>2017-06-16</t>
        </is>
      </c>
    </row>
    <row r="42926">
      <c r="A42926" s="1" t="n">
        <v>42925</v>
      </c>
      <c r="B42926">
        <f>TEXT(42925, "[$-0E0000]yyyy-mm-dd")</f>
        <v/>
      </c>
      <c r="C42926" t="inlineStr">
        <is>
          <t>2017-06-17</t>
        </is>
      </c>
    </row>
    <row r="42927">
      <c r="A42927" s="1" t="n">
        <v>42926</v>
      </c>
      <c r="B42927">
        <f>TEXT(42926, "[$-0E0000]yyyy-mm-dd")</f>
        <v/>
      </c>
      <c r="C42927" t="inlineStr">
        <is>
          <t>2017-06-18</t>
        </is>
      </c>
    </row>
    <row r="42928">
      <c r="A42928" s="1" t="n">
        <v>42927</v>
      </c>
      <c r="B42928">
        <f>TEXT(42927, "[$-0E0000]yyyy-mm-dd")</f>
        <v/>
      </c>
      <c r="C42928" t="inlineStr">
        <is>
          <t>2017-06-19</t>
        </is>
      </c>
    </row>
    <row r="42929">
      <c r="A42929" s="1" t="n">
        <v>42928</v>
      </c>
      <c r="B42929">
        <f>TEXT(42928, "[$-0E0000]yyyy-mm-dd")</f>
        <v/>
      </c>
      <c r="C42929" t="inlineStr">
        <is>
          <t>2017-06-20</t>
        </is>
      </c>
    </row>
    <row r="42930">
      <c r="A42930" s="1" t="n">
        <v>42929</v>
      </c>
      <c r="B42930">
        <f>TEXT(42929, "[$-0E0000]yyyy-mm-dd")</f>
        <v/>
      </c>
      <c r="C42930" t="inlineStr">
        <is>
          <t>2017-06-21</t>
        </is>
      </c>
    </row>
    <row r="42931">
      <c r="A42931" s="1" t="n">
        <v>42930</v>
      </c>
      <c r="B42931">
        <f>TEXT(42930, "[$-0E0000]yyyy-mm-dd")</f>
        <v/>
      </c>
      <c r="C42931" t="inlineStr">
        <is>
          <t>2017-06-22</t>
        </is>
      </c>
    </row>
    <row r="42932">
      <c r="A42932" s="1" t="n">
        <v>42931</v>
      </c>
      <c r="B42932">
        <f>TEXT(42931, "[$-0E0000]yyyy-mm-dd")</f>
        <v/>
      </c>
      <c r="C42932" t="inlineStr">
        <is>
          <t>2017-06-23</t>
        </is>
      </c>
    </row>
    <row r="42933">
      <c r="A42933" s="1" t="n">
        <v>42932</v>
      </c>
      <c r="B42933">
        <f>TEXT(42932, "[$-0E0000]yyyy-mm-dd")</f>
        <v/>
      </c>
      <c r="C42933" t="inlineStr">
        <is>
          <t>2017-06-24</t>
        </is>
      </c>
    </row>
    <row r="42934">
      <c r="A42934" s="1" t="n">
        <v>42933</v>
      </c>
      <c r="B42934">
        <f>TEXT(42933, "[$-0E0000]yyyy-mm-dd")</f>
        <v/>
      </c>
      <c r="C42934" t="inlineStr">
        <is>
          <t>2017-06-25</t>
        </is>
      </c>
    </row>
    <row r="42935">
      <c r="A42935" s="1" t="n">
        <v>42934</v>
      </c>
      <c r="B42935">
        <f>TEXT(42934, "[$-0E0000]yyyy-mm-dd")</f>
        <v/>
      </c>
      <c r="C42935" t="inlineStr">
        <is>
          <t>2017-06-26</t>
        </is>
      </c>
    </row>
    <row r="42936">
      <c r="A42936" s="1" t="n">
        <v>42935</v>
      </c>
      <c r="B42936">
        <f>TEXT(42935, "[$-0E0000]yyyy-mm-dd")</f>
        <v/>
      </c>
      <c r="C42936" t="inlineStr">
        <is>
          <t>2017-06-27</t>
        </is>
      </c>
    </row>
    <row r="42937">
      <c r="A42937" s="1" t="n">
        <v>42936</v>
      </c>
      <c r="B42937">
        <f>TEXT(42936, "[$-0E0000]yyyy-mm-dd")</f>
        <v/>
      </c>
      <c r="C42937" t="inlineStr">
        <is>
          <t>2017-06-28</t>
        </is>
      </c>
    </row>
    <row r="42938">
      <c r="A42938" s="1" t="n">
        <v>42937</v>
      </c>
      <c r="B42938">
        <f>TEXT(42937, "[$-0E0000]yyyy-mm-dd")</f>
        <v/>
      </c>
      <c r="C42938" t="inlineStr">
        <is>
          <t>2017-06-29</t>
        </is>
      </c>
    </row>
    <row r="42939">
      <c r="A42939" s="1" t="n">
        <v>42938</v>
      </c>
      <c r="B42939">
        <f>TEXT(42938, "[$-0E0000]yyyy-mm-dd")</f>
        <v/>
      </c>
      <c r="C42939" t="inlineStr">
        <is>
          <t>2017-06-01</t>
        </is>
      </c>
    </row>
    <row r="42940">
      <c r="A42940" s="1" t="n">
        <v>42939</v>
      </c>
      <c r="B42940">
        <f>TEXT(42939, "[$-0E0000]yyyy-mm-dd")</f>
        <v/>
      </c>
      <c r="C42940" t="inlineStr">
        <is>
          <t>2017-06-02</t>
        </is>
      </c>
    </row>
    <row r="42941">
      <c r="A42941" s="1" t="n">
        <v>42940</v>
      </c>
      <c r="B42941">
        <f>TEXT(42940, "[$-0E0000]yyyy-mm-dd")</f>
        <v/>
      </c>
      <c r="C42941" t="inlineStr">
        <is>
          <t>2017-06-03</t>
        </is>
      </c>
    </row>
    <row r="42942">
      <c r="A42942" s="1" t="n">
        <v>42941</v>
      </c>
      <c r="B42942">
        <f>TEXT(42941, "[$-0E0000]yyyy-mm-dd")</f>
        <v/>
      </c>
      <c r="C42942" t="inlineStr">
        <is>
          <t>2017-06-04</t>
        </is>
      </c>
    </row>
    <row r="42943">
      <c r="A42943" s="1" t="n">
        <v>42942</v>
      </c>
      <c r="B42943">
        <f>TEXT(42942, "[$-0E0000]yyyy-mm-dd")</f>
        <v/>
      </c>
      <c r="C42943" t="inlineStr">
        <is>
          <t>2017-06-05</t>
        </is>
      </c>
    </row>
    <row r="42944">
      <c r="A42944" s="1" t="n">
        <v>42943</v>
      </c>
      <c r="B42944">
        <f>TEXT(42943, "[$-0E0000]yyyy-mm-dd")</f>
        <v/>
      </c>
      <c r="C42944" t="inlineStr">
        <is>
          <t>2017-06-06</t>
        </is>
      </c>
    </row>
    <row r="42945">
      <c r="A42945" s="1" t="n">
        <v>42944</v>
      </c>
      <c r="B42945">
        <f>TEXT(42944, "[$-0E0000]yyyy-mm-dd")</f>
        <v/>
      </c>
      <c r="C42945" t="inlineStr">
        <is>
          <t>2017-06-07</t>
        </is>
      </c>
    </row>
    <row r="42946">
      <c r="A42946" s="1" t="n">
        <v>42945</v>
      </c>
      <c r="B42946">
        <f>TEXT(42945, "[$-0E0000]yyyy-mm-dd")</f>
        <v/>
      </c>
      <c r="C42946" t="inlineStr">
        <is>
          <t>2017-06-08</t>
        </is>
      </c>
    </row>
    <row r="42947">
      <c r="A42947" s="1" t="n">
        <v>42946</v>
      </c>
      <c r="B42947">
        <f>TEXT(42946, "[$-0E0000]yyyy-mm-dd")</f>
        <v/>
      </c>
      <c r="C42947" t="inlineStr">
        <is>
          <t>2017-06-09</t>
        </is>
      </c>
    </row>
    <row r="42948">
      <c r="A42948" s="1" t="n">
        <v>42947</v>
      </c>
      <c r="B42948">
        <f>TEXT(42947, "[$-0E0000]yyyy-mm-dd")</f>
        <v/>
      </c>
      <c r="C42948" t="inlineStr">
        <is>
          <t>2017-06-10</t>
        </is>
      </c>
    </row>
    <row r="42949">
      <c r="A42949" s="1" t="n">
        <v>42948</v>
      </c>
      <c r="B42949">
        <f>TEXT(42948, "[$-0E0000]yyyy-mm-dd")</f>
        <v/>
      </c>
      <c r="C42949" t="inlineStr">
        <is>
          <t>2017-06-11</t>
        </is>
      </c>
    </row>
    <row r="42950">
      <c r="A42950" s="1" t="n">
        <v>42949</v>
      </c>
      <c r="B42950">
        <f>TEXT(42949, "[$-0E0000]yyyy-mm-dd")</f>
        <v/>
      </c>
      <c r="C42950" t="inlineStr">
        <is>
          <t>2017-06-12</t>
        </is>
      </c>
    </row>
    <row r="42951">
      <c r="A42951" s="1" t="n">
        <v>42950</v>
      </c>
      <c r="B42951">
        <f>TEXT(42950, "[$-0E0000]yyyy-mm-dd")</f>
        <v/>
      </c>
      <c r="C42951" t="inlineStr">
        <is>
          <t>2017-06-13</t>
        </is>
      </c>
    </row>
    <row r="42952">
      <c r="A42952" s="1" t="n">
        <v>42951</v>
      </c>
      <c r="B42952">
        <f>TEXT(42951, "[$-0E0000]yyyy-mm-dd")</f>
        <v/>
      </c>
      <c r="C42952" t="inlineStr">
        <is>
          <t>2017-06-14</t>
        </is>
      </c>
    </row>
    <row r="42953">
      <c r="A42953" s="1" t="n">
        <v>42952</v>
      </c>
      <c r="B42953">
        <f>TEXT(42952, "[$-0E0000]yyyy-mm-dd")</f>
        <v/>
      </c>
      <c r="C42953" t="inlineStr">
        <is>
          <t>2017-06-15</t>
        </is>
      </c>
    </row>
    <row r="42954">
      <c r="A42954" s="1" t="n">
        <v>42953</v>
      </c>
      <c r="B42954">
        <f>TEXT(42953, "[$-0E0000]yyyy-mm-dd")</f>
        <v/>
      </c>
      <c r="C42954" t="inlineStr">
        <is>
          <t>2017-06-16</t>
        </is>
      </c>
    </row>
    <row r="42955">
      <c r="A42955" s="1" t="n">
        <v>42954</v>
      </c>
      <c r="B42955">
        <f>TEXT(42954, "[$-0E0000]yyyy-mm-dd")</f>
        <v/>
      </c>
      <c r="C42955" t="inlineStr">
        <is>
          <t>2017-06-17</t>
        </is>
      </c>
    </row>
    <row r="42956">
      <c r="A42956" s="1" t="n">
        <v>42955</v>
      </c>
      <c r="B42956">
        <f>TEXT(42955, "[$-0E0000]yyyy-mm-dd")</f>
        <v/>
      </c>
      <c r="C42956" t="inlineStr">
        <is>
          <t>2017-06-18</t>
        </is>
      </c>
    </row>
    <row r="42957">
      <c r="A42957" s="1" t="n">
        <v>42956</v>
      </c>
      <c r="B42957">
        <f>TEXT(42956, "[$-0E0000]yyyy-mm-dd")</f>
        <v/>
      </c>
      <c r="C42957" t="inlineStr">
        <is>
          <t>2017-06-19</t>
        </is>
      </c>
    </row>
    <row r="42958">
      <c r="A42958" s="1" t="n">
        <v>42957</v>
      </c>
      <c r="B42958">
        <f>TEXT(42957, "[$-0E0000]yyyy-mm-dd")</f>
        <v/>
      </c>
      <c r="C42958" t="inlineStr">
        <is>
          <t>2017-06-20</t>
        </is>
      </c>
    </row>
    <row r="42959">
      <c r="A42959" s="1" t="n">
        <v>42958</v>
      </c>
      <c r="B42959">
        <f>TEXT(42958, "[$-0E0000]yyyy-mm-dd")</f>
        <v/>
      </c>
      <c r="C42959" t="inlineStr">
        <is>
          <t>2017-06-21</t>
        </is>
      </c>
    </row>
    <row r="42960">
      <c r="A42960" s="1" t="n">
        <v>42959</v>
      </c>
      <c r="B42960">
        <f>TEXT(42959, "[$-0E0000]yyyy-mm-dd")</f>
        <v/>
      </c>
      <c r="C42960" t="inlineStr">
        <is>
          <t>2017-06-22</t>
        </is>
      </c>
    </row>
    <row r="42961">
      <c r="A42961" s="1" t="n">
        <v>42960</v>
      </c>
      <c r="B42961">
        <f>TEXT(42960, "[$-0E0000]yyyy-mm-dd")</f>
        <v/>
      </c>
      <c r="C42961" t="inlineStr">
        <is>
          <t>2017-06-23</t>
        </is>
      </c>
    </row>
    <row r="42962">
      <c r="A42962" s="1" t="n">
        <v>42961</v>
      </c>
      <c r="B42962">
        <f>TEXT(42961, "[$-0E0000]yyyy-mm-dd")</f>
        <v/>
      </c>
      <c r="C42962" t="inlineStr">
        <is>
          <t>2017-06-24</t>
        </is>
      </c>
    </row>
    <row r="42963">
      <c r="A42963" s="1" t="n">
        <v>42962</v>
      </c>
      <c r="B42963">
        <f>TEXT(42962, "[$-0E0000]yyyy-mm-dd")</f>
        <v/>
      </c>
      <c r="C42963" t="inlineStr">
        <is>
          <t>2017-06-25</t>
        </is>
      </c>
    </row>
    <row r="42964">
      <c r="A42964" s="1" t="n">
        <v>42963</v>
      </c>
      <c r="B42964">
        <f>TEXT(42963, "[$-0E0000]yyyy-mm-dd")</f>
        <v/>
      </c>
      <c r="C42964" t="inlineStr">
        <is>
          <t>2017-06-26</t>
        </is>
      </c>
    </row>
    <row r="42965">
      <c r="A42965" s="1" t="n">
        <v>42964</v>
      </c>
      <c r="B42965">
        <f>TEXT(42964, "[$-0E0000]yyyy-mm-dd")</f>
        <v/>
      </c>
      <c r="C42965" t="inlineStr">
        <is>
          <t>2017-06-27</t>
        </is>
      </c>
    </row>
    <row r="42966">
      <c r="A42966" s="1" t="n">
        <v>42965</v>
      </c>
      <c r="B42966">
        <f>TEXT(42965, "[$-0E0000]yyyy-mm-dd")</f>
        <v/>
      </c>
      <c r="C42966" t="inlineStr">
        <is>
          <t>2017-06-28</t>
        </is>
      </c>
    </row>
    <row r="42967">
      <c r="A42967" s="1" t="n">
        <v>42966</v>
      </c>
      <c r="B42967">
        <f>TEXT(42966, "[$-0E0000]yyyy-mm-dd")</f>
        <v/>
      </c>
      <c r="C42967" t="inlineStr">
        <is>
          <t>2017-06-29</t>
        </is>
      </c>
    </row>
    <row r="42968">
      <c r="A42968" s="1" t="n">
        <v>42967</v>
      </c>
      <c r="B42968">
        <f>TEXT(42967, "[$-0E0000]yyyy-mm-dd")</f>
        <v/>
      </c>
      <c r="C42968" t="inlineStr">
        <is>
          <t>2017-06-30</t>
        </is>
      </c>
    </row>
    <row r="42969">
      <c r="A42969" s="1" t="n">
        <v>42968</v>
      </c>
      <c r="B42969">
        <f>TEXT(42968, "[$-0E0000]yyyy-mm-dd")</f>
        <v/>
      </c>
      <c r="C42969" t="inlineStr">
        <is>
          <t>2017-07-01</t>
        </is>
      </c>
    </row>
    <row r="42970">
      <c r="A42970" s="1" t="n">
        <v>42969</v>
      </c>
      <c r="B42970">
        <f>TEXT(42969, "[$-0E0000]yyyy-mm-dd")</f>
        <v/>
      </c>
      <c r="C42970" t="inlineStr">
        <is>
          <t>2017-07-02</t>
        </is>
      </c>
    </row>
    <row r="42971">
      <c r="A42971" s="1" t="n">
        <v>42970</v>
      </c>
      <c r="B42971">
        <f>TEXT(42970, "[$-0E0000]yyyy-mm-dd")</f>
        <v/>
      </c>
      <c r="C42971" t="inlineStr">
        <is>
          <t>2017-07-03</t>
        </is>
      </c>
    </row>
    <row r="42972">
      <c r="A42972" s="1" t="n">
        <v>42971</v>
      </c>
      <c r="B42972">
        <f>TEXT(42971, "[$-0E0000]yyyy-mm-dd")</f>
        <v/>
      </c>
      <c r="C42972" t="inlineStr">
        <is>
          <t>2017-07-04</t>
        </is>
      </c>
    </row>
    <row r="42973">
      <c r="A42973" s="1" t="n">
        <v>42972</v>
      </c>
      <c r="B42973">
        <f>TEXT(42972, "[$-0E0000]yyyy-mm-dd")</f>
        <v/>
      </c>
      <c r="C42973" t="inlineStr">
        <is>
          <t>2017-07-05</t>
        </is>
      </c>
    </row>
    <row r="42974">
      <c r="A42974" s="1" t="n">
        <v>42973</v>
      </c>
      <c r="B42974">
        <f>TEXT(42973, "[$-0E0000]yyyy-mm-dd")</f>
        <v/>
      </c>
      <c r="C42974" t="inlineStr">
        <is>
          <t>2017-07-06</t>
        </is>
      </c>
    </row>
    <row r="42975">
      <c r="A42975" s="1" t="n">
        <v>42974</v>
      </c>
      <c r="B42975">
        <f>TEXT(42974, "[$-0E0000]yyyy-mm-dd")</f>
        <v/>
      </c>
      <c r="C42975" t="inlineStr">
        <is>
          <t>2017-07-07</t>
        </is>
      </c>
    </row>
    <row r="42976">
      <c r="A42976" s="1" t="n">
        <v>42975</v>
      </c>
      <c r="B42976">
        <f>TEXT(42975, "[$-0E0000]yyyy-mm-dd")</f>
        <v/>
      </c>
      <c r="C42976" t="inlineStr">
        <is>
          <t>2017-07-08</t>
        </is>
      </c>
    </row>
    <row r="42977">
      <c r="A42977" s="1" t="n">
        <v>42976</v>
      </c>
      <c r="B42977">
        <f>TEXT(42976, "[$-0E0000]yyyy-mm-dd")</f>
        <v/>
      </c>
      <c r="C42977" t="inlineStr">
        <is>
          <t>2017-07-09</t>
        </is>
      </c>
    </row>
    <row r="42978">
      <c r="A42978" s="1" t="n">
        <v>42977</v>
      </c>
      <c r="B42978">
        <f>TEXT(42977, "[$-0E0000]yyyy-mm-dd")</f>
        <v/>
      </c>
      <c r="C42978" t="inlineStr">
        <is>
          <t>2017-07-10</t>
        </is>
      </c>
    </row>
    <row r="42979">
      <c r="A42979" s="1" t="n">
        <v>42978</v>
      </c>
      <c r="B42979">
        <f>TEXT(42978, "[$-0E0000]yyyy-mm-dd")</f>
        <v/>
      </c>
      <c r="C42979" t="inlineStr">
        <is>
          <t>2017-07-11</t>
        </is>
      </c>
    </row>
    <row r="42980">
      <c r="A42980" s="1" t="n">
        <v>42979</v>
      </c>
      <c r="B42980">
        <f>TEXT(42979, "[$-0E0000]yyyy-mm-dd")</f>
        <v/>
      </c>
      <c r="C42980" t="inlineStr">
        <is>
          <t>2017-07-12</t>
        </is>
      </c>
    </row>
    <row r="42981">
      <c r="A42981" s="1" t="n">
        <v>42980</v>
      </c>
      <c r="B42981">
        <f>TEXT(42980, "[$-0E0000]yyyy-mm-dd")</f>
        <v/>
      </c>
      <c r="C42981" t="inlineStr">
        <is>
          <t>2017-07-13</t>
        </is>
      </c>
    </row>
    <row r="42982">
      <c r="A42982" s="1" t="n">
        <v>42981</v>
      </c>
      <c r="B42982">
        <f>TEXT(42981, "[$-0E0000]yyyy-mm-dd")</f>
        <v/>
      </c>
      <c r="C42982" t="inlineStr">
        <is>
          <t>2017-07-14</t>
        </is>
      </c>
    </row>
    <row r="42983">
      <c r="A42983" s="1" t="n">
        <v>42982</v>
      </c>
      <c r="B42983">
        <f>TEXT(42982, "[$-0E0000]yyyy-mm-dd")</f>
        <v/>
      </c>
      <c r="C42983" t="inlineStr">
        <is>
          <t>2017-07-15</t>
        </is>
      </c>
    </row>
    <row r="42984">
      <c r="A42984" s="1" t="n">
        <v>42983</v>
      </c>
      <c r="B42984">
        <f>TEXT(42983, "[$-0E0000]yyyy-mm-dd")</f>
        <v/>
      </c>
      <c r="C42984" t="inlineStr">
        <is>
          <t>2017-07-16</t>
        </is>
      </c>
    </row>
    <row r="42985">
      <c r="A42985" s="1" t="n">
        <v>42984</v>
      </c>
      <c r="B42985">
        <f>TEXT(42984, "[$-0E0000]yyyy-mm-dd")</f>
        <v/>
      </c>
      <c r="C42985" t="inlineStr">
        <is>
          <t>2017-07-17</t>
        </is>
      </c>
    </row>
    <row r="42986">
      <c r="A42986" s="1" t="n">
        <v>42985</v>
      </c>
      <c r="B42986">
        <f>TEXT(42985, "[$-0E0000]yyyy-mm-dd")</f>
        <v/>
      </c>
      <c r="C42986" t="inlineStr">
        <is>
          <t>2017-07-18</t>
        </is>
      </c>
    </row>
    <row r="42987">
      <c r="A42987" s="1" t="n">
        <v>42986</v>
      </c>
      <c r="B42987">
        <f>TEXT(42986, "[$-0E0000]yyyy-mm-dd")</f>
        <v/>
      </c>
      <c r="C42987" t="inlineStr">
        <is>
          <t>2017-07-19</t>
        </is>
      </c>
    </row>
    <row r="42988">
      <c r="A42988" s="1" t="n">
        <v>42987</v>
      </c>
      <c r="B42988">
        <f>TEXT(42987, "[$-0E0000]yyyy-mm-dd")</f>
        <v/>
      </c>
      <c r="C42988" t="inlineStr">
        <is>
          <t>2017-07-20</t>
        </is>
      </c>
    </row>
    <row r="42989">
      <c r="A42989" s="1" t="n">
        <v>42988</v>
      </c>
      <c r="B42989">
        <f>TEXT(42988, "[$-0E0000]yyyy-mm-dd")</f>
        <v/>
      </c>
      <c r="C42989" t="inlineStr">
        <is>
          <t>2017-07-21</t>
        </is>
      </c>
    </row>
    <row r="42990">
      <c r="A42990" s="1" t="n">
        <v>42989</v>
      </c>
      <c r="B42990">
        <f>TEXT(42989, "[$-0E0000]yyyy-mm-dd")</f>
        <v/>
      </c>
      <c r="C42990" t="inlineStr">
        <is>
          <t>2017-07-22</t>
        </is>
      </c>
    </row>
    <row r="42991">
      <c r="A42991" s="1" t="n">
        <v>42990</v>
      </c>
      <c r="B42991">
        <f>TEXT(42990, "[$-0E0000]yyyy-mm-dd")</f>
        <v/>
      </c>
      <c r="C42991" t="inlineStr">
        <is>
          <t>2017-07-23</t>
        </is>
      </c>
    </row>
    <row r="42992">
      <c r="A42992" s="1" t="n">
        <v>42991</v>
      </c>
      <c r="B42992">
        <f>TEXT(42991, "[$-0E0000]yyyy-mm-dd")</f>
        <v/>
      </c>
      <c r="C42992" t="inlineStr">
        <is>
          <t>2017-07-24</t>
        </is>
      </c>
    </row>
    <row r="42993">
      <c r="A42993" s="1" t="n">
        <v>42992</v>
      </c>
      <c r="B42993">
        <f>TEXT(42992, "[$-0E0000]yyyy-mm-dd")</f>
        <v/>
      </c>
      <c r="C42993" t="inlineStr">
        <is>
          <t>2017-07-25</t>
        </is>
      </c>
    </row>
    <row r="42994">
      <c r="A42994" s="1" t="n">
        <v>42993</v>
      </c>
      <c r="B42994">
        <f>TEXT(42993, "[$-0E0000]yyyy-mm-dd")</f>
        <v/>
      </c>
      <c r="C42994" t="inlineStr">
        <is>
          <t>2017-07-26</t>
        </is>
      </c>
    </row>
    <row r="42995">
      <c r="A42995" s="1" t="n">
        <v>42994</v>
      </c>
      <c r="B42995">
        <f>TEXT(42994, "[$-0E0000]yyyy-mm-dd")</f>
        <v/>
      </c>
      <c r="C42995" t="inlineStr">
        <is>
          <t>2017-07-27</t>
        </is>
      </c>
    </row>
    <row r="42996">
      <c r="A42996" s="1" t="n">
        <v>42995</v>
      </c>
      <c r="B42996">
        <f>TEXT(42995, "[$-0E0000]yyyy-mm-dd")</f>
        <v/>
      </c>
      <c r="C42996" t="inlineStr">
        <is>
          <t>2017-07-28</t>
        </is>
      </c>
    </row>
    <row r="42997">
      <c r="A42997" s="1" t="n">
        <v>42996</v>
      </c>
      <c r="B42997">
        <f>TEXT(42996, "[$-0E0000]yyyy-mm-dd")</f>
        <v/>
      </c>
      <c r="C42997" t="inlineStr">
        <is>
          <t>2017-07-29</t>
        </is>
      </c>
    </row>
    <row r="42998">
      <c r="A42998" s="1" t="n">
        <v>42997</v>
      </c>
      <c r="B42998">
        <f>TEXT(42997, "[$-0E0000]yyyy-mm-dd")</f>
        <v/>
      </c>
      <c r="C42998" t="inlineStr">
        <is>
          <t>2017-08-01</t>
        </is>
      </c>
    </row>
    <row r="42999">
      <c r="A42999" s="1" t="n">
        <v>42998</v>
      </c>
      <c r="B42999">
        <f>TEXT(42998, "[$-0E0000]yyyy-mm-dd")</f>
        <v/>
      </c>
      <c r="C42999" t="inlineStr">
        <is>
          <t>2017-08-02</t>
        </is>
      </c>
    </row>
    <row r="43000">
      <c r="A43000" s="1" t="n">
        <v>42999</v>
      </c>
      <c r="B43000">
        <f>TEXT(42999, "[$-0E0000]yyyy-mm-dd")</f>
        <v/>
      </c>
      <c r="C43000" t="inlineStr">
        <is>
          <t>2017-08-03</t>
        </is>
      </c>
    </row>
    <row r="43001">
      <c r="A43001" s="1" t="n">
        <v>43000</v>
      </c>
      <c r="B43001">
        <f>TEXT(43000, "[$-0E0000]yyyy-mm-dd")</f>
        <v/>
      </c>
      <c r="C43001" t="inlineStr">
        <is>
          <t>2017-08-04</t>
        </is>
      </c>
    </row>
    <row r="43002">
      <c r="A43002" s="1" t="n">
        <v>43001</v>
      </c>
      <c r="B43002">
        <f>TEXT(43001, "[$-0E0000]yyyy-mm-dd")</f>
        <v/>
      </c>
      <c r="C43002" t="inlineStr">
        <is>
          <t>2017-08-05</t>
        </is>
      </c>
    </row>
    <row r="43003">
      <c r="A43003" s="1" t="n">
        <v>43002</v>
      </c>
      <c r="B43003">
        <f>TEXT(43002, "[$-0E0000]yyyy-mm-dd")</f>
        <v/>
      </c>
      <c r="C43003" t="inlineStr">
        <is>
          <t>2017-08-06</t>
        </is>
      </c>
    </row>
    <row r="43004">
      <c r="A43004" s="1" t="n">
        <v>43003</v>
      </c>
      <c r="B43004">
        <f>TEXT(43003, "[$-0E0000]yyyy-mm-dd")</f>
        <v/>
      </c>
      <c r="C43004" t="inlineStr">
        <is>
          <t>2017-08-07</t>
        </is>
      </c>
    </row>
    <row r="43005">
      <c r="A43005" s="1" t="n">
        <v>43004</v>
      </c>
      <c r="B43005">
        <f>TEXT(43004, "[$-0E0000]yyyy-mm-dd")</f>
        <v/>
      </c>
      <c r="C43005" t="inlineStr">
        <is>
          <t>2017-08-08</t>
        </is>
      </c>
    </row>
    <row r="43006">
      <c r="A43006" s="1" t="n">
        <v>43005</v>
      </c>
      <c r="B43006">
        <f>TEXT(43005, "[$-0E0000]yyyy-mm-dd")</f>
        <v/>
      </c>
      <c r="C43006" t="inlineStr">
        <is>
          <t>2017-08-09</t>
        </is>
      </c>
    </row>
    <row r="43007">
      <c r="A43007" s="1" t="n">
        <v>43006</v>
      </c>
      <c r="B43007">
        <f>TEXT(43006, "[$-0E0000]yyyy-mm-dd")</f>
        <v/>
      </c>
      <c r="C43007" t="inlineStr">
        <is>
          <t>2017-08-10</t>
        </is>
      </c>
    </row>
    <row r="43008">
      <c r="A43008" s="1" t="n">
        <v>43007</v>
      </c>
      <c r="B43008">
        <f>TEXT(43007, "[$-0E0000]yyyy-mm-dd")</f>
        <v/>
      </c>
      <c r="C43008" t="inlineStr">
        <is>
          <t>2017-08-11</t>
        </is>
      </c>
    </row>
    <row r="43009">
      <c r="A43009" s="1" t="n">
        <v>43008</v>
      </c>
      <c r="B43009">
        <f>TEXT(43008, "[$-0E0000]yyyy-mm-dd")</f>
        <v/>
      </c>
      <c r="C43009" t="inlineStr">
        <is>
          <t>2017-08-12</t>
        </is>
      </c>
    </row>
    <row r="43010">
      <c r="A43010" s="1" t="n">
        <v>43009</v>
      </c>
      <c r="B43010">
        <f>TEXT(43009, "[$-0E0000]yyyy-mm-dd")</f>
        <v/>
      </c>
      <c r="C43010" t="inlineStr">
        <is>
          <t>2017-08-13</t>
        </is>
      </c>
    </row>
    <row r="43011">
      <c r="A43011" s="1" t="n">
        <v>43010</v>
      </c>
      <c r="B43011">
        <f>TEXT(43010, "[$-0E0000]yyyy-mm-dd")</f>
        <v/>
      </c>
      <c r="C43011" t="inlineStr">
        <is>
          <t>2017-08-14</t>
        </is>
      </c>
    </row>
    <row r="43012">
      <c r="A43012" s="1" t="n">
        <v>43011</v>
      </c>
      <c r="B43012">
        <f>TEXT(43011, "[$-0E0000]yyyy-mm-dd")</f>
        <v/>
      </c>
      <c r="C43012" t="inlineStr">
        <is>
          <t>2017-08-15</t>
        </is>
      </c>
    </row>
    <row r="43013">
      <c r="A43013" s="1" t="n">
        <v>43012</v>
      </c>
      <c r="B43013">
        <f>TEXT(43012, "[$-0E0000]yyyy-mm-dd")</f>
        <v/>
      </c>
      <c r="C43013" t="inlineStr">
        <is>
          <t>2017-08-16</t>
        </is>
      </c>
    </row>
    <row r="43014">
      <c r="A43014" s="1" t="n">
        <v>43013</v>
      </c>
      <c r="B43014">
        <f>TEXT(43013, "[$-0E0000]yyyy-mm-dd")</f>
        <v/>
      </c>
      <c r="C43014" t="inlineStr">
        <is>
          <t>2017-08-17</t>
        </is>
      </c>
    </row>
    <row r="43015">
      <c r="A43015" s="1" t="n">
        <v>43014</v>
      </c>
      <c r="B43015">
        <f>TEXT(43014, "[$-0E0000]yyyy-mm-dd")</f>
        <v/>
      </c>
      <c r="C43015" t="inlineStr">
        <is>
          <t>2017-08-18</t>
        </is>
      </c>
    </row>
    <row r="43016">
      <c r="A43016" s="1" t="n">
        <v>43015</v>
      </c>
      <c r="B43016">
        <f>TEXT(43015, "[$-0E0000]yyyy-mm-dd")</f>
        <v/>
      </c>
      <c r="C43016" t="inlineStr">
        <is>
          <t>2017-08-19</t>
        </is>
      </c>
    </row>
    <row r="43017">
      <c r="A43017" s="1" t="n">
        <v>43016</v>
      </c>
      <c r="B43017">
        <f>TEXT(43016, "[$-0E0000]yyyy-mm-dd")</f>
        <v/>
      </c>
      <c r="C43017" t="inlineStr">
        <is>
          <t>2017-08-20</t>
        </is>
      </c>
    </row>
    <row r="43018">
      <c r="A43018" s="1" t="n">
        <v>43017</v>
      </c>
      <c r="B43018">
        <f>TEXT(43017, "[$-0E0000]yyyy-mm-dd")</f>
        <v/>
      </c>
      <c r="C43018" t="inlineStr">
        <is>
          <t>2017-08-21</t>
        </is>
      </c>
    </row>
    <row r="43019">
      <c r="A43019" s="1" t="n">
        <v>43018</v>
      </c>
      <c r="B43019">
        <f>TEXT(43018, "[$-0E0000]yyyy-mm-dd")</f>
        <v/>
      </c>
      <c r="C43019" t="inlineStr">
        <is>
          <t>2017-08-22</t>
        </is>
      </c>
    </row>
    <row r="43020">
      <c r="A43020" s="1" t="n">
        <v>43019</v>
      </c>
      <c r="B43020">
        <f>TEXT(43019, "[$-0E0000]yyyy-mm-dd")</f>
        <v/>
      </c>
      <c r="C43020" t="inlineStr">
        <is>
          <t>2017-08-23</t>
        </is>
      </c>
    </row>
    <row r="43021">
      <c r="A43021" s="1" t="n">
        <v>43020</v>
      </c>
      <c r="B43021">
        <f>TEXT(43020, "[$-0E0000]yyyy-mm-dd")</f>
        <v/>
      </c>
      <c r="C43021" t="inlineStr">
        <is>
          <t>2017-08-24</t>
        </is>
      </c>
    </row>
    <row r="43022">
      <c r="A43022" s="1" t="n">
        <v>43021</v>
      </c>
      <c r="B43022">
        <f>TEXT(43021, "[$-0E0000]yyyy-mm-dd")</f>
        <v/>
      </c>
      <c r="C43022" t="inlineStr">
        <is>
          <t>2017-08-25</t>
        </is>
      </c>
    </row>
    <row r="43023">
      <c r="A43023" s="1" t="n">
        <v>43022</v>
      </c>
      <c r="B43023">
        <f>TEXT(43022, "[$-0E0000]yyyy-mm-dd")</f>
        <v/>
      </c>
      <c r="C43023" t="inlineStr">
        <is>
          <t>2017-08-26</t>
        </is>
      </c>
    </row>
    <row r="43024">
      <c r="A43024" s="1" t="n">
        <v>43023</v>
      </c>
      <c r="B43024">
        <f>TEXT(43023, "[$-0E0000]yyyy-mm-dd")</f>
        <v/>
      </c>
      <c r="C43024" t="inlineStr">
        <is>
          <t>2017-08-27</t>
        </is>
      </c>
    </row>
    <row r="43025">
      <c r="A43025" s="1" t="n">
        <v>43024</v>
      </c>
      <c r="B43025">
        <f>TEXT(43024, "[$-0E0000]yyyy-mm-dd")</f>
        <v/>
      </c>
      <c r="C43025" t="inlineStr">
        <is>
          <t>2017-08-28</t>
        </is>
      </c>
    </row>
    <row r="43026">
      <c r="A43026" s="1" t="n">
        <v>43025</v>
      </c>
      <c r="B43026">
        <f>TEXT(43025, "[$-0E0000]yyyy-mm-dd")</f>
        <v/>
      </c>
      <c r="C43026" t="inlineStr">
        <is>
          <t>2017-08-29</t>
        </is>
      </c>
    </row>
    <row r="43027">
      <c r="A43027" s="1" t="n">
        <v>43026</v>
      </c>
      <c r="B43027">
        <f>TEXT(43026, "[$-0E0000]yyyy-mm-dd")</f>
        <v/>
      </c>
      <c r="C43027" t="inlineStr">
        <is>
          <t>2017-08-30</t>
        </is>
      </c>
    </row>
    <row r="43028">
      <c r="A43028" s="1" t="n">
        <v>43027</v>
      </c>
      <c r="B43028">
        <f>TEXT(43027, "[$-0E0000]yyyy-mm-dd")</f>
        <v/>
      </c>
      <c r="C43028" t="inlineStr">
        <is>
          <t>2017-09-01</t>
        </is>
      </c>
    </row>
    <row r="43029">
      <c r="A43029" s="1" t="n">
        <v>43028</v>
      </c>
      <c r="B43029">
        <f>TEXT(43028, "[$-0E0000]yyyy-mm-dd")</f>
        <v/>
      </c>
      <c r="C43029" t="inlineStr">
        <is>
          <t>2017-09-02</t>
        </is>
      </c>
    </row>
    <row r="43030">
      <c r="A43030" s="1" t="n">
        <v>43029</v>
      </c>
      <c r="B43030">
        <f>TEXT(43029, "[$-0E0000]yyyy-mm-dd")</f>
        <v/>
      </c>
      <c r="C43030" t="inlineStr">
        <is>
          <t>2017-09-03</t>
        </is>
      </c>
    </row>
    <row r="43031">
      <c r="A43031" s="1" t="n">
        <v>43030</v>
      </c>
      <c r="B43031">
        <f>TEXT(43030, "[$-0E0000]yyyy-mm-dd")</f>
        <v/>
      </c>
      <c r="C43031" t="inlineStr">
        <is>
          <t>2017-09-04</t>
        </is>
      </c>
    </row>
    <row r="43032">
      <c r="A43032" s="1" t="n">
        <v>43031</v>
      </c>
      <c r="B43032">
        <f>TEXT(43031, "[$-0E0000]yyyy-mm-dd")</f>
        <v/>
      </c>
      <c r="C43032" t="inlineStr">
        <is>
          <t>2017-09-05</t>
        </is>
      </c>
    </row>
    <row r="43033">
      <c r="A43033" s="1" t="n">
        <v>43032</v>
      </c>
      <c r="B43033">
        <f>TEXT(43032, "[$-0E0000]yyyy-mm-dd")</f>
        <v/>
      </c>
      <c r="C43033" t="inlineStr">
        <is>
          <t>2017-09-06</t>
        </is>
      </c>
    </row>
    <row r="43034">
      <c r="A43034" s="1" t="n">
        <v>43033</v>
      </c>
      <c r="B43034">
        <f>TEXT(43033, "[$-0E0000]yyyy-mm-dd")</f>
        <v/>
      </c>
      <c r="C43034" t="inlineStr">
        <is>
          <t>2017-09-07</t>
        </is>
      </c>
    </row>
    <row r="43035">
      <c r="A43035" s="1" t="n">
        <v>43034</v>
      </c>
      <c r="B43035">
        <f>TEXT(43034, "[$-0E0000]yyyy-mm-dd")</f>
        <v/>
      </c>
      <c r="C43035" t="inlineStr">
        <is>
          <t>2017-09-08</t>
        </is>
      </c>
    </row>
    <row r="43036">
      <c r="A43036" s="1" t="n">
        <v>43035</v>
      </c>
      <c r="B43036">
        <f>TEXT(43035, "[$-0E0000]yyyy-mm-dd")</f>
        <v/>
      </c>
      <c r="C43036" t="inlineStr">
        <is>
          <t>2017-09-09</t>
        </is>
      </c>
    </row>
    <row r="43037">
      <c r="A43037" s="1" t="n">
        <v>43036</v>
      </c>
      <c r="B43037">
        <f>TEXT(43036, "[$-0E0000]yyyy-mm-dd")</f>
        <v/>
      </c>
      <c r="C43037" t="inlineStr">
        <is>
          <t>2017-09-10</t>
        </is>
      </c>
    </row>
    <row r="43038">
      <c r="A43038" s="1" t="n">
        <v>43037</v>
      </c>
      <c r="B43038">
        <f>TEXT(43037, "[$-0E0000]yyyy-mm-dd")</f>
        <v/>
      </c>
      <c r="C43038" t="inlineStr">
        <is>
          <t>2017-09-11</t>
        </is>
      </c>
    </row>
    <row r="43039">
      <c r="A43039" s="1" t="n">
        <v>43038</v>
      </c>
      <c r="B43039">
        <f>TEXT(43038, "[$-0E0000]yyyy-mm-dd")</f>
        <v/>
      </c>
      <c r="C43039" t="inlineStr">
        <is>
          <t>2017-09-12</t>
        </is>
      </c>
    </row>
    <row r="43040">
      <c r="A43040" s="1" t="n">
        <v>43039</v>
      </c>
      <c r="B43040">
        <f>TEXT(43039, "[$-0E0000]yyyy-mm-dd")</f>
        <v/>
      </c>
      <c r="C43040" t="inlineStr">
        <is>
          <t>2017-09-13</t>
        </is>
      </c>
    </row>
    <row r="43041">
      <c r="A43041" s="1" t="n">
        <v>43040</v>
      </c>
      <c r="B43041">
        <f>TEXT(43040, "[$-0E0000]yyyy-mm-dd")</f>
        <v/>
      </c>
      <c r="C43041" t="inlineStr">
        <is>
          <t>2017-09-14</t>
        </is>
      </c>
    </row>
    <row r="43042">
      <c r="A43042" s="1" t="n">
        <v>43041</v>
      </c>
      <c r="B43042">
        <f>TEXT(43041, "[$-0E0000]yyyy-mm-dd")</f>
        <v/>
      </c>
      <c r="C43042" t="inlineStr">
        <is>
          <t>2017-09-15</t>
        </is>
      </c>
    </row>
    <row r="43043">
      <c r="A43043" s="1" t="n">
        <v>43042</v>
      </c>
      <c r="B43043">
        <f>TEXT(43042, "[$-0E0000]yyyy-mm-dd")</f>
        <v/>
      </c>
      <c r="C43043" t="inlineStr">
        <is>
          <t>2017-09-16</t>
        </is>
      </c>
    </row>
    <row r="43044">
      <c r="A43044" s="1" t="n">
        <v>43043</v>
      </c>
      <c r="B43044">
        <f>TEXT(43043, "[$-0E0000]yyyy-mm-dd")</f>
        <v/>
      </c>
      <c r="C43044" t="inlineStr">
        <is>
          <t>2017-09-17</t>
        </is>
      </c>
    </row>
    <row r="43045">
      <c r="A43045" s="1" t="n">
        <v>43044</v>
      </c>
      <c r="B43045">
        <f>TEXT(43044, "[$-0E0000]yyyy-mm-dd")</f>
        <v/>
      </c>
      <c r="C43045" t="inlineStr">
        <is>
          <t>2017-09-18</t>
        </is>
      </c>
    </row>
    <row r="43046">
      <c r="A43046" s="1" t="n">
        <v>43045</v>
      </c>
      <c r="B43046">
        <f>TEXT(43045, "[$-0E0000]yyyy-mm-dd")</f>
        <v/>
      </c>
      <c r="C43046" t="inlineStr">
        <is>
          <t>2017-09-19</t>
        </is>
      </c>
    </row>
    <row r="43047">
      <c r="A43047" s="1" t="n">
        <v>43046</v>
      </c>
      <c r="B43047">
        <f>TEXT(43046, "[$-0E0000]yyyy-mm-dd")</f>
        <v/>
      </c>
      <c r="C43047" t="inlineStr">
        <is>
          <t>2017-09-20</t>
        </is>
      </c>
    </row>
    <row r="43048">
      <c r="A43048" s="1" t="n">
        <v>43047</v>
      </c>
      <c r="B43048">
        <f>TEXT(43047, "[$-0E0000]yyyy-mm-dd")</f>
        <v/>
      </c>
      <c r="C43048" t="inlineStr">
        <is>
          <t>2017-09-21</t>
        </is>
      </c>
    </row>
    <row r="43049">
      <c r="A43049" s="1" t="n">
        <v>43048</v>
      </c>
      <c r="B43049">
        <f>TEXT(43048, "[$-0E0000]yyyy-mm-dd")</f>
        <v/>
      </c>
      <c r="C43049" t="inlineStr">
        <is>
          <t>2017-09-22</t>
        </is>
      </c>
    </row>
    <row r="43050">
      <c r="A43050" s="1" t="n">
        <v>43049</v>
      </c>
      <c r="B43050">
        <f>TEXT(43049, "[$-0E0000]yyyy-mm-dd")</f>
        <v/>
      </c>
      <c r="C43050" t="inlineStr">
        <is>
          <t>2017-09-23</t>
        </is>
      </c>
    </row>
    <row r="43051">
      <c r="A43051" s="1" t="n">
        <v>43050</v>
      </c>
      <c r="B43051">
        <f>TEXT(43050, "[$-0E0000]yyyy-mm-dd")</f>
        <v/>
      </c>
      <c r="C43051" t="inlineStr">
        <is>
          <t>2017-09-24</t>
        </is>
      </c>
    </row>
    <row r="43052">
      <c r="A43052" s="1" t="n">
        <v>43051</v>
      </c>
      <c r="B43052">
        <f>TEXT(43051, "[$-0E0000]yyyy-mm-dd")</f>
        <v/>
      </c>
      <c r="C43052" t="inlineStr">
        <is>
          <t>2017-09-25</t>
        </is>
      </c>
    </row>
    <row r="43053">
      <c r="A43053" s="1" t="n">
        <v>43052</v>
      </c>
      <c r="B43053">
        <f>TEXT(43052, "[$-0E0000]yyyy-mm-dd")</f>
        <v/>
      </c>
      <c r="C43053" t="inlineStr">
        <is>
          <t>2017-09-26</t>
        </is>
      </c>
    </row>
    <row r="43054">
      <c r="A43054" s="1" t="n">
        <v>43053</v>
      </c>
      <c r="B43054">
        <f>TEXT(43053, "[$-0E0000]yyyy-mm-dd")</f>
        <v/>
      </c>
      <c r="C43054" t="inlineStr">
        <is>
          <t>2017-09-27</t>
        </is>
      </c>
    </row>
    <row r="43055">
      <c r="A43055" s="1" t="n">
        <v>43054</v>
      </c>
      <c r="B43055">
        <f>TEXT(43054, "[$-0E0000]yyyy-mm-dd")</f>
        <v/>
      </c>
      <c r="C43055" t="inlineStr">
        <is>
          <t>2017-09-28</t>
        </is>
      </c>
    </row>
    <row r="43056">
      <c r="A43056" s="1" t="n">
        <v>43055</v>
      </c>
      <c r="B43056">
        <f>TEXT(43055, "[$-0E0000]yyyy-mm-dd")</f>
        <v/>
      </c>
      <c r="C43056" t="inlineStr">
        <is>
          <t>2017-09-29</t>
        </is>
      </c>
    </row>
    <row r="43057">
      <c r="A43057" s="1" t="n">
        <v>43056</v>
      </c>
      <c r="B43057">
        <f>TEXT(43056, "[$-0E0000]yyyy-mm-dd")</f>
        <v/>
      </c>
      <c r="C43057" t="inlineStr">
        <is>
          <t>2017-10-01</t>
        </is>
      </c>
    </row>
    <row r="43058">
      <c r="A43058" s="1" t="n">
        <v>43057</v>
      </c>
      <c r="B43058">
        <f>TEXT(43057, "[$-0E0000]yyyy-mm-dd")</f>
        <v/>
      </c>
      <c r="C43058" t="inlineStr">
        <is>
          <t>2017-10-02</t>
        </is>
      </c>
    </row>
    <row r="43059">
      <c r="A43059" s="1" t="n">
        <v>43058</v>
      </c>
      <c r="B43059">
        <f>TEXT(43058, "[$-0E0000]yyyy-mm-dd")</f>
        <v/>
      </c>
      <c r="C43059" t="inlineStr">
        <is>
          <t>2017-10-03</t>
        </is>
      </c>
    </row>
    <row r="43060">
      <c r="A43060" s="1" t="n">
        <v>43059</v>
      </c>
      <c r="B43060">
        <f>TEXT(43059, "[$-0E0000]yyyy-mm-dd")</f>
        <v/>
      </c>
      <c r="C43060" t="inlineStr">
        <is>
          <t>2017-10-04</t>
        </is>
      </c>
    </row>
    <row r="43061">
      <c r="A43061" s="1" t="n">
        <v>43060</v>
      </c>
      <c r="B43061">
        <f>TEXT(43060, "[$-0E0000]yyyy-mm-dd")</f>
        <v/>
      </c>
      <c r="C43061" t="inlineStr">
        <is>
          <t>2017-10-05</t>
        </is>
      </c>
    </row>
    <row r="43062">
      <c r="A43062" s="1" t="n">
        <v>43061</v>
      </c>
      <c r="B43062">
        <f>TEXT(43061, "[$-0E0000]yyyy-mm-dd")</f>
        <v/>
      </c>
      <c r="C43062" t="inlineStr">
        <is>
          <t>2017-10-06</t>
        </is>
      </c>
    </row>
    <row r="43063">
      <c r="A43063" s="1" t="n">
        <v>43062</v>
      </c>
      <c r="B43063">
        <f>TEXT(43062, "[$-0E0000]yyyy-mm-dd")</f>
        <v/>
      </c>
      <c r="C43063" t="inlineStr">
        <is>
          <t>2017-10-07</t>
        </is>
      </c>
    </row>
    <row r="43064">
      <c r="A43064" s="1" t="n">
        <v>43063</v>
      </c>
      <c r="B43064">
        <f>TEXT(43063, "[$-0E0000]yyyy-mm-dd")</f>
        <v/>
      </c>
      <c r="C43064" t="inlineStr">
        <is>
          <t>2017-10-08</t>
        </is>
      </c>
    </row>
    <row r="43065">
      <c r="A43065" s="1" t="n">
        <v>43064</v>
      </c>
      <c r="B43065">
        <f>TEXT(43064, "[$-0E0000]yyyy-mm-dd")</f>
        <v/>
      </c>
      <c r="C43065" t="inlineStr">
        <is>
          <t>2017-10-09</t>
        </is>
      </c>
    </row>
    <row r="43066">
      <c r="A43066" s="1" t="n">
        <v>43065</v>
      </c>
      <c r="B43066">
        <f>TEXT(43065, "[$-0E0000]yyyy-mm-dd")</f>
        <v/>
      </c>
      <c r="C43066" t="inlineStr">
        <is>
          <t>2017-10-10</t>
        </is>
      </c>
    </row>
    <row r="43067">
      <c r="A43067" s="1" t="n">
        <v>43066</v>
      </c>
      <c r="B43067">
        <f>TEXT(43066, "[$-0E0000]yyyy-mm-dd")</f>
        <v/>
      </c>
      <c r="C43067" t="inlineStr">
        <is>
          <t>2017-10-11</t>
        </is>
      </c>
    </row>
    <row r="43068">
      <c r="A43068" s="1" t="n">
        <v>43067</v>
      </c>
      <c r="B43068">
        <f>TEXT(43067, "[$-0E0000]yyyy-mm-dd")</f>
        <v/>
      </c>
      <c r="C43068" t="inlineStr">
        <is>
          <t>2017-10-12</t>
        </is>
      </c>
    </row>
    <row r="43069">
      <c r="A43069" s="1" t="n">
        <v>43068</v>
      </c>
      <c r="B43069">
        <f>TEXT(43068, "[$-0E0000]yyyy-mm-dd")</f>
        <v/>
      </c>
      <c r="C43069" t="inlineStr">
        <is>
          <t>2017-10-13</t>
        </is>
      </c>
    </row>
    <row r="43070">
      <c r="A43070" s="1" t="n">
        <v>43069</v>
      </c>
      <c r="B43070">
        <f>TEXT(43069, "[$-0E0000]yyyy-mm-dd")</f>
        <v/>
      </c>
      <c r="C43070" t="inlineStr">
        <is>
          <t>2017-10-14</t>
        </is>
      </c>
    </row>
    <row r="43071">
      <c r="A43071" s="1" t="n">
        <v>43070</v>
      </c>
      <c r="B43071">
        <f>TEXT(43070, "[$-0E0000]yyyy-mm-dd")</f>
        <v/>
      </c>
      <c r="C43071" t="inlineStr">
        <is>
          <t>2017-10-15</t>
        </is>
      </c>
    </row>
    <row r="43072">
      <c r="A43072" s="1" t="n">
        <v>43071</v>
      </c>
      <c r="B43072">
        <f>TEXT(43071, "[$-0E0000]yyyy-mm-dd")</f>
        <v/>
      </c>
      <c r="C43072" t="inlineStr">
        <is>
          <t>2017-10-16</t>
        </is>
      </c>
    </row>
    <row r="43073">
      <c r="A43073" s="1" t="n">
        <v>43072</v>
      </c>
      <c r="B43073">
        <f>TEXT(43072, "[$-0E0000]yyyy-mm-dd")</f>
        <v/>
      </c>
      <c r="C43073" t="inlineStr">
        <is>
          <t>2017-10-17</t>
        </is>
      </c>
    </row>
    <row r="43074">
      <c r="A43074" s="1" t="n">
        <v>43073</v>
      </c>
      <c r="B43074">
        <f>TEXT(43073, "[$-0E0000]yyyy-mm-dd")</f>
        <v/>
      </c>
      <c r="C43074" t="inlineStr">
        <is>
          <t>2017-10-18</t>
        </is>
      </c>
    </row>
    <row r="43075">
      <c r="A43075" s="1" t="n">
        <v>43074</v>
      </c>
      <c r="B43075">
        <f>TEXT(43074, "[$-0E0000]yyyy-mm-dd")</f>
        <v/>
      </c>
      <c r="C43075" t="inlineStr">
        <is>
          <t>2017-10-19</t>
        </is>
      </c>
    </row>
    <row r="43076">
      <c r="A43076" s="1" t="n">
        <v>43075</v>
      </c>
      <c r="B43076">
        <f>TEXT(43075, "[$-0E0000]yyyy-mm-dd")</f>
        <v/>
      </c>
      <c r="C43076" t="inlineStr">
        <is>
          <t>2017-10-20</t>
        </is>
      </c>
    </row>
    <row r="43077">
      <c r="A43077" s="1" t="n">
        <v>43076</v>
      </c>
      <c r="B43077">
        <f>TEXT(43076, "[$-0E0000]yyyy-mm-dd")</f>
        <v/>
      </c>
      <c r="C43077" t="inlineStr">
        <is>
          <t>2017-10-21</t>
        </is>
      </c>
    </row>
    <row r="43078">
      <c r="A43078" s="1" t="n">
        <v>43077</v>
      </c>
      <c r="B43078">
        <f>TEXT(43077, "[$-0E0000]yyyy-mm-dd")</f>
        <v/>
      </c>
      <c r="C43078" t="inlineStr">
        <is>
          <t>2017-10-22</t>
        </is>
      </c>
    </row>
    <row r="43079">
      <c r="A43079" s="1" t="n">
        <v>43078</v>
      </c>
      <c r="B43079">
        <f>TEXT(43078, "[$-0E0000]yyyy-mm-dd")</f>
        <v/>
      </c>
      <c r="C43079" t="inlineStr">
        <is>
          <t>2017-10-23</t>
        </is>
      </c>
    </row>
    <row r="43080">
      <c r="A43080" s="1" t="n">
        <v>43079</v>
      </c>
      <c r="B43080">
        <f>TEXT(43079, "[$-0E0000]yyyy-mm-dd")</f>
        <v/>
      </c>
      <c r="C43080" t="inlineStr">
        <is>
          <t>2017-10-24</t>
        </is>
      </c>
    </row>
    <row r="43081">
      <c r="A43081" s="1" t="n">
        <v>43080</v>
      </c>
      <c r="B43081">
        <f>TEXT(43080, "[$-0E0000]yyyy-mm-dd")</f>
        <v/>
      </c>
      <c r="C43081" t="inlineStr">
        <is>
          <t>2017-10-25</t>
        </is>
      </c>
    </row>
    <row r="43082">
      <c r="A43082" s="1" t="n">
        <v>43081</v>
      </c>
      <c r="B43082">
        <f>TEXT(43081, "[$-0E0000]yyyy-mm-dd")</f>
        <v/>
      </c>
      <c r="C43082" t="inlineStr">
        <is>
          <t>2017-10-26</t>
        </is>
      </c>
    </row>
    <row r="43083">
      <c r="A43083" s="1" t="n">
        <v>43082</v>
      </c>
      <c r="B43083">
        <f>TEXT(43082, "[$-0E0000]yyyy-mm-dd")</f>
        <v/>
      </c>
      <c r="C43083" t="inlineStr">
        <is>
          <t>2017-10-27</t>
        </is>
      </c>
    </row>
    <row r="43084">
      <c r="A43084" s="1" t="n">
        <v>43083</v>
      </c>
      <c r="B43084">
        <f>TEXT(43083, "[$-0E0000]yyyy-mm-dd")</f>
        <v/>
      </c>
      <c r="C43084" t="inlineStr">
        <is>
          <t>2017-10-28</t>
        </is>
      </c>
    </row>
    <row r="43085">
      <c r="A43085" s="1" t="n">
        <v>43084</v>
      </c>
      <c r="B43085">
        <f>TEXT(43084, "[$-0E0000]yyyy-mm-dd")</f>
        <v/>
      </c>
      <c r="C43085" t="inlineStr">
        <is>
          <t>2017-10-29</t>
        </is>
      </c>
    </row>
    <row r="43086">
      <c r="A43086" s="1" t="n">
        <v>43085</v>
      </c>
      <c r="B43086">
        <f>TEXT(43085, "[$-0E0000]yyyy-mm-dd")</f>
        <v/>
      </c>
      <c r="C43086" t="inlineStr">
        <is>
          <t>2017-10-30</t>
        </is>
      </c>
    </row>
    <row r="43087">
      <c r="A43087" s="1" t="n">
        <v>43086</v>
      </c>
      <c r="B43087">
        <f>TEXT(43086, "[$-0E0000]yyyy-mm-dd")</f>
        <v/>
      </c>
      <c r="C43087" t="inlineStr">
        <is>
          <t>2017-11-01</t>
        </is>
      </c>
    </row>
    <row r="43088">
      <c r="A43088" s="1" t="n">
        <v>43087</v>
      </c>
      <c r="B43088">
        <f>TEXT(43087, "[$-0E0000]yyyy-mm-dd")</f>
        <v/>
      </c>
      <c r="C43088" t="inlineStr">
        <is>
          <t>2017-11-02</t>
        </is>
      </c>
    </row>
    <row r="43089">
      <c r="A43089" s="1" t="n">
        <v>43088</v>
      </c>
      <c r="B43089">
        <f>TEXT(43088, "[$-0E0000]yyyy-mm-dd")</f>
        <v/>
      </c>
      <c r="C43089" t="inlineStr">
        <is>
          <t>2017-11-03</t>
        </is>
      </c>
    </row>
    <row r="43090">
      <c r="A43090" s="1" t="n">
        <v>43089</v>
      </c>
      <c r="B43090">
        <f>TEXT(43089, "[$-0E0000]yyyy-mm-dd")</f>
        <v/>
      </c>
      <c r="C43090" t="inlineStr">
        <is>
          <t>2017-11-04</t>
        </is>
      </c>
    </row>
    <row r="43091">
      <c r="A43091" s="1" t="n">
        <v>43090</v>
      </c>
      <c r="B43091">
        <f>TEXT(43090, "[$-0E0000]yyyy-mm-dd")</f>
        <v/>
      </c>
      <c r="C43091" t="inlineStr">
        <is>
          <t>2017-11-05</t>
        </is>
      </c>
    </row>
    <row r="43092">
      <c r="A43092" s="1" t="n">
        <v>43091</v>
      </c>
      <c r="B43092">
        <f>TEXT(43091, "[$-0E0000]yyyy-mm-dd")</f>
        <v/>
      </c>
      <c r="C43092" t="inlineStr">
        <is>
          <t>2017-11-06</t>
        </is>
      </c>
    </row>
    <row r="43093">
      <c r="A43093" s="1" t="n">
        <v>43092</v>
      </c>
      <c r="B43093">
        <f>TEXT(43092, "[$-0E0000]yyyy-mm-dd")</f>
        <v/>
      </c>
      <c r="C43093" t="inlineStr">
        <is>
          <t>2017-11-07</t>
        </is>
      </c>
    </row>
    <row r="43094">
      <c r="A43094" s="1" t="n">
        <v>43093</v>
      </c>
      <c r="B43094">
        <f>TEXT(43093, "[$-0E0000]yyyy-mm-dd")</f>
        <v/>
      </c>
      <c r="C43094" t="inlineStr">
        <is>
          <t>2017-11-08</t>
        </is>
      </c>
    </row>
    <row r="43095">
      <c r="A43095" s="1" t="n">
        <v>43094</v>
      </c>
      <c r="B43095">
        <f>TEXT(43094, "[$-0E0000]yyyy-mm-dd")</f>
        <v/>
      </c>
      <c r="C43095" t="inlineStr">
        <is>
          <t>2017-11-09</t>
        </is>
      </c>
    </row>
    <row r="43096">
      <c r="A43096" s="1" t="n">
        <v>43095</v>
      </c>
      <c r="B43096">
        <f>TEXT(43095, "[$-0E0000]yyyy-mm-dd")</f>
        <v/>
      </c>
      <c r="C43096" t="inlineStr">
        <is>
          <t>2017-11-10</t>
        </is>
      </c>
    </row>
    <row r="43097">
      <c r="A43097" s="1" t="n">
        <v>43096</v>
      </c>
      <c r="B43097">
        <f>TEXT(43096, "[$-0E0000]yyyy-mm-dd")</f>
        <v/>
      </c>
      <c r="C43097" t="inlineStr">
        <is>
          <t>2017-11-11</t>
        </is>
      </c>
    </row>
    <row r="43098">
      <c r="A43098" s="1" t="n">
        <v>43097</v>
      </c>
      <c r="B43098">
        <f>TEXT(43097, "[$-0E0000]yyyy-mm-dd")</f>
        <v/>
      </c>
      <c r="C43098" t="inlineStr">
        <is>
          <t>2017-11-12</t>
        </is>
      </c>
    </row>
    <row r="43099">
      <c r="A43099" s="1" t="n">
        <v>43098</v>
      </c>
      <c r="B43099">
        <f>TEXT(43098, "[$-0E0000]yyyy-mm-dd")</f>
        <v/>
      </c>
      <c r="C43099" t="inlineStr">
        <is>
          <t>2017-11-13</t>
        </is>
      </c>
    </row>
    <row r="43100">
      <c r="A43100" s="1" t="n">
        <v>43099</v>
      </c>
      <c r="B43100">
        <f>TEXT(43099, "[$-0E0000]yyyy-mm-dd")</f>
        <v/>
      </c>
      <c r="C43100" t="inlineStr">
        <is>
          <t>2017-11-14</t>
        </is>
      </c>
    </row>
    <row r="43101">
      <c r="A43101" s="1" t="n">
        <v>43100</v>
      </c>
      <c r="B43101">
        <f>TEXT(43100, "[$-0E0000]yyyy-mm-dd")</f>
        <v/>
      </c>
      <c r="C43101" t="inlineStr">
        <is>
          <t>2017-11-15</t>
        </is>
      </c>
    </row>
    <row r="43102">
      <c r="A43102" s="1" t="n">
        <v>43101</v>
      </c>
      <c r="B43102">
        <f>TEXT(43101, "[$-0E0000]yyyy-mm-dd")</f>
        <v/>
      </c>
      <c r="C43102" t="inlineStr">
        <is>
          <t>2017-11-16</t>
        </is>
      </c>
    </row>
    <row r="43103">
      <c r="A43103" s="1" t="n">
        <v>43102</v>
      </c>
      <c r="B43103">
        <f>TEXT(43102, "[$-0E0000]yyyy-mm-dd")</f>
        <v/>
      </c>
      <c r="C43103" t="inlineStr">
        <is>
          <t>2017-11-17</t>
        </is>
      </c>
    </row>
    <row r="43104">
      <c r="A43104" s="1" t="n">
        <v>43103</v>
      </c>
      <c r="B43104">
        <f>TEXT(43103, "[$-0E0000]yyyy-mm-dd")</f>
        <v/>
      </c>
      <c r="C43104" t="inlineStr">
        <is>
          <t>2017-11-18</t>
        </is>
      </c>
    </row>
    <row r="43105">
      <c r="A43105" s="1" t="n">
        <v>43104</v>
      </c>
      <c r="B43105">
        <f>TEXT(43104, "[$-0E0000]yyyy-mm-dd")</f>
        <v/>
      </c>
      <c r="C43105" t="inlineStr">
        <is>
          <t>2017-11-19</t>
        </is>
      </c>
    </row>
    <row r="43106">
      <c r="A43106" s="1" t="n">
        <v>43105</v>
      </c>
      <c r="B43106">
        <f>TEXT(43105, "[$-0E0000]yyyy-mm-dd")</f>
        <v/>
      </c>
      <c r="C43106" t="inlineStr">
        <is>
          <t>2017-11-20</t>
        </is>
      </c>
    </row>
    <row r="43107">
      <c r="A43107" s="1" t="n">
        <v>43106</v>
      </c>
      <c r="B43107">
        <f>TEXT(43106, "[$-0E0000]yyyy-mm-dd")</f>
        <v/>
      </c>
      <c r="C43107" t="inlineStr">
        <is>
          <t>2017-11-21</t>
        </is>
      </c>
    </row>
    <row r="43108">
      <c r="A43108" s="1" t="n">
        <v>43107</v>
      </c>
      <c r="B43108">
        <f>TEXT(43107, "[$-0E0000]yyyy-mm-dd")</f>
        <v/>
      </c>
      <c r="C43108" t="inlineStr">
        <is>
          <t>2017-11-22</t>
        </is>
      </c>
    </row>
    <row r="43109">
      <c r="A43109" s="1" t="n">
        <v>43108</v>
      </c>
      <c r="B43109">
        <f>TEXT(43108, "[$-0E0000]yyyy-mm-dd")</f>
        <v/>
      </c>
      <c r="C43109" t="inlineStr">
        <is>
          <t>2017-11-23</t>
        </is>
      </c>
    </row>
    <row r="43110">
      <c r="A43110" s="1" t="n">
        <v>43109</v>
      </c>
      <c r="B43110">
        <f>TEXT(43109, "[$-0E0000]yyyy-mm-dd")</f>
        <v/>
      </c>
      <c r="C43110" t="inlineStr">
        <is>
          <t>2017-11-24</t>
        </is>
      </c>
    </row>
    <row r="43111">
      <c r="A43111" s="1" t="n">
        <v>43110</v>
      </c>
      <c r="B43111">
        <f>TEXT(43110, "[$-0E0000]yyyy-mm-dd")</f>
        <v/>
      </c>
      <c r="C43111" t="inlineStr">
        <is>
          <t>2017-11-25</t>
        </is>
      </c>
    </row>
    <row r="43112">
      <c r="A43112" s="1" t="n">
        <v>43111</v>
      </c>
      <c r="B43112">
        <f>TEXT(43111, "[$-0E0000]yyyy-mm-dd")</f>
        <v/>
      </c>
      <c r="C43112" t="inlineStr">
        <is>
          <t>2017-11-26</t>
        </is>
      </c>
    </row>
    <row r="43113">
      <c r="A43113" s="1" t="n">
        <v>43112</v>
      </c>
      <c r="B43113">
        <f>TEXT(43112, "[$-0E0000]yyyy-mm-dd")</f>
        <v/>
      </c>
      <c r="C43113" t="inlineStr">
        <is>
          <t>2017-11-27</t>
        </is>
      </c>
    </row>
    <row r="43114">
      <c r="A43114" s="1" t="n">
        <v>43113</v>
      </c>
      <c r="B43114">
        <f>TEXT(43113, "[$-0E0000]yyyy-mm-dd")</f>
        <v/>
      </c>
      <c r="C43114" t="inlineStr">
        <is>
          <t>2017-11-28</t>
        </is>
      </c>
    </row>
    <row r="43115">
      <c r="A43115" s="1" t="n">
        <v>43114</v>
      </c>
      <c r="B43115">
        <f>TEXT(43114, "[$-0E0000]yyyy-mm-dd")</f>
        <v/>
      </c>
      <c r="C43115" t="inlineStr">
        <is>
          <t>2017-11-29</t>
        </is>
      </c>
    </row>
    <row r="43116">
      <c r="A43116" s="1" t="n">
        <v>43115</v>
      </c>
      <c r="B43116">
        <f>TEXT(43115, "[$-0E0000]yyyy-mm-dd")</f>
        <v/>
      </c>
      <c r="C43116" t="inlineStr">
        <is>
          <t>2017-11-30</t>
        </is>
      </c>
    </row>
    <row r="43117">
      <c r="A43117" s="1" t="n">
        <v>43116</v>
      </c>
      <c r="B43117">
        <f>TEXT(43116, "[$-0E0000]yyyy-mm-dd")</f>
        <v/>
      </c>
      <c r="C43117" t="inlineStr">
        <is>
          <t>2017-12-01</t>
        </is>
      </c>
    </row>
    <row r="43118">
      <c r="A43118" s="1" t="n">
        <v>43117</v>
      </c>
      <c r="B43118">
        <f>TEXT(43117, "[$-0E0000]yyyy-mm-dd")</f>
        <v/>
      </c>
      <c r="C43118" t="inlineStr">
        <is>
          <t>2017-12-02</t>
        </is>
      </c>
    </row>
    <row r="43119">
      <c r="A43119" s="1" t="n">
        <v>43118</v>
      </c>
      <c r="B43119">
        <f>TEXT(43118, "[$-0E0000]yyyy-mm-dd")</f>
        <v/>
      </c>
      <c r="C43119" t="inlineStr">
        <is>
          <t>2017-12-03</t>
        </is>
      </c>
    </row>
    <row r="43120">
      <c r="A43120" s="1" t="n">
        <v>43119</v>
      </c>
      <c r="B43120">
        <f>TEXT(43119, "[$-0E0000]yyyy-mm-dd")</f>
        <v/>
      </c>
      <c r="C43120" t="inlineStr">
        <is>
          <t>2017-12-04</t>
        </is>
      </c>
    </row>
    <row r="43121">
      <c r="A43121" s="1" t="n">
        <v>43120</v>
      </c>
      <c r="B43121">
        <f>TEXT(43120, "[$-0E0000]yyyy-mm-dd")</f>
        <v/>
      </c>
      <c r="C43121" t="inlineStr">
        <is>
          <t>2017-12-05</t>
        </is>
      </c>
    </row>
    <row r="43122">
      <c r="A43122" s="1" t="n">
        <v>43121</v>
      </c>
      <c r="B43122">
        <f>TEXT(43121, "[$-0E0000]yyyy-mm-dd")</f>
        <v/>
      </c>
      <c r="C43122" t="inlineStr">
        <is>
          <t>2017-12-06</t>
        </is>
      </c>
    </row>
    <row r="43123">
      <c r="A43123" s="1" t="n">
        <v>43122</v>
      </c>
      <c r="B43123">
        <f>TEXT(43122, "[$-0E0000]yyyy-mm-dd")</f>
        <v/>
      </c>
      <c r="C43123" t="inlineStr">
        <is>
          <t>2017-12-07</t>
        </is>
      </c>
    </row>
    <row r="43124">
      <c r="A43124" s="1" t="n">
        <v>43123</v>
      </c>
      <c r="B43124">
        <f>TEXT(43123, "[$-0E0000]yyyy-mm-dd")</f>
        <v/>
      </c>
      <c r="C43124" t="inlineStr">
        <is>
          <t>2017-12-08</t>
        </is>
      </c>
    </row>
    <row r="43125">
      <c r="A43125" s="1" t="n">
        <v>43124</v>
      </c>
      <c r="B43125">
        <f>TEXT(43124, "[$-0E0000]yyyy-mm-dd")</f>
        <v/>
      </c>
      <c r="C43125" t="inlineStr">
        <is>
          <t>2017-12-09</t>
        </is>
      </c>
    </row>
    <row r="43126">
      <c r="A43126" s="1" t="n">
        <v>43125</v>
      </c>
      <c r="B43126">
        <f>TEXT(43125, "[$-0E0000]yyyy-mm-dd")</f>
        <v/>
      </c>
      <c r="C43126" t="inlineStr">
        <is>
          <t>2017-12-10</t>
        </is>
      </c>
    </row>
    <row r="43127">
      <c r="A43127" s="1" t="n">
        <v>43126</v>
      </c>
      <c r="B43127">
        <f>TEXT(43126, "[$-0E0000]yyyy-mm-dd")</f>
        <v/>
      </c>
      <c r="C43127" t="inlineStr">
        <is>
          <t>2017-12-11</t>
        </is>
      </c>
    </row>
    <row r="43128">
      <c r="A43128" s="1" t="n">
        <v>43127</v>
      </c>
      <c r="B43128">
        <f>TEXT(43127, "[$-0E0000]yyyy-mm-dd")</f>
        <v/>
      </c>
      <c r="C43128" t="inlineStr">
        <is>
          <t>2017-12-12</t>
        </is>
      </c>
    </row>
    <row r="43129">
      <c r="A43129" s="1" t="n">
        <v>43128</v>
      </c>
      <c r="B43129">
        <f>TEXT(43128, "[$-0E0000]yyyy-mm-dd")</f>
        <v/>
      </c>
      <c r="C43129" t="inlineStr">
        <is>
          <t>2017-12-13</t>
        </is>
      </c>
    </row>
    <row r="43130">
      <c r="A43130" s="1" t="n">
        <v>43129</v>
      </c>
      <c r="B43130">
        <f>TEXT(43129, "[$-0E0000]yyyy-mm-dd")</f>
        <v/>
      </c>
      <c r="C43130" t="inlineStr">
        <is>
          <t>2017-12-14</t>
        </is>
      </c>
    </row>
    <row r="43131">
      <c r="A43131" s="1" t="n">
        <v>43130</v>
      </c>
      <c r="B43131">
        <f>TEXT(43130, "[$-0E0000]yyyy-mm-dd")</f>
        <v/>
      </c>
      <c r="C43131" t="inlineStr">
        <is>
          <t>2017-12-15</t>
        </is>
      </c>
    </row>
    <row r="43132">
      <c r="A43132" s="1" t="n">
        <v>43131</v>
      </c>
      <c r="B43132">
        <f>TEXT(43131, "[$-0E0000]yyyy-mm-dd")</f>
        <v/>
      </c>
      <c r="C43132" t="inlineStr">
        <is>
          <t>2017-12-16</t>
        </is>
      </c>
    </row>
    <row r="43133">
      <c r="A43133" s="1" t="n">
        <v>43132</v>
      </c>
      <c r="B43133">
        <f>TEXT(43132, "[$-0E0000]yyyy-mm-dd")</f>
        <v/>
      </c>
      <c r="C43133" t="inlineStr">
        <is>
          <t>2017-12-17</t>
        </is>
      </c>
    </row>
    <row r="43134">
      <c r="A43134" s="1" t="n">
        <v>43133</v>
      </c>
      <c r="B43134">
        <f>TEXT(43133, "[$-0E0000]yyyy-mm-dd")</f>
        <v/>
      </c>
      <c r="C43134" t="inlineStr">
        <is>
          <t>2017-12-18</t>
        </is>
      </c>
    </row>
    <row r="43135">
      <c r="A43135" s="1" t="n">
        <v>43134</v>
      </c>
      <c r="B43135">
        <f>TEXT(43134, "[$-0E0000]yyyy-mm-dd")</f>
        <v/>
      </c>
      <c r="C43135" t="inlineStr">
        <is>
          <t>2017-12-19</t>
        </is>
      </c>
    </row>
    <row r="43136">
      <c r="A43136" s="1" t="n">
        <v>43135</v>
      </c>
      <c r="B43136">
        <f>TEXT(43135, "[$-0E0000]yyyy-mm-dd")</f>
        <v/>
      </c>
      <c r="C43136" t="inlineStr">
        <is>
          <t>2017-12-20</t>
        </is>
      </c>
    </row>
    <row r="43137">
      <c r="A43137" s="1" t="n">
        <v>43136</v>
      </c>
      <c r="B43137">
        <f>TEXT(43136, "[$-0E0000]yyyy-mm-dd")</f>
        <v/>
      </c>
      <c r="C43137" t="inlineStr">
        <is>
          <t>2017-12-21</t>
        </is>
      </c>
    </row>
    <row r="43138">
      <c r="A43138" s="1" t="n">
        <v>43137</v>
      </c>
      <c r="B43138">
        <f>TEXT(43137, "[$-0E0000]yyyy-mm-dd")</f>
        <v/>
      </c>
      <c r="C43138" t="inlineStr">
        <is>
          <t>2017-12-22</t>
        </is>
      </c>
    </row>
    <row r="43139">
      <c r="A43139" s="1" t="n">
        <v>43138</v>
      </c>
      <c r="B43139">
        <f>TEXT(43138, "[$-0E0000]yyyy-mm-dd")</f>
        <v/>
      </c>
      <c r="C43139" t="inlineStr">
        <is>
          <t>2017-12-23</t>
        </is>
      </c>
    </row>
    <row r="43140">
      <c r="A43140" s="1" t="n">
        <v>43139</v>
      </c>
      <c r="B43140">
        <f>TEXT(43139, "[$-0E0000]yyyy-mm-dd")</f>
        <v/>
      </c>
      <c r="C43140" t="inlineStr">
        <is>
          <t>2017-12-24</t>
        </is>
      </c>
    </row>
    <row r="43141">
      <c r="A43141" s="1" t="n">
        <v>43140</v>
      </c>
      <c r="B43141">
        <f>TEXT(43140, "[$-0E0000]yyyy-mm-dd")</f>
        <v/>
      </c>
      <c r="C43141" t="inlineStr">
        <is>
          <t>2017-12-25</t>
        </is>
      </c>
    </row>
    <row r="43142">
      <c r="A43142" s="1" t="n">
        <v>43141</v>
      </c>
      <c r="B43142">
        <f>TEXT(43141, "[$-0E0000]yyyy-mm-dd")</f>
        <v/>
      </c>
      <c r="C43142" t="inlineStr">
        <is>
          <t>2017-12-26</t>
        </is>
      </c>
    </row>
    <row r="43143">
      <c r="A43143" s="1" t="n">
        <v>43142</v>
      </c>
      <c r="B43143">
        <f>TEXT(43142, "[$-0E0000]yyyy-mm-dd")</f>
        <v/>
      </c>
      <c r="C43143" t="inlineStr">
        <is>
          <t>2017-12-27</t>
        </is>
      </c>
    </row>
    <row r="43144">
      <c r="A43144" s="1" t="n">
        <v>43143</v>
      </c>
      <c r="B43144">
        <f>TEXT(43143, "[$-0E0000]yyyy-mm-dd")</f>
        <v/>
      </c>
      <c r="C43144" t="inlineStr">
        <is>
          <t>2017-12-28</t>
        </is>
      </c>
    </row>
    <row r="43145">
      <c r="A43145" s="1" t="n">
        <v>43144</v>
      </c>
      <c r="B43145">
        <f>TEXT(43144, "[$-0E0000]yyyy-mm-dd")</f>
        <v/>
      </c>
      <c r="C43145" t="inlineStr">
        <is>
          <t>2017-12-29</t>
        </is>
      </c>
    </row>
    <row r="43146">
      <c r="A43146" s="1" t="n">
        <v>43145</v>
      </c>
      <c r="B43146">
        <f>TEXT(43145, "[$-0E0000]yyyy-mm-dd")</f>
        <v/>
      </c>
      <c r="C43146" t="inlineStr">
        <is>
          <t>2017-12-30</t>
        </is>
      </c>
    </row>
    <row r="43147">
      <c r="A43147" s="1" t="n">
        <v>43146</v>
      </c>
      <c r="B43147">
        <f>TEXT(43146, "[$-0E0000]yyyy-mm-dd")</f>
        <v/>
      </c>
      <c r="C43147" t="inlineStr">
        <is>
          <t>2018-01-01</t>
        </is>
      </c>
    </row>
    <row r="43148">
      <c r="A43148" s="1" t="n">
        <v>43147</v>
      </c>
      <c r="B43148">
        <f>TEXT(43147, "[$-0E0000]yyyy-mm-dd")</f>
        <v/>
      </c>
      <c r="C43148" t="inlineStr">
        <is>
          <t>2018-01-02</t>
        </is>
      </c>
    </row>
    <row r="43149">
      <c r="A43149" s="1" t="n">
        <v>43148</v>
      </c>
      <c r="B43149">
        <f>TEXT(43148, "[$-0E0000]yyyy-mm-dd")</f>
        <v/>
      </c>
      <c r="C43149" t="inlineStr">
        <is>
          <t>2018-01-03</t>
        </is>
      </c>
    </row>
    <row r="43150">
      <c r="A43150" s="1" t="n">
        <v>43149</v>
      </c>
      <c r="B43150">
        <f>TEXT(43149, "[$-0E0000]yyyy-mm-dd")</f>
        <v/>
      </c>
      <c r="C43150" t="inlineStr">
        <is>
          <t>2018-01-04</t>
        </is>
      </c>
    </row>
    <row r="43151">
      <c r="A43151" s="1" t="n">
        <v>43150</v>
      </c>
      <c r="B43151">
        <f>TEXT(43150, "[$-0E0000]yyyy-mm-dd")</f>
        <v/>
      </c>
      <c r="C43151" t="inlineStr">
        <is>
          <t>2018-01-05</t>
        </is>
      </c>
    </row>
    <row r="43152">
      <c r="A43152" s="1" t="n">
        <v>43151</v>
      </c>
      <c r="B43152">
        <f>TEXT(43151, "[$-0E0000]yyyy-mm-dd")</f>
        <v/>
      </c>
      <c r="C43152" t="inlineStr">
        <is>
          <t>2018-01-06</t>
        </is>
      </c>
    </row>
    <row r="43153">
      <c r="A43153" s="1" t="n">
        <v>43152</v>
      </c>
      <c r="B43153">
        <f>TEXT(43152, "[$-0E0000]yyyy-mm-dd")</f>
        <v/>
      </c>
      <c r="C43153" t="inlineStr">
        <is>
          <t>2018-01-07</t>
        </is>
      </c>
    </row>
    <row r="43154">
      <c r="A43154" s="1" t="n">
        <v>43153</v>
      </c>
      <c r="B43154">
        <f>TEXT(43153, "[$-0E0000]yyyy-mm-dd")</f>
        <v/>
      </c>
      <c r="C43154" t="inlineStr">
        <is>
          <t>2018-01-08</t>
        </is>
      </c>
    </row>
    <row r="43155">
      <c r="A43155" s="1" t="n">
        <v>43154</v>
      </c>
      <c r="B43155">
        <f>TEXT(43154, "[$-0E0000]yyyy-mm-dd")</f>
        <v/>
      </c>
      <c r="C43155" t="inlineStr">
        <is>
          <t>2018-01-09</t>
        </is>
      </c>
    </row>
    <row r="43156">
      <c r="A43156" s="1" t="n">
        <v>43155</v>
      </c>
      <c r="B43156">
        <f>TEXT(43155, "[$-0E0000]yyyy-mm-dd")</f>
        <v/>
      </c>
      <c r="C43156" t="inlineStr">
        <is>
          <t>2018-01-10</t>
        </is>
      </c>
    </row>
    <row r="43157">
      <c r="A43157" s="1" t="n">
        <v>43156</v>
      </c>
      <c r="B43157">
        <f>TEXT(43156, "[$-0E0000]yyyy-mm-dd")</f>
        <v/>
      </c>
      <c r="C43157" t="inlineStr">
        <is>
          <t>2018-01-11</t>
        </is>
      </c>
    </row>
    <row r="43158">
      <c r="A43158" s="1" t="n">
        <v>43157</v>
      </c>
      <c r="B43158">
        <f>TEXT(43157, "[$-0E0000]yyyy-mm-dd")</f>
        <v/>
      </c>
      <c r="C43158" t="inlineStr">
        <is>
          <t>2018-01-12</t>
        </is>
      </c>
    </row>
    <row r="43159">
      <c r="A43159" s="1" t="n">
        <v>43158</v>
      </c>
      <c r="B43159">
        <f>TEXT(43158, "[$-0E0000]yyyy-mm-dd")</f>
        <v/>
      </c>
      <c r="C43159" t="inlineStr">
        <is>
          <t>2018-01-13</t>
        </is>
      </c>
    </row>
    <row r="43160">
      <c r="A43160" s="1" t="n">
        <v>43159</v>
      </c>
      <c r="B43160">
        <f>TEXT(43159, "[$-0E0000]yyyy-mm-dd")</f>
        <v/>
      </c>
      <c r="C43160" t="inlineStr">
        <is>
          <t>2018-01-14</t>
        </is>
      </c>
    </row>
    <row r="43161">
      <c r="A43161" s="1" t="n">
        <v>43160</v>
      </c>
      <c r="B43161">
        <f>TEXT(43160, "[$-0E0000]yyyy-mm-dd")</f>
        <v/>
      </c>
      <c r="C43161" t="inlineStr">
        <is>
          <t>2018-01-15</t>
        </is>
      </c>
    </row>
    <row r="43162">
      <c r="A43162" s="1" t="n">
        <v>43161</v>
      </c>
      <c r="B43162">
        <f>TEXT(43161, "[$-0E0000]yyyy-mm-dd")</f>
        <v/>
      </c>
      <c r="C43162" t="inlineStr">
        <is>
          <t>2018-01-16</t>
        </is>
      </c>
    </row>
    <row r="43163">
      <c r="A43163" s="1" t="n">
        <v>43162</v>
      </c>
      <c r="B43163">
        <f>TEXT(43162, "[$-0E0000]yyyy-mm-dd")</f>
        <v/>
      </c>
      <c r="C43163" t="inlineStr">
        <is>
          <t>2018-01-17</t>
        </is>
      </c>
    </row>
    <row r="43164">
      <c r="A43164" s="1" t="n">
        <v>43163</v>
      </c>
      <c r="B43164">
        <f>TEXT(43163, "[$-0E0000]yyyy-mm-dd")</f>
        <v/>
      </c>
      <c r="C43164" t="inlineStr">
        <is>
          <t>2018-01-18</t>
        </is>
      </c>
    </row>
    <row r="43165">
      <c r="A43165" s="1" t="n">
        <v>43164</v>
      </c>
      <c r="B43165">
        <f>TEXT(43164, "[$-0E0000]yyyy-mm-dd")</f>
        <v/>
      </c>
      <c r="C43165" t="inlineStr">
        <is>
          <t>2018-01-19</t>
        </is>
      </c>
    </row>
    <row r="43166">
      <c r="A43166" s="1" t="n">
        <v>43165</v>
      </c>
      <c r="B43166">
        <f>TEXT(43165, "[$-0E0000]yyyy-mm-dd")</f>
        <v/>
      </c>
      <c r="C43166" t="inlineStr">
        <is>
          <t>2018-01-20</t>
        </is>
      </c>
    </row>
    <row r="43167">
      <c r="A43167" s="1" t="n">
        <v>43166</v>
      </c>
      <c r="B43167">
        <f>TEXT(43166, "[$-0E0000]yyyy-mm-dd")</f>
        <v/>
      </c>
      <c r="C43167" t="inlineStr">
        <is>
          <t>2018-01-21</t>
        </is>
      </c>
    </row>
    <row r="43168">
      <c r="A43168" s="1" t="n">
        <v>43167</v>
      </c>
      <c r="B43168">
        <f>TEXT(43167, "[$-0E0000]yyyy-mm-dd")</f>
        <v/>
      </c>
      <c r="C43168" t="inlineStr">
        <is>
          <t>2018-01-22</t>
        </is>
      </c>
    </row>
    <row r="43169">
      <c r="A43169" s="1" t="n">
        <v>43168</v>
      </c>
      <c r="B43169">
        <f>TEXT(43168, "[$-0E0000]yyyy-mm-dd")</f>
        <v/>
      </c>
      <c r="C43169" t="inlineStr">
        <is>
          <t>2018-01-23</t>
        </is>
      </c>
    </row>
    <row r="43170">
      <c r="A43170" s="1" t="n">
        <v>43169</v>
      </c>
      <c r="B43170">
        <f>TEXT(43169, "[$-0E0000]yyyy-mm-dd")</f>
        <v/>
      </c>
      <c r="C43170" t="inlineStr">
        <is>
          <t>2018-01-24</t>
        </is>
      </c>
    </row>
    <row r="43171">
      <c r="A43171" s="1" t="n">
        <v>43170</v>
      </c>
      <c r="B43171">
        <f>TEXT(43170, "[$-0E0000]yyyy-mm-dd")</f>
        <v/>
      </c>
      <c r="C43171" t="inlineStr">
        <is>
          <t>2018-01-25</t>
        </is>
      </c>
    </row>
    <row r="43172">
      <c r="A43172" s="1" t="n">
        <v>43171</v>
      </c>
      <c r="B43172">
        <f>TEXT(43171, "[$-0E0000]yyyy-mm-dd")</f>
        <v/>
      </c>
      <c r="C43172" t="inlineStr">
        <is>
          <t>2018-01-26</t>
        </is>
      </c>
    </row>
    <row r="43173">
      <c r="A43173" s="1" t="n">
        <v>43172</v>
      </c>
      <c r="B43173">
        <f>TEXT(43172, "[$-0E0000]yyyy-mm-dd")</f>
        <v/>
      </c>
      <c r="C43173" t="inlineStr">
        <is>
          <t>2018-01-27</t>
        </is>
      </c>
    </row>
    <row r="43174">
      <c r="A43174" s="1" t="n">
        <v>43173</v>
      </c>
      <c r="B43174">
        <f>TEXT(43173, "[$-0E0000]yyyy-mm-dd")</f>
        <v/>
      </c>
      <c r="C43174" t="inlineStr">
        <is>
          <t>2018-01-28</t>
        </is>
      </c>
    </row>
    <row r="43175">
      <c r="A43175" s="1" t="n">
        <v>43174</v>
      </c>
      <c r="B43175">
        <f>TEXT(43174, "[$-0E0000]yyyy-mm-dd")</f>
        <v/>
      </c>
      <c r="C43175" t="inlineStr">
        <is>
          <t>2018-01-29</t>
        </is>
      </c>
    </row>
    <row r="43176">
      <c r="A43176" s="1" t="n">
        <v>43175</v>
      </c>
      <c r="B43176">
        <f>TEXT(43175, "[$-0E0000]yyyy-mm-dd")</f>
        <v/>
      </c>
      <c r="C43176" t="inlineStr">
        <is>
          <t>2018-02-01</t>
        </is>
      </c>
    </row>
    <row r="43177">
      <c r="A43177" s="1" t="n">
        <v>43176</v>
      </c>
      <c r="B43177">
        <f>TEXT(43176, "[$-0E0000]yyyy-mm-dd")</f>
        <v/>
      </c>
      <c r="C43177" t="inlineStr">
        <is>
          <t>2018-02-02</t>
        </is>
      </c>
    </row>
    <row r="43178">
      <c r="A43178" s="1" t="n">
        <v>43177</v>
      </c>
      <c r="B43178">
        <f>TEXT(43177, "[$-0E0000]yyyy-mm-dd")</f>
        <v/>
      </c>
      <c r="C43178" t="inlineStr">
        <is>
          <t>2018-02-03</t>
        </is>
      </c>
    </row>
    <row r="43179">
      <c r="A43179" s="1" t="n">
        <v>43178</v>
      </c>
      <c r="B43179">
        <f>TEXT(43178, "[$-0E0000]yyyy-mm-dd")</f>
        <v/>
      </c>
      <c r="C43179" t="inlineStr">
        <is>
          <t>2018-02-04</t>
        </is>
      </c>
    </row>
    <row r="43180">
      <c r="A43180" s="1" t="n">
        <v>43179</v>
      </c>
      <c r="B43180">
        <f>TEXT(43179, "[$-0E0000]yyyy-mm-dd")</f>
        <v/>
      </c>
      <c r="C43180" t="inlineStr">
        <is>
          <t>2018-02-05</t>
        </is>
      </c>
    </row>
    <row r="43181">
      <c r="A43181" s="1" t="n">
        <v>43180</v>
      </c>
      <c r="B43181">
        <f>TEXT(43180, "[$-0E0000]yyyy-mm-dd")</f>
        <v/>
      </c>
      <c r="C43181" t="inlineStr">
        <is>
          <t>2018-02-06</t>
        </is>
      </c>
    </row>
    <row r="43182">
      <c r="A43182" s="1" t="n">
        <v>43181</v>
      </c>
      <c r="B43182">
        <f>TEXT(43181, "[$-0E0000]yyyy-mm-dd")</f>
        <v/>
      </c>
      <c r="C43182" t="inlineStr">
        <is>
          <t>2018-02-07</t>
        </is>
      </c>
    </row>
    <row r="43183">
      <c r="A43183" s="1" t="n">
        <v>43182</v>
      </c>
      <c r="B43183">
        <f>TEXT(43182, "[$-0E0000]yyyy-mm-dd")</f>
        <v/>
      </c>
      <c r="C43183" t="inlineStr">
        <is>
          <t>2018-02-08</t>
        </is>
      </c>
    </row>
    <row r="43184">
      <c r="A43184" s="1" t="n">
        <v>43183</v>
      </c>
      <c r="B43184">
        <f>TEXT(43183, "[$-0E0000]yyyy-mm-dd")</f>
        <v/>
      </c>
      <c r="C43184" t="inlineStr">
        <is>
          <t>2018-02-09</t>
        </is>
      </c>
    </row>
    <row r="43185">
      <c r="A43185" s="1" t="n">
        <v>43184</v>
      </c>
      <c r="B43185">
        <f>TEXT(43184, "[$-0E0000]yyyy-mm-dd")</f>
        <v/>
      </c>
      <c r="C43185" t="inlineStr">
        <is>
          <t>2018-02-10</t>
        </is>
      </c>
    </row>
    <row r="43186">
      <c r="A43186" s="1" t="n">
        <v>43185</v>
      </c>
      <c r="B43186">
        <f>TEXT(43185, "[$-0E0000]yyyy-mm-dd")</f>
        <v/>
      </c>
      <c r="C43186" t="inlineStr">
        <is>
          <t>2018-02-11</t>
        </is>
      </c>
    </row>
    <row r="43187">
      <c r="A43187" s="1" t="n">
        <v>43186</v>
      </c>
      <c r="B43187">
        <f>TEXT(43186, "[$-0E0000]yyyy-mm-dd")</f>
        <v/>
      </c>
      <c r="C43187" t="inlineStr">
        <is>
          <t>2018-02-12</t>
        </is>
      </c>
    </row>
    <row r="43188">
      <c r="A43188" s="1" t="n">
        <v>43187</v>
      </c>
      <c r="B43188">
        <f>TEXT(43187, "[$-0E0000]yyyy-mm-dd")</f>
        <v/>
      </c>
      <c r="C43188" t="inlineStr">
        <is>
          <t>2018-02-13</t>
        </is>
      </c>
    </row>
    <row r="43189">
      <c r="A43189" s="1" t="n">
        <v>43188</v>
      </c>
      <c r="B43189">
        <f>TEXT(43188, "[$-0E0000]yyyy-mm-dd")</f>
        <v/>
      </c>
      <c r="C43189" t="inlineStr">
        <is>
          <t>2018-02-14</t>
        </is>
      </c>
    </row>
    <row r="43190">
      <c r="A43190" s="1" t="n">
        <v>43189</v>
      </c>
      <c r="B43190">
        <f>TEXT(43189, "[$-0E0000]yyyy-mm-dd")</f>
        <v/>
      </c>
      <c r="C43190" t="inlineStr">
        <is>
          <t>2018-02-15</t>
        </is>
      </c>
    </row>
    <row r="43191">
      <c r="A43191" s="1" t="n">
        <v>43190</v>
      </c>
      <c r="B43191">
        <f>TEXT(43190, "[$-0E0000]yyyy-mm-dd")</f>
        <v/>
      </c>
      <c r="C43191" t="inlineStr">
        <is>
          <t>2018-02-16</t>
        </is>
      </c>
    </row>
    <row r="43192">
      <c r="A43192" s="1" t="n">
        <v>43191</v>
      </c>
      <c r="B43192">
        <f>TEXT(43191, "[$-0E0000]yyyy-mm-dd")</f>
        <v/>
      </c>
      <c r="C43192" t="inlineStr">
        <is>
          <t>2018-02-17</t>
        </is>
      </c>
    </row>
    <row r="43193">
      <c r="A43193" s="1" t="n">
        <v>43192</v>
      </c>
      <c r="B43193">
        <f>TEXT(43192, "[$-0E0000]yyyy-mm-dd")</f>
        <v/>
      </c>
      <c r="C43193" t="inlineStr">
        <is>
          <t>2018-02-18</t>
        </is>
      </c>
    </row>
    <row r="43194">
      <c r="A43194" s="1" t="n">
        <v>43193</v>
      </c>
      <c r="B43194">
        <f>TEXT(43193, "[$-0E0000]yyyy-mm-dd")</f>
        <v/>
      </c>
      <c r="C43194" t="inlineStr">
        <is>
          <t>2018-02-19</t>
        </is>
      </c>
    </row>
    <row r="43195">
      <c r="A43195" s="1" t="n">
        <v>43194</v>
      </c>
      <c r="B43195">
        <f>TEXT(43194, "[$-0E0000]yyyy-mm-dd")</f>
        <v/>
      </c>
      <c r="C43195" t="inlineStr">
        <is>
          <t>2018-02-20</t>
        </is>
      </c>
    </row>
    <row r="43196">
      <c r="A43196" s="1" t="n">
        <v>43195</v>
      </c>
      <c r="B43196">
        <f>TEXT(43195, "[$-0E0000]yyyy-mm-dd")</f>
        <v/>
      </c>
      <c r="C43196" t="inlineStr">
        <is>
          <t>2018-02-21</t>
        </is>
      </c>
    </row>
    <row r="43197">
      <c r="A43197" s="1" t="n">
        <v>43196</v>
      </c>
      <c r="B43197">
        <f>TEXT(43196, "[$-0E0000]yyyy-mm-dd")</f>
        <v/>
      </c>
      <c r="C43197" t="inlineStr">
        <is>
          <t>2018-02-22</t>
        </is>
      </c>
    </row>
    <row r="43198">
      <c r="A43198" s="1" t="n">
        <v>43197</v>
      </c>
      <c r="B43198">
        <f>TEXT(43197, "[$-0E0000]yyyy-mm-dd")</f>
        <v/>
      </c>
      <c r="C43198" t="inlineStr">
        <is>
          <t>2018-02-23</t>
        </is>
      </c>
    </row>
    <row r="43199">
      <c r="A43199" s="1" t="n">
        <v>43198</v>
      </c>
      <c r="B43199">
        <f>TEXT(43198, "[$-0E0000]yyyy-mm-dd")</f>
        <v/>
      </c>
      <c r="C43199" t="inlineStr">
        <is>
          <t>2018-02-24</t>
        </is>
      </c>
    </row>
    <row r="43200">
      <c r="A43200" s="1" t="n">
        <v>43199</v>
      </c>
      <c r="B43200">
        <f>TEXT(43199, "[$-0E0000]yyyy-mm-dd")</f>
        <v/>
      </c>
      <c r="C43200" t="inlineStr">
        <is>
          <t>2018-02-25</t>
        </is>
      </c>
    </row>
    <row r="43201">
      <c r="A43201" s="1" t="n">
        <v>43200</v>
      </c>
      <c r="B43201">
        <f>TEXT(43200, "[$-0E0000]yyyy-mm-dd")</f>
        <v/>
      </c>
      <c r="C43201" t="inlineStr">
        <is>
          <t>2018-02-26</t>
        </is>
      </c>
    </row>
    <row r="43202">
      <c r="A43202" s="1" t="n">
        <v>43201</v>
      </c>
      <c r="B43202">
        <f>TEXT(43201, "[$-0E0000]yyyy-mm-dd")</f>
        <v/>
      </c>
      <c r="C43202" t="inlineStr">
        <is>
          <t>2018-02-27</t>
        </is>
      </c>
    </row>
    <row r="43203">
      <c r="A43203" s="1" t="n">
        <v>43202</v>
      </c>
      <c r="B43203">
        <f>TEXT(43202, "[$-0E0000]yyyy-mm-dd")</f>
        <v/>
      </c>
      <c r="C43203" t="inlineStr">
        <is>
          <t>2018-02-28</t>
        </is>
      </c>
    </row>
    <row r="43204">
      <c r="A43204" s="1" t="n">
        <v>43203</v>
      </c>
      <c r="B43204">
        <f>TEXT(43203, "[$-0E0000]yyyy-mm-dd")</f>
        <v/>
      </c>
      <c r="C43204" t="inlineStr">
        <is>
          <t>2018-02-29</t>
        </is>
      </c>
    </row>
    <row r="43205">
      <c r="A43205" s="1" t="n">
        <v>43204</v>
      </c>
      <c r="B43205">
        <f>TEXT(43204, "[$-0E0000]yyyy-mm-dd")</f>
        <v/>
      </c>
      <c r="C43205" t="inlineStr">
        <is>
          <t>2018-02-30</t>
        </is>
      </c>
    </row>
    <row r="43206">
      <c r="A43206" s="1" t="n">
        <v>43205</v>
      </c>
      <c r="B43206">
        <f>TEXT(43205, "[$-0E0000]yyyy-mm-dd")</f>
        <v/>
      </c>
      <c r="C43206" t="inlineStr">
        <is>
          <t>2018-03-01</t>
        </is>
      </c>
    </row>
    <row r="43207">
      <c r="A43207" s="1" t="n">
        <v>43206</v>
      </c>
      <c r="B43207">
        <f>TEXT(43206, "[$-0E0000]yyyy-mm-dd")</f>
        <v/>
      </c>
      <c r="C43207" t="inlineStr">
        <is>
          <t>2018-03-02</t>
        </is>
      </c>
    </row>
    <row r="43208">
      <c r="A43208" s="1" t="n">
        <v>43207</v>
      </c>
      <c r="B43208">
        <f>TEXT(43207, "[$-0E0000]yyyy-mm-dd")</f>
        <v/>
      </c>
      <c r="C43208" t="inlineStr">
        <is>
          <t>2018-03-03</t>
        </is>
      </c>
    </row>
    <row r="43209">
      <c r="A43209" s="1" t="n">
        <v>43208</v>
      </c>
      <c r="B43209">
        <f>TEXT(43208, "[$-0E0000]yyyy-mm-dd")</f>
        <v/>
      </c>
      <c r="C43209" t="inlineStr">
        <is>
          <t>2018-03-04</t>
        </is>
      </c>
    </row>
    <row r="43210">
      <c r="A43210" s="1" t="n">
        <v>43209</v>
      </c>
      <c r="B43210">
        <f>TEXT(43209, "[$-0E0000]yyyy-mm-dd")</f>
        <v/>
      </c>
      <c r="C43210" t="inlineStr">
        <is>
          <t>2018-03-05</t>
        </is>
      </c>
    </row>
    <row r="43211">
      <c r="A43211" s="1" t="n">
        <v>43210</v>
      </c>
      <c r="B43211">
        <f>TEXT(43210, "[$-0E0000]yyyy-mm-dd")</f>
        <v/>
      </c>
      <c r="C43211" t="inlineStr">
        <is>
          <t>2018-03-06</t>
        </is>
      </c>
    </row>
    <row r="43212">
      <c r="A43212" s="1" t="n">
        <v>43211</v>
      </c>
      <c r="B43212">
        <f>TEXT(43211, "[$-0E0000]yyyy-mm-dd")</f>
        <v/>
      </c>
      <c r="C43212" t="inlineStr">
        <is>
          <t>2018-03-07</t>
        </is>
      </c>
    </row>
    <row r="43213">
      <c r="A43213" s="1" t="n">
        <v>43212</v>
      </c>
      <c r="B43213">
        <f>TEXT(43212, "[$-0E0000]yyyy-mm-dd")</f>
        <v/>
      </c>
      <c r="C43213" t="inlineStr">
        <is>
          <t>2018-03-08</t>
        </is>
      </c>
    </row>
    <row r="43214">
      <c r="A43214" s="1" t="n">
        <v>43213</v>
      </c>
      <c r="B43214">
        <f>TEXT(43213, "[$-0E0000]yyyy-mm-dd")</f>
        <v/>
      </c>
      <c r="C43214" t="inlineStr">
        <is>
          <t>2018-03-09</t>
        </is>
      </c>
    </row>
    <row r="43215">
      <c r="A43215" s="1" t="n">
        <v>43214</v>
      </c>
      <c r="B43215">
        <f>TEXT(43214, "[$-0E0000]yyyy-mm-dd")</f>
        <v/>
      </c>
      <c r="C43215" t="inlineStr">
        <is>
          <t>2018-03-10</t>
        </is>
      </c>
    </row>
    <row r="43216">
      <c r="A43216" s="1" t="n">
        <v>43215</v>
      </c>
      <c r="B43216">
        <f>TEXT(43215, "[$-0E0000]yyyy-mm-dd")</f>
        <v/>
      </c>
      <c r="C43216" t="inlineStr">
        <is>
          <t>2018-03-11</t>
        </is>
      </c>
    </row>
    <row r="43217">
      <c r="A43217" s="1" t="n">
        <v>43216</v>
      </c>
      <c r="B43217">
        <f>TEXT(43216, "[$-0E0000]yyyy-mm-dd")</f>
        <v/>
      </c>
      <c r="C43217" t="inlineStr">
        <is>
          <t>2018-03-12</t>
        </is>
      </c>
    </row>
    <row r="43218">
      <c r="A43218" s="1" t="n">
        <v>43217</v>
      </c>
      <c r="B43218">
        <f>TEXT(43217, "[$-0E0000]yyyy-mm-dd")</f>
        <v/>
      </c>
      <c r="C43218" t="inlineStr">
        <is>
          <t>2018-03-13</t>
        </is>
      </c>
    </row>
    <row r="43219">
      <c r="A43219" s="1" t="n">
        <v>43218</v>
      </c>
      <c r="B43219">
        <f>TEXT(43218, "[$-0E0000]yyyy-mm-dd")</f>
        <v/>
      </c>
      <c r="C43219" t="inlineStr">
        <is>
          <t>2018-03-14</t>
        </is>
      </c>
    </row>
    <row r="43220">
      <c r="A43220" s="1" t="n">
        <v>43219</v>
      </c>
      <c r="B43220">
        <f>TEXT(43219, "[$-0E0000]yyyy-mm-dd")</f>
        <v/>
      </c>
      <c r="C43220" t="inlineStr">
        <is>
          <t>2018-03-15</t>
        </is>
      </c>
    </row>
    <row r="43221">
      <c r="A43221" s="1" t="n">
        <v>43220</v>
      </c>
      <c r="B43221">
        <f>TEXT(43220, "[$-0E0000]yyyy-mm-dd")</f>
        <v/>
      </c>
      <c r="C43221" t="inlineStr">
        <is>
          <t>2018-03-16</t>
        </is>
      </c>
    </row>
    <row r="43222">
      <c r="A43222" s="1" t="n">
        <v>43221</v>
      </c>
      <c r="B43222">
        <f>TEXT(43221, "[$-0E0000]yyyy-mm-dd")</f>
        <v/>
      </c>
      <c r="C43222" t="inlineStr">
        <is>
          <t>2018-03-17</t>
        </is>
      </c>
    </row>
    <row r="43223">
      <c r="A43223" s="1" t="n">
        <v>43222</v>
      </c>
      <c r="B43223">
        <f>TEXT(43222, "[$-0E0000]yyyy-mm-dd")</f>
        <v/>
      </c>
      <c r="C43223" t="inlineStr">
        <is>
          <t>2018-03-18</t>
        </is>
      </c>
    </row>
    <row r="43224">
      <c r="A43224" s="1" t="n">
        <v>43223</v>
      </c>
      <c r="B43224">
        <f>TEXT(43223, "[$-0E0000]yyyy-mm-dd")</f>
        <v/>
      </c>
      <c r="C43224" t="inlineStr">
        <is>
          <t>2018-03-19</t>
        </is>
      </c>
    </row>
    <row r="43225">
      <c r="A43225" s="1" t="n">
        <v>43224</v>
      </c>
      <c r="B43225">
        <f>TEXT(43224, "[$-0E0000]yyyy-mm-dd")</f>
        <v/>
      </c>
      <c r="C43225" t="inlineStr">
        <is>
          <t>2018-03-20</t>
        </is>
      </c>
    </row>
    <row r="43226">
      <c r="A43226" s="1" t="n">
        <v>43225</v>
      </c>
      <c r="B43226">
        <f>TEXT(43225, "[$-0E0000]yyyy-mm-dd")</f>
        <v/>
      </c>
      <c r="C43226" t="inlineStr">
        <is>
          <t>2018-03-21</t>
        </is>
      </c>
    </row>
    <row r="43227">
      <c r="A43227" s="1" t="n">
        <v>43226</v>
      </c>
      <c r="B43227">
        <f>TEXT(43226, "[$-0E0000]yyyy-mm-dd")</f>
        <v/>
      </c>
      <c r="C43227" t="inlineStr">
        <is>
          <t>2018-03-22</t>
        </is>
      </c>
    </row>
    <row r="43228">
      <c r="A43228" s="1" t="n">
        <v>43227</v>
      </c>
      <c r="B43228">
        <f>TEXT(43227, "[$-0E0000]yyyy-mm-dd")</f>
        <v/>
      </c>
      <c r="C43228" t="inlineStr">
        <is>
          <t>2018-03-23</t>
        </is>
      </c>
    </row>
    <row r="43229">
      <c r="A43229" s="1" t="n">
        <v>43228</v>
      </c>
      <c r="B43229">
        <f>TEXT(43228, "[$-0E0000]yyyy-mm-dd")</f>
        <v/>
      </c>
      <c r="C43229" t="inlineStr">
        <is>
          <t>2018-03-24</t>
        </is>
      </c>
    </row>
    <row r="43230">
      <c r="A43230" s="1" t="n">
        <v>43229</v>
      </c>
      <c r="B43230">
        <f>TEXT(43229, "[$-0E0000]yyyy-mm-dd")</f>
        <v/>
      </c>
      <c r="C43230" t="inlineStr">
        <is>
          <t>2018-03-25</t>
        </is>
      </c>
    </row>
    <row r="43231">
      <c r="A43231" s="1" t="n">
        <v>43230</v>
      </c>
      <c r="B43231">
        <f>TEXT(43230, "[$-0E0000]yyyy-mm-dd")</f>
        <v/>
      </c>
      <c r="C43231" t="inlineStr">
        <is>
          <t>2018-03-26</t>
        </is>
      </c>
    </row>
    <row r="43232">
      <c r="A43232" s="1" t="n">
        <v>43231</v>
      </c>
      <c r="B43232">
        <f>TEXT(43231, "[$-0E0000]yyyy-mm-dd")</f>
        <v/>
      </c>
      <c r="C43232" t="inlineStr">
        <is>
          <t>2018-03-27</t>
        </is>
      </c>
    </row>
    <row r="43233">
      <c r="A43233" s="1" t="n">
        <v>43232</v>
      </c>
      <c r="B43233">
        <f>TEXT(43232, "[$-0E0000]yyyy-mm-dd")</f>
        <v/>
      </c>
      <c r="C43233" t="inlineStr">
        <is>
          <t>2018-03-28</t>
        </is>
      </c>
    </row>
    <row r="43234">
      <c r="A43234" s="1" t="n">
        <v>43233</v>
      </c>
      <c r="B43234">
        <f>TEXT(43233, "[$-0E0000]yyyy-mm-dd")</f>
        <v/>
      </c>
      <c r="C43234" t="inlineStr">
        <is>
          <t>2018-03-29</t>
        </is>
      </c>
    </row>
    <row r="43235">
      <c r="A43235" s="1" t="n">
        <v>43234</v>
      </c>
      <c r="B43235">
        <f>TEXT(43234, "[$-0E0000]yyyy-mm-dd")</f>
        <v/>
      </c>
      <c r="C43235" t="inlineStr">
        <is>
          <t>2018-04-01</t>
        </is>
      </c>
    </row>
    <row r="43236">
      <c r="A43236" s="1" t="n">
        <v>43235</v>
      </c>
      <c r="B43236">
        <f>TEXT(43235, "[$-0E0000]yyyy-mm-dd")</f>
        <v/>
      </c>
      <c r="C43236" t="inlineStr">
        <is>
          <t>2018-04-02</t>
        </is>
      </c>
    </row>
    <row r="43237">
      <c r="A43237" s="1" t="n">
        <v>43236</v>
      </c>
      <c r="B43237">
        <f>TEXT(43236, "[$-0E0000]yyyy-mm-dd")</f>
        <v/>
      </c>
      <c r="C43237" t="inlineStr">
        <is>
          <t>2018-04-03</t>
        </is>
      </c>
    </row>
    <row r="43238">
      <c r="A43238" s="1" t="n">
        <v>43237</v>
      </c>
      <c r="B43238">
        <f>TEXT(43237, "[$-0E0000]yyyy-mm-dd")</f>
        <v/>
      </c>
      <c r="C43238" t="inlineStr">
        <is>
          <t>2018-04-04</t>
        </is>
      </c>
    </row>
    <row r="43239">
      <c r="A43239" s="1" t="n">
        <v>43238</v>
      </c>
      <c r="B43239">
        <f>TEXT(43238, "[$-0E0000]yyyy-mm-dd")</f>
        <v/>
      </c>
      <c r="C43239" t="inlineStr">
        <is>
          <t>2018-04-05</t>
        </is>
      </c>
    </row>
    <row r="43240">
      <c r="A43240" s="1" t="n">
        <v>43239</v>
      </c>
      <c r="B43240">
        <f>TEXT(43239, "[$-0E0000]yyyy-mm-dd")</f>
        <v/>
      </c>
      <c r="C43240" t="inlineStr">
        <is>
          <t>2018-04-06</t>
        </is>
      </c>
    </row>
    <row r="43241">
      <c r="A43241" s="1" t="n">
        <v>43240</v>
      </c>
      <c r="B43241">
        <f>TEXT(43240, "[$-0E0000]yyyy-mm-dd")</f>
        <v/>
      </c>
      <c r="C43241" t="inlineStr">
        <is>
          <t>2018-04-07</t>
        </is>
      </c>
    </row>
    <row r="43242">
      <c r="A43242" s="1" t="n">
        <v>43241</v>
      </c>
      <c r="B43242">
        <f>TEXT(43241, "[$-0E0000]yyyy-mm-dd")</f>
        <v/>
      </c>
      <c r="C43242" t="inlineStr">
        <is>
          <t>2018-04-08</t>
        </is>
      </c>
    </row>
    <row r="43243">
      <c r="A43243" s="1" t="n">
        <v>43242</v>
      </c>
      <c r="B43243">
        <f>TEXT(43242, "[$-0E0000]yyyy-mm-dd")</f>
        <v/>
      </c>
      <c r="C43243" t="inlineStr">
        <is>
          <t>2018-04-09</t>
        </is>
      </c>
    </row>
    <row r="43244">
      <c r="A43244" s="1" t="n">
        <v>43243</v>
      </c>
      <c r="B43244">
        <f>TEXT(43243, "[$-0E0000]yyyy-mm-dd")</f>
        <v/>
      </c>
      <c r="C43244" t="inlineStr">
        <is>
          <t>2018-04-10</t>
        </is>
      </c>
    </row>
    <row r="43245">
      <c r="A43245" s="1" t="n">
        <v>43244</v>
      </c>
      <c r="B43245">
        <f>TEXT(43244, "[$-0E0000]yyyy-mm-dd")</f>
        <v/>
      </c>
      <c r="C43245" t="inlineStr">
        <is>
          <t>2018-04-11</t>
        </is>
      </c>
    </row>
    <row r="43246">
      <c r="A43246" s="1" t="n">
        <v>43245</v>
      </c>
      <c r="B43246">
        <f>TEXT(43245, "[$-0E0000]yyyy-mm-dd")</f>
        <v/>
      </c>
      <c r="C43246" t="inlineStr">
        <is>
          <t>2018-04-12</t>
        </is>
      </c>
    </row>
    <row r="43247">
      <c r="A43247" s="1" t="n">
        <v>43246</v>
      </c>
      <c r="B43247">
        <f>TEXT(43246, "[$-0E0000]yyyy-mm-dd")</f>
        <v/>
      </c>
      <c r="C43247" t="inlineStr">
        <is>
          <t>2018-04-13</t>
        </is>
      </c>
    </row>
    <row r="43248">
      <c r="A43248" s="1" t="n">
        <v>43247</v>
      </c>
      <c r="B43248">
        <f>TEXT(43247, "[$-0E0000]yyyy-mm-dd")</f>
        <v/>
      </c>
      <c r="C43248" t="inlineStr">
        <is>
          <t>2018-04-14</t>
        </is>
      </c>
    </row>
    <row r="43249">
      <c r="A43249" s="1" t="n">
        <v>43248</v>
      </c>
      <c r="B43249">
        <f>TEXT(43248, "[$-0E0000]yyyy-mm-dd")</f>
        <v/>
      </c>
      <c r="C43249" t="inlineStr">
        <is>
          <t>2018-04-15</t>
        </is>
      </c>
    </row>
    <row r="43250">
      <c r="A43250" s="1" t="n">
        <v>43249</v>
      </c>
      <c r="B43250">
        <f>TEXT(43249, "[$-0E0000]yyyy-mm-dd")</f>
        <v/>
      </c>
      <c r="C43250" t="inlineStr">
        <is>
          <t>2018-04-16</t>
        </is>
      </c>
    </row>
    <row r="43251">
      <c r="A43251" s="1" t="n">
        <v>43250</v>
      </c>
      <c r="B43251">
        <f>TEXT(43250, "[$-0E0000]yyyy-mm-dd")</f>
        <v/>
      </c>
      <c r="C43251" t="inlineStr">
        <is>
          <t>2018-04-17</t>
        </is>
      </c>
    </row>
    <row r="43252">
      <c r="A43252" s="1" t="n">
        <v>43251</v>
      </c>
      <c r="B43252">
        <f>TEXT(43251, "[$-0E0000]yyyy-mm-dd")</f>
        <v/>
      </c>
      <c r="C43252" t="inlineStr">
        <is>
          <t>2018-04-18</t>
        </is>
      </c>
    </row>
    <row r="43253">
      <c r="A43253" s="1" t="n">
        <v>43252</v>
      </c>
      <c r="B43253">
        <f>TEXT(43252, "[$-0E0000]yyyy-mm-dd")</f>
        <v/>
      </c>
      <c r="C43253" t="inlineStr">
        <is>
          <t>2018-04-19</t>
        </is>
      </c>
    </row>
    <row r="43254">
      <c r="A43254" s="1" t="n">
        <v>43253</v>
      </c>
      <c r="B43254">
        <f>TEXT(43253, "[$-0E0000]yyyy-mm-dd")</f>
        <v/>
      </c>
      <c r="C43254" t="inlineStr">
        <is>
          <t>2018-04-20</t>
        </is>
      </c>
    </row>
    <row r="43255">
      <c r="A43255" s="1" t="n">
        <v>43254</v>
      </c>
      <c r="B43255">
        <f>TEXT(43254, "[$-0E0000]yyyy-mm-dd")</f>
        <v/>
      </c>
      <c r="C43255" t="inlineStr">
        <is>
          <t>2018-04-21</t>
        </is>
      </c>
    </row>
    <row r="43256">
      <c r="A43256" s="1" t="n">
        <v>43255</v>
      </c>
      <c r="B43256">
        <f>TEXT(43255, "[$-0E0000]yyyy-mm-dd")</f>
        <v/>
      </c>
      <c r="C43256" t="inlineStr">
        <is>
          <t>2018-04-22</t>
        </is>
      </c>
    </row>
    <row r="43257">
      <c r="A43257" s="1" t="n">
        <v>43256</v>
      </c>
      <c r="B43257">
        <f>TEXT(43256, "[$-0E0000]yyyy-mm-dd")</f>
        <v/>
      </c>
      <c r="C43257" t="inlineStr">
        <is>
          <t>2018-04-23</t>
        </is>
      </c>
    </row>
    <row r="43258">
      <c r="A43258" s="1" t="n">
        <v>43257</v>
      </c>
      <c r="B43258">
        <f>TEXT(43257, "[$-0E0000]yyyy-mm-dd")</f>
        <v/>
      </c>
      <c r="C43258" t="inlineStr">
        <is>
          <t>2018-04-24</t>
        </is>
      </c>
    </row>
    <row r="43259">
      <c r="A43259" s="1" t="n">
        <v>43258</v>
      </c>
      <c r="B43259">
        <f>TEXT(43258, "[$-0E0000]yyyy-mm-dd")</f>
        <v/>
      </c>
      <c r="C43259" t="inlineStr">
        <is>
          <t>2018-04-25</t>
        </is>
      </c>
    </row>
    <row r="43260">
      <c r="A43260" s="1" t="n">
        <v>43259</v>
      </c>
      <c r="B43260">
        <f>TEXT(43259, "[$-0E0000]yyyy-mm-dd")</f>
        <v/>
      </c>
      <c r="C43260" t="inlineStr">
        <is>
          <t>2018-04-26</t>
        </is>
      </c>
    </row>
    <row r="43261">
      <c r="A43261" s="1" t="n">
        <v>43260</v>
      </c>
      <c r="B43261">
        <f>TEXT(43260, "[$-0E0000]yyyy-mm-dd")</f>
        <v/>
      </c>
      <c r="C43261" t="inlineStr">
        <is>
          <t>2018-04-27</t>
        </is>
      </c>
    </row>
    <row r="43262">
      <c r="A43262" s="1" t="n">
        <v>43261</v>
      </c>
      <c r="B43262">
        <f>TEXT(43261, "[$-0E0000]yyyy-mm-dd")</f>
        <v/>
      </c>
      <c r="C43262" t="inlineStr">
        <is>
          <t>2018-04-28</t>
        </is>
      </c>
    </row>
    <row r="43263">
      <c r="A43263" s="1" t="n">
        <v>43262</v>
      </c>
      <c r="B43263">
        <f>TEXT(43262, "[$-0E0000]yyyy-mm-dd")</f>
        <v/>
      </c>
      <c r="C43263" t="inlineStr">
        <is>
          <t>2018-04-29</t>
        </is>
      </c>
    </row>
    <row r="43264">
      <c r="A43264" s="1" t="n">
        <v>43263</v>
      </c>
      <c r="B43264">
        <f>TEXT(43263, "[$-0E0000]yyyy-mm-dd")</f>
        <v/>
      </c>
      <c r="C43264" t="inlineStr">
        <is>
          <t>2018-04-30</t>
        </is>
      </c>
    </row>
    <row r="43265">
      <c r="A43265" s="1" t="n">
        <v>43264</v>
      </c>
      <c r="B43265">
        <f>TEXT(43264, "[$-0E0000]yyyy-mm-dd")</f>
        <v/>
      </c>
      <c r="C43265" t="inlineStr">
        <is>
          <t>2018-05-01</t>
        </is>
      </c>
    </row>
    <row r="43266">
      <c r="A43266" s="1" t="n">
        <v>43265</v>
      </c>
      <c r="B43266">
        <f>TEXT(43265, "[$-0E0000]yyyy-mm-dd")</f>
        <v/>
      </c>
      <c r="C43266" t="inlineStr">
        <is>
          <t>2018-05-02</t>
        </is>
      </c>
    </row>
    <row r="43267">
      <c r="A43267" s="1" t="n">
        <v>43266</v>
      </c>
      <c r="B43267">
        <f>TEXT(43266, "[$-0E0000]yyyy-mm-dd")</f>
        <v/>
      </c>
      <c r="C43267" t="inlineStr">
        <is>
          <t>2018-05-03</t>
        </is>
      </c>
    </row>
    <row r="43268">
      <c r="A43268" s="1" t="n">
        <v>43267</v>
      </c>
      <c r="B43268">
        <f>TEXT(43267, "[$-0E0000]yyyy-mm-dd")</f>
        <v/>
      </c>
      <c r="C43268" t="inlineStr">
        <is>
          <t>2018-05-04</t>
        </is>
      </c>
    </row>
    <row r="43269">
      <c r="A43269" s="1" t="n">
        <v>43268</v>
      </c>
      <c r="B43269">
        <f>TEXT(43268, "[$-0E0000]yyyy-mm-dd")</f>
        <v/>
      </c>
      <c r="C43269" t="inlineStr">
        <is>
          <t>2018-05-05</t>
        </is>
      </c>
    </row>
    <row r="43270">
      <c r="A43270" s="1" t="n">
        <v>43269</v>
      </c>
      <c r="B43270">
        <f>TEXT(43269, "[$-0E0000]yyyy-mm-dd")</f>
        <v/>
      </c>
      <c r="C43270" t="inlineStr">
        <is>
          <t>2018-05-06</t>
        </is>
      </c>
    </row>
    <row r="43271">
      <c r="A43271" s="1" t="n">
        <v>43270</v>
      </c>
      <c r="B43271">
        <f>TEXT(43270, "[$-0E0000]yyyy-mm-dd")</f>
        <v/>
      </c>
      <c r="C43271" t="inlineStr">
        <is>
          <t>2018-05-07</t>
        </is>
      </c>
    </row>
    <row r="43272">
      <c r="A43272" s="1" t="n">
        <v>43271</v>
      </c>
      <c r="B43272">
        <f>TEXT(43271, "[$-0E0000]yyyy-mm-dd")</f>
        <v/>
      </c>
      <c r="C43272" t="inlineStr">
        <is>
          <t>2018-05-08</t>
        </is>
      </c>
    </row>
    <row r="43273">
      <c r="A43273" s="1" t="n">
        <v>43272</v>
      </c>
      <c r="B43273">
        <f>TEXT(43272, "[$-0E0000]yyyy-mm-dd")</f>
        <v/>
      </c>
      <c r="C43273" t="inlineStr">
        <is>
          <t>2018-05-09</t>
        </is>
      </c>
    </row>
    <row r="43274">
      <c r="A43274" s="1" t="n">
        <v>43273</v>
      </c>
      <c r="B43274">
        <f>TEXT(43273, "[$-0E0000]yyyy-mm-dd")</f>
        <v/>
      </c>
      <c r="C43274" t="inlineStr">
        <is>
          <t>2018-05-10</t>
        </is>
      </c>
    </row>
    <row r="43275">
      <c r="A43275" s="1" t="n">
        <v>43274</v>
      </c>
      <c r="B43275">
        <f>TEXT(43274, "[$-0E0000]yyyy-mm-dd")</f>
        <v/>
      </c>
      <c r="C43275" t="inlineStr">
        <is>
          <t>2018-05-11</t>
        </is>
      </c>
    </row>
    <row r="43276">
      <c r="A43276" s="1" t="n">
        <v>43275</v>
      </c>
      <c r="B43276">
        <f>TEXT(43275, "[$-0E0000]yyyy-mm-dd")</f>
        <v/>
      </c>
      <c r="C43276" t="inlineStr">
        <is>
          <t>2018-05-12</t>
        </is>
      </c>
    </row>
    <row r="43277">
      <c r="A43277" s="1" t="n">
        <v>43276</v>
      </c>
      <c r="B43277">
        <f>TEXT(43276, "[$-0E0000]yyyy-mm-dd")</f>
        <v/>
      </c>
      <c r="C43277" t="inlineStr">
        <is>
          <t>2018-05-13</t>
        </is>
      </c>
    </row>
    <row r="43278">
      <c r="A43278" s="1" t="n">
        <v>43277</v>
      </c>
      <c r="B43278">
        <f>TEXT(43277, "[$-0E0000]yyyy-mm-dd")</f>
        <v/>
      </c>
      <c r="C43278" t="inlineStr">
        <is>
          <t>2018-05-14</t>
        </is>
      </c>
    </row>
    <row r="43279">
      <c r="A43279" s="1" t="n">
        <v>43278</v>
      </c>
      <c r="B43279">
        <f>TEXT(43278, "[$-0E0000]yyyy-mm-dd")</f>
        <v/>
      </c>
      <c r="C43279" t="inlineStr">
        <is>
          <t>2018-05-15</t>
        </is>
      </c>
    </row>
    <row r="43280">
      <c r="A43280" s="1" t="n">
        <v>43279</v>
      </c>
      <c r="B43280">
        <f>TEXT(43279, "[$-0E0000]yyyy-mm-dd")</f>
        <v/>
      </c>
      <c r="C43280" t="inlineStr">
        <is>
          <t>2018-05-16</t>
        </is>
      </c>
    </row>
    <row r="43281">
      <c r="A43281" s="1" t="n">
        <v>43280</v>
      </c>
      <c r="B43281">
        <f>TEXT(43280, "[$-0E0000]yyyy-mm-dd")</f>
        <v/>
      </c>
      <c r="C43281" t="inlineStr">
        <is>
          <t>2018-05-17</t>
        </is>
      </c>
    </row>
    <row r="43282">
      <c r="A43282" s="1" t="n">
        <v>43281</v>
      </c>
      <c r="B43282">
        <f>TEXT(43281, "[$-0E0000]yyyy-mm-dd")</f>
        <v/>
      </c>
      <c r="C43282" t="inlineStr">
        <is>
          <t>2018-05-18</t>
        </is>
      </c>
    </row>
    <row r="43283">
      <c r="A43283" s="1" t="n">
        <v>43282</v>
      </c>
      <c r="B43283">
        <f>TEXT(43282, "[$-0E0000]yyyy-mm-dd")</f>
        <v/>
      </c>
      <c r="C43283" t="inlineStr">
        <is>
          <t>2018-05-19</t>
        </is>
      </c>
    </row>
    <row r="43284">
      <c r="A43284" s="1" t="n">
        <v>43283</v>
      </c>
      <c r="B43284">
        <f>TEXT(43283, "[$-0E0000]yyyy-mm-dd")</f>
        <v/>
      </c>
      <c r="C43284" t="inlineStr">
        <is>
          <t>2018-05-20</t>
        </is>
      </c>
    </row>
    <row r="43285">
      <c r="A43285" s="1" t="n">
        <v>43284</v>
      </c>
      <c r="B43285">
        <f>TEXT(43284, "[$-0E0000]yyyy-mm-dd")</f>
        <v/>
      </c>
      <c r="C43285" t="inlineStr">
        <is>
          <t>2018-05-21</t>
        </is>
      </c>
    </row>
    <row r="43286">
      <c r="A43286" s="1" t="n">
        <v>43285</v>
      </c>
      <c r="B43286">
        <f>TEXT(43285, "[$-0E0000]yyyy-mm-dd")</f>
        <v/>
      </c>
      <c r="C43286" t="inlineStr">
        <is>
          <t>2018-05-22</t>
        </is>
      </c>
    </row>
    <row r="43287">
      <c r="A43287" s="1" t="n">
        <v>43286</v>
      </c>
      <c r="B43287">
        <f>TEXT(43286, "[$-0E0000]yyyy-mm-dd")</f>
        <v/>
      </c>
      <c r="C43287" t="inlineStr">
        <is>
          <t>2018-05-23</t>
        </is>
      </c>
    </row>
    <row r="43288">
      <c r="A43288" s="1" t="n">
        <v>43287</v>
      </c>
      <c r="B43288">
        <f>TEXT(43287, "[$-0E0000]yyyy-mm-dd")</f>
        <v/>
      </c>
      <c r="C43288" t="inlineStr">
        <is>
          <t>2018-05-24</t>
        </is>
      </c>
    </row>
    <row r="43289">
      <c r="A43289" s="1" t="n">
        <v>43288</v>
      </c>
      <c r="B43289">
        <f>TEXT(43288, "[$-0E0000]yyyy-mm-dd")</f>
        <v/>
      </c>
      <c r="C43289" t="inlineStr">
        <is>
          <t>2018-05-25</t>
        </is>
      </c>
    </row>
    <row r="43290">
      <c r="A43290" s="1" t="n">
        <v>43289</v>
      </c>
      <c r="B43290">
        <f>TEXT(43289, "[$-0E0000]yyyy-mm-dd")</f>
        <v/>
      </c>
      <c r="C43290" t="inlineStr">
        <is>
          <t>2018-05-26</t>
        </is>
      </c>
    </row>
    <row r="43291">
      <c r="A43291" s="1" t="n">
        <v>43290</v>
      </c>
      <c r="B43291">
        <f>TEXT(43290, "[$-0E0000]yyyy-mm-dd")</f>
        <v/>
      </c>
      <c r="C43291" t="inlineStr">
        <is>
          <t>2018-05-27</t>
        </is>
      </c>
    </row>
    <row r="43292">
      <c r="A43292" s="1" t="n">
        <v>43291</v>
      </c>
      <c r="B43292">
        <f>TEXT(43291, "[$-0E0000]yyyy-mm-dd")</f>
        <v/>
      </c>
      <c r="C43292" t="inlineStr">
        <is>
          <t>2018-05-28</t>
        </is>
      </c>
    </row>
    <row r="43293">
      <c r="A43293" s="1" t="n">
        <v>43292</v>
      </c>
      <c r="B43293">
        <f>TEXT(43292, "[$-0E0000]yyyy-mm-dd")</f>
        <v/>
      </c>
      <c r="C43293" t="inlineStr">
        <is>
          <t>2018-05-29</t>
        </is>
      </c>
    </row>
    <row r="43294">
      <c r="A43294" s="1" t="n">
        <v>43293</v>
      </c>
      <c r="B43294">
        <f>TEXT(43293, "[$-0E0000]yyyy-mm-dd")</f>
        <v/>
      </c>
      <c r="C43294" t="inlineStr">
        <is>
          <t>2018-06-01</t>
        </is>
      </c>
    </row>
    <row r="43295">
      <c r="A43295" s="1" t="n">
        <v>43294</v>
      </c>
      <c r="B43295">
        <f>TEXT(43294, "[$-0E0000]yyyy-mm-dd")</f>
        <v/>
      </c>
      <c r="C43295" t="inlineStr">
        <is>
          <t>2018-06-02</t>
        </is>
      </c>
    </row>
    <row r="43296">
      <c r="A43296" s="1" t="n">
        <v>43295</v>
      </c>
      <c r="B43296">
        <f>TEXT(43295, "[$-0E0000]yyyy-mm-dd")</f>
        <v/>
      </c>
      <c r="C43296" t="inlineStr">
        <is>
          <t>2018-06-03</t>
        </is>
      </c>
    </row>
    <row r="43297">
      <c r="A43297" s="1" t="n">
        <v>43296</v>
      </c>
      <c r="B43297">
        <f>TEXT(43296, "[$-0E0000]yyyy-mm-dd")</f>
        <v/>
      </c>
      <c r="C43297" t="inlineStr">
        <is>
          <t>2018-06-04</t>
        </is>
      </c>
    </row>
    <row r="43298">
      <c r="A43298" s="1" t="n">
        <v>43297</v>
      </c>
      <c r="B43298">
        <f>TEXT(43297, "[$-0E0000]yyyy-mm-dd")</f>
        <v/>
      </c>
      <c r="C43298" t="inlineStr">
        <is>
          <t>2018-06-05</t>
        </is>
      </c>
    </row>
    <row r="43299">
      <c r="A43299" s="1" t="n">
        <v>43298</v>
      </c>
      <c r="B43299">
        <f>TEXT(43298, "[$-0E0000]yyyy-mm-dd")</f>
        <v/>
      </c>
      <c r="C43299" t="inlineStr">
        <is>
          <t>2018-06-06</t>
        </is>
      </c>
    </row>
    <row r="43300">
      <c r="A43300" s="1" t="n">
        <v>43299</v>
      </c>
      <c r="B43300">
        <f>TEXT(43299, "[$-0E0000]yyyy-mm-dd")</f>
        <v/>
      </c>
      <c r="C43300" t="inlineStr">
        <is>
          <t>2018-06-07</t>
        </is>
      </c>
    </row>
    <row r="43301">
      <c r="A43301" s="1" t="n">
        <v>43300</v>
      </c>
      <c r="B43301">
        <f>TEXT(43300, "[$-0E0000]yyyy-mm-dd")</f>
        <v/>
      </c>
      <c r="C43301" t="inlineStr">
        <is>
          <t>2018-06-08</t>
        </is>
      </c>
    </row>
    <row r="43302">
      <c r="A43302" s="1" t="n">
        <v>43301</v>
      </c>
      <c r="B43302">
        <f>TEXT(43301, "[$-0E0000]yyyy-mm-dd")</f>
        <v/>
      </c>
      <c r="C43302" t="inlineStr">
        <is>
          <t>2018-06-09</t>
        </is>
      </c>
    </row>
    <row r="43303">
      <c r="A43303" s="1" t="n">
        <v>43302</v>
      </c>
      <c r="B43303">
        <f>TEXT(43302, "[$-0E0000]yyyy-mm-dd")</f>
        <v/>
      </c>
      <c r="C43303" t="inlineStr">
        <is>
          <t>2018-06-10</t>
        </is>
      </c>
    </row>
    <row r="43304">
      <c r="A43304" s="1" t="n">
        <v>43303</v>
      </c>
      <c r="B43304">
        <f>TEXT(43303, "[$-0E0000]yyyy-mm-dd")</f>
        <v/>
      </c>
      <c r="C43304" t="inlineStr">
        <is>
          <t>2018-06-11</t>
        </is>
      </c>
    </row>
    <row r="43305">
      <c r="A43305" s="1" t="n">
        <v>43304</v>
      </c>
      <c r="B43305">
        <f>TEXT(43304, "[$-0E0000]yyyy-mm-dd")</f>
        <v/>
      </c>
      <c r="C43305" t="inlineStr">
        <is>
          <t>2018-06-12</t>
        </is>
      </c>
    </row>
    <row r="43306">
      <c r="A43306" s="1" t="n">
        <v>43305</v>
      </c>
      <c r="B43306">
        <f>TEXT(43305, "[$-0E0000]yyyy-mm-dd")</f>
        <v/>
      </c>
      <c r="C43306" t="inlineStr">
        <is>
          <t>2018-06-13</t>
        </is>
      </c>
    </row>
    <row r="43307">
      <c r="A43307" s="1" t="n">
        <v>43306</v>
      </c>
      <c r="B43307">
        <f>TEXT(43306, "[$-0E0000]yyyy-mm-dd")</f>
        <v/>
      </c>
      <c r="C43307" t="inlineStr">
        <is>
          <t>2018-06-14</t>
        </is>
      </c>
    </row>
    <row r="43308">
      <c r="A43308" s="1" t="n">
        <v>43307</v>
      </c>
      <c r="B43308">
        <f>TEXT(43307, "[$-0E0000]yyyy-mm-dd")</f>
        <v/>
      </c>
      <c r="C43308" t="inlineStr">
        <is>
          <t>2018-06-15</t>
        </is>
      </c>
    </row>
    <row r="43309">
      <c r="A43309" s="1" t="n">
        <v>43308</v>
      </c>
      <c r="B43309">
        <f>TEXT(43308, "[$-0E0000]yyyy-mm-dd")</f>
        <v/>
      </c>
      <c r="C43309" t="inlineStr">
        <is>
          <t>2018-06-16</t>
        </is>
      </c>
    </row>
    <row r="43310">
      <c r="A43310" s="1" t="n">
        <v>43309</v>
      </c>
      <c r="B43310">
        <f>TEXT(43309, "[$-0E0000]yyyy-mm-dd")</f>
        <v/>
      </c>
      <c r="C43310" t="inlineStr">
        <is>
          <t>2018-06-17</t>
        </is>
      </c>
    </row>
    <row r="43311">
      <c r="A43311" s="1" t="n">
        <v>43310</v>
      </c>
      <c r="B43311">
        <f>TEXT(43310, "[$-0E0000]yyyy-mm-dd")</f>
        <v/>
      </c>
      <c r="C43311" t="inlineStr">
        <is>
          <t>2018-06-18</t>
        </is>
      </c>
    </row>
    <row r="43312">
      <c r="A43312" s="1" t="n">
        <v>43311</v>
      </c>
      <c r="B43312">
        <f>TEXT(43311, "[$-0E0000]yyyy-mm-dd")</f>
        <v/>
      </c>
      <c r="C43312" t="inlineStr">
        <is>
          <t>2018-06-19</t>
        </is>
      </c>
    </row>
    <row r="43313">
      <c r="A43313" s="1" t="n">
        <v>43312</v>
      </c>
      <c r="B43313">
        <f>TEXT(43312, "[$-0E0000]yyyy-mm-dd")</f>
        <v/>
      </c>
      <c r="C43313" t="inlineStr">
        <is>
          <t>2018-06-20</t>
        </is>
      </c>
    </row>
    <row r="43314">
      <c r="A43314" s="1" t="n">
        <v>43313</v>
      </c>
      <c r="B43314">
        <f>TEXT(43313, "[$-0E0000]yyyy-mm-dd")</f>
        <v/>
      </c>
      <c r="C43314" t="inlineStr">
        <is>
          <t>2018-06-21</t>
        </is>
      </c>
    </row>
    <row r="43315">
      <c r="A43315" s="1" t="n">
        <v>43314</v>
      </c>
      <c r="B43315">
        <f>TEXT(43314, "[$-0E0000]yyyy-mm-dd")</f>
        <v/>
      </c>
      <c r="C43315" t="inlineStr">
        <is>
          <t>2018-06-22</t>
        </is>
      </c>
    </row>
    <row r="43316">
      <c r="A43316" s="1" t="n">
        <v>43315</v>
      </c>
      <c r="B43316">
        <f>TEXT(43315, "[$-0E0000]yyyy-mm-dd")</f>
        <v/>
      </c>
      <c r="C43316" t="inlineStr">
        <is>
          <t>2018-06-23</t>
        </is>
      </c>
    </row>
    <row r="43317">
      <c r="A43317" s="1" t="n">
        <v>43316</v>
      </c>
      <c r="B43317">
        <f>TEXT(43316, "[$-0E0000]yyyy-mm-dd")</f>
        <v/>
      </c>
      <c r="C43317" t="inlineStr">
        <is>
          <t>2018-06-24</t>
        </is>
      </c>
    </row>
    <row r="43318">
      <c r="A43318" s="1" t="n">
        <v>43317</v>
      </c>
      <c r="B43318">
        <f>TEXT(43317, "[$-0E0000]yyyy-mm-dd")</f>
        <v/>
      </c>
      <c r="C43318" t="inlineStr">
        <is>
          <t>2018-06-25</t>
        </is>
      </c>
    </row>
    <row r="43319">
      <c r="A43319" s="1" t="n">
        <v>43318</v>
      </c>
      <c r="B43319">
        <f>TEXT(43318, "[$-0E0000]yyyy-mm-dd")</f>
        <v/>
      </c>
      <c r="C43319" t="inlineStr">
        <is>
          <t>2018-06-26</t>
        </is>
      </c>
    </row>
    <row r="43320">
      <c r="A43320" s="1" t="n">
        <v>43319</v>
      </c>
      <c r="B43320">
        <f>TEXT(43319, "[$-0E0000]yyyy-mm-dd")</f>
        <v/>
      </c>
      <c r="C43320" t="inlineStr">
        <is>
          <t>2018-06-27</t>
        </is>
      </c>
    </row>
    <row r="43321">
      <c r="A43321" s="1" t="n">
        <v>43320</v>
      </c>
      <c r="B43321">
        <f>TEXT(43320, "[$-0E0000]yyyy-mm-dd")</f>
        <v/>
      </c>
      <c r="C43321" t="inlineStr">
        <is>
          <t>2018-06-28</t>
        </is>
      </c>
    </row>
    <row r="43322">
      <c r="A43322" s="1" t="n">
        <v>43321</v>
      </c>
      <c r="B43322">
        <f>TEXT(43321, "[$-0E0000]yyyy-mm-dd")</f>
        <v/>
      </c>
      <c r="C43322" t="inlineStr">
        <is>
          <t>2018-06-29</t>
        </is>
      </c>
    </row>
    <row r="43323">
      <c r="A43323" s="1" t="n">
        <v>43322</v>
      </c>
      <c r="B43323">
        <f>TEXT(43322, "[$-0E0000]yyyy-mm-dd")</f>
        <v/>
      </c>
      <c r="C43323" t="inlineStr">
        <is>
          <t>2018-07-01</t>
        </is>
      </c>
    </row>
    <row r="43324">
      <c r="A43324" s="1" t="n">
        <v>43323</v>
      </c>
      <c r="B43324">
        <f>TEXT(43323, "[$-0E0000]yyyy-mm-dd")</f>
        <v/>
      </c>
      <c r="C43324" t="inlineStr">
        <is>
          <t>2018-07-02</t>
        </is>
      </c>
    </row>
    <row r="43325">
      <c r="A43325" s="1" t="n">
        <v>43324</v>
      </c>
      <c r="B43325">
        <f>TEXT(43324, "[$-0E0000]yyyy-mm-dd")</f>
        <v/>
      </c>
      <c r="C43325" t="inlineStr">
        <is>
          <t>2018-07-03</t>
        </is>
      </c>
    </row>
    <row r="43326">
      <c r="A43326" s="1" t="n">
        <v>43325</v>
      </c>
      <c r="B43326">
        <f>TEXT(43325, "[$-0E0000]yyyy-mm-dd")</f>
        <v/>
      </c>
      <c r="C43326" t="inlineStr">
        <is>
          <t>2018-07-04</t>
        </is>
      </c>
    </row>
    <row r="43327">
      <c r="A43327" s="1" t="n">
        <v>43326</v>
      </c>
      <c r="B43327">
        <f>TEXT(43326, "[$-0E0000]yyyy-mm-dd")</f>
        <v/>
      </c>
      <c r="C43327" t="inlineStr">
        <is>
          <t>2018-07-05</t>
        </is>
      </c>
    </row>
    <row r="43328">
      <c r="A43328" s="1" t="n">
        <v>43327</v>
      </c>
      <c r="B43328">
        <f>TEXT(43327, "[$-0E0000]yyyy-mm-dd")</f>
        <v/>
      </c>
      <c r="C43328" t="inlineStr">
        <is>
          <t>2018-07-06</t>
        </is>
      </c>
    </row>
    <row r="43329">
      <c r="A43329" s="1" t="n">
        <v>43328</v>
      </c>
      <c r="B43329">
        <f>TEXT(43328, "[$-0E0000]yyyy-mm-dd")</f>
        <v/>
      </c>
      <c r="C43329" t="inlineStr">
        <is>
          <t>2018-07-07</t>
        </is>
      </c>
    </row>
    <row r="43330">
      <c r="A43330" s="1" t="n">
        <v>43329</v>
      </c>
      <c r="B43330">
        <f>TEXT(43329, "[$-0E0000]yyyy-mm-dd")</f>
        <v/>
      </c>
      <c r="C43330" t="inlineStr">
        <is>
          <t>2018-07-08</t>
        </is>
      </c>
    </row>
    <row r="43331">
      <c r="A43331" s="1" t="n">
        <v>43330</v>
      </c>
      <c r="B43331">
        <f>TEXT(43330, "[$-0E0000]yyyy-mm-dd")</f>
        <v/>
      </c>
      <c r="C43331" t="inlineStr">
        <is>
          <t>2018-07-09</t>
        </is>
      </c>
    </row>
    <row r="43332">
      <c r="A43332" s="1" t="n">
        <v>43331</v>
      </c>
      <c r="B43332">
        <f>TEXT(43331, "[$-0E0000]yyyy-mm-dd")</f>
        <v/>
      </c>
      <c r="C43332" t="inlineStr">
        <is>
          <t>2018-07-10</t>
        </is>
      </c>
    </row>
    <row r="43333">
      <c r="A43333" s="1" t="n">
        <v>43332</v>
      </c>
      <c r="B43333">
        <f>TEXT(43332, "[$-0E0000]yyyy-mm-dd")</f>
        <v/>
      </c>
      <c r="C43333" t="inlineStr">
        <is>
          <t>2018-07-11</t>
        </is>
      </c>
    </row>
    <row r="43334">
      <c r="A43334" s="1" t="n">
        <v>43333</v>
      </c>
      <c r="B43334">
        <f>TEXT(43333, "[$-0E0000]yyyy-mm-dd")</f>
        <v/>
      </c>
      <c r="C43334" t="inlineStr">
        <is>
          <t>2018-07-12</t>
        </is>
      </c>
    </row>
    <row r="43335">
      <c r="A43335" s="1" t="n">
        <v>43334</v>
      </c>
      <c r="B43335">
        <f>TEXT(43334, "[$-0E0000]yyyy-mm-dd")</f>
        <v/>
      </c>
      <c r="C43335" t="inlineStr">
        <is>
          <t>2018-07-13</t>
        </is>
      </c>
    </row>
    <row r="43336">
      <c r="A43336" s="1" t="n">
        <v>43335</v>
      </c>
      <c r="B43336">
        <f>TEXT(43335, "[$-0E0000]yyyy-mm-dd")</f>
        <v/>
      </c>
      <c r="C43336" t="inlineStr">
        <is>
          <t>2018-07-14</t>
        </is>
      </c>
    </row>
    <row r="43337">
      <c r="A43337" s="1" t="n">
        <v>43336</v>
      </c>
      <c r="B43337">
        <f>TEXT(43336, "[$-0E0000]yyyy-mm-dd")</f>
        <v/>
      </c>
      <c r="C43337" t="inlineStr">
        <is>
          <t>2018-07-15</t>
        </is>
      </c>
    </row>
    <row r="43338">
      <c r="A43338" s="1" t="n">
        <v>43337</v>
      </c>
      <c r="B43338">
        <f>TEXT(43337, "[$-0E0000]yyyy-mm-dd")</f>
        <v/>
      </c>
      <c r="C43338" t="inlineStr">
        <is>
          <t>2018-07-16</t>
        </is>
      </c>
    </row>
    <row r="43339">
      <c r="A43339" s="1" t="n">
        <v>43338</v>
      </c>
      <c r="B43339">
        <f>TEXT(43338, "[$-0E0000]yyyy-mm-dd")</f>
        <v/>
      </c>
      <c r="C43339" t="inlineStr">
        <is>
          <t>2018-07-17</t>
        </is>
      </c>
    </row>
    <row r="43340">
      <c r="A43340" s="1" t="n">
        <v>43339</v>
      </c>
      <c r="B43340">
        <f>TEXT(43339, "[$-0E0000]yyyy-mm-dd")</f>
        <v/>
      </c>
      <c r="C43340" t="inlineStr">
        <is>
          <t>2018-07-18</t>
        </is>
      </c>
    </row>
    <row r="43341">
      <c r="A43341" s="1" t="n">
        <v>43340</v>
      </c>
      <c r="B43341">
        <f>TEXT(43340, "[$-0E0000]yyyy-mm-dd")</f>
        <v/>
      </c>
      <c r="C43341" t="inlineStr">
        <is>
          <t>2018-07-19</t>
        </is>
      </c>
    </row>
    <row r="43342">
      <c r="A43342" s="1" t="n">
        <v>43341</v>
      </c>
      <c r="B43342">
        <f>TEXT(43341, "[$-0E0000]yyyy-mm-dd")</f>
        <v/>
      </c>
      <c r="C43342" t="inlineStr">
        <is>
          <t>2018-07-20</t>
        </is>
      </c>
    </row>
    <row r="43343">
      <c r="A43343" s="1" t="n">
        <v>43342</v>
      </c>
      <c r="B43343">
        <f>TEXT(43342, "[$-0E0000]yyyy-mm-dd")</f>
        <v/>
      </c>
      <c r="C43343" t="inlineStr">
        <is>
          <t>2018-07-21</t>
        </is>
      </c>
    </row>
    <row r="43344">
      <c r="A43344" s="1" t="n">
        <v>43343</v>
      </c>
      <c r="B43344">
        <f>TEXT(43343, "[$-0E0000]yyyy-mm-dd")</f>
        <v/>
      </c>
      <c r="C43344" t="inlineStr">
        <is>
          <t>2018-07-22</t>
        </is>
      </c>
    </row>
    <row r="43345">
      <c r="A43345" s="1" t="n">
        <v>43344</v>
      </c>
      <c r="B43345">
        <f>TEXT(43344, "[$-0E0000]yyyy-mm-dd")</f>
        <v/>
      </c>
      <c r="C43345" t="inlineStr">
        <is>
          <t>2018-07-23</t>
        </is>
      </c>
    </row>
    <row r="43346">
      <c r="A43346" s="1" t="n">
        <v>43345</v>
      </c>
      <c r="B43346">
        <f>TEXT(43345, "[$-0E0000]yyyy-mm-dd")</f>
        <v/>
      </c>
      <c r="C43346" t="inlineStr">
        <is>
          <t>2018-07-24</t>
        </is>
      </c>
    </row>
    <row r="43347">
      <c r="A43347" s="1" t="n">
        <v>43346</v>
      </c>
      <c r="B43347">
        <f>TEXT(43346, "[$-0E0000]yyyy-mm-dd")</f>
        <v/>
      </c>
      <c r="C43347" t="inlineStr">
        <is>
          <t>2018-07-25</t>
        </is>
      </c>
    </row>
    <row r="43348">
      <c r="A43348" s="1" t="n">
        <v>43347</v>
      </c>
      <c r="B43348">
        <f>TEXT(43347, "[$-0E0000]yyyy-mm-dd")</f>
        <v/>
      </c>
      <c r="C43348" t="inlineStr">
        <is>
          <t>2018-07-26</t>
        </is>
      </c>
    </row>
    <row r="43349">
      <c r="A43349" s="1" t="n">
        <v>43348</v>
      </c>
      <c r="B43349">
        <f>TEXT(43348, "[$-0E0000]yyyy-mm-dd")</f>
        <v/>
      </c>
      <c r="C43349" t="inlineStr">
        <is>
          <t>2018-07-27</t>
        </is>
      </c>
    </row>
    <row r="43350">
      <c r="A43350" s="1" t="n">
        <v>43349</v>
      </c>
      <c r="B43350">
        <f>TEXT(43349, "[$-0E0000]yyyy-mm-dd")</f>
        <v/>
      </c>
      <c r="C43350" t="inlineStr">
        <is>
          <t>2018-07-28</t>
        </is>
      </c>
    </row>
    <row r="43351">
      <c r="A43351" s="1" t="n">
        <v>43350</v>
      </c>
      <c r="B43351">
        <f>TEXT(43350, "[$-0E0000]yyyy-mm-dd")</f>
        <v/>
      </c>
      <c r="C43351" t="inlineStr">
        <is>
          <t>2018-07-29</t>
        </is>
      </c>
    </row>
    <row r="43352">
      <c r="A43352" s="1" t="n">
        <v>43351</v>
      </c>
      <c r="B43352">
        <f>TEXT(43351, "[$-0E0000]yyyy-mm-dd")</f>
        <v/>
      </c>
      <c r="C43352" t="inlineStr">
        <is>
          <t>2018-07-30</t>
        </is>
      </c>
    </row>
    <row r="43353">
      <c r="A43353" s="1" t="n">
        <v>43352</v>
      </c>
      <c r="B43353">
        <f>TEXT(43352, "[$-0E0000]yyyy-mm-dd")</f>
        <v/>
      </c>
      <c r="C43353" t="inlineStr">
        <is>
          <t>2018-08-01</t>
        </is>
      </c>
    </row>
    <row r="43354">
      <c r="A43354" s="1" t="n">
        <v>43353</v>
      </c>
      <c r="B43354">
        <f>TEXT(43353, "[$-0E0000]yyyy-mm-dd")</f>
        <v/>
      </c>
      <c r="C43354" t="inlineStr">
        <is>
          <t>2018-08-02</t>
        </is>
      </c>
    </row>
    <row r="43355">
      <c r="A43355" s="1" t="n">
        <v>43354</v>
      </c>
      <c r="B43355">
        <f>TEXT(43354, "[$-0E0000]yyyy-mm-dd")</f>
        <v/>
      </c>
      <c r="C43355" t="inlineStr">
        <is>
          <t>2018-08-03</t>
        </is>
      </c>
    </row>
    <row r="43356">
      <c r="A43356" s="1" t="n">
        <v>43355</v>
      </c>
      <c r="B43356">
        <f>TEXT(43355, "[$-0E0000]yyyy-mm-dd")</f>
        <v/>
      </c>
      <c r="C43356" t="inlineStr">
        <is>
          <t>2018-08-04</t>
        </is>
      </c>
    </row>
    <row r="43357">
      <c r="A43357" s="1" t="n">
        <v>43356</v>
      </c>
      <c r="B43357">
        <f>TEXT(43356, "[$-0E0000]yyyy-mm-dd")</f>
        <v/>
      </c>
      <c r="C43357" t="inlineStr">
        <is>
          <t>2018-08-05</t>
        </is>
      </c>
    </row>
    <row r="43358">
      <c r="A43358" s="1" t="n">
        <v>43357</v>
      </c>
      <c r="B43358">
        <f>TEXT(43357, "[$-0E0000]yyyy-mm-dd")</f>
        <v/>
      </c>
      <c r="C43358" t="inlineStr">
        <is>
          <t>2018-08-06</t>
        </is>
      </c>
    </row>
    <row r="43359">
      <c r="A43359" s="1" t="n">
        <v>43358</v>
      </c>
      <c r="B43359">
        <f>TEXT(43358, "[$-0E0000]yyyy-mm-dd")</f>
        <v/>
      </c>
      <c r="C43359" t="inlineStr">
        <is>
          <t>2018-08-07</t>
        </is>
      </c>
    </row>
    <row r="43360">
      <c r="A43360" s="1" t="n">
        <v>43359</v>
      </c>
      <c r="B43360">
        <f>TEXT(43359, "[$-0E0000]yyyy-mm-dd")</f>
        <v/>
      </c>
      <c r="C43360" t="inlineStr">
        <is>
          <t>2018-08-08</t>
        </is>
      </c>
    </row>
    <row r="43361">
      <c r="A43361" s="1" t="n">
        <v>43360</v>
      </c>
      <c r="B43361">
        <f>TEXT(43360, "[$-0E0000]yyyy-mm-dd")</f>
        <v/>
      </c>
      <c r="C43361" t="inlineStr">
        <is>
          <t>2018-08-09</t>
        </is>
      </c>
    </row>
    <row r="43362">
      <c r="A43362" s="1" t="n">
        <v>43361</v>
      </c>
      <c r="B43362">
        <f>TEXT(43361, "[$-0E0000]yyyy-mm-dd")</f>
        <v/>
      </c>
      <c r="C43362" t="inlineStr">
        <is>
          <t>2018-08-10</t>
        </is>
      </c>
    </row>
    <row r="43363">
      <c r="A43363" s="1" t="n">
        <v>43362</v>
      </c>
      <c r="B43363">
        <f>TEXT(43362, "[$-0E0000]yyyy-mm-dd")</f>
        <v/>
      </c>
      <c r="C43363" t="inlineStr">
        <is>
          <t>2018-08-11</t>
        </is>
      </c>
    </row>
    <row r="43364">
      <c r="A43364" s="1" t="n">
        <v>43363</v>
      </c>
      <c r="B43364">
        <f>TEXT(43363, "[$-0E0000]yyyy-mm-dd")</f>
        <v/>
      </c>
      <c r="C43364" t="inlineStr">
        <is>
          <t>2018-08-12</t>
        </is>
      </c>
    </row>
    <row r="43365">
      <c r="A43365" s="1" t="n">
        <v>43364</v>
      </c>
      <c r="B43365">
        <f>TEXT(43364, "[$-0E0000]yyyy-mm-dd")</f>
        <v/>
      </c>
      <c r="C43365" t="inlineStr">
        <is>
          <t>2018-08-13</t>
        </is>
      </c>
    </row>
    <row r="43366">
      <c r="A43366" s="1" t="n">
        <v>43365</v>
      </c>
      <c r="B43366">
        <f>TEXT(43365, "[$-0E0000]yyyy-mm-dd")</f>
        <v/>
      </c>
      <c r="C43366" t="inlineStr">
        <is>
          <t>2018-08-14</t>
        </is>
      </c>
    </row>
    <row r="43367">
      <c r="A43367" s="1" t="n">
        <v>43366</v>
      </c>
      <c r="B43367">
        <f>TEXT(43366, "[$-0E0000]yyyy-mm-dd")</f>
        <v/>
      </c>
      <c r="C43367" t="inlineStr">
        <is>
          <t>2018-08-15</t>
        </is>
      </c>
    </row>
    <row r="43368">
      <c r="A43368" s="1" t="n">
        <v>43367</v>
      </c>
      <c r="B43368">
        <f>TEXT(43367, "[$-0E0000]yyyy-mm-dd")</f>
        <v/>
      </c>
      <c r="C43368" t="inlineStr">
        <is>
          <t>2018-08-16</t>
        </is>
      </c>
    </row>
    <row r="43369">
      <c r="A43369" s="1" t="n">
        <v>43368</v>
      </c>
      <c r="B43369">
        <f>TEXT(43368, "[$-0E0000]yyyy-mm-dd")</f>
        <v/>
      </c>
      <c r="C43369" t="inlineStr">
        <is>
          <t>2018-08-17</t>
        </is>
      </c>
    </row>
    <row r="43370">
      <c r="A43370" s="1" t="n">
        <v>43369</v>
      </c>
      <c r="B43370">
        <f>TEXT(43369, "[$-0E0000]yyyy-mm-dd")</f>
        <v/>
      </c>
      <c r="C43370" t="inlineStr">
        <is>
          <t>2018-08-18</t>
        </is>
      </c>
    </row>
    <row r="43371">
      <c r="A43371" s="1" t="n">
        <v>43370</v>
      </c>
      <c r="B43371">
        <f>TEXT(43370, "[$-0E0000]yyyy-mm-dd")</f>
        <v/>
      </c>
      <c r="C43371" t="inlineStr">
        <is>
          <t>2018-08-19</t>
        </is>
      </c>
    </row>
    <row r="43372">
      <c r="A43372" s="1" t="n">
        <v>43371</v>
      </c>
      <c r="B43372">
        <f>TEXT(43371, "[$-0E0000]yyyy-mm-dd")</f>
        <v/>
      </c>
      <c r="C43372" t="inlineStr">
        <is>
          <t>2018-08-20</t>
        </is>
      </c>
    </row>
    <row r="43373">
      <c r="A43373" s="1" t="n">
        <v>43372</v>
      </c>
      <c r="B43373">
        <f>TEXT(43372, "[$-0E0000]yyyy-mm-dd")</f>
        <v/>
      </c>
      <c r="C43373" t="inlineStr">
        <is>
          <t>2018-08-21</t>
        </is>
      </c>
    </row>
    <row r="43374">
      <c r="A43374" s="1" t="n">
        <v>43373</v>
      </c>
      <c r="B43374">
        <f>TEXT(43373, "[$-0E0000]yyyy-mm-dd")</f>
        <v/>
      </c>
      <c r="C43374" t="inlineStr">
        <is>
          <t>2018-08-22</t>
        </is>
      </c>
    </row>
    <row r="43375">
      <c r="A43375" s="1" t="n">
        <v>43374</v>
      </c>
      <c r="B43375">
        <f>TEXT(43374, "[$-0E0000]yyyy-mm-dd")</f>
        <v/>
      </c>
      <c r="C43375" t="inlineStr">
        <is>
          <t>2018-08-23</t>
        </is>
      </c>
    </row>
    <row r="43376">
      <c r="A43376" s="1" t="n">
        <v>43375</v>
      </c>
      <c r="B43376">
        <f>TEXT(43375, "[$-0E0000]yyyy-mm-dd")</f>
        <v/>
      </c>
      <c r="C43376" t="inlineStr">
        <is>
          <t>2018-08-24</t>
        </is>
      </c>
    </row>
    <row r="43377">
      <c r="A43377" s="1" t="n">
        <v>43376</v>
      </c>
      <c r="B43377">
        <f>TEXT(43376, "[$-0E0000]yyyy-mm-dd")</f>
        <v/>
      </c>
      <c r="C43377" t="inlineStr">
        <is>
          <t>2018-08-25</t>
        </is>
      </c>
    </row>
    <row r="43378">
      <c r="A43378" s="1" t="n">
        <v>43377</v>
      </c>
      <c r="B43378">
        <f>TEXT(43377, "[$-0E0000]yyyy-mm-dd")</f>
        <v/>
      </c>
      <c r="C43378" t="inlineStr">
        <is>
          <t>2018-08-26</t>
        </is>
      </c>
    </row>
    <row r="43379">
      <c r="A43379" s="1" t="n">
        <v>43378</v>
      </c>
      <c r="B43379">
        <f>TEXT(43378, "[$-0E0000]yyyy-mm-dd")</f>
        <v/>
      </c>
      <c r="C43379" t="inlineStr">
        <is>
          <t>2018-08-27</t>
        </is>
      </c>
    </row>
    <row r="43380">
      <c r="A43380" s="1" t="n">
        <v>43379</v>
      </c>
      <c r="B43380">
        <f>TEXT(43379, "[$-0E0000]yyyy-mm-dd")</f>
        <v/>
      </c>
      <c r="C43380" t="inlineStr">
        <is>
          <t>2018-08-28</t>
        </is>
      </c>
    </row>
    <row r="43381">
      <c r="A43381" s="1" t="n">
        <v>43380</v>
      </c>
      <c r="B43381">
        <f>TEXT(43380, "[$-0E0000]yyyy-mm-dd")</f>
        <v/>
      </c>
      <c r="C43381" t="inlineStr">
        <is>
          <t>2018-08-29</t>
        </is>
      </c>
    </row>
    <row r="43382">
      <c r="A43382" s="1" t="n">
        <v>43381</v>
      </c>
      <c r="B43382">
        <f>TEXT(43381, "[$-0E0000]yyyy-mm-dd")</f>
        <v/>
      </c>
      <c r="C43382" t="inlineStr">
        <is>
          <t>2018-09-01</t>
        </is>
      </c>
    </row>
    <row r="43383">
      <c r="A43383" s="1" t="n">
        <v>43382</v>
      </c>
      <c r="B43383">
        <f>TEXT(43382, "[$-0E0000]yyyy-mm-dd")</f>
        <v/>
      </c>
      <c r="C43383" t="inlineStr">
        <is>
          <t>2018-09-02</t>
        </is>
      </c>
    </row>
    <row r="43384">
      <c r="A43384" s="1" t="n">
        <v>43383</v>
      </c>
      <c r="B43384">
        <f>TEXT(43383, "[$-0E0000]yyyy-mm-dd")</f>
        <v/>
      </c>
      <c r="C43384" t="inlineStr">
        <is>
          <t>2018-09-03</t>
        </is>
      </c>
    </row>
    <row r="43385">
      <c r="A43385" s="1" t="n">
        <v>43384</v>
      </c>
      <c r="B43385">
        <f>TEXT(43384, "[$-0E0000]yyyy-mm-dd")</f>
        <v/>
      </c>
      <c r="C43385" t="inlineStr">
        <is>
          <t>2018-09-04</t>
        </is>
      </c>
    </row>
    <row r="43386">
      <c r="A43386" s="1" t="n">
        <v>43385</v>
      </c>
      <c r="B43386">
        <f>TEXT(43385, "[$-0E0000]yyyy-mm-dd")</f>
        <v/>
      </c>
      <c r="C43386" t="inlineStr">
        <is>
          <t>2018-09-05</t>
        </is>
      </c>
    </row>
    <row r="43387">
      <c r="A43387" s="1" t="n">
        <v>43386</v>
      </c>
      <c r="B43387">
        <f>TEXT(43386, "[$-0E0000]yyyy-mm-dd")</f>
        <v/>
      </c>
      <c r="C43387" t="inlineStr">
        <is>
          <t>2018-09-06</t>
        </is>
      </c>
    </row>
    <row r="43388">
      <c r="A43388" s="1" t="n">
        <v>43387</v>
      </c>
      <c r="B43388">
        <f>TEXT(43387, "[$-0E0000]yyyy-mm-dd")</f>
        <v/>
      </c>
      <c r="C43388" t="inlineStr">
        <is>
          <t>2018-09-07</t>
        </is>
      </c>
    </row>
    <row r="43389">
      <c r="A43389" s="1" t="n">
        <v>43388</v>
      </c>
      <c r="B43389">
        <f>TEXT(43388, "[$-0E0000]yyyy-mm-dd")</f>
        <v/>
      </c>
      <c r="C43389" t="inlineStr">
        <is>
          <t>2018-09-08</t>
        </is>
      </c>
    </row>
    <row r="43390">
      <c r="A43390" s="1" t="n">
        <v>43389</v>
      </c>
      <c r="B43390">
        <f>TEXT(43389, "[$-0E0000]yyyy-mm-dd")</f>
        <v/>
      </c>
      <c r="C43390" t="inlineStr">
        <is>
          <t>2018-09-09</t>
        </is>
      </c>
    </row>
    <row r="43391">
      <c r="A43391" s="1" t="n">
        <v>43390</v>
      </c>
      <c r="B43391">
        <f>TEXT(43390, "[$-0E0000]yyyy-mm-dd")</f>
        <v/>
      </c>
      <c r="C43391" t="inlineStr">
        <is>
          <t>2018-09-10</t>
        </is>
      </c>
    </row>
    <row r="43392">
      <c r="A43392" s="1" t="n">
        <v>43391</v>
      </c>
      <c r="B43392">
        <f>TEXT(43391, "[$-0E0000]yyyy-mm-dd")</f>
        <v/>
      </c>
      <c r="C43392" t="inlineStr">
        <is>
          <t>2018-09-11</t>
        </is>
      </c>
    </row>
    <row r="43393">
      <c r="A43393" s="1" t="n">
        <v>43392</v>
      </c>
      <c r="B43393">
        <f>TEXT(43392, "[$-0E0000]yyyy-mm-dd")</f>
        <v/>
      </c>
      <c r="C43393" t="inlineStr">
        <is>
          <t>2018-09-12</t>
        </is>
      </c>
    </row>
    <row r="43394">
      <c r="A43394" s="1" t="n">
        <v>43393</v>
      </c>
      <c r="B43394">
        <f>TEXT(43393, "[$-0E0000]yyyy-mm-dd")</f>
        <v/>
      </c>
      <c r="C43394" t="inlineStr">
        <is>
          <t>2018-09-13</t>
        </is>
      </c>
    </row>
    <row r="43395">
      <c r="A43395" s="1" t="n">
        <v>43394</v>
      </c>
      <c r="B43395">
        <f>TEXT(43394, "[$-0E0000]yyyy-mm-dd")</f>
        <v/>
      </c>
      <c r="C43395" t="inlineStr">
        <is>
          <t>2018-09-14</t>
        </is>
      </c>
    </row>
    <row r="43396">
      <c r="A43396" s="1" t="n">
        <v>43395</v>
      </c>
      <c r="B43396">
        <f>TEXT(43395, "[$-0E0000]yyyy-mm-dd")</f>
        <v/>
      </c>
      <c r="C43396" t="inlineStr">
        <is>
          <t>2018-09-15</t>
        </is>
      </c>
    </row>
    <row r="43397">
      <c r="A43397" s="1" t="n">
        <v>43396</v>
      </c>
      <c r="B43397">
        <f>TEXT(43396, "[$-0E0000]yyyy-mm-dd")</f>
        <v/>
      </c>
      <c r="C43397" t="inlineStr">
        <is>
          <t>2018-09-16</t>
        </is>
      </c>
    </row>
    <row r="43398">
      <c r="A43398" s="1" t="n">
        <v>43397</v>
      </c>
      <c r="B43398">
        <f>TEXT(43397, "[$-0E0000]yyyy-mm-dd")</f>
        <v/>
      </c>
      <c r="C43398" t="inlineStr">
        <is>
          <t>2018-09-17</t>
        </is>
      </c>
    </row>
    <row r="43399">
      <c r="A43399" s="1" t="n">
        <v>43398</v>
      </c>
      <c r="B43399">
        <f>TEXT(43398, "[$-0E0000]yyyy-mm-dd")</f>
        <v/>
      </c>
      <c r="C43399" t="inlineStr">
        <is>
          <t>2018-09-18</t>
        </is>
      </c>
    </row>
    <row r="43400">
      <c r="A43400" s="1" t="n">
        <v>43399</v>
      </c>
      <c r="B43400">
        <f>TEXT(43399, "[$-0E0000]yyyy-mm-dd")</f>
        <v/>
      </c>
      <c r="C43400" t="inlineStr">
        <is>
          <t>2018-09-19</t>
        </is>
      </c>
    </row>
    <row r="43401">
      <c r="A43401" s="1" t="n">
        <v>43400</v>
      </c>
      <c r="B43401">
        <f>TEXT(43400, "[$-0E0000]yyyy-mm-dd")</f>
        <v/>
      </c>
      <c r="C43401" t="inlineStr">
        <is>
          <t>2018-09-20</t>
        </is>
      </c>
    </row>
    <row r="43402">
      <c r="A43402" s="1" t="n">
        <v>43401</v>
      </c>
      <c r="B43402">
        <f>TEXT(43401, "[$-0E0000]yyyy-mm-dd")</f>
        <v/>
      </c>
      <c r="C43402" t="inlineStr">
        <is>
          <t>2018-09-21</t>
        </is>
      </c>
    </row>
    <row r="43403">
      <c r="A43403" s="1" t="n">
        <v>43402</v>
      </c>
      <c r="B43403">
        <f>TEXT(43402, "[$-0E0000]yyyy-mm-dd")</f>
        <v/>
      </c>
      <c r="C43403" t="inlineStr">
        <is>
          <t>2018-09-22</t>
        </is>
      </c>
    </row>
    <row r="43404">
      <c r="A43404" s="1" t="n">
        <v>43403</v>
      </c>
      <c r="B43404">
        <f>TEXT(43403, "[$-0E0000]yyyy-mm-dd")</f>
        <v/>
      </c>
      <c r="C43404" t="inlineStr">
        <is>
          <t>2018-09-23</t>
        </is>
      </c>
    </row>
    <row r="43405">
      <c r="A43405" s="1" t="n">
        <v>43404</v>
      </c>
      <c r="B43405">
        <f>TEXT(43404, "[$-0E0000]yyyy-mm-dd")</f>
        <v/>
      </c>
      <c r="C43405" t="inlineStr">
        <is>
          <t>2018-09-24</t>
        </is>
      </c>
    </row>
    <row r="43406">
      <c r="A43406" s="1" t="n">
        <v>43405</v>
      </c>
      <c r="B43406">
        <f>TEXT(43405, "[$-0E0000]yyyy-mm-dd")</f>
        <v/>
      </c>
      <c r="C43406" t="inlineStr">
        <is>
          <t>2018-09-25</t>
        </is>
      </c>
    </row>
    <row r="43407">
      <c r="A43407" s="1" t="n">
        <v>43406</v>
      </c>
      <c r="B43407">
        <f>TEXT(43406, "[$-0E0000]yyyy-mm-dd")</f>
        <v/>
      </c>
      <c r="C43407" t="inlineStr">
        <is>
          <t>2018-09-26</t>
        </is>
      </c>
    </row>
    <row r="43408">
      <c r="A43408" s="1" t="n">
        <v>43407</v>
      </c>
      <c r="B43408">
        <f>TEXT(43407, "[$-0E0000]yyyy-mm-dd")</f>
        <v/>
      </c>
      <c r="C43408" t="inlineStr">
        <is>
          <t>2018-09-27</t>
        </is>
      </c>
    </row>
    <row r="43409">
      <c r="A43409" s="1" t="n">
        <v>43408</v>
      </c>
      <c r="B43409">
        <f>TEXT(43408, "[$-0E0000]yyyy-mm-dd")</f>
        <v/>
      </c>
      <c r="C43409" t="inlineStr">
        <is>
          <t>2018-09-28</t>
        </is>
      </c>
    </row>
    <row r="43410">
      <c r="A43410" s="1" t="n">
        <v>43409</v>
      </c>
      <c r="B43410">
        <f>TEXT(43409, "[$-0E0000]yyyy-mm-dd")</f>
        <v/>
      </c>
      <c r="C43410" t="inlineStr">
        <is>
          <t>2018-09-29</t>
        </is>
      </c>
    </row>
    <row r="43411">
      <c r="A43411" s="1" t="n">
        <v>43410</v>
      </c>
      <c r="B43411">
        <f>TEXT(43410, "[$-0E0000]yyyy-mm-dd")</f>
        <v/>
      </c>
      <c r="C43411" t="inlineStr">
        <is>
          <t>2018-09-30</t>
        </is>
      </c>
    </row>
    <row r="43412">
      <c r="A43412" s="1" t="n">
        <v>43411</v>
      </c>
      <c r="B43412">
        <f>TEXT(43411, "[$-0E0000]yyyy-mm-dd")</f>
        <v/>
      </c>
      <c r="C43412" t="inlineStr">
        <is>
          <t>2018-10-01</t>
        </is>
      </c>
    </row>
    <row r="43413">
      <c r="A43413" s="1" t="n">
        <v>43412</v>
      </c>
      <c r="B43413">
        <f>TEXT(43412, "[$-0E0000]yyyy-mm-dd")</f>
        <v/>
      </c>
      <c r="C43413" t="inlineStr">
        <is>
          <t>2018-10-02</t>
        </is>
      </c>
    </row>
    <row r="43414">
      <c r="A43414" s="1" t="n">
        <v>43413</v>
      </c>
      <c r="B43414">
        <f>TEXT(43413, "[$-0E0000]yyyy-mm-dd")</f>
        <v/>
      </c>
      <c r="C43414" t="inlineStr">
        <is>
          <t>2018-10-03</t>
        </is>
      </c>
    </row>
    <row r="43415">
      <c r="A43415" s="1" t="n">
        <v>43414</v>
      </c>
      <c r="B43415">
        <f>TEXT(43414, "[$-0E0000]yyyy-mm-dd")</f>
        <v/>
      </c>
      <c r="C43415" t="inlineStr">
        <is>
          <t>2018-10-04</t>
        </is>
      </c>
    </row>
    <row r="43416">
      <c r="A43416" s="1" t="n">
        <v>43415</v>
      </c>
      <c r="B43416">
        <f>TEXT(43415, "[$-0E0000]yyyy-mm-dd")</f>
        <v/>
      </c>
      <c r="C43416" t="inlineStr">
        <is>
          <t>2018-10-05</t>
        </is>
      </c>
    </row>
    <row r="43417">
      <c r="A43417" s="1" t="n">
        <v>43416</v>
      </c>
      <c r="B43417">
        <f>TEXT(43416, "[$-0E0000]yyyy-mm-dd")</f>
        <v/>
      </c>
      <c r="C43417" t="inlineStr">
        <is>
          <t>2018-10-06</t>
        </is>
      </c>
    </row>
    <row r="43418">
      <c r="A43418" s="1" t="n">
        <v>43417</v>
      </c>
      <c r="B43418">
        <f>TEXT(43417, "[$-0E0000]yyyy-mm-dd")</f>
        <v/>
      </c>
      <c r="C43418" t="inlineStr">
        <is>
          <t>2018-10-07</t>
        </is>
      </c>
    </row>
    <row r="43419">
      <c r="A43419" s="1" t="n">
        <v>43418</v>
      </c>
      <c r="B43419">
        <f>TEXT(43418, "[$-0E0000]yyyy-mm-dd")</f>
        <v/>
      </c>
      <c r="C43419" t="inlineStr">
        <is>
          <t>2018-10-08</t>
        </is>
      </c>
    </row>
    <row r="43420">
      <c r="A43420" s="1" t="n">
        <v>43419</v>
      </c>
      <c r="B43420">
        <f>TEXT(43419, "[$-0E0000]yyyy-mm-dd")</f>
        <v/>
      </c>
      <c r="C43420" t="inlineStr">
        <is>
          <t>2018-10-09</t>
        </is>
      </c>
    </row>
    <row r="43421">
      <c r="A43421" s="1" t="n">
        <v>43420</v>
      </c>
      <c r="B43421">
        <f>TEXT(43420, "[$-0E0000]yyyy-mm-dd")</f>
        <v/>
      </c>
      <c r="C43421" t="inlineStr">
        <is>
          <t>2018-10-10</t>
        </is>
      </c>
    </row>
    <row r="43422">
      <c r="A43422" s="1" t="n">
        <v>43421</v>
      </c>
      <c r="B43422">
        <f>TEXT(43421, "[$-0E0000]yyyy-mm-dd")</f>
        <v/>
      </c>
      <c r="C43422" t="inlineStr">
        <is>
          <t>2018-10-11</t>
        </is>
      </c>
    </row>
    <row r="43423">
      <c r="A43423" s="1" t="n">
        <v>43422</v>
      </c>
      <c r="B43423">
        <f>TEXT(43422, "[$-0E0000]yyyy-mm-dd")</f>
        <v/>
      </c>
      <c r="C43423" t="inlineStr">
        <is>
          <t>2018-10-12</t>
        </is>
      </c>
    </row>
    <row r="43424">
      <c r="A43424" s="1" t="n">
        <v>43423</v>
      </c>
      <c r="B43424">
        <f>TEXT(43423, "[$-0E0000]yyyy-mm-dd")</f>
        <v/>
      </c>
      <c r="C43424" t="inlineStr">
        <is>
          <t>2018-10-13</t>
        </is>
      </c>
    </row>
    <row r="43425">
      <c r="A43425" s="1" t="n">
        <v>43424</v>
      </c>
      <c r="B43425">
        <f>TEXT(43424, "[$-0E0000]yyyy-mm-dd")</f>
        <v/>
      </c>
      <c r="C43425" t="inlineStr">
        <is>
          <t>2018-10-14</t>
        </is>
      </c>
    </row>
    <row r="43426">
      <c r="A43426" s="1" t="n">
        <v>43425</v>
      </c>
      <c r="B43426">
        <f>TEXT(43425, "[$-0E0000]yyyy-mm-dd")</f>
        <v/>
      </c>
      <c r="C43426" t="inlineStr">
        <is>
          <t>2018-10-15</t>
        </is>
      </c>
    </row>
    <row r="43427">
      <c r="A43427" s="1" t="n">
        <v>43426</v>
      </c>
      <c r="B43427">
        <f>TEXT(43426, "[$-0E0000]yyyy-mm-dd")</f>
        <v/>
      </c>
      <c r="C43427" t="inlineStr">
        <is>
          <t>2018-10-16</t>
        </is>
      </c>
    </row>
    <row r="43428">
      <c r="A43428" s="1" t="n">
        <v>43427</v>
      </c>
      <c r="B43428">
        <f>TEXT(43427, "[$-0E0000]yyyy-mm-dd")</f>
        <v/>
      </c>
      <c r="C43428" t="inlineStr">
        <is>
          <t>2018-10-17</t>
        </is>
      </c>
    </row>
    <row r="43429">
      <c r="A43429" s="1" t="n">
        <v>43428</v>
      </c>
      <c r="B43429">
        <f>TEXT(43428, "[$-0E0000]yyyy-mm-dd")</f>
        <v/>
      </c>
      <c r="C43429" t="inlineStr">
        <is>
          <t>2018-10-18</t>
        </is>
      </c>
    </row>
    <row r="43430">
      <c r="A43430" s="1" t="n">
        <v>43429</v>
      </c>
      <c r="B43430">
        <f>TEXT(43429, "[$-0E0000]yyyy-mm-dd")</f>
        <v/>
      </c>
      <c r="C43430" t="inlineStr">
        <is>
          <t>2018-10-19</t>
        </is>
      </c>
    </row>
    <row r="43431">
      <c r="A43431" s="1" t="n">
        <v>43430</v>
      </c>
      <c r="B43431">
        <f>TEXT(43430, "[$-0E0000]yyyy-mm-dd")</f>
        <v/>
      </c>
      <c r="C43431" t="inlineStr">
        <is>
          <t>2018-10-20</t>
        </is>
      </c>
    </row>
    <row r="43432">
      <c r="A43432" s="1" t="n">
        <v>43431</v>
      </c>
      <c r="B43432">
        <f>TEXT(43431, "[$-0E0000]yyyy-mm-dd")</f>
        <v/>
      </c>
      <c r="C43432" t="inlineStr">
        <is>
          <t>2018-10-21</t>
        </is>
      </c>
    </row>
    <row r="43433">
      <c r="A43433" s="1" t="n">
        <v>43432</v>
      </c>
      <c r="B43433">
        <f>TEXT(43432, "[$-0E0000]yyyy-mm-dd")</f>
        <v/>
      </c>
      <c r="C43433" t="inlineStr">
        <is>
          <t>2018-10-22</t>
        </is>
      </c>
    </row>
    <row r="43434">
      <c r="A43434" s="1" t="n">
        <v>43433</v>
      </c>
      <c r="B43434">
        <f>TEXT(43433, "[$-0E0000]yyyy-mm-dd")</f>
        <v/>
      </c>
      <c r="C43434" t="inlineStr">
        <is>
          <t>2018-10-23</t>
        </is>
      </c>
    </row>
    <row r="43435">
      <c r="A43435" s="1" t="n">
        <v>43434</v>
      </c>
      <c r="B43435">
        <f>TEXT(43434, "[$-0E0000]yyyy-mm-dd")</f>
        <v/>
      </c>
      <c r="C43435" t="inlineStr">
        <is>
          <t>2018-10-24</t>
        </is>
      </c>
    </row>
    <row r="43436">
      <c r="A43436" s="1" t="n">
        <v>43435</v>
      </c>
      <c r="B43436">
        <f>TEXT(43435, "[$-0E0000]yyyy-mm-dd")</f>
        <v/>
      </c>
      <c r="C43436" t="inlineStr">
        <is>
          <t>2018-10-25</t>
        </is>
      </c>
    </row>
    <row r="43437">
      <c r="A43437" s="1" t="n">
        <v>43436</v>
      </c>
      <c r="B43437">
        <f>TEXT(43436, "[$-0E0000]yyyy-mm-dd")</f>
        <v/>
      </c>
      <c r="C43437" t="inlineStr">
        <is>
          <t>2018-10-26</t>
        </is>
      </c>
    </row>
    <row r="43438">
      <c r="A43438" s="1" t="n">
        <v>43437</v>
      </c>
      <c r="B43438">
        <f>TEXT(43437, "[$-0E0000]yyyy-mm-dd")</f>
        <v/>
      </c>
      <c r="C43438" t="inlineStr">
        <is>
          <t>2018-10-27</t>
        </is>
      </c>
    </row>
    <row r="43439">
      <c r="A43439" s="1" t="n">
        <v>43438</v>
      </c>
      <c r="B43439">
        <f>TEXT(43438, "[$-0E0000]yyyy-mm-dd")</f>
        <v/>
      </c>
      <c r="C43439" t="inlineStr">
        <is>
          <t>2018-10-28</t>
        </is>
      </c>
    </row>
    <row r="43440">
      <c r="A43440" s="1" t="n">
        <v>43439</v>
      </c>
      <c r="B43440">
        <f>TEXT(43439, "[$-0E0000]yyyy-mm-dd")</f>
        <v/>
      </c>
      <c r="C43440" t="inlineStr">
        <is>
          <t>2018-10-29</t>
        </is>
      </c>
    </row>
    <row r="43441">
      <c r="A43441" s="1" t="n">
        <v>43440</v>
      </c>
      <c r="B43441">
        <f>TEXT(43440, "[$-0E0000]yyyy-mm-dd")</f>
        <v/>
      </c>
      <c r="C43441" t="inlineStr">
        <is>
          <t>2018-11-01</t>
        </is>
      </c>
    </row>
    <row r="43442">
      <c r="A43442" s="1" t="n">
        <v>43441</v>
      </c>
      <c r="B43442">
        <f>TEXT(43441, "[$-0E0000]yyyy-mm-dd")</f>
        <v/>
      </c>
      <c r="C43442" t="inlineStr">
        <is>
          <t>2018-11-02</t>
        </is>
      </c>
    </row>
    <row r="43443">
      <c r="A43443" s="1" t="n">
        <v>43442</v>
      </c>
      <c r="B43443">
        <f>TEXT(43442, "[$-0E0000]yyyy-mm-dd")</f>
        <v/>
      </c>
      <c r="C43443" t="inlineStr">
        <is>
          <t>2018-11-03</t>
        </is>
      </c>
    </row>
    <row r="43444">
      <c r="A43444" s="1" t="n">
        <v>43443</v>
      </c>
      <c r="B43444">
        <f>TEXT(43443, "[$-0E0000]yyyy-mm-dd")</f>
        <v/>
      </c>
      <c r="C43444" t="inlineStr">
        <is>
          <t>2018-11-04</t>
        </is>
      </c>
    </row>
    <row r="43445">
      <c r="A43445" s="1" t="n">
        <v>43444</v>
      </c>
      <c r="B43445">
        <f>TEXT(43444, "[$-0E0000]yyyy-mm-dd")</f>
        <v/>
      </c>
      <c r="C43445" t="inlineStr">
        <is>
          <t>2018-11-05</t>
        </is>
      </c>
    </row>
    <row r="43446">
      <c r="A43446" s="1" t="n">
        <v>43445</v>
      </c>
      <c r="B43446">
        <f>TEXT(43445, "[$-0E0000]yyyy-mm-dd")</f>
        <v/>
      </c>
      <c r="C43446" t="inlineStr">
        <is>
          <t>2018-11-06</t>
        </is>
      </c>
    </row>
    <row r="43447">
      <c r="A43447" s="1" t="n">
        <v>43446</v>
      </c>
      <c r="B43447">
        <f>TEXT(43446, "[$-0E0000]yyyy-mm-dd")</f>
        <v/>
      </c>
      <c r="C43447" t="inlineStr">
        <is>
          <t>2018-11-07</t>
        </is>
      </c>
    </row>
    <row r="43448">
      <c r="A43448" s="1" t="n">
        <v>43447</v>
      </c>
      <c r="B43448">
        <f>TEXT(43447, "[$-0E0000]yyyy-mm-dd")</f>
        <v/>
      </c>
      <c r="C43448" t="inlineStr">
        <is>
          <t>2018-11-08</t>
        </is>
      </c>
    </row>
    <row r="43449">
      <c r="A43449" s="1" t="n">
        <v>43448</v>
      </c>
      <c r="B43449">
        <f>TEXT(43448, "[$-0E0000]yyyy-mm-dd")</f>
        <v/>
      </c>
      <c r="C43449" t="inlineStr">
        <is>
          <t>2018-11-09</t>
        </is>
      </c>
    </row>
    <row r="43450">
      <c r="A43450" s="1" t="n">
        <v>43449</v>
      </c>
      <c r="B43450">
        <f>TEXT(43449, "[$-0E0000]yyyy-mm-dd")</f>
        <v/>
      </c>
      <c r="C43450" t="inlineStr">
        <is>
          <t>2018-11-10</t>
        </is>
      </c>
    </row>
    <row r="43451">
      <c r="A43451" s="1" t="n">
        <v>43450</v>
      </c>
      <c r="B43451">
        <f>TEXT(43450, "[$-0E0000]yyyy-mm-dd")</f>
        <v/>
      </c>
      <c r="C43451" t="inlineStr">
        <is>
          <t>2018-11-11</t>
        </is>
      </c>
    </row>
    <row r="43452">
      <c r="A43452" s="1" t="n">
        <v>43451</v>
      </c>
      <c r="B43452">
        <f>TEXT(43451, "[$-0E0000]yyyy-mm-dd")</f>
        <v/>
      </c>
      <c r="C43452" t="inlineStr">
        <is>
          <t>2018-11-12</t>
        </is>
      </c>
    </row>
    <row r="43453">
      <c r="A43453" s="1" t="n">
        <v>43452</v>
      </c>
      <c r="B43453">
        <f>TEXT(43452, "[$-0E0000]yyyy-mm-dd")</f>
        <v/>
      </c>
      <c r="C43453" t="inlineStr">
        <is>
          <t>2018-11-13</t>
        </is>
      </c>
    </row>
    <row r="43454">
      <c r="A43454" s="1" t="n">
        <v>43453</v>
      </c>
      <c r="B43454">
        <f>TEXT(43453, "[$-0E0000]yyyy-mm-dd")</f>
        <v/>
      </c>
      <c r="C43454" t="inlineStr">
        <is>
          <t>2018-11-14</t>
        </is>
      </c>
    </row>
    <row r="43455">
      <c r="A43455" s="1" t="n">
        <v>43454</v>
      </c>
      <c r="B43455">
        <f>TEXT(43454, "[$-0E0000]yyyy-mm-dd")</f>
        <v/>
      </c>
      <c r="C43455" t="inlineStr">
        <is>
          <t>2018-11-15</t>
        </is>
      </c>
    </row>
    <row r="43456">
      <c r="A43456" s="1" t="n">
        <v>43455</v>
      </c>
      <c r="B43456">
        <f>TEXT(43455, "[$-0E0000]yyyy-mm-dd")</f>
        <v/>
      </c>
      <c r="C43456" t="inlineStr">
        <is>
          <t>2018-11-16</t>
        </is>
      </c>
    </row>
    <row r="43457">
      <c r="A43457" s="1" t="n">
        <v>43456</v>
      </c>
      <c r="B43457">
        <f>TEXT(43456, "[$-0E0000]yyyy-mm-dd")</f>
        <v/>
      </c>
      <c r="C43457" t="inlineStr">
        <is>
          <t>2018-11-17</t>
        </is>
      </c>
    </row>
    <row r="43458">
      <c r="A43458" s="1" t="n">
        <v>43457</v>
      </c>
      <c r="B43458">
        <f>TEXT(43457, "[$-0E0000]yyyy-mm-dd")</f>
        <v/>
      </c>
      <c r="C43458" t="inlineStr">
        <is>
          <t>2018-11-18</t>
        </is>
      </c>
    </row>
    <row r="43459">
      <c r="A43459" s="1" t="n">
        <v>43458</v>
      </c>
      <c r="B43459">
        <f>TEXT(43458, "[$-0E0000]yyyy-mm-dd")</f>
        <v/>
      </c>
      <c r="C43459" t="inlineStr">
        <is>
          <t>2018-11-19</t>
        </is>
      </c>
    </row>
    <row r="43460">
      <c r="A43460" s="1" t="n">
        <v>43459</v>
      </c>
      <c r="B43460">
        <f>TEXT(43459, "[$-0E0000]yyyy-mm-dd")</f>
        <v/>
      </c>
      <c r="C43460" t="inlineStr">
        <is>
          <t>2018-11-20</t>
        </is>
      </c>
    </row>
    <row r="43461">
      <c r="A43461" s="1" t="n">
        <v>43460</v>
      </c>
      <c r="B43461">
        <f>TEXT(43460, "[$-0E0000]yyyy-mm-dd")</f>
        <v/>
      </c>
      <c r="C43461" t="inlineStr">
        <is>
          <t>2018-11-21</t>
        </is>
      </c>
    </row>
    <row r="43462">
      <c r="A43462" s="1" t="n">
        <v>43461</v>
      </c>
      <c r="B43462">
        <f>TEXT(43461, "[$-0E0000]yyyy-mm-dd")</f>
        <v/>
      </c>
      <c r="C43462" t="inlineStr">
        <is>
          <t>2018-11-22</t>
        </is>
      </c>
    </row>
    <row r="43463">
      <c r="A43463" s="1" t="n">
        <v>43462</v>
      </c>
      <c r="B43463">
        <f>TEXT(43462, "[$-0E0000]yyyy-mm-dd")</f>
        <v/>
      </c>
      <c r="C43463" t="inlineStr">
        <is>
          <t>2018-11-23</t>
        </is>
      </c>
    </row>
    <row r="43464">
      <c r="A43464" s="1" t="n">
        <v>43463</v>
      </c>
      <c r="B43464">
        <f>TEXT(43463, "[$-0E0000]yyyy-mm-dd")</f>
        <v/>
      </c>
      <c r="C43464" t="inlineStr">
        <is>
          <t>2018-11-24</t>
        </is>
      </c>
    </row>
    <row r="43465">
      <c r="A43465" s="1" t="n">
        <v>43464</v>
      </c>
      <c r="B43465">
        <f>TEXT(43464, "[$-0E0000]yyyy-mm-dd")</f>
        <v/>
      </c>
      <c r="C43465" t="inlineStr">
        <is>
          <t>2018-11-25</t>
        </is>
      </c>
    </row>
    <row r="43466">
      <c r="A43466" s="1" t="n">
        <v>43465</v>
      </c>
      <c r="B43466">
        <f>TEXT(43465, "[$-0E0000]yyyy-mm-dd")</f>
        <v/>
      </c>
      <c r="C43466" t="inlineStr">
        <is>
          <t>2018-11-26</t>
        </is>
      </c>
    </row>
    <row r="43467">
      <c r="A43467" s="1" t="n">
        <v>43466</v>
      </c>
      <c r="B43467">
        <f>TEXT(43466, "[$-0E0000]yyyy-mm-dd")</f>
        <v/>
      </c>
      <c r="C43467" t="inlineStr">
        <is>
          <t>2018-11-27</t>
        </is>
      </c>
    </row>
    <row r="43468">
      <c r="A43468" s="1" t="n">
        <v>43467</v>
      </c>
      <c r="B43468">
        <f>TEXT(43467, "[$-0E0000]yyyy-mm-dd")</f>
        <v/>
      </c>
      <c r="C43468" t="inlineStr">
        <is>
          <t>2018-11-28</t>
        </is>
      </c>
    </row>
    <row r="43469">
      <c r="A43469" s="1" t="n">
        <v>43468</v>
      </c>
      <c r="B43469">
        <f>TEXT(43468, "[$-0E0000]yyyy-mm-dd")</f>
        <v/>
      </c>
      <c r="C43469" t="inlineStr">
        <is>
          <t>2018-11-29</t>
        </is>
      </c>
    </row>
    <row r="43470">
      <c r="A43470" s="1" t="n">
        <v>43469</v>
      </c>
      <c r="B43470">
        <f>TEXT(43469, "[$-0E0000]yyyy-mm-dd")</f>
        <v/>
      </c>
      <c r="C43470" t="inlineStr">
        <is>
          <t>2018-11-30</t>
        </is>
      </c>
    </row>
    <row r="43471">
      <c r="A43471" s="1" t="n">
        <v>43470</v>
      </c>
      <c r="B43471">
        <f>TEXT(43470, "[$-0E0000]yyyy-mm-dd")</f>
        <v/>
      </c>
      <c r="C43471" t="inlineStr">
        <is>
          <t>2018-12-01</t>
        </is>
      </c>
    </row>
    <row r="43472">
      <c r="A43472" s="1" t="n">
        <v>43471</v>
      </c>
      <c r="B43472">
        <f>TEXT(43471, "[$-0E0000]yyyy-mm-dd")</f>
        <v/>
      </c>
      <c r="C43472" t="inlineStr">
        <is>
          <t>2018-12-02</t>
        </is>
      </c>
    </row>
    <row r="43473">
      <c r="A43473" s="1" t="n">
        <v>43472</v>
      </c>
      <c r="B43473">
        <f>TEXT(43472, "[$-0E0000]yyyy-mm-dd")</f>
        <v/>
      </c>
      <c r="C43473" t="inlineStr">
        <is>
          <t>2018-12-03</t>
        </is>
      </c>
    </row>
    <row r="43474">
      <c r="A43474" s="1" t="n">
        <v>43473</v>
      </c>
      <c r="B43474">
        <f>TEXT(43473, "[$-0E0000]yyyy-mm-dd")</f>
        <v/>
      </c>
      <c r="C43474" t="inlineStr">
        <is>
          <t>2018-12-04</t>
        </is>
      </c>
    </row>
    <row r="43475">
      <c r="A43475" s="1" t="n">
        <v>43474</v>
      </c>
      <c r="B43475">
        <f>TEXT(43474, "[$-0E0000]yyyy-mm-dd")</f>
        <v/>
      </c>
      <c r="C43475" t="inlineStr">
        <is>
          <t>2018-12-05</t>
        </is>
      </c>
    </row>
    <row r="43476">
      <c r="A43476" s="1" t="n">
        <v>43475</v>
      </c>
      <c r="B43476">
        <f>TEXT(43475, "[$-0E0000]yyyy-mm-dd")</f>
        <v/>
      </c>
      <c r="C43476" t="inlineStr">
        <is>
          <t>2018-12-06</t>
        </is>
      </c>
    </row>
    <row r="43477">
      <c r="A43477" s="1" t="n">
        <v>43476</v>
      </c>
      <c r="B43477">
        <f>TEXT(43476, "[$-0E0000]yyyy-mm-dd")</f>
        <v/>
      </c>
      <c r="C43477" t="inlineStr">
        <is>
          <t>2018-12-07</t>
        </is>
      </c>
    </row>
    <row r="43478">
      <c r="A43478" s="1" t="n">
        <v>43477</v>
      </c>
      <c r="B43478">
        <f>TEXT(43477, "[$-0E0000]yyyy-mm-dd")</f>
        <v/>
      </c>
      <c r="C43478" t="inlineStr">
        <is>
          <t>2018-12-08</t>
        </is>
      </c>
    </row>
    <row r="43479">
      <c r="A43479" s="1" t="n">
        <v>43478</v>
      </c>
      <c r="B43479">
        <f>TEXT(43478, "[$-0E0000]yyyy-mm-dd")</f>
        <v/>
      </c>
      <c r="C43479" t="inlineStr">
        <is>
          <t>2018-12-09</t>
        </is>
      </c>
    </row>
    <row r="43480">
      <c r="A43480" s="1" t="n">
        <v>43479</v>
      </c>
      <c r="B43480">
        <f>TEXT(43479, "[$-0E0000]yyyy-mm-dd")</f>
        <v/>
      </c>
      <c r="C43480" t="inlineStr">
        <is>
          <t>2018-12-10</t>
        </is>
      </c>
    </row>
    <row r="43481">
      <c r="A43481" s="1" t="n">
        <v>43480</v>
      </c>
      <c r="B43481">
        <f>TEXT(43480, "[$-0E0000]yyyy-mm-dd")</f>
        <v/>
      </c>
      <c r="C43481" t="inlineStr">
        <is>
          <t>2018-12-11</t>
        </is>
      </c>
    </row>
    <row r="43482">
      <c r="A43482" s="1" t="n">
        <v>43481</v>
      </c>
      <c r="B43482">
        <f>TEXT(43481, "[$-0E0000]yyyy-mm-dd")</f>
        <v/>
      </c>
      <c r="C43482" t="inlineStr">
        <is>
          <t>2018-12-12</t>
        </is>
      </c>
    </row>
    <row r="43483">
      <c r="A43483" s="1" t="n">
        <v>43482</v>
      </c>
      <c r="B43483">
        <f>TEXT(43482, "[$-0E0000]yyyy-mm-dd")</f>
        <v/>
      </c>
      <c r="C43483" t="inlineStr">
        <is>
          <t>2018-12-13</t>
        </is>
      </c>
    </row>
    <row r="43484">
      <c r="A43484" s="1" t="n">
        <v>43483</v>
      </c>
      <c r="B43484">
        <f>TEXT(43483, "[$-0E0000]yyyy-mm-dd")</f>
        <v/>
      </c>
      <c r="C43484" t="inlineStr">
        <is>
          <t>2018-12-14</t>
        </is>
      </c>
    </row>
    <row r="43485">
      <c r="A43485" s="1" t="n">
        <v>43484</v>
      </c>
      <c r="B43485">
        <f>TEXT(43484, "[$-0E0000]yyyy-mm-dd")</f>
        <v/>
      </c>
      <c r="C43485" t="inlineStr">
        <is>
          <t>2018-12-15</t>
        </is>
      </c>
    </row>
    <row r="43486">
      <c r="A43486" s="1" t="n">
        <v>43485</v>
      </c>
      <c r="B43486">
        <f>TEXT(43485, "[$-0E0000]yyyy-mm-dd")</f>
        <v/>
      </c>
      <c r="C43486" t="inlineStr">
        <is>
          <t>2018-12-16</t>
        </is>
      </c>
    </row>
    <row r="43487">
      <c r="A43487" s="1" t="n">
        <v>43486</v>
      </c>
      <c r="B43487">
        <f>TEXT(43486, "[$-0E0000]yyyy-mm-dd")</f>
        <v/>
      </c>
      <c r="C43487" t="inlineStr">
        <is>
          <t>2018-12-17</t>
        </is>
      </c>
    </row>
    <row r="43488">
      <c r="A43488" s="1" t="n">
        <v>43487</v>
      </c>
      <c r="B43488">
        <f>TEXT(43487, "[$-0E0000]yyyy-mm-dd")</f>
        <v/>
      </c>
      <c r="C43488" t="inlineStr">
        <is>
          <t>2018-12-18</t>
        </is>
      </c>
    </row>
    <row r="43489">
      <c r="A43489" s="1" t="n">
        <v>43488</v>
      </c>
      <c r="B43489">
        <f>TEXT(43488, "[$-0E0000]yyyy-mm-dd")</f>
        <v/>
      </c>
      <c r="C43489" t="inlineStr">
        <is>
          <t>2018-12-19</t>
        </is>
      </c>
    </row>
    <row r="43490">
      <c r="A43490" s="1" t="n">
        <v>43489</v>
      </c>
      <c r="B43490">
        <f>TEXT(43489, "[$-0E0000]yyyy-mm-dd")</f>
        <v/>
      </c>
      <c r="C43490" t="inlineStr">
        <is>
          <t>2018-12-20</t>
        </is>
      </c>
    </row>
    <row r="43491">
      <c r="A43491" s="1" t="n">
        <v>43490</v>
      </c>
      <c r="B43491">
        <f>TEXT(43490, "[$-0E0000]yyyy-mm-dd")</f>
        <v/>
      </c>
      <c r="C43491" t="inlineStr">
        <is>
          <t>2018-12-21</t>
        </is>
      </c>
    </row>
    <row r="43492">
      <c r="A43492" s="1" t="n">
        <v>43491</v>
      </c>
      <c r="B43492">
        <f>TEXT(43491, "[$-0E0000]yyyy-mm-dd")</f>
        <v/>
      </c>
      <c r="C43492" t="inlineStr">
        <is>
          <t>2018-12-22</t>
        </is>
      </c>
    </row>
    <row r="43493">
      <c r="A43493" s="1" t="n">
        <v>43492</v>
      </c>
      <c r="B43493">
        <f>TEXT(43492, "[$-0E0000]yyyy-mm-dd")</f>
        <v/>
      </c>
      <c r="C43493" t="inlineStr">
        <is>
          <t>2018-12-23</t>
        </is>
      </c>
    </row>
    <row r="43494">
      <c r="A43494" s="1" t="n">
        <v>43493</v>
      </c>
      <c r="B43494">
        <f>TEXT(43493, "[$-0E0000]yyyy-mm-dd")</f>
        <v/>
      </c>
      <c r="C43494" t="inlineStr">
        <is>
          <t>2018-12-24</t>
        </is>
      </c>
    </row>
    <row r="43495">
      <c r="A43495" s="1" t="n">
        <v>43494</v>
      </c>
      <c r="B43495">
        <f>TEXT(43494, "[$-0E0000]yyyy-mm-dd")</f>
        <v/>
      </c>
      <c r="C43495" t="inlineStr">
        <is>
          <t>2018-12-25</t>
        </is>
      </c>
    </row>
    <row r="43496">
      <c r="A43496" s="1" t="n">
        <v>43495</v>
      </c>
      <c r="B43496">
        <f>TEXT(43495, "[$-0E0000]yyyy-mm-dd")</f>
        <v/>
      </c>
      <c r="C43496" t="inlineStr">
        <is>
          <t>2018-12-26</t>
        </is>
      </c>
    </row>
    <row r="43497">
      <c r="A43497" s="1" t="n">
        <v>43496</v>
      </c>
      <c r="B43497">
        <f>TEXT(43496, "[$-0E0000]yyyy-mm-dd")</f>
        <v/>
      </c>
      <c r="C43497" t="inlineStr">
        <is>
          <t>2018-12-27</t>
        </is>
      </c>
    </row>
    <row r="43498">
      <c r="A43498" s="1" t="n">
        <v>43497</v>
      </c>
      <c r="B43498">
        <f>TEXT(43497, "[$-0E0000]yyyy-mm-dd")</f>
        <v/>
      </c>
      <c r="C43498" t="inlineStr">
        <is>
          <t>2018-12-28</t>
        </is>
      </c>
    </row>
    <row r="43499">
      <c r="A43499" s="1" t="n">
        <v>43498</v>
      </c>
      <c r="B43499">
        <f>TEXT(43498, "[$-0E0000]yyyy-mm-dd")</f>
        <v/>
      </c>
      <c r="C43499" t="inlineStr">
        <is>
          <t>2018-12-29</t>
        </is>
      </c>
    </row>
    <row r="43500">
      <c r="A43500" s="1" t="n">
        <v>43499</v>
      </c>
      <c r="B43500">
        <f>TEXT(43499, "[$-0E0000]yyyy-mm-dd")</f>
        <v/>
      </c>
      <c r="C43500" t="inlineStr">
        <is>
          <t>2018-12-30</t>
        </is>
      </c>
    </row>
    <row r="43501">
      <c r="A43501" s="1" t="n">
        <v>43500</v>
      </c>
      <c r="B43501">
        <f>TEXT(43500, "[$-0E0000]yyyy-mm-dd")</f>
        <v/>
      </c>
      <c r="C43501" t="inlineStr">
        <is>
          <t>2019-01-01</t>
        </is>
      </c>
    </row>
    <row r="43502">
      <c r="A43502" s="1" t="n">
        <v>43501</v>
      </c>
      <c r="B43502">
        <f>TEXT(43501, "[$-0E0000]yyyy-mm-dd")</f>
        <v/>
      </c>
      <c r="C43502" t="inlineStr">
        <is>
          <t>2019-01-02</t>
        </is>
      </c>
    </row>
    <row r="43503">
      <c r="A43503" s="1" t="n">
        <v>43502</v>
      </c>
      <c r="B43503">
        <f>TEXT(43502, "[$-0E0000]yyyy-mm-dd")</f>
        <v/>
      </c>
      <c r="C43503" t="inlineStr">
        <is>
          <t>2019-01-03</t>
        </is>
      </c>
    </row>
    <row r="43504">
      <c r="A43504" s="1" t="n">
        <v>43503</v>
      </c>
      <c r="B43504">
        <f>TEXT(43503, "[$-0E0000]yyyy-mm-dd")</f>
        <v/>
      </c>
      <c r="C43504" t="inlineStr">
        <is>
          <t>2019-01-04</t>
        </is>
      </c>
    </row>
    <row r="43505">
      <c r="A43505" s="1" t="n">
        <v>43504</v>
      </c>
      <c r="B43505">
        <f>TEXT(43504, "[$-0E0000]yyyy-mm-dd")</f>
        <v/>
      </c>
      <c r="C43505" t="inlineStr">
        <is>
          <t>2019-01-05</t>
        </is>
      </c>
    </row>
    <row r="43506">
      <c r="A43506" s="1" t="n">
        <v>43505</v>
      </c>
      <c r="B43506">
        <f>TEXT(43505, "[$-0E0000]yyyy-mm-dd")</f>
        <v/>
      </c>
      <c r="C43506" t="inlineStr">
        <is>
          <t>2019-01-06</t>
        </is>
      </c>
    </row>
    <row r="43507">
      <c r="A43507" s="1" t="n">
        <v>43506</v>
      </c>
      <c r="B43507">
        <f>TEXT(43506, "[$-0E0000]yyyy-mm-dd")</f>
        <v/>
      </c>
      <c r="C43507" t="inlineStr">
        <is>
          <t>2019-01-07</t>
        </is>
      </c>
    </row>
    <row r="43508">
      <c r="A43508" s="1" t="n">
        <v>43507</v>
      </c>
      <c r="B43508">
        <f>TEXT(43507, "[$-0E0000]yyyy-mm-dd")</f>
        <v/>
      </c>
      <c r="C43508" t="inlineStr">
        <is>
          <t>2019-01-08</t>
        </is>
      </c>
    </row>
    <row r="43509">
      <c r="A43509" s="1" t="n">
        <v>43508</v>
      </c>
      <c r="B43509">
        <f>TEXT(43508, "[$-0E0000]yyyy-mm-dd")</f>
        <v/>
      </c>
      <c r="C43509" t="inlineStr">
        <is>
          <t>2019-01-09</t>
        </is>
      </c>
    </row>
    <row r="43510">
      <c r="A43510" s="1" t="n">
        <v>43509</v>
      </c>
      <c r="B43510">
        <f>TEXT(43509, "[$-0E0000]yyyy-mm-dd")</f>
        <v/>
      </c>
      <c r="C43510" t="inlineStr">
        <is>
          <t>2019-01-10</t>
        </is>
      </c>
    </row>
    <row r="43511">
      <c r="A43511" s="1" t="n">
        <v>43510</v>
      </c>
      <c r="B43511">
        <f>TEXT(43510, "[$-0E0000]yyyy-mm-dd")</f>
        <v/>
      </c>
      <c r="C43511" t="inlineStr">
        <is>
          <t>2019-01-11</t>
        </is>
      </c>
    </row>
    <row r="43512">
      <c r="A43512" s="1" t="n">
        <v>43511</v>
      </c>
      <c r="B43512">
        <f>TEXT(43511, "[$-0E0000]yyyy-mm-dd")</f>
        <v/>
      </c>
      <c r="C43512" t="inlineStr">
        <is>
          <t>2019-01-12</t>
        </is>
      </c>
    </row>
    <row r="43513">
      <c r="A43513" s="1" t="n">
        <v>43512</v>
      </c>
      <c r="B43513">
        <f>TEXT(43512, "[$-0E0000]yyyy-mm-dd")</f>
        <v/>
      </c>
      <c r="C43513" t="inlineStr">
        <is>
          <t>2019-01-13</t>
        </is>
      </c>
    </row>
    <row r="43514">
      <c r="A43514" s="1" t="n">
        <v>43513</v>
      </c>
      <c r="B43514">
        <f>TEXT(43513, "[$-0E0000]yyyy-mm-dd")</f>
        <v/>
      </c>
      <c r="C43514" t="inlineStr">
        <is>
          <t>2019-01-14</t>
        </is>
      </c>
    </row>
    <row r="43515">
      <c r="A43515" s="1" t="n">
        <v>43514</v>
      </c>
      <c r="B43515">
        <f>TEXT(43514, "[$-0E0000]yyyy-mm-dd")</f>
        <v/>
      </c>
      <c r="C43515" t="inlineStr">
        <is>
          <t>2019-01-15</t>
        </is>
      </c>
    </row>
    <row r="43516">
      <c r="A43516" s="1" t="n">
        <v>43515</v>
      </c>
      <c r="B43516">
        <f>TEXT(43515, "[$-0E0000]yyyy-mm-dd")</f>
        <v/>
      </c>
      <c r="C43516" t="inlineStr">
        <is>
          <t>2019-01-16</t>
        </is>
      </c>
    </row>
    <row r="43517">
      <c r="A43517" s="1" t="n">
        <v>43516</v>
      </c>
      <c r="B43517">
        <f>TEXT(43516, "[$-0E0000]yyyy-mm-dd")</f>
        <v/>
      </c>
      <c r="C43517" t="inlineStr">
        <is>
          <t>2019-01-17</t>
        </is>
      </c>
    </row>
    <row r="43518">
      <c r="A43518" s="1" t="n">
        <v>43517</v>
      </c>
      <c r="B43518">
        <f>TEXT(43517, "[$-0E0000]yyyy-mm-dd")</f>
        <v/>
      </c>
      <c r="C43518" t="inlineStr">
        <is>
          <t>2019-01-18</t>
        </is>
      </c>
    </row>
    <row r="43519">
      <c r="A43519" s="1" t="n">
        <v>43518</v>
      </c>
      <c r="B43519">
        <f>TEXT(43518, "[$-0E0000]yyyy-mm-dd")</f>
        <v/>
      </c>
      <c r="C43519" t="inlineStr">
        <is>
          <t>2019-01-19</t>
        </is>
      </c>
    </row>
    <row r="43520">
      <c r="A43520" s="1" t="n">
        <v>43519</v>
      </c>
      <c r="B43520">
        <f>TEXT(43519, "[$-0E0000]yyyy-mm-dd")</f>
        <v/>
      </c>
      <c r="C43520" t="inlineStr">
        <is>
          <t>2019-01-20</t>
        </is>
      </c>
    </row>
    <row r="43521">
      <c r="A43521" s="1" t="n">
        <v>43520</v>
      </c>
      <c r="B43521">
        <f>TEXT(43520, "[$-0E0000]yyyy-mm-dd")</f>
        <v/>
      </c>
      <c r="C43521" t="inlineStr">
        <is>
          <t>2019-01-21</t>
        </is>
      </c>
    </row>
    <row r="43522">
      <c r="A43522" s="1" t="n">
        <v>43521</v>
      </c>
      <c r="B43522">
        <f>TEXT(43521, "[$-0E0000]yyyy-mm-dd")</f>
        <v/>
      </c>
      <c r="C43522" t="inlineStr">
        <is>
          <t>2019-01-22</t>
        </is>
      </c>
    </row>
    <row r="43523">
      <c r="A43523" s="1" t="n">
        <v>43522</v>
      </c>
      <c r="B43523">
        <f>TEXT(43522, "[$-0E0000]yyyy-mm-dd")</f>
        <v/>
      </c>
      <c r="C43523" t="inlineStr">
        <is>
          <t>2019-01-23</t>
        </is>
      </c>
    </row>
    <row r="43524">
      <c r="A43524" s="1" t="n">
        <v>43523</v>
      </c>
      <c r="B43524">
        <f>TEXT(43523, "[$-0E0000]yyyy-mm-dd")</f>
        <v/>
      </c>
      <c r="C43524" t="inlineStr">
        <is>
          <t>2019-01-24</t>
        </is>
      </c>
    </row>
    <row r="43525">
      <c r="A43525" s="1" t="n">
        <v>43524</v>
      </c>
      <c r="B43525">
        <f>TEXT(43524, "[$-0E0000]yyyy-mm-dd")</f>
        <v/>
      </c>
      <c r="C43525" t="inlineStr">
        <is>
          <t>2019-01-25</t>
        </is>
      </c>
    </row>
    <row r="43526">
      <c r="A43526" s="1" t="n">
        <v>43525</v>
      </c>
      <c r="B43526">
        <f>TEXT(43525, "[$-0E0000]yyyy-mm-dd")</f>
        <v/>
      </c>
      <c r="C43526" t="inlineStr">
        <is>
          <t>2019-01-26</t>
        </is>
      </c>
    </row>
    <row r="43527">
      <c r="A43527" s="1" t="n">
        <v>43526</v>
      </c>
      <c r="B43527">
        <f>TEXT(43526, "[$-0E0000]yyyy-mm-dd")</f>
        <v/>
      </c>
      <c r="C43527" t="inlineStr">
        <is>
          <t>2019-01-27</t>
        </is>
      </c>
    </row>
    <row r="43528">
      <c r="A43528" s="1" t="n">
        <v>43527</v>
      </c>
      <c r="B43528">
        <f>TEXT(43527, "[$-0E0000]yyyy-mm-dd")</f>
        <v/>
      </c>
      <c r="C43528" t="inlineStr">
        <is>
          <t>2019-01-28</t>
        </is>
      </c>
    </row>
    <row r="43529">
      <c r="A43529" s="1" t="n">
        <v>43528</v>
      </c>
      <c r="B43529">
        <f>TEXT(43528, "[$-0E0000]yyyy-mm-dd")</f>
        <v/>
      </c>
      <c r="C43529" t="inlineStr">
        <is>
          <t>2019-01-29</t>
        </is>
      </c>
    </row>
    <row r="43530">
      <c r="A43530" s="1" t="n">
        <v>43529</v>
      </c>
      <c r="B43530">
        <f>TEXT(43529, "[$-0E0000]yyyy-mm-dd")</f>
        <v/>
      </c>
      <c r="C43530" t="inlineStr">
        <is>
          <t>2019-01-30</t>
        </is>
      </c>
    </row>
    <row r="43531">
      <c r="A43531" s="1" t="n">
        <v>43530</v>
      </c>
      <c r="B43531">
        <f>TEXT(43530, "[$-0E0000]yyyy-mm-dd")</f>
        <v/>
      </c>
      <c r="C43531" t="inlineStr">
        <is>
          <t>2019-02-01</t>
        </is>
      </c>
    </row>
    <row r="43532">
      <c r="A43532" s="1" t="n">
        <v>43531</v>
      </c>
      <c r="B43532">
        <f>TEXT(43531, "[$-0E0000]yyyy-mm-dd")</f>
        <v/>
      </c>
      <c r="C43532" t="inlineStr">
        <is>
          <t>2019-02-02</t>
        </is>
      </c>
    </row>
    <row r="43533">
      <c r="A43533" s="1" t="n">
        <v>43532</v>
      </c>
      <c r="B43533">
        <f>TEXT(43532, "[$-0E0000]yyyy-mm-dd")</f>
        <v/>
      </c>
      <c r="C43533" t="inlineStr">
        <is>
          <t>2019-02-03</t>
        </is>
      </c>
    </row>
    <row r="43534">
      <c r="A43534" s="1" t="n">
        <v>43533</v>
      </c>
      <c r="B43534">
        <f>TEXT(43533, "[$-0E0000]yyyy-mm-dd")</f>
        <v/>
      </c>
      <c r="C43534" t="inlineStr">
        <is>
          <t>2019-02-04</t>
        </is>
      </c>
    </row>
    <row r="43535">
      <c r="A43535" s="1" t="n">
        <v>43534</v>
      </c>
      <c r="B43535">
        <f>TEXT(43534, "[$-0E0000]yyyy-mm-dd")</f>
        <v/>
      </c>
      <c r="C43535" t="inlineStr">
        <is>
          <t>2019-02-05</t>
        </is>
      </c>
    </row>
    <row r="43536">
      <c r="A43536" s="1" t="n">
        <v>43535</v>
      </c>
      <c r="B43536">
        <f>TEXT(43535, "[$-0E0000]yyyy-mm-dd")</f>
        <v/>
      </c>
      <c r="C43536" t="inlineStr">
        <is>
          <t>2019-02-06</t>
        </is>
      </c>
    </row>
    <row r="43537">
      <c r="A43537" s="1" t="n">
        <v>43536</v>
      </c>
      <c r="B43537">
        <f>TEXT(43536, "[$-0E0000]yyyy-mm-dd")</f>
        <v/>
      </c>
      <c r="C43537" t="inlineStr">
        <is>
          <t>2019-02-07</t>
        </is>
      </c>
    </row>
    <row r="43538">
      <c r="A43538" s="1" t="n">
        <v>43537</v>
      </c>
      <c r="B43538">
        <f>TEXT(43537, "[$-0E0000]yyyy-mm-dd")</f>
        <v/>
      </c>
      <c r="C43538" t="inlineStr">
        <is>
          <t>2019-02-08</t>
        </is>
      </c>
    </row>
    <row r="43539">
      <c r="A43539" s="1" t="n">
        <v>43538</v>
      </c>
      <c r="B43539">
        <f>TEXT(43538, "[$-0E0000]yyyy-mm-dd")</f>
        <v/>
      </c>
      <c r="C43539" t="inlineStr">
        <is>
          <t>2019-02-09</t>
        </is>
      </c>
    </row>
    <row r="43540">
      <c r="A43540" s="1" t="n">
        <v>43539</v>
      </c>
      <c r="B43540">
        <f>TEXT(43539, "[$-0E0000]yyyy-mm-dd")</f>
        <v/>
      </c>
      <c r="C43540" t="inlineStr">
        <is>
          <t>2019-02-10</t>
        </is>
      </c>
    </row>
    <row r="43541">
      <c r="A43541" s="1" t="n">
        <v>43540</v>
      </c>
      <c r="B43541">
        <f>TEXT(43540, "[$-0E0000]yyyy-mm-dd")</f>
        <v/>
      </c>
      <c r="C43541" t="inlineStr">
        <is>
          <t>2019-02-11</t>
        </is>
      </c>
    </row>
    <row r="43542">
      <c r="A43542" s="1" t="n">
        <v>43541</v>
      </c>
      <c r="B43542">
        <f>TEXT(43541, "[$-0E0000]yyyy-mm-dd")</f>
        <v/>
      </c>
      <c r="C43542" t="inlineStr">
        <is>
          <t>2019-02-12</t>
        </is>
      </c>
    </row>
    <row r="43543">
      <c r="A43543" s="1" t="n">
        <v>43542</v>
      </c>
      <c r="B43543">
        <f>TEXT(43542, "[$-0E0000]yyyy-mm-dd")</f>
        <v/>
      </c>
      <c r="C43543" t="inlineStr">
        <is>
          <t>2019-02-13</t>
        </is>
      </c>
    </row>
    <row r="43544">
      <c r="A43544" s="1" t="n">
        <v>43543</v>
      </c>
      <c r="B43544">
        <f>TEXT(43543, "[$-0E0000]yyyy-mm-dd")</f>
        <v/>
      </c>
      <c r="C43544" t="inlineStr">
        <is>
          <t>2019-02-14</t>
        </is>
      </c>
    </row>
    <row r="43545">
      <c r="A43545" s="1" t="n">
        <v>43544</v>
      </c>
      <c r="B43545">
        <f>TEXT(43544, "[$-0E0000]yyyy-mm-dd")</f>
        <v/>
      </c>
      <c r="C43545" t="inlineStr">
        <is>
          <t>2019-02-15</t>
        </is>
      </c>
    </row>
    <row r="43546">
      <c r="A43546" s="1" t="n">
        <v>43545</v>
      </c>
      <c r="B43546">
        <f>TEXT(43545, "[$-0E0000]yyyy-mm-dd")</f>
        <v/>
      </c>
      <c r="C43546" t="inlineStr">
        <is>
          <t>2019-02-16</t>
        </is>
      </c>
    </row>
    <row r="43547">
      <c r="A43547" s="1" t="n">
        <v>43546</v>
      </c>
      <c r="B43547">
        <f>TEXT(43546, "[$-0E0000]yyyy-mm-dd")</f>
        <v/>
      </c>
      <c r="C43547" t="inlineStr">
        <is>
          <t>2019-02-17</t>
        </is>
      </c>
    </row>
    <row r="43548">
      <c r="A43548" s="1" t="n">
        <v>43547</v>
      </c>
      <c r="B43548">
        <f>TEXT(43547, "[$-0E0000]yyyy-mm-dd")</f>
        <v/>
      </c>
      <c r="C43548" t="inlineStr">
        <is>
          <t>2019-02-18</t>
        </is>
      </c>
    </row>
    <row r="43549">
      <c r="A43549" s="1" t="n">
        <v>43548</v>
      </c>
      <c r="B43549">
        <f>TEXT(43548, "[$-0E0000]yyyy-mm-dd")</f>
        <v/>
      </c>
      <c r="C43549" t="inlineStr">
        <is>
          <t>2019-02-19</t>
        </is>
      </c>
    </row>
    <row r="43550">
      <c r="A43550" s="1" t="n">
        <v>43549</v>
      </c>
      <c r="B43550">
        <f>TEXT(43549, "[$-0E0000]yyyy-mm-dd")</f>
        <v/>
      </c>
      <c r="C43550" t="inlineStr">
        <is>
          <t>2019-02-20</t>
        </is>
      </c>
    </row>
    <row r="43551">
      <c r="A43551" s="1" t="n">
        <v>43550</v>
      </c>
      <c r="B43551">
        <f>TEXT(43550, "[$-0E0000]yyyy-mm-dd")</f>
        <v/>
      </c>
      <c r="C43551" t="inlineStr">
        <is>
          <t>2019-02-21</t>
        </is>
      </c>
    </row>
    <row r="43552">
      <c r="A43552" s="1" t="n">
        <v>43551</v>
      </c>
      <c r="B43552">
        <f>TEXT(43551, "[$-0E0000]yyyy-mm-dd")</f>
        <v/>
      </c>
      <c r="C43552" t="inlineStr">
        <is>
          <t>2019-02-22</t>
        </is>
      </c>
    </row>
    <row r="43553">
      <c r="A43553" s="1" t="n">
        <v>43552</v>
      </c>
      <c r="B43553">
        <f>TEXT(43552, "[$-0E0000]yyyy-mm-dd")</f>
        <v/>
      </c>
      <c r="C43553" t="inlineStr">
        <is>
          <t>2019-02-23</t>
        </is>
      </c>
    </row>
    <row r="43554">
      <c r="A43554" s="1" t="n">
        <v>43553</v>
      </c>
      <c r="B43554">
        <f>TEXT(43553, "[$-0E0000]yyyy-mm-dd")</f>
        <v/>
      </c>
      <c r="C43554" t="inlineStr">
        <is>
          <t>2019-02-24</t>
        </is>
      </c>
    </row>
    <row r="43555">
      <c r="A43555" s="1" t="n">
        <v>43554</v>
      </c>
      <c r="B43555">
        <f>TEXT(43554, "[$-0E0000]yyyy-mm-dd")</f>
        <v/>
      </c>
      <c r="C43555" t="inlineStr">
        <is>
          <t>2019-02-25</t>
        </is>
      </c>
    </row>
    <row r="43556">
      <c r="A43556" s="1" t="n">
        <v>43555</v>
      </c>
      <c r="B43556">
        <f>TEXT(43555, "[$-0E0000]yyyy-mm-dd")</f>
        <v/>
      </c>
      <c r="C43556" t="inlineStr">
        <is>
          <t>2019-02-26</t>
        </is>
      </c>
    </row>
    <row r="43557">
      <c r="A43557" s="1" t="n">
        <v>43556</v>
      </c>
      <c r="B43557">
        <f>TEXT(43556, "[$-0E0000]yyyy-mm-dd")</f>
        <v/>
      </c>
      <c r="C43557" t="inlineStr">
        <is>
          <t>2019-02-27</t>
        </is>
      </c>
    </row>
    <row r="43558">
      <c r="A43558" s="1" t="n">
        <v>43557</v>
      </c>
      <c r="B43558">
        <f>TEXT(43557, "[$-0E0000]yyyy-mm-dd")</f>
        <v/>
      </c>
      <c r="C43558" t="inlineStr">
        <is>
          <t>2019-02-28</t>
        </is>
      </c>
    </row>
    <row r="43559">
      <c r="A43559" s="1" t="n">
        <v>43558</v>
      </c>
      <c r="B43559">
        <f>TEXT(43558, "[$-0E0000]yyyy-mm-dd")</f>
        <v/>
      </c>
      <c r="C43559" t="inlineStr">
        <is>
          <t>2019-02-29</t>
        </is>
      </c>
    </row>
    <row r="43560">
      <c r="A43560" s="1" t="n">
        <v>43559</v>
      </c>
      <c r="B43560">
        <f>TEXT(43559, "[$-0E0000]yyyy-mm-dd")</f>
        <v/>
      </c>
      <c r="C43560" t="inlineStr">
        <is>
          <t>2019-03-01</t>
        </is>
      </c>
    </row>
    <row r="43561">
      <c r="A43561" s="1" t="n">
        <v>43560</v>
      </c>
      <c r="B43561">
        <f>TEXT(43560, "[$-0E0000]yyyy-mm-dd")</f>
        <v/>
      </c>
      <c r="C43561" t="inlineStr">
        <is>
          <t>2019-03-02</t>
        </is>
      </c>
    </row>
    <row r="43562">
      <c r="A43562" s="1" t="n">
        <v>43561</v>
      </c>
      <c r="B43562">
        <f>TEXT(43561, "[$-0E0000]yyyy-mm-dd")</f>
        <v/>
      </c>
      <c r="C43562" t="inlineStr">
        <is>
          <t>2019-03-03</t>
        </is>
      </c>
    </row>
    <row r="43563">
      <c r="A43563" s="1" t="n">
        <v>43562</v>
      </c>
      <c r="B43563">
        <f>TEXT(43562, "[$-0E0000]yyyy-mm-dd")</f>
        <v/>
      </c>
      <c r="C43563" t="inlineStr">
        <is>
          <t>2019-03-04</t>
        </is>
      </c>
    </row>
    <row r="43564">
      <c r="A43564" s="1" t="n">
        <v>43563</v>
      </c>
      <c r="B43564">
        <f>TEXT(43563, "[$-0E0000]yyyy-mm-dd")</f>
        <v/>
      </c>
      <c r="C43564" t="inlineStr">
        <is>
          <t>2019-03-05</t>
        </is>
      </c>
    </row>
    <row r="43565">
      <c r="A43565" s="1" t="n">
        <v>43564</v>
      </c>
      <c r="B43565">
        <f>TEXT(43564, "[$-0E0000]yyyy-mm-dd")</f>
        <v/>
      </c>
      <c r="C43565" t="inlineStr">
        <is>
          <t>2019-03-06</t>
        </is>
      </c>
    </row>
    <row r="43566">
      <c r="A43566" s="1" t="n">
        <v>43565</v>
      </c>
      <c r="B43566">
        <f>TEXT(43565, "[$-0E0000]yyyy-mm-dd")</f>
        <v/>
      </c>
      <c r="C43566" t="inlineStr">
        <is>
          <t>2019-03-07</t>
        </is>
      </c>
    </row>
    <row r="43567">
      <c r="A43567" s="1" t="n">
        <v>43566</v>
      </c>
      <c r="B43567">
        <f>TEXT(43566, "[$-0E0000]yyyy-mm-dd")</f>
        <v/>
      </c>
      <c r="C43567" t="inlineStr">
        <is>
          <t>2019-03-08</t>
        </is>
      </c>
    </row>
    <row r="43568">
      <c r="A43568" s="1" t="n">
        <v>43567</v>
      </c>
      <c r="B43568">
        <f>TEXT(43567, "[$-0E0000]yyyy-mm-dd")</f>
        <v/>
      </c>
      <c r="C43568" t="inlineStr">
        <is>
          <t>2019-03-09</t>
        </is>
      </c>
    </row>
    <row r="43569">
      <c r="A43569" s="1" t="n">
        <v>43568</v>
      </c>
      <c r="B43569">
        <f>TEXT(43568, "[$-0E0000]yyyy-mm-dd")</f>
        <v/>
      </c>
      <c r="C43569" t="inlineStr">
        <is>
          <t>2019-03-10</t>
        </is>
      </c>
    </row>
    <row r="43570">
      <c r="A43570" s="1" t="n">
        <v>43569</v>
      </c>
      <c r="B43570">
        <f>TEXT(43569, "[$-0E0000]yyyy-mm-dd")</f>
        <v/>
      </c>
      <c r="C43570" t="inlineStr">
        <is>
          <t>2019-03-11</t>
        </is>
      </c>
    </row>
    <row r="43571">
      <c r="A43571" s="1" t="n">
        <v>43570</v>
      </c>
      <c r="B43571">
        <f>TEXT(43570, "[$-0E0000]yyyy-mm-dd")</f>
        <v/>
      </c>
      <c r="C43571" t="inlineStr">
        <is>
          <t>2019-03-12</t>
        </is>
      </c>
    </row>
    <row r="43572">
      <c r="A43572" s="1" t="n">
        <v>43571</v>
      </c>
      <c r="B43572">
        <f>TEXT(43571, "[$-0E0000]yyyy-mm-dd")</f>
        <v/>
      </c>
      <c r="C43572" t="inlineStr">
        <is>
          <t>2019-03-13</t>
        </is>
      </c>
    </row>
    <row r="43573">
      <c r="A43573" s="1" t="n">
        <v>43572</v>
      </c>
      <c r="B43573">
        <f>TEXT(43572, "[$-0E0000]yyyy-mm-dd")</f>
        <v/>
      </c>
      <c r="C43573" t="inlineStr">
        <is>
          <t>2019-03-14</t>
        </is>
      </c>
    </row>
    <row r="43574">
      <c r="A43574" s="1" t="n">
        <v>43573</v>
      </c>
      <c r="B43574">
        <f>TEXT(43573, "[$-0E0000]yyyy-mm-dd")</f>
        <v/>
      </c>
      <c r="C43574" t="inlineStr">
        <is>
          <t>2019-03-15</t>
        </is>
      </c>
    </row>
    <row r="43575">
      <c r="A43575" s="1" t="n">
        <v>43574</v>
      </c>
      <c r="B43575">
        <f>TEXT(43574, "[$-0E0000]yyyy-mm-dd")</f>
        <v/>
      </c>
      <c r="C43575" t="inlineStr">
        <is>
          <t>2019-03-16</t>
        </is>
      </c>
    </row>
    <row r="43576">
      <c r="A43576" s="1" t="n">
        <v>43575</v>
      </c>
      <c r="B43576">
        <f>TEXT(43575, "[$-0E0000]yyyy-mm-dd")</f>
        <v/>
      </c>
      <c r="C43576" t="inlineStr">
        <is>
          <t>2019-03-17</t>
        </is>
      </c>
    </row>
    <row r="43577">
      <c r="A43577" s="1" t="n">
        <v>43576</v>
      </c>
      <c r="B43577">
        <f>TEXT(43576, "[$-0E0000]yyyy-mm-dd")</f>
        <v/>
      </c>
      <c r="C43577" t="inlineStr">
        <is>
          <t>2019-03-18</t>
        </is>
      </c>
    </row>
    <row r="43578">
      <c r="A43578" s="1" t="n">
        <v>43577</v>
      </c>
      <c r="B43578">
        <f>TEXT(43577, "[$-0E0000]yyyy-mm-dd")</f>
        <v/>
      </c>
      <c r="C43578" t="inlineStr">
        <is>
          <t>2019-03-19</t>
        </is>
      </c>
    </row>
    <row r="43579">
      <c r="A43579" s="1" t="n">
        <v>43578</v>
      </c>
      <c r="B43579">
        <f>TEXT(43578, "[$-0E0000]yyyy-mm-dd")</f>
        <v/>
      </c>
      <c r="C43579" t="inlineStr">
        <is>
          <t>2019-03-20</t>
        </is>
      </c>
    </row>
    <row r="43580">
      <c r="A43580" s="1" t="n">
        <v>43579</v>
      </c>
      <c r="B43580">
        <f>TEXT(43579, "[$-0E0000]yyyy-mm-dd")</f>
        <v/>
      </c>
      <c r="C43580" t="inlineStr">
        <is>
          <t>2019-03-21</t>
        </is>
      </c>
    </row>
    <row r="43581">
      <c r="A43581" s="1" t="n">
        <v>43580</v>
      </c>
      <c r="B43581">
        <f>TEXT(43580, "[$-0E0000]yyyy-mm-dd")</f>
        <v/>
      </c>
      <c r="C43581" t="inlineStr">
        <is>
          <t>2019-03-22</t>
        </is>
      </c>
    </row>
    <row r="43582">
      <c r="A43582" s="1" t="n">
        <v>43581</v>
      </c>
      <c r="B43582">
        <f>TEXT(43581, "[$-0E0000]yyyy-mm-dd")</f>
        <v/>
      </c>
      <c r="C43582" t="inlineStr">
        <is>
          <t>2019-03-23</t>
        </is>
      </c>
    </row>
    <row r="43583">
      <c r="A43583" s="1" t="n">
        <v>43582</v>
      </c>
      <c r="B43583">
        <f>TEXT(43582, "[$-0E0000]yyyy-mm-dd")</f>
        <v/>
      </c>
      <c r="C43583" t="inlineStr">
        <is>
          <t>2019-03-24</t>
        </is>
      </c>
    </row>
    <row r="43584">
      <c r="A43584" s="1" t="n">
        <v>43583</v>
      </c>
      <c r="B43584">
        <f>TEXT(43583, "[$-0E0000]yyyy-mm-dd")</f>
        <v/>
      </c>
      <c r="C43584" t="inlineStr">
        <is>
          <t>2019-03-25</t>
        </is>
      </c>
    </row>
    <row r="43585">
      <c r="A43585" s="1" t="n">
        <v>43584</v>
      </c>
      <c r="B43585">
        <f>TEXT(43584, "[$-0E0000]yyyy-mm-dd")</f>
        <v/>
      </c>
      <c r="C43585" t="inlineStr">
        <is>
          <t>2019-03-26</t>
        </is>
      </c>
    </row>
    <row r="43586">
      <c r="A43586" s="1" t="n">
        <v>43585</v>
      </c>
      <c r="B43586">
        <f>TEXT(43585, "[$-0E0000]yyyy-mm-dd")</f>
        <v/>
      </c>
      <c r="C43586" t="inlineStr">
        <is>
          <t>2019-03-27</t>
        </is>
      </c>
    </row>
    <row r="43587">
      <c r="A43587" s="1" t="n">
        <v>43586</v>
      </c>
      <c r="B43587">
        <f>TEXT(43586, "[$-0E0000]yyyy-mm-dd")</f>
        <v/>
      </c>
      <c r="C43587" t="inlineStr">
        <is>
          <t>2019-03-28</t>
        </is>
      </c>
    </row>
    <row r="43588">
      <c r="A43588" s="1" t="n">
        <v>43587</v>
      </c>
      <c r="B43588">
        <f>TEXT(43587, "[$-0E0000]yyyy-mm-dd")</f>
        <v/>
      </c>
      <c r="C43588" t="inlineStr">
        <is>
          <t>2019-03-29</t>
        </is>
      </c>
    </row>
    <row r="43589">
      <c r="A43589" s="1" t="n">
        <v>43588</v>
      </c>
      <c r="B43589">
        <f>TEXT(43588, "[$-0E0000]yyyy-mm-dd")</f>
        <v/>
      </c>
      <c r="C43589" t="inlineStr">
        <is>
          <t>2019-03-30</t>
        </is>
      </c>
    </row>
    <row r="43590">
      <c r="A43590" s="1" t="n">
        <v>43589</v>
      </c>
      <c r="B43590">
        <f>TEXT(43589, "[$-0E0000]yyyy-mm-dd")</f>
        <v/>
      </c>
      <c r="C43590" t="inlineStr">
        <is>
          <t>2019-04-01</t>
        </is>
      </c>
    </row>
    <row r="43591">
      <c r="A43591" s="1" t="n">
        <v>43590</v>
      </c>
      <c r="B43591">
        <f>TEXT(43590, "[$-0E0000]yyyy-mm-dd")</f>
        <v/>
      </c>
      <c r="C43591" t="inlineStr">
        <is>
          <t>2019-04-02</t>
        </is>
      </c>
    </row>
    <row r="43592">
      <c r="A43592" s="1" t="n">
        <v>43591</v>
      </c>
      <c r="B43592">
        <f>TEXT(43591, "[$-0E0000]yyyy-mm-dd")</f>
        <v/>
      </c>
      <c r="C43592" t="inlineStr">
        <is>
          <t>2019-04-03</t>
        </is>
      </c>
    </row>
    <row r="43593">
      <c r="A43593" s="1" t="n">
        <v>43592</v>
      </c>
      <c r="B43593">
        <f>TEXT(43592, "[$-0E0000]yyyy-mm-dd")</f>
        <v/>
      </c>
      <c r="C43593" t="inlineStr">
        <is>
          <t>2019-04-04</t>
        </is>
      </c>
    </row>
    <row r="43594">
      <c r="A43594" s="1" t="n">
        <v>43593</v>
      </c>
      <c r="B43594">
        <f>TEXT(43593, "[$-0E0000]yyyy-mm-dd")</f>
        <v/>
      </c>
      <c r="C43594" t="inlineStr">
        <is>
          <t>2019-04-05</t>
        </is>
      </c>
    </row>
    <row r="43595">
      <c r="A43595" s="1" t="n">
        <v>43594</v>
      </c>
      <c r="B43595">
        <f>TEXT(43594, "[$-0E0000]yyyy-mm-dd")</f>
        <v/>
      </c>
      <c r="C43595" t="inlineStr">
        <is>
          <t>2019-04-06</t>
        </is>
      </c>
    </row>
    <row r="43596">
      <c r="A43596" s="1" t="n">
        <v>43595</v>
      </c>
      <c r="B43596">
        <f>TEXT(43595, "[$-0E0000]yyyy-mm-dd")</f>
        <v/>
      </c>
      <c r="C43596" t="inlineStr">
        <is>
          <t>2019-04-07</t>
        </is>
      </c>
    </row>
    <row r="43597">
      <c r="A43597" s="1" t="n">
        <v>43596</v>
      </c>
      <c r="B43597">
        <f>TEXT(43596, "[$-0E0000]yyyy-mm-dd")</f>
        <v/>
      </c>
      <c r="C43597" t="inlineStr">
        <is>
          <t>2019-04-08</t>
        </is>
      </c>
    </row>
    <row r="43598">
      <c r="A43598" s="1" t="n">
        <v>43597</v>
      </c>
      <c r="B43598">
        <f>TEXT(43597, "[$-0E0000]yyyy-mm-dd")</f>
        <v/>
      </c>
      <c r="C43598" t="inlineStr">
        <is>
          <t>2019-04-09</t>
        </is>
      </c>
    </row>
    <row r="43599">
      <c r="A43599" s="1" t="n">
        <v>43598</v>
      </c>
      <c r="B43599">
        <f>TEXT(43598, "[$-0E0000]yyyy-mm-dd")</f>
        <v/>
      </c>
      <c r="C43599" t="inlineStr">
        <is>
          <t>2019-04-10</t>
        </is>
      </c>
    </row>
    <row r="43600">
      <c r="A43600" s="1" t="n">
        <v>43599</v>
      </c>
      <c r="B43600">
        <f>TEXT(43599, "[$-0E0000]yyyy-mm-dd")</f>
        <v/>
      </c>
      <c r="C43600" t="inlineStr">
        <is>
          <t>2019-04-11</t>
        </is>
      </c>
    </row>
    <row r="43601">
      <c r="A43601" s="1" t="n">
        <v>43600</v>
      </c>
      <c r="B43601">
        <f>TEXT(43600, "[$-0E0000]yyyy-mm-dd")</f>
        <v/>
      </c>
      <c r="C43601" t="inlineStr">
        <is>
          <t>2019-04-12</t>
        </is>
      </c>
    </row>
    <row r="43602">
      <c r="A43602" s="1" t="n">
        <v>43601</v>
      </c>
      <c r="B43602">
        <f>TEXT(43601, "[$-0E0000]yyyy-mm-dd")</f>
        <v/>
      </c>
      <c r="C43602" t="inlineStr">
        <is>
          <t>2019-04-13</t>
        </is>
      </c>
    </row>
    <row r="43603">
      <c r="A43603" s="1" t="n">
        <v>43602</v>
      </c>
      <c r="B43603">
        <f>TEXT(43602, "[$-0E0000]yyyy-mm-dd")</f>
        <v/>
      </c>
      <c r="C43603" t="inlineStr">
        <is>
          <t>2019-04-14</t>
        </is>
      </c>
    </row>
    <row r="43604">
      <c r="A43604" s="1" t="n">
        <v>43603</v>
      </c>
      <c r="B43604">
        <f>TEXT(43603, "[$-0E0000]yyyy-mm-dd")</f>
        <v/>
      </c>
      <c r="C43604" t="inlineStr">
        <is>
          <t>2019-04-15</t>
        </is>
      </c>
    </row>
    <row r="43605">
      <c r="A43605" s="1" t="n">
        <v>43604</v>
      </c>
      <c r="B43605">
        <f>TEXT(43604, "[$-0E0000]yyyy-mm-dd")</f>
        <v/>
      </c>
      <c r="C43605" t="inlineStr">
        <is>
          <t>2019-04-16</t>
        </is>
      </c>
    </row>
    <row r="43606">
      <c r="A43606" s="1" t="n">
        <v>43605</v>
      </c>
      <c r="B43606">
        <f>TEXT(43605, "[$-0E0000]yyyy-mm-dd")</f>
        <v/>
      </c>
      <c r="C43606" t="inlineStr">
        <is>
          <t>2019-04-17</t>
        </is>
      </c>
    </row>
    <row r="43607">
      <c r="A43607" s="1" t="n">
        <v>43606</v>
      </c>
      <c r="B43607">
        <f>TEXT(43606, "[$-0E0000]yyyy-mm-dd")</f>
        <v/>
      </c>
      <c r="C43607" t="inlineStr">
        <is>
          <t>2019-04-18</t>
        </is>
      </c>
    </row>
    <row r="43608">
      <c r="A43608" s="1" t="n">
        <v>43607</v>
      </c>
      <c r="B43608">
        <f>TEXT(43607, "[$-0E0000]yyyy-mm-dd")</f>
        <v/>
      </c>
      <c r="C43608" t="inlineStr">
        <is>
          <t>2019-04-19</t>
        </is>
      </c>
    </row>
    <row r="43609">
      <c r="A43609" s="1" t="n">
        <v>43608</v>
      </c>
      <c r="B43609">
        <f>TEXT(43608, "[$-0E0000]yyyy-mm-dd")</f>
        <v/>
      </c>
      <c r="C43609" t="inlineStr">
        <is>
          <t>2019-04-20</t>
        </is>
      </c>
    </row>
    <row r="43610">
      <c r="A43610" s="1" t="n">
        <v>43609</v>
      </c>
      <c r="B43610">
        <f>TEXT(43609, "[$-0E0000]yyyy-mm-dd")</f>
        <v/>
      </c>
      <c r="C43610" t="inlineStr">
        <is>
          <t>2019-04-21</t>
        </is>
      </c>
    </row>
    <row r="43611">
      <c r="A43611" s="1" t="n">
        <v>43610</v>
      </c>
      <c r="B43611">
        <f>TEXT(43610, "[$-0E0000]yyyy-mm-dd")</f>
        <v/>
      </c>
      <c r="C43611" t="inlineStr">
        <is>
          <t>2019-04-22</t>
        </is>
      </c>
    </row>
    <row r="43612">
      <c r="A43612" s="1" t="n">
        <v>43611</v>
      </c>
      <c r="B43612">
        <f>TEXT(43611, "[$-0E0000]yyyy-mm-dd")</f>
        <v/>
      </c>
      <c r="C43612" t="inlineStr">
        <is>
          <t>2019-04-23</t>
        </is>
      </c>
    </row>
    <row r="43613">
      <c r="A43613" s="1" t="n">
        <v>43612</v>
      </c>
      <c r="B43613">
        <f>TEXT(43612, "[$-0E0000]yyyy-mm-dd")</f>
        <v/>
      </c>
      <c r="C43613" t="inlineStr">
        <is>
          <t>2019-04-24</t>
        </is>
      </c>
    </row>
    <row r="43614">
      <c r="A43614" s="1" t="n">
        <v>43613</v>
      </c>
      <c r="B43614">
        <f>TEXT(43613, "[$-0E0000]yyyy-mm-dd")</f>
        <v/>
      </c>
      <c r="C43614" t="inlineStr">
        <is>
          <t>2019-04-25</t>
        </is>
      </c>
    </row>
    <row r="43615">
      <c r="A43615" s="1" t="n">
        <v>43614</v>
      </c>
      <c r="B43615">
        <f>TEXT(43614, "[$-0E0000]yyyy-mm-dd")</f>
        <v/>
      </c>
      <c r="C43615" t="inlineStr">
        <is>
          <t>2019-04-26</t>
        </is>
      </c>
    </row>
    <row r="43616">
      <c r="A43616" s="1" t="n">
        <v>43615</v>
      </c>
      <c r="B43616">
        <f>TEXT(43615, "[$-0E0000]yyyy-mm-dd")</f>
        <v/>
      </c>
      <c r="C43616" t="inlineStr">
        <is>
          <t>2019-04-27</t>
        </is>
      </c>
    </row>
    <row r="43617">
      <c r="A43617" s="1" t="n">
        <v>43616</v>
      </c>
      <c r="B43617">
        <f>TEXT(43616, "[$-0E0000]yyyy-mm-dd")</f>
        <v/>
      </c>
      <c r="C43617" t="inlineStr">
        <is>
          <t>2019-04-28</t>
        </is>
      </c>
    </row>
    <row r="43618">
      <c r="A43618" s="1" t="n">
        <v>43617</v>
      </c>
      <c r="B43618">
        <f>TEXT(43617, "[$-0E0000]yyyy-mm-dd")</f>
        <v/>
      </c>
      <c r="C43618" t="inlineStr">
        <is>
          <t>2019-04-29</t>
        </is>
      </c>
    </row>
    <row r="43619">
      <c r="A43619" s="1" t="n">
        <v>43618</v>
      </c>
      <c r="B43619">
        <f>TEXT(43618, "[$-0E0000]yyyy-mm-dd")</f>
        <v/>
      </c>
      <c r="C43619" t="inlineStr">
        <is>
          <t>2019-05-01</t>
        </is>
      </c>
    </row>
    <row r="43620">
      <c r="A43620" s="1" t="n">
        <v>43619</v>
      </c>
      <c r="B43620">
        <f>TEXT(43619, "[$-0E0000]yyyy-mm-dd")</f>
        <v/>
      </c>
      <c r="C43620" t="inlineStr">
        <is>
          <t>2019-05-02</t>
        </is>
      </c>
    </row>
    <row r="43621">
      <c r="A43621" s="1" t="n">
        <v>43620</v>
      </c>
      <c r="B43621">
        <f>TEXT(43620, "[$-0E0000]yyyy-mm-dd")</f>
        <v/>
      </c>
      <c r="C43621" t="inlineStr">
        <is>
          <t>2019-05-03</t>
        </is>
      </c>
    </row>
    <row r="43622">
      <c r="A43622" s="1" t="n">
        <v>43621</v>
      </c>
      <c r="B43622">
        <f>TEXT(43621, "[$-0E0000]yyyy-mm-dd")</f>
        <v/>
      </c>
      <c r="C43622" t="inlineStr">
        <is>
          <t>2019-05-04</t>
        </is>
      </c>
    </row>
    <row r="43623">
      <c r="A43623" s="1" t="n">
        <v>43622</v>
      </c>
      <c r="B43623">
        <f>TEXT(43622, "[$-0E0000]yyyy-mm-dd")</f>
        <v/>
      </c>
      <c r="C43623" t="inlineStr">
        <is>
          <t>2019-05-05</t>
        </is>
      </c>
    </row>
    <row r="43624">
      <c r="A43624" s="1" t="n">
        <v>43623</v>
      </c>
      <c r="B43624">
        <f>TEXT(43623, "[$-0E0000]yyyy-mm-dd")</f>
        <v/>
      </c>
      <c r="C43624" t="inlineStr">
        <is>
          <t>2019-05-06</t>
        </is>
      </c>
    </row>
    <row r="43625">
      <c r="A43625" s="1" t="n">
        <v>43624</v>
      </c>
      <c r="B43625">
        <f>TEXT(43624, "[$-0E0000]yyyy-mm-dd")</f>
        <v/>
      </c>
      <c r="C43625" t="inlineStr">
        <is>
          <t>2019-05-07</t>
        </is>
      </c>
    </row>
    <row r="43626">
      <c r="A43626" s="1" t="n">
        <v>43625</v>
      </c>
      <c r="B43626">
        <f>TEXT(43625, "[$-0E0000]yyyy-mm-dd")</f>
        <v/>
      </c>
      <c r="C43626" t="inlineStr">
        <is>
          <t>2019-05-08</t>
        </is>
      </c>
    </row>
    <row r="43627">
      <c r="A43627" s="1" t="n">
        <v>43626</v>
      </c>
      <c r="B43627">
        <f>TEXT(43626, "[$-0E0000]yyyy-mm-dd")</f>
        <v/>
      </c>
      <c r="C43627" t="inlineStr">
        <is>
          <t>2019-05-09</t>
        </is>
      </c>
    </row>
    <row r="43628">
      <c r="A43628" s="1" t="n">
        <v>43627</v>
      </c>
      <c r="B43628">
        <f>TEXT(43627, "[$-0E0000]yyyy-mm-dd")</f>
        <v/>
      </c>
      <c r="C43628" t="inlineStr">
        <is>
          <t>2019-05-10</t>
        </is>
      </c>
    </row>
    <row r="43629">
      <c r="A43629" s="1" t="n">
        <v>43628</v>
      </c>
      <c r="B43629">
        <f>TEXT(43628, "[$-0E0000]yyyy-mm-dd")</f>
        <v/>
      </c>
      <c r="C43629" t="inlineStr">
        <is>
          <t>2019-05-11</t>
        </is>
      </c>
    </row>
    <row r="43630">
      <c r="A43630" s="1" t="n">
        <v>43629</v>
      </c>
      <c r="B43630">
        <f>TEXT(43629, "[$-0E0000]yyyy-mm-dd")</f>
        <v/>
      </c>
      <c r="C43630" t="inlineStr">
        <is>
          <t>2019-05-12</t>
        </is>
      </c>
    </row>
    <row r="43631">
      <c r="A43631" s="1" t="n">
        <v>43630</v>
      </c>
      <c r="B43631">
        <f>TEXT(43630, "[$-0E0000]yyyy-mm-dd")</f>
        <v/>
      </c>
      <c r="C43631" t="inlineStr">
        <is>
          <t>2019-05-13</t>
        </is>
      </c>
    </row>
    <row r="43632">
      <c r="A43632" s="1" t="n">
        <v>43631</v>
      </c>
      <c r="B43632">
        <f>TEXT(43631, "[$-0E0000]yyyy-mm-dd")</f>
        <v/>
      </c>
      <c r="C43632" t="inlineStr">
        <is>
          <t>2019-05-14</t>
        </is>
      </c>
    </row>
    <row r="43633">
      <c r="A43633" s="1" t="n">
        <v>43632</v>
      </c>
      <c r="B43633">
        <f>TEXT(43632, "[$-0E0000]yyyy-mm-dd")</f>
        <v/>
      </c>
      <c r="C43633" t="inlineStr">
        <is>
          <t>2019-05-15</t>
        </is>
      </c>
    </row>
    <row r="43634">
      <c r="A43634" s="1" t="n">
        <v>43633</v>
      </c>
      <c r="B43634">
        <f>TEXT(43633, "[$-0E0000]yyyy-mm-dd")</f>
        <v/>
      </c>
      <c r="C43634" t="inlineStr">
        <is>
          <t>2019-05-16</t>
        </is>
      </c>
    </row>
    <row r="43635">
      <c r="A43635" s="1" t="n">
        <v>43634</v>
      </c>
      <c r="B43635">
        <f>TEXT(43634, "[$-0E0000]yyyy-mm-dd")</f>
        <v/>
      </c>
      <c r="C43635" t="inlineStr">
        <is>
          <t>2019-05-17</t>
        </is>
      </c>
    </row>
    <row r="43636">
      <c r="A43636" s="1" t="n">
        <v>43635</v>
      </c>
      <c r="B43636">
        <f>TEXT(43635, "[$-0E0000]yyyy-mm-dd")</f>
        <v/>
      </c>
      <c r="C43636" t="inlineStr">
        <is>
          <t>2019-05-18</t>
        </is>
      </c>
    </row>
    <row r="43637">
      <c r="A43637" s="1" t="n">
        <v>43636</v>
      </c>
      <c r="B43637">
        <f>TEXT(43636, "[$-0E0000]yyyy-mm-dd")</f>
        <v/>
      </c>
      <c r="C43637" t="inlineStr">
        <is>
          <t>2019-05-19</t>
        </is>
      </c>
    </row>
    <row r="43638">
      <c r="A43638" s="1" t="n">
        <v>43637</v>
      </c>
      <c r="B43638">
        <f>TEXT(43637, "[$-0E0000]yyyy-mm-dd")</f>
        <v/>
      </c>
      <c r="C43638" t="inlineStr">
        <is>
          <t>2019-05-20</t>
        </is>
      </c>
    </row>
    <row r="43639">
      <c r="A43639" s="1" t="n">
        <v>43638</v>
      </c>
      <c r="B43639">
        <f>TEXT(43638, "[$-0E0000]yyyy-mm-dd")</f>
        <v/>
      </c>
      <c r="C43639" t="inlineStr">
        <is>
          <t>2019-05-21</t>
        </is>
      </c>
    </row>
    <row r="43640">
      <c r="A43640" s="1" t="n">
        <v>43639</v>
      </c>
      <c r="B43640">
        <f>TEXT(43639, "[$-0E0000]yyyy-mm-dd")</f>
        <v/>
      </c>
      <c r="C43640" t="inlineStr">
        <is>
          <t>2019-05-22</t>
        </is>
      </c>
    </row>
    <row r="43641">
      <c r="A43641" s="1" t="n">
        <v>43640</v>
      </c>
      <c r="B43641">
        <f>TEXT(43640, "[$-0E0000]yyyy-mm-dd")</f>
        <v/>
      </c>
      <c r="C43641" t="inlineStr">
        <is>
          <t>2019-05-23</t>
        </is>
      </c>
    </row>
    <row r="43642">
      <c r="A43642" s="1" t="n">
        <v>43641</v>
      </c>
      <c r="B43642">
        <f>TEXT(43641, "[$-0E0000]yyyy-mm-dd")</f>
        <v/>
      </c>
      <c r="C43642" t="inlineStr">
        <is>
          <t>2019-05-24</t>
        </is>
      </c>
    </row>
    <row r="43643">
      <c r="A43643" s="1" t="n">
        <v>43642</v>
      </c>
      <c r="B43643">
        <f>TEXT(43642, "[$-0E0000]yyyy-mm-dd")</f>
        <v/>
      </c>
      <c r="C43643" t="inlineStr">
        <is>
          <t>2019-05-25</t>
        </is>
      </c>
    </row>
    <row r="43644">
      <c r="A43644" s="1" t="n">
        <v>43643</v>
      </c>
      <c r="B43644">
        <f>TEXT(43643, "[$-0E0000]yyyy-mm-dd")</f>
        <v/>
      </c>
      <c r="C43644" t="inlineStr">
        <is>
          <t>2019-05-26</t>
        </is>
      </c>
    </row>
    <row r="43645">
      <c r="A43645" s="1" t="n">
        <v>43644</v>
      </c>
      <c r="B43645">
        <f>TEXT(43644, "[$-0E0000]yyyy-mm-dd")</f>
        <v/>
      </c>
      <c r="C43645" t="inlineStr">
        <is>
          <t>2019-05-27</t>
        </is>
      </c>
    </row>
    <row r="43646">
      <c r="A43646" s="1" t="n">
        <v>43645</v>
      </c>
      <c r="B43646">
        <f>TEXT(43645, "[$-0E0000]yyyy-mm-dd")</f>
        <v/>
      </c>
      <c r="C43646" t="inlineStr">
        <is>
          <t>2019-05-28</t>
        </is>
      </c>
    </row>
    <row r="43647">
      <c r="A43647" s="1" t="n">
        <v>43646</v>
      </c>
      <c r="B43647">
        <f>TEXT(43646, "[$-0E0000]yyyy-mm-dd")</f>
        <v/>
      </c>
      <c r="C43647" t="inlineStr">
        <is>
          <t>2019-05-29</t>
        </is>
      </c>
    </row>
    <row r="43648">
      <c r="A43648" s="1" t="n">
        <v>43647</v>
      </c>
      <c r="B43648">
        <f>TEXT(43647, "[$-0E0000]yyyy-mm-dd")</f>
        <v/>
      </c>
      <c r="C43648" t="inlineStr">
        <is>
          <t>2019-05-30</t>
        </is>
      </c>
    </row>
    <row r="43649">
      <c r="A43649" s="1" t="n">
        <v>43648</v>
      </c>
      <c r="B43649">
        <f>TEXT(43648, "[$-0E0000]yyyy-mm-dd")</f>
        <v/>
      </c>
      <c r="C43649" t="inlineStr">
        <is>
          <t>2019-06-01</t>
        </is>
      </c>
    </row>
    <row r="43650">
      <c r="A43650" s="1" t="n">
        <v>43649</v>
      </c>
      <c r="B43650">
        <f>TEXT(43649, "[$-0E0000]yyyy-mm-dd")</f>
        <v/>
      </c>
      <c r="C43650" t="inlineStr">
        <is>
          <t>2019-06-02</t>
        </is>
      </c>
    </row>
    <row r="43651">
      <c r="A43651" s="1" t="n">
        <v>43650</v>
      </c>
      <c r="B43651">
        <f>TEXT(43650, "[$-0E0000]yyyy-mm-dd")</f>
        <v/>
      </c>
      <c r="C43651" t="inlineStr">
        <is>
          <t>2019-06-03</t>
        </is>
      </c>
    </row>
    <row r="43652">
      <c r="A43652" s="1" t="n">
        <v>43651</v>
      </c>
      <c r="B43652">
        <f>TEXT(43651, "[$-0E0000]yyyy-mm-dd")</f>
        <v/>
      </c>
      <c r="C43652" t="inlineStr">
        <is>
          <t>2019-06-04</t>
        </is>
      </c>
    </row>
    <row r="43653">
      <c r="A43653" s="1" t="n">
        <v>43652</v>
      </c>
      <c r="B43653">
        <f>TEXT(43652, "[$-0E0000]yyyy-mm-dd")</f>
        <v/>
      </c>
      <c r="C43653" t="inlineStr">
        <is>
          <t>2019-06-05</t>
        </is>
      </c>
    </row>
    <row r="43654">
      <c r="A43654" s="1" t="n">
        <v>43653</v>
      </c>
      <c r="B43654">
        <f>TEXT(43653, "[$-0E0000]yyyy-mm-dd")</f>
        <v/>
      </c>
      <c r="C43654" t="inlineStr">
        <is>
          <t>2019-06-06</t>
        </is>
      </c>
    </row>
    <row r="43655">
      <c r="A43655" s="1" t="n">
        <v>43654</v>
      </c>
      <c r="B43655">
        <f>TEXT(43654, "[$-0E0000]yyyy-mm-dd")</f>
        <v/>
      </c>
      <c r="C43655" t="inlineStr">
        <is>
          <t>2019-06-07</t>
        </is>
      </c>
    </row>
    <row r="43656">
      <c r="A43656" s="1" t="n">
        <v>43655</v>
      </c>
      <c r="B43656">
        <f>TEXT(43655, "[$-0E0000]yyyy-mm-dd")</f>
        <v/>
      </c>
      <c r="C43656" t="inlineStr">
        <is>
          <t>2019-06-08</t>
        </is>
      </c>
    </row>
    <row r="43657">
      <c r="A43657" s="1" t="n">
        <v>43656</v>
      </c>
      <c r="B43657">
        <f>TEXT(43656, "[$-0E0000]yyyy-mm-dd")</f>
        <v/>
      </c>
      <c r="C43657" t="inlineStr">
        <is>
          <t>2019-06-09</t>
        </is>
      </c>
    </row>
    <row r="43658">
      <c r="A43658" s="1" t="n">
        <v>43657</v>
      </c>
      <c r="B43658">
        <f>TEXT(43657, "[$-0E0000]yyyy-mm-dd")</f>
        <v/>
      </c>
      <c r="C43658" t="inlineStr">
        <is>
          <t>2019-06-10</t>
        </is>
      </c>
    </row>
    <row r="43659">
      <c r="A43659" s="1" t="n">
        <v>43658</v>
      </c>
      <c r="B43659">
        <f>TEXT(43658, "[$-0E0000]yyyy-mm-dd")</f>
        <v/>
      </c>
      <c r="C43659" t="inlineStr">
        <is>
          <t>2019-06-11</t>
        </is>
      </c>
    </row>
    <row r="43660">
      <c r="A43660" s="1" t="n">
        <v>43659</v>
      </c>
      <c r="B43660">
        <f>TEXT(43659, "[$-0E0000]yyyy-mm-dd")</f>
        <v/>
      </c>
      <c r="C43660" t="inlineStr">
        <is>
          <t>2019-06-12</t>
        </is>
      </c>
    </row>
    <row r="43661">
      <c r="A43661" s="1" t="n">
        <v>43660</v>
      </c>
      <c r="B43661">
        <f>TEXT(43660, "[$-0E0000]yyyy-mm-dd")</f>
        <v/>
      </c>
      <c r="C43661" t="inlineStr">
        <is>
          <t>2019-06-13</t>
        </is>
      </c>
    </row>
    <row r="43662">
      <c r="A43662" s="1" t="n">
        <v>43661</v>
      </c>
      <c r="B43662">
        <f>TEXT(43661, "[$-0E0000]yyyy-mm-dd")</f>
        <v/>
      </c>
      <c r="C43662" t="inlineStr">
        <is>
          <t>2019-06-14</t>
        </is>
      </c>
    </row>
    <row r="43663">
      <c r="A43663" s="1" t="n">
        <v>43662</v>
      </c>
      <c r="B43663">
        <f>TEXT(43662, "[$-0E0000]yyyy-mm-dd")</f>
        <v/>
      </c>
      <c r="C43663" t="inlineStr">
        <is>
          <t>2019-06-15</t>
        </is>
      </c>
    </row>
    <row r="43664">
      <c r="A43664" s="1" t="n">
        <v>43663</v>
      </c>
      <c r="B43664">
        <f>TEXT(43663, "[$-0E0000]yyyy-mm-dd")</f>
        <v/>
      </c>
      <c r="C43664" t="inlineStr">
        <is>
          <t>2019-06-16</t>
        </is>
      </c>
    </row>
    <row r="43665">
      <c r="A43665" s="1" t="n">
        <v>43664</v>
      </c>
      <c r="B43665">
        <f>TEXT(43664, "[$-0E0000]yyyy-mm-dd")</f>
        <v/>
      </c>
      <c r="C43665" t="inlineStr">
        <is>
          <t>2019-06-17</t>
        </is>
      </c>
    </row>
    <row r="43666">
      <c r="A43666" s="1" t="n">
        <v>43665</v>
      </c>
      <c r="B43666">
        <f>TEXT(43665, "[$-0E0000]yyyy-mm-dd")</f>
        <v/>
      </c>
      <c r="C43666" t="inlineStr">
        <is>
          <t>2019-06-18</t>
        </is>
      </c>
    </row>
    <row r="43667">
      <c r="A43667" s="1" t="n">
        <v>43666</v>
      </c>
      <c r="B43667">
        <f>TEXT(43666, "[$-0E0000]yyyy-mm-dd")</f>
        <v/>
      </c>
      <c r="C43667" t="inlineStr">
        <is>
          <t>2019-06-19</t>
        </is>
      </c>
    </row>
    <row r="43668">
      <c r="A43668" s="1" t="n">
        <v>43667</v>
      </c>
      <c r="B43668">
        <f>TEXT(43667, "[$-0E0000]yyyy-mm-dd")</f>
        <v/>
      </c>
      <c r="C43668" t="inlineStr">
        <is>
          <t>2019-06-20</t>
        </is>
      </c>
    </row>
    <row r="43669">
      <c r="A43669" s="1" t="n">
        <v>43668</v>
      </c>
      <c r="B43669">
        <f>TEXT(43668, "[$-0E0000]yyyy-mm-dd")</f>
        <v/>
      </c>
      <c r="C43669" t="inlineStr">
        <is>
          <t>2019-06-21</t>
        </is>
      </c>
    </row>
    <row r="43670">
      <c r="A43670" s="1" t="n">
        <v>43669</v>
      </c>
      <c r="B43670">
        <f>TEXT(43669, "[$-0E0000]yyyy-mm-dd")</f>
        <v/>
      </c>
      <c r="C43670" t="inlineStr">
        <is>
          <t>2019-06-22</t>
        </is>
      </c>
    </row>
    <row r="43671">
      <c r="A43671" s="1" t="n">
        <v>43670</v>
      </c>
      <c r="B43671">
        <f>TEXT(43670, "[$-0E0000]yyyy-mm-dd")</f>
        <v/>
      </c>
      <c r="C43671" t="inlineStr">
        <is>
          <t>2019-06-23</t>
        </is>
      </c>
    </row>
    <row r="43672">
      <c r="A43672" s="1" t="n">
        <v>43671</v>
      </c>
      <c r="B43672">
        <f>TEXT(43671, "[$-0E0000]yyyy-mm-dd")</f>
        <v/>
      </c>
      <c r="C43672" t="inlineStr">
        <is>
          <t>2019-06-24</t>
        </is>
      </c>
    </row>
    <row r="43673">
      <c r="A43673" s="1" t="n">
        <v>43672</v>
      </c>
      <c r="B43673">
        <f>TEXT(43672, "[$-0E0000]yyyy-mm-dd")</f>
        <v/>
      </c>
      <c r="C43673" t="inlineStr">
        <is>
          <t>2019-06-25</t>
        </is>
      </c>
    </row>
    <row r="43674">
      <c r="A43674" s="1" t="n">
        <v>43673</v>
      </c>
      <c r="B43674">
        <f>TEXT(43673, "[$-0E0000]yyyy-mm-dd")</f>
        <v/>
      </c>
      <c r="C43674" t="inlineStr">
        <is>
          <t>2019-06-26</t>
        </is>
      </c>
    </row>
    <row r="43675">
      <c r="A43675" s="1" t="n">
        <v>43674</v>
      </c>
      <c r="B43675">
        <f>TEXT(43674, "[$-0E0000]yyyy-mm-dd")</f>
        <v/>
      </c>
      <c r="C43675" t="inlineStr">
        <is>
          <t>2019-06-27</t>
        </is>
      </c>
    </row>
    <row r="43676">
      <c r="A43676" s="1" t="n">
        <v>43675</v>
      </c>
      <c r="B43676">
        <f>TEXT(43675, "[$-0E0000]yyyy-mm-dd")</f>
        <v/>
      </c>
      <c r="C43676" t="inlineStr">
        <is>
          <t>2019-06-28</t>
        </is>
      </c>
    </row>
    <row r="43677">
      <c r="A43677" s="1" t="n">
        <v>43676</v>
      </c>
      <c r="B43677">
        <f>TEXT(43676, "[$-0E0000]yyyy-mm-dd")</f>
        <v/>
      </c>
      <c r="C43677" t="inlineStr">
        <is>
          <t>2019-06-29</t>
        </is>
      </c>
    </row>
    <row r="43678">
      <c r="A43678" s="1" t="n">
        <v>43677</v>
      </c>
      <c r="B43678">
        <f>TEXT(43677, "[$-0E0000]yyyy-mm-dd")</f>
        <v/>
      </c>
      <c r="C43678" t="inlineStr">
        <is>
          <t>2019-07-01</t>
        </is>
      </c>
    </row>
    <row r="43679">
      <c r="A43679" s="1" t="n">
        <v>43678</v>
      </c>
      <c r="B43679">
        <f>TEXT(43678, "[$-0E0000]yyyy-mm-dd")</f>
        <v/>
      </c>
      <c r="C43679" t="inlineStr">
        <is>
          <t>2019-07-02</t>
        </is>
      </c>
    </row>
    <row r="43680">
      <c r="A43680" s="1" t="n">
        <v>43679</v>
      </c>
      <c r="B43680">
        <f>TEXT(43679, "[$-0E0000]yyyy-mm-dd")</f>
        <v/>
      </c>
      <c r="C43680" t="inlineStr">
        <is>
          <t>2019-07-03</t>
        </is>
      </c>
    </row>
    <row r="43681">
      <c r="A43681" s="1" t="n">
        <v>43680</v>
      </c>
      <c r="B43681">
        <f>TEXT(43680, "[$-0E0000]yyyy-mm-dd")</f>
        <v/>
      </c>
      <c r="C43681" t="inlineStr">
        <is>
          <t>2019-07-04</t>
        </is>
      </c>
    </row>
    <row r="43682">
      <c r="A43682" s="1" t="n">
        <v>43681</v>
      </c>
      <c r="B43682">
        <f>TEXT(43681, "[$-0E0000]yyyy-mm-dd")</f>
        <v/>
      </c>
      <c r="C43682" t="inlineStr">
        <is>
          <t>2019-07-05</t>
        </is>
      </c>
    </row>
    <row r="43683">
      <c r="A43683" s="1" t="n">
        <v>43682</v>
      </c>
      <c r="B43683">
        <f>TEXT(43682, "[$-0E0000]yyyy-mm-dd")</f>
        <v/>
      </c>
      <c r="C43683" t="inlineStr">
        <is>
          <t>2019-07-06</t>
        </is>
      </c>
    </row>
    <row r="43684">
      <c r="A43684" s="1" t="n">
        <v>43683</v>
      </c>
      <c r="B43684">
        <f>TEXT(43683, "[$-0E0000]yyyy-mm-dd")</f>
        <v/>
      </c>
      <c r="C43684" t="inlineStr">
        <is>
          <t>2019-07-07</t>
        </is>
      </c>
    </row>
    <row r="43685">
      <c r="A43685" s="1" t="n">
        <v>43684</v>
      </c>
      <c r="B43685">
        <f>TEXT(43684, "[$-0E0000]yyyy-mm-dd")</f>
        <v/>
      </c>
      <c r="C43685" t="inlineStr">
        <is>
          <t>2019-07-08</t>
        </is>
      </c>
    </row>
    <row r="43686">
      <c r="A43686" s="1" t="n">
        <v>43685</v>
      </c>
      <c r="B43686">
        <f>TEXT(43685, "[$-0E0000]yyyy-mm-dd")</f>
        <v/>
      </c>
      <c r="C43686" t="inlineStr">
        <is>
          <t>2019-07-09</t>
        </is>
      </c>
    </row>
    <row r="43687">
      <c r="A43687" s="1" t="n">
        <v>43686</v>
      </c>
      <c r="B43687">
        <f>TEXT(43686, "[$-0E0000]yyyy-mm-dd")</f>
        <v/>
      </c>
      <c r="C43687" t="inlineStr">
        <is>
          <t>2019-07-10</t>
        </is>
      </c>
    </row>
    <row r="43688">
      <c r="A43688" s="1" t="n">
        <v>43687</v>
      </c>
      <c r="B43688">
        <f>TEXT(43687, "[$-0E0000]yyyy-mm-dd")</f>
        <v/>
      </c>
      <c r="C43688" t="inlineStr">
        <is>
          <t>2019-07-11</t>
        </is>
      </c>
    </row>
    <row r="43689">
      <c r="A43689" s="1" t="n">
        <v>43688</v>
      </c>
      <c r="B43689">
        <f>TEXT(43688, "[$-0E0000]yyyy-mm-dd")</f>
        <v/>
      </c>
      <c r="C43689" t="inlineStr">
        <is>
          <t>2019-07-12</t>
        </is>
      </c>
    </row>
    <row r="43690">
      <c r="A43690" s="1" t="n">
        <v>43689</v>
      </c>
      <c r="B43690">
        <f>TEXT(43689, "[$-0E0000]yyyy-mm-dd")</f>
        <v/>
      </c>
      <c r="C43690" t="inlineStr">
        <is>
          <t>2019-07-13</t>
        </is>
      </c>
    </row>
    <row r="43691">
      <c r="A43691" s="1" t="n">
        <v>43690</v>
      </c>
      <c r="B43691">
        <f>TEXT(43690, "[$-0E0000]yyyy-mm-dd")</f>
        <v/>
      </c>
      <c r="C43691" t="inlineStr">
        <is>
          <t>2019-07-14</t>
        </is>
      </c>
    </row>
    <row r="43692">
      <c r="A43692" s="1" t="n">
        <v>43691</v>
      </c>
      <c r="B43692">
        <f>TEXT(43691, "[$-0E0000]yyyy-mm-dd")</f>
        <v/>
      </c>
      <c r="C43692" t="inlineStr">
        <is>
          <t>2019-07-15</t>
        </is>
      </c>
    </row>
    <row r="43693">
      <c r="A43693" s="1" t="n">
        <v>43692</v>
      </c>
      <c r="B43693">
        <f>TEXT(43692, "[$-0E0000]yyyy-mm-dd")</f>
        <v/>
      </c>
      <c r="C43693" t="inlineStr">
        <is>
          <t>2019-07-16</t>
        </is>
      </c>
    </row>
    <row r="43694">
      <c r="A43694" s="1" t="n">
        <v>43693</v>
      </c>
      <c r="B43694">
        <f>TEXT(43693, "[$-0E0000]yyyy-mm-dd")</f>
        <v/>
      </c>
      <c r="C43694" t="inlineStr">
        <is>
          <t>2019-07-17</t>
        </is>
      </c>
    </row>
    <row r="43695">
      <c r="A43695" s="1" t="n">
        <v>43694</v>
      </c>
      <c r="B43695">
        <f>TEXT(43694, "[$-0E0000]yyyy-mm-dd")</f>
        <v/>
      </c>
      <c r="C43695" t="inlineStr">
        <is>
          <t>2019-07-18</t>
        </is>
      </c>
    </row>
    <row r="43696">
      <c r="A43696" s="1" t="n">
        <v>43695</v>
      </c>
      <c r="B43696">
        <f>TEXT(43695, "[$-0E0000]yyyy-mm-dd")</f>
        <v/>
      </c>
      <c r="C43696" t="inlineStr">
        <is>
          <t>2019-07-19</t>
        </is>
      </c>
    </row>
    <row r="43697">
      <c r="A43697" s="1" t="n">
        <v>43696</v>
      </c>
      <c r="B43697">
        <f>TEXT(43696, "[$-0E0000]yyyy-mm-dd")</f>
        <v/>
      </c>
      <c r="C43697" t="inlineStr">
        <is>
          <t>2019-07-20</t>
        </is>
      </c>
    </row>
    <row r="43698">
      <c r="A43698" s="1" t="n">
        <v>43697</v>
      </c>
      <c r="B43698">
        <f>TEXT(43697, "[$-0E0000]yyyy-mm-dd")</f>
        <v/>
      </c>
      <c r="C43698" t="inlineStr">
        <is>
          <t>2019-07-21</t>
        </is>
      </c>
    </row>
    <row r="43699">
      <c r="A43699" s="1" t="n">
        <v>43698</v>
      </c>
      <c r="B43699">
        <f>TEXT(43698, "[$-0E0000]yyyy-mm-dd")</f>
        <v/>
      </c>
      <c r="C43699" t="inlineStr">
        <is>
          <t>2019-07-22</t>
        </is>
      </c>
    </row>
    <row r="43700">
      <c r="A43700" s="1" t="n">
        <v>43699</v>
      </c>
      <c r="B43700">
        <f>TEXT(43699, "[$-0E0000]yyyy-mm-dd")</f>
        <v/>
      </c>
      <c r="C43700" t="inlineStr">
        <is>
          <t>2019-07-23</t>
        </is>
      </c>
    </row>
    <row r="43701">
      <c r="A43701" s="1" t="n">
        <v>43700</v>
      </c>
      <c r="B43701">
        <f>TEXT(43700, "[$-0E0000]yyyy-mm-dd")</f>
        <v/>
      </c>
      <c r="C43701" t="inlineStr">
        <is>
          <t>2019-07-24</t>
        </is>
      </c>
    </row>
    <row r="43702">
      <c r="A43702" s="1" t="n">
        <v>43701</v>
      </c>
      <c r="B43702">
        <f>TEXT(43701, "[$-0E0000]yyyy-mm-dd")</f>
        <v/>
      </c>
      <c r="C43702" t="inlineStr">
        <is>
          <t>2019-07-25</t>
        </is>
      </c>
    </row>
    <row r="43703">
      <c r="A43703" s="1" t="n">
        <v>43702</v>
      </c>
      <c r="B43703">
        <f>TEXT(43702, "[$-0E0000]yyyy-mm-dd")</f>
        <v/>
      </c>
      <c r="C43703" t="inlineStr">
        <is>
          <t>2019-07-26</t>
        </is>
      </c>
    </row>
    <row r="43704">
      <c r="A43704" s="1" t="n">
        <v>43703</v>
      </c>
      <c r="B43704">
        <f>TEXT(43703, "[$-0E0000]yyyy-mm-dd")</f>
        <v/>
      </c>
      <c r="C43704" t="inlineStr">
        <is>
          <t>2019-07-27</t>
        </is>
      </c>
    </row>
    <row r="43705">
      <c r="A43705" s="1" t="n">
        <v>43704</v>
      </c>
      <c r="B43705">
        <f>TEXT(43704, "[$-0E0000]yyyy-mm-dd")</f>
        <v/>
      </c>
      <c r="C43705" t="inlineStr">
        <is>
          <t>2019-07-28</t>
        </is>
      </c>
    </row>
    <row r="43706">
      <c r="A43706" s="1" t="n">
        <v>43705</v>
      </c>
      <c r="B43706">
        <f>TEXT(43705, "[$-0E0000]yyyy-mm-dd")</f>
        <v/>
      </c>
      <c r="C43706" t="inlineStr">
        <is>
          <t>2019-07-29</t>
        </is>
      </c>
    </row>
    <row r="43707">
      <c r="A43707" s="1" t="n">
        <v>43706</v>
      </c>
      <c r="B43707">
        <f>TEXT(43706, "[$-0E0000]yyyy-mm-dd")</f>
        <v/>
      </c>
      <c r="C43707" t="inlineStr">
        <is>
          <t>2019-08-01</t>
        </is>
      </c>
    </row>
    <row r="43708">
      <c r="A43708" s="1" t="n">
        <v>43707</v>
      </c>
      <c r="B43708">
        <f>TEXT(43707, "[$-0E0000]yyyy-mm-dd")</f>
        <v/>
      </c>
      <c r="C43708" t="inlineStr">
        <is>
          <t>2019-08-02</t>
        </is>
      </c>
    </row>
    <row r="43709">
      <c r="A43709" s="1" t="n">
        <v>43708</v>
      </c>
      <c r="B43709">
        <f>TEXT(43708, "[$-0E0000]yyyy-mm-dd")</f>
        <v/>
      </c>
      <c r="C43709" t="inlineStr">
        <is>
          <t>2019-08-03</t>
        </is>
      </c>
    </row>
    <row r="43710">
      <c r="A43710" s="1" t="n">
        <v>43709</v>
      </c>
      <c r="B43710">
        <f>TEXT(43709, "[$-0E0000]yyyy-mm-dd")</f>
        <v/>
      </c>
      <c r="C43710" t="inlineStr">
        <is>
          <t>2019-08-04</t>
        </is>
      </c>
    </row>
    <row r="43711">
      <c r="A43711" s="1" t="n">
        <v>43710</v>
      </c>
      <c r="B43711">
        <f>TEXT(43710, "[$-0E0000]yyyy-mm-dd")</f>
        <v/>
      </c>
      <c r="C43711" t="inlineStr">
        <is>
          <t>2019-08-05</t>
        </is>
      </c>
    </row>
    <row r="43712">
      <c r="A43712" s="1" t="n">
        <v>43711</v>
      </c>
      <c r="B43712">
        <f>TEXT(43711, "[$-0E0000]yyyy-mm-dd")</f>
        <v/>
      </c>
      <c r="C43712" t="inlineStr">
        <is>
          <t>2019-08-06</t>
        </is>
      </c>
    </row>
    <row r="43713">
      <c r="A43713" s="1" t="n">
        <v>43712</v>
      </c>
      <c r="B43713">
        <f>TEXT(43712, "[$-0E0000]yyyy-mm-dd")</f>
        <v/>
      </c>
      <c r="C43713" t="inlineStr">
        <is>
          <t>2019-08-07</t>
        </is>
      </c>
    </row>
    <row r="43714">
      <c r="A43714" s="1" t="n">
        <v>43713</v>
      </c>
      <c r="B43714">
        <f>TEXT(43713, "[$-0E0000]yyyy-mm-dd")</f>
        <v/>
      </c>
      <c r="C43714" t="inlineStr">
        <is>
          <t>2019-08-08</t>
        </is>
      </c>
    </row>
    <row r="43715">
      <c r="A43715" s="1" t="n">
        <v>43714</v>
      </c>
      <c r="B43715">
        <f>TEXT(43714, "[$-0E0000]yyyy-mm-dd")</f>
        <v/>
      </c>
      <c r="C43715" t="inlineStr">
        <is>
          <t>2019-08-09</t>
        </is>
      </c>
    </row>
    <row r="43716">
      <c r="A43716" s="1" t="n">
        <v>43715</v>
      </c>
      <c r="B43716">
        <f>TEXT(43715, "[$-0E0000]yyyy-mm-dd")</f>
        <v/>
      </c>
      <c r="C43716" t="inlineStr">
        <is>
          <t>2019-08-10</t>
        </is>
      </c>
    </row>
    <row r="43717">
      <c r="A43717" s="1" t="n">
        <v>43716</v>
      </c>
      <c r="B43717">
        <f>TEXT(43716, "[$-0E0000]yyyy-mm-dd")</f>
        <v/>
      </c>
      <c r="C43717" t="inlineStr">
        <is>
          <t>2019-08-11</t>
        </is>
      </c>
    </row>
    <row r="43718">
      <c r="A43718" s="1" t="n">
        <v>43717</v>
      </c>
      <c r="B43718">
        <f>TEXT(43717, "[$-0E0000]yyyy-mm-dd")</f>
        <v/>
      </c>
      <c r="C43718" t="inlineStr">
        <is>
          <t>2019-08-12</t>
        </is>
      </c>
    </row>
    <row r="43719">
      <c r="A43719" s="1" t="n">
        <v>43718</v>
      </c>
      <c r="B43719">
        <f>TEXT(43718, "[$-0E0000]yyyy-mm-dd")</f>
        <v/>
      </c>
      <c r="C43719" t="inlineStr">
        <is>
          <t>2019-08-13</t>
        </is>
      </c>
    </row>
    <row r="43720">
      <c r="A43720" s="1" t="n">
        <v>43719</v>
      </c>
      <c r="B43720">
        <f>TEXT(43719, "[$-0E0000]yyyy-mm-dd")</f>
        <v/>
      </c>
      <c r="C43720" t="inlineStr">
        <is>
          <t>2019-08-14</t>
        </is>
      </c>
    </row>
    <row r="43721">
      <c r="A43721" s="1" t="n">
        <v>43720</v>
      </c>
      <c r="B43721">
        <f>TEXT(43720, "[$-0E0000]yyyy-mm-dd")</f>
        <v/>
      </c>
      <c r="C43721" t="inlineStr">
        <is>
          <t>2019-08-15</t>
        </is>
      </c>
    </row>
    <row r="43722">
      <c r="A43722" s="1" t="n">
        <v>43721</v>
      </c>
      <c r="B43722">
        <f>TEXT(43721, "[$-0E0000]yyyy-mm-dd")</f>
        <v/>
      </c>
      <c r="C43722" t="inlineStr">
        <is>
          <t>2019-08-16</t>
        </is>
      </c>
    </row>
    <row r="43723">
      <c r="A43723" s="1" t="n">
        <v>43722</v>
      </c>
      <c r="B43723">
        <f>TEXT(43722, "[$-0E0000]yyyy-mm-dd")</f>
        <v/>
      </c>
      <c r="C43723" t="inlineStr">
        <is>
          <t>2019-08-17</t>
        </is>
      </c>
    </row>
    <row r="43724">
      <c r="A43724" s="1" t="n">
        <v>43723</v>
      </c>
      <c r="B43724">
        <f>TEXT(43723, "[$-0E0000]yyyy-mm-dd")</f>
        <v/>
      </c>
      <c r="C43724" t="inlineStr">
        <is>
          <t>2019-08-18</t>
        </is>
      </c>
    </row>
    <row r="43725">
      <c r="A43725" s="1" t="n">
        <v>43724</v>
      </c>
      <c r="B43725">
        <f>TEXT(43724, "[$-0E0000]yyyy-mm-dd")</f>
        <v/>
      </c>
      <c r="C43725" t="inlineStr">
        <is>
          <t>2019-08-19</t>
        </is>
      </c>
    </row>
    <row r="43726">
      <c r="A43726" s="1" t="n">
        <v>43725</v>
      </c>
      <c r="B43726">
        <f>TEXT(43725, "[$-0E0000]yyyy-mm-dd")</f>
        <v/>
      </c>
      <c r="C43726" t="inlineStr">
        <is>
          <t>2019-08-20</t>
        </is>
      </c>
    </row>
    <row r="43727">
      <c r="A43727" s="1" t="n">
        <v>43726</v>
      </c>
      <c r="B43727">
        <f>TEXT(43726, "[$-0E0000]yyyy-mm-dd")</f>
        <v/>
      </c>
      <c r="C43727" t="inlineStr">
        <is>
          <t>2019-08-21</t>
        </is>
      </c>
    </row>
    <row r="43728">
      <c r="A43728" s="1" t="n">
        <v>43727</v>
      </c>
      <c r="B43728">
        <f>TEXT(43727, "[$-0E0000]yyyy-mm-dd")</f>
        <v/>
      </c>
      <c r="C43728" t="inlineStr">
        <is>
          <t>2019-08-22</t>
        </is>
      </c>
    </row>
    <row r="43729">
      <c r="A43729" s="1" t="n">
        <v>43728</v>
      </c>
      <c r="B43729">
        <f>TEXT(43728, "[$-0E0000]yyyy-mm-dd")</f>
        <v/>
      </c>
      <c r="C43729" t="inlineStr">
        <is>
          <t>2019-08-23</t>
        </is>
      </c>
    </row>
    <row r="43730">
      <c r="A43730" s="1" t="n">
        <v>43729</v>
      </c>
      <c r="B43730">
        <f>TEXT(43729, "[$-0E0000]yyyy-mm-dd")</f>
        <v/>
      </c>
      <c r="C43730" t="inlineStr">
        <is>
          <t>2019-08-24</t>
        </is>
      </c>
    </row>
    <row r="43731">
      <c r="A43731" s="1" t="n">
        <v>43730</v>
      </c>
      <c r="B43731">
        <f>TEXT(43730, "[$-0E0000]yyyy-mm-dd")</f>
        <v/>
      </c>
      <c r="C43731" t="inlineStr">
        <is>
          <t>2019-08-25</t>
        </is>
      </c>
    </row>
    <row r="43732">
      <c r="A43732" s="1" t="n">
        <v>43731</v>
      </c>
      <c r="B43732">
        <f>TEXT(43731, "[$-0E0000]yyyy-mm-dd")</f>
        <v/>
      </c>
      <c r="C43732" t="inlineStr">
        <is>
          <t>2019-08-26</t>
        </is>
      </c>
    </row>
    <row r="43733">
      <c r="A43733" s="1" t="n">
        <v>43732</v>
      </c>
      <c r="B43733">
        <f>TEXT(43732, "[$-0E0000]yyyy-mm-dd")</f>
        <v/>
      </c>
      <c r="C43733" t="inlineStr">
        <is>
          <t>2019-08-27</t>
        </is>
      </c>
    </row>
    <row r="43734">
      <c r="A43734" s="1" t="n">
        <v>43733</v>
      </c>
      <c r="B43734">
        <f>TEXT(43733, "[$-0E0000]yyyy-mm-dd")</f>
        <v/>
      </c>
      <c r="C43734" t="inlineStr">
        <is>
          <t>2019-08-28</t>
        </is>
      </c>
    </row>
    <row r="43735">
      <c r="A43735" s="1" t="n">
        <v>43734</v>
      </c>
      <c r="B43735">
        <f>TEXT(43734, "[$-0E0000]yyyy-mm-dd")</f>
        <v/>
      </c>
      <c r="C43735" t="inlineStr">
        <is>
          <t>2019-08-29</t>
        </is>
      </c>
    </row>
    <row r="43736">
      <c r="A43736" s="1" t="n">
        <v>43735</v>
      </c>
      <c r="B43736">
        <f>TEXT(43735, "[$-0E0000]yyyy-mm-dd")</f>
        <v/>
      </c>
      <c r="C43736" t="inlineStr">
        <is>
          <t>2019-08-30</t>
        </is>
      </c>
    </row>
    <row r="43737">
      <c r="A43737" s="1" t="n">
        <v>43736</v>
      </c>
      <c r="B43737">
        <f>TEXT(43736, "[$-0E0000]yyyy-mm-dd")</f>
        <v/>
      </c>
      <c r="C43737" t="inlineStr">
        <is>
          <t>2019-09-01</t>
        </is>
      </c>
    </row>
    <row r="43738">
      <c r="A43738" s="1" t="n">
        <v>43737</v>
      </c>
      <c r="B43738">
        <f>TEXT(43737, "[$-0E0000]yyyy-mm-dd")</f>
        <v/>
      </c>
      <c r="C43738" t="inlineStr">
        <is>
          <t>2019-09-02</t>
        </is>
      </c>
    </row>
    <row r="43739">
      <c r="A43739" s="1" t="n">
        <v>43738</v>
      </c>
      <c r="B43739">
        <f>TEXT(43738, "[$-0E0000]yyyy-mm-dd")</f>
        <v/>
      </c>
      <c r="C43739" t="inlineStr">
        <is>
          <t>2019-09-03</t>
        </is>
      </c>
    </row>
    <row r="43740">
      <c r="A43740" s="1" t="n">
        <v>43739</v>
      </c>
      <c r="B43740">
        <f>TEXT(43739, "[$-0E0000]yyyy-mm-dd")</f>
        <v/>
      </c>
      <c r="C43740" t="inlineStr">
        <is>
          <t>2019-09-04</t>
        </is>
      </c>
    </row>
    <row r="43741">
      <c r="A43741" s="1" t="n">
        <v>43740</v>
      </c>
      <c r="B43741">
        <f>TEXT(43740, "[$-0E0000]yyyy-mm-dd")</f>
        <v/>
      </c>
      <c r="C43741" t="inlineStr">
        <is>
          <t>2019-09-05</t>
        </is>
      </c>
    </row>
    <row r="43742">
      <c r="A43742" s="1" t="n">
        <v>43741</v>
      </c>
      <c r="B43742">
        <f>TEXT(43741, "[$-0E0000]yyyy-mm-dd")</f>
        <v/>
      </c>
      <c r="C43742" t="inlineStr">
        <is>
          <t>2019-09-06</t>
        </is>
      </c>
    </row>
    <row r="43743">
      <c r="A43743" s="1" t="n">
        <v>43742</v>
      </c>
      <c r="B43743">
        <f>TEXT(43742, "[$-0E0000]yyyy-mm-dd")</f>
        <v/>
      </c>
      <c r="C43743" t="inlineStr">
        <is>
          <t>2019-09-07</t>
        </is>
      </c>
    </row>
    <row r="43744">
      <c r="A43744" s="1" t="n">
        <v>43743</v>
      </c>
      <c r="B43744">
        <f>TEXT(43743, "[$-0E0000]yyyy-mm-dd")</f>
        <v/>
      </c>
      <c r="C43744" t="inlineStr">
        <is>
          <t>2019-09-08</t>
        </is>
      </c>
    </row>
    <row r="43745">
      <c r="A43745" s="1" t="n">
        <v>43744</v>
      </c>
      <c r="B43745">
        <f>TEXT(43744, "[$-0E0000]yyyy-mm-dd")</f>
        <v/>
      </c>
      <c r="C43745" t="inlineStr">
        <is>
          <t>2019-09-09</t>
        </is>
      </c>
    </row>
    <row r="43746">
      <c r="A43746" s="1" t="n">
        <v>43745</v>
      </c>
      <c r="B43746">
        <f>TEXT(43745, "[$-0E0000]yyyy-mm-dd")</f>
        <v/>
      </c>
      <c r="C43746" t="inlineStr">
        <is>
          <t>2019-09-10</t>
        </is>
      </c>
    </row>
    <row r="43747">
      <c r="A43747" s="1" t="n">
        <v>43746</v>
      </c>
      <c r="B43747">
        <f>TEXT(43746, "[$-0E0000]yyyy-mm-dd")</f>
        <v/>
      </c>
      <c r="C43747" t="inlineStr">
        <is>
          <t>2019-09-11</t>
        </is>
      </c>
    </row>
    <row r="43748">
      <c r="A43748" s="1" t="n">
        <v>43747</v>
      </c>
      <c r="B43748">
        <f>TEXT(43747, "[$-0E0000]yyyy-mm-dd")</f>
        <v/>
      </c>
      <c r="C43748" t="inlineStr">
        <is>
          <t>2019-09-12</t>
        </is>
      </c>
    </row>
    <row r="43749">
      <c r="A43749" s="1" t="n">
        <v>43748</v>
      </c>
      <c r="B43749">
        <f>TEXT(43748, "[$-0E0000]yyyy-mm-dd")</f>
        <v/>
      </c>
      <c r="C43749" t="inlineStr">
        <is>
          <t>2019-09-13</t>
        </is>
      </c>
    </row>
    <row r="43750">
      <c r="A43750" s="1" t="n">
        <v>43749</v>
      </c>
      <c r="B43750">
        <f>TEXT(43749, "[$-0E0000]yyyy-mm-dd")</f>
        <v/>
      </c>
      <c r="C43750" t="inlineStr">
        <is>
          <t>2019-09-14</t>
        </is>
      </c>
    </row>
    <row r="43751">
      <c r="A43751" s="1" t="n">
        <v>43750</v>
      </c>
      <c r="B43751">
        <f>TEXT(43750, "[$-0E0000]yyyy-mm-dd")</f>
        <v/>
      </c>
      <c r="C43751" t="inlineStr">
        <is>
          <t>2019-09-15</t>
        </is>
      </c>
    </row>
    <row r="43752">
      <c r="A43752" s="1" t="n">
        <v>43751</v>
      </c>
      <c r="B43752">
        <f>TEXT(43751, "[$-0E0000]yyyy-mm-dd")</f>
        <v/>
      </c>
      <c r="C43752" t="inlineStr">
        <is>
          <t>2019-09-16</t>
        </is>
      </c>
    </row>
    <row r="43753">
      <c r="A43753" s="1" t="n">
        <v>43752</v>
      </c>
      <c r="B43753">
        <f>TEXT(43752, "[$-0E0000]yyyy-mm-dd")</f>
        <v/>
      </c>
      <c r="C43753" t="inlineStr">
        <is>
          <t>2019-09-17</t>
        </is>
      </c>
    </row>
    <row r="43754">
      <c r="A43754" s="1" t="n">
        <v>43753</v>
      </c>
      <c r="B43754">
        <f>TEXT(43753, "[$-0E0000]yyyy-mm-dd")</f>
        <v/>
      </c>
      <c r="C43754" t="inlineStr">
        <is>
          <t>2019-09-18</t>
        </is>
      </c>
    </row>
    <row r="43755">
      <c r="A43755" s="1" t="n">
        <v>43754</v>
      </c>
      <c r="B43755">
        <f>TEXT(43754, "[$-0E0000]yyyy-mm-dd")</f>
        <v/>
      </c>
      <c r="C43755" t="inlineStr">
        <is>
          <t>2019-09-19</t>
        </is>
      </c>
    </row>
    <row r="43756">
      <c r="A43756" s="1" t="n">
        <v>43755</v>
      </c>
      <c r="B43756">
        <f>TEXT(43755, "[$-0E0000]yyyy-mm-dd")</f>
        <v/>
      </c>
      <c r="C43756" t="inlineStr">
        <is>
          <t>2019-09-20</t>
        </is>
      </c>
    </row>
    <row r="43757">
      <c r="A43757" s="1" t="n">
        <v>43756</v>
      </c>
      <c r="B43757">
        <f>TEXT(43756, "[$-0E0000]yyyy-mm-dd")</f>
        <v/>
      </c>
      <c r="C43757" t="inlineStr">
        <is>
          <t>2019-09-21</t>
        </is>
      </c>
    </row>
    <row r="43758">
      <c r="A43758" s="1" t="n">
        <v>43757</v>
      </c>
      <c r="B43758">
        <f>TEXT(43757, "[$-0E0000]yyyy-mm-dd")</f>
        <v/>
      </c>
      <c r="C43758" t="inlineStr">
        <is>
          <t>2019-09-22</t>
        </is>
      </c>
    </row>
    <row r="43759">
      <c r="A43759" s="1" t="n">
        <v>43758</v>
      </c>
      <c r="B43759">
        <f>TEXT(43758, "[$-0E0000]yyyy-mm-dd")</f>
        <v/>
      </c>
      <c r="C43759" t="inlineStr">
        <is>
          <t>2019-09-23</t>
        </is>
      </c>
    </row>
    <row r="43760">
      <c r="A43760" s="1" t="n">
        <v>43759</v>
      </c>
      <c r="B43760">
        <f>TEXT(43759, "[$-0E0000]yyyy-mm-dd")</f>
        <v/>
      </c>
      <c r="C43760" t="inlineStr">
        <is>
          <t>2019-09-24</t>
        </is>
      </c>
    </row>
    <row r="43761">
      <c r="A43761" s="1" t="n">
        <v>43760</v>
      </c>
      <c r="B43761">
        <f>TEXT(43760, "[$-0E0000]yyyy-mm-dd")</f>
        <v/>
      </c>
      <c r="C43761" t="inlineStr">
        <is>
          <t>2019-09-25</t>
        </is>
      </c>
    </row>
    <row r="43762">
      <c r="A43762" s="1" t="n">
        <v>43761</v>
      </c>
      <c r="B43762">
        <f>TEXT(43761, "[$-0E0000]yyyy-mm-dd")</f>
        <v/>
      </c>
      <c r="C43762" t="inlineStr">
        <is>
          <t>2019-09-26</t>
        </is>
      </c>
    </row>
    <row r="43763">
      <c r="A43763" s="1" t="n">
        <v>43762</v>
      </c>
      <c r="B43763">
        <f>TEXT(43762, "[$-0E0000]yyyy-mm-dd")</f>
        <v/>
      </c>
      <c r="C43763" t="inlineStr">
        <is>
          <t>2019-09-27</t>
        </is>
      </c>
    </row>
    <row r="43764">
      <c r="A43764" s="1" t="n">
        <v>43763</v>
      </c>
      <c r="B43764">
        <f>TEXT(43763, "[$-0E0000]yyyy-mm-dd")</f>
        <v/>
      </c>
      <c r="C43764" t="inlineStr">
        <is>
          <t>2019-09-28</t>
        </is>
      </c>
    </row>
    <row r="43765">
      <c r="A43765" s="1" t="n">
        <v>43764</v>
      </c>
      <c r="B43765">
        <f>TEXT(43764, "[$-0E0000]yyyy-mm-dd")</f>
        <v/>
      </c>
      <c r="C43765" t="inlineStr">
        <is>
          <t>2019-09-29</t>
        </is>
      </c>
    </row>
    <row r="43766">
      <c r="A43766" s="1" t="n">
        <v>43765</v>
      </c>
      <c r="B43766">
        <f>TEXT(43765, "[$-0E0000]yyyy-mm-dd")</f>
        <v/>
      </c>
      <c r="C43766" t="inlineStr">
        <is>
          <t>2019-10-01</t>
        </is>
      </c>
    </row>
    <row r="43767">
      <c r="A43767" s="1" t="n">
        <v>43766</v>
      </c>
      <c r="B43767">
        <f>TEXT(43766, "[$-0E0000]yyyy-mm-dd")</f>
        <v/>
      </c>
      <c r="C43767" t="inlineStr">
        <is>
          <t>2019-10-02</t>
        </is>
      </c>
    </row>
    <row r="43768">
      <c r="A43768" s="1" t="n">
        <v>43767</v>
      </c>
      <c r="B43768">
        <f>TEXT(43767, "[$-0E0000]yyyy-mm-dd")</f>
        <v/>
      </c>
      <c r="C43768" t="inlineStr">
        <is>
          <t>2019-10-03</t>
        </is>
      </c>
    </row>
    <row r="43769">
      <c r="A43769" s="1" t="n">
        <v>43768</v>
      </c>
      <c r="B43769">
        <f>TEXT(43768, "[$-0E0000]yyyy-mm-dd")</f>
        <v/>
      </c>
      <c r="C43769" t="inlineStr">
        <is>
          <t>2019-10-04</t>
        </is>
      </c>
    </row>
    <row r="43770">
      <c r="A43770" s="1" t="n">
        <v>43769</v>
      </c>
      <c r="B43770">
        <f>TEXT(43769, "[$-0E0000]yyyy-mm-dd")</f>
        <v/>
      </c>
      <c r="C43770" t="inlineStr">
        <is>
          <t>2019-10-05</t>
        </is>
      </c>
    </row>
    <row r="43771">
      <c r="A43771" s="1" t="n">
        <v>43770</v>
      </c>
      <c r="B43771">
        <f>TEXT(43770, "[$-0E0000]yyyy-mm-dd")</f>
        <v/>
      </c>
      <c r="C43771" t="inlineStr">
        <is>
          <t>2019-10-06</t>
        </is>
      </c>
    </row>
    <row r="43772">
      <c r="A43772" s="1" t="n">
        <v>43771</v>
      </c>
      <c r="B43772">
        <f>TEXT(43771, "[$-0E0000]yyyy-mm-dd")</f>
        <v/>
      </c>
      <c r="C43772" t="inlineStr">
        <is>
          <t>2019-10-07</t>
        </is>
      </c>
    </row>
    <row r="43773">
      <c r="A43773" s="1" t="n">
        <v>43772</v>
      </c>
      <c r="B43773">
        <f>TEXT(43772, "[$-0E0000]yyyy-mm-dd")</f>
        <v/>
      </c>
      <c r="C43773" t="inlineStr">
        <is>
          <t>2019-10-08</t>
        </is>
      </c>
    </row>
    <row r="43774">
      <c r="A43774" s="1" t="n">
        <v>43773</v>
      </c>
      <c r="B43774">
        <f>TEXT(43773, "[$-0E0000]yyyy-mm-dd")</f>
        <v/>
      </c>
      <c r="C43774" t="inlineStr">
        <is>
          <t>2019-10-09</t>
        </is>
      </c>
    </row>
    <row r="43775">
      <c r="A43775" s="1" t="n">
        <v>43774</v>
      </c>
      <c r="B43775">
        <f>TEXT(43774, "[$-0E0000]yyyy-mm-dd")</f>
        <v/>
      </c>
      <c r="C43775" t="inlineStr">
        <is>
          <t>2019-10-10</t>
        </is>
      </c>
    </row>
    <row r="43776">
      <c r="A43776" s="1" t="n">
        <v>43775</v>
      </c>
      <c r="B43776">
        <f>TEXT(43775, "[$-0E0000]yyyy-mm-dd")</f>
        <v/>
      </c>
      <c r="C43776" t="inlineStr">
        <is>
          <t>2019-10-11</t>
        </is>
      </c>
    </row>
    <row r="43777">
      <c r="A43777" s="1" t="n">
        <v>43776</v>
      </c>
      <c r="B43777">
        <f>TEXT(43776, "[$-0E0000]yyyy-mm-dd")</f>
        <v/>
      </c>
      <c r="C43777" t="inlineStr">
        <is>
          <t>2019-10-12</t>
        </is>
      </c>
    </row>
    <row r="43778">
      <c r="A43778" s="1" t="n">
        <v>43777</v>
      </c>
      <c r="B43778">
        <f>TEXT(43777, "[$-0E0000]yyyy-mm-dd")</f>
        <v/>
      </c>
      <c r="C43778" t="inlineStr">
        <is>
          <t>2019-10-13</t>
        </is>
      </c>
    </row>
    <row r="43779">
      <c r="A43779" s="1" t="n">
        <v>43778</v>
      </c>
      <c r="B43779">
        <f>TEXT(43778, "[$-0E0000]yyyy-mm-dd")</f>
        <v/>
      </c>
      <c r="C43779" t="inlineStr">
        <is>
          <t>2019-10-14</t>
        </is>
      </c>
    </row>
    <row r="43780">
      <c r="A43780" s="1" t="n">
        <v>43779</v>
      </c>
      <c r="B43780">
        <f>TEXT(43779, "[$-0E0000]yyyy-mm-dd")</f>
        <v/>
      </c>
      <c r="C43780" t="inlineStr">
        <is>
          <t>2019-10-15</t>
        </is>
      </c>
    </row>
    <row r="43781">
      <c r="A43781" s="1" t="n">
        <v>43780</v>
      </c>
      <c r="B43781">
        <f>TEXT(43780, "[$-0E0000]yyyy-mm-dd")</f>
        <v/>
      </c>
      <c r="C43781" t="inlineStr">
        <is>
          <t>2019-10-16</t>
        </is>
      </c>
    </row>
    <row r="43782">
      <c r="A43782" s="1" t="n">
        <v>43781</v>
      </c>
      <c r="B43782">
        <f>TEXT(43781, "[$-0E0000]yyyy-mm-dd")</f>
        <v/>
      </c>
      <c r="C43782" t="inlineStr">
        <is>
          <t>2019-10-17</t>
        </is>
      </c>
    </row>
    <row r="43783">
      <c r="A43783" s="1" t="n">
        <v>43782</v>
      </c>
      <c r="B43783">
        <f>TEXT(43782, "[$-0E0000]yyyy-mm-dd")</f>
        <v/>
      </c>
      <c r="C43783" t="inlineStr">
        <is>
          <t>2019-10-18</t>
        </is>
      </c>
    </row>
    <row r="43784">
      <c r="A43784" s="1" t="n">
        <v>43783</v>
      </c>
      <c r="B43784">
        <f>TEXT(43783, "[$-0E0000]yyyy-mm-dd")</f>
        <v/>
      </c>
      <c r="C43784" t="inlineStr">
        <is>
          <t>2019-10-19</t>
        </is>
      </c>
    </row>
    <row r="43785">
      <c r="A43785" s="1" t="n">
        <v>43784</v>
      </c>
      <c r="B43785">
        <f>TEXT(43784, "[$-0E0000]yyyy-mm-dd")</f>
        <v/>
      </c>
      <c r="C43785" t="inlineStr">
        <is>
          <t>2019-10-20</t>
        </is>
      </c>
    </row>
    <row r="43786">
      <c r="A43786" s="1" t="n">
        <v>43785</v>
      </c>
      <c r="B43786">
        <f>TEXT(43785, "[$-0E0000]yyyy-mm-dd")</f>
        <v/>
      </c>
      <c r="C43786" t="inlineStr">
        <is>
          <t>2019-10-21</t>
        </is>
      </c>
    </row>
    <row r="43787">
      <c r="A43787" s="1" t="n">
        <v>43786</v>
      </c>
      <c r="B43787">
        <f>TEXT(43786, "[$-0E0000]yyyy-mm-dd")</f>
        <v/>
      </c>
      <c r="C43787" t="inlineStr">
        <is>
          <t>2019-10-22</t>
        </is>
      </c>
    </row>
    <row r="43788">
      <c r="A43788" s="1" t="n">
        <v>43787</v>
      </c>
      <c r="B43788">
        <f>TEXT(43787, "[$-0E0000]yyyy-mm-dd")</f>
        <v/>
      </c>
      <c r="C43788" t="inlineStr">
        <is>
          <t>2019-10-23</t>
        </is>
      </c>
    </row>
    <row r="43789">
      <c r="A43789" s="1" t="n">
        <v>43788</v>
      </c>
      <c r="B43789">
        <f>TEXT(43788, "[$-0E0000]yyyy-mm-dd")</f>
        <v/>
      </c>
      <c r="C43789" t="inlineStr">
        <is>
          <t>2019-10-24</t>
        </is>
      </c>
    </row>
    <row r="43790">
      <c r="A43790" s="1" t="n">
        <v>43789</v>
      </c>
      <c r="B43790">
        <f>TEXT(43789, "[$-0E0000]yyyy-mm-dd")</f>
        <v/>
      </c>
      <c r="C43790" t="inlineStr">
        <is>
          <t>2019-10-25</t>
        </is>
      </c>
    </row>
    <row r="43791">
      <c r="A43791" s="1" t="n">
        <v>43790</v>
      </c>
      <c r="B43791">
        <f>TEXT(43790, "[$-0E0000]yyyy-mm-dd")</f>
        <v/>
      </c>
      <c r="C43791" t="inlineStr">
        <is>
          <t>2019-10-26</t>
        </is>
      </c>
    </row>
    <row r="43792">
      <c r="A43792" s="1" t="n">
        <v>43791</v>
      </c>
      <c r="B43792">
        <f>TEXT(43791, "[$-0E0000]yyyy-mm-dd")</f>
        <v/>
      </c>
      <c r="C43792" t="inlineStr">
        <is>
          <t>2019-10-27</t>
        </is>
      </c>
    </row>
    <row r="43793">
      <c r="A43793" s="1" t="n">
        <v>43792</v>
      </c>
      <c r="B43793">
        <f>TEXT(43792, "[$-0E0000]yyyy-mm-dd")</f>
        <v/>
      </c>
      <c r="C43793" t="inlineStr">
        <is>
          <t>2019-10-28</t>
        </is>
      </c>
    </row>
    <row r="43794">
      <c r="A43794" s="1" t="n">
        <v>43793</v>
      </c>
      <c r="B43794">
        <f>TEXT(43793, "[$-0E0000]yyyy-mm-dd")</f>
        <v/>
      </c>
      <c r="C43794" t="inlineStr">
        <is>
          <t>2019-10-29</t>
        </is>
      </c>
    </row>
    <row r="43795">
      <c r="A43795" s="1" t="n">
        <v>43794</v>
      </c>
      <c r="B43795">
        <f>TEXT(43794, "[$-0E0000]yyyy-mm-dd")</f>
        <v/>
      </c>
      <c r="C43795" t="inlineStr">
        <is>
          <t>2019-11-01</t>
        </is>
      </c>
    </row>
    <row r="43796">
      <c r="A43796" s="1" t="n">
        <v>43795</v>
      </c>
      <c r="B43796">
        <f>TEXT(43795, "[$-0E0000]yyyy-mm-dd")</f>
        <v/>
      </c>
      <c r="C43796" t="inlineStr">
        <is>
          <t>2019-11-02</t>
        </is>
      </c>
    </row>
    <row r="43797">
      <c r="A43797" s="1" t="n">
        <v>43796</v>
      </c>
      <c r="B43797">
        <f>TEXT(43796, "[$-0E0000]yyyy-mm-dd")</f>
        <v/>
      </c>
      <c r="C43797" t="inlineStr">
        <is>
          <t>2019-11-03</t>
        </is>
      </c>
    </row>
    <row r="43798">
      <c r="A43798" s="1" t="n">
        <v>43797</v>
      </c>
      <c r="B43798">
        <f>TEXT(43797, "[$-0E0000]yyyy-mm-dd")</f>
        <v/>
      </c>
      <c r="C43798" t="inlineStr">
        <is>
          <t>2019-11-04</t>
        </is>
      </c>
    </row>
    <row r="43799">
      <c r="A43799" s="1" t="n">
        <v>43798</v>
      </c>
      <c r="B43799">
        <f>TEXT(43798, "[$-0E0000]yyyy-mm-dd")</f>
        <v/>
      </c>
      <c r="C43799" t="inlineStr">
        <is>
          <t>2019-11-05</t>
        </is>
      </c>
    </row>
    <row r="43800">
      <c r="A43800" s="1" t="n">
        <v>43799</v>
      </c>
      <c r="B43800">
        <f>TEXT(43799, "[$-0E0000]yyyy-mm-dd")</f>
        <v/>
      </c>
      <c r="C43800" t="inlineStr">
        <is>
          <t>2019-11-06</t>
        </is>
      </c>
    </row>
    <row r="43801">
      <c r="A43801" s="1" t="n">
        <v>43800</v>
      </c>
      <c r="B43801">
        <f>TEXT(43800, "[$-0E0000]yyyy-mm-dd")</f>
        <v/>
      </c>
      <c r="C43801" t="inlineStr">
        <is>
          <t>2019-11-07</t>
        </is>
      </c>
    </row>
    <row r="43802">
      <c r="A43802" s="1" t="n">
        <v>43801</v>
      </c>
      <c r="B43802">
        <f>TEXT(43801, "[$-0E0000]yyyy-mm-dd")</f>
        <v/>
      </c>
      <c r="C43802" t="inlineStr">
        <is>
          <t>2019-11-08</t>
        </is>
      </c>
    </row>
    <row r="43803">
      <c r="A43803" s="1" t="n">
        <v>43802</v>
      </c>
      <c r="B43803">
        <f>TEXT(43802, "[$-0E0000]yyyy-mm-dd")</f>
        <v/>
      </c>
      <c r="C43803" t="inlineStr">
        <is>
          <t>2019-11-09</t>
        </is>
      </c>
    </row>
    <row r="43804">
      <c r="A43804" s="1" t="n">
        <v>43803</v>
      </c>
      <c r="B43804">
        <f>TEXT(43803, "[$-0E0000]yyyy-mm-dd")</f>
        <v/>
      </c>
      <c r="C43804" t="inlineStr">
        <is>
          <t>2019-11-10</t>
        </is>
      </c>
    </row>
    <row r="43805">
      <c r="A43805" s="1" t="n">
        <v>43804</v>
      </c>
      <c r="B43805">
        <f>TEXT(43804, "[$-0E0000]yyyy-mm-dd")</f>
        <v/>
      </c>
      <c r="C43805" t="inlineStr">
        <is>
          <t>2019-11-11</t>
        </is>
      </c>
    </row>
    <row r="43806">
      <c r="A43806" s="1" t="n">
        <v>43805</v>
      </c>
      <c r="B43806">
        <f>TEXT(43805, "[$-0E0000]yyyy-mm-dd")</f>
        <v/>
      </c>
      <c r="C43806" t="inlineStr">
        <is>
          <t>2019-11-12</t>
        </is>
      </c>
    </row>
    <row r="43807">
      <c r="A43807" s="1" t="n">
        <v>43806</v>
      </c>
      <c r="B43807">
        <f>TEXT(43806, "[$-0E0000]yyyy-mm-dd")</f>
        <v/>
      </c>
      <c r="C43807" t="inlineStr">
        <is>
          <t>2019-11-13</t>
        </is>
      </c>
    </row>
    <row r="43808">
      <c r="A43808" s="1" t="n">
        <v>43807</v>
      </c>
      <c r="B43808">
        <f>TEXT(43807, "[$-0E0000]yyyy-mm-dd")</f>
        <v/>
      </c>
      <c r="C43808" t="inlineStr">
        <is>
          <t>2019-11-14</t>
        </is>
      </c>
    </row>
    <row r="43809">
      <c r="A43809" s="1" t="n">
        <v>43808</v>
      </c>
      <c r="B43809">
        <f>TEXT(43808, "[$-0E0000]yyyy-mm-dd")</f>
        <v/>
      </c>
      <c r="C43809" t="inlineStr">
        <is>
          <t>2019-11-15</t>
        </is>
      </c>
    </row>
    <row r="43810">
      <c r="A43810" s="1" t="n">
        <v>43809</v>
      </c>
      <c r="B43810">
        <f>TEXT(43809, "[$-0E0000]yyyy-mm-dd")</f>
        <v/>
      </c>
      <c r="C43810" t="inlineStr">
        <is>
          <t>2019-11-16</t>
        </is>
      </c>
    </row>
    <row r="43811">
      <c r="A43811" s="1" t="n">
        <v>43810</v>
      </c>
      <c r="B43811">
        <f>TEXT(43810, "[$-0E0000]yyyy-mm-dd")</f>
        <v/>
      </c>
      <c r="C43811" t="inlineStr">
        <is>
          <t>2019-11-17</t>
        </is>
      </c>
    </row>
    <row r="43812">
      <c r="A43812" s="1" t="n">
        <v>43811</v>
      </c>
      <c r="B43812">
        <f>TEXT(43811, "[$-0E0000]yyyy-mm-dd")</f>
        <v/>
      </c>
      <c r="C43812" t="inlineStr">
        <is>
          <t>2019-11-18</t>
        </is>
      </c>
    </row>
    <row r="43813">
      <c r="A43813" s="1" t="n">
        <v>43812</v>
      </c>
      <c r="B43813">
        <f>TEXT(43812, "[$-0E0000]yyyy-mm-dd")</f>
        <v/>
      </c>
      <c r="C43813" t="inlineStr">
        <is>
          <t>2019-11-19</t>
        </is>
      </c>
    </row>
    <row r="43814">
      <c r="A43814" s="1" t="n">
        <v>43813</v>
      </c>
      <c r="B43814">
        <f>TEXT(43813, "[$-0E0000]yyyy-mm-dd")</f>
        <v/>
      </c>
      <c r="C43814" t="inlineStr">
        <is>
          <t>2019-11-20</t>
        </is>
      </c>
    </row>
    <row r="43815">
      <c r="A43815" s="1" t="n">
        <v>43814</v>
      </c>
      <c r="B43815">
        <f>TEXT(43814, "[$-0E0000]yyyy-mm-dd")</f>
        <v/>
      </c>
      <c r="C43815" t="inlineStr">
        <is>
          <t>2019-11-21</t>
        </is>
      </c>
    </row>
    <row r="43816">
      <c r="A43816" s="1" t="n">
        <v>43815</v>
      </c>
      <c r="B43816">
        <f>TEXT(43815, "[$-0E0000]yyyy-mm-dd")</f>
        <v/>
      </c>
      <c r="C43816" t="inlineStr">
        <is>
          <t>2019-11-22</t>
        </is>
      </c>
    </row>
    <row r="43817">
      <c r="A43817" s="1" t="n">
        <v>43816</v>
      </c>
      <c r="B43817">
        <f>TEXT(43816, "[$-0E0000]yyyy-mm-dd")</f>
        <v/>
      </c>
      <c r="C43817" t="inlineStr">
        <is>
          <t>2019-11-23</t>
        </is>
      </c>
    </row>
    <row r="43818">
      <c r="A43818" s="1" t="n">
        <v>43817</v>
      </c>
      <c r="B43818">
        <f>TEXT(43817, "[$-0E0000]yyyy-mm-dd")</f>
        <v/>
      </c>
      <c r="C43818" t="inlineStr">
        <is>
          <t>2019-11-24</t>
        </is>
      </c>
    </row>
    <row r="43819">
      <c r="A43819" s="1" t="n">
        <v>43818</v>
      </c>
      <c r="B43819">
        <f>TEXT(43818, "[$-0E0000]yyyy-mm-dd")</f>
        <v/>
      </c>
      <c r="C43819" t="inlineStr">
        <is>
          <t>2019-11-25</t>
        </is>
      </c>
    </row>
    <row r="43820">
      <c r="A43820" s="1" t="n">
        <v>43819</v>
      </c>
      <c r="B43820">
        <f>TEXT(43819, "[$-0E0000]yyyy-mm-dd")</f>
        <v/>
      </c>
      <c r="C43820" t="inlineStr">
        <is>
          <t>2019-11-26</t>
        </is>
      </c>
    </row>
    <row r="43821">
      <c r="A43821" s="1" t="n">
        <v>43820</v>
      </c>
      <c r="B43821">
        <f>TEXT(43820, "[$-0E0000]yyyy-mm-dd")</f>
        <v/>
      </c>
      <c r="C43821" t="inlineStr">
        <is>
          <t>2019-11-27</t>
        </is>
      </c>
    </row>
    <row r="43822">
      <c r="A43822" s="1" t="n">
        <v>43821</v>
      </c>
      <c r="B43822">
        <f>TEXT(43821, "[$-0E0000]yyyy-mm-dd")</f>
        <v/>
      </c>
      <c r="C43822" t="inlineStr">
        <is>
          <t>2019-11-28</t>
        </is>
      </c>
    </row>
    <row r="43823">
      <c r="A43823" s="1" t="n">
        <v>43822</v>
      </c>
      <c r="B43823">
        <f>TEXT(43822, "[$-0E0000]yyyy-mm-dd")</f>
        <v/>
      </c>
      <c r="C43823" t="inlineStr">
        <is>
          <t>2019-11-29</t>
        </is>
      </c>
    </row>
    <row r="43824">
      <c r="A43824" s="1" t="n">
        <v>43823</v>
      </c>
      <c r="B43824">
        <f>TEXT(43823, "[$-0E0000]yyyy-mm-dd")</f>
        <v/>
      </c>
      <c r="C43824" t="inlineStr">
        <is>
          <t>2019-11-30</t>
        </is>
      </c>
    </row>
    <row r="43825">
      <c r="A43825" s="1" t="n">
        <v>43824</v>
      </c>
      <c r="B43825">
        <f>TEXT(43824, "[$-0E0000]yyyy-mm-dd")</f>
        <v/>
      </c>
      <c r="C43825" t="inlineStr">
        <is>
          <t>2019-12-01</t>
        </is>
      </c>
    </row>
    <row r="43826">
      <c r="A43826" s="1" t="n">
        <v>43825</v>
      </c>
      <c r="B43826">
        <f>TEXT(43825, "[$-0E0000]yyyy-mm-dd")</f>
        <v/>
      </c>
      <c r="C43826" t="inlineStr">
        <is>
          <t>2019-12-02</t>
        </is>
      </c>
    </row>
    <row r="43827">
      <c r="A43827" s="1" t="n">
        <v>43826</v>
      </c>
      <c r="B43827">
        <f>TEXT(43826, "[$-0E0000]yyyy-mm-dd")</f>
        <v/>
      </c>
      <c r="C43827" t="inlineStr">
        <is>
          <t>2019-12-03</t>
        </is>
      </c>
    </row>
    <row r="43828">
      <c r="A43828" s="1" t="n">
        <v>43827</v>
      </c>
      <c r="B43828">
        <f>TEXT(43827, "[$-0E0000]yyyy-mm-dd")</f>
        <v/>
      </c>
      <c r="C43828" t="inlineStr">
        <is>
          <t>2019-12-04</t>
        </is>
      </c>
    </row>
    <row r="43829">
      <c r="A43829" s="1" t="n">
        <v>43828</v>
      </c>
      <c r="B43829">
        <f>TEXT(43828, "[$-0E0000]yyyy-mm-dd")</f>
        <v/>
      </c>
      <c r="C43829" t="inlineStr">
        <is>
          <t>2019-12-05</t>
        </is>
      </c>
    </row>
    <row r="43830">
      <c r="A43830" s="1" t="n">
        <v>43829</v>
      </c>
      <c r="B43830">
        <f>TEXT(43829, "[$-0E0000]yyyy-mm-dd")</f>
        <v/>
      </c>
      <c r="C43830" t="inlineStr">
        <is>
          <t>2019-12-06</t>
        </is>
      </c>
    </row>
    <row r="43831">
      <c r="A43831" s="1" t="n">
        <v>43830</v>
      </c>
      <c r="B43831">
        <f>TEXT(43830, "[$-0E0000]yyyy-mm-dd")</f>
        <v/>
      </c>
      <c r="C43831" t="inlineStr">
        <is>
          <t>2019-12-07</t>
        </is>
      </c>
    </row>
    <row r="43832">
      <c r="A43832" s="1" t="n">
        <v>43831</v>
      </c>
      <c r="B43832">
        <f>TEXT(43831, "[$-0E0000]yyyy-mm-dd")</f>
        <v/>
      </c>
      <c r="C43832" t="inlineStr">
        <is>
          <t>2019-12-08</t>
        </is>
      </c>
    </row>
    <row r="43833">
      <c r="A43833" s="1" t="n">
        <v>43832</v>
      </c>
      <c r="B43833">
        <f>TEXT(43832, "[$-0E0000]yyyy-mm-dd")</f>
        <v/>
      </c>
      <c r="C43833" t="inlineStr">
        <is>
          <t>2019-12-09</t>
        </is>
      </c>
    </row>
    <row r="43834">
      <c r="A43834" s="1" t="n">
        <v>43833</v>
      </c>
      <c r="B43834">
        <f>TEXT(43833, "[$-0E0000]yyyy-mm-dd")</f>
        <v/>
      </c>
      <c r="C43834" t="inlineStr">
        <is>
          <t>2019-12-10</t>
        </is>
      </c>
    </row>
    <row r="43835">
      <c r="A43835" s="1" t="n">
        <v>43834</v>
      </c>
      <c r="B43835">
        <f>TEXT(43834, "[$-0E0000]yyyy-mm-dd")</f>
        <v/>
      </c>
      <c r="C43835" t="inlineStr">
        <is>
          <t>2019-12-11</t>
        </is>
      </c>
    </row>
    <row r="43836">
      <c r="A43836" s="1" t="n">
        <v>43835</v>
      </c>
      <c r="B43836">
        <f>TEXT(43835, "[$-0E0000]yyyy-mm-dd")</f>
        <v/>
      </c>
      <c r="C43836" t="inlineStr">
        <is>
          <t>2019-12-12</t>
        </is>
      </c>
    </row>
    <row r="43837">
      <c r="A43837" s="1" t="n">
        <v>43836</v>
      </c>
      <c r="B43837">
        <f>TEXT(43836, "[$-0E0000]yyyy-mm-dd")</f>
        <v/>
      </c>
      <c r="C43837" t="inlineStr">
        <is>
          <t>2019-12-13</t>
        </is>
      </c>
    </row>
    <row r="43838">
      <c r="A43838" s="1" t="n">
        <v>43837</v>
      </c>
      <c r="B43838">
        <f>TEXT(43837, "[$-0E0000]yyyy-mm-dd")</f>
        <v/>
      </c>
      <c r="C43838" t="inlineStr">
        <is>
          <t>2019-12-14</t>
        </is>
      </c>
    </row>
    <row r="43839">
      <c r="A43839" s="1" t="n">
        <v>43838</v>
      </c>
      <c r="B43839">
        <f>TEXT(43838, "[$-0E0000]yyyy-mm-dd")</f>
        <v/>
      </c>
      <c r="C43839" t="inlineStr">
        <is>
          <t>2019-12-15</t>
        </is>
      </c>
    </row>
    <row r="43840">
      <c r="A43840" s="1" t="n">
        <v>43839</v>
      </c>
      <c r="B43840">
        <f>TEXT(43839, "[$-0E0000]yyyy-mm-dd")</f>
        <v/>
      </c>
      <c r="C43840" t="inlineStr">
        <is>
          <t>2019-12-16</t>
        </is>
      </c>
    </row>
    <row r="43841">
      <c r="A43841" s="1" t="n">
        <v>43840</v>
      </c>
      <c r="B43841">
        <f>TEXT(43840, "[$-0E0000]yyyy-mm-dd")</f>
        <v/>
      </c>
      <c r="C43841" t="inlineStr">
        <is>
          <t>2019-12-17</t>
        </is>
      </c>
    </row>
    <row r="43842">
      <c r="A43842" s="1" t="n">
        <v>43841</v>
      </c>
      <c r="B43842">
        <f>TEXT(43841, "[$-0E0000]yyyy-mm-dd")</f>
        <v/>
      </c>
      <c r="C43842" t="inlineStr">
        <is>
          <t>2019-12-18</t>
        </is>
      </c>
    </row>
    <row r="43843">
      <c r="A43843" s="1" t="n">
        <v>43842</v>
      </c>
      <c r="B43843">
        <f>TEXT(43842, "[$-0E0000]yyyy-mm-dd")</f>
        <v/>
      </c>
      <c r="C43843" t="inlineStr">
        <is>
          <t>2019-12-19</t>
        </is>
      </c>
    </row>
    <row r="43844">
      <c r="A43844" s="1" t="n">
        <v>43843</v>
      </c>
      <c r="B43844">
        <f>TEXT(43843, "[$-0E0000]yyyy-mm-dd")</f>
        <v/>
      </c>
      <c r="C43844" t="inlineStr">
        <is>
          <t>2019-12-20</t>
        </is>
      </c>
    </row>
    <row r="43845">
      <c r="A43845" s="1" t="n">
        <v>43844</v>
      </c>
      <c r="B43845">
        <f>TEXT(43844, "[$-0E0000]yyyy-mm-dd")</f>
        <v/>
      </c>
      <c r="C43845" t="inlineStr">
        <is>
          <t>2019-12-21</t>
        </is>
      </c>
    </row>
    <row r="43846">
      <c r="A43846" s="1" t="n">
        <v>43845</v>
      </c>
      <c r="B43846">
        <f>TEXT(43845, "[$-0E0000]yyyy-mm-dd")</f>
        <v/>
      </c>
      <c r="C43846" t="inlineStr">
        <is>
          <t>2019-12-22</t>
        </is>
      </c>
    </row>
    <row r="43847">
      <c r="A43847" s="1" t="n">
        <v>43846</v>
      </c>
      <c r="B43847">
        <f>TEXT(43846, "[$-0E0000]yyyy-mm-dd")</f>
        <v/>
      </c>
      <c r="C43847" t="inlineStr">
        <is>
          <t>2019-12-23</t>
        </is>
      </c>
    </row>
    <row r="43848">
      <c r="A43848" s="1" t="n">
        <v>43847</v>
      </c>
      <c r="B43848">
        <f>TEXT(43847, "[$-0E0000]yyyy-mm-dd")</f>
        <v/>
      </c>
      <c r="C43848" t="inlineStr">
        <is>
          <t>2019-12-24</t>
        </is>
      </c>
    </row>
    <row r="43849">
      <c r="A43849" s="1" t="n">
        <v>43848</v>
      </c>
      <c r="B43849">
        <f>TEXT(43848, "[$-0E0000]yyyy-mm-dd")</f>
        <v/>
      </c>
      <c r="C43849" t="inlineStr">
        <is>
          <t>2019-12-25</t>
        </is>
      </c>
    </row>
    <row r="43850">
      <c r="A43850" s="1" t="n">
        <v>43849</v>
      </c>
      <c r="B43850">
        <f>TEXT(43849, "[$-0E0000]yyyy-mm-dd")</f>
        <v/>
      </c>
      <c r="C43850" t="inlineStr">
        <is>
          <t>2019-12-26</t>
        </is>
      </c>
    </row>
    <row r="43851">
      <c r="A43851" s="1" t="n">
        <v>43850</v>
      </c>
      <c r="B43851">
        <f>TEXT(43850, "[$-0E0000]yyyy-mm-dd")</f>
        <v/>
      </c>
      <c r="C43851" t="inlineStr">
        <is>
          <t>2019-12-27</t>
        </is>
      </c>
    </row>
    <row r="43852">
      <c r="A43852" s="1" t="n">
        <v>43851</v>
      </c>
      <c r="B43852">
        <f>TEXT(43851, "[$-0E0000]yyyy-mm-dd")</f>
        <v/>
      </c>
      <c r="C43852" t="inlineStr">
        <is>
          <t>2019-12-28</t>
        </is>
      </c>
    </row>
    <row r="43853">
      <c r="A43853" s="1" t="n">
        <v>43852</v>
      </c>
      <c r="B43853">
        <f>TEXT(43852, "[$-0E0000]yyyy-mm-dd")</f>
        <v/>
      </c>
      <c r="C43853" t="inlineStr">
        <is>
          <t>2019-12-29</t>
        </is>
      </c>
    </row>
    <row r="43854">
      <c r="A43854" s="1" t="n">
        <v>43853</v>
      </c>
      <c r="B43854">
        <f>TEXT(43853, "[$-0E0000]yyyy-mm-dd")</f>
        <v/>
      </c>
      <c r="C43854" t="inlineStr">
        <is>
          <t>2019-12-30</t>
        </is>
      </c>
    </row>
    <row r="43855">
      <c r="A43855" s="1" t="n">
        <v>43854</v>
      </c>
      <c r="B43855">
        <f>TEXT(43854, "[$-0E0000]yyyy-mm-dd")</f>
        <v/>
      </c>
      <c r="C43855" t="inlineStr">
        <is>
          <t>2020-01-01</t>
        </is>
      </c>
    </row>
    <row r="43856">
      <c r="A43856" s="1" t="n">
        <v>43855</v>
      </c>
      <c r="B43856">
        <f>TEXT(43855, "[$-0E0000]yyyy-mm-dd")</f>
        <v/>
      </c>
      <c r="C43856" t="inlineStr">
        <is>
          <t>2020-01-02</t>
        </is>
      </c>
    </row>
    <row r="43857">
      <c r="A43857" s="1" t="n">
        <v>43856</v>
      </c>
      <c r="B43857">
        <f>TEXT(43856, "[$-0E0000]yyyy-mm-dd")</f>
        <v/>
      </c>
      <c r="C43857" t="inlineStr">
        <is>
          <t>2020-01-03</t>
        </is>
      </c>
    </row>
    <row r="43858">
      <c r="A43858" s="1" t="n">
        <v>43857</v>
      </c>
      <c r="B43858">
        <f>TEXT(43857, "[$-0E0000]yyyy-mm-dd")</f>
        <v/>
      </c>
      <c r="C43858" t="inlineStr">
        <is>
          <t>2020-01-04</t>
        </is>
      </c>
    </row>
    <row r="43859">
      <c r="A43859" s="1" t="n">
        <v>43858</v>
      </c>
      <c r="B43859">
        <f>TEXT(43858, "[$-0E0000]yyyy-mm-dd")</f>
        <v/>
      </c>
      <c r="C43859" t="inlineStr">
        <is>
          <t>2020-01-05</t>
        </is>
      </c>
    </row>
    <row r="43860">
      <c r="A43860" s="1" t="n">
        <v>43859</v>
      </c>
      <c r="B43860">
        <f>TEXT(43859, "[$-0E0000]yyyy-mm-dd")</f>
        <v/>
      </c>
      <c r="C43860" t="inlineStr">
        <is>
          <t>2020-01-06</t>
        </is>
      </c>
    </row>
    <row r="43861">
      <c r="A43861" s="1" t="n">
        <v>43860</v>
      </c>
      <c r="B43861">
        <f>TEXT(43860, "[$-0E0000]yyyy-mm-dd")</f>
        <v/>
      </c>
      <c r="C43861" t="inlineStr">
        <is>
          <t>2020-01-07</t>
        </is>
      </c>
    </row>
    <row r="43862">
      <c r="A43862" s="1" t="n">
        <v>43861</v>
      </c>
      <c r="B43862">
        <f>TEXT(43861, "[$-0E0000]yyyy-mm-dd")</f>
        <v/>
      </c>
      <c r="C43862" t="inlineStr">
        <is>
          <t>2020-01-08</t>
        </is>
      </c>
    </row>
    <row r="43863">
      <c r="A43863" s="1" t="n">
        <v>43862</v>
      </c>
      <c r="B43863">
        <f>TEXT(43862, "[$-0E0000]yyyy-mm-dd")</f>
        <v/>
      </c>
      <c r="C43863" t="inlineStr">
        <is>
          <t>2020-01-09</t>
        </is>
      </c>
    </row>
    <row r="43864">
      <c r="A43864" s="1" t="n">
        <v>43863</v>
      </c>
      <c r="B43864">
        <f>TEXT(43863, "[$-0E0000]yyyy-mm-dd")</f>
        <v/>
      </c>
      <c r="C43864" t="inlineStr">
        <is>
          <t>2020-01-10</t>
        </is>
      </c>
    </row>
    <row r="43865">
      <c r="A43865" s="1" t="n">
        <v>43864</v>
      </c>
      <c r="B43865">
        <f>TEXT(43864, "[$-0E0000]yyyy-mm-dd")</f>
        <v/>
      </c>
      <c r="C43865" t="inlineStr">
        <is>
          <t>2020-01-11</t>
        </is>
      </c>
    </row>
    <row r="43866">
      <c r="A43866" s="1" t="n">
        <v>43865</v>
      </c>
      <c r="B43866">
        <f>TEXT(43865, "[$-0E0000]yyyy-mm-dd")</f>
        <v/>
      </c>
      <c r="C43866" t="inlineStr">
        <is>
          <t>2020-01-12</t>
        </is>
      </c>
    </row>
    <row r="43867">
      <c r="A43867" s="1" t="n">
        <v>43866</v>
      </c>
      <c r="B43867">
        <f>TEXT(43866, "[$-0E0000]yyyy-mm-dd")</f>
        <v/>
      </c>
      <c r="C43867" t="inlineStr">
        <is>
          <t>2020-01-13</t>
        </is>
      </c>
    </row>
    <row r="43868">
      <c r="A43868" s="1" t="n">
        <v>43867</v>
      </c>
      <c r="B43868">
        <f>TEXT(43867, "[$-0E0000]yyyy-mm-dd")</f>
        <v/>
      </c>
      <c r="C43868" t="inlineStr">
        <is>
          <t>2020-01-14</t>
        </is>
      </c>
    </row>
    <row r="43869">
      <c r="A43869" s="1" t="n">
        <v>43868</v>
      </c>
      <c r="B43869">
        <f>TEXT(43868, "[$-0E0000]yyyy-mm-dd")</f>
        <v/>
      </c>
      <c r="C43869" t="inlineStr">
        <is>
          <t>2020-01-15</t>
        </is>
      </c>
    </row>
    <row r="43870">
      <c r="A43870" s="1" t="n">
        <v>43869</v>
      </c>
      <c r="B43870">
        <f>TEXT(43869, "[$-0E0000]yyyy-mm-dd")</f>
        <v/>
      </c>
      <c r="C43870" t="inlineStr">
        <is>
          <t>2020-01-16</t>
        </is>
      </c>
    </row>
    <row r="43871">
      <c r="A43871" s="1" t="n">
        <v>43870</v>
      </c>
      <c r="B43871">
        <f>TEXT(43870, "[$-0E0000]yyyy-mm-dd")</f>
        <v/>
      </c>
      <c r="C43871" t="inlineStr">
        <is>
          <t>2020-01-17</t>
        </is>
      </c>
    </row>
    <row r="43872">
      <c r="A43872" s="1" t="n">
        <v>43871</v>
      </c>
      <c r="B43872">
        <f>TEXT(43871, "[$-0E0000]yyyy-mm-dd")</f>
        <v/>
      </c>
      <c r="C43872" t="inlineStr">
        <is>
          <t>2020-01-18</t>
        </is>
      </c>
    </row>
    <row r="43873">
      <c r="A43873" s="1" t="n">
        <v>43872</v>
      </c>
      <c r="B43873">
        <f>TEXT(43872, "[$-0E0000]yyyy-mm-dd")</f>
        <v/>
      </c>
      <c r="C43873" t="inlineStr">
        <is>
          <t>2020-01-19</t>
        </is>
      </c>
    </row>
    <row r="43874">
      <c r="A43874" s="1" t="n">
        <v>43873</v>
      </c>
      <c r="B43874">
        <f>TEXT(43873, "[$-0E0000]yyyy-mm-dd")</f>
        <v/>
      </c>
      <c r="C43874" t="inlineStr">
        <is>
          <t>2020-01-20</t>
        </is>
      </c>
    </row>
    <row r="43875">
      <c r="A43875" s="1" t="n">
        <v>43874</v>
      </c>
      <c r="B43875">
        <f>TEXT(43874, "[$-0E0000]yyyy-mm-dd")</f>
        <v/>
      </c>
      <c r="C43875" t="inlineStr">
        <is>
          <t>2020-01-21</t>
        </is>
      </c>
    </row>
    <row r="43876">
      <c r="A43876" s="1" t="n">
        <v>43875</v>
      </c>
      <c r="B43876">
        <f>TEXT(43875, "[$-0E0000]yyyy-mm-dd")</f>
        <v/>
      </c>
      <c r="C43876" t="inlineStr">
        <is>
          <t>2020-01-22</t>
        </is>
      </c>
    </row>
    <row r="43877">
      <c r="A43877" s="1" t="n">
        <v>43876</v>
      </c>
      <c r="B43877">
        <f>TEXT(43876, "[$-0E0000]yyyy-mm-dd")</f>
        <v/>
      </c>
      <c r="C43877" t="inlineStr">
        <is>
          <t>2020-01-23</t>
        </is>
      </c>
    </row>
    <row r="43878">
      <c r="A43878" s="1" t="n">
        <v>43877</v>
      </c>
      <c r="B43878">
        <f>TEXT(43877, "[$-0E0000]yyyy-mm-dd")</f>
        <v/>
      </c>
      <c r="C43878" t="inlineStr">
        <is>
          <t>2020-01-24</t>
        </is>
      </c>
    </row>
    <row r="43879">
      <c r="A43879" s="1" t="n">
        <v>43878</v>
      </c>
      <c r="B43879">
        <f>TEXT(43878, "[$-0E0000]yyyy-mm-dd")</f>
        <v/>
      </c>
      <c r="C43879" t="inlineStr">
        <is>
          <t>2020-01-25</t>
        </is>
      </c>
    </row>
    <row r="43880">
      <c r="A43880" s="1" t="n">
        <v>43879</v>
      </c>
      <c r="B43880">
        <f>TEXT(43879, "[$-0E0000]yyyy-mm-dd")</f>
        <v/>
      </c>
      <c r="C43880" t="inlineStr">
        <is>
          <t>2020-01-26</t>
        </is>
      </c>
    </row>
    <row r="43881">
      <c r="A43881" s="1" t="n">
        <v>43880</v>
      </c>
      <c r="B43881">
        <f>TEXT(43880, "[$-0E0000]yyyy-mm-dd")</f>
        <v/>
      </c>
      <c r="C43881" t="inlineStr">
        <is>
          <t>2020-01-27</t>
        </is>
      </c>
    </row>
    <row r="43882">
      <c r="A43882" s="1" t="n">
        <v>43881</v>
      </c>
      <c r="B43882">
        <f>TEXT(43881, "[$-0E0000]yyyy-mm-dd")</f>
        <v/>
      </c>
      <c r="C43882" t="inlineStr">
        <is>
          <t>2020-01-28</t>
        </is>
      </c>
    </row>
    <row r="43883">
      <c r="A43883" s="1" t="n">
        <v>43882</v>
      </c>
      <c r="B43883">
        <f>TEXT(43882, "[$-0E0000]yyyy-mm-dd")</f>
        <v/>
      </c>
      <c r="C43883" t="inlineStr">
        <is>
          <t>2020-01-29</t>
        </is>
      </c>
    </row>
    <row r="43884">
      <c r="A43884" s="1" t="n">
        <v>43883</v>
      </c>
      <c r="B43884">
        <f>TEXT(43883, "[$-0E0000]yyyy-mm-dd")</f>
        <v/>
      </c>
      <c r="C43884" t="inlineStr">
        <is>
          <t>2020-02-01</t>
        </is>
      </c>
    </row>
    <row r="43885">
      <c r="A43885" s="1" t="n">
        <v>43884</v>
      </c>
      <c r="B43885">
        <f>TEXT(43884, "[$-0E0000]yyyy-mm-dd")</f>
        <v/>
      </c>
      <c r="C43885" t="inlineStr">
        <is>
          <t>2020-02-02</t>
        </is>
      </c>
    </row>
    <row r="43886">
      <c r="A43886" s="1" t="n">
        <v>43885</v>
      </c>
      <c r="B43886">
        <f>TEXT(43885, "[$-0E0000]yyyy-mm-dd")</f>
        <v/>
      </c>
      <c r="C43886" t="inlineStr">
        <is>
          <t>2020-02-03</t>
        </is>
      </c>
    </row>
    <row r="43887">
      <c r="A43887" s="1" t="n">
        <v>43886</v>
      </c>
      <c r="B43887">
        <f>TEXT(43886, "[$-0E0000]yyyy-mm-dd")</f>
        <v/>
      </c>
      <c r="C43887" t="inlineStr">
        <is>
          <t>2020-02-04</t>
        </is>
      </c>
    </row>
    <row r="43888">
      <c r="A43888" s="1" t="n">
        <v>43887</v>
      </c>
      <c r="B43888">
        <f>TEXT(43887, "[$-0E0000]yyyy-mm-dd")</f>
        <v/>
      </c>
      <c r="C43888" t="inlineStr">
        <is>
          <t>2020-02-05</t>
        </is>
      </c>
    </row>
    <row r="43889">
      <c r="A43889" s="1" t="n">
        <v>43888</v>
      </c>
      <c r="B43889">
        <f>TEXT(43888, "[$-0E0000]yyyy-mm-dd")</f>
        <v/>
      </c>
      <c r="C43889" t="inlineStr">
        <is>
          <t>2020-02-06</t>
        </is>
      </c>
    </row>
    <row r="43890">
      <c r="A43890" s="1" t="n">
        <v>43889</v>
      </c>
      <c r="B43890">
        <f>TEXT(43889, "[$-0E0000]yyyy-mm-dd")</f>
        <v/>
      </c>
      <c r="C43890" t="inlineStr">
        <is>
          <t>2020-02-07</t>
        </is>
      </c>
    </row>
    <row r="43891">
      <c r="A43891" s="1" t="n">
        <v>43890</v>
      </c>
      <c r="B43891">
        <f>TEXT(43890, "[$-0E0000]yyyy-mm-dd")</f>
        <v/>
      </c>
      <c r="C43891" t="inlineStr">
        <is>
          <t>2020-02-08</t>
        </is>
      </c>
    </row>
    <row r="43892">
      <c r="A43892" s="1" t="n">
        <v>43891</v>
      </c>
      <c r="B43892">
        <f>TEXT(43891, "[$-0E0000]yyyy-mm-dd")</f>
        <v/>
      </c>
      <c r="C43892" t="inlineStr">
        <is>
          <t>2020-02-09</t>
        </is>
      </c>
    </row>
    <row r="43893">
      <c r="A43893" s="1" t="n">
        <v>43892</v>
      </c>
      <c r="B43893">
        <f>TEXT(43892, "[$-0E0000]yyyy-mm-dd")</f>
        <v/>
      </c>
      <c r="C43893" t="inlineStr">
        <is>
          <t>2020-02-10</t>
        </is>
      </c>
    </row>
    <row r="43894">
      <c r="A43894" s="1" t="n">
        <v>43893</v>
      </c>
      <c r="B43894">
        <f>TEXT(43893, "[$-0E0000]yyyy-mm-dd")</f>
        <v/>
      </c>
      <c r="C43894" t="inlineStr">
        <is>
          <t>2020-02-11</t>
        </is>
      </c>
    </row>
    <row r="43895">
      <c r="A43895" s="1" t="n">
        <v>43894</v>
      </c>
      <c r="B43895">
        <f>TEXT(43894, "[$-0E0000]yyyy-mm-dd")</f>
        <v/>
      </c>
      <c r="C43895" t="inlineStr">
        <is>
          <t>2020-02-12</t>
        </is>
      </c>
    </row>
    <row r="43896">
      <c r="A43896" s="1" t="n">
        <v>43895</v>
      </c>
      <c r="B43896">
        <f>TEXT(43895, "[$-0E0000]yyyy-mm-dd")</f>
        <v/>
      </c>
      <c r="C43896" t="inlineStr">
        <is>
          <t>2020-02-13</t>
        </is>
      </c>
    </row>
    <row r="43897">
      <c r="A43897" s="1" t="n">
        <v>43896</v>
      </c>
      <c r="B43897">
        <f>TEXT(43896, "[$-0E0000]yyyy-mm-dd")</f>
        <v/>
      </c>
      <c r="C43897" t="inlineStr">
        <is>
          <t>2020-02-14</t>
        </is>
      </c>
    </row>
    <row r="43898">
      <c r="A43898" s="1" t="n">
        <v>43897</v>
      </c>
      <c r="B43898">
        <f>TEXT(43897, "[$-0E0000]yyyy-mm-dd")</f>
        <v/>
      </c>
      <c r="C43898" t="inlineStr">
        <is>
          <t>2020-02-15</t>
        </is>
      </c>
    </row>
    <row r="43899">
      <c r="A43899" s="1" t="n">
        <v>43898</v>
      </c>
      <c r="B43899">
        <f>TEXT(43898, "[$-0E0000]yyyy-mm-dd")</f>
        <v/>
      </c>
      <c r="C43899" t="inlineStr">
        <is>
          <t>2020-02-16</t>
        </is>
      </c>
    </row>
    <row r="43900">
      <c r="A43900" s="1" t="n">
        <v>43899</v>
      </c>
      <c r="B43900">
        <f>TEXT(43899, "[$-0E0000]yyyy-mm-dd")</f>
        <v/>
      </c>
      <c r="C43900" t="inlineStr">
        <is>
          <t>2020-02-17</t>
        </is>
      </c>
    </row>
    <row r="43901">
      <c r="A43901" s="1" t="n">
        <v>43900</v>
      </c>
      <c r="B43901">
        <f>TEXT(43900, "[$-0E0000]yyyy-mm-dd")</f>
        <v/>
      </c>
      <c r="C43901" t="inlineStr">
        <is>
          <t>2020-02-18</t>
        </is>
      </c>
    </row>
    <row r="43902">
      <c r="A43902" s="1" t="n">
        <v>43901</v>
      </c>
      <c r="B43902">
        <f>TEXT(43901, "[$-0E0000]yyyy-mm-dd")</f>
        <v/>
      </c>
      <c r="C43902" t="inlineStr">
        <is>
          <t>2020-02-19</t>
        </is>
      </c>
    </row>
    <row r="43903">
      <c r="A43903" s="1" t="n">
        <v>43902</v>
      </c>
      <c r="B43903">
        <f>TEXT(43902, "[$-0E0000]yyyy-mm-dd")</f>
        <v/>
      </c>
      <c r="C43903" t="inlineStr">
        <is>
          <t>2020-02-20</t>
        </is>
      </c>
    </row>
    <row r="43904">
      <c r="A43904" s="1" t="n">
        <v>43903</v>
      </c>
      <c r="B43904">
        <f>TEXT(43903, "[$-0E0000]yyyy-mm-dd")</f>
        <v/>
      </c>
      <c r="C43904" t="inlineStr">
        <is>
          <t>2020-02-21</t>
        </is>
      </c>
    </row>
    <row r="43905">
      <c r="A43905" s="1" t="n">
        <v>43904</v>
      </c>
      <c r="B43905">
        <f>TEXT(43904, "[$-0E0000]yyyy-mm-dd")</f>
        <v/>
      </c>
      <c r="C43905" t="inlineStr">
        <is>
          <t>2020-02-22</t>
        </is>
      </c>
    </row>
    <row r="43906">
      <c r="A43906" s="1" t="n">
        <v>43905</v>
      </c>
      <c r="B43906">
        <f>TEXT(43905, "[$-0E0000]yyyy-mm-dd")</f>
        <v/>
      </c>
      <c r="C43906" t="inlineStr">
        <is>
          <t>2020-02-23</t>
        </is>
      </c>
    </row>
    <row r="43907">
      <c r="A43907" s="1" t="n">
        <v>43906</v>
      </c>
      <c r="B43907">
        <f>TEXT(43906, "[$-0E0000]yyyy-mm-dd")</f>
        <v/>
      </c>
      <c r="C43907" t="inlineStr">
        <is>
          <t>2020-02-24</t>
        </is>
      </c>
    </row>
    <row r="43908">
      <c r="A43908" s="1" t="n">
        <v>43907</v>
      </c>
      <c r="B43908">
        <f>TEXT(43907, "[$-0E0000]yyyy-mm-dd")</f>
        <v/>
      </c>
      <c r="C43908" t="inlineStr">
        <is>
          <t>2020-02-25</t>
        </is>
      </c>
    </row>
    <row r="43909">
      <c r="A43909" s="1" t="n">
        <v>43908</v>
      </c>
      <c r="B43909">
        <f>TEXT(43908, "[$-0E0000]yyyy-mm-dd")</f>
        <v/>
      </c>
      <c r="C43909" t="inlineStr">
        <is>
          <t>2020-02-26</t>
        </is>
      </c>
    </row>
    <row r="43910">
      <c r="A43910" s="1" t="n">
        <v>43909</v>
      </c>
      <c r="B43910">
        <f>TEXT(43909, "[$-0E0000]yyyy-mm-dd")</f>
        <v/>
      </c>
      <c r="C43910" t="inlineStr">
        <is>
          <t>2020-02-27</t>
        </is>
      </c>
    </row>
    <row r="43911">
      <c r="A43911" s="1" t="n">
        <v>43910</v>
      </c>
      <c r="B43911">
        <f>TEXT(43910, "[$-0E0000]yyyy-mm-dd")</f>
        <v/>
      </c>
      <c r="C43911" t="inlineStr">
        <is>
          <t>2020-02-28</t>
        </is>
      </c>
    </row>
    <row r="43912">
      <c r="A43912" s="1" t="n">
        <v>43911</v>
      </c>
      <c r="B43912">
        <f>TEXT(43911, "[$-0E0000]yyyy-mm-dd")</f>
        <v/>
      </c>
      <c r="C43912" t="inlineStr">
        <is>
          <t>2020-02-29</t>
        </is>
      </c>
    </row>
    <row r="43913">
      <c r="A43913" s="1" t="n">
        <v>43912</v>
      </c>
      <c r="B43913">
        <f>TEXT(43912, "[$-0E0000]yyyy-mm-dd")</f>
        <v/>
      </c>
      <c r="C43913" t="inlineStr">
        <is>
          <t>2020-02-30</t>
        </is>
      </c>
    </row>
    <row r="43914">
      <c r="A43914" s="1" t="n">
        <v>43913</v>
      </c>
      <c r="B43914">
        <f>TEXT(43913, "[$-0E0000]yyyy-mm-dd")</f>
        <v/>
      </c>
      <c r="C43914" t="inlineStr">
        <is>
          <t>2020-03-01</t>
        </is>
      </c>
    </row>
    <row r="43915">
      <c r="A43915" s="1" t="n">
        <v>43914</v>
      </c>
      <c r="B43915">
        <f>TEXT(43914, "[$-0E0000]yyyy-mm-dd")</f>
        <v/>
      </c>
      <c r="C43915" t="inlineStr">
        <is>
          <t>2020-03-02</t>
        </is>
      </c>
    </row>
    <row r="43916">
      <c r="A43916" s="1" t="n">
        <v>43915</v>
      </c>
      <c r="B43916">
        <f>TEXT(43915, "[$-0E0000]yyyy-mm-dd")</f>
        <v/>
      </c>
      <c r="C43916" t="inlineStr">
        <is>
          <t>2020-03-03</t>
        </is>
      </c>
    </row>
    <row r="43917">
      <c r="A43917" s="1" t="n">
        <v>43916</v>
      </c>
      <c r="B43917">
        <f>TEXT(43916, "[$-0E0000]yyyy-mm-dd")</f>
        <v/>
      </c>
      <c r="C43917" t="inlineStr">
        <is>
          <t>2020-03-04</t>
        </is>
      </c>
    </row>
    <row r="43918">
      <c r="A43918" s="1" t="n">
        <v>43917</v>
      </c>
      <c r="B43918">
        <f>TEXT(43917, "[$-0E0000]yyyy-mm-dd")</f>
        <v/>
      </c>
      <c r="C43918" t="inlineStr">
        <is>
          <t>2020-03-05</t>
        </is>
      </c>
    </row>
    <row r="43919">
      <c r="A43919" s="1" t="n">
        <v>43918</v>
      </c>
      <c r="B43919">
        <f>TEXT(43918, "[$-0E0000]yyyy-mm-dd")</f>
        <v/>
      </c>
      <c r="C43919" t="inlineStr">
        <is>
          <t>2020-03-06</t>
        </is>
      </c>
    </row>
    <row r="43920">
      <c r="A43920" s="1" t="n">
        <v>43919</v>
      </c>
      <c r="B43920">
        <f>TEXT(43919, "[$-0E0000]yyyy-mm-dd")</f>
        <v/>
      </c>
      <c r="C43920" t="inlineStr">
        <is>
          <t>2020-03-07</t>
        </is>
      </c>
    </row>
    <row r="43921">
      <c r="A43921" s="1" t="n">
        <v>43920</v>
      </c>
      <c r="B43921">
        <f>TEXT(43920, "[$-0E0000]yyyy-mm-dd")</f>
        <v/>
      </c>
      <c r="C43921" t="inlineStr">
        <is>
          <t>2020-03-08</t>
        </is>
      </c>
    </row>
    <row r="43922">
      <c r="A43922" s="1" t="n">
        <v>43921</v>
      </c>
      <c r="B43922">
        <f>TEXT(43921, "[$-0E0000]yyyy-mm-dd")</f>
        <v/>
      </c>
      <c r="C43922" t="inlineStr">
        <is>
          <t>2020-03-09</t>
        </is>
      </c>
    </row>
    <row r="43923">
      <c r="A43923" s="1" t="n">
        <v>43922</v>
      </c>
      <c r="B43923">
        <f>TEXT(43922, "[$-0E0000]yyyy-mm-dd")</f>
        <v/>
      </c>
      <c r="C43923" t="inlineStr">
        <is>
          <t>2020-03-10</t>
        </is>
      </c>
    </row>
    <row r="43924">
      <c r="A43924" s="1" t="n">
        <v>43923</v>
      </c>
      <c r="B43924">
        <f>TEXT(43923, "[$-0E0000]yyyy-mm-dd")</f>
        <v/>
      </c>
      <c r="C43924" t="inlineStr">
        <is>
          <t>2020-03-11</t>
        </is>
      </c>
    </row>
    <row r="43925">
      <c r="A43925" s="1" t="n">
        <v>43924</v>
      </c>
      <c r="B43925">
        <f>TEXT(43924, "[$-0E0000]yyyy-mm-dd")</f>
        <v/>
      </c>
      <c r="C43925" t="inlineStr">
        <is>
          <t>2020-03-12</t>
        </is>
      </c>
    </row>
    <row r="43926">
      <c r="A43926" s="1" t="n">
        <v>43925</v>
      </c>
      <c r="B43926">
        <f>TEXT(43925, "[$-0E0000]yyyy-mm-dd")</f>
        <v/>
      </c>
      <c r="C43926" t="inlineStr">
        <is>
          <t>2020-03-13</t>
        </is>
      </c>
    </row>
    <row r="43927">
      <c r="A43927" s="1" t="n">
        <v>43926</v>
      </c>
      <c r="B43927">
        <f>TEXT(43926, "[$-0E0000]yyyy-mm-dd")</f>
        <v/>
      </c>
      <c r="C43927" t="inlineStr">
        <is>
          <t>2020-03-14</t>
        </is>
      </c>
    </row>
    <row r="43928">
      <c r="A43928" s="1" t="n">
        <v>43927</v>
      </c>
      <c r="B43928">
        <f>TEXT(43927, "[$-0E0000]yyyy-mm-dd")</f>
        <v/>
      </c>
      <c r="C43928" t="inlineStr">
        <is>
          <t>2020-03-15</t>
        </is>
      </c>
    </row>
    <row r="43929">
      <c r="A43929" s="1" t="n">
        <v>43928</v>
      </c>
      <c r="B43929">
        <f>TEXT(43928, "[$-0E0000]yyyy-mm-dd")</f>
        <v/>
      </c>
      <c r="C43929" t="inlineStr">
        <is>
          <t>2020-03-16</t>
        </is>
      </c>
    </row>
    <row r="43930">
      <c r="A43930" s="1" t="n">
        <v>43929</v>
      </c>
      <c r="B43930">
        <f>TEXT(43929, "[$-0E0000]yyyy-mm-dd")</f>
        <v/>
      </c>
      <c r="C43930" t="inlineStr">
        <is>
          <t>2020-03-17</t>
        </is>
      </c>
    </row>
    <row r="43931">
      <c r="A43931" s="1" t="n">
        <v>43930</v>
      </c>
      <c r="B43931">
        <f>TEXT(43930, "[$-0E0000]yyyy-mm-dd")</f>
        <v/>
      </c>
      <c r="C43931" t="inlineStr">
        <is>
          <t>2020-03-18</t>
        </is>
      </c>
    </row>
    <row r="43932">
      <c r="A43932" s="1" t="n">
        <v>43931</v>
      </c>
      <c r="B43932">
        <f>TEXT(43931, "[$-0E0000]yyyy-mm-dd")</f>
        <v/>
      </c>
      <c r="C43932" t="inlineStr">
        <is>
          <t>2020-03-19</t>
        </is>
      </c>
    </row>
    <row r="43933">
      <c r="A43933" s="1" t="n">
        <v>43932</v>
      </c>
      <c r="B43933">
        <f>TEXT(43932, "[$-0E0000]yyyy-mm-dd")</f>
        <v/>
      </c>
      <c r="C43933" t="inlineStr">
        <is>
          <t>2020-03-20</t>
        </is>
      </c>
    </row>
    <row r="43934">
      <c r="A43934" s="1" t="n">
        <v>43933</v>
      </c>
      <c r="B43934">
        <f>TEXT(43933, "[$-0E0000]yyyy-mm-dd")</f>
        <v/>
      </c>
      <c r="C43934" t="inlineStr">
        <is>
          <t>2020-03-21</t>
        </is>
      </c>
    </row>
    <row r="43935">
      <c r="A43935" s="1" t="n">
        <v>43934</v>
      </c>
      <c r="B43935">
        <f>TEXT(43934, "[$-0E0000]yyyy-mm-dd")</f>
        <v/>
      </c>
      <c r="C43935" t="inlineStr">
        <is>
          <t>2020-03-22</t>
        </is>
      </c>
    </row>
    <row r="43936">
      <c r="A43936" s="1" t="n">
        <v>43935</v>
      </c>
      <c r="B43936">
        <f>TEXT(43935, "[$-0E0000]yyyy-mm-dd")</f>
        <v/>
      </c>
      <c r="C43936" t="inlineStr">
        <is>
          <t>2020-03-23</t>
        </is>
      </c>
    </row>
    <row r="43937">
      <c r="A43937" s="1" t="n">
        <v>43936</v>
      </c>
      <c r="B43937">
        <f>TEXT(43936, "[$-0E0000]yyyy-mm-dd")</f>
        <v/>
      </c>
      <c r="C43937" t="inlineStr">
        <is>
          <t>2020-03-24</t>
        </is>
      </c>
    </row>
    <row r="43938">
      <c r="A43938" s="1" t="n">
        <v>43937</v>
      </c>
      <c r="B43938">
        <f>TEXT(43937, "[$-0E0000]yyyy-mm-dd")</f>
        <v/>
      </c>
      <c r="C43938" t="inlineStr">
        <is>
          <t>2020-03-25</t>
        </is>
      </c>
    </row>
    <row r="43939">
      <c r="A43939" s="1" t="n">
        <v>43938</v>
      </c>
      <c r="B43939">
        <f>TEXT(43938, "[$-0E0000]yyyy-mm-dd")</f>
        <v/>
      </c>
      <c r="C43939" t="inlineStr">
        <is>
          <t>2020-03-26</t>
        </is>
      </c>
    </row>
    <row r="43940">
      <c r="A43940" s="1" t="n">
        <v>43939</v>
      </c>
      <c r="B43940">
        <f>TEXT(43939, "[$-0E0000]yyyy-mm-dd")</f>
        <v/>
      </c>
      <c r="C43940" t="inlineStr">
        <is>
          <t>2020-03-27</t>
        </is>
      </c>
    </row>
    <row r="43941">
      <c r="A43941" s="1" t="n">
        <v>43940</v>
      </c>
      <c r="B43941">
        <f>TEXT(43940, "[$-0E0000]yyyy-mm-dd")</f>
        <v/>
      </c>
      <c r="C43941" t="inlineStr">
        <is>
          <t>2020-03-28</t>
        </is>
      </c>
    </row>
    <row r="43942">
      <c r="A43942" s="1" t="n">
        <v>43941</v>
      </c>
      <c r="B43942">
        <f>TEXT(43941, "[$-0E0000]yyyy-mm-dd")</f>
        <v/>
      </c>
      <c r="C43942" t="inlineStr">
        <is>
          <t>2020-03-29</t>
        </is>
      </c>
    </row>
    <row r="43943">
      <c r="A43943" s="1" t="n">
        <v>43942</v>
      </c>
      <c r="B43943">
        <f>TEXT(43942, "[$-0E0000]yyyy-mm-dd")</f>
        <v/>
      </c>
      <c r="C43943" t="inlineStr">
        <is>
          <t>2020-03-30</t>
        </is>
      </c>
    </row>
    <row r="43944">
      <c r="A43944" s="1" t="n">
        <v>43943</v>
      </c>
      <c r="B43944">
        <f>TEXT(43943, "[$-0E0000]yyyy-mm-dd")</f>
        <v/>
      </c>
      <c r="C43944" t="inlineStr">
        <is>
          <t>2020-04-01</t>
        </is>
      </c>
    </row>
    <row r="43945">
      <c r="A43945" s="1" t="n">
        <v>43944</v>
      </c>
      <c r="B43945">
        <f>TEXT(43944, "[$-0E0000]yyyy-mm-dd")</f>
        <v/>
      </c>
      <c r="C43945" t="inlineStr">
        <is>
          <t>2020-04-02</t>
        </is>
      </c>
    </row>
    <row r="43946">
      <c r="A43946" s="1" t="n">
        <v>43945</v>
      </c>
      <c r="B43946">
        <f>TEXT(43945, "[$-0E0000]yyyy-mm-dd")</f>
        <v/>
      </c>
      <c r="C43946" t="inlineStr">
        <is>
          <t>2020-04-03</t>
        </is>
      </c>
    </row>
    <row r="43947">
      <c r="A43947" s="1" t="n">
        <v>43946</v>
      </c>
      <c r="B43947">
        <f>TEXT(43946, "[$-0E0000]yyyy-mm-dd")</f>
        <v/>
      </c>
      <c r="C43947" t="inlineStr">
        <is>
          <t>2020-04-04</t>
        </is>
      </c>
    </row>
    <row r="43948">
      <c r="A43948" s="1" t="n">
        <v>43947</v>
      </c>
      <c r="B43948">
        <f>TEXT(43947, "[$-0E0000]yyyy-mm-dd")</f>
        <v/>
      </c>
      <c r="C43948" t="inlineStr">
        <is>
          <t>2020-04-05</t>
        </is>
      </c>
    </row>
    <row r="43949">
      <c r="A43949" s="1" t="n">
        <v>43948</v>
      </c>
      <c r="B43949">
        <f>TEXT(43948, "[$-0E0000]yyyy-mm-dd")</f>
        <v/>
      </c>
      <c r="C43949" t="inlineStr">
        <is>
          <t>2020-04-06</t>
        </is>
      </c>
    </row>
    <row r="43950">
      <c r="A43950" s="1" t="n">
        <v>43949</v>
      </c>
      <c r="B43950">
        <f>TEXT(43949, "[$-0E0000]yyyy-mm-dd")</f>
        <v/>
      </c>
      <c r="C43950" t="inlineStr">
        <is>
          <t>2020-04-07</t>
        </is>
      </c>
    </row>
    <row r="43951">
      <c r="A43951" s="1" t="n">
        <v>43950</v>
      </c>
      <c r="B43951">
        <f>TEXT(43950, "[$-0E0000]yyyy-mm-dd")</f>
        <v/>
      </c>
      <c r="C43951" t="inlineStr">
        <is>
          <t>2020-04-08</t>
        </is>
      </c>
    </row>
    <row r="43952">
      <c r="A43952" s="1" t="n">
        <v>43951</v>
      </c>
      <c r="B43952">
        <f>TEXT(43951, "[$-0E0000]yyyy-mm-dd")</f>
        <v/>
      </c>
      <c r="C43952" t="inlineStr">
        <is>
          <t>2020-04-09</t>
        </is>
      </c>
    </row>
    <row r="43953">
      <c r="A43953" s="1" t="n">
        <v>43952</v>
      </c>
      <c r="B43953">
        <f>TEXT(43952, "[$-0E0000]yyyy-mm-dd")</f>
        <v/>
      </c>
      <c r="C43953" t="inlineStr">
        <is>
          <t>2020-04-10</t>
        </is>
      </c>
    </row>
    <row r="43954">
      <c r="A43954" s="1" t="n">
        <v>43953</v>
      </c>
      <c r="B43954">
        <f>TEXT(43953, "[$-0E0000]yyyy-mm-dd")</f>
        <v/>
      </c>
      <c r="C43954" t="inlineStr">
        <is>
          <t>2020-04-11</t>
        </is>
      </c>
    </row>
    <row r="43955">
      <c r="A43955" s="1" t="n">
        <v>43954</v>
      </c>
      <c r="B43955">
        <f>TEXT(43954, "[$-0E0000]yyyy-mm-dd")</f>
        <v/>
      </c>
      <c r="C43955" t="inlineStr">
        <is>
          <t>2020-04-12</t>
        </is>
      </c>
    </row>
    <row r="43956">
      <c r="A43956" s="1" t="n">
        <v>43955</v>
      </c>
      <c r="B43956">
        <f>TEXT(43955, "[$-0E0000]yyyy-mm-dd")</f>
        <v/>
      </c>
      <c r="C43956" t="inlineStr">
        <is>
          <t>2020-04-13</t>
        </is>
      </c>
    </row>
    <row r="43957">
      <c r="A43957" s="1" t="n">
        <v>43956</v>
      </c>
      <c r="B43957">
        <f>TEXT(43956, "[$-0E0000]yyyy-mm-dd")</f>
        <v/>
      </c>
      <c r="C43957" t="inlineStr">
        <is>
          <t>2020-04-14</t>
        </is>
      </c>
    </row>
    <row r="43958">
      <c r="A43958" s="1" t="n">
        <v>43957</v>
      </c>
      <c r="B43958">
        <f>TEXT(43957, "[$-0E0000]yyyy-mm-dd")</f>
        <v/>
      </c>
      <c r="C43958" t="inlineStr">
        <is>
          <t>2020-04-15</t>
        </is>
      </c>
    </row>
    <row r="43959">
      <c r="A43959" s="1" t="n">
        <v>43958</v>
      </c>
      <c r="B43959">
        <f>TEXT(43958, "[$-0E0000]yyyy-mm-dd")</f>
        <v/>
      </c>
      <c r="C43959" t="inlineStr">
        <is>
          <t>2020-04-16</t>
        </is>
      </c>
    </row>
    <row r="43960">
      <c r="A43960" s="1" t="n">
        <v>43959</v>
      </c>
      <c r="B43960">
        <f>TEXT(43959, "[$-0E0000]yyyy-mm-dd")</f>
        <v/>
      </c>
      <c r="C43960" t="inlineStr">
        <is>
          <t>2020-04-17</t>
        </is>
      </c>
    </row>
    <row r="43961">
      <c r="A43961" s="1" t="n">
        <v>43960</v>
      </c>
      <c r="B43961">
        <f>TEXT(43960, "[$-0E0000]yyyy-mm-dd")</f>
        <v/>
      </c>
      <c r="C43961" t="inlineStr">
        <is>
          <t>2020-04-18</t>
        </is>
      </c>
    </row>
    <row r="43962">
      <c r="A43962" s="1" t="n">
        <v>43961</v>
      </c>
      <c r="B43962">
        <f>TEXT(43961, "[$-0E0000]yyyy-mm-dd")</f>
        <v/>
      </c>
      <c r="C43962" t="inlineStr">
        <is>
          <t>2020-04-19</t>
        </is>
      </c>
    </row>
    <row r="43963">
      <c r="A43963" s="1" t="n">
        <v>43962</v>
      </c>
      <c r="B43963">
        <f>TEXT(43962, "[$-0E0000]yyyy-mm-dd")</f>
        <v/>
      </c>
      <c r="C43963" t="inlineStr">
        <is>
          <t>2020-04-20</t>
        </is>
      </c>
    </row>
    <row r="43964">
      <c r="A43964" s="1" t="n">
        <v>43963</v>
      </c>
      <c r="B43964">
        <f>TEXT(43963, "[$-0E0000]yyyy-mm-dd")</f>
        <v/>
      </c>
      <c r="C43964" t="inlineStr">
        <is>
          <t>2020-04-21</t>
        </is>
      </c>
    </row>
    <row r="43965">
      <c r="A43965" s="1" t="n">
        <v>43964</v>
      </c>
      <c r="B43965">
        <f>TEXT(43964, "[$-0E0000]yyyy-mm-dd")</f>
        <v/>
      </c>
      <c r="C43965" t="inlineStr">
        <is>
          <t>2020-04-22</t>
        </is>
      </c>
    </row>
    <row r="43966">
      <c r="A43966" s="1" t="n">
        <v>43965</v>
      </c>
      <c r="B43966">
        <f>TEXT(43965, "[$-0E0000]yyyy-mm-dd")</f>
        <v/>
      </c>
      <c r="C43966" t="inlineStr">
        <is>
          <t>2020-04-23</t>
        </is>
      </c>
    </row>
    <row r="43967">
      <c r="A43967" s="1" t="n">
        <v>43966</v>
      </c>
      <c r="B43967">
        <f>TEXT(43966, "[$-0E0000]yyyy-mm-dd")</f>
        <v/>
      </c>
      <c r="C43967" t="inlineStr">
        <is>
          <t>2020-04-24</t>
        </is>
      </c>
    </row>
    <row r="43968">
      <c r="A43968" s="1" t="n">
        <v>43967</v>
      </c>
      <c r="B43968">
        <f>TEXT(43967, "[$-0E0000]yyyy-mm-dd")</f>
        <v/>
      </c>
      <c r="C43968" t="inlineStr">
        <is>
          <t>2020-04-25</t>
        </is>
      </c>
    </row>
    <row r="43969">
      <c r="A43969" s="1" t="n">
        <v>43968</v>
      </c>
      <c r="B43969">
        <f>TEXT(43968, "[$-0E0000]yyyy-mm-dd")</f>
        <v/>
      </c>
      <c r="C43969" t="inlineStr">
        <is>
          <t>2020-04-26</t>
        </is>
      </c>
    </row>
    <row r="43970">
      <c r="A43970" s="1" t="n">
        <v>43969</v>
      </c>
      <c r="B43970">
        <f>TEXT(43969, "[$-0E0000]yyyy-mm-dd")</f>
        <v/>
      </c>
      <c r="C43970" t="inlineStr">
        <is>
          <t>2020-04-27</t>
        </is>
      </c>
    </row>
    <row r="43971">
      <c r="A43971" s="1" t="n">
        <v>43970</v>
      </c>
      <c r="B43971">
        <f>TEXT(43970, "[$-0E0000]yyyy-mm-dd")</f>
        <v/>
      </c>
      <c r="C43971" t="inlineStr">
        <is>
          <t>2020-04-28</t>
        </is>
      </c>
    </row>
    <row r="43972">
      <c r="A43972" s="1" t="n">
        <v>43971</v>
      </c>
      <c r="B43972">
        <f>TEXT(43971, "[$-0E0000]yyyy-mm-dd")</f>
        <v/>
      </c>
      <c r="C43972" t="inlineStr">
        <is>
          <t>2020-04-29</t>
        </is>
      </c>
    </row>
    <row r="43973">
      <c r="A43973" s="1" t="n">
        <v>43972</v>
      </c>
      <c r="B43973">
        <f>TEXT(43972, "[$-0E0000]yyyy-mm-dd")</f>
        <v/>
      </c>
      <c r="C43973" t="inlineStr">
        <is>
          <t>2020-04-30</t>
        </is>
      </c>
    </row>
    <row r="43974">
      <c r="A43974" s="1" t="n">
        <v>43973</v>
      </c>
      <c r="B43974">
        <f>TEXT(43973, "[$-0E0000]yyyy-mm-dd")</f>
        <v/>
      </c>
      <c r="C43974" t="inlineStr">
        <is>
          <t>2020-04-01</t>
        </is>
      </c>
    </row>
    <row r="43975">
      <c r="A43975" s="1" t="n">
        <v>43974</v>
      </c>
      <c r="B43975">
        <f>TEXT(43974, "[$-0E0000]yyyy-mm-dd")</f>
        <v/>
      </c>
      <c r="C43975" t="inlineStr">
        <is>
          <t>2020-04-02</t>
        </is>
      </c>
    </row>
    <row r="43976">
      <c r="A43976" s="1" t="n">
        <v>43975</v>
      </c>
      <c r="B43976">
        <f>TEXT(43975, "[$-0E0000]yyyy-mm-dd")</f>
        <v/>
      </c>
      <c r="C43976" t="inlineStr">
        <is>
          <t>2020-04-03</t>
        </is>
      </c>
    </row>
    <row r="43977">
      <c r="A43977" s="1" t="n">
        <v>43976</v>
      </c>
      <c r="B43977">
        <f>TEXT(43976, "[$-0E0000]yyyy-mm-dd")</f>
        <v/>
      </c>
      <c r="C43977" t="inlineStr">
        <is>
          <t>2020-04-04</t>
        </is>
      </c>
    </row>
    <row r="43978">
      <c r="A43978" s="1" t="n">
        <v>43977</v>
      </c>
      <c r="B43978">
        <f>TEXT(43977, "[$-0E0000]yyyy-mm-dd")</f>
        <v/>
      </c>
      <c r="C43978" t="inlineStr">
        <is>
          <t>2020-04-05</t>
        </is>
      </c>
    </row>
    <row r="43979">
      <c r="A43979" s="1" t="n">
        <v>43978</v>
      </c>
      <c r="B43979">
        <f>TEXT(43978, "[$-0E0000]yyyy-mm-dd")</f>
        <v/>
      </c>
      <c r="C43979" t="inlineStr">
        <is>
          <t>2020-04-06</t>
        </is>
      </c>
    </row>
    <row r="43980">
      <c r="A43980" s="1" t="n">
        <v>43979</v>
      </c>
      <c r="B43980">
        <f>TEXT(43979, "[$-0E0000]yyyy-mm-dd")</f>
        <v/>
      </c>
      <c r="C43980" t="inlineStr">
        <is>
          <t>2020-04-07</t>
        </is>
      </c>
    </row>
    <row r="43981">
      <c r="A43981" s="1" t="n">
        <v>43980</v>
      </c>
      <c r="B43981">
        <f>TEXT(43980, "[$-0E0000]yyyy-mm-dd")</f>
        <v/>
      </c>
      <c r="C43981" t="inlineStr">
        <is>
          <t>2020-04-08</t>
        </is>
      </c>
    </row>
    <row r="43982">
      <c r="A43982" s="1" t="n">
        <v>43981</v>
      </c>
      <c r="B43982">
        <f>TEXT(43981, "[$-0E0000]yyyy-mm-dd")</f>
        <v/>
      </c>
      <c r="C43982" t="inlineStr">
        <is>
          <t>2020-04-09</t>
        </is>
      </c>
    </row>
    <row r="43983">
      <c r="A43983" s="1" t="n">
        <v>43982</v>
      </c>
      <c r="B43983">
        <f>TEXT(43982, "[$-0E0000]yyyy-mm-dd")</f>
        <v/>
      </c>
      <c r="C43983" t="inlineStr">
        <is>
          <t>2020-04-10</t>
        </is>
      </c>
    </row>
    <row r="43984">
      <c r="A43984" s="1" t="n">
        <v>43983</v>
      </c>
      <c r="B43984">
        <f>TEXT(43983, "[$-0E0000]yyyy-mm-dd")</f>
        <v/>
      </c>
      <c r="C43984" t="inlineStr">
        <is>
          <t>2020-04-11</t>
        </is>
      </c>
    </row>
    <row r="43985">
      <c r="A43985" s="1" t="n">
        <v>43984</v>
      </c>
      <c r="B43985">
        <f>TEXT(43984, "[$-0E0000]yyyy-mm-dd")</f>
        <v/>
      </c>
      <c r="C43985" t="inlineStr">
        <is>
          <t>2020-04-12</t>
        </is>
      </c>
    </row>
    <row r="43986">
      <c r="A43986" s="1" t="n">
        <v>43985</v>
      </c>
      <c r="B43986">
        <f>TEXT(43985, "[$-0E0000]yyyy-mm-dd")</f>
        <v/>
      </c>
      <c r="C43986" t="inlineStr">
        <is>
          <t>2020-04-13</t>
        </is>
      </c>
    </row>
    <row r="43987">
      <c r="A43987" s="1" t="n">
        <v>43986</v>
      </c>
      <c r="B43987">
        <f>TEXT(43986, "[$-0E0000]yyyy-mm-dd")</f>
        <v/>
      </c>
      <c r="C43987" t="inlineStr">
        <is>
          <t>2020-04-14</t>
        </is>
      </c>
    </row>
    <row r="43988">
      <c r="A43988" s="1" t="n">
        <v>43987</v>
      </c>
      <c r="B43988">
        <f>TEXT(43987, "[$-0E0000]yyyy-mm-dd")</f>
        <v/>
      </c>
      <c r="C43988" t="inlineStr">
        <is>
          <t>2020-04-15</t>
        </is>
      </c>
    </row>
    <row r="43989">
      <c r="A43989" s="1" t="n">
        <v>43988</v>
      </c>
      <c r="B43989">
        <f>TEXT(43988, "[$-0E0000]yyyy-mm-dd")</f>
        <v/>
      </c>
      <c r="C43989" t="inlineStr">
        <is>
          <t>2020-04-16</t>
        </is>
      </c>
    </row>
    <row r="43990">
      <c r="A43990" s="1" t="n">
        <v>43989</v>
      </c>
      <c r="B43990">
        <f>TEXT(43989, "[$-0E0000]yyyy-mm-dd")</f>
        <v/>
      </c>
      <c r="C43990" t="inlineStr">
        <is>
          <t>2020-04-17</t>
        </is>
      </c>
    </row>
    <row r="43991">
      <c r="A43991" s="1" t="n">
        <v>43990</v>
      </c>
      <c r="B43991">
        <f>TEXT(43990, "[$-0E0000]yyyy-mm-dd")</f>
        <v/>
      </c>
      <c r="C43991" t="inlineStr">
        <is>
          <t>2020-04-18</t>
        </is>
      </c>
    </row>
    <row r="43992">
      <c r="A43992" s="1" t="n">
        <v>43991</v>
      </c>
      <c r="B43992">
        <f>TEXT(43991, "[$-0E0000]yyyy-mm-dd")</f>
        <v/>
      </c>
      <c r="C43992" t="inlineStr">
        <is>
          <t>2020-04-19</t>
        </is>
      </c>
    </row>
    <row r="43993">
      <c r="A43993" s="1" t="n">
        <v>43992</v>
      </c>
      <c r="B43993">
        <f>TEXT(43992, "[$-0E0000]yyyy-mm-dd")</f>
        <v/>
      </c>
      <c r="C43993" t="inlineStr">
        <is>
          <t>2020-04-20</t>
        </is>
      </c>
    </row>
    <row r="43994">
      <c r="A43994" s="1" t="n">
        <v>43993</v>
      </c>
      <c r="B43994">
        <f>TEXT(43993, "[$-0E0000]yyyy-mm-dd")</f>
        <v/>
      </c>
      <c r="C43994" t="inlineStr">
        <is>
          <t>2020-04-21</t>
        </is>
      </c>
    </row>
    <row r="43995">
      <c r="A43995" s="1" t="n">
        <v>43994</v>
      </c>
      <c r="B43995">
        <f>TEXT(43994, "[$-0E0000]yyyy-mm-dd")</f>
        <v/>
      </c>
      <c r="C43995" t="inlineStr">
        <is>
          <t>2020-04-22</t>
        </is>
      </c>
    </row>
    <row r="43996">
      <c r="A43996" s="1" t="n">
        <v>43995</v>
      </c>
      <c r="B43996">
        <f>TEXT(43995, "[$-0E0000]yyyy-mm-dd")</f>
        <v/>
      </c>
      <c r="C43996" t="inlineStr">
        <is>
          <t>2020-04-23</t>
        </is>
      </c>
    </row>
    <row r="43997">
      <c r="A43997" s="1" t="n">
        <v>43996</v>
      </c>
      <c r="B43997">
        <f>TEXT(43996, "[$-0E0000]yyyy-mm-dd")</f>
        <v/>
      </c>
      <c r="C43997" t="inlineStr">
        <is>
          <t>2020-04-24</t>
        </is>
      </c>
    </row>
    <row r="43998">
      <c r="A43998" s="1" t="n">
        <v>43997</v>
      </c>
      <c r="B43998">
        <f>TEXT(43997, "[$-0E0000]yyyy-mm-dd")</f>
        <v/>
      </c>
      <c r="C43998" t="inlineStr">
        <is>
          <t>2020-04-25</t>
        </is>
      </c>
    </row>
    <row r="43999">
      <c r="A43999" s="1" t="n">
        <v>43998</v>
      </c>
      <c r="B43999">
        <f>TEXT(43998, "[$-0E0000]yyyy-mm-dd")</f>
        <v/>
      </c>
      <c r="C43999" t="inlineStr">
        <is>
          <t>2020-04-26</t>
        </is>
      </c>
    </row>
    <row r="44000">
      <c r="A44000" s="1" t="n">
        <v>43999</v>
      </c>
      <c r="B44000">
        <f>TEXT(43999, "[$-0E0000]yyyy-mm-dd")</f>
        <v/>
      </c>
      <c r="C44000" t="inlineStr">
        <is>
          <t>2020-04-27</t>
        </is>
      </c>
    </row>
    <row r="44001">
      <c r="A44001" s="1" t="n">
        <v>44000</v>
      </c>
      <c r="B44001">
        <f>TEXT(44000, "[$-0E0000]yyyy-mm-dd")</f>
        <v/>
      </c>
      <c r="C44001" t="inlineStr">
        <is>
          <t>2020-04-28</t>
        </is>
      </c>
    </row>
    <row r="44002">
      <c r="A44002" s="1" t="n">
        <v>44001</v>
      </c>
      <c r="B44002">
        <f>TEXT(44001, "[$-0E0000]yyyy-mm-dd")</f>
        <v/>
      </c>
      <c r="C44002" t="inlineStr">
        <is>
          <t>2020-04-29</t>
        </is>
      </c>
    </row>
    <row r="44003">
      <c r="A44003" s="1" t="n">
        <v>44002</v>
      </c>
      <c r="B44003">
        <f>TEXT(44002, "[$-0E0000]yyyy-mm-dd")</f>
        <v/>
      </c>
      <c r="C44003" t="inlineStr">
        <is>
          <t>2020-05-01</t>
        </is>
      </c>
    </row>
    <row r="44004">
      <c r="A44004" s="1" t="n">
        <v>44003</v>
      </c>
      <c r="B44004">
        <f>TEXT(44003, "[$-0E0000]yyyy-mm-dd")</f>
        <v/>
      </c>
      <c r="C44004" t="inlineStr">
        <is>
          <t>2020-05-02</t>
        </is>
      </c>
    </row>
    <row r="44005">
      <c r="A44005" s="1" t="n">
        <v>44004</v>
      </c>
      <c r="B44005">
        <f>TEXT(44004, "[$-0E0000]yyyy-mm-dd")</f>
        <v/>
      </c>
      <c r="C44005" t="inlineStr">
        <is>
          <t>2020-05-03</t>
        </is>
      </c>
    </row>
    <row r="44006">
      <c r="A44006" s="1" t="n">
        <v>44005</v>
      </c>
      <c r="B44006">
        <f>TEXT(44005, "[$-0E0000]yyyy-mm-dd")</f>
        <v/>
      </c>
      <c r="C44006" t="inlineStr">
        <is>
          <t>2020-05-04</t>
        </is>
      </c>
    </row>
    <row r="44007">
      <c r="A44007" s="1" t="n">
        <v>44006</v>
      </c>
      <c r="B44007">
        <f>TEXT(44006, "[$-0E0000]yyyy-mm-dd")</f>
        <v/>
      </c>
      <c r="C44007" t="inlineStr">
        <is>
          <t>2020-05-05</t>
        </is>
      </c>
    </row>
    <row r="44008">
      <c r="A44008" s="1" t="n">
        <v>44007</v>
      </c>
      <c r="B44008">
        <f>TEXT(44007, "[$-0E0000]yyyy-mm-dd")</f>
        <v/>
      </c>
      <c r="C44008" t="inlineStr">
        <is>
          <t>2020-05-06</t>
        </is>
      </c>
    </row>
    <row r="44009">
      <c r="A44009" s="1" t="n">
        <v>44008</v>
      </c>
      <c r="B44009">
        <f>TEXT(44008, "[$-0E0000]yyyy-mm-dd")</f>
        <v/>
      </c>
      <c r="C44009" t="inlineStr">
        <is>
          <t>2020-05-07</t>
        </is>
      </c>
    </row>
    <row r="44010">
      <c r="A44010" s="1" t="n">
        <v>44009</v>
      </c>
      <c r="B44010">
        <f>TEXT(44009, "[$-0E0000]yyyy-mm-dd")</f>
        <v/>
      </c>
      <c r="C44010" t="inlineStr">
        <is>
          <t>2020-05-08</t>
        </is>
      </c>
    </row>
    <row r="44011">
      <c r="A44011" s="1" t="n">
        <v>44010</v>
      </c>
      <c r="B44011">
        <f>TEXT(44010, "[$-0E0000]yyyy-mm-dd")</f>
        <v/>
      </c>
      <c r="C44011" t="inlineStr">
        <is>
          <t>2020-05-09</t>
        </is>
      </c>
    </row>
    <row r="44012">
      <c r="A44012" s="1" t="n">
        <v>44011</v>
      </c>
      <c r="B44012">
        <f>TEXT(44011, "[$-0E0000]yyyy-mm-dd")</f>
        <v/>
      </c>
      <c r="C44012" t="inlineStr">
        <is>
          <t>2020-05-10</t>
        </is>
      </c>
    </row>
    <row r="44013">
      <c r="A44013" s="1" t="n">
        <v>44012</v>
      </c>
      <c r="B44013">
        <f>TEXT(44012, "[$-0E0000]yyyy-mm-dd")</f>
        <v/>
      </c>
      <c r="C44013" t="inlineStr">
        <is>
          <t>2020-05-11</t>
        </is>
      </c>
    </row>
    <row r="44014">
      <c r="A44014" s="1" t="n">
        <v>44013</v>
      </c>
      <c r="B44014">
        <f>TEXT(44013, "[$-0E0000]yyyy-mm-dd")</f>
        <v/>
      </c>
      <c r="C44014" t="inlineStr">
        <is>
          <t>2020-05-12</t>
        </is>
      </c>
    </row>
    <row r="44015">
      <c r="A44015" s="1" t="n">
        <v>44014</v>
      </c>
      <c r="B44015">
        <f>TEXT(44014, "[$-0E0000]yyyy-mm-dd")</f>
        <v/>
      </c>
      <c r="C44015" t="inlineStr">
        <is>
          <t>2020-05-13</t>
        </is>
      </c>
    </row>
    <row r="44016">
      <c r="A44016" s="1" t="n">
        <v>44015</v>
      </c>
      <c r="B44016">
        <f>TEXT(44015, "[$-0E0000]yyyy-mm-dd")</f>
        <v/>
      </c>
      <c r="C44016" t="inlineStr">
        <is>
          <t>2020-05-14</t>
        </is>
      </c>
    </row>
    <row r="44017">
      <c r="A44017" s="1" t="n">
        <v>44016</v>
      </c>
      <c r="B44017">
        <f>TEXT(44016, "[$-0E0000]yyyy-mm-dd")</f>
        <v/>
      </c>
      <c r="C44017" t="inlineStr">
        <is>
          <t>2020-05-15</t>
        </is>
      </c>
    </row>
    <row r="44018">
      <c r="A44018" s="1" t="n">
        <v>44017</v>
      </c>
      <c r="B44018">
        <f>TEXT(44017, "[$-0E0000]yyyy-mm-dd")</f>
        <v/>
      </c>
      <c r="C44018" t="inlineStr">
        <is>
          <t>2020-05-16</t>
        </is>
      </c>
    </row>
    <row r="44019">
      <c r="A44019" s="1" t="n">
        <v>44018</v>
      </c>
      <c r="B44019">
        <f>TEXT(44018, "[$-0E0000]yyyy-mm-dd")</f>
        <v/>
      </c>
      <c r="C44019" t="inlineStr">
        <is>
          <t>2020-05-17</t>
        </is>
      </c>
    </row>
    <row r="44020">
      <c r="A44020" s="1" t="n">
        <v>44019</v>
      </c>
      <c r="B44020">
        <f>TEXT(44019, "[$-0E0000]yyyy-mm-dd")</f>
        <v/>
      </c>
      <c r="C44020" t="inlineStr">
        <is>
          <t>2020-05-18</t>
        </is>
      </c>
    </row>
    <row r="44021">
      <c r="A44021" s="1" t="n">
        <v>44020</v>
      </c>
      <c r="B44021">
        <f>TEXT(44020, "[$-0E0000]yyyy-mm-dd")</f>
        <v/>
      </c>
      <c r="C44021" t="inlineStr">
        <is>
          <t>2020-05-19</t>
        </is>
      </c>
    </row>
    <row r="44022">
      <c r="A44022" s="1" t="n">
        <v>44021</v>
      </c>
      <c r="B44022">
        <f>TEXT(44021, "[$-0E0000]yyyy-mm-dd")</f>
        <v/>
      </c>
      <c r="C44022" t="inlineStr">
        <is>
          <t>2020-05-20</t>
        </is>
      </c>
    </row>
    <row r="44023">
      <c r="A44023" s="1" t="n">
        <v>44022</v>
      </c>
      <c r="B44023">
        <f>TEXT(44022, "[$-0E0000]yyyy-mm-dd")</f>
        <v/>
      </c>
      <c r="C44023" t="inlineStr">
        <is>
          <t>2020-05-21</t>
        </is>
      </c>
    </row>
    <row r="44024">
      <c r="A44024" s="1" t="n">
        <v>44023</v>
      </c>
      <c r="B44024">
        <f>TEXT(44023, "[$-0E0000]yyyy-mm-dd")</f>
        <v/>
      </c>
      <c r="C44024" t="inlineStr">
        <is>
          <t>2020-05-22</t>
        </is>
      </c>
    </row>
    <row r="44025">
      <c r="A44025" s="1" t="n">
        <v>44024</v>
      </c>
      <c r="B44025">
        <f>TEXT(44024, "[$-0E0000]yyyy-mm-dd")</f>
        <v/>
      </c>
      <c r="C44025" t="inlineStr">
        <is>
          <t>2020-05-23</t>
        </is>
      </c>
    </row>
    <row r="44026">
      <c r="A44026" s="1" t="n">
        <v>44025</v>
      </c>
      <c r="B44026">
        <f>TEXT(44025, "[$-0E0000]yyyy-mm-dd")</f>
        <v/>
      </c>
      <c r="C44026" t="inlineStr">
        <is>
          <t>2020-05-24</t>
        </is>
      </c>
    </row>
    <row r="44027">
      <c r="A44027" s="1" t="n">
        <v>44026</v>
      </c>
      <c r="B44027">
        <f>TEXT(44026, "[$-0E0000]yyyy-mm-dd")</f>
        <v/>
      </c>
      <c r="C44027" t="inlineStr">
        <is>
          <t>2020-05-25</t>
        </is>
      </c>
    </row>
    <row r="44028">
      <c r="A44028" s="1" t="n">
        <v>44027</v>
      </c>
      <c r="B44028">
        <f>TEXT(44027, "[$-0E0000]yyyy-mm-dd")</f>
        <v/>
      </c>
      <c r="C44028" t="inlineStr">
        <is>
          <t>2020-05-26</t>
        </is>
      </c>
    </row>
    <row r="44029">
      <c r="A44029" s="1" t="n">
        <v>44028</v>
      </c>
      <c r="B44029">
        <f>TEXT(44028, "[$-0E0000]yyyy-mm-dd")</f>
        <v/>
      </c>
      <c r="C44029" t="inlineStr">
        <is>
          <t>2020-05-27</t>
        </is>
      </c>
    </row>
    <row r="44030">
      <c r="A44030" s="1" t="n">
        <v>44029</v>
      </c>
      <c r="B44030">
        <f>TEXT(44029, "[$-0E0000]yyyy-mm-dd")</f>
        <v/>
      </c>
      <c r="C44030" t="inlineStr">
        <is>
          <t>2020-05-28</t>
        </is>
      </c>
    </row>
    <row r="44031">
      <c r="A44031" s="1" t="n">
        <v>44030</v>
      </c>
      <c r="B44031">
        <f>TEXT(44030, "[$-0E0000]yyyy-mm-dd")</f>
        <v/>
      </c>
      <c r="C44031" t="inlineStr">
        <is>
          <t>2020-05-29</t>
        </is>
      </c>
    </row>
    <row r="44032">
      <c r="A44032" s="1" t="n">
        <v>44031</v>
      </c>
      <c r="B44032">
        <f>TEXT(44031, "[$-0E0000]yyyy-mm-dd")</f>
        <v/>
      </c>
      <c r="C44032" t="inlineStr">
        <is>
          <t>2020-05-30</t>
        </is>
      </c>
    </row>
    <row r="44033">
      <c r="A44033" s="1" t="n">
        <v>44032</v>
      </c>
      <c r="B44033">
        <f>TEXT(44032, "[$-0E0000]yyyy-mm-dd")</f>
        <v/>
      </c>
      <c r="C44033" t="inlineStr">
        <is>
          <t>2020-06-01</t>
        </is>
      </c>
    </row>
    <row r="44034">
      <c r="A44034" s="1" t="n">
        <v>44033</v>
      </c>
      <c r="B44034">
        <f>TEXT(44033, "[$-0E0000]yyyy-mm-dd")</f>
        <v/>
      </c>
      <c r="C44034" t="inlineStr">
        <is>
          <t>2020-06-02</t>
        </is>
      </c>
    </row>
    <row r="44035">
      <c r="A44035" s="1" t="n">
        <v>44034</v>
      </c>
      <c r="B44035">
        <f>TEXT(44034, "[$-0E0000]yyyy-mm-dd")</f>
        <v/>
      </c>
      <c r="C44035" t="inlineStr">
        <is>
          <t>2020-06-03</t>
        </is>
      </c>
    </row>
    <row r="44036">
      <c r="A44036" s="1" t="n">
        <v>44035</v>
      </c>
      <c r="B44036">
        <f>TEXT(44035, "[$-0E0000]yyyy-mm-dd")</f>
        <v/>
      </c>
      <c r="C44036" t="inlineStr">
        <is>
          <t>2020-06-04</t>
        </is>
      </c>
    </row>
    <row r="44037">
      <c r="A44037" s="1" t="n">
        <v>44036</v>
      </c>
      <c r="B44037">
        <f>TEXT(44036, "[$-0E0000]yyyy-mm-dd")</f>
        <v/>
      </c>
      <c r="C44037" t="inlineStr">
        <is>
          <t>2020-06-05</t>
        </is>
      </c>
    </row>
    <row r="44038">
      <c r="A44038" s="1" t="n">
        <v>44037</v>
      </c>
      <c r="B44038">
        <f>TEXT(44037, "[$-0E0000]yyyy-mm-dd")</f>
        <v/>
      </c>
      <c r="C44038" t="inlineStr">
        <is>
          <t>2020-06-06</t>
        </is>
      </c>
    </row>
    <row r="44039">
      <c r="A44039" s="1" t="n">
        <v>44038</v>
      </c>
      <c r="B44039">
        <f>TEXT(44038, "[$-0E0000]yyyy-mm-dd")</f>
        <v/>
      </c>
      <c r="C44039" t="inlineStr">
        <is>
          <t>2020-06-07</t>
        </is>
      </c>
    </row>
    <row r="44040">
      <c r="A44040" s="1" t="n">
        <v>44039</v>
      </c>
      <c r="B44040">
        <f>TEXT(44039, "[$-0E0000]yyyy-mm-dd")</f>
        <v/>
      </c>
      <c r="C44040" t="inlineStr">
        <is>
          <t>2020-06-08</t>
        </is>
      </c>
    </row>
    <row r="44041">
      <c r="A44041" s="1" t="n">
        <v>44040</v>
      </c>
      <c r="B44041">
        <f>TEXT(44040, "[$-0E0000]yyyy-mm-dd")</f>
        <v/>
      </c>
      <c r="C44041" t="inlineStr">
        <is>
          <t>2020-06-09</t>
        </is>
      </c>
    </row>
    <row r="44042">
      <c r="A44042" s="1" t="n">
        <v>44041</v>
      </c>
      <c r="B44042">
        <f>TEXT(44041, "[$-0E0000]yyyy-mm-dd")</f>
        <v/>
      </c>
      <c r="C44042" t="inlineStr">
        <is>
          <t>2020-06-10</t>
        </is>
      </c>
    </row>
    <row r="44043">
      <c r="A44043" s="1" t="n">
        <v>44042</v>
      </c>
      <c r="B44043">
        <f>TEXT(44042, "[$-0E0000]yyyy-mm-dd")</f>
        <v/>
      </c>
      <c r="C44043" t="inlineStr">
        <is>
          <t>2020-06-11</t>
        </is>
      </c>
    </row>
    <row r="44044">
      <c r="A44044" s="1" t="n">
        <v>44043</v>
      </c>
      <c r="B44044">
        <f>TEXT(44043, "[$-0E0000]yyyy-mm-dd")</f>
        <v/>
      </c>
      <c r="C44044" t="inlineStr">
        <is>
          <t>2020-06-12</t>
        </is>
      </c>
    </row>
    <row r="44045">
      <c r="A44045" s="1" t="n">
        <v>44044</v>
      </c>
      <c r="B44045">
        <f>TEXT(44044, "[$-0E0000]yyyy-mm-dd")</f>
        <v/>
      </c>
      <c r="C44045" t="inlineStr">
        <is>
          <t>2020-06-13</t>
        </is>
      </c>
    </row>
    <row r="44046">
      <c r="A44046" s="1" t="n">
        <v>44045</v>
      </c>
      <c r="B44046">
        <f>TEXT(44045, "[$-0E0000]yyyy-mm-dd")</f>
        <v/>
      </c>
      <c r="C44046" t="inlineStr">
        <is>
          <t>2020-06-14</t>
        </is>
      </c>
    </row>
    <row r="44047">
      <c r="A44047" s="1" t="n">
        <v>44046</v>
      </c>
      <c r="B44047">
        <f>TEXT(44046, "[$-0E0000]yyyy-mm-dd")</f>
        <v/>
      </c>
      <c r="C44047" t="inlineStr">
        <is>
          <t>2020-06-15</t>
        </is>
      </c>
    </row>
    <row r="44048">
      <c r="A44048" s="1" t="n">
        <v>44047</v>
      </c>
      <c r="B44048">
        <f>TEXT(44047, "[$-0E0000]yyyy-mm-dd")</f>
        <v/>
      </c>
      <c r="C44048" t="inlineStr">
        <is>
          <t>2020-06-16</t>
        </is>
      </c>
    </row>
    <row r="44049">
      <c r="A44049" s="1" t="n">
        <v>44048</v>
      </c>
      <c r="B44049">
        <f>TEXT(44048, "[$-0E0000]yyyy-mm-dd")</f>
        <v/>
      </c>
      <c r="C44049" t="inlineStr">
        <is>
          <t>2020-06-17</t>
        </is>
      </c>
    </row>
    <row r="44050">
      <c r="A44050" s="1" t="n">
        <v>44049</v>
      </c>
      <c r="B44050">
        <f>TEXT(44049, "[$-0E0000]yyyy-mm-dd")</f>
        <v/>
      </c>
      <c r="C44050" t="inlineStr">
        <is>
          <t>2020-06-18</t>
        </is>
      </c>
    </row>
    <row r="44051">
      <c r="A44051" s="1" t="n">
        <v>44050</v>
      </c>
      <c r="B44051">
        <f>TEXT(44050, "[$-0E0000]yyyy-mm-dd")</f>
        <v/>
      </c>
      <c r="C44051" t="inlineStr">
        <is>
          <t>2020-06-19</t>
        </is>
      </c>
    </row>
    <row r="44052">
      <c r="A44052" s="1" t="n">
        <v>44051</v>
      </c>
      <c r="B44052">
        <f>TEXT(44051, "[$-0E0000]yyyy-mm-dd")</f>
        <v/>
      </c>
      <c r="C44052" t="inlineStr">
        <is>
          <t>2020-06-20</t>
        </is>
      </c>
    </row>
    <row r="44053">
      <c r="A44053" s="1" t="n">
        <v>44052</v>
      </c>
      <c r="B44053">
        <f>TEXT(44052, "[$-0E0000]yyyy-mm-dd")</f>
        <v/>
      </c>
      <c r="C44053" t="inlineStr">
        <is>
          <t>2020-06-21</t>
        </is>
      </c>
    </row>
    <row r="44054">
      <c r="A44054" s="1" t="n">
        <v>44053</v>
      </c>
      <c r="B44054">
        <f>TEXT(44053, "[$-0E0000]yyyy-mm-dd")</f>
        <v/>
      </c>
      <c r="C44054" t="inlineStr">
        <is>
          <t>2020-06-22</t>
        </is>
      </c>
    </row>
    <row r="44055">
      <c r="A44055" s="1" t="n">
        <v>44054</v>
      </c>
      <c r="B44055">
        <f>TEXT(44054, "[$-0E0000]yyyy-mm-dd")</f>
        <v/>
      </c>
      <c r="C44055" t="inlineStr">
        <is>
          <t>2020-06-23</t>
        </is>
      </c>
    </row>
    <row r="44056">
      <c r="A44056" s="1" t="n">
        <v>44055</v>
      </c>
      <c r="B44056">
        <f>TEXT(44055, "[$-0E0000]yyyy-mm-dd")</f>
        <v/>
      </c>
      <c r="C44056" t="inlineStr">
        <is>
          <t>2020-06-24</t>
        </is>
      </c>
    </row>
    <row r="44057">
      <c r="A44057" s="1" t="n">
        <v>44056</v>
      </c>
      <c r="B44057">
        <f>TEXT(44056, "[$-0E0000]yyyy-mm-dd")</f>
        <v/>
      </c>
      <c r="C44057" t="inlineStr">
        <is>
          <t>2020-06-25</t>
        </is>
      </c>
    </row>
    <row r="44058">
      <c r="A44058" s="1" t="n">
        <v>44057</v>
      </c>
      <c r="B44058">
        <f>TEXT(44057, "[$-0E0000]yyyy-mm-dd")</f>
        <v/>
      </c>
      <c r="C44058" t="inlineStr">
        <is>
          <t>2020-06-26</t>
        </is>
      </c>
    </row>
    <row r="44059">
      <c r="A44059" s="1" t="n">
        <v>44058</v>
      </c>
      <c r="B44059">
        <f>TEXT(44058, "[$-0E0000]yyyy-mm-dd")</f>
        <v/>
      </c>
      <c r="C44059" t="inlineStr">
        <is>
          <t>2020-06-27</t>
        </is>
      </c>
    </row>
    <row r="44060">
      <c r="A44060" s="1" t="n">
        <v>44059</v>
      </c>
      <c r="B44060">
        <f>TEXT(44059, "[$-0E0000]yyyy-mm-dd")</f>
        <v/>
      </c>
      <c r="C44060" t="inlineStr">
        <is>
          <t>2020-06-28</t>
        </is>
      </c>
    </row>
    <row r="44061">
      <c r="A44061" s="1" t="n">
        <v>44060</v>
      </c>
      <c r="B44061">
        <f>TEXT(44060, "[$-0E0000]yyyy-mm-dd")</f>
        <v/>
      </c>
      <c r="C44061" t="inlineStr">
        <is>
          <t>2020-06-29</t>
        </is>
      </c>
    </row>
    <row r="44062">
      <c r="A44062" s="1" t="n">
        <v>44061</v>
      </c>
      <c r="B44062">
        <f>TEXT(44061, "[$-0E0000]yyyy-mm-dd")</f>
        <v/>
      </c>
      <c r="C44062" t="inlineStr">
        <is>
          <t>2020-07-01</t>
        </is>
      </c>
    </row>
    <row r="44063">
      <c r="A44063" s="1" t="n">
        <v>44062</v>
      </c>
      <c r="B44063">
        <f>TEXT(44062, "[$-0E0000]yyyy-mm-dd")</f>
        <v/>
      </c>
      <c r="C44063" t="inlineStr">
        <is>
          <t>2020-07-02</t>
        </is>
      </c>
    </row>
    <row r="44064">
      <c r="A44064" s="1" t="n">
        <v>44063</v>
      </c>
      <c r="B44064">
        <f>TEXT(44063, "[$-0E0000]yyyy-mm-dd")</f>
        <v/>
      </c>
      <c r="C44064" t="inlineStr">
        <is>
          <t>2020-07-03</t>
        </is>
      </c>
    </row>
    <row r="44065">
      <c r="A44065" s="1" t="n">
        <v>44064</v>
      </c>
      <c r="B44065">
        <f>TEXT(44064, "[$-0E0000]yyyy-mm-dd")</f>
        <v/>
      </c>
      <c r="C44065" t="inlineStr">
        <is>
          <t>2020-07-04</t>
        </is>
      </c>
    </row>
    <row r="44066">
      <c r="A44066" s="1" t="n">
        <v>44065</v>
      </c>
      <c r="B44066">
        <f>TEXT(44065, "[$-0E0000]yyyy-mm-dd")</f>
        <v/>
      </c>
      <c r="C44066" t="inlineStr">
        <is>
          <t>2020-07-05</t>
        </is>
      </c>
    </row>
    <row r="44067">
      <c r="A44067" s="1" t="n">
        <v>44066</v>
      </c>
      <c r="B44067">
        <f>TEXT(44066, "[$-0E0000]yyyy-mm-dd")</f>
        <v/>
      </c>
      <c r="C44067" t="inlineStr">
        <is>
          <t>2020-07-06</t>
        </is>
      </c>
    </row>
    <row r="44068">
      <c r="A44068" s="1" t="n">
        <v>44067</v>
      </c>
      <c r="B44068">
        <f>TEXT(44067, "[$-0E0000]yyyy-mm-dd")</f>
        <v/>
      </c>
      <c r="C44068" t="inlineStr">
        <is>
          <t>2020-07-07</t>
        </is>
      </c>
    </row>
    <row r="44069">
      <c r="A44069" s="1" t="n">
        <v>44068</v>
      </c>
      <c r="B44069">
        <f>TEXT(44068, "[$-0E0000]yyyy-mm-dd")</f>
        <v/>
      </c>
      <c r="C44069" t="inlineStr">
        <is>
          <t>2020-07-08</t>
        </is>
      </c>
    </row>
    <row r="44070">
      <c r="A44070" s="1" t="n">
        <v>44069</v>
      </c>
      <c r="B44070">
        <f>TEXT(44069, "[$-0E0000]yyyy-mm-dd")</f>
        <v/>
      </c>
      <c r="C44070" t="inlineStr">
        <is>
          <t>2020-07-09</t>
        </is>
      </c>
    </row>
    <row r="44071">
      <c r="A44071" s="1" t="n">
        <v>44070</v>
      </c>
      <c r="B44071">
        <f>TEXT(44070, "[$-0E0000]yyyy-mm-dd")</f>
        <v/>
      </c>
      <c r="C44071" t="inlineStr">
        <is>
          <t>2020-07-10</t>
        </is>
      </c>
    </row>
    <row r="44072">
      <c r="A44072" s="1" t="n">
        <v>44071</v>
      </c>
      <c r="B44072">
        <f>TEXT(44071, "[$-0E0000]yyyy-mm-dd")</f>
        <v/>
      </c>
      <c r="C44072" t="inlineStr">
        <is>
          <t>2020-07-11</t>
        </is>
      </c>
    </row>
    <row r="44073">
      <c r="A44073" s="1" t="n">
        <v>44072</v>
      </c>
      <c r="B44073">
        <f>TEXT(44072, "[$-0E0000]yyyy-mm-dd")</f>
        <v/>
      </c>
      <c r="C44073" t="inlineStr">
        <is>
          <t>2020-07-12</t>
        </is>
      </c>
    </row>
    <row r="44074">
      <c r="A44074" s="1" t="n">
        <v>44073</v>
      </c>
      <c r="B44074">
        <f>TEXT(44073, "[$-0E0000]yyyy-mm-dd")</f>
        <v/>
      </c>
      <c r="C44074" t="inlineStr">
        <is>
          <t>2020-07-13</t>
        </is>
      </c>
    </row>
    <row r="44075">
      <c r="A44075" s="1" t="n">
        <v>44074</v>
      </c>
      <c r="B44075">
        <f>TEXT(44074, "[$-0E0000]yyyy-mm-dd")</f>
        <v/>
      </c>
      <c r="C44075" t="inlineStr">
        <is>
          <t>2020-07-14</t>
        </is>
      </c>
    </row>
    <row r="44076">
      <c r="A44076" s="1" t="n">
        <v>44075</v>
      </c>
      <c r="B44076">
        <f>TEXT(44075, "[$-0E0000]yyyy-mm-dd")</f>
        <v/>
      </c>
      <c r="C44076" t="inlineStr">
        <is>
          <t>2020-07-15</t>
        </is>
      </c>
    </row>
    <row r="44077">
      <c r="A44077" s="1" t="n">
        <v>44076</v>
      </c>
      <c r="B44077">
        <f>TEXT(44076, "[$-0E0000]yyyy-mm-dd")</f>
        <v/>
      </c>
      <c r="C44077" t="inlineStr">
        <is>
          <t>2020-07-16</t>
        </is>
      </c>
    </row>
    <row r="44078">
      <c r="A44078" s="1" t="n">
        <v>44077</v>
      </c>
      <c r="B44078">
        <f>TEXT(44077, "[$-0E0000]yyyy-mm-dd")</f>
        <v/>
      </c>
      <c r="C44078" t="inlineStr">
        <is>
          <t>2020-07-17</t>
        </is>
      </c>
    </row>
    <row r="44079">
      <c r="A44079" s="1" t="n">
        <v>44078</v>
      </c>
      <c r="B44079">
        <f>TEXT(44078, "[$-0E0000]yyyy-mm-dd")</f>
        <v/>
      </c>
      <c r="C44079" t="inlineStr">
        <is>
          <t>2020-07-18</t>
        </is>
      </c>
    </row>
    <row r="44080">
      <c r="A44080" s="1" t="n">
        <v>44079</v>
      </c>
      <c r="B44080">
        <f>TEXT(44079, "[$-0E0000]yyyy-mm-dd")</f>
        <v/>
      </c>
      <c r="C44080" t="inlineStr">
        <is>
          <t>2020-07-19</t>
        </is>
      </c>
    </row>
    <row r="44081">
      <c r="A44081" s="1" t="n">
        <v>44080</v>
      </c>
      <c r="B44081">
        <f>TEXT(44080, "[$-0E0000]yyyy-mm-dd")</f>
        <v/>
      </c>
      <c r="C44081" t="inlineStr">
        <is>
          <t>2020-07-20</t>
        </is>
      </c>
    </row>
    <row r="44082">
      <c r="A44082" s="1" t="n">
        <v>44081</v>
      </c>
      <c r="B44082">
        <f>TEXT(44081, "[$-0E0000]yyyy-mm-dd")</f>
        <v/>
      </c>
      <c r="C44082" t="inlineStr">
        <is>
          <t>2020-07-21</t>
        </is>
      </c>
    </row>
    <row r="44083">
      <c r="A44083" s="1" t="n">
        <v>44082</v>
      </c>
      <c r="B44083">
        <f>TEXT(44082, "[$-0E0000]yyyy-mm-dd")</f>
        <v/>
      </c>
      <c r="C44083" t="inlineStr">
        <is>
          <t>2020-07-22</t>
        </is>
      </c>
    </row>
    <row r="44084">
      <c r="A44084" s="1" t="n">
        <v>44083</v>
      </c>
      <c r="B44084">
        <f>TEXT(44083, "[$-0E0000]yyyy-mm-dd")</f>
        <v/>
      </c>
      <c r="C44084" t="inlineStr">
        <is>
          <t>2020-07-23</t>
        </is>
      </c>
    </row>
    <row r="44085">
      <c r="A44085" s="1" t="n">
        <v>44084</v>
      </c>
      <c r="B44085">
        <f>TEXT(44084, "[$-0E0000]yyyy-mm-dd")</f>
        <v/>
      </c>
      <c r="C44085" t="inlineStr">
        <is>
          <t>2020-07-24</t>
        </is>
      </c>
    </row>
    <row r="44086">
      <c r="A44086" s="1" t="n">
        <v>44085</v>
      </c>
      <c r="B44086">
        <f>TEXT(44085, "[$-0E0000]yyyy-mm-dd")</f>
        <v/>
      </c>
      <c r="C44086" t="inlineStr">
        <is>
          <t>2020-07-25</t>
        </is>
      </c>
    </row>
    <row r="44087">
      <c r="A44087" s="1" t="n">
        <v>44086</v>
      </c>
      <c r="B44087">
        <f>TEXT(44086, "[$-0E0000]yyyy-mm-dd")</f>
        <v/>
      </c>
      <c r="C44087" t="inlineStr">
        <is>
          <t>2020-07-26</t>
        </is>
      </c>
    </row>
    <row r="44088">
      <c r="A44088" s="1" t="n">
        <v>44087</v>
      </c>
      <c r="B44088">
        <f>TEXT(44087, "[$-0E0000]yyyy-mm-dd")</f>
        <v/>
      </c>
      <c r="C44088" t="inlineStr">
        <is>
          <t>2020-07-27</t>
        </is>
      </c>
    </row>
    <row r="44089">
      <c r="A44089" s="1" t="n">
        <v>44088</v>
      </c>
      <c r="B44089">
        <f>TEXT(44088, "[$-0E0000]yyyy-mm-dd")</f>
        <v/>
      </c>
      <c r="C44089" t="inlineStr">
        <is>
          <t>2020-07-28</t>
        </is>
      </c>
    </row>
    <row r="44090">
      <c r="A44090" s="1" t="n">
        <v>44089</v>
      </c>
      <c r="B44090">
        <f>TEXT(44089, "[$-0E0000]yyyy-mm-dd")</f>
        <v/>
      </c>
      <c r="C44090" t="inlineStr">
        <is>
          <t>2020-07-29</t>
        </is>
      </c>
    </row>
    <row r="44091">
      <c r="A44091" s="1" t="n">
        <v>44090</v>
      </c>
      <c r="B44091">
        <f>TEXT(44090, "[$-0E0000]yyyy-mm-dd")</f>
        <v/>
      </c>
      <c r="C44091" t="inlineStr">
        <is>
          <t>2020-08-01</t>
        </is>
      </c>
    </row>
    <row r="44092">
      <c r="A44092" s="1" t="n">
        <v>44091</v>
      </c>
      <c r="B44092">
        <f>TEXT(44091, "[$-0E0000]yyyy-mm-dd")</f>
        <v/>
      </c>
      <c r="C44092" t="inlineStr">
        <is>
          <t>2020-08-02</t>
        </is>
      </c>
    </row>
    <row r="44093">
      <c r="A44093" s="1" t="n">
        <v>44092</v>
      </c>
      <c r="B44093">
        <f>TEXT(44092, "[$-0E0000]yyyy-mm-dd")</f>
        <v/>
      </c>
      <c r="C44093" t="inlineStr">
        <is>
          <t>2020-08-03</t>
        </is>
      </c>
    </row>
    <row r="44094">
      <c r="A44094" s="1" t="n">
        <v>44093</v>
      </c>
      <c r="B44094">
        <f>TEXT(44093, "[$-0E0000]yyyy-mm-dd")</f>
        <v/>
      </c>
      <c r="C44094" t="inlineStr">
        <is>
          <t>2020-08-04</t>
        </is>
      </c>
    </row>
    <row r="44095">
      <c r="A44095" s="1" t="n">
        <v>44094</v>
      </c>
      <c r="B44095">
        <f>TEXT(44094, "[$-0E0000]yyyy-mm-dd")</f>
        <v/>
      </c>
      <c r="C44095" t="inlineStr">
        <is>
          <t>2020-08-05</t>
        </is>
      </c>
    </row>
    <row r="44096">
      <c r="A44096" s="1" t="n">
        <v>44095</v>
      </c>
      <c r="B44096">
        <f>TEXT(44095, "[$-0E0000]yyyy-mm-dd")</f>
        <v/>
      </c>
      <c r="C44096" t="inlineStr">
        <is>
          <t>2020-08-06</t>
        </is>
      </c>
    </row>
    <row r="44097">
      <c r="A44097" s="1" t="n">
        <v>44096</v>
      </c>
      <c r="B44097">
        <f>TEXT(44096, "[$-0E0000]yyyy-mm-dd")</f>
        <v/>
      </c>
      <c r="C44097" t="inlineStr">
        <is>
          <t>2020-08-07</t>
        </is>
      </c>
    </row>
    <row r="44098">
      <c r="A44098" s="1" t="n">
        <v>44097</v>
      </c>
      <c r="B44098">
        <f>TEXT(44097, "[$-0E0000]yyyy-mm-dd")</f>
        <v/>
      </c>
      <c r="C44098" t="inlineStr">
        <is>
          <t>2020-08-08</t>
        </is>
      </c>
    </row>
    <row r="44099">
      <c r="A44099" s="1" t="n">
        <v>44098</v>
      </c>
      <c r="B44099">
        <f>TEXT(44098, "[$-0E0000]yyyy-mm-dd")</f>
        <v/>
      </c>
      <c r="C44099" t="inlineStr">
        <is>
          <t>2020-08-09</t>
        </is>
      </c>
    </row>
    <row r="44100">
      <c r="A44100" s="1" t="n">
        <v>44099</v>
      </c>
      <c r="B44100">
        <f>TEXT(44099, "[$-0E0000]yyyy-mm-dd")</f>
        <v/>
      </c>
      <c r="C44100" t="inlineStr">
        <is>
          <t>2020-08-10</t>
        </is>
      </c>
    </row>
    <row r="44101">
      <c r="A44101" s="1" t="n">
        <v>44100</v>
      </c>
      <c r="B44101">
        <f>TEXT(44100, "[$-0E0000]yyyy-mm-dd")</f>
        <v/>
      </c>
      <c r="C44101" t="inlineStr">
        <is>
          <t>2020-08-11</t>
        </is>
      </c>
    </row>
    <row r="44102">
      <c r="A44102" s="1" t="n">
        <v>44101</v>
      </c>
      <c r="B44102">
        <f>TEXT(44101, "[$-0E0000]yyyy-mm-dd")</f>
        <v/>
      </c>
      <c r="C44102" t="inlineStr">
        <is>
          <t>2020-08-12</t>
        </is>
      </c>
    </row>
    <row r="44103">
      <c r="A44103" s="1" t="n">
        <v>44102</v>
      </c>
      <c r="B44103">
        <f>TEXT(44102, "[$-0E0000]yyyy-mm-dd")</f>
        <v/>
      </c>
      <c r="C44103" t="inlineStr">
        <is>
          <t>2020-08-13</t>
        </is>
      </c>
    </row>
    <row r="44104">
      <c r="A44104" s="1" t="n">
        <v>44103</v>
      </c>
      <c r="B44104">
        <f>TEXT(44103, "[$-0E0000]yyyy-mm-dd")</f>
        <v/>
      </c>
      <c r="C44104" t="inlineStr">
        <is>
          <t>2020-08-14</t>
        </is>
      </c>
    </row>
    <row r="44105">
      <c r="A44105" s="1" t="n">
        <v>44104</v>
      </c>
      <c r="B44105">
        <f>TEXT(44104, "[$-0E0000]yyyy-mm-dd")</f>
        <v/>
      </c>
      <c r="C44105" t="inlineStr">
        <is>
          <t>2020-08-15</t>
        </is>
      </c>
    </row>
    <row r="44106">
      <c r="A44106" s="1" t="n">
        <v>44105</v>
      </c>
      <c r="B44106">
        <f>TEXT(44105, "[$-0E0000]yyyy-mm-dd")</f>
        <v/>
      </c>
      <c r="C44106" t="inlineStr">
        <is>
          <t>2020-08-16</t>
        </is>
      </c>
    </row>
    <row r="44107">
      <c r="A44107" s="1" t="n">
        <v>44106</v>
      </c>
      <c r="B44107">
        <f>TEXT(44106, "[$-0E0000]yyyy-mm-dd")</f>
        <v/>
      </c>
      <c r="C44107" t="inlineStr">
        <is>
          <t>2020-08-17</t>
        </is>
      </c>
    </row>
    <row r="44108">
      <c r="A44108" s="1" t="n">
        <v>44107</v>
      </c>
      <c r="B44108">
        <f>TEXT(44107, "[$-0E0000]yyyy-mm-dd")</f>
        <v/>
      </c>
      <c r="C44108" t="inlineStr">
        <is>
          <t>2020-08-18</t>
        </is>
      </c>
    </row>
    <row r="44109">
      <c r="A44109" s="1" t="n">
        <v>44108</v>
      </c>
      <c r="B44109">
        <f>TEXT(44108, "[$-0E0000]yyyy-mm-dd")</f>
        <v/>
      </c>
      <c r="C44109" t="inlineStr">
        <is>
          <t>2020-08-19</t>
        </is>
      </c>
    </row>
    <row r="44110">
      <c r="A44110" s="1" t="n">
        <v>44109</v>
      </c>
      <c r="B44110">
        <f>TEXT(44109, "[$-0E0000]yyyy-mm-dd")</f>
        <v/>
      </c>
      <c r="C44110" t="inlineStr">
        <is>
          <t>2020-08-20</t>
        </is>
      </c>
    </row>
    <row r="44111">
      <c r="A44111" s="1" t="n">
        <v>44110</v>
      </c>
      <c r="B44111">
        <f>TEXT(44110, "[$-0E0000]yyyy-mm-dd")</f>
        <v/>
      </c>
      <c r="C44111" t="inlineStr">
        <is>
          <t>2020-08-21</t>
        </is>
      </c>
    </row>
    <row r="44112">
      <c r="A44112" s="1" t="n">
        <v>44111</v>
      </c>
      <c r="B44112">
        <f>TEXT(44111, "[$-0E0000]yyyy-mm-dd")</f>
        <v/>
      </c>
      <c r="C44112" t="inlineStr">
        <is>
          <t>2020-08-22</t>
        </is>
      </c>
    </row>
    <row r="44113">
      <c r="A44113" s="1" t="n">
        <v>44112</v>
      </c>
      <c r="B44113">
        <f>TEXT(44112, "[$-0E0000]yyyy-mm-dd")</f>
        <v/>
      </c>
      <c r="C44113" t="inlineStr">
        <is>
          <t>2020-08-23</t>
        </is>
      </c>
    </row>
    <row r="44114">
      <c r="A44114" s="1" t="n">
        <v>44113</v>
      </c>
      <c r="B44114">
        <f>TEXT(44113, "[$-0E0000]yyyy-mm-dd")</f>
        <v/>
      </c>
      <c r="C44114" t="inlineStr">
        <is>
          <t>2020-08-24</t>
        </is>
      </c>
    </row>
    <row r="44115">
      <c r="A44115" s="1" t="n">
        <v>44114</v>
      </c>
      <c r="B44115">
        <f>TEXT(44114, "[$-0E0000]yyyy-mm-dd")</f>
        <v/>
      </c>
      <c r="C44115" t="inlineStr">
        <is>
          <t>2020-08-25</t>
        </is>
      </c>
    </row>
    <row r="44116">
      <c r="A44116" s="1" t="n">
        <v>44115</v>
      </c>
      <c r="B44116">
        <f>TEXT(44115, "[$-0E0000]yyyy-mm-dd")</f>
        <v/>
      </c>
      <c r="C44116" t="inlineStr">
        <is>
          <t>2020-08-26</t>
        </is>
      </c>
    </row>
    <row r="44117">
      <c r="A44117" s="1" t="n">
        <v>44116</v>
      </c>
      <c r="B44117">
        <f>TEXT(44116, "[$-0E0000]yyyy-mm-dd")</f>
        <v/>
      </c>
      <c r="C44117" t="inlineStr">
        <is>
          <t>2020-08-27</t>
        </is>
      </c>
    </row>
    <row r="44118">
      <c r="A44118" s="1" t="n">
        <v>44117</v>
      </c>
      <c r="B44118">
        <f>TEXT(44117, "[$-0E0000]yyyy-mm-dd")</f>
        <v/>
      </c>
      <c r="C44118" t="inlineStr">
        <is>
          <t>2020-08-28</t>
        </is>
      </c>
    </row>
    <row r="44119">
      <c r="A44119" s="1" t="n">
        <v>44118</v>
      </c>
      <c r="B44119">
        <f>TEXT(44118, "[$-0E0000]yyyy-mm-dd")</f>
        <v/>
      </c>
      <c r="C44119" t="inlineStr">
        <is>
          <t>2020-08-29</t>
        </is>
      </c>
    </row>
    <row r="44120">
      <c r="A44120" s="1" t="n">
        <v>44119</v>
      </c>
      <c r="B44120">
        <f>TEXT(44119, "[$-0E0000]yyyy-mm-dd")</f>
        <v/>
      </c>
      <c r="C44120" t="inlineStr">
        <is>
          <t>2020-08-30</t>
        </is>
      </c>
    </row>
    <row r="44121">
      <c r="A44121" s="1" t="n">
        <v>44120</v>
      </c>
      <c r="B44121">
        <f>TEXT(44120, "[$-0E0000]yyyy-mm-dd")</f>
        <v/>
      </c>
      <c r="C44121" t="inlineStr">
        <is>
          <t>2020-09-01</t>
        </is>
      </c>
    </row>
    <row r="44122">
      <c r="A44122" s="1" t="n">
        <v>44121</v>
      </c>
      <c r="B44122">
        <f>TEXT(44121, "[$-0E0000]yyyy-mm-dd")</f>
        <v/>
      </c>
      <c r="C44122" t="inlineStr">
        <is>
          <t>2020-09-02</t>
        </is>
      </c>
    </row>
    <row r="44123">
      <c r="A44123" s="1" t="n">
        <v>44122</v>
      </c>
      <c r="B44123">
        <f>TEXT(44122, "[$-0E0000]yyyy-mm-dd")</f>
        <v/>
      </c>
      <c r="C44123" t="inlineStr">
        <is>
          <t>2020-09-03</t>
        </is>
      </c>
    </row>
    <row r="44124">
      <c r="A44124" s="1" t="n">
        <v>44123</v>
      </c>
      <c r="B44124">
        <f>TEXT(44123, "[$-0E0000]yyyy-mm-dd")</f>
        <v/>
      </c>
      <c r="C44124" t="inlineStr">
        <is>
          <t>2020-09-04</t>
        </is>
      </c>
    </row>
    <row r="44125">
      <c r="A44125" s="1" t="n">
        <v>44124</v>
      </c>
      <c r="B44125">
        <f>TEXT(44124, "[$-0E0000]yyyy-mm-dd")</f>
        <v/>
      </c>
      <c r="C44125" t="inlineStr">
        <is>
          <t>2020-09-05</t>
        </is>
      </c>
    </row>
    <row r="44126">
      <c r="A44126" s="1" t="n">
        <v>44125</v>
      </c>
      <c r="B44126">
        <f>TEXT(44125, "[$-0E0000]yyyy-mm-dd")</f>
        <v/>
      </c>
      <c r="C44126" t="inlineStr">
        <is>
          <t>2020-09-06</t>
        </is>
      </c>
    </row>
    <row r="44127">
      <c r="A44127" s="1" t="n">
        <v>44126</v>
      </c>
      <c r="B44127">
        <f>TEXT(44126, "[$-0E0000]yyyy-mm-dd")</f>
        <v/>
      </c>
      <c r="C44127" t="inlineStr">
        <is>
          <t>2020-09-07</t>
        </is>
      </c>
    </row>
    <row r="44128">
      <c r="A44128" s="1" t="n">
        <v>44127</v>
      </c>
      <c r="B44128">
        <f>TEXT(44127, "[$-0E0000]yyyy-mm-dd")</f>
        <v/>
      </c>
      <c r="C44128" t="inlineStr">
        <is>
          <t>2020-09-08</t>
        </is>
      </c>
    </row>
    <row r="44129">
      <c r="A44129" s="1" t="n">
        <v>44128</v>
      </c>
      <c r="B44129">
        <f>TEXT(44128, "[$-0E0000]yyyy-mm-dd")</f>
        <v/>
      </c>
      <c r="C44129" t="inlineStr">
        <is>
          <t>2020-09-09</t>
        </is>
      </c>
    </row>
    <row r="44130">
      <c r="A44130" s="1" t="n">
        <v>44129</v>
      </c>
      <c r="B44130">
        <f>TEXT(44129, "[$-0E0000]yyyy-mm-dd")</f>
        <v/>
      </c>
      <c r="C44130" t="inlineStr">
        <is>
          <t>2020-09-10</t>
        </is>
      </c>
    </row>
    <row r="44131">
      <c r="A44131" s="1" t="n">
        <v>44130</v>
      </c>
      <c r="B44131">
        <f>TEXT(44130, "[$-0E0000]yyyy-mm-dd")</f>
        <v/>
      </c>
      <c r="C44131" t="inlineStr">
        <is>
          <t>2020-09-11</t>
        </is>
      </c>
    </row>
    <row r="44132">
      <c r="A44132" s="1" t="n">
        <v>44131</v>
      </c>
      <c r="B44132">
        <f>TEXT(44131, "[$-0E0000]yyyy-mm-dd")</f>
        <v/>
      </c>
      <c r="C44132" t="inlineStr">
        <is>
          <t>2020-09-12</t>
        </is>
      </c>
    </row>
    <row r="44133">
      <c r="A44133" s="1" t="n">
        <v>44132</v>
      </c>
      <c r="B44133">
        <f>TEXT(44132, "[$-0E0000]yyyy-mm-dd")</f>
        <v/>
      </c>
      <c r="C44133" t="inlineStr">
        <is>
          <t>2020-09-13</t>
        </is>
      </c>
    </row>
    <row r="44134">
      <c r="A44134" s="1" t="n">
        <v>44133</v>
      </c>
      <c r="B44134">
        <f>TEXT(44133, "[$-0E0000]yyyy-mm-dd")</f>
        <v/>
      </c>
      <c r="C44134" t="inlineStr">
        <is>
          <t>2020-09-14</t>
        </is>
      </c>
    </row>
    <row r="44135">
      <c r="A44135" s="1" t="n">
        <v>44134</v>
      </c>
      <c r="B44135">
        <f>TEXT(44134, "[$-0E0000]yyyy-mm-dd")</f>
        <v/>
      </c>
      <c r="C44135" t="inlineStr">
        <is>
          <t>2020-09-15</t>
        </is>
      </c>
    </row>
    <row r="44136">
      <c r="A44136" s="1" t="n">
        <v>44135</v>
      </c>
      <c r="B44136">
        <f>TEXT(44135, "[$-0E0000]yyyy-mm-dd")</f>
        <v/>
      </c>
      <c r="C44136" t="inlineStr">
        <is>
          <t>2020-09-16</t>
        </is>
      </c>
    </row>
    <row r="44137">
      <c r="A44137" s="1" t="n">
        <v>44136</v>
      </c>
      <c r="B44137">
        <f>TEXT(44136, "[$-0E0000]yyyy-mm-dd")</f>
        <v/>
      </c>
      <c r="C44137" t="inlineStr">
        <is>
          <t>2020-09-17</t>
        </is>
      </c>
    </row>
    <row r="44138">
      <c r="A44138" s="1" t="n">
        <v>44137</v>
      </c>
      <c r="B44138">
        <f>TEXT(44137, "[$-0E0000]yyyy-mm-dd")</f>
        <v/>
      </c>
      <c r="C44138" t="inlineStr">
        <is>
          <t>2020-09-18</t>
        </is>
      </c>
    </row>
    <row r="44139">
      <c r="A44139" s="1" t="n">
        <v>44138</v>
      </c>
      <c r="B44139">
        <f>TEXT(44138, "[$-0E0000]yyyy-mm-dd")</f>
        <v/>
      </c>
      <c r="C44139" t="inlineStr">
        <is>
          <t>2020-09-19</t>
        </is>
      </c>
    </row>
    <row r="44140">
      <c r="A44140" s="1" t="n">
        <v>44139</v>
      </c>
      <c r="B44140">
        <f>TEXT(44139, "[$-0E0000]yyyy-mm-dd")</f>
        <v/>
      </c>
      <c r="C44140" t="inlineStr">
        <is>
          <t>2020-09-20</t>
        </is>
      </c>
    </row>
    <row r="44141">
      <c r="A44141" s="1" t="n">
        <v>44140</v>
      </c>
      <c r="B44141">
        <f>TEXT(44140, "[$-0E0000]yyyy-mm-dd")</f>
        <v/>
      </c>
      <c r="C44141" t="inlineStr">
        <is>
          <t>2020-09-21</t>
        </is>
      </c>
    </row>
    <row r="44142">
      <c r="A44142" s="1" t="n">
        <v>44141</v>
      </c>
      <c r="B44142">
        <f>TEXT(44141, "[$-0E0000]yyyy-mm-dd")</f>
        <v/>
      </c>
      <c r="C44142" t="inlineStr">
        <is>
          <t>2020-09-22</t>
        </is>
      </c>
    </row>
    <row r="44143">
      <c r="A44143" s="1" t="n">
        <v>44142</v>
      </c>
      <c r="B44143">
        <f>TEXT(44142, "[$-0E0000]yyyy-mm-dd")</f>
        <v/>
      </c>
      <c r="C44143" t="inlineStr">
        <is>
          <t>2020-09-23</t>
        </is>
      </c>
    </row>
    <row r="44144">
      <c r="A44144" s="1" t="n">
        <v>44143</v>
      </c>
      <c r="B44144">
        <f>TEXT(44143, "[$-0E0000]yyyy-mm-dd")</f>
        <v/>
      </c>
      <c r="C44144" t="inlineStr">
        <is>
          <t>2020-09-24</t>
        </is>
      </c>
    </row>
    <row r="44145">
      <c r="A44145" s="1" t="n">
        <v>44144</v>
      </c>
      <c r="B44145">
        <f>TEXT(44144, "[$-0E0000]yyyy-mm-dd")</f>
        <v/>
      </c>
      <c r="C44145" t="inlineStr">
        <is>
          <t>2020-09-25</t>
        </is>
      </c>
    </row>
    <row r="44146">
      <c r="A44146" s="1" t="n">
        <v>44145</v>
      </c>
      <c r="B44146">
        <f>TEXT(44145, "[$-0E0000]yyyy-mm-dd")</f>
        <v/>
      </c>
      <c r="C44146" t="inlineStr">
        <is>
          <t>2020-09-26</t>
        </is>
      </c>
    </row>
    <row r="44147">
      <c r="A44147" s="1" t="n">
        <v>44146</v>
      </c>
      <c r="B44147">
        <f>TEXT(44146, "[$-0E0000]yyyy-mm-dd")</f>
        <v/>
      </c>
      <c r="C44147" t="inlineStr">
        <is>
          <t>2020-09-27</t>
        </is>
      </c>
    </row>
    <row r="44148">
      <c r="A44148" s="1" t="n">
        <v>44147</v>
      </c>
      <c r="B44148">
        <f>TEXT(44147, "[$-0E0000]yyyy-mm-dd")</f>
        <v/>
      </c>
      <c r="C44148" t="inlineStr">
        <is>
          <t>2020-09-28</t>
        </is>
      </c>
    </row>
    <row r="44149">
      <c r="A44149" s="1" t="n">
        <v>44148</v>
      </c>
      <c r="B44149">
        <f>TEXT(44148, "[$-0E0000]yyyy-mm-dd")</f>
        <v/>
      </c>
      <c r="C44149" t="inlineStr">
        <is>
          <t>2020-09-29</t>
        </is>
      </c>
    </row>
    <row r="44150">
      <c r="A44150" s="1" t="n">
        <v>44149</v>
      </c>
      <c r="B44150">
        <f>TEXT(44149, "[$-0E0000]yyyy-mm-dd")</f>
        <v/>
      </c>
      <c r="C44150" t="inlineStr">
        <is>
          <t>2020-10-01</t>
        </is>
      </c>
    </row>
    <row r="44151">
      <c r="A44151" s="1" t="n">
        <v>44150</v>
      </c>
      <c r="B44151">
        <f>TEXT(44150, "[$-0E0000]yyyy-mm-dd")</f>
        <v/>
      </c>
      <c r="C44151" t="inlineStr">
        <is>
          <t>2020-10-02</t>
        </is>
      </c>
    </row>
    <row r="44152">
      <c r="A44152" s="1" t="n">
        <v>44151</v>
      </c>
      <c r="B44152">
        <f>TEXT(44151, "[$-0E0000]yyyy-mm-dd")</f>
        <v/>
      </c>
      <c r="C44152" t="inlineStr">
        <is>
          <t>2020-10-03</t>
        </is>
      </c>
    </row>
    <row r="44153">
      <c r="A44153" s="1" t="n">
        <v>44152</v>
      </c>
      <c r="B44153">
        <f>TEXT(44152, "[$-0E0000]yyyy-mm-dd")</f>
        <v/>
      </c>
      <c r="C44153" t="inlineStr">
        <is>
          <t>2020-10-04</t>
        </is>
      </c>
    </row>
    <row r="44154">
      <c r="A44154" s="1" t="n">
        <v>44153</v>
      </c>
      <c r="B44154">
        <f>TEXT(44153, "[$-0E0000]yyyy-mm-dd")</f>
        <v/>
      </c>
      <c r="C44154" t="inlineStr">
        <is>
          <t>2020-10-05</t>
        </is>
      </c>
    </row>
    <row r="44155">
      <c r="A44155" s="1" t="n">
        <v>44154</v>
      </c>
      <c r="B44155">
        <f>TEXT(44154, "[$-0E0000]yyyy-mm-dd")</f>
        <v/>
      </c>
      <c r="C44155" t="inlineStr">
        <is>
          <t>2020-10-06</t>
        </is>
      </c>
    </row>
    <row r="44156">
      <c r="A44156" s="1" t="n">
        <v>44155</v>
      </c>
      <c r="B44156">
        <f>TEXT(44155, "[$-0E0000]yyyy-mm-dd")</f>
        <v/>
      </c>
      <c r="C44156" t="inlineStr">
        <is>
          <t>2020-10-07</t>
        </is>
      </c>
    </row>
    <row r="44157">
      <c r="A44157" s="1" t="n">
        <v>44156</v>
      </c>
      <c r="B44157">
        <f>TEXT(44156, "[$-0E0000]yyyy-mm-dd")</f>
        <v/>
      </c>
      <c r="C44157" t="inlineStr">
        <is>
          <t>2020-10-08</t>
        </is>
      </c>
    </row>
    <row r="44158">
      <c r="A44158" s="1" t="n">
        <v>44157</v>
      </c>
      <c r="B44158">
        <f>TEXT(44157, "[$-0E0000]yyyy-mm-dd")</f>
        <v/>
      </c>
      <c r="C44158" t="inlineStr">
        <is>
          <t>2020-10-09</t>
        </is>
      </c>
    </row>
    <row r="44159">
      <c r="A44159" s="1" t="n">
        <v>44158</v>
      </c>
      <c r="B44159">
        <f>TEXT(44158, "[$-0E0000]yyyy-mm-dd")</f>
        <v/>
      </c>
      <c r="C44159" t="inlineStr">
        <is>
          <t>2020-10-10</t>
        </is>
      </c>
    </row>
    <row r="44160">
      <c r="A44160" s="1" t="n">
        <v>44159</v>
      </c>
      <c r="B44160">
        <f>TEXT(44159, "[$-0E0000]yyyy-mm-dd")</f>
        <v/>
      </c>
      <c r="C44160" t="inlineStr">
        <is>
          <t>2020-10-11</t>
        </is>
      </c>
    </row>
    <row r="44161">
      <c r="A44161" s="1" t="n">
        <v>44160</v>
      </c>
      <c r="B44161">
        <f>TEXT(44160, "[$-0E0000]yyyy-mm-dd")</f>
        <v/>
      </c>
      <c r="C44161" t="inlineStr">
        <is>
          <t>2020-10-12</t>
        </is>
      </c>
    </row>
    <row r="44162">
      <c r="A44162" s="1" t="n">
        <v>44161</v>
      </c>
      <c r="B44162">
        <f>TEXT(44161, "[$-0E0000]yyyy-mm-dd")</f>
        <v/>
      </c>
      <c r="C44162" t="inlineStr">
        <is>
          <t>2020-10-13</t>
        </is>
      </c>
    </row>
    <row r="44163">
      <c r="A44163" s="1" t="n">
        <v>44162</v>
      </c>
      <c r="B44163">
        <f>TEXT(44162, "[$-0E0000]yyyy-mm-dd")</f>
        <v/>
      </c>
      <c r="C44163" t="inlineStr">
        <is>
          <t>2020-10-14</t>
        </is>
      </c>
    </row>
    <row r="44164">
      <c r="A44164" s="1" t="n">
        <v>44163</v>
      </c>
      <c r="B44164">
        <f>TEXT(44163, "[$-0E0000]yyyy-mm-dd")</f>
        <v/>
      </c>
      <c r="C44164" t="inlineStr">
        <is>
          <t>2020-10-15</t>
        </is>
      </c>
    </row>
    <row r="44165">
      <c r="A44165" s="1" t="n">
        <v>44164</v>
      </c>
      <c r="B44165">
        <f>TEXT(44164, "[$-0E0000]yyyy-mm-dd")</f>
        <v/>
      </c>
      <c r="C44165" t="inlineStr">
        <is>
          <t>2020-10-16</t>
        </is>
      </c>
    </row>
    <row r="44166">
      <c r="A44166" s="1" t="n">
        <v>44165</v>
      </c>
      <c r="B44166">
        <f>TEXT(44165, "[$-0E0000]yyyy-mm-dd")</f>
        <v/>
      </c>
      <c r="C44166" t="inlineStr">
        <is>
          <t>2020-10-17</t>
        </is>
      </c>
    </row>
    <row r="44167">
      <c r="A44167" s="1" t="n">
        <v>44166</v>
      </c>
      <c r="B44167">
        <f>TEXT(44166, "[$-0E0000]yyyy-mm-dd")</f>
        <v/>
      </c>
      <c r="C44167" t="inlineStr">
        <is>
          <t>2020-10-18</t>
        </is>
      </c>
    </row>
    <row r="44168">
      <c r="A44168" s="1" t="n">
        <v>44167</v>
      </c>
      <c r="B44168">
        <f>TEXT(44167, "[$-0E0000]yyyy-mm-dd")</f>
        <v/>
      </c>
      <c r="C44168" t="inlineStr">
        <is>
          <t>2020-10-19</t>
        </is>
      </c>
    </row>
    <row r="44169">
      <c r="A44169" s="1" t="n">
        <v>44168</v>
      </c>
      <c r="B44169">
        <f>TEXT(44168, "[$-0E0000]yyyy-mm-dd")</f>
        <v/>
      </c>
      <c r="C44169" t="inlineStr">
        <is>
          <t>2020-10-20</t>
        </is>
      </c>
    </row>
    <row r="44170">
      <c r="A44170" s="1" t="n">
        <v>44169</v>
      </c>
      <c r="B44170">
        <f>TEXT(44169, "[$-0E0000]yyyy-mm-dd")</f>
        <v/>
      </c>
      <c r="C44170" t="inlineStr">
        <is>
          <t>2020-10-21</t>
        </is>
      </c>
    </row>
    <row r="44171">
      <c r="A44171" s="1" t="n">
        <v>44170</v>
      </c>
      <c r="B44171">
        <f>TEXT(44170, "[$-0E0000]yyyy-mm-dd")</f>
        <v/>
      </c>
      <c r="C44171" t="inlineStr">
        <is>
          <t>2020-10-22</t>
        </is>
      </c>
    </row>
    <row r="44172">
      <c r="A44172" s="1" t="n">
        <v>44171</v>
      </c>
      <c r="B44172">
        <f>TEXT(44171, "[$-0E0000]yyyy-mm-dd")</f>
        <v/>
      </c>
      <c r="C44172" t="inlineStr">
        <is>
          <t>2020-10-23</t>
        </is>
      </c>
    </row>
    <row r="44173">
      <c r="A44173" s="1" t="n">
        <v>44172</v>
      </c>
      <c r="B44173">
        <f>TEXT(44172, "[$-0E0000]yyyy-mm-dd")</f>
        <v/>
      </c>
      <c r="C44173" t="inlineStr">
        <is>
          <t>2020-10-24</t>
        </is>
      </c>
    </row>
    <row r="44174">
      <c r="A44174" s="1" t="n">
        <v>44173</v>
      </c>
      <c r="B44174">
        <f>TEXT(44173, "[$-0E0000]yyyy-mm-dd")</f>
        <v/>
      </c>
      <c r="C44174" t="inlineStr">
        <is>
          <t>2020-10-25</t>
        </is>
      </c>
    </row>
    <row r="44175">
      <c r="A44175" s="1" t="n">
        <v>44174</v>
      </c>
      <c r="B44175">
        <f>TEXT(44174, "[$-0E0000]yyyy-mm-dd")</f>
        <v/>
      </c>
      <c r="C44175" t="inlineStr">
        <is>
          <t>2020-10-26</t>
        </is>
      </c>
    </row>
    <row r="44176">
      <c r="A44176" s="1" t="n">
        <v>44175</v>
      </c>
      <c r="B44176">
        <f>TEXT(44175, "[$-0E0000]yyyy-mm-dd")</f>
        <v/>
      </c>
      <c r="C44176" t="inlineStr">
        <is>
          <t>2020-10-27</t>
        </is>
      </c>
    </row>
    <row r="44177">
      <c r="A44177" s="1" t="n">
        <v>44176</v>
      </c>
      <c r="B44177">
        <f>TEXT(44176, "[$-0E0000]yyyy-mm-dd")</f>
        <v/>
      </c>
      <c r="C44177" t="inlineStr">
        <is>
          <t>2020-10-28</t>
        </is>
      </c>
    </row>
    <row r="44178">
      <c r="A44178" s="1" t="n">
        <v>44177</v>
      </c>
      <c r="B44178">
        <f>TEXT(44177, "[$-0E0000]yyyy-mm-dd")</f>
        <v/>
      </c>
      <c r="C44178" t="inlineStr">
        <is>
          <t>2020-10-29</t>
        </is>
      </c>
    </row>
    <row r="44179">
      <c r="A44179" s="1" t="n">
        <v>44178</v>
      </c>
      <c r="B44179">
        <f>TEXT(44178, "[$-0E0000]yyyy-mm-dd")</f>
        <v/>
      </c>
      <c r="C44179" t="inlineStr">
        <is>
          <t>2020-10-30</t>
        </is>
      </c>
    </row>
    <row r="44180">
      <c r="A44180" s="1" t="n">
        <v>44179</v>
      </c>
      <c r="B44180">
        <f>TEXT(44179, "[$-0E0000]yyyy-mm-dd")</f>
        <v/>
      </c>
      <c r="C44180" t="inlineStr">
        <is>
          <t>2020-11-01</t>
        </is>
      </c>
    </row>
    <row r="44181">
      <c r="A44181" s="1" t="n">
        <v>44180</v>
      </c>
      <c r="B44181">
        <f>TEXT(44180, "[$-0E0000]yyyy-mm-dd")</f>
        <v/>
      </c>
      <c r="C44181" t="inlineStr">
        <is>
          <t>2020-11-02</t>
        </is>
      </c>
    </row>
    <row r="44182">
      <c r="A44182" s="1" t="n">
        <v>44181</v>
      </c>
      <c r="B44182">
        <f>TEXT(44181, "[$-0E0000]yyyy-mm-dd")</f>
        <v/>
      </c>
      <c r="C44182" t="inlineStr">
        <is>
          <t>2020-11-03</t>
        </is>
      </c>
    </row>
    <row r="44183">
      <c r="A44183" s="1" t="n">
        <v>44182</v>
      </c>
      <c r="B44183">
        <f>TEXT(44182, "[$-0E0000]yyyy-mm-dd")</f>
        <v/>
      </c>
      <c r="C44183" t="inlineStr">
        <is>
          <t>2020-11-04</t>
        </is>
      </c>
    </row>
    <row r="44184">
      <c r="A44184" s="1" t="n">
        <v>44183</v>
      </c>
      <c r="B44184">
        <f>TEXT(44183, "[$-0E0000]yyyy-mm-dd")</f>
        <v/>
      </c>
      <c r="C44184" t="inlineStr">
        <is>
          <t>2020-11-05</t>
        </is>
      </c>
    </row>
    <row r="44185">
      <c r="A44185" s="1" t="n">
        <v>44184</v>
      </c>
      <c r="B44185">
        <f>TEXT(44184, "[$-0E0000]yyyy-mm-dd")</f>
        <v/>
      </c>
      <c r="C44185" t="inlineStr">
        <is>
          <t>2020-11-06</t>
        </is>
      </c>
    </row>
    <row r="44186">
      <c r="A44186" s="1" t="n">
        <v>44185</v>
      </c>
      <c r="B44186">
        <f>TEXT(44185, "[$-0E0000]yyyy-mm-dd")</f>
        <v/>
      </c>
      <c r="C44186" t="inlineStr">
        <is>
          <t>2020-11-07</t>
        </is>
      </c>
    </row>
    <row r="44187">
      <c r="A44187" s="1" t="n">
        <v>44186</v>
      </c>
      <c r="B44187">
        <f>TEXT(44186, "[$-0E0000]yyyy-mm-dd")</f>
        <v/>
      </c>
      <c r="C44187" t="inlineStr">
        <is>
          <t>2020-11-08</t>
        </is>
      </c>
    </row>
    <row r="44188">
      <c r="A44188" s="1" t="n">
        <v>44187</v>
      </c>
      <c r="B44188">
        <f>TEXT(44187, "[$-0E0000]yyyy-mm-dd")</f>
        <v/>
      </c>
      <c r="C44188" t="inlineStr">
        <is>
          <t>2020-11-09</t>
        </is>
      </c>
    </row>
    <row r="44189">
      <c r="A44189" s="1" t="n">
        <v>44188</v>
      </c>
      <c r="B44189">
        <f>TEXT(44188, "[$-0E0000]yyyy-mm-dd")</f>
        <v/>
      </c>
      <c r="C44189" t="inlineStr">
        <is>
          <t>2020-11-10</t>
        </is>
      </c>
    </row>
    <row r="44190">
      <c r="A44190" s="1" t="n">
        <v>44189</v>
      </c>
      <c r="B44190">
        <f>TEXT(44189, "[$-0E0000]yyyy-mm-dd")</f>
        <v/>
      </c>
      <c r="C44190" t="inlineStr">
        <is>
          <t>2020-11-11</t>
        </is>
      </c>
    </row>
    <row r="44191">
      <c r="A44191" s="1" t="n">
        <v>44190</v>
      </c>
      <c r="B44191">
        <f>TEXT(44190, "[$-0E0000]yyyy-mm-dd")</f>
        <v/>
      </c>
      <c r="C44191" t="inlineStr">
        <is>
          <t>2020-11-12</t>
        </is>
      </c>
    </row>
    <row r="44192">
      <c r="A44192" s="1" t="n">
        <v>44191</v>
      </c>
      <c r="B44192">
        <f>TEXT(44191, "[$-0E0000]yyyy-mm-dd")</f>
        <v/>
      </c>
      <c r="C44192" t="inlineStr">
        <is>
          <t>2020-11-13</t>
        </is>
      </c>
    </row>
    <row r="44193">
      <c r="A44193" s="1" t="n">
        <v>44192</v>
      </c>
      <c r="B44193">
        <f>TEXT(44192, "[$-0E0000]yyyy-mm-dd")</f>
        <v/>
      </c>
      <c r="C44193" t="inlineStr">
        <is>
          <t>2020-11-14</t>
        </is>
      </c>
    </row>
    <row r="44194">
      <c r="A44194" s="1" t="n">
        <v>44193</v>
      </c>
      <c r="B44194">
        <f>TEXT(44193, "[$-0E0000]yyyy-mm-dd")</f>
        <v/>
      </c>
      <c r="C44194" t="inlineStr">
        <is>
          <t>2020-11-15</t>
        </is>
      </c>
    </row>
    <row r="44195">
      <c r="A44195" s="1" t="n">
        <v>44194</v>
      </c>
      <c r="B44195">
        <f>TEXT(44194, "[$-0E0000]yyyy-mm-dd")</f>
        <v/>
      </c>
      <c r="C44195" t="inlineStr">
        <is>
          <t>2020-11-16</t>
        </is>
      </c>
    </row>
    <row r="44196">
      <c r="A44196" s="1" t="n">
        <v>44195</v>
      </c>
      <c r="B44196">
        <f>TEXT(44195, "[$-0E0000]yyyy-mm-dd")</f>
        <v/>
      </c>
      <c r="C44196" t="inlineStr">
        <is>
          <t>2020-11-17</t>
        </is>
      </c>
    </row>
    <row r="44197">
      <c r="A44197" s="1" t="n">
        <v>44196</v>
      </c>
      <c r="B44197">
        <f>TEXT(44196, "[$-0E0000]yyyy-mm-dd")</f>
        <v/>
      </c>
      <c r="C44197" t="inlineStr">
        <is>
          <t>2020-11-18</t>
        </is>
      </c>
    </row>
    <row r="44198">
      <c r="A44198" s="1" t="n">
        <v>44197</v>
      </c>
      <c r="B44198">
        <f>TEXT(44197, "[$-0E0000]yyyy-mm-dd")</f>
        <v/>
      </c>
      <c r="C44198" t="inlineStr">
        <is>
          <t>2020-11-19</t>
        </is>
      </c>
    </row>
    <row r="44199">
      <c r="A44199" s="1" t="n">
        <v>44198</v>
      </c>
      <c r="B44199">
        <f>TEXT(44198, "[$-0E0000]yyyy-mm-dd")</f>
        <v/>
      </c>
      <c r="C44199" t="inlineStr">
        <is>
          <t>2020-11-20</t>
        </is>
      </c>
    </row>
    <row r="44200">
      <c r="A44200" s="1" t="n">
        <v>44199</v>
      </c>
      <c r="B44200">
        <f>TEXT(44199, "[$-0E0000]yyyy-mm-dd")</f>
        <v/>
      </c>
      <c r="C44200" t="inlineStr">
        <is>
          <t>2020-11-21</t>
        </is>
      </c>
    </row>
    <row r="44201">
      <c r="A44201" s="1" t="n">
        <v>44200</v>
      </c>
      <c r="B44201">
        <f>TEXT(44200, "[$-0E0000]yyyy-mm-dd")</f>
        <v/>
      </c>
      <c r="C44201" t="inlineStr">
        <is>
          <t>2020-11-22</t>
        </is>
      </c>
    </row>
    <row r="44202">
      <c r="A44202" s="1" t="n">
        <v>44201</v>
      </c>
      <c r="B44202">
        <f>TEXT(44201, "[$-0E0000]yyyy-mm-dd")</f>
        <v/>
      </c>
      <c r="C44202" t="inlineStr">
        <is>
          <t>2020-11-23</t>
        </is>
      </c>
    </row>
    <row r="44203">
      <c r="A44203" s="1" t="n">
        <v>44202</v>
      </c>
      <c r="B44203">
        <f>TEXT(44202, "[$-0E0000]yyyy-mm-dd")</f>
        <v/>
      </c>
      <c r="C44203" t="inlineStr">
        <is>
          <t>2020-11-24</t>
        </is>
      </c>
    </row>
    <row r="44204">
      <c r="A44204" s="1" t="n">
        <v>44203</v>
      </c>
      <c r="B44204">
        <f>TEXT(44203, "[$-0E0000]yyyy-mm-dd")</f>
        <v/>
      </c>
      <c r="C44204" t="inlineStr">
        <is>
          <t>2020-11-25</t>
        </is>
      </c>
    </row>
    <row r="44205">
      <c r="A44205" s="1" t="n">
        <v>44204</v>
      </c>
      <c r="B44205">
        <f>TEXT(44204, "[$-0E0000]yyyy-mm-dd")</f>
        <v/>
      </c>
      <c r="C44205" t="inlineStr">
        <is>
          <t>2020-11-26</t>
        </is>
      </c>
    </row>
    <row r="44206">
      <c r="A44206" s="1" t="n">
        <v>44205</v>
      </c>
      <c r="B44206">
        <f>TEXT(44205, "[$-0E0000]yyyy-mm-dd")</f>
        <v/>
      </c>
      <c r="C44206" t="inlineStr">
        <is>
          <t>2020-11-27</t>
        </is>
      </c>
    </row>
    <row r="44207">
      <c r="A44207" s="1" t="n">
        <v>44206</v>
      </c>
      <c r="B44207">
        <f>TEXT(44206, "[$-0E0000]yyyy-mm-dd")</f>
        <v/>
      </c>
      <c r="C44207" t="inlineStr">
        <is>
          <t>2020-11-28</t>
        </is>
      </c>
    </row>
    <row r="44208">
      <c r="A44208" s="1" t="n">
        <v>44207</v>
      </c>
      <c r="B44208">
        <f>TEXT(44207, "[$-0E0000]yyyy-mm-dd")</f>
        <v/>
      </c>
      <c r="C44208" t="inlineStr">
        <is>
          <t>2020-11-29</t>
        </is>
      </c>
    </row>
    <row r="44209">
      <c r="A44209" s="1" t="n">
        <v>44208</v>
      </c>
      <c r="B44209">
        <f>TEXT(44208, "[$-0E0000]yyyy-mm-dd")</f>
        <v/>
      </c>
      <c r="C44209" t="inlineStr">
        <is>
          <t>2020-12-01</t>
        </is>
      </c>
    </row>
    <row r="44210">
      <c r="A44210" s="1" t="n">
        <v>44209</v>
      </c>
      <c r="B44210">
        <f>TEXT(44209, "[$-0E0000]yyyy-mm-dd")</f>
        <v/>
      </c>
      <c r="C44210" t="inlineStr">
        <is>
          <t>2020-12-02</t>
        </is>
      </c>
    </row>
    <row r="44211">
      <c r="A44211" s="1" t="n">
        <v>44210</v>
      </c>
      <c r="B44211">
        <f>TEXT(44210, "[$-0E0000]yyyy-mm-dd")</f>
        <v/>
      </c>
      <c r="C44211" t="inlineStr">
        <is>
          <t>2020-12-03</t>
        </is>
      </c>
    </row>
    <row r="44212">
      <c r="A44212" s="1" t="n">
        <v>44211</v>
      </c>
      <c r="B44212">
        <f>TEXT(44211, "[$-0E0000]yyyy-mm-dd")</f>
        <v/>
      </c>
      <c r="C44212" t="inlineStr">
        <is>
          <t>2020-12-04</t>
        </is>
      </c>
    </row>
    <row r="44213">
      <c r="A44213" s="1" t="n">
        <v>44212</v>
      </c>
      <c r="B44213">
        <f>TEXT(44212, "[$-0E0000]yyyy-mm-dd")</f>
        <v/>
      </c>
      <c r="C44213" t="inlineStr">
        <is>
          <t>2020-12-05</t>
        </is>
      </c>
    </row>
    <row r="44214">
      <c r="A44214" s="1" t="n">
        <v>44213</v>
      </c>
      <c r="B44214">
        <f>TEXT(44213, "[$-0E0000]yyyy-mm-dd")</f>
        <v/>
      </c>
      <c r="C44214" t="inlineStr">
        <is>
          <t>2020-12-06</t>
        </is>
      </c>
    </row>
    <row r="44215">
      <c r="A44215" s="1" t="n">
        <v>44214</v>
      </c>
      <c r="B44215">
        <f>TEXT(44214, "[$-0E0000]yyyy-mm-dd")</f>
        <v/>
      </c>
      <c r="C44215" t="inlineStr">
        <is>
          <t>2020-12-07</t>
        </is>
      </c>
    </row>
    <row r="44216">
      <c r="A44216" s="1" t="n">
        <v>44215</v>
      </c>
      <c r="B44216">
        <f>TEXT(44215, "[$-0E0000]yyyy-mm-dd")</f>
        <v/>
      </c>
      <c r="C44216" t="inlineStr">
        <is>
          <t>2020-12-08</t>
        </is>
      </c>
    </row>
    <row r="44217">
      <c r="A44217" s="1" t="n">
        <v>44216</v>
      </c>
      <c r="B44217">
        <f>TEXT(44216, "[$-0E0000]yyyy-mm-dd")</f>
        <v/>
      </c>
      <c r="C44217" t="inlineStr">
        <is>
          <t>2020-12-09</t>
        </is>
      </c>
    </row>
    <row r="44218">
      <c r="A44218" s="1" t="n">
        <v>44217</v>
      </c>
      <c r="B44218">
        <f>TEXT(44217, "[$-0E0000]yyyy-mm-dd")</f>
        <v/>
      </c>
      <c r="C44218" t="inlineStr">
        <is>
          <t>2020-12-10</t>
        </is>
      </c>
    </row>
    <row r="44219">
      <c r="A44219" s="1" t="n">
        <v>44218</v>
      </c>
      <c r="B44219">
        <f>TEXT(44218, "[$-0E0000]yyyy-mm-dd")</f>
        <v/>
      </c>
      <c r="C44219" t="inlineStr">
        <is>
          <t>2020-12-11</t>
        </is>
      </c>
    </row>
    <row r="44220">
      <c r="A44220" s="1" t="n">
        <v>44219</v>
      </c>
      <c r="B44220">
        <f>TEXT(44219, "[$-0E0000]yyyy-mm-dd")</f>
        <v/>
      </c>
      <c r="C44220" t="inlineStr">
        <is>
          <t>2020-12-12</t>
        </is>
      </c>
    </row>
    <row r="44221">
      <c r="A44221" s="1" t="n">
        <v>44220</v>
      </c>
      <c r="B44221">
        <f>TEXT(44220, "[$-0E0000]yyyy-mm-dd")</f>
        <v/>
      </c>
      <c r="C44221" t="inlineStr">
        <is>
          <t>2020-12-13</t>
        </is>
      </c>
    </row>
    <row r="44222">
      <c r="A44222" s="1" t="n">
        <v>44221</v>
      </c>
      <c r="B44222">
        <f>TEXT(44221, "[$-0E0000]yyyy-mm-dd")</f>
        <v/>
      </c>
      <c r="C44222" t="inlineStr">
        <is>
          <t>2020-12-14</t>
        </is>
      </c>
    </row>
    <row r="44223">
      <c r="A44223" s="1" t="n">
        <v>44222</v>
      </c>
      <c r="B44223">
        <f>TEXT(44222, "[$-0E0000]yyyy-mm-dd")</f>
        <v/>
      </c>
      <c r="C44223" t="inlineStr">
        <is>
          <t>2020-12-15</t>
        </is>
      </c>
    </row>
    <row r="44224">
      <c r="A44224" s="1" t="n">
        <v>44223</v>
      </c>
      <c r="B44224">
        <f>TEXT(44223, "[$-0E0000]yyyy-mm-dd")</f>
        <v/>
      </c>
      <c r="C44224" t="inlineStr">
        <is>
          <t>2020-12-16</t>
        </is>
      </c>
    </row>
    <row r="44225">
      <c r="A44225" s="1" t="n">
        <v>44224</v>
      </c>
      <c r="B44225">
        <f>TEXT(44224, "[$-0E0000]yyyy-mm-dd")</f>
        <v/>
      </c>
      <c r="C44225" t="inlineStr">
        <is>
          <t>2020-12-17</t>
        </is>
      </c>
    </row>
    <row r="44226">
      <c r="A44226" s="1" t="n">
        <v>44225</v>
      </c>
      <c r="B44226">
        <f>TEXT(44225, "[$-0E0000]yyyy-mm-dd")</f>
        <v/>
      </c>
      <c r="C44226" t="inlineStr">
        <is>
          <t>2020-12-18</t>
        </is>
      </c>
    </row>
    <row r="44227">
      <c r="A44227" s="1" t="n">
        <v>44226</v>
      </c>
      <c r="B44227">
        <f>TEXT(44226, "[$-0E0000]yyyy-mm-dd")</f>
        <v/>
      </c>
      <c r="C44227" t="inlineStr">
        <is>
          <t>2020-12-19</t>
        </is>
      </c>
    </row>
    <row r="44228">
      <c r="A44228" s="1" t="n">
        <v>44227</v>
      </c>
      <c r="B44228">
        <f>TEXT(44227, "[$-0E0000]yyyy-mm-dd")</f>
        <v/>
      </c>
      <c r="C44228" t="inlineStr">
        <is>
          <t>2020-12-20</t>
        </is>
      </c>
    </row>
    <row r="44229">
      <c r="A44229" s="1" t="n">
        <v>44228</v>
      </c>
      <c r="B44229">
        <f>TEXT(44228, "[$-0E0000]yyyy-mm-dd")</f>
        <v/>
      </c>
      <c r="C44229" t="inlineStr">
        <is>
          <t>2020-12-21</t>
        </is>
      </c>
    </row>
    <row r="44230">
      <c r="A44230" s="1" t="n">
        <v>44229</v>
      </c>
      <c r="B44230">
        <f>TEXT(44229, "[$-0E0000]yyyy-mm-dd")</f>
        <v/>
      </c>
      <c r="C44230" t="inlineStr">
        <is>
          <t>2020-12-22</t>
        </is>
      </c>
    </row>
    <row r="44231">
      <c r="A44231" s="1" t="n">
        <v>44230</v>
      </c>
      <c r="B44231">
        <f>TEXT(44230, "[$-0E0000]yyyy-mm-dd")</f>
        <v/>
      </c>
      <c r="C44231" t="inlineStr">
        <is>
          <t>2020-12-23</t>
        </is>
      </c>
    </row>
    <row r="44232">
      <c r="A44232" s="1" t="n">
        <v>44231</v>
      </c>
      <c r="B44232">
        <f>TEXT(44231, "[$-0E0000]yyyy-mm-dd")</f>
        <v/>
      </c>
      <c r="C44232" t="inlineStr">
        <is>
          <t>2020-12-24</t>
        </is>
      </c>
    </row>
    <row r="44233">
      <c r="A44233" s="1" t="n">
        <v>44232</v>
      </c>
      <c r="B44233">
        <f>TEXT(44232, "[$-0E0000]yyyy-mm-dd")</f>
        <v/>
      </c>
      <c r="C44233" t="inlineStr">
        <is>
          <t>2020-12-25</t>
        </is>
      </c>
    </row>
    <row r="44234">
      <c r="A44234" s="1" t="n">
        <v>44233</v>
      </c>
      <c r="B44234">
        <f>TEXT(44233, "[$-0E0000]yyyy-mm-dd")</f>
        <v/>
      </c>
      <c r="C44234" t="inlineStr">
        <is>
          <t>2020-12-26</t>
        </is>
      </c>
    </row>
    <row r="44235">
      <c r="A44235" s="1" t="n">
        <v>44234</v>
      </c>
      <c r="B44235">
        <f>TEXT(44234, "[$-0E0000]yyyy-mm-dd")</f>
        <v/>
      </c>
      <c r="C44235" t="inlineStr">
        <is>
          <t>2020-12-27</t>
        </is>
      </c>
    </row>
    <row r="44236">
      <c r="A44236" s="1" t="n">
        <v>44235</v>
      </c>
      <c r="B44236">
        <f>TEXT(44235, "[$-0E0000]yyyy-mm-dd")</f>
        <v/>
      </c>
      <c r="C44236" t="inlineStr">
        <is>
          <t>2020-12-28</t>
        </is>
      </c>
    </row>
    <row r="44237">
      <c r="A44237" s="1" t="n">
        <v>44236</v>
      </c>
      <c r="B44237">
        <f>TEXT(44236, "[$-0E0000]yyyy-mm-dd")</f>
        <v/>
      </c>
      <c r="C44237" t="inlineStr">
        <is>
          <t>2020-12-29</t>
        </is>
      </c>
    </row>
    <row r="44238">
      <c r="A44238" s="1" t="n">
        <v>44237</v>
      </c>
      <c r="B44238">
        <f>TEXT(44237, "[$-0E0000]yyyy-mm-dd")</f>
        <v/>
      </c>
      <c r="C44238" t="inlineStr">
        <is>
          <t>2020-12-30</t>
        </is>
      </c>
    </row>
    <row r="44239">
      <c r="A44239" s="1" t="n">
        <v>44238</v>
      </c>
      <c r="B44239">
        <f>TEXT(44238, "[$-0E0000]yyyy-mm-dd")</f>
        <v/>
      </c>
      <c r="C44239" t="inlineStr">
        <is>
          <t>2021-01-01</t>
        </is>
      </c>
    </row>
    <row r="44240">
      <c r="A44240" s="1" t="n">
        <v>44239</v>
      </c>
      <c r="B44240">
        <f>TEXT(44239, "[$-0E0000]yyyy-mm-dd")</f>
        <v/>
      </c>
      <c r="C44240" t="inlineStr">
        <is>
          <t>2021-01-02</t>
        </is>
      </c>
    </row>
    <row r="44241">
      <c r="A44241" s="1" t="n">
        <v>44240</v>
      </c>
      <c r="B44241">
        <f>TEXT(44240, "[$-0E0000]yyyy-mm-dd")</f>
        <v/>
      </c>
      <c r="C44241" t="inlineStr">
        <is>
          <t>2021-01-03</t>
        </is>
      </c>
    </row>
    <row r="44242">
      <c r="A44242" s="1" t="n">
        <v>44241</v>
      </c>
      <c r="B44242">
        <f>TEXT(44241, "[$-0E0000]yyyy-mm-dd")</f>
        <v/>
      </c>
      <c r="C44242" t="inlineStr">
        <is>
          <t>2021-01-04</t>
        </is>
      </c>
    </row>
    <row r="44243">
      <c r="A44243" s="1" t="n">
        <v>44242</v>
      </c>
      <c r="B44243">
        <f>TEXT(44242, "[$-0E0000]yyyy-mm-dd")</f>
        <v/>
      </c>
      <c r="C44243" t="inlineStr">
        <is>
          <t>2021-01-05</t>
        </is>
      </c>
    </row>
    <row r="44244">
      <c r="A44244" s="1" t="n">
        <v>44243</v>
      </c>
      <c r="B44244">
        <f>TEXT(44243, "[$-0E0000]yyyy-mm-dd")</f>
        <v/>
      </c>
      <c r="C44244" t="inlineStr">
        <is>
          <t>2021-01-06</t>
        </is>
      </c>
    </row>
    <row r="44245">
      <c r="A44245" s="1" t="n">
        <v>44244</v>
      </c>
      <c r="B44245">
        <f>TEXT(44244, "[$-0E0000]yyyy-mm-dd")</f>
        <v/>
      </c>
      <c r="C44245" t="inlineStr">
        <is>
          <t>2021-01-07</t>
        </is>
      </c>
    </row>
    <row r="44246">
      <c r="A44246" s="1" t="n">
        <v>44245</v>
      </c>
      <c r="B44246">
        <f>TEXT(44245, "[$-0E0000]yyyy-mm-dd")</f>
        <v/>
      </c>
      <c r="C44246" t="inlineStr">
        <is>
          <t>2021-01-08</t>
        </is>
      </c>
    </row>
    <row r="44247">
      <c r="A44247" s="1" t="n">
        <v>44246</v>
      </c>
      <c r="B44247">
        <f>TEXT(44246, "[$-0E0000]yyyy-mm-dd")</f>
        <v/>
      </c>
      <c r="C44247" t="inlineStr">
        <is>
          <t>2021-01-09</t>
        </is>
      </c>
    </row>
    <row r="44248">
      <c r="A44248" s="1" t="n">
        <v>44247</v>
      </c>
      <c r="B44248">
        <f>TEXT(44247, "[$-0E0000]yyyy-mm-dd")</f>
        <v/>
      </c>
      <c r="C44248" t="inlineStr">
        <is>
          <t>2021-01-10</t>
        </is>
      </c>
    </row>
    <row r="44249">
      <c r="A44249" s="1" t="n">
        <v>44248</v>
      </c>
      <c r="B44249">
        <f>TEXT(44248, "[$-0E0000]yyyy-mm-dd")</f>
        <v/>
      </c>
      <c r="C44249" t="inlineStr">
        <is>
          <t>2021-01-11</t>
        </is>
      </c>
    </row>
    <row r="44250">
      <c r="A44250" s="1" t="n">
        <v>44249</v>
      </c>
      <c r="B44250">
        <f>TEXT(44249, "[$-0E0000]yyyy-mm-dd")</f>
        <v/>
      </c>
      <c r="C44250" t="inlineStr">
        <is>
          <t>2021-01-12</t>
        </is>
      </c>
    </row>
    <row r="44251">
      <c r="A44251" s="1" t="n">
        <v>44250</v>
      </c>
      <c r="B44251">
        <f>TEXT(44250, "[$-0E0000]yyyy-mm-dd")</f>
        <v/>
      </c>
      <c r="C44251" t="inlineStr">
        <is>
          <t>2021-01-13</t>
        </is>
      </c>
    </row>
    <row r="44252">
      <c r="A44252" s="1" t="n">
        <v>44251</v>
      </c>
      <c r="B44252">
        <f>TEXT(44251, "[$-0E0000]yyyy-mm-dd")</f>
        <v/>
      </c>
      <c r="C44252" t="inlineStr">
        <is>
          <t>2021-01-14</t>
        </is>
      </c>
    </row>
    <row r="44253">
      <c r="A44253" s="1" t="n">
        <v>44252</v>
      </c>
      <c r="B44253">
        <f>TEXT(44252, "[$-0E0000]yyyy-mm-dd")</f>
        <v/>
      </c>
      <c r="C44253" t="inlineStr">
        <is>
          <t>2021-01-15</t>
        </is>
      </c>
    </row>
    <row r="44254">
      <c r="A44254" s="1" t="n">
        <v>44253</v>
      </c>
      <c r="B44254">
        <f>TEXT(44253, "[$-0E0000]yyyy-mm-dd")</f>
        <v/>
      </c>
      <c r="C44254" t="inlineStr">
        <is>
          <t>2021-01-16</t>
        </is>
      </c>
    </row>
    <row r="44255">
      <c r="A44255" s="1" t="n">
        <v>44254</v>
      </c>
      <c r="B44255">
        <f>TEXT(44254, "[$-0E0000]yyyy-mm-dd")</f>
        <v/>
      </c>
      <c r="C44255" t="inlineStr">
        <is>
          <t>2021-01-17</t>
        </is>
      </c>
    </row>
    <row r="44256">
      <c r="A44256" s="1" t="n">
        <v>44255</v>
      </c>
      <c r="B44256">
        <f>TEXT(44255, "[$-0E0000]yyyy-mm-dd")</f>
        <v/>
      </c>
      <c r="C44256" t="inlineStr">
        <is>
          <t>2021-01-18</t>
        </is>
      </c>
    </row>
    <row r="44257">
      <c r="A44257" s="1" t="n">
        <v>44256</v>
      </c>
      <c r="B44257">
        <f>TEXT(44256, "[$-0E0000]yyyy-mm-dd")</f>
        <v/>
      </c>
      <c r="C44257" t="inlineStr">
        <is>
          <t>2021-01-19</t>
        </is>
      </c>
    </row>
    <row r="44258">
      <c r="A44258" s="1" t="n">
        <v>44257</v>
      </c>
      <c r="B44258">
        <f>TEXT(44257, "[$-0E0000]yyyy-mm-dd")</f>
        <v/>
      </c>
      <c r="C44258" t="inlineStr">
        <is>
          <t>2021-01-20</t>
        </is>
      </c>
    </row>
    <row r="44259">
      <c r="A44259" s="1" t="n">
        <v>44258</v>
      </c>
      <c r="B44259">
        <f>TEXT(44258, "[$-0E0000]yyyy-mm-dd")</f>
        <v/>
      </c>
      <c r="C44259" t="inlineStr">
        <is>
          <t>2021-01-21</t>
        </is>
      </c>
    </row>
    <row r="44260">
      <c r="A44260" s="1" t="n">
        <v>44259</v>
      </c>
      <c r="B44260">
        <f>TEXT(44259, "[$-0E0000]yyyy-mm-dd")</f>
        <v/>
      </c>
      <c r="C44260" t="inlineStr">
        <is>
          <t>2021-01-22</t>
        </is>
      </c>
    </row>
    <row r="44261">
      <c r="A44261" s="1" t="n">
        <v>44260</v>
      </c>
      <c r="B44261">
        <f>TEXT(44260, "[$-0E0000]yyyy-mm-dd")</f>
        <v/>
      </c>
      <c r="C44261" t="inlineStr">
        <is>
          <t>2021-01-23</t>
        </is>
      </c>
    </row>
    <row r="44262">
      <c r="A44262" s="1" t="n">
        <v>44261</v>
      </c>
      <c r="B44262">
        <f>TEXT(44261, "[$-0E0000]yyyy-mm-dd")</f>
        <v/>
      </c>
      <c r="C44262" t="inlineStr">
        <is>
          <t>2021-01-24</t>
        </is>
      </c>
    </row>
    <row r="44263">
      <c r="A44263" s="1" t="n">
        <v>44262</v>
      </c>
      <c r="B44263">
        <f>TEXT(44262, "[$-0E0000]yyyy-mm-dd")</f>
        <v/>
      </c>
      <c r="C44263" t="inlineStr">
        <is>
          <t>2021-01-25</t>
        </is>
      </c>
    </row>
    <row r="44264">
      <c r="A44264" s="1" t="n">
        <v>44263</v>
      </c>
      <c r="B44264">
        <f>TEXT(44263, "[$-0E0000]yyyy-mm-dd")</f>
        <v/>
      </c>
      <c r="C44264" t="inlineStr">
        <is>
          <t>2021-01-26</t>
        </is>
      </c>
    </row>
    <row r="44265">
      <c r="A44265" s="1" t="n">
        <v>44264</v>
      </c>
      <c r="B44265">
        <f>TEXT(44264, "[$-0E0000]yyyy-mm-dd")</f>
        <v/>
      </c>
      <c r="C44265" t="inlineStr">
        <is>
          <t>2021-01-27</t>
        </is>
      </c>
    </row>
    <row r="44266">
      <c r="A44266" s="1" t="n">
        <v>44265</v>
      </c>
      <c r="B44266">
        <f>TEXT(44265, "[$-0E0000]yyyy-mm-dd")</f>
        <v/>
      </c>
      <c r="C44266" t="inlineStr">
        <is>
          <t>2021-01-28</t>
        </is>
      </c>
    </row>
    <row r="44267">
      <c r="A44267" s="1" t="n">
        <v>44266</v>
      </c>
      <c r="B44267">
        <f>TEXT(44266, "[$-0E0000]yyyy-mm-dd")</f>
        <v/>
      </c>
      <c r="C44267" t="inlineStr">
        <is>
          <t>2021-01-29</t>
        </is>
      </c>
    </row>
    <row r="44268">
      <c r="A44268" s="1" t="n">
        <v>44267</v>
      </c>
      <c r="B44268">
        <f>TEXT(44267, "[$-0E0000]yyyy-mm-dd")</f>
        <v/>
      </c>
      <c r="C44268" t="inlineStr">
        <is>
          <t>2021-02-01</t>
        </is>
      </c>
    </row>
    <row r="44269">
      <c r="A44269" s="1" t="n">
        <v>44268</v>
      </c>
      <c r="B44269">
        <f>TEXT(44268, "[$-0E0000]yyyy-mm-dd")</f>
        <v/>
      </c>
      <c r="C44269" t="inlineStr">
        <is>
          <t>2021-02-02</t>
        </is>
      </c>
    </row>
    <row r="44270">
      <c r="A44270" s="1" t="n">
        <v>44269</v>
      </c>
      <c r="B44270">
        <f>TEXT(44269, "[$-0E0000]yyyy-mm-dd")</f>
        <v/>
      </c>
      <c r="C44270" t="inlineStr">
        <is>
          <t>2021-02-03</t>
        </is>
      </c>
    </row>
    <row r="44271">
      <c r="A44271" s="1" t="n">
        <v>44270</v>
      </c>
      <c r="B44271">
        <f>TEXT(44270, "[$-0E0000]yyyy-mm-dd")</f>
        <v/>
      </c>
      <c r="C44271" t="inlineStr">
        <is>
          <t>2021-02-04</t>
        </is>
      </c>
    </row>
    <row r="44272">
      <c r="A44272" s="1" t="n">
        <v>44271</v>
      </c>
      <c r="B44272">
        <f>TEXT(44271, "[$-0E0000]yyyy-mm-dd")</f>
        <v/>
      </c>
      <c r="C44272" t="inlineStr">
        <is>
          <t>2021-02-05</t>
        </is>
      </c>
    </row>
    <row r="44273">
      <c r="A44273" s="1" t="n">
        <v>44272</v>
      </c>
      <c r="B44273">
        <f>TEXT(44272, "[$-0E0000]yyyy-mm-dd")</f>
        <v/>
      </c>
      <c r="C44273" t="inlineStr">
        <is>
          <t>2021-02-06</t>
        </is>
      </c>
    </row>
    <row r="44274">
      <c r="A44274" s="1" t="n">
        <v>44273</v>
      </c>
      <c r="B44274">
        <f>TEXT(44273, "[$-0E0000]yyyy-mm-dd")</f>
        <v/>
      </c>
      <c r="C44274" t="inlineStr">
        <is>
          <t>2021-02-07</t>
        </is>
      </c>
    </row>
    <row r="44275">
      <c r="A44275" s="1" t="n">
        <v>44274</v>
      </c>
      <c r="B44275">
        <f>TEXT(44274, "[$-0E0000]yyyy-mm-dd")</f>
        <v/>
      </c>
      <c r="C44275" t="inlineStr">
        <is>
          <t>2021-02-08</t>
        </is>
      </c>
    </row>
    <row r="44276">
      <c r="A44276" s="1" t="n">
        <v>44275</v>
      </c>
      <c r="B44276">
        <f>TEXT(44275, "[$-0E0000]yyyy-mm-dd")</f>
        <v/>
      </c>
      <c r="C44276" t="inlineStr">
        <is>
          <t>2021-02-09</t>
        </is>
      </c>
    </row>
    <row r="44277">
      <c r="A44277" s="1" t="n">
        <v>44276</v>
      </c>
      <c r="B44277">
        <f>TEXT(44276, "[$-0E0000]yyyy-mm-dd")</f>
        <v/>
      </c>
      <c r="C44277" t="inlineStr">
        <is>
          <t>2021-02-10</t>
        </is>
      </c>
    </row>
    <row r="44278">
      <c r="A44278" s="1" t="n">
        <v>44277</v>
      </c>
      <c r="B44278">
        <f>TEXT(44277, "[$-0E0000]yyyy-mm-dd")</f>
        <v/>
      </c>
      <c r="C44278" t="inlineStr">
        <is>
          <t>2021-02-11</t>
        </is>
      </c>
    </row>
    <row r="44279">
      <c r="A44279" s="1" t="n">
        <v>44278</v>
      </c>
      <c r="B44279">
        <f>TEXT(44278, "[$-0E0000]yyyy-mm-dd")</f>
        <v/>
      </c>
      <c r="C44279" t="inlineStr">
        <is>
          <t>2021-02-12</t>
        </is>
      </c>
    </row>
    <row r="44280">
      <c r="A44280" s="1" t="n">
        <v>44279</v>
      </c>
      <c r="B44280">
        <f>TEXT(44279, "[$-0E0000]yyyy-mm-dd")</f>
        <v/>
      </c>
      <c r="C44280" t="inlineStr">
        <is>
          <t>2021-02-13</t>
        </is>
      </c>
    </row>
    <row r="44281">
      <c r="A44281" s="1" t="n">
        <v>44280</v>
      </c>
      <c r="B44281">
        <f>TEXT(44280, "[$-0E0000]yyyy-mm-dd")</f>
        <v/>
      </c>
      <c r="C44281" t="inlineStr">
        <is>
          <t>2021-02-14</t>
        </is>
      </c>
    </row>
    <row r="44282">
      <c r="A44282" s="1" t="n">
        <v>44281</v>
      </c>
      <c r="B44282">
        <f>TEXT(44281, "[$-0E0000]yyyy-mm-dd")</f>
        <v/>
      </c>
      <c r="C44282" t="inlineStr">
        <is>
          <t>2021-02-15</t>
        </is>
      </c>
    </row>
    <row r="44283">
      <c r="A44283" s="1" t="n">
        <v>44282</v>
      </c>
      <c r="B44283">
        <f>TEXT(44282, "[$-0E0000]yyyy-mm-dd")</f>
        <v/>
      </c>
      <c r="C44283" t="inlineStr">
        <is>
          <t>2021-02-16</t>
        </is>
      </c>
    </row>
    <row r="44284">
      <c r="A44284" s="1" t="n">
        <v>44283</v>
      </c>
      <c r="B44284">
        <f>TEXT(44283, "[$-0E0000]yyyy-mm-dd")</f>
        <v/>
      </c>
      <c r="C44284" t="inlineStr">
        <is>
          <t>2021-02-17</t>
        </is>
      </c>
    </row>
    <row r="44285">
      <c r="A44285" s="1" t="n">
        <v>44284</v>
      </c>
      <c r="B44285">
        <f>TEXT(44284, "[$-0E0000]yyyy-mm-dd")</f>
        <v/>
      </c>
      <c r="C44285" t="inlineStr">
        <is>
          <t>2021-02-18</t>
        </is>
      </c>
    </row>
    <row r="44286">
      <c r="A44286" s="1" t="n">
        <v>44285</v>
      </c>
      <c r="B44286">
        <f>TEXT(44285, "[$-0E0000]yyyy-mm-dd")</f>
        <v/>
      </c>
      <c r="C44286" t="inlineStr">
        <is>
          <t>2021-02-19</t>
        </is>
      </c>
    </row>
    <row r="44287">
      <c r="A44287" s="1" t="n">
        <v>44286</v>
      </c>
      <c r="B44287">
        <f>TEXT(44286, "[$-0E0000]yyyy-mm-dd")</f>
        <v/>
      </c>
      <c r="C44287" t="inlineStr">
        <is>
          <t>2021-02-20</t>
        </is>
      </c>
    </row>
    <row r="44288">
      <c r="A44288" s="1" t="n">
        <v>44287</v>
      </c>
      <c r="B44288">
        <f>TEXT(44287, "[$-0E0000]yyyy-mm-dd")</f>
        <v/>
      </c>
      <c r="C44288" t="inlineStr">
        <is>
          <t>2021-02-21</t>
        </is>
      </c>
    </row>
    <row r="44289">
      <c r="A44289" s="1" t="n">
        <v>44288</v>
      </c>
      <c r="B44289">
        <f>TEXT(44288, "[$-0E0000]yyyy-mm-dd")</f>
        <v/>
      </c>
      <c r="C44289" t="inlineStr">
        <is>
          <t>2021-02-22</t>
        </is>
      </c>
    </row>
    <row r="44290">
      <c r="A44290" s="1" t="n">
        <v>44289</v>
      </c>
      <c r="B44290">
        <f>TEXT(44289, "[$-0E0000]yyyy-mm-dd")</f>
        <v/>
      </c>
      <c r="C44290" t="inlineStr">
        <is>
          <t>2021-02-23</t>
        </is>
      </c>
    </row>
    <row r="44291">
      <c r="A44291" s="1" t="n">
        <v>44290</v>
      </c>
      <c r="B44291">
        <f>TEXT(44290, "[$-0E0000]yyyy-mm-dd")</f>
        <v/>
      </c>
      <c r="C44291" t="inlineStr">
        <is>
          <t>2021-02-24</t>
        </is>
      </c>
    </row>
    <row r="44292">
      <c r="A44292" s="1" t="n">
        <v>44291</v>
      </c>
      <c r="B44292">
        <f>TEXT(44291, "[$-0E0000]yyyy-mm-dd")</f>
        <v/>
      </c>
      <c r="C44292" t="inlineStr">
        <is>
          <t>2021-02-25</t>
        </is>
      </c>
    </row>
    <row r="44293">
      <c r="A44293" s="1" t="n">
        <v>44292</v>
      </c>
      <c r="B44293">
        <f>TEXT(44292, "[$-0E0000]yyyy-mm-dd")</f>
        <v/>
      </c>
      <c r="C44293" t="inlineStr">
        <is>
          <t>2021-02-26</t>
        </is>
      </c>
    </row>
    <row r="44294">
      <c r="A44294" s="1" t="n">
        <v>44293</v>
      </c>
      <c r="B44294">
        <f>TEXT(44293, "[$-0E0000]yyyy-mm-dd")</f>
        <v/>
      </c>
      <c r="C44294" t="inlineStr">
        <is>
          <t>2021-02-27</t>
        </is>
      </c>
    </row>
    <row r="44295">
      <c r="A44295" s="1" t="n">
        <v>44294</v>
      </c>
      <c r="B44295">
        <f>TEXT(44294, "[$-0E0000]yyyy-mm-dd")</f>
        <v/>
      </c>
      <c r="C44295" t="inlineStr">
        <is>
          <t>2021-02-28</t>
        </is>
      </c>
    </row>
    <row r="44296">
      <c r="A44296" s="1" t="n">
        <v>44295</v>
      </c>
      <c r="B44296">
        <f>TEXT(44295, "[$-0E0000]yyyy-mm-dd")</f>
        <v/>
      </c>
      <c r="C44296" t="inlineStr">
        <is>
          <t>2021-02-29</t>
        </is>
      </c>
    </row>
    <row r="44297">
      <c r="A44297" s="1" t="n">
        <v>44296</v>
      </c>
      <c r="B44297">
        <f>TEXT(44296, "[$-0E0000]yyyy-mm-dd")</f>
        <v/>
      </c>
      <c r="C44297" t="inlineStr">
        <is>
          <t>2021-02-30</t>
        </is>
      </c>
    </row>
    <row r="44298">
      <c r="A44298" s="1" t="n">
        <v>44297</v>
      </c>
      <c r="B44298">
        <f>TEXT(44297, "[$-0E0000]yyyy-mm-dd")</f>
        <v/>
      </c>
      <c r="C44298" t="inlineStr">
        <is>
          <t>2021-03-01</t>
        </is>
      </c>
    </row>
    <row r="44299">
      <c r="A44299" s="1" t="n">
        <v>44298</v>
      </c>
      <c r="B44299">
        <f>TEXT(44298, "[$-0E0000]yyyy-mm-dd")</f>
        <v/>
      </c>
      <c r="C44299" t="inlineStr">
        <is>
          <t>2021-03-02</t>
        </is>
      </c>
    </row>
    <row r="44300">
      <c r="A44300" s="1" t="n">
        <v>44299</v>
      </c>
      <c r="B44300">
        <f>TEXT(44299, "[$-0E0000]yyyy-mm-dd")</f>
        <v/>
      </c>
      <c r="C44300" t="inlineStr">
        <is>
          <t>2021-03-03</t>
        </is>
      </c>
    </row>
    <row r="44301">
      <c r="A44301" s="1" t="n">
        <v>44300</v>
      </c>
      <c r="B44301">
        <f>TEXT(44300, "[$-0E0000]yyyy-mm-dd")</f>
        <v/>
      </c>
      <c r="C44301" t="inlineStr">
        <is>
          <t>2021-03-04</t>
        </is>
      </c>
    </row>
    <row r="44302">
      <c r="A44302" s="1" t="n">
        <v>44301</v>
      </c>
      <c r="B44302">
        <f>TEXT(44301, "[$-0E0000]yyyy-mm-dd")</f>
        <v/>
      </c>
      <c r="C44302" t="inlineStr">
        <is>
          <t>2021-03-05</t>
        </is>
      </c>
    </row>
    <row r="44303">
      <c r="A44303" s="1" t="n">
        <v>44302</v>
      </c>
      <c r="B44303">
        <f>TEXT(44302, "[$-0E0000]yyyy-mm-dd")</f>
        <v/>
      </c>
      <c r="C44303" t="inlineStr">
        <is>
          <t>2021-03-06</t>
        </is>
      </c>
    </row>
    <row r="44304">
      <c r="A44304" s="1" t="n">
        <v>44303</v>
      </c>
      <c r="B44304">
        <f>TEXT(44303, "[$-0E0000]yyyy-mm-dd")</f>
        <v/>
      </c>
      <c r="C44304" t="inlineStr">
        <is>
          <t>2021-03-07</t>
        </is>
      </c>
    </row>
    <row r="44305">
      <c r="A44305" s="1" t="n">
        <v>44304</v>
      </c>
      <c r="B44305">
        <f>TEXT(44304, "[$-0E0000]yyyy-mm-dd")</f>
        <v/>
      </c>
      <c r="C44305" t="inlineStr">
        <is>
          <t>2021-03-08</t>
        </is>
      </c>
    </row>
    <row r="44306">
      <c r="A44306" s="1" t="n">
        <v>44305</v>
      </c>
      <c r="B44306">
        <f>TEXT(44305, "[$-0E0000]yyyy-mm-dd")</f>
        <v/>
      </c>
      <c r="C44306" t="inlineStr">
        <is>
          <t>2021-03-09</t>
        </is>
      </c>
    </row>
    <row r="44307">
      <c r="A44307" s="1" t="n">
        <v>44306</v>
      </c>
      <c r="B44307">
        <f>TEXT(44306, "[$-0E0000]yyyy-mm-dd")</f>
        <v/>
      </c>
      <c r="C44307" t="inlineStr">
        <is>
          <t>2021-03-10</t>
        </is>
      </c>
    </row>
    <row r="44308">
      <c r="A44308" s="1" t="n">
        <v>44307</v>
      </c>
      <c r="B44308">
        <f>TEXT(44307, "[$-0E0000]yyyy-mm-dd")</f>
        <v/>
      </c>
      <c r="C44308" t="inlineStr">
        <is>
          <t>2021-03-11</t>
        </is>
      </c>
    </row>
    <row r="44309">
      <c r="A44309" s="1" t="n">
        <v>44308</v>
      </c>
      <c r="B44309">
        <f>TEXT(44308, "[$-0E0000]yyyy-mm-dd")</f>
        <v/>
      </c>
      <c r="C44309" t="inlineStr">
        <is>
          <t>2021-03-12</t>
        </is>
      </c>
    </row>
    <row r="44310">
      <c r="A44310" s="1" t="n">
        <v>44309</v>
      </c>
      <c r="B44310">
        <f>TEXT(44309, "[$-0E0000]yyyy-mm-dd")</f>
        <v/>
      </c>
      <c r="C44310" t="inlineStr">
        <is>
          <t>2021-03-13</t>
        </is>
      </c>
    </row>
    <row r="44311">
      <c r="A44311" s="1" t="n">
        <v>44310</v>
      </c>
      <c r="B44311">
        <f>TEXT(44310, "[$-0E0000]yyyy-mm-dd")</f>
        <v/>
      </c>
      <c r="C44311" t="inlineStr">
        <is>
          <t>2021-03-14</t>
        </is>
      </c>
    </row>
    <row r="44312">
      <c r="A44312" s="1" t="n">
        <v>44311</v>
      </c>
      <c r="B44312">
        <f>TEXT(44311, "[$-0E0000]yyyy-mm-dd")</f>
        <v/>
      </c>
      <c r="C44312" t="inlineStr">
        <is>
          <t>2021-03-15</t>
        </is>
      </c>
    </row>
    <row r="44313">
      <c r="A44313" s="1" t="n">
        <v>44312</v>
      </c>
      <c r="B44313">
        <f>TEXT(44312, "[$-0E0000]yyyy-mm-dd")</f>
        <v/>
      </c>
      <c r="C44313" t="inlineStr">
        <is>
          <t>2021-03-16</t>
        </is>
      </c>
    </row>
    <row r="44314">
      <c r="A44314" s="1" t="n">
        <v>44313</v>
      </c>
      <c r="B44314">
        <f>TEXT(44313, "[$-0E0000]yyyy-mm-dd")</f>
        <v/>
      </c>
      <c r="C44314" t="inlineStr">
        <is>
          <t>2021-03-17</t>
        </is>
      </c>
    </row>
    <row r="44315">
      <c r="A44315" s="1" t="n">
        <v>44314</v>
      </c>
      <c r="B44315">
        <f>TEXT(44314, "[$-0E0000]yyyy-mm-dd")</f>
        <v/>
      </c>
      <c r="C44315" t="inlineStr">
        <is>
          <t>2021-03-18</t>
        </is>
      </c>
    </row>
    <row r="44316">
      <c r="A44316" s="1" t="n">
        <v>44315</v>
      </c>
      <c r="B44316">
        <f>TEXT(44315, "[$-0E0000]yyyy-mm-dd")</f>
        <v/>
      </c>
      <c r="C44316" t="inlineStr">
        <is>
          <t>2021-03-19</t>
        </is>
      </c>
    </row>
    <row r="44317">
      <c r="A44317" s="1" t="n">
        <v>44316</v>
      </c>
      <c r="B44317">
        <f>TEXT(44316, "[$-0E0000]yyyy-mm-dd")</f>
        <v/>
      </c>
      <c r="C44317" t="inlineStr">
        <is>
          <t>2021-03-20</t>
        </is>
      </c>
    </row>
    <row r="44318">
      <c r="A44318" s="1" t="n">
        <v>44317</v>
      </c>
      <c r="B44318">
        <f>TEXT(44317, "[$-0E0000]yyyy-mm-dd")</f>
        <v/>
      </c>
      <c r="C44318" t="inlineStr">
        <is>
          <t>2021-03-21</t>
        </is>
      </c>
    </row>
    <row r="44319">
      <c r="A44319" s="1" t="n">
        <v>44318</v>
      </c>
      <c r="B44319">
        <f>TEXT(44318, "[$-0E0000]yyyy-mm-dd")</f>
        <v/>
      </c>
      <c r="C44319" t="inlineStr">
        <is>
          <t>2021-03-22</t>
        </is>
      </c>
    </row>
    <row r="44320">
      <c r="A44320" s="1" t="n">
        <v>44319</v>
      </c>
      <c r="B44320">
        <f>TEXT(44319, "[$-0E0000]yyyy-mm-dd")</f>
        <v/>
      </c>
      <c r="C44320" t="inlineStr">
        <is>
          <t>2021-03-23</t>
        </is>
      </c>
    </row>
    <row r="44321">
      <c r="A44321" s="1" t="n">
        <v>44320</v>
      </c>
      <c r="B44321">
        <f>TEXT(44320, "[$-0E0000]yyyy-mm-dd")</f>
        <v/>
      </c>
      <c r="C44321" t="inlineStr">
        <is>
          <t>2021-03-24</t>
        </is>
      </c>
    </row>
    <row r="44322">
      <c r="A44322" s="1" t="n">
        <v>44321</v>
      </c>
      <c r="B44322">
        <f>TEXT(44321, "[$-0E0000]yyyy-mm-dd")</f>
        <v/>
      </c>
      <c r="C44322" t="inlineStr">
        <is>
          <t>2021-03-25</t>
        </is>
      </c>
    </row>
    <row r="44323">
      <c r="A44323" s="1" t="n">
        <v>44322</v>
      </c>
      <c r="B44323">
        <f>TEXT(44322, "[$-0E0000]yyyy-mm-dd")</f>
        <v/>
      </c>
      <c r="C44323" t="inlineStr">
        <is>
          <t>2021-03-26</t>
        </is>
      </c>
    </row>
    <row r="44324">
      <c r="A44324" s="1" t="n">
        <v>44323</v>
      </c>
      <c r="B44324">
        <f>TEXT(44323, "[$-0E0000]yyyy-mm-dd")</f>
        <v/>
      </c>
      <c r="C44324" t="inlineStr">
        <is>
          <t>2021-03-27</t>
        </is>
      </c>
    </row>
    <row r="44325">
      <c r="A44325" s="1" t="n">
        <v>44324</v>
      </c>
      <c r="B44325">
        <f>TEXT(44324, "[$-0E0000]yyyy-mm-dd")</f>
        <v/>
      </c>
      <c r="C44325" t="inlineStr">
        <is>
          <t>2021-03-28</t>
        </is>
      </c>
    </row>
    <row r="44326">
      <c r="A44326" s="1" t="n">
        <v>44325</v>
      </c>
      <c r="B44326">
        <f>TEXT(44325, "[$-0E0000]yyyy-mm-dd")</f>
        <v/>
      </c>
      <c r="C44326" t="inlineStr">
        <is>
          <t>2021-03-29</t>
        </is>
      </c>
    </row>
    <row r="44327">
      <c r="A44327" s="1" t="n">
        <v>44326</v>
      </c>
      <c r="B44327">
        <f>TEXT(44326, "[$-0E0000]yyyy-mm-dd")</f>
        <v/>
      </c>
      <c r="C44327" t="inlineStr">
        <is>
          <t>2021-03-30</t>
        </is>
      </c>
    </row>
    <row r="44328">
      <c r="A44328" s="1" t="n">
        <v>44327</v>
      </c>
      <c r="B44328">
        <f>TEXT(44327, "[$-0E0000]yyyy-mm-dd")</f>
        <v/>
      </c>
      <c r="C44328" t="inlineStr">
        <is>
          <t>2021-04-01</t>
        </is>
      </c>
    </row>
    <row r="44329">
      <c r="A44329" s="1" t="n">
        <v>44328</v>
      </c>
      <c r="B44329">
        <f>TEXT(44328, "[$-0E0000]yyyy-mm-dd")</f>
        <v/>
      </c>
      <c r="C44329" t="inlineStr">
        <is>
          <t>2021-04-02</t>
        </is>
      </c>
    </row>
    <row r="44330">
      <c r="A44330" s="1" t="n">
        <v>44329</v>
      </c>
      <c r="B44330">
        <f>TEXT(44329, "[$-0E0000]yyyy-mm-dd")</f>
        <v/>
      </c>
      <c r="C44330" t="inlineStr">
        <is>
          <t>2021-04-03</t>
        </is>
      </c>
    </row>
    <row r="44331">
      <c r="A44331" s="1" t="n">
        <v>44330</v>
      </c>
      <c r="B44331">
        <f>TEXT(44330, "[$-0E0000]yyyy-mm-dd")</f>
        <v/>
      </c>
      <c r="C44331" t="inlineStr">
        <is>
          <t>2021-04-04</t>
        </is>
      </c>
    </row>
    <row r="44332">
      <c r="A44332" s="1" t="n">
        <v>44331</v>
      </c>
      <c r="B44332">
        <f>TEXT(44331, "[$-0E0000]yyyy-mm-dd")</f>
        <v/>
      </c>
      <c r="C44332" t="inlineStr">
        <is>
          <t>2021-04-05</t>
        </is>
      </c>
    </row>
    <row r="44333">
      <c r="A44333" s="1" t="n">
        <v>44332</v>
      </c>
      <c r="B44333">
        <f>TEXT(44332, "[$-0E0000]yyyy-mm-dd")</f>
        <v/>
      </c>
      <c r="C44333" t="inlineStr">
        <is>
          <t>2021-04-06</t>
        </is>
      </c>
    </row>
    <row r="44334">
      <c r="A44334" s="1" t="n">
        <v>44333</v>
      </c>
      <c r="B44334">
        <f>TEXT(44333, "[$-0E0000]yyyy-mm-dd")</f>
        <v/>
      </c>
      <c r="C44334" t="inlineStr">
        <is>
          <t>2021-04-07</t>
        </is>
      </c>
    </row>
    <row r="44335">
      <c r="A44335" s="1" t="n">
        <v>44334</v>
      </c>
      <c r="B44335">
        <f>TEXT(44334, "[$-0E0000]yyyy-mm-dd")</f>
        <v/>
      </c>
      <c r="C44335" t="inlineStr">
        <is>
          <t>2021-04-08</t>
        </is>
      </c>
    </row>
    <row r="44336">
      <c r="A44336" s="1" t="n">
        <v>44335</v>
      </c>
      <c r="B44336">
        <f>TEXT(44335, "[$-0E0000]yyyy-mm-dd")</f>
        <v/>
      </c>
      <c r="C44336" t="inlineStr">
        <is>
          <t>2021-04-09</t>
        </is>
      </c>
    </row>
    <row r="44337">
      <c r="A44337" s="1" t="n">
        <v>44336</v>
      </c>
      <c r="B44337">
        <f>TEXT(44336, "[$-0E0000]yyyy-mm-dd")</f>
        <v/>
      </c>
      <c r="C44337" t="inlineStr">
        <is>
          <t>2021-04-10</t>
        </is>
      </c>
    </row>
    <row r="44338">
      <c r="A44338" s="1" t="n">
        <v>44337</v>
      </c>
      <c r="B44338">
        <f>TEXT(44337, "[$-0E0000]yyyy-mm-dd")</f>
        <v/>
      </c>
      <c r="C44338" t="inlineStr">
        <is>
          <t>2021-04-11</t>
        </is>
      </c>
    </row>
    <row r="44339">
      <c r="A44339" s="1" t="n">
        <v>44338</v>
      </c>
      <c r="B44339">
        <f>TEXT(44338, "[$-0E0000]yyyy-mm-dd")</f>
        <v/>
      </c>
      <c r="C44339" t="inlineStr">
        <is>
          <t>2021-04-12</t>
        </is>
      </c>
    </row>
    <row r="44340">
      <c r="A44340" s="1" t="n">
        <v>44339</v>
      </c>
      <c r="B44340">
        <f>TEXT(44339, "[$-0E0000]yyyy-mm-dd")</f>
        <v/>
      </c>
      <c r="C44340" t="inlineStr">
        <is>
          <t>2021-04-13</t>
        </is>
      </c>
    </row>
    <row r="44341">
      <c r="A44341" s="1" t="n">
        <v>44340</v>
      </c>
      <c r="B44341">
        <f>TEXT(44340, "[$-0E0000]yyyy-mm-dd")</f>
        <v/>
      </c>
      <c r="C44341" t="inlineStr">
        <is>
          <t>2021-04-14</t>
        </is>
      </c>
    </row>
    <row r="44342">
      <c r="A44342" s="1" t="n">
        <v>44341</v>
      </c>
      <c r="B44342">
        <f>TEXT(44341, "[$-0E0000]yyyy-mm-dd")</f>
        <v/>
      </c>
      <c r="C44342" t="inlineStr">
        <is>
          <t>2021-04-15</t>
        </is>
      </c>
    </row>
    <row r="44343">
      <c r="A44343" s="1" t="n">
        <v>44342</v>
      </c>
      <c r="B44343">
        <f>TEXT(44342, "[$-0E0000]yyyy-mm-dd")</f>
        <v/>
      </c>
      <c r="C44343" t="inlineStr">
        <is>
          <t>2021-04-16</t>
        </is>
      </c>
    </row>
    <row r="44344">
      <c r="A44344" s="1" t="n">
        <v>44343</v>
      </c>
      <c r="B44344">
        <f>TEXT(44343, "[$-0E0000]yyyy-mm-dd")</f>
        <v/>
      </c>
      <c r="C44344" t="inlineStr">
        <is>
          <t>2021-04-17</t>
        </is>
      </c>
    </row>
    <row r="44345">
      <c r="A44345" s="1" t="n">
        <v>44344</v>
      </c>
      <c r="B44345">
        <f>TEXT(44344, "[$-0E0000]yyyy-mm-dd")</f>
        <v/>
      </c>
      <c r="C44345" t="inlineStr">
        <is>
          <t>2021-04-18</t>
        </is>
      </c>
    </row>
    <row r="44346">
      <c r="A44346" s="1" t="n">
        <v>44345</v>
      </c>
      <c r="B44346">
        <f>TEXT(44345, "[$-0E0000]yyyy-mm-dd")</f>
        <v/>
      </c>
      <c r="C44346" t="inlineStr">
        <is>
          <t>2021-04-19</t>
        </is>
      </c>
    </row>
    <row r="44347">
      <c r="A44347" s="1" t="n">
        <v>44346</v>
      </c>
      <c r="B44347">
        <f>TEXT(44346, "[$-0E0000]yyyy-mm-dd")</f>
        <v/>
      </c>
      <c r="C44347" t="inlineStr">
        <is>
          <t>2021-04-20</t>
        </is>
      </c>
    </row>
    <row r="44348">
      <c r="A44348" s="1" t="n">
        <v>44347</v>
      </c>
      <c r="B44348">
        <f>TEXT(44347, "[$-0E0000]yyyy-mm-dd")</f>
        <v/>
      </c>
      <c r="C44348" t="inlineStr">
        <is>
          <t>2021-04-21</t>
        </is>
      </c>
    </row>
    <row r="44349">
      <c r="A44349" s="1" t="n">
        <v>44348</v>
      </c>
      <c r="B44349">
        <f>TEXT(44348, "[$-0E0000]yyyy-mm-dd")</f>
        <v/>
      </c>
      <c r="C44349" t="inlineStr">
        <is>
          <t>2021-04-22</t>
        </is>
      </c>
    </row>
    <row r="44350">
      <c r="A44350" s="1" t="n">
        <v>44349</v>
      </c>
      <c r="B44350">
        <f>TEXT(44349, "[$-0E0000]yyyy-mm-dd")</f>
        <v/>
      </c>
      <c r="C44350" t="inlineStr">
        <is>
          <t>2021-04-23</t>
        </is>
      </c>
    </row>
    <row r="44351">
      <c r="A44351" s="1" t="n">
        <v>44350</v>
      </c>
      <c r="B44351">
        <f>TEXT(44350, "[$-0E0000]yyyy-mm-dd")</f>
        <v/>
      </c>
      <c r="C44351" t="inlineStr">
        <is>
          <t>2021-04-24</t>
        </is>
      </c>
    </row>
    <row r="44352">
      <c r="A44352" s="1" t="n">
        <v>44351</v>
      </c>
      <c r="B44352">
        <f>TEXT(44351, "[$-0E0000]yyyy-mm-dd")</f>
        <v/>
      </c>
      <c r="C44352" t="inlineStr">
        <is>
          <t>2021-04-25</t>
        </is>
      </c>
    </row>
    <row r="44353">
      <c r="A44353" s="1" t="n">
        <v>44352</v>
      </c>
      <c r="B44353">
        <f>TEXT(44352, "[$-0E0000]yyyy-mm-dd")</f>
        <v/>
      </c>
      <c r="C44353" t="inlineStr">
        <is>
          <t>2021-04-26</t>
        </is>
      </c>
    </row>
    <row r="44354">
      <c r="A44354" s="1" t="n">
        <v>44353</v>
      </c>
      <c r="B44354">
        <f>TEXT(44353, "[$-0E0000]yyyy-mm-dd")</f>
        <v/>
      </c>
      <c r="C44354" t="inlineStr">
        <is>
          <t>2021-04-27</t>
        </is>
      </c>
    </row>
    <row r="44355">
      <c r="A44355" s="1" t="n">
        <v>44354</v>
      </c>
      <c r="B44355">
        <f>TEXT(44354, "[$-0E0000]yyyy-mm-dd")</f>
        <v/>
      </c>
      <c r="C44355" t="inlineStr">
        <is>
          <t>2021-04-28</t>
        </is>
      </c>
    </row>
    <row r="44356">
      <c r="A44356" s="1" t="n">
        <v>44355</v>
      </c>
      <c r="B44356">
        <f>TEXT(44355, "[$-0E0000]yyyy-mm-dd")</f>
        <v/>
      </c>
      <c r="C44356" t="inlineStr">
        <is>
          <t>2021-04-29</t>
        </is>
      </c>
    </row>
    <row r="44357">
      <c r="A44357" s="1" t="n">
        <v>44356</v>
      </c>
      <c r="B44357">
        <f>TEXT(44356, "[$-0E0000]yyyy-mm-dd")</f>
        <v/>
      </c>
      <c r="C44357" t="inlineStr">
        <is>
          <t>2021-05-01</t>
        </is>
      </c>
    </row>
    <row r="44358">
      <c r="A44358" s="1" t="n">
        <v>44357</v>
      </c>
      <c r="B44358">
        <f>TEXT(44357, "[$-0E0000]yyyy-mm-dd")</f>
        <v/>
      </c>
      <c r="C44358" t="inlineStr">
        <is>
          <t>2021-05-02</t>
        </is>
      </c>
    </row>
    <row r="44359">
      <c r="A44359" s="1" t="n">
        <v>44358</v>
      </c>
      <c r="B44359">
        <f>TEXT(44358, "[$-0E0000]yyyy-mm-dd")</f>
        <v/>
      </c>
      <c r="C44359" t="inlineStr">
        <is>
          <t>2021-05-03</t>
        </is>
      </c>
    </row>
    <row r="44360">
      <c r="A44360" s="1" t="n">
        <v>44359</v>
      </c>
      <c r="B44360">
        <f>TEXT(44359, "[$-0E0000]yyyy-mm-dd")</f>
        <v/>
      </c>
      <c r="C44360" t="inlineStr">
        <is>
          <t>2021-05-04</t>
        </is>
      </c>
    </row>
    <row r="44361">
      <c r="A44361" s="1" t="n">
        <v>44360</v>
      </c>
      <c r="B44361">
        <f>TEXT(44360, "[$-0E0000]yyyy-mm-dd")</f>
        <v/>
      </c>
      <c r="C44361" t="inlineStr">
        <is>
          <t>2021-05-05</t>
        </is>
      </c>
    </row>
    <row r="44362">
      <c r="A44362" s="1" t="n">
        <v>44361</v>
      </c>
      <c r="B44362">
        <f>TEXT(44361, "[$-0E0000]yyyy-mm-dd")</f>
        <v/>
      </c>
      <c r="C44362" t="inlineStr">
        <is>
          <t>2021-05-06</t>
        </is>
      </c>
    </row>
    <row r="44363">
      <c r="A44363" s="1" t="n">
        <v>44362</v>
      </c>
      <c r="B44363">
        <f>TEXT(44362, "[$-0E0000]yyyy-mm-dd")</f>
        <v/>
      </c>
      <c r="C44363" t="inlineStr">
        <is>
          <t>2021-05-07</t>
        </is>
      </c>
    </row>
    <row r="44364">
      <c r="A44364" s="1" t="n">
        <v>44363</v>
      </c>
      <c r="B44364">
        <f>TEXT(44363, "[$-0E0000]yyyy-mm-dd")</f>
        <v/>
      </c>
      <c r="C44364" t="inlineStr">
        <is>
          <t>2021-05-08</t>
        </is>
      </c>
    </row>
    <row r="44365">
      <c r="A44365" s="1" t="n">
        <v>44364</v>
      </c>
      <c r="B44365">
        <f>TEXT(44364, "[$-0E0000]yyyy-mm-dd")</f>
        <v/>
      </c>
      <c r="C44365" t="inlineStr">
        <is>
          <t>2021-05-09</t>
        </is>
      </c>
    </row>
    <row r="44366">
      <c r="A44366" s="1" t="n">
        <v>44365</v>
      </c>
      <c r="B44366">
        <f>TEXT(44365, "[$-0E0000]yyyy-mm-dd")</f>
        <v/>
      </c>
      <c r="C44366" t="inlineStr">
        <is>
          <t>2021-05-10</t>
        </is>
      </c>
    </row>
    <row r="44367">
      <c r="A44367" s="1" t="n">
        <v>44366</v>
      </c>
      <c r="B44367">
        <f>TEXT(44366, "[$-0E0000]yyyy-mm-dd")</f>
        <v/>
      </c>
      <c r="C44367" t="inlineStr">
        <is>
          <t>2021-05-11</t>
        </is>
      </c>
    </row>
    <row r="44368">
      <c r="A44368" s="1" t="n">
        <v>44367</v>
      </c>
      <c r="B44368">
        <f>TEXT(44367, "[$-0E0000]yyyy-mm-dd")</f>
        <v/>
      </c>
      <c r="C44368" t="inlineStr">
        <is>
          <t>2021-05-12</t>
        </is>
      </c>
    </row>
    <row r="44369">
      <c r="A44369" s="1" t="n">
        <v>44368</v>
      </c>
      <c r="B44369">
        <f>TEXT(44368, "[$-0E0000]yyyy-mm-dd")</f>
        <v/>
      </c>
      <c r="C44369" t="inlineStr">
        <is>
          <t>2021-05-13</t>
        </is>
      </c>
    </row>
    <row r="44370">
      <c r="A44370" s="1" t="n">
        <v>44369</v>
      </c>
      <c r="B44370">
        <f>TEXT(44369, "[$-0E0000]yyyy-mm-dd")</f>
        <v/>
      </c>
      <c r="C44370" t="inlineStr">
        <is>
          <t>2021-05-14</t>
        </is>
      </c>
    </row>
    <row r="44371">
      <c r="A44371" s="1" t="n">
        <v>44370</v>
      </c>
      <c r="B44371">
        <f>TEXT(44370, "[$-0E0000]yyyy-mm-dd")</f>
        <v/>
      </c>
      <c r="C44371" t="inlineStr">
        <is>
          <t>2021-05-15</t>
        </is>
      </c>
    </row>
    <row r="44372">
      <c r="A44372" s="1" t="n">
        <v>44371</v>
      </c>
      <c r="B44372">
        <f>TEXT(44371, "[$-0E0000]yyyy-mm-dd")</f>
        <v/>
      </c>
      <c r="C44372" t="inlineStr">
        <is>
          <t>2021-05-16</t>
        </is>
      </c>
    </row>
    <row r="44373">
      <c r="A44373" s="1" t="n">
        <v>44372</v>
      </c>
      <c r="B44373">
        <f>TEXT(44372, "[$-0E0000]yyyy-mm-dd")</f>
        <v/>
      </c>
      <c r="C44373" t="inlineStr">
        <is>
          <t>2021-05-17</t>
        </is>
      </c>
    </row>
    <row r="44374">
      <c r="A44374" s="1" t="n">
        <v>44373</v>
      </c>
      <c r="B44374">
        <f>TEXT(44373, "[$-0E0000]yyyy-mm-dd")</f>
        <v/>
      </c>
      <c r="C44374" t="inlineStr">
        <is>
          <t>2021-05-18</t>
        </is>
      </c>
    </row>
    <row r="44375">
      <c r="A44375" s="1" t="n">
        <v>44374</v>
      </c>
      <c r="B44375">
        <f>TEXT(44374, "[$-0E0000]yyyy-mm-dd")</f>
        <v/>
      </c>
      <c r="C44375" t="inlineStr">
        <is>
          <t>2021-05-19</t>
        </is>
      </c>
    </row>
    <row r="44376">
      <c r="A44376" s="1" t="n">
        <v>44375</v>
      </c>
      <c r="B44376">
        <f>TEXT(44375, "[$-0E0000]yyyy-mm-dd")</f>
        <v/>
      </c>
      <c r="C44376" t="inlineStr">
        <is>
          <t>2021-05-20</t>
        </is>
      </c>
    </row>
    <row r="44377">
      <c r="A44377" s="1" t="n">
        <v>44376</v>
      </c>
      <c r="B44377">
        <f>TEXT(44376, "[$-0E0000]yyyy-mm-dd")</f>
        <v/>
      </c>
      <c r="C44377" t="inlineStr">
        <is>
          <t>2021-05-21</t>
        </is>
      </c>
    </row>
    <row r="44378">
      <c r="A44378" s="1" t="n">
        <v>44377</v>
      </c>
      <c r="B44378">
        <f>TEXT(44377, "[$-0E0000]yyyy-mm-dd")</f>
        <v/>
      </c>
      <c r="C44378" t="inlineStr">
        <is>
          <t>2021-05-22</t>
        </is>
      </c>
    </row>
    <row r="44379">
      <c r="A44379" s="1" t="n">
        <v>44378</v>
      </c>
      <c r="B44379">
        <f>TEXT(44378, "[$-0E0000]yyyy-mm-dd")</f>
        <v/>
      </c>
      <c r="C44379" t="inlineStr">
        <is>
          <t>2021-05-23</t>
        </is>
      </c>
    </row>
    <row r="44380">
      <c r="A44380" s="1" t="n">
        <v>44379</v>
      </c>
      <c r="B44380">
        <f>TEXT(44379, "[$-0E0000]yyyy-mm-dd")</f>
        <v/>
      </c>
      <c r="C44380" t="inlineStr">
        <is>
          <t>2021-05-24</t>
        </is>
      </c>
    </row>
    <row r="44381">
      <c r="A44381" s="1" t="n">
        <v>44380</v>
      </c>
      <c r="B44381">
        <f>TEXT(44380, "[$-0E0000]yyyy-mm-dd")</f>
        <v/>
      </c>
      <c r="C44381" t="inlineStr">
        <is>
          <t>2021-05-25</t>
        </is>
      </c>
    </row>
    <row r="44382">
      <c r="A44382" s="1" t="n">
        <v>44381</v>
      </c>
      <c r="B44382">
        <f>TEXT(44381, "[$-0E0000]yyyy-mm-dd")</f>
        <v/>
      </c>
      <c r="C44382" t="inlineStr">
        <is>
          <t>2021-05-26</t>
        </is>
      </c>
    </row>
    <row r="44383">
      <c r="A44383" s="1" t="n">
        <v>44382</v>
      </c>
      <c r="B44383">
        <f>TEXT(44382, "[$-0E0000]yyyy-mm-dd")</f>
        <v/>
      </c>
      <c r="C44383" t="inlineStr">
        <is>
          <t>2021-05-27</t>
        </is>
      </c>
    </row>
    <row r="44384">
      <c r="A44384" s="1" t="n">
        <v>44383</v>
      </c>
      <c r="B44384">
        <f>TEXT(44383, "[$-0E0000]yyyy-mm-dd")</f>
        <v/>
      </c>
      <c r="C44384" t="inlineStr">
        <is>
          <t>2021-05-28</t>
        </is>
      </c>
    </row>
    <row r="44385">
      <c r="A44385" s="1" t="n">
        <v>44384</v>
      </c>
      <c r="B44385">
        <f>TEXT(44384, "[$-0E0000]yyyy-mm-dd")</f>
        <v/>
      </c>
      <c r="C44385" t="inlineStr">
        <is>
          <t>2021-05-29</t>
        </is>
      </c>
    </row>
    <row r="44386">
      <c r="A44386" s="1" t="n">
        <v>44385</v>
      </c>
      <c r="B44386">
        <f>TEXT(44385, "[$-0E0000]yyyy-mm-dd")</f>
        <v/>
      </c>
      <c r="C44386" t="inlineStr">
        <is>
          <t>2021-05-30</t>
        </is>
      </c>
    </row>
    <row r="44387">
      <c r="A44387" s="1" t="n">
        <v>44386</v>
      </c>
      <c r="B44387">
        <f>TEXT(44386, "[$-0E0000]yyyy-mm-dd")</f>
        <v/>
      </c>
      <c r="C44387" t="inlineStr">
        <is>
          <t>2021-06-01</t>
        </is>
      </c>
    </row>
    <row r="44388">
      <c r="A44388" s="1" t="n">
        <v>44387</v>
      </c>
      <c r="B44388">
        <f>TEXT(44387, "[$-0E0000]yyyy-mm-dd")</f>
        <v/>
      </c>
      <c r="C44388" t="inlineStr">
        <is>
          <t>2021-06-02</t>
        </is>
      </c>
    </row>
    <row r="44389">
      <c r="A44389" s="1" t="n">
        <v>44388</v>
      </c>
      <c r="B44389">
        <f>TEXT(44388, "[$-0E0000]yyyy-mm-dd")</f>
        <v/>
      </c>
      <c r="C44389" t="inlineStr">
        <is>
          <t>2021-06-03</t>
        </is>
      </c>
    </row>
    <row r="44390">
      <c r="A44390" s="1" t="n">
        <v>44389</v>
      </c>
      <c r="B44390">
        <f>TEXT(44389, "[$-0E0000]yyyy-mm-dd")</f>
        <v/>
      </c>
      <c r="C44390" t="inlineStr">
        <is>
          <t>2021-06-04</t>
        </is>
      </c>
    </row>
    <row r="44391">
      <c r="A44391" s="1" t="n">
        <v>44390</v>
      </c>
      <c r="B44391">
        <f>TEXT(44390, "[$-0E0000]yyyy-mm-dd")</f>
        <v/>
      </c>
      <c r="C44391" t="inlineStr">
        <is>
          <t>2021-06-05</t>
        </is>
      </c>
    </row>
    <row r="44392">
      <c r="A44392" s="1" t="n">
        <v>44391</v>
      </c>
      <c r="B44392">
        <f>TEXT(44391, "[$-0E0000]yyyy-mm-dd")</f>
        <v/>
      </c>
      <c r="C44392" t="inlineStr">
        <is>
          <t>2021-06-06</t>
        </is>
      </c>
    </row>
    <row r="44393">
      <c r="A44393" s="1" t="n">
        <v>44392</v>
      </c>
      <c r="B44393">
        <f>TEXT(44392, "[$-0E0000]yyyy-mm-dd")</f>
        <v/>
      </c>
      <c r="C44393" t="inlineStr">
        <is>
          <t>2021-06-07</t>
        </is>
      </c>
    </row>
    <row r="44394">
      <c r="A44394" s="1" t="n">
        <v>44393</v>
      </c>
      <c r="B44394">
        <f>TEXT(44393, "[$-0E0000]yyyy-mm-dd")</f>
        <v/>
      </c>
      <c r="C44394" t="inlineStr">
        <is>
          <t>2021-06-08</t>
        </is>
      </c>
    </row>
    <row r="44395">
      <c r="A44395" s="1" t="n">
        <v>44394</v>
      </c>
      <c r="B44395">
        <f>TEXT(44394, "[$-0E0000]yyyy-mm-dd")</f>
        <v/>
      </c>
      <c r="C44395" t="inlineStr">
        <is>
          <t>2021-06-09</t>
        </is>
      </c>
    </row>
    <row r="44396">
      <c r="A44396" s="1" t="n">
        <v>44395</v>
      </c>
      <c r="B44396">
        <f>TEXT(44395, "[$-0E0000]yyyy-mm-dd")</f>
        <v/>
      </c>
      <c r="C44396" t="inlineStr">
        <is>
          <t>2021-06-10</t>
        </is>
      </c>
    </row>
    <row r="44397">
      <c r="A44397" s="1" t="n">
        <v>44396</v>
      </c>
      <c r="B44397">
        <f>TEXT(44396, "[$-0E0000]yyyy-mm-dd")</f>
        <v/>
      </c>
      <c r="C44397" t="inlineStr">
        <is>
          <t>2021-06-11</t>
        </is>
      </c>
    </row>
    <row r="44398">
      <c r="A44398" s="1" t="n">
        <v>44397</v>
      </c>
      <c r="B44398">
        <f>TEXT(44397, "[$-0E0000]yyyy-mm-dd")</f>
        <v/>
      </c>
      <c r="C44398" t="inlineStr">
        <is>
          <t>2021-06-12</t>
        </is>
      </c>
    </row>
    <row r="44399">
      <c r="A44399" s="1" t="n">
        <v>44398</v>
      </c>
      <c r="B44399">
        <f>TEXT(44398, "[$-0E0000]yyyy-mm-dd")</f>
        <v/>
      </c>
      <c r="C44399" t="inlineStr">
        <is>
          <t>2021-06-13</t>
        </is>
      </c>
    </row>
    <row r="44400">
      <c r="A44400" s="1" t="n">
        <v>44399</v>
      </c>
      <c r="B44400">
        <f>TEXT(44399, "[$-0E0000]yyyy-mm-dd")</f>
        <v/>
      </c>
      <c r="C44400" t="inlineStr">
        <is>
          <t>2021-06-14</t>
        </is>
      </c>
    </row>
    <row r="44401">
      <c r="A44401" s="1" t="n">
        <v>44400</v>
      </c>
      <c r="B44401">
        <f>TEXT(44400, "[$-0E0000]yyyy-mm-dd")</f>
        <v/>
      </c>
      <c r="C44401" t="inlineStr">
        <is>
          <t>2021-06-15</t>
        </is>
      </c>
    </row>
    <row r="44402">
      <c r="A44402" s="1" t="n">
        <v>44401</v>
      </c>
      <c r="B44402">
        <f>TEXT(44401, "[$-0E0000]yyyy-mm-dd")</f>
        <v/>
      </c>
      <c r="C44402" t="inlineStr">
        <is>
          <t>2021-06-16</t>
        </is>
      </c>
    </row>
    <row r="44403">
      <c r="A44403" s="1" t="n">
        <v>44402</v>
      </c>
      <c r="B44403">
        <f>TEXT(44402, "[$-0E0000]yyyy-mm-dd")</f>
        <v/>
      </c>
      <c r="C44403" t="inlineStr">
        <is>
          <t>2021-06-17</t>
        </is>
      </c>
    </row>
    <row r="44404">
      <c r="A44404" s="1" t="n">
        <v>44403</v>
      </c>
      <c r="B44404">
        <f>TEXT(44403, "[$-0E0000]yyyy-mm-dd")</f>
        <v/>
      </c>
      <c r="C44404" t="inlineStr">
        <is>
          <t>2021-06-18</t>
        </is>
      </c>
    </row>
    <row r="44405">
      <c r="A44405" s="1" t="n">
        <v>44404</v>
      </c>
      <c r="B44405">
        <f>TEXT(44404, "[$-0E0000]yyyy-mm-dd")</f>
        <v/>
      </c>
      <c r="C44405" t="inlineStr">
        <is>
          <t>2021-06-19</t>
        </is>
      </c>
    </row>
    <row r="44406">
      <c r="A44406" s="1" t="n">
        <v>44405</v>
      </c>
      <c r="B44406">
        <f>TEXT(44405, "[$-0E0000]yyyy-mm-dd")</f>
        <v/>
      </c>
      <c r="C44406" t="inlineStr">
        <is>
          <t>2021-06-20</t>
        </is>
      </c>
    </row>
    <row r="44407">
      <c r="A44407" s="1" t="n">
        <v>44406</v>
      </c>
      <c r="B44407">
        <f>TEXT(44406, "[$-0E0000]yyyy-mm-dd")</f>
        <v/>
      </c>
      <c r="C44407" t="inlineStr">
        <is>
          <t>2021-06-21</t>
        </is>
      </c>
    </row>
    <row r="44408">
      <c r="A44408" s="1" t="n">
        <v>44407</v>
      </c>
      <c r="B44408">
        <f>TEXT(44407, "[$-0E0000]yyyy-mm-dd")</f>
        <v/>
      </c>
      <c r="C44408" t="inlineStr">
        <is>
          <t>2021-06-22</t>
        </is>
      </c>
    </row>
    <row r="44409">
      <c r="A44409" s="1" t="n">
        <v>44408</v>
      </c>
      <c r="B44409">
        <f>TEXT(44408, "[$-0E0000]yyyy-mm-dd")</f>
        <v/>
      </c>
      <c r="C44409" t="inlineStr">
        <is>
          <t>2021-06-23</t>
        </is>
      </c>
    </row>
    <row r="44410">
      <c r="A44410" s="1" t="n">
        <v>44409</v>
      </c>
      <c r="B44410">
        <f>TEXT(44409, "[$-0E0000]yyyy-mm-dd")</f>
        <v/>
      </c>
      <c r="C44410" t="inlineStr">
        <is>
          <t>2021-06-24</t>
        </is>
      </c>
    </row>
    <row r="44411">
      <c r="A44411" s="1" t="n">
        <v>44410</v>
      </c>
      <c r="B44411">
        <f>TEXT(44410, "[$-0E0000]yyyy-mm-dd")</f>
        <v/>
      </c>
      <c r="C44411" t="inlineStr">
        <is>
          <t>2021-06-25</t>
        </is>
      </c>
    </row>
    <row r="44412">
      <c r="A44412" s="1" t="n">
        <v>44411</v>
      </c>
      <c r="B44412">
        <f>TEXT(44411, "[$-0E0000]yyyy-mm-dd")</f>
        <v/>
      </c>
      <c r="C44412" t="inlineStr">
        <is>
          <t>2021-06-26</t>
        </is>
      </c>
    </row>
    <row r="44413">
      <c r="A44413" s="1" t="n">
        <v>44412</v>
      </c>
      <c r="B44413">
        <f>TEXT(44412, "[$-0E0000]yyyy-mm-dd")</f>
        <v/>
      </c>
      <c r="C44413" t="inlineStr">
        <is>
          <t>2021-06-27</t>
        </is>
      </c>
    </row>
    <row r="44414">
      <c r="A44414" s="1" t="n">
        <v>44413</v>
      </c>
      <c r="B44414">
        <f>TEXT(44413, "[$-0E0000]yyyy-mm-dd")</f>
        <v/>
      </c>
      <c r="C44414" t="inlineStr">
        <is>
          <t>2021-06-28</t>
        </is>
      </c>
    </row>
    <row r="44415">
      <c r="A44415" s="1" t="n">
        <v>44414</v>
      </c>
      <c r="B44415">
        <f>TEXT(44414, "[$-0E0000]yyyy-mm-dd")</f>
        <v/>
      </c>
      <c r="C44415" t="inlineStr">
        <is>
          <t>2021-06-29</t>
        </is>
      </c>
    </row>
    <row r="44416">
      <c r="A44416" s="1" t="n">
        <v>44415</v>
      </c>
      <c r="B44416">
        <f>TEXT(44415, "[$-0E0000]yyyy-mm-dd")</f>
        <v/>
      </c>
      <c r="C44416" t="inlineStr">
        <is>
          <t>2021-07-01</t>
        </is>
      </c>
    </row>
    <row r="44417">
      <c r="A44417" s="1" t="n">
        <v>44416</v>
      </c>
      <c r="B44417">
        <f>TEXT(44416, "[$-0E0000]yyyy-mm-dd")</f>
        <v/>
      </c>
      <c r="C44417" t="inlineStr">
        <is>
          <t>2021-07-02</t>
        </is>
      </c>
    </row>
    <row r="44418">
      <c r="A44418" s="1" t="n">
        <v>44417</v>
      </c>
      <c r="B44418">
        <f>TEXT(44417, "[$-0E0000]yyyy-mm-dd")</f>
        <v/>
      </c>
      <c r="C44418" t="inlineStr">
        <is>
          <t>2021-07-03</t>
        </is>
      </c>
    </row>
    <row r="44419">
      <c r="A44419" s="1" t="n">
        <v>44418</v>
      </c>
      <c r="B44419">
        <f>TEXT(44418, "[$-0E0000]yyyy-mm-dd")</f>
        <v/>
      </c>
      <c r="C44419" t="inlineStr">
        <is>
          <t>2021-07-04</t>
        </is>
      </c>
    </row>
    <row r="44420">
      <c r="A44420" s="1" t="n">
        <v>44419</v>
      </c>
      <c r="B44420">
        <f>TEXT(44419, "[$-0E0000]yyyy-mm-dd")</f>
        <v/>
      </c>
      <c r="C44420" t="inlineStr">
        <is>
          <t>2021-07-05</t>
        </is>
      </c>
    </row>
    <row r="44421">
      <c r="A44421" s="1" t="n">
        <v>44420</v>
      </c>
      <c r="B44421">
        <f>TEXT(44420, "[$-0E0000]yyyy-mm-dd")</f>
        <v/>
      </c>
      <c r="C44421" t="inlineStr">
        <is>
          <t>2021-07-06</t>
        </is>
      </c>
    </row>
    <row r="44422">
      <c r="A44422" s="1" t="n">
        <v>44421</v>
      </c>
      <c r="B44422">
        <f>TEXT(44421, "[$-0E0000]yyyy-mm-dd")</f>
        <v/>
      </c>
      <c r="C44422" t="inlineStr">
        <is>
          <t>2021-07-07</t>
        </is>
      </c>
    </row>
    <row r="44423">
      <c r="A44423" s="1" t="n">
        <v>44422</v>
      </c>
      <c r="B44423">
        <f>TEXT(44422, "[$-0E0000]yyyy-mm-dd")</f>
        <v/>
      </c>
      <c r="C44423" t="inlineStr">
        <is>
          <t>2021-07-08</t>
        </is>
      </c>
    </row>
    <row r="44424">
      <c r="A44424" s="1" t="n">
        <v>44423</v>
      </c>
      <c r="B44424">
        <f>TEXT(44423, "[$-0E0000]yyyy-mm-dd")</f>
        <v/>
      </c>
      <c r="C44424" t="inlineStr">
        <is>
          <t>2021-07-09</t>
        </is>
      </c>
    </row>
    <row r="44425">
      <c r="A44425" s="1" t="n">
        <v>44424</v>
      </c>
      <c r="B44425">
        <f>TEXT(44424, "[$-0E0000]yyyy-mm-dd")</f>
        <v/>
      </c>
      <c r="C44425" t="inlineStr">
        <is>
          <t>2021-07-10</t>
        </is>
      </c>
    </row>
    <row r="44426">
      <c r="A44426" s="1" t="n">
        <v>44425</v>
      </c>
      <c r="B44426">
        <f>TEXT(44425, "[$-0E0000]yyyy-mm-dd")</f>
        <v/>
      </c>
      <c r="C44426" t="inlineStr">
        <is>
          <t>2021-07-11</t>
        </is>
      </c>
    </row>
    <row r="44427">
      <c r="A44427" s="1" t="n">
        <v>44426</v>
      </c>
      <c r="B44427">
        <f>TEXT(44426, "[$-0E0000]yyyy-mm-dd")</f>
        <v/>
      </c>
      <c r="C44427" t="inlineStr">
        <is>
          <t>2021-07-12</t>
        </is>
      </c>
    </row>
    <row r="44428">
      <c r="A44428" s="1" t="n">
        <v>44427</v>
      </c>
      <c r="B44428">
        <f>TEXT(44427, "[$-0E0000]yyyy-mm-dd")</f>
        <v/>
      </c>
      <c r="C44428" t="inlineStr">
        <is>
          <t>2021-07-13</t>
        </is>
      </c>
    </row>
    <row r="44429">
      <c r="A44429" s="1" t="n">
        <v>44428</v>
      </c>
      <c r="B44429">
        <f>TEXT(44428, "[$-0E0000]yyyy-mm-dd")</f>
        <v/>
      </c>
      <c r="C44429" t="inlineStr">
        <is>
          <t>2021-07-14</t>
        </is>
      </c>
    </row>
    <row r="44430">
      <c r="A44430" s="1" t="n">
        <v>44429</v>
      </c>
      <c r="B44430">
        <f>TEXT(44429, "[$-0E0000]yyyy-mm-dd")</f>
        <v/>
      </c>
      <c r="C44430" t="inlineStr">
        <is>
          <t>2021-07-15</t>
        </is>
      </c>
    </row>
    <row r="44431">
      <c r="A44431" s="1" t="n">
        <v>44430</v>
      </c>
      <c r="B44431">
        <f>TEXT(44430, "[$-0E0000]yyyy-mm-dd")</f>
        <v/>
      </c>
      <c r="C44431" t="inlineStr">
        <is>
          <t>2021-07-16</t>
        </is>
      </c>
    </row>
    <row r="44432">
      <c r="A44432" s="1" t="n">
        <v>44431</v>
      </c>
      <c r="B44432">
        <f>TEXT(44431, "[$-0E0000]yyyy-mm-dd")</f>
        <v/>
      </c>
      <c r="C44432" t="inlineStr">
        <is>
          <t>2021-07-17</t>
        </is>
      </c>
    </row>
    <row r="44433">
      <c r="A44433" s="1" t="n">
        <v>44432</v>
      </c>
      <c r="B44433">
        <f>TEXT(44432, "[$-0E0000]yyyy-mm-dd")</f>
        <v/>
      </c>
      <c r="C44433" t="inlineStr">
        <is>
          <t>2021-07-18</t>
        </is>
      </c>
    </row>
    <row r="44434">
      <c r="A44434" s="1" t="n">
        <v>44433</v>
      </c>
      <c r="B44434">
        <f>TEXT(44433, "[$-0E0000]yyyy-mm-dd")</f>
        <v/>
      </c>
      <c r="C44434" t="inlineStr">
        <is>
          <t>2021-07-19</t>
        </is>
      </c>
    </row>
    <row r="44435">
      <c r="A44435" s="1" t="n">
        <v>44434</v>
      </c>
      <c r="B44435">
        <f>TEXT(44434, "[$-0E0000]yyyy-mm-dd")</f>
        <v/>
      </c>
      <c r="C44435" t="inlineStr">
        <is>
          <t>2021-07-20</t>
        </is>
      </c>
    </row>
    <row r="44436">
      <c r="A44436" s="1" t="n">
        <v>44435</v>
      </c>
      <c r="B44436">
        <f>TEXT(44435, "[$-0E0000]yyyy-mm-dd")</f>
        <v/>
      </c>
      <c r="C44436" t="inlineStr">
        <is>
          <t>2021-07-21</t>
        </is>
      </c>
    </row>
    <row r="44437">
      <c r="A44437" s="1" t="n">
        <v>44436</v>
      </c>
      <c r="B44437">
        <f>TEXT(44436, "[$-0E0000]yyyy-mm-dd")</f>
        <v/>
      </c>
      <c r="C44437" t="inlineStr">
        <is>
          <t>2021-07-22</t>
        </is>
      </c>
    </row>
    <row r="44438">
      <c r="A44438" s="1" t="n">
        <v>44437</v>
      </c>
      <c r="B44438">
        <f>TEXT(44437, "[$-0E0000]yyyy-mm-dd")</f>
        <v/>
      </c>
      <c r="C44438" t="inlineStr">
        <is>
          <t>2021-07-23</t>
        </is>
      </c>
    </row>
    <row r="44439">
      <c r="A44439" s="1" t="n">
        <v>44438</v>
      </c>
      <c r="B44439">
        <f>TEXT(44438, "[$-0E0000]yyyy-mm-dd")</f>
        <v/>
      </c>
      <c r="C44439" t="inlineStr">
        <is>
          <t>2021-07-24</t>
        </is>
      </c>
    </row>
    <row r="44440">
      <c r="A44440" s="1" t="n">
        <v>44439</v>
      </c>
      <c r="B44440">
        <f>TEXT(44439, "[$-0E0000]yyyy-mm-dd")</f>
        <v/>
      </c>
      <c r="C44440" t="inlineStr">
        <is>
          <t>2021-07-25</t>
        </is>
      </c>
    </row>
    <row r="44441">
      <c r="A44441" s="1" t="n">
        <v>44440</v>
      </c>
      <c r="B44441">
        <f>TEXT(44440, "[$-0E0000]yyyy-mm-dd")</f>
        <v/>
      </c>
      <c r="C44441" t="inlineStr">
        <is>
          <t>2021-07-26</t>
        </is>
      </c>
    </row>
    <row r="44442">
      <c r="A44442" s="1" t="n">
        <v>44441</v>
      </c>
      <c r="B44442">
        <f>TEXT(44441, "[$-0E0000]yyyy-mm-dd")</f>
        <v/>
      </c>
      <c r="C44442" t="inlineStr">
        <is>
          <t>2021-07-27</t>
        </is>
      </c>
    </row>
    <row r="44443">
      <c r="A44443" s="1" t="n">
        <v>44442</v>
      </c>
      <c r="B44443">
        <f>TEXT(44442, "[$-0E0000]yyyy-mm-dd")</f>
        <v/>
      </c>
      <c r="C44443" t="inlineStr">
        <is>
          <t>2021-07-28</t>
        </is>
      </c>
    </row>
    <row r="44444">
      <c r="A44444" s="1" t="n">
        <v>44443</v>
      </c>
      <c r="B44444">
        <f>TEXT(44443, "[$-0E0000]yyyy-mm-dd")</f>
        <v/>
      </c>
      <c r="C44444" t="inlineStr">
        <is>
          <t>2021-07-29</t>
        </is>
      </c>
    </row>
    <row r="44445">
      <c r="A44445" s="1" t="n">
        <v>44444</v>
      </c>
      <c r="B44445">
        <f>TEXT(44444, "[$-0E0000]yyyy-mm-dd")</f>
        <v/>
      </c>
      <c r="C44445" t="inlineStr">
        <is>
          <t>2021-07-30</t>
        </is>
      </c>
    </row>
    <row r="44446">
      <c r="A44446" s="1" t="n">
        <v>44445</v>
      </c>
      <c r="B44446">
        <f>TEXT(44445, "[$-0E0000]yyyy-mm-dd")</f>
        <v/>
      </c>
      <c r="C44446" t="inlineStr">
        <is>
          <t>2021-08-01</t>
        </is>
      </c>
    </row>
    <row r="44447">
      <c r="A44447" s="1" t="n">
        <v>44446</v>
      </c>
      <c r="B44447">
        <f>TEXT(44446, "[$-0E0000]yyyy-mm-dd")</f>
        <v/>
      </c>
      <c r="C44447" t="inlineStr">
        <is>
          <t>2021-08-02</t>
        </is>
      </c>
    </row>
    <row r="44448">
      <c r="A44448" s="1" t="n">
        <v>44447</v>
      </c>
      <c r="B44448">
        <f>TEXT(44447, "[$-0E0000]yyyy-mm-dd")</f>
        <v/>
      </c>
      <c r="C44448" t="inlineStr">
        <is>
          <t>2021-08-03</t>
        </is>
      </c>
    </row>
    <row r="44449">
      <c r="A44449" s="1" t="n">
        <v>44448</v>
      </c>
      <c r="B44449">
        <f>TEXT(44448, "[$-0E0000]yyyy-mm-dd")</f>
        <v/>
      </c>
      <c r="C44449" t="inlineStr">
        <is>
          <t>2021-08-04</t>
        </is>
      </c>
    </row>
    <row r="44450">
      <c r="A44450" s="1" t="n">
        <v>44449</v>
      </c>
      <c r="B44450">
        <f>TEXT(44449, "[$-0E0000]yyyy-mm-dd")</f>
        <v/>
      </c>
      <c r="C44450" t="inlineStr">
        <is>
          <t>2021-08-05</t>
        </is>
      </c>
    </row>
    <row r="44451">
      <c r="A44451" s="1" t="n">
        <v>44450</v>
      </c>
      <c r="B44451">
        <f>TEXT(44450, "[$-0E0000]yyyy-mm-dd")</f>
        <v/>
      </c>
      <c r="C44451" t="inlineStr">
        <is>
          <t>2021-08-06</t>
        </is>
      </c>
    </row>
    <row r="44452">
      <c r="A44452" s="1" t="n">
        <v>44451</v>
      </c>
      <c r="B44452">
        <f>TEXT(44451, "[$-0E0000]yyyy-mm-dd")</f>
        <v/>
      </c>
      <c r="C44452" t="inlineStr">
        <is>
          <t>2021-08-07</t>
        </is>
      </c>
    </row>
    <row r="44453">
      <c r="A44453" s="1" t="n">
        <v>44452</v>
      </c>
      <c r="B44453">
        <f>TEXT(44452, "[$-0E0000]yyyy-mm-dd")</f>
        <v/>
      </c>
      <c r="C44453" t="inlineStr">
        <is>
          <t>2021-08-08</t>
        </is>
      </c>
    </row>
    <row r="44454">
      <c r="A44454" s="1" t="n">
        <v>44453</v>
      </c>
      <c r="B44454">
        <f>TEXT(44453, "[$-0E0000]yyyy-mm-dd")</f>
        <v/>
      </c>
      <c r="C44454" t="inlineStr">
        <is>
          <t>2021-08-09</t>
        </is>
      </c>
    </row>
    <row r="44455">
      <c r="A44455" s="1" t="n">
        <v>44454</v>
      </c>
      <c r="B44455">
        <f>TEXT(44454, "[$-0E0000]yyyy-mm-dd")</f>
        <v/>
      </c>
      <c r="C44455" t="inlineStr">
        <is>
          <t>2021-08-10</t>
        </is>
      </c>
    </row>
    <row r="44456">
      <c r="A44456" s="1" t="n">
        <v>44455</v>
      </c>
      <c r="B44456">
        <f>TEXT(44455, "[$-0E0000]yyyy-mm-dd")</f>
        <v/>
      </c>
      <c r="C44456" t="inlineStr">
        <is>
          <t>2021-08-11</t>
        </is>
      </c>
    </row>
    <row r="44457">
      <c r="A44457" s="1" t="n">
        <v>44456</v>
      </c>
      <c r="B44457">
        <f>TEXT(44456, "[$-0E0000]yyyy-mm-dd")</f>
        <v/>
      </c>
      <c r="C44457" t="inlineStr">
        <is>
          <t>2021-08-12</t>
        </is>
      </c>
    </row>
    <row r="44458">
      <c r="A44458" s="1" t="n">
        <v>44457</v>
      </c>
      <c r="B44458">
        <f>TEXT(44457, "[$-0E0000]yyyy-mm-dd")</f>
        <v/>
      </c>
      <c r="C44458" t="inlineStr">
        <is>
          <t>2021-08-13</t>
        </is>
      </c>
    </row>
    <row r="44459">
      <c r="A44459" s="1" t="n">
        <v>44458</v>
      </c>
      <c r="B44459">
        <f>TEXT(44458, "[$-0E0000]yyyy-mm-dd")</f>
        <v/>
      </c>
      <c r="C44459" t="inlineStr">
        <is>
          <t>2021-08-14</t>
        </is>
      </c>
    </row>
    <row r="44460">
      <c r="A44460" s="1" t="n">
        <v>44459</v>
      </c>
      <c r="B44460">
        <f>TEXT(44459, "[$-0E0000]yyyy-mm-dd")</f>
        <v/>
      </c>
      <c r="C44460" t="inlineStr">
        <is>
          <t>2021-08-15</t>
        </is>
      </c>
    </row>
    <row r="44461">
      <c r="A44461" s="1" t="n">
        <v>44460</v>
      </c>
      <c r="B44461">
        <f>TEXT(44460, "[$-0E0000]yyyy-mm-dd")</f>
        <v/>
      </c>
      <c r="C44461" t="inlineStr">
        <is>
          <t>2021-08-16</t>
        </is>
      </c>
    </row>
    <row r="44462">
      <c r="A44462" s="1" t="n">
        <v>44461</v>
      </c>
      <c r="B44462">
        <f>TEXT(44461, "[$-0E0000]yyyy-mm-dd")</f>
        <v/>
      </c>
      <c r="C44462" t="inlineStr">
        <is>
          <t>2021-08-17</t>
        </is>
      </c>
    </row>
    <row r="44463">
      <c r="A44463" s="1" t="n">
        <v>44462</v>
      </c>
      <c r="B44463">
        <f>TEXT(44462, "[$-0E0000]yyyy-mm-dd")</f>
        <v/>
      </c>
      <c r="C44463" t="inlineStr">
        <is>
          <t>2021-08-18</t>
        </is>
      </c>
    </row>
    <row r="44464">
      <c r="A44464" s="1" t="n">
        <v>44463</v>
      </c>
      <c r="B44464">
        <f>TEXT(44463, "[$-0E0000]yyyy-mm-dd")</f>
        <v/>
      </c>
      <c r="C44464" t="inlineStr">
        <is>
          <t>2021-08-19</t>
        </is>
      </c>
    </row>
    <row r="44465">
      <c r="A44465" s="1" t="n">
        <v>44464</v>
      </c>
      <c r="B44465">
        <f>TEXT(44464, "[$-0E0000]yyyy-mm-dd")</f>
        <v/>
      </c>
      <c r="C44465" t="inlineStr">
        <is>
          <t>2021-08-20</t>
        </is>
      </c>
    </row>
    <row r="44466">
      <c r="A44466" s="1" t="n">
        <v>44465</v>
      </c>
      <c r="B44466">
        <f>TEXT(44465, "[$-0E0000]yyyy-mm-dd")</f>
        <v/>
      </c>
      <c r="C44466" t="inlineStr">
        <is>
          <t>2021-08-21</t>
        </is>
      </c>
    </row>
    <row r="44467">
      <c r="A44467" s="1" t="n">
        <v>44466</v>
      </c>
      <c r="B44467">
        <f>TEXT(44466, "[$-0E0000]yyyy-mm-dd")</f>
        <v/>
      </c>
      <c r="C44467" t="inlineStr">
        <is>
          <t>2021-08-22</t>
        </is>
      </c>
    </row>
    <row r="44468">
      <c r="A44468" s="1" t="n">
        <v>44467</v>
      </c>
      <c r="B44468">
        <f>TEXT(44467, "[$-0E0000]yyyy-mm-dd")</f>
        <v/>
      </c>
      <c r="C44468" t="inlineStr">
        <is>
          <t>2021-08-23</t>
        </is>
      </c>
    </row>
    <row r="44469">
      <c r="A44469" s="1" t="n">
        <v>44468</v>
      </c>
      <c r="B44469">
        <f>TEXT(44468, "[$-0E0000]yyyy-mm-dd")</f>
        <v/>
      </c>
      <c r="C44469" t="inlineStr">
        <is>
          <t>2021-08-24</t>
        </is>
      </c>
    </row>
    <row r="44470">
      <c r="A44470" s="1" t="n">
        <v>44469</v>
      </c>
      <c r="B44470">
        <f>TEXT(44469, "[$-0E0000]yyyy-mm-dd")</f>
        <v/>
      </c>
      <c r="C44470" t="inlineStr">
        <is>
          <t>2021-08-25</t>
        </is>
      </c>
    </row>
    <row r="44471">
      <c r="A44471" s="1" t="n">
        <v>44470</v>
      </c>
      <c r="B44471">
        <f>TEXT(44470, "[$-0E0000]yyyy-mm-dd")</f>
        <v/>
      </c>
      <c r="C44471" t="inlineStr">
        <is>
          <t>2021-08-26</t>
        </is>
      </c>
    </row>
    <row r="44472">
      <c r="A44472" s="1" t="n">
        <v>44471</v>
      </c>
      <c r="B44472">
        <f>TEXT(44471, "[$-0E0000]yyyy-mm-dd")</f>
        <v/>
      </c>
      <c r="C44472" t="inlineStr">
        <is>
          <t>2021-08-27</t>
        </is>
      </c>
    </row>
    <row r="44473">
      <c r="A44473" s="1" t="n">
        <v>44472</v>
      </c>
      <c r="B44473">
        <f>TEXT(44472, "[$-0E0000]yyyy-mm-dd")</f>
        <v/>
      </c>
      <c r="C44473" t="inlineStr">
        <is>
          <t>2021-08-28</t>
        </is>
      </c>
    </row>
    <row r="44474">
      <c r="A44474" s="1" t="n">
        <v>44473</v>
      </c>
      <c r="B44474">
        <f>TEXT(44473, "[$-0E0000]yyyy-mm-dd")</f>
        <v/>
      </c>
      <c r="C44474" t="inlineStr">
        <is>
          <t>2021-08-29</t>
        </is>
      </c>
    </row>
    <row r="44475">
      <c r="A44475" s="1" t="n">
        <v>44474</v>
      </c>
      <c r="B44475">
        <f>TEXT(44474, "[$-0E0000]yyyy-mm-dd")</f>
        <v/>
      </c>
      <c r="C44475" t="inlineStr">
        <is>
          <t>2021-09-01</t>
        </is>
      </c>
    </row>
    <row r="44476">
      <c r="A44476" s="1" t="n">
        <v>44475</v>
      </c>
      <c r="B44476">
        <f>TEXT(44475, "[$-0E0000]yyyy-mm-dd")</f>
        <v/>
      </c>
      <c r="C44476" t="inlineStr">
        <is>
          <t>2021-09-02</t>
        </is>
      </c>
    </row>
    <row r="44477">
      <c r="A44477" s="1" t="n">
        <v>44476</v>
      </c>
      <c r="B44477">
        <f>TEXT(44476, "[$-0E0000]yyyy-mm-dd")</f>
        <v/>
      </c>
      <c r="C44477" t="inlineStr">
        <is>
          <t>2021-09-03</t>
        </is>
      </c>
    </row>
    <row r="44478">
      <c r="A44478" s="1" t="n">
        <v>44477</v>
      </c>
      <c r="B44478">
        <f>TEXT(44477, "[$-0E0000]yyyy-mm-dd")</f>
        <v/>
      </c>
      <c r="C44478" t="inlineStr">
        <is>
          <t>2021-09-04</t>
        </is>
      </c>
    </row>
    <row r="44479">
      <c r="A44479" s="1" t="n">
        <v>44478</v>
      </c>
      <c r="B44479">
        <f>TEXT(44478, "[$-0E0000]yyyy-mm-dd")</f>
        <v/>
      </c>
      <c r="C44479" t="inlineStr">
        <is>
          <t>2021-09-05</t>
        </is>
      </c>
    </row>
    <row r="44480">
      <c r="A44480" s="1" t="n">
        <v>44479</v>
      </c>
      <c r="B44480">
        <f>TEXT(44479, "[$-0E0000]yyyy-mm-dd")</f>
        <v/>
      </c>
      <c r="C44480" t="inlineStr">
        <is>
          <t>2021-09-06</t>
        </is>
      </c>
    </row>
    <row r="44481">
      <c r="A44481" s="1" t="n">
        <v>44480</v>
      </c>
      <c r="B44481">
        <f>TEXT(44480, "[$-0E0000]yyyy-mm-dd")</f>
        <v/>
      </c>
      <c r="C44481" t="inlineStr">
        <is>
          <t>2021-09-07</t>
        </is>
      </c>
    </row>
    <row r="44482">
      <c r="A44482" s="1" t="n">
        <v>44481</v>
      </c>
      <c r="B44482">
        <f>TEXT(44481, "[$-0E0000]yyyy-mm-dd")</f>
        <v/>
      </c>
      <c r="C44482" t="inlineStr">
        <is>
          <t>2021-09-08</t>
        </is>
      </c>
    </row>
    <row r="44483">
      <c r="A44483" s="1" t="n">
        <v>44482</v>
      </c>
      <c r="B44483">
        <f>TEXT(44482, "[$-0E0000]yyyy-mm-dd")</f>
        <v/>
      </c>
      <c r="C44483" t="inlineStr">
        <is>
          <t>2021-09-09</t>
        </is>
      </c>
    </row>
    <row r="44484">
      <c r="A44484" s="1" t="n">
        <v>44483</v>
      </c>
      <c r="B44484">
        <f>TEXT(44483, "[$-0E0000]yyyy-mm-dd")</f>
        <v/>
      </c>
      <c r="C44484" t="inlineStr">
        <is>
          <t>2021-09-10</t>
        </is>
      </c>
    </row>
    <row r="44485">
      <c r="A44485" s="1" t="n">
        <v>44484</v>
      </c>
      <c r="B44485">
        <f>TEXT(44484, "[$-0E0000]yyyy-mm-dd")</f>
        <v/>
      </c>
      <c r="C44485" t="inlineStr">
        <is>
          <t>2021-09-11</t>
        </is>
      </c>
    </row>
    <row r="44486">
      <c r="A44486" s="1" t="n">
        <v>44485</v>
      </c>
      <c r="B44486">
        <f>TEXT(44485, "[$-0E0000]yyyy-mm-dd")</f>
        <v/>
      </c>
      <c r="C44486" t="inlineStr">
        <is>
          <t>2021-09-12</t>
        </is>
      </c>
    </row>
    <row r="44487">
      <c r="A44487" s="1" t="n">
        <v>44486</v>
      </c>
      <c r="B44487">
        <f>TEXT(44486, "[$-0E0000]yyyy-mm-dd")</f>
        <v/>
      </c>
      <c r="C44487" t="inlineStr">
        <is>
          <t>2021-09-13</t>
        </is>
      </c>
    </row>
    <row r="44488">
      <c r="A44488" s="1" t="n">
        <v>44487</v>
      </c>
      <c r="B44488">
        <f>TEXT(44487, "[$-0E0000]yyyy-mm-dd")</f>
        <v/>
      </c>
      <c r="C44488" t="inlineStr">
        <is>
          <t>2021-09-14</t>
        </is>
      </c>
    </row>
    <row r="44489">
      <c r="A44489" s="1" t="n">
        <v>44488</v>
      </c>
      <c r="B44489">
        <f>TEXT(44488, "[$-0E0000]yyyy-mm-dd")</f>
        <v/>
      </c>
      <c r="C44489" t="inlineStr">
        <is>
          <t>2021-09-15</t>
        </is>
      </c>
    </row>
    <row r="44490">
      <c r="A44490" s="1" t="n">
        <v>44489</v>
      </c>
      <c r="B44490">
        <f>TEXT(44489, "[$-0E0000]yyyy-mm-dd")</f>
        <v/>
      </c>
      <c r="C44490" t="inlineStr">
        <is>
          <t>2021-09-16</t>
        </is>
      </c>
    </row>
    <row r="44491">
      <c r="A44491" s="1" t="n">
        <v>44490</v>
      </c>
      <c r="B44491">
        <f>TEXT(44490, "[$-0E0000]yyyy-mm-dd")</f>
        <v/>
      </c>
      <c r="C44491" t="inlineStr">
        <is>
          <t>2021-09-17</t>
        </is>
      </c>
    </row>
    <row r="44492">
      <c r="A44492" s="1" t="n">
        <v>44491</v>
      </c>
      <c r="B44492">
        <f>TEXT(44491, "[$-0E0000]yyyy-mm-dd")</f>
        <v/>
      </c>
      <c r="C44492" t="inlineStr">
        <is>
          <t>2021-09-18</t>
        </is>
      </c>
    </row>
    <row r="44493">
      <c r="A44493" s="1" t="n">
        <v>44492</v>
      </c>
      <c r="B44493">
        <f>TEXT(44492, "[$-0E0000]yyyy-mm-dd")</f>
        <v/>
      </c>
      <c r="C44493" t="inlineStr">
        <is>
          <t>2021-09-19</t>
        </is>
      </c>
    </row>
    <row r="44494">
      <c r="A44494" s="1" t="n">
        <v>44493</v>
      </c>
      <c r="B44494">
        <f>TEXT(44493, "[$-0E0000]yyyy-mm-dd")</f>
        <v/>
      </c>
      <c r="C44494" t="inlineStr">
        <is>
          <t>2021-09-20</t>
        </is>
      </c>
    </row>
    <row r="44495">
      <c r="A44495" s="1" t="n">
        <v>44494</v>
      </c>
      <c r="B44495">
        <f>TEXT(44494, "[$-0E0000]yyyy-mm-dd")</f>
        <v/>
      </c>
      <c r="C44495" t="inlineStr">
        <is>
          <t>2021-09-21</t>
        </is>
      </c>
    </row>
    <row r="44496">
      <c r="A44496" s="1" t="n">
        <v>44495</v>
      </c>
      <c r="B44496">
        <f>TEXT(44495, "[$-0E0000]yyyy-mm-dd")</f>
        <v/>
      </c>
      <c r="C44496" t="inlineStr">
        <is>
          <t>2021-09-22</t>
        </is>
      </c>
    </row>
    <row r="44497">
      <c r="A44497" s="1" t="n">
        <v>44496</v>
      </c>
      <c r="B44497">
        <f>TEXT(44496, "[$-0E0000]yyyy-mm-dd")</f>
        <v/>
      </c>
      <c r="C44497" t="inlineStr">
        <is>
          <t>2021-09-23</t>
        </is>
      </c>
    </row>
    <row r="44498">
      <c r="A44498" s="1" t="n">
        <v>44497</v>
      </c>
      <c r="B44498">
        <f>TEXT(44497, "[$-0E0000]yyyy-mm-dd")</f>
        <v/>
      </c>
      <c r="C44498" t="inlineStr">
        <is>
          <t>2021-09-24</t>
        </is>
      </c>
    </row>
    <row r="44499">
      <c r="A44499" s="1" t="n">
        <v>44498</v>
      </c>
      <c r="B44499">
        <f>TEXT(44498, "[$-0E0000]yyyy-mm-dd")</f>
        <v/>
      </c>
      <c r="C44499" t="inlineStr">
        <is>
          <t>2021-09-25</t>
        </is>
      </c>
    </row>
    <row r="44500">
      <c r="A44500" s="1" t="n">
        <v>44499</v>
      </c>
      <c r="B44500">
        <f>TEXT(44499, "[$-0E0000]yyyy-mm-dd")</f>
        <v/>
      </c>
      <c r="C44500" t="inlineStr">
        <is>
          <t>2021-09-26</t>
        </is>
      </c>
    </row>
    <row r="44501">
      <c r="A44501" s="1" t="n">
        <v>44500</v>
      </c>
      <c r="B44501">
        <f>TEXT(44500, "[$-0E0000]yyyy-mm-dd")</f>
        <v/>
      </c>
      <c r="C44501" t="inlineStr">
        <is>
          <t>2021-09-27</t>
        </is>
      </c>
    </row>
    <row r="44502">
      <c r="A44502" s="1" t="n">
        <v>44501</v>
      </c>
      <c r="B44502">
        <f>TEXT(44501, "[$-0E0000]yyyy-mm-dd")</f>
        <v/>
      </c>
      <c r="C44502" t="inlineStr">
        <is>
          <t>2021-09-28</t>
        </is>
      </c>
    </row>
    <row r="44503">
      <c r="A44503" s="1" t="n">
        <v>44502</v>
      </c>
      <c r="B44503">
        <f>TEXT(44502, "[$-0E0000]yyyy-mm-dd")</f>
        <v/>
      </c>
      <c r="C44503" t="inlineStr">
        <is>
          <t>2021-09-29</t>
        </is>
      </c>
    </row>
    <row r="44504">
      <c r="A44504" s="1" t="n">
        <v>44503</v>
      </c>
      <c r="B44504">
        <f>TEXT(44503, "[$-0E0000]yyyy-mm-dd")</f>
        <v/>
      </c>
      <c r="C44504" t="inlineStr">
        <is>
          <t>2021-09-30</t>
        </is>
      </c>
    </row>
    <row r="44505">
      <c r="A44505" s="1" t="n">
        <v>44504</v>
      </c>
      <c r="B44505">
        <f>TEXT(44504, "[$-0E0000]yyyy-mm-dd")</f>
        <v/>
      </c>
      <c r="C44505" t="inlineStr">
        <is>
          <t>2021-10-01</t>
        </is>
      </c>
    </row>
    <row r="44506">
      <c r="A44506" s="1" t="n">
        <v>44505</v>
      </c>
      <c r="B44506">
        <f>TEXT(44505, "[$-0E0000]yyyy-mm-dd")</f>
        <v/>
      </c>
      <c r="C44506" t="inlineStr">
        <is>
          <t>2021-10-02</t>
        </is>
      </c>
    </row>
    <row r="44507">
      <c r="A44507" s="1" t="n">
        <v>44506</v>
      </c>
      <c r="B44507">
        <f>TEXT(44506, "[$-0E0000]yyyy-mm-dd")</f>
        <v/>
      </c>
      <c r="C44507" t="inlineStr">
        <is>
          <t>2021-10-03</t>
        </is>
      </c>
    </row>
    <row r="44508">
      <c r="A44508" s="1" t="n">
        <v>44507</v>
      </c>
      <c r="B44508">
        <f>TEXT(44507, "[$-0E0000]yyyy-mm-dd")</f>
        <v/>
      </c>
      <c r="C44508" t="inlineStr">
        <is>
          <t>2021-10-04</t>
        </is>
      </c>
    </row>
    <row r="44509">
      <c r="A44509" s="1" t="n">
        <v>44508</v>
      </c>
      <c r="B44509">
        <f>TEXT(44508, "[$-0E0000]yyyy-mm-dd")</f>
        <v/>
      </c>
      <c r="C44509" t="inlineStr">
        <is>
          <t>2021-10-05</t>
        </is>
      </c>
    </row>
    <row r="44510">
      <c r="A44510" s="1" t="n">
        <v>44509</v>
      </c>
      <c r="B44510">
        <f>TEXT(44509, "[$-0E0000]yyyy-mm-dd")</f>
        <v/>
      </c>
      <c r="C44510" t="inlineStr">
        <is>
          <t>2021-10-06</t>
        </is>
      </c>
    </row>
    <row r="44511">
      <c r="A44511" s="1" t="n">
        <v>44510</v>
      </c>
      <c r="B44511">
        <f>TEXT(44510, "[$-0E0000]yyyy-mm-dd")</f>
        <v/>
      </c>
      <c r="C44511" t="inlineStr">
        <is>
          <t>2021-10-07</t>
        </is>
      </c>
    </row>
    <row r="44512">
      <c r="A44512" s="1" t="n">
        <v>44511</v>
      </c>
      <c r="B44512">
        <f>TEXT(44511, "[$-0E0000]yyyy-mm-dd")</f>
        <v/>
      </c>
      <c r="C44512" t="inlineStr">
        <is>
          <t>2021-10-08</t>
        </is>
      </c>
    </row>
    <row r="44513">
      <c r="A44513" s="1" t="n">
        <v>44512</v>
      </c>
      <c r="B44513">
        <f>TEXT(44512, "[$-0E0000]yyyy-mm-dd")</f>
        <v/>
      </c>
      <c r="C44513" t="inlineStr">
        <is>
          <t>2021-10-09</t>
        </is>
      </c>
    </row>
    <row r="44514">
      <c r="A44514" s="1" t="n">
        <v>44513</v>
      </c>
      <c r="B44514">
        <f>TEXT(44513, "[$-0E0000]yyyy-mm-dd")</f>
        <v/>
      </c>
      <c r="C44514" t="inlineStr">
        <is>
          <t>2021-10-10</t>
        </is>
      </c>
    </row>
    <row r="44515">
      <c r="A44515" s="1" t="n">
        <v>44514</v>
      </c>
      <c r="B44515">
        <f>TEXT(44514, "[$-0E0000]yyyy-mm-dd")</f>
        <v/>
      </c>
      <c r="C44515" t="inlineStr">
        <is>
          <t>2021-10-11</t>
        </is>
      </c>
    </row>
    <row r="44516">
      <c r="A44516" s="1" t="n">
        <v>44515</v>
      </c>
      <c r="B44516">
        <f>TEXT(44515, "[$-0E0000]yyyy-mm-dd")</f>
        <v/>
      </c>
      <c r="C44516" t="inlineStr">
        <is>
          <t>2021-10-12</t>
        </is>
      </c>
    </row>
    <row r="44517">
      <c r="A44517" s="1" t="n">
        <v>44516</v>
      </c>
      <c r="B44517">
        <f>TEXT(44516, "[$-0E0000]yyyy-mm-dd")</f>
        <v/>
      </c>
      <c r="C44517" t="inlineStr">
        <is>
          <t>2021-10-13</t>
        </is>
      </c>
    </row>
    <row r="44518">
      <c r="A44518" s="1" t="n">
        <v>44517</v>
      </c>
      <c r="B44518">
        <f>TEXT(44517, "[$-0E0000]yyyy-mm-dd")</f>
        <v/>
      </c>
      <c r="C44518" t="inlineStr">
        <is>
          <t>2021-10-14</t>
        </is>
      </c>
    </row>
    <row r="44519">
      <c r="A44519" s="1" t="n">
        <v>44518</v>
      </c>
      <c r="B44519">
        <f>TEXT(44518, "[$-0E0000]yyyy-mm-dd")</f>
        <v/>
      </c>
      <c r="C44519" t="inlineStr">
        <is>
          <t>2021-10-15</t>
        </is>
      </c>
    </row>
    <row r="44520">
      <c r="A44520" s="1" t="n">
        <v>44519</v>
      </c>
      <c r="B44520">
        <f>TEXT(44519, "[$-0E0000]yyyy-mm-dd")</f>
        <v/>
      </c>
      <c r="C44520" t="inlineStr">
        <is>
          <t>2021-10-16</t>
        </is>
      </c>
    </row>
    <row r="44521">
      <c r="A44521" s="1" t="n">
        <v>44520</v>
      </c>
      <c r="B44521">
        <f>TEXT(44520, "[$-0E0000]yyyy-mm-dd")</f>
        <v/>
      </c>
      <c r="C44521" t="inlineStr">
        <is>
          <t>2021-10-17</t>
        </is>
      </c>
    </row>
    <row r="44522">
      <c r="A44522" s="1" t="n">
        <v>44521</v>
      </c>
      <c r="B44522">
        <f>TEXT(44521, "[$-0E0000]yyyy-mm-dd")</f>
        <v/>
      </c>
      <c r="C44522" t="inlineStr">
        <is>
          <t>2021-10-18</t>
        </is>
      </c>
    </row>
    <row r="44523">
      <c r="A44523" s="1" t="n">
        <v>44522</v>
      </c>
      <c r="B44523">
        <f>TEXT(44522, "[$-0E0000]yyyy-mm-dd")</f>
        <v/>
      </c>
      <c r="C44523" t="inlineStr">
        <is>
          <t>2021-10-19</t>
        </is>
      </c>
    </row>
    <row r="44524">
      <c r="A44524" s="1" t="n">
        <v>44523</v>
      </c>
      <c r="B44524">
        <f>TEXT(44523, "[$-0E0000]yyyy-mm-dd")</f>
        <v/>
      </c>
      <c r="C44524" t="inlineStr">
        <is>
          <t>2021-10-20</t>
        </is>
      </c>
    </row>
    <row r="44525">
      <c r="A44525" s="1" t="n">
        <v>44524</v>
      </c>
      <c r="B44525">
        <f>TEXT(44524, "[$-0E0000]yyyy-mm-dd")</f>
        <v/>
      </c>
      <c r="C44525" t="inlineStr">
        <is>
          <t>2021-10-21</t>
        </is>
      </c>
    </row>
    <row r="44526">
      <c r="A44526" s="1" t="n">
        <v>44525</v>
      </c>
      <c r="B44526">
        <f>TEXT(44525, "[$-0E0000]yyyy-mm-dd")</f>
        <v/>
      </c>
      <c r="C44526" t="inlineStr">
        <is>
          <t>2021-10-22</t>
        </is>
      </c>
    </row>
    <row r="44527">
      <c r="A44527" s="1" t="n">
        <v>44526</v>
      </c>
      <c r="B44527">
        <f>TEXT(44526, "[$-0E0000]yyyy-mm-dd")</f>
        <v/>
      </c>
      <c r="C44527" t="inlineStr">
        <is>
          <t>2021-10-23</t>
        </is>
      </c>
    </row>
    <row r="44528">
      <c r="A44528" s="1" t="n">
        <v>44527</v>
      </c>
      <c r="B44528">
        <f>TEXT(44527, "[$-0E0000]yyyy-mm-dd")</f>
        <v/>
      </c>
      <c r="C44528" t="inlineStr">
        <is>
          <t>2021-10-24</t>
        </is>
      </c>
    </row>
    <row r="44529">
      <c r="A44529" s="1" t="n">
        <v>44528</v>
      </c>
      <c r="B44529">
        <f>TEXT(44528, "[$-0E0000]yyyy-mm-dd")</f>
        <v/>
      </c>
      <c r="C44529" t="inlineStr">
        <is>
          <t>2021-10-25</t>
        </is>
      </c>
    </row>
    <row r="44530">
      <c r="A44530" s="1" t="n">
        <v>44529</v>
      </c>
      <c r="B44530">
        <f>TEXT(44529, "[$-0E0000]yyyy-mm-dd")</f>
        <v/>
      </c>
      <c r="C44530" t="inlineStr">
        <is>
          <t>2021-10-26</t>
        </is>
      </c>
    </row>
    <row r="44531">
      <c r="A44531" s="1" t="n">
        <v>44530</v>
      </c>
      <c r="B44531">
        <f>TEXT(44530, "[$-0E0000]yyyy-mm-dd")</f>
        <v/>
      </c>
      <c r="C44531" t="inlineStr">
        <is>
          <t>2021-10-27</t>
        </is>
      </c>
    </row>
    <row r="44532">
      <c r="A44532" s="1" t="n">
        <v>44531</v>
      </c>
      <c r="B44532">
        <f>TEXT(44531, "[$-0E0000]yyyy-mm-dd")</f>
        <v/>
      </c>
      <c r="C44532" t="inlineStr">
        <is>
          <t>2021-10-28</t>
        </is>
      </c>
    </row>
    <row r="44533">
      <c r="A44533" s="1" t="n">
        <v>44532</v>
      </c>
      <c r="B44533">
        <f>TEXT(44532, "[$-0E0000]yyyy-mm-dd")</f>
        <v/>
      </c>
      <c r="C44533" t="inlineStr">
        <is>
          <t>2021-10-29</t>
        </is>
      </c>
    </row>
    <row r="44534">
      <c r="A44534" s="1" t="n">
        <v>44533</v>
      </c>
      <c r="B44534">
        <f>TEXT(44533, "[$-0E0000]yyyy-mm-dd")</f>
        <v/>
      </c>
      <c r="C44534" t="inlineStr">
        <is>
          <t>2021-11-01</t>
        </is>
      </c>
    </row>
    <row r="44535">
      <c r="A44535" s="1" t="n">
        <v>44534</v>
      </c>
      <c r="B44535">
        <f>TEXT(44534, "[$-0E0000]yyyy-mm-dd")</f>
        <v/>
      </c>
      <c r="C44535" t="inlineStr">
        <is>
          <t>2021-11-02</t>
        </is>
      </c>
    </row>
    <row r="44536">
      <c r="A44536" s="1" t="n">
        <v>44535</v>
      </c>
      <c r="B44536">
        <f>TEXT(44535, "[$-0E0000]yyyy-mm-dd")</f>
        <v/>
      </c>
      <c r="C44536" t="inlineStr">
        <is>
          <t>2021-11-03</t>
        </is>
      </c>
    </row>
    <row r="44537">
      <c r="A44537" s="1" t="n">
        <v>44536</v>
      </c>
      <c r="B44537">
        <f>TEXT(44536, "[$-0E0000]yyyy-mm-dd")</f>
        <v/>
      </c>
      <c r="C44537" t="inlineStr">
        <is>
          <t>2021-11-04</t>
        </is>
      </c>
    </row>
    <row r="44538">
      <c r="A44538" s="1" t="n">
        <v>44537</v>
      </c>
      <c r="B44538">
        <f>TEXT(44537, "[$-0E0000]yyyy-mm-dd")</f>
        <v/>
      </c>
      <c r="C44538" t="inlineStr">
        <is>
          <t>2021-11-05</t>
        </is>
      </c>
    </row>
    <row r="44539">
      <c r="A44539" s="1" t="n">
        <v>44538</v>
      </c>
      <c r="B44539">
        <f>TEXT(44538, "[$-0E0000]yyyy-mm-dd")</f>
        <v/>
      </c>
      <c r="C44539" t="inlineStr">
        <is>
          <t>2021-11-06</t>
        </is>
      </c>
    </row>
    <row r="44540">
      <c r="A44540" s="1" t="n">
        <v>44539</v>
      </c>
      <c r="B44540">
        <f>TEXT(44539, "[$-0E0000]yyyy-mm-dd")</f>
        <v/>
      </c>
      <c r="C44540" t="inlineStr">
        <is>
          <t>2021-11-07</t>
        </is>
      </c>
    </row>
    <row r="44541">
      <c r="A44541" s="1" t="n">
        <v>44540</v>
      </c>
      <c r="B44541">
        <f>TEXT(44540, "[$-0E0000]yyyy-mm-dd")</f>
        <v/>
      </c>
      <c r="C44541" t="inlineStr">
        <is>
          <t>2021-11-08</t>
        </is>
      </c>
    </row>
    <row r="44542">
      <c r="A44542" s="1" t="n">
        <v>44541</v>
      </c>
      <c r="B44542">
        <f>TEXT(44541, "[$-0E0000]yyyy-mm-dd")</f>
        <v/>
      </c>
      <c r="C44542" t="inlineStr">
        <is>
          <t>2021-11-09</t>
        </is>
      </c>
    </row>
    <row r="44543">
      <c r="A44543" s="1" t="n">
        <v>44542</v>
      </c>
      <c r="B44543">
        <f>TEXT(44542, "[$-0E0000]yyyy-mm-dd")</f>
        <v/>
      </c>
      <c r="C44543" t="inlineStr">
        <is>
          <t>2021-11-10</t>
        </is>
      </c>
    </row>
    <row r="44544">
      <c r="A44544" s="1" t="n">
        <v>44543</v>
      </c>
      <c r="B44544">
        <f>TEXT(44543, "[$-0E0000]yyyy-mm-dd")</f>
        <v/>
      </c>
      <c r="C44544" t="inlineStr">
        <is>
          <t>2021-11-11</t>
        </is>
      </c>
    </row>
    <row r="44545">
      <c r="A44545" s="1" t="n">
        <v>44544</v>
      </c>
      <c r="B44545">
        <f>TEXT(44544, "[$-0E0000]yyyy-mm-dd")</f>
        <v/>
      </c>
      <c r="C44545" t="inlineStr">
        <is>
          <t>2021-11-12</t>
        </is>
      </c>
    </row>
    <row r="44546">
      <c r="A44546" s="1" t="n">
        <v>44545</v>
      </c>
      <c r="B44546">
        <f>TEXT(44545, "[$-0E0000]yyyy-mm-dd")</f>
        <v/>
      </c>
      <c r="C44546" t="inlineStr">
        <is>
          <t>2021-11-13</t>
        </is>
      </c>
    </row>
    <row r="44547">
      <c r="A44547" s="1" t="n">
        <v>44546</v>
      </c>
      <c r="B44547">
        <f>TEXT(44546, "[$-0E0000]yyyy-mm-dd")</f>
        <v/>
      </c>
      <c r="C44547" t="inlineStr">
        <is>
          <t>2021-11-14</t>
        </is>
      </c>
    </row>
    <row r="44548">
      <c r="A44548" s="1" t="n">
        <v>44547</v>
      </c>
      <c r="B44548">
        <f>TEXT(44547, "[$-0E0000]yyyy-mm-dd")</f>
        <v/>
      </c>
      <c r="C44548" t="inlineStr">
        <is>
          <t>2021-11-15</t>
        </is>
      </c>
    </row>
    <row r="44549">
      <c r="A44549" s="1" t="n">
        <v>44548</v>
      </c>
      <c r="B44549">
        <f>TEXT(44548, "[$-0E0000]yyyy-mm-dd")</f>
        <v/>
      </c>
      <c r="C44549" t="inlineStr">
        <is>
          <t>2021-11-16</t>
        </is>
      </c>
    </row>
    <row r="44550">
      <c r="A44550" s="1" t="n">
        <v>44549</v>
      </c>
      <c r="B44550">
        <f>TEXT(44549, "[$-0E0000]yyyy-mm-dd")</f>
        <v/>
      </c>
      <c r="C44550" t="inlineStr">
        <is>
          <t>2021-11-17</t>
        </is>
      </c>
    </row>
    <row r="44551">
      <c r="A44551" s="1" t="n">
        <v>44550</v>
      </c>
      <c r="B44551">
        <f>TEXT(44550, "[$-0E0000]yyyy-mm-dd")</f>
        <v/>
      </c>
      <c r="C44551" t="inlineStr">
        <is>
          <t>2021-11-18</t>
        </is>
      </c>
    </row>
    <row r="44552">
      <c r="A44552" s="1" t="n">
        <v>44551</v>
      </c>
      <c r="B44552">
        <f>TEXT(44551, "[$-0E0000]yyyy-mm-dd")</f>
        <v/>
      </c>
      <c r="C44552" t="inlineStr">
        <is>
          <t>2021-11-19</t>
        </is>
      </c>
    </row>
    <row r="44553">
      <c r="A44553" s="1" t="n">
        <v>44552</v>
      </c>
      <c r="B44553">
        <f>TEXT(44552, "[$-0E0000]yyyy-mm-dd")</f>
        <v/>
      </c>
      <c r="C44553" t="inlineStr">
        <is>
          <t>2021-11-20</t>
        </is>
      </c>
    </row>
    <row r="44554">
      <c r="A44554" s="1" t="n">
        <v>44553</v>
      </c>
      <c r="B44554">
        <f>TEXT(44553, "[$-0E0000]yyyy-mm-dd")</f>
        <v/>
      </c>
      <c r="C44554" t="inlineStr">
        <is>
          <t>2021-11-21</t>
        </is>
      </c>
    </row>
    <row r="44555">
      <c r="A44555" s="1" t="n">
        <v>44554</v>
      </c>
      <c r="B44555">
        <f>TEXT(44554, "[$-0E0000]yyyy-mm-dd")</f>
        <v/>
      </c>
      <c r="C44555" t="inlineStr">
        <is>
          <t>2021-11-22</t>
        </is>
      </c>
    </row>
    <row r="44556">
      <c r="A44556" s="1" t="n">
        <v>44555</v>
      </c>
      <c r="B44556">
        <f>TEXT(44555, "[$-0E0000]yyyy-mm-dd")</f>
        <v/>
      </c>
      <c r="C44556" t="inlineStr">
        <is>
          <t>2021-11-23</t>
        </is>
      </c>
    </row>
    <row r="44557">
      <c r="A44557" s="1" t="n">
        <v>44556</v>
      </c>
      <c r="B44557">
        <f>TEXT(44556, "[$-0E0000]yyyy-mm-dd")</f>
        <v/>
      </c>
      <c r="C44557" t="inlineStr">
        <is>
          <t>2021-11-24</t>
        </is>
      </c>
    </row>
    <row r="44558">
      <c r="A44558" s="1" t="n">
        <v>44557</v>
      </c>
      <c r="B44558">
        <f>TEXT(44557, "[$-0E0000]yyyy-mm-dd")</f>
        <v/>
      </c>
      <c r="C44558" t="inlineStr">
        <is>
          <t>2021-11-25</t>
        </is>
      </c>
    </row>
    <row r="44559">
      <c r="A44559" s="1" t="n">
        <v>44558</v>
      </c>
      <c r="B44559">
        <f>TEXT(44558, "[$-0E0000]yyyy-mm-dd")</f>
        <v/>
      </c>
      <c r="C44559" t="inlineStr">
        <is>
          <t>2021-11-26</t>
        </is>
      </c>
    </row>
    <row r="44560">
      <c r="A44560" s="1" t="n">
        <v>44559</v>
      </c>
      <c r="B44560">
        <f>TEXT(44559, "[$-0E0000]yyyy-mm-dd")</f>
        <v/>
      </c>
      <c r="C44560" t="inlineStr">
        <is>
          <t>2021-11-27</t>
        </is>
      </c>
    </row>
    <row r="44561">
      <c r="A44561" s="1" t="n">
        <v>44560</v>
      </c>
      <c r="B44561">
        <f>TEXT(44560, "[$-0E0000]yyyy-mm-dd")</f>
        <v/>
      </c>
      <c r="C44561" t="inlineStr">
        <is>
          <t>2021-11-28</t>
        </is>
      </c>
    </row>
    <row r="44562">
      <c r="A44562" s="1" t="n">
        <v>44561</v>
      </c>
      <c r="B44562">
        <f>TEXT(44561, "[$-0E0000]yyyy-mm-dd")</f>
        <v/>
      </c>
      <c r="C44562" t="inlineStr">
        <is>
          <t>2021-11-29</t>
        </is>
      </c>
    </row>
    <row r="44563">
      <c r="A44563" s="1" t="n">
        <v>44562</v>
      </c>
      <c r="B44563">
        <f>TEXT(44562, "[$-0E0000]yyyy-mm-dd")</f>
        <v/>
      </c>
      <c r="C44563" t="inlineStr">
        <is>
          <t>2021-11-30</t>
        </is>
      </c>
    </row>
    <row r="44564">
      <c r="A44564" s="1" t="n">
        <v>44563</v>
      </c>
      <c r="B44564">
        <f>TEXT(44563, "[$-0E0000]yyyy-mm-dd")</f>
        <v/>
      </c>
      <c r="C44564" t="inlineStr">
        <is>
          <t>2021-12-01</t>
        </is>
      </c>
    </row>
    <row r="44565">
      <c r="A44565" s="1" t="n">
        <v>44564</v>
      </c>
      <c r="B44565">
        <f>TEXT(44564, "[$-0E0000]yyyy-mm-dd")</f>
        <v/>
      </c>
      <c r="C44565" t="inlineStr">
        <is>
          <t>2021-12-02</t>
        </is>
      </c>
    </row>
    <row r="44566">
      <c r="A44566" s="1" t="n">
        <v>44565</v>
      </c>
      <c r="B44566">
        <f>TEXT(44565, "[$-0E0000]yyyy-mm-dd")</f>
        <v/>
      </c>
      <c r="C44566" t="inlineStr">
        <is>
          <t>2021-12-03</t>
        </is>
      </c>
    </row>
    <row r="44567">
      <c r="A44567" s="1" t="n">
        <v>44566</v>
      </c>
      <c r="B44567">
        <f>TEXT(44566, "[$-0E0000]yyyy-mm-dd")</f>
        <v/>
      </c>
      <c r="C44567" t="inlineStr">
        <is>
          <t>2021-12-04</t>
        </is>
      </c>
    </row>
    <row r="44568">
      <c r="A44568" s="1" t="n">
        <v>44567</v>
      </c>
      <c r="B44568">
        <f>TEXT(44567, "[$-0E0000]yyyy-mm-dd")</f>
        <v/>
      </c>
      <c r="C44568" t="inlineStr">
        <is>
          <t>2021-12-05</t>
        </is>
      </c>
    </row>
    <row r="44569">
      <c r="A44569" s="1" t="n">
        <v>44568</v>
      </c>
      <c r="B44569">
        <f>TEXT(44568, "[$-0E0000]yyyy-mm-dd")</f>
        <v/>
      </c>
      <c r="C44569" t="inlineStr">
        <is>
          <t>2021-12-06</t>
        </is>
      </c>
    </row>
    <row r="44570">
      <c r="A44570" s="1" t="n">
        <v>44569</v>
      </c>
      <c r="B44570">
        <f>TEXT(44569, "[$-0E0000]yyyy-mm-dd")</f>
        <v/>
      </c>
      <c r="C44570" t="inlineStr">
        <is>
          <t>2021-12-07</t>
        </is>
      </c>
    </row>
    <row r="44571">
      <c r="A44571" s="1" t="n">
        <v>44570</v>
      </c>
      <c r="B44571">
        <f>TEXT(44570, "[$-0E0000]yyyy-mm-dd")</f>
        <v/>
      </c>
      <c r="C44571" t="inlineStr">
        <is>
          <t>2021-12-08</t>
        </is>
      </c>
    </row>
    <row r="44572">
      <c r="A44572" s="1" t="n">
        <v>44571</v>
      </c>
      <c r="B44572">
        <f>TEXT(44571, "[$-0E0000]yyyy-mm-dd")</f>
        <v/>
      </c>
      <c r="C44572" t="inlineStr">
        <is>
          <t>2021-12-09</t>
        </is>
      </c>
    </row>
    <row r="44573">
      <c r="A44573" s="1" t="n">
        <v>44572</v>
      </c>
      <c r="B44573">
        <f>TEXT(44572, "[$-0E0000]yyyy-mm-dd")</f>
        <v/>
      </c>
      <c r="C44573" t="inlineStr">
        <is>
          <t>2021-12-10</t>
        </is>
      </c>
    </row>
    <row r="44574">
      <c r="A44574" s="1" t="n">
        <v>44573</v>
      </c>
      <c r="B44574">
        <f>TEXT(44573, "[$-0E0000]yyyy-mm-dd")</f>
        <v/>
      </c>
      <c r="C44574" t="inlineStr">
        <is>
          <t>2021-12-11</t>
        </is>
      </c>
    </row>
    <row r="44575">
      <c r="A44575" s="1" t="n">
        <v>44574</v>
      </c>
      <c r="B44575">
        <f>TEXT(44574, "[$-0E0000]yyyy-mm-dd")</f>
        <v/>
      </c>
      <c r="C44575" t="inlineStr">
        <is>
          <t>2021-12-12</t>
        </is>
      </c>
    </row>
    <row r="44576">
      <c r="A44576" s="1" t="n">
        <v>44575</v>
      </c>
      <c r="B44576">
        <f>TEXT(44575, "[$-0E0000]yyyy-mm-dd")</f>
        <v/>
      </c>
      <c r="C44576" t="inlineStr">
        <is>
          <t>2021-12-13</t>
        </is>
      </c>
    </row>
    <row r="44577">
      <c r="A44577" s="1" t="n">
        <v>44576</v>
      </c>
      <c r="B44577">
        <f>TEXT(44576, "[$-0E0000]yyyy-mm-dd")</f>
        <v/>
      </c>
      <c r="C44577" t="inlineStr">
        <is>
          <t>2021-12-14</t>
        </is>
      </c>
    </row>
    <row r="44578">
      <c r="A44578" s="1" t="n">
        <v>44577</v>
      </c>
      <c r="B44578">
        <f>TEXT(44577, "[$-0E0000]yyyy-mm-dd")</f>
        <v/>
      </c>
      <c r="C44578" t="inlineStr">
        <is>
          <t>2021-12-15</t>
        </is>
      </c>
    </row>
    <row r="44579">
      <c r="A44579" s="1" t="n">
        <v>44578</v>
      </c>
      <c r="B44579">
        <f>TEXT(44578, "[$-0E0000]yyyy-mm-dd")</f>
        <v/>
      </c>
      <c r="C44579" t="inlineStr">
        <is>
          <t>2021-12-16</t>
        </is>
      </c>
    </row>
    <row r="44580">
      <c r="A44580" s="1" t="n">
        <v>44579</v>
      </c>
      <c r="B44580">
        <f>TEXT(44579, "[$-0E0000]yyyy-mm-dd")</f>
        <v/>
      </c>
      <c r="C44580" t="inlineStr">
        <is>
          <t>2021-12-17</t>
        </is>
      </c>
    </row>
    <row r="44581">
      <c r="A44581" s="1" t="n">
        <v>44580</v>
      </c>
      <c r="B44581">
        <f>TEXT(44580, "[$-0E0000]yyyy-mm-dd")</f>
        <v/>
      </c>
      <c r="C44581" t="inlineStr">
        <is>
          <t>2021-12-18</t>
        </is>
      </c>
    </row>
    <row r="44582">
      <c r="A44582" s="1" t="n">
        <v>44581</v>
      </c>
      <c r="B44582">
        <f>TEXT(44581, "[$-0E0000]yyyy-mm-dd")</f>
        <v/>
      </c>
      <c r="C44582" t="inlineStr">
        <is>
          <t>2021-12-19</t>
        </is>
      </c>
    </row>
    <row r="44583">
      <c r="A44583" s="1" t="n">
        <v>44582</v>
      </c>
      <c r="B44583">
        <f>TEXT(44582, "[$-0E0000]yyyy-mm-dd")</f>
        <v/>
      </c>
      <c r="C44583" t="inlineStr">
        <is>
          <t>2021-12-20</t>
        </is>
      </c>
    </row>
    <row r="44584">
      <c r="A44584" s="1" t="n">
        <v>44583</v>
      </c>
      <c r="B44584">
        <f>TEXT(44583, "[$-0E0000]yyyy-mm-dd")</f>
        <v/>
      </c>
      <c r="C44584" t="inlineStr">
        <is>
          <t>2021-12-21</t>
        </is>
      </c>
    </row>
    <row r="44585">
      <c r="A44585" s="1" t="n">
        <v>44584</v>
      </c>
      <c r="B44585">
        <f>TEXT(44584, "[$-0E0000]yyyy-mm-dd")</f>
        <v/>
      </c>
      <c r="C44585" t="inlineStr">
        <is>
          <t>2021-12-22</t>
        </is>
      </c>
    </row>
    <row r="44586">
      <c r="A44586" s="1" t="n">
        <v>44585</v>
      </c>
      <c r="B44586">
        <f>TEXT(44585, "[$-0E0000]yyyy-mm-dd")</f>
        <v/>
      </c>
      <c r="C44586" t="inlineStr">
        <is>
          <t>2021-12-23</t>
        </is>
      </c>
    </row>
    <row r="44587">
      <c r="A44587" s="1" t="n">
        <v>44586</v>
      </c>
      <c r="B44587">
        <f>TEXT(44586, "[$-0E0000]yyyy-mm-dd")</f>
        <v/>
      </c>
      <c r="C44587" t="inlineStr">
        <is>
          <t>2021-12-24</t>
        </is>
      </c>
    </row>
    <row r="44588">
      <c r="A44588" s="1" t="n">
        <v>44587</v>
      </c>
      <c r="B44588">
        <f>TEXT(44587, "[$-0E0000]yyyy-mm-dd")</f>
        <v/>
      </c>
      <c r="C44588" t="inlineStr">
        <is>
          <t>2021-12-25</t>
        </is>
      </c>
    </row>
    <row r="44589">
      <c r="A44589" s="1" t="n">
        <v>44588</v>
      </c>
      <c r="B44589">
        <f>TEXT(44588, "[$-0E0000]yyyy-mm-dd")</f>
        <v/>
      </c>
      <c r="C44589" t="inlineStr">
        <is>
          <t>2021-12-26</t>
        </is>
      </c>
    </row>
    <row r="44590">
      <c r="A44590" s="1" t="n">
        <v>44589</v>
      </c>
      <c r="B44590">
        <f>TEXT(44589, "[$-0E0000]yyyy-mm-dd")</f>
        <v/>
      </c>
      <c r="C44590" t="inlineStr">
        <is>
          <t>2021-12-27</t>
        </is>
      </c>
    </row>
    <row r="44591">
      <c r="A44591" s="1" t="n">
        <v>44590</v>
      </c>
      <c r="B44591">
        <f>TEXT(44590, "[$-0E0000]yyyy-mm-dd")</f>
        <v/>
      </c>
      <c r="C44591" t="inlineStr">
        <is>
          <t>2021-12-28</t>
        </is>
      </c>
    </row>
    <row r="44592">
      <c r="A44592" s="1" t="n">
        <v>44591</v>
      </c>
      <c r="B44592">
        <f>TEXT(44591, "[$-0E0000]yyyy-mm-dd")</f>
        <v/>
      </c>
      <c r="C44592" t="inlineStr">
        <is>
          <t>2021-12-29</t>
        </is>
      </c>
    </row>
    <row r="44593">
      <c r="A44593" s="1" t="n">
        <v>44592</v>
      </c>
      <c r="B44593">
        <f>TEXT(44592, "[$-0E0000]yyyy-mm-dd")</f>
        <v/>
      </c>
      <c r="C44593" t="inlineStr">
        <is>
          <t>2022-01-01</t>
        </is>
      </c>
    </row>
    <row r="44594">
      <c r="A44594" s="1" t="n">
        <v>44593</v>
      </c>
      <c r="B44594">
        <f>TEXT(44593, "[$-0E0000]yyyy-mm-dd")</f>
        <v/>
      </c>
      <c r="C44594" t="inlineStr">
        <is>
          <t>2022-01-02</t>
        </is>
      </c>
    </row>
    <row r="44595">
      <c r="A44595" s="1" t="n">
        <v>44594</v>
      </c>
      <c r="B44595">
        <f>TEXT(44594, "[$-0E0000]yyyy-mm-dd")</f>
        <v/>
      </c>
      <c r="C44595" t="inlineStr">
        <is>
          <t>2022-01-03</t>
        </is>
      </c>
    </row>
    <row r="44596">
      <c r="A44596" s="1" t="n">
        <v>44595</v>
      </c>
      <c r="B44596">
        <f>TEXT(44595, "[$-0E0000]yyyy-mm-dd")</f>
        <v/>
      </c>
      <c r="C44596" t="inlineStr">
        <is>
          <t>2022-01-04</t>
        </is>
      </c>
    </row>
    <row r="44597">
      <c r="A44597" s="1" t="n">
        <v>44596</v>
      </c>
      <c r="B44597">
        <f>TEXT(44596, "[$-0E0000]yyyy-mm-dd")</f>
        <v/>
      </c>
      <c r="C44597" t="inlineStr">
        <is>
          <t>2022-01-05</t>
        </is>
      </c>
    </row>
    <row r="44598">
      <c r="A44598" s="1" t="n">
        <v>44597</v>
      </c>
      <c r="B44598">
        <f>TEXT(44597, "[$-0E0000]yyyy-mm-dd")</f>
        <v/>
      </c>
      <c r="C44598" t="inlineStr">
        <is>
          <t>2022-01-06</t>
        </is>
      </c>
    </row>
    <row r="44599">
      <c r="A44599" s="1" t="n">
        <v>44598</v>
      </c>
      <c r="B44599">
        <f>TEXT(44598, "[$-0E0000]yyyy-mm-dd")</f>
        <v/>
      </c>
      <c r="C44599" t="inlineStr">
        <is>
          <t>2022-01-07</t>
        </is>
      </c>
    </row>
    <row r="44600">
      <c r="A44600" s="1" t="n">
        <v>44599</v>
      </c>
      <c r="B44600">
        <f>TEXT(44599, "[$-0E0000]yyyy-mm-dd")</f>
        <v/>
      </c>
      <c r="C44600" t="inlineStr">
        <is>
          <t>2022-01-08</t>
        </is>
      </c>
    </row>
    <row r="44601">
      <c r="A44601" s="1" t="n">
        <v>44600</v>
      </c>
      <c r="B44601">
        <f>TEXT(44600, "[$-0E0000]yyyy-mm-dd")</f>
        <v/>
      </c>
      <c r="C44601" t="inlineStr">
        <is>
          <t>2022-01-09</t>
        </is>
      </c>
    </row>
    <row r="44602">
      <c r="A44602" s="1" t="n">
        <v>44601</v>
      </c>
      <c r="B44602">
        <f>TEXT(44601, "[$-0E0000]yyyy-mm-dd")</f>
        <v/>
      </c>
      <c r="C44602" t="inlineStr">
        <is>
          <t>2022-01-10</t>
        </is>
      </c>
    </row>
    <row r="44603">
      <c r="A44603" s="1" t="n">
        <v>44602</v>
      </c>
      <c r="B44603">
        <f>TEXT(44602, "[$-0E0000]yyyy-mm-dd")</f>
        <v/>
      </c>
      <c r="C44603" t="inlineStr">
        <is>
          <t>2022-01-11</t>
        </is>
      </c>
    </row>
    <row r="44604">
      <c r="A44604" s="1" t="n">
        <v>44603</v>
      </c>
      <c r="B44604">
        <f>TEXT(44603, "[$-0E0000]yyyy-mm-dd")</f>
        <v/>
      </c>
      <c r="C44604" t="inlineStr">
        <is>
          <t>2022-01-12</t>
        </is>
      </c>
    </row>
    <row r="44605">
      <c r="A44605" s="1" t="n">
        <v>44604</v>
      </c>
      <c r="B44605">
        <f>TEXT(44604, "[$-0E0000]yyyy-mm-dd")</f>
        <v/>
      </c>
      <c r="C44605" t="inlineStr">
        <is>
          <t>2022-01-13</t>
        </is>
      </c>
    </row>
    <row r="44606">
      <c r="A44606" s="1" t="n">
        <v>44605</v>
      </c>
      <c r="B44606">
        <f>TEXT(44605, "[$-0E0000]yyyy-mm-dd")</f>
        <v/>
      </c>
      <c r="C44606" t="inlineStr">
        <is>
          <t>2022-01-14</t>
        </is>
      </c>
    </row>
    <row r="44607">
      <c r="A44607" s="1" t="n">
        <v>44606</v>
      </c>
      <c r="B44607">
        <f>TEXT(44606, "[$-0E0000]yyyy-mm-dd")</f>
        <v/>
      </c>
      <c r="C44607" t="inlineStr">
        <is>
          <t>2022-01-15</t>
        </is>
      </c>
    </row>
    <row r="44608">
      <c r="A44608" s="1" t="n">
        <v>44607</v>
      </c>
      <c r="B44608">
        <f>TEXT(44607, "[$-0E0000]yyyy-mm-dd")</f>
        <v/>
      </c>
      <c r="C44608" t="inlineStr">
        <is>
          <t>2022-01-16</t>
        </is>
      </c>
    </row>
    <row r="44609">
      <c r="A44609" s="1" t="n">
        <v>44608</v>
      </c>
      <c r="B44609">
        <f>TEXT(44608, "[$-0E0000]yyyy-mm-dd")</f>
        <v/>
      </c>
      <c r="C44609" t="inlineStr">
        <is>
          <t>2022-01-17</t>
        </is>
      </c>
    </row>
    <row r="44610">
      <c r="A44610" s="1" t="n">
        <v>44609</v>
      </c>
      <c r="B44610">
        <f>TEXT(44609, "[$-0E0000]yyyy-mm-dd")</f>
        <v/>
      </c>
      <c r="C44610" t="inlineStr">
        <is>
          <t>2022-01-18</t>
        </is>
      </c>
    </row>
    <row r="44611">
      <c r="A44611" s="1" t="n">
        <v>44610</v>
      </c>
      <c r="B44611">
        <f>TEXT(44610, "[$-0E0000]yyyy-mm-dd")</f>
        <v/>
      </c>
      <c r="C44611" t="inlineStr">
        <is>
          <t>2022-01-19</t>
        </is>
      </c>
    </row>
    <row r="44612">
      <c r="A44612" s="1" t="n">
        <v>44611</v>
      </c>
      <c r="B44612">
        <f>TEXT(44611, "[$-0E0000]yyyy-mm-dd")</f>
        <v/>
      </c>
      <c r="C44612" t="inlineStr">
        <is>
          <t>2022-01-20</t>
        </is>
      </c>
    </row>
    <row r="44613">
      <c r="A44613" s="1" t="n">
        <v>44612</v>
      </c>
      <c r="B44613">
        <f>TEXT(44612, "[$-0E0000]yyyy-mm-dd")</f>
        <v/>
      </c>
      <c r="C44613" t="inlineStr">
        <is>
          <t>2022-01-21</t>
        </is>
      </c>
    </row>
    <row r="44614">
      <c r="A44614" s="1" t="n">
        <v>44613</v>
      </c>
      <c r="B44614">
        <f>TEXT(44613, "[$-0E0000]yyyy-mm-dd")</f>
        <v/>
      </c>
      <c r="C44614" t="inlineStr">
        <is>
          <t>2022-01-22</t>
        </is>
      </c>
    </row>
    <row r="44615">
      <c r="A44615" s="1" t="n">
        <v>44614</v>
      </c>
      <c r="B44615">
        <f>TEXT(44614, "[$-0E0000]yyyy-mm-dd")</f>
        <v/>
      </c>
      <c r="C44615" t="inlineStr">
        <is>
          <t>2022-01-23</t>
        </is>
      </c>
    </row>
    <row r="44616">
      <c r="A44616" s="1" t="n">
        <v>44615</v>
      </c>
      <c r="B44616">
        <f>TEXT(44615, "[$-0E0000]yyyy-mm-dd")</f>
        <v/>
      </c>
      <c r="C44616" t="inlineStr">
        <is>
          <t>2022-01-24</t>
        </is>
      </c>
    </row>
    <row r="44617">
      <c r="A44617" s="1" t="n">
        <v>44616</v>
      </c>
      <c r="B44617">
        <f>TEXT(44616, "[$-0E0000]yyyy-mm-dd")</f>
        <v/>
      </c>
      <c r="C44617" t="inlineStr">
        <is>
          <t>2022-01-25</t>
        </is>
      </c>
    </row>
    <row r="44618">
      <c r="A44618" s="1" t="n">
        <v>44617</v>
      </c>
      <c r="B44618">
        <f>TEXT(44617, "[$-0E0000]yyyy-mm-dd")</f>
        <v/>
      </c>
      <c r="C44618" t="inlineStr">
        <is>
          <t>2022-01-26</t>
        </is>
      </c>
    </row>
    <row r="44619">
      <c r="A44619" s="1" t="n">
        <v>44618</v>
      </c>
      <c r="B44619">
        <f>TEXT(44618, "[$-0E0000]yyyy-mm-dd")</f>
        <v/>
      </c>
      <c r="C44619" t="inlineStr">
        <is>
          <t>2022-01-27</t>
        </is>
      </c>
    </row>
    <row r="44620">
      <c r="A44620" s="1" t="n">
        <v>44619</v>
      </c>
      <c r="B44620">
        <f>TEXT(44619, "[$-0E0000]yyyy-mm-dd")</f>
        <v/>
      </c>
      <c r="C44620" t="inlineStr">
        <is>
          <t>2022-01-28</t>
        </is>
      </c>
    </row>
    <row r="44621">
      <c r="A44621" s="1" t="n">
        <v>44620</v>
      </c>
      <c r="B44621">
        <f>TEXT(44620, "[$-0E0000]yyyy-mm-dd")</f>
        <v/>
      </c>
      <c r="C44621" t="inlineStr">
        <is>
          <t>2022-01-29</t>
        </is>
      </c>
    </row>
    <row r="44622">
      <c r="A44622" s="1" t="n">
        <v>44621</v>
      </c>
      <c r="B44622">
        <f>TEXT(44621, "[$-0E0000]yyyy-mm-dd")</f>
        <v/>
      </c>
      <c r="C44622" t="inlineStr">
        <is>
          <t>2022-01-30</t>
        </is>
      </c>
    </row>
    <row r="44623">
      <c r="A44623" s="1" t="n">
        <v>44622</v>
      </c>
      <c r="B44623">
        <f>TEXT(44622, "[$-0E0000]yyyy-mm-dd")</f>
        <v/>
      </c>
      <c r="C44623" t="inlineStr">
        <is>
          <t>2022-02-01</t>
        </is>
      </c>
    </row>
    <row r="44624">
      <c r="A44624" s="1" t="n">
        <v>44623</v>
      </c>
      <c r="B44624">
        <f>TEXT(44623, "[$-0E0000]yyyy-mm-dd")</f>
        <v/>
      </c>
      <c r="C44624" t="inlineStr">
        <is>
          <t>2022-02-02</t>
        </is>
      </c>
    </row>
    <row r="44625">
      <c r="A44625" s="1" t="n">
        <v>44624</v>
      </c>
      <c r="B44625">
        <f>TEXT(44624, "[$-0E0000]yyyy-mm-dd")</f>
        <v/>
      </c>
      <c r="C44625" t="inlineStr">
        <is>
          <t>2022-02-03</t>
        </is>
      </c>
    </row>
    <row r="44626">
      <c r="A44626" s="1" t="n">
        <v>44625</v>
      </c>
      <c r="B44626">
        <f>TEXT(44625, "[$-0E0000]yyyy-mm-dd")</f>
        <v/>
      </c>
      <c r="C44626" t="inlineStr">
        <is>
          <t>2022-02-04</t>
        </is>
      </c>
    </row>
    <row r="44627">
      <c r="A44627" s="1" t="n">
        <v>44626</v>
      </c>
      <c r="B44627">
        <f>TEXT(44626, "[$-0E0000]yyyy-mm-dd")</f>
        <v/>
      </c>
      <c r="C44627" t="inlineStr">
        <is>
          <t>2022-02-05</t>
        </is>
      </c>
    </row>
    <row r="44628">
      <c r="A44628" s="1" t="n">
        <v>44627</v>
      </c>
      <c r="B44628">
        <f>TEXT(44627, "[$-0E0000]yyyy-mm-dd")</f>
        <v/>
      </c>
      <c r="C44628" t="inlineStr">
        <is>
          <t>2022-02-06</t>
        </is>
      </c>
    </row>
    <row r="44629">
      <c r="A44629" s="1" t="n">
        <v>44628</v>
      </c>
      <c r="B44629">
        <f>TEXT(44628, "[$-0E0000]yyyy-mm-dd")</f>
        <v/>
      </c>
      <c r="C44629" t="inlineStr">
        <is>
          <t>2022-02-07</t>
        </is>
      </c>
    </row>
    <row r="44630">
      <c r="A44630" s="1" t="n">
        <v>44629</v>
      </c>
      <c r="B44630">
        <f>TEXT(44629, "[$-0E0000]yyyy-mm-dd")</f>
        <v/>
      </c>
      <c r="C44630" t="inlineStr">
        <is>
          <t>2022-02-08</t>
        </is>
      </c>
    </row>
    <row r="44631">
      <c r="A44631" s="1" t="n">
        <v>44630</v>
      </c>
      <c r="B44631">
        <f>TEXT(44630, "[$-0E0000]yyyy-mm-dd")</f>
        <v/>
      </c>
      <c r="C44631" t="inlineStr">
        <is>
          <t>2022-02-09</t>
        </is>
      </c>
    </row>
    <row r="44632">
      <c r="A44632" s="1" t="n">
        <v>44631</v>
      </c>
      <c r="B44632">
        <f>TEXT(44631, "[$-0E0000]yyyy-mm-dd")</f>
        <v/>
      </c>
      <c r="C44632" t="inlineStr">
        <is>
          <t>2022-02-10</t>
        </is>
      </c>
    </row>
    <row r="44633">
      <c r="A44633" s="1" t="n">
        <v>44632</v>
      </c>
      <c r="B44633">
        <f>TEXT(44632, "[$-0E0000]yyyy-mm-dd")</f>
        <v/>
      </c>
      <c r="C44633" t="inlineStr">
        <is>
          <t>2022-02-11</t>
        </is>
      </c>
    </row>
    <row r="44634">
      <c r="A44634" s="1" t="n">
        <v>44633</v>
      </c>
      <c r="B44634">
        <f>TEXT(44633, "[$-0E0000]yyyy-mm-dd")</f>
        <v/>
      </c>
      <c r="C44634" t="inlineStr">
        <is>
          <t>2022-02-12</t>
        </is>
      </c>
    </row>
    <row r="44635">
      <c r="A44635" s="1" t="n">
        <v>44634</v>
      </c>
      <c r="B44635">
        <f>TEXT(44634, "[$-0E0000]yyyy-mm-dd")</f>
        <v/>
      </c>
      <c r="C44635" t="inlineStr">
        <is>
          <t>2022-02-13</t>
        </is>
      </c>
    </row>
    <row r="44636">
      <c r="A44636" s="1" t="n">
        <v>44635</v>
      </c>
      <c r="B44636">
        <f>TEXT(44635, "[$-0E0000]yyyy-mm-dd")</f>
        <v/>
      </c>
      <c r="C44636" t="inlineStr">
        <is>
          <t>2022-02-14</t>
        </is>
      </c>
    </row>
    <row r="44637">
      <c r="A44637" s="1" t="n">
        <v>44636</v>
      </c>
      <c r="B44637">
        <f>TEXT(44636, "[$-0E0000]yyyy-mm-dd")</f>
        <v/>
      </c>
      <c r="C44637" t="inlineStr">
        <is>
          <t>2022-02-15</t>
        </is>
      </c>
    </row>
    <row r="44638">
      <c r="A44638" s="1" t="n">
        <v>44637</v>
      </c>
      <c r="B44638">
        <f>TEXT(44637, "[$-0E0000]yyyy-mm-dd")</f>
        <v/>
      </c>
      <c r="C44638" t="inlineStr">
        <is>
          <t>2022-02-16</t>
        </is>
      </c>
    </row>
    <row r="44639">
      <c r="A44639" s="1" t="n">
        <v>44638</v>
      </c>
      <c r="B44639">
        <f>TEXT(44638, "[$-0E0000]yyyy-mm-dd")</f>
        <v/>
      </c>
      <c r="C44639" t="inlineStr">
        <is>
          <t>2022-02-17</t>
        </is>
      </c>
    </row>
    <row r="44640">
      <c r="A44640" s="1" t="n">
        <v>44639</v>
      </c>
      <c r="B44640">
        <f>TEXT(44639, "[$-0E0000]yyyy-mm-dd")</f>
        <v/>
      </c>
      <c r="C44640" t="inlineStr">
        <is>
          <t>2022-02-18</t>
        </is>
      </c>
    </row>
    <row r="44641">
      <c r="A44641" s="1" t="n">
        <v>44640</v>
      </c>
      <c r="B44641">
        <f>TEXT(44640, "[$-0E0000]yyyy-mm-dd")</f>
        <v/>
      </c>
      <c r="C44641" t="inlineStr">
        <is>
          <t>2022-02-19</t>
        </is>
      </c>
    </row>
    <row r="44642">
      <c r="A44642" s="1" t="n">
        <v>44641</v>
      </c>
      <c r="B44642">
        <f>TEXT(44641, "[$-0E0000]yyyy-mm-dd")</f>
        <v/>
      </c>
      <c r="C44642" t="inlineStr">
        <is>
          <t>2022-02-20</t>
        </is>
      </c>
    </row>
    <row r="44643">
      <c r="A44643" s="1" t="n">
        <v>44642</v>
      </c>
      <c r="B44643">
        <f>TEXT(44642, "[$-0E0000]yyyy-mm-dd")</f>
        <v/>
      </c>
      <c r="C44643" t="inlineStr">
        <is>
          <t>2022-02-21</t>
        </is>
      </c>
    </row>
    <row r="44644">
      <c r="A44644" s="1" t="n">
        <v>44643</v>
      </c>
      <c r="B44644">
        <f>TEXT(44643, "[$-0E0000]yyyy-mm-dd")</f>
        <v/>
      </c>
      <c r="C44644" t="inlineStr">
        <is>
          <t>2022-02-22</t>
        </is>
      </c>
    </row>
    <row r="44645">
      <c r="A44645" s="1" t="n">
        <v>44644</v>
      </c>
      <c r="B44645">
        <f>TEXT(44644, "[$-0E0000]yyyy-mm-dd")</f>
        <v/>
      </c>
      <c r="C44645" t="inlineStr">
        <is>
          <t>2022-02-23</t>
        </is>
      </c>
    </row>
    <row r="44646">
      <c r="A44646" s="1" t="n">
        <v>44645</v>
      </c>
      <c r="B44646">
        <f>TEXT(44645, "[$-0E0000]yyyy-mm-dd")</f>
        <v/>
      </c>
      <c r="C44646" t="inlineStr">
        <is>
          <t>2022-02-24</t>
        </is>
      </c>
    </row>
    <row r="44647">
      <c r="A44647" s="1" t="n">
        <v>44646</v>
      </c>
      <c r="B44647">
        <f>TEXT(44646, "[$-0E0000]yyyy-mm-dd")</f>
        <v/>
      </c>
      <c r="C44647" t="inlineStr">
        <is>
          <t>2022-02-25</t>
        </is>
      </c>
    </row>
    <row r="44648">
      <c r="A44648" s="1" t="n">
        <v>44647</v>
      </c>
      <c r="B44648">
        <f>TEXT(44647, "[$-0E0000]yyyy-mm-dd")</f>
        <v/>
      </c>
      <c r="C44648" t="inlineStr">
        <is>
          <t>2022-02-26</t>
        </is>
      </c>
    </row>
    <row r="44649">
      <c r="A44649" s="1" t="n">
        <v>44648</v>
      </c>
      <c r="B44649">
        <f>TEXT(44648, "[$-0E0000]yyyy-mm-dd")</f>
        <v/>
      </c>
      <c r="C44649" t="inlineStr">
        <is>
          <t>2022-02-27</t>
        </is>
      </c>
    </row>
    <row r="44650">
      <c r="A44650" s="1" t="n">
        <v>44649</v>
      </c>
      <c r="B44650">
        <f>TEXT(44649, "[$-0E0000]yyyy-mm-dd")</f>
        <v/>
      </c>
      <c r="C44650" t="inlineStr">
        <is>
          <t>2022-02-28</t>
        </is>
      </c>
    </row>
    <row r="44651">
      <c r="A44651" s="1" t="n">
        <v>44650</v>
      </c>
      <c r="B44651">
        <f>TEXT(44650, "[$-0E0000]yyyy-mm-dd")</f>
        <v/>
      </c>
      <c r="C44651" t="inlineStr">
        <is>
          <t>2022-02-29</t>
        </is>
      </c>
    </row>
    <row r="44652">
      <c r="A44652" s="1" t="n">
        <v>44651</v>
      </c>
      <c r="B44652">
        <f>TEXT(44651, "[$-0E0000]yyyy-mm-dd")</f>
        <v/>
      </c>
      <c r="C44652" t="inlineStr">
        <is>
          <t>2022-03-01</t>
        </is>
      </c>
    </row>
    <row r="44653">
      <c r="A44653" s="1" t="n">
        <v>44652</v>
      </c>
      <c r="B44653">
        <f>TEXT(44652, "[$-0E0000]yyyy-mm-dd")</f>
        <v/>
      </c>
      <c r="C44653" t="inlineStr">
        <is>
          <t>2022-03-02</t>
        </is>
      </c>
    </row>
    <row r="44654">
      <c r="A44654" s="1" t="n">
        <v>44653</v>
      </c>
      <c r="B44654">
        <f>TEXT(44653, "[$-0E0000]yyyy-mm-dd")</f>
        <v/>
      </c>
      <c r="C44654" t="inlineStr">
        <is>
          <t>2022-03-03</t>
        </is>
      </c>
    </row>
    <row r="44655">
      <c r="A44655" s="1" t="n">
        <v>44654</v>
      </c>
      <c r="B44655">
        <f>TEXT(44654, "[$-0E0000]yyyy-mm-dd")</f>
        <v/>
      </c>
      <c r="C44655" t="inlineStr">
        <is>
          <t>2022-03-04</t>
        </is>
      </c>
    </row>
    <row r="44656">
      <c r="A44656" s="1" t="n">
        <v>44655</v>
      </c>
      <c r="B44656">
        <f>TEXT(44655, "[$-0E0000]yyyy-mm-dd")</f>
        <v/>
      </c>
      <c r="C44656" t="inlineStr">
        <is>
          <t>2022-03-05</t>
        </is>
      </c>
    </row>
    <row r="44657">
      <c r="A44657" s="1" t="n">
        <v>44656</v>
      </c>
      <c r="B44657">
        <f>TEXT(44656, "[$-0E0000]yyyy-mm-dd")</f>
        <v/>
      </c>
      <c r="C44657" t="inlineStr">
        <is>
          <t>2022-03-06</t>
        </is>
      </c>
    </row>
    <row r="44658">
      <c r="A44658" s="1" t="n">
        <v>44657</v>
      </c>
      <c r="B44658">
        <f>TEXT(44657, "[$-0E0000]yyyy-mm-dd")</f>
        <v/>
      </c>
      <c r="C44658" t="inlineStr">
        <is>
          <t>2022-03-07</t>
        </is>
      </c>
    </row>
    <row r="44659">
      <c r="A44659" s="1" t="n">
        <v>44658</v>
      </c>
      <c r="B44659">
        <f>TEXT(44658, "[$-0E0000]yyyy-mm-dd")</f>
        <v/>
      </c>
      <c r="C44659" t="inlineStr">
        <is>
          <t>2022-03-08</t>
        </is>
      </c>
    </row>
    <row r="44660">
      <c r="A44660" s="1" t="n">
        <v>44659</v>
      </c>
      <c r="B44660">
        <f>TEXT(44659, "[$-0E0000]yyyy-mm-dd")</f>
        <v/>
      </c>
      <c r="C44660" t="inlineStr">
        <is>
          <t>2022-03-09</t>
        </is>
      </c>
    </row>
    <row r="44661">
      <c r="A44661" s="1" t="n">
        <v>44660</v>
      </c>
      <c r="B44661">
        <f>TEXT(44660, "[$-0E0000]yyyy-mm-dd")</f>
        <v/>
      </c>
      <c r="C44661" t="inlineStr">
        <is>
          <t>2022-03-10</t>
        </is>
      </c>
    </row>
    <row r="44662">
      <c r="A44662" s="1" t="n">
        <v>44661</v>
      </c>
      <c r="B44662">
        <f>TEXT(44661, "[$-0E0000]yyyy-mm-dd")</f>
        <v/>
      </c>
      <c r="C44662" t="inlineStr">
        <is>
          <t>2022-03-11</t>
        </is>
      </c>
    </row>
    <row r="44663">
      <c r="A44663" s="1" t="n">
        <v>44662</v>
      </c>
      <c r="B44663">
        <f>TEXT(44662, "[$-0E0000]yyyy-mm-dd")</f>
        <v/>
      </c>
      <c r="C44663" t="inlineStr">
        <is>
          <t>2022-03-12</t>
        </is>
      </c>
    </row>
    <row r="44664">
      <c r="A44664" s="1" t="n">
        <v>44663</v>
      </c>
      <c r="B44664">
        <f>TEXT(44663, "[$-0E0000]yyyy-mm-dd")</f>
        <v/>
      </c>
      <c r="C44664" t="inlineStr">
        <is>
          <t>2022-03-13</t>
        </is>
      </c>
    </row>
    <row r="44665">
      <c r="A44665" s="1" t="n">
        <v>44664</v>
      </c>
      <c r="B44665">
        <f>TEXT(44664, "[$-0E0000]yyyy-mm-dd")</f>
        <v/>
      </c>
      <c r="C44665" t="inlineStr">
        <is>
          <t>2022-03-14</t>
        </is>
      </c>
    </row>
    <row r="44666">
      <c r="A44666" s="1" t="n">
        <v>44665</v>
      </c>
      <c r="B44666">
        <f>TEXT(44665, "[$-0E0000]yyyy-mm-dd")</f>
        <v/>
      </c>
      <c r="C44666" t="inlineStr">
        <is>
          <t>2022-03-15</t>
        </is>
      </c>
    </row>
    <row r="44667">
      <c r="A44667" s="1" t="n">
        <v>44666</v>
      </c>
      <c r="B44667">
        <f>TEXT(44666, "[$-0E0000]yyyy-mm-dd")</f>
        <v/>
      </c>
      <c r="C44667" t="inlineStr">
        <is>
          <t>2022-03-16</t>
        </is>
      </c>
    </row>
    <row r="44668">
      <c r="A44668" s="1" t="n">
        <v>44667</v>
      </c>
      <c r="B44668">
        <f>TEXT(44667, "[$-0E0000]yyyy-mm-dd")</f>
        <v/>
      </c>
      <c r="C44668" t="inlineStr">
        <is>
          <t>2022-03-17</t>
        </is>
      </c>
    </row>
    <row r="44669">
      <c r="A44669" s="1" t="n">
        <v>44668</v>
      </c>
      <c r="B44669">
        <f>TEXT(44668, "[$-0E0000]yyyy-mm-dd")</f>
        <v/>
      </c>
      <c r="C44669" t="inlineStr">
        <is>
          <t>2022-03-18</t>
        </is>
      </c>
    </row>
    <row r="44670">
      <c r="A44670" s="1" t="n">
        <v>44669</v>
      </c>
      <c r="B44670">
        <f>TEXT(44669, "[$-0E0000]yyyy-mm-dd")</f>
        <v/>
      </c>
      <c r="C44670" t="inlineStr">
        <is>
          <t>2022-03-19</t>
        </is>
      </c>
    </row>
    <row r="44671">
      <c r="A44671" s="1" t="n">
        <v>44670</v>
      </c>
      <c r="B44671">
        <f>TEXT(44670, "[$-0E0000]yyyy-mm-dd")</f>
        <v/>
      </c>
      <c r="C44671" t="inlineStr">
        <is>
          <t>2022-03-20</t>
        </is>
      </c>
    </row>
    <row r="44672">
      <c r="A44672" s="1" t="n">
        <v>44671</v>
      </c>
      <c r="B44672">
        <f>TEXT(44671, "[$-0E0000]yyyy-mm-dd")</f>
        <v/>
      </c>
      <c r="C44672" t="inlineStr">
        <is>
          <t>2022-03-21</t>
        </is>
      </c>
    </row>
    <row r="44673">
      <c r="A44673" s="1" t="n">
        <v>44672</v>
      </c>
      <c r="B44673">
        <f>TEXT(44672, "[$-0E0000]yyyy-mm-dd")</f>
        <v/>
      </c>
      <c r="C44673" t="inlineStr">
        <is>
          <t>2022-03-22</t>
        </is>
      </c>
    </row>
    <row r="44674">
      <c r="A44674" s="1" t="n">
        <v>44673</v>
      </c>
      <c r="B44674">
        <f>TEXT(44673, "[$-0E0000]yyyy-mm-dd")</f>
        <v/>
      </c>
      <c r="C44674" t="inlineStr">
        <is>
          <t>2022-03-23</t>
        </is>
      </c>
    </row>
    <row r="44675">
      <c r="A44675" s="1" t="n">
        <v>44674</v>
      </c>
      <c r="B44675">
        <f>TEXT(44674, "[$-0E0000]yyyy-mm-dd")</f>
        <v/>
      </c>
      <c r="C44675" t="inlineStr">
        <is>
          <t>2022-03-24</t>
        </is>
      </c>
    </row>
    <row r="44676">
      <c r="A44676" s="1" t="n">
        <v>44675</v>
      </c>
      <c r="B44676">
        <f>TEXT(44675, "[$-0E0000]yyyy-mm-dd")</f>
        <v/>
      </c>
      <c r="C44676" t="inlineStr">
        <is>
          <t>2022-03-25</t>
        </is>
      </c>
    </row>
    <row r="44677">
      <c r="A44677" s="1" t="n">
        <v>44676</v>
      </c>
      <c r="B44677">
        <f>TEXT(44676, "[$-0E0000]yyyy-mm-dd")</f>
        <v/>
      </c>
      <c r="C44677" t="inlineStr">
        <is>
          <t>2022-03-26</t>
        </is>
      </c>
    </row>
    <row r="44678">
      <c r="A44678" s="1" t="n">
        <v>44677</v>
      </c>
      <c r="B44678">
        <f>TEXT(44677, "[$-0E0000]yyyy-mm-dd")</f>
        <v/>
      </c>
      <c r="C44678" t="inlineStr">
        <is>
          <t>2022-03-27</t>
        </is>
      </c>
    </row>
    <row r="44679">
      <c r="A44679" s="1" t="n">
        <v>44678</v>
      </c>
      <c r="B44679">
        <f>TEXT(44678, "[$-0E0000]yyyy-mm-dd")</f>
        <v/>
      </c>
      <c r="C44679" t="inlineStr">
        <is>
          <t>2022-03-28</t>
        </is>
      </c>
    </row>
    <row r="44680">
      <c r="A44680" s="1" t="n">
        <v>44679</v>
      </c>
      <c r="B44680">
        <f>TEXT(44679, "[$-0E0000]yyyy-mm-dd")</f>
        <v/>
      </c>
      <c r="C44680" t="inlineStr">
        <is>
          <t>2022-03-29</t>
        </is>
      </c>
    </row>
    <row r="44681">
      <c r="A44681" s="1" t="n">
        <v>44680</v>
      </c>
      <c r="B44681">
        <f>TEXT(44680, "[$-0E0000]yyyy-mm-dd")</f>
        <v/>
      </c>
      <c r="C44681" t="inlineStr">
        <is>
          <t>2022-03-30</t>
        </is>
      </c>
    </row>
    <row r="44682">
      <c r="A44682" s="1" t="n">
        <v>44681</v>
      </c>
      <c r="B44682">
        <f>TEXT(44681, "[$-0E0000]yyyy-mm-dd")</f>
        <v/>
      </c>
      <c r="C44682" t="inlineStr">
        <is>
          <t>2022-04-01</t>
        </is>
      </c>
    </row>
    <row r="44683">
      <c r="A44683" s="1" t="n">
        <v>44682</v>
      </c>
      <c r="B44683">
        <f>TEXT(44682, "[$-0E0000]yyyy-mm-dd")</f>
        <v/>
      </c>
      <c r="C44683" t="inlineStr">
        <is>
          <t>2022-04-02</t>
        </is>
      </c>
    </row>
    <row r="44684">
      <c r="A44684" s="1" t="n">
        <v>44683</v>
      </c>
      <c r="B44684">
        <f>TEXT(44683, "[$-0E0000]yyyy-mm-dd")</f>
        <v/>
      </c>
      <c r="C44684" t="inlineStr">
        <is>
          <t>2022-04-03</t>
        </is>
      </c>
    </row>
    <row r="44685">
      <c r="A44685" s="1" t="n">
        <v>44684</v>
      </c>
      <c r="B44685">
        <f>TEXT(44684, "[$-0E0000]yyyy-mm-dd")</f>
        <v/>
      </c>
      <c r="C44685" t="inlineStr">
        <is>
          <t>2022-04-04</t>
        </is>
      </c>
    </row>
    <row r="44686">
      <c r="A44686" s="1" t="n">
        <v>44685</v>
      </c>
      <c r="B44686">
        <f>TEXT(44685, "[$-0E0000]yyyy-mm-dd")</f>
        <v/>
      </c>
      <c r="C44686" t="inlineStr">
        <is>
          <t>2022-04-05</t>
        </is>
      </c>
    </row>
    <row r="44687">
      <c r="A44687" s="1" t="n">
        <v>44686</v>
      </c>
      <c r="B44687">
        <f>TEXT(44686, "[$-0E0000]yyyy-mm-dd")</f>
        <v/>
      </c>
      <c r="C44687" t="inlineStr">
        <is>
          <t>2022-04-06</t>
        </is>
      </c>
    </row>
    <row r="44688">
      <c r="A44688" s="1" t="n">
        <v>44687</v>
      </c>
      <c r="B44688">
        <f>TEXT(44687, "[$-0E0000]yyyy-mm-dd")</f>
        <v/>
      </c>
      <c r="C44688" t="inlineStr">
        <is>
          <t>2022-04-07</t>
        </is>
      </c>
    </row>
    <row r="44689">
      <c r="A44689" s="1" t="n">
        <v>44688</v>
      </c>
      <c r="B44689">
        <f>TEXT(44688, "[$-0E0000]yyyy-mm-dd")</f>
        <v/>
      </c>
      <c r="C44689" t="inlineStr">
        <is>
          <t>2022-04-08</t>
        </is>
      </c>
    </row>
    <row r="44690">
      <c r="A44690" s="1" t="n">
        <v>44689</v>
      </c>
      <c r="B44690">
        <f>TEXT(44689, "[$-0E0000]yyyy-mm-dd")</f>
        <v/>
      </c>
      <c r="C44690" t="inlineStr">
        <is>
          <t>2022-04-09</t>
        </is>
      </c>
    </row>
    <row r="44691">
      <c r="A44691" s="1" t="n">
        <v>44690</v>
      </c>
      <c r="B44691">
        <f>TEXT(44690, "[$-0E0000]yyyy-mm-dd")</f>
        <v/>
      </c>
      <c r="C44691" t="inlineStr">
        <is>
          <t>2022-04-10</t>
        </is>
      </c>
    </row>
    <row r="44692">
      <c r="A44692" s="1" t="n">
        <v>44691</v>
      </c>
      <c r="B44692">
        <f>TEXT(44691, "[$-0E0000]yyyy-mm-dd")</f>
        <v/>
      </c>
      <c r="C44692" t="inlineStr">
        <is>
          <t>2022-04-11</t>
        </is>
      </c>
    </row>
    <row r="44693">
      <c r="A44693" s="1" t="n">
        <v>44692</v>
      </c>
      <c r="B44693">
        <f>TEXT(44692, "[$-0E0000]yyyy-mm-dd")</f>
        <v/>
      </c>
      <c r="C44693" t="inlineStr">
        <is>
          <t>2022-04-12</t>
        </is>
      </c>
    </row>
    <row r="44694">
      <c r="A44694" s="1" t="n">
        <v>44693</v>
      </c>
      <c r="B44694">
        <f>TEXT(44693, "[$-0E0000]yyyy-mm-dd")</f>
        <v/>
      </c>
      <c r="C44694" t="inlineStr">
        <is>
          <t>2022-04-13</t>
        </is>
      </c>
    </row>
    <row r="44695">
      <c r="A44695" s="1" t="n">
        <v>44694</v>
      </c>
      <c r="B44695">
        <f>TEXT(44694, "[$-0E0000]yyyy-mm-dd")</f>
        <v/>
      </c>
      <c r="C44695" t="inlineStr">
        <is>
          <t>2022-04-14</t>
        </is>
      </c>
    </row>
    <row r="44696">
      <c r="A44696" s="1" t="n">
        <v>44695</v>
      </c>
      <c r="B44696">
        <f>TEXT(44695, "[$-0E0000]yyyy-mm-dd")</f>
        <v/>
      </c>
      <c r="C44696" t="inlineStr">
        <is>
          <t>2022-04-15</t>
        </is>
      </c>
    </row>
    <row r="44697">
      <c r="A44697" s="1" t="n">
        <v>44696</v>
      </c>
      <c r="B44697">
        <f>TEXT(44696, "[$-0E0000]yyyy-mm-dd")</f>
        <v/>
      </c>
      <c r="C44697" t="inlineStr">
        <is>
          <t>2022-04-16</t>
        </is>
      </c>
    </row>
    <row r="44698">
      <c r="A44698" s="1" t="n">
        <v>44697</v>
      </c>
      <c r="B44698">
        <f>TEXT(44697, "[$-0E0000]yyyy-mm-dd")</f>
        <v/>
      </c>
      <c r="C44698" t="inlineStr">
        <is>
          <t>2022-04-17</t>
        </is>
      </c>
    </row>
    <row r="44699">
      <c r="A44699" s="1" t="n">
        <v>44698</v>
      </c>
      <c r="B44699">
        <f>TEXT(44698, "[$-0E0000]yyyy-mm-dd")</f>
        <v/>
      </c>
      <c r="C44699" t="inlineStr">
        <is>
          <t>2022-04-18</t>
        </is>
      </c>
    </row>
    <row r="44700">
      <c r="A44700" s="1" t="n">
        <v>44699</v>
      </c>
      <c r="B44700">
        <f>TEXT(44699, "[$-0E0000]yyyy-mm-dd")</f>
        <v/>
      </c>
      <c r="C44700" t="inlineStr">
        <is>
          <t>2022-04-19</t>
        </is>
      </c>
    </row>
    <row r="44701">
      <c r="A44701" s="1" t="n">
        <v>44700</v>
      </c>
      <c r="B44701">
        <f>TEXT(44700, "[$-0E0000]yyyy-mm-dd")</f>
        <v/>
      </c>
      <c r="C44701" t="inlineStr">
        <is>
          <t>2022-04-20</t>
        </is>
      </c>
    </row>
    <row r="44702">
      <c r="A44702" s="1" t="n">
        <v>44701</v>
      </c>
      <c r="B44702">
        <f>TEXT(44701, "[$-0E0000]yyyy-mm-dd")</f>
        <v/>
      </c>
      <c r="C44702" t="inlineStr">
        <is>
          <t>2022-04-21</t>
        </is>
      </c>
    </row>
    <row r="44703">
      <c r="A44703" s="1" t="n">
        <v>44702</v>
      </c>
      <c r="B44703">
        <f>TEXT(44702, "[$-0E0000]yyyy-mm-dd")</f>
        <v/>
      </c>
      <c r="C44703" t="inlineStr">
        <is>
          <t>2022-04-22</t>
        </is>
      </c>
    </row>
    <row r="44704">
      <c r="A44704" s="1" t="n">
        <v>44703</v>
      </c>
      <c r="B44704">
        <f>TEXT(44703, "[$-0E0000]yyyy-mm-dd")</f>
        <v/>
      </c>
      <c r="C44704" t="inlineStr">
        <is>
          <t>2022-04-23</t>
        </is>
      </c>
    </row>
    <row r="44705">
      <c r="A44705" s="1" t="n">
        <v>44704</v>
      </c>
      <c r="B44705">
        <f>TEXT(44704, "[$-0E0000]yyyy-mm-dd")</f>
        <v/>
      </c>
      <c r="C44705" t="inlineStr">
        <is>
          <t>2022-04-24</t>
        </is>
      </c>
    </row>
    <row r="44706">
      <c r="A44706" s="1" t="n">
        <v>44705</v>
      </c>
      <c r="B44706">
        <f>TEXT(44705, "[$-0E0000]yyyy-mm-dd")</f>
        <v/>
      </c>
      <c r="C44706" t="inlineStr">
        <is>
          <t>2022-04-25</t>
        </is>
      </c>
    </row>
    <row r="44707">
      <c r="A44707" s="1" t="n">
        <v>44706</v>
      </c>
      <c r="B44707">
        <f>TEXT(44706, "[$-0E0000]yyyy-mm-dd")</f>
        <v/>
      </c>
      <c r="C44707" t="inlineStr">
        <is>
          <t>2022-04-26</t>
        </is>
      </c>
    </row>
    <row r="44708">
      <c r="A44708" s="1" t="n">
        <v>44707</v>
      </c>
      <c r="B44708">
        <f>TEXT(44707, "[$-0E0000]yyyy-mm-dd")</f>
        <v/>
      </c>
      <c r="C44708" t="inlineStr">
        <is>
          <t>2022-04-27</t>
        </is>
      </c>
    </row>
    <row r="44709">
      <c r="A44709" s="1" t="n">
        <v>44708</v>
      </c>
      <c r="B44709">
        <f>TEXT(44708, "[$-0E0000]yyyy-mm-dd")</f>
        <v/>
      </c>
      <c r="C44709" t="inlineStr">
        <is>
          <t>2022-04-28</t>
        </is>
      </c>
    </row>
    <row r="44710">
      <c r="A44710" s="1" t="n">
        <v>44709</v>
      </c>
      <c r="B44710">
        <f>TEXT(44709, "[$-0E0000]yyyy-mm-dd")</f>
        <v/>
      </c>
      <c r="C44710" t="inlineStr">
        <is>
          <t>2022-04-29</t>
        </is>
      </c>
    </row>
    <row r="44711">
      <c r="A44711" s="1" t="n">
        <v>44710</v>
      </c>
      <c r="B44711">
        <f>TEXT(44710, "[$-0E0000]yyyy-mm-dd")</f>
        <v/>
      </c>
      <c r="C44711" t="inlineStr">
        <is>
          <t>2022-05-01</t>
        </is>
      </c>
    </row>
    <row r="44712">
      <c r="A44712" s="1" t="n">
        <v>44711</v>
      </c>
      <c r="B44712">
        <f>TEXT(44711, "[$-0E0000]yyyy-mm-dd")</f>
        <v/>
      </c>
      <c r="C44712" t="inlineStr">
        <is>
          <t>2022-05-02</t>
        </is>
      </c>
    </row>
    <row r="44713">
      <c r="A44713" s="1" t="n">
        <v>44712</v>
      </c>
      <c r="B44713">
        <f>TEXT(44712, "[$-0E0000]yyyy-mm-dd")</f>
        <v/>
      </c>
      <c r="C44713" t="inlineStr">
        <is>
          <t>2022-05-03</t>
        </is>
      </c>
    </row>
    <row r="44714">
      <c r="A44714" s="1" t="n">
        <v>44713</v>
      </c>
      <c r="B44714">
        <f>TEXT(44713, "[$-0E0000]yyyy-mm-dd")</f>
        <v/>
      </c>
      <c r="C44714" t="inlineStr">
        <is>
          <t>2022-05-04</t>
        </is>
      </c>
    </row>
    <row r="44715">
      <c r="A44715" s="1" t="n">
        <v>44714</v>
      </c>
      <c r="B44715">
        <f>TEXT(44714, "[$-0E0000]yyyy-mm-dd")</f>
        <v/>
      </c>
      <c r="C44715" t="inlineStr">
        <is>
          <t>2022-05-05</t>
        </is>
      </c>
    </row>
    <row r="44716">
      <c r="A44716" s="1" t="n">
        <v>44715</v>
      </c>
      <c r="B44716">
        <f>TEXT(44715, "[$-0E0000]yyyy-mm-dd")</f>
        <v/>
      </c>
      <c r="C44716" t="inlineStr">
        <is>
          <t>2022-05-06</t>
        </is>
      </c>
    </row>
    <row r="44717">
      <c r="A44717" s="1" t="n">
        <v>44716</v>
      </c>
      <c r="B44717">
        <f>TEXT(44716, "[$-0E0000]yyyy-mm-dd")</f>
        <v/>
      </c>
      <c r="C44717" t="inlineStr">
        <is>
          <t>2022-05-07</t>
        </is>
      </c>
    </row>
    <row r="44718">
      <c r="A44718" s="1" t="n">
        <v>44717</v>
      </c>
      <c r="B44718">
        <f>TEXT(44717, "[$-0E0000]yyyy-mm-dd")</f>
        <v/>
      </c>
      <c r="C44718" t="inlineStr">
        <is>
          <t>2022-05-08</t>
        </is>
      </c>
    </row>
    <row r="44719">
      <c r="A44719" s="1" t="n">
        <v>44718</v>
      </c>
      <c r="B44719">
        <f>TEXT(44718, "[$-0E0000]yyyy-mm-dd")</f>
        <v/>
      </c>
      <c r="C44719" t="inlineStr">
        <is>
          <t>2022-05-09</t>
        </is>
      </c>
    </row>
    <row r="44720">
      <c r="A44720" s="1" t="n">
        <v>44719</v>
      </c>
      <c r="B44720">
        <f>TEXT(44719, "[$-0E0000]yyyy-mm-dd")</f>
        <v/>
      </c>
      <c r="C44720" t="inlineStr">
        <is>
          <t>2022-05-10</t>
        </is>
      </c>
    </row>
    <row r="44721">
      <c r="A44721" s="1" t="n">
        <v>44720</v>
      </c>
      <c r="B44721">
        <f>TEXT(44720, "[$-0E0000]yyyy-mm-dd")</f>
        <v/>
      </c>
      <c r="C44721" t="inlineStr">
        <is>
          <t>2022-05-11</t>
        </is>
      </c>
    </row>
    <row r="44722">
      <c r="A44722" s="1" t="n">
        <v>44721</v>
      </c>
      <c r="B44722">
        <f>TEXT(44721, "[$-0E0000]yyyy-mm-dd")</f>
        <v/>
      </c>
      <c r="C44722" t="inlineStr">
        <is>
          <t>2022-05-12</t>
        </is>
      </c>
    </row>
    <row r="44723">
      <c r="A44723" s="1" t="n">
        <v>44722</v>
      </c>
      <c r="B44723">
        <f>TEXT(44722, "[$-0E0000]yyyy-mm-dd")</f>
        <v/>
      </c>
      <c r="C44723" t="inlineStr">
        <is>
          <t>2022-05-13</t>
        </is>
      </c>
    </row>
    <row r="44724">
      <c r="A44724" s="1" t="n">
        <v>44723</v>
      </c>
      <c r="B44724">
        <f>TEXT(44723, "[$-0E0000]yyyy-mm-dd")</f>
        <v/>
      </c>
      <c r="C44724" t="inlineStr">
        <is>
          <t>2022-05-14</t>
        </is>
      </c>
    </row>
    <row r="44725">
      <c r="A44725" s="1" t="n">
        <v>44724</v>
      </c>
      <c r="B44725">
        <f>TEXT(44724, "[$-0E0000]yyyy-mm-dd")</f>
        <v/>
      </c>
      <c r="C44725" t="inlineStr">
        <is>
          <t>2022-05-15</t>
        </is>
      </c>
    </row>
    <row r="44726">
      <c r="A44726" s="1" t="n">
        <v>44725</v>
      </c>
      <c r="B44726">
        <f>TEXT(44725, "[$-0E0000]yyyy-mm-dd")</f>
        <v/>
      </c>
      <c r="C44726" t="inlineStr">
        <is>
          <t>2022-05-16</t>
        </is>
      </c>
    </row>
    <row r="44727">
      <c r="A44727" s="1" t="n">
        <v>44726</v>
      </c>
      <c r="B44727">
        <f>TEXT(44726, "[$-0E0000]yyyy-mm-dd")</f>
        <v/>
      </c>
      <c r="C44727" t="inlineStr">
        <is>
          <t>2022-05-17</t>
        </is>
      </c>
    </row>
    <row r="44728">
      <c r="A44728" s="1" t="n">
        <v>44727</v>
      </c>
      <c r="B44728">
        <f>TEXT(44727, "[$-0E0000]yyyy-mm-dd")</f>
        <v/>
      </c>
      <c r="C44728" t="inlineStr">
        <is>
          <t>2022-05-18</t>
        </is>
      </c>
    </row>
    <row r="44729">
      <c r="A44729" s="1" t="n">
        <v>44728</v>
      </c>
      <c r="B44729">
        <f>TEXT(44728, "[$-0E0000]yyyy-mm-dd")</f>
        <v/>
      </c>
      <c r="C44729" t="inlineStr">
        <is>
          <t>2022-05-19</t>
        </is>
      </c>
    </row>
    <row r="44730">
      <c r="A44730" s="1" t="n">
        <v>44729</v>
      </c>
      <c r="B44730">
        <f>TEXT(44729, "[$-0E0000]yyyy-mm-dd")</f>
        <v/>
      </c>
      <c r="C44730" t="inlineStr">
        <is>
          <t>2022-05-20</t>
        </is>
      </c>
    </row>
    <row r="44731">
      <c r="A44731" s="1" t="n">
        <v>44730</v>
      </c>
      <c r="B44731">
        <f>TEXT(44730, "[$-0E0000]yyyy-mm-dd")</f>
        <v/>
      </c>
      <c r="C44731" t="inlineStr">
        <is>
          <t>2022-05-21</t>
        </is>
      </c>
    </row>
    <row r="44732">
      <c r="A44732" s="1" t="n">
        <v>44731</v>
      </c>
      <c r="B44732">
        <f>TEXT(44731, "[$-0E0000]yyyy-mm-dd")</f>
        <v/>
      </c>
      <c r="C44732" t="inlineStr">
        <is>
          <t>2022-05-22</t>
        </is>
      </c>
    </row>
    <row r="44733">
      <c r="A44733" s="1" t="n">
        <v>44732</v>
      </c>
      <c r="B44733">
        <f>TEXT(44732, "[$-0E0000]yyyy-mm-dd")</f>
        <v/>
      </c>
      <c r="C44733" t="inlineStr">
        <is>
          <t>2022-05-23</t>
        </is>
      </c>
    </row>
    <row r="44734">
      <c r="A44734" s="1" t="n">
        <v>44733</v>
      </c>
      <c r="B44734">
        <f>TEXT(44733, "[$-0E0000]yyyy-mm-dd")</f>
        <v/>
      </c>
      <c r="C44734" t="inlineStr">
        <is>
          <t>2022-05-24</t>
        </is>
      </c>
    </row>
    <row r="44735">
      <c r="A44735" s="1" t="n">
        <v>44734</v>
      </c>
      <c r="B44735">
        <f>TEXT(44734, "[$-0E0000]yyyy-mm-dd")</f>
        <v/>
      </c>
      <c r="C44735" t="inlineStr">
        <is>
          <t>2022-05-25</t>
        </is>
      </c>
    </row>
    <row r="44736">
      <c r="A44736" s="1" t="n">
        <v>44735</v>
      </c>
      <c r="B44736">
        <f>TEXT(44735, "[$-0E0000]yyyy-mm-dd")</f>
        <v/>
      </c>
      <c r="C44736" t="inlineStr">
        <is>
          <t>2022-05-26</t>
        </is>
      </c>
    </row>
    <row r="44737">
      <c r="A44737" s="1" t="n">
        <v>44736</v>
      </c>
      <c r="B44737">
        <f>TEXT(44736, "[$-0E0000]yyyy-mm-dd")</f>
        <v/>
      </c>
      <c r="C44737" t="inlineStr">
        <is>
          <t>2022-05-27</t>
        </is>
      </c>
    </row>
    <row r="44738">
      <c r="A44738" s="1" t="n">
        <v>44737</v>
      </c>
      <c r="B44738">
        <f>TEXT(44737, "[$-0E0000]yyyy-mm-dd")</f>
        <v/>
      </c>
      <c r="C44738" t="inlineStr">
        <is>
          <t>2022-05-28</t>
        </is>
      </c>
    </row>
    <row r="44739">
      <c r="A44739" s="1" t="n">
        <v>44738</v>
      </c>
      <c r="B44739">
        <f>TEXT(44738, "[$-0E0000]yyyy-mm-dd")</f>
        <v/>
      </c>
      <c r="C44739" t="inlineStr">
        <is>
          <t>2022-05-29</t>
        </is>
      </c>
    </row>
    <row r="44740">
      <c r="A44740" s="1" t="n">
        <v>44739</v>
      </c>
      <c r="B44740">
        <f>TEXT(44739, "[$-0E0000]yyyy-mm-dd")</f>
        <v/>
      </c>
      <c r="C44740" t="inlineStr">
        <is>
          <t>2022-05-30</t>
        </is>
      </c>
    </row>
    <row r="44741">
      <c r="A44741" s="1" t="n">
        <v>44740</v>
      </c>
      <c r="B44741">
        <f>TEXT(44740, "[$-0E0000]yyyy-mm-dd")</f>
        <v/>
      </c>
      <c r="C44741" t="inlineStr">
        <is>
          <t>2022-06-01</t>
        </is>
      </c>
    </row>
    <row r="44742">
      <c r="A44742" s="1" t="n">
        <v>44741</v>
      </c>
      <c r="B44742">
        <f>TEXT(44741, "[$-0E0000]yyyy-mm-dd")</f>
        <v/>
      </c>
      <c r="C44742" t="inlineStr">
        <is>
          <t>2022-06-02</t>
        </is>
      </c>
    </row>
    <row r="44743">
      <c r="A44743" s="1" t="n">
        <v>44742</v>
      </c>
      <c r="B44743">
        <f>TEXT(44742, "[$-0E0000]yyyy-mm-dd")</f>
        <v/>
      </c>
      <c r="C44743" t="inlineStr">
        <is>
          <t>2022-06-03</t>
        </is>
      </c>
    </row>
    <row r="44744">
      <c r="A44744" s="1" t="n">
        <v>44743</v>
      </c>
      <c r="B44744">
        <f>TEXT(44743, "[$-0E0000]yyyy-mm-dd")</f>
        <v/>
      </c>
      <c r="C44744" t="inlineStr">
        <is>
          <t>2022-06-04</t>
        </is>
      </c>
    </row>
    <row r="44745">
      <c r="A44745" s="1" t="n">
        <v>44744</v>
      </c>
      <c r="B44745">
        <f>TEXT(44744, "[$-0E0000]yyyy-mm-dd")</f>
        <v/>
      </c>
      <c r="C44745" t="inlineStr">
        <is>
          <t>2022-06-05</t>
        </is>
      </c>
    </row>
    <row r="44746">
      <c r="A44746" s="1" t="n">
        <v>44745</v>
      </c>
      <c r="B44746">
        <f>TEXT(44745, "[$-0E0000]yyyy-mm-dd")</f>
        <v/>
      </c>
      <c r="C44746" t="inlineStr">
        <is>
          <t>2022-06-06</t>
        </is>
      </c>
    </row>
    <row r="44747">
      <c r="A44747" s="1" t="n">
        <v>44746</v>
      </c>
      <c r="B44747">
        <f>TEXT(44746, "[$-0E0000]yyyy-mm-dd")</f>
        <v/>
      </c>
      <c r="C44747" t="inlineStr">
        <is>
          <t>2022-06-07</t>
        </is>
      </c>
    </row>
    <row r="44748">
      <c r="A44748" s="1" t="n">
        <v>44747</v>
      </c>
      <c r="B44748">
        <f>TEXT(44747, "[$-0E0000]yyyy-mm-dd")</f>
        <v/>
      </c>
      <c r="C44748" t="inlineStr">
        <is>
          <t>2022-06-08</t>
        </is>
      </c>
    </row>
    <row r="44749">
      <c r="A44749" s="1" t="n">
        <v>44748</v>
      </c>
      <c r="B44749">
        <f>TEXT(44748, "[$-0E0000]yyyy-mm-dd")</f>
        <v/>
      </c>
      <c r="C44749" t="inlineStr">
        <is>
          <t>2022-06-09</t>
        </is>
      </c>
    </row>
    <row r="44750">
      <c r="A44750" s="1" t="n">
        <v>44749</v>
      </c>
      <c r="B44750">
        <f>TEXT(44749, "[$-0E0000]yyyy-mm-dd")</f>
        <v/>
      </c>
      <c r="C44750" t="inlineStr">
        <is>
          <t>2022-06-10</t>
        </is>
      </c>
    </row>
    <row r="44751">
      <c r="A44751" s="1" t="n">
        <v>44750</v>
      </c>
      <c r="B44751">
        <f>TEXT(44750, "[$-0E0000]yyyy-mm-dd")</f>
        <v/>
      </c>
      <c r="C44751" t="inlineStr">
        <is>
          <t>2022-06-11</t>
        </is>
      </c>
    </row>
    <row r="44752">
      <c r="A44752" s="1" t="n">
        <v>44751</v>
      </c>
      <c r="B44752">
        <f>TEXT(44751, "[$-0E0000]yyyy-mm-dd")</f>
        <v/>
      </c>
      <c r="C44752" t="inlineStr">
        <is>
          <t>2022-06-12</t>
        </is>
      </c>
    </row>
    <row r="44753">
      <c r="A44753" s="1" t="n">
        <v>44752</v>
      </c>
      <c r="B44753">
        <f>TEXT(44752, "[$-0E0000]yyyy-mm-dd")</f>
        <v/>
      </c>
      <c r="C44753" t="inlineStr">
        <is>
          <t>2022-06-13</t>
        </is>
      </c>
    </row>
    <row r="44754">
      <c r="A44754" s="1" t="n">
        <v>44753</v>
      </c>
      <c r="B44754">
        <f>TEXT(44753, "[$-0E0000]yyyy-mm-dd")</f>
        <v/>
      </c>
      <c r="C44754" t="inlineStr">
        <is>
          <t>2022-06-14</t>
        </is>
      </c>
    </row>
    <row r="44755">
      <c r="A44755" s="1" t="n">
        <v>44754</v>
      </c>
      <c r="B44755">
        <f>TEXT(44754, "[$-0E0000]yyyy-mm-dd")</f>
        <v/>
      </c>
      <c r="C44755" t="inlineStr">
        <is>
          <t>2022-06-15</t>
        </is>
      </c>
    </row>
    <row r="44756">
      <c r="A44756" s="1" t="n">
        <v>44755</v>
      </c>
      <c r="B44756">
        <f>TEXT(44755, "[$-0E0000]yyyy-mm-dd")</f>
        <v/>
      </c>
      <c r="C44756" t="inlineStr">
        <is>
          <t>2022-06-16</t>
        </is>
      </c>
    </row>
    <row r="44757">
      <c r="A44757" s="1" t="n">
        <v>44756</v>
      </c>
      <c r="B44757">
        <f>TEXT(44756, "[$-0E0000]yyyy-mm-dd")</f>
        <v/>
      </c>
      <c r="C44757" t="inlineStr">
        <is>
          <t>2022-06-17</t>
        </is>
      </c>
    </row>
    <row r="44758">
      <c r="A44758" s="1" t="n">
        <v>44757</v>
      </c>
      <c r="B44758">
        <f>TEXT(44757, "[$-0E0000]yyyy-mm-dd")</f>
        <v/>
      </c>
      <c r="C44758" t="inlineStr">
        <is>
          <t>2022-06-18</t>
        </is>
      </c>
    </row>
    <row r="44759">
      <c r="A44759" s="1" t="n">
        <v>44758</v>
      </c>
      <c r="B44759">
        <f>TEXT(44758, "[$-0E0000]yyyy-mm-dd")</f>
        <v/>
      </c>
      <c r="C44759" t="inlineStr">
        <is>
          <t>2022-06-19</t>
        </is>
      </c>
    </row>
    <row r="44760">
      <c r="A44760" s="1" t="n">
        <v>44759</v>
      </c>
      <c r="B44760">
        <f>TEXT(44759, "[$-0E0000]yyyy-mm-dd")</f>
        <v/>
      </c>
      <c r="C44760" t="inlineStr">
        <is>
          <t>2022-06-20</t>
        </is>
      </c>
    </row>
    <row r="44761">
      <c r="A44761" s="1" t="n">
        <v>44760</v>
      </c>
      <c r="B44761">
        <f>TEXT(44760, "[$-0E0000]yyyy-mm-dd")</f>
        <v/>
      </c>
      <c r="C44761" t="inlineStr">
        <is>
          <t>2022-06-21</t>
        </is>
      </c>
    </row>
    <row r="44762">
      <c r="A44762" s="1" t="n">
        <v>44761</v>
      </c>
      <c r="B44762">
        <f>TEXT(44761, "[$-0E0000]yyyy-mm-dd")</f>
        <v/>
      </c>
      <c r="C44762" t="inlineStr">
        <is>
          <t>2022-06-22</t>
        </is>
      </c>
    </row>
    <row r="44763">
      <c r="A44763" s="1" t="n">
        <v>44762</v>
      </c>
      <c r="B44763">
        <f>TEXT(44762, "[$-0E0000]yyyy-mm-dd")</f>
        <v/>
      </c>
      <c r="C44763" t="inlineStr">
        <is>
          <t>2022-06-23</t>
        </is>
      </c>
    </row>
    <row r="44764">
      <c r="A44764" s="1" t="n">
        <v>44763</v>
      </c>
      <c r="B44764">
        <f>TEXT(44763, "[$-0E0000]yyyy-mm-dd")</f>
        <v/>
      </c>
      <c r="C44764" t="inlineStr">
        <is>
          <t>2022-06-24</t>
        </is>
      </c>
    </row>
    <row r="44765">
      <c r="A44765" s="1" t="n">
        <v>44764</v>
      </c>
      <c r="B44765">
        <f>TEXT(44764, "[$-0E0000]yyyy-mm-dd")</f>
        <v/>
      </c>
      <c r="C44765" t="inlineStr">
        <is>
          <t>2022-06-25</t>
        </is>
      </c>
    </row>
    <row r="44766">
      <c r="A44766" s="1" t="n">
        <v>44765</v>
      </c>
      <c r="B44766">
        <f>TEXT(44765, "[$-0E0000]yyyy-mm-dd")</f>
        <v/>
      </c>
      <c r="C44766" t="inlineStr">
        <is>
          <t>2022-06-26</t>
        </is>
      </c>
    </row>
    <row r="44767">
      <c r="A44767" s="1" t="n">
        <v>44766</v>
      </c>
      <c r="B44767">
        <f>TEXT(44766, "[$-0E0000]yyyy-mm-dd")</f>
        <v/>
      </c>
      <c r="C44767" t="inlineStr">
        <is>
          <t>2022-06-27</t>
        </is>
      </c>
    </row>
    <row r="44768">
      <c r="A44768" s="1" t="n">
        <v>44767</v>
      </c>
      <c r="B44768">
        <f>TEXT(44767, "[$-0E0000]yyyy-mm-dd")</f>
        <v/>
      </c>
      <c r="C44768" t="inlineStr">
        <is>
          <t>2022-06-28</t>
        </is>
      </c>
    </row>
    <row r="44769">
      <c r="A44769" s="1" t="n">
        <v>44768</v>
      </c>
      <c r="B44769">
        <f>TEXT(44768, "[$-0E0000]yyyy-mm-dd")</f>
        <v/>
      </c>
      <c r="C44769" t="inlineStr">
        <is>
          <t>2022-06-29</t>
        </is>
      </c>
    </row>
    <row r="44770">
      <c r="A44770" s="1" t="n">
        <v>44769</v>
      </c>
      <c r="B44770">
        <f>TEXT(44769, "[$-0E0000]yyyy-mm-dd")</f>
        <v/>
      </c>
      <c r="C44770" t="inlineStr">
        <is>
          <t>2022-06-30</t>
        </is>
      </c>
    </row>
    <row r="44771">
      <c r="A44771" s="1" t="n">
        <v>44770</v>
      </c>
      <c r="B44771">
        <f>TEXT(44770, "[$-0E0000]yyyy-mm-dd")</f>
        <v/>
      </c>
      <c r="C44771" t="inlineStr">
        <is>
          <t>2022-07-01</t>
        </is>
      </c>
    </row>
    <row r="44772">
      <c r="A44772" s="1" t="n">
        <v>44771</v>
      </c>
      <c r="B44772">
        <f>TEXT(44771, "[$-0E0000]yyyy-mm-dd")</f>
        <v/>
      </c>
      <c r="C44772" t="inlineStr">
        <is>
          <t>2022-07-02</t>
        </is>
      </c>
    </row>
    <row r="44773">
      <c r="A44773" s="1" t="n">
        <v>44772</v>
      </c>
      <c r="B44773">
        <f>TEXT(44772, "[$-0E0000]yyyy-mm-dd")</f>
        <v/>
      </c>
      <c r="C44773" t="inlineStr">
        <is>
          <t>2022-07-03</t>
        </is>
      </c>
    </row>
    <row r="44774">
      <c r="A44774" s="1" t="n">
        <v>44773</v>
      </c>
      <c r="B44774">
        <f>TEXT(44773, "[$-0E0000]yyyy-mm-dd")</f>
        <v/>
      </c>
      <c r="C44774" t="inlineStr">
        <is>
          <t>2022-07-04</t>
        </is>
      </c>
    </row>
    <row r="44775">
      <c r="A44775" s="1" t="n">
        <v>44774</v>
      </c>
      <c r="B44775">
        <f>TEXT(44774, "[$-0E0000]yyyy-mm-dd")</f>
        <v/>
      </c>
      <c r="C44775" t="inlineStr">
        <is>
          <t>2022-07-05</t>
        </is>
      </c>
    </row>
    <row r="44776">
      <c r="A44776" s="1" t="n">
        <v>44775</v>
      </c>
      <c r="B44776">
        <f>TEXT(44775, "[$-0E0000]yyyy-mm-dd")</f>
        <v/>
      </c>
      <c r="C44776" t="inlineStr">
        <is>
          <t>2022-07-06</t>
        </is>
      </c>
    </row>
    <row r="44777">
      <c r="A44777" s="1" t="n">
        <v>44776</v>
      </c>
      <c r="B44777">
        <f>TEXT(44776, "[$-0E0000]yyyy-mm-dd")</f>
        <v/>
      </c>
      <c r="C44777" t="inlineStr">
        <is>
          <t>2022-07-07</t>
        </is>
      </c>
    </row>
    <row r="44778">
      <c r="A44778" s="1" t="n">
        <v>44777</v>
      </c>
      <c r="B44778">
        <f>TEXT(44777, "[$-0E0000]yyyy-mm-dd")</f>
        <v/>
      </c>
      <c r="C44778" t="inlineStr">
        <is>
          <t>2022-07-08</t>
        </is>
      </c>
    </row>
    <row r="44779">
      <c r="A44779" s="1" t="n">
        <v>44778</v>
      </c>
      <c r="B44779">
        <f>TEXT(44778, "[$-0E0000]yyyy-mm-dd")</f>
        <v/>
      </c>
      <c r="C44779" t="inlineStr">
        <is>
          <t>2022-07-09</t>
        </is>
      </c>
    </row>
    <row r="44780">
      <c r="A44780" s="1" t="n">
        <v>44779</v>
      </c>
      <c r="B44780">
        <f>TEXT(44779, "[$-0E0000]yyyy-mm-dd")</f>
        <v/>
      </c>
      <c r="C44780" t="inlineStr">
        <is>
          <t>2022-07-10</t>
        </is>
      </c>
    </row>
    <row r="44781">
      <c r="A44781" s="1" t="n">
        <v>44780</v>
      </c>
      <c r="B44781">
        <f>TEXT(44780, "[$-0E0000]yyyy-mm-dd")</f>
        <v/>
      </c>
      <c r="C44781" t="inlineStr">
        <is>
          <t>2022-07-11</t>
        </is>
      </c>
    </row>
    <row r="44782">
      <c r="A44782" s="1" t="n">
        <v>44781</v>
      </c>
      <c r="B44782">
        <f>TEXT(44781, "[$-0E0000]yyyy-mm-dd")</f>
        <v/>
      </c>
      <c r="C44782" t="inlineStr">
        <is>
          <t>2022-07-12</t>
        </is>
      </c>
    </row>
    <row r="44783">
      <c r="A44783" s="1" t="n">
        <v>44782</v>
      </c>
      <c r="B44783">
        <f>TEXT(44782, "[$-0E0000]yyyy-mm-dd")</f>
        <v/>
      </c>
      <c r="C44783" t="inlineStr">
        <is>
          <t>2022-07-13</t>
        </is>
      </c>
    </row>
    <row r="44784">
      <c r="A44784" s="1" t="n">
        <v>44783</v>
      </c>
      <c r="B44784">
        <f>TEXT(44783, "[$-0E0000]yyyy-mm-dd")</f>
        <v/>
      </c>
      <c r="C44784" t="inlineStr">
        <is>
          <t>2022-07-14</t>
        </is>
      </c>
    </row>
    <row r="44785">
      <c r="A44785" s="1" t="n">
        <v>44784</v>
      </c>
      <c r="B44785">
        <f>TEXT(44784, "[$-0E0000]yyyy-mm-dd")</f>
        <v/>
      </c>
      <c r="C44785" t="inlineStr">
        <is>
          <t>2022-07-15</t>
        </is>
      </c>
    </row>
    <row r="44786">
      <c r="A44786" s="1" t="n">
        <v>44785</v>
      </c>
      <c r="B44786">
        <f>TEXT(44785, "[$-0E0000]yyyy-mm-dd")</f>
        <v/>
      </c>
      <c r="C44786" t="inlineStr">
        <is>
          <t>2022-07-16</t>
        </is>
      </c>
    </row>
    <row r="44787">
      <c r="A44787" s="1" t="n">
        <v>44786</v>
      </c>
      <c r="B44787">
        <f>TEXT(44786, "[$-0E0000]yyyy-mm-dd")</f>
        <v/>
      </c>
      <c r="C44787" t="inlineStr">
        <is>
          <t>2022-07-17</t>
        </is>
      </c>
    </row>
    <row r="44788">
      <c r="A44788" s="1" t="n">
        <v>44787</v>
      </c>
      <c r="B44788">
        <f>TEXT(44787, "[$-0E0000]yyyy-mm-dd")</f>
        <v/>
      </c>
      <c r="C44788" t="inlineStr">
        <is>
          <t>2022-07-18</t>
        </is>
      </c>
    </row>
    <row r="44789">
      <c r="A44789" s="1" t="n">
        <v>44788</v>
      </c>
      <c r="B44789">
        <f>TEXT(44788, "[$-0E0000]yyyy-mm-dd")</f>
        <v/>
      </c>
      <c r="C44789" t="inlineStr">
        <is>
          <t>2022-07-19</t>
        </is>
      </c>
    </row>
    <row r="44790">
      <c r="A44790" s="1" t="n">
        <v>44789</v>
      </c>
      <c r="B44790">
        <f>TEXT(44789, "[$-0E0000]yyyy-mm-dd")</f>
        <v/>
      </c>
      <c r="C44790" t="inlineStr">
        <is>
          <t>2022-07-20</t>
        </is>
      </c>
    </row>
    <row r="44791">
      <c r="A44791" s="1" t="n">
        <v>44790</v>
      </c>
      <c r="B44791">
        <f>TEXT(44790, "[$-0E0000]yyyy-mm-dd")</f>
        <v/>
      </c>
      <c r="C44791" t="inlineStr">
        <is>
          <t>2022-07-21</t>
        </is>
      </c>
    </row>
    <row r="44792">
      <c r="A44792" s="1" t="n">
        <v>44791</v>
      </c>
      <c r="B44792">
        <f>TEXT(44791, "[$-0E0000]yyyy-mm-dd")</f>
        <v/>
      </c>
      <c r="C44792" t="inlineStr">
        <is>
          <t>2022-07-22</t>
        </is>
      </c>
    </row>
    <row r="44793">
      <c r="A44793" s="1" t="n">
        <v>44792</v>
      </c>
      <c r="B44793">
        <f>TEXT(44792, "[$-0E0000]yyyy-mm-dd")</f>
        <v/>
      </c>
      <c r="C44793" t="inlineStr">
        <is>
          <t>2022-07-23</t>
        </is>
      </c>
    </row>
    <row r="44794">
      <c r="A44794" s="1" t="n">
        <v>44793</v>
      </c>
      <c r="B44794">
        <f>TEXT(44793, "[$-0E0000]yyyy-mm-dd")</f>
        <v/>
      </c>
      <c r="C44794" t="inlineStr">
        <is>
          <t>2022-07-24</t>
        </is>
      </c>
    </row>
    <row r="44795">
      <c r="A44795" s="1" t="n">
        <v>44794</v>
      </c>
      <c r="B44795">
        <f>TEXT(44794, "[$-0E0000]yyyy-mm-dd")</f>
        <v/>
      </c>
      <c r="C44795" t="inlineStr">
        <is>
          <t>2022-07-25</t>
        </is>
      </c>
    </row>
    <row r="44796">
      <c r="A44796" s="1" t="n">
        <v>44795</v>
      </c>
      <c r="B44796">
        <f>TEXT(44795, "[$-0E0000]yyyy-mm-dd")</f>
        <v/>
      </c>
      <c r="C44796" t="inlineStr">
        <is>
          <t>2022-07-26</t>
        </is>
      </c>
    </row>
    <row r="44797">
      <c r="A44797" s="1" t="n">
        <v>44796</v>
      </c>
      <c r="B44797">
        <f>TEXT(44796, "[$-0E0000]yyyy-mm-dd")</f>
        <v/>
      </c>
      <c r="C44797" t="inlineStr">
        <is>
          <t>2022-07-27</t>
        </is>
      </c>
    </row>
    <row r="44798">
      <c r="A44798" s="1" t="n">
        <v>44797</v>
      </c>
      <c r="B44798">
        <f>TEXT(44797, "[$-0E0000]yyyy-mm-dd")</f>
        <v/>
      </c>
      <c r="C44798" t="inlineStr">
        <is>
          <t>2022-07-28</t>
        </is>
      </c>
    </row>
    <row r="44799">
      <c r="A44799" s="1" t="n">
        <v>44798</v>
      </c>
      <c r="B44799">
        <f>TEXT(44798, "[$-0E0000]yyyy-mm-dd")</f>
        <v/>
      </c>
      <c r="C44799" t="inlineStr">
        <is>
          <t>2022-07-29</t>
        </is>
      </c>
    </row>
    <row r="44800">
      <c r="A44800" s="1" t="n">
        <v>44799</v>
      </c>
      <c r="B44800">
        <f>TEXT(44799, "[$-0E0000]yyyy-mm-dd")</f>
        <v/>
      </c>
      <c r="C44800" t="inlineStr">
        <is>
          <t>2022-08-01</t>
        </is>
      </c>
    </row>
    <row r="44801">
      <c r="A44801" s="1" t="n">
        <v>44800</v>
      </c>
      <c r="B44801">
        <f>TEXT(44800, "[$-0E0000]yyyy-mm-dd")</f>
        <v/>
      </c>
      <c r="C44801" t="inlineStr">
        <is>
          <t>2022-08-02</t>
        </is>
      </c>
    </row>
    <row r="44802">
      <c r="A44802" s="1" t="n">
        <v>44801</v>
      </c>
      <c r="B44802">
        <f>TEXT(44801, "[$-0E0000]yyyy-mm-dd")</f>
        <v/>
      </c>
      <c r="C44802" t="inlineStr">
        <is>
          <t>2022-08-03</t>
        </is>
      </c>
    </row>
    <row r="44803">
      <c r="A44803" s="1" t="n">
        <v>44802</v>
      </c>
      <c r="B44803">
        <f>TEXT(44802, "[$-0E0000]yyyy-mm-dd")</f>
        <v/>
      </c>
      <c r="C44803" t="inlineStr">
        <is>
          <t>2022-08-04</t>
        </is>
      </c>
    </row>
    <row r="44804">
      <c r="A44804" s="1" t="n">
        <v>44803</v>
      </c>
      <c r="B44804">
        <f>TEXT(44803, "[$-0E0000]yyyy-mm-dd")</f>
        <v/>
      </c>
      <c r="C44804" t="inlineStr">
        <is>
          <t>2022-08-05</t>
        </is>
      </c>
    </row>
    <row r="44805">
      <c r="A44805" s="1" t="n">
        <v>44804</v>
      </c>
      <c r="B44805">
        <f>TEXT(44804, "[$-0E0000]yyyy-mm-dd")</f>
        <v/>
      </c>
      <c r="C44805" t="inlineStr">
        <is>
          <t>2022-08-06</t>
        </is>
      </c>
    </row>
    <row r="44806">
      <c r="A44806" s="1" t="n">
        <v>44805</v>
      </c>
      <c r="B44806">
        <f>TEXT(44805, "[$-0E0000]yyyy-mm-dd")</f>
        <v/>
      </c>
      <c r="C44806" t="inlineStr">
        <is>
          <t>2022-08-07</t>
        </is>
      </c>
    </row>
    <row r="44807">
      <c r="A44807" s="1" t="n">
        <v>44806</v>
      </c>
      <c r="B44807">
        <f>TEXT(44806, "[$-0E0000]yyyy-mm-dd")</f>
        <v/>
      </c>
      <c r="C44807" t="inlineStr">
        <is>
          <t>2022-08-08</t>
        </is>
      </c>
    </row>
    <row r="44808">
      <c r="A44808" s="1" t="n">
        <v>44807</v>
      </c>
      <c r="B44808">
        <f>TEXT(44807, "[$-0E0000]yyyy-mm-dd")</f>
        <v/>
      </c>
      <c r="C44808" t="inlineStr">
        <is>
          <t>2022-08-09</t>
        </is>
      </c>
    </row>
    <row r="44809">
      <c r="A44809" s="1" t="n">
        <v>44808</v>
      </c>
      <c r="B44809">
        <f>TEXT(44808, "[$-0E0000]yyyy-mm-dd")</f>
        <v/>
      </c>
      <c r="C44809" t="inlineStr">
        <is>
          <t>2022-08-10</t>
        </is>
      </c>
    </row>
    <row r="44810">
      <c r="A44810" s="1" t="n">
        <v>44809</v>
      </c>
      <c r="B44810">
        <f>TEXT(44809, "[$-0E0000]yyyy-mm-dd")</f>
        <v/>
      </c>
      <c r="C44810" t="inlineStr">
        <is>
          <t>2022-08-11</t>
        </is>
      </c>
    </row>
    <row r="44811">
      <c r="A44811" s="1" t="n">
        <v>44810</v>
      </c>
      <c r="B44811">
        <f>TEXT(44810, "[$-0E0000]yyyy-mm-dd")</f>
        <v/>
      </c>
      <c r="C44811" t="inlineStr">
        <is>
          <t>2022-08-12</t>
        </is>
      </c>
    </row>
    <row r="44812">
      <c r="A44812" s="1" t="n">
        <v>44811</v>
      </c>
      <c r="B44812">
        <f>TEXT(44811, "[$-0E0000]yyyy-mm-dd")</f>
        <v/>
      </c>
      <c r="C44812" t="inlineStr">
        <is>
          <t>2022-08-13</t>
        </is>
      </c>
    </row>
    <row r="44813">
      <c r="A44813" s="1" t="n">
        <v>44812</v>
      </c>
      <c r="B44813">
        <f>TEXT(44812, "[$-0E0000]yyyy-mm-dd")</f>
        <v/>
      </c>
      <c r="C44813" t="inlineStr">
        <is>
          <t>2022-08-14</t>
        </is>
      </c>
    </row>
    <row r="44814">
      <c r="A44814" s="1" t="n">
        <v>44813</v>
      </c>
      <c r="B44814">
        <f>TEXT(44813, "[$-0E0000]yyyy-mm-dd")</f>
        <v/>
      </c>
      <c r="C44814" t="inlineStr">
        <is>
          <t>2022-08-15</t>
        </is>
      </c>
    </row>
    <row r="44815">
      <c r="A44815" s="1" t="n">
        <v>44814</v>
      </c>
      <c r="B44815">
        <f>TEXT(44814, "[$-0E0000]yyyy-mm-dd")</f>
        <v/>
      </c>
      <c r="C44815" t="inlineStr">
        <is>
          <t>2022-08-16</t>
        </is>
      </c>
    </row>
    <row r="44816">
      <c r="A44816" s="1" t="n">
        <v>44815</v>
      </c>
      <c r="B44816">
        <f>TEXT(44815, "[$-0E0000]yyyy-mm-dd")</f>
        <v/>
      </c>
      <c r="C44816" t="inlineStr">
        <is>
          <t>2022-08-17</t>
        </is>
      </c>
    </row>
    <row r="44817">
      <c r="A44817" s="1" t="n">
        <v>44816</v>
      </c>
      <c r="B44817">
        <f>TEXT(44816, "[$-0E0000]yyyy-mm-dd")</f>
        <v/>
      </c>
      <c r="C44817" t="inlineStr">
        <is>
          <t>2022-08-18</t>
        </is>
      </c>
    </row>
    <row r="44818">
      <c r="A44818" s="1" t="n">
        <v>44817</v>
      </c>
      <c r="B44818">
        <f>TEXT(44817, "[$-0E0000]yyyy-mm-dd")</f>
        <v/>
      </c>
      <c r="C44818" t="inlineStr">
        <is>
          <t>2022-08-19</t>
        </is>
      </c>
    </row>
    <row r="44819">
      <c r="A44819" s="1" t="n">
        <v>44818</v>
      </c>
      <c r="B44819">
        <f>TEXT(44818, "[$-0E0000]yyyy-mm-dd")</f>
        <v/>
      </c>
      <c r="C44819" t="inlineStr">
        <is>
          <t>2022-08-20</t>
        </is>
      </c>
    </row>
    <row r="44820">
      <c r="A44820" s="1" t="n">
        <v>44819</v>
      </c>
      <c r="B44820">
        <f>TEXT(44819, "[$-0E0000]yyyy-mm-dd")</f>
        <v/>
      </c>
      <c r="C44820" t="inlineStr">
        <is>
          <t>2022-08-21</t>
        </is>
      </c>
    </row>
    <row r="44821">
      <c r="A44821" s="1" t="n">
        <v>44820</v>
      </c>
      <c r="B44821">
        <f>TEXT(44820, "[$-0E0000]yyyy-mm-dd")</f>
        <v/>
      </c>
      <c r="C44821" t="inlineStr">
        <is>
          <t>2022-08-22</t>
        </is>
      </c>
    </row>
    <row r="44822">
      <c r="A44822" s="1" t="n">
        <v>44821</v>
      </c>
      <c r="B44822">
        <f>TEXT(44821, "[$-0E0000]yyyy-mm-dd")</f>
        <v/>
      </c>
      <c r="C44822" t="inlineStr">
        <is>
          <t>2022-08-23</t>
        </is>
      </c>
    </row>
    <row r="44823">
      <c r="A44823" s="1" t="n">
        <v>44822</v>
      </c>
      <c r="B44823">
        <f>TEXT(44822, "[$-0E0000]yyyy-mm-dd")</f>
        <v/>
      </c>
      <c r="C44823" t="inlineStr">
        <is>
          <t>2022-08-24</t>
        </is>
      </c>
    </row>
    <row r="44824">
      <c r="A44824" s="1" t="n">
        <v>44823</v>
      </c>
      <c r="B44824">
        <f>TEXT(44823, "[$-0E0000]yyyy-mm-dd")</f>
        <v/>
      </c>
      <c r="C44824" t="inlineStr">
        <is>
          <t>2022-08-25</t>
        </is>
      </c>
    </row>
    <row r="44825">
      <c r="A44825" s="1" t="n">
        <v>44824</v>
      </c>
      <c r="B44825">
        <f>TEXT(44824, "[$-0E0000]yyyy-mm-dd")</f>
        <v/>
      </c>
      <c r="C44825" t="inlineStr">
        <is>
          <t>2022-08-26</t>
        </is>
      </c>
    </row>
    <row r="44826">
      <c r="A44826" s="1" t="n">
        <v>44825</v>
      </c>
      <c r="B44826">
        <f>TEXT(44825, "[$-0E0000]yyyy-mm-dd")</f>
        <v/>
      </c>
      <c r="C44826" t="inlineStr">
        <is>
          <t>2022-08-27</t>
        </is>
      </c>
    </row>
    <row r="44827">
      <c r="A44827" s="1" t="n">
        <v>44826</v>
      </c>
      <c r="B44827">
        <f>TEXT(44826, "[$-0E0000]yyyy-mm-dd")</f>
        <v/>
      </c>
      <c r="C44827" t="inlineStr">
        <is>
          <t>2022-08-28</t>
        </is>
      </c>
    </row>
    <row r="44828">
      <c r="A44828" s="1" t="n">
        <v>44827</v>
      </c>
      <c r="B44828">
        <f>TEXT(44827, "[$-0E0000]yyyy-mm-dd")</f>
        <v/>
      </c>
      <c r="C44828" t="inlineStr">
        <is>
          <t>2022-08-29</t>
        </is>
      </c>
    </row>
    <row r="44829">
      <c r="A44829" s="1" t="n">
        <v>44828</v>
      </c>
      <c r="B44829">
        <f>TEXT(44828, "[$-0E0000]yyyy-mm-dd")</f>
        <v/>
      </c>
      <c r="C44829" t="inlineStr">
        <is>
          <t>2022-08-30</t>
        </is>
      </c>
    </row>
    <row r="44830">
      <c r="A44830" s="1" t="n">
        <v>44829</v>
      </c>
      <c r="B44830">
        <f>TEXT(44829, "[$-0E0000]yyyy-mm-dd")</f>
        <v/>
      </c>
      <c r="C44830" t="inlineStr">
        <is>
          <t>2022-09-01</t>
        </is>
      </c>
    </row>
    <row r="44831">
      <c r="A44831" s="1" t="n">
        <v>44830</v>
      </c>
      <c r="B44831">
        <f>TEXT(44830, "[$-0E0000]yyyy-mm-dd")</f>
        <v/>
      </c>
      <c r="C44831" t="inlineStr">
        <is>
          <t>2022-09-02</t>
        </is>
      </c>
    </row>
    <row r="44832">
      <c r="A44832" s="1" t="n">
        <v>44831</v>
      </c>
      <c r="B44832">
        <f>TEXT(44831, "[$-0E0000]yyyy-mm-dd")</f>
        <v/>
      </c>
      <c r="C44832" t="inlineStr">
        <is>
          <t>2022-09-03</t>
        </is>
      </c>
    </row>
    <row r="44833">
      <c r="A44833" s="1" t="n">
        <v>44832</v>
      </c>
      <c r="B44833">
        <f>TEXT(44832, "[$-0E0000]yyyy-mm-dd")</f>
        <v/>
      </c>
      <c r="C44833" t="inlineStr">
        <is>
          <t>2022-09-04</t>
        </is>
      </c>
    </row>
    <row r="44834">
      <c r="A44834" s="1" t="n">
        <v>44833</v>
      </c>
      <c r="B44834">
        <f>TEXT(44833, "[$-0E0000]yyyy-mm-dd")</f>
        <v/>
      </c>
      <c r="C44834" t="inlineStr">
        <is>
          <t>2022-09-05</t>
        </is>
      </c>
    </row>
    <row r="44835">
      <c r="A44835" s="1" t="n">
        <v>44834</v>
      </c>
      <c r="B44835">
        <f>TEXT(44834, "[$-0E0000]yyyy-mm-dd")</f>
        <v/>
      </c>
      <c r="C44835" t="inlineStr">
        <is>
          <t>2022-09-06</t>
        </is>
      </c>
    </row>
    <row r="44836">
      <c r="A44836" s="1" t="n">
        <v>44835</v>
      </c>
      <c r="B44836">
        <f>TEXT(44835, "[$-0E0000]yyyy-mm-dd")</f>
        <v/>
      </c>
      <c r="C44836" t="inlineStr">
        <is>
          <t>2022-09-07</t>
        </is>
      </c>
    </row>
    <row r="44837">
      <c r="A44837" s="1" t="n">
        <v>44836</v>
      </c>
      <c r="B44837">
        <f>TEXT(44836, "[$-0E0000]yyyy-mm-dd")</f>
        <v/>
      </c>
      <c r="C44837" t="inlineStr">
        <is>
          <t>2022-09-08</t>
        </is>
      </c>
    </row>
    <row r="44838">
      <c r="A44838" s="1" t="n">
        <v>44837</v>
      </c>
      <c r="B44838">
        <f>TEXT(44837, "[$-0E0000]yyyy-mm-dd")</f>
        <v/>
      </c>
      <c r="C44838" t="inlineStr">
        <is>
          <t>2022-09-09</t>
        </is>
      </c>
    </row>
    <row r="44839">
      <c r="A44839" s="1" t="n">
        <v>44838</v>
      </c>
      <c r="B44839">
        <f>TEXT(44838, "[$-0E0000]yyyy-mm-dd")</f>
        <v/>
      </c>
      <c r="C44839" t="inlineStr">
        <is>
          <t>2022-09-10</t>
        </is>
      </c>
    </row>
    <row r="44840">
      <c r="A44840" s="1" t="n">
        <v>44839</v>
      </c>
      <c r="B44840">
        <f>TEXT(44839, "[$-0E0000]yyyy-mm-dd")</f>
        <v/>
      </c>
      <c r="C44840" t="inlineStr">
        <is>
          <t>2022-09-11</t>
        </is>
      </c>
    </row>
    <row r="44841">
      <c r="A44841" s="1" t="n">
        <v>44840</v>
      </c>
      <c r="B44841">
        <f>TEXT(44840, "[$-0E0000]yyyy-mm-dd")</f>
        <v/>
      </c>
      <c r="C44841" t="inlineStr">
        <is>
          <t>2022-09-12</t>
        </is>
      </c>
    </row>
    <row r="44842">
      <c r="A44842" s="1" t="n">
        <v>44841</v>
      </c>
      <c r="B44842">
        <f>TEXT(44841, "[$-0E0000]yyyy-mm-dd")</f>
        <v/>
      </c>
      <c r="C44842" t="inlineStr">
        <is>
          <t>2022-09-13</t>
        </is>
      </c>
    </row>
    <row r="44843">
      <c r="A44843" s="1" t="n">
        <v>44842</v>
      </c>
      <c r="B44843">
        <f>TEXT(44842, "[$-0E0000]yyyy-mm-dd")</f>
        <v/>
      </c>
      <c r="C44843" t="inlineStr">
        <is>
          <t>2022-09-14</t>
        </is>
      </c>
    </row>
    <row r="44844">
      <c r="A44844" s="1" t="n">
        <v>44843</v>
      </c>
      <c r="B44844">
        <f>TEXT(44843, "[$-0E0000]yyyy-mm-dd")</f>
        <v/>
      </c>
      <c r="C44844" t="inlineStr">
        <is>
          <t>2022-09-15</t>
        </is>
      </c>
    </row>
    <row r="44845">
      <c r="A44845" s="1" t="n">
        <v>44844</v>
      </c>
      <c r="B44845">
        <f>TEXT(44844, "[$-0E0000]yyyy-mm-dd")</f>
        <v/>
      </c>
      <c r="C44845" t="inlineStr">
        <is>
          <t>2022-09-16</t>
        </is>
      </c>
    </row>
    <row r="44846">
      <c r="A44846" s="1" t="n">
        <v>44845</v>
      </c>
      <c r="B44846">
        <f>TEXT(44845, "[$-0E0000]yyyy-mm-dd")</f>
        <v/>
      </c>
      <c r="C44846" t="inlineStr">
        <is>
          <t>2022-09-17</t>
        </is>
      </c>
    </row>
    <row r="44847">
      <c r="A44847" s="1" t="n">
        <v>44846</v>
      </c>
      <c r="B44847">
        <f>TEXT(44846, "[$-0E0000]yyyy-mm-dd")</f>
        <v/>
      </c>
      <c r="C44847" t="inlineStr">
        <is>
          <t>2022-09-18</t>
        </is>
      </c>
    </row>
    <row r="44848">
      <c r="A44848" s="1" t="n">
        <v>44847</v>
      </c>
      <c r="B44848">
        <f>TEXT(44847, "[$-0E0000]yyyy-mm-dd")</f>
        <v/>
      </c>
      <c r="C44848" t="inlineStr">
        <is>
          <t>2022-09-19</t>
        </is>
      </c>
    </row>
    <row r="44849">
      <c r="A44849" s="1" t="n">
        <v>44848</v>
      </c>
      <c r="B44849">
        <f>TEXT(44848, "[$-0E0000]yyyy-mm-dd")</f>
        <v/>
      </c>
      <c r="C44849" t="inlineStr">
        <is>
          <t>2022-09-20</t>
        </is>
      </c>
    </row>
    <row r="44850">
      <c r="A44850" s="1" t="n">
        <v>44849</v>
      </c>
      <c r="B44850">
        <f>TEXT(44849, "[$-0E0000]yyyy-mm-dd")</f>
        <v/>
      </c>
      <c r="C44850" t="inlineStr">
        <is>
          <t>2022-09-21</t>
        </is>
      </c>
    </row>
    <row r="44851">
      <c r="A44851" s="1" t="n">
        <v>44850</v>
      </c>
      <c r="B44851">
        <f>TEXT(44850, "[$-0E0000]yyyy-mm-dd")</f>
        <v/>
      </c>
      <c r="C44851" t="inlineStr">
        <is>
          <t>2022-09-22</t>
        </is>
      </c>
    </row>
    <row r="44852">
      <c r="A44852" s="1" t="n">
        <v>44851</v>
      </c>
      <c r="B44852">
        <f>TEXT(44851, "[$-0E0000]yyyy-mm-dd")</f>
        <v/>
      </c>
      <c r="C44852" t="inlineStr">
        <is>
          <t>2022-09-23</t>
        </is>
      </c>
    </row>
    <row r="44853">
      <c r="A44853" s="1" t="n">
        <v>44852</v>
      </c>
      <c r="B44853">
        <f>TEXT(44852, "[$-0E0000]yyyy-mm-dd")</f>
        <v/>
      </c>
      <c r="C44853" t="inlineStr">
        <is>
          <t>2022-09-24</t>
        </is>
      </c>
    </row>
    <row r="44854">
      <c r="A44854" s="1" t="n">
        <v>44853</v>
      </c>
      <c r="B44854">
        <f>TEXT(44853, "[$-0E0000]yyyy-mm-dd")</f>
        <v/>
      </c>
      <c r="C44854" t="inlineStr">
        <is>
          <t>2022-09-25</t>
        </is>
      </c>
    </row>
    <row r="44855">
      <c r="A44855" s="1" t="n">
        <v>44854</v>
      </c>
      <c r="B44855">
        <f>TEXT(44854, "[$-0E0000]yyyy-mm-dd")</f>
        <v/>
      </c>
      <c r="C44855" t="inlineStr">
        <is>
          <t>2022-09-26</t>
        </is>
      </c>
    </row>
    <row r="44856">
      <c r="A44856" s="1" t="n">
        <v>44855</v>
      </c>
      <c r="B44856">
        <f>TEXT(44855, "[$-0E0000]yyyy-mm-dd")</f>
        <v/>
      </c>
      <c r="C44856" t="inlineStr">
        <is>
          <t>2022-09-27</t>
        </is>
      </c>
    </row>
    <row r="44857">
      <c r="A44857" s="1" t="n">
        <v>44856</v>
      </c>
      <c r="B44857">
        <f>TEXT(44856, "[$-0E0000]yyyy-mm-dd")</f>
        <v/>
      </c>
      <c r="C44857" t="inlineStr">
        <is>
          <t>2022-09-28</t>
        </is>
      </c>
    </row>
    <row r="44858">
      <c r="A44858" s="1" t="n">
        <v>44857</v>
      </c>
      <c r="B44858">
        <f>TEXT(44857, "[$-0E0000]yyyy-mm-dd")</f>
        <v/>
      </c>
      <c r="C44858" t="inlineStr">
        <is>
          <t>2022-09-29</t>
        </is>
      </c>
    </row>
    <row r="44859">
      <c r="A44859" s="1" t="n">
        <v>44858</v>
      </c>
      <c r="B44859">
        <f>TEXT(44858, "[$-0E0000]yyyy-mm-dd")</f>
        <v/>
      </c>
      <c r="C44859" t="inlineStr">
        <is>
          <t>2022-10-01</t>
        </is>
      </c>
    </row>
    <row r="44860">
      <c r="A44860" s="1" t="n">
        <v>44859</v>
      </c>
      <c r="B44860">
        <f>TEXT(44859, "[$-0E0000]yyyy-mm-dd")</f>
        <v/>
      </c>
      <c r="C44860" t="inlineStr">
        <is>
          <t>2022-10-02</t>
        </is>
      </c>
    </row>
    <row r="44861">
      <c r="A44861" s="1" t="n">
        <v>44860</v>
      </c>
      <c r="B44861">
        <f>TEXT(44860, "[$-0E0000]yyyy-mm-dd")</f>
        <v/>
      </c>
      <c r="C44861" t="inlineStr">
        <is>
          <t>2022-10-03</t>
        </is>
      </c>
    </row>
    <row r="44862">
      <c r="A44862" s="1" t="n">
        <v>44861</v>
      </c>
      <c r="B44862">
        <f>TEXT(44861, "[$-0E0000]yyyy-mm-dd")</f>
        <v/>
      </c>
      <c r="C44862" t="inlineStr">
        <is>
          <t>2022-10-04</t>
        </is>
      </c>
    </row>
    <row r="44863">
      <c r="A44863" s="1" t="n">
        <v>44862</v>
      </c>
      <c r="B44863">
        <f>TEXT(44862, "[$-0E0000]yyyy-mm-dd")</f>
        <v/>
      </c>
      <c r="C44863" t="inlineStr">
        <is>
          <t>2022-10-05</t>
        </is>
      </c>
    </row>
    <row r="44864">
      <c r="A44864" s="1" t="n">
        <v>44863</v>
      </c>
      <c r="B44864">
        <f>TEXT(44863, "[$-0E0000]yyyy-mm-dd")</f>
        <v/>
      </c>
      <c r="C44864" t="inlineStr">
        <is>
          <t>2022-10-06</t>
        </is>
      </c>
    </row>
    <row r="44865">
      <c r="A44865" s="1" t="n">
        <v>44864</v>
      </c>
      <c r="B44865">
        <f>TEXT(44864, "[$-0E0000]yyyy-mm-dd")</f>
        <v/>
      </c>
      <c r="C44865" t="inlineStr">
        <is>
          <t>2022-10-07</t>
        </is>
      </c>
    </row>
    <row r="44866">
      <c r="A44866" s="1" t="n">
        <v>44865</v>
      </c>
      <c r="B44866">
        <f>TEXT(44865, "[$-0E0000]yyyy-mm-dd")</f>
        <v/>
      </c>
      <c r="C44866" t="inlineStr">
        <is>
          <t>2022-10-08</t>
        </is>
      </c>
    </row>
    <row r="44867">
      <c r="A44867" s="1" t="n">
        <v>44866</v>
      </c>
      <c r="B44867">
        <f>TEXT(44866, "[$-0E0000]yyyy-mm-dd")</f>
        <v/>
      </c>
      <c r="C44867" t="inlineStr">
        <is>
          <t>2022-10-09</t>
        </is>
      </c>
    </row>
    <row r="44868">
      <c r="A44868" s="1" t="n">
        <v>44867</v>
      </c>
      <c r="B44868">
        <f>TEXT(44867, "[$-0E0000]yyyy-mm-dd")</f>
        <v/>
      </c>
      <c r="C44868" t="inlineStr">
        <is>
          <t>2022-10-10</t>
        </is>
      </c>
    </row>
    <row r="44869">
      <c r="A44869" s="1" t="n">
        <v>44868</v>
      </c>
      <c r="B44869">
        <f>TEXT(44868, "[$-0E0000]yyyy-mm-dd")</f>
        <v/>
      </c>
      <c r="C44869" t="inlineStr">
        <is>
          <t>2022-10-11</t>
        </is>
      </c>
    </row>
    <row r="44870">
      <c r="A44870" s="1" t="n">
        <v>44869</v>
      </c>
      <c r="B44870">
        <f>TEXT(44869, "[$-0E0000]yyyy-mm-dd")</f>
        <v/>
      </c>
      <c r="C44870" t="inlineStr">
        <is>
          <t>2022-10-12</t>
        </is>
      </c>
    </row>
    <row r="44871">
      <c r="A44871" s="1" t="n">
        <v>44870</v>
      </c>
      <c r="B44871">
        <f>TEXT(44870, "[$-0E0000]yyyy-mm-dd")</f>
        <v/>
      </c>
      <c r="C44871" t="inlineStr">
        <is>
          <t>2022-10-13</t>
        </is>
      </c>
    </row>
    <row r="44872">
      <c r="A44872" s="1" t="n">
        <v>44871</v>
      </c>
      <c r="B44872">
        <f>TEXT(44871, "[$-0E0000]yyyy-mm-dd")</f>
        <v/>
      </c>
      <c r="C44872" t="inlineStr">
        <is>
          <t>2022-10-14</t>
        </is>
      </c>
    </row>
    <row r="44873">
      <c r="A44873" s="1" t="n">
        <v>44872</v>
      </c>
      <c r="B44873">
        <f>TEXT(44872, "[$-0E0000]yyyy-mm-dd")</f>
        <v/>
      </c>
      <c r="C44873" t="inlineStr">
        <is>
          <t>2022-10-15</t>
        </is>
      </c>
    </row>
    <row r="44874">
      <c r="A44874" s="1" t="n">
        <v>44873</v>
      </c>
      <c r="B44874">
        <f>TEXT(44873, "[$-0E0000]yyyy-mm-dd")</f>
        <v/>
      </c>
      <c r="C44874" t="inlineStr">
        <is>
          <t>2022-10-16</t>
        </is>
      </c>
    </row>
    <row r="44875">
      <c r="A44875" s="1" t="n">
        <v>44874</v>
      </c>
      <c r="B44875">
        <f>TEXT(44874, "[$-0E0000]yyyy-mm-dd")</f>
        <v/>
      </c>
      <c r="C44875" t="inlineStr">
        <is>
          <t>2022-10-17</t>
        </is>
      </c>
    </row>
    <row r="44876">
      <c r="A44876" s="1" t="n">
        <v>44875</v>
      </c>
      <c r="B44876">
        <f>TEXT(44875, "[$-0E0000]yyyy-mm-dd")</f>
        <v/>
      </c>
      <c r="C44876" t="inlineStr">
        <is>
          <t>2022-10-18</t>
        </is>
      </c>
    </row>
    <row r="44877">
      <c r="A44877" s="1" t="n">
        <v>44876</v>
      </c>
      <c r="B44877">
        <f>TEXT(44876, "[$-0E0000]yyyy-mm-dd")</f>
        <v/>
      </c>
      <c r="C44877" t="inlineStr">
        <is>
          <t>2022-10-19</t>
        </is>
      </c>
    </row>
    <row r="44878">
      <c r="A44878" s="1" t="n">
        <v>44877</v>
      </c>
      <c r="B44878">
        <f>TEXT(44877, "[$-0E0000]yyyy-mm-dd")</f>
        <v/>
      </c>
      <c r="C44878" t="inlineStr">
        <is>
          <t>2022-10-20</t>
        </is>
      </c>
    </row>
    <row r="44879">
      <c r="A44879" s="1" t="n">
        <v>44878</v>
      </c>
      <c r="B44879">
        <f>TEXT(44878, "[$-0E0000]yyyy-mm-dd")</f>
        <v/>
      </c>
      <c r="C44879" t="inlineStr">
        <is>
          <t>2022-10-21</t>
        </is>
      </c>
    </row>
    <row r="44880">
      <c r="A44880" s="1" t="n">
        <v>44879</v>
      </c>
      <c r="B44880">
        <f>TEXT(44879, "[$-0E0000]yyyy-mm-dd")</f>
        <v/>
      </c>
      <c r="C44880" t="inlineStr">
        <is>
          <t>2022-10-22</t>
        </is>
      </c>
    </row>
    <row r="44881">
      <c r="A44881" s="1" t="n">
        <v>44880</v>
      </c>
      <c r="B44881">
        <f>TEXT(44880, "[$-0E0000]yyyy-mm-dd")</f>
        <v/>
      </c>
      <c r="C44881" t="inlineStr">
        <is>
          <t>2022-10-23</t>
        </is>
      </c>
    </row>
    <row r="44882">
      <c r="A44882" s="1" t="n">
        <v>44881</v>
      </c>
      <c r="B44882">
        <f>TEXT(44881, "[$-0E0000]yyyy-mm-dd")</f>
        <v/>
      </c>
      <c r="C44882" t="inlineStr">
        <is>
          <t>2022-10-24</t>
        </is>
      </c>
    </row>
    <row r="44883">
      <c r="A44883" s="1" t="n">
        <v>44882</v>
      </c>
      <c r="B44883">
        <f>TEXT(44882, "[$-0E0000]yyyy-mm-dd")</f>
        <v/>
      </c>
      <c r="C44883" t="inlineStr">
        <is>
          <t>2022-10-25</t>
        </is>
      </c>
    </row>
    <row r="44884">
      <c r="A44884" s="1" t="n">
        <v>44883</v>
      </c>
      <c r="B44884">
        <f>TEXT(44883, "[$-0E0000]yyyy-mm-dd")</f>
        <v/>
      </c>
      <c r="C44884" t="inlineStr">
        <is>
          <t>2022-10-26</t>
        </is>
      </c>
    </row>
    <row r="44885">
      <c r="A44885" s="1" t="n">
        <v>44884</v>
      </c>
      <c r="B44885">
        <f>TEXT(44884, "[$-0E0000]yyyy-mm-dd")</f>
        <v/>
      </c>
      <c r="C44885" t="inlineStr">
        <is>
          <t>2022-10-27</t>
        </is>
      </c>
    </row>
    <row r="44886">
      <c r="A44886" s="1" t="n">
        <v>44885</v>
      </c>
      <c r="B44886">
        <f>TEXT(44885, "[$-0E0000]yyyy-mm-dd")</f>
        <v/>
      </c>
      <c r="C44886" t="inlineStr">
        <is>
          <t>2022-10-28</t>
        </is>
      </c>
    </row>
    <row r="44887">
      <c r="A44887" s="1" t="n">
        <v>44886</v>
      </c>
      <c r="B44887">
        <f>TEXT(44886, "[$-0E0000]yyyy-mm-dd")</f>
        <v/>
      </c>
      <c r="C44887" t="inlineStr">
        <is>
          <t>2022-10-29</t>
        </is>
      </c>
    </row>
    <row r="44888">
      <c r="A44888" s="1" t="n">
        <v>44887</v>
      </c>
      <c r="B44888">
        <f>TEXT(44887, "[$-0E0000]yyyy-mm-dd")</f>
        <v/>
      </c>
      <c r="C44888" t="inlineStr">
        <is>
          <t>2022-10-30</t>
        </is>
      </c>
    </row>
    <row r="44889">
      <c r="A44889" s="1" t="n">
        <v>44888</v>
      </c>
      <c r="B44889">
        <f>TEXT(44888, "[$-0E0000]yyyy-mm-dd")</f>
        <v/>
      </c>
      <c r="C44889" t="inlineStr">
        <is>
          <t>2022-11-01</t>
        </is>
      </c>
    </row>
    <row r="44890">
      <c r="A44890" s="1" t="n">
        <v>44889</v>
      </c>
      <c r="B44890">
        <f>TEXT(44889, "[$-0E0000]yyyy-mm-dd")</f>
        <v/>
      </c>
      <c r="C44890" t="inlineStr">
        <is>
          <t>2022-11-02</t>
        </is>
      </c>
    </row>
    <row r="44891">
      <c r="A44891" s="1" t="n">
        <v>44890</v>
      </c>
      <c r="B44891">
        <f>TEXT(44890, "[$-0E0000]yyyy-mm-dd")</f>
        <v/>
      </c>
      <c r="C44891" t="inlineStr">
        <is>
          <t>2022-11-03</t>
        </is>
      </c>
    </row>
    <row r="44892">
      <c r="A44892" s="1" t="n">
        <v>44891</v>
      </c>
      <c r="B44892">
        <f>TEXT(44891, "[$-0E0000]yyyy-mm-dd")</f>
        <v/>
      </c>
      <c r="C44892" t="inlineStr">
        <is>
          <t>2022-11-04</t>
        </is>
      </c>
    </row>
    <row r="44893">
      <c r="A44893" s="1" t="n">
        <v>44892</v>
      </c>
      <c r="B44893">
        <f>TEXT(44892, "[$-0E0000]yyyy-mm-dd")</f>
        <v/>
      </c>
      <c r="C44893" t="inlineStr">
        <is>
          <t>2022-11-05</t>
        </is>
      </c>
    </row>
    <row r="44894">
      <c r="A44894" s="1" t="n">
        <v>44893</v>
      </c>
      <c r="B44894">
        <f>TEXT(44893, "[$-0E0000]yyyy-mm-dd")</f>
        <v/>
      </c>
      <c r="C44894" t="inlineStr">
        <is>
          <t>2022-11-06</t>
        </is>
      </c>
    </row>
    <row r="44895">
      <c r="A44895" s="1" t="n">
        <v>44894</v>
      </c>
      <c r="B44895">
        <f>TEXT(44894, "[$-0E0000]yyyy-mm-dd")</f>
        <v/>
      </c>
      <c r="C44895" t="inlineStr">
        <is>
          <t>2022-11-07</t>
        </is>
      </c>
    </row>
    <row r="44896">
      <c r="A44896" s="1" t="n">
        <v>44895</v>
      </c>
      <c r="B44896">
        <f>TEXT(44895, "[$-0E0000]yyyy-mm-dd")</f>
        <v/>
      </c>
      <c r="C44896" t="inlineStr">
        <is>
          <t>2022-11-08</t>
        </is>
      </c>
    </row>
    <row r="44897">
      <c r="A44897" s="1" t="n">
        <v>44896</v>
      </c>
      <c r="B44897">
        <f>TEXT(44896, "[$-0E0000]yyyy-mm-dd")</f>
        <v/>
      </c>
      <c r="C44897" t="inlineStr">
        <is>
          <t>2022-11-09</t>
        </is>
      </c>
    </row>
    <row r="44898">
      <c r="A44898" s="1" t="n">
        <v>44897</v>
      </c>
      <c r="B44898">
        <f>TEXT(44897, "[$-0E0000]yyyy-mm-dd")</f>
        <v/>
      </c>
      <c r="C44898" t="inlineStr">
        <is>
          <t>2022-11-10</t>
        </is>
      </c>
    </row>
    <row r="44899">
      <c r="A44899" s="1" t="n">
        <v>44898</v>
      </c>
      <c r="B44899">
        <f>TEXT(44898, "[$-0E0000]yyyy-mm-dd")</f>
        <v/>
      </c>
      <c r="C44899" t="inlineStr">
        <is>
          <t>2022-11-11</t>
        </is>
      </c>
    </row>
    <row r="44900">
      <c r="A44900" s="1" t="n">
        <v>44899</v>
      </c>
      <c r="B44900">
        <f>TEXT(44899, "[$-0E0000]yyyy-mm-dd")</f>
        <v/>
      </c>
      <c r="C44900" t="inlineStr">
        <is>
          <t>2022-11-12</t>
        </is>
      </c>
    </row>
    <row r="44901">
      <c r="A44901" s="1" t="n">
        <v>44900</v>
      </c>
      <c r="B44901">
        <f>TEXT(44900, "[$-0E0000]yyyy-mm-dd")</f>
        <v/>
      </c>
      <c r="C44901" t="inlineStr">
        <is>
          <t>2022-11-13</t>
        </is>
      </c>
    </row>
    <row r="44902">
      <c r="A44902" s="1" t="n">
        <v>44901</v>
      </c>
      <c r="B44902">
        <f>TEXT(44901, "[$-0E0000]yyyy-mm-dd")</f>
        <v/>
      </c>
      <c r="C44902" t="inlineStr">
        <is>
          <t>2022-11-14</t>
        </is>
      </c>
    </row>
    <row r="44903">
      <c r="A44903" s="1" t="n">
        <v>44902</v>
      </c>
      <c r="B44903">
        <f>TEXT(44902, "[$-0E0000]yyyy-mm-dd")</f>
        <v/>
      </c>
      <c r="C44903" t="inlineStr">
        <is>
          <t>2022-11-15</t>
        </is>
      </c>
    </row>
    <row r="44904">
      <c r="A44904" s="1" t="n">
        <v>44903</v>
      </c>
      <c r="B44904">
        <f>TEXT(44903, "[$-0E0000]yyyy-mm-dd")</f>
        <v/>
      </c>
      <c r="C44904" t="inlineStr">
        <is>
          <t>2022-11-16</t>
        </is>
      </c>
    </row>
    <row r="44905">
      <c r="A44905" s="1" t="n">
        <v>44904</v>
      </c>
      <c r="B44905">
        <f>TEXT(44904, "[$-0E0000]yyyy-mm-dd")</f>
        <v/>
      </c>
      <c r="C44905" t="inlineStr">
        <is>
          <t>2022-11-17</t>
        </is>
      </c>
    </row>
    <row r="44906">
      <c r="A44906" s="1" t="n">
        <v>44905</v>
      </c>
      <c r="B44906">
        <f>TEXT(44905, "[$-0E0000]yyyy-mm-dd")</f>
        <v/>
      </c>
      <c r="C44906" t="inlineStr">
        <is>
          <t>2022-11-18</t>
        </is>
      </c>
    </row>
    <row r="44907">
      <c r="A44907" s="1" t="n">
        <v>44906</v>
      </c>
      <c r="B44907">
        <f>TEXT(44906, "[$-0E0000]yyyy-mm-dd")</f>
        <v/>
      </c>
      <c r="C44907" t="inlineStr">
        <is>
          <t>2022-11-19</t>
        </is>
      </c>
    </row>
    <row r="44908">
      <c r="A44908" s="1" t="n">
        <v>44907</v>
      </c>
      <c r="B44908">
        <f>TEXT(44907, "[$-0E0000]yyyy-mm-dd")</f>
        <v/>
      </c>
      <c r="C44908" t="inlineStr">
        <is>
          <t>2022-11-20</t>
        </is>
      </c>
    </row>
    <row r="44909">
      <c r="A44909" s="1" t="n">
        <v>44908</v>
      </c>
      <c r="B44909">
        <f>TEXT(44908, "[$-0E0000]yyyy-mm-dd")</f>
        <v/>
      </c>
      <c r="C44909" t="inlineStr">
        <is>
          <t>2022-11-21</t>
        </is>
      </c>
    </row>
    <row r="44910">
      <c r="A44910" s="1" t="n">
        <v>44909</v>
      </c>
      <c r="B44910">
        <f>TEXT(44909, "[$-0E0000]yyyy-mm-dd")</f>
        <v/>
      </c>
      <c r="C44910" t="inlineStr">
        <is>
          <t>2022-11-22</t>
        </is>
      </c>
    </row>
    <row r="44911">
      <c r="A44911" s="1" t="n">
        <v>44910</v>
      </c>
      <c r="B44911">
        <f>TEXT(44910, "[$-0E0000]yyyy-mm-dd")</f>
        <v/>
      </c>
      <c r="C44911" t="inlineStr">
        <is>
          <t>2022-11-23</t>
        </is>
      </c>
    </row>
    <row r="44912">
      <c r="A44912" s="1" t="n">
        <v>44911</v>
      </c>
      <c r="B44912">
        <f>TEXT(44911, "[$-0E0000]yyyy-mm-dd")</f>
        <v/>
      </c>
      <c r="C44912" t="inlineStr">
        <is>
          <t>2022-11-24</t>
        </is>
      </c>
    </row>
    <row r="44913">
      <c r="A44913" s="1" t="n">
        <v>44912</v>
      </c>
      <c r="B44913">
        <f>TEXT(44912, "[$-0E0000]yyyy-mm-dd")</f>
        <v/>
      </c>
      <c r="C44913" t="inlineStr">
        <is>
          <t>2022-11-25</t>
        </is>
      </c>
    </row>
    <row r="44914">
      <c r="A44914" s="1" t="n">
        <v>44913</v>
      </c>
      <c r="B44914">
        <f>TEXT(44913, "[$-0E0000]yyyy-mm-dd")</f>
        <v/>
      </c>
      <c r="C44914" t="inlineStr">
        <is>
          <t>2022-11-26</t>
        </is>
      </c>
    </row>
    <row r="44915">
      <c r="A44915" s="1" t="n">
        <v>44914</v>
      </c>
      <c r="B44915">
        <f>TEXT(44914, "[$-0E0000]yyyy-mm-dd")</f>
        <v/>
      </c>
      <c r="C44915" t="inlineStr">
        <is>
          <t>2022-11-27</t>
        </is>
      </c>
    </row>
    <row r="44916">
      <c r="A44916" s="1" t="n">
        <v>44915</v>
      </c>
      <c r="B44916">
        <f>TEXT(44915, "[$-0E0000]yyyy-mm-dd")</f>
        <v/>
      </c>
      <c r="C44916" t="inlineStr">
        <is>
          <t>2022-11-28</t>
        </is>
      </c>
    </row>
    <row r="44917">
      <c r="A44917" s="1" t="n">
        <v>44916</v>
      </c>
      <c r="B44917">
        <f>TEXT(44916, "[$-0E0000]yyyy-mm-dd")</f>
        <v/>
      </c>
      <c r="C44917" t="inlineStr">
        <is>
          <t>2022-11-29</t>
        </is>
      </c>
    </row>
    <row r="44918">
      <c r="A44918" s="1" t="n">
        <v>44917</v>
      </c>
      <c r="B44918">
        <f>TEXT(44917, "[$-0E0000]yyyy-mm-dd")</f>
        <v/>
      </c>
      <c r="C44918" t="inlineStr">
        <is>
          <t>2022-12-01</t>
        </is>
      </c>
    </row>
    <row r="44919">
      <c r="A44919" s="1" t="n">
        <v>44918</v>
      </c>
      <c r="B44919">
        <f>TEXT(44918, "[$-0E0000]yyyy-mm-dd")</f>
        <v/>
      </c>
      <c r="C44919" t="inlineStr">
        <is>
          <t>2022-12-02</t>
        </is>
      </c>
    </row>
    <row r="44920">
      <c r="A44920" s="1" t="n">
        <v>44919</v>
      </c>
      <c r="B44920">
        <f>TEXT(44919, "[$-0E0000]yyyy-mm-dd")</f>
        <v/>
      </c>
      <c r="C44920" t="inlineStr">
        <is>
          <t>2022-12-03</t>
        </is>
      </c>
    </row>
    <row r="44921">
      <c r="A44921" s="1" t="n">
        <v>44920</v>
      </c>
      <c r="B44921">
        <f>TEXT(44920, "[$-0E0000]yyyy-mm-dd")</f>
        <v/>
      </c>
      <c r="C44921" t="inlineStr">
        <is>
          <t>2022-12-04</t>
        </is>
      </c>
    </row>
    <row r="44922">
      <c r="A44922" s="1" t="n">
        <v>44921</v>
      </c>
      <c r="B44922">
        <f>TEXT(44921, "[$-0E0000]yyyy-mm-dd")</f>
        <v/>
      </c>
      <c r="C44922" t="inlineStr">
        <is>
          <t>2022-12-05</t>
        </is>
      </c>
    </row>
    <row r="44923">
      <c r="A44923" s="1" t="n">
        <v>44922</v>
      </c>
      <c r="B44923">
        <f>TEXT(44922, "[$-0E0000]yyyy-mm-dd")</f>
        <v/>
      </c>
      <c r="C44923" t="inlineStr">
        <is>
          <t>2022-12-06</t>
        </is>
      </c>
    </row>
    <row r="44924">
      <c r="A44924" s="1" t="n">
        <v>44923</v>
      </c>
      <c r="B44924">
        <f>TEXT(44923, "[$-0E0000]yyyy-mm-dd")</f>
        <v/>
      </c>
      <c r="C44924" t="inlineStr">
        <is>
          <t>2022-12-07</t>
        </is>
      </c>
    </row>
    <row r="44925">
      <c r="A44925" s="1" t="n">
        <v>44924</v>
      </c>
      <c r="B44925">
        <f>TEXT(44924, "[$-0E0000]yyyy-mm-dd")</f>
        <v/>
      </c>
      <c r="C44925" t="inlineStr">
        <is>
          <t>2022-12-08</t>
        </is>
      </c>
    </row>
    <row r="44926">
      <c r="A44926" s="1" t="n">
        <v>44925</v>
      </c>
      <c r="B44926">
        <f>TEXT(44925, "[$-0E0000]yyyy-mm-dd")</f>
        <v/>
      </c>
      <c r="C44926" t="inlineStr">
        <is>
          <t>2022-12-09</t>
        </is>
      </c>
    </row>
    <row r="44927">
      <c r="A44927" s="1" t="n">
        <v>44926</v>
      </c>
      <c r="B44927">
        <f>TEXT(44926, "[$-0E0000]yyyy-mm-dd")</f>
        <v/>
      </c>
      <c r="C44927" t="inlineStr">
        <is>
          <t>2022-12-10</t>
        </is>
      </c>
    </row>
    <row r="44928">
      <c r="A44928" s="1" t="n">
        <v>44927</v>
      </c>
      <c r="B44928">
        <f>TEXT(44927, "[$-0E0000]yyyy-mm-dd")</f>
        <v/>
      </c>
      <c r="C44928" t="inlineStr">
        <is>
          <t>2022-12-11</t>
        </is>
      </c>
    </row>
    <row r="44929">
      <c r="A44929" s="1" t="n">
        <v>44928</v>
      </c>
      <c r="B44929">
        <f>TEXT(44928, "[$-0E0000]yyyy-mm-dd")</f>
        <v/>
      </c>
      <c r="C44929" t="inlineStr">
        <is>
          <t>2022-12-12</t>
        </is>
      </c>
    </row>
    <row r="44930">
      <c r="A44930" s="1" t="n">
        <v>44929</v>
      </c>
      <c r="B44930">
        <f>TEXT(44929, "[$-0E0000]yyyy-mm-dd")</f>
        <v/>
      </c>
      <c r="C44930" t="inlineStr">
        <is>
          <t>2022-12-13</t>
        </is>
      </c>
    </row>
    <row r="44931">
      <c r="A44931" s="1" t="n">
        <v>44930</v>
      </c>
      <c r="B44931">
        <f>TEXT(44930, "[$-0E0000]yyyy-mm-dd")</f>
        <v/>
      </c>
      <c r="C44931" t="inlineStr">
        <is>
          <t>2022-12-14</t>
        </is>
      </c>
    </row>
    <row r="44932">
      <c r="A44932" s="1" t="n">
        <v>44931</v>
      </c>
      <c r="B44932">
        <f>TEXT(44931, "[$-0E0000]yyyy-mm-dd")</f>
        <v/>
      </c>
      <c r="C44932" t="inlineStr">
        <is>
          <t>2022-12-15</t>
        </is>
      </c>
    </row>
    <row r="44933">
      <c r="A44933" s="1" t="n">
        <v>44932</v>
      </c>
      <c r="B44933">
        <f>TEXT(44932, "[$-0E0000]yyyy-mm-dd")</f>
        <v/>
      </c>
      <c r="C44933" t="inlineStr">
        <is>
          <t>2022-12-16</t>
        </is>
      </c>
    </row>
    <row r="44934">
      <c r="A44934" s="1" t="n">
        <v>44933</v>
      </c>
      <c r="B44934">
        <f>TEXT(44933, "[$-0E0000]yyyy-mm-dd")</f>
        <v/>
      </c>
      <c r="C44934" t="inlineStr">
        <is>
          <t>2022-12-17</t>
        </is>
      </c>
    </row>
    <row r="44935">
      <c r="A44935" s="1" t="n">
        <v>44934</v>
      </c>
      <c r="B44935">
        <f>TEXT(44934, "[$-0E0000]yyyy-mm-dd")</f>
        <v/>
      </c>
      <c r="C44935" t="inlineStr">
        <is>
          <t>2022-12-18</t>
        </is>
      </c>
    </row>
    <row r="44936">
      <c r="A44936" s="1" t="n">
        <v>44935</v>
      </c>
      <c r="B44936">
        <f>TEXT(44935, "[$-0E0000]yyyy-mm-dd")</f>
        <v/>
      </c>
      <c r="C44936" t="inlineStr">
        <is>
          <t>2022-12-19</t>
        </is>
      </c>
    </row>
    <row r="44937">
      <c r="A44937" s="1" t="n">
        <v>44936</v>
      </c>
      <c r="B44937">
        <f>TEXT(44936, "[$-0E0000]yyyy-mm-dd")</f>
        <v/>
      </c>
      <c r="C44937" t="inlineStr">
        <is>
          <t>2022-12-20</t>
        </is>
      </c>
    </row>
    <row r="44938">
      <c r="A44938" s="1" t="n">
        <v>44937</v>
      </c>
      <c r="B44938">
        <f>TEXT(44937, "[$-0E0000]yyyy-mm-dd")</f>
        <v/>
      </c>
      <c r="C44938" t="inlineStr">
        <is>
          <t>2022-12-21</t>
        </is>
      </c>
    </row>
    <row r="44939">
      <c r="A44939" s="1" t="n">
        <v>44938</v>
      </c>
      <c r="B44939">
        <f>TEXT(44938, "[$-0E0000]yyyy-mm-dd")</f>
        <v/>
      </c>
      <c r="C44939" t="inlineStr">
        <is>
          <t>2022-12-22</t>
        </is>
      </c>
    </row>
    <row r="44940">
      <c r="A44940" s="1" t="n">
        <v>44939</v>
      </c>
      <c r="B44940">
        <f>TEXT(44939, "[$-0E0000]yyyy-mm-dd")</f>
        <v/>
      </c>
      <c r="C44940" t="inlineStr">
        <is>
          <t>2022-12-23</t>
        </is>
      </c>
    </row>
    <row r="44941">
      <c r="A44941" s="1" t="n">
        <v>44940</v>
      </c>
      <c r="B44941">
        <f>TEXT(44940, "[$-0E0000]yyyy-mm-dd")</f>
        <v/>
      </c>
      <c r="C44941" t="inlineStr">
        <is>
          <t>2022-12-24</t>
        </is>
      </c>
    </row>
    <row r="44942">
      <c r="A44942" s="1" t="n">
        <v>44941</v>
      </c>
      <c r="B44942">
        <f>TEXT(44941, "[$-0E0000]yyyy-mm-dd")</f>
        <v/>
      </c>
      <c r="C44942" t="inlineStr">
        <is>
          <t>2022-12-25</t>
        </is>
      </c>
    </row>
    <row r="44943">
      <c r="A44943" s="1" t="n">
        <v>44942</v>
      </c>
      <c r="B44943">
        <f>TEXT(44942, "[$-0E0000]yyyy-mm-dd")</f>
        <v/>
      </c>
      <c r="C44943" t="inlineStr">
        <is>
          <t>2022-12-26</t>
        </is>
      </c>
    </row>
    <row r="44944">
      <c r="A44944" s="1" t="n">
        <v>44943</v>
      </c>
      <c r="B44944">
        <f>TEXT(44943, "[$-0E0000]yyyy-mm-dd")</f>
        <v/>
      </c>
      <c r="C44944" t="inlineStr">
        <is>
          <t>2022-12-27</t>
        </is>
      </c>
    </row>
    <row r="44945">
      <c r="A44945" s="1" t="n">
        <v>44944</v>
      </c>
      <c r="B44945">
        <f>TEXT(44944, "[$-0E0000]yyyy-mm-dd")</f>
        <v/>
      </c>
      <c r="C44945" t="inlineStr">
        <is>
          <t>2022-12-28</t>
        </is>
      </c>
    </row>
    <row r="44946">
      <c r="A44946" s="1" t="n">
        <v>44945</v>
      </c>
      <c r="B44946">
        <f>TEXT(44945, "[$-0E0000]yyyy-mm-dd")</f>
        <v/>
      </c>
      <c r="C44946" t="inlineStr">
        <is>
          <t>2022-12-29</t>
        </is>
      </c>
    </row>
    <row r="44947">
      <c r="A44947" s="1" t="n">
        <v>44946</v>
      </c>
      <c r="B44947">
        <f>TEXT(44946, "[$-0E0000]yyyy-mm-dd")</f>
        <v/>
      </c>
      <c r="C44947" t="inlineStr">
        <is>
          <t>2022-12-30</t>
        </is>
      </c>
    </row>
    <row r="44948">
      <c r="A44948" s="1" t="n">
        <v>44947</v>
      </c>
      <c r="B44948">
        <f>TEXT(44947, "[$-0E0000]yyyy-mm-dd")</f>
        <v/>
      </c>
      <c r="C44948" t="inlineStr">
        <is>
          <t>2023-01-01</t>
        </is>
      </c>
    </row>
    <row r="44949">
      <c r="A44949" s="1" t="n">
        <v>44948</v>
      </c>
      <c r="B44949">
        <f>TEXT(44948, "[$-0E0000]yyyy-mm-dd")</f>
        <v/>
      </c>
      <c r="C44949" t="inlineStr">
        <is>
          <t>2023-01-02</t>
        </is>
      </c>
    </row>
    <row r="44950">
      <c r="A44950" s="1" t="n">
        <v>44949</v>
      </c>
      <c r="B44950">
        <f>TEXT(44949, "[$-0E0000]yyyy-mm-dd")</f>
        <v/>
      </c>
      <c r="C44950" t="inlineStr">
        <is>
          <t>2023-01-03</t>
        </is>
      </c>
    </row>
    <row r="44951">
      <c r="A44951" s="1" t="n">
        <v>44950</v>
      </c>
      <c r="B44951">
        <f>TEXT(44950, "[$-0E0000]yyyy-mm-dd")</f>
        <v/>
      </c>
      <c r="C44951" t="inlineStr">
        <is>
          <t>2023-01-04</t>
        </is>
      </c>
    </row>
    <row r="44952">
      <c r="A44952" s="1" t="n">
        <v>44951</v>
      </c>
      <c r="B44952">
        <f>TEXT(44951, "[$-0E0000]yyyy-mm-dd")</f>
        <v/>
      </c>
      <c r="C44952" t="inlineStr">
        <is>
          <t>2023-01-05</t>
        </is>
      </c>
    </row>
    <row r="44953">
      <c r="A44953" s="1" t="n">
        <v>44952</v>
      </c>
      <c r="B44953">
        <f>TEXT(44952, "[$-0E0000]yyyy-mm-dd")</f>
        <v/>
      </c>
      <c r="C44953" t="inlineStr">
        <is>
          <t>2023-01-06</t>
        </is>
      </c>
    </row>
    <row r="44954">
      <c r="A44954" s="1" t="n">
        <v>44953</v>
      </c>
      <c r="B44954">
        <f>TEXT(44953, "[$-0E0000]yyyy-mm-dd")</f>
        <v/>
      </c>
      <c r="C44954" t="inlineStr">
        <is>
          <t>2023-01-07</t>
        </is>
      </c>
    </row>
    <row r="44955">
      <c r="A44955" s="1" t="n">
        <v>44954</v>
      </c>
      <c r="B44955">
        <f>TEXT(44954, "[$-0E0000]yyyy-mm-dd")</f>
        <v/>
      </c>
      <c r="C44955" t="inlineStr">
        <is>
          <t>2023-01-08</t>
        </is>
      </c>
    </row>
    <row r="44956">
      <c r="A44956" s="1" t="n">
        <v>44955</v>
      </c>
      <c r="B44956">
        <f>TEXT(44955, "[$-0E0000]yyyy-mm-dd")</f>
        <v/>
      </c>
      <c r="C44956" t="inlineStr">
        <is>
          <t>2023-01-09</t>
        </is>
      </c>
    </row>
    <row r="44957">
      <c r="A44957" s="1" t="n">
        <v>44956</v>
      </c>
      <c r="B44957">
        <f>TEXT(44956, "[$-0E0000]yyyy-mm-dd")</f>
        <v/>
      </c>
      <c r="C44957" t="inlineStr">
        <is>
          <t>2023-01-10</t>
        </is>
      </c>
    </row>
    <row r="44958">
      <c r="A44958" s="1" t="n">
        <v>44957</v>
      </c>
      <c r="B44958">
        <f>TEXT(44957, "[$-0E0000]yyyy-mm-dd")</f>
        <v/>
      </c>
      <c r="C44958" t="inlineStr">
        <is>
          <t>2023-01-11</t>
        </is>
      </c>
    </row>
    <row r="44959">
      <c r="A44959" s="1" t="n">
        <v>44958</v>
      </c>
      <c r="B44959">
        <f>TEXT(44958, "[$-0E0000]yyyy-mm-dd")</f>
        <v/>
      </c>
      <c r="C44959" t="inlineStr">
        <is>
          <t>2023-01-12</t>
        </is>
      </c>
    </row>
    <row r="44960">
      <c r="A44960" s="1" t="n">
        <v>44959</v>
      </c>
      <c r="B44960">
        <f>TEXT(44959, "[$-0E0000]yyyy-mm-dd")</f>
        <v/>
      </c>
      <c r="C44960" t="inlineStr">
        <is>
          <t>2023-01-13</t>
        </is>
      </c>
    </row>
    <row r="44961">
      <c r="A44961" s="1" t="n">
        <v>44960</v>
      </c>
      <c r="B44961">
        <f>TEXT(44960, "[$-0E0000]yyyy-mm-dd")</f>
        <v/>
      </c>
      <c r="C44961" t="inlineStr">
        <is>
          <t>2023-01-14</t>
        </is>
      </c>
    </row>
    <row r="44962">
      <c r="A44962" s="1" t="n">
        <v>44961</v>
      </c>
      <c r="B44962">
        <f>TEXT(44961, "[$-0E0000]yyyy-mm-dd")</f>
        <v/>
      </c>
      <c r="C44962" t="inlineStr">
        <is>
          <t>2023-01-15</t>
        </is>
      </c>
    </row>
    <row r="44963">
      <c r="A44963" s="1" t="n">
        <v>44962</v>
      </c>
      <c r="B44963">
        <f>TEXT(44962, "[$-0E0000]yyyy-mm-dd")</f>
        <v/>
      </c>
      <c r="C44963" t="inlineStr">
        <is>
          <t>2023-01-16</t>
        </is>
      </c>
    </row>
    <row r="44964">
      <c r="A44964" s="1" t="n">
        <v>44963</v>
      </c>
      <c r="B44964">
        <f>TEXT(44963, "[$-0E0000]yyyy-mm-dd")</f>
        <v/>
      </c>
      <c r="C44964" t="inlineStr">
        <is>
          <t>2023-01-17</t>
        </is>
      </c>
    </row>
    <row r="44965">
      <c r="A44965" s="1" t="n">
        <v>44964</v>
      </c>
      <c r="B44965">
        <f>TEXT(44964, "[$-0E0000]yyyy-mm-dd")</f>
        <v/>
      </c>
      <c r="C44965" t="inlineStr">
        <is>
          <t>2023-01-18</t>
        </is>
      </c>
    </row>
    <row r="44966">
      <c r="A44966" s="1" t="n">
        <v>44965</v>
      </c>
      <c r="B44966">
        <f>TEXT(44965, "[$-0E0000]yyyy-mm-dd")</f>
        <v/>
      </c>
      <c r="C44966" t="inlineStr">
        <is>
          <t>2023-01-19</t>
        </is>
      </c>
    </row>
    <row r="44967">
      <c r="A44967" s="1" t="n">
        <v>44966</v>
      </c>
      <c r="B44967">
        <f>TEXT(44966, "[$-0E0000]yyyy-mm-dd")</f>
        <v/>
      </c>
      <c r="C44967" t="inlineStr">
        <is>
          <t>2023-01-20</t>
        </is>
      </c>
    </row>
    <row r="44968">
      <c r="A44968" s="1" t="n">
        <v>44967</v>
      </c>
      <c r="B44968">
        <f>TEXT(44967, "[$-0E0000]yyyy-mm-dd")</f>
        <v/>
      </c>
      <c r="C44968" t="inlineStr">
        <is>
          <t>2023-01-21</t>
        </is>
      </c>
    </row>
    <row r="44969">
      <c r="A44969" s="1" t="n">
        <v>44968</v>
      </c>
      <c r="B44969">
        <f>TEXT(44968, "[$-0E0000]yyyy-mm-dd")</f>
        <v/>
      </c>
      <c r="C44969" t="inlineStr">
        <is>
          <t>2023-01-22</t>
        </is>
      </c>
    </row>
    <row r="44970">
      <c r="A44970" s="1" t="n">
        <v>44969</v>
      </c>
      <c r="B44970">
        <f>TEXT(44969, "[$-0E0000]yyyy-mm-dd")</f>
        <v/>
      </c>
      <c r="C44970" t="inlineStr">
        <is>
          <t>2023-01-23</t>
        </is>
      </c>
    </row>
    <row r="44971">
      <c r="A44971" s="1" t="n">
        <v>44970</v>
      </c>
      <c r="B44971">
        <f>TEXT(44970, "[$-0E0000]yyyy-mm-dd")</f>
        <v/>
      </c>
      <c r="C44971" t="inlineStr">
        <is>
          <t>2023-01-24</t>
        </is>
      </c>
    </row>
    <row r="44972">
      <c r="A44972" s="1" t="n">
        <v>44971</v>
      </c>
      <c r="B44972">
        <f>TEXT(44971, "[$-0E0000]yyyy-mm-dd")</f>
        <v/>
      </c>
      <c r="C44972" t="inlineStr">
        <is>
          <t>2023-01-25</t>
        </is>
      </c>
    </row>
    <row r="44973">
      <c r="A44973" s="1" t="n">
        <v>44972</v>
      </c>
      <c r="B44973">
        <f>TEXT(44972, "[$-0E0000]yyyy-mm-dd")</f>
        <v/>
      </c>
      <c r="C44973" t="inlineStr">
        <is>
          <t>2023-01-26</t>
        </is>
      </c>
    </row>
    <row r="44974">
      <c r="A44974" s="1" t="n">
        <v>44973</v>
      </c>
      <c r="B44974">
        <f>TEXT(44973, "[$-0E0000]yyyy-mm-dd")</f>
        <v/>
      </c>
      <c r="C44974" t="inlineStr">
        <is>
          <t>2023-01-27</t>
        </is>
      </c>
    </row>
    <row r="44975">
      <c r="A44975" s="1" t="n">
        <v>44974</v>
      </c>
      <c r="B44975">
        <f>TEXT(44974, "[$-0E0000]yyyy-mm-dd")</f>
        <v/>
      </c>
      <c r="C44975" t="inlineStr">
        <is>
          <t>2023-01-28</t>
        </is>
      </c>
    </row>
    <row r="44976">
      <c r="A44976" s="1" t="n">
        <v>44975</v>
      </c>
      <c r="B44976">
        <f>TEXT(44975, "[$-0E0000]yyyy-mm-dd")</f>
        <v/>
      </c>
      <c r="C44976" t="inlineStr">
        <is>
          <t>2023-01-29</t>
        </is>
      </c>
    </row>
    <row r="44977">
      <c r="A44977" s="1" t="n">
        <v>44976</v>
      </c>
      <c r="B44977">
        <f>TEXT(44976, "[$-0E0000]yyyy-mm-dd")</f>
        <v/>
      </c>
      <c r="C44977" t="inlineStr">
        <is>
          <t>2023-02-01</t>
        </is>
      </c>
    </row>
    <row r="44978">
      <c r="A44978" s="1" t="n">
        <v>44977</v>
      </c>
      <c r="B44978">
        <f>TEXT(44977, "[$-0E0000]yyyy-mm-dd")</f>
        <v/>
      </c>
      <c r="C44978" t="inlineStr">
        <is>
          <t>2023-02-02</t>
        </is>
      </c>
    </row>
    <row r="44979">
      <c r="A44979" s="1" t="n">
        <v>44978</v>
      </c>
      <c r="B44979">
        <f>TEXT(44978, "[$-0E0000]yyyy-mm-dd")</f>
        <v/>
      </c>
      <c r="C44979" t="inlineStr">
        <is>
          <t>2023-02-03</t>
        </is>
      </c>
    </row>
    <row r="44980">
      <c r="A44980" s="1" t="n">
        <v>44979</v>
      </c>
      <c r="B44980">
        <f>TEXT(44979, "[$-0E0000]yyyy-mm-dd")</f>
        <v/>
      </c>
      <c r="C44980" t="inlineStr">
        <is>
          <t>2023-02-04</t>
        </is>
      </c>
    </row>
    <row r="44981">
      <c r="A44981" s="1" t="n">
        <v>44980</v>
      </c>
      <c r="B44981">
        <f>TEXT(44980, "[$-0E0000]yyyy-mm-dd")</f>
        <v/>
      </c>
      <c r="C44981" t="inlineStr">
        <is>
          <t>2023-02-05</t>
        </is>
      </c>
    </row>
    <row r="44982">
      <c r="A44982" s="1" t="n">
        <v>44981</v>
      </c>
      <c r="B44982">
        <f>TEXT(44981, "[$-0E0000]yyyy-mm-dd")</f>
        <v/>
      </c>
      <c r="C44982" t="inlineStr">
        <is>
          <t>2023-02-06</t>
        </is>
      </c>
    </row>
    <row r="44983">
      <c r="A44983" s="1" t="n">
        <v>44982</v>
      </c>
      <c r="B44983">
        <f>TEXT(44982, "[$-0E0000]yyyy-mm-dd")</f>
        <v/>
      </c>
      <c r="C44983" t="inlineStr">
        <is>
          <t>2023-02-07</t>
        </is>
      </c>
    </row>
    <row r="44984">
      <c r="A44984" s="1" t="n">
        <v>44983</v>
      </c>
      <c r="B44984">
        <f>TEXT(44983, "[$-0E0000]yyyy-mm-dd")</f>
        <v/>
      </c>
      <c r="C44984" t="inlineStr">
        <is>
          <t>2023-02-08</t>
        </is>
      </c>
    </row>
    <row r="44985">
      <c r="A44985" s="1" t="n">
        <v>44984</v>
      </c>
      <c r="B44985">
        <f>TEXT(44984, "[$-0E0000]yyyy-mm-dd")</f>
        <v/>
      </c>
      <c r="C44985" t="inlineStr">
        <is>
          <t>2023-02-09</t>
        </is>
      </c>
    </row>
    <row r="44986">
      <c r="A44986" s="1" t="n">
        <v>44985</v>
      </c>
      <c r="B44986">
        <f>TEXT(44985, "[$-0E0000]yyyy-mm-dd")</f>
        <v/>
      </c>
      <c r="C44986" t="inlineStr">
        <is>
          <t>2023-02-10</t>
        </is>
      </c>
    </row>
    <row r="44987">
      <c r="A44987" s="1" t="n">
        <v>44986</v>
      </c>
      <c r="B44987">
        <f>TEXT(44986, "[$-0E0000]yyyy-mm-dd")</f>
        <v/>
      </c>
      <c r="C44987" t="inlineStr">
        <is>
          <t>2023-02-11</t>
        </is>
      </c>
    </row>
    <row r="44988">
      <c r="A44988" s="1" t="n">
        <v>44987</v>
      </c>
      <c r="B44988">
        <f>TEXT(44987, "[$-0E0000]yyyy-mm-dd")</f>
        <v/>
      </c>
      <c r="C44988" t="inlineStr">
        <is>
          <t>2023-02-12</t>
        </is>
      </c>
    </row>
    <row r="44989">
      <c r="A44989" s="1" t="n">
        <v>44988</v>
      </c>
      <c r="B44989">
        <f>TEXT(44988, "[$-0E0000]yyyy-mm-dd")</f>
        <v/>
      </c>
      <c r="C44989" t="inlineStr">
        <is>
          <t>2023-02-13</t>
        </is>
      </c>
    </row>
    <row r="44990">
      <c r="A44990" s="1" t="n">
        <v>44989</v>
      </c>
      <c r="B44990">
        <f>TEXT(44989, "[$-0E0000]yyyy-mm-dd")</f>
        <v/>
      </c>
      <c r="C44990" t="inlineStr">
        <is>
          <t>2023-02-14</t>
        </is>
      </c>
    </row>
    <row r="44991">
      <c r="A44991" s="1" t="n">
        <v>44990</v>
      </c>
      <c r="B44991">
        <f>TEXT(44990, "[$-0E0000]yyyy-mm-dd")</f>
        <v/>
      </c>
      <c r="C44991" t="inlineStr">
        <is>
          <t>2023-02-15</t>
        </is>
      </c>
    </row>
    <row r="44992">
      <c r="A44992" s="1" t="n">
        <v>44991</v>
      </c>
      <c r="B44992">
        <f>TEXT(44991, "[$-0E0000]yyyy-mm-dd")</f>
        <v/>
      </c>
      <c r="C44992" t="inlineStr">
        <is>
          <t>2023-02-16</t>
        </is>
      </c>
    </row>
    <row r="44993">
      <c r="A44993" s="1" t="n">
        <v>44992</v>
      </c>
      <c r="B44993">
        <f>TEXT(44992, "[$-0E0000]yyyy-mm-dd")</f>
        <v/>
      </c>
      <c r="C44993" t="inlineStr">
        <is>
          <t>2023-02-17</t>
        </is>
      </c>
    </row>
    <row r="44994">
      <c r="A44994" s="1" t="n">
        <v>44993</v>
      </c>
      <c r="B44994">
        <f>TEXT(44993, "[$-0E0000]yyyy-mm-dd")</f>
        <v/>
      </c>
      <c r="C44994" t="inlineStr">
        <is>
          <t>2023-02-18</t>
        </is>
      </c>
    </row>
    <row r="44995">
      <c r="A44995" s="1" t="n">
        <v>44994</v>
      </c>
      <c r="B44995">
        <f>TEXT(44994, "[$-0E0000]yyyy-mm-dd")</f>
        <v/>
      </c>
      <c r="C44995" t="inlineStr">
        <is>
          <t>2023-02-19</t>
        </is>
      </c>
    </row>
    <row r="44996">
      <c r="A44996" s="1" t="n">
        <v>44995</v>
      </c>
      <c r="B44996">
        <f>TEXT(44995, "[$-0E0000]yyyy-mm-dd")</f>
        <v/>
      </c>
      <c r="C44996" t="inlineStr">
        <is>
          <t>2023-02-20</t>
        </is>
      </c>
    </row>
    <row r="44997">
      <c r="A44997" s="1" t="n">
        <v>44996</v>
      </c>
      <c r="B44997">
        <f>TEXT(44996, "[$-0E0000]yyyy-mm-dd")</f>
        <v/>
      </c>
      <c r="C44997" t="inlineStr">
        <is>
          <t>2023-02-21</t>
        </is>
      </c>
    </row>
    <row r="44998">
      <c r="A44998" s="1" t="n">
        <v>44997</v>
      </c>
      <c r="B44998">
        <f>TEXT(44997, "[$-0E0000]yyyy-mm-dd")</f>
        <v/>
      </c>
      <c r="C44998" t="inlineStr">
        <is>
          <t>2023-02-22</t>
        </is>
      </c>
    </row>
    <row r="44999">
      <c r="A44999" s="1" t="n">
        <v>44998</v>
      </c>
      <c r="B44999">
        <f>TEXT(44998, "[$-0E0000]yyyy-mm-dd")</f>
        <v/>
      </c>
      <c r="C44999" t="inlineStr">
        <is>
          <t>2023-02-23</t>
        </is>
      </c>
    </row>
    <row r="45000">
      <c r="A45000" s="1" t="n">
        <v>44999</v>
      </c>
      <c r="B45000">
        <f>TEXT(44999, "[$-0E0000]yyyy-mm-dd")</f>
        <v/>
      </c>
      <c r="C45000" t="inlineStr">
        <is>
          <t>2023-02-24</t>
        </is>
      </c>
    </row>
    <row r="45001">
      <c r="A45001" s="1" t="n">
        <v>45000</v>
      </c>
      <c r="B45001">
        <f>TEXT(45000, "[$-0E0000]yyyy-mm-dd")</f>
        <v/>
      </c>
      <c r="C45001" t="inlineStr">
        <is>
          <t>2023-02-25</t>
        </is>
      </c>
    </row>
    <row r="45002">
      <c r="A45002" s="1" t="n">
        <v>45001</v>
      </c>
      <c r="B45002">
        <f>TEXT(45001, "[$-0E0000]yyyy-mm-dd")</f>
        <v/>
      </c>
      <c r="C45002" t="inlineStr">
        <is>
          <t>2023-02-26</t>
        </is>
      </c>
    </row>
    <row r="45003">
      <c r="A45003" s="1" t="n">
        <v>45002</v>
      </c>
      <c r="B45003">
        <f>TEXT(45002, "[$-0E0000]yyyy-mm-dd")</f>
        <v/>
      </c>
      <c r="C45003" t="inlineStr">
        <is>
          <t>2023-02-27</t>
        </is>
      </c>
    </row>
    <row r="45004">
      <c r="A45004" s="1" t="n">
        <v>45003</v>
      </c>
      <c r="B45004">
        <f>TEXT(45003, "[$-0E0000]yyyy-mm-dd")</f>
        <v/>
      </c>
      <c r="C45004" t="inlineStr">
        <is>
          <t>2023-02-28</t>
        </is>
      </c>
    </row>
    <row r="45005">
      <c r="A45005" s="1" t="n">
        <v>45004</v>
      </c>
      <c r="B45005">
        <f>TEXT(45004, "[$-0E0000]yyyy-mm-dd")</f>
        <v/>
      </c>
      <c r="C45005" t="inlineStr">
        <is>
          <t>2023-02-29</t>
        </is>
      </c>
    </row>
    <row r="45006">
      <c r="A45006" s="1" t="n">
        <v>45005</v>
      </c>
      <c r="B45006">
        <f>TEXT(45005, "[$-0E0000]yyyy-mm-dd")</f>
        <v/>
      </c>
      <c r="C45006" t="inlineStr">
        <is>
          <t>2023-02-30</t>
        </is>
      </c>
    </row>
    <row r="45007">
      <c r="A45007" s="1" t="n">
        <v>45006</v>
      </c>
      <c r="B45007">
        <f>TEXT(45006, "[$-0E0000]yyyy-mm-dd")</f>
        <v/>
      </c>
      <c r="C45007" t="inlineStr">
        <is>
          <t>2023-02-01</t>
        </is>
      </c>
    </row>
    <row r="45008">
      <c r="A45008" s="1" t="n">
        <v>45007</v>
      </c>
      <c r="B45008">
        <f>TEXT(45007, "[$-0E0000]yyyy-mm-dd")</f>
        <v/>
      </c>
      <c r="C45008" t="inlineStr">
        <is>
          <t>2023-02-02</t>
        </is>
      </c>
    </row>
    <row r="45009">
      <c r="A45009" s="1" t="n">
        <v>45008</v>
      </c>
      <c r="B45009">
        <f>TEXT(45008, "[$-0E0000]yyyy-mm-dd")</f>
        <v/>
      </c>
      <c r="C45009" t="inlineStr">
        <is>
          <t>2023-02-03</t>
        </is>
      </c>
    </row>
    <row r="45010">
      <c r="A45010" s="1" t="n">
        <v>45009</v>
      </c>
      <c r="B45010">
        <f>TEXT(45009, "[$-0E0000]yyyy-mm-dd")</f>
        <v/>
      </c>
      <c r="C45010" t="inlineStr">
        <is>
          <t>2023-02-04</t>
        </is>
      </c>
    </row>
    <row r="45011">
      <c r="A45011" s="1" t="n">
        <v>45010</v>
      </c>
      <c r="B45011">
        <f>TEXT(45010, "[$-0E0000]yyyy-mm-dd")</f>
        <v/>
      </c>
      <c r="C45011" t="inlineStr">
        <is>
          <t>2023-02-05</t>
        </is>
      </c>
    </row>
    <row r="45012">
      <c r="A45012" s="1" t="n">
        <v>45011</v>
      </c>
      <c r="B45012">
        <f>TEXT(45011, "[$-0E0000]yyyy-mm-dd")</f>
        <v/>
      </c>
      <c r="C45012" t="inlineStr">
        <is>
          <t>2023-02-06</t>
        </is>
      </c>
    </row>
    <row r="45013">
      <c r="A45013" s="1" t="n">
        <v>45012</v>
      </c>
      <c r="B45013">
        <f>TEXT(45012, "[$-0E0000]yyyy-mm-dd")</f>
        <v/>
      </c>
      <c r="C45013" t="inlineStr">
        <is>
          <t>2023-02-07</t>
        </is>
      </c>
    </row>
    <row r="45014">
      <c r="A45014" s="1" t="n">
        <v>45013</v>
      </c>
      <c r="B45014">
        <f>TEXT(45013, "[$-0E0000]yyyy-mm-dd")</f>
        <v/>
      </c>
      <c r="C45014" t="inlineStr">
        <is>
          <t>2023-02-08</t>
        </is>
      </c>
    </row>
    <row r="45015">
      <c r="A45015" s="1" t="n">
        <v>45014</v>
      </c>
      <c r="B45015">
        <f>TEXT(45014, "[$-0E0000]yyyy-mm-dd")</f>
        <v/>
      </c>
      <c r="C45015" t="inlineStr">
        <is>
          <t>2023-02-09</t>
        </is>
      </c>
    </row>
    <row r="45016">
      <c r="A45016" s="1" t="n">
        <v>45015</v>
      </c>
      <c r="B45016">
        <f>TEXT(45015, "[$-0E0000]yyyy-mm-dd")</f>
        <v/>
      </c>
      <c r="C45016" t="inlineStr">
        <is>
          <t>2023-02-10</t>
        </is>
      </c>
    </row>
    <row r="45017">
      <c r="A45017" s="1" t="n">
        <v>45016</v>
      </c>
      <c r="B45017">
        <f>TEXT(45016, "[$-0E0000]yyyy-mm-dd")</f>
        <v/>
      </c>
      <c r="C45017" t="inlineStr">
        <is>
          <t>2023-02-11</t>
        </is>
      </c>
    </row>
    <row r="45018">
      <c r="A45018" s="1" t="n">
        <v>45017</v>
      </c>
      <c r="B45018">
        <f>TEXT(45017, "[$-0E0000]yyyy-mm-dd")</f>
        <v/>
      </c>
      <c r="C45018" t="inlineStr">
        <is>
          <t>2023-02-12</t>
        </is>
      </c>
    </row>
    <row r="45019">
      <c r="A45019" s="1" t="n">
        <v>45018</v>
      </c>
      <c r="B45019">
        <f>TEXT(45018, "[$-0E0000]yyyy-mm-dd")</f>
        <v/>
      </c>
      <c r="C45019" t="inlineStr">
        <is>
          <t>2023-02-13</t>
        </is>
      </c>
    </row>
    <row r="45020">
      <c r="A45020" s="1" t="n">
        <v>45019</v>
      </c>
      <c r="B45020">
        <f>TEXT(45019, "[$-0E0000]yyyy-mm-dd")</f>
        <v/>
      </c>
      <c r="C45020" t="inlineStr">
        <is>
          <t>2023-02-14</t>
        </is>
      </c>
    </row>
    <row r="45021">
      <c r="A45021" s="1" t="n">
        <v>45020</v>
      </c>
      <c r="B45021">
        <f>TEXT(45020, "[$-0E0000]yyyy-mm-dd")</f>
        <v/>
      </c>
      <c r="C45021" t="inlineStr">
        <is>
          <t>2023-02-15</t>
        </is>
      </c>
    </row>
    <row r="45022">
      <c r="A45022" s="1" t="n">
        <v>45021</v>
      </c>
      <c r="B45022">
        <f>TEXT(45021, "[$-0E0000]yyyy-mm-dd")</f>
        <v/>
      </c>
      <c r="C45022" t="inlineStr">
        <is>
          <t>2023-02-16</t>
        </is>
      </c>
    </row>
    <row r="45023">
      <c r="A45023" s="1" t="n">
        <v>45022</v>
      </c>
      <c r="B45023">
        <f>TEXT(45022, "[$-0E0000]yyyy-mm-dd")</f>
        <v/>
      </c>
      <c r="C45023" t="inlineStr">
        <is>
          <t>2023-02-17</t>
        </is>
      </c>
    </row>
    <row r="45024">
      <c r="A45024" s="1" t="n">
        <v>45023</v>
      </c>
      <c r="B45024">
        <f>TEXT(45023, "[$-0E0000]yyyy-mm-dd")</f>
        <v/>
      </c>
      <c r="C45024" t="inlineStr">
        <is>
          <t>2023-02-18</t>
        </is>
      </c>
    </row>
    <row r="45025">
      <c r="A45025" s="1" t="n">
        <v>45024</v>
      </c>
      <c r="B45025">
        <f>TEXT(45024, "[$-0E0000]yyyy-mm-dd")</f>
        <v/>
      </c>
      <c r="C45025" t="inlineStr">
        <is>
          <t>2023-02-19</t>
        </is>
      </c>
    </row>
    <row r="45026">
      <c r="A45026" s="1" t="n">
        <v>45025</v>
      </c>
      <c r="B45026">
        <f>TEXT(45025, "[$-0E0000]yyyy-mm-dd")</f>
        <v/>
      </c>
      <c r="C45026" t="inlineStr">
        <is>
          <t>2023-02-20</t>
        </is>
      </c>
    </row>
    <row r="45027">
      <c r="A45027" s="1" t="n">
        <v>45026</v>
      </c>
      <c r="B45027">
        <f>TEXT(45026, "[$-0E0000]yyyy-mm-dd")</f>
        <v/>
      </c>
      <c r="C45027" t="inlineStr">
        <is>
          <t>2023-02-21</t>
        </is>
      </c>
    </row>
    <row r="45028">
      <c r="A45028" s="1" t="n">
        <v>45027</v>
      </c>
      <c r="B45028">
        <f>TEXT(45027, "[$-0E0000]yyyy-mm-dd")</f>
        <v/>
      </c>
      <c r="C45028" t="inlineStr">
        <is>
          <t>2023-02-22</t>
        </is>
      </c>
    </row>
    <row r="45029">
      <c r="A45029" s="1" t="n">
        <v>45028</v>
      </c>
      <c r="B45029">
        <f>TEXT(45028, "[$-0E0000]yyyy-mm-dd")</f>
        <v/>
      </c>
      <c r="C45029" t="inlineStr">
        <is>
          <t>2023-02-23</t>
        </is>
      </c>
    </row>
    <row r="45030">
      <c r="A45030" s="1" t="n">
        <v>45029</v>
      </c>
      <c r="B45030">
        <f>TEXT(45029, "[$-0E0000]yyyy-mm-dd")</f>
        <v/>
      </c>
      <c r="C45030" t="inlineStr">
        <is>
          <t>2023-02-24</t>
        </is>
      </c>
    </row>
    <row r="45031">
      <c r="A45031" s="1" t="n">
        <v>45030</v>
      </c>
      <c r="B45031">
        <f>TEXT(45030, "[$-0E0000]yyyy-mm-dd")</f>
        <v/>
      </c>
      <c r="C45031" t="inlineStr">
        <is>
          <t>2023-02-25</t>
        </is>
      </c>
    </row>
    <row r="45032">
      <c r="A45032" s="1" t="n">
        <v>45031</v>
      </c>
      <c r="B45032">
        <f>TEXT(45031, "[$-0E0000]yyyy-mm-dd")</f>
        <v/>
      </c>
      <c r="C45032" t="inlineStr">
        <is>
          <t>2023-02-26</t>
        </is>
      </c>
    </row>
    <row r="45033">
      <c r="A45033" s="1" t="n">
        <v>45032</v>
      </c>
      <c r="B45033">
        <f>TEXT(45032, "[$-0E0000]yyyy-mm-dd")</f>
        <v/>
      </c>
      <c r="C45033" t="inlineStr">
        <is>
          <t>2023-02-27</t>
        </is>
      </c>
    </row>
    <row r="45034">
      <c r="A45034" s="1" t="n">
        <v>45033</v>
      </c>
      <c r="B45034">
        <f>TEXT(45033, "[$-0E0000]yyyy-mm-dd")</f>
        <v/>
      </c>
      <c r="C45034" t="inlineStr">
        <is>
          <t>2023-02-28</t>
        </is>
      </c>
    </row>
    <row r="45035">
      <c r="A45035" s="1" t="n">
        <v>45034</v>
      </c>
      <c r="B45035">
        <f>TEXT(45034, "[$-0E0000]yyyy-mm-dd")</f>
        <v/>
      </c>
      <c r="C45035" t="inlineStr">
        <is>
          <t>2023-02-29</t>
        </is>
      </c>
    </row>
    <row r="45036">
      <c r="A45036" s="1" t="n">
        <v>45035</v>
      </c>
      <c r="B45036">
        <f>TEXT(45035, "[$-0E0000]yyyy-mm-dd")</f>
        <v/>
      </c>
      <c r="C45036" t="inlineStr">
        <is>
          <t>2023-03-01</t>
        </is>
      </c>
    </row>
    <row r="45037">
      <c r="A45037" s="1" t="n">
        <v>45036</v>
      </c>
      <c r="B45037">
        <f>TEXT(45036, "[$-0E0000]yyyy-mm-dd")</f>
        <v/>
      </c>
      <c r="C45037" t="inlineStr">
        <is>
          <t>2023-03-02</t>
        </is>
      </c>
    </row>
    <row r="45038">
      <c r="A45038" s="1" t="n">
        <v>45037</v>
      </c>
      <c r="B45038">
        <f>TEXT(45037, "[$-0E0000]yyyy-mm-dd")</f>
        <v/>
      </c>
      <c r="C45038" t="inlineStr">
        <is>
          <t>2023-03-03</t>
        </is>
      </c>
    </row>
    <row r="45039">
      <c r="A45039" s="1" t="n">
        <v>45038</v>
      </c>
      <c r="B45039">
        <f>TEXT(45038, "[$-0E0000]yyyy-mm-dd")</f>
        <v/>
      </c>
      <c r="C45039" t="inlineStr">
        <is>
          <t>2023-03-04</t>
        </is>
      </c>
    </row>
    <row r="45040">
      <c r="A45040" s="1" t="n">
        <v>45039</v>
      </c>
      <c r="B45040">
        <f>TEXT(45039, "[$-0E0000]yyyy-mm-dd")</f>
        <v/>
      </c>
      <c r="C45040" t="inlineStr">
        <is>
          <t>2023-03-05</t>
        </is>
      </c>
    </row>
    <row r="45041">
      <c r="A45041" s="1" t="n">
        <v>45040</v>
      </c>
      <c r="B45041">
        <f>TEXT(45040, "[$-0E0000]yyyy-mm-dd")</f>
        <v/>
      </c>
      <c r="C45041" t="inlineStr">
        <is>
          <t>2023-03-06</t>
        </is>
      </c>
    </row>
    <row r="45042">
      <c r="A45042" s="1" t="n">
        <v>45041</v>
      </c>
      <c r="B45042">
        <f>TEXT(45041, "[$-0E0000]yyyy-mm-dd")</f>
        <v/>
      </c>
      <c r="C45042" t="inlineStr">
        <is>
          <t>2023-03-07</t>
        </is>
      </c>
    </row>
    <row r="45043">
      <c r="A45043" s="1" t="n">
        <v>45042</v>
      </c>
      <c r="B45043">
        <f>TEXT(45042, "[$-0E0000]yyyy-mm-dd")</f>
        <v/>
      </c>
      <c r="C45043" t="inlineStr">
        <is>
          <t>2023-03-08</t>
        </is>
      </c>
    </row>
    <row r="45044">
      <c r="A45044" s="1" t="n">
        <v>45043</v>
      </c>
      <c r="B45044">
        <f>TEXT(45043, "[$-0E0000]yyyy-mm-dd")</f>
        <v/>
      </c>
      <c r="C45044" t="inlineStr">
        <is>
          <t>2023-03-09</t>
        </is>
      </c>
    </row>
    <row r="45045">
      <c r="A45045" s="1" t="n">
        <v>45044</v>
      </c>
      <c r="B45045">
        <f>TEXT(45044, "[$-0E0000]yyyy-mm-dd")</f>
        <v/>
      </c>
      <c r="C45045" t="inlineStr">
        <is>
          <t>2023-03-10</t>
        </is>
      </c>
    </row>
    <row r="45046">
      <c r="A45046" s="1" t="n">
        <v>45045</v>
      </c>
      <c r="B45046">
        <f>TEXT(45045, "[$-0E0000]yyyy-mm-dd")</f>
        <v/>
      </c>
      <c r="C45046" t="inlineStr">
        <is>
          <t>2023-03-11</t>
        </is>
      </c>
    </row>
    <row r="45047">
      <c r="A45047" s="1" t="n">
        <v>45046</v>
      </c>
      <c r="B45047">
        <f>TEXT(45046, "[$-0E0000]yyyy-mm-dd")</f>
        <v/>
      </c>
      <c r="C45047" t="inlineStr">
        <is>
          <t>2023-03-12</t>
        </is>
      </c>
    </row>
    <row r="45048">
      <c r="A45048" s="1" t="n">
        <v>45047</v>
      </c>
      <c r="B45048">
        <f>TEXT(45047, "[$-0E0000]yyyy-mm-dd")</f>
        <v/>
      </c>
      <c r="C45048" t="inlineStr">
        <is>
          <t>2023-03-13</t>
        </is>
      </c>
    </row>
    <row r="45049">
      <c r="A45049" s="1" t="n">
        <v>45048</v>
      </c>
      <c r="B45049">
        <f>TEXT(45048, "[$-0E0000]yyyy-mm-dd")</f>
        <v/>
      </c>
      <c r="C45049" t="inlineStr">
        <is>
          <t>2023-03-14</t>
        </is>
      </c>
    </row>
    <row r="45050">
      <c r="A45050" s="1" t="n">
        <v>45049</v>
      </c>
      <c r="B45050">
        <f>TEXT(45049, "[$-0E0000]yyyy-mm-dd")</f>
        <v/>
      </c>
      <c r="C45050" t="inlineStr">
        <is>
          <t>2023-03-15</t>
        </is>
      </c>
    </row>
    <row r="45051">
      <c r="A45051" s="1" t="n">
        <v>45050</v>
      </c>
      <c r="B45051">
        <f>TEXT(45050, "[$-0E0000]yyyy-mm-dd")</f>
        <v/>
      </c>
      <c r="C45051" t="inlineStr">
        <is>
          <t>2023-03-16</t>
        </is>
      </c>
    </row>
    <row r="45052">
      <c r="A45052" s="1" t="n">
        <v>45051</v>
      </c>
      <c r="B45052">
        <f>TEXT(45051, "[$-0E0000]yyyy-mm-dd")</f>
        <v/>
      </c>
      <c r="C45052" t="inlineStr">
        <is>
          <t>2023-03-17</t>
        </is>
      </c>
    </row>
    <row r="45053">
      <c r="A45053" s="1" t="n">
        <v>45052</v>
      </c>
      <c r="B45053">
        <f>TEXT(45052, "[$-0E0000]yyyy-mm-dd")</f>
        <v/>
      </c>
      <c r="C45053" t="inlineStr">
        <is>
          <t>2023-03-18</t>
        </is>
      </c>
    </row>
    <row r="45054">
      <c r="A45054" s="1" t="n">
        <v>45053</v>
      </c>
      <c r="B45054">
        <f>TEXT(45053, "[$-0E0000]yyyy-mm-dd")</f>
        <v/>
      </c>
      <c r="C45054" t="inlineStr">
        <is>
          <t>2023-03-19</t>
        </is>
      </c>
    </row>
    <row r="45055">
      <c r="A45055" s="1" t="n">
        <v>45054</v>
      </c>
      <c r="B45055">
        <f>TEXT(45054, "[$-0E0000]yyyy-mm-dd")</f>
        <v/>
      </c>
      <c r="C45055" t="inlineStr">
        <is>
          <t>2023-03-20</t>
        </is>
      </c>
    </row>
    <row r="45056">
      <c r="A45056" s="1" t="n">
        <v>45055</v>
      </c>
      <c r="B45056">
        <f>TEXT(45055, "[$-0E0000]yyyy-mm-dd")</f>
        <v/>
      </c>
      <c r="C45056" t="inlineStr">
        <is>
          <t>2023-03-21</t>
        </is>
      </c>
    </row>
    <row r="45057">
      <c r="A45057" s="1" t="n">
        <v>45056</v>
      </c>
      <c r="B45057">
        <f>TEXT(45056, "[$-0E0000]yyyy-mm-dd")</f>
        <v/>
      </c>
      <c r="C45057" t="inlineStr">
        <is>
          <t>2023-03-22</t>
        </is>
      </c>
    </row>
    <row r="45058">
      <c r="A45058" s="1" t="n">
        <v>45057</v>
      </c>
      <c r="B45058">
        <f>TEXT(45057, "[$-0E0000]yyyy-mm-dd")</f>
        <v/>
      </c>
      <c r="C45058" t="inlineStr">
        <is>
          <t>2023-03-23</t>
        </is>
      </c>
    </row>
    <row r="45059">
      <c r="A45059" s="1" t="n">
        <v>45058</v>
      </c>
      <c r="B45059">
        <f>TEXT(45058, "[$-0E0000]yyyy-mm-dd")</f>
        <v/>
      </c>
      <c r="C45059" t="inlineStr">
        <is>
          <t>2023-03-24</t>
        </is>
      </c>
    </row>
    <row r="45060">
      <c r="A45060" s="1" t="n">
        <v>45059</v>
      </c>
      <c r="B45060">
        <f>TEXT(45059, "[$-0E0000]yyyy-mm-dd")</f>
        <v/>
      </c>
      <c r="C45060" t="inlineStr">
        <is>
          <t>2023-03-25</t>
        </is>
      </c>
    </row>
    <row r="45061">
      <c r="A45061" s="1" t="n">
        <v>45060</v>
      </c>
      <c r="B45061">
        <f>TEXT(45060, "[$-0E0000]yyyy-mm-dd")</f>
        <v/>
      </c>
      <c r="C45061" t="inlineStr">
        <is>
          <t>2023-03-26</t>
        </is>
      </c>
    </row>
    <row r="45062">
      <c r="A45062" s="1" t="n">
        <v>45061</v>
      </c>
      <c r="B45062">
        <f>TEXT(45061, "[$-0E0000]yyyy-mm-dd")</f>
        <v/>
      </c>
      <c r="C45062" t="inlineStr">
        <is>
          <t>2023-03-27</t>
        </is>
      </c>
    </row>
    <row r="45063">
      <c r="A45063" s="1" t="n">
        <v>45062</v>
      </c>
      <c r="B45063">
        <f>TEXT(45062, "[$-0E0000]yyyy-mm-dd")</f>
        <v/>
      </c>
      <c r="C45063" t="inlineStr">
        <is>
          <t>2023-03-28</t>
        </is>
      </c>
    </row>
    <row r="45064">
      <c r="A45064" s="1" t="n">
        <v>45063</v>
      </c>
      <c r="B45064">
        <f>TEXT(45063, "[$-0E0000]yyyy-mm-dd")</f>
        <v/>
      </c>
      <c r="C45064" t="inlineStr">
        <is>
          <t>2023-03-29</t>
        </is>
      </c>
    </row>
    <row r="45065">
      <c r="A45065" s="1" t="n">
        <v>45064</v>
      </c>
      <c r="B45065">
        <f>TEXT(45064, "[$-0E0000]yyyy-mm-dd")</f>
        <v/>
      </c>
      <c r="C45065" t="inlineStr">
        <is>
          <t>2023-04-01</t>
        </is>
      </c>
    </row>
    <row r="45066">
      <c r="A45066" s="1" t="n">
        <v>45065</v>
      </c>
      <c r="B45066">
        <f>TEXT(45065, "[$-0E0000]yyyy-mm-dd")</f>
        <v/>
      </c>
      <c r="C45066" t="inlineStr">
        <is>
          <t>2023-04-02</t>
        </is>
      </c>
    </row>
    <row r="45067">
      <c r="A45067" s="1" t="n">
        <v>45066</v>
      </c>
      <c r="B45067">
        <f>TEXT(45066, "[$-0E0000]yyyy-mm-dd")</f>
        <v/>
      </c>
      <c r="C45067" t="inlineStr">
        <is>
          <t>2023-04-03</t>
        </is>
      </c>
    </row>
    <row r="45068">
      <c r="A45068" s="1" t="n">
        <v>45067</v>
      </c>
      <c r="B45068">
        <f>TEXT(45067, "[$-0E0000]yyyy-mm-dd")</f>
        <v/>
      </c>
      <c r="C45068" t="inlineStr">
        <is>
          <t>2023-04-04</t>
        </is>
      </c>
    </row>
    <row r="45069">
      <c r="A45069" s="1" t="n">
        <v>45068</v>
      </c>
      <c r="B45069">
        <f>TEXT(45068, "[$-0E0000]yyyy-mm-dd")</f>
        <v/>
      </c>
      <c r="C45069" t="inlineStr">
        <is>
          <t>2023-04-05</t>
        </is>
      </c>
    </row>
    <row r="45070">
      <c r="A45070" s="1" t="n">
        <v>45069</v>
      </c>
      <c r="B45070">
        <f>TEXT(45069, "[$-0E0000]yyyy-mm-dd")</f>
        <v/>
      </c>
      <c r="C45070" t="inlineStr">
        <is>
          <t>2023-04-06</t>
        </is>
      </c>
    </row>
    <row r="45071">
      <c r="A45071" s="1" t="n">
        <v>45070</v>
      </c>
      <c r="B45071">
        <f>TEXT(45070, "[$-0E0000]yyyy-mm-dd")</f>
        <v/>
      </c>
      <c r="C45071" t="inlineStr">
        <is>
          <t>2023-04-07</t>
        </is>
      </c>
    </row>
    <row r="45072">
      <c r="A45072" s="1" t="n">
        <v>45071</v>
      </c>
      <c r="B45072">
        <f>TEXT(45071, "[$-0E0000]yyyy-mm-dd")</f>
        <v/>
      </c>
      <c r="C45072" t="inlineStr">
        <is>
          <t>2023-04-08</t>
        </is>
      </c>
    </row>
    <row r="45073">
      <c r="A45073" s="1" t="n">
        <v>45072</v>
      </c>
      <c r="B45073">
        <f>TEXT(45072, "[$-0E0000]yyyy-mm-dd")</f>
        <v/>
      </c>
      <c r="C45073" t="inlineStr">
        <is>
          <t>2023-04-09</t>
        </is>
      </c>
    </row>
    <row r="45074">
      <c r="A45074" s="1" t="n">
        <v>45073</v>
      </c>
      <c r="B45074">
        <f>TEXT(45073, "[$-0E0000]yyyy-mm-dd")</f>
        <v/>
      </c>
      <c r="C45074" t="inlineStr">
        <is>
          <t>2023-04-10</t>
        </is>
      </c>
    </row>
    <row r="45075">
      <c r="A45075" s="1" t="n">
        <v>45074</v>
      </c>
      <c r="B45075">
        <f>TEXT(45074, "[$-0E0000]yyyy-mm-dd")</f>
        <v/>
      </c>
      <c r="C45075" t="inlineStr">
        <is>
          <t>2023-04-11</t>
        </is>
      </c>
    </row>
    <row r="45076">
      <c r="A45076" s="1" t="n">
        <v>45075</v>
      </c>
      <c r="B45076">
        <f>TEXT(45075, "[$-0E0000]yyyy-mm-dd")</f>
        <v/>
      </c>
      <c r="C45076" t="inlineStr">
        <is>
          <t>2023-04-12</t>
        </is>
      </c>
    </row>
    <row r="45077">
      <c r="A45077" s="1" t="n">
        <v>45076</v>
      </c>
      <c r="B45077">
        <f>TEXT(45076, "[$-0E0000]yyyy-mm-dd")</f>
        <v/>
      </c>
      <c r="C45077" t="inlineStr">
        <is>
          <t>2023-04-13</t>
        </is>
      </c>
    </row>
    <row r="45078">
      <c r="A45078" s="1" t="n">
        <v>45077</v>
      </c>
      <c r="B45078">
        <f>TEXT(45077, "[$-0E0000]yyyy-mm-dd")</f>
        <v/>
      </c>
      <c r="C45078" t="inlineStr">
        <is>
          <t>2023-04-14</t>
        </is>
      </c>
    </row>
    <row r="45079">
      <c r="A45079" s="1" t="n">
        <v>45078</v>
      </c>
      <c r="B45079">
        <f>TEXT(45078, "[$-0E0000]yyyy-mm-dd")</f>
        <v/>
      </c>
      <c r="C45079" t="inlineStr">
        <is>
          <t>2023-04-15</t>
        </is>
      </c>
    </row>
    <row r="45080">
      <c r="A45080" s="1" t="n">
        <v>45079</v>
      </c>
      <c r="B45080">
        <f>TEXT(45079, "[$-0E0000]yyyy-mm-dd")</f>
        <v/>
      </c>
      <c r="C45080" t="inlineStr">
        <is>
          <t>2023-04-16</t>
        </is>
      </c>
    </row>
    <row r="45081">
      <c r="A45081" s="1" t="n">
        <v>45080</v>
      </c>
      <c r="B45081">
        <f>TEXT(45080, "[$-0E0000]yyyy-mm-dd")</f>
        <v/>
      </c>
      <c r="C45081" t="inlineStr">
        <is>
          <t>2023-04-17</t>
        </is>
      </c>
    </row>
    <row r="45082">
      <c r="A45082" s="1" t="n">
        <v>45081</v>
      </c>
      <c r="B45082">
        <f>TEXT(45081, "[$-0E0000]yyyy-mm-dd")</f>
        <v/>
      </c>
      <c r="C45082" t="inlineStr">
        <is>
          <t>2023-04-18</t>
        </is>
      </c>
    </row>
    <row r="45083">
      <c r="A45083" s="1" t="n">
        <v>45082</v>
      </c>
      <c r="B45083">
        <f>TEXT(45082, "[$-0E0000]yyyy-mm-dd")</f>
        <v/>
      </c>
      <c r="C45083" t="inlineStr">
        <is>
          <t>2023-04-19</t>
        </is>
      </c>
    </row>
    <row r="45084">
      <c r="A45084" s="1" t="n">
        <v>45083</v>
      </c>
      <c r="B45084">
        <f>TEXT(45083, "[$-0E0000]yyyy-mm-dd")</f>
        <v/>
      </c>
      <c r="C45084" t="inlineStr">
        <is>
          <t>2023-04-20</t>
        </is>
      </c>
    </row>
    <row r="45085">
      <c r="A45085" s="1" t="n">
        <v>45084</v>
      </c>
      <c r="B45085">
        <f>TEXT(45084, "[$-0E0000]yyyy-mm-dd")</f>
        <v/>
      </c>
      <c r="C45085" t="inlineStr">
        <is>
          <t>2023-04-21</t>
        </is>
      </c>
    </row>
    <row r="45086">
      <c r="A45086" s="1" t="n">
        <v>45085</v>
      </c>
      <c r="B45086">
        <f>TEXT(45085, "[$-0E0000]yyyy-mm-dd")</f>
        <v/>
      </c>
      <c r="C45086" t="inlineStr">
        <is>
          <t>2023-04-22</t>
        </is>
      </c>
    </row>
    <row r="45087">
      <c r="A45087" s="1" t="n">
        <v>45086</v>
      </c>
      <c r="B45087">
        <f>TEXT(45086, "[$-0E0000]yyyy-mm-dd")</f>
        <v/>
      </c>
      <c r="C45087" t="inlineStr">
        <is>
          <t>2023-04-23</t>
        </is>
      </c>
    </row>
    <row r="45088">
      <c r="A45088" s="1" t="n">
        <v>45087</v>
      </c>
      <c r="B45088">
        <f>TEXT(45087, "[$-0E0000]yyyy-mm-dd")</f>
        <v/>
      </c>
      <c r="C45088" t="inlineStr">
        <is>
          <t>2023-04-24</t>
        </is>
      </c>
    </row>
    <row r="45089">
      <c r="A45089" s="1" t="n">
        <v>45088</v>
      </c>
      <c r="B45089">
        <f>TEXT(45088, "[$-0E0000]yyyy-mm-dd")</f>
        <v/>
      </c>
      <c r="C45089" t="inlineStr">
        <is>
          <t>2023-04-25</t>
        </is>
      </c>
    </row>
    <row r="45090">
      <c r="A45090" s="1" t="n">
        <v>45089</v>
      </c>
      <c r="B45090">
        <f>TEXT(45089, "[$-0E0000]yyyy-mm-dd")</f>
        <v/>
      </c>
      <c r="C45090" t="inlineStr">
        <is>
          <t>2023-04-26</t>
        </is>
      </c>
    </row>
    <row r="45091">
      <c r="A45091" s="1" t="n">
        <v>45090</v>
      </c>
      <c r="B45091">
        <f>TEXT(45090, "[$-0E0000]yyyy-mm-dd")</f>
        <v/>
      </c>
      <c r="C45091" t="inlineStr">
        <is>
          <t>2023-04-27</t>
        </is>
      </c>
    </row>
    <row r="45092">
      <c r="A45092" s="1" t="n">
        <v>45091</v>
      </c>
      <c r="B45092">
        <f>TEXT(45091, "[$-0E0000]yyyy-mm-dd")</f>
        <v/>
      </c>
      <c r="C45092" t="inlineStr">
        <is>
          <t>2023-04-28</t>
        </is>
      </c>
    </row>
    <row r="45093">
      <c r="A45093" s="1" t="n">
        <v>45092</v>
      </c>
      <c r="B45093">
        <f>TEXT(45092, "[$-0E0000]yyyy-mm-dd")</f>
        <v/>
      </c>
      <c r="C45093" t="inlineStr">
        <is>
          <t>2023-04-29</t>
        </is>
      </c>
    </row>
    <row r="45094">
      <c r="A45094" s="1" t="n">
        <v>45093</v>
      </c>
      <c r="B45094">
        <f>TEXT(45093, "[$-0E0000]yyyy-mm-dd")</f>
        <v/>
      </c>
      <c r="C45094" t="inlineStr">
        <is>
          <t>2023-04-30</t>
        </is>
      </c>
    </row>
    <row r="45095">
      <c r="A45095" s="1" t="n">
        <v>45094</v>
      </c>
      <c r="B45095">
        <f>TEXT(45094, "[$-0E0000]yyyy-mm-dd")</f>
        <v/>
      </c>
      <c r="C45095" t="inlineStr">
        <is>
          <t>2023-05-01</t>
        </is>
      </c>
    </row>
    <row r="45096">
      <c r="A45096" s="1" t="n">
        <v>45095</v>
      </c>
      <c r="B45096">
        <f>TEXT(45095, "[$-0E0000]yyyy-mm-dd")</f>
        <v/>
      </c>
      <c r="C45096" t="inlineStr">
        <is>
          <t>2023-05-02</t>
        </is>
      </c>
    </row>
    <row r="45097">
      <c r="A45097" s="1" t="n">
        <v>45096</v>
      </c>
      <c r="B45097">
        <f>TEXT(45096, "[$-0E0000]yyyy-mm-dd")</f>
        <v/>
      </c>
      <c r="C45097" t="inlineStr">
        <is>
          <t>2023-05-03</t>
        </is>
      </c>
    </row>
    <row r="45098">
      <c r="A45098" s="1" t="n">
        <v>45097</v>
      </c>
      <c r="B45098">
        <f>TEXT(45097, "[$-0E0000]yyyy-mm-dd")</f>
        <v/>
      </c>
      <c r="C45098" t="inlineStr">
        <is>
          <t>2023-05-04</t>
        </is>
      </c>
    </row>
    <row r="45099">
      <c r="A45099" s="1" t="n">
        <v>45098</v>
      </c>
      <c r="B45099">
        <f>TEXT(45098, "[$-0E0000]yyyy-mm-dd")</f>
        <v/>
      </c>
      <c r="C45099" t="inlineStr">
        <is>
          <t>2023-05-05</t>
        </is>
      </c>
    </row>
    <row r="45100">
      <c r="A45100" s="1" t="n">
        <v>45099</v>
      </c>
      <c r="B45100">
        <f>TEXT(45099, "[$-0E0000]yyyy-mm-dd")</f>
        <v/>
      </c>
      <c r="C45100" t="inlineStr">
        <is>
          <t>2023-05-06</t>
        </is>
      </c>
    </row>
    <row r="45101">
      <c r="A45101" s="1" t="n">
        <v>45100</v>
      </c>
      <c r="B45101">
        <f>TEXT(45100, "[$-0E0000]yyyy-mm-dd")</f>
        <v/>
      </c>
      <c r="C45101" t="inlineStr">
        <is>
          <t>2023-05-07</t>
        </is>
      </c>
    </row>
    <row r="45102">
      <c r="A45102" s="1" t="n">
        <v>45101</v>
      </c>
      <c r="B45102">
        <f>TEXT(45101, "[$-0E0000]yyyy-mm-dd")</f>
        <v/>
      </c>
      <c r="C45102" t="inlineStr">
        <is>
          <t>2023-05-08</t>
        </is>
      </c>
    </row>
    <row r="45103">
      <c r="A45103" s="1" t="n">
        <v>45102</v>
      </c>
      <c r="B45103">
        <f>TEXT(45102, "[$-0E0000]yyyy-mm-dd")</f>
        <v/>
      </c>
      <c r="C45103" t="inlineStr">
        <is>
          <t>2023-05-09</t>
        </is>
      </c>
    </row>
    <row r="45104">
      <c r="A45104" s="1" t="n">
        <v>45103</v>
      </c>
      <c r="B45104">
        <f>TEXT(45103, "[$-0E0000]yyyy-mm-dd")</f>
        <v/>
      </c>
      <c r="C45104" t="inlineStr">
        <is>
          <t>2023-05-10</t>
        </is>
      </c>
    </row>
    <row r="45105">
      <c r="A45105" s="1" t="n">
        <v>45104</v>
      </c>
      <c r="B45105">
        <f>TEXT(45104, "[$-0E0000]yyyy-mm-dd")</f>
        <v/>
      </c>
      <c r="C45105" t="inlineStr">
        <is>
          <t>2023-05-11</t>
        </is>
      </c>
    </row>
    <row r="45106">
      <c r="A45106" s="1" t="n">
        <v>45105</v>
      </c>
      <c r="B45106">
        <f>TEXT(45105, "[$-0E0000]yyyy-mm-dd")</f>
        <v/>
      </c>
      <c r="C45106" t="inlineStr">
        <is>
          <t>2023-05-12</t>
        </is>
      </c>
    </row>
    <row r="45107">
      <c r="A45107" s="1" t="n">
        <v>45106</v>
      </c>
      <c r="B45107">
        <f>TEXT(45106, "[$-0E0000]yyyy-mm-dd")</f>
        <v/>
      </c>
      <c r="C45107" t="inlineStr">
        <is>
          <t>2023-05-13</t>
        </is>
      </c>
    </row>
    <row r="45108">
      <c r="A45108" s="1" t="n">
        <v>45107</v>
      </c>
      <c r="B45108">
        <f>TEXT(45107, "[$-0E0000]yyyy-mm-dd")</f>
        <v/>
      </c>
      <c r="C45108" t="inlineStr">
        <is>
          <t>2023-05-14</t>
        </is>
      </c>
    </row>
    <row r="45109">
      <c r="A45109" s="1" t="n">
        <v>45108</v>
      </c>
      <c r="B45109">
        <f>TEXT(45108, "[$-0E0000]yyyy-mm-dd")</f>
        <v/>
      </c>
      <c r="C45109" t="inlineStr">
        <is>
          <t>2023-05-15</t>
        </is>
      </c>
    </row>
    <row r="45110">
      <c r="A45110" s="1" t="n">
        <v>45109</v>
      </c>
      <c r="B45110">
        <f>TEXT(45109, "[$-0E0000]yyyy-mm-dd")</f>
        <v/>
      </c>
      <c r="C45110" t="inlineStr">
        <is>
          <t>2023-05-16</t>
        </is>
      </c>
    </row>
    <row r="45111">
      <c r="A45111" s="1" t="n">
        <v>45110</v>
      </c>
      <c r="B45111">
        <f>TEXT(45110, "[$-0E0000]yyyy-mm-dd")</f>
        <v/>
      </c>
      <c r="C45111" t="inlineStr">
        <is>
          <t>2023-05-17</t>
        </is>
      </c>
    </row>
    <row r="45112">
      <c r="A45112" s="1" t="n">
        <v>45111</v>
      </c>
      <c r="B45112">
        <f>TEXT(45111, "[$-0E0000]yyyy-mm-dd")</f>
        <v/>
      </c>
      <c r="C45112" t="inlineStr">
        <is>
          <t>2023-05-18</t>
        </is>
      </c>
    </row>
    <row r="45113">
      <c r="A45113" s="1" t="n">
        <v>45112</v>
      </c>
      <c r="B45113">
        <f>TEXT(45112, "[$-0E0000]yyyy-mm-dd")</f>
        <v/>
      </c>
      <c r="C45113" t="inlineStr">
        <is>
          <t>2023-05-19</t>
        </is>
      </c>
    </row>
    <row r="45114">
      <c r="A45114" s="1" t="n">
        <v>45113</v>
      </c>
      <c r="B45114">
        <f>TEXT(45113, "[$-0E0000]yyyy-mm-dd")</f>
        <v/>
      </c>
      <c r="C45114" t="inlineStr">
        <is>
          <t>2023-05-20</t>
        </is>
      </c>
    </row>
    <row r="45115">
      <c r="A45115" s="1" t="n">
        <v>45114</v>
      </c>
      <c r="B45115">
        <f>TEXT(45114, "[$-0E0000]yyyy-mm-dd")</f>
        <v/>
      </c>
      <c r="C45115" t="inlineStr">
        <is>
          <t>2023-05-21</t>
        </is>
      </c>
    </row>
    <row r="45116">
      <c r="A45116" s="1" t="n">
        <v>45115</v>
      </c>
      <c r="B45116">
        <f>TEXT(45115, "[$-0E0000]yyyy-mm-dd")</f>
        <v/>
      </c>
      <c r="C45116" t="inlineStr">
        <is>
          <t>2023-05-22</t>
        </is>
      </c>
    </row>
    <row r="45117">
      <c r="A45117" s="1" t="n">
        <v>45116</v>
      </c>
      <c r="B45117">
        <f>TEXT(45116, "[$-0E0000]yyyy-mm-dd")</f>
        <v/>
      </c>
      <c r="C45117" t="inlineStr">
        <is>
          <t>2023-05-23</t>
        </is>
      </c>
    </row>
    <row r="45118">
      <c r="A45118" s="1" t="n">
        <v>45117</v>
      </c>
      <c r="B45118">
        <f>TEXT(45117, "[$-0E0000]yyyy-mm-dd")</f>
        <v/>
      </c>
      <c r="C45118" t="inlineStr">
        <is>
          <t>2023-05-24</t>
        </is>
      </c>
    </row>
    <row r="45119">
      <c r="A45119" s="1" t="n">
        <v>45118</v>
      </c>
      <c r="B45119">
        <f>TEXT(45118, "[$-0E0000]yyyy-mm-dd")</f>
        <v/>
      </c>
      <c r="C45119" t="inlineStr">
        <is>
          <t>2023-05-25</t>
        </is>
      </c>
    </row>
    <row r="45120">
      <c r="A45120" s="1" t="n">
        <v>45119</v>
      </c>
      <c r="B45120">
        <f>TEXT(45119, "[$-0E0000]yyyy-mm-dd")</f>
        <v/>
      </c>
      <c r="C45120" t="inlineStr">
        <is>
          <t>2023-05-26</t>
        </is>
      </c>
    </row>
    <row r="45121">
      <c r="A45121" s="1" t="n">
        <v>45120</v>
      </c>
      <c r="B45121">
        <f>TEXT(45120, "[$-0E0000]yyyy-mm-dd")</f>
        <v/>
      </c>
      <c r="C45121" t="inlineStr">
        <is>
          <t>2023-05-27</t>
        </is>
      </c>
    </row>
    <row r="45122">
      <c r="A45122" s="1" t="n">
        <v>45121</v>
      </c>
      <c r="B45122">
        <f>TEXT(45121, "[$-0E0000]yyyy-mm-dd")</f>
        <v/>
      </c>
      <c r="C45122" t="inlineStr">
        <is>
          <t>2023-05-28</t>
        </is>
      </c>
    </row>
    <row r="45123">
      <c r="A45123" s="1" t="n">
        <v>45122</v>
      </c>
      <c r="B45123">
        <f>TEXT(45122, "[$-0E0000]yyyy-mm-dd")</f>
        <v/>
      </c>
      <c r="C45123" t="inlineStr">
        <is>
          <t>2023-05-29</t>
        </is>
      </c>
    </row>
    <row r="45124">
      <c r="A45124" s="1" t="n">
        <v>45123</v>
      </c>
      <c r="B45124">
        <f>TEXT(45123, "[$-0E0000]yyyy-mm-dd")</f>
        <v/>
      </c>
      <c r="C45124" t="inlineStr">
        <is>
          <t>2023-05-30</t>
        </is>
      </c>
    </row>
    <row r="45125">
      <c r="A45125" s="1" t="n">
        <v>45124</v>
      </c>
      <c r="B45125">
        <f>TEXT(45124, "[$-0E0000]yyyy-mm-dd")</f>
        <v/>
      </c>
      <c r="C45125" t="inlineStr">
        <is>
          <t>2023-06-01</t>
        </is>
      </c>
    </row>
    <row r="45126">
      <c r="A45126" s="1" t="n">
        <v>45125</v>
      </c>
      <c r="B45126">
        <f>TEXT(45125, "[$-0E0000]yyyy-mm-dd")</f>
        <v/>
      </c>
      <c r="C45126" t="inlineStr">
        <is>
          <t>2023-06-02</t>
        </is>
      </c>
    </row>
    <row r="45127">
      <c r="A45127" s="1" t="n">
        <v>45126</v>
      </c>
      <c r="B45127">
        <f>TEXT(45126, "[$-0E0000]yyyy-mm-dd")</f>
        <v/>
      </c>
      <c r="C45127" t="inlineStr">
        <is>
          <t>2023-06-03</t>
        </is>
      </c>
    </row>
    <row r="45128">
      <c r="A45128" s="1" t="n">
        <v>45127</v>
      </c>
      <c r="B45128">
        <f>TEXT(45127, "[$-0E0000]yyyy-mm-dd")</f>
        <v/>
      </c>
      <c r="C45128" t="inlineStr">
        <is>
          <t>2023-06-04</t>
        </is>
      </c>
    </row>
    <row r="45129">
      <c r="A45129" s="1" t="n">
        <v>45128</v>
      </c>
      <c r="B45129">
        <f>TEXT(45128, "[$-0E0000]yyyy-mm-dd")</f>
        <v/>
      </c>
      <c r="C45129" t="inlineStr">
        <is>
          <t>2023-06-05</t>
        </is>
      </c>
    </row>
    <row r="45130">
      <c r="A45130" s="1" t="n">
        <v>45129</v>
      </c>
      <c r="B45130">
        <f>TEXT(45129, "[$-0E0000]yyyy-mm-dd")</f>
        <v/>
      </c>
      <c r="C45130" t="inlineStr">
        <is>
          <t>2023-06-06</t>
        </is>
      </c>
    </row>
    <row r="45131">
      <c r="A45131" s="1" t="n">
        <v>45130</v>
      </c>
      <c r="B45131">
        <f>TEXT(45130, "[$-0E0000]yyyy-mm-dd")</f>
        <v/>
      </c>
      <c r="C45131" t="inlineStr">
        <is>
          <t>2023-06-07</t>
        </is>
      </c>
    </row>
    <row r="45132">
      <c r="A45132" s="1" t="n">
        <v>45131</v>
      </c>
      <c r="B45132">
        <f>TEXT(45131, "[$-0E0000]yyyy-mm-dd")</f>
        <v/>
      </c>
      <c r="C45132" t="inlineStr">
        <is>
          <t>2023-06-08</t>
        </is>
      </c>
    </row>
    <row r="45133">
      <c r="A45133" s="1" t="n">
        <v>45132</v>
      </c>
      <c r="B45133">
        <f>TEXT(45132, "[$-0E0000]yyyy-mm-dd")</f>
        <v/>
      </c>
      <c r="C45133" t="inlineStr">
        <is>
          <t>2023-06-09</t>
        </is>
      </c>
    </row>
    <row r="45134">
      <c r="A45134" s="1" t="n">
        <v>45133</v>
      </c>
      <c r="B45134">
        <f>TEXT(45133, "[$-0E0000]yyyy-mm-dd")</f>
        <v/>
      </c>
      <c r="C45134" t="inlineStr">
        <is>
          <t>2023-06-10</t>
        </is>
      </c>
    </row>
    <row r="45135">
      <c r="A45135" s="1" t="n">
        <v>45134</v>
      </c>
      <c r="B45135">
        <f>TEXT(45134, "[$-0E0000]yyyy-mm-dd")</f>
        <v/>
      </c>
      <c r="C45135" t="inlineStr">
        <is>
          <t>2023-06-11</t>
        </is>
      </c>
    </row>
    <row r="45136">
      <c r="A45136" s="1" t="n">
        <v>45135</v>
      </c>
      <c r="B45136">
        <f>TEXT(45135, "[$-0E0000]yyyy-mm-dd")</f>
        <v/>
      </c>
      <c r="C45136" t="inlineStr">
        <is>
          <t>2023-06-12</t>
        </is>
      </c>
    </row>
    <row r="45137">
      <c r="A45137" s="1" t="n">
        <v>45136</v>
      </c>
      <c r="B45137">
        <f>TEXT(45136, "[$-0E0000]yyyy-mm-dd")</f>
        <v/>
      </c>
      <c r="C45137" t="inlineStr">
        <is>
          <t>2023-06-13</t>
        </is>
      </c>
    </row>
    <row r="45138">
      <c r="A45138" s="1" t="n">
        <v>45137</v>
      </c>
      <c r="B45138">
        <f>TEXT(45137, "[$-0E0000]yyyy-mm-dd")</f>
        <v/>
      </c>
      <c r="C45138" t="inlineStr">
        <is>
          <t>2023-06-14</t>
        </is>
      </c>
    </row>
    <row r="45139">
      <c r="A45139" s="1" t="n">
        <v>45138</v>
      </c>
      <c r="B45139">
        <f>TEXT(45138, "[$-0E0000]yyyy-mm-dd")</f>
        <v/>
      </c>
      <c r="C45139" t="inlineStr">
        <is>
          <t>2023-06-15</t>
        </is>
      </c>
    </row>
    <row r="45140">
      <c r="A45140" s="1" t="n">
        <v>45139</v>
      </c>
      <c r="B45140">
        <f>TEXT(45139, "[$-0E0000]yyyy-mm-dd")</f>
        <v/>
      </c>
      <c r="C45140" t="inlineStr">
        <is>
          <t>2023-06-16</t>
        </is>
      </c>
    </row>
    <row r="45141">
      <c r="A45141" s="1" t="n">
        <v>45140</v>
      </c>
      <c r="B45141">
        <f>TEXT(45140, "[$-0E0000]yyyy-mm-dd")</f>
        <v/>
      </c>
      <c r="C45141" t="inlineStr">
        <is>
          <t>2023-06-17</t>
        </is>
      </c>
    </row>
    <row r="45142">
      <c r="A45142" s="1" t="n">
        <v>45141</v>
      </c>
      <c r="B45142">
        <f>TEXT(45141, "[$-0E0000]yyyy-mm-dd")</f>
        <v/>
      </c>
      <c r="C45142" t="inlineStr">
        <is>
          <t>2023-06-18</t>
        </is>
      </c>
    </row>
    <row r="45143">
      <c r="A45143" s="1" t="n">
        <v>45142</v>
      </c>
      <c r="B45143">
        <f>TEXT(45142, "[$-0E0000]yyyy-mm-dd")</f>
        <v/>
      </c>
      <c r="C45143" t="inlineStr">
        <is>
          <t>2023-06-19</t>
        </is>
      </c>
    </row>
    <row r="45144">
      <c r="A45144" s="1" t="n">
        <v>45143</v>
      </c>
      <c r="B45144">
        <f>TEXT(45143, "[$-0E0000]yyyy-mm-dd")</f>
        <v/>
      </c>
      <c r="C45144" t="inlineStr">
        <is>
          <t>2023-06-20</t>
        </is>
      </c>
    </row>
    <row r="45145">
      <c r="A45145" s="1" t="n">
        <v>45144</v>
      </c>
      <c r="B45145">
        <f>TEXT(45144, "[$-0E0000]yyyy-mm-dd")</f>
        <v/>
      </c>
      <c r="C45145" t="inlineStr">
        <is>
          <t>2023-06-21</t>
        </is>
      </c>
    </row>
    <row r="45146">
      <c r="A45146" s="1" t="n">
        <v>45145</v>
      </c>
      <c r="B45146">
        <f>TEXT(45145, "[$-0E0000]yyyy-mm-dd")</f>
        <v/>
      </c>
      <c r="C45146" t="inlineStr">
        <is>
          <t>2023-06-22</t>
        </is>
      </c>
    </row>
    <row r="45147">
      <c r="A45147" s="1" t="n">
        <v>45146</v>
      </c>
      <c r="B45147">
        <f>TEXT(45146, "[$-0E0000]yyyy-mm-dd")</f>
        <v/>
      </c>
      <c r="C45147" t="inlineStr">
        <is>
          <t>2023-06-23</t>
        </is>
      </c>
    </row>
    <row r="45148">
      <c r="A45148" s="1" t="n">
        <v>45147</v>
      </c>
      <c r="B45148">
        <f>TEXT(45147, "[$-0E0000]yyyy-mm-dd")</f>
        <v/>
      </c>
      <c r="C45148" t="inlineStr">
        <is>
          <t>2023-06-24</t>
        </is>
      </c>
    </row>
    <row r="45149">
      <c r="A45149" s="1" t="n">
        <v>45148</v>
      </c>
      <c r="B45149">
        <f>TEXT(45148, "[$-0E0000]yyyy-mm-dd")</f>
        <v/>
      </c>
      <c r="C45149" t="inlineStr">
        <is>
          <t>2023-06-25</t>
        </is>
      </c>
    </row>
    <row r="45150">
      <c r="A45150" s="1" t="n">
        <v>45149</v>
      </c>
      <c r="B45150">
        <f>TEXT(45149, "[$-0E0000]yyyy-mm-dd")</f>
        <v/>
      </c>
      <c r="C45150" t="inlineStr">
        <is>
          <t>2023-06-26</t>
        </is>
      </c>
    </row>
    <row r="45151">
      <c r="A45151" s="1" t="n">
        <v>45150</v>
      </c>
      <c r="B45151">
        <f>TEXT(45150, "[$-0E0000]yyyy-mm-dd")</f>
        <v/>
      </c>
      <c r="C45151" t="inlineStr">
        <is>
          <t>2023-06-27</t>
        </is>
      </c>
    </row>
    <row r="45152">
      <c r="A45152" s="1" t="n">
        <v>45151</v>
      </c>
      <c r="B45152">
        <f>TEXT(45151, "[$-0E0000]yyyy-mm-dd")</f>
        <v/>
      </c>
      <c r="C45152" t="inlineStr">
        <is>
          <t>2023-06-28</t>
        </is>
      </c>
    </row>
    <row r="45153">
      <c r="A45153" s="1" t="n">
        <v>45152</v>
      </c>
      <c r="B45153">
        <f>TEXT(45152, "[$-0E0000]yyyy-mm-dd")</f>
        <v/>
      </c>
      <c r="C45153" t="inlineStr">
        <is>
          <t>2023-06-29</t>
        </is>
      </c>
    </row>
    <row r="45154">
      <c r="A45154" s="1" t="n">
        <v>45153</v>
      </c>
      <c r="B45154">
        <f>TEXT(45153, "[$-0E0000]yyyy-mm-dd")</f>
        <v/>
      </c>
      <c r="C45154" t="inlineStr">
        <is>
          <t>2023-07-01</t>
        </is>
      </c>
    </row>
    <row r="45155">
      <c r="A45155" s="1" t="n">
        <v>45154</v>
      </c>
      <c r="B45155">
        <f>TEXT(45154, "[$-0E0000]yyyy-mm-dd")</f>
        <v/>
      </c>
      <c r="C45155" t="inlineStr">
        <is>
          <t>2023-07-02</t>
        </is>
      </c>
    </row>
    <row r="45156">
      <c r="A45156" s="1" t="n">
        <v>45155</v>
      </c>
      <c r="B45156">
        <f>TEXT(45155, "[$-0E0000]yyyy-mm-dd")</f>
        <v/>
      </c>
      <c r="C45156" t="inlineStr">
        <is>
          <t>2023-07-03</t>
        </is>
      </c>
    </row>
    <row r="45157">
      <c r="A45157" s="1" t="n">
        <v>45156</v>
      </c>
      <c r="B45157">
        <f>TEXT(45156, "[$-0E0000]yyyy-mm-dd")</f>
        <v/>
      </c>
      <c r="C45157" t="inlineStr">
        <is>
          <t>2023-07-04</t>
        </is>
      </c>
    </row>
    <row r="45158">
      <c r="A45158" s="1" t="n">
        <v>45157</v>
      </c>
      <c r="B45158">
        <f>TEXT(45157, "[$-0E0000]yyyy-mm-dd")</f>
        <v/>
      </c>
      <c r="C45158" t="inlineStr">
        <is>
          <t>2023-07-05</t>
        </is>
      </c>
    </row>
    <row r="45159">
      <c r="A45159" s="1" t="n">
        <v>45158</v>
      </c>
      <c r="B45159">
        <f>TEXT(45158, "[$-0E0000]yyyy-mm-dd")</f>
        <v/>
      </c>
      <c r="C45159" t="inlineStr">
        <is>
          <t>2023-07-06</t>
        </is>
      </c>
    </row>
    <row r="45160">
      <c r="A45160" s="1" t="n">
        <v>45159</v>
      </c>
      <c r="B45160">
        <f>TEXT(45159, "[$-0E0000]yyyy-mm-dd")</f>
        <v/>
      </c>
      <c r="C45160" t="inlineStr">
        <is>
          <t>2023-07-07</t>
        </is>
      </c>
    </row>
    <row r="45161">
      <c r="A45161" s="1" t="n">
        <v>45160</v>
      </c>
      <c r="B45161">
        <f>TEXT(45160, "[$-0E0000]yyyy-mm-dd")</f>
        <v/>
      </c>
      <c r="C45161" t="inlineStr">
        <is>
          <t>2023-07-08</t>
        </is>
      </c>
    </row>
    <row r="45162">
      <c r="A45162" s="1" t="n">
        <v>45161</v>
      </c>
      <c r="B45162">
        <f>TEXT(45161, "[$-0E0000]yyyy-mm-dd")</f>
        <v/>
      </c>
      <c r="C45162" t="inlineStr">
        <is>
          <t>2023-07-09</t>
        </is>
      </c>
    </row>
    <row r="45163">
      <c r="A45163" s="1" t="n">
        <v>45162</v>
      </c>
      <c r="B45163">
        <f>TEXT(45162, "[$-0E0000]yyyy-mm-dd")</f>
        <v/>
      </c>
      <c r="C45163" t="inlineStr">
        <is>
          <t>2023-07-10</t>
        </is>
      </c>
    </row>
    <row r="45164">
      <c r="A45164" s="1" t="n">
        <v>45163</v>
      </c>
      <c r="B45164">
        <f>TEXT(45163, "[$-0E0000]yyyy-mm-dd")</f>
        <v/>
      </c>
      <c r="C45164" t="inlineStr">
        <is>
          <t>2023-07-11</t>
        </is>
      </c>
    </row>
    <row r="45165">
      <c r="A45165" s="1" t="n">
        <v>45164</v>
      </c>
      <c r="B45165">
        <f>TEXT(45164, "[$-0E0000]yyyy-mm-dd")</f>
        <v/>
      </c>
      <c r="C45165" t="inlineStr">
        <is>
          <t>2023-07-12</t>
        </is>
      </c>
    </row>
    <row r="45166">
      <c r="A45166" s="1" t="n">
        <v>45165</v>
      </c>
      <c r="B45166">
        <f>TEXT(45165, "[$-0E0000]yyyy-mm-dd")</f>
        <v/>
      </c>
      <c r="C45166" t="inlineStr">
        <is>
          <t>2023-07-13</t>
        </is>
      </c>
    </row>
    <row r="45167">
      <c r="A45167" s="1" t="n">
        <v>45166</v>
      </c>
      <c r="B45167">
        <f>TEXT(45166, "[$-0E0000]yyyy-mm-dd")</f>
        <v/>
      </c>
      <c r="C45167" t="inlineStr">
        <is>
          <t>2023-07-14</t>
        </is>
      </c>
    </row>
    <row r="45168">
      <c r="A45168" s="1" t="n">
        <v>45167</v>
      </c>
      <c r="B45168">
        <f>TEXT(45167, "[$-0E0000]yyyy-mm-dd")</f>
        <v/>
      </c>
      <c r="C45168" t="inlineStr">
        <is>
          <t>2023-07-15</t>
        </is>
      </c>
    </row>
    <row r="45169">
      <c r="A45169" s="1" t="n">
        <v>45168</v>
      </c>
      <c r="B45169">
        <f>TEXT(45168, "[$-0E0000]yyyy-mm-dd")</f>
        <v/>
      </c>
      <c r="C45169" t="inlineStr">
        <is>
          <t>2023-07-16</t>
        </is>
      </c>
    </row>
    <row r="45170">
      <c r="A45170" s="1" t="n">
        <v>45169</v>
      </c>
      <c r="B45170">
        <f>TEXT(45169, "[$-0E0000]yyyy-mm-dd")</f>
        <v/>
      </c>
      <c r="C45170" t="inlineStr">
        <is>
          <t>2023-07-17</t>
        </is>
      </c>
    </row>
    <row r="45171">
      <c r="A45171" s="1" t="n">
        <v>45170</v>
      </c>
      <c r="B45171">
        <f>TEXT(45170, "[$-0E0000]yyyy-mm-dd")</f>
        <v/>
      </c>
      <c r="C45171" t="inlineStr">
        <is>
          <t>2023-07-18</t>
        </is>
      </c>
    </row>
    <row r="45172">
      <c r="A45172" s="1" t="n">
        <v>45171</v>
      </c>
      <c r="B45172">
        <f>TEXT(45171, "[$-0E0000]yyyy-mm-dd")</f>
        <v/>
      </c>
      <c r="C45172" t="inlineStr">
        <is>
          <t>2023-07-19</t>
        </is>
      </c>
    </row>
    <row r="45173">
      <c r="A45173" s="1" t="n">
        <v>45172</v>
      </c>
      <c r="B45173">
        <f>TEXT(45172, "[$-0E0000]yyyy-mm-dd")</f>
        <v/>
      </c>
      <c r="C45173" t="inlineStr">
        <is>
          <t>2023-07-20</t>
        </is>
      </c>
    </row>
    <row r="45174">
      <c r="A45174" s="1" t="n">
        <v>45173</v>
      </c>
      <c r="B45174">
        <f>TEXT(45173, "[$-0E0000]yyyy-mm-dd")</f>
        <v/>
      </c>
      <c r="C45174" t="inlineStr">
        <is>
          <t>2023-07-21</t>
        </is>
      </c>
    </row>
    <row r="45175">
      <c r="A45175" s="1" t="n">
        <v>45174</v>
      </c>
      <c r="B45175">
        <f>TEXT(45174, "[$-0E0000]yyyy-mm-dd")</f>
        <v/>
      </c>
      <c r="C45175" t="inlineStr">
        <is>
          <t>2023-07-22</t>
        </is>
      </c>
    </row>
    <row r="45176">
      <c r="A45176" s="1" t="n">
        <v>45175</v>
      </c>
      <c r="B45176">
        <f>TEXT(45175, "[$-0E0000]yyyy-mm-dd")</f>
        <v/>
      </c>
      <c r="C45176" t="inlineStr">
        <is>
          <t>2023-07-23</t>
        </is>
      </c>
    </row>
    <row r="45177">
      <c r="A45177" s="1" t="n">
        <v>45176</v>
      </c>
      <c r="B45177">
        <f>TEXT(45176, "[$-0E0000]yyyy-mm-dd")</f>
        <v/>
      </c>
      <c r="C45177" t="inlineStr">
        <is>
          <t>2023-07-24</t>
        </is>
      </c>
    </row>
    <row r="45178">
      <c r="A45178" s="1" t="n">
        <v>45177</v>
      </c>
      <c r="B45178">
        <f>TEXT(45177, "[$-0E0000]yyyy-mm-dd")</f>
        <v/>
      </c>
      <c r="C45178" t="inlineStr">
        <is>
          <t>2023-07-25</t>
        </is>
      </c>
    </row>
    <row r="45179">
      <c r="A45179" s="1" t="n">
        <v>45178</v>
      </c>
      <c r="B45179">
        <f>TEXT(45178, "[$-0E0000]yyyy-mm-dd")</f>
        <v/>
      </c>
      <c r="C45179" t="inlineStr">
        <is>
          <t>2023-07-26</t>
        </is>
      </c>
    </row>
    <row r="45180">
      <c r="A45180" s="1" t="n">
        <v>45179</v>
      </c>
      <c r="B45180">
        <f>TEXT(45179, "[$-0E0000]yyyy-mm-dd")</f>
        <v/>
      </c>
      <c r="C45180" t="inlineStr">
        <is>
          <t>2023-07-27</t>
        </is>
      </c>
    </row>
    <row r="45181">
      <c r="A45181" s="1" t="n">
        <v>45180</v>
      </c>
      <c r="B45181">
        <f>TEXT(45180, "[$-0E0000]yyyy-mm-dd")</f>
        <v/>
      </c>
      <c r="C45181" t="inlineStr">
        <is>
          <t>2023-07-28</t>
        </is>
      </c>
    </row>
    <row r="45182">
      <c r="A45182" s="1" t="n">
        <v>45181</v>
      </c>
      <c r="B45182">
        <f>TEXT(45181, "[$-0E0000]yyyy-mm-dd")</f>
        <v/>
      </c>
      <c r="C45182" t="inlineStr">
        <is>
          <t>2023-07-29</t>
        </is>
      </c>
    </row>
    <row r="45183">
      <c r="A45183" s="1" t="n">
        <v>45182</v>
      </c>
      <c r="B45183">
        <f>TEXT(45182, "[$-0E0000]yyyy-mm-dd")</f>
        <v/>
      </c>
      <c r="C45183" t="inlineStr">
        <is>
          <t>2023-07-30</t>
        </is>
      </c>
    </row>
    <row r="45184">
      <c r="A45184" s="1" t="n">
        <v>45183</v>
      </c>
      <c r="B45184">
        <f>TEXT(45183, "[$-0E0000]yyyy-mm-dd")</f>
        <v/>
      </c>
      <c r="C45184" t="inlineStr">
        <is>
          <t>2023-08-01</t>
        </is>
      </c>
    </row>
    <row r="45185">
      <c r="A45185" s="1" t="n">
        <v>45184</v>
      </c>
      <c r="B45185">
        <f>TEXT(45184, "[$-0E0000]yyyy-mm-dd")</f>
        <v/>
      </c>
      <c r="C45185" t="inlineStr">
        <is>
          <t>2023-08-02</t>
        </is>
      </c>
    </row>
    <row r="45186">
      <c r="A45186" s="1" t="n">
        <v>45185</v>
      </c>
      <c r="B45186">
        <f>TEXT(45185, "[$-0E0000]yyyy-mm-dd")</f>
        <v/>
      </c>
      <c r="C45186" t="inlineStr">
        <is>
          <t>2023-08-03</t>
        </is>
      </c>
    </row>
    <row r="45187">
      <c r="A45187" s="1" t="n">
        <v>45186</v>
      </c>
      <c r="B45187">
        <f>TEXT(45186, "[$-0E0000]yyyy-mm-dd")</f>
        <v/>
      </c>
      <c r="C45187" t="inlineStr">
        <is>
          <t>2023-08-04</t>
        </is>
      </c>
    </row>
    <row r="45188">
      <c r="A45188" s="1" t="n">
        <v>45187</v>
      </c>
      <c r="B45188">
        <f>TEXT(45187, "[$-0E0000]yyyy-mm-dd")</f>
        <v/>
      </c>
      <c r="C45188" t="inlineStr">
        <is>
          <t>2023-08-05</t>
        </is>
      </c>
    </row>
    <row r="45189">
      <c r="A45189" s="1" t="n">
        <v>45188</v>
      </c>
      <c r="B45189">
        <f>TEXT(45188, "[$-0E0000]yyyy-mm-dd")</f>
        <v/>
      </c>
      <c r="C45189" t="inlineStr">
        <is>
          <t>2023-08-06</t>
        </is>
      </c>
    </row>
    <row r="45190">
      <c r="A45190" s="1" t="n">
        <v>45189</v>
      </c>
      <c r="B45190">
        <f>TEXT(45189, "[$-0E0000]yyyy-mm-dd")</f>
        <v/>
      </c>
      <c r="C45190" t="inlineStr">
        <is>
          <t>2023-08-07</t>
        </is>
      </c>
    </row>
    <row r="45191">
      <c r="A45191" s="1" t="n">
        <v>45190</v>
      </c>
      <c r="B45191">
        <f>TEXT(45190, "[$-0E0000]yyyy-mm-dd")</f>
        <v/>
      </c>
      <c r="C45191" t="inlineStr">
        <is>
          <t>2023-08-08</t>
        </is>
      </c>
    </row>
    <row r="45192">
      <c r="A45192" s="1" t="n">
        <v>45191</v>
      </c>
      <c r="B45192">
        <f>TEXT(45191, "[$-0E0000]yyyy-mm-dd")</f>
        <v/>
      </c>
      <c r="C45192" t="inlineStr">
        <is>
          <t>2023-08-09</t>
        </is>
      </c>
    </row>
    <row r="45193">
      <c r="A45193" s="1" t="n">
        <v>45192</v>
      </c>
      <c r="B45193">
        <f>TEXT(45192, "[$-0E0000]yyyy-mm-dd")</f>
        <v/>
      </c>
      <c r="C45193" t="inlineStr">
        <is>
          <t>2023-08-10</t>
        </is>
      </c>
    </row>
    <row r="45194">
      <c r="A45194" s="1" t="n">
        <v>45193</v>
      </c>
      <c r="B45194">
        <f>TEXT(45193, "[$-0E0000]yyyy-mm-dd")</f>
        <v/>
      </c>
      <c r="C45194" t="inlineStr">
        <is>
          <t>2023-08-11</t>
        </is>
      </c>
    </row>
    <row r="45195">
      <c r="A45195" s="1" t="n">
        <v>45194</v>
      </c>
      <c r="B45195">
        <f>TEXT(45194, "[$-0E0000]yyyy-mm-dd")</f>
        <v/>
      </c>
      <c r="C45195" t="inlineStr">
        <is>
          <t>2023-08-12</t>
        </is>
      </c>
    </row>
    <row r="45196">
      <c r="A45196" s="1" t="n">
        <v>45195</v>
      </c>
      <c r="B45196">
        <f>TEXT(45195, "[$-0E0000]yyyy-mm-dd")</f>
        <v/>
      </c>
      <c r="C45196" t="inlineStr">
        <is>
          <t>2023-08-13</t>
        </is>
      </c>
    </row>
    <row r="45197">
      <c r="A45197" s="1" t="n">
        <v>45196</v>
      </c>
      <c r="B45197">
        <f>TEXT(45196, "[$-0E0000]yyyy-mm-dd")</f>
        <v/>
      </c>
      <c r="C45197" t="inlineStr">
        <is>
          <t>2023-08-14</t>
        </is>
      </c>
    </row>
    <row r="45198">
      <c r="A45198" s="1" t="n">
        <v>45197</v>
      </c>
      <c r="B45198">
        <f>TEXT(45197, "[$-0E0000]yyyy-mm-dd")</f>
        <v/>
      </c>
      <c r="C45198" t="inlineStr">
        <is>
          <t>2023-08-15</t>
        </is>
      </c>
    </row>
    <row r="45199">
      <c r="A45199" s="1" t="n">
        <v>45198</v>
      </c>
      <c r="B45199">
        <f>TEXT(45198, "[$-0E0000]yyyy-mm-dd")</f>
        <v/>
      </c>
      <c r="C45199" t="inlineStr">
        <is>
          <t>2023-08-16</t>
        </is>
      </c>
    </row>
    <row r="45200">
      <c r="A45200" s="1" t="n">
        <v>45199</v>
      </c>
      <c r="B45200">
        <f>TEXT(45199, "[$-0E0000]yyyy-mm-dd")</f>
        <v/>
      </c>
      <c r="C45200" t="inlineStr">
        <is>
          <t>2023-08-17</t>
        </is>
      </c>
    </row>
    <row r="45201">
      <c r="A45201" s="1" t="n">
        <v>45200</v>
      </c>
      <c r="B45201">
        <f>TEXT(45200, "[$-0E0000]yyyy-mm-dd")</f>
        <v/>
      </c>
      <c r="C45201" t="inlineStr">
        <is>
          <t>2023-08-18</t>
        </is>
      </c>
    </row>
    <row r="45202">
      <c r="A45202" s="1" t="n">
        <v>45201</v>
      </c>
      <c r="B45202">
        <f>TEXT(45201, "[$-0E0000]yyyy-mm-dd")</f>
        <v/>
      </c>
      <c r="C45202" t="inlineStr">
        <is>
          <t>2023-08-19</t>
        </is>
      </c>
    </row>
    <row r="45203">
      <c r="A45203" s="1" t="n">
        <v>45202</v>
      </c>
      <c r="B45203">
        <f>TEXT(45202, "[$-0E0000]yyyy-mm-dd")</f>
        <v/>
      </c>
      <c r="C45203" t="inlineStr">
        <is>
          <t>2023-08-20</t>
        </is>
      </c>
    </row>
    <row r="45204">
      <c r="A45204" s="1" t="n">
        <v>45203</v>
      </c>
      <c r="B45204">
        <f>TEXT(45203, "[$-0E0000]yyyy-mm-dd")</f>
        <v/>
      </c>
      <c r="C45204" t="inlineStr">
        <is>
          <t>2023-08-21</t>
        </is>
      </c>
    </row>
    <row r="45205">
      <c r="A45205" s="1" t="n">
        <v>45204</v>
      </c>
      <c r="B45205">
        <f>TEXT(45204, "[$-0E0000]yyyy-mm-dd")</f>
        <v/>
      </c>
      <c r="C45205" t="inlineStr">
        <is>
          <t>2023-08-22</t>
        </is>
      </c>
    </row>
    <row r="45206">
      <c r="A45206" s="1" t="n">
        <v>45205</v>
      </c>
      <c r="B45206">
        <f>TEXT(45205, "[$-0E0000]yyyy-mm-dd")</f>
        <v/>
      </c>
      <c r="C45206" t="inlineStr">
        <is>
          <t>2023-08-23</t>
        </is>
      </c>
    </row>
    <row r="45207">
      <c r="A45207" s="1" t="n">
        <v>45206</v>
      </c>
      <c r="B45207">
        <f>TEXT(45206, "[$-0E0000]yyyy-mm-dd")</f>
        <v/>
      </c>
      <c r="C45207" t="inlineStr">
        <is>
          <t>2023-08-24</t>
        </is>
      </c>
    </row>
    <row r="45208">
      <c r="A45208" s="1" t="n">
        <v>45207</v>
      </c>
      <c r="B45208">
        <f>TEXT(45207, "[$-0E0000]yyyy-mm-dd")</f>
        <v/>
      </c>
      <c r="C45208" t="inlineStr">
        <is>
          <t>2023-08-25</t>
        </is>
      </c>
    </row>
    <row r="45209">
      <c r="A45209" s="1" t="n">
        <v>45208</v>
      </c>
      <c r="B45209">
        <f>TEXT(45208, "[$-0E0000]yyyy-mm-dd")</f>
        <v/>
      </c>
      <c r="C45209" t="inlineStr">
        <is>
          <t>2023-08-26</t>
        </is>
      </c>
    </row>
    <row r="45210">
      <c r="A45210" s="1" t="n">
        <v>45209</v>
      </c>
      <c r="B45210">
        <f>TEXT(45209, "[$-0E0000]yyyy-mm-dd")</f>
        <v/>
      </c>
      <c r="C45210" t="inlineStr">
        <is>
          <t>2023-08-27</t>
        </is>
      </c>
    </row>
    <row r="45211">
      <c r="A45211" s="1" t="n">
        <v>45210</v>
      </c>
      <c r="B45211">
        <f>TEXT(45210, "[$-0E0000]yyyy-mm-dd")</f>
        <v/>
      </c>
      <c r="C45211" t="inlineStr">
        <is>
          <t>2023-08-28</t>
        </is>
      </c>
    </row>
    <row r="45212">
      <c r="A45212" s="1" t="n">
        <v>45211</v>
      </c>
      <c r="B45212">
        <f>TEXT(45211, "[$-0E0000]yyyy-mm-dd")</f>
        <v/>
      </c>
      <c r="C45212" t="inlineStr">
        <is>
          <t>2023-08-29</t>
        </is>
      </c>
    </row>
    <row r="45213">
      <c r="A45213" s="1" t="n">
        <v>45212</v>
      </c>
      <c r="B45213">
        <f>TEXT(45212, "[$-0E0000]yyyy-mm-dd")</f>
        <v/>
      </c>
      <c r="C45213" t="inlineStr">
        <is>
          <t>2023-08-30</t>
        </is>
      </c>
    </row>
    <row r="45214">
      <c r="A45214" s="1" t="n">
        <v>45213</v>
      </c>
      <c r="B45214">
        <f>TEXT(45213, "[$-0E0000]yyyy-mm-dd")</f>
        <v/>
      </c>
      <c r="C45214" t="inlineStr">
        <is>
          <t>2023-09-01</t>
        </is>
      </c>
    </row>
    <row r="45215">
      <c r="A45215" s="1" t="n">
        <v>45214</v>
      </c>
      <c r="B45215">
        <f>TEXT(45214, "[$-0E0000]yyyy-mm-dd")</f>
        <v/>
      </c>
      <c r="C45215" t="inlineStr">
        <is>
          <t>2023-09-02</t>
        </is>
      </c>
    </row>
    <row r="45216">
      <c r="A45216" s="1" t="n">
        <v>45215</v>
      </c>
      <c r="B45216">
        <f>TEXT(45215, "[$-0E0000]yyyy-mm-dd")</f>
        <v/>
      </c>
      <c r="C45216" t="inlineStr">
        <is>
          <t>2023-09-03</t>
        </is>
      </c>
    </row>
    <row r="45217">
      <c r="A45217" s="1" t="n">
        <v>45216</v>
      </c>
      <c r="B45217">
        <f>TEXT(45216, "[$-0E0000]yyyy-mm-dd")</f>
        <v/>
      </c>
      <c r="C45217" t="inlineStr">
        <is>
          <t>2023-09-04</t>
        </is>
      </c>
    </row>
    <row r="45218">
      <c r="A45218" s="1" t="n">
        <v>45217</v>
      </c>
      <c r="B45218">
        <f>TEXT(45217, "[$-0E0000]yyyy-mm-dd")</f>
        <v/>
      </c>
      <c r="C45218" t="inlineStr">
        <is>
          <t>2023-09-05</t>
        </is>
      </c>
    </row>
    <row r="45219">
      <c r="A45219" s="1" t="n">
        <v>45218</v>
      </c>
      <c r="B45219">
        <f>TEXT(45218, "[$-0E0000]yyyy-mm-dd")</f>
        <v/>
      </c>
      <c r="C45219" t="inlineStr">
        <is>
          <t>2023-09-06</t>
        </is>
      </c>
    </row>
    <row r="45220">
      <c r="A45220" s="1" t="n">
        <v>45219</v>
      </c>
      <c r="B45220">
        <f>TEXT(45219, "[$-0E0000]yyyy-mm-dd")</f>
        <v/>
      </c>
      <c r="C45220" t="inlineStr">
        <is>
          <t>2023-09-07</t>
        </is>
      </c>
    </row>
    <row r="45221">
      <c r="A45221" s="1" t="n">
        <v>45220</v>
      </c>
      <c r="B45221">
        <f>TEXT(45220, "[$-0E0000]yyyy-mm-dd")</f>
        <v/>
      </c>
      <c r="C45221" t="inlineStr">
        <is>
          <t>2023-09-08</t>
        </is>
      </c>
    </row>
    <row r="45222">
      <c r="A45222" s="1" t="n">
        <v>45221</v>
      </c>
      <c r="B45222">
        <f>TEXT(45221, "[$-0E0000]yyyy-mm-dd")</f>
        <v/>
      </c>
      <c r="C45222" t="inlineStr">
        <is>
          <t>2023-09-09</t>
        </is>
      </c>
    </row>
    <row r="45223">
      <c r="A45223" s="1" t="n">
        <v>45222</v>
      </c>
      <c r="B45223">
        <f>TEXT(45222, "[$-0E0000]yyyy-mm-dd")</f>
        <v/>
      </c>
      <c r="C45223" t="inlineStr">
        <is>
          <t>2023-09-10</t>
        </is>
      </c>
    </row>
    <row r="45224">
      <c r="A45224" s="1" t="n">
        <v>45223</v>
      </c>
      <c r="B45224">
        <f>TEXT(45223, "[$-0E0000]yyyy-mm-dd")</f>
        <v/>
      </c>
      <c r="C45224" t="inlineStr">
        <is>
          <t>2023-09-11</t>
        </is>
      </c>
    </row>
    <row r="45225">
      <c r="A45225" s="1" t="n">
        <v>45224</v>
      </c>
      <c r="B45225">
        <f>TEXT(45224, "[$-0E0000]yyyy-mm-dd")</f>
        <v/>
      </c>
      <c r="C45225" t="inlineStr">
        <is>
          <t>2023-09-12</t>
        </is>
      </c>
    </row>
    <row r="45226">
      <c r="A45226" s="1" t="n">
        <v>45225</v>
      </c>
      <c r="B45226">
        <f>TEXT(45225, "[$-0E0000]yyyy-mm-dd")</f>
        <v/>
      </c>
      <c r="C45226" t="inlineStr">
        <is>
          <t>2023-09-13</t>
        </is>
      </c>
    </row>
    <row r="45227">
      <c r="A45227" s="1" t="n">
        <v>45226</v>
      </c>
      <c r="B45227">
        <f>TEXT(45226, "[$-0E0000]yyyy-mm-dd")</f>
        <v/>
      </c>
      <c r="C45227" t="inlineStr">
        <is>
          <t>2023-09-14</t>
        </is>
      </c>
    </row>
    <row r="45228">
      <c r="A45228" s="1" t="n">
        <v>45227</v>
      </c>
      <c r="B45228">
        <f>TEXT(45227, "[$-0E0000]yyyy-mm-dd")</f>
        <v/>
      </c>
      <c r="C45228" t="inlineStr">
        <is>
          <t>2023-09-15</t>
        </is>
      </c>
    </row>
    <row r="45229">
      <c r="A45229" s="1" t="n">
        <v>45228</v>
      </c>
      <c r="B45229">
        <f>TEXT(45228, "[$-0E0000]yyyy-mm-dd")</f>
        <v/>
      </c>
      <c r="C45229" t="inlineStr">
        <is>
          <t>2023-09-16</t>
        </is>
      </c>
    </row>
    <row r="45230">
      <c r="A45230" s="1" t="n">
        <v>45229</v>
      </c>
      <c r="B45230">
        <f>TEXT(45229, "[$-0E0000]yyyy-mm-dd")</f>
        <v/>
      </c>
      <c r="C45230" t="inlineStr">
        <is>
          <t>2023-09-17</t>
        </is>
      </c>
    </row>
    <row r="45231">
      <c r="A45231" s="1" t="n">
        <v>45230</v>
      </c>
      <c r="B45231">
        <f>TEXT(45230, "[$-0E0000]yyyy-mm-dd")</f>
        <v/>
      </c>
      <c r="C45231" t="inlineStr">
        <is>
          <t>2023-09-18</t>
        </is>
      </c>
    </row>
    <row r="45232">
      <c r="A45232" s="1" t="n">
        <v>45231</v>
      </c>
      <c r="B45232">
        <f>TEXT(45231, "[$-0E0000]yyyy-mm-dd")</f>
        <v/>
      </c>
      <c r="C45232" t="inlineStr">
        <is>
          <t>2023-09-19</t>
        </is>
      </c>
    </row>
    <row r="45233">
      <c r="A45233" s="1" t="n">
        <v>45232</v>
      </c>
      <c r="B45233">
        <f>TEXT(45232, "[$-0E0000]yyyy-mm-dd")</f>
        <v/>
      </c>
      <c r="C45233" t="inlineStr">
        <is>
          <t>2023-09-20</t>
        </is>
      </c>
    </row>
    <row r="45234">
      <c r="A45234" s="1" t="n">
        <v>45233</v>
      </c>
      <c r="B45234">
        <f>TEXT(45233, "[$-0E0000]yyyy-mm-dd")</f>
        <v/>
      </c>
      <c r="C45234" t="inlineStr">
        <is>
          <t>2023-09-21</t>
        </is>
      </c>
    </row>
    <row r="45235">
      <c r="A45235" s="1" t="n">
        <v>45234</v>
      </c>
      <c r="B45235">
        <f>TEXT(45234, "[$-0E0000]yyyy-mm-dd")</f>
        <v/>
      </c>
      <c r="C45235" t="inlineStr">
        <is>
          <t>2023-09-22</t>
        </is>
      </c>
    </row>
    <row r="45236">
      <c r="A45236" s="1" t="n">
        <v>45235</v>
      </c>
      <c r="B45236">
        <f>TEXT(45235, "[$-0E0000]yyyy-mm-dd")</f>
        <v/>
      </c>
      <c r="C45236" t="inlineStr">
        <is>
          <t>2023-09-23</t>
        </is>
      </c>
    </row>
    <row r="45237">
      <c r="A45237" s="1" t="n">
        <v>45236</v>
      </c>
      <c r="B45237">
        <f>TEXT(45236, "[$-0E0000]yyyy-mm-dd")</f>
        <v/>
      </c>
      <c r="C45237" t="inlineStr">
        <is>
          <t>2023-09-24</t>
        </is>
      </c>
    </row>
    <row r="45238">
      <c r="A45238" s="1" t="n">
        <v>45237</v>
      </c>
      <c r="B45238">
        <f>TEXT(45237, "[$-0E0000]yyyy-mm-dd")</f>
        <v/>
      </c>
      <c r="C45238" t="inlineStr">
        <is>
          <t>2023-09-25</t>
        </is>
      </c>
    </row>
    <row r="45239">
      <c r="A45239" s="1" t="n">
        <v>45238</v>
      </c>
      <c r="B45239">
        <f>TEXT(45238, "[$-0E0000]yyyy-mm-dd")</f>
        <v/>
      </c>
      <c r="C45239" t="inlineStr">
        <is>
          <t>2023-09-26</t>
        </is>
      </c>
    </row>
    <row r="45240">
      <c r="A45240" s="1" t="n">
        <v>45239</v>
      </c>
      <c r="B45240">
        <f>TEXT(45239, "[$-0E0000]yyyy-mm-dd")</f>
        <v/>
      </c>
      <c r="C45240" t="inlineStr">
        <is>
          <t>2023-09-27</t>
        </is>
      </c>
    </row>
    <row r="45241">
      <c r="A45241" s="1" t="n">
        <v>45240</v>
      </c>
      <c r="B45241">
        <f>TEXT(45240, "[$-0E0000]yyyy-mm-dd")</f>
        <v/>
      </c>
      <c r="C45241" t="inlineStr">
        <is>
          <t>2023-09-28</t>
        </is>
      </c>
    </row>
    <row r="45242">
      <c r="A45242" s="1" t="n">
        <v>45241</v>
      </c>
      <c r="B45242">
        <f>TEXT(45241, "[$-0E0000]yyyy-mm-dd")</f>
        <v/>
      </c>
      <c r="C45242" t="inlineStr">
        <is>
          <t>2023-09-29</t>
        </is>
      </c>
    </row>
    <row r="45243">
      <c r="A45243" s="1" t="n">
        <v>45242</v>
      </c>
      <c r="B45243">
        <f>TEXT(45242, "[$-0E0000]yyyy-mm-dd")</f>
        <v/>
      </c>
      <c r="C45243" t="inlineStr">
        <is>
          <t>2023-10-01</t>
        </is>
      </c>
    </row>
    <row r="45244">
      <c r="A45244" s="1" t="n">
        <v>45243</v>
      </c>
      <c r="B45244">
        <f>TEXT(45243, "[$-0E0000]yyyy-mm-dd")</f>
        <v/>
      </c>
      <c r="C45244" t="inlineStr">
        <is>
          <t>2023-10-02</t>
        </is>
      </c>
    </row>
    <row r="45245">
      <c r="A45245" s="1" t="n">
        <v>45244</v>
      </c>
      <c r="B45245">
        <f>TEXT(45244, "[$-0E0000]yyyy-mm-dd")</f>
        <v/>
      </c>
      <c r="C45245" t="inlineStr">
        <is>
          <t>2023-10-03</t>
        </is>
      </c>
    </row>
    <row r="45246">
      <c r="A45246" s="1" t="n">
        <v>45245</v>
      </c>
      <c r="B45246">
        <f>TEXT(45245, "[$-0E0000]yyyy-mm-dd")</f>
        <v/>
      </c>
      <c r="C45246" t="inlineStr">
        <is>
          <t>2023-10-04</t>
        </is>
      </c>
    </row>
    <row r="45247">
      <c r="A45247" s="1" t="n">
        <v>45246</v>
      </c>
      <c r="B45247">
        <f>TEXT(45246, "[$-0E0000]yyyy-mm-dd")</f>
        <v/>
      </c>
      <c r="C45247" t="inlineStr">
        <is>
          <t>2023-10-05</t>
        </is>
      </c>
    </row>
    <row r="45248">
      <c r="A45248" s="1" t="n">
        <v>45247</v>
      </c>
      <c r="B45248">
        <f>TEXT(45247, "[$-0E0000]yyyy-mm-dd")</f>
        <v/>
      </c>
      <c r="C45248" t="inlineStr">
        <is>
          <t>2023-10-06</t>
        </is>
      </c>
    </row>
    <row r="45249">
      <c r="A45249" s="1" t="n">
        <v>45248</v>
      </c>
      <c r="B45249">
        <f>TEXT(45248, "[$-0E0000]yyyy-mm-dd")</f>
        <v/>
      </c>
      <c r="C45249" t="inlineStr">
        <is>
          <t>2023-10-07</t>
        </is>
      </c>
    </row>
    <row r="45250">
      <c r="A45250" s="1" t="n">
        <v>45249</v>
      </c>
      <c r="B45250">
        <f>TEXT(45249, "[$-0E0000]yyyy-mm-dd")</f>
        <v/>
      </c>
      <c r="C45250" t="inlineStr">
        <is>
          <t>2023-10-08</t>
        </is>
      </c>
    </row>
    <row r="45251">
      <c r="A45251" s="1" t="n">
        <v>45250</v>
      </c>
      <c r="B45251">
        <f>TEXT(45250, "[$-0E0000]yyyy-mm-dd")</f>
        <v/>
      </c>
      <c r="C45251" t="inlineStr">
        <is>
          <t>2023-10-09</t>
        </is>
      </c>
    </row>
    <row r="45252">
      <c r="A45252" s="1" t="n">
        <v>45251</v>
      </c>
      <c r="B45252">
        <f>TEXT(45251, "[$-0E0000]yyyy-mm-dd")</f>
        <v/>
      </c>
      <c r="C45252" t="inlineStr">
        <is>
          <t>2023-10-10</t>
        </is>
      </c>
    </row>
    <row r="45253">
      <c r="A45253" s="1" t="n">
        <v>45252</v>
      </c>
      <c r="B45253">
        <f>TEXT(45252, "[$-0E0000]yyyy-mm-dd")</f>
        <v/>
      </c>
      <c r="C45253" t="inlineStr">
        <is>
          <t>2023-10-11</t>
        </is>
      </c>
    </row>
    <row r="45254">
      <c r="A45254" s="1" t="n">
        <v>45253</v>
      </c>
      <c r="B45254">
        <f>TEXT(45253, "[$-0E0000]yyyy-mm-dd")</f>
        <v/>
      </c>
      <c r="C45254" t="inlineStr">
        <is>
          <t>2023-10-12</t>
        </is>
      </c>
    </row>
    <row r="45255">
      <c r="A45255" s="1" t="n">
        <v>45254</v>
      </c>
      <c r="B45255">
        <f>TEXT(45254, "[$-0E0000]yyyy-mm-dd")</f>
        <v/>
      </c>
      <c r="C45255" t="inlineStr">
        <is>
          <t>2023-10-13</t>
        </is>
      </c>
    </row>
    <row r="45256">
      <c r="A45256" s="1" t="n">
        <v>45255</v>
      </c>
      <c r="B45256">
        <f>TEXT(45255, "[$-0E0000]yyyy-mm-dd")</f>
        <v/>
      </c>
      <c r="C45256" t="inlineStr">
        <is>
          <t>2023-10-14</t>
        </is>
      </c>
    </row>
    <row r="45257">
      <c r="A45257" s="1" t="n">
        <v>45256</v>
      </c>
      <c r="B45257">
        <f>TEXT(45256, "[$-0E0000]yyyy-mm-dd")</f>
        <v/>
      </c>
      <c r="C45257" t="inlineStr">
        <is>
          <t>2023-10-15</t>
        </is>
      </c>
    </row>
    <row r="45258">
      <c r="A45258" s="1" t="n">
        <v>45257</v>
      </c>
      <c r="B45258">
        <f>TEXT(45257, "[$-0E0000]yyyy-mm-dd")</f>
        <v/>
      </c>
      <c r="C45258" t="inlineStr">
        <is>
          <t>2023-10-16</t>
        </is>
      </c>
    </row>
    <row r="45259">
      <c r="A45259" s="1" t="n">
        <v>45258</v>
      </c>
      <c r="B45259">
        <f>TEXT(45258, "[$-0E0000]yyyy-mm-dd")</f>
        <v/>
      </c>
      <c r="C45259" t="inlineStr">
        <is>
          <t>2023-10-17</t>
        </is>
      </c>
    </row>
    <row r="45260">
      <c r="A45260" s="1" t="n">
        <v>45259</v>
      </c>
      <c r="B45260">
        <f>TEXT(45259, "[$-0E0000]yyyy-mm-dd")</f>
        <v/>
      </c>
      <c r="C45260" t="inlineStr">
        <is>
          <t>2023-10-18</t>
        </is>
      </c>
    </row>
    <row r="45261">
      <c r="A45261" s="1" t="n">
        <v>45260</v>
      </c>
      <c r="B45261">
        <f>TEXT(45260, "[$-0E0000]yyyy-mm-dd")</f>
        <v/>
      </c>
      <c r="C45261" t="inlineStr">
        <is>
          <t>2023-10-19</t>
        </is>
      </c>
    </row>
    <row r="45262">
      <c r="A45262" s="1" t="n">
        <v>45261</v>
      </c>
      <c r="B45262">
        <f>TEXT(45261, "[$-0E0000]yyyy-mm-dd")</f>
        <v/>
      </c>
      <c r="C45262" t="inlineStr">
        <is>
          <t>2023-10-20</t>
        </is>
      </c>
    </row>
    <row r="45263">
      <c r="A45263" s="1" t="n">
        <v>45262</v>
      </c>
      <c r="B45263">
        <f>TEXT(45262, "[$-0E0000]yyyy-mm-dd")</f>
        <v/>
      </c>
      <c r="C45263" t="inlineStr">
        <is>
          <t>2023-10-21</t>
        </is>
      </c>
    </row>
    <row r="45264">
      <c r="A45264" s="1" t="n">
        <v>45263</v>
      </c>
      <c r="B45264">
        <f>TEXT(45263, "[$-0E0000]yyyy-mm-dd")</f>
        <v/>
      </c>
      <c r="C45264" t="inlineStr">
        <is>
          <t>2023-10-22</t>
        </is>
      </c>
    </row>
    <row r="45265">
      <c r="A45265" s="1" t="n">
        <v>45264</v>
      </c>
      <c r="B45265">
        <f>TEXT(45264, "[$-0E0000]yyyy-mm-dd")</f>
        <v/>
      </c>
      <c r="C45265" t="inlineStr">
        <is>
          <t>2023-10-23</t>
        </is>
      </c>
    </row>
    <row r="45266">
      <c r="A45266" s="1" t="n">
        <v>45265</v>
      </c>
      <c r="B45266">
        <f>TEXT(45265, "[$-0E0000]yyyy-mm-dd")</f>
        <v/>
      </c>
      <c r="C45266" t="inlineStr">
        <is>
          <t>2023-10-24</t>
        </is>
      </c>
    </row>
    <row r="45267">
      <c r="A45267" s="1" t="n">
        <v>45266</v>
      </c>
      <c r="B45267">
        <f>TEXT(45266, "[$-0E0000]yyyy-mm-dd")</f>
        <v/>
      </c>
      <c r="C45267" t="inlineStr">
        <is>
          <t>2023-10-25</t>
        </is>
      </c>
    </row>
    <row r="45268">
      <c r="A45268" s="1" t="n">
        <v>45267</v>
      </c>
      <c r="B45268">
        <f>TEXT(45267, "[$-0E0000]yyyy-mm-dd")</f>
        <v/>
      </c>
      <c r="C45268" t="inlineStr">
        <is>
          <t>2023-10-26</t>
        </is>
      </c>
    </row>
    <row r="45269">
      <c r="A45269" s="1" t="n">
        <v>45268</v>
      </c>
      <c r="B45269">
        <f>TEXT(45268, "[$-0E0000]yyyy-mm-dd")</f>
        <v/>
      </c>
      <c r="C45269" t="inlineStr">
        <is>
          <t>2023-10-27</t>
        </is>
      </c>
    </row>
    <row r="45270">
      <c r="A45270" s="1" t="n">
        <v>45269</v>
      </c>
      <c r="B45270">
        <f>TEXT(45269, "[$-0E0000]yyyy-mm-dd")</f>
        <v/>
      </c>
      <c r="C45270" t="inlineStr">
        <is>
          <t>2023-10-28</t>
        </is>
      </c>
    </row>
    <row r="45271">
      <c r="A45271" s="1" t="n">
        <v>45270</v>
      </c>
      <c r="B45271">
        <f>TEXT(45270, "[$-0E0000]yyyy-mm-dd")</f>
        <v/>
      </c>
      <c r="C45271" t="inlineStr">
        <is>
          <t>2023-10-29</t>
        </is>
      </c>
    </row>
    <row r="45272">
      <c r="A45272" s="1" t="n">
        <v>45271</v>
      </c>
      <c r="B45272">
        <f>TEXT(45271, "[$-0E0000]yyyy-mm-dd")</f>
        <v/>
      </c>
      <c r="C45272" t="inlineStr">
        <is>
          <t>2023-10-30</t>
        </is>
      </c>
    </row>
    <row r="45273">
      <c r="A45273" s="1" t="n">
        <v>45272</v>
      </c>
      <c r="B45273">
        <f>TEXT(45272, "[$-0E0000]yyyy-mm-dd")</f>
        <v/>
      </c>
      <c r="C45273" t="inlineStr">
        <is>
          <t>2023-11-01</t>
        </is>
      </c>
    </row>
    <row r="45274">
      <c r="A45274" s="1" t="n">
        <v>45273</v>
      </c>
      <c r="B45274">
        <f>TEXT(45273, "[$-0E0000]yyyy-mm-dd")</f>
        <v/>
      </c>
      <c r="C45274" t="inlineStr">
        <is>
          <t>2023-11-02</t>
        </is>
      </c>
    </row>
    <row r="45275">
      <c r="A45275" s="1" t="n">
        <v>45274</v>
      </c>
      <c r="B45275">
        <f>TEXT(45274, "[$-0E0000]yyyy-mm-dd")</f>
        <v/>
      </c>
      <c r="C45275" t="inlineStr">
        <is>
          <t>2023-11-03</t>
        </is>
      </c>
    </row>
    <row r="45276">
      <c r="A45276" s="1" t="n">
        <v>45275</v>
      </c>
      <c r="B45276">
        <f>TEXT(45275, "[$-0E0000]yyyy-mm-dd")</f>
        <v/>
      </c>
      <c r="C45276" t="inlineStr">
        <is>
          <t>2023-11-04</t>
        </is>
      </c>
    </row>
    <row r="45277">
      <c r="A45277" s="1" t="n">
        <v>45276</v>
      </c>
      <c r="B45277">
        <f>TEXT(45276, "[$-0E0000]yyyy-mm-dd")</f>
        <v/>
      </c>
      <c r="C45277" t="inlineStr">
        <is>
          <t>2023-11-05</t>
        </is>
      </c>
    </row>
    <row r="45278">
      <c r="A45278" s="1" t="n">
        <v>45277</v>
      </c>
      <c r="B45278">
        <f>TEXT(45277, "[$-0E0000]yyyy-mm-dd")</f>
        <v/>
      </c>
      <c r="C45278" t="inlineStr">
        <is>
          <t>2023-11-06</t>
        </is>
      </c>
    </row>
    <row r="45279">
      <c r="A45279" s="1" t="n">
        <v>45278</v>
      </c>
      <c r="B45279">
        <f>TEXT(45278, "[$-0E0000]yyyy-mm-dd")</f>
        <v/>
      </c>
      <c r="C45279" t="inlineStr">
        <is>
          <t>2023-11-07</t>
        </is>
      </c>
    </row>
    <row r="45280">
      <c r="A45280" s="1" t="n">
        <v>45279</v>
      </c>
      <c r="B45280">
        <f>TEXT(45279, "[$-0E0000]yyyy-mm-dd")</f>
        <v/>
      </c>
      <c r="C45280" t="inlineStr">
        <is>
          <t>2023-11-08</t>
        </is>
      </c>
    </row>
    <row r="45281">
      <c r="A45281" s="1" t="n">
        <v>45280</v>
      </c>
      <c r="B45281">
        <f>TEXT(45280, "[$-0E0000]yyyy-mm-dd")</f>
        <v/>
      </c>
      <c r="C45281" t="inlineStr">
        <is>
          <t>2023-11-09</t>
        </is>
      </c>
    </row>
    <row r="45282">
      <c r="A45282" s="1" t="n">
        <v>45281</v>
      </c>
      <c r="B45282">
        <f>TEXT(45281, "[$-0E0000]yyyy-mm-dd")</f>
        <v/>
      </c>
      <c r="C45282" t="inlineStr">
        <is>
          <t>2023-11-10</t>
        </is>
      </c>
    </row>
    <row r="45283">
      <c r="A45283" s="1" t="n">
        <v>45282</v>
      </c>
      <c r="B45283">
        <f>TEXT(45282, "[$-0E0000]yyyy-mm-dd")</f>
        <v/>
      </c>
      <c r="C45283" t="inlineStr">
        <is>
          <t>2023-11-11</t>
        </is>
      </c>
    </row>
    <row r="45284">
      <c r="A45284" s="1" t="n">
        <v>45283</v>
      </c>
      <c r="B45284">
        <f>TEXT(45283, "[$-0E0000]yyyy-mm-dd")</f>
        <v/>
      </c>
      <c r="C45284" t="inlineStr">
        <is>
          <t>2023-11-12</t>
        </is>
      </c>
    </row>
    <row r="45285">
      <c r="A45285" s="1" t="n">
        <v>45284</v>
      </c>
      <c r="B45285">
        <f>TEXT(45284, "[$-0E0000]yyyy-mm-dd")</f>
        <v/>
      </c>
      <c r="C45285" t="inlineStr">
        <is>
          <t>2023-11-13</t>
        </is>
      </c>
    </row>
    <row r="45286">
      <c r="A45286" s="1" t="n">
        <v>45285</v>
      </c>
      <c r="B45286">
        <f>TEXT(45285, "[$-0E0000]yyyy-mm-dd")</f>
        <v/>
      </c>
      <c r="C45286" t="inlineStr">
        <is>
          <t>2023-11-14</t>
        </is>
      </c>
    </row>
    <row r="45287">
      <c r="A45287" s="1" t="n">
        <v>45286</v>
      </c>
      <c r="B45287">
        <f>TEXT(45286, "[$-0E0000]yyyy-mm-dd")</f>
        <v/>
      </c>
      <c r="C45287" t="inlineStr">
        <is>
          <t>2023-11-15</t>
        </is>
      </c>
    </row>
    <row r="45288">
      <c r="A45288" s="1" t="n">
        <v>45287</v>
      </c>
      <c r="B45288">
        <f>TEXT(45287, "[$-0E0000]yyyy-mm-dd")</f>
        <v/>
      </c>
      <c r="C45288" t="inlineStr">
        <is>
          <t>2023-11-16</t>
        </is>
      </c>
    </row>
    <row r="45289">
      <c r="A45289" s="1" t="n">
        <v>45288</v>
      </c>
      <c r="B45289">
        <f>TEXT(45288, "[$-0E0000]yyyy-mm-dd")</f>
        <v/>
      </c>
      <c r="C45289" t="inlineStr">
        <is>
          <t>2023-11-17</t>
        </is>
      </c>
    </row>
    <row r="45290">
      <c r="A45290" s="1" t="n">
        <v>45289</v>
      </c>
      <c r="B45290">
        <f>TEXT(45289, "[$-0E0000]yyyy-mm-dd")</f>
        <v/>
      </c>
      <c r="C45290" t="inlineStr">
        <is>
          <t>2023-11-18</t>
        </is>
      </c>
    </row>
    <row r="45291">
      <c r="A45291" s="1" t="n">
        <v>45290</v>
      </c>
      <c r="B45291">
        <f>TEXT(45290, "[$-0E0000]yyyy-mm-dd")</f>
        <v/>
      </c>
      <c r="C45291" t="inlineStr">
        <is>
          <t>2023-11-19</t>
        </is>
      </c>
    </row>
    <row r="45292">
      <c r="A45292" s="1" t="n">
        <v>45291</v>
      </c>
      <c r="B45292">
        <f>TEXT(45291, "[$-0E0000]yyyy-mm-dd")</f>
        <v/>
      </c>
      <c r="C45292" t="inlineStr">
        <is>
          <t>2023-11-20</t>
        </is>
      </c>
    </row>
    <row r="45293">
      <c r="A45293" s="1" t="n">
        <v>45292</v>
      </c>
      <c r="B45293">
        <f>TEXT(45292, "[$-0E0000]yyyy-mm-dd")</f>
        <v/>
      </c>
      <c r="C45293" t="inlineStr">
        <is>
          <t>2023-11-21</t>
        </is>
      </c>
    </row>
    <row r="45294">
      <c r="A45294" s="1" t="n">
        <v>45293</v>
      </c>
      <c r="B45294">
        <f>TEXT(45293, "[$-0E0000]yyyy-mm-dd")</f>
        <v/>
      </c>
      <c r="C45294" t="inlineStr">
        <is>
          <t>2023-11-22</t>
        </is>
      </c>
    </row>
    <row r="45295">
      <c r="A45295" s="1" t="n">
        <v>45294</v>
      </c>
      <c r="B45295">
        <f>TEXT(45294, "[$-0E0000]yyyy-mm-dd")</f>
        <v/>
      </c>
      <c r="C45295" t="inlineStr">
        <is>
          <t>2023-11-23</t>
        </is>
      </c>
    </row>
    <row r="45296">
      <c r="A45296" s="1" t="n">
        <v>45295</v>
      </c>
      <c r="B45296">
        <f>TEXT(45295, "[$-0E0000]yyyy-mm-dd")</f>
        <v/>
      </c>
      <c r="C45296" t="inlineStr">
        <is>
          <t>2023-11-24</t>
        </is>
      </c>
    </row>
    <row r="45297">
      <c r="A45297" s="1" t="n">
        <v>45296</v>
      </c>
      <c r="B45297">
        <f>TEXT(45296, "[$-0E0000]yyyy-mm-dd")</f>
        <v/>
      </c>
      <c r="C45297" t="inlineStr">
        <is>
          <t>2023-11-25</t>
        </is>
      </c>
    </row>
    <row r="45298">
      <c r="A45298" s="1" t="n">
        <v>45297</v>
      </c>
      <c r="B45298">
        <f>TEXT(45297, "[$-0E0000]yyyy-mm-dd")</f>
        <v/>
      </c>
      <c r="C45298" t="inlineStr">
        <is>
          <t>2023-11-26</t>
        </is>
      </c>
    </row>
    <row r="45299">
      <c r="A45299" s="1" t="n">
        <v>45298</v>
      </c>
      <c r="B45299">
        <f>TEXT(45298, "[$-0E0000]yyyy-mm-dd")</f>
        <v/>
      </c>
      <c r="C45299" t="inlineStr">
        <is>
          <t>2023-11-27</t>
        </is>
      </c>
    </row>
    <row r="45300">
      <c r="A45300" s="1" t="n">
        <v>45299</v>
      </c>
      <c r="B45300">
        <f>TEXT(45299, "[$-0E0000]yyyy-mm-dd")</f>
        <v/>
      </c>
      <c r="C45300" t="inlineStr">
        <is>
          <t>2023-11-28</t>
        </is>
      </c>
    </row>
    <row r="45301">
      <c r="A45301" s="1" t="n">
        <v>45300</v>
      </c>
      <c r="B45301">
        <f>TEXT(45300, "[$-0E0000]yyyy-mm-dd")</f>
        <v/>
      </c>
      <c r="C45301" t="inlineStr">
        <is>
          <t>2023-11-29</t>
        </is>
      </c>
    </row>
    <row r="45302">
      <c r="A45302" s="1" t="n">
        <v>45301</v>
      </c>
      <c r="B45302">
        <f>TEXT(45301, "[$-0E0000]yyyy-mm-dd")</f>
        <v/>
      </c>
      <c r="C45302" t="inlineStr">
        <is>
          <t>2023-12-01</t>
        </is>
      </c>
    </row>
    <row r="45303">
      <c r="A45303" s="1" t="n">
        <v>45302</v>
      </c>
      <c r="B45303">
        <f>TEXT(45302, "[$-0E0000]yyyy-mm-dd")</f>
        <v/>
      </c>
      <c r="C45303" t="inlineStr">
        <is>
          <t>2023-12-02</t>
        </is>
      </c>
    </row>
    <row r="45304">
      <c r="A45304" s="1" t="n">
        <v>45303</v>
      </c>
      <c r="B45304">
        <f>TEXT(45303, "[$-0E0000]yyyy-mm-dd")</f>
        <v/>
      </c>
      <c r="C45304" t="inlineStr">
        <is>
          <t>2023-12-03</t>
        </is>
      </c>
    </row>
    <row r="45305">
      <c r="A45305" s="1" t="n">
        <v>45304</v>
      </c>
      <c r="B45305">
        <f>TEXT(45304, "[$-0E0000]yyyy-mm-dd")</f>
        <v/>
      </c>
      <c r="C45305" t="inlineStr">
        <is>
          <t>2023-12-04</t>
        </is>
      </c>
    </row>
    <row r="45306">
      <c r="A45306" s="1" t="n">
        <v>45305</v>
      </c>
      <c r="B45306">
        <f>TEXT(45305, "[$-0E0000]yyyy-mm-dd")</f>
        <v/>
      </c>
      <c r="C45306" t="inlineStr">
        <is>
          <t>2023-12-05</t>
        </is>
      </c>
    </row>
    <row r="45307">
      <c r="A45307" s="1" t="n">
        <v>45306</v>
      </c>
      <c r="B45307">
        <f>TEXT(45306, "[$-0E0000]yyyy-mm-dd")</f>
        <v/>
      </c>
      <c r="C45307" t="inlineStr">
        <is>
          <t>2023-12-06</t>
        </is>
      </c>
    </row>
    <row r="45308">
      <c r="A45308" s="1" t="n">
        <v>45307</v>
      </c>
      <c r="B45308">
        <f>TEXT(45307, "[$-0E0000]yyyy-mm-dd")</f>
        <v/>
      </c>
      <c r="C45308" t="inlineStr">
        <is>
          <t>2023-12-07</t>
        </is>
      </c>
    </row>
    <row r="45309">
      <c r="A45309" s="1" t="n">
        <v>45308</v>
      </c>
      <c r="B45309">
        <f>TEXT(45308, "[$-0E0000]yyyy-mm-dd")</f>
        <v/>
      </c>
      <c r="C45309" t="inlineStr">
        <is>
          <t>2023-12-08</t>
        </is>
      </c>
    </row>
    <row r="45310">
      <c r="A45310" s="1" t="n">
        <v>45309</v>
      </c>
      <c r="B45310">
        <f>TEXT(45309, "[$-0E0000]yyyy-mm-dd")</f>
        <v/>
      </c>
      <c r="C45310" t="inlineStr">
        <is>
          <t>2023-12-09</t>
        </is>
      </c>
    </row>
    <row r="45311">
      <c r="A45311" s="1" t="n">
        <v>45310</v>
      </c>
      <c r="B45311">
        <f>TEXT(45310, "[$-0E0000]yyyy-mm-dd")</f>
        <v/>
      </c>
      <c r="C45311" t="inlineStr">
        <is>
          <t>2023-12-10</t>
        </is>
      </c>
    </row>
    <row r="45312">
      <c r="A45312" s="1" t="n">
        <v>45311</v>
      </c>
      <c r="B45312">
        <f>TEXT(45311, "[$-0E0000]yyyy-mm-dd")</f>
        <v/>
      </c>
      <c r="C45312" t="inlineStr">
        <is>
          <t>2023-12-11</t>
        </is>
      </c>
    </row>
    <row r="45313">
      <c r="A45313" s="1" t="n">
        <v>45312</v>
      </c>
      <c r="B45313">
        <f>TEXT(45312, "[$-0E0000]yyyy-mm-dd")</f>
        <v/>
      </c>
      <c r="C45313" t="inlineStr">
        <is>
          <t>2023-12-12</t>
        </is>
      </c>
    </row>
    <row r="45314">
      <c r="A45314" s="1" t="n">
        <v>45313</v>
      </c>
      <c r="B45314">
        <f>TEXT(45313, "[$-0E0000]yyyy-mm-dd")</f>
        <v/>
      </c>
      <c r="C45314" t="inlineStr">
        <is>
          <t>2023-12-13</t>
        </is>
      </c>
    </row>
    <row r="45315">
      <c r="A45315" s="1" t="n">
        <v>45314</v>
      </c>
      <c r="B45315">
        <f>TEXT(45314, "[$-0E0000]yyyy-mm-dd")</f>
        <v/>
      </c>
      <c r="C45315" t="inlineStr">
        <is>
          <t>2023-12-14</t>
        </is>
      </c>
    </row>
    <row r="45316">
      <c r="A45316" s="1" t="n">
        <v>45315</v>
      </c>
      <c r="B45316">
        <f>TEXT(45315, "[$-0E0000]yyyy-mm-dd")</f>
        <v/>
      </c>
      <c r="C45316" t="inlineStr">
        <is>
          <t>2023-12-15</t>
        </is>
      </c>
    </row>
    <row r="45317">
      <c r="A45317" s="1" t="n">
        <v>45316</v>
      </c>
      <c r="B45317">
        <f>TEXT(45316, "[$-0E0000]yyyy-mm-dd")</f>
        <v/>
      </c>
      <c r="C45317" t="inlineStr">
        <is>
          <t>2023-12-16</t>
        </is>
      </c>
    </row>
    <row r="45318">
      <c r="A45318" s="1" t="n">
        <v>45317</v>
      </c>
      <c r="B45318">
        <f>TEXT(45317, "[$-0E0000]yyyy-mm-dd")</f>
        <v/>
      </c>
      <c r="C45318" t="inlineStr">
        <is>
          <t>2023-12-17</t>
        </is>
      </c>
    </row>
    <row r="45319">
      <c r="A45319" s="1" t="n">
        <v>45318</v>
      </c>
      <c r="B45319">
        <f>TEXT(45318, "[$-0E0000]yyyy-mm-dd")</f>
        <v/>
      </c>
      <c r="C45319" t="inlineStr">
        <is>
          <t>2023-12-18</t>
        </is>
      </c>
    </row>
    <row r="45320">
      <c r="A45320" s="1" t="n">
        <v>45319</v>
      </c>
      <c r="B45320">
        <f>TEXT(45319, "[$-0E0000]yyyy-mm-dd")</f>
        <v/>
      </c>
      <c r="C45320" t="inlineStr">
        <is>
          <t>2023-12-19</t>
        </is>
      </c>
    </row>
    <row r="45321">
      <c r="A45321" s="1" t="n">
        <v>45320</v>
      </c>
      <c r="B45321">
        <f>TEXT(45320, "[$-0E0000]yyyy-mm-dd")</f>
        <v/>
      </c>
      <c r="C45321" t="inlineStr">
        <is>
          <t>2023-12-20</t>
        </is>
      </c>
    </row>
    <row r="45322">
      <c r="A45322" s="1" t="n">
        <v>45321</v>
      </c>
      <c r="B45322">
        <f>TEXT(45321, "[$-0E0000]yyyy-mm-dd")</f>
        <v/>
      </c>
      <c r="C45322" t="inlineStr">
        <is>
          <t>2023-12-21</t>
        </is>
      </c>
    </row>
    <row r="45323">
      <c r="A45323" s="1" t="n">
        <v>45322</v>
      </c>
      <c r="B45323">
        <f>TEXT(45322, "[$-0E0000]yyyy-mm-dd")</f>
        <v/>
      </c>
      <c r="C45323" t="inlineStr">
        <is>
          <t>2023-12-22</t>
        </is>
      </c>
    </row>
    <row r="45324">
      <c r="A45324" s="1" t="n">
        <v>45323</v>
      </c>
      <c r="B45324">
        <f>TEXT(45323, "[$-0E0000]yyyy-mm-dd")</f>
        <v/>
      </c>
      <c r="C45324" t="inlineStr">
        <is>
          <t>2023-12-23</t>
        </is>
      </c>
    </row>
    <row r="45325">
      <c r="A45325" s="1" t="n">
        <v>45324</v>
      </c>
      <c r="B45325">
        <f>TEXT(45324, "[$-0E0000]yyyy-mm-dd")</f>
        <v/>
      </c>
      <c r="C45325" t="inlineStr">
        <is>
          <t>2023-12-24</t>
        </is>
      </c>
    </row>
    <row r="45326">
      <c r="A45326" s="1" t="n">
        <v>45325</v>
      </c>
      <c r="B45326">
        <f>TEXT(45325, "[$-0E0000]yyyy-mm-dd")</f>
        <v/>
      </c>
      <c r="C45326" t="inlineStr">
        <is>
          <t>2023-12-25</t>
        </is>
      </c>
    </row>
    <row r="45327">
      <c r="A45327" s="1" t="n">
        <v>45326</v>
      </c>
      <c r="B45327">
        <f>TEXT(45326, "[$-0E0000]yyyy-mm-dd")</f>
        <v/>
      </c>
      <c r="C45327" t="inlineStr">
        <is>
          <t>2023-12-26</t>
        </is>
      </c>
    </row>
    <row r="45328">
      <c r="A45328" s="1" t="n">
        <v>45327</v>
      </c>
      <c r="B45328">
        <f>TEXT(45327, "[$-0E0000]yyyy-mm-dd")</f>
        <v/>
      </c>
      <c r="C45328" t="inlineStr">
        <is>
          <t>2023-12-27</t>
        </is>
      </c>
    </row>
    <row r="45329">
      <c r="A45329" s="1" t="n">
        <v>45328</v>
      </c>
      <c r="B45329">
        <f>TEXT(45328, "[$-0E0000]yyyy-mm-dd")</f>
        <v/>
      </c>
      <c r="C45329" t="inlineStr">
        <is>
          <t>2023-12-28</t>
        </is>
      </c>
    </row>
    <row r="45330">
      <c r="A45330" s="1" t="n">
        <v>45329</v>
      </c>
      <c r="B45330">
        <f>TEXT(45329, "[$-0E0000]yyyy-mm-dd")</f>
        <v/>
      </c>
      <c r="C45330" t="inlineStr">
        <is>
          <t>2023-12-29</t>
        </is>
      </c>
    </row>
    <row r="45331">
      <c r="A45331" s="1" t="n">
        <v>45330</v>
      </c>
      <c r="B45331">
        <f>TEXT(45330, "[$-0E0000]yyyy-mm-dd")</f>
        <v/>
      </c>
      <c r="C45331" t="inlineStr">
        <is>
          <t>2023-12-30</t>
        </is>
      </c>
    </row>
    <row r="45332">
      <c r="A45332" s="1" t="n">
        <v>45331</v>
      </c>
      <c r="B45332">
        <f>TEXT(45331, "[$-0E0000]yyyy-mm-dd")</f>
        <v/>
      </c>
      <c r="C45332" t="inlineStr">
        <is>
          <t>2024-01-01</t>
        </is>
      </c>
    </row>
    <row r="45333">
      <c r="A45333" s="1" t="n">
        <v>45332</v>
      </c>
      <c r="B45333">
        <f>TEXT(45332, "[$-0E0000]yyyy-mm-dd")</f>
        <v/>
      </c>
      <c r="C45333" t="inlineStr">
        <is>
          <t>2024-01-02</t>
        </is>
      </c>
    </row>
    <row r="45334">
      <c r="A45334" s="1" t="n">
        <v>45333</v>
      </c>
      <c r="B45334">
        <f>TEXT(45333, "[$-0E0000]yyyy-mm-dd")</f>
        <v/>
      </c>
      <c r="C45334" t="inlineStr">
        <is>
          <t>2024-01-03</t>
        </is>
      </c>
    </row>
    <row r="45335">
      <c r="A45335" s="1" t="n">
        <v>45334</v>
      </c>
      <c r="B45335">
        <f>TEXT(45334, "[$-0E0000]yyyy-mm-dd")</f>
        <v/>
      </c>
      <c r="C45335" t="inlineStr">
        <is>
          <t>2024-01-04</t>
        </is>
      </c>
    </row>
    <row r="45336">
      <c r="A45336" s="1" t="n">
        <v>45335</v>
      </c>
      <c r="B45336">
        <f>TEXT(45335, "[$-0E0000]yyyy-mm-dd")</f>
        <v/>
      </c>
      <c r="C45336" t="inlineStr">
        <is>
          <t>2024-01-05</t>
        </is>
      </c>
    </row>
    <row r="45337">
      <c r="A45337" s="1" t="n">
        <v>45336</v>
      </c>
      <c r="B45337">
        <f>TEXT(45336, "[$-0E0000]yyyy-mm-dd")</f>
        <v/>
      </c>
      <c r="C45337" t="inlineStr">
        <is>
          <t>2024-01-06</t>
        </is>
      </c>
    </row>
    <row r="45338">
      <c r="A45338" s="1" t="n">
        <v>45337</v>
      </c>
      <c r="B45338">
        <f>TEXT(45337, "[$-0E0000]yyyy-mm-dd")</f>
        <v/>
      </c>
      <c r="C45338" t="inlineStr">
        <is>
          <t>2024-01-07</t>
        </is>
      </c>
    </row>
    <row r="45339">
      <c r="A45339" s="1" t="n">
        <v>45338</v>
      </c>
      <c r="B45339">
        <f>TEXT(45338, "[$-0E0000]yyyy-mm-dd")</f>
        <v/>
      </c>
      <c r="C45339" t="inlineStr">
        <is>
          <t>2024-01-08</t>
        </is>
      </c>
    </row>
    <row r="45340">
      <c r="A45340" s="1" t="n">
        <v>45339</v>
      </c>
      <c r="B45340">
        <f>TEXT(45339, "[$-0E0000]yyyy-mm-dd")</f>
        <v/>
      </c>
      <c r="C45340" t="inlineStr">
        <is>
          <t>2024-01-09</t>
        </is>
      </c>
    </row>
    <row r="45341">
      <c r="A45341" s="1" t="n">
        <v>45340</v>
      </c>
      <c r="B45341">
        <f>TEXT(45340, "[$-0E0000]yyyy-mm-dd")</f>
        <v/>
      </c>
      <c r="C45341" t="inlineStr">
        <is>
          <t>2024-01-10</t>
        </is>
      </c>
    </row>
    <row r="45342">
      <c r="A45342" s="1" t="n">
        <v>45341</v>
      </c>
      <c r="B45342">
        <f>TEXT(45341, "[$-0E0000]yyyy-mm-dd")</f>
        <v/>
      </c>
      <c r="C45342" t="inlineStr">
        <is>
          <t>2024-01-11</t>
        </is>
      </c>
    </row>
    <row r="45343">
      <c r="A45343" s="1" t="n">
        <v>45342</v>
      </c>
      <c r="B45343">
        <f>TEXT(45342, "[$-0E0000]yyyy-mm-dd")</f>
        <v/>
      </c>
      <c r="C45343" t="inlineStr">
        <is>
          <t>2024-01-12</t>
        </is>
      </c>
    </row>
    <row r="45344">
      <c r="A45344" s="1" t="n">
        <v>45343</v>
      </c>
      <c r="B45344">
        <f>TEXT(45343, "[$-0E0000]yyyy-mm-dd")</f>
        <v/>
      </c>
      <c r="C45344" t="inlineStr">
        <is>
          <t>2024-01-13</t>
        </is>
      </c>
    </row>
    <row r="45345">
      <c r="A45345" s="1" t="n">
        <v>45344</v>
      </c>
      <c r="B45345">
        <f>TEXT(45344, "[$-0E0000]yyyy-mm-dd")</f>
        <v/>
      </c>
      <c r="C45345" t="inlineStr">
        <is>
          <t>2024-01-14</t>
        </is>
      </c>
    </row>
    <row r="45346">
      <c r="A45346" s="1" t="n">
        <v>45345</v>
      </c>
      <c r="B45346">
        <f>TEXT(45345, "[$-0E0000]yyyy-mm-dd")</f>
        <v/>
      </c>
      <c r="C45346" t="inlineStr">
        <is>
          <t>2024-01-15</t>
        </is>
      </c>
    </row>
    <row r="45347">
      <c r="A45347" s="1" t="n">
        <v>45346</v>
      </c>
      <c r="B45347">
        <f>TEXT(45346, "[$-0E0000]yyyy-mm-dd")</f>
        <v/>
      </c>
      <c r="C45347" t="inlineStr">
        <is>
          <t>2024-01-16</t>
        </is>
      </c>
    </row>
    <row r="45348">
      <c r="A45348" s="1" t="n">
        <v>45347</v>
      </c>
      <c r="B45348">
        <f>TEXT(45347, "[$-0E0000]yyyy-mm-dd")</f>
        <v/>
      </c>
      <c r="C45348" t="inlineStr">
        <is>
          <t>2024-01-17</t>
        </is>
      </c>
    </row>
    <row r="45349">
      <c r="A45349" s="1" t="n">
        <v>45348</v>
      </c>
      <c r="B45349">
        <f>TEXT(45348, "[$-0E0000]yyyy-mm-dd")</f>
        <v/>
      </c>
      <c r="C45349" t="inlineStr">
        <is>
          <t>2024-01-18</t>
        </is>
      </c>
    </row>
    <row r="45350">
      <c r="A45350" s="1" t="n">
        <v>45349</v>
      </c>
      <c r="B45350">
        <f>TEXT(45349, "[$-0E0000]yyyy-mm-dd")</f>
        <v/>
      </c>
      <c r="C45350" t="inlineStr">
        <is>
          <t>2024-01-19</t>
        </is>
      </c>
    </row>
    <row r="45351">
      <c r="A45351" s="1" t="n">
        <v>45350</v>
      </c>
      <c r="B45351">
        <f>TEXT(45350, "[$-0E0000]yyyy-mm-dd")</f>
        <v/>
      </c>
      <c r="C45351" t="inlineStr">
        <is>
          <t>2024-01-20</t>
        </is>
      </c>
    </row>
    <row r="45352">
      <c r="A45352" s="1" t="n">
        <v>45351</v>
      </c>
      <c r="B45352">
        <f>TEXT(45351, "[$-0E0000]yyyy-mm-dd")</f>
        <v/>
      </c>
      <c r="C45352" t="inlineStr">
        <is>
          <t>2024-01-21</t>
        </is>
      </c>
    </row>
    <row r="45353">
      <c r="A45353" s="1" t="n">
        <v>45352</v>
      </c>
      <c r="B45353">
        <f>TEXT(45352, "[$-0E0000]yyyy-mm-dd")</f>
        <v/>
      </c>
      <c r="C45353" t="inlineStr">
        <is>
          <t>2024-01-22</t>
        </is>
      </c>
    </row>
    <row r="45354">
      <c r="A45354" s="1" t="n">
        <v>45353</v>
      </c>
      <c r="B45354">
        <f>TEXT(45353, "[$-0E0000]yyyy-mm-dd")</f>
        <v/>
      </c>
      <c r="C45354" t="inlineStr">
        <is>
          <t>2024-01-23</t>
        </is>
      </c>
    </row>
    <row r="45355">
      <c r="A45355" s="1" t="n">
        <v>45354</v>
      </c>
      <c r="B45355">
        <f>TEXT(45354, "[$-0E0000]yyyy-mm-dd")</f>
        <v/>
      </c>
      <c r="C45355" t="inlineStr">
        <is>
          <t>2024-01-24</t>
        </is>
      </c>
    </row>
    <row r="45356">
      <c r="A45356" s="1" t="n">
        <v>45355</v>
      </c>
      <c r="B45356">
        <f>TEXT(45355, "[$-0E0000]yyyy-mm-dd")</f>
        <v/>
      </c>
      <c r="C45356" t="inlineStr">
        <is>
          <t>2024-01-25</t>
        </is>
      </c>
    </row>
    <row r="45357">
      <c r="A45357" s="1" t="n">
        <v>45356</v>
      </c>
      <c r="B45357">
        <f>TEXT(45356, "[$-0E0000]yyyy-mm-dd")</f>
        <v/>
      </c>
      <c r="C45357" t="inlineStr">
        <is>
          <t>2024-01-26</t>
        </is>
      </c>
    </row>
    <row r="45358">
      <c r="A45358" s="1" t="n">
        <v>45357</v>
      </c>
      <c r="B45358">
        <f>TEXT(45357, "[$-0E0000]yyyy-mm-dd")</f>
        <v/>
      </c>
      <c r="C45358" t="inlineStr">
        <is>
          <t>2024-01-27</t>
        </is>
      </c>
    </row>
    <row r="45359">
      <c r="A45359" s="1" t="n">
        <v>45358</v>
      </c>
      <c r="B45359">
        <f>TEXT(45358, "[$-0E0000]yyyy-mm-dd")</f>
        <v/>
      </c>
      <c r="C45359" t="inlineStr">
        <is>
          <t>2024-01-28</t>
        </is>
      </c>
    </row>
    <row r="45360">
      <c r="A45360" s="1" t="n">
        <v>45359</v>
      </c>
      <c r="B45360">
        <f>TEXT(45359, "[$-0E0000]yyyy-mm-dd")</f>
        <v/>
      </c>
      <c r="C45360" t="inlineStr">
        <is>
          <t>2024-01-29</t>
        </is>
      </c>
    </row>
    <row r="45361">
      <c r="A45361" s="1" t="n">
        <v>45360</v>
      </c>
      <c r="B45361">
        <f>TEXT(45360, "[$-0E0000]yyyy-mm-dd")</f>
        <v/>
      </c>
      <c r="C45361" t="inlineStr">
        <is>
          <t>2024-02-01</t>
        </is>
      </c>
    </row>
    <row r="45362">
      <c r="A45362" s="1" t="n">
        <v>45361</v>
      </c>
      <c r="B45362">
        <f>TEXT(45361, "[$-0E0000]yyyy-mm-dd")</f>
        <v/>
      </c>
      <c r="C45362" t="inlineStr">
        <is>
          <t>2024-02-02</t>
        </is>
      </c>
    </row>
    <row r="45363">
      <c r="A45363" s="1" t="n">
        <v>45362</v>
      </c>
      <c r="B45363">
        <f>TEXT(45362, "[$-0E0000]yyyy-mm-dd")</f>
        <v/>
      </c>
      <c r="C45363" t="inlineStr">
        <is>
          <t>2024-02-03</t>
        </is>
      </c>
    </row>
    <row r="45364">
      <c r="A45364" s="1" t="n">
        <v>45363</v>
      </c>
      <c r="B45364">
        <f>TEXT(45363, "[$-0E0000]yyyy-mm-dd")</f>
        <v/>
      </c>
      <c r="C45364" t="inlineStr">
        <is>
          <t>2024-02-04</t>
        </is>
      </c>
    </row>
    <row r="45365">
      <c r="A45365" s="1" t="n">
        <v>45364</v>
      </c>
      <c r="B45365">
        <f>TEXT(45364, "[$-0E0000]yyyy-mm-dd")</f>
        <v/>
      </c>
      <c r="C45365" t="inlineStr">
        <is>
          <t>2024-02-05</t>
        </is>
      </c>
    </row>
    <row r="45366">
      <c r="A45366" s="1" t="n">
        <v>45365</v>
      </c>
      <c r="B45366">
        <f>TEXT(45365, "[$-0E0000]yyyy-mm-dd")</f>
        <v/>
      </c>
      <c r="C45366" t="inlineStr">
        <is>
          <t>2024-02-06</t>
        </is>
      </c>
    </row>
    <row r="45367">
      <c r="A45367" s="1" t="n">
        <v>45366</v>
      </c>
      <c r="B45367">
        <f>TEXT(45366, "[$-0E0000]yyyy-mm-dd")</f>
        <v/>
      </c>
      <c r="C45367" t="inlineStr">
        <is>
          <t>2024-02-07</t>
        </is>
      </c>
    </row>
    <row r="45368">
      <c r="A45368" s="1" t="n">
        <v>45367</v>
      </c>
      <c r="B45368">
        <f>TEXT(45367, "[$-0E0000]yyyy-mm-dd")</f>
        <v/>
      </c>
      <c r="C45368" t="inlineStr">
        <is>
          <t>2024-02-08</t>
        </is>
      </c>
    </row>
    <row r="45369">
      <c r="A45369" s="1" t="n">
        <v>45368</v>
      </c>
      <c r="B45369">
        <f>TEXT(45368, "[$-0E0000]yyyy-mm-dd")</f>
        <v/>
      </c>
      <c r="C45369" t="inlineStr">
        <is>
          <t>2024-02-09</t>
        </is>
      </c>
    </row>
    <row r="45370">
      <c r="A45370" s="1" t="n">
        <v>45369</v>
      </c>
      <c r="B45370">
        <f>TEXT(45369, "[$-0E0000]yyyy-mm-dd")</f>
        <v/>
      </c>
      <c r="C45370" t="inlineStr">
        <is>
          <t>2024-02-10</t>
        </is>
      </c>
    </row>
    <row r="45371">
      <c r="A45371" s="1" t="n">
        <v>45370</v>
      </c>
      <c r="B45371">
        <f>TEXT(45370, "[$-0E0000]yyyy-mm-dd")</f>
        <v/>
      </c>
      <c r="C45371" t="inlineStr">
        <is>
          <t>2024-02-11</t>
        </is>
      </c>
    </row>
    <row r="45372">
      <c r="A45372" s="1" t="n">
        <v>45371</v>
      </c>
      <c r="B45372">
        <f>TEXT(45371, "[$-0E0000]yyyy-mm-dd")</f>
        <v/>
      </c>
      <c r="C45372" t="inlineStr">
        <is>
          <t>2024-02-12</t>
        </is>
      </c>
    </row>
    <row r="45373">
      <c r="A45373" s="1" t="n">
        <v>45372</v>
      </c>
      <c r="B45373">
        <f>TEXT(45372, "[$-0E0000]yyyy-mm-dd")</f>
        <v/>
      </c>
      <c r="C45373" t="inlineStr">
        <is>
          <t>2024-02-13</t>
        </is>
      </c>
    </row>
    <row r="45374">
      <c r="A45374" s="1" t="n">
        <v>45373</v>
      </c>
      <c r="B45374">
        <f>TEXT(45373, "[$-0E0000]yyyy-mm-dd")</f>
        <v/>
      </c>
      <c r="C45374" t="inlineStr">
        <is>
          <t>2024-02-14</t>
        </is>
      </c>
    </row>
    <row r="45375">
      <c r="A45375" s="1" t="n">
        <v>45374</v>
      </c>
      <c r="B45375">
        <f>TEXT(45374, "[$-0E0000]yyyy-mm-dd")</f>
        <v/>
      </c>
      <c r="C45375" t="inlineStr">
        <is>
          <t>2024-02-15</t>
        </is>
      </c>
    </row>
    <row r="45376">
      <c r="A45376" s="1" t="n">
        <v>45375</v>
      </c>
      <c r="B45376">
        <f>TEXT(45375, "[$-0E0000]yyyy-mm-dd")</f>
        <v/>
      </c>
      <c r="C45376" t="inlineStr">
        <is>
          <t>2024-02-16</t>
        </is>
      </c>
    </row>
    <row r="45377">
      <c r="A45377" s="1" t="n">
        <v>45376</v>
      </c>
      <c r="B45377">
        <f>TEXT(45376, "[$-0E0000]yyyy-mm-dd")</f>
        <v/>
      </c>
      <c r="C45377" t="inlineStr">
        <is>
          <t>2024-02-17</t>
        </is>
      </c>
    </row>
    <row r="45378">
      <c r="A45378" s="1" t="n">
        <v>45377</v>
      </c>
      <c r="B45378">
        <f>TEXT(45377, "[$-0E0000]yyyy-mm-dd")</f>
        <v/>
      </c>
      <c r="C45378" t="inlineStr">
        <is>
          <t>2024-02-18</t>
        </is>
      </c>
    </row>
    <row r="45379">
      <c r="A45379" s="1" t="n">
        <v>45378</v>
      </c>
      <c r="B45379">
        <f>TEXT(45378, "[$-0E0000]yyyy-mm-dd")</f>
        <v/>
      </c>
      <c r="C45379" t="inlineStr">
        <is>
          <t>2024-02-19</t>
        </is>
      </c>
    </row>
    <row r="45380">
      <c r="A45380" s="1" t="n">
        <v>45379</v>
      </c>
      <c r="B45380">
        <f>TEXT(45379, "[$-0E0000]yyyy-mm-dd")</f>
        <v/>
      </c>
      <c r="C45380" t="inlineStr">
        <is>
          <t>2024-02-20</t>
        </is>
      </c>
    </row>
    <row r="45381">
      <c r="A45381" s="1" t="n">
        <v>45380</v>
      </c>
      <c r="B45381">
        <f>TEXT(45380, "[$-0E0000]yyyy-mm-dd")</f>
        <v/>
      </c>
      <c r="C45381" t="inlineStr">
        <is>
          <t>2024-02-21</t>
        </is>
      </c>
    </row>
    <row r="45382">
      <c r="A45382" s="1" t="n">
        <v>45381</v>
      </c>
      <c r="B45382">
        <f>TEXT(45381, "[$-0E0000]yyyy-mm-dd")</f>
        <v/>
      </c>
      <c r="C45382" t="inlineStr">
        <is>
          <t>2024-02-22</t>
        </is>
      </c>
    </row>
    <row r="45383">
      <c r="A45383" s="1" t="n">
        <v>45382</v>
      </c>
      <c r="B45383">
        <f>TEXT(45382, "[$-0E0000]yyyy-mm-dd")</f>
        <v/>
      </c>
      <c r="C45383" t="inlineStr">
        <is>
          <t>2024-02-23</t>
        </is>
      </c>
    </row>
    <row r="45384">
      <c r="A45384" s="1" t="n">
        <v>45383</v>
      </c>
      <c r="B45384">
        <f>TEXT(45383, "[$-0E0000]yyyy-mm-dd")</f>
        <v/>
      </c>
      <c r="C45384" t="inlineStr">
        <is>
          <t>2024-02-24</t>
        </is>
      </c>
    </row>
    <row r="45385">
      <c r="A45385" s="1" t="n">
        <v>45384</v>
      </c>
      <c r="B45385">
        <f>TEXT(45384, "[$-0E0000]yyyy-mm-dd")</f>
        <v/>
      </c>
      <c r="C45385" t="inlineStr">
        <is>
          <t>2024-02-25</t>
        </is>
      </c>
    </row>
    <row r="45386">
      <c r="A45386" s="1" t="n">
        <v>45385</v>
      </c>
      <c r="B45386">
        <f>TEXT(45385, "[$-0E0000]yyyy-mm-dd")</f>
        <v/>
      </c>
      <c r="C45386" t="inlineStr">
        <is>
          <t>2024-02-26</t>
        </is>
      </c>
    </row>
    <row r="45387">
      <c r="A45387" s="1" t="n">
        <v>45386</v>
      </c>
      <c r="B45387">
        <f>TEXT(45386, "[$-0E0000]yyyy-mm-dd")</f>
        <v/>
      </c>
      <c r="C45387" t="inlineStr">
        <is>
          <t>2024-02-27</t>
        </is>
      </c>
    </row>
    <row r="45388">
      <c r="A45388" s="1" t="n">
        <v>45387</v>
      </c>
      <c r="B45388">
        <f>TEXT(45387, "[$-0E0000]yyyy-mm-dd")</f>
        <v/>
      </c>
      <c r="C45388" t="inlineStr">
        <is>
          <t>2024-02-28</t>
        </is>
      </c>
    </row>
    <row r="45389">
      <c r="A45389" s="1" t="n">
        <v>45388</v>
      </c>
      <c r="B45389">
        <f>TEXT(45388, "[$-0E0000]yyyy-mm-dd")</f>
        <v/>
      </c>
      <c r="C45389" t="inlineStr">
        <is>
          <t>2024-02-29</t>
        </is>
      </c>
    </row>
    <row r="45390">
      <c r="A45390" s="1" t="n">
        <v>45389</v>
      </c>
      <c r="B45390">
        <f>TEXT(45389, "[$-0E0000]yyyy-mm-dd")</f>
        <v/>
      </c>
      <c r="C45390" t="inlineStr">
        <is>
          <t>2024-02-30</t>
        </is>
      </c>
    </row>
    <row r="45391">
      <c r="A45391" s="1" t="n">
        <v>45390</v>
      </c>
      <c r="B45391">
        <f>TEXT(45390, "[$-0E0000]yyyy-mm-dd")</f>
        <v/>
      </c>
      <c r="C45391" t="inlineStr">
        <is>
          <t>2024-03-01</t>
        </is>
      </c>
    </row>
    <row r="45392">
      <c r="A45392" s="1" t="n">
        <v>45391</v>
      </c>
      <c r="B45392">
        <f>TEXT(45391, "[$-0E0000]yyyy-mm-dd")</f>
        <v/>
      </c>
      <c r="C45392" t="inlineStr">
        <is>
          <t>2024-03-02</t>
        </is>
      </c>
    </row>
    <row r="45393">
      <c r="A45393" s="1" t="n">
        <v>45392</v>
      </c>
      <c r="B45393">
        <f>TEXT(45392, "[$-0E0000]yyyy-mm-dd")</f>
        <v/>
      </c>
      <c r="C45393" t="inlineStr">
        <is>
          <t>2024-03-03</t>
        </is>
      </c>
    </row>
    <row r="45394">
      <c r="A45394" s="1" t="n">
        <v>45393</v>
      </c>
      <c r="B45394">
        <f>TEXT(45393, "[$-0E0000]yyyy-mm-dd")</f>
        <v/>
      </c>
      <c r="C45394" t="inlineStr">
        <is>
          <t>2024-03-04</t>
        </is>
      </c>
    </row>
    <row r="45395">
      <c r="A45395" s="1" t="n">
        <v>45394</v>
      </c>
      <c r="B45395">
        <f>TEXT(45394, "[$-0E0000]yyyy-mm-dd")</f>
        <v/>
      </c>
      <c r="C45395" t="inlineStr">
        <is>
          <t>2024-03-05</t>
        </is>
      </c>
    </row>
    <row r="45396">
      <c r="A45396" s="1" t="n">
        <v>45395</v>
      </c>
      <c r="B45396">
        <f>TEXT(45395, "[$-0E0000]yyyy-mm-dd")</f>
        <v/>
      </c>
      <c r="C45396" t="inlineStr">
        <is>
          <t>2024-03-06</t>
        </is>
      </c>
    </row>
    <row r="45397">
      <c r="A45397" s="1" t="n">
        <v>45396</v>
      </c>
      <c r="B45397">
        <f>TEXT(45396, "[$-0E0000]yyyy-mm-dd")</f>
        <v/>
      </c>
      <c r="C45397" t="inlineStr">
        <is>
          <t>2024-03-07</t>
        </is>
      </c>
    </row>
    <row r="45398">
      <c r="A45398" s="1" t="n">
        <v>45397</v>
      </c>
      <c r="B45398">
        <f>TEXT(45397, "[$-0E0000]yyyy-mm-dd")</f>
        <v/>
      </c>
      <c r="C45398" t="inlineStr">
        <is>
          <t>2024-03-08</t>
        </is>
      </c>
    </row>
    <row r="45399">
      <c r="A45399" s="1" t="n">
        <v>45398</v>
      </c>
      <c r="B45399">
        <f>TEXT(45398, "[$-0E0000]yyyy-mm-dd")</f>
        <v/>
      </c>
      <c r="C45399" t="inlineStr">
        <is>
          <t>2024-03-09</t>
        </is>
      </c>
    </row>
    <row r="45400">
      <c r="A45400" s="1" t="n">
        <v>45399</v>
      </c>
      <c r="B45400">
        <f>TEXT(45399, "[$-0E0000]yyyy-mm-dd")</f>
        <v/>
      </c>
      <c r="C45400" t="inlineStr">
        <is>
          <t>2024-03-10</t>
        </is>
      </c>
    </row>
    <row r="45401">
      <c r="A45401" s="1" t="n">
        <v>45400</v>
      </c>
      <c r="B45401">
        <f>TEXT(45400, "[$-0E0000]yyyy-mm-dd")</f>
        <v/>
      </c>
      <c r="C45401" t="inlineStr">
        <is>
          <t>2024-03-11</t>
        </is>
      </c>
    </row>
    <row r="45402">
      <c r="A45402" s="1" t="n">
        <v>45401</v>
      </c>
      <c r="B45402">
        <f>TEXT(45401, "[$-0E0000]yyyy-mm-dd")</f>
        <v/>
      </c>
      <c r="C45402" t="inlineStr">
        <is>
          <t>2024-03-12</t>
        </is>
      </c>
    </row>
    <row r="45403">
      <c r="A45403" s="1" t="n">
        <v>45402</v>
      </c>
      <c r="B45403">
        <f>TEXT(45402, "[$-0E0000]yyyy-mm-dd")</f>
        <v/>
      </c>
      <c r="C45403" t="inlineStr">
        <is>
          <t>2024-03-13</t>
        </is>
      </c>
    </row>
    <row r="45404">
      <c r="A45404" s="1" t="n">
        <v>45403</v>
      </c>
      <c r="B45404">
        <f>TEXT(45403, "[$-0E0000]yyyy-mm-dd")</f>
        <v/>
      </c>
      <c r="C45404" t="inlineStr">
        <is>
          <t>2024-03-14</t>
        </is>
      </c>
    </row>
    <row r="45405">
      <c r="A45405" s="1" t="n">
        <v>45404</v>
      </c>
      <c r="B45405">
        <f>TEXT(45404, "[$-0E0000]yyyy-mm-dd")</f>
        <v/>
      </c>
      <c r="C45405" t="inlineStr">
        <is>
          <t>2024-03-15</t>
        </is>
      </c>
    </row>
    <row r="45406">
      <c r="A45406" s="1" t="n">
        <v>45405</v>
      </c>
      <c r="B45406">
        <f>TEXT(45405, "[$-0E0000]yyyy-mm-dd")</f>
        <v/>
      </c>
      <c r="C45406" t="inlineStr">
        <is>
          <t>2024-03-16</t>
        </is>
      </c>
    </row>
    <row r="45407">
      <c r="A45407" s="1" t="n">
        <v>45406</v>
      </c>
      <c r="B45407">
        <f>TEXT(45406, "[$-0E0000]yyyy-mm-dd")</f>
        <v/>
      </c>
      <c r="C45407" t="inlineStr">
        <is>
          <t>2024-03-17</t>
        </is>
      </c>
    </row>
    <row r="45408">
      <c r="A45408" s="1" t="n">
        <v>45407</v>
      </c>
      <c r="B45408">
        <f>TEXT(45407, "[$-0E0000]yyyy-mm-dd")</f>
        <v/>
      </c>
      <c r="C45408" t="inlineStr">
        <is>
          <t>2024-03-18</t>
        </is>
      </c>
    </row>
    <row r="45409">
      <c r="A45409" s="1" t="n">
        <v>45408</v>
      </c>
      <c r="B45409">
        <f>TEXT(45408, "[$-0E0000]yyyy-mm-dd")</f>
        <v/>
      </c>
      <c r="C45409" t="inlineStr">
        <is>
          <t>2024-03-19</t>
        </is>
      </c>
    </row>
    <row r="45410">
      <c r="A45410" s="1" t="n">
        <v>45409</v>
      </c>
      <c r="B45410">
        <f>TEXT(45409, "[$-0E0000]yyyy-mm-dd")</f>
        <v/>
      </c>
      <c r="C45410" t="inlineStr">
        <is>
          <t>2024-03-20</t>
        </is>
      </c>
    </row>
    <row r="45411">
      <c r="A45411" s="1" t="n">
        <v>45410</v>
      </c>
      <c r="B45411">
        <f>TEXT(45410, "[$-0E0000]yyyy-mm-dd")</f>
        <v/>
      </c>
      <c r="C45411" t="inlineStr">
        <is>
          <t>2024-03-21</t>
        </is>
      </c>
    </row>
    <row r="45412">
      <c r="A45412" s="1" t="n">
        <v>45411</v>
      </c>
      <c r="B45412">
        <f>TEXT(45411, "[$-0E0000]yyyy-mm-dd")</f>
        <v/>
      </c>
      <c r="C45412" t="inlineStr">
        <is>
          <t>2024-03-22</t>
        </is>
      </c>
    </row>
    <row r="45413">
      <c r="A45413" s="1" t="n">
        <v>45412</v>
      </c>
      <c r="B45413">
        <f>TEXT(45412, "[$-0E0000]yyyy-mm-dd")</f>
        <v/>
      </c>
      <c r="C45413" t="inlineStr">
        <is>
          <t>2024-03-23</t>
        </is>
      </c>
    </row>
    <row r="45414">
      <c r="A45414" s="1" t="n">
        <v>45413</v>
      </c>
      <c r="B45414">
        <f>TEXT(45413, "[$-0E0000]yyyy-mm-dd")</f>
        <v/>
      </c>
      <c r="C45414" t="inlineStr">
        <is>
          <t>2024-03-24</t>
        </is>
      </c>
    </row>
    <row r="45415">
      <c r="A45415" s="1" t="n">
        <v>45414</v>
      </c>
      <c r="B45415">
        <f>TEXT(45414, "[$-0E0000]yyyy-mm-dd")</f>
        <v/>
      </c>
      <c r="C45415" t="inlineStr">
        <is>
          <t>2024-03-25</t>
        </is>
      </c>
    </row>
    <row r="45416">
      <c r="A45416" s="1" t="n">
        <v>45415</v>
      </c>
      <c r="B45416">
        <f>TEXT(45415, "[$-0E0000]yyyy-mm-dd")</f>
        <v/>
      </c>
      <c r="C45416" t="inlineStr">
        <is>
          <t>2024-03-26</t>
        </is>
      </c>
    </row>
    <row r="45417">
      <c r="A45417" s="1" t="n">
        <v>45416</v>
      </c>
      <c r="B45417">
        <f>TEXT(45416, "[$-0E0000]yyyy-mm-dd")</f>
        <v/>
      </c>
      <c r="C45417" t="inlineStr">
        <is>
          <t>2024-03-27</t>
        </is>
      </c>
    </row>
    <row r="45418">
      <c r="A45418" s="1" t="n">
        <v>45417</v>
      </c>
      <c r="B45418">
        <f>TEXT(45417, "[$-0E0000]yyyy-mm-dd")</f>
        <v/>
      </c>
      <c r="C45418" t="inlineStr">
        <is>
          <t>2024-03-28</t>
        </is>
      </c>
    </row>
    <row r="45419">
      <c r="A45419" s="1" t="n">
        <v>45418</v>
      </c>
      <c r="B45419">
        <f>TEXT(45418, "[$-0E0000]yyyy-mm-dd")</f>
        <v/>
      </c>
      <c r="C45419" t="inlineStr">
        <is>
          <t>2024-03-29</t>
        </is>
      </c>
    </row>
    <row r="45420">
      <c r="A45420" s="1" t="n">
        <v>45419</v>
      </c>
      <c r="B45420">
        <f>TEXT(45419, "[$-0E0000]yyyy-mm-dd")</f>
        <v/>
      </c>
      <c r="C45420" t="inlineStr">
        <is>
          <t>2024-04-01</t>
        </is>
      </c>
    </row>
    <row r="45421">
      <c r="A45421" s="1" t="n">
        <v>45420</v>
      </c>
      <c r="B45421">
        <f>TEXT(45420, "[$-0E0000]yyyy-mm-dd")</f>
        <v/>
      </c>
      <c r="C45421" t="inlineStr">
        <is>
          <t>2024-04-02</t>
        </is>
      </c>
    </row>
    <row r="45422">
      <c r="A45422" s="1" t="n">
        <v>45421</v>
      </c>
      <c r="B45422">
        <f>TEXT(45421, "[$-0E0000]yyyy-mm-dd")</f>
        <v/>
      </c>
      <c r="C45422" t="inlineStr">
        <is>
          <t>2024-04-03</t>
        </is>
      </c>
    </row>
    <row r="45423">
      <c r="A45423" s="1" t="n">
        <v>45422</v>
      </c>
      <c r="B45423">
        <f>TEXT(45422, "[$-0E0000]yyyy-mm-dd")</f>
        <v/>
      </c>
      <c r="C45423" t="inlineStr">
        <is>
          <t>2024-04-04</t>
        </is>
      </c>
    </row>
    <row r="45424">
      <c r="A45424" s="1" t="n">
        <v>45423</v>
      </c>
      <c r="B45424">
        <f>TEXT(45423, "[$-0E0000]yyyy-mm-dd")</f>
        <v/>
      </c>
      <c r="C45424" t="inlineStr">
        <is>
          <t>2024-04-05</t>
        </is>
      </c>
    </row>
    <row r="45425">
      <c r="A45425" s="1" t="n">
        <v>45424</v>
      </c>
      <c r="B45425">
        <f>TEXT(45424, "[$-0E0000]yyyy-mm-dd")</f>
        <v/>
      </c>
      <c r="C45425" t="inlineStr">
        <is>
          <t>2024-04-06</t>
        </is>
      </c>
    </row>
    <row r="45426">
      <c r="A45426" s="1" t="n">
        <v>45425</v>
      </c>
      <c r="B45426">
        <f>TEXT(45425, "[$-0E0000]yyyy-mm-dd")</f>
        <v/>
      </c>
      <c r="C45426" t="inlineStr">
        <is>
          <t>2024-04-07</t>
        </is>
      </c>
    </row>
    <row r="45427">
      <c r="A45427" s="1" t="n">
        <v>45426</v>
      </c>
      <c r="B45427">
        <f>TEXT(45426, "[$-0E0000]yyyy-mm-dd")</f>
        <v/>
      </c>
      <c r="C45427" t="inlineStr">
        <is>
          <t>2024-04-08</t>
        </is>
      </c>
    </row>
    <row r="45428">
      <c r="A45428" s="1" t="n">
        <v>45427</v>
      </c>
      <c r="B45428">
        <f>TEXT(45427, "[$-0E0000]yyyy-mm-dd")</f>
        <v/>
      </c>
      <c r="C45428" t="inlineStr">
        <is>
          <t>2024-04-09</t>
        </is>
      </c>
    </row>
    <row r="45429">
      <c r="A45429" s="1" t="n">
        <v>45428</v>
      </c>
      <c r="B45429">
        <f>TEXT(45428, "[$-0E0000]yyyy-mm-dd")</f>
        <v/>
      </c>
      <c r="C45429" t="inlineStr">
        <is>
          <t>2024-04-10</t>
        </is>
      </c>
    </row>
    <row r="45430">
      <c r="A45430" s="1" t="n">
        <v>45429</v>
      </c>
      <c r="B45430">
        <f>TEXT(45429, "[$-0E0000]yyyy-mm-dd")</f>
        <v/>
      </c>
      <c r="C45430" t="inlineStr">
        <is>
          <t>2024-04-11</t>
        </is>
      </c>
    </row>
    <row r="45431">
      <c r="A45431" s="1" t="n">
        <v>45430</v>
      </c>
      <c r="B45431">
        <f>TEXT(45430, "[$-0E0000]yyyy-mm-dd")</f>
        <v/>
      </c>
      <c r="C45431" t="inlineStr">
        <is>
          <t>2024-04-12</t>
        </is>
      </c>
    </row>
    <row r="45432">
      <c r="A45432" s="1" t="n">
        <v>45431</v>
      </c>
      <c r="B45432">
        <f>TEXT(45431, "[$-0E0000]yyyy-mm-dd")</f>
        <v/>
      </c>
      <c r="C45432" t="inlineStr">
        <is>
          <t>2024-04-13</t>
        </is>
      </c>
    </row>
    <row r="45433">
      <c r="A45433" s="1" t="n">
        <v>45432</v>
      </c>
      <c r="B45433">
        <f>TEXT(45432, "[$-0E0000]yyyy-mm-dd")</f>
        <v/>
      </c>
      <c r="C45433" t="inlineStr">
        <is>
          <t>2024-04-14</t>
        </is>
      </c>
    </row>
    <row r="45434">
      <c r="A45434" s="1" t="n">
        <v>45433</v>
      </c>
      <c r="B45434">
        <f>TEXT(45433, "[$-0E0000]yyyy-mm-dd")</f>
        <v/>
      </c>
      <c r="C45434" t="inlineStr">
        <is>
          <t>2024-04-15</t>
        </is>
      </c>
    </row>
    <row r="45435">
      <c r="A45435" s="1" t="n">
        <v>45434</v>
      </c>
      <c r="B45435">
        <f>TEXT(45434, "[$-0E0000]yyyy-mm-dd")</f>
        <v/>
      </c>
      <c r="C45435" t="inlineStr">
        <is>
          <t>2024-04-16</t>
        </is>
      </c>
    </row>
    <row r="45436">
      <c r="A45436" s="1" t="n">
        <v>45435</v>
      </c>
      <c r="B45436">
        <f>TEXT(45435, "[$-0E0000]yyyy-mm-dd")</f>
        <v/>
      </c>
      <c r="C45436" t="inlineStr">
        <is>
          <t>2024-04-17</t>
        </is>
      </c>
    </row>
    <row r="45437">
      <c r="A45437" s="1" t="n">
        <v>45436</v>
      </c>
      <c r="B45437">
        <f>TEXT(45436, "[$-0E0000]yyyy-mm-dd")</f>
        <v/>
      </c>
      <c r="C45437" t="inlineStr">
        <is>
          <t>2024-04-18</t>
        </is>
      </c>
    </row>
    <row r="45438">
      <c r="A45438" s="1" t="n">
        <v>45437</v>
      </c>
      <c r="B45438">
        <f>TEXT(45437, "[$-0E0000]yyyy-mm-dd")</f>
        <v/>
      </c>
      <c r="C45438" t="inlineStr">
        <is>
          <t>2024-04-19</t>
        </is>
      </c>
    </row>
    <row r="45439">
      <c r="A45439" s="1" t="n">
        <v>45438</v>
      </c>
      <c r="B45439">
        <f>TEXT(45438, "[$-0E0000]yyyy-mm-dd")</f>
        <v/>
      </c>
      <c r="C45439" t="inlineStr">
        <is>
          <t>2024-04-20</t>
        </is>
      </c>
    </row>
    <row r="45440">
      <c r="A45440" s="1" t="n">
        <v>45439</v>
      </c>
      <c r="B45440">
        <f>TEXT(45439, "[$-0E0000]yyyy-mm-dd")</f>
        <v/>
      </c>
      <c r="C45440" t="inlineStr">
        <is>
          <t>2024-04-21</t>
        </is>
      </c>
    </row>
    <row r="45441">
      <c r="A45441" s="1" t="n">
        <v>45440</v>
      </c>
      <c r="B45441">
        <f>TEXT(45440, "[$-0E0000]yyyy-mm-dd")</f>
        <v/>
      </c>
      <c r="C45441" t="inlineStr">
        <is>
          <t>2024-04-22</t>
        </is>
      </c>
    </row>
    <row r="45442">
      <c r="A45442" s="1" t="n">
        <v>45441</v>
      </c>
      <c r="B45442">
        <f>TEXT(45441, "[$-0E0000]yyyy-mm-dd")</f>
        <v/>
      </c>
      <c r="C45442" t="inlineStr">
        <is>
          <t>2024-04-23</t>
        </is>
      </c>
    </row>
    <row r="45443">
      <c r="A45443" s="1" t="n">
        <v>45442</v>
      </c>
      <c r="B45443">
        <f>TEXT(45442, "[$-0E0000]yyyy-mm-dd")</f>
        <v/>
      </c>
      <c r="C45443" t="inlineStr">
        <is>
          <t>2024-04-24</t>
        </is>
      </c>
    </row>
    <row r="45444">
      <c r="A45444" s="1" t="n">
        <v>45443</v>
      </c>
      <c r="B45444">
        <f>TEXT(45443, "[$-0E0000]yyyy-mm-dd")</f>
        <v/>
      </c>
      <c r="C45444" t="inlineStr">
        <is>
          <t>2024-04-25</t>
        </is>
      </c>
    </row>
    <row r="45445">
      <c r="A45445" s="1" t="n">
        <v>45444</v>
      </c>
      <c r="B45445">
        <f>TEXT(45444, "[$-0E0000]yyyy-mm-dd")</f>
        <v/>
      </c>
      <c r="C45445" t="inlineStr">
        <is>
          <t>2024-04-26</t>
        </is>
      </c>
    </row>
    <row r="45446">
      <c r="A45446" s="1" t="n">
        <v>45445</v>
      </c>
      <c r="B45446">
        <f>TEXT(45445, "[$-0E0000]yyyy-mm-dd")</f>
        <v/>
      </c>
      <c r="C45446" t="inlineStr">
        <is>
          <t>2024-04-27</t>
        </is>
      </c>
    </row>
    <row r="45447">
      <c r="A45447" s="1" t="n">
        <v>45446</v>
      </c>
      <c r="B45447">
        <f>TEXT(45446, "[$-0E0000]yyyy-mm-dd")</f>
        <v/>
      </c>
      <c r="C45447" t="inlineStr">
        <is>
          <t>2024-04-28</t>
        </is>
      </c>
    </row>
    <row r="45448">
      <c r="A45448" s="1" t="n">
        <v>45447</v>
      </c>
      <c r="B45448">
        <f>TEXT(45447, "[$-0E0000]yyyy-mm-dd")</f>
        <v/>
      </c>
      <c r="C45448" t="inlineStr">
        <is>
          <t>2024-04-29</t>
        </is>
      </c>
    </row>
    <row r="45449">
      <c r="A45449" s="1" t="n">
        <v>45448</v>
      </c>
      <c r="B45449">
        <f>TEXT(45448, "[$-0E0000]yyyy-mm-dd")</f>
        <v/>
      </c>
      <c r="C45449" t="inlineStr">
        <is>
          <t>2024-05-01</t>
        </is>
      </c>
    </row>
    <row r="45450">
      <c r="A45450" s="1" t="n">
        <v>45449</v>
      </c>
      <c r="B45450">
        <f>TEXT(45449, "[$-0E0000]yyyy-mm-dd")</f>
        <v/>
      </c>
      <c r="C45450" t="inlineStr">
        <is>
          <t>2024-05-02</t>
        </is>
      </c>
    </row>
    <row r="45451">
      <c r="A45451" s="1" t="n">
        <v>45450</v>
      </c>
      <c r="B45451">
        <f>TEXT(45450, "[$-0E0000]yyyy-mm-dd")</f>
        <v/>
      </c>
      <c r="C45451" t="inlineStr">
        <is>
          <t>2024-05-03</t>
        </is>
      </c>
    </row>
    <row r="45452">
      <c r="A45452" s="1" t="n">
        <v>45451</v>
      </c>
      <c r="B45452">
        <f>TEXT(45451, "[$-0E0000]yyyy-mm-dd")</f>
        <v/>
      </c>
      <c r="C45452" t="inlineStr">
        <is>
          <t>2024-05-04</t>
        </is>
      </c>
    </row>
    <row r="45453">
      <c r="A45453" s="1" t="n">
        <v>45452</v>
      </c>
      <c r="B45453">
        <f>TEXT(45452, "[$-0E0000]yyyy-mm-dd")</f>
        <v/>
      </c>
      <c r="C45453" t="inlineStr">
        <is>
          <t>2024-05-05</t>
        </is>
      </c>
    </row>
    <row r="45454">
      <c r="A45454" s="1" t="n">
        <v>45453</v>
      </c>
      <c r="B45454">
        <f>TEXT(45453, "[$-0E0000]yyyy-mm-dd")</f>
        <v/>
      </c>
      <c r="C45454" t="inlineStr">
        <is>
          <t>2024-05-06</t>
        </is>
      </c>
    </row>
    <row r="45455">
      <c r="A45455" s="1" t="n">
        <v>45454</v>
      </c>
      <c r="B45455">
        <f>TEXT(45454, "[$-0E0000]yyyy-mm-dd")</f>
        <v/>
      </c>
      <c r="C45455" t="inlineStr">
        <is>
          <t>2024-05-07</t>
        </is>
      </c>
    </row>
    <row r="45456">
      <c r="A45456" s="1" t="n">
        <v>45455</v>
      </c>
      <c r="B45456">
        <f>TEXT(45455, "[$-0E0000]yyyy-mm-dd")</f>
        <v/>
      </c>
      <c r="C45456" t="inlineStr">
        <is>
          <t>2024-05-08</t>
        </is>
      </c>
    </row>
    <row r="45457">
      <c r="A45457" s="1" t="n">
        <v>45456</v>
      </c>
      <c r="B45457">
        <f>TEXT(45456, "[$-0E0000]yyyy-mm-dd")</f>
        <v/>
      </c>
      <c r="C45457" t="inlineStr">
        <is>
          <t>2024-05-09</t>
        </is>
      </c>
    </row>
    <row r="45458">
      <c r="A45458" s="1" t="n">
        <v>45457</v>
      </c>
      <c r="B45458">
        <f>TEXT(45457, "[$-0E0000]yyyy-mm-dd")</f>
        <v/>
      </c>
      <c r="C45458" t="inlineStr">
        <is>
          <t>2024-05-10</t>
        </is>
      </c>
    </row>
    <row r="45459">
      <c r="A45459" s="1" t="n">
        <v>45458</v>
      </c>
      <c r="B45459">
        <f>TEXT(45458, "[$-0E0000]yyyy-mm-dd")</f>
        <v/>
      </c>
      <c r="C45459" t="inlineStr">
        <is>
          <t>2024-05-11</t>
        </is>
      </c>
    </row>
    <row r="45460">
      <c r="A45460" s="1" t="n">
        <v>45459</v>
      </c>
      <c r="B45460">
        <f>TEXT(45459, "[$-0E0000]yyyy-mm-dd")</f>
        <v/>
      </c>
      <c r="C45460" t="inlineStr">
        <is>
          <t>2024-05-12</t>
        </is>
      </c>
    </row>
    <row r="45461">
      <c r="A45461" s="1" t="n">
        <v>45460</v>
      </c>
      <c r="B45461">
        <f>TEXT(45460, "[$-0E0000]yyyy-mm-dd")</f>
        <v/>
      </c>
      <c r="C45461" t="inlineStr">
        <is>
          <t>2024-05-13</t>
        </is>
      </c>
    </row>
    <row r="45462">
      <c r="A45462" s="1" t="n">
        <v>45461</v>
      </c>
      <c r="B45462">
        <f>TEXT(45461, "[$-0E0000]yyyy-mm-dd")</f>
        <v/>
      </c>
      <c r="C45462" t="inlineStr">
        <is>
          <t>2024-05-14</t>
        </is>
      </c>
    </row>
    <row r="45463">
      <c r="A45463" s="1" t="n">
        <v>45462</v>
      </c>
      <c r="B45463">
        <f>TEXT(45462, "[$-0E0000]yyyy-mm-dd")</f>
        <v/>
      </c>
      <c r="C45463" t="inlineStr">
        <is>
          <t>2024-05-15</t>
        </is>
      </c>
    </row>
    <row r="45464">
      <c r="A45464" s="1" t="n">
        <v>45463</v>
      </c>
      <c r="B45464">
        <f>TEXT(45463, "[$-0E0000]yyyy-mm-dd")</f>
        <v/>
      </c>
      <c r="C45464" t="inlineStr">
        <is>
          <t>2024-05-16</t>
        </is>
      </c>
    </row>
    <row r="45465">
      <c r="A45465" s="1" t="n">
        <v>45464</v>
      </c>
      <c r="B45465">
        <f>TEXT(45464, "[$-0E0000]yyyy-mm-dd")</f>
        <v/>
      </c>
      <c r="C45465" t="inlineStr">
        <is>
          <t>2024-05-17</t>
        </is>
      </c>
    </row>
    <row r="45466">
      <c r="A45466" s="1" t="n">
        <v>45465</v>
      </c>
      <c r="B45466">
        <f>TEXT(45465, "[$-0E0000]yyyy-mm-dd")</f>
        <v/>
      </c>
      <c r="C45466" t="inlineStr">
        <is>
          <t>2024-05-18</t>
        </is>
      </c>
    </row>
    <row r="45467">
      <c r="A45467" s="1" t="n">
        <v>45466</v>
      </c>
      <c r="B45467">
        <f>TEXT(45466, "[$-0E0000]yyyy-mm-dd")</f>
        <v/>
      </c>
      <c r="C45467" t="inlineStr">
        <is>
          <t>2024-05-19</t>
        </is>
      </c>
    </row>
    <row r="45468">
      <c r="A45468" s="1" t="n">
        <v>45467</v>
      </c>
      <c r="B45468">
        <f>TEXT(45467, "[$-0E0000]yyyy-mm-dd")</f>
        <v/>
      </c>
      <c r="C45468" t="inlineStr">
        <is>
          <t>2024-05-20</t>
        </is>
      </c>
    </row>
    <row r="45469">
      <c r="A45469" s="1" t="n">
        <v>45468</v>
      </c>
      <c r="B45469">
        <f>TEXT(45468, "[$-0E0000]yyyy-mm-dd")</f>
        <v/>
      </c>
      <c r="C45469" t="inlineStr">
        <is>
          <t>2024-05-21</t>
        </is>
      </c>
    </row>
    <row r="45470">
      <c r="A45470" s="1" t="n">
        <v>45469</v>
      </c>
      <c r="B45470">
        <f>TEXT(45469, "[$-0E0000]yyyy-mm-dd")</f>
        <v/>
      </c>
      <c r="C45470" t="inlineStr">
        <is>
          <t>2024-05-22</t>
        </is>
      </c>
    </row>
    <row r="45471">
      <c r="A45471" s="1" t="n">
        <v>45470</v>
      </c>
      <c r="B45471">
        <f>TEXT(45470, "[$-0E0000]yyyy-mm-dd")</f>
        <v/>
      </c>
      <c r="C45471" t="inlineStr">
        <is>
          <t>2024-05-23</t>
        </is>
      </c>
    </row>
    <row r="45472">
      <c r="A45472" s="1" t="n">
        <v>45471</v>
      </c>
      <c r="B45472">
        <f>TEXT(45471, "[$-0E0000]yyyy-mm-dd")</f>
        <v/>
      </c>
      <c r="C45472" t="inlineStr">
        <is>
          <t>2024-05-24</t>
        </is>
      </c>
    </row>
    <row r="45473">
      <c r="A45473" s="1" t="n">
        <v>45472</v>
      </c>
      <c r="B45473">
        <f>TEXT(45472, "[$-0E0000]yyyy-mm-dd")</f>
        <v/>
      </c>
      <c r="C45473" t="inlineStr">
        <is>
          <t>2024-05-25</t>
        </is>
      </c>
    </row>
    <row r="45474">
      <c r="A45474" s="1" t="n">
        <v>45473</v>
      </c>
      <c r="B45474">
        <f>TEXT(45473, "[$-0E0000]yyyy-mm-dd")</f>
        <v/>
      </c>
      <c r="C45474" t="inlineStr">
        <is>
          <t>2024-05-26</t>
        </is>
      </c>
    </row>
    <row r="45475">
      <c r="A45475" s="1" t="n">
        <v>45474</v>
      </c>
      <c r="B45475">
        <f>TEXT(45474, "[$-0E0000]yyyy-mm-dd")</f>
        <v/>
      </c>
      <c r="C45475" t="inlineStr">
        <is>
          <t>2024-05-27</t>
        </is>
      </c>
    </row>
    <row r="45476">
      <c r="A45476" s="1" t="n">
        <v>45475</v>
      </c>
      <c r="B45476">
        <f>TEXT(45475, "[$-0E0000]yyyy-mm-dd")</f>
        <v/>
      </c>
      <c r="C45476" t="inlineStr">
        <is>
          <t>2024-05-28</t>
        </is>
      </c>
    </row>
    <row r="45477">
      <c r="A45477" s="1" t="n">
        <v>45476</v>
      </c>
      <c r="B45477">
        <f>TEXT(45476, "[$-0E0000]yyyy-mm-dd")</f>
        <v/>
      </c>
      <c r="C45477" t="inlineStr">
        <is>
          <t>2024-05-29</t>
        </is>
      </c>
    </row>
    <row r="45478">
      <c r="A45478" s="1" t="n">
        <v>45477</v>
      </c>
      <c r="B45478">
        <f>TEXT(45477, "[$-0E0000]yyyy-mm-dd")</f>
        <v/>
      </c>
      <c r="C45478" t="inlineStr">
        <is>
          <t>2024-05-30</t>
        </is>
      </c>
    </row>
    <row r="45479">
      <c r="A45479" s="1" t="n">
        <v>45478</v>
      </c>
      <c r="B45479">
        <f>TEXT(45478, "[$-0E0000]yyyy-mm-dd")</f>
        <v/>
      </c>
      <c r="C45479" t="inlineStr">
        <is>
          <t>2024-06-01</t>
        </is>
      </c>
    </row>
    <row r="45480">
      <c r="A45480" s="1" t="n">
        <v>45479</v>
      </c>
      <c r="B45480">
        <f>TEXT(45479, "[$-0E0000]yyyy-mm-dd")</f>
        <v/>
      </c>
      <c r="C45480" t="inlineStr">
        <is>
          <t>2024-06-02</t>
        </is>
      </c>
    </row>
    <row r="45481">
      <c r="A45481" s="1" t="n">
        <v>45480</v>
      </c>
      <c r="B45481">
        <f>TEXT(45480, "[$-0E0000]yyyy-mm-dd")</f>
        <v/>
      </c>
      <c r="C45481" t="inlineStr">
        <is>
          <t>2024-06-03</t>
        </is>
      </c>
    </row>
    <row r="45482">
      <c r="A45482" s="1" t="n">
        <v>45481</v>
      </c>
      <c r="B45482">
        <f>TEXT(45481, "[$-0E0000]yyyy-mm-dd")</f>
        <v/>
      </c>
      <c r="C45482" t="inlineStr">
        <is>
          <t>2024-06-04</t>
        </is>
      </c>
    </row>
    <row r="45483">
      <c r="A45483" s="1" t="n">
        <v>45482</v>
      </c>
      <c r="B45483">
        <f>TEXT(45482, "[$-0E0000]yyyy-mm-dd")</f>
        <v/>
      </c>
      <c r="C45483" t="inlineStr">
        <is>
          <t>2024-06-05</t>
        </is>
      </c>
    </row>
    <row r="45484">
      <c r="A45484" s="1" t="n">
        <v>45483</v>
      </c>
      <c r="B45484">
        <f>TEXT(45483, "[$-0E0000]yyyy-mm-dd")</f>
        <v/>
      </c>
      <c r="C45484" t="inlineStr">
        <is>
          <t>2024-06-06</t>
        </is>
      </c>
    </row>
    <row r="45485">
      <c r="A45485" s="1" t="n">
        <v>45484</v>
      </c>
      <c r="B45485">
        <f>TEXT(45484, "[$-0E0000]yyyy-mm-dd")</f>
        <v/>
      </c>
      <c r="C45485" t="inlineStr">
        <is>
          <t>2024-06-07</t>
        </is>
      </c>
    </row>
    <row r="45486">
      <c r="A45486" s="1" t="n">
        <v>45485</v>
      </c>
      <c r="B45486">
        <f>TEXT(45485, "[$-0E0000]yyyy-mm-dd")</f>
        <v/>
      </c>
      <c r="C45486" t="inlineStr">
        <is>
          <t>2024-06-08</t>
        </is>
      </c>
    </row>
    <row r="45487">
      <c r="A45487" s="1" t="n">
        <v>45486</v>
      </c>
      <c r="B45487">
        <f>TEXT(45486, "[$-0E0000]yyyy-mm-dd")</f>
        <v/>
      </c>
      <c r="C45487" t="inlineStr">
        <is>
          <t>2024-06-09</t>
        </is>
      </c>
    </row>
    <row r="45488">
      <c r="A45488" s="1" t="n">
        <v>45487</v>
      </c>
      <c r="B45488">
        <f>TEXT(45487, "[$-0E0000]yyyy-mm-dd")</f>
        <v/>
      </c>
      <c r="C45488" t="inlineStr">
        <is>
          <t>2024-06-10</t>
        </is>
      </c>
    </row>
    <row r="45489">
      <c r="A45489" s="1" t="n">
        <v>45488</v>
      </c>
      <c r="B45489">
        <f>TEXT(45488, "[$-0E0000]yyyy-mm-dd")</f>
        <v/>
      </c>
      <c r="C45489" t="inlineStr">
        <is>
          <t>2024-06-11</t>
        </is>
      </c>
    </row>
    <row r="45490">
      <c r="A45490" s="1" t="n">
        <v>45489</v>
      </c>
      <c r="B45490">
        <f>TEXT(45489, "[$-0E0000]yyyy-mm-dd")</f>
        <v/>
      </c>
      <c r="C45490" t="inlineStr">
        <is>
          <t>2024-06-12</t>
        </is>
      </c>
    </row>
    <row r="45491">
      <c r="A45491" s="1" t="n">
        <v>45490</v>
      </c>
      <c r="B45491">
        <f>TEXT(45490, "[$-0E0000]yyyy-mm-dd")</f>
        <v/>
      </c>
      <c r="C45491" t="inlineStr">
        <is>
          <t>2024-06-13</t>
        </is>
      </c>
    </row>
    <row r="45492">
      <c r="A45492" s="1" t="n">
        <v>45491</v>
      </c>
      <c r="B45492">
        <f>TEXT(45491, "[$-0E0000]yyyy-mm-dd")</f>
        <v/>
      </c>
      <c r="C45492" t="inlineStr">
        <is>
          <t>2024-06-14</t>
        </is>
      </c>
    </row>
    <row r="45493">
      <c r="A45493" s="1" t="n">
        <v>45492</v>
      </c>
      <c r="B45493">
        <f>TEXT(45492, "[$-0E0000]yyyy-mm-dd")</f>
        <v/>
      </c>
      <c r="C45493" t="inlineStr">
        <is>
          <t>2024-06-15</t>
        </is>
      </c>
    </row>
    <row r="45494">
      <c r="A45494" s="1" t="n">
        <v>45493</v>
      </c>
      <c r="B45494">
        <f>TEXT(45493, "[$-0E0000]yyyy-mm-dd")</f>
        <v/>
      </c>
      <c r="C45494" t="inlineStr">
        <is>
          <t>2024-06-16</t>
        </is>
      </c>
    </row>
    <row r="45495">
      <c r="A45495" s="1" t="n">
        <v>45494</v>
      </c>
      <c r="B45495">
        <f>TEXT(45494, "[$-0E0000]yyyy-mm-dd")</f>
        <v/>
      </c>
      <c r="C45495" t="inlineStr">
        <is>
          <t>2024-06-17</t>
        </is>
      </c>
    </row>
    <row r="45496">
      <c r="A45496" s="1" t="n">
        <v>45495</v>
      </c>
      <c r="B45496">
        <f>TEXT(45495, "[$-0E0000]yyyy-mm-dd")</f>
        <v/>
      </c>
      <c r="C45496" t="inlineStr">
        <is>
          <t>2024-06-18</t>
        </is>
      </c>
    </row>
    <row r="45497">
      <c r="A45497" s="1" t="n">
        <v>45496</v>
      </c>
      <c r="B45497">
        <f>TEXT(45496, "[$-0E0000]yyyy-mm-dd")</f>
        <v/>
      </c>
      <c r="C45497" t="inlineStr">
        <is>
          <t>2024-06-19</t>
        </is>
      </c>
    </row>
    <row r="45498">
      <c r="A45498" s="1" t="n">
        <v>45497</v>
      </c>
      <c r="B45498">
        <f>TEXT(45497, "[$-0E0000]yyyy-mm-dd")</f>
        <v/>
      </c>
      <c r="C45498" t="inlineStr">
        <is>
          <t>2024-06-20</t>
        </is>
      </c>
    </row>
    <row r="45499">
      <c r="A45499" s="1" t="n">
        <v>45498</v>
      </c>
      <c r="B45499">
        <f>TEXT(45498, "[$-0E0000]yyyy-mm-dd")</f>
        <v/>
      </c>
      <c r="C45499" t="inlineStr">
        <is>
          <t>2024-06-21</t>
        </is>
      </c>
    </row>
    <row r="45500">
      <c r="A45500" s="1" t="n">
        <v>45499</v>
      </c>
      <c r="B45500">
        <f>TEXT(45499, "[$-0E0000]yyyy-mm-dd")</f>
        <v/>
      </c>
      <c r="C45500" t="inlineStr">
        <is>
          <t>2024-06-22</t>
        </is>
      </c>
    </row>
    <row r="45501">
      <c r="A45501" s="1" t="n">
        <v>45500</v>
      </c>
      <c r="B45501">
        <f>TEXT(45500, "[$-0E0000]yyyy-mm-dd")</f>
        <v/>
      </c>
      <c r="C45501" t="inlineStr">
        <is>
          <t>2024-06-23</t>
        </is>
      </c>
    </row>
    <row r="45502">
      <c r="A45502" s="1" t="n">
        <v>45501</v>
      </c>
      <c r="B45502">
        <f>TEXT(45501, "[$-0E0000]yyyy-mm-dd")</f>
        <v/>
      </c>
      <c r="C45502" t="inlineStr">
        <is>
          <t>2024-06-24</t>
        </is>
      </c>
    </row>
    <row r="45503">
      <c r="A45503" s="1" t="n">
        <v>45502</v>
      </c>
      <c r="B45503">
        <f>TEXT(45502, "[$-0E0000]yyyy-mm-dd")</f>
        <v/>
      </c>
      <c r="C45503" t="inlineStr">
        <is>
          <t>2024-06-25</t>
        </is>
      </c>
    </row>
    <row r="45504">
      <c r="A45504" s="1" t="n">
        <v>45503</v>
      </c>
      <c r="B45504">
        <f>TEXT(45503, "[$-0E0000]yyyy-mm-dd")</f>
        <v/>
      </c>
      <c r="C45504" t="inlineStr">
        <is>
          <t>2024-06-26</t>
        </is>
      </c>
    </row>
    <row r="45505">
      <c r="A45505" s="1" t="n">
        <v>45504</v>
      </c>
      <c r="B45505">
        <f>TEXT(45504, "[$-0E0000]yyyy-mm-dd")</f>
        <v/>
      </c>
      <c r="C45505" t="inlineStr">
        <is>
          <t>2024-06-27</t>
        </is>
      </c>
    </row>
    <row r="45506">
      <c r="A45506" s="1" t="n">
        <v>45505</v>
      </c>
      <c r="B45506">
        <f>TEXT(45505, "[$-0E0000]yyyy-mm-dd")</f>
        <v/>
      </c>
      <c r="C45506" t="inlineStr">
        <is>
          <t>2024-06-28</t>
        </is>
      </c>
    </row>
    <row r="45507">
      <c r="A45507" s="1" t="n">
        <v>45506</v>
      </c>
      <c r="B45507">
        <f>TEXT(45506, "[$-0E0000]yyyy-mm-dd")</f>
        <v/>
      </c>
      <c r="C45507" t="inlineStr">
        <is>
          <t>2024-06-29</t>
        </is>
      </c>
    </row>
    <row r="45508">
      <c r="A45508" s="1" t="n">
        <v>45507</v>
      </c>
      <c r="B45508">
        <f>TEXT(45507, "[$-0E0000]yyyy-mm-dd")</f>
        <v/>
      </c>
      <c r="C45508" t="inlineStr">
        <is>
          <t>2024-07-01</t>
        </is>
      </c>
    </row>
    <row r="45509">
      <c r="A45509" s="1" t="n">
        <v>45508</v>
      </c>
      <c r="B45509">
        <f>TEXT(45508, "[$-0E0000]yyyy-mm-dd")</f>
        <v/>
      </c>
      <c r="C45509" t="inlineStr">
        <is>
          <t>2024-07-02</t>
        </is>
      </c>
    </row>
    <row r="45510">
      <c r="A45510" s="1" t="n">
        <v>45509</v>
      </c>
      <c r="B45510">
        <f>TEXT(45509, "[$-0E0000]yyyy-mm-dd")</f>
        <v/>
      </c>
      <c r="C45510" t="inlineStr">
        <is>
          <t>2024-07-03</t>
        </is>
      </c>
    </row>
    <row r="45511">
      <c r="A45511" s="1" t="n">
        <v>45510</v>
      </c>
      <c r="B45511">
        <f>TEXT(45510, "[$-0E0000]yyyy-mm-dd")</f>
        <v/>
      </c>
      <c r="C45511" t="inlineStr">
        <is>
          <t>2024-07-04</t>
        </is>
      </c>
    </row>
    <row r="45512">
      <c r="A45512" s="1" t="n">
        <v>45511</v>
      </c>
      <c r="B45512">
        <f>TEXT(45511, "[$-0E0000]yyyy-mm-dd")</f>
        <v/>
      </c>
      <c r="C45512" t="inlineStr">
        <is>
          <t>2024-07-05</t>
        </is>
      </c>
    </row>
    <row r="45513">
      <c r="A45513" s="1" t="n">
        <v>45512</v>
      </c>
      <c r="B45513">
        <f>TEXT(45512, "[$-0E0000]yyyy-mm-dd")</f>
        <v/>
      </c>
      <c r="C45513" t="inlineStr">
        <is>
          <t>2024-07-06</t>
        </is>
      </c>
    </row>
    <row r="45514">
      <c r="A45514" s="1" t="n">
        <v>45513</v>
      </c>
      <c r="B45514">
        <f>TEXT(45513, "[$-0E0000]yyyy-mm-dd")</f>
        <v/>
      </c>
      <c r="C45514" t="inlineStr">
        <is>
          <t>2024-07-07</t>
        </is>
      </c>
    </row>
    <row r="45515">
      <c r="A45515" s="1" t="n">
        <v>45514</v>
      </c>
      <c r="B45515">
        <f>TEXT(45514, "[$-0E0000]yyyy-mm-dd")</f>
        <v/>
      </c>
      <c r="C45515" t="inlineStr">
        <is>
          <t>2024-07-08</t>
        </is>
      </c>
    </row>
    <row r="45516">
      <c r="A45516" s="1" t="n">
        <v>45515</v>
      </c>
      <c r="B45516">
        <f>TEXT(45515, "[$-0E0000]yyyy-mm-dd")</f>
        <v/>
      </c>
      <c r="C45516" t="inlineStr">
        <is>
          <t>2024-07-09</t>
        </is>
      </c>
    </row>
    <row r="45517">
      <c r="A45517" s="1" t="n">
        <v>45516</v>
      </c>
      <c r="B45517">
        <f>TEXT(45516, "[$-0E0000]yyyy-mm-dd")</f>
        <v/>
      </c>
      <c r="C45517" t="inlineStr">
        <is>
          <t>2024-07-10</t>
        </is>
      </c>
    </row>
    <row r="45518">
      <c r="A45518" s="1" t="n">
        <v>45517</v>
      </c>
      <c r="B45518">
        <f>TEXT(45517, "[$-0E0000]yyyy-mm-dd")</f>
        <v/>
      </c>
      <c r="C45518" t="inlineStr">
        <is>
          <t>2024-07-11</t>
        </is>
      </c>
    </row>
    <row r="45519">
      <c r="A45519" s="1" t="n">
        <v>45518</v>
      </c>
      <c r="B45519">
        <f>TEXT(45518, "[$-0E0000]yyyy-mm-dd")</f>
        <v/>
      </c>
      <c r="C45519" t="inlineStr">
        <is>
          <t>2024-07-12</t>
        </is>
      </c>
    </row>
    <row r="45520">
      <c r="A45520" s="1" t="n">
        <v>45519</v>
      </c>
      <c r="B45520">
        <f>TEXT(45519, "[$-0E0000]yyyy-mm-dd")</f>
        <v/>
      </c>
      <c r="C45520" t="inlineStr">
        <is>
          <t>2024-07-13</t>
        </is>
      </c>
    </row>
    <row r="45521">
      <c r="A45521" s="1" t="n">
        <v>45520</v>
      </c>
      <c r="B45521">
        <f>TEXT(45520, "[$-0E0000]yyyy-mm-dd")</f>
        <v/>
      </c>
      <c r="C45521" t="inlineStr">
        <is>
          <t>2024-07-14</t>
        </is>
      </c>
    </row>
    <row r="45522">
      <c r="A45522" s="1" t="n">
        <v>45521</v>
      </c>
      <c r="B45522">
        <f>TEXT(45521, "[$-0E0000]yyyy-mm-dd")</f>
        <v/>
      </c>
      <c r="C45522" t="inlineStr">
        <is>
          <t>2024-07-15</t>
        </is>
      </c>
    </row>
    <row r="45523">
      <c r="A45523" s="1" t="n">
        <v>45522</v>
      </c>
      <c r="B45523">
        <f>TEXT(45522, "[$-0E0000]yyyy-mm-dd")</f>
        <v/>
      </c>
      <c r="C45523" t="inlineStr">
        <is>
          <t>2024-07-16</t>
        </is>
      </c>
    </row>
    <row r="45524">
      <c r="A45524" s="1" t="n">
        <v>45523</v>
      </c>
      <c r="B45524">
        <f>TEXT(45523, "[$-0E0000]yyyy-mm-dd")</f>
        <v/>
      </c>
      <c r="C45524" t="inlineStr">
        <is>
          <t>2024-07-17</t>
        </is>
      </c>
    </row>
    <row r="45525">
      <c r="A45525" s="1" t="n">
        <v>45524</v>
      </c>
      <c r="B45525">
        <f>TEXT(45524, "[$-0E0000]yyyy-mm-dd")</f>
        <v/>
      </c>
      <c r="C45525" t="inlineStr">
        <is>
          <t>2024-07-18</t>
        </is>
      </c>
    </row>
    <row r="45526">
      <c r="A45526" s="1" t="n">
        <v>45525</v>
      </c>
      <c r="B45526">
        <f>TEXT(45525, "[$-0E0000]yyyy-mm-dd")</f>
        <v/>
      </c>
      <c r="C45526" t="inlineStr">
        <is>
          <t>2024-07-19</t>
        </is>
      </c>
    </row>
    <row r="45527">
      <c r="A45527" s="1" t="n">
        <v>45526</v>
      </c>
      <c r="B45527">
        <f>TEXT(45526, "[$-0E0000]yyyy-mm-dd")</f>
        <v/>
      </c>
      <c r="C45527" t="inlineStr">
        <is>
          <t>2024-07-20</t>
        </is>
      </c>
    </row>
    <row r="45528">
      <c r="A45528" s="1" t="n">
        <v>45527</v>
      </c>
      <c r="B45528">
        <f>TEXT(45527, "[$-0E0000]yyyy-mm-dd")</f>
        <v/>
      </c>
      <c r="C45528" t="inlineStr">
        <is>
          <t>2024-07-21</t>
        </is>
      </c>
    </row>
    <row r="45529">
      <c r="A45529" s="1" t="n">
        <v>45528</v>
      </c>
      <c r="B45529">
        <f>TEXT(45528, "[$-0E0000]yyyy-mm-dd")</f>
        <v/>
      </c>
      <c r="C45529" t="inlineStr">
        <is>
          <t>2024-07-22</t>
        </is>
      </c>
    </row>
    <row r="45530">
      <c r="A45530" s="1" t="n">
        <v>45529</v>
      </c>
      <c r="B45530">
        <f>TEXT(45529, "[$-0E0000]yyyy-mm-dd")</f>
        <v/>
      </c>
      <c r="C45530" t="inlineStr">
        <is>
          <t>2024-07-23</t>
        </is>
      </c>
    </row>
    <row r="45531">
      <c r="A45531" s="1" t="n">
        <v>45530</v>
      </c>
      <c r="B45531">
        <f>TEXT(45530, "[$-0E0000]yyyy-mm-dd")</f>
        <v/>
      </c>
      <c r="C45531" t="inlineStr">
        <is>
          <t>2024-07-24</t>
        </is>
      </c>
    </row>
    <row r="45532">
      <c r="A45532" s="1" t="n">
        <v>45531</v>
      </c>
      <c r="B45532">
        <f>TEXT(45531, "[$-0E0000]yyyy-mm-dd")</f>
        <v/>
      </c>
      <c r="C45532" t="inlineStr">
        <is>
          <t>2024-07-25</t>
        </is>
      </c>
    </row>
    <row r="45533">
      <c r="A45533" s="1" t="n">
        <v>45532</v>
      </c>
      <c r="B45533">
        <f>TEXT(45532, "[$-0E0000]yyyy-mm-dd")</f>
        <v/>
      </c>
      <c r="C45533" t="inlineStr">
        <is>
          <t>2024-07-26</t>
        </is>
      </c>
    </row>
    <row r="45534">
      <c r="A45534" s="1" t="n">
        <v>45533</v>
      </c>
      <c r="B45534">
        <f>TEXT(45533, "[$-0E0000]yyyy-mm-dd")</f>
        <v/>
      </c>
      <c r="C45534" t="inlineStr">
        <is>
          <t>2024-07-27</t>
        </is>
      </c>
    </row>
    <row r="45535">
      <c r="A45535" s="1" t="n">
        <v>45534</v>
      </c>
      <c r="B45535">
        <f>TEXT(45534, "[$-0E0000]yyyy-mm-dd")</f>
        <v/>
      </c>
      <c r="C45535" t="inlineStr">
        <is>
          <t>2024-07-28</t>
        </is>
      </c>
    </row>
    <row r="45536">
      <c r="A45536" s="1" t="n">
        <v>45535</v>
      </c>
      <c r="B45536">
        <f>TEXT(45535, "[$-0E0000]yyyy-mm-dd")</f>
        <v/>
      </c>
      <c r="C45536" t="inlineStr">
        <is>
          <t>2024-07-29</t>
        </is>
      </c>
    </row>
    <row r="45537">
      <c r="A45537" s="1" t="n">
        <v>45536</v>
      </c>
      <c r="B45537">
        <f>TEXT(45536, "[$-0E0000]yyyy-mm-dd")</f>
        <v/>
      </c>
      <c r="C45537" t="inlineStr">
        <is>
          <t>2024-07-30</t>
        </is>
      </c>
    </row>
    <row r="45538">
      <c r="A45538" s="1" t="n">
        <v>45537</v>
      </c>
      <c r="B45538">
        <f>TEXT(45537, "[$-0E0000]yyyy-mm-dd")</f>
        <v/>
      </c>
      <c r="C45538" t="inlineStr">
        <is>
          <t>2024-08-01</t>
        </is>
      </c>
    </row>
    <row r="45539">
      <c r="A45539" s="1" t="n">
        <v>45538</v>
      </c>
      <c r="B45539">
        <f>TEXT(45538, "[$-0E0000]yyyy-mm-dd")</f>
        <v/>
      </c>
      <c r="C45539" t="inlineStr">
        <is>
          <t>2024-08-02</t>
        </is>
      </c>
    </row>
    <row r="45540">
      <c r="A45540" s="1" t="n">
        <v>45539</v>
      </c>
      <c r="B45540">
        <f>TEXT(45539, "[$-0E0000]yyyy-mm-dd")</f>
        <v/>
      </c>
      <c r="C45540" t="inlineStr">
        <is>
          <t>2024-08-03</t>
        </is>
      </c>
    </row>
    <row r="45541">
      <c r="A45541" s="1" t="n">
        <v>45540</v>
      </c>
      <c r="B45541">
        <f>TEXT(45540, "[$-0E0000]yyyy-mm-dd")</f>
        <v/>
      </c>
      <c r="C45541" t="inlineStr">
        <is>
          <t>2024-08-04</t>
        </is>
      </c>
    </row>
    <row r="45542">
      <c r="A45542" s="1" t="n">
        <v>45541</v>
      </c>
      <c r="B45542">
        <f>TEXT(45541, "[$-0E0000]yyyy-mm-dd")</f>
        <v/>
      </c>
      <c r="C45542" t="inlineStr">
        <is>
          <t>2024-08-05</t>
        </is>
      </c>
    </row>
    <row r="45543">
      <c r="A45543" s="1" t="n">
        <v>45542</v>
      </c>
      <c r="B45543">
        <f>TEXT(45542, "[$-0E0000]yyyy-mm-dd")</f>
        <v/>
      </c>
      <c r="C45543" t="inlineStr">
        <is>
          <t>2024-08-06</t>
        </is>
      </c>
    </row>
    <row r="45544">
      <c r="A45544" s="1" t="n">
        <v>45543</v>
      </c>
      <c r="B45544">
        <f>TEXT(45543, "[$-0E0000]yyyy-mm-dd")</f>
        <v/>
      </c>
      <c r="C45544" t="inlineStr">
        <is>
          <t>2024-08-07</t>
        </is>
      </c>
    </row>
    <row r="45545">
      <c r="A45545" s="1" t="n">
        <v>45544</v>
      </c>
      <c r="B45545">
        <f>TEXT(45544, "[$-0E0000]yyyy-mm-dd")</f>
        <v/>
      </c>
      <c r="C45545" t="inlineStr">
        <is>
          <t>2024-08-08</t>
        </is>
      </c>
    </row>
    <row r="45546">
      <c r="A45546" s="1" t="n">
        <v>45545</v>
      </c>
      <c r="B45546">
        <f>TEXT(45545, "[$-0E0000]yyyy-mm-dd")</f>
        <v/>
      </c>
      <c r="C45546" t="inlineStr">
        <is>
          <t>2024-08-09</t>
        </is>
      </c>
    </row>
    <row r="45547">
      <c r="A45547" s="1" t="n">
        <v>45546</v>
      </c>
      <c r="B45547">
        <f>TEXT(45546, "[$-0E0000]yyyy-mm-dd")</f>
        <v/>
      </c>
      <c r="C45547" t="inlineStr">
        <is>
          <t>2024-08-10</t>
        </is>
      </c>
    </row>
    <row r="45548">
      <c r="A45548" s="1" t="n">
        <v>45547</v>
      </c>
      <c r="B45548">
        <f>TEXT(45547, "[$-0E0000]yyyy-mm-dd")</f>
        <v/>
      </c>
      <c r="C45548" t="inlineStr">
        <is>
          <t>2024-08-11</t>
        </is>
      </c>
    </row>
    <row r="45549">
      <c r="A45549" s="1" t="n">
        <v>45548</v>
      </c>
      <c r="B45549">
        <f>TEXT(45548, "[$-0E0000]yyyy-mm-dd")</f>
        <v/>
      </c>
      <c r="C45549" t="inlineStr">
        <is>
          <t>2024-08-12</t>
        </is>
      </c>
    </row>
    <row r="45550">
      <c r="A45550" s="1" t="n">
        <v>45549</v>
      </c>
      <c r="B45550">
        <f>TEXT(45549, "[$-0E0000]yyyy-mm-dd")</f>
        <v/>
      </c>
      <c r="C45550" t="inlineStr">
        <is>
          <t>2024-08-13</t>
        </is>
      </c>
    </row>
    <row r="45551">
      <c r="A45551" s="1" t="n">
        <v>45550</v>
      </c>
      <c r="B45551">
        <f>TEXT(45550, "[$-0E0000]yyyy-mm-dd")</f>
        <v/>
      </c>
      <c r="C45551" t="inlineStr">
        <is>
          <t>2024-08-14</t>
        </is>
      </c>
    </row>
    <row r="45552">
      <c r="A45552" s="1" t="n">
        <v>45551</v>
      </c>
      <c r="B45552">
        <f>TEXT(45551, "[$-0E0000]yyyy-mm-dd")</f>
        <v/>
      </c>
      <c r="C45552" t="inlineStr">
        <is>
          <t>2024-08-15</t>
        </is>
      </c>
    </row>
    <row r="45553">
      <c r="A45553" s="1" t="n">
        <v>45552</v>
      </c>
      <c r="B45553">
        <f>TEXT(45552, "[$-0E0000]yyyy-mm-dd")</f>
        <v/>
      </c>
      <c r="C45553" t="inlineStr">
        <is>
          <t>2024-08-16</t>
        </is>
      </c>
    </row>
    <row r="45554">
      <c r="A45554" s="1" t="n">
        <v>45553</v>
      </c>
      <c r="B45554">
        <f>TEXT(45553, "[$-0E0000]yyyy-mm-dd")</f>
        <v/>
      </c>
      <c r="C45554" t="inlineStr">
        <is>
          <t>2024-08-17</t>
        </is>
      </c>
    </row>
    <row r="45555">
      <c r="A45555" s="1" t="n">
        <v>45554</v>
      </c>
      <c r="B45555">
        <f>TEXT(45554, "[$-0E0000]yyyy-mm-dd")</f>
        <v/>
      </c>
      <c r="C45555" t="inlineStr">
        <is>
          <t>2024-08-18</t>
        </is>
      </c>
    </row>
    <row r="45556">
      <c r="A45556" s="1" t="n">
        <v>45555</v>
      </c>
      <c r="B45556">
        <f>TEXT(45555, "[$-0E0000]yyyy-mm-dd")</f>
        <v/>
      </c>
      <c r="C45556" t="inlineStr">
        <is>
          <t>2024-08-19</t>
        </is>
      </c>
    </row>
    <row r="45557">
      <c r="A45557" s="1" t="n">
        <v>45556</v>
      </c>
      <c r="B45557">
        <f>TEXT(45556, "[$-0E0000]yyyy-mm-dd")</f>
        <v/>
      </c>
      <c r="C45557" t="inlineStr">
        <is>
          <t>2024-08-20</t>
        </is>
      </c>
    </row>
    <row r="45558">
      <c r="A45558" s="1" t="n">
        <v>45557</v>
      </c>
      <c r="B45558">
        <f>TEXT(45557, "[$-0E0000]yyyy-mm-dd")</f>
        <v/>
      </c>
      <c r="C45558" t="inlineStr">
        <is>
          <t>2024-08-21</t>
        </is>
      </c>
    </row>
    <row r="45559">
      <c r="A45559" s="1" t="n">
        <v>45558</v>
      </c>
      <c r="B45559">
        <f>TEXT(45558, "[$-0E0000]yyyy-mm-dd")</f>
        <v/>
      </c>
      <c r="C45559" t="inlineStr">
        <is>
          <t>2024-08-22</t>
        </is>
      </c>
    </row>
    <row r="45560">
      <c r="A45560" s="1" t="n">
        <v>45559</v>
      </c>
      <c r="B45560">
        <f>TEXT(45559, "[$-0E0000]yyyy-mm-dd")</f>
        <v/>
      </c>
      <c r="C45560" t="inlineStr">
        <is>
          <t>2024-08-23</t>
        </is>
      </c>
    </row>
    <row r="45561">
      <c r="A45561" s="1" t="n">
        <v>45560</v>
      </c>
      <c r="B45561">
        <f>TEXT(45560, "[$-0E0000]yyyy-mm-dd")</f>
        <v/>
      </c>
      <c r="C45561" t="inlineStr">
        <is>
          <t>2024-08-24</t>
        </is>
      </c>
    </row>
    <row r="45562">
      <c r="A45562" s="1" t="n">
        <v>45561</v>
      </c>
      <c r="B45562">
        <f>TEXT(45561, "[$-0E0000]yyyy-mm-dd")</f>
        <v/>
      </c>
      <c r="C45562" t="inlineStr">
        <is>
          <t>2024-08-25</t>
        </is>
      </c>
    </row>
    <row r="45563">
      <c r="A45563" s="1" t="n">
        <v>45562</v>
      </c>
      <c r="B45563">
        <f>TEXT(45562, "[$-0E0000]yyyy-mm-dd")</f>
        <v/>
      </c>
      <c r="C45563" t="inlineStr">
        <is>
          <t>2024-08-26</t>
        </is>
      </c>
    </row>
    <row r="45564">
      <c r="A45564" s="1" t="n">
        <v>45563</v>
      </c>
      <c r="B45564">
        <f>TEXT(45563, "[$-0E0000]yyyy-mm-dd")</f>
        <v/>
      </c>
      <c r="C45564" t="inlineStr">
        <is>
          <t>2024-08-27</t>
        </is>
      </c>
    </row>
    <row r="45565">
      <c r="A45565" s="1" t="n">
        <v>45564</v>
      </c>
      <c r="B45565">
        <f>TEXT(45564, "[$-0E0000]yyyy-mm-dd")</f>
        <v/>
      </c>
      <c r="C45565" t="inlineStr">
        <is>
          <t>2024-08-28</t>
        </is>
      </c>
    </row>
    <row r="45566">
      <c r="A45566" s="1" t="n">
        <v>45565</v>
      </c>
      <c r="B45566">
        <f>TEXT(45565, "[$-0E0000]yyyy-mm-dd")</f>
        <v/>
      </c>
      <c r="C45566" t="inlineStr">
        <is>
          <t>2024-08-29</t>
        </is>
      </c>
    </row>
    <row r="45567">
      <c r="A45567" s="1" t="n">
        <v>45566</v>
      </c>
      <c r="B45567">
        <f>TEXT(45566, "[$-0E0000]yyyy-mm-dd")</f>
        <v/>
      </c>
      <c r="C45567" t="inlineStr">
        <is>
          <t>2024-08-30</t>
        </is>
      </c>
    </row>
    <row r="45568">
      <c r="A45568" s="1" t="n">
        <v>45567</v>
      </c>
      <c r="B45568">
        <f>TEXT(45567, "[$-0E0000]yyyy-mm-dd")</f>
        <v/>
      </c>
      <c r="C45568" t="inlineStr">
        <is>
          <t>2024-09-01</t>
        </is>
      </c>
    </row>
    <row r="45569">
      <c r="A45569" s="1" t="n">
        <v>45568</v>
      </c>
      <c r="B45569">
        <f>TEXT(45568, "[$-0E0000]yyyy-mm-dd")</f>
        <v/>
      </c>
      <c r="C45569" t="inlineStr">
        <is>
          <t>2024-09-02</t>
        </is>
      </c>
    </row>
    <row r="45570">
      <c r="A45570" s="1" t="n">
        <v>45569</v>
      </c>
      <c r="B45570">
        <f>TEXT(45569, "[$-0E0000]yyyy-mm-dd")</f>
        <v/>
      </c>
      <c r="C45570" t="inlineStr">
        <is>
          <t>2024-09-03</t>
        </is>
      </c>
    </row>
    <row r="45571">
      <c r="A45571" s="1" t="n">
        <v>45570</v>
      </c>
      <c r="B45571">
        <f>TEXT(45570, "[$-0E0000]yyyy-mm-dd")</f>
        <v/>
      </c>
      <c r="C45571" t="inlineStr">
        <is>
          <t>2024-09-04</t>
        </is>
      </c>
    </row>
    <row r="45572">
      <c r="A45572" s="1" t="n">
        <v>45571</v>
      </c>
      <c r="B45572">
        <f>TEXT(45571, "[$-0E0000]yyyy-mm-dd")</f>
        <v/>
      </c>
      <c r="C45572" t="inlineStr">
        <is>
          <t>2024-09-05</t>
        </is>
      </c>
    </row>
    <row r="45573">
      <c r="A45573" s="1" t="n">
        <v>45572</v>
      </c>
      <c r="B45573">
        <f>TEXT(45572, "[$-0E0000]yyyy-mm-dd")</f>
        <v/>
      </c>
      <c r="C45573" t="inlineStr">
        <is>
          <t>2024-09-06</t>
        </is>
      </c>
    </row>
    <row r="45574">
      <c r="A45574" s="1" t="n">
        <v>45573</v>
      </c>
      <c r="B45574">
        <f>TEXT(45573, "[$-0E0000]yyyy-mm-dd")</f>
        <v/>
      </c>
      <c r="C45574" t="inlineStr">
        <is>
          <t>2024-09-07</t>
        </is>
      </c>
    </row>
    <row r="45575">
      <c r="A45575" s="1" t="n">
        <v>45574</v>
      </c>
      <c r="B45575">
        <f>TEXT(45574, "[$-0E0000]yyyy-mm-dd")</f>
        <v/>
      </c>
      <c r="C45575" t="inlineStr">
        <is>
          <t>2024-09-08</t>
        </is>
      </c>
    </row>
    <row r="45576">
      <c r="A45576" s="1" t="n">
        <v>45575</v>
      </c>
      <c r="B45576">
        <f>TEXT(45575, "[$-0E0000]yyyy-mm-dd")</f>
        <v/>
      </c>
      <c r="C45576" t="inlineStr">
        <is>
          <t>2024-09-09</t>
        </is>
      </c>
    </row>
    <row r="45577">
      <c r="A45577" s="1" t="n">
        <v>45576</v>
      </c>
      <c r="B45577">
        <f>TEXT(45576, "[$-0E0000]yyyy-mm-dd")</f>
        <v/>
      </c>
      <c r="C45577" t="inlineStr">
        <is>
          <t>2024-09-10</t>
        </is>
      </c>
    </row>
    <row r="45578">
      <c r="A45578" s="1" t="n">
        <v>45577</v>
      </c>
      <c r="B45578">
        <f>TEXT(45577, "[$-0E0000]yyyy-mm-dd")</f>
        <v/>
      </c>
      <c r="C45578" t="inlineStr">
        <is>
          <t>2024-09-11</t>
        </is>
      </c>
    </row>
    <row r="45579">
      <c r="A45579" s="1" t="n">
        <v>45578</v>
      </c>
      <c r="B45579">
        <f>TEXT(45578, "[$-0E0000]yyyy-mm-dd")</f>
        <v/>
      </c>
      <c r="C45579" t="inlineStr">
        <is>
          <t>2024-09-12</t>
        </is>
      </c>
    </row>
    <row r="45580">
      <c r="A45580" s="1" t="n">
        <v>45579</v>
      </c>
      <c r="B45580">
        <f>TEXT(45579, "[$-0E0000]yyyy-mm-dd")</f>
        <v/>
      </c>
      <c r="C45580" t="inlineStr">
        <is>
          <t>2024-09-13</t>
        </is>
      </c>
    </row>
    <row r="45581">
      <c r="A45581" s="1" t="n">
        <v>45580</v>
      </c>
      <c r="B45581">
        <f>TEXT(45580, "[$-0E0000]yyyy-mm-dd")</f>
        <v/>
      </c>
      <c r="C45581" t="inlineStr">
        <is>
          <t>2024-09-14</t>
        </is>
      </c>
    </row>
    <row r="45582">
      <c r="A45582" s="1" t="n">
        <v>45581</v>
      </c>
      <c r="B45582">
        <f>TEXT(45581, "[$-0E0000]yyyy-mm-dd")</f>
        <v/>
      </c>
      <c r="C45582" t="inlineStr">
        <is>
          <t>2024-09-15</t>
        </is>
      </c>
    </row>
    <row r="45583">
      <c r="A45583" s="1" t="n">
        <v>45582</v>
      </c>
      <c r="B45583">
        <f>TEXT(45582, "[$-0E0000]yyyy-mm-dd")</f>
        <v/>
      </c>
      <c r="C45583" t="inlineStr">
        <is>
          <t>2024-09-16</t>
        </is>
      </c>
    </row>
    <row r="45584">
      <c r="A45584" s="1" t="n">
        <v>45583</v>
      </c>
      <c r="B45584">
        <f>TEXT(45583, "[$-0E0000]yyyy-mm-dd")</f>
        <v/>
      </c>
      <c r="C45584" t="inlineStr">
        <is>
          <t>2024-09-17</t>
        </is>
      </c>
    </row>
    <row r="45585">
      <c r="A45585" s="1" t="n">
        <v>45584</v>
      </c>
      <c r="B45585">
        <f>TEXT(45584, "[$-0E0000]yyyy-mm-dd")</f>
        <v/>
      </c>
      <c r="C45585" t="inlineStr">
        <is>
          <t>2024-09-18</t>
        </is>
      </c>
    </row>
    <row r="45586">
      <c r="A45586" s="1" t="n">
        <v>45585</v>
      </c>
      <c r="B45586">
        <f>TEXT(45585, "[$-0E0000]yyyy-mm-dd")</f>
        <v/>
      </c>
      <c r="C45586" t="inlineStr">
        <is>
          <t>2024-09-19</t>
        </is>
      </c>
    </row>
    <row r="45587">
      <c r="A45587" s="1" t="n">
        <v>45586</v>
      </c>
      <c r="B45587">
        <f>TEXT(45586, "[$-0E0000]yyyy-mm-dd")</f>
        <v/>
      </c>
      <c r="C45587" t="inlineStr">
        <is>
          <t>2024-09-20</t>
        </is>
      </c>
    </row>
    <row r="45588">
      <c r="A45588" s="1" t="n">
        <v>45587</v>
      </c>
      <c r="B45588">
        <f>TEXT(45587, "[$-0E0000]yyyy-mm-dd")</f>
        <v/>
      </c>
      <c r="C45588" t="inlineStr">
        <is>
          <t>2024-09-21</t>
        </is>
      </c>
    </row>
    <row r="45589">
      <c r="A45589" s="1" t="n">
        <v>45588</v>
      </c>
      <c r="B45589">
        <f>TEXT(45588, "[$-0E0000]yyyy-mm-dd")</f>
        <v/>
      </c>
      <c r="C45589" t="inlineStr">
        <is>
          <t>2024-09-22</t>
        </is>
      </c>
    </row>
    <row r="45590">
      <c r="A45590" s="1" t="n">
        <v>45589</v>
      </c>
      <c r="B45590">
        <f>TEXT(45589, "[$-0E0000]yyyy-mm-dd")</f>
        <v/>
      </c>
      <c r="C45590" t="inlineStr">
        <is>
          <t>2024-09-23</t>
        </is>
      </c>
    </row>
    <row r="45591">
      <c r="A45591" s="1" t="n">
        <v>45590</v>
      </c>
      <c r="B45591">
        <f>TEXT(45590, "[$-0E0000]yyyy-mm-dd")</f>
        <v/>
      </c>
      <c r="C45591" t="inlineStr">
        <is>
          <t>2024-09-24</t>
        </is>
      </c>
    </row>
    <row r="45592">
      <c r="A45592" s="1" t="n">
        <v>45591</v>
      </c>
      <c r="B45592">
        <f>TEXT(45591, "[$-0E0000]yyyy-mm-dd")</f>
        <v/>
      </c>
      <c r="C45592" t="inlineStr">
        <is>
          <t>2024-09-25</t>
        </is>
      </c>
    </row>
    <row r="45593">
      <c r="A45593" s="1" t="n">
        <v>45592</v>
      </c>
      <c r="B45593">
        <f>TEXT(45592, "[$-0E0000]yyyy-mm-dd")</f>
        <v/>
      </c>
      <c r="C45593" t="inlineStr">
        <is>
          <t>2024-09-26</t>
        </is>
      </c>
    </row>
    <row r="45594">
      <c r="A45594" s="1" t="n">
        <v>45593</v>
      </c>
      <c r="B45594">
        <f>TEXT(45593, "[$-0E0000]yyyy-mm-dd")</f>
        <v/>
      </c>
      <c r="C45594" t="inlineStr">
        <is>
          <t>2024-09-27</t>
        </is>
      </c>
    </row>
    <row r="45595">
      <c r="A45595" s="1" t="n">
        <v>45594</v>
      </c>
      <c r="B45595">
        <f>TEXT(45594, "[$-0E0000]yyyy-mm-dd")</f>
        <v/>
      </c>
      <c r="C45595" t="inlineStr">
        <is>
          <t>2024-09-28</t>
        </is>
      </c>
    </row>
    <row r="45596">
      <c r="A45596" s="1" t="n">
        <v>45595</v>
      </c>
      <c r="B45596">
        <f>TEXT(45595, "[$-0E0000]yyyy-mm-dd")</f>
        <v/>
      </c>
      <c r="C45596" t="inlineStr">
        <is>
          <t>2024-09-29</t>
        </is>
      </c>
    </row>
    <row r="45597">
      <c r="A45597" s="1" t="n">
        <v>45596</v>
      </c>
      <c r="B45597">
        <f>TEXT(45596, "[$-0E0000]yyyy-mm-dd")</f>
        <v/>
      </c>
      <c r="C45597" t="inlineStr">
        <is>
          <t>2024-10-01</t>
        </is>
      </c>
    </row>
    <row r="45598">
      <c r="A45598" s="1" t="n">
        <v>45597</v>
      </c>
      <c r="B45598">
        <f>TEXT(45597, "[$-0E0000]yyyy-mm-dd")</f>
        <v/>
      </c>
      <c r="C45598" t="inlineStr">
        <is>
          <t>2024-10-02</t>
        </is>
      </c>
    </row>
    <row r="45599">
      <c r="A45599" s="1" t="n">
        <v>45598</v>
      </c>
      <c r="B45599">
        <f>TEXT(45598, "[$-0E0000]yyyy-mm-dd")</f>
        <v/>
      </c>
      <c r="C45599" t="inlineStr">
        <is>
          <t>2024-10-03</t>
        </is>
      </c>
    </row>
    <row r="45600">
      <c r="A45600" s="1" t="n">
        <v>45599</v>
      </c>
      <c r="B45600">
        <f>TEXT(45599, "[$-0E0000]yyyy-mm-dd")</f>
        <v/>
      </c>
      <c r="C45600" t="inlineStr">
        <is>
          <t>2024-10-04</t>
        </is>
      </c>
    </row>
    <row r="45601">
      <c r="A45601" s="1" t="n">
        <v>45600</v>
      </c>
      <c r="B45601">
        <f>TEXT(45600, "[$-0E0000]yyyy-mm-dd")</f>
        <v/>
      </c>
      <c r="C45601" t="inlineStr">
        <is>
          <t>2024-10-05</t>
        </is>
      </c>
    </row>
    <row r="45602">
      <c r="A45602" s="1" t="n">
        <v>45601</v>
      </c>
      <c r="B45602">
        <f>TEXT(45601, "[$-0E0000]yyyy-mm-dd")</f>
        <v/>
      </c>
      <c r="C45602" t="inlineStr">
        <is>
          <t>2024-10-06</t>
        </is>
      </c>
    </row>
    <row r="45603">
      <c r="A45603" s="1" t="n">
        <v>45602</v>
      </c>
      <c r="B45603">
        <f>TEXT(45602, "[$-0E0000]yyyy-mm-dd")</f>
        <v/>
      </c>
      <c r="C45603" t="inlineStr">
        <is>
          <t>2024-10-07</t>
        </is>
      </c>
    </row>
    <row r="45604">
      <c r="A45604" s="1" t="n">
        <v>45603</v>
      </c>
      <c r="B45604">
        <f>TEXT(45603, "[$-0E0000]yyyy-mm-dd")</f>
        <v/>
      </c>
      <c r="C45604" t="inlineStr">
        <is>
          <t>2024-10-08</t>
        </is>
      </c>
    </row>
    <row r="45605">
      <c r="A45605" s="1" t="n">
        <v>45604</v>
      </c>
      <c r="B45605">
        <f>TEXT(45604, "[$-0E0000]yyyy-mm-dd")</f>
        <v/>
      </c>
      <c r="C45605" t="inlineStr">
        <is>
          <t>2024-10-09</t>
        </is>
      </c>
    </row>
    <row r="45606">
      <c r="A45606" s="1" t="n">
        <v>45605</v>
      </c>
      <c r="B45606">
        <f>TEXT(45605, "[$-0E0000]yyyy-mm-dd")</f>
        <v/>
      </c>
      <c r="C45606" t="inlineStr">
        <is>
          <t>2024-10-10</t>
        </is>
      </c>
    </row>
    <row r="45607">
      <c r="A45607" s="1" t="n">
        <v>45606</v>
      </c>
      <c r="B45607">
        <f>TEXT(45606, "[$-0E0000]yyyy-mm-dd")</f>
        <v/>
      </c>
      <c r="C45607" t="inlineStr">
        <is>
          <t>2024-10-11</t>
        </is>
      </c>
    </row>
    <row r="45608">
      <c r="A45608" s="1" t="n">
        <v>45607</v>
      </c>
      <c r="B45608">
        <f>TEXT(45607, "[$-0E0000]yyyy-mm-dd")</f>
        <v/>
      </c>
      <c r="C45608" t="inlineStr">
        <is>
          <t>2024-10-12</t>
        </is>
      </c>
    </row>
    <row r="45609">
      <c r="A45609" s="1" t="n">
        <v>45608</v>
      </c>
      <c r="B45609">
        <f>TEXT(45608, "[$-0E0000]yyyy-mm-dd")</f>
        <v/>
      </c>
      <c r="C45609" t="inlineStr">
        <is>
          <t>2024-10-13</t>
        </is>
      </c>
    </row>
    <row r="45610">
      <c r="A45610" s="1" t="n">
        <v>45609</v>
      </c>
      <c r="B45610">
        <f>TEXT(45609, "[$-0E0000]yyyy-mm-dd")</f>
        <v/>
      </c>
      <c r="C45610" t="inlineStr">
        <is>
          <t>2024-10-14</t>
        </is>
      </c>
    </row>
    <row r="45611">
      <c r="A45611" s="1" t="n">
        <v>45610</v>
      </c>
      <c r="B45611">
        <f>TEXT(45610, "[$-0E0000]yyyy-mm-dd")</f>
        <v/>
      </c>
      <c r="C45611" t="inlineStr">
        <is>
          <t>2024-10-15</t>
        </is>
      </c>
    </row>
    <row r="45612">
      <c r="A45612" s="1" t="n">
        <v>45611</v>
      </c>
      <c r="B45612">
        <f>TEXT(45611, "[$-0E0000]yyyy-mm-dd")</f>
        <v/>
      </c>
      <c r="C45612" t="inlineStr">
        <is>
          <t>2024-10-16</t>
        </is>
      </c>
    </row>
    <row r="45613">
      <c r="A45613" s="1" t="n">
        <v>45612</v>
      </c>
      <c r="B45613">
        <f>TEXT(45612, "[$-0E0000]yyyy-mm-dd")</f>
        <v/>
      </c>
      <c r="C45613" t="inlineStr">
        <is>
          <t>2024-10-17</t>
        </is>
      </c>
    </row>
    <row r="45614">
      <c r="A45614" s="1" t="n">
        <v>45613</v>
      </c>
      <c r="B45614">
        <f>TEXT(45613, "[$-0E0000]yyyy-mm-dd")</f>
        <v/>
      </c>
      <c r="C45614" t="inlineStr">
        <is>
          <t>2024-10-18</t>
        </is>
      </c>
    </row>
    <row r="45615">
      <c r="A45615" s="1" t="n">
        <v>45614</v>
      </c>
      <c r="B45615">
        <f>TEXT(45614, "[$-0E0000]yyyy-mm-dd")</f>
        <v/>
      </c>
      <c r="C45615" t="inlineStr">
        <is>
          <t>2024-10-19</t>
        </is>
      </c>
    </row>
    <row r="45616">
      <c r="A45616" s="1" t="n">
        <v>45615</v>
      </c>
      <c r="B45616">
        <f>TEXT(45615, "[$-0E0000]yyyy-mm-dd")</f>
        <v/>
      </c>
      <c r="C45616" t="inlineStr">
        <is>
          <t>2024-10-20</t>
        </is>
      </c>
    </row>
    <row r="45617">
      <c r="A45617" s="1" t="n">
        <v>45616</v>
      </c>
      <c r="B45617">
        <f>TEXT(45616, "[$-0E0000]yyyy-mm-dd")</f>
        <v/>
      </c>
      <c r="C45617" t="inlineStr">
        <is>
          <t>2024-10-21</t>
        </is>
      </c>
    </row>
    <row r="45618">
      <c r="A45618" s="1" t="n">
        <v>45617</v>
      </c>
      <c r="B45618">
        <f>TEXT(45617, "[$-0E0000]yyyy-mm-dd")</f>
        <v/>
      </c>
      <c r="C45618" t="inlineStr">
        <is>
          <t>2024-10-22</t>
        </is>
      </c>
    </row>
    <row r="45619">
      <c r="A45619" s="1" t="n">
        <v>45618</v>
      </c>
      <c r="B45619">
        <f>TEXT(45618, "[$-0E0000]yyyy-mm-dd")</f>
        <v/>
      </c>
      <c r="C45619" t="inlineStr">
        <is>
          <t>2024-10-23</t>
        </is>
      </c>
    </row>
    <row r="45620">
      <c r="A45620" s="1" t="n">
        <v>45619</v>
      </c>
      <c r="B45620">
        <f>TEXT(45619, "[$-0E0000]yyyy-mm-dd")</f>
        <v/>
      </c>
      <c r="C45620" t="inlineStr">
        <is>
          <t>2024-10-24</t>
        </is>
      </c>
    </row>
    <row r="45621">
      <c r="A45621" s="1" t="n">
        <v>45620</v>
      </c>
      <c r="B45621">
        <f>TEXT(45620, "[$-0E0000]yyyy-mm-dd")</f>
        <v/>
      </c>
      <c r="C45621" t="inlineStr">
        <is>
          <t>2024-10-25</t>
        </is>
      </c>
    </row>
    <row r="45622">
      <c r="A45622" s="1" t="n">
        <v>45621</v>
      </c>
      <c r="B45622">
        <f>TEXT(45621, "[$-0E0000]yyyy-mm-dd")</f>
        <v/>
      </c>
      <c r="C45622" t="inlineStr">
        <is>
          <t>2024-10-26</t>
        </is>
      </c>
    </row>
    <row r="45623">
      <c r="A45623" s="1" t="n">
        <v>45622</v>
      </c>
      <c r="B45623">
        <f>TEXT(45622, "[$-0E0000]yyyy-mm-dd")</f>
        <v/>
      </c>
      <c r="C45623" t="inlineStr">
        <is>
          <t>2024-10-27</t>
        </is>
      </c>
    </row>
    <row r="45624">
      <c r="A45624" s="1" t="n">
        <v>45623</v>
      </c>
      <c r="B45624">
        <f>TEXT(45623, "[$-0E0000]yyyy-mm-dd")</f>
        <v/>
      </c>
      <c r="C45624" t="inlineStr">
        <is>
          <t>2024-10-28</t>
        </is>
      </c>
    </row>
    <row r="45625">
      <c r="A45625" s="1" t="n">
        <v>45624</v>
      </c>
      <c r="B45625">
        <f>TEXT(45624, "[$-0E0000]yyyy-mm-dd")</f>
        <v/>
      </c>
      <c r="C45625" t="inlineStr">
        <is>
          <t>2024-10-29</t>
        </is>
      </c>
    </row>
    <row r="45626">
      <c r="A45626" s="1" t="n">
        <v>45625</v>
      </c>
      <c r="B45626">
        <f>TEXT(45625, "[$-0E0000]yyyy-mm-dd")</f>
        <v/>
      </c>
      <c r="C45626" t="inlineStr">
        <is>
          <t>2024-10-30</t>
        </is>
      </c>
    </row>
    <row r="45627">
      <c r="A45627" s="1" t="n">
        <v>45626</v>
      </c>
      <c r="B45627">
        <f>TEXT(45626, "[$-0E0000]yyyy-mm-dd")</f>
        <v/>
      </c>
      <c r="C45627" t="inlineStr">
        <is>
          <t>2024-11-01</t>
        </is>
      </c>
    </row>
    <row r="45628">
      <c r="A45628" s="1" t="n">
        <v>45627</v>
      </c>
      <c r="B45628">
        <f>TEXT(45627, "[$-0E0000]yyyy-mm-dd")</f>
        <v/>
      </c>
      <c r="C45628" t="inlineStr">
        <is>
          <t>2024-11-02</t>
        </is>
      </c>
    </row>
    <row r="45629">
      <c r="A45629" s="1" t="n">
        <v>45628</v>
      </c>
      <c r="B45629">
        <f>TEXT(45628, "[$-0E0000]yyyy-mm-dd")</f>
        <v/>
      </c>
      <c r="C45629" t="inlineStr">
        <is>
          <t>2024-11-03</t>
        </is>
      </c>
    </row>
    <row r="45630">
      <c r="A45630" s="1" t="n">
        <v>45629</v>
      </c>
      <c r="B45630">
        <f>TEXT(45629, "[$-0E0000]yyyy-mm-dd")</f>
        <v/>
      </c>
      <c r="C45630" t="inlineStr">
        <is>
          <t>2024-11-04</t>
        </is>
      </c>
    </row>
    <row r="45631">
      <c r="A45631" s="1" t="n">
        <v>45630</v>
      </c>
      <c r="B45631">
        <f>TEXT(45630, "[$-0E0000]yyyy-mm-dd")</f>
        <v/>
      </c>
      <c r="C45631" t="inlineStr">
        <is>
          <t>2024-11-05</t>
        </is>
      </c>
    </row>
    <row r="45632">
      <c r="A45632" s="1" t="n">
        <v>45631</v>
      </c>
      <c r="B45632">
        <f>TEXT(45631, "[$-0E0000]yyyy-mm-dd")</f>
        <v/>
      </c>
      <c r="C45632" t="inlineStr">
        <is>
          <t>2024-11-06</t>
        </is>
      </c>
    </row>
    <row r="45633">
      <c r="A45633" s="1" t="n">
        <v>45632</v>
      </c>
      <c r="B45633">
        <f>TEXT(45632, "[$-0E0000]yyyy-mm-dd")</f>
        <v/>
      </c>
      <c r="C45633" t="inlineStr">
        <is>
          <t>2024-11-07</t>
        </is>
      </c>
    </row>
    <row r="45634">
      <c r="A45634" s="1" t="n">
        <v>45633</v>
      </c>
      <c r="B45634">
        <f>TEXT(45633, "[$-0E0000]yyyy-mm-dd")</f>
        <v/>
      </c>
      <c r="C45634" t="inlineStr">
        <is>
          <t>2024-11-08</t>
        </is>
      </c>
    </row>
    <row r="45635">
      <c r="A45635" s="1" t="n">
        <v>45634</v>
      </c>
      <c r="B45635">
        <f>TEXT(45634, "[$-0E0000]yyyy-mm-dd")</f>
        <v/>
      </c>
      <c r="C45635" t="inlineStr">
        <is>
          <t>2024-11-09</t>
        </is>
      </c>
    </row>
    <row r="45636">
      <c r="A45636" s="1" t="n">
        <v>45635</v>
      </c>
      <c r="B45636">
        <f>TEXT(45635, "[$-0E0000]yyyy-mm-dd")</f>
        <v/>
      </c>
      <c r="C45636" t="inlineStr">
        <is>
          <t>2024-11-10</t>
        </is>
      </c>
    </row>
    <row r="45637">
      <c r="A45637" s="1" t="n">
        <v>45636</v>
      </c>
      <c r="B45637">
        <f>TEXT(45636, "[$-0E0000]yyyy-mm-dd")</f>
        <v/>
      </c>
      <c r="C45637" t="inlineStr">
        <is>
          <t>2024-11-11</t>
        </is>
      </c>
    </row>
    <row r="45638">
      <c r="A45638" s="1" t="n">
        <v>45637</v>
      </c>
      <c r="B45638">
        <f>TEXT(45637, "[$-0E0000]yyyy-mm-dd")</f>
        <v/>
      </c>
      <c r="C45638" t="inlineStr">
        <is>
          <t>2024-11-12</t>
        </is>
      </c>
    </row>
    <row r="45639">
      <c r="A45639" s="1" t="n">
        <v>45638</v>
      </c>
      <c r="B45639">
        <f>TEXT(45638, "[$-0E0000]yyyy-mm-dd")</f>
        <v/>
      </c>
      <c r="C45639" t="inlineStr">
        <is>
          <t>2024-11-13</t>
        </is>
      </c>
    </row>
    <row r="45640">
      <c r="A45640" s="1" t="n">
        <v>45639</v>
      </c>
      <c r="B45640">
        <f>TEXT(45639, "[$-0E0000]yyyy-mm-dd")</f>
        <v/>
      </c>
      <c r="C45640" t="inlineStr">
        <is>
          <t>2024-11-14</t>
        </is>
      </c>
    </row>
    <row r="45641">
      <c r="A45641" s="1" t="n">
        <v>45640</v>
      </c>
      <c r="B45641">
        <f>TEXT(45640, "[$-0E0000]yyyy-mm-dd")</f>
        <v/>
      </c>
      <c r="C45641" t="inlineStr">
        <is>
          <t>2024-11-15</t>
        </is>
      </c>
    </row>
    <row r="45642">
      <c r="A45642" s="1" t="n">
        <v>45641</v>
      </c>
      <c r="B45642">
        <f>TEXT(45641, "[$-0E0000]yyyy-mm-dd")</f>
        <v/>
      </c>
      <c r="C45642" t="inlineStr">
        <is>
          <t>2024-11-16</t>
        </is>
      </c>
    </row>
    <row r="45643">
      <c r="A45643" s="1" t="n">
        <v>45642</v>
      </c>
      <c r="B45643">
        <f>TEXT(45642, "[$-0E0000]yyyy-mm-dd")</f>
        <v/>
      </c>
      <c r="C45643" t="inlineStr">
        <is>
          <t>2024-11-17</t>
        </is>
      </c>
    </row>
    <row r="45644">
      <c r="A45644" s="1" t="n">
        <v>45643</v>
      </c>
      <c r="B45644">
        <f>TEXT(45643, "[$-0E0000]yyyy-mm-dd")</f>
        <v/>
      </c>
      <c r="C45644" t="inlineStr">
        <is>
          <t>2024-11-18</t>
        </is>
      </c>
    </row>
    <row r="45645">
      <c r="A45645" s="1" t="n">
        <v>45644</v>
      </c>
      <c r="B45645">
        <f>TEXT(45644, "[$-0E0000]yyyy-mm-dd")</f>
        <v/>
      </c>
      <c r="C45645" t="inlineStr">
        <is>
          <t>2024-11-19</t>
        </is>
      </c>
    </row>
    <row r="45646">
      <c r="A45646" s="1" t="n">
        <v>45645</v>
      </c>
      <c r="B45646">
        <f>TEXT(45645, "[$-0E0000]yyyy-mm-dd")</f>
        <v/>
      </c>
      <c r="C45646" t="inlineStr">
        <is>
          <t>2024-11-20</t>
        </is>
      </c>
    </row>
    <row r="45647">
      <c r="A45647" s="1" t="n">
        <v>45646</v>
      </c>
      <c r="B45647">
        <f>TEXT(45646, "[$-0E0000]yyyy-mm-dd")</f>
        <v/>
      </c>
      <c r="C45647" t="inlineStr">
        <is>
          <t>2024-11-21</t>
        </is>
      </c>
    </row>
    <row r="45648">
      <c r="A45648" s="1" t="n">
        <v>45647</v>
      </c>
      <c r="B45648">
        <f>TEXT(45647, "[$-0E0000]yyyy-mm-dd")</f>
        <v/>
      </c>
      <c r="C45648" t="inlineStr">
        <is>
          <t>2024-11-22</t>
        </is>
      </c>
    </row>
    <row r="45649">
      <c r="A45649" s="1" t="n">
        <v>45648</v>
      </c>
      <c r="B45649">
        <f>TEXT(45648, "[$-0E0000]yyyy-mm-dd")</f>
        <v/>
      </c>
      <c r="C45649" t="inlineStr">
        <is>
          <t>2024-11-23</t>
        </is>
      </c>
    </row>
    <row r="45650">
      <c r="A45650" s="1" t="n">
        <v>45649</v>
      </c>
      <c r="B45650">
        <f>TEXT(45649, "[$-0E0000]yyyy-mm-dd")</f>
        <v/>
      </c>
      <c r="C45650" t="inlineStr">
        <is>
          <t>2024-11-24</t>
        </is>
      </c>
    </row>
    <row r="45651">
      <c r="A45651" s="1" t="n">
        <v>45650</v>
      </c>
      <c r="B45651">
        <f>TEXT(45650, "[$-0E0000]yyyy-mm-dd")</f>
        <v/>
      </c>
      <c r="C45651" t="inlineStr">
        <is>
          <t>2024-11-25</t>
        </is>
      </c>
    </row>
    <row r="45652">
      <c r="A45652" s="1" t="n">
        <v>45651</v>
      </c>
      <c r="B45652">
        <f>TEXT(45651, "[$-0E0000]yyyy-mm-dd")</f>
        <v/>
      </c>
      <c r="C45652" t="inlineStr">
        <is>
          <t>2024-11-26</t>
        </is>
      </c>
    </row>
    <row r="45653">
      <c r="A45653" s="1" t="n">
        <v>45652</v>
      </c>
      <c r="B45653">
        <f>TEXT(45652, "[$-0E0000]yyyy-mm-dd")</f>
        <v/>
      </c>
      <c r="C45653" t="inlineStr">
        <is>
          <t>2024-11-27</t>
        </is>
      </c>
    </row>
    <row r="45654">
      <c r="A45654" s="1" t="n">
        <v>45653</v>
      </c>
      <c r="B45654">
        <f>TEXT(45653, "[$-0E0000]yyyy-mm-dd")</f>
        <v/>
      </c>
      <c r="C45654" t="inlineStr">
        <is>
          <t>2024-11-28</t>
        </is>
      </c>
    </row>
    <row r="45655">
      <c r="A45655" s="1" t="n">
        <v>45654</v>
      </c>
      <c r="B45655">
        <f>TEXT(45654, "[$-0E0000]yyyy-mm-dd")</f>
        <v/>
      </c>
      <c r="C45655" t="inlineStr">
        <is>
          <t>2024-11-29</t>
        </is>
      </c>
    </row>
    <row r="45656">
      <c r="A45656" s="1" t="n">
        <v>45655</v>
      </c>
      <c r="B45656">
        <f>TEXT(45655, "[$-0E0000]yyyy-mm-dd")</f>
        <v/>
      </c>
      <c r="C45656" t="inlineStr">
        <is>
          <t>2024-11-30</t>
        </is>
      </c>
    </row>
    <row r="45657">
      <c r="A45657" s="1" t="n">
        <v>45656</v>
      </c>
      <c r="B45657">
        <f>TEXT(45656, "[$-0E0000]yyyy-mm-dd")</f>
        <v/>
      </c>
      <c r="C45657" t="inlineStr">
        <is>
          <t>2024-12-01</t>
        </is>
      </c>
    </row>
    <row r="45658">
      <c r="A45658" s="1" t="n">
        <v>45657</v>
      </c>
      <c r="B45658">
        <f>TEXT(45657, "[$-0E0000]yyyy-mm-dd")</f>
        <v/>
      </c>
      <c r="C45658" t="inlineStr">
        <is>
          <t>2024-12-02</t>
        </is>
      </c>
    </row>
    <row r="45659">
      <c r="A45659" s="1" t="n">
        <v>45658</v>
      </c>
      <c r="B45659">
        <f>TEXT(45658, "[$-0E0000]yyyy-mm-dd")</f>
        <v/>
      </c>
      <c r="C45659" t="inlineStr">
        <is>
          <t>2024-12-03</t>
        </is>
      </c>
    </row>
    <row r="45660">
      <c r="A45660" s="1" t="n">
        <v>45659</v>
      </c>
      <c r="B45660">
        <f>TEXT(45659, "[$-0E0000]yyyy-mm-dd")</f>
        <v/>
      </c>
      <c r="C45660" t="inlineStr">
        <is>
          <t>2024-12-04</t>
        </is>
      </c>
    </row>
    <row r="45661">
      <c r="A45661" s="1" t="n">
        <v>45660</v>
      </c>
      <c r="B45661">
        <f>TEXT(45660, "[$-0E0000]yyyy-mm-dd")</f>
        <v/>
      </c>
      <c r="C45661" t="inlineStr">
        <is>
          <t>2024-12-05</t>
        </is>
      </c>
    </row>
    <row r="45662">
      <c r="A45662" s="1" t="n">
        <v>45661</v>
      </c>
      <c r="B45662">
        <f>TEXT(45661, "[$-0E0000]yyyy-mm-dd")</f>
        <v/>
      </c>
      <c r="C45662" t="inlineStr">
        <is>
          <t>2024-12-06</t>
        </is>
      </c>
    </row>
    <row r="45663">
      <c r="A45663" s="1" t="n">
        <v>45662</v>
      </c>
      <c r="B45663">
        <f>TEXT(45662, "[$-0E0000]yyyy-mm-dd")</f>
        <v/>
      </c>
      <c r="C45663" t="inlineStr">
        <is>
          <t>2024-12-07</t>
        </is>
      </c>
    </row>
    <row r="45664">
      <c r="A45664" s="1" t="n">
        <v>45663</v>
      </c>
      <c r="B45664">
        <f>TEXT(45663, "[$-0E0000]yyyy-mm-dd")</f>
        <v/>
      </c>
      <c r="C45664" t="inlineStr">
        <is>
          <t>2024-12-08</t>
        </is>
      </c>
    </row>
    <row r="45665">
      <c r="A45665" s="1" t="n">
        <v>45664</v>
      </c>
      <c r="B45665">
        <f>TEXT(45664, "[$-0E0000]yyyy-mm-dd")</f>
        <v/>
      </c>
      <c r="C45665" t="inlineStr">
        <is>
          <t>2024-12-09</t>
        </is>
      </c>
    </row>
    <row r="45666">
      <c r="A45666" s="1" t="n">
        <v>45665</v>
      </c>
      <c r="B45666">
        <f>TEXT(45665, "[$-0E0000]yyyy-mm-dd")</f>
        <v/>
      </c>
      <c r="C45666" t="inlineStr">
        <is>
          <t>2024-12-10</t>
        </is>
      </c>
    </row>
    <row r="45667">
      <c r="A45667" s="1" t="n">
        <v>45666</v>
      </c>
      <c r="B45667">
        <f>TEXT(45666, "[$-0E0000]yyyy-mm-dd")</f>
        <v/>
      </c>
      <c r="C45667" t="inlineStr">
        <is>
          <t>2024-12-11</t>
        </is>
      </c>
    </row>
    <row r="45668">
      <c r="A45668" s="1" t="n">
        <v>45667</v>
      </c>
      <c r="B45668">
        <f>TEXT(45667, "[$-0E0000]yyyy-mm-dd")</f>
        <v/>
      </c>
      <c r="C45668" t="inlineStr">
        <is>
          <t>2024-12-12</t>
        </is>
      </c>
    </row>
    <row r="45669">
      <c r="A45669" s="1" t="n">
        <v>45668</v>
      </c>
      <c r="B45669">
        <f>TEXT(45668, "[$-0E0000]yyyy-mm-dd")</f>
        <v/>
      </c>
      <c r="C45669" t="inlineStr">
        <is>
          <t>2024-12-13</t>
        </is>
      </c>
    </row>
    <row r="45670">
      <c r="A45670" s="1" t="n">
        <v>45669</v>
      </c>
      <c r="B45670">
        <f>TEXT(45669, "[$-0E0000]yyyy-mm-dd")</f>
        <v/>
      </c>
      <c r="C45670" t="inlineStr">
        <is>
          <t>2024-12-14</t>
        </is>
      </c>
    </row>
    <row r="45671">
      <c r="A45671" s="1" t="n">
        <v>45670</v>
      </c>
      <c r="B45671">
        <f>TEXT(45670, "[$-0E0000]yyyy-mm-dd")</f>
        <v/>
      </c>
      <c r="C45671" t="inlineStr">
        <is>
          <t>2024-12-15</t>
        </is>
      </c>
    </row>
    <row r="45672">
      <c r="A45672" s="1" t="n">
        <v>45671</v>
      </c>
      <c r="B45672">
        <f>TEXT(45671, "[$-0E0000]yyyy-mm-dd")</f>
        <v/>
      </c>
      <c r="C45672" t="inlineStr">
        <is>
          <t>2024-12-16</t>
        </is>
      </c>
    </row>
    <row r="45673">
      <c r="A45673" s="1" t="n">
        <v>45672</v>
      </c>
      <c r="B45673">
        <f>TEXT(45672, "[$-0E0000]yyyy-mm-dd")</f>
        <v/>
      </c>
      <c r="C45673" t="inlineStr">
        <is>
          <t>2024-12-17</t>
        </is>
      </c>
    </row>
    <row r="45674">
      <c r="A45674" s="1" t="n">
        <v>45673</v>
      </c>
      <c r="B45674">
        <f>TEXT(45673, "[$-0E0000]yyyy-mm-dd")</f>
        <v/>
      </c>
      <c r="C45674" t="inlineStr">
        <is>
          <t>2024-12-18</t>
        </is>
      </c>
    </row>
    <row r="45675">
      <c r="A45675" s="1" t="n">
        <v>45674</v>
      </c>
      <c r="B45675">
        <f>TEXT(45674, "[$-0E0000]yyyy-mm-dd")</f>
        <v/>
      </c>
      <c r="C45675" t="inlineStr">
        <is>
          <t>2024-12-19</t>
        </is>
      </c>
    </row>
    <row r="45676">
      <c r="A45676" s="1" t="n">
        <v>45675</v>
      </c>
      <c r="B45676">
        <f>TEXT(45675, "[$-0E0000]yyyy-mm-dd")</f>
        <v/>
      </c>
      <c r="C45676" t="inlineStr">
        <is>
          <t>2024-12-20</t>
        </is>
      </c>
    </row>
    <row r="45677">
      <c r="A45677" s="1" t="n">
        <v>45676</v>
      </c>
      <c r="B45677">
        <f>TEXT(45676, "[$-0E0000]yyyy-mm-dd")</f>
        <v/>
      </c>
      <c r="C45677" t="inlineStr">
        <is>
          <t>2024-12-21</t>
        </is>
      </c>
    </row>
    <row r="45678">
      <c r="A45678" s="1" t="n">
        <v>45677</v>
      </c>
      <c r="B45678">
        <f>TEXT(45677, "[$-0E0000]yyyy-mm-dd")</f>
        <v/>
      </c>
      <c r="C45678" t="inlineStr">
        <is>
          <t>2024-12-22</t>
        </is>
      </c>
    </row>
    <row r="45679">
      <c r="A45679" s="1" t="n">
        <v>45678</v>
      </c>
      <c r="B45679">
        <f>TEXT(45678, "[$-0E0000]yyyy-mm-dd")</f>
        <v/>
      </c>
      <c r="C45679" t="inlineStr">
        <is>
          <t>2024-12-23</t>
        </is>
      </c>
    </row>
    <row r="45680">
      <c r="A45680" s="1" t="n">
        <v>45679</v>
      </c>
      <c r="B45680">
        <f>TEXT(45679, "[$-0E0000]yyyy-mm-dd")</f>
        <v/>
      </c>
      <c r="C45680" t="inlineStr">
        <is>
          <t>2024-12-24</t>
        </is>
      </c>
    </row>
    <row r="45681">
      <c r="A45681" s="1" t="n">
        <v>45680</v>
      </c>
      <c r="B45681">
        <f>TEXT(45680, "[$-0E0000]yyyy-mm-dd")</f>
        <v/>
      </c>
      <c r="C45681" t="inlineStr">
        <is>
          <t>2024-12-25</t>
        </is>
      </c>
    </row>
    <row r="45682">
      <c r="A45682" s="1" t="n">
        <v>45681</v>
      </c>
      <c r="B45682">
        <f>TEXT(45681, "[$-0E0000]yyyy-mm-dd")</f>
        <v/>
      </c>
      <c r="C45682" t="inlineStr">
        <is>
          <t>2024-12-26</t>
        </is>
      </c>
    </row>
    <row r="45683">
      <c r="A45683" s="1" t="n">
        <v>45682</v>
      </c>
      <c r="B45683">
        <f>TEXT(45682, "[$-0E0000]yyyy-mm-dd")</f>
        <v/>
      </c>
      <c r="C45683" t="inlineStr">
        <is>
          <t>2024-12-27</t>
        </is>
      </c>
    </row>
    <row r="45684">
      <c r="A45684" s="1" t="n">
        <v>45683</v>
      </c>
      <c r="B45684">
        <f>TEXT(45683, "[$-0E0000]yyyy-mm-dd")</f>
        <v/>
      </c>
      <c r="C45684" t="inlineStr">
        <is>
          <t>2024-12-28</t>
        </is>
      </c>
    </row>
    <row r="45685">
      <c r="A45685" s="1" t="n">
        <v>45684</v>
      </c>
      <c r="B45685">
        <f>TEXT(45684, "[$-0E0000]yyyy-mm-dd")</f>
        <v/>
      </c>
      <c r="C45685" t="inlineStr">
        <is>
          <t>2024-12-29</t>
        </is>
      </c>
    </row>
    <row r="45686">
      <c r="A45686" s="1" t="n">
        <v>45685</v>
      </c>
      <c r="B45686">
        <f>TEXT(45685, "[$-0E0000]yyyy-mm-dd")</f>
        <v/>
      </c>
      <c r="C45686" t="inlineStr">
        <is>
          <t>2025-01-01</t>
        </is>
      </c>
    </row>
    <row r="45687">
      <c r="A45687" s="1" t="n">
        <v>45686</v>
      </c>
      <c r="B45687">
        <f>TEXT(45686, "[$-0E0000]yyyy-mm-dd")</f>
        <v/>
      </c>
      <c r="C45687" t="inlineStr">
        <is>
          <t>2025-01-02</t>
        </is>
      </c>
    </row>
    <row r="45688">
      <c r="A45688" s="1" t="n">
        <v>45687</v>
      </c>
      <c r="B45688">
        <f>TEXT(45687, "[$-0E0000]yyyy-mm-dd")</f>
        <v/>
      </c>
      <c r="C45688" t="inlineStr">
        <is>
          <t>2025-01-03</t>
        </is>
      </c>
    </row>
    <row r="45689">
      <c r="A45689" s="1" t="n">
        <v>45688</v>
      </c>
      <c r="B45689">
        <f>TEXT(45688, "[$-0E0000]yyyy-mm-dd")</f>
        <v/>
      </c>
      <c r="C45689" t="inlineStr">
        <is>
          <t>2025-01-04</t>
        </is>
      </c>
    </row>
    <row r="45690">
      <c r="A45690" s="1" t="n">
        <v>45689</v>
      </c>
      <c r="B45690">
        <f>TEXT(45689, "[$-0E0000]yyyy-mm-dd")</f>
        <v/>
      </c>
      <c r="C45690" t="inlineStr">
        <is>
          <t>2025-01-05</t>
        </is>
      </c>
    </row>
    <row r="45691">
      <c r="A45691" s="1" t="n">
        <v>45690</v>
      </c>
      <c r="B45691">
        <f>TEXT(45690, "[$-0E0000]yyyy-mm-dd")</f>
        <v/>
      </c>
      <c r="C45691" t="inlineStr">
        <is>
          <t>2025-01-06</t>
        </is>
      </c>
    </row>
    <row r="45692">
      <c r="A45692" s="1" t="n">
        <v>45691</v>
      </c>
      <c r="B45692">
        <f>TEXT(45691, "[$-0E0000]yyyy-mm-dd")</f>
        <v/>
      </c>
      <c r="C45692" t="inlineStr">
        <is>
          <t>2025-01-07</t>
        </is>
      </c>
    </row>
    <row r="45693">
      <c r="A45693" s="1" t="n">
        <v>45692</v>
      </c>
      <c r="B45693">
        <f>TEXT(45692, "[$-0E0000]yyyy-mm-dd")</f>
        <v/>
      </c>
      <c r="C45693" t="inlineStr">
        <is>
          <t>2025-01-08</t>
        </is>
      </c>
    </row>
    <row r="45694">
      <c r="A45694" s="1" t="n">
        <v>45693</v>
      </c>
      <c r="B45694">
        <f>TEXT(45693, "[$-0E0000]yyyy-mm-dd")</f>
        <v/>
      </c>
      <c r="C45694" t="inlineStr">
        <is>
          <t>2025-01-09</t>
        </is>
      </c>
    </row>
    <row r="45695">
      <c r="A45695" s="1" t="n">
        <v>45694</v>
      </c>
      <c r="B45695">
        <f>TEXT(45694, "[$-0E0000]yyyy-mm-dd")</f>
        <v/>
      </c>
      <c r="C45695" t="inlineStr">
        <is>
          <t>2025-01-10</t>
        </is>
      </c>
    </row>
    <row r="45696">
      <c r="A45696" s="1" t="n">
        <v>45695</v>
      </c>
      <c r="B45696">
        <f>TEXT(45695, "[$-0E0000]yyyy-mm-dd")</f>
        <v/>
      </c>
      <c r="C45696" t="inlineStr">
        <is>
          <t>2025-01-11</t>
        </is>
      </c>
    </row>
    <row r="45697">
      <c r="A45697" s="1" t="n">
        <v>45696</v>
      </c>
      <c r="B45697">
        <f>TEXT(45696, "[$-0E0000]yyyy-mm-dd")</f>
        <v/>
      </c>
      <c r="C45697" t="inlineStr">
        <is>
          <t>2025-01-12</t>
        </is>
      </c>
    </row>
    <row r="45698">
      <c r="A45698" s="1" t="n">
        <v>45697</v>
      </c>
      <c r="B45698">
        <f>TEXT(45697, "[$-0E0000]yyyy-mm-dd")</f>
        <v/>
      </c>
      <c r="C45698" t="inlineStr">
        <is>
          <t>2025-01-13</t>
        </is>
      </c>
    </row>
    <row r="45699">
      <c r="A45699" s="1" t="n">
        <v>45698</v>
      </c>
      <c r="B45699">
        <f>TEXT(45698, "[$-0E0000]yyyy-mm-dd")</f>
        <v/>
      </c>
      <c r="C45699" t="inlineStr">
        <is>
          <t>2025-01-14</t>
        </is>
      </c>
    </row>
    <row r="45700">
      <c r="A45700" s="1" t="n">
        <v>45699</v>
      </c>
      <c r="B45700">
        <f>TEXT(45699, "[$-0E0000]yyyy-mm-dd")</f>
        <v/>
      </c>
      <c r="C45700" t="inlineStr">
        <is>
          <t>2025-01-15</t>
        </is>
      </c>
    </row>
    <row r="45701">
      <c r="A45701" s="1" t="n">
        <v>45700</v>
      </c>
      <c r="B45701">
        <f>TEXT(45700, "[$-0E0000]yyyy-mm-dd")</f>
        <v/>
      </c>
      <c r="C45701" t="inlineStr">
        <is>
          <t>2025-01-16</t>
        </is>
      </c>
    </row>
    <row r="45702">
      <c r="A45702" s="1" t="n">
        <v>45701</v>
      </c>
      <c r="B45702">
        <f>TEXT(45701, "[$-0E0000]yyyy-mm-dd")</f>
        <v/>
      </c>
      <c r="C45702" t="inlineStr">
        <is>
          <t>2025-01-17</t>
        </is>
      </c>
    </row>
    <row r="45703">
      <c r="A45703" s="1" t="n">
        <v>45702</v>
      </c>
      <c r="B45703">
        <f>TEXT(45702, "[$-0E0000]yyyy-mm-dd")</f>
        <v/>
      </c>
      <c r="C45703" t="inlineStr">
        <is>
          <t>2025-01-18</t>
        </is>
      </c>
    </row>
    <row r="45704">
      <c r="A45704" s="1" t="n">
        <v>45703</v>
      </c>
      <c r="B45704">
        <f>TEXT(45703, "[$-0E0000]yyyy-mm-dd")</f>
        <v/>
      </c>
      <c r="C45704" t="inlineStr">
        <is>
          <t>2025-01-19</t>
        </is>
      </c>
    </row>
    <row r="45705">
      <c r="A45705" s="1" t="n">
        <v>45704</v>
      </c>
      <c r="B45705">
        <f>TEXT(45704, "[$-0E0000]yyyy-mm-dd")</f>
        <v/>
      </c>
      <c r="C45705" t="inlineStr">
        <is>
          <t>2025-01-20</t>
        </is>
      </c>
    </row>
    <row r="45706">
      <c r="A45706" s="1" t="n">
        <v>45705</v>
      </c>
      <c r="B45706">
        <f>TEXT(45705, "[$-0E0000]yyyy-mm-dd")</f>
        <v/>
      </c>
      <c r="C45706" t="inlineStr">
        <is>
          <t>2025-01-21</t>
        </is>
      </c>
    </row>
    <row r="45707">
      <c r="A45707" s="1" t="n">
        <v>45706</v>
      </c>
      <c r="B45707">
        <f>TEXT(45706, "[$-0E0000]yyyy-mm-dd")</f>
        <v/>
      </c>
      <c r="C45707" t="inlineStr">
        <is>
          <t>2025-01-22</t>
        </is>
      </c>
    </row>
    <row r="45708">
      <c r="A45708" s="1" t="n">
        <v>45707</v>
      </c>
      <c r="B45708">
        <f>TEXT(45707, "[$-0E0000]yyyy-mm-dd")</f>
        <v/>
      </c>
      <c r="C45708" t="inlineStr">
        <is>
          <t>2025-01-23</t>
        </is>
      </c>
    </row>
    <row r="45709">
      <c r="A45709" s="1" t="n">
        <v>45708</v>
      </c>
      <c r="B45709">
        <f>TEXT(45708, "[$-0E0000]yyyy-mm-dd")</f>
        <v/>
      </c>
      <c r="C45709" t="inlineStr">
        <is>
          <t>2025-01-24</t>
        </is>
      </c>
    </row>
    <row r="45710">
      <c r="A45710" s="1" t="n">
        <v>45709</v>
      </c>
      <c r="B45710">
        <f>TEXT(45709, "[$-0E0000]yyyy-mm-dd")</f>
        <v/>
      </c>
      <c r="C45710" t="inlineStr">
        <is>
          <t>2025-01-25</t>
        </is>
      </c>
    </row>
    <row r="45711">
      <c r="A45711" s="1" t="n">
        <v>45710</v>
      </c>
      <c r="B45711">
        <f>TEXT(45710, "[$-0E0000]yyyy-mm-dd")</f>
        <v/>
      </c>
      <c r="C45711" t="inlineStr">
        <is>
          <t>2025-01-26</t>
        </is>
      </c>
    </row>
    <row r="45712">
      <c r="A45712" s="1" t="n">
        <v>45711</v>
      </c>
      <c r="B45712">
        <f>TEXT(45711, "[$-0E0000]yyyy-mm-dd")</f>
        <v/>
      </c>
      <c r="C45712" t="inlineStr">
        <is>
          <t>2025-01-27</t>
        </is>
      </c>
    </row>
    <row r="45713">
      <c r="A45713" s="1" t="n">
        <v>45712</v>
      </c>
      <c r="B45713">
        <f>TEXT(45712, "[$-0E0000]yyyy-mm-dd")</f>
        <v/>
      </c>
      <c r="C45713" t="inlineStr">
        <is>
          <t>2025-01-28</t>
        </is>
      </c>
    </row>
    <row r="45714">
      <c r="A45714" s="1" t="n">
        <v>45713</v>
      </c>
      <c r="B45714">
        <f>TEXT(45713, "[$-0E0000]yyyy-mm-dd")</f>
        <v/>
      </c>
      <c r="C45714" t="inlineStr">
        <is>
          <t>2025-01-29</t>
        </is>
      </c>
    </row>
    <row r="45715">
      <c r="A45715" s="1" t="n">
        <v>45714</v>
      </c>
      <c r="B45715">
        <f>TEXT(45714, "[$-0E0000]yyyy-mm-dd")</f>
        <v/>
      </c>
      <c r="C45715" t="inlineStr">
        <is>
          <t>2025-01-30</t>
        </is>
      </c>
    </row>
    <row r="45716">
      <c r="A45716" s="1" t="n">
        <v>45715</v>
      </c>
      <c r="B45716">
        <f>TEXT(45715, "[$-0E0000]yyyy-mm-dd")</f>
        <v/>
      </c>
      <c r="C45716" t="inlineStr">
        <is>
          <t>2025-02-01</t>
        </is>
      </c>
    </row>
    <row r="45717">
      <c r="A45717" s="1" t="n">
        <v>45716</v>
      </c>
      <c r="B45717">
        <f>TEXT(45716, "[$-0E0000]yyyy-mm-dd")</f>
        <v/>
      </c>
      <c r="C45717" t="inlineStr">
        <is>
          <t>2025-02-02</t>
        </is>
      </c>
    </row>
    <row r="45718">
      <c r="A45718" s="1" t="n">
        <v>45717</v>
      </c>
      <c r="B45718">
        <f>TEXT(45717, "[$-0E0000]yyyy-mm-dd")</f>
        <v/>
      </c>
      <c r="C45718" t="inlineStr">
        <is>
          <t>2025-02-03</t>
        </is>
      </c>
    </row>
    <row r="45719">
      <c r="A45719" s="1" t="n">
        <v>45718</v>
      </c>
      <c r="B45719">
        <f>TEXT(45718, "[$-0E0000]yyyy-mm-dd")</f>
        <v/>
      </c>
      <c r="C45719" t="inlineStr">
        <is>
          <t>2025-02-04</t>
        </is>
      </c>
    </row>
    <row r="45720">
      <c r="A45720" s="1" t="n">
        <v>45719</v>
      </c>
      <c r="B45720">
        <f>TEXT(45719, "[$-0E0000]yyyy-mm-dd")</f>
        <v/>
      </c>
      <c r="C45720" t="inlineStr">
        <is>
          <t>2025-02-05</t>
        </is>
      </c>
    </row>
    <row r="45721">
      <c r="A45721" s="1" t="n">
        <v>45720</v>
      </c>
      <c r="B45721">
        <f>TEXT(45720, "[$-0E0000]yyyy-mm-dd")</f>
        <v/>
      </c>
      <c r="C45721" t="inlineStr">
        <is>
          <t>2025-02-06</t>
        </is>
      </c>
    </row>
    <row r="45722">
      <c r="A45722" s="1" t="n">
        <v>45721</v>
      </c>
      <c r="B45722">
        <f>TEXT(45721, "[$-0E0000]yyyy-mm-dd")</f>
        <v/>
      </c>
      <c r="C45722" t="inlineStr">
        <is>
          <t>2025-02-07</t>
        </is>
      </c>
    </row>
    <row r="45723">
      <c r="A45723" s="1" t="n">
        <v>45722</v>
      </c>
      <c r="B45723">
        <f>TEXT(45722, "[$-0E0000]yyyy-mm-dd")</f>
        <v/>
      </c>
      <c r="C45723" t="inlineStr">
        <is>
          <t>2025-02-08</t>
        </is>
      </c>
    </row>
    <row r="45724">
      <c r="A45724" s="1" t="n">
        <v>45723</v>
      </c>
      <c r="B45724">
        <f>TEXT(45723, "[$-0E0000]yyyy-mm-dd")</f>
        <v/>
      </c>
      <c r="C45724" t="inlineStr">
        <is>
          <t>2025-02-09</t>
        </is>
      </c>
    </row>
    <row r="45725">
      <c r="A45725" s="1" t="n">
        <v>45724</v>
      </c>
      <c r="B45725">
        <f>TEXT(45724, "[$-0E0000]yyyy-mm-dd")</f>
        <v/>
      </c>
      <c r="C45725" t="inlineStr">
        <is>
          <t>2025-02-10</t>
        </is>
      </c>
    </row>
    <row r="45726">
      <c r="A45726" s="1" t="n">
        <v>45725</v>
      </c>
      <c r="B45726">
        <f>TEXT(45725, "[$-0E0000]yyyy-mm-dd")</f>
        <v/>
      </c>
      <c r="C45726" t="inlineStr">
        <is>
          <t>2025-02-11</t>
        </is>
      </c>
    </row>
    <row r="45727">
      <c r="A45727" s="1" t="n">
        <v>45726</v>
      </c>
      <c r="B45727">
        <f>TEXT(45726, "[$-0E0000]yyyy-mm-dd")</f>
        <v/>
      </c>
      <c r="C45727" t="inlineStr">
        <is>
          <t>2025-02-12</t>
        </is>
      </c>
    </row>
    <row r="45728">
      <c r="A45728" s="1" t="n">
        <v>45727</v>
      </c>
      <c r="B45728">
        <f>TEXT(45727, "[$-0E0000]yyyy-mm-dd")</f>
        <v/>
      </c>
      <c r="C45728" t="inlineStr">
        <is>
          <t>2025-02-13</t>
        </is>
      </c>
    </row>
    <row r="45729">
      <c r="A45729" s="1" t="n">
        <v>45728</v>
      </c>
      <c r="B45729">
        <f>TEXT(45728, "[$-0E0000]yyyy-mm-dd")</f>
        <v/>
      </c>
      <c r="C45729" t="inlineStr">
        <is>
          <t>2025-02-14</t>
        </is>
      </c>
    </row>
    <row r="45730">
      <c r="A45730" s="1" t="n">
        <v>45729</v>
      </c>
      <c r="B45730">
        <f>TEXT(45729, "[$-0E0000]yyyy-mm-dd")</f>
        <v/>
      </c>
      <c r="C45730" t="inlineStr">
        <is>
          <t>2025-02-15</t>
        </is>
      </c>
    </row>
    <row r="45731">
      <c r="A45731" s="1" t="n">
        <v>45730</v>
      </c>
      <c r="B45731">
        <f>TEXT(45730, "[$-0E0000]yyyy-mm-dd")</f>
        <v/>
      </c>
      <c r="C45731" t="inlineStr">
        <is>
          <t>2025-02-16</t>
        </is>
      </c>
    </row>
    <row r="45732">
      <c r="A45732" s="1" t="n">
        <v>45731</v>
      </c>
      <c r="B45732">
        <f>TEXT(45731, "[$-0E0000]yyyy-mm-dd")</f>
        <v/>
      </c>
      <c r="C45732" t="inlineStr">
        <is>
          <t>2025-02-17</t>
        </is>
      </c>
    </row>
    <row r="45733">
      <c r="A45733" s="1" t="n">
        <v>45732</v>
      </c>
      <c r="B45733">
        <f>TEXT(45732, "[$-0E0000]yyyy-mm-dd")</f>
        <v/>
      </c>
      <c r="C45733" t="inlineStr">
        <is>
          <t>2025-02-18</t>
        </is>
      </c>
    </row>
    <row r="45734">
      <c r="A45734" s="1" t="n">
        <v>45733</v>
      </c>
      <c r="B45734">
        <f>TEXT(45733, "[$-0E0000]yyyy-mm-dd")</f>
        <v/>
      </c>
      <c r="C45734" t="inlineStr">
        <is>
          <t>2025-02-19</t>
        </is>
      </c>
    </row>
    <row r="45735">
      <c r="A45735" s="1" t="n">
        <v>45734</v>
      </c>
      <c r="B45735">
        <f>TEXT(45734, "[$-0E0000]yyyy-mm-dd")</f>
        <v/>
      </c>
      <c r="C45735" t="inlineStr">
        <is>
          <t>2025-02-20</t>
        </is>
      </c>
    </row>
    <row r="45736">
      <c r="A45736" s="1" t="n">
        <v>45735</v>
      </c>
      <c r="B45736">
        <f>TEXT(45735, "[$-0E0000]yyyy-mm-dd")</f>
        <v/>
      </c>
      <c r="C45736" t="inlineStr">
        <is>
          <t>2025-02-21</t>
        </is>
      </c>
    </row>
    <row r="45737">
      <c r="A45737" s="1" t="n">
        <v>45736</v>
      </c>
      <c r="B45737">
        <f>TEXT(45736, "[$-0E0000]yyyy-mm-dd")</f>
        <v/>
      </c>
      <c r="C45737" t="inlineStr">
        <is>
          <t>2025-02-22</t>
        </is>
      </c>
    </row>
    <row r="45738">
      <c r="A45738" s="1" t="n">
        <v>45737</v>
      </c>
      <c r="B45738">
        <f>TEXT(45737, "[$-0E0000]yyyy-mm-dd")</f>
        <v/>
      </c>
      <c r="C45738" t="inlineStr">
        <is>
          <t>2025-02-23</t>
        </is>
      </c>
    </row>
    <row r="45739">
      <c r="A45739" s="1" t="n">
        <v>45738</v>
      </c>
      <c r="B45739">
        <f>TEXT(45738, "[$-0E0000]yyyy-mm-dd")</f>
        <v/>
      </c>
      <c r="C45739" t="inlineStr">
        <is>
          <t>2025-02-24</t>
        </is>
      </c>
    </row>
    <row r="45740">
      <c r="A45740" s="1" t="n">
        <v>45739</v>
      </c>
      <c r="B45740">
        <f>TEXT(45739, "[$-0E0000]yyyy-mm-dd")</f>
        <v/>
      </c>
      <c r="C45740" t="inlineStr">
        <is>
          <t>2025-02-25</t>
        </is>
      </c>
    </row>
    <row r="45741">
      <c r="A45741" s="1" t="n">
        <v>45740</v>
      </c>
      <c r="B45741">
        <f>TEXT(45740, "[$-0E0000]yyyy-mm-dd")</f>
        <v/>
      </c>
      <c r="C45741" t="inlineStr">
        <is>
          <t>2025-02-26</t>
        </is>
      </c>
    </row>
    <row r="45742">
      <c r="A45742" s="1" t="n">
        <v>45741</v>
      </c>
      <c r="B45742">
        <f>TEXT(45741, "[$-0E0000]yyyy-mm-dd")</f>
        <v/>
      </c>
      <c r="C45742" t="inlineStr">
        <is>
          <t>2025-02-27</t>
        </is>
      </c>
    </row>
    <row r="45743">
      <c r="A45743" s="1" t="n">
        <v>45742</v>
      </c>
      <c r="B45743">
        <f>TEXT(45742, "[$-0E0000]yyyy-mm-dd")</f>
        <v/>
      </c>
      <c r="C45743" t="inlineStr">
        <is>
          <t>2025-02-28</t>
        </is>
      </c>
    </row>
    <row r="45744">
      <c r="A45744" s="1" t="n">
        <v>45743</v>
      </c>
      <c r="B45744">
        <f>TEXT(45743, "[$-0E0000]yyyy-mm-dd")</f>
        <v/>
      </c>
      <c r="C45744" t="inlineStr">
        <is>
          <t>2025-02-29</t>
        </is>
      </c>
    </row>
    <row r="45745">
      <c r="A45745" s="1" t="n">
        <v>45744</v>
      </c>
      <c r="B45745">
        <f>TEXT(45744, "[$-0E0000]yyyy-mm-dd")</f>
        <v/>
      </c>
      <c r="C45745" t="inlineStr">
        <is>
          <t>2025-03-01</t>
        </is>
      </c>
    </row>
    <row r="45746">
      <c r="A45746" s="1" t="n">
        <v>45745</v>
      </c>
      <c r="B45746">
        <f>TEXT(45745, "[$-0E0000]yyyy-mm-dd")</f>
        <v/>
      </c>
      <c r="C45746" t="inlineStr">
        <is>
          <t>2025-03-02</t>
        </is>
      </c>
    </row>
    <row r="45747">
      <c r="A45747" s="1" t="n">
        <v>45746</v>
      </c>
      <c r="B45747">
        <f>TEXT(45746, "[$-0E0000]yyyy-mm-dd")</f>
        <v/>
      </c>
      <c r="C45747" t="inlineStr">
        <is>
          <t>2025-03-03</t>
        </is>
      </c>
    </row>
    <row r="45748">
      <c r="A45748" s="1" t="n">
        <v>45747</v>
      </c>
      <c r="B45748">
        <f>TEXT(45747, "[$-0E0000]yyyy-mm-dd")</f>
        <v/>
      </c>
      <c r="C45748" t="inlineStr">
        <is>
          <t>2025-03-04</t>
        </is>
      </c>
    </row>
    <row r="45749">
      <c r="A45749" s="1" t="n">
        <v>45748</v>
      </c>
      <c r="B45749">
        <f>TEXT(45748, "[$-0E0000]yyyy-mm-dd")</f>
        <v/>
      </c>
      <c r="C45749" t="inlineStr">
        <is>
          <t>2025-03-05</t>
        </is>
      </c>
    </row>
    <row r="45750">
      <c r="A45750" s="1" t="n">
        <v>45749</v>
      </c>
      <c r="B45750">
        <f>TEXT(45749, "[$-0E0000]yyyy-mm-dd")</f>
        <v/>
      </c>
      <c r="C45750" t="inlineStr">
        <is>
          <t>2025-03-06</t>
        </is>
      </c>
    </row>
    <row r="45751">
      <c r="A45751" s="1" t="n">
        <v>45750</v>
      </c>
      <c r="B45751">
        <f>TEXT(45750, "[$-0E0000]yyyy-mm-dd")</f>
        <v/>
      </c>
      <c r="C45751" t="inlineStr">
        <is>
          <t>2025-03-07</t>
        </is>
      </c>
    </row>
    <row r="45752">
      <c r="A45752" s="1" t="n">
        <v>45751</v>
      </c>
      <c r="B45752">
        <f>TEXT(45751, "[$-0E0000]yyyy-mm-dd")</f>
        <v/>
      </c>
      <c r="C45752" t="inlineStr">
        <is>
          <t>2025-03-08</t>
        </is>
      </c>
    </row>
    <row r="45753">
      <c r="A45753" s="1" t="n">
        <v>45752</v>
      </c>
      <c r="B45753">
        <f>TEXT(45752, "[$-0E0000]yyyy-mm-dd")</f>
        <v/>
      </c>
      <c r="C45753" t="inlineStr">
        <is>
          <t>2025-03-09</t>
        </is>
      </c>
    </row>
    <row r="45754">
      <c r="A45754" s="1" t="n">
        <v>45753</v>
      </c>
      <c r="B45754">
        <f>TEXT(45753, "[$-0E0000]yyyy-mm-dd")</f>
        <v/>
      </c>
      <c r="C45754" t="inlineStr">
        <is>
          <t>2025-03-10</t>
        </is>
      </c>
    </row>
    <row r="45755">
      <c r="A45755" s="1" t="n">
        <v>45754</v>
      </c>
      <c r="B45755">
        <f>TEXT(45754, "[$-0E0000]yyyy-mm-dd")</f>
        <v/>
      </c>
      <c r="C45755" t="inlineStr">
        <is>
          <t>2025-03-11</t>
        </is>
      </c>
    </row>
    <row r="45756">
      <c r="A45756" s="1" t="n">
        <v>45755</v>
      </c>
      <c r="B45756">
        <f>TEXT(45755, "[$-0E0000]yyyy-mm-dd")</f>
        <v/>
      </c>
      <c r="C45756" t="inlineStr">
        <is>
          <t>2025-03-12</t>
        </is>
      </c>
    </row>
    <row r="45757">
      <c r="A45757" s="1" t="n">
        <v>45756</v>
      </c>
      <c r="B45757">
        <f>TEXT(45756, "[$-0E0000]yyyy-mm-dd")</f>
        <v/>
      </c>
      <c r="C45757" t="inlineStr">
        <is>
          <t>2025-03-13</t>
        </is>
      </c>
    </row>
    <row r="45758">
      <c r="A45758" s="1" t="n">
        <v>45757</v>
      </c>
      <c r="B45758">
        <f>TEXT(45757, "[$-0E0000]yyyy-mm-dd")</f>
        <v/>
      </c>
      <c r="C45758" t="inlineStr">
        <is>
          <t>2025-03-14</t>
        </is>
      </c>
    </row>
    <row r="45759">
      <c r="A45759" s="1" t="n">
        <v>45758</v>
      </c>
      <c r="B45759">
        <f>TEXT(45758, "[$-0E0000]yyyy-mm-dd")</f>
        <v/>
      </c>
      <c r="C45759" t="inlineStr">
        <is>
          <t>2025-03-15</t>
        </is>
      </c>
    </row>
    <row r="45760">
      <c r="A45760" s="1" t="n">
        <v>45759</v>
      </c>
      <c r="B45760">
        <f>TEXT(45759, "[$-0E0000]yyyy-mm-dd")</f>
        <v/>
      </c>
      <c r="C45760" t="inlineStr">
        <is>
          <t>2025-03-16</t>
        </is>
      </c>
    </row>
    <row r="45761">
      <c r="A45761" s="1" t="n">
        <v>45760</v>
      </c>
      <c r="B45761">
        <f>TEXT(45760, "[$-0E0000]yyyy-mm-dd")</f>
        <v/>
      </c>
      <c r="C45761" t="inlineStr">
        <is>
          <t>2025-03-17</t>
        </is>
      </c>
    </row>
    <row r="45762">
      <c r="A45762" s="1" t="n">
        <v>45761</v>
      </c>
      <c r="B45762">
        <f>TEXT(45761, "[$-0E0000]yyyy-mm-dd")</f>
        <v/>
      </c>
      <c r="C45762" t="inlineStr">
        <is>
          <t>2025-03-18</t>
        </is>
      </c>
    </row>
    <row r="45763">
      <c r="A45763" s="1" t="n">
        <v>45762</v>
      </c>
      <c r="B45763">
        <f>TEXT(45762, "[$-0E0000]yyyy-mm-dd")</f>
        <v/>
      </c>
      <c r="C45763" t="inlineStr">
        <is>
          <t>2025-03-19</t>
        </is>
      </c>
    </row>
    <row r="45764">
      <c r="A45764" s="1" t="n">
        <v>45763</v>
      </c>
      <c r="B45764">
        <f>TEXT(45763, "[$-0E0000]yyyy-mm-dd")</f>
        <v/>
      </c>
      <c r="C45764" t="inlineStr">
        <is>
          <t>2025-03-20</t>
        </is>
      </c>
    </row>
    <row r="45765">
      <c r="A45765" s="1" t="n">
        <v>45764</v>
      </c>
      <c r="B45765">
        <f>TEXT(45764, "[$-0E0000]yyyy-mm-dd")</f>
        <v/>
      </c>
      <c r="C45765" t="inlineStr">
        <is>
          <t>2025-03-21</t>
        </is>
      </c>
    </row>
    <row r="45766">
      <c r="A45766" s="1" t="n">
        <v>45765</v>
      </c>
      <c r="B45766">
        <f>TEXT(45765, "[$-0E0000]yyyy-mm-dd")</f>
        <v/>
      </c>
      <c r="C45766" t="inlineStr">
        <is>
          <t>2025-03-22</t>
        </is>
      </c>
    </row>
    <row r="45767">
      <c r="A45767" s="1" t="n">
        <v>45766</v>
      </c>
      <c r="B45767">
        <f>TEXT(45766, "[$-0E0000]yyyy-mm-dd")</f>
        <v/>
      </c>
      <c r="C45767" t="inlineStr">
        <is>
          <t>2025-03-23</t>
        </is>
      </c>
    </row>
    <row r="45768">
      <c r="A45768" s="1" t="n">
        <v>45767</v>
      </c>
      <c r="B45768">
        <f>TEXT(45767, "[$-0E0000]yyyy-mm-dd")</f>
        <v/>
      </c>
      <c r="C45768" t="inlineStr">
        <is>
          <t>2025-03-24</t>
        </is>
      </c>
    </row>
    <row r="45769">
      <c r="A45769" s="1" t="n">
        <v>45768</v>
      </c>
      <c r="B45769">
        <f>TEXT(45768, "[$-0E0000]yyyy-mm-dd")</f>
        <v/>
      </c>
      <c r="C45769" t="inlineStr">
        <is>
          <t>2025-03-25</t>
        </is>
      </c>
    </row>
    <row r="45770">
      <c r="A45770" s="1" t="n">
        <v>45769</v>
      </c>
      <c r="B45770">
        <f>TEXT(45769, "[$-0E0000]yyyy-mm-dd")</f>
        <v/>
      </c>
      <c r="C45770" t="inlineStr">
        <is>
          <t>2025-03-26</t>
        </is>
      </c>
    </row>
    <row r="45771">
      <c r="A45771" s="1" t="n">
        <v>45770</v>
      </c>
      <c r="B45771">
        <f>TEXT(45770, "[$-0E0000]yyyy-mm-dd")</f>
        <v/>
      </c>
      <c r="C45771" t="inlineStr">
        <is>
          <t>2025-03-27</t>
        </is>
      </c>
    </row>
    <row r="45772">
      <c r="A45772" s="1" t="n">
        <v>45771</v>
      </c>
      <c r="B45772">
        <f>TEXT(45771, "[$-0E0000]yyyy-mm-dd")</f>
        <v/>
      </c>
      <c r="C45772" t="inlineStr">
        <is>
          <t>2025-03-28</t>
        </is>
      </c>
    </row>
    <row r="45773">
      <c r="A45773" s="1" t="n">
        <v>45772</v>
      </c>
      <c r="B45773">
        <f>TEXT(45772, "[$-0E0000]yyyy-mm-dd")</f>
        <v/>
      </c>
      <c r="C45773" t="inlineStr">
        <is>
          <t>2025-03-29</t>
        </is>
      </c>
    </row>
    <row r="45774">
      <c r="A45774" s="1" t="n">
        <v>45773</v>
      </c>
      <c r="B45774">
        <f>TEXT(45773, "[$-0E0000]yyyy-mm-dd")</f>
        <v/>
      </c>
      <c r="C45774" t="inlineStr">
        <is>
          <t>2025-03-30</t>
        </is>
      </c>
    </row>
    <row r="45775">
      <c r="A45775" s="1" t="n">
        <v>45774</v>
      </c>
      <c r="B45775">
        <f>TEXT(45774, "[$-0E0000]yyyy-mm-dd")</f>
        <v/>
      </c>
      <c r="C45775" t="inlineStr">
        <is>
          <t>2025-04-01</t>
        </is>
      </c>
    </row>
    <row r="45776">
      <c r="A45776" s="1" t="n">
        <v>45775</v>
      </c>
      <c r="B45776">
        <f>TEXT(45775, "[$-0E0000]yyyy-mm-dd")</f>
        <v/>
      </c>
      <c r="C45776" t="inlineStr">
        <is>
          <t>2025-04-02</t>
        </is>
      </c>
    </row>
    <row r="45777">
      <c r="A45777" s="1" t="n">
        <v>45776</v>
      </c>
      <c r="B45777">
        <f>TEXT(45776, "[$-0E0000]yyyy-mm-dd")</f>
        <v/>
      </c>
      <c r="C45777" t="inlineStr">
        <is>
          <t>2025-04-03</t>
        </is>
      </c>
    </row>
    <row r="45778">
      <c r="A45778" s="1" t="n">
        <v>45777</v>
      </c>
      <c r="B45778">
        <f>TEXT(45777, "[$-0E0000]yyyy-mm-dd")</f>
        <v/>
      </c>
      <c r="C45778" t="inlineStr">
        <is>
          <t>2025-04-04</t>
        </is>
      </c>
    </row>
    <row r="45779">
      <c r="A45779" s="1" t="n">
        <v>45778</v>
      </c>
      <c r="B45779">
        <f>TEXT(45778, "[$-0E0000]yyyy-mm-dd")</f>
        <v/>
      </c>
      <c r="C45779" t="inlineStr">
        <is>
          <t>2025-04-05</t>
        </is>
      </c>
    </row>
    <row r="45780">
      <c r="A45780" s="1" t="n">
        <v>45779</v>
      </c>
      <c r="B45780">
        <f>TEXT(45779, "[$-0E0000]yyyy-mm-dd")</f>
        <v/>
      </c>
      <c r="C45780" t="inlineStr">
        <is>
          <t>2025-04-06</t>
        </is>
      </c>
    </row>
    <row r="45781">
      <c r="A45781" s="1" t="n">
        <v>45780</v>
      </c>
      <c r="B45781">
        <f>TEXT(45780, "[$-0E0000]yyyy-mm-dd")</f>
        <v/>
      </c>
      <c r="C45781" t="inlineStr">
        <is>
          <t>2025-04-07</t>
        </is>
      </c>
    </row>
    <row r="45782">
      <c r="A45782" s="1" t="n">
        <v>45781</v>
      </c>
      <c r="B45782">
        <f>TEXT(45781, "[$-0E0000]yyyy-mm-dd")</f>
        <v/>
      </c>
      <c r="C45782" t="inlineStr">
        <is>
          <t>2025-04-08</t>
        </is>
      </c>
    </row>
    <row r="45783">
      <c r="A45783" s="1" t="n">
        <v>45782</v>
      </c>
      <c r="B45783">
        <f>TEXT(45782, "[$-0E0000]yyyy-mm-dd")</f>
        <v/>
      </c>
      <c r="C45783" t="inlineStr">
        <is>
          <t>2025-04-09</t>
        </is>
      </c>
    </row>
    <row r="45784">
      <c r="A45784" s="1" t="n">
        <v>45783</v>
      </c>
      <c r="B45784">
        <f>TEXT(45783, "[$-0E0000]yyyy-mm-dd")</f>
        <v/>
      </c>
      <c r="C45784" t="inlineStr">
        <is>
          <t>2025-04-10</t>
        </is>
      </c>
    </row>
    <row r="45785">
      <c r="A45785" s="1" t="n">
        <v>45784</v>
      </c>
      <c r="B45785">
        <f>TEXT(45784, "[$-0E0000]yyyy-mm-dd")</f>
        <v/>
      </c>
      <c r="C45785" t="inlineStr">
        <is>
          <t>2025-04-11</t>
        </is>
      </c>
    </row>
    <row r="45786">
      <c r="A45786" s="1" t="n">
        <v>45785</v>
      </c>
      <c r="B45786">
        <f>TEXT(45785, "[$-0E0000]yyyy-mm-dd")</f>
        <v/>
      </c>
      <c r="C45786" t="inlineStr">
        <is>
          <t>2025-04-12</t>
        </is>
      </c>
    </row>
    <row r="45787">
      <c r="A45787" s="1" t="n">
        <v>45786</v>
      </c>
      <c r="B45787">
        <f>TEXT(45786, "[$-0E0000]yyyy-mm-dd")</f>
        <v/>
      </c>
      <c r="C45787" t="inlineStr">
        <is>
          <t>2025-04-13</t>
        </is>
      </c>
    </row>
    <row r="45788">
      <c r="A45788" s="1" t="n">
        <v>45787</v>
      </c>
      <c r="B45788">
        <f>TEXT(45787, "[$-0E0000]yyyy-mm-dd")</f>
        <v/>
      </c>
      <c r="C45788" t="inlineStr">
        <is>
          <t>2025-04-14</t>
        </is>
      </c>
    </row>
    <row r="45789">
      <c r="A45789" s="1" t="n">
        <v>45788</v>
      </c>
      <c r="B45789">
        <f>TEXT(45788, "[$-0E0000]yyyy-mm-dd")</f>
        <v/>
      </c>
      <c r="C45789" t="inlineStr">
        <is>
          <t>2025-04-15</t>
        </is>
      </c>
    </row>
    <row r="45790">
      <c r="A45790" s="1" t="n">
        <v>45789</v>
      </c>
      <c r="B45790">
        <f>TEXT(45789, "[$-0E0000]yyyy-mm-dd")</f>
        <v/>
      </c>
      <c r="C45790" t="inlineStr">
        <is>
          <t>2025-04-16</t>
        </is>
      </c>
    </row>
    <row r="45791">
      <c r="A45791" s="1" t="n">
        <v>45790</v>
      </c>
      <c r="B45791">
        <f>TEXT(45790, "[$-0E0000]yyyy-mm-dd")</f>
        <v/>
      </c>
      <c r="C45791" t="inlineStr">
        <is>
          <t>2025-04-17</t>
        </is>
      </c>
    </row>
    <row r="45792">
      <c r="A45792" s="1" t="n">
        <v>45791</v>
      </c>
      <c r="B45792">
        <f>TEXT(45791, "[$-0E0000]yyyy-mm-dd")</f>
        <v/>
      </c>
      <c r="C45792" t="inlineStr">
        <is>
          <t>2025-04-18</t>
        </is>
      </c>
    </row>
    <row r="45793">
      <c r="A45793" s="1" t="n">
        <v>45792</v>
      </c>
      <c r="B45793">
        <f>TEXT(45792, "[$-0E0000]yyyy-mm-dd")</f>
        <v/>
      </c>
      <c r="C45793" t="inlineStr">
        <is>
          <t>2025-04-19</t>
        </is>
      </c>
    </row>
    <row r="45794">
      <c r="A45794" s="1" t="n">
        <v>45793</v>
      </c>
      <c r="B45794">
        <f>TEXT(45793, "[$-0E0000]yyyy-mm-dd")</f>
        <v/>
      </c>
      <c r="C45794" t="inlineStr">
        <is>
          <t>2025-04-20</t>
        </is>
      </c>
    </row>
    <row r="45795">
      <c r="A45795" s="1" t="n">
        <v>45794</v>
      </c>
      <c r="B45795">
        <f>TEXT(45794, "[$-0E0000]yyyy-mm-dd")</f>
        <v/>
      </c>
      <c r="C45795" t="inlineStr">
        <is>
          <t>2025-04-21</t>
        </is>
      </c>
    </row>
    <row r="45796">
      <c r="A45796" s="1" t="n">
        <v>45795</v>
      </c>
      <c r="B45796">
        <f>TEXT(45795, "[$-0E0000]yyyy-mm-dd")</f>
        <v/>
      </c>
      <c r="C45796" t="inlineStr">
        <is>
          <t>2025-04-22</t>
        </is>
      </c>
    </row>
    <row r="45797">
      <c r="A45797" s="1" t="n">
        <v>45796</v>
      </c>
      <c r="B45797">
        <f>TEXT(45796, "[$-0E0000]yyyy-mm-dd")</f>
        <v/>
      </c>
      <c r="C45797" t="inlineStr">
        <is>
          <t>2025-04-23</t>
        </is>
      </c>
    </row>
    <row r="45798">
      <c r="A45798" s="1" t="n">
        <v>45797</v>
      </c>
      <c r="B45798">
        <f>TEXT(45797, "[$-0E0000]yyyy-mm-dd")</f>
        <v/>
      </c>
      <c r="C45798" t="inlineStr">
        <is>
          <t>2025-04-24</t>
        </is>
      </c>
    </row>
    <row r="45799">
      <c r="A45799" s="1" t="n">
        <v>45798</v>
      </c>
      <c r="B45799">
        <f>TEXT(45798, "[$-0E0000]yyyy-mm-dd")</f>
        <v/>
      </c>
      <c r="C45799" t="inlineStr">
        <is>
          <t>2025-04-25</t>
        </is>
      </c>
    </row>
    <row r="45800">
      <c r="A45800" s="1" t="n">
        <v>45799</v>
      </c>
      <c r="B45800">
        <f>TEXT(45799, "[$-0E0000]yyyy-mm-dd")</f>
        <v/>
      </c>
      <c r="C45800" t="inlineStr">
        <is>
          <t>2025-04-26</t>
        </is>
      </c>
    </row>
    <row r="45801">
      <c r="A45801" s="1" t="n">
        <v>45800</v>
      </c>
      <c r="B45801">
        <f>TEXT(45800, "[$-0E0000]yyyy-mm-dd")</f>
        <v/>
      </c>
      <c r="C45801" t="inlineStr">
        <is>
          <t>2025-04-27</t>
        </is>
      </c>
    </row>
    <row r="45802">
      <c r="A45802" s="1" t="n">
        <v>45801</v>
      </c>
      <c r="B45802">
        <f>TEXT(45801, "[$-0E0000]yyyy-mm-dd")</f>
        <v/>
      </c>
      <c r="C45802" t="inlineStr">
        <is>
          <t>2025-04-28</t>
        </is>
      </c>
    </row>
    <row r="45803">
      <c r="A45803" s="1" t="n">
        <v>45802</v>
      </c>
      <c r="B45803">
        <f>TEXT(45802, "[$-0E0000]yyyy-mm-dd")</f>
        <v/>
      </c>
      <c r="C45803" t="inlineStr">
        <is>
          <t>2025-04-29</t>
        </is>
      </c>
    </row>
    <row r="45804">
      <c r="A45804" s="1" t="n">
        <v>45803</v>
      </c>
      <c r="B45804">
        <f>TEXT(45803, "[$-0E0000]yyyy-mm-dd")</f>
        <v/>
      </c>
      <c r="C45804" t="inlineStr">
        <is>
          <t>2025-05-01</t>
        </is>
      </c>
    </row>
    <row r="45805">
      <c r="A45805" s="1" t="n">
        <v>45804</v>
      </c>
      <c r="B45805">
        <f>TEXT(45804, "[$-0E0000]yyyy-mm-dd")</f>
        <v/>
      </c>
      <c r="C45805" t="inlineStr">
        <is>
          <t>2025-05-02</t>
        </is>
      </c>
    </row>
    <row r="45806">
      <c r="A45806" s="1" t="n">
        <v>45805</v>
      </c>
      <c r="B45806">
        <f>TEXT(45805, "[$-0E0000]yyyy-mm-dd")</f>
        <v/>
      </c>
      <c r="C45806" t="inlineStr">
        <is>
          <t>2025-05-03</t>
        </is>
      </c>
    </row>
    <row r="45807">
      <c r="A45807" s="1" t="n">
        <v>45806</v>
      </c>
      <c r="B45807">
        <f>TEXT(45806, "[$-0E0000]yyyy-mm-dd")</f>
        <v/>
      </c>
      <c r="C45807" t="inlineStr">
        <is>
          <t>2025-05-04</t>
        </is>
      </c>
    </row>
    <row r="45808">
      <c r="A45808" s="1" t="n">
        <v>45807</v>
      </c>
      <c r="B45808">
        <f>TEXT(45807, "[$-0E0000]yyyy-mm-dd")</f>
        <v/>
      </c>
      <c r="C45808" t="inlineStr">
        <is>
          <t>2025-05-05</t>
        </is>
      </c>
    </row>
    <row r="45809">
      <c r="A45809" s="1" t="n">
        <v>45808</v>
      </c>
      <c r="B45809">
        <f>TEXT(45808, "[$-0E0000]yyyy-mm-dd")</f>
        <v/>
      </c>
      <c r="C45809" t="inlineStr">
        <is>
          <t>2025-05-06</t>
        </is>
      </c>
    </row>
    <row r="45810">
      <c r="A45810" s="1" t="n">
        <v>45809</v>
      </c>
      <c r="B45810">
        <f>TEXT(45809, "[$-0E0000]yyyy-mm-dd")</f>
        <v/>
      </c>
      <c r="C45810" t="inlineStr">
        <is>
          <t>2025-05-07</t>
        </is>
      </c>
    </row>
    <row r="45811">
      <c r="A45811" s="1" t="n">
        <v>45810</v>
      </c>
      <c r="B45811">
        <f>TEXT(45810, "[$-0E0000]yyyy-mm-dd")</f>
        <v/>
      </c>
      <c r="C45811" t="inlineStr">
        <is>
          <t>2025-05-08</t>
        </is>
      </c>
    </row>
    <row r="45812">
      <c r="A45812" s="1" t="n">
        <v>45811</v>
      </c>
      <c r="B45812">
        <f>TEXT(45811, "[$-0E0000]yyyy-mm-dd")</f>
        <v/>
      </c>
      <c r="C45812" t="inlineStr">
        <is>
          <t>2025-05-09</t>
        </is>
      </c>
    </row>
    <row r="45813">
      <c r="A45813" s="1" t="n">
        <v>45812</v>
      </c>
      <c r="B45813">
        <f>TEXT(45812, "[$-0E0000]yyyy-mm-dd")</f>
        <v/>
      </c>
      <c r="C45813" t="inlineStr">
        <is>
          <t>2025-05-10</t>
        </is>
      </c>
    </row>
    <row r="45814">
      <c r="A45814" s="1" t="n">
        <v>45813</v>
      </c>
      <c r="B45814">
        <f>TEXT(45813, "[$-0E0000]yyyy-mm-dd")</f>
        <v/>
      </c>
      <c r="C45814" t="inlineStr">
        <is>
          <t>2025-05-11</t>
        </is>
      </c>
    </row>
    <row r="45815">
      <c r="A45815" s="1" t="n">
        <v>45814</v>
      </c>
      <c r="B45815">
        <f>TEXT(45814, "[$-0E0000]yyyy-mm-dd")</f>
        <v/>
      </c>
      <c r="C45815" t="inlineStr">
        <is>
          <t>2025-05-12</t>
        </is>
      </c>
    </row>
    <row r="45816">
      <c r="A45816" s="1" t="n">
        <v>45815</v>
      </c>
      <c r="B45816">
        <f>TEXT(45815, "[$-0E0000]yyyy-mm-dd")</f>
        <v/>
      </c>
      <c r="C45816" t="inlineStr">
        <is>
          <t>2025-05-13</t>
        </is>
      </c>
    </row>
    <row r="45817">
      <c r="A45817" s="1" t="n">
        <v>45816</v>
      </c>
      <c r="B45817">
        <f>TEXT(45816, "[$-0E0000]yyyy-mm-dd")</f>
        <v/>
      </c>
      <c r="C45817" t="inlineStr">
        <is>
          <t>2025-05-14</t>
        </is>
      </c>
    </row>
    <row r="45818">
      <c r="A45818" s="1" t="n">
        <v>45817</v>
      </c>
      <c r="B45818">
        <f>TEXT(45817, "[$-0E0000]yyyy-mm-dd")</f>
        <v/>
      </c>
      <c r="C45818" t="inlineStr">
        <is>
          <t>2025-05-15</t>
        </is>
      </c>
    </row>
    <row r="45819">
      <c r="A45819" s="1" t="n">
        <v>45818</v>
      </c>
      <c r="B45819">
        <f>TEXT(45818, "[$-0E0000]yyyy-mm-dd")</f>
        <v/>
      </c>
      <c r="C45819" t="inlineStr">
        <is>
          <t>2025-05-16</t>
        </is>
      </c>
    </row>
    <row r="45820">
      <c r="A45820" s="1" t="n">
        <v>45819</v>
      </c>
      <c r="B45820">
        <f>TEXT(45819, "[$-0E0000]yyyy-mm-dd")</f>
        <v/>
      </c>
      <c r="C45820" t="inlineStr">
        <is>
          <t>2025-05-17</t>
        </is>
      </c>
    </row>
    <row r="45821">
      <c r="A45821" s="1" t="n">
        <v>45820</v>
      </c>
      <c r="B45821">
        <f>TEXT(45820, "[$-0E0000]yyyy-mm-dd")</f>
        <v/>
      </c>
      <c r="C45821" t="inlineStr">
        <is>
          <t>2025-05-18</t>
        </is>
      </c>
    </row>
    <row r="45822">
      <c r="A45822" s="1" t="n">
        <v>45821</v>
      </c>
      <c r="B45822">
        <f>TEXT(45821, "[$-0E0000]yyyy-mm-dd")</f>
        <v/>
      </c>
      <c r="C45822" t="inlineStr">
        <is>
          <t>2025-05-19</t>
        </is>
      </c>
    </row>
    <row r="45823">
      <c r="A45823" s="1" t="n">
        <v>45822</v>
      </c>
      <c r="B45823">
        <f>TEXT(45822, "[$-0E0000]yyyy-mm-dd")</f>
        <v/>
      </c>
      <c r="C45823" t="inlineStr">
        <is>
          <t>2025-05-20</t>
        </is>
      </c>
    </row>
    <row r="45824">
      <c r="A45824" s="1" t="n">
        <v>45823</v>
      </c>
      <c r="B45824">
        <f>TEXT(45823, "[$-0E0000]yyyy-mm-dd")</f>
        <v/>
      </c>
      <c r="C45824" t="inlineStr">
        <is>
          <t>2025-05-21</t>
        </is>
      </c>
    </row>
    <row r="45825">
      <c r="A45825" s="1" t="n">
        <v>45824</v>
      </c>
      <c r="B45825">
        <f>TEXT(45824, "[$-0E0000]yyyy-mm-dd")</f>
        <v/>
      </c>
      <c r="C45825" t="inlineStr">
        <is>
          <t>2025-05-22</t>
        </is>
      </c>
    </row>
    <row r="45826">
      <c r="A45826" s="1" t="n">
        <v>45825</v>
      </c>
      <c r="B45826">
        <f>TEXT(45825, "[$-0E0000]yyyy-mm-dd")</f>
        <v/>
      </c>
      <c r="C45826" t="inlineStr">
        <is>
          <t>2025-05-23</t>
        </is>
      </c>
    </row>
    <row r="45827">
      <c r="A45827" s="1" t="n">
        <v>45826</v>
      </c>
      <c r="B45827">
        <f>TEXT(45826, "[$-0E0000]yyyy-mm-dd")</f>
        <v/>
      </c>
      <c r="C45827" t="inlineStr">
        <is>
          <t>2025-05-24</t>
        </is>
      </c>
    </row>
    <row r="45828">
      <c r="A45828" s="1" t="n">
        <v>45827</v>
      </c>
      <c r="B45828">
        <f>TEXT(45827, "[$-0E0000]yyyy-mm-dd")</f>
        <v/>
      </c>
      <c r="C45828" t="inlineStr">
        <is>
          <t>2025-05-25</t>
        </is>
      </c>
    </row>
    <row r="45829">
      <c r="A45829" s="1" t="n">
        <v>45828</v>
      </c>
      <c r="B45829">
        <f>TEXT(45828, "[$-0E0000]yyyy-mm-dd")</f>
        <v/>
      </c>
      <c r="C45829" t="inlineStr">
        <is>
          <t>2025-05-26</t>
        </is>
      </c>
    </row>
    <row r="45830">
      <c r="A45830" s="1" t="n">
        <v>45829</v>
      </c>
      <c r="B45830">
        <f>TEXT(45829, "[$-0E0000]yyyy-mm-dd")</f>
        <v/>
      </c>
      <c r="C45830" t="inlineStr">
        <is>
          <t>2025-05-27</t>
        </is>
      </c>
    </row>
    <row r="45831">
      <c r="A45831" s="1" t="n">
        <v>45830</v>
      </c>
      <c r="B45831">
        <f>TEXT(45830, "[$-0E0000]yyyy-mm-dd")</f>
        <v/>
      </c>
      <c r="C45831" t="inlineStr">
        <is>
          <t>2025-05-28</t>
        </is>
      </c>
    </row>
    <row r="45832">
      <c r="A45832" s="1" t="n">
        <v>45831</v>
      </c>
      <c r="B45832">
        <f>TEXT(45831, "[$-0E0000]yyyy-mm-dd")</f>
        <v/>
      </c>
      <c r="C45832" t="inlineStr">
        <is>
          <t>2025-05-29</t>
        </is>
      </c>
    </row>
    <row r="45833">
      <c r="A45833" s="1" t="n">
        <v>45832</v>
      </c>
      <c r="B45833">
        <f>TEXT(45832, "[$-0E0000]yyyy-mm-dd")</f>
        <v/>
      </c>
      <c r="C45833" t="inlineStr">
        <is>
          <t>2025-06-01</t>
        </is>
      </c>
    </row>
    <row r="45834">
      <c r="A45834" s="1" t="n">
        <v>45833</v>
      </c>
      <c r="B45834">
        <f>TEXT(45833, "[$-0E0000]yyyy-mm-dd")</f>
        <v/>
      </c>
      <c r="C45834" t="inlineStr">
        <is>
          <t>2025-06-02</t>
        </is>
      </c>
    </row>
    <row r="45835">
      <c r="A45835" s="1" t="n">
        <v>45834</v>
      </c>
      <c r="B45835">
        <f>TEXT(45834, "[$-0E0000]yyyy-mm-dd")</f>
        <v/>
      </c>
      <c r="C45835" t="inlineStr">
        <is>
          <t>2025-06-03</t>
        </is>
      </c>
    </row>
    <row r="45836">
      <c r="A45836" s="1" t="n">
        <v>45835</v>
      </c>
      <c r="B45836">
        <f>TEXT(45835, "[$-0E0000]yyyy-mm-dd")</f>
        <v/>
      </c>
      <c r="C45836" t="inlineStr">
        <is>
          <t>2025-06-04</t>
        </is>
      </c>
    </row>
    <row r="45837">
      <c r="A45837" s="1" t="n">
        <v>45836</v>
      </c>
      <c r="B45837">
        <f>TEXT(45836, "[$-0E0000]yyyy-mm-dd")</f>
        <v/>
      </c>
      <c r="C45837" t="inlineStr">
        <is>
          <t>2025-06-05</t>
        </is>
      </c>
    </row>
    <row r="45838">
      <c r="A45838" s="1" t="n">
        <v>45837</v>
      </c>
      <c r="B45838">
        <f>TEXT(45837, "[$-0E0000]yyyy-mm-dd")</f>
        <v/>
      </c>
      <c r="C45838" t="inlineStr">
        <is>
          <t>2025-06-06</t>
        </is>
      </c>
    </row>
    <row r="45839">
      <c r="A45839" s="1" t="n">
        <v>45838</v>
      </c>
      <c r="B45839">
        <f>TEXT(45838, "[$-0E0000]yyyy-mm-dd")</f>
        <v/>
      </c>
      <c r="C45839" t="inlineStr">
        <is>
          <t>2025-06-07</t>
        </is>
      </c>
    </row>
    <row r="45840">
      <c r="A45840" s="1" t="n">
        <v>45839</v>
      </c>
      <c r="B45840">
        <f>TEXT(45839, "[$-0E0000]yyyy-mm-dd")</f>
        <v/>
      </c>
      <c r="C45840" t="inlineStr">
        <is>
          <t>2025-06-08</t>
        </is>
      </c>
    </row>
    <row r="45841">
      <c r="A45841" s="1" t="n">
        <v>45840</v>
      </c>
      <c r="B45841">
        <f>TEXT(45840, "[$-0E0000]yyyy-mm-dd")</f>
        <v/>
      </c>
      <c r="C45841" t="inlineStr">
        <is>
          <t>2025-06-09</t>
        </is>
      </c>
    </row>
    <row r="45842">
      <c r="A45842" s="1" t="n">
        <v>45841</v>
      </c>
      <c r="B45842">
        <f>TEXT(45841, "[$-0E0000]yyyy-mm-dd")</f>
        <v/>
      </c>
      <c r="C45842" t="inlineStr">
        <is>
          <t>2025-06-10</t>
        </is>
      </c>
    </row>
    <row r="45843">
      <c r="A45843" s="1" t="n">
        <v>45842</v>
      </c>
      <c r="B45843">
        <f>TEXT(45842, "[$-0E0000]yyyy-mm-dd")</f>
        <v/>
      </c>
      <c r="C45843" t="inlineStr">
        <is>
          <t>2025-06-11</t>
        </is>
      </c>
    </row>
    <row r="45844">
      <c r="A45844" s="1" t="n">
        <v>45843</v>
      </c>
      <c r="B45844">
        <f>TEXT(45843, "[$-0E0000]yyyy-mm-dd")</f>
        <v/>
      </c>
      <c r="C45844" t="inlineStr">
        <is>
          <t>2025-06-12</t>
        </is>
      </c>
    </row>
    <row r="45845">
      <c r="A45845" s="1" t="n">
        <v>45844</v>
      </c>
      <c r="B45845">
        <f>TEXT(45844, "[$-0E0000]yyyy-mm-dd")</f>
        <v/>
      </c>
      <c r="C45845" t="inlineStr">
        <is>
          <t>2025-06-13</t>
        </is>
      </c>
    </row>
    <row r="45846">
      <c r="A45846" s="1" t="n">
        <v>45845</v>
      </c>
      <c r="B45846">
        <f>TEXT(45845, "[$-0E0000]yyyy-mm-dd")</f>
        <v/>
      </c>
      <c r="C45846" t="inlineStr">
        <is>
          <t>2025-06-14</t>
        </is>
      </c>
    </row>
    <row r="45847">
      <c r="A45847" s="1" t="n">
        <v>45846</v>
      </c>
      <c r="B45847">
        <f>TEXT(45846, "[$-0E0000]yyyy-mm-dd")</f>
        <v/>
      </c>
      <c r="C45847" t="inlineStr">
        <is>
          <t>2025-06-15</t>
        </is>
      </c>
    </row>
    <row r="45848">
      <c r="A45848" s="1" t="n">
        <v>45847</v>
      </c>
      <c r="B45848">
        <f>TEXT(45847, "[$-0E0000]yyyy-mm-dd")</f>
        <v/>
      </c>
      <c r="C45848" t="inlineStr">
        <is>
          <t>2025-06-16</t>
        </is>
      </c>
    </row>
    <row r="45849">
      <c r="A45849" s="1" t="n">
        <v>45848</v>
      </c>
      <c r="B45849">
        <f>TEXT(45848, "[$-0E0000]yyyy-mm-dd")</f>
        <v/>
      </c>
      <c r="C45849" t="inlineStr">
        <is>
          <t>2025-06-17</t>
        </is>
      </c>
    </row>
    <row r="45850">
      <c r="A45850" s="1" t="n">
        <v>45849</v>
      </c>
      <c r="B45850">
        <f>TEXT(45849, "[$-0E0000]yyyy-mm-dd")</f>
        <v/>
      </c>
      <c r="C45850" t="inlineStr">
        <is>
          <t>2025-06-18</t>
        </is>
      </c>
    </row>
    <row r="45851">
      <c r="A45851" s="1" t="n">
        <v>45850</v>
      </c>
      <c r="B45851">
        <f>TEXT(45850, "[$-0E0000]yyyy-mm-dd")</f>
        <v/>
      </c>
      <c r="C45851" t="inlineStr">
        <is>
          <t>2025-06-19</t>
        </is>
      </c>
    </row>
    <row r="45852">
      <c r="A45852" s="1" t="n">
        <v>45851</v>
      </c>
      <c r="B45852">
        <f>TEXT(45851, "[$-0E0000]yyyy-mm-dd")</f>
        <v/>
      </c>
      <c r="C45852" t="inlineStr">
        <is>
          <t>2025-06-20</t>
        </is>
      </c>
    </row>
    <row r="45853">
      <c r="A45853" s="1" t="n">
        <v>45852</v>
      </c>
      <c r="B45853">
        <f>TEXT(45852, "[$-0E0000]yyyy-mm-dd")</f>
        <v/>
      </c>
      <c r="C45853" t="inlineStr">
        <is>
          <t>2025-06-21</t>
        </is>
      </c>
    </row>
    <row r="45854">
      <c r="A45854" s="1" t="n">
        <v>45853</v>
      </c>
      <c r="B45854">
        <f>TEXT(45853, "[$-0E0000]yyyy-mm-dd")</f>
        <v/>
      </c>
      <c r="C45854" t="inlineStr">
        <is>
          <t>2025-06-22</t>
        </is>
      </c>
    </row>
    <row r="45855">
      <c r="A45855" s="1" t="n">
        <v>45854</v>
      </c>
      <c r="B45855">
        <f>TEXT(45854, "[$-0E0000]yyyy-mm-dd")</f>
        <v/>
      </c>
      <c r="C45855" t="inlineStr">
        <is>
          <t>2025-06-23</t>
        </is>
      </c>
    </row>
    <row r="45856">
      <c r="A45856" s="1" t="n">
        <v>45855</v>
      </c>
      <c r="B45856">
        <f>TEXT(45855, "[$-0E0000]yyyy-mm-dd")</f>
        <v/>
      </c>
      <c r="C45856" t="inlineStr">
        <is>
          <t>2025-06-24</t>
        </is>
      </c>
    </row>
    <row r="45857">
      <c r="A45857" s="1" t="n">
        <v>45856</v>
      </c>
      <c r="B45857">
        <f>TEXT(45856, "[$-0E0000]yyyy-mm-dd")</f>
        <v/>
      </c>
      <c r="C45857" t="inlineStr">
        <is>
          <t>2025-06-25</t>
        </is>
      </c>
    </row>
    <row r="45858">
      <c r="A45858" s="1" t="n">
        <v>45857</v>
      </c>
      <c r="B45858">
        <f>TEXT(45857, "[$-0E0000]yyyy-mm-dd")</f>
        <v/>
      </c>
      <c r="C45858" t="inlineStr">
        <is>
          <t>2025-06-26</t>
        </is>
      </c>
    </row>
    <row r="45859">
      <c r="A45859" s="1" t="n">
        <v>45858</v>
      </c>
      <c r="B45859">
        <f>TEXT(45858, "[$-0E0000]yyyy-mm-dd")</f>
        <v/>
      </c>
      <c r="C45859" t="inlineStr">
        <is>
          <t>2025-06-27</t>
        </is>
      </c>
    </row>
    <row r="45860">
      <c r="A45860" s="1" t="n">
        <v>45859</v>
      </c>
      <c r="B45860">
        <f>TEXT(45859, "[$-0E0000]yyyy-mm-dd")</f>
        <v/>
      </c>
      <c r="C45860" t="inlineStr">
        <is>
          <t>2025-06-28</t>
        </is>
      </c>
    </row>
    <row r="45861">
      <c r="A45861" s="1" t="n">
        <v>45860</v>
      </c>
      <c r="B45861">
        <f>TEXT(45860, "[$-0E0000]yyyy-mm-dd")</f>
        <v/>
      </c>
      <c r="C45861" t="inlineStr">
        <is>
          <t>2025-06-29</t>
        </is>
      </c>
    </row>
    <row r="45862">
      <c r="A45862" s="1" t="n">
        <v>45861</v>
      </c>
      <c r="B45862">
        <f>TEXT(45861, "[$-0E0000]yyyy-mm-dd")</f>
        <v/>
      </c>
      <c r="C45862" t="inlineStr">
        <is>
          <t>2025-06-30</t>
        </is>
      </c>
    </row>
    <row r="45863">
      <c r="A45863" s="1" t="n">
        <v>45862</v>
      </c>
      <c r="B45863">
        <f>TEXT(45862, "[$-0E0000]yyyy-mm-dd")</f>
        <v/>
      </c>
      <c r="C45863" t="inlineStr">
        <is>
          <t>2025-06-01</t>
        </is>
      </c>
    </row>
    <row r="45864">
      <c r="A45864" s="1" t="n">
        <v>45863</v>
      </c>
      <c r="B45864">
        <f>TEXT(45863, "[$-0E0000]yyyy-mm-dd")</f>
        <v/>
      </c>
      <c r="C45864" t="inlineStr">
        <is>
          <t>2025-06-02</t>
        </is>
      </c>
    </row>
    <row r="45865">
      <c r="A45865" s="1" t="n">
        <v>45864</v>
      </c>
      <c r="B45865">
        <f>TEXT(45864, "[$-0E0000]yyyy-mm-dd")</f>
        <v/>
      </c>
      <c r="C45865" t="inlineStr">
        <is>
          <t>2025-06-03</t>
        </is>
      </c>
    </row>
    <row r="45866">
      <c r="A45866" s="1" t="n">
        <v>45865</v>
      </c>
      <c r="B45866">
        <f>TEXT(45865, "[$-0E0000]yyyy-mm-dd")</f>
        <v/>
      </c>
      <c r="C45866" t="inlineStr">
        <is>
          <t>2025-06-04</t>
        </is>
      </c>
    </row>
    <row r="45867">
      <c r="A45867" s="1" t="n">
        <v>45866</v>
      </c>
      <c r="B45867">
        <f>TEXT(45866, "[$-0E0000]yyyy-mm-dd")</f>
        <v/>
      </c>
      <c r="C45867" t="inlineStr">
        <is>
          <t>2025-06-05</t>
        </is>
      </c>
    </row>
    <row r="45868">
      <c r="A45868" s="1" t="n">
        <v>45867</v>
      </c>
      <c r="B45868">
        <f>TEXT(45867, "[$-0E0000]yyyy-mm-dd")</f>
        <v/>
      </c>
      <c r="C45868" t="inlineStr">
        <is>
          <t>2025-06-06</t>
        </is>
      </c>
    </row>
    <row r="45869">
      <c r="A45869" s="1" t="n">
        <v>45868</v>
      </c>
      <c r="B45869">
        <f>TEXT(45868, "[$-0E0000]yyyy-mm-dd")</f>
        <v/>
      </c>
      <c r="C45869" t="inlineStr">
        <is>
          <t>2025-06-07</t>
        </is>
      </c>
    </row>
    <row r="45870">
      <c r="A45870" s="1" t="n">
        <v>45869</v>
      </c>
      <c r="B45870">
        <f>TEXT(45869, "[$-0E0000]yyyy-mm-dd")</f>
        <v/>
      </c>
      <c r="C45870" t="inlineStr">
        <is>
          <t>2025-06-08</t>
        </is>
      </c>
    </row>
    <row r="45871">
      <c r="A45871" s="1" t="n">
        <v>45870</v>
      </c>
      <c r="B45871">
        <f>TEXT(45870, "[$-0E0000]yyyy-mm-dd")</f>
        <v/>
      </c>
      <c r="C45871" t="inlineStr">
        <is>
          <t>2025-06-09</t>
        </is>
      </c>
    </row>
    <row r="45872">
      <c r="A45872" s="1" t="n">
        <v>45871</v>
      </c>
      <c r="B45872">
        <f>TEXT(45871, "[$-0E0000]yyyy-mm-dd")</f>
        <v/>
      </c>
      <c r="C45872" t="inlineStr">
        <is>
          <t>2025-06-10</t>
        </is>
      </c>
    </row>
    <row r="45873">
      <c r="A45873" s="1" t="n">
        <v>45872</v>
      </c>
      <c r="B45873">
        <f>TEXT(45872, "[$-0E0000]yyyy-mm-dd")</f>
        <v/>
      </c>
      <c r="C45873" t="inlineStr">
        <is>
          <t>2025-06-11</t>
        </is>
      </c>
    </row>
    <row r="45874">
      <c r="A45874" s="1" t="n">
        <v>45873</v>
      </c>
      <c r="B45874">
        <f>TEXT(45873, "[$-0E0000]yyyy-mm-dd")</f>
        <v/>
      </c>
      <c r="C45874" t="inlineStr">
        <is>
          <t>2025-06-12</t>
        </is>
      </c>
    </row>
    <row r="45875">
      <c r="A45875" s="1" t="n">
        <v>45874</v>
      </c>
      <c r="B45875">
        <f>TEXT(45874, "[$-0E0000]yyyy-mm-dd")</f>
        <v/>
      </c>
      <c r="C45875" t="inlineStr">
        <is>
          <t>2025-06-13</t>
        </is>
      </c>
    </row>
    <row r="45876">
      <c r="A45876" s="1" t="n">
        <v>45875</v>
      </c>
      <c r="B45876">
        <f>TEXT(45875, "[$-0E0000]yyyy-mm-dd")</f>
        <v/>
      </c>
      <c r="C45876" t="inlineStr">
        <is>
          <t>2025-06-14</t>
        </is>
      </c>
    </row>
    <row r="45877">
      <c r="A45877" s="1" t="n">
        <v>45876</v>
      </c>
      <c r="B45877">
        <f>TEXT(45876, "[$-0E0000]yyyy-mm-dd")</f>
        <v/>
      </c>
      <c r="C45877" t="inlineStr">
        <is>
          <t>2025-06-15</t>
        </is>
      </c>
    </row>
    <row r="45878">
      <c r="A45878" s="1" t="n">
        <v>45877</v>
      </c>
      <c r="B45878">
        <f>TEXT(45877, "[$-0E0000]yyyy-mm-dd")</f>
        <v/>
      </c>
      <c r="C45878" t="inlineStr">
        <is>
          <t>2025-06-16</t>
        </is>
      </c>
    </row>
    <row r="45879">
      <c r="A45879" s="1" t="n">
        <v>45878</v>
      </c>
      <c r="B45879">
        <f>TEXT(45878, "[$-0E0000]yyyy-mm-dd")</f>
        <v/>
      </c>
      <c r="C45879" t="inlineStr">
        <is>
          <t>2025-06-17</t>
        </is>
      </c>
    </row>
    <row r="45880">
      <c r="A45880" s="1" t="n">
        <v>45879</v>
      </c>
      <c r="B45880">
        <f>TEXT(45879, "[$-0E0000]yyyy-mm-dd")</f>
        <v/>
      </c>
      <c r="C45880" t="inlineStr">
        <is>
          <t>2025-06-18</t>
        </is>
      </c>
    </row>
    <row r="45881">
      <c r="A45881" s="1" t="n">
        <v>45880</v>
      </c>
      <c r="B45881">
        <f>TEXT(45880, "[$-0E0000]yyyy-mm-dd")</f>
        <v/>
      </c>
      <c r="C45881" t="inlineStr">
        <is>
          <t>2025-06-19</t>
        </is>
      </c>
    </row>
    <row r="45882">
      <c r="A45882" s="1" t="n">
        <v>45881</v>
      </c>
      <c r="B45882">
        <f>TEXT(45881, "[$-0E0000]yyyy-mm-dd")</f>
        <v/>
      </c>
      <c r="C45882" t="inlineStr">
        <is>
          <t>2025-06-20</t>
        </is>
      </c>
    </row>
    <row r="45883">
      <c r="A45883" s="1" t="n">
        <v>45882</v>
      </c>
      <c r="B45883">
        <f>TEXT(45882, "[$-0E0000]yyyy-mm-dd")</f>
        <v/>
      </c>
      <c r="C45883" t="inlineStr">
        <is>
          <t>2025-06-21</t>
        </is>
      </c>
    </row>
    <row r="45884">
      <c r="A45884" s="1" t="n">
        <v>45883</v>
      </c>
      <c r="B45884">
        <f>TEXT(45883, "[$-0E0000]yyyy-mm-dd")</f>
        <v/>
      </c>
      <c r="C45884" t="inlineStr">
        <is>
          <t>2025-06-22</t>
        </is>
      </c>
    </row>
    <row r="45885">
      <c r="A45885" s="1" t="n">
        <v>45884</v>
      </c>
      <c r="B45885">
        <f>TEXT(45884, "[$-0E0000]yyyy-mm-dd")</f>
        <v/>
      </c>
      <c r="C45885" t="inlineStr">
        <is>
          <t>2025-06-23</t>
        </is>
      </c>
    </row>
    <row r="45886">
      <c r="A45886" s="1" t="n">
        <v>45885</v>
      </c>
      <c r="B45886">
        <f>TEXT(45885, "[$-0E0000]yyyy-mm-dd")</f>
        <v/>
      </c>
      <c r="C45886" t="inlineStr">
        <is>
          <t>2025-06-24</t>
        </is>
      </c>
    </row>
    <row r="45887">
      <c r="A45887" s="1" t="n">
        <v>45886</v>
      </c>
      <c r="B45887">
        <f>TEXT(45886, "[$-0E0000]yyyy-mm-dd")</f>
        <v/>
      </c>
      <c r="C45887" t="inlineStr">
        <is>
          <t>2025-06-25</t>
        </is>
      </c>
    </row>
    <row r="45888">
      <c r="A45888" s="1" t="n">
        <v>45887</v>
      </c>
      <c r="B45888">
        <f>TEXT(45887, "[$-0E0000]yyyy-mm-dd")</f>
        <v/>
      </c>
      <c r="C45888" t="inlineStr">
        <is>
          <t>2025-06-26</t>
        </is>
      </c>
    </row>
    <row r="45889">
      <c r="A45889" s="1" t="n">
        <v>45888</v>
      </c>
      <c r="B45889">
        <f>TEXT(45888, "[$-0E0000]yyyy-mm-dd")</f>
        <v/>
      </c>
      <c r="C45889" t="inlineStr">
        <is>
          <t>2025-06-27</t>
        </is>
      </c>
    </row>
    <row r="45890">
      <c r="A45890" s="1" t="n">
        <v>45889</v>
      </c>
      <c r="B45890">
        <f>TEXT(45889, "[$-0E0000]yyyy-mm-dd")</f>
        <v/>
      </c>
      <c r="C45890" t="inlineStr">
        <is>
          <t>2025-06-28</t>
        </is>
      </c>
    </row>
    <row r="45891">
      <c r="A45891" s="1" t="n">
        <v>45890</v>
      </c>
      <c r="B45891">
        <f>TEXT(45890, "[$-0E0000]yyyy-mm-dd")</f>
        <v/>
      </c>
      <c r="C45891" t="inlineStr">
        <is>
          <t>2025-06-29</t>
        </is>
      </c>
    </row>
    <row r="45892">
      <c r="A45892" s="1" t="n">
        <v>45891</v>
      </c>
      <c r="B45892">
        <f>TEXT(45891, "[$-0E0000]yyyy-mm-dd")</f>
        <v/>
      </c>
      <c r="C45892" t="inlineStr">
        <is>
          <t>2025-07-01</t>
        </is>
      </c>
    </row>
    <row r="45893">
      <c r="A45893" s="1" t="n">
        <v>45892</v>
      </c>
      <c r="B45893">
        <f>TEXT(45892, "[$-0E0000]yyyy-mm-dd")</f>
        <v/>
      </c>
      <c r="C45893" t="inlineStr">
        <is>
          <t>2025-07-02</t>
        </is>
      </c>
    </row>
    <row r="45894">
      <c r="A45894" s="1" t="n">
        <v>45893</v>
      </c>
      <c r="B45894">
        <f>TEXT(45893, "[$-0E0000]yyyy-mm-dd")</f>
        <v/>
      </c>
      <c r="C45894" t="inlineStr">
        <is>
          <t>2025-07-03</t>
        </is>
      </c>
    </row>
    <row r="45895">
      <c r="A45895" s="1" t="n">
        <v>45894</v>
      </c>
      <c r="B45895">
        <f>TEXT(45894, "[$-0E0000]yyyy-mm-dd")</f>
        <v/>
      </c>
      <c r="C45895" t="inlineStr">
        <is>
          <t>2025-07-04</t>
        </is>
      </c>
    </row>
    <row r="45896">
      <c r="A45896" s="1" t="n">
        <v>45895</v>
      </c>
      <c r="B45896">
        <f>TEXT(45895, "[$-0E0000]yyyy-mm-dd")</f>
        <v/>
      </c>
      <c r="C45896" t="inlineStr">
        <is>
          <t>2025-07-05</t>
        </is>
      </c>
    </row>
    <row r="45897">
      <c r="A45897" s="1" t="n">
        <v>45896</v>
      </c>
      <c r="B45897">
        <f>TEXT(45896, "[$-0E0000]yyyy-mm-dd")</f>
        <v/>
      </c>
      <c r="C45897" t="inlineStr">
        <is>
          <t>2025-07-06</t>
        </is>
      </c>
    </row>
    <row r="45898">
      <c r="A45898" s="1" t="n">
        <v>45897</v>
      </c>
      <c r="B45898">
        <f>TEXT(45897, "[$-0E0000]yyyy-mm-dd")</f>
        <v/>
      </c>
      <c r="C45898" t="inlineStr">
        <is>
          <t>2025-07-07</t>
        </is>
      </c>
    </row>
    <row r="45899">
      <c r="A45899" s="1" t="n">
        <v>45898</v>
      </c>
      <c r="B45899">
        <f>TEXT(45898, "[$-0E0000]yyyy-mm-dd")</f>
        <v/>
      </c>
      <c r="C45899" t="inlineStr">
        <is>
          <t>2025-07-08</t>
        </is>
      </c>
    </row>
    <row r="45900">
      <c r="A45900" s="1" t="n">
        <v>45899</v>
      </c>
      <c r="B45900">
        <f>TEXT(45899, "[$-0E0000]yyyy-mm-dd")</f>
        <v/>
      </c>
      <c r="C45900" t="inlineStr">
        <is>
          <t>2025-07-09</t>
        </is>
      </c>
    </row>
    <row r="45901">
      <c r="A45901" s="1" t="n">
        <v>45900</v>
      </c>
      <c r="B45901">
        <f>TEXT(45900, "[$-0E0000]yyyy-mm-dd")</f>
        <v/>
      </c>
      <c r="C45901" t="inlineStr">
        <is>
          <t>2025-07-10</t>
        </is>
      </c>
    </row>
    <row r="45902">
      <c r="A45902" s="1" t="n">
        <v>45901</v>
      </c>
      <c r="B45902">
        <f>TEXT(45901, "[$-0E0000]yyyy-mm-dd")</f>
        <v/>
      </c>
      <c r="C45902" t="inlineStr">
        <is>
          <t>2025-07-11</t>
        </is>
      </c>
    </row>
    <row r="45903">
      <c r="A45903" s="1" t="n">
        <v>45902</v>
      </c>
      <c r="B45903">
        <f>TEXT(45902, "[$-0E0000]yyyy-mm-dd")</f>
        <v/>
      </c>
      <c r="C45903" t="inlineStr">
        <is>
          <t>2025-07-12</t>
        </is>
      </c>
    </row>
    <row r="45904">
      <c r="A45904" s="1" t="n">
        <v>45903</v>
      </c>
      <c r="B45904">
        <f>TEXT(45903, "[$-0E0000]yyyy-mm-dd")</f>
        <v/>
      </c>
      <c r="C45904" t="inlineStr">
        <is>
          <t>2025-07-13</t>
        </is>
      </c>
    </row>
    <row r="45905">
      <c r="A45905" s="1" t="n">
        <v>45904</v>
      </c>
      <c r="B45905">
        <f>TEXT(45904, "[$-0E0000]yyyy-mm-dd")</f>
        <v/>
      </c>
      <c r="C45905" t="inlineStr">
        <is>
          <t>2025-07-14</t>
        </is>
      </c>
    </row>
    <row r="45906">
      <c r="A45906" s="1" t="n">
        <v>45905</v>
      </c>
      <c r="B45906">
        <f>TEXT(45905, "[$-0E0000]yyyy-mm-dd")</f>
        <v/>
      </c>
      <c r="C45906" t="inlineStr">
        <is>
          <t>2025-07-15</t>
        </is>
      </c>
    </row>
    <row r="45907">
      <c r="A45907" s="1" t="n">
        <v>45906</v>
      </c>
      <c r="B45907">
        <f>TEXT(45906, "[$-0E0000]yyyy-mm-dd")</f>
        <v/>
      </c>
      <c r="C45907" t="inlineStr">
        <is>
          <t>2025-07-16</t>
        </is>
      </c>
    </row>
    <row r="45908">
      <c r="A45908" s="1" t="n">
        <v>45907</v>
      </c>
      <c r="B45908">
        <f>TEXT(45907, "[$-0E0000]yyyy-mm-dd")</f>
        <v/>
      </c>
      <c r="C45908" t="inlineStr">
        <is>
          <t>2025-07-17</t>
        </is>
      </c>
    </row>
    <row r="45909">
      <c r="A45909" s="1" t="n">
        <v>45908</v>
      </c>
      <c r="B45909">
        <f>TEXT(45908, "[$-0E0000]yyyy-mm-dd")</f>
        <v/>
      </c>
      <c r="C45909" t="inlineStr">
        <is>
          <t>2025-07-18</t>
        </is>
      </c>
    </row>
    <row r="45910">
      <c r="A45910" s="1" t="n">
        <v>45909</v>
      </c>
      <c r="B45910">
        <f>TEXT(45909, "[$-0E0000]yyyy-mm-dd")</f>
        <v/>
      </c>
      <c r="C45910" t="inlineStr">
        <is>
          <t>2025-07-19</t>
        </is>
      </c>
    </row>
    <row r="45911">
      <c r="A45911" s="1" t="n">
        <v>45910</v>
      </c>
      <c r="B45911">
        <f>TEXT(45910, "[$-0E0000]yyyy-mm-dd")</f>
        <v/>
      </c>
      <c r="C45911" t="inlineStr">
        <is>
          <t>2025-07-20</t>
        </is>
      </c>
    </row>
    <row r="45912">
      <c r="A45912" s="1" t="n">
        <v>45911</v>
      </c>
      <c r="B45912">
        <f>TEXT(45911, "[$-0E0000]yyyy-mm-dd")</f>
        <v/>
      </c>
      <c r="C45912" t="inlineStr">
        <is>
          <t>2025-07-21</t>
        </is>
      </c>
    </row>
    <row r="45913">
      <c r="A45913" s="1" t="n">
        <v>45912</v>
      </c>
      <c r="B45913">
        <f>TEXT(45912, "[$-0E0000]yyyy-mm-dd")</f>
        <v/>
      </c>
      <c r="C45913" t="inlineStr">
        <is>
          <t>2025-07-22</t>
        </is>
      </c>
    </row>
    <row r="45914">
      <c r="A45914" s="1" t="n">
        <v>45913</v>
      </c>
      <c r="B45914">
        <f>TEXT(45913, "[$-0E0000]yyyy-mm-dd")</f>
        <v/>
      </c>
      <c r="C45914" t="inlineStr">
        <is>
          <t>2025-07-23</t>
        </is>
      </c>
    </row>
    <row r="45915">
      <c r="A45915" s="1" t="n">
        <v>45914</v>
      </c>
      <c r="B45915">
        <f>TEXT(45914, "[$-0E0000]yyyy-mm-dd")</f>
        <v/>
      </c>
      <c r="C45915" t="inlineStr">
        <is>
          <t>2025-07-24</t>
        </is>
      </c>
    </row>
    <row r="45916">
      <c r="A45916" s="1" t="n">
        <v>45915</v>
      </c>
      <c r="B45916">
        <f>TEXT(45915, "[$-0E0000]yyyy-mm-dd")</f>
        <v/>
      </c>
      <c r="C45916" t="inlineStr">
        <is>
          <t>2025-07-25</t>
        </is>
      </c>
    </row>
    <row r="45917">
      <c r="A45917" s="1" t="n">
        <v>45916</v>
      </c>
      <c r="B45917">
        <f>TEXT(45916, "[$-0E0000]yyyy-mm-dd")</f>
        <v/>
      </c>
      <c r="C45917" t="inlineStr">
        <is>
          <t>2025-07-26</t>
        </is>
      </c>
    </row>
    <row r="45918">
      <c r="A45918" s="1" t="n">
        <v>45917</v>
      </c>
      <c r="B45918">
        <f>TEXT(45917, "[$-0E0000]yyyy-mm-dd")</f>
        <v/>
      </c>
      <c r="C45918" t="inlineStr">
        <is>
          <t>2025-07-27</t>
        </is>
      </c>
    </row>
    <row r="45919">
      <c r="A45919" s="1" t="n">
        <v>45918</v>
      </c>
      <c r="B45919">
        <f>TEXT(45918, "[$-0E0000]yyyy-mm-dd")</f>
        <v/>
      </c>
      <c r="C45919" t="inlineStr">
        <is>
          <t>2025-07-28</t>
        </is>
      </c>
    </row>
    <row r="45920">
      <c r="A45920" s="1" t="n">
        <v>45919</v>
      </c>
      <c r="B45920">
        <f>TEXT(45919, "[$-0E0000]yyyy-mm-dd")</f>
        <v/>
      </c>
      <c r="C45920" t="inlineStr">
        <is>
          <t>2025-07-29</t>
        </is>
      </c>
    </row>
    <row r="45921">
      <c r="A45921" s="1" t="n">
        <v>45920</v>
      </c>
      <c r="B45921">
        <f>TEXT(45920, "[$-0E0000]yyyy-mm-dd")</f>
        <v/>
      </c>
      <c r="C45921" t="inlineStr">
        <is>
          <t>2025-07-30</t>
        </is>
      </c>
    </row>
    <row r="45922">
      <c r="A45922" s="1" t="n">
        <v>45921</v>
      </c>
      <c r="B45922">
        <f>TEXT(45921, "[$-0E0000]yyyy-mm-dd")</f>
        <v/>
      </c>
      <c r="C45922" t="inlineStr">
        <is>
          <t>2025-08-01</t>
        </is>
      </c>
    </row>
    <row r="45923">
      <c r="A45923" s="1" t="n">
        <v>45922</v>
      </c>
      <c r="B45923">
        <f>TEXT(45922, "[$-0E0000]yyyy-mm-dd")</f>
        <v/>
      </c>
      <c r="C45923" t="inlineStr">
        <is>
          <t>2025-08-02</t>
        </is>
      </c>
    </row>
    <row r="45924">
      <c r="A45924" s="1" t="n">
        <v>45923</v>
      </c>
      <c r="B45924">
        <f>TEXT(45923, "[$-0E0000]yyyy-mm-dd")</f>
        <v/>
      </c>
      <c r="C45924" t="inlineStr">
        <is>
          <t>2025-08-03</t>
        </is>
      </c>
    </row>
    <row r="45925">
      <c r="A45925" s="1" t="n">
        <v>45924</v>
      </c>
      <c r="B45925">
        <f>TEXT(45924, "[$-0E0000]yyyy-mm-dd")</f>
        <v/>
      </c>
      <c r="C45925" t="inlineStr">
        <is>
          <t>2025-08-04</t>
        </is>
      </c>
    </row>
    <row r="45926">
      <c r="A45926" s="1" t="n">
        <v>45925</v>
      </c>
      <c r="B45926">
        <f>TEXT(45925, "[$-0E0000]yyyy-mm-dd")</f>
        <v/>
      </c>
      <c r="C45926" t="inlineStr">
        <is>
          <t>2025-08-05</t>
        </is>
      </c>
    </row>
    <row r="45927">
      <c r="A45927" s="1" t="n">
        <v>45926</v>
      </c>
      <c r="B45927">
        <f>TEXT(45926, "[$-0E0000]yyyy-mm-dd")</f>
        <v/>
      </c>
      <c r="C45927" t="inlineStr">
        <is>
          <t>2025-08-06</t>
        </is>
      </c>
    </row>
    <row r="45928">
      <c r="A45928" s="1" t="n">
        <v>45927</v>
      </c>
      <c r="B45928">
        <f>TEXT(45927, "[$-0E0000]yyyy-mm-dd")</f>
        <v/>
      </c>
      <c r="C45928" t="inlineStr">
        <is>
          <t>2025-08-07</t>
        </is>
      </c>
    </row>
    <row r="45929">
      <c r="A45929" s="1" t="n">
        <v>45928</v>
      </c>
      <c r="B45929">
        <f>TEXT(45928, "[$-0E0000]yyyy-mm-dd")</f>
        <v/>
      </c>
      <c r="C45929" t="inlineStr">
        <is>
          <t>2025-08-08</t>
        </is>
      </c>
    </row>
    <row r="45930">
      <c r="A45930" s="1" t="n">
        <v>45929</v>
      </c>
      <c r="B45930">
        <f>TEXT(45929, "[$-0E0000]yyyy-mm-dd")</f>
        <v/>
      </c>
      <c r="C45930" t="inlineStr">
        <is>
          <t>2025-08-09</t>
        </is>
      </c>
    </row>
    <row r="45931">
      <c r="A45931" s="1" t="n">
        <v>45930</v>
      </c>
      <c r="B45931">
        <f>TEXT(45930, "[$-0E0000]yyyy-mm-dd")</f>
        <v/>
      </c>
      <c r="C45931" t="inlineStr">
        <is>
          <t>2025-08-10</t>
        </is>
      </c>
    </row>
    <row r="45932">
      <c r="A45932" s="1" t="n">
        <v>45931</v>
      </c>
      <c r="B45932">
        <f>TEXT(45931, "[$-0E0000]yyyy-mm-dd")</f>
        <v/>
      </c>
      <c r="C45932" t="inlineStr">
        <is>
          <t>2025-08-11</t>
        </is>
      </c>
    </row>
    <row r="45933">
      <c r="A45933" s="1" t="n">
        <v>45932</v>
      </c>
      <c r="B45933">
        <f>TEXT(45932, "[$-0E0000]yyyy-mm-dd")</f>
        <v/>
      </c>
      <c r="C45933" t="inlineStr">
        <is>
          <t>2025-08-12</t>
        </is>
      </c>
    </row>
    <row r="45934">
      <c r="A45934" s="1" t="n">
        <v>45933</v>
      </c>
      <c r="B45934">
        <f>TEXT(45933, "[$-0E0000]yyyy-mm-dd")</f>
        <v/>
      </c>
      <c r="C45934" t="inlineStr">
        <is>
          <t>2025-08-13</t>
        </is>
      </c>
    </row>
    <row r="45935">
      <c r="A45935" s="1" t="n">
        <v>45934</v>
      </c>
      <c r="B45935">
        <f>TEXT(45934, "[$-0E0000]yyyy-mm-dd")</f>
        <v/>
      </c>
      <c r="C45935" t="inlineStr">
        <is>
          <t>2025-08-14</t>
        </is>
      </c>
    </row>
    <row r="45936">
      <c r="A45936" s="1" t="n">
        <v>45935</v>
      </c>
      <c r="B45936">
        <f>TEXT(45935, "[$-0E0000]yyyy-mm-dd")</f>
        <v/>
      </c>
      <c r="C45936" t="inlineStr">
        <is>
          <t>2025-08-15</t>
        </is>
      </c>
    </row>
    <row r="45937">
      <c r="A45937" s="1" t="n">
        <v>45936</v>
      </c>
      <c r="B45937">
        <f>TEXT(45936, "[$-0E0000]yyyy-mm-dd")</f>
        <v/>
      </c>
      <c r="C45937" t="inlineStr">
        <is>
          <t>2025-08-16</t>
        </is>
      </c>
    </row>
    <row r="45938">
      <c r="A45938" s="1" t="n">
        <v>45937</v>
      </c>
      <c r="B45938">
        <f>TEXT(45937, "[$-0E0000]yyyy-mm-dd")</f>
        <v/>
      </c>
      <c r="C45938" t="inlineStr">
        <is>
          <t>2025-08-17</t>
        </is>
      </c>
    </row>
    <row r="45939">
      <c r="A45939" s="1" t="n">
        <v>45938</v>
      </c>
      <c r="B45939">
        <f>TEXT(45938, "[$-0E0000]yyyy-mm-dd")</f>
        <v/>
      </c>
      <c r="C45939" t="inlineStr">
        <is>
          <t>2025-08-18</t>
        </is>
      </c>
    </row>
    <row r="45940">
      <c r="A45940" s="1" t="n">
        <v>45939</v>
      </c>
      <c r="B45940">
        <f>TEXT(45939, "[$-0E0000]yyyy-mm-dd")</f>
        <v/>
      </c>
      <c r="C45940" t="inlineStr">
        <is>
          <t>2025-08-19</t>
        </is>
      </c>
    </row>
    <row r="45941">
      <c r="A45941" s="1" t="n">
        <v>45940</v>
      </c>
      <c r="B45941">
        <f>TEXT(45940, "[$-0E0000]yyyy-mm-dd")</f>
        <v/>
      </c>
      <c r="C45941" t="inlineStr">
        <is>
          <t>2025-08-20</t>
        </is>
      </c>
    </row>
    <row r="45942">
      <c r="A45942" s="1" t="n">
        <v>45941</v>
      </c>
      <c r="B45942">
        <f>TEXT(45941, "[$-0E0000]yyyy-mm-dd")</f>
        <v/>
      </c>
      <c r="C45942" t="inlineStr">
        <is>
          <t>2025-08-21</t>
        </is>
      </c>
    </row>
    <row r="45943">
      <c r="A45943" s="1" t="n">
        <v>45942</v>
      </c>
      <c r="B45943">
        <f>TEXT(45942, "[$-0E0000]yyyy-mm-dd")</f>
        <v/>
      </c>
      <c r="C45943" t="inlineStr">
        <is>
          <t>2025-08-22</t>
        </is>
      </c>
    </row>
    <row r="45944">
      <c r="A45944" s="1" t="n">
        <v>45943</v>
      </c>
      <c r="B45944">
        <f>TEXT(45943, "[$-0E0000]yyyy-mm-dd")</f>
        <v/>
      </c>
      <c r="C45944" t="inlineStr">
        <is>
          <t>2025-08-23</t>
        </is>
      </c>
    </row>
    <row r="45945">
      <c r="A45945" s="1" t="n">
        <v>45944</v>
      </c>
      <c r="B45945">
        <f>TEXT(45944, "[$-0E0000]yyyy-mm-dd")</f>
        <v/>
      </c>
      <c r="C45945" t="inlineStr">
        <is>
          <t>2025-08-24</t>
        </is>
      </c>
    </row>
    <row r="45946">
      <c r="A45946" s="1" t="n">
        <v>45945</v>
      </c>
      <c r="B45946">
        <f>TEXT(45945, "[$-0E0000]yyyy-mm-dd")</f>
        <v/>
      </c>
      <c r="C45946" t="inlineStr">
        <is>
          <t>2025-08-25</t>
        </is>
      </c>
    </row>
    <row r="45947">
      <c r="A45947" s="1" t="n">
        <v>45946</v>
      </c>
      <c r="B45947">
        <f>TEXT(45946, "[$-0E0000]yyyy-mm-dd")</f>
        <v/>
      </c>
      <c r="C45947" t="inlineStr">
        <is>
          <t>2025-08-26</t>
        </is>
      </c>
    </row>
    <row r="45948">
      <c r="A45948" s="1" t="n">
        <v>45947</v>
      </c>
      <c r="B45948">
        <f>TEXT(45947, "[$-0E0000]yyyy-mm-dd")</f>
        <v/>
      </c>
      <c r="C45948" t="inlineStr">
        <is>
          <t>2025-08-27</t>
        </is>
      </c>
    </row>
    <row r="45949">
      <c r="A45949" s="1" t="n">
        <v>45948</v>
      </c>
      <c r="B45949">
        <f>TEXT(45948, "[$-0E0000]yyyy-mm-dd")</f>
        <v/>
      </c>
      <c r="C45949" t="inlineStr">
        <is>
          <t>2025-08-28</t>
        </is>
      </c>
    </row>
    <row r="45950">
      <c r="A45950" s="1" t="n">
        <v>45949</v>
      </c>
      <c r="B45950">
        <f>TEXT(45949, "[$-0E0000]yyyy-mm-dd")</f>
        <v/>
      </c>
      <c r="C45950" t="inlineStr">
        <is>
          <t>2025-08-29</t>
        </is>
      </c>
    </row>
    <row r="45951">
      <c r="A45951" s="1" t="n">
        <v>45950</v>
      </c>
      <c r="B45951">
        <f>TEXT(45950, "[$-0E0000]yyyy-mm-dd")</f>
        <v/>
      </c>
      <c r="C45951" t="inlineStr">
        <is>
          <t>2025-09-01</t>
        </is>
      </c>
    </row>
    <row r="45952">
      <c r="A45952" s="1" t="n">
        <v>45951</v>
      </c>
      <c r="B45952">
        <f>TEXT(45951, "[$-0E0000]yyyy-mm-dd")</f>
        <v/>
      </c>
      <c r="C45952" t="inlineStr">
        <is>
          <t>2025-09-02</t>
        </is>
      </c>
    </row>
    <row r="45953">
      <c r="A45953" s="1" t="n">
        <v>45952</v>
      </c>
      <c r="B45953">
        <f>TEXT(45952, "[$-0E0000]yyyy-mm-dd")</f>
        <v/>
      </c>
      <c r="C45953" t="inlineStr">
        <is>
          <t>2025-09-03</t>
        </is>
      </c>
    </row>
    <row r="45954">
      <c r="A45954" s="1" t="n">
        <v>45953</v>
      </c>
      <c r="B45954">
        <f>TEXT(45953, "[$-0E0000]yyyy-mm-dd")</f>
        <v/>
      </c>
      <c r="C45954" t="inlineStr">
        <is>
          <t>2025-09-04</t>
        </is>
      </c>
    </row>
    <row r="45955">
      <c r="A45955" s="1" t="n">
        <v>45954</v>
      </c>
      <c r="B45955">
        <f>TEXT(45954, "[$-0E0000]yyyy-mm-dd")</f>
        <v/>
      </c>
      <c r="C45955" t="inlineStr">
        <is>
          <t>2025-09-05</t>
        </is>
      </c>
    </row>
    <row r="45956">
      <c r="A45956" s="1" t="n">
        <v>45955</v>
      </c>
      <c r="B45956">
        <f>TEXT(45955, "[$-0E0000]yyyy-mm-dd")</f>
        <v/>
      </c>
      <c r="C45956" t="inlineStr">
        <is>
          <t>2025-09-06</t>
        </is>
      </c>
    </row>
    <row r="45957">
      <c r="A45957" s="1" t="n">
        <v>45956</v>
      </c>
      <c r="B45957">
        <f>TEXT(45956, "[$-0E0000]yyyy-mm-dd")</f>
        <v/>
      </c>
      <c r="C45957" t="inlineStr">
        <is>
          <t>2025-09-07</t>
        </is>
      </c>
    </row>
    <row r="45958">
      <c r="A45958" s="1" t="n">
        <v>45957</v>
      </c>
      <c r="B45958">
        <f>TEXT(45957, "[$-0E0000]yyyy-mm-dd")</f>
        <v/>
      </c>
      <c r="C45958" t="inlineStr">
        <is>
          <t>2025-09-08</t>
        </is>
      </c>
    </row>
    <row r="45959">
      <c r="A45959" s="1" t="n">
        <v>45958</v>
      </c>
      <c r="B45959">
        <f>TEXT(45958, "[$-0E0000]yyyy-mm-dd")</f>
        <v/>
      </c>
      <c r="C45959" t="inlineStr">
        <is>
          <t>2025-09-09</t>
        </is>
      </c>
    </row>
    <row r="45960">
      <c r="A45960" s="1" t="n">
        <v>45959</v>
      </c>
      <c r="B45960">
        <f>TEXT(45959, "[$-0E0000]yyyy-mm-dd")</f>
        <v/>
      </c>
      <c r="C45960" t="inlineStr">
        <is>
          <t>2025-09-10</t>
        </is>
      </c>
    </row>
    <row r="45961">
      <c r="A45961" s="1" t="n">
        <v>45960</v>
      </c>
      <c r="B45961">
        <f>TEXT(45960, "[$-0E0000]yyyy-mm-dd")</f>
        <v/>
      </c>
      <c r="C45961" t="inlineStr">
        <is>
          <t>2025-09-11</t>
        </is>
      </c>
    </row>
    <row r="45962">
      <c r="A45962" s="1" t="n">
        <v>45961</v>
      </c>
      <c r="B45962">
        <f>TEXT(45961, "[$-0E0000]yyyy-mm-dd")</f>
        <v/>
      </c>
      <c r="C45962" t="inlineStr">
        <is>
          <t>2025-09-12</t>
        </is>
      </c>
    </row>
    <row r="45963">
      <c r="A45963" s="1" t="n">
        <v>45962</v>
      </c>
      <c r="B45963">
        <f>TEXT(45962, "[$-0E0000]yyyy-mm-dd")</f>
        <v/>
      </c>
      <c r="C45963" t="inlineStr">
        <is>
          <t>2025-09-13</t>
        </is>
      </c>
    </row>
    <row r="45964">
      <c r="A45964" s="1" t="n">
        <v>45963</v>
      </c>
      <c r="B45964">
        <f>TEXT(45963, "[$-0E0000]yyyy-mm-dd")</f>
        <v/>
      </c>
      <c r="C45964" t="inlineStr">
        <is>
          <t>2025-09-14</t>
        </is>
      </c>
    </row>
    <row r="45965">
      <c r="A45965" s="1" t="n">
        <v>45964</v>
      </c>
      <c r="B45965">
        <f>TEXT(45964, "[$-0E0000]yyyy-mm-dd")</f>
        <v/>
      </c>
      <c r="C45965" t="inlineStr">
        <is>
          <t>2025-09-15</t>
        </is>
      </c>
    </row>
    <row r="45966">
      <c r="A45966" s="1" t="n">
        <v>45965</v>
      </c>
      <c r="B45966">
        <f>TEXT(45965, "[$-0E0000]yyyy-mm-dd")</f>
        <v/>
      </c>
      <c r="C45966" t="inlineStr">
        <is>
          <t>2025-09-16</t>
        </is>
      </c>
    </row>
    <row r="45967">
      <c r="A45967" s="1" t="n">
        <v>45966</v>
      </c>
      <c r="B45967">
        <f>TEXT(45966, "[$-0E0000]yyyy-mm-dd")</f>
        <v/>
      </c>
      <c r="C45967" t="inlineStr">
        <is>
          <t>2025-09-17</t>
        </is>
      </c>
    </row>
    <row r="45968">
      <c r="A45968" s="1" t="n">
        <v>45967</v>
      </c>
      <c r="B45968">
        <f>TEXT(45967, "[$-0E0000]yyyy-mm-dd")</f>
        <v/>
      </c>
      <c r="C45968" t="inlineStr">
        <is>
          <t>2025-09-18</t>
        </is>
      </c>
    </row>
    <row r="45969">
      <c r="A45969" s="1" t="n">
        <v>45968</v>
      </c>
      <c r="B45969">
        <f>TEXT(45968, "[$-0E0000]yyyy-mm-dd")</f>
        <v/>
      </c>
      <c r="C45969" t="inlineStr">
        <is>
          <t>2025-09-19</t>
        </is>
      </c>
    </row>
    <row r="45970">
      <c r="A45970" s="1" t="n">
        <v>45969</v>
      </c>
      <c r="B45970">
        <f>TEXT(45969, "[$-0E0000]yyyy-mm-dd")</f>
        <v/>
      </c>
      <c r="C45970" t="inlineStr">
        <is>
          <t>2025-09-20</t>
        </is>
      </c>
    </row>
    <row r="45971">
      <c r="A45971" s="1" t="n">
        <v>45970</v>
      </c>
      <c r="B45971">
        <f>TEXT(45970, "[$-0E0000]yyyy-mm-dd")</f>
        <v/>
      </c>
      <c r="C45971" t="inlineStr">
        <is>
          <t>2025-09-21</t>
        </is>
      </c>
    </row>
    <row r="45972">
      <c r="A45972" s="1" t="n">
        <v>45971</v>
      </c>
      <c r="B45972">
        <f>TEXT(45971, "[$-0E0000]yyyy-mm-dd")</f>
        <v/>
      </c>
      <c r="C45972" t="inlineStr">
        <is>
          <t>2025-09-22</t>
        </is>
      </c>
    </row>
    <row r="45973">
      <c r="A45973" s="1" t="n">
        <v>45972</v>
      </c>
      <c r="B45973">
        <f>TEXT(45972, "[$-0E0000]yyyy-mm-dd")</f>
        <v/>
      </c>
      <c r="C45973" t="inlineStr">
        <is>
          <t>2025-09-23</t>
        </is>
      </c>
    </row>
    <row r="45974">
      <c r="A45974" s="1" t="n">
        <v>45973</v>
      </c>
      <c r="B45974">
        <f>TEXT(45973, "[$-0E0000]yyyy-mm-dd")</f>
        <v/>
      </c>
      <c r="C45974" t="inlineStr">
        <is>
          <t>2025-09-24</t>
        </is>
      </c>
    </row>
    <row r="45975">
      <c r="A45975" s="1" t="n">
        <v>45974</v>
      </c>
      <c r="B45975">
        <f>TEXT(45974, "[$-0E0000]yyyy-mm-dd")</f>
        <v/>
      </c>
      <c r="C45975" t="inlineStr">
        <is>
          <t>2025-09-25</t>
        </is>
      </c>
    </row>
    <row r="45976">
      <c r="A45976" s="1" t="n">
        <v>45975</v>
      </c>
      <c r="B45976">
        <f>TEXT(45975, "[$-0E0000]yyyy-mm-dd")</f>
        <v/>
      </c>
      <c r="C45976" t="inlineStr">
        <is>
          <t>2025-09-26</t>
        </is>
      </c>
    </row>
    <row r="45977">
      <c r="A45977" s="1" t="n">
        <v>45976</v>
      </c>
      <c r="B45977">
        <f>TEXT(45976, "[$-0E0000]yyyy-mm-dd")</f>
        <v/>
      </c>
      <c r="C45977" t="inlineStr">
        <is>
          <t>2025-09-27</t>
        </is>
      </c>
    </row>
    <row r="45978">
      <c r="A45978" s="1" t="n">
        <v>45977</v>
      </c>
      <c r="B45978">
        <f>TEXT(45977, "[$-0E0000]yyyy-mm-dd")</f>
        <v/>
      </c>
      <c r="C45978" t="inlineStr">
        <is>
          <t>2025-09-28</t>
        </is>
      </c>
    </row>
    <row r="45979">
      <c r="A45979" s="1" t="n">
        <v>45978</v>
      </c>
      <c r="B45979">
        <f>TEXT(45978, "[$-0E0000]yyyy-mm-dd")</f>
        <v/>
      </c>
      <c r="C45979" t="inlineStr">
        <is>
          <t>2025-09-29</t>
        </is>
      </c>
    </row>
    <row r="45980">
      <c r="A45980" s="1" t="n">
        <v>45979</v>
      </c>
      <c r="B45980">
        <f>TEXT(45979, "[$-0E0000]yyyy-mm-dd")</f>
        <v/>
      </c>
      <c r="C45980" t="inlineStr">
        <is>
          <t>2025-09-30</t>
        </is>
      </c>
    </row>
    <row r="45981">
      <c r="A45981" s="1" t="n">
        <v>45980</v>
      </c>
      <c r="B45981">
        <f>TEXT(45980, "[$-0E0000]yyyy-mm-dd")</f>
        <v/>
      </c>
      <c r="C45981" t="inlineStr">
        <is>
          <t>2025-10-01</t>
        </is>
      </c>
    </row>
    <row r="45982">
      <c r="A45982" s="1" t="n">
        <v>45981</v>
      </c>
      <c r="B45982">
        <f>TEXT(45981, "[$-0E0000]yyyy-mm-dd")</f>
        <v/>
      </c>
      <c r="C45982" t="inlineStr">
        <is>
          <t>2025-10-02</t>
        </is>
      </c>
    </row>
    <row r="45983">
      <c r="A45983" s="1" t="n">
        <v>45982</v>
      </c>
      <c r="B45983">
        <f>TEXT(45982, "[$-0E0000]yyyy-mm-dd")</f>
        <v/>
      </c>
      <c r="C45983" t="inlineStr">
        <is>
          <t>2025-10-03</t>
        </is>
      </c>
    </row>
    <row r="45984">
      <c r="A45984" s="1" t="n">
        <v>45983</v>
      </c>
      <c r="B45984">
        <f>TEXT(45983, "[$-0E0000]yyyy-mm-dd")</f>
        <v/>
      </c>
      <c r="C45984" t="inlineStr">
        <is>
          <t>2025-10-04</t>
        </is>
      </c>
    </row>
    <row r="45985">
      <c r="A45985" s="1" t="n">
        <v>45984</v>
      </c>
      <c r="B45985">
        <f>TEXT(45984, "[$-0E0000]yyyy-mm-dd")</f>
        <v/>
      </c>
      <c r="C45985" t="inlineStr">
        <is>
          <t>2025-10-05</t>
        </is>
      </c>
    </row>
    <row r="45986">
      <c r="A45986" s="1" t="n">
        <v>45985</v>
      </c>
      <c r="B45986">
        <f>TEXT(45985, "[$-0E0000]yyyy-mm-dd")</f>
        <v/>
      </c>
      <c r="C45986" t="inlineStr">
        <is>
          <t>2025-10-06</t>
        </is>
      </c>
    </row>
    <row r="45987">
      <c r="A45987" s="1" t="n">
        <v>45986</v>
      </c>
      <c r="B45987">
        <f>TEXT(45986, "[$-0E0000]yyyy-mm-dd")</f>
        <v/>
      </c>
      <c r="C45987" t="inlineStr">
        <is>
          <t>2025-10-07</t>
        </is>
      </c>
    </row>
    <row r="45988">
      <c r="A45988" s="1" t="n">
        <v>45987</v>
      </c>
      <c r="B45988">
        <f>TEXT(45987, "[$-0E0000]yyyy-mm-dd")</f>
        <v/>
      </c>
      <c r="C45988" t="inlineStr">
        <is>
          <t>2025-10-08</t>
        </is>
      </c>
    </row>
    <row r="45989">
      <c r="A45989" s="1" t="n">
        <v>45988</v>
      </c>
      <c r="B45989">
        <f>TEXT(45988, "[$-0E0000]yyyy-mm-dd")</f>
        <v/>
      </c>
      <c r="C45989" t="inlineStr">
        <is>
          <t>2025-10-09</t>
        </is>
      </c>
    </row>
    <row r="45990">
      <c r="A45990" s="1" t="n">
        <v>45989</v>
      </c>
      <c r="B45990">
        <f>TEXT(45989, "[$-0E0000]yyyy-mm-dd")</f>
        <v/>
      </c>
      <c r="C45990" t="inlineStr">
        <is>
          <t>2025-10-10</t>
        </is>
      </c>
    </row>
    <row r="45991">
      <c r="A45991" s="1" t="n">
        <v>45990</v>
      </c>
      <c r="B45991">
        <f>TEXT(45990, "[$-0E0000]yyyy-mm-dd")</f>
        <v/>
      </c>
      <c r="C45991" t="inlineStr">
        <is>
          <t>2025-10-11</t>
        </is>
      </c>
    </row>
    <row r="45992">
      <c r="A45992" s="1" t="n">
        <v>45991</v>
      </c>
      <c r="B45992">
        <f>TEXT(45991, "[$-0E0000]yyyy-mm-dd")</f>
        <v/>
      </c>
      <c r="C45992" t="inlineStr">
        <is>
          <t>2025-10-12</t>
        </is>
      </c>
    </row>
    <row r="45993">
      <c r="A45993" s="1" t="n">
        <v>45992</v>
      </c>
      <c r="B45993">
        <f>TEXT(45992, "[$-0E0000]yyyy-mm-dd")</f>
        <v/>
      </c>
      <c r="C45993" t="inlineStr">
        <is>
          <t>2025-10-13</t>
        </is>
      </c>
    </row>
    <row r="45994">
      <c r="A45994" s="1" t="n">
        <v>45993</v>
      </c>
      <c r="B45994">
        <f>TEXT(45993, "[$-0E0000]yyyy-mm-dd")</f>
        <v/>
      </c>
      <c r="C45994" t="inlineStr">
        <is>
          <t>2025-10-14</t>
        </is>
      </c>
    </row>
    <row r="45995">
      <c r="A45995" s="1" t="n">
        <v>45994</v>
      </c>
      <c r="B45995">
        <f>TEXT(45994, "[$-0E0000]yyyy-mm-dd")</f>
        <v/>
      </c>
      <c r="C45995" t="inlineStr">
        <is>
          <t>2025-10-15</t>
        </is>
      </c>
    </row>
    <row r="45996">
      <c r="A45996" s="1" t="n">
        <v>45995</v>
      </c>
      <c r="B45996">
        <f>TEXT(45995, "[$-0E0000]yyyy-mm-dd")</f>
        <v/>
      </c>
      <c r="C45996" t="inlineStr">
        <is>
          <t>2025-10-16</t>
        </is>
      </c>
    </row>
    <row r="45997">
      <c r="A45997" s="1" t="n">
        <v>45996</v>
      </c>
      <c r="B45997">
        <f>TEXT(45996, "[$-0E0000]yyyy-mm-dd")</f>
        <v/>
      </c>
      <c r="C45997" t="inlineStr">
        <is>
          <t>2025-10-17</t>
        </is>
      </c>
    </row>
    <row r="45998">
      <c r="A45998" s="1" t="n">
        <v>45997</v>
      </c>
      <c r="B45998">
        <f>TEXT(45997, "[$-0E0000]yyyy-mm-dd")</f>
        <v/>
      </c>
      <c r="C45998" t="inlineStr">
        <is>
          <t>2025-10-18</t>
        </is>
      </c>
    </row>
    <row r="45999">
      <c r="A45999" s="1" t="n">
        <v>45998</v>
      </c>
      <c r="B45999">
        <f>TEXT(45998, "[$-0E0000]yyyy-mm-dd")</f>
        <v/>
      </c>
      <c r="C45999" t="inlineStr">
        <is>
          <t>2025-10-19</t>
        </is>
      </c>
    </row>
    <row r="46000">
      <c r="A46000" s="1" t="n">
        <v>45999</v>
      </c>
      <c r="B46000">
        <f>TEXT(45999, "[$-0E0000]yyyy-mm-dd")</f>
        <v/>
      </c>
      <c r="C46000" t="inlineStr">
        <is>
          <t>2025-10-20</t>
        </is>
      </c>
    </row>
    <row r="46001">
      <c r="A46001" s="1" t="n">
        <v>46000</v>
      </c>
      <c r="B46001">
        <f>TEXT(46000, "[$-0E0000]yyyy-mm-dd")</f>
        <v/>
      </c>
      <c r="C46001" t="inlineStr">
        <is>
          <t>2025-10-21</t>
        </is>
      </c>
    </row>
    <row r="46002">
      <c r="A46002" s="1" t="n">
        <v>46001</v>
      </c>
      <c r="B46002">
        <f>TEXT(46001, "[$-0E0000]yyyy-mm-dd")</f>
        <v/>
      </c>
      <c r="C46002" t="inlineStr">
        <is>
          <t>2025-10-22</t>
        </is>
      </c>
    </row>
    <row r="46003">
      <c r="A46003" s="1" t="n">
        <v>46002</v>
      </c>
      <c r="B46003">
        <f>TEXT(46002, "[$-0E0000]yyyy-mm-dd")</f>
        <v/>
      </c>
      <c r="C46003" t="inlineStr">
        <is>
          <t>2025-10-23</t>
        </is>
      </c>
    </row>
    <row r="46004">
      <c r="A46004" s="1" t="n">
        <v>46003</v>
      </c>
      <c r="B46004">
        <f>TEXT(46003, "[$-0E0000]yyyy-mm-dd")</f>
        <v/>
      </c>
      <c r="C46004" t="inlineStr">
        <is>
          <t>2025-10-24</t>
        </is>
      </c>
    </row>
    <row r="46005">
      <c r="A46005" s="1" t="n">
        <v>46004</v>
      </c>
      <c r="B46005">
        <f>TEXT(46004, "[$-0E0000]yyyy-mm-dd")</f>
        <v/>
      </c>
      <c r="C46005" t="inlineStr">
        <is>
          <t>2025-10-25</t>
        </is>
      </c>
    </row>
    <row r="46006">
      <c r="A46006" s="1" t="n">
        <v>46005</v>
      </c>
      <c r="B46006">
        <f>TEXT(46005, "[$-0E0000]yyyy-mm-dd")</f>
        <v/>
      </c>
      <c r="C46006" t="inlineStr">
        <is>
          <t>2025-10-26</t>
        </is>
      </c>
    </row>
    <row r="46007">
      <c r="A46007" s="1" t="n">
        <v>46006</v>
      </c>
      <c r="B46007">
        <f>TEXT(46006, "[$-0E0000]yyyy-mm-dd")</f>
        <v/>
      </c>
      <c r="C46007" t="inlineStr">
        <is>
          <t>2025-10-27</t>
        </is>
      </c>
    </row>
    <row r="46008">
      <c r="A46008" s="1" t="n">
        <v>46007</v>
      </c>
      <c r="B46008">
        <f>TEXT(46007, "[$-0E0000]yyyy-mm-dd")</f>
        <v/>
      </c>
      <c r="C46008" t="inlineStr">
        <is>
          <t>2025-10-28</t>
        </is>
      </c>
    </row>
    <row r="46009">
      <c r="A46009" s="1" t="n">
        <v>46008</v>
      </c>
      <c r="B46009">
        <f>TEXT(46008, "[$-0E0000]yyyy-mm-dd")</f>
        <v/>
      </c>
      <c r="C46009" t="inlineStr">
        <is>
          <t>2025-10-29</t>
        </is>
      </c>
    </row>
    <row r="46010">
      <c r="A46010" s="1" t="n">
        <v>46009</v>
      </c>
      <c r="B46010">
        <f>TEXT(46009, "[$-0E0000]yyyy-mm-dd")</f>
        <v/>
      </c>
      <c r="C46010" t="inlineStr">
        <is>
          <t>2025-10-30</t>
        </is>
      </c>
    </row>
    <row r="46011">
      <c r="A46011" s="1" t="n">
        <v>46010</v>
      </c>
      <c r="B46011">
        <f>TEXT(46010, "[$-0E0000]yyyy-mm-dd")</f>
        <v/>
      </c>
      <c r="C46011" t="inlineStr">
        <is>
          <t>2025-11-01</t>
        </is>
      </c>
    </row>
    <row r="46012">
      <c r="A46012" s="1" t="n">
        <v>46011</v>
      </c>
      <c r="B46012">
        <f>TEXT(46011, "[$-0E0000]yyyy-mm-dd")</f>
        <v/>
      </c>
      <c r="C46012" t="inlineStr">
        <is>
          <t>2025-11-02</t>
        </is>
      </c>
    </row>
    <row r="46013">
      <c r="A46013" s="1" t="n">
        <v>46012</v>
      </c>
      <c r="B46013">
        <f>TEXT(46012, "[$-0E0000]yyyy-mm-dd")</f>
        <v/>
      </c>
      <c r="C46013" t="inlineStr">
        <is>
          <t>2025-11-03</t>
        </is>
      </c>
    </row>
    <row r="46014">
      <c r="A46014" s="1" t="n">
        <v>46013</v>
      </c>
      <c r="B46014">
        <f>TEXT(46013, "[$-0E0000]yyyy-mm-dd")</f>
        <v/>
      </c>
      <c r="C46014" t="inlineStr">
        <is>
          <t>2025-11-04</t>
        </is>
      </c>
    </row>
    <row r="46015">
      <c r="A46015" s="1" t="n">
        <v>46014</v>
      </c>
      <c r="B46015">
        <f>TEXT(46014, "[$-0E0000]yyyy-mm-dd")</f>
        <v/>
      </c>
      <c r="C46015" t="inlineStr">
        <is>
          <t>2025-11-05</t>
        </is>
      </c>
    </row>
    <row r="46016">
      <c r="A46016" s="1" t="n">
        <v>46015</v>
      </c>
      <c r="B46016">
        <f>TEXT(46015, "[$-0E0000]yyyy-mm-dd")</f>
        <v/>
      </c>
      <c r="C46016" t="inlineStr">
        <is>
          <t>2025-11-06</t>
        </is>
      </c>
    </row>
    <row r="46017">
      <c r="A46017" s="1" t="n">
        <v>46016</v>
      </c>
      <c r="B46017">
        <f>TEXT(46016, "[$-0E0000]yyyy-mm-dd")</f>
        <v/>
      </c>
      <c r="C46017" t="inlineStr">
        <is>
          <t>2025-11-07</t>
        </is>
      </c>
    </row>
    <row r="46018">
      <c r="A46018" s="1" t="n">
        <v>46017</v>
      </c>
      <c r="B46018">
        <f>TEXT(46017, "[$-0E0000]yyyy-mm-dd")</f>
        <v/>
      </c>
      <c r="C46018" t="inlineStr">
        <is>
          <t>2025-11-08</t>
        </is>
      </c>
    </row>
    <row r="46019">
      <c r="A46019" s="1" t="n">
        <v>46018</v>
      </c>
      <c r="B46019">
        <f>TEXT(46018, "[$-0E0000]yyyy-mm-dd")</f>
        <v/>
      </c>
      <c r="C46019" t="inlineStr">
        <is>
          <t>2025-11-09</t>
        </is>
      </c>
    </row>
    <row r="46020">
      <c r="A46020" s="1" t="n">
        <v>46019</v>
      </c>
      <c r="B46020">
        <f>TEXT(46019, "[$-0E0000]yyyy-mm-dd")</f>
        <v/>
      </c>
      <c r="C46020" t="inlineStr">
        <is>
          <t>2025-11-10</t>
        </is>
      </c>
    </row>
    <row r="46021">
      <c r="A46021" s="1" t="n">
        <v>46020</v>
      </c>
      <c r="B46021">
        <f>TEXT(46020, "[$-0E0000]yyyy-mm-dd")</f>
        <v/>
      </c>
      <c r="C46021" t="inlineStr">
        <is>
          <t>2025-11-11</t>
        </is>
      </c>
    </row>
    <row r="46022">
      <c r="A46022" s="1" t="n">
        <v>46021</v>
      </c>
      <c r="B46022">
        <f>TEXT(46021, "[$-0E0000]yyyy-mm-dd")</f>
        <v/>
      </c>
      <c r="C46022" t="inlineStr">
        <is>
          <t>2025-11-12</t>
        </is>
      </c>
    </row>
    <row r="46023">
      <c r="A46023" s="1" t="n">
        <v>46022</v>
      </c>
      <c r="B46023">
        <f>TEXT(46022, "[$-0E0000]yyyy-mm-dd")</f>
        <v/>
      </c>
      <c r="C46023" t="inlineStr">
        <is>
          <t>2025-11-13</t>
        </is>
      </c>
    </row>
    <row r="46024">
      <c r="A46024" s="1" t="n">
        <v>46023</v>
      </c>
      <c r="B46024">
        <f>TEXT(46023, "[$-0E0000]yyyy-mm-dd")</f>
        <v/>
      </c>
      <c r="C46024" t="inlineStr">
        <is>
          <t>2025-11-14</t>
        </is>
      </c>
    </row>
    <row r="46025">
      <c r="A46025" s="1" t="n">
        <v>46024</v>
      </c>
      <c r="B46025">
        <f>TEXT(46024, "[$-0E0000]yyyy-mm-dd")</f>
        <v/>
      </c>
      <c r="C46025" t="inlineStr">
        <is>
          <t>2025-11-15</t>
        </is>
      </c>
    </row>
    <row r="46026">
      <c r="A46026" s="1" t="n">
        <v>46025</v>
      </c>
      <c r="B46026">
        <f>TEXT(46025, "[$-0E0000]yyyy-mm-dd")</f>
        <v/>
      </c>
      <c r="C46026" t="inlineStr">
        <is>
          <t>2025-11-16</t>
        </is>
      </c>
    </row>
    <row r="46027">
      <c r="A46027" s="1" t="n">
        <v>46026</v>
      </c>
      <c r="B46027">
        <f>TEXT(46026, "[$-0E0000]yyyy-mm-dd")</f>
        <v/>
      </c>
      <c r="C46027" t="inlineStr">
        <is>
          <t>2025-11-17</t>
        </is>
      </c>
    </row>
    <row r="46028">
      <c r="A46028" s="1" t="n">
        <v>46027</v>
      </c>
      <c r="B46028">
        <f>TEXT(46027, "[$-0E0000]yyyy-mm-dd")</f>
        <v/>
      </c>
      <c r="C46028" t="inlineStr">
        <is>
          <t>2025-11-18</t>
        </is>
      </c>
    </row>
    <row r="46029">
      <c r="A46029" s="1" t="n">
        <v>46028</v>
      </c>
      <c r="B46029">
        <f>TEXT(46028, "[$-0E0000]yyyy-mm-dd")</f>
        <v/>
      </c>
      <c r="C46029" t="inlineStr">
        <is>
          <t>2025-11-19</t>
        </is>
      </c>
    </row>
    <row r="46030">
      <c r="A46030" s="1" t="n">
        <v>46029</v>
      </c>
      <c r="B46030">
        <f>TEXT(46029, "[$-0E0000]yyyy-mm-dd")</f>
        <v/>
      </c>
      <c r="C46030" t="inlineStr">
        <is>
          <t>2025-11-20</t>
        </is>
      </c>
    </row>
    <row r="46031">
      <c r="A46031" s="1" t="n">
        <v>46030</v>
      </c>
      <c r="B46031">
        <f>TEXT(46030, "[$-0E0000]yyyy-mm-dd")</f>
        <v/>
      </c>
      <c r="C46031" t="inlineStr">
        <is>
          <t>2025-11-21</t>
        </is>
      </c>
    </row>
    <row r="46032">
      <c r="A46032" s="1" t="n">
        <v>46031</v>
      </c>
      <c r="B46032">
        <f>TEXT(46031, "[$-0E0000]yyyy-mm-dd")</f>
        <v/>
      </c>
      <c r="C46032" t="inlineStr">
        <is>
          <t>2025-11-22</t>
        </is>
      </c>
    </row>
    <row r="46033">
      <c r="A46033" s="1" t="n">
        <v>46032</v>
      </c>
      <c r="B46033">
        <f>TEXT(46032, "[$-0E0000]yyyy-mm-dd")</f>
        <v/>
      </c>
      <c r="C46033" t="inlineStr">
        <is>
          <t>2025-11-23</t>
        </is>
      </c>
    </row>
    <row r="46034">
      <c r="A46034" s="1" t="n">
        <v>46033</v>
      </c>
      <c r="B46034">
        <f>TEXT(46033, "[$-0E0000]yyyy-mm-dd")</f>
        <v/>
      </c>
      <c r="C46034" t="inlineStr">
        <is>
          <t>2025-11-24</t>
        </is>
      </c>
    </row>
    <row r="46035">
      <c r="A46035" s="1" t="n">
        <v>46034</v>
      </c>
      <c r="B46035">
        <f>TEXT(46034, "[$-0E0000]yyyy-mm-dd")</f>
        <v/>
      </c>
      <c r="C46035" t="inlineStr">
        <is>
          <t>2025-11-25</t>
        </is>
      </c>
    </row>
    <row r="46036">
      <c r="A46036" s="1" t="n">
        <v>46035</v>
      </c>
      <c r="B46036">
        <f>TEXT(46035, "[$-0E0000]yyyy-mm-dd")</f>
        <v/>
      </c>
      <c r="C46036" t="inlineStr">
        <is>
          <t>2025-11-26</t>
        </is>
      </c>
    </row>
    <row r="46037">
      <c r="A46037" s="1" t="n">
        <v>46036</v>
      </c>
      <c r="B46037">
        <f>TEXT(46036, "[$-0E0000]yyyy-mm-dd")</f>
        <v/>
      </c>
      <c r="C46037" t="inlineStr">
        <is>
          <t>2025-11-27</t>
        </is>
      </c>
    </row>
    <row r="46038">
      <c r="A46038" s="1" t="n">
        <v>46037</v>
      </c>
      <c r="B46038">
        <f>TEXT(46037, "[$-0E0000]yyyy-mm-dd")</f>
        <v/>
      </c>
      <c r="C46038" t="inlineStr">
        <is>
          <t>2025-11-28</t>
        </is>
      </c>
    </row>
    <row r="46039">
      <c r="A46039" s="1" t="n">
        <v>46038</v>
      </c>
      <c r="B46039">
        <f>TEXT(46038, "[$-0E0000]yyyy-mm-dd")</f>
        <v/>
      </c>
      <c r="C46039" t="inlineStr">
        <is>
          <t>2025-11-29</t>
        </is>
      </c>
    </row>
    <row r="46040">
      <c r="A46040" s="1" t="n">
        <v>46039</v>
      </c>
      <c r="B46040">
        <f>TEXT(46039, "[$-0E0000]yyyy-mm-dd")</f>
        <v/>
      </c>
      <c r="C46040" t="inlineStr">
        <is>
          <t>2025-11-30</t>
        </is>
      </c>
    </row>
    <row r="46041">
      <c r="A46041" s="1" t="n">
        <v>46040</v>
      </c>
      <c r="B46041">
        <f>TEXT(46040, "[$-0E0000]yyyy-mm-dd")</f>
        <v/>
      </c>
      <c r="C46041" t="inlineStr">
        <is>
          <t>2025-12-01</t>
        </is>
      </c>
    </row>
    <row r="46042">
      <c r="A46042" s="1" t="n">
        <v>46041</v>
      </c>
      <c r="B46042">
        <f>TEXT(46041, "[$-0E0000]yyyy-mm-dd")</f>
        <v/>
      </c>
      <c r="C46042" t="inlineStr">
        <is>
          <t>2025-12-02</t>
        </is>
      </c>
    </row>
    <row r="46043">
      <c r="A46043" s="1" t="n">
        <v>46042</v>
      </c>
      <c r="B46043">
        <f>TEXT(46042, "[$-0E0000]yyyy-mm-dd")</f>
        <v/>
      </c>
      <c r="C46043" t="inlineStr">
        <is>
          <t>2025-12-03</t>
        </is>
      </c>
    </row>
    <row r="46044">
      <c r="A46044" s="1" t="n">
        <v>46043</v>
      </c>
      <c r="B46044">
        <f>TEXT(46043, "[$-0E0000]yyyy-mm-dd")</f>
        <v/>
      </c>
      <c r="C46044" t="inlineStr">
        <is>
          <t>2025-12-04</t>
        </is>
      </c>
    </row>
    <row r="46045">
      <c r="A46045" s="1" t="n">
        <v>46044</v>
      </c>
      <c r="B46045">
        <f>TEXT(46044, "[$-0E0000]yyyy-mm-dd")</f>
        <v/>
      </c>
      <c r="C46045" t="inlineStr">
        <is>
          <t>2025-12-05</t>
        </is>
      </c>
    </row>
    <row r="46046">
      <c r="A46046" s="1" t="n">
        <v>46045</v>
      </c>
      <c r="B46046">
        <f>TEXT(46045, "[$-0E0000]yyyy-mm-dd")</f>
        <v/>
      </c>
      <c r="C46046" t="inlineStr">
        <is>
          <t>2025-12-06</t>
        </is>
      </c>
    </row>
    <row r="46047">
      <c r="A46047" s="1" t="n">
        <v>46046</v>
      </c>
      <c r="B46047">
        <f>TEXT(46046, "[$-0E0000]yyyy-mm-dd")</f>
        <v/>
      </c>
      <c r="C46047" t="inlineStr">
        <is>
          <t>2025-12-07</t>
        </is>
      </c>
    </row>
    <row r="46048">
      <c r="A46048" s="1" t="n">
        <v>46047</v>
      </c>
      <c r="B46048">
        <f>TEXT(46047, "[$-0E0000]yyyy-mm-dd")</f>
        <v/>
      </c>
      <c r="C46048" t="inlineStr">
        <is>
          <t>2025-12-08</t>
        </is>
      </c>
    </row>
    <row r="46049">
      <c r="A46049" s="1" t="n">
        <v>46048</v>
      </c>
      <c r="B46049">
        <f>TEXT(46048, "[$-0E0000]yyyy-mm-dd")</f>
        <v/>
      </c>
      <c r="C46049" t="inlineStr">
        <is>
          <t>2025-12-09</t>
        </is>
      </c>
    </row>
    <row r="46050">
      <c r="A46050" s="1" t="n">
        <v>46049</v>
      </c>
      <c r="B46050">
        <f>TEXT(46049, "[$-0E0000]yyyy-mm-dd")</f>
        <v/>
      </c>
      <c r="C46050" t="inlineStr">
        <is>
          <t>2025-12-10</t>
        </is>
      </c>
    </row>
    <row r="46051">
      <c r="A46051" s="1" t="n">
        <v>46050</v>
      </c>
      <c r="B46051">
        <f>TEXT(46050, "[$-0E0000]yyyy-mm-dd")</f>
        <v/>
      </c>
      <c r="C46051" t="inlineStr">
        <is>
          <t>2025-12-11</t>
        </is>
      </c>
    </row>
    <row r="46052">
      <c r="A46052" s="1" t="n">
        <v>46051</v>
      </c>
      <c r="B46052">
        <f>TEXT(46051, "[$-0E0000]yyyy-mm-dd")</f>
        <v/>
      </c>
      <c r="C46052" t="inlineStr">
        <is>
          <t>2025-12-12</t>
        </is>
      </c>
    </row>
    <row r="46053">
      <c r="A46053" s="1" t="n">
        <v>46052</v>
      </c>
      <c r="B46053">
        <f>TEXT(46052, "[$-0E0000]yyyy-mm-dd")</f>
        <v/>
      </c>
      <c r="C46053" t="inlineStr">
        <is>
          <t>2025-12-13</t>
        </is>
      </c>
    </row>
    <row r="46054">
      <c r="A46054" s="1" t="n">
        <v>46053</v>
      </c>
      <c r="B46054">
        <f>TEXT(46053, "[$-0E0000]yyyy-mm-dd")</f>
        <v/>
      </c>
      <c r="C46054" t="inlineStr">
        <is>
          <t>2025-12-14</t>
        </is>
      </c>
    </row>
    <row r="46055">
      <c r="A46055" s="1" t="n">
        <v>46054</v>
      </c>
      <c r="B46055">
        <f>TEXT(46054, "[$-0E0000]yyyy-mm-dd")</f>
        <v/>
      </c>
      <c r="C46055" t="inlineStr">
        <is>
          <t>2025-12-15</t>
        </is>
      </c>
    </row>
    <row r="46056">
      <c r="A46056" s="1" t="n">
        <v>46055</v>
      </c>
      <c r="B46056">
        <f>TEXT(46055, "[$-0E0000]yyyy-mm-dd")</f>
        <v/>
      </c>
      <c r="C46056" t="inlineStr">
        <is>
          <t>2025-12-16</t>
        </is>
      </c>
    </row>
    <row r="46057">
      <c r="A46057" s="1" t="n">
        <v>46056</v>
      </c>
      <c r="B46057">
        <f>TEXT(46056, "[$-0E0000]yyyy-mm-dd")</f>
        <v/>
      </c>
      <c r="C46057" t="inlineStr">
        <is>
          <t>2025-12-17</t>
        </is>
      </c>
    </row>
    <row r="46058">
      <c r="A46058" s="1" t="n">
        <v>46057</v>
      </c>
      <c r="B46058">
        <f>TEXT(46057, "[$-0E0000]yyyy-mm-dd")</f>
        <v/>
      </c>
      <c r="C46058" t="inlineStr">
        <is>
          <t>2025-12-18</t>
        </is>
      </c>
    </row>
    <row r="46059">
      <c r="A46059" s="1" t="n">
        <v>46058</v>
      </c>
      <c r="B46059">
        <f>TEXT(46058, "[$-0E0000]yyyy-mm-dd")</f>
        <v/>
      </c>
      <c r="C46059" t="inlineStr">
        <is>
          <t>2025-12-19</t>
        </is>
      </c>
    </row>
    <row r="46060">
      <c r="A46060" s="1" t="n">
        <v>46059</v>
      </c>
      <c r="B46060">
        <f>TEXT(46059, "[$-0E0000]yyyy-mm-dd")</f>
        <v/>
      </c>
      <c r="C46060" t="inlineStr">
        <is>
          <t>2025-12-20</t>
        </is>
      </c>
    </row>
    <row r="46061">
      <c r="A46061" s="1" t="n">
        <v>46060</v>
      </c>
      <c r="B46061">
        <f>TEXT(46060, "[$-0E0000]yyyy-mm-dd")</f>
        <v/>
      </c>
      <c r="C46061" t="inlineStr">
        <is>
          <t>2025-12-21</t>
        </is>
      </c>
    </row>
    <row r="46062">
      <c r="A46062" s="1" t="n">
        <v>46061</v>
      </c>
      <c r="B46062">
        <f>TEXT(46061, "[$-0E0000]yyyy-mm-dd")</f>
        <v/>
      </c>
      <c r="C46062" t="inlineStr">
        <is>
          <t>2025-12-22</t>
        </is>
      </c>
    </row>
    <row r="46063">
      <c r="A46063" s="1" t="n">
        <v>46062</v>
      </c>
      <c r="B46063">
        <f>TEXT(46062, "[$-0E0000]yyyy-mm-dd")</f>
        <v/>
      </c>
      <c r="C46063" t="inlineStr">
        <is>
          <t>2025-12-23</t>
        </is>
      </c>
    </row>
    <row r="46064">
      <c r="A46064" s="1" t="n">
        <v>46063</v>
      </c>
      <c r="B46064">
        <f>TEXT(46063, "[$-0E0000]yyyy-mm-dd")</f>
        <v/>
      </c>
      <c r="C46064" t="inlineStr">
        <is>
          <t>2025-12-24</t>
        </is>
      </c>
    </row>
    <row r="46065">
      <c r="A46065" s="1" t="n">
        <v>46064</v>
      </c>
      <c r="B46065">
        <f>TEXT(46064, "[$-0E0000]yyyy-mm-dd")</f>
        <v/>
      </c>
      <c r="C46065" t="inlineStr">
        <is>
          <t>2025-12-25</t>
        </is>
      </c>
    </row>
    <row r="46066">
      <c r="A46066" s="1" t="n">
        <v>46065</v>
      </c>
      <c r="B46066">
        <f>TEXT(46065, "[$-0E0000]yyyy-mm-dd")</f>
        <v/>
      </c>
      <c r="C46066" t="inlineStr">
        <is>
          <t>2025-12-26</t>
        </is>
      </c>
    </row>
    <row r="46067">
      <c r="A46067" s="1" t="n">
        <v>46066</v>
      </c>
      <c r="B46067">
        <f>TEXT(46066, "[$-0E0000]yyyy-mm-dd")</f>
        <v/>
      </c>
      <c r="C46067" t="inlineStr">
        <is>
          <t>2025-12-27</t>
        </is>
      </c>
    </row>
    <row r="46068">
      <c r="A46068" s="1" t="n">
        <v>46067</v>
      </c>
      <c r="B46068">
        <f>TEXT(46067, "[$-0E0000]yyyy-mm-dd")</f>
        <v/>
      </c>
      <c r="C46068" t="inlineStr">
        <is>
          <t>2025-12-28</t>
        </is>
      </c>
    </row>
    <row r="46069">
      <c r="A46069" s="1" t="n">
        <v>46068</v>
      </c>
      <c r="B46069">
        <f>TEXT(46068, "[$-0E0000]yyyy-mm-dd")</f>
        <v/>
      </c>
      <c r="C46069" t="inlineStr">
        <is>
          <t>2025-12-29</t>
        </is>
      </c>
    </row>
    <row r="46070">
      <c r="A46070" s="1" t="n">
        <v>46069</v>
      </c>
      <c r="B46070">
        <f>TEXT(46069, "[$-0E0000]yyyy-mm-dd")</f>
        <v/>
      </c>
      <c r="C46070" t="inlineStr">
        <is>
          <t>2026-01-01</t>
        </is>
      </c>
    </row>
    <row r="46071">
      <c r="A46071" s="1" t="n">
        <v>46070</v>
      </c>
      <c r="B46071">
        <f>TEXT(46070, "[$-0E0000]yyyy-mm-dd")</f>
        <v/>
      </c>
      <c r="C46071" t="inlineStr">
        <is>
          <t>2026-01-02</t>
        </is>
      </c>
    </row>
    <row r="46072">
      <c r="A46072" s="1" t="n">
        <v>46071</v>
      </c>
      <c r="B46072">
        <f>TEXT(46071, "[$-0E0000]yyyy-mm-dd")</f>
        <v/>
      </c>
      <c r="C46072" t="inlineStr">
        <is>
          <t>2026-01-03</t>
        </is>
      </c>
    </row>
    <row r="46073">
      <c r="A46073" s="1" t="n">
        <v>46072</v>
      </c>
      <c r="B46073">
        <f>TEXT(46072, "[$-0E0000]yyyy-mm-dd")</f>
        <v/>
      </c>
      <c r="C46073" t="inlineStr">
        <is>
          <t>2026-01-04</t>
        </is>
      </c>
    </row>
    <row r="46074">
      <c r="A46074" s="1" t="n">
        <v>46073</v>
      </c>
      <c r="B46074">
        <f>TEXT(46073, "[$-0E0000]yyyy-mm-dd")</f>
        <v/>
      </c>
      <c r="C46074" t="inlineStr">
        <is>
          <t>2026-01-05</t>
        </is>
      </c>
    </row>
    <row r="46075">
      <c r="A46075" s="1" t="n">
        <v>46074</v>
      </c>
      <c r="B46075">
        <f>TEXT(46074, "[$-0E0000]yyyy-mm-dd")</f>
        <v/>
      </c>
      <c r="C46075" t="inlineStr">
        <is>
          <t>2026-01-06</t>
        </is>
      </c>
    </row>
    <row r="46076">
      <c r="A46076" s="1" t="n">
        <v>46075</v>
      </c>
      <c r="B46076">
        <f>TEXT(46075, "[$-0E0000]yyyy-mm-dd")</f>
        <v/>
      </c>
      <c r="C46076" t="inlineStr">
        <is>
          <t>2026-01-07</t>
        </is>
      </c>
    </row>
    <row r="46077">
      <c r="A46077" s="1" t="n">
        <v>46076</v>
      </c>
      <c r="B46077">
        <f>TEXT(46076, "[$-0E0000]yyyy-mm-dd")</f>
        <v/>
      </c>
      <c r="C46077" t="inlineStr">
        <is>
          <t>2026-01-08</t>
        </is>
      </c>
    </row>
    <row r="46078">
      <c r="A46078" s="1" t="n">
        <v>46077</v>
      </c>
      <c r="B46078">
        <f>TEXT(46077, "[$-0E0000]yyyy-mm-dd")</f>
        <v/>
      </c>
      <c r="C46078" t="inlineStr">
        <is>
          <t>2026-01-09</t>
        </is>
      </c>
    </row>
    <row r="46079">
      <c r="A46079" s="1" t="n">
        <v>46078</v>
      </c>
      <c r="B46079">
        <f>TEXT(46078, "[$-0E0000]yyyy-mm-dd")</f>
        <v/>
      </c>
      <c r="C46079" t="inlineStr">
        <is>
          <t>2026-01-10</t>
        </is>
      </c>
    </row>
    <row r="46080">
      <c r="A46080" s="1" t="n">
        <v>46079</v>
      </c>
      <c r="B46080">
        <f>TEXT(46079, "[$-0E0000]yyyy-mm-dd")</f>
        <v/>
      </c>
      <c r="C46080" t="inlineStr">
        <is>
          <t>2026-01-11</t>
        </is>
      </c>
    </row>
    <row r="46081">
      <c r="A46081" s="1" t="n">
        <v>46080</v>
      </c>
      <c r="B46081">
        <f>TEXT(46080, "[$-0E0000]yyyy-mm-dd")</f>
        <v/>
      </c>
      <c r="C46081" t="inlineStr">
        <is>
          <t>2026-01-12</t>
        </is>
      </c>
    </row>
    <row r="46082">
      <c r="A46082" s="1" t="n">
        <v>46081</v>
      </c>
      <c r="B46082">
        <f>TEXT(46081, "[$-0E0000]yyyy-mm-dd")</f>
        <v/>
      </c>
      <c r="C46082" t="inlineStr">
        <is>
          <t>2026-01-13</t>
        </is>
      </c>
    </row>
    <row r="46083">
      <c r="A46083" s="1" t="n">
        <v>46082</v>
      </c>
      <c r="B46083">
        <f>TEXT(46082, "[$-0E0000]yyyy-mm-dd")</f>
        <v/>
      </c>
      <c r="C46083" t="inlineStr">
        <is>
          <t>2026-01-14</t>
        </is>
      </c>
    </row>
    <row r="46084">
      <c r="A46084" s="1" t="n">
        <v>46083</v>
      </c>
      <c r="B46084">
        <f>TEXT(46083, "[$-0E0000]yyyy-mm-dd")</f>
        <v/>
      </c>
      <c r="C46084" t="inlineStr">
        <is>
          <t>2026-01-15</t>
        </is>
      </c>
    </row>
    <row r="46085">
      <c r="A46085" s="1" t="n">
        <v>46084</v>
      </c>
      <c r="B46085">
        <f>TEXT(46084, "[$-0E0000]yyyy-mm-dd")</f>
        <v/>
      </c>
      <c r="C46085" t="inlineStr">
        <is>
          <t>2026-01-16</t>
        </is>
      </c>
    </row>
    <row r="46086">
      <c r="A46086" s="1" t="n">
        <v>46085</v>
      </c>
      <c r="B46086">
        <f>TEXT(46085, "[$-0E0000]yyyy-mm-dd")</f>
        <v/>
      </c>
      <c r="C46086" t="inlineStr">
        <is>
          <t>2026-01-17</t>
        </is>
      </c>
    </row>
    <row r="46087">
      <c r="A46087" s="1" t="n">
        <v>46086</v>
      </c>
      <c r="B46087">
        <f>TEXT(46086, "[$-0E0000]yyyy-mm-dd")</f>
        <v/>
      </c>
      <c r="C46087" t="inlineStr">
        <is>
          <t>2026-01-18</t>
        </is>
      </c>
    </row>
    <row r="46088">
      <c r="A46088" s="1" t="n">
        <v>46087</v>
      </c>
      <c r="B46088">
        <f>TEXT(46087, "[$-0E0000]yyyy-mm-dd")</f>
        <v/>
      </c>
      <c r="C46088" t="inlineStr">
        <is>
          <t>2026-01-19</t>
        </is>
      </c>
    </row>
    <row r="46089">
      <c r="A46089" s="1" t="n">
        <v>46088</v>
      </c>
      <c r="B46089">
        <f>TEXT(46088, "[$-0E0000]yyyy-mm-dd")</f>
        <v/>
      </c>
      <c r="C46089" t="inlineStr">
        <is>
          <t>2026-01-20</t>
        </is>
      </c>
    </row>
    <row r="46090">
      <c r="A46090" s="1" t="n">
        <v>46089</v>
      </c>
      <c r="B46090">
        <f>TEXT(46089, "[$-0E0000]yyyy-mm-dd")</f>
        <v/>
      </c>
      <c r="C46090" t="inlineStr">
        <is>
          <t>2026-01-21</t>
        </is>
      </c>
    </row>
    <row r="46091">
      <c r="A46091" s="1" t="n">
        <v>46090</v>
      </c>
      <c r="B46091">
        <f>TEXT(46090, "[$-0E0000]yyyy-mm-dd")</f>
        <v/>
      </c>
      <c r="C46091" t="inlineStr">
        <is>
          <t>2026-01-22</t>
        </is>
      </c>
    </row>
    <row r="46092">
      <c r="A46092" s="1" t="n">
        <v>46091</v>
      </c>
      <c r="B46092">
        <f>TEXT(46091, "[$-0E0000]yyyy-mm-dd")</f>
        <v/>
      </c>
      <c r="C46092" t="inlineStr">
        <is>
          <t>2026-01-23</t>
        </is>
      </c>
    </row>
    <row r="46093">
      <c r="A46093" s="1" t="n">
        <v>46092</v>
      </c>
      <c r="B46093">
        <f>TEXT(46092, "[$-0E0000]yyyy-mm-dd")</f>
        <v/>
      </c>
      <c r="C46093" t="inlineStr">
        <is>
          <t>2026-01-24</t>
        </is>
      </c>
    </row>
    <row r="46094">
      <c r="A46094" s="1" t="n">
        <v>46093</v>
      </c>
      <c r="B46094">
        <f>TEXT(46093, "[$-0E0000]yyyy-mm-dd")</f>
        <v/>
      </c>
      <c r="C46094" t="inlineStr">
        <is>
          <t>2026-01-25</t>
        </is>
      </c>
    </row>
    <row r="46095">
      <c r="A46095" s="1" t="n">
        <v>46094</v>
      </c>
      <c r="B46095">
        <f>TEXT(46094, "[$-0E0000]yyyy-mm-dd")</f>
        <v/>
      </c>
      <c r="C46095" t="inlineStr">
        <is>
          <t>2026-01-26</t>
        </is>
      </c>
    </row>
    <row r="46096">
      <c r="A46096" s="1" t="n">
        <v>46095</v>
      </c>
      <c r="B46096">
        <f>TEXT(46095, "[$-0E0000]yyyy-mm-dd")</f>
        <v/>
      </c>
      <c r="C46096" t="inlineStr">
        <is>
          <t>2026-01-27</t>
        </is>
      </c>
    </row>
    <row r="46097">
      <c r="A46097" s="1" t="n">
        <v>46096</v>
      </c>
      <c r="B46097">
        <f>TEXT(46096, "[$-0E0000]yyyy-mm-dd")</f>
        <v/>
      </c>
      <c r="C46097" t="inlineStr">
        <is>
          <t>2026-01-28</t>
        </is>
      </c>
    </row>
    <row r="46098">
      <c r="A46098" s="1" t="n">
        <v>46097</v>
      </c>
      <c r="B46098">
        <f>TEXT(46097, "[$-0E0000]yyyy-mm-dd")</f>
        <v/>
      </c>
      <c r="C46098" t="inlineStr">
        <is>
          <t>2026-01-29</t>
        </is>
      </c>
    </row>
    <row r="46099">
      <c r="A46099" s="1" t="n">
        <v>46098</v>
      </c>
      <c r="B46099">
        <f>TEXT(46098, "[$-0E0000]yyyy-mm-dd")</f>
        <v/>
      </c>
      <c r="C46099" t="inlineStr">
        <is>
          <t>2026-01-30</t>
        </is>
      </c>
    </row>
    <row r="46100">
      <c r="A46100" s="1" t="n">
        <v>46099</v>
      </c>
      <c r="B46100">
        <f>TEXT(46099, "[$-0E0000]yyyy-mm-dd")</f>
        <v/>
      </c>
      <c r="C46100" t="inlineStr">
        <is>
          <t>2026-02-01</t>
        </is>
      </c>
    </row>
    <row r="46101">
      <c r="A46101" s="1" t="n">
        <v>46100</v>
      </c>
      <c r="B46101">
        <f>TEXT(46100, "[$-0E0000]yyyy-mm-dd")</f>
        <v/>
      </c>
      <c r="C46101" t="inlineStr">
        <is>
          <t>2026-02-02</t>
        </is>
      </c>
    </row>
    <row r="46102">
      <c r="A46102" s="1" t="n">
        <v>46101</v>
      </c>
      <c r="B46102">
        <f>TEXT(46101, "[$-0E0000]yyyy-mm-dd")</f>
        <v/>
      </c>
      <c r="C46102" t="inlineStr">
        <is>
          <t>2026-02-03</t>
        </is>
      </c>
    </row>
    <row r="46103">
      <c r="A46103" s="1" t="n">
        <v>46102</v>
      </c>
      <c r="B46103">
        <f>TEXT(46102, "[$-0E0000]yyyy-mm-dd")</f>
        <v/>
      </c>
      <c r="C46103" t="inlineStr">
        <is>
          <t>2026-02-04</t>
        </is>
      </c>
    </row>
    <row r="46104">
      <c r="A46104" s="1" t="n">
        <v>46103</v>
      </c>
      <c r="B46104">
        <f>TEXT(46103, "[$-0E0000]yyyy-mm-dd")</f>
        <v/>
      </c>
      <c r="C46104" t="inlineStr">
        <is>
          <t>2026-02-05</t>
        </is>
      </c>
    </row>
    <row r="46105">
      <c r="A46105" s="1" t="n">
        <v>46104</v>
      </c>
      <c r="B46105">
        <f>TEXT(46104, "[$-0E0000]yyyy-mm-dd")</f>
        <v/>
      </c>
      <c r="C46105" t="inlineStr">
        <is>
          <t>2026-02-06</t>
        </is>
      </c>
    </row>
    <row r="46106">
      <c r="A46106" s="1" t="n">
        <v>46105</v>
      </c>
      <c r="B46106">
        <f>TEXT(46105, "[$-0E0000]yyyy-mm-dd")</f>
        <v/>
      </c>
      <c r="C46106" t="inlineStr">
        <is>
          <t>2026-02-07</t>
        </is>
      </c>
    </row>
    <row r="46107">
      <c r="A46107" s="1" t="n">
        <v>46106</v>
      </c>
      <c r="B46107">
        <f>TEXT(46106, "[$-0E0000]yyyy-mm-dd")</f>
        <v/>
      </c>
      <c r="C46107" t="inlineStr">
        <is>
          <t>2026-02-08</t>
        </is>
      </c>
    </row>
    <row r="46108">
      <c r="A46108" s="1" t="n">
        <v>46107</v>
      </c>
      <c r="B46108">
        <f>TEXT(46107, "[$-0E0000]yyyy-mm-dd")</f>
        <v/>
      </c>
      <c r="C46108" t="inlineStr">
        <is>
          <t>2026-02-09</t>
        </is>
      </c>
    </row>
    <row r="46109">
      <c r="A46109" s="1" t="n">
        <v>46108</v>
      </c>
      <c r="B46109">
        <f>TEXT(46108, "[$-0E0000]yyyy-mm-dd")</f>
        <v/>
      </c>
      <c r="C46109" t="inlineStr">
        <is>
          <t>2026-02-10</t>
        </is>
      </c>
    </row>
    <row r="46110">
      <c r="A46110" s="1" t="n">
        <v>46109</v>
      </c>
      <c r="B46110">
        <f>TEXT(46109, "[$-0E0000]yyyy-mm-dd")</f>
        <v/>
      </c>
      <c r="C46110" t="inlineStr">
        <is>
          <t>2026-02-11</t>
        </is>
      </c>
    </row>
    <row r="46111">
      <c r="A46111" s="1" t="n">
        <v>46110</v>
      </c>
      <c r="B46111">
        <f>TEXT(46110, "[$-0E0000]yyyy-mm-dd")</f>
        <v/>
      </c>
      <c r="C46111" t="inlineStr">
        <is>
          <t>2026-02-12</t>
        </is>
      </c>
    </row>
    <row r="46112">
      <c r="A46112" s="1" t="n">
        <v>46111</v>
      </c>
      <c r="B46112">
        <f>TEXT(46111, "[$-0E0000]yyyy-mm-dd")</f>
        <v/>
      </c>
      <c r="C46112" t="inlineStr">
        <is>
          <t>2026-02-13</t>
        </is>
      </c>
    </row>
    <row r="46113">
      <c r="A46113" s="1" t="n">
        <v>46112</v>
      </c>
      <c r="B46113">
        <f>TEXT(46112, "[$-0E0000]yyyy-mm-dd")</f>
        <v/>
      </c>
      <c r="C46113" t="inlineStr">
        <is>
          <t>2026-02-14</t>
        </is>
      </c>
    </row>
    <row r="46114">
      <c r="A46114" s="1" t="n">
        <v>46113</v>
      </c>
      <c r="B46114">
        <f>TEXT(46113, "[$-0E0000]yyyy-mm-dd")</f>
        <v/>
      </c>
      <c r="C46114" t="inlineStr">
        <is>
          <t>2026-02-15</t>
        </is>
      </c>
    </row>
    <row r="46115">
      <c r="A46115" s="1" t="n">
        <v>46114</v>
      </c>
      <c r="B46115">
        <f>TEXT(46114, "[$-0E0000]yyyy-mm-dd")</f>
        <v/>
      </c>
      <c r="C46115" t="inlineStr">
        <is>
          <t>2026-02-16</t>
        </is>
      </c>
    </row>
    <row r="46116">
      <c r="A46116" s="1" t="n">
        <v>46115</v>
      </c>
      <c r="B46116">
        <f>TEXT(46115, "[$-0E0000]yyyy-mm-dd")</f>
        <v/>
      </c>
      <c r="C46116" t="inlineStr">
        <is>
          <t>2026-02-17</t>
        </is>
      </c>
    </row>
    <row r="46117">
      <c r="A46117" s="1" t="n">
        <v>46116</v>
      </c>
      <c r="B46117">
        <f>TEXT(46116, "[$-0E0000]yyyy-mm-dd")</f>
        <v/>
      </c>
      <c r="C46117" t="inlineStr">
        <is>
          <t>2026-02-18</t>
        </is>
      </c>
    </row>
    <row r="46118">
      <c r="A46118" s="1" t="n">
        <v>46117</v>
      </c>
      <c r="B46118">
        <f>TEXT(46117, "[$-0E0000]yyyy-mm-dd")</f>
        <v/>
      </c>
      <c r="C46118" t="inlineStr">
        <is>
          <t>2026-02-19</t>
        </is>
      </c>
    </row>
    <row r="46119">
      <c r="A46119" s="1" t="n">
        <v>46118</v>
      </c>
      <c r="B46119">
        <f>TEXT(46118, "[$-0E0000]yyyy-mm-dd")</f>
        <v/>
      </c>
      <c r="C46119" t="inlineStr">
        <is>
          <t>2026-02-20</t>
        </is>
      </c>
    </row>
    <row r="46120">
      <c r="A46120" s="1" t="n">
        <v>46119</v>
      </c>
      <c r="B46120">
        <f>TEXT(46119, "[$-0E0000]yyyy-mm-dd")</f>
        <v/>
      </c>
      <c r="C46120" t="inlineStr">
        <is>
          <t>2026-02-21</t>
        </is>
      </c>
    </row>
    <row r="46121">
      <c r="A46121" s="1" t="n">
        <v>46120</v>
      </c>
      <c r="B46121">
        <f>TEXT(46120, "[$-0E0000]yyyy-mm-dd")</f>
        <v/>
      </c>
      <c r="C46121" t="inlineStr">
        <is>
          <t>2026-02-22</t>
        </is>
      </c>
    </row>
    <row r="46122">
      <c r="A46122" s="1" t="n">
        <v>46121</v>
      </c>
      <c r="B46122">
        <f>TEXT(46121, "[$-0E0000]yyyy-mm-dd")</f>
        <v/>
      </c>
      <c r="C46122" t="inlineStr">
        <is>
          <t>2026-02-23</t>
        </is>
      </c>
    </row>
    <row r="46123">
      <c r="A46123" s="1" t="n">
        <v>46122</v>
      </c>
      <c r="B46123">
        <f>TEXT(46122, "[$-0E0000]yyyy-mm-dd")</f>
        <v/>
      </c>
      <c r="C46123" t="inlineStr">
        <is>
          <t>2026-02-24</t>
        </is>
      </c>
    </row>
    <row r="46124">
      <c r="A46124" s="1" t="n">
        <v>46123</v>
      </c>
      <c r="B46124">
        <f>TEXT(46123, "[$-0E0000]yyyy-mm-dd")</f>
        <v/>
      </c>
      <c r="C46124" t="inlineStr">
        <is>
          <t>2026-02-25</t>
        </is>
      </c>
    </row>
    <row r="46125">
      <c r="A46125" s="1" t="n">
        <v>46124</v>
      </c>
      <c r="B46125">
        <f>TEXT(46124, "[$-0E0000]yyyy-mm-dd")</f>
        <v/>
      </c>
      <c r="C46125" t="inlineStr">
        <is>
          <t>2026-02-26</t>
        </is>
      </c>
    </row>
    <row r="46126">
      <c r="A46126" s="1" t="n">
        <v>46125</v>
      </c>
      <c r="B46126">
        <f>TEXT(46125, "[$-0E0000]yyyy-mm-dd")</f>
        <v/>
      </c>
      <c r="C46126" t="inlineStr">
        <is>
          <t>2026-02-27</t>
        </is>
      </c>
    </row>
    <row r="46127">
      <c r="A46127" s="1" t="n">
        <v>46126</v>
      </c>
      <c r="B46127">
        <f>TEXT(46126, "[$-0E0000]yyyy-mm-dd")</f>
        <v/>
      </c>
      <c r="C46127" t="inlineStr">
        <is>
          <t>2026-02-28</t>
        </is>
      </c>
    </row>
    <row r="46128">
      <c r="A46128" s="1" t="n">
        <v>46127</v>
      </c>
      <c r="B46128">
        <f>TEXT(46127, "[$-0E0000]yyyy-mm-dd")</f>
        <v/>
      </c>
      <c r="C46128" t="inlineStr">
        <is>
          <t>2026-02-29</t>
        </is>
      </c>
    </row>
    <row r="46129">
      <c r="A46129" s="1" t="n">
        <v>46128</v>
      </c>
      <c r="B46129">
        <f>TEXT(46128, "[$-0E0000]yyyy-mm-dd")</f>
        <v/>
      </c>
      <c r="C46129" t="inlineStr">
        <is>
          <t>2026-03-01</t>
        </is>
      </c>
    </row>
    <row r="46130">
      <c r="A46130" s="1" t="n">
        <v>46129</v>
      </c>
      <c r="B46130">
        <f>TEXT(46129, "[$-0E0000]yyyy-mm-dd")</f>
        <v/>
      </c>
      <c r="C46130" t="inlineStr">
        <is>
          <t>2026-03-02</t>
        </is>
      </c>
    </row>
    <row r="46131">
      <c r="A46131" s="1" t="n">
        <v>46130</v>
      </c>
      <c r="B46131">
        <f>TEXT(46130, "[$-0E0000]yyyy-mm-dd")</f>
        <v/>
      </c>
      <c r="C46131" t="inlineStr">
        <is>
          <t>2026-03-03</t>
        </is>
      </c>
    </row>
    <row r="46132">
      <c r="A46132" s="1" t="n">
        <v>46131</v>
      </c>
      <c r="B46132">
        <f>TEXT(46131, "[$-0E0000]yyyy-mm-dd")</f>
        <v/>
      </c>
      <c r="C46132" t="inlineStr">
        <is>
          <t>2026-03-04</t>
        </is>
      </c>
    </row>
    <row r="46133">
      <c r="A46133" s="1" t="n">
        <v>46132</v>
      </c>
      <c r="B46133">
        <f>TEXT(46132, "[$-0E0000]yyyy-mm-dd")</f>
        <v/>
      </c>
      <c r="C46133" t="inlineStr">
        <is>
          <t>2026-03-05</t>
        </is>
      </c>
    </row>
    <row r="46134">
      <c r="A46134" s="1" t="n">
        <v>46133</v>
      </c>
      <c r="B46134">
        <f>TEXT(46133, "[$-0E0000]yyyy-mm-dd")</f>
        <v/>
      </c>
      <c r="C46134" t="inlineStr">
        <is>
          <t>2026-03-06</t>
        </is>
      </c>
    </row>
    <row r="46135">
      <c r="A46135" s="1" t="n">
        <v>46134</v>
      </c>
      <c r="B46135">
        <f>TEXT(46134, "[$-0E0000]yyyy-mm-dd")</f>
        <v/>
      </c>
      <c r="C46135" t="inlineStr">
        <is>
          <t>2026-03-07</t>
        </is>
      </c>
    </row>
    <row r="46136">
      <c r="A46136" s="1" t="n">
        <v>46135</v>
      </c>
      <c r="B46136">
        <f>TEXT(46135, "[$-0E0000]yyyy-mm-dd")</f>
        <v/>
      </c>
      <c r="C46136" t="inlineStr">
        <is>
          <t>2026-03-08</t>
        </is>
      </c>
    </row>
    <row r="46137">
      <c r="A46137" s="1" t="n">
        <v>46136</v>
      </c>
      <c r="B46137">
        <f>TEXT(46136, "[$-0E0000]yyyy-mm-dd")</f>
        <v/>
      </c>
      <c r="C46137" t="inlineStr">
        <is>
          <t>2026-03-09</t>
        </is>
      </c>
    </row>
    <row r="46138">
      <c r="A46138" s="1" t="n">
        <v>46137</v>
      </c>
      <c r="B46138">
        <f>TEXT(46137, "[$-0E0000]yyyy-mm-dd")</f>
        <v/>
      </c>
      <c r="C46138" t="inlineStr">
        <is>
          <t>2026-03-10</t>
        </is>
      </c>
    </row>
    <row r="46139">
      <c r="A46139" s="1" t="n">
        <v>46138</v>
      </c>
      <c r="B46139">
        <f>TEXT(46138, "[$-0E0000]yyyy-mm-dd")</f>
        <v/>
      </c>
      <c r="C46139" t="inlineStr">
        <is>
          <t>2026-03-11</t>
        </is>
      </c>
    </row>
    <row r="46140">
      <c r="A46140" s="1" t="n">
        <v>46139</v>
      </c>
      <c r="B46140">
        <f>TEXT(46139, "[$-0E0000]yyyy-mm-dd")</f>
        <v/>
      </c>
      <c r="C46140" t="inlineStr">
        <is>
          <t>2026-03-12</t>
        </is>
      </c>
    </row>
    <row r="46141">
      <c r="A46141" s="1" t="n">
        <v>46140</v>
      </c>
      <c r="B46141">
        <f>TEXT(46140, "[$-0E0000]yyyy-mm-dd")</f>
        <v/>
      </c>
      <c r="C46141" t="inlineStr">
        <is>
          <t>2026-03-13</t>
        </is>
      </c>
    </row>
    <row r="46142">
      <c r="A46142" s="1" t="n">
        <v>46141</v>
      </c>
      <c r="B46142">
        <f>TEXT(46141, "[$-0E0000]yyyy-mm-dd")</f>
        <v/>
      </c>
      <c r="C46142" t="inlineStr">
        <is>
          <t>2026-03-14</t>
        </is>
      </c>
    </row>
    <row r="46143">
      <c r="A46143" s="1" t="n">
        <v>46142</v>
      </c>
      <c r="B46143">
        <f>TEXT(46142, "[$-0E0000]yyyy-mm-dd")</f>
        <v/>
      </c>
      <c r="C46143" t="inlineStr">
        <is>
          <t>2026-03-15</t>
        </is>
      </c>
    </row>
    <row r="46144">
      <c r="A46144" s="1" t="n">
        <v>46143</v>
      </c>
      <c r="B46144">
        <f>TEXT(46143, "[$-0E0000]yyyy-mm-dd")</f>
        <v/>
      </c>
      <c r="C46144" t="inlineStr">
        <is>
          <t>2026-03-16</t>
        </is>
      </c>
    </row>
    <row r="46145">
      <c r="A46145" s="1" t="n">
        <v>46144</v>
      </c>
      <c r="B46145">
        <f>TEXT(46144, "[$-0E0000]yyyy-mm-dd")</f>
        <v/>
      </c>
      <c r="C46145" t="inlineStr">
        <is>
          <t>2026-03-17</t>
        </is>
      </c>
    </row>
    <row r="46146">
      <c r="A46146" s="1" t="n">
        <v>46145</v>
      </c>
      <c r="B46146">
        <f>TEXT(46145, "[$-0E0000]yyyy-mm-dd")</f>
        <v/>
      </c>
      <c r="C46146" t="inlineStr">
        <is>
          <t>2026-03-18</t>
        </is>
      </c>
    </row>
    <row r="46147">
      <c r="A46147" s="1" t="n">
        <v>46146</v>
      </c>
      <c r="B46147">
        <f>TEXT(46146, "[$-0E0000]yyyy-mm-dd")</f>
        <v/>
      </c>
      <c r="C46147" t="inlineStr">
        <is>
          <t>2026-03-19</t>
        </is>
      </c>
    </row>
    <row r="46148">
      <c r="A46148" s="1" t="n">
        <v>46147</v>
      </c>
      <c r="B46148">
        <f>TEXT(46147, "[$-0E0000]yyyy-mm-dd")</f>
        <v/>
      </c>
      <c r="C46148" t="inlineStr">
        <is>
          <t>2026-03-20</t>
        </is>
      </c>
    </row>
    <row r="46149">
      <c r="A46149" s="1" t="n">
        <v>46148</v>
      </c>
      <c r="B46149">
        <f>TEXT(46148, "[$-0E0000]yyyy-mm-dd")</f>
        <v/>
      </c>
      <c r="C46149" t="inlineStr">
        <is>
          <t>2026-03-21</t>
        </is>
      </c>
    </row>
    <row r="46150">
      <c r="A46150" s="1" t="n">
        <v>46149</v>
      </c>
      <c r="B46150">
        <f>TEXT(46149, "[$-0E0000]yyyy-mm-dd")</f>
        <v/>
      </c>
      <c r="C46150" t="inlineStr">
        <is>
          <t>2026-03-22</t>
        </is>
      </c>
    </row>
    <row r="46151">
      <c r="A46151" s="1" t="n">
        <v>46150</v>
      </c>
      <c r="B46151">
        <f>TEXT(46150, "[$-0E0000]yyyy-mm-dd")</f>
        <v/>
      </c>
      <c r="C46151" t="inlineStr">
        <is>
          <t>2026-03-23</t>
        </is>
      </c>
    </row>
    <row r="46152">
      <c r="A46152" s="1" t="n">
        <v>46151</v>
      </c>
      <c r="B46152">
        <f>TEXT(46151, "[$-0E0000]yyyy-mm-dd")</f>
        <v/>
      </c>
      <c r="C46152" t="inlineStr">
        <is>
          <t>2026-03-24</t>
        </is>
      </c>
    </row>
    <row r="46153">
      <c r="A46153" s="1" t="n">
        <v>46152</v>
      </c>
      <c r="B46153">
        <f>TEXT(46152, "[$-0E0000]yyyy-mm-dd")</f>
        <v/>
      </c>
      <c r="C46153" t="inlineStr">
        <is>
          <t>2026-03-25</t>
        </is>
      </c>
    </row>
    <row r="46154">
      <c r="A46154" s="1" t="n">
        <v>46153</v>
      </c>
      <c r="B46154">
        <f>TEXT(46153, "[$-0E0000]yyyy-mm-dd")</f>
        <v/>
      </c>
      <c r="C46154" t="inlineStr">
        <is>
          <t>2026-03-26</t>
        </is>
      </c>
    </row>
    <row r="46155">
      <c r="A46155" s="1" t="n">
        <v>46154</v>
      </c>
      <c r="B46155">
        <f>TEXT(46154, "[$-0E0000]yyyy-mm-dd")</f>
        <v/>
      </c>
      <c r="C46155" t="inlineStr">
        <is>
          <t>2026-03-27</t>
        </is>
      </c>
    </row>
    <row r="46156">
      <c r="A46156" s="1" t="n">
        <v>46155</v>
      </c>
      <c r="B46156">
        <f>TEXT(46155, "[$-0E0000]yyyy-mm-dd")</f>
        <v/>
      </c>
      <c r="C46156" t="inlineStr">
        <is>
          <t>2026-03-28</t>
        </is>
      </c>
    </row>
    <row r="46157">
      <c r="A46157" s="1" t="n">
        <v>46156</v>
      </c>
      <c r="B46157">
        <f>TEXT(46156, "[$-0E0000]yyyy-mm-dd")</f>
        <v/>
      </c>
      <c r="C46157" t="inlineStr">
        <is>
          <t>2026-03-29</t>
        </is>
      </c>
    </row>
    <row r="46158">
      <c r="A46158" s="1" t="n">
        <v>46157</v>
      </c>
      <c r="B46158">
        <f>TEXT(46157, "[$-0E0000]yyyy-mm-dd")</f>
        <v/>
      </c>
      <c r="C46158" t="inlineStr">
        <is>
          <t>2026-03-30</t>
        </is>
      </c>
    </row>
    <row r="46159">
      <c r="A46159" s="1" t="n">
        <v>46158</v>
      </c>
      <c r="B46159">
        <f>TEXT(46158, "[$-0E0000]yyyy-mm-dd")</f>
        <v/>
      </c>
      <c r="C46159" t="inlineStr">
        <is>
          <t>2026-04-01</t>
        </is>
      </c>
    </row>
    <row r="46160">
      <c r="A46160" s="1" t="n">
        <v>46159</v>
      </c>
      <c r="B46160">
        <f>TEXT(46159, "[$-0E0000]yyyy-mm-dd")</f>
        <v/>
      </c>
      <c r="C46160" t="inlineStr">
        <is>
          <t>2026-04-02</t>
        </is>
      </c>
    </row>
    <row r="46161">
      <c r="A46161" s="1" t="n">
        <v>46160</v>
      </c>
      <c r="B46161">
        <f>TEXT(46160, "[$-0E0000]yyyy-mm-dd")</f>
        <v/>
      </c>
      <c r="C46161" t="inlineStr">
        <is>
          <t>2026-04-03</t>
        </is>
      </c>
    </row>
    <row r="46162">
      <c r="A46162" s="1" t="n">
        <v>46161</v>
      </c>
      <c r="B46162">
        <f>TEXT(46161, "[$-0E0000]yyyy-mm-dd")</f>
        <v/>
      </c>
      <c r="C46162" t="inlineStr">
        <is>
          <t>2026-04-04</t>
        </is>
      </c>
    </row>
    <row r="46163">
      <c r="A46163" s="1" t="n">
        <v>46162</v>
      </c>
      <c r="B46163">
        <f>TEXT(46162, "[$-0E0000]yyyy-mm-dd")</f>
        <v/>
      </c>
      <c r="C46163" t="inlineStr">
        <is>
          <t>2026-04-05</t>
        </is>
      </c>
    </row>
    <row r="46164">
      <c r="A46164" s="1" t="n">
        <v>46163</v>
      </c>
      <c r="B46164">
        <f>TEXT(46163, "[$-0E0000]yyyy-mm-dd")</f>
        <v/>
      </c>
      <c r="C46164" t="inlineStr">
        <is>
          <t>2026-04-06</t>
        </is>
      </c>
    </row>
    <row r="46165">
      <c r="A46165" s="1" t="n">
        <v>46164</v>
      </c>
      <c r="B46165">
        <f>TEXT(46164, "[$-0E0000]yyyy-mm-dd")</f>
        <v/>
      </c>
      <c r="C46165" t="inlineStr">
        <is>
          <t>2026-04-07</t>
        </is>
      </c>
    </row>
    <row r="46166">
      <c r="A46166" s="1" t="n">
        <v>46165</v>
      </c>
      <c r="B46166">
        <f>TEXT(46165, "[$-0E0000]yyyy-mm-dd")</f>
        <v/>
      </c>
      <c r="C46166" t="inlineStr">
        <is>
          <t>2026-04-08</t>
        </is>
      </c>
    </row>
    <row r="46167">
      <c r="A46167" s="1" t="n">
        <v>46166</v>
      </c>
      <c r="B46167">
        <f>TEXT(46166, "[$-0E0000]yyyy-mm-dd")</f>
        <v/>
      </c>
      <c r="C46167" t="inlineStr">
        <is>
          <t>2026-04-09</t>
        </is>
      </c>
    </row>
    <row r="46168">
      <c r="A46168" s="1" t="n">
        <v>46167</v>
      </c>
      <c r="B46168">
        <f>TEXT(46167, "[$-0E0000]yyyy-mm-dd")</f>
        <v/>
      </c>
      <c r="C46168" t="inlineStr">
        <is>
          <t>2026-04-10</t>
        </is>
      </c>
    </row>
    <row r="46169">
      <c r="A46169" s="1" t="n">
        <v>46168</v>
      </c>
      <c r="B46169">
        <f>TEXT(46168, "[$-0E0000]yyyy-mm-dd")</f>
        <v/>
      </c>
      <c r="C46169" t="inlineStr">
        <is>
          <t>2026-04-11</t>
        </is>
      </c>
    </row>
    <row r="46170">
      <c r="A46170" s="1" t="n">
        <v>46169</v>
      </c>
      <c r="B46170">
        <f>TEXT(46169, "[$-0E0000]yyyy-mm-dd")</f>
        <v/>
      </c>
      <c r="C46170" t="inlineStr">
        <is>
          <t>2026-04-12</t>
        </is>
      </c>
    </row>
    <row r="46171">
      <c r="A46171" s="1" t="n">
        <v>46170</v>
      </c>
      <c r="B46171">
        <f>TEXT(46170, "[$-0E0000]yyyy-mm-dd")</f>
        <v/>
      </c>
      <c r="C46171" t="inlineStr">
        <is>
          <t>2026-04-13</t>
        </is>
      </c>
    </row>
    <row r="46172">
      <c r="A46172" s="1" t="n">
        <v>46171</v>
      </c>
      <c r="B46172">
        <f>TEXT(46171, "[$-0E0000]yyyy-mm-dd")</f>
        <v/>
      </c>
      <c r="C46172" t="inlineStr">
        <is>
          <t>2026-04-14</t>
        </is>
      </c>
    </row>
    <row r="46173">
      <c r="A46173" s="1" t="n">
        <v>46172</v>
      </c>
      <c r="B46173">
        <f>TEXT(46172, "[$-0E0000]yyyy-mm-dd")</f>
        <v/>
      </c>
      <c r="C46173" t="inlineStr">
        <is>
          <t>2026-04-15</t>
        </is>
      </c>
    </row>
    <row r="46174">
      <c r="A46174" s="1" t="n">
        <v>46173</v>
      </c>
      <c r="B46174">
        <f>TEXT(46173, "[$-0E0000]yyyy-mm-dd")</f>
        <v/>
      </c>
      <c r="C46174" t="inlineStr">
        <is>
          <t>2026-04-16</t>
        </is>
      </c>
    </row>
    <row r="46175">
      <c r="A46175" s="1" t="n">
        <v>46174</v>
      </c>
      <c r="B46175">
        <f>TEXT(46174, "[$-0E0000]yyyy-mm-dd")</f>
        <v/>
      </c>
      <c r="C46175" t="inlineStr">
        <is>
          <t>2026-04-17</t>
        </is>
      </c>
    </row>
    <row r="46176">
      <c r="A46176" s="1" t="n">
        <v>46175</v>
      </c>
      <c r="B46176">
        <f>TEXT(46175, "[$-0E0000]yyyy-mm-dd")</f>
        <v/>
      </c>
      <c r="C46176" t="inlineStr">
        <is>
          <t>2026-04-18</t>
        </is>
      </c>
    </row>
    <row r="46177">
      <c r="A46177" s="1" t="n">
        <v>46176</v>
      </c>
      <c r="B46177">
        <f>TEXT(46176, "[$-0E0000]yyyy-mm-dd")</f>
        <v/>
      </c>
      <c r="C46177" t="inlineStr">
        <is>
          <t>2026-04-19</t>
        </is>
      </c>
    </row>
    <row r="46178">
      <c r="A46178" s="1" t="n">
        <v>46177</v>
      </c>
      <c r="B46178">
        <f>TEXT(46177, "[$-0E0000]yyyy-mm-dd")</f>
        <v/>
      </c>
      <c r="C46178" t="inlineStr">
        <is>
          <t>2026-04-20</t>
        </is>
      </c>
    </row>
    <row r="46179">
      <c r="A46179" s="1" t="n">
        <v>46178</v>
      </c>
      <c r="B46179">
        <f>TEXT(46178, "[$-0E0000]yyyy-mm-dd")</f>
        <v/>
      </c>
      <c r="C46179" t="inlineStr">
        <is>
          <t>2026-04-21</t>
        </is>
      </c>
    </row>
    <row r="46180">
      <c r="A46180" s="1" t="n">
        <v>46179</v>
      </c>
      <c r="B46180">
        <f>TEXT(46179, "[$-0E0000]yyyy-mm-dd")</f>
        <v/>
      </c>
      <c r="C46180" t="inlineStr">
        <is>
          <t>2026-04-22</t>
        </is>
      </c>
    </row>
    <row r="46181">
      <c r="A46181" s="1" t="n">
        <v>46180</v>
      </c>
      <c r="B46181">
        <f>TEXT(46180, "[$-0E0000]yyyy-mm-dd")</f>
        <v/>
      </c>
      <c r="C46181" t="inlineStr">
        <is>
          <t>2026-04-23</t>
        </is>
      </c>
    </row>
    <row r="46182">
      <c r="A46182" s="1" t="n">
        <v>46181</v>
      </c>
      <c r="B46182">
        <f>TEXT(46181, "[$-0E0000]yyyy-mm-dd")</f>
        <v/>
      </c>
      <c r="C46182" t="inlineStr">
        <is>
          <t>2026-04-24</t>
        </is>
      </c>
    </row>
    <row r="46183">
      <c r="A46183" s="1" t="n">
        <v>46182</v>
      </c>
      <c r="B46183">
        <f>TEXT(46182, "[$-0E0000]yyyy-mm-dd")</f>
        <v/>
      </c>
      <c r="C46183" t="inlineStr">
        <is>
          <t>2026-04-25</t>
        </is>
      </c>
    </row>
    <row r="46184">
      <c r="A46184" s="1" t="n">
        <v>46183</v>
      </c>
      <c r="B46184">
        <f>TEXT(46183, "[$-0E0000]yyyy-mm-dd")</f>
        <v/>
      </c>
      <c r="C46184" t="inlineStr">
        <is>
          <t>2026-04-26</t>
        </is>
      </c>
    </row>
    <row r="46185">
      <c r="A46185" s="1" t="n">
        <v>46184</v>
      </c>
      <c r="B46185">
        <f>TEXT(46184, "[$-0E0000]yyyy-mm-dd")</f>
        <v/>
      </c>
      <c r="C46185" t="inlineStr">
        <is>
          <t>2026-04-27</t>
        </is>
      </c>
    </row>
    <row r="46186">
      <c r="A46186" s="1" t="n">
        <v>46185</v>
      </c>
      <c r="B46186">
        <f>TEXT(46185, "[$-0E0000]yyyy-mm-dd")</f>
        <v/>
      </c>
      <c r="C46186" t="inlineStr">
        <is>
          <t>2026-04-28</t>
        </is>
      </c>
    </row>
    <row r="46187">
      <c r="A46187" s="1" t="n">
        <v>46186</v>
      </c>
      <c r="B46187">
        <f>TEXT(46186, "[$-0E0000]yyyy-mm-dd")</f>
        <v/>
      </c>
      <c r="C46187" t="inlineStr">
        <is>
          <t>2026-04-29</t>
        </is>
      </c>
    </row>
    <row r="46188">
      <c r="A46188" s="1" t="n">
        <v>46187</v>
      </c>
      <c r="B46188">
        <f>TEXT(46187, "[$-0E0000]yyyy-mm-dd")</f>
        <v/>
      </c>
      <c r="C46188" t="inlineStr">
        <is>
          <t>2026-05-01</t>
        </is>
      </c>
    </row>
    <row r="46189">
      <c r="A46189" s="1" t="n">
        <v>46188</v>
      </c>
      <c r="B46189">
        <f>TEXT(46188, "[$-0E0000]yyyy-mm-dd")</f>
        <v/>
      </c>
      <c r="C46189" t="inlineStr">
        <is>
          <t>2026-05-02</t>
        </is>
      </c>
    </row>
    <row r="46190">
      <c r="A46190" s="1" t="n">
        <v>46189</v>
      </c>
      <c r="B46190">
        <f>TEXT(46189, "[$-0E0000]yyyy-mm-dd")</f>
        <v/>
      </c>
      <c r="C46190" t="inlineStr">
        <is>
          <t>2026-05-03</t>
        </is>
      </c>
    </row>
    <row r="46191">
      <c r="A46191" s="1" t="n">
        <v>46190</v>
      </c>
      <c r="B46191">
        <f>TEXT(46190, "[$-0E0000]yyyy-mm-dd")</f>
        <v/>
      </c>
      <c r="C46191" t="inlineStr">
        <is>
          <t>2026-05-04</t>
        </is>
      </c>
    </row>
    <row r="46192">
      <c r="A46192" s="1" t="n">
        <v>46191</v>
      </c>
      <c r="B46192">
        <f>TEXT(46191, "[$-0E0000]yyyy-mm-dd")</f>
        <v/>
      </c>
      <c r="C46192" t="inlineStr">
        <is>
          <t>2026-05-05</t>
        </is>
      </c>
    </row>
    <row r="46193">
      <c r="A46193" s="1" t="n">
        <v>46192</v>
      </c>
      <c r="B46193">
        <f>TEXT(46192, "[$-0E0000]yyyy-mm-dd")</f>
        <v/>
      </c>
      <c r="C46193" t="inlineStr">
        <is>
          <t>2026-05-06</t>
        </is>
      </c>
    </row>
    <row r="46194">
      <c r="A46194" s="1" t="n">
        <v>46193</v>
      </c>
      <c r="B46194">
        <f>TEXT(46193, "[$-0E0000]yyyy-mm-dd")</f>
        <v/>
      </c>
      <c r="C46194" t="inlineStr">
        <is>
          <t>2026-05-07</t>
        </is>
      </c>
    </row>
    <row r="46195">
      <c r="A46195" s="1" t="n">
        <v>46194</v>
      </c>
      <c r="B46195">
        <f>TEXT(46194, "[$-0E0000]yyyy-mm-dd")</f>
        <v/>
      </c>
      <c r="C46195" t="inlineStr">
        <is>
          <t>2026-05-08</t>
        </is>
      </c>
    </row>
    <row r="46196">
      <c r="A46196" s="1" t="n">
        <v>46195</v>
      </c>
      <c r="B46196">
        <f>TEXT(46195, "[$-0E0000]yyyy-mm-dd")</f>
        <v/>
      </c>
      <c r="C46196" t="inlineStr">
        <is>
          <t>2026-05-09</t>
        </is>
      </c>
    </row>
    <row r="46197">
      <c r="A46197" s="1" t="n">
        <v>46196</v>
      </c>
      <c r="B46197">
        <f>TEXT(46196, "[$-0E0000]yyyy-mm-dd")</f>
        <v/>
      </c>
      <c r="C46197" t="inlineStr">
        <is>
          <t>2026-05-10</t>
        </is>
      </c>
    </row>
    <row r="46198">
      <c r="A46198" s="1" t="n">
        <v>46197</v>
      </c>
      <c r="B46198">
        <f>TEXT(46197, "[$-0E0000]yyyy-mm-dd")</f>
        <v/>
      </c>
      <c r="C46198" t="inlineStr">
        <is>
          <t>2026-05-11</t>
        </is>
      </c>
    </row>
    <row r="46199">
      <c r="A46199" s="1" t="n">
        <v>46198</v>
      </c>
      <c r="B46199">
        <f>TEXT(46198, "[$-0E0000]yyyy-mm-dd")</f>
        <v/>
      </c>
      <c r="C46199" t="inlineStr">
        <is>
          <t>2026-05-12</t>
        </is>
      </c>
    </row>
    <row r="46200">
      <c r="A46200" s="1" t="n">
        <v>46199</v>
      </c>
      <c r="B46200">
        <f>TEXT(46199, "[$-0E0000]yyyy-mm-dd")</f>
        <v/>
      </c>
      <c r="C46200" t="inlineStr">
        <is>
          <t>2026-05-13</t>
        </is>
      </c>
    </row>
    <row r="46201">
      <c r="A46201" s="1" t="n">
        <v>46200</v>
      </c>
      <c r="B46201">
        <f>TEXT(46200, "[$-0E0000]yyyy-mm-dd")</f>
        <v/>
      </c>
      <c r="C46201" t="inlineStr">
        <is>
          <t>2026-05-14</t>
        </is>
      </c>
    </row>
    <row r="46202">
      <c r="A46202" s="1" t="n">
        <v>46201</v>
      </c>
      <c r="B46202">
        <f>TEXT(46201, "[$-0E0000]yyyy-mm-dd")</f>
        <v/>
      </c>
      <c r="C46202" t="inlineStr">
        <is>
          <t>2026-05-15</t>
        </is>
      </c>
    </row>
    <row r="46203">
      <c r="A46203" s="1" t="n">
        <v>46202</v>
      </c>
      <c r="B46203">
        <f>TEXT(46202, "[$-0E0000]yyyy-mm-dd")</f>
        <v/>
      </c>
      <c r="C46203" t="inlineStr">
        <is>
          <t>2026-05-16</t>
        </is>
      </c>
    </row>
    <row r="46204">
      <c r="A46204" s="1" t="n">
        <v>46203</v>
      </c>
      <c r="B46204">
        <f>TEXT(46203, "[$-0E0000]yyyy-mm-dd")</f>
        <v/>
      </c>
      <c r="C46204" t="inlineStr">
        <is>
          <t>2026-05-17</t>
        </is>
      </c>
    </row>
    <row r="46205">
      <c r="A46205" s="1" t="n">
        <v>46204</v>
      </c>
      <c r="B46205">
        <f>TEXT(46204, "[$-0E0000]yyyy-mm-dd")</f>
        <v/>
      </c>
      <c r="C46205" t="inlineStr">
        <is>
          <t>2026-05-18</t>
        </is>
      </c>
    </row>
    <row r="46206">
      <c r="A46206" s="1" t="n">
        <v>46205</v>
      </c>
      <c r="B46206">
        <f>TEXT(46205, "[$-0E0000]yyyy-mm-dd")</f>
        <v/>
      </c>
      <c r="C46206" t="inlineStr">
        <is>
          <t>2026-05-19</t>
        </is>
      </c>
    </row>
    <row r="46207">
      <c r="A46207" s="1" t="n">
        <v>46206</v>
      </c>
      <c r="B46207">
        <f>TEXT(46206, "[$-0E0000]yyyy-mm-dd")</f>
        <v/>
      </c>
      <c r="C46207" t="inlineStr">
        <is>
          <t>2026-05-20</t>
        </is>
      </c>
    </row>
    <row r="46208">
      <c r="A46208" s="1" t="n">
        <v>46207</v>
      </c>
      <c r="B46208">
        <f>TEXT(46207, "[$-0E0000]yyyy-mm-dd")</f>
        <v/>
      </c>
      <c r="C46208" t="inlineStr">
        <is>
          <t>2026-05-21</t>
        </is>
      </c>
    </row>
    <row r="46209">
      <c r="A46209" s="1" t="n">
        <v>46208</v>
      </c>
      <c r="B46209">
        <f>TEXT(46208, "[$-0E0000]yyyy-mm-dd")</f>
        <v/>
      </c>
      <c r="C46209" t="inlineStr">
        <is>
          <t>2026-05-22</t>
        </is>
      </c>
    </row>
    <row r="46210">
      <c r="A46210" s="1" t="n">
        <v>46209</v>
      </c>
      <c r="B46210">
        <f>TEXT(46209, "[$-0E0000]yyyy-mm-dd")</f>
        <v/>
      </c>
      <c r="C46210" t="inlineStr">
        <is>
          <t>2026-05-23</t>
        </is>
      </c>
    </row>
    <row r="46211">
      <c r="A46211" s="1" t="n">
        <v>46210</v>
      </c>
      <c r="B46211">
        <f>TEXT(46210, "[$-0E0000]yyyy-mm-dd")</f>
        <v/>
      </c>
      <c r="C46211" t="inlineStr">
        <is>
          <t>2026-05-24</t>
        </is>
      </c>
    </row>
    <row r="46212">
      <c r="A46212" s="1" t="n">
        <v>46211</v>
      </c>
      <c r="B46212">
        <f>TEXT(46211, "[$-0E0000]yyyy-mm-dd")</f>
        <v/>
      </c>
      <c r="C46212" t="inlineStr">
        <is>
          <t>2026-05-25</t>
        </is>
      </c>
    </row>
    <row r="46213">
      <c r="A46213" s="1" t="n">
        <v>46212</v>
      </c>
      <c r="B46213">
        <f>TEXT(46212, "[$-0E0000]yyyy-mm-dd")</f>
        <v/>
      </c>
      <c r="C46213" t="inlineStr">
        <is>
          <t>2026-05-26</t>
        </is>
      </c>
    </row>
    <row r="46214">
      <c r="A46214" s="1" t="n">
        <v>46213</v>
      </c>
      <c r="B46214">
        <f>TEXT(46213, "[$-0E0000]yyyy-mm-dd")</f>
        <v/>
      </c>
      <c r="C46214" t="inlineStr">
        <is>
          <t>2026-05-27</t>
        </is>
      </c>
    </row>
    <row r="46215">
      <c r="A46215" s="1" t="n">
        <v>46214</v>
      </c>
      <c r="B46215">
        <f>TEXT(46214, "[$-0E0000]yyyy-mm-dd")</f>
        <v/>
      </c>
      <c r="C46215" t="inlineStr">
        <is>
          <t>2026-05-28</t>
        </is>
      </c>
    </row>
    <row r="46216">
      <c r="A46216" s="1" t="n">
        <v>46215</v>
      </c>
      <c r="B46216">
        <f>TEXT(46215, "[$-0E0000]yyyy-mm-dd")</f>
        <v/>
      </c>
      <c r="C46216" t="inlineStr">
        <is>
          <t>2026-05-29</t>
        </is>
      </c>
    </row>
    <row r="46217">
      <c r="A46217" s="1" t="n">
        <v>46216</v>
      </c>
      <c r="B46217">
        <f>TEXT(46216, "[$-0E0000]yyyy-mm-dd")</f>
        <v/>
      </c>
      <c r="C46217" t="inlineStr">
        <is>
          <t>2026-06-01</t>
        </is>
      </c>
    </row>
    <row r="46218">
      <c r="A46218" s="1" t="n">
        <v>46217</v>
      </c>
      <c r="B46218">
        <f>TEXT(46217, "[$-0E0000]yyyy-mm-dd")</f>
        <v/>
      </c>
      <c r="C46218" t="inlineStr">
        <is>
          <t>2026-06-02</t>
        </is>
      </c>
    </row>
    <row r="46219">
      <c r="A46219" s="1" t="n">
        <v>46218</v>
      </c>
      <c r="B46219">
        <f>TEXT(46218, "[$-0E0000]yyyy-mm-dd")</f>
        <v/>
      </c>
      <c r="C46219" t="inlineStr">
        <is>
          <t>2026-06-03</t>
        </is>
      </c>
    </row>
    <row r="46220">
      <c r="A46220" s="1" t="n">
        <v>46219</v>
      </c>
      <c r="B46220">
        <f>TEXT(46219, "[$-0E0000]yyyy-mm-dd")</f>
        <v/>
      </c>
      <c r="C46220" t="inlineStr">
        <is>
          <t>2026-06-04</t>
        </is>
      </c>
    </row>
    <row r="46221">
      <c r="A46221" s="1" t="n">
        <v>46220</v>
      </c>
      <c r="B46221">
        <f>TEXT(46220, "[$-0E0000]yyyy-mm-dd")</f>
        <v/>
      </c>
      <c r="C46221" t="inlineStr">
        <is>
          <t>2026-06-05</t>
        </is>
      </c>
    </row>
    <row r="46222">
      <c r="A46222" s="1" t="n">
        <v>46221</v>
      </c>
      <c r="B46222">
        <f>TEXT(46221, "[$-0E0000]yyyy-mm-dd")</f>
        <v/>
      </c>
      <c r="C46222" t="inlineStr">
        <is>
          <t>2026-06-06</t>
        </is>
      </c>
    </row>
    <row r="46223">
      <c r="A46223" s="1" t="n">
        <v>46222</v>
      </c>
      <c r="B46223">
        <f>TEXT(46222, "[$-0E0000]yyyy-mm-dd")</f>
        <v/>
      </c>
      <c r="C46223" t="inlineStr">
        <is>
          <t>2026-06-07</t>
        </is>
      </c>
    </row>
    <row r="46224">
      <c r="A46224" s="1" t="n">
        <v>46223</v>
      </c>
      <c r="B46224">
        <f>TEXT(46223, "[$-0E0000]yyyy-mm-dd")</f>
        <v/>
      </c>
      <c r="C46224" t="inlineStr">
        <is>
          <t>2026-06-08</t>
        </is>
      </c>
    </row>
    <row r="46225">
      <c r="A46225" s="1" t="n">
        <v>46224</v>
      </c>
      <c r="B46225">
        <f>TEXT(46224, "[$-0E0000]yyyy-mm-dd")</f>
        <v/>
      </c>
      <c r="C46225" t="inlineStr">
        <is>
          <t>2026-06-09</t>
        </is>
      </c>
    </row>
    <row r="46226">
      <c r="A46226" s="1" t="n">
        <v>46225</v>
      </c>
      <c r="B46226">
        <f>TEXT(46225, "[$-0E0000]yyyy-mm-dd")</f>
        <v/>
      </c>
      <c r="C46226" t="inlineStr">
        <is>
          <t>2026-06-10</t>
        </is>
      </c>
    </row>
    <row r="46227">
      <c r="A46227" s="1" t="n">
        <v>46226</v>
      </c>
      <c r="B46227">
        <f>TEXT(46226, "[$-0E0000]yyyy-mm-dd")</f>
        <v/>
      </c>
      <c r="C46227" t="inlineStr">
        <is>
          <t>2026-06-11</t>
        </is>
      </c>
    </row>
    <row r="46228">
      <c r="A46228" s="1" t="n">
        <v>46227</v>
      </c>
      <c r="B46228">
        <f>TEXT(46227, "[$-0E0000]yyyy-mm-dd")</f>
        <v/>
      </c>
      <c r="C46228" t="inlineStr">
        <is>
          <t>2026-06-12</t>
        </is>
      </c>
    </row>
    <row r="46229">
      <c r="A46229" s="1" t="n">
        <v>46228</v>
      </c>
      <c r="B46229">
        <f>TEXT(46228, "[$-0E0000]yyyy-mm-dd")</f>
        <v/>
      </c>
      <c r="C46229" t="inlineStr">
        <is>
          <t>2026-06-13</t>
        </is>
      </c>
    </row>
    <row r="46230">
      <c r="A46230" s="1" t="n">
        <v>46229</v>
      </c>
      <c r="B46230">
        <f>TEXT(46229, "[$-0E0000]yyyy-mm-dd")</f>
        <v/>
      </c>
      <c r="C46230" t="inlineStr">
        <is>
          <t>2026-06-14</t>
        </is>
      </c>
    </row>
    <row r="46231">
      <c r="A46231" s="1" t="n">
        <v>46230</v>
      </c>
      <c r="B46231">
        <f>TEXT(46230, "[$-0E0000]yyyy-mm-dd")</f>
        <v/>
      </c>
      <c r="C46231" t="inlineStr">
        <is>
          <t>2026-06-15</t>
        </is>
      </c>
    </row>
    <row r="46232">
      <c r="A46232" s="1" t="n">
        <v>46231</v>
      </c>
      <c r="B46232">
        <f>TEXT(46231, "[$-0E0000]yyyy-mm-dd")</f>
        <v/>
      </c>
      <c r="C46232" t="inlineStr">
        <is>
          <t>2026-06-16</t>
        </is>
      </c>
    </row>
    <row r="46233">
      <c r="A46233" s="1" t="n">
        <v>46232</v>
      </c>
      <c r="B46233">
        <f>TEXT(46232, "[$-0E0000]yyyy-mm-dd")</f>
        <v/>
      </c>
      <c r="C46233" t="inlineStr">
        <is>
          <t>2026-06-17</t>
        </is>
      </c>
    </row>
    <row r="46234">
      <c r="A46234" s="1" t="n">
        <v>46233</v>
      </c>
      <c r="B46234">
        <f>TEXT(46233, "[$-0E0000]yyyy-mm-dd")</f>
        <v/>
      </c>
      <c r="C46234" t="inlineStr">
        <is>
          <t>2026-06-18</t>
        </is>
      </c>
    </row>
    <row r="46235">
      <c r="A46235" s="1" t="n">
        <v>46234</v>
      </c>
      <c r="B46235">
        <f>TEXT(46234, "[$-0E0000]yyyy-mm-dd")</f>
        <v/>
      </c>
      <c r="C46235" t="inlineStr">
        <is>
          <t>2026-06-19</t>
        </is>
      </c>
    </row>
    <row r="46236">
      <c r="A46236" s="1" t="n">
        <v>46235</v>
      </c>
      <c r="B46236">
        <f>TEXT(46235, "[$-0E0000]yyyy-mm-dd")</f>
        <v/>
      </c>
      <c r="C46236" t="inlineStr">
        <is>
          <t>2026-06-20</t>
        </is>
      </c>
    </row>
    <row r="46237">
      <c r="A46237" s="1" t="n">
        <v>46236</v>
      </c>
      <c r="B46237">
        <f>TEXT(46236, "[$-0E0000]yyyy-mm-dd")</f>
        <v/>
      </c>
      <c r="C46237" t="inlineStr">
        <is>
          <t>2026-06-21</t>
        </is>
      </c>
    </row>
    <row r="46238">
      <c r="A46238" s="1" t="n">
        <v>46237</v>
      </c>
      <c r="B46238">
        <f>TEXT(46237, "[$-0E0000]yyyy-mm-dd")</f>
        <v/>
      </c>
      <c r="C46238" t="inlineStr">
        <is>
          <t>2026-06-22</t>
        </is>
      </c>
    </row>
    <row r="46239">
      <c r="A46239" s="1" t="n">
        <v>46238</v>
      </c>
      <c r="B46239">
        <f>TEXT(46238, "[$-0E0000]yyyy-mm-dd")</f>
        <v/>
      </c>
      <c r="C46239" t="inlineStr">
        <is>
          <t>2026-06-23</t>
        </is>
      </c>
    </row>
    <row r="46240">
      <c r="A46240" s="1" t="n">
        <v>46239</v>
      </c>
      <c r="B46240">
        <f>TEXT(46239, "[$-0E0000]yyyy-mm-dd")</f>
        <v/>
      </c>
      <c r="C46240" t="inlineStr">
        <is>
          <t>2026-06-24</t>
        </is>
      </c>
    </row>
    <row r="46241">
      <c r="A46241" s="1" t="n">
        <v>46240</v>
      </c>
      <c r="B46241">
        <f>TEXT(46240, "[$-0E0000]yyyy-mm-dd")</f>
        <v/>
      </c>
      <c r="C46241" t="inlineStr">
        <is>
          <t>2026-06-25</t>
        </is>
      </c>
    </row>
    <row r="46242">
      <c r="A46242" s="1" t="n">
        <v>46241</v>
      </c>
      <c r="B46242">
        <f>TEXT(46241, "[$-0E0000]yyyy-mm-dd")</f>
        <v/>
      </c>
      <c r="C46242" t="inlineStr">
        <is>
          <t>2026-06-26</t>
        </is>
      </c>
    </row>
    <row r="46243">
      <c r="A46243" s="1" t="n">
        <v>46242</v>
      </c>
      <c r="B46243">
        <f>TEXT(46242, "[$-0E0000]yyyy-mm-dd")</f>
        <v/>
      </c>
      <c r="C46243" t="inlineStr">
        <is>
          <t>2026-06-27</t>
        </is>
      </c>
    </row>
    <row r="46244">
      <c r="A46244" s="1" t="n">
        <v>46243</v>
      </c>
      <c r="B46244">
        <f>TEXT(46243, "[$-0E0000]yyyy-mm-dd")</f>
        <v/>
      </c>
      <c r="C46244" t="inlineStr">
        <is>
          <t>2026-06-28</t>
        </is>
      </c>
    </row>
    <row r="46245">
      <c r="A46245" s="1" t="n">
        <v>46244</v>
      </c>
      <c r="B46245">
        <f>TEXT(46244, "[$-0E0000]yyyy-mm-dd")</f>
        <v/>
      </c>
      <c r="C46245" t="inlineStr">
        <is>
          <t>2026-06-29</t>
        </is>
      </c>
    </row>
    <row r="46246">
      <c r="A46246" s="1" t="n">
        <v>46245</v>
      </c>
      <c r="B46246">
        <f>TEXT(46245, "[$-0E0000]yyyy-mm-dd")</f>
        <v/>
      </c>
      <c r="C46246" t="inlineStr">
        <is>
          <t>2026-06-30</t>
        </is>
      </c>
    </row>
    <row r="46247">
      <c r="A46247" s="1" t="n">
        <v>46246</v>
      </c>
      <c r="B46247">
        <f>TEXT(46246, "[$-0E0000]yyyy-mm-dd")</f>
        <v/>
      </c>
      <c r="C46247" t="inlineStr">
        <is>
          <t>2026-07-01</t>
        </is>
      </c>
    </row>
    <row r="46248">
      <c r="A46248" s="1" t="n">
        <v>46247</v>
      </c>
      <c r="B46248">
        <f>TEXT(46247, "[$-0E0000]yyyy-mm-dd")</f>
        <v/>
      </c>
      <c r="C46248" t="inlineStr">
        <is>
          <t>2026-07-02</t>
        </is>
      </c>
    </row>
    <row r="46249">
      <c r="A46249" s="1" t="n">
        <v>46248</v>
      </c>
      <c r="B46249">
        <f>TEXT(46248, "[$-0E0000]yyyy-mm-dd")</f>
        <v/>
      </c>
      <c r="C46249" t="inlineStr">
        <is>
          <t>2026-07-03</t>
        </is>
      </c>
    </row>
    <row r="46250">
      <c r="A46250" s="1" t="n">
        <v>46249</v>
      </c>
      <c r="B46250">
        <f>TEXT(46249, "[$-0E0000]yyyy-mm-dd")</f>
        <v/>
      </c>
      <c r="C46250" t="inlineStr">
        <is>
          <t>2026-07-04</t>
        </is>
      </c>
    </row>
    <row r="46251">
      <c r="A46251" s="1" t="n">
        <v>46250</v>
      </c>
      <c r="B46251">
        <f>TEXT(46250, "[$-0E0000]yyyy-mm-dd")</f>
        <v/>
      </c>
      <c r="C46251" t="inlineStr">
        <is>
          <t>2026-07-05</t>
        </is>
      </c>
    </row>
    <row r="46252">
      <c r="A46252" s="1" t="n">
        <v>46251</v>
      </c>
      <c r="B46252">
        <f>TEXT(46251, "[$-0E0000]yyyy-mm-dd")</f>
        <v/>
      </c>
      <c r="C46252" t="inlineStr">
        <is>
          <t>2026-07-06</t>
        </is>
      </c>
    </row>
    <row r="46253">
      <c r="A46253" s="1" t="n">
        <v>46252</v>
      </c>
      <c r="B46253">
        <f>TEXT(46252, "[$-0E0000]yyyy-mm-dd")</f>
        <v/>
      </c>
      <c r="C46253" t="inlineStr">
        <is>
          <t>2026-07-07</t>
        </is>
      </c>
    </row>
    <row r="46254">
      <c r="A46254" s="1" t="n">
        <v>46253</v>
      </c>
      <c r="B46254">
        <f>TEXT(46253, "[$-0E0000]yyyy-mm-dd")</f>
        <v/>
      </c>
      <c r="C46254" t="inlineStr">
        <is>
          <t>2026-07-08</t>
        </is>
      </c>
    </row>
    <row r="46255">
      <c r="A46255" s="1" t="n">
        <v>46254</v>
      </c>
      <c r="B46255">
        <f>TEXT(46254, "[$-0E0000]yyyy-mm-dd")</f>
        <v/>
      </c>
      <c r="C46255" t="inlineStr">
        <is>
          <t>2026-07-09</t>
        </is>
      </c>
    </row>
    <row r="46256">
      <c r="A46256" s="1" t="n">
        <v>46255</v>
      </c>
      <c r="B46256">
        <f>TEXT(46255, "[$-0E0000]yyyy-mm-dd")</f>
        <v/>
      </c>
      <c r="C46256" t="inlineStr">
        <is>
          <t>2026-07-10</t>
        </is>
      </c>
    </row>
    <row r="46257">
      <c r="A46257" s="1" t="n">
        <v>46256</v>
      </c>
      <c r="B46257">
        <f>TEXT(46256, "[$-0E0000]yyyy-mm-dd")</f>
        <v/>
      </c>
      <c r="C46257" t="inlineStr">
        <is>
          <t>2026-07-11</t>
        </is>
      </c>
    </row>
    <row r="46258">
      <c r="A46258" s="1" t="n">
        <v>46257</v>
      </c>
      <c r="B46258">
        <f>TEXT(46257, "[$-0E0000]yyyy-mm-dd")</f>
        <v/>
      </c>
      <c r="C46258" t="inlineStr">
        <is>
          <t>2026-07-12</t>
        </is>
      </c>
    </row>
    <row r="46259">
      <c r="A46259" s="1" t="n">
        <v>46258</v>
      </c>
      <c r="B46259">
        <f>TEXT(46258, "[$-0E0000]yyyy-mm-dd")</f>
        <v/>
      </c>
      <c r="C46259" t="inlineStr">
        <is>
          <t>2026-07-13</t>
        </is>
      </c>
    </row>
    <row r="46260">
      <c r="A46260" s="1" t="n">
        <v>46259</v>
      </c>
      <c r="B46260">
        <f>TEXT(46259, "[$-0E0000]yyyy-mm-dd")</f>
        <v/>
      </c>
      <c r="C46260" t="inlineStr">
        <is>
          <t>2026-07-14</t>
        </is>
      </c>
    </row>
    <row r="46261">
      <c r="A46261" s="1" t="n">
        <v>46260</v>
      </c>
      <c r="B46261">
        <f>TEXT(46260, "[$-0E0000]yyyy-mm-dd")</f>
        <v/>
      </c>
      <c r="C46261" t="inlineStr">
        <is>
          <t>2026-07-15</t>
        </is>
      </c>
    </row>
    <row r="46262">
      <c r="A46262" s="1" t="n">
        <v>46261</v>
      </c>
      <c r="B46262">
        <f>TEXT(46261, "[$-0E0000]yyyy-mm-dd")</f>
        <v/>
      </c>
      <c r="C46262" t="inlineStr">
        <is>
          <t>2026-07-16</t>
        </is>
      </c>
    </row>
    <row r="46263">
      <c r="A46263" s="1" t="n">
        <v>46262</v>
      </c>
      <c r="B46263">
        <f>TEXT(46262, "[$-0E0000]yyyy-mm-dd")</f>
        <v/>
      </c>
      <c r="C46263" t="inlineStr">
        <is>
          <t>2026-07-17</t>
        </is>
      </c>
    </row>
    <row r="46264">
      <c r="A46264" s="1" t="n">
        <v>46263</v>
      </c>
      <c r="B46264">
        <f>TEXT(46263, "[$-0E0000]yyyy-mm-dd")</f>
        <v/>
      </c>
      <c r="C46264" t="inlineStr">
        <is>
          <t>2026-07-18</t>
        </is>
      </c>
    </row>
    <row r="46265">
      <c r="A46265" s="1" t="n">
        <v>46264</v>
      </c>
      <c r="B46265">
        <f>TEXT(46264, "[$-0E0000]yyyy-mm-dd")</f>
        <v/>
      </c>
      <c r="C46265" t="inlineStr">
        <is>
          <t>2026-07-19</t>
        </is>
      </c>
    </row>
    <row r="46266">
      <c r="A46266" s="1" t="n">
        <v>46265</v>
      </c>
      <c r="B46266">
        <f>TEXT(46265, "[$-0E0000]yyyy-mm-dd")</f>
        <v/>
      </c>
      <c r="C46266" t="inlineStr">
        <is>
          <t>2026-07-20</t>
        </is>
      </c>
    </row>
    <row r="46267">
      <c r="A46267" s="1" t="n">
        <v>46266</v>
      </c>
      <c r="B46267">
        <f>TEXT(46266, "[$-0E0000]yyyy-mm-dd")</f>
        <v/>
      </c>
      <c r="C46267" t="inlineStr">
        <is>
          <t>2026-07-21</t>
        </is>
      </c>
    </row>
    <row r="46268">
      <c r="A46268" s="1" t="n">
        <v>46267</v>
      </c>
      <c r="B46268">
        <f>TEXT(46267, "[$-0E0000]yyyy-mm-dd")</f>
        <v/>
      </c>
      <c r="C46268" t="inlineStr">
        <is>
          <t>2026-07-22</t>
        </is>
      </c>
    </row>
    <row r="46269">
      <c r="A46269" s="1" t="n">
        <v>46268</v>
      </c>
      <c r="B46269">
        <f>TEXT(46268, "[$-0E0000]yyyy-mm-dd")</f>
        <v/>
      </c>
      <c r="C46269" t="inlineStr">
        <is>
          <t>2026-07-23</t>
        </is>
      </c>
    </row>
    <row r="46270">
      <c r="A46270" s="1" t="n">
        <v>46269</v>
      </c>
      <c r="B46270">
        <f>TEXT(46269, "[$-0E0000]yyyy-mm-dd")</f>
        <v/>
      </c>
      <c r="C46270" t="inlineStr">
        <is>
          <t>2026-07-24</t>
        </is>
      </c>
    </row>
    <row r="46271">
      <c r="A46271" s="1" t="n">
        <v>46270</v>
      </c>
      <c r="B46271">
        <f>TEXT(46270, "[$-0E0000]yyyy-mm-dd")</f>
        <v/>
      </c>
      <c r="C46271" t="inlineStr">
        <is>
          <t>2026-07-25</t>
        </is>
      </c>
    </row>
    <row r="46272">
      <c r="A46272" s="1" t="n">
        <v>46271</v>
      </c>
      <c r="B46272">
        <f>TEXT(46271, "[$-0E0000]yyyy-mm-dd")</f>
        <v/>
      </c>
      <c r="C46272" t="inlineStr">
        <is>
          <t>2026-07-26</t>
        </is>
      </c>
    </row>
    <row r="46273">
      <c r="A46273" s="1" t="n">
        <v>46272</v>
      </c>
      <c r="B46273">
        <f>TEXT(46272, "[$-0E0000]yyyy-mm-dd")</f>
        <v/>
      </c>
      <c r="C46273" t="inlineStr">
        <is>
          <t>2026-07-27</t>
        </is>
      </c>
    </row>
    <row r="46274">
      <c r="A46274" s="1" t="n">
        <v>46273</v>
      </c>
      <c r="B46274">
        <f>TEXT(46273, "[$-0E0000]yyyy-mm-dd")</f>
        <v/>
      </c>
      <c r="C46274" t="inlineStr">
        <is>
          <t>2026-07-28</t>
        </is>
      </c>
    </row>
    <row r="46275">
      <c r="A46275" s="1" t="n">
        <v>46274</v>
      </c>
      <c r="B46275">
        <f>TEXT(46274, "[$-0E0000]yyyy-mm-dd")</f>
        <v/>
      </c>
      <c r="C46275" t="inlineStr">
        <is>
          <t>2026-07-29</t>
        </is>
      </c>
    </row>
    <row r="46276">
      <c r="A46276" s="1" t="n">
        <v>46275</v>
      </c>
      <c r="B46276">
        <f>TEXT(46275, "[$-0E0000]yyyy-mm-dd")</f>
        <v/>
      </c>
      <c r="C46276" t="inlineStr">
        <is>
          <t>2026-08-01</t>
        </is>
      </c>
    </row>
    <row r="46277">
      <c r="A46277" s="1" t="n">
        <v>46276</v>
      </c>
      <c r="B46277">
        <f>TEXT(46276, "[$-0E0000]yyyy-mm-dd")</f>
        <v/>
      </c>
      <c r="C46277" t="inlineStr">
        <is>
          <t>2026-08-02</t>
        </is>
      </c>
    </row>
    <row r="46278">
      <c r="A46278" s="1" t="n">
        <v>46277</v>
      </c>
      <c r="B46278">
        <f>TEXT(46277, "[$-0E0000]yyyy-mm-dd")</f>
        <v/>
      </c>
      <c r="C46278" t="inlineStr">
        <is>
          <t>2026-08-03</t>
        </is>
      </c>
    </row>
    <row r="46279">
      <c r="A46279" s="1" t="n">
        <v>46278</v>
      </c>
      <c r="B46279">
        <f>TEXT(46278, "[$-0E0000]yyyy-mm-dd")</f>
        <v/>
      </c>
      <c r="C46279" t="inlineStr">
        <is>
          <t>2026-08-04</t>
        </is>
      </c>
    </row>
    <row r="46280">
      <c r="A46280" s="1" t="n">
        <v>46279</v>
      </c>
      <c r="B46280">
        <f>TEXT(46279, "[$-0E0000]yyyy-mm-dd")</f>
        <v/>
      </c>
      <c r="C46280" t="inlineStr">
        <is>
          <t>2026-08-05</t>
        </is>
      </c>
    </row>
    <row r="46281">
      <c r="A46281" s="1" t="n">
        <v>46280</v>
      </c>
      <c r="B46281">
        <f>TEXT(46280, "[$-0E0000]yyyy-mm-dd")</f>
        <v/>
      </c>
      <c r="C46281" t="inlineStr">
        <is>
          <t>2026-08-06</t>
        </is>
      </c>
    </row>
    <row r="46282">
      <c r="A46282" s="1" t="n">
        <v>46281</v>
      </c>
      <c r="B46282">
        <f>TEXT(46281, "[$-0E0000]yyyy-mm-dd")</f>
        <v/>
      </c>
      <c r="C46282" t="inlineStr">
        <is>
          <t>2026-08-07</t>
        </is>
      </c>
    </row>
    <row r="46283">
      <c r="A46283" s="1" t="n">
        <v>46282</v>
      </c>
      <c r="B46283">
        <f>TEXT(46282, "[$-0E0000]yyyy-mm-dd")</f>
        <v/>
      </c>
      <c r="C46283" t="inlineStr">
        <is>
          <t>2026-08-08</t>
        </is>
      </c>
    </row>
    <row r="46284">
      <c r="A46284" s="1" t="n">
        <v>46283</v>
      </c>
      <c r="B46284">
        <f>TEXT(46283, "[$-0E0000]yyyy-mm-dd")</f>
        <v/>
      </c>
      <c r="C46284" t="inlineStr">
        <is>
          <t>2026-08-09</t>
        </is>
      </c>
    </row>
    <row r="46285">
      <c r="A46285" s="1" t="n">
        <v>46284</v>
      </c>
      <c r="B46285">
        <f>TEXT(46284, "[$-0E0000]yyyy-mm-dd")</f>
        <v/>
      </c>
      <c r="C46285" t="inlineStr">
        <is>
          <t>2026-08-10</t>
        </is>
      </c>
    </row>
    <row r="46286">
      <c r="A46286" s="1" t="n">
        <v>46285</v>
      </c>
      <c r="B46286">
        <f>TEXT(46285, "[$-0E0000]yyyy-mm-dd")</f>
        <v/>
      </c>
      <c r="C46286" t="inlineStr">
        <is>
          <t>2026-08-11</t>
        </is>
      </c>
    </row>
    <row r="46287">
      <c r="A46287" s="1" t="n">
        <v>46286</v>
      </c>
      <c r="B46287">
        <f>TEXT(46286, "[$-0E0000]yyyy-mm-dd")</f>
        <v/>
      </c>
      <c r="C46287" t="inlineStr">
        <is>
          <t>2026-08-12</t>
        </is>
      </c>
    </row>
    <row r="46288">
      <c r="A46288" s="1" t="n">
        <v>46287</v>
      </c>
      <c r="B46288">
        <f>TEXT(46287, "[$-0E0000]yyyy-mm-dd")</f>
        <v/>
      </c>
      <c r="C46288" t="inlineStr">
        <is>
          <t>2026-08-13</t>
        </is>
      </c>
    </row>
    <row r="46289">
      <c r="A46289" s="1" t="n">
        <v>46288</v>
      </c>
      <c r="B46289">
        <f>TEXT(46288, "[$-0E0000]yyyy-mm-dd")</f>
        <v/>
      </c>
      <c r="C46289" t="inlineStr">
        <is>
          <t>2026-08-14</t>
        </is>
      </c>
    </row>
    <row r="46290">
      <c r="A46290" s="1" t="n">
        <v>46289</v>
      </c>
      <c r="B46290">
        <f>TEXT(46289, "[$-0E0000]yyyy-mm-dd")</f>
        <v/>
      </c>
      <c r="C46290" t="inlineStr">
        <is>
          <t>2026-08-15</t>
        </is>
      </c>
    </row>
    <row r="46291">
      <c r="A46291" s="1" t="n">
        <v>46290</v>
      </c>
      <c r="B46291">
        <f>TEXT(46290, "[$-0E0000]yyyy-mm-dd")</f>
        <v/>
      </c>
      <c r="C46291" t="inlineStr">
        <is>
          <t>2026-08-16</t>
        </is>
      </c>
    </row>
    <row r="46292">
      <c r="A46292" s="1" t="n">
        <v>46291</v>
      </c>
      <c r="B46292">
        <f>TEXT(46291, "[$-0E0000]yyyy-mm-dd")</f>
        <v/>
      </c>
      <c r="C46292" t="inlineStr">
        <is>
          <t>2026-08-17</t>
        </is>
      </c>
    </row>
    <row r="46293">
      <c r="A46293" s="1" t="n">
        <v>46292</v>
      </c>
      <c r="B46293">
        <f>TEXT(46292, "[$-0E0000]yyyy-mm-dd")</f>
        <v/>
      </c>
      <c r="C46293" t="inlineStr">
        <is>
          <t>2026-08-18</t>
        </is>
      </c>
    </row>
    <row r="46294">
      <c r="A46294" s="1" t="n">
        <v>46293</v>
      </c>
      <c r="B46294">
        <f>TEXT(46293, "[$-0E0000]yyyy-mm-dd")</f>
        <v/>
      </c>
      <c r="C46294" t="inlineStr">
        <is>
          <t>2026-08-19</t>
        </is>
      </c>
    </row>
    <row r="46295">
      <c r="A46295" s="1" t="n">
        <v>46294</v>
      </c>
      <c r="B46295">
        <f>TEXT(46294, "[$-0E0000]yyyy-mm-dd")</f>
        <v/>
      </c>
      <c r="C46295" t="inlineStr">
        <is>
          <t>2026-08-20</t>
        </is>
      </c>
    </row>
    <row r="46296">
      <c r="A46296" s="1" t="n">
        <v>46295</v>
      </c>
      <c r="B46296">
        <f>TEXT(46295, "[$-0E0000]yyyy-mm-dd")</f>
        <v/>
      </c>
      <c r="C46296" t="inlineStr">
        <is>
          <t>2026-08-21</t>
        </is>
      </c>
    </row>
    <row r="46297">
      <c r="A46297" s="1" t="n">
        <v>46296</v>
      </c>
      <c r="B46297">
        <f>TEXT(46296, "[$-0E0000]yyyy-mm-dd")</f>
        <v/>
      </c>
      <c r="C46297" t="inlineStr">
        <is>
          <t>2026-08-22</t>
        </is>
      </c>
    </row>
    <row r="46298">
      <c r="A46298" s="1" t="n">
        <v>46297</v>
      </c>
      <c r="B46298">
        <f>TEXT(46297, "[$-0E0000]yyyy-mm-dd")</f>
        <v/>
      </c>
      <c r="C46298" t="inlineStr">
        <is>
          <t>2026-08-23</t>
        </is>
      </c>
    </row>
    <row r="46299">
      <c r="A46299" s="1" t="n">
        <v>46298</v>
      </c>
      <c r="B46299">
        <f>TEXT(46298, "[$-0E0000]yyyy-mm-dd")</f>
        <v/>
      </c>
      <c r="C46299" t="inlineStr">
        <is>
          <t>2026-08-24</t>
        </is>
      </c>
    </row>
    <row r="46300">
      <c r="A46300" s="1" t="n">
        <v>46299</v>
      </c>
      <c r="B46300">
        <f>TEXT(46299, "[$-0E0000]yyyy-mm-dd")</f>
        <v/>
      </c>
      <c r="C46300" t="inlineStr">
        <is>
          <t>2026-08-25</t>
        </is>
      </c>
    </row>
    <row r="46301">
      <c r="A46301" s="1" t="n">
        <v>46300</v>
      </c>
      <c r="B46301">
        <f>TEXT(46300, "[$-0E0000]yyyy-mm-dd")</f>
        <v/>
      </c>
      <c r="C46301" t="inlineStr">
        <is>
          <t>2026-08-26</t>
        </is>
      </c>
    </row>
    <row r="46302">
      <c r="A46302" s="1" t="n">
        <v>46301</v>
      </c>
      <c r="B46302">
        <f>TEXT(46301, "[$-0E0000]yyyy-mm-dd")</f>
        <v/>
      </c>
      <c r="C46302" t="inlineStr">
        <is>
          <t>2026-08-27</t>
        </is>
      </c>
    </row>
    <row r="46303">
      <c r="A46303" s="1" t="n">
        <v>46302</v>
      </c>
      <c r="B46303">
        <f>TEXT(46302, "[$-0E0000]yyyy-mm-dd")</f>
        <v/>
      </c>
      <c r="C46303" t="inlineStr">
        <is>
          <t>2026-08-28</t>
        </is>
      </c>
    </row>
    <row r="46304">
      <c r="A46304" s="1" t="n">
        <v>46303</v>
      </c>
      <c r="B46304">
        <f>TEXT(46303, "[$-0E0000]yyyy-mm-dd")</f>
        <v/>
      </c>
      <c r="C46304" t="inlineStr">
        <is>
          <t>2026-08-29</t>
        </is>
      </c>
    </row>
    <row r="46305">
      <c r="A46305" s="1" t="n">
        <v>46304</v>
      </c>
      <c r="B46305">
        <f>TEXT(46304, "[$-0E0000]yyyy-mm-dd")</f>
        <v/>
      </c>
      <c r="C46305" t="inlineStr">
        <is>
          <t>2026-09-01</t>
        </is>
      </c>
    </row>
    <row r="46306">
      <c r="A46306" s="1" t="n">
        <v>46305</v>
      </c>
      <c r="B46306">
        <f>TEXT(46305, "[$-0E0000]yyyy-mm-dd")</f>
        <v/>
      </c>
      <c r="C46306" t="inlineStr">
        <is>
          <t>2026-09-02</t>
        </is>
      </c>
    </row>
    <row r="46307">
      <c r="A46307" s="1" t="n">
        <v>46306</v>
      </c>
      <c r="B46307">
        <f>TEXT(46306, "[$-0E0000]yyyy-mm-dd")</f>
        <v/>
      </c>
      <c r="C46307" t="inlineStr">
        <is>
          <t>2026-09-03</t>
        </is>
      </c>
    </row>
    <row r="46308">
      <c r="A46308" s="1" t="n">
        <v>46307</v>
      </c>
      <c r="B46308">
        <f>TEXT(46307, "[$-0E0000]yyyy-mm-dd")</f>
        <v/>
      </c>
      <c r="C46308" t="inlineStr">
        <is>
          <t>2026-09-04</t>
        </is>
      </c>
    </row>
    <row r="46309">
      <c r="A46309" s="1" t="n">
        <v>46308</v>
      </c>
      <c r="B46309">
        <f>TEXT(46308, "[$-0E0000]yyyy-mm-dd")</f>
        <v/>
      </c>
      <c r="C46309" t="inlineStr">
        <is>
          <t>2026-09-05</t>
        </is>
      </c>
    </row>
    <row r="46310">
      <c r="A46310" s="1" t="n">
        <v>46309</v>
      </c>
      <c r="B46310">
        <f>TEXT(46309, "[$-0E0000]yyyy-mm-dd")</f>
        <v/>
      </c>
      <c r="C46310" t="inlineStr">
        <is>
          <t>2026-09-06</t>
        </is>
      </c>
    </row>
    <row r="46311">
      <c r="A46311" s="1" t="n">
        <v>46310</v>
      </c>
      <c r="B46311">
        <f>TEXT(46310, "[$-0E0000]yyyy-mm-dd")</f>
        <v/>
      </c>
      <c r="C46311" t="inlineStr">
        <is>
          <t>2026-09-07</t>
        </is>
      </c>
    </row>
    <row r="46312">
      <c r="A46312" s="1" t="n">
        <v>46311</v>
      </c>
      <c r="B46312">
        <f>TEXT(46311, "[$-0E0000]yyyy-mm-dd")</f>
        <v/>
      </c>
      <c r="C46312" t="inlineStr">
        <is>
          <t>2026-09-08</t>
        </is>
      </c>
    </row>
    <row r="46313">
      <c r="A46313" s="1" t="n">
        <v>46312</v>
      </c>
      <c r="B46313">
        <f>TEXT(46312, "[$-0E0000]yyyy-mm-dd")</f>
        <v/>
      </c>
      <c r="C46313" t="inlineStr">
        <is>
          <t>2026-09-09</t>
        </is>
      </c>
    </row>
    <row r="46314">
      <c r="A46314" s="1" t="n">
        <v>46313</v>
      </c>
      <c r="B46314">
        <f>TEXT(46313, "[$-0E0000]yyyy-mm-dd")</f>
        <v/>
      </c>
      <c r="C46314" t="inlineStr">
        <is>
          <t>2026-09-10</t>
        </is>
      </c>
    </row>
    <row r="46315">
      <c r="A46315" s="1" t="n">
        <v>46314</v>
      </c>
      <c r="B46315">
        <f>TEXT(46314, "[$-0E0000]yyyy-mm-dd")</f>
        <v/>
      </c>
      <c r="C46315" t="inlineStr">
        <is>
          <t>2026-09-11</t>
        </is>
      </c>
    </row>
    <row r="46316">
      <c r="A46316" s="1" t="n">
        <v>46315</v>
      </c>
      <c r="B46316">
        <f>TEXT(46315, "[$-0E0000]yyyy-mm-dd")</f>
        <v/>
      </c>
      <c r="C46316" t="inlineStr">
        <is>
          <t>2026-09-12</t>
        </is>
      </c>
    </row>
    <row r="46317">
      <c r="A46317" s="1" t="n">
        <v>46316</v>
      </c>
      <c r="B46317">
        <f>TEXT(46316, "[$-0E0000]yyyy-mm-dd")</f>
        <v/>
      </c>
      <c r="C46317" t="inlineStr">
        <is>
          <t>2026-09-13</t>
        </is>
      </c>
    </row>
    <row r="46318">
      <c r="A46318" s="1" t="n">
        <v>46317</v>
      </c>
      <c r="B46318">
        <f>TEXT(46317, "[$-0E0000]yyyy-mm-dd")</f>
        <v/>
      </c>
      <c r="C46318" t="inlineStr">
        <is>
          <t>2026-09-14</t>
        </is>
      </c>
    </row>
    <row r="46319">
      <c r="A46319" s="1" t="n">
        <v>46318</v>
      </c>
      <c r="B46319">
        <f>TEXT(46318, "[$-0E0000]yyyy-mm-dd")</f>
        <v/>
      </c>
      <c r="C46319" t="inlineStr">
        <is>
          <t>2026-09-15</t>
        </is>
      </c>
    </row>
    <row r="46320">
      <c r="A46320" s="1" t="n">
        <v>46319</v>
      </c>
      <c r="B46320">
        <f>TEXT(46319, "[$-0E0000]yyyy-mm-dd")</f>
        <v/>
      </c>
      <c r="C46320" t="inlineStr">
        <is>
          <t>2026-09-16</t>
        </is>
      </c>
    </row>
    <row r="46321">
      <c r="A46321" s="1" t="n">
        <v>46320</v>
      </c>
      <c r="B46321">
        <f>TEXT(46320, "[$-0E0000]yyyy-mm-dd")</f>
        <v/>
      </c>
      <c r="C46321" t="inlineStr">
        <is>
          <t>2026-09-17</t>
        </is>
      </c>
    </row>
    <row r="46322">
      <c r="A46322" s="1" t="n">
        <v>46321</v>
      </c>
      <c r="B46322">
        <f>TEXT(46321, "[$-0E0000]yyyy-mm-dd")</f>
        <v/>
      </c>
      <c r="C46322" t="inlineStr">
        <is>
          <t>2026-09-18</t>
        </is>
      </c>
    </row>
    <row r="46323">
      <c r="A46323" s="1" t="n">
        <v>46322</v>
      </c>
      <c r="B46323">
        <f>TEXT(46322, "[$-0E0000]yyyy-mm-dd")</f>
        <v/>
      </c>
      <c r="C46323" t="inlineStr">
        <is>
          <t>2026-09-19</t>
        </is>
      </c>
    </row>
    <row r="46324">
      <c r="A46324" s="1" t="n">
        <v>46323</v>
      </c>
      <c r="B46324">
        <f>TEXT(46323, "[$-0E0000]yyyy-mm-dd")</f>
        <v/>
      </c>
      <c r="C46324" t="inlineStr">
        <is>
          <t>2026-09-20</t>
        </is>
      </c>
    </row>
    <row r="46325">
      <c r="A46325" s="1" t="n">
        <v>46324</v>
      </c>
      <c r="B46325">
        <f>TEXT(46324, "[$-0E0000]yyyy-mm-dd")</f>
        <v/>
      </c>
      <c r="C46325" t="inlineStr">
        <is>
          <t>2026-09-21</t>
        </is>
      </c>
    </row>
    <row r="46326">
      <c r="A46326" s="1" t="n">
        <v>46325</v>
      </c>
      <c r="B46326">
        <f>TEXT(46325, "[$-0E0000]yyyy-mm-dd")</f>
        <v/>
      </c>
      <c r="C46326" t="inlineStr">
        <is>
          <t>2026-09-22</t>
        </is>
      </c>
    </row>
    <row r="46327">
      <c r="A46327" s="1" t="n">
        <v>46326</v>
      </c>
      <c r="B46327">
        <f>TEXT(46326, "[$-0E0000]yyyy-mm-dd")</f>
        <v/>
      </c>
      <c r="C46327" t="inlineStr">
        <is>
          <t>2026-09-23</t>
        </is>
      </c>
    </row>
    <row r="46328">
      <c r="A46328" s="1" t="n">
        <v>46327</v>
      </c>
      <c r="B46328">
        <f>TEXT(46327, "[$-0E0000]yyyy-mm-dd")</f>
        <v/>
      </c>
      <c r="C46328" t="inlineStr">
        <is>
          <t>2026-09-24</t>
        </is>
      </c>
    </row>
    <row r="46329">
      <c r="A46329" s="1" t="n">
        <v>46328</v>
      </c>
      <c r="B46329">
        <f>TEXT(46328, "[$-0E0000]yyyy-mm-dd")</f>
        <v/>
      </c>
      <c r="C46329" t="inlineStr">
        <is>
          <t>2026-09-25</t>
        </is>
      </c>
    </row>
    <row r="46330">
      <c r="A46330" s="1" t="n">
        <v>46329</v>
      </c>
      <c r="B46330">
        <f>TEXT(46329, "[$-0E0000]yyyy-mm-dd")</f>
        <v/>
      </c>
      <c r="C46330" t="inlineStr">
        <is>
          <t>2026-09-26</t>
        </is>
      </c>
    </row>
    <row r="46331">
      <c r="A46331" s="1" t="n">
        <v>46330</v>
      </c>
      <c r="B46331">
        <f>TEXT(46330, "[$-0E0000]yyyy-mm-dd")</f>
        <v/>
      </c>
      <c r="C46331" t="inlineStr">
        <is>
          <t>2026-09-27</t>
        </is>
      </c>
    </row>
    <row r="46332">
      <c r="A46332" s="1" t="n">
        <v>46331</v>
      </c>
      <c r="B46332">
        <f>TEXT(46331, "[$-0E0000]yyyy-mm-dd")</f>
        <v/>
      </c>
      <c r="C46332" t="inlineStr">
        <is>
          <t>2026-09-28</t>
        </is>
      </c>
    </row>
    <row r="46333">
      <c r="A46333" s="1" t="n">
        <v>46332</v>
      </c>
      <c r="B46333">
        <f>TEXT(46332, "[$-0E0000]yyyy-mm-dd")</f>
        <v/>
      </c>
      <c r="C46333" t="inlineStr">
        <is>
          <t>2026-09-29</t>
        </is>
      </c>
    </row>
    <row r="46334">
      <c r="A46334" s="1" t="n">
        <v>46333</v>
      </c>
      <c r="B46334">
        <f>TEXT(46333, "[$-0E0000]yyyy-mm-dd")</f>
        <v/>
      </c>
      <c r="C46334" t="inlineStr">
        <is>
          <t>2026-09-30</t>
        </is>
      </c>
    </row>
    <row r="46335">
      <c r="A46335" s="1" t="n">
        <v>46334</v>
      </c>
      <c r="B46335">
        <f>TEXT(46334, "[$-0E0000]yyyy-mm-dd")</f>
        <v/>
      </c>
      <c r="C46335" t="inlineStr">
        <is>
          <t>2026-10-01</t>
        </is>
      </c>
    </row>
    <row r="46336">
      <c r="A46336" s="1" t="n">
        <v>46335</v>
      </c>
      <c r="B46336">
        <f>TEXT(46335, "[$-0E0000]yyyy-mm-dd")</f>
        <v/>
      </c>
      <c r="C46336" t="inlineStr">
        <is>
          <t>2026-10-02</t>
        </is>
      </c>
    </row>
    <row r="46337">
      <c r="A46337" s="1" t="n">
        <v>46336</v>
      </c>
      <c r="B46337">
        <f>TEXT(46336, "[$-0E0000]yyyy-mm-dd")</f>
        <v/>
      </c>
      <c r="C46337" t="inlineStr">
        <is>
          <t>2026-10-03</t>
        </is>
      </c>
    </row>
    <row r="46338">
      <c r="A46338" s="1" t="n">
        <v>46337</v>
      </c>
      <c r="B46338">
        <f>TEXT(46337, "[$-0E0000]yyyy-mm-dd")</f>
        <v/>
      </c>
      <c r="C46338" t="inlineStr">
        <is>
          <t>2026-10-04</t>
        </is>
      </c>
    </row>
    <row r="46339">
      <c r="A46339" s="1" t="n">
        <v>46338</v>
      </c>
      <c r="B46339">
        <f>TEXT(46338, "[$-0E0000]yyyy-mm-dd")</f>
        <v/>
      </c>
      <c r="C46339" t="inlineStr">
        <is>
          <t>2026-10-05</t>
        </is>
      </c>
    </row>
    <row r="46340">
      <c r="A46340" s="1" t="n">
        <v>46339</v>
      </c>
      <c r="B46340">
        <f>TEXT(46339, "[$-0E0000]yyyy-mm-dd")</f>
        <v/>
      </c>
      <c r="C46340" t="inlineStr">
        <is>
          <t>2026-10-06</t>
        </is>
      </c>
    </row>
    <row r="46341">
      <c r="A46341" s="1" t="n">
        <v>46340</v>
      </c>
      <c r="B46341">
        <f>TEXT(46340, "[$-0E0000]yyyy-mm-dd")</f>
        <v/>
      </c>
      <c r="C46341" t="inlineStr">
        <is>
          <t>2026-10-07</t>
        </is>
      </c>
    </row>
    <row r="46342">
      <c r="A46342" s="1" t="n">
        <v>46341</v>
      </c>
      <c r="B46342">
        <f>TEXT(46341, "[$-0E0000]yyyy-mm-dd")</f>
        <v/>
      </c>
      <c r="C46342" t="inlineStr">
        <is>
          <t>2026-10-08</t>
        </is>
      </c>
    </row>
    <row r="46343">
      <c r="A46343" s="1" t="n">
        <v>46342</v>
      </c>
      <c r="B46343">
        <f>TEXT(46342, "[$-0E0000]yyyy-mm-dd")</f>
        <v/>
      </c>
      <c r="C46343" t="inlineStr">
        <is>
          <t>2026-10-09</t>
        </is>
      </c>
    </row>
    <row r="46344">
      <c r="A46344" s="1" t="n">
        <v>46343</v>
      </c>
      <c r="B46344">
        <f>TEXT(46343, "[$-0E0000]yyyy-mm-dd")</f>
        <v/>
      </c>
      <c r="C46344" t="inlineStr">
        <is>
          <t>2026-10-10</t>
        </is>
      </c>
    </row>
    <row r="46345">
      <c r="A46345" s="1" t="n">
        <v>46344</v>
      </c>
      <c r="B46345">
        <f>TEXT(46344, "[$-0E0000]yyyy-mm-dd")</f>
        <v/>
      </c>
      <c r="C46345" t="inlineStr">
        <is>
          <t>2026-10-11</t>
        </is>
      </c>
    </row>
    <row r="46346">
      <c r="A46346" s="1" t="n">
        <v>46345</v>
      </c>
      <c r="B46346">
        <f>TEXT(46345, "[$-0E0000]yyyy-mm-dd")</f>
        <v/>
      </c>
      <c r="C46346" t="inlineStr">
        <is>
          <t>2026-10-12</t>
        </is>
      </c>
    </row>
    <row r="46347">
      <c r="A46347" s="1" t="n">
        <v>46346</v>
      </c>
      <c r="B46347">
        <f>TEXT(46346, "[$-0E0000]yyyy-mm-dd")</f>
        <v/>
      </c>
      <c r="C46347" t="inlineStr">
        <is>
          <t>2026-10-13</t>
        </is>
      </c>
    </row>
    <row r="46348">
      <c r="A46348" s="1" t="n">
        <v>46347</v>
      </c>
      <c r="B46348">
        <f>TEXT(46347, "[$-0E0000]yyyy-mm-dd")</f>
        <v/>
      </c>
      <c r="C46348" t="inlineStr">
        <is>
          <t>2026-10-14</t>
        </is>
      </c>
    </row>
    <row r="46349">
      <c r="A46349" s="1" t="n">
        <v>46348</v>
      </c>
      <c r="B46349">
        <f>TEXT(46348, "[$-0E0000]yyyy-mm-dd")</f>
        <v/>
      </c>
      <c r="C46349" t="inlineStr">
        <is>
          <t>2026-10-15</t>
        </is>
      </c>
    </row>
    <row r="46350">
      <c r="A46350" s="1" t="n">
        <v>46349</v>
      </c>
      <c r="B46350">
        <f>TEXT(46349, "[$-0E0000]yyyy-mm-dd")</f>
        <v/>
      </c>
      <c r="C46350" t="inlineStr">
        <is>
          <t>2026-10-16</t>
        </is>
      </c>
    </row>
    <row r="46351">
      <c r="A46351" s="1" t="n">
        <v>46350</v>
      </c>
      <c r="B46351">
        <f>TEXT(46350, "[$-0E0000]yyyy-mm-dd")</f>
        <v/>
      </c>
      <c r="C46351" t="inlineStr">
        <is>
          <t>2026-10-17</t>
        </is>
      </c>
    </row>
    <row r="46352">
      <c r="A46352" s="1" t="n">
        <v>46351</v>
      </c>
      <c r="B46352">
        <f>TEXT(46351, "[$-0E0000]yyyy-mm-dd")</f>
        <v/>
      </c>
      <c r="C46352" t="inlineStr">
        <is>
          <t>2026-10-18</t>
        </is>
      </c>
    </row>
    <row r="46353">
      <c r="A46353" s="1" t="n">
        <v>46352</v>
      </c>
      <c r="B46353">
        <f>TEXT(46352, "[$-0E0000]yyyy-mm-dd")</f>
        <v/>
      </c>
      <c r="C46353" t="inlineStr">
        <is>
          <t>2026-10-19</t>
        </is>
      </c>
    </row>
    <row r="46354">
      <c r="A46354" s="1" t="n">
        <v>46353</v>
      </c>
      <c r="B46354">
        <f>TEXT(46353, "[$-0E0000]yyyy-mm-dd")</f>
        <v/>
      </c>
      <c r="C46354" t="inlineStr">
        <is>
          <t>2026-10-20</t>
        </is>
      </c>
    </row>
    <row r="46355">
      <c r="A46355" s="1" t="n">
        <v>46354</v>
      </c>
      <c r="B46355">
        <f>TEXT(46354, "[$-0E0000]yyyy-mm-dd")</f>
        <v/>
      </c>
      <c r="C46355" t="inlineStr">
        <is>
          <t>2026-10-21</t>
        </is>
      </c>
    </row>
    <row r="46356">
      <c r="A46356" s="1" t="n">
        <v>46355</v>
      </c>
      <c r="B46356">
        <f>TEXT(46355, "[$-0E0000]yyyy-mm-dd")</f>
        <v/>
      </c>
      <c r="C46356" t="inlineStr">
        <is>
          <t>2026-10-22</t>
        </is>
      </c>
    </row>
    <row r="46357">
      <c r="A46357" s="1" t="n">
        <v>46356</v>
      </c>
      <c r="B46357">
        <f>TEXT(46356, "[$-0E0000]yyyy-mm-dd")</f>
        <v/>
      </c>
      <c r="C46357" t="inlineStr">
        <is>
          <t>2026-10-23</t>
        </is>
      </c>
    </row>
    <row r="46358">
      <c r="A46358" s="1" t="n">
        <v>46357</v>
      </c>
      <c r="B46358">
        <f>TEXT(46357, "[$-0E0000]yyyy-mm-dd")</f>
        <v/>
      </c>
      <c r="C46358" t="inlineStr">
        <is>
          <t>2026-10-24</t>
        </is>
      </c>
    </row>
    <row r="46359">
      <c r="A46359" s="1" t="n">
        <v>46358</v>
      </c>
      <c r="B46359">
        <f>TEXT(46358, "[$-0E0000]yyyy-mm-dd")</f>
        <v/>
      </c>
      <c r="C46359" t="inlineStr">
        <is>
          <t>2026-10-25</t>
        </is>
      </c>
    </row>
    <row r="46360">
      <c r="A46360" s="1" t="n">
        <v>46359</v>
      </c>
      <c r="B46360">
        <f>TEXT(46359, "[$-0E0000]yyyy-mm-dd")</f>
        <v/>
      </c>
      <c r="C46360" t="inlineStr">
        <is>
          <t>2026-10-26</t>
        </is>
      </c>
    </row>
    <row r="46361">
      <c r="A46361" s="1" t="n">
        <v>46360</v>
      </c>
      <c r="B46361">
        <f>TEXT(46360, "[$-0E0000]yyyy-mm-dd")</f>
        <v/>
      </c>
      <c r="C46361" t="inlineStr">
        <is>
          <t>2026-10-27</t>
        </is>
      </c>
    </row>
    <row r="46362">
      <c r="A46362" s="1" t="n">
        <v>46361</v>
      </c>
      <c r="B46362">
        <f>TEXT(46361, "[$-0E0000]yyyy-mm-dd")</f>
        <v/>
      </c>
      <c r="C46362" t="inlineStr">
        <is>
          <t>2026-10-28</t>
        </is>
      </c>
    </row>
    <row r="46363">
      <c r="A46363" s="1" t="n">
        <v>46362</v>
      </c>
      <c r="B46363">
        <f>TEXT(46362, "[$-0E0000]yyyy-mm-dd")</f>
        <v/>
      </c>
      <c r="C46363" t="inlineStr">
        <is>
          <t>2026-10-29</t>
        </is>
      </c>
    </row>
    <row r="46364">
      <c r="A46364" s="1" t="n">
        <v>46363</v>
      </c>
      <c r="B46364">
        <f>TEXT(46363, "[$-0E0000]yyyy-mm-dd")</f>
        <v/>
      </c>
      <c r="C46364" t="inlineStr">
        <is>
          <t>2026-10-30</t>
        </is>
      </c>
    </row>
    <row r="46365">
      <c r="A46365" s="1" t="n">
        <v>46364</v>
      </c>
      <c r="B46365">
        <f>TEXT(46364, "[$-0E0000]yyyy-mm-dd")</f>
        <v/>
      </c>
      <c r="C46365" t="inlineStr">
        <is>
          <t>2026-11-01</t>
        </is>
      </c>
    </row>
    <row r="46366">
      <c r="A46366" s="1" t="n">
        <v>46365</v>
      </c>
      <c r="B46366">
        <f>TEXT(46365, "[$-0E0000]yyyy-mm-dd")</f>
        <v/>
      </c>
      <c r="C46366" t="inlineStr">
        <is>
          <t>2026-11-02</t>
        </is>
      </c>
    </row>
    <row r="46367">
      <c r="A46367" s="1" t="n">
        <v>46366</v>
      </c>
      <c r="B46367">
        <f>TEXT(46366, "[$-0E0000]yyyy-mm-dd")</f>
        <v/>
      </c>
      <c r="C46367" t="inlineStr">
        <is>
          <t>2026-11-03</t>
        </is>
      </c>
    </row>
    <row r="46368">
      <c r="A46368" s="1" t="n">
        <v>46367</v>
      </c>
      <c r="B46368">
        <f>TEXT(46367, "[$-0E0000]yyyy-mm-dd")</f>
        <v/>
      </c>
      <c r="C46368" t="inlineStr">
        <is>
          <t>2026-11-04</t>
        </is>
      </c>
    </row>
    <row r="46369">
      <c r="A46369" s="1" t="n">
        <v>46368</v>
      </c>
      <c r="B46369">
        <f>TEXT(46368, "[$-0E0000]yyyy-mm-dd")</f>
        <v/>
      </c>
      <c r="C46369" t="inlineStr">
        <is>
          <t>2026-11-05</t>
        </is>
      </c>
    </row>
    <row r="46370">
      <c r="A46370" s="1" t="n">
        <v>46369</v>
      </c>
      <c r="B46370">
        <f>TEXT(46369, "[$-0E0000]yyyy-mm-dd")</f>
        <v/>
      </c>
      <c r="C46370" t="inlineStr">
        <is>
          <t>2026-11-06</t>
        </is>
      </c>
    </row>
    <row r="46371">
      <c r="A46371" s="1" t="n">
        <v>46370</v>
      </c>
      <c r="B46371">
        <f>TEXT(46370, "[$-0E0000]yyyy-mm-dd")</f>
        <v/>
      </c>
      <c r="C46371" t="inlineStr">
        <is>
          <t>2026-11-07</t>
        </is>
      </c>
    </row>
    <row r="46372">
      <c r="A46372" s="1" t="n">
        <v>46371</v>
      </c>
      <c r="B46372">
        <f>TEXT(46371, "[$-0E0000]yyyy-mm-dd")</f>
        <v/>
      </c>
      <c r="C46372" t="inlineStr">
        <is>
          <t>2026-11-08</t>
        </is>
      </c>
    </row>
    <row r="46373">
      <c r="A46373" s="1" t="n">
        <v>46372</v>
      </c>
      <c r="B46373">
        <f>TEXT(46372, "[$-0E0000]yyyy-mm-dd")</f>
        <v/>
      </c>
      <c r="C46373" t="inlineStr">
        <is>
          <t>2026-11-09</t>
        </is>
      </c>
    </row>
    <row r="46374">
      <c r="A46374" s="1" t="n">
        <v>46373</v>
      </c>
      <c r="B46374">
        <f>TEXT(46373, "[$-0E0000]yyyy-mm-dd")</f>
        <v/>
      </c>
      <c r="C46374" t="inlineStr">
        <is>
          <t>2026-11-10</t>
        </is>
      </c>
    </row>
    <row r="46375">
      <c r="A46375" s="1" t="n">
        <v>46374</v>
      </c>
      <c r="B46375">
        <f>TEXT(46374, "[$-0E0000]yyyy-mm-dd")</f>
        <v/>
      </c>
      <c r="C46375" t="inlineStr">
        <is>
          <t>2026-11-11</t>
        </is>
      </c>
    </row>
    <row r="46376">
      <c r="A46376" s="1" t="n">
        <v>46375</v>
      </c>
      <c r="B46376">
        <f>TEXT(46375, "[$-0E0000]yyyy-mm-dd")</f>
        <v/>
      </c>
      <c r="C46376" t="inlineStr">
        <is>
          <t>2026-11-12</t>
        </is>
      </c>
    </row>
    <row r="46377">
      <c r="A46377" s="1" t="n">
        <v>46376</v>
      </c>
      <c r="B46377">
        <f>TEXT(46376, "[$-0E0000]yyyy-mm-dd")</f>
        <v/>
      </c>
      <c r="C46377" t="inlineStr">
        <is>
          <t>2026-11-13</t>
        </is>
      </c>
    </row>
    <row r="46378">
      <c r="A46378" s="1" t="n">
        <v>46377</v>
      </c>
      <c r="B46378">
        <f>TEXT(46377, "[$-0E0000]yyyy-mm-dd")</f>
        <v/>
      </c>
      <c r="C46378" t="inlineStr">
        <is>
          <t>2026-11-14</t>
        </is>
      </c>
    </row>
    <row r="46379">
      <c r="A46379" s="1" t="n">
        <v>46378</v>
      </c>
      <c r="B46379">
        <f>TEXT(46378, "[$-0E0000]yyyy-mm-dd")</f>
        <v/>
      </c>
      <c r="C46379" t="inlineStr">
        <is>
          <t>2026-11-15</t>
        </is>
      </c>
    </row>
    <row r="46380">
      <c r="A46380" s="1" t="n">
        <v>46379</v>
      </c>
      <c r="B46380">
        <f>TEXT(46379, "[$-0E0000]yyyy-mm-dd")</f>
        <v/>
      </c>
      <c r="C46380" t="inlineStr">
        <is>
          <t>2026-11-16</t>
        </is>
      </c>
    </row>
    <row r="46381">
      <c r="A46381" s="1" t="n">
        <v>46380</v>
      </c>
      <c r="B46381">
        <f>TEXT(46380, "[$-0E0000]yyyy-mm-dd")</f>
        <v/>
      </c>
      <c r="C46381" t="inlineStr">
        <is>
          <t>2026-11-17</t>
        </is>
      </c>
    </row>
    <row r="46382">
      <c r="A46382" s="1" t="n">
        <v>46381</v>
      </c>
      <c r="B46382">
        <f>TEXT(46381, "[$-0E0000]yyyy-mm-dd")</f>
        <v/>
      </c>
      <c r="C46382" t="inlineStr">
        <is>
          <t>2026-11-18</t>
        </is>
      </c>
    </row>
    <row r="46383">
      <c r="A46383" s="1" t="n">
        <v>46382</v>
      </c>
      <c r="B46383">
        <f>TEXT(46382, "[$-0E0000]yyyy-mm-dd")</f>
        <v/>
      </c>
      <c r="C46383" t="inlineStr">
        <is>
          <t>2026-11-19</t>
        </is>
      </c>
    </row>
    <row r="46384">
      <c r="A46384" s="1" t="n">
        <v>46383</v>
      </c>
      <c r="B46384">
        <f>TEXT(46383, "[$-0E0000]yyyy-mm-dd")</f>
        <v/>
      </c>
      <c r="C46384" t="inlineStr">
        <is>
          <t>2026-11-20</t>
        </is>
      </c>
    </row>
    <row r="46385">
      <c r="A46385" s="1" t="n">
        <v>46384</v>
      </c>
      <c r="B46385">
        <f>TEXT(46384, "[$-0E0000]yyyy-mm-dd")</f>
        <v/>
      </c>
      <c r="C46385" t="inlineStr">
        <is>
          <t>2026-11-21</t>
        </is>
      </c>
    </row>
    <row r="46386">
      <c r="A46386" s="1" t="n">
        <v>46385</v>
      </c>
      <c r="B46386">
        <f>TEXT(46385, "[$-0E0000]yyyy-mm-dd")</f>
        <v/>
      </c>
      <c r="C46386" t="inlineStr">
        <is>
          <t>2026-11-22</t>
        </is>
      </c>
    </row>
    <row r="46387">
      <c r="A46387" s="1" t="n">
        <v>46386</v>
      </c>
      <c r="B46387">
        <f>TEXT(46386, "[$-0E0000]yyyy-mm-dd")</f>
        <v/>
      </c>
      <c r="C46387" t="inlineStr">
        <is>
          <t>2026-11-23</t>
        </is>
      </c>
    </row>
    <row r="46388">
      <c r="A46388" s="1" t="n">
        <v>46387</v>
      </c>
      <c r="B46388">
        <f>TEXT(46387, "[$-0E0000]yyyy-mm-dd")</f>
        <v/>
      </c>
      <c r="C46388" t="inlineStr">
        <is>
          <t>2026-11-24</t>
        </is>
      </c>
    </row>
    <row r="46389">
      <c r="A46389" s="1" t="n">
        <v>46388</v>
      </c>
      <c r="B46389">
        <f>TEXT(46388, "[$-0E0000]yyyy-mm-dd")</f>
        <v/>
      </c>
      <c r="C46389" t="inlineStr">
        <is>
          <t>2026-11-25</t>
        </is>
      </c>
    </row>
    <row r="46390">
      <c r="A46390" s="1" t="n">
        <v>46389</v>
      </c>
      <c r="B46390">
        <f>TEXT(46389, "[$-0E0000]yyyy-mm-dd")</f>
        <v/>
      </c>
      <c r="C46390" t="inlineStr">
        <is>
          <t>2026-11-26</t>
        </is>
      </c>
    </row>
    <row r="46391">
      <c r="A46391" s="1" t="n">
        <v>46390</v>
      </c>
      <c r="B46391">
        <f>TEXT(46390, "[$-0E0000]yyyy-mm-dd")</f>
        <v/>
      </c>
      <c r="C46391" t="inlineStr">
        <is>
          <t>2026-11-27</t>
        </is>
      </c>
    </row>
    <row r="46392">
      <c r="A46392" s="1" t="n">
        <v>46391</v>
      </c>
      <c r="B46392">
        <f>TEXT(46391, "[$-0E0000]yyyy-mm-dd")</f>
        <v/>
      </c>
      <c r="C46392" t="inlineStr">
        <is>
          <t>2026-11-28</t>
        </is>
      </c>
    </row>
    <row r="46393">
      <c r="A46393" s="1" t="n">
        <v>46392</v>
      </c>
      <c r="B46393">
        <f>TEXT(46392, "[$-0E0000]yyyy-mm-dd")</f>
        <v/>
      </c>
      <c r="C46393" t="inlineStr">
        <is>
          <t>2026-11-29</t>
        </is>
      </c>
    </row>
    <row r="46394">
      <c r="A46394" s="1" t="n">
        <v>46393</v>
      </c>
      <c r="B46394">
        <f>TEXT(46393, "[$-0E0000]yyyy-mm-dd")</f>
        <v/>
      </c>
      <c r="C46394" t="inlineStr">
        <is>
          <t>2026-11-30</t>
        </is>
      </c>
    </row>
    <row r="46395">
      <c r="A46395" s="1" t="n">
        <v>46394</v>
      </c>
      <c r="B46395">
        <f>TEXT(46394, "[$-0E0000]yyyy-mm-dd")</f>
        <v/>
      </c>
      <c r="C46395" t="inlineStr">
        <is>
          <t>2026-12-01</t>
        </is>
      </c>
    </row>
    <row r="46396">
      <c r="A46396" s="1" t="n">
        <v>46395</v>
      </c>
      <c r="B46396">
        <f>TEXT(46395, "[$-0E0000]yyyy-mm-dd")</f>
        <v/>
      </c>
      <c r="C46396" t="inlineStr">
        <is>
          <t>2026-12-02</t>
        </is>
      </c>
    </row>
    <row r="46397">
      <c r="A46397" s="1" t="n">
        <v>46396</v>
      </c>
      <c r="B46397">
        <f>TEXT(46396, "[$-0E0000]yyyy-mm-dd")</f>
        <v/>
      </c>
      <c r="C46397" t="inlineStr">
        <is>
          <t>2026-12-03</t>
        </is>
      </c>
    </row>
    <row r="46398">
      <c r="A46398" s="1" t="n">
        <v>46397</v>
      </c>
      <c r="B46398">
        <f>TEXT(46397, "[$-0E0000]yyyy-mm-dd")</f>
        <v/>
      </c>
      <c r="C46398" t="inlineStr">
        <is>
          <t>2026-12-04</t>
        </is>
      </c>
    </row>
    <row r="46399">
      <c r="A46399" s="1" t="n">
        <v>46398</v>
      </c>
      <c r="B46399">
        <f>TEXT(46398, "[$-0E0000]yyyy-mm-dd")</f>
        <v/>
      </c>
      <c r="C46399" t="inlineStr">
        <is>
          <t>2026-12-05</t>
        </is>
      </c>
    </row>
    <row r="46400">
      <c r="A46400" s="1" t="n">
        <v>46399</v>
      </c>
      <c r="B46400">
        <f>TEXT(46399, "[$-0E0000]yyyy-mm-dd")</f>
        <v/>
      </c>
      <c r="C46400" t="inlineStr">
        <is>
          <t>2026-12-06</t>
        </is>
      </c>
    </row>
    <row r="46401">
      <c r="A46401" s="1" t="n">
        <v>46400</v>
      </c>
      <c r="B46401">
        <f>TEXT(46400, "[$-0E0000]yyyy-mm-dd")</f>
        <v/>
      </c>
      <c r="C46401" t="inlineStr">
        <is>
          <t>2026-12-07</t>
        </is>
      </c>
    </row>
    <row r="46402">
      <c r="A46402" s="1" t="n">
        <v>46401</v>
      </c>
      <c r="B46402">
        <f>TEXT(46401, "[$-0E0000]yyyy-mm-dd")</f>
        <v/>
      </c>
      <c r="C46402" t="inlineStr">
        <is>
          <t>2026-12-08</t>
        </is>
      </c>
    </row>
    <row r="46403">
      <c r="A46403" s="1" t="n">
        <v>46402</v>
      </c>
      <c r="B46403">
        <f>TEXT(46402, "[$-0E0000]yyyy-mm-dd")</f>
        <v/>
      </c>
      <c r="C46403" t="inlineStr">
        <is>
          <t>2026-12-09</t>
        </is>
      </c>
    </row>
    <row r="46404">
      <c r="A46404" s="1" t="n">
        <v>46403</v>
      </c>
      <c r="B46404">
        <f>TEXT(46403, "[$-0E0000]yyyy-mm-dd")</f>
        <v/>
      </c>
      <c r="C46404" t="inlineStr">
        <is>
          <t>2026-12-10</t>
        </is>
      </c>
    </row>
    <row r="46405">
      <c r="A46405" s="1" t="n">
        <v>46404</v>
      </c>
      <c r="B46405">
        <f>TEXT(46404, "[$-0E0000]yyyy-mm-dd")</f>
        <v/>
      </c>
      <c r="C46405" t="inlineStr">
        <is>
          <t>2026-12-11</t>
        </is>
      </c>
    </row>
    <row r="46406">
      <c r="A46406" s="1" t="n">
        <v>46405</v>
      </c>
      <c r="B46406">
        <f>TEXT(46405, "[$-0E0000]yyyy-mm-dd")</f>
        <v/>
      </c>
      <c r="C46406" t="inlineStr">
        <is>
          <t>2026-12-12</t>
        </is>
      </c>
    </row>
    <row r="46407">
      <c r="A46407" s="1" t="n">
        <v>46406</v>
      </c>
      <c r="B46407">
        <f>TEXT(46406, "[$-0E0000]yyyy-mm-dd")</f>
        <v/>
      </c>
      <c r="C46407" t="inlineStr">
        <is>
          <t>2026-12-13</t>
        </is>
      </c>
    </row>
    <row r="46408">
      <c r="A46408" s="1" t="n">
        <v>46407</v>
      </c>
      <c r="B46408">
        <f>TEXT(46407, "[$-0E0000]yyyy-mm-dd")</f>
        <v/>
      </c>
      <c r="C46408" t="inlineStr">
        <is>
          <t>2026-12-14</t>
        </is>
      </c>
    </row>
    <row r="46409">
      <c r="A46409" s="1" t="n">
        <v>46408</v>
      </c>
      <c r="B46409">
        <f>TEXT(46408, "[$-0E0000]yyyy-mm-dd")</f>
        <v/>
      </c>
      <c r="C46409" t="inlineStr">
        <is>
          <t>2026-12-15</t>
        </is>
      </c>
    </row>
    <row r="46410">
      <c r="A46410" s="1" t="n">
        <v>46409</v>
      </c>
      <c r="B46410">
        <f>TEXT(46409, "[$-0E0000]yyyy-mm-dd")</f>
        <v/>
      </c>
      <c r="C46410" t="inlineStr">
        <is>
          <t>2026-12-16</t>
        </is>
      </c>
    </row>
    <row r="46411">
      <c r="A46411" s="1" t="n">
        <v>46410</v>
      </c>
      <c r="B46411">
        <f>TEXT(46410, "[$-0E0000]yyyy-mm-dd")</f>
        <v/>
      </c>
      <c r="C46411" t="inlineStr">
        <is>
          <t>2026-12-17</t>
        </is>
      </c>
    </row>
    <row r="46412">
      <c r="A46412" s="1" t="n">
        <v>46411</v>
      </c>
      <c r="B46412">
        <f>TEXT(46411, "[$-0E0000]yyyy-mm-dd")</f>
        <v/>
      </c>
      <c r="C46412" t="inlineStr">
        <is>
          <t>2026-12-18</t>
        </is>
      </c>
    </row>
    <row r="46413">
      <c r="A46413" s="1" t="n">
        <v>46412</v>
      </c>
      <c r="B46413">
        <f>TEXT(46412, "[$-0E0000]yyyy-mm-dd")</f>
        <v/>
      </c>
      <c r="C46413" t="inlineStr">
        <is>
          <t>2026-12-19</t>
        </is>
      </c>
    </row>
    <row r="46414">
      <c r="A46414" s="1" t="n">
        <v>46413</v>
      </c>
      <c r="B46414">
        <f>TEXT(46413, "[$-0E0000]yyyy-mm-dd")</f>
        <v/>
      </c>
      <c r="C46414" t="inlineStr">
        <is>
          <t>2026-12-20</t>
        </is>
      </c>
    </row>
    <row r="46415">
      <c r="A46415" s="1" t="n">
        <v>46414</v>
      </c>
      <c r="B46415">
        <f>TEXT(46414, "[$-0E0000]yyyy-mm-dd")</f>
        <v/>
      </c>
      <c r="C46415" t="inlineStr">
        <is>
          <t>2026-12-21</t>
        </is>
      </c>
    </row>
    <row r="46416">
      <c r="A46416" s="1" t="n">
        <v>46415</v>
      </c>
      <c r="B46416">
        <f>TEXT(46415, "[$-0E0000]yyyy-mm-dd")</f>
        <v/>
      </c>
      <c r="C46416" t="inlineStr">
        <is>
          <t>2026-12-22</t>
        </is>
      </c>
    </row>
    <row r="46417">
      <c r="A46417" s="1" t="n">
        <v>46416</v>
      </c>
      <c r="B46417">
        <f>TEXT(46416, "[$-0E0000]yyyy-mm-dd")</f>
        <v/>
      </c>
      <c r="C46417" t="inlineStr">
        <is>
          <t>2026-12-23</t>
        </is>
      </c>
    </row>
    <row r="46418">
      <c r="A46418" s="1" t="n">
        <v>46417</v>
      </c>
      <c r="B46418">
        <f>TEXT(46417, "[$-0E0000]yyyy-mm-dd")</f>
        <v/>
      </c>
      <c r="C46418" t="inlineStr">
        <is>
          <t>2026-12-24</t>
        </is>
      </c>
    </row>
    <row r="46419">
      <c r="A46419" s="1" t="n">
        <v>46418</v>
      </c>
      <c r="B46419">
        <f>TEXT(46418, "[$-0E0000]yyyy-mm-dd")</f>
        <v/>
      </c>
      <c r="C46419" t="inlineStr">
        <is>
          <t>2026-12-25</t>
        </is>
      </c>
    </row>
    <row r="46420">
      <c r="A46420" s="1" t="n">
        <v>46419</v>
      </c>
      <c r="B46420">
        <f>TEXT(46419, "[$-0E0000]yyyy-mm-dd")</f>
        <v/>
      </c>
      <c r="C46420" t="inlineStr">
        <is>
          <t>2026-12-26</t>
        </is>
      </c>
    </row>
    <row r="46421">
      <c r="A46421" s="1" t="n">
        <v>46420</v>
      </c>
      <c r="B46421">
        <f>TEXT(46420, "[$-0E0000]yyyy-mm-dd")</f>
        <v/>
      </c>
      <c r="C46421" t="inlineStr">
        <is>
          <t>2026-12-27</t>
        </is>
      </c>
    </row>
    <row r="46422">
      <c r="A46422" s="1" t="n">
        <v>46421</v>
      </c>
      <c r="B46422">
        <f>TEXT(46421, "[$-0E0000]yyyy-mm-dd")</f>
        <v/>
      </c>
      <c r="C46422" t="inlineStr">
        <is>
          <t>2026-12-28</t>
        </is>
      </c>
    </row>
    <row r="46423">
      <c r="A46423" s="1" t="n">
        <v>46422</v>
      </c>
      <c r="B46423">
        <f>TEXT(46422, "[$-0E0000]yyyy-mm-dd")</f>
        <v/>
      </c>
      <c r="C46423" t="inlineStr">
        <is>
          <t>2026-12-29</t>
        </is>
      </c>
    </row>
    <row r="46424">
      <c r="A46424" s="1" t="n">
        <v>46423</v>
      </c>
      <c r="B46424">
        <f>TEXT(46423, "[$-0E0000]yyyy-mm-dd")</f>
        <v/>
      </c>
      <c r="C46424" t="inlineStr">
        <is>
          <t>2027-01-01</t>
        </is>
      </c>
    </row>
    <row r="46425">
      <c r="A46425" s="1" t="n">
        <v>46424</v>
      </c>
      <c r="B46425">
        <f>TEXT(46424, "[$-0E0000]yyyy-mm-dd")</f>
        <v/>
      </c>
      <c r="C46425" t="inlineStr">
        <is>
          <t>2027-01-02</t>
        </is>
      </c>
    </row>
    <row r="46426">
      <c r="A46426" s="1" t="n">
        <v>46425</v>
      </c>
      <c r="B46426">
        <f>TEXT(46425, "[$-0E0000]yyyy-mm-dd")</f>
        <v/>
      </c>
      <c r="C46426" t="inlineStr">
        <is>
          <t>2027-01-03</t>
        </is>
      </c>
    </row>
    <row r="46427">
      <c r="A46427" s="1" t="n">
        <v>46426</v>
      </c>
      <c r="B46427">
        <f>TEXT(46426, "[$-0E0000]yyyy-mm-dd")</f>
        <v/>
      </c>
      <c r="C46427" t="inlineStr">
        <is>
          <t>2027-01-04</t>
        </is>
      </c>
    </row>
    <row r="46428">
      <c r="A46428" s="1" t="n">
        <v>46427</v>
      </c>
      <c r="B46428">
        <f>TEXT(46427, "[$-0E0000]yyyy-mm-dd")</f>
        <v/>
      </c>
      <c r="C46428" t="inlineStr">
        <is>
          <t>2027-01-05</t>
        </is>
      </c>
    </row>
    <row r="46429">
      <c r="A46429" s="1" t="n">
        <v>46428</v>
      </c>
      <c r="B46429">
        <f>TEXT(46428, "[$-0E0000]yyyy-mm-dd")</f>
        <v/>
      </c>
      <c r="C46429" t="inlineStr">
        <is>
          <t>2027-01-06</t>
        </is>
      </c>
    </row>
    <row r="46430">
      <c r="A46430" s="1" t="n">
        <v>46429</v>
      </c>
      <c r="B46430">
        <f>TEXT(46429, "[$-0E0000]yyyy-mm-dd")</f>
        <v/>
      </c>
      <c r="C46430" t="inlineStr">
        <is>
          <t>2027-01-07</t>
        </is>
      </c>
    </row>
    <row r="46431">
      <c r="A46431" s="1" t="n">
        <v>46430</v>
      </c>
      <c r="B46431">
        <f>TEXT(46430, "[$-0E0000]yyyy-mm-dd")</f>
        <v/>
      </c>
      <c r="C46431" t="inlineStr">
        <is>
          <t>2027-01-08</t>
        </is>
      </c>
    </row>
    <row r="46432">
      <c r="A46432" s="1" t="n">
        <v>46431</v>
      </c>
      <c r="B46432">
        <f>TEXT(46431, "[$-0E0000]yyyy-mm-dd")</f>
        <v/>
      </c>
      <c r="C46432" t="inlineStr">
        <is>
          <t>2027-01-09</t>
        </is>
      </c>
    </row>
    <row r="46433">
      <c r="A46433" s="1" t="n">
        <v>46432</v>
      </c>
      <c r="B46433">
        <f>TEXT(46432, "[$-0E0000]yyyy-mm-dd")</f>
        <v/>
      </c>
      <c r="C46433" t="inlineStr">
        <is>
          <t>2027-01-10</t>
        </is>
      </c>
    </row>
    <row r="46434">
      <c r="A46434" s="1" t="n">
        <v>46433</v>
      </c>
      <c r="B46434">
        <f>TEXT(46433, "[$-0E0000]yyyy-mm-dd")</f>
        <v/>
      </c>
      <c r="C46434" t="inlineStr">
        <is>
          <t>2027-01-11</t>
        </is>
      </c>
    </row>
    <row r="46435">
      <c r="A46435" s="1" t="n">
        <v>46434</v>
      </c>
      <c r="B46435">
        <f>TEXT(46434, "[$-0E0000]yyyy-mm-dd")</f>
        <v/>
      </c>
      <c r="C46435" t="inlineStr">
        <is>
          <t>2027-01-12</t>
        </is>
      </c>
    </row>
    <row r="46436">
      <c r="A46436" s="1" t="n">
        <v>46435</v>
      </c>
      <c r="B46436">
        <f>TEXT(46435, "[$-0E0000]yyyy-mm-dd")</f>
        <v/>
      </c>
      <c r="C46436" t="inlineStr">
        <is>
          <t>2027-01-13</t>
        </is>
      </c>
    </row>
    <row r="46437">
      <c r="A46437" s="1" t="n">
        <v>46436</v>
      </c>
      <c r="B46437">
        <f>TEXT(46436, "[$-0E0000]yyyy-mm-dd")</f>
        <v/>
      </c>
      <c r="C46437" t="inlineStr">
        <is>
          <t>2027-01-14</t>
        </is>
      </c>
    </row>
    <row r="46438">
      <c r="A46438" s="1" t="n">
        <v>46437</v>
      </c>
      <c r="B46438">
        <f>TEXT(46437, "[$-0E0000]yyyy-mm-dd")</f>
        <v/>
      </c>
      <c r="C46438" t="inlineStr">
        <is>
          <t>2027-01-15</t>
        </is>
      </c>
    </row>
    <row r="46439">
      <c r="A46439" s="1" t="n">
        <v>46438</v>
      </c>
      <c r="B46439">
        <f>TEXT(46438, "[$-0E0000]yyyy-mm-dd")</f>
        <v/>
      </c>
      <c r="C46439" t="inlineStr">
        <is>
          <t>2027-01-16</t>
        </is>
      </c>
    </row>
    <row r="46440">
      <c r="A46440" s="1" t="n">
        <v>46439</v>
      </c>
      <c r="B46440">
        <f>TEXT(46439, "[$-0E0000]yyyy-mm-dd")</f>
        <v/>
      </c>
      <c r="C46440" t="inlineStr">
        <is>
          <t>2027-01-17</t>
        </is>
      </c>
    </row>
    <row r="46441">
      <c r="A46441" s="1" t="n">
        <v>46440</v>
      </c>
      <c r="B46441">
        <f>TEXT(46440, "[$-0E0000]yyyy-mm-dd")</f>
        <v/>
      </c>
      <c r="C46441" t="inlineStr">
        <is>
          <t>2027-01-18</t>
        </is>
      </c>
    </row>
    <row r="46442">
      <c r="A46442" s="1" t="n">
        <v>46441</v>
      </c>
      <c r="B46442">
        <f>TEXT(46441, "[$-0E0000]yyyy-mm-dd")</f>
        <v/>
      </c>
      <c r="C46442" t="inlineStr">
        <is>
          <t>2027-01-19</t>
        </is>
      </c>
    </row>
    <row r="46443">
      <c r="A46443" s="1" t="n">
        <v>46442</v>
      </c>
      <c r="B46443">
        <f>TEXT(46442, "[$-0E0000]yyyy-mm-dd")</f>
        <v/>
      </c>
      <c r="C46443" t="inlineStr">
        <is>
          <t>2027-01-20</t>
        </is>
      </c>
    </row>
    <row r="46444">
      <c r="A46444" s="1" t="n">
        <v>46443</v>
      </c>
      <c r="B46444">
        <f>TEXT(46443, "[$-0E0000]yyyy-mm-dd")</f>
        <v/>
      </c>
      <c r="C46444" t="inlineStr">
        <is>
          <t>2027-01-21</t>
        </is>
      </c>
    </row>
    <row r="46445">
      <c r="A46445" s="1" t="n">
        <v>46444</v>
      </c>
      <c r="B46445">
        <f>TEXT(46444, "[$-0E0000]yyyy-mm-dd")</f>
        <v/>
      </c>
      <c r="C46445" t="inlineStr">
        <is>
          <t>2027-01-22</t>
        </is>
      </c>
    </row>
    <row r="46446">
      <c r="A46446" s="1" t="n">
        <v>46445</v>
      </c>
      <c r="B46446">
        <f>TEXT(46445, "[$-0E0000]yyyy-mm-dd")</f>
        <v/>
      </c>
      <c r="C46446" t="inlineStr">
        <is>
          <t>2027-01-23</t>
        </is>
      </c>
    </row>
    <row r="46447">
      <c r="A46447" s="1" t="n">
        <v>46446</v>
      </c>
      <c r="B46447">
        <f>TEXT(46446, "[$-0E0000]yyyy-mm-dd")</f>
        <v/>
      </c>
      <c r="C46447" t="inlineStr">
        <is>
          <t>2027-01-24</t>
        </is>
      </c>
    </row>
    <row r="46448">
      <c r="A46448" s="1" t="n">
        <v>46447</v>
      </c>
      <c r="B46448">
        <f>TEXT(46447, "[$-0E0000]yyyy-mm-dd")</f>
        <v/>
      </c>
      <c r="C46448" t="inlineStr">
        <is>
          <t>2027-01-25</t>
        </is>
      </c>
    </row>
    <row r="46449">
      <c r="A46449" s="1" t="n">
        <v>46448</v>
      </c>
      <c r="B46449">
        <f>TEXT(46448, "[$-0E0000]yyyy-mm-dd")</f>
        <v/>
      </c>
      <c r="C46449" t="inlineStr">
        <is>
          <t>2027-01-26</t>
        </is>
      </c>
    </row>
    <row r="46450">
      <c r="A46450" s="1" t="n">
        <v>46449</v>
      </c>
      <c r="B46450">
        <f>TEXT(46449, "[$-0E0000]yyyy-mm-dd")</f>
        <v/>
      </c>
      <c r="C46450" t="inlineStr">
        <is>
          <t>2027-01-27</t>
        </is>
      </c>
    </row>
    <row r="46451">
      <c r="A46451" s="1" t="n">
        <v>46450</v>
      </c>
      <c r="B46451">
        <f>TEXT(46450, "[$-0E0000]yyyy-mm-dd")</f>
        <v/>
      </c>
      <c r="C46451" t="inlineStr">
        <is>
          <t>2027-01-28</t>
        </is>
      </c>
    </row>
    <row r="46452">
      <c r="A46452" s="1" t="n">
        <v>46451</v>
      </c>
      <c r="B46452">
        <f>TEXT(46451, "[$-0E0000]yyyy-mm-dd")</f>
        <v/>
      </c>
      <c r="C46452" t="inlineStr">
        <is>
          <t>2027-01-29</t>
        </is>
      </c>
    </row>
    <row r="46453">
      <c r="A46453" s="1" t="n">
        <v>46452</v>
      </c>
      <c r="B46453">
        <f>TEXT(46452, "[$-0E0000]yyyy-mm-dd")</f>
        <v/>
      </c>
      <c r="C46453" t="inlineStr">
        <is>
          <t>2027-01-30</t>
        </is>
      </c>
    </row>
    <row r="46454">
      <c r="A46454" s="1" t="n">
        <v>46453</v>
      </c>
      <c r="B46454">
        <f>TEXT(46453, "[$-0E0000]yyyy-mm-dd")</f>
        <v/>
      </c>
      <c r="C46454" t="inlineStr">
        <is>
          <t>2027-02-01</t>
        </is>
      </c>
    </row>
    <row r="46455">
      <c r="A46455" s="1" t="n">
        <v>46454</v>
      </c>
      <c r="B46455">
        <f>TEXT(46454, "[$-0E0000]yyyy-mm-dd")</f>
        <v/>
      </c>
      <c r="C46455" t="inlineStr">
        <is>
          <t>2027-02-02</t>
        </is>
      </c>
    </row>
    <row r="46456">
      <c r="A46456" s="1" t="n">
        <v>46455</v>
      </c>
      <c r="B46456">
        <f>TEXT(46455, "[$-0E0000]yyyy-mm-dd")</f>
        <v/>
      </c>
      <c r="C46456" t="inlineStr">
        <is>
          <t>2027-02-03</t>
        </is>
      </c>
    </row>
    <row r="46457">
      <c r="A46457" s="1" t="n">
        <v>46456</v>
      </c>
      <c r="B46457">
        <f>TEXT(46456, "[$-0E0000]yyyy-mm-dd")</f>
        <v/>
      </c>
      <c r="C46457" t="inlineStr">
        <is>
          <t>2027-02-04</t>
        </is>
      </c>
    </row>
    <row r="46458">
      <c r="A46458" s="1" t="n">
        <v>46457</v>
      </c>
      <c r="B46458">
        <f>TEXT(46457, "[$-0E0000]yyyy-mm-dd")</f>
        <v/>
      </c>
      <c r="C46458" t="inlineStr">
        <is>
          <t>2027-02-05</t>
        </is>
      </c>
    </row>
    <row r="46459">
      <c r="A46459" s="1" t="n">
        <v>46458</v>
      </c>
      <c r="B46459">
        <f>TEXT(46458, "[$-0E0000]yyyy-mm-dd")</f>
        <v/>
      </c>
      <c r="C46459" t="inlineStr">
        <is>
          <t>2027-02-06</t>
        </is>
      </c>
    </row>
    <row r="46460">
      <c r="A46460" s="1" t="n">
        <v>46459</v>
      </c>
      <c r="B46460">
        <f>TEXT(46459, "[$-0E0000]yyyy-mm-dd")</f>
        <v/>
      </c>
      <c r="C46460" t="inlineStr">
        <is>
          <t>2027-02-07</t>
        </is>
      </c>
    </row>
    <row r="46461">
      <c r="A46461" s="1" t="n">
        <v>46460</v>
      </c>
      <c r="B46461">
        <f>TEXT(46460, "[$-0E0000]yyyy-mm-dd")</f>
        <v/>
      </c>
      <c r="C46461" t="inlineStr">
        <is>
          <t>2027-02-08</t>
        </is>
      </c>
    </row>
    <row r="46462">
      <c r="A46462" s="1" t="n">
        <v>46461</v>
      </c>
      <c r="B46462">
        <f>TEXT(46461, "[$-0E0000]yyyy-mm-dd")</f>
        <v/>
      </c>
      <c r="C46462" t="inlineStr">
        <is>
          <t>2027-02-09</t>
        </is>
      </c>
    </row>
    <row r="46463">
      <c r="A46463" s="1" t="n">
        <v>46462</v>
      </c>
      <c r="B46463">
        <f>TEXT(46462, "[$-0E0000]yyyy-mm-dd")</f>
        <v/>
      </c>
      <c r="C46463" t="inlineStr">
        <is>
          <t>2027-02-10</t>
        </is>
      </c>
    </row>
    <row r="46464">
      <c r="A46464" s="1" t="n">
        <v>46463</v>
      </c>
      <c r="B46464">
        <f>TEXT(46463, "[$-0E0000]yyyy-mm-dd")</f>
        <v/>
      </c>
      <c r="C46464" t="inlineStr">
        <is>
          <t>2027-02-11</t>
        </is>
      </c>
    </row>
    <row r="46465">
      <c r="A46465" s="1" t="n">
        <v>46464</v>
      </c>
      <c r="B46465">
        <f>TEXT(46464, "[$-0E0000]yyyy-mm-dd")</f>
        <v/>
      </c>
      <c r="C46465" t="inlineStr">
        <is>
          <t>2027-02-12</t>
        </is>
      </c>
    </row>
    <row r="46466">
      <c r="A46466" s="1" t="n">
        <v>46465</v>
      </c>
      <c r="B46466">
        <f>TEXT(46465, "[$-0E0000]yyyy-mm-dd")</f>
        <v/>
      </c>
      <c r="C46466" t="inlineStr">
        <is>
          <t>2027-02-13</t>
        </is>
      </c>
    </row>
    <row r="46467">
      <c r="A46467" s="1" t="n">
        <v>46466</v>
      </c>
      <c r="B46467">
        <f>TEXT(46466, "[$-0E0000]yyyy-mm-dd")</f>
        <v/>
      </c>
      <c r="C46467" t="inlineStr">
        <is>
          <t>2027-02-14</t>
        </is>
      </c>
    </row>
    <row r="46468">
      <c r="A46468" s="1" t="n">
        <v>46467</v>
      </c>
      <c r="B46468">
        <f>TEXT(46467, "[$-0E0000]yyyy-mm-dd")</f>
        <v/>
      </c>
      <c r="C46468" t="inlineStr">
        <is>
          <t>2027-02-15</t>
        </is>
      </c>
    </row>
    <row r="46469">
      <c r="A46469" s="1" t="n">
        <v>46468</v>
      </c>
      <c r="B46469">
        <f>TEXT(46468, "[$-0E0000]yyyy-mm-dd")</f>
        <v/>
      </c>
      <c r="C46469" t="inlineStr">
        <is>
          <t>2027-02-16</t>
        </is>
      </c>
    </row>
    <row r="46470">
      <c r="A46470" s="1" t="n">
        <v>46469</v>
      </c>
      <c r="B46470">
        <f>TEXT(46469, "[$-0E0000]yyyy-mm-dd")</f>
        <v/>
      </c>
      <c r="C46470" t="inlineStr">
        <is>
          <t>2027-02-17</t>
        </is>
      </c>
    </row>
    <row r="46471">
      <c r="A46471" s="1" t="n">
        <v>46470</v>
      </c>
      <c r="B46471">
        <f>TEXT(46470, "[$-0E0000]yyyy-mm-dd")</f>
        <v/>
      </c>
      <c r="C46471" t="inlineStr">
        <is>
          <t>2027-02-18</t>
        </is>
      </c>
    </row>
    <row r="46472">
      <c r="A46472" s="1" t="n">
        <v>46471</v>
      </c>
      <c r="B46472">
        <f>TEXT(46471, "[$-0E0000]yyyy-mm-dd")</f>
        <v/>
      </c>
      <c r="C46472" t="inlineStr">
        <is>
          <t>2027-02-19</t>
        </is>
      </c>
    </row>
    <row r="46473">
      <c r="A46473" s="1" t="n">
        <v>46472</v>
      </c>
      <c r="B46473">
        <f>TEXT(46472, "[$-0E0000]yyyy-mm-dd")</f>
        <v/>
      </c>
      <c r="C46473" t="inlineStr">
        <is>
          <t>2027-02-20</t>
        </is>
      </c>
    </row>
    <row r="46474">
      <c r="A46474" s="1" t="n">
        <v>46473</v>
      </c>
      <c r="B46474">
        <f>TEXT(46473, "[$-0E0000]yyyy-mm-dd")</f>
        <v/>
      </c>
      <c r="C46474" t="inlineStr">
        <is>
          <t>2027-02-21</t>
        </is>
      </c>
    </row>
    <row r="46475">
      <c r="A46475" s="1" t="n">
        <v>46474</v>
      </c>
      <c r="B46475">
        <f>TEXT(46474, "[$-0E0000]yyyy-mm-dd")</f>
        <v/>
      </c>
      <c r="C46475" t="inlineStr">
        <is>
          <t>2027-02-22</t>
        </is>
      </c>
    </row>
    <row r="46476">
      <c r="A46476" s="1" t="n">
        <v>46475</v>
      </c>
      <c r="B46476">
        <f>TEXT(46475, "[$-0E0000]yyyy-mm-dd")</f>
        <v/>
      </c>
      <c r="C46476" t="inlineStr">
        <is>
          <t>2027-02-23</t>
        </is>
      </c>
    </row>
    <row r="46477">
      <c r="A46477" s="1" t="n">
        <v>46476</v>
      </c>
      <c r="B46477">
        <f>TEXT(46476, "[$-0E0000]yyyy-mm-dd")</f>
        <v/>
      </c>
      <c r="C46477" t="inlineStr">
        <is>
          <t>2027-02-24</t>
        </is>
      </c>
    </row>
    <row r="46478">
      <c r="A46478" s="1" t="n">
        <v>46477</v>
      </c>
      <c r="B46478">
        <f>TEXT(46477, "[$-0E0000]yyyy-mm-dd")</f>
        <v/>
      </c>
      <c r="C46478" t="inlineStr">
        <is>
          <t>2027-02-25</t>
        </is>
      </c>
    </row>
    <row r="46479">
      <c r="A46479" s="1" t="n">
        <v>46478</v>
      </c>
      <c r="B46479">
        <f>TEXT(46478, "[$-0E0000]yyyy-mm-dd")</f>
        <v/>
      </c>
      <c r="C46479" t="inlineStr">
        <is>
          <t>2027-02-26</t>
        </is>
      </c>
    </row>
    <row r="46480">
      <c r="A46480" s="1" t="n">
        <v>46479</v>
      </c>
      <c r="B46480">
        <f>TEXT(46479, "[$-0E0000]yyyy-mm-dd")</f>
        <v/>
      </c>
      <c r="C46480" t="inlineStr">
        <is>
          <t>2027-02-27</t>
        </is>
      </c>
    </row>
    <row r="46481">
      <c r="A46481" s="1" t="n">
        <v>46480</v>
      </c>
      <c r="B46481">
        <f>TEXT(46480, "[$-0E0000]yyyy-mm-dd")</f>
        <v/>
      </c>
      <c r="C46481" t="inlineStr">
        <is>
          <t>2027-02-28</t>
        </is>
      </c>
    </row>
    <row r="46482">
      <c r="A46482" s="1" t="n">
        <v>46481</v>
      </c>
      <c r="B46482">
        <f>TEXT(46481, "[$-0E0000]yyyy-mm-dd")</f>
        <v/>
      </c>
      <c r="C46482" t="inlineStr">
        <is>
          <t>2027-02-29</t>
        </is>
      </c>
    </row>
    <row r="46483">
      <c r="A46483" s="1" t="n">
        <v>46482</v>
      </c>
      <c r="B46483">
        <f>TEXT(46482, "[$-0E0000]yyyy-mm-dd")</f>
        <v/>
      </c>
      <c r="C46483" t="inlineStr">
        <is>
          <t>2027-02-30</t>
        </is>
      </c>
    </row>
    <row r="46484">
      <c r="A46484" s="1" t="n">
        <v>46483</v>
      </c>
      <c r="B46484">
        <f>TEXT(46483, "[$-0E0000]yyyy-mm-dd")</f>
        <v/>
      </c>
      <c r="C46484" t="inlineStr">
        <is>
          <t>2027-03-01</t>
        </is>
      </c>
    </row>
    <row r="46485">
      <c r="A46485" s="1" t="n">
        <v>46484</v>
      </c>
      <c r="B46485">
        <f>TEXT(46484, "[$-0E0000]yyyy-mm-dd")</f>
        <v/>
      </c>
      <c r="C46485" t="inlineStr">
        <is>
          <t>2027-03-02</t>
        </is>
      </c>
    </row>
    <row r="46486">
      <c r="A46486" s="1" t="n">
        <v>46485</v>
      </c>
      <c r="B46486">
        <f>TEXT(46485, "[$-0E0000]yyyy-mm-dd")</f>
        <v/>
      </c>
      <c r="C46486" t="inlineStr">
        <is>
          <t>2027-03-03</t>
        </is>
      </c>
    </row>
    <row r="46487">
      <c r="A46487" s="1" t="n">
        <v>46486</v>
      </c>
      <c r="B46487">
        <f>TEXT(46486, "[$-0E0000]yyyy-mm-dd")</f>
        <v/>
      </c>
      <c r="C46487" t="inlineStr">
        <is>
          <t>2027-03-04</t>
        </is>
      </c>
    </row>
    <row r="46488">
      <c r="A46488" s="1" t="n">
        <v>46487</v>
      </c>
      <c r="B46488">
        <f>TEXT(46487, "[$-0E0000]yyyy-mm-dd")</f>
        <v/>
      </c>
      <c r="C46488" t="inlineStr">
        <is>
          <t>2027-03-05</t>
        </is>
      </c>
    </row>
    <row r="46489">
      <c r="A46489" s="1" t="n">
        <v>46488</v>
      </c>
      <c r="B46489">
        <f>TEXT(46488, "[$-0E0000]yyyy-mm-dd")</f>
        <v/>
      </c>
      <c r="C46489" t="inlineStr">
        <is>
          <t>2027-03-06</t>
        </is>
      </c>
    </row>
    <row r="46490">
      <c r="A46490" s="1" t="n">
        <v>46489</v>
      </c>
      <c r="B46490">
        <f>TEXT(46489, "[$-0E0000]yyyy-mm-dd")</f>
        <v/>
      </c>
      <c r="C46490" t="inlineStr">
        <is>
          <t>2027-03-07</t>
        </is>
      </c>
    </row>
    <row r="46491">
      <c r="A46491" s="1" t="n">
        <v>46490</v>
      </c>
      <c r="B46491">
        <f>TEXT(46490, "[$-0E0000]yyyy-mm-dd")</f>
        <v/>
      </c>
      <c r="C46491" t="inlineStr">
        <is>
          <t>2027-03-08</t>
        </is>
      </c>
    </row>
    <row r="46492">
      <c r="A46492" s="1" t="n">
        <v>46491</v>
      </c>
      <c r="B46492">
        <f>TEXT(46491, "[$-0E0000]yyyy-mm-dd")</f>
        <v/>
      </c>
      <c r="C46492" t="inlineStr">
        <is>
          <t>2027-03-09</t>
        </is>
      </c>
    </row>
    <row r="46493">
      <c r="A46493" s="1" t="n">
        <v>46492</v>
      </c>
      <c r="B46493">
        <f>TEXT(46492, "[$-0E0000]yyyy-mm-dd")</f>
        <v/>
      </c>
      <c r="C46493" t="inlineStr">
        <is>
          <t>2027-03-10</t>
        </is>
      </c>
    </row>
    <row r="46494">
      <c r="A46494" s="1" t="n">
        <v>46493</v>
      </c>
      <c r="B46494">
        <f>TEXT(46493, "[$-0E0000]yyyy-mm-dd")</f>
        <v/>
      </c>
      <c r="C46494" t="inlineStr">
        <is>
          <t>2027-03-11</t>
        </is>
      </c>
    </row>
    <row r="46495">
      <c r="A46495" s="1" t="n">
        <v>46494</v>
      </c>
      <c r="B46495">
        <f>TEXT(46494, "[$-0E0000]yyyy-mm-dd")</f>
        <v/>
      </c>
      <c r="C46495" t="inlineStr">
        <is>
          <t>2027-03-12</t>
        </is>
      </c>
    </row>
    <row r="46496">
      <c r="A46496" s="1" t="n">
        <v>46495</v>
      </c>
      <c r="B46496">
        <f>TEXT(46495, "[$-0E0000]yyyy-mm-dd")</f>
        <v/>
      </c>
      <c r="C46496" t="inlineStr">
        <is>
          <t>2027-03-13</t>
        </is>
      </c>
    </row>
    <row r="46497">
      <c r="A46497" s="1" t="n">
        <v>46496</v>
      </c>
      <c r="B46497">
        <f>TEXT(46496, "[$-0E0000]yyyy-mm-dd")</f>
        <v/>
      </c>
      <c r="C46497" t="inlineStr">
        <is>
          <t>2027-03-14</t>
        </is>
      </c>
    </row>
    <row r="46498">
      <c r="A46498" s="1" t="n">
        <v>46497</v>
      </c>
      <c r="B46498">
        <f>TEXT(46497, "[$-0E0000]yyyy-mm-dd")</f>
        <v/>
      </c>
      <c r="C46498" t="inlineStr">
        <is>
          <t>2027-03-15</t>
        </is>
      </c>
    </row>
    <row r="46499">
      <c r="A46499" s="1" t="n">
        <v>46498</v>
      </c>
      <c r="B46499">
        <f>TEXT(46498, "[$-0E0000]yyyy-mm-dd")</f>
        <v/>
      </c>
      <c r="C46499" t="inlineStr">
        <is>
          <t>2027-03-16</t>
        </is>
      </c>
    </row>
    <row r="46500">
      <c r="A46500" s="1" t="n">
        <v>46499</v>
      </c>
      <c r="B46500">
        <f>TEXT(46499, "[$-0E0000]yyyy-mm-dd")</f>
        <v/>
      </c>
      <c r="C46500" t="inlineStr">
        <is>
          <t>2027-03-17</t>
        </is>
      </c>
    </row>
    <row r="46501">
      <c r="A46501" s="1" t="n">
        <v>46500</v>
      </c>
      <c r="B46501">
        <f>TEXT(46500, "[$-0E0000]yyyy-mm-dd")</f>
        <v/>
      </c>
      <c r="C46501" t="inlineStr">
        <is>
          <t>2027-03-18</t>
        </is>
      </c>
    </row>
    <row r="46502">
      <c r="A46502" s="1" t="n">
        <v>46501</v>
      </c>
      <c r="B46502">
        <f>TEXT(46501, "[$-0E0000]yyyy-mm-dd")</f>
        <v/>
      </c>
      <c r="C46502" t="inlineStr">
        <is>
          <t>2027-03-19</t>
        </is>
      </c>
    </row>
    <row r="46503">
      <c r="A46503" s="1" t="n">
        <v>46502</v>
      </c>
      <c r="B46503">
        <f>TEXT(46502, "[$-0E0000]yyyy-mm-dd")</f>
        <v/>
      </c>
      <c r="C46503" t="inlineStr">
        <is>
          <t>2027-03-20</t>
        </is>
      </c>
    </row>
    <row r="46504">
      <c r="A46504" s="1" t="n">
        <v>46503</v>
      </c>
      <c r="B46504">
        <f>TEXT(46503, "[$-0E0000]yyyy-mm-dd")</f>
        <v/>
      </c>
      <c r="C46504" t="inlineStr">
        <is>
          <t>2027-03-21</t>
        </is>
      </c>
    </row>
    <row r="46505">
      <c r="A46505" s="1" t="n">
        <v>46504</v>
      </c>
      <c r="B46505">
        <f>TEXT(46504, "[$-0E0000]yyyy-mm-dd")</f>
        <v/>
      </c>
      <c r="C46505" t="inlineStr">
        <is>
          <t>2027-03-22</t>
        </is>
      </c>
    </row>
    <row r="46506">
      <c r="A46506" s="1" t="n">
        <v>46505</v>
      </c>
      <c r="B46506">
        <f>TEXT(46505, "[$-0E0000]yyyy-mm-dd")</f>
        <v/>
      </c>
      <c r="C46506" t="inlineStr">
        <is>
          <t>2027-03-23</t>
        </is>
      </c>
    </row>
    <row r="46507">
      <c r="A46507" s="1" t="n">
        <v>46506</v>
      </c>
      <c r="B46507">
        <f>TEXT(46506, "[$-0E0000]yyyy-mm-dd")</f>
        <v/>
      </c>
      <c r="C46507" t="inlineStr">
        <is>
          <t>2027-03-24</t>
        </is>
      </c>
    </row>
    <row r="46508">
      <c r="A46508" s="1" t="n">
        <v>46507</v>
      </c>
      <c r="B46508">
        <f>TEXT(46507, "[$-0E0000]yyyy-mm-dd")</f>
        <v/>
      </c>
      <c r="C46508" t="inlineStr">
        <is>
          <t>2027-03-25</t>
        </is>
      </c>
    </row>
    <row r="46509">
      <c r="A46509" s="1" t="n">
        <v>46508</v>
      </c>
      <c r="B46509">
        <f>TEXT(46508, "[$-0E0000]yyyy-mm-dd")</f>
        <v/>
      </c>
      <c r="C46509" t="inlineStr">
        <is>
          <t>2027-03-26</t>
        </is>
      </c>
    </row>
    <row r="46510">
      <c r="A46510" s="1" t="n">
        <v>46509</v>
      </c>
      <c r="B46510">
        <f>TEXT(46509, "[$-0E0000]yyyy-mm-dd")</f>
        <v/>
      </c>
      <c r="C46510" t="inlineStr">
        <is>
          <t>2027-03-27</t>
        </is>
      </c>
    </row>
    <row r="46511">
      <c r="A46511" s="1" t="n">
        <v>46510</v>
      </c>
      <c r="B46511">
        <f>TEXT(46510, "[$-0E0000]yyyy-mm-dd")</f>
        <v/>
      </c>
      <c r="C46511" t="inlineStr">
        <is>
          <t>2027-03-28</t>
        </is>
      </c>
    </row>
    <row r="46512">
      <c r="A46512" s="1" t="n">
        <v>46511</v>
      </c>
      <c r="B46512">
        <f>TEXT(46511, "[$-0E0000]yyyy-mm-dd")</f>
        <v/>
      </c>
      <c r="C46512" t="inlineStr">
        <is>
          <t>2027-03-29</t>
        </is>
      </c>
    </row>
    <row r="46513">
      <c r="A46513" s="1" t="n">
        <v>46512</v>
      </c>
      <c r="B46513">
        <f>TEXT(46512, "[$-0E0000]yyyy-mm-dd")</f>
        <v/>
      </c>
      <c r="C46513" t="inlineStr">
        <is>
          <t>2027-04-01</t>
        </is>
      </c>
    </row>
    <row r="46514">
      <c r="A46514" s="1" t="n">
        <v>46513</v>
      </c>
      <c r="B46514">
        <f>TEXT(46513, "[$-0E0000]yyyy-mm-dd")</f>
        <v/>
      </c>
      <c r="C46514" t="inlineStr">
        <is>
          <t>2027-04-02</t>
        </is>
      </c>
    </row>
    <row r="46515">
      <c r="A46515" s="1" t="n">
        <v>46514</v>
      </c>
      <c r="B46515">
        <f>TEXT(46514, "[$-0E0000]yyyy-mm-dd")</f>
        <v/>
      </c>
      <c r="C46515" t="inlineStr">
        <is>
          <t>2027-04-03</t>
        </is>
      </c>
    </row>
    <row r="46516">
      <c r="A46516" s="1" t="n">
        <v>46515</v>
      </c>
      <c r="B46516">
        <f>TEXT(46515, "[$-0E0000]yyyy-mm-dd")</f>
        <v/>
      </c>
      <c r="C46516" t="inlineStr">
        <is>
          <t>2027-04-04</t>
        </is>
      </c>
    </row>
    <row r="46517">
      <c r="A46517" s="1" t="n">
        <v>46516</v>
      </c>
      <c r="B46517">
        <f>TEXT(46516, "[$-0E0000]yyyy-mm-dd")</f>
        <v/>
      </c>
      <c r="C46517" t="inlineStr">
        <is>
          <t>2027-04-05</t>
        </is>
      </c>
    </row>
    <row r="46518">
      <c r="A46518" s="1" t="n">
        <v>46517</v>
      </c>
      <c r="B46518">
        <f>TEXT(46517, "[$-0E0000]yyyy-mm-dd")</f>
        <v/>
      </c>
      <c r="C46518" t="inlineStr">
        <is>
          <t>2027-04-06</t>
        </is>
      </c>
    </row>
    <row r="46519">
      <c r="A46519" s="1" t="n">
        <v>46518</v>
      </c>
      <c r="B46519">
        <f>TEXT(46518, "[$-0E0000]yyyy-mm-dd")</f>
        <v/>
      </c>
      <c r="C46519" t="inlineStr">
        <is>
          <t>2027-04-07</t>
        </is>
      </c>
    </row>
    <row r="46520">
      <c r="A46520" s="1" t="n">
        <v>46519</v>
      </c>
      <c r="B46520">
        <f>TEXT(46519, "[$-0E0000]yyyy-mm-dd")</f>
        <v/>
      </c>
      <c r="C46520" t="inlineStr">
        <is>
          <t>2027-04-08</t>
        </is>
      </c>
    </row>
    <row r="46521">
      <c r="A46521" s="1" t="n">
        <v>46520</v>
      </c>
      <c r="B46521">
        <f>TEXT(46520, "[$-0E0000]yyyy-mm-dd")</f>
        <v/>
      </c>
      <c r="C46521" t="inlineStr">
        <is>
          <t>2027-04-09</t>
        </is>
      </c>
    </row>
    <row r="46522">
      <c r="A46522" s="1" t="n">
        <v>46521</v>
      </c>
      <c r="B46522">
        <f>TEXT(46521, "[$-0E0000]yyyy-mm-dd")</f>
        <v/>
      </c>
      <c r="C46522" t="inlineStr">
        <is>
          <t>2027-04-10</t>
        </is>
      </c>
    </row>
    <row r="46523">
      <c r="A46523" s="1" t="n">
        <v>46522</v>
      </c>
      <c r="B46523">
        <f>TEXT(46522, "[$-0E0000]yyyy-mm-dd")</f>
        <v/>
      </c>
      <c r="C46523" t="inlineStr">
        <is>
          <t>2027-04-11</t>
        </is>
      </c>
    </row>
    <row r="46524">
      <c r="A46524" s="1" t="n">
        <v>46523</v>
      </c>
      <c r="B46524">
        <f>TEXT(46523, "[$-0E0000]yyyy-mm-dd")</f>
        <v/>
      </c>
      <c r="C46524" t="inlineStr">
        <is>
          <t>2027-04-12</t>
        </is>
      </c>
    </row>
    <row r="46525">
      <c r="A46525" s="1" t="n">
        <v>46524</v>
      </c>
      <c r="B46525">
        <f>TEXT(46524, "[$-0E0000]yyyy-mm-dd")</f>
        <v/>
      </c>
      <c r="C46525" t="inlineStr">
        <is>
          <t>2027-04-13</t>
        </is>
      </c>
    </row>
    <row r="46526">
      <c r="A46526" s="1" t="n">
        <v>46525</v>
      </c>
      <c r="B46526">
        <f>TEXT(46525, "[$-0E0000]yyyy-mm-dd")</f>
        <v/>
      </c>
      <c r="C46526" t="inlineStr">
        <is>
          <t>2027-04-14</t>
        </is>
      </c>
    </row>
    <row r="46527">
      <c r="A46527" s="1" t="n">
        <v>46526</v>
      </c>
      <c r="B46527">
        <f>TEXT(46526, "[$-0E0000]yyyy-mm-dd")</f>
        <v/>
      </c>
      <c r="C46527" t="inlineStr">
        <is>
          <t>2027-04-15</t>
        </is>
      </c>
    </row>
    <row r="46528">
      <c r="A46528" s="1" t="n">
        <v>46527</v>
      </c>
      <c r="B46528">
        <f>TEXT(46527, "[$-0E0000]yyyy-mm-dd")</f>
        <v/>
      </c>
      <c r="C46528" t="inlineStr">
        <is>
          <t>2027-04-16</t>
        </is>
      </c>
    </row>
    <row r="46529">
      <c r="A46529" s="1" t="n">
        <v>46528</v>
      </c>
      <c r="B46529">
        <f>TEXT(46528, "[$-0E0000]yyyy-mm-dd")</f>
        <v/>
      </c>
      <c r="C46529" t="inlineStr">
        <is>
          <t>2027-04-17</t>
        </is>
      </c>
    </row>
    <row r="46530">
      <c r="A46530" s="1" t="n">
        <v>46529</v>
      </c>
      <c r="B46530">
        <f>TEXT(46529, "[$-0E0000]yyyy-mm-dd")</f>
        <v/>
      </c>
      <c r="C46530" t="inlineStr">
        <is>
          <t>2027-04-18</t>
        </is>
      </c>
    </row>
    <row r="46531">
      <c r="A46531" s="1" t="n">
        <v>46530</v>
      </c>
      <c r="B46531">
        <f>TEXT(46530, "[$-0E0000]yyyy-mm-dd")</f>
        <v/>
      </c>
      <c r="C46531" t="inlineStr">
        <is>
          <t>2027-04-19</t>
        </is>
      </c>
    </row>
    <row r="46532">
      <c r="A46532" s="1" t="n">
        <v>46531</v>
      </c>
      <c r="B46532">
        <f>TEXT(46531, "[$-0E0000]yyyy-mm-dd")</f>
        <v/>
      </c>
      <c r="C46532" t="inlineStr">
        <is>
          <t>2027-04-20</t>
        </is>
      </c>
    </row>
    <row r="46533">
      <c r="A46533" s="1" t="n">
        <v>46532</v>
      </c>
      <c r="B46533">
        <f>TEXT(46532, "[$-0E0000]yyyy-mm-dd")</f>
        <v/>
      </c>
      <c r="C46533" t="inlineStr">
        <is>
          <t>2027-04-21</t>
        </is>
      </c>
    </row>
    <row r="46534">
      <c r="A46534" s="1" t="n">
        <v>46533</v>
      </c>
      <c r="B46534">
        <f>TEXT(46533, "[$-0E0000]yyyy-mm-dd")</f>
        <v/>
      </c>
      <c r="C46534" t="inlineStr">
        <is>
          <t>2027-04-22</t>
        </is>
      </c>
    </row>
    <row r="46535">
      <c r="A46535" s="1" t="n">
        <v>46534</v>
      </c>
      <c r="B46535">
        <f>TEXT(46534, "[$-0E0000]yyyy-mm-dd")</f>
        <v/>
      </c>
      <c r="C46535" t="inlineStr">
        <is>
          <t>2027-04-23</t>
        </is>
      </c>
    </row>
    <row r="46536">
      <c r="A46536" s="1" t="n">
        <v>46535</v>
      </c>
      <c r="B46536">
        <f>TEXT(46535, "[$-0E0000]yyyy-mm-dd")</f>
        <v/>
      </c>
      <c r="C46536" t="inlineStr">
        <is>
          <t>2027-04-24</t>
        </is>
      </c>
    </row>
    <row r="46537">
      <c r="A46537" s="1" t="n">
        <v>46536</v>
      </c>
      <c r="B46537">
        <f>TEXT(46536, "[$-0E0000]yyyy-mm-dd")</f>
        <v/>
      </c>
      <c r="C46537" t="inlineStr">
        <is>
          <t>2027-04-25</t>
        </is>
      </c>
    </row>
    <row r="46538">
      <c r="A46538" s="1" t="n">
        <v>46537</v>
      </c>
      <c r="B46538">
        <f>TEXT(46537, "[$-0E0000]yyyy-mm-dd")</f>
        <v/>
      </c>
      <c r="C46538" t="inlineStr">
        <is>
          <t>2027-04-26</t>
        </is>
      </c>
    </row>
    <row r="46539">
      <c r="A46539" s="1" t="n">
        <v>46538</v>
      </c>
      <c r="B46539">
        <f>TEXT(46538, "[$-0E0000]yyyy-mm-dd")</f>
        <v/>
      </c>
      <c r="C46539" t="inlineStr">
        <is>
          <t>2027-04-27</t>
        </is>
      </c>
    </row>
    <row r="46540">
      <c r="A46540" s="1" t="n">
        <v>46539</v>
      </c>
      <c r="B46540">
        <f>TEXT(46539, "[$-0E0000]yyyy-mm-dd")</f>
        <v/>
      </c>
      <c r="C46540" t="inlineStr">
        <is>
          <t>2027-04-28</t>
        </is>
      </c>
    </row>
    <row r="46541">
      <c r="A46541" s="1" t="n">
        <v>46540</v>
      </c>
      <c r="B46541">
        <f>TEXT(46540, "[$-0E0000]yyyy-mm-dd")</f>
        <v/>
      </c>
      <c r="C46541" t="inlineStr">
        <is>
          <t>2027-04-29</t>
        </is>
      </c>
    </row>
    <row r="46542">
      <c r="A46542" s="1" t="n">
        <v>46541</v>
      </c>
      <c r="B46542">
        <f>TEXT(46541, "[$-0E0000]yyyy-mm-dd")</f>
        <v/>
      </c>
      <c r="C46542" t="inlineStr">
        <is>
          <t>2027-04-30</t>
        </is>
      </c>
    </row>
    <row r="46543">
      <c r="A46543" s="1" t="n">
        <v>46542</v>
      </c>
      <c r="B46543">
        <f>TEXT(46542, "[$-0E0000]yyyy-mm-dd")</f>
        <v/>
      </c>
      <c r="C46543" t="inlineStr">
        <is>
          <t>2027-05-01</t>
        </is>
      </c>
    </row>
    <row r="46544">
      <c r="A46544" s="1" t="n">
        <v>46543</v>
      </c>
      <c r="B46544">
        <f>TEXT(46543, "[$-0E0000]yyyy-mm-dd")</f>
        <v/>
      </c>
      <c r="C46544" t="inlineStr">
        <is>
          <t>2027-05-02</t>
        </is>
      </c>
    </row>
    <row r="46545">
      <c r="A46545" s="1" t="n">
        <v>46544</v>
      </c>
      <c r="B46545">
        <f>TEXT(46544, "[$-0E0000]yyyy-mm-dd")</f>
        <v/>
      </c>
      <c r="C46545" t="inlineStr">
        <is>
          <t>2027-05-03</t>
        </is>
      </c>
    </row>
    <row r="46546">
      <c r="A46546" s="1" t="n">
        <v>46545</v>
      </c>
      <c r="B46546">
        <f>TEXT(46545, "[$-0E0000]yyyy-mm-dd")</f>
        <v/>
      </c>
      <c r="C46546" t="inlineStr">
        <is>
          <t>2027-05-04</t>
        </is>
      </c>
    </row>
    <row r="46547">
      <c r="A46547" s="1" t="n">
        <v>46546</v>
      </c>
      <c r="B46547">
        <f>TEXT(46546, "[$-0E0000]yyyy-mm-dd")</f>
        <v/>
      </c>
      <c r="C46547" t="inlineStr">
        <is>
          <t>2027-05-05</t>
        </is>
      </c>
    </row>
    <row r="46548">
      <c r="A46548" s="1" t="n">
        <v>46547</v>
      </c>
      <c r="B46548">
        <f>TEXT(46547, "[$-0E0000]yyyy-mm-dd")</f>
        <v/>
      </c>
      <c r="C46548" t="inlineStr">
        <is>
          <t>2027-05-06</t>
        </is>
      </c>
    </row>
    <row r="46549">
      <c r="A46549" s="1" t="n">
        <v>46548</v>
      </c>
      <c r="B46549">
        <f>TEXT(46548, "[$-0E0000]yyyy-mm-dd")</f>
        <v/>
      </c>
      <c r="C46549" t="inlineStr">
        <is>
          <t>2027-05-07</t>
        </is>
      </c>
    </row>
    <row r="46550">
      <c r="A46550" s="1" t="n">
        <v>46549</v>
      </c>
      <c r="B46550">
        <f>TEXT(46549, "[$-0E0000]yyyy-mm-dd")</f>
        <v/>
      </c>
      <c r="C46550" t="inlineStr">
        <is>
          <t>2027-05-08</t>
        </is>
      </c>
    </row>
    <row r="46551">
      <c r="A46551" s="1" t="n">
        <v>46550</v>
      </c>
      <c r="B46551">
        <f>TEXT(46550, "[$-0E0000]yyyy-mm-dd")</f>
        <v/>
      </c>
      <c r="C46551" t="inlineStr">
        <is>
          <t>2027-05-09</t>
        </is>
      </c>
    </row>
    <row r="46552">
      <c r="A46552" s="1" t="n">
        <v>46551</v>
      </c>
      <c r="B46552">
        <f>TEXT(46551, "[$-0E0000]yyyy-mm-dd")</f>
        <v/>
      </c>
      <c r="C46552" t="inlineStr">
        <is>
          <t>2027-05-10</t>
        </is>
      </c>
    </row>
    <row r="46553">
      <c r="A46553" s="1" t="n">
        <v>46552</v>
      </c>
      <c r="B46553">
        <f>TEXT(46552, "[$-0E0000]yyyy-mm-dd")</f>
        <v/>
      </c>
      <c r="C46553" t="inlineStr">
        <is>
          <t>2027-05-11</t>
        </is>
      </c>
    </row>
    <row r="46554">
      <c r="A46554" s="1" t="n">
        <v>46553</v>
      </c>
      <c r="B46554">
        <f>TEXT(46553, "[$-0E0000]yyyy-mm-dd")</f>
        <v/>
      </c>
      <c r="C46554" t="inlineStr">
        <is>
          <t>2027-05-12</t>
        </is>
      </c>
    </row>
    <row r="46555">
      <c r="A46555" s="1" t="n">
        <v>46554</v>
      </c>
      <c r="B46555">
        <f>TEXT(46554, "[$-0E0000]yyyy-mm-dd")</f>
        <v/>
      </c>
      <c r="C46555" t="inlineStr">
        <is>
          <t>2027-05-13</t>
        </is>
      </c>
    </row>
    <row r="46556">
      <c r="A46556" s="1" t="n">
        <v>46555</v>
      </c>
      <c r="B46556">
        <f>TEXT(46555, "[$-0E0000]yyyy-mm-dd")</f>
        <v/>
      </c>
      <c r="C46556" t="inlineStr">
        <is>
          <t>2027-05-14</t>
        </is>
      </c>
    </row>
    <row r="46557">
      <c r="A46557" s="1" t="n">
        <v>46556</v>
      </c>
      <c r="B46557">
        <f>TEXT(46556, "[$-0E0000]yyyy-mm-dd")</f>
        <v/>
      </c>
      <c r="C46557" t="inlineStr">
        <is>
          <t>2027-05-15</t>
        </is>
      </c>
    </row>
    <row r="46558">
      <c r="A46558" s="1" t="n">
        <v>46557</v>
      </c>
      <c r="B46558">
        <f>TEXT(46557, "[$-0E0000]yyyy-mm-dd")</f>
        <v/>
      </c>
      <c r="C46558" t="inlineStr">
        <is>
          <t>2027-05-16</t>
        </is>
      </c>
    </row>
    <row r="46559">
      <c r="A46559" s="1" t="n">
        <v>46558</v>
      </c>
      <c r="B46559">
        <f>TEXT(46558, "[$-0E0000]yyyy-mm-dd")</f>
        <v/>
      </c>
      <c r="C46559" t="inlineStr">
        <is>
          <t>2027-05-17</t>
        </is>
      </c>
    </row>
    <row r="46560">
      <c r="A46560" s="1" t="n">
        <v>46559</v>
      </c>
      <c r="B46560">
        <f>TEXT(46559, "[$-0E0000]yyyy-mm-dd")</f>
        <v/>
      </c>
      <c r="C46560" t="inlineStr">
        <is>
          <t>2027-05-18</t>
        </is>
      </c>
    </row>
    <row r="46561">
      <c r="A46561" s="1" t="n">
        <v>46560</v>
      </c>
      <c r="B46561">
        <f>TEXT(46560, "[$-0E0000]yyyy-mm-dd")</f>
        <v/>
      </c>
      <c r="C46561" t="inlineStr">
        <is>
          <t>2027-05-19</t>
        </is>
      </c>
    </row>
    <row r="46562">
      <c r="A46562" s="1" t="n">
        <v>46561</v>
      </c>
      <c r="B46562">
        <f>TEXT(46561, "[$-0E0000]yyyy-mm-dd")</f>
        <v/>
      </c>
      <c r="C46562" t="inlineStr">
        <is>
          <t>2027-05-20</t>
        </is>
      </c>
    </row>
    <row r="46563">
      <c r="A46563" s="1" t="n">
        <v>46562</v>
      </c>
      <c r="B46563">
        <f>TEXT(46562, "[$-0E0000]yyyy-mm-dd")</f>
        <v/>
      </c>
      <c r="C46563" t="inlineStr">
        <is>
          <t>2027-05-21</t>
        </is>
      </c>
    </row>
    <row r="46564">
      <c r="A46564" s="1" t="n">
        <v>46563</v>
      </c>
      <c r="B46564">
        <f>TEXT(46563, "[$-0E0000]yyyy-mm-dd")</f>
        <v/>
      </c>
      <c r="C46564" t="inlineStr">
        <is>
          <t>2027-05-22</t>
        </is>
      </c>
    </row>
    <row r="46565">
      <c r="A46565" s="1" t="n">
        <v>46564</v>
      </c>
      <c r="B46565">
        <f>TEXT(46564, "[$-0E0000]yyyy-mm-dd")</f>
        <v/>
      </c>
      <c r="C46565" t="inlineStr">
        <is>
          <t>2027-05-23</t>
        </is>
      </c>
    </row>
    <row r="46566">
      <c r="A46566" s="1" t="n">
        <v>46565</v>
      </c>
      <c r="B46566">
        <f>TEXT(46565, "[$-0E0000]yyyy-mm-dd")</f>
        <v/>
      </c>
      <c r="C46566" t="inlineStr">
        <is>
          <t>2027-05-24</t>
        </is>
      </c>
    </row>
    <row r="46567">
      <c r="A46567" s="1" t="n">
        <v>46566</v>
      </c>
      <c r="B46567">
        <f>TEXT(46566, "[$-0E0000]yyyy-mm-dd")</f>
        <v/>
      </c>
      <c r="C46567" t="inlineStr">
        <is>
          <t>2027-05-25</t>
        </is>
      </c>
    </row>
    <row r="46568">
      <c r="A46568" s="1" t="n">
        <v>46567</v>
      </c>
      <c r="B46568">
        <f>TEXT(46567, "[$-0E0000]yyyy-mm-dd")</f>
        <v/>
      </c>
      <c r="C46568" t="inlineStr">
        <is>
          <t>2027-05-26</t>
        </is>
      </c>
    </row>
    <row r="46569">
      <c r="A46569" s="1" t="n">
        <v>46568</v>
      </c>
      <c r="B46569">
        <f>TEXT(46568, "[$-0E0000]yyyy-mm-dd")</f>
        <v/>
      </c>
      <c r="C46569" t="inlineStr">
        <is>
          <t>2027-05-27</t>
        </is>
      </c>
    </row>
    <row r="46570">
      <c r="A46570" s="1" t="n">
        <v>46569</v>
      </c>
      <c r="B46570">
        <f>TEXT(46569, "[$-0E0000]yyyy-mm-dd")</f>
        <v/>
      </c>
      <c r="C46570" t="inlineStr">
        <is>
          <t>2027-05-28</t>
        </is>
      </c>
    </row>
    <row r="46571">
      <c r="A46571" s="1" t="n">
        <v>46570</v>
      </c>
      <c r="B46571">
        <f>TEXT(46570, "[$-0E0000]yyyy-mm-dd")</f>
        <v/>
      </c>
      <c r="C46571" t="inlineStr">
        <is>
          <t>2027-05-29</t>
        </is>
      </c>
    </row>
    <row r="46572">
      <c r="A46572" s="1" t="n">
        <v>46571</v>
      </c>
      <c r="B46572">
        <f>TEXT(46571, "[$-0E0000]yyyy-mm-dd")</f>
        <v/>
      </c>
      <c r="C46572" t="inlineStr">
        <is>
          <t>2027-06-01</t>
        </is>
      </c>
    </row>
    <row r="46573">
      <c r="A46573" s="1" t="n">
        <v>46572</v>
      </c>
      <c r="B46573">
        <f>TEXT(46572, "[$-0E0000]yyyy-mm-dd")</f>
        <v/>
      </c>
      <c r="C46573" t="inlineStr">
        <is>
          <t>2027-06-02</t>
        </is>
      </c>
    </row>
    <row r="46574">
      <c r="A46574" s="1" t="n">
        <v>46573</v>
      </c>
      <c r="B46574">
        <f>TEXT(46573, "[$-0E0000]yyyy-mm-dd")</f>
        <v/>
      </c>
      <c r="C46574" t="inlineStr">
        <is>
          <t>2027-06-03</t>
        </is>
      </c>
    </row>
    <row r="46575">
      <c r="A46575" s="1" t="n">
        <v>46574</v>
      </c>
      <c r="B46575">
        <f>TEXT(46574, "[$-0E0000]yyyy-mm-dd")</f>
        <v/>
      </c>
      <c r="C46575" t="inlineStr">
        <is>
          <t>2027-06-04</t>
        </is>
      </c>
    </row>
    <row r="46576">
      <c r="A46576" s="1" t="n">
        <v>46575</v>
      </c>
      <c r="B46576">
        <f>TEXT(46575, "[$-0E0000]yyyy-mm-dd")</f>
        <v/>
      </c>
      <c r="C46576" t="inlineStr">
        <is>
          <t>2027-06-05</t>
        </is>
      </c>
    </row>
    <row r="46577">
      <c r="A46577" s="1" t="n">
        <v>46576</v>
      </c>
      <c r="B46577">
        <f>TEXT(46576, "[$-0E0000]yyyy-mm-dd")</f>
        <v/>
      </c>
      <c r="C46577" t="inlineStr">
        <is>
          <t>2027-06-06</t>
        </is>
      </c>
    </row>
    <row r="46578">
      <c r="A46578" s="1" t="n">
        <v>46577</v>
      </c>
      <c r="B46578">
        <f>TEXT(46577, "[$-0E0000]yyyy-mm-dd")</f>
        <v/>
      </c>
      <c r="C46578" t="inlineStr">
        <is>
          <t>2027-06-07</t>
        </is>
      </c>
    </row>
    <row r="46579">
      <c r="A46579" s="1" t="n">
        <v>46578</v>
      </c>
      <c r="B46579">
        <f>TEXT(46578, "[$-0E0000]yyyy-mm-dd")</f>
        <v/>
      </c>
      <c r="C46579" t="inlineStr">
        <is>
          <t>2027-06-08</t>
        </is>
      </c>
    </row>
    <row r="46580">
      <c r="A46580" s="1" t="n">
        <v>46579</v>
      </c>
      <c r="B46580">
        <f>TEXT(46579, "[$-0E0000]yyyy-mm-dd")</f>
        <v/>
      </c>
      <c r="C46580" t="inlineStr">
        <is>
          <t>2027-06-09</t>
        </is>
      </c>
    </row>
    <row r="46581">
      <c r="A46581" s="1" t="n">
        <v>46580</v>
      </c>
      <c r="B46581">
        <f>TEXT(46580, "[$-0E0000]yyyy-mm-dd")</f>
        <v/>
      </c>
      <c r="C46581" t="inlineStr">
        <is>
          <t>2027-06-10</t>
        </is>
      </c>
    </row>
    <row r="46582">
      <c r="A46582" s="1" t="n">
        <v>46581</v>
      </c>
      <c r="B46582">
        <f>TEXT(46581, "[$-0E0000]yyyy-mm-dd")</f>
        <v/>
      </c>
      <c r="C46582" t="inlineStr">
        <is>
          <t>2027-06-11</t>
        </is>
      </c>
    </row>
    <row r="46583">
      <c r="A46583" s="1" t="n">
        <v>46582</v>
      </c>
      <c r="B46583">
        <f>TEXT(46582, "[$-0E0000]yyyy-mm-dd")</f>
        <v/>
      </c>
      <c r="C46583" t="inlineStr">
        <is>
          <t>2027-06-12</t>
        </is>
      </c>
    </row>
    <row r="46584">
      <c r="A46584" s="1" t="n">
        <v>46583</v>
      </c>
      <c r="B46584">
        <f>TEXT(46583, "[$-0E0000]yyyy-mm-dd")</f>
        <v/>
      </c>
      <c r="C46584" t="inlineStr">
        <is>
          <t>2027-06-13</t>
        </is>
      </c>
    </row>
    <row r="46585">
      <c r="A46585" s="1" t="n">
        <v>46584</v>
      </c>
      <c r="B46585">
        <f>TEXT(46584, "[$-0E0000]yyyy-mm-dd")</f>
        <v/>
      </c>
      <c r="C46585" t="inlineStr">
        <is>
          <t>2027-06-14</t>
        </is>
      </c>
    </row>
    <row r="46586">
      <c r="A46586" s="1" t="n">
        <v>46585</v>
      </c>
      <c r="B46586">
        <f>TEXT(46585, "[$-0E0000]yyyy-mm-dd")</f>
        <v/>
      </c>
      <c r="C46586" t="inlineStr">
        <is>
          <t>2027-06-15</t>
        </is>
      </c>
    </row>
    <row r="46587">
      <c r="A46587" s="1" t="n">
        <v>46586</v>
      </c>
      <c r="B46587">
        <f>TEXT(46586, "[$-0E0000]yyyy-mm-dd")</f>
        <v/>
      </c>
      <c r="C46587" t="inlineStr">
        <is>
          <t>2027-06-16</t>
        </is>
      </c>
    </row>
    <row r="46588">
      <c r="A46588" s="1" t="n">
        <v>46587</v>
      </c>
      <c r="B46588">
        <f>TEXT(46587, "[$-0E0000]yyyy-mm-dd")</f>
        <v/>
      </c>
      <c r="C46588" t="inlineStr">
        <is>
          <t>2027-06-17</t>
        </is>
      </c>
    </row>
    <row r="46589">
      <c r="A46589" s="1" t="n">
        <v>46588</v>
      </c>
      <c r="B46589">
        <f>TEXT(46588, "[$-0E0000]yyyy-mm-dd")</f>
        <v/>
      </c>
      <c r="C46589" t="inlineStr">
        <is>
          <t>2027-06-18</t>
        </is>
      </c>
    </row>
    <row r="46590">
      <c r="A46590" s="1" t="n">
        <v>46589</v>
      </c>
      <c r="B46590">
        <f>TEXT(46589, "[$-0E0000]yyyy-mm-dd")</f>
        <v/>
      </c>
      <c r="C46590" t="inlineStr">
        <is>
          <t>2027-06-19</t>
        </is>
      </c>
    </row>
    <row r="46591">
      <c r="A46591" s="1" t="n">
        <v>46590</v>
      </c>
      <c r="B46591">
        <f>TEXT(46590, "[$-0E0000]yyyy-mm-dd")</f>
        <v/>
      </c>
      <c r="C46591" t="inlineStr">
        <is>
          <t>2027-06-20</t>
        </is>
      </c>
    </row>
    <row r="46592">
      <c r="A46592" s="1" t="n">
        <v>46591</v>
      </c>
      <c r="B46592">
        <f>TEXT(46591, "[$-0E0000]yyyy-mm-dd")</f>
        <v/>
      </c>
      <c r="C46592" t="inlineStr">
        <is>
          <t>2027-06-21</t>
        </is>
      </c>
    </row>
    <row r="46593">
      <c r="A46593" s="1" t="n">
        <v>46592</v>
      </c>
      <c r="B46593">
        <f>TEXT(46592, "[$-0E0000]yyyy-mm-dd")</f>
        <v/>
      </c>
      <c r="C46593" t="inlineStr">
        <is>
          <t>2027-06-22</t>
        </is>
      </c>
    </row>
    <row r="46594">
      <c r="A46594" s="1" t="n">
        <v>46593</v>
      </c>
      <c r="B46594">
        <f>TEXT(46593, "[$-0E0000]yyyy-mm-dd")</f>
        <v/>
      </c>
      <c r="C46594" t="inlineStr">
        <is>
          <t>2027-06-23</t>
        </is>
      </c>
    </row>
    <row r="46595">
      <c r="A46595" s="1" t="n">
        <v>46594</v>
      </c>
      <c r="B46595">
        <f>TEXT(46594, "[$-0E0000]yyyy-mm-dd")</f>
        <v/>
      </c>
      <c r="C46595" t="inlineStr">
        <is>
          <t>2027-06-24</t>
        </is>
      </c>
    </row>
    <row r="46596">
      <c r="A46596" s="1" t="n">
        <v>46595</v>
      </c>
      <c r="B46596">
        <f>TEXT(46595, "[$-0E0000]yyyy-mm-dd")</f>
        <v/>
      </c>
      <c r="C46596" t="inlineStr">
        <is>
          <t>2027-06-25</t>
        </is>
      </c>
    </row>
    <row r="46597">
      <c r="A46597" s="1" t="n">
        <v>46596</v>
      </c>
      <c r="B46597">
        <f>TEXT(46596, "[$-0E0000]yyyy-mm-dd")</f>
        <v/>
      </c>
      <c r="C46597" t="inlineStr">
        <is>
          <t>2027-06-26</t>
        </is>
      </c>
    </row>
    <row r="46598">
      <c r="A46598" s="1" t="n">
        <v>46597</v>
      </c>
      <c r="B46598">
        <f>TEXT(46597, "[$-0E0000]yyyy-mm-dd")</f>
        <v/>
      </c>
      <c r="C46598" t="inlineStr">
        <is>
          <t>2027-06-27</t>
        </is>
      </c>
    </row>
    <row r="46599">
      <c r="A46599" s="1" t="n">
        <v>46598</v>
      </c>
      <c r="B46599">
        <f>TEXT(46598, "[$-0E0000]yyyy-mm-dd")</f>
        <v/>
      </c>
      <c r="C46599" t="inlineStr">
        <is>
          <t>2027-06-28</t>
        </is>
      </c>
    </row>
    <row r="46600">
      <c r="A46600" s="1" t="n">
        <v>46599</v>
      </c>
      <c r="B46600">
        <f>TEXT(46599, "[$-0E0000]yyyy-mm-dd")</f>
        <v/>
      </c>
      <c r="C46600" t="inlineStr">
        <is>
          <t>2027-06-29</t>
        </is>
      </c>
    </row>
    <row r="46601">
      <c r="A46601" s="1" t="n">
        <v>46600</v>
      </c>
      <c r="B46601">
        <f>TEXT(46600, "[$-0E0000]yyyy-mm-dd")</f>
        <v/>
      </c>
      <c r="C46601" t="inlineStr">
        <is>
          <t>2027-07-01</t>
        </is>
      </c>
    </row>
    <row r="46602">
      <c r="A46602" s="1" t="n">
        <v>46601</v>
      </c>
      <c r="B46602">
        <f>TEXT(46601, "[$-0E0000]yyyy-mm-dd")</f>
        <v/>
      </c>
      <c r="C46602" t="inlineStr">
        <is>
          <t>2027-07-02</t>
        </is>
      </c>
    </row>
    <row r="46603">
      <c r="A46603" s="1" t="n">
        <v>46602</v>
      </c>
      <c r="B46603">
        <f>TEXT(46602, "[$-0E0000]yyyy-mm-dd")</f>
        <v/>
      </c>
      <c r="C46603" t="inlineStr">
        <is>
          <t>2027-07-03</t>
        </is>
      </c>
    </row>
    <row r="46604">
      <c r="A46604" s="1" t="n">
        <v>46603</v>
      </c>
      <c r="B46604">
        <f>TEXT(46603, "[$-0E0000]yyyy-mm-dd")</f>
        <v/>
      </c>
      <c r="C46604" t="inlineStr">
        <is>
          <t>2027-07-04</t>
        </is>
      </c>
    </row>
    <row r="46605">
      <c r="A46605" s="1" t="n">
        <v>46604</v>
      </c>
      <c r="B46605">
        <f>TEXT(46604, "[$-0E0000]yyyy-mm-dd")</f>
        <v/>
      </c>
      <c r="C46605" t="inlineStr">
        <is>
          <t>2027-07-05</t>
        </is>
      </c>
    </row>
    <row r="46606">
      <c r="A46606" s="1" t="n">
        <v>46605</v>
      </c>
      <c r="B46606">
        <f>TEXT(46605, "[$-0E0000]yyyy-mm-dd")</f>
        <v/>
      </c>
      <c r="C46606" t="inlineStr">
        <is>
          <t>2027-07-06</t>
        </is>
      </c>
    </row>
    <row r="46607">
      <c r="A46607" s="1" t="n">
        <v>46606</v>
      </c>
      <c r="B46607">
        <f>TEXT(46606, "[$-0E0000]yyyy-mm-dd")</f>
        <v/>
      </c>
      <c r="C46607" t="inlineStr">
        <is>
          <t>2027-07-07</t>
        </is>
      </c>
    </row>
    <row r="46608">
      <c r="A46608" s="1" t="n">
        <v>46607</v>
      </c>
      <c r="B46608">
        <f>TEXT(46607, "[$-0E0000]yyyy-mm-dd")</f>
        <v/>
      </c>
      <c r="C46608" t="inlineStr">
        <is>
          <t>2027-07-08</t>
        </is>
      </c>
    </row>
    <row r="46609">
      <c r="A46609" s="1" t="n">
        <v>46608</v>
      </c>
      <c r="B46609">
        <f>TEXT(46608, "[$-0E0000]yyyy-mm-dd")</f>
        <v/>
      </c>
      <c r="C46609" t="inlineStr">
        <is>
          <t>2027-07-09</t>
        </is>
      </c>
    </row>
    <row r="46610">
      <c r="A46610" s="1" t="n">
        <v>46609</v>
      </c>
      <c r="B46610">
        <f>TEXT(46609, "[$-0E0000]yyyy-mm-dd")</f>
        <v/>
      </c>
      <c r="C46610" t="inlineStr">
        <is>
          <t>2027-07-10</t>
        </is>
      </c>
    </row>
    <row r="46611">
      <c r="A46611" s="1" t="n">
        <v>46610</v>
      </c>
      <c r="B46611">
        <f>TEXT(46610, "[$-0E0000]yyyy-mm-dd")</f>
        <v/>
      </c>
      <c r="C46611" t="inlineStr">
        <is>
          <t>2027-07-11</t>
        </is>
      </c>
    </row>
    <row r="46612">
      <c r="A46612" s="1" t="n">
        <v>46611</v>
      </c>
      <c r="B46612">
        <f>TEXT(46611, "[$-0E0000]yyyy-mm-dd")</f>
        <v/>
      </c>
      <c r="C46612" t="inlineStr">
        <is>
          <t>2027-07-12</t>
        </is>
      </c>
    </row>
    <row r="46613">
      <c r="A46613" s="1" t="n">
        <v>46612</v>
      </c>
      <c r="B46613">
        <f>TEXT(46612, "[$-0E0000]yyyy-mm-dd")</f>
        <v/>
      </c>
      <c r="C46613" t="inlineStr">
        <is>
          <t>2027-07-13</t>
        </is>
      </c>
    </row>
    <row r="46614">
      <c r="A46614" s="1" t="n">
        <v>46613</v>
      </c>
      <c r="B46614">
        <f>TEXT(46613, "[$-0E0000]yyyy-mm-dd")</f>
        <v/>
      </c>
      <c r="C46614" t="inlineStr">
        <is>
          <t>2027-07-14</t>
        </is>
      </c>
    </row>
    <row r="46615">
      <c r="A46615" s="1" t="n">
        <v>46614</v>
      </c>
      <c r="B46615">
        <f>TEXT(46614, "[$-0E0000]yyyy-mm-dd")</f>
        <v/>
      </c>
      <c r="C46615" t="inlineStr">
        <is>
          <t>2027-07-15</t>
        </is>
      </c>
    </row>
    <row r="46616">
      <c r="A46616" s="1" t="n">
        <v>46615</v>
      </c>
      <c r="B46616">
        <f>TEXT(46615, "[$-0E0000]yyyy-mm-dd")</f>
        <v/>
      </c>
      <c r="C46616" t="inlineStr">
        <is>
          <t>2027-07-16</t>
        </is>
      </c>
    </row>
    <row r="46617">
      <c r="A46617" s="1" t="n">
        <v>46616</v>
      </c>
      <c r="B46617">
        <f>TEXT(46616, "[$-0E0000]yyyy-mm-dd")</f>
        <v/>
      </c>
      <c r="C46617" t="inlineStr">
        <is>
          <t>2027-07-17</t>
        </is>
      </c>
    </row>
    <row r="46618">
      <c r="A46618" s="1" t="n">
        <v>46617</v>
      </c>
      <c r="B46618">
        <f>TEXT(46617, "[$-0E0000]yyyy-mm-dd")</f>
        <v/>
      </c>
      <c r="C46618" t="inlineStr">
        <is>
          <t>2027-07-18</t>
        </is>
      </c>
    </row>
    <row r="46619">
      <c r="A46619" s="1" t="n">
        <v>46618</v>
      </c>
      <c r="B46619">
        <f>TEXT(46618, "[$-0E0000]yyyy-mm-dd")</f>
        <v/>
      </c>
      <c r="C46619" t="inlineStr">
        <is>
          <t>2027-07-19</t>
        </is>
      </c>
    </row>
    <row r="46620">
      <c r="A46620" s="1" t="n">
        <v>46619</v>
      </c>
      <c r="B46620">
        <f>TEXT(46619, "[$-0E0000]yyyy-mm-dd")</f>
        <v/>
      </c>
      <c r="C46620" t="inlineStr">
        <is>
          <t>2027-07-20</t>
        </is>
      </c>
    </row>
    <row r="46621">
      <c r="A46621" s="1" t="n">
        <v>46620</v>
      </c>
      <c r="B46621">
        <f>TEXT(46620, "[$-0E0000]yyyy-mm-dd")</f>
        <v/>
      </c>
      <c r="C46621" t="inlineStr">
        <is>
          <t>2027-07-21</t>
        </is>
      </c>
    </row>
    <row r="46622">
      <c r="A46622" s="1" t="n">
        <v>46621</v>
      </c>
      <c r="B46622">
        <f>TEXT(46621, "[$-0E0000]yyyy-mm-dd")</f>
        <v/>
      </c>
      <c r="C46622" t="inlineStr">
        <is>
          <t>2027-07-22</t>
        </is>
      </c>
    </row>
    <row r="46623">
      <c r="A46623" s="1" t="n">
        <v>46622</v>
      </c>
      <c r="B46623">
        <f>TEXT(46622, "[$-0E0000]yyyy-mm-dd")</f>
        <v/>
      </c>
      <c r="C46623" t="inlineStr">
        <is>
          <t>2027-07-23</t>
        </is>
      </c>
    </row>
    <row r="46624">
      <c r="A46624" s="1" t="n">
        <v>46623</v>
      </c>
      <c r="B46624">
        <f>TEXT(46623, "[$-0E0000]yyyy-mm-dd")</f>
        <v/>
      </c>
      <c r="C46624" t="inlineStr">
        <is>
          <t>2027-07-24</t>
        </is>
      </c>
    </row>
    <row r="46625">
      <c r="A46625" s="1" t="n">
        <v>46624</v>
      </c>
      <c r="B46625">
        <f>TEXT(46624, "[$-0E0000]yyyy-mm-dd")</f>
        <v/>
      </c>
      <c r="C46625" t="inlineStr">
        <is>
          <t>2027-07-25</t>
        </is>
      </c>
    </row>
    <row r="46626">
      <c r="A46626" s="1" t="n">
        <v>46625</v>
      </c>
      <c r="B46626">
        <f>TEXT(46625, "[$-0E0000]yyyy-mm-dd")</f>
        <v/>
      </c>
      <c r="C46626" t="inlineStr">
        <is>
          <t>2027-07-26</t>
        </is>
      </c>
    </row>
    <row r="46627">
      <c r="A46627" s="1" t="n">
        <v>46626</v>
      </c>
      <c r="B46627">
        <f>TEXT(46626, "[$-0E0000]yyyy-mm-dd")</f>
        <v/>
      </c>
      <c r="C46627" t="inlineStr">
        <is>
          <t>2027-07-27</t>
        </is>
      </c>
    </row>
    <row r="46628">
      <c r="A46628" s="1" t="n">
        <v>46627</v>
      </c>
      <c r="B46628">
        <f>TEXT(46627, "[$-0E0000]yyyy-mm-dd")</f>
        <v/>
      </c>
      <c r="C46628" t="inlineStr">
        <is>
          <t>2027-07-28</t>
        </is>
      </c>
    </row>
    <row r="46629">
      <c r="A46629" s="1" t="n">
        <v>46628</v>
      </c>
      <c r="B46629">
        <f>TEXT(46628, "[$-0E0000]yyyy-mm-dd")</f>
        <v/>
      </c>
      <c r="C46629" t="inlineStr">
        <is>
          <t>2027-07-29</t>
        </is>
      </c>
    </row>
    <row r="46630">
      <c r="A46630" s="1" t="n">
        <v>46629</v>
      </c>
      <c r="B46630">
        <f>TEXT(46629, "[$-0E0000]yyyy-mm-dd")</f>
        <v/>
      </c>
      <c r="C46630" t="inlineStr">
        <is>
          <t>2027-07-30</t>
        </is>
      </c>
    </row>
    <row r="46631">
      <c r="A46631" s="1" t="n">
        <v>46630</v>
      </c>
      <c r="B46631">
        <f>TEXT(46630, "[$-0E0000]yyyy-mm-dd")</f>
        <v/>
      </c>
      <c r="C46631" t="inlineStr">
        <is>
          <t>2027-08-01</t>
        </is>
      </c>
    </row>
    <row r="46632">
      <c r="A46632" s="1" t="n">
        <v>46631</v>
      </c>
      <c r="B46632">
        <f>TEXT(46631, "[$-0E0000]yyyy-mm-dd")</f>
        <v/>
      </c>
      <c r="C46632" t="inlineStr">
        <is>
          <t>2027-08-02</t>
        </is>
      </c>
    </row>
    <row r="46633">
      <c r="A46633" s="1" t="n">
        <v>46632</v>
      </c>
      <c r="B46633">
        <f>TEXT(46632, "[$-0E0000]yyyy-mm-dd")</f>
        <v/>
      </c>
      <c r="C46633" t="inlineStr">
        <is>
          <t>2027-08-03</t>
        </is>
      </c>
    </row>
    <row r="46634">
      <c r="A46634" s="1" t="n">
        <v>46633</v>
      </c>
      <c r="B46634">
        <f>TEXT(46633, "[$-0E0000]yyyy-mm-dd")</f>
        <v/>
      </c>
      <c r="C46634" t="inlineStr">
        <is>
          <t>2027-08-04</t>
        </is>
      </c>
    </row>
    <row r="46635">
      <c r="A46635" s="1" t="n">
        <v>46634</v>
      </c>
      <c r="B46635">
        <f>TEXT(46634, "[$-0E0000]yyyy-mm-dd")</f>
        <v/>
      </c>
      <c r="C46635" t="inlineStr">
        <is>
          <t>2027-08-05</t>
        </is>
      </c>
    </row>
    <row r="46636">
      <c r="A46636" s="1" t="n">
        <v>46635</v>
      </c>
      <c r="B46636">
        <f>TEXT(46635, "[$-0E0000]yyyy-mm-dd")</f>
        <v/>
      </c>
      <c r="C46636" t="inlineStr">
        <is>
          <t>2027-08-06</t>
        </is>
      </c>
    </row>
    <row r="46637">
      <c r="A46637" s="1" t="n">
        <v>46636</v>
      </c>
      <c r="B46637">
        <f>TEXT(46636, "[$-0E0000]yyyy-mm-dd")</f>
        <v/>
      </c>
      <c r="C46637" t="inlineStr">
        <is>
          <t>2027-08-07</t>
        </is>
      </c>
    </row>
    <row r="46638">
      <c r="A46638" s="1" t="n">
        <v>46637</v>
      </c>
      <c r="B46638">
        <f>TEXT(46637, "[$-0E0000]yyyy-mm-dd")</f>
        <v/>
      </c>
      <c r="C46638" t="inlineStr">
        <is>
          <t>2027-08-08</t>
        </is>
      </c>
    </row>
    <row r="46639">
      <c r="A46639" s="1" t="n">
        <v>46638</v>
      </c>
      <c r="B46639">
        <f>TEXT(46638, "[$-0E0000]yyyy-mm-dd")</f>
        <v/>
      </c>
      <c r="C46639" t="inlineStr">
        <is>
          <t>2027-08-09</t>
        </is>
      </c>
    </row>
    <row r="46640">
      <c r="A46640" s="1" t="n">
        <v>46639</v>
      </c>
      <c r="B46640">
        <f>TEXT(46639, "[$-0E0000]yyyy-mm-dd")</f>
        <v/>
      </c>
      <c r="C46640" t="inlineStr">
        <is>
          <t>2027-08-10</t>
        </is>
      </c>
    </row>
    <row r="46641">
      <c r="A46641" s="1" t="n">
        <v>46640</v>
      </c>
      <c r="B46641">
        <f>TEXT(46640, "[$-0E0000]yyyy-mm-dd")</f>
        <v/>
      </c>
      <c r="C46641" t="inlineStr">
        <is>
          <t>2027-08-11</t>
        </is>
      </c>
    </row>
    <row r="46642">
      <c r="A46642" s="1" t="n">
        <v>46641</v>
      </c>
      <c r="B46642">
        <f>TEXT(46641, "[$-0E0000]yyyy-mm-dd")</f>
        <v/>
      </c>
      <c r="C46642" t="inlineStr">
        <is>
          <t>2027-08-12</t>
        </is>
      </c>
    </row>
    <row r="46643">
      <c r="A46643" s="1" t="n">
        <v>46642</v>
      </c>
      <c r="B46643">
        <f>TEXT(46642, "[$-0E0000]yyyy-mm-dd")</f>
        <v/>
      </c>
      <c r="C46643" t="inlineStr">
        <is>
          <t>2027-08-13</t>
        </is>
      </c>
    </row>
    <row r="46644">
      <c r="A46644" s="1" t="n">
        <v>46643</v>
      </c>
      <c r="B46644">
        <f>TEXT(46643, "[$-0E0000]yyyy-mm-dd")</f>
        <v/>
      </c>
      <c r="C46644" t="inlineStr">
        <is>
          <t>2027-08-14</t>
        </is>
      </c>
    </row>
    <row r="46645">
      <c r="A46645" s="1" t="n">
        <v>46644</v>
      </c>
      <c r="B46645">
        <f>TEXT(46644, "[$-0E0000]yyyy-mm-dd")</f>
        <v/>
      </c>
      <c r="C46645" t="inlineStr">
        <is>
          <t>2027-08-15</t>
        </is>
      </c>
    </row>
    <row r="46646">
      <c r="A46646" s="1" t="n">
        <v>46645</v>
      </c>
      <c r="B46646">
        <f>TEXT(46645, "[$-0E0000]yyyy-mm-dd")</f>
        <v/>
      </c>
      <c r="C46646" t="inlineStr">
        <is>
          <t>2027-08-16</t>
        </is>
      </c>
    </row>
    <row r="46647">
      <c r="A46647" s="1" t="n">
        <v>46646</v>
      </c>
      <c r="B46647">
        <f>TEXT(46646, "[$-0E0000]yyyy-mm-dd")</f>
        <v/>
      </c>
      <c r="C46647" t="inlineStr">
        <is>
          <t>2027-08-17</t>
        </is>
      </c>
    </row>
    <row r="46648">
      <c r="A46648" s="1" t="n">
        <v>46647</v>
      </c>
      <c r="B46648">
        <f>TEXT(46647, "[$-0E0000]yyyy-mm-dd")</f>
        <v/>
      </c>
      <c r="C46648" t="inlineStr">
        <is>
          <t>2027-08-18</t>
        </is>
      </c>
    </row>
    <row r="46649">
      <c r="A46649" s="1" t="n">
        <v>46648</v>
      </c>
      <c r="B46649">
        <f>TEXT(46648, "[$-0E0000]yyyy-mm-dd")</f>
        <v/>
      </c>
      <c r="C46649" t="inlineStr">
        <is>
          <t>2027-08-19</t>
        </is>
      </c>
    </row>
    <row r="46650">
      <c r="A46650" s="1" t="n">
        <v>46649</v>
      </c>
      <c r="B46650">
        <f>TEXT(46649, "[$-0E0000]yyyy-mm-dd")</f>
        <v/>
      </c>
      <c r="C46650" t="inlineStr">
        <is>
          <t>2027-08-20</t>
        </is>
      </c>
    </row>
    <row r="46651">
      <c r="A46651" s="1" t="n">
        <v>46650</v>
      </c>
      <c r="B46651">
        <f>TEXT(46650, "[$-0E0000]yyyy-mm-dd")</f>
        <v/>
      </c>
      <c r="C46651" t="inlineStr">
        <is>
          <t>2027-08-21</t>
        </is>
      </c>
    </row>
    <row r="46652">
      <c r="A46652" s="1" t="n">
        <v>46651</v>
      </c>
      <c r="B46652">
        <f>TEXT(46651, "[$-0E0000]yyyy-mm-dd")</f>
        <v/>
      </c>
      <c r="C46652" t="inlineStr">
        <is>
          <t>2027-08-22</t>
        </is>
      </c>
    </row>
    <row r="46653">
      <c r="A46653" s="1" t="n">
        <v>46652</v>
      </c>
      <c r="B46653">
        <f>TEXT(46652, "[$-0E0000]yyyy-mm-dd")</f>
        <v/>
      </c>
      <c r="C46653" t="inlineStr">
        <is>
          <t>2027-08-23</t>
        </is>
      </c>
    </row>
    <row r="46654">
      <c r="A46654" s="1" t="n">
        <v>46653</v>
      </c>
      <c r="B46654">
        <f>TEXT(46653, "[$-0E0000]yyyy-mm-dd")</f>
        <v/>
      </c>
      <c r="C46654" t="inlineStr">
        <is>
          <t>2027-08-24</t>
        </is>
      </c>
    </row>
    <row r="46655">
      <c r="A46655" s="1" t="n">
        <v>46654</v>
      </c>
      <c r="B46655">
        <f>TEXT(46654, "[$-0E0000]yyyy-mm-dd")</f>
        <v/>
      </c>
      <c r="C46655" t="inlineStr">
        <is>
          <t>2027-08-25</t>
        </is>
      </c>
    </row>
    <row r="46656">
      <c r="A46656" s="1" t="n">
        <v>46655</v>
      </c>
      <c r="B46656">
        <f>TEXT(46655, "[$-0E0000]yyyy-mm-dd")</f>
        <v/>
      </c>
      <c r="C46656" t="inlineStr">
        <is>
          <t>2027-08-26</t>
        </is>
      </c>
    </row>
    <row r="46657">
      <c r="A46657" s="1" t="n">
        <v>46656</v>
      </c>
      <c r="B46657">
        <f>TEXT(46656, "[$-0E0000]yyyy-mm-dd")</f>
        <v/>
      </c>
      <c r="C46657" t="inlineStr">
        <is>
          <t>2027-08-27</t>
        </is>
      </c>
    </row>
    <row r="46658">
      <c r="A46658" s="1" t="n">
        <v>46657</v>
      </c>
      <c r="B46658">
        <f>TEXT(46657, "[$-0E0000]yyyy-mm-dd")</f>
        <v/>
      </c>
      <c r="C46658" t="inlineStr">
        <is>
          <t>2027-08-28</t>
        </is>
      </c>
    </row>
    <row r="46659">
      <c r="A46659" s="1" t="n">
        <v>46658</v>
      </c>
      <c r="B46659">
        <f>TEXT(46658, "[$-0E0000]yyyy-mm-dd")</f>
        <v/>
      </c>
      <c r="C46659" t="inlineStr">
        <is>
          <t>2027-08-29</t>
        </is>
      </c>
    </row>
    <row r="46660">
      <c r="A46660" s="1" t="n">
        <v>46659</v>
      </c>
      <c r="B46660">
        <f>TEXT(46659, "[$-0E0000]yyyy-mm-dd")</f>
        <v/>
      </c>
      <c r="C46660" t="inlineStr">
        <is>
          <t>2027-09-01</t>
        </is>
      </c>
    </row>
    <row r="46661">
      <c r="A46661" s="1" t="n">
        <v>46660</v>
      </c>
      <c r="B46661">
        <f>TEXT(46660, "[$-0E0000]yyyy-mm-dd")</f>
        <v/>
      </c>
      <c r="C46661" t="inlineStr">
        <is>
          <t>2027-09-02</t>
        </is>
      </c>
    </row>
    <row r="46662">
      <c r="A46662" s="1" t="n">
        <v>46661</v>
      </c>
      <c r="B46662">
        <f>TEXT(46661, "[$-0E0000]yyyy-mm-dd")</f>
        <v/>
      </c>
      <c r="C46662" t="inlineStr">
        <is>
          <t>2027-09-03</t>
        </is>
      </c>
    </row>
    <row r="46663">
      <c r="A46663" s="1" t="n">
        <v>46662</v>
      </c>
      <c r="B46663">
        <f>TEXT(46662, "[$-0E0000]yyyy-mm-dd")</f>
        <v/>
      </c>
      <c r="C46663" t="inlineStr">
        <is>
          <t>2027-09-04</t>
        </is>
      </c>
    </row>
    <row r="46664">
      <c r="A46664" s="1" t="n">
        <v>46663</v>
      </c>
      <c r="B46664">
        <f>TEXT(46663, "[$-0E0000]yyyy-mm-dd")</f>
        <v/>
      </c>
      <c r="C46664" t="inlineStr">
        <is>
          <t>2027-09-05</t>
        </is>
      </c>
    </row>
    <row r="46665">
      <c r="A46665" s="1" t="n">
        <v>46664</v>
      </c>
      <c r="B46665">
        <f>TEXT(46664, "[$-0E0000]yyyy-mm-dd")</f>
        <v/>
      </c>
      <c r="C46665" t="inlineStr">
        <is>
          <t>2027-09-06</t>
        </is>
      </c>
    </row>
    <row r="46666">
      <c r="A46666" s="1" t="n">
        <v>46665</v>
      </c>
      <c r="B46666">
        <f>TEXT(46665, "[$-0E0000]yyyy-mm-dd")</f>
        <v/>
      </c>
      <c r="C46666" t="inlineStr">
        <is>
          <t>2027-09-07</t>
        </is>
      </c>
    </row>
    <row r="46667">
      <c r="A46667" s="1" t="n">
        <v>46666</v>
      </c>
      <c r="B46667">
        <f>TEXT(46666, "[$-0E0000]yyyy-mm-dd")</f>
        <v/>
      </c>
      <c r="C46667" t="inlineStr">
        <is>
          <t>2027-09-08</t>
        </is>
      </c>
    </row>
    <row r="46668">
      <c r="A46668" s="1" t="n">
        <v>46667</v>
      </c>
      <c r="B46668">
        <f>TEXT(46667, "[$-0E0000]yyyy-mm-dd")</f>
        <v/>
      </c>
      <c r="C46668" t="inlineStr">
        <is>
          <t>2027-09-09</t>
        </is>
      </c>
    </row>
    <row r="46669">
      <c r="A46669" s="1" t="n">
        <v>46668</v>
      </c>
      <c r="B46669">
        <f>TEXT(46668, "[$-0E0000]yyyy-mm-dd")</f>
        <v/>
      </c>
      <c r="C46669" t="inlineStr">
        <is>
          <t>2027-09-10</t>
        </is>
      </c>
    </row>
    <row r="46670">
      <c r="A46670" s="1" t="n">
        <v>46669</v>
      </c>
      <c r="B46670">
        <f>TEXT(46669, "[$-0E0000]yyyy-mm-dd")</f>
        <v/>
      </c>
      <c r="C46670" t="inlineStr">
        <is>
          <t>2027-09-11</t>
        </is>
      </c>
    </row>
    <row r="46671">
      <c r="A46671" s="1" t="n">
        <v>46670</v>
      </c>
      <c r="B46671">
        <f>TEXT(46670, "[$-0E0000]yyyy-mm-dd")</f>
        <v/>
      </c>
      <c r="C46671" t="inlineStr">
        <is>
          <t>2027-09-12</t>
        </is>
      </c>
    </row>
    <row r="46672">
      <c r="A46672" s="1" t="n">
        <v>46671</v>
      </c>
      <c r="B46672">
        <f>TEXT(46671, "[$-0E0000]yyyy-mm-dd")</f>
        <v/>
      </c>
      <c r="C46672" t="inlineStr">
        <is>
          <t>2027-09-13</t>
        </is>
      </c>
    </row>
    <row r="46673">
      <c r="A46673" s="1" t="n">
        <v>46672</v>
      </c>
      <c r="B46673">
        <f>TEXT(46672, "[$-0E0000]yyyy-mm-dd")</f>
        <v/>
      </c>
      <c r="C46673" t="inlineStr">
        <is>
          <t>2027-09-14</t>
        </is>
      </c>
    </row>
    <row r="46674">
      <c r="A46674" s="1" t="n">
        <v>46673</v>
      </c>
      <c r="B46674">
        <f>TEXT(46673, "[$-0E0000]yyyy-mm-dd")</f>
        <v/>
      </c>
      <c r="C46674" t="inlineStr">
        <is>
          <t>2027-09-15</t>
        </is>
      </c>
    </row>
    <row r="46675">
      <c r="A46675" s="1" t="n">
        <v>46674</v>
      </c>
      <c r="B46675">
        <f>TEXT(46674, "[$-0E0000]yyyy-mm-dd")</f>
        <v/>
      </c>
      <c r="C46675" t="inlineStr">
        <is>
          <t>2027-09-16</t>
        </is>
      </c>
    </row>
    <row r="46676">
      <c r="A46676" s="1" t="n">
        <v>46675</v>
      </c>
      <c r="B46676">
        <f>TEXT(46675, "[$-0E0000]yyyy-mm-dd")</f>
        <v/>
      </c>
      <c r="C46676" t="inlineStr">
        <is>
          <t>2027-09-17</t>
        </is>
      </c>
    </row>
    <row r="46677">
      <c r="A46677" s="1" t="n">
        <v>46676</v>
      </c>
      <c r="B46677">
        <f>TEXT(46676, "[$-0E0000]yyyy-mm-dd")</f>
        <v/>
      </c>
      <c r="C46677" t="inlineStr">
        <is>
          <t>2027-09-18</t>
        </is>
      </c>
    </row>
    <row r="46678">
      <c r="A46678" s="1" t="n">
        <v>46677</v>
      </c>
      <c r="B46678">
        <f>TEXT(46677, "[$-0E0000]yyyy-mm-dd")</f>
        <v/>
      </c>
      <c r="C46678" t="inlineStr">
        <is>
          <t>2027-09-19</t>
        </is>
      </c>
    </row>
    <row r="46679">
      <c r="A46679" s="1" t="n">
        <v>46678</v>
      </c>
      <c r="B46679">
        <f>TEXT(46678, "[$-0E0000]yyyy-mm-dd")</f>
        <v/>
      </c>
      <c r="C46679" t="inlineStr">
        <is>
          <t>2027-09-20</t>
        </is>
      </c>
    </row>
    <row r="46680">
      <c r="A46680" s="1" t="n">
        <v>46679</v>
      </c>
      <c r="B46680">
        <f>TEXT(46679, "[$-0E0000]yyyy-mm-dd")</f>
        <v/>
      </c>
      <c r="C46680" t="inlineStr">
        <is>
          <t>2027-09-21</t>
        </is>
      </c>
    </row>
    <row r="46681">
      <c r="A46681" s="1" t="n">
        <v>46680</v>
      </c>
      <c r="B46681">
        <f>TEXT(46680, "[$-0E0000]yyyy-mm-dd")</f>
        <v/>
      </c>
      <c r="C46681" t="inlineStr">
        <is>
          <t>2027-09-22</t>
        </is>
      </c>
    </row>
    <row r="46682">
      <c r="A46682" s="1" t="n">
        <v>46681</v>
      </c>
      <c r="B46682">
        <f>TEXT(46681, "[$-0E0000]yyyy-mm-dd")</f>
        <v/>
      </c>
      <c r="C46682" t="inlineStr">
        <is>
          <t>2027-09-23</t>
        </is>
      </c>
    </row>
    <row r="46683">
      <c r="A46683" s="1" t="n">
        <v>46682</v>
      </c>
      <c r="B46683">
        <f>TEXT(46682, "[$-0E0000]yyyy-mm-dd")</f>
        <v/>
      </c>
      <c r="C46683" t="inlineStr">
        <is>
          <t>2027-09-24</t>
        </is>
      </c>
    </row>
    <row r="46684">
      <c r="A46684" s="1" t="n">
        <v>46683</v>
      </c>
      <c r="B46684">
        <f>TEXT(46683, "[$-0E0000]yyyy-mm-dd")</f>
        <v/>
      </c>
      <c r="C46684" t="inlineStr">
        <is>
          <t>2027-09-25</t>
        </is>
      </c>
    </row>
    <row r="46685">
      <c r="A46685" s="1" t="n">
        <v>46684</v>
      </c>
      <c r="B46685">
        <f>TEXT(46684, "[$-0E0000]yyyy-mm-dd")</f>
        <v/>
      </c>
      <c r="C46685" t="inlineStr">
        <is>
          <t>2027-09-26</t>
        </is>
      </c>
    </row>
    <row r="46686">
      <c r="A46686" s="1" t="n">
        <v>46685</v>
      </c>
      <c r="B46686">
        <f>TEXT(46685, "[$-0E0000]yyyy-mm-dd")</f>
        <v/>
      </c>
      <c r="C46686" t="inlineStr">
        <is>
          <t>2027-09-27</t>
        </is>
      </c>
    </row>
    <row r="46687">
      <c r="A46687" s="1" t="n">
        <v>46686</v>
      </c>
      <c r="B46687">
        <f>TEXT(46686, "[$-0E0000]yyyy-mm-dd")</f>
        <v/>
      </c>
      <c r="C46687" t="inlineStr">
        <is>
          <t>2027-09-28</t>
        </is>
      </c>
    </row>
    <row r="46688">
      <c r="A46688" s="1" t="n">
        <v>46687</v>
      </c>
      <c r="B46688">
        <f>TEXT(46687, "[$-0E0000]yyyy-mm-dd")</f>
        <v/>
      </c>
      <c r="C46688" t="inlineStr">
        <is>
          <t>2027-09-29</t>
        </is>
      </c>
    </row>
    <row r="46689">
      <c r="A46689" s="1" t="n">
        <v>46688</v>
      </c>
      <c r="B46689">
        <f>TEXT(46688, "[$-0E0000]yyyy-mm-dd")</f>
        <v/>
      </c>
      <c r="C46689" t="inlineStr">
        <is>
          <t>2027-10-01</t>
        </is>
      </c>
    </row>
    <row r="46690">
      <c r="A46690" s="1" t="n">
        <v>46689</v>
      </c>
      <c r="B46690">
        <f>TEXT(46689, "[$-0E0000]yyyy-mm-dd")</f>
        <v/>
      </c>
      <c r="C46690" t="inlineStr">
        <is>
          <t>2027-10-02</t>
        </is>
      </c>
    </row>
    <row r="46691">
      <c r="A46691" s="1" t="n">
        <v>46690</v>
      </c>
      <c r="B46691">
        <f>TEXT(46690, "[$-0E0000]yyyy-mm-dd")</f>
        <v/>
      </c>
      <c r="C46691" t="inlineStr">
        <is>
          <t>2027-10-03</t>
        </is>
      </c>
    </row>
    <row r="46692">
      <c r="A46692" s="1" t="n">
        <v>46691</v>
      </c>
      <c r="B46692">
        <f>TEXT(46691, "[$-0E0000]yyyy-mm-dd")</f>
        <v/>
      </c>
      <c r="C46692" t="inlineStr">
        <is>
          <t>2027-10-04</t>
        </is>
      </c>
    </row>
    <row r="46693">
      <c r="A46693" s="1" t="n">
        <v>46692</v>
      </c>
      <c r="B46693">
        <f>TEXT(46692, "[$-0E0000]yyyy-mm-dd")</f>
        <v/>
      </c>
      <c r="C46693" t="inlineStr">
        <is>
          <t>2027-10-05</t>
        </is>
      </c>
    </row>
    <row r="46694">
      <c r="A46694" s="1" t="n">
        <v>46693</v>
      </c>
      <c r="B46694">
        <f>TEXT(46693, "[$-0E0000]yyyy-mm-dd")</f>
        <v/>
      </c>
      <c r="C46694" t="inlineStr">
        <is>
          <t>2027-10-06</t>
        </is>
      </c>
    </row>
    <row r="46695">
      <c r="A46695" s="1" t="n">
        <v>46694</v>
      </c>
      <c r="B46695">
        <f>TEXT(46694, "[$-0E0000]yyyy-mm-dd")</f>
        <v/>
      </c>
      <c r="C46695" t="inlineStr">
        <is>
          <t>2027-10-07</t>
        </is>
      </c>
    </row>
    <row r="46696">
      <c r="A46696" s="1" t="n">
        <v>46695</v>
      </c>
      <c r="B46696">
        <f>TEXT(46695, "[$-0E0000]yyyy-mm-dd")</f>
        <v/>
      </c>
      <c r="C46696" t="inlineStr">
        <is>
          <t>2027-10-08</t>
        </is>
      </c>
    </row>
    <row r="46697">
      <c r="A46697" s="1" t="n">
        <v>46696</v>
      </c>
      <c r="B46697">
        <f>TEXT(46696, "[$-0E0000]yyyy-mm-dd")</f>
        <v/>
      </c>
      <c r="C46697" t="inlineStr">
        <is>
          <t>2027-10-09</t>
        </is>
      </c>
    </row>
    <row r="46698">
      <c r="A46698" s="1" t="n">
        <v>46697</v>
      </c>
      <c r="B46698">
        <f>TEXT(46697, "[$-0E0000]yyyy-mm-dd")</f>
        <v/>
      </c>
      <c r="C46698" t="inlineStr">
        <is>
          <t>2027-10-10</t>
        </is>
      </c>
    </row>
    <row r="46699">
      <c r="A46699" s="1" t="n">
        <v>46698</v>
      </c>
      <c r="B46699">
        <f>TEXT(46698, "[$-0E0000]yyyy-mm-dd")</f>
        <v/>
      </c>
      <c r="C46699" t="inlineStr">
        <is>
          <t>2027-10-11</t>
        </is>
      </c>
    </row>
    <row r="46700">
      <c r="A46700" s="1" t="n">
        <v>46699</v>
      </c>
      <c r="B46700">
        <f>TEXT(46699, "[$-0E0000]yyyy-mm-dd")</f>
        <v/>
      </c>
      <c r="C46700" t="inlineStr">
        <is>
          <t>2027-10-12</t>
        </is>
      </c>
    </row>
    <row r="46701">
      <c r="A46701" s="1" t="n">
        <v>46700</v>
      </c>
      <c r="B46701">
        <f>TEXT(46700, "[$-0E0000]yyyy-mm-dd")</f>
        <v/>
      </c>
      <c r="C46701" t="inlineStr">
        <is>
          <t>2027-10-13</t>
        </is>
      </c>
    </row>
    <row r="46702">
      <c r="A46702" s="1" t="n">
        <v>46701</v>
      </c>
      <c r="B46702">
        <f>TEXT(46701, "[$-0E0000]yyyy-mm-dd")</f>
        <v/>
      </c>
      <c r="C46702" t="inlineStr">
        <is>
          <t>2027-10-14</t>
        </is>
      </c>
    </row>
    <row r="46703">
      <c r="A46703" s="1" t="n">
        <v>46702</v>
      </c>
      <c r="B46703">
        <f>TEXT(46702, "[$-0E0000]yyyy-mm-dd")</f>
        <v/>
      </c>
      <c r="C46703" t="inlineStr">
        <is>
          <t>2027-10-15</t>
        </is>
      </c>
    </row>
    <row r="46704">
      <c r="A46704" s="1" t="n">
        <v>46703</v>
      </c>
      <c r="B46704">
        <f>TEXT(46703, "[$-0E0000]yyyy-mm-dd")</f>
        <v/>
      </c>
      <c r="C46704" t="inlineStr">
        <is>
          <t>2027-10-16</t>
        </is>
      </c>
    </row>
    <row r="46705">
      <c r="A46705" s="1" t="n">
        <v>46704</v>
      </c>
      <c r="B46705">
        <f>TEXT(46704, "[$-0E0000]yyyy-mm-dd")</f>
        <v/>
      </c>
      <c r="C46705" t="inlineStr">
        <is>
          <t>2027-10-17</t>
        </is>
      </c>
    </row>
    <row r="46706">
      <c r="A46706" s="1" t="n">
        <v>46705</v>
      </c>
      <c r="B46706">
        <f>TEXT(46705, "[$-0E0000]yyyy-mm-dd")</f>
        <v/>
      </c>
      <c r="C46706" t="inlineStr">
        <is>
          <t>2027-10-18</t>
        </is>
      </c>
    </row>
    <row r="46707">
      <c r="A46707" s="1" t="n">
        <v>46706</v>
      </c>
      <c r="B46707">
        <f>TEXT(46706, "[$-0E0000]yyyy-mm-dd")</f>
        <v/>
      </c>
      <c r="C46707" t="inlineStr">
        <is>
          <t>2027-10-19</t>
        </is>
      </c>
    </row>
    <row r="46708">
      <c r="A46708" s="1" t="n">
        <v>46707</v>
      </c>
      <c r="B46708">
        <f>TEXT(46707, "[$-0E0000]yyyy-mm-dd")</f>
        <v/>
      </c>
      <c r="C46708" t="inlineStr">
        <is>
          <t>2027-10-20</t>
        </is>
      </c>
    </row>
    <row r="46709">
      <c r="A46709" s="1" t="n">
        <v>46708</v>
      </c>
      <c r="B46709">
        <f>TEXT(46708, "[$-0E0000]yyyy-mm-dd")</f>
        <v/>
      </c>
      <c r="C46709" t="inlineStr">
        <is>
          <t>2027-10-21</t>
        </is>
      </c>
    </row>
    <row r="46710">
      <c r="A46710" s="1" t="n">
        <v>46709</v>
      </c>
      <c r="B46710">
        <f>TEXT(46709, "[$-0E0000]yyyy-mm-dd")</f>
        <v/>
      </c>
      <c r="C46710" t="inlineStr">
        <is>
          <t>2027-10-22</t>
        </is>
      </c>
    </row>
    <row r="46711">
      <c r="A46711" s="1" t="n">
        <v>46710</v>
      </c>
      <c r="B46711">
        <f>TEXT(46710, "[$-0E0000]yyyy-mm-dd")</f>
        <v/>
      </c>
      <c r="C46711" t="inlineStr">
        <is>
          <t>2027-10-23</t>
        </is>
      </c>
    </row>
    <row r="46712">
      <c r="A46712" s="1" t="n">
        <v>46711</v>
      </c>
      <c r="B46712">
        <f>TEXT(46711, "[$-0E0000]yyyy-mm-dd")</f>
        <v/>
      </c>
      <c r="C46712" t="inlineStr">
        <is>
          <t>2027-10-24</t>
        </is>
      </c>
    </row>
    <row r="46713">
      <c r="A46713" s="1" t="n">
        <v>46712</v>
      </c>
      <c r="B46713">
        <f>TEXT(46712, "[$-0E0000]yyyy-mm-dd")</f>
        <v/>
      </c>
      <c r="C46713" t="inlineStr">
        <is>
          <t>2027-10-25</t>
        </is>
      </c>
    </row>
    <row r="46714">
      <c r="A46714" s="1" t="n">
        <v>46713</v>
      </c>
      <c r="B46714">
        <f>TEXT(46713, "[$-0E0000]yyyy-mm-dd")</f>
        <v/>
      </c>
      <c r="C46714" t="inlineStr">
        <is>
          <t>2027-10-26</t>
        </is>
      </c>
    </row>
    <row r="46715">
      <c r="A46715" s="1" t="n">
        <v>46714</v>
      </c>
      <c r="B46715">
        <f>TEXT(46714, "[$-0E0000]yyyy-mm-dd")</f>
        <v/>
      </c>
      <c r="C46715" t="inlineStr">
        <is>
          <t>2027-10-27</t>
        </is>
      </c>
    </row>
    <row r="46716">
      <c r="A46716" s="1" t="n">
        <v>46715</v>
      </c>
      <c r="B46716">
        <f>TEXT(46715, "[$-0E0000]yyyy-mm-dd")</f>
        <v/>
      </c>
      <c r="C46716" t="inlineStr">
        <is>
          <t>2027-10-28</t>
        </is>
      </c>
    </row>
    <row r="46717">
      <c r="A46717" s="1" t="n">
        <v>46716</v>
      </c>
      <c r="B46717">
        <f>TEXT(46716, "[$-0E0000]yyyy-mm-dd")</f>
        <v/>
      </c>
      <c r="C46717" t="inlineStr">
        <is>
          <t>2027-10-29</t>
        </is>
      </c>
    </row>
    <row r="46718">
      <c r="A46718" s="1" t="n">
        <v>46717</v>
      </c>
      <c r="B46718">
        <f>TEXT(46717, "[$-0E0000]yyyy-mm-dd")</f>
        <v/>
      </c>
      <c r="C46718" t="inlineStr">
        <is>
          <t>2027-10-30</t>
        </is>
      </c>
    </row>
    <row r="46719">
      <c r="A46719" s="1" t="n">
        <v>46718</v>
      </c>
      <c r="B46719">
        <f>TEXT(46718, "[$-0E0000]yyyy-mm-dd")</f>
        <v/>
      </c>
      <c r="C46719" t="inlineStr">
        <is>
          <t>2027-11-01</t>
        </is>
      </c>
    </row>
    <row r="46720">
      <c r="A46720" s="1" t="n">
        <v>46719</v>
      </c>
      <c r="B46720">
        <f>TEXT(46719, "[$-0E0000]yyyy-mm-dd")</f>
        <v/>
      </c>
      <c r="C46720" t="inlineStr">
        <is>
          <t>2027-11-02</t>
        </is>
      </c>
    </row>
    <row r="46721">
      <c r="A46721" s="1" t="n">
        <v>46720</v>
      </c>
      <c r="B46721">
        <f>TEXT(46720, "[$-0E0000]yyyy-mm-dd")</f>
        <v/>
      </c>
      <c r="C46721" t="inlineStr">
        <is>
          <t>2027-11-03</t>
        </is>
      </c>
    </row>
    <row r="46722">
      <c r="A46722" s="1" t="n">
        <v>46721</v>
      </c>
      <c r="B46722">
        <f>TEXT(46721, "[$-0E0000]yyyy-mm-dd")</f>
        <v/>
      </c>
      <c r="C46722" t="inlineStr">
        <is>
          <t>2027-11-04</t>
        </is>
      </c>
    </row>
    <row r="46723">
      <c r="A46723" s="1" t="n">
        <v>46722</v>
      </c>
      <c r="B46723">
        <f>TEXT(46722, "[$-0E0000]yyyy-mm-dd")</f>
        <v/>
      </c>
      <c r="C46723" t="inlineStr">
        <is>
          <t>2027-11-05</t>
        </is>
      </c>
    </row>
    <row r="46724">
      <c r="A46724" s="1" t="n">
        <v>46723</v>
      </c>
      <c r="B46724">
        <f>TEXT(46723, "[$-0E0000]yyyy-mm-dd")</f>
        <v/>
      </c>
      <c r="C46724" t="inlineStr">
        <is>
          <t>2027-11-06</t>
        </is>
      </c>
    </row>
    <row r="46725">
      <c r="A46725" s="1" t="n">
        <v>46724</v>
      </c>
      <c r="B46725">
        <f>TEXT(46724, "[$-0E0000]yyyy-mm-dd")</f>
        <v/>
      </c>
      <c r="C46725" t="inlineStr">
        <is>
          <t>2027-11-07</t>
        </is>
      </c>
    </row>
    <row r="46726">
      <c r="A46726" s="1" t="n">
        <v>46725</v>
      </c>
      <c r="B46726">
        <f>TEXT(46725, "[$-0E0000]yyyy-mm-dd")</f>
        <v/>
      </c>
      <c r="C46726" t="inlineStr">
        <is>
          <t>2027-11-08</t>
        </is>
      </c>
    </row>
    <row r="46727">
      <c r="A46727" s="1" t="n">
        <v>46726</v>
      </c>
      <c r="B46727">
        <f>TEXT(46726, "[$-0E0000]yyyy-mm-dd")</f>
        <v/>
      </c>
      <c r="C46727" t="inlineStr">
        <is>
          <t>2027-11-09</t>
        </is>
      </c>
    </row>
    <row r="46728">
      <c r="A46728" s="1" t="n">
        <v>46727</v>
      </c>
      <c r="B46728">
        <f>TEXT(46727, "[$-0E0000]yyyy-mm-dd")</f>
        <v/>
      </c>
      <c r="C46728" t="inlineStr">
        <is>
          <t>2027-11-10</t>
        </is>
      </c>
    </row>
    <row r="46729">
      <c r="A46729" s="1" t="n">
        <v>46728</v>
      </c>
      <c r="B46729">
        <f>TEXT(46728, "[$-0E0000]yyyy-mm-dd")</f>
        <v/>
      </c>
      <c r="C46729" t="inlineStr">
        <is>
          <t>2027-11-11</t>
        </is>
      </c>
    </row>
    <row r="46730">
      <c r="A46730" s="1" t="n">
        <v>46729</v>
      </c>
      <c r="B46730">
        <f>TEXT(46729, "[$-0E0000]yyyy-mm-dd")</f>
        <v/>
      </c>
      <c r="C46730" t="inlineStr">
        <is>
          <t>2027-11-12</t>
        </is>
      </c>
    </row>
    <row r="46731">
      <c r="A46731" s="1" t="n">
        <v>46730</v>
      </c>
      <c r="B46731">
        <f>TEXT(46730, "[$-0E0000]yyyy-mm-dd")</f>
        <v/>
      </c>
      <c r="C46731" t="inlineStr">
        <is>
          <t>2027-11-13</t>
        </is>
      </c>
    </row>
    <row r="46732">
      <c r="A46732" s="1" t="n">
        <v>46731</v>
      </c>
      <c r="B46732">
        <f>TEXT(46731, "[$-0E0000]yyyy-mm-dd")</f>
        <v/>
      </c>
      <c r="C46732" t="inlineStr">
        <is>
          <t>2027-11-14</t>
        </is>
      </c>
    </row>
    <row r="46733">
      <c r="A46733" s="1" t="n">
        <v>46732</v>
      </c>
      <c r="B46733">
        <f>TEXT(46732, "[$-0E0000]yyyy-mm-dd")</f>
        <v/>
      </c>
      <c r="C46733" t="inlineStr">
        <is>
          <t>2027-11-15</t>
        </is>
      </c>
    </row>
    <row r="46734">
      <c r="A46734" s="1" t="n">
        <v>46733</v>
      </c>
      <c r="B46734">
        <f>TEXT(46733, "[$-0E0000]yyyy-mm-dd")</f>
        <v/>
      </c>
      <c r="C46734" t="inlineStr">
        <is>
          <t>2027-11-16</t>
        </is>
      </c>
    </row>
    <row r="46735">
      <c r="A46735" s="1" t="n">
        <v>46734</v>
      </c>
      <c r="B46735">
        <f>TEXT(46734, "[$-0E0000]yyyy-mm-dd")</f>
        <v/>
      </c>
      <c r="C46735" t="inlineStr">
        <is>
          <t>2027-11-17</t>
        </is>
      </c>
    </row>
    <row r="46736">
      <c r="A46736" s="1" t="n">
        <v>46735</v>
      </c>
      <c r="B46736">
        <f>TEXT(46735, "[$-0E0000]yyyy-mm-dd")</f>
        <v/>
      </c>
      <c r="C46736" t="inlineStr">
        <is>
          <t>2027-11-18</t>
        </is>
      </c>
    </row>
    <row r="46737">
      <c r="A46737" s="1" t="n">
        <v>46736</v>
      </c>
      <c r="B46737">
        <f>TEXT(46736, "[$-0E0000]yyyy-mm-dd")</f>
        <v/>
      </c>
      <c r="C46737" t="inlineStr">
        <is>
          <t>2027-11-19</t>
        </is>
      </c>
    </row>
    <row r="46738">
      <c r="A46738" s="1" t="n">
        <v>46737</v>
      </c>
      <c r="B46738">
        <f>TEXT(46737, "[$-0E0000]yyyy-mm-dd")</f>
        <v/>
      </c>
      <c r="C46738" t="inlineStr">
        <is>
          <t>2027-11-20</t>
        </is>
      </c>
    </row>
    <row r="46739">
      <c r="A46739" s="1" t="n">
        <v>46738</v>
      </c>
      <c r="B46739">
        <f>TEXT(46738, "[$-0E0000]yyyy-mm-dd")</f>
        <v/>
      </c>
      <c r="C46739" t="inlineStr">
        <is>
          <t>2027-11-21</t>
        </is>
      </c>
    </row>
    <row r="46740">
      <c r="A46740" s="1" t="n">
        <v>46739</v>
      </c>
      <c r="B46740">
        <f>TEXT(46739, "[$-0E0000]yyyy-mm-dd")</f>
        <v/>
      </c>
      <c r="C46740" t="inlineStr">
        <is>
          <t>2027-11-22</t>
        </is>
      </c>
    </row>
    <row r="46741">
      <c r="A46741" s="1" t="n">
        <v>46740</v>
      </c>
      <c r="B46741">
        <f>TEXT(46740, "[$-0E0000]yyyy-mm-dd")</f>
        <v/>
      </c>
      <c r="C46741" t="inlineStr">
        <is>
          <t>2027-11-23</t>
        </is>
      </c>
    </row>
    <row r="46742">
      <c r="A46742" s="1" t="n">
        <v>46741</v>
      </c>
      <c r="B46742">
        <f>TEXT(46741, "[$-0E0000]yyyy-mm-dd")</f>
        <v/>
      </c>
      <c r="C46742" t="inlineStr">
        <is>
          <t>2027-11-24</t>
        </is>
      </c>
    </row>
    <row r="46743">
      <c r="A46743" s="1" t="n">
        <v>46742</v>
      </c>
      <c r="B46743">
        <f>TEXT(46742, "[$-0E0000]yyyy-mm-dd")</f>
        <v/>
      </c>
      <c r="C46743" t="inlineStr">
        <is>
          <t>2027-11-25</t>
        </is>
      </c>
    </row>
    <row r="46744">
      <c r="A46744" s="1" t="n">
        <v>46743</v>
      </c>
      <c r="B46744">
        <f>TEXT(46743, "[$-0E0000]yyyy-mm-dd")</f>
        <v/>
      </c>
      <c r="C46744" t="inlineStr">
        <is>
          <t>2027-11-26</t>
        </is>
      </c>
    </row>
    <row r="46745">
      <c r="A46745" s="1" t="n">
        <v>46744</v>
      </c>
      <c r="B46745">
        <f>TEXT(46744, "[$-0E0000]yyyy-mm-dd")</f>
        <v/>
      </c>
      <c r="C46745" t="inlineStr">
        <is>
          <t>2027-11-27</t>
        </is>
      </c>
    </row>
    <row r="46746">
      <c r="A46746" s="1" t="n">
        <v>46745</v>
      </c>
      <c r="B46746">
        <f>TEXT(46745, "[$-0E0000]yyyy-mm-dd")</f>
        <v/>
      </c>
      <c r="C46746" t="inlineStr">
        <is>
          <t>2027-11-28</t>
        </is>
      </c>
    </row>
    <row r="46747">
      <c r="A46747" s="1" t="n">
        <v>46746</v>
      </c>
      <c r="B46747">
        <f>TEXT(46746, "[$-0E0000]yyyy-mm-dd")</f>
        <v/>
      </c>
      <c r="C46747" t="inlineStr">
        <is>
          <t>2027-11-29</t>
        </is>
      </c>
    </row>
    <row r="46748">
      <c r="A46748" s="1" t="n">
        <v>46747</v>
      </c>
      <c r="B46748">
        <f>TEXT(46747, "[$-0E0000]yyyy-mm-dd")</f>
        <v/>
      </c>
      <c r="C46748" t="inlineStr">
        <is>
          <t>2027-11-30</t>
        </is>
      </c>
    </row>
    <row r="46749">
      <c r="A46749" s="1" t="n">
        <v>46748</v>
      </c>
      <c r="B46749">
        <f>TEXT(46748, "[$-0E0000]yyyy-mm-dd")</f>
        <v/>
      </c>
      <c r="C46749" t="inlineStr">
        <is>
          <t>2027-12-01</t>
        </is>
      </c>
    </row>
    <row r="46750">
      <c r="A46750" s="1" t="n">
        <v>46749</v>
      </c>
      <c r="B46750">
        <f>TEXT(46749, "[$-0E0000]yyyy-mm-dd")</f>
        <v/>
      </c>
      <c r="C46750" t="inlineStr">
        <is>
          <t>2027-12-02</t>
        </is>
      </c>
    </row>
    <row r="46751">
      <c r="A46751" s="1" t="n">
        <v>46750</v>
      </c>
      <c r="B46751">
        <f>TEXT(46750, "[$-0E0000]yyyy-mm-dd")</f>
        <v/>
      </c>
      <c r="C46751" t="inlineStr">
        <is>
          <t>2027-12-03</t>
        </is>
      </c>
    </row>
    <row r="46752">
      <c r="A46752" s="1" t="n">
        <v>46751</v>
      </c>
      <c r="B46752">
        <f>TEXT(46751, "[$-0E0000]yyyy-mm-dd")</f>
        <v/>
      </c>
      <c r="C46752" t="inlineStr">
        <is>
          <t>2027-12-04</t>
        </is>
      </c>
    </row>
    <row r="46753">
      <c r="A46753" s="1" t="n">
        <v>46752</v>
      </c>
      <c r="B46753">
        <f>TEXT(46752, "[$-0E0000]yyyy-mm-dd")</f>
        <v/>
      </c>
      <c r="C46753" t="inlineStr">
        <is>
          <t>2027-12-05</t>
        </is>
      </c>
    </row>
    <row r="46754">
      <c r="A46754" s="1" t="n">
        <v>46753</v>
      </c>
      <c r="B46754">
        <f>TEXT(46753, "[$-0E0000]yyyy-mm-dd")</f>
        <v/>
      </c>
      <c r="C46754" t="inlineStr">
        <is>
          <t>2027-12-06</t>
        </is>
      </c>
    </row>
    <row r="46755">
      <c r="A46755" s="1" t="n">
        <v>46754</v>
      </c>
      <c r="B46755">
        <f>TEXT(46754, "[$-0E0000]yyyy-mm-dd")</f>
        <v/>
      </c>
      <c r="C46755" t="inlineStr">
        <is>
          <t>2027-12-07</t>
        </is>
      </c>
    </row>
    <row r="46756">
      <c r="A46756" s="1" t="n">
        <v>46755</v>
      </c>
      <c r="B46756">
        <f>TEXT(46755, "[$-0E0000]yyyy-mm-dd")</f>
        <v/>
      </c>
      <c r="C46756" t="inlineStr">
        <is>
          <t>2027-12-08</t>
        </is>
      </c>
    </row>
    <row r="46757">
      <c r="A46757" s="1" t="n">
        <v>46756</v>
      </c>
      <c r="B46757">
        <f>TEXT(46756, "[$-0E0000]yyyy-mm-dd")</f>
        <v/>
      </c>
      <c r="C46757" t="inlineStr">
        <is>
          <t>2027-12-09</t>
        </is>
      </c>
    </row>
    <row r="46758">
      <c r="A46758" s="1" t="n">
        <v>46757</v>
      </c>
      <c r="B46758">
        <f>TEXT(46757, "[$-0E0000]yyyy-mm-dd")</f>
        <v/>
      </c>
      <c r="C46758" t="inlineStr">
        <is>
          <t>2027-12-10</t>
        </is>
      </c>
    </row>
    <row r="46759">
      <c r="A46759" s="1" t="n">
        <v>46758</v>
      </c>
      <c r="B46759">
        <f>TEXT(46758, "[$-0E0000]yyyy-mm-dd")</f>
        <v/>
      </c>
      <c r="C46759" t="inlineStr">
        <is>
          <t>2027-12-11</t>
        </is>
      </c>
    </row>
    <row r="46760">
      <c r="A46760" s="1" t="n">
        <v>46759</v>
      </c>
      <c r="B46760">
        <f>TEXT(46759, "[$-0E0000]yyyy-mm-dd")</f>
        <v/>
      </c>
      <c r="C46760" t="inlineStr">
        <is>
          <t>2027-12-12</t>
        </is>
      </c>
    </row>
    <row r="46761">
      <c r="A46761" s="1" t="n">
        <v>46760</v>
      </c>
      <c r="B46761">
        <f>TEXT(46760, "[$-0E0000]yyyy-mm-dd")</f>
        <v/>
      </c>
      <c r="C46761" t="inlineStr">
        <is>
          <t>2027-12-13</t>
        </is>
      </c>
    </row>
    <row r="46762">
      <c r="A46762" s="1" t="n">
        <v>46761</v>
      </c>
      <c r="B46762">
        <f>TEXT(46761, "[$-0E0000]yyyy-mm-dd")</f>
        <v/>
      </c>
      <c r="C46762" t="inlineStr">
        <is>
          <t>2027-12-14</t>
        </is>
      </c>
    </row>
    <row r="46763">
      <c r="A46763" s="1" t="n">
        <v>46762</v>
      </c>
      <c r="B46763">
        <f>TEXT(46762, "[$-0E0000]yyyy-mm-dd")</f>
        <v/>
      </c>
      <c r="C46763" t="inlineStr">
        <is>
          <t>2027-12-15</t>
        </is>
      </c>
    </row>
    <row r="46764">
      <c r="A46764" s="1" t="n">
        <v>46763</v>
      </c>
      <c r="B46764">
        <f>TEXT(46763, "[$-0E0000]yyyy-mm-dd")</f>
        <v/>
      </c>
      <c r="C46764" t="inlineStr">
        <is>
          <t>2027-12-16</t>
        </is>
      </c>
    </row>
    <row r="46765">
      <c r="A46765" s="1" t="n">
        <v>46764</v>
      </c>
      <c r="B46765">
        <f>TEXT(46764, "[$-0E0000]yyyy-mm-dd")</f>
        <v/>
      </c>
      <c r="C46765" t="inlineStr">
        <is>
          <t>2027-12-17</t>
        </is>
      </c>
    </row>
    <row r="46766">
      <c r="A46766" s="1" t="n">
        <v>46765</v>
      </c>
      <c r="B46766">
        <f>TEXT(46765, "[$-0E0000]yyyy-mm-dd")</f>
        <v/>
      </c>
      <c r="C46766" t="inlineStr">
        <is>
          <t>2027-12-18</t>
        </is>
      </c>
    </row>
    <row r="46767">
      <c r="A46767" s="1" t="n">
        <v>46766</v>
      </c>
      <c r="B46767">
        <f>TEXT(46766, "[$-0E0000]yyyy-mm-dd")</f>
        <v/>
      </c>
      <c r="C46767" t="inlineStr">
        <is>
          <t>2027-12-19</t>
        </is>
      </c>
    </row>
    <row r="46768">
      <c r="A46768" s="1" t="n">
        <v>46767</v>
      </c>
      <c r="B46768">
        <f>TEXT(46767, "[$-0E0000]yyyy-mm-dd")</f>
        <v/>
      </c>
      <c r="C46768" t="inlineStr">
        <is>
          <t>2027-12-20</t>
        </is>
      </c>
    </row>
    <row r="46769">
      <c r="A46769" s="1" t="n">
        <v>46768</v>
      </c>
      <c r="B46769">
        <f>TEXT(46768, "[$-0E0000]yyyy-mm-dd")</f>
        <v/>
      </c>
      <c r="C46769" t="inlineStr">
        <is>
          <t>2027-12-21</t>
        </is>
      </c>
    </row>
    <row r="46770">
      <c r="A46770" s="1" t="n">
        <v>46769</v>
      </c>
      <c r="B46770">
        <f>TEXT(46769, "[$-0E0000]yyyy-mm-dd")</f>
        <v/>
      </c>
      <c r="C46770" t="inlineStr">
        <is>
          <t>2027-12-22</t>
        </is>
      </c>
    </row>
    <row r="46771">
      <c r="A46771" s="1" t="n">
        <v>46770</v>
      </c>
      <c r="B46771">
        <f>TEXT(46770, "[$-0E0000]yyyy-mm-dd")</f>
        <v/>
      </c>
      <c r="C46771" t="inlineStr">
        <is>
          <t>2027-12-23</t>
        </is>
      </c>
    </row>
    <row r="46772">
      <c r="A46772" s="1" t="n">
        <v>46771</v>
      </c>
      <c r="B46772">
        <f>TEXT(46771, "[$-0E0000]yyyy-mm-dd")</f>
        <v/>
      </c>
      <c r="C46772" t="inlineStr">
        <is>
          <t>2027-12-24</t>
        </is>
      </c>
    </row>
    <row r="46773">
      <c r="A46773" s="1" t="n">
        <v>46772</v>
      </c>
      <c r="B46773">
        <f>TEXT(46772, "[$-0E0000]yyyy-mm-dd")</f>
        <v/>
      </c>
      <c r="C46773" t="inlineStr">
        <is>
          <t>2027-12-25</t>
        </is>
      </c>
    </row>
    <row r="46774">
      <c r="A46774" s="1" t="n">
        <v>46773</v>
      </c>
      <c r="B46774">
        <f>TEXT(46773, "[$-0E0000]yyyy-mm-dd")</f>
        <v/>
      </c>
      <c r="C46774" t="inlineStr">
        <is>
          <t>2027-12-26</t>
        </is>
      </c>
    </row>
    <row r="46775">
      <c r="A46775" s="1" t="n">
        <v>46774</v>
      </c>
      <c r="B46775">
        <f>TEXT(46774, "[$-0E0000]yyyy-mm-dd")</f>
        <v/>
      </c>
      <c r="C46775" t="inlineStr">
        <is>
          <t>2027-12-27</t>
        </is>
      </c>
    </row>
    <row r="46776">
      <c r="A46776" s="1" t="n">
        <v>46775</v>
      </c>
      <c r="B46776">
        <f>TEXT(46775, "[$-0E0000]yyyy-mm-dd")</f>
        <v/>
      </c>
      <c r="C46776" t="inlineStr">
        <is>
          <t>2027-12-28</t>
        </is>
      </c>
    </row>
    <row r="46777">
      <c r="A46777" s="1" t="n">
        <v>46776</v>
      </c>
      <c r="B46777">
        <f>TEXT(46776, "[$-0E0000]yyyy-mm-dd")</f>
        <v/>
      </c>
      <c r="C46777" t="inlineStr">
        <is>
          <t>2027-12-29</t>
        </is>
      </c>
    </row>
    <row r="46778">
      <c r="A46778" s="1" t="n">
        <v>46777</v>
      </c>
      <c r="B46778">
        <f>TEXT(46777, "[$-0E0000]yyyy-mm-dd")</f>
        <v/>
      </c>
      <c r="C46778" t="inlineStr">
        <is>
          <t>2028-01-01</t>
        </is>
      </c>
    </row>
    <row r="46779">
      <c r="A46779" s="1" t="n">
        <v>46778</v>
      </c>
      <c r="B46779">
        <f>TEXT(46778, "[$-0E0000]yyyy-mm-dd")</f>
        <v/>
      </c>
      <c r="C46779" t="inlineStr">
        <is>
          <t>2028-01-02</t>
        </is>
      </c>
    </row>
    <row r="46780">
      <c r="A46780" s="1" t="n">
        <v>46779</v>
      </c>
      <c r="B46780">
        <f>TEXT(46779, "[$-0E0000]yyyy-mm-dd")</f>
        <v/>
      </c>
      <c r="C46780" t="inlineStr">
        <is>
          <t>2028-01-03</t>
        </is>
      </c>
    </row>
    <row r="46781">
      <c r="A46781" s="1" t="n">
        <v>46780</v>
      </c>
      <c r="B46781">
        <f>TEXT(46780, "[$-0E0000]yyyy-mm-dd")</f>
        <v/>
      </c>
      <c r="C46781" t="inlineStr">
        <is>
          <t>2028-01-04</t>
        </is>
      </c>
    </row>
    <row r="46782">
      <c r="A46782" s="1" t="n">
        <v>46781</v>
      </c>
      <c r="B46782">
        <f>TEXT(46781, "[$-0E0000]yyyy-mm-dd")</f>
        <v/>
      </c>
      <c r="C46782" t="inlineStr">
        <is>
          <t>2028-01-05</t>
        </is>
      </c>
    </row>
    <row r="46783">
      <c r="A46783" s="1" t="n">
        <v>46782</v>
      </c>
      <c r="B46783">
        <f>TEXT(46782, "[$-0E0000]yyyy-mm-dd")</f>
        <v/>
      </c>
      <c r="C46783" t="inlineStr">
        <is>
          <t>2028-01-06</t>
        </is>
      </c>
    </row>
    <row r="46784">
      <c r="A46784" s="1" t="n">
        <v>46783</v>
      </c>
      <c r="B46784">
        <f>TEXT(46783, "[$-0E0000]yyyy-mm-dd")</f>
        <v/>
      </c>
      <c r="C46784" t="inlineStr">
        <is>
          <t>2028-01-07</t>
        </is>
      </c>
    </row>
    <row r="46785">
      <c r="A46785" s="1" t="n">
        <v>46784</v>
      </c>
      <c r="B46785">
        <f>TEXT(46784, "[$-0E0000]yyyy-mm-dd")</f>
        <v/>
      </c>
      <c r="C46785" t="inlineStr">
        <is>
          <t>2028-01-08</t>
        </is>
      </c>
    </row>
    <row r="46786">
      <c r="A46786" s="1" t="n">
        <v>46785</v>
      </c>
      <c r="B46786">
        <f>TEXT(46785, "[$-0E0000]yyyy-mm-dd")</f>
        <v/>
      </c>
      <c r="C46786" t="inlineStr">
        <is>
          <t>2028-01-09</t>
        </is>
      </c>
    </row>
    <row r="46787">
      <c r="A46787" s="1" t="n">
        <v>46786</v>
      </c>
      <c r="B46787">
        <f>TEXT(46786, "[$-0E0000]yyyy-mm-dd")</f>
        <v/>
      </c>
      <c r="C46787" t="inlineStr">
        <is>
          <t>2028-01-10</t>
        </is>
      </c>
    </row>
    <row r="46788">
      <c r="A46788" s="1" t="n">
        <v>46787</v>
      </c>
      <c r="B46788">
        <f>TEXT(46787, "[$-0E0000]yyyy-mm-dd")</f>
        <v/>
      </c>
      <c r="C46788" t="inlineStr">
        <is>
          <t>2028-01-11</t>
        </is>
      </c>
    </row>
    <row r="46789">
      <c r="A46789" s="1" t="n">
        <v>46788</v>
      </c>
      <c r="B46789">
        <f>TEXT(46788, "[$-0E0000]yyyy-mm-dd")</f>
        <v/>
      </c>
      <c r="C46789" t="inlineStr">
        <is>
          <t>2028-01-12</t>
        </is>
      </c>
    </row>
    <row r="46790">
      <c r="A46790" s="1" t="n">
        <v>46789</v>
      </c>
      <c r="B46790">
        <f>TEXT(46789, "[$-0E0000]yyyy-mm-dd")</f>
        <v/>
      </c>
      <c r="C46790" t="inlineStr">
        <is>
          <t>2028-01-13</t>
        </is>
      </c>
    </row>
    <row r="46791">
      <c r="A46791" s="1" t="n">
        <v>46790</v>
      </c>
      <c r="B46791">
        <f>TEXT(46790, "[$-0E0000]yyyy-mm-dd")</f>
        <v/>
      </c>
      <c r="C46791" t="inlineStr">
        <is>
          <t>2028-01-14</t>
        </is>
      </c>
    </row>
    <row r="46792">
      <c r="A46792" s="1" t="n">
        <v>46791</v>
      </c>
      <c r="B46792">
        <f>TEXT(46791, "[$-0E0000]yyyy-mm-dd")</f>
        <v/>
      </c>
      <c r="C46792" t="inlineStr">
        <is>
          <t>2028-01-15</t>
        </is>
      </c>
    </row>
    <row r="46793">
      <c r="A46793" s="1" t="n">
        <v>46792</v>
      </c>
      <c r="B46793">
        <f>TEXT(46792, "[$-0E0000]yyyy-mm-dd")</f>
        <v/>
      </c>
      <c r="C46793" t="inlineStr">
        <is>
          <t>2028-01-16</t>
        </is>
      </c>
    </row>
    <row r="46794">
      <c r="A46794" s="1" t="n">
        <v>46793</v>
      </c>
      <c r="B46794">
        <f>TEXT(46793, "[$-0E0000]yyyy-mm-dd")</f>
        <v/>
      </c>
      <c r="C46794" t="inlineStr">
        <is>
          <t>2028-01-17</t>
        </is>
      </c>
    </row>
    <row r="46795">
      <c r="A46795" s="1" t="n">
        <v>46794</v>
      </c>
      <c r="B46795">
        <f>TEXT(46794, "[$-0E0000]yyyy-mm-dd")</f>
        <v/>
      </c>
      <c r="C46795" t="inlineStr">
        <is>
          <t>2028-01-18</t>
        </is>
      </c>
    </row>
    <row r="46796">
      <c r="A46796" s="1" t="n">
        <v>46795</v>
      </c>
      <c r="B46796">
        <f>TEXT(46795, "[$-0E0000]yyyy-mm-dd")</f>
        <v/>
      </c>
      <c r="C46796" t="inlineStr">
        <is>
          <t>2028-01-19</t>
        </is>
      </c>
    </row>
    <row r="46797">
      <c r="A46797" s="1" t="n">
        <v>46796</v>
      </c>
      <c r="B46797">
        <f>TEXT(46796, "[$-0E0000]yyyy-mm-dd")</f>
        <v/>
      </c>
      <c r="C46797" t="inlineStr">
        <is>
          <t>2028-01-20</t>
        </is>
      </c>
    </row>
    <row r="46798">
      <c r="A46798" s="1" t="n">
        <v>46797</v>
      </c>
      <c r="B46798">
        <f>TEXT(46797, "[$-0E0000]yyyy-mm-dd")</f>
        <v/>
      </c>
      <c r="C46798" t="inlineStr">
        <is>
          <t>2028-01-21</t>
        </is>
      </c>
    </row>
    <row r="46799">
      <c r="A46799" s="1" t="n">
        <v>46798</v>
      </c>
      <c r="B46799">
        <f>TEXT(46798, "[$-0E0000]yyyy-mm-dd")</f>
        <v/>
      </c>
      <c r="C46799" t="inlineStr">
        <is>
          <t>2028-01-22</t>
        </is>
      </c>
    </row>
    <row r="46800">
      <c r="A46800" s="1" t="n">
        <v>46799</v>
      </c>
      <c r="B46800">
        <f>TEXT(46799, "[$-0E0000]yyyy-mm-dd")</f>
        <v/>
      </c>
      <c r="C46800" t="inlineStr">
        <is>
          <t>2028-01-23</t>
        </is>
      </c>
    </row>
    <row r="46801">
      <c r="A46801" s="1" t="n">
        <v>46800</v>
      </c>
      <c r="B46801">
        <f>TEXT(46800, "[$-0E0000]yyyy-mm-dd")</f>
        <v/>
      </c>
      <c r="C46801" t="inlineStr">
        <is>
          <t>2028-01-24</t>
        </is>
      </c>
    </row>
    <row r="46802">
      <c r="A46802" s="1" t="n">
        <v>46801</v>
      </c>
      <c r="B46802">
        <f>TEXT(46801, "[$-0E0000]yyyy-mm-dd")</f>
        <v/>
      </c>
      <c r="C46802" t="inlineStr">
        <is>
          <t>2028-01-25</t>
        </is>
      </c>
    </row>
    <row r="46803">
      <c r="A46803" s="1" t="n">
        <v>46802</v>
      </c>
      <c r="B46803">
        <f>TEXT(46802, "[$-0E0000]yyyy-mm-dd")</f>
        <v/>
      </c>
      <c r="C46803" t="inlineStr">
        <is>
          <t>2028-01-26</t>
        </is>
      </c>
    </row>
    <row r="46804">
      <c r="A46804" s="1" t="n">
        <v>46803</v>
      </c>
      <c r="B46804">
        <f>TEXT(46803, "[$-0E0000]yyyy-mm-dd")</f>
        <v/>
      </c>
      <c r="C46804" t="inlineStr">
        <is>
          <t>2028-01-27</t>
        </is>
      </c>
    </row>
    <row r="46805">
      <c r="A46805" s="1" t="n">
        <v>46804</v>
      </c>
      <c r="B46805">
        <f>TEXT(46804, "[$-0E0000]yyyy-mm-dd")</f>
        <v/>
      </c>
      <c r="C46805" t="inlineStr">
        <is>
          <t>2028-01-28</t>
        </is>
      </c>
    </row>
    <row r="46806">
      <c r="A46806" s="1" t="n">
        <v>46805</v>
      </c>
      <c r="B46806">
        <f>TEXT(46805, "[$-0E0000]yyyy-mm-dd")</f>
        <v/>
      </c>
      <c r="C46806" t="inlineStr">
        <is>
          <t>2028-01-29</t>
        </is>
      </c>
    </row>
    <row r="46807">
      <c r="A46807" s="1" t="n">
        <v>46806</v>
      </c>
      <c r="B46807">
        <f>TEXT(46806, "[$-0E0000]yyyy-mm-dd")</f>
        <v/>
      </c>
      <c r="C46807" t="inlineStr">
        <is>
          <t>2028-01-30</t>
        </is>
      </c>
    </row>
    <row r="46808">
      <c r="A46808" s="1" t="n">
        <v>46807</v>
      </c>
      <c r="B46808">
        <f>TEXT(46807, "[$-0E0000]yyyy-mm-dd")</f>
        <v/>
      </c>
      <c r="C46808" t="inlineStr">
        <is>
          <t>2028-02-01</t>
        </is>
      </c>
    </row>
    <row r="46809">
      <c r="A46809" s="1" t="n">
        <v>46808</v>
      </c>
      <c r="B46809">
        <f>TEXT(46808, "[$-0E0000]yyyy-mm-dd")</f>
        <v/>
      </c>
      <c r="C46809" t="inlineStr">
        <is>
          <t>2028-02-02</t>
        </is>
      </c>
    </row>
    <row r="46810">
      <c r="A46810" s="1" t="n">
        <v>46809</v>
      </c>
      <c r="B46810">
        <f>TEXT(46809, "[$-0E0000]yyyy-mm-dd")</f>
        <v/>
      </c>
      <c r="C46810" t="inlineStr">
        <is>
          <t>2028-02-03</t>
        </is>
      </c>
    </row>
    <row r="46811">
      <c r="A46811" s="1" t="n">
        <v>46810</v>
      </c>
      <c r="B46811">
        <f>TEXT(46810, "[$-0E0000]yyyy-mm-dd")</f>
        <v/>
      </c>
      <c r="C46811" t="inlineStr">
        <is>
          <t>2028-02-04</t>
        </is>
      </c>
    </row>
    <row r="46812">
      <c r="A46812" s="1" t="n">
        <v>46811</v>
      </c>
      <c r="B46812">
        <f>TEXT(46811, "[$-0E0000]yyyy-mm-dd")</f>
        <v/>
      </c>
      <c r="C46812" t="inlineStr">
        <is>
          <t>2028-02-05</t>
        </is>
      </c>
    </row>
    <row r="46813">
      <c r="A46813" s="1" t="n">
        <v>46812</v>
      </c>
      <c r="B46813">
        <f>TEXT(46812, "[$-0E0000]yyyy-mm-dd")</f>
        <v/>
      </c>
      <c r="C46813" t="inlineStr">
        <is>
          <t>2028-02-06</t>
        </is>
      </c>
    </row>
    <row r="46814">
      <c r="A46814" s="1" t="n">
        <v>46813</v>
      </c>
      <c r="B46814">
        <f>TEXT(46813, "[$-0E0000]yyyy-mm-dd")</f>
        <v/>
      </c>
      <c r="C46814" t="inlineStr">
        <is>
          <t>2028-02-07</t>
        </is>
      </c>
    </row>
    <row r="46815">
      <c r="A46815" s="1" t="n">
        <v>46814</v>
      </c>
      <c r="B46815">
        <f>TEXT(46814, "[$-0E0000]yyyy-mm-dd")</f>
        <v/>
      </c>
      <c r="C46815" t="inlineStr">
        <is>
          <t>2028-02-08</t>
        </is>
      </c>
    </row>
    <row r="46816">
      <c r="A46816" s="1" t="n">
        <v>46815</v>
      </c>
      <c r="B46816">
        <f>TEXT(46815, "[$-0E0000]yyyy-mm-dd")</f>
        <v/>
      </c>
      <c r="C46816" t="inlineStr">
        <is>
          <t>2028-02-09</t>
        </is>
      </c>
    </row>
    <row r="46817">
      <c r="A46817" s="1" t="n">
        <v>46816</v>
      </c>
      <c r="B46817">
        <f>TEXT(46816, "[$-0E0000]yyyy-mm-dd")</f>
        <v/>
      </c>
      <c r="C46817" t="inlineStr">
        <is>
          <t>2028-02-10</t>
        </is>
      </c>
    </row>
    <row r="46818">
      <c r="A46818" s="1" t="n">
        <v>46817</v>
      </c>
      <c r="B46818">
        <f>TEXT(46817, "[$-0E0000]yyyy-mm-dd")</f>
        <v/>
      </c>
      <c r="C46818" t="inlineStr">
        <is>
          <t>2028-02-11</t>
        </is>
      </c>
    </row>
    <row r="46819">
      <c r="A46819" s="1" t="n">
        <v>46818</v>
      </c>
      <c r="B46819">
        <f>TEXT(46818, "[$-0E0000]yyyy-mm-dd")</f>
        <v/>
      </c>
      <c r="C46819" t="inlineStr">
        <is>
          <t>2028-02-12</t>
        </is>
      </c>
    </row>
    <row r="46820">
      <c r="A46820" s="1" t="n">
        <v>46819</v>
      </c>
      <c r="B46820">
        <f>TEXT(46819, "[$-0E0000]yyyy-mm-dd")</f>
        <v/>
      </c>
      <c r="C46820" t="inlineStr">
        <is>
          <t>2028-02-13</t>
        </is>
      </c>
    </row>
    <row r="46821">
      <c r="A46821" s="1" t="n">
        <v>46820</v>
      </c>
      <c r="B46821">
        <f>TEXT(46820, "[$-0E0000]yyyy-mm-dd")</f>
        <v/>
      </c>
      <c r="C46821" t="inlineStr">
        <is>
          <t>2028-02-14</t>
        </is>
      </c>
    </row>
    <row r="46822">
      <c r="A46822" s="1" t="n">
        <v>46821</v>
      </c>
      <c r="B46822">
        <f>TEXT(46821, "[$-0E0000]yyyy-mm-dd")</f>
        <v/>
      </c>
      <c r="C46822" t="inlineStr">
        <is>
          <t>2028-02-15</t>
        </is>
      </c>
    </row>
    <row r="46823">
      <c r="A46823" s="1" t="n">
        <v>46822</v>
      </c>
      <c r="B46823">
        <f>TEXT(46822, "[$-0E0000]yyyy-mm-dd")</f>
        <v/>
      </c>
      <c r="C46823" t="inlineStr">
        <is>
          <t>2028-02-16</t>
        </is>
      </c>
    </row>
    <row r="46824">
      <c r="A46824" s="1" t="n">
        <v>46823</v>
      </c>
      <c r="B46824">
        <f>TEXT(46823, "[$-0E0000]yyyy-mm-dd")</f>
        <v/>
      </c>
      <c r="C46824" t="inlineStr">
        <is>
          <t>2028-02-17</t>
        </is>
      </c>
    </row>
    <row r="46825">
      <c r="A46825" s="1" t="n">
        <v>46824</v>
      </c>
      <c r="B46825">
        <f>TEXT(46824, "[$-0E0000]yyyy-mm-dd")</f>
        <v/>
      </c>
      <c r="C46825" t="inlineStr">
        <is>
          <t>2028-02-18</t>
        </is>
      </c>
    </row>
    <row r="46826">
      <c r="A46826" s="1" t="n">
        <v>46825</v>
      </c>
      <c r="B46826">
        <f>TEXT(46825, "[$-0E0000]yyyy-mm-dd")</f>
        <v/>
      </c>
      <c r="C46826" t="inlineStr">
        <is>
          <t>2028-02-19</t>
        </is>
      </c>
    </row>
    <row r="46827">
      <c r="A46827" s="1" t="n">
        <v>46826</v>
      </c>
      <c r="B46827">
        <f>TEXT(46826, "[$-0E0000]yyyy-mm-dd")</f>
        <v/>
      </c>
      <c r="C46827" t="inlineStr">
        <is>
          <t>2028-02-20</t>
        </is>
      </c>
    </row>
    <row r="46828">
      <c r="A46828" s="1" t="n">
        <v>46827</v>
      </c>
      <c r="B46828">
        <f>TEXT(46827, "[$-0E0000]yyyy-mm-dd")</f>
        <v/>
      </c>
      <c r="C46828" t="inlineStr">
        <is>
          <t>2028-02-21</t>
        </is>
      </c>
    </row>
    <row r="46829">
      <c r="A46829" s="1" t="n">
        <v>46828</v>
      </c>
      <c r="B46829">
        <f>TEXT(46828, "[$-0E0000]yyyy-mm-dd")</f>
        <v/>
      </c>
      <c r="C46829" t="inlineStr">
        <is>
          <t>2028-02-22</t>
        </is>
      </c>
    </row>
    <row r="46830">
      <c r="A46830" s="1" t="n">
        <v>46829</v>
      </c>
      <c r="B46830">
        <f>TEXT(46829, "[$-0E0000]yyyy-mm-dd")</f>
        <v/>
      </c>
      <c r="C46830" t="inlineStr">
        <is>
          <t>2028-02-23</t>
        </is>
      </c>
    </row>
    <row r="46831">
      <c r="A46831" s="1" t="n">
        <v>46830</v>
      </c>
      <c r="B46831">
        <f>TEXT(46830, "[$-0E0000]yyyy-mm-dd")</f>
        <v/>
      </c>
      <c r="C46831" t="inlineStr">
        <is>
          <t>2028-02-24</t>
        </is>
      </c>
    </row>
    <row r="46832">
      <c r="A46832" s="1" t="n">
        <v>46831</v>
      </c>
      <c r="B46832">
        <f>TEXT(46831, "[$-0E0000]yyyy-mm-dd")</f>
        <v/>
      </c>
      <c r="C46832" t="inlineStr">
        <is>
          <t>2028-02-25</t>
        </is>
      </c>
    </row>
    <row r="46833">
      <c r="A46833" s="1" t="n">
        <v>46832</v>
      </c>
      <c r="B46833">
        <f>TEXT(46832, "[$-0E0000]yyyy-mm-dd")</f>
        <v/>
      </c>
      <c r="C46833" t="inlineStr">
        <is>
          <t>2028-02-26</t>
        </is>
      </c>
    </row>
    <row r="46834">
      <c r="A46834" s="1" t="n">
        <v>46833</v>
      </c>
      <c r="B46834">
        <f>TEXT(46833, "[$-0E0000]yyyy-mm-dd")</f>
        <v/>
      </c>
      <c r="C46834" t="inlineStr">
        <is>
          <t>2028-02-27</t>
        </is>
      </c>
    </row>
    <row r="46835">
      <c r="A46835" s="1" t="n">
        <v>46834</v>
      </c>
      <c r="B46835">
        <f>TEXT(46834, "[$-0E0000]yyyy-mm-dd")</f>
        <v/>
      </c>
      <c r="C46835" t="inlineStr">
        <is>
          <t>2028-02-28</t>
        </is>
      </c>
    </row>
    <row r="46836">
      <c r="A46836" s="1" t="n">
        <v>46835</v>
      </c>
      <c r="B46836">
        <f>TEXT(46835, "[$-0E0000]yyyy-mm-dd")</f>
        <v/>
      </c>
      <c r="C46836" t="inlineStr">
        <is>
          <t>2028-02-29</t>
        </is>
      </c>
    </row>
    <row r="46837">
      <c r="A46837" s="1" t="n">
        <v>46836</v>
      </c>
      <c r="B46837">
        <f>TEXT(46836, "[$-0E0000]yyyy-mm-dd")</f>
        <v/>
      </c>
      <c r="C46837" t="inlineStr">
        <is>
          <t>2028-02-30</t>
        </is>
      </c>
    </row>
    <row r="46838">
      <c r="A46838" s="1" t="n">
        <v>46837</v>
      </c>
      <c r="B46838">
        <f>TEXT(46837, "[$-0E0000]yyyy-mm-dd")</f>
        <v/>
      </c>
      <c r="C46838" t="inlineStr">
        <is>
          <t>2028-03-01</t>
        </is>
      </c>
    </row>
    <row r="46839">
      <c r="A46839" s="1" t="n">
        <v>46838</v>
      </c>
      <c r="B46839">
        <f>TEXT(46838, "[$-0E0000]yyyy-mm-dd")</f>
        <v/>
      </c>
      <c r="C46839" t="inlineStr">
        <is>
          <t>2028-03-02</t>
        </is>
      </c>
    </row>
    <row r="46840">
      <c r="A46840" s="1" t="n">
        <v>46839</v>
      </c>
      <c r="B46840">
        <f>TEXT(46839, "[$-0E0000]yyyy-mm-dd")</f>
        <v/>
      </c>
      <c r="C46840" t="inlineStr">
        <is>
          <t>2028-03-03</t>
        </is>
      </c>
    </row>
    <row r="46841">
      <c r="A46841" s="1" t="n">
        <v>46840</v>
      </c>
      <c r="B46841">
        <f>TEXT(46840, "[$-0E0000]yyyy-mm-dd")</f>
        <v/>
      </c>
      <c r="C46841" t="inlineStr">
        <is>
          <t>2028-03-04</t>
        </is>
      </c>
    </row>
    <row r="46842">
      <c r="A46842" s="1" t="n">
        <v>46841</v>
      </c>
      <c r="B46842">
        <f>TEXT(46841, "[$-0E0000]yyyy-mm-dd")</f>
        <v/>
      </c>
      <c r="C46842" t="inlineStr">
        <is>
          <t>2028-03-05</t>
        </is>
      </c>
    </row>
    <row r="46843">
      <c r="A46843" s="1" t="n">
        <v>46842</v>
      </c>
      <c r="B46843">
        <f>TEXT(46842, "[$-0E0000]yyyy-mm-dd")</f>
        <v/>
      </c>
      <c r="C46843" t="inlineStr">
        <is>
          <t>2028-03-06</t>
        </is>
      </c>
    </row>
    <row r="46844">
      <c r="A46844" s="1" t="n">
        <v>46843</v>
      </c>
      <c r="B46844">
        <f>TEXT(46843, "[$-0E0000]yyyy-mm-dd")</f>
        <v/>
      </c>
      <c r="C46844" t="inlineStr">
        <is>
          <t>2028-03-07</t>
        </is>
      </c>
    </row>
    <row r="46845">
      <c r="A46845" s="1" t="n">
        <v>46844</v>
      </c>
      <c r="B46845">
        <f>TEXT(46844, "[$-0E0000]yyyy-mm-dd")</f>
        <v/>
      </c>
      <c r="C46845" t="inlineStr">
        <is>
          <t>2028-03-08</t>
        </is>
      </c>
    </row>
    <row r="46846">
      <c r="A46846" s="1" t="n">
        <v>46845</v>
      </c>
      <c r="B46846">
        <f>TEXT(46845, "[$-0E0000]yyyy-mm-dd")</f>
        <v/>
      </c>
      <c r="C46846" t="inlineStr">
        <is>
          <t>2028-03-09</t>
        </is>
      </c>
    </row>
    <row r="46847">
      <c r="A46847" s="1" t="n">
        <v>46846</v>
      </c>
      <c r="B46847">
        <f>TEXT(46846, "[$-0E0000]yyyy-mm-dd")</f>
        <v/>
      </c>
      <c r="C46847" t="inlineStr">
        <is>
          <t>2028-03-10</t>
        </is>
      </c>
    </row>
    <row r="46848">
      <c r="A46848" s="1" t="n">
        <v>46847</v>
      </c>
      <c r="B46848">
        <f>TEXT(46847, "[$-0E0000]yyyy-mm-dd")</f>
        <v/>
      </c>
      <c r="C46848" t="inlineStr">
        <is>
          <t>2028-03-11</t>
        </is>
      </c>
    </row>
    <row r="46849">
      <c r="A46849" s="1" t="n">
        <v>46848</v>
      </c>
      <c r="B46849">
        <f>TEXT(46848, "[$-0E0000]yyyy-mm-dd")</f>
        <v/>
      </c>
      <c r="C46849" t="inlineStr">
        <is>
          <t>2028-03-12</t>
        </is>
      </c>
    </row>
    <row r="46850">
      <c r="A46850" s="1" t="n">
        <v>46849</v>
      </c>
      <c r="B46850">
        <f>TEXT(46849, "[$-0E0000]yyyy-mm-dd")</f>
        <v/>
      </c>
      <c r="C46850" t="inlineStr">
        <is>
          <t>2028-03-13</t>
        </is>
      </c>
    </row>
    <row r="46851">
      <c r="A46851" s="1" t="n">
        <v>46850</v>
      </c>
      <c r="B46851">
        <f>TEXT(46850, "[$-0E0000]yyyy-mm-dd")</f>
        <v/>
      </c>
      <c r="C46851" t="inlineStr">
        <is>
          <t>2028-03-14</t>
        </is>
      </c>
    </row>
    <row r="46852">
      <c r="A46852" s="1" t="n">
        <v>46851</v>
      </c>
      <c r="B46852">
        <f>TEXT(46851, "[$-0E0000]yyyy-mm-dd")</f>
        <v/>
      </c>
      <c r="C46852" t="inlineStr">
        <is>
          <t>2028-03-15</t>
        </is>
      </c>
    </row>
    <row r="46853">
      <c r="A46853" s="1" t="n">
        <v>46852</v>
      </c>
      <c r="B46853">
        <f>TEXT(46852, "[$-0E0000]yyyy-mm-dd")</f>
        <v/>
      </c>
      <c r="C46853" t="inlineStr">
        <is>
          <t>2028-03-16</t>
        </is>
      </c>
    </row>
    <row r="46854">
      <c r="A46854" s="1" t="n">
        <v>46853</v>
      </c>
      <c r="B46854">
        <f>TEXT(46853, "[$-0E0000]yyyy-mm-dd")</f>
        <v/>
      </c>
      <c r="C46854" t="inlineStr">
        <is>
          <t>2028-03-17</t>
        </is>
      </c>
    </row>
    <row r="46855">
      <c r="A46855" s="1" t="n">
        <v>46854</v>
      </c>
      <c r="B46855">
        <f>TEXT(46854, "[$-0E0000]yyyy-mm-dd")</f>
        <v/>
      </c>
      <c r="C46855" t="inlineStr">
        <is>
          <t>2028-03-18</t>
        </is>
      </c>
    </row>
    <row r="46856">
      <c r="A46856" s="1" t="n">
        <v>46855</v>
      </c>
      <c r="B46856">
        <f>TEXT(46855, "[$-0E0000]yyyy-mm-dd")</f>
        <v/>
      </c>
      <c r="C46856" t="inlineStr">
        <is>
          <t>2028-03-19</t>
        </is>
      </c>
    </row>
    <row r="46857">
      <c r="A46857" s="1" t="n">
        <v>46856</v>
      </c>
      <c r="B46857">
        <f>TEXT(46856, "[$-0E0000]yyyy-mm-dd")</f>
        <v/>
      </c>
      <c r="C46857" t="inlineStr">
        <is>
          <t>2028-03-20</t>
        </is>
      </c>
    </row>
    <row r="46858">
      <c r="A46858" s="1" t="n">
        <v>46857</v>
      </c>
      <c r="B46858">
        <f>TEXT(46857, "[$-0E0000]yyyy-mm-dd")</f>
        <v/>
      </c>
      <c r="C46858" t="inlineStr">
        <is>
          <t>2028-03-21</t>
        </is>
      </c>
    </row>
    <row r="46859">
      <c r="A46859" s="1" t="n">
        <v>46858</v>
      </c>
      <c r="B46859">
        <f>TEXT(46858, "[$-0E0000]yyyy-mm-dd")</f>
        <v/>
      </c>
      <c r="C46859" t="inlineStr">
        <is>
          <t>2028-03-22</t>
        </is>
      </c>
    </row>
    <row r="46860">
      <c r="A46860" s="1" t="n">
        <v>46859</v>
      </c>
      <c r="B46860">
        <f>TEXT(46859, "[$-0E0000]yyyy-mm-dd")</f>
        <v/>
      </c>
      <c r="C46860" t="inlineStr">
        <is>
          <t>2028-03-23</t>
        </is>
      </c>
    </row>
    <row r="46861">
      <c r="A46861" s="1" t="n">
        <v>46860</v>
      </c>
      <c r="B46861">
        <f>TEXT(46860, "[$-0E0000]yyyy-mm-dd")</f>
        <v/>
      </c>
      <c r="C46861" t="inlineStr">
        <is>
          <t>2028-03-24</t>
        </is>
      </c>
    </row>
    <row r="46862">
      <c r="A46862" s="1" t="n">
        <v>46861</v>
      </c>
      <c r="B46862">
        <f>TEXT(46861, "[$-0E0000]yyyy-mm-dd")</f>
        <v/>
      </c>
      <c r="C46862" t="inlineStr">
        <is>
          <t>2028-03-25</t>
        </is>
      </c>
    </row>
    <row r="46863">
      <c r="A46863" s="1" t="n">
        <v>46862</v>
      </c>
      <c r="B46863">
        <f>TEXT(46862, "[$-0E0000]yyyy-mm-dd")</f>
        <v/>
      </c>
      <c r="C46863" t="inlineStr">
        <is>
          <t>2028-03-26</t>
        </is>
      </c>
    </row>
    <row r="46864">
      <c r="A46864" s="1" t="n">
        <v>46863</v>
      </c>
      <c r="B46864">
        <f>TEXT(46863, "[$-0E0000]yyyy-mm-dd")</f>
        <v/>
      </c>
      <c r="C46864" t="inlineStr">
        <is>
          <t>2028-03-27</t>
        </is>
      </c>
    </row>
    <row r="46865">
      <c r="A46865" s="1" t="n">
        <v>46864</v>
      </c>
      <c r="B46865">
        <f>TEXT(46864, "[$-0E0000]yyyy-mm-dd")</f>
        <v/>
      </c>
      <c r="C46865" t="inlineStr">
        <is>
          <t>2028-03-28</t>
        </is>
      </c>
    </row>
    <row r="46866">
      <c r="A46866" s="1" t="n">
        <v>46865</v>
      </c>
      <c r="B46866">
        <f>TEXT(46865, "[$-0E0000]yyyy-mm-dd")</f>
        <v/>
      </c>
      <c r="C46866" t="inlineStr">
        <is>
          <t>2028-03-29</t>
        </is>
      </c>
    </row>
    <row r="46867">
      <c r="A46867" s="1" t="n">
        <v>46866</v>
      </c>
      <c r="B46867">
        <f>TEXT(46866, "[$-0E0000]yyyy-mm-dd")</f>
        <v/>
      </c>
      <c r="C46867" t="inlineStr">
        <is>
          <t>2028-03-30</t>
        </is>
      </c>
    </row>
    <row r="46868">
      <c r="A46868" s="1" t="n">
        <v>46867</v>
      </c>
      <c r="B46868">
        <f>TEXT(46867, "[$-0E0000]yyyy-mm-dd")</f>
        <v/>
      </c>
      <c r="C46868" t="inlineStr">
        <is>
          <t>2028-04-01</t>
        </is>
      </c>
    </row>
    <row r="46869">
      <c r="A46869" s="1" t="n">
        <v>46868</v>
      </c>
      <c r="B46869">
        <f>TEXT(46868, "[$-0E0000]yyyy-mm-dd")</f>
        <v/>
      </c>
      <c r="C46869" t="inlineStr">
        <is>
          <t>2028-04-02</t>
        </is>
      </c>
    </row>
    <row r="46870">
      <c r="A46870" s="1" t="n">
        <v>46869</v>
      </c>
      <c r="B46870">
        <f>TEXT(46869, "[$-0E0000]yyyy-mm-dd")</f>
        <v/>
      </c>
      <c r="C46870" t="inlineStr">
        <is>
          <t>2028-04-03</t>
        </is>
      </c>
    </row>
    <row r="46871">
      <c r="A46871" s="1" t="n">
        <v>46870</v>
      </c>
      <c r="B46871">
        <f>TEXT(46870, "[$-0E0000]yyyy-mm-dd")</f>
        <v/>
      </c>
      <c r="C46871" t="inlineStr">
        <is>
          <t>2028-04-04</t>
        </is>
      </c>
    </row>
    <row r="46872">
      <c r="A46872" s="1" t="n">
        <v>46871</v>
      </c>
      <c r="B46872">
        <f>TEXT(46871, "[$-0E0000]yyyy-mm-dd")</f>
        <v/>
      </c>
      <c r="C46872" t="inlineStr">
        <is>
          <t>2028-04-05</t>
        </is>
      </c>
    </row>
    <row r="46873">
      <c r="A46873" s="1" t="n">
        <v>46872</v>
      </c>
      <c r="B46873">
        <f>TEXT(46872, "[$-0E0000]yyyy-mm-dd")</f>
        <v/>
      </c>
      <c r="C46873" t="inlineStr">
        <is>
          <t>2028-04-06</t>
        </is>
      </c>
    </row>
    <row r="46874">
      <c r="A46874" s="1" t="n">
        <v>46873</v>
      </c>
      <c r="B46874">
        <f>TEXT(46873, "[$-0E0000]yyyy-mm-dd")</f>
        <v/>
      </c>
      <c r="C46874" t="inlineStr">
        <is>
          <t>2028-04-07</t>
        </is>
      </c>
    </row>
    <row r="46875">
      <c r="A46875" s="1" t="n">
        <v>46874</v>
      </c>
      <c r="B46875">
        <f>TEXT(46874, "[$-0E0000]yyyy-mm-dd")</f>
        <v/>
      </c>
      <c r="C46875" t="inlineStr">
        <is>
          <t>2028-04-08</t>
        </is>
      </c>
    </row>
    <row r="46876">
      <c r="A46876" s="1" t="n">
        <v>46875</v>
      </c>
      <c r="B46876">
        <f>TEXT(46875, "[$-0E0000]yyyy-mm-dd")</f>
        <v/>
      </c>
      <c r="C46876" t="inlineStr">
        <is>
          <t>2028-04-09</t>
        </is>
      </c>
    </row>
    <row r="46877">
      <c r="A46877" s="1" t="n">
        <v>46876</v>
      </c>
      <c r="B46877">
        <f>TEXT(46876, "[$-0E0000]yyyy-mm-dd")</f>
        <v/>
      </c>
      <c r="C46877" t="inlineStr">
        <is>
          <t>2028-04-10</t>
        </is>
      </c>
    </row>
    <row r="46878">
      <c r="A46878" s="1" t="n">
        <v>46877</v>
      </c>
      <c r="B46878">
        <f>TEXT(46877, "[$-0E0000]yyyy-mm-dd")</f>
        <v/>
      </c>
      <c r="C46878" t="inlineStr">
        <is>
          <t>2028-04-11</t>
        </is>
      </c>
    </row>
    <row r="46879">
      <c r="A46879" s="1" t="n">
        <v>46878</v>
      </c>
      <c r="B46879">
        <f>TEXT(46878, "[$-0E0000]yyyy-mm-dd")</f>
        <v/>
      </c>
      <c r="C46879" t="inlineStr">
        <is>
          <t>2028-04-12</t>
        </is>
      </c>
    </row>
    <row r="46880">
      <c r="A46880" s="1" t="n">
        <v>46879</v>
      </c>
      <c r="B46880">
        <f>TEXT(46879, "[$-0E0000]yyyy-mm-dd")</f>
        <v/>
      </c>
      <c r="C46880" t="inlineStr">
        <is>
          <t>2028-04-13</t>
        </is>
      </c>
    </row>
    <row r="46881">
      <c r="A46881" s="1" t="n">
        <v>46880</v>
      </c>
      <c r="B46881">
        <f>TEXT(46880, "[$-0E0000]yyyy-mm-dd")</f>
        <v/>
      </c>
      <c r="C46881" t="inlineStr">
        <is>
          <t>2028-04-14</t>
        </is>
      </c>
    </row>
    <row r="46882">
      <c r="A46882" s="1" t="n">
        <v>46881</v>
      </c>
      <c r="B46882">
        <f>TEXT(46881, "[$-0E0000]yyyy-mm-dd")</f>
        <v/>
      </c>
      <c r="C46882" t="inlineStr">
        <is>
          <t>2028-04-15</t>
        </is>
      </c>
    </row>
    <row r="46883">
      <c r="A46883" s="1" t="n">
        <v>46882</v>
      </c>
      <c r="B46883">
        <f>TEXT(46882, "[$-0E0000]yyyy-mm-dd")</f>
        <v/>
      </c>
      <c r="C46883" t="inlineStr">
        <is>
          <t>2028-04-16</t>
        </is>
      </c>
    </row>
    <row r="46884">
      <c r="A46884" s="1" t="n">
        <v>46883</v>
      </c>
      <c r="B46884">
        <f>TEXT(46883, "[$-0E0000]yyyy-mm-dd")</f>
        <v/>
      </c>
      <c r="C46884" t="inlineStr">
        <is>
          <t>2028-04-17</t>
        </is>
      </c>
    </row>
    <row r="46885">
      <c r="A46885" s="1" t="n">
        <v>46884</v>
      </c>
      <c r="B46885">
        <f>TEXT(46884, "[$-0E0000]yyyy-mm-dd")</f>
        <v/>
      </c>
      <c r="C46885" t="inlineStr">
        <is>
          <t>2028-04-18</t>
        </is>
      </c>
    </row>
    <row r="46886">
      <c r="A46886" s="1" t="n">
        <v>46885</v>
      </c>
      <c r="B46886">
        <f>TEXT(46885, "[$-0E0000]yyyy-mm-dd")</f>
        <v/>
      </c>
      <c r="C46886" t="inlineStr">
        <is>
          <t>2028-04-19</t>
        </is>
      </c>
    </row>
    <row r="46887">
      <c r="A46887" s="1" t="n">
        <v>46886</v>
      </c>
      <c r="B46887">
        <f>TEXT(46886, "[$-0E0000]yyyy-mm-dd")</f>
        <v/>
      </c>
      <c r="C46887" t="inlineStr">
        <is>
          <t>2028-04-20</t>
        </is>
      </c>
    </row>
    <row r="46888">
      <c r="A46888" s="1" t="n">
        <v>46887</v>
      </c>
      <c r="B46888">
        <f>TEXT(46887, "[$-0E0000]yyyy-mm-dd")</f>
        <v/>
      </c>
      <c r="C46888" t="inlineStr">
        <is>
          <t>2028-04-21</t>
        </is>
      </c>
    </row>
    <row r="46889">
      <c r="A46889" s="1" t="n">
        <v>46888</v>
      </c>
      <c r="B46889">
        <f>TEXT(46888, "[$-0E0000]yyyy-mm-dd")</f>
        <v/>
      </c>
      <c r="C46889" t="inlineStr">
        <is>
          <t>2028-04-22</t>
        </is>
      </c>
    </row>
    <row r="46890">
      <c r="A46890" s="1" t="n">
        <v>46889</v>
      </c>
      <c r="B46890">
        <f>TEXT(46889, "[$-0E0000]yyyy-mm-dd")</f>
        <v/>
      </c>
      <c r="C46890" t="inlineStr">
        <is>
          <t>2028-04-23</t>
        </is>
      </c>
    </row>
    <row r="46891">
      <c r="A46891" s="1" t="n">
        <v>46890</v>
      </c>
      <c r="B46891">
        <f>TEXT(46890, "[$-0E0000]yyyy-mm-dd")</f>
        <v/>
      </c>
      <c r="C46891" t="inlineStr">
        <is>
          <t>2028-04-24</t>
        </is>
      </c>
    </row>
    <row r="46892">
      <c r="A46892" s="1" t="n">
        <v>46891</v>
      </c>
      <c r="B46892">
        <f>TEXT(46891, "[$-0E0000]yyyy-mm-dd")</f>
        <v/>
      </c>
      <c r="C46892" t="inlineStr">
        <is>
          <t>2028-04-25</t>
        </is>
      </c>
    </row>
    <row r="46893">
      <c r="A46893" s="1" t="n">
        <v>46892</v>
      </c>
      <c r="B46893">
        <f>TEXT(46892, "[$-0E0000]yyyy-mm-dd")</f>
        <v/>
      </c>
      <c r="C46893" t="inlineStr">
        <is>
          <t>2028-04-26</t>
        </is>
      </c>
    </row>
    <row r="46894">
      <c r="A46894" s="1" t="n">
        <v>46893</v>
      </c>
      <c r="B46894">
        <f>TEXT(46893, "[$-0E0000]yyyy-mm-dd")</f>
        <v/>
      </c>
      <c r="C46894" t="inlineStr">
        <is>
          <t>2028-04-27</t>
        </is>
      </c>
    </row>
    <row r="46895">
      <c r="A46895" s="1" t="n">
        <v>46894</v>
      </c>
      <c r="B46895">
        <f>TEXT(46894, "[$-0E0000]yyyy-mm-dd")</f>
        <v/>
      </c>
      <c r="C46895" t="inlineStr">
        <is>
          <t>2028-04-28</t>
        </is>
      </c>
    </row>
    <row r="46896">
      <c r="A46896" s="1" t="n">
        <v>46895</v>
      </c>
      <c r="B46896">
        <f>TEXT(46895, "[$-0E0000]yyyy-mm-dd")</f>
        <v/>
      </c>
      <c r="C46896" t="inlineStr">
        <is>
          <t>2028-04-29</t>
        </is>
      </c>
    </row>
    <row r="46897">
      <c r="A46897" s="1" t="n">
        <v>46896</v>
      </c>
      <c r="B46897">
        <f>TEXT(46896, "[$-0E0000]yyyy-mm-dd")</f>
        <v/>
      </c>
      <c r="C46897" t="inlineStr">
        <is>
          <t>2028-05-01</t>
        </is>
      </c>
    </row>
    <row r="46898">
      <c r="A46898" s="1" t="n">
        <v>46897</v>
      </c>
      <c r="B46898">
        <f>TEXT(46897, "[$-0E0000]yyyy-mm-dd")</f>
        <v/>
      </c>
      <c r="C46898" t="inlineStr">
        <is>
          <t>2028-05-02</t>
        </is>
      </c>
    </row>
    <row r="46899">
      <c r="A46899" s="1" t="n">
        <v>46898</v>
      </c>
      <c r="B46899">
        <f>TEXT(46898, "[$-0E0000]yyyy-mm-dd")</f>
        <v/>
      </c>
      <c r="C46899" t="inlineStr">
        <is>
          <t>2028-05-03</t>
        </is>
      </c>
    </row>
    <row r="46900">
      <c r="A46900" s="1" t="n">
        <v>46899</v>
      </c>
      <c r="B46900">
        <f>TEXT(46899, "[$-0E0000]yyyy-mm-dd")</f>
        <v/>
      </c>
      <c r="C46900" t="inlineStr">
        <is>
          <t>2028-05-04</t>
        </is>
      </c>
    </row>
    <row r="46901">
      <c r="A46901" s="1" t="n">
        <v>46900</v>
      </c>
      <c r="B46901">
        <f>TEXT(46900, "[$-0E0000]yyyy-mm-dd")</f>
        <v/>
      </c>
      <c r="C46901" t="inlineStr">
        <is>
          <t>2028-05-05</t>
        </is>
      </c>
    </row>
    <row r="46902">
      <c r="A46902" s="1" t="n">
        <v>46901</v>
      </c>
      <c r="B46902">
        <f>TEXT(46901, "[$-0E0000]yyyy-mm-dd")</f>
        <v/>
      </c>
      <c r="C46902" t="inlineStr">
        <is>
          <t>2028-05-06</t>
        </is>
      </c>
    </row>
    <row r="46903">
      <c r="A46903" s="1" t="n">
        <v>46902</v>
      </c>
      <c r="B46903">
        <f>TEXT(46902, "[$-0E0000]yyyy-mm-dd")</f>
        <v/>
      </c>
      <c r="C46903" t="inlineStr">
        <is>
          <t>2028-05-07</t>
        </is>
      </c>
    </row>
    <row r="46904">
      <c r="A46904" s="1" t="n">
        <v>46903</v>
      </c>
      <c r="B46904">
        <f>TEXT(46903, "[$-0E0000]yyyy-mm-dd")</f>
        <v/>
      </c>
      <c r="C46904" t="inlineStr">
        <is>
          <t>2028-05-08</t>
        </is>
      </c>
    </row>
    <row r="46905">
      <c r="A46905" s="1" t="n">
        <v>46904</v>
      </c>
      <c r="B46905">
        <f>TEXT(46904, "[$-0E0000]yyyy-mm-dd")</f>
        <v/>
      </c>
      <c r="C46905" t="inlineStr">
        <is>
          <t>2028-05-09</t>
        </is>
      </c>
    </row>
    <row r="46906">
      <c r="A46906" s="1" t="n">
        <v>46905</v>
      </c>
      <c r="B46906">
        <f>TEXT(46905, "[$-0E0000]yyyy-mm-dd")</f>
        <v/>
      </c>
      <c r="C46906" t="inlineStr">
        <is>
          <t>2028-05-10</t>
        </is>
      </c>
    </row>
    <row r="46907">
      <c r="A46907" s="1" t="n">
        <v>46906</v>
      </c>
      <c r="B46907">
        <f>TEXT(46906, "[$-0E0000]yyyy-mm-dd")</f>
        <v/>
      </c>
      <c r="C46907" t="inlineStr">
        <is>
          <t>2028-05-11</t>
        </is>
      </c>
    </row>
    <row r="46908">
      <c r="A46908" s="1" t="n">
        <v>46907</v>
      </c>
      <c r="B46908">
        <f>TEXT(46907, "[$-0E0000]yyyy-mm-dd")</f>
        <v/>
      </c>
      <c r="C46908" t="inlineStr">
        <is>
          <t>2028-05-12</t>
        </is>
      </c>
    </row>
    <row r="46909">
      <c r="A46909" s="1" t="n">
        <v>46908</v>
      </c>
      <c r="B46909">
        <f>TEXT(46908, "[$-0E0000]yyyy-mm-dd")</f>
        <v/>
      </c>
      <c r="C46909" t="inlineStr">
        <is>
          <t>2028-05-13</t>
        </is>
      </c>
    </row>
    <row r="46910">
      <c r="A46910" s="1" t="n">
        <v>46909</v>
      </c>
      <c r="B46910">
        <f>TEXT(46909, "[$-0E0000]yyyy-mm-dd")</f>
        <v/>
      </c>
      <c r="C46910" t="inlineStr">
        <is>
          <t>2028-05-14</t>
        </is>
      </c>
    </row>
    <row r="46911">
      <c r="A46911" s="1" t="n">
        <v>46910</v>
      </c>
      <c r="B46911">
        <f>TEXT(46910, "[$-0E0000]yyyy-mm-dd")</f>
        <v/>
      </c>
      <c r="C46911" t="inlineStr">
        <is>
          <t>2028-05-15</t>
        </is>
      </c>
    </row>
    <row r="46912">
      <c r="A46912" s="1" t="n">
        <v>46911</v>
      </c>
      <c r="B46912">
        <f>TEXT(46911, "[$-0E0000]yyyy-mm-dd")</f>
        <v/>
      </c>
      <c r="C46912" t="inlineStr">
        <is>
          <t>2028-05-16</t>
        </is>
      </c>
    </row>
    <row r="46913">
      <c r="A46913" s="1" t="n">
        <v>46912</v>
      </c>
      <c r="B46913">
        <f>TEXT(46912, "[$-0E0000]yyyy-mm-dd")</f>
        <v/>
      </c>
      <c r="C46913" t="inlineStr">
        <is>
          <t>2028-05-17</t>
        </is>
      </c>
    </row>
    <row r="46914">
      <c r="A46914" s="1" t="n">
        <v>46913</v>
      </c>
      <c r="B46914">
        <f>TEXT(46913, "[$-0E0000]yyyy-mm-dd")</f>
        <v/>
      </c>
      <c r="C46914" t="inlineStr">
        <is>
          <t>2028-05-18</t>
        </is>
      </c>
    </row>
    <row r="46915">
      <c r="A46915" s="1" t="n">
        <v>46914</v>
      </c>
      <c r="B46915">
        <f>TEXT(46914, "[$-0E0000]yyyy-mm-dd")</f>
        <v/>
      </c>
      <c r="C46915" t="inlineStr">
        <is>
          <t>2028-05-19</t>
        </is>
      </c>
    </row>
    <row r="46916">
      <c r="A46916" s="1" t="n">
        <v>46915</v>
      </c>
      <c r="B46916">
        <f>TEXT(46915, "[$-0E0000]yyyy-mm-dd")</f>
        <v/>
      </c>
      <c r="C46916" t="inlineStr">
        <is>
          <t>2028-05-20</t>
        </is>
      </c>
    </row>
    <row r="46917">
      <c r="A46917" s="1" t="n">
        <v>46916</v>
      </c>
      <c r="B46917">
        <f>TEXT(46916, "[$-0E0000]yyyy-mm-dd")</f>
        <v/>
      </c>
      <c r="C46917" t="inlineStr">
        <is>
          <t>2028-05-21</t>
        </is>
      </c>
    </row>
    <row r="46918">
      <c r="A46918" s="1" t="n">
        <v>46917</v>
      </c>
      <c r="B46918">
        <f>TEXT(46917, "[$-0E0000]yyyy-mm-dd")</f>
        <v/>
      </c>
      <c r="C46918" t="inlineStr">
        <is>
          <t>2028-05-22</t>
        </is>
      </c>
    </row>
    <row r="46919">
      <c r="A46919" s="1" t="n">
        <v>46918</v>
      </c>
      <c r="B46919">
        <f>TEXT(46918, "[$-0E0000]yyyy-mm-dd")</f>
        <v/>
      </c>
      <c r="C46919" t="inlineStr">
        <is>
          <t>2028-05-23</t>
        </is>
      </c>
    </row>
    <row r="46920">
      <c r="A46920" s="1" t="n">
        <v>46919</v>
      </c>
      <c r="B46920">
        <f>TEXT(46919, "[$-0E0000]yyyy-mm-dd")</f>
        <v/>
      </c>
      <c r="C46920" t="inlineStr">
        <is>
          <t>2028-05-24</t>
        </is>
      </c>
    </row>
    <row r="46921">
      <c r="A46921" s="1" t="n">
        <v>46920</v>
      </c>
      <c r="B46921">
        <f>TEXT(46920, "[$-0E0000]yyyy-mm-dd")</f>
        <v/>
      </c>
      <c r="C46921" t="inlineStr">
        <is>
          <t>2028-05-25</t>
        </is>
      </c>
    </row>
    <row r="46922">
      <c r="A46922" s="1" t="n">
        <v>46921</v>
      </c>
      <c r="B46922">
        <f>TEXT(46921, "[$-0E0000]yyyy-mm-dd")</f>
        <v/>
      </c>
      <c r="C46922" t="inlineStr">
        <is>
          <t>2028-05-26</t>
        </is>
      </c>
    </row>
    <row r="46923">
      <c r="A46923" s="1" t="n">
        <v>46922</v>
      </c>
      <c r="B46923">
        <f>TEXT(46922, "[$-0E0000]yyyy-mm-dd")</f>
        <v/>
      </c>
      <c r="C46923" t="inlineStr">
        <is>
          <t>2028-05-27</t>
        </is>
      </c>
    </row>
    <row r="46924">
      <c r="A46924" s="1" t="n">
        <v>46923</v>
      </c>
      <c r="B46924">
        <f>TEXT(46923, "[$-0E0000]yyyy-mm-dd")</f>
        <v/>
      </c>
      <c r="C46924" t="inlineStr">
        <is>
          <t>2028-05-28</t>
        </is>
      </c>
    </row>
    <row r="46925">
      <c r="A46925" s="1" t="n">
        <v>46924</v>
      </c>
      <c r="B46925">
        <f>TEXT(46924, "[$-0E0000]yyyy-mm-dd")</f>
        <v/>
      </c>
      <c r="C46925" t="inlineStr">
        <is>
          <t>2028-05-29</t>
        </is>
      </c>
    </row>
    <row r="46926">
      <c r="A46926" s="1" t="n">
        <v>46925</v>
      </c>
      <c r="B46926">
        <f>TEXT(46925, "[$-0E0000]yyyy-mm-dd")</f>
        <v/>
      </c>
      <c r="C46926" t="inlineStr">
        <is>
          <t>2028-05-30</t>
        </is>
      </c>
    </row>
    <row r="46927">
      <c r="A46927" s="1" t="n">
        <v>46926</v>
      </c>
      <c r="B46927">
        <f>TEXT(46926, "[$-0E0000]yyyy-mm-dd")</f>
        <v/>
      </c>
      <c r="C46927" t="inlineStr">
        <is>
          <t>2028-05-01</t>
        </is>
      </c>
    </row>
    <row r="46928">
      <c r="A46928" s="1" t="n">
        <v>46927</v>
      </c>
      <c r="B46928">
        <f>TEXT(46927, "[$-0E0000]yyyy-mm-dd")</f>
        <v/>
      </c>
      <c r="C46928" t="inlineStr">
        <is>
          <t>2028-05-02</t>
        </is>
      </c>
    </row>
    <row r="46929">
      <c r="A46929" s="1" t="n">
        <v>46928</v>
      </c>
      <c r="B46929">
        <f>TEXT(46928, "[$-0E0000]yyyy-mm-dd")</f>
        <v/>
      </c>
      <c r="C46929" t="inlineStr">
        <is>
          <t>2028-05-03</t>
        </is>
      </c>
    </row>
    <row r="46930">
      <c r="A46930" s="1" t="n">
        <v>46929</v>
      </c>
      <c r="B46930">
        <f>TEXT(46929, "[$-0E0000]yyyy-mm-dd")</f>
        <v/>
      </c>
      <c r="C46930" t="inlineStr">
        <is>
          <t>2028-05-04</t>
        </is>
      </c>
    </row>
    <row r="46931">
      <c r="A46931" s="1" t="n">
        <v>46930</v>
      </c>
      <c r="B46931">
        <f>TEXT(46930, "[$-0E0000]yyyy-mm-dd")</f>
        <v/>
      </c>
      <c r="C46931" t="inlineStr">
        <is>
          <t>2028-05-05</t>
        </is>
      </c>
    </row>
    <row r="46932">
      <c r="A46932" s="1" t="n">
        <v>46931</v>
      </c>
      <c r="B46932">
        <f>TEXT(46931, "[$-0E0000]yyyy-mm-dd")</f>
        <v/>
      </c>
      <c r="C46932" t="inlineStr">
        <is>
          <t>2028-05-06</t>
        </is>
      </c>
    </row>
    <row r="46933">
      <c r="A46933" s="1" t="n">
        <v>46932</v>
      </c>
      <c r="B46933">
        <f>TEXT(46932, "[$-0E0000]yyyy-mm-dd")</f>
        <v/>
      </c>
      <c r="C46933" t="inlineStr">
        <is>
          <t>2028-05-07</t>
        </is>
      </c>
    </row>
    <row r="46934">
      <c r="A46934" s="1" t="n">
        <v>46933</v>
      </c>
      <c r="B46934">
        <f>TEXT(46933, "[$-0E0000]yyyy-mm-dd")</f>
        <v/>
      </c>
      <c r="C46934" t="inlineStr">
        <is>
          <t>2028-05-08</t>
        </is>
      </c>
    </row>
    <row r="46935">
      <c r="A46935" s="1" t="n">
        <v>46934</v>
      </c>
      <c r="B46935">
        <f>TEXT(46934, "[$-0E0000]yyyy-mm-dd")</f>
        <v/>
      </c>
      <c r="C46935" t="inlineStr">
        <is>
          <t>2028-05-09</t>
        </is>
      </c>
    </row>
    <row r="46936">
      <c r="A46936" s="1" t="n">
        <v>46935</v>
      </c>
      <c r="B46936">
        <f>TEXT(46935, "[$-0E0000]yyyy-mm-dd")</f>
        <v/>
      </c>
      <c r="C46936" t="inlineStr">
        <is>
          <t>2028-05-10</t>
        </is>
      </c>
    </row>
    <row r="46937">
      <c r="A46937" s="1" t="n">
        <v>46936</v>
      </c>
      <c r="B46937">
        <f>TEXT(46936, "[$-0E0000]yyyy-mm-dd")</f>
        <v/>
      </c>
      <c r="C46937" t="inlineStr">
        <is>
          <t>2028-05-11</t>
        </is>
      </c>
    </row>
    <row r="46938">
      <c r="A46938" s="1" t="n">
        <v>46937</v>
      </c>
      <c r="B46938">
        <f>TEXT(46937, "[$-0E0000]yyyy-mm-dd")</f>
        <v/>
      </c>
      <c r="C46938" t="inlineStr">
        <is>
          <t>2028-05-12</t>
        </is>
      </c>
    </row>
    <row r="46939">
      <c r="A46939" s="1" t="n">
        <v>46938</v>
      </c>
      <c r="B46939">
        <f>TEXT(46938, "[$-0E0000]yyyy-mm-dd")</f>
        <v/>
      </c>
      <c r="C46939" t="inlineStr">
        <is>
          <t>2028-05-13</t>
        </is>
      </c>
    </row>
    <row r="46940">
      <c r="A46940" s="1" t="n">
        <v>46939</v>
      </c>
      <c r="B46940">
        <f>TEXT(46939, "[$-0E0000]yyyy-mm-dd")</f>
        <v/>
      </c>
      <c r="C46940" t="inlineStr">
        <is>
          <t>2028-05-14</t>
        </is>
      </c>
    </row>
    <row r="46941">
      <c r="A46941" s="1" t="n">
        <v>46940</v>
      </c>
      <c r="B46941">
        <f>TEXT(46940, "[$-0E0000]yyyy-mm-dd")</f>
        <v/>
      </c>
      <c r="C46941" t="inlineStr">
        <is>
          <t>2028-05-15</t>
        </is>
      </c>
    </row>
    <row r="46942">
      <c r="A46942" s="1" t="n">
        <v>46941</v>
      </c>
      <c r="B46942">
        <f>TEXT(46941, "[$-0E0000]yyyy-mm-dd")</f>
        <v/>
      </c>
      <c r="C46942" t="inlineStr">
        <is>
          <t>2028-05-16</t>
        </is>
      </c>
    </row>
    <row r="46943">
      <c r="A46943" s="1" t="n">
        <v>46942</v>
      </c>
      <c r="B46943">
        <f>TEXT(46942, "[$-0E0000]yyyy-mm-dd")</f>
        <v/>
      </c>
      <c r="C46943" t="inlineStr">
        <is>
          <t>2028-05-17</t>
        </is>
      </c>
    </row>
    <row r="46944">
      <c r="A46944" s="1" t="n">
        <v>46943</v>
      </c>
      <c r="B46944">
        <f>TEXT(46943, "[$-0E0000]yyyy-mm-dd")</f>
        <v/>
      </c>
      <c r="C46944" t="inlineStr">
        <is>
          <t>2028-05-18</t>
        </is>
      </c>
    </row>
    <row r="46945">
      <c r="A46945" s="1" t="n">
        <v>46944</v>
      </c>
      <c r="B46945">
        <f>TEXT(46944, "[$-0E0000]yyyy-mm-dd")</f>
        <v/>
      </c>
      <c r="C46945" t="inlineStr">
        <is>
          <t>2028-05-19</t>
        </is>
      </c>
    </row>
    <row r="46946">
      <c r="A46946" s="1" t="n">
        <v>46945</v>
      </c>
      <c r="B46946">
        <f>TEXT(46945, "[$-0E0000]yyyy-mm-dd")</f>
        <v/>
      </c>
      <c r="C46946" t="inlineStr">
        <is>
          <t>2028-05-20</t>
        </is>
      </c>
    </row>
    <row r="46947">
      <c r="A46947" s="1" t="n">
        <v>46946</v>
      </c>
      <c r="B46947">
        <f>TEXT(46946, "[$-0E0000]yyyy-mm-dd")</f>
        <v/>
      </c>
      <c r="C46947" t="inlineStr">
        <is>
          <t>2028-05-21</t>
        </is>
      </c>
    </row>
    <row r="46948">
      <c r="A46948" s="1" t="n">
        <v>46947</v>
      </c>
      <c r="B46948">
        <f>TEXT(46947, "[$-0E0000]yyyy-mm-dd")</f>
        <v/>
      </c>
      <c r="C46948" t="inlineStr">
        <is>
          <t>2028-05-22</t>
        </is>
      </c>
    </row>
    <row r="46949">
      <c r="A46949" s="1" t="n">
        <v>46948</v>
      </c>
      <c r="B46949">
        <f>TEXT(46948, "[$-0E0000]yyyy-mm-dd")</f>
        <v/>
      </c>
      <c r="C46949" t="inlineStr">
        <is>
          <t>2028-05-23</t>
        </is>
      </c>
    </row>
    <row r="46950">
      <c r="A46950" s="1" t="n">
        <v>46949</v>
      </c>
      <c r="B46950">
        <f>TEXT(46949, "[$-0E0000]yyyy-mm-dd")</f>
        <v/>
      </c>
      <c r="C46950" t="inlineStr">
        <is>
          <t>2028-05-24</t>
        </is>
      </c>
    </row>
    <row r="46951">
      <c r="A46951" s="1" t="n">
        <v>46950</v>
      </c>
      <c r="B46951">
        <f>TEXT(46950, "[$-0E0000]yyyy-mm-dd")</f>
        <v/>
      </c>
      <c r="C46951" t="inlineStr">
        <is>
          <t>2028-05-25</t>
        </is>
      </c>
    </row>
    <row r="46952">
      <c r="A46952" s="1" t="n">
        <v>46951</v>
      </c>
      <c r="B46952">
        <f>TEXT(46951, "[$-0E0000]yyyy-mm-dd")</f>
        <v/>
      </c>
      <c r="C46952" t="inlineStr">
        <is>
          <t>2028-05-26</t>
        </is>
      </c>
    </row>
    <row r="46953">
      <c r="A46953" s="1" t="n">
        <v>46952</v>
      </c>
      <c r="B46953">
        <f>TEXT(46952, "[$-0E0000]yyyy-mm-dd")</f>
        <v/>
      </c>
      <c r="C46953" t="inlineStr">
        <is>
          <t>2028-05-27</t>
        </is>
      </c>
    </row>
    <row r="46954">
      <c r="A46954" s="1" t="n">
        <v>46953</v>
      </c>
      <c r="B46954">
        <f>TEXT(46953, "[$-0E0000]yyyy-mm-dd")</f>
        <v/>
      </c>
      <c r="C46954" t="inlineStr">
        <is>
          <t>2028-05-28</t>
        </is>
      </c>
    </row>
    <row r="46955">
      <c r="A46955" s="1" t="n">
        <v>46954</v>
      </c>
      <c r="B46955">
        <f>TEXT(46954, "[$-0E0000]yyyy-mm-dd")</f>
        <v/>
      </c>
      <c r="C46955" t="inlineStr">
        <is>
          <t>2028-05-29</t>
        </is>
      </c>
    </row>
    <row r="46956">
      <c r="A46956" s="1" t="n">
        <v>46955</v>
      </c>
      <c r="B46956">
        <f>TEXT(46955, "[$-0E0000]yyyy-mm-dd")</f>
        <v/>
      </c>
      <c r="C46956" t="inlineStr">
        <is>
          <t>2028-06-01</t>
        </is>
      </c>
    </row>
    <row r="46957">
      <c r="A46957" s="1" t="n">
        <v>46956</v>
      </c>
      <c r="B46957">
        <f>TEXT(46956, "[$-0E0000]yyyy-mm-dd")</f>
        <v/>
      </c>
      <c r="C46957" t="inlineStr">
        <is>
          <t>2028-06-02</t>
        </is>
      </c>
    </row>
    <row r="46958">
      <c r="A46958" s="1" t="n">
        <v>46957</v>
      </c>
      <c r="B46958">
        <f>TEXT(46957, "[$-0E0000]yyyy-mm-dd")</f>
        <v/>
      </c>
      <c r="C46958" t="inlineStr">
        <is>
          <t>2028-06-03</t>
        </is>
      </c>
    </row>
    <row r="46959">
      <c r="A46959" s="1" t="n">
        <v>46958</v>
      </c>
      <c r="B46959">
        <f>TEXT(46958, "[$-0E0000]yyyy-mm-dd")</f>
        <v/>
      </c>
      <c r="C46959" t="inlineStr">
        <is>
          <t>2028-06-04</t>
        </is>
      </c>
    </row>
    <row r="46960">
      <c r="A46960" s="1" t="n">
        <v>46959</v>
      </c>
      <c r="B46960">
        <f>TEXT(46959, "[$-0E0000]yyyy-mm-dd")</f>
        <v/>
      </c>
      <c r="C46960" t="inlineStr">
        <is>
          <t>2028-06-05</t>
        </is>
      </c>
    </row>
    <row r="46961">
      <c r="A46961" s="1" t="n">
        <v>46960</v>
      </c>
      <c r="B46961">
        <f>TEXT(46960, "[$-0E0000]yyyy-mm-dd")</f>
        <v/>
      </c>
      <c r="C46961" t="inlineStr">
        <is>
          <t>2028-06-06</t>
        </is>
      </c>
    </row>
    <row r="46962">
      <c r="A46962" s="1" t="n">
        <v>46961</v>
      </c>
      <c r="B46962">
        <f>TEXT(46961, "[$-0E0000]yyyy-mm-dd")</f>
        <v/>
      </c>
      <c r="C46962" t="inlineStr">
        <is>
          <t>2028-06-07</t>
        </is>
      </c>
    </row>
    <row r="46963">
      <c r="A46963" s="1" t="n">
        <v>46962</v>
      </c>
      <c r="B46963">
        <f>TEXT(46962, "[$-0E0000]yyyy-mm-dd")</f>
        <v/>
      </c>
      <c r="C46963" t="inlineStr">
        <is>
          <t>2028-06-08</t>
        </is>
      </c>
    </row>
    <row r="46964">
      <c r="A46964" s="1" t="n">
        <v>46963</v>
      </c>
      <c r="B46964">
        <f>TEXT(46963, "[$-0E0000]yyyy-mm-dd")</f>
        <v/>
      </c>
      <c r="C46964" t="inlineStr">
        <is>
          <t>2028-06-09</t>
        </is>
      </c>
    </row>
    <row r="46965">
      <c r="A46965" s="1" t="n">
        <v>46964</v>
      </c>
      <c r="B46965">
        <f>TEXT(46964, "[$-0E0000]yyyy-mm-dd")</f>
        <v/>
      </c>
      <c r="C46965" t="inlineStr">
        <is>
          <t>2028-06-10</t>
        </is>
      </c>
    </row>
    <row r="46966">
      <c r="A46966" s="1" t="n">
        <v>46965</v>
      </c>
      <c r="B46966">
        <f>TEXT(46965, "[$-0E0000]yyyy-mm-dd")</f>
        <v/>
      </c>
      <c r="C46966" t="inlineStr">
        <is>
          <t>2028-06-11</t>
        </is>
      </c>
    </row>
    <row r="46967">
      <c r="A46967" s="1" t="n">
        <v>46966</v>
      </c>
      <c r="B46967">
        <f>TEXT(46966, "[$-0E0000]yyyy-mm-dd")</f>
        <v/>
      </c>
      <c r="C46967" t="inlineStr">
        <is>
          <t>2028-06-12</t>
        </is>
      </c>
    </row>
    <row r="46968">
      <c r="A46968" s="1" t="n">
        <v>46967</v>
      </c>
      <c r="B46968">
        <f>TEXT(46967, "[$-0E0000]yyyy-mm-dd")</f>
        <v/>
      </c>
      <c r="C46968" t="inlineStr">
        <is>
          <t>2028-06-13</t>
        </is>
      </c>
    </row>
    <row r="46969">
      <c r="A46969" s="1" t="n">
        <v>46968</v>
      </c>
      <c r="B46969">
        <f>TEXT(46968, "[$-0E0000]yyyy-mm-dd")</f>
        <v/>
      </c>
      <c r="C46969" t="inlineStr">
        <is>
          <t>2028-06-14</t>
        </is>
      </c>
    </row>
    <row r="46970">
      <c r="A46970" s="1" t="n">
        <v>46969</v>
      </c>
      <c r="B46970">
        <f>TEXT(46969, "[$-0E0000]yyyy-mm-dd")</f>
        <v/>
      </c>
      <c r="C46970" t="inlineStr">
        <is>
          <t>2028-06-15</t>
        </is>
      </c>
    </row>
    <row r="46971">
      <c r="A46971" s="1" t="n">
        <v>46970</v>
      </c>
      <c r="B46971">
        <f>TEXT(46970, "[$-0E0000]yyyy-mm-dd")</f>
        <v/>
      </c>
      <c r="C46971" t="inlineStr">
        <is>
          <t>2028-06-16</t>
        </is>
      </c>
    </row>
    <row r="46972">
      <c r="A46972" s="1" t="n">
        <v>46971</v>
      </c>
      <c r="B46972">
        <f>TEXT(46971, "[$-0E0000]yyyy-mm-dd")</f>
        <v/>
      </c>
      <c r="C46972" t="inlineStr">
        <is>
          <t>2028-06-17</t>
        </is>
      </c>
    </row>
    <row r="46973">
      <c r="A46973" s="1" t="n">
        <v>46972</v>
      </c>
      <c r="B46973">
        <f>TEXT(46972, "[$-0E0000]yyyy-mm-dd")</f>
        <v/>
      </c>
      <c r="C46973" t="inlineStr">
        <is>
          <t>2028-06-18</t>
        </is>
      </c>
    </row>
    <row r="46974">
      <c r="A46974" s="1" t="n">
        <v>46973</v>
      </c>
      <c r="B46974">
        <f>TEXT(46973, "[$-0E0000]yyyy-mm-dd")</f>
        <v/>
      </c>
      <c r="C46974" t="inlineStr">
        <is>
          <t>2028-06-19</t>
        </is>
      </c>
    </row>
    <row r="46975">
      <c r="A46975" s="1" t="n">
        <v>46974</v>
      </c>
      <c r="B46975">
        <f>TEXT(46974, "[$-0E0000]yyyy-mm-dd")</f>
        <v/>
      </c>
      <c r="C46975" t="inlineStr">
        <is>
          <t>2028-06-20</t>
        </is>
      </c>
    </row>
    <row r="46976">
      <c r="A46976" s="1" t="n">
        <v>46975</v>
      </c>
      <c r="B46976">
        <f>TEXT(46975, "[$-0E0000]yyyy-mm-dd")</f>
        <v/>
      </c>
      <c r="C46976" t="inlineStr">
        <is>
          <t>2028-06-21</t>
        </is>
      </c>
    </row>
    <row r="46977">
      <c r="A46977" s="1" t="n">
        <v>46976</v>
      </c>
      <c r="B46977">
        <f>TEXT(46976, "[$-0E0000]yyyy-mm-dd")</f>
        <v/>
      </c>
      <c r="C46977" t="inlineStr">
        <is>
          <t>2028-06-22</t>
        </is>
      </c>
    </row>
    <row r="46978">
      <c r="A46978" s="1" t="n">
        <v>46977</v>
      </c>
      <c r="B46978">
        <f>TEXT(46977, "[$-0E0000]yyyy-mm-dd")</f>
        <v/>
      </c>
      <c r="C46978" t="inlineStr">
        <is>
          <t>2028-06-23</t>
        </is>
      </c>
    </row>
    <row r="46979">
      <c r="A46979" s="1" t="n">
        <v>46978</v>
      </c>
      <c r="B46979">
        <f>TEXT(46978, "[$-0E0000]yyyy-mm-dd")</f>
        <v/>
      </c>
      <c r="C46979" t="inlineStr">
        <is>
          <t>2028-06-24</t>
        </is>
      </c>
    </row>
    <row r="46980">
      <c r="A46980" s="1" t="n">
        <v>46979</v>
      </c>
      <c r="B46980">
        <f>TEXT(46979, "[$-0E0000]yyyy-mm-dd")</f>
        <v/>
      </c>
      <c r="C46980" t="inlineStr">
        <is>
          <t>2028-06-25</t>
        </is>
      </c>
    </row>
    <row r="46981">
      <c r="A46981" s="1" t="n">
        <v>46980</v>
      </c>
      <c r="B46981">
        <f>TEXT(46980, "[$-0E0000]yyyy-mm-dd")</f>
        <v/>
      </c>
      <c r="C46981" t="inlineStr">
        <is>
          <t>2028-06-26</t>
        </is>
      </c>
    </row>
    <row r="46982">
      <c r="A46982" s="1" t="n">
        <v>46981</v>
      </c>
      <c r="B46982">
        <f>TEXT(46981, "[$-0E0000]yyyy-mm-dd")</f>
        <v/>
      </c>
      <c r="C46982" t="inlineStr">
        <is>
          <t>2028-06-27</t>
        </is>
      </c>
    </row>
    <row r="46983">
      <c r="A46983" s="1" t="n">
        <v>46982</v>
      </c>
      <c r="B46983">
        <f>TEXT(46982, "[$-0E0000]yyyy-mm-dd")</f>
        <v/>
      </c>
      <c r="C46983" t="inlineStr">
        <is>
          <t>2028-06-28</t>
        </is>
      </c>
    </row>
    <row r="46984">
      <c r="A46984" s="1" t="n">
        <v>46983</v>
      </c>
      <c r="B46984">
        <f>TEXT(46983, "[$-0E0000]yyyy-mm-dd")</f>
        <v/>
      </c>
      <c r="C46984" t="inlineStr">
        <is>
          <t>2028-06-29</t>
        </is>
      </c>
    </row>
    <row r="46985">
      <c r="A46985" s="1" t="n">
        <v>46984</v>
      </c>
      <c r="B46985">
        <f>TEXT(46984, "[$-0E0000]yyyy-mm-dd")</f>
        <v/>
      </c>
      <c r="C46985" t="inlineStr">
        <is>
          <t>2028-07-01</t>
        </is>
      </c>
    </row>
    <row r="46986">
      <c r="A46986" s="1" t="n">
        <v>46985</v>
      </c>
      <c r="B46986">
        <f>TEXT(46985, "[$-0E0000]yyyy-mm-dd")</f>
        <v/>
      </c>
      <c r="C46986" t="inlineStr">
        <is>
          <t>2028-07-02</t>
        </is>
      </c>
    </row>
    <row r="46987">
      <c r="A46987" s="1" t="n">
        <v>46986</v>
      </c>
      <c r="B46987">
        <f>TEXT(46986, "[$-0E0000]yyyy-mm-dd")</f>
        <v/>
      </c>
      <c r="C46987" t="inlineStr">
        <is>
          <t>2028-07-03</t>
        </is>
      </c>
    </row>
    <row r="46988">
      <c r="A46988" s="1" t="n">
        <v>46987</v>
      </c>
      <c r="B46988">
        <f>TEXT(46987, "[$-0E0000]yyyy-mm-dd")</f>
        <v/>
      </c>
      <c r="C46988" t="inlineStr">
        <is>
          <t>2028-07-04</t>
        </is>
      </c>
    </row>
    <row r="46989">
      <c r="A46989" s="1" t="n">
        <v>46988</v>
      </c>
      <c r="B46989">
        <f>TEXT(46988, "[$-0E0000]yyyy-mm-dd")</f>
        <v/>
      </c>
      <c r="C46989" t="inlineStr">
        <is>
          <t>2028-07-05</t>
        </is>
      </c>
    </row>
    <row r="46990">
      <c r="A46990" s="1" t="n">
        <v>46989</v>
      </c>
      <c r="B46990">
        <f>TEXT(46989, "[$-0E0000]yyyy-mm-dd")</f>
        <v/>
      </c>
      <c r="C46990" t="inlineStr">
        <is>
          <t>2028-07-06</t>
        </is>
      </c>
    </row>
    <row r="46991">
      <c r="A46991" s="1" t="n">
        <v>46990</v>
      </c>
      <c r="B46991">
        <f>TEXT(46990, "[$-0E0000]yyyy-mm-dd")</f>
        <v/>
      </c>
      <c r="C46991" t="inlineStr">
        <is>
          <t>2028-07-07</t>
        </is>
      </c>
    </row>
    <row r="46992">
      <c r="A46992" s="1" t="n">
        <v>46991</v>
      </c>
      <c r="B46992">
        <f>TEXT(46991, "[$-0E0000]yyyy-mm-dd")</f>
        <v/>
      </c>
      <c r="C46992" t="inlineStr">
        <is>
          <t>2028-07-08</t>
        </is>
      </c>
    </row>
    <row r="46993">
      <c r="A46993" s="1" t="n">
        <v>46992</v>
      </c>
      <c r="B46993">
        <f>TEXT(46992, "[$-0E0000]yyyy-mm-dd")</f>
        <v/>
      </c>
      <c r="C46993" t="inlineStr">
        <is>
          <t>2028-07-09</t>
        </is>
      </c>
    </row>
    <row r="46994">
      <c r="A46994" s="1" t="n">
        <v>46993</v>
      </c>
      <c r="B46994">
        <f>TEXT(46993, "[$-0E0000]yyyy-mm-dd")</f>
        <v/>
      </c>
      <c r="C46994" t="inlineStr">
        <is>
          <t>2028-07-10</t>
        </is>
      </c>
    </row>
    <row r="46995">
      <c r="A46995" s="1" t="n">
        <v>46994</v>
      </c>
      <c r="B46995">
        <f>TEXT(46994, "[$-0E0000]yyyy-mm-dd")</f>
        <v/>
      </c>
      <c r="C46995" t="inlineStr">
        <is>
          <t>2028-07-11</t>
        </is>
      </c>
    </row>
    <row r="46996">
      <c r="A46996" s="1" t="n">
        <v>46995</v>
      </c>
      <c r="B46996">
        <f>TEXT(46995, "[$-0E0000]yyyy-mm-dd")</f>
        <v/>
      </c>
      <c r="C46996" t="inlineStr">
        <is>
          <t>2028-07-12</t>
        </is>
      </c>
    </row>
    <row r="46997">
      <c r="A46997" s="1" t="n">
        <v>46996</v>
      </c>
      <c r="B46997">
        <f>TEXT(46996, "[$-0E0000]yyyy-mm-dd")</f>
        <v/>
      </c>
      <c r="C46997" t="inlineStr">
        <is>
          <t>2028-07-13</t>
        </is>
      </c>
    </row>
    <row r="46998">
      <c r="A46998" s="1" t="n">
        <v>46997</v>
      </c>
      <c r="B46998">
        <f>TEXT(46997, "[$-0E0000]yyyy-mm-dd")</f>
        <v/>
      </c>
      <c r="C46998" t="inlineStr">
        <is>
          <t>2028-07-14</t>
        </is>
      </c>
    </row>
    <row r="46999">
      <c r="A46999" s="1" t="n">
        <v>46998</v>
      </c>
      <c r="B46999">
        <f>TEXT(46998, "[$-0E0000]yyyy-mm-dd")</f>
        <v/>
      </c>
      <c r="C46999" t="inlineStr">
        <is>
          <t>2028-07-15</t>
        </is>
      </c>
    </row>
    <row r="47000">
      <c r="A47000" s="1" t="n">
        <v>46999</v>
      </c>
      <c r="B47000">
        <f>TEXT(46999, "[$-0E0000]yyyy-mm-dd")</f>
        <v/>
      </c>
      <c r="C47000" t="inlineStr">
        <is>
          <t>2028-07-16</t>
        </is>
      </c>
    </row>
    <row r="47001">
      <c r="A47001" s="1" t="n">
        <v>47000</v>
      </c>
      <c r="B47001">
        <f>TEXT(47000, "[$-0E0000]yyyy-mm-dd")</f>
        <v/>
      </c>
      <c r="C47001" t="inlineStr">
        <is>
          <t>2028-07-17</t>
        </is>
      </c>
    </row>
    <row r="47002">
      <c r="A47002" s="1" t="n">
        <v>47001</v>
      </c>
      <c r="B47002">
        <f>TEXT(47001, "[$-0E0000]yyyy-mm-dd")</f>
        <v/>
      </c>
      <c r="C47002" t="inlineStr">
        <is>
          <t>2028-07-18</t>
        </is>
      </c>
    </row>
    <row r="47003">
      <c r="A47003" s="1" t="n">
        <v>47002</v>
      </c>
      <c r="B47003">
        <f>TEXT(47002, "[$-0E0000]yyyy-mm-dd")</f>
        <v/>
      </c>
      <c r="C47003" t="inlineStr">
        <is>
          <t>2028-07-19</t>
        </is>
      </c>
    </row>
    <row r="47004">
      <c r="A47004" s="1" t="n">
        <v>47003</v>
      </c>
      <c r="B47004">
        <f>TEXT(47003, "[$-0E0000]yyyy-mm-dd")</f>
        <v/>
      </c>
      <c r="C47004" t="inlineStr">
        <is>
          <t>2028-07-20</t>
        </is>
      </c>
    </row>
    <row r="47005">
      <c r="A47005" s="1" t="n">
        <v>47004</v>
      </c>
      <c r="B47005">
        <f>TEXT(47004, "[$-0E0000]yyyy-mm-dd")</f>
        <v/>
      </c>
      <c r="C47005" t="inlineStr">
        <is>
          <t>2028-07-21</t>
        </is>
      </c>
    </row>
    <row r="47006">
      <c r="A47006" s="1" t="n">
        <v>47005</v>
      </c>
      <c r="B47006">
        <f>TEXT(47005, "[$-0E0000]yyyy-mm-dd")</f>
        <v/>
      </c>
      <c r="C47006" t="inlineStr">
        <is>
          <t>2028-07-22</t>
        </is>
      </c>
    </row>
    <row r="47007">
      <c r="A47007" s="1" t="n">
        <v>47006</v>
      </c>
      <c r="B47007">
        <f>TEXT(47006, "[$-0E0000]yyyy-mm-dd")</f>
        <v/>
      </c>
      <c r="C47007" t="inlineStr">
        <is>
          <t>2028-07-23</t>
        </is>
      </c>
    </row>
    <row r="47008">
      <c r="A47008" s="1" t="n">
        <v>47007</v>
      </c>
      <c r="B47008">
        <f>TEXT(47007, "[$-0E0000]yyyy-mm-dd")</f>
        <v/>
      </c>
      <c r="C47008" t="inlineStr">
        <is>
          <t>2028-07-24</t>
        </is>
      </c>
    </row>
    <row r="47009">
      <c r="A47009" s="1" t="n">
        <v>47008</v>
      </c>
      <c r="B47009">
        <f>TEXT(47008, "[$-0E0000]yyyy-mm-dd")</f>
        <v/>
      </c>
      <c r="C47009" t="inlineStr">
        <is>
          <t>2028-07-25</t>
        </is>
      </c>
    </row>
    <row r="47010">
      <c r="A47010" s="1" t="n">
        <v>47009</v>
      </c>
      <c r="B47010">
        <f>TEXT(47009, "[$-0E0000]yyyy-mm-dd")</f>
        <v/>
      </c>
      <c r="C47010" t="inlineStr">
        <is>
          <t>2028-07-26</t>
        </is>
      </c>
    </row>
    <row r="47011">
      <c r="A47011" s="1" t="n">
        <v>47010</v>
      </c>
      <c r="B47011">
        <f>TEXT(47010, "[$-0E0000]yyyy-mm-dd")</f>
        <v/>
      </c>
      <c r="C47011" t="inlineStr">
        <is>
          <t>2028-07-27</t>
        </is>
      </c>
    </row>
    <row r="47012">
      <c r="A47012" s="1" t="n">
        <v>47011</v>
      </c>
      <c r="B47012">
        <f>TEXT(47011, "[$-0E0000]yyyy-mm-dd")</f>
        <v/>
      </c>
      <c r="C47012" t="inlineStr">
        <is>
          <t>2028-07-28</t>
        </is>
      </c>
    </row>
    <row r="47013">
      <c r="A47013" s="1" t="n">
        <v>47012</v>
      </c>
      <c r="B47013">
        <f>TEXT(47012, "[$-0E0000]yyyy-mm-dd")</f>
        <v/>
      </c>
      <c r="C47013" t="inlineStr">
        <is>
          <t>2028-07-29</t>
        </is>
      </c>
    </row>
    <row r="47014">
      <c r="A47014" s="1" t="n">
        <v>47013</v>
      </c>
      <c r="B47014">
        <f>TEXT(47013, "[$-0E0000]yyyy-mm-dd")</f>
        <v/>
      </c>
      <c r="C47014" t="inlineStr">
        <is>
          <t>2028-07-30</t>
        </is>
      </c>
    </row>
    <row r="47015">
      <c r="A47015" s="1" t="n">
        <v>47014</v>
      </c>
      <c r="B47015">
        <f>TEXT(47014, "[$-0E0000]yyyy-mm-dd")</f>
        <v/>
      </c>
      <c r="C47015" t="inlineStr">
        <is>
          <t>2028-08-01</t>
        </is>
      </c>
    </row>
    <row r="47016">
      <c r="A47016" s="1" t="n">
        <v>47015</v>
      </c>
      <c r="B47016">
        <f>TEXT(47015, "[$-0E0000]yyyy-mm-dd")</f>
        <v/>
      </c>
      <c r="C47016" t="inlineStr">
        <is>
          <t>2028-08-02</t>
        </is>
      </c>
    </row>
    <row r="47017">
      <c r="A47017" s="1" t="n">
        <v>47016</v>
      </c>
      <c r="B47017">
        <f>TEXT(47016, "[$-0E0000]yyyy-mm-dd")</f>
        <v/>
      </c>
      <c r="C47017" t="inlineStr">
        <is>
          <t>2028-08-03</t>
        </is>
      </c>
    </row>
    <row r="47018">
      <c r="A47018" s="1" t="n">
        <v>47017</v>
      </c>
      <c r="B47018">
        <f>TEXT(47017, "[$-0E0000]yyyy-mm-dd")</f>
        <v/>
      </c>
      <c r="C47018" t="inlineStr">
        <is>
          <t>2028-08-04</t>
        </is>
      </c>
    </row>
    <row r="47019">
      <c r="A47019" s="1" t="n">
        <v>47018</v>
      </c>
      <c r="B47019">
        <f>TEXT(47018, "[$-0E0000]yyyy-mm-dd")</f>
        <v/>
      </c>
      <c r="C47019" t="inlineStr">
        <is>
          <t>2028-08-05</t>
        </is>
      </c>
    </row>
    <row r="47020">
      <c r="A47020" s="1" t="n">
        <v>47019</v>
      </c>
      <c r="B47020">
        <f>TEXT(47019, "[$-0E0000]yyyy-mm-dd")</f>
        <v/>
      </c>
      <c r="C47020" t="inlineStr">
        <is>
          <t>2028-08-06</t>
        </is>
      </c>
    </row>
    <row r="47021">
      <c r="A47021" s="1" t="n">
        <v>47020</v>
      </c>
      <c r="B47021">
        <f>TEXT(47020, "[$-0E0000]yyyy-mm-dd")</f>
        <v/>
      </c>
      <c r="C47021" t="inlineStr">
        <is>
          <t>2028-08-07</t>
        </is>
      </c>
    </row>
    <row r="47022">
      <c r="A47022" s="1" t="n">
        <v>47021</v>
      </c>
      <c r="B47022">
        <f>TEXT(47021, "[$-0E0000]yyyy-mm-dd")</f>
        <v/>
      </c>
      <c r="C47022" t="inlineStr">
        <is>
          <t>2028-08-08</t>
        </is>
      </c>
    </row>
    <row r="47023">
      <c r="A47023" s="1" t="n">
        <v>47022</v>
      </c>
      <c r="B47023">
        <f>TEXT(47022, "[$-0E0000]yyyy-mm-dd")</f>
        <v/>
      </c>
      <c r="C47023" t="inlineStr">
        <is>
          <t>2028-08-09</t>
        </is>
      </c>
    </row>
    <row r="47024">
      <c r="A47024" s="1" t="n">
        <v>47023</v>
      </c>
      <c r="B47024">
        <f>TEXT(47023, "[$-0E0000]yyyy-mm-dd")</f>
        <v/>
      </c>
      <c r="C47024" t="inlineStr">
        <is>
          <t>2028-08-10</t>
        </is>
      </c>
    </row>
    <row r="47025">
      <c r="A47025" s="1" t="n">
        <v>47024</v>
      </c>
      <c r="B47025">
        <f>TEXT(47024, "[$-0E0000]yyyy-mm-dd")</f>
        <v/>
      </c>
      <c r="C47025" t="inlineStr">
        <is>
          <t>2028-08-11</t>
        </is>
      </c>
    </row>
    <row r="47026">
      <c r="A47026" s="1" t="n">
        <v>47025</v>
      </c>
      <c r="B47026">
        <f>TEXT(47025, "[$-0E0000]yyyy-mm-dd")</f>
        <v/>
      </c>
      <c r="C47026" t="inlineStr">
        <is>
          <t>2028-08-12</t>
        </is>
      </c>
    </row>
    <row r="47027">
      <c r="A47027" s="1" t="n">
        <v>47026</v>
      </c>
      <c r="B47027">
        <f>TEXT(47026, "[$-0E0000]yyyy-mm-dd")</f>
        <v/>
      </c>
      <c r="C47027" t="inlineStr">
        <is>
          <t>2028-08-13</t>
        </is>
      </c>
    </row>
    <row r="47028">
      <c r="A47028" s="1" t="n">
        <v>47027</v>
      </c>
      <c r="B47028">
        <f>TEXT(47027, "[$-0E0000]yyyy-mm-dd")</f>
        <v/>
      </c>
      <c r="C47028" t="inlineStr">
        <is>
          <t>2028-08-14</t>
        </is>
      </c>
    </row>
    <row r="47029">
      <c r="A47029" s="1" t="n">
        <v>47028</v>
      </c>
      <c r="B47029">
        <f>TEXT(47028, "[$-0E0000]yyyy-mm-dd")</f>
        <v/>
      </c>
      <c r="C47029" t="inlineStr">
        <is>
          <t>2028-08-15</t>
        </is>
      </c>
    </row>
    <row r="47030">
      <c r="A47030" s="1" t="n">
        <v>47029</v>
      </c>
      <c r="B47030">
        <f>TEXT(47029, "[$-0E0000]yyyy-mm-dd")</f>
        <v/>
      </c>
      <c r="C47030" t="inlineStr">
        <is>
          <t>2028-08-16</t>
        </is>
      </c>
    </row>
    <row r="47031">
      <c r="A47031" s="1" t="n">
        <v>47030</v>
      </c>
      <c r="B47031">
        <f>TEXT(47030, "[$-0E0000]yyyy-mm-dd")</f>
        <v/>
      </c>
      <c r="C47031" t="inlineStr">
        <is>
          <t>2028-08-17</t>
        </is>
      </c>
    </row>
    <row r="47032">
      <c r="A47032" s="1" t="n">
        <v>47031</v>
      </c>
      <c r="B47032">
        <f>TEXT(47031, "[$-0E0000]yyyy-mm-dd")</f>
        <v/>
      </c>
      <c r="C47032" t="inlineStr">
        <is>
          <t>2028-08-18</t>
        </is>
      </c>
    </row>
    <row r="47033">
      <c r="A47033" s="1" t="n">
        <v>47032</v>
      </c>
      <c r="B47033">
        <f>TEXT(47032, "[$-0E0000]yyyy-mm-dd")</f>
        <v/>
      </c>
      <c r="C47033" t="inlineStr">
        <is>
          <t>2028-08-19</t>
        </is>
      </c>
    </row>
    <row r="47034">
      <c r="A47034" s="1" t="n">
        <v>47033</v>
      </c>
      <c r="B47034">
        <f>TEXT(47033, "[$-0E0000]yyyy-mm-dd")</f>
        <v/>
      </c>
      <c r="C47034" t="inlineStr">
        <is>
          <t>2028-08-20</t>
        </is>
      </c>
    </row>
    <row r="47035">
      <c r="A47035" s="1" t="n">
        <v>47034</v>
      </c>
      <c r="B47035">
        <f>TEXT(47034, "[$-0E0000]yyyy-mm-dd")</f>
        <v/>
      </c>
      <c r="C47035" t="inlineStr">
        <is>
          <t>2028-08-21</t>
        </is>
      </c>
    </row>
    <row r="47036">
      <c r="A47036" s="1" t="n">
        <v>47035</v>
      </c>
      <c r="B47036">
        <f>TEXT(47035, "[$-0E0000]yyyy-mm-dd")</f>
        <v/>
      </c>
      <c r="C47036" t="inlineStr">
        <is>
          <t>2028-08-22</t>
        </is>
      </c>
    </row>
    <row r="47037">
      <c r="A47037" s="1" t="n">
        <v>47036</v>
      </c>
      <c r="B47037">
        <f>TEXT(47036, "[$-0E0000]yyyy-mm-dd")</f>
        <v/>
      </c>
      <c r="C47037" t="inlineStr">
        <is>
          <t>2028-08-23</t>
        </is>
      </c>
    </row>
    <row r="47038">
      <c r="A47038" s="1" t="n">
        <v>47037</v>
      </c>
      <c r="B47038">
        <f>TEXT(47037, "[$-0E0000]yyyy-mm-dd")</f>
        <v/>
      </c>
      <c r="C47038" t="inlineStr">
        <is>
          <t>2028-08-24</t>
        </is>
      </c>
    </row>
    <row r="47039">
      <c r="A47039" s="1" t="n">
        <v>47038</v>
      </c>
      <c r="B47039">
        <f>TEXT(47038, "[$-0E0000]yyyy-mm-dd")</f>
        <v/>
      </c>
      <c r="C47039" t="inlineStr">
        <is>
          <t>2028-08-25</t>
        </is>
      </c>
    </row>
    <row r="47040">
      <c r="A47040" s="1" t="n">
        <v>47039</v>
      </c>
      <c r="B47040">
        <f>TEXT(47039, "[$-0E0000]yyyy-mm-dd")</f>
        <v/>
      </c>
      <c r="C47040" t="inlineStr">
        <is>
          <t>2028-08-26</t>
        </is>
      </c>
    </row>
    <row r="47041">
      <c r="A47041" s="1" t="n">
        <v>47040</v>
      </c>
      <c r="B47041">
        <f>TEXT(47040, "[$-0E0000]yyyy-mm-dd")</f>
        <v/>
      </c>
      <c r="C47041" t="inlineStr">
        <is>
          <t>2028-08-27</t>
        </is>
      </c>
    </row>
    <row r="47042">
      <c r="A47042" s="1" t="n">
        <v>47041</v>
      </c>
      <c r="B47042">
        <f>TEXT(47041, "[$-0E0000]yyyy-mm-dd")</f>
        <v/>
      </c>
      <c r="C47042" t="inlineStr">
        <is>
          <t>2028-08-28</t>
        </is>
      </c>
    </row>
    <row r="47043">
      <c r="A47043" s="1" t="n">
        <v>47042</v>
      </c>
      <c r="B47043">
        <f>TEXT(47042, "[$-0E0000]yyyy-mm-dd")</f>
        <v/>
      </c>
      <c r="C47043" t="inlineStr">
        <is>
          <t>2028-08-29</t>
        </is>
      </c>
    </row>
    <row r="47044">
      <c r="A47044" s="1" t="n">
        <v>47043</v>
      </c>
      <c r="B47044">
        <f>TEXT(47043, "[$-0E0000]yyyy-mm-dd")</f>
        <v/>
      </c>
      <c r="C47044" t="inlineStr">
        <is>
          <t>2028-09-01</t>
        </is>
      </c>
    </row>
    <row r="47045">
      <c r="A47045" s="1" t="n">
        <v>47044</v>
      </c>
      <c r="B47045">
        <f>TEXT(47044, "[$-0E0000]yyyy-mm-dd")</f>
        <v/>
      </c>
      <c r="C47045" t="inlineStr">
        <is>
          <t>2028-09-02</t>
        </is>
      </c>
    </row>
    <row r="47046">
      <c r="A47046" s="1" t="n">
        <v>47045</v>
      </c>
      <c r="B47046">
        <f>TEXT(47045, "[$-0E0000]yyyy-mm-dd")</f>
        <v/>
      </c>
      <c r="C47046" t="inlineStr">
        <is>
          <t>2028-09-03</t>
        </is>
      </c>
    </row>
    <row r="47047">
      <c r="A47047" s="1" t="n">
        <v>47046</v>
      </c>
      <c r="B47047">
        <f>TEXT(47046, "[$-0E0000]yyyy-mm-dd")</f>
        <v/>
      </c>
      <c r="C47047" t="inlineStr">
        <is>
          <t>2028-09-04</t>
        </is>
      </c>
    </row>
    <row r="47048">
      <c r="A47048" s="1" t="n">
        <v>47047</v>
      </c>
      <c r="B47048">
        <f>TEXT(47047, "[$-0E0000]yyyy-mm-dd")</f>
        <v/>
      </c>
      <c r="C47048" t="inlineStr">
        <is>
          <t>2028-09-05</t>
        </is>
      </c>
    </row>
    <row r="47049">
      <c r="A47049" s="1" t="n">
        <v>47048</v>
      </c>
      <c r="B47049">
        <f>TEXT(47048, "[$-0E0000]yyyy-mm-dd")</f>
        <v/>
      </c>
      <c r="C47049" t="inlineStr">
        <is>
          <t>2028-09-06</t>
        </is>
      </c>
    </row>
    <row r="47050">
      <c r="A47050" s="1" t="n">
        <v>47049</v>
      </c>
      <c r="B47050">
        <f>TEXT(47049, "[$-0E0000]yyyy-mm-dd")</f>
        <v/>
      </c>
      <c r="C47050" t="inlineStr">
        <is>
          <t>2028-09-07</t>
        </is>
      </c>
    </row>
    <row r="47051">
      <c r="A47051" s="1" t="n">
        <v>47050</v>
      </c>
      <c r="B47051">
        <f>TEXT(47050, "[$-0E0000]yyyy-mm-dd")</f>
        <v/>
      </c>
      <c r="C47051" t="inlineStr">
        <is>
          <t>2028-09-08</t>
        </is>
      </c>
    </row>
    <row r="47052">
      <c r="A47052" s="1" t="n">
        <v>47051</v>
      </c>
      <c r="B47052">
        <f>TEXT(47051, "[$-0E0000]yyyy-mm-dd")</f>
        <v/>
      </c>
      <c r="C47052" t="inlineStr">
        <is>
          <t>2028-09-09</t>
        </is>
      </c>
    </row>
    <row r="47053">
      <c r="A47053" s="1" t="n">
        <v>47052</v>
      </c>
      <c r="B47053">
        <f>TEXT(47052, "[$-0E0000]yyyy-mm-dd")</f>
        <v/>
      </c>
      <c r="C47053" t="inlineStr">
        <is>
          <t>2028-09-10</t>
        </is>
      </c>
    </row>
    <row r="47054">
      <c r="A47054" s="1" t="n">
        <v>47053</v>
      </c>
      <c r="B47054">
        <f>TEXT(47053, "[$-0E0000]yyyy-mm-dd")</f>
        <v/>
      </c>
      <c r="C47054" t="inlineStr">
        <is>
          <t>2028-09-11</t>
        </is>
      </c>
    </row>
    <row r="47055">
      <c r="A47055" s="1" t="n">
        <v>47054</v>
      </c>
      <c r="B47055">
        <f>TEXT(47054, "[$-0E0000]yyyy-mm-dd")</f>
        <v/>
      </c>
      <c r="C47055" t="inlineStr">
        <is>
          <t>2028-09-12</t>
        </is>
      </c>
    </row>
    <row r="47056">
      <c r="A47056" s="1" t="n">
        <v>47055</v>
      </c>
      <c r="B47056">
        <f>TEXT(47055, "[$-0E0000]yyyy-mm-dd")</f>
        <v/>
      </c>
      <c r="C47056" t="inlineStr">
        <is>
          <t>2028-09-13</t>
        </is>
      </c>
    </row>
    <row r="47057">
      <c r="A47057" s="1" t="n">
        <v>47056</v>
      </c>
      <c r="B47057">
        <f>TEXT(47056, "[$-0E0000]yyyy-mm-dd")</f>
        <v/>
      </c>
      <c r="C47057" t="inlineStr">
        <is>
          <t>2028-09-14</t>
        </is>
      </c>
    </row>
    <row r="47058">
      <c r="A47058" s="1" t="n">
        <v>47057</v>
      </c>
      <c r="B47058">
        <f>TEXT(47057, "[$-0E0000]yyyy-mm-dd")</f>
        <v/>
      </c>
      <c r="C47058" t="inlineStr">
        <is>
          <t>2028-09-15</t>
        </is>
      </c>
    </row>
    <row r="47059">
      <c r="A47059" s="1" t="n">
        <v>47058</v>
      </c>
      <c r="B47059">
        <f>TEXT(47058, "[$-0E0000]yyyy-mm-dd")</f>
        <v/>
      </c>
      <c r="C47059" t="inlineStr">
        <is>
          <t>2028-09-16</t>
        </is>
      </c>
    </row>
    <row r="47060">
      <c r="A47060" s="1" t="n">
        <v>47059</v>
      </c>
      <c r="B47060">
        <f>TEXT(47059, "[$-0E0000]yyyy-mm-dd")</f>
        <v/>
      </c>
      <c r="C47060" t="inlineStr">
        <is>
          <t>2028-09-17</t>
        </is>
      </c>
    </row>
    <row r="47061">
      <c r="A47061" s="1" t="n">
        <v>47060</v>
      </c>
      <c r="B47061">
        <f>TEXT(47060, "[$-0E0000]yyyy-mm-dd")</f>
        <v/>
      </c>
      <c r="C47061" t="inlineStr">
        <is>
          <t>2028-09-18</t>
        </is>
      </c>
    </row>
    <row r="47062">
      <c r="A47062" s="1" t="n">
        <v>47061</v>
      </c>
      <c r="B47062">
        <f>TEXT(47061, "[$-0E0000]yyyy-mm-dd")</f>
        <v/>
      </c>
      <c r="C47062" t="inlineStr">
        <is>
          <t>2028-09-19</t>
        </is>
      </c>
    </row>
    <row r="47063">
      <c r="A47063" s="1" t="n">
        <v>47062</v>
      </c>
      <c r="B47063">
        <f>TEXT(47062, "[$-0E0000]yyyy-mm-dd")</f>
        <v/>
      </c>
      <c r="C47063" t="inlineStr">
        <is>
          <t>2028-09-20</t>
        </is>
      </c>
    </row>
    <row r="47064">
      <c r="A47064" s="1" t="n">
        <v>47063</v>
      </c>
      <c r="B47064">
        <f>TEXT(47063, "[$-0E0000]yyyy-mm-dd")</f>
        <v/>
      </c>
      <c r="C47064" t="inlineStr">
        <is>
          <t>2028-09-21</t>
        </is>
      </c>
    </row>
    <row r="47065">
      <c r="A47065" s="1" t="n">
        <v>47064</v>
      </c>
      <c r="B47065">
        <f>TEXT(47064, "[$-0E0000]yyyy-mm-dd")</f>
        <v/>
      </c>
      <c r="C47065" t="inlineStr">
        <is>
          <t>2028-09-22</t>
        </is>
      </c>
    </row>
    <row r="47066">
      <c r="A47066" s="1" t="n">
        <v>47065</v>
      </c>
      <c r="B47066">
        <f>TEXT(47065, "[$-0E0000]yyyy-mm-dd")</f>
        <v/>
      </c>
      <c r="C47066" t="inlineStr">
        <is>
          <t>2028-09-23</t>
        </is>
      </c>
    </row>
    <row r="47067">
      <c r="A47067" s="1" t="n">
        <v>47066</v>
      </c>
      <c r="B47067">
        <f>TEXT(47066, "[$-0E0000]yyyy-mm-dd")</f>
        <v/>
      </c>
      <c r="C47067" t="inlineStr">
        <is>
          <t>2028-09-24</t>
        </is>
      </c>
    </row>
    <row r="47068">
      <c r="A47068" s="1" t="n">
        <v>47067</v>
      </c>
      <c r="B47068">
        <f>TEXT(47067, "[$-0E0000]yyyy-mm-dd")</f>
        <v/>
      </c>
      <c r="C47068" t="inlineStr">
        <is>
          <t>2028-09-25</t>
        </is>
      </c>
    </row>
    <row r="47069">
      <c r="A47069" s="1" t="n">
        <v>47068</v>
      </c>
      <c r="B47069">
        <f>TEXT(47068, "[$-0E0000]yyyy-mm-dd")</f>
        <v/>
      </c>
      <c r="C47069" t="inlineStr">
        <is>
          <t>2028-09-26</t>
        </is>
      </c>
    </row>
    <row r="47070">
      <c r="A47070" s="1" t="n">
        <v>47069</v>
      </c>
      <c r="B47070">
        <f>TEXT(47069, "[$-0E0000]yyyy-mm-dd")</f>
        <v/>
      </c>
      <c r="C47070" t="inlineStr">
        <is>
          <t>2028-09-27</t>
        </is>
      </c>
    </row>
    <row r="47071">
      <c r="A47071" s="1" t="n">
        <v>47070</v>
      </c>
      <c r="B47071">
        <f>TEXT(47070, "[$-0E0000]yyyy-mm-dd")</f>
        <v/>
      </c>
      <c r="C47071" t="inlineStr">
        <is>
          <t>2028-09-28</t>
        </is>
      </c>
    </row>
    <row r="47072">
      <c r="A47072" s="1" t="n">
        <v>47071</v>
      </c>
      <c r="B47072">
        <f>TEXT(47071, "[$-0E0000]yyyy-mm-dd")</f>
        <v/>
      </c>
      <c r="C47072" t="inlineStr">
        <is>
          <t>2028-09-29</t>
        </is>
      </c>
    </row>
    <row r="47073">
      <c r="A47073" s="1" t="n">
        <v>47072</v>
      </c>
      <c r="B47073">
        <f>TEXT(47072, "[$-0E0000]yyyy-mm-dd")</f>
        <v/>
      </c>
      <c r="C47073" t="inlineStr">
        <is>
          <t>2028-10-01</t>
        </is>
      </c>
    </row>
    <row r="47074">
      <c r="A47074" s="1" t="n">
        <v>47073</v>
      </c>
      <c r="B47074">
        <f>TEXT(47073, "[$-0E0000]yyyy-mm-dd")</f>
        <v/>
      </c>
      <c r="C47074" t="inlineStr">
        <is>
          <t>2028-10-02</t>
        </is>
      </c>
    </row>
    <row r="47075">
      <c r="A47075" s="1" t="n">
        <v>47074</v>
      </c>
      <c r="B47075">
        <f>TEXT(47074, "[$-0E0000]yyyy-mm-dd")</f>
        <v/>
      </c>
      <c r="C47075" t="inlineStr">
        <is>
          <t>2028-10-03</t>
        </is>
      </c>
    </row>
    <row r="47076">
      <c r="A47076" s="1" t="n">
        <v>47075</v>
      </c>
      <c r="B47076">
        <f>TEXT(47075, "[$-0E0000]yyyy-mm-dd")</f>
        <v/>
      </c>
      <c r="C47076" t="inlineStr">
        <is>
          <t>2028-10-04</t>
        </is>
      </c>
    </row>
    <row r="47077">
      <c r="A47077" s="1" t="n">
        <v>47076</v>
      </c>
      <c r="B47077">
        <f>TEXT(47076, "[$-0E0000]yyyy-mm-dd")</f>
        <v/>
      </c>
      <c r="C47077" t="inlineStr">
        <is>
          <t>2028-10-05</t>
        </is>
      </c>
    </row>
    <row r="47078">
      <c r="A47078" s="1" t="n">
        <v>47077</v>
      </c>
      <c r="B47078">
        <f>TEXT(47077, "[$-0E0000]yyyy-mm-dd")</f>
        <v/>
      </c>
      <c r="C47078" t="inlineStr">
        <is>
          <t>2028-10-06</t>
        </is>
      </c>
    </row>
    <row r="47079">
      <c r="A47079" s="1" t="n">
        <v>47078</v>
      </c>
      <c r="B47079">
        <f>TEXT(47078, "[$-0E0000]yyyy-mm-dd")</f>
        <v/>
      </c>
      <c r="C47079" t="inlineStr">
        <is>
          <t>2028-10-07</t>
        </is>
      </c>
    </row>
    <row r="47080">
      <c r="A47080" s="1" t="n">
        <v>47079</v>
      </c>
      <c r="B47080">
        <f>TEXT(47079, "[$-0E0000]yyyy-mm-dd")</f>
        <v/>
      </c>
      <c r="C47080" t="inlineStr">
        <is>
          <t>2028-10-08</t>
        </is>
      </c>
    </row>
    <row r="47081">
      <c r="A47081" s="1" t="n">
        <v>47080</v>
      </c>
      <c r="B47081">
        <f>TEXT(47080, "[$-0E0000]yyyy-mm-dd")</f>
        <v/>
      </c>
      <c r="C47081" t="inlineStr">
        <is>
          <t>2028-10-09</t>
        </is>
      </c>
    </row>
    <row r="47082">
      <c r="A47082" s="1" t="n">
        <v>47081</v>
      </c>
      <c r="B47082">
        <f>TEXT(47081, "[$-0E0000]yyyy-mm-dd")</f>
        <v/>
      </c>
      <c r="C47082" t="inlineStr">
        <is>
          <t>2028-10-10</t>
        </is>
      </c>
    </row>
    <row r="47083">
      <c r="A47083" s="1" t="n">
        <v>47082</v>
      </c>
      <c r="B47083">
        <f>TEXT(47082, "[$-0E0000]yyyy-mm-dd")</f>
        <v/>
      </c>
      <c r="C47083" t="inlineStr">
        <is>
          <t>2028-10-11</t>
        </is>
      </c>
    </row>
    <row r="47084">
      <c r="A47084" s="1" t="n">
        <v>47083</v>
      </c>
      <c r="B47084">
        <f>TEXT(47083, "[$-0E0000]yyyy-mm-dd")</f>
        <v/>
      </c>
      <c r="C47084" t="inlineStr">
        <is>
          <t>2028-10-12</t>
        </is>
      </c>
    </row>
    <row r="47085">
      <c r="A47085" s="1" t="n">
        <v>47084</v>
      </c>
      <c r="B47085">
        <f>TEXT(47084, "[$-0E0000]yyyy-mm-dd")</f>
        <v/>
      </c>
      <c r="C47085" t="inlineStr">
        <is>
          <t>2028-10-13</t>
        </is>
      </c>
    </row>
    <row r="47086">
      <c r="A47086" s="1" t="n">
        <v>47085</v>
      </c>
      <c r="B47086">
        <f>TEXT(47085, "[$-0E0000]yyyy-mm-dd")</f>
        <v/>
      </c>
      <c r="C47086" t="inlineStr">
        <is>
          <t>2028-10-14</t>
        </is>
      </c>
    </row>
    <row r="47087">
      <c r="A47087" s="1" t="n">
        <v>47086</v>
      </c>
      <c r="B47087">
        <f>TEXT(47086, "[$-0E0000]yyyy-mm-dd")</f>
        <v/>
      </c>
      <c r="C47087" t="inlineStr">
        <is>
          <t>2028-10-15</t>
        </is>
      </c>
    </row>
    <row r="47088">
      <c r="A47088" s="1" t="n">
        <v>47087</v>
      </c>
      <c r="B47088">
        <f>TEXT(47087, "[$-0E0000]yyyy-mm-dd")</f>
        <v/>
      </c>
      <c r="C47088" t="inlineStr">
        <is>
          <t>2028-10-16</t>
        </is>
      </c>
    </row>
    <row r="47089">
      <c r="A47089" s="1" t="n">
        <v>47088</v>
      </c>
      <c r="B47089">
        <f>TEXT(47088, "[$-0E0000]yyyy-mm-dd")</f>
        <v/>
      </c>
      <c r="C47089" t="inlineStr">
        <is>
          <t>2028-10-17</t>
        </is>
      </c>
    </row>
    <row r="47090">
      <c r="A47090" s="1" t="n">
        <v>47089</v>
      </c>
      <c r="B47090">
        <f>TEXT(47089, "[$-0E0000]yyyy-mm-dd")</f>
        <v/>
      </c>
      <c r="C47090" t="inlineStr">
        <is>
          <t>2028-10-18</t>
        </is>
      </c>
    </row>
    <row r="47091">
      <c r="A47091" s="1" t="n">
        <v>47090</v>
      </c>
      <c r="B47091">
        <f>TEXT(47090, "[$-0E0000]yyyy-mm-dd")</f>
        <v/>
      </c>
      <c r="C47091" t="inlineStr">
        <is>
          <t>2028-10-19</t>
        </is>
      </c>
    </row>
    <row r="47092">
      <c r="A47092" s="1" t="n">
        <v>47091</v>
      </c>
      <c r="B47092">
        <f>TEXT(47091, "[$-0E0000]yyyy-mm-dd")</f>
        <v/>
      </c>
      <c r="C47092" t="inlineStr">
        <is>
          <t>2028-10-20</t>
        </is>
      </c>
    </row>
    <row r="47093">
      <c r="A47093" s="1" t="n">
        <v>47092</v>
      </c>
      <c r="B47093">
        <f>TEXT(47092, "[$-0E0000]yyyy-mm-dd")</f>
        <v/>
      </c>
      <c r="C47093" t="inlineStr">
        <is>
          <t>2028-10-21</t>
        </is>
      </c>
    </row>
    <row r="47094">
      <c r="A47094" s="1" t="n">
        <v>47093</v>
      </c>
      <c r="B47094">
        <f>TEXT(47093, "[$-0E0000]yyyy-mm-dd")</f>
        <v/>
      </c>
      <c r="C47094" t="inlineStr">
        <is>
          <t>2028-10-22</t>
        </is>
      </c>
    </row>
    <row r="47095">
      <c r="A47095" s="1" t="n">
        <v>47094</v>
      </c>
      <c r="B47095">
        <f>TEXT(47094, "[$-0E0000]yyyy-mm-dd")</f>
        <v/>
      </c>
      <c r="C47095" t="inlineStr">
        <is>
          <t>2028-10-23</t>
        </is>
      </c>
    </row>
    <row r="47096">
      <c r="A47096" s="1" t="n">
        <v>47095</v>
      </c>
      <c r="B47096">
        <f>TEXT(47095, "[$-0E0000]yyyy-mm-dd")</f>
        <v/>
      </c>
      <c r="C47096" t="inlineStr">
        <is>
          <t>2028-10-24</t>
        </is>
      </c>
    </row>
    <row r="47097">
      <c r="A47097" s="1" t="n">
        <v>47096</v>
      </c>
      <c r="B47097">
        <f>TEXT(47096, "[$-0E0000]yyyy-mm-dd")</f>
        <v/>
      </c>
      <c r="C47097" t="inlineStr">
        <is>
          <t>2028-10-25</t>
        </is>
      </c>
    </row>
    <row r="47098">
      <c r="A47098" s="1" t="n">
        <v>47097</v>
      </c>
      <c r="B47098">
        <f>TEXT(47097, "[$-0E0000]yyyy-mm-dd")</f>
        <v/>
      </c>
      <c r="C47098" t="inlineStr">
        <is>
          <t>2028-10-26</t>
        </is>
      </c>
    </row>
    <row r="47099">
      <c r="A47099" s="1" t="n">
        <v>47098</v>
      </c>
      <c r="B47099">
        <f>TEXT(47098, "[$-0E0000]yyyy-mm-dd")</f>
        <v/>
      </c>
      <c r="C47099" t="inlineStr">
        <is>
          <t>2028-10-27</t>
        </is>
      </c>
    </row>
    <row r="47100">
      <c r="A47100" s="1" t="n">
        <v>47099</v>
      </c>
      <c r="B47100">
        <f>TEXT(47099, "[$-0E0000]yyyy-mm-dd")</f>
        <v/>
      </c>
      <c r="C47100" t="inlineStr">
        <is>
          <t>2028-10-28</t>
        </is>
      </c>
    </row>
    <row r="47101">
      <c r="A47101" s="1" t="n">
        <v>47100</v>
      </c>
      <c r="B47101">
        <f>TEXT(47100, "[$-0E0000]yyyy-mm-dd")</f>
        <v/>
      </c>
      <c r="C47101" t="inlineStr">
        <is>
          <t>2028-10-29</t>
        </is>
      </c>
    </row>
    <row r="47102">
      <c r="A47102" s="1" t="n">
        <v>47101</v>
      </c>
      <c r="B47102">
        <f>TEXT(47101, "[$-0E0000]yyyy-mm-dd")</f>
        <v/>
      </c>
      <c r="C47102" t="inlineStr">
        <is>
          <t>2028-10-30</t>
        </is>
      </c>
    </row>
    <row r="47103">
      <c r="A47103" s="1" t="n">
        <v>47102</v>
      </c>
      <c r="B47103">
        <f>TEXT(47102, "[$-0E0000]yyyy-mm-dd")</f>
        <v/>
      </c>
      <c r="C47103" t="inlineStr">
        <is>
          <t>2028-11-01</t>
        </is>
      </c>
    </row>
    <row r="47104">
      <c r="A47104" s="1" t="n">
        <v>47103</v>
      </c>
      <c r="B47104">
        <f>TEXT(47103, "[$-0E0000]yyyy-mm-dd")</f>
        <v/>
      </c>
      <c r="C47104" t="inlineStr">
        <is>
          <t>2028-11-02</t>
        </is>
      </c>
    </row>
    <row r="47105">
      <c r="A47105" s="1" t="n">
        <v>47104</v>
      </c>
      <c r="B47105">
        <f>TEXT(47104, "[$-0E0000]yyyy-mm-dd")</f>
        <v/>
      </c>
      <c r="C47105" t="inlineStr">
        <is>
          <t>2028-11-03</t>
        </is>
      </c>
    </row>
    <row r="47106">
      <c r="A47106" s="1" t="n">
        <v>47105</v>
      </c>
      <c r="B47106">
        <f>TEXT(47105, "[$-0E0000]yyyy-mm-dd")</f>
        <v/>
      </c>
      <c r="C47106" t="inlineStr">
        <is>
          <t>2028-11-04</t>
        </is>
      </c>
    </row>
    <row r="47107">
      <c r="A47107" s="1" t="n">
        <v>47106</v>
      </c>
      <c r="B47107">
        <f>TEXT(47106, "[$-0E0000]yyyy-mm-dd")</f>
        <v/>
      </c>
      <c r="C47107" t="inlineStr">
        <is>
          <t>2028-11-05</t>
        </is>
      </c>
    </row>
    <row r="47108">
      <c r="A47108" s="1" t="n">
        <v>47107</v>
      </c>
      <c r="B47108">
        <f>TEXT(47107, "[$-0E0000]yyyy-mm-dd")</f>
        <v/>
      </c>
      <c r="C47108" t="inlineStr">
        <is>
          <t>2028-11-06</t>
        </is>
      </c>
    </row>
    <row r="47109">
      <c r="A47109" s="1" t="n">
        <v>47108</v>
      </c>
      <c r="B47109">
        <f>TEXT(47108, "[$-0E0000]yyyy-mm-dd")</f>
        <v/>
      </c>
      <c r="C47109" t="inlineStr">
        <is>
          <t>2028-11-07</t>
        </is>
      </c>
    </row>
    <row r="47110">
      <c r="A47110" s="1" t="n">
        <v>47109</v>
      </c>
      <c r="B47110">
        <f>TEXT(47109, "[$-0E0000]yyyy-mm-dd")</f>
        <v/>
      </c>
      <c r="C47110" t="inlineStr">
        <is>
          <t>2028-11-08</t>
        </is>
      </c>
    </row>
    <row r="47111">
      <c r="A47111" s="1" t="n">
        <v>47110</v>
      </c>
      <c r="B47111">
        <f>TEXT(47110, "[$-0E0000]yyyy-mm-dd")</f>
        <v/>
      </c>
      <c r="C47111" t="inlineStr">
        <is>
          <t>2028-11-09</t>
        </is>
      </c>
    </row>
    <row r="47112">
      <c r="A47112" s="1" t="n">
        <v>47111</v>
      </c>
      <c r="B47112">
        <f>TEXT(47111, "[$-0E0000]yyyy-mm-dd")</f>
        <v/>
      </c>
      <c r="C47112" t="inlineStr">
        <is>
          <t>2028-11-10</t>
        </is>
      </c>
    </row>
    <row r="47113">
      <c r="A47113" s="1" t="n">
        <v>47112</v>
      </c>
      <c r="B47113">
        <f>TEXT(47112, "[$-0E0000]yyyy-mm-dd")</f>
        <v/>
      </c>
      <c r="C47113" t="inlineStr">
        <is>
          <t>2028-11-11</t>
        </is>
      </c>
    </row>
    <row r="47114">
      <c r="A47114" s="1" t="n">
        <v>47113</v>
      </c>
      <c r="B47114">
        <f>TEXT(47113, "[$-0E0000]yyyy-mm-dd")</f>
        <v/>
      </c>
      <c r="C47114" t="inlineStr">
        <is>
          <t>2028-11-12</t>
        </is>
      </c>
    </row>
    <row r="47115">
      <c r="A47115" s="1" t="n">
        <v>47114</v>
      </c>
      <c r="B47115">
        <f>TEXT(47114, "[$-0E0000]yyyy-mm-dd")</f>
        <v/>
      </c>
      <c r="C47115" t="inlineStr">
        <is>
          <t>2028-11-13</t>
        </is>
      </c>
    </row>
    <row r="47116">
      <c r="A47116" s="1" t="n">
        <v>47115</v>
      </c>
      <c r="B47116">
        <f>TEXT(47115, "[$-0E0000]yyyy-mm-dd")</f>
        <v/>
      </c>
      <c r="C47116" t="inlineStr">
        <is>
          <t>2028-11-14</t>
        </is>
      </c>
    </row>
    <row r="47117">
      <c r="A47117" s="1" t="n">
        <v>47116</v>
      </c>
      <c r="B47117">
        <f>TEXT(47116, "[$-0E0000]yyyy-mm-dd")</f>
        <v/>
      </c>
      <c r="C47117" t="inlineStr">
        <is>
          <t>2028-11-15</t>
        </is>
      </c>
    </row>
    <row r="47118">
      <c r="A47118" s="1" t="n">
        <v>47117</v>
      </c>
      <c r="B47118">
        <f>TEXT(47117, "[$-0E0000]yyyy-mm-dd")</f>
        <v/>
      </c>
      <c r="C47118" t="inlineStr">
        <is>
          <t>2028-11-16</t>
        </is>
      </c>
    </row>
    <row r="47119">
      <c r="A47119" s="1" t="n">
        <v>47118</v>
      </c>
      <c r="B47119">
        <f>TEXT(47118, "[$-0E0000]yyyy-mm-dd")</f>
        <v/>
      </c>
      <c r="C47119" t="inlineStr">
        <is>
          <t>2028-11-17</t>
        </is>
      </c>
    </row>
    <row r="47120">
      <c r="A47120" s="1" t="n">
        <v>47119</v>
      </c>
      <c r="B47120">
        <f>TEXT(47119, "[$-0E0000]yyyy-mm-dd")</f>
        <v/>
      </c>
      <c r="C47120" t="inlineStr">
        <is>
          <t>2028-11-18</t>
        </is>
      </c>
    </row>
    <row r="47121">
      <c r="A47121" s="1" t="n">
        <v>47120</v>
      </c>
      <c r="B47121">
        <f>TEXT(47120, "[$-0E0000]yyyy-mm-dd")</f>
        <v/>
      </c>
      <c r="C47121" t="inlineStr">
        <is>
          <t>2028-11-19</t>
        </is>
      </c>
    </row>
    <row r="47122">
      <c r="A47122" s="1" t="n">
        <v>47121</v>
      </c>
      <c r="B47122">
        <f>TEXT(47121, "[$-0E0000]yyyy-mm-dd")</f>
        <v/>
      </c>
      <c r="C47122" t="inlineStr">
        <is>
          <t>2028-11-20</t>
        </is>
      </c>
    </row>
    <row r="47123">
      <c r="A47123" s="1" t="n">
        <v>47122</v>
      </c>
      <c r="B47123">
        <f>TEXT(47122, "[$-0E0000]yyyy-mm-dd")</f>
        <v/>
      </c>
      <c r="C47123" t="inlineStr">
        <is>
          <t>2028-11-21</t>
        </is>
      </c>
    </row>
    <row r="47124">
      <c r="A47124" s="1" t="n">
        <v>47123</v>
      </c>
      <c r="B47124">
        <f>TEXT(47123, "[$-0E0000]yyyy-mm-dd")</f>
        <v/>
      </c>
      <c r="C47124" t="inlineStr">
        <is>
          <t>2028-11-22</t>
        </is>
      </c>
    </row>
    <row r="47125">
      <c r="A47125" s="1" t="n">
        <v>47124</v>
      </c>
      <c r="B47125">
        <f>TEXT(47124, "[$-0E0000]yyyy-mm-dd")</f>
        <v/>
      </c>
      <c r="C47125" t="inlineStr">
        <is>
          <t>2028-11-23</t>
        </is>
      </c>
    </row>
    <row r="47126">
      <c r="A47126" s="1" t="n">
        <v>47125</v>
      </c>
      <c r="B47126">
        <f>TEXT(47125, "[$-0E0000]yyyy-mm-dd")</f>
        <v/>
      </c>
      <c r="C47126" t="inlineStr">
        <is>
          <t>2028-11-24</t>
        </is>
      </c>
    </row>
    <row r="47127">
      <c r="A47127" s="1" t="n">
        <v>47126</v>
      </c>
      <c r="B47127">
        <f>TEXT(47126, "[$-0E0000]yyyy-mm-dd")</f>
        <v/>
      </c>
      <c r="C47127" t="inlineStr">
        <is>
          <t>2028-11-25</t>
        </is>
      </c>
    </row>
    <row r="47128">
      <c r="A47128" s="1" t="n">
        <v>47127</v>
      </c>
      <c r="B47128">
        <f>TEXT(47127, "[$-0E0000]yyyy-mm-dd")</f>
        <v/>
      </c>
      <c r="C47128" t="inlineStr">
        <is>
          <t>2028-11-26</t>
        </is>
      </c>
    </row>
    <row r="47129">
      <c r="A47129" s="1" t="n">
        <v>47128</v>
      </c>
      <c r="B47129">
        <f>TEXT(47128, "[$-0E0000]yyyy-mm-dd")</f>
        <v/>
      </c>
      <c r="C47129" t="inlineStr">
        <is>
          <t>2028-11-27</t>
        </is>
      </c>
    </row>
    <row r="47130">
      <c r="A47130" s="1" t="n">
        <v>47129</v>
      </c>
      <c r="B47130">
        <f>TEXT(47129, "[$-0E0000]yyyy-mm-dd")</f>
        <v/>
      </c>
      <c r="C47130" t="inlineStr">
        <is>
          <t>2028-11-28</t>
        </is>
      </c>
    </row>
    <row r="47131">
      <c r="A47131" s="1" t="n">
        <v>47130</v>
      </c>
      <c r="B47131">
        <f>TEXT(47130, "[$-0E0000]yyyy-mm-dd")</f>
        <v/>
      </c>
      <c r="C47131" t="inlineStr">
        <is>
          <t>2028-11-29</t>
        </is>
      </c>
    </row>
    <row r="47132">
      <c r="A47132" s="1" t="n">
        <v>47131</v>
      </c>
      <c r="B47132">
        <f>TEXT(47131, "[$-0E0000]yyyy-mm-dd")</f>
        <v/>
      </c>
      <c r="C47132" t="inlineStr">
        <is>
          <t>2028-11-30</t>
        </is>
      </c>
    </row>
    <row r="47133">
      <c r="A47133" s="1" t="n">
        <v>47132</v>
      </c>
      <c r="B47133">
        <f>TEXT(47132, "[$-0E0000]yyyy-mm-dd")</f>
        <v/>
      </c>
      <c r="C47133" t="inlineStr">
        <is>
          <t>2028-12-01</t>
        </is>
      </c>
    </row>
    <row r="47134">
      <c r="A47134" s="1" t="n">
        <v>47133</v>
      </c>
      <c r="B47134">
        <f>TEXT(47133, "[$-0E0000]yyyy-mm-dd")</f>
        <v/>
      </c>
      <c r="C47134" t="inlineStr">
        <is>
          <t>2028-12-02</t>
        </is>
      </c>
    </row>
    <row r="47135">
      <c r="A47135" s="1" t="n">
        <v>47134</v>
      </c>
      <c r="B47135">
        <f>TEXT(47134, "[$-0E0000]yyyy-mm-dd")</f>
        <v/>
      </c>
      <c r="C47135" t="inlineStr">
        <is>
          <t>2028-12-03</t>
        </is>
      </c>
    </row>
    <row r="47136">
      <c r="A47136" s="1" t="n">
        <v>47135</v>
      </c>
      <c r="B47136">
        <f>TEXT(47135, "[$-0E0000]yyyy-mm-dd")</f>
        <v/>
      </c>
      <c r="C47136" t="inlineStr">
        <is>
          <t>2028-12-04</t>
        </is>
      </c>
    </row>
    <row r="47137">
      <c r="A47137" s="1" t="n">
        <v>47136</v>
      </c>
      <c r="B47137">
        <f>TEXT(47136, "[$-0E0000]yyyy-mm-dd")</f>
        <v/>
      </c>
      <c r="C47137" t="inlineStr">
        <is>
          <t>2028-12-05</t>
        </is>
      </c>
    </row>
    <row r="47138">
      <c r="A47138" s="1" t="n">
        <v>47137</v>
      </c>
      <c r="B47138">
        <f>TEXT(47137, "[$-0E0000]yyyy-mm-dd")</f>
        <v/>
      </c>
      <c r="C47138" t="inlineStr">
        <is>
          <t>2028-12-06</t>
        </is>
      </c>
    </row>
    <row r="47139">
      <c r="A47139" s="1" t="n">
        <v>47138</v>
      </c>
      <c r="B47139">
        <f>TEXT(47138, "[$-0E0000]yyyy-mm-dd")</f>
        <v/>
      </c>
      <c r="C47139" t="inlineStr">
        <is>
          <t>2028-12-07</t>
        </is>
      </c>
    </row>
    <row r="47140">
      <c r="A47140" s="1" t="n">
        <v>47139</v>
      </c>
      <c r="B47140">
        <f>TEXT(47139, "[$-0E0000]yyyy-mm-dd")</f>
        <v/>
      </c>
      <c r="C47140" t="inlineStr">
        <is>
          <t>2028-12-08</t>
        </is>
      </c>
    </row>
    <row r="47141">
      <c r="A47141" s="1" t="n">
        <v>47140</v>
      </c>
      <c r="B47141">
        <f>TEXT(47140, "[$-0E0000]yyyy-mm-dd")</f>
        <v/>
      </c>
      <c r="C47141" t="inlineStr">
        <is>
          <t>2028-12-09</t>
        </is>
      </c>
    </row>
    <row r="47142">
      <c r="A47142" s="1" t="n">
        <v>47141</v>
      </c>
      <c r="B47142">
        <f>TEXT(47141, "[$-0E0000]yyyy-mm-dd")</f>
        <v/>
      </c>
      <c r="C47142" t="inlineStr">
        <is>
          <t>2028-12-10</t>
        </is>
      </c>
    </row>
    <row r="47143">
      <c r="A47143" s="1" t="n">
        <v>47142</v>
      </c>
      <c r="B47143">
        <f>TEXT(47142, "[$-0E0000]yyyy-mm-dd")</f>
        <v/>
      </c>
      <c r="C47143" t="inlineStr">
        <is>
          <t>2028-12-11</t>
        </is>
      </c>
    </row>
    <row r="47144">
      <c r="A47144" s="1" t="n">
        <v>47143</v>
      </c>
      <c r="B47144">
        <f>TEXT(47143, "[$-0E0000]yyyy-mm-dd")</f>
        <v/>
      </c>
      <c r="C47144" t="inlineStr">
        <is>
          <t>2028-12-12</t>
        </is>
      </c>
    </row>
    <row r="47145">
      <c r="A47145" s="1" t="n">
        <v>47144</v>
      </c>
      <c r="B47145">
        <f>TEXT(47144, "[$-0E0000]yyyy-mm-dd")</f>
        <v/>
      </c>
      <c r="C47145" t="inlineStr">
        <is>
          <t>2028-12-13</t>
        </is>
      </c>
    </row>
    <row r="47146">
      <c r="A47146" s="1" t="n">
        <v>47145</v>
      </c>
      <c r="B47146">
        <f>TEXT(47145, "[$-0E0000]yyyy-mm-dd")</f>
        <v/>
      </c>
      <c r="C47146" t="inlineStr">
        <is>
          <t>2028-12-14</t>
        </is>
      </c>
    </row>
    <row r="47147">
      <c r="A47147" s="1" t="n">
        <v>47146</v>
      </c>
      <c r="B47147">
        <f>TEXT(47146, "[$-0E0000]yyyy-mm-dd")</f>
        <v/>
      </c>
      <c r="C47147" t="inlineStr">
        <is>
          <t>2028-12-15</t>
        </is>
      </c>
    </row>
    <row r="47148">
      <c r="A47148" s="1" t="n">
        <v>47147</v>
      </c>
      <c r="B47148">
        <f>TEXT(47147, "[$-0E0000]yyyy-mm-dd")</f>
        <v/>
      </c>
      <c r="C47148" t="inlineStr">
        <is>
          <t>2028-12-16</t>
        </is>
      </c>
    </row>
    <row r="47149">
      <c r="A47149" s="1" t="n">
        <v>47148</v>
      </c>
      <c r="B47149">
        <f>TEXT(47148, "[$-0E0000]yyyy-mm-dd")</f>
        <v/>
      </c>
      <c r="C47149" t="inlineStr">
        <is>
          <t>2028-12-17</t>
        </is>
      </c>
    </row>
    <row r="47150">
      <c r="A47150" s="1" t="n">
        <v>47149</v>
      </c>
      <c r="B47150">
        <f>TEXT(47149, "[$-0E0000]yyyy-mm-dd")</f>
        <v/>
      </c>
      <c r="C47150" t="inlineStr">
        <is>
          <t>2028-12-18</t>
        </is>
      </c>
    </row>
    <row r="47151">
      <c r="A47151" s="1" t="n">
        <v>47150</v>
      </c>
      <c r="B47151">
        <f>TEXT(47150, "[$-0E0000]yyyy-mm-dd")</f>
        <v/>
      </c>
      <c r="C47151" t="inlineStr">
        <is>
          <t>2028-12-19</t>
        </is>
      </c>
    </row>
    <row r="47152">
      <c r="A47152" s="1" t="n">
        <v>47151</v>
      </c>
      <c r="B47152">
        <f>TEXT(47151, "[$-0E0000]yyyy-mm-dd")</f>
        <v/>
      </c>
      <c r="C47152" t="inlineStr">
        <is>
          <t>2028-12-20</t>
        </is>
      </c>
    </row>
    <row r="47153">
      <c r="A47153" s="1" t="n">
        <v>47152</v>
      </c>
      <c r="B47153">
        <f>TEXT(47152, "[$-0E0000]yyyy-mm-dd")</f>
        <v/>
      </c>
      <c r="C47153" t="inlineStr">
        <is>
          <t>2028-12-21</t>
        </is>
      </c>
    </row>
    <row r="47154">
      <c r="A47154" s="1" t="n">
        <v>47153</v>
      </c>
      <c r="B47154">
        <f>TEXT(47153, "[$-0E0000]yyyy-mm-dd")</f>
        <v/>
      </c>
      <c r="C47154" t="inlineStr">
        <is>
          <t>2028-12-22</t>
        </is>
      </c>
    </row>
    <row r="47155">
      <c r="A47155" s="1" t="n">
        <v>47154</v>
      </c>
      <c r="B47155">
        <f>TEXT(47154, "[$-0E0000]yyyy-mm-dd")</f>
        <v/>
      </c>
      <c r="C47155" t="inlineStr">
        <is>
          <t>2028-12-23</t>
        </is>
      </c>
    </row>
    <row r="47156">
      <c r="A47156" s="1" t="n">
        <v>47155</v>
      </c>
      <c r="B47156">
        <f>TEXT(47155, "[$-0E0000]yyyy-mm-dd")</f>
        <v/>
      </c>
      <c r="C47156" t="inlineStr">
        <is>
          <t>2028-12-24</t>
        </is>
      </c>
    </row>
    <row r="47157">
      <c r="A47157" s="1" t="n">
        <v>47156</v>
      </c>
      <c r="B47157">
        <f>TEXT(47156, "[$-0E0000]yyyy-mm-dd")</f>
        <v/>
      </c>
      <c r="C47157" t="inlineStr">
        <is>
          <t>2028-12-25</t>
        </is>
      </c>
    </row>
    <row r="47158">
      <c r="A47158" s="1" t="n">
        <v>47157</v>
      </c>
      <c r="B47158">
        <f>TEXT(47157, "[$-0E0000]yyyy-mm-dd")</f>
        <v/>
      </c>
      <c r="C47158" t="inlineStr">
        <is>
          <t>2028-12-26</t>
        </is>
      </c>
    </row>
    <row r="47159">
      <c r="A47159" s="1" t="n">
        <v>47158</v>
      </c>
      <c r="B47159">
        <f>TEXT(47158, "[$-0E0000]yyyy-mm-dd")</f>
        <v/>
      </c>
      <c r="C47159" t="inlineStr">
        <is>
          <t>2028-12-27</t>
        </is>
      </c>
    </row>
    <row r="47160">
      <c r="A47160" s="1" t="n">
        <v>47159</v>
      </c>
      <c r="B47160">
        <f>TEXT(47159, "[$-0E0000]yyyy-mm-dd")</f>
        <v/>
      </c>
      <c r="C47160" t="inlineStr">
        <is>
          <t>2028-12-28</t>
        </is>
      </c>
    </row>
    <row r="47161">
      <c r="A47161" s="1" t="n">
        <v>47160</v>
      </c>
      <c r="B47161">
        <f>TEXT(47160, "[$-0E0000]yyyy-mm-dd")</f>
        <v/>
      </c>
      <c r="C47161" t="inlineStr">
        <is>
          <t>2028-12-29</t>
        </is>
      </c>
    </row>
    <row r="47162">
      <c r="A47162" s="1" t="n">
        <v>47161</v>
      </c>
      <c r="B47162">
        <f>TEXT(47161, "[$-0E0000]yyyy-mm-dd")</f>
        <v/>
      </c>
      <c r="C47162" t="inlineStr">
        <is>
          <t>2029-01-01</t>
        </is>
      </c>
    </row>
    <row r="47163">
      <c r="A47163" s="1" t="n">
        <v>47162</v>
      </c>
      <c r="B47163">
        <f>TEXT(47162, "[$-0E0000]yyyy-mm-dd")</f>
        <v/>
      </c>
      <c r="C47163" t="inlineStr">
        <is>
          <t>2029-01-02</t>
        </is>
      </c>
    </row>
    <row r="47164">
      <c r="A47164" s="1" t="n">
        <v>47163</v>
      </c>
      <c r="B47164">
        <f>TEXT(47163, "[$-0E0000]yyyy-mm-dd")</f>
        <v/>
      </c>
      <c r="C47164" t="inlineStr">
        <is>
          <t>2029-01-03</t>
        </is>
      </c>
    </row>
    <row r="47165">
      <c r="A47165" s="1" t="n">
        <v>47164</v>
      </c>
      <c r="B47165">
        <f>TEXT(47164, "[$-0E0000]yyyy-mm-dd")</f>
        <v/>
      </c>
      <c r="C47165" t="inlineStr">
        <is>
          <t>2029-01-04</t>
        </is>
      </c>
    </row>
    <row r="47166">
      <c r="A47166" s="1" t="n">
        <v>47165</v>
      </c>
      <c r="B47166">
        <f>TEXT(47165, "[$-0E0000]yyyy-mm-dd")</f>
        <v/>
      </c>
      <c r="C47166" t="inlineStr">
        <is>
          <t>2029-01-05</t>
        </is>
      </c>
    </row>
    <row r="47167">
      <c r="A47167" s="1" t="n">
        <v>47166</v>
      </c>
      <c r="B47167">
        <f>TEXT(47166, "[$-0E0000]yyyy-mm-dd")</f>
        <v/>
      </c>
      <c r="C47167" t="inlineStr">
        <is>
          <t>2029-01-06</t>
        </is>
      </c>
    </row>
    <row r="47168">
      <c r="A47168" s="1" t="n">
        <v>47167</v>
      </c>
      <c r="B47168">
        <f>TEXT(47167, "[$-0E0000]yyyy-mm-dd")</f>
        <v/>
      </c>
      <c r="C47168" t="inlineStr">
        <is>
          <t>2029-01-07</t>
        </is>
      </c>
    </row>
    <row r="47169">
      <c r="A47169" s="1" t="n">
        <v>47168</v>
      </c>
      <c r="B47169">
        <f>TEXT(47168, "[$-0E0000]yyyy-mm-dd")</f>
        <v/>
      </c>
      <c r="C47169" t="inlineStr">
        <is>
          <t>2029-01-08</t>
        </is>
      </c>
    </row>
    <row r="47170">
      <c r="A47170" s="1" t="n">
        <v>47169</v>
      </c>
      <c r="B47170">
        <f>TEXT(47169, "[$-0E0000]yyyy-mm-dd")</f>
        <v/>
      </c>
      <c r="C47170" t="inlineStr">
        <is>
          <t>2029-01-09</t>
        </is>
      </c>
    </row>
    <row r="47171">
      <c r="A47171" s="1" t="n">
        <v>47170</v>
      </c>
      <c r="B47171">
        <f>TEXT(47170, "[$-0E0000]yyyy-mm-dd")</f>
        <v/>
      </c>
      <c r="C47171" t="inlineStr">
        <is>
          <t>2029-01-10</t>
        </is>
      </c>
    </row>
    <row r="47172">
      <c r="A47172" s="1" t="n">
        <v>47171</v>
      </c>
      <c r="B47172">
        <f>TEXT(47171, "[$-0E0000]yyyy-mm-dd")</f>
        <v/>
      </c>
      <c r="C47172" t="inlineStr">
        <is>
          <t>2029-01-11</t>
        </is>
      </c>
    </row>
    <row r="47173">
      <c r="A47173" s="1" t="n">
        <v>47172</v>
      </c>
      <c r="B47173">
        <f>TEXT(47172, "[$-0E0000]yyyy-mm-dd")</f>
        <v/>
      </c>
      <c r="C47173" t="inlineStr">
        <is>
          <t>2029-01-12</t>
        </is>
      </c>
    </row>
    <row r="47174">
      <c r="A47174" s="1" t="n">
        <v>47173</v>
      </c>
      <c r="B47174">
        <f>TEXT(47173, "[$-0E0000]yyyy-mm-dd")</f>
        <v/>
      </c>
      <c r="C47174" t="inlineStr">
        <is>
          <t>2029-01-13</t>
        </is>
      </c>
    </row>
    <row r="47175">
      <c r="A47175" s="1" t="n">
        <v>47174</v>
      </c>
      <c r="B47175">
        <f>TEXT(47174, "[$-0E0000]yyyy-mm-dd")</f>
        <v/>
      </c>
      <c r="C47175" t="inlineStr">
        <is>
          <t>2029-01-14</t>
        </is>
      </c>
    </row>
    <row r="47176">
      <c r="A47176" s="1" t="n">
        <v>47175</v>
      </c>
      <c r="B47176">
        <f>TEXT(47175, "[$-0E0000]yyyy-mm-dd")</f>
        <v/>
      </c>
      <c r="C47176" t="inlineStr">
        <is>
          <t>2029-01-15</t>
        </is>
      </c>
    </row>
    <row r="47177">
      <c r="A47177" s="1" t="n">
        <v>47176</v>
      </c>
      <c r="B47177">
        <f>TEXT(47176, "[$-0E0000]yyyy-mm-dd")</f>
        <v/>
      </c>
      <c r="C47177" t="inlineStr">
        <is>
          <t>2029-01-16</t>
        </is>
      </c>
    </row>
    <row r="47178">
      <c r="A47178" s="1" t="n">
        <v>47177</v>
      </c>
      <c r="B47178">
        <f>TEXT(47177, "[$-0E0000]yyyy-mm-dd")</f>
        <v/>
      </c>
      <c r="C47178" t="inlineStr">
        <is>
          <t>2029-01-17</t>
        </is>
      </c>
    </row>
    <row r="47179">
      <c r="A47179" s="1" t="n">
        <v>47178</v>
      </c>
      <c r="B47179">
        <f>TEXT(47178, "[$-0E0000]yyyy-mm-dd")</f>
        <v/>
      </c>
      <c r="C47179" t="inlineStr">
        <is>
          <t>2029-01-18</t>
        </is>
      </c>
    </row>
    <row r="47180">
      <c r="A47180" s="1" t="n">
        <v>47179</v>
      </c>
      <c r="B47180">
        <f>TEXT(47179, "[$-0E0000]yyyy-mm-dd")</f>
        <v/>
      </c>
      <c r="C47180" t="inlineStr">
        <is>
          <t>2029-01-19</t>
        </is>
      </c>
    </row>
    <row r="47181">
      <c r="A47181" s="1" t="n">
        <v>47180</v>
      </c>
      <c r="B47181">
        <f>TEXT(47180, "[$-0E0000]yyyy-mm-dd")</f>
        <v/>
      </c>
      <c r="C47181" t="inlineStr">
        <is>
          <t>2029-01-20</t>
        </is>
      </c>
    </row>
    <row r="47182">
      <c r="A47182" s="1" t="n">
        <v>47181</v>
      </c>
      <c r="B47182">
        <f>TEXT(47181, "[$-0E0000]yyyy-mm-dd")</f>
        <v/>
      </c>
      <c r="C47182" t="inlineStr">
        <is>
          <t>2029-01-21</t>
        </is>
      </c>
    </row>
    <row r="47183">
      <c r="A47183" s="1" t="n">
        <v>47182</v>
      </c>
      <c r="B47183">
        <f>TEXT(47182, "[$-0E0000]yyyy-mm-dd")</f>
        <v/>
      </c>
      <c r="C47183" t="inlineStr">
        <is>
          <t>2029-01-22</t>
        </is>
      </c>
    </row>
    <row r="47184">
      <c r="A47184" s="1" t="n">
        <v>47183</v>
      </c>
      <c r="B47184">
        <f>TEXT(47183, "[$-0E0000]yyyy-mm-dd")</f>
        <v/>
      </c>
      <c r="C47184" t="inlineStr">
        <is>
          <t>2029-01-23</t>
        </is>
      </c>
    </row>
    <row r="47185">
      <c r="A47185" s="1" t="n">
        <v>47184</v>
      </c>
      <c r="B47185">
        <f>TEXT(47184, "[$-0E0000]yyyy-mm-dd")</f>
        <v/>
      </c>
      <c r="C47185" t="inlineStr">
        <is>
          <t>2029-01-24</t>
        </is>
      </c>
    </row>
    <row r="47186">
      <c r="A47186" s="1" t="n">
        <v>47185</v>
      </c>
      <c r="B47186">
        <f>TEXT(47185, "[$-0E0000]yyyy-mm-dd")</f>
        <v/>
      </c>
      <c r="C47186" t="inlineStr">
        <is>
          <t>2029-01-25</t>
        </is>
      </c>
    </row>
    <row r="47187">
      <c r="A47187" s="1" t="n">
        <v>47186</v>
      </c>
      <c r="B47187">
        <f>TEXT(47186, "[$-0E0000]yyyy-mm-dd")</f>
        <v/>
      </c>
      <c r="C47187" t="inlineStr">
        <is>
          <t>2029-01-26</t>
        </is>
      </c>
    </row>
    <row r="47188">
      <c r="A47188" s="1" t="n">
        <v>47187</v>
      </c>
      <c r="B47188">
        <f>TEXT(47187, "[$-0E0000]yyyy-mm-dd")</f>
        <v/>
      </c>
      <c r="C47188" t="inlineStr">
        <is>
          <t>2029-01-27</t>
        </is>
      </c>
    </row>
    <row r="47189">
      <c r="A47189" s="1" t="n">
        <v>47188</v>
      </c>
      <c r="B47189">
        <f>TEXT(47188, "[$-0E0000]yyyy-mm-dd")</f>
        <v/>
      </c>
      <c r="C47189" t="inlineStr">
        <is>
          <t>2029-01-28</t>
        </is>
      </c>
    </row>
    <row r="47190">
      <c r="A47190" s="1" t="n">
        <v>47189</v>
      </c>
      <c r="B47190">
        <f>TEXT(47189, "[$-0E0000]yyyy-mm-dd")</f>
        <v/>
      </c>
      <c r="C47190" t="inlineStr">
        <is>
          <t>2029-01-29</t>
        </is>
      </c>
    </row>
    <row r="47191">
      <c r="A47191" s="1" t="n">
        <v>47190</v>
      </c>
      <c r="B47191">
        <f>TEXT(47190, "[$-0E0000]yyyy-mm-dd")</f>
        <v/>
      </c>
      <c r="C47191" t="inlineStr">
        <is>
          <t>2029-01-30</t>
        </is>
      </c>
    </row>
    <row r="47192">
      <c r="A47192" s="1" t="n">
        <v>47191</v>
      </c>
      <c r="B47192">
        <f>TEXT(47191, "[$-0E0000]yyyy-mm-dd")</f>
        <v/>
      </c>
      <c r="C47192" t="inlineStr">
        <is>
          <t>2029-02-01</t>
        </is>
      </c>
    </row>
    <row r="47193">
      <c r="A47193" s="1" t="n">
        <v>47192</v>
      </c>
      <c r="B47193">
        <f>TEXT(47192, "[$-0E0000]yyyy-mm-dd")</f>
        <v/>
      </c>
      <c r="C47193" t="inlineStr">
        <is>
          <t>2029-02-02</t>
        </is>
      </c>
    </row>
    <row r="47194">
      <c r="A47194" s="1" t="n">
        <v>47193</v>
      </c>
      <c r="B47194">
        <f>TEXT(47193, "[$-0E0000]yyyy-mm-dd")</f>
        <v/>
      </c>
      <c r="C47194" t="inlineStr">
        <is>
          <t>2029-02-03</t>
        </is>
      </c>
    </row>
    <row r="47195">
      <c r="A47195" s="1" t="n">
        <v>47194</v>
      </c>
      <c r="B47195">
        <f>TEXT(47194, "[$-0E0000]yyyy-mm-dd")</f>
        <v/>
      </c>
      <c r="C47195" t="inlineStr">
        <is>
          <t>2029-02-04</t>
        </is>
      </c>
    </row>
    <row r="47196">
      <c r="A47196" s="1" t="n">
        <v>47195</v>
      </c>
      <c r="B47196">
        <f>TEXT(47195, "[$-0E0000]yyyy-mm-dd")</f>
        <v/>
      </c>
      <c r="C47196" t="inlineStr">
        <is>
          <t>2029-02-05</t>
        </is>
      </c>
    </row>
    <row r="47197">
      <c r="A47197" s="1" t="n">
        <v>47196</v>
      </c>
      <c r="B47197">
        <f>TEXT(47196, "[$-0E0000]yyyy-mm-dd")</f>
        <v/>
      </c>
      <c r="C47197" t="inlineStr">
        <is>
          <t>2029-02-06</t>
        </is>
      </c>
    </row>
    <row r="47198">
      <c r="A47198" s="1" t="n">
        <v>47197</v>
      </c>
      <c r="B47198">
        <f>TEXT(47197, "[$-0E0000]yyyy-mm-dd")</f>
        <v/>
      </c>
      <c r="C47198" t="inlineStr">
        <is>
          <t>2029-02-07</t>
        </is>
      </c>
    </row>
    <row r="47199">
      <c r="A47199" s="1" t="n">
        <v>47198</v>
      </c>
      <c r="B47199">
        <f>TEXT(47198, "[$-0E0000]yyyy-mm-dd")</f>
        <v/>
      </c>
      <c r="C47199" t="inlineStr">
        <is>
          <t>2029-02-08</t>
        </is>
      </c>
    </row>
    <row r="47200">
      <c r="A47200" s="1" t="n">
        <v>47199</v>
      </c>
      <c r="B47200">
        <f>TEXT(47199, "[$-0E0000]yyyy-mm-dd")</f>
        <v/>
      </c>
      <c r="C47200" t="inlineStr">
        <is>
          <t>2029-02-09</t>
        </is>
      </c>
    </row>
    <row r="47201">
      <c r="A47201" s="1" t="n">
        <v>47200</v>
      </c>
      <c r="B47201">
        <f>TEXT(47200, "[$-0E0000]yyyy-mm-dd")</f>
        <v/>
      </c>
      <c r="C47201" t="inlineStr">
        <is>
          <t>2029-02-10</t>
        </is>
      </c>
    </row>
    <row r="47202">
      <c r="A47202" s="1" t="n">
        <v>47201</v>
      </c>
      <c r="B47202">
        <f>TEXT(47201, "[$-0E0000]yyyy-mm-dd")</f>
        <v/>
      </c>
      <c r="C47202" t="inlineStr">
        <is>
          <t>2029-02-11</t>
        </is>
      </c>
    </row>
    <row r="47203">
      <c r="A47203" s="1" t="n">
        <v>47202</v>
      </c>
      <c r="B47203">
        <f>TEXT(47202, "[$-0E0000]yyyy-mm-dd")</f>
        <v/>
      </c>
      <c r="C47203" t="inlineStr">
        <is>
          <t>2029-02-12</t>
        </is>
      </c>
    </row>
    <row r="47204">
      <c r="A47204" s="1" t="n">
        <v>47203</v>
      </c>
      <c r="B47204">
        <f>TEXT(47203, "[$-0E0000]yyyy-mm-dd")</f>
        <v/>
      </c>
      <c r="C47204" t="inlineStr">
        <is>
          <t>2029-02-13</t>
        </is>
      </c>
    </row>
    <row r="47205">
      <c r="A47205" s="1" t="n">
        <v>47204</v>
      </c>
      <c r="B47205">
        <f>TEXT(47204, "[$-0E0000]yyyy-mm-dd")</f>
        <v/>
      </c>
      <c r="C47205" t="inlineStr">
        <is>
          <t>2029-02-14</t>
        </is>
      </c>
    </row>
    <row r="47206">
      <c r="A47206" s="1" t="n">
        <v>47205</v>
      </c>
      <c r="B47206">
        <f>TEXT(47205, "[$-0E0000]yyyy-mm-dd")</f>
        <v/>
      </c>
      <c r="C47206" t="inlineStr">
        <is>
          <t>2029-02-15</t>
        </is>
      </c>
    </row>
    <row r="47207">
      <c r="A47207" s="1" t="n">
        <v>47206</v>
      </c>
      <c r="B47207">
        <f>TEXT(47206, "[$-0E0000]yyyy-mm-dd")</f>
        <v/>
      </c>
      <c r="C47207" t="inlineStr">
        <is>
          <t>2029-02-16</t>
        </is>
      </c>
    </row>
    <row r="47208">
      <c r="A47208" s="1" t="n">
        <v>47207</v>
      </c>
      <c r="B47208">
        <f>TEXT(47207, "[$-0E0000]yyyy-mm-dd")</f>
        <v/>
      </c>
      <c r="C47208" t="inlineStr">
        <is>
          <t>2029-02-17</t>
        </is>
      </c>
    </row>
    <row r="47209">
      <c r="A47209" s="1" t="n">
        <v>47208</v>
      </c>
      <c r="B47209">
        <f>TEXT(47208, "[$-0E0000]yyyy-mm-dd")</f>
        <v/>
      </c>
      <c r="C47209" t="inlineStr">
        <is>
          <t>2029-02-18</t>
        </is>
      </c>
    </row>
    <row r="47210">
      <c r="A47210" s="1" t="n">
        <v>47209</v>
      </c>
      <c r="B47210">
        <f>TEXT(47209, "[$-0E0000]yyyy-mm-dd")</f>
        <v/>
      </c>
      <c r="C47210" t="inlineStr">
        <is>
          <t>2029-02-19</t>
        </is>
      </c>
    </row>
    <row r="47211">
      <c r="A47211" s="1" t="n">
        <v>47210</v>
      </c>
      <c r="B47211">
        <f>TEXT(47210, "[$-0E0000]yyyy-mm-dd")</f>
        <v/>
      </c>
      <c r="C47211" t="inlineStr">
        <is>
          <t>2029-02-20</t>
        </is>
      </c>
    </row>
    <row r="47212">
      <c r="A47212" s="1" t="n">
        <v>47211</v>
      </c>
      <c r="B47212">
        <f>TEXT(47211, "[$-0E0000]yyyy-mm-dd")</f>
        <v/>
      </c>
      <c r="C47212" t="inlineStr">
        <is>
          <t>2029-02-21</t>
        </is>
      </c>
    </row>
    <row r="47213">
      <c r="A47213" s="1" t="n">
        <v>47212</v>
      </c>
      <c r="B47213">
        <f>TEXT(47212, "[$-0E0000]yyyy-mm-dd")</f>
        <v/>
      </c>
      <c r="C47213" t="inlineStr">
        <is>
          <t>2029-02-22</t>
        </is>
      </c>
    </row>
    <row r="47214">
      <c r="A47214" s="1" t="n">
        <v>47213</v>
      </c>
      <c r="B47214">
        <f>TEXT(47213, "[$-0E0000]yyyy-mm-dd")</f>
        <v/>
      </c>
      <c r="C47214" t="inlineStr">
        <is>
          <t>2029-02-23</t>
        </is>
      </c>
    </row>
    <row r="47215">
      <c r="A47215" s="1" t="n">
        <v>47214</v>
      </c>
      <c r="B47215">
        <f>TEXT(47214, "[$-0E0000]yyyy-mm-dd")</f>
        <v/>
      </c>
      <c r="C47215" t="inlineStr">
        <is>
          <t>2029-02-24</t>
        </is>
      </c>
    </row>
    <row r="47216">
      <c r="A47216" s="1" t="n">
        <v>47215</v>
      </c>
      <c r="B47216">
        <f>TEXT(47215, "[$-0E0000]yyyy-mm-dd")</f>
        <v/>
      </c>
      <c r="C47216" t="inlineStr">
        <is>
          <t>2029-02-25</t>
        </is>
      </c>
    </row>
    <row r="47217">
      <c r="A47217" s="1" t="n">
        <v>47216</v>
      </c>
      <c r="B47217">
        <f>TEXT(47216, "[$-0E0000]yyyy-mm-dd")</f>
        <v/>
      </c>
      <c r="C47217" t="inlineStr">
        <is>
          <t>2029-02-26</t>
        </is>
      </c>
    </row>
    <row r="47218">
      <c r="A47218" s="1" t="n">
        <v>47217</v>
      </c>
      <c r="B47218">
        <f>TEXT(47217, "[$-0E0000]yyyy-mm-dd")</f>
        <v/>
      </c>
      <c r="C47218" t="inlineStr">
        <is>
          <t>2029-02-27</t>
        </is>
      </c>
    </row>
    <row r="47219">
      <c r="A47219" s="1" t="n">
        <v>47218</v>
      </c>
      <c r="B47219">
        <f>TEXT(47218, "[$-0E0000]yyyy-mm-dd")</f>
        <v/>
      </c>
      <c r="C47219" t="inlineStr">
        <is>
          <t>2029-02-28</t>
        </is>
      </c>
    </row>
    <row r="47220">
      <c r="A47220" s="1" t="n">
        <v>47219</v>
      </c>
      <c r="B47220">
        <f>TEXT(47219, "[$-0E0000]yyyy-mm-dd")</f>
        <v/>
      </c>
      <c r="C47220" t="inlineStr">
        <is>
          <t>2029-02-29</t>
        </is>
      </c>
    </row>
    <row r="47221">
      <c r="A47221" s="1" t="n">
        <v>47220</v>
      </c>
      <c r="B47221">
        <f>TEXT(47220, "[$-0E0000]yyyy-mm-dd")</f>
        <v/>
      </c>
      <c r="C47221" t="inlineStr">
        <is>
          <t>2029-02-30</t>
        </is>
      </c>
    </row>
    <row r="47222">
      <c r="A47222" s="1" t="n">
        <v>47221</v>
      </c>
      <c r="B47222">
        <f>TEXT(47221, "[$-0E0000]yyyy-mm-dd")</f>
        <v/>
      </c>
      <c r="C47222" t="inlineStr">
        <is>
          <t>2029-03-01</t>
        </is>
      </c>
    </row>
    <row r="47223">
      <c r="A47223" s="1" t="n">
        <v>47222</v>
      </c>
      <c r="B47223">
        <f>TEXT(47222, "[$-0E0000]yyyy-mm-dd")</f>
        <v/>
      </c>
      <c r="C47223" t="inlineStr">
        <is>
          <t>2029-03-02</t>
        </is>
      </c>
    </row>
    <row r="47224">
      <c r="A47224" s="1" t="n">
        <v>47223</v>
      </c>
      <c r="B47224">
        <f>TEXT(47223, "[$-0E0000]yyyy-mm-dd")</f>
        <v/>
      </c>
      <c r="C47224" t="inlineStr">
        <is>
          <t>2029-03-03</t>
        </is>
      </c>
    </row>
    <row r="47225">
      <c r="A47225" s="1" t="n">
        <v>47224</v>
      </c>
      <c r="B47225">
        <f>TEXT(47224, "[$-0E0000]yyyy-mm-dd")</f>
        <v/>
      </c>
      <c r="C47225" t="inlineStr">
        <is>
          <t>2029-03-04</t>
        </is>
      </c>
    </row>
    <row r="47226">
      <c r="A47226" s="1" t="n">
        <v>47225</v>
      </c>
      <c r="B47226">
        <f>TEXT(47225, "[$-0E0000]yyyy-mm-dd")</f>
        <v/>
      </c>
      <c r="C47226" t="inlineStr">
        <is>
          <t>2029-03-05</t>
        </is>
      </c>
    </row>
    <row r="47227">
      <c r="A47227" s="1" t="n">
        <v>47226</v>
      </c>
      <c r="B47227">
        <f>TEXT(47226, "[$-0E0000]yyyy-mm-dd")</f>
        <v/>
      </c>
      <c r="C47227" t="inlineStr">
        <is>
          <t>2029-03-06</t>
        </is>
      </c>
    </row>
    <row r="47228">
      <c r="A47228" s="1" t="n">
        <v>47227</v>
      </c>
      <c r="B47228">
        <f>TEXT(47227, "[$-0E0000]yyyy-mm-dd")</f>
        <v/>
      </c>
      <c r="C47228" t="inlineStr">
        <is>
          <t>2029-03-07</t>
        </is>
      </c>
    </row>
    <row r="47229">
      <c r="A47229" s="1" t="n">
        <v>47228</v>
      </c>
      <c r="B47229">
        <f>TEXT(47228, "[$-0E0000]yyyy-mm-dd")</f>
        <v/>
      </c>
      <c r="C47229" t="inlineStr">
        <is>
          <t>2029-03-08</t>
        </is>
      </c>
    </row>
    <row r="47230">
      <c r="A47230" s="1" t="n">
        <v>47229</v>
      </c>
      <c r="B47230">
        <f>TEXT(47229, "[$-0E0000]yyyy-mm-dd")</f>
        <v/>
      </c>
      <c r="C47230" t="inlineStr">
        <is>
          <t>2029-03-09</t>
        </is>
      </c>
    </row>
    <row r="47231">
      <c r="A47231" s="1" t="n">
        <v>47230</v>
      </c>
      <c r="B47231">
        <f>TEXT(47230, "[$-0E0000]yyyy-mm-dd")</f>
        <v/>
      </c>
      <c r="C47231" t="inlineStr">
        <is>
          <t>2029-03-10</t>
        </is>
      </c>
    </row>
    <row r="47232">
      <c r="A47232" s="1" t="n">
        <v>47231</v>
      </c>
      <c r="B47232">
        <f>TEXT(47231, "[$-0E0000]yyyy-mm-dd")</f>
        <v/>
      </c>
      <c r="C47232" t="inlineStr">
        <is>
          <t>2029-03-11</t>
        </is>
      </c>
    </row>
    <row r="47233">
      <c r="A47233" s="1" t="n">
        <v>47232</v>
      </c>
      <c r="B47233">
        <f>TEXT(47232, "[$-0E0000]yyyy-mm-dd")</f>
        <v/>
      </c>
      <c r="C47233" t="inlineStr">
        <is>
          <t>2029-03-12</t>
        </is>
      </c>
    </row>
    <row r="47234">
      <c r="A47234" s="1" t="n">
        <v>47233</v>
      </c>
      <c r="B47234">
        <f>TEXT(47233, "[$-0E0000]yyyy-mm-dd")</f>
        <v/>
      </c>
      <c r="C47234" t="inlineStr">
        <is>
          <t>2029-03-13</t>
        </is>
      </c>
    </row>
    <row r="47235">
      <c r="A47235" s="1" t="n">
        <v>47234</v>
      </c>
      <c r="B47235">
        <f>TEXT(47234, "[$-0E0000]yyyy-mm-dd")</f>
        <v/>
      </c>
      <c r="C47235" t="inlineStr">
        <is>
          <t>2029-03-14</t>
        </is>
      </c>
    </row>
    <row r="47236">
      <c r="A47236" s="1" t="n">
        <v>47235</v>
      </c>
      <c r="B47236">
        <f>TEXT(47235, "[$-0E0000]yyyy-mm-dd")</f>
        <v/>
      </c>
      <c r="C47236" t="inlineStr">
        <is>
          <t>2029-03-15</t>
        </is>
      </c>
    </row>
    <row r="47237">
      <c r="A47237" s="1" t="n">
        <v>47236</v>
      </c>
      <c r="B47237">
        <f>TEXT(47236, "[$-0E0000]yyyy-mm-dd")</f>
        <v/>
      </c>
      <c r="C47237" t="inlineStr">
        <is>
          <t>2029-03-16</t>
        </is>
      </c>
    </row>
    <row r="47238">
      <c r="A47238" s="1" t="n">
        <v>47237</v>
      </c>
      <c r="B47238">
        <f>TEXT(47237, "[$-0E0000]yyyy-mm-dd")</f>
        <v/>
      </c>
      <c r="C47238" t="inlineStr">
        <is>
          <t>2029-03-17</t>
        </is>
      </c>
    </row>
    <row r="47239">
      <c r="A47239" s="1" t="n">
        <v>47238</v>
      </c>
      <c r="B47239">
        <f>TEXT(47238, "[$-0E0000]yyyy-mm-dd")</f>
        <v/>
      </c>
      <c r="C47239" t="inlineStr">
        <is>
          <t>2029-03-18</t>
        </is>
      </c>
    </row>
    <row r="47240">
      <c r="A47240" s="1" t="n">
        <v>47239</v>
      </c>
      <c r="B47240">
        <f>TEXT(47239, "[$-0E0000]yyyy-mm-dd")</f>
        <v/>
      </c>
      <c r="C47240" t="inlineStr">
        <is>
          <t>2029-03-19</t>
        </is>
      </c>
    </row>
    <row r="47241">
      <c r="A47241" s="1" t="n">
        <v>47240</v>
      </c>
      <c r="B47241">
        <f>TEXT(47240, "[$-0E0000]yyyy-mm-dd")</f>
        <v/>
      </c>
      <c r="C47241" t="inlineStr">
        <is>
          <t>2029-03-20</t>
        </is>
      </c>
    </row>
    <row r="47242">
      <c r="A47242" s="1" t="n">
        <v>47241</v>
      </c>
      <c r="B47242">
        <f>TEXT(47241, "[$-0E0000]yyyy-mm-dd")</f>
        <v/>
      </c>
      <c r="C47242" t="inlineStr">
        <is>
          <t>2029-03-21</t>
        </is>
      </c>
    </row>
    <row r="47243">
      <c r="A47243" s="1" t="n">
        <v>47242</v>
      </c>
      <c r="B47243">
        <f>TEXT(47242, "[$-0E0000]yyyy-mm-dd")</f>
        <v/>
      </c>
      <c r="C47243" t="inlineStr">
        <is>
          <t>2029-03-22</t>
        </is>
      </c>
    </row>
    <row r="47244">
      <c r="A47244" s="1" t="n">
        <v>47243</v>
      </c>
      <c r="B47244">
        <f>TEXT(47243, "[$-0E0000]yyyy-mm-dd")</f>
        <v/>
      </c>
      <c r="C47244" t="inlineStr">
        <is>
          <t>2029-03-23</t>
        </is>
      </c>
    </row>
    <row r="47245">
      <c r="A47245" s="1" t="n">
        <v>47244</v>
      </c>
      <c r="B47245">
        <f>TEXT(47244, "[$-0E0000]yyyy-mm-dd")</f>
        <v/>
      </c>
      <c r="C47245" t="inlineStr">
        <is>
          <t>2029-03-24</t>
        </is>
      </c>
    </row>
    <row r="47246">
      <c r="A47246" s="1" t="n">
        <v>47245</v>
      </c>
      <c r="B47246">
        <f>TEXT(47245, "[$-0E0000]yyyy-mm-dd")</f>
        <v/>
      </c>
      <c r="C47246" t="inlineStr">
        <is>
          <t>2029-03-25</t>
        </is>
      </c>
    </row>
    <row r="47247">
      <c r="A47247" s="1" t="n">
        <v>47246</v>
      </c>
      <c r="B47247">
        <f>TEXT(47246, "[$-0E0000]yyyy-mm-dd")</f>
        <v/>
      </c>
      <c r="C47247" t="inlineStr">
        <is>
          <t>2029-03-26</t>
        </is>
      </c>
    </row>
    <row r="47248">
      <c r="A47248" s="1" t="n">
        <v>47247</v>
      </c>
      <c r="B47248">
        <f>TEXT(47247, "[$-0E0000]yyyy-mm-dd")</f>
        <v/>
      </c>
      <c r="C47248" t="inlineStr">
        <is>
          <t>2029-03-27</t>
        </is>
      </c>
    </row>
    <row r="47249">
      <c r="A47249" s="1" t="n">
        <v>47248</v>
      </c>
      <c r="B47249">
        <f>TEXT(47248, "[$-0E0000]yyyy-mm-dd")</f>
        <v/>
      </c>
      <c r="C47249" t="inlineStr">
        <is>
          <t>2029-03-28</t>
        </is>
      </c>
    </row>
    <row r="47250">
      <c r="A47250" s="1" t="n">
        <v>47249</v>
      </c>
      <c r="B47250">
        <f>TEXT(47249, "[$-0E0000]yyyy-mm-dd")</f>
        <v/>
      </c>
      <c r="C47250" t="inlineStr">
        <is>
          <t>2029-03-29</t>
        </is>
      </c>
    </row>
    <row r="47251">
      <c r="A47251" s="1" t="n">
        <v>47250</v>
      </c>
      <c r="B47251">
        <f>TEXT(47250, "[$-0E0000]yyyy-mm-dd")</f>
        <v/>
      </c>
      <c r="C47251" t="inlineStr">
        <is>
          <t>2029-04-01</t>
        </is>
      </c>
    </row>
    <row r="47252">
      <c r="A47252" s="1" t="n">
        <v>47251</v>
      </c>
      <c r="B47252">
        <f>TEXT(47251, "[$-0E0000]yyyy-mm-dd")</f>
        <v/>
      </c>
      <c r="C47252" t="inlineStr">
        <is>
          <t>2029-04-02</t>
        </is>
      </c>
    </row>
    <row r="47253">
      <c r="A47253" s="1" t="n">
        <v>47252</v>
      </c>
      <c r="B47253">
        <f>TEXT(47252, "[$-0E0000]yyyy-mm-dd")</f>
        <v/>
      </c>
      <c r="C47253" t="inlineStr">
        <is>
          <t>2029-04-03</t>
        </is>
      </c>
    </row>
    <row r="47254">
      <c r="A47254" s="1" t="n">
        <v>47253</v>
      </c>
      <c r="B47254">
        <f>TEXT(47253, "[$-0E0000]yyyy-mm-dd")</f>
        <v/>
      </c>
      <c r="C47254" t="inlineStr">
        <is>
          <t>2029-04-04</t>
        </is>
      </c>
    </row>
    <row r="47255">
      <c r="A47255" s="1" t="n">
        <v>47254</v>
      </c>
      <c r="B47255">
        <f>TEXT(47254, "[$-0E0000]yyyy-mm-dd")</f>
        <v/>
      </c>
      <c r="C47255" t="inlineStr">
        <is>
          <t>2029-04-05</t>
        </is>
      </c>
    </row>
    <row r="47256">
      <c r="A47256" s="1" t="n">
        <v>47255</v>
      </c>
      <c r="B47256">
        <f>TEXT(47255, "[$-0E0000]yyyy-mm-dd")</f>
        <v/>
      </c>
      <c r="C47256" t="inlineStr">
        <is>
          <t>2029-04-06</t>
        </is>
      </c>
    </row>
    <row r="47257">
      <c r="A47257" s="1" t="n">
        <v>47256</v>
      </c>
      <c r="B47257">
        <f>TEXT(47256, "[$-0E0000]yyyy-mm-dd")</f>
        <v/>
      </c>
      <c r="C47257" t="inlineStr">
        <is>
          <t>2029-04-07</t>
        </is>
      </c>
    </row>
    <row r="47258">
      <c r="A47258" s="1" t="n">
        <v>47257</v>
      </c>
      <c r="B47258">
        <f>TEXT(47257, "[$-0E0000]yyyy-mm-dd")</f>
        <v/>
      </c>
      <c r="C47258" t="inlineStr">
        <is>
          <t>2029-04-08</t>
        </is>
      </c>
    </row>
    <row r="47259">
      <c r="A47259" s="1" t="n">
        <v>47258</v>
      </c>
      <c r="B47259">
        <f>TEXT(47258, "[$-0E0000]yyyy-mm-dd")</f>
        <v/>
      </c>
      <c r="C47259" t="inlineStr">
        <is>
          <t>2029-04-09</t>
        </is>
      </c>
    </row>
    <row r="47260">
      <c r="A47260" s="1" t="n">
        <v>47259</v>
      </c>
      <c r="B47260">
        <f>TEXT(47259, "[$-0E0000]yyyy-mm-dd")</f>
        <v/>
      </c>
      <c r="C47260" t="inlineStr">
        <is>
          <t>2029-04-10</t>
        </is>
      </c>
    </row>
    <row r="47261">
      <c r="A47261" s="1" t="n">
        <v>47260</v>
      </c>
      <c r="B47261">
        <f>TEXT(47260, "[$-0E0000]yyyy-mm-dd")</f>
        <v/>
      </c>
      <c r="C47261" t="inlineStr">
        <is>
          <t>2029-04-11</t>
        </is>
      </c>
    </row>
    <row r="47262">
      <c r="A47262" s="1" t="n">
        <v>47261</v>
      </c>
      <c r="B47262">
        <f>TEXT(47261, "[$-0E0000]yyyy-mm-dd")</f>
        <v/>
      </c>
      <c r="C47262" t="inlineStr">
        <is>
          <t>2029-04-12</t>
        </is>
      </c>
    </row>
    <row r="47263">
      <c r="A47263" s="1" t="n">
        <v>47262</v>
      </c>
      <c r="B47263">
        <f>TEXT(47262, "[$-0E0000]yyyy-mm-dd")</f>
        <v/>
      </c>
      <c r="C47263" t="inlineStr">
        <is>
          <t>2029-04-13</t>
        </is>
      </c>
    </row>
    <row r="47264">
      <c r="A47264" s="1" t="n">
        <v>47263</v>
      </c>
      <c r="B47264">
        <f>TEXT(47263, "[$-0E0000]yyyy-mm-dd")</f>
        <v/>
      </c>
      <c r="C47264" t="inlineStr">
        <is>
          <t>2029-04-14</t>
        </is>
      </c>
    </row>
    <row r="47265">
      <c r="A47265" s="1" t="n">
        <v>47264</v>
      </c>
      <c r="B47265">
        <f>TEXT(47264, "[$-0E0000]yyyy-mm-dd")</f>
        <v/>
      </c>
      <c r="C47265" t="inlineStr">
        <is>
          <t>2029-04-15</t>
        </is>
      </c>
    </row>
    <row r="47266">
      <c r="A47266" s="1" t="n">
        <v>47265</v>
      </c>
      <c r="B47266">
        <f>TEXT(47265, "[$-0E0000]yyyy-mm-dd")</f>
        <v/>
      </c>
      <c r="C47266" t="inlineStr">
        <is>
          <t>2029-04-16</t>
        </is>
      </c>
    </row>
    <row r="47267">
      <c r="A47267" s="1" t="n">
        <v>47266</v>
      </c>
      <c r="B47267">
        <f>TEXT(47266, "[$-0E0000]yyyy-mm-dd")</f>
        <v/>
      </c>
      <c r="C47267" t="inlineStr">
        <is>
          <t>2029-04-17</t>
        </is>
      </c>
    </row>
    <row r="47268">
      <c r="A47268" s="1" t="n">
        <v>47267</v>
      </c>
      <c r="B47268">
        <f>TEXT(47267, "[$-0E0000]yyyy-mm-dd")</f>
        <v/>
      </c>
      <c r="C47268" t="inlineStr">
        <is>
          <t>2029-04-18</t>
        </is>
      </c>
    </row>
    <row r="47269">
      <c r="A47269" s="1" t="n">
        <v>47268</v>
      </c>
      <c r="B47269">
        <f>TEXT(47268, "[$-0E0000]yyyy-mm-dd")</f>
        <v/>
      </c>
      <c r="C47269" t="inlineStr">
        <is>
          <t>2029-04-19</t>
        </is>
      </c>
    </row>
    <row r="47270">
      <c r="A47270" s="1" t="n">
        <v>47269</v>
      </c>
      <c r="B47270">
        <f>TEXT(47269, "[$-0E0000]yyyy-mm-dd")</f>
        <v/>
      </c>
      <c r="C47270" t="inlineStr">
        <is>
          <t>2029-04-20</t>
        </is>
      </c>
    </row>
    <row r="47271">
      <c r="A47271" s="1" t="n">
        <v>47270</v>
      </c>
      <c r="B47271">
        <f>TEXT(47270, "[$-0E0000]yyyy-mm-dd")</f>
        <v/>
      </c>
      <c r="C47271" t="inlineStr">
        <is>
          <t>2029-04-21</t>
        </is>
      </c>
    </row>
    <row r="47272">
      <c r="A47272" s="1" t="n">
        <v>47271</v>
      </c>
      <c r="B47272">
        <f>TEXT(47271, "[$-0E0000]yyyy-mm-dd")</f>
        <v/>
      </c>
      <c r="C47272" t="inlineStr">
        <is>
          <t>2029-04-22</t>
        </is>
      </c>
    </row>
    <row r="47273">
      <c r="A47273" s="1" t="n">
        <v>47272</v>
      </c>
      <c r="B47273">
        <f>TEXT(47272, "[$-0E0000]yyyy-mm-dd")</f>
        <v/>
      </c>
      <c r="C47273" t="inlineStr">
        <is>
          <t>2029-04-23</t>
        </is>
      </c>
    </row>
    <row r="47274">
      <c r="A47274" s="1" t="n">
        <v>47273</v>
      </c>
      <c r="B47274">
        <f>TEXT(47273, "[$-0E0000]yyyy-mm-dd")</f>
        <v/>
      </c>
      <c r="C47274" t="inlineStr">
        <is>
          <t>2029-04-24</t>
        </is>
      </c>
    </row>
    <row r="47275">
      <c r="A47275" s="1" t="n">
        <v>47274</v>
      </c>
      <c r="B47275">
        <f>TEXT(47274, "[$-0E0000]yyyy-mm-dd")</f>
        <v/>
      </c>
      <c r="C47275" t="inlineStr">
        <is>
          <t>2029-04-25</t>
        </is>
      </c>
    </row>
    <row r="47276">
      <c r="A47276" s="1" t="n">
        <v>47275</v>
      </c>
      <c r="B47276">
        <f>TEXT(47275, "[$-0E0000]yyyy-mm-dd")</f>
        <v/>
      </c>
      <c r="C47276" t="inlineStr">
        <is>
          <t>2029-04-26</t>
        </is>
      </c>
    </row>
    <row r="47277">
      <c r="A47277" s="1" t="n">
        <v>47276</v>
      </c>
      <c r="B47277">
        <f>TEXT(47276, "[$-0E0000]yyyy-mm-dd")</f>
        <v/>
      </c>
      <c r="C47277" t="inlineStr">
        <is>
          <t>2029-04-27</t>
        </is>
      </c>
    </row>
    <row r="47278">
      <c r="A47278" s="1" t="n">
        <v>47277</v>
      </c>
      <c r="B47278">
        <f>TEXT(47277, "[$-0E0000]yyyy-mm-dd")</f>
        <v/>
      </c>
      <c r="C47278" t="inlineStr">
        <is>
          <t>2029-04-28</t>
        </is>
      </c>
    </row>
    <row r="47279">
      <c r="A47279" s="1" t="n">
        <v>47278</v>
      </c>
      <c r="B47279">
        <f>TEXT(47278, "[$-0E0000]yyyy-mm-dd")</f>
        <v/>
      </c>
      <c r="C47279" t="inlineStr">
        <is>
          <t>2029-04-29</t>
        </is>
      </c>
    </row>
    <row r="47280">
      <c r="A47280" s="1" t="n">
        <v>47279</v>
      </c>
      <c r="B47280">
        <f>TEXT(47279, "[$-0E0000]yyyy-mm-dd")</f>
        <v/>
      </c>
      <c r="C47280" t="inlineStr">
        <is>
          <t>2029-04-30</t>
        </is>
      </c>
    </row>
    <row r="47281">
      <c r="A47281" s="1" t="n">
        <v>47280</v>
      </c>
      <c r="B47281">
        <f>TEXT(47280, "[$-0E0000]yyyy-mm-dd")</f>
        <v/>
      </c>
      <c r="C47281" t="inlineStr">
        <is>
          <t>2029-05-01</t>
        </is>
      </c>
    </row>
    <row r="47282">
      <c r="A47282" s="1" t="n">
        <v>47281</v>
      </c>
      <c r="B47282">
        <f>TEXT(47281, "[$-0E0000]yyyy-mm-dd")</f>
        <v/>
      </c>
      <c r="C47282" t="inlineStr">
        <is>
          <t>2029-05-02</t>
        </is>
      </c>
    </row>
    <row r="47283">
      <c r="A47283" s="1" t="n">
        <v>47282</v>
      </c>
      <c r="B47283">
        <f>TEXT(47282, "[$-0E0000]yyyy-mm-dd")</f>
        <v/>
      </c>
      <c r="C47283" t="inlineStr">
        <is>
          <t>2029-05-03</t>
        </is>
      </c>
    </row>
    <row r="47284">
      <c r="A47284" s="1" t="n">
        <v>47283</v>
      </c>
      <c r="B47284">
        <f>TEXT(47283, "[$-0E0000]yyyy-mm-dd")</f>
        <v/>
      </c>
      <c r="C47284" t="inlineStr">
        <is>
          <t>2029-05-04</t>
        </is>
      </c>
    </row>
    <row r="47285">
      <c r="A47285" s="1" t="n">
        <v>47284</v>
      </c>
      <c r="B47285">
        <f>TEXT(47284, "[$-0E0000]yyyy-mm-dd")</f>
        <v/>
      </c>
      <c r="C47285" t="inlineStr">
        <is>
          <t>2029-05-05</t>
        </is>
      </c>
    </row>
    <row r="47286">
      <c r="A47286" s="1" t="n">
        <v>47285</v>
      </c>
      <c r="B47286">
        <f>TEXT(47285, "[$-0E0000]yyyy-mm-dd")</f>
        <v/>
      </c>
      <c r="C47286" t="inlineStr">
        <is>
          <t>2029-05-06</t>
        </is>
      </c>
    </row>
    <row r="47287">
      <c r="A47287" s="1" t="n">
        <v>47286</v>
      </c>
      <c r="B47287">
        <f>TEXT(47286, "[$-0E0000]yyyy-mm-dd")</f>
        <v/>
      </c>
      <c r="C47287" t="inlineStr">
        <is>
          <t>2029-05-07</t>
        </is>
      </c>
    </row>
    <row r="47288">
      <c r="A47288" s="1" t="n">
        <v>47287</v>
      </c>
      <c r="B47288">
        <f>TEXT(47287, "[$-0E0000]yyyy-mm-dd")</f>
        <v/>
      </c>
      <c r="C47288" t="inlineStr">
        <is>
          <t>2029-05-08</t>
        </is>
      </c>
    </row>
    <row r="47289">
      <c r="A47289" s="1" t="n">
        <v>47288</v>
      </c>
      <c r="B47289">
        <f>TEXT(47288, "[$-0E0000]yyyy-mm-dd")</f>
        <v/>
      </c>
      <c r="C47289" t="inlineStr">
        <is>
          <t>2029-05-09</t>
        </is>
      </c>
    </row>
    <row r="47290">
      <c r="A47290" s="1" t="n">
        <v>47289</v>
      </c>
      <c r="B47290">
        <f>TEXT(47289, "[$-0E0000]yyyy-mm-dd")</f>
        <v/>
      </c>
      <c r="C47290" t="inlineStr">
        <is>
          <t>2029-05-10</t>
        </is>
      </c>
    </row>
    <row r="47291">
      <c r="A47291" s="1" t="n">
        <v>47290</v>
      </c>
      <c r="B47291">
        <f>TEXT(47290, "[$-0E0000]yyyy-mm-dd")</f>
        <v/>
      </c>
      <c r="C47291" t="inlineStr">
        <is>
          <t>2029-05-11</t>
        </is>
      </c>
    </row>
    <row r="47292">
      <c r="A47292" s="1" t="n">
        <v>47291</v>
      </c>
      <c r="B47292">
        <f>TEXT(47291, "[$-0E0000]yyyy-mm-dd")</f>
        <v/>
      </c>
      <c r="C47292" t="inlineStr">
        <is>
          <t>2029-05-12</t>
        </is>
      </c>
    </row>
    <row r="47293">
      <c r="A47293" s="1" t="n">
        <v>47292</v>
      </c>
      <c r="B47293">
        <f>TEXT(47292, "[$-0E0000]yyyy-mm-dd")</f>
        <v/>
      </c>
      <c r="C47293" t="inlineStr">
        <is>
          <t>2029-05-13</t>
        </is>
      </c>
    </row>
    <row r="47294">
      <c r="A47294" s="1" t="n">
        <v>47293</v>
      </c>
      <c r="B47294">
        <f>TEXT(47293, "[$-0E0000]yyyy-mm-dd")</f>
        <v/>
      </c>
      <c r="C47294" t="inlineStr">
        <is>
          <t>2029-05-14</t>
        </is>
      </c>
    </row>
    <row r="47295">
      <c r="A47295" s="1" t="n">
        <v>47294</v>
      </c>
      <c r="B47295">
        <f>TEXT(47294, "[$-0E0000]yyyy-mm-dd")</f>
        <v/>
      </c>
      <c r="C47295" t="inlineStr">
        <is>
          <t>2029-05-15</t>
        </is>
      </c>
    </row>
    <row r="47296">
      <c r="A47296" s="1" t="n">
        <v>47295</v>
      </c>
      <c r="B47296">
        <f>TEXT(47295, "[$-0E0000]yyyy-mm-dd")</f>
        <v/>
      </c>
      <c r="C47296" t="inlineStr">
        <is>
          <t>2029-05-16</t>
        </is>
      </c>
    </row>
    <row r="47297">
      <c r="A47297" s="1" t="n">
        <v>47296</v>
      </c>
      <c r="B47297">
        <f>TEXT(47296, "[$-0E0000]yyyy-mm-dd")</f>
        <v/>
      </c>
      <c r="C47297" t="inlineStr">
        <is>
          <t>2029-05-17</t>
        </is>
      </c>
    </row>
    <row r="47298">
      <c r="A47298" s="1" t="n">
        <v>47297</v>
      </c>
      <c r="B47298">
        <f>TEXT(47297, "[$-0E0000]yyyy-mm-dd")</f>
        <v/>
      </c>
      <c r="C47298" t="inlineStr">
        <is>
          <t>2029-05-18</t>
        </is>
      </c>
    </row>
    <row r="47299">
      <c r="A47299" s="1" t="n">
        <v>47298</v>
      </c>
      <c r="B47299">
        <f>TEXT(47298, "[$-0E0000]yyyy-mm-dd")</f>
        <v/>
      </c>
      <c r="C47299" t="inlineStr">
        <is>
          <t>2029-05-19</t>
        </is>
      </c>
    </row>
    <row r="47300">
      <c r="A47300" s="1" t="n">
        <v>47299</v>
      </c>
      <c r="B47300">
        <f>TEXT(47299, "[$-0E0000]yyyy-mm-dd")</f>
        <v/>
      </c>
      <c r="C47300" t="inlineStr">
        <is>
          <t>2029-05-20</t>
        </is>
      </c>
    </row>
    <row r="47301">
      <c r="A47301" s="1" t="n">
        <v>47300</v>
      </c>
      <c r="B47301">
        <f>TEXT(47300, "[$-0E0000]yyyy-mm-dd")</f>
        <v/>
      </c>
      <c r="C47301" t="inlineStr">
        <is>
          <t>2029-05-21</t>
        </is>
      </c>
    </row>
    <row r="47302">
      <c r="A47302" s="1" t="n">
        <v>47301</v>
      </c>
      <c r="B47302">
        <f>TEXT(47301, "[$-0E0000]yyyy-mm-dd")</f>
        <v/>
      </c>
      <c r="C47302" t="inlineStr">
        <is>
          <t>2029-05-22</t>
        </is>
      </c>
    </row>
    <row r="47303">
      <c r="A47303" s="1" t="n">
        <v>47302</v>
      </c>
      <c r="B47303">
        <f>TEXT(47302, "[$-0E0000]yyyy-mm-dd")</f>
        <v/>
      </c>
      <c r="C47303" t="inlineStr">
        <is>
          <t>2029-05-23</t>
        </is>
      </c>
    </row>
    <row r="47304">
      <c r="A47304" s="1" t="n">
        <v>47303</v>
      </c>
      <c r="B47304">
        <f>TEXT(47303, "[$-0E0000]yyyy-mm-dd")</f>
        <v/>
      </c>
      <c r="C47304" t="inlineStr">
        <is>
          <t>2029-05-24</t>
        </is>
      </c>
    </row>
    <row r="47305">
      <c r="A47305" s="1" t="n">
        <v>47304</v>
      </c>
      <c r="B47305">
        <f>TEXT(47304, "[$-0E0000]yyyy-mm-dd")</f>
        <v/>
      </c>
      <c r="C47305" t="inlineStr">
        <is>
          <t>2029-05-25</t>
        </is>
      </c>
    </row>
    <row r="47306">
      <c r="A47306" s="1" t="n">
        <v>47305</v>
      </c>
      <c r="B47306">
        <f>TEXT(47305, "[$-0E0000]yyyy-mm-dd")</f>
        <v/>
      </c>
      <c r="C47306" t="inlineStr">
        <is>
          <t>2029-05-26</t>
        </is>
      </c>
    </row>
    <row r="47307">
      <c r="A47307" s="1" t="n">
        <v>47306</v>
      </c>
      <c r="B47307">
        <f>TEXT(47306, "[$-0E0000]yyyy-mm-dd")</f>
        <v/>
      </c>
      <c r="C47307" t="inlineStr">
        <is>
          <t>2029-05-27</t>
        </is>
      </c>
    </row>
    <row r="47308">
      <c r="A47308" s="1" t="n">
        <v>47307</v>
      </c>
      <c r="B47308">
        <f>TEXT(47307, "[$-0E0000]yyyy-mm-dd")</f>
        <v/>
      </c>
      <c r="C47308" t="inlineStr">
        <is>
          <t>2029-05-28</t>
        </is>
      </c>
    </row>
    <row r="47309">
      <c r="A47309" s="1" t="n">
        <v>47308</v>
      </c>
      <c r="B47309">
        <f>TEXT(47308, "[$-0E0000]yyyy-mm-dd")</f>
        <v/>
      </c>
      <c r="C47309" t="inlineStr">
        <is>
          <t>2029-05-29</t>
        </is>
      </c>
    </row>
    <row r="47310">
      <c r="A47310" s="1" t="n">
        <v>47309</v>
      </c>
      <c r="B47310">
        <f>TEXT(47309, "[$-0E0000]yyyy-mm-dd")</f>
        <v/>
      </c>
      <c r="C47310" t="inlineStr">
        <is>
          <t>2029-06-01</t>
        </is>
      </c>
    </row>
    <row r="47311">
      <c r="A47311" s="1" t="n">
        <v>47310</v>
      </c>
      <c r="B47311">
        <f>TEXT(47310, "[$-0E0000]yyyy-mm-dd")</f>
        <v/>
      </c>
      <c r="C47311" t="inlineStr">
        <is>
          <t>2029-06-02</t>
        </is>
      </c>
    </row>
    <row r="47312">
      <c r="A47312" s="1" t="n">
        <v>47311</v>
      </c>
      <c r="B47312">
        <f>TEXT(47311, "[$-0E0000]yyyy-mm-dd")</f>
        <v/>
      </c>
      <c r="C47312" t="inlineStr">
        <is>
          <t>2029-06-03</t>
        </is>
      </c>
    </row>
    <row r="47313">
      <c r="A47313" s="1" t="n">
        <v>47312</v>
      </c>
      <c r="B47313">
        <f>TEXT(47312, "[$-0E0000]yyyy-mm-dd")</f>
        <v/>
      </c>
      <c r="C47313" t="inlineStr">
        <is>
          <t>2029-06-04</t>
        </is>
      </c>
    </row>
    <row r="47314">
      <c r="A47314" s="1" t="n">
        <v>47313</v>
      </c>
      <c r="B47314">
        <f>TEXT(47313, "[$-0E0000]yyyy-mm-dd")</f>
        <v/>
      </c>
      <c r="C47314" t="inlineStr">
        <is>
          <t>2029-06-05</t>
        </is>
      </c>
    </row>
    <row r="47315">
      <c r="A47315" s="1" t="n">
        <v>47314</v>
      </c>
      <c r="B47315">
        <f>TEXT(47314, "[$-0E0000]yyyy-mm-dd")</f>
        <v/>
      </c>
      <c r="C47315" t="inlineStr">
        <is>
          <t>2029-06-06</t>
        </is>
      </c>
    </row>
    <row r="47316">
      <c r="A47316" s="1" t="n">
        <v>47315</v>
      </c>
      <c r="B47316">
        <f>TEXT(47315, "[$-0E0000]yyyy-mm-dd")</f>
        <v/>
      </c>
      <c r="C47316" t="inlineStr">
        <is>
          <t>2029-06-07</t>
        </is>
      </c>
    </row>
    <row r="47317">
      <c r="A47317" s="1" t="n">
        <v>47316</v>
      </c>
      <c r="B47317">
        <f>TEXT(47316, "[$-0E0000]yyyy-mm-dd")</f>
        <v/>
      </c>
      <c r="C47317" t="inlineStr">
        <is>
          <t>2029-06-08</t>
        </is>
      </c>
    </row>
    <row r="47318">
      <c r="A47318" s="1" t="n">
        <v>47317</v>
      </c>
      <c r="B47318">
        <f>TEXT(47317, "[$-0E0000]yyyy-mm-dd")</f>
        <v/>
      </c>
      <c r="C47318" t="inlineStr">
        <is>
          <t>2029-06-09</t>
        </is>
      </c>
    </row>
    <row r="47319">
      <c r="A47319" s="1" t="n">
        <v>47318</v>
      </c>
      <c r="B47319">
        <f>TEXT(47318, "[$-0E0000]yyyy-mm-dd")</f>
        <v/>
      </c>
      <c r="C47319" t="inlineStr">
        <is>
          <t>2029-06-10</t>
        </is>
      </c>
    </row>
    <row r="47320">
      <c r="A47320" s="1" t="n">
        <v>47319</v>
      </c>
      <c r="B47320">
        <f>TEXT(47319, "[$-0E0000]yyyy-mm-dd")</f>
        <v/>
      </c>
      <c r="C47320" t="inlineStr">
        <is>
          <t>2029-06-11</t>
        </is>
      </c>
    </row>
    <row r="47321">
      <c r="A47321" s="1" t="n">
        <v>47320</v>
      </c>
      <c r="B47321">
        <f>TEXT(47320, "[$-0E0000]yyyy-mm-dd")</f>
        <v/>
      </c>
      <c r="C47321" t="inlineStr">
        <is>
          <t>2029-06-12</t>
        </is>
      </c>
    </row>
    <row r="47322">
      <c r="A47322" s="1" t="n">
        <v>47321</v>
      </c>
      <c r="B47322">
        <f>TEXT(47321, "[$-0E0000]yyyy-mm-dd")</f>
        <v/>
      </c>
      <c r="C47322" t="inlineStr">
        <is>
          <t>2029-06-13</t>
        </is>
      </c>
    </row>
    <row r="47323">
      <c r="A47323" s="1" t="n">
        <v>47322</v>
      </c>
      <c r="B47323">
        <f>TEXT(47322, "[$-0E0000]yyyy-mm-dd")</f>
        <v/>
      </c>
      <c r="C47323" t="inlineStr">
        <is>
          <t>2029-06-14</t>
        </is>
      </c>
    </row>
    <row r="47324">
      <c r="A47324" s="1" t="n">
        <v>47323</v>
      </c>
      <c r="B47324">
        <f>TEXT(47323, "[$-0E0000]yyyy-mm-dd")</f>
        <v/>
      </c>
      <c r="C47324" t="inlineStr">
        <is>
          <t>2029-06-15</t>
        </is>
      </c>
    </row>
    <row r="47325">
      <c r="A47325" s="1" t="n">
        <v>47324</v>
      </c>
      <c r="B47325">
        <f>TEXT(47324, "[$-0E0000]yyyy-mm-dd")</f>
        <v/>
      </c>
      <c r="C47325" t="inlineStr">
        <is>
          <t>2029-06-16</t>
        </is>
      </c>
    </row>
    <row r="47326">
      <c r="A47326" s="1" t="n">
        <v>47325</v>
      </c>
      <c r="B47326">
        <f>TEXT(47325, "[$-0E0000]yyyy-mm-dd")</f>
        <v/>
      </c>
      <c r="C47326" t="inlineStr">
        <is>
          <t>2029-06-17</t>
        </is>
      </c>
    </row>
    <row r="47327">
      <c r="A47327" s="1" t="n">
        <v>47326</v>
      </c>
      <c r="B47327">
        <f>TEXT(47326, "[$-0E0000]yyyy-mm-dd")</f>
        <v/>
      </c>
      <c r="C47327" t="inlineStr">
        <is>
          <t>2029-06-18</t>
        </is>
      </c>
    </row>
    <row r="47328">
      <c r="A47328" s="1" t="n">
        <v>47327</v>
      </c>
      <c r="B47328">
        <f>TEXT(47327, "[$-0E0000]yyyy-mm-dd")</f>
        <v/>
      </c>
      <c r="C47328" t="inlineStr">
        <is>
          <t>2029-06-19</t>
        </is>
      </c>
    </row>
    <row r="47329">
      <c r="A47329" s="1" t="n">
        <v>47328</v>
      </c>
      <c r="B47329">
        <f>TEXT(47328, "[$-0E0000]yyyy-mm-dd")</f>
        <v/>
      </c>
      <c r="C47329" t="inlineStr">
        <is>
          <t>2029-06-20</t>
        </is>
      </c>
    </row>
    <row r="47330">
      <c r="A47330" s="1" t="n">
        <v>47329</v>
      </c>
      <c r="B47330">
        <f>TEXT(47329, "[$-0E0000]yyyy-mm-dd")</f>
        <v/>
      </c>
      <c r="C47330" t="inlineStr">
        <is>
          <t>2029-06-21</t>
        </is>
      </c>
    </row>
    <row r="47331">
      <c r="A47331" s="1" t="n">
        <v>47330</v>
      </c>
      <c r="B47331">
        <f>TEXT(47330, "[$-0E0000]yyyy-mm-dd")</f>
        <v/>
      </c>
      <c r="C47331" t="inlineStr">
        <is>
          <t>2029-06-22</t>
        </is>
      </c>
    </row>
    <row r="47332">
      <c r="A47332" s="1" t="n">
        <v>47331</v>
      </c>
      <c r="B47332">
        <f>TEXT(47331, "[$-0E0000]yyyy-mm-dd")</f>
        <v/>
      </c>
      <c r="C47332" t="inlineStr">
        <is>
          <t>2029-06-23</t>
        </is>
      </c>
    </row>
    <row r="47333">
      <c r="A47333" s="1" t="n">
        <v>47332</v>
      </c>
      <c r="B47333">
        <f>TEXT(47332, "[$-0E0000]yyyy-mm-dd")</f>
        <v/>
      </c>
      <c r="C47333" t="inlineStr">
        <is>
          <t>2029-06-24</t>
        </is>
      </c>
    </row>
    <row r="47334">
      <c r="A47334" s="1" t="n">
        <v>47333</v>
      </c>
      <c r="B47334">
        <f>TEXT(47333, "[$-0E0000]yyyy-mm-dd")</f>
        <v/>
      </c>
      <c r="C47334" t="inlineStr">
        <is>
          <t>2029-06-25</t>
        </is>
      </c>
    </row>
    <row r="47335">
      <c r="A47335" s="1" t="n">
        <v>47334</v>
      </c>
      <c r="B47335">
        <f>TEXT(47334, "[$-0E0000]yyyy-mm-dd")</f>
        <v/>
      </c>
      <c r="C47335" t="inlineStr">
        <is>
          <t>2029-06-26</t>
        </is>
      </c>
    </row>
    <row r="47336">
      <c r="A47336" s="1" t="n">
        <v>47335</v>
      </c>
      <c r="B47336">
        <f>TEXT(47335, "[$-0E0000]yyyy-mm-dd")</f>
        <v/>
      </c>
      <c r="C47336" t="inlineStr">
        <is>
          <t>2029-06-27</t>
        </is>
      </c>
    </row>
    <row r="47337">
      <c r="A47337" s="1" t="n">
        <v>47336</v>
      </c>
      <c r="B47337">
        <f>TEXT(47336, "[$-0E0000]yyyy-mm-dd")</f>
        <v/>
      </c>
      <c r="C47337" t="inlineStr">
        <is>
          <t>2029-06-28</t>
        </is>
      </c>
    </row>
    <row r="47338">
      <c r="A47338" s="1" t="n">
        <v>47337</v>
      </c>
      <c r="B47338">
        <f>TEXT(47337, "[$-0E0000]yyyy-mm-dd")</f>
        <v/>
      </c>
      <c r="C47338" t="inlineStr">
        <is>
          <t>2029-06-29</t>
        </is>
      </c>
    </row>
    <row r="47339">
      <c r="A47339" s="1" t="n">
        <v>47338</v>
      </c>
      <c r="B47339">
        <f>TEXT(47338, "[$-0E0000]yyyy-mm-dd")</f>
        <v/>
      </c>
      <c r="C47339" t="inlineStr">
        <is>
          <t>2029-06-30</t>
        </is>
      </c>
    </row>
    <row r="47340">
      <c r="A47340" s="1" t="n">
        <v>47339</v>
      </c>
      <c r="B47340">
        <f>TEXT(47339, "[$-0E0000]yyyy-mm-dd")</f>
        <v/>
      </c>
      <c r="C47340" t="inlineStr">
        <is>
          <t>2029-07-01</t>
        </is>
      </c>
    </row>
    <row r="47341">
      <c r="A47341" s="1" t="n">
        <v>47340</v>
      </c>
      <c r="B47341">
        <f>TEXT(47340, "[$-0E0000]yyyy-mm-dd")</f>
        <v/>
      </c>
      <c r="C47341" t="inlineStr">
        <is>
          <t>2029-07-02</t>
        </is>
      </c>
    </row>
    <row r="47342">
      <c r="A47342" s="1" t="n">
        <v>47341</v>
      </c>
      <c r="B47342">
        <f>TEXT(47341, "[$-0E0000]yyyy-mm-dd")</f>
        <v/>
      </c>
      <c r="C47342" t="inlineStr">
        <is>
          <t>2029-07-03</t>
        </is>
      </c>
    </row>
    <row r="47343">
      <c r="A47343" s="1" t="n">
        <v>47342</v>
      </c>
      <c r="B47343">
        <f>TEXT(47342, "[$-0E0000]yyyy-mm-dd")</f>
        <v/>
      </c>
      <c r="C47343" t="inlineStr">
        <is>
          <t>2029-07-04</t>
        </is>
      </c>
    </row>
    <row r="47344">
      <c r="A47344" s="1" t="n">
        <v>47343</v>
      </c>
      <c r="B47344">
        <f>TEXT(47343, "[$-0E0000]yyyy-mm-dd")</f>
        <v/>
      </c>
      <c r="C47344" t="inlineStr">
        <is>
          <t>2029-07-05</t>
        </is>
      </c>
    </row>
    <row r="47345">
      <c r="A47345" s="1" t="n">
        <v>47344</v>
      </c>
      <c r="B47345">
        <f>TEXT(47344, "[$-0E0000]yyyy-mm-dd")</f>
        <v/>
      </c>
      <c r="C47345" t="inlineStr">
        <is>
          <t>2029-07-06</t>
        </is>
      </c>
    </row>
    <row r="47346">
      <c r="A47346" s="1" t="n">
        <v>47345</v>
      </c>
      <c r="B47346">
        <f>TEXT(47345, "[$-0E0000]yyyy-mm-dd")</f>
        <v/>
      </c>
      <c r="C47346" t="inlineStr">
        <is>
          <t>2029-07-07</t>
        </is>
      </c>
    </row>
    <row r="47347">
      <c r="A47347" s="1" t="n">
        <v>47346</v>
      </c>
      <c r="B47347">
        <f>TEXT(47346, "[$-0E0000]yyyy-mm-dd")</f>
        <v/>
      </c>
      <c r="C47347" t="inlineStr">
        <is>
          <t>2029-07-08</t>
        </is>
      </c>
    </row>
    <row r="47348">
      <c r="A47348" s="1" t="n">
        <v>47347</v>
      </c>
      <c r="B47348">
        <f>TEXT(47347, "[$-0E0000]yyyy-mm-dd")</f>
        <v/>
      </c>
      <c r="C47348" t="inlineStr">
        <is>
          <t>2029-07-09</t>
        </is>
      </c>
    </row>
    <row r="47349">
      <c r="A47349" s="1" t="n">
        <v>47348</v>
      </c>
      <c r="B47349">
        <f>TEXT(47348, "[$-0E0000]yyyy-mm-dd")</f>
        <v/>
      </c>
      <c r="C47349" t="inlineStr">
        <is>
          <t>2029-07-10</t>
        </is>
      </c>
    </row>
    <row r="47350">
      <c r="A47350" s="1" t="n">
        <v>47349</v>
      </c>
      <c r="B47350">
        <f>TEXT(47349, "[$-0E0000]yyyy-mm-dd")</f>
        <v/>
      </c>
      <c r="C47350" t="inlineStr">
        <is>
          <t>2029-07-11</t>
        </is>
      </c>
    </row>
    <row r="47351">
      <c r="A47351" s="1" t="n">
        <v>47350</v>
      </c>
      <c r="B47351">
        <f>TEXT(47350, "[$-0E0000]yyyy-mm-dd")</f>
        <v/>
      </c>
      <c r="C47351" t="inlineStr">
        <is>
          <t>2029-07-12</t>
        </is>
      </c>
    </row>
    <row r="47352">
      <c r="A47352" s="1" t="n">
        <v>47351</v>
      </c>
      <c r="B47352">
        <f>TEXT(47351, "[$-0E0000]yyyy-mm-dd")</f>
        <v/>
      </c>
      <c r="C47352" t="inlineStr">
        <is>
          <t>2029-07-13</t>
        </is>
      </c>
    </row>
    <row r="47353">
      <c r="A47353" s="1" t="n">
        <v>47352</v>
      </c>
      <c r="B47353">
        <f>TEXT(47352, "[$-0E0000]yyyy-mm-dd")</f>
        <v/>
      </c>
      <c r="C47353" t="inlineStr">
        <is>
          <t>2029-07-14</t>
        </is>
      </c>
    </row>
    <row r="47354">
      <c r="A47354" s="1" t="n">
        <v>47353</v>
      </c>
      <c r="B47354">
        <f>TEXT(47353, "[$-0E0000]yyyy-mm-dd")</f>
        <v/>
      </c>
      <c r="C47354" t="inlineStr">
        <is>
          <t>2029-07-15</t>
        </is>
      </c>
    </row>
    <row r="47355">
      <c r="A47355" s="1" t="n">
        <v>47354</v>
      </c>
      <c r="B47355">
        <f>TEXT(47354, "[$-0E0000]yyyy-mm-dd")</f>
        <v/>
      </c>
      <c r="C47355" t="inlineStr">
        <is>
          <t>2029-07-16</t>
        </is>
      </c>
    </row>
    <row r="47356">
      <c r="A47356" s="1" t="n">
        <v>47355</v>
      </c>
      <c r="B47356">
        <f>TEXT(47355, "[$-0E0000]yyyy-mm-dd")</f>
        <v/>
      </c>
      <c r="C47356" t="inlineStr">
        <is>
          <t>2029-07-17</t>
        </is>
      </c>
    </row>
    <row r="47357">
      <c r="A47357" s="1" t="n">
        <v>47356</v>
      </c>
      <c r="B47357">
        <f>TEXT(47356, "[$-0E0000]yyyy-mm-dd")</f>
        <v/>
      </c>
      <c r="C47357" t="inlineStr">
        <is>
          <t>2029-07-18</t>
        </is>
      </c>
    </row>
    <row r="47358">
      <c r="A47358" s="1" t="n">
        <v>47357</v>
      </c>
      <c r="B47358">
        <f>TEXT(47357, "[$-0E0000]yyyy-mm-dd")</f>
        <v/>
      </c>
      <c r="C47358" t="inlineStr">
        <is>
          <t>2029-07-19</t>
        </is>
      </c>
    </row>
    <row r="47359">
      <c r="A47359" s="1" t="n">
        <v>47358</v>
      </c>
      <c r="B47359">
        <f>TEXT(47358, "[$-0E0000]yyyy-mm-dd")</f>
        <v/>
      </c>
      <c r="C47359" t="inlineStr">
        <is>
          <t>2029-07-20</t>
        </is>
      </c>
    </row>
    <row r="47360">
      <c r="A47360" s="1" t="n">
        <v>47359</v>
      </c>
      <c r="B47360">
        <f>TEXT(47359, "[$-0E0000]yyyy-mm-dd")</f>
        <v/>
      </c>
      <c r="C47360" t="inlineStr">
        <is>
          <t>2029-07-21</t>
        </is>
      </c>
    </row>
    <row r="47361">
      <c r="A47361" s="1" t="n">
        <v>47360</v>
      </c>
      <c r="B47361">
        <f>TEXT(47360, "[$-0E0000]yyyy-mm-dd")</f>
        <v/>
      </c>
      <c r="C47361" t="inlineStr">
        <is>
          <t>2029-07-22</t>
        </is>
      </c>
    </row>
    <row r="47362">
      <c r="A47362" s="1" t="n">
        <v>47361</v>
      </c>
      <c r="B47362">
        <f>TEXT(47361, "[$-0E0000]yyyy-mm-dd")</f>
        <v/>
      </c>
      <c r="C47362" t="inlineStr">
        <is>
          <t>2029-07-23</t>
        </is>
      </c>
    </row>
    <row r="47363">
      <c r="A47363" s="1" t="n">
        <v>47362</v>
      </c>
      <c r="B47363">
        <f>TEXT(47362, "[$-0E0000]yyyy-mm-dd")</f>
        <v/>
      </c>
      <c r="C47363" t="inlineStr">
        <is>
          <t>2029-07-24</t>
        </is>
      </c>
    </row>
    <row r="47364">
      <c r="A47364" s="1" t="n">
        <v>47363</v>
      </c>
      <c r="B47364">
        <f>TEXT(47363, "[$-0E0000]yyyy-mm-dd")</f>
        <v/>
      </c>
      <c r="C47364" t="inlineStr">
        <is>
          <t>2029-07-25</t>
        </is>
      </c>
    </row>
    <row r="47365">
      <c r="A47365" s="1" t="n">
        <v>47364</v>
      </c>
      <c r="B47365">
        <f>TEXT(47364, "[$-0E0000]yyyy-mm-dd")</f>
        <v/>
      </c>
      <c r="C47365" t="inlineStr">
        <is>
          <t>2029-07-26</t>
        </is>
      </c>
    </row>
    <row r="47366">
      <c r="A47366" s="1" t="n">
        <v>47365</v>
      </c>
      <c r="B47366">
        <f>TEXT(47365, "[$-0E0000]yyyy-mm-dd")</f>
        <v/>
      </c>
      <c r="C47366" t="inlineStr">
        <is>
          <t>2029-07-27</t>
        </is>
      </c>
    </row>
    <row r="47367">
      <c r="A47367" s="1" t="n">
        <v>47366</v>
      </c>
      <c r="B47367">
        <f>TEXT(47366, "[$-0E0000]yyyy-mm-dd")</f>
        <v/>
      </c>
      <c r="C47367" t="inlineStr">
        <is>
          <t>2029-07-28</t>
        </is>
      </c>
    </row>
    <row r="47368">
      <c r="A47368" s="1" t="n">
        <v>47367</v>
      </c>
      <c r="B47368">
        <f>TEXT(47367, "[$-0E0000]yyyy-mm-dd")</f>
        <v/>
      </c>
      <c r="C47368" t="inlineStr">
        <is>
          <t>2029-07-29</t>
        </is>
      </c>
    </row>
    <row r="47369">
      <c r="A47369" s="1" t="n">
        <v>47368</v>
      </c>
      <c r="B47369">
        <f>TEXT(47368, "[$-0E0000]yyyy-mm-dd")</f>
        <v/>
      </c>
      <c r="C47369" t="inlineStr">
        <is>
          <t>2029-08-01</t>
        </is>
      </c>
    </row>
    <row r="47370">
      <c r="A47370" s="1" t="n">
        <v>47369</v>
      </c>
      <c r="B47370">
        <f>TEXT(47369, "[$-0E0000]yyyy-mm-dd")</f>
        <v/>
      </c>
      <c r="C47370" t="inlineStr">
        <is>
          <t>2029-08-02</t>
        </is>
      </c>
    </row>
    <row r="47371">
      <c r="A47371" s="1" t="n">
        <v>47370</v>
      </c>
      <c r="B47371">
        <f>TEXT(47370, "[$-0E0000]yyyy-mm-dd")</f>
        <v/>
      </c>
      <c r="C47371" t="inlineStr">
        <is>
          <t>2029-08-03</t>
        </is>
      </c>
    </row>
    <row r="47372">
      <c r="A47372" s="1" t="n">
        <v>47371</v>
      </c>
      <c r="B47372">
        <f>TEXT(47371, "[$-0E0000]yyyy-mm-dd")</f>
        <v/>
      </c>
      <c r="C47372" t="inlineStr">
        <is>
          <t>2029-08-04</t>
        </is>
      </c>
    </row>
    <row r="47373">
      <c r="A47373" s="1" t="n">
        <v>47372</v>
      </c>
      <c r="B47373">
        <f>TEXT(47372, "[$-0E0000]yyyy-mm-dd")</f>
        <v/>
      </c>
      <c r="C47373" t="inlineStr">
        <is>
          <t>2029-08-05</t>
        </is>
      </c>
    </row>
    <row r="47374">
      <c r="A47374" s="1" t="n">
        <v>47373</v>
      </c>
      <c r="B47374">
        <f>TEXT(47373, "[$-0E0000]yyyy-mm-dd")</f>
        <v/>
      </c>
      <c r="C47374" t="inlineStr">
        <is>
          <t>2029-08-06</t>
        </is>
      </c>
    </row>
    <row r="47375">
      <c r="A47375" s="1" t="n">
        <v>47374</v>
      </c>
      <c r="B47375">
        <f>TEXT(47374, "[$-0E0000]yyyy-mm-dd")</f>
        <v/>
      </c>
      <c r="C47375" t="inlineStr">
        <is>
          <t>2029-08-07</t>
        </is>
      </c>
    </row>
    <row r="47376">
      <c r="A47376" s="1" t="n">
        <v>47375</v>
      </c>
      <c r="B47376">
        <f>TEXT(47375, "[$-0E0000]yyyy-mm-dd")</f>
        <v/>
      </c>
      <c r="C47376" t="inlineStr">
        <is>
          <t>2029-08-08</t>
        </is>
      </c>
    </row>
    <row r="47377">
      <c r="A47377" s="1" t="n">
        <v>47376</v>
      </c>
      <c r="B47377">
        <f>TEXT(47376, "[$-0E0000]yyyy-mm-dd")</f>
        <v/>
      </c>
      <c r="C47377" t="inlineStr">
        <is>
          <t>2029-08-09</t>
        </is>
      </c>
    </row>
    <row r="47378">
      <c r="A47378" s="1" t="n">
        <v>47377</v>
      </c>
      <c r="B47378">
        <f>TEXT(47377, "[$-0E0000]yyyy-mm-dd")</f>
        <v/>
      </c>
      <c r="C47378" t="inlineStr">
        <is>
          <t>2029-08-10</t>
        </is>
      </c>
    </row>
    <row r="47379">
      <c r="A47379" s="1" t="n">
        <v>47378</v>
      </c>
      <c r="B47379">
        <f>TEXT(47378, "[$-0E0000]yyyy-mm-dd")</f>
        <v/>
      </c>
      <c r="C47379" t="inlineStr">
        <is>
          <t>2029-08-11</t>
        </is>
      </c>
    </row>
    <row r="47380">
      <c r="A47380" s="1" t="n">
        <v>47379</v>
      </c>
      <c r="B47380">
        <f>TEXT(47379, "[$-0E0000]yyyy-mm-dd")</f>
        <v/>
      </c>
      <c r="C47380" t="inlineStr">
        <is>
          <t>2029-08-12</t>
        </is>
      </c>
    </row>
    <row r="47381">
      <c r="A47381" s="1" t="n">
        <v>47380</v>
      </c>
      <c r="B47381">
        <f>TEXT(47380, "[$-0E0000]yyyy-mm-dd")</f>
        <v/>
      </c>
      <c r="C47381" t="inlineStr">
        <is>
          <t>2029-08-13</t>
        </is>
      </c>
    </row>
    <row r="47382">
      <c r="A47382" s="1" t="n">
        <v>47381</v>
      </c>
      <c r="B47382">
        <f>TEXT(47381, "[$-0E0000]yyyy-mm-dd")</f>
        <v/>
      </c>
      <c r="C47382" t="inlineStr">
        <is>
          <t>2029-08-14</t>
        </is>
      </c>
    </row>
    <row r="47383">
      <c r="A47383" s="1" t="n">
        <v>47382</v>
      </c>
      <c r="B47383">
        <f>TEXT(47382, "[$-0E0000]yyyy-mm-dd")</f>
        <v/>
      </c>
      <c r="C47383" t="inlineStr">
        <is>
          <t>2029-08-15</t>
        </is>
      </c>
    </row>
    <row r="47384">
      <c r="A47384" s="1" t="n">
        <v>47383</v>
      </c>
      <c r="B47384">
        <f>TEXT(47383, "[$-0E0000]yyyy-mm-dd")</f>
        <v/>
      </c>
      <c r="C47384" t="inlineStr">
        <is>
          <t>2029-08-16</t>
        </is>
      </c>
    </row>
    <row r="47385">
      <c r="A47385" s="1" t="n">
        <v>47384</v>
      </c>
      <c r="B47385">
        <f>TEXT(47384, "[$-0E0000]yyyy-mm-dd")</f>
        <v/>
      </c>
      <c r="C47385" t="inlineStr">
        <is>
          <t>2029-08-17</t>
        </is>
      </c>
    </row>
    <row r="47386">
      <c r="A47386" s="1" t="n">
        <v>47385</v>
      </c>
      <c r="B47386">
        <f>TEXT(47385, "[$-0E0000]yyyy-mm-dd")</f>
        <v/>
      </c>
      <c r="C47386" t="inlineStr">
        <is>
          <t>2029-08-18</t>
        </is>
      </c>
    </row>
    <row r="47387">
      <c r="A47387" s="1" t="n">
        <v>47386</v>
      </c>
      <c r="B47387">
        <f>TEXT(47386, "[$-0E0000]yyyy-mm-dd")</f>
        <v/>
      </c>
      <c r="C47387" t="inlineStr">
        <is>
          <t>2029-08-19</t>
        </is>
      </c>
    </row>
    <row r="47388">
      <c r="A47388" s="1" t="n">
        <v>47387</v>
      </c>
      <c r="B47388">
        <f>TEXT(47387, "[$-0E0000]yyyy-mm-dd")</f>
        <v/>
      </c>
      <c r="C47388" t="inlineStr">
        <is>
          <t>2029-08-20</t>
        </is>
      </c>
    </row>
    <row r="47389">
      <c r="A47389" s="1" t="n">
        <v>47388</v>
      </c>
      <c r="B47389">
        <f>TEXT(47388, "[$-0E0000]yyyy-mm-dd")</f>
        <v/>
      </c>
      <c r="C47389" t="inlineStr">
        <is>
          <t>2029-08-21</t>
        </is>
      </c>
    </row>
    <row r="47390">
      <c r="A47390" s="1" t="n">
        <v>47389</v>
      </c>
      <c r="B47390">
        <f>TEXT(47389, "[$-0E0000]yyyy-mm-dd")</f>
        <v/>
      </c>
      <c r="C47390" t="inlineStr">
        <is>
          <t>2029-08-22</t>
        </is>
      </c>
    </row>
    <row r="47391">
      <c r="A47391" s="1" t="n">
        <v>47390</v>
      </c>
      <c r="B47391">
        <f>TEXT(47390, "[$-0E0000]yyyy-mm-dd")</f>
        <v/>
      </c>
      <c r="C47391" t="inlineStr">
        <is>
          <t>2029-08-23</t>
        </is>
      </c>
    </row>
    <row r="47392">
      <c r="A47392" s="1" t="n">
        <v>47391</v>
      </c>
      <c r="B47392">
        <f>TEXT(47391, "[$-0E0000]yyyy-mm-dd")</f>
        <v/>
      </c>
      <c r="C47392" t="inlineStr">
        <is>
          <t>2029-08-24</t>
        </is>
      </c>
    </row>
    <row r="47393">
      <c r="A47393" s="1" t="n">
        <v>47392</v>
      </c>
      <c r="B47393">
        <f>TEXT(47392, "[$-0E0000]yyyy-mm-dd")</f>
        <v/>
      </c>
      <c r="C47393" t="inlineStr">
        <is>
          <t>2029-08-25</t>
        </is>
      </c>
    </row>
    <row r="47394">
      <c r="A47394" s="1" t="n">
        <v>47393</v>
      </c>
      <c r="B47394">
        <f>TEXT(47393, "[$-0E0000]yyyy-mm-dd")</f>
        <v/>
      </c>
      <c r="C47394" t="inlineStr">
        <is>
          <t>2029-08-26</t>
        </is>
      </c>
    </row>
    <row r="47395">
      <c r="A47395" s="1" t="n">
        <v>47394</v>
      </c>
      <c r="B47395">
        <f>TEXT(47394, "[$-0E0000]yyyy-mm-dd")</f>
        <v/>
      </c>
      <c r="C47395" t="inlineStr">
        <is>
          <t>2029-08-27</t>
        </is>
      </c>
    </row>
    <row r="47396">
      <c r="A47396" s="1" t="n">
        <v>47395</v>
      </c>
      <c r="B47396">
        <f>TEXT(47395, "[$-0E0000]yyyy-mm-dd")</f>
        <v/>
      </c>
      <c r="C47396" t="inlineStr">
        <is>
          <t>2029-08-28</t>
        </is>
      </c>
    </row>
    <row r="47397">
      <c r="A47397" s="1" t="n">
        <v>47396</v>
      </c>
      <c r="B47397">
        <f>TEXT(47396, "[$-0E0000]yyyy-mm-dd")</f>
        <v/>
      </c>
      <c r="C47397" t="inlineStr">
        <is>
          <t>2029-08-29</t>
        </is>
      </c>
    </row>
    <row r="47398">
      <c r="A47398" s="1" t="n">
        <v>47397</v>
      </c>
      <c r="B47398">
        <f>TEXT(47397, "[$-0E0000]yyyy-mm-dd")</f>
        <v/>
      </c>
      <c r="C47398" t="inlineStr">
        <is>
          <t>2029-08-30</t>
        </is>
      </c>
    </row>
    <row r="47399">
      <c r="A47399" s="1" t="n">
        <v>47398</v>
      </c>
      <c r="B47399">
        <f>TEXT(47398, "[$-0E0000]yyyy-mm-dd")</f>
        <v/>
      </c>
      <c r="C47399" t="inlineStr">
        <is>
          <t>2029-09-01</t>
        </is>
      </c>
    </row>
    <row r="47400">
      <c r="A47400" s="1" t="n">
        <v>47399</v>
      </c>
      <c r="B47400">
        <f>TEXT(47399, "[$-0E0000]yyyy-mm-dd")</f>
        <v/>
      </c>
      <c r="C47400" t="inlineStr">
        <is>
          <t>2029-09-02</t>
        </is>
      </c>
    </row>
    <row r="47401">
      <c r="A47401" s="1" t="n">
        <v>47400</v>
      </c>
      <c r="B47401">
        <f>TEXT(47400, "[$-0E0000]yyyy-mm-dd")</f>
        <v/>
      </c>
      <c r="C47401" t="inlineStr">
        <is>
          <t>2029-09-03</t>
        </is>
      </c>
    </row>
    <row r="47402">
      <c r="A47402" s="1" t="n">
        <v>47401</v>
      </c>
      <c r="B47402">
        <f>TEXT(47401, "[$-0E0000]yyyy-mm-dd")</f>
        <v/>
      </c>
      <c r="C47402" t="inlineStr">
        <is>
          <t>2029-09-04</t>
        </is>
      </c>
    </row>
    <row r="47403">
      <c r="A47403" s="1" t="n">
        <v>47402</v>
      </c>
      <c r="B47403">
        <f>TEXT(47402, "[$-0E0000]yyyy-mm-dd")</f>
        <v/>
      </c>
      <c r="C47403" t="inlineStr">
        <is>
          <t>2029-09-05</t>
        </is>
      </c>
    </row>
    <row r="47404">
      <c r="A47404" s="1" t="n">
        <v>47403</v>
      </c>
      <c r="B47404">
        <f>TEXT(47403, "[$-0E0000]yyyy-mm-dd")</f>
        <v/>
      </c>
      <c r="C47404" t="inlineStr">
        <is>
          <t>2029-09-06</t>
        </is>
      </c>
    </row>
    <row r="47405">
      <c r="A47405" s="1" t="n">
        <v>47404</v>
      </c>
      <c r="B47405">
        <f>TEXT(47404, "[$-0E0000]yyyy-mm-dd")</f>
        <v/>
      </c>
      <c r="C47405" t="inlineStr">
        <is>
          <t>2029-09-07</t>
        </is>
      </c>
    </row>
    <row r="47406">
      <c r="A47406" s="1" t="n">
        <v>47405</v>
      </c>
      <c r="B47406">
        <f>TEXT(47405, "[$-0E0000]yyyy-mm-dd")</f>
        <v/>
      </c>
      <c r="C47406" t="inlineStr">
        <is>
          <t>2029-09-08</t>
        </is>
      </c>
    </row>
    <row r="47407">
      <c r="A47407" s="1" t="n">
        <v>47406</v>
      </c>
      <c r="B47407">
        <f>TEXT(47406, "[$-0E0000]yyyy-mm-dd")</f>
        <v/>
      </c>
      <c r="C47407" t="inlineStr">
        <is>
          <t>2029-09-09</t>
        </is>
      </c>
    </row>
    <row r="47408">
      <c r="A47408" s="1" t="n">
        <v>47407</v>
      </c>
      <c r="B47408">
        <f>TEXT(47407, "[$-0E0000]yyyy-mm-dd")</f>
        <v/>
      </c>
      <c r="C47408" t="inlineStr">
        <is>
          <t>2029-09-10</t>
        </is>
      </c>
    </row>
    <row r="47409">
      <c r="A47409" s="1" t="n">
        <v>47408</v>
      </c>
      <c r="B47409">
        <f>TEXT(47408, "[$-0E0000]yyyy-mm-dd")</f>
        <v/>
      </c>
      <c r="C47409" t="inlineStr">
        <is>
          <t>2029-09-11</t>
        </is>
      </c>
    </row>
    <row r="47410">
      <c r="A47410" s="1" t="n">
        <v>47409</v>
      </c>
      <c r="B47410">
        <f>TEXT(47409, "[$-0E0000]yyyy-mm-dd")</f>
        <v/>
      </c>
      <c r="C47410" t="inlineStr">
        <is>
          <t>2029-09-12</t>
        </is>
      </c>
    </row>
    <row r="47411">
      <c r="A47411" s="1" t="n">
        <v>47410</v>
      </c>
      <c r="B47411">
        <f>TEXT(47410, "[$-0E0000]yyyy-mm-dd")</f>
        <v/>
      </c>
      <c r="C47411" t="inlineStr">
        <is>
          <t>2029-09-13</t>
        </is>
      </c>
    </row>
    <row r="47412">
      <c r="A47412" s="1" t="n">
        <v>47411</v>
      </c>
      <c r="B47412">
        <f>TEXT(47411, "[$-0E0000]yyyy-mm-dd")</f>
        <v/>
      </c>
      <c r="C47412" t="inlineStr">
        <is>
          <t>2029-09-14</t>
        </is>
      </c>
    </row>
    <row r="47413">
      <c r="A47413" s="1" t="n">
        <v>47412</v>
      </c>
      <c r="B47413">
        <f>TEXT(47412, "[$-0E0000]yyyy-mm-dd")</f>
        <v/>
      </c>
      <c r="C47413" t="inlineStr">
        <is>
          <t>2029-09-15</t>
        </is>
      </c>
    </row>
    <row r="47414">
      <c r="A47414" s="1" t="n">
        <v>47413</v>
      </c>
      <c r="B47414">
        <f>TEXT(47413, "[$-0E0000]yyyy-mm-dd")</f>
        <v/>
      </c>
      <c r="C47414" t="inlineStr">
        <is>
          <t>2029-09-16</t>
        </is>
      </c>
    </row>
    <row r="47415">
      <c r="A47415" s="1" t="n">
        <v>47414</v>
      </c>
      <c r="B47415">
        <f>TEXT(47414, "[$-0E0000]yyyy-mm-dd")</f>
        <v/>
      </c>
      <c r="C47415" t="inlineStr">
        <is>
          <t>2029-09-17</t>
        </is>
      </c>
    </row>
    <row r="47416">
      <c r="A47416" s="1" t="n">
        <v>47415</v>
      </c>
      <c r="B47416">
        <f>TEXT(47415, "[$-0E0000]yyyy-mm-dd")</f>
        <v/>
      </c>
      <c r="C47416" t="inlineStr">
        <is>
          <t>2029-09-18</t>
        </is>
      </c>
    </row>
    <row r="47417">
      <c r="A47417" s="1" t="n">
        <v>47416</v>
      </c>
      <c r="B47417">
        <f>TEXT(47416, "[$-0E0000]yyyy-mm-dd")</f>
        <v/>
      </c>
      <c r="C47417" t="inlineStr">
        <is>
          <t>2029-09-19</t>
        </is>
      </c>
    </row>
    <row r="47418">
      <c r="A47418" s="1" t="n">
        <v>47417</v>
      </c>
      <c r="B47418">
        <f>TEXT(47417, "[$-0E0000]yyyy-mm-dd")</f>
        <v/>
      </c>
      <c r="C47418" t="inlineStr">
        <is>
          <t>2029-09-20</t>
        </is>
      </c>
    </row>
    <row r="47419">
      <c r="A47419" s="1" t="n">
        <v>47418</v>
      </c>
      <c r="B47419">
        <f>TEXT(47418, "[$-0E0000]yyyy-mm-dd")</f>
        <v/>
      </c>
      <c r="C47419" t="inlineStr">
        <is>
          <t>2029-09-21</t>
        </is>
      </c>
    </row>
    <row r="47420">
      <c r="A47420" s="1" t="n">
        <v>47419</v>
      </c>
      <c r="B47420">
        <f>TEXT(47419, "[$-0E0000]yyyy-mm-dd")</f>
        <v/>
      </c>
      <c r="C47420" t="inlineStr">
        <is>
          <t>2029-09-22</t>
        </is>
      </c>
    </row>
    <row r="47421">
      <c r="A47421" s="1" t="n">
        <v>47420</v>
      </c>
      <c r="B47421">
        <f>TEXT(47420, "[$-0E0000]yyyy-mm-dd")</f>
        <v/>
      </c>
      <c r="C47421" t="inlineStr">
        <is>
          <t>2029-09-23</t>
        </is>
      </c>
    </row>
    <row r="47422">
      <c r="A47422" s="1" t="n">
        <v>47421</v>
      </c>
      <c r="B47422">
        <f>TEXT(47421, "[$-0E0000]yyyy-mm-dd")</f>
        <v/>
      </c>
      <c r="C47422" t="inlineStr">
        <is>
          <t>2029-09-24</t>
        </is>
      </c>
    </row>
    <row r="47423">
      <c r="A47423" s="1" t="n">
        <v>47422</v>
      </c>
      <c r="B47423">
        <f>TEXT(47422, "[$-0E0000]yyyy-mm-dd")</f>
        <v/>
      </c>
      <c r="C47423" t="inlineStr">
        <is>
          <t>2029-09-25</t>
        </is>
      </c>
    </row>
    <row r="47424">
      <c r="A47424" s="1" t="n">
        <v>47423</v>
      </c>
      <c r="B47424">
        <f>TEXT(47423, "[$-0E0000]yyyy-mm-dd")</f>
        <v/>
      </c>
      <c r="C47424" t="inlineStr">
        <is>
          <t>2029-09-26</t>
        </is>
      </c>
    </row>
    <row r="47425">
      <c r="A47425" s="1" t="n">
        <v>47424</v>
      </c>
      <c r="B47425">
        <f>TEXT(47424, "[$-0E0000]yyyy-mm-dd")</f>
        <v/>
      </c>
      <c r="C47425" t="inlineStr">
        <is>
          <t>2029-09-27</t>
        </is>
      </c>
    </row>
    <row r="47426">
      <c r="A47426" s="1" t="n">
        <v>47425</v>
      </c>
      <c r="B47426">
        <f>TEXT(47425, "[$-0E0000]yyyy-mm-dd")</f>
        <v/>
      </c>
      <c r="C47426" t="inlineStr">
        <is>
          <t>2029-09-28</t>
        </is>
      </c>
    </row>
    <row r="47427">
      <c r="A47427" s="1" t="n">
        <v>47426</v>
      </c>
      <c r="B47427">
        <f>TEXT(47426, "[$-0E0000]yyyy-mm-dd")</f>
        <v/>
      </c>
      <c r="C47427" t="inlineStr">
        <is>
          <t>2029-09-29</t>
        </is>
      </c>
    </row>
    <row r="47428">
      <c r="A47428" s="1" t="n">
        <v>47427</v>
      </c>
      <c r="B47428">
        <f>TEXT(47427, "[$-0E0000]yyyy-mm-dd")</f>
        <v/>
      </c>
      <c r="C47428" t="inlineStr">
        <is>
          <t>2029-10-01</t>
        </is>
      </c>
    </row>
    <row r="47429">
      <c r="A47429" s="1" t="n">
        <v>47428</v>
      </c>
      <c r="B47429">
        <f>TEXT(47428, "[$-0E0000]yyyy-mm-dd")</f>
        <v/>
      </c>
      <c r="C47429" t="inlineStr">
        <is>
          <t>2029-10-02</t>
        </is>
      </c>
    </row>
    <row r="47430">
      <c r="A47430" s="1" t="n">
        <v>47429</v>
      </c>
      <c r="B47430">
        <f>TEXT(47429, "[$-0E0000]yyyy-mm-dd")</f>
        <v/>
      </c>
      <c r="C47430" t="inlineStr">
        <is>
          <t>2029-10-03</t>
        </is>
      </c>
    </row>
    <row r="47431">
      <c r="A47431" s="1" t="n">
        <v>47430</v>
      </c>
      <c r="B47431">
        <f>TEXT(47430, "[$-0E0000]yyyy-mm-dd")</f>
        <v/>
      </c>
      <c r="C47431" t="inlineStr">
        <is>
          <t>2029-10-04</t>
        </is>
      </c>
    </row>
    <row r="47432">
      <c r="A47432" s="1" t="n">
        <v>47431</v>
      </c>
      <c r="B47432">
        <f>TEXT(47431, "[$-0E0000]yyyy-mm-dd")</f>
        <v/>
      </c>
      <c r="C47432" t="inlineStr">
        <is>
          <t>2029-10-05</t>
        </is>
      </c>
    </row>
    <row r="47433">
      <c r="A47433" s="1" t="n">
        <v>47432</v>
      </c>
      <c r="B47433">
        <f>TEXT(47432, "[$-0E0000]yyyy-mm-dd")</f>
        <v/>
      </c>
      <c r="C47433" t="inlineStr">
        <is>
          <t>2029-10-06</t>
        </is>
      </c>
    </row>
    <row r="47434">
      <c r="A47434" s="1" t="n">
        <v>47433</v>
      </c>
      <c r="B47434">
        <f>TEXT(47433, "[$-0E0000]yyyy-mm-dd")</f>
        <v/>
      </c>
      <c r="C47434" t="inlineStr">
        <is>
          <t>2029-10-07</t>
        </is>
      </c>
    </row>
    <row r="47435">
      <c r="A47435" s="1" t="n">
        <v>47434</v>
      </c>
      <c r="B47435">
        <f>TEXT(47434, "[$-0E0000]yyyy-mm-dd")</f>
        <v/>
      </c>
      <c r="C47435" t="inlineStr">
        <is>
          <t>2029-10-08</t>
        </is>
      </c>
    </row>
    <row r="47436">
      <c r="A47436" s="1" t="n">
        <v>47435</v>
      </c>
      <c r="B47436">
        <f>TEXT(47435, "[$-0E0000]yyyy-mm-dd")</f>
        <v/>
      </c>
      <c r="C47436" t="inlineStr">
        <is>
          <t>2029-10-09</t>
        </is>
      </c>
    </row>
    <row r="47437">
      <c r="A47437" s="1" t="n">
        <v>47436</v>
      </c>
      <c r="B47437">
        <f>TEXT(47436, "[$-0E0000]yyyy-mm-dd")</f>
        <v/>
      </c>
      <c r="C47437" t="inlineStr">
        <is>
          <t>2029-10-10</t>
        </is>
      </c>
    </row>
    <row r="47438">
      <c r="A47438" s="1" t="n">
        <v>47437</v>
      </c>
      <c r="B47438">
        <f>TEXT(47437, "[$-0E0000]yyyy-mm-dd")</f>
        <v/>
      </c>
      <c r="C47438" t="inlineStr">
        <is>
          <t>2029-10-11</t>
        </is>
      </c>
    </row>
    <row r="47439">
      <c r="A47439" s="1" t="n">
        <v>47438</v>
      </c>
      <c r="B47439">
        <f>TEXT(47438, "[$-0E0000]yyyy-mm-dd")</f>
        <v/>
      </c>
      <c r="C47439" t="inlineStr">
        <is>
          <t>2029-10-12</t>
        </is>
      </c>
    </row>
    <row r="47440">
      <c r="A47440" s="1" t="n">
        <v>47439</v>
      </c>
      <c r="B47440">
        <f>TEXT(47439, "[$-0E0000]yyyy-mm-dd")</f>
        <v/>
      </c>
      <c r="C47440" t="inlineStr">
        <is>
          <t>2029-10-13</t>
        </is>
      </c>
    </row>
    <row r="47441">
      <c r="A47441" s="1" t="n">
        <v>47440</v>
      </c>
      <c r="B47441">
        <f>TEXT(47440, "[$-0E0000]yyyy-mm-dd")</f>
        <v/>
      </c>
      <c r="C47441" t="inlineStr">
        <is>
          <t>2029-10-14</t>
        </is>
      </c>
    </row>
    <row r="47442">
      <c r="A47442" s="1" t="n">
        <v>47441</v>
      </c>
      <c r="B47442">
        <f>TEXT(47441, "[$-0E0000]yyyy-mm-dd")</f>
        <v/>
      </c>
      <c r="C47442" t="inlineStr">
        <is>
          <t>2029-10-15</t>
        </is>
      </c>
    </row>
    <row r="47443">
      <c r="A47443" s="1" t="n">
        <v>47442</v>
      </c>
      <c r="B47443">
        <f>TEXT(47442, "[$-0E0000]yyyy-mm-dd")</f>
        <v/>
      </c>
      <c r="C47443" t="inlineStr">
        <is>
          <t>2029-10-16</t>
        </is>
      </c>
    </row>
    <row r="47444">
      <c r="A47444" s="1" t="n">
        <v>47443</v>
      </c>
      <c r="B47444">
        <f>TEXT(47443, "[$-0E0000]yyyy-mm-dd")</f>
        <v/>
      </c>
      <c r="C47444" t="inlineStr">
        <is>
          <t>2029-10-17</t>
        </is>
      </c>
    </row>
    <row r="47445">
      <c r="A47445" s="1" t="n">
        <v>47444</v>
      </c>
      <c r="B47445">
        <f>TEXT(47444, "[$-0E0000]yyyy-mm-dd")</f>
        <v/>
      </c>
      <c r="C47445" t="inlineStr">
        <is>
          <t>2029-10-18</t>
        </is>
      </c>
    </row>
    <row r="47446">
      <c r="A47446" s="1" t="n">
        <v>47445</v>
      </c>
      <c r="B47446">
        <f>TEXT(47445, "[$-0E0000]yyyy-mm-dd")</f>
        <v/>
      </c>
      <c r="C47446" t="inlineStr">
        <is>
          <t>2029-10-19</t>
        </is>
      </c>
    </row>
    <row r="47447">
      <c r="A47447" s="1" t="n">
        <v>47446</v>
      </c>
      <c r="B47447">
        <f>TEXT(47446, "[$-0E0000]yyyy-mm-dd")</f>
        <v/>
      </c>
      <c r="C47447" t="inlineStr">
        <is>
          <t>2029-10-20</t>
        </is>
      </c>
    </row>
    <row r="47448">
      <c r="A47448" s="1" t="n">
        <v>47447</v>
      </c>
      <c r="B47448">
        <f>TEXT(47447, "[$-0E0000]yyyy-mm-dd")</f>
        <v/>
      </c>
      <c r="C47448" t="inlineStr">
        <is>
          <t>2029-10-21</t>
        </is>
      </c>
    </row>
    <row r="47449">
      <c r="A47449" s="1" t="n">
        <v>47448</v>
      </c>
      <c r="B47449">
        <f>TEXT(47448, "[$-0E0000]yyyy-mm-dd")</f>
        <v/>
      </c>
      <c r="C47449" t="inlineStr">
        <is>
          <t>2029-10-22</t>
        </is>
      </c>
    </row>
    <row r="47450">
      <c r="A47450" s="1" t="n">
        <v>47449</v>
      </c>
      <c r="B47450">
        <f>TEXT(47449, "[$-0E0000]yyyy-mm-dd")</f>
        <v/>
      </c>
      <c r="C47450" t="inlineStr">
        <is>
          <t>2029-10-23</t>
        </is>
      </c>
    </row>
    <row r="47451">
      <c r="A47451" s="1" t="n">
        <v>47450</v>
      </c>
      <c r="B47451">
        <f>TEXT(47450, "[$-0E0000]yyyy-mm-dd")</f>
        <v/>
      </c>
      <c r="C47451" t="inlineStr">
        <is>
          <t>2029-10-24</t>
        </is>
      </c>
    </row>
    <row r="47452">
      <c r="A47452" s="1" t="n">
        <v>47451</v>
      </c>
      <c r="B47452">
        <f>TEXT(47451, "[$-0E0000]yyyy-mm-dd")</f>
        <v/>
      </c>
      <c r="C47452" t="inlineStr">
        <is>
          <t>2029-10-25</t>
        </is>
      </c>
    </row>
    <row r="47453">
      <c r="A47453" s="1" t="n">
        <v>47452</v>
      </c>
      <c r="B47453">
        <f>TEXT(47452, "[$-0E0000]yyyy-mm-dd")</f>
        <v/>
      </c>
      <c r="C47453" t="inlineStr">
        <is>
          <t>2029-10-26</t>
        </is>
      </c>
    </row>
    <row r="47454">
      <c r="A47454" s="1" t="n">
        <v>47453</v>
      </c>
      <c r="B47454">
        <f>TEXT(47453, "[$-0E0000]yyyy-mm-dd")</f>
        <v/>
      </c>
      <c r="C47454" t="inlineStr">
        <is>
          <t>2029-10-27</t>
        </is>
      </c>
    </row>
    <row r="47455">
      <c r="A47455" s="1" t="n">
        <v>47454</v>
      </c>
      <c r="B47455">
        <f>TEXT(47454, "[$-0E0000]yyyy-mm-dd")</f>
        <v/>
      </c>
      <c r="C47455" t="inlineStr">
        <is>
          <t>2029-10-28</t>
        </is>
      </c>
    </row>
    <row r="47456">
      <c r="A47456" s="1" t="n">
        <v>47455</v>
      </c>
      <c r="B47456">
        <f>TEXT(47455, "[$-0E0000]yyyy-mm-dd")</f>
        <v/>
      </c>
      <c r="C47456" t="inlineStr">
        <is>
          <t>2029-10-29</t>
        </is>
      </c>
    </row>
    <row r="47457">
      <c r="A47457" s="1" t="n">
        <v>47456</v>
      </c>
      <c r="B47457">
        <f>TEXT(47456, "[$-0E0000]yyyy-mm-dd")</f>
        <v/>
      </c>
      <c r="C47457" t="inlineStr">
        <is>
          <t>2029-11-01</t>
        </is>
      </c>
    </row>
    <row r="47458">
      <c r="A47458" s="1" t="n">
        <v>47457</v>
      </c>
      <c r="B47458">
        <f>TEXT(47457, "[$-0E0000]yyyy-mm-dd")</f>
        <v/>
      </c>
      <c r="C47458" t="inlineStr">
        <is>
          <t>2029-11-02</t>
        </is>
      </c>
    </row>
    <row r="47459">
      <c r="A47459" s="1" t="n">
        <v>47458</v>
      </c>
      <c r="B47459">
        <f>TEXT(47458, "[$-0E0000]yyyy-mm-dd")</f>
        <v/>
      </c>
      <c r="C47459" t="inlineStr">
        <is>
          <t>2029-11-03</t>
        </is>
      </c>
    </row>
    <row r="47460">
      <c r="A47460" s="1" t="n">
        <v>47459</v>
      </c>
      <c r="B47460">
        <f>TEXT(47459, "[$-0E0000]yyyy-mm-dd")</f>
        <v/>
      </c>
      <c r="C47460" t="inlineStr">
        <is>
          <t>2029-11-04</t>
        </is>
      </c>
    </row>
    <row r="47461">
      <c r="A47461" s="1" t="n">
        <v>47460</v>
      </c>
      <c r="B47461">
        <f>TEXT(47460, "[$-0E0000]yyyy-mm-dd")</f>
        <v/>
      </c>
      <c r="C47461" t="inlineStr">
        <is>
          <t>2029-11-05</t>
        </is>
      </c>
    </row>
    <row r="47462">
      <c r="A47462" s="1" t="n">
        <v>47461</v>
      </c>
      <c r="B47462">
        <f>TEXT(47461, "[$-0E0000]yyyy-mm-dd")</f>
        <v/>
      </c>
      <c r="C47462" t="inlineStr">
        <is>
          <t>2029-11-06</t>
        </is>
      </c>
    </row>
    <row r="47463">
      <c r="A47463" s="1" t="n">
        <v>47462</v>
      </c>
      <c r="B47463">
        <f>TEXT(47462, "[$-0E0000]yyyy-mm-dd")</f>
        <v/>
      </c>
      <c r="C47463" t="inlineStr">
        <is>
          <t>2029-11-07</t>
        </is>
      </c>
    </row>
    <row r="47464">
      <c r="A47464" s="1" t="n">
        <v>47463</v>
      </c>
      <c r="B47464">
        <f>TEXT(47463, "[$-0E0000]yyyy-mm-dd")</f>
        <v/>
      </c>
      <c r="C47464" t="inlineStr">
        <is>
          <t>2029-11-08</t>
        </is>
      </c>
    </row>
    <row r="47465">
      <c r="A47465" s="1" t="n">
        <v>47464</v>
      </c>
      <c r="B47465">
        <f>TEXT(47464, "[$-0E0000]yyyy-mm-dd")</f>
        <v/>
      </c>
      <c r="C47465" t="inlineStr">
        <is>
          <t>2029-11-09</t>
        </is>
      </c>
    </row>
    <row r="47466">
      <c r="A47466" s="1" t="n">
        <v>47465</v>
      </c>
      <c r="B47466">
        <f>TEXT(47465, "[$-0E0000]yyyy-mm-dd")</f>
        <v/>
      </c>
      <c r="C47466" t="inlineStr">
        <is>
          <t>2029-11-10</t>
        </is>
      </c>
    </row>
    <row r="47467">
      <c r="A47467" s="1" t="n">
        <v>47466</v>
      </c>
      <c r="B47467">
        <f>TEXT(47466, "[$-0E0000]yyyy-mm-dd")</f>
        <v/>
      </c>
      <c r="C47467" t="inlineStr">
        <is>
          <t>2029-11-11</t>
        </is>
      </c>
    </row>
    <row r="47468">
      <c r="A47468" s="1" t="n">
        <v>47467</v>
      </c>
      <c r="B47468">
        <f>TEXT(47467, "[$-0E0000]yyyy-mm-dd")</f>
        <v/>
      </c>
      <c r="C47468" t="inlineStr">
        <is>
          <t>2029-11-12</t>
        </is>
      </c>
    </row>
    <row r="47469">
      <c r="A47469" s="1" t="n">
        <v>47468</v>
      </c>
      <c r="B47469">
        <f>TEXT(47468, "[$-0E0000]yyyy-mm-dd")</f>
        <v/>
      </c>
      <c r="C47469" t="inlineStr">
        <is>
          <t>2029-11-13</t>
        </is>
      </c>
    </row>
    <row r="47470">
      <c r="A47470" s="1" t="n">
        <v>47469</v>
      </c>
      <c r="B47470">
        <f>TEXT(47469, "[$-0E0000]yyyy-mm-dd")</f>
        <v/>
      </c>
      <c r="C47470" t="inlineStr">
        <is>
          <t>2029-11-14</t>
        </is>
      </c>
    </row>
    <row r="47471">
      <c r="A47471" s="1" t="n">
        <v>47470</v>
      </c>
      <c r="B47471">
        <f>TEXT(47470, "[$-0E0000]yyyy-mm-dd")</f>
        <v/>
      </c>
      <c r="C47471" t="inlineStr">
        <is>
          <t>2029-11-15</t>
        </is>
      </c>
    </row>
    <row r="47472">
      <c r="A47472" s="1" t="n">
        <v>47471</v>
      </c>
      <c r="B47472">
        <f>TEXT(47471, "[$-0E0000]yyyy-mm-dd")</f>
        <v/>
      </c>
      <c r="C47472" t="inlineStr">
        <is>
          <t>2029-11-16</t>
        </is>
      </c>
    </row>
    <row r="47473">
      <c r="A47473" s="1" t="n">
        <v>47472</v>
      </c>
      <c r="B47473">
        <f>TEXT(47472, "[$-0E0000]yyyy-mm-dd")</f>
        <v/>
      </c>
      <c r="C47473" t="inlineStr">
        <is>
          <t>2029-11-17</t>
        </is>
      </c>
    </row>
    <row r="47474">
      <c r="A47474" s="1" t="n">
        <v>47473</v>
      </c>
      <c r="B47474">
        <f>TEXT(47473, "[$-0E0000]yyyy-mm-dd")</f>
        <v/>
      </c>
      <c r="C47474" t="inlineStr">
        <is>
          <t>2029-11-18</t>
        </is>
      </c>
    </row>
    <row r="47475">
      <c r="A47475" s="1" t="n">
        <v>47474</v>
      </c>
      <c r="B47475">
        <f>TEXT(47474, "[$-0E0000]yyyy-mm-dd")</f>
        <v/>
      </c>
      <c r="C47475" t="inlineStr">
        <is>
          <t>2029-11-19</t>
        </is>
      </c>
    </row>
    <row r="47476">
      <c r="A47476" s="1" t="n">
        <v>47475</v>
      </c>
      <c r="B47476">
        <f>TEXT(47475, "[$-0E0000]yyyy-mm-dd")</f>
        <v/>
      </c>
      <c r="C47476" t="inlineStr">
        <is>
          <t>2029-11-20</t>
        </is>
      </c>
    </row>
    <row r="47477">
      <c r="A47477" s="1" t="n">
        <v>47476</v>
      </c>
      <c r="B47477">
        <f>TEXT(47476, "[$-0E0000]yyyy-mm-dd")</f>
        <v/>
      </c>
      <c r="C47477" t="inlineStr">
        <is>
          <t>2029-11-21</t>
        </is>
      </c>
    </row>
    <row r="47478">
      <c r="A47478" s="1" t="n">
        <v>47477</v>
      </c>
      <c r="B47478">
        <f>TEXT(47477, "[$-0E0000]yyyy-mm-dd")</f>
        <v/>
      </c>
      <c r="C47478" t="inlineStr">
        <is>
          <t>2029-11-22</t>
        </is>
      </c>
    </row>
    <row r="47479">
      <c r="A47479" s="1" t="n">
        <v>47478</v>
      </c>
      <c r="B47479">
        <f>TEXT(47478, "[$-0E0000]yyyy-mm-dd")</f>
        <v/>
      </c>
      <c r="C47479" t="inlineStr">
        <is>
          <t>2029-11-23</t>
        </is>
      </c>
    </row>
    <row r="47480">
      <c r="A47480" s="1" t="n">
        <v>47479</v>
      </c>
      <c r="B47480">
        <f>TEXT(47479, "[$-0E0000]yyyy-mm-dd")</f>
        <v/>
      </c>
      <c r="C47480" t="inlineStr">
        <is>
          <t>2029-11-24</t>
        </is>
      </c>
    </row>
    <row r="47481">
      <c r="A47481" s="1" t="n">
        <v>47480</v>
      </c>
      <c r="B47481">
        <f>TEXT(47480, "[$-0E0000]yyyy-mm-dd")</f>
        <v/>
      </c>
      <c r="C47481" t="inlineStr">
        <is>
          <t>2029-11-25</t>
        </is>
      </c>
    </row>
    <row r="47482">
      <c r="A47482" s="1" t="n">
        <v>47481</v>
      </c>
      <c r="B47482">
        <f>TEXT(47481, "[$-0E0000]yyyy-mm-dd")</f>
        <v/>
      </c>
      <c r="C47482" t="inlineStr">
        <is>
          <t>2029-11-26</t>
        </is>
      </c>
    </row>
    <row r="47483">
      <c r="A47483" s="1" t="n">
        <v>47482</v>
      </c>
      <c r="B47483">
        <f>TEXT(47482, "[$-0E0000]yyyy-mm-dd")</f>
        <v/>
      </c>
      <c r="C47483" t="inlineStr">
        <is>
          <t>2029-11-27</t>
        </is>
      </c>
    </row>
    <row r="47484">
      <c r="A47484" s="1" t="n">
        <v>47483</v>
      </c>
      <c r="B47484">
        <f>TEXT(47483, "[$-0E0000]yyyy-mm-dd")</f>
        <v/>
      </c>
      <c r="C47484" t="inlineStr">
        <is>
          <t>2029-11-28</t>
        </is>
      </c>
    </row>
    <row r="47485">
      <c r="A47485" s="1" t="n">
        <v>47484</v>
      </c>
      <c r="B47485">
        <f>TEXT(47484, "[$-0E0000]yyyy-mm-dd")</f>
        <v/>
      </c>
      <c r="C47485" t="inlineStr">
        <is>
          <t>2029-11-29</t>
        </is>
      </c>
    </row>
    <row r="47486">
      <c r="A47486" s="1" t="n">
        <v>47485</v>
      </c>
      <c r="B47486">
        <f>TEXT(47485, "[$-0E0000]yyyy-mm-dd")</f>
        <v/>
      </c>
      <c r="C47486" t="inlineStr">
        <is>
          <t>2029-11-30</t>
        </is>
      </c>
    </row>
    <row r="47487">
      <c r="A47487" s="1" t="n">
        <v>47486</v>
      </c>
      <c r="B47487">
        <f>TEXT(47486, "[$-0E0000]yyyy-mm-dd")</f>
        <v/>
      </c>
      <c r="C47487" t="inlineStr">
        <is>
          <t>2029-12-01</t>
        </is>
      </c>
    </row>
    <row r="47488">
      <c r="A47488" s="1" t="n">
        <v>47487</v>
      </c>
      <c r="B47488">
        <f>TEXT(47487, "[$-0E0000]yyyy-mm-dd")</f>
        <v/>
      </c>
      <c r="C47488" t="inlineStr">
        <is>
          <t>2029-12-02</t>
        </is>
      </c>
    </row>
    <row r="47489">
      <c r="A47489" s="1" t="n">
        <v>47488</v>
      </c>
      <c r="B47489">
        <f>TEXT(47488, "[$-0E0000]yyyy-mm-dd")</f>
        <v/>
      </c>
      <c r="C47489" t="inlineStr">
        <is>
          <t>2029-12-03</t>
        </is>
      </c>
    </row>
    <row r="47490">
      <c r="A47490" s="1" t="n">
        <v>47489</v>
      </c>
      <c r="B47490">
        <f>TEXT(47489, "[$-0E0000]yyyy-mm-dd")</f>
        <v/>
      </c>
      <c r="C47490" t="inlineStr">
        <is>
          <t>2029-12-04</t>
        </is>
      </c>
    </row>
    <row r="47491">
      <c r="A47491" s="1" t="n">
        <v>47490</v>
      </c>
      <c r="B47491">
        <f>TEXT(47490, "[$-0E0000]yyyy-mm-dd")</f>
        <v/>
      </c>
      <c r="C47491" t="inlineStr">
        <is>
          <t>2029-12-05</t>
        </is>
      </c>
    </row>
    <row r="47492">
      <c r="A47492" s="1" t="n">
        <v>47491</v>
      </c>
      <c r="B47492">
        <f>TEXT(47491, "[$-0E0000]yyyy-mm-dd")</f>
        <v/>
      </c>
      <c r="C47492" t="inlineStr">
        <is>
          <t>2029-12-06</t>
        </is>
      </c>
    </row>
    <row r="47493">
      <c r="A47493" s="1" t="n">
        <v>47492</v>
      </c>
      <c r="B47493">
        <f>TEXT(47492, "[$-0E0000]yyyy-mm-dd")</f>
        <v/>
      </c>
      <c r="C47493" t="inlineStr">
        <is>
          <t>2029-12-07</t>
        </is>
      </c>
    </row>
    <row r="47494">
      <c r="A47494" s="1" t="n">
        <v>47493</v>
      </c>
      <c r="B47494">
        <f>TEXT(47493, "[$-0E0000]yyyy-mm-dd")</f>
        <v/>
      </c>
      <c r="C47494" t="inlineStr">
        <is>
          <t>2029-12-08</t>
        </is>
      </c>
    </row>
    <row r="47495">
      <c r="A47495" s="1" t="n">
        <v>47494</v>
      </c>
      <c r="B47495">
        <f>TEXT(47494, "[$-0E0000]yyyy-mm-dd")</f>
        <v/>
      </c>
      <c r="C47495" t="inlineStr">
        <is>
          <t>2029-12-09</t>
        </is>
      </c>
    </row>
    <row r="47496">
      <c r="A47496" s="1" t="n">
        <v>47495</v>
      </c>
      <c r="B47496">
        <f>TEXT(47495, "[$-0E0000]yyyy-mm-dd")</f>
        <v/>
      </c>
      <c r="C47496" t="inlineStr">
        <is>
          <t>2029-12-10</t>
        </is>
      </c>
    </row>
    <row r="47497">
      <c r="A47497" s="1" t="n">
        <v>47496</v>
      </c>
      <c r="B47497">
        <f>TEXT(47496, "[$-0E0000]yyyy-mm-dd")</f>
        <v/>
      </c>
      <c r="C47497" t="inlineStr">
        <is>
          <t>2029-12-11</t>
        </is>
      </c>
    </row>
    <row r="47498">
      <c r="A47498" s="1" t="n">
        <v>47497</v>
      </c>
      <c r="B47498">
        <f>TEXT(47497, "[$-0E0000]yyyy-mm-dd")</f>
        <v/>
      </c>
      <c r="C47498" t="inlineStr">
        <is>
          <t>2029-12-12</t>
        </is>
      </c>
    </row>
    <row r="47499">
      <c r="A47499" s="1" t="n">
        <v>47498</v>
      </c>
      <c r="B47499">
        <f>TEXT(47498, "[$-0E0000]yyyy-mm-dd")</f>
        <v/>
      </c>
      <c r="C47499" t="inlineStr">
        <is>
          <t>2029-12-13</t>
        </is>
      </c>
    </row>
    <row r="47500">
      <c r="A47500" s="1" t="n">
        <v>47499</v>
      </c>
      <c r="B47500">
        <f>TEXT(47499, "[$-0E0000]yyyy-mm-dd")</f>
        <v/>
      </c>
      <c r="C47500" t="inlineStr">
        <is>
          <t>2029-12-14</t>
        </is>
      </c>
    </row>
    <row r="47501">
      <c r="A47501" s="1" t="n">
        <v>47500</v>
      </c>
      <c r="B47501">
        <f>TEXT(47500, "[$-0E0000]yyyy-mm-dd")</f>
        <v/>
      </c>
      <c r="C47501" t="inlineStr">
        <is>
          <t>2029-12-15</t>
        </is>
      </c>
    </row>
    <row r="47502">
      <c r="A47502" s="1" t="n">
        <v>47501</v>
      </c>
      <c r="B47502">
        <f>TEXT(47501, "[$-0E0000]yyyy-mm-dd")</f>
        <v/>
      </c>
      <c r="C47502" t="inlineStr">
        <is>
          <t>2029-12-16</t>
        </is>
      </c>
    </row>
    <row r="47503">
      <c r="A47503" s="1" t="n">
        <v>47502</v>
      </c>
      <c r="B47503">
        <f>TEXT(47502, "[$-0E0000]yyyy-mm-dd")</f>
        <v/>
      </c>
      <c r="C47503" t="inlineStr">
        <is>
          <t>2029-12-17</t>
        </is>
      </c>
    </row>
    <row r="47504">
      <c r="A47504" s="1" t="n">
        <v>47503</v>
      </c>
      <c r="B47504">
        <f>TEXT(47503, "[$-0E0000]yyyy-mm-dd")</f>
        <v/>
      </c>
      <c r="C47504" t="inlineStr">
        <is>
          <t>2029-12-18</t>
        </is>
      </c>
    </row>
    <row r="47505">
      <c r="A47505" s="1" t="n">
        <v>47504</v>
      </c>
      <c r="B47505">
        <f>TEXT(47504, "[$-0E0000]yyyy-mm-dd")</f>
        <v/>
      </c>
      <c r="C47505" t="inlineStr">
        <is>
          <t>2029-12-19</t>
        </is>
      </c>
    </row>
    <row r="47506">
      <c r="A47506" s="1" t="n">
        <v>47505</v>
      </c>
      <c r="B47506">
        <f>TEXT(47505, "[$-0E0000]yyyy-mm-dd")</f>
        <v/>
      </c>
      <c r="C47506" t="inlineStr">
        <is>
          <t>2029-12-20</t>
        </is>
      </c>
    </row>
    <row r="47507">
      <c r="A47507" s="1" t="n">
        <v>47506</v>
      </c>
      <c r="B47507">
        <f>TEXT(47506, "[$-0E0000]yyyy-mm-dd")</f>
        <v/>
      </c>
      <c r="C47507" t="inlineStr">
        <is>
          <t>2029-12-21</t>
        </is>
      </c>
    </row>
    <row r="47508">
      <c r="A47508" s="1" t="n">
        <v>47507</v>
      </c>
      <c r="B47508">
        <f>TEXT(47507, "[$-0E0000]yyyy-mm-dd")</f>
        <v/>
      </c>
      <c r="C47508" t="inlineStr">
        <is>
          <t>2029-12-22</t>
        </is>
      </c>
    </row>
    <row r="47509">
      <c r="A47509" s="1" t="n">
        <v>47508</v>
      </c>
      <c r="B47509">
        <f>TEXT(47508, "[$-0E0000]yyyy-mm-dd")</f>
        <v/>
      </c>
      <c r="C47509" t="inlineStr">
        <is>
          <t>2029-12-23</t>
        </is>
      </c>
    </row>
    <row r="47510">
      <c r="A47510" s="1" t="n">
        <v>47509</v>
      </c>
      <c r="B47510">
        <f>TEXT(47509, "[$-0E0000]yyyy-mm-dd")</f>
        <v/>
      </c>
      <c r="C47510" t="inlineStr">
        <is>
          <t>2029-12-24</t>
        </is>
      </c>
    </row>
    <row r="47511">
      <c r="A47511" s="1" t="n">
        <v>47510</v>
      </c>
      <c r="B47511">
        <f>TEXT(47510, "[$-0E0000]yyyy-mm-dd")</f>
        <v/>
      </c>
      <c r="C47511" t="inlineStr">
        <is>
          <t>2029-12-25</t>
        </is>
      </c>
    </row>
    <row r="47512">
      <c r="A47512" s="1" t="n">
        <v>47511</v>
      </c>
      <c r="B47512">
        <f>TEXT(47511, "[$-0E0000]yyyy-mm-dd")</f>
        <v/>
      </c>
      <c r="C47512" t="inlineStr">
        <is>
          <t>2029-12-26</t>
        </is>
      </c>
    </row>
    <row r="47513">
      <c r="A47513" s="1" t="n">
        <v>47512</v>
      </c>
      <c r="B47513">
        <f>TEXT(47512, "[$-0E0000]yyyy-mm-dd")</f>
        <v/>
      </c>
      <c r="C47513" t="inlineStr">
        <is>
          <t>2029-12-27</t>
        </is>
      </c>
    </row>
    <row r="47514">
      <c r="A47514" s="1" t="n">
        <v>47513</v>
      </c>
      <c r="B47514">
        <f>TEXT(47513, "[$-0E0000]yyyy-mm-dd")</f>
        <v/>
      </c>
      <c r="C47514" t="inlineStr">
        <is>
          <t>2029-12-28</t>
        </is>
      </c>
    </row>
    <row r="47515">
      <c r="A47515" s="1" t="n">
        <v>47514</v>
      </c>
      <c r="B47515">
        <f>TEXT(47514, "[$-0E0000]yyyy-mm-dd")</f>
        <v/>
      </c>
      <c r="C47515" t="inlineStr">
        <is>
          <t>2029-12-29</t>
        </is>
      </c>
    </row>
    <row r="47516">
      <c r="A47516" s="1" t="n">
        <v>47515</v>
      </c>
      <c r="B47516">
        <f>TEXT(47515, "[$-0E0000]yyyy-mm-dd")</f>
        <v/>
      </c>
      <c r="C47516" t="inlineStr">
        <is>
          <t>2029-12-30</t>
        </is>
      </c>
    </row>
    <row r="47517">
      <c r="A47517" s="1" t="n">
        <v>47516</v>
      </c>
      <c r="B47517">
        <f>TEXT(47516, "[$-0E0000]yyyy-mm-dd")</f>
        <v/>
      </c>
      <c r="C47517" t="inlineStr">
        <is>
          <t>2030-01-01</t>
        </is>
      </c>
    </row>
    <row r="47518">
      <c r="A47518" s="1" t="n">
        <v>47517</v>
      </c>
      <c r="B47518">
        <f>TEXT(47517, "[$-0E0000]yyyy-mm-dd")</f>
        <v/>
      </c>
      <c r="C47518" t="inlineStr">
        <is>
          <t>2030-01-02</t>
        </is>
      </c>
    </row>
    <row r="47519">
      <c r="A47519" s="1" t="n">
        <v>47518</v>
      </c>
      <c r="B47519">
        <f>TEXT(47518, "[$-0E0000]yyyy-mm-dd")</f>
        <v/>
      </c>
      <c r="C47519" t="inlineStr">
        <is>
          <t>2030-01-03</t>
        </is>
      </c>
    </row>
    <row r="47520">
      <c r="A47520" s="1" t="n">
        <v>47519</v>
      </c>
      <c r="B47520">
        <f>TEXT(47519, "[$-0E0000]yyyy-mm-dd")</f>
        <v/>
      </c>
      <c r="C47520" t="inlineStr">
        <is>
          <t>2030-01-04</t>
        </is>
      </c>
    </row>
    <row r="47521">
      <c r="A47521" s="1" t="n">
        <v>47520</v>
      </c>
      <c r="B47521">
        <f>TEXT(47520, "[$-0E0000]yyyy-mm-dd")</f>
        <v/>
      </c>
      <c r="C47521" t="inlineStr">
        <is>
          <t>2030-01-05</t>
        </is>
      </c>
    </row>
    <row r="47522">
      <c r="A47522" s="1" t="n">
        <v>47521</v>
      </c>
      <c r="B47522">
        <f>TEXT(47521, "[$-0E0000]yyyy-mm-dd")</f>
        <v/>
      </c>
      <c r="C47522" t="inlineStr">
        <is>
          <t>2030-01-06</t>
        </is>
      </c>
    </row>
    <row r="47523">
      <c r="A47523" s="1" t="n">
        <v>47522</v>
      </c>
      <c r="B47523">
        <f>TEXT(47522, "[$-0E0000]yyyy-mm-dd")</f>
        <v/>
      </c>
      <c r="C47523" t="inlineStr">
        <is>
          <t>2030-01-07</t>
        </is>
      </c>
    </row>
    <row r="47524">
      <c r="A47524" s="1" t="n">
        <v>47523</v>
      </c>
      <c r="B47524">
        <f>TEXT(47523, "[$-0E0000]yyyy-mm-dd")</f>
        <v/>
      </c>
      <c r="C47524" t="inlineStr">
        <is>
          <t>2030-01-08</t>
        </is>
      </c>
    </row>
    <row r="47525">
      <c r="A47525" s="1" t="n">
        <v>47524</v>
      </c>
      <c r="B47525">
        <f>TEXT(47524, "[$-0E0000]yyyy-mm-dd")</f>
        <v/>
      </c>
      <c r="C47525" t="inlineStr">
        <is>
          <t>2030-01-09</t>
        </is>
      </c>
    </row>
    <row r="47526">
      <c r="A47526" s="1" t="n">
        <v>47525</v>
      </c>
      <c r="B47526">
        <f>TEXT(47525, "[$-0E0000]yyyy-mm-dd")</f>
        <v/>
      </c>
      <c r="C47526" t="inlineStr">
        <is>
          <t>2030-01-10</t>
        </is>
      </c>
    </row>
    <row r="47527">
      <c r="A47527" s="1" t="n">
        <v>47526</v>
      </c>
      <c r="B47527">
        <f>TEXT(47526, "[$-0E0000]yyyy-mm-dd")</f>
        <v/>
      </c>
      <c r="C47527" t="inlineStr">
        <is>
          <t>2030-01-11</t>
        </is>
      </c>
    </row>
    <row r="47528">
      <c r="A47528" s="1" t="n">
        <v>47527</v>
      </c>
      <c r="B47528">
        <f>TEXT(47527, "[$-0E0000]yyyy-mm-dd")</f>
        <v/>
      </c>
      <c r="C47528" t="inlineStr">
        <is>
          <t>2030-01-12</t>
        </is>
      </c>
    </row>
    <row r="47529">
      <c r="A47529" s="1" t="n">
        <v>47528</v>
      </c>
      <c r="B47529">
        <f>TEXT(47528, "[$-0E0000]yyyy-mm-dd")</f>
        <v/>
      </c>
      <c r="C47529" t="inlineStr">
        <is>
          <t>2030-01-13</t>
        </is>
      </c>
    </row>
    <row r="47530">
      <c r="A47530" s="1" t="n">
        <v>47529</v>
      </c>
      <c r="B47530">
        <f>TEXT(47529, "[$-0E0000]yyyy-mm-dd")</f>
        <v/>
      </c>
      <c r="C47530" t="inlineStr">
        <is>
          <t>2030-01-14</t>
        </is>
      </c>
    </row>
    <row r="47531">
      <c r="A47531" s="1" t="n">
        <v>47530</v>
      </c>
      <c r="B47531">
        <f>TEXT(47530, "[$-0E0000]yyyy-mm-dd")</f>
        <v/>
      </c>
      <c r="C47531" t="inlineStr">
        <is>
          <t>2030-01-15</t>
        </is>
      </c>
    </row>
    <row r="47532">
      <c r="A47532" s="1" t="n">
        <v>47531</v>
      </c>
      <c r="B47532">
        <f>TEXT(47531, "[$-0E0000]yyyy-mm-dd")</f>
        <v/>
      </c>
      <c r="C47532" t="inlineStr">
        <is>
          <t>2030-01-16</t>
        </is>
      </c>
    </row>
    <row r="47533">
      <c r="A47533" s="1" t="n">
        <v>47532</v>
      </c>
      <c r="B47533">
        <f>TEXT(47532, "[$-0E0000]yyyy-mm-dd")</f>
        <v/>
      </c>
      <c r="C47533" t="inlineStr">
        <is>
          <t>2030-01-17</t>
        </is>
      </c>
    </row>
    <row r="47534">
      <c r="A47534" s="1" t="n">
        <v>47533</v>
      </c>
      <c r="B47534">
        <f>TEXT(47533, "[$-0E0000]yyyy-mm-dd")</f>
        <v/>
      </c>
      <c r="C47534" t="inlineStr">
        <is>
          <t>2030-01-18</t>
        </is>
      </c>
    </row>
    <row r="47535">
      <c r="A47535" s="1" t="n">
        <v>47534</v>
      </c>
      <c r="B47535">
        <f>TEXT(47534, "[$-0E0000]yyyy-mm-dd")</f>
        <v/>
      </c>
      <c r="C47535" t="inlineStr">
        <is>
          <t>2030-01-19</t>
        </is>
      </c>
    </row>
    <row r="47536">
      <c r="A47536" s="1" t="n">
        <v>47535</v>
      </c>
      <c r="B47536">
        <f>TEXT(47535, "[$-0E0000]yyyy-mm-dd")</f>
        <v/>
      </c>
      <c r="C47536" t="inlineStr">
        <is>
          <t>2030-01-20</t>
        </is>
      </c>
    </row>
    <row r="47537">
      <c r="A47537" s="1" t="n">
        <v>47536</v>
      </c>
      <c r="B47537">
        <f>TEXT(47536, "[$-0E0000]yyyy-mm-dd")</f>
        <v/>
      </c>
      <c r="C47537" t="inlineStr">
        <is>
          <t>2030-01-21</t>
        </is>
      </c>
    </row>
    <row r="47538">
      <c r="A47538" s="1" t="n">
        <v>47537</v>
      </c>
      <c r="B47538">
        <f>TEXT(47537, "[$-0E0000]yyyy-mm-dd")</f>
        <v/>
      </c>
      <c r="C47538" t="inlineStr">
        <is>
          <t>2030-01-22</t>
        </is>
      </c>
    </row>
    <row r="47539">
      <c r="A47539" s="1" t="n">
        <v>47538</v>
      </c>
      <c r="B47539">
        <f>TEXT(47538, "[$-0E0000]yyyy-mm-dd")</f>
        <v/>
      </c>
      <c r="C47539" t="inlineStr">
        <is>
          <t>2030-01-23</t>
        </is>
      </c>
    </row>
    <row r="47540">
      <c r="A47540" s="1" t="n">
        <v>47539</v>
      </c>
      <c r="B47540">
        <f>TEXT(47539, "[$-0E0000]yyyy-mm-dd")</f>
        <v/>
      </c>
      <c r="C47540" t="inlineStr">
        <is>
          <t>2030-01-24</t>
        </is>
      </c>
    </row>
    <row r="47541">
      <c r="A47541" s="1" t="n">
        <v>47540</v>
      </c>
      <c r="B47541">
        <f>TEXT(47540, "[$-0E0000]yyyy-mm-dd")</f>
        <v/>
      </c>
      <c r="C47541" t="inlineStr">
        <is>
          <t>2030-01-25</t>
        </is>
      </c>
    </row>
    <row r="47542">
      <c r="A47542" s="1" t="n">
        <v>47541</v>
      </c>
      <c r="B47542">
        <f>TEXT(47541, "[$-0E0000]yyyy-mm-dd")</f>
        <v/>
      </c>
      <c r="C47542" t="inlineStr">
        <is>
          <t>2030-01-26</t>
        </is>
      </c>
    </row>
    <row r="47543">
      <c r="A47543" s="1" t="n">
        <v>47542</v>
      </c>
      <c r="B47543">
        <f>TEXT(47542, "[$-0E0000]yyyy-mm-dd")</f>
        <v/>
      </c>
      <c r="C47543" t="inlineStr">
        <is>
          <t>2030-01-27</t>
        </is>
      </c>
    </row>
    <row r="47544">
      <c r="A47544" s="1" t="n">
        <v>47543</v>
      </c>
      <c r="B47544">
        <f>TEXT(47543, "[$-0E0000]yyyy-mm-dd")</f>
        <v/>
      </c>
      <c r="C47544" t="inlineStr">
        <is>
          <t>2030-01-28</t>
        </is>
      </c>
    </row>
    <row r="47545">
      <c r="A47545" s="1" t="n">
        <v>47544</v>
      </c>
      <c r="B47545">
        <f>TEXT(47544, "[$-0E0000]yyyy-mm-dd")</f>
        <v/>
      </c>
      <c r="C47545" t="inlineStr">
        <is>
          <t>2030-01-29</t>
        </is>
      </c>
    </row>
    <row r="47546">
      <c r="A47546" s="1" t="n">
        <v>47545</v>
      </c>
      <c r="B47546">
        <f>TEXT(47545, "[$-0E0000]yyyy-mm-dd")</f>
        <v/>
      </c>
      <c r="C47546" t="inlineStr">
        <is>
          <t>2030-02-01</t>
        </is>
      </c>
    </row>
    <row r="47547">
      <c r="A47547" s="1" t="n">
        <v>47546</v>
      </c>
      <c r="B47547">
        <f>TEXT(47546, "[$-0E0000]yyyy-mm-dd")</f>
        <v/>
      </c>
      <c r="C47547" t="inlineStr">
        <is>
          <t>2030-02-02</t>
        </is>
      </c>
    </row>
    <row r="47548">
      <c r="A47548" s="1" t="n">
        <v>47547</v>
      </c>
      <c r="B47548">
        <f>TEXT(47547, "[$-0E0000]yyyy-mm-dd")</f>
        <v/>
      </c>
      <c r="C47548" t="inlineStr">
        <is>
          <t>2030-02-03</t>
        </is>
      </c>
    </row>
    <row r="47549">
      <c r="A47549" s="1" t="n">
        <v>47548</v>
      </c>
      <c r="B47549">
        <f>TEXT(47548, "[$-0E0000]yyyy-mm-dd")</f>
        <v/>
      </c>
      <c r="C47549" t="inlineStr">
        <is>
          <t>2030-02-04</t>
        </is>
      </c>
    </row>
    <row r="47550">
      <c r="A47550" s="1" t="n">
        <v>47549</v>
      </c>
      <c r="B47550">
        <f>TEXT(47549, "[$-0E0000]yyyy-mm-dd")</f>
        <v/>
      </c>
      <c r="C47550" t="inlineStr">
        <is>
          <t>2030-02-05</t>
        </is>
      </c>
    </row>
    <row r="47551">
      <c r="A47551" s="1" t="n">
        <v>47550</v>
      </c>
      <c r="B47551">
        <f>TEXT(47550, "[$-0E0000]yyyy-mm-dd")</f>
        <v/>
      </c>
      <c r="C47551" t="inlineStr">
        <is>
          <t>2030-02-06</t>
        </is>
      </c>
    </row>
    <row r="47552">
      <c r="A47552" s="1" t="n">
        <v>47551</v>
      </c>
      <c r="B47552">
        <f>TEXT(47551, "[$-0E0000]yyyy-mm-dd")</f>
        <v/>
      </c>
      <c r="C47552" t="inlineStr">
        <is>
          <t>2030-02-07</t>
        </is>
      </c>
    </row>
    <row r="47553">
      <c r="A47553" s="1" t="n">
        <v>47552</v>
      </c>
      <c r="B47553">
        <f>TEXT(47552, "[$-0E0000]yyyy-mm-dd")</f>
        <v/>
      </c>
      <c r="C47553" t="inlineStr">
        <is>
          <t>2030-02-08</t>
        </is>
      </c>
    </row>
    <row r="47554">
      <c r="A47554" s="1" t="n">
        <v>47553</v>
      </c>
      <c r="B47554">
        <f>TEXT(47553, "[$-0E0000]yyyy-mm-dd")</f>
        <v/>
      </c>
      <c r="C47554" t="inlineStr">
        <is>
          <t>2030-02-09</t>
        </is>
      </c>
    </row>
    <row r="47555">
      <c r="A47555" s="1" t="n">
        <v>47554</v>
      </c>
      <c r="B47555">
        <f>TEXT(47554, "[$-0E0000]yyyy-mm-dd")</f>
        <v/>
      </c>
      <c r="C47555" t="inlineStr">
        <is>
          <t>2030-02-10</t>
        </is>
      </c>
    </row>
    <row r="47556">
      <c r="A47556" s="1" t="n">
        <v>47555</v>
      </c>
      <c r="B47556">
        <f>TEXT(47555, "[$-0E0000]yyyy-mm-dd")</f>
        <v/>
      </c>
      <c r="C47556" t="inlineStr">
        <is>
          <t>2030-02-11</t>
        </is>
      </c>
    </row>
    <row r="47557">
      <c r="A47557" s="1" t="n">
        <v>47556</v>
      </c>
      <c r="B47557">
        <f>TEXT(47556, "[$-0E0000]yyyy-mm-dd")</f>
        <v/>
      </c>
      <c r="C47557" t="inlineStr">
        <is>
          <t>2030-02-12</t>
        </is>
      </c>
    </row>
    <row r="47558">
      <c r="A47558" s="1" t="n">
        <v>47557</v>
      </c>
      <c r="B47558">
        <f>TEXT(47557, "[$-0E0000]yyyy-mm-dd")</f>
        <v/>
      </c>
      <c r="C47558" t="inlineStr">
        <is>
          <t>2030-02-13</t>
        </is>
      </c>
    </row>
    <row r="47559">
      <c r="A47559" s="1" t="n">
        <v>47558</v>
      </c>
      <c r="B47559">
        <f>TEXT(47558, "[$-0E0000]yyyy-mm-dd")</f>
        <v/>
      </c>
      <c r="C47559" t="inlineStr">
        <is>
          <t>2030-02-14</t>
        </is>
      </c>
    </row>
    <row r="47560">
      <c r="A47560" s="1" t="n">
        <v>47559</v>
      </c>
      <c r="B47560">
        <f>TEXT(47559, "[$-0E0000]yyyy-mm-dd")</f>
        <v/>
      </c>
      <c r="C47560" t="inlineStr">
        <is>
          <t>2030-02-15</t>
        </is>
      </c>
    </row>
    <row r="47561">
      <c r="A47561" s="1" t="n">
        <v>47560</v>
      </c>
      <c r="B47561">
        <f>TEXT(47560, "[$-0E0000]yyyy-mm-dd")</f>
        <v/>
      </c>
      <c r="C47561" t="inlineStr">
        <is>
          <t>2030-02-16</t>
        </is>
      </c>
    </row>
    <row r="47562">
      <c r="A47562" s="1" t="n">
        <v>47561</v>
      </c>
      <c r="B47562">
        <f>TEXT(47561, "[$-0E0000]yyyy-mm-dd")</f>
        <v/>
      </c>
      <c r="C47562" t="inlineStr">
        <is>
          <t>2030-02-17</t>
        </is>
      </c>
    </row>
    <row r="47563">
      <c r="A47563" s="1" t="n">
        <v>47562</v>
      </c>
      <c r="B47563">
        <f>TEXT(47562, "[$-0E0000]yyyy-mm-dd")</f>
        <v/>
      </c>
      <c r="C47563" t="inlineStr">
        <is>
          <t>2030-02-18</t>
        </is>
      </c>
    </row>
    <row r="47564">
      <c r="A47564" s="1" t="n">
        <v>47563</v>
      </c>
      <c r="B47564">
        <f>TEXT(47563, "[$-0E0000]yyyy-mm-dd")</f>
        <v/>
      </c>
      <c r="C47564" t="inlineStr">
        <is>
          <t>2030-02-19</t>
        </is>
      </c>
    </row>
    <row r="47565">
      <c r="A47565" s="1" t="n">
        <v>47564</v>
      </c>
      <c r="B47565">
        <f>TEXT(47564, "[$-0E0000]yyyy-mm-dd")</f>
        <v/>
      </c>
      <c r="C47565" t="inlineStr">
        <is>
          <t>2030-02-20</t>
        </is>
      </c>
    </row>
    <row r="47566">
      <c r="A47566" s="1" t="n">
        <v>47565</v>
      </c>
      <c r="B47566">
        <f>TEXT(47565, "[$-0E0000]yyyy-mm-dd")</f>
        <v/>
      </c>
      <c r="C47566" t="inlineStr">
        <is>
          <t>2030-02-21</t>
        </is>
      </c>
    </row>
    <row r="47567">
      <c r="A47567" s="1" t="n">
        <v>47566</v>
      </c>
      <c r="B47567">
        <f>TEXT(47566, "[$-0E0000]yyyy-mm-dd")</f>
        <v/>
      </c>
      <c r="C47567" t="inlineStr">
        <is>
          <t>2030-02-22</t>
        </is>
      </c>
    </row>
    <row r="47568">
      <c r="A47568" s="1" t="n">
        <v>47567</v>
      </c>
      <c r="B47568">
        <f>TEXT(47567, "[$-0E0000]yyyy-mm-dd")</f>
        <v/>
      </c>
      <c r="C47568" t="inlineStr">
        <is>
          <t>2030-02-23</t>
        </is>
      </c>
    </row>
    <row r="47569">
      <c r="A47569" s="1" t="n">
        <v>47568</v>
      </c>
      <c r="B47569">
        <f>TEXT(47568, "[$-0E0000]yyyy-mm-dd")</f>
        <v/>
      </c>
      <c r="C47569" t="inlineStr">
        <is>
          <t>2030-02-24</t>
        </is>
      </c>
    </row>
    <row r="47570">
      <c r="A47570" s="1" t="n">
        <v>47569</v>
      </c>
      <c r="B47570">
        <f>TEXT(47569, "[$-0E0000]yyyy-mm-dd")</f>
        <v/>
      </c>
      <c r="C47570" t="inlineStr">
        <is>
          <t>2030-02-25</t>
        </is>
      </c>
    </row>
    <row r="47571">
      <c r="A47571" s="1" t="n">
        <v>47570</v>
      </c>
      <c r="B47571">
        <f>TEXT(47570, "[$-0E0000]yyyy-mm-dd")</f>
        <v/>
      </c>
      <c r="C47571" t="inlineStr">
        <is>
          <t>2030-02-26</t>
        </is>
      </c>
    </row>
    <row r="47572">
      <c r="A47572" s="1" t="n">
        <v>47571</v>
      </c>
      <c r="B47572">
        <f>TEXT(47571, "[$-0E0000]yyyy-mm-dd")</f>
        <v/>
      </c>
      <c r="C47572" t="inlineStr">
        <is>
          <t>2030-02-27</t>
        </is>
      </c>
    </row>
    <row r="47573">
      <c r="A47573" s="1" t="n">
        <v>47572</v>
      </c>
      <c r="B47573">
        <f>TEXT(47572, "[$-0E0000]yyyy-mm-dd")</f>
        <v/>
      </c>
      <c r="C47573" t="inlineStr">
        <is>
          <t>2030-02-28</t>
        </is>
      </c>
    </row>
    <row r="47574">
      <c r="A47574" s="1" t="n">
        <v>47573</v>
      </c>
      <c r="B47574">
        <f>TEXT(47573, "[$-0E0000]yyyy-mm-dd")</f>
        <v/>
      </c>
      <c r="C47574" t="inlineStr">
        <is>
          <t>2030-02-29</t>
        </is>
      </c>
    </row>
    <row r="47575">
      <c r="A47575" s="1" t="n">
        <v>47574</v>
      </c>
      <c r="B47575">
        <f>TEXT(47574, "[$-0E0000]yyyy-mm-dd")</f>
        <v/>
      </c>
      <c r="C47575" t="inlineStr">
        <is>
          <t>2030-02-30</t>
        </is>
      </c>
    </row>
    <row r="47576">
      <c r="A47576" s="1" t="n">
        <v>47575</v>
      </c>
      <c r="B47576">
        <f>TEXT(47575, "[$-0E0000]yyyy-mm-dd")</f>
        <v/>
      </c>
      <c r="C47576" t="inlineStr">
        <is>
          <t>2030-03-01</t>
        </is>
      </c>
    </row>
    <row r="47577">
      <c r="A47577" s="1" t="n">
        <v>47576</v>
      </c>
      <c r="B47577">
        <f>TEXT(47576, "[$-0E0000]yyyy-mm-dd")</f>
        <v/>
      </c>
      <c r="C47577" t="inlineStr">
        <is>
          <t>2030-03-02</t>
        </is>
      </c>
    </row>
    <row r="47578">
      <c r="A47578" s="1" t="n">
        <v>47577</v>
      </c>
      <c r="B47578">
        <f>TEXT(47577, "[$-0E0000]yyyy-mm-dd")</f>
        <v/>
      </c>
      <c r="C47578" t="inlineStr">
        <is>
          <t>2030-03-03</t>
        </is>
      </c>
    </row>
    <row r="47579">
      <c r="A47579" s="1" t="n">
        <v>47578</v>
      </c>
      <c r="B47579">
        <f>TEXT(47578, "[$-0E0000]yyyy-mm-dd")</f>
        <v/>
      </c>
      <c r="C47579" t="inlineStr">
        <is>
          <t>2030-03-04</t>
        </is>
      </c>
    </row>
    <row r="47580">
      <c r="A47580" s="1" t="n">
        <v>47579</v>
      </c>
      <c r="B47580">
        <f>TEXT(47579, "[$-0E0000]yyyy-mm-dd")</f>
        <v/>
      </c>
      <c r="C47580" t="inlineStr">
        <is>
          <t>2030-03-05</t>
        </is>
      </c>
    </row>
    <row r="47581">
      <c r="A47581" s="1" t="n">
        <v>47580</v>
      </c>
      <c r="B47581">
        <f>TEXT(47580, "[$-0E0000]yyyy-mm-dd")</f>
        <v/>
      </c>
      <c r="C47581" t="inlineStr">
        <is>
          <t>2030-03-06</t>
        </is>
      </c>
    </row>
    <row r="47582">
      <c r="A47582" s="1" t="n">
        <v>47581</v>
      </c>
      <c r="B47582">
        <f>TEXT(47581, "[$-0E0000]yyyy-mm-dd")</f>
        <v/>
      </c>
      <c r="C47582" t="inlineStr">
        <is>
          <t>2030-03-07</t>
        </is>
      </c>
    </row>
    <row r="47583">
      <c r="A47583" s="1" t="n">
        <v>47582</v>
      </c>
      <c r="B47583">
        <f>TEXT(47582, "[$-0E0000]yyyy-mm-dd")</f>
        <v/>
      </c>
      <c r="C47583" t="inlineStr">
        <is>
          <t>2030-03-08</t>
        </is>
      </c>
    </row>
    <row r="47584">
      <c r="A47584" s="1" t="n">
        <v>47583</v>
      </c>
      <c r="B47584">
        <f>TEXT(47583, "[$-0E0000]yyyy-mm-dd")</f>
        <v/>
      </c>
      <c r="C47584" t="inlineStr">
        <is>
          <t>2030-03-09</t>
        </is>
      </c>
    </row>
    <row r="47585">
      <c r="A47585" s="1" t="n">
        <v>47584</v>
      </c>
      <c r="B47585">
        <f>TEXT(47584, "[$-0E0000]yyyy-mm-dd")</f>
        <v/>
      </c>
      <c r="C47585" t="inlineStr">
        <is>
          <t>2030-03-10</t>
        </is>
      </c>
    </row>
    <row r="47586">
      <c r="A47586" s="1" t="n">
        <v>47585</v>
      </c>
      <c r="B47586">
        <f>TEXT(47585, "[$-0E0000]yyyy-mm-dd")</f>
        <v/>
      </c>
      <c r="C47586" t="inlineStr">
        <is>
          <t>2030-03-11</t>
        </is>
      </c>
    </row>
    <row r="47587">
      <c r="A47587" s="1" t="n">
        <v>47586</v>
      </c>
      <c r="B47587">
        <f>TEXT(47586, "[$-0E0000]yyyy-mm-dd")</f>
        <v/>
      </c>
      <c r="C47587" t="inlineStr">
        <is>
          <t>2030-03-12</t>
        </is>
      </c>
    </row>
    <row r="47588">
      <c r="A47588" s="1" t="n">
        <v>47587</v>
      </c>
      <c r="B47588">
        <f>TEXT(47587, "[$-0E0000]yyyy-mm-dd")</f>
        <v/>
      </c>
      <c r="C47588" t="inlineStr">
        <is>
          <t>2030-03-13</t>
        </is>
      </c>
    </row>
    <row r="47589">
      <c r="A47589" s="1" t="n">
        <v>47588</v>
      </c>
      <c r="B47589">
        <f>TEXT(47588, "[$-0E0000]yyyy-mm-dd")</f>
        <v/>
      </c>
      <c r="C47589" t="inlineStr">
        <is>
          <t>2030-03-14</t>
        </is>
      </c>
    </row>
    <row r="47590">
      <c r="A47590" s="1" t="n">
        <v>47589</v>
      </c>
      <c r="B47590">
        <f>TEXT(47589, "[$-0E0000]yyyy-mm-dd")</f>
        <v/>
      </c>
      <c r="C47590" t="inlineStr">
        <is>
          <t>2030-03-15</t>
        </is>
      </c>
    </row>
    <row r="47591">
      <c r="A47591" s="1" t="n">
        <v>47590</v>
      </c>
      <c r="B47591">
        <f>TEXT(47590, "[$-0E0000]yyyy-mm-dd")</f>
        <v/>
      </c>
      <c r="C47591" t="inlineStr">
        <is>
          <t>2030-03-16</t>
        </is>
      </c>
    </row>
    <row r="47592">
      <c r="A47592" s="1" t="n">
        <v>47591</v>
      </c>
      <c r="B47592">
        <f>TEXT(47591, "[$-0E0000]yyyy-mm-dd")</f>
        <v/>
      </c>
      <c r="C47592" t="inlineStr">
        <is>
          <t>2030-03-17</t>
        </is>
      </c>
    </row>
    <row r="47593">
      <c r="A47593" s="1" t="n">
        <v>47592</v>
      </c>
      <c r="B47593">
        <f>TEXT(47592, "[$-0E0000]yyyy-mm-dd")</f>
        <v/>
      </c>
      <c r="C47593" t="inlineStr">
        <is>
          <t>2030-03-18</t>
        </is>
      </c>
    </row>
    <row r="47594">
      <c r="A47594" s="1" t="n">
        <v>47593</v>
      </c>
      <c r="B47594">
        <f>TEXT(47593, "[$-0E0000]yyyy-mm-dd")</f>
        <v/>
      </c>
      <c r="C47594" t="inlineStr">
        <is>
          <t>2030-03-19</t>
        </is>
      </c>
    </row>
    <row r="47595">
      <c r="A47595" s="1" t="n">
        <v>47594</v>
      </c>
      <c r="B47595">
        <f>TEXT(47594, "[$-0E0000]yyyy-mm-dd")</f>
        <v/>
      </c>
      <c r="C47595" t="inlineStr">
        <is>
          <t>2030-03-20</t>
        </is>
      </c>
    </row>
    <row r="47596">
      <c r="A47596" s="1" t="n">
        <v>47595</v>
      </c>
      <c r="B47596">
        <f>TEXT(47595, "[$-0E0000]yyyy-mm-dd")</f>
        <v/>
      </c>
      <c r="C47596" t="inlineStr">
        <is>
          <t>2030-03-21</t>
        </is>
      </c>
    </row>
    <row r="47597">
      <c r="A47597" s="1" t="n">
        <v>47596</v>
      </c>
      <c r="B47597">
        <f>TEXT(47596, "[$-0E0000]yyyy-mm-dd")</f>
        <v/>
      </c>
      <c r="C47597" t="inlineStr">
        <is>
          <t>2030-03-22</t>
        </is>
      </c>
    </row>
    <row r="47598">
      <c r="A47598" s="1" t="n">
        <v>47597</v>
      </c>
      <c r="B47598">
        <f>TEXT(47597, "[$-0E0000]yyyy-mm-dd")</f>
        <v/>
      </c>
      <c r="C47598" t="inlineStr">
        <is>
          <t>2030-03-23</t>
        </is>
      </c>
    </row>
    <row r="47599">
      <c r="A47599" s="1" t="n">
        <v>47598</v>
      </c>
      <c r="B47599">
        <f>TEXT(47598, "[$-0E0000]yyyy-mm-dd")</f>
        <v/>
      </c>
      <c r="C47599" t="inlineStr">
        <is>
          <t>2030-03-24</t>
        </is>
      </c>
    </row>
    <row r="47600">
      <c r="A47600" s="1" t="n">
        <v>47599</v>
      </c>
      <c r="B47600">
        <f>TEXT(47599, "[$-0E0000]yyyy-mm-dd")</f>
        <v/>
      </c>
      <c r="C47600" t="inlineStr">
        <is>
          <t>2030-03-25</t>
        </is>
      </c>
    </row>
    <row r="47601">
      <c r="A47601" s="1" t="n">
        <v>47600</v>
      </c>
      <c r="B47601">
        <f>TEXT(47600, "[$-0E0000]yyyy-mm-dd")</f>
        <v/>
      </c>
      <c r="C47601" t="inlineStr">
        <is>
          <t>2030-03-26</t>
        </is>
      </c>
    </row>
    <row r="47602">
      <c r="A47602" s="1" t="n">
        <v>47601</v>
      </c>
      <c r="B47602">
        <f>TEXT(47601, "[$-0E0000]yyyy-mm-dd")</f>
        <v/>
      </c>
      <c r="C47602" t="inlineStr">
        <is>
          <t>2030-03-27</t>
        </is>
      </c>
    </row>
    <row r="47603">
      <c r="A47603" s="1" t="n">
        <v>47602</v>
      </c>
      <c r="B47603">
        <f>TEXT(47602, "[$-0E0000]yyyy-mm-dd")</f>
        <v/>
      </c>
      <c r="C47603" t="inlineStr">
        <is>
          <t>2030-03-28</t>
        </is>
      </c>
    </row>
    <row r="47604">
      <c r="A47604" s="1" t="n">
        <v>47603</v>
      </c>
      <c r="B47604">
        <f>TEXT(47603, "[$-0E0000]yyyy-mm-dd")</f>
        <v/>
      </c>
      <c r="C47604" t="inlineStr">
        <is>
          <t>2030-03-29</t>
        </is>
      </c>
    </row>
    <row r="47605">
      <c r="A47605" s="1" t="n">
        <v>47604</v>
      </c>
      <c r="B47605">
        <f>TEXT(47604, "[$-0E0000]yyyy-mm-dd")</f>
        <v/>
      </c>
      <c r="C47605" t="inlineStr">
        <is>
          <t>2030-04-01</t>
        </is>
      </c>
    </row>
    <row r="47606">
      <c r="A47606" s="1" t="n">
        <v>47605</v>
      </c>
      <c r="B47606">
        <f>TEXT(47605, "[$-0E0000]yyyy-mm-dd")</f>
        <v/>
      </c>
      <c r="C47606" t="inlineStr">
        <is>
          <t>2030-04-02</t>
        </is>
      </c>
    </row>
    <row r="47607">
      <c r="A47607" s="1" t="n">
        <v>47606</v>
      </c>
      <c r="B47607">
        <f>TEXT(47606, "[$-0E0000]yyyy-mm-dd")</f>
        <v/>
      </c>
      <c r="C47607" t="inlineStr">
        <is>
          <t>2030-04-03</t>
        </is>
      </c>
    </row>
    <row r="47608">
      <c r="A47608" s="1" t="n">
        <v>47607</v>
      </c>
      <c r="B47608">
        <f>TEXT(47607, "[$-0E0000]yyyy-mm-dd")</f>
        <v/>
      </c>
      <c r="C47608" t="inlineStr">
        <is>
          <t>2030-04-04</t>
        </is>
      </c>
    </row>
    <row r="47609">
      <c r="A47609" s="1" t="n">
        <v>47608</v>
      </c>
      <c r="B47609">
        <f>TEXT(47608, "[$-0E0000]yyyy-mm-dd")</f>
        <v/>
      </c>
      <c r="C47609" t="inlineStr">
        <is>
          <t>2030-04-05</t>
        </is>
      </c>
    </row>
    <row r="47610">
      <c r="A47610" s="1" t="n">
        <v>47609</v>
      </c>
      <c r="B47610">
        <f>TEXT(47609, "[$-0E0000]yyyy-mm-dd")</f>
        <v/>
      </c>
      <c r="C47610" t="inlineStr">
        <is>
          <t>2030-04-06</t>
        </is>
      </c>
    </row>
    <row r="47611">
      <c r="A47611" s="1" t="n">
        <v>47610</v>
      </c>
      <c r="B47611">
        <f>TEXT(47610, "[$-0E0000]yyyy-mm-dd")</f>
        <v/>
      </c>
      <c r="C47611" t="inlineStr">
        <is>
          <t>2030-04-07</t>
        </is>
      </c>
    </row>
    <row r="47612">
      <c r="A47612" s="1" t="n">
        <v>47611</v>
      </c>
      <c r="B47612">
        <f>TEXT(47611, "[$-0E0000]yyyy-mm-dd")</f>
        <v/>
      </c>
      <c r="C47612" t="inlineStr">
        <is>
          <t>2030-04-08</t>
        </is>
      </c>
    </row>
    <row r="47613">
      <c r="A47613" s="1" t="n">
        <v>47612</v>
      </c>
      <c r="B47613">
        <f>TEXT(47612, "[$-0E0000]yyyy-mm-dd")</f>
        <v/>
      </c>
      <c r="C47613" t="inlineStr">
        <is>
          <t>2030-04-09</t>
        </is>
      </c>
    </row>
    <row r="47614">
      <c r="A47614" s="1" t="n">
        <v>47613</v>
      </c>
      <c r="B47614">
        <f>TEXT(47613, "[$-0E0000]yyyy-mm-dd")</f>
        <v/>
      </c>
      <c r="C47614" t="inlineStr">
        <is>
          <t>2030-04-10</t>
        </is>
      </c>
    </row>
    <row r="47615">
      <c r="A47615" s="1" t="n">
        <v>47614</v>
      </c>
      <c r="B47615">
        <f>TEXT(47614, "[$-0E0000]yyyy-mm-dd")</f>
        <v/>
      </c>
      <c r="C47615" t="inlineStr">
        <is>
          <t>2030-04-11</t>
        </is>
      </c>
    </row>
    <row r="47616">
      <c r="A47616" s="1" t="n">
        <v>47615</v>
      </c>
      <c r="B47616">
        <f>TEXT(47615, "[$-0E0000]yyyy-mm-dd")</f>
        <v/>
      </c>
      <c r="C47616" t="inlineStr">
        <is>
          <t>2030-04-12</t>
        </is>
      </c>
    </row>
    <row r="47617">
      <c r="A47617" s="1" t="n">
        <v>47616</v>
      </c>
      <c r="B47617">
        <f>TEXT(47616, "[$-0E0000]yyyy-mm-dd")</f>
        <v/>
      </c>
      <c r="C47617" t="inlineStr">
        <is>
          <t>2030-04-13</t>
        </is>
      </c>
    </row>
    <row r="47618">
      <c r="A47618" s="1" t="n">
        <v>47617</v>
      </c>
      <c r="B47618">
        <f>TEXT(47617, "[$-0E0000]yyyy-mm-dd")</f>
        <v/>
      </c>
      <c r="C47618" t="inlineStr">
        <is>
          <t>2030-04-14</t>
        </is>
      </c>
    </row>
    <row r="47619">
      <c r="A47619" s="1" t="n">
        <v>47618</v>
      </c>
      <c r="B47619">
        <f>TEXT(47618, "[$-0E0000]yyyy-mm-dd")</f>
        <v/>
      </c>
      <c r="C47619" t="inlineStr">
        <is>
          <t>2030-04-15</t>
        </is>
      </c>
    </row>
    <row r="47620">
      <c r="A47620" s="1" t="n">
        <v>47619</v>
      </c>
      <c r="B47620">
        <f>TEXT(47619, "[$-0E0000]yyyy-mm-dd")</f>
        <v/>
      </c>
      <c r="C47620" t="inlineStr">
        <is>
          <t>2030-04-16</t>
        </is>
      </c>
    </row>
    <row r="47621">
      <c r="A47621" s="1" t="n">
        <v>47620</v>
      </c>
      <c r="B47621">
        <f>TEXT(47620, "[$-0E0000]yyyy-mm-dd")</f>
        <v/>
      </c>
      <c r="C47621" t="inlineStr">
        <is>
          <t>2030-04-17</t>
        </is>
      </c>
    </row>
    <row r="47622">
      <c r="A47622" s="1" t="n">
        <v>47621</v>
      </c>
      <c r="B47622">
        <f>TEXT(47621, "[$-0E0000]yyyy-mm-dd")</f>
        <v/>
      </c>
      <c r="C47622" t="inlineStr">
        <is>
          <t>2030-04-18</t>
        </is>
      </c>
    </row>
    <row r="47623">
      <c r="A47623" s="1" t="n">
        <v>47622</v>
      </c>
      <c r="B47623">
        <f>TEXT(47622, "[$-0E0000]yyyy-mm-dd")</f>
        <v/>
      </c>
      <c r="C47623" t="inlineStr">
        <is>
          <t>2030-04-19</t>
        </is>
      </c>
    </row>
    <row r="47624">
      <c r="A47624" s="1" t="n">
        <v>47623</v>
      </c>
      <c r="B47624">
        <f>TEXT(47623, "[$-0E0000]yyyy-mm-dd")</f>
        <v/>
      </c>
      <c r="C47624" t="inlineStr">
        <is>
          <t>2030-04-20</t>
        </is>
      </c>
    </row>
    <row r="47625">
      <c r="A47625" s="1" t="n">
        <v>47624</v>
      </c>
      <c r="B47625">
        <f>TEXT(47624, "[$-0E0000]yyyy-mm-dd")</f>
        <v/>
      </c>
      <c r="C47625" t="inlineStr">
        <is>
          <t>2030-04-21</t>
        </is>
      </c>
    </row>
    <row r="47626">
      <c r="A47626" s="1" t="n">
        <v>47625</v>
      </c>
      <c r="B47626">
        <f>TEXT(47625, "[$-0E0000]yyyy-mm-dd")</f>
        <v/>
      </c>
      <c r="C47626" t="inlineStr">
        <is>
          <t>2030-04-22</t>
        </is>
      </c>
    </row>
    <row r="47627">
      <c r="A47627" s="1" t="n">
        <v>47626</v>
      </c>
      <c r="B47627">
        <f>TEXT(47626, "[$-0E0000]yyyy-mm-dd")</f>
        <v/>
      </c>
      <c r="C47627" t="inlineStr">
        <is>
          <t>2030-04-23</t>
        </is>
      </c>
    </row>
    <row r="47628">
      <c r="A47628" s="1" t="n">
        <v>47627</v>
      </c>
      <c r="B47628">
        <f>TEXT(47627, "[$-0E0000]yyyy-mm-dd")</f>
        <v/>
      </c>
      <c r="C47628" t="inlineStr">
        <is>
          <t>2030-04-24</t>
        </is>
      </c>
    </row>
    <row r="47629">
      <c r="A47629" s="1" t="n">
        <v>47628</v>
      </c>
      <c r="B47629">
        <f>TEXT(47628, "[$-0E0000]yyyy-mm-dd")</f>
        <v/>
      </c>
      <c r="C47629" t="inlineStr">
        <is>
          <t>2030-04-25</t>
        </is>
      </c>
    </row>
    <row r="47630">
      <c r="A47630" s="1" t="n">
        <v>47629</v>
      </c>
      <c r="B47630">
        <f>TEXT(47629, "[$-0E0000]yyyy-mm-dd")</f>
        <v/>
      </c>
      <c r="C47630" t="inlineStr">
        <is>
          <t>2030-04-26</t>
        </is>
      </c>
    </row>
    <row r="47631">
      <c r="A47631" s="1" t="n">
        <v>47630</v>
      </c>
      <c r="B47631">
        <f>TEXT(47630, "[$-0E0000]yyyy-mm-dd")</f>
        <v/>
      </c>
      <c r="C47631" t="inlineStr">
        <is>
          <t>2030-04-27</t>
        </is>
      </c>
    </row>
    <row r="47632">
      <c r="A47632" s="1" t="n">
        <v>47631</v>
      </c>
      <c r="B47632">
        <f>TEXT(47631, "[$-0E0000]yyyy-mm-dd")</f>
        <v/>
      </c>
      <c r="C47632" t="inlineStr">
        <is>
          <t>2030-04-28</t>
        </is>
      </c>
    </row>
    <row r="47633">
      <c r="A47633" s="1" t="n">
        <v>47632</v>
      </c>
      <c r="B47633">
        <f>TEXT(47632, "[$-0E0000]yyyy-mm-dd")</f>
        <v/>
      </c>
      <c r="C47633" t="inlineStr">
        <is>
          <t>2030-04-29</t>
        </is>
      </c>
    </row>
    <row r="47634">
      <c r="A47634" s="1" t="n">
        <v>47633</v>
      </c>
      <c r="B47634">
        <f>TEXT(47633, "[$-0E0000]yyyy-mm-dd")</f>
        <v/>
      </c>
      <c r="C47634" t="inlineStr">
        <is>
          <t>2030-04-30</t>
        </is>
      </c>
    </row>
    <row r="47635">
      <c r="A47635" s="1" t="n">
        <v>47634</v>
      </c>
      <c r="B47635">
        <f>TEXT(47634, "[$-0E0000]yyyy-mm-dd")</f>
        <v/>
      </c>
      <c r="C47635" t="inlineStr">
        <is>
          <t>2030-05-01</t>
        </is>
      </c>
    </row>
    <row r="47636">
      <c r="A47636" s="1" t="n">
        <v>47635</v>
      </c>
      <c r="B47636">
        <f>TEXT(47635, "[$-0E0000]yyyy-mm-dd")</f>
        <v/>
      </c>
      <c r="C47636" t="inlineStr">
        <is>
          <t>2030-05-02</t>
        </is>
      </c>
    </row>
    <row r="47637">
      <c r="A47637" s="1" t="n">
        <v>47636</v>
      </c>
      <c r="B47637">
        <f>TEXT(47636, "[$-0E0000]yyyy-mm-dd")</f>
        <v/>
      </c>
      <c r="C47637" t="inlineStr">
        <is>
          <t>2030-05-03</t>
        </is>
      </c>
    </row>
    <row r="47638">
      <c r="A47638" s="1" t="n">
        <v>47637</v>
      </c>
      <c r="B47638">
        <f>TEXT(47637, "[$-0E0000]yyyy-mm-dd")</f>
        <v/>
      </c>
      <c r="C47638" t="inlineStr">
        <is>
          <t>2030-05-04</t>
        </is>
      </c>
    </row>
    <row r="47639">
      <c r="A47639" s="1" t="n">
        <v>47638</v>
      </c>
      <c r="B47639">
        <f>TEXT(47638, "[$-0E0000]yyyy-mm-dd")</f>
        <v/>
      </c>
      <c r="C47639" t="inlineStr">
        <is>
          <t>2030-05-05</t>
        </is>
      </c>
    </row>
    <row r="47640">
      <c r="A47640" s="1" t="n">
        <v>47639</v>
      </c>
      <c r="B47640">
        <f>TEXT(47639, "[$-0E0000]yyyy-mm-dd")</f>
        <v/>
      </c>
      <c r="C47640" t="inlineStr">
        <is>
          <t>2030-05-06</t>
        </is>
      </c>
    </row>
    <row r="47641">
      <c r="A47641" s="1" t="n">
        <v>47640</v>
      </c>
      <c r="B47641">
        <f>TEXT(47640, "[$-0E0000]yyyy-mm-dd")</f>
        <v/>
      </c>
      <c r="C47641" t="inlineStr">
        <is>
          <t>2030-05-07</t>
        </is>
      </c>
    </row>
    <row r="47642">
      <c r="A47642" s="1" t="n">
        <v>47641</v>
      </c>
      <c r="B47642">
        <f>TEXT(47641, "[$-0E0000]yyyy-mm-dd")</f>
        <v/>
      </c>
      <c r="C47642" t="inlineStr">
        <is>
          <t>2030-05-08</t>
        </is>
      </c>
    </row>
    <row r="47643">
      <c r="A47643" s="1" t="n">
        <v>47642</v>
      </c>
      <c r="B47643">
        <f>TEXT(47642, "[$-0E0000]yyyy-mm-dd")</f>
        <v/>
      </c>
      <c r="C47643" t="inlineStr">
        <is>
          <t>2030-05-09</t>
        </is>
      </c>
    </row>
    <row r="47644">
      <c r="A47644" s="1" t="n">
        <v>47643</v>
      </c>
      <c r="B47644">
        <f>TEXT(47643, "[$-0E0000]yyyy-mm-dd")</f>
        <v/>
      </c>
      <c r="C47644" t="inlineStr">
        <is>
          <t>2030-05-10</t>
        </is>
      </c>
    </row>
    <row r="47645">
      <c r="A47645" s="1" t="n">
        <v>47644</v>
      </c>
      <c r="B47645">
        <f>TEXT(47644, "[$-0E0000]yyyy-mm-dd")</f>
        <v/>
      </c>
      <c r="C47645" t="inlineStr">
        <is>
          <t>2030-05-11</t>
        </is>
      </c>
    </row>
    <row r="47646">
      <c r="A47646" s="1" t="n">
        <v>47645</v>
      </c>
      <c r="B47646">
        <f>TEXT(47645, "[$-0E0000]yyyy-mm-dd")</f>
        <v/>
      </c>
      <c r="C47646" t="inlineStr">
        <is>
          <t>2030-05-12</t>
        </is>
      </c>
    </row>
    <row r="47647">
      <c r="A47647" s="1" t="n">
        <v>47646</v>
      </c>
      <c r="B47647">
        <f>TEXT(47646, "[$-0E0000]yyyy-mm-dd")</f>
        <v/>
      </c>
      <c r="C47647" t="inlineStr">
        <is>
          <t>2030-05-13</t>
        </is>
      </c>
    </row>
    <row r="47648">
      <c r="A47648" s="1" t="n">
        <v>47647</v>
      </c>
      <c r="B47648">
        <f>TEXT(47647, "[$-0E0000]yyyy-mm-dd")</f>
        <v/>
      </c>
      <c r="C47648" t="inlineStr">
        <is>
          <t>2030-05-14</t>
        </is>
      </c>
    </row>
    <row r="47649">
      <c r="A47649" s="1" t="n">
        <v>47648</v>
      </c>
      <c r="B47649">
        <f>TEXT(47648, "[$-0E0000]yyyy-mm-dd")</f>
        <v/>
      </c>
      <c r="C47649" t="inlineStr">
        <is>
          <t>2030-05-15</t>
        </is>
      </c>
    </row>
    <row r="47650">
      <c r="A47650" s="1" t="n">
        <v>47649</v>
      </c>
      <c r="B47650">
        <f>TEXT(47649, "[$-0E0000]yyyy-mm-dd")</f>
        <v/>
      </c>
      <c r="C47650" t="inlineStr">
        <is>
          <t>2030-05-16</t>
        </is>
      </c>
    </row>
    <row r="47651">
      <c r="A47651" s="1" t="n">
        <v>47650</v>
      </c>
      <c r="B47651">
        <f>TEXT(47650, "[$-0E0000]yyyy-mm-dd")</f>
        <v/>
      </c>
      <c r="C47651" t="inlineStr">
        <is>
          <t>2030-05-17</t>
        </is>
      </c>
    </row>
    <row r="47652">
      <c r="A47652" s="1" t="n">
        <v>47651</v>
      </c>
      <c r="B47652">
        <f>TEXT(47651, "[$-0E0000]yyyy-mm-dd")</f>
        <v/>
      </c>
      <c r="C47652" t="inlineStr">
        <is>
          <t>2030-05-18</t>
        </is>
      </c>
    </row>
    <row r="47653">
      <c r="A47653" s="1" t="n">
        <v>47652</v>
      </c>
      <c r="B47653">
        <f>TEXT(47652, "[$-0E0000]yyyy-mm-dd")</f>
        <v/>
      </c>
      <c r="C47653" t="inlineStr">
        <is>
          <t>2030-05-19</t>
        </is>
      </c>
    </row>
    <row r="47654">
      <c r="A47654" s="1" t="n">
        <v>47653</v>
      </c>
      <c r="B47654">
        <f>TEXT(47653, "[$-0E0000]yyyy-mm-dd")</f>
        <v/>
      </c>
      <c r="C47654" t="inlineStr">
        <is>
          <t>2030-05-20</t>
        </is>
      </c>
    </row>
    <row r="47655">
      <c r="A47655" s="1" t="n">
        <v>47654</v>
      </c>
      <c r="B47655">
        <f>TEXT(47654, "[$-0E0000]yyyy-mm-dd")</f>
        <v/>
      </c>
      <c r="C47655" t="inlineStr">
        <is>
          <t>2030-05-21</t>
        </is>
      </c>
    </row>
    <row r="47656">
      <c r="A47656" s="1" t="n">
        <v>47655</v>
      </c>
      <c r="B47656">
        <f>TEXT(47655, "[$-0E0000]yyyy-mm-dd")</f>
        <v/>
      </c>
      <c r="C47656" t="inlineStr">
        <is>
          <t>2030-05-22</t>
        </is>
      </c>
    </row>
    <row r="47657">
      <c r="A47657" s="1" t="n">
        <v>47656</v>
      </c>
      <c r="B47657">
        <f>TEXT(47656, "[$-0E0000]yyyy-mm-dd")</f>
        <v/>
      </c>
      <c r="C47657" t="inlineStr">
        <is>
          <t>2030-05-23</t>
        </is>
      </c>
    </row>
    <row r="47658">
      <c r="A47658" s="1" t="n">
        <v>47657</v>
      </c>
      <c r="B47658">
        <f>TEXT(47657, "[$-0E0000]yyyy-mm-dd")</f>
        <v/>
      </c>
      <c r="C47658" t="inlineStr">
        <is>
          <t>2030-05-24</t>
        </is>
      </c>
    </row>
    <row r="47659">
      <c r="A47659" s="1" t="n">
        <v>47658</v>
      </c>
      <c r="B47659">
        <f>TEXT(47658, "[$-0E0000]yyyy-mm-dd")</f>
        <v/>
      </c>
      <c r="C47659" t="inlineStr">
        <is>
          <t>2030-05-25</t>
        </is>
      </c>
    </row>
    <row r="47660">
      <c r="A47660" s="1" t="n">
        <v>47659</v>
      </c>
      <c r="B47660">
        <f>TEXT(47659, "[$-0E0000]yyyy-mm-dd")</f>
        <v/>
      </c>
      <c r="C47660" t="inlineStr">
        <is>
          <t>2030-05-26</t>
        </is>
      </c>
    </row>
    <row r="47661">
      <c r="A47661" s="1" t="n">
        <v>47660</v>
      </c>
      <c r="B47661">
        <f>TEXT(47660, "[$-0E0000]yyyy-mm-dd")</f>
        <v/>
      </c>
      <c r="C47661" t="inlineStr">
        <is>
          <t>2030-05-27</t>
        </is>
      </c>
    </row>
    <row r="47662">
      <c r="A47662" s="1" t="n">
        <v>47661</v>
      </c>
      <c r="B47662">
        <f>TEXT(47661, "[$-0E0000]yyyy-mm-dd")</f>
        <v/>
      </c>
      <c r="C47662" t="inlineStr">
        <is>
          <t>2030-05-28</t>
        </is>
      </c>
    </row>
    <row r="47663">
      <c r="A47663" s="1" t="n">
        <v>47662</v>
      </c>
      <c r="B47663">
        <f>TEXT(47662, "[$-0E0000]yyyy-mm-dd")</f>
        <v/>
      </c>
      <c r="C47663" t="inlineStr">
        <is>
          <t>2030-05-29</t>
        </is>
      </c>
    </row>
    <row r="47664">
      <c r="A47664" s="1" t="n">
        <v>47663</v>
      </c>
      <c r="B47664">
        <f>TEXT(47663, "[$-0E0000]yyyy-mm-dd")</f>
        <v/>
      </c>
      <c r="C47664" t="inlineStr">
        <is>
          <t>2030-05-30</t>
        </is>
      </c>
    </row>
    <row r="47665">
      <c r="A47665" s="1" t="n">
        <v>47664</v>
      </c>
      <c r="B47665">
        <f>TEXT(47664, "[$-0E0000]yyyy-mm-dd")</f>
        <v/>
      </c>
      <c r="C47665" t="inlineStr">
        <is>
          <t>2030-06-01</t>
        </is>
      </c>
    </row>
    <row r="47666">
      <c r="A47666" s="1" t="n">
        <v>47665</v>
      </c>
      <c r="B47666">
        <f>TEXT(47665, "[$-0E0000]yyyy-mm-dd")</f>
        <v/>
      </c>
      <c r="C47666" t="inlineStr">
        <is>
          <t>2030-06-02</t>
        </is>
      </c>
    </row>
    <row r="47667">
      <c r="A47667" s="1" t="n">
        <v>47666</v>
      </c>
      <c r="B47667">
        <f>TEXT(47666, "[$-0E0000]yyyy-mm-dd")</f>
        <v/>
      </c>
      <c r="C47667" t="inlineStr">
        <is>
          <t>2030-06-03</t>
        </is>
      </c>
    </row>
    <row r="47668">
      <c r="A47668" s="1" t="n">
        <v>47667</v>
      </c>
      <c r="B47668">
        <f>TEXT(47667, "[$-0E0000]yyyy-mm-dd")</f>
        <v/>
      </c>
      <c r="C47668" t="inlineStr">
        <is>
          <t>2030-06-04</t>
        </is>
      </c>
    </row>
    <row r="47669">
      <c r="A47669" s="1" t="n">
        <v>47668</v>
      </c>
      <c r="B47669">
        <f>TEXT(47668, "[$-0E0000]yyyy-mm-dd")</f>
        <v/>
      </c>
      <c r="C47669" t="inlineStr">
        <is>
          <t>2030-06-05</t>
        </is>
      </c>
    </row>
    <row r="47670">
      <c r="A47670" s="1" t="n">
        <v>47669</v>
      </c>
      <c r="B47670">
        <f>TEXT(47669, "[$-0E0000]yyyy-mm-dd")</f>
        <v/>
      </c>
      <c r="C47670" t="inlineStr">
        <is>
          <t>2030-06-06</t>
        </is>
      </c>
    </row>
    <row r="47671">
      <c r="A47671" s="1" t="n">
        <v>47670</v>
      </c>
      <c r="B47671">
        <f>TEXT(47670, "[$-0E0000]yyyy-mm-dd")</f>
        <v/>
      </c>
      <c r="C47671" t="inlineStr">
        <is>
          <t>2030-06-07</t>
        </is>
      </c>
    </row>
    <row r="47672">
      <c r="A47672" s="1" t="n">
        <v>47671</v>
      </c>
      <c r="B47672">
        <f>TEXT(47671, "[$-0E0000]yyyy-mm-dd")</f>
        <v/>
      </c>
      <c r="C47672" t="inlineStr">
        <is>
          <t>2030-06-08</t>
        </is>
      </c>
    </row>
    <row r="47673">
      <c r="A47673" s="1" t="n">
        <v>47672</v>
      </c>
      <c r="B47673">
        <f>TEXT(47672, "[$-0E0000]yyyy-mm-dd")</f>
        <v/>
      </c>
      <c r="C47673" t="inlineStr">
        <is>
          <t>2030-06-09</t>
        </is>
      </c>
    </row>
    <row r="47674">
      <c r="A47674" s="1" t="n">
        <v>47673</v>
      </c>
      <c r="B47674">
        <f>TEXT(47673, "[$-0E0000]yyyy-mm-dd")</f>
        <v/>
      </c>
      <c r="C47674" t="inlineStr">
        <is>
          <t>2030-06-10</t>
        </is>
      </c>
    </row>
    <row r="47675">
      <c r="A47675" s="1" t="n">
        <v>47674</v>
      </c>
      <c r="B47675">
        <f>TEXT(47674, "[$-0E0000]yyyy-mm-dd")</f>
        <v/>
      </c>
      <c r="C47675" t="inlineStr">
        <is>
          <t>2030-06-11</t>
        </is>
      </c>
    </row>
    <row r="47676">
      <c r="A47676" s="1" t="n">
        <v>47675</v>
      </c>
      <c r="B47676">
        <f>TEXT(47675, "[$-0E0000]yyyy-mm-dd")</f>
        <v/>
      </c>
      <c r="C47676" t="inlineStr">
        <is>
          <t>2030-06-12</t>
        </is>
      </c>
    </row>
    <row r="47677">
      <c r="A47677" s="1" t="n">
        <v>47676</v>
      </c>
      <c r="B47677">
        <f>TEXT(47676, "[$-0E0000]yyyy-mm-dd")</f>
        <v/>
      </c>
      <c r="C47677" t="inlineStr">
        <is>
          <t>2030-06-13</t>
        </is>
      </c>
    </row>
    <row r="47678">
      <c r="A47678" s="1" t="n">
        <v>47677</v>
      </c>
      <c r="B47678">
        <f>TEXT(47677, "[$-0E0000]yyyy-mm-dd")</f>
        <v/>
      </c>
      <c r="C47678" t="inlineStr">
        <is>
          <t>2030-06-14</t>
        </is>
      </c>
    </row>
    <row r="47679">
      <c r="A47679" s="1" t="n">
        <v>47678</v>
      </c>
      <c r="B47679">
        <f>TEXT(47678, "[$-0E0000]yyyy-mm-dd")</f>
        <v/>
      </c>
      <c r="C47679" t="inlineStr">
        <is>
          <t>2030-06-15</t>
        </is>
      </c>
    </row>
    <row r="47680">
      <c r="A47680" s="1" t="n">
        <v>47679</v>
      </c>
      <c r="B47680">
        <f>TEXT(47679, "[$-0E0000]yyyy-mm-dd")</f>
        <v/>
      </c>
      <c r="C47680" t="inlineStr">
        <is>
          <t>2030-06-16</t>
        </is>
      </c>
    </row>
    <row r="47681">
      <c r="A47681" s="1" t="n">
        <v>47680</v>
      </c>
      <c r="B47681">
        <f>TEXT(47680, "[$-0E0000]yyyy-mm-dd")</f>
        <v/>
      </c>
      <c r="C47681" t="inlineStr">
        <is>
          <t>2030-06-17</t>
        </is>
      </c>
    </row>
    <row r="47682">
      <c r="A47682" s="1" t="n">
        <v>47681</v>
      </c>
      <c r="B47682">
        <f>TEXT(47681, "[$-0E0000]yyyy-mm-dd")</f>
        <v/>
      </c>
      <c r="C47682" t="inlineStr">
        <is>
          <t>2030-06-18</t>
        </is>
      </c>
    </row>
    <row r="47683">
      <c r="A47683" s="1" t="n">
        <v>47682</v>
      </c>
      <c r="B47683">
        <f>TEXT(47682, "[$-0E0000]yyyy-mm-dd")</f>
        <v/>
      </c>
      <c r="C47683" t="inlineStr">
        <is>
          <t>2030-06-19</t>
        </is>
      </c>
    </row>
    <row r="47684">
      <c r="A47684" s="1" t="n">
        <v>47683</v>
      </c>
      <c r="B47684">
        <f>TEXT(47683, "[$-0E0000]yyyy-mm-dd")</f>
        <v/>
      </c>
      <c r="C47684" t="inlineStr">
        <is>
          <t>2030-06-20</t>
        </is>
      </c>
    </row>
    <row r="47685">
      <c r="A47685" s="1" t="n">
        <v>47684</v>
      </c>
      <c r="B47685">
        <f>TEXT(47684, "[$-0E0000]yyyy-mm-dd")</f>
        <v/>
      </c>
      <c r="C47685" t="inlineStr">
        <is>
          <t>2030-06-21</t>
        </is>
      </c>
    </row>
    <row r="47686">
      <c r="A47686" s="1" t="n">
        <v>47685</v>
      </c>
      <c r="B47686">
        <f>TEXT(47685, "[$-0E0000]yyyy-mm-dd")</f>
        <v/>
      </c>
      <c r="C47686" t="inlineStr">
        <is>
          <t>2030-06-22</t>
        </is>
      </c>
    </row>
    <row r="47687">
      <c r="A47687" s="1" t="n">
        <v>47686</v>
      </c>
      <c r="B47687">
        <f>TEXT(47686, "[$-0E0000]yyyy-mm-dd")</f>
        <v/>
      </c>
      <c r="C47687" t="inlineStr">
        <is>
          <t>2030-06-23</t>
        </is>
      </c>
    </row>
    <row r="47688">
      <c r="A47688" s="1" t="n">
        <v>47687</v>
      </c>
      <c r="B47688">
        <f>TEXT(47687, "[$-0E0000]yyyy-mm-dd")</f>
        <v/>
      </c>
      <c r="C47688" t="inlineStr">
        <is>
          <t>2030-06-24</t>
        </is>
      </c>
    </row>
    <row r="47689">
      <c r="A47689" s="1" t="n">
        <v>47688</v>
      </c>
      <c r="B47689">
        <f>TEXT(47688, "[$-0E0000]yyyy-mm-dd")</f>
        <v/>
      </c>
      <c r="C47689" t="inlineStr">
        <is>
          <t>2030-06-25</t>
        </is>
      </c>
    </row>
    <row r="47690">
      <c r="A47690" s="1" t="n">
        <v>47689</v>
      </c>
      <c r="B47690">
        <f>TEXT(47689, "[$-0E0000]yyyy-mm-dd")</f>
        <v/>
      </c>
      <c r="C47690" t="inlineStr">
        <is>
          <t>2030-06-26</t>
        </is>
      </c>
    </row>
    <row r="47691">
      <c r="A47691" s="1" t="n">
        <v>47690</v>
      </c>
      <c r="B47691">
        <f>TEXT(47690, "[$-0E0000]yyyy-mm-dd")</f>
        <v/>
      </c>
      <c r="C47691" t="inlineStr">
        <is>
          <t>2030-06-27</t>
        </is>
      </c>
    </row>
    <row r="47692">
      <c r="A47692" s="1" t="n">
        <v>47691</v>
      </c>
      <c r="B47692">
        <f>TEXT(47691, "[$-0E0000]yyyy-mm-dd")</f>
        <v/>
      </c>
      <c r="C47692" t="inlineStr">
        <is>
          <t>2030-06-28</t>
        </is>
      </c>
    </row>
    <row r="47693">
      <c r="A47693" s="1" t="n">
        <v>47692</v>
      </c>
      <c r="B47693">
        <f>TEXT(47692, "[$-0E0000]yyyy-mm-dd")</f>
        <v/>
      </c>
      <c r="C47693" t="inlineStr">
        <is>
          <t>2030-06-29</t>
        </is>
      </c>
    </row>
    <row r="47694">
      <c r="A47694" s="1" t="n">
        <v>47693</v>
      </c>
      <c r="B47694">
        <f>TEXT(47693, "[$-0E0000]yyyy-mm-dd")</f>
        <v/>
      </c>
      <c r="C47694" t="inlineStr">
        <is>
          <t>2030-07-01</t>
        </is>
      </c>
    </row>
    <row r="47695">
      <c r="A47695" s="1" t="n">
        <v>47694</v>
      </c>
      <c r="B47695">
        <f>TEXT(47694, "[$-0E0000]yyyy-mm-dd")</f>
        <v/>
      </c>
      <c r="C47695" t="inlineStr">
        <is>
          <t>2030-07-02</t>
        </is>
      </c>
    </row>
    <row r="47696">
      <c r="A47696" s="1" t="n">
        <v>47695</v>
      </c>
      <c r="B47696">
        <f>TEXT(47695, "[$-0E0000]yyyy-mm-dd")</f>
        <v/>
      </c>
      <c r="C47696" t="inlineStr">
        <is>
          <t>2030-07-03</t>
        </is>
      </c>
    </row>
    <row r="47697">
      <c r="A47697" s="1" t="n">
        <v>47696</v>
      </c>
      <c r="B47697">
        <f>TEXT(47696, "[$-0E0000]yyyy-mm-dd")</f>
        <v/>
      </c>
      <c r="C47697" t="inlineStr">
        <is>
          <t>2030-07-04</t>
        </is>
      </c>
    </row>
    <row r="47698">
      <c r="A47698" s="1" t="n">
        <v>47697</v>
      </c>
      <c r="B47698">
        <f>TEXT(47697, "[$-0E0000]yyyy-mm-dd")</f>
        <v/>
      </c>
      <c r="C47698" t="inlineStr">
        <is>
          <t>2030-07-05</t>
        </is>
      </c>
    </row>
    <row r="47699">
      <c r="A47699" s="1" t="n">
        <v>47698</v>
      </c>
      <c r="B47699">
        <f>TEXT(47698, "[$-0E0000]yyyy-mm-dd")</f>
        <v/>
      </c>
      <c r="C47699" t="inlineStr">
        <is>
          <t>2030-07-06</t>
        </is>
      </c>
    </row>
    <row r="47700">
      <c r="A47700" s="1" t="n">
        <v>47699</v>
      </c>
      <c r="B47700">
        <f>TEXT(47699, "[$-0E0000]yyyy-mm-dd")</f>
        <v/>
      </c>
      <c r="C47700" t="inlineStr">
        <is>
          <t>2030-07-07</t>
        </is>
      </c>
    </row>
    <row r="47701">
      <c r="A47701" s="1" t="n">
        <v>47700</v>
      </c>
      <c r="B47701">
        <f>TEXT(47700, "[$-0E0000]yyyy-mm-dd")</f>
        <v/>
      </c>
      <c r="C47701" t="inlineStr">
        <is>
          <t>2030-07-08</t>
        </is>
      </c>
    </row>
    <row r="47702">
      <c r="A47702" s="1" t="n">
        <v>47701</v>
      </c>
      <c r="B47702">
        <f>TEXT(47701, "[$-0E0000]yyyy-mm-dd")</f>
        <v/>
      </c>
      <c r="C47702" t="inlineStr">
        <is>
          <t>2030-07-09</t>
        </is>
      </c>
    </row>
    <row r="47703">
      <c r="A47703" s="1" t="n">
        <v>47702</v>
      </c>
      <c r="B47703">
        <f>TEXT(47702, "[$-0E0000]yyyy-mm-dd")</f>
        <v/>
      </c>
      <c r="C47703" t="inlineStr">
        <is>
          <t>2030-07-10</t>
        </is>
      </c>
    </row>
    <row r="47704">
      <c r="A47704" s="1" t="n">
        <v>47703</v>
      </c>
      <c r="B47704">
        <f>TEXT(47703, "[$-0E0000]yyyy-mm-dd")</f>
        <v/>
      </c>
      <c r="C47704" t="inlineStr">
        <is>
          <t>2030-07-11</t>
        </is>
      </c>
    </row>
    <row r="47705">
      <c r="A47705" s="1" t="n">
        <v>47704</v>
      </c>
      <c r="B47705">
        <f>TEXT(47704, "[$-0E0000]yyyy-mm-dd")</f>
        <v/>
      </c>
      <c r="C47705" t="inlineStr">
        <is>
          <t>2030-07-12</t>
        </is>
      </c>
    </row>
    <row r="47706">
      <c r="A47706" s="1" t="n">
        <v>47705</v>
      </c>
      <c r="B47706">
        <f>TEXT(47705, "[$-0E0000]yyyy-mm-dd")</f>
        <v/>
      </c>
      <c r="C47706" t="inlineStr">
        <is>
          <t>2030-07-13</t>
        </is>
      </c>
    </row>
    <row r="47707">
      <c r="A47707" s="1" t="n">
        <v>47706</v>
      </c>
      <c r="B47707">
        <f>TEXT(47706, "[$-0E0000]yyyy-mm-dd")</f>
        <v/>
      </c>
      <c r="C47707" t="inlineStr">
        <is>
          <t>2030-07-14</t>
        </is>
      </c>
    </row>
    <row r="47708">
      <c r="A47708" s="1" t="n">
        <v>47707</v>
      </c>
      <c r="B47708">
        <f>TEXT(47707, "[$-0E0000]yyyy-mm-dd")</f>
        <v/>
      </c>
      <c r="C47708" t="inlineStr">
        <is>
          <t>2030-07-15</t>
        </is>
      </c>
    </row>
    <row r="47709">
      <c r="A47709" s="1" t="n">
        <v>47708</v>
      </c>
      <c r="B47709">
        <f>TEXT(47708, "[$-0E0000]yyyy-mm-dd")</f>
        <v/>
      </c>
      <c r="C47709" t="inlineStr">
        <is>
          <t>2030-07-16</t>
        </is>
      </c>
    </row>
    <row r="47710">
      <c r="A47710" s="1" t="n">
        <v>47709</v>
      </c>
      <c r="B47710">
        <f>TEXT(47709, "[$-0E0000]yyyy-mm-dd")</f>
        <v/>
      </c>
      <c r="C47710" t="inlineStr">
        <is>
          <t>2030-07-17</t>
        </is>
      </c>
    </row>
    <row r="47711">
      <c r="A47711" s="1" t="n">
        <v>47710</v>
      </c>
      <c r="B47711">
        <f>TEXT(47710, "[$-0E0000]yyyy-mm-dd")</f>
        <v/>
      </c>
      <c r="C47711" t="inlineStr">
        <is>
          <t>2030-07-18</t>
        </is>
      </c>
    </row>
    <row r="47712">
      <c r="A47712" s="1" t="n">
        <v>47711</v>
      </c>
      <c r="B47712">
        <f>TEXT(47711, "[$-0E0000]yyyy-mm-dd")</f>
        <v/>
      </c>
      <c r="C47712" t="inlineStr">
        <is>
          <t>2030-07-19</t>
        </is>
      </c>
    </row>
    <row r="47713">
      <c r="A47713" s="1" t="n">
        <v>47712</v>
      </c>
      <c r="B47713">
        <f>TEXT(47712, "[$-0E0000]yyyy-mm-dd")</f>
        <v/>
      </c>
      <c r="C47713" t="inlineStr">
        <is>
          <t>2030-07-20</t>
        </is>
      </c>
    </row>
    <row r="47714">
      <c r="A47714" s="1" t="n">
        <v>47713</v>
      </c>
      <c r="B47714">
        <f>TEXT(47713, "[$-0E0000]yyyy-mm-dd")</f>
        <v/>
      </c>
      <c r="C47714" t="inlineStr">
        <is>
          <t>2030-07-21</t>
        </is>
      </c>
    </row>
    <row r="47715">
      <c r="A47715" s="1" t="n">
        <v>47714</v>
      </c>
      <c r="B47715">
        <f>TEXT(47714, "[$-0E0000]yyyy-mm-dd")</f>
        <v/>
      </c>
      <c r="C47715" t="inlineStr">
        <is>
          <t>2030-07-22</t>
        </is>
      </c>
    </row>
    <row r="47716">
      <c r="A47716" s="1" t="n">
        <v>47715</v>
      </c>
      <c r="B47716">
        <f>TEXT(47715, "[$-0E0000]yyyy-mm-dd")</f>
        <v/>
      </c>
      <c r="C47716" t="inlineStr">
        <is>
          <t>2030-07-23</t>
        </is>
      </c>
    </row>
    <row r="47717">
      <c r="A47717" s="1" t="n">
        <v>47716</v>
      </c>
      <c r="B47717">
        <f>TEXT(47716, "[$-0E0000]yyyy-mm-dd")</f>
        <v/>
      </c>
      <c r="C47717" t="inlineStr">
        <is>
          <t>2030-07-24</t>
        </is>
      </c>
    </row>
    <row r="47718">
      <c r="A47718" s="1" t="n">
        <v>47717</v>
      </c>
      <c r="B47718">
        <f>TEXT(47717, "[$-0E0000]yyyy-mm-dd")</f>
        <v/>
      </c>
      <c r="C47718" t="inlineStr">
        <is>
          <t>2030-07-25</t>
        </is>
      </c>
    </row>
    <row r="47719">
      <c r="A47719" s="1" t="n">
        <v>47718</v>
      </c>
      <c r="B47719">
        <f>TEXT(47718, "[$-0E0000]yyyy-mm-dd")</f>
        <v/>
      </c>
      <c r="C47719" t="inlineStr">
        <is>
          <t>2030-07-26</t>
        </is>
      </c>
    </row>
    <row r="47720">
      <c r="A47720" s="1" t="n">
        <v>47719</v>
      </c>
      <c r="B47720">
        <f>TEXT(47719, "[$-0E0000]yyyy-mm-dd")</f>
        <v/>
      </c>
      <c r="C47720" t="inlineStr">
        <is>
          <t>2030-07-27</t>
        </is>
      </c>
    </row>
    <row r="47721">
      <c r="A47721" s="1" t="n">
        <v>47720</v>
      </c>
      <c r="B47721">
        <f>TEXT(47720, "[$-0E0000]yyyy-mm-dd")</f>
        <v/>
      </c>
      <c r="C47721" t="inlineStr">
        <is>
          <t>2030-07-28</t>
        </is>
      </c>
    </row>
    <row r="47722">
      <c r="A47722" s="1" t="n">
        <v>47721</v>
      </c>
      <c r="B47722">
        <f>TEXT(47721, "[$-0E0000]yyyy-mm-dd")</f>
        <v/>
      </c>
      <c r="C47722" t="inlineStr">
        <is>
          <t>2030-07-29</t>
        </is>
      </c>
    </row>
    <row r="47723">
      <c r="A47723" s="1" t="n">
        <v>47722</v>
      </c>
      <c r="B47723">
        <f>TEXT(47722, "[$-0E0000]yyyy-mm-dd")</f>
        <v/>
      </c>
      <c r="C47723" t="inlineStr">
        <is>
          <t>2030-07-30</t>
        </is>
      </c>
    </row>
    <row r="47724">
      <c r="A47724" s="1" t="n">
        <v>47723</v>
      </c>
      <c r="B47724">
        <f>TEXT(47723, "[$-0E0000]yyyy-mm-dd")</f>
        <v/>
      </c>
      <c r="C47724" t="inlineStr">
        <is>
          <t>2030-08-01</t>
        </is>
      </c>
    </row>
    <row r="47725">
      <c r="A47725" s="1" t="n">
        <v>47724</v>
      </c>
      <c r="B47725">
        <f>TEXT(47724, "[$-0E0000]yyyy-mm-dd")</f>
        <v/>
      </c>
      <c r="C47725" t="inlineStr">
        <is>
          <t>2030-08-02</t>
        </is>
      </c>
    </row>
    <row r="47726">
      <c r="A47726" s="1" t="n">
        <v>47725</v>
      </c>
      <c r="B47726">
        <f>TEXT(47725, "[$-0E0000]yyyy-mm-dd")</f>
        <v/>
      </c>
      <c r="C47726" t="inlineStr">
        <is>
          <t>2030-08-03</t>
        </is>
      </c>
    </row>
    <row r="47727">
      <c r="A47727" s="1" t="n">
        <v>47726</v>
      </c>
      <c r="B47727">
        <f>TEXT(47726, "[$-0E0000]yyyy-mm-dd")</f>
        <v/>
      </c>
      <c r="C47727" t="inlineStr">
        <is>
          <t>2030-08-04</t>
        </is>
      </c>
    </row>
    <row r="47728">
      <c r="A47728" s="1" t="n">
        <v>47727</v>
      </c>
      <c r="B47728">
        <f>TEXT(47727, "[$-0E0000]yyyy-mm-dd")</f>
        <v/>
      </c>
      <c r="C47728" t="inlineStr">
        <is>
          <t>2030-08-05</t>
        </is>
      </c>
    </row>
    <row r="47729">
      <c r="A47729" s="1" t="n">
        <v>47728</v>
      </c>
      <c r="B47729">
        <f>TEXT(47728, "[$-0E0000]yyyy-mm-dd")</f>
        <v/>
      </c>
      <c r="C47729" t="inlineStr">
        <is>
          <t>2030-08-06</t>
        </is>
      </c>
    </row>
    <row r="47730">
      <c r="A47730" s="1" t="n">
        <v>47729</v>
      </c>
      <c r="B47730">
        <f>TEXT(47729, "[$-0E0000]yyyy-mm-dd")</f>
        <v/>
      </c>
      <c r="C47730" t="inlineStr">
        <is>
          <t>2030-08-07</t>
        </is>
      </c>
    </row>
    <row r="47731">
      <c r="A47731" s="1" t="n">
        <v>47730</v>
      </c>
      <c r="B47731">
        <f>TEXT(47730, "[$-0E0000]yyyy-mm-dd")</f>
        <v/>
      </c>
      <c r="C47731" t="inlineStr">
        <is>
          <t>2030-08-08</t>
        </is>
      </c>
    </row>
    <row r="47732">
      <c r="A47732" s="1" t="n">
        <v>47731</v>
      </c>
      <c r="B47732">
        <f>TEXT(47731, "[$-0E0000]yyyy-mm-dd")</f>
        <v/>
      </c>
      <c r="C47732" t="inlineStr">
        <is>
          <t>2030-08-09</t>
        </is>
      </c>
    </row>
    <row r="47733">
      <c r="A47733" s="1" t="n">
        <v>47732</v>
      </c>
      <c r="B47733">
        <f>TEXT(47732, "[$-0E0000]yyyy-mm-dd")</f>
        <v/>
      </c>
      <c r="C47733" t="inlineStr">
        <is>
          <t>2030-08-10</t>
        </is>
      </c>
    </row>
    <row r="47734">
      <c r="A47734" s="1" t="n">
        <v>47733</v>
      </c>
      <c r="B47734">
        <f>TEXT(47733, "[$-0E0000]yyyy-mm-dd")</f>
        <v/>
      </c>
      <c r="C47734" t="inlineStr">
        <is>
          <t>2030-08-11</t>
        </is>
      </c>
    </row>
    <row r="47735">
      <c r="A47735" s="1" t="n">
        <v>47734</v>
      </c>
      <c r="B47735">
        <f>TEXT(47734, "[$-0E0000]yyyy-mm-dd")</f>
        <v/>
      </c>
      <c r="C47735" t="inlineStr">
        <is>
          <t>2030-08-12</t>
        </is>
      </c>
    </row>
    <row r="47736">
      <c r="A47736" s="1" t="n">
        <v>47735</v>
      </c>
      <c r="B47736">
        <f>TEXT(47735, "[$-0E0000]yyyy-mm-dd")</f>
        <v/>
      </c>
      <c r="C47736" t="inlineStr">
        <is>
          <t>2030-08-13</t>
        </is>
      </c>
    </row>
    <row r="47737">
      <c r="A47737" s="1" t="n">
        <v>47736</v>
      </c>
      <c r="B47737">
        <f>TEXT(47736, "[$-0E0000]yyyy-mm-dd")</f>
        <v/>
      </c>
      <c r="C47737" t="inlineStr">
        <is>
          <t>2030-08-14</t>
        </is>
      </c>
    </row>
    <row r="47738">
      <c r="A47738" s="1" t="n">
        <v>47737</v>
      </c>
      <c r="B47738">
        <f>TEXT(47737, "[$-0E0000]yyyy-mm-dd")</f>
        <v/>
      </c>
      <c r="C47738" t="inlineStr">
        <is>
          <t>2030-08-15</t>
        </is>
      </c>
    </row>
    <row r="47739">
      <c r="A47739" s="1" t="n">
        <v>47738</v>
      </c>
      <c r="B47739">
        <f>TEXT(47738, "[$-0E0000]yyyy-mm-dd")</f>
        <v/>
      </c>
      <c r="C47739" t="inlineStr">
        <is>
          <t>2030-08-16</t>
        </is>
      </c>
    </row>
    <row r="47740">
      <c r="A47740" s="1" t="n">
        <v>47739</v>
      </c>
      <c r="B47740">
        <f>TEXT(47739, "[$-0E0000]yyyy-mm-dd")</f>
        <v/>
      </c>
      <c r="C47740" t="inlineStr">
        <is>
          <t>2030-08-17</t>
        </is>
      </c>
    </row>
    <row r="47741">
      <c r="A47741" s="1" t="n">
        <v>47740</v>
      </c>
      <c r="B47741">
        <f>TEXT(47740, "[$-0E0000]yyyy-mm-dd")</f>
        <v/>
      </c>
      <c r="C47741" t="inlineStr">
        <is>
          <t>2030-08-18</t>
        </is>
      </c>
    </row>
    <row r="47742">
      <c r="A47742" s="1" t="n">
        <v>47741</v>
      </c>
      <c r="B47742">
        <f>TEXT(47741, "[$-0E0000]yyyy-mm-dd")</f>
        <v/>
      </c>
      <c r="C47742" t="inlineStr">
        <is>
          <t>2030-08-19</t>
        </is>
      </c>
    </row>
    <row r="47743">
      <c r="A47743" s="1" t="n">
        <v>47742</v>
      </c>
      <c r="B47743">
        <f>TEXT(47742, "[$-0E0000]yyyy-mm-dd")</f>
        <v/>
      </c>
      <c r="C47743" t="inlineStr">
        <is>
          <t>2030-08-20</t>
        </is>
      </c>
    </row>
    <row r="47744">
      <c r="A47744" s="1" t="n">
        <v>47743</v>
      </c>
      <c r="B47744">
        <f>TEXT(47743, "[$-0E0000]yyyy-mm-dd")</f>
        <v/>
      </c>
      <c r="C47744" t="inlineStr">
        <is>
          <t>2030-08-21</t>
        </is>
      </c>
    </row>
    <row r="47745">
      <c r="A47745" s="1" t="n">
        <v>47744</v>
      </c>
      <c r="B47745">
        <f>TEXT(47744, "[$-0E0000]yyyy-mm-dd")</f>
        <v/>
      </c>
      <c r="C47745" t="inlineStr">
        <is>
          <t>2030-08-22</t>
        </is>
      </c>
    </row>
    <row r="47746">
      <c r="A47746" s="1" t="n">
        <v>47745</v>
      </c>
      <c r="B47746">
        <f>TEXT(47745, "[$-0E0000]yyyy-mm-dd")</f>
        <v/>
      </c>
      <c r="C47746" t="inlineStr">
        <is>
          <t>2030-08-23</t>
        </is>
      </c>
    </row>
    <row r="47747">
      <c r="A47747" s="1" t="n">
        <v>47746</v>
      </c>
      <c r="B47747">
        <f>TEXT(47746, "[$-0E0000]yyyy-mm-dd")</f>
        <v/>
      </c>
      <c r="C47747" t="inlineStr">
        <is>
          <t>2030-08-24</t>
        </is>
      </c>
    </row>
    <row r="47748">
      <c r="A47748" s="1" t="n">
        <v>47747</v>
      </c>
      <c r="B47748">
        <f>TEXT(47747, "[$-0E0000]yyyy-mm-dd")</f>
        <v/>
      </c>
      <c r="C47748" t="inlineStr">
        <is>
          <t>2030-08-25</t>
        </is>
      </c>
    </row>
    <row r="47749">
      <c r="A47749" s="1" t="n">
        <v>47748</v>
      </c>
      <c r="B47749">
        <f>TEXT(47748, "[$-0E0000]yyyy-mm-dd")</f>
        <v/>
      </c>
      <c r="C47749" t="inlineStr">
        <is>
          <t>2030-08-26</t>
        </is>
      </c>
    </row>
    <row r="47750">
      <c r="A47750" s="1" t="n">
        <v>47749</v>
      </c>
      <c r="B47750">
        <f>TEXT(47749, "[$-0E0000]yyyy-mm-dd")</f>
        <v/>
      </c>
      <c r="C47750" t="inlineStr">
        <is>
          <t>2030-08-27</t>
        </is>
      </c>
    </row>
    <row r="47751">
      <c r="A47751" s="1" t="n">
        <v>47750</v>
      </c>
      <c r="B47751">
        <f>TEXT(47750, "[$-0E0000]yyyy-mm-dd")</f>
        <v/>
      </c>
      <c r="C47751" t="inlineStr">
        <is>
          <t>2030-08-28</t>
        </is>
      </c>
    </row>
    <row r="47752">
      <c r="A47752" s="1" t="n">
        <v>47751</v>
      </c>
      <c r="B47752">
        <f>TEXT(47751, "[$-0E0000]yyyy-mm-dd")</f>
        <v/>
      </c>
      <c r="C47752" t="inlineStr">
        <is>
          <t>2030-08-29</t>
        </is>
      </c>
    </row>
    <row r="47753">
      <c r="A47753" s="1" t="n">
        <v>47752</v>
      </c>
      <c r="B47753">
        <f>TEXT(47752, "[$-0E0000]yyyy-mm-dd")</f>
        <v/>
      </c>
      <c r="C47753" t="inlineStr">
        <is>
          <t>2030-09-01</t>
        </is>
      </c>
    </row>
    <row r="47754">
      <c r="A47754" s="1" t="n">
        <v>47753</v>
      </c>
      <c r="B47754">
        <f>TEXT(47753, "[$-0E0000]yyyy-mm-dd")</f>
        <v/>
      </c>
      <c r="C47754" t="inlineStr">
        <is>
          <t>2030-09-02</t>
        </is>
      </c>
    </row>
    <row r="47755">
      <c r="A47755" s="1" t="n">
        <v>47754</v>
      </c>
      <c r="B47755">
        <f>TEXT(47754, "[$-0E0000]yyyy-mm-dd")</f>
        <v/>
      </c>
      <c r="C47755" t="inlineStr">
        <is>
          <t>2030-09-03</t>
        </is>
      </c>
    </row>
    <row r="47756">
      <c r="A47756" s="1" t="n">
        <v>47755</v>
      </c>
      <c r="B47756">
        <f>TEXT(47755, "[$-0E0000]yyyy-mm-dd")</f>
        <v/>
      </c>
      <c r="C47756" t="inlineStr">
        <is>
          <t>2030-09-04</t>
        </is>
      </c>
    </row>
    <row r="47757">
      <c r="A47757" s="1" t="n">
        <v>47756</v>
      </c>
      <c r="B47757">
        <f>TEXT(47756, "[$-0E0000]yyyy-mm-dd")</f>
        <v/>
      </c>
      <c r="C47757" t="inlineStr">
        <is>
          <t>2030-09-05</t>
        </is>
      </c>
    </row>
    <row r="47758">
      <c r="A47758" s="1" t="n">
        <v>47757</v>
      </c>
      <c r="B47758">
        <f>TEXT(47757, "[$-0E0000]yyyy-mm-dd")</f>
        <v/>
      </c>
      <c r="C47758" t="inlineStr">
        <is>
          <t>2030-09-06</t>
        </is>
      </c>
    </row>
    <row r="47759">
      <c r="A47759" s="1" t="n">
        <v>47758</v>
      </c>
      <c r="B47759">
        <f>TEXT(47758, "[$-0E0000]yyyy-mm-dd")</f>
        <v/>
      </c>
      <c r="C47759" t="inlineStr">
        <is>
          <t>2030-09-07</t>
        </is>
      </c>
    </row>
    <row r="47760">
      <c r="A47760" s="1" t="n">
        <v>47759</v>
      </c>
      <c r="B47760">
        <f>TEXT(47759, "[$-0E0000]yyyy-mm-dd")</f>
        <v/>
      </c>
      <c r="C47760" t="inlineStr">
        <is>
          <t>2030-09-08</t>
        </is>
      </c>
    </row>
    <row r="47761">
      <c r="A47761" s="1" t="n">
        <v>47760</v>
      </c>
      <c r="B47761">
        <f>TEXT(47760, "[$-0E0000]yyyy-mm-dd")</f>
        <v/>
      </c>
      <c r="C47761" t="inlineStr">
        <is>
          <t>2030-09-09</t>
        </is>
      </c>
    </row>
    <row r="47762">
      <c r="A47762" s="1" t="n">
        <v>47761</v>
      </c>
      <c r="B47762">
        <f>TEXT(47761, "[$-0E0000]yyyy-mm-dd")</f>
        <v/>
      </c>
      <c r="C47762" t="inlineStr">
        <is>
          <t>2030-09-10</t>
        </is>
      </c>
    </row>
    <row r="47763">
      <c r="A47763" s="1" t="n">
        <v>47762</v>
      </c>
      <c r="B47763">
        <f>TEXT(47762, "[$-0E0000]yyyy-mm-dd")</f>
        <v/>
      </c>
      <c r="C47763" t="inlineStr">
        <is>
          <t>2030-09-11</t>
        </is>
      </c>
    </row>
    <row r="47764">
      <c r="A47764" s="1" t="n">
        <v>47763</v>
      </c>
      <c r="B47764">
        <f>TEXT(47763, "[$-0E0000]yyyy-mm-dd")</f>
        <v/>
      </c>
      <c r="C47764" t="inlineStr">
        <is>
          <t>2030-09-12</t>
        </is>
      </c>
    </row>
    <row r="47765">
      <c r="A47765" s="1" t="n">
        <v>47764</v>
      </c>
      <c r="B47765">
        <f>TEXT(47764, "[$-0E0000]yyyy-mm-dd")</f>
        <v/>
      </c>
      <c r="C47765" t="inlineStr">
        <is>
          <t>2030-09-13</t>
        </is>
      </c>
    </row>
    <row r="47766">
      <c r="A47766" s="1" t="n">
        <v>47765</v>
      </c>
      <c r="B47766">
        <f>TEXT(47765, "[$-0E0000]yyyy-mm-dd")</f>
        <v/>
      </c>
      <c r="C47766" t="inlineStr">
        <is>
          <t>2030-09-14</t>
        </is>
      </c>
    </row>
    <row r="47767">
      <c r="A47767" s="1" t="n">
        <v>47766</v>
      </c>
      <c r="B47767">
        <f>TEXT(47766, "[$-0E0000]yyyy-mm-dd")</f>
        <v/>
      </c>
      <c r="C47767" t="inlineStr">
        <is>
          <t>2030-09-15</t>
        </is>
      </c>
    </row>
    <row r="47768">
      <c r="A47768" s="1" t="n">
        <v>47767</v>
      </c>
      <c r="B47768">
        <f>TEXT(47767, "[$-0E0000]yyyy-mm-dd")</f>
        <v/>
      </c>
      <c r="C47768" t="inlineStr">
        <is>
          <t>2030-09-16</t>
        </is>
      </c>
    </row>
    <row r="47769">
      <c r="A47769" s="1" t="n">
        <v>47768</v>
      </c>
      <c r="B47769">
        <f>TEXT(47768, "[$-0E0000]yyyy-mm-dd")</f>
        <v/>
      </c>
      <c r="C47769" t="inlineStr">
        <is>
          <t>2030-09-17</t>
        </is>
      </c>
    </row>
    <row r="47770">
      <c r="A47770" s="1" t="n">
        <v>47769</v>
      </c>
      <c r="B47770">
        <f>TEXT(47769, "[$-0E0000]yyyy-mm-dd")</f>
        <v/>
      </c>
      <c r="C47770" t="inlineStr">
        <is>
          <t>2030-09-18</t>
        </is>
      </c>
    </row>
    <row r="47771">
      <c r="A47771" s="1" t="n">
        <v>47770</v>
      </c>
      <c r="B47771">
        <f>TEXT(47770, "[$-0E0000]yyyy-mm-dd")</f>
        <v/>
      </c>
      <c r="C47771" t="inlineStr">
        <is>
          <t>2030-09-19</t>
        </is>
      </c>
    </row>
    <row r="47772">
      <c r="A47772" s="1" t="n">
        <v>47771</v>
      </c>
      <c r="B47772">
        <f>TEXT(47771, "[$-0E0000]yyyy-mm-dd")</f>
        <v/>
      </c>
      <c r="C47772" t="inlineStr">
        <is>
          <t>2030-09-20</t>
        </is>
      </c>
    </row>
    <row r="47773">
      <c r="A47773" s="1" t="n">
        <v>47772</v>
      </c>
      <c r="B47773">
        <f>TEXT(47772, "[$-0E0000]yyyy-mm-dd")</f>
        <v/>
      </c>
      <c r="C47773" t="inlineStr">
        <is>
          <t>2030-09-21</t>
        </is>
      </c>
    </row>
    <row r="47774">
      <c r="A47774" s="1" t="n">
        <v>47773</v>
      </c>
      <c r="B47774">
        <f>TEXT(47773, "[$-0E0000]yyyy-mm-dd")</f>
        <v/>
      </c>
      <c r="C47774" t="inlineStr">
        <is>
          <t>2030-09-22</t>
        </is>
      </c>
    </row>
    <row r="47775">
      <c r="A47775" s="1" t="n">
        <v>47774</v>
      </c>
      <c r="B47775">
        <f>TEXT(47774, "[$-0E0000]yyyy-mm-dd")</f>
        <v/>
      </c>
      <c r="C47775" t="inlineStr">
        <is>
          <t>2030-09-23</t>
        </is>
      </c>
    </row>
    <row r="47776">
      <c r="A47776" s="1" t="n">
        <v>47775</v>
      </c>
      <c r="B47776">
        <f>TEXT(47775, "[$-0E0000]yyyy-mm-dd")</f>
        <v/>
      </c>
      <c r="C47776" t="inlineStr">
        <is>
          <t>2030-09-24</t>
        </is>
      </c>
    </row>
    <row r="47777">
      <c r="A47777" s="1" t="n">
        <v>47776</v>
      </c>
      <c r="B47777">
        <f>TEXT(47776, "[$-0E0000]yyyy-mm-dd")</f>
        <v/>
      </c>
      <c r="C47777" t="inlineStr">
        <is>
          <t>2030-09-25</t>
        </is>
      </c>
    </row>
    <row r="47778">
      <c r="A47778" s="1" t="n">
        <v>47777</v>
      </c>
      <c r="B47778">
        <f>TEXT(47777, "[$-0E0000]yyyy-mm-dd")</f>
        <v/>
      </c>
      <c r="C47778" t="inlineStr">
        <is>
          <t>2030-09-26</t>
        </is>
      </c>
    </row>
    <row r="47779">
      <c r="A47779" s="1" t="n">
        <v>47778</v>
      </c>
      <c r="B47779">
        <f>TEXT(47778, "[$-0E0000]yyyy-mm-dd")</f>
        <v/>
      </c>
      <c r="C47779" t="inlineStr">
        <is>
          <t>2030-09-27</t>
        </is>
      </c>
    </row>
    <row r="47780">
      <c r="A47780" s="1" t="n">
        <v>47779</v>
      </c>
      <c r="B47780">
        <f>TEXT(47779, "[$-0E0000]yyyy-mm-dd")</f>
        <v/>
      </c>
      <c r="C47780" t="inlineStr">
        <is>
          <t>2030-09-28</t>
        </is>
      </c>
    </row>
    <row r="47781">
      <c r="A47781" s="1" t="n">
        <v>47780</v>
      </c>
      <c r="B47781">
        <f>TEXT(47780, "[$-0E0000]yyyy-mm-dd")</f>
        <v/>
      </c>
      <c r="C47781" t="inlineStr">
        <is>
          <t>2030-09-29</t>
        </is>
      </c>
    </row>
    <row r="47782">
      <c r="A47782" s="1" t="n">
        <v>47781</v>
      </c>
      <c r="B47782">
        <f>TEXT(47781, "[$-0E0000]yyyy-mm-dd")</f>
        <v/>
      </c>
      <c r="C47782" t="inlineStr">
        <is>
          <t>2030-09-30</t>
        </is>
      </c>
    </row>
    <row r="47783">
      <c r="A47783" s="1" t="n">
        <v>47782</v>
      </c>
      <c r="B47783">
        <f>TEXT(47782, "[$-0E0000]yyyy-mm-dd")</f>
        <v/>
      </c>
      <c r="C47783" t="inlineStr">
        <is>
          <t>2030-10-01</t>
        </is>
      </c>
    </row>
    <row r="47784">
      <c r="A47784" s="1" t="n">
        <v>47783</v>
      </c>
      <c r="B47784">
        <f>TEXT(47783, "[$-0E0000]yyyy-mm-dd")</f>
        <v/>
      </c>
      <c r="C47784" t="inlineStr">
        <is>
          <t>2030-10-02</t>
        </is>
      </c>
    </row>
    <row r="47785">
      <c r="A47785" s="1" t="n">
        <v>47784</v>
      </c>
      <c r="B47785">
        <f>TEXT(47784, "[$-0E0000]yyyy-mm-dd")</f>
        <v/>
      </c>
      <c r="C47785" t="inlineStr">
        <is>
          <t>2030-10-03</t>
        </is>
      </c>
    </row>
    <row r="47786">
      <c r="A47786" s="1" t="n">
        <v>47785</v>
      </c>
      <c r="B47786">
        <f>TEXT(47785, "[$-0E0000]yyyy-mm-dd")</f>
        <v/>
      </c>
      <c r="C47786" t="inlineStr">
        <is>
          <t>2030-10-04</t>
        </is>
      </c>
    </row>
    <row r="47787">
      <c r="A47787" s="1" t="n">
        <v>47786</v>
      </c>
      <c r="B47787">
        <f>TEXT(47786, "[$-0E0000]yyyy-mm-dd")</f>
        <v/>
      </c>
      <c r="C47787" t="inlineStr">
        <is>
          <t>2030-10-05</t>
        </is>
      </c>
    </row>
    <row r="47788">
      <c r="A47788" s="1" t="n">
        <v>47787</v>
      </c>
      <c r="B47788">
        <f>TEXT(47787, "[$-0E0000]yyyy-mm-dd")</f>
        <v/>
      </c>
      <c r="C47788" t="inlineStr">
        <is>
          <t>2030-10-06</t>
        </is>
      </c>
    </row>
    <row r="47789">
      <c r="A47789" s="1" t="n">
        <v>47788</v>
      </c>
      <c r="B47789">
        <f>TEXT(47788, "[$-0E0000]yyyy-mm-dd")</f>
        <v/>
      </c>
      <c r="C47789" t="inlineStr">
        <is>
          <t>2030-10-07</t>
        </is>
      </c>
    </row>
    <row r="47790">
      <c r="A47790" s="1" t="n">
        <v>47789</v>
      </c>
      <c r="B47790">
        <f>TEXT(47789, "[$-0E0000]yyyy-mm-dd")</f>
        <v/>
      </c>
      <c r="C47790" t="inlineStr">
        <is>
          <t>2030-10-08</t>
        </is>
      </c>
    </row>
    <row r="47791">
      <c r="A47791" s="1" t="n">
        <v>47790</v>
      </c>
      <c r="B47791">
        <f>TEXT(47790, "[$-0E0000]yyyy-mm-dd")</f>
        <v/>
      </c>
      <c r="C47791" t="inlineStr">
        <is>
          <t>2030-10-09</t>
        </is>
      </c>
    </row>
    <row r="47792">
      <c r="A47792" s="1" t="n">
        <v>47791</v>
      </c>
      <c r="B47792">
        <f>TEXT(47791, "[$-0E0000]yyyy-mm-dd")</f>
        <v/>
      </c>
      <c r="C47792" t="inlineStr">
        <is>
          <t>2030-10-10</t>
        </is>
      </c>
    </row>
    <row r="47793">
      <c r="A47793" s="1" t="n">
        <v>47792</v>
      </c>
      <c r="B47793">
        <f>TEXT(47792, "[$-0E0000]yyyy-mm-dd")</f>
        <v/>
      </c>
      <c r="C47793" t="inlineStr">
        <is>
          <t>2030-10-11</t>
        </is>
      </c>
    </row>
    <row r="47794">
      <c r="A47794" s="1" t="n">
        <v>47793</v>
      </c>
      <c r="B47794">
        <f>TEXT(47793, "[$-0E0000]yyyy-mm-dd")</f>
        <v/>
      </c>
      <c r="C47794" t="inlineStr">
        <is>
          <t>2030-10-12</t>
        </is>
      </c>
    </row>
    <row r="47795">
      <c r="A47795" s="1" t="n">
        <v>47794</v>
      </c>
      <c r="B47795">
        <f>TEXT(47794, "[$-0E0000]yyyy-mm-dd")</f>
        <v/>
      </c>
      <c r="C47795" t="inlineStr">
        <is>
          <t>2030-10-13</t>
        </is>
      </c>
    </row>
    <row r="47796">
      <c r="A47796" s="1" t="n">
        <v>47795</v>
      </c>
      <c r="B47796">
        <f>TEXT(47795, "[$-0E0000]yyyy-mm-dd")</f>
        <v/>
      </c>
      <c r="C47796" t="inlineStr">
        <is>
          <t>2030-10-14</t>
        </is>
      </c>
    </row>
    <row r="47797">
      <c r="A47797" s="1" t="n">
        <v>47796</v>
      </c>
      <c r="B47797">
        <f>TEXT(47796, "[$-0E0000]yyyy-mm-dd")</f>
        <v/>
      </c>
      <c r="C47797" t="inlineStr">
        <is>
          <t>2030-10-15</t>
        </is>
      </c>
    </row>
    <row r="47798">
      <c r="A47798" s="1" t="n">
        <v>47797</v>
      </c>
      <c r="B47798">
        <f>TEXT(47797, "[$-0E0000]yyyy-mm-dd")</f>
        <v/>
      </c>
      <c r="C47798" t="inlineStr">
        <is>
          <t>2030-10-16</t>
        </is>
      </c>
    </row>
    <row r="47799">
      <c r="A47799" s="1" t="n">
        <v>47798</v>
      </c>
      <c r="B47799">
        <f>TEXT(47798, "[$-0E0000]yyyy-mm-dd")</f>
        <v/>
      </c>
      <c r="C47799" t="inlineStr">
        <is>
          <t>2030-10-17</t>
        </is>
      </c>
    </row>
    <row r="47800">
      <c r="A47800" s="1" t="n">
        <v>47799</v>
      </c>
      <c r="B47800">
        <f>TEXT(47799, "[$-0E0000]yyyy-mm-dd")</f>
        <v/>
      </c>
      <c r="C47800" t="inlineStr">
        <is>
          <t>2030-10-18</t>
        </is>
      </c>
    </row>
    <row r="47801">
      <c r="A47801" s="1" t="n">
        <v>47800</v>
      </c>
      <c r="B47801">
        <f>TEXT(47800, "[$-0E0000]yyyy-mm-dd")</f>
        <v/>
      </c>
      <c r="C47801" t="inlineStr">
        <is>
          <t>2030-10-19</t>
        </is>
      </c>
    </row>
    <row r="47802">
      <c r="A47802" s="1" t="n">
        <v>47801</v>
      </c>
      <c r="B47802">
        <f>TEXT(47801, "[$-0E0000]yyyy-mm-dd")</f>
        <v/>
      </c>
      <c r="C47802" t="inlineStr">
        <is>
          <t>2030-10-20</t>
        </is>
      </c>
    </row>
    <row r="47803">
      <c r="A47803" s="1" t="n">
        <v>47802</v>
      </c>
      <c r="B47803">
        <f>TEXT(47802, "[$-0E0000]yyyy-mm-dd")</f>
        <v/>
      </c>
      <c r="C47803" t="inlineStr">
        <is>
          <t>2030-10-21</t>
        </is>
      </c>
    </row>
    <row r="47804">
      <c r="A47804" s="1" t="n">
        <v>47803</v>
      </c>
      <c r="B47804">
        <f>TEXT(47803, "[$-0E0000]yyyy-mm-dd")</f>
        <v/>
      </c>
      <c r="C47804" t="inlineStr">
        <is>
          <t>2030-10-22</t>
        </is>
      </c>
    </row>
    <row r="47805">
      <c r="A47805" s="1" t="n">
        <v>47804</v>
      </c>
      <c r="B47805">
        <f>TEXT(47804, "[$-0E0000]yyyy-mm-dd")</f>
        <v/>
      </c>
      <c r="C47805" t="inlineStr">
        <is>
          <t>2030-10-23</t>
        </is>
      </c>
    </row>
    <row r="47806">
      <c r="A47806" s="1" t="n">
        <v>47805</v>
      </c>
      <c r="B47806">
        <f>TEXT(47805, "[$-0E0000]yyyy-mm-dd")</f>
        <v/>
      </c>
      <c r="C47806" t="inlineStr">
        <is>
          <t>2030-10-24</t>
        </is>
      </c>
    </row>
    <row r="47807">
      <c r="A47807" s="1" t="n">
        <v>47806</v>
      </c>
      <c r="B47807">
        <f>TEXT(47806, "[$-0E0000]yyyy-mm-dd")</f>
        <v/>
      </c>
      <c r="C47807" t="inlineStr">
        <is>
          <t>2030-10-25</t>
        </is>
      </c>
    </row>
    <row r="47808">
      <c r="A47808" s="1" t="n">
        <v>47807</v>
      </c>
      <c r="B47808">
        <f>TEXT(47807, "[$-0E0000]yyyy-mm-dd")</f>
        <v/>
      </c>
      <c r="C47808" t="inlineStr">
        <is>
          <t>2030-10-26</t>
        </is>
      </c>
    </row>
    <row r="47809">
      <c r="A47809" s="1" t="n">
        <v>47808</v>
      </c>
      <c r="B47809">
        <f>TEXT(47808, "[$-0E0000]yyyy-mm-dd")</f>
        <v/>
      </c>
      <c r="C47809" t="inlineStr">
        <is>
          <t>2030-10-27</t>
        </is>
      </c>
    </row>
    <row r="47810">
      <c r="A47810" s="1" t="n">
        <v>47809</v>
      </c>
      <c r="B47810">
        <f>TEXT(47809, "[$-0E0000]yyyy-mm-dd")</f>
        <v/>
      </c>
      <c r="C47810" t="inlineStr">
        <is>
          <t>2030-10-28</t>
        </is>
      </c>
    </row>
    <row r="47811">
      <c r="A47811" s="1" t="n">
        <v>47810</v>
      </c>
      <c r="B47811">
        <f>TEXT(47810, "[$-0E0000]yyyy-mm-dd")</f>
        <v/>
      </c>
      <c r="C47811" t="inlineStr">
        <is>
          <t>2030-10-29</t>
        </is>
      </c>
    </row>
    <row r="47812">
      <c r="A47812" s="1" t="n">
        <v>47811</v>
      </c>
      <c r="B47812">
        <f>TEXT(47811, "[$-0E0000]yyyy-mm-dd")</f>
        <v/>
      </c>
      <c r="C47812" t="inlineStr">
        <is>
          <t>2030-11-01</t>
        </is>
      </c>
    </row>
    <row r="47813">
      <c r="A47813" s="1" t="n">
        <v>47812</v>
      </c>
      <c r="B47813">
        <f>TEXT(47812, "[$-0E0000]yyyy-mm-dd")</f>
        <v/>
      </c>
      <c r="C47813" t="inlineStr">
        <is>
          <t>2030-11-02</t>
        </is>
      </c>
    </row>
    <row r="47814">
      <c r="A47814" s="1" t="n">
        <v>47813</v>
      </c>
      <c r="B47814">
        <f>TEXT(47813, "[$-0E0000]yyyy-mm-dd")</f>
        <v/>
      </c>
      <c r="C47814" t="inlineStr">
        <is>
          <t>2030-11-03</t>
        </is>
      </c>
    </row>
    <row r="47815">
      <c r="A47815" s="1" t="n">
        <v>47814</v>
      </c>
      <c r="B47815">
        <f>TEXT(47814, "[$-0E0000]yyyy-mm-dd")</f>
        <v/>
      </c>
      <c r="C47815" t="inlineStr">
        <is>
          <t>2030-11-04</t>
        </is>
      </c>
    </row>
    <row r="47816">
      <c r="A47816" s="1" t="n">
        <v>47815</v>
      </c>
      <c r="B47816">
        <f>TEXT(47815, "[$-0E0000]yyyy-mm-dd")</f>
        <v/>
      </c>
      <c r="C47816" t="inlineStr">
        <is>
          <t>2030-11-05</t>
        </is>
      </c>
    </row>
    <row r="47817">
      <c r="A47817" s="1" t="n">
        <v>47816</v>
      </c>
      <c r="B47817">
        <f>TEXT(47816, "[$-0E0000]yyyy-mm-dd")</f>
        <v/>
      </c>
      <c r="C47817" t="inlineStr">
        <is>
          <t>2030-11-06</t>
        </is>
      </c>
    </row>
    <row r="47818">
      <c r="A47818" s="1" t="n">
        <v>47817</v>
      </c>
      <c r="B47818">
        <f>TEXT(47817, "[$-0E0000]yyyy-mm-dd")</f>
        <v/>
      </c>
      <c r="C47818" t="inlineStr">
        <is>
          <t>2030-11-07</t>
        </is>
      </c>
    </row>
    <row r="47819">
      <c r="A47819" s="1" t="n">
        <v>47818</v>
      </c>
      <c r="B47819">
        <f>TEXT(47818, "[$-0E0000]yyyy-mm-dd")</f>
        <v/>
      </c>
      <c r="C47819" t="inlineStr">
        <is>
          <t>2030-11-08</t>
        </is>
      </c>
    </row>
    <row r="47820">
      <c r="A47820" s="1" t="n">
        <v>47819</v>
      </c>
      <c r="B47820">
        <f>TEXT(47819, "[$-0E0000]yyyy-mm-dd")</f>
        <v/>
      </c>
      <c r="C47820" t="inlineStr">
        <is>
          <t>2030-11-09</t>
        </is>
      </c>
    </row>
    <row r="47821">
      <c r="A47821" s="1" t="n">
        <v>47820</v>
      </c>
      <c r="B47821">
        <f>TEXT(47820, "[$-0E0000]yyyy-mm-dd")</f>
        <v/>
      </c>
      <c r="C47821" t="inlineStr">
        <is>
          <t>2030-11-10</t>
        </is>
      </c>
    </row>
    <row r="47822">
      <c r="A47822" s="1" t="n">
        <v>47821</v>
      </c>
      <c r="B47822">
        <f>TEXT(47821, "[$-0E0000]yyyy-mm-dd")</f>
        <v/>
      </c>
      <c r="C47822" t="inlineStr">
        <is>
          <t>2030-11-11</t>
        </is>
      </c>
    </row>
    <row r="47823">
      <c r="A47823" s="1" t="n">
        <v>47822</v>
      </c>
      <c r="B47823">
        <f>TEXT(47822, "[$-0E0000]yyyy-mm-dd")</f>
        <v/>
      </c>
      <c r="C47823" t="inlineStr">
        <is>
          <t>2030-11-12</t>
        </is>
      </c>
    </row>
    <row r="47824">
      <c r="A47824" s="1" t="n">
        <v>47823</v>
      </c>
      <c r="B47824">
        <f>TEXT(47823, "[$-0E0000]yyyy-mm-dd")</f>
        <v/>
      </c>
      <c r="C47824" t="inlineStr">
        <is>
          <t>2030-11-13</t>
        </is>
      </c>
    </row>
    <row r="47825">
      <c r="A47825" s="1" t="n">
        <v>47824</v>
      </c>
      <c r="B47825">
        <f>TEXT(47824, "[$-0E0000]yyyy-mm-dd")</f>
        <v/>
      </c>
      <c r="C47825" t="inlineStr">
        <is>
          <t>2030-11-14</t>
        </is>
      </c>
    </row>
    <row r="47826">
      <c r="A47826" s="1" t="n">
        <v>47825</v>
      </c>
      <c r="B47826">
        <f>TEXT(47825, "[$-0E0000]yyyy-mm-dd")</f>
        <v/>
      </c>
      <c r="C47826" t="inlineStr">
        <is>
          <t>2030-11-15</t>
        </is>
      </c>
    </row>
    <row r="47827">
      <c r="A47827" s="1" t="n">
        <v>47826</v>
      </c>
      <c r="B47827">
        <f>TEXT(47826, "[$-0E0000]yyyy-mm-dd")</f>
        <v/>
      </c>
      <c r="C47827" t="inlineStr">
        <is>
          <t>2030-11-16</t>
        </is>
      </c>
    </row>
    <row r="47828">
      <c r="A47828" s="1" t="n">
        <v>47827</v>
      </c>
      <c r="B47828">
        <f>TEXT(47827, "[$-0E0000]yyyy-mm-dd")</f>
        <v/>
      </c>
      <c r="C47828" t="inlineStr">
        <is>
          <t>2030-11-17</t>
        </is>
      </c>
    </row>
    <row r="47829">
      <c r="A47829" s="1" t="n">
        <v>47828</v>
      </c>
      <c r="B47829">
        <f>TEXT(47828, "[$-0E0000]yyyy-mm-dd")</f>
        <v/>
      </c>
      <c r="C47829" t="inlineStr">
        <is>
          <t>2030-11-18</t>
        </is>
      </c>
    </row>
    <row r="47830">
      <c r="A47830" s="1" t="n">
        <v>47829</v>
      </c>
      <c r="B47830">
        <f>TEXT(47829, "[$-0E0000]yyyy-mm-dd")</f>
        <v/>
      </c>
      <c r="C47830" t="inlineStr">
        <is>
          <t>2030-11-19</t>
        </is>
      </c>
    </row>
    <row r="47831">
      <c r="A47831" s="1" t="n">
        <v>47830</v>
      </c>
      <c r="B47831">
        <f>TEXT(47830, "[$-0E0000]yyyy-mm-dd")</f>
        <v/>
      </c>
      <c r="C47831" t="inlineStr">
        <is>
          <t>2030-11-20</t>
        </is>
      </c>
    </row>
    <row r="47832">
      <c r="A47832" s="1" t="n">
        <v>47831</v>
      </c>
      <c r="B47832">
        <f>TEXT(47831, "[$-0E0000]yyyy-mm-dd")</f>
        <v/>
      </c>
      <c r="C47832" t="inlineStr">
        <is>
          <t>2030-11-21</t>
        </is>
      </c>
    </row>
    <row r="47833">
      <c r="A47833" s="1" t="n">
        <v>47832</v>
      </c>
      <c r="B47833">
        <f>TEXT(47832, "[$-0E0000]yyyy-mm-dd")</f>
        <v/>
      </c>
      <c r="C47833" t="inlineStr">
        <is>
          <t>2030-11-22</t>
        </is>
      </c>
    </row>
    <row r="47834">
      <c r="A47834" s="1" t="n">
        <v>47833</v>
      </c>
      <c r="B47834">
        <f>TEXT(47833, "[$-0E0000]yyyy-mm-dd")</f>
        <v/>
      </c>
      <c r="C47834" t="inlineStr">
        <is>
          <t>2030-11-23</t>
        </is>
      </c>
    </row>
    <row r="47835">
      <c r="A47835" s="1" t="n">
        <v>47834</v>
      </c>
      <c r="B47835">
        <f>TEXT(47834, "[$-0E0000]yyyy-mm-dd")</f>
        <v/>
      </c>
      <c r="C47835" t="inlineStr">
        <is>
          <t>2030-11-24</t>
        </is>
      </c>
    </row>
    <row r="47836">
      <c r="A47836" s="1" t="n">
        <v>47835</v>
      </c>
      <c r="B47836">
        <f>TEXT(47835, "[$-0E0000]yyyy-mm-dd")</f>
        <v/>
      </c>
      <c r="C47836" t="inlineStr">
        <is>
          <t>2030-11-25</t>
        </is>
      </c>
    </row>
    <row r="47837">
      <c r="A47837" s="1" t="n">
        <v>47836</v>
      </c>
      <c r="B47837">
        <f>TEXT(47836, "[$-0E0000]yyyy-mm-dd")</f>
        <v/>
      </c>
      <c r="C47837" t="inlineStr">
        <is>
          <t>2030-11-26</t>
        </is>
      </c>
    </row>
    <row r="47838">
      <c r="A47838" s="1" t="n">
        <v>47837</v>
      </c>
      <c r="B47838">
        <f>TEXT(47837, "[$-0E0000]yyyy-mm-dd")</f>
        <v/>
      </c>
      <c r="C47838" t="inlineStr">
        <is>
          <t>2030-11-27</t>
        </is>
      </c>
    </row>
    <row r="47839">
      <c r="A47839" s="1" t="n">
        <v>47838</v>
      </c>
      <c r="B47839">
        <f>TEXT(47838, "[$-0E0000]yyyy-mm-dd")</f>
        <v/>
      </c>
      <c r="C47839" t="inlineStr">
        <is>
          <t>2030-11-28</t>
        </is>
      </c>
    </row>
    <row r="47840">
      <c r="A47840" s="1" t="n">
        <v>47839</v>
      </c>
      <c r="B47840">
        <f>TEXT(47839, "[$-0E0000]yyyy-mm-dd")</f>
        <v/>
      </c>
      <c r="C47840" t="inlineStr">
        <is>
          <t>2030-11-29</t>
        </is>
      </c>
    </row>
    <row r="47841">
      <c r="A47841" s="1" t="n">
        <v>47840</v>
      </c>
      <c r="B47841">
        <f>TEXT(47840, "[$-0E0000]yyyy-mm-dd")</f>
        <v/>
      </c>
      <c r="C47841" t="inlineStr">
        <is>
          <t>2030-11-30</t>
        </is>
      </c>
    </row>
    <row r="47842">
      <c r="A47842" s="1" t="n">
        <v>47841</v>
      </c>
      <c r="B47842">
        <f>TEXT(47841, "[$-0E0000]yyyy-mm-dd")</f>
        <v/>
      </c>
      <c r="C47842" t="inlineStr">
        <is>
          <t>2030-12-01</t>
        </is>
      </c>
    </row>
    <row r="47843">
      <c r="A47843" s="1" t="n">
        <v>47842</v>
      </c>
      <c r="B47843">
        <f>TEXT(47842, "[$-0E0000]yyyy-mm-dd")</f>
        <v/>
      </c>
      <c r="C47843" t="inlineStr">
        <is>
          <t>2030-12-02</t>
        </is>
      </c>
    </row>
    <row r="47844">
      <c r="A47844" s="1" t="n">
        <v>47843</v>
      </c>
      <c r="B47844">
        <f>TEXT(47843, "[$-0E0000]yyyy-mm-dd")</f>
        <v/>
      </c>
      <c r="C47844" t="inlineStr">
        <is>
          <t>2030-12-03</t>
        </is>
      </c>
    </row>
    <row r="47845">
      <c r="A47845" s="1" t="n">
        <v>47844</v>
      </c>
      <c r="B47845">
        <f>TEXT(47844, "[$-0E0000]yyyy-mm-dd")</f>
        <v/>
      </c>
      <c r="C47845" t="inlineStr">
        <is>
          <t>2030-12-04</t>
        </is>
      </c>
    </row>
    <row r="47846">
      <c r="A47846" s="1" t="n">
        <v>47845</v>
      </c>
      <c r="B47846">
        <f>TEXT(47845, "[$-0E0000]yyyy-mm-dd")</f>
        <v/>
      </c>
      <c r="C47846" t="inlineStr">
        <is>
          <t>2030-12-05</t>
        </is>
      </c>
    </row>
    <row r="47847">
      <c r="A47847" s="1" t="n">
        <v>47846</v>
      </c>
      <c r="B47847">
        <f>TEXT(47846, "[$-0E0000]yyyy-mm-dd")</f>
        <v/>
      </c>
      <c r="C47847" t="inlineStr">
        <is>
          <t>2030-12-06</t>
        </is>
      </c>
    </row>
    <row r="47848">
      <c r="A47848" s="1" t="n">
        <v>47847</v>
      </c>
      <c r="B47848">
        <f>TEXT(47847, "[$-0E0000]yyyy-mm-dd")</f>
        <v/>
      </c>
      <c r="C47848" t="inlineStr">
        <is>
          <t>2030-12-07</t>
        </is>
      </c>
    </row>
    <row r="47849">
      <c r="A47849" s="1" t="n">
        <v>47848</v>
      </c>
      <c r="B47849">
        <f>TEXT(47848, "[$-0E0000]yyyy-mm-dd")</f>
        <v/>
      </c>
      <c r="C47849" t="inlineStr">
        <is>
          <t>2030-12-08</t>
        </is>
      </c>
    </row>
    <row r="47850">
      <c r="A47850" s="1" t="n">
        <v>47849</v>
      </c>
      <c r="B47850">
        <f>TEXT(47849, "[$-0E0000]yyyy-mm-dd")</f>
        <v/>
      </c>
      <c r="C47850" t="inlineStr">
        <is>
          <t>2030-12-09</t>
        </is>
      </c>
    </row>
    <row r="47851">
      <c r="A47851" s="1" t="n">
        <v>47850</v>
      </c>
      <c r="B47851">
        <f>TEXT(47850, "[$-0E0000]yyyy-mm-dd")</f>
        <v/>
      </c>
      <c r="C47851" t="inlineStr">
        <is>
          <t>2030-12-10</t>
        </is>
      </c>
    </row>
    <row r="47852">
      <c r="A47852" s="1" t="n">
        <v>47851</v>
      </c>
      <c r="B47852">
        <f>TEXT(47851, "[$-0E0000]yyyy-mm-dd")</f>
        <v/>
      </c>
      <c r="C47852" t="inlineStr">
        <is>
          <t>2030-12-11</t>
        </is>
      </c>
    </row>
    <row r="47853">
      <c r="A47853" s="1" t="n">
        <v>47852</v>
      </c>
      <c r="B47853">
        <f>TEXT(47852, "[$-0E0000]yyyy-mm-dd")</f>
        <v/>
      </c>
      <c r="C47853" t="inlineStr">
        <is>
          <t>2030-12-12</t>
        </is>
      </c>
    </row>
    <row r="47854">
      <c r="A47854" s="1" t="n">
        <v>47853</v>
      </c>
      <c r="B47854">
        <f>TEXT(47853, "[$-0E0000]yyyy-mm-dd")</f>
        <v/>
      </c>
      <c r="C47854" t="inlineStr">
        <is>
          <t>2030-12-13</t>
        </is>
      </c>
    </row>
    <row r="47855">
      <c r="A47855" s="1" t="n">
        <v>47854</v>
      </c>
      <c r="B47855">
        <f>TEXT(47854, "[$-0E0000]yyyy-mm-dd")</f>
        <v/>
      </c>
      <c r="C47855" t="inlineStr">
        <is>
          <t>2030-12-14</t>
        </is>
      </c>
    </row>
    <row r="47856">
      <c r="A47856" s="1" t="n">
        <v>47855</v>
      </c>
      <c r="B47856">
        <f>TEXT(47855, "[$-0E0000]yyyy-mm-dd")</f>
        <v/>
      </c>
      <c r="C47856" t="inlineStr">
        <is>
          <t>2030-12-15</t>
        </is>
      </c>
    </row>
    <row r="47857">
      <c r="A47857" s="1" t="n">
        <v>47856</v>
      </c>
      <c r="B47857">
        <f>TEXT(47856, "[$-0E0000]yyyy-mm-dd")</f>
        <v/>
      </c>
      <c r="C47857" t="inlineStr">
        <is>
          <t>2030-12-16</t>
        </is>
      </c>
    </row>
    <row r="47858">
      <c r="A47858" s="1" t="n">
        <v>47857</v>
      </c>
      <c r="B47858">
        <f>TEXT(47857, "[$-0E0000]yyyy-mm-dd")</f>
        <v/>
      </c>
      <c r="C47858" t="inlineStr">
        <is>
          <t>2030-12-17</t>
        </is>
      </c>
    </row>
    <row r="47859">
      <c r="A47859" s="1" t="n">
        <v>47858</v>
      </c>
      <c r="B47859">
        <f>TEXT(47858, "[$-0E0000]yyyy-mm-dd")</f>
        <v/>
      </c>
      <c r="C47859" t="inlineStr">
        <is>
          <t>2030-12-18</t>
        </is>
      </c>
    </row>
    <row r="47860">
      <c r="A47860" s="1" t="n">
        <v>47859</v>
      </c>
      <c r="B47860">
        <f>TEXT(47859, "[$-0E0000]yyyy-mm-dd")</f>
        <v/>
      </c>
      <c r="C47860" t="inlineStr">
        <is>
          <t>2030-12-19</t>
        </is>
      </c>
    </row>
    <row r="47861">
      <c r="A47861" s="1" t="n">
        <v>47860</v>
      </c>
      <c r="B47861">
        <f>TEXT(47860, "[$-0E0000]yyyy-mm-dd")</f>
        <v/>
      </c>
      <c r="C47861" t="inlineStr">
        <is>
          <t>2030-12-20</t>
        </is>
      </c>
    </row>
    <row r="47862">
      <c r="A47862" s="1" t="n">
        <v>47861</v>
      </c>
      <c r="B47862">
        <f>TEXT(47861, "[$-0E0000]yyyy-mm-dd")</f>
        <v/>
      </c>
      <c r="C47862" t="inlineStr">
        <is>
          <t>2030-12-21</t>
        </is>
      </c>
    </row>
    <row r="47863">
      <c r="A47863" s="1" t="n">
        <v>47862</v>
      </c>
      <c r="B47863">
        <f>TEXT(47862, "[$-0E0000]yyyy-mm-dd")</f>
        <v/>
      </c>
      <c r="C47863" t="inlineStr">
        <is>
          <t>2030-12-22</t>
        </is>
      </c>
    </row>
    <row r="47864">
      <c r="A47864" s="1" t="n">
        <v>47863</v>
      </c>
      <c r="B47864">
        <f>TEXT(47863, "[$-0E0000]yyyy-mm-dd")</f>
        <v/>
      </c>
      <c r="C47864" t="inlineStr">
        <is>
          <t>2030-12-23</t>
        </is>
      </c>
    </row>
    <row r="47865">
      <c r="A47865" s="1" t="n">
        <v>47864</v>
      </c>
      <c r="B47865">
        <f>TEXT(47864, "[$-0E0000]yyyy-mm-dd")</f>
        <v/>
      </c>
      <c r="C47865" t="inlineStr">
        <is>
          <t>2030-12-24</t>
        </is>
      </c>
    </row>
    <row r="47866">
      <c r="A47866" s="1" t="n">
        <v>47865</v>
      </c>
      <c r="B47866">
        <f>TEXT(47865, "[$-0E0000]yyyy-mm-dd")</f>
        <v/>
      </c>
      <c r="C47866" t="inlineStr">
        <is>
          <t>2030-12-25</t>
        </is>
      </c>
    </row>
    <row r="47867">
      <c r="A47867" s="1" t="n">
        <v>47866</v>
      </c>
      <c r="B47867">
        <f>TEXT(47866, "[$-0E0000]yyyy-mm-dd")</f>
        <v/>
      </c>
      <c r="C47867" t="inlineStr">
        <is>
          <t>2030-12-26</t>
        </is>
      </c>
    </row>
    <row r="47868">
      <c r="A47868" s="1" t="n">
        <v>47867</v>
      </c>
      <c r="B47868">
        <f>TEXT(47867, "[$-0E0000]yyyy-mm-dd")</f>
        <v/>
      </c>
      <c r="C47868" t="inlineStr">
        <is>
          <t>2030-12-27</t>
        </is>
      </c>
    </row>
    <row r="47869">
      <c r="A47869" s="1" t="n">
        <v>47868</v>
      </c>
      <c r="B47869">
        <f>TEXT(47868, "[$-0E0000]yyyy-mm-dd")</f>
        <v/>
      </c>
      <c r="C47869" t="inlineStr">
        <is>
          <t>2030-12-28</t>
        </is>
      </c>
    </row>
    <row r="47870">
      <c r="A47870" s="1" t="n">
        <v>47869</v>
      </c>
      <c r="B47870">
        <f>TEXT(47869, "[$-0E0000]yyyy-mm-dd")</f>
        <v/>
      </c>
      <c r="C47870" t="inlineStr">
        <is>
          <t>2030-12-29</t>
        </is>
      </c>
    </row>
    <row r="47871">
      <c r="A47871" s="1" t="n">
        <v>47870</v>
      </c>
      <c r="B47871">
        <f>TEXT(47870, "[$-0E0000]yyyy-mm-dd")</f>
        <v/>
      </c>
      <c r="C47871" t="inlineStr">
        <is>
          <t>2031-01-01</t>
        </is>
      </c>
    </row>
    <row r="47872">
      <c r="A47872" s="1" t="n">
        <v>47871</v>
      </c>
      <c r="B47872">
        <f>TEXT(47871, "[$-0E0000]yyyy-mm-dd")</f>
        <v/>
      </c>
      <c r="C47872" t="inlineStr">
        <is>
          <t>2031-01-02</t>
        </is>
      </c>
    </row>
    <row r="47873">
      <c r="A47873" s="1" t="n">
        <v>47872</v>
      </c>
      <c r="B47873">
        <f>TEXT(47872, "[$-0E0000]yyyy-mm-dd")</f>
        <v/>
      </c>
      <c r="C47873" t="inlineStr">
        <is>
          <t>2031-01-03</t>
        </is>
      </c>
    </row>
    <row r="47874">
      <c r="A47874" s="1" t="n">
        <v>47873</v>
      </c>
      <c r="B47874">
        <f>TEXT(47873, "[$-0E0000]yyyy-mm-dd")</f>
        <v/>
      </c>
      <c r="C47874" t="inlineStr">
        <is>
          <t>2031-01-04</t>
        </is>
      </c>
    </row>
    <row r="47875">
      <c r="A47875" s="1" t="n">
        <v>47874</v>
      </c>
      <c r="B47875">
        <f>TEXT(47874, "[$-0E0000]yyyy-mm-dd")</f>
        <v/>
      </c>
      <c r="C47875" t="inlineStr">
        <is>
          <t>2031-01-05</t>
        </is>
      </c>
    </row>
    <row r="47876">
      <c r="A47876" s="1" t="n">
        <v>47875</v>
      </c>
      <c r="B47876">
        <f>TEXT(47875, "[$-0E0000]yyyy-mm-dd")</f>
        <v/>
      </c>
      <c r="C47876" t="inlineStr">
        <is>
          <t>2031-01-06</t>
        </is>
      </c>
    </row>
    <row r="47877">
      <c r="A47877" s="1" t="n">
        <v>47876</v>
      </c>
      <c r="B47877">
        <f>TEXT(47876, "[$-0E0000]yyyy-mm-dd")</f>
        <v/>
      </c>
      <c r="C47877" t="inlineStr">
        <is>
          <t>2031-01-07</t>
        </is>
      </c>
    </row>
    <row r="47878">
      <c r="A47878" s="1" t="n">
        <v>47877</v>
      </c>
      <c r="B47878">
        <f>TEXT(47877, "[$-0E0000]yyyy-mm-dd")</f>
        <v/>
      </c>
      <c r="C47878" t="inlineStr">
        <is>
          <t>2031-01-08</t>
        </is>
      </c>
    </row>
    <row r="47879">
      <c r="A47879" s="1" t="n">
        <v>47878</v>
      </c>
      <c r="B47879">
        <f>TEXT(47878, "[$-0E0000]yyyy-mm-dd")</f>
        <v/>
      </c>
      <c r="C47879" t="inlineStr">
        <is>
          <t>2031-01-09</t>
        </is>
      </c>
    </row>
    <row r="47880">
      <c r="A47880" s="1" t="n">
        <v>47879</v>
      </c>
      <c r="B47880">
        <f>TEXT(47879, "[$-0E0000]yyyy-mm-dd")</f>
        <v/>
      </c>
      <c r="C47880" t="inlineStr">
        <is>
          <t>2031-01-10</t>
        </is>
      </c>
    </row>
    <row r="47881">
      <c r="A47881" s="1" t="n">
        <v>47880</v>
      </c>
      <c r="B47881">
        <f>TEXT(47880, "[$-0E0000]yyyy-mm-dd")</f>
        <v/>
      </c>
      <c r="C47881" t="inlineStr">
        <is>
          <t>2031-01-11</t>
        </is>
      </c>
    </row>
    <row r="47882">
      <c r="A47882" s="1" t="n">
        <v>47881</v>
      </c>
      <c r="B47882">
        <f>TEXT(47881, "[$-0E0000]yyyy-mm-dd")</f>
        <v/>
      </c>
      <c r="C47882" t="inlineStr">
        <is>
          <t>2031-01-12</t>
        </is>
      </c>
    </row>
    <row r="47883">
      <c r="A47883" s="1" t="n">
        <v>47882</v>
      </c>
      <c r="B47883">
        <f>TEXT(47882, "[$-0E0000]yyyy-mm-dd")</f>
        <v/>
      </c>
      <c r="C47883" t="inlineStr">
        <is>
          <t>2031-01-13</t>
        </is>
      </c>
    </row>
    <row r="47884">
      <c r="A47884" s="1" t="n">
        <v>47883</v>
      </c>
      <c r="B47884">
        <f>TEXT(47883, "[$-0E0000]yyyy-mm-dd")</f>
        <v/>
      </c>
      <c r="C47884" t="inlineStr">
        <is>
          <t>2031-01-14</t>
        </is>
      </c>
    </row>
    <row r="47885">
      <c r="A47885" s="1" t="n">
        <v>47884</v>
      </c>
      <c r="B47885">
        <f>TEXT(47884, "[$-0E0000]yyyy-mm-dd")</f>
        <v/>
      </c>
      <c r="C47885" t="inlineStr">
        <is>
          <t>2031-01-15</t>
        </is>
      </c>
    </row>
    <row r="47886">
      <c r="A47886" s="1" t="n">
        <v>47885</v>
      </c>
      <c r="B47886">
        <f>TEXT(47885, "[$-0E0000]yyyy-mm-dd")</f>
        <v/>
      </c>
      <c r="C47886" t="inlineStr">
        <is>
          <t>2031-01-16</t>
        </is>
      </c>
    </row>
    <row r="47887">
      <c r="A47887" s="1" t="n">
        <v>47886</v>
      </c>
      <c r="B47887">
        <f>TEXT(47886, "[$-0E0000]yyyy-mm-dd")</f>
        <v/>
      </c>
      <c r="C47887" t="inlineStr">
        <is>
          <t>2031-01-17</t>
        </is>
      </c>
    </row>
    <row r="47888">
      <c r="A47888" s="1" t="n">
        <v>47887</v>
      </c>
      <c r="B47888">
        <f>TEXT(47887, "[$-0E0000]yyyy-mm-dd")</f>
        <v/>
      </c>
      <c r="C47888" t="inlineStr">
        <is>
          <t>2031-01-18</t>
        </is>
      </c>
    </row>
    <row r="47889">
      <c r="A47889" s="1" t="n">
        <v>47888</v>
      </c>
      <c r="B47889">
        <f>TEXT(47888, "[$-0E0000]yyyy-mm-dd")</f>
        <v/>
      </c>
      <c r="C47889" t="inlineStr">
        <is>
          <t>2031-01-19</t>
        </is>
      </c>
    </row>
    <row r="47890">
      <c r="A47890" s="1" t="n">
        <v>47889</v>
      </c>
      <c r="B47890">
        <f>TEXT(47889, "[$-0E0000]yyyy-mm-dd")</f>
        <v/>
      </c>
      <c r="C47890" t="inlineStr">
        <is>
          <t>2031-01-20</t>
        </is>
      </c>
    </row>
    <row r="47891">
      <c r="A47891" s="1" t="n">
        <v>47890</v>
      </c>
      <c r="B47891">
        <f>TEXT(47890, "[$-0E0000]yyyy-mm-dd")</f>
        <v/>
      </c>
      <c r="C47891" t="inlineStr">
        <is>
          <t>2031-01-21</t>
        </is>
      </c>
    </row>
    <row r="47892">
      <c r="A47892" s="1" t="n">
        <v>47891</v>
      </c>
      <c r="B47892">
        <f>TEXT(47891, "[$-0E0000]yyyy-mm-dd")</f>
        <v/>
      </c>
      <c r="C47892" t="inlineStr">
        <is>
          <t>2031-01-22</t>
        </is>
      </c>
    </row>
    <row r="47893">
      <c r="A47893" s="1" t="n">
        <v>47892</v>
      </c>
      <c r="B47893">
        <f>TEXT(47892, "[$-0E0000]yyyy-mm-dd")</f>
        <v/>
      </c>
      <c r="C47893" t="inlineStr">
        <is>
          <t>2031-01-23</t>
        </is>
      </c>
    </row>
    <row r="47894">
      <c r="A47894" s="1" t="n">
        <v>47893</v>
      </c>
      <c r="B47894">
        <f>TEXT(47893, "[$-0E0000]yyyy-mm-dd")</f>
        <v/>
      </c>
      <c r="C47894" t="inlineStr">
        <is>
          <t>2031-01-24</t>
        </is>
      </c>
    </row>
    <row r="47895">
      <c r="A47895" s="1" t="n">
        <v>47894</v>
      </c>
      <c r="B47895">
        <f>TEXT(47894, "[$-0E0000]yyyy-mm-dd")</f>
        <v/>
      </c>
      <c r="C47895" t="inlineStr">
        <is>
          <t>2031-01-25</t>
        </is>
      </c>
    </row>
    <row r="47896">
      <c r="A47896" s="1" t="n">
        <v>47895</v>
      </c>
      <c r="B47896">
        <f>TEXT(47895, "[$-0E0000]yyyy-mm-dd")</f>
        <v/>
      </c>
      <c r="C47896" t="inlineStr">
        <is>
          <t>2031-01-26</t>
        </is>
      </c>
    </row>
    <row r="47897">
      <c r="A47897" s="1" t="n">
        <v>47896</v>
      </c>
      <c r="B47897">
        <f>TEXT(47896, "[$-0E0000]yyyy-mm-dd")</f>
        <v/>
      </c>
      <c r="C47897" t="inlineStr">
        <is>
          <t>2031-01-27</t>
        </is>
      </c>
    </row>
    <row r="47898">
      <c r="A47898" s="1" t="n">
        <v>47897</v>
      </c>
      <c r="B47898">
        <f>TEXT(47897, "[$-0E0000]yyyy-mm-dd")</f>
        <v/>
      </c>
      <c r="C47898" t="inlineStr">
        <is>
          <t>2031-01-28</t>
        </is>
      </c>
    </row>
    <row r="47899">
      <c r="A47899" s="1" t="n">
        <v>47898</v>
      </c>
      <c r="B47899">
        <f>TEXT(47898, "[$-0E0000]yyyy-mm-dd")</f>
        <v/>
      </c>
      <c r="C47899" t="inlineStr">
        <is>
          <t>2031-01-29</t>
        </is>
      </c>
    </row>
    <row r="47900">
      <c r="A47900" s="1" t="n">
        <v>47899</v>
      </c>
      <c r="B47900">
        <f>TEXT(47899, "[$-0E0000]yyyy-mm-dd")</f>
        <v/>
      </c>
      <c r="C47900" t="inlineStr">
        <is>
          <t>2031-02-01</t>
        </is>
      </c>
    </row>
    <row r="47901">
      <c r="A47901" s="1" t="n">
        <v>47900</v>
      </c>
      <c r="B47901">
        <f>TEXT(47900, "[$-0E0000]yyyy-mm-dd")</f>
        <v/>
      </c>
      <c r="C47901" t="inlineStr">
        <is>
          <t>2031-02-02</t>
        </is>
      </c>
    </row>
    <row r="47902">
      <c r="A47902" s="1" t="n">
        <v>47901</v>
      </c>
      <c r="B47902">
        <f>TEXT(47901, "[$-0E0000]yyyy-mm-dd")</f>
        <v/>
      </c>
      <c r="C47902" t="inlineStr">
        <is>
          <t>2031-02-03</t>
        </is>
      </c>
    </row>
    <row r="47903">
      <c r="A47903" s="1" t="n">
        <v>47902</v>
      </c>
      <c r="B47903">
        <f>TEXT(47902, "[$-0E0000]yyyy-mm-dd")</f>
        <v/>
      </c>
      <c r="C47903" t="inlineStr">
        <is>
          <t>2031-02-04</t>
        </is>
      </c>
    </row>
    <row r="47904">
      <c r="A47904" s="1" t="n">
        <v>47903</v>
      </c>
      <c r="B47904">
        <f>TEXT(47903, "[$-0E0000]yyyy-mm-dd")</f>
        <v/>
      </c>
      <c r="C47904" t="inlineStr">
        <is>
          <t>2031-02-05</t>
        </is>
      </c>
    </row>
    <row r="47905">
      <c r="A47905" s="1" t="n">
        <v>47904</v>
      </c>
      <c r="B47905">
        <f>TEXT(47904, "[$-0E0000]yyyy-mm-dd")</f>
        <v/>
      </c>
      <c r="C47905" t="inlineStr">
        <is>
          <t>2031-02-06</t>
        </is>
      </c>
    </row>
    <row r="47906">
      <c r="A47906" s="1" t="n">
        <v>47905</v>
      </c>
      <c r="B47906">
        <f>TEXT(47905, "[$-0E0000]yyyy-mm-dd")</f>
        <v/>
      </c>
      <c r="C47906" t="inlineStr">
        <is>
          <t>2031-02-07</t>
        </is>
      </c>
    </row>
    <row r="47907">
      <c r="A47907" s="1" t="n">
        <v>47906</v>
      </c>
      <c r="B47907">
        <f>TEXT(47906, "[$-0E0000]yyyy-mm-dd")</f>
        <v/>
      </c>
      <c r="C47907" t="inlineStr">
        <is>
          <t>2031-02-08</t>
        </is>
      </c>
    </row>
    <row r="47908">
      <c r="A47908" s="1" t="n">
        <v>47907</v>
      </c>
      <c r="B47908">
        <f>TEXT(47907, "[$-0E0000]yyyy-mm-dd")</f>
        <v/>
      </c>
      <c r="C47908" t="inlineStr">
        <is>
          <t>2031-02-09</t>
        </is>
      </c>
    </row>
    <row r="47909">
      <c r="A47909" s="1" t="n">
        <v>47908</v>
      </c>
      <c r="B47909">
        <f>TEXT(47908, "[$-0E0000]yyyy-mm-dd")</f>
        <v/>
      </c>
      <c r="C47909" t="inlineStr">
        <is>
          <t>2031-02-10</t>
        </is>
      </c>
    </row>
    <row r="47910">
      <c r="A47910" s="1" t="n">
        <v>47909</v>
      </c>
      <c r="B47910">
        <f>TEXT(47909, "[$-0E0000]yyyy-mm-dd")</f>
        <v/>
      </c>
      <c r="C47910" t="inlineStr">
        <is>
          <t>2031-02-11</t>
        </is>
      </c>
    </row>
    <row r="47911">
      <c r="A47911" s="1" t="n">
        <v>47910</v>
      </c>
      <c r="B47911">
        <f>TEXT(47910, "[$-0E0000]yyyy-mm-dd")</f>
        <v/>
      </c>
      <c r="C47911" t="inlineStr">
        <is>
          <t>2031-02-12</t>
        </is>
      </c>
    </row>
    <row r="47912">
      <c r="A47912" s="1" t="n">
        <v>47911</v>
      </c>
      <c r="B47912">
        <f>TEXT(47911, "[$-0E0000]yyyy-mm-dd")</f>
        <v/>
      </c>
      <c r="C47912" t="inlineStr">
        <is>
          <t>2031-02-13</t>
        </is>
      </c>
    </row>
    <row r="47913">
      <c r="A47913" s="1" t="n">
        <v>47912</v>
      </c>
      <c r="B47913">
        <f>TEXT(47912, "[$-0E0000]yyyy-mm-dd")</f>
        <v/>
      </c>
      <c r="C47913" t="inlineStr">
        <is>
          <t>2031-02-14</t>
        </is>
      </c>
    </row>
    <row r="47914">
      <c r="A47914" s="1" t="n">
        <v>47913</v>
      </c>
      <c r="B47914">
        <f>TEXT(47913, "[$-0E0000]yyyy-mm-dd")</f>
        <v/>
      </c>
      <c r="C47914" t="inlineStr">
        <is>
          <t>2031-02-15</t>
        </is>
      </c>
    </row>
    <row r="47915">
      <c r="A47915" s="1" t="n">
        <v>47914</v>
      </c>
      <c r="B47915">
        <f>TEXT(47914, "[$-0E0000]yyyy-mm-dd")</f>
        <v/>
      </c>
      <c r="C47915" t="inlineStr">
        <is>
          <t>2031-02-16</t>
        </is>
      </c>
    </row>
    <row r="47916">
      <c r="A47916" s="1" t="n">
        <v>47915</v>
      </c>
      <c r="B47916">
        <f>TEXT(47915, "[$-0E0000]yyyy-mm-dd")</f>
        <v/>
      </c>
      <c r="C47916" t="inlineStr">
        <is>
          <t>2031-02-17</t>
        </is>
      </c>
    </row>
    <row r="47917">
      <c r="A47917" s="1" t="n">
        <v>47916</v>
      </c>
      <c r="B47917">
        <f>TEXT(47916, "[$-0E0000]yyyy-mm-dd")</f>
        <v/>
      </c>
      <c r="C47917" t="inlineStr">
        <is>
          <t>2031-02-18</t>
        </is>
      </c>
    </row>
    <row r="47918">
      <c r="A47918" s="1" t="n">
        <v>47917</v>
      </c>
      <c r="B47918">
        <f>TEXT(47917, "[$-0E0000]yyyy-mm-dd")</f>
        <v/>
      </c>
      <c r="C47918" t="inlineStr">
        <is>
          <t>2031-02-19</t>
        </is>
      </c>
    </row>
    <row r="47919">
      <c r="A47919" s="1" t="n">
        <v>47918</v>
      </c>
      <c r="B47919">
        <f>TEXT(47918, "[$-0E0000]yyyy-mm-dd")</f>
        <v/>
      </c>
      <c r="C47919" t="inlineStr">
        <is>
          <t>2031-02-20</t>
        </is>
      </c>
    </row>
    <row r="47920">
      <c r="A47920" s="1" t="n">
        <v>47919</v>
      </c>
      <c r="B47920">
        <f>TEXT(47919, "[$-0E0000]yyyy-mm-dd")</f>
        <v/>
      </c>
      <c r="C47920" t="inlineStr">
        <is>
          <t>2031-02-21</t>
        </is>
      </c>
    </row>
    <row r="47921">
      <c r="A47921" s="1" t="n">
        <v>47920</v>
      </c>
      <c r="B47921">
        <f>TEXT(47920, "[$-0E0000]yyyy-mm-dd")</f>
        <v/>
      </c>
      <c r="C47921" t="inlineStr">
        <is>
          <t>2031-02-22</t>
        </is>
      </c>
    </row>
    <row r="47922">
      <c r="A47922" s="1" t="n">
        <v>47921</v>
      </c>
      <c r="B47922">
        <f>TEXT(47921, "[$-0E0000]yyyy-mm-dd")</f>
        <v/>
      </c>
      <c r="C47922" t="inlineStr">
        <is>
          <t>2031-02-23</t>
        </is>
      </c>
    </row>
    <row r="47923">
      <c r="A47923" s="1" t="n">
        <v>47922</v>
      </c>
      <c r="B47923">
        <f>TEXT(47922, "[$-0E0000]yyyy-mm-dd")</f>
        <v/>
      </c>
      <c r="C47923" t="inlineStr">
        <is>
          <t>2031-02-24</t>
        </is>
      </c>
    </row>
    <row r="47924">
      <c r="A47924" s="1" t="n">
        <v>47923</v>
      </c>
      <c r="B47924">
        <f>TEXT(47923, "[$-0E0000]yyyy-mm-dd")</f>
        <v/>
      </c>
      <c r="C47924" t="inlineStr">
        <is>
          <t>2031-02-25</t>
        </is>
      </c>
    </row>
    <row r="47925">
      <c r="A47925" s="1" t="n">
        <v>47924</v>
      </c>
      <c r="B47925">
        <f>TEXT(47924, "[$-0E0000]yyyy-mm-dd")</f>
        <v/>
      </c>
      <c r="C47925" t="inlineStr">
        <is>
          <t>2031-02-26</t>
        </is>
      </c>
    </row>
    <row r="47926">
      <c r="A47926" s="1" t="n">
        <v>47925</v>
      </c>
      <c r="B47926">
        <f>TEXT(47925, "[$-0E0000]yyyy-mm-dd")</f>
        <v/>
      </c>
      <c r="C47926" t="inlineStr">
        <is>
          <t>2031-02-27</t>
        </is>
      </c>
    </row>
    <row r="47927">
      <c r="A47927" s="1" t="n">
        <v>47926</v>
      </c>
      <c r="B47927">
        <f>TEXT(47926, "[$-0E0000]yyyy-mm-dd")</f>
        <v/>
      </c>
      <c r="C47927" t="inlineStr">
        <is>
          <t>2031-02-28</t>
        </is>
      </c>
    </row>
    <row r="47928">
      <c r="A47928" s="1" t="n">
        <v>47927</v>
      </c>
      <c r="B47928">
        <f>TEXT(47927, "[$-0E0000]yyyy-mm-dd")</f>
        <v/>
      </c>
      <c r="C47928" t="inlineStr">
        <is>
          <t>2031-02-29</t>
        </is>
      </c>
    </row>
    <row r="47929">
      <c r="A47929" s="1" t="n">
        <v>47928</v>
      </c>
      <c r="B47929">
        <f>TEXT(47928, "[$-0E0000]yyyy-mm-dd")</f>
        <v/>
      </c>
      <c r="C47929" t="inlineStr">
        <is>
          <t>2031-02-30</t>
        </is>
      </c>
    </row>
    <row r="47930">
      <c r="A47930" s="1" t="n">
        <v>47929</v>
      </c>
      <c r="B47930">
        <f>TEXT(47929, "[$-0E0000]yyyy-mm-dd")</f>
        <v/>
      </c>
      <c r="C47930" t="inlineStr">
        <is>
          <t>2031-03-01</t>
        </is>
      </c>
    </row>
    <row r="47931">
      <c r="A47931" s="1" t="n">
        <v>47930</v>
      </c>
      <c r="B47931">
        <f>TEXT(47930, "[$-0E0000]yyyy-mm-dd")</f>
        <v/>
      </c>
      <c r="C47931" t="inlineStr">
        <is>
          <t>2031-03-02</t>
        </is>
      </c>
    </row>
    <row r="47932">
      <c r="A47932" s="1" t="n">
        <v>47931</v>
      </c>
      <c r="B47932">
        <f>TEXT(47931, "[$-0E0000]yyyy-mm-dd")</f>
        <v/>
      </c>
      <c r="C47932" t="inlineStr">
        <is>
          <t>2031-03-03</t>
        </is>
      </c>
    </row>
    <row r="47933">
      <c r="A47933" s="1" t="n">
        <v>47932</v>
      </c>
      <c r="B47933">
        <f>TEXT(47932, "[$-0E0000]yyyy-mm-dd")</f>
        <v/>
      </c>
      <c r="C47933" t="inlineStr">
        <is>
          <t>2031-03-04</t>
        </is>
      </c>
    </row>
    <row r="47934">
      <c r="A47934" s="1" t="n">
        <v>47933</v>
      </c>
      <c r="B47934">
        <f>TEXT(47933, "[$-0E0000]yyyy-mm-dd")</f>
        <v/>
      </c>
      <c r="C47934" t="inlineStr">
        <is>
          <t>2031-03-05</t>
        </is>
      </c>
    </row>
    <row r="47935">
      <c r="A47935" s="1" t="n">
        <v>47934</v>
      </c>
      <c r="B47935">
        <f>TEXT(47934, "[$-0E0000]yyyy-mm-dd")</f>
        <v/>
      </c>
      <c r="C47935" t="inlineStr">
        <is>
          <t>2031-03-06</t>
        </is>
      </c>
    </row>
    <row r="47936">
      <c r="A47936" s="1" t="n">
        <v>47935</v>
      </c>
      <c r="B47936">
        <f>TEXT(47935, "[$-0E0000]yyyy-mm-dd")</f>
        <v/>
      </c>
      <c r="C47936" t="inlineStr">
        <is>
          <t>2031-03-07</t>
        </is>
      </c>
    </row>
    <row r="47937">
      <c r="A47937" s="1" t="n">
        <v>47936</v>
      </c>
      <c r="B47937">
        <f>TEXT(47936, "[$-0E0000]yyyy-mm-dd")</f>
        <v/>
      </c>
      <c r="C47937" t="inlineStr">
        <is>
          <t>2031-03-08</t>
        </is>
      </c>
    </row>
    <row r="47938">
      <c r="A47938" s="1" t="n">
        <v>47937</v>
      </c>
      <c r="B47938">
        <f>TEXT(47937, "[$-0E0000]yyyy-mm-dd")</f>
        <v/>
      </c>
      <c r="C47938" t="inlineStr">
        <is>
          <t>2031-03-09</t>
        </is>
      </c>
    </row>
    <row r="47939">
      <c r="A47939" s="1" t="n">
        <v>47938</v>
      </c>
      <c r="B47939">
        <f>TEXT(47938, "[$-0E0000]yyyy-mm-dd")</f>
        <v/>
      </c>
      <c r="C47939" t="inlineStr">
        <is>
          <t>2031-03-10</t>
        </is>
      </c>
    </row>
    <row r="47940">
      <c r="A47940" s="1" t="n">
        <v>47939</v>
      </c>
      <c r="B47940">
        <f>TEXT(47939, "[$-0E0000]yyyy-mm-dd")</f>
        <v/>
      </c>
      <c r="C47940" t="inlineStr">
        <is>
          <t>2031-03-11</t>
        </is>
      </c>
    </row>
    <row r="47941">
      <c r="A47941" s="1" t="n">
        <v>47940</v>
      </c>
      <c r="B47941">
        <f>TEXT(47940, "[$-0E0000]yyyy-mm-dd")</f>
        <v/>
      </c>
      <c r="C47941" t="inlineStr">
        <is>
          <t>2031-03-12</t>
        </is>
      </c>
    </row>
    <row r="47942">
      <c r="A47942" s="1" t="n">
        <v>47941</v>
      </c>
      <c r="B47942">
        <f>TEXT(47941, "[$-0E0000]yyyy-mm-dd")</f>
        <v/>
      </c>
      <c r="C47942" t="inlineStr">
        <is>
          <t>2031-03-13</t>
        </is>
      </c>
    </row>
    <row r="47943">
      <c r="A47943" s="1" t="n">
        <v>47942</v>
      </c>
      <c r="B47943">
        <f>TEXT(47942, "[$-0E0000]yyyy-mm-dd")</f>
        <v/>
      </c>
      <c r="C47943" t="inlineStr">
        <is>
          <t>2031-03-14</t>
        </is>
      </c>
    </row>
    <row r="47944">
      <c r="A47944" s="1" t="n">
        <v>47943</v>
      </c>
      <c r="B47944">
        <f>TEXT(47943, "[$-0E0000]yyyy-mm-dd")</f>
        <v/>
      </c>
      <c r="C47944" t="inlineStr">
        <is>
          <t>2031-03-15</t>
        </is>
      </c>
    </row>
    <row r="47945">
      <c r="A47945" s="1" t="n">
        <v>47944</v>
      </c>
      <c r="B47945">
        <f>TEXT(47944, "[$-0E0000]yyyy-mm-dd")</f>
        <v/>
      </c>
      <c r="C47945" t="inlineStr">
        <is>
          <t>2031-03-16</t>
        </is>
      </c>
    </row>
    <row r="47946">
      <c r="A47946" s="1" t="n">
        <v>47945</v>
      </c>
      <c r="B47946">
        <f>TEXT(47945, "[$-0E0000]yyyy-mm-dd")</f>
        <v/>
      </c>
      <c r="C47946" t="inlineStr">
        <is>
          <t>2031-03-17</t>
        </is>
      </c>
    </row>
    <row r="47947">
      <c r="A47947" s="1" t="n">
        <v>47946</v>
      </c>
      <c r="B47947">
        <f>TEXT(47946, "[$-0E0000]yyyy-mm-dd")</f>
        <v/>
      </c>
      <c r="C47947" t="inlineStr">
        <is>
          <t>2031-03-18</t>
        </is>
      </c>
    </row>
    <row r="47948">
      <c r="A47948" s="1" t="n">
        <v>47947</v>
      </c>
      <c r="B47948">
        <f>TEXT(47947, "[$-0E0000]yyyy-mm-dd")</f>
        <v/>
      </c>
      <c r="C47948" t="inlineStr">
        <is>
          <t>2031-03-19</t>
        </is>
      </c>
    </row>
    <row r="47949">
      <c r="A47949" s="1" t="n">
        <v>47948</v>
      </c>
      <c r="B47949">
        <f>TEXT(47948, "[$-0E0000]yyyy-mm-dd")</f>
        <v/>
      </c>
      <c r="C47949" t="inlineStr">
        <is>
          <t>2031-03-20</t>
        </is>
      </c>
    </row>
    <row r="47950">
      <c r="A47950" s="1" t="n">
        <v>47949</v>
      </c>
      <c r="B47950">
        <f>TEXT(47949, "[$-0E0000]yyyy-mm-dd")</f>
        <v/>
      </c>
      <c r="C47950" t="inlineStr">
        <is>
          <t>2031-03-21</t>
        </is>
      </c>
    </row>
    <row r="47951">
      <c r="A47951" s="1" t="n">
        <v>47950</v>
      </c>
      <c r="B47951">
        <f>TEXT(47950, "[$-0E0000]yyyy-mm-dd")</f>
        <v/>
      </c>
      <c r="C47951" t="inlineStr">
        <is>
          <t>2031-03-22</t>
        </is>
      </c>
    </row>
    <row r="47952">
      <c r="A47952" s="1" t="n">
        <v>47951</v>
      </c>
      <c r="B47952">
        <f>TEXT(47951, "[$-0E0000]yyyy-mm-dd")</f>
        <v/>
      </c>
      <c r="C47952" t="inlineStr">
        <is>
          <t>2031-03-23</t>
        </is>
      </c>
    </row>
    <row r="47953">
      <c r="A47953" s="1" t="n">
        <v>47952</v>
      </c>
      <c r="B47953">
        <f>TEXT(47952, "[$-0E0000]yyyy-mm-dd")</f>
        <v/>
      </c>
      <c r="C47953" t="inlineStr">
        <is>
          <t>2031-03-24</t>
        </is>
      </c>
    </row>
    <row r="47954">
      <c r="A47954" s="1" t="n">
        <v>47953</v>
      </c>
      <c r="B47954">
        <f>TEXT(47953, "[$-0E0000]yyyy-mm-dd")</f>
        <v/>
      </c>
      <c r="C47954" t="inlineStr">
        <is>
          <t>2031-03-25</t>
        </is>
      </c>
    </row>
    <row r="47955">
      <c r="A47955" s="1" t="n">
        <v>47954</v>
      </c>
      <c r="B47955">
        <f>TEXT(47954, "[$-0E0000]yyyy-mm-dd")</f>
        <v/>
      </c>
      <c r="C47955" t="inlineStr">
        <is>
          <t>2031-03-26</t>
        </is>
      </c>
    </row>
    <row r="47956">
      <c r="A47956" s="1" t="n">
        <v>47955</v>
      </c>
      <c r="B47956">
        <f>TEXT(47955, "[$-0E0000]yyyy-mm-dd")</f>
        <v/>
      </c>
      <c r="C47956" t="inlineStr">
        <is>
          <t>2031-03-27</t>
        </is>
      </c>
    </row>
    <row r="47957">
      <c r="A47957" s="1" t="n">
        <v>47956</v>
      </c>
      <c r="B47957">
        <f>TEXT(47956, "[$-0E0000]yyyy-mm-dd")</f>
        <v/>
      </c>
      <c r="C47957" t="inlineStr">
        <is>
          <t>2031-03-28</t>
        </is>
      </c>
    </row>
    <row r="47958">
      <c r="A47958" s="1" t="n">
        <v>47957</v>
      </c>
      <c r="B47958">
        <f>TEXT(47957, "[$-0E0000]yyyy-mm-dd")</f>
        <v/>
      </c>
      <c r="C47958" t="inlineStr">
        <is>
          <t>2031-03-29</t>
        </is>
      </c>
    </row>
    <row r="47959">
      <c r="A47959" s="1" t="n">
        <v>47958</v>
      </c>
      <c r="B47959">
        <f>TEXT(47958, "[$-0E0000]yyyy-mm-dd")</f>
        <v/>
      </c>
      <c r="C47959" t="inlineStr">
        <is>
          <t>2031-03-30</t>
        </is>
      </c>
    </row>
    <row r="47960">
      <c r="A47960" s="1" t="n">
        <v>47959</v>
      </c>
      <c r="B47960">
        <f>TEXT(47959, "[$-0E0000]yyyy-mm-dd")</f>
        <v/>
      </c>
      <c r="C47960" t="inlineStr">
        <is>
          <t>2031-03-01</t>
        </is>
      </c>
    </row>
    <row r="47961">
      <c r="A47961" s="1" t="n">
        <v>47960</v>
      </c>
      <c r="B47961">
        <f>TEXT(47960, "[$-0E0000]yyyy-mm-dd")</f>
        <v/>
      </c>
      <c r="C47961" t="inlineStr">
        <is>
          <t>2031-03-02</t>
        </is>
      </c>
    </row>
    <row r="47962">
      <c r="A47962" s="1" t="n">
        <v>47961</v>
      </c>
      <c r="B47962">
        <f>TEXT(47961, "[$-0E0000]yyyy-mm-dd")</f>
        <v/>
      </c>
      <c r="C47962" t="inlineStr">
        <is>
          <t>2031-03-03</t>
        </is>
      </c>
    </row>
    <row r="47963">
      <c r="A47963" s="1" t="n">
        <v>47962</v>
      </c>
      <c r="B47963">
        <f>TEXT(47962, "[$-0E0000]yyyy-mm-dd")</f>
        <v/>
      </c>
      <c r="C47963" t="inlineStr">
        <is>
          <t>2031-03-04</t>
        </is>
      </c>
    </row>
    <row r="47964">
      <c r="A47964" s="1" t="n">
        <v>47963</v>
      </c>
      <c r="B47964">
        <f>TEXT(47963, "[$-0E0000]yyyy-mm-dd")</f>
        <v/>
      </c>
      <c r="C47964" t="inlineStr">
        <is>
          <t>2031-03-05</t>
        </is>
      </c>
    </row>
    <row r="47965">
      <c r="A47965" s="1" t="n">
        <v>47964</v>
      </c>
      <c r="B47965">
        <f>TEXT(47964, "[$-0E0000]yyyy-mm-dd")</f>
        <v/>
      </c>
      <c r="C47965" t="inlineStr">
        <is>
          <t>2031-03-06</t>
        </is>
      </c>
    </row>
    <row r="47966">
      <c r="A47966" s="1" t="n">
        <v>47965</v>
      </c>
      <c r="B47966">
        <f>TEXT(47965, "[$-0E0000]yyyy-mm-dd")</f>
        <v/>
      </c>
      <c r="C47966" t="inlineStr">
        <is>
          <t>2031-03-07</t>
        </is>
      </c>
    </row>
    <row r="47967">
      <c r="A47967" s="1" t="n">
        <v>47966</v>
      </c>
      <c r="B47967">
        <f>TEXT(47966, "[$-0E0000]yyyy-mm-dd")</f>
        <v/>
      </c>
      <c r="C47967" t="inlineStr">
        <is>
          <t>2031-03-08</t>
        </is>
      </c>
    </row>
    <row r="47968">
      <c r="A47968" s="1" t="n">
        <v>47967</v>
      </c>
      <c r="B47968">
        <f>TEXT(47967, "[$-0E0000]yyyy-mm-dd")</f>
        <v/>
      </c>
      <c r="C47968" t="inlineStr">
        <is>
          <t>2031-03-09</t>
        </is>
      </c>
    </row>
    <row r="47969">
      <c r="A47969" s="1" t="n">
        <v>47968</v>
      </c>
      <c r="B47969">
        <f>TEXT(47968, "[$-0E0000]yyyy-mm-dd")</f>
        <v/>
      </c>
      <c r="C47969" t="inlineStr">
        <is>
          <t>2031-03-10</t>
        </is>
      </c>
    </row>
    <row r="47970">
      <c r="A47970" s="1" t="n">
        <v>47969</v>
      </c>
      <c r="B47970">
        <f>TEXT(47969, "[$-0E0000]yyyy-mm-dd")</f>
        <v/>
      </c>
      <c r="C47970" t="inlineStr">
        <is>
          <t>2031-03-11</t>
        </is>
      </c>
    </row>
    <row r="47971">
      <c r="A47971" s="1" t="n">
        <v>47970</v>
      </c>
      <c r="B47971">
        <f>TEXT(47970, "[$-0E0000]yyyy-mm-dd")</f>
        <v/>
      </c>
      <c r="C47971" t="inlineStr">
        <is>
          <t>2031-03-12</t>
        </is>
      </c>
    </row>
    <row r="47972">
      <c r="A47972" s="1" t="n">
        <v>47971</v>
      </c>
      <c r="B47972">
        <f>TEXT(47971, "[$-0E0000]yyyy-mm-dd")</f>
        <v/>
      </c>
      <c r="C47972" t="inlineStr">
        <is>
          <t>2031-03-13</t>
        </is>
      </c>
    </row>
    <row r="47973">
      <c r="A47973" s="1" t="n">
        <v>47972</v>
      </c>
      <c r="B47973">
        <f>TEXT(47972, "[$-0E0000]yyyy-mm-dd")</f>
        <v/>
      </c>
      <c r="C47973" t="inlineStr">
        <is>
          <t>2031-03-14</t>
        </is>
      </c>
    </row>
    <row r="47974">
      <c r="A47974" s="1" t="n">
        <v>47973</v>
      </c>
      <c r="B47974">
        <f>TEXT(47973, "[$-0E0000]yyyy-mm-dd")</f>
        <v/>
      </c>
      <c r="C47974" t="inlineStr">
        <is>
          <t>2031-03-15</t>
        </is>
      </c>
    </row>
    <row r="47975">
      <c r="A47975" s="1" t="n">
        <v>47974</v>
      </c>
      <c r="B47975">
        <f>TEXT(47974, "[$-0E0000]yyyy-mm-dd")</f>
        <v/>
      </c>
      <c r="C47975" t="inlineStr">
        <is>
          <t>2031-03-16</t>
        </is>
      </c>
    </row>
    <row r="47976">
      <c r="A47976" s="1" t="n">
        <v>47975</v>
      </c>
      <c r="B47976">
        <f>TEXT(47975, "[$-0E0000]yyyy-mm-dd")</f>
        <v/>
      </c>
      <c r="C47976" t="inlineStr">
        <is>
          <t>2031-03-17</t>
        </is>
      </c>
    </row>
    <row r="47977">
      <c r="A47977" s="1" t="n">
        <v>47976</v>
      </c>
      <c r="B47977">
        <f>TEXT(47976, "[$-0E0000]yyyy-mm-dd")</f>
        <v/>
      </c>
      <c r="C47977" t="inlineStr">
        <is>
          <t>2031-03-18</t>
        </is>
      </c>
    </row>
    <row r="47978">
      <c r="A47978" s="1" t="n">
        <v>47977</v>
      </c>
      <c r="B47978">
        <f>TEXT(47977, "[$-0E0000]yyyy-mm-dd")</f>
        <v/>
      </c>
      <c r="C47978" t="inlineStr">
        <is>
          <t>2031-03-19</t>
        </is>
      </c>
    </row>
    <row r="47979">
      <c r="A47979" s="1" t="n">
        <v>47978</v>
      </c>
      <c r="B47979">
        <f>TEXT(47978, "[$-0E0000]yyyy-mm-dd")</f>
        <v/>
      </c>
      <c r="C47979" t="inlineStr">
        <is>
          <t>2031-03-20</t>
        </is>
      </c>
    </row>
    <row r="47980">
      <c r="A47980" s="1" t="n">
        <v>47979</v>
      </c>
      <c r="B47980">
        <f>TEXT(47979, "[$-0E0000]yyyy-mm-dd")</f>
        <v/>
      </c>
      <c r="C47980" t="inlineStr">
        <is>
          <t>2031-03-21</t>
        </is>
      </c>
    </row>
    <row r="47981">
      <c r="A47981" s="1" t="n">
        <v>47980</v>
      </c>
      <c r="B47981">
        <f>TEXT(47980, "[$-0E0000]yyyy-mm-dd")</f>
        <v/>
      </c>
      <c r="C47981" t="inlineStr">
        <is>
          <t>2031-03-22</t>
        </is>
      </c>
    </row>
    <row r="47982">
      <c r="A47982" s="1" t="n">
        <v>47981</v>
      </c>
      <c r="B47982">
        <f>TEXT(47981, "[$-0E0000]yyyy-mm-dd")</f>
        <v/>
      </c>
      <c r="C47982" t="inlineStr">
        <is>
          <t>2031-03-23</t>
        </is>
      </c>
    </row>
    <row r="47983">
      <c r="A47983" s="1" t="n">
        <v>47982</v>
      </c>
      <c r="B47983">
        <f>TEXT(47982, "[$-0E0000]yyyy-mm-dd")</f>
        <v/>
      </c>
      <c r="C47983" t="inlineStr">
        <is>
          <t>2031-03-24</t>
        </is>
      </c>
    </row>
    <row r="47984">
      <c r="A47984" s="1" t="n">
        <v>47983</v>
      </c>
      <c r="B47984">
        <f>TEXT(47983, "[$-0E0000]yyyy-mm-dd")</f>
        <v/>
      </c>
      <c r="C47984" t="inlineStr">
        <is>
          <t>2031-03-25</t>
        </is>
      </c>
    </row>
    <row r="47985">
      <c r="A47985" s="1" t="n">
        <v>47984</v>
      </c>
      <c r="B47985">
        <f>TEXT(47984, "[$-0E0000]yyyy-mm-dd")</f>
        <v/>
      </c>
      <c r="C47985" t="inlineStr">
        <is>
          <t>2031-03-26</t>
        </is>
      </c>
    </row>
    <row r="47986">
      <c r="A47986" s="1" t="n">
        <v>47985</v>
      </c>
      <c r="B47986">
        <f>TEXT(47985, "[$-0E0000]yyyy-mm-dd")</f>
        <v/>
      </c>
      <c r="C47986" t="inlineStr">
        <is>
          <t>2031-03-27</t>
        </is>
      </c>
    </row>
    <row r="47987">
      <c r="A47987" s="1" t="n">
        <v>47986</v>
      </c>
      <c r="B47987">
        <f>TEXT(47986, "[$-0E0000]yyyy-mm-dd")</f>
        <v/>
      </c>
      <c r="C47987" t="inlineStr">
        <is>
          <t>2031-03-28</t>
        </is>
      </c>
    </row>
    <row r="47988">
      <c r="A47988" s="1" t="n">
        <v>47987</v>
      </c>
      <c r="B47988">
        <f>TEXT(47987, "[$-0E0000]yyyy-mm-dd")</f>
        <v/>
      </c>
      <c r="C47988" t="inlineStr">
        <is>
          <t>2031-03-29</t>
        </is>
      </c>
    </row>
    <row r="47989">
      <c r="A47989" s="1" t="n">
        <v>47988</v>
      </c>
      <c r="B47989">
        <f>TEXT(47988, "[$-0E0000]yyyy-mm-dd")</f>
        <v/>
      </c>
      <c r="C47989" t="inlineStr">
        <is>
          <t>2031-04-01</t>
        </is>
      </c>
    </row>
    <row r="47990">
      <c r="A47990" s="1" t="n">
        <v>47989</v>
      </c>
      <c r="B47990">
        <f>TEXT(47989, "[$-0E0000]yyyy-mm-dd")</f>
        <v/>
      </c>
      <c r="C47990" t="inlineStr">
        <is>
          <t>2031-04-02</t>
        </is>
      </c>
    </row>
    <row r="47991">
      <c r="A47991" s="1" t="n">
        <v>47990</v>
      </c>
      <c r="B47991">
        <f>TEXT(47990, "[$-0E0000]yyyy-mm-dd")</f>
        <v/>
      </c>
      <c r="C47991" t="inlineStr">
        <is>
          <t>2031-04-03</t>
        </is>
      </c>
    </row>
    <row r="47992">
      <c r="A47992" s="1" t="n">
        <v>47991</v>
      </c>
      <c r="B47992">
        <f>TEXT(47991, "[$-0E0000]yyyy-mm-dd")</f>
        <v/>
      </c>
      <c r="C47992" t="inlineStr">
        <is>
          <t>2031-04-04</t>
        </is>
      </c>
    </row>
    <row r="47993">
      <c r="A47993" s="1" t="n">
        <v>47992</v>
      </c>
      <c r="B47993">
        <f>TEXT(47992, "[$-0E0000]yyyy-mm-dd")</f>
        <v/>
      </c>
      <c r="C47993" t="inlineStr">
        <is>
          <t>2031-04-05</t>
        </is>
      </c>
    </row>
    <row r="47994">
      <c r="A47994" s="1" t="n">
        <v>47993</v>
      </c>
      <c r="B47994">
        <f>TEXT(47993, "[$-0E0000]yyyy-mm-dd")</f>
        <v/>
      </c>
      <c r="C47994" t="inlineStr">
        <is>
          <t>2031-04-06</t>
        </is>
      </c>
    </row>
    <row r="47995">
      <c r="A47995" s="1" t="n">
        <v>47994</v>
      </c>
      <c r="B47995">
        <f>TEXT(47994, "[$-0E0000]yyyy-mm-dd")</f>
        <v/>
      </c>
      <c r="C47995" t="inlineStr">
        <is>
          <t>2031-04-07</t>
        </is>
      </c>
    </row>
    <row r="47996">
      <c r="A47996" s="1" t="n">
        <v>47995</v>
      </c>
      <c r="B47996">
        <f>TEXT(47995, "[$-0E0000]yyyy-mm-dd")</f>
        <v/>
      </c>
      <c r="C47996" t="inlineStr">
        <is>
          <t>2031-04-08</t>
        </is>
      </c>
    </row>
    <row r="47997">
      <c r="A47997" s="1" t="n">
        <v>47996</v>
      </c>
      <c r="B47997">
        <f>TEXT(47996, "[$-0E0000]yyyy-mm-dd")</f>
        <v/>
      </c>
      <c r="C47997" t="inlineStr">
        <is>
          <t>2031-04-09</t>
        </is>
      </c>
    </row>
    <row r="47998">
      <c r="A47998" s="1" t="n">
        <v>47997</v>
      </c>
      <c r="B47998">
        <f>TEXT(47997, "[$-0E0000]yyyy-mm-dd")</f>
        <v/>
      </c>
      <c r="C47998" t="inlineStr">
        <is>
          <t>2031-04-10</t>
        </is>
      </c>
    </row>
    <row r="47999">
      <c r="A47999" s="1" t="n">
        <v>47998</v>
      </c>
      <c r="B47999">
        <f>TEXT(47998, "[$-0E0000]yyyy-mm-dd")</f>
        <v/>
      </c>
      <c r="C47999" t="inlineStr">
        <is>
          <t>2031-04-11</t>
        </is>
      </c>
    </row>
    <row r="48000">
      <c r="A48000" s="1" t="n">
        <v>47999</v>
      </c>
      <c r="B48000">
        <f>TEXT(47999, "[$-0E0000]yyyy-mm-dd")</f>
        <v/>
      </c>
      <c r="C48000" t="inlineStr">
        <is>
          <t>2031-04-12</t>
        </is>
      </c>
    </row>
    <row r="48001">
      <c r="A48001" s="1" t="n">
        <v>48000</v>
      </c>
      <c r="B48001">
        <f>TEXT(48000, "[$-0E0000]yyyy-mm-dd")</f>
        <v/>
      </c>
      <c r="C48001" t="inlineStr">
        <is>
          <t>2031-04-13</t>
        </is>
      </c>
    </row>
    <row r="48002">
      <c r="A48002" s="1" t="n">
        <v>48001</v>
      </c>
      <c r="B48002">
        <f>TEXT(48001, "[$-0E0000]yyyy-mm-dd")</f>
        <v/>
      </c>
      <c r="C48002" t="inlineStr">
        <is>
          <t>2031-04-14</t>
        </is>
      </c>
    </row>
    <row r="48003">
      <c r="A48003" s="1" t="n">
        <v>48002</v>
      </c>
      <c r="B48003">
        <f>TEXT(48002, "[$-0E0000]yyyy-mm-dd")</f>
        <v/>
      </c>
      <c r="C48003" t="inlineStr">
        <is>
          <t>2031-04-15</t>
        </is>
      </c>
    </row>
    <row r="48004">
      <c r="A48004" s="1" t="n">
        <v>48003</v>
      </c>
      <c r="B48004">
        <f>TEXT(48003, "[$-0E0000]yyyy-mm-dd")</f>
        <v/>
      </c>
      <c r="C48004" t="inlineStr">
        <is>
          <t>2031-04-16</t>
        </is>
      </c>
    </row>
    <row r="48005">
      <c r="A48005" s="1" t="n">
        <v>48004</v>
      </c>
      <c r="B48005">
        <f>TEXT(48004, "[$-0E0000]yyyy-mm-dd")</f>
        <v/>
      </c>
      <c r="C48005" t="inlineStr">
        <is>
          <t>2031-04-17</t>
        </is>
      </c>
    </row>
    <row r="48006">
      <c r="A48006" s="1" t="n">
        <v>48005</v>
      </c>
      <c r="B48006">
        <f>TEXT(48005, "[$-0E0000]yyyy-mm-dd")</f>
        <v/>
      </c>
      <c r="C48006" t="inlineStr">
        <is>
          <t>2031-04-18</t>
        </is>
      </c>
    </row>
    <row r="48007">
      <c r="A48007" s="1" t="n">
        <v>48006</v>
      </c>
      <c r="B48007">
        <f>TEXT(48006, "[$-0E0000]yyyy-mm-dd")</f>
        <v/>
      </c>
      <c r="C48007" t="inlineStr">
        <is>
          <t>2031-04-19</t>
        </is>
      </c>
    </row>
    <row r="48008">
      <c r="A48008" s="1" t="n">
        <v>48007</v>
      </c>
      <c r="B48008">
        <f>TEXT(48007, "[$-0E0000]yyyy-mm-dd")</f>
        <v/>
      </c>
      <c r="C48008" t="inlineStr">
        <is>
          <t>2031-04-20</t>
        </is>
      </c>
    </row>
    <row r="48009">
      <c r="A48009" s="1" t="n">
        <v>48008</v>
      </c>
      <c r="B48009">
        <f>TEXT(48008, "[$-0E0000]yyyy-mm-dd")</f>
        <v/>
      </c>
      <c r="C48009" t="inlineStr">
        <is>
          <t>2031-04-21</t>
        </is>
      </c>
    </row>
    <row r="48010">
      <c r="A48010" s="1" t="n">
        <v>48009</v>
      </c>
      <c r="B48010">
        <f>TEXT(48009, "[$-0E0000]yyyy-mm-dd")</f>
        <v/>
      </c>
      <c r="C48010" t="inlineStr">
        <is>
          <t>2031-04-22</t>
        </is>
      </c>
    </row>
    <row r="48011">
      <c r="A48011" s="1" t="n">
        <v>48010</v>
      </c>
      <c r="B48011">
        <f>TEXT(48010, "[$-0E0000]yyyy-mm-dd")</f>
        <v/>
      </c>
      <c r="C48011" t="inlineStr">
        <is>
          <t>2031-04-23</t>
        </is>
      </c>
    </row>
    <row r="48012">
      <c r="A48012" s="1" t="n">
        <v>48011</v>
      </c>
      <c r="B48012">
        <f>TEXT(48011, "[$-0E0000]yyyy-mm-dd")</f>
        <v/>
      </c>
      <c r="C48012" t="inlineStr">
        <is>
          <t>2031-04-24</t>
        </is>
      </c>
    </row>
    <row r="48013">
      <c r="A48013" s="1" t="n">
        <v>48012</v>
      </c>
      <c r="B48013">
        <f>TEXT(48012, "[$-0E0000]yyyy-mm-dd")</f>
        <v/>
      </c>
      <c r="C48013" t="inlineStr">
        <is>
          <t>2031-04-25</t>
        </is>
      </c>
    </row>
    <row r="48014">
      <c r="A48014" s="1" t="n">
        <v>48013</v>
      </c>
      <c r="B48014">
        <f>TEXT(48013, "[$-0E0000]yyyy-mm-dd")</f>
        <v/>
      </c>
      <c r="C48014" t="inlineStr">
        <is>
          <t>2031-04-26</t>
        </is>
      </c>
    </row>
    <row r="48015">
      <c r="A48015" s="1" t="n">
        <v>48014</v>
      </c>
      <c r="B48015">
        <f>TEXT(48014, "[$-0E0000]yyyy-mm-dd")</f>
        <v/>
      </c>
      <c r="C48015" t="inlineStr">
        <is>
          <t>2031-04-27</t>
        </is>
      </c>
    </row>
    <row r="48016">
      <c r="A48016" s="1" t="n">
        <v>48015</v>
      </c>
      <c r="B48016">
        <f>TEXT(48015, "[$-0E0000]yyyy-mm-dd")</f>
        <v/>
      </c>
      <c r="C48016" t="inlineStr">
        <is>
          <t>2031-04-28</t>
        </is>
      </c>
    </row>
    <row r="48017">
      <c r="A48017" s="1" t="n">
        <v>48016</v>
      </c>
      <c r="B48017">
        <f>TEXT(48016, "[$-0E0000]yyyy-mm-dd")</f>
        <v/>
      </c>
      <c r="C48017" t="inlineStr">
        <is>
          <t>2031-04-29</t>
        </is>
      </c>
    </row>
    <row r="48018">
      <c r="A48018" s="1" t="n">
        <v>48017</v>
      </c>
      <c r="B48018">
        <f>TEXT(48017, "[$-0E0000]yyyy-mm-dd")</f>
        <v/>
      </c>
      <c r="C48018" t="inlineStr">
        <is>
          <t>2031-04-30</t>
        </is>
      </c>
    </row>
    <row r="48019">
      <c r="A48019" s="1" t="n">
        <v>48018</v>
      </c>
      <c r="B48019">
        <f>TEXT(48018, "[$-0E0000]yyyy-mm-dd")</f>
        <v/>
      </c>
      <c r="C48019" t="inlineStr">
        <is>
          <t>2031-05-01</t>
        </is>
      </c>
    </row>
    <row r="48020">
      <c r="A48020" s="1" t="n">
        <v>48019</v>
      </c>
      <c r="B48020">
        <f>TEXT(48019, "[$-0E0000]yyyy-mm-dd")</f>
        <v/>
      </c>
      <c r="C48020" t="inlineStr">
        <is>
          <t>2031-05-02</t>
        </is>
      </c>
    </row>
    <row r="48021">
      <c r="A48021" s="1" t="n">
        <v>48020</v>
      </c>
      <c r="B48021">
        <f>TEXT(48020, "[$-0E0000]yyyy-mm-dd")</f>
        <v/>
      </c>
      <c r="C48021" t="inlineStr">
        <is>
          <t>2031-05-03</t>
        </is>
      </c>
    </row>
    <row r="48022">
      <c r="A48022" s="1" t="n">
        <v>48021</v>
      </c>
      <c r="B48022">
        <f>TEXT(48021, "[$-0E0000]yyyy-mm-dd")</f>
        <v/>
      </c>
      <c r="C48022" t="inlineStr">
        <is>
          <t>2031-05-04</t>
        </is>
      </c>
    </row>
    <row r="48023">
      <c r="A48023" s="1" t="n">
        <v>48022</v>
      </c>
      <c r="B48023">
        <f>TEXT(48022, "[$-0E0000]yyyy-mm-dd")</f>
        <v/>
      </c>
      <c r="C48023" t="inlineStr">
        <is>
          <t>2031-05-05</t>
        </is>
      </c>
    </row>
    <row r="48024">
      <c r="A48024" s="1" t="n">
        <v>48023</v>
      </c>
      <c r="B48024">
        <f>TEXT(48023, "[$-0E0000]yyyy-mm-dd")</f>
        <v/>
      </c>
      <c r="C48024" t="inlineStr">
        <is>
          <t>2031-05-06</t>
        </is>
      </c>
    </row>
    <row r="48025">
      <c r="A48025" s="1" t="n">
        <v>48024</v>
      </c>
      <c r="B48025">
        <f>TEXT(48024, "[$-0E0000]yyyy-mm-dd")</f>
        <v/>
      </c>
      <c r="C48025" t="inlineStr">
        <is>
          <t>2031-05-07</t>
        </is>
      </c>
    </row>
    <row r="48026">
      <c r="A48026" s="1" t="n">
        <v>48025</v>
      </c>
      <c r="B48026">
        <f>TEXT(48025, "[$-0E0000]yyyy-mm-dd")</f>
        <v/>
      </c>
      <c r="C48026" t="inlineStr">
        <is>
          <t>2031-05-08</t>
        </is>
      </c>
    </row>
    <row r="48027">
      <c r="A48027" s="1" t="n">
        <v>48026</v>
      </c>
      <c r="B48027">
        <f>TEXT(48026, "[$-0E0000]yyyy-mm-dd")</f>
        <v/>
      </c>
      <c r="C48027" t="inlineStr">
        <is>
          <t>2031-05-09</t>
        </is>
      </c>
    </row>
    <row r="48028">
      <c r="A48028" s="1" t="n">
        <v>48027</v>
      </c>
      <c r="B48028">
        <f>TEXT(48027, "[$-0E0000]yyyy-mm-dd")</f>
        <v/>
      </c>
      <c r="C48028" t="inlineStr">
        <is>
          <t>2031-05-10</t>
        </is>
      </c>
    </row>
    <row r="48029">
      <c r="A48029" s="1" t="n">
        <v>48028</v>
      </c>
      <c r="B48029">
        <f>TEXT(48028, "[$-0E0000]yyyy-mm-dd")</f>
        <v/>
      </c>
      <c r="C48029" t="inlineStr">
        <is>
          <t>2031-05-11</t>
        </is>
      </c>
    </row>
    <row r="48030">
      <c r="A48030" s="1" t="n">
        <v>48029</v>
      </c>
      <c r="B48030">
        <f>TEXT(48029, "[$-0E0000]yyyy-mm-dd")</f>
        <v/>
      </c>
      <c r="C48030" t="inlineStr">
        <is>
          <t>2031-05-12</t>
        </is>
      </c>
    </row>
    <row r="48031">
      <c r="A48031" s="1" t="n">
        <v>48030</v>
      </c>
      <c r="B48031">
        <f>TEXT(48030, "[$-0E0000]yyyy-mm-dd")</f>
        <v/>
      </c>
      <c r="C48031" t="inlineStr">
        <is>
          <t>2031-05-13</t>
        </is>
      </c>
    </row>
    <row r="48032">
      <c r="A48032" s="1" t="n">
        <v>48031</v>
      </c>
      <c r="B48032">
        <f>TEXT(48031, "[$-0E0000]yyyy-mm-dd")</f>
        <v/>
      </c>
      <c r="C48032" t="inlineStr">
        <is>
          <t>2031-05-14</t>
        </is>
      </c>
    </row>
    <row r="48033">
      <c r="A48033" s="1" t="n">
        <v>48032</v>
      </c>
      <c r="B48033">
        <f>TEXT(48032, "[$-0E0000]yyyy-mm-dd")</f>
        <v/>
      </c>
      <c r="C48033" t="inlineStr">
        <is>
          <t>2031-05-15</t>
        </is>
      </c>
    </row>
    <row r="48034">
      <c r="A48034" s="1" t="n">
        <v>48033</v>
      </c>
      <c r="B48034">
        <f>TEXT(48033, "[$-0E0000]yyyy-mm-dd")</f>
        <v/>
      </c>
      <c r="C48034" t="inlineStr">
        <is>
          <t>2031-05-16</t>
        </is>
      </c>
    </row>
    <row r="48035">
      <c r="A48035" s="1" t="n">
        <v>48034</v>
      </c>
      <c r="B48035">
        <f>TEXT(48034, "[$-0E0000]yyyy-mm-dd")</f>
        <v/>
      </c>
      <c r="C48035" t="inlineStr">
        <is>
          <t>2031-05-17</t>
        </is>
      </c>
    </row>
    <row r="48036">
      <c r="A48036" s="1" t="n">
        <v>48035</v>
      </c>
      <c r="B48036">
        <f>TEXT(48035, "[$-0E0000]yyyy-mm-dd")</f>
        <v/>
      </c>
      <c r="C48036" t="inlineStr">
        <is>
          <t>2031-05-18</t>
        </is>
      </c>
    </row>
    <row r="48037">
      <c r="A48037" s="1" t="n">
        <v>48036</v>
      </c>
      <c r="B48037">
        <f>TEXT(48036, "[$-0E0000]yyyy-mm-dd")</f>
        <v/>
      </c>
      <c r="C48037" t="inlineStr">
        <is>
          <t>2031-05-19</t>
        </is>
      </c>
    </row>
    <row r="48038">
      <c r="A48038" s="1" t="n">
        <v>48037</v>
      </c>
      <c r="B48038">
        <f>TEXT(48037, "[$-0E0000]yyyy-mm-dd")</f>
        <v/>
      </c>
      <c r="C48038" t="inlineStr">
        <is>
          <t>2031-05-20</t>
        </is>
      </c>
    </row>
    <row r="48039">
      <c r="A48039" s="1" t="n">
        <v>48038</v>
      </c>
      <c r="B48039">
        <f>TEXT(48038, "[$-0E0000]yyyy-mm-dd")</f>
        <v/>
      </c>
      <c r="C48039" t="inlineStr">
        <is>
          <t>2031-05-21</t>
        </is>
      </c>
    </row>
    <row r="48040">
      <c r="A48040" s="1" t="n">
        <v>48039</v>
      </c>
      <c r="B48040">
        <f>TEXT(48039, "[$-0E0000]yyyy-mm-dd")</f>
        <v/>
      </c>
      <c r="C48040" t="inlineStr">
        <is>
          <t>2031-05-22</t>
        </is>
      </c>
    </row>
    <row r="48041">
      <c r="A48041" s="1" t="n">
        <v>48040</v>
      </c>
      <c r="B48041">
        <f>TEXT(48040, "[$-0E0000]yyyy-mm-dd")</f>
        <v/>
      </c>
      <c r="C48041" t="inlineStr">
        <is>
          <t>2031-05-23</t>
        </is>
      </c>
    </row>
    <row r="48042">
      <c r="A48042" s="1" t="n">
        <v>48041</v>
      </c>
      <c r="B48042">
        <f>TEXT(48041, "[$-0E0000]yyyy-mm-dd")</f>
        <v/>
      </c>
      <c r="C48042" t="inlineStr">
        <is>
          <t>2031-05-24</t>
        </is>
      </c>
    </row>
    <row r="48043">
      <c r="A48043" s="1" t="n">
        <v>48042</v>
      </c>
      <c r="B48043">
        <f>TEXT(48042, "[$-0E0000]yyyy-mm-dd")</f>
        <v/>
      </c>
      <c r="C48043" t="inlineStr">
        <is>
          <t>2031-05-25</t>
        </is>
      </c>
    </row>
    <row r="48044">
      <c r="A48044" s="1" t="n">
        <v>48043</v>
      </c>
      <c r="B48044">
        <f>TEXT(48043, "[$-0E0000]yyyy-mm-dd")</f>
        <v/>
      </c>
      <c r="C48044" t="inlineStr">
        <is>
          <t>2031-05-26</t>
        </is>
      </c>
    </row>
    <row r="48045">
      <c r="A48045" s="1" t="n">
        <v>48044</v>
      </c>
      <c r="B48045">
        <f>TEXT(48044, "[$-0E0000]yyyy-mm-dd")</f>
        <v/>
      </c>
      <c r="C48045" t="inlineStr">
        <is>
          <t>2031-05-27</t>
        </is>
      </c>
    </row>
    <row r="48046">
      <c r="A48046" s="1" t="n">
        <v>48045</v>
      </c>
      <c r="B48046">
        <f>TEXT(48045, "[$-0E0000]yyyy-mm-dd")</f>
        <v/>
      </c>
      <c r="C48046" t="inlineStr">
        <is>
          <t>2031-05-28</t>
        </is>
      </c>
    </row>
    <row r="48047">
      <c r="A48047" s="1" t="n">
        <v>48046</v>
      </c>
      <c r="B48047">
        <f>TEXT(48046, "[$-0E0000]yyyy-mm-dd")</f>
        <v/>
      </c>
      <c r="C48047" t="inlineStr">
        <is>
          <t>2031-05-29</t>
        </is>
      </c>
    </row>
    <row r="48048">
      <c r="A48048" s="1" t="n">
        <v>48047</v>
      </c>
      <c r="B48048">
        <f>TEXT(48047, "[$-0E0000]yyyy-mm-dd")</f>
        <v/>
      </c>
      <c r="C48048" t="inlineStr">
        <is>
          <t>2031-06-01</t>
        </is>
      </c>
    </row>
    <row r="48049">
      <c r="A48049" s="1" t="n">
        <v>48048</v>
      </c>
      <c r="B48049">
        <f>TEXT(48048, "[$-0E0000]yyyy-mm-dd")</f>
        <v/>
      </c>
      <c r="C48049" t="inlineStr">
        <is>
          <t>2031-06-02</t>
        </is>
      </c>
    </row>
    <row r="48050">
      <c r="A48050" s="1" t="n">
        <v>48049</v>
      </c>
      <c r="B48050">
        <f>TEXT(48049, "[$-0E0000]yyyy-mm-dd")</f>
        <v/>
      </c>
      <c r="C48050" t="inlineStr">
        <is>
          <t>2031-06-03</t>
        </is>
      </c>
    </row>
    <row r="48051">
      <c r="A48051" s="1" t="n">
        <v>48050</v>
      </c>
      <c r="B48051">
        <f>TEXT(48050, "[$-0E0000]yyyy-mm-dd")</f>
        <v/>
      </c>
      <c r="C48051" t="inlineStr">
        <is>
          <t>2031-06-04</t>
        </is>
      </c>
    </row>
    <row r="48052">
      <c r="A48052" s="1" t="n">
        <v>48051</v>
      </c>
      <c r="B48052">
        <f>TEXT(48051, "[$-0E0000]yyyy-mm-dd")</f>
        <v/>
      </c>
      <c r="C48052" t="inlineStr">
        <is>
          <t>2031-06-05</t>
        </is>
      </c>
    </row>
    <row r="48053">
      <c r="A48053" s="1" t="n">
        <v>48052</v>
      </c>
      <c r="B48053">
        <f>TEXT(48052, "[$-0E0000]yyyy-mm-dd")</f>
        <v/>
      </c>
      <c r="C48053" t="inlineStr">
        <is>
          <t>2031-06-06</t>
        </is>
      </c>
    </row>
    <row r="48054">
      <c r="A48054" s="1" t="n">
        <v>48053</v>
      </c>
      <c r="B48054">
        <f>TEXT(48053, "[$-0E0000]yyyy-mm-dd")</f>
        <v/>
      </c>
      <c r="C48054" t="inlineStr">
        <is>
          <t>2031-06-07</t>
        </is>
      </c>
    </row>
    <row r="48055">
      <c r="A48055" s="1" t="n">
        <v>48054</v>
      </c>
      <c r="B48055">
        <f>TEXT(48054, "[$-0E0000]yyyy-mm-dd")</f>
        <v/>
      </c>
      <c r="C48055" t="inlineStr">
        <is>
          <t>2031-06-08</t>
        </is>
      </c>
    </row>
    <row r="48056">
      <c r="A48056" s="1" t="n">
        <v>48055</v>
      </c>
      <c r="B48056">
        <f>TEXT(48055, "[$-0E0000]yyyy-mm-dd")</f>
        <v/>
      </c>
      <c r="C48056" t="inlineStr">
        <is>
          <t>2031-06-09</t>
        </is>
      </c>
    </row>
    <row r="48057">
      <c r="A48057" s="1" t="n">
        <v>48056</v>
      </c>
      <c r="B48057">
        <f>TEXT(48056, "[$-0E0000]yyyy-mm-dd")</f>
        <v/>
      </c>
      <c r="C48057" t="inlineStr">
        <is>
          <t>2031-06-10</t>
        </is>
      </c>
    </row>
    <row r="48058">
      <c r="A48058" s="1" t="n">
        <v>48057</v>
      </c>
      <c r="B48058">
        <f>TEXT(48057, "[$-0E0000]yyyy-mm-dd")</f>
        <v/>
      </c>
      <c r="C48058" t="inlineStr">
        <is>
          <t>2031-06-11</t>
        </is>
      </c>
    </row>
    <row r="48059">
      <c r="A48059" s="1" t="n">
        <v>48058</v>
      </c>
      <c r="B48059">
        <f>TEXT(48058, "[$-0E0000]yyyy-mm-dd")</f>
        <v/>
      </c>
      <c r="C48059" t="inlineStr">
        <is>
          <t>2031-06-12</t>
        </is>
      </c>
    </row>
    <row r="48060">
      <c r="A48060" s="1" t="n">
        <v>48059</v>
      </c>
      <c r="B48060">
        <f>TEXT(48059, "[$-0E0000]yyyy-mm-dd")</f>
        <v/>
      </c>
      <c r="C48060" t="inlineStr">
        <is>
          <t>2031-06-13</t>
        </is>
      </c>
    </row>
    <row r="48061">
      <c r="A48061" s="1" t="n">
        <v>48060</v>
      </c>
      <c r="B48061">
        <f>TEXT(48060, "[$-0E0000]yyyy-mm-dd")</f>
        <v/>
      </c>
      <c r="C48061" t="inlineStr">
        <is>
          <t>2031-06-14</t>
        </is>
      </c>
    </row>
    <row r="48062">
      <c r="A48062" s="1" t="n">
        <v>48061</v>
      </c>
      <c r="B48062">
        <f>TEXT(48061, "[$-0E0000]yyyy-mm-dd")</f>
        <v/>
      </c>
      <c r="C48062" t="inlineStr">
        <is>
          <t>2031-06-15</t>
        </is>
      </c>
    </row>
    <row r="48063">
      <c r="A48063" s="1" t="n">
        <v>48062</v>
      </c>
      <c r="B48063">
        <f>TEXT(48062, "[$-0E0000]yyyy-mm-dd")</f>
        <v/>
      </c>
      <c r="C48063" t="inlineStr">
        <is>
          <t>2031-06-16</t>
        </is>
      </c>
    </row>
    <row r="48064">
      <c r="A48064" s="1" t="n">
        <v>48063</v>
      </c>
      <c r="B48064">
        <f>TEXT(48063, "[$-0E0000]yyyy-mm-dd")</f>
        <v/>
      </c>
      <c r="C48064" t="inlineStr">
        <is>
          <t>2031-06-17</t>
        </is>
      </c>
    </row>
    <row r="48065">
      <c r="A48065" s="1" t="n">
        <v>48064</v>
      </c>
      <c r="B48065">
        <f>TEXT(48064, "[$-0E0000]yyyy-mm-dd")</f>
        <v/>
      </c>
      <c r="C48065" t="inlineStr">
        <is>
          <t>2031-06-18</t>
        </is>
      </c>
    </row>
    <row r="48066">
      <c r="A48066" s="1" t="n">
        <v>48065</v>
      </c>
      <c r="B48066">
        <f>TEXT(48065, "[$-0E0000]yyyy-mm-dd")</f>
        <v/>
      </c>
      <c r="C48066" t="inlineStr">
        <is>
          <t>2031-06-19</t>
        </is>
      </c>
    </row>
    <row r="48067">
      <c r="A48067" s="1" t="n">
        <v>48066</v>
      </c>
      <c r="B48067">
        <f>TEXT(48066, "[$-0E0000]yyyy-mm-dd")</f>
        <v/>
      </c>
      <c r="C48067" t="inlineStr">
        <is>
          <t>2031-06-20</t>
        </is>
      </c>
    </row>
    <row r="48068">
      <c r="A48068" s="1" t="n">
        <v>48067</v>
      </c>
      <c r="B48068">
        <f>TEXT(48067, "[$-0E0000]yyyy-mm-dd")</f>
        <v/>
      </c>
      <c r="C48068" t="inlineStr">
        <is>
          <t>2031-06-21</t>
        </is>
      </c>
    </row>
    <row r="48069">
      <c r="A48069" s="1" t="n">
        <v>48068</v>
      </c>
      <c r="B48069">
        <f>TEXT(48068, "[$-0E0000]yyyy-mm-dd")</f>
        <v/>
      </c>
      <c r="C48069" t="inlineStr">
        <is>
          <t>2031-06-22</t>
        </is>
      </c>
    </row>
    <row r="48070">
      <c r="A48070" s="1" t="n">
        <v>48069</v>
      </c>
      <c r="B48070">
        <f>TEXT(48069, "[$-0E0000]yyyy-mm-dd")</f>
        <v/>
      </c>
      <c r="C48070" t="inlineStr">
        <is>
          <t>2031-06-23</t>
        </is>
      </c>
    </row>
    <row r="48071">
      <c r="A48071" s="1" t="n">
        <v>48070</v>
      </c>
      <c r="B48071">
        <f>TEXT(48070, "[$-0E0000]yyyy-mm-dd")</f>
        <v/>
      </c>
      <c r="C48071" t="inlineStr">
        <is>
          <t>2031-06-24</t>
        </is>
      </c>
    </row>
    <row r="48072">
      <c r="A48072" s="1" t="n">
        <v>48071</v>
      </c>
      <c r="B48072">
        <f>TEXT(48071, "[$-0E0000]yyyy-mm-dd")</f>
        <v/>
      </c>
      <c r="C48072" t="inlineStr">
        <is>
          <t>2031-06-25</t>
        </is>
      </c>
    </row>
    <row r="48073">
      <c r="A48073" s="1" t="n">
        <v>48072</v>
      </c>
      <c r="B48073">
        <f>TEXT(48072, "[$-0E0000]yyyy-mm-dd")</f>
        <v/>
      </c>
      <c r="C48073" t="inlineStr">
        <is>
          <t>2031-06-26</t>
        </is>
      </c>
    </row>
    <row r="48074">
      <c r="A48074" s="1" t="n">
        <v>48073</v>
      </c>
      <c r="B48074">
        <f>TEXT(48073, "[$-0E0000]yyyy-mm-dd")</f>
        <v/>
      </c>
      <c r="C48074" t="inlineStr">
        <is>
          <t>2031-06-27</t>
        </is>
      </c>
    </row>
    <row r="48075">
      <c r="A48075" s="1" t="n">
        <v>48074</v>
      </c>
      <c r="B48075">
        <f>TEXT(48074, "[$-0E0000]yyyy-mm-dd")</f>
        <v/>
      </c>
      <c r="C48075" t="inlineStr">
        <is>
          <t>2031-06-28</t>
        </is>
      </c>
    </row>
    <row r="48076">
      <c r="A48076" s="1" t="n">
        <v>48075</v>
      </c>
      <c r="B48076">
        <f>TEXT(48075, "[$-0E0000]yyyy-mm-dd")</f>
        <v/>
      </c>
      <c r="C48076" t="inlineStr">
        <is>
          <t>2031-06-29</t>
        </is>
      </c>
    </row>
    <row r="48077">
      <c r="A48077" s="1" t="n">
        <v>48076</v>
      </c>
      <c r="B48077">
        <f>TEXT(48076, "[$-0E0000]yyyy-mm-dd")</f>
        <v/>
      </c>
      <c r="C48077" t="inlineStr">
        <is>
          <t>2031-06-30</t>
        </is>
      </c>
    </row>
    <row r="48078">
      <c r="A48078" s="1" t="n">
        <v>48077</v>
      </c>
      <c r="B48078">
        <f>TEXT(48077, "[$-0E0000]yyyy-mm-dd")</f>
        <v/>
      </c>
      <c r="C48078" t="inlineStr">
        <is>
          <t>2031-07-01</t>
        </is>
      </c>
    </row>
    <row r="48079">
      <c r="A48079" s="1" t="n">
        <v>48078</v>
      </c>
      <c r="B48079">
        <f>TEXT(48078, "[$-0E0000]yyyy-mm-dd")</f>
        <v/>
      </c>
      <c r="C48079" t="inlineStr">
        <is>
          <t>2031-07-02</t>
        </is>
      </c>
    </row>
    <row r="48080">
      <c r="A48080" s="1" t="n">
        <v>48079</v>
      </c>
      <c r="B48080">
        <f>TEXT(48079, "[$-0E0000]yyyy-mm-dd")</f>
        <v/>
      </c>
      <c r="C48080" t="inlineStr">
        <is>
          <t>2031-07-03</t>
        </is>
      </c>
    </row>
    <row r="48081">
      <c r="A48081" s="1" t="n">
        <v>48080</v>
      </c>
      <c r="B48081">
        <f>TEXT(48080, "[$-0E0000]yyyy-mm-dd")</f>
        <v/>
      </c>
      <c r="C48081" t="inlineStr">
        <is>
          <t>2031-07-04</t>
        </is>
      </c>
    </row>
    <row r="48082">
      <c r="A48082" s="1" t="n">
        <v>48081</v>
      </c>
      <c r="B48082">
        <f>TEXT(48081, "[$-0E0000]yyyy-mm-dd")</f>
        <v/>
      </c>
      <c r="C48082" t="inlineStr">
        <is>
          <t>2031-07-05</t>
        </is>
      </c>
    </row>
    <row r="48083">
      <c r="A48083" s="1" t="n">
        <v>48082</v>
      </c>
      <c r="B48083">
        <f>TEXT(48082, "[$-0E0000]yyyy-mm-dd")</f>
        <v/>
      </c>
      <c r="C48083" t="inlineStr">
        <is>
          <t>2031-07-06</t>
        </is>
      </c>
    </row>
    <row r="48084">
      <c r="A48084" s="1" t="n">
        <v>48083</v>
      </c>
      <c r="B48084">
        <f>TEXT(48083, "[$-0E0000]yyyy-mm-dd")</f>
        <v/>
      </c>
      <c r="C48084" t="inlineStr">
        <is>
          <t>2031-07-07</t>
        </is>
      </c>
    </row>
    <row r="48085">
      <c r="A48085" s="1" t="n">
        <v>48084</v>
      </c>
      <c r="B48085">
        <f>TEXT(48084, "[$-0E0000]yyyy-mm-dd")</f>
        <v/>
      </c>
      <c r="C48085" t="inlineStr">
        <is>
          <t>2031-07-08</t>
        </is>
      </c>
    </row>
    <row r="48086">
      <c r="A48086" s="1" t="n">
        <v>48085</v>
      </c>
      <c r="B48086">
        <f>TEXT(48085, "[$-0E0000]yyyy-mm-dd")</f>
        <v/>
      </c>
      <c r="C48086" t="inlineStr">
        <is>
          <t>2031-07-09</t>
        </is>
      </c>
    </row>
    <row r="48087">
      <c r="A48087" s="1" t="n">
        <v>48086</v>
      </c>
      <c r="B48087">
        <f>TEXT(48086, "[$-0E0000]yyyy-mm-dd")</f>
        <v/>
      </c>
      <c r="C48087" t="inlineStr">
        <is>
          <t>2031-07-10</t>
        </is>
      </c>
    </row>
    <row r="48088">
      <c r="A48088" s="1" t="n">
        <v>48087</v>
      </c>
      <c r="B48088">
        <f>TEXT(48087, "[$-0E0000]yyyy-mm-dd")</f>
        <v/>
      </c>
      <c r="C48088" t="inlineStr">
        <is>
          <t>2031-07-11</t>
        </is>
      </c>
    </row>
    <row r="48089">
      <c r="A48089" s="1" t="n">
        <v>48088</v>
      </c>
      <c r="B48089">
        <f>TEXT(48088, "[$-0E0000]yyyy-mm-dd")</f>
        <v/>
      </c>
      <c r="C48089" t="inlineStr">
        <is>
          <t>2031-07-12</t>
        </is>
      </c>
    </row>
    <row r="48090">
      <c r="A48090" s="1" t="n">
        <v>48089</v>
      </c>
      <c r="B48090">
        <f>TEXT(48089, "[$-0E0000]yyyy-mm-dd")</f>
        <v/>
      </c>
      <c r="C48090" t="inlineStr">
        <is>
          <t>2031-07-13</t>
        </is>
      </c>
    </row>
    <row r="48091">
      <c r="A48091" s="1" t="n">
        <v>48090</v>
      </c>
      <c r="B48091">
        <f>TEXT(48090, "[$-0E0000]yyyy-mm-dd")</f>
        <v/>
      </c>
      <c r="C48091" t="inlineStr">
        <is>
          <t>2031-07-14</t>
        </is>
      </c>
    </row>
    <row r="48092">
      <c r="A48092" s="1" t="n">
        <v>48091</v>
      </c>
      <c r="B48092">
        <f>TEXT(48091, "[$-0E0000]yyyy-mm-dd")</f>
        <v/>
      </c>
      <c r="C48092" t="inlineStr">
        <is>
          <t>2031-07-15</t>
        </is>
      </c>
    </row>
    <row r="48093">
      <c r="A48093" s="1" t="n">
        <v>48092</v>
      </c>
      <c r="B48093">
        <f>TEXT(48092, "[$-0E0000]yyyy-mm-dd")</f>
        <v/>
      </c>
      <c r="C48093" t="inlineStr">
        <is>
          <t>2031-07-16</t>
        </is>
      </c>
    </row>
    <row r="48094">
      <c r="A48094" s="1" t="n">
        <v>48093</v>
      </c>
      <c r="B48094">
        <f>TEXT(48093, "[$-0E0000]yyyy-mm-dd")</f>
        <v/>
      </c>
      <c r="C48094" t="inlineStr">
        <is>
          <t>2031-07-17</t>
        </is>
      </c>
    </row>
    <row r="48095">
      <c r="A48095" s="1" t="n">
        <v>48094</v>
      </c>
      <c r="B48095">
        <f>TEXT(48094, "[$-0E0000]yyyy-mm-dd")</f>
        <v/>
      </c>
      <c r="C48095" t="inlineStr">
        <is>
          <t>2031-07-18</t>
        </is>
      </c>
    </row>
    <row r="48096">
      <c r="A48096" s="1" t="n">
        <v>48095</v>
      </c>
      <c r="B48096">
        <f>TEXT(48095, "[$-0E0000]yyyy-mm-dd")</f>
        <v/>
      </c>
      <c r="C48096" t="inlineStr">
        <is>
          <t>2031-07-19</t>
        </is>
      </c>
    </row>
    <row r="48097">
      <c r="A48097" s="1" t="n">
        <v>48096</v>
      </c>
      <c r="B48097">
        <f>TEXT(48096, "[$-0E0000]yyyy-mm-dd")</f>
        <v/>
      </c>
      <c r="C48097" t="inlineStr">
        <is>
          <t>2031-07-20</t>
        </is>
      </c>
    </row>
    <row r="48098">
      <c r="A48098" s="1" t="n">
        <v>48097</v>
      </c>
      <c r="B48098">
        <f>TEXT(48097, "[$-0E0000]yyyy-mm-dd")</f>
        <v/>
      </c>
      <c r="C48098" t="inlineStr">
        <is>
          <t>2031-07-21</t>
        </is>
      </c>
    </row>
    <row r="48099">
      <c r="A48099" s="1" t="n">
        <v>48098</v>
      </c>
      <c r="B48099">
        <f>TEXT(48098, "[$-0E0000]yyyy-mm-dd")</f>
        <v/>
      </c>
      <c r="C48099" t="inlineStr">
        <is>
          <t>2031-07-22</t>
        </is>
      </c>
    </row>
    <row r="48100">
      <c r="A48100" s="1" t="n">
        <v>48099</v>
      </c>
      <c r="B48100">
        <f>TEXT(48099, "[$-0E0000]yyyy-mm-dd")</f>
        <v/>
      </c>
      <c r="C48100" t="inlineStr">
        <is>
          <t>2031-07-23</t>
        </is>
      </c>
    </row>
    <row r="48101">
      <c r="A48101" s="1" t="n">
        <v>48100</v>
      </c>
      <c r="B48101">
        <f>TEXT(48100, "[$-0E0000]yyyy-mm-dd")</f>
        <v/>
      </c>
      <c r="C48101" t="inlineStr">
        <is>
          <t>2031-07-24</t>
        </is>
      </c>
    </row>
    <row r="48102">
      <c r="A48102" s="1" t="n">
        <v>48101</v>
      </c>
      <c r="B48102">
        <f>TEXT(48101, "[$-0E0000]yyyy-mm-dd")</f>
        <v/>
      </c>
      <c r="C48102" t="inlineStr">
        <is>
          <t>2031-07-25</t>
        </is>
      </c>
    </row>
    <row r="48103">
      <c r="A48103" s="1" t="n">
        <v>48102</v>
      </c>
      <c r="B48103">
        <f>TEXT(48102, "[$-0E0000]yyyy-mm-dd")</f>
        <v/>
      </c>
      <c r="C48103" t="inlineStr">
        <is>
          <t>2031-07-26</t>
        </is>
      </c>
    </row>
    <row r="48104">
      <c r="A48104" s="1" t="n">
        <v>48103</v>
      </c>
      <c r="B48104">
        <f>TEXT(48103, "[$-0E0000]yyyy-mm-dd")</f>
        <v/>
      </c>
      <c r="C48104" t="inlineStr">
        <is>
          <t>2031-07-27</t>
        </is>
      </c>
    </row>
    <row r="48105">
      <c r="A48105" s="1" t="n">
        <v>48104</v>
      </c>
      <c r="B48105">
        <f>TEXT(48104, "[$-0E0000]yyyy-mm-dd")</f>
        <v/>
      </c>
      <c r="C48105" t="inlineStr">
        <is>
          <t>2031-07-28</t>
        </is>
      </c>
    </row>
    <row r="48106">
      <c r="A48106" s="1" t="n">
        <v>48105</v>
      </c>
      <c r="B48106">
        <f>TEXT(48105, "[$-0E0000]yyyy-mm-dd")</f>
        <v/>
      </c>
      <c r="C48106" t="inlineStr">
        <is>
          <t>2031-07-29</t>
        </is>
      </c>
    </row>
    <row r="48107">
      <c r="A48107" s="1" t="n">
        <v>48106</v>
      </c>
      <c r="B48107">
        <f>TEXT(48106, "[$-0E0000]yyyy-mm-dd")</f>
        <v/>
      </c>
      <c r="C48107" t="inlineStr">
        <is>
          <t>2031-07-30</t>
        </is>
      </c>
    </row>
    <row r="48108">
      <c r="A48108" s="1" t="n">
        <v>48107</v>
      </c>
      <c r="B48108">
        <f>TEXT(48107, "[$-0E0000]yyyy-mm-dd")</f>
        <v/>
      </c>
      <c r="C48108" t="inlineStr">
        <is>
          <t>2031-08-01</t>
        </is>
      </c>
    </row>
    <row r="48109">
      <c r="A48109" s="1" t="n">
        <v>48108</v>
      </c>
      <c r="B48109">
        <f>TEXT(48108, "[$-0E0000]yyyy-mm-dd")</f>
        <v/>
      </c>
      <c r="C48109" t="inlineStr">
        <is>
          <t>2031-08-02</t>
        </is>
      </c>
    </row>
    <row r="48110">
      <c r="A48110" s="1" t="n">
        <v>48109</v>
      </c>
      <c r="B48110">
        <f>TEXT(48109, "[$-0E0000]yyyy-mm-dd")</f>
        <v/>
      </c>
      <c r="C48110" t="inlineStr">
        <is>
          <t>2031-08-03</t>
        </is>
      </c>
    </row>
    <row r="48111">
      <c r="A48111" s="1" t="n">
        <v>48110</v>
      </c>
      <c r="B48111">
        <f>TEXT(48110, "[$-0E0000]yyyy-mm-dd")</f>
        <v/>
      </c>
      <c r="C48111" t="inlineStr">
        <is>
          <t>2031-08-04</t>
        </is>
      </c>
    </row>
    <row r="48112">
      <c r="A48112" s="1" t="n">
        <v>48111</v>
      </c>
      <c r="B48112">
        <f>TEXT(48111, "[$-0E0000]yyyy-mm-dd")</f>
        <v/>
      </c>
      <c r="C48112" t="inlineStr">
        <is>
          <t>2031-08-05</t>
        </is>
      </c>
    </row>
    <row r="48113">
      <c r="A48113" s="1" t="n">
        <v>48112</v>
      </c>
      <c r="B48113">
        <f>TEXT(48112, "[$-0E0000]yyyy-mm-dd")</f>
        <v/>
      </c>
      <c r="C48113" t="inlineStr">
        <is>
          <t>2031-08-06</t>
        </is>
      </c>
    </row>
    <row r="48114">
      <c r="A48114" s="1" t="n">
        <v>48113</v>
      </c>
      <c r="B48114">
        <f>TEXT(48113, "[$-0E0000]yyyy-mm-dd")</f>
        <v/>
      </c>
      <c r="C48114" t="inlineStr">
        <is>
          <t>2031-08-07</t>
        </is>
      </c>
    </row>
    <row r="48115">
      <c r="A48115" s="1" t="n">
        <v>48114</v>
      </c>
      <c r="B48115">
        <f>TEXT(48114, "[$-0E0000]yyyy-mm-dd")</f>
        <v/>
      </c>
      <c r="C48115" t="inlineStr">
        <is>
          <t>2031-08-08</t>
        </is>
      </c>
    </row>
    <row r="48116">
      <c r="A48116" s="1" t="n">
        <v>48115</v>
      </c>
      <c r="B48116">
        <f>TEXT(48115, "[$-0E0000]yyyy-mm-dd")</f>
        <v/>
      </c>
      <c r="C48116" t="inlineStr">
        <is>
          <t>2031-08-09</t>
        </is>
      </c>
    </row>
    <row r="48117">
      <c r="A48117" s="1" t="n">
        <v>48116</v>
      </c>
      <c r="B48117">
        <f>TEXT(48116, "[$-0E0000]yyyy-mm-dd")</f>
        <v/>
      </c>
      <c r="C48117" t="inlineStr">
        <is>
          <t>2031-08-10</t>
        </is>
      </c>
    </row>
    <row r="48118">
      <c r="A48118" s="1" t="n">
        <v>48117</v>
      </c>
      <c r="B48118">
        <f>TEXT(48117, "[$-0E0000]yyyy-mm-dd")</f>
        <v/>
      </c>
      <c r="C48118" t="inlineStr">
        <is>
          <t>2031-08-11</t>
        </is>
      </c>
    </row>
    <row r="48119">
      <c r="A48119" s="1" t="n">
        <v>48118</v>
      </c>
      <c r="B48119">
        <f>TEXT(48118, "[$-0E0000]yyyy-mm-dd")</f>
        <v/>
      </c>
      <c r="C48119" t="inlineStr">
        <is>
          <t>2031-08-12</t>
        </is>
      </c>
    </row>
    <row r="48120">
      <c r="A48120" s="1" t="n">
        <v>48119</v>
      </c>
      <c r="B48120">
        <f>TEXT(48119, "[$-0E0000]yyyy-mm-dd")</f>
        <v/>
      </c>
      <c r="C48120" t="inlineStr">
        <is>
          <t>2031-08-13</t>
        </is>
      </c>
    </row>
    <row r="48121">
      <c r="A48121" s="1" t="n">
        <v>48120</v>
      </c>
      <c r="B48121">
        <f>TEXT(48120, "[$-0E0000]yyyy-mm-dd")</f>
        <v/>
      </c>
      <c r="C48121" t="inlineStr">
        <is>
          <t>2031-08-14</t>
        </is>
      </c>
    </row>
    <row r="48122">
      <c r="A48122" s="1" t="n">
        <v>48121</v>
      </c>
      <c r="B48122">
        <f>TEXT(48121, "[$-0E0000]yyyy-mm-dd")</f>
        <v/>
      </c>
      <c r="C48122" t="inlineStr">
        <is>
          <t>2031-08-15</t>
        </is>
      </c>
    </row>
    <row r="48123">
      <c r="A48123" s="1" t="n">
        <v>48122</v>
      </c>
      <c r="B48123">
        <f>TEXT(48122, "[$-0E0000]yyyy-mm-dd")</f>
        <v/>
      </c>
      <c r="C48123" t="inlineStr">
        <is>
          <t>2031-08-16</t>
        </is>
      </c>
    </row>
    <row r="48124">
      <c r="A48124" s="1" t="n">
        <v>48123</v>
      </c>
      <c r="B48124">
        <f>TEXT(48123, "[$-0E0000]yyyy-mm-dd")</f>
        <v/>
      </c>
      <c r="C48124" t="inlineStr">
        <is>
          <t>2031-08-17</t>
        </is>
      </c>
    </row>
    <row r="48125">
      <c r="A48125" s="1" t="n">
        <v>48124</v>
      </c>
      <c r="B48125">
        <f>TEXT(48124, "[$-0E0000]yyyy-mm-dd")</f>
        <v/>
      </c>
      <c r="C48125" t="inlineStr">
        <is>
          <t>2031-08-18</t>
        </is>
      </c>
    </row>
    <row r="48126">
      <c r="A48126" s="1" t="n">
        <v>48125</v>
      </c>
      <c r="B48126">
        <f>TEXT(48125, "[$-0E0000]yyyy-mm-dd")</f>
        <v/>
      </c>
      <c r="C48126" t="inlineStr">
        <is>
          <t>2031-08-19</t>
        </is>
      </c>
    </row>
    <row r="48127">
      <c r="A48127" s="1" t="n">
        <v>48126</v>
      </c>
      <c r="B48127">
        <f>TEXT(48126, "[$-0E0000]yyyy-mm-dd")</f>
        <v/>
      </c>
      <c r="C48127" t="inlineStr">
        <is>
          <t>2031-08-20</t>
        </is>
      </c>
    </row>
    <row r="48128">
      <c r="A48128" s="1" t="n">
        <v>48127</v>
      </c>
      <c r="B48128">
        <f>TEXT(48127, "[$-0E0000]yyyy-mm-dd")</f>
        <v/>
      </c>
      <c r="C48128" t="inlineStr">
        <is>
          <t>2031-08-21</t>
        </is>
      </c>
    </row>
    <row r="48129">
      <c r="A48129" s="1" t="n">
        <v>48128</v>
      </c>
      <c r="B48129">
        <f>TEXT(48128, "[$-0E0000]yyyy-mm-dd")</f>
        <v/>
      </c>
      <c r="C48129" t="inlineStr">
        <is>
          <t>2031-08-22</t>
        </is>
      </c>
    </row>
    <row r="48130">
      <c r="A48130" s="1" t="n">
        <v>48129</v>
      </c>
      <c r="B48130">
        <f>TEXT(48129, "[$-0E0000]yyyy-mm-dd")</f>
        <v/>
      </c>
      <c r="C48130" t="inlineStr">
        <is>
          <t>2031-08-23</t>
        </is>
      </c>
    </row>
    <row r="48131">
      <c r="A48131" s="1" t="n">
        <v>48130</v>
      </c>
      <c r="B48131">
        <f>TEXT(48130, "[$-0E0000]yyyy-mm-dd")</f>
        <v/>
      </c>
      <c r="C48131" t="inlineStr">
        <is>
          <t>2031-08-24</t>
        </is>
      </c>
    </row>
    <row r="48132">
      <c r="A48132" s="1" t="n">
        <v>48131</v>
      </c>
      <c r="B48132">
        <f>TEXT(48131, "[$-0E0000]yyyy-mm-dd")</f>
        <v/>
      </c>
      <c r="C48132" t="inlineStr">
        <is>
          <t>2031-08-25</t>
        </is>
      </c>
    </row>
    <row r="48133">
      <c r="A48133" s="1" t="n">
        <v>48132</v>
      </c>
      <c r="B48133">
        <f>TEXT(48132, "[$-0E0000]yyyy-mm-dd")</f>
        <v/>
      </c>
      <c r="C48133" t="inlineStr">
        <is>
          <t>2031-08-26</t>
        </is>
      </c>
    </row>
    <row r="48134">
      <c r="A48134" s="1" t="n">
        <v>48133</v>
      </c>
      <c r="B48134">
        <f>TEXT(48133, "[$-0E0000]yyyy-mm-dd")</f>
        <v/>
      </c>
      <c r="C48134" t="inlineStr">
        <is>
          <t>2031-08-27</t>
        </is>
      </c>
    </row>
    <row r="48135">
      <c r="A48135" s="1" t="n">
        <v>48134</v>
      </c>
      <c r="B48135">
        <f>TEXT(48134, "[$-0E0000]yyyy-mm-dd")</f>
        <v/>
      </c>
      <c r="C48135" t="inlineStr">
        <is>
          <t>2031-08-28</t>
        </is>
      </c>
    </row>
    <row r="48136">
      <c r="A48136" s="1" t="n">
        <v>48135</v>
      </c>
      <c r="B48136">
        <f>TEXT(48135, "[$-0E0000]yyyy-mm-dd")</f>
        <v/>
      </c>
      <c r="C48136" t="inlineStr">
        <is>
          <t>2031-08-29</t>
        </is>
      </c>
    </row>
    <row r="48137">
      <c r="A48137" s="1" t="n">
        <v>48136</v>
      </c>
      <c r="B48137">
        <f>TEXT(48136, "[$-0E0000]yyyy-mm-dd")</f>
        <v/>
      </c>
      <c r="C48137" t="inlineStr">
        <is>
          <t>2031-09-01</t>
        </is>
      </c>
    </row>
    <row r="48138">
      <c r="A48138" s="1" t="n">
        <v>48137</v>
      </c>
      <c r="B48138">
        <f>TEXT(48137, "[$-0E0000]yyyy-mm-dd")</f>
        <v/>
      </c>
      <c r="C48138" t="inlineStr">
        <is>
          <t>2031-09-02</t>
        </is>
      </c>
    </row>
    <row r="48139">
      <c r="A48139" s="1" t="n">
        <v>48138</v>
      </c>
      <c r="B48139">
        <f>TEXT(48138, "[$-0E0000]yyyy-mm-dd")</f>
        <v/>
      </c>
      <c r="C48139" t="inlineStr">
        <is>
          <t>2031-09-03</t>
        </is>
      </c>
    </row>
    <row r="48140">
      <c r="A48140" s="1" t="n">
        <v>48139</v>
      </c>
      <c r="B48140">
        <f>TEXT(48139, "[$-0E0000]yyyy-mm-dd")</f>
        <v/>
      </c>
      <c r="C48140" t="inlineStr">
        <is>
          <t>2031-09-04</t>
        </is>
      </c>
    </row>
    <row r="48141">
      <c r="A48141" s="1" t="n">
        <v>48140</v>
      </c>
      <c r="B48141">
        <f>TEXT(48140, "[$-0E0000]yyyy-mm-dd")</f>
        <v/>
      </c>
      <c r="C48141" t="inlineStr">
        <is>
          <t>2031-09-05</t>
        </is>
      </c>
    </row>
    <row r="48142">
      <c r="A48142" s="1" t="n">
        <v>48141</v>
      </c>
      <c r="B48142">
        <f>TEXT(48141, "[$-0E0000]yyyy-mm-dd")</f>
        <v/>
      </c>
      <c r="C48142" t="inlineStr">
        <is>
          <t>2031-09-06</t>
        </is>
      </c>
    </row>
    <row r="48143">
      <c r="A48143" s="1" t="n">
        <v>48142</v>
      </c>
      <c r="B48143">
        <f>TEXT(48142, "[$-0E0000]yyyy-mm-dd")</f>
        <v/>
      </c>
      <c r="C48143" t="inlineStr">
        <is>
          <t>2031-09-07</t>
        </is>
      </c>
    </row>
    <row r="48144">
      <c r="A48144" s="1" t="n">
        <v>48143</v>
      </c>
      <c r="B48144">
        <f>TEXT(48143, "[$-0E0000]yyyy-mm-dd")</f>
        <v/>
      </c>
      <c r="C48144" t="inlineStr">
        <is>
          <t>2031-09-08</t>
        </is>
      </c>
    </row>
    <row r="48145">
      <c r="A48145" s="1" t="n">
        <v>48144</v>
      </c>
      <c r="B48145">
        <f>TEXT(48144, "[$-0E0000]yyyy-mm-dd")</f>
        <v/>
      </c>
      <c r="C48145" t="inlineStr">
        <is>
          <t>2031-09-09</t>
        </is>
      </c>
    </row>
    <row r="48146">
      <c r="A48146" s="1" t="n">
        <v>48145</v>
      </c>
      <c r="B48146">
        <f>TEXT(48145, "[$-0E0000]yyyy-mm-dd")</f>
        <v/>
      </c>
      <c r="C48146" t="inlineStr">
        <is>
          <t>2031-09-10</t>
        </is>
      </c>
    </row>
    <row r="48147">
      <c r="A48147" s="1" t="n">
        <v>48146</v>
      </c>
      <c r="B48147">
        <f>TEXT(48146, "[$-0E0000]yyyy-mm-dd")</f>
        <v/>
      </c>
      <c r="C48147" t="inlineStr">
        <is>
          <t>2031-09-11</t>
        </is>
      </c>
    </row>
    <row r="48148">
      <c r="A48148" s="1" t="n">
        <v>48147</v>
      </c>
      <c r="B48148">
        <f>TEXT(48147, "[$-0E0000]yyyy-mm-dd")</f>
        <v/>
      </c>
      <c r="C48148" t="inlineStr">
        <is>
          <t>2031-09-12</t>
        </is>
      </c>
    </row>
    <row r="48149">
      <c r="A48149" s="1" t="n">
        <v>48148</v>
      </c>
      <c r="B48149">
        <f>TEXT(48148, "[$-0E0000]yyyy-mm-dd")</f>
        <v/>
      </c>
      <c r="C48149" t="inlineStr">
        <is>
          <t>2031-09-13</t>
        </is>
      </c>
    </row>
    <row r="48150">
      <c r="A48150" s="1" t="n">
        <v>48149</v>
      </c>
      <c r="B48150">
        <f>TEXT(48149, "[$-0E0000]yyyy-mm-dd")</f>
        <v/>
      </c>
      <c r="C48150" t="inlineStr">
        <is>
          <t>2031-09-14</t>
        </is>
      </c>
    </row>
    <row r="48151">
      <c r="A48151" s="1" t="n">
        <v>48150</v>
      </c>
      <c r="B48151">
        <f>TEXT(48150, "[$-0E0000]yyyy-mm-dd")</f>
        <v/>
      </c>
      <c r="C48151" t="inlineStr">
        <is>
          <t>2031-09-15</t>
        </is>
      </c>
    </row>
    <row r="48152">
      <c r="A48152" s="1" t="n">
        <v>48151</v>
      </c>
      <c r="B48152">
        <f>TEXT(48151, "[$-0E0000]yyyy-mm-dd")</f>
        <v/>
      </c>
      <c r="C48152" t="inlineStr">
        <is>
          <t>2031-09-16</t>
        </is>
      </c>
    </row>
    <row r="48153">
      <c r="A48153" s="1" t="n">
        <v>48152</v>
      </c>
      <c r="B48153">
        <f>TEXT(48152, "[$-0E0000]yyyy-mm-dd")</f>
        <v/>
      </c>
      <c r="C48153" t="inlineStr">
        <is>
          <t>2031-09-17</t>
        </is>
      </c>
    </row>
    <row r="48154">
      <c r="A48154" s="1" t="n">
        <v>48153</v>
      </c>
      <c r="B48154">
        <f>TEXT(48153, "[$-0E0000]yyyy-mm-dd")</f>
        <v/>
      </c>
      <c r="C48154" t="inlineStr">
        <is>
          <t>2031-09-18</t>
        </is>
      </c>
    </row>
    <row r="48155">
      <c r="A48155" s="1" t="n">
        <v>48154</v>
      </c>
      <c r="B48155">
        <f>TEXT(48154, "[$-0E0000]yyyy-mm-dd")</f>
        <v/>
      </c>
      <c r="C48155" t="inlineStr">
        <is>
          <t>2031-09-19</t>
        </is>
      </c>
    </row>
    <row r="48156">
      <c r="A48156" s="1" t="n">
        <v>48155</v>
      </c>
      <c r="B48156">
        <f>TEXT(48155, "[$-0E0000]yyyy-mm-dd")</f>
        <v/>
      </c>
      <c r="C48156" t="inlineStr">
        <is>
          <t>2031-09-20</t>
        </is>
      </c>
    </row>
    <row r="48157">
      <c r="A48157" s="1" t="n">
        <v>48156</v>
      </c>
      <c r="B48157">
        <f>TEXT(48156, "[$-0E0000]yyyy-mm-dd")</f>
        <v/>
      </c>
      <c r="C48157" t="inlineStr">
        <is>
          <t>2031-09-21</t>
        </is>
      </c>
    </row>
    <row r="48158">
      <c r="A48158" s="1" t="n">
        <v>48157</v>
      </c>
      <c r="B48158">
        <f>TEXT(48157, "[$-0E0000]yyyy-mm-dd")</f>
        <v/>
      </c>
      <c r="C48158" t="inlineStr">
        <is>
          <t>2031-09-22</t>
        </is>
      </c>
    </row>
    <row r="48159">
      <c r="A48159" s="1" t="n">
        <v>48158</v>
      </c>
      <c r="B48159">
        <f>TEXT(48158, "[$-0E0000]yyyy-mm-dd")</f>
        <v/>
      </c>
      <c r="C48159" t="inlineStr">
        <is>
          <t>2031-09-23</t>
        </is>
      </c>
    </row>
    <row r="48160">
      <c r="A48160" s="1" t="n">
        <v>48159</v>
      </c>
      <c r="B48160">
        <f>TEXT(48159, "[$-0E0000]yyyy-mm-dd")</f>
        <v/>
      </c>
      <c r="C48160" t="inlineStr">
        <is>
          <t>2031-09-24</t>
        </is>
      </c>
    </row>
    <row r="48161">
      <c r="A48161" s="1" t="n">
        <v>48160</v>
      </c>
      <c r="B48161">
        <f>TEXT(48160, "[$-0E0000]yyyy-mm-dd")</f>
        <v/>
      </c>
      <c r="C48161" t="inlineStr">
        <is>
          <t>2031-09-25</t>
        </is>
      </c>
    </row>
    <row r="48162">
      <c r="A48162" s="1" t="n">
        <v>48161</v>
      </c>
      <c r="B48162">
        <f>TEXT(48161, "[$-0E0000]yyyy-mm-dd")</f>
        <v/>
      </c>
      <c r="C48162" t="inlineStr">
        <is>
          <t>2031-09-26</t>
        </is>
      </c>
    </row>
    <row r="48163">
      <c r="A48163" s="1" t="n">
        <v>48162</v>
      </c>
      <c r="B48163">
        <f>TEXT(48162, "[$-0E0000]yyyy-mm-dd")</f>
        <v/>
      </c>
      <c r="C48163" t="inlineStr">
        <is>
          <t>2031-09-27</t>
        </is>
      </c>
    </row>
    <row r="48164">
      <c r="A48164" s="1" t="n">
        <v>48163</v>
      </c>
      <c r="B48164">
        <f>TEXT(48163, "[$-0E0000]yyyy-mm-dd")</f>
        <v/>
      </c>
      <c r="C48164" t="inlineStr">
        <is>
          <t>2031-09-28</t>
        </is>
      </c>
    </row>
    <row r="48165">
      <c r="A48165" s="1" t="n">
        <v>48164</v>
      </c>
      <c r="B48165">
        <f>TEXT(48164, "[$-0E0000]yyyy-mm-dd")</f>
        <v/>
      </c>
      <c r="C48165" t="inlineStr">
        <is>
          <t>2031-09-29</t>
        </is>
      </c>
    </row>
    <row r="48166">
      <c r="A48166" s="1" t="n">
        <v>48165</v>
      </c>
      <c r="B48166">
        <f>TEXT(48165, "[$-0E0000]yyyy-mm-dd")</f>
        <v/>
      </c>
      <c r="C48166" t="inlineStr">
        <is>
          <t>2031-09-30</t>
        </is>
      </c>
    </row>
    <row r="48167">
      <c r="A48167" s="1" t="n">
        <v>48166</v>
      </c>
      <c r="B48167">
        <f>TEXT(48166, "[$-0E0000]yyyy-mm-dd")</f>
        <v/>
      </c>
      <c r="C48167" t="inlineStr">
        <is>
          <t>2031-10-01</t>
        </is>
      </c>
    </row>
    <row r="48168">
      <c r="A48168" s="1" t="n">
        <v>48167</v>
      </c>
      <c r="B48168">
        <f>TEXT(48167, "[$-0E0000]yyyy-mm-dd")</f>
        <v/>
      </c>
      <c r="C48168" t="inlineStr">
        <is>
          <t>2031-10-02</t>
        </is>
      </c>
    </row>
    <row r="48169">
      <c r="A48169" s="1" t="n">
        <v>48168</v>
      </c>
      <c r="B48169">
        <f>TEXT(48168, "[$-0E0000]yyyy-mm-dd")</f>
        <v/>
      </c>
      <c r="C48169" t="inlineStr">
        <is>
          <t>2031-10-03</t>
        </is>
      </c>
    </row>
    <row r="48170">
      <c r="A48170" s="1" t="n">
        <v>48169</v>
      </c>
      <c r="B48170">
        <f>TEXT(48169, "[$-0E0000]yyyy-mm-dd")</f>
        <v/>
      </c>
      <c r="C48170" t="inlineStr">
        <is>
          <t>2031-10-04</t>
        </is>
      </c>
    </row>
    <row r="48171">
      <c r="A48171" s="1" t="n">
        <v>48170</v>
      </c>
      <c r="B48171">
        <f>TEXT(48170, "[$-0E0000]yyyy-mm-dd")</f>
        <v/>
      </c>
      <c r="C48171" t="inlineStr">
        <is>
          <t>2031-10-05</t>
        </is>
      </c>
    </row>
    <row r="48172">
      <c r="A48172" s="1" t="n">
        <v>48171</v>
      </c>
      <c r="B48172">
        <f>TEXT(48171, "[$-0E0000]yyyy-mm-dd")</f>
        <v/>
      </c>
      <c r="C48172" t="inlineStr">
        <is>
          <t>2031-10-06</t>
        </is>
      </c>
    </row>
    <row r="48173">
      <c r="A48173" s="1" t="n">
        <v>48172</v>
      </c>
      <c r="B48173">
        <f>TEXT(48172, "[$-0E0000]yyyy-mm-dd")</f>
        <v/>
      </c>
      <c r="C48173" t="inlineStr">
        <is>
          <t>2031-10-07</t>
        </is>
      </c>
    </row>
    <row r="48174">
      <c r="A48174" s="1" t="n">
        <v>48173</v>
      </c>
      <c r="B48174">
        <f>TEXT(48173, "[$-0E0000]yyyy-mm-dd")</f>
        <v/>
      </c>
      <c r="C48174" t="inlineStr">
        <is>
          <t>2031-10-08</t>
        </is>
      </c>
    </row>
    <row r="48175">
      <c r="A48175" s="1" t="n">
        <v>48174</v>
      </c>
      <c r="B48175">
        <f>TEXT(48174, "[$-0E0000]yyyy-mm-dd")</f>
        <v/>
      </c>
      <c r="C48175" t="inlineStr">
        <is>
          <t>2031-10-09</t>
        </is>
      </c>
    </row>
    <row r="48176">
      <c r="A48176" s="1" t="n">
        <v>48175</v>
      </c>
      <c r="B48176">
        <f>TEXT(48175, "[$-0E0000]yyyy-mm-dd")</f>
        <v/>
      </c>
      <c r="C48176" t="inlineStr">
        <is>
          <t>2031-10-10</t>
        </is>
      </c>
    </row>
    <row r="48177">
      <c r="A48177" s="1" t="n">
        <v>48176</v>
      </c>
      <c r="B48177">
        <f>TEXT(48176, "[$-0E0000]yyyy-mm-dd")</f>
        <v/>
      </c>
      <c r="C48177" t="inlineStr">
        <is>
          <t>2031-10-11</t>
        </is>
      </c>
    </row>
    <row r="48178">
      <c r="A48178" s="1" t="n">
        <v>48177</v>
      </c>
      <c r="B48178">
        <f>TEXT(48177, "[$-0E0000]yyyy-mm-dd")</f>
        <v/>
      </c>
      <c r="C48178" t="inlineStr">
        <is>
          <t>2031-10-12</t>
        </is>
      </c>
    </row>
    <row r="48179">
      <c r="A48179" s="1" t="n">
        <v>48178</v>
      </c>
      <c r="B48179">
        <f>TEXT(48178, "[$-0E0000]yyyy-mm-dd")</f>
        <v/>
      </c>
      <c r="C48179" t="inlineStr">
        <is>
          <t>2031-10-13</t>
        </is>
      </c>
    </row>
    <row r="48180">
      <c r="A48180" s="1" t="n">
        <v>48179</v>
      </c>
      <c r="B48180">
        <f>TEXT(48179, "[$-0E0000]yyyy-mm-dd")</f>
        <v/>
      </c>
      <c r="C48180" t="inlineStr">
        <is>
          <t>2031-10-14</t>
        </is>
      </c>
    </row>
    <row r="48181">
      <c r="A48181" s="1" t="n">
        <v>48180</v>
      </c>
      <c r="B48181">
        <f>TEXT(48180, "[$-0E0000]yyyy-mm-dd")</f>
        <v/>
      </c>
      <c r="C48181" t="inlineStr">
        <is>
          <t>2031-10-15</t>
        </is>
      </c>
    </row>
    <row r="48182">
      <c r="A48182" s="1" t="n">
        <v>48181</v>
      </c>
      <c r="B48182">
        <f>TEXT(48181, "[$-0E0000]yyyy-mm-dd")</f>
        <v/>
      </c>
      <c r="C48182" t="inlineStr">
        <is>
          <t>2031-10-16</t>
        </is>
      </c>
    </row>
    <row r="48183">
      <c r="A48183" s="1" t="n">
        <v>48182</v>
      </c>
      <c r="B48183">
        <f>TEXT(48182, "[$-0E0000]yyyy-mm-dd")</f>
        <v/>
      </c>
      <c r="C48183" t="inlineStr">
        <is>
          <t>2031-10-17</t>
        </is>
      </c>
    </row>
    <row r="48184">
      <c r="A48184" s="1" t="n">
        <v>48183</v>
      </c>
      <c r="B48184">
        <f>TEXT(48183, "[$-0E0000]yyyy-mm-dd")</f>
        <v/>
      </c>
      <c r="C48184" t="inlineStr">
        <is>
          <t>2031-10-18</t>
        </is>
      </c>
    </row>
    <row r="48185">
      <c r="A48185" s="1" t="n">
        <v>48184</v>
      </c>
      <c r="B48185">
        <f>TEXT(48184, "[$-0E0000]yyyy-mm-dd")</f>
        <v/>
      </c>
      <c r="C48185" t="inlineStr">
        <is>
          <t>2031-10-19</t>
        </is>
      </c>
    </row>
    <row r="48186">
      <c r="A48186" s="1" t="n">
        <v>48185</v>
      </c>
      <c r="B48186">
        <f>TEXT(48185, "[$-0E0000]yyyy-mm-dd")</f>
        <v/>
      </c>
      <c r="C48186" t="inlineStr">
        <is>
          <t>2031-10-20</t>
        </is>
      </c>
    </row>
    <row r="48187">
      <c r="A48187" s="1" t="n">
        <v>48186</v>
      </c>
      <c r="B48187">
        <f>TEXT(48186, "[$-0E0000]yyyy-mm-dd")</f>
        <v/>
      </c>
      <c r="C48187" t="inlineStr">
        <is>
          <t>2031-10-21</t>
        </is>
      </c>
    </row>
    <row r="48188">
      <c r="A48188" s="1" t="n">
        <v>48187</v>
      </c>
      <c r="B48188">
        <f>TEXT(48187, "[$-0E0000]yyyy-mm-dd")</f>
        <v/>
      </c>
      <c r="C48188" t="inlineStr">
        <is>
          <t>2031-10-22</t>
        </is>
      </c>
    </row>
    <row r="48189">
      <c r="A48189" s="1" t="n">
        <v>48188</v>
      </c>
      <c r="B48189">
        <f>TEXT(48188, "[$-0E0000]yyyy-mm-dd")</f>
        <v/>
      </c>
      <c r="C48189" t="inlineStr">
        <is>
          <t>2031-10-23</t>
        </is>
      </c>
    </row>
    <row r="48190">
      <c r="A48190" s="1" t="n">
        <v>48189</v>
      </c>
      <c r="B48190">
        <f>TEXT(48189, "[$-0E0000]yyyy-mm-dd")</f>
        <v/>
      </c>
      <c r="C48190" t="inlineStr">
        <is>
          <t>2031-10-24</t>
        </is>
      </c>
    </row>
    <row r="48191">
      <c r="A48191" s="1" t="n">
        <v>48190</v>
      </c>
      <c r="B48191">
        <f>TEXT(48190, "[$-0E0000]yyyy-mm-dd")</f>
        <v/>
      </c>
      <c r="C48191" t="inlineStr">
        <is>
          <t>2031-10-25</t>
        </is>
      </c>
    </row>
    <row r="48192">
      <c r="A48192" s="1" t="n">
        <v>48191</v>
      </c>
      <c r="B48192">
        <f>TEXT(48191, "[$-0E0000]yyyy-mm-dd")</f>
        <v/>
      </c>
      <c r="C48192" t="inlineStr">
        <is>
          <t>2031-10-26</t>
        </is>
      </c>
    </row>
    <row r="48193">
      <c r="A48193" s="1" t="n">
        <v>48192</v>
      </c>
      <c r="B48193">
        <f>TEXT(48192, "[$-0E0000]yyyy-mm-dd")</f>
        <v/>
      </c>
      <c r="C48193" t="inlineStr">
        <is>
          <t>2031-10-27</t>
        </is>
      </c>
    </row>
    <row r="48194">
      <c r="A48194" s="1" t="n">
        <v>48193</v>
      </c>
      <c r="B48194">
        <f>TEXT(48193, "[$-0E0000]yyyy-mm-dd")</f>
        <v/>
      </c>
      <c r="C48194" t="inlineStr">
        <is>
          <t>2031-10-28</t>
        </is>
      </c>
    </row>
    <row r="48195">
      <c r="A48195" s="1" t="n">
        <v>48194</v>
      </c>
      <c r="B48195">
        <f>TEXT(48194, "[$-0E0000]yyyy-mm-dd")</f>
        <v/>
      </c>
      <c r="C48195" t="inlineStr">
        <is>
          <t>2031-10-29</t>
        </is>
      </c>
    </row>
    <row r="48196">
      <c r="A48196" s="1" t="n">
        <v>48195</v>
      </c>
      <c r="B48196">
        <f>TEXT(48195, "[$-0E0000]yyyy-mm-dd")</f>
        <v/>
      </c>
      <c r="C48196" t="inlineStr">
        <is>
          <t>2031-11-01</t>
        </is>
      </c>
    </row>
    <row r="48197">
      <c r="A48197" s="1" t="n">
        <v>48196</v>
      </c>
      <c r="B48197">
        <f>TEXT(48196, "[$-0E0000]yyyy-mm-dd")</f>
        <v/>
      </c>
      <c r="C48197" t="inlineStr">
        <is>
          <t>2031-11-02</t>
        </is>
      </c>
    </row>
    <row r="48198">
      <c r="A48198" s="1" t="n">
        <v>48197</v>
      </c>
      <c r="B48198">
        <f>TEXT(48197, "[$-0E0000]yyyy-mm-dd")</f>
        <v/>
      </c>
      <c r="C48198" t="inlineStr">
        <is>
          <t>2031-11-03</t>
        </is>
      </c>
    </row>
    <row r="48199">
      <c r="A48199" s="1" t="n">
        <v>48198</v>
      </c>
      <c r="B48199">
        <f>TEXT(48198, "[$-0E0000]yyyy-mm-dd")</f>
        <v/>
      </c>
      <c r="C48199" t="inlineStr">
        <is>
          <t>2031-11-04</t>
        </is>
      </c>
    </row>
    <row r="48200">
      <c r="A48200" s="1" t="n">
        <v>48199</v>
      </c>
      <c r="B48200">
        <f>TEXT(48199, "[$-0E0000]yyyy-mm-dd")</f>
        <v/>
      </c>
      <c r="C48200" t="inlineStr">
        <is>
          <t>2031-11-05</t>
        </is>
      </c>
    </row>
    <row r="48201">
      <c r="A48201" s="1" t="n">
        <v>48200</v>
      </c>
      <c r="B48201">
        <f>TEXT(48200, "[$-0E0000]yyyy-mm-dd")</f>
        <v/>
      </c>
      <c r="C48201" t="inlineStr">
        <is>
          <t>2031-11-06</t>
        </is>
      </c>
    </row>
    <row r="48202">
      <c r="A48202" s="1" t="n">
        <v>48201</v>
      </c>
      <c r="B48202">
        <f>TEXT(48201, "[$-0E0000]yyyy-mm-dd")</f>
        <v/>
      </c>
      <c r="C48202" t="inlineStr">
        <is>
          <t>2031-11-07</t>
        </is>
      </c>
    </row>
    <row r="48203">
      <c r="A48203" s="1" t="n">
        <v>48202</v>
      </c>
      <c r="B48203">
        <f>TEXT(48202, "[$-0E0000]yyyy-mm-dd")</f>
        <v/>
      </c>
      <c r="C48203" t="inlineStr">
        <is>
          <t>2031-11-08</t>
        </is>
      </c>
    </row>
    <row r="48204">
      <c r="A48204" s="1" t="n">
        <v>48203</v>
      </c>
      <c r="B48204">
        <f>TEXT(48203, "[$-0E0000]yyyy-mm-dd")</f>
        <v/>
      </c>
      <c r="C48204" t="inlineStr">
        <is>
          <t>2031-11-09</t>
        </is>
      </c>
    </row>
    <row r="48205">
      <c r="A48205" s="1" t="n">
        <v>48204</v>
      </c>
      <c r="B48205">
        <f>TEXT(48204, "[$-0E0000]yyyy-mm-dd")</f>
        <v/>
      </c>
      <c r="C48205" t="inlineStr">
        <is>
          <t>2031-11-10</t>
        </is>
      </c>
    </row>
    <row r="48206">
      <c r="A48206" s="1" t="n">
        <v>48205</v>
      </c>
      <c r="B48206">
        <f>TEXT(48205, "[$-0E0000]yyyy-mm-dd")</f>
        <v/>
      </c>
      <c r="C48206" t="inlineStr">
        <is>
          <t>2031-11-11</t>
        </is>
      </c>
    </row>
    <row r="48207">
      <c r="A48207" s="1" t="n">
        <v>48206</v>
      </c>
      <c r="B48207">
        <f>TEXT(48206, "[$-0E0000]yyyy-mm-dd")</f>
        <v/>
      </c>
      <c r="C48207" t="inlineStr">
        <is>
          <t>2031-11-12</t>
        </is>
      </c>
    </row>
    <row r="48208">
      <c r="A48208" s="1" t="n">
        <v>48207</v>
      </c>
      <c r="B48208">
        <f>TEXT(48207, "[$-0E0000]yyyy-mm-dd")</f>
        <v/>
      </c>
      <c r="C48208" t="inlineStr">
        <is>
          <t>2031-11-13</t>
        </is>
      </c>
    </row>
    <row r="48209">
      <c r="A48209" s="1" t="n">
        <v>48208</v>
      </c>
      <c r="B48209">
        <f>TEXT(48208, "[$-0E0000]yyyy-mm-dd")</f>
        <v/>
      </c>
      <c r="C48209" t="inlineStr">
        <is>
          <t>2031-11-14</t>
        </is>
      </c>
    </row>
    <row r="48210">
      <c r="A48210" s="1" t="n">
        <v>48209</v>
      </c>
      <c r="B48210">
        <f>TEXT(48209, "[$-0E0000]yyyy-mm-dd")</f>
        <v/>
      </c>
      <c r="C48210" t="inlineStr">
        <is>
          <t>2031-11-15</t>
        </is>
      </c>
    </row>
    <row r="48211">
      <c r="A48211" s="1" t="n">
        <v>48210</v>
      </c>
      <c r="B48211">
        <f>TEXT(48210, "[$-0E0000]yyyy-mm-dd")</f>
        <v/>
      </c>
      <c r="C48211" t="inlineStr">
        <is>
          <t>2031-11-16</t>
        </is>
      </c>
    </row>
    <row r="48212">
      <c r="A48212" s="1" t="n">
        <v>48211</v>
      </c>
      <c r="B48212">
        <f>TEXT(48211, "[$-0E0000]yyyy-mm-dd")</f>
        <v/>
      </c>
      <c r="C48212" t="inlineStr">
        <is>
          <t>2031-11-17</t>
        </is>
      </c>
    </row>
    <row r="48213">
      <c r="A48213" s="1" t="n">
        <v>48212</v>
      </c>
      <c r="B48213">
        <f>TEXT(48212, "[$-0E0000]yyyy-mm-dd")</f>
        <v/>
      </c>
      <c r="C48213" t="inlineStr">
        <is>
          <t>2031-11-18</t>
        </is>
      </c>
    </row>
    <row r="48214">
      <c r="A48214" s="1" t="n">
        <v>48213</v>
      </c>
      <c r="B48214">
        <f>TEXT(48213, "[$-0E0000]yyyy-mm-dd")</f>
        <v/>
      </c>
      <c r="C48214" t="inlineStr">
        <is>
          <t>2031-11-19</t>
        </is>
      </c>
    </row>
    <row r="48215">
      <c r="A48215" s="1" t="n">
        <v>48214</v>
      </c>
      <c r="B48215">
        <f>TEXT(48214, "[$-0E0000]yyyy-mm-dd")</f>
        <v/>
      </c>
      <c r="C48215" t="inlineStr">
        <is>
          <t>2031-11-20</t>
        </is>
      </c>
    </row>
    <row r="48216">
      <c r="A48216" s="1" t="n">
        <v>48215</v>
      </c>
      <c r="B48216">
        <f>TEXT(48215, "[$-0E0000]yyyy-mm-dd")</f>
        <v/>
      </c>
      <c r="C48216" t="inlineStr">
        <is>
          <t>2031-11-21</t>
        </is>
      </c>
    </row>
    <row r="48217">
      <c r="A48217" s="1" t="n">
        <v>48216</v>
      </c>
      <c r="B48217">
        <f>TEXT(48216, "[$-0E0000]yyyy-mm-dd")</f>
        <v/>
      </c>
      <c r="C48217" t="inlineStr">
        <is>
          <t>2031-11-22</t>
        </is>
      </c>
    </row>
    <row r="48218">
      <c r="A48218" s="1" t="n">
        <v>48217</v>
      </c>
      <c r="B48218">
        <f>TEXT(48217, "[$-0E0000]yyyy-mm-dd")</f>
        <v/>
      </c>
      <c r="C48218" t="inlineStr">
        <is>
          <t>2031-11-23</t>
        </is>
      </c>
    </row>
    <row r="48219">
      <c r="A48219" s="1" t="n">
        <v>48218</v>
      </c>
      <c r="B48219">
        <f>TEXT(48218, "[$-0E0000]yyyy-mm-dd")</f>
        <v/>
      </c>
      <c r="C48219" t="inlineStr">
        <is>
          <t>2031-11-24</t>
        </is>
      </c>
    </row>
    <row r="48220">
      <c r="A48220" s="1" t="n">
        <v>48219</v>
      </c>
      <c r="B48220">
        <f>TEXT(48219, "[$-0E0000]yyyy-mm-dd")</f>
        <v/>
      </c>
      <c r="C48220" t="inlineStr">
        <is>
          <t>2031-11-25</t>
        </is>
      </c>
    </row>
    <row r="48221">
      <c r="A48221" s="1" t="n">
        <v>48220</v>
      </c>
      <c r="B48221">
        <f>TEXT(48220, "[$-0E0000]yyyy-mm-dd")</f>
        <v/>
      </c>
      <c r="C48221" t="inlineStr">
        <is>
          <t>2031-11-26</t>
        </is>
      </c>
    </row>
    <row r="48222">
      <c r="A48222" s="1" t="n">
        <v>48221</v>
      </c>
      <c r="B48222">
        <f>TEXT(48221, "[$-0E0000]yyyy-mm-dd")</f>
        <v/>
      </c>
      <c r="C48222" t="inlineStr">
        <is>
          <t>2031-11-27</t>
        </is>
      </c>
    </row>
    <row r="48223">
      <c r="A48223" s="1" t="n">
        <v>48222</v>
      </c>
      <c r="B48223">
        <f>TEXT(48222, "[$-0E0000]yyyy-mm-dd")</f>
        <v/>
      </c>
      <c r="C48223" t="inlineStr">
        <is>
          <t>2031-11-28</t>
        </is>
      </c>
    </row>
    <row r="48224">
      <c r="A48224" s="1" t="n">
        <v>48223</v>
      </c>
      <c r="B48224">
        <f>TEXT(48223, "[$-0E0000]yyyy-mm-dd")</f>
        <v/>
      </c>
      <c r="C48224" t="inlineStr">
        <is>
          <t>2031-11-29</t>
        </is>
      </c>
    </row>
    <row r="48225">
      <c r="A48225" s="1" t="n">
        <v>48224</v>
      </c>
      <c r="B48225">
        <f>TEXT(48224, "[$-0E0000]yyyy-mm-dd")</f>
        <v/>
      </c>
      <c r="C48225" t="inlineStr">
        <is>
          <t>2031-11-30</t>
        </is>
      </c>
    </row>
    <row r="48226">
      <c r="A48226" s="1" t="n">
        <v>48225</v>
      </c>
      <c r="B48226">
        <f>TEXT(48225, "[$-0E0000]yyyy-mm-dd")</f>
        <v/>
      </c>
      <c r="C48226" t="inlineStr">
        <is>
          <t>2031-12-01</t>
        </is>
      </c>
    </row>
    <row r="48227">
      <c r="A48227" s="1" t="n">
        <v>48226</v>
      </c>
      <c r="B48227">
        <f>TEXT(48226, "[$-0E0000]yyyy-mm-dd")</f>
        <v/>
      </c>
      <c r="C48227" t="inlineStr">
        <is>
          <t>2031-12-02</t>
        </is>
      </c>
    </row>
    <row r="48228">
      <c r="A48228" s="1" t="n">
        <v>48227</v>
      </c>
      <c r="B48228">
        <f>TEXT(48227, "[$-0E0000]yyyy-mm-dd")</f>
        <v/>
      </c>
      <c r="C48228" t="inlineStr">
        <is>
          <t>2031-12-03</t>
        </is>
      </c>
    </row>
    <row r="48229">
      <c r="A48229" s="1" t="n">
        <v>48228</v>
      </c>
      <c r="B48229">
        <f>TEXT(48228, "[$-0E0000]yyyy-mm-dd")</f>
        <v/>
      </c>
      <c r="C48229" t="inlineStr">
        <is>
          <t>2031-12-04</t>
        </is>
      </c>
    </row>
    <row r="48230">
      <c r="A48230" s="1" t="n">
        <v>48229</v>
      </c>
      <c r="B48230">
        <f>TEXT(48229, "[$-0E0000]yyyy-mm-dd")</f>
        <v/>
      </c>
      <c r="C48230" t="inlineStr">
        <is>
          <t>2031-12-05</t>
        </is>
      </c>
    </row>
    <row r="48231">
      <c r="A48231" s="1" t="n">
        <v>48230</v>
      </c>
      <c r="B48231">
        <f>TEXT(48230, "[$-0E0000]yyyy-mm-dd")</f>
        <v/>
      </c>
      <c r="C48231" t="inlineStr">
        <is>
          <t>2031-12-06</t>
        </is>
      </c>
    </row>
    <row r="48232">
      <c r="A48232" s="1" t="n">
        <v>48231</v>
      </c>
      <c r="B48232">
        <f>TEXT(48231, "[$-0E0000]yyyy-mm-dd")</f>
        <v/>
      </c>
      <c r="C48232" t="inlineStr">
        <is>
          <t>2031-12-07</t>
        </is>
      </c>
    </row>
    <row r="48233">
      <c r="A48233" s="1" t="n">
        <v>48232</v>
      </c>
      <c r="B48233">
        <f>TEXT(48232, "[$-0E0000]yyyy-mm-dd")</f>
        <v/>
      </c>
      <c r="C48233" t="inlineStr">
        <is>
          <t>2031-12-08</t>
        </is>
      </c>
    </row>
    <row r="48234">
      <c r="A48234" s="1" t="n">
        <v>48233</v>
      </c>
      <c r="B48234">
        <f>TEXT(48233, "[$-0E0000]yyyy-mm-dd")</f>
        <v/>
      </c>
      <c r="C48234" t="inlineStr">
        <is>
          <t>2031-12-09</t>
        </is>
      </c>
    </row>
    <row r="48235">
      <c r="A48235" s="1" t="n">
        <v>48234</v>
      </c>
      <c r="B48235">
        <f>TEXT(48234, "[$-0E0000]yyyy-mm-dd")</f>
        <v/>
      </c>
      <c r="C48235" t="inlineStr">
        <is>
          <t>2031-12-10</t>
        </is>
      </c>
    </row>
    <row r="48236">
      <c r="A48236" s="1" t="n">
        <v>48235</v>
      </c>
      <c r="B48236">
        <f>TEXT(48235, "[$-0E0000]yyyy-mm-dd")</f>
        <v/>
      </c>
      <c r="C48236" t="inlineStr">
        <is>
          <t>2031-12-11</t>
        </is>
      </c>
    </row>
    <row r="48237">
      <c r="A48237" s="1" t="n">
        <v>48236</v>
      </c>
      <c r="B48237">
        <f>TEXT(48236, "[$-0E0000]yyyy-mm-dd")</f>
        <v/>
      </c>
      <c r="C48237" t="inlineStr">
        <is>
          <t>2031-12-12</t>
        </is>
      </c>
    </row>
    <row r="48238">
      <c r="A48238" s="1" t="n">
        <v>48237</v>
      </c>
      <c r="B48238">
        <f>TEXT(48237, "[$-0E0000]yyyy-mm-dd")</f>
        <v/>
      </c>
      <c r="C48238" t="inlineStr">
        <is>
          <t>2031-12-13</t>
        </is>
      </c>
    </row>
    <row r="48239">
      <c r="A48239" s="1" t="n">
        <v>48238</v>
      </c>
      <c r="B48239">
        <f>TEXT(48238, "[$-0E0000]yyyy-mm-dd")</f>
        <v/>
      </c>
      <c r="C48239" t="inlineStr">
        <is>
          <t>2031-12-14</t>
        </is>
      </c>
    </row>
    <row r="48240">
      <c r="A48240" s="1" t="n">
        <v>48239</v>
      </c>
      <c r="B48240">
        <f>TEXT(48239, "[$-0E0000]yyyy-mm-dd")</f>
        <v/>
      </c>
      <c r="C48240" t="inlineStr">
        <is>
          <t>2031-12-15</t>
        </is>
      </c>
    </row>
    <row r="48241">
      <c r="A48241" s="1" t="n">
        <v>48240</v>
      </c>
      <c r="B48241">
        <f>TEXT(48240, "[$-0E0000]yyyy-mm-dd")</f>
        <v/>
      </c>
      <c r="C48241" t="inlineStr">
        <is>
          <t>2031-12-16</t>
        </is>
      </c>
    </row>
    <row r="48242">
      <c r="A48242" s="1" t="n">
        <v>48241</v>
      </c>
      <c r="B48242">
        <f>TEXT(48241, "[$-0E0000]yyyy-mm-dd")</f>
        <v/>
      </c>
      <c r="C48242" t="inlineStr">
        <is>
          <t>2031-12-17</t>
        </is>
      </c>
    </row>
    <row r="48243">
      <c r="A48243" s="1" t="n">
        <v>48242</v>
      </c>
      <c r="B48243">
        <f>TEXT(48242, "[$-0E0000]yyyy-mm-dd")</f>
        <v/>
      </c>
      <c r="C48243" t="inlineStr">
        <is>
          <t>2031-12-18</t>
        </is>
      </c>
    </row>
    <row r="48244">
      <c r="A48244" s="1" t="n">
        <v>48243</v>
      </c>
      <c r="B48244">
        <f>TEXT(48243, "[$-0E0000]yyyy-mm-dd")</f>
        <v/>
      </c>
      <c r="C48244" t="inlineStr">
        <is>
          <t>2031-12-19</t>
        </is>
      </c>
    </row>
    <row r="48245">
      <c r="A48245" s="1" t="n">
        <v>48244</v>
      </c>
      <c r="B48245">
        <f>TEXT(48244, "[$-0E0000]yyyy-mm-dd")</f>
        <v/>
      </c>
      <c r="C48245" t="inlineStr">
        <is>
          <t>2031-12-20</t>
        </is>
      </c>
    </row>
    <row r="48246">
      <c r="A48246" s="1" t="n">
        <v>48245</v>
      </c>
      <c r="B48246">
        <f>TEXT(48245, "[$-0E0000]yyyy-mm-dd")</f>
        <v/>
      </c>
      <c r="C48246" t="inlineStr">
        <is>
          <t>2031-12-21</t>
        </is>
      </c>
    </row>
    <row r="48247">
      <c r="A48247" s="1" t="n">
        <v>48246</v>
      </c>
      <c r="B48247">
        <f>TEXT(48246, "[$-0E0000]yyyy-mm-dd")</f>
        <v/>
      </c>
      <c r="C48247" t="inlineStr">
        <is>
          <t>2031-12-22</t>
        </is>
      </c>
    </row>
    <row r="48248">
      <c r="A48248" s="1" t="n">
        <v>48247</v>
      </c>
      <c r="B48248">
        <f>TEXT(48247, "[$-0E0000]yyyy-mm-dd")</f>
        <v/>
      </c>
      <c r="C48248" t="inlineStr">
        <is>
          <t>2031-12-23</t>
        </is>
      </c>
    </row>
    <row r="48249">
      <c r="A48249" s="1" t="n">
        <v>48248</v>
      </c>
      <c r="B48249">
        <f>TEXT(48248, "[$-0E0000]yyyy-mm-dd")</f>
        <v/>
      </c>
      <c r="C48249" t="inlineStr">
        <is>
          <t>2031-12-24</t>
        </is>
      </c>
    </row>
    <row r="48250">
      <c r="A48250" s="1" t="n">
        <v>48249</v>
      </c>
      <c r="B48250">
        <f>TEXT(48249, "[$-0E0000]yyyy-mm-dd")</f>
        <v/>
      </c>
      <c r="C48250" t="inlineStr">
        <is>
          <t>2031-12-25</t>
        </is>
      </c>
    </row>
    <row r="48251">
      <c r="A48251" s="1" t="n">
        <v>48250</v>
      </c>
      <c r="B48251">
        <f>TEXT(48250, "[$-0E0000]yyyy-mm-dd")</f>
        <v/>
      </c>
      <c r="C48251" t="inlineStr">
        <is>
          <t>2031-12-26</t>
        </is>
      </c>
    </row>
    <row r="48252">
      <c r="A48252" s="1" t="n">
        <v>48251</v>
      </c>
      <c r="B48252">
        <f>TEXT(48251, "[$-0E0000]yyyy-mm-dd")</f>
        <v/>
      </c>
      <c r="C48252" t="inlineStr">
        <is>
          <t>2031-12-27</t>
        </is>
      </c>
    </row>
    <row r="48253">
      <c r="A48253" s="1" t="n">
        <v>48252</v>
      </c>
      <c r="B48253">
        <f>TEXT(48252, "[$-0E0000]yyyy-mm-dd")</f>
        <v/>
      </c>
      <c r="C48253" t="inlineStr">
        <is>
          <t>2031-12-28</t>
        </is>
      </c>
    </row>
    <row r="48254">
      <c r="A48254" s="1" t="n">
        <v>48253</v>
      </c>
      <c r="B48254">
        <f>TEXT(48253, "[$-0E0000]yyyy-mm-dd")</f>
        <v/>
      </c>
      <c r="C48254" t="inlineStr">
        <is>
          <t>2031-12-29</t>
        </is>
      </c>
    </row>
    <row r="48255">
      <c r="A48255" s="1" t="n">
        <v>48254</v>
      </c>
      <c r="B48255">
        <f>TEXT(48254, "[$-0E0000]yyyy-mm-dd")</f>
        <v/>
      </c>
      <c r="C48255" t="inlineStr">
        <is>
          <t>2032-01-01</t>
        </is>
      </c>
    </row>
    <row r="48256">
      <c r="A48256" s="1" t="n">
        <v>48255</v>
      </c>
      <c r="B48256">
        <f>TEXT(48255, "[$-0E0000]yyyy-mm-dd")</f>
        <v/>
      </c>
      <c r="C48256" t="inlineStr">
        <is>
          <t>2032-01-02</t>
        </is>
      </c>
    </row>
    <row r="48257">
      <c r="A48257" s="1" t="n">
        <v>48256</v>
      </c>
      <c r="B48257">
        <f>TEXT(48256, "[$-0E0000]yyyy-mm-dd")</f>
        <v/>
      </c>
      <c r="C48257" t="inlineStr">
        <is>
          <t>2032-01-03</t>
        </is>
      </c>
    </row>
    <row r="48258">
      <c r="A48258" s="1" t="n">
        <v>48257</v>
      </c>
      <c r="B48258">
        <f>TEXT(48257, "[$-0E0000]yyyy-mm-dd")</f>
        <v/>
      </c>
      <c r="C48258" t="inlineStr">
        <is>
          <t>2032-01-04</t>
        </is>
      </c>
    </row>
    <row r="48259">
      <c r="A48259" s="1" t="n">
        <v>48258</v>
      </c>
      <c r="B48259">
        <f>TEXT(48258, "[$-0E0000]yyyy-mm-dd")</f>
        <v/>
      </c>
      <c r="C48259" t="inlineStr">
        <is>
          <t>2032-01-05</t>
        </is>
      </c>
    </row>
    <row r="48260">
      <c r="A48260" s="1" t="n">
        <v>48259</v>
      </c>
      <c r="B48260">
        <f>TEXT(48259, "[$-0E0000]yyyy-mm-dd")</f>
        <v/>
      </c>
      <c r="C48260" t="inlineStr">
        <is>
          <t>2032-01-06</t>
        </is>
      </c>
    </row>
    <row r="48261">
      <c r="A48261" s="1" t="n">
        <v>48260</v>
      </c>
      <c r="B48261">
        <f>TEXT(48260, "[$-0E0000]yyyy-mm-dd")</f>
        <v/>
      </c>
      <c r="C48261" t="inlineStr">
        <is>
          <t>2032-01-07</t>
        </is>
      </c>
    </row>
    <row r="48262">
      <c r="A48262" s="1" t="n">
        <v>48261</v>
      </c>
      <c r="B48262">
        <f>TEXT(48261, "[$-0E0000]yyyy-mm-dd")</f>
        <v/>
      </c>
      <c r="C48262" t="inlineStr">
        <is>
          <t>2032-01-08</t>
        </is>
      </c>
    </row>
    <row r="48263">
      <c r="A48263" s="1" t="n">
        <v>48262</v>
      </c>
      <c r="B48263">
        <f>TEXT(48262, "[$-0E0000]yyyy-mm-dd")</f>
        <v/>
      </c>
      <c r="C48263" t="inlineStr">
        <is>
          <t>2032-01-09</t>
        </is>
      </c>
    </row>
    <row r="48264">
      <c r="A48264" s="1" t="n">
        <v>48263</v>
      </c>
      <c r="B48264">
        <f>TEXT(48263, "[$-0E0000]yyyy-mm-dd")</f>
        <v/>
      </c>
      <c r="C48264" t="inlineStr">
        <is>
          <t>2032-01-10</t>
        </is>
      </c>
    </row>
    <row r="48265">
      <c r="A48265" s="1" t="n">
        <v>48264</v>
      </c>
      <c r="B48265">
        <f>TEXT(48264, "[$-0E0000]yyyy-mm-dd")</f>
        <v/>
      </c>
      <c r="C48265" t="inlineStr">
        <is>
          <t>2032-01-11</t>
        </is>
      </c>
    </row>
    <row r="48266">
      <c r="A48266" s="1" t="n">
        <v>48265</v>
      </c>
      <c r="B48266">
        <f>TEXT(48265, "[$-0E0000]yyyy-mm-dd")</f>
        <v/>
      </c>
      <c r="C48266" t="inlineStr">
        <is>
          <t>2032-01-12</t>
        </is>
      </c>
    </row>
    <row r="48267">
      <c r="A48267" s="1" t="n">
        <v>48266</v>
      </c>
      <c r="B48267">
        <f>TEXT(48266, "[$-0E0000]yyyy-mm-dd")</f>
        <v/>
      </c>
      <c r="C48267" t="inlineStr">
        <is>
          <t>2032-01-13</t>
        </is>
      </c>
    </row>
    <row r="48268">
      <c r="A48268" s="1" t="n">
        <v>48267</v>
      </c>
      <c r="B48268">
        <f>TEXT(48267, "[$-0E0000]yyyy-mm-dd")</f>
        <v/>
      </c>
      <c r="C48268" t="inlineStr">
        <is>
          <t>2032-01-14</t>
        </is>
      </c>
    </row>
    <row r="48269">
      <c r="A48269" s="1" t="n">
        <v>48268</v>
      </c>
      <c r="B48269">
        <f>TEXT(48268, "[$-0E0000]yyyy-mm-dd")</f>
        <v/>
      </c>
      <c r="C48269" t="inlineStr">
        <is>
          <t>2032-01-15</t>
        </is>
      </c>
    </row>
    <row r="48270">
      <c r="A48270" s="1" t="n">
        <v>48269</v>
      </c>
      <c r="B48270">
        <f>TEXT(48269, "[$-0E0000]yyyy-mm-dd")</f>
        <v/>
      </c>
      <c r="C48270" t="inlineStr">
        <is>
          <t>2032-01-16</t>
        </is>
      </c>
    </row>
    <row r="48271">
      <c r="A48271" s="1" t="n">
        <v>48270</v>
      </c>
      <c r="B48271">
        <f>TEXT(48270, "[$-0E0000]yyyy-mm-dd")</f>
        <v/>
      </c>
      <c r="C48271" t="inlineStr">
        <is>
          <t>2032-01-17</t>
        </is>
      </c>
    </row>
    <row r="48272">
      <c r="A48272" s="1" t="n">
        <v>48271</v>
      </c>
      <c r="B48272">
        <f>TEXT(48271, "[$-0E0000]yyyy-mm-dd")</f>
        <v/>
      </c>
      <c r="C48272" t="inlineStr">
        <is>
          <t>2032-01-18</t>
        </is>
      </c>
    </row>
    <row r="48273">
      <c r="A48273" s="1" t="n">
        <v>48272</v>
      </c>
      <c r="B48273">
        <f>TEXT(48272, "[$-0E0000]yyyy-mm-dd")</f>
        <v/>
      </c>
      <c r="C48273" t="inlineStr">
        <is>
          <t>2032-01-19</t>
        </is>
      </c>
    </row>
    <row r="48274">
      <c r="A48274" s="1" t="n">
        <v>48273</v>
      </c>
      <c r="B48274">
        <f>TEXT(48273, "[$-0E0000]yyyy-mm-dd")</f>
        <v/>
      </c>
      <c r="C48274" t="inlineStr">
        <is>
          <t>2032-01-20</t>
        </is>
      </c>
    </row>
    <row r="48275">
      <c r="A48275" s="1" t="n">
        <v>48274</v>
      </c>
      <c r="B48275">
        <f>TEXT(48274, "[$-0E0000]yyyy-mm-dd")</f>
        <v/>
      </c>
      <c r="C48275" t="inlineStr">
        <is>
          <t>2032-01-21</t>
        </is>
      </c>
    </row>
    <row r="48276">
      <c r="A48276" s="1" t="n">
        <v>48275</v>
      </c>
      <c r="B48276">
        <f>TEXT(48275, "[$-0E0000]yyyy-mm-dd")</f>
        <v/>
      </c>
      <c r="C48276" t="inlineStr">
        <is>
          <t>2032-01-22</t>
        </is>
      </c>
    </row>
    <row r="48277">
      <c r="A48277" s="1" t="n">
        <v>48276</v>
      </c>
      <c r="B48277">
        <f>TEXT(48276, "[$-0E0000]yyyy-mm-dd")</f>
        <v/>
      </c>
      <c r="C48277" t="inlineStr">
        <is>
          <t>2032-01-23</t>
        </is>
      </c>
    </row>
    <row r="48278">
      <c r="A48278" s="1" t="n">
        <v>48277</v>
      </c>
      <c r="B48278">
        <f>TEXT(48277, "[$-0E0000]yyyy-mm-dd")</f>
        <v/>
      </c>
      <c r="C48278" t="inlineStr">
        <is>
          <t>2032-01-24</t>
        </is>
      </c>
    </row>
    <row r="48279">
      <c r="A48279" s="1" t="n">
        <v>48278</v>
      </c>
      <c r="B48279">
        <f>TEXT(48278, "[$-0E0000]yyyy-mm-dd")</f>
        <v/>
      </c>
      <c r="C48279" t="inlineStr">
        <is>
          <t>2032-01-25</t>
        </is>
      </c>
    </row>
    <row r="48280">
      <c r="A48280" s="1" t="n">
        <v>48279</v>
      </c>
      <c r="B48280">
        <f>TEXT(48279, "[$-0E0000]yyyy-mm-dd")</f>
        <v/>
      </c>
      <c r="C48280" t="inlineStr">
        <is>
          <t>2032-01-26</t>
        </is>
      </c>
    </row>
    <row r="48281">
      <c r="A48281" s="1" t="n">
        <v>48280</v>
      </c>
      <c r="B48281">
        <f>TEXT(48280, "[$-0E0000]yyyy-mm-dd")</f>
        <v/>
      </c>
      <c r="C48281" t="inlineStr">
        <is>
          <t>2032-01-27</t>
        </is>
      </c>
    </row>
    <row r="48282">
      <c r="A48282" s="1" t="n">
        <v>48281</v>
      </c>
      <c r="B48282">
        <f>TEXT(48281, "[$-0E0000]yyyy-mm-dd")</f>
        <v/>
      </c>
      <c r="C48282" t="inlineStr">
        <is>
          <t>2032-01-28</t>
        </is>
      </c>
    </row>
    <row r="48283">
      <c r="A48283" s="1" t="n">
        <v>48282</v>
      </c>
      <c r="B48283">
        <f>TEXT(48282, "[$-0E0000]yyyy-mm-dd")</f>
        <v/>
      </c>
      <c r="C48283" t="inlineStr">
        <is>
          <t>2032-01-29</t>
        </is>
      </c>
    </row>
    <row r="48284">
      <c r="A48284" s="1" t="n">
        <v>48283</v>
      </c>
      <c r="B48284">
        <f>TEXT(48283, "[$-0E0000]yyyy-mm-dd")</f>
        <v/>
      </c>
      <c r="C48284" t="inlineStr">
        <is>
          <t>2032-01-30</t>
        </is>
      </c>
    </row>
    <row r="48285">
      <c r="A48285" s="1" t="n">
        <v>48284</v>
      </c>
      <c r="B48285">
        <f>TEXT(48284, "[$-0E0000]yyyy-mm-dd")</f>
        <v/>
      </c>
      <c r="C48285" t="inlineStr">
        <is>
          <t>2032-02-01</t>
        </is>
      </c>
    </row>
    <row r="48286">
      <c r="A48286" s="1" t="n">
        <v>48285</v>
      </c>
      <c r="B48286">
        <f>TEXT(48285, "[$-0E0000]yyyy-mm-dd")</f>
        <v/>
      </c>
      <c r="C48286" t="inlineStr">
        <is>
          <t>2032-02-02</t>
        </is>
      </c>
    </row>
    <row r="48287">
      <c r="A48287" s="1" t="n">
        <v>48286</v>
      </c>
      <c r="B48287">
        <f>TEXT(48286, "[$-0E0000]yyyy-mm-dd")</f>
        <v/>
      </c>
      <c r="C48287" t="inlineStr">
        <is>
          <t>2032-02-03</t>
        </is>
      </c>
    </row>
    <row r="48288">
      <c r="A48288" s="1" t="n">
        <v>48287</v>
      </c>
      <c r="B48288">
        <f>TEXT(48287, "[$-0E0000]yyyy-mm-dd")</f>
        <v/>
      </c>
      <c r="C48288" t="inlineStr">
        <is>
          <t>2032-02-04</t>
        </is>
      </c>
    </row>
    <row r="48289">
      <c r="A48289" s="1" t="n">
        <v>48288</v>
      </c>
      <c r="B48289">
        <f>TEXT(48288, "[$-0E0000]yyyy-mm-dd")</f>
        <v/>
      </c>
      <c r="C48289" t="inlineStr">
        <is>
          <t>2032-02-05</t>
        </is>
      </c>
    </row>
    <row r="48290">
      <c r="A48290" s="1" t="n">
        <v>48289</v>
      </c>
      <c r="B48290">
        <f>TEXT(48289, "[$-0E0000]yyyy-mm-dd")</f>
        <v/>
      </c>
      <c r="C48290" t="inlineStr">
        <is>
          <t>2032-02-06</t>
        </is>
      </c>
    </row>
    <row r="48291">
      <c r="A48291" s="1" t="n">
        <v>48290</v>
      </c>
      <c r="B48291">
        <f>TEXT(48290, "[$-0E0000]yyyy-mm-dd")</f>
        <v/>
      </c>
      <c r="C48291" t="inlineStr">
        <is>
          <t>2032-02-07</t>
        </is>
      </c>
    </row>
    <row r="48292">
      <c r="A48292" s="1" t="n">
        <v>48291</v>
      </c>
      <c r="B48292">
        <f>TEXT(48291, "[$-0E0000]yyyy-mm-dd")</f>
        <v/>
      </c>
      <c r="C48292" t="inlineStr">
        <is>
          <t>2032-02-08</t>
        </is>
      </c>
    </row>
    <row r="48293">
      <c r="A48293" s="1" t="n">
        <v>48292</v>
      </c>
      <c r="B48293">
        <f>TEXT(48292, "[$-0E0000]yyyy-mm-dd")</f>
        <v/>
      </c>
      <c r="C48293" t="inlineStr">
        <is>
          <t>2032-02-09</t>
        </is>
      </c>
    </row>
    <row r="48294">
      <c r="A48294" s="1" t="n">
        <v>48293</v>
      </c>
      <c r="B48294">
        <f>TEXT(48293, "[$-0E0000]yyyy-mm-dd")</f>
        <v/>
      </c>
      <c r="C48294" t="inlineStr">
        <is>
          <t>2032-02-10</t>
        </is>
      </c>
    </row>
    <row r="48295">
      <c r="A48295" s="1" t="n">
        <v>48294</v>
      </c>
      <c r="B48295">
        <f>TEXT(48294, "[$-0E0000]yyyy-mm-dd")</f>
        <v/>
      </c>
      <c r="C48295" t="inlineStr">
        <is>
          <t>2032-02-11</t>
        </is>
      </c>
    </row>
    <row r="48296">
      <c r="A48296" s="1" t="n">
        <v>48295</v>
      </c>
      <c r="B48296">
        <f>TEXT(48295, "[$-0E0000]yyyy-mm-dd")</f>
        <v/>
      </c>
      <c r="C48296" t="inlineStr">
        <is>
          <t>2032-02-12</t>
        </is>
      </c>
    </row>
    <row r="48297">
      <c r="A48297" s="1" t="n">
        <v>48296</v>
      </c>
      <c r="B48297">
        <f>TEXT(48296, "[$-0E0000]yyyy-mm-dd")</f>
        <v/>
      </c>
      <c r="C48297" t="inlineStr">
        <is>
          <t>2032-02-13</t>
        </is>
      </c>
    </row>
    <row r="48298">
      <c r="A48298" s="1" t="n">
        <v>48297</v>
      </c>
      <c r="B48298">
        <f>TEXT(48297, "[$-0E0000]yyyy-mm-dd")</f>
        <v/>
      </c>
      <c r="C48298" t="inlineStr">
        <is>
          <t>2032-02-14</t>
        </is>
      </c>
    </row>
    <row r="48299">
      <c r="A48299" s="1" t="n">
        <v>48298</v>
      </c>
      <c r="B48299">
        <f>TEXT(48298, "[$-0E0000]yyyy-mm-dd")</f>
        <v/>
      </c>
      <c r="C48299" t="inlineStr">
        <is>
          <t>2032-02-15</t>
        </is>
      </c>
    </row>
    <row r="48300">
      <c r="A48300" s="1" t="n">
        <v>48299</v>
      </c>
      <c r="B48300">
        <f>TEXT(48299, "[$-0E0000]yyyy-mm-dd")</f>
        <v/>
      </c>
      <c r="C48300" t="inlineStr">
        <is>
          <t>2032-02-16</t>
        </is>
      </c>
    </row>
    <row r="48301">
      <c r="A48301" s="1" t="n">
        <v>48300</v>
      </c>
      <c r="B48301">
        <f>TEXT(48300, "[$-0E0000]yyyy-mm-dd")</f>
        <v/>
      </c>
      <c r="C48301" t="inlineStr">
        <is>
          <t>2032-02-17</t>
        </is>
      </c>
    </row>
    <row r="48302">
      <c r="A48302" s="1" t="n">
        <v>48301</v>
      </c>
      <c r="B48302">
        <f>TEXT(48301, "[$-0E0000]yyyy-mm-dd")</f>
        <v/>
      </c>
      <c r="C48302" t="inlineStr">
        <is>
          <t>2032-02-18</t>
        </is>
      </c>
    </row>
    <row r="48303">
      <c r="A48303" s="1" t="n">
        <v>48302</v>
      </c>
      <c r="B48303">
        <f>TEXT(48302, "[$-0E0000]yyyy-mm-dd")</f>
        <v/>
      </c>
      <c r="C48303" t="inlineStr">
        <is>
          <t>2032-02-19</t>
        </is>
      </c>
    </row>
    <row r="48304">
      <c r="A48304" s="1" t="n">
        <v>48303</v>
      </c>
      <c r="B48304">
        <f>TEXT(48303, "[$-0E0000]yyyy-mm-dd")</f>
        <v/>
      </c>
      <c r="C48304" t="inlineStr">
        <is>
          <t>2032-02-20</t>
        </is>
      </c>
    </row>
    <row r="48305">
      <c r="A48305" s="1" t="n">
        <v>48304</v>
      </c>
      <c r="B48305">
        <f>TEXT(48304, "[$-0E0000]yyyy-mm-dd")</f>
        <v/>
      </c>
      <c r="C48305" t="inlineStr">
        <is>
          <t>2032-02-21</t>
        </is>
      </c>
    </row>
    <row r="48306">
      <c r="A48306" s="1" t="n">
        <v>48305</v>
      </c>
      <c r="B48306">
        <f>TEXT(48305, "[$-0E0000]yyyy-mm-dd")</f>
        <v/>
      </c>
      <c r="C48306" t="inlineStr">
        <is>
          <t>2032-02-22</t>
        </is>
      </c>
    </row>
    <row r="48307">
      <c r="A48307" s="1" t="n">
        <v>48306</v>
      </c>
      <c r="B48307">
        <f>TEXT(48306, "[$-0E0000]yyyy-mm-dd")</f>
        <v/>
      </c>
      <c r="C48307" t="inlineStr">
        <is>
          <t>2032-02-23</t>
        </is>
      </c>
    </row>
    <row r="48308">
      <c r="A48308" s="1" t="n">
        <v>48307</v>
      </c>
      <c r="B48308">
        <f>TEXT(48307, "[$-0E0000]yyyy-mm-dd")</f>
        <v/>
      </c>
      <c r="C48308" t="inlineStr">
        <is>
          <t>2032-02-24</t>
        </is>
      </c>
    </row>
    <row r="48309">
      <c r="A48309" s="1" t="n">
        <v>48308</v>
      </c>
      <c r="B48309">
        <f>TEXT(48308, "[$-0E0000]yyyy-mm-dd")</f>
        <v/>
      </c>
      <c r="C48309" t="inlineStr">
        <is>
          <t>2032-02-25</t>
        </is>
      </c>
    </row>
    <row r="48310">
      <c r="A48310" s="1" t="n">
        <v>48309</v>
      </c>
      <c r="B48310">
        <f>TEXT(48309, "[$-0E0000]yyyy-mm-dd")</f>
        <v/>
      </c>
      <c r="C48310" t="inlineStr">
        <is>
          <t>2032-02-26</t>
        </is>
      </c>
    </row>
    <row r="48311">
      <c r="A48311" s="1" t="n">
        <v>48310</v>
      </c>
      <c r="B48311">
        <f>TEXT(48310, "[$-0E0000]yyyy-mm-dd")</f>
        <v/>
      </c>
      <c r="C48311" t="inlineStr">
        <is>
          <t>2032-02-27</t>
        </is>
      </c>
    </row>
    <row r="48312">
      <c r="A48312" s="1" t="n">
        <v>48311</v>
      </c>
      <c r="B48312">
        <f>TEXT(48311, "[$-0E0000]yyyy-mm-dd")</f>
        <v/>
      </c>
      <c r="C48312" t="inlineStr">
        <is>
          <t>2032-02-28</t>
        </is>
      </c>
    </row>
    <row r="48313">
      <c r="A48313" s="1" t="n">
        <v>48312</v>
      </c>
      <c r="B48313">
        <f>TEXT(48312, "[$-0E0000]yyyy-mm-dd")</f>
        <v/>
      </c>
      <c r="C48313" t="inlineStr">
        <is>
          <t>2032-02-29</t>
        </is>
      </c>
    </row>
    <row r="48314">
      <c r="A48314" s="1" t="n">
        <v>48313</v>
      </c>
      <c r="B48314">
        <f>TEXT(48313, "[$-0E0000]yyyy-mm-dd")</f>
        <v/>
      </c>
      <c r="C48314" t="inlineStr">
        <is>
          <t>2032-03-01</t>
        </is>
      </c>
    </row>
    <row r="48315">
      <c r="A48315" s="1" t="n">
        <v>48314</v>
      </c>
      <c r="B48315">
        <f>TEXT(48314, "[$-0E0000]yyyy-mm-dd")</f>
        <v/>
      </c>
      <c r="C48315" t="inlineStr">
        <is>
          <t>2032-03-02</t>
        </is>
      </c>
    </row>
    <row r="48316">
      <c r="A48316" s="1" t="n">
        <v>48315</v>
      </c>
      <c r="B48316">
        <f>TEXT(48315, "[$-0E0000]yyyy-mm-dd")</f>
        <v/>
      </c>
      <c r="C48316" t="inlineStr">
        <is>
          <t>2032-03-03</t>
        </is>
      </c>
    </row>
    <row r="48317">
      <c r="A48317" s="1" t="n">
        <v>48316</v>
      </c>
      <c r="B48317">
        <f>TEXT(48316, "[$-0E0000]yyyy-mm-dd")</f>
        <v/>
      </c>
      <c r="C48317" t="inlineStr">
        <is>
          <t>2032-03-04</t>
        </is>
      </c>
    </row>
    <row r="48318">
      <c r="A48318" s="1" t="n">
        <v>48317</v>
      </c>
      <c r="B48318">
        <f>TEXT(48317, "[$-0E0000]yyyy-mm-dd")</f>
        <v/>
      </c>
      <c r="C48318" t="inlineStr">
        <is>
          <t>2032-03-05</t>
        </is>
      </c>
    </row>
    <row r="48319">
      <c r="A48319" s="1" t="n">
        <v>48318</v>
      </c>
      <c r="B48319">
        <f>TEXT(48318, "[$-0E0000]yyyy-mm-dd")</f>
        <v/>
      </c>
      <c r="C48319" t="inlineStr">
        <is>
          <t>2032-03-06</t>
        </is>
      </c>
    </row>
    <row r="48320">
      <c r="A48320" s="1" t="n">
        <v>48319</v>
      </c>
      <c r="B48320">
        <f>TEXT(48319, "[$-0E0000]yyyy-mm-dd")</f>
        <v/>
      </c>
      <c r="C48320" t="inlineStr">
        <is>
          <t>2032-03-07</t>
        </is>
      </c>
    </row>
    <row r="48321">
      <c r="A48321" s="1" t="n">
        <v>48320</v>
      </c>
      <c r="B48321">
        <f>TEXT(48320, "[$-0E0000]yyyy-mm-dd")</f>
        <v/>
      </c>
      <c r="C48321" t="inlineStr">
        <is>
          <t>2032-03-08</t>
        </is>
      </c>
    </row>
    <row r="48322">
      <c r="A48322" s="1" t="n">
        <v>48321</v>
      </c>
      <c r="B48322">
        <f>TEXT(48321, "[$-0E0000]yyyy-mm-dd")</f>
        <v/>
      </c>
      <c r="C48322" t="inlineStr">
        <is>
          <t>2032-03-09</t>
        </is>
      </c>
    </row>
    <row r="48323">
      <c r="A48323" s="1" t="n">
        <v>48322</v>
      </c>
      <c r="B48323">
        <f>TEXT(48322, "[$-0E0000]yyyy-mm-dd")</f>
        <v/>
      </c>
      <c r="C48323" t="inlineStr">
        <is>
          <t>2032-03-10</t>
        </is>
      </c>
    </row>
    <row r="48324">
      <c r="A48324" s="1" t="n">
        <v>48323</v>
      </c>
      <c r="B48324">
        <f>TEXT(48323, "[$-0E0000]yyyy-mm-dd")</f>
        <v/>
      </c>
      <c r="C48324" t="inlineStr">
        <is>
          <t>2032-03-11</t>
        </is>
      </c>
    </row>
    <row r="48325">
      <c r="A48325" s="1" t="n">
        <v>48324</v>
      </c>
      <c r="B48325">
        <f>TEXT(48324, "[$-0E0000]yyyy-mm-dd")</f>
        <v/>
      </c>
      <c r="C48325" t="inlineStr">
        <is>
          <t>2032-03-12</t>
        </is>
      </c>
    </row>
    <row r="48326">
      <c r="A48326" s="1" t="n">
        <v>48325</v>
      </c>
      <c r="B48326">
        <f>TEXT(48325, "[$-0E0000]yyyy-mm-dd")</f>
        <v/>
      </c>
      <c r="C48326" t="inlineStr">
        <is>
          <t>2032-03-13</t>
        </is>
      </c>
    </row>
    <row r="48327">
      <c r="A48327" s="1" t="n">
        <v>48326</v>
      </c>
      <c r="B48327">
        <f>TEXT(48326, "[$-0E0000]yyyy-mm-dd")</f>
        <v/>
      </c>
      <c r="C48327" t="inlineStr">
        <is>
          <t>2032-03-14</t>
        </is>
      </c>
    </row>
    <row r="48328">
      <c r="A48328" s="1" t="n">
        <v>48327</v>
      </c>
      <c r="B48328">
        <f>TEXT(48327, "[$-0E0000]yyyy-mm-dd")</f>
        <v/>
      </c>
      <c r="C48328" t="inlineStr">
        <is>
          <t>2032-03-15</t>
        </is>
      </c>
    </row>
    <row r="48329">
      <c r="A48329" s="1" t="n">
        <v>48328</v>
      </c>
      <c r="B48329">
        <f>TEXT(48328, "[$-0E0000]yyyy-mm-dd")</f>
        <v/>
      </c>
      <c r="C48329" t="inlineStr">
        <is>
          <t>2032-03-16</t>
        </is>
      </c>
    </row>
    <row r="48330">
      <c r="A48330" s="1" t="n">
        <v>48329</v>
      </c>
      <c r="B48330">
        <f>TEXT(48329, "[$-0E0000]yyyy-mm-dd")</f>
        <v/>
      </c>
      <c r="C48330" t="inlineStr">
        <is>
          <t>2032-03-17</t>
        </is>
      </c>
    </row>
    <row r="48331">
      <c r="A48331" s="1" t="n">
        <v>48330</v>
      </c>
      <c r="B48331">
        <f>TEXT(48330, "[$-0E0000]yyyy-mm-dd")</f>
        <v/>
      </c>
      <c r="C48331" t="inlineStr">
        <is>
          <t>2032-03-18</t>
        </is>
      </c>
    </row>
    <row r="48332">
      <c r="A48332" s="1" t="n">
        <v>48331</v>
      </c>
      <c r="B48332">
        <f>TEXT(48331, "[$-0E0000]yyyy-mm-dd")</f>
        <v/>
      </c>
      <c r="C48332" t="inlineStr">
        <is>
          <t>2032-03-19</t>
        </is>
      </c>
    </row>
    <row r="48333">
      <c r="A48333" s="1" t="n">
        <v>48332</v>
      </c>
      <c r="B48333">
        <f>TEXT(48332, "[$-0E0000]yyyy-mm-dd")</f>
        <v/>
      </c>
      <c r="C48333" t="inlineStr">
        <is>
          <t>2032-03-20</t>
        </is>
      </c>
    </row>
    <row r="48334">
      <c r="A48334" s="1" t="n">
        <v>48333</v>
      </c>
      <c r="B48334">
        <f>TEXT(48333, "[$-0E0000]yyyy-mm-dd")</f>
        <v/>
      </c>
      <c r="C48334" t="inlineStr">
        <is>
          <t>2032-03-21</t>
        </is>
      </c>
    </row>
    <row r="48335">
      <c r="A48335" s="1" t="n">
        <v>48334</v>
      </c>
      <c r="B48335">
        <f>TEXT(48334, "[$-0E0000]yyyy-mm-dd")</f>
        <v/>
      </c>
      <c r="C48335" t="inlineStr">
        <is>
          <t>2032-03-22</t>
        </is>
      </c>
    </row>
    <row r="48336">
      <c r="A48336" s="1" t="n">
        <v>48335</v>
      </c>
      <c r="B48336">
        <f>TEXT(48335, "[$-0E0000]yyyy-mm-dd")</f>
        <v/>
      </c>
      <c r="C48336" t="inlineStr">
        <is>
          <t>2032-03-23</t>
        </is>
      </c>
    </row>
    <row r="48337">
      <c r="A48337" s="1" t="n">
        <v>48336</v>
      </c>
      <c r="B48337">
        <f>TEXT(48336, "[$-0E0000]yyyy-mm-dd")</f>
        <v/>
      </c>
      <c r="C48337" t="inlineStr">
        <is>
          <t>2032-03-24</t>
        </is>
      </c>
    </row>
    <row r="48338">
      <c r="A48338" s="1" t="n">
        <v>48337</v>
      </c>
      <c r="B48338">
        <f>TEXT(48337, "[$-0E0000]yyyy-mm-dd")</f>
        <v/>
      </c>
      <c r="C48338" t="inlineStr">
        <is>
          <t>2032-03-25</t>
        </is>
      </c>
    </row>
    <row r="48339">
      <c r="A48339" s="1" t="n">
        <v>48338</v>
      </c>
      <c r="B48339">
        <f>TEXT(48338, "[$-0E0000]yyyy-mm-dd")</f>
        <v/>
      </c>
      <c r="C48339" t="inlineStr">
        <is>
          <t>2032-03-26</t>
        </is>
      </c>
    </row>
    <row r="48340">
      <c r="A48340" s="1" t="n">
        <v>48339</v>
      </c>
      <c r="B48340">
        <f>TEXT(48339, "[$-0E0000]yyyy-mm-dd")</f>
        <v/>
      </c>
      <c r="C48340" t="inlineStr">
        <is>
          <t>2032-03-27</t>
        </is>
      </c>
    </row>
    <row r="48341">
      <c r="A48341" s="1" t="n">
        <v>48340</v>
      </c>
      <c r="B48341">
        <f>TEXT(48340, "[$-0E0000]yyyy-mm-dd")</f>
        <v/>
      </c>
      <c r="C48341" t="inlineStr">
        <is>
          <t>2032-03-28</t>
        </is>
      </c>
    </row>
    <row r="48342">
      <c r="A48342" s="1" t="n">
        <v>48341</v>
      </c>
      <c r="B48342">
        <f>TEXT(48341, "[$-0E0000]yyyy-mm-dd")</f>
        <v/>
      </c>
      <c r="C48342" t="inlineStr">
        <is>
          <t>2032-03-29</t>
        </is>
      </c>
    </row>
    <row r="48343">
      <c r="A48343" s="1" t="n">
        <v>48342</v>
      </c>
      <c r="B48343">
        <f>TEXT(48342, "[$-0E0000]yyyy-mm-dd")</f>
        <v/>
      </c>
      <c r="C48343" t="inlineStr">
        <is>
          <t>2032-04-01</t>
        </is>
      </c>
    </row>
    <row r="48344">
      <c r="A48344" s="1" t="n">
        <v>48343</v>
      </c>
      <c r="B48344">
        <f>TEXT(48343, "[$-0E0000]yyyy-mm-dd")</f>
        <v/>
      </c>
      <c r="C48344" t="inlineStr">
        <is>
          <t>2032-04-02</t>
        </is>
      </c>
    </row>
    <row r="48345">
      <c r="A48345" s="1" t="n">
        <v>48344</v>
      </c>
      <c r="B48345">
        <f>TEXT(48344, "[$-0E0000]yyyy-mm-dd")</f>
        <v/>
      </c>
      <c r="C48345" t="inlineStr">
        <is>
          <t>2032-04-03</t>
        </is>
      </c>
    </row>
    <row r="48346">
      <c r="A48346" s="1" t="n">
        <v>48345</v>
      </c>
      <c r="B48346">
        <f>TEXT(48345, "[$-0E0000]yyyy-mm-dd")</f>
        <v/>
      </c>
      <c r="C48346" t="inlineStr">
        <is>
          <t>2032-04-04</t>
        </is>
      </c>
    </row>
    <row r="48347">
      <c r="A48347" s="1" t="n">
        <v>48346</v>
      </c>
      <c r="B48347">
        <f>TEXT(48346, "[$-0E0000]yyyy-mm-dd")</f>
        <v/>
      </c>
      <c r="C48347" t="inlineStr">
        <is>
          <t>2032-04-05</t>
        </is>
      </c>
    </row>
    <row r="48348">
      <c r="A48348" s="1" t="n">
        <v>48347</v>
      </c>
      <c r="B48348">
        <f>TEXT(48347, "[$-0E0000]yyyy-mm-dd")</f>
        <v/>
      </c>
      <c r="C48348" t="inlineStr">
        <is>
          <t>2032-04-06</t>
        </is>
      </c>
    </row>
    <row r="48349">
      <c r="A48349" s="1" t="n">
        <v>48348</v>
      </c>
      <c r="B48349">
        <f>TEXT(48348, "[$-0E0000]yyyy-mm-dd")</f>
        <v/>
      </c>
      <c r="C48349" t="inlineStr">
        <is>
          <t>2032-04-07</t>
        </is>
      </c>
    </row>
    <row r="48350">
      <c r="A48350" s="1" t="n">
        <v>48349</v>
      </c>
      <c r="B48350">
        <f>TEXT(48349, "[$-0E0000]yyyy-mm-dd")</f>
        <v/>
      </c>
      <c r="C48350" t="inlineStr">
        <is>
          <t>2032-04-08</t>
        </is>
      </c>
    </row>
    <row r="48351">
      <c r="A48351" s="1" t="n">
        <v>48350</v>
      </c>
      <c r="B48351">
        <f>TEXT(48350, "[$-0E0000]yyyy-mm-dd")</f>
        <v/>
      </c>
      <c r="C48351" t="inlineStr">
        <is>
          <t>2032-04-09</t>
        </is>
      </c>
    </row>
    <row r="48352">
      <c r="A48352" s="1" t="n">
        <v>48351</v>
      </c>
      <c r="B48352">
        <f>TEXT(48351, "[$-0E0000]yyyy-mm-dd")</f>
        <v/>
      </c>
      <c r="C48352" t="inlineStr">
        <is>
          <t>2032-04-10</t>
        </is>
      </c>
    </row>
    <row r="48353">
      <c r="A48353" s="1" t="n">
        <v>48352</v>
      </c>
      <c r="B48353">
        <f>TEXT(48352, "[$-0E0000]yyyy-mm-dd")</f>
        <v/>
      </c>
      <c r="C48353" t="inlineStr">
        <is>
          <t>2032-04-11</t>
        </is>
      </c>
    </row>
    <row r="48354">
      <c r="A48354" s="1" t="n">
        <v>48353</v>
      </c>
      <c r="B48354">
        <f>TEXT(48353, "[$-0E0000]yyyy-mm-dd")</f>
        <v/>
      </c>
      <c r="C48354" t="inlineStr">
        <is>
          <t>2032-04-12</t>
        </is>
      </c>
    </row>
    <row r="48355">
      <c r="A48355" s="1" t="n">
        <v>48354</v>
      </c>
      <c r="B48355">
        <f>TEXT(48354, "[$-0E0000]yyyy-mm-dd")</f>
        <v/>
      </c>
      <c r="C48355" t="inlineStr">
        <is>
          <t>2032-04-13</t>
        </is>
      </c>
    </row>
    <row r="48356">
      <c r="A48356" s="1" t="n">
        <v>48355</v>
      </c>
      <c r="B48356">
        <f>TEXT(48355, "[$-0E0000]yyyy-mm-dd")</f>
        <v/>
      </c>
      <c r="C48356" t="inlineStr">
        <is>
          <t>2032-04-14</t>
        </is>
      </c>
    </row>
    <row r="48357">
      <c r="A48357" s="1" t="n">
        <v>48356</v>
      </c>
      <c r="B48357">
        <f>TEXT(48356, "[$-0E0000]yyyy-mm-dd")</f>
        <v/>
      </c>
      <c r="C48357" t="inlineStr">
        <is>
          <t>2032-04-15</t>
        </is>
      </c>
    </row>
    <row r="48358">
      <c r="A48358" s="1" t="n">
        <v>48357</v>
      </c>
      <c r="B48358">
        <f>TEXT(48357, "[$-0E0000]yyyy-mm-dd")</f>
        <v/>
      </c>
      <c r="C48358" t="inlineStr">
        <is>
          <t>2032-04-16</t>
        </is>
      </c>
    </row>
    <row r="48359">
      <c r="A48359" s="1" t="n">
        <v>48358</v>
      </c>
      <c r="B48359">
        <f>TEXT(48358, "[$-0E0000]yyyy-mm-dd")</f>
        <v/>
      </c>
      <c r="C48359" t="inlineStr">
        <is>
          <t>2032-04-17</t>
        </is>
      </c>
    </row>
    <row r="48360">
      <c r="A48360" s="1" t="n">
        <v>48359</v>
      </c>
      <c r="B48360">
        <f>TEXT(48359, "[$-0E0000]yyyy-mm-dd")</f>
        <v/>
      </c>
      <c r="C48360" t="inlineStr">
        <is>
          <t>2032-04-18</t>
        </is>
      </c>
    </row>
    <row r="48361">
      <c r="A48361" s="1" t="n">
        <v>48360</v>
      </c>
      <c r="B48361">
        <f>TEXT(48360, "[$-0E0000]yyyy-mm-dd")</f>
        <v/>
      </c>
      <c r="C48361" t="inlineStr">
        <is>
          <t>2032-04-19</t>
        </is>
      </c>
    </row>
    <row r="48362">
      <c r="A48362" s="1" t="n">
        <v>48361</v>
      </c>
      <c r="B48362">
        <f>TEXT(48361, "[$-0E0000]yyyy-mm-dd")</f>
        <v/>
      </c>
      <c r="C48362" t="inlineStr">
        <is>
          <t>2032-04-20</t>
        </is>
      </c>
    </row>
    <row r="48363">
      <c r="A48363" s="1" t="n">
        <v>48362</v>
      </c>
      <c r="B48363">
        <f>TEXT(48362, "[$-0E0000]yyyy-mm-dd")</f>
        <v/>
      </c>
      <c r="C48363" t="inlineStr">
        <is>
          <t>2032-04-21</t>
        </is>
      </c>
    </row>
    <row r="48364">
      <c r="A48364" s="1" t="n">
        <v>48363</v>
      </c>
      <c r="B48364">
        <f>TEXT(48363, "[$-0E0000]yyyy-mm-dd")</f>
        <v/>
      </c>
      <c r="C48364" t="inlineStr">
        <is>
          <t>2032-04-22</t>
        </is>
      </c>
    </row>
    <row r="48365">
      <c r="A48365" s="1" t="n">
        <v>48364</v>
      </c>
      <c r="B48365">
        <f>TEXT(48364, "[$-0E0000]yyyy-mm-dd")</f>
        <v/>
      </c>
      <c r="C48365" t="inlineStr">
        <is>
          <t>2032-04-23</t>
        </is>
      </c>
    </row>
    <row r="48366">
      <c r="A48366" s="1" t="n">
        <v>48365</v>
      </c>
      <c r="B48366">
        <f>TEXT(48365, "[$-0E0000]yyyy-mm-dd")</f>
        <v/>
      </c>
      <c r="C48366" t="inlineStr">
        <is>
          <t>2032-04-24</t>
        </is>
      </c>
    </row>
    <row r="48367">
      <c r="A48367" s="1" t="n">
        <v>48366</v>
      </c>
      <c r="B48367">
        <f>TEXT(48366, "[$-0E0000]yyyy-mm-dd")</f>
        <v/>
      </c>
      <c r="C48367" t="inlineStr">
        <is>
          <t>2032-04-25</t>
        </is>
      </c>
    </row>
    <row r="48368">
      <c r="A48368" s="1" t="n">
        <v>48367</v>
      </c>
      <c r="B48368">
        <f>TEXT(48367, "[$-0E0000]yyyy-mm-dd")</f>
        <v/>
      </c>
      <c r="C48368" t="inlineStr">
        <is>
          <t>2032-04-26</t>
        </is>
      </c>
    </row>
    <row r="48369">
      <c r="A48369" s="1" t="n">
        <v>48368</v>
      </c>
      <c r="B48369">
        <f>TEXT(48368, "[$-0E0000]yyyy-mm-dd")</f>
        <v/>
      </c>
      <c r="C48369" t="inlineStr">
        <is>
          <t>2032-04-27</t>
        </is>
      </c>
    </row>
    <row r="48370">
      <c r="A48370" s="1" t="n">
        <v>48369</v>
      </c>
      <c r="B48370">
        <f>TEXT(48369, "[$-0E0000]yyyy-mm-dd")</f>
        <v/>
      </c>
      <c r="C48370" t="inlineStr">
        <is>
          <t>2032-04-28</t>
        </is>
      </c>
    </row>
    <row r="48371">
      <c r="A48371" s="1" t="n">
        <v>48370</v>
      </c>
      <c r="B48371">
        <f>TEXT(48370, "[$-0E0000]yyyy-mm-dd")</f>
        <v/>
      </c>
      <c r="C48371" t="inlineStr">
        <is>
          <t>2032-04-29</t>
        </is>
      </c>
    </row>
    <row r="48372">
      <c r="A48372" s="1" t="n">
        <v>48371</v>
      </c>
      <c r="B48372">
        <f>TEXT(48371, "[$-0E0000]yyyy-mm-dd")</f>
        <v/>
      </c>
      <c r="C48372" t="inlineStr">
        <is>
          <t>2032-04-30</t>
        </is>
      </c>
    </row>
    <row r="48373">
      <c r="A48373" s="1" t="n">
        <v>48372</v>
      </c>
      <c r="B48373">
        <f>TEXT(48372, "[$-0E0000]yyyy-mm-dd")</f>
        <v/>
      </c>
      <c r="C48373" t="inlineStr">
        <is>
          <t>2032-05-01</t>
        </is>
      </c>
    </row>
    <row r="48374">
      <c r="A48374" s="1" t="n">
        <v>48373</v>
      </c>
      <c r="B48374">
        <f>TEXT(48373, "[$-0E0000]yyyy-mm-dd")</f>
        <v/>
      </c>
      <c r="C48374" t="inlineStr">
        <is>
          <t>2032-05-02</t>
        </is>
      </c>
    </row>
    <row r="48375">
      <c r="A48375" s="1" t="n">
        <v>48374</v>
      </c>
      <c r="B48375">
        <f>TEXT(48374, "[$-0E0000]yyyy-mm-dd")</f>
        <v/>
      </c>
      <c r="C48375" t="inlineStr">
        <is>
          <t>2032-05-03</t>
        </is>
      </c>
    </row>
    <row r="48376">
      <c r="A48376" s="1" t="n">
        <v>48375</v>
      </c>
      <c r="B48376">
        <f>TEXT(48375, "[$-0E0000]yyyy-mm-dd")</f>
        <v/>
      </c>
      <c r="C48376" t="inlineStr">
        <is>
          <t>2032-05-04</t>
        </is>
      </c>
    </row>
    <row r="48377">
      <c r="A48377" s="1" t="n">
        <v>48376</v>
      </c>
      <c r="B48377">
        <f>TEXT(48376, "[$-0E0000]yyyy-mm-dd")</f>
        <v/>
      </c>
      <c r="C48377" t="inlineStr">
        <is>
          <t>2032-05-05</t>
        </is>
      </c>
    </row>
    <row r="48378">
      <c r="A48378" s="1" t="n">
        <v>48377</v>
      </c>
      <c r="B48378">
        <f>TEXT(48377, "[$-0E0000]yyyy-mm-dd")</f>
        <v/>
      </c>
      <c r="C48378" t="inlineStr">
        <is>
          <t>2032-05-06</t>
        </is>
      </c>
    </row>
    <row r="48379">
      <c r="A48379" s="1" t="n">
        <v>48378</v>
      </c>
      <c r="B48379">
        <f>TEXT(48378, "[$-0E0000]yyyy-mm-dd")</f>
        <v/>
      </c>
      <c r="C48379" t="inlineStr">
        <is>
          <t>2032-05-07</t>
        </is>
      </c>
    </row>
    <row r="48380">
      <c r="A48380" s="1" t="n">
        <v>48379</v>
      </c>
      <c r="B48380">
        <f>TEXT(48379, "[$-0E0000]yyyy-mm-dd")</f>
        <v/>
      </c>
      <c r="C48380" t="inlineStr">
        <is>
          <t>2032-05-08</t>
        </is>
      </c>
    </row>
    <row r="48381">
      <c r="A48381" s="1" t="n">
        <v>48380</v>
      </c>
      <c r="B48381">
        <f>TEXT(48380, "[$-0E0000]yyyy-mm-dd")</f>
        <v/>
      </c>
      <c r="C48381" t="inlineStr">
        <is>
          <t>2032-05-09</t>
        </is>
      </c>
    </row>
    <row r="48382">
      <c r="A48382" s="1" t="n">
        <v>48381</v>
      </c>
      <c r="B48382">
        <f>TEXT(48381, "[$-0E0000]yyyy-mm-dd")</f>
        <v/>
      </c>
      <c r="C48382" t="inlineStr">
        <is>
          <t>2032-05-10</t>
        </is>
      </c>
    </row>
    <row r="48383">
      <c r="A48383" s="1" t="n">
        <v>48382</v>
      </c>
      <c r="B48383">
        <f>TEXT(48382, "[$-0E0000]yyyy-mm-dd")</f>
        <v/>
      </c>
      <c r="C48383" t="inlineStr">
        <is>
          <t>2032-05-11</t>
        </is>
      </c>
    </row>
    <row r="48384">
      <c r="A48384" s="1" t="n">
        <v>48383</v>
      </c>
      <c r="B48384">
        <f>TEXT(48383, "[$-0E0000]yyyy-mm-dd")</f>
        <v/>
      </c>
      <c r="C48384" t="inlineStr">
        <is>
          <t>2032-05-12</t>
        </is>
      </c>
    </row>
    <row r="48385">
      <c r="A48385" s="1" t="n">
        <v>48384</v>
      </c>
      <c r="B48385">
        <f>TEXT(48384, "[$-0E0000]yyyy-mm-dd")</f>
        <v/>
      </c>
      <c r="C48385" t="inlineStr">
        <is>
          <t>2032-05-13</t>
        </is>
      </c>
    </row>
    <row r="48386">
      <c r="A48386" s="1" t="n">
        <v>48385</v>
      </c>
      <c r="B48386">
        <f>TEXT(48385, "[$-0E0000]yyyy-mm-dd")</f>
        <v/>
      </c>
      <c r="C48386" t="inlineStr">
        <is>
          <t>2032-05-14</t>
        </is>
      </c>
    </row>
    <row r="48387">
      <c r="A48387" s="1" t="n">
        <v>48386</v>
      </c>
      <c r="B48387">
        <f>TEXT(48386, "[$-0E0000]yyyy-mm-dd")</f>
        <v/>
      </c>
      <c r="C48387" t="inlineStr">
        <is>
          <t>2032-05-15</t>
        </is>
      </c>
    </row>
    <row r="48388">
      <c r="A48388" s="1" t="n">
        <v>48387</v>
      </c>
      <c r="B48388">
        <f>TEXT(48387, "[$-0E0000]yyyy-mm-dd")</f>
        <v/>
      </c>
      <c r="C48388" t="inlineStr">
        <is>
          <t>2032-05-16</t>
        </is>
      </c>
    </row>
    <row r="48389">
      <c r="A48389" s="1" t="n">
        <v>48388</v>
      </c>
      <c r="B48389">
        <f>TEXT(48388, "[$-0E0000]yyyy-mm-dd")</f>
        <v/>
      </c>
      <c r="C48389" t="inlineStr">
        <is>
          <t>2032-05-17</t>
        </is>
      </c>
    </row>
    <row r="48390">
      <c r="A48390" s="1" t="n">
        <v>48389</v>
      </c>
      <c r="B48390">
        <f>TEXT(48389, "[$-0E0000]yyyy-mm-dd")</f>
        <v/>
      </c>
      <c r="C48390" t="inlineStr">
        <is>
          <t>2032-05-18</t>
        </is>
      </c>
    </row>
    <row r="48391">
      <c r="A48391" s="1" t="n">
        <v>48390</v>
      </c>
      <c r="B48391">
        <f>TEXT(48390, "[$-0E0000]yyyy-mm-dd")</f>
        <v/>
      </c>
      <c r="C48391" t="inlineStr">
        <is>
          <t>2032-05-19</t>
        </is>
      </c>
    </row>
    <row r="48392">
      <c r="A48392" s="1" t="n">
        <v>48391</v>
      </c>
      <c r="B48392">
        <f>TEXT(48391, "[$-0E0000]yyyy-mm-dd")</f>
        <v/>
      </c>
      <c r="C48392" t="inlineStr">
        <is>
          <t>2032-05-20</t>
        </is>
      </c>
    </row>
    <row r="48393">
      <c r="A48393" s="1" t="n">
        <v>48392</v>
      </c>
      <c r="B48393">
        <f>TEXT(48392, "[$-0E0000]yyyy-mm-dd")</f>
        <v/>
      </c>
      <c r="C48393" t="inlineStr">
        <is>
          <t>2032-05-21</t>
        </is>
      </c>
    </row>
    <row r="48394">
      <c r="A48394" s="1" t="n">
        <v>48393</v>
      </c>
      <c r="B48394">
        <f>TEXT(48393, "[$-0E0000]yyyy-mm-dd")</f>
        <v/>
      </c>
      <c r="C48394" t="inlineStr">
        <is>
          <t>2032-05-22</t>
        </is>
      </c>
    </row>
    <row r="48395">
      <c r="A48395" s="1" t="n">
        <v>48394</v>
      </c>
      <c r="B48395">
        <f>TEXT(48394, "[$-0E0000]yyyy-mm-dd")</f>
        <v/>
      </c>
      <c r="C48395" t="inlineStr">
        <is>
          <t>2032-05-23</t>
        </is>
      </c>
    </row>
    <row r="48396">
      <c r="A48396" s="1" t="n">
        <v>48395</v>
      </c>
      <c r="B48396">
        <f>TEXT(48395, "[$-0E0000]yyyy-mm-dd")</f>
        <v/>
      </c>
      <c r="C48396" t="inlineStr">
        <is>
          <t>2032-05-24</t>
        </is>
      </c>
    </row>
    <row r="48397">
      <c r="A48397" s="1" t="n">
        <v>48396</v>
      </c>
      <c r="B48397">
        <f>TEXT(48396, "[$-0E0000]yyyy-mm-dd")</f>
        <v/>
      </c>
      <c r="C48397" t="inlineStr">
        <is>
          <t>2032-05-25</t>
        </is>
      </c>
    </row>
    <row r="48398">
      <c r="A48398" s="1" t="n">
        <v>48397</v>
      </c>
      <c r="B48398">
        <f>TEXT(48397, "[$-0E0000]yyyy-mm-dd")</f>
        <v/>
      </c>
      <c r="C48398" t="inlineStr">
        <is>
          <t>2032-05-26</t>
        </is>
      </c>
    </row>
    <row r="48399">
      <c r="A48399" s="1" t="n">
        <v>48398</v>
      </c>
      <c r="B48399">
        <f>TEXT(48398, "[$-0E0000]yyyy-mm-dd")</f>
        <v/>
      </c>
      <c r="C48399" t="inlineStr">
        <is>
          <t>2032-05-27</t>
        </is>
      </c>
    </row>
    <row r="48400">
      <c r="A48400" s="1" t="n">
        <v>48399</v>
      </c>
      <c r="B48400">
        <f>TEXT(48399, "[$-0E0000]yyyy-mm-dd")</f>
        <v/>
      </c>
      <c r="C48400" t="inlineStr">
        <is>
          <t>2032-05-28</t>
        </is>
      </c>
    </row>
    <row r="48401">
      <c r="A48401" s="1" t="n">
        <v>48400</v>
      </c>
      <c r="B48401">
        <f>TEXT(48400, "[$-0E0000]yyyy-mm-dd")</f>
        <v/>
      </c>
      <c r="C48401" t="inlineStr">
        <is>
          <t>2032-05-29</t>
        </is>
      </c>
    </row>
    <row r="48402">
      <c r="A48402" s="1" t="n">
        <v>48401</v>
      </c>
      <c r="B48402">
        <f>TEXT(48401, "[$-0E0000]yyyy-mm-dd")</f>
        <v/>
      </c>
      <c r="C48402" t="inlineStr">
        <is>
          <t>2032-06-01</t>
        </is>
      </c>
    </row>
    <row r="48403">
      <c r="A48403" s="1" t="n">
        <v>48402</v>
      </c>
      <c r="B48403">
        <f>TEXT(48402, "[$-0E0000]yyyy-mm-dd")</f>
        <v/>
      </c>
      <c r="C48403" t="inlineStr">
        <is>
          <t>2032-06-02</t>
        </is>
      </c>
    </row>
    <row r="48404">
      <c r="A48404" s="1" t="n">
        <v>48403</v>
      </c>
      <c r="B48404">
        <f>TEXT(48403, "[$-0E0000]yyyy-mm-dd")</f>
        <v/>
      </c>
      <c r="C48404" t="inlineStr">
        <is>
          <t>2032-06-03</t>
        </is>
      </c>
    </row>
    <row r="48405">
      <c r="A48405" s="1" t="n">
        <v>48404</v>
      </c>
      <c r="B48405">
        <f>TEXT(48404, "[$-0E0000]yyyy-mm-dd")</f>
        <v/>
      </c>
      <c r="C48405" t="inlineStr">
        <is>
          <t>2032-06-04</t>
        </is>
      </c>
    </row>
    <row r="48406">
      <c r="A48406" s="1" t="n">
        <v>48405</v>
      </c>
      <c r="B48406">
        <f>TEXT(48405, "[$-0E0000]yyyy-mm-dd")</f>
        <v/>
      </c>
      <c r="C48406" t="inlineStr">
        <is>
          <t>2032-06-05</t>
        </is>
      </c>
    </row>
    <row r="48407">
      <c r="A48407" s="1" t="n">
        <v>48406</v>
      </c>
      <c r="B48407">
        <f>TEXT(48406, "[$-0E0000]yyyy-mm-dd")</f>
        <v/>
      </c>
      <c r="C48407" t="inlineStr">
        <is>
          <t>2032-06-06</t>
        </is>
      </c>
    </row>
    <row r="48408">
      <c r="A48408" s="1" t="n">
        <v>48407</v>
      </c>
      <c r="B48408">
        <f>TEXT(48407, "[$-0E0000]yyyy-mm-dd")</f>
        <v/>
      </c>
      <c r="C48408" t="inlineStr">
        <is>
          <t>2032-06-07</t>
        </is>
      </c>
    </row>
    <row r="48409">
      <c r="A48409" s="1" t="n">
        <v>48408</v>
      </c>
      <c r="B48409">
        <f>TEXT(48408, "[$-0E0000]yyyy-mm-dd")</f>
        <v/>
      </c>
      <c r="C48409" t="inlineStr">
        <is>
          <t>2032-06-08</t>
        </is>
      </c>
    </row>
    <row r="48410">
      <c r="A48410" s="1" t="n">
        <v>48409</v>
      </c>
      <c r="B48410">
        <f>TEXT(48409, "[$-0E0000]yyyy-mm-dd")</f>
        <v/>
      </c>
      <c r="C48410" t="inlineStr">
        <is>
          <t>2032-06-09</t>
        </is>
      </c>
    </row>
    <row r="48411">
      <c r="A48411" s="1" t="n">
        <v>48410</v>
      </c>
      <c r="B48411">
        <f>TEXT(48410, "[$-0E0000]yyyy-mm-dd")</f>
        <v/>
      </c>
      <c r="C48411" t="inlineStr">
        <is>
          <t>2032-06-10</t>
        </is>
      </c>
    </row>
    <row r="48412">
      <c r="A48412" s="1" t="n">
        <v>48411</v>
      </c>
      <c r="B48412">
        <f>TEXT(48411, "[$-0E0000]yyyy-mm-dd")</f>
        <v/>
      </c>
      <c r="C48412" t="inlineStr">
        <is>
          <t>2032-06-11</t>
        </is>
      </c>
    </row>
    <row r="48413">
      <c r="A48413" s="1" t="n">
        <v>48412</v>
      </c>
      <c r="B48413">
        <f>TEXT(48412, "[$-0E0000]yyyy-mm-dd")</f>
        <v/>
      </c>
      <c r="C48413" t="inlineStr">
        <is>
          <t>2032-06-12</t>
        </is>
      </c>
    </row>
    <row r="48414">
      <c r="A48414" s="1" t="n">
        <v>48413</v>
      </c>
      <c r="B48414">
        <f>TEXT(48413, "[$-0E0000]yyyy-mm-dd")</f>
        <v/>
      </c>
      <c r="C48414" t="inlineStr">
        <is>
          <t>2032-06-13</t>
        </is>
      </c>
    </row>
    <row r="48415">
      <c r="A48415" s="1" t="n">
        <v>48414</v>
      </c>
      <c r="B48415">
        <f>TEXT(48414, "[$-0E0000]yyyy-mm-dd")</f>
        <v/>
      </c>
      <c r="C48415" t="inlineStr">
        <is>
          <t>2032-06-14</t>
        </is>
      </c>
    </row>
    <row r="48416">
      <c r="A48416" s="1" t="n">
        <v>48415</v>
      </c>
      <c r="B48416">
        <f>TEXT(48415, "[$-0E0000]yyyy-mm-dd")</f>
        <v/>
      </c>
      <c r="C48416" t="inlineStr">
        <is>
          <t>2032-06-15</t>
        </is>
      </c>
    </row>
    <row r="48417">
      <c r="A48417" s="1" t="n">
        <v>48416</v>
      </c>
      <c r="B48417">
        <f>TEXT(48416, "[$-0E0000]yyyy-mm-dd")</f>
        <v/>
      </c>
      <c r="C48417" t="inlineStr">
        <is>
          <t>2032-06-16</t>
        </is>
      </c>
    </row>
    <row r="48418">
      <c r="A48418" s="1" t="n">
        <v>48417</v>
      </c>
      <c r="B48418">
        <f>TEXT(48417, "[$-0E0000]yyyy-mm-dd")</f>
        <v/>
      </c>
      <c r="C48418" t="inlineStr">
        <is>
          <t>2032-06-17</t>
        </is>
      </c>
    </row>
    <row r="48419">
      <c r="A48419" s="1" t="n">
        <v>48418</v>
      </c>
      <c r="B48419">
        <f>TEXT(48418, "[$-0E0000]yyyy-mm-dd")</f>
        <v/>
      </c>
      <c r="C48419" t="inlineStr">
        <is>
          <t>2032-06-18</t>
        </is>
      </c>
    </row>
    <row r="48420">
      <c r="A48420" s="1" t="n">
        <v>48419</v>
      </c>
      <c r="B48420">
        <f>TEXT(48419, "[$-0E0000]yyyy-mm-dd")</f>
        <v/>
      </c>
      <c r="C48420" t="inlineStr">
        <is>
          <t>2032-06-19</t>
        </is>
      </c>
    </row>
    <row r="48421">
      <c r="A48421" s="1" t="n">
        <v>48420</v>
      </c>
      <c r="B48421">
        <f>TEXT(48420, "[$-0E0000]yyyy-mm-dd")</f>
        <v/>
      </c>
      <c r="C48421" t="inlineStr">
        <is>
          <t>2032-06-20</t>
        </is>
      </c>
    </row>
    <row r="48422">
      <c r="A48422" s="1" t="n">
        <v>48421</v>
      </c>
      <c r="B48422">
        <f>TEXT(48421, "[$-0E0000]yyyy-mm-dd")</f>
        <v/>
      </c>
      <c r="C48422" t="inlineStr">
        <is>
          <t>2032-06-21</t>
        </is>
      </c>
    </row>
    <row r="48423">
      <c r="A48423" s="1" t="n">
        <v>48422</v>
      </c>
      <c r="B48423">
        <f>TEXT(48422, "[$-0E0000]yyyy-mm-dd")</f>
        <v/>
      </c>
      <c r="C48423" t="inlineStr">
        <is>
          <t>2032-06-22</t>
        </is>
      </c>
    </row>
    <row r="48424">
      <c r="A48424" s="1" t="n">
        <v>48423</v>
      </c>
      <c r="B48424">
        <f>TEXT(48423, "[$-0E0000]yyyy-mm-dd")</f>
        <v/>
      </c>
      <c r="C48424" t="inlineStr">
        <is>
          <t>2032-06-23</t>
        </is>
      </c>
    </row>
    <row r="48425">
      <c r="A48425" s="1" t="n">
        <v>48424</v>
      </c>
      <c r="B48425">
        <f>TEXT(48424, "[$-0E0000]yyyy-mm-dd")</f>
        <v/>
      </c>
      <c r="C48425" t="inlineStr">
        <is>
          <t>2032-06-24</t>
        </is>
      </c>
    </row>
    <row r="48426">
      <c r="A48426" s="1" t="n">
        <v>48425</v>
      </c>
      <c r="B48426">
        <f>TEXT(48425, "[$-0E0000]yyyy-mm-dd")</f>
        <v/>
      </c>
      <c r="C48426" t="inlineStr">
        <is>
          <t>2032-06-25</t>
        </is>
      </c>
    </row>
    <row r="48427">
      <c r="A48427" s="1" t="n">
        <v>48426</v>
      </c>
      <c r="B48427">
        <f>TEXT(48426, "[$-0E0000]yyyy-mm-dd")</f>
        <v/>
      </c>
      <c r="C48427" t="inlineStr">
        <is>
          <t>2032-06-26</t>
        </is>
      </c>
    </row>
    <row r="48428">
      <c r="A48428" s="1" t="n">
        <v>48427</v>
      </c>
      <c r="B48428">
        <f>TEXT(48427, "[$-0E0000]yyyy-mm-dd")</f>
        <v/>
      </c>
      <c r="C48428" t="inlineStr">
        <is>
          <t>2032-06-27</t>
        </is>
      </c>
    </row>
    <row r="48429">
      <c r="A48429" s="1" t="n">
        <v>48428</v>
      </c>
      <c r="B48429">
        <f>TEXT(48428, "[$-0E0000]yyyy-mm-dd")</f>
        <v/>
      </c>
      <c r="C48429" t="inlineStr">
        <is>
          <t>2032-06-28</t>
        </is>
      </c>
    </row>
    <row r="48430">
      <c r="A48430" s="1" t="n">
        <v>48429</v>
      </c>
      <c r="B48430">
        <f>TEXT(48429, "[$-0E0000]yyyy-mm-dd")</f>
        <v/>
      </c>
      <c r="C48430" t="inlineStr">
        <is>
          <t>2032-06-29</t>
        </is>
      </c>
    </row>
    <row r="48431">
      <c r="A48431" s="1" t="n">
        <v>48430</v>
      </c>
      <c r="B48431">
        <f>TEXT(48430, "[$-0E0000]yyyy-mm-dd")</f>
        <v/>
      </c>
      <c r="C48431" t="inlineStr">
        <is>
          <t>2032-06-30</t>
        </is>
      </c>
    </row>
    <row r="48432">
      <c r="A48432" s="1" t="n">
        <v>48431</v>
      </c>
      <c r="B48432">
        <f>TEXT(48431, "[$-0E0000]yyyy-mm-dd")</f>
        <v/>
      </c>
      <c r="C48432" t="inlineStr">
        <is>
          <t>2032-07-01</t>
        </is>
      </c>
    </row>
    <row r="48433">
      <c r="A48433" s="1" t="n">
        <v>48432</v>
      </c>
      <c r="B48433">
        <f>TEXT(48432, "[$-0E0000]yyyy-mm-dd")</f>
        <v/>
      </c>
      <c r="C48433" t="inlineStr">
        <is>
          <t>2032-07-02</t>
        </is>
      </c>
    </row>
    <row r="48434">
      <c r="A48434" s="1" t="n">
        <v>48433</v>
      </c>
      <c r="B48434">
        <f>TEXT(48433, "[$-0E0000]yyyy-mm-dd")</f>
        <v/>
      </c>
      <c r="C48434" t="inlineStr">
        <is>
          <t>2032-07-03</t>
        </is>
      </c>
    </row>
    <row r="48435">
      <c r="A48435" s="1" t="n">
        <v>48434</v>
      </c>
      <c r="B48435">
        <f>TEXT(48434, "[$-0E0000]yyyy-mm-dd")</f>
        <v/>
      </c>
      <c r="C48435" t="inlineStr">
        <is>
          <t>2032-07-04</t>
        </is>
      </c>
    </row>
    <row r="48436">
      <c r="A48436" s="1" t="n">
        <v>48435</v>
      </c>
      <c r="B48436">
        <f>TEXT(48435, "[$-0E0000]yyyy-mm-dd")</f>
        <v/>
      </c>
      <c r="C48436" t="inlineStr">
        <is>
          <t>2032-07-05</t>
        </is>
      </c>
    </row>
    <row r="48437">
      <c r="A48437" s="1" t="n">
        <v>48436</v>
      </c>
      <c r="B48437">
        <f>TEXT(48436, "[$-0E0000]yyyy-mm-dd")</f>
        <v/>
      </c>
      <c r="C48437" t="inlineStr">
        <is>
          <t>2032-07-06</t>
        </is>
      </c>
    </row>
    <row r="48438">
      <c r="A48438" s="1" t="n">
        <v>48437</v>
      </c>
      <c r="B48438">
        <f>TEXT(48437, "[$-0E0000]yyyy-mm-dd")</f>
        <v/>
      </c>
      <c r="C48438" t="inlineStr">
        <is>
          <t>2032-07-07</t>
        </is>
      </c>
    </row>
    <row r="48439">
      <c r="A48439" s="1" t="n">
        <v>48438</v>
      </c>
      <c r="B48439">
        <f>TEXT(48438, "[$-0E0000]yyyy-mm-dd")</f>
        <v/>
      </c>
      <c r="C48439" t="inlineStr">
        <is>
          <t>2032-07-08</t>
        </is>
      </c>
    </row>
    <row r="48440">
      <c r="A48440" s="1" t="n">
        <v>48439</v>
      </c>
      <c r="B48440">
        <f>TEXT(48439, "[$-0E0000]yyyy-mm-dd")</f>
        <v/>
      </c>
      <c r="C48440" t="inlineStr">
        <is>
          <t>2032-07-09</t>
        </is>
      </c>
    </row>
    <row r="48441">
      <c r="A48441" s="1" t="n">
        <v>48440</v>
      </c>
      <c r="B48441">
        <f>TEXT(48440, "[$-0E0000]yyyy-mm-dd")</f>
        <v/>
      </c>
      <c r="C48441" t="inlineStr">
        <is>
          <t>2032-07-10</t>
        </is>
      </c>
    </row>
    <row r="48442">
      <c r="A48442" s="1" t="n">
        <v>48441</v>
      </c>
      <c r="B48442">
        <f>TEXT(48441, "[$-0E0000]yyyy-mm-dd")</f>
        <v/>
      </c>
      <c r="C48442" t="inlineStr">
        <is>
          <t>2032-07-11</t>
        </is>
      </c>
    </row>
    <row r="48443">
      <c r="A48443" s="1" t="n">
        <v>48442</v>
      </c>
      <c r="B48443">
        <f>TEXT(48442, "[$-0E0000]yyyy-mm-dd")</f>
        <v/>
      </c>
      <c r="C48443" t="inlineStr">
        <is>
          <t>2032-07-12</t>
        </is>
      </c>
    </row>
    <row r="48444">
      <c r="A48444" s="1" t="n">
        <v>48443</v>
      </c>
      <c r="B48444">
        <f>TEXT(48443, "[$-0E0000]yyyy-mm-dd")</f>
        <v/>
      </c>
      <c r="C48444" t="inlineStr">
        <is>
          <t>2032-07-13</t>
        </is>
      </c>
    </row>
    <row r="48445">
      <c r="A48445" s="1" t="n">
        <v>48444</v>
      </c>
      <c r="B48445">
        <f>TEXT(48444, "[$-0E0000]yyyy-mm-dd")</f>
        <v/>
      </c>
      <c r="C48445" t="inlineStr">
        <is>
          <t>2032-07-14</t>
        </is>
      </c>
    </row>
    <row r="48446">
      <c r="A48446" s="1" t="n">
        <v>48445</v>
      </c>
      <c r="B48446">
        <f>TEXT(48445, "[$-0E0000]yyyy-mm-dd")</f>
        <v/>
      </c>
      <c r="C48446" t="inlineStr">
        <is>
          <t>2032-07-15</t>
        </is>
      </c>
    </row>
    <row r="48447">
      <c r="A48447" s="1" t="n">
        <v>48446</v>
      </c>
      <c r="B48447">
        <f>TEXT(48446, "[$-0E0000]yyyy-mm-dd")</f>
        <v/>
      </c>
      <c r="C48447" t="inlineStr">
        <is>
          <t>2032-07-16</t>
        </is>
      </c>
    </row>
    <row r="48448">
      <c r="A48448" s="1" t="n">
        <v>48447</v>
      </c>
      <c r="B48448">
        <f>TEXT(48447, "[$-0E0000]yyyy-mm-dd")</f>
        <v/>
      </c>
      <c r="C48448" t="inlineStr">
        <is>
          <t>2032-07-17</t>
        </is>
      </c>
    </row>
    <row r="48449">
      <c r="A48449" s="1" t="n">
        <v>48448</v>
      </c>
      <c r="B48449">
        <f>TEXT(48448, "[$-0E0000]yyyy-mm-dd")</f>
        <v/>
      </c>
      <c r="C48449" t="inlineStr">
        <is>
          <t>2032-07-18</t>
        </is>
      </c>
    </row>
    <row r="48450">
      <c r="A48450" s="1" t="n">
        <v>48449</v>
      </c>
      <c r="B48450">
        <f>TEXT(48449, "[$-0E0000]yyyy-mm-dd")</f>
        <v/>
      </c>
      <c r="C48450" t="inlineStr">
        <is>
          <t>2032-07-19</t>
        </is>
      </c>
    </row>
    <row r="48451">
      <c r="A48451" s="1" t="n">
        <v>48450</v>
      </c>
      <c r="B48451">
        <f>TEXT(48450, "[$-0E0000]yyyy-mm-dd")</f>
        <v/>
      </c>
      <c r="C48451" t="inlineStr">
        <is>
          <t>2032-07-20</t>
        </is>
      </c>
    </row>
    <row r="48452">
      <c r="A48452" s="1" t="n">
        <v>48451</v>
      </c>
      <c r="B48452">
        <f>TEXT(48451, "[$-0E0000]yyyy-mm-dd")</f>
        <v/>
      </c>
      <c r="C48452" t="inlineStr">
        <is>
          <t>2032-07-21</t>
        </is>
      </c>
    </row>
    <row r="48453">
      <c r="A48453" s="1" t="n">
        <v>48452</v>
      </c>
      <c r="B48453">
        <f>TEXT(48452, "[$-0E0000]yyyy-mm-dd")</f>
        <v/>
      </c>
      <c r="C48453" t="inlineStr">
        <is>
          <t>2032-07-22</t>
        </is>
      </c>
    </row>
    <row r="48454">
      <c r="A48454" s="1" t="n">
        <v>48453</v>
      </c>
      <c r="B48454">
        <f>TEXT(48453, "[$-0E0000]yyyy-mm-dd")</f>
        <v/>
      </c>
      <c r="C48454" t="inlineStr">
        <is>
          <t>2032-07-23</t>
        </is>
      </c>
    </row>
    <row r="48455">
      <c r="A48455" s="1" t="n">
        <v>48454</v>
      </c>
      <c r="B48455">
        <f>TEXT(48454, "[$-0E0000]yyyy-mm-dd")</f>
        <v/>
      </c>
      <c r="C48455" t="inlineStr">
        <is>
          <t>2032-07-24</t>
        </is>
      </c>
    </row>
    <row r="48456">
      <c r="A48456" s="1" t="n">
        <v>48455</v>
      </c>
      <c r="B48456">
        <f>TEXT(48455, "[$-0E0000]yyyy-mm-dd")</f>
        <v/>
      </c>
      <c r="C48456" t="inlineStr">
        <is>
          <t>2032-07-25</t>
        </is>
      </c>
    </row>
    <row r="48457">
      <c r="A48457" s="1" t="n">
        <v>48456</v>
      </c>
      <c r="B48457">
        <f>TEXT(48456, "[$-0E0000]yyyy-mm-dd")</f>
        <v/>
      </c>
      <c r="C48457" t="inlineStr">
        <is>
          <t>2032-07-26</t>
        </is>
      </c>
    </row>
    <row r="48458">
      <c r="A48458" s="1" t="n">
        <v>48457</v>
      </c>
      <c r="B48458">
        <f>TEXT(48457, "[$-0E0000]yyyy-mm-dd")</f>
        <v/>
      </c>
      <c r="C48458" t="inlineStr">
        <is>
          <t>2032-07-27</t>
        </is>
      </c>
    </row>
    <row r="48459">
      <c r="A48459" s="1" t="n">
        <v>48458</v>
      </c>
      <c r="B48459">
        <f>TEXT(48458, "[$-0E0000]yyyy-mm-dd")</f>
        <v/>
      </c>
      <c r="C48459" t="inlineStr">
        <is>
          <t>2032-07-28</t>
        </is>
      </c>
    </row>
    <row r="48460">
      <c r="A48460" s="1" t="n">
        <v>48459</v>
      </c>
      <c r="B48460">
        <f>TEXT(48459, "[$-0E0000]yyyy-mm-dd")</f>
        <v/>
      </c>
      <c r="C48460" t="inlineStr">
        <is>
          <t>2032-07-29</t>
        </is>
      </c>
    </row>
    <row r="48461">
      <c r="A48461" s="1" t="n">
        <v>48460</v>
      </c>
      <c r="B48461">
        <f>TEXT(48460, "[$-0E0000]yyyy-mm-dd")</f>
        <v/>
      </c>
      <c r="C48461" t="inlineStr">
        <is>
          <t>2032-07-30</t>
        </is>
      </c>
    </row>
    <row r="48462">
      <c r="A48462" s="1" t="n">
        <v>48461</v>
      </c>
      <c r="B48462">
        <f>TEXT(48461, "[$-0E0000]yyyy-mm-dd")</f>
        <v/>
      </c>
      <c r="C48462" t="inlineStr">
        <is>
          <t>2032-08-01</t>
        </is>
      </c>
    </row>
    <row r="48463">
      <c r="A48463" s="1" t="n">
        <v>48462</v>
      </c>
      <c r="B48463">
        <f>TEXT(48462, "[$-0E0000]yyyy-mm-dd")</f>
        <v/>
      </c>
      <c r="C48463" t="inlineStr">
        <is>
          <t>2032-08-02</t>
        </is>
      </c>
    </row>
    <row r="48464">
      <c r="A48464" s="1" t="n">
        <v>48463</v>
      </c>
      <c r="B48464">
        <f>TEXT(48463, "[$-0E0000]yyyy-mm-dd")</f>
        <v/>
      </c>
      <c r="C48464" t="inlineStr">
        <is>
          <t>2032-08-03</t>
        </is>
      </c>
    </row>
    <row r="48465">
      <c r="A48465" s="1" t="n">
        <v>48464</v>
      </c>
      <c r="B48465">
        <f>TEXT(48464, "[$-0E0000]yyyy-mm-dd")</f>
        <v/>
      </c>
      <c r="C48465" t="inlineStr">
        <is>
          <t>2032-08-04</t>
        </is>
      </c>
    </row>
    <row r="48466">
      <c r="A48466" s="1" t="n">
        <v>48465</v>
      </c>
      <c r="B48466">
        <f>TEXT(48465, "[$-0E0000]yyyy-mm-dd")</f>
        <v/>
      </c>
      <c r="C48466" t="inlineStr">
        <is>
          <t>2032-08-05</t>
        </is>
      </c>
    </row>
    <row r="48467">
      <c r="A48467" s="1" t="n">
        <v>48466</v>
      </c>
      <c r="B48467">
        <f>TEXT(48466, "[$-0E0000]yyyy-mm-dd")</f>
        <v/>
      </c>
      <c r="C48467" t="inlineStr">
        <is>
          <t>2032-08-06</t>
        </is>
      </c>
    </row>
    <row r="48468">
      <c r="A48468" s="1" t="n">
        <v>48467</v>
      </c>
      <c r="B48468">
        <f>TEXT(48467, "[$-0E0000]yyyy-mm-dd")</f>
        <v/>
      </c>
      <c r="C48468" t="inlineStr">
        <is>
          <t>2032-08-07</t>
        </is>
      </c>
    </row>
    <row r="48469">
      <c r="A48469" s="1" t="n">
        <v>48468</v>
      </c>
      <c r="B48469">
        <f>TEXT(48468, "[$-0E0000]yyyy-mm-dd")</f>
        <v/>
      </c>
      <c r="C48469" t="inlineStr">
        <is>
          <t>2032-08-08</t>
        </is>
      </c>
    </row>
    <row r="48470">
      <c r="A48470" s="1" t="n">
        <v>48469</v>
      </c>
      <c r="B48470">
        <f>TEXT(48469, "[$-0E0000]yyyy-mm-dd")</f>
        <v/>
      </c>
      <c r="C48470" t="inlineStr">
        <is>
          <t>2032-08-09</t>
        </is>
      </c>
    </row>
    <row r="48471">
      <c r="A48471" s="1" t="n">
        <v>48470</v>
      </c>
      <c r="B48471">
        <f>TEXT(48470, "[$-0E0000]yyyy-mm-dd")</f>
        <v/>
      </c>
      <c r="C48471" t="inlineStr">
        <is>
          <t>2032-08-10</t>
        </is>
      </c>
    </row>
    <row r="48472">
      <c r="A48472" s="1" t="n">
        <v>48471</v>
      </c>
      <c r="B48472">
        <f>TEXT(48471, "[$-0E0000]yyyy-mm-dd")</f>
        <v/>
      </c>
      <c r="C48472" t="inlineStr">
        <is>
          <t>2032-08-11</t>
        </is>
      </c>
    </row>
    <row r="48473">
      <c r="A48473" s="1" t="n">
        <v>48472</v>
      </c>
      <c r="B48473">
        <f>TEXT(48472, "[$-0E0000]yyyy-mm-dd")</f>
        <v/>
      </c>
      <c r="C48473" t="inlineStr">
        <is>
          <t>2032-08-12</t>
        </is>
      </c>
    </row>
    <row r="48474">
      <c r="A48474" s="1" t="n">
        <v>48473</v>
      </c>
      <c r="B48474">
        <f>TEXT(48473, "[$-0E0000]yyyy-mm-dd")</f>
        <v/>
      </c>
      <c r="C48474" t="inlineStr">
        <is>
          <t>2032-08-13</t>
        </is>
      </c>
    </row>
    <row r="48475">
      <c r="A48475" s="1" t="n">
        <v>48474</v>
      </c>
      <c r="B48475">
        <f>TEXT(48474, "[$-0E0000]yyyy-mm-dd")</f>
        <v/>
      </c>
      <c r="C48475" t="inlineStr">
        <is>
          <t>2032-08-14</t>
        </is>
      </c>
    </row>
    <row r="48476">
      <c r="A48476" s="1" t="n">
        <v>48475</v>
      </c>
      <c r="B48476">
        <f>TEXT(48475, "[$-0E0000]yyyy-mm-dd")</f>
        <v/>
      </c>
      <c r="C48476" t="inlineStr">
        <is>
          <t>2032-08-15</t>
        </is>
      </c>
    </row>
    <row r="48477">
      <c r="A48477" s="1" t="n">
        <v>48476</v>
      </c>
      <c r="B48477">
        <f>TEXT(48476, "[$-0E0000]yyyy-mm-dd")</f>
        <v/>
      </c>
      <c r="C48477" t="inlineStr">
        <is>
          <t>2032-08-16</t>
        </is>
      </c>
    </row>
    <row r="48478">
      <c r="A48478" s="1" t="n">
        <v>48477</v>
      </c>
      <c r="B48478">
        <f>TEXT(48477, "[$-0E0000]yyyy-mm-dd")</f>
        <v/>
      </c>
      <c r="C48478" t="inlineStr">
        <is>
          <t>2032-08-17</t>
        </is>
      </c>
    </row>
    <row r="48479">
      <c r="A48479" s="1" t="n">
        <v>48478</v>
      </c>
      <c r="B48479">
        <f>TEXT(48478, "[$-0E0000]yyyy-mm-dd")</f>
        <v/>
      </c>
      <c r="C48479" t="inlineStr">
        <is>
          <t>2032-08-18</t>
        </is>
      </c>
    </row>
    <row r="48480">
      <c r="A48480" s="1" t="n">
        <v>48479</v>
      </c>
      <c r="B48480">
        <f>TEXT(48479, "[$-0E0000]yyyy-mm-dd")</f>
        <v/>
      </c>
      <c r="C48480" t="inlineStr">
        <is>
          <t>2032-08-19</t>
        </is>
      </c>
    </row>
    <row r="48481">
      <c r="A48481" s="1" t="n">
        <v>48480</v>
      </c>
      <c r="B48481">
        <f>TEXT(48480, "[$-0E0000]yyyy-mm-dd")</f>
        <v/>
      </c>
      <c r="C48481" t="inlineStr">
        <is>
          <t>2032-08-20</t>
        </is>
      </c>
    </row>
    <row r="48482">
      <c r="A48482" s="1" t="n">
        <v>48481</v>
      </c>
      <c r="B48482">
        <f>TEXT(48481, "[$-0E0000]yyyy-mm-dd")</f>
        <v/>
      </c>
      <c r="C48482" t="inlineStr">
        <is>
          <t>2032-08-21</t>
        </is>
      </c>
    </row>
    <row r="48483">
      <c r="A48483" s="1" t="n">
        <v>48482</v>
      </c>
      <c r="B48483">
        <f>TEXT(48482, "[$-0E0000]yyyy-mm-dd")</f>
        <v/>
      </c>
      <c r="C48483" t="inlineStr">
        <is>
          <t>2032-08-22</t>
        </is>
      </c>
    </row>
    <row r="48484">
      <c r="A48484" s="1" t="n">
        <v>48483</v>
      </c>
      <c r="B48484">
        <f>TEXT(48483, "[$-0E0000]yyyy-mm-dd")</f>
        <v/>
      </c>
      <c r="C48484" t="inlineStr">
        <is>
          <t>2032-08-23</t>
        </is>
      </c>
    </row>
    <row r="48485">
      <c r="A48485" s="1" t="n">
        <v>48484</v>
      </c>
      <c r="B48485">
        <f>TEXT(48484, "[$-0E0000]yyyy-mm-dd")</f>
        <v/>
      </c>
      <c r="C48485" t="inlineStr">
        <is>
          <t>2032-08-24</t>
        </is>
      </c>
    </row>
    <row r="48486">
      <c r="A48486" s="1" t="n">
        <v>48485</v>
      </c>
      <c r="B48486">
        <f>TEXT(48485, "[$-0E0000]yyyy-mm-dd")</f>
        <v/>
      </c>
      <c r="C48486" t="inlineStr">
        <is>
          <t>2032-08-25</t>
        </is>
      </c>
    </row>
    <row r="48487">
      <c r="A48487" s="1" t="n">
        <v>48486</v>
      </c>
      <c r="B48487">
        <f>TEXT(48486, "[$-0E0000]yyyy-mm-dd")</f>
        <v/>
      </c>
      <c r="C48487" t="inlineStr">
        <is>
          <t>2032-08-26</t>
        </is>
      </c>
    </row>
    <row r="48488">
      <c r="A48488" s="1" t="n">
        <v>48487</v>
      </c>
      <c r="B48488">
        <f>TEXT(48487, "[$-0E0000]yyyy-mm-dd")</f>
        <v/>
      </c>
      <c r="C48488" t="inlineStr">
        <is>
          <t>2032-08-27</t>
        </is>
      </c>
    </row>
    <row r="48489">
      <c r="A48489" s="1" t="n">
        <v>48488</v>
      </c>
      <c r="B48489">
        <f>TEXT(48488, "[$-0E0000]yyyy-mm-dd")</f>
        <v/>
      </c>
      <c r="C48489" t="inlineStr">
        <is>
          <t>2032-08-28</t>
        </is>
      </c>
    </row>
    <row r="48490">
      <c r="A48490" s="1" t="n">
        <v>48489</v>
      </c>
      <c r="B48490">
        <f>TEXT(48489, "[$-0E0000]yyyy-mm-dd")</f>
        <v/>
      </c>
      <c r="C48490" t="inlineStr">
        <is>
          <t>2032-08-29</t>
        </is>
      </c>
    </row>
    <row r="48491">
      <c r="A48491" s="1" t="n">
        <v>48490</v>
      </c>
      <c r="B48491">
        <f>TEXT(48490, "[$-0E0000]yyyy-mm-dd")</f>
        <v/>
      </c>
      <c r="C48491" t="inlineStr">
        <is>
          <t>2032-09-01</t>
        </is>
      </c>
    </row>
    <row r="48492">
      <c r="A48492" s="1" t="n">
        <v>48491</v>
      </c>
      <c r="B48492">
        <f>TEXT(48491, "[$-0E0000]yyyy-mm-dd")</f>
        <v/>
      </c>
      <c r="C48492" t="inlineStr">
        <is>
          <t>2032-09-02</t>
        </is>
      </c>
    </row>
    <row r="48493">
      <c r="A48493" s="1" t="n">
        <v>48492</v>
      </c>
      <c r="B48493">
        <f>TEXT(48492, "[$-0E0000]yyyy-mm-dd")</f>
        <v/>
      </c>
      <c r="C48493" t="inlineStr">
        <is>
          <t>2032-09-03</t>
        </is>
      </c>
    </row>
    <row r="48494">
      <c r="A48494" s="1" t="n">
        <v>48493</v>
      </c>
      <c r="B48494">
        <f>TEXT(48493, "[$-0E0000]yyyy-mm-dd")</f>
        <v/>
      </c>
      <c r="C48494" t="inlineStr">
        <is>
          <t>2032-09-04</t>
        </is>
      </c>
    </row>
    <row r="48495">
      <c r="A48495" s="1" t="n">
        <v>48494</v>
      </c>
      <c r="B48495">
        <f>TEXT(48494, "[$-0E0000]yyyy-mm-dd")</f>
        <v/>
      </c>
      <c r="C48495" t="inlineStr">
        <is>
          <t>2032-09-05</t>
        </is>
      </c>
    </row>
    <row r="48496">
      <c r="A48496" s="1" t="n">
        <v>48495</v>
      </c>
      <c r="B48496">
        <f>TEXT(48495, "[$-0E0000]yyyy-mm-dd")</f>
        <v/>
      </c>
      <c r="C48496" t="inlineStr">
        <is>
          <t>2032-09-06</t>
        </is>
      </c>
    </row>
    <row r="48497">
      <c r="A48497" s="1" t="n">
        <v>48496</v>
      </c>
      <c r="B48497">
        <f>TEXT(48496, "[$-0E0000]yyyy-mm-dd")</f>
        <v/>
      </c>
      <c r="C48497" t="inlineStr">
        <is>
          <t>2032-09-07</t>
        </is>
      </c>
    </row>
    <row r="48498">
      <c r="A48498" s="1" t="n">
        <v>48497</v>
      </c>
      <c r="B48498">
        <f>TEXT(48497, "[$-0E0000]yyyy-mm-dd")</f>
        <v/>
      </c>
      <c r="C48498" t="inlineStr">
        <is>
          <t>2032-09-08</t>
        </is>
      </c>
    </row>
    <row r="48499">
      <c r="A48499" s="1" t="n">
        <v>48498</v>
      </c>
      <c r="B48499">
        <f>TEXT(48498, "[$-0E0000]yyyy-mm-dd")</f>
        <v/>
      </c>
      <c r="C48499" t="inlineStr">
        <is>
          <t>2032-09-09</t>
        </is>
      </c>
    </row>
    <row r="48500">
      <c r="A48500" s="1" t="n">
        <v>48499</v>
      </c>
      <c r="B48500">
        <f>TEXT(48499, "[$-0E0000]yyyy-mm-dd")</f>
        <v/>
      </c>
      <c r="C48500" t="inlineStr">
        <is>
          <t>2032-09-10</t>
        </is>
      </c>
    </row>
    <row r="48501">
      <c r="A48501" s="1" t="n">
        <v>48500</v>
      </c>
      <c r="B48501">
        <f>TEXT(48500, "[$-0E0000]yyyy-mm-dd")</f>
        <v/>
      </c>
      <c r="C48501" t="inlineStr">
        <is>
          <t>2032-09-11</t>
        </is>
      </c>
    </row>
    <row r="48502">
      <c r="A48502" s="1" t="n">
        <v>48501</v>
      </c>
      <c r="B48502">
        <f>TEXT(48501, "[$-0E0000]yyyy-mm-dd")</f>
        <v/>
      </c>
      <c r="C48502" t="inlineStr">
        <is>
          <t>2032-09-12</t>
        </is>
      </c>
    </row>
    <row r="48503">
      <c r="A48503" s="1" t="n">
        <v>48502</v>
      </c>
      <c r="B48503">
        <f>TEXT(48502, "[$-0E0000]yyyy-mm-dd")</f>
        <v/>
      </c>
      <c r="C48503" t="inlineStr">
        <is>
          <t>2032-09-13</t>
        </is>
      </c>
    </row>
    <row r="48504">
      <c r="A48504" s="1" t="n">
        <v>48503</v>
      </c>
      <c r="B48504">
        <f>TEXT(48503, "[$-0E0000]yyyy-mm-dd")</f>
        <v/>
      </c>
      <c r="C48504" t="inlineStr">
        <is>
          <t>2032-09-14</t>
        </is>
      </c>
    </row>
    <row r="48505">
      <c r="A48505" s="1" t="n">
        <v>48504</v>
      </c>
      <c r="B48505">
        <f>TEXT(48504, "[$-0E0000]yyyy-mm-dd")</f>
        <v/>
      </c>
      <c r="C48505" t="inlineStr">
        <is>
          <t>2032-09-15</t>
        </is>
      </c>
    </row>
    <row r="48506">
      <c r="A48506" s="1" t="n">
        <v>48505</v>
      </c>
      <c r="B48506">
        <f>TEXT(48505, "[$-0E0000]yyyy-mm-dd")</f>
        <v/>
      </c>
      <c r="C48506" t="inlineStr">
        <is>
          <t>2032-09-16</t>
        </is>
      </c>
    </row>
    <row r="48507">
      <c r="A48507" s="1" t="n">
        <v>48506</v>
      </c>
      <c r="B48507">
        <f>TEXT(48506, "[$-0E0000]yyyy-mm-dd")</f>
        <v/>
      </c>
      <c r="C48507" t="inlineStr">
        <is>
          <t>2032-09-17</t>
        </is>
      </c>
    </row>
    <row r="48508">
      <c r="A48508" s="1" t="n">
        <v>48507</v>
      </c>
      <c r="B48508">
        <f>TEXT(48507, "[$-0E0000]yyyy-mm-dd")</f>
        <v/>
      </c>
      <c r="C48508" t="inlineStr">
        <is>
          <t>2032-09-18</t>
        </is>
      </c>
    </row>
    <row r="48509">
      <c r="A48509" s="1" t="n">
        <v>48508</v>
      </c>
      <c r="B48509">
        <f>TEXT(48508, "[$-0E0000]yyyy-mm-dd")</f>
        <v/>
      </c>
      <c r="C48509" t="inlineStr">
        <is>
          <t>2032-09-19</t>
        </is>
      </c>
    </row>
    <row r="48510">
      <c r="A48510" s="1" t="n">
        <v>48509</v>
      </c>
      <c r="B48510">
        <f>TEXT(48509, "[$-0E0000]yyyy-mm-dd")</f>
        <v/>
      </c>
      <c r="C48510" t="inlineStr">
        <is>
          <t>2032-09-20</t>
        </is>
      </c>
    </row>
    <row r="48511">
      <c r="A48511" s="1" t="n">
        <v>48510</v>
      </c>
      <c r="B48511">
        <f>TEXT(48510, "[$-0E0000]yyyy-mm-dd")</f>
        <v/>
      </c>
      <c r="C48511" t="inlineStr">
        <is>
          <t>2032-09-21</t>
        </is>
      </c>
    </row>
    <row r="48512">
      <c r="A48512" s="1" t="n">
        <v>48511</v>
      </c>
      <c r="B48512">
        <f>TEXT(48511, "[$-0E0000]yyyy-mm-dd")</f>
        <v/>
      </c>
      <c r="C48512" t="inlineStr">
        <is>
          <t>2032-09-22</t>
        </is>
      </c>
    </row>
    <row r="48513">
      <c r="A48513" s="1" t="n">
        <v>48512</v>
      </c>
      <c r="B48513">
        <f>TEXT(48512, "[$-0E0000]yyyy-mm-dd")</f>
        <v/>
      </c>
      <c r="C48513" t="inlineStr">
        <is>
          <t>2032-09-23</t>
        </is>
      </c>
    </row>
    <row r="48514">
      <c r="A48514" s="1" t="n">
        <v>48513</v>
      </c>
      <c r="B48514">
        <f>TEXT(48513, "[$-0E0000]yyyy-mm-dd")</f>
        <v/>
      </c>
      <c r="C48514" t="inlineStr">
        <is>
          <t>2032-09-24</t>
        </is>
      </c>
    </row>
    <row r="48515">
      <c r="A48515" s="1" t="n">
        <v>48514</v>
      </c>
      <c r="B48515">
        <f>TEXT(48514, "[$-0E0000]yyyy-mm-dd")</f>
        <v/>
      </c>
      <c r="C48515" t="inlineStr">
        <is>
          <t>2032-09-25</t>
        </is>
      </c>
    </row>
    <row r="48516">
      <c r="A48516" s="1" t="n">
        <v>48515</v>
      </c>
      <c r="B48516">
        <f>TEXT(48515, "[$-0E0000]yyyy-mm-dd")</f>
        <v/>
      </c>
      <c r="C48516" t="inlineStr">
        <is>
          <t>2032-09-26</t>
        </is>
      </c>
    </row>
    <row r="48517">
      <c r="A48517" s="1" t="n">
        <v>48516</v>
      </c>
      <c r="B48517">
        <f>TEXT(48516, "[$-0E0000]yyyy-mm-dd")</f>
        <v/>
      </c>
      <c r="C48517" t="inlineStr">
        <is>
          <t>2032-09-27</t>
        </is>
      </c>
    </row>
    <row r="48518">
      <c r="A48518" s="1" t="n">
        <v>48517</v>
      </c>
      <c r="B48518">
        <f>TEXT(48517, "[$-0E0000]yyyy-mm-dd")</f>
        <v/>
      </c>
      <c r="C48518" t="inlineStr">
        <is>
          <t>2032-09-28</t>
        </is>
      </c>
    </row>
    <row r="48519">
      <c r="A48519" s="1" t="n">
        <v>48518</v>
      </c>
      <c r="B48519">
        <f>TEXT(48518, "[$-0E0000]yyyy-mm-dd")</f>
        <v/>
      </c>
      <c r="C48519" t="inlineStr">
        <is>
          <t>2032-09-29</t>
        </is>
      </c>
    </row>
    <row r="48520">
      <c r="A48520" s="1" t="n">
        <v>48519</v>
      </c>
      <c r="B48520">
        <f>TEXT(48519, "[$-0E0000]yyyy-mm-dd")</f>
        <v/>
      </c>
      <c r="C48520" t="inlineStr">
        <is>
          <t>2032-09-30</t>
        </is>
      </c>
    </row>
    <row r="48521">
      <c r="A48521" s="1" t="n">
        <v>48520</v>
      </c>
      <c r="B48521">
        <f>TEXT(48520, "[$-0E0000]yyyy-mm-dd")</f>
        <v/>
      </c>
      <c r="C48521" t="inlineStr">
        <is>
          <t>2032-10-01</t>
        </is>
      </c>
    </row>
    <row r="48522">
      <c r="A48522" s="1" t="n">
        <v>48521</v>
      </c>
      <c r="B48522">
        <f>TEXT(48521, "[$-0E0000]yyyy-mm-dd")</f>
        <v/>
      </c>
      <c r="C48522" t="inlineStr">
        <is>
          <t>2032-10-02</t>
        </is>
      </c>
    </row>
    <row r="48523">
      <c r="A48523" s="1" t="n">
        <v>48522</v>
      </c>
      <c r="B48523">
        <f>TEXT(48522, "[$-0E0000]yyyy-mm-dd")</f>
        <v/>
      </c>
      <c r="C48523" t="inlineStr">
        <is>
          <t>2032-10-03</t>
        </is>
      </c>
    </row>
    <row r="48524">
      <c r="A48524" s="1" t="n">
        <v>48523</v>
      </c>
      <c r="B48524">
        <f>TEXT(48523, "[$-0E0000]yyyy-mm-dd")</f>
        <v/>
      </c>
      <c r="C48524" t="inlineStr">
        <is>
          <t>2032-10-04</t>
        </is>
      </c>
    </row>
    <row r="48525">
      <c r="A48525" s="1" t="n">
        <v>48524</v>
      </c>
      <c r="B48525">
        <f>TEXT(48524, "[$-0E0000]yyyy-mm-dd")</f>
        <v/>
      </c>
      <c r="C48525" t="inlineStr">
        <is>
          <t>2032-10-05</t>
        </is>
      </c>
    </row>
    <row r="48526">
      <c r="A48526" s="1" t="n">
        <v>48525</v>
      </c>
      <c r="B48526">
        <f>TEXT(48525, "[$-0E0000]yyyy-mm-dd")</f>
        <v/>
      </c>
      <c r="C48526" t="inlineStr">
        <is>
          <t>2032-10-06</t>
        </is>
      </c>
    </row>
    <row r="48527">
      <c r="A48527" s="1" t="n">
        <v>48526</v>
      </c>
      <c r="B48527">
        <f>TEXT(48526, "[$-0E0000]yyyy-mm-dd")</f>
        <v/>
      </c>
      <c r="C48527" t="inlineStr">
        <is>
          <t>2032-10-07</t>
        </is>
      </c>
    </row>
    <row r="48528">
      <c r="A48528" s="1" t="n">
        <v>48527</v>
      </c>
      <c r="B48528">
        <f>TEXT(48527, "[$-0E0000]yyyy-mm-dd")</f>
        <v/>
      </c>
      <c r="C48528" t="inlineStr">
        <is>
          <t>2032-10-08</t>
        </is>
      </c>
    </row>
    <row r="48529">
      <c r="A48529" s="1" t="n">
        <v>48528</v>
      </c>
      <c r="B48529">
        <f>TEXT(48528, "[$-0E0000]yyyy-mm-dd")</f>
        <v/>
      </c>
      <c r="C48529" t="inlineStr">
        <is>
          <t>2032-10-09</t>
        </is>
      </c>
    </row>
    <row r="48530">
      <c r="A48530" s="1" t="n">
        <v>48529</v>
      </c>
      <c r="B48530">
        <f>TEXT(48529, "[$-0E0000]yyyy-mm-dd")</f>
        <v/>
      </c>
      <c r="C48530" t="inlineStr">
        <is>
          <t>2032-10-10</t>
        </is>
      </c>
    </row>
    <row r="48531">
      <c r="A48531" s="1" t="n">
        <v>48530</v>
      </c>
      <c r="B48531">
        <f>TEXT(48530, "[$-0E0000]yyyy-mm-dd")</f>
        <v/>
      </c>
      <c r="C48531" t="inlineStr">
        <is>
          <t>2032-10-11</t>
        </is>
      </c>
    </row>
    <row r="48532">
      <c r="A48532" s="1" t="n">
        <v>48531</v>
      </c>
      <c r="B48532">
        <f>TEXT(48531, "[$-0E0000]yyyy-mm-dd")</f>
        <v/>
      </c>
      <c r="C48532" t="inlineStr">
        <is>
          <t>2032-10-12</t>
        </is>
      </c>
    </row>
    <row r="48533">
      <c r="A48533" s="1" t="n">
        <v>48532</v>
      </c>
      <c r="B48533">
        <f>TEXT(48532, "[$-0E0000]yyyy-mm-dd")</f>
        <v/>
      </c>
      <c r="C48533" t="inlineStr">
        <is>
          <t>2032-10-13</t>
        </is>
      </c>
    </row>
    <row r="48534">
      <c r="A48534" s="1" t="n">
        <v>48533</v>
      </c>
      <c r="B48534">
        <f>TEXT(48533, "[$-0E0000]yyyy-mm-dd")</f>
        <v/>
      </c>
      <c r="C48534" t="inlineStr">
        <is>
          <t>2032-10-14</t>
        </is>
      </c>
    </row>
    <row r="48535">
      <c r="A48535" s="1" t="n">
        <v>48534</v>
      </c>
      <c r="B48535">
        <f>TEXT(48534, "[$-0E0000]yyyy-mm-dd")</f>
        <v/>
      </c>
      <c r="C48535" t="inlineStr">
        <is>
          <t>2032-10-15</t>
        </is>
      </c>
    </row>
    <row r="48536">
      <c r="A48536" s="1" t="n">
        <v>48535</v>
      </c>
      <c r="B48536">
        <f>TEXT(48535, "[$-0E0000]yyyy-mm-dd")</f>
        <v/>
      </c>
      <c r="C48536" t="inlineStr">
        <is>
          <t>2032-10-16</t>
        </is>
      </c>
    </row>
    <row r="48537">
      <c r="A48537" s="1" t="n">
        <v>48536</v>
      </c>
      <c r="B48537">
        <f>TEXT(48536, "[$-0E0000]yyyy-mm-dd")</f>
        <v/>
      </c>
      <c r="C48537" t="inlineStr">
        <is>
          <t>2032-10-17</t>
        </is>
      </c>
    </row>
    <row r="48538">
      <c r="A48538" s="1" t="n">
        <v>48537</v>
      </c>
      <c r="B48538">
        <f>TEXT(48537, "[$-0E0000]yyyy-mm-dd")</f>
        <v/>
      </c>
      <c r="C48538" t="inlineStr">
        <is>
          <t>2032-10-18</t>
        </is>
      </c>
    </row>
    <row r="48539">
      <c r="A48539" s="1" t="n">
        <v>48538</v>
      </c>
      <c r="B48539">
        <f>TEXT(48538, "[$-0E0000]yyyy-mm-dd")</f>
        <v/>
      </c>
      <c r="C48539" t="inlineStr">
        <is>
          <t>2032-10-19</t>
        </is>
      </c>
    </row>
    <row r="48540">
      <c r="A48540" s="1" t="n">
        <v>48539</v>
      </c>
      <c r="B48540">
        <f>TEXT(48539, "[$-0E0000]yyyy-mm-dd")</f>
        <v/>
      </c>
      <c r="C48540" t="inlineStr">
        <is>
          <t>2032-10-20</t>
        </is>
      </c>
    </row>
    <row r="48541">
      <c r="A48541" s="1" t="n">
        <v>48540</v>
      </c>
      <c r="B48541">
        <f>TEXT(48540, "[$-0E0000]yyyy-mm-dd")</f>
        <v/>
      </c>
      <c r="C48541" t="inlineStr">
        <is>
          <t>2032-10-21</t>
        </is>
      </c>
    </row>
    <row r="48542">
      <c r="A48542" s="1" t="n">
        <v>48541</v>
      </c>
      <c r="B48542">
        <f>TEXT(48541, "[$-0E0000]yyyy-mm-dd")</f>
        <v/>
      </c>
      <c r="C48542" t="inlineStr">
        <is>
          <t>2032-10-22</t>
        </is>
      </c>
    </row>
    <row r="48543">
      <c r="A48543" s="1" t="n">
        <v>48542</v>
      </c>
      <c r="B48543">
        <f>TEXT(48542, "[$-0E0000]yyyy-mm-dd")</f>
        <v/>
      </c>
      <c r="C48543" t="inlineStr">
        <is>
          <t>2032-10-23</t>
        </is>
      </c>
    </row>
    <row r="48544">
      <c r="A48544" s="1" t="n">
        <v>48543</v>
      </c>
      <c r="B48544">
        <f>TEXT(48543, "[$-0E0000]yyyy-mm-dd")</f>
        <v/>
      </c>
      <c r="C48544" t="inlineStr">
        <is>
          <t>2032-10-24</t>
        </is>
      </c>
    </row>
    <row r="48545">
      <c r="A48545" s="1" t="n">
        <v>48544</v>
      </c>
      <c r="B48545">
        <f>TEXT(48544, "[$-0E0000]yyyy-mm-dd")</f>
        <v/>
      </c>
      <c r="C48545" t="inlineStr">
        <is>
          <t>2032-10-25</t>
        </is>
      </c>
    </row>
    <row r="48546">
      <c r="A48546" s="1" t="n">
        <v>48545</v>
      </c>
      <c r="B48546">
        <f>TEXT(48545, "[$-0E0000]yyyy-mm-dd")</f>
        <v/>
      </c>
      <c r="C48546" t="inlineStr">
        <is>
          <t>2032-10-26</t>
        </is>
      </c>
    </row>
    <row r="48547">
      <c r="A48547" s="1" t="n">
        <v>48546</v>
      </c>
      <c r="B48547">
        <f>TEXT(48546, "[$-0E0000]yyyy-mm-dd")</f>
        <v/>
      </c>
      <c r="C48547" t="inlineStr">
        <is>
          <t>2032-10-27</t>
        </is>
      </c>
    </row>
    <row r="48548">
      <c r="A48548" s="1" t="n">
        <v>48547</v>
      </c>
      <c r="B48548">
        <f>TEXT(48547, "[$-0E0000]yyyy-mm-dd")</f>
        <v/>
      </c>
      <c r="C48548" t="inlineStr">
        <is>
          <t>2032-10-28</t>
        </is>
      </c>
    </row>
    <row r="48549">
      <c r="A48549" s="1" t="n">
        <v>48548</v>
      </c>
      <c r="B48549">
        <f>TEXT(48548, "[$-0E0000]yyyy-mm-dd")</f>
        <v/>
      </c>
      <c r="C48549" t="inlineStr">
        <is>
          <t>2032-10-29</t>
        </is>
      </c>
    </row>
    <row r="48550">
      <c r="A48550" s="1" t="n">
        <v>48549</v>
      </c>
      <c r="B48550">
        <f>TEXT(48549, "[$-0E0000]yyyy-mm-dd")</f>
        <v/>
      </c>
      <c r="C48550" t="inlineStr">
        <is>
          <t>2032-10-30</t>
        </is>
      </c>
    </row>
    <row r="48551">
      <c r="A48551" s="1" t="n">
        <v>48550</v>
      </c>
      <c r="B48551">
        <f>TEXT(48550, "[$-0E0000]yyyy-mm-dd")</f>
        <v/>
      </c>
      <c r="C48551" t="inlineStr">
        <is>
          <t>2032-11-01</t>
        </is>
      </c>
    </row>
    <row r="48552">
      <c r="A48552" s="1" t="n">
        <v>48551</v>
      </c>
      <c r="B48552">
        <f>TEXT(48551, "[$-0E0000]yyyy-mm-dd")</f>
        <v/>
      </c>
      <c r="C48552" t="inlineStr">
        <is>
          <t>2032-11-02</t>
        </is>
      </c>
    </row>
    <row r="48553">
      <c r="A48553" s="1" t="n">
        <v>48552</v>
      </c>
      <c r="B48553">
        <f>TEXT(48552, "[$-0E0000]yyyy-mm-dd")</f>
        <v/>
      </c>
      <c r="C48553" t="inlineStr">
        <is>
          <t>2032-11-03</t>
        </is>
      </c>
    </row>
    <row r="48554">
      <c r="A48554" s="1" t="n">
        <v>48553</v>
      </c>
      <c r="B48554">
        <f>TEXT(48553, "[$-0E0000]yyyy-mm-dd")</f>
        <v/>
      </c>
      <c r="C48554" t="inlineStr">
        <is>
          <t>2032-11-04</t>
        </is>
      </c>
    </row>
    <row r="48555">
      <c r="A48555" s="1" t="n">
        <v>48554</v>
      </c>
      <c r="B48555">
        <f>TEXT(48554, "[$-0E0000]yyyy-mm-dd")</f>
        <v/>
      </c>
      <c r="C48555" t="inlineStr">
        <is>
          <t>2032-11-05</t>
        </is>
      </c>
    </row>
    <row r="48556">
      <c r="A48556" s="1" t="n">
        <v>48555</v>
      </c>
      <c r="B48556">
        <f>TEXT(48555, "[$-0E0000]yyyy-mm-dd")</f>
        <v/>
      </c>
      <c r="C48556" t="inlineStr">
        <is>
          <t>2032-11-06</t>
        </is>
      </c>
    </row>
    <row r="48557">
      <c r="A48557" s="1" t="n">
        <v>48556</v>
      </c>
      <c r="B48557">
        <f>TEXT(48556, "[$-0E0000]yyyy-mm-dd")</f>
        <v/>
      </c>
      <c r="C48557" t="inlineStr">
        <is>
          <t>2032-11-07</t>
        </is>
      </c>
    </row>
    <row r="48558">
      <c r="A48558" s="1" t="n">
        <v>48557</v>
      </c>
      <c r="B48558">
        <f>TEXT(48557, "[$-0E0000]yyyy-mm-dd")</f>
        <v/>
      </c>
      <c r="C48558" t="inlineStr">
        <is>
          <t>2032-11-08</t>
        </is>
      </c>
    </row>
    <row r="48559">
      <c r="A48559" s="1" t="n">
        <v>48558</v>
      </c>
      <c r="B48559">
        <f>TEXT(48558, "[$-0E0000]yyyy-mm-dd")</f>
        <v/>
      </c>
      <c r="C48559" t="inlineStr">
        <is>
          <t>2032-11-09</t>
        </is>
      </c>
    </row>
    <row r="48560">
      <c r="A48560" s="1" t="n">
        <v>48559</v>
      </c>
      <c r="B48560">
        <f>TEXT(48559, "[$-0E0000]yyyy-mm-dd")</f>
        <v/>
      </c>
      <c r="C48560" t="inlineStr">
        <is>
          <t>2032-11-10</t>
        </is>
      </c>
    </row>
    <row r="48561">
      <c r="A48561" s="1" t="n">
        <v>48560</v>
      </c>
      <c r="B48561">
        <f>TEXT(48560, "[$-0E0000]yyyy-mm-dd")</f>
        <v/>
      </c>
      <c r="C48561" t="inlineStr">
        <is>
          <t>2032-11-11</t>
        </is>
      </c>
    </row>
    <row r="48562">
      <c r="A48562" s="1" t="n">
        <v>48561</v>
      </c>
      <c r="B48562">
        <f>TEXT(48561, "[$-0E0000]yyyy-mm-dd")</f>
        <v/>
      </c>
      <c r="C48562" t="inlineStr">
        <is>
          <t>2032-11-12</t>
        </is>
      </c>
    </row>
    <row r="48563">
      <c r="A48563" s="1" t="n">
        <v>48562</v>
      </c>
      <c r="B48563">
        <f>TEXT(48562, "[$-0E0000]yyyy-mm-dd")</f>
        <v/>
      </c>
      <c r="C48563" t="inlineStr">
        <is>
          <t>2032-11-13</t>
        </is>
      </c>
    </row>
    <row r="48564">
      <c r="A48564" s="1" t="n">
        <v>48563</v>
      </c>
      <c r="B48564">
        <f>TEXT(48563, "[$-0E0000]yyyy-mm-dd")</f>
        <v/>
      </c>
      <c r="C48564" t="inlineStr">
        <is>
          <t>2032-11-14</t>
        </is>
      </c>
    </row>
    <row r="48565">
      <c r="A48565" s="1" t="n">
        <v>48564</v>
      </c>
      <c r="B48565">
        <f>TEXT(48564, "[$-0E0000]yyyy-mm-dd")</f>
        <v/>
      </c>
      <c r="C48565" t="inlineStr">
        <is>
          <t>2032-11-15</t>
        </is>
      </c>
    </row>
    <row r="48566">
      <c r="A48566" s="1" t="n">
        <v>48565</v>
      </c>
      <c r="B48566">
        <f>TEXT(48565, "[$-0E0000]yyyy-mm-dd")</f>
        <v/>
      </c>
      <c r="C48566" t="inlineStr">
        <is>
          <t>2032-11-16</t>
        </is>
      </c>
    </row>
    <row r="48567">
      <c r="A48567" s="1" t="n">
        <v>48566</v>
      </c>
      <c r="B48567">
        <f>TEXT(48566, "[$-0E0000]yyyy-mm-dd")</f>
        <v/>
      </c>
      <c r="C48567" t="inlineStr">
        <is>
          <t>2032-11-17</t>
        </is>
      </c>
    </row>
    <row r="48568">
      <c r="A48568" s="1" t="n">
        <v>48567</v>
      </c>
      <c r="B48568">
        <f>TEXT(48567, "[$-0E0000]yyyy-mm-dd")</f>
        <v/>
      </c>
      <c r="C48568" t="inlineStr">
        <is>
          <t>2032-11-18</t>
        </is>
      </c>
    </row>
    <row r="48569">
      <c r="A48569" s="1" t="n">
        <v>48568</v>
      </c>
      <c r="B48569">
        <f>TEXT(48568, "[$-0E0000]yyyy-mm-dd")</f>
        <v/>
      </c>
      <c r="C48569" t="inlineStr">
        <is>
          <t>2032-11-19</t>
        </is>
      </c>
    </row>
    <row r="48570">
      <c r="A48570" s="1" t="n">
        <v>48569</v>
      </c>
      <c r="B48570">
        <f>TEXT(48569, "[$-0E0000]yyyy-mm-dd")</f>
        <v/>
      </c>
      <c r="C48570" t="inlineStr">
        <is>
          <t>2032-11-20</t>
        </is>
      </c>
    </row>
    <row r="48571">
      <c r="A48571" s="1" t="n">
        <v>48570</v>
      </c>
      <c r="B48571">
        <f>TEXT(48570, "[$-0E0000]yyyy-mm-dd")</f>
        <v/>
      </c>
      <c r="C48571" t="inlineStr">
        <is>
          <t>2032-11-21</t>
        </is>
      </c>
    </row>
    <row r="48572">
      <c r="A48572" s="1" t="n">
        <v>48571</v>
      </c>
      <c r="B48572">
        <f>TEXT(48571, "[$-0E0000]yyyy-mm-dd")</f>
        <v/>
      </c>
      <c r="C48572" t="inlineStr">
        <is>
          <t>2032-11-22</t>
        </is>
      </c>
    </row>
    <row r="48573">
      <c r="A48573" s="1" t="n">
        <v>48572</v>
      </c>
      <c r="B48573">
        <f>TEXT(48572, "[$-0E0000]yyyy-mm-dd")</f>
        <v/>
      </c>
      <c r="C48573" t="inlineStr">
        <is>
          <t>2032-11-23</t>
        </is>
      </c>
    </row>
    <row r="48574">
      <c r="A48574" s="1" t="n">
        <v>48573</v>
      </c>
      <c r="B48574">
        <f>TEXT(48573, "[$-0E0000]yyyy-mm-dd")</f>
        <v/>
      </c>
      <c r="C48574" t="inlineStr">
        <is>
          <t>2032-11-24</t>
        </is>
      </c>
    </row>
    <row r="48575">
      <c r="A48575" s="1" t="n">
        <v>48574</v>
      </c>
      <c r="B48575">
        <f>TEXT(48574, "[$-0E0000]yyyy-mm-dd")</f>
        <v/>
      </c>
      <c r="C48575" t="inlineStr">
        <is>
          <t>2032-11-25</t>
        </is>
      </c>
    </row>
    <row r="48576">
      <c r="A48576" s="1" t="n">
        <v>48575</v>
      </c>
      <c r="B48576">
        <f>TEXT(48575, "[$-0E0000]yyyy-mm-dd")</f>
        <v/>
      </c>
      <c r="C48576" t="inlineStr">
        <is>
          <t>2032-11-26</t>
        </is>
      </c>
    </row>
    <row r="48577">
      <c r="A48577" s="1" t="n">
        <v>48576</v>
      </c>
      <c r="B48577">
        <f>TEXT(48576, "[$-0E0000]yyyy-mm-dd")</f>
        <v/>
      </c>
      <c r="C48577" t="inlineStr">
        <is>
          <t>2032-11-27</t>
        </is>
      </c>
    </row>
    <row r="48578">
      <c r="A48578" s="1" t="n">
        <v>48577</v>
      </c>
      <c r="B48578">
        <f>TEXT(48577, "[$-0E0000]yyyy-mm-dd")</f>
        <v/>
      </c>
      <c r="C48578" t="inlineStr">
        <is>
          <t>2032-11-28</t>
        </is>
      </c>
    </row>
    <row r="48579">
      <c r="A48579" s="1" t="n">
        <v>48578</v>
      </c>
      <c r="B48579">
        <f>TEXT(48578, "[$-0E0000]yyyy-mm-dd")</f>
        <v/>
      </c>
      <c r="C48579" t="inlineStr">
        <is>
          <t>2032-11-29</t>
        </is>
      </c>
    </row>
    <row r="48580">
      <c r="A48580" s="1" t="n">
        <v>48579</v>
      </c>
      <c r="B48580">
        <f>TEXT(48579, "[$-0E0000]yyyy-mm-dd")</f>
        <v/>
      </c>
      <c r="C48580" t="inlineStr">
        <is>
          <t>2032-12-01</t>
        </is>
      </c>
    </row>
    <row r="48581">
      <c r="A48581" s="1" t="n">
        <v>48580</v>
      </c>
      <c r="B48581">
        <f>TEXT(48580, "[$-0E0000]yyyy-mm-dd")</f>
        <v/>
      </c>
      <c r="C48581" t="inlineStr">
        <is>
          <t>2032-12-02</t>
        </is>
      </c>
    </row>
    <row r="48582">
      <c r="A48582" s="1" t="n">
        <v>48581</v>
      </c>
      <c r="B48582">
        <f>TEXT(48581, "[$-0E0000]yyyy-mm-dd")</f>
        <v/>
      </c>
      <c r="C48582" t="inlineStr">
        <is>
          <t>2032-12-03</t>
        </is>
      </c>
    </row>
    <row r="48583">
      <c r="A48583" s="1" t="n">
        <v>48582</v>
      </c>
      <c r="B48583">
        <f>TEXT(48582, "[$-0E0000]yyyy-mm-dd")</f>
        <v/>
      </c>
      <c r="C48583" t="inlineStr">
        <is>
          <t>2032-12-04</t>
        </is>
      </c>
    </row>
    <row r="48584">
      <c r="A48584" s="1" t="n">
        <v>48583</v>
      </c>
      <c r="B48584">
        <f>TEXT(48583, "[$-0E0000]yyyy-mm-dd")</f>
        <v/>
      </c>
      <c r="C48584" t="inlineStr">
        <is>
          <t>2032-12-05</t>
        </is>
      </c>
    </row>
    <row r="48585">
      <c r="A48585" s="1" t="n">
        <v>48584</v>
      </c>
      <c r="B48585">
        <f>TEXT(48584, "[$-0E0000]yyyy-mm-dd")</f>
        <v/>
      </c>
      <c r="C48585" t="inlineStr">
        <is>
          <t>2032-12-06</t>
        </is>
      </c>
    </row>
    <row r="48586">
      <c r="A48586" s="1" t="n">
        <v>48585</v>
      </c>
      <c r="B48586">
        <f>TEXT(48585, "[$-0E0000]yyyy-mm-dd")</f>
        <v/>
      </c>
      <c r="C48586" t="inlineStr">
        <is>
          <t>2032-12-07</t>
        </is>
      </c>
    </row>
    <row r="48587">
      <c r="A48587" s="1" t="n">
        <v>48586</v>
      </c>
      <c r="B48587">
        <f>TEXT(48586, "[$-0E0000]yyyy-mm-dd")</f>
        <v/>
      </c>
      <c r="C48587" t="inlineStr">
        <is>
          <t>2032-12-08</t>
        </is>
      </c>
    </row>
    <row r="48588">
      <c r="A48588" s="1" t="n">
        <v>48587</v>
      </c>
      <c r="B48588">
        <f>TEXT(48587, "[$-0E0000]yyyy-mm-dd")</f>
        <v/>
      </c>
      <c r="C48588" t="inlineStr">
        <is>
          <t>2032-12-09</t>
        </is>
      </c>
    </row>
    <row r="48589">
      <c r="A48589" s="1" t="n">
        <v>48588</v>
      </c>
      <c r="B48589">
        <f>TEXT(48588, "[$-0E0000]yyyy-mm-dd")</f>
        <v/>
      </c>
      <c r="C48589" t="inlineStr">
        <is>
          <t>2032-12-10</t>
        </is>
      </c>
    </row>
    <row r="48590">
      <c r="A48590" s="1" t="n">
        <v>48589</v>
      </c>
      <c r="B48590">
        <f>TEXT(48589, "[$-0E0000]yyyy-mm-dd")</f>
        <v/>
      </c>
      <c r="C48590" t="inlineStr">
        <is>
          <t>2032-12-11</t>
        </is>
      </c>
    </row>
    <row r="48591">
      <c r="A48591" s="1" t="n">
        <v>48590</v>
      </c>
      <c r="B48591">
        <f>TEXT(48590, "[$-0E0000]yyyy-mm-dd")</f>
        <v/>
      </c>
      <c r="C48591" t="inlineStr">
        <is>
          <t>2032-12-12</t>
        </is>
      </c>
    </row>
    <row r="48592">
      <c r="A48592" s="1" t="n">
        <v>48591</v>
      </c>
      <c r="B48592">
        <f>TEXT(48591, "[$-0E0000]yyyy-mm-dd")</f>
        <v/>
      </c>
      <c r="C48592" t="inlineStr">
        <is>
          <t>2032-12-13</t>
        </is>
      </c>
    </row>
    <row r="48593">
      <c r="A48593" s="1" t="n">
        <v>48592</v>
      </c>
      <c r="B48593">
        <f>TEXT(48592, "[$-0E0000]yyyy-mm-dd")</f>
        <v/>
      </c>
      <c r="C48593" t="inlineStr">
        <is>
          <t>2032-12-14</t>
        </is>
      </c>
    </row>
    <row r="48594">
      <c r="A48594" s="1" t="n">
        <v>48593</v>
      </c>
      <c r="B48594">
        <f>TEXT(48593, "[$-0E0000]yyyy-mm-dd")</f>
        <v/>
      </c>
      <c r="C48594" t="inlineStr">
        <is>
          <t>2032-12-15</t>
        </is>
      </c>
    </row>
    <row r="48595">
      <c r="A48595" s="1" t="n">
        <v>48594</v>
      </c>
      <c r="B48595">
        <f>TEXT(48594, "[$-0E0000]yyyy-mm-dd")</f>
        <v/>
      </c>
      <c r="C48595" t="inlineStr">
        <is>
          <t>2032-12-16</t>
        </is>
      </c>
    </row>
    <row r="48596">
      <c r="A48596" s="1" t="n">
        <v>48595</v>
      </c>
      <c r="B48596">
        <f>TEXT(48595, "[$-0E0000]yyyy-mm-dd")</f>
        <v/>
      </c>
      <c r="C48596" t="inlineStr">
        <is>
          <t>2032-12-17</t>
        </is>
      </c>
    </row>
    <row r="48597">
      <c r="A48597" s="1" t="n">
        <v>48596</v>
      </c>
      <c r="B48597">
        <f>TEXT(48596, "[$-0E0000]yyyy-mm-dd")</f>
        <v/>
      </c>
      <c r="C48597" t="inlineStr">
        <is>
          <t>2032-12-18</t>
        </is>
      </c>
    </row>
    <row r="48598">
      <c r="A48598" s="1" t="n">
        <v>48597</v>
      </c>
      <c r="B48598">
        <f>TEXT(48597, "[$-0E0000]yyyy-mm-dd")</f>
        <v/>
      </c>
      <c r="C48598" t="inlineStr">
        <is>
          <t>2032-12-19</t>
        </is>
      </c>
    </row>
    <row r="48599">
      <c r="A48599" s="1" t="n">
        <v>48598</v>
      </c>
      <c r="B48599">
        <f>TEXT(48598, "[$-0E0000]yyyy-mm-dd")</f>
        <v/>
      </c>
      <c r="C48599" t="inlineStr">
        <is>
          <t>2032-12-20</t>
        </is>
      </c>
    </row>
    <row r="48600">
      <c r="A48600" s="1" t="n">
        <v>48599</v>
      </c>
      <c r="B48600">
        <f>TEXT(48599, "[$-0E0000]yyyy-mm-dd")</f>
        <v/>
      </c>
      <c r="C48600" t="inlineStr">
        <is>
          <t>2032-12-21</t>
        </is>
      </c>
    </row>
    <row r="48601">
      <c r="A48601" s="1" t="n">
        <v>48600</v>
      </c>
      <c r="B48601">
        <f>TEXT(48600, "[$-0E0000]yyyy-mm-dd")</f>
        <v/>
      </c>
      <c r="C48601" t="inlineStr">
        <is>
          <t>2032-12-22</t>
        </is>
      </c>
    </row>
    <row r="48602">
      <c r="A48602" s="1" t="n">
        <v>48601</v>
      </c>
      <c r="B48602">
        <f>TEXT(48601, "[$-0E0000]yyyy-mm-dd")</f>
        <v/>
      </c>
      <c r="C48602" t="inlineStr">
        <is>
          <t>2032-12-23</t>
        </is>
      </c>
    </row>
    <row r="48603">
      <c r="A48603" s="1" t="n">
        <v>48602</v>
      </c>
      <c r="B48603">
        <f>TEXT(48602, "[$-0E0000]yyyy-mm-dd")</f>
        <v/>
      </c>
      <c r="C48603" t="inlineStr">
        <is>
          <t>2032-12-24</t>
        </is>
      </c>
    </row>
    <row r="48604">
      <c r="A48604" s="1" t="n">
        <v>48603</v>
      </c>
      <c r="B48604">
        <f>TEXT(48603, "[$-0E0000]yyyy-mm-dd")</f>
        <v/>
      </c>
      <c r="C48604" t="inlineStr">
        <is>
          <t>2032-12-25</t>
        </is>
      </c>
    </row>
    <row r="48605">
      <c r="A48605" s="1" t="n">
        <v>48604</v>
      </c>
      <c r="B48605">
        <f>TEXT(48604, "[$-0E0000]yyyy-mm-dd")</f>
        <v/>
      </c>
      <c r="C48605" t="inlineStr">
        <is>
          <t>2032-12-26</t>
        </is>
      </c>
    </row>
    <row r="48606">
      <c r="A48606" s="1" t="n">
        <v>48605</v>
      </c>
      <c r="B48606">
        <f>TEXT(48605, "[$-0E0000]yyyy-mm-dd")</f>
        <v/>
      </c>
      <c r="C48606" t="inlineStr">
        <is>
          <t>2032-12-27</t>
        </is>
      </c>
    </row>
    <row r="48607">
      <c r="A48607" s="1" t="n">
        <v>48606</v>
      </c>
      <c r="B48607">
        <f>TEXT(48606, "[$-0E0000]yyyy-mm-dd")</f>
        <v/>
      </c>
      <c r="C48607" t="inlineStr">
        <is>
          <t>2032-12-28</t>
        </is>
      </c>
    </row>
    <row r="48608">
      <c r="A48608" s="1" t="n">
        <v>48607</v>
      </c>
      <c r="B48608">
        <f>TEXT(48607, "[$-0E0000]yyyy-mm-dd")</f>
        <v/>
      </c>
      <c r="C48608" t="inlineStr">
        <is>
          <t>2032-12-29</t>
        </is>
      </c>
    </row>
    <row r="48609">
      <c r="A48609" s="1" t="n">
        <v>48608</v>
      </c>
      <c r="B48609">
        <f>TEXT(48608, "[$-0E0000]yyyy-mm-dd")</f>
        <v/>
      </c>
      <c r="C48609" t="inlineStr">
        <is>
          <t>2032-12-30</t>
        </is>
      </c>
    </row>
    <row r="48610">
      <c r="A48610" s="1" t="n">
        <v>48609</v>
      </c>
      <c r="B48610">
        <f>TEXT(48609, "[$-0E0000]yyyy-mm-dd")</f>
        <v/>
      </c>
      <c r="C48610" t="inlineStr">
        <is>
          <t>2033-01-01</t>
        </is>
      </c>
    </row>
    <row r="48611">
      <c r="A48611" s="1" t="n">
        <v>48610</v>
      </c>
      <c r="B48611">
        <f>TEXT(48610, "[$-0E0000]yyyy-mm-dd")</f>
        <v/>
      </c>
      <c r="C48611" t="inlineStr">
        <is>
          <t>2033-01-02</t>
        </is>
      </c>
    </row>
    <row r="48612">
      <c r="A48612" s="1" t="n">
        <v>48611</v>
      </c>
      <c r="B48612">
        <f>TEXT(48611, "[$-0E0000]yyyy-mm-dd")</f>
        <v/>
      </c>
      <c r="C48612" t="inlineStr">
        <is>
          <t>2033-01-03</t>
        </is>
      </c>
    </row>
    <row r="48613">
      <c r="A48613" s="1" t="n">
        <v>48612</v>
      </c>
      <c r="B48613">
        <f>TEXT(48612, "[$-0E0000]yyyy-mm-dd")</f>
        <v/>
      </c>
      <c r="C48613" t="inlineStr">
        <is>
          <t>2033-01-04</t>
        </is>
      </c>
    </row>
    <row r="48614">
      <c r="A48614" s="1" t="n">
        <v>48613</v>
      </c>
      <c r="B48614">
        <f>TEXT(48613, "[$-0E0000]yyyy-mm-dd")</f>
        <v/>
      </c>
      <c r="C48614" t="inlineStr">
        <is>
          <t>2033-01-05</t>
        </is>
      </c>
    </row>
    <row r="48615">
      <c r="A48615" s="1" t="n">
        <v>48614</v>
      </c>
      <c r="B48615">
        <f>TEXT(48614, "[$-0E0000]yyyy-mm-dd")</f>
        <v/>
      </c>
      <c r="C48615" t="inlineStr">
        <is>
          <t>2033-01-06</t>
        </is>
      </c>
    </row>
    <row r="48616">
      <c r="A48616" s="1" t="n">
        <v>48615</v>
      </c>
      <c r="B48616">
        <f>TEXT(48615, "[$-0E0000]yyyy-mm-dd")</f>
        <v/>
      </c>
      <c r="C48616" t="inlineStr">
        <is>
          <t>2033-01-07</t>
        </is>
      </c>
    </row>
    <row r="48617">
      <c r="A48617" s="1" t="n">
        <v>48616</v>
      </c>
      <c r="B48617">
        <f>TEXT(48616, "[$-0E0000]yyyy-mm-dd")</f>
        <v/>
      </c>
      <c r="C48617" t="inlineStr">
        <is>
          <t>2033-01-08</t>
        </is>
      </c>
    </row>
    <row r="48618">
      <c r="A48618" s="1" t="n">
        <v>48617</v>
      </c>
      <c r="B48618">
        <f>TEXT(48617, "[$-0E0000]yyyy-mm-dd")</f>
        <v/>
      </c>
      <c r="C48618" t="inlineStr">
        <is>
          <t>2033-01-09</t>
        </is>
      </c>
    </row>
    <row r="48619">
      <c r="A48619" s="1" t="n">
        <v>48618</v>
      </c>
      <c r="B48619">
        <f>TEXT(48618, "[$-0E0000]yyyy-mm-dd")</f>
        <v/>
      </c>
      <c r="C48619" t="inlineStr">
        <is>
          <t>2033-01-10</t>
        </is>
      </c>
    </row>
    <row r="48620">
      <c r="A48620" s="1" t="n">
        <v>48619</v>
      </c>
      <c r="B48620">
        <f>TEXT(48619, "[$-0E0000]yyyy-mm-dd")</f>
        <v/>
      </c>
      <c r="C48620" t="inlineStr">
        <is>
          <t>2033-01-11</t>
        </is>
      </c>
    </row>
    <row r="48621">
      <c r="A48621" s="1" t="n">
        <v>48620</v>
      </c>
      <c r="B48621">
        <f>TEXT(48620, "[$-0E0000]yyyy-mm-dd")</f>
        <v/>
      </c>
      <c r="C48621" t="inlineStr">
        <is>
          <t>2033-01-12</t>
        </is>
      </c>
    </row>
    <row r="48622">
      <c r="A48622" s="1" t="n">
        <v>48621</v>
      </c>
      <c r="B48622">
        <f>TEXT(48621, "[$-0E0000]yyyy-mm-dd")</f>
        <v/>
      </c>
      <c r="C48622" t="inlineStr">
        <is>
          <t>2033-01-13</t>
        </is>
      </c>
    </row>
    <row r="48623">
      <c r="A48623" s="1" t="n">
        <v>48622</v>
      </c>
      <c r="B48623">
        <f>TEXT(48622, "[$-0E0000]yyyy-mm-dd")</f>
        <v/>
      </c>
      <c r="C48623" t="inlineStr">
        <is>
          <t>2033-01-14</t>
        </is>
      </c>
    </row>
    <row r="48624">
      <c r="A48624" s="1" t="n">
        <v>48623</v>
      </c>
      <c r="B48624">
        <f>TEXT(48623, "[$-0E0000]yyyy-mm-dd")</f>
        <v/>
      </c>
      <c r="C48624" t="inlineStr">
        <is>
          <t>2033-01-15</t>
        </is>
      </c>
    </row>
    <row r="48625">
      <c r="A48625" s="1" t="n">
        <v>48624</v>
      </c>
      <c r="B48625">
        <f>TEXT(48624, "[$-0E0000]yyyy-mm-dd")</f>
        <v/>
      </c>
      <c r="C48625" t="inlineStr">
        <is>
          <t>2033-01-16</t>
        </is>
      </c>
    </row>
    <row r="48626">
      <c r="A48626" s="1" t="n">
        <v>48625</v>
      </c>
      <c r="B48626">
        <f>TEXT(48625, "[$-0E0000]yyyy-mm-dd")</f>
        <v/>
      </c>
      <c r="C48626" t="inlineStr">
        <is>
          <t>2033-01-17</t>
        </is>
      </c>
    </row>
    <row r="48627">
      <c r="A48627" s="1" t="n">
        <v>48626</v>
      </c>
      <c r="B48627">
        <f>TEXT(48626, "[$-0E0000]yyyy-mm-dd")</f>
        <v/>
      </c>
      <c r="C48627" t="inlineStr">
        <is>
          <t>2033-01-18</t>
        </is>
      </c>
    </row>
    <row r="48628">
      <c r="A48628" s="1" t="n">
        <v>48627</v>
      </c>
      <c r="B48628">
        <f>TEXT(48627, "[$-0E0000]yyyy-mm-dd")</f>
        <v/>
      </c>
      <c r="C48628" t="inlineStr">
        <is>
          <t>2033-01-19</t>
        </is>
      </c>
    </row>
    <row r="48629">
      <c r="A48629" s="1" t="n">
        <v>48628</v>
      </c>
      <c r="B48629">
        <f>TEXT(48628, "[$-0E0000]yyyy-mm-dd")</f>
        <v/>
      </c>
      <c r="C48629" t="inlineStr">
        <is>
          <t>2033-01-20</t>
        </is>
      </c>
    </row>
    <row r="48630">
      <c r="A48630" s="1" t="n">
        <v>48629</v>
      </c>
      <c r="B48630">
        <f>TEXT(48629, "[$-0E0000]yyyy-mm-dd")</f>
        <v/>
      </c>
      <c r="C48630" t="inlineStr">
        <is>
          <t>2033-01-21</t>
        </is>
      </c>
    </row>
    <row r="48631">
      <c r="A48631" s="1" t="n">
        <v>48630</v>
      </c>
      <c r="B48631">
        <f>TEXT(48630, "[$-0E0000]yyyy-mm-dd")</f>
        <v/>
      </c>
      <c r="C48631" t="inlineStr">
        <is>
          <t>2033-01-22</t>
        </is>
      </c>
    </row>
    <row r="48632">
      <c r="A48632" s="1" t="n">
        <v>48631</v>
      </c>
      <c r="B48632">
        <f>TEXT(48631, "[$-0E0000]yyyy-mm-dd")</f>
        <v/>
      </c>
      <c r="C48632" t="inlineStr">
        <is>
          <t>2033-01-23</t>
        </is>
      </c>
    </row>
    <row r="48633">
      <c r="A48633" s="1" t="n">
        <v>48632</v>
      </c>
      <c r="B48633">
        <f>TEXT(48632, "[$-0E0000]yyyy-mm-dd")</f>
        <v/>
      </c>
      <c r="C48633" t="inlineStr">
        <is>
          <t>2033-01-24</t>
        </is>
      </c>
    </row>
    <row r="48634">
      <c r="A48634" s="1" t="n">
        <v>48633</v>
      </c>
      <c r="B48634">
        <f>TEXT(48633, "[$-0E0000]yyyy-mm-dd")</f>
        <v/>
      </c>
      <c r="C48634" t="inlineStr">
        <is>
          <t>2033-01-25</t>
        </is>
      </c>
    </row>
    <row r="48635">
      <c r="A48635" s="1" t="n">
        <v>48634</v>
      </c>
      <c r="B48635">
        <f>TEXT(48634, "[$-0E0000]yyyy-mm-dd")</f>
        <v/>
      </c>
      <c r="C48635" t="inlineStr">
        <is>
          <t>2033-01-26</t>
        </is>
      </c>
    </row>
    <row r="48636">
      <c r="A48636" s="1" t="n">
        <v>48635</v>
      </c>
      <c r="B48636">
        <f>TEXT(48635, "[$-0E0000]yyyy-mm-dd")</f>
        <v/>
      </c>
      <c r="C48636" t="inlineStr">
        <is>
          <t>2033-01-27</t>
        </is>
      </c>
    </row>
    <row r="48637">
      <c r="A48637" s="1" t="n">
        <v>48636</v>
      </c>
      <c r="B48637">
        <f>TEXT(48636, "[$-0E0000]yyyy-mm-dd")</f>
        <v/>
      </c>
      <c r="C48637" t="inlineStr">
        <is>
          <t>2033-01-28</t>
        </is>
      </c>
    </row>
    <row r="48638">
      <c r="A48638" s="1" t="n">
        <v>48637</v>
      </c>
      <c r="B48638">
        <f>TEXT(48637, "[$-0E0000]yyyy-mm-dd")</f>
        <v/>
      </c>
      <c r="C48638" t="inlineStr">
        <is>
          <t>2033-01-29</t>
        </is>
      </c>
    </row>
    <row r="48639">
      <c r="A48639" s="1" t="n">
        <v>48638</v>
      </c>
      <c r="B48639">
        <f>TEXT(48638, "[$-0E0000]yyyy-mm-dd")</f>
        <v/>
      </c>
      <c r="C48639" t="inlineStr">
        <is>
          <t>2033-02-01</t>
        </is>
      </c>
    </row>
    <row r="48640">
      <c r="A48640" s="1" t="n">
        <v>48639</v>
      </c>
      <c r="B48640">
        <f>TEXT(48639, "[$-0E0000]yyyy-mm-dd")</f>
        <v/>
      </c>
      <c r="C48640" t="inlineStr">
        <is>
          <t>2033-02-02</t>
        </is>
      </c>
    </row>
    <row r="48641">
      <c r="A48641" s="1" t="n">
        <v>48640</v>
      </c>
      <c r="B48641">
        <f>TEXT(48640, "[$-0E0000]yyyy-mm-dd")</f>
        <v/>
      </c>
      <c r="C48641" t="inlineStr">
        <is>
          <t>2033-02-03</t>
        </is>
      </c>
    </row>
    <row r="48642">
      <c r="A48642" s="1" t="n">
        <v>48641</v>
      </c>
      <c r="B48642">
        <f>TEXT(48641, "[$-0E0000]yyyy-mm-dd")</f>
        <v/>
      </c>
      <c r="C48642" t="inlineStr">
        <is>
          <t>2033-02-04</t>
        </is>
      </c>
    </row>
    <row r="48643">
      <c r="A48643" s="1" t="n">
        <v>48642</v>
      </c>
      <c r="B48643">
        <f>TEXT(48642, "[$-0E0000]yyyy-mm-dd")</f>
        <v/>
      </c>
      <c r="C48643" t="inlineStr">
        <is>
          <t>2033-02-05</t>
        </is>
      </c>
    </row>
    <row r="48644">
      <c r="A48644" s="1" t="n">
        <v>48643</v>
      </c>
      <c r="B48644">
        <f>TEXT(48643, "[$-0E0000]yyyy-mm-dd")</f>
        <v/>
      </c>
      <c r="C48644" t="inlineStr">
        <is>
          <t>2033-02-06</t>
        </is>
      </c>
    </row>
    <row r="48645">
      <c r="A48645" s="1" t="n">
        <v>48644</v>
      </c>
      <c r="B48645">
        <f>TEXT(48644, "[$-0E0000]yyyy-mm-dd")</f>
        <v/>
      </c>
      <c r="C48645" t="inlineStr">
        <is>
          <t>2033-02-07</t>
        </is>
      </c>
    </row>
    <row r="48646">
      <c r="A48646" s="1" t="n">
        <v>48645</v>
      </c>
      <c r="B48646">
        <f>TEXT(48645, "[$-0E0000]yyyy-mm-dd")</f>
        <v/>
      </c>
      <c r="C48646" t="inlineStr">
        <is>
          <t>2033-02-08</t>
        </is>
      </c>
    </row>
    <row r="48647">
      <c r="A48647" s="1" t="n">
        <v>48646</v>
      </c>
      <c r="B48647">
        <f>TEXT(48646, "[$-0E0000]yyyy-mm-dd")</f>
        <v/>
      </c>
      <c r="C48647" t="inlineStr">
        <is>
          <t>2033-02-09</t>
        </is>
      </c>
    </row>
    <row r="48648">
      <c r="A48648" s="1" t="n">
        <v>48647</v>
      </c>
      <c r="B48648">
        <f>TEXT(48647, "[$-0E0000]yyyy-mm-dd")</f>
        <v/>
      </c>
      <c r="C48648" t="inlineStr">
        <is>
          <t>2033-02-10</t>
        </is>
      </c>
    </row>
    <row r="48649">
      <c r="A48649" s="1" t="n">
        <v>48648</v>
      </c>
      <c r="B48649">
        <f>TEXT(48648, "[$-0E0000]yyyy-mm-dd")</f>
        <v/>
      </c>
      <c r="C48649" t="inlineStr">
        <is>
          <t>2033-02-11</t>
        </is>
      </c>
    </row>
    <row r="48650">
      <c r="A48650" s="1" t="n">
        <v>48649</v>
      </c>
      <c r="B48650">
        <f>TEXT(48649, "[$-0E0000]yyyy-mm-dd")</f>
        <v/>
      </c>
      <c r="C48650" t="inlineStr">
        <is>
          <t>2033-02-12</t>
        </is>
      </c>
    </row>
    <row r="48651">
      <c r="A48651" s="1" t="n">
        <v>48650</v>
      </c>
      <c r="B48651">
        <f>TEXT(48650, "[$-0E0000]yyyy-mm-dd")</f>
        <v/>
      </c>
      <c r="C48651" t="inlineStr">
        <is>
          <t>2033-02-13</t>
        </is>
      </c>
    </row>
    <row r="48652">
      <c r="A48652" s="1" t="n">
        <v>48651</v>
      </c>
      <c r="B48652">
        <f>TEXT(48651, "[$-0E0000]yyyy-mm-dd")</f>
        <v/>
      </c>
      <c r="C48652" t="inlineStr">
        <is>
          <t>2033-02-14</t>
        </is>
      </c>
    </row>
    <row r="48653">
      <c r="A48653" s="1" t="n">
        <v>48652</v>
      </c>
      <c r="B48653">
        <f>TEXT(48652, "[$-0E0000]yyyy-mm-dd")</f>
        <v/>
      </c>
      <c r="C48653" t="inlineStr">
        <is>
          <t>2033-02-15</t>
        </is>
      </c>
    </row>
    <row r="48654">
      <c r="A48654" s="1" t="n">
        <v>48653</v>
      </c>
      <c r="B48654">
        <f>TEXT(48653, "[$-0E0000]yyyy-mm-dd")</f>
        <v/>
      </c>
      <c r="C48654" t="inlineStr">
        <is>
          <t>2033-02-16</t>
        </is>
      </c>
    </row>
    <row r="48655">
      <c r="A48655" s="1" t="n">
        <v>48654</v>
      </c>
      <c r="B48655">
        <f>TEXT(48654, "[$-0E0000]yyyy-mm-dd")</f>
        <v/>
      </c>
      <c r="C48655" t="inlineStr">
        <is>
          <t>2033-02-17</t>
        </is>
      </c>
    </row>
    <row r="48656">
      <c r="A48656" s="1" t="n">
        <v>48655</v>
      </c>
      <c r="B48656">
        <f>TEXT(48655, "[$-0E0000]yyyy-mm-dd")</f>
        <v/>
      </c>
      <c r="C48656" t="inlineStr">
        <is>
          <t>2033-02-18</t>
        </is>
      </c>
    </row>
    <row r="48657">
      <c r="A48657" s="1" t="n">
        <v>48656</v>
      </c>
      <c r="B48657">
        <f>TEXT(48656, "[$-0E0000]yyyy-mm-dd")</f>
        <v/>
      </c>
      <c r="C48657" t="inlineStr">
        <is>
          <t>2033-02-19</t>
        </is>
      </c>
    </row>
    <row r="48658">
      <c r="A48658" s="1" t="n">
        <v>48657</v>
      </c>
      <c r="B48658">
        <f>TEXT(48657, "[$-0E0000]yyyy-mm-dd")</f>
        <v/>
      </c>
      <c r="C48658" t="inlineStr">
        <is>
          <t>2033-02-20</t>
        </is>
      </c>
    </row>
    <row r="48659">
      <c r="A48659" s="1" t="n">
        <v>48658</v>
      </c>
      <c r="B48659">
        <f>TEXT(48658, "[$-0E0000]yyyy-mm-dd")</f>
        <v/>
      </c>
      <c r="C48659" t="inlineStr">
        <is>
          <t>2033-02-21</t>
        </is>
      </c>
    </row>
    <row r="48660">
      <c r="A48660" s="1" t="n">
        <v>48659</v>
      </c>
      <c r="B48660">
        <f>TEXT(48659, "[$-0E0000]yyyy-mm-dd")</f>
        <v/>
      </c>
      <c r="C48660" t="inlineStr">
        <is>
          <t>2033-02-22</t>
        </is>
      </c>
    </row>
    <row r="48661">
      <c r="A48661" s="1" t="n">
        <v>48660</v>
      </c>
      <c r="B48661">
        <f>TEXT(48660, "[$-0E0000]yyyy-mm-dd")</f>
        <v/>
      </c>
      <c r="C48661" t="inlineStr">
        <is>
          <t>2033-02-23</t>
        </is>
      </c>
    </row>
    <row r="48662">
      <c r="A48662" s="1" t="n">
        <v>48661</v>
      </c>
      <c r="B48662">
        <f>TEXT(48661, "[$-0E0000]yyyy-mm-dd")</f>
        <v/>
      </c>
      <c r="C48662" t="inlineStr">
        <is>
          <t>2033-02-24</t>
        </is>
      </c>
    </row>
    <row r="48663">
      <c r="A48663" s="1" t="n">
        <v>48662</v>
      </c>
      <c r="B48663">
        <f>TEXT(48662, "[$-0E0000]yyyy-mm-dd")</f>
        <v/>
      </c>
      <c r="C48663" t="inlineStr">
        <is>
          <t>2033-02-25</t>
        </is>
      </c>
    </row>
    <row r="48664">
      <c r="A48664" s="1" t="n">
        <v>48663</v>
      </c>
      <c r="B48664">
        <f>TEXT(48663, "[$-0E0000]yyyy-mm-dd")</f>
        <v/>
      </c>
      <c r="C48664" t="inlineStr">
        <is>
          <t>2033-02-26</t>
        </is>
      </c>
    </row>
    <row r="48665">
      <c r="A48665" s="1" t="n">
        <v>48664</v>
      </c>
      <c r="B48665">
        <f>TEXT(48664, "[$-0E0000]yyyy-mm-dd")</f>
        <v/>
      </c>
      <c r="C48665" t="inlineStr">
        <is>
          <t>2033-02-27</t>
        </is>
      </c>
    </row>
    <row r="48666">
      <c r="A48666" s="1" t="n">
        <v>48665</v>
      </c>
      <c r="B48666">
        <f>TEXT(48665, "[$-0E0000]yyyy-mm-dd")</f>
        <v/>
      </c>
      <c r="C48666" t="inlineStr">
        <is>
          <t>2033-02-28</t>
        </is>
      </c>
    </row>
    <row r="48667">
      <c r="A48667" s="1" t="n">
        <v>48666</v>
      </c>
      <c r="B48667">
        <f>TEXT(48666, "[$-0E0000]yyyy-mm-dd")</f>
        <v/>
      </c>
      <c r="C48667" t="inlineStr">
        <is>
          <t>2033-02-29</t>
        </is>
      </c>
    </row>
    <row r="48668">
      <c r="A48668" s="1" t="n">
        <v>48667</v>
      </c>
      <c r="B48668">
        <f>TEXT(48667, "[$-0E0000]yyyy-mm-dd")</f>
        <v/>
      </c>
      <c r="C48668" t="inlineStr">
        <is>
          <t>2033-02-30</t>
        </is>
      </c>
    </row>
    <row r="48669">
      <c r="A48669" s="1" t="n">
        <v>48668</v>
      </c>
      <c r="B48669">
        <f>TEXT(48668, "[$-0E0000]yyyy-mm-dd")</f>
        <v/>
      </c>
      <c r="C48669" t="inlineStr">
        <is>
          <t>2033-03-01</t>
        </is>
      </c>
    </row>
    <row r="48670">
      <c r="A48670" s="1" t="n">
        <v>48669</v>
      </c>
      <c r="B48670">
        <f>TEXT(48669, "[$-0E0000]yyyy-mm-dd")</f>
        <v/>
      </c>
      <c r="C48670" t="inlineStr">
        <is>
          <t>2033-03-02</t>
        </is>
      </c>
    </row>
    <row r="48671">
      <c r="A48671" s="1" t="n">
        <v>48670</v>
      </c>
      <c r="B48671">
        <f>TEXT(48670, "[$-0E0000]yyyy-mm-dd")</f>
        <v/>
      </c>
      <c r="C48671" t="inlineStr">
        <is>
          <t>2033-03-03</t>
        </is>
      </c>
    </row>
    <row r="48672">
      <c r="A48672" s="1" t="n">
        <v>48671</v>
      </c>
      <c r="B48672">
        <f>TEXT(48671, "[$-0E0000]yyyy-mm-dd")</f>
        <v/>
      </c>
      <c r="C48672" t="inlineStr">
        <is>
          <t>2033-03-04</t>
        </is>
      </c>
    </row>
    <row r="48673">
      <c r="A48673" s="1" t="n">
        <v>48672</v>
      </c>
      <c r="B48673">
        <f>TEXT(48672, "[$-0E0000]yyyy-mm-dd")</f>
        <v/>
      </c>
      <c r="C48673" t="inlineStr">
        <is>
          <t>2033-03-05</t>
        </is>
      </c>
    </row>
    <row r="48674">
      <c r="A48674" s="1" t="n">
        <v>48673</v>
      </c>
      <c r="B48674">
        <f>TEXT(48673, "[$-0E0000]yyyy-mm-dd")</f>
        <v/>
      </c>
      <c r="C48674" t="inlineStr">
        <is>
          <t>2033-03-06</t>
        </is>
      </c>
    </row>
    <row r="48675">
      <c r="A48675" s="1" t="n">
        <v>48674</v>
      </c>
      <c r="B48675">
        <f>TEXT(48674, "[$-0E0000]yyyy-mm-dd")</f>
        <v/>
      </c>
      <c r="C48675" t="inlineStr">
        <is>
          <t>2033-03-07</t>
        </is>
      </c>
    </row>
    <row r="48676">
      <c r="A48676" s="1" t="n">
        <v>48675</v>
      </c>
      <c r="B48676">
        <f>TEXT(48675, "[$-0E0000]yyyy-mm-dd")</f>
        <v/>
      </c>
      <c r="C48676" t="inlineStr">
        <is>
          <t>2033-03-08</t>
        </is>
      </c>
    </row>
    <row r="48677">
      <c r="A48677" s="1" t="n">
        <v>48676</v>
      </c>
      <c r="B48677">
        <f>TEXT(48676, "[$-0E0000]yyyy-mm-dd")</f>
        <v/>
      </c>
      <c r="C48677" t="inlineStr">
        <is>
          <t>2033-03-09</t>
        </is>
      </c>
    </row>
    <row r="48678">
      <c r="A48678" s="1" t="n">
        <v>48677</v>
      </c>
      <c r="B48678">
        <f>TEXT(48677, "[$-0E0000]yyyy-mm-dd")</f>
        <v/>
      </c>
      <c r="C48678" t="inlineStr">
        <is>
          <t>2033-03-10</t>
        </is>
      </c>
    </row>
    <row r="48679">
      <c r="A48679" s="1" t="n">
        <v>48678</v>
      </c>
      <c r="B48679">
        <f>TEXT(48678, "[$-0E0000]yyyy-mm-dd")</f>
        <v/>
      </c>
      <c r="C48679" t="inlineStr">
        <is>
          <t>2033-03-11</t>
        </is>
      </c>
    </row>
    <row r="48680">
      <c r="A48680" s="1" t="n">
        <v>48679</v>
      </c>
      <c r="B48680">
        <f>TEXT(48679, "[$-0E0000]yyyy-mm-dd")</f>
        <v/>
      </c>
      <c r="C48680" t="inlineStr">
        <is>
          <t>2033-03-12</t>
        </is>
      </c>
    </row>
    <row r="48681">
      <c r="A48681" s="1" t="n">
        <v>48680</v>
      </c>
      <c r="B48681">
        <f>TEXT(48680, "[$-0E0000]yyyy-mm-dd")</f>
        <v/>
      </c>
      <c r="C48681" t="inlineStr">
        <is>
          <t>2033-03-13</t>
        </is>
      </c>
    </row>
    <row r="48682">
      <c r="A48682" s="1" t="n">
        <v>48681</v>
      </c>
      <c r="B48682">
        <f>TEXT(48681, "[$-0E0000]yyyy-mm-dd")</f>
        <v/>
      </c>
      <c r="C48682" t="inlineStr">
        <is>
          <t>2033-03-14</t>
        </is>
      </c>
    </row>
    <row r="48683">
      <c r="A48683" s="1" t="n">
        <v>48682</v>
      </c>
      <c r="B48683">
        <f>TEXT(48682, "[$-0E0000]yyyy-mm-dd")</f>
        <v/>
      </c>
      <c r="C48683" t="inlineStr">
        <is>
          <t>2033-03-15</t>
        </is>
      </c>
    </row>
    <row r="48684">
      <c r="A48684" s="1" t="n">
        <v>48683</v>
      </c>
      <c r="B48684">
        <f>TEXT(48683, "[$-0E0000]yyyy-mm-dd")</f>
        <v/>
      </c>
      <c r="C48684" t="inlineStr">
        <is>
          <t>2033-03-16</t>
        </is>
      </c>
    </row>
    <row r="48685">
      <c r="A48685" s="1" t="n">
        <v>48684</v>
      </c>
      <c r="B48685">
        <f>TEXT(48684, "[$-0E0000]yyyy-mm-dd")</f>
        <v/>
      </c>
      <c r="C48685" t="inlineStr">
        <is>
          <t>2033-03-17</t>
        </is>
      </c>
    </row>
    <row r="48686">
      <c r="A48686" s="1" t="n">
        <v>48685</v>
      </c>
      <c r="B48686">
        <f>TEXT(48685, "[$-0E0000]yyyy-mm-dd")</f>
        <v/>
      </c>
      <c r="C48686" t="inlineStr">
        <is>
          <t>2033-03-18</t>
        </is>
      </c>
    </row>
    <row r="48687">
      <c r="A48687" s="1" t="n">
        <v>48686</v>
      </c>
      <c r="B48687">
        <f>TEXT(48686, "[$-0E0000]yyyy-mm-dd")</f>
        <v/>
      </c>
      <c r="C48687" t="inlineStr">
        <is>
          <t>2033-03-19</t>
        </is>
      </c>
    </row>
    <row r="48688">
      <c r="A48688" s="1" t="n">
        <v>48687</v>
      </c>
      <c r="B48688">
        <f>TEXT(48687, "[$-0E0000]yyyy-mm-dd")</f>
        <v/>
      </c>
      <c r="C48688" t="inlineStr">
        <is>
          <t>2033-03-20</t>
        </is>
      </c>
    </row>
    <row r="48689">
      <c r="A48689" s="1" t="n">
        <v>48688</v>
      </c>
      <c r="B48689">
        <f>TEXT(48688, "[$-0E0000]yyyy-mm-dd")</f>
        <v/>
      </c>
      <c r="C48689" t="inlineStr">
        <is>
          <t>2033-03-21</t>
        </is>
      </c>
    </row>
    <row r="48690">
      <c r="A48690" s="1" t="n">
        <v>48689</v>
      </c>
      <c r="B48690">
        <f>TEXT(48689, "[$-0E0000]yyyy-mm-dd")</f>
        <v/>
      </c>
      <c r="C48690" t="inlineStr">
        <is>
          <t>2033-03-22</t>
        </is>
      </c>
    </row>
    <row r="48691">
      <c r="A48691" s="1" t="n">
        <v>48690</v>
      </c>
      <c r="B48691">
        <f>TEXT(48690, "[$-0E0000]yyyy-mm-dd")</f>
        <v/>
      </c>
      <c r="C48691" t="inlineStr">
        <is>
          <t>2033-03-23</t>
        </is>
      </c>
    </row>
    <row r="48692">
      <c r="A48692" s="1" t="n">
        <v>48691</v>
      </c>
      <c r="B48692">
        <f>TEXT(48691, "[$-0E0000]yyyy-mm-dd")</f>
        <v/>
      </c>
      <c r="C48692" t="inlineStr">
        <is>
          <t>2033-03-24</t>
        </is>
      </c>
    </row>
    <row r="48693">
      <c r="A48693" s="1" t="n">
        <v>48692</v>
      </c>
      <c r="B48693">
        <f>TEXT(48692, "[$-0E0000]yyyy-mm-dd")</f>
        <v/>
      </c>
      <c r="C48693" t="inlineStr">
        <is>
          <t>2033-03-25</t>
        </is>
      </c>
    </row>
    <row r="48694">
      <c r="A48694" s="1" t="n">
        <v>48693</v>
      </c>
      <c r="B48694">
        <f>TEXT(48693, "[$-0E0000]yyyy-mm-dd")</f>
        <v/>
      </c>
      <c r="C48694" t="inlineStr">
        <is>
          <t>2033-03-26</t>
        </is>
      </c>
    </row>
    <row r="48695">
      <c r="A48695" s="1" t="n">
        <v>48694</v>
      </c>
      <c r="B48695">
        <f>TEXT(48694, "[$-0E0000]yyyy-mm-dd")</f>
        <v/>
      </c>
      <c r="C48695" t="inlineStr">
        <is>
          <t>2033-03-27</t>
        </is>
      </c>
    </row>
    <row r="48696">
      <c r="A48696" s="1" t="n">
        <v>48695</v>
      </c>
      <c r="B48696">
        <f>TEXT(48695, "[$-0E0000]yyyy-mm-dd")</f>
        <v/>
      </c>
      <c r="C48696" t="inlineStr">
        <is>
          <t>2033-03-28</t>
        </is>
      </c>
    </row>
    <row r="48697">
      <c r="A48697" s="1" t="n">
        <v>48696</v>
      </c>
      <c r="B48697">
        <f>TEXT(48696, "[$-0E0000]yyyy-mm-dd")</f>
        <v/>
      </c>
      <c r="C48697" t="inlineStr">
        <is>
          <t>2033-03-29</t>
        </is>
      </c>
    </row>
    <row r="48698">
      <c r="A48698" s="1" t="n">
        <v>48697</v>
      </c>
      <c r="B48698">
        <f>TEXT(48697, "[$-0E0000]yyyy-mm-dd")</f>
        <v/>
      </c>
      <c r="C48698" t="inlineStr">
        <is>
          <t>2033-04-01</t>
        </is>
      </c>
    </row>
    <row r="48699">
      <c r="A48699" s="1" t="n">
        <v>48698</v>
      </c>
      <c r="B48699">
        <f>TEXT(48698, "[$-0E0000]yyyy-mm-dd")</f>
        <v/>
      </c>
      <c r="C48699" t="inlineStr">
        <is>
          <t>2033-04-02</t>
        </is>
      </c>
    </row>
    <row r="48700">
      <c r="A48700" s="1" t="n">
        <v>48699</v>
      </c>
      <c r="B48700">
        <f>TEXT(48699, "[$-0E0000]yyyy-mm-dd")</f>
        <v/>
      </c>
      <c r="C48700" t="inlineStr">
        <is>
          <t>2033-04-03</t>
        </is>
      </c>
    </row>
    <row r="48701">
      <c r="A48701" s="1" t="n">
        <v>48700</v>
      </c>
      <c r="B48701">
        <f>TEXT(48700, "[$-0E0000]yyyy-mm-dd")</f>
        <v/>
      </c>
      <c r="C48701" t="inlineStr">
        <is>
          <t>2033-04-04</t>
        </is>
      </c>
    </row>
    <row r="48702">
      <c r="A48702" s="1" t="n">
        <v>48701</v>
      </c>
      <c r="B48702">
        <f>TEXT(48701, "[$-0E0000]yyyy-mm-dd")</f>
        <v/>
      </c>
      <c r="C48702" t="inlineStr">
        <is>
          <t>2033-04-05</t>
        </is>
      </c>
    </row>
    <row r="48703">
      <c r="A48703" s="1" t="n">
        <v>48702</v>
      </c>
      <c r="B48703">
        <f>TEXT(48702, "[$-0E0000]yyyy-mm-dd")</f>
        <v/>
      </c>
      <c r="C48703" t="inlineStr">
        <is>
          <t>2033-04-06</t>
        </is>
      </c>
    </row>
    <row r="48704">
      <c r="A48704" s="1" t="n">
        <v>48703</v>
      </c>
      <c r="B48704">
        <f>TEXT(48703, "[$-0E0000]yyyy-mm-dd")</f>
        <v/>
      </c>
      <c r="C48704" t="inlineStr">
        <is>
          <t>2033-04-07</t>
        </is>
      </c>
    </row>
    <row r="48705">
      <c r="A48705" s="1" t="n">
        <v>48704</v>
      </c>
      <c r="B48705">
        <f>TEXT(48704, "[$-0E0000]yyyy-mm-dd")</f>
        <v/>
      </c>
      <c r="C48705" t="inlineStr">
        <is>
          <t>2033-04-08</t>
        </is>
      </c>
    </row>
    <row r="48706">
      <c r="A48706" s="1" t="n">
        <v>48705</v>
      </c>
      <c r="B48706">
        <f>TEXT(48705, "[$-0E0000]yyyy-mm-dd")</f>
        <v/>
      </c>
      <c r="C48706" t="inlineStr">
        <is>
          <t>2033-04-09</t>
        </is>
      </c>
    </row>
    <row r="48707">
      <c r="A48707" s="1" t="n">
        <v>48706</v>
      </c>
      <c r="B48707">
        <f>TEXT(48706, "[$-0E0000]yyyy-mm-dd")</f>
        <v/>
      </c>
      <c r="C48707" t="inlineStr">
        <is>
          <t>2033-04-10</t>
        </is>
      </c>
    </row>
    <row r="48708">
      <c r="A48708" s="1" t="n">
        <v>48707</v>
      </c>
      <c r="B48708">
        <f>TEXT(48707, "[$-0E0000]yyyy-mm-dd")</f>
        <v/>
      </c>
      <c r="C48708" t="inlineStr">
        <is>
          <t>2033-04-11</t>
        </is>
      </c>
    </row>
    <row r="48709">
      <c r="A48709" s="1" t="n">
        <v>48708</v>
      </c>
      <c r="B48709">
        <f>TEXT(48708, "[$-0E0000]yyyy-mm-dd")</f>
        <v/>
      </c>
      <c r="C48709" t="inlineStr">
        <is>
          <t>2033-04-12</t>
        </is>
      </c>
    </row>
    <row r="48710">
      <c r="A48710" s="1" t="n">
        <v>48709</v>
      </c>
      <c r="B48710">
        <f>TEXT(48709, "[$-0E0000]yyyy-mm-dd")</f>
        <v/>
      </c>
      <c r="C48710" t="inlineStr">
        <is>
          <t>2033-04-13</t>
        </is>
      </c>
    </row>
    <row r="48711">
      <c r="A48711" s="1" t="n">
        <v>48710</v>
      </c>
      <c r="B48711">
        <f>TEXT(48710, "[$-0E0000]yyyy-mm-dd")</f>
        <v/>
      </c>
      <c r="C48711" t="inlineStr">
        <is>
          <t>2033-04-14</t>
        </is>
      </c>
    </row>
    <row r="48712">
      <c r="A48712" s="1" t="n">
        <v>48711</v>
      </c>
      <c r="B48712">
        <f>TEXT(48711, "[$-0E0000]yyyy-mm-dd")</f>
        <v/>
      </c>
      <c r="C48712" t="inlineStr">
        <is>
          <t>2033-04-15</t>
        </is>
      </c>
    </row>
    <row r="48713">
      <c r="A48713" s="1" t="n">
        <v>48712</v>
      </c>
      <c r="B48713">
        <f>TEXT(48712, "[$-0E0000]yyyy-mm-dd")</f>
        <v/>
      </c>
      <c r="C48713" t="inlineStr">
        <is>
          <t>2033-04-16</t>
        </is>
      </c>
    </row>
    <row r="48714">
      <c r="A48714" s="1" t="n">
        <v>48713</v>
      </c>
      <c r="B48714">
        <f>TEXT(48713, "[$-0E0000]yyyy-mm-dd")</f>
        <v/>
      </c>
      <c r="C48714" t="inlineStr">
        <is>
          <t>2033-04-17</t>
        </is>
      </c>
    </row>
    <row r="48715">
      <c r="A48715" s="1" t="n">
        <v>48714</v>
      </c>
      <c r="B48715">
        <f>TEXT(48714, "[$-0E0000]yyyy-mm-dd")</f>
        <v/>
      </c>
      <c r="C48715" t="inlineStr">
        <is>
          <t>2033-04-18</t>
        </is>
      </c>
    </row>
    <row r="48716">
      <c r="A48716" s="1" t="n">
        <v>48715</v>
      </c>
      <c r="B48716">
        <f>TEXT(48715, "[$-0E0000]yyyy-mm-dd")</f>
        <v/>
      </c>
      <c r="C48716" t="inlineStr">
        <is>
          <t>2033-04-19</t>
        </is>
      </c>
    </row>
    <row r="48717">
      <c r="A48717" s="1" t="n">
        <v>48716</v>
      </c>
      <c r="B48717">
        <f>TEXT(48716, "[$-0E0000]yyyy-mm-dd")</f>
        <v/>
      </c>
      <c r="C48717" t="inlineStr">
        <is>
          <t>2033-04-20</t>
        </is>
      </c>
    </row>
    <row r="48718">
      <c r="A48718" s="1" t="n">
        <v>48717</v>
      </c>
      <c r="B48718">
        <f>TEXT(48717, "[$-0E0000]yyyy-mm-dd")</f>
        <v/>
      </c>
      <c r="C48718" t="inlineStr">
        <is>
          <t>2033-04-21</t>
        </is>
      </c>
    </row>
    <row r="48719">
      <c r="A48719" s="1" t="n">
        <v>48718</v>
      </c>
      <c r="B48719">
        <f>TEXT(48718, "[$-0E0000]yyyy-mm-dd")</f>
        <v/>
      </c>
      <c r="C48719" t="inlineStr">
        <is>
          <t>2033-04-22</t>
        </is>
      </c>
    </row>
    <row r="48720">
      <c r="A48720" s="1" t="n">
        <v>48719</v>
      </c>
      <c r="B48720">
        <f>TEXT(48719, "[$-0E0000]yyyy-mm-dd")</f>
        <v/>
      </c>
      <c r="C48720" t="inlineStr">
        <is>
          <t>2033-04-23</t>
        </is>
      </c>
    </row>
    <row r="48721">
      <c r="A48721" s="1" t="n">
        <v>48720</v>
      </c>
      <c r="B48721">
        <f>TEXT(48720, "[$-0E0000]yyyy-mm-dd")</f>
        <v/>
      </c>
      <c r="C48721" t="inlineStr">
        <is>
          <t>2033-04-24</t>
        </is>
      </c>
    </row>
    <row r="48722">
      <c r="A48722" s="1" t="n">
        <v>48721</v>
      </c>
      <c r="B48722">
        <f>TEXT(48721, "[$-0E0000]yyyy-mm-dd")</f>
        <v/>
      </c>
      <c r="C48722" t="inlineStr">
        <is>
          <t>2033-04-25</t>
        </is>
      </c>
    </row>
    <row r="48723">
      <c r="A48723" s="1" t="n">
        <v>48722</v>
      </c>
      <c r="B48723">
        <f>TEXT(48722, "[$-0E0000]yyyy-mm-dd")</f>
        <v/>
      </c>
      <c r="C48723" t="inlineStr">
        <is>
          <t>2033-04-26</t>
        </is>
      </c>
    </row>
    <row r="48724">
      <c r="A48724" s="1" t="n">
        <v>48723</v>
      </c>
      <c r="B48724">
        <f>TEXT(48723, "[$-0E0000]yyyy-mm-dd")</f>
        <v/>
      </c>
      <c r="C48724" t="inlineStr">
        <is>
          <t>2033-04-27</t>
        </is>
      </c>
    </row>
    <row r="48725">
      <c r="A48725" s="1" t="n">
        <v>48724</v>
      </c>
      <c r="B48725">
        <f>TEXT(48724, "[$-0E0000]yyyy-mm-dd")</f>
        <v/>
      </c>
      <c r="C48725" t="inlineStr">
        <is>
          <t>2033-04-28</t>
        </is>
      </c>
    </row>
    <row r="48726">
      <c r="A48726" s="1" t="n">
        <v>48725</v>
      </c>
      <c r="B48726">
        <f>TEXT(48725, "[$-0E0000]yyyy-mm-dd")</f>
        <v/>
      </c>
      <c r="C48726" t="inlineStr">
        <is>
          <t>2033-04-29</t>
        </is>
      </c>
    </row>
    <row r="48727">
      <c r="A48727" s="1" t="n">
        <v>48726</v>
      </c>
      <c r="B48727">
        <f>TEXT(48726, "[$-0E0000]yyyy-mm-dd")</f>
        <v/>
      </c>
      <c r="C48727" t="inlineStr">
        <is>
          <t>2033-05-01</t>
        </is>
      </c>
    </row>
    <row r="48728">
      <c r="A48728" s="1" t="n">
        <v>48727</v>
      </c>
      <c r="B48728">
        <f>TEXT(48727, "[$-0E0000]yyyy-mm-dd")</f>
        <v/>
      </c>
      <c r="C48728" t="inlineStr">
        <is>
          <t>2033-05-02</t>
        </is>
      </c>
    </row>
    <row r="48729">
      <c r="A48729" s="1" t="n">
        <v>48728</v>
      </c>
      <c r="B48729">
        <f>TEXT(48728, "[$-0E0000]yyyy-mm-dd")</f>
        <v/>
      </c>
      <c r="C48729" t="inlineStr">
        <is>
          <t>2033-05-03</t>
        </is>
      </c>
    </row>
    <row r="48730">
      <c r="A48730" s="1" t="n">
        <v>48729</v>
      </c>
      <c r="B48730">
        <f>TEXT(48729, "[$-0E0000]yyyy-mm-dd")</f>
        <v/>
      </c>
      <c r="C48730" t="inlineStr">
        <is>
          <t>2033-05-04</t>
        </is>
      </c>
    </row>
    <row r="48731">
      <c r="A48731" s="1" t="n">
        <v>48730</v>
      </c>
      <c r="B48731">
        <f>TEXT(48730, "[$-0E0000]yyyy-mm-dd")</f>
        <v/>
      </c>
      <c r="C48731" t="inlineStr">
        <is>
          <t>2033-05-05</t>
        </is>
      </c>
    </row>
    <row r="48732">
      <c r="A48732" s="1" t="n">
        <v>48731</v>
      </c>
      <c r="B48732">
        <f>TEXT(48731, "[$-0E0000]yyyy-mm-dd")</f>
        <v/>
      </c>
      <c r="C48732" t="inlineStr">
        <is>
          <t>2033-05-06</t>
        </is>
      </c>
    </row>
    <row r="48733">
      <c r="A48733" s="1" t="n">
        <v>48732</v>
      </c>
      <c r="B48733">
        <f>TEXT(48732, "[$-0E0000]yyyy-mm-dd")</f>
        <v/>
      </c>
      <c r="C48733" t="inlineStr">
        <is>
          <t>2033-05-07</t>
        </is>
      </c>
    </row>
    <row r="48734">
      <c r="A48734" s="1" t="n">
        <v>48733</v>
      </c>
      <c r="B48734">
        <f>TEXT(48733, "[$-0E0000]yyyy-mm-dd")</f>
        <v/>
      </c>
      <c r="C48734" t="inlineStr">
        <is>
          <t>2033-05-08</t>
        </is>
      </c>
    </row>
    <row r="48735">
      <c r="A48735" s="1" t="n">
        <v>48734</v>
      </c>
      <c r="B48735">
        <f>TEXT(48734, "[$-0E0000]yyyy-mm-dd")</f>
        <v/>
      </c>
      <c r="C48735" t="inlineStr">
        <is>
          <t>2033-05-09</t>
        </is>
      </c>
    </row>
    <row r="48736">
      <c r="A48736" s="1" t="n">
        <v>48735</v>
      </c>
      <c r="B48736">
        <f>TEXT(48735, "[$-0E0000]yyyy-mm-dd")</f>
        <v/>
      </c>
      <c r="C48736" t="inlineStr">
        <is>
          <t>2033-05-10</t>
        </is>
      </c>
    </row>
    <row r="48737">
      <c r="A48737" s="1" t="n">
        <v>48736</v>
      </c>
      <c r="B48737">
        <f>TEXT(48736, "[$-0E0000]yyyy-mm-dd")</f>
        <v/>
      </c>
      <c r="C48737" t="inlineStr">
        <is>
          <t>2033-05-11</t>
        </is>
      </c>
    </row>
    <row r="48738">
      <c r="A48738" s="1" t="n">
        <v>48737</v>
      </c>
      <c r="B48738">
        <f>TEXT(48737, "[$-0E0000]yyyy-mm-dd")</f>
        <v/>
      </c>
      <c r="C48738" t="inlineStr">
        <is>
          <t>2033-05-12</t>
        </is>
      </c>
    </row>
    <row r="48739">
      <c r="A48739" s="1" t="n">
        <v>48738</v>
      </c>
      <c r="B48739">
        <f>TEXT(48738, "[$-0E0000]yyyy-mm-dd")</f>
        <v/>
      </c>
      <c r="C48739" t="inlineStr">
        <is>
          <t>2033-05-13</t>
        </is>
      </c>
    </row>
    <row r="48740">
      <c r="A48740" s="1" t="n">
        <v>48739</v>
      </c>
      <c r="B48740">
        <f>TEXT(48739, "[$-0E0000]yyyy-mm-dd")</f>
        <v/>
      </c>
      <c r="C48740" t="inlineStr">
        <is>
          <t>2033-05-14</t>
        </is>
      </c>
    </row>
    <row r="48741">
      <c r="A48741" s="1" t="n">
        <v>48740</v>
      </c>
      <c r="B48741">
        <f>TEXT(48740, "[$-0E0000]yyyy-mm-dd")</f>
        <v/>
      </c>
      <c r="C48741" t="inlineStr">
        <is>
          <t>2033-05-15</t>
        </is>
      </c>
    </row>
    <row r="48742">
      <c r="A48742" s="1" t="n">
        <v>48741</v>
      </c>
      <c r="B48742">
        <f>TEXT(48741, "[$-0E0000]yyyy-mm-dd")</f>
        <v/>
      </c>
      <c r="C48742" t="inlineStr">
        <is>
          <t>2033-05-16</t>
        </is>
      </c>
    </row>
    <row r="48743">
      <c r="A48743" s="1" t="n">
        <v>48742</v>
      </c>
      <c r="B48743">
        <f>TEXT(48742, "[$-0E0000]yyyy-mm-dd")</f>
        <v/>
      </c>
      <c r="C48743" t="inlineStr">
        <is>
          <t>2033-05-17</t>
        </is>
      </c>
    </row>
    <row r="48744">
      <c r="A48744" s="1" t="n">
        <v>48743</v>
      </c>
      <c r="B48744">
        <f>TEXT(48743, "[$-0E0000]yyyy-mm-dd")</f>
        <v/>
      </c>
      <c r="C48744" t="inlineStr">
        <is>
          <t>2033-05-18</t>
        </is>
      </c>
    </row>
    <row r="48745">
      <c r="A48745" s="1" t="n">
        <v>48744</v>
      </c>
      <c r="B48745">
        <f>TEXT(48744, "[$-0E0000]yyyy-mm-dd")</f>
        <v/>
      </c>
      <c r="C48745" t="inlineStr">
        <is>
          <t>2033-05-19</t>
        </is>
      </c>
    </row>
    <row r="48746">
      <c r="A48746" s="1" t="n">
        <v>48745</v>
      </c>
      <c r="B48746">
        <f>TEXT(48745, "[$-0E0000]yyyy-mm-dd")</f>
        <v/>
      </c>
      <c r="C48746" t="inlineStr">
        <is>
          <t>2033-05-20</t>
        </is>
      </c>
    </row>
    <row r="48747">
      <c r="A48747" s="1" t="n">
        <v>48746</v>
      </c>
      <c r="B48747">
        <f>TEXT(48746, "[$-0E0000]yyyy-mm-dd")</f>
        <v/>
      </c>
      <c r="C48747" t="inlineStr">
        <is>
          <t>2033-05-21</t>
        </is>
      </c>
    </row>
    <row r="48748">
      <c r="A48748" s="1" t="n">
        <v>48747</v>
      </c>
      <c r="B48748">
        <f>TEXT(48747, "[$-0E0000]yyyy-mm-dd")</f>
        <v/>
      </c>
      <c r="C48748" t="inlineStr">
        <is>
          <t>2033-05-22</t>
        </is>
      </c>
    </row>
    <row r="48749">
      <c r="A48749" s="1" t="n">
        <v>48748</v>
      </c>
      <c r="B48749">
        <f>TEXT(48748, "[$-0E0000]yyyy-mm-dd")</f>
        <v/>
      </c>
      <c r="C48749" t="inlineStr">
        <is>
          <t>2033-05-23</t>
        </is>
      </c>
    </row>
    <row r="48750">
      <c r="A48750" s="1" t="n">
        <v>48749</v>
      </c>
      <c r="B48750">
        <f>TEXT(48749, "[$-0E0000]yyyy-mm-dd")</f>
        <v/>
      </c>
      <c r="C48750" t="inlineStr">
        <is>
          <t>2033-05-24</t>
        </is>
      </c>
    </row>
    <row r="48751">
      <c r="A48751" s="1" t="n">
        <v>48750</v>
      </c>
      <c r="B48751">
        <f>TEXT(48750, "[$-0E0000]yyyy-mm-dd")</f>
        <v/>
      </c>
      <c r="C48751" t="inlineStr">
        <is>
          <t>2033-05-25</t>
        </is>
      </c>
    </row>
    <row r="48752">
      <c r="A48752" s="1" t="n">
        <v>48751</v>
      </c>
      <c r="B48752">
        <f>TEXT(48751, "[$-0E0000]yyyy-mm-dd")</f>
        <v/>
      </c>
      <c r="C48752" t="inlineStr">
        <is>
          <t>2033-05-26</t>
        </is>
      </c>
    </row>
    <row r="48753">
      <c r="A48753" s="1" t="n">
        <v>48752</v>
      </c>
      <c r="B48753">
        <f>TEXT(48752, "[$-0E0000]yyyy-mm-dd")</f>
        <v/>
      </c>
      <c r="C48753" t="inlineStr">
        <is>
          <t>2033-05-27</t>
        </is>
      </c>
    </row>
    <row r="48754">
      <c r="A48754" s="1" t="n">
        <v>48753</v>
      </c>
      <c r="B48754">
        <f>TEXT(48753, "[$-0E0000]yyyy-mm-dd")</f>
        <v/>
      </c>
      <c r="C48754" t="inlineStr">
        <is>
          <t>2033-05-28</t>
        </is>
      </c>
    </row>
    <row r="48755">
      <c r="A48755" s="1" t="n">
        <v>48754</v>
      </c>
      <c r="B48755">
        <f>TEXT(48754, "[$-0E0000]yyyy-mm-dd")</f>
        <v/>
      </c>
      <c r="C48755" t="inlineStr">
        <is>
          <t>2033-05-29</t>
        </is>
      </c>
    </row>
    <row r="48756">
      <c r="A48756" s="1" t="n">
        <v>48755</v>
      </c>
      <c r="B48756">
        <f>TEXT(48755, "[$-0E0000]yyyy-mm-dd")</f>
        <v/>
      </c>
      <c r="C48756" t="inlineStr">
        <is>
          <t>2033-05-30</t>
        </is>
      </c>
    </row>
    <row r="48757">
      <c r="A48757" s="1" t="n">
        <v>48756</v>
      </c>
      <c r="B48757">
        <f>TEXT(48756, "[$-0E0000]yyyy-mm-dd")</f>
        <v/>
      </c>
      <c r="C48757" t="inlineStr">
        <is>
          <t>2033-06-01</t>
        </is>
      </c>
    </row>
    <row r="48758">
      <c r="A48758" s="1" t="n">
        <v>48757</v>
      </c>
      <c r="B48758">
        <f>TEXT(48757, "[$-0E0000]yyyy-mm-dd")</f>
        <v/>
      </c>
      <c r="C48758" t="inlineStr">
        <is>
          <t>2033-06-02</t>
        </is>
      </c>
    </row>
    <row r="48759">
      <c r="A48759" s="1" t="n">
        <v>48758</v>
      </c>
      <c r="B48759">
        <f>TEXT(48758, "[$-0E0000]yyyy-mm-dd")</f>
        <v/>
      </c>
      <c r="C48759" t="inlineStr">
        <is>
          <t>2033-06-03</t>
        </is>
      </c>
    </row>
    <row r="48760">
      <c r="A48760" s="1" t="n">
        <v>48759</v>
      </c>
      <c r="B48760">
        <f>TEXT(48759, "[$-0E0000]yyyy-mm-dd")</f>
        <v/>
      </c>
      <c r="C48760" t="inlineStr">
        <is>
          <t>2033-06-04</t>
        </is>
      </c>
    </row>
    <row r="48761">
      <c r="A48761" s="1" t="n">
        <v>48760</v>
      </c>
      <c r="B48761">
        <f>TEXT(48760, "[$-0E0000]yyyy-mm-dd")</f>
        <v/>
      </c>
      <c r="C48761" t="inlineStr">
        <is>
          <t>2033-06-05</t>
        </is>
      </c>
    </row>
    <row r="48762">
      <c r="A48762" s="1" t="n">
        <v>48761</v>
      </c>
      <c r="B48762">
        <f>TEXT(48761, "[$-0E0000]yyyy-mm-dd")</f>
        <v/>
      </c>
      <c r="C48762" t="inlineStr">
        <is>
          <t>2033-06-06</t>
        </is>
      </c>
    </row>
    <row r="48763">
      <c r="A48763" s="1" t="n">
        <v>48762</v>
      </c>
      <c r="B48763">
        <f>TEXT(48762, "[$-0E0000]yyyy-mm-dd")</f>
        <v/>
      </c>
      <c r="C48763" t="inlineStr">
        <is>
          <t>2033-06-07</t>
        </is>
      </c>
    </row>
    <row r="48764">
      <c r="A48764" s="1" t="n">
        <v>48763</v>
      </c>
      <c r="B48764">
        <f>TEXT(48763, "[$-0E0000]yyyy-mm-dd")</f>
        <v/>
      </c>
      <c r="C48764" t="inlineStr">
        <is>
          <t>2033-06-08</t>
        </is>
      </c>
    </row>
    <row r="48765">
      <c r="A48765" s="1" t="n">
        <v>48764</v>
      </c>
      <c r="B48765">
        <f>TEXT(48764, "[$-0E0000]yyyy-mm-dd")</f>
        <v/>
      </c>
      <c r="C48765" t="inlineStr">
        <is>
          <t>2033-06-09</t>
        </is>
      </c>
    </row>
    <row r="48766">
      <c r="A48766" s="1" t="n">
        <v>48765</v>
      </c>
      <c r="B48766">
        <f>TEXT(48765, "[$-0E0000]yyyy-mm-dd")</f>
        <v/>
      </c>
      <c r="C48766" t="inlineStr">
        <is>
          <t>2033-06-10</t>
        </is>
      </c>
    </row>
    <row r="48767">
      <c r="A48767" s="1" t="n">
        <v>48766</v>
      </c>
      <c r="B48767">
        <f>TEXT(48766, "[$-0E0000]yyyy-mm-dd")</f>
        <v/>
      </c>
      <c r="C48767" t="inlineStr">
        <is>
          <t>2033-06-11</t>
        </is>
      </c>
    </row>
    <row r="48768">
      <c r="A48768" s="1" t="n">
        <v>48767</v>
      </c>
      <c r="B48768">
        <f>TEXT(48767, "[$-0E0000]yyyy-mm-dd")</f>
        <v/>
      </c>
      <c r="C48768" t="inlineStr">
        <is>
          <t>2033-06-12</t>
        </is>
      </c>
    </row>
    <row r="48769">
      <c r="A48769" s="1" t="n">
        <v>48768</v>
      </c>
      <c r="B48769">
        <f>TEXT(48768, "[$-0E0000]yyyy-mm-dd")</f>
        <v/>
      </c>
      <c r="C48769" t="inlineStr">
        <is>
          <t>2033-06-13</t>
        </is>
      </c>
    </row>
    <row r="48770">
      <c r="A48770" s="1" t="n">
        <v>48769</v>
      </c>
      <c r="B48770">
        <f>TEXT(48769, "[$-0E0000]yyyy-mm-dd")</f>
        <v/>
      </c>
      <c r="C48770" t="inlineStr">
        <is>
          <t>2033-06-14</t>
        </is>
      </c>
    </row>
    <row r="48771">
      <c r="A48771" s="1" t="n">
        <v>48770</v>
      </c>
      <c r="B48771">
        <f>TEXT(48770, "[$-0E0000]yyyy-mm-dd")</f>
        <v/>
      </c>
      <c r="C48771" t="inlineStr">
        <is>
          <t>2033-06-15</t>
        </is>
      </c>
    </row>
    <row r="48772">
      <c r="A48772" s="1" t="n">
        <v>48771</v>
      </c>
      <c r="B48772">
        <f>TEXT(48771, "[$-0E0000]yyyy-mm-dd")</f>
        <v/>
      </c>
      <c r="C48772" t="inlineStr">
        <is>
          <t>2033-06-16</t>
        </is>
      </c>
    </row>
    <row r="48773">
      <c r="A48773" s="1" t="n">
        <v>48772</v>
      </c>
      <c r="B48773">
        <f>TEXT(48772, "[$-0E0000]yyyy-mm-dd")</f>
        <v/>
      </c>
      <c r="C48773" t="inlineStr">
        <is>
          <t>2033-06-17</t>
        </is>
      </c>
    </row>
    <row r="48774">
      <c r="A48774" s="1" t="n">
        <v>48773</v>
      </c>
      <c r="B48774">
        <f>TEXT(48773, "[$-0E0000]yyyy-mm-dd")</f>
        <v/>
      </c>
      <c r="C48774" t="inlineStr">
        <is>
          <t>2033-06-18</t>
        </is>
      </c>
    </row>
    <row r="48775">
      <c r="A48775" s="1" t="n">
        <v>48774</v>
      </c>
      <c r="B48775">
        <f>TEXT(48774, "[$-0E0000]yyyy-mm-dd")</f>
        <v/>
      </c>
      <c r="C48775" t="inlineStr">
        <is>
          <t>2033-06-19</t>
        </is>
      </c>
    </row>
    <row r="48776">
      <c r="A48776" s="1" t="n">
        <v>48775</v>
      </c>
      <c r="B48776">
        <f>TEXT(48775, "[$-0E0000]yyyy-mm-dd")</f>
        <v/>
      </c>
      <c r="C48776" t="inlineStr">
        <is>
          <t>2033-06-20</t>
        </is>
      </c>
    </row>
    <row r="48777">
      <c r="A48777" s="1" t="n">
        <v>48776</v>
      </c>
      <c r="B48777">
        <f>TEXT(48776, "[$-0E0000]yyyy-mm-dd")</f>
        <v/>
      </c>
      <c r="C48777" t="inlineStr">
        <is>
          <t>2033-06-21</t>
        </is>
      </c>
    </row>
    <row r="48778">
      <c r="A48778" s="1" t="n">
        <v>48777</v>
      </c>
      <c r="B48778">
        <f>TEXT(48777, "[$-0E0000]yyyy-mm-dd")</f>
        <v/>
      </c>
      <c r="C48778" t="inlineStr">
        <is>
          <t>2033-06-22</t>
        </is>
      </c>
    </row>
    <row r="48779">
      <c r="A48779" s="1" t="n">
        <v>48778</v>
      </c>
      <c r="B48779">
        <f>TEXT(48778, "[$-0E0000]yyyy-mm-dd")</f>
        <v/>
      </c>
      <c r="C48779" t="inlineStr">
        <is>
          <t>2033-06-23</t>
        </is>
      </c>
    </row>
    <row r="48780">
      <c r="A48780" s="1" t="n">
        <v>48779</v>
      </c>
      <c r="B48780">
        <f>TEXT(48779, "[$-0E0000]yyyy-mm-dd")</f>
        <v/>
      </c>
      <c r="C48780" t="inlineStr">
        <is>
          <t>2033-06-24</t>
        </is>
      </c>
    </row>
    <row r="48781">
      <c r="A48781" s="1" t="n">
        <v>48780</v>
      </c>
      <c r="B48781">
        <f>TEXT(48780, "[$-0E0000]yyyy-mm-dd")</f>
        <v/>
      </c>
      <c r="C48781" t="inlineStr">
        <is>
          <t>2033-06-25</t>
        </is>
      </c>
    </row>
    <row r="48782">
      <c r="A48782" s="1" t="n">
        <v>48781</v>
      </c>
      <c r="B48782">
        <f>TEXT(48781, "[$-0E0000]yyyy-mm-dd")</f>
        <v/>
      </c>
      <c r="C48782" t="inlineStr">
        <is>
          <t>2033-06-26</t>
        </is>
      </c>
    </row>
    <row r="48783">
      <c r="A48783" s="1" t="n">
        <v>48782</v>
      </c>
      <c r="B48783">
        <f>TEXT(48782, "[$-0E0000]yyyy-mm-dd")</f>
        <v/>
      </c>
      <c r="C48783" t="inlineStr">
        <is>
          <t>2033-06-27</t>
        </is>
      </c>
    </row>
    <row r="48784">
      <c r="A48784" s="1" t="n">
        <v>48783</v>
      </c>
      <c r="B48784">
        <f>TEXT(48783, "[$-0E0000]yyyy-mm-dd")</f>
        <v/>
      </c>
      <c r="C48784" t="inlineStr">
        <is>
          <t>2033-06-28</t>
        </is>
      </c>
    </row>
    <row r="48785">
      <c r="A48785" s="1" t="n">
        <v>48784</v>
      </c>
      <c r="B48785">
        <f>TEXT(48784, "[$-0E0000]yyyy-mm-dd")</f>
        <v/>
      </c>
      <c r="C48785" t="inlineStr">
        <is>
          <t>2033-06-29</t>
        </is>
      </c>
    </row>
    <row r="48786">
      <c r="A48786" s="1" t="n">
        <v>48785</v>
      </c>
      <c r="B48786">
        <f>TEXT(48785, "[$-0E0000]yyyy-mm-dd")</f>
        <v/>
      </c>
      <c r="C48786" t="inlineStr">
        <is>
          <t>2033-07-01</t>
        </is>
      </c>
    </row>
    <row r="48787">
      <c r="A48787" s="1" t="n">
        <v>48786</v>
      </c>
      <c r="B48787">
        <f>TEXT(48786, "[$-0E0000]yyyy-mm-dd")</f>
        <v/>
      </c>
      <c r="C48787" t="inlineStr">
        <is>
          <t>2033-07-02</t>
        </is>
      </c>
    </row>
    <row r="48788">
      <c r="A48788" s="1" t="n">
        <v>48787</v>
      </c>
      <c r="B48788">
        <f>TEXT(48787, "[$-0E0000]yyyy-mm-dd")</f>
        <v/>
      </c>
      <c r="C48788" t="inlineStr">
        <is>
          <t>2033-07-03</t>
        </is>
      </c>
    </row>
    <row r="48789">
      <c r="A48789" s="1" t="n">
        <v>48788</v>
      </c>
      <c r="B48789">
        <f>TEXT(48788, "[$-0E0000]yyyy-mm-dd")</f>
        <v/>
      </c>
      <c r="C48789" t="inlineStr">
        <is>
          <t>2033-07-04</t>
        </is>
      </c>
    </row>
    <row r="48790">
      <c r="A48790" s="1" t="n">
        <v>48789</v>
      </c>
      <c r="B48790">
        <f>TEXT(48789, "[$-0E0000]yyyy-mm-dd")</f>
        <v/>
      </c>
      <c r="C48790" t="inlineStr">
        <is>
          <t>2033-07-05</t>
        </is>
      </c>
    </row>
    <row r="48791">
      <c r="A48791" s="1" t="n">
        <v>48790</v>
      </c>
      <c r="B48791">
        <f>TEXT(48790, "[$-0E0000]yyyy-mm-dd")</f>
        <v/>
      </c>
      <c r="C48791" t="inlineStr">
        <is>
          <t>2033-07-06</t>
        </is>
      </c>
    </row>
    <row r="48792">
      <c r="A48792" s="1" t="n">
        <v>48791</v>
      </c>
      <c r="B48792">
        <f>TEXT(48791, "[$-0E0000]yyyy-mm-dd")</f>
        <v/>
      </c>
      <c r="C48792" t="inlineStr">
        <is>
          <t>2033-07-07</t>
        </is>
      </c>
    </row>
    <row r="48793">
      <c r="A48793" s="1" t="n">
        <v>48792</v>
      </c>
      <c r="B48793">
        <f>TEXT(48792, "[$-0E0000]yyyy-mm-dd")</f>
        <v/>
      </c>
      <c r="C48793" t="inlineStr">
        <is>
          <t>2033-07-08</t>
        </is>
      </c>
    </row>
    <row r="48794">
      <c r="A48794" s="1" t="n">
        <v>48793</v>
      </c>
      <c r="B48794">
        <f>TEXT(48793, "[$-0E0000]yyyy-mm-dd")</f>
        <v/>
      </c>
      <c r="C48794" t="inlineStr">
        <is>
          <t>2033-07-09</t>
        </is>
      </c>
    </row>
    <row r="48795">
      <c r="A48795" s="1" t="n">
        <v>48794</v>
      </c>
      <c r="B48795">
        <f>TEXT(48794, "[$-0E0000]yyyy-mm-dd")</f>
        <v/>
      </c>
      <c r="C48795" t="inlineStr">
        <is>
          <t>2033-07-10</t>
        </is>
      </c>
    </row>
    <row r="48796">
      <c r="A48796" s="1" t="n">
        <v>48795</v>
      </c>
      <c r="B48796">
        <f>TEXT(48795, "[$-0E0000]yyyy-mm-dd")</f>
        <v/>
      </c>
      <c r="C48796" t="inlineStr">
        <is>
          <t>2033-07-11</t>
        </is>
      </c>
    </row>
    <row r="48797">
      <c r="A48797" s="1" t="n">
        <v>48796</v>
      </c>
      <c r="B48797">
        <f>TEXT(48796, "[$-0E0000]yyyy-mm-dd")</f>
        <v/>
      </c>
      <c r="C48797" t="inlineStr">
        <is>
          <t>2033-07-12</t>
        </is>
      </c>
    </row>
    <row r="48798">
      <c r="A48798" s="1" t="n">
        <v>48797</v>
      </c>
      <c r="B48798">
        <f>TEXT(48797, "[$-0E0000]yyyy-mm-dd")</f>
        <v/>
      </c>
      <c r="C48798" t="inlineStr">
        <is>
          <t>2033-07-13</t>
        </is>
      </c>
    </row>
    <row r="48799">
      <c r="A48799" s="1" t="n">
        <v>48798</v>
      </c>
      <c r="B48799">
        <f>TEXT(48798, "[$-0E0000]yyyy-mm-dd")</f>
        <v/>
      </c>
      <c r="C48799" t="inlineStr">
        <is>
          <t>2033-07-14</t>
        </is>
      </c>
    </row>
    <row r="48800">
      <c r="A48800" s="1" t="n">
        <v>48799</v>
      </c>
      <c r="B48800">
        <f>TEXT(48799, "[$-0E0000]yyyy-mm-dd")</f>
        <v/>
      </c>
      <c r="C48800" t="inlineStr">
        <is>
          <t>2033-07-15</t>
        </is>
      </c>
    </row>
    <row r="48801">
      <c r="A48801" s="1" t="n">
        <v>48800</v>
      </c>
      <c r="B48801">
        <f>TEXT(48800, "[$-0E0000]yyyy-mm-dd")</f>
        <v/>
      </c>
      <c r="C48801" t="inlineStr">
        <is>
          <t>2033-07-16</t>
        </is>
      </c>
    </row>
    <row r="48802">
      <c r="A48802" s="1" t="n">
        <v>48801</v>
      </c>
      <c r="B48802">
        <f>TEXT(48801, "[$-0E0000]yyyy-mm-dd")</f>
        <v/>
      </c>
      <c r="C48802" t="inlineStr">
        <is>
          <t>2033-07-17</t>
        </is>
      </c>
    </row>
    <row r="48803">
      <c r="A48803" s="1" t="n">
        <v>48802</v>
      </c>
      <c r="B48803">
        <f>TEXT(48802, "[$-0E0000]yyyy-mm-dd")</f>
        <v/>
      </c>
      <c r="C48803" t="inlineStr">
        <is>
          <t>2033-07-18</t>
        </is>
      </c>
    </row>
    <row r="48804">
      <c r="A48804" s="1" t="n">
        <v>48803</v>
      </c>
      <c r="B48804">
        <f>TEXT(48803, "[$-0E0000]yyyy-mm-dd")</f>
        <v/>
      </c>
      <c r="C48804" t="inlineStr">
        <is>
          <t>2033-07-19</t>
        </is>
      </c>
    </row>
    <row r="48805">
      <c r="A48805" s="1" t="n">
        <v>48804</v>
      </c>
      <c r="B48805">
        <f>TEXT(48804, "[$-0E0000]yyyy-mm-dd")</f>
        <v/>
      </c>
      <c r="C48805" t="inlineStr">
        <is>
          <t>2033-07-20</t>
        </is>
      </c>
    </row>
    <row r="48806">
      <c r="A48806" s="1" t="n">
        <v>48805</v>
      </c>
      <c r="B48806">
        <f>TEXT(48805, "[$-0E0000]yyyy-mm-dd")</f>
        <v/>
      </c>
      <c r="C48806" t="inlineStr">
        <is>
          <t>2033-07-21</t>
        </is>
      </c>
    </row>
    <row r="48807">
      <c r="A48807" s="1" t="n">
        <v>48806</v>
      </c>
      <c r="B48807">
        <f>TEXT(48806, "[$-0E0000]yyyy-mm-dd")</f>
        <v/>
      </c>
      <c r="C48807" t="inlineStr">
        <is>
          <t>2033-07-22</t>
        </is>
      </c>
    </row>
    <row r="48808">
      <c r="A48808" s="1" t="n">
        <v>48807</v>
      </c>
      <c r="B48808">
        <f>TEXT(48807, "[$-0E0000]yyyy-mm-dd")</f>
        <v/>
      </c>
      <c r="C48808" t="inlineStr">
        <is>
          <t>2033-07-23</t>
        </is>
      </c>
    </row>
    <row r="48809">
      <c r="A48809" s="1" t="n">
        <v>48808</v>
      </c>
      <c r="B48809">
        <f>TEXT(48808, "[$-0E0000]yyyy-mm-dd")</f>
        <v/>
      </c>
      <c r="C48809" t="inlineStr">
        <is>
          <t>2033-07-24</t>
        </is>
      </c>
    </row>
    <row r="48810">
      <c r="A48810" s="1" t="n">
        <v>48809</v>
      </c>
      <c r="B48810">
        <f>TEXT(48809, "[$-0E0000]yyyy-mm-dd")</f>
        <v/>
      </c>
      <c r="C48810" t="inlineStr">
        <is>
          <t>2033-07-25</t>
        </is>
      </c>
    </row>
    <row r="48811">
      <c r="A48811" s="1" t="n">
        <v>48810</v>
      </c>
      <c r="B48811">
        <f>TEXT(48810, "[$-0E0000]yyyy-mm-dd")</f>
        <v/>
      </c>
      <c r="C48811" t="inlineStr">
        <is>
          <t>2033-07-26</t>
        </is>
      </c>
    </row>
    <row r="48812">
      <c r="A48812" s="1" t="n">
        <v>48811</v>
      </c>
      <c r="B48812">
        <f>TEXT(48811, "[$-0E0000]yyyy-mm-dd")</f>
        <v/>
      </c>
      <c r="C48812" t="inlineStr">
        <is>
          <t>2033-07-27</t>
        </is>
      </c>
    </row>
    <row r="48813">
      <c r="A48813" s="1" t="n">
        <v>48812</v>
      </c>
      <c r="B48813">
        <f>TEXT(48812, "[$-0E0000]yyyy-mm-dd")</f>
        <v/>
      </c>
      <c r="C48813" t="inlineStr">
        <is>
          <t>2033-07-28</t>
        </is>
      </c>
    </row>
    <row r="48814">
      <c r="A48814" s="1" t="n">
        <v>48813</v>
      </c>
      <c r="B48814">
        <f>TEXT(48813, "[$-0E0000]yyyy-mm-dd")</f>
        <v/>
      </c>
      <c r="C48814" t="inlineStr">
        <is>
          <t>2033-07-29</t>
        </is>
      </c>
    </row>
    <row r="48815">
      <c r="A48815" s="1" t="n">
        <v>48814</v>
      </c>
      <c r="B48815">
        <f>TEXT(48814, "[$-0E0000]yyyy-mm-dd")</f>
        <v/>
      </c>
      <c r="C48815" t="inlineStr">
        <is>
          <t>2033-07-30</t>
        </is>
      </c>
    </row>
    <row r="48816">
      <c r="A48816" s="1" t="n">
        <v>48815</v>
      </c>
      <c r="B48816">
        <f>TEXT(48815, "[$-0E0000]yyyy-mm-dd")</f>
        <v/>
      </c>
      <c r="C48816" t="inlineStr">
        <is>
          <t>2033-08-01</t>
        </is>
      </c>
    </row>
    <row r="48817">
      <c r="A48817" s="1" t="n">
        <v>48816</v>
      </c>
      <c r="B48817">
        <f>TEXT(48816, "[$-0E0000]yyyy-mm-dd")</f>
        <v/>
      </c>
      <c r="C48817" t="inlineStr">
        <is>
          <t>2033-08-02</t>
        </is>
      </c>
    </row>
    <row r="48818">
      <c r="A48818" s="1" t="n">
        <v>48817</v>
      </c>
      <c r="B48818">
        <f>TEXT(48817, "[$-0E0000]yyyy-mm-dd")</f>
        <v/>
      </c>
      <c r="C48818" t="inlineStr">
        <is>
          <t>2033-08-03</t>
        </is>
      </c>
    </row>
    <row r="48819">
      <c r="A48819" s="1" t="n">
        <v>48818</v>
      </c>
      <c r="B48819">
        <f>TEXT(48818, "[$-0E0000]yyyy-mm-dd")</f>
        <v/>
      </c>
      <c r="C48819" t="inlineStr">
        <is>
          <t>2033-08-04</t>
        </is>
      </c>
    </row>
    <row r="48820">
      <c r="A48820" s="1" t="n">
        <v>48819</v>
      </c>
      <c r="B48820">
        <f>TEXT(48819, "[$-0E0000]yyyy-mm-dd")</f>
        <v/>
      </c>
      <c r="C48820" t="inlineStr">
        <is>
          <t>2033-08-05</t>
        </is>
      </c>
    </row>
    <row r="48821">
      <c r="A48821" s="1" t="n">
        <v>48820</v>
      </c>
      <c r="B48821">
        <f>TEXT(48820, "[$-0E0000]yyyy-mm-dd")</f>
        <v/>
      </c>
      <c r="C48821" t="inlineStr">
        <is>
          <t>2033-08-06</t>
        </is>
      </c>
    </row>
    <row r="48822">
      <c r="A48822" s="1" t="n">
        <v>48821</v>
      </c>
      <c r="B48822">
        <f>TEXT(48821, "[$-0E0000]yyyy-mm-dd")</f>
        <v/>
      </c>
      <c r="C48822" t="inlineStr">
        <is>
          <t>2033-08-07</t>
        </is>
      </c>
    </row>
    <row r="48823">
      <c r="A48823" s="1" t="n">
        <v>48822</v>
      </c>
      <c r="B48823">
        <f>TEXT(48822, "[$-0E0000]yyyy-mm-dd")</f>
        <v/>
      </c>
      <c r="C48823" t="inlineStr">
        <is>
          <t>2033-08-08</t>
        </is>
      </c>
    </row>
    <row r="48824">
      <c r="A48824" s="1" t="n">
        <v>48823</v>
      </c>
      <c r="B48824">
        <f>TEXT(48823, "[$-0E0000]yyyy-mm-dd")</f>
        <v/>
      </c>
      <c r="C48824" t="inlineStr">
        <is>
          <t>2033-08-09</t>
        </is>
      </c>
    </row>
    <row r="48825">
      <c r="A48825" s="1" t="n">
        <v>48824</v>
      </c>
      <c r="B48825">
        <f>TEXT(48824, "[$-0E0000]yyyy-mm-dd")</f>
        <v/>
      </c>
      <c r="C48825" t="inlineStr">
        <is>
          <t>2033-08-10</t>
        </is>
      </c>
    </row>
    <row r="48826">
      <c r="A48826" s="1" t="n">
        <v>48825</v>
      </c>
      <c r="B48826">
        <f>TEXT(48825, "[$-0E0000]yyyy-mm-dd")</f>
        <v/>
      </c>
      <c r="C48826" t="inlineStr">
        <is>
          <t>2033-08-11</t>
        </is>
      </c>
    </row>
    <row r="48827">
      <c r="A48827" s="1" t="n">
        <v>48826</v>
      </c>
      <c r="B48827">
        <f>TEXT(48826, "[$-0E0000]yyyy-mm-dd")</f>
        <v/>
      </c>
      <c r="C48827" t="inlineStr">
        <is>
          <t>2033-08-12</t>
        </is>
      </c>
    </row>
    <row r="48828">
      <c r="A48828" s="1" t="n">
        <v>48827</v>
      </c>
      <c r="B48828">
        <f>TEXT(48827, "[$-0E0000]yyyy-mm-dd")</f>
        <v/>
      </c>
      <c r="C48828" t="inlineStr">
        <is>
          <t>2033-08-13</t>
        </is>
      </c>
    </row>
    <row r="48829">
      <c r="A48829" s="1" t="n">
        <v>48828</v>
      </c>
      <c r="B48829">
        <f>TEXT(48828, "[$-0E0000]yyyy-mm-dd")</f>
        <v/>
      </c>
      <c r="C48829" t="inlineStr">
        <is>
          <t>2033-08-14</t>
        </is>
      </c>
    </row>
    <row r="48830">
      <c r="A48830" s="1" t="n">
        <v>48829</v>
      </c>
      <c r="B48830">
        <f>TEXT(48829, "[$-0E0000]yyyy-mm-dd")</f>
        <v/>
      </c>
      <c r="C48830" t="inlineStr">
        <is>
          <t>2033-08-15</t>
        </is>
      </c>
    </row>
    <row r="48831">
      <c r="A48831" s="1" t="n">
        <v>48830</v>
      </c>
      <c r="B48831">
        <f>TEXT(48830, "[$-0E0000]yyyy-mm-dd")</f>
        <v/>
      </c>
      <c r="C48831" t="inlineStr">
        <is>
          <t>2033-08-16</t>
        </is>
      </c>
    </row>
    <row r="48832">
      <c r="A48832" s="1" t="n">
        <v>48831</v>
      </c>
      <c r="B48832">
        <f>TEXT(48831, "[$-0E0000]yyyy-mm-dd")</f>
        <v/>
      </c>
      <c r="C48832" t="inlineStr">
        <is>
          <t>2033-08-17</t>
        </is>
      </c>
    </row>
    <row r="48833">
      <c r="A48833" s="1" t="n">
        <v>48832</v>
      </c>
      <c r="B48833">
        <f>TEXT(48832, "[$-0E0000]yyyy-mm-dd")</f>
        <v/>
      </c>
      <c r="C48833" t="inlineStr">
        <is>
          <t>2033-08-18</t>
        </is>
      </c>
    </row>
    <row r="48834">
      <c r="A48834" s="1" t="n">
        <v>48833</v>
      </c>
      <c r="B48834">
        <f>TEXT(48833, "[$-0E0000]yyyy-mm-dd")</f>
        <v/>
      </c>
      <c r="C48834" t="inlineStr">
        <is>
          <t>2033-08-19</t>
        </is>
      </c>
    </row>
    <row r="48835">
      <c r="A48835" s="1" t="n">
        <v>48834</v>
      </c>
      <c r="B48835">
        <f>TEXT(48834, "[$-0E0000]yyyy-mm-dd")</f>
        <v/>
      </c>
      <c r="C48835" t="inlineStr">
        <is>
          <t>2033-08-20</t>
        </is>
      </c>
    </row>
    <row r="48836">
      <c r="A48836" s="1" t="n">
        <v>48835</v>
      </c>
      <c r="B48836">
        <f>TEXT(48835, "[$-0E0000]yyyy-mm-dd")</f>
        <v/>
      </c>
      <c r="C48836" t="inlineStr">
        <is>
          <t>2033-08-21</t>
        </is>
      </c>
    </row>
    <row r="48837">
      <c r="A48837" s="1" t="n">
        <v>48836</v>
      </c>
      <c r="B48837">
        <f>TEXT(48836, "[$-0E0000]yyyy-mm-dd")</f>
        <v/>
      </c>
      <c r="C48837" t="inlineStr">
        <is>
          <t>2033-08-22</t>
        </is>
      </c>
    </row>
    <row r="48838">
      <c r="A48838" s="1" t="n">
        <v>48837</v>
      </c>
      <c r="B48838">
        <f>TEXT(48837, "[$-0E0000]yyyy-mm-dd")</f>
        <v/>
      </c>
      <c r="C48838" t="inlineStr">
        <is>
          <t>2033-08-23</t>
        </is>
      </c>
    </row>
    <row r="48839">
      <c r="A48839" s="1" t="n">
        <v>48838</v>
      </c>
      <c r="B48839">
        <f>TEXT(48838, "[$-0E0000]yyyy-mm-dd")</f>
        <v/>
      </c>
      <c r="C48839" t="inlineStr">
        <is>
          <t>2033-08-24</t>
        </is>
      </c>
    </row>
    <row r="48840">
      <c r="A48840" s="1" t="n">
        <v>48839</v>
      </c>
      <c r="B48840">
        <f>TEXT(48839, "[$-0E0000]yyyy-mm-dd")</f>
        <v/>
      </c>
      <c r="C48840" t="inlineStr">
        <is>
          <t>2033-08-25</t>
        </is>
      </c>
    </row>
    <row r="48841">
      <c r="A48841" s="1" t="n">
        <v>48840</v>
      </c>
      <c r="B48841">
        <f>TEXT(48840, "[$-0E0000]yyyy-mm-dd")</f>
        <v/>
      </c>
      <c r="C48841" t="inlineStr">
        <is>
          <t>2033-08-26</t>
        </is>
      </c>
    </row>
    <row r="48842">
      <c r="A48842" s="1" t="n">
        <v>48841</v>
      </c>
      <c r="B48842">
        <f>TEXT(48841, "[$-0E0000]yyyy-mm-dd")</f>
        <v/>
      </c>
      <c r="C48842" t="inlineStr">
        <is>
          <t>2033-08-27</t>
        </is>
      </c>
    </row>
    <row r="48843">
      <c r="A48843" s="1" t="n">
        <v>48842</v>
      </c>
      <c r="B48843">
        <f>TEXT(48842, "[$-0E0000]yyyy-mm-dd")</f>
        <v/>
      </c>
      <c r="C48843" t="inlineStr">
        <is>
          <t>2033-08-28</t>
        </is>
      </c>
    </row>
    <row r="48844">
      <c r="A48844" s="1" t="n">
        <v>48843</v>
      </c>
      <c r="B48844">
        <f>TEXT(48843, "[$-0E0000]yyyy-mm-dd")</f>
        <v/>
      </c>
      <c r="C48844" t="inlineStr">
        <is>
          <t>2033-08-29</t>
        </is>
      </c>
    </row>
    <row r="48845">
      <c r="A48845" s="1" t="n">
        <v>48844</v>
      </c>
      <c r="B48845">
        <f>TEXT(48844, "[$-0E0000]yyyy-mm-dd")</f>
        <v/>
      </c>
      <c r="C48845" t="inlineStr">
        <is>
          <t>2033-09-01</t>
        </is>
      </c>
    </row>
    <row r="48846">
      <c r="A48846" s="1" t="n">
        <v>48845</v>
      </c>
      <c r="B48846">
        <f>TEXT(48845, "[$-0E0000]yyyy-mm-dd")</f>
        <v/>
      </c>
      <c r="C48846" t="inlineStr">
        <is>
          <t>2033-09-02</t>
        </is>
      </c>
    </row>
    <row r="48847">
      <c r="A48847" s="1" t="n">
        <v>48846</v>
      </c>
      <c r="B48847">
        <f>TEXT(48846, "[$-0E0000]yyyy-mm-dd")</f>
        <v/>
      </c>
      <c r="C48847" t="inlineStr">
        <is>
          <t>2033-09-03</t>
        </is>
      </c>
    </row>
    <row r="48848">
      <c r="A48848" s="1" t="n">
        <v>48847</v>
      </c>
      <c r="B48848">
        <f>TEXT(48847, "[$-0E0000]yyyy-mm-dd")</f>
        <v/>
      </c>
      <c r="C48848" t="inlineStr">
        <is>
          <t>2033-09-04</t>
        </is>
      </c>
    </row>
    <row r="48849">
      <c r="A48849" s="1" t="n">
        <v>48848</v>
      </c>
      <c r="B48849">
        <f>TEXT(48848, "[$-0E0000]yyyy-mm-dd")</f>
        <v/>
      </c>
      <c r="C48849" t="inlineStr">
        <is>
          <t>2033-09-05</t>
        </is>
      </c>
    </row>
    <row r="48850">
      <c r="A48850" s="1" t="n">
        <v>48849</v>
      </c>
      <c r="B48850">
        <f>TEXT(48849, "[$-0E0000]yyyy-mm-dd")</f>
        <v/>
      </c>
      <c r="C48850" t="inlineStr">
        <is>
          <t>2033-09-06</t>
        </is>
      </c>
    </row>
    <row r="48851">
      <c r="A48851" s="1" t="n">
        <v>48850</v>
      </c>
      <c r="B48851">
        <f>TEXT(48850, "[$-0E0000]yyyy-mm-dd")</f>
        <v/>
      </c>
      <c r="C48851" t="inlineStr">
        <is>
          <t>2033-09-07</t>
        </is>
      </c>
    </row>
    <row r="48852">
      <c r="A48852" s="1" t="n">
        <v>48851</v>
      </c>
      <c r="B48852">
        <f>TEXT(48851, "[$-0E0000]yyyy-mm-dd")</f>
        <v/>
      </c>
      <c r="C48852" t="inlineStr">
        <is>
          <t>2033-09-08</t>
        </is>
      </c>
    </row>
    <row r="48853">
      <c r="A48853" s="1" t="n">
        <v>48852</v>
      </c>
      <c r="B48853">
        <f>TEXT(48852, "[$-0E0000]yyyy-mm-dd")</f>
        <v/>
      </c>
      <c r="C48853" t="inlineStr">
        <is>
          <t>2033-09-09</t>
        </is>
      </c>
    </row>
    <row r="48854">
      <c r="A48854" s="1" t="n">
        <v>48853</v>
      </c>
      <c r="B48854">
        <f>TEXT(48853, "[$-0E0000]yyyy-mm-dd")</f>
        <v/>
      </c>
      <c r="C48854" t="inlineStr">
        <is>
          <t>2033-09-10</t>
        </is>
      </c>
    </row>
    <row r="48855">
      <c r="A48855" s="1" t="n">
        <v>48854</v>
      </c>
      <c r="B48855">
        <f>TEXT(48854, "[$-0E0000]yyyy-mm-dd")</f>
        <v/>
      </c>
      <c r="C48855" t="inlineStr">
        <is>
          <t>2033-09-11</t>
        </is>
      </c>
    </row>
    <row r="48856">
      <c r="A48856" s="1" t="n">
        <v>48855</v>
      </c>
      <c r="B48856">
        <f>TEXT(48855, "[$-0E0000]yyyy-mm-dd")</f>
        <v/>
      </c>
      <c r="C48856" t="inlineStr">
        <is>
          <t>2033-09-12</t>
        </is>
      </c>
    </row>
    <row r="48857">
      <c r="A48857" s="1" t="n">
        <v>48856</v>
      </c>
      <c r="B48857">
        <f>TEXT(48856, "[$-0E0000]yyyy-mm-dd")</f>
        <v/>
      </c>
      <c r="C48857" t="inlineStr">
        <is>
          <t>2033-09-13</t>
        </is>
      </c>
    </row>
    <row r="48858">
      <c r="A48858" s="1" t="n">
        <v>48857</v>
      </c>
      <c r="B48858">
        <f>TEXT(48857, "[$-0E0000]yyyy-mm-dd")</f>
        <v/>
      </c>
      <c r="C48858" t="inlineStr">
        <is>
          <t>2033-09-14</t>
        </is>
      </c>
    </row>
    <row r="48859">
      <c r="A48859" s="1" t="n">
        <v>48858</v>
      </c>
      <c r="B48859">
        <f>TEXT(48858, "[$-0E0000]yyyy-mm-dd")</f>
        <v/>
      </c>
      <c r="C48859" t="inlineStr">
        <is>
          <t>2033-09-15</t>
        </is>
      </c>
    </row>
    <row r="48860">
      <c r="A48860" s="1" t="n">
        <v>48859</v>
      </c>
      <c r="B48860">
        <f>TEXT(48859, "[$-0E0000]yyyy-mm-dd")</f>
        <v/>
      </c>
      <c r="C48860" t="inlineStr">
        <is>
          <t>2033-09-16</t>
        </is>
      </c>
    </row>
    <row r="48861">
      <c r="A48861" s="1" t="n">
        <v>48860</v>
      </c>
      <c r="B48861">
        <f>TEXT(48860, "[$-0E0000]yyyy-mm-dd")</f>
        <v/>
      </c>
      <c r="C48861" t="inlineStr">
        <is>
          <t>2033-09-17</t>
        </is>
      </c>
    </row>
    <row r="48862">
      <c r="A48862" s="1" t="n">
        <v>48861</v>
      </c>
      <c r="B48862">
        <f>TEXT(48861, "[$-0E0000]yyyy-mm-dd")</f>
        <v/>
      </c>
      <c r="C48862" t="inlineStr">
        <is>
          <t>2033-09-18</t>
        </is>
      </c>
    </row>
    <row r="48863">
      <c r="A48863" s="1" t="n">
        <v>48862</v>
      </c>
      <c r="B48863">
        <f>TEXT(48862, "[$-0E0000]yyyy-mm-dd")</f>
        <v/>
      </c>
      <c r="C48863" t="inlineStr">
        <is>
          <t>2033-09-19</t>
        </is>
      </c>
    </row>
    <row r="48864">
      <c r="A48864" s="1" t="n">
        <v>48863</v>
      </c>
      <c r="B48864">
        <f>TEXT(48863, "[$-0E0000]yyyy-mm-dd")</f>
        <v/>
      </c>
      <c r="C48864" t="inlineStr">
        <is>
          <t>2033-09-20</t>
        </is>
      </c>
    </row>
    <row r="48865">
      <c r="A48865" s="1" t="n">
        <v>48864</v>
      </c>
      <c r="B48865">
        <f>TEXT(48864, "[$-0E0000]yyyy-mm-dd")</f>
        <v/>
      </c>
      <c r="C48865" t="inlineStr">
        <is>
          <t>2033-09-21</t>
        </is>
      </c>
    </row>
    <row r="48866">
      <c r="A48866" s="1" t="n">
        <v>48865</v>
      </c>
      <c r="B48866">
        <f>TEXT(48865, "[$-0E0000]yyyy-mm-dd")</f>
        <v/>
      </c>
      <c r="C48866" t="inlineStr">
        <is>
          <t>2033-09-22</t>
        </is>
      </c>
    </row>
    <row r="48867">
      <c r="A48867" s="1" t="n">
        <v>48866</v>
      </c>
      <c r="B48867">
        <f>TEXT(48866, "[$-0E0000]yyyy-mm-dd")</f>
        <v/>
      </c>
      <c r="C48867" t="inlineStr">
        <is>
          <t>2033-09-23</t>
        </is>
      </c>
    </row>
    <row r="48868">
      <c r="A48868" s="1" t="n">
        <v>48867</v>
      </c>
      <c r="B48868">
        <f>TEXT(48867, "[$-0E0000]yyyy-mm-dd")</f>
        <v/>
      </c>
      <c r="C48868" t="inlineStr">
        <is>
          <t>2033-09-24</t>
        </is>
      </c>
    </row>
    <row r="48869">
      <c r="A48869" s="1" t="n">
        <v>48868</v>
      </c>
      <c r="B48869">
        <f>TEXT(48868, "[$-0E0000]yyyy-mm-dd")</f>
        <v/>
      </c>
      <c r="C48869" t="inlineStr">
        <is>
          <t>2033-09-25</t>
        </is>
      </c>
    </row>
    <row r="48870">
      <c r="A48870" s="1" t="n">
        <v>48869</v>
      </c>
      <c r="B48870">
        <f>TEXT(48869, "[$-0E0000]yyyy-mm-dd")</f>
        <v/>
      </c>
      <c r="C48870" t="inlineStr">
        <is>
          <t>2033-09-26</t>
        </is>
      </c>
    </row>
    <row r="48871">
      <c r="A48871" s="1" t="n">
        <v>48870</v>
      </c>
      <c r="B48871">
        <f>TEXT(48870, "[$-0E0000]yyyy-mm-dd")</f>
        <v/>
      </c>
      <c r="C48871" t="inlineStr">
        <is>
          <t>2033-09-27</t>
        </is>
      </c>
    </row>
    <row r="48872">
      <c r="A48872" s="1" t="n">
        <v>48871</v>
      </c>
      <c r="B48872">
        <f>TEXT(48871, "[$-0E0000]yyyy-mm-dd")</f>
        <v/>
      </c>
      <c r="C48872" t="inlineStr">
        <is>
          <t>2033-09-28</t>
        </is>
      </c>
    </row>
    <row r="48873">
      <c r="A48873" s="1" t="n">
        <v>48872</v>
      </c>
      <c r="B48873">
        <f>TEXT(48872, "[$-0E0000]yyyy-mm-dd")</f>
        <v/>
      </c>
      <c r="C48873" t="inlineStr">
        <is>
          <t>2033-09-29</t>
        </is>
      </c>
    </row>
    <row r="48874">
      <c r="A48874" s="1" t="n">
        <v>48873</v>
      </c>
      <c r="B48874">
        <f>TEXT(48873, "[$-0E0000]yyyy-mm-dd")</f>
        <v/>
      </c>
      <c r="C48874" t="inlineStr">
        <is>
          <t>2033-09-30</t>
        </is>
      </c>
    </row>
    <row r="48875">
      <c r="A48875" s="1" t="n">
        <v>48874</v>
      </c>
      <c r="B48875">
        <f>TEXT(48874, "[$-0E0000]yyyy-mm-dd")</f>
        <v/>
      </c>
      <c r="C48875" t="inlineStr">
        <is>
          <t>2033-10-01</t>
        </is>
      </c>
    </row>
    <row r="48876">
      <c r="A48876" s="1" t="n">
        <v>48875</v>
      </c>
      <c r="B48876">
        <f>TEXT(48875, "[$-0E0000]yyyy-mm-dd")</f>
        <v/>
      </c>
      <c r="C48876" t="inlineStr">
        <is>
          <t>2033-10-02</t>
        </is>
      </c>
    </row>
    <row r="48877">
      <c r="A48877" s="1" t="n">
        <v>48876</v>
      </c>
      <c r="B48877">
        <f>TEXT(48876, "[$-0E0000]yyyy-mm-dd")</f>
        <v/>
      </c>
      <c r="C48877" t="inlineStr">
        <is>
          <t>2033-10-03</t>
        </is>
      </c>
    </row>
    <row r="48878">
      <c r="A48878" s="1" t="n">
        <v>48877</v>
      </c>
      <c r="B48878">
        <f>TEXT(48877, "[$-0E0000]yyyy-mm-dd")</f>
        <v/>
      </c>
      <c r="C48878" t="inlineStr">
        <is>
          <t>2033-10-04</t>
        </is>
      </c>
    </row>
    <row r="48879">
      <c r="A48879" s="1" t="n">
        <v>48878</v>
      </c>
      <c r="B48879">
        <f>TEXT(48878, "[$-0E0000]yyyy-mm-dd")</f>
        <v/>
      </c>
      <c r="C48879" t="inlineStr">
        <is>
          <t>2033-10-05</t>
        </is>
      </c>
    </row>
    <row r="48880">
      <c r="A48880" s="1" t="n">
        <v>48879</v>
      </c>
      <c r="B48880">
        <f>TEXT(48879, "[$-0E0000]yyyy-mm-dd")</f>
        <v/>
      </c>
      <c r="C48880" t="inlineStr">
        <is>
          <t>2033-10-06</t>
        </is>
      </c>
    </row>
    <row r="48881">
      <c r="A48881" s="1" t="n">
        <v>48880</v>
      </c>
      <c r="B48881">
        <f>TEXT(48880, "[$-0E0000]yyyy-mm-dd")</f>
        <v/>
      </c>
      <c r="C48881" t="inlineStr">
        <is>
          <t>2033-10-07</t>
        </is>
      </c>
    </row>
    <row r="48882">
      <c r="A48882" s="1" t="n">
        <v>48881</v>
      </c>
      <c r="B48882">
        <f>TEXT(48881, "[$-0E0000]yyyy-mm-dd")</f>
        <v/>
      </c>
      <c r="C48882" t="inlineStr">
        <is>
          <t>2033-10-08</t>
        </is>
      </c>
    </row>
    <row r="48883">
      <c r="A48883" s="1" t="n">
        <v>48882</v>
      </c>
      <c r="B48883">
        <f>TEXT(48882, "[$-0E0000]yyyy-mm-dd")</f>
        <v/>
      </c>
      <c r="C48883" t="inlineStr">
        <is>
          <t>2033-10-09</t>
        </is>
      </c>
    </row>
    <row r="48884">
      <c r="A48884" s="1" t="n">
        <v>48883</v>
      </c>
      <c r="B48884">
        <f>TEXT(48883, "[$-0E0000]yyyy-mm-dd")</f>
        <v/>
      </c>
      <c r="C48884" t="inlineStr">
        <is>
          <t>2033-10-10</t>
        </is>
      </c>
    </row>
    <row r="48885">
      <c r="A48885" s="1" t="n">
        <v>48884</v>
      </c>
      <c r="B48885">
        <f>TEXT(48884, "[$-0E0000]yyyy-mm-dd")</f>
        <v/>
      </c>
      <c r="C48885" t="inlineStr">
        <is>
          <t>2033-10-11</t>
        </is>
      </c>
    </row>
    <row r="48886">
      <c r="A48886" s="1" t="n">
        <v>48885</v>
      </c>
      <c r="B48886">
        <f>TEXT(48885, "[$-0E0000]yyyy-mm-dd")</f>
        <v/>
      </c>
      <c r="C48886" t="inlineStr">
        <is>
          <t>2033-10-12</t>
        </is>
      </c>
    </row>
    <row r="48887">
      <c r="A48887" s="1" t="n">
        <v>48886</v>
      </c>
      <c r="B48887">
        <f>TEXT(48886, "[$-0E0000]yyyy-mm-dd")</f>
        <v/>
      </c>
      <c r="C48887" t="inlineStr">
        <is>
          <t>2033-10-13</t>
        </is>
      </c>
    </row>
    <row r="48888">
      <c r="A48888" s="1" t="n">
        <v>48887</v>
      </c>
      <c r="B48888">
        <f>TEXT(48887, "[$-0E0000]yyyy-mm-dd")</f>
        <v/>
      </c>
      <c r="C48888" t="inlineStr">
        <is>
          <t>2033-10-14</t>
        </is>
      </c>
    </row>
    <row r="48889">
      <c r="A48889" s="1" t="n">
        <v>48888</v>
      </c>
      <c r="B48889">
        <f>TEXT(48888, "[$-0E0000]yyyy-mm-dd")</f>
        <v/>
      </c>
      <c r="C48889" t="inlineStr">
        <is>
          <t>2033-10-15</t>
        </is>
      </c>
    </row>
    <row r="48890">
      <c r="A48890" s="1" t="n">
        <v>48889</v>
      </c>
      <c r="B48890">
        <f>TEXT(48889, "[$-0E0000]yyyy-mm-dd")</f>
        <v/>
      </c>
      <c r="C48890" t="inlineStr">
        <is>
          <t>2033-10-16</t>
        </is>
      </c>
    </row>
    <row r="48891">
      <c r="A48891" s="1" t="n">
        <v>48890</v>
      </c>
      <c r="B48891">
        <f>TEXT(48890, "[$-0E0000]yyyy-mm-dd")</f>
        <v/>
      </c>
      <c r="C48891" t="inlineStr">
        <is>
          <t>2033-10-17</t>
        </is>
      </c>
    </row>
    <row r="48892">
      <c r="A48892" s="1" t="n">
        <v>48891</v>
      </c>
      <c r="B48892">
        <f>TEXT(48891, "[$-0E0000]yyyy-mm-dd")</f>
        <v/>
      </c>
      <c r="C48892" t="inlineStr">
        <is>
          <t>2033-10-18</t>
        </is>
      </c>
    </row>
    <row r="48893">
      <c r="A48893" s="1" t="n">
        <v>48892</v>
      </c>
      <c r="B48893">
        <f>TEXT(48892, "[$-0E0000]yyyy-mm-dd")</f>
        <v/>
      </c>
      <c r="C48893" t="inlineStr">
        <is>
          <t>2033-10-19</t>
        </is>
      </c>
    </row>
    <row r="48894">
      <c r="A48894" s="1" t="n">
        <v>48893</v>
      </c>
      <c r="B48894">
        <f>TEXT(48893, "[$-0E0000]yyyy-mm-dd")</f>
        <v/>
      </c>
      <c r="C48894" t="inlineStr">
        <is>
          <t>2033-10-20</t>
        </is>
      </c>
    </row>
    <row r="48895">
      <c r="A48895" s="1" t="n">
        <v>48894</v>
      </c>
      <c r="B48895">
        <f>TEXT(48894, "[$-0E0000]yyyy-mm-dd")</f>
        <v/>
      </c>
      <c r="C48895" t="inlineStr">
        <is>
          <t>2033-10-21</t>
        </is>
      </c>
    </row>
    <row r="48896">
      <c r="A48896" s="1" t="n">
        <v>48895</v>
      </c>
      <c r="B48896">
        <f>TEXT(48895, "[$-0E0000]yyyy-mm-dd")</f>
        <v/>
      </c>
      <c r="C48896" t="inlineStr">
        <is>
          <t>2033-10-22</t>
        </is>
      </c>
    </row>
    <row r="48897">
      <c r="A48897" s="1" t="n">
        <v>48896</v>
      </c>
      <c r="B48897">
        <f>TEXT(48896, "[$-0E0000]yyyy-mm-dd")</f>
        <v/>
      </c>
      <c r="C48897" t="inlineStr">
        <is>
          <t>2033-10-23</t>
        </is>
      </c>
    </row>
    <row r="48898">
      <c r="A48898" s="1" t="n">
        <v>48897</v>
      </c>
      <c r="B48898">
        <f>TEXT(48897, "[$-0E0000]yyyy-mm-dd")</f>
        <v/>
      </c>
      <c r="C48898" t="inlineStr">
        <is>
          <t>2033-10-24</t>
        </is>
      </c>
    </row>
    <row r="48899">
      <c r="A48899" s="1" t="n">
        <v>48898</v>
      </c>
      <c r="B48899">
        <f>TEXT(48898, "[$-0E0000]yyyy-mm-dd")</f>
        <v/>
      </c>
      <c r="C48899" t="inlineStr">
        <is>
          <t>2033-10-25</t>
        </is>
      </c>
    </row>
    <row r="48900">
      <c r="A48900" s="1" t="n">
        <v>48899</v>
      </c>
      <c r="B48900">
        <f>TEXT(48899, "[$-0E0000]yyyy-mm-dd")</f>
        <v/>
      </c>
      <c r="C48900" t="inlineStr">
        <is>
          <t>2033-10-26</t>
        </is>
      </c>
    </row>
    <row r="48901">
      <c r="A48901" s="1" t="n">
        <v>48900</v>
      </c>
      <c r="B48901">
        <f>TEXT(48900, "[$-0E0000]yyyy-mm-dd")</f>
        <v/>
      </c>
      <c r="C48901" t="inlineStr">
        <is>
          <t>2033-10-27</t>
        </is>
      </c>
    </row>
    <row r="48902">
      <c r="A48902" s="1" t="n">
        <v>48901</v>
      </c>
      <c r="B48902">
        <f>TEXT(48901, "[$-0E0000]yyyy-mm-dd")</f>
        <v/>
      </c>
      <c r="C48902" t="inlineStr">
        <is>
          <t>2033-10-28</t>
        </is>
      </c>
    </row>
    <row r="48903">
      <c r="A48903" s="1" t="n">
        <v>48902</v>
      </c>
      <c r="B48903">
        <f>TEXT(48902, "[$-0E0000]yyyy-mm-dd")</f>
        <v/>
      </c>
      <c r="C48903" t="inlineStr">
        <is>
          <t>2033-10-29</t>
        </is>
      </c>
    </row>
    <row r="48904">
      <c r="A48904" s="1" t="n">
        <v>48903</v>
      </c>
      <c r="B48904">
        <f>TEXT(48903, "[$-0E0000]yyyy-mm-dd")</f>
        <v/>
      </c>
      <c r="C48904" t="inlineStr">
        <is>
          <t>2033-10-30</t>
        </is>
      </c>
    </row>
    <row r="48905">
      <c r="A48905" s="1" t="n">
        <v>48904</v>
      </c>
      <c r="B48905">
        <f>TEXT(48904, "[$-0E0000]yyyy-mm-dd")</f>
        <v/>
      </c>
      <c r="C48905" t="inlineStr">
        <is>
          <t>2033-11-01</t>
        </is>
      </c>
    </row>
    <row r="48906">
      <c r="A48906" s="1" t="n">
        <v>48905</v>
      </c>
      <c r="B48906">
        <f>TEXT(48905, "[$-0E0000]yyyy-mm-dd")</f>
        <v/>
      </c>
      <c r="C48906" t="inlineStr">
        <is>
          <t>2033-11-02</t>
        </is>
      </c>
    </row>
    <row r="48907">
      <c r="A48907" s="1" t="n">
        <v>48906</v>
      </c>
      <c r="B48907">
        <f>TEXT(48906, "[$-0E0000]yyyy-mm-dd")</f>
        <v/>
      </c>
      <c r="C48907" t="inlineStr">
        <is>
          <t>2033-11-03</t>
        </is>
      </c>
    </row>
    <row r="48908">
      <c r="A48908" s="1" t="n">
        <v>48907</v>
      </c>
      <c r="B48908">
        <f>TEXT(48907, "[$-0E0000]yyyy-mm-dd")</f>
        <v/>
      </c>
      <c r="C48908" t="inlineStr">
        <is>
          <t>2033-11-04</t>
        </is>
      </c>
    </row>
    <row r="48909">
      <c r="A48909" s="1" t="n">
        <v>48908</v>
      </c>
      <c r="B48909">
        <f>TEXT(48908, "[$-0E0000]yyyy-mm-dd")</f>
        <v/>
      </c>
      <c r="C48909" t="inlineStr">
        <is>
          <t>2033-11-05</t>
        </is>
      </c>
    </row>
    <row r="48910">
      <c r="A48910" s="1" t="n">
        <v>48909</v>
      </c>
      <c r="B48910">
        <f>TEXT(48909, "[$-0E0000]yyyy-mm-dd")</f>
        <v/>
      </c>
      <c r="C48910" t="inlineStr">
        <is>
          <t>2033-11-06</t>
        </is>
      </c>
    </row>
    <row r="48911">
      <c r="A48911" s="1" t="n">
        <v>48910</v>
      </c>
      <c r="B48911">
        <f>TEXT(48910, "[$-0E0000]yyyy-mm-dd")</f>
        <v/>
      </c>
      <c r="C48911" t="inlineStr">
        <is>
          <t>2033-11-07</t>
        </is>
      </c>
    </row>
    <row r="48912">
      <c r="A48912" s="1" t="n">
        <v>48911</v>
      </c>
      <c r="B48912">
        <f>TEXT(48911, "[$-0E0000]yyyy-mm-dd")</f>
        <v/>
      </c>
      <c r="C48912" t="inlineStr">
        <is>
          <t>2033-11-08</t>
        </is>
      </c>
    </row>
    <row r="48913">
      <c r="A48913" s="1" t="n">
        <v>48912</v>
      </c>
      <c r="B48913">
        <f>TEXT(48912, "[$-0E0000]yyyy-mm-dd")</f>
        <v/>
      </c>
      <c r="C48913" t="inlineStr">
        <is>
          <t>2033-11-09</t>
        </is>
      </c>
    </row>
    <row r="48914">
      <c r="A48914" s="1" t="n">
        <v>48913</v>
      </c>
      <c r="B48914">
        <f>TEXT(48913, "[$-0E0000]yyyy-mm-dd")</f>
        <v/>
      </c>
      <c r="C48914" t="inlineStr">
        <is>
          <t>2033-11-10</t>
        </is>
      </c>
    </row>
    <row r="48915">
      <c r="A48915" s="1" t="n">
        <v>48914</v>
      </c>
      <c r="B48915">
        <f>TEXT(48914, "[$-0E0000]yyyy-mm-dd")</f>
        <v/>
      </c>
      <c r="C48915" t="inlineStr">
        <is>
          <t>2033-11-11</t>
        </is>
      </c>
    </row>
    <row r="48916">
      <c r="A48916" s="1" t="n">
        <v>48915</v>
      </c>
      <c r="B48916">
        <f>TEXT(48915, "[$-0E0000]yyyy-mm-dd")</f>
        <v/>
      </c>
      <c r="C48916" t="inlineStr">
        <is>
          <t>2033-11-12</t>
        </is>
      </c>
    </row>
    <row r="48917">
      <c r="A48917" s="1" t="n">
        <v>48916</v>
      </c>
      <c r="B48917">
        <f>TEXT(48916, "[$-0E0000]yyyy-mm-dd")</f>
        <v/>
      </c>
      <c r="C48917" t="inlineStr">
        <is>
          <t>2033-11-13</t>
        </is>
      </c>
    </row>
    <row r="48918">
      <c r="A48918" s="1" t="n">
        <v>48917</v>
      </c>
      <c r="B48918">
        <f>TEXT(48917, "[$-0E0000]yyyy-mm-dd")</f>
        <v/>
      </c>
      <c r="C48918" t="inlineStr">
        <is>
          <t>2033-11-14</t>
        </is>
      </c>
    </row>
    <row r="48919">
      <c r="A48919" s="1" t="n">
        <v>48918</v>
      </c>
      <c r="B48919">
        <f>TEXT(48918, "[$-0E0000]yyyy-mm-dd")</f>
        <v/>
      </c>
      <c r="C48919" t="inlineStr">
        <is>
          <t>2033-11-15</t>
        </is>
      </c>
    </row>
    <row r="48920">
      <c r="A48920" s="1" t="n">
        <v>48919</v>
      </c>
      <c r="B48920">
        <f>TEXT(48919, "[$-0E0000]yyyy-mm-dd")</f>
        <v/>
      </c>
      <c r="C48920" t="inlineStr">
        <is>
          <t>2033-11-16</t>
        </is>
      </c>
    </row>
    <row r="48921">
      <c r="A48921" s="1" t="n">
        <v>48920</v>
      </c>
      <c r="B48921">
        <f>TEXT(48920, "[$-0E0000]yyyy-mm-dd")</f>
        <v/>
      </c>
      <c r="C48921" t="inlineStr">
        <is>
          <t>2033-11-17</t>
        </is>
      </c>
    </row>
    <row r="48922">
      <c r="A48922" s="1" t="n">
        <v>48921</v>
      </c>
      <c r="B48922">
        <f>TEXT(48921, "[$-0E0000]yyyy-mm-dd")</f>
        <v/>
      </c>
      <c r="C48922" t="inlineStr">
        <is>
          <t>2033-11-18</t>
        </is>
      </c>
    </row>
    <row r="48923">
      <c r="A48923" s="1" t="n">
        <v>48922</v>
      </c>
      <c r="B48923">
        <f>TEXT(48922, "[$-0E0000]yyyy-mm-dd")</f>
        <v/>
      </c>
      <c r="C48923" t="inlineStr">
        <is>
          <t>2033-11-19</t>
        </is>
      </c>
    </row>
    <row r="48924">
      <c r="A48924" s="1" t="n">
        <v>48923</v>
      </c>
      <c r="B48924">
        <f>TEXT(48923, "[$-0E0000]yyyy-mm-dd")</f>
        <v/>
      </c>
      <c r="C48924" t="inlineStr">
        <is>
          <t>2033-11-20</t>
        </is>
      </c>
    </row>
    <row r="48925">
      <c r="A48925" s="1" t="n">
        <v>48924</v>
      </c>
      <c r="B48925">
        <f>TEXT(48924, "[$-0E0000]yyyy-mm-dd")</f>
        <v/>
      </c>
      <c r="C48925" t="inlineStr">
        <is>
          <t>2033-11-21</t>
        </is>
      </c>
    </row>
    <row r="48926">
      <c r="A48926" s="1" t="n">
        <v>48925</v>
      </c>
      <c r="B48926">
        <f>TEXT(48925, "[$-0E0000]yyyy-mm-dd")</f>
        <v/>
      </c>
      <c r="C48926" t="inlineStr">
        <is>
          <t>2033-11-22</t>
        </is>
      </c>
    </row>
    <row r="48927">
      <c r="A48927" s="1" t="n">
        <v>48926</v>
      </c>
      <c r="B48927">
        <f>TEXT(48926, "[$-0E0000]yyyy-mm-dd")</f>
        <v/>
      </c>
      <c r="C48927" t="inlineStr">
        <is>
          <t>2033-11-23</t>
        </is>
      </c>
    </row>
    <row r="48928">
      <c r="A48928" s="1" t="n">
        <v>48927</v>
      </c>
      <c r="B48928">
        <f>TEXT(48927, "[$-0E0000]yyyy-mm-dd")</f>
        <v/>
      </c>
      <c r="C48928" t="inlineStr">
        <is>
          <t>2033-11-24</t>
        </is>
      </c>
    </row>
    <row r="48929">
      <c r="A48929" s="1" t="n">
        <v>48928</v>
      </c>
      <c r="B48929">
        <f>TEXT(48928, "[$-0E0000]yyyy-mm-dd")</f>
        <v/>
      </c>
      <c r="C48929" t="inlineStr">
        <is>
          <t>2033-11-25</t>
        </is>
      </c>
    </row>
    <row r="48930">
      <c r="A48930" s="1" t="n">
        <v>48929</v>
      </c>
      <c r="B48930">
        <f>TEXT(48929, "[$-0E0000]yyyy-mm-dd")</f>
        <v/>
      </c>
      <c r="C48930" t="inlineStr">
        <is>
          <t>2033-11-26</t>
        </is>
      </c>
    </row>
    <row r="48931">
      <c r="A48931" s="1" t="n">
        <v>48930</v>
      </c>
      <c r="B48931">
        <f>TEXT(48930, "[$-0E0000]yyyy-mm-dd")</f>
        <v/>
      </c>
      <c r="C48931" t="inlineStr">
        <is>
          <t>2033-11-27</t>
        </is>
      </c>
    </row>
    <row r="48932">
      <c r="A48932" s="1" t="n">
        <v>48931</v>
      </c>
      <c r="B48932">
        <f>TEXT(48931, "[$-0E0000]yyyy-mm-dd")</f>
        <v/>
      </c>
      <c r="C48932" t="inlineStr">
        <is>
          <t>2033-11-28</t>
        </is>
      </c>
    </row>
    <row r="48933">
      <c r="A48933" s="1" t="n">
        <v>48932</v>
      </c>
      <c r="B48933">
        <f>TEXT(48932, "[$-0E0000]yyyy-mm-dd")</f>
        <v/>
      </c>
      <c r="C48933" t="inlineStr">
        <is>
          <t>2033-11-29</t>
        </is>
      </c>
    </row>
    <row r="48934">
      <c r="A48934" s="1" t="n">
        <v>48933</v>
      </c>
      <c r="B48934">
        <f>TEXT(48933, "[$-0E0000]yyyy-mm-dd")</f>
        <v/>
      </c>
      <c r="C48934" t="inlineStr">
        <is>
          <t>2033-11-30</t>
        </is>
      </c>
    </row>
    <row r="48935">
      <c r="A48935" s="1" t="n">
        <v>48934</v>
      </c>
      <c r="B48935">
        <f>TEXT(48934, "[$-0E0000]yyyy-mm-dd")</f>
        <v/>
      </c>
      <c r="C48935" t="inlineStr">
        <is>
          <t>2033-11-01</t>
        </is>
      </c>
    </row>
    <row r="48936">
      <c r="A48936" s="1" t="n">
        <v>48935</v>
      </c>
      <c r="B48936">
        <f>TEXT(48935, "[$-0E0000]yyyy-mm-dd")</f>
        <v/>
      </c>
      <c r="C48936" t="inlineStr">
        <is>
          <t>2033-11-02</t>
        </is>
      </c>
    </row>
    <row r="48937">
      <c r="A48937" s="1" t="n">
        <v>48936</v>
      </c>
      <c r="B48937">
        <f>TEXT(48936, "[$-0E0000]yyyy-mm-dd")</f>
        <v/>
      </c>
      <c r="C48937" t="inlineStr">
        <is>
          <t>2033-11-03</t>
        </is>
      </c>
    </row>
    <row r="48938">
      <c r="A48938" s="1" t="n">
        <v>48937</v>
      </c>
      <c r="B48938">
        <f>TEXT(48937, "[$-0E0000]yyyy-mm-dd")</f>
        <v/>
      </c>
      <c r="C48938" t="inlineStr">
        <is>
          <t>2033-11-04</t>
        </is>
      </c>
    </row>
    <row r="48939">
      <c r="A48939" s="1" t="n">
        <v>48938</v>
      </c>
      <c r="B48939">
        <f>TEXT(48938, "[$-0E0000]yyyy-mm-dd")</f>
        <v/>
      </c>
      <c r="C48939" t="inlineStr">
        <is>
          <t>2033-11-05</t>
        </is>
      </c>
    </row>
    <row r="48940">
      <c r="A48940" s="1" t="n">
        <v>48939</v>
      </c>
      <c r="B48940">
        <f>TEXT(48939, "[$-0E0000]yyyy-mm-dd")</f>
        <v/>
      </c>
      <c r="C48940" t="inlineStr">
        <is>
          <t>2033-11-06</t>
        </is>
      </c>
    </row>
    <row r="48941">
      <c r="A48941" s="1" t="n">
        <v>48940</v>
      </c>
      <c r="B48941">
        <f>TEXT(48940, "[$-0E0000]yyyy-mm-dd")</f>
        <v/>
      </c>
      <c r="C48941" t="inlineStr">
        <is>
          <t>2033-11-07</t>
        </is>
      </c>
    </row>
    <row r="48942">
      <c r="A48942" s="1" t="n">
        <v>48941</v>
      </c>
      <c r="B48942">
        <f>TEXT(48941, "[$-0E0000]yyyy-mm-dd")</f>
        <v/>
      </c>
      <c r="C48942" t="inlineStr">
        <is>
          <t>2033-11-08</t>
        </is>
      </c>
    </row>
    <row r="48943">
      <c r="A48943" s="1" t="n">
        <v>48942</v>
      </c>
      <c r="B48943">
        <f>TEXT(48942, "[$-0E0000]yyyy-mm-dd")</f>
        <v/>
      </c>
      <c r="C48943" t="inlineStr">
        <is>
          <t>2033-11-09</t>
        </is>
      </c>
    </row>
    <row r="48944">
      <c r="A48944" s="1" t="n">
        <v>48943</v>
      </c>
      <c r="B48944">
        <f>TEXT(48943, "[$-0E0000]yyyy-mm-dd")</f>
        <v/>
      </c>
      <c r="C48944" t="inlineStr">
        <is>
          <t>2033-11-10</t>
        </is>
      </c>
    </row>
    <row r="48945">
      <c r="A48945" s="1" t="n">
        <v>48944</v>
      </c>
      <c r="B48945">
        <f>TEXT(48944, "[$-0E0000]yyyy-mm-dd")</f>
        <v/>
      </c>
      <c r="C48945" t="inlineStr">
        <is>
          <t>2033-11-11</t>
        </is>
      </c>
    </row>
    <row r="48946">
      <c r="A48946" s="1" t="n">
        <v>48945</v>
      </c>
      <c r="B48946">
        <f>TEXT(48945, "[$-0E0000]yyyy-mm-dd")</f>
        <v/>
      </c>
      <c r="C48946" t="inlineStr">
        <is>
          <t>2033-11-12</t>
        </is>
      </c>
    </row>
    <row r="48947">
      <c r="A48947" s="1" t="n">
        <v>48946</v>
      </c>
      <c r="B48947">
        <f>TEXT(48946, "[$-0E0000]yyyy-mm-dd")</f>
        <v/>
      </c>
      <c r="C48947" t="inlineStr">
        <is>
          <t>2033-11-13</t>
        </is>
      </c>
    </row>
    <row r="48948">
      <c r="A48948" s="1" t="n">
        <v>48947</v>
      </c>
      <c r="B48948">
        <f>TEXT(48947, "[$-0E0000]yyyy-mm-dd")</f>
        <v/>
      </c>
      <c r="C48948" t="inlineStr">
        <is>
          <t>2033-11-14</t>
        </is>
      </c>
    </row>
    <row r="48949">
      <c r="A48949" s="1" t="n">
        <v>48948</v>
      </c>
      <c r="B48949">
        <f>TEXT(48948, "[$-0E0000]yyyy-mm-dd")</f>
        <v/>
      </c>
      <c r="C48949" t="inlineStr">
        <is>
          <t>2033-11-15</t>
        </is>
      </c>
    </row>
    <row r="48950">
      <c r="A48950" s="1" t="n">
        <v>48949</v>
      </c>
      <c r="B48950">
        <f>TEXT(48949, "[$-0E0000]yyyy-mm-dd")</f>
        <v/>
      </c>
      <c r="C48950" t="inlineStr">
        <is>
          <t>2033-11-16</t>
        </is>
      </c>
    </row>
    <row r="48951">
      <c r="A48951" s="1" t="n">
        <v>48950</v>
      </c>
      <c r="B48951">
        <f>TEXT(48950, "[$-0E0000]yyyy-mm-dd")</f>
        <v/>
      </c>
      <c r="C48951" t="inlineStr">
        <is>
          <t>2033-11-17</t>
        </is>
      </c>
    </row>
    <row r="48952">
      <c r="A48952" s="1" t="n">
        <v>48951</v>
      </c>
      <c r="B48952">
        <f>TEXT(48951, "[$-0E0000]yyyy-mm-dd")</f>
        <v/>
      </c>
      <c r="C48952" t="inlineStr">
        <is>
          <t>2033-11-18</t>
        </is>
      </c>
    </row>
    <row r="48953">
      <c r="A48953" s="1" t="n">
        <v>48952</v>
      </c>
      <c r="B48953">
        <f>TEXT(48952, "[$-0E0000]yyyy-mm-dd")</f>
        <v/>
      </c>
      <c r="C48953" t="inlineStr">
        <is>
          <t>2033-11-19</t>
        </is>
      </c>
    </row>
    <row r="48954">
      <c r="A48954" s="1" t="n">
        <v>48953</v>
      </c>
      <c r="B48954">
        <f>TEXT(48953, "[$-0E0000]yyyy-mm-dd")</f>
        <v/>
      </c>
      <c r="C48954" t="inlineStr">
        <is>
          <t>2033-11-20</t>
        </is>
      </c>
    </row>
    <row r="48955">
      <c r="A48955" s="1" t="n">
        <v>48954</v>
      </c>
      <c r="B48955">
        <f>TEXT(48954, "[$-0E0000]yyyy-mm-dd")</f>
        <v/>
      </c>
      <c r="C48955" t="inlineStr">
        <is>
          <t>2033-11-21</t>
        </is>
      </c>
    </row>
    <row r="48956">
      <c r="A48956" s="1" t="n">
        <v>48955</v>
      </c>
      <c r="B48956">
        <f>TEXT(48955, "[$-0E0000]yyyy-mm-dd")</f>
        <v/>
      </c>
      <c r="C48956" t="inlineStr">
        <is>
          <t>2033-11-22</t>
        </is>
      </c>
    </row>
    <row r="48957">
      <c r="A48957" s="1" t="n">
        <v>48956</v>
      </c>
      <c r="B48957">
        <f>TEXT(48956, "[$-0E0000]yyyy-mm-dd")</f>
        <v/>
      </c>
      <c r="C48957" t="inlineStr">
        <is>
          <t>2033-11-23</t>
        </is>
      </c>
    </row>
    <row r="48958">
      <c r="A48958" s="1" t="n">
        <v>48957</v>
      </c>
      <c r="B48958">
        <f>TEXT(48957, "[$-0E0000]yyyy-mm-dd")</f>
        <v/>
      </c>
      <c r="C48958" t="inlineStr">
        <is>
          <t>2033-11-24</t>
        </is>
      </c>
    </row>
    <row r="48959">
      <c r="A48959" s="1" t="n">
        <v>48958</v>
      </c>
      <c r="B48959">
        <f>TEXT(48958, "[$-0E0000]yyyy-mm-dd")</f>
        <v/>
      </c>
      <c r="C48959" t="inlineStr">
        <is>
          <t>2033-11-25</t>
        </is>
      </c>
    </row>
    <row r="48960">
      <c r="A48960" s="1" t="n">
        <v>48959</v>
      </c>
      <c r="B48960">
        <f>TEXT(48959, "[$-0E0000]yyyy-mm-dd")</f>
        <v/>
      </c>
      <c r="C48960" t="inlineStr">
        <is>
          <t>2033-11-26</t>
        </is>
      </c>
    </row>
    <row r="48961">
      <c r="A48961" s="1" t="n">
        <v>48960</v>
      </c>
      <c r="B48961">
        <f>TEXT(48960, "[$-0E0000]yyyy-mm-dd")</f>
        <v/>
      </c>
      <c r="C48961" t="inlineStr">
        <is>
          <t>2033-11-27</t>
        </is>
      </c>
    </row>
    <row r="48962">
      <c r="A48962" s="1" t="n">
        <v>48961</v>
      </c>
      <c r="B48962">
        <f>TEXT(48961, "[$-0E0000]yyyy-mm-dd")</f>
        <v/>
      </c>
      <c r="C48962" t="inlineStr">
        <is>
          <t>2033-11-28</t>
        </is>
      </c>
    </row>
    <row r="48963">
      <c r="A48963" s="1" t="n">
        <v>48962</v>
      </c>
      <c r="B48963">
        <f>TEXT(48962, "[$-0E0000]yyyy-mm-dd")</f>
        <v/>
      </c>
      <c r="C48963" t="inlineStr">
        <is>
          <t>2033-11-29</t>
        </is>
      </c>
    </row>
    <row r="48964">
      <c r="A48964" s="1" t="n">
        <v>48963</v>
      </c>
      <c r="B48964">
        <f>TEXT(48963, "[$-0E0000]yyyy-mm-dd")</f>
        <v/>
      </c>
      <c r="C48964" t="inlineStr">
        <is>
          <t>2033-12-01</t>
        </is>
      </c>
    </row>
    <row r="48965">
      <c r="A48965" s="1" t="n">
        <v>48964</v>
      </c>
      <c r="B48965">
        <f>TEXT(48964, "[$-0E0000]yyyy-mm-dd")</f>
        <v/>
      </c>
      <c r="C48965" t="inlineStr">
        <is>
          <t>2033-12-02</t>
        </is>
      </c>
    </row>
    <row r="48966">
      <c r="A48966" s="1" t="n">
        <v>48965</v>
      </c>
      <c r="B48966">
        <f>TEXT(48965, "[$-0E0000]yyyy-mm-dd")</f>
        <v/>
      </c>
      <c r="C48966" t="inlineStr">
        <is>
          <t>2033-12-03</t>
        </is>
      </c>
    </row>
    <row r="48967">
      <c r="A48967" s="1" t="n">
        <v>48966</v>
      </c>
      <c r="B48967">
        <f>TEXT(48966, "[$-0E0000]yyyy-mm-dd")</f>
        <v/>
      </c>
      <c r="C48967" t="inlineStr">
        <is>
          <t>2033-12-04</t>
        </is>
      </c>
    </row>
    <row r="48968">
      <c r="A48968" s="1" t="n">
        <v>48967</v>
      </c>
      <c r="B48968">
        <f>TEXT(48967, "[$-0E0000]yyyy-mm-dd")</f>
        <v/>
      </c>
      <c r="C48968" t="inlineStr">
        <is>
          <t>2033-12-05</t>
        </is>
      </c>
    </row>
    <row r="48969">
      <c r="A48969" s="1" t="n">
        <v>48968</v>
      </c>
      <c r="B48969">
        <f>TEXT(48968, "[$-0E0000]yyyy-mm-dd")</f>
        <v/>
      </c>
      <c r="C48969" t="inlineStr">
        <is>
          <t>2033-12-06</t>
        </is>
      </c>
    </row>
    <row r="48970">
      <c r="A48970" s="1" t="n">
        <v>48969</v>
      </c>
      <c r="B48970">
        <f>TEXT(48969, "[$-0E0000]yyyy-mm-dd")</f>
        <v/>
      </c>
      <c r="C48970" t="inlineStr">
        <is>
          <t>2033-12-07</t>
        </is>
      </c>
    </row>
    <row r="48971">
      <c r="A48971" s="1" t="n">
        <v>48970</v>
      </c>
      <c r="B48971">
        <f>TEXT(48970, "[$-0E0000]yyyy-mm-dd")</f>
        <v/>
      </c>
      <c r="C48971" t="inlineStr">
        <is>
          <t>2033-12-08</t>
        </is>
      </c>
    </row>
    <row r="48972">
      <c r="A48972" s="1" t="n">
        <v>48971</v>
      </c>
      <c r="B48972">
        <f>TEXT(48971, "[$-0E0000]yyyy-mm-dd")</f>
        <v/>
      </c>
      <c r="C48972" t="inlineStr">
        <is>
          <t>2033-12-09</t>
        </is>
      </c>
    </row>
    <row r="48973">
      <c r="A48973" s="1" t="n">
        <v>48972</v>
      </c>
      <c r="B48973">
        <f>TEXT(48972, "[$-0E0000]yyyy-mm-dd")</f>
        <v/>
      </c>
      <c r="C48973" t="inlineStr">
        <is>
          <t>2033-12-10</t>
        </is>
      </c>
    </row>
    <row r="48974">
      <c r="A48974" s="1" t="n">
        <v>48973</v>
      </c>
      <c r="B48974">
        <f>TEXT(48973, "[$-0E0000]yyyy-mm-dd")</f>
        <v/>
      </c>
      <c r="C48974" t="inlineStr">
        <is>
          <t>2033-12-11</t>
        </is>
      </c>
    </row>
    <row r="48975">
      <c r="A48975" s="1" t="n">
        <v>48974</v>
      </c>
      <c r="B48975">
        <f>TEXT(48974, "[$-0E0000]yyyy-mm-dd")</f>
        <v/>
      </c>
      <c r="C48975" t="inlineStr">
        <is>
          <t>2033-12-12</t>
        </is>
      </c>
    </row>
    <row r="48976">
      <c r="A48976" s="1" t="n">
        <v>48975</v>
      </c>
      <c r="B48976">
        <f>TEXT(48975, "[$-0E0000]yyyy-mm-dd")</f>
        <v/>
      </c>
      <c r="C48976" t="inlineStr">
        <is>
          <t>2033-12-13</t>
        </is>
      </c>
    </row>
    <row r="48977">
      <c r="A48977" s="1" t="n">
        <v>48976</v>
      </c>
      <c r="B48977">
        <f>TEXT(48976, "[$-0E0000]yyyy-mm-dd")</f>
        <v/>
      </c>
      <c r="C48977" t="inlineStr">
        <is>
          <t>2033-12-14</t>
        </is>
      </c>
    </row>
    <row r="48978">
      <c r="A48978" s="1" t="n">
        <v>48977</v>
      </c>
      <c r="B48978">
        <f>TEXT(48977, "[$-0E0000]yyyy-mm-dd")</f>
        <v/>
      </c>
      <c r="C48978" t="inlineStr">
        <is>
          <t>2033-12-15</t>
        </is>
      </c>
    </row>
    <row r="48979">
      <c r="A48979" s="1" t="n">
        <v>48978</v>
      </c>
      <c r="B48979">
        <f>TEXT(48978, "[$-0E0000]yyyy-mm-dd")</f>
        <v/>
      </c>
      <c r="C48979" t="inlineStr">
        <is>
          <t>2033-12-16</t>
        </is>
      </c>
    </row>
    <row r="48980">
      <c r="A48980" s="1" t="n">
        <v>48979</v>
      </c>
      <c r="B48980">
        <f>TEXT(48979, "[$-0E0000]yyyy-mm-dd")</f>
        <v/>
      </c>
      <c r="C48980" t="inlineStr">
        <is>
          <t>2033-12-17</t>
        </is>
      </c>
    </row>
    <row r="48981">
      <c r="A48981" s="1" t="n">
        <v>48980</v>
      </c>
      <c r="B48981">
        <f>TEXT(48980, "[$-0E0000]yyyy-mm-dd")</f>
        <v/>
      </c>
      <c r="C48981" t="inlineStr">
        <is>
          <t>2033-12-18</t>
        </is>
      </c>
    </row>
    <row r="48982">
      <c r="A48982" s="1" t="n">
        <v>48981</v>
      </c>
      <c r="B48982">
        <f>TEXT(48981, "[$-0E0000]yyyy-mm-dd")</f>
        <v/>
      </c>
      <c r="C48982" t="inlineStr">
        <is>
          <t>2033-12-19</t>
        </is>
      </c>
    </row>
    <row r="48983">
      <c r="A48983" s="1" t="n">
        <v>48982</v>
      </c>
      <c r="B48983">
        <f>TEXT(48982, "[$-0E0000]yyyy-mm-dd")</f>
        <v/>
      </c>
      <c r="C48983" t="inlineStr">
        <is>
          <t>2033-12-20</t>
        </is>
      </c>
    </row>
    <row r="48984">
      <c r="A48984" s="1" t="n">
        <v>48983</v>
      </c>
      <c r="B48984">
        <f>TEXT(48983, "[$-0E0000]yyyy-mm-dd")</f>
        <v/>
      </c>
      <c r="C48984" t="inlineStr">
        <is>
          <t>2033-12-21</t>
        </is>
      </c>
    </row>
    <row r="48985">
      <c r="A48985" s="1" t="n">
        <v>48984</v>
      </c>
      <c r="B48985">
        <f>TEXT(48984, "[$-0E0000]yyyy-mm-dd")</f>
        <v/>
      </c>
      <c r="C48985" t="inlineStr">
        <is>
          <t>2033-12-22</t>
        </is>
      </c>
    </row>
    <row r="48986">
      <c r="A48986" s="1" t="n">
        <v>48985</v>
      </c>
      <c r="B48986">
        <f>TEXT(48985, "[$-0E0000]yyyy-mm-dd")</f>
        <v/>
      </c>
      <c r="C48986" t="inlineStr">
        <is>
          <t>2033-12-23</t>
        </is>
      </c>
    </row>
    <row r="48987">
      <c r="A48987" s="1" t="n">
        <v>48986</v>
      </c>
      <c r="B48987">
        <f>TEXT(48986, "[$-0E0000]yyyy-mm-dd")</f>
        <v/>
      </c>
      <c r="C48987" t="inlineStr">
        <is>
          <t>2033-12-24</t>
        </is>
      </c>
    </row>
    <row r="48988">
      <c r="A48988" s="1" t="n">
        <v>48987</v>
      </c>
      <c r="B48988">
        <f>TEXT(48987, "[$-0E0000]yyyy-mm-dd")</f>
        <v/>
      </c>
      <c r="C48988" t="inlineStr">
        <is>
          <t>2033-12-25</t>
        </is>
      </c>
    </row>
    <row r="48989">
      <c r="A48989" s="1" t="n">
        <v>48988</v>
      </c>
      <c r="B48989">
        <f>TEXT(48988, "[$-0E0000]yyyy-mm-dd")</f>
        <v/>
      </c>
      <c r="C48989" t="inlineStr">
        <is>
          <t>2033-12-26</t>
        </is>
      </c>
    </row>
    <row r="48990">
      <c r="A48990" s="1" t="n">
        <v>48989</v>
      </c>
      <c r="B48990">
        <f>TEXT(48989, "[$-0E0000]yyyy-mm-dd")</f>
        <v/>
      </c>
      <c r="C48990" t="inlineStr">
        <is>
          <t>2033-12-27</t>
        </is>
      </c>
    </row>
    <row r="48991">
      <c r="A48991" s="1" t="n">
        <v>48990</v>
      </c>
      <c r="B48991">
        <f>TEXT(48990, "[$-0E0000]yyyy-mm-dd")</f>
        <v/>
      </c>
      <c r="C48991" t="inlineStr">
        <is>
          <t>2033-12-28</t>
        </is>
      </c>
    </row>
    <row r="48992">
      <c r="A48992" s="1" t="n">
        <v>48991</v>
      </c>
      <c r="B48992">
        <f>TEXT(48991, "[$-0E0000]yyyy-mm-dd")</f>
        <v/>
      </c>
      <c r="C48992" t="inlineStr">
        <is>
          <t>2033-12-29</t>
        </is>
      </c>
    </row>
    <row r="48993">
      <c r="A48993" s="1" t="n">
        <v>48992</v>
      </c>
      <c r="B48993">
        <f>TEXT(48992, "[$-0E0000]yyyy-mm-dd")</f>
        <v/>
      </c>
      <c r="C48993" t="inlineStr">
        <is>
          <t>2033-12-30</t>
        </is>
      </c>
    </row>
    <row r="48994">
      <c r="A48994" s="1" t="n">
        <v>48993</v>
      </c>
      <c r="B48994">
        <f>TEXT(48993, "[$-0E0000]yyyy-mm-dd")</f>
        <v/>
      </c>
      <c r="C48994" t="inlineStr">
        <is>
          <t>2034-01-01</t>
        </is>
      </c>
    </row>
    <row r="48995">
      <c r="A48995" s="1" t="n">
        <v>48994</v>
      </c>
      <c r="B48995">
        <f>TEXT(48994, "[$-0E0000]yyyy-mm-dd")</f>
        <v/>
      </c>
      <c r="C48995" t="inlineStr">
        <is>
          <t>2034-01-02</t>
        </is>
      </c>
    </row>
    <row r="48996">
      <c r="A48996" s="1" t="n">
        <v>48995</v>
      </c>
      <c r="B48996">
        <f>TEXT(48995, "[$-0E0000]yyyy-mm-dd")</f>
        <v/>
      </c>
      <c r="C48996" t="inlineStr">
        <is>
          <t>2034-01-03</t>
        </is>
      </c>
    </row>
    <row r="48997">
      <c r="A48997" s="1" t="n">
        <v>48996</v>
      </c>
      <c r="B48997">
        <f>TEXT(48996, "[$-0E0000]yyyy-mm-dd")</f>
        <v/>
      </c>
      <c r="C48997" t="inlineStr">
        <is>
          <t>2034-01-04</t>
        </is>
      </c>
    </row>
    <row r="48998">
      <c r="A48998" s="1" t="n">
        <v>48997</v>
      </c>
      <c r="B48998">
        <f>TEXT(48997, "[$-0E0000]yyyy-mm-dd")</f>
        <v/>
      </c>
      <c r="C48998" t="inlineStr">
        <is>
          <t>2034-01-05</t>
        </is>
      </c>
    </row>
    <row r="48999">
      <c r="A48999" s="1" t="n">
        <v>48998</v>
      </c>
      <c r="B48999">
        <f>TEXT(48998, "[$-0E0000]yyyy-mm-dd")</f>
        <v/>
      </c>
      <c r="C48999" t="inlineStr">
        <is>
          <t>2034-01-06</t>
        </is>
      </c>
    </row>
    <row r="49000">
      <c r="A49000" s="1" t="n">
        <v>48999</v>
      </c>
      <c r="B49000">
        <f>TEXT(48999, "[$-0E0000]yyyy-mm-dd")</f>
        <v/>
      </c>
      <c r="C49000" t="inlineStr">
        <is>
          <t>2034-01-07</t>
        </is>
      </c>
    </row>
    <row r="49001">
      <c r="A49001" s="1" t="n">
        <v>49000</v>
      </c>
      <c r="B49001">
        <f>TEXT(49000, "[$-0E0000]yyyy-mm-dd")</f>
        <v/>
      </c>
      <c r="C49001" t="inlineStr">
        <is>
          <t>2034-01-08</t>
        </is>
      </c>
    </row>
    <row r="49002">
      <c r="A49002" s="1" t="n">
        <v>49001</v>
      </c>
      <c r="B49002">
        <f>TEXT(49001, "[$-0E0000]yyyy-mm-dd")</f>
        <v/>
      </c>
      <c r="C49002" t="inlineStr">
        <is>
          <t>2034-01-09</t>
        </is>
      </c>
    </row>
    <row r="49003">
      <c r="A49003" s="1" t="n">
        <v>49002</v>
      </c>
      <c r="B49003">
        <f>TEXT(49002, "[$-0E0000]yyyy-mm-dd")</f>
        <v/>
      </c>
      <c r="C49003" t="inlineStr">
        <is>
          <t>2034-01-10</t>
        </is>
      </c>
    </row>
    <row r="49004">
      <c r="A49004" s="1" t="n">
        <v>49003</v>
      </c>
      <c r="B49004">
        <f>TEXT(49003, "[$-0E0000]yyyy-mm-dd")</f>
        <v/>
      </c>
      <c r="C49004" t="inlineStr">
        <is>
          <t>2034-01-11</t>
        </is>
      </c>
    </row>
    <row r="49005">
      <c r="A49005" s="1" t="n">
        <v>49004</v>
      </c>
      <c r="B49005">
        <f>TEXT(49004, "[$-0E0000]yyyy-mm-dd")</f>
        <v/>
      </c>
      <c r="C49005" t="inlineStr">
        <is>
          <t>2034-01-12</t>
        </is>
      </c>
    </row>
    <row r="49006">
      <c r="A49006" s="1" t="n">
        <v>49005</v>
      </c>
      <c r="B49006">
        <f>TEXT(49005, "[$-0E0000]yyyy-mm-dd")</f>
        <v/>
      </c>
      <c r="C49006" t="inlineStr">
        <is>
          <t>2034-01-13</t>
        </is>
      </c>
    </row>
    <row r="49007">
      <c r="A49007" s="1" t="n">
        <v>49006</v>
      </c>
      <c r="B49007">
        <f>TEXT(49006, "[$-0E0000]yyyy-mm-dd")</f>
        <v/>
      </c>
      <c r="C49007" t="inlineStr">
        <is>
          <t>2034-01-14</t>
        </is>
      </c>
    </row>
    <row r="49008">
      <c r="A49008" s="1" t="n">
        <v>49007</v>
      </c>
      <c r="B49008">
        <f>TEXT(49007, "[$-0E0000]yyyy-mm-dd")</f>
        <v/>
      </c>
      <c r="C49008" t="inlineStr">
        <is>
          <t>2034-01-15</t>
        </is>
      </c>
    </row>
    <row r="49009">
      <c r="A49009" s="1" t="n">
        <v>49008</v>
      </c>
      <c r="B49009">
        <f>TEXT(49008, "[$-0E0000]yyyy-mm-dd")</f>
        <v/>
      </c>
      <c r="C49009" t="inlineStr">
        <is>
          <t>2034-01-16</t>
        </is>
      </c>
    </row>
    <row r="49010">
      <c r="A49010" s="1" t="n">
        <v>49009</v>
      </c>
      <c r="B49010">
        <f>TEXT(49009, "[$-0E0000]yyyy-mm-dd")</f>
        <v/>
      </c>
      <c r="C49010" t="inlineStr">
        <is>
          <t>2034-01-17</t>
        </is>
      </c>
    </row>
    <row r="49011">
      <c r="A49011" s="1" t="n">
        <v>49010</v>
      </c>
      <c r="B49011">
        <f>TEXT(49010, "[$-0E0000]yyyy-mm-dd")</f>
        <v/>
      </c>
      <c r="C49011" t="inlineStr">
        <is>
          <t>2034-01-18</t>
        </is>
      </c>
    </row>
    <row r="49012">
      <c r="A49012" s="1" t="n">
        <v>49011</v>
      </c>
      <c r="B49012">
        <f>TEXT(49011, "[$-0E0000]yyyy-mm-dd")</f>
        <v/>
      </c>
      <c r="C49012" t="inlineStr">
        <is>
          <t>2034-01-19</t>
        </is>
      </c>
    </row>
    <row r="49013">
      <c r="A49013" s="1" t="n">
        <v>49012</v>
      </c>
      <c r="B49013">
        <f>TEXT(49012, "[$-0E0000]yyyy-mm-dd")</f>
        <v/>
      </c>
      <c r="C49013" t="inlineStr">
        <is>
          <t>2034-01-20</t>
        </is>
      </c>
    </row>
    <row r="49014">
      <c r="A49014" s="1" t="n">
        <v>49013</v>
      </c>
      <c r="B49014">
        <f>TEXT(49013, "[$-0E0000]yyyy-mm-dd")</f>
        <v/>
      </c>
      <c r="C49014" t="inlineStr">
        <is>
          <t>2034-01-21</t>
        </is>
      </c>
    </row>
    <row r="49015">
      <c r="A49015" s="1" t="n">
        <v>49014</v>
      </c>
      <c r="B49015">
        <f>TEXT(49014, "[$-0E0000]yyyy-mm-dd")</f>
        <v/>
      </c>
      <c r="C49015" t="inlineStr">
        <is>
          <t>2034-01-22</t>
        </is>
      </c>
    </row>
    <row r="49016">
      <c r="A49016" s="1" t="n">
        <v>49015</v>
      </c>
      <c r="B49016">
        <f>TEXT(49015, "[$-0E0000]yyyy-mm-dd")</f>
        <v/>
      </c>
      <c r="C49016" t="inlineStr">
        <is>
          <t>2034-01-23</t>
        </is>
      </c>
    </row>
    <row r="49017">
      <c r="A49017" s="1" t="n">
        <v>49016</v>
      </c>
      <c r="B49017">
        <f>TEXT(49016, "[$-0E0000]yyyy-mm-dd")</f>
        <v/>
      </c>
      <c r="C49017" t="inlineStr">
        <is>
          <t>2034-01-24</t>
        </is>
      </c>
    </row>
    <row r="49018">
      <c r="A49018" s="1" t="n">
        <v>49017</v>
      </c>
      <c r="B49018">
        <f>TEXT(49017, "[$-0E0000]yyyy-mm-dd")</f>
        <v/>
      </c>
      <c r="C49018" t="inlineStr">
        <is>
          <t>2034-01-25</t>
        </is>
      </c>
    </row>
    <row r="49019">
      <c r="A49019" s="1" t="n">
        <v>49018</v>
      </c>
      <c r="B49019">
        <f>TEXT(49018, "[$-0E0000]yyyy-mm-dd")</f>
        <v/>
      </c>
      <c r="C49019" t="inlineStr">
        <is>
          <t>2034-01-26</t>
        </is>
      </c>
    </row>
    <row r="49020">
      <c r="A49020" s="1" t="n">
        <v>49019</v>
      </c>
      <c r="B49020">
        <f>TEXT(49019, "[$-0E0000]yyyy-mm-dd")</f>
        <v/>
      </c>
      <c r="C49020" t="inlineStr">
        <is>
          <t>2034-01-27</t>
        </is>
      </c>
    </row>
    <row r="49021">
      <c r="A49021" s="1" t="n">
        <v>49020</v>
      </c>
      <c r="B49021">
        <f>TEXT(49020, "[$-0E0000]yyyy-mm-dd")</f>
        <v/>
      </c>
      <c r="C49021" t="inlineStr">
        <is>
          <t>2034-01-28</t>
        </is>
      </c>
    </row>
    <row r="49022">
      <c r="A49022" s="1" t="n">
        <v>49021</v>
      </c>
      <c r="B49022">
        <f>TEXT(49021, "[$-0E0000]yyyy-mm-dd")</f>
        <v/>
      </c>
      <c r="C49022" t="inlineStr">
        <is>
          <t>2034-01-29</t>
        </is>
      </c>
    </row>
    <row r="49023">
      <c r="A49023" s="1" t="n">
        <v>49022</v>
      </c>
      <c r="B49023">
        <f>TEXT(49022, "[$-0E0000]yyyy-mm-dd")</f>
        <v/>
      </c>
      <c r="C49023" t="inlineStr">
        <is>
          <t>2034-02-01</t>
        </is>
      </c>
    </row>
    <row r="49024">
      <c r="A49024" s="1" t="n">
        <v>49023</v>
      </c>
      <c r="B49024">
        <f>TEXT(49023, "[$-0E0000]yyyy-mm-dd")</f>
        <v/>
      </c>
      <c r="C49024" t="inlineStr">
        <is>
          <t>2034-02-02</t>
        </is>
      </c>
    </row>
    <row r="49025">
      <c r="A49025" s="1" t="n">
        <v>49024</v>
      </c>
      <c r="B49025">
        <f>TEXT(49024, "[$-0E0000]yyyy-mm-dd")</f>
        <v/>
      </c>
      <c r="C49025" t="inlineStr">
        <is>
          <t>2034-02-03</t>
        </is>
      </c>
    </row>
    <row r="49026">
      <c r="A49026" s="1" t="n">
        <v>49025</v>
      </c>
      <c r="B49026">
        <f>TEXT(49025, "[$-0E0000]yyyy-mm-dd")</f>
        <v/>
      </c>
      <c r="C49026" t="inlineStr">
        <is>
          <t>2034-02-04</t>
        </is>
      </c>
    </row>
    <row r="49027">
      <c r="A49027" s="1" t="n">
        <v>49026</v>
      </c>
      <c r="B49027">
        <f>TEXT(49026, "[$-0E0000]yyyy-mm-dd")</f>
        <v/>
      </c>
      <c r="C49027" t="inlineStr">
        <is>
          <t>2034-02-05</t>
        </is>
      </c>
    </row>
    <row r="49028">
      <c r="A49028" s="1" t="n">
        <v>49027</v>
      </c>
      <c r="B49028">
        <f>TEXT(49027, "[$-0E0000]yyyy-mm-dd")</f>
        <v/>
      </c>
      <c r="C49028" t="inlineStr">
        <is>
          <t>2034-02-06</t>
        </is>
      </c>
    </row>
    <row r="49029">
      <c r="A49029" s="1" t="n">
        <v>49028</v>
      </c>
      <c r="B49029">
        <f>TEXT(49028, "[$-0E0000]yyyy-mm-dd")</f>
        <v/>
      </c>
      <c r="C49029" t="inlineStr">
        <is>
          <t>2034-02-07</t>
        </is>
      </c>
    </row>
    <row r="49030">
      <c r="A49030" s="1" t="n">
        <v>49029</v>
      </c>
      <c r="B49030">
        <f>TEXT(49029, "[$-0E0000]yyyy-mm-dd")</f>
        <v/>
      </c>
      <c r="C49030" t="inlineStr">
        <is>
          <t>2034-02-08</t>
        </is>
      </c>
    </row>
    <row r="49031">
      <c r="A49031" s="1" t="n">
        <v>49030</v>
      </c>
      <c r="B49031">
        <f>TEXT(49030, "[$-0E0000]yyyy-mm-dd")</f>
        <v/>
      </c>
      <c r="C49031" t="inlineStr">
        <is>
          <t>2034-02-09</t>
        </is>
      </c>
    </row>
    <row r="49032">
      <c r="A49032" s="1" t="n">
        <v>49031</v>
      </c>
      <c r="B49032">
        <f>TEXT(49031, "[$-0E0000]yyyy-mm-dd")</f>
        <v/>
      </c>
      <c r="C49032" t="inlineStr">
        <is>
          <t>2034-02-10</t>
        </is>
      </c>
    </row>
    <row r="49033">
      <c r="A49033" s="1" t="n">
        <v>49032</v>
      </c>
      <c r="B49033">
        <f>TEXT(49032, "[$-0E0000]yyyy-mm-dd")</f>
        <v/>
      </c>
      <c r="C49033" t="inlineStr">
        <is>
          <t>2034-02-11</t>
        </is>
      </c>
    </row>
    <row r="49034">
      <c r="A49034" s="1" t="n">
        <v>49033</v>
      </c>
      <c r="B49034">
        <f>TEXT(49033, "[$-0E0000]yyyy-mm-dd")</f>
        <v/>
      </c>
      <c r="C49034" t="inlineStr">
        <is>
          <t>2034-02-12</t>
        </is>
      </c>
    </row>
    <row r="49035">
      <c r="A49035" s="1" t="n">
        <v>49034</v>
      </c>
      <c r="B49035">
        <f>TEXT(49034, "[$-0E0000]yyyy-mm-dd")</f>
        <v/>
      </c>
      <c r="C49035" t="inlineStr">
        <is>
          <t>2034-02-13</t>
        </is>
      </c>
    </row>
    <row r="49036">
      <c r="A49036" s="1" t="n">
        <v>49035</v>
      </c>
      <c r="B49036">
        <f>TEXT(49035, "[$-0E0000]yyyy-mm-dd")</f>
        <v/>
      </c>
      <c r="C49036" t="inlineStr">
        <is>
          <t>2034-02-14</t>
        </is>
      </c>
    </row>
    <row r="49037">
      <c r="A49037" s="1" t="n">
        <v>49036</v>
      </c>
      <c r="B49037">
        <f>TEXT(49036, "[$-0E0000]yyyy-mm-dd")</f>
        <v/>
      </c>
      <c r="C49037" t="inlineStr">
        <is>
          <t>2034-02-15</t>
        </is>
      </c>
    </row>
    <row r="49038">
      <c r="A49038" s="1" t="n">
        <v>49037</v>
      </c>
      <c r="B49038">
        <f>TEXT(49037, "[$-0E0000]yyyy-mm-dd")</f>
        <v/>
      </c>
      <c r="C49038" t="inlineStr">
        <is>
          <t>2034-02-16</t>
        </is>
      </c>
    </row>
    <row r="49039">
      <c r="A49039" s="1" t="n">
        <v>49038</v>
      </c>
      <c r="B49039">
        <f>TEXT(49038, "[$-0E0000]yyyy-mm-dd")</f>
        <v/>
      </c>
      <c r="C49039" t="inlineStr">
        <is>
          <t>2034-02-17</t>
        </is>
      </c>
    </row>
    <row r="49040">
      <c r="A49040" s="1" t="n">
        <v>49039</v>
      </c>
      <c r="B49040">
        <f>TEXT(49039, "[$-0E0000]yyyy-mm-dd")</f>
        <v/>
      </c>
      <c r="C49040" t="inlineStr">
        <is>
          <t>2034-02-18</t>
        </is>
      </c>
    </row>
    <row r="49041">
      <c r="A49041" s="1" t="n">
        <v>49040</v>
      </c>
      <c r="B49041">
        <f>TEXT(49040, "[$-0E0000]yyyy-mm-dd")</f>
        <v/>
      </c>
      <c r="C49041" t="inlineStr">
        <is>
          <t>2034-02-19</t>
        </is>
      </c>
    </row>
    <row r="49042">
      <c r="A49042" s="1" t="n">
        <v>49041</v>
      </c>
      <c r="B49042">
        <f>TEXT(49041, "[$-0E0000]yyyy-mm-dd")</f>
        <v/>
      </c>
      <c r="C49042" t="inlineStr">
        <is>
          <t>2034-02-20</t>
        </is>
      </c>
    </row>
    <row r="49043">
      <c r="A49043" s="1" t="n">
        <v>49042</v>
      </c>
      <c r="B49043">
        <f>TEXT(49042, "[$-0E0000]yyyy-mm-dd")</f>
        <v/>
      </c>
      <c r="C49043" t="inlineStr">
        <is>
          <t>2034-02-21</t>
        </is>
      </c>
    </row>
    <row r="49044">
      <c r="A49044" s="1" t="n">
        <v>49043</v>
      </c>
      <c r="B49044">
        <f>TEXT(49043, "[$-0E0000]yyyy-mm-dd")</f>
        <v/>
      </c>
      <c r="C49044" t="inlineStr">
        <is>
          <t>2034-02-22</t>
        </is>
      </c>
    </row>
    <row r="49045">
      <c r="A49045" s="1" t="n">
        <v>49044</v>
      </c>
      <c r="B49045">
        <f>TEXT(49044, "[$-0E0000]yyyy-mm-dd")</f>
        <v/>
      </c>
      <c r="C49045" t="inlineStr">
        <is>
          <t>2034-02-23</t>
        </is>
      </c>
    </row>
    <row r="49046">
      <c r="A49046" s="1" t="n">
        <v>49045</v>
      </c>
      <c r="B49046">
        <f>TEXT(49045, "[$-0E0000]yyyy-mm-dd")</f>
        <v/>
      </c>
      <c r="C49046" t="inlineStr">
        <is>
          <t>2034-02-24</t>
        </is>
      </c>
    </row>
    <row r="49047">
      <c r="A49047" s="1" t="n">
        <v>49046</v>
      </c>
      <c r="B49047">
        <f>TEXT(49046, "[$-0E0000]yyyy-mm-dd")</f>
        <v/>
      </c>
      <c r="C49047" t="inlineStr">
        <is>
          <t>2034-02-25</t>
        </is>
      </c>
    </row>
    <row r="49048">
      <c r="A49048" s="1" t="n">
        <v>49047</v>
      </c>
      <c r="B49048">
        <f>TEXT(49047, "[$-0E0000]yyyy-mm-dd")</f>
        <v/>
      </c>
      <c r="C49048" t="inlineStr">
        <is>
          <t>2034-02-26</t>
        </is>
      </c>
    </row>
    <row r="49049">
      <c r="A49049" s="1" t="n">
        <v>49048</v>
      </c>
      <c r="B49049">
        <f>TEXT(49048, "[$-0E0000]yyyy-mm-dd")</f>
        <v/>
      </c>
      <c r="C49049" t="inlineStr">
        <is>
          <t>2034-02-27</t>
        </is>
      </c>
    </row>
    <row r="49050">
      <c r="A49050" s="1" t="n">
        <v>49049</v>
      </c>
      <c r="B49050">
        <f>TEXT(49049, "[$-0E0000]yyyy-mm-dd")</f>
        <v/>
      </c>
      <c r="C49050" t="inlineStr">
        <is>
          <t>2034-02-28</t>
        </is>
      </c>
    </row>
    <row r="49051">
      <c r="A49051" s="1" t="n">
        <v>49050</v>
      </c>
      <c r="B49051">
        <f>TEXT(49050, "[$-0E0000]yyyy-mm-dd")</f>
        <v/>
      </c>
      <c r="C49051" t="inlineStr">
        <is>
          <t>2034-02-29</t>
        </is>
      </c>
    </row>
    <row r="49052">
      <c r="A49052" s="1" t="n">
        <v>49051</v>
      </c>
      <c r="B49052">
        <f>TEXT(49051, "[$-0E0000]yyyy-mm-dd")</f>
        <v/>
      </c>
      <c r="C49052" t="inlineStr">
        <is>
          <t>2034-02-30</t>
        </is>
      </c>
    </row>
    <row r="49053">
      <c r="A49053" s="1" t="n">
        <v>49052</v>
      </c>
      <c r="B49053">
        <f>TEXT(49052, "[$-0E0000]yyyy-mm-dd")</f>
        <v/>
      </c>
      <c r="C49053" t="inlineStr">
        <is>
          <t>2034-03-01</t>
        </is>
      </c>
    </row>
    <row r="49054">
      <c r="A49054" s="1" t="n">
        <v>49053</v>
      </c>
      <c r="B49054">
        <f>TEXT(49053, "[$-0E0000]yyyy-mm-dd")</f>
        <v/>
      </c>
      <c r="C49054" t="inlineStr">
        <is>
          <t>2034-03-02</t>
        </is>
      </c>
    </row>
    <row r="49055">
      <c r="A49055" s="1" t="n">
        <v>49054</v>
      </c>
      <c r="B49055">
        <f>TEXT(49054, "[$-0E0000]yyyy-mm-dd")</f>
        <v/>
      </c>
      <c r="C49055" t="inlineStr">
        <is>
          <t>2034-03-03</t>
        </is>
      </c>
    </row>
    <row r="49056">
      <c r="A49056" s="1" t="n">
        <v>49055</v>
      </c>
      <c r="B49056">
        <f>TEXT(49055, "[$-0E0000]yyyy-mm-dd")</f>
        <v/>
      </c>
      <c r="C49056" t="inlineStr">
        <is>
          <t>2034-03-04</t>
        </is>
      </c>
    </row>
    <row r="49057">
      <c r="A49057" s="1" t="n">
        <v>49056</v>
      </c>
      <c r="B49057">
        <f>TEXT(49056, "[$-0E0000]yyyy-mm-dd")</f>
        <v/>
      </c>
      <c r="C49057" t="inlineStr">
        <is>
          <t>2034-03-05</t>
        </is>
      </c>
    </row>
    <row r="49058">
      <c r="A49058" s="1" t="n">
        <v>49057</v>
      </c>
      <c r="B49058">
        <f>TEXT(49057, "[$-0E0000]yyyy-mm-dd")</f>
        <v/>
      </c>
      <c r="C49058" t="inlineStr">
        <is>
          <t>2034-03-06</t>
        </is>
      </c>
    </row>
    <row r="49059">
      <c r="A49059" s="1" t="n">
        <v>49058</v>
      </c>
      <c r="B49059">
        <f>TEXT(49058, "[$-0E0000]yyyy-mm-dd")</f>
        <v/>
      </c>
      <c r="C49059" t="inlineStr">
        <is>
          <t>2034-03-07</t>
        </is>
      </c>
    </row>
    <row r="49060">
      <c r="A49060" s="1" t="n">
        <v>49059</v>
      </c>
      <c r="B49060">
        <f>TEXT(49059, "[$-0E0000]yyyy-mm-dd")</f>
        <v/>
      </c>
      <c r="C49060" t="inlineStr">
        <is>
          <t>2034-03-08</t>
        </is>
      </c>
    </row>
    <row r="49061">
      <c r="A49061" s="1" t="n">
        <v>49060</v>
      </c>
      <c r="B49061">
        <f>TEXT(49060, "[$-0E0000]yyyy-mm-dd")</f>
        <v/>
      </c>
      <c r="C49061" t="inlineStr">
        <is>
          <t>2034-03-09</t>
        </is>
      </c>
    </row>
    <row r="49062">
      <c r="A49062" s="1" t="n">
        <v>49061</v>
      </c>
      <c r="B49062">
        <f>TEXT(49061, "[$-0E0000]yyyy-mm-dd")</f>
        <v/>
      </c>
      <c r="C49062" t="inlineStr">
        <is>
          <t>2034-03-10</t>
        </is>
      </c>
    </row>
    <row r="49063">
      <c r="A49063" s="1" t="n">
        <v>49062</v>
      </c>
      <c r="B49063">
        <f>TEXT(49062, "[$-0E0000]yyyy-mm-dd")</f>
        <v/>
      </c>
      <c r="C49063" t="inlineStr">
        <is>
          <t>2034-03-11</t>
        </is>
      </c>
    </row>
    <row r="49064">
      <c r="A49064" s="1" t="n">
        <v>49063</v>
      </c>
      <c r="B49064">
        <f>TEXT(49063, "[$-0E0000]yyyy-mm-dd")</f>
        <v/>
      </c>
      <c r="C49064" t="inlineStr">
        <is>
          <t>2034-03-12</t>
        </is>
      </c>
    </row>
    <row r="49065">
      <c r="A49065" s="1" t="n">
        <v>49064</v>
      </c>
      <c r="B49065">
        <f>TEXT(49064, "[$-0E0000]yyyy-mm-dd")</f>
        <v/>
      </c>
      <c r="C49065" t="inlineStr">
        <is>
          <t>2034-03-13</t>
        </is>
      </c>
    </row>
    <row r="49066">
      <c r="A49066" s="1" t="n">
        <v>49065</v>
      </c>
      <c r="B49066">
        <f>TEXT(49065, "[$-0E0000]yyyy-mm-dd")</f>
        <v/>
      </c>
      <c r="C49066" t="inlineStr">
        <is>
          <t>2034-03-14</t>
        </is>
      </c>
    </row>
    <row r="49067">
      <c r="A49067" s="1" t="n">
        <v>49066</v>
      </c>
      <c r="B49067">
        <f>TEXT(49066, "[$-0E0000]yyyy-mm-dd")</f>
        <v/>
      </c>
      <c r="C49067" t="inlineStr">
        <is>
          <t>2034-03-15</t>
        </is>
      </c>
    </row>
    <row r="49068">
      <c r="A49068" s="1" t="n">
        <v>49067</v>
      </c>
      <c r="B49068">
        <f>TEXT(49067, "[$-0E0000]yyyy-mm-dd")</f>
        <v/>
      </c>
      <c r="C49068" t="inlineStr">
        <is>
          <t>2034-03-16</t>
        </is>
      </c>
    </row>
    <row r="49069">
      <c r="A49069" s="1" t="n">
        <v>49068</v>
      </c>
      <c r="B49069">
        <f>TEXT(49068, "[$-0E0000]yyyy-mm-dd")</f>
        <v/>
      </c>
      <c r="C49069" t="inlineStr">
        <is>
          <t>2034-03-17</t>
        </is>
      </c>
    </row>
    <row r="49070">
      <c r="A49070" s="1" t="n">
        <v>49069</v>
      </c>
      <c r="B49070">
        <f>TEXT(49069, "[$-0E0000]yyyy-mm-dd")</f>
        <v/>
      </c>
      <c r="C49070" t="inlineStr">
        <is>
          <t>2034-03-18</t>
        </is>
      </c>
    </row>
    <row r="49071">
      <c r="A49071" s="1" t="n">
        <v>49070</v>
      </c>
      <c r="B49071">
        <f>TEXT(49070, "[$-0E0000]yyyy-mm-dd")</f>
        <v/>
      </c>
      <c r="C49071" t="inlineStr">
        <is>
          <t>2034-03-19</t>
        </is>
      </c>
    </row>
    <row r="49072">
      <c r="A49072" s="1" t="n">
        <v>49071</v>
      </c>
      <c r="B49072">
        <f>TEXT(49071, "[$-0E0000]yyyy-mm-dd")</f>
        <v/>
      </c>
      <c r="C49072" t="inlineStr">
        <is>
          <t>2034-03-20</t>
        </is>
      </c>
    </row>
    <row r="49073">
      <c r="A49073" s="1" t="n">
        <v>49072</v>
      </c>
      <c r="B49073">
        <f>TEXT(49072, "[$-0E0000]yyyy-mm-dd")</f>
        <v/>
      </c>
      <c r="C49073" t="inlineStr">
        <is>
          <t>2034-03-21</t>
        </is>
      </c>
    </row>
    <row r="49074">
      <c r="A49074" s="1" t="n">
        <v>49073</v>
      </c>
      <c r="B49074">
        <f>TEXT(49073, "[$-0E0000]yyyy-mm-dd")</f>
        <v/>
      </c>
      <c r="C49074" t="inlineStr">
        <is>
          <t>2034-03-22</t>
        </is>
      </c>
    </row>
    <row r="49075">
      <c r="A49075" s="1" t="n">
        <v>49074</v>
      </c>
      <c r="B49075">
        <f>TEXT(49074, "[$-0E0000]yyyy-mm-dd")</f>
        <v/>
      </c>
      <c r="C49075" t="inlineStr">
        <is>
          <t>2034-03-23</t>
        </is>
      </c>
    </row>
    <row r="49076">
      <c r="A49076" s="1" t="n">
        <v>49075</v>
      </c>
      <c r="B49076">
        <f>TEXT(49075, "[$-0E0000]yyyy-mm-dd")</f>
        <v/>
      </c>
      <c r="C49076" t="inlineStr">
        <is>
          <t>2034-03-24</t>
        </is>
      </c>
    </row>
    <row r="49077">
      <c r="A49077" s="1" t="n">
        <v>49076</v>
      </c>
      <c r="B49077">
        <f>TEXT(49076, "[$-0E0000]yyyy-mm-dd")</f>
        <v/>
      </c>
      <c r="C49077" t="inlineStr">
        <is>
          <t>2034-03-25</t>
        </is>
      </c>
    </row>
    <row r="49078">
      <c r="A49078" s="1" t="n">
        <v>49077</v>
      </c>
      <c r="B49078">
        <f>TEXT(49077, "[$-0E0000]yyyy-mm-dd")</f>
        <v/>
      </c>
      <c r="C49078" t="inlineStr">
        <is>
          <t>2034-03-26</t>
        </is>
      </c>
    </row>
    <row r="49079">
      <c r="A49079" s="1" t="n">
        <v>49078</v>
      </c>
      <c r="B49079">
        <f>TEXT(49078, "[$-0E0000]yyyy-mm-dd")</f>
        <v/>
      </c>
      <c r="C49079" t="inlineStr">
        <is>
          <t>2034-03-27</t>
        </is>
      </c>
    </row>
    <row r="49080">
      <c r="A49080" s="1" t="n">
        <v>49079</v>
      </c>
      <c r="B49080">
        <f>TEXT(49079, "[$-0E0000]yyyy-mm-dd")</f>
        <v/>
      </c>
      <c r="C49080" t="inlineStr">
        <is>
          <t>2034-03-28</t>
        </is>
      </c>
    </row>
    <row r="49081">
      <c r="A49081" s="1" t="n">
        <v>49080</v>
      </c>
      <c r="B49081">
        <f>TEXT(49080, "[$-0E0000]yyyy-mm-dd")</f>
        <v/>
      </c>
      <c r="C49081" t="inlineStr">
        <is>
          <t>2034-03-29</t>
        </is>
      </c>
    </row>
    <row r="49082">
      <c r="A49082" s="1" t="n">
        <v>49081</v>
      </c>
      <c r="B49082">
        <f>TEXT(49081, "[$-0E0000]yyyy-mm-dd")</f>
        <v/>
      </c>
      <c r="C49082" t="inlineStr">
        <is>
          <t>2034-04-01</t>
        </is>
      </c>
    </row>
    <row r="49083">
      <c r="A49083" s="1" t="n">
        <v>49082</v>
      </c>
      <c r="B49083">
        <f>TEXT(49082, "[$-0E0000]yyyy-mm-dd")</f>
        <v/>
      </c>
      <c r="C49083" t="inlineStr">
        <is>
          <t>2034-04-02</t>
        </is>
      </c>
    </row>
    <row r="49084">
      <c r="A49084" s="1" t="n">
        <v>49083</v>
      </c>
      <c r="B49084">
        <f>TEXT(49083, "[$-0E0000]yyyy-mm-dd")</f>
        <v/>
      </c>
      <c r="C49084" t="inlineStr">
        <is>
          <t>2034-04-03</t>
        </is>
      </c>
    </row>
    <row r="49085">
      <c r="A49085" s="1" t="n">
        <v>49084</v>
      </c>
      <c r="B49085">
        <f>TEXT(49084, "[$-0E0000]yyyy-mm-dd")</f>
        <v/>
      </c>
      <c r="C49085" t="inlineStr">
        <is>
          <t>2034-04-04</t>
        </is>
      </c>
    </row>
    <row r="49086">
      <c r="A49086" s="1" t="n">
        <v>49085</v>
      </c>
      <c r="B49086">
        <f>TEXT(49085, "[$-0E0000]yyyy-mm-dd")</f>
        <v/>
      </c>
      <c r="C49086" t="inlineStr">
        <is>
          <t>2034-04-05</t>
        </is>
      </c>
    </row>
    <row r="49087">
      <c r="A49087" s="1" t="n">
        <v>49086</v>
      </c>
      <c r="B49087">
        <f>TEXT(49086, "[$-0E0000]yyyy-mm-dd")</f>
        <v/>
      </c>
      <c r="C49087" t="inlineStr">
        <is>
          <t>2034-04-06</t>
        </is>
      </c>
    </row>
    <row r="49088">
      <c r="A49088" s="1" t="n">
        <v>49087</v>
      </c>
      <c r="B49088">
        <f>TEXT(49087, "[$-0E0000]yyyy-mm-dd")</f>
        <v/>
      </c>
      <c r="C49088" t="inlineStr">
        <is>
          <t>2034-04-07</t>
        </is>
      </c>
    </row>
    <row r="49089">
      <c r="A49089" s="1" t="n">
        <v>49088</v>
      </c>
      <c r="B49089">
        <f>TEXT(49088, "[$-0E0000]yyyy-mm-dd")</f>
        <v/>
      </c>
      <c r="C49089" t="inlineStr">
        <is>
          <t>2034-04-08</t>
        </is>
      </c>
    </row>
    <row r="49090">
      <c r="A49090" s="1" t="n">
        <v>49089</v>
      </c>
      <c r="B49090">
        <f>TEXT(49089, "[$-0E0000]yyyy-mm-dd")</f>
        <v/>
      </c>
      <c r="C49090" t="inlineStr">
        <is>
          <t>2034-04-09</t>
        </is>
      </c>
    </row>
    <row r="49091">
      <c r="A49091" s="1" t="n">
        <v>49090</v>
      </c>
      <c r="B49091">
        <f>TEXT(49090, "[$-0E0000]yyyy-mm-dd")</f>
        <v/>
      </c>
      <c r="C49091" t="inlineStr">
        <is>
          <t>2034-04-10</t>
        </is>
      </c>
    </row>
    <row r="49092">
      <c r="A49092" s="1" t="n">
        <v>49091</v>
      </c>
      <c r="B49092">
        <f>TEXT(49091, "[$-0E0000]yyyy-mm-dd")</f>
        <v/>
      </c>
      <c r="C49092" t="inlineStr">
        <is>
          <t>2034-04-11</t>
        </is>
      </c>
    </row>
    <row r="49093">
      <c r="A49093" s="1" t="n">
        <v>49092</v>
      </c>
      <c r="B49093">
        <f>TEXT(49092, "[$-0E0000]yyyy-mm-dd")</f>
        <v/>
      </c>
      <c r="C49093" t="inlineStr">
        <is>
          <t>2034-04-12</t>
        </is>
      </c>
    </row>
    <row r="49094">
      <c r="A49094" s="1" t="n">
        <v>49093</v>
      </c>
      <c r="B49094">
        <f>TEXT(49093, "[$-0E0000]yyyy-mm-dd")</f>
        <v/>
      </c>
      <c r="C49094" t="inlineStr">
        <is>
          <t>2034-04-13</t>
        </is>
      </c>
    </row>
    <row r="49095">
      <c r="A49095" s="1" t="n">
        <v>49094</v>
      </c>
      <c r="B49095">
        <f>TEXT(49094, "[$-0E0000]yyyy-mm-dd")</f>
        <v/>
      </c>
      <c r="C49095" t="inlineStr">
        <is>
          <t>2034-04-14</t>
        </is>
      </c>
    </row>
    <row r="49096">
      <c r="A49096" s="1" t="n">
        <v>49095</v>
      </c>
      <c r="B49096">
        <f>TEXT(49095, "[$-0E0000]yyyy-mm-dd")</f>
        <v/>
      </c>
      <c r="C49096" t="inlineStr">
        <is>
          <t>2034-04-15</t>
        </is>
      </c>
    </row>
    <row r="49097">
      <c r="A49097" s="1" t="n">
        <v>49096</v>
      </c>
      <c r="B49097">
        <f>TEXT(49096, "[$-0E0000]yyyy-mm-dd")</f>
        <v/>
      </c>
      <c r="C49097" t="inlineStr">
        <is>
          <t>2034-04-16</t>
        </is>
      </c>
    </row>
    <row r="49098">
      <c r="A49098" s="1" t="n">
        <v>49097</v>
      </c>
      <c r="B49098">
        <f>TEXT(49097, "[$-0E0000]yyyy-mm-dd")</f>
        <v/>
      </c>
      <c r="C49098" t="inlineStr">
        <is>
          <t>2034-04-17</t>
        </is>
      </c>
    </row>
    <row r="49099">
      <c r="A49099" s="1" t="n">
        <v>49098</v>
      </c>
      <c r="B49099">
        <f>TEXT(49098, "[$-0E0000]yyyy-mm-dd")</f>
        <v/>
      </c>
      <c r="C49099" t="inlineStr">
        <is>
          <t>2034-04-18</t>
        </is>
      </c>
    </row>
    <row r="49100">
      <c r="A49100" s="1" t="n">
        <v>49099</v>
      </c>
      <c r="B49100">
        <f>TEXT(49099, "[$-0E0000]yyyy-mm-dd")</f>
        <v/>
      </c>
      <c r="C49100" t="inlineStr">
        <is>
          <t>2034-04-19</t>
        </is>
      </c>
    </row>
    <row r="49101">
      <c r="A49101" s="1" t="n">
        <v>49100</v>
      </c>
      <c r="B49101">
        <f>TEXT(49100, "[$-0E0000]yyyy-mm-dd")</f>
        <v/>
      </c>
      <c r="C49101" t="inlineStr">
        <is>
          <t>2034-04-20</t>
        </is>
      </c>
    </row>
    <row r="49102">
      <c r="A49102" s="1" t="n">
        <v>49101</v>
      </c>
      <c r="B49102">
        <f>TEXT(49101, "[$-0E0000]yyyy-mm-dd")</f>
        <v/>
      </c>
      <c r="C49102" t="inlineStr">
        <is>
          <t>2034-04-21</t>
        </is>
      </c>
    </row>
    <row r="49103">
      <c r="A49103" s="1" t="n">
        <v>49102</v>
      </c>
      <c r="B49103">
        <f>TEXT(49102, "[$-0E0000]yyyy-mm-dd")</f>
        <v/>
      </c>
      <c r="C49103" t="inlineStr">
        <is>
          <t>2034-04-22</t>
        </is>
      </c>
    </row>
    <row r="49104">
      <c r="A49104" s="1" t="n">
        <v>49103</v>
      </c>
      <c r="B49104">
        <f>TEXT(49103, "[$-0E0000]yyyy-mm-dd")</f>
        <v/>
      </c>
      <c r="C49104" t="inlineStr">
        <is>
          <t>2034-04-23</t>
        </is>
      </c>
    </row>
    <row r="49105">
      <c r="A49105" s="1" t="n">
        <v>49104</v>
      </c>
      <c r="B49105">
        <f>TEXT(49104, "[$-0E0000]yyyy-mm-dd")</f>
        <v/>
      </c>
      <c r="C49105" t="inlineStr">
        <is>
          <t>2034-04-24</t>
        </is>
      </c>
    </row>
    <row r="49106">
      <c r="A49106" s="1" t="n">
        <v>49105</v>
      </c>
      <c r="B49106">
        <f>TEXT(49105, "[$-0E0000]yyyy-mm-dd")</f>
        <v/>
      </c>
      <c r="C49106" t="inlineStr">
        <is>
          <t>2034-04-25</t>
        </is>
      </c>
    </row>
    <row r="49107">
      <c r="A49107" s="1" t="n">
        <v>49106</v>
      </c>
      <c r="B49107">
        <f>TEXT(49106, "[$-0E0000]yyyy-mm-dd")</f>
        <v/>
      </c>
      <c r="C49107" t="inlineStr">
        <is>
          <t>2034-04-26</t>
        </is>
      </c>
    </row>
    <row r="49108">
      <c r="A49108" s="1" t="n">
        <v>49107</v>
      </c>
      <c r="B49108">
        <f>TEXT(49107, "[$-0E0000]yyyy-mm-dd")</f>
        <v/>
      </c>
      <c r="C49108" t="inlineStr">
        <is>
          <t>2034-04-27</t>
        </is>
      </c>
    </row>
    <row r="49109">
      <c r="A49109" s="1" t="n">
        <v>49108</v>
      </c>
      <c r="B49109">
        <f>TEXT(49108, "[$-0E0000]yyyy-mm-dd")</f>
        <v/>
      </c>
      <c r="C49109" t="inlineStr">
        <is>
          <t>2034-04-28</t>
        </is>
      </c>
    </row>
    <row r="49110">
      <c r="A49110" s="1" t="n">
        <v>49109</v>
      </c>
      <c r="B49110">
        <f>TEXT(49109, "[$-0E0000]yyyy-mm-dd")</f>
        <v/>
      </c>
      <c r="C49110" t="inlineStr">
        <is>
          <t>2034-04-29</t>
        </is>
      </c>
    </row>
    <row r="49111">
      <c r="A49111" s="1" t="n">
        <v>49110</v>
      </c>
      <c r="B49111">
        <f>TEXT(49110, "[$-0E0000]yyyy-mm-dd")</f>
        <v/>
      </c>
      <c r="C49111" t="inlineStr">
        <is>
          <t>2034-05-01</t>
        </is>
      </c>
    </row>
    <row r="49112">
      <c r="A49112" s="1" t="n">
        <v>49111</v>
      </c>
      <c r="B49112">
        <f>TEXT(49111, "[$-0E0000]yyyy-mm-dd")</f>
        <v/>
      </c>
      <c r="C49112" t="inlineStr">
        <is>
          <t>2034-05-02</t>
        </is>
      </c>
    </row>
    <row r="49113">
      <c r="A49113" s="1" t="n">
        <v>49112</v>
      </c>
      <c r="B49113">
        <f>TEXT(49112, "[$-0E0000]yyyy-mm-dd")</f>
        <v/>
      </c>
      <c r="C49113" t="inlineStr">
        <is>
          <t>2034-05-03</t>
        </is>
      </c>
    </row>
    <row r="49114">
      <c r="A49114" s="1" t="n">
        <v>49113</v>
      </c>
      <c r="B49114">
        <f>TEXT(49113, "[$-0E0000]yyyy-mm-dd")</f>
        <v/>
      </c>
      <c r="C49114" t="inlineStr">
        <is>
          <t>2034-05-04</t>
        </is>
      </c>
    </row>
    <row r="49115">
      <c r="A49115" s="1" t="n">
        <v>49114</v>
      </c>
      <c r="B49115">
        <f>TEXT(49114, "[$-0E0000]yyyy-mm-dd")</f>
        <v/>
      </c>
      <c r="C49115" t="inlineStr">
        <is>
          <t>2034-05-05</t>
        </is>
      </c>
    </row>
    <row r="49116">
      <c r="A49116" s="1" t="n">
        <v>49115</v>
      </c>
      <c r="B49116">
        <f>TEXT(49115, "[$-0E0000]yyyy-mm-dd")</f>
        <v/>
      </c>
      <c r="C49116" t="inlineStr">
        <is>
          <t>2034-05-06</t>
        </is>
      </c>
    </row>
    <row r="49117">
      <c r="A49117" s="1" t="n">
        <v>49116</v>
      </c>
      <c r="B49117">
        <f>TEXT(49116, "[$-0E0000]yyyy-mm-dd")</f>
        <v/>
      </c>
      <c r="C49117" t="inlineStr">
        <is>
          <t>2034-05-07</t>
        </is>
      </c>
    </row>
    <row r="49118">
      <c r="A49118" s="1" t="n">
        <v>49117</v>
      </c>
      <c r="B49118">
        <f>TEXT(49117, "[$-0E0000]yyyy-mm-dd")</f>
        <v/>
      </c>
      <c r="C49118" t="inlineStr">
        <is>
          <t>2034-05-08</t>
        </is>
      </c>
    </row>
    <row r="49119">
      <c r="A49119" s="1" t="n">
        <v>49118</v>
      </c>
      <c r="B49119">
        <f>TEXT(49118, "[$-0E0000]yyyy-mm-dd")</f>
        <v/>
      </c>
      <c r="C49119" t="inlineStr">
        <is>
          <t>2034-05-09</t>
        </is>
      </c>
    </row>
    <row r="49120">
      <c r="A49120" s="1" t="n">
        <v>49119</v>
      </c>
      <c r="B49120">
        <f>TEXT(49119, "[$-0E0000]yyyy-mm-dd")</f>
        <v/>
      </c>
      <c r="C49120" t="inlineStr">
        <is>
          <t>2034-05-10</t>
        </is>
      </c>
    </row>
    <row r="49121">
      <c r="A49121" s="1" t="n">
        <v>49120</v>
      </c>
      <c r="B49121">
        <f>TEXT(49120, "[$-0E0000]yyyy-mm-dd")</f>
        <v/>
      </c>
      <c r="C49121" t="inlineStr">
        <is>
          <t>2034-05-11</t>
        </is>
      </c>
    </row>
    <row r="49122">
      <c r="A49122" s="1" t="n">
        <v>49121</v>
      </c>
      <c r="B49122">
        <f>TEXT(49121, "[$-0E0000]yyyy-mm-dd")</f>
        <v/>
      </c>
      <c r="C49122" t="inlineStr">
        <is>
          <t>2034-05-12</t>
        </is>
      </c>
    </row>
    <row r="49123">
      <c r="A49123" s="1" t="n">
        <v>49122</v>
      </c>
      <c r="B49123">
        <f>TEXT(49122, "[$-0E0000]yyyy-mm-dd")</f>
        <v/>
      </c>
      <c r="C49123" t="inlineStr">
        <is>
          <t>2034-05-13</t>
        </is>
      </c>
    </row>
    <row r="49124">
      <c r="A49124" s="1" t="n">
        <v>49123</v>
      </c>
      <c r="B49124">
        <f>TEXT(49123, "[$-0E0000]yyyy-mm-dd")</f>
        <v/>
      </c>
      <c r="C49124" t="inlineStr">
        <is>
          <t>2034-05-14</t>
        </is>
      </c>
    </row>
    <row r="49125">
      <c r="A49125" s="1" t="n">
        <v>49124</v>
      </c>
      <c r="B49125">
        <f>TEXT(49124, "[$-0E0000]yyyy-mm-dd")</f>
        <v/>
      </c>
      <c r="C49125" t="inlineStr">
        <is>
          <t>2034-05-15</t>
        </is>
      </c>
    </row>
    <row r="49126">
      <c r="A49126" s="1" t="n">
        <v>49125</v>
      </c>
      <c r="B49126">
        <f>TEXT(49125, "[$-0E0000]yyyy-mm-dd")</f>
        <v/>
      </c>
      <c r="C49126" t="inlineStr">
        <is>
          <t>2034-05-16</t>
        </is>
      </c>
    </row>
    <row r="49127">
      <c r="A49127" s="1" t="n">
        <v>49126</v>
      </c>
      <c r="B49127">
        <f>TEXT(49126, "[$-0E0000]yyyy-mm-dd")</f>
        <v/>
      </c>
      <c r="C49127" t="inlineStr">
        <is>
          <t>2034-05-17</t>
        </is>
      </c>
    </row>
    <row r="49128">
      <c r="A49128" s="1" t="n">
        <v>49127</v>
      </c>
      <c r="B49128">
        <f>TEXT(49127, "[$-0E0000]yyyy-mm-dd")</f>
        <v/>
      </c>
      <c r="C49128" t="inlineStr">
        <is>
          <t>2034-05-18</t>
        </is>
      </c>
    </row>
    <row r="49129">
      <c r="A49129" s="1" t="n">
        <v>49128</v>
      </c>
      <c r="B49129">
        <f>TEXT(49128, "[$-0E0000]yyyy-mm-dd")</f>
        <v/>
      </c>
      <c r="C49129" t="inlineStr">
        <is>
          <t>2034-05-19</t>
        </is>
      </c>
    </row>
    <row r="49130">
      <c r="A49130" s="1" t="n">
        <v>49129</v>
      </c>
      <c r="B49130">
        <f>TEXT(49129, "[$-0E0000]yyyy-mm-dd")</f>
        <v/>
      </c>
      <c r="C49130" t="inlineStr">
        <is>
          <t>2034-05-20</t>
        </is>
      </c>
    </row>
    <row r="49131">
      <c r="A49131" s="1" t="n">
        <v>49130</v>
      </c>
      <c r="B49131">
        <f>TEXT(49130, "[$-0E0000]yyyy-mm-dd")</f>
        <v/>
      </c>
      <c r="C49131" t="inlineStr">
        <is>
          <t>2034-05-21</t>
        </is>
      </c>
    </row>
    <row r="49132">
      <c r="A49132" s="1" t="n">
        <v>49131</v>
      </c>
      <c r="B49132">
        <f>TEXT(49131, "[$-0E0000]yyyy-mm-dd")</f>
        <v/>
      </c>
      <c r="C49132" t="inlineStr">
        <is>
          <t>2034-05-22</t>
        </is>
      </c>
    </row>
    <row r="49133">
      <c r="A49133" s="1" t="n">
        <v>49132</v>
      </c>
      <c r="B49133">
        <f>TEXT(49132, "[$-0E0000]yyyy-mm-dd")</f>
        <v/>
      </c>
      <c r="C49133" t="inlineStr">
        <is>
          <t>2034-05-23</t>
        </is>
      </c>
    </row>
    <row r="49134">
      <c r="A49134" s="1" t="n">
        <v>49133</v>
      </c>
      <c r="B49134">
        <f>TEXT(49133, "[$-0E0000]yyyy-mm-dd")</f>
        <v/>
      </c>
      <c r="C49134" t="inlineStr">
        <is>
          <t>2034-05-24</t>
        </is>
      </c>
    </row>
    <row r="49135">
      <c r="A49135" s="1" t="n">
        <v>49134</v>
      </c>
      <c r="B49135">
        <f>TEXT(49134, "[$-0E0000]yyyy-mm-dd")</f>
        <v/>
      </c>
      <c r="C49135" t="inlineStr">
        <is>
          <t>2034-05-25</t>
        </is>
      </c>
    </row>
    <row r="49136">
      <c r="A49136" s="1" t="n">
        <v>49135</v>
      </c>
      <c r="B49136">
        <f>TEXT(49135, "[$-0E0000]yyyy-mm-dd")</f>
        <v/>
      </c>
      <c r="C49136" t="inlineStr">
        <is>
          <t>2034-05-26</t>
        </is>
      </c>
    </row>
    <row r="49137">
      <c r="A49137" s="1" t="n">
        <v>49136</v>
      </c>
      <c r="B49137">
        <f>TEXT(49136, "[$-0E0000]yyyy-mm-dd")</f>
        <v/>
      </c>
      <c r="C49137" t="inlineStr">
        <is>
          <t>2034-05-27</t>
        </is>
      </c>
    </row>
    <row r="49138">
      <c r="A49138" s="1" t="n">
        <v>49137</v>
      </c>
      <c r="B49138">
        <f>TEXT(49137, "[$-0E0000]yyyy-mm-dd")</f>
        <v/>
      </c>
      <c r="C49138" t="inlineStr">
        <is>
          <t>2034-05-28</t>
        </is>
      </c>
    </row>
    <row r="49139">
      <c r="A49139" s="1" t="n">
        <v>49138</v>
      </c>
      <c r="B49139">
        <f>TEXT(49138, "[$-0E0000]yyyy-mm-dd")</f>
        <v/>
      </c>
      <c r="C49139" t="inlineStr">
        <is>
          <t>2034-05-29</t>
        </is>
      </c>
    </row>
    <row r="49140">
      <c r="A49140" s="1" t="n">
        <v>49139</v>
      </c>
      <c r="B49140">
        <f>TEXT(49139, "[$-0E0000]yyyy-mm-dd")</f>
        <v/>
      </c>
      <c r="C49140" t="inlineStr">
        <is>
          <t>2034-05-30</t>
        </is>
      </c>
    </row>
    <row r="49141">
      <c r="A49141" s="1" t="n">
        <v>49140</v>
      </c>
      <c r="B49141">
        <f>TEXT(49140, "[$-0E0000]yyyy-mm-dd")</f>
        <v/>
      </c>
      <c r="C49141" t="inlineStr">
        <is>
          <t>2034-06-01</t>
        </is>
      </c>
    </row>
    <row r="49142">
      <c r="A49142" s="1" t="n">
        <v>49141</v>
      </c>
      <c r="B49142">
        <f>TEXT(49141, "[$-0E0000]yyyy-mm-dd")</f>
        <v/>
      </c>
      <c r="C49142" t="inlineStr">
        <is>
          <t>2034-06-02</t>
        </is>
      </c>
    </row>
    <row r="49143">
      <c r="A49143" s="1" t="n">
        <v>49142</v>
      </c>
      <c r="B49143">
        <f>TEXT(49142, "[$-0E0000]yyyy-mm-dd")</f>
        <v/>
      </c>
      <c r="C49143" t="inlineStr">
        <is>
          <t>2034-06-03</t>
        </is>
      </c>
    </row>
    <row r="49144">
      <c r="A49144" s="1" t="n">
        <v>49143</v>
      </c>
      <c r="B49144">
        <f>TEXT(49143, "[$-0E0000]yyyy-mm-dd")</f>
        <v/>
      </c>
      <c r="C49144" t="inlineStr">
        <is>
          <t>2034-06-04</t>
        </is>
      </c>
    </row>
    <row r="49145">
      <c r="A49145" s="1" t="n">
        <v>49144</v>
      </c>
      <c r="B49145">
        <f>TEXT(49144, "[$-0E0000]yyyy-mm-dd")</f>
        <v/>
      </c>
      <c r="C49145" t="inlineStr">
        <is>
          <t>2034-06-05</t>
        </is>
      </c>
    </row>
    <row r="49146">
      <c r="A49146" s="1" t="n">
        <v>49145</v>
      </c>
      <c r="B49146">
        <f>TEXT(49145, "[$-0E0000]yyyy-mm-dd")</f>
        <v/>
      </c>
      <c r="C49146" t="inlineStr">
        <is>
          <t>2034-06-06</t>
        </is>
      </c>
    </row>
    <row r="49147">
      <c r="A49147" s="1" t="n">
        <v>49146</v>
      </c>
      <c r="B49147">
        <f>TEXT(49146, "[$-0E0000]yyyy-mm-dd")</f>
        <v/>
      </c>
      <c r="C49147" t="inlineStr">
        <is>
          <t>2034-06-07</t>
        </is>
      </c>
    </row>
    <row r="49148">
      <c r="A49148" s="1" t="n">
        <v>49147</v>
      </c>
      <c r="B49148">
        <f>TEXT(49147, "[$-0E0000]yyyy-mm-dd")</f>
        <v/>
      </c>
      <c r="C49148" t="inlineStr">
        <is>
          <t>2034-06-08</t>
        </is>
      </c>
    </row>
    <row r="49149">
      <c r="A49149" s="1" t="n">
        <v>49148</v>
      </c>
      <c r="B49149">
        <f>TEXT(49148, "[$-0E0000]yyyy-mm-dd")</f>
        <v/>
      </c>
      <c r="C49149" t="inlineStr">
        <is>
          <t>2034-06-09</t>
        </is>
      </c>
    </row>
    <row r="49150">
      <c r="A49150" s="1" t="n">
        <v>49149</v>
      </c>
      <c r="B49150">
        <f>TEXT(49149, "[$-0E0000]yyyy-mm-dd")</f>
        <v/>
      </c>
      <c r="C49150" t="inlineStr">
        <is>
          <t>2034-06-10</t>
        </is>
      </c>
    </row>
    <row r="49151">
      <c r="A49151" s="1" t="n">
        <v>49150</v>
      </c>
      <c r="B49151">
        <f>TEXT(49150, "[$-0E0000]yyyy-mm-dd")</f>
        <v/>
      </c>
      <c r="C49151" t="inlineStr">
        <is>
          <t>2034-06-11</t>
        </is>
      </c>
    </row>
    <row r="49152">
      <c r="A49152" s="1" t="n">
        <v>49151</v>
      </c>
      <c r="B49152">
        <f>TEXT(49151, "[$-0E0000]yyyy-mm-dd")</f>
        <v/>
      </c>
      <c r="C49152" t="inlineStr">
        <is>
          <t>2034-06-12</t>
        </is>
      </c>
    </row>
    <row r="49153">
      <c r="A49153" s="1" t="n">
        <v>49152</v>
      </c>
      <c r="B49153">
        <f>TEXT(49152, "[$-0E0000]yyyy-mm-dd")</f>
        <v/>
      </c>
      <c r="C49153" t="inlineStr">
        <is>
          <t>2034-06-13</t>
        </is>
      </c>
    </row>
    <row r="49154">
      <c r="A49154" s="1" t="n">
        <v>49153</v>
      </c>
      <c r="B49154">
        <f>TEXT(49153, "[$-0E0000]yyyy-mm-dd")</f>
        <v/>
      </c>
      <c r="C49154" t="inlineStr">
        <is>
          <t>2034-06-14</t>
        </is>
      </c>
    </row>
    <row r="49155">
      <c r="A49155" s="1" t="n">
        <v>49154</v>
      </c>
      <c r="B49155">
        <f>TEXT(49154, "[$-0E0000]yyyy-mm-dd")</f>
        <v/>
      </c>
      <c r="C49155" t="inlineStr">
        <is>
          <t>2034-06-15</t>
        </is>
      </c>
    </row>
    <row r="49156">
      <c r="A49156" s="1" t="n">
        <v>49155</v>
      </c>
      <c r="B49156">
        <f>TEXT(49155, "[$-0E0000]yyyy-mm-dd")</f>
        <v/>
      </c>
      <c r="C49156" t="inlineStr">
        <is>
          <t>2034-06-16</t>
        </is>
      </c>
    </row>
    <row r="49157">
      <c r="A49157" s="1" t="n">
        <v>49156</v>
      </c>
      <c r="B49157">
        <f>TEXT(49156, "[$-0E0000]yyyy-mm-dd")</f>
        <v/>
      </c>
      <c r="C49157" t="inlineStr">
        <is>
          <t>2034-06-17</t>
        </is>
      </c>
    </row>
    <row r="49158">
      <c r="A49158" s="1" t="n">
        <v>49157</v>
      </c>
      <c r="B49158">
        <f>TEXT(49157, "[$-0E0000]yyyy-mm-dd")</f>
        <v/>
      </c>
      <c r="C49158" t="inlineStr">
        <is>
          <t>2034-06-18</t>
        </is>
      </c>
    </row>
    <row r="49159">
      <c r="A49159" s="1" t="n">
        <v>49158</v>
      </c>
      <c r="B49159">
        <f>TEXT(49158, "[$-0E0000]yyyy-mm-dd")</f>
        <v/>
      </c>
      <c r="C49159" t="inlineStr">
        <is>
          <t>2034-06-19</t>
        </is>
      </c>
    </row>
    <row r="49160">
      <c r="A49160" s="1" t="n">
        <v>49159</v>
      </c>
      <c r="B49160">
        <f>TEXT(49159, "[$-0E0000]yyyy-mm-dd")</f>
        <v/>
      </c>
      <c r="C49160" t="inlineStr">
        <is>
          <t>2034-06-20</t>
        </is>
      </c>
    </row>
    <row r="49161">
      <c r="A49161" s="1" t="n">
        <v>49160</v>
      </c>
      <c r="B49161">
        <f>TEXT(49160, "[$-0E0000]yyyy-mm-dd")</f>
        <v/>
      </c>
      <c r="C49161" t="inlineStr">
        <is>
          <t>2034-06-21</t>
        </is>
      </c>
    </row>
    <row r="49162">
      <c r="A49162" s="1" t="n">
        <v>49161</v>
      </c>
      <c r="B49162">
        <f>TEXT(49161, "[$-0E0000]yyyy-mm-dd")</f>
        <v/>
      </c>
      <c r="C49162" t="inlineStr">
        <is>
          <t>2034-06-22</t>
        </is>
      </c>
    </row>
    <row r="49163">
      <c r="A49163" s="1" t="n">
        <v>49162</v>
      </c>
      <c r="B49163">
        <f>TEXT(49162, "[$-0E0000]yyyy-mm-dd")</f>
        <v/>
      </c>
      <c r="C49163" t="inlineStr">
        <is>
          <t>2034-06-23</t>
        </is>
      </c>
    </row>
    <row r="49164">
      <c r="A49164" s="1" t="n">
        <v>49163</v>
      </c>
      <c r="B49164">
        <f>TEXT(49163, "[$-0E0000]yyyy-mm-dd")</f>
        <v/>
      </c>
      <c r="C49164" t="inlineStr">
        <is>
          <t>2034-06-24</t>
        </is>
      </c>
    </row>
    <row r="49165">
      <c r="A49165" s="1" t="n">
        <v>49164</v>
      </c>
      <c r="B49165">
        <f>TEXT(49164, "[$-0E0000]yyyy-mm-dd")</f>
        <v/>
      </c>
      <c r="C49165" t="inlineStr">
        <is>
          <t>2034-06-25</t>
        </is>
      </c>
    </row>
    <row r="49166">
      <c r="A49166" s="1" t="n">
        <v>49165</v>
      </c>
      <c r="B49166">
        <f>TEXT(49165, "[$-0E0000]yyyy-mm-dd")</f>
        <v/>
      </c>
      <c r="C49166" t="inlineStr">
        <is>
          <t>2034-06-26</t>
        </is>
      </c>
    </row>
    <row r="49167">
      <c r="A49167" s="1" t="n">
        <v>49166</v>
      </c>
      <c r="B49167">
        <f>TEXT(49166, "[$-0E0000]yyyy-mm-dd")</f>
        <v/>
      </c>
      <c r="C49167" t="inlineStr">
        <is>
          <t>2034-06-27</t>
        </is>
      </c>
    </row>
    <row r="49168">
      <c r="A49168" s="1" t="n">
        <v>49167</v>
      </c>
      <c r="B49168">
        <f>TEXT(49167, "[$-0E0000]yyyy-mm-dd")</f>
        <v/>
      </c>
      <c r="C49168" t="inlineStr">
        <is>
          <t>2034-06-28</t>
        </is>
      </c>
    </row>
    <row r="49169">
      <c r="A49169" s="1" t="n">
        <v>49168</v>
      </c>
      <c r="B49169">
        <f>TEXT(49168, "[$-0E0000]yyyy-mm-dd")</f>
        <v/>
      </c>
      <c r="C49169" t="inlineStr">
        <is>
          <t>2034-06-29</t>
        </is>
      </c>
    </row>
    <row r="49170">
      <c r="A49170" s="1" t="n">
        <v>49169</v>
      </c>
      <c r="B49170">
        <f>TEXT(49169, "[$-0E0000]yyyy-mm-dd")</f>
        <v/>
      </c>
      <c r="C49170" t="inlineStr">
        <is>
          <t>2034-07-01</t>
        </is>
      </c>
    </row>
    <row r="49171">
      <c r="A49171" s="1" t="n">
        <v>49170</v>
      </c>
      <c r="B49171">
        <f>TEXT(49170, "[$-0E0000]yyyy-mm-dd")</f>
        <v/>
      </c>
      <c r="C49171" t="inlineStr">
        <is>
          <t>2034-07-02</t>
        </is>
      </c>
    </row>
    <row r="49172">
      <c r="A49172" s="1" t="n">
        <v>49171</v>
      </c>
      <c r="B49172">
        <f>TEXT(49171, "[$-0E0000]yyyy-mm-dd")</f>
        <v/>
      </c>
      <c r="C49172" t="inlineStr">
        <is>
          <t>2034-07-03</t>
        </is>
      </c>
    </row>
    <row r="49173">
      <c r="A49173" s="1" t="n">
        <v>49172</v>
      </c>
      <c r="B49173">
        <f>TEXT(49172, "[$-0E0000]yyyy-mm-dd")</f>
        <v/>
      </c>
      <c r="C49173" t="inlineStr">
        <is>
          <t>2034-07-04</t>
        </is>
      </c>
    </row>
    <row r="49174">
      <c r="A49174" s="1" t="n">
        <v>49173</v>
      </c>
      <c r="B49174">
        <f>TEXT(49173, "[$-0E0000]yyyy-mm-dd")</f>
        <v/>
      </c>
      <c r="C49174" t="inlineStr">
        <is>
          <t>2034-07-05</t>
        </is>
      </c>
    </row>
    <row r="49175">
      <c r="A49175" s="1" t="n">
        <v>49174</v>
      </c>
      <c r="B49175">
        <f>TEXT(49174, "[$-0E0000]yyyy-mm-dd")</f>
        <v/>
      </c>
      <c r="C49175" t="inlineStr">
        <is>
          <t>2034-07-06</t>
        </is>
      </c>
    </row>
    <row r="49176">
      <c r="A49176" s="1" t="n">
        <v>49175</v>
      </c>
      <c r="B49176">
        <f>TEXT(49175, "[$-0E0000]yyyy-mm-dd")</f>
        <v/>
      </c>
      <c r="C49176" t="inlineStr">
        <is>
          <t>2034-07-07</t>
        </is>
      </c>
    </row>
    <row r="49177">
      <c r="A49177" s="1" t="n">
        <v>49176</v>
      </c>
      <c r="B49177">
        <f>TEXT(49176, "[$-0E0000]yyyy-mm-dd")</f>
        <v/>
      </c>
      <c r="C49177" t="inlineStr">
        <is>
          <t>2034-07-08</t>
        </is>
      </c>
    </row>
    <row r="49178">
      <c r="A49178" s="1" t="n">
        <v>49177</v>
      </c>
      <c r="B49178">
        <f>TEXT(49177, "[$-0E0000]yyyy-mm-dd")</f>
        <v/>
      </c>
      <c r="C49178" t="inlineStr">
        <is>
          <t>2034-07-09</t>
        </is>
      </c>
    </row>
    <row r="49179">
      <c r="A49179" s="1" t="n">
        <v>49178</v>
      </c>
      <c r="B49179">
        <f>TEXT(49178, "[$-0E0000]yyyy-mm-dd")</f>
        <v/>
      </c>
      <c r="C49179" t="inlineStr">
        <is>
          <t>2034-07-10</t>
        </is>
      </c>
    </row>
    <row r="49180">
      <c r="A49180" s="1" t="n">
        <v>49179</v>
      </c>
      <c r="B49180">
        <f>TEXT(49179, "[$-0E0000]yyyy-mm-dd")</f>
        <v/>
      </c>
      <c r="C49180" t="inlineStr">
        <is>
          <t>2034-07-11</t>
        </is>
      </c>
    </row>
    <row r="49181">
      <c r="A49181" s="1" t="n">
        <v>49180</v>
      </c>
      <c r="B49181">
        <f>TEXT(49180, "[$-0E0000]yyyy-mm-dd")</f>
        <v/>
      </c>
      <c r="C49181" t="inlineStr">
        <is>
          <t>2034-07-12</t>
        </is>
      </c>
    </row>
    <row r="49182">
      <c r="A49182" s="1" t="n">
        <v>49181</v>
      </c>
      <c r="B49182">
        <f>TEXT(49181, "[$-0E0000]yyyy-mm-dd")</f>
        <v/>
      </c>
      <c r="C49182" t="inlineStr">
        <is>
          <t>2034-07-13</t>
        </is>
      </c>
    </row>
    <row r="49183">
      <c r="A49183" s="1" t="n">
        <v>49182</v>
      </c>
      <c r="B49183">
        <f>TEXT(49182, "[$-0E0000]yyyy-mm-dd")</f>
        <v/>
      </c>
      <c r="C49183" t="inlineStr">
        <is>
          <t>2034-07-14</t>
        </is>
      </c>
    </row>
    <row r="49184">
      <c r="A49184" s="1" t="n">
        <v>49183</v>
      </c>
      <c r="B49184">
        <f>TEXT(49183, "[$-0E0000]yyyy-mm-dd")</f>
        <v/>
      </c>
      <c r="C49184" t="inlineStr">
        <is>
          <t>2034-07-15</t>
        </is>
      </c>
    </row>
    <row r="49185">
      <c r="A49185" s="1" t="n">
        <v>49184</v>
      </c>
      <c r="B49185">
        <f>TEXT(49184, "[$-0E0000]yyyy-mm-dd")</f>
        <v/>
      </c>
      <c r="C49185" t="inlineStr">
        <is>
          <t>2034-07-16</t>
        </is>
      </c>
    </row>
    <row r="49186">
      <c r="A49186" s="1" t="n">
        <v>49185</v>
      </c>
      <c r="B49186">
        <f>TEXT(49185, "[$-0E0000]yyyy-mm-dd")</f>
        <v/>
      </c>
      <c r="C49186" t="inlineStr">
        <is>
          <t>2034-07-17</t>
        </is>
      </c>
    </row>
    <row r="49187">
      <c r="A49187" s="1" t="n">
        <v>49186</v>
      </c>
      <c r="B49187">
        <f>TEXT(49186, "[$-0E0000]yyyy-mm-dd")</f>
        <v/>
      </c>
      <c r="C49187" t="inlineStr">
        <is>
          <t>2034-07-18</t>
        </is>
      </c>
    </row>
    <row r="49188">
      <c r="A49188" s="1" t="n">
        <v>49187</v>
      </c>
      <c r="B49188">
        <f>TEXT(49187, "[$-0E0000]yyyy-mm-dd")</f>
        <v/>
      </c>
      <c r="C49188" t="inlineStr">
        <is>
          <t>2034-07-19</t>
        </is>
      </c>
    </row>
    <row r="49189">
      <c r="A49189" s="1" t="n">
        <v>49188</v>
      </c>
      <c r="B49189">
        <f>TEXT(49188, "[$-0E0000]yyyy-mm-dd")</f>
        <v/>
      </c>
      <c r="C49189" t="inlineStr">
        <is>
          <t>2034-07-20</t>
        </is>
      </c>
    </row>
    <row r="49190">
      <c r="A49190" s="1" t="n">
        <v>49189</v>
      </c>
      <c r="B49190">
        <f>TEXT(49189, "[$-0E0000]yyyy-mm-dd")</f>
        <v/>
      </c>
      <c r="C49190" t="inlineStr">
        <is>
          <t>2034-07-21</t>
        </is>
      </c>
    </row>
    <row r="49191">
      <c r="A49191" s="1" t="n">
        <v>49190</v>
      </c>
      <c r="B49191">
        <f>TEXT(49190, "[$-0E0000]yyyy-mm-dd")</f>
        <v/>
      </c>
      <c r="C49191" t="inlineStr">
        <is>
          <t>2034-07-22</t>
        </is>
      </c>
    </row>
    <row r="49192">
      <c r="A49192" s="1" t="n">
        <v>49191</v>
      </c>
      <c r="B49192">
        <f>TEXT(49191, "[$-0E0000]yyyy-mm-dd")</f>
        <v/>
      </c>
      <c r="C49192" t="inlineStr">
        <is>
          <t>2034-07-23</t>
        </is>
      </c>
    </row>
    <row r="49193">
      <c r="A49193" s="1" t="n">
        <v>49192</v>
      </c>
      <c r="B49193">
        <f>TEXT(49192, "[$-0E0000]yyyy-mm-dd")</f>
        <v/>
      </c>
      <c r="C49193" t="inlineStr">
        <is>
          <t>2034-07-24</t>
        </is>
      </c>
    </row>
    <row r="49194">
      <c r="A49194" s="1" t="n">
        <v>49193</v>
      </c>
      <c r="B49194">
        <f>TEXT(49193, "[$-0E0000]yyyy-mm-dd")</f>
        <v/>
      </c>
      <c r="C49194" t="inlineStr">
        <is>
          <t>2034-07-25</t>
        </is>
      </c>
    </row>
    <row r="49195">
      <c r="A49195" s="1" t="n">
        <v>49194</v>
      </c>
      <c r="B49195">
        <f>TEXT(49194, "[$-0E0000]yyyy-mm-dd")</f>
        <v/>
      </c>
      <c r="C49195" t="inlineStr">
        <is>
          <t>2034-07-26</t>
        </is>
      </c>
    </row>
    <row r="49196">
      <c r="A49196" s="1" t="n">
        <v>49195</v>
      </c>
      <c r="B49196">
        <f>TEXT(49195, "[$-0E0000]yyyy-mm-dd")</f>
        <v/>
      </c>
      <c r="C49196" t="inlineStr">
        <is>
          <t>2034-07-27</t>
        </is>
      </c>
    </row>
    <row r="49197">
      <c r="A49197" s="1" t="n">
        <v>49196</v>
      </c>
      <c r="B49197">
        <f>TEXT(49196, "[$-0E0000]yyyy-mm-dd")</f>
        <v/>
      </c>
      <c r="C49197" t="inlineStr">
        <is>
          <t>2034-07-28</t>
        </is>
      </c>
    </row>
    <row r="49198">
      <c r="A49198" s="1" t="n">
        <v>49197</v>
      </c>
      <c r="B49198">
        <f>TEXT(49197, "[$-0E0000]yyyy-mm-dd")</f>
        <v/>
      </c>
      <c r="C49198" t="inlineStr">
        <is>
          <t>2034-07-29</t>
        </is>
      </c>
    </row>
    <row r="49199">
      <c r="A49199" s="1" t="n">
        <v>49198</v>
      </c>
      <c r="B49199">
        <f>TEXT(49198, "[$-0E0000]yyyy-mm-dd")</f>
        <v/>
      </c>
      <c r="C49199" t="inlineStr">
        <is>
          <t>2034-07-30</t>
        </is>
      </c>
    </row>
    <row r="49200">
      <c r="A49200" s="1" t="n">
        <v>49199</v>
      </c>
      <c r="B49200">
        <f>TEXT(49199, "[$-0E0000]yyyy-mm-dd")</f>
        <v/>
      </c>
      <c r="C49200" t="inlineStr">
        <is>
          <t>2034-08-01</t>
        </is>
      </c>
    </row>
    <row r="49201">
      <c r="A49201" s="1" t="n">
        <v>49200</v>
      </c>
      <c r="B49201">
        <f>TEXT(49200, "[$-0E0000]yyyy-mm-dd")</f>
        <v/>
      </c>
      <c r="C49201" t="inlineStr">
        <is>
          <t>2034-08-02</t>
        </is>
      </c>
    </row>
    <row r="49202">
      <c r="A49202" s="1" t="n">
        <v>49201</v>
      </c>
      <c r="B49202">
        <f>TEXT(49201, "[$-0E0000]yyyy-mm-dd")</f>
        <v/>
      </c>
      <c r="C49202" t="inlineStr">
        <is>
          <t>2034-08-03</t>
        </is>
      </c>
    </row>
    <row r="49203">
      <c r="A49203" s="1" t="n">
        <v>49202</v>
      </c>
      <c r="B49203">
        <f>TEXT(49202, "[$-0E0000]yyyy-mm-dd")</f>
        <v/>
      </c>
      <c r="C49203" t="inlineStr">
        <is>
          <t>2034-08-04</t>
        </is>
      </c>
    </row>
    <row r="49204">
      <c r="A49204" s="1" t="n">
        <v>49203</v>
      </c>
      <c r="B49204">
        <f>TEXT(49203, "[$-0E0000]yyyy-mm-dd")</f>
        <v/>
      </c>
      <c r="C49204" t="inlineStr">
        <is>
          <t>2034-08-05</t>
        </is>
      </c>
    </row>
    <row r="49205">
      <c r="A49205" s="1" t="n">
        <v>49204</v>
      </c>
      <c r="B49205">
        <f>TEXT(49204, "[$-0E0000]yyyy-mm-dd")</f>
        <v/>
      </c>
      <c r="C49205" t="inlineStr">
        <is>
          <t>2034-08-06</t>
        </is>
      </c>
    </row>
    <row r="49206">
      <c r="A49206" s="1" t="n">
        <v>49205</v>
      </c>
      <c r="B49206">
        <f>TEXT(49205, "[$-0E0000]yyyy-mm-dd")</f>
        <v/>
      </c>
      <c r="C49206" t="inlineStr">
        <is>
          <t>2034-08-07</t>
        </is>
      </c>
    </row>
    <row r="49207">
      <c r="A49207" s="1" t="n">
        <v>49206</v>
      </c>
      <c r="B49207">
        <f>TEXT(49206, "[$-0E0000]yyyy-mm-dd")</f>
        <v/>
      </c>
      <c r="C49207" t="inlineStr">
        <is>
          <t>2034-08-08</t>
        </is>
      </c>
    </row>
    <row r="49208">
      <c r="A49208" s="1" t="n">
        <v>49207</v>
      </c>
      <c r="B49208">
        <f>TEXT(49207, "[$-0E0000]yyyy-mm-dd")</f>
        <v/>
      </c>
      <c r="C49208" t="inlineStr">
        <is>
          <t>2034-08-09</t>
        </is>
      </c>
    </row>
    <row r="49209">
      <c r="A49209" s="1" t="n">
        <v>49208</v>
      </c>
      <c r="B49209">
        <f>TEXT(49208, "[$-0E0000]yyyy-mm-dd")</f>
        <v/>
      </c>
      <c r="C49209" t="inlineStr">
        <is>
          <t>2034-08-10</t>
        </is>
      </c>
    </row>
    <row r="49210">
      <c r="A49210" s="1" t="n">
        <v>49209</v>
      </c>
      <c r="B49210">
        <f>TEXT(49209, "[$-0E0000]yyyy-mm-dd")</f>
        <v/>
      </c>
      <c r="C49210" t="inlineStr">
        <is>
          <t>2034-08-11</t>
        </is>
      </c>
    </row>
    <row r="49211">
      <c r="A49211" s="1" t="n">
        <v>49210</v>
      </c>
      <c r="B49211">
        <f>TEXT(49210, "[$-0E0000]yyyy-mm-dd")</f>
        <v/>
      </c>
      <c r="C49211" t="inlineStr">
        <is>
          <t>2034-08-12</t>
        </is>
      </c>
    </row>
    <row r="49212">
      <c r="A49212" s="1" t="n">
        <v>49211</v>
      </c>
      <c r="B49212">
        <f>TEXT(49211, "[$-0E0000]yyyy-mm-dd")</f>
        <v/>
      </c>
      <c r="C49212" t="inlineStr">
        <is>
          <t>2034-08-13</t>
        </is>
      </c>
    </row>
    <row r="49213">
      <c r="A49213" s="1" t="n">
        <v>49212</v>
      </c>
      <c r="B49213">
        <f>TEXT(49212, "[$-0E0000]yyyy-mm-dd")</f>
        <v/>
      </c>
      <c r="C49213" t="inlineStr">
        <is>
          <t>2034-08-14</t>
        </is>
      </c>
    </row>
    <row r="49214">
      <c r="A49214" s="1" t="n">
        <v>49213</v>
      </c>
      <c r="B49214">
        <f>TEXT(49213, "[$-0E0000]yyyy-mm-dd")</f>
        <v/>
      </c>
      <c r="C49214" t="inlineStr">
        <is>
          <t>2034-08-15</t>
        </is>
      </c>
    </row>
    <row r="49215">
      <c r="A49215" s="1" t="n">
        <v>49214</v>
      </c>
      <c r="B49215">
        <f>TEXT(49214, "[$-0E0000]yyyy-mm-dd")</f>
        <v/>
      </c>
      <c r="C49215" t="inlineStr">
        <is>
          <t>2034-08-16</t>
        </is>
      </c>
    </row>
    <row r="49216">
      <c r="A49216" s="1" t="n">
        <v>49215</v>
      </c>
      <c r="B49216">
        <f>TEXT(49215, "[$-0E0000]yyyy-mm-dd")</f>
        <v/>
      </c>
      <c r="C49216" t="inlineStr">
        <is>
          <t>2034-08-17</t>
        </is>
      </c>
    </row>
    <row r="49217">
      <c r="A49217" s="1" t="n">
        <v>49216</v>
      </c>
      <c r="B49217">
        <f>TEXT(49216, "[$-0E0000]yyyy-mm-dd")</f>
        <v/>
      </c>
      <c r="C49217" t="inlineStr">
        <is>
          <t>2034-08-18</t>
        </is>
      </c>
    </row>
    <row r="49218">
      <c r="A49218" s="1" t="n">
        <v>49217</v>
      </c>
      <c r="B49218">
        <f>TEXT(49217, "[$-0E0000]yyyy-mm-dd")</f>
        <v/>
      </c>
      <c r="C49218" t="inlineStr">
        <is>
          <t>2034-08-19</t>
        </is>
      </c>
    </row>
    <row r="49219">
      <c r="A49219" s="1" t="n">
        <v>49218</v>
      </c>
      <c r="B49219">
        <f>TEXT(49218, "[$-0E0000]yyyy-mm-dd")</f>
        <v/>
      </c>
      <c r="C49219" t="inlineStr">
        <is>
          <t>2034-08-20</t>
        </is>
      </c>
    </row>
    <row r="49220">
      <c r="A49220" s="1" t="n">
        <v>49219</v>
      </c>
      <c r="B49220">
        <f>TEXT(49219, "[$-0E0000]yyyy-mm-dd")</f>
        <v/>
      </c>
      <c r="C49220" t="inlineStr">
        <is>
          <t>2034-08-21</t>
        </is>
      </c>
    </row>
    <row r="49221">
      <c r="A49221" s="1" t="n">
        <v>49220</v>
      </c>
      <c r="B49221">
        <f>TEXT(49220, "[$-0E0000]yyyy-mm-dd")</f>
        <v/>
      </c>
      <c r="C49221" t="inlineStr">
        <is>
          <t>2034-08-22</t>
        </is>
      </c>
    </row>
    <row r="49222">
      <c r="A49222" s="1" t="n">
        <v>49221</v>
      </c>
      <c r="B49222">
        <f>TEXT(49221, "[$-0E0000]yyyy-mm-dd")</f>
        <v/>
      </c>
      <c r="C49222" t="inlineStr">
        <is>
          <t>2034-08-23</t>
        </is>
      </c>
    </row>
    <row r="49223">
      <c r="A49223" s="1" t="n">
        <v>49222</v>
      </c>
      <c r="B49223">
        <f>TEXT(49222, "[$-0E0000]yyyy-mm-dd")</f>
        <v/>
      </c>
      <c r="C49223" t="inlineStr">
        <is>
          <t>2034-08-24</t>
        </is>
      </c>
    </row>
    <row r="49224">
      <c r="A49224" s="1" t="n">
        <v>49223</v>
      </c>
      <c r="B49224">
        <f>TEXT(49223, "[$-0E0000]yyyy-mm-dd")</f>
        <v/>
      </c>
      <c r="C49224" t="inlineStr">
        <is>
          <t>2034-08-25</t>
        </is>
      </c>
    </row>
    <row r="49225">
      <c r="A49225" s="1" t="n">
        <v>49224</v>
      </c>
      <c r="B49225">
        <f>TEXT(49224, "[$-0E0000]yyyy-mm-dd")</f>
        <v/>
      </c>
      <c r="C49225" t="inlineStr">
        <is>
          <t>2034-08-26</t>
        </is>
      </c>
    </row>
    <row r="49226">
      <c r="A49226" s="1" t="n">
        <v>49225</v>
      </c>
      <c r="B49226">
        <f>TEXT(49225, "[$-0E0000]yyyy-mm-dd")</f>
        <v/>
      </c>
      <c r="C49226" t="inlineStr">
        <is>
          <t>2034-08-27</t>
        </is>
      </c>
    </row>
    <row r="49227">
      <c r="A49227" s="1" t="n">
        <v>49226</v>
      </c>
      <c r="B49227">
        <f>TEXT(49226, "[$-0E0000]yyyy-mm-dd")</f>
        <v/>
      </c>
      <c r="C49227" t="inlineStr">
        <is>
          <t>2034-08-28</t>
        </is>
      </c>
    </row>
    <row r="49228">
      <c r="A49228" s="1" t="n">
        <v>49227</v>
      </c>
      <c r="B49228">
        <f>TEXT(49227, "[$-0E0000]yyyy-mm-dd")</f>
        <v/>
      </c>
      <c r="C49228" t="inlineStr">
        <is>
          <t>2034-08-29</t>
        </is>
      </c>
    </row>
    <row r="49229">
      <c r="A49229" s="1" t="n">
        <v>49228</v>
      </c>
      <c r="B49229">
        <f>TEXT(49228, "[$-0E0000]yyyy-mm-dd")</f>
        <v/>
      </c>
      <c r="C49229" t="inlineStr">
        <is>
          <t>2034-09-01</t>
        </is>
      </c>
    </row>
    <row r="49230">
      <c r="A49230" s="1" t="n">
        <v>49229</v>
      </c>
      <c r="B49230">
        <f>TEXT(49229, "[$-0E0000]yyyy-mm-dd")</f>
        <v/>
      </c>
      <c r="C49230" t="inlineStr">
        <is>
          <t>2034-09-02</t>
        </is>
      </c>
    </row>
    <row r="49231">
      <c r="A49231" s="1" t="n">
        <v>49230</v>
      </c>
      <c r="B49231">
        <f>TEXT(49230, "[$-0E0000]yyyy-mm-dd")</f>
        <v/>
      </c>
      <c r="C49231" t="inlineStr">
        <is>
          <t>2034-09-03</t>
        </is>
      </c>
    </row>
    <row r="49232">
      <c r="A49232" s="1" t="n">
        <v>49231</v>
      </c>
      <c r="B49232">
        <f>TEXT(49231, "[$-0E0000]yyyy-mm-dd")</f>
        <v/>
      </c>
      <c r="C49232" t="inlineStr">
        <is>
          <t>2034-09-04</t>
        </is>
      </c>
    </row>
    <row r="49233">
      <c r="A49233" s="1" t="n">
        <v>49232</v>
      </c>
      <c r="B49233">
        <f>TEXT(49232, "[$-0E0000]yyyy-mm-dd")</f>
        <v/>
      </c>
      <c r="C49233" t="inlineStr">
        <is>
          <t>2034-09-05</t>
        </is>
      </c>
    </row>
    <row r="49234">
      <c r="A49234" s="1" t="n">
        <v>49233</v>
      </c>
      <c r="B49234">
        <f>TEXT(49233, "[$-0E0000]yyyy-mm-dd")</f>
        <v/>
      </c>
      <c r="C49234" t="inlineStr">
        <is>
          <t>2034-09-06</t>
        </is>
      </c>
    </row>
    <row r="49235">
      <c r="A49235" s="1" t="n">
        <v>49234</v>
      </c>
      <c r="B49235">
        <f>TEXT(49234, "[$-0E0000]yyyy-mm-dd")</f>
        <v/>
      </c>
      <c r="C49235" t="inlineStr">
        <is>
          <t>2034-09-07</t>
        </is>
      </c>
    </row>
    <row r="49236">
      <c r="A49236" s="1" t="n">
        <v>49235</v>
      </c>
      <c r="B49236">
        <f>TEXT(49235, "[$-0E0000]yyyy-mm-dd")</f>
        <v/>
      </c>
      <c r="C49236" t="inlineStr">
        <is>
          <t>2034-09-08</t>
        </is>
      </c>
    </row>
    <row r="49237">
      <c r="A49237" s="1" t="n">
        <v>49236</v>
      </c>
      <c r="B49237">
        <f>TEXT(49236, "[$-0E0000]yyyy-mm-dd")</f>
        <v/>
      </c>
      <c r="C49237" t="inlineStr">
        <is>
          <t>2034-09-09</t>
        </is>
      </c>
    </row>
    <row r="49238">
      <c r="A49238" s="1" t="n">
        <v>49237</v>
      </c>
      <c r="B49238">
        <f>TEXT(49237, "[$-0E0000]yyyy-mm-dd")</f>
        <v/>
      </c>
      <c r="C49238" t="inlineStr">
        <is>
          <t>2034-09-10</t>
        </is>
      </c>
    </row>
    <row r="49239">
      <c r="A49239" s="1" t="n">
        <v>49238</v>
      </c>
      <c r="B49239">
        <f>TEXT(49238, "[$-0E0000]yyyy-mm-dd")</f>
        <v/>
      </c>
      <c r="C49239" t="inlineStr">
        <is>
          <t>2034-09-11</t>
        </is>
      </c>
    </row>
    <row r="49240">
      <c r="A49240" s="1" t="n">
        <v>49239</v>
      </c>
      <c r="B49240">
        <f>TEXT(49239, "[$-0E0000]yyyy-mm-dd")</f>
        <v/>
      </c>
      <c r="C49240" t="inlineStr">
        <is>
          <t>2034-09-12</t>
        </is>
      </c>
    </row>
    <row r="49241">
      <c r="A49241" s="1" t="n">
        <v>49240</v>
      </c>
      <c r="B49241">
        <f>TEXT(49240, "[$-0E0000]yyyy-mm-dd")</f>
        <v/>
      </c>
      <c r="C49241" t="inlineStr">
        <is>
          <t>2034-09-13</t>
        </is>
      </c>
    </row>
    <row r="49242">
      <c r="A49242" s="1" t="n">
        <v>49241</v>
      </c>
      <c r="B49242">
        <f>TEXT(49241, "[$-0E0000]yyyy-mm-dd")</f>
        <v/>
      </c>
      <c r="C49242" t="inlineStr">
        <is>
          <t>2034-09-14</t>
        </is>
      </c>
    </row>
    <row r="49243">
      <c r="A49243" s="1" t="n">
        <v>49242</v>
      </c>
      <c r="B49243">
        <f>TEXT(49242, "[$-0E0000]yyyy-mm-dd")</f>
        <v/>
      </c>
      <c r="C49243" t="inlineStr">
        <is>
          <t>2034-09-15</t>
        </is>
      </c>
    </row>
    <row r="49244">
      <c r="A49244" s="1" t="n">
        <v>49243</v>
      </c>
      <c r="B49244">
        <f>TEXT(49243, "[$-0E0000]yyyy-mm-dd")</f>
        <v/>
      </c>
      <c r="C49244" t="inlineStr">
        <is>
          <t>2034-09-16</t>
        </is>
      </c>
    </row>
    <row r="49245">
      <c r="A49245" s="1" t="n">
        <v>49244</v>
      </c>
      <c r="B49245">
        <f>TEXT(49244, "[$-0E0000]yyyy-mm-dd")</f>
        <v/>
      </c>
      <c r="C49245" t="inlineStr">
        <is>
          <t>2034-09-17</t>
        </is>
      </c>
    </row>
    <row r="49246">
      <c r="A49246" s="1" t="n">
        <v>49245</v>
      </c>
      <c r="B49246">
        <f>TEXT(49245, "[$-0E0000]yyyy-mm-dd")</f>
        <v/>
      </c>
      <c r="C49246" t="inlineStr">
        <is>
          <t>2034-09-18</t>
        </is>
      </c>
    </row>
    <row r="49247">
      <c r="A49247" s="1" t="n">
        <v>49246</v>
      </c>
      <c r="B49247">
        <f>TEXT(49246, "[$-0E0000]yyyy-mm-dd")</f>
        <v/>
      </c>
      <c r="C49247" t="inlineStr">
        <is>
          <t>2034-09-19</t>
        </is>
      </c>
    </row>
    <row r="49248">
      <c r="A49248" s="1" t="n">
        <v>49247</v>
      </c>
      <c r="B49248">
        <f>TEXT(49247, "[$-0E0000]yyyy-mm-dd")</f>
        <v/>
      </c>
      <c r="C49248" t="inlineStr">
        <is>
          <t>2034-09-20</t>
        </is>
      </c>
    </row>
    <row r="49249">
      <c r="A49249" s="1" t="n">
        <v>49248</v>
      </c>
      <c r="B49249">
        <f>TEXT(49248, "[$-0E0000]yyyy-mm-dd")</f>
        <v/>
      </c>
      <c r="C49249" t="inlineStr">
        <is>
          <t>2034-09-21</t>
        </is>
      </c>
    </row>
    <row r="49250">
      <c r="A49250" s="1" t="n">
        <v>49249</v>
      </c>
      <c r="B49250">
        <f>TEXT(49249, "[$-0E0000]yyyy-mm-dd")</f>
        <v/>
      </c>
      <c r="C49250" t="inlineStr">
        <is>
          <t>2034-09-22</t>
        </is>
      </c>
    </row>
    <row r="49251">
      <c r="A49251" s="1" t="n">
        <v>49250</v>
      </c>
      <c r="B49251">
        <f>TEXT(49250, "[$-0E0000]yyyy-mm-dd")</f>
        <v/>
      </c>
      <c r="C49251" t="inlineStr">
        <is>
          <t>2034-09-23</t>
        </is>
      </c>
    </row>
    <row r="49252">
      <c r="A49252" s="1" t="n">
        <v>49251</v>
      </c>
      <c r="B49252">
        <f>TEXT(49251, "[$-0E0000]yyyy-mm-dd")</f>
        <v/>
      </c>
      <c r="C49252" t="inlineStr">
        <is>
          <t>2034-09-24</t>
        </is>
      </c>
    </row>
    <row r="49253">
      <c r="A49253" s="1" t="n">
        <v>49252</v>
      </c>
      <c r="B49253">
        <f>TEXT(49252, "[$-0E0000]yyyy-mm-dd")</f>
        <v/>
      </c>
      <c r="C49253" t="inlineStr">
        <is>
          <t>2034-09-25</t>
        </is>
      </c>
    </row>
    <row r="49254">
      <c r="A49254" s="1" t="n">
        <v>49253</v>
      </c>
      <c r="B49254">
        <f>TEXT(49253, "[$-0E0000]yyyy-mm-dd")</f>
        <v/>
      </c>
      <c r="C49254" t="inlineStr">
        <is>
          <t>2034-09-26</t>
        </is>
      </c>
    </row>
    <row r="49255">
      <c r="A49255" s="1" t="n">
        <v>49254</v>
      </c>
      <c r="B49255">
        <f>TEXT(49254, "[$-0E0000]yyyy-mm-dd")</f>
        <v/>
      </c>
      <c r="C49255" t="inlineStr">
        <is>
          <t>2034-09-27</t>
        </is>
      </c>
    </row>
    <row r="49256">
      <c r="A49256" s="1" t="n">
        <v>49255</v>
      </c>
      <c r="B49256">
        <f>TEXT(49255, "[$-0E0000]yyyy-mm-dd")</f>
        <v/>
      </c>
      <c r="C49256" t="inlineStr">
        <is>
          <t>2034-09-28</t>
        </is>
      </c>
    </row>
    <row r="49257">
      <c r="A49257" s="1" t="n">
        <v>49256</v>
      </c>
      <c r="B49257">
        <f>TEXT(49256, "[$-0E0000]yyyy-mm-dd")</f>
        <v/>
      </c>
      <c r="C49257" t="inlineStr">
        <is>
          <t>2034-09-29</t>
        </is>
      </c>
    </row>
    <row r="49258">
      <c r="A49258" s="1" t="n">
        <v>49257</v>
      </c>
      <c r="B49258">
        <f>TEXT(49257, "[$-0E0000]yyyy-mm-dd")</f>
        <v/>
      </c>
      <c r="C49258" t="inlineStr">
        <is>
          <t>2034-09-30</t>
        </is>
      </c>
    </row>
    <row r="49259">
      <c r="A49259" s="1" t="n">
        <v>49258</v>
      </c>
      <c r="B49259">
        <f>TEXT(49258, "[$-0E0000]yyyy-mm-dd")</f>
        <v/>
      </c>
      <c r="C49259" t="inlineStr">
        <is>
          <t>2034-10-01</t>
        </is>
      </c>
    </row>
    <row r="49260">
      <c r="A49260" s="1" t="n">
        <v>49259</v>
      </c>
      <c r="B49260">
        <f>TEXT(49259, "[$-0E0000]yyyy-mm-dd")</f>
        <v/>
      </c>
      <c r="C49260" t="inlineStr">
        <is>
          <t>2034-10-02</t>
        </is>
      </c>
    </row>
    <row r="49261">
      <c r="A49261" s="1" t="n">
        <v>49260</v>
      </c>
      <c r="B49261">
        <f>TEXT(49260, "[$-0E0000]yyyy-mm-dd")</f>
        <v/>
      </c>
      <c r="C49261" t="inlineStr">
        <is>
          <t>2034-10-03</t>
        </is>
      </c>
    </row>
    <row r="49262">
      <c r="A49262" s="1" t="n">
        <v>49261</v>
      </c>
      <c r="B49262">
        <f>TEXT(49261, "[$-0E0000]yyyy-mm-dd")</f>
        <v/>
      </c>
      <c r="C49262" t="inlineStr">
        <is>
          <t>2034-10-04</t>
        </is>
      </c>
    </row>
    <row r="49263">
      <c r="A49263" s="1" t="n">
        <v>49262</v>
      </c>
      <c r="B49263">
        <f>TEXT(49262, "[$-0E0000]yyyy-mm-dd")</f>
        <v/>
      </c>
      <c r="C49263" t="inlineStr">
        <is>
          <t>2034-10-05</t>
        </is>
      </c>
    </row>
    <row r="49264">
      <c r="A49264" s="1" t="n">
        <v>49263</v>
      </c>
      <c r="B49264">
        <f>TEXT(49263, "[$-0E0000]yyyy-mm-dd")</f>
        <v/>
      </c>
      <c r="C49264" t="inlineStr">
        <is>
          <t>2034-10-06</t>
        </is>
      </c>
    </row>
    <row r="49265">
      <c r="A49265" s="1" t="n">
        <v>49264</v>
      </c>
      <c r="B49265">
        <f>TEXT(49264, "[$-0E0000]yyyy-mm-dd")</f>
        <v/>
      </c>
      <c r="C49265" t="inlineStr">
        <is>
          <t>2034-10-07</t>
        </is>
      </c>
    </row>
    <row r="49266">
      <c r="A49266" s="1" t="n">
        <v>49265</v>
      </c>
      <c r="B49266">
        <f>TEXT(49265, "[$-0E0000]yyyy-mm-dd")</f>
        <v/>
      </c>
      <c r="C49266" t="inlineStr">
        <is>
          <t>2034-10-08</t>
        </is>
      </c>
    </row>
    <row r="49267">
      <c r="A49267" s="1" t="n">
        <v>49266</v>
      </c>
      <c r="B49267">
        <f>TEXT(49266, "[$-0E0000]yyyy-mm-dd")</f>
        <v/>
      </c>
      <c r="C49267" t="inlineStr">
        <is>
          <t>2034-10-09</t>
        </is>
      </c>
    </row>
    <row r="49268">
      <c r="A49268" s="1" t="n">
        <v>49267</v>
      </c>
      <c r="B49268">
        <f>TEXT(49267, "[$-0E0000]yyyy-mm-dd")</f>
        <v/>
      </c>
      <c r="C49268" t="inlineStr">
        <is>
          <t>2034-10-10</t>
        </is>
      </c>
    </row>
    <row r="49269">
      <c r="A49269" s="1" t="n">
        <v>49268</v>
      </c>
      <c r="B49269">
        <f>TEXT(49268, "[$-0E0000]yyyy-mm-dd")</f>
        <v/>
      </c>
      <c r="C49269" t="inlineStr">
        <is>
          <t>2034-10-11</t>
        </is>
      </c>
    </row>
    <row r="49270">
      <c r="A49270" s="1" t="n">
        <v>49269</v>
      </c>
      <c r="B49270">
        <f>TEXT(49269, "[$-0E0000]yyyy-mm-dd")</f>
        <v/>
      </c>
      <c r="C49270" t="inlineStr">
        <is>
          <t>2034-10-12</t>
        </is>
      </c>
    </row>
    <row r="49271">
      <c r="A49271" s="1" t="n">
        <v>49270</v>
      </c>
      <c r="B49271">
        <f>TEXT(49270, "[$-0E0000]yyyy-mm-dd")</f>
        <v/>
      </c>
      <c r="C49271" t="inlineStr">
        <is>
          <t>2034-10-13</t>
        </is>
      </c>
    </row>
    <row r="49272">
      <c r="A49272" s="1" t="n">
        <v>49271</v>
      </c>
      <c r="B49272">
        <f>TEXT(49271, "[$-0E0000]yyyy-mm-dd")</f>
        <v/>
      </c>
      <c r="C49272" t="inlineStr">
        <is>
          <t>2034-10-14</t>
        </is>
      </c>
    </row>
    <row r="49273">
      <c r="A49273" s="1" t="n">
        <v>49272</v>
      </c>
      <c r="B49273">
        <f>TEXT(49272, "[$-0E0000]yyyy-mm-dd")</f>
        <v/>
      </c>
      <c r="C49273" t="inlineStr">
        <is>
          <t>2034-10-15</t>
        </is>
      </c>
    </row>
    <row r="49274">
      <c r="A49274" s="1" t="n">
        <v>49273</v>
      </c>
      <c r="B49274">
        <f>TEXT(49273, "[$-0E0000]yyyy-mm-dd")</f>
        <v/>
      </c>
      <c r="C49274" t="inlineStr">
        <is>
          <t>2034-10-16</t>
        </is>
      </c>
    </row>
    <row r="49275">
      <c r="A49275" s="1" t="n">
        <v>49274</v>
      </c>
      <c r="B49275">
        <f>TEXT(49274, "[$-0E0000]yyyy-mm-dd")</f>
        <v/>
      </c>
      <c r="C49275" t="inlineStr">
        <is>
          <t>2034-10-17</t>
        </is>
      </c>
    </row>
    <row r="49276">
      <c r="A49276" s="1" t="n">
        <v>49275</v>
      </c>
      <c r="B49276">
        <f>TEXT(49275, "[$-0E0000]yyyy-mm-dd")</f>
        <v/>
      </c>
      <c r="C49276" t="inlineStr">
        <is>
          <t>2034-10-18</t>
        </is>
      </c>
    </row>
    <row r="49277">
      <c r="A49277" s="1" t="n">
        <v>49276</v>
      </c>
      <c r="B49277">
        <f>TEXT(49276, "[$-0E0000]yyyy-mm-dd")</f>
        <v/>
      </c>
      <c r="C49277" t="inlineStr">
        <is>
          <t>2034-10-19</t>
        </is>
      </c>
    </row>
    <row r="49278">
      <c r="A49278" s="1" t="n">
        <v>49277</v>
      </c>
      <c r="B49278">
        <f>TEXT(49277, "[$-0E0000]yyyy-mm-dd")</f>
        <v/>
      </c>
      <c r="C49278" t="inlineStr">
        <is>
          <t>2034-10-20</t>
        </is>
      </c>
    </row>
    <row r="49279">
      <c r="A49279" s="1" t="n">
        <v>49278</v>
      </c>
      <c r="B49279">
        <f>TEXT(49278, "[$-0E0000]yyyy-mm-dd")</f>
        <v/>
      </c>
      <c r="C49279" t="inlineStr">
        <is>
          <t>2034-10-21</t>
        </is>
      </c>
    </row>
    <row r="49280">
      <c r="A49280" s="1" t="n">
        <v>49279</v>
      </c>
      <c r="B49280">
        <f>TEXT(49279, "[$-0E0000]yyyy-mm-dd")</f>
        <v/>
      </c>
      <c r="C49280" t="inlineStr">
        <is>
          <t>2034-10-22</t>
        </is>
      </c>
    </row>
    <row r="49281">
      <c r="A49281" s="1" t="n">
        <v>49280</v>
      </c>
      <c r="B49281">
        <f>TEXT(49280, "[$-0E0000]yyyy-mm-dd")</f>
        <v/>
      </c>
      <c r="C49281" t="inlineStr">
        <is>
          <t>2034-10-23</t>
        </is>
      </c>
    </row>
    <row r="49282">
      <c r="A49282" s="1" t="n">
        <v>49281</v>
      </c>
      <c r="B49282">
        <f>TEXT(49281, "[$-0E0000]yyyy-mm-dd")</f>
        <v/>
      </c>
      <c r="C49282" t="inlineStr">
        <is>
          <t>2034-10-24</t>
        </is>
      </c>
    </row>
    <row r="49283">
      <c r="A49283" s="1" t="n">
        <v>49282</v>
      </c>
      <c r="B49283">
        <f>TEXT(49282, "[$-0E0000]yyyy-mm-dd")</f>
        <v/>
      </c>
      <c r="C49283" t="inlineStr">
        <is>
          <t>2034-10-25</t>
        </is>
      </c>
    </row>
    <row r="49284">
      <c r="A49284" s="1" t="n">
        <v>49283</v>
      </c>
      <c r="B49284">
        <f>TEXT(49283, "[$-0E0000]yyyy-mm-dd")</f>
        <v/>
      </c>
      <c r="C49284" t="inlineStr">
        <is>
          <t>2034-10-26</t>
        </is>
      </c>
    </row>
    <row r="49285">
      <c r="A49285" s="1" t="n">
        <v>49284</v>
      </c>
      <c r="B49285">
        <f>TEXT(49284, "[$-0E0000]yyyy-mm-dd")</f>
        <v/>
      </c>
      <c r="C49285" t="inlineStr">
        <is>
          <t>2034-10-27</t>
        </is>
      </c>
    </row>
    <row r="49286">
      <c r="A49286" s="1" t="n">
        <v>49285</v>
      </c>
      <c r="B49286">
        <f>TEXT(49285, "[$-0E0000]yyyy-mm-dd")</f>
        <v/>
      </c>
      <c r="C49286" t="inlineStr">
        <is>
          <t>2034-10-28</t>
        </is>
      </c>
    </row>
    <row r="49287">
      <c r="A49287" s="1" t="n">
        <v>49286</v>
      </c>
      <c r="B49287">
        <f>TEXT(49286, "[$-0E0000]yyyy-mm-dd")</f>
        <v/>
      </c>
      <c r="C49287" t="inlineStr">
        <is>
          <t>2034-10-29</t>
        </is>
      </c>
    </row>
    <row r="49288">
      <c r="A49288" s="1" t="n">
        <v>49287</v>
      </c>
      <c r="B49288">
        <f>TEXT(49287, "[$-0E0000]yyyy-mm-dd")</f>
        <v/>
      </c>
      <c r="C49288" t="inlineStr">
        <is>
          <t>2034-10-30</t>
        </is>
      </c>
    </row>
    <row r="49289">
      <c r="A49289" s="1" t="n">
        <v>49288</v>
      </c>
      <c r="B49289">
        <f>TEXT(49288, "[$-0E0000]yyyy-mm-dd")</f>
        <v/>
      </c>
      <c r="C49289" t="inlineStr">
        <is>
          <t>2034-11-01</t>
        </is>
      </c>
    </row>
    <row r="49290">
      <c r="A49290" s="1" t="n">
        <v>49289</v>
      </c>
      <c r="B49290">
        <f>TEXT(49289, "[$-0E0000]yyyy-mm-dd")</f>
        <v/>
      </c>
      <c r="C49290" t="inlineStr">
        <is>
          <t>2034-11-02</t>
        </is>
      </c>
    </row>
    <row r="49291">
      <c r="A49291" s="1" t="n">
        <v>49290</v>
      </c>
      <c r="B49291">
        <f>TEXT(49290, "[$-0E0000]yyyy-mm-dd")</f>
        <v/>
      </c>
      <c r="C49291" t="inlineStr">
        <is>
          <t>2034-11-03</t>
        </is>
      </c>
    </row>
    <row r="49292">
      <c r="A49292" s="1" t="n">
        <v>49291</v>
      </c>
      <c r="B49292">
        <f>TEXT(49291, "[$-0E0000]yyyy-mm-dd")</f>
        <v/>
      </c>
      <c r="C49292" t="inlineStr">
        <is>
          <t>2034-11-04</t>
        </is>
      </c>
    </row>
    <row r="49293">
      <c r="A49293" s="1" t="n">
        <v>49292</v>
      </c>
      <c r="B49293">
        <f>TEXT(49292, "[$-0E0000]yyyy-mm-dd")</f>
        <v/>
      </c>
      <c r="C49293" t="inlineStr">
        <is>
          <t>2034-11-05</t>
        </is>
      </c>
    </row>
    <row r="49294">
      <c r="A49294" s="1" t="n">
        <v>49293</v>
      </c>
      <c r="B49294">
        <f>TEXT(49293, "[$-0E0000]yyyy-mm-dd")</f>
        <v/>
      </c>
      <c r="C49294" t="inlineStr">
        <is>
          <t>2034-11-06</t>
        </is>
      </c>
    </row>
    <row r="49295">
      <c r="A49295" s="1" t="n">
        <v>49294</v>
      </c>
      <c r="B49295">
        <f>TEXT(49294, "[$-0E0000]yyyy-mm-dd")</f>
        <v/>
      </c>
      <c r="C49295" t="inlineStr">
        <is>
          <t>2034-11-07</t>
        </is>
      </c>
    </row>
    <row r="49296">
      <c r="A49296" s="1" t="n">
        <v>49295</v>
      </c>
      <c r="B49296">
        <f>TEXT(49295, "[$-0E0000]yyyy-mm-dd")</f>
        <v/>
      </c>
      <c r="C49296" t="inlineStr">
        <is>
          <t>2034-11-08</t>
        </is>
      </c>
    </row>
    <row r="49297">
      <c r="A49297" s="1" t="n">
        <v>49296</v>
      </c>
      <c r="B49297">
        <f>TEXT(49296, "[$-0E0000]yyyy-mm-dd")</f>
        <v/>
      </c>
      <c r="C49297" t="inlineStr">
        <is>
          <t>2034-11-09</t>
        </is>
      </c>
    </row>
    <row r="49298">
      <c r="A49298" s="1" t="n">
        <v>49297</v>
      </c>
      <c r="B49298">
        <f>TEXT(49297, "[$-0E0000]yyyy-mm-dd")</f>
        <v/>
      </c>
      <c r="C49298" t="inlineStr">
        <is>
          <t>2034-11-10</t>
        </is>
      </c>
    </row>
    <row r="49299">
      <c r="A49299" s="1" t="n">
        <v>49298</v>
      </c>
      <c r="B49299">
        <f>TEXT(49298, "[$-0E0000]yyyy-mm-dd")</f>
        <v/>
      </c>
      <c r="C49299" t="inlineStr">
        <is>
          <t>2034-11-11</t>
        </is>
      </c>
    </row>
    <row r="49300">
      <c r="A49300" s="1" t="n">
        <v>49299</v>
      </c>
      <c r="B49300">
        <f>TEXT(49299, "[$-0E0000]yyyy-mm-dd")</f>
        <v/>
      </c>
      <c r="C49300" t="inlineStr">
        <is>
          <t>2034-11-12</t>
        </is>
      </c>
    </row>
    <row r="49301">
      <c r="A49301" s="1" t="n">
        <v>49300</v>
      </c>
      <c r="B49301">
        <f>TEXT(49300, "[$-0E0000]yyyy-mm-dd")</f>
        <v/>
      </c>
      <c r="C49301" t="inlineStr">
        <is>
          <t>2034-11-13</t>
        </is>
      </c>
    </row>
    <row r="49302">
      <c r="A49302" s="1" t="n">
        <v>49301</v>
      </c>
      <c r="B49302">
        <f>TEXT(49301, "[$-0E0000]yyyy-mm-dd")</f>
        <v/>
      </c>
      <c r="C49302" t="inlineStr">
        <is>
          <t>2034-11-14</t>
        </is>
      </c>
    </row>
    <row r="49303">
      <c r="A49303" s="1" t="n">
        <v>49302</v>
      </c>
      <c r="B49303">
        <f>TEXT(49302, "[$-0E0000]yyyy-mm-dd")</f>
        <v/>
      </c>
      <c r="C49303" t="inlineStr">
        <is>
          <t>2034-11-15</t>
        </is>
      </c>
    </row>
    <row r="49304">
      <c r="A49304" s="1" t="n">
        <v>49303</v>
      </c>
      <c r="B49304">
        <f>TEXT(49303, "[$-0E0000]yyyy-mm-dd")</f>
        <v/>
      </c>
      <c r="C49304" t="inlineStr">
        <is>
          <t>2034-11-16</t>
        </is>
      </c>
    </row>
    <row r="49305">
      <c r="A49305" s="1" t="n">
        <v>49304</v>
      </c>
      <c r="B49305">
        <f>TEXT(49304, "[$-0E0000]yyyy-mm-dd")</f>
        <v/>
      </c>
      <c r="C49305" t="inlineStr">
        <is>
          <t>2034-11-17</t>
        </is>
      </c>
    </row>
    <row r="49306">
      <c r="A49306" s="1" t="n">
        <v>49305</v>
      </c>
      <c r="B49306">
        <f>TEXT(49305, "[$-0E0000]yyyy-mm-dd")</f>
        <v/>
      </c>
      <c r="C49306" t="inlineStr">
        <is>
          <t>2034-11-18</t>
        </is>
      </c>
    </row>
    <row r="49307">
      <c r="A49307" s="1" t="n">
        <v>49306</v>
      </c>
      <c r="B49307">
        <f>TEXT(49306, "[$-0E0000]yyyy-mm-dd")</f>
        <v/>
      </c>
      <c r="C49307" t="inlineStr">
        <is>
          <t>2034-11-19</t>
        </is>
      </c>
    </row>
    <row r="49308">
      <c r="A49308" s="1" t="n">
        <v>49307</v>
      </c>
      <c r="B49308">
        <f>TEXT(49307, "[$-0E0000]yyyy-mm-dd")</f>
        <v/>
      </c>
      <c r="C49308" t="inlineStr">
        <is>
          <t>2034-11-20</t>
        </is>
      </c>
    </row>
    <row r="49309">
      <c r="A49309" s="1" t="n">
        <v>49308</v>
      </c>
      <c r="B49309">
        <f>TEXT(49308, "[$-0E0000]yyyy-mm-dd")</f>
        <v/>
      </c>
      <c r="C49309" t="inlineStr">
        <is>
          <t>2034-11-21</t>
        </is>
      </c>
    </row>
    <row r="49310">
      <c r="A49310" s="1" t="n">
        <v>49309</v>
      </c>
      <c r="B49310">
        <f>TEXT(49309, "[$-0E0000]yyyy-mm-dd")</f>
        <v/>
      </c>
      <c r="C49310" t="inlineStr">
        <is>
          <t>2034-11-22</t>
        </is>
      </c>
    </row>
    <row r="49311">
      <c r="A49311" s="1" t="n">
        <v>49310</v>
      </c>
      <c r="B49311">
        <f>TEXT(49310, "[$-0E0000]yyyy-mm-dd")</f>
        <v/>
      </c>
      <c r="C49311" t="inlineStr">
        <is>
          <t>2034-11-23</t>
        </is>
      </c>
    </row>
    <row r="49312">
      <c r="A49312" s="1" t="n">
        <v>49311</v>
      </c>
      <c r="B49312">
        <f>TEXT(49311, "[$-0E0000]yyyy-mm-dd")</f>
        <v/>
      </c>
      <c r="C49312" t="inlineStr">
        <is>
          <t>2034-11-24</t>
        </is>
      </c>
    </row>
    <row r="49313">
      <c r="A49313" s="1" t="n">
        <v>49312</v>
      </c>
      <c r="B49313">
        <f>TEXT(49312, "[$-0E0000]yyyy-mm-dd")</f>
        <v/>
      </c>
      <c r="C49313" t="inlineStr">
        <is>
          <t>2034-11-25</t>
        </is>
      </c>
    </row>
    <row r="49314">
      <c r="A49314" s="1" t="n">
        <v>49313</v>
      </c>
      <c r="B49314">
        <f>TEXT(49313, "[$-0E0000]yyyy-mm-dd")</f>
        <v/>
      </c>
      <c r="C49314" t="inlineStr">
        <is>
          <t>2034-11-26</t>
        </is>
      </c>
    </row>
    <row r="49315">
      <c r="A49315" s="1" t="n">
        <v>49314</v>
      </c>
      <c r="B49315">
        <f>TEXT(49314, "[$-0E0000]yyyy-mm-dd")</f>
        <v/>
      </c>
      <c r="C49315" t="inlineStr">
        <is>
          <t>2034-11-27</t>
        </is>
      </c>
    </row>
    <row r="49316">
      <c r="A49316" s="1" t="n">
        <v>49315</v>
      </c>
      <c r="B49316">
        <f>TEXT(49315, "[$-0E0000]yyyy-mm-dd")</f>
        <v/>
      </c>
      <c r="C49316" t="inlineStr">
        <is>
          <t>2034-11-28</t>
        </is>
      </c>
    </row>
    <row r="49317">
      <c r="A49317" s="1" t="n">
        <v>49316</v>
      </c>
      <c r="B49317">
        <f>TEXT(49316, "[$-0E0000]yyyy-mm-dd")</f>
        <v/>
      </c>
      <c r="C49317" t="inlineStr">
        <is>
          <t>2034-11-29</t>
        </is>
      </c>
    </row>
    <row r="49318">
      <c r="A49318" s="1" t="n">
        <v>49317</v>
      </c>
      <c r="B49318">
        <f>TEXT(49317, "[$-0E0000]yyyy-mm-dd")</f>
        <v/>
      </c>
      <c r="C49318" t="inlineStr">
        <is>
          <t>2034-12-01</t>
        </is>
      </c>
    </row>
    <row r="49319">
      <c r="A49319" s="1" t="n">
        <v>49318</v>
      </c>
      <c r="B49319">
        <f>TEXT(49318, "[$-0E0000]yyyy-mm-dd")</f>
        <v/>
      </c>
      <c r="C49319" t="inlineStr">
        <is>
          <t>2034-12-02</t>
        </is>
      </c>
    </row>
    <row r="49320">
      <c r="A49320" s="1" t="n">
        <v>49319</v>
      </c>
      <c r="B49320">
        <f>TEXT(49319, "[$-0E0000]yyyy-mm-dd")</f>
        <v/>
      </c>
      <c r="C49320" t="inlineStr">
        <is>
          <t>2034-12-03</t>
        </is>
      </c>
    </row>
    <row r="49321">
      <c r="A49321" s="1" t="n">
        <v>49320</v>
      </c>
      <c r="B49321">
        <f>TEXT(49320, "[$-0E0000]yyyy-mm-dd")</f>
        <v/>
      </c>
      <c r="C49321" t="inlineStr">
        <is>
          <t>2034-12-04</t>
        </is>
      </c>
    </row>
    <row r="49322">
      <c r="A49322" s="1" t="n">
        <v>49321</v>
      </c>
      <c r="B49322">
        <f>TEXT(49321, "[$-0E0000]yyyy-mm-dd")</f>
        <v/>
      </c>
      <c r="C49322" t="inlineStr">
        <is>
          <t>2034-12-05</t>
        </is>
      </c>
    </row>
    <row r="49323">
      <c r="A49323" s="1" t="n">
        <v>49322</v>
      </c>
      <c r="B49323">
        <f>TEXT(49322, "[$-0E0000]yyyy-mm-dd")</f>
        <v/>
      </c>
      <c r="C49323" t="inlineStr">
        <is>
          <t>2034-12-06</t>
        </is>
      </c>
    </row>
    <row r="49324">
      <c r="A49324" s="1" t="n">
        <v>49323</v>
      </c>
      <c r="B49324">
        <f>TEXT(49323, "[$-0E0000]yyyy-mm-dd")</f>
        <v/>
      </c>
      <c r="C49324" t="inlineStr">
        <is>
          <t>2034-12-07</t>
        </is>
      </c>
    </row>
    <row r="49325">
      <c r="A49325" s="1" t="n">
        <v>49324</v>
      </c>
      <c r="B49325">
        <f>TEXT(49324, "[$-0E0000]yyyy-mm-dd")</f>
        <v/>
      </c>
      <c r="C49325" t="inlineStr">
        <is>
          <t>2034-12-08</t>
        </is>
      </c>
    </row>
    <row r="49326">
      <c r="A49326" s="1" t="n">
        <v>49325</v>
      </c>
      <c r="B49326">
        <f>TEXT(49325, "[$-0E0000]yyyy-mm-dd")</f>
        <v/>
      </c>
      <c r="C49326" t="inlineStr">
        <is>
          <t>2034-12-09</t>
        </is>
      </c>
    </row>
    <row r="49327">
      <c r="A49327" s="1" t="n">
        <v>49326</v>
      </c>
      <c r="B49327">
        <f>TEXT(49326, "[$-0E0000]yyyy-mm-dd")</f>
        <v/>
      </c>
      <c r="C49327" t="inlineStr">
        <is>
          <t>2034-12-10</t>
        </is>
      </c>
    </row>
    <row r="49328">
      <c r="A49328" s="1" t="n">
        <v>49327</v>
      </c>
      <c r="B49328">
        <f>TEXT(49327, "[$-0E0000]yyyy-mm-dd")</f>
        <v/>
      </c>
      <c r="C49328" t="inlineStr">
        <is>
          <t>2034-12-11</t>
        </is>
      </c>
    </row>
    <row r="49329">
      <c r="A49329" s="1" t="n">
        <v>49328</v>
      </c>
      <c r="B49329">
        <f>TEXT(49328, "[$-0E0000]yyyy-mm-dd")</f>
        <v/>
      </c>
      <c r="C49329" t="inlineStr">
        <is>
          <t>2034-12-12</t>
        </is>
      </c>
    </row>
    <row r="49330">
      <c r="A49330" s="1" t="n">
        <v>49329</v>
      </c>
      <c r="B49330">
        <f>TEXT(49329, "[$-0E0000]yyyy-mm-dd")</f>
        <v/>
      </c>
      <c r="C49330" t="inlineStr">
        <is>
          <t>2034-12-13</t>
        </is>
      </c>
    </row>
    <row r="49331">
      <c r="A49331" s="1" t="n">
        <v>49330</v>
      </c>
      <c r="B49331">
        <f>TEXT(49330, "[$-0E0000]yyyy-mm-dd")</f>
        <v/>
      </c>
      <c r="C49331" t="inlineStr">
        <is>
          <t>2034-12-14</t>
        </is>
      </c>
    </row>
    <row r="49332">
      <c r="A49332" s="1" t="n">
        <v>49331</v>
      </c>
      <c r="B49332">
        <f>TEXT(49331, "[$-0E0000]yyyy-mm-dd")</f>
        <v/>
      </c>
      <c r="C49332" t="inlineStr">
        <is>
          <t>2034-12-15</t>
        </is>
      </c>
    </row>
    <row r="49333">
      <c r="A49333" s="1" t="n">
        <v>49332</v>
      </c>
      <c r="B49333">
        <f>TEXT(49332, "[$-0E0000]yyyy-mm-dd")</f>
        <v/>
      </c>
      <c r="C49333" t="inlineStr">
        <is>
          <t>2034-12-16</t>
        </is>
      </c>
    </row>
    <row r="49334">
      <c r="A49334" s="1" t="n">
        <v>49333</v>
      </c>
      <c r="B49334">
        <f>TEXT(49333, "[$-0E0000]yyyy-mm-dd")</f>
        <v/>
      </c>
      <c r="C49334" t="inlineStr">
        <is>
          <t>2034-12-17</t>
        </is>
      </c>
    </row>
    <row r="49335">
      <c r="A49335" s="1" t="n">
        <v>49334</v>
      </c>
      <c r="B49335">
        <f>TEXT(49334, "[$-0E0000]yyyy-mm-dd")</f>
        <v/>
      </c>
      <c r="C49335" t="inlineStr">
        <is>
          <t>2034-12-18</t>
        </is>
      </c>
    </row>
    <row r="49336">
      <c r="A49336" s="1" t="n">
        <v>49335</v>
      </c>
      <c r="B49336">
        <f>TEXT(49335, "[$-0E0000]yyyy-mm-dd")</f>
        <v/>
      </c>
      <c r="C49336" t="inlineStr">
        <is>
          <t>2034-12-19</t>
        </is>
      </c>
    </row>
    <row r="49337">
      <c r="A49337" s="1" t="n">
        <v>49336</v>
      </c>
      <c r="B49337">
        <f>TEXT(49336, "[$-0E0000]yyyy-mm-dd")</f>
        <v/>
      </c>
      <c r="C49337" t="inlineStr">
        <is>
          <t>2034-12-20</t>
        </is>
      </c>
    </row>
    <row r="49338">
      <c r="A49338" s="1" t="n">
        <v>49337</v>
      </c>
      <c r="B49338">
        <f>TEXT(49337, "[$-0E0000]yyyy-mm-dd")</f>
        <v/>
      </c>
      <c r="C49338" t="inlineStr">
        <is>
          <t>2034-12-21</t>
        </is>
      </c>
    </row>
    <row r="49339">
      <c r="A49339" s="1" t="n">
        <v>49338</v>
      </c>
      <c r="B49339">
        <f>TEXT(49338, "[$-0E0000]yyyy-mm-dd")</f>
        <v/>
      </c>
      <c r="C49339" t="inlineStr">
        <is>
          <t>2034-12-22</t>
        </is>
      </c>
    </row>
    <row r="49340">
      <c r="A49340" s="1" t="n">
        <v>49339</v>
      </c>
      <c r="B49340">
        <f>TEXT(49339, "[$-0E0000]yyyy-mm-dd")</f>
        <v/>
      </c>
      <c r="C49340" t="inlineStr">
        <is>
          <t>2034-12-23</t>
        </is>
      </c>
    </row>
    <row r="49341">
      <c r="A49341" s="1" t="n">
        <v>49340</v>
      </c>
      <c r="B49341">
        <f>TEXT(49340, "[$-0E0000]yyyy-mm-dd")</f>
        <v/>
      </c>
      <c r="C49341" t="inlineStr">
        <is>
          <t>2034-12-24</t>
        </is>
      </c>
    </row>
    <row r="49342">
      <c r="A49342" s="1" t="n">
        <v>49341</v>
      </c>
      <c r="B49342">
        <f>TEXT(49341, "[$-0E0000]yyyy-mm-dd")</f>
        <v/>
      </c>
      <c r="C49342" t="inlineStr">
        <is>
          <t>2034-12-25</t>
        </is>
      </c>
    </row>
    <row r="49343">
      <c r="A49343" s="1" t="n">
        <v>49342</v>
      </c>
      <c r="B49343">
        <f>TEXT(49342, "[$-0E0000]yyyy-mm-dd")</f>
        <v/>
      </c>
      <c r="C49343" t="inlineStr">
        <is>
          <t>2034-12-26</t>
        </is>
      </c>
    </row>
    <row r="49344">
      <c r="A49344" s="1" t="n">
        <v>49343</v>
      </c>
      <c r="B49344">
        <f>TEXT(49343, "[$-0E0000]yyyy-mm-dd")</f>
        <v/>
      </c>
      <c r="C49344" t="inlineStr">
        <is>
          <t>2034-12-27</t>
        </is>
      </c>
    </row>
    <row r="49345">
      <c r="A49345" s="1" t="n">
        <v>49344</v>
      </c>
      <c r="B49345">
        <f>TEXT(49344, "[$-0E0000]yyyy-mm-dd")</f>
        <v/>
      </c>
      <c r="C49345" t="inlineStr">
        <is>
          <t>2034-12-28</t>
        </is>
      </c>
    </row>
    <row r="49346">
      <c r="A49346" s="1" t="n">
        <v>49345</v>
      </c>
      <c r="B49346">
        <f>TEXT(49345, "[$-0E0000]yyyy-mm-dd")</f>
        <v/>
      </c>
      <c r="C49346" t="inlineStr">
        <is>
          <t>2034-12-29</t>
        </is>
      </c>
    </row>
    <row r="49347">
      <c r="A49347" s="1" t="n">
        <v>49346</v>
      </c>
      <c r="B49347">
        <f>TEXT(49346, "[$-0E0000]yyyy-mm-dd")</f>
        <v/>
      </c>
      <c r="C49347" t="inlineStr">
        <is>
          <t>2034-12-30</t>
        </is>
      </c>
    </row>
    <row r="49348">
      <c r="A49348" s="1" t="n">
        <v>49347</v>
      </c>
      <c r="B49348">
        <f>TEXT(49347, "[$-0E0000]yyyy-mm-dd")</f>
        <v/>
      </c>
      <c r="C49348" t="inlineStr">
        <is>
          <t>2035-01-01</t>
        </is>
      </c>
    </row>
    <row r="49349">
      <c r="A49349" s="1" t="n">
        <v>49348</v>
      </c>
      <c r="B49349">
        <f>TEXT(49348, "[$-0E0000]yyyy-mm-dd")</f>
        <v/>
      </c>
      <c r="C49349" t="inlineStr">
        <is>
          <t>2035-01-02</t>
        </is>
      </c>
    </row>
    <row r="49350">
      <c r="A49350" s="1" t="n">
        <v>49349</v>
      </c>
      <c r="B49350">
        <f>TEXT(49349, "[$-0E0000]yyyy-mm-dd")</f>
        <v/>
      </c>
      <c r="C49350" t="inlineStr">
        <is>
          <t>2035-01-03</t>
        </is>
      </c>
    </row>
    <row r="49351">
      <c r="A49351" s="1" t="n">
        <v>49350</v>
      </c>
      <c r="B49351">
        <f>TEXT(49350, "[$-0E0000]yyyy-mm-dd")</f>
        <v/>
      </c>
      <c r="C49351" t="inlineStr">
        <is>
          <t>2035-01-04</t>
        </is>
      </c>
    </row>
    <row r="49352">
      <c r="A49352" s="1" t="n">
        <v>49351</v>
      </c>
      <c r="B49352">
        <f>TEXT(49351, "[$-0E0000]yyyy-mm-dd")</f>
        <v/>
      </c>
      <c r="C49352" t="inlineStr">
        <is>
          <t>2035-01-05</t>
        </is>
      </c>
    </row>
    <row r="49353">
      <c r="A49353" s="1" t="n">
        <v>49352</v>
      </c>
      <c r="B49353">
        <f>TEXT(49352, "[$-0E0000]yyyy-mm-dd")</f>
        <v/>
      </c>
      <c r="C49353" t="inlineStr">
        <is>
          <t>2035-01-06</t>
        </is>
      </c>
    </row>
    <row r="49354">
      <c r="A49354" s="1" t="n">
        <v>49353</v>
      </c>
      <c r="B49354">
        <f>TEXT(49353, "[$-0E0000]yyyy-mm-dd")</f>
        <v/>
      </c>
      <c r="C49354" t="inlineStr">
        <is>
          <t>2035-01-07</t>
        </is>
      </c>
    </row>
    <row r="49355">
      <c r="A49355" s="1" t="n">
        <v>49354</v>
      </c>
      <c r="B49355">
        <f>TEXT(49354, "[$-0E0000]yyyy-mm-dd")</f>
        <v/>
      </c>
      <c r="C49355" t="inlineStr">
        <is>
          <t>2035-01-08</t>
        </is>
      </c>
    </row>
    <row r="49356">
      <c r="A49356" s="1" t="n">
        <v>49355</v>
      </c>
      <c r="B49356">
        <f>TEXT(49355, "[$-0E0000]yyyy-mm-dd")</f>
        <v/>
      </c>
      <c r="C49356" t="inlineStr">
        <is>
          <t>2035-01-09</t>
        </is>
      </c>
    </row>
    <row r="49357">
      <c r="A49357" s="1" t="n">
        <v>49356</v>
      </c>
      <c r="B49357">
        <f>TEXT(49356, "[$-0E0000]yyyy-mm-dd")</f>
        <v/>
      </c>
      <c r="C49357" t="inlineStr">
        <is>
          <t>2035-01-10</t>
        </is>
      </c>
    </row>
    <row r="49358">
      <c r="A49358" s="1" t="n">
        <v>49357</v>
      </c>
      <c r="B49358">
        <f>TEXT(49357, "[$-0E0000]yyyy-mm-dd")</f>
        <v/>
      </c>
      <c r="C49358" t="inlineStr">
        <is>
          <t>2035-01-11</t>
        </is>
      </c>
    </row>
    <row r="49359">
      <c r="A49359" s="1" t="n">
        <v>49358</v>
      </c>
      <c r="B49359">
        <f>TEXT(49358, "[$-0E0000]yyyy-mm-dd")</f>
        <v/>
      </c>
      <c r="C49359" t="inlineStr">
        <is>
          <t>2035-01-12</t>
        </is>
      </c>
    </row>
    <row r="49360">
      <c r="A49360" s="1" t="n">
        <v>49359</v>
      </c>
      <c r="B49360">
        <f>TEXT(49359, "[$-0E0000]yyyy-mm-dd")</f>
        <v/>
      </c>
      <c r="C49360" t="inlineStr">
        <is>
          <t>2035-01-13</t>
        </is>
      </c>
    </row>
    <row r="49361">
      <c r="A49361" s="1" t="n">
        <v>49360</v>
      </c>
      <c r="B49361">
        <f>TEXT(49360, "[$-0E0000]yyyy-mm-dd")</f>
        <v/>
      </c>
      <c r="C49361" t="inlineStr">
        <is>
          <t>2035-01-14</t>
        </is>
      </c>
    </row>
    <row r="49362">
      <c r="A49362" s="1" t="n">
        <v>49361</v>
      </c>
      <c r="B49362">
        <f>TEXT(49361, "[$-0E0000]yyyy-mm-dd")</f>
        <v/>
      </c>
      <c r="C49362" t="inlineStr">
        <is>
          <t>2035-01-15</t>
        </is>
      </c>
    </row>
    <row r="49363">
      <c r="A49363" s="1" t="n">
        <v>49362</v>
      </c>
      <c r="B49363">
        <f>TEXT(49362, "[$-0E0000]yyyy-mm-dd")</f>
        <v/>
      </c>
      <c r="C49363" t="inlineStr">
        <is>
          <t>2035-01-16</t>
        </is>
      </c>
    </row>
    <row r="49364">
      <c r="A49364" s="1" t="n">
        <v>49363</v>
      </c>
      <c r="B49364">
        <f>TEXT(49363, "[$-0E0000]yyyy-mm-dd")</f>
        <v/>
      </c>
      <c r="C49364" t="inlineStr">
        <is>
          <t>2035-01-17</t>
        </is>
      </c>
    </row>
    <row r="49365">
      <c r="A49365" s="1" t="n">
        <v>49364</v>
      </c>
      <c r="B49365">
        <f>TEXT(49364, "[$-0E0000]yyyy-mm-dd")</f>
        <v/>
      </c>
      <c r="C49365" t="inlineStr">
        <is>
          <t>2035-01-18</t>
        </is>
      </c>
    </row>
    <row r="49366">
      <c r="A49366" s="1" t="n">
        <v>49365</v>
      </c>
      <c r="B49366">
        <f>TEXT(49365, "[$-0E0000]yyyy-mm-dd")</f>
        <v/>
      </c>
      <c r="C49366" t="inlineStr">
        <is>
          <t>2035-01-19</t>
        </is>
      </c>
    </row>
    <row r="49367">
      <c r="A49367" s="1" t="n">
        <v>49366</v>
      </c>
      <c r="B49367">
        <f>TEXT(49366, "[$-0E0000]yyyy-mm-dd")</f>
        <v/>
      </c>
      <c r="C49367" t="inlineStr">
        <is>
          <t>2035-01-20</t>
        </is>
      </c>
    </row>
    <row r="49368">
      <c r="A49368" s="1" t="n">
        <v>49367</v>
      </c>
      <c r="B49368">
        <f>TEXT(49367, "[$-0E0000]yyyy-mm-dd")</f>
        <v/>
      </c>
      <c r="C49368" t="inlineStr">
        <is>
          <t>2035-01-21</t>
        </is>
      </c>
    </row>
    <row r="49369">
      <c r="A49369" s="1" t="n">
        <v>49368</v>
      </c>
      <c r="B49369">
        <f>TEXT(49368, "[$-0E0000]yyyy-mm-dd")</f>
        <v/>
      </c>
      <c r="C49369" t="inlineStr">
        <is>
          <t>2035-01-22</t>
        </is>
      </c>
    </row>
    <row r="49370">
      <c r="A49370" s="1" t="n">
        <v>49369</v>
      </c>
      <c r="B49370">
        <f>TEXT(49369, "[$-0E0000]yyyy-mm-dd")</f>
        <v/>
      </c>
      <c r="C49370" t="inlineStr">
        <is>
          <t>2035-01-23</t>
        </is>
      </c>
    </row>
    <row r="49371">
      <c r="A49371" s="1" t="n">
        <v>49370</v>
      </c>
      <c r="B49371">
        <f>TEXT(49370, "[$-0E0000]yyyy-mm-dd")</f>
        <v/>
      </c>
      <c r="C49371" t="inlineStr">
        <is>
          <t>2035-01-24</t>
        </is>
      </c>
    </row>
    <row r="49372">
      <c r="A49372" s="1" t="n">
        <v>49371</v>
      </c>
      <c r="B49372">
        <f>TEXT(49371, "[$-0E0000]yyyy-mm-dd")</f>
        <v/>
      </c>
      <c r="C49372" t="inlineStr">
        <is>
          <t>2035-01-25</t>
        </is>
      </c>
    </row>
    <row r="49373">
      <c r="A49373" s="1" t="n">
        <v>49372</v>
      </c>
      <c r="B49373">
        <f>TEXT(49372, "[$-0E0000]yyyy-mm-dd")</f>
        <v/>
      </c>
      <c r="C49373" t="inlineStr">
        <is>
          <t>2035-01-26</t>
        </is>
      </c>
    </row>
    <row r="49374">
      <c r="A49374" s="1" t="n">
        <v>49373</v>
      </c>
      <c r="B49374">
        <f>TEXT(49373, "[$-0E0000]yyyy-mm-dd")</f>
        <v/>
      </c>
      <c r="C49374" t="inlineStr">
        <is>
          <t>2035-01-27</t>
        </is>
      </c>
    </row>
    <row r="49375">
      <c r="A49375" s="1" t="n">
        <v>49374</v>
      </c>
      <c r="B49375">
        <f>TEXT(49374, "[$-0E0000]yyyy-mm-dd")</f>
        <v/>
      </c>
      <c r="C49375" t="inlineStr">
        <is>
          <t>2035-01-28</t>
        </is>
      </c>
    </row>
    <row r="49376">
      <c r="A49376" s="1" t="n">
        <v>49375</v>
      </c>
      <c r="B49376">
        <f>TEXT(49375, "[$-0E0000]yyyy-mm-dd")</f>
        <v/>
      </c>
      <c r="C49376" t="inlineStr">
        <is>
          <t>2035-01-29</t>
        </is>
      </c>
    </row>
    <row r="49377">
      <c r="A49377" s="1" t="n">
        <v>49376</v>
      </c>
      <c r="B49377">
        <f>TEXT(49376, "[$-0E0000]yyyy-mm-dd")</f>
        <v/>
      </c>
      <c r="C49377" t="inlineStr">
        <is>
          <t>2035-01-30</t>
        </is>
      </c>
    </row>
    <row r="49378">
      <c r="A49378" s="1" t="n">
        <v>49377</v>
      </c>
      <c r="B49378">
        <f>TEXT(49377, "[$-0E0000]yyyy-mm-dd")</f>
        <v/>
      </c>
      <c r="C49378" t="inlineStr">
        <is>
          <t>2035-02-01</t>
        </is>
      </c>
    </row>
    <row r="49379">
      <c r="A49379" s="1" t="n">
        <v>49378</v>
      </c>
      <c r="B49379">
        <f>TEXT(49378, "[$-0E0000]yyyy-mm-dd")</f>
        <v/>
      </c>
      <c r="C49379" t="inlineStr">
        <is>
          <t>2035-02-02</t>
        </is>
      </c>
    </row>
    <row r="49380">
      <c r="A49380" s="1" t="n">
        <v>49379</v>
      </c>
      <c r="B49380">
        <f>TEXT(49379, "[$-0E0000]yyyy-mm-dd")</f>
        <v/>
      </c>
      <c r="C49380" t="inlineStr">
        <is>
          <t>2035-02-03</t>
        </is>
      </c>
    </row>
    <row r="49381">
      <c r="A49381" s="1" t="n">
        <v>49380</v>
      </c>
      <c r="B49381">
        <f>TEXT(49380, "[$-0E0000]yyyy-mm-dd")</f>
        <v/>
      </c>
      <c r="C49381" t="inlineStr">
        <is>
          <t>2035-02-04</t>
        </is>
      </c>
    </row>
    <row r="49382">
      <c r="A49382" s="1" t="n">
        <v>49381</v>
      </c>
      <c r="B49382">
        <f>TEXT(49381, "[$-0E0000]yyyy-mm-dd")</f>
        <v/>
      </c>
      <c r="C49382" t="inlineStr">
        <is>
          <t>2035-02-05</t>
        </is>
      </c>
    </row>
    <row r="49383">
      <c r="A49383" s="1" t="n">
        <v>49382</v>
      </c>
      <c r="B49383">
        <f>TEXT(49382, "[$-0E0000]yyyy-mm-dd")</f>
        <v/>
      </c>
      <c r="C49383" t="inlineStr">
        <is>
          <t>2035-02-06</t>
        </is>
      </c>
    </row>
    <row r="49384">
      <c r="A49384" s="1" t="n">
        <v>49383</v>
      </c>
      <c r="B49384">
        <f>TEXT(49383, "[$-0E0000]yyyy-mm-dd")</f>
        <v/>
      </c>
      <c r="C49384" t="inlineStr">
        <is>
          <t>2035-02-07</t>
        </is>
      </c>
    </row>
    <row r="49385">
      <c r="A49385" s="1" t="n">
        <v>49384</v>
      </c>
      <c r="B49385">
        <f>TEXT(49384, "[$-0E0000]yyyy-mm-dd")</f>
        <v/>
      </c>
      <c r="C49385" t="inlineStr">
        <is>
          <t>2035-02-08</t>
        </is>
      </c>
    </row>
    <row r="49386">
      <c r="A49386" s="1" t="n">
        <v>49385</v>
      </c>
      <c r="B49386">
        <f>TEXT(49385, "[$-0E0000]yyyy-mm-dd")</f>
        <v/>
      </c>
      <c r="C49386" t="inlineStr">
        <is>
          <t>2035-02-09</t>
        </is>
      </c>
    </row>
    <row r="49387">
      <c r="A49387" s="1" t="n">
        <v>49386</v>
      </c>
      <c r="B49387">
        <f>TEXT(49386, "[$-0E0000]yyyy-mm-dd")</f>
        <v/>
      </c>
      <c r="C49387" t="inlineStr">
        <is>
          <t>2035-02-10</t>
        </is>
      </c>
    </row>
    <row r="49388">
      <c r="A49388" s="1" t="n">
        <v>49387</v>
      </c>
      <c r="B49388">
        <f>TEXT(49387, "[$-0E0000]yyyy-mm-dd")</f>
        <v/>
      </c>
      <c r="C49388" t="inlineStr">
        <is>
          <t>2035-02-11</t>
        </is>
      </c>
    </row>
    <row r="49389">
      <c r="A49389" s="1" t="n">
        <v>49388</v>
      </c>
      <c r="B49389">
        <f>TEXT(49388, "[$-0E0000]yyyy-mm-dd")</f>
        <v/>
      </c>
      <c r="C49389" t="inlineStr">
        <is>
          <t>2035-02-12</t>
        </is>
      </c>
    </row>
    <row r="49390">
      <c r="A49390" s="1" t="n">
        <v>49389</v>
      </c>
      <c r="B49390">
        <f>TEXT(49389, "[$-0E0000]yyyy-mm-dd")</f>
        <v/>
      </c>
      <c r="C49390" t="inlineStr">
        <is>
          <t>2035-02-13</t>
        </is>
      </c>
    </row>
    <row r="49391">
      <c r="A49391" s="1" t="n">
        <v>49390</v>
      </c>
      <c r="B49391">
        <f>TEXT(49390, "[$-0E0000]yyyy-mm-dd")</f>
        <v/>
      </c>
      <c r="C49391" t="inlineStr">
        <is>
          <t>2035-02-14</t>
        </is>
      </c>
    </row>
    <row r="49392">
      <c r="A49392" s="1" t="n">
        <v>49391</v>
      </c>
      <c r="B49392">
        <f>TEXT(49391, "[$-0E0000]yyyy-mm-dd")</f>
        <v/>
      </c>
      <c r="C49392" t="inlineStr">
        <is>
          <t>2035-02-15</t>
        </is>
      </c>
    </row>
    <row r="49393">
      <c r="A49393" s="1" t="n">
        <v>49392</v>
      </c>
      <c r="B49393">
        <f>TEXT(49392, "[$-0E0000]yyyy-mm-dd")</f>
        <v/>
      </c>
      <c r="C49393" t="inlineStr">
        <is>
          <t>2035-02-16</t>
        </is>
      </c>
    </row>
    <row r="49394">
      <c r="A49394" s="1" t="n">
        <v>49393</v>
      </c>
      <c r="B49394">
        <f>TEXT(49393, "[$-0E0000]yyyy-mm-dd")</f>
        <v/>
      </c>
      <c r="C49394" t="inlineStr">
        <is>
          <t>2035-02-17</t>
        </is>
      </c>
    </row>
    <row r="49395">
      <c r="A49395" s="1" t="n">
        <v>49394</v>
      </c>
      <c r="B49395">
        <f>TEXT(49394, "[$-0E0000]yyyy-mm-dd")</f>
        <v/>
      </c>
      <c r="C49395" t="inlineStr">
        <is>
          <t>2035-02-18</t>
        </is>
      </c>
    </row>
    <row r="49396">
      <c r="A49396" s="1" t="n">
        <v>49395</v>
      </c>
      <c r="B49396">
        <f>TEXT(49395, "[$-0E0000]yyyy-mm-dd")</f>
        <v/>
      </c>
      <c r="C49396" t="inlineStr">
        <is>
          <t>2035-02-19</t>
        </is>
      </c>
    </row>
    <row r="49397">
      <c r="A49397" s="1" t="n">
        <v>49396</v>
      </c>
      <c r="B49397">
        <f>TEXT(49396, "[$-0E0000]yyyy-mm-dd")</f>
        <v/>
      </c>
      <c r="C49397" t="inlineStr">
        <is>
          <t>2035-02-20</t>
        </is>
      </c>
    </row>
    <row r="49398">
      <c r="A49398" s="1" t="n">
        <v>49397</v>
      </c>
      <c r="B49398">
        <f>TEXT(49397, "[$-0E0000]yyyy-mm-dd")</f>
        <v/>
      </c>
      <c r="C49398" t="inlineStr">
        <is>
          <t>2035-02-21</t>
        </is>
      </c>
    </row>
    <row r="49399">
      <c r="A49399" s="1" t="n">
        <v>49398</v>
      </c>
      <c r="B49399">
        <f>TEXT(49398, "[$-0E0000]yyyy-mm-dd")</f>
        <v/>
      </c>
      <c r="C49399" t="inlineStr">
        <is>
          <t>2035-02-22</t>
        </is>
      </c>
    </row>
    <row r="49400">
      <c r="A49400" s="1" t="n">
        <v>49399</v>
      </c>
      <c r="B49400">
        <f>TEXT(49399, "[$-0E0000]yyyy-mm-dd")</f>
        <v/>
      </c>
      <c r="C49400" t="inlineStr">
        <is>
          <t>2035-02-23</t>
        </is>
      </c>
    </row>
    <row r="49401">
      <c r="A49401" s="1" t="n">
        <v>49400</v>
      </c>
      <c r="B49401">
        <f>TEXT(49400, "[$-0E0000]yyyy-mm-dd")</f>
        <v/>
      </c>
      <c r="C49401" t="inlineStr">
        <is>
          <t>2035-02-24</t>
        </is>
      </c>
    </row>
    <row r="49402">
      <c r="A49402" s="1" t="n">
        <v>49401</v>
      </c>
      <c r="B49402">
        <f>TEXT(49401, "[$-0E0000]yyyy-mm-dd")</f>
        <v/>
      </c>
      <c r="C49402" t="inlineStr">
        <is>
          <t>2035-02-25</t>
        </is>
      </c>
    </row>
    <row r="49403">
      <c r="A49403" s="1" t="n">
        <v>49402</v>
      </c>
      <c r="B49403">
        <f>TEXT(49402, "[$-0E0000]yyyy-mm-dd")</f>
        <v/>
      </c>
      <c r="C49403" t="inlineStr">
        <is>
          <t>2035-02-26</t>
        </is>
      </c>
    </row>
    <row r="49404">
      <c r="A49404" s="1" t="n">
        <v>49403</v>
      </c>
      <c r="B49404">
        <f>TEXT(49403, "[$-0E0000]yyyy-mm-dd")</f>
        <v/>
      </c>
      <c r="C49404" t="inlineStr">
        <is>
          <t>2035-02-27</t>
        </is>
      </c>
    </row>
    <row r="49405">
      <c r="A49405" s="1" t="n">
        <v>49404</v>
      </c>
      <c r="B49405">
        <f>TEXT(49404, "[$-0E0000]yyyy-mm-dd")</f>
        <v/>
      </c>
      <c r="C49405" t="inlineStr">
        <is>
          <t>2035-02-28</t>
        </is>
      </c>
    </row>
    <row r="49406">
      <c r="A49406" s="1" t="n">
        <v>49405</v>
      </c>
      <c r="B49406">
        <f>TEXT(49405, "[$-0E0000]yyyy-mm-dd")</f>
        <v/>
      </c>
      <c r="C49406" t="inlineStr">
        <is>
          <t>2035-02-29</t>
        </is>
      </c>
    </row>
    <row r="49407">
      <c r="A49407" s="1" t="n">
        <v>49406</v>
      </c>
      <c r="B49407">
        <f>TEXT(49406, "[$-0E0000]yyyy-mm-dd")</f>
        <v/>
      </c>
      <c r="C49407" t="inlineStr">
        <is>
          <t>2035-03-01</t>
        </is>
      </c>
    </row>
    <row r="49408">
      <c r="A49408" s="1" t="n">
        <v>49407</v>
      </c>
      <c r="B49408">
        <f>TEXT(49407, "[$-0E0000]yyyy-mm-dd")</f>
        <v/>
      </c>
      <c r="C49408" t="inlineStr">
        <is>
          <t>2035-03-02</t>
        </is>
      </c>
    </row>
    <row r="49409">
      <c r="A49409" s="1" t="n">
        <v>49408</v>
      </c>
      <c r="B49409">
        <f>TEXT(49408, "[$-0E0000]yyyy-mm-dd")</f>
        <v/>
      </c>
      <c r="C49409" t="inlineStr">
        <is>
          <t>2035-03-03</t>
        </is>
      </c>
    </row>
    <row r="49410">
      <c r="A49410" s="1" t="n">
        <v>49409</v>
      </c>
      <c r="B49410">
        <f>TEXT(49409, "[$-0E0000]yyyy-mm-dd")</f>
        <v/>
      </c>
      <c r="C49410" t="inlineStr">
        <is>
          <t>2035-03-04</t>
        </is>
      </c>
    </row>
    <row r="49411">
      <c r="A49411" s="1" t="n">
        <v>49410</v>
      </c>
      <c r="B49411">
        <f>TEXT(49410, "[$-0E0000]yyyy-mm-dd")</f>
        <v/>
      </c>
      <c r="C49411" t="inlineStr">
        <is>
          <t>2035-03-05</t>
        </is>
      </c>
    </row>
    <row r="49412">
      <c r="A49412" s="1" t="n">
        <v>49411</v>
      </c>
      <c r="B49412">
        <f>TEXT(49411, "[$-0E0000]yyyy-mm-dd")</f>
        <v/>
      </c>
      <c r="C49412" t="inlineStr">
        <is>
          <t>2035-03-06</t>
        </is>
      </c>
    </row>
    <row r="49413">
      <c r="A49413" s="1" t="n">
        <v>49412</v>
      </c>
      <c r="B49413">
        <f>TEXT(49412, "[$-0E0000]yyyy-mm-dd")</f>
        <v/>
      </c>
      <c r="C49413" t="inlineStr">
        <is>
          <t>2035-03-07</t>
        </is>
      </c>
    </row>
    <row r="49414">
      <c r="A49414" s="1" t="n">
        <v>49413</v>
      </c>
      <c r="B49414">
        <f>TEXT(49413, "[$-0E0000]yyyy-mm-dd")</f>
        <v/>
      </c>
      <c r="C49414" t="inlineStr">
        <is>
          <t>2035-03-08</t>
        </is>
      </c>
    </row>
    <row r="49415">
      <c r="A49415" s="1" t="n">
        <v>49414</v>
      </c>
      <c r="B49415">
        <f>TEXT(49414, "[$-0E0000]yyyy-mm-dd")</f>
        <v/>
      </c>
      <c r="C49415" t="inlineStr">
        <is>
          <t>2035-03-09</t>
        </is>
      </c>
    </row>
    <row r="49416">
      <c r="A49416" s="1" t="n">
        <v>49415</v>
      </c>
      <c r="B49416">
        <f>TEXT(49415, "[$-0E0000]yyyy-mm-dd")</f>
        <v/>
      </c>
      <c r="C49416" t="inlineStr">
        <is>
          <t>2035-03-10</t>
        </is>
      </c>
    </row>
    <row r="49417">
      <c r="A49417" s="1" t="n">
        <v>49416</v>
      </c>
      <c r="B49417">
        <f>TEXT(49416, "[$-0E0000]yyyy-mm-dd")</f>
        <v/>
      </c>
      <c r="C49417" t="inlineStr">
        <is>
          <t>2035-03-11</t>
        </is>
      </c>
    </row>
    <row r="49418">
      <c r="A49418" s="1" t="n">
        <v>49417</v>
      </c>
      <c r="B49418">
        <f>TEXT(49417, "[$-0E0000]yyyy-mm-dd")</f>
        <v/>
      </c>
      <c r="C49418" t="inlineStr">
        <is>
          <t>2035-03-12</t>
        </is>
      </c>
    </row>
    <row r="49419">
      <c r="A49419" s="1" t="n">
        <v>49418</v>
      </c>
      <c r="B49419">
        <f>TEXT(49418, "[$-0E0000]yyyy-mm-dd")</f>
        <v/>
      </c>
      <c r="C49419" t="inlineStr">
        <is>
          <t>2035-03-13</t>
        </is>
      </c>
    </row>
    <row r="49420">
      <c r="A49420" s="1" t="n">
        <v>49419</v>
      </c>
      <c r="B49420">
        <f>TEXT(49419, "[$-0E0000]yyyy-mm-dd")</f>
        <v/>
      </c>
      <c r="C49420" t="inlineStr">
        <is>
          <t>2035-03-14</t>
        </is>
      </c>
    </row>
    <row r="49421">
      <c r="A49421" s="1" t="n">
        <v>49420</v>
      </c>
      <c r="B49421">
        <f>TEXT(49420, "[$-0E0000]yyyy-mm-dd")</f>
        <v/>
      </c>
      <c r="C49421" t="inlineStr">
        <is>
          <t>2035-03-15</t>
        </is>
      </c>
    </row>
    <row r="49422">
      <c r="A49422" s="1" t="n">
        <v>49421</v>
      </c>
      <c r="B49422">
        <f>TEXT(49421, "[$-0E0000]yyyy-mm-dd")</f>
        <v/>
      </c>
      <c r="C49422" t="inlineStr">
        <is>
          <t>2035-03-16</t>
        </is>
      </c>
    </row>
    <row r="49423">
      <c r="A49423" s="1" t="n">
        <v>49422</v>
      </c>
      <c r="B49423">
        <f>TEXT(49422, "[$-0E0000]yyyy-mm-dd")</f>
        <v/>
      </c>
      <c r="C49423" t="inlineStr">
        <is>
          <t>2035-03-17</t>
        </is>
      </c>
    </row>
    <row r="49424">
      <c r="A49424" s="1" t="n">
        <v>49423</v>
      </c>
      <c r="B49424">
        <f>TEXT(49423, "[$-0E0000]yyyy-mm-dd")</f>
        <v/>
      </c>
      <c r="C49424" t="inlineStr">
        <is>
          <t>2035-03-18</t>
        </is>
      </c>
    </row>
    <row r="49425">
      <c r="A49425" s="1" t="n">
        <v>49424</v>
      </c>
      <c r="B49425">
        <f>TEXT(49424, "[$-0E0000]yyyy-mm-dd")</f>
        <v/>
      </c>
      <c r="C49425" t="inlineStr">
        <is>
          <t>2035-03-19</t>
        </is>
      </c>
    </row>
    <row r="49426">
      <c r="A49426" s="1" t="n">
        <v>49425</v>
      </c>
      <c r="B49426">
        <f>TEXT(49425, "[$-0E0000]yyyy-mm-dd")</f>
        <v/>
      </c>
      <c r="C49426" t="inlineStr">
        <is>
          <t>2035-03-20</t>
        </is>
      </c>
    </row>
    <row r="49427">
      <c r="A49427" s="1" t="n">
        <v>49426</v>
      </c>
      <c r="B49427">
        <f>TEXT(49426, "[$-0E0000]yyyy-mm-dd")</f>
        <v/>
      </c>
      <c r="C49427" t="inlineStr">
        <is>
          <t>2035-03-21</t>
        </is>
      </c>
    </row>
    <row r="49428">
      <c r="A49428" s="1" t="n">
        <v>49427</v>
      </c>
      <c r="B49428">
        <f>TEXT(49427, "[$-0E0000]yyyy-mm-dd")</f>
        <v/>
      </c>
      <c r="C49428" t="inlineStr">
        <is>
          <t>2035-03-22</t>
        </is>
      </c>
    </row>
    <row r="49429">
      <c r="A49429" s="1" t="n">
        <v>49428</v>
      </c>
      <c r="B49429">
        <f>TEXT(49428, "[$-0E0000]yyyy-mm-dd")</f>
        <v/>
      </c>
      <c r="C49429" t="inlineStr">
        <is>
          <t>2035-03-23</t>
        </is>
      </c>
    </row>
    <row r="49430">
      <c r="A49430" s="1" t="n">
        <v>49429</v>
      </c>
      <c r="B49430">
        <f>TEXT(49429, "[$-0E0000]yyyy-mm-dd")</f>
        <v/>
      </c>
      <c r="C49430" t="inlineStr">
        <is>
          <t>2035-03-24</t>
        </is>
      </c>
    </row>
    <row r="49431">
      <c r="A49431" s="1" t="n">
        <v>49430</v>
      </c>
      <c r="B49431">
        <f>TEXT(49430, "[$-0E0000]yyyy-mm-dd")</f>
        <v/>
      </c>
      <c r="C49431" t="inlineStr">
        <is>
          <t>2035-03-25</t>
        </is>
      </c>
    </row>
    <row r="49432">
      <c r="A49432" s="1" t="n">
        <v>49431</v>
      </c>
      <c r="B49432">
        <f>TEXT(49431, "[$-0E0000]yyyy-mm-dd")</f>
        <v/>
      </c>
      <c r="C49432" t="inlineStr">
        <is>
          <t>2035-03-26</t>
        </is>
      </c>
    </row>
    <row r="49433">
      <c r="A49433" s="1" t="n">
        <v>49432</v>
      </c>
      <c r="B49433">
        <f>TEXT(49432, "[$-0E0000]yyyy-mm-dd")</f>
        <v/>
      </c>
      <c r="C49433" t="inlineStr">
        <is>
          <t>2035-03-27</t>
        </is>
      </c>
    </row>
    <row r="49434">
      <c r="A49434" s="1" t="n">
        <v>49433</v>
      </c>
      <c r="B49434">
        <f>TEXT(49433, "[$-0E0000]yyyy-mm-dd")</f>
        <v/>
      </c>
      <c r="C49434" t="inlineStr">
        <is>
          <t>2035-03-28</t>
        </is>
      </c>
    </row>
    <row r="49435">
      <c r="A49435" s="1" t="n">
        <v>49434</v>
      </c>
      <c r="B49435">
        <f>TEXT(49434, "[$-0E0000]yyyy-mm-dd")</f>
        <v/>
      </c>
      <c r="C49435" t="inlineStr">
        <is>
          <t>2035-03-29</t>
        </is>
      </c>
    </row>
    <row r="49436">
      <c r="A49436" s="1" t="n">
        <v>49435</v>
      </c>
      <c r="B49436">
        <f>TEXT(49435, "[$-0E0000]yyyy-mm-dd")</f>
        <v/>
      </c>
      <c r="C49436" t="inlineStr">
        <is>
          <t>2035-03-30</t>
        </is>
      </c>
    </row>
    <row r="49437">
      <c r="A49437" s="1" t="n">
        <v>49436</v>
      </c>
      <c r="B49437">
        <f>TEXT(49436, "[$-0E0000]yyyy-mm-dd")</f>
        <v/>
      </c>
      <c r="C49437" t="inlineStr">
        <is>
          <t>2035-04-01</t>
        </is>
      </c>
    </row>
    <row r="49438">
      <c r="A49438" s="1" t="n">
        <v>49437</v>
      </c>
      <c r="B49438">
        <f>TEXT(49437, "[$-0E0000]yyyy-mm-dd")</f>
        <v/>
      </c>
      <c r="C49438" t="inlineStr">
        <is>
          <t>2035-04-02</t>
        </is>
      </c>
    </row>
    <row r="49439">
      <c r="A49439" s="1" t="n">
        <v>49438</v>
      </c>
      <c r="B49439">
        <f>TEXT(49438, "[$-0E0000]yyyy-mm-dd")</f>
        <v/>
      </c>
      <c r="C49439" t="inlineStr">
        <is>
          <t>2035-04-03</t>
        </is>
      </c>
    </row>
    <row r="49440">
      <c r="A49440" s="1" t="n">
        <v>49439</v>
      </c>
      <c r="B49440">
        <f>TEXT(49439, "[$-0E0000]yyyy-mm-dd")</f>
        <v/>
      </c>
      <c r="C49440" t="inlineStr">
        <is>
          <t>2035-04-04</t>
        </is>
      </c>
    </row>
    <row r="49441">
      <c r="A49441" s="1" t="n">
        <v>49440</v>
      </c>
      <c r="B49441">
        <f>TEXT(49440, "[$-0E0000]yyyy-mm-dd")</f>
        <v/>
      </c>
      <c r="C49441" t="inlineStr">
        <is>
          <t>2035-04-05</t>
        </is>
      </c>
    </row>
    <row r="49442">
      <c r="A49442" s="1" t="n">
        <v>49441</v>
      </c>
      <c r="B49442">
        <f>TEXT(49441, "[$-0E0000]yyyy-mm-dd")</f>
        <v/>
      </c>
      <c r="C49442" t="inlineStr">
        <is>
          <t>2035-04-06</t>
        </is>
      </c>
    </row>
    <row r="49443">
      <c r="A49443" s="1" t="n">
        <v>49442</v>
      </c>
      <c r="B49443">
        <f>TEXT(49442, "[$-0E0000]yyyy-mm-dd")</f>
        <v/>
      </c>
      <c r="C49443" t="inlineStr">
        <is>
          <t>2035-04-07</t>
        </is>
      </c>
    </row>
    <row r="49444">
      <c r="A49444" s="1" t="n">
        <v>49443</v>
      </c>
      <c r="B49444">
        <f>TEXT(49443, "[$-0E0000]yyyy-mm-dd")</f>
        <v/>
      </c>
      <c r="C49444" t="inlineStr">
        <is>
          <t>2035-04-08</t>
        </is>
      </c>
    </row>
    <row r="49445">
      <c r="A49445" s="1" t="n">
        <v>49444</v>
      </c>
      <c r="B49445">
        <f>TEXT(49444, "[$-0E0000]yyyy-mm-dd")</f>
        <v/>
      </c>
      <c r="C49445" t="inlineStr">
        <is>
          <t>2035-04-09</t>
        </is>
      </c>
    </row>
    <row r="49446">
      <c r="A49446" s="1" t="n">
        <v>49445</v>
      </c>
      <c r="B49446">
        <f>TEXT(49445, "[$-0E0000]yyyy-mm-dd")</f>
        <v/>
      </c>
      <c r="C49446" t="inlineStr">
        <is>
          <t>2035-04-10</t>
        </is>
      </c>
    </row>
    <row r="49447">
      <c r="A49447" s="1" t="n">
        <v>49446</v>
      </c>
      <c r="B49447">
        <f>TEXT(49446, "[$-0E0000]yyyy-mm-dd")</f>
        <v/>
      </c>
      <c r="C49447" t="inlineStr">
        <is>
          <t>2035-04-11</t>
        </is>
      </c>
    </row>
    <row r="49448">
      <c r="A49448" s="1" t="n">
        <v>49447</v>
      </c>
      <c r="B49448">
        <f>TEXT(49447, "[$-0E0000]yyyy-mm-dd")</f>
        <v/>
      </c>
      <c r="C49448" t="inlineStr">
        <is>
          <t>2035-04-12</t>
        </is>
      </c>
    </row>
    <row r="49449">
      <c r="A49449" s="1" t="n">
        <v>49448</v>
      </c>
      <c r="B49449">
        <f>TEXT(49448, "[$-0E0000]yyyy-mm-dd")</f>
        <v/>
      </c>
      <c r="C49449" t="inlineStr">
        <is>
          <t>2035-04-13</t>
        </is>
      </c>
    </row>
    <row r="49450">
      <c r="A49450" s="1" t="n">
        <v>49449</v>
      </c>
      <c r="B49450">
        <f>TEXT(49449, "[$-0E0000]yyyy-mm-dd")</f>
        <v/>
      </c>
      <c r="C49450" t="inlineStr">
        <is>
          <t>2035-04-14</t>
        </is>
      </c>
    </row>
    <row r="49451">
      <c r="A49451" s="1" t="n">
        <v>49450</v>
      </c>
      <c r="B49451">
        <f>TEXT(49450, "[$-0E0000]yyyy-mm-dd")</f>
        <v/>
      </c>
      <c r="C49451" t="inlineStr">
        <is>
          <t>2035-04-15</t>
        </is>
      </c>
    </row>
    <row r="49452">
      <c r="A49452" s="1" t="n">
        <v>49451</v>
      </c>
      <c r="B49452">
        <f>TEXT(49451, "[$-0E0000]yyyy-mm-dd")</f>
        <v/>
      </c>
      <c r="C49452" t="inlineStr">
        <is>
          <t>2035-04-16</t>
        </is>
      </c>
    </row>
    <row r="49453">
      <c r="A49453" s="1" t="n">
        <v>49452</v>
      </c>
      <c r="B49453">
        <f>TEXT(49452, "[$-0E0000]yyyy-mm-dd")</f>
        <v/>
      </c>
      <c r="C49453" t="inlineStr">
        <is>
          <t>2035-04-17</t>
        </is>
      </c>
    </row>
    <row r="49454">
      <c r="A49454" s="1" t="n">
        <v>49453</v>
      </c>
      <c r="B49454">
        <f>TEXT(49453, "[$-0E0000]yyyy-mm-dd")</f>
        <v/>
      </c>
      <c r="C49454" t="inlineStr">
        <is>
          <t>2035-04-18</t>
        </is>
      </c>
    </row>
    <row r="49455">
      <c r="A49455" s="1" t="n">
        <v>49454</v>
      </c>
      <c r="B49455">
        <f>TEXT(49454, "[$-0E0000]yyyy-mm-dd")</f>
        <v/>
      </c>
      <c r="C49455" t="inlineStr">
        <is>
          <t>2035-04-19</t>
        </is>
      </c>
    </row>
    <row r="49456">
      <c r="A49456" s="1" t="n">
        <v>49455</v>
      </c>
      <c r="B49456">
        <f>TEXT(49455, "[$-0E0000]yyyy-mm-dd")</f>
        <v/>
      </c>
      <c r="C49456" t="inlineStr">
        <is>
          <t>2035-04-20</t>
        </is>
      </c>
    </row>
    <row r="49457">
      <c r="A49457" s="1" t="n">
        <v>49456</v>
      </c>
      <c r="B49457">
        <f>TEXT(49456, "[$-0E0000]yyyy-mm-dd")</f>
        <v/>
      </c>
      <c r="C49457" t="inlineStr">
        <is>
          <t>2035-04-21</t>
        </is>
      </c>
    </row>
    <row r="49458">
      <c r="A49458" s="1" t="n">
        <v>49457</v>
      </c>
      <c r="B49458">
        <f>TEXT(49457, "[$-0E0000]yyyy-mm-dd")</f>
        <v/>
      </c>
      <c r="C49458" t="inlineStr">
        <is>
          <t>2035-04-22</t>
        </is>
      </c>
    </row>
    <row r="49459">
      <c r="A49459" s="1" t="n">
        <v>49458</v>
      </c>
      <c r="B49459">
        <f>TEXT(49458, "[$-0E0000]yyyy-mm-dd")</f>
        <v/>
      </c>
      <c r="C49459" t="inlineStr">
        <is>
          <t>2035-04-23</t>
        </is>
      </c>
    </row>
    <row r="49460">
      <c r="A49460" s="1" t="n">
        <v>49459</v>
      </c>
      <c r="B49460">
        <f>TEXT(49459, "[$-0E0000]yyyy-mm-dd")</f>
        <v/>
      </c>
      <c r="C49460" t="inlineStr">
        <is>
          <t>2035-04-24</t>
        </is>
      </c>
    </row>
    <row r="49461">
      <c r="A49461" s="1" t="n">
        <v>49460</v>
      </c>
      <c r="B49461">
        <f>TEXT(49460, "[$-0E0000]yyyy-mm-dd")</f>
        <v/>
      </c>
      <c r="C49461" t="inlineStr">
        <is>
          <t>2035-04-25</t>
        </is>
      </c>
    </row>
    <row r="49462">
      <c r="A49462" s="1" t="n">
        <v>49461</v>
      </c>
      <c r="B49462">
        <f>TEXT(49461, "[$-0E0000]yyyy-mm-dd")</f>
        <v/>
      </c>
      <c r="C49462" t="inlineStr">
        <is>
          <t>2035-04-26</t>
        </is>
      </c>
    </row>
    <row r="49463">
      <c r="A49463" s="1" t="n">
        <v>49462</v>
      </c>
      <c r="B49463">
        <f>TEXT(49462, "[$-0E0000]yyyy-mm-dd")</f>
        <v/>
      </c>
      <c r="C49463" t="inlineStr">
        <is>
          <t>2035-04-27</t>
        </is>
      </c>
    </row>
    <row r="49464">
      <c r="A49464" s="1" t="n">
        <v>49463</v>
      </c>
      <c r="B49464">
        <f>TEXT(49463, "[$-0E0000]yyyy-mm-dd")</f>
        <v/>
      </c>
      <c r="C49464" t="inlineStr">
        <is>
          <t>2035-04-28</t>
        </is>
      </c>
    </row>
    <row r="49465">
      <c r="A49465" s="1" t="n">
        <v>49464</v>
      </c>
      <c r="B49465">
        <f>TEXT(49464, "[$-0E0000]yyyy-mm-dd")</f>
        <v/>
      </c>
      <c r="C49465" t="inlineStr">
        <is>
          <t>2035-04-29</t>
        </is>
      </c>
    </row>
    <row r="49466">
      <c r="A49466" s="1" t="n">
        <v>49465</v>
      </c>
      <c r="B49466">
        <f>TEXT(49465, "[$-0E0000]yyyy-mm-dd")</f>
        <v/>
      </c>
      <c r="C49466" t="inlineStr">
        <is>
          <t>2035-05-01</t>
        </is>
      </c>
    </row>
    <row r="49467">
      <c r="A49467" s="1" t="n">
        <v>49466</v>
      </c>
      <c r="B49467">
        <f>TEXT(49466, "[$-0E0000]yyyy-mm-dd")</f>
        <v/>
      </c>
      <c r="C49467" t="inlineStr">
        <is>
          <t>2035-05-02</t>
        </is>
      </c>
    </row>
    <row r="49468">
      <c r="A49468" s="1" t="n">
        <v>49467</v>
      </c>
      <c r="B49468">
        <f>TEXT(49467, "[$-0E0000]yyyy-mm-dd")</f>
        <v/>
      </c>
      <c r="C49468" t="inlineStr">
        <is>
          <t>2035-05-03</t>
        </is>
      </c>
    </row>
    <row r="49469">
      <c r="A49469" s="1" t="n">
        <v>49468</v>
      </c>
      <c r="B49469">
        <f>TEXT(49468, "[$-0E0000]yyyy-mm-dd")</f>
        <v/>
      </c>
      <c r="C49469" t="inlineStr">
        <is>
          <t>2035-05-04</t>
        </is>
      </c>
    </row>
    <row r="49470">
      <c r="A49470" s="1" t="n">
        <v>49469</v>
      </c>
      <c r="B49470">
        <f>TEXT(49469, "[$-0E0000]yyyy-mm-dd")</f>
        <v/>
      </c>
      <c r="C49470" t="inlineStr">
        <is>
          <t>2035-05-05</t>
        </is>
      </c>
    </row>
    <row r="49471">
      <c r="A49471" s="1" t="n">
        <v>49470</v>
      </c>
      <c r="B49471">
        <f>TEXT(49470, "[$-0E0000]yyyy-mm-dd")</f>
        <v/>
      </c>
      <c r="C49471" t="inlineStr">
        <is>
          <t>2035-05-06</t>
        </is>
      </c>
    </row>
    <row r="49472">
      <c r="A49472" s="1" t="n">
        <v>49471</v>
      </c>
      <c r="B49472">
        <f>TEXT(49471, "[$-0E0000]yyyy-mm-dd")</f>
        <v/>
      </c>
      <c r="C49472" t="inlineStr">
        <is>
          <t>2035-05-07</t>
        </is>
      </c>
    </row>
    <row r="49473">
      <c r="A49473" s="1" t="n">
        <v>49472</v>
      </c>
      <c r="B49473">
        <f>TEXT(49472, "[$-0E0000]yyyy-mm-dd")</f>
        <v/>
      </c>
      <c r="C49473" t="inlineStr">
        <is>
          <t>2035-05-08</t>
        </is>
      </c>
    </row>
    <row r="49474">
      <c r="A49474" s="1" t="n">
        <v>49473</v>
      </c>
      <c r="B49474">
        <f>TEXT(49473, "[$-0E0000]yyyy-mm-dd")</f>
        <v/>
      </c>
      <c r="C49474" t="inlineStr">
        <is>
          <t>2035-05-09</t>
        </is>
      </c>
    </row>
    <row r="49475">
      <c r="A49475" s="1" t="n">
        <v>49474</v>
      </c>
      <c r="B49475">
        <f>TEXT(49474, "[$-0E0000]yyyy-mm-dd")</f>
        <v/>
      </c>
      <c r="C49475" t="inlineStr">
        <is>
          <t>2035-05-10</t>
        </is>
      </c>
    </row>
    <row r="49476">
      <c r="A49476" s="1" t="n">
        <v>49475</v>
      </c>
      <c r="B49476">
        <f>TEXT(49475, "[$-0E0000]yyyy-mm-dd")</f>
        <v/>
      </c>
      <c r="C49476" t="inlineStr">
        <is>
          <t>2035-05-11</t>
        </is>
      </c>
    </row>
    <row r="49477">
      <c r="A49477" s="1" t="n">
        <v>49476</v>
      </c>
      <c r="B49477">
        <f>TEXT(49476, "[$-0E0000]yyyy-mm-dd")</f>
        <v/>
      </c>
      <c r="C49477" t="inlineStr">
        <is>
          <t>2035-05-12</t>
        </is>
      </c>
    </row>
    <row r="49478">
      <c r="A49478" s="1" t="n">
        <v>49477</v>
      </c>
      <c r="B49478">
        <f>TEXT(49477, "[$-0E0000]yyyy-mm-dd")</f>
        <v/>
      </c>
      <c r="C49478" t="inlineStr">
        <is>
          <t>2035-05-13</t>
        </is>
      </c>
    </row>
    <row r="49479">
      <c r="A49479" s="1" t="n">
        <v>49478</v>
      </c>
      <c r="B49479">
        <f>TEXT(49478, "[$-0E0000]yyyy-mm-dd")</f>
        <v/>
      </c>
      <c r="C49479" t="inlineStr">
        <is>
          <t>2035-05-14</t>
        </is>
      </c>
    </row>
    <row r="49480">
      <c r="A49480" s="1" t="n">
        <v>49479</v>
      </c>
      <c r="B49480">
        <f>TEXT(49479, "[$-0E0000]yyyy-mm-dd")</f>
        <v/>
      </c>
      <c r="C49480" t="inlineStr">
        <is>
          <t>2035-05-15</t>
        </is>
      </c>
    </row>
    <row r="49481">
      <c r="A49481" s="1" t="n">
        <v>49480</v>
      </c>
      <c r="B49481">
        <f>TEXT(49480, "[$-0E0000]yyyy-mm-dd")</f>
        <v/>
      </c>
      <c r="C49481" t="inlineStr">
        <is>
          <t>2035-05-16</t>
        </is>
      </c>
    </row>
    <row r="49482">
      <c r="A49482" s="1" t="n">
        <v>49481</v>
      </c>
      <c r="B49482">
        <f>TEXT(49481, "[$-0E0000]yyyy-mm-dd")</f>
        <v/>
      </c>
      <c r="C49482" t="inlineStr">
        <is>
          <t>2035-05-17</t>
        </is>
      </c>
    </row>
    <row r="49483">
      <c r="A49483" s="1" t="n">
        <v>49482</v>
      </c>
      <c r="B49483">
        <f>TEXT(49482, "[$-0E0000]yyyy-mm-dd")</f>
        <v/>
      </c>
      <c r="C49483" t="inlineStr">
        <is>
          <t>2035-05-18</t>
        </is>
      </c>
    </row>
    <row r="49484">
      <c r="A49484" s="1" t="n">
        <v>49483</v>
      </c>
      <c r="B49484">
        <f>TEXT(49483, "[$-0E0000]yyyy-mm-dd")</f>
        <v/>
      </c>
      <c r="C49484" t="inlineStr">
        <is>
          <t>2035-05-19</t>
        </is>
      </c>
    </row>
    <row r="49485">
      <c r="A49485" s="1" t="n">
        <v>49484</v>
      </c>
      <c r="B49485">
        <f>TEXT(49484, "[$-0E0000]yyyy-mm-dd")</f>
        <v/>
      </c>
      <c r="C49485" t="inlineStr">
        <is>
          <t>2035-05-20</t>
        </is>
      </c>
    </row>
    <row r="49486">
      <c r="A49486" s="1" t="n">
        <v>49485</v>
      </c>
      <c r="B49486">
        <f>TEXT(49485, "[$-0E0000]yyyy-mm-dd")</f>
        <v/>
      </c>
      <c r="C49486" t="inlineStr">
        <is>
          <t>2035-05-21</t>
        </is>
      </c>
    </row>
    <row r="49487">
      <c r="A49487" s="1" t="n">
        <v>49486</v>
      </c>
      <c r="B49487">
        <f>TEXT(49486, "[$-0E0000]yyyy-mm-dd")</f>
        <v/>
      </c>
      <c r="C49487" t="inlineStr">
        <is>
          <t>2035-05-22</t>
        </is>
      </c>
    </row>
    <row r="49488">
      <c r="A49488" s="1" t="n">
        <v>49487</v>
      </c>
      <c r="B49488">
        <f>TEXT(49487, "[$-0E0000]yyyy-mm-dd")</f>
        <v/>
      </c>
      <c r="C49488" t="inlineStr">
        <is>
          <t>2035-05-23</t>
        </is>
      </c>
    </row>
    <row r="49489">
      <c r="A49489" s="1" t="n">
        <v>49488</v>
      </c>
      <c r="B49489">
        <f>TEXT(49488, "[$-0E0000]yyyy-mm-dd")</f>
        <v/>
      </c>
      <c r="C49489" t="inlineStr">
        <is>
          <t>2035-05-24</t>
        </is>
      </c>
    </row>
    <row r="49490">
      <c r="A49490" s="1" t="n">
        <v>49489</v>
      </c>
      <c r="B49490">
        <f>TEXT(49489, "[$-0E0000]yyyy-mm-dd")</f>
        <v/>
      </c>
      <c r="C49490" t="inlineStr">
        <is>
          <t>2035-05-25</t>
        </is>
      </c>
    </row>
    <row r="49491">
      <c r="A49491" s="1" t="n">
        <v>49490</v>
      </c>
      <c r="B49491">
        <f>TEXT(49490, "[$-0E0000]yyyy-mm-dd")</f>
        <v/>
      </c>
      <c r="C49491" t="inlineStr">
        <is>
          <t>2035-05-26</t>
        </is>
      </c>
    </row>
    <row r="49492">
      <c r="A49492" s="1" t="n">
        <v>49491</v>
      </c>
      <c r="B49492">
        <f>TEXT(49491, "[$-0E0000]yyyy-mm-dd")</f>
        <v/>
      </c>
      <c r="C49492" t="inlineStr">
        <is>
          <t>2035-05-27</t>
        </is>
      </c>
    </row>
    <row r="49493">
      <c r="A49493" s="1" t="n">
        <v>49492</v>
      </c>
      <c r="B49493">
        <f>TEXT(49492, "[$-0E0000]yyyy-mm-dd")</f>
        <v/>
      </c>
      <c r="C49493" t="inlineStr">
        <is>
          <t>2035-05-28</t>
        </is>
      </c>
    </row>
    <row r="49494">
      <c r="A49494" s="1" t="n">
        <v>49493</v>
      </c>
      <c r="B49494">
        <f>TEXT(49493, "[$-0E0000]yyyy-mm-dd")</f>
        <v/>
      </c>
      <c r="C49494" t="inlineStr">
        <is>
          <t>2035-05-29</t>
        </is>
      </c>
    </row>
    <row r="49495">
      <c r="A49495" s="1" t="n">
        <v>49494</v>
      </c>
      <c r="B49495">
        <f>TEXT(49494, "[$-0E0000]yyyy-mm-dd")</f>
        <v/>
      </c>
      <c r="C49495" t="inlineStr">
        <is>
          <t>2035-06-01</t>
        </is>
      </c>
    </row>
    <row r="49496">
      <c r="A49496" s="1" t="n">
        <v>49495</v>
      </c>
      <c r="B49496">
        <f>TEXT(49495, "[$-0E0000]yyyy-mm-dd")</f>
        <v/>
      </c>
      <c r="C49496" t="inlineStr">
        <is>
          <t>2035-06-02</t>
        </is>
      </c>
    </row>
    <row r="49497">
      <c r="A49497" s="1" t="n">
        <v>49496</v>
      </c>
      <c r="B49497">
        <f>TEXT(49496, "[$-0E0000]yyyy-mm-dd")</f>
        <v/>
      </c>
      <c r="C49497" t="inlineStr">
        <is>
          <t>2035-06-03</t>
        </is>
      </c>
    </row>
    <row r="49498">
      <c r="A49498" s="1" t="n">
        <v>49497</v>
      </c>
      <c r="B49498">
        <f>TEXT(49497, "[$-0E0000]yyyy-mm-dd")</f>
        <v/>
      </c>
      <c r="C49498" t="inlineStr">
        <is>
          <t>2035-06-04</t>
        </is>
      </c>
    </row>
    <row r="49499">
      <c r="A49499" s="1" t="n">
        <v>49498</v>
      </c>
      <c r="B49499">
        <f>TEXT(49498, "[$-0E0000]yyyy-mm-dd")</f>
        <v/>
      </c>
      <c r="C49499" t="inlineStr">
        <is>
          <t>2035-06-05</t>
        </is>
      </c>
    </row>
    <row r="49500">
      <c r="A49500" s="1" t="n">
        <v>49499</v>
      </c>
      <c r="B49500">
        <f>TEXT(49499, "[$-0E0000]yyyy-mm-dd")</f>
        <v/>
      </c>
      <c r="C49500" t="inlineStr">
        <is>
          <t>2035-06-06</t>
        </is>
      </c>
    </row>
    <row r="49501">
      <c r="A49501" s="1" t="n">
        <v>49500</v>
      </c>
      <c r="B49501">
        <f>TEXT(49500, "[$-0E0000]yyyy-mm-dd")</f>
        <v/>
      </c>
      <c r="C49501" t="inlineStr">
        <is>
          <t>2035-06-07</t>
        </is>
      </c>
    </row>
    <row r="49502">
      <c r="A49502" s="1" t="n">
        <v>49501</v>
      </c>
      <c r="B49502">
        <f>TEXT(49501, "[$-0E0000]yyyy-mm-dd")</f>
        <v/>
      </c>
      <c r="C49502" t="inlineStr">
        <is>
          <t>2035-06-08</t>
        </is>
      </c>
    </row>
    <row r="49503">
      <c r="A49503" s="1" t="n">
        <v>49502</v>
      </c>
      <c r="B49503">
        <f>TEXT(49502, "[$-0E0000]yyyy-mm-dd")</f>
        <v/>
      </c>
      <c r="C49503" t="inlineStr">
        <is>
          <t>2035-06-09</t>
        </is>
      </c>
    </row>
    <row r="49504">
      <c r="A49504" s="1" t="n">
        <v>49503</v>
      </c>
      <c r="B49504">
        <f>TEXT(49503, "[$-0E0000]yyyy-mm-dd")</f>
        <v/>
      </c>
      <c r="C49504" t="inlineStr">
        <is>
          <t>2035-06-10</t>
        </is>
      </c>
    </row>
    <row r="49505">
      <c r="A49505" s="1" t="n">
        <v>49504</v>
      </c>
      <c r="B49505">
        <f>TEXT(49504, "[$-0E0000]yyyy-mm-dd")</f>
        <v/>
      </c>
      <c r="C49505" t="inlineStr">
        <is>
          <t>2035-06-11</t>
        </is>
      </c>
    </row>
    <row r="49506">
      <c r="A49506" s="1" t="n">
        <v>49505</v>
      </c>
      <c r="B49506">
        <f>TEXT(49505, "[$-0E0000]yyyy-mm-dd")</f>
        <v/>
      </c>
      <c r="C49506" t="inlineStr">
        <is>
          <t>2035-06-12</t>
        </is>
      </c>
    </row>
    <row r="49507">
      <c r="A49507" s="1" t="n">
        <v>49506</v>
      </c>
      <c r="B49507">
        <f>TEXT(49506, "[$-0E0000]yyyy-mm-dd")</f>
        <v/>
      </c>
      <c r="C49507" t="inlineStr">
        <is>
          <t>2035-06-13</t>
        </is>
      </c>
    </row>
    <row r="49508">
      <c r="A49508" s="1" t="n">
        <v>49507</v>
      </c>
      <c r="B49508">
        <f>TEXT(49507, "[$-0E0000]yyyy-mm-dd")</f>
        <v/>
      </c>
      <c r="C49508" t="inlineStr">
        <is>
          <t>2035-06-14</t>
        </is>
      </c>
    </row>
    <row r="49509">
      <c r="A49509" s="1" t="n">
        <v>49508</v>
      </c>
      <c r="B49509">
        <f>TEXT(49508, "[$-0E0000]yyyy-mm-dd")</f>
        <v/>
      </c>
      <c r="C49509" t="inlineStr">
        <is>
          <t>2035-06-15</t>
        </is>
      </c>
    </row>
    <row r="49510">
      <c r="A49510" s="1" t="n">
        <v>49509</v>
      </c>
      <c r="B49510">
        <f>TEXT(49509, "[$-0E0000]yyyy-mm-dd")</f>
        <v/>
      </c>
      <c r="C49510" t="inlineStr">
        <is>
          <t>2035-06-16</t>
        </is>
      </c>
    </row>
    <row r="49511">
      <c r="A49511" s="1" t="n">
        <v>49510</v>
      </c>
      <c r="B49511">
        <f>TEXT(49510, "[$-0E0000]yyyy-mm-dd")</f>
        <v/>
      </c>
      <c r="C49511" t="inlineStr">
        <is>
          <t>2035-06-17</t>
        </is>
      </c>
    </row>
    <row r="49512">
      <c r="A49512" s="1" t="n">
        <v>49511</v>
      </c>
      <c r="B49512">
        <f>TEXT(49511, "[$-0E0000]yyyy-mm-dd")</f>
        <v/>
      </c>
      <c r="C49512" t="inlineStr">
        <is>
          <t>2035-06-18</t>
        </is>
      </c>
    </row>
    <row r="49513">
      <c r="A49513" s="1" t="n">
        <v>49512</v>
      </c>
      <c r="B49513">
        <f>TEXT(49512, "[$-0E0000]yyyy-mm-dd")</f>
        <v/>
      </c>
      <c r="C49513" t="inlineStr">
        <is>
          <t>2035-06-19</t>
        </is>
      </c>
    </row>
    <row r="49514">
      <c r="A49514" s="1" t="n">
        <v>49513</v>
      </c>
      <c r="B49514">
        <f>TEXT(49513, "[$-0E0000]yyyy-mm-dd")</f>
        <v/>
      </c>
      <c r="C49514" t="inlineStr">
        <is>
          <t>2035-06-20</t>
        </is>
      </c>
    </row>
    <row r="49515">
      <c r="A49515" s="1" t="n">
        <v>49514</v>
      </c>
      <c r="B49515">
        <f>TEXT(49514, "[$-0E0000]yyyy-mm-dd")</f>
        <v/>
      </c>
      <c r="C49515" t="inlineStr">
        <is>
          <t>2035-06-21</t>
        </is>
      </c>
    </row>
    <row r="49516">
      <c r="A49516" s="1" t="n">
        <v>49515</v>
      </c>
      <c r="B49516">
        <f>TEXT(49515, "[$-0E0000]yyyy-mm-dd")</f>
        <v/>
      </c>
      <c r="C49516" t="inlineStr">
        <is>
          <t>2035-06-22</t>
        </is>
      </c>
    </row>
    <row r="49517">
      <c r="A49517" s="1" t="n">
        <v>49516</v>
      </c>
      <c r="B49517">
        <f>TEXT(49516, "[$-0E0000]yyyy-mm-dd")</f>
        <v/>
      </c>
      <c r="C49517" t="inlineStr">
        <is>
          <t>2035-06-23</t>
        </is>
      </c>
    </row>
    <row r="49518">
      <c r="A49518" s="1" t="n">
        <v>49517</v>
      </c>
      <c r="B49518">
        <f>TEXT(49517, "[$-0E0000]yyyy-mm-dd")</f>
        <v/>
      </c>
      <c r="C49518" t="inlineStr">
        <is>
          <t>2035-06-24</t>
        </is>
      </c>
    </row>
    <row r="49519">
      <c r="A49519" s="1" t="n">
        <v>49518</v>
      </c>
      <c r="B49519">
        <f>TEXT(49518, "[$-0E0000]yyyy-mm-dd")</f>
        <v/>
      </c>
      <c r="C49519" t="inlineStr">
        <is>
          <t>2035-06-25</t>
        </is>
      </c>
    </row>
    <row r="49520">
      <c r="A49520" s="1" t="n">
        <v>49519</v>
      </c>
      <c r="B49520">
        <f>TEXT(49519, "[$-0E0000]yyyy-mm-dd")</f>
        <v/>
      </c>
      <c r="C49520" t="inlineStr">
        <is>
          <t>2035-06-26</t>
        </is>
      </c>
    </row>
    <row r="49521">
      <c r="A49521" s="1" t="n">
        <v>49520</v>
      </c>
      <c r="B49521">
        <f>TEXT(49520, "[$-0E0000]yyyy-mm-dd")</f>
        <v/>
      </c>
      <c r="C49521" t="inlineStr">
        <is>
          <t>2035-06-27</t>
        </is>
      </c>
    </row>
    <row r="49522">
      <c r="A49522" s="1" t="n">
        <v>49521</v>
      </c>
      <c r="B49522">
        <f>TEXT(49521, "[$-0E0000]yyyy-mm-dd")</f>
        <v/>
      </c>
      <c r="C49522" t="inlineStr">
        <is>
          <t>2035-06-28</t>
        </is>
      </c>
    </row>
    <row r="49523">
      <c r="A49523" s="1" t="n">
        <v>49522</v>
      </c>
      <c r="B49523">
        <f>TEXT(49522, "[$-0E0000]yyyy-mm-dd")</f>
        <v/>
      </c>
      <c r="C49523" t="inlineStr">
        <is>
          <t>2035-06-29</t>
        </is>
      </c>
    </row>
    <row r="49524">
      <c r="A49524" s="1" t="n">
        <v>49523</v>
      </c>
      <c r="B49524">
        <f>TEXT(49523, "[$-0E0000]yyyy-mm-dd")</f>
        <v/>
      </c>
      <c r="C49524" t="inlineStr">
        <is>
          <t>2035-06-30</t>
        </is>
      </c>
    </row>
    <row r="49525">
      <c r="A49525" s="1" t="n">
        <v>49524</v>
      </c>
      <c r="B49525">
        <f>TEXT(49524, "[$-0E0000]yyyy-mm-dd")</f>
        <v/>
      </c>
      <c r="C49525" t="inlineStr">
        <is>
          <t>2035-07-01</t>
        </is>
      </c>
    </row>
    <row r="49526">
      <c r="A49526" s="1" t="n">
        <v>49525</v>
      </c>
      <c r="B49526">
        <f>TEXT(49525, "[$-0E0000]yyyy-mm-dd")</f>
        <v/>
      </c>
      <c r="C49526" t="inlineStr">
        <is>
          <t>2035-07-02</t>
        </is>
      </c>
    </row>
    <row r="49527">
      <c r="A49527" s="1" t="n">
        <v>49526</v>
      </c>
      <c r="B49527">
        <f>TEXT(49526, "[$-0E0000]yyyy-mm-dd")</f>
        <v/>
      </c>
      <c r="C49527" t="inlineStr">
        <is>
          <t>2035-07-03</t>
        </is>
      </c>
    </row>
    <row r="49528">
      <c r="A49528" s="1" t="n">
        <v>49527</v>
      </c>
      <c r="B49528">
        <f>TEXT(49527, "[$-0E0000]yyyy-mm-dd")</f>
        <v/>
      </c>
      <c r="C49528" t="inlineStr">
        <is>
          <t>2035-07-04</t>
        </is>
      </c>
    </row>
    <row r="49529">
      <c r="A49529" s="1" t="n">
        <v>49528</v>
      </c>
      <c r="B49529">
        <f>TEXT(49528, "[$-0E0000]yyyy-mm-dd")</f>
        <v/>
      </c>
      <c r="C49529" t="inlineStr">
        <is>
          <t>2035-07-05</t>
        </is>
      </c>
    </row>
    <row r="49530">
      <c r="A49530" s="1" t="n">
        <v>49529</v>
      </c>
      <c r="B49530">
        <f>TEXT(49529, "[$-0E0000]yyyy-mm-dd")</f>
        <v/>
      </c>
      <c r="C49530" t="inlineStr">
        <is>
          <t>2035-07-06</t>
        </is>
      </c>
    </row>
    <row r="49531">
      <c r="A49531" s="1" t="n">
        <v>49530</v>
      </c>
      <c r="B49531">
        <f>TEXT(49530, "[$-0E0000]yyyy-mm-dd")</f>
        <v/>
      </c>
      <c r="C49531" t="inlineStr">
        <is>
          <t>2035-07-07</t>
        </is>
      </c>
    </row>
    <row r="49532">
      <c r="A49532" s="1" t="n">
        <v>49531</v>
      </c>
      <c r="B49532">
        <f>TEXT(49531, "[$-0E0000]yyyy-mm-dd")</f>
        <v/>
      </c>
      <c r="C49532" t="inlineStr">
        <is>
          <t>2035-07-08</t>
        </is>
      </c>
    </row>
    <row r="49533">
      <c r="A49533" s="1" t="n">
        <v>49532</v>
      </c>
      <c r="B49533">
        <f>TEXT(49532, "[$-0E0000]yyyy-mm-dd")</f>
        <v/>
      </c>
      <c r="C49533" t="inlineStr">
        <is>
          <t>2035-07-09</t>
        </is>
      </c>
    </row>
    <row r="49534">
      <c r="A49534" s="1" t="n">
        <v>49533</v>
      </c>
      <c r="B49534">
        <f>TEXT(49533, "[$-0E0000]yyyy-mm-dd")</f>
        <v/>
      </c>
      <c r="C49534" t="inlineStr">
        <is>
          <t>2035-07-10</t>
        </is>
      </c>
    </row>
    <row r="49535">
      <c r="A49535" s="1" t="n">
        <v>49534</v>
      </c>
      <c r="B49535">
        <f>TEXT(49534, "[$-0E0000]yyyy-mm-dd")</f>
        <v/>
      </c>
      <c r="C49535" t="inlineStr">
        <is>
          <t>2035-07-11</t>
        </is>
      </c>
    </row>
    <row r="49536">
      <c r="A49536" s="1" t="n">
        <v>49535</v>
      </c>
      <c r="B49536">
        <f>TEXT(49535, "[$-0E0000]yyyy-mm-dd")</f>
        <v/>
      </c>
      <c r="C49536" t="inlineStr">
        <is>
          <t>2035-07-12</t>
        </is>
      </c>
    </row>
    <row r="49537">
      <c r="A49537" s="1" t="n">
        <v>49536</v>
      </c>
      <c r="B49537">
        <f>TEXT(49536, "[$-0E0000]yyyy-mm-dd")</f>
        <v/>
      </c>
      <c r="C49537" t="inlineStr">
        <is>
          <t>2035-07-13</t>
        </is>
      </c>
    </row>
    <row r="49538">
      <c r="A49538" s="1" t="n">
        <v>49537</v>
      </c>
      <c r="B49538">
        <f>TEXT(49537, "[$-0E0000]yyyy-mm-dd")</f>
        <v/>
      </c>
      <c r="C49538" t="inlineStr">
        <is>
          <t>2035-07-14</t>
        </is>
      </c>
    </row>
    <row r="49539">
      <c r="A49539" s="1" t="n">
        <v>49538</v>
      </c>
      <c r="B49539">
        <f>TEXT(49538, "[$-0E0000]yyyy-mm-dd")</f>
        <v/>
      </c>
      <c r="C49539" t="inlineStr">
        <is>
          <t>2035-07-15</t>
        </is>
      </c>
    </row>
    <row r="49540">
      <c r="A49540" s="1" t="n">
        <v>49539</v>
      </c>
      <c r="B49540">
        <f>TEXT(49539, "[$-0E0000]yyyy-mm-dd")</f>
        <v/>
      </c>
      <c r="C49540" t="inlineStr">
        <is>
          <t>2035-07-16</t>
        </is>
      </c>
    </row>
    <row r="49541">
      <c r="A49541" s="1" t="n">
        <v>49540</v>
      </c>
      <c r="B49541">
        <f>TEXT(49540, "[$-0E0000]yyyy-mm-dd")</f>
        <v/>
      </c>
      <c r="C49541" t="inlineStr">
        <is>
          <t>2035-07-17</t>
        </is>
      </c>
    </row>
    <row r="49542">
      <c r="A49542" s="1" t="n">
        <v>49541</v>
      </c>
      <c r="B49542">
        <f>TEXT(49541, "[$-0E0000]yyyy-mm-dd")</f>
        <v/>
      </c>
      <c r="C49542" t="inlineStr">
        <is>
          <t>2035-07-18</t>
        </is>
      </c>
    </row>
    <row r="49543">
      <c r="A49543" s="1" t="n">
        <v>49542</v>
      </c>
      <c r="B49543">
        <f>TEXT(49542, "[$-0E0000]yyyy-mm-dd")</f>
        <v/>
      </c>
      <c r="C49543" t="inlineStr">
        <is>
          <t>2035-07-19</t>
        </is>
      </c>
    </row>
    <row r="49544">
      <c r="A49544" s="1" t="n">
        <v>49543</v>
      </c>
      <c r="B49544">
        <f>TEXT(49543, "[$-0E0000]yyyy-mm-dd")</f>
        <v/>
      </c>
      <c r="C49544" t="inlineStr">
        <is>
          <t>2035-07-20</t>
        </is>
      </c>
    </row>
    <row r="49545">
      <c r="A49545" s="1" t="n">
        <v>49544</v>
      </c>
      <c r="B49545">
        <f>TEXT(49544, "[$-0E0000]yyyy-mm-dd")</f>
        <v/>
      </c>
      <c r="C49545" t="inlineStr">
        <is>
          <t>2035-07-21</t>
        </is>
      </c>
    </row>
    <row r="49546">
      <c r="A49546" s="1" t="n">
        <v>49545</v>
      </c>
      <c r="B49546">
        <f>TEXT(49545, "[$-0E0000]yyyy-mm-dd")</f>
        <v/>
      </c>
      <c r="C49546" t="inlineStr">
        <is>
          <t>2035-07-22</t>
        </is>
      </c>
    </row>
    <row r="49547">
      <c r="A49547" s="1" t="n">
        <v>49546</v>
      </c>
      <c r="B49547">
        <f>TEXT(49546, "[$-0E0000]yyyy-mm-dd")</f>
        <v/>
      </c>
      <c r="C49547" t="inlineStr">
        <is>
          <t>2035-07-23</t>
        </is>
      </c>
    </row>
    <row r="49548">
      <c r="A49548" s="1" t="n">
        <v>49547</v>
      </c>
      <c r="B49548">
        <f>TEXT(49547, "[$-0E0000]yyyy-mm-dd")</f>
        <v/>
      </c>
      <c r="C49548" t="inlineStr">
        <is>
          <t>2035-07-24</t>
        </is>
      </c>
    </row>
    <row r="49549">
      <c r="A49549" s="1" t="n">
        <v>49548</v>
      </c>
      <c r="B49549">
        <f>TEXT(49548, "[$-0E0000]yyyy-mm-dd")</f>
        <v/>
      </c>
      <c r="C49549" t="inlineStr">
        <is>
          <t>2035-07-25</t>
        </is>
      </c>
    </row>
    <row r="49550">
      <c r="A49550" s="1" t="n">
        <v>49549</v>
      </c>
      <c r="B49550">
        <f>TEXT(49549, "[$-0E0000]yyyy-mm-dd")</f>
        <v/>
      </c>
      <c r="C49550" t="inlineStr">
        <is>
          <t>2035-07-26</t>
        </is>
      </c>
    </row>
    <row r="49551">
      <c r="A49551" s="1" t="n">
        <v>49550</v>
      </c>
      <c r="B49551">
        <f>TEXT(49550, "[$-0E0000]yyyy-mm-dd")</f>
        <v/>
      </c>
      <c r="C49551" t="inlineStr">
        <is>
          <t>2035-07-27</t>
        </is>
      </c>
    </row>
    <row r="49552">
      <c r="A49552" s="1" t="n">
        <v>49551</v>
      </c>
      <c r="B49552">
        <f>TEXT(49551, "[$-0E0000]yyyy-mm-dd")</f>
        <v/>
      </c>
      <c r="C49552" t="inlineStr">
        <is>
          <t>2035-07-28</t>
        </is>
      </c>
    </row>
    <row r="49553">
      <c r="A49553" s="1" t="n">
        <v>49552</v>
      </c>
      <c r="B49553">
        <f>TEXT(49552, "[$-0E0000]yyyy-mm-dd")</f>
        <v/>
      </c>
      <c r="C49553" t="inlineStr">
        <is>
          <t>2035-07-29</t>
        </is>
      </c>
    </row>
    <row r="49554">
      <c r="A49554" s="1" t="n">
        <v>49553</v>
      </c>
      <c r="B49554">
        <f>TEXT(49553, "[$-0E0000]yyyy-mm-dd")</f>
        <v/>
      </c>
      <c r="C49554" t="inlineStr">
        <is>
          <t>2035-08-01</t>
        </is>
      </c>
    </row>
    <row r="49555">
      <c r="A49555" s="1" t="n">
        <v>49554</v>
      </c>
      <c r="B49555">
        <f>TEXT(49554, "[$-0E0000]yyyy-mm-dd")</f>
        <v/>
      </c>
      <c r="C49555" t="inlineStr">
        <is>
          <t>2035-08-02</t>
        </is>
      </c>
    </row>
    <row r="49556">
      <c r="A49556" s="1" t="n">
        <v>49555</v>
      </c>
      <c r="B49556">
        <f>TEXT(49555, "[$-0E0000]yyyy-mm-dd")</f>
        <v/>
      </c>
      <c r="C49556" t="inlineStr">
        <is>
          <t>2035-08-03</t>
        </is>
      </c>
    </row>
    <row r="49557">
      <c r="A49557" s="1" t="n">
        <v>49556</v>
      </c>
      <c r="B49557">
        <f>TEXT(49556, "[$-0E0000]yyyy-mm-dd")</f>
        <v/>
      </c>
      <c r="C49557" t="inlineStr">
        <is>
          <t>2035-08-04</t>
        </is>
      </c>
    </row>
    <row r="49558">
      <c r="A49558" s="1" t="n">
        <v>49557</v>
      </c>
      <c r="B49558">
        <f>TEXT(49557, "[$-0E0000]yyyy-mm-dd")</f>
        <v/>
      </c>
      <c r="C49558" t="inlineStr">
        <is>
          <t>2035-08-05</t>
        </is>
      </c>
    </row>
    <row r="49559">
      <c r="A49559" s="1" t="n">
        <v>49558</v>
      </c>
      <c r="B49559">
        <f>TEXT(49558, "[$-0E0000]yyyy-mm-dd")</f>
        <v/>
      </c>
      <c r="C49559" t="inlineStr">
        <is>
          <t>2035-08-06</t>
        </is>
      </c>
    </row>
    <row r="49560">
      <c r="A49560" s="1" t="n">
        <v>49559</v>
      </c>
      <c r="B49560">
        <f>TEXT(49559, "[$-0E0000]yyyy-mm-dd")</f>
        <v/>
      </c>
      <c r="C49560" t="inlineStr">
        <is>
          <t>2035-08-07</t>
        </is>
      </c>
    </row>
    <row r="49561">
      <c r="A49561" s="1" t="n">
        <v>49560</v>
      </c>
      <c r="B49561">
        <f>TEXT(49560, "[$-0E0000]yyyy-mm-dd")</f>
        <v/>
      </c>
      <c r="C49561" t="inlineStr">
        <is>
          <t>2035-08-08</t>
        </is>
      </c>
    </row>
    <row r="49562">
      <c r="A49562" s="1" t="n">
        <v>49561</v>
      </c>
      <c r="B49562">
        <f>TEXT(49561, "[$-0E0000]yyyy-mm-dd")</f>
        <v/>
      </c>
      <c r="C49562" t="inlineStr">
        <is>
          <t>2035-08-09</t>
        </is>
      </c>
    </row>
    <row r="49563">
      <c r="A49563" s="1" t="n">
        <v>49562</v>
      </c>
      <c r="B49563">
        <f>TEXT(49562, "[$-0E0000]yyyy-mm-dd")</f>
        <v/>
      </c>
      <c r="C49563" t="inlineStr">
        <is>
          <t>2035-08-10</t>
        </is>
      </c>
    </row>
    <row r="49564">
      <c r="A49564" s="1" t="n">
        <v>49563</v>
      </c>
      <c r="B49564">
        <f>TEXT(49563, "[$-0E0000]yyyy-mm-dd")</f>
        <v/>
      </c>
      <c r="C49564" t="inlineStr">
        <is>
          <t>2035-08-11</t>
        </is>
      </c>
    </row>
    <row r="49565">
      <c r="A49565" s="1" t="n">
        <v>49564</v>
      </c>
      <c r="B49565">
        <f>TEXT(49564, "[$-0E0000]yyyy-mm-dd")</f>
        <v/>
      </c>
      <c r="C49565" t="inlineStr">
        <is>
          <t>2035-08-12</t>
        </is>
      </c>
    </row>
    <row r="49566">
      <c r="A49566" s="1" t="n">
        <v>49565</v>
      </c>
      <c r="B49566">
        <f>TEXT(49565, "[$-0E0000]yyyy-mm-dd")</f>
        <v/>
      </c>
      <c r="C49566" t="inlineStr">
        <is>
          <t>2035-08-13</t>
        </is>
      </c>
    </row>
    <row r="49567">
      <c r="A49567" s="1" t="n">
        <v>49566</v>
      </c>
      <c r="B49567">
        <f>TEXT(49566, "[$-0E0000]yyyy-mm-dd")</f>
        <v/>
      </c>
      <c r="C49567" t="inlineStr">
        <is>
          <t>2035-08-14</t>
        </is>
      </c>
    </row>
    <row r="49568">
      <c r="A49568" s="1" t="n">
        <v>49567</v>
      </c>
      <c r="B49568">
        <f>TEXT(49567, "[$-0E0000]yyyy-mm-dd")</f>
        <v/>
      </c>
      <c r="C49568" t="inlineStr">
        <is>
          <t>2035-08-15</t>
        </is>
      </c>
    </row>
    <row r="49569">
      <c r="A49569" s="1" t="n">
        <v>49568</v>
      </c>
      <c r="B49569">
        <f>TEXT(49568, "[$-0E0000]yyyy-mm-dd")</f>
        <v/>
      </c>
      <c r="C49569" t="inlineStr">
        <is>
          <t>2035-08-16</t>
        </is>
      </c>
    </row>
    <row r="49570">
      <c r="A49570" s="1" t="n">
        <v>49569</v>
      </c>
      <c r="B49570">
        <f>TEXT(49569, "[$-0E0000]yyyy-mm-dd")</f>
        <v/>
      </c>
      <c r="C49570" t="inlineStr">
        <is>
          <t>2035-08-17</t>
        </is>
      </c>
    </row>
    <row r="49571">
      <c r="A49571" s="1" t="n">
        <v>49570</v>
      </c>
      <c r="B49571">
        <f>TEXT(49570, "[$-0E0000]yyyy-mm-dd")</f>
        <v/>
      </c>
      <c r="C49571" t="inlineStr">
        <is>
          <t>2035-08-18</t>
        </is>
      </c>
    </row>
    <row r="49572">
      <c r="A49572" s="1" t="n">
        <v>49571</v>
      </c>
      <c r="B49572">
        <f>TEXT(49571, "[$-0E0000]yyyy-mm-dd")</f>
        <v/>
      </c>
      <c r="C49572" t="inlineStr">
        <is>
          <t>2035-08-19</t>
        </is>
      </c>
    </row>
    <row r="49573">
      <c r="A49573" s="1" t="n">
        <v>49572</v>
      </c>
      <c r="B49573">
        <f>TEXT(49572, "[$-0E0000]yyyy-mm-dd")</f>
        <v/>
      </c>
      <c r="C49573" t="inlineStr">
        <is>
          <t>2035-08-20</t>
        </is>
      </c>
    </row>
    <row r="49574">
      <c r="A49574" s="1" t="n">
        <v>49573</v>
      </c>
      <c r="B49574">
        <f>TEXT(49573, "[$-0E0000]yyyy-mm-dd")</f>
        <v/>
      </c>
      <c r="C49574" t="inlineStr">
        <is>
          <t>2035-08-21</t>
        </is>
      </c>
    </row>
    <row r="49575">
      <c r="A49575" s="1" t="n">
        <v>49574</v>
      </c>
      <c r="B49575">
        <f>TEXT(49574, "[$-0E0000]yyyy-mm-dd")</f>
        <v/>
      </c>
      <c r="C49575" t="inlineStr">
        <is>
          <t>2035-08-22</t>
        </is>
      </c>
    </row>
    <row r="49576">
      <c r="A49576" s="1" t="n">
        <v>49575</v>
      </c>
      <c r="B49576">
        <f>TEXT(49575, "[$-0E0000]yyyy-mm-dd")</f>
        <v/>
      </c>
      <c r="C49576" t="inlineStr">
        <is>
          <t>2035-08-23</t>
        </is>
      </c>
    </row>
    <row r="49577">
      <c r="A49577" s="1" t="n">
        <v>49576</v>
      </c>
      <c r="B49577">
        <f>TEXT(49576, "[$-0E0000]yyyy-mm-dd")</f>
        <v/>
      </c>
      <c r="C49577" t="inlineStr">
        <is>
          <t>2035-08-24</t>
        </is>
      </c>
    </row>
    <row r="49578">
      <c r="A49578" s="1" t="n">
        <v>49577</v>
      </c>
      <c r="B49578">
        <f>TEXT(49577, "[$-0E0000]yyyy-mm-dd")</f>
        <v/>
      </c>
      <c r="C49578" t="inlineStr">
        <is>
          <t>2035-08-25</t>
        </is>
      </c>
    </row>
    <row r="49579">
      <c r="A49579" s="1" t="n">
        <v>49578</v>
      </c>
      <c r="B49579">
        <f>TEXT(49578, "[$-0E0000]yyyy-mm-dd")</f>
        <v/>
      </c>
      <c r="C49579" t="inlineStr">
        <is>
          <t>2035-08-26</t>
        </is>
      </c>
    </row>
    <row r="49580">
      <c r="A49580" s="1" t="n">
        <v>49579</v>
      </c>
      <c r="B49580">
        <f>TEXT(49579, "[$-0E0000]yyyy-mm-dd")</f>
        <v/>
      </c>
      <c r="C49580" t="inlineStr">
        <is>
          <t>2035-08-27</t>
        </is>
      </c>
    </row>
    <row r="49581">
      <c r="A49581" s="1" t="n">
        <v>49580</v>
      </c>
      <c r="B49581">
        <f>TEXT(49580, "[$-0E0000]yyyy-mm-dd")</f>
        <v/>
      </c>
      <c r="C49581" t="inlineStr">
        <is>
          <t>2035-08-28</t>
        </is>
      </c>
    </row>
    <row r="49582">
      <c r="A49582" s="1" t="n">
        <v>49581</v>
      </c>
      <c r="B49582">
        <f>TEXT(49581, "[$-0E0000]yyyy-mm-dd")</f>
        <v/>
      </c>
      <c r="C49582" t="inlineStr">
        <is>
          <t>2035-08-29</t>
        </is>
      </c>
    </row>
    <row r="49583">
      <c r="A49583" s="1" t="n">
        <v>49582</v>
      </c>
      <c r="B49583">
        <f>TEXT(49582, "[$-0E0000]yyyy-mm-dd")</f>
        <v/>
      </c>
      <c r="C49583" t="inlineStr">
        <is>
          <t>2035-09-01</t>
        </is>
      </c>
    </row>
    <row r="49584">
      <c r="A49584" s="1" t="n">
        <v>49583</v>
      </c>
      <c r="B49584">
        <f>TEXT(49583, "[$-0E0000]yyyy-mm-dd")</f>
        <v/>
      </c>
      <c r="C49584" t="inlineStr">
        <is>
          <t>2035-09-02</t>
        </is>
      </c>
    </row>
    <row r="49585">
      <c r="A49585" s="1" t="n">
        <v>49584</v>
      </c>
      <c r="B49585">
        <f>TEXT(49584, "[$-0E0000]yyyy-mm-dd")</f>
        <v/>
      </c>
      <c r="C49585" t="inlineStr">
        <is>
          <t>2035-09-03</t>
        </is>
      </c>
    </row>
    <row r="49586">
      <c r="A49586" s="1" t="n">
        <v>49585</v>
      </c>
      <c r="B49586">
        <f>TEXT(49585, "[$-0E0000]yyyy-mm-dd")</f>
        <v/>
      </c>
      <c r="C49586" t="inlineStr">
        <is>
          <t>2035-09-04</t>
        </is>
      </c>
    </row>
    <row r="49587">
      <c r="A49587" s="1" t="n">
        <v>49586</v>
      </c>
      <c r="B49587">
        <f>TEXT(49586, "[$-0E0000]yyyy-mm-dd")</f>
        <v/>
      </c>
      <c r="C49587" t="inlineStr">
        <is>
          <t>2035-09-05</t>
        </is>
      </c>
    </row>
    <row r="49588">
      <c r="A49588" s="1" t="n">
        <v>49587</v>
      </c>
      <c r="B49588">
        <f>TEXT(49587, "[$-0E0000]yyyy-mm-dd")</f>
        <v/>
      </c>
      <c r="C49588" t="inlineStr">
        <is>
          <t>2035-09-06</t>
        </is>
      </c>
    </row>
    <row r="49589">
      <c r="A49589" s="1" t="n">
        <v>49588</v>
      </c>
      <c r="B49589">
        <f>TEXT(49588, "[$-0E0000]yyyy-mm-dd")</f>
        <v/>
      </c>
      <c r="C49589" t="inlineStr">
        <is>
          <t>2035-09-07</t>
        </is>
      </c>
    </row>
    <row r="49590">
      <c r="A49590" s="1" t="n">
        <v>49589</v>
      </c>
      <c r="B49590">
        <f>TEXT(49589, "[$-0E0000]yyyy-mm-dd")</f>
        <v/>
      </c>
      <c r="C49590" t="inlineStr">
        <is>
          <t>2035-09-08</t>
        </is>
      </c>
    </row>
    <row r="49591">
      <c r="A49591" s="1" t="n">
        <v>49590</v>
      </c>
      <c r="B49591">
        <f>TEXT(49590, "[$-0E0000]yyyy-mm-dd")</f>
        <v/>
      </c>
      <c r="C49591" t="inlineStr">
        <is>
          <t>2035-09-09</t>
        </is>
      </c>
    </row>
    <row r="49592">
      <c r="A49592" s="1" t="n">
        <v>49591</v>
      </c>
      <c r="B49592">
        <f>TEXT(49591, "[$-0E0000]yyyy-mm-dd")</f>
        <v/>
      </c>
      <c r="C49592" t="inlineStr">
        <is>
          <t>2035-09-10</t>
        </is>
      </c>
    </row>
    <row r="49593">
      <c r="A49593" s="1" t="n">
        <v>49592</v>
      </c>
      <c r="B49593">
        <f>TEXT(49592, "[$-0E0000]yyyy-mm-dd")</f>
        <v/>
      </c>
      <c r="C49593" t="inlineStr">
        <is>
          <t>2035-09-11</t>
        </is>
      </c>
    </row>
    <row r="49594">
      <c r="A49594" s="1" t="n">
        <v>49593</v>
      </c>
      <c r="B49594">
        <f>TEXT(49593, "[$-0E0000]yyyy-mm-dd")</f>
        <v/>
      </c>
      <c r="C49594" t="inlineStr">
        <is>
          <t>2035-09-12</t>
        </is>
      </c>
    </row>
    <row r="49595">
      <c r="A49595" s="1" t="n">
        <v>49594</v>
      </c>
      <c r="B49595">
        <f>TEXT(49594, "[$-0E0000]yyyy-mm-dd")</f>
        <v/>
      </c>
      <c r="C49595" t="inlineStr">
        <is>
          <t>2035-09-13</t>
        </is>
      </c>
    </row>
    <row r="49596">
      <c r="A49596" s="1" t="n">
        <v>49595</v>
      </c>
      <c r="B49596">
        <f>TEXT(49595, "[$-0E0000]yyyy-mm-dd")</f>
        <v/>
      </c>
      <c r="C49596" t="inlineStr">
        <is>
          <t>2035-09-14</t>
        </is>
      </c>
    </row>
    <row r="49597">
      <c r="A49597" s="1" t="n">
        <v>49596</v>
      </c>
      <c r="B49597">
        <f>TEXT(49596, "[$-0E0000]yyyy-mm-dd")</f>
        <v/>
      </c>
      <c r="C49597" t="inlineStr">
        <is>
          <t>2035-09-15</t>
        </is>
      </c>
    </row>
    <row r="49598">
      <c r="A49598" s="1" t="n">
        <v>49597</v>
      </c>
      <c r="B49598">
        <f>TEXT(49597, "[$-0E0000]yyyy-mm-dd")</f>
        <v/>
      </c>
      <c r="C49598" t="inlineStr">
        <is>
          <t>2035-09-16</t>
        </is>
      </c>
    </row>
    <row r="49599">
      <c r="A49599" s="1" t="n">
        <v>49598</v>
      </c>
      <c r="B49599">
        <f>TEXT(49598, "[$-0E0000]yyyy-mm-dd")</f>
        <v/>
      </c>
      <c r="C49599" t="inlineStr">
        <is>
          <t>2035-09-17</t>
        </is>
      </c>
    </row>
    <row r="49600">
      <c r="A49600" s="1" t="n">
        <v>49599</v>
      </c>
      <c r="B49600">
        <f>TEXT(49599, "[$-0E0000]yyyy-mm-dd")</f>
        <v/>
      </c>
      <c r="C49600" t="inlineStr">
        <is>
          <t>2035-09-18</t>
        </is>
      </c>
    </row>
    <row r="49601">
      <c r="A49601" s="1" t="n">
        <v>49600</v>
      </c>
      <c r="B49601">
        <f>TEXT(49600, "[$-0E0000]yyyy-mm-dd")</f>
        <v/>
      </c>
      <c r="C49601" t="inlineStr">
        <is>
          <t>2035-09-19</t>
        </is>
      </c>
    </row>
    <row r="49602">
      <c r="A49602" s="1" t="n">
        <v>49601</v>
      </c>
      <c r="B49602">
        <f>TEXT(49601, "[$-0E0000]yyyy-mm-dd")</f>
        <v/>
      </c>
      <c r="C49602" t="inlineStr">
        <is>
          <t>2035-09-20</t>
        </is>
      </c>
    </row>
    <row r="49603">
      <c r="A49603" s="1" t="n">
        <v>49602</v>
      </c>
      <c r="B49603">
        <f>TEXT(49602, "[$-0E0000]yyyy-mm-dd")</f>
        <v/>
      </c>
      <c r="C49603" t="inlineStr">
        <is>
          <t>2035-09-21</t>
        </is>
      </c>
    </row>
    <row r="49604">
      <c r="A49604" s="1" t="n">
        <v>49603</v>
      </c>
      <c r="B49604">
        <f>TEXT(49603, "[$-0E0000]yyyy-mm-dd")</f>
        <v/>
      </c>
      <c r="C49604" t="inlineStr">
        <is>
          <t>2035-09-22</t>
        </is>
      </c>
    </row>
    <row r="49605">
      <c r="A49605" s="1" t="n">
        <v>49604</v>
      </c>
      <c r="B49605">
        <f>TEXT(49604, "[$-0E0000]yyyy-mm-dd")</f>
        <v/>
      </c>
      <c r="C49605" t="inlineStr">
        <is>
          <t>2035-09-23</t>
        </is>
      </c>
    </row>
    <row r="49606">
      <c r="A49606" s="1" t="n">
        <v>49605</v>
      </c>
      <c r="B49606">
        <f>TEXT(49605, "[$-0E0000]yyyy-mm-dd")</f>
        <v/>
      </c>
      <c r="C49606" t="inlineStr">
        <is>
          <t>2035-09-24</t>
        </is>
      </c>
    </row>
    <row r="49607">
      <c r="A49607" s="1" t="n">
        <v>49606</v>
      </c>
      <c r="B49607">
        <f>TEXT(49606, "[$-0E0000]yyyy-mm-dd")</f>
        <v/>
      </c>
      <c r="C49607" t="inlineStr">
        <is>
          <t>2035-09-25</t>
        </is>
      </c>
    </row>
    <row r="49608">
      <c r="A49608" s="1" t="n">
        <v>49607</v>
      </c>
      <c r="B49608">
        <f>TEXT(49607, "[$-0E0000]yyyy-mm-dd")</f>
        <v/>
      </c>
      <c r="C49608" t="inlineStr">
        <is>
          <t>2035-09-26</t>
        </is>
      </c>
    </row>
    <row r="49609">
      <c r="A49609" s="1" t="n">
        <v>49608</v>
      </c>
      <c r="B49609">
        <f>TEXT(49608, "[$-0E0000]yyyy-mm-dd")</f>
        <v/>
      </c>
      <c r="C49609" t="inlineStr">
        <is>
          <t>2035-09-27</t>
        </is>
      </c>
    </row>
    <row r="49610">
      <c r="A49610" s="1" t="n">
        <v>49609</v>
      </c>
      <c r="B49610">
        <f>TEXT(49609, "[$-0E0000]yyyy-mm-dd")</f>
        <v/>
      </c>
      <c r="C49610" t="inlineStr">
        <is>
          <t>2035-09-28</t>
        </is>
      </c>
    </row>
    <row r="49611">
      <c r="A49611" s="1" t="n">
        <v>49610</v>
      </c>
      <c r="B49611">
        <f>TEXT(49610, "[$-0E0000]yyyy-mm-dd")</f>
        <v/>
      </c>
      <c r="C49611" t="inlineStr">
        <is>
          <t>2035-09-29</t>
        </is>
      </c>
    </row>
    <row r="49612">
      <c r="A49612" s="1" t="n">
        <v>49611</v>
      </c>
      <c r="B49612">
        <f>TEXT(49611, "[$-0E0000]yyyy-mm-dd")</f>
        <v/>
      </c>
      <c r="C49612" t="inlineStr">
        <is>
          <t>2035-09-30</t>
        </is>
      </c>
    </row>
    <row r="49613">
      <c r="A49613" s="1" t="n">
        <v>49612</v>
      </c>
      <c r="B49613">
        <f>TEXT(49612, "[$-0E0000]yyyy-mm-dd")</f>
        <v/>
      </c>
      <c r="C49613" t="inlineStr">
        <is>
          <t>2035-10-01</t>
        </is>
      </c>
    </row>
    <row r="49614">
      <c r="A49614" s="1" t="n">
        <v>49613</v>
      </c>
      <c r="B49614">
        <f>TEXT(49613, "[$-0E0000]yyyy-mm-dd")</f>
        <v/>
      </c>
      <c r="C49614" t="inlineStr">
        <is>
          <t>2035-10-02</t>
        </is>
      </c>
    </row>
    <row r="49615">
      <c r="A49615" s="1" t="n">
        <v>49614</v>
      </c>
      <c r="B49615">
        <f>TEXT(49614, "[$-0E0000]yyyy-mm-dd")</f>
        <v/>
      </c>
      <c r="C49615" t="inlineStr">
        <is>
          <t>2035-10-03</t>
        </is>
      </c>
    </row>
    <row r="49616">
      <c r="A49616" s="1" t="n">
        <v>49615</v>
      </c>
      <c r="B49616">
        <f>TEXT(49615, "[$-0E0000]yyyy-mm-dd")</f>
        <v/>
      </c>
      <c r="C49616" t="inlineStr">
        <is>
          <t>2035-10-04</t>
        </is>
      </c>
    </row>
    <row r="49617">
      <c r="A49617" s="1" t="n">
        <v>49616</v>
      </c>
      <c r="B49617">
        <f>TEXT(49616, "[$-0E0000]yyyy-mm-dd")</f>
        <v/>
      </c>
      <c r="C49617" t="inlineStr">
        <is>
          <t>2035-10-05</t>
        </is>
      </c>
    </row>
    <row r="49618">
      <c r="A49618" s="1" t="n">
        <v>49617</v>
      </c>
      <c r="B49618">
        <f>TEXT(49617, "[$-0E0000]yyyy-mm-dd")</f>
        <v/>
      </c>
      <c r="C49618" t="inlineStr">
        <is>
          <t>2035-10-06</t>
        </is>
      </c>
    </row>
    <row r="49619">
      <c r="A49619" s="1" t="n">
        <v>49618</v>
      </c>
      <c r="B49619">
        <f>TEXT(49618, "[$-0E0000]yyyy-mm-dd")</f>
        <v/>
      </c>
      <c r="C49619" t="inlineStr">
        <is>
          <t>2035-10-07</t>
        </is>
      </c>
    </row>
    <row r="49620">
      <c r="A49620" s="1" t="n">
        <v>49619</v>
      </c>
      <c r="B49620">
        <f>TEXT(49619, "[$-0E0000]yyyy-mm-dd")</f>
        <v/>
      </c>
      <c r="C49620" t="inlineStr">
        <is>
          <t>2035-10-08</t>
        </is>
      </c>
    </row>
    <row r="49621">
      <c r="A49621" s="1" t="n">
        <v>49620</v>
      </c>
      <c r="B49621">
        <f>TEXT(49620, "[$-0E0000]yyyy-mm-dd")</f>
        <v/>
      </c>
      <c r="C49621" t="inlineStr">
        <is>
          <t>2035-10-09</t>
        </is>
      </c>
    </row>
    <row r="49622">
      <c r="A49622" s="1" t="n">
        <v>49621</v>
      </c>
      <c r="B49622">
        <f>TEXT(49621, "[$-0E0000]yyyy-mm-dd")</f>
        <v/>
      </c>
      <c r="C49622" t="inlineStr">
        <is>
          <t>2035-10-10</t>
        </is>
      </c>
    </row>
    <row r="49623">
      <c r="A49623" s="1" t="n">
        <v>49622</v>
      </c>
      <c r="B49623">
        <f>TEXT(49622, "[$-0E0000]yyyy-mm-dd")</f>
        <v/>
      </c>
      <c r="C49623" t="inlineStr">
        <is>
          <t>2035-10-11</t>
        </is>
      </c>
    </row>
    <row r="49624">
      <c r="A49624" s="1" t="n">
        <v>49623</v>
      </c>
      <c r="B49624">
        <f>TEXT(49623, "[$-0E0000]yyyy-mm-dd")</f>
        <v/>
      </c>
      <c r="C49624" t="inlineStr">
        <is>
          <t>2035-10-12</t>
        </is>
      </c>
    </row>
    <row r="49625">
      <c r="A49625" s="1" t="n">
        <v>49624</v>
      </c>
      <c r="B49625">
        <f>TEXT(49624, "[$-0E0000]yyyy-mm-dd")</f>
        <v/>
      </c>
      <c r="C49625" t="inlineStr">
        <is>
          <t>2035-10-13</t>
        </is>
      </c>
    </row>
    <row r="49626">
      <c r="A49626" s="1" t="n">
        <v>49625</v>
      </c>
      <c r="B49626">
        <f>TEXT(49625, "[$-0E0000]yyyy-mm-dd")</f>
        <v/>
      </c>
      <c r="C49626" t="inlineStr">
        <is>
          <t>2035-10-14</t>
        </is>
      </c>
    </row>
    <row r="49627">
      <c r="A49627" s="1" t="n">
        <v>49626</v>
      </c>
      <c r="B49627">
        <f>TEXT(49626, "[$-0E0000]yyyy-mm-dd")</f>
        <v/>
      </c>
      <c r="C49627" t="inlineStr">
        <is>
          <t>2035-10-15</t>
        </is>
      </c>
    </row>
    <row r="49628">
      <c r="A49628" s="1" t="n">
        <v>49627</v>
      </c>
      <c r="B49628">
        <f>TEXT(49627, "[$-0E0000]yyyy-mm-dd")</f>
        <v/>
      </c>
      <c r="C49628" t="inlineStr">
        <is>
          <t>2035-10-16</t>
        </is>
      </c>
    </row>
    <row r="49629">
      <c r="A49629" s="1" t="n">
        <v>49628</v>
      </c>
      <c r="B49629">
        <f>TEXT(49628, "[$-0E0000]yyyy-mm-dd")</f>
        <v/>
      </c>
      <c r="C49629" t="inlineStr">
        <is>
          <t>2035-10-17</t>
        </is>
      </c>
    </row>
    <row r="49630">
      <c r="A49630" s="1" t="n">
        <v>49629</v>
      </c>
      <c r="B49630">
        <f>TEXT(49629, "[$-0E0000]yyyy-mm-dd")</f>
        <v/>
      </c>
      <c r="C49630" t="inlineStr">
        <is>
          <t>2035-10-18</t>
        </is>
      </c>
    </row>
    <row r="49631">
      <c r="A49631" s="1" t="n">
        <v>49630</v>
      </c>
      <c r="B49631">
        <f>TEXT(49630, "[$-0E0000]yyyy-mm-dd")</f>
        <v/>
      </c>
      <c r="C49631" t="inlineStr">
        <is>
          <t>2035-10-19</t>
        </is>
      </c>
    </row>
    <row r="49632">
      <c r="A49632" s="1" t="n">
        <v>49631</v>
      </c>
      <c r="B49632">
        <f>TEXT(49631, "[$-0E0000]yyyy-mm-dd")</f>
        <v/>
      </c>
      <c r="C49632" t="inlineStr">
        <is>
          <t>2035-10-20</t>
        </is>
      </c>
    </row>
    <row r="49633">
      <c r="A49633" s="1" t="n">
        <v>49632</v>
      </c>
      <c r="B49633">
        <f>TEXT(49632, "[$-0E0000]yyyy-mm-dd")</f>
        <v/>
      </c>
      <c r="C49633" t="inlineStr">
        <is>
          <t>2035-10-21</t>
        </is>
      </c>
    </row>
    <row r="49634">
      <c r="A49634" s="1" t="n">
        <v>49633</v>
      </c>
      <c r="B49634">
        <f>TEXT(49633, "[$-0E0000]yyyy-mm-dd")</f>
        <v/>
      </c>
      <c r="C49634" t="inlineStr">
        <is>
          <t>2035-10-22</t>
        </is>
      </c>
    </row>
    <row r="49635">
      <c r="A49635" s="1" t="n">
        <v>49634</v>
      </c>
      <c r="B49635">
        <f>TEXT(49634, "[$-0E0000]yyyy-mm-dd")</f>
        <v/>
      </c>
      <c r="C49635" t="inlineStr">
        <is>
          <t>2035-10-23</t>
        </is>
      </c>
    </row>
    <row r="49636">
      <c r="A49636" s="1" t="n">
        <v>49635</v>
      </c>
      <c r="B49636">
        <f>TEXT(49635, "[$-0E0000]yyyy-mm-dd")</f>
        <v/>
      </c>
      <c r="C49636" t="inlineStr">
        <is>
          <t>2035-10-24</t>
        </is>
      </c>
    </row>
    <row r="49637">
      <c r="A49637" s="1" t="n">
        <v>49636</v>
      </c>
      <c r="B49637">
        <f>TEXT(49636, "[$-0E0000]yyyy-mm-dd")</f>
        <v/>
      </c>
      <c r="C49637" t="inlineStr">
        <is>
          <t>2035-10-25</t>
        </is>
      </c>
    </row>
    <row r="49638">
      <c r="A49638" s="1" t="n">
        <v>49637</v>
      </c>
      <c r="B49638">
        <f>TEXT(49637, "[$-0E0000]yyyy-mm-dd")</f>
        <v/>
      </c>
      <c r="C49638" t="inlineStr">
        <is>
          <t>2035-10-26</t>
        </is>
      </c>
    </row>
    <row r="49639">
      <c r="A49639" s="1" t="n">
        <v>49638</v>
      </c>
      <c r="B49639">
        <f>TEXT(49638, "[$-0E0000]yyyy-mm-dd")</f>
        <v/>
      </c>
      <c r="C49639" t="inlineStr">
        <is>
          <t>2035-10-27</t>
        </is>
      </c>
    </row>
    <row r="49640">
      <c r="A49640" s="1" t="n">
        <v>49639</v>
      </c>
      <c r="B49640">
        <f>TEXT(49639, "[$-0E0000]yyyy-mm-dd")</f>
        <v/>
      </c>
      <c r="C49640" t="inlineStr">
        <is>
          <t>2035-10-28</t>
        </is>
      </c>
    </row>
    <row r="49641">
      <c r="A49641" s="1" t="n">
        <v>49640</v>
      </c>
      <c r="B49641">
        <f>TEXT(49640, "[$-0E0000]yyyy-mm-dd")</f>
        <v/>
      </c>
      <c r="C49641" t="inlineStr">
        <is>
          <t>2035-10-29</t>
        </is>
      </c>
    </row>
    <row r="49642">
      <c r="A49642" s="1" t="n">
        <v>49641</v>
      </c>
      <c r="B49642">
        <f>TEXT(49641, "[$-0E0000]yyyy-mm-dd")</f>
        <v/>
      </c>
      <c r="C49642" t="inlineStr">
        <is>
          <t>2035-10-30</t>
        </is>
      </c>
    </row>
    <row r="49643">
      <c r="A49643" s="1" t="n">
        <v>49642</v>
      </c>
      <c r="B49643">
        <f>TEXT(49642, "[$-0E0000]yyyy-mm-dd")</f>
        <v/>
      </c>
      <c r="C49643" t="inlineStr">
        <is>
          <t>2035-11-01</t>
        </is>
      </c>
    </row>
    <row r="49644">
      <c r="A49644" s="1" t="n">
        <v>49643</v>
      </c>
      <c r="B49644">
        <f>TEXT(49643, "[$-0E0000]yyyy-mm-dd")</f>
        <v/>
      </c>
      <c r="C49644" t="inlineStr">
        <is>
          <t>2035-11-02</t>
        </is>
      </c>
    </row>
    <row r="49645">
      <c r="A49645" s="1" t="n">
        <v>49644</v>
      </c>
      <c r="B49645">
        <f>TEXT(49644, "[$-0E0000]yyyy-mm-dd")</f>
        <v/>
      </c>
      <c r="C49645" t="inlineStr">
        <is>
          <t>2035-11-03</t>
        </is>
      </c>
    </row>
    <row r="49646">
      <c r="A49646" s="1" t="n">
        <v>49645</v>
      </c>
      <c r="B49646">
        <f>TEXT(49645, "[$-0E0000]yyyy-mm-dd")</f>
        <v/>
      </c>
      <c r="C49646" t="inlineStr">
        <is>
          <t>2035-11-04</t>
        </is>
      </c>
    </row>
    <row r="49647">
      <c r="A49647" s="1" t="n">
        <v>49646</v>
      </c>
      <c r="B49647">
        <f>TEXT(49646, "[$-0E0000]yyyy-mm-dd")</f>
        <v/>
      </c>
      <c r="C49647" t="inlineStr">
        <is>
          <t>2035-11-05</t>
        </is>
      </c>
    </row>
    <row r="49648">
      <c r="A49648" s="1" t="n">
        <v>49647</v>
      </c>
      <c r="B49648">
        <f>TEXT(49647, "[$-0E0000]yyyy-mm-dd")</f>
        <v/>
      </c>
      <c r="C49648" t="inlineStr">
        <is>
          <t>2035-11-06</t>
        </is>
      </c>
    </row>
    <row r="49649">
      <c r="A49649" s="1" t="n">
        <v>49648</v>
      </c>
      <c r="B49649">
        <f>TEXT(49648, "[$-0E0000]yyyy-mm-dd")</f>
        <v/>
      </c>
      <c r="C49649" t="inlineStr">
        <is>
          <t>2035-11-07</t>
        </is>
      </c>
    </row>
    <row r="49650">
      <c r="A49650" s="1" t="n">
        <v>49649</v>
      </c>
      <c r="B49650">
        <f>TEXT(49649, "[$-0E0000]yyyy-mm-dd")</f>
        <v/>
      </c>
      <c r="C49650" t="inlineStr">
        <is>
          <t>2035-11-08</t>
        </is>
      </c>
    </row>
    <row r="49651">
      <c r="A49651" s="1" t="n">
        <v>49650</v>
      </c>
      <c r="B49651">
        <f>TEXT(49650, "[$-0E0000]yyyy-mm-dd")</f>
        <v/>
      </c>
      <c r="C49651" t="inlineStr">
        <is>
          <t>2035-11-09</t>
        </is>
      </c>
    </row>
    <row r="49652">
      <c r="A49652" s="1" t="n">
        <v>49651</v>
      </c>
      <c r="B49652">
        <f>TEXT(49651, "[$-0E0000]yyyy-mm-dd")</f>
        <v/>
      </c>
      <c r="C49652" t="inlineStr">
        <is>
          <t>2035-11-10</t>
        </is>
      </c>
    </row>
    <row r="49653">
      <c r="A49653" s="1" t="n">
        <v>49652</v>
      </c>
      <c r="B49653">
        <f>TEXT(49652, "[$-0E0000]yyyy-mm-dd")</f>
        <v/>
      </c>
      <c r="C49653" t="inlineStr">
        <is>
          <t>2035-11-11</t>
        </is>
      </c>
    </row>
    <row r="49654">
      <c r="A49654" s="1" t="n">
        <v>49653</v>
      </c>
      <c r="B49654">
        <f>TEXT(49653, "[$-0E0000]yyyy-mm-dd")</f>
        <v/>
      </c>
      <c r="C49654" t="inlineStr">
        <is>
          <t>2035-11-12</t>
        </is>
      </c>
    </row>
    <row r="49655">
      <c r="A49655" s="1" t="n">
        <v>49654</v>
      </c>
      <c r="B49655">
        <f>TEXT(49654, "[$-0E0000]yyyy-mm-dd")</f>
        <v/>
      </c>
      <c r="C49655" t="inlineStr">
        <is>
          <t>2035-11-13</t>
        </is>
      </c>
    </row>
    <row r="49656">
      <c r="A49656" s="1" t="n">
        <v>49655</v>
      </c>
      <c r="B49656">
        <f>TEXT(49655, "[$-0E0000]yyyy-mm-dd")</f>
        <v/>
      </c>
      <c r="C49656" t="inlineStr">
        <is>
          <t>2035-11-14</t>
        </is>
      </c>
    </row>
    <row r="49657">
      <c r="A49657" s="1" t="n">
        <v>49656</v>
      </c>
      <c r="B49657">
        <f>TEXT(49656, "[$-0E0000]yyyy-mm-dd")</f>
        <v/>
      </c>
      <c r="C49657" t="inlineStr">
        <is>
          <t>2035-11-15</t>
        </is>
      </c>
    </row>
    <row r="49658">
      <c r="A49658" s="1" t="n">
        <v>49657</v>
      </c>
      <c r="B49658">
        <f>TEXT(49657, "[$-0E0000]yyyy-mm-dd")</f>
        <v/>
      </c>
      <c r="C49658" t="inlineStr">
        <is>
          <t>2035-11-16</t>
        </is>
      </c>
    </row>
    <row r="49659">
      <c r="A49659" s="1" t="n">
        <v>49658</v>
      </c>
      <c r="B49659">
        <f>TEXT(49658, "[$-0E0000]yyyy-mm-dd")</f>
        <v/>
      </c>
      <c r="C49659" t="inlineStr">
        <is>
          <t>2035-11-17</t>
        </is>
      </c>
    </row>
    <row r="49660">
      <c r="A49660" s="1" t="n">
        <v>49659</v>
      </c>
      <c r="B49660">
        <f>TEXT(49659, "[$-0E0000]yyyy-mm-dd")</f>
        <v/>
      </c>
      <c r="C49660" t="inlineStr">
        <is>
          <t>2035-11-18</t>
        </is>
      </c>
    </row>
    <row r="49661">
      <c r="A49661" s="1" t="n">
        <v>49660</v>
      </c>
      <c r="B49661">
        <f>TEXT(49660, "[$-0E0000]yyyy-mm-dd")</f>
        <v/>
      </c>
      <c r="C49661" t="inlineStr">
        <is>
          <t>2035-11-19</t>
        </is>
      </c>
    </row>
    <row r="49662">
      <c r="A49662" s="1" t="n">
        <v>49661</v>
      </c>
      <c r="B49662">
        <f>TEXT(49661, "[$-0E0000]yyyy-mm-dd")</f>
        <v/>
      </c>
      <c r="C49662" t="inlineStr">
        <is>
          <t>2035-11-20</t>
        </is>
      </c>
    </row>
    <row r="49663">
      <c r="A49663" s="1" t="n">
        <v>49662</v>
      </c>
      <c r="B49663">
        <f>TEXT(49662, "[$-0E0000]yyyy-mm-dd")</f>
        <v/>
      </c>
      <c r="C49663" t="inlineStr">
        <is>
          <t>2035-11-21</t>
        </is>
      </c>
    </row>
    <row r="49664">
      <c r="A49664" s="1" t="n">
        <v>49663</v>
      </c>
      <c r="B49664">
        <f>TEXT(49663, "[$-0E0000]yyyy-mm-dd")</f>
        <v/>
      </c>
      <c r="C49664" t="inlineStr">
        <is>
          <t>2035-11-22</t>
        </is>
      </c>
    </row>
    <row r="49665">
      <c r="A49665" s="1" t="n">
        <v>49664</v>
      </c>
      <c r="B49665">
        <f>TEXT(49664, "[$-0E0000]yyyy-mm-dd")</f>
        <v/>
      </c>
      <c r="C49665" t="inlineStr">
        <is>
          <t>2035-11-23</t>
        </is>
      </c>
    </row>
    <row r="49666">
      <c r="A49666" s="1" t="n">
        <v>49665</v>
      </c>
      <c r="B49666">
        <f>TEXT(49665, "[$-0E0000]yyyy-mm-dd")</f>
        <v/>
      </c>
      <c r="C49666" t="inlineStr">
        <is>
          <t>2035-11-24</t>
        </is>
      </c>
    </row>
    <row r="49667">
      <c r="A49667" s="1" t="n">
        <v>49666</v>
      </c>
      <c r="B49667">
        <f>TEXT(49666, "[$-0E0000]yyyy-mm-dd")</f>
        <v/>
      </c>
      <c r="C49667" t="inlineStr">
        <is>
          <t>2035-11-25</t>
        </is>
      </c>
    </row>
    <row r="49668">
      <c r="A49668" s="1" t="n">
        <v>49667</v>
      </c>
      <c r="B49668">
        <f>TEXT(49667, "[$-0E0000]yyyy-mm-dd")</f>
        <v/>
      </c>
      <c r="C49668" t="inlineStr">
        <is>
          <t>2035-11-26</t>
        </is>
      </c>
    </row>
    <row r="49669">
      <c r="A49669" s="1" t="n">
        <v>49668</v>
      </c>
      <c r="B49669">
        <f>TEXT(49668, "[$-0E0000]yyyy-mm-dd")</f>
        <v/>
      </c>
      <c r="C49669" t="inlineStr">
        <is>
          <t>2035-11-27</t>
        </is>
      </c>
    </row>
    <row r="49670">
      <c r="A49670" s="1" t="n">
        <v>49669</v>
      </c>
      <c r="B49670">
        <f>TEXT(49669, "[$-0E0000]yyyy-mm-dd")</f>
        <v/>
      </c>
      <c r="C49670" t="inlineStr">
        <is>
          <t>2035-11-28</t>
        </is>
      </c>
    </row>
    <row r="49671">
      <c r="A49671" s="1" t="n">
        <v>49670</v>
      </c>
      <c r="B49671">
        <f>TEXT(49670, "[$-0E0000]yyyy-mm-dd")</f>
        <v/>
      </c>
      <c r="C49671" t="inlineStr">
        <is>
          <t>2035-11-29</t>
        </is>
      </c>
    </row>
    <row r="49672">
      <c r="A49672" s="1" t="n">
        <v>49671</v>
      </c>
      <c r="B49672">
        <f>TEXT(49671, "[$-0E0000]yyyy-mm-dd")</f>
        <v/>
      </c>
      <c r="C49672" t="inlineStr">
        <is>
          <t>2035-12-01</t>
        </is>
      </c>
    </row>
    <row r="49673">
      <c r="A49673" s="1" t="n">
        <v>49672</v>
      </c>
      <c r="B49673">
        <f>TEXT(49672, "[$-0E0000]yyyy-mm-dd")</f>
        <v/>
      </c>
      <c r="C49673" t="inlineStr">
        <is>
          <t>2035-12-02</t>
        </is>
      </c>
    </row>
    <row r="49674">
      <c r="A49674" s="1" t="n">
        <v>49673</v>
      </c>
      <c r="B49674">
        <f>TEXT(49673, "[$-0E0000]yyyy-mm-dd")</f>
        <v/>
      </c>
      <c r="C49674" t="inlineStr">
        <is>
          <t>2035-12-03</t>
        </is>
      </c>
    </row>
    <row r="49675">
      <c r="A49675" s="1" t="n">
        <v>49674</v>
      </c>
      <c r="B49675">
        <f>TEXT(49674, "[$-0E0000]yyyy-mm-dd")</f>
        <v/>
      </c>
      <c r="C49675" t="inlineStr">
        <is>
          <t>2035-12-04</t>
        </is>
      </c>
    </row>
    <row r="49676">
      <c r="A49676" s="1" t="n">
        <v>49675</v>
      </c>
      <c r="B49676">
        <f>TEXT(49675, "[$-0E0000]yyyy-mm-dd")</f>
        <v/>
      </c>
      <c r="C49676" t="inlineStr">
        <is>
          <t>2035-12-05</t>
        </is>
      </c>
    </row>
    <row r="49677">
      <c r="A49677" s="1" t="n">
        <v>49676</v>
      </c>
      <c r="B49677">
        <f>TEXT(49676, "[$-0E0000]yyyy-mm-dd")</f>
        <v/>
      </c>
      <c r="C49677" t="inlineStr">
        <is>
          <t>2035-12-06</t>
        </is>
      </c>
    </row>
    <row r="49678">
      <c r="A49678" s="1" t="n">
        <v>49677</v>
      </c>
      <c r="B49678">
        <f>TEXT(49677, "[$-0E0000]yyyy-mm-dd")</f>
        <v/>
      </c>
      <c r="C49678" t="inlineStr">
        <is>
          <t>2035-12-07</t>
        </is>
      </c>
    </row>
    <row r="49679">
      <c r="A49679" s="1" t="n">
        <v>49678</v>
      </c>
      <c r="B49679">
        <f>TEXT(49678, "[$-0E0000]yyyy-mm-dd")</f>
        <v/>
      </c>
      <c r="C49679" t="inlineStr">
        <is>
          <t>2035-12-08</t>
        </is>
      </c>
    </row>
    <row r="49680">
      <c r="A49680" s="1" t="n">
        <v>49679</v>
      </c>
      <c r="B49680">
        <f>TEXT(49679, "[$-0E0000]yyyy-mm-dd")</f>
        <v/>
      </c>
      <c r="C49680" t="inlineStr">
        <is>
          <t>2035-12-09</t>
        </is>
      </c>
    </row>
    <row r="49681">
      <c r="A49681" s="1" t="n">
        <v>49680</v>
      </c>
      <c r="B49681">
        <f>TEXT(49680, "[$-0E0000]yyyy-mm-dd")</f>
        <v/>
      </c>
      <c r="C49681" t="inlineStr">
        <is>
          <t>2035-12-10</t>
        </is>
      </c>
    </row>
    <row r="49682">
      <c r="A49682" s="1" t="n">
        <v>49681</v>
      </c>
      <c r="B49682">
        <f>TEXT(49681, "[$-0E0000]yyyy-mm-dd")</f>
        <v/>
      </c>
      <c r="C49682" t="inlineStr">
        <is>
          <t>2035-12-11</t>
        </is>
      </c>
    </row>
    <row r="49683">
      <c r="A49683" s="1" t="n">
        <v>49682</v>
      </c>
      <c r="B49683">
        <f>TEXT(49682, "[$-0E0000]yyyy-mm-dd")</f>
        <v/>
      </c>
      <c r="C49683" t="inlineStr">
        <is>
          <t>2035-12-12</t>
        </is>
      </c>
    </row>
    <row r="49684">
      <c r="A49684" s="1" t="n">
        <v>49683</v>
      </c>
      <c r="B49684">
        <f>TEXT(49683, "[$-0E0000]yyyy-mm-dd")</f>
        <v/>
      </c>
      <c r="C49684" t="inlineStr">
        <is>
          <t>2035-12-13</t>
        </is>
      </c>
    </row>
    <row r="49685">
      <c r="A49685" s="1" t="n">
        <v>49684</v>
      </c>
      <c r="B49685">
        <f>TEXT(49684, "[$-0E0000]yyyy-mm-dd")</f>
        <v/>
      </c>
      <c r="C49685" t="inlineStr">
        <is>
          <t>2035-12-14</t>
        </is>
      </c>
    </row>
    <row r="49686">
      <c r="A49686" s="1" t="n">
        <v>49685</v>
      </c>
      <c r="B49686">
        <f>TEXT(49685, "[$-0E0000]yyyy-mm-dd")</f>
        <v/>
      </c>
      <c r="C49686" t="inlineStr">
        <is>
          <t>2035-12-15</t>
        </is>
      </c>
    </row>
    <row r="49687">
      <c r="A49687" s="1" t="n">
        <v>49686</v>
      </c>
      <c r="B49687">
        <f>TEXT(49686, "[$-0E0000]yyyy-mm-dd")</f>
        <v/>
      </c>
      <c r="C49687" t="inlineStr">
        <is>
          <t>2035-12-16</t>
        </is>
      </c>
    </row>
    <row r="49688">
      <c r="A49688" s="1" t="n">
        <v>49687</v>
      </c>
      <c r="B49688">
        <f>TEXT(49687, "[$-0E0000]yyyy-mm-dd")</f>
        <v/>
      </c>
      <c r="C49688" t="inlineStr">
        <is>
          <t>2035-12-17</t>
        </is>
      </c>
    </row>
    <row r="49689">
      <c r="A49689" s="1" t="n">
        <v>49688</v>
      </c>
      <c r="B49689">
        <f>TEXT(49688, "[$-0E0000]yyyy-mm-dd")</f>
        <v/>
      </c>
      <c r="C49689" t="inlineStr">
        <is>
          <t>2035-12-18</t>
        </is>
      </c>
    </row>
    <row r="49690">
      <c r="A49690" s="1" t="n">
        <v>49689</v>
      </c>
      <c r="B49690">
        <f>TEXT(49689, "[$-0E0000]yyyy-mm-dd")</f>
        <v/>
      </c>
      <c r="C49690" t="inlineStr">
        <is>
          <t>2035-12-19</t>
        </is>
      </c>
    </row>
    <row r="49691">
      <c r="A49691" s="1" t="n">
        <v>49690</v>
      </c>
      <c r="B49691">
        <f>TEXT(49690, "[$-0E0000]yyyy-mm-dd")</f>
        <v/>
      </c>
      <c r="C49691" t="inlineStr">
        <is>
          <t>2035-12-20</t>
        </is>
      </c>
    </row>
    <row r="49692">
      <c r="A49692" s="1" t="n">
        <v>49691</v>
      </c>
      <c r="B49692">
        <f>TEXT(49691, "[$-0E0000]yyyy-mm-dd")</f>
        <v/>
      </c>
      <c r="C49692" t="inlineStr">
        <is>
          <t>2035-12-21</t>
        </is>
      </c>
    </row>
    <row r="49693">
      <c r="A49693" s="1" t="n">
        <v>49692</v>
      </c>
      <c r="B49693">
        <f>TEXT(49692, "[$-0E0000]yyyy-mm-dd")</f>
        <v/>
      </c>
      <c r="C49693" t="inlineStr">
        <is>
          <t>2035-12-22</t>
        </is>
      </c>
    </row>
    <row r="49694">
      <c r="A49694" s="1" t="n">
        <v>49693</v>
      </c>
      <c r="B49694">
        <f>TEXT(49693, "[$-0E0000]yyyy-mm-dd")</f>
        <v/>
      </c>
      <c r="C49694" t="inlineStr">
        <is>
          <t>2035-12-23</t>
        </is>
      </c>
    </row>
    <row r="49695">
      <c r="A49695" s="1" t="n">
        <v>49694</v>
      </c>
      <c r="B49695">
        <f>TEXT(49694, "[$-0E0000]yyyy-mm-dd")</f>
        <v/>
      </c>
      <c r="C49695" t="inlineStr">
        <is>
          <t>2035-12-24</t>
        </is>
      </c>
    </row>
    <row r="49696">
      <c r="A49696" s="1" t="n">
        <v>49695</v>
      </c>
      <c r="B49696">
        <f>TEXT(49695, "[$-0E0000]yyyy-mm-dd")</f>
        <v/>
      </c>
      <c r="C49696" t="inlineStr">
        <is>
          <t>2035-12-25</t>
        </is>
      </c>
    </row>
    <row r="49697">
      <c r="A49697" s="1" t="n">
        <v>49696</v>
      </c>
      <c r="B49697">
        <f>TEXT(49696, "[$-0E0000]yyyy-mm-dd")</f>
        <v/>
      </c>
      <c r="C49697" t="inlineStr">
        <is>
          <t>2035-12-26</t>
        </is>
      </c>
    </row>
    <row r="49698">
      <c r="A49698" s="1" t="n">
        <v>49697</v>
      </c>
      <c r="B49698">
        <f>TEXT(49697, "[$-0E0000]yyyy-mm-dd")</f>
        <v/>
      </c>
      <c r="C49698" t="inlineStr">
        <is>
          <t>2035-12-27</t>
        </is>
      </c>
    </row>
    <row r="49699">
      <c r="A49699" s="1" t="n">
        <v>49698</v>
      </c>
      <c r="B49699">
        <f>TEXT(49698, "[$-0E0000]yyyy-mm-dd")</f>
        <v/>
      </c>
      <c r="C49699" t="inlineStr">
        <is>
          <t>2035-12-28</t>
        </is>
      </c>
    </row>
    <row r="49700">
      <c r="A49700" s="1" t="n">
        <v>49699</v>
      </c>
      <c r="B49700">
        <f>TEXT(49699, "[$-0E0000]yyyy-mm-dd")</f>
        <v/>
      </c>
      <c r="C49700" t="inlineStr">
        <is>
          <t>2035-12-29</t>
        </is>
      </c>
    </row>
    <row r="49701">
      <c r="A49701" s="1" t="n">
        <v>49700</v>
      </c>
      <c r="B49701">
        <f>TEXT(49700, "[$-0E0000]yyyy-mm-dd")</f>
        <v/>
      </c>
      <c r="C49701" t="inlineStr">
        <is>
          <t>2035-12-30</t>
        </is>
      </c>
    </row>
    <row r="49702">
      <c r="A49702" s="1" t="n">
        <v>49701</v>
      </c>
      <c r="B49702">
        <f>TEXT(49701, "[$-0E0000]yyyy-mm-dd")</f>
        <v/>
      </c>
      <c r="C49702" t="inlineStr">
        <is>
          <t>2036-01-01</t>
        </is>
      </c>
    </row>
    <row r="49703">
      <c r="A49703" s="1" t="n">
        <v>49702</v>
      </c>
      <c r="B49703">
        <f>TEXT(49702, "[$-0E0000]yyyy-mm-dd")</f>
        <v/>
      </c>
      <c r="C49703" t="inlineStr">
        <is>
          <t>2036-01-02</t>
        </is>
      </c>
    </row>
    <row r="49704">
      <c r="A49704" s="1" t="n">
        <v>49703</v>
      </c>
      <c r="B49704">
        <f>TEXT(49703, "[$-0E0000]yyyy-mm-dd")</f>
        <v/>
      </c>
      <c r="C49704" t="inlineStr">
        <is>
          <t>2036-01-03</t>
        </is>
      </c>
    </row>
    <row r="49705">
      <c r="A49705" s="1" t="n">
        <v>49704</v>
      </c>
      <c r="B49705">
        <f>TEXT(49704, "[$-0E0000]yyyy-mm-dd")</f>
        <v/>
      </c>
      <c r="C49705" t="inlineStr">
        <is>
          <t>2036-01-04</t>
        </is>
      </c>
    </row>
    <row r="49706">
      <c r="A49706" s="1" t="n">
        <v>49705</v>
      </c>
      <c r="B49706">
        <f>TEXT(49705, "[$-0E0000]yyyy-mm-dd")</f>
        <v/>
      </c>
      <c r="C49706" t="inlineStr">
        <is>
          <t>2036-01-05</t>
        </is>
      </c>
    </row>
    <row r="49707">
      <c r="A49707" s="1" t="n">
        <v>49706</v>
      </c>
      <c r="B49707">
        <f>TEXT(49706, "[$-0E0000]yyyy-mm-dd")</f>
        <v/>
      </c>
      <c r="C49707" t="inlineStr">
        <is>
          <t>2036-01-06</t>
        </is>
      </c>
    </row>
    <row r="49708">
      <c r="A49708" s="1" t="n">
        <v>49707</v>
      </c>
      <c r="B49708">
        <f>TEXT(49707, "[$-0E0000]yyyy-mm-dd")</f>
        <v/>
      </c>
      <c r="C49708" t="inlineStr">
        <is>
          <t>2036-01-07</t>
        </is>
      </c>
    </row>
    <row r="49709">
      <c r="A49709" s="1" t="n">
        <v>49708</v>
      </c>
      <c r="B49709">
        <f>TEXT(49708, "[$-0E0000]yyyy-mm-dd")</f>
        <v/>
      </c>
      <c r="C49709" t="inlineStr">
        <is>
          <t>2036-01-08</t>
        </is>
      </c>
    </row>
    <row r="49710">
      <c r="A49710" s="1" t="n">
        <v>49709</v>
      </c>
      <c r="B49710">
        <f>TEXT(49709, "[$-0E0000]yyyy-mm-dd")</f>
        <v/>
      </c>
      <c r="C49710" t="inlineStr">
        <is>
          <t>2036-01-09</t>
        </is>
      </c>
    </row>
    <row r="49711">
      <c r="A49711" s="1" t="n">
        <v>49710</v>
      </c>
      <c r="B49711">
        <f>TEXT(49710, "[$-0E0000]yyyy-mm-dd")</f>
        <v/>
      </c>
      <c r="C49711" t="inlineStr">
        <is>
          <t>2036-01-10</t>
        </is>
      </c>
    </row>
    <row r="49712">
      <c r="A49712" s="1" t="n">
        <v>49711</v>
      </c>
      <c r="B49712">
        <f>TEXT(49711, "[$-0E0000]yyyy-mm-dd")</f>
        <v/>
      </c>
      <c r="C49712" t="inlineStr">
        <is>
          <t>2036-01-11</t>
        </is>
      </c>
    </row>
    <row r="49713">
      <c r="A49713" s="1" t="n">
        <v>49712</v>
      </c>
      <c r="B49713">
        <f>TEXT(49712, "[$-0E0000]yyyy-mm-dd")</f>
        <v/>
      </c>
      <c r="C49713" t="inlineStr">
        <is>
          <t>2036-01-12</t>
        </is>
      </c>
    </row>
    <row r="49714">
      <c r="A49714" s="1" t="n">
        <v>49713</v>
      </c>
      <c r="B49714">
        <f>TEXT(49713, "[$-0E0000]yyyy-mm-dd")</f>
        <v/>
      </c>
      <c r="C49714" t="inlineStr">
        <is>
          <t>2036-01-13</t>
        </is>
      </c>
    </row>
    <row r="49715">
      <c r="A49715" s="1" t="n">
        <v>49714</v>
      </c>
      <c r="B49715">
        <f>TEXT(49714, "[$-0E0000]yyyy-mm-dd")</f>
        <v/>
      </c>
      <c r="C49715" t="inlineStr">
        <is>
          <t>2036-01-14</t>
        </is>
      </c>
    </row>
    <row r="49716">
      <c r="A49716" s="1" t="n">
        <v>49715</v>
      </c>
      <c r="B49716">
        <f>TEXT(49715, "[$-0E0000]yyyy-mm-dd")</f>
        <v/>
      </c>
      <c r="C49716" t="inlineStr">
        <is>
          <t>2036-01-15</t>
        </is>
      </c>
    </row>
    <row r="49717">
      <c r="A49717" s="1" t="n">
        <v>49716</v>
      </c>
      <c r="B49717">
        <f>TEXT(49716, "[$-0E0000]yyyy-mm-dd")</f>
        <v/>
      </c>
      <c r="C49717" t="inlineStr">
        <is>
          <t>2036-01-16</t>
        </is>
      </c>
    </row>
    <row r="49718">
      <c r="A49718" s="1" t="n">
        <v>49717</v>
      </c>
      <c r="B49718">
        <f>TEXT(49717, "[$-0E0000]yyyy-mm-dd")</f>
        <v/>
      </c>
      <c r="C49718" t="inlineStr">
        <is>
          <t>2036-01-17</t>
        </is>
      </c>
    </row>
    <row r="49719">
      <c r="A49719" s="1" t="n">
        <v>49718</v>
      </c>
      <c r="B49719">
        <f>TEXT(49718, "[$-0E0000]yyyy-mm-dd")</f>
        <v/>
      </c>
      <c r="C49719" t="inlineStr">
        <is>
          <t>2036-01-18</t>
        </is>
      </c>
    </row>
    <row r="49720">
      <c r="A49720" s="1" t="n">
        <v>49719</v>
      </c>
      <c r="B49720">
        <f>TEXT(49719, "[$-0E0000]yyyy-mm-dd")</f>
        <v/>
      </c>
      <c r="C49720" t="inlineStr">
        <is>
          <t>2036-01-19</t>
        </is>
      </c>
    </row>
    <row r="49721">
      <c r="A49721" s="1" t="n">
        <v>49720</v>
      </c>
      <c r="B49721">
        <f>TEXT(49720, "[$-0E0000]yyyy-mm-dd")</f>
        <v/>
      </c>
      <c r="C49721" t="inlineStr">
        <is>
          <t>2036-01-20</t>
        </is>
      </c>
    </row>
    <row r="49722">
      <c r="A49722" s="1" t="n">
        <v>49721</v>
      </c>
      <c r="B49722">
        <f>TEXT(49721, "[$-0E0000]yyyy-mm-dd")</f>
        <v/>
      </c>
      <c r="C49722" t="inlineStr">
        <is>
          <t>2036-01-21</t>
        </is>
      </c>
    </row>
    <row r="49723">
      <c r="A49723" s="1" t="n">
        <v>49722</v>
      </c>
      <c r="B49723">
        <f>TEXT(49722, "[$-0E0000]yyyy-mm-dd")</f>
        <v/>
      </c>
      <c r="C49723" t="inlineStr">
        <is>
          <t>2036-01-22</t>
        </is>
      </c>
    </row>
    <row r="49724">
      <c r="A49724" s="1" t="n">
        <v>49723</v>
      </c>
      <c r="B49724">
        <f>TEXT(49723, "[$-0E0000]yyyy-mm-dd")</f>
        <v/>
      </c>
      <c r="C49724" t="inlineStr">
        <is>
          <t>2036-01-23</t>
        </is>
      </c>
    </row>
    <row r="49725">
      <c r="A49725" s="1" t="n">
        <v>49724</v>
      </c>
      <c r="B49725">
        <f>TEXT(49724, "[$-0E0000]yyyy-mm-dd")</f>
        <v/>
      </c>
      <c r="C49725" t="inlineStr">
        <is>
          <t>2036-01-24</t>
        </is>
      </c>
    </row>
    <row r="49726">
      <c r="A49726" s="1" t="n">
        <v>49725</v>
      </c>
      <c r="B49726">
        <f>TEXT(49725, "[$-0E0000]yyyy-mm-dd")</f>
        <v/>
      </c>
      <c r="C49726" t="inlineStr">
        <is>
          <t>2036-01-25</t>
        </is>
      </c>
    </row>
    <row r="49727">
      <c r="A49727" s="1" t="n">
        <v>49726</v>
      </c>
      <c r="B49727">
        <f>TEXT(49726, "[$-0E0000]yyyy-mm-dd")</f>
        <v/>
      </c>
      <c r="C49727" t="inlineStr">
        <is>
          <t>2036-01-26</t>
        </is>
      </c>
    </row>
    <row r="49728">
      <c r="A49728" s="1" t="n">
        <v>49727</v>
      </c>
      <c r="B49728">
        <f>TEXT(49727, "[$-0E0000]yyyy-mm-dd")</f>
        <v/>
      </c>
      <c r="C49728" t="inlineStr">
        <is>
          <t>2036-01-27</t>
        </is>
      </c>
    </row>
    <row r="49729">
      <c r="A49729" s="1" t="n">
        <v>49728</v>
      </c>
      <c r="B49729">
        <f>TEXT(49728, "[$-0E0000]yyyy-mm-dd")</f>
        <v/>
      </c>
      <c r="C49729" t="inlineStr">
        <is>
          <t>2036-01-28</t>
        </is>
      </c>
    </row>
    <row r="49730">
      <c r="A49730" s="1" t="n">
        <v>49729</v>
      </c>
      <c r="B49730">
        <f>TEXT(49729, "[$-0E0000]yyyy-mm-dd")</f>
        <v/>
      </c>
      <c r="C49730" t="inlineStr">
        <is>
          <t>2036-01-29</t>
        </is>
      </c>
    </row>
    <row r="49731">
      <c r="A49731" s="1" t="n">
        <v>49730</v>
      </c>
      <c r="B49731">
        <f>TEXT(49730, "[$-0E0000]yyyy-mm-dd")</f>
        <v/>
      </c>
      <c r="C49731" t="inlineStr">
        <is>
          <t>2036-01-30</t>
        </is>
      </c>
    </row>
    <row r="49732">
      <c r="A49732" s="1" t="n">
        <v>49731</v>
      </c>
      <c r="B49732">
        <f>TEXT(49731, "[$-0E0000]yyyy-mm-dd")</f>
        <v/>
      </c>
      <c r="C49732" t="inlineStr">
        <is>
          <t>2036-02-01</t>
        </is>
      </c>
    </row>
    <row r="49733">
      <c r="A49733" s="1" t="n">
        <v>49732</v>
      </c>
      <c r="B49733">
        <f>TEXT(49732, "[$-0E0000]yyyy-mm-dd")</f>
        <v/>
      </c>
      <c r="C49733" t="inlineStr">
        <is>
          <t>2036-02-02</t>
        </is>
      </c>
    </row>
    <row r="49734">
      <c r="A49734" s="1" t="n">
        <v>49733</v>
      </c>
      <c r="B49734">
        <f>TEXT(49733, "[$-0E0000]yyyy-mm-dd")</f>
        <v/>
      </c>
      <c r="C49734" t="inlineStr">
        <is>
          <t>2036-02-03</t>
        </is>
      </c>
    </row>
    <row r="49735">
      <c r="A49735" s="1" t="n">
        <v>49734</v>
      </c>
      <c r="B49735">
        <f>TEXT(49734, "[$-0E0000]yyyy-mm-dd")</f>
        <v/>
      </c>
      <c r="C49735" t="inlineStr">
        <is>
          <t>2036-02-04</t>
        </is>
      </c>
    </row>
    <row r="49736">
      <c r="A49736" s="1" t="n">
        <v>49735</v>
      </c>
      <c r="B49736">
        <f>TEXT(49735, "[$-0E0000]yyyy-mm-dd")</f>
        <v/>
      </c>
      <c r="C49736" t="inlineStr">
        <is>
          <t>2036-02-05</t>
        </is>
      </c>
    </row>
    <row r="49737">
      <c r="A49737" s="1" t="n">
        <v>49736</v>
      </c>
      <c r="B49737">
        <f>TEXT(49736, "[$-0E0000]yyyy-mm-dd")</f>
        <v/>
      </c>
      <c r="C49737" t="inlineStr">
        <is>
          <t>2036-02-06</t>
        </is>
      </c>
    </row>
    <row r="49738">
      <c r="A49738" s="1" t="n">
        <v>49737</v>
      </c>
      <c r="B49738">
        <f>TEXT(49737, "[$-0E0000]yyyy-mm-dd")</f>
        <v/>
      </c>
      <c r="C49738" t="inlineStr">
        <is>
          <t>2036-02-07</t>
        </is>
      </c>
    </row>
    <row r="49739">
      <c r="A49739" s="1" t="n">
        <v>49738</v>
      </c>
      <c r="B49739">
        <f>TEXT(49738, "[$-0E0000]yyyy-mm-dd")</f>
        <v/>
      </c>
      <c r="C49739" t="inlineStr">
        <is>
          <t>2036-02-08</t>
        </is>
      </c>
    </row>
    <row r="49740">
      <c r="A49740" s="1" t="n">
        <v>49739</v>
      </c>
      <c r="B49740">
        <f>TEXT(49739, "[$-0E0000]yyyy-mm-dd")</f>
        <v/>
      </c>
      <c r="C49740" t="inlineStr">
        <is>
          <t>2036-02-09</t>
        </is>
      </c>
    </row>
    <row r="49741">
      <c r="A49741" s="1" t="n">
        <v>49740</v>
      </c>
      <c r="B49741">
        <f>TEXT(49740, "[$-0E0000]yyyy-mm-dd")</f>
        <v/>
      </c>
      <c r="C49741" t="inlineStr">
        <is>
          <t>2036-02-10</t>
        </is>
      </c>
    </row>
    <row r="49742">
      <c r="A49742" s="1" t="n">
        <v>49741</v>
      </c>
      <c r="B49742">
        <f>TEXT(49741, "[$-0E0000]yyyy-mm-dd")</f>
        <v/>
      </c>
      <c r="C49742" t="inlineStr">
        <is>
          <t>2036-02-11</t>
        </is>
      </c>
    </row>
    <row r="49743">
      <c r="A49743" s="1" t="n">
        <v>49742</v>
      </c>
      <c r="B49743">
        <f>TEXT(49742, "[$-0E0000]yyyy-mm-dd")</f>
        <v/>
      </c>
      <c r="C49743" t="inlineStr">
        <is>
          <t>2036-02-12</t>
        </is>
      </c>
    </row>
    <row r="49744">
      <c r="A49744" s="1" t="n">
        <v>49743</v>
      </c>
      <c r="B49744">
        <f>TEXT(49743, "[$-0E0000]yyyy-mm-dd")</f>
        <v/>
      </c>
      <c r="C49744" t="inlineStr">
        <is>
          <t>2036-02-13</t>
        </is>
      </c>
    </row>
    <row r="49745">
      <c r="A49745" s="1" t="n">
        <v>49744</v>
      </c>
      <c r="B49745">
        <f>TEXT(49744, "[$-0E0000]yyyy-mm-dd")</f>
        <v/>
      </c>
      <c r="C49745" t="inlineStr">
        <is>
          <t>2036-02-14</t>
        </is>
      </c>
    </row>
    <row r="49746">
      <c r="A49746" s="1" t="n">
        <v>49745</v>
      </c>
      <c r="B49746">
        <f>TEXT(49745, "[$-0E0000]yyyy-mm-dd")</f>
        <v/>
      </c>
      <c r="C49746" t="inlineStr">
        <is>
          <t>2036-02-15</t>
        </is>
      </c>
    </row>
    <row r="49747">
      <c r="A49747" s="1" t="n">
        <v>49746</v>
      </c>
      <c r="B49747">
        <f>TEXT(49746, "[$-0E0000]yyyy-mm-dd")</f>
        <v/>
      </c>
      <c r="C49747" t="inlineStr">
        <is>
          <t>2036-02-16</t>
        </is>
      </c>
    </row>
    <row r="49748">
      <c r="A49748" s="1" t="n">
        <v>49747</v>
      </c>
      <c r="B49748">
        <f>TEXT(49747, "[$-0E0000]yyyy-mm-dd")</f>
        <v/>
      </c>
      <c r="C49748" t="inlineStr">
        <is>
          <t>2036-02-17</t>
        </is>
      </c>
    </row>
    <row r="49749">
      <c r="A49749" s="1" t="n">
        <v>49748</v>
      </c>
      <c r="B49749">
        <f>TEXT(49748, "[$-0E0000]yyyy-mm-dd")</f>
        <v/>
      </c>
      <c r="C49749" t="inlineStr">
        <is>
          <t>2036-02-18</t>
        </is>
      </c>
    </row>
    <row r="49750">
      <c r="A49750" s="1" t="n">
        <v>49749</v>
      </c>
      <c r="B49750">
        <f>TEXT(49749, "[$-0E0000]yyyy-mm-dd")</f>
        <v/>
      </c>
      <c r="C49750" t="inlineStr">
        <is>
          <t>2036-02-19</t>
        </is>
      </c>
    </row>
    <row r="49751">
      <c r="A49751" s="1" t="n">
        <v>49750</v>
      </c>
      <c r="B49751">
        <f>TEXT(49750, "[$-0E0000]yyyy-mm-dd")</f>
        <v/>
      </c>
      <c r="C49751" t="inlineStr">
        <is>
          <t>2036-02-20</t>
        </is>
      </c>
    </row>
    <row r="49752">
      <c r="A49752" s="1" t="n">
        <v>49751</v>
      </c>
      <c r="B49752">
        <f>TEXT(49751, "[$-0E0000]yyyy-mm-dd")</f>
        <v/>
      </c>
      <c r="C49752" t="inlineStr">
        <is>
          <t>2036-02-21</t>
        </is>
      </c>
    </row>
    <row r="49753">
      <c r="A49753" s="1" t="n">
        <v>49752</v>
      </c>
      <c r="B49753">
        <f>TEXT(49752, "[$-0E0000]yyyy-mm-dd")</f>
        <v/>
      </c>
      <c r="C49753" t="inlineStr">
        <is>
          <t>2036-02-22</t>
        </is>
      </c>
    </row>
    <row r="49754">
      <c r="A49754" s="1" t="n">
        <v>49753</v>
      </c>
      <c r="B49754">
        <f>TEXT(49753, "[$-0E0000]yyyy-mm-dd")</f>
        <v/>
      </c>
      <c r="C49754" t="inlineStr">
        <is>
          <t>2036-02-23</t>
        </is>
      </c>
    </row>
    <row r="49755">
      <c r="A49755" s="1" t="n">
        <v>49754</v>
      </c>
      <c r="B49755">
        <f>TEXT(49754, "[$-0E0000]yyyy-mm-dd")</f>
        <v/>
      </c>
      <c r="C49755" t="inlineStr">
        <is>
          <t>2036-02-24</t>
        </is>
      </c>
    </row>
    <row r="49756">
      <c r="A49756" s="1" t="n">
        <v>49755</v>
      </c>
      <c r="B49756">
        <f>TEXT(49755, "[$-0E0000]yyyy-mm-dd")</f>
        <v/>
      </c>
      <c r="C49756" t="inlineStr">
        <is>
          <t>2036-02-25</t>
        </is>
      </c>
    </row>
    <row r="49757">
      <c r="A49757" s="1" t="n">
        <v>49756</v>
      </c>
      <c r="B49757">
        <f>TEXT(49756, "[$-0E0000]yyyy-mm-dd")</f>
        <v/>
      </c>
      <c r="C49757" t="inlineStr">
        <is>
          <t>2036-02-26</t>
        </is>
      </c>
    </row>
    <row r="49758">
      <c r="A49758" s="1" t="n">
        <v>49757</v>
      </c>
      <c r="B49758">
        <f>TEXT(49757, "[$-0E0000]yyyy-mm-dd")</f>
        <v/>
      </c>
      <c r="C49758" t="inlineStr">
        <is>
          <t>2036-02-27</t>
        </is>
      </c>
    </row>
    <row r="49759">
      <c r="A49759" s="1" t="n">
        <v>49758</v>
      </c>
      <c r="B49759">
        <f>TEXT(49758, "[$-0E0000]yyyy-mm-dd")</f>
        <v/>
      </c>
      <c r="C49759" t="inlineStr">
        <is>
          <t>2036-02-28</t>
        </is>
      </c>
    </row>
    <row r="49760">
      <c r="A49760" s="1" t="n">
        <v>49759</v>
      </c>
      <c r="B49760">
        <f>TEXT(49759, "[$-0E0000]yyyy-mm-dd")</f>
        <v/>
      </c>
      <c r="C49760" t="inlineStr">
        <is>
          <t>2036-02-29</t>
        </is>
      </c>
    </row>
    <row r="49761">
      <c r="A49761" s="1" t="n">
        <v>49760</v>
      </c>
      <c r="B49761">
        <f>TEXT(49760, "[$-0E0000]yyyy-mm-dd")</f>
        <v/>
      </c>
      <c r="C49761" t="inlineStr">
        <is>
          <t>2036-02-30</t>
        </is>
      </c>
    </row>
    <row r="49762">
      <c r="A49762" s="1" t="n">
        <v>49761</v>
      </c>
      <c r="B49762">
        <f>TEXT(49761, "[$-0E0000]yyyy-mm-dd")</f>
        <v/>
      </c>
      <c r="C49762" t="inlineStr">
        <is>
          <t>2036-03-01</t>
        </is>
      </c>
    </row>
    <row r="49763">
      <c r="A49763" s="1" t="n">
        <v>49762</v>
      </c>
      <c r="B49763">
        <f>TEXT(49762, "[$-0E0000]yyyy-mm-dd")</f>
        <v/>
      </c>
      <c r="C49763" t="inlineStr">
        <is>
          <t>2036-03-02</t>
        </is>
      </c>
    </row>
    <row r="49764">
      <c r="A49764" s="1" t="n">
        <v>49763</v>
      </c>
      <c r="B49764">
        <f>TEXT(49763, "[$-0E0000]yyyy-mm-dd")</f>
        <v/>
      </c>
      <c r="C49764" t="inlineStr">
        <is>
          <t>2036-03-03</t>
        </is>
      </c>
    </row>
    <row r="49765">
      <c r="A49765" s="1" t="n">
        <v>49764</v>
      </c>
      <c r="B49765">
        <f>TEXT(49764, "[$-0E0000]yyyy-mm-dd")</f>
        <v/>
      </c>
      <c r="C49765" t="inlineStr">
        <is>
          <t>2036-03-04</t>
        </is>
      </c>
    </row>
    <row r="49766">
      <c r="A49766" s="1" t="n">
        <v>49765</v>
      </c>
      <c r="B49766">
        <f>TEXT(49765, "[$-0E0000]yyyy-mm-dd")</f>
        <v/>
      </c>
      <c r="C49766" t="inlineStr">
        <is>
          <t>2036-03-05</t>
        </is>
      </c>
    </row>
    <row r="49767">
      <c r="A49767" s="1" t="n">
        <v>49766</v>
      </c>
      <c r="B49767">
        <f>TEXT(49766, "[$-0E0000]yyyy-mm-dd")</f>
        <v/>
      </c>
      <c r="C49767" t="inlineStr">
        <is>
          <t>2036-03-06</t>
        </is>
      </c>
    </row>
    <row r="49768">
      <c r="A49768" s="1" t="n">
        <v>49767</v>
      </c>
      <c r="B49768">
        <f>TEXT(49767, "[$-0E0000]yyyy-mm-dd")</f>
        <v/>
      </c>
      <c r="C49768" t="inlineStr">
        <is>
          <t>2036-03-07</t>
        </is>
      </c>
    </row>
    <row r="49769">
      <c r="A49769" s="1" t="n">
        <v>49768</v>
      </c>
      <c r="B49769">
        <f>TEXT(49768, "[$-0E0000]yyyy-mm-dd")</f>
        <v/>
      </c>
      <c r="C49769" t="inlineStr">
        <is>
          <t>2036-03-08</t>
        </is>
      </c>
    </row>
    <row r="49770">
      <c r="A49770" s="1" t="n">
        <v>49769</v>
      </c>
      <c r="B49770">
        <f>TEXT(49769, "[$-0E0000]yyyy-mm-dd")</f>
        <v/>
      </c>
      <c r="C49770" t="inlineStr">
        <is>
          <t>2036-03-09</t>
        </is>
      </c>
    </row>
    <row r="49771">
      <c r="A49771" s="1" t="n">
        <v>49770</v>
      </c>
      <c r="B49771">
        <f>TEXT(49770, "[$-0E0000]yyyy-mm-dd")</f>
        <v/>
      </c>
      <c r="C49771" t="inlineStr">
        <is>
          <t>2036-03-10</t>
        </is>
      </c>
    </row>
    <row r="49772">
      <c r="A49772" s="1" t="n">
        <v>49771</v>
      </c>
      <c r="B49772">
        <f>TEXT(49771, "[$-0E0000]yyyy-mm-dd")</f>
        <v/>
      </c>
      <c r="C49772" t="inlineStr">
        <is>
          <t>2036-03-11</t>
        </is>
      </c>
    </row>
    <row r="49773">
      <c r="A49773" s="1" t="n">
        <v>49772</v>
      </c>
      <c r="B49773">
        <f>TEXT(49772, "[$-0E0000]yyyy-mm-dd")</f>
        <v/>
      </c>
      <c r="C49773" t="inlineStr">
        <is>
          <t>2036-03-12</t>
        </is>
      </c>
    </row>
    <row r="49774">
      <c r="A49774" s="1" t="n">
        <v>49773</v>
      </c>
      <c r="B49774">
        <f>TEXT(49773, "[$-0E0000]yyyy-mm-dd")</f>
        <v/>
      </c>
      <c r="C49774" t="inlineStr">
        <is>
          <t>2036-03-13</t>
        </is>
      </c>
    </row>
    <row r="49775">
      <c r="A49775" s="1" t="n">
        <v>49774</v>
      </c>
      <c r="B49775">
        <f>TEXT(49774, "[$-0E0000]yyyy-mm-dd")</f>
        <v/>
      </c>
      <c r="C49775" t="inlineStr">
        <is>
          <t>2036-03-14</t>
        </is>
      </c>
    </row>
    <row r="49776">
      <c r="A49776" s="1" t="n">
        <v>49775</v>
      </c>
      <c r="B49776">
        <f>TEXT(49775, "[$-0E0000]yyyy-mm-dd")</f>
        <v/>
      </c>
      <c r="C49776" t="inlineStr">
        <is>
          <t>2036-03-15</t>
        </is>
      </c>
    </row>
    <row r="49777">
      <c r="A49777" s="1" t="n">
        <v>49776</v>
      </c>
      <c r="B49777">
        <f>TEXT(49776, "[$-0E0000]yyyy-mm-dd")</f>
        <v/>
      </c>
      <c r="C49777" t="inlineStr">
        <is>
          <t>2036-03-16</t>
        </is>
      </c>
    </row>
    <row r="49778">
      <c r="A49778" s="1" t="n">
        <v>49777</v>
      </c>
      <c r="B49778">
        <f>TEXT(49777, "[$-0E0000]yyyy-mm-dd")</f>
        <v/>
      </c>
      <c r="C49778" t="inlineStr">
        <is>
          <t>2036-03-17</t>
        </is>
      </c>
    </row>
    <row r="49779">
      <c r="A49779" s="1" t="n">
        <v>49778</v>
      </c>
      <c r="B49779">
        <f>TEXT(49778, "[$-0E0000]yyyy-mm-dd")</f>
        <v/>
      </c>
      <c r="C49779" t="inlineStr">
        <is>
          <t>2036-03-18</t>
        </is>
      </c>
    </row>
    <row r="49780">
      <c r="A49780" s="1" t="n">
        <v>49779</v>
      </c>
      <c r="B49780">
        <f>TEXT(49779, "[$-0E0000]yyyy-mm-dd")</f>
        <v/>
      </c>
      <c r="C49780" t="inlineStr">
        <is>
          <t>2036-03-19</t>
        </is>
      </c>
    </row>
    <row r="49781">
      <c r="A49781" s="1" t="n">
        <v>49780</v>
      </c>
      <c r="B49781">
        <f>TEXT(49780, "[$-0E0000]yyyy-mm-dd")</f>
        <v/>
      </c>
      <c r="C49781" t="inlineStr">
        <is>
          <t>2036-03-20</t>
        </is>
      </c>
    </row>
    <row r="49782">
      <c r="A49782" s="1" t="n">
        <v>49781</v>
      </c>
      <c r="B49782">
        <f>TEXT(49781, "[$-0E0000]yyyy-mm-dd")</f>
        <v/>
      </c>
      <c r="C49782" t="inlineStr">
        <is>
          <t>2036-03-21</t>
        </is>
      </c>
    </row>
    <row r="49783">
      <c r="A49783" s="1" t="n">
        <v>49782</v>
      </c>
      <c r="B49783">
        <f>TEXT(49782, "[$-0E0000]yyyy-mm-dd")</f>
        <v/>
      </c>
      <c r="C49783" t="inlineStr">
        <is>
          <t>2036-03-22</t>
        </is>
      </c>
    </row>
    <row r="49784">
      <c r="A49784" s="1" t="n">
        <v>49783</v>
      </c>
      <c r="B49784">
        <f>TEXT(49783, "[$-0E0000]yyyy-mm-dd")</f>
        <v/>
      </c>
      <c r="C49784" t="inlineStr">
        <is>
          <t>2036-03-23</t>
        </is>
      </c>
    </row>
    <row r="49785">
      <c r="A49785" s="1" t="n">
        <v>49784</v>
      </c>
      <c r="B49785">
        <f>TEXT(49784, "[$-0E0000]yyyy-mm-dd")</f>
        <v/>
      </c>
      <c r="C49785" t="inlineStr">
        <is>
          <t>2036-03-24</t>
        </is>
      </c>
    </row>
    <row r="49786">
      <c r="A49786" s="1" t="n">
        <v>49785</v>
      </c>
      <c r="B49786">
        <f>TEXT(49785, "[$-0E0000]yyyy-mm-dd")</f>
        <v/>
      </c>
      <c r="C49786" t="inlineStr">
        <is>
          <t>2036-03-25</t>
        </is>
      </c>
    </row>
    <row r="49787">
      <c r="A49787" s="1" t="n">
        <v>49786</v>
      </c>
      <c r="B49787">
        <f>TEXT(49786, "[$-0E0000]yyyy-mm-dd")</f>
        <v/>
      </c>
      <c r="C49787" t="inlineStr">
        <is>
          <t>2036-03-26</t>
        </is>
      </c>
    </row>
    <row r="49788">
      <c r="A49788" s="1" t="n">
        <v>49787</v>
      </c>
      <c r="B49788">
        <f>TEXT(49787, "[$-0E0000]yyyy-mm-dd")</f>
        <v/>
      </c>
      <c r="C49788" t="inlineStr">
        <is>
          <t>2036-03-27</t>
        </is>
      </c>
    </row>
    <row r="49789">
      <c r="A49789" s="1" t="n">
        <v>49788</v>
      </c>
      <c r="B49789">
        <f>TEXT(49788, "[$-0E0000]yyyy-mm-dd")</f>
        <v/>
      </c>
      <c r="C49789" t="inlineStr">
        <is>
          <t>2036-03-28</t>
        </is>
      </c>
    </row>
    <row r="49790">
      <c r="A49790" s="1" t="n">
        <v>49789</v>
      </c>
      <c r="B49790">
        <f>TEXT(49789, "[$-0E0000]yyyy-mm-dd")</f>
        <v/>
      </c>
      <c r="C49790" t="inlineStr">
        <is>
          <t>2036-03-29</t>
        </is>
      </c>
    </row>
    <row r="49791">
      <c r="A49791" s="1" t="n">
        <v>49790</v>
      </c>
      <c r="B49791">
        <f>TEXT(49790, "[$-0E0000]yyyy-mm-dd")</f>
        <v/>
      </c>
      <c r="C49791" t="inlineStr">
        <is>
          <t>2036-04-01</t>
        </is>
      </c>
    </row>
    <row r="49792">
      <c r="A49792" s="1" t="n">
        <v>49791</v>
      </c>
      <c r="B49792">
        <f>TEXT(49791, "[$-0E0000]yyyy-mm-dd")</f>
        <v/>
      </c>
      <c r="C49792" t="inlineStr">
        <is>
          <t>2036-04-02</t>
        </is>
      </c>
    </row>
    <row r="49793">
      <c r="A49793" s="1" t="n">
        <v>49792</v>
      </c>
      <c r="B49793">
        <f>TEXT(49792, "[$-0E0000]yyyy-mm-dd")</f>
        <v/>
      </c>
      <c r="C49793" t="inlineStr">
        <is>
          <t>2036-04-03</t>
        </is>
      </c>
    </row>
    <row r="49794">
      <c r="A49794" s="1" t="n">
        <v>49793</v>
      </c>
      <c r="B49794">
        <f>TEXT(49793, "[$-0E0000]yyyy-mm-dd")</f>
        <v/>
      </c>
      <c r="C49794" t="inlineStr">
        <is>
          <t>2036-04-04</t>
        </is>
      </c>
    </row>
    <row r="49795">
      <c r="A49795" s="1" t="n">
        <v>49794</v>
      </c>
      <c r="B49795">
        <f>TEXT(49794, "[$-0E0000]yyyy-mm-dd")</f>
        <v/>
      </c>
      <c r="C49795" t="inlineStr">
        <is>
          <t>2036-04-05</t>
        </is>
      </c>
    </row>
    <row r="49796">
      <c r="A49796" s="1" t="n">
        <v>49795</v>
      </c>
      <c r="B49796">
        <f>TEXT(49795, "[$-0E0000]yyyy-mm-dd")</f>
        <v/>
      </c>
      <c r="C49796" t="inlineStr">
        <is>
          <t>2036-04-06</t>
        </is>
      </c>
    </row>
    <row r="49797">
      <c r="A49797" s="1" t="n">
        <v>49796</v>
      </c>
      <c r="B49797">
        <f>TEXT(49796, "[$-0E0000]yyyy-mm-dd")</f>
        <v/>
      </c>
      <c r="C49797" t="inlineStr">
        <is>
          <t>2036-04-07</t>
        </is>
      </c>
    </row>
    <row r="49798">
      <c r="A49798" s="1" t="n">
        <v>49797</v>
      </c>
      <c r="B49798">
        <f>TEXT(49797, "[$-0E0000]yyyy-mm-dd")</f>
        <v/>
      </c>
      <c r="C49798" t="inlineStr">
        <is>
          <t>2036-04-08</t>
        </is>
      </c>
    </row>
    <row r="49799">
      <c r="A49799" s="1" t="n">
        <v>49798</v>
      </c>
      <c r="B49799">
        <f>TEXT(49798, "[$-0E0000]yyyy-mm-dd")</f>
        <v/>
      </c>
      <c r="C49799" t="inlineStr">
        <is>
          <t>2036-04-09</t>
        </is>
      </c>
    </row>
    <row r="49800">
      <c r="A49800" s="1" t="n">
        <v>49799</v>
      </c>
      <c r="B49800">
        <f>TEXT(49799, "[$-0E0000]yyyy-mm-dd")</f>
        <v/>
      </c>
      <c r="C49800" t="inlineStr">
        <is>
          <t>2036-04-10</t>
        </is>
      </c>
    </row>
    <row r="49801">
      <c r="A49801" s="1" t="n">
        <v>49800</v>
      </c>
      <c r="B49801">
        <f>TEXT(49800, "[$-0E0000]yyyy-mm-dd")</f>
        <v/>
      </c>
      <c r="C49801" t="inlineStr">
        <is>
          <t>2036-04-11</t>
        </is>
      </c>
    </row>
    <row r="49802">
      <c r="A49802" s="1" t="n">
        <v>49801</v>
      </c>
      <c r="B49802">
        <f>TEXT(49801, "[$-0E0000]yyyy-mm-dd")</f>
        <v/>
      </c>
      <c r="C49802" t="inlineStr">
        <is>
          <t>2036-04-12</t>
        </is>
      </c>
    </row>
    <row r="49803">
      <c r="A49803" s="1" t="n">
        <v>49802</v>
      </c>
      <c r="B49803">
        <f>TEXT(49802, "[$-0E0000]yyyy-mm-dd")</f>
        <v/>
      </c>
      <c r="C49803" t="inlineStr">
        <is>
          <t>2036-04-13</t>
        </is>
      </c>
    </row>
    <row r="49804">
      <c r="A49804" s="1" t="n">
        <v>49803</v>
      </c>
      <c r="B49804">
        <f>TEXT(49803, "[$-0E0000]yyyy-mm-dd")</f>
        <v/>
      </c>
      <c r="C49804" t="inlineStr">
        <is>
          <t>2036-04-14</t>
        </is>
      </c>
    </row>
    <row r="49805">
      <c r="A49805" s="1" t="n">
        <v>49804</v>
      </c>
      <c r="B49805">
        <f>TEXT(49804, "[$-0E0000]yyyy-mm-dd")</f>
        <v/>
      </c>
      <c r="C49805" t="inlineStr">
        <is>
          <t>2036-04-15</t>
        </is>
      </c>
    </row>
    <row r="49806">
      <c r="A49806" s="1" t="n">
        <v>49805</v>
      </c>
      <c r="B49806">
        <f>TEXT(49805, "[$-0E0000]yyyy-mm-dd")</f>
        <v/>
      </c>
      <c r="C49806" t="inlineStr">
        <is>
          <t>2036-04-16</t>
        </is>
      </c>
    </row>
    <row r="49807">
      <c r="A49807" s="1" t="n">
        <v>49806</v>
      </c>
      <c r="B49807">
        <f>TEXT(49806, "[$-0E0000]yyyy-mm-dd")</f>
        <v/>
      </c>
      <c r="C49807" t="inlineStr">
        <is>
          <t>2036-04-17</t>
        </is>
      </c>
    </row>
    <row r="49808">
      <c r="A49808" s="1" t="n">
        <v>49807</v>
      </c>
      <c r="B49808">
        <f>TEXT(49807, "[$-0E0000]yyyy-mm-dd")</f>
        <v/>
      </c>
      <c r="C49808" t="inlineStr">
        <is>
          <t>2036-04-18</t>
        </is>
      </c>
    </row>
    <row r="49809">
      <c r="A49809" s="1" t="n">
        <v>49808</v>
      </c>
      <c r="B49809">
        <f>TEXT(49808, "[$-0E0000]yyyy-mm-dd")</f>
        <v/>
      </c>
      <c r="C49809" t="inlineStr">
        <is>
          <t>2036-04-19</t>
        </is>
      </c>
    </row>
    <row r="49810">
      <c r="A49810" s="1" t="n">
        <v>49809</v>
      </c>
      <c r="B49810">
        <f>TEXT(49809, "[$-0E0000]yyyy-mm-dd")</f>
        <v/>
      </c>
      <c r="C49810" t="inlineStr">
        <is>
          <t>2036-04-20</t>
        </is>
      </c>
    </row>
    <row r="49811">
      <c r="A49811" s="1" t="n">
        <v>49810</v>
      </c>
      <c r="B49811">
        <f>TEXT(49810, "[$-0E0000]yyyy-mm-dd")</f>
        <v/>
      </c>
      <c r="C49811" t="inlineStr">
        <is>
          <t>2036-04-21</t>
        </is>
      </c>
    </row>
    <row r="49812">
      <c r="A49812" s="1" t="n">
        <v>49811</v>
      </c>
      <c r="B49812">
        <f>TEXT(49811, "[$-0E0000]yyyy-mm-dd")</f>
        <v/>
      </c>
      <c r="C49812" t="inlineStr">
        <is>
          <t>2036-04-22</t>
        </is>
      </c>
    </row>
    <row r="49813">
      <c r="A49813" s="1" t="n">
        <v>49812</v>
      </c>
      <c r="B49813">
        <f>TEXT(49812, "[$-0E0000]yyyy-mm-dd")</f>
        <v/>
      </c>
      <c r="C49813" t="inlineStr">
        <is>
          <t>2036-04-23</t>
        </is>
      </c>
    </row>
    <row r="49814">
      <c r="A49814" s="1" t="n">
        <v>49813</v>
      </c>
      <c r="B49814">
        <f>TEXT(49813, "[$-0E0000]yyyy-mm-dd")</f>
        <v/>
      </c>
      <c r="C49814" t="inlineStr">
        <is>
          <t>2036-04-24</t>
        </is>
      </c>
    </row>
    <row r="49815">
      <c r="A49815" s="1" t="n">
        <v>49814</v>
      </c>
      <c r="B49815">
        <f>TEXT(49814, "[$-0E0000]yyyy-mm-dd")</f>
        <v/>
      </c>
      <c r="C49815" t="inlineStr">
        <is>
          <t>2036-04-25</t>
        </is>
      </c>
    </row>
    <row r="49816">
      <c r="A49816" s="1" t="n">
        <v>49815</v>
      </c>
      <c r="B49816">
        <f>TEXT(49815, "[$-0E0000]yyyy-mm-dd")</f>
        <v/>
      </c>
      <c r="C49816" t="inlineStr">
        <is>
          <t>2036-04-26</t>
        </is>
      </c>
    </row>
    <row r="49817">
      <c r="A49817" s="1" t="n">
        <v>49816</v>
      </c>
      <c r="B49817">
        <f>TEXT(49816, "[$-0E0000]yyyy-mm-dd")</f>
        <v/>
      </c>
      <c r="C49817" t="inlineStr">
        <is>
          <t>2036-04-27</t>
        </is>
      </c>
    </row>
    <row r="49818">
      <c r="A49818" s="1" t="n">
        <v>49817</v>
      </c>
      <c r="B49818">
        <f>TEXT(49817, "[$-0E0000]yyyy-mm-dd")</f>
        <v/>
      </c>
      <c r="C49818" t="inlineStr">
        <is>
          <t>2036-04-28</t>
        </is>
      </c>
    </row>
    <row r="49819">
      <c r="A49819" s="1" t="n">
        <v>49818</v>
      </c>
      <c r="B49819">
        <f>TEXT(49818, "[$-0E0000]yyyy-mm-dd")</f>
        <v/>
      </c>
      <c r="C49819" t="inlineStr">
        <is>
          <t>2036-04-29</t>
        </is>
      </c>
    </row>
    <row r="49820">
      <c r="A49820" s="1" t="n">
        <v>49819</v>
      </c>
      <c r="B49820">
        <f>TEXT(49819, "[$-0E0000]yyyy-mm-dd")</f>
        <v/>
      </c>
      <c r="C49820" t="inlineStr">
        <is>
          <t>2036-04-30</t>
        </is>
      </c>
    </row>
    <row r="49821">
      <c r="A49821" s="1" t="n">
        <v>49820</v>
      </c>
      <c r="B49821">
        <f>TEXT(49820, "[$-0E0000]yyyy-mm-dd")</f>
        <v/>
      </c>
      <c r="C49821" t="inlineStr">
        <is>
          <t>2036-05-01</t>
        </is>
      </c>
    </row>
    <row r="49822">
      <c r="A49822" s="1" t="n">
        <v>49821</v>
      </c>
      <c r="B49822">
        <f>TEXT(49821, "[$-0E0000]yyyy-mm-dd")</f>
        <v/>
      </c>
      <c r="C49822" t="inlineStr">
        <is>
          <t>2036-05-02</t>
        </is>
      </c>
    </row>
    <row r="49823">
      <c r="A49823" s="1" t="n">
        <v>49822</v>
      </c>
      <c r="B49823">
        <f>TEXT(49822, "[$-0E0000]yyyy-mm-dd")</f>
        <v/>
      </c>
      <c r="C49823" t="inlineStr">
        <is>
          <t>2036-05-03</t>
        </is>
      </c>
    </row>
    <row r="49824">
      <c r="A49824" s="1" t="n">
        <v>49823</v>
      </c>
      <c r="B49824">
        <f>TEXT(49823, "[$-0E0000]yyyy-mm-dd")</f>
        <v/>
      </c>
      <c r="C49824" t="inlineStr">
        <is>
          <t>2036-05-04</t>
        </is>
      </c>
    </row>
    <row r="49825">
      <c r="A49825" s="1" t="n">
        <v>49824</v>
      </c>
      <c r="B49825">
        <f>TEXT(49824, "[$-0E0000]yyyy-mm-dd")</f>
        <v/>
      </c>
      <c r="C49825" t="inlineStr">
        <is>
          <t>2036-05-05</t>
        </is>
      </c>
    </row>
    <row r="49826">
      <c r="A49826" s="1" t="n">
        <v>49825</v>
      </c>
      <c r="B49826">
        <f>TEXT(49825, "[$-0E0000]yyyy-mm-dd")</f>
        <v/>
      </c>
      <c r="C49826" t="inlineStr">
        <is>
          <t>2036-05-06</t>
        </is>
      </c>
    </row>
    <row r="49827">
      <c r="A49827" s="1" t="n">
        <v>49826</v>
      </c>
      <c r="B49827">
        <f>TEXT(49826, "[$-0E0000]yyyy-mm-dd")</f>
        <v/>
      </c>
      <c r="C49827" t="inlineStr">
        <is>
          <t>2036-05-07</t>
        </is>
      </c>
    </row>
    <row r="49828">
      <c r="A49828" s="1" t="n">
        <v>49827</v>
      </c>
      <c r="B49828">
        <f>TEXT(49827, "[$-0E0000]yyyy-mm-dd")</f>
        <v/>
      </c>
      <c r="C49828" t="inlineStr">
        <is>
          <t>2036-05-08</t>
        </is>
      </c>
    </row>
    <row r="49829">
      <c r="A49829" s="1" t="n">
        <v>49828</v>
      </c>
      <c r="B49829">
        <f>TEXT(49828, "[$-0E0000]yyyy-mm-dd")</f>
        <v/>
      </c>
      <c r="C49829" t="inlineStr">
        <is>
          <t>2036-05-09</t>
        </is>
      </c>
    </row>
    <row r="49830">
      <c r="A49830" s="1" t="n">
        <v>49829</v>
      </c>
      <c r="B49830">
        <f>TEXT(49829, "[$-0E0000]yyyy-mm-dd")</f>
        <v/>
      </c>
      <c r="C49830" t="inlineStr">
        <is>
          <t>2036-05-10</t>
        </is>
      </c>
    </row>
    <row r="49831">
      <c r="A49831" s="1" t="n">
        <v>49830</v>
      </c>
      <c r="B49831">
        <f>TEXT(49830, "[$-0E0000]yyyy-mm-dd")</f>
        <v/>
      </c>
      <c r="C49831" t="inlineStr">
        <is>
          <t>2036-05-11</t>
        </is>
      </c>
    </row>
    <row r="49832">
      <c r="A49832" s="1" t="n">
        <v>49831</v>
      </c>
      <c r="B49832">
        <f>TEXT(49831, "[$-0E0000]yyyy-mm-dd")</f>
        <v/>
      </c>
      <c r="C49832" t="inlineStr">
        <is>
          <t>2036-05-12</t>
        </is>
      </c>
    </row>
    <row r="49833">
      <c r="A49833" s="1" t="n">
        <v>49832</v>
      </c>
      <c r="B49833">
        <f>TEXT(49832, "[$-0E0000]yyyy-mm-dd")</f>
        <v/>
      </c>
      <c r="C49833" t="inlineStr">
        <is>
          <t>2036-05-13</t>
        </is>
      </c>
    </row>
    <row r="49834">
      <c r="A49834" s="1" t="n">
        <v>49833</v>
      </c>
      <c r="B49834">
        <f>TEXT(49833, "[$-0E0000]yyyy-mm-dd")</f>
        <v/>
      </c>
      <c r="C49834" t="inlineStr">
        <is>
          <t>2036-05-14</t>
        </is>
      </c>
    </row>
    <row r="49835">
      <c r="A49835" s="1" t="n">
        <v>49834</v>
      </c>
      <c r="B49835">
        <f>TEXT(49834, "[$-0E0000]yyyy-mm-dd")</f>
        <v/>
      </c>
      <c r="C49835" t="inlineStr">
        <is>
          <t>2036-05-15</t>
        </is>
      </c>
    </row>
    <row r="49836">
      <c r="A49836" s="1" t="n">
        <v>49835</v>
      </c>
      <c r="B49836">
        <f>TEXT(49835, "[$-0E0000]yyyy-mm-dd")</f>
        <v/>
      </c>
      <c r="C49836" t="inlineStr">
        <is>
          <t>2036-05-16</t>
        </is>
      </c>
    </row>
    <row r="49837">
      <c r="A49837" s="1" t="n">
        <v>49836</v>
      </c>
      <c r="B49837">
        <f>TEXT(49836, "[$-0E0000]yyyy-mm-dd")</f>
        <v/>
      </c>
      <c r="C49837" t="inlineStr">
        <is>
          <t>2036-05-17</t>
        </is>
      </c>
    </row>
    <row r="49838">
      <c r="A49838" s="1" t="n">
        <v>49837</v>
      </c>
      <c r="B49838">
        <f>TEXT(49837, "[$-0E0000]yyyy-mm-dd")</f>
        <v/>
      </c>
      <c r="C49838" t="inlineStr">
        <is>
          <t>2036-05-18</t>
        </is>
      </c>
    </row>
    <row r="49839">
      <c r="A49839" s="1" t="n">
        <v>49838</v>
      </c>
      <c r="B49839">
        <f>TEXT(49838, "[$-0E0000]yyyy-mm-dd")</f>
        <v/>
      </c>
      <c r="C49839" t="inlineStr">
        <is>
          <t>2036-05-19</t>
        </is>
      </c>
    </row>
    <row r="49840">
      <c r="A49840" s="1" t="n">
        <v>49839</v>
      </c>
      <c r="B49840">
        <f>TEXT(49839, "[$-0E0000]yyyy-mm-dd")</f>
        <v/>
      </c>
      <c r="C49840" t="inlineStr">
        <is>
          <t>2036-05-20</t>
        </is>
      </c>
    </row>
    <row r="49841">
      <c r="A49841" s="1" t="n">
        <v>49840</v>
      </c>
      <c r="B49841">
        <f>TEXT(49840, "[$-0E0000]yyyy-mm-dd")</f>
        <v/>
      </c>
      <c r="C49841" t="inlineStr">
        <is>
          <t>2036-05-21</t>
        </is>
      </c>
    </row>
    <row r="49842">
      <c r="A49842" s="1" t="n">
        <v>49841</v>
      </c>
      <c r="B49842">
        <f>TEXT(49841, "[$-0E0000]yyyy-mm-dd")</f>
        <v/>
      </c>
      <c r="C49842" t="inlineStr">
        <is>
          <t>2036-05-22</t>
        </is>
      </c>
    </row>
    <row r="49843">
      <c r="A49843" s="1" t="n">
        <v>49842</v>
      </c>
      <c r="B49843">
        <f>TEXT(49842, "[$-0E0000]yyyy-mm-dd")</f>
        <v/>
      </c>
      <c r="C49843" t="inlineStr">
        <is>
          <t>2036-05-23</t>
        </is>
      </c>
    </row>
    <row r="49844">
      <c r="A49844" s="1" t="n">
        <v>49843</v>
      </c>
      <c r="B49844">
        <f>TEXT(49843, "[$-0E0000]yyyy-mm-dd")</f>
        <v/>
      </c>
      <c r="C49844" t="inlineStr">
        <is>
          <t>2036-05-24</t>
        </is>
      </c>
    </row>
    <row r="49845">
      <c r="A49845" s="1" t="n">
        <v>49844</v>
      </c>
      <c r="B49845">
        <f>TEXT(49844, "[$-0E0000]yyyy-mm-dd")</f>
        <v/>
      </c>
      <c r="C49845" t="inlineStr">
        <is>
          <t>2036-05-25</t>
        </is>
      </c>
    </row>
    <row r="49846">
      <c r="A49846" s="1" t="n">
        <v>49845</v>
      </c>
      <c r="B49846">
        <f>TEXT(49845, "[$-0E0000]yyyy-mm-dd")</f>
        <v/>
      </c>
      <c r="C49846" t="inlineStr">
        <is>
          <t>2036-05-26</t>
        </is>
      </c>
    </row>
    <row r="49847">
      <c r="A49847" s="1" t="n">
        <v>49846</v>
      </c>
      <c r="B49847">
        <f>TEXT(49846, "[$-0E0000]yyyy-mm-dd")</f>
        <v/>
      </c>
      <c r="C49847" t="inlineStr">
        <is>
          <t>2036-05-27</t>
        </is>
      </c>
    </row>
    <row r="49848">
      <c r="A49848" s="1" t="n">
        <v>49847</v>
      </c>
      <c r="B49848">
        <f>TEXT(49847, "[$-0E0000]yyyy-mm-dd")</f>
        <v/>
      </c>
      <c r="C49848" t="inlineStr">
        <is>
          <t>2036-05-28</t>
        </is>
      </c>
    </row>
    <row r="49849">
      <c r="A49849" s="1" t="n">
        <v>49848</v>
      </c>
      <c r="B49849">
        <f>TEXT(49848, "[$-0E0000]yyyy-mm-dd")</f>
        <v/>
      </c>
      <c r="C49849" t="inlineStr">
        <is>
          <t>2036-05-29</t>
        </is>
      </c>
    </row>
    <row r="49850">
      <c r="A49850" s="1" t="n">
        <v>49849</v>
      </c>
      <c r="B49850">
        <f>TEXT(49849, "[$-0E0000]yyyy-mm-dd")</f>
        <v/>
      </c>
      <c r="C49850" t="inlineStr">
        <is>
          <t>2036-06-01</t>
        </is>
      </c>
    </row>
    <row r="49851">
      <c r="A49851" s="1" t="n">
        <v>49850</v>
      </c>
      <c r="B49851">
        <f>TEXT(49850, "[$-0E0000]yyyy-mm-dd")</f>
        <v/>
      </c>
      <c r="C49851" t="inlineStr">
        <is>
          <t>2036-06-02</t>
        </is>
      </c>
    </row>
    <row r="49852">
      <c r="A49852" s="1" t="n">
        <v>49851</v>
      </c>
      <c r="B49852">
        <f>TEXT(49851, "[$-0E0000]yyyy-mm-dd")</f>
        <v/>
      </c>
      <c r="C49852" t="inlineStr">
        <is>
          <t>2036-06-03</t>
        </is>
      </c>
    </row>
    <row r="49853">
      <c r="A49853" s="1" t="n">
        <v>49852</v>
      </c>
      <c r="B49853">
        <f>TEXT(49852, "[$-0E0000]yyyy-mm-dd")</f>
        <v/>
      </c>
      <c r="C49853" t="inlineStr">
        <is>
          <t>2036-06-04</t>
        </is>
      </c>
    </row>
    <row r="49854">
      <c r="A49854" s="1" t="n">
        <v>49853</v>
      </c>
      <c r="B49854">
        <f>TEXT(49853, "[$-0E0000]yyyy-mm-dd")</f>
        <v/>
      </c>
      <c r="C49854" t="inlineStr">
        <is>
          <t>2036-06-05</t>
        </is>
      </c>
    </row>
    <row r="49855">
      <c r="A49855" s="1" t="n">
        <v>49854</v>
      </c>
      <c r="B49855">
        <f>TEXT(49854, "[$-0E0000]yyyy-mm-dd")</f>
        <v/>
      </c>
      <c r="C49855" t="inlineStr">
        <is>
          <t>2036-06-06</t>
        </is>
      </c>
    </row>
    <row r="49856">
      <c r="A49856" s="1" t="n">
        <v>49855</v>
      </c>
      <c r="B49856">
        <f>TEXT(49855, "[$-0E0000]yyyy-mm-dd")</f>
        <v/>
      </c>
      <c r="C49856" t="inlineStr">
        <is>
          <t>2036-06-07</t>
        </is>
      </c>
    </row>
    <row r="49857">
      <c r="A49857" s="1" t="n">
        <v>49856</v>
      </c>
      <c r="B49857">
        <f>TEXT(49856, "[$-0E0000]yyyy-mm-dd")</f>
        <v/>
      </c>
      <c r="C49857" t="inlineStr">
        <is>
          <t>2036-06-08</t>
        </is>
      </c>
    </row>
    <row r="49858">
      <c r="A49858" s="1" t="n">
        <v>49857</v>
      </c>
      <c r="B49858">
        <f>TEXT(49857, "[$-0E0000]yyyy-mm-dd")</f>
        <v/>
      </c>
      <c r="C49858" t="inlineStr">
        <is>
          <t>2036-06-09</t>
        </is>
      </c>
    </row>
    <row r="49859">
      <c r="A49859" s="1" t="n">
        <v>49858</v>
      </c>
      <c r="B49859">
        <f>TEXT(49858, "[$-0E0000]yyyy-mm-dd")</f>
        <v/>
      </c>
      <c r="C49859" t="inlineStr">
        <is>
          <t>2036-06-10</t>
        </is>
      </c>
    </row>
    <row r="49860">
      <c r="A49860" s="1" t="n">
        <v>49859</v>
      </c>
      <c r="B49860">
        <f>TEXT(49859, "[$-0E0000]yyyy-mm-dd")</f>
        <v/>
      </c>
      <c r="C49860" t="inlineStr">
        <is>
          <t>2036-06-11</t>
        </is>
      </c>
    </row>
    <row r="49861">
      <c r="A49861" s="1" t="n">
        <v>49860</v>
      </c>
      <c r="B49861">
        <f>TEXT(49860, "[$-0E0000]yyyy-mm-dd")</f>
        <v/>
      </c>
      <c r="C49861" t="inlineStr">
        <is>
          <t>2036-06-12</t>
        </is>
      </c>
    </row>
    <row r="49862">
      <c r="A49862" s="1" t="n">
        <v>49861</v>
      </c>
      <c r="B49862">
        <f>TEXT(49861, "[$-0E0000]yyyy-mm-dd")</f>
        <v/>
      </c>
      <c r="C49862" t="inlineStr">
        <is>
          <t>2036-06-13</t>
        </is>
      </c>
    </row>
    <row r="49863">
      <c r="A49863" s="1" t="n">
        <v>49862</v>
      </c>
      <c r="B49863">
        <f>TEXT(49862, "[$-0E0000]yyyy-mm-dd")</f>
        <v/>
      </c>
      <c r="C49863" t="inlineStr">
        <is>
          <t>2036-06-14</t>
        </is>
      </c>
    </row>
    <row r="49864">
      <c r="A49864" s="1" t="n">
        <v>49863</v>
      </c>
      <c r="B49864">
        <f>TEXT(49863, "[$-0E0000]yyyy-mm-dd")</f>
        <v/>
      </c>
      <c r="C49864" t="inlineStr">
        <is>
          <t>2036-06-15</t>
        </is>
      </c>
    </row>
    <row r="49865">
      <c r="A49865" s="1" t="n">
        <v>49864</v>
      </c>
      <c r="B49865">
        <f>TEXT(49864, "[$-0E0000]yyyy-mm-dd")</f>
        <v/>
      </c>
      <c r="C49865" t="inlineStr">
        <is>
          <t>2036-06-16</t>
        </is>
      </c>
    </row>
    <row r="49866">
      <c r="A49866" s="1" t="n">
        <v>49865</v>
      </c>
      <c r="B49866">
        <f>TEXT(49865, "[$-0E0000]yyyy-mm-dd")</f>
        <v/>
      </c>
      <c r="C49866" t="inlineStr">
        <is>
          <t>2036-06-17</t>
        </is>
      </c>
    </row>
    <row r="49867">
      <c r="A49867" s="1" t="n">
        <v>49866</v>
      </c>
      <c r="B49867">
        <f>TEXT(49866, "[$-0E0000]yyyy-mm-dd")</f>
        <v/>
      </c>
      <c r="C49867" t="inlineStr">
        <is>
          <t>2036-06-18</t>
        </is>
      </c>
    </row>
    <row r="49868">
      <c r="A49868" s="1" t="n">
        <v>49867</v>
      </c>
      <c r="B49868">
        <f>TEXT(49867, "[$-0E0000]yyyy-mm-dd")</f>
        <v/>
      </c>
      <c r="C49868" t="inlineStr">
        <is>
          <t>2036-06-19</t>
        </is>
      </c>
    </row>
    <row r="49869">
      <c r="A49869" s="1" t="n">
        <v>49868</v>
      </c>
      <c r="B49869">
        <f>TEXT(49868, "[$-0E0000]yyyy-mm-dd")</f>
        <v/>
      </c>
      <c r="C49869" t="inlineStr">
        <is>
          <t>2036-06-20</t>
        </is>
      </c>
    </row>
    <row r="49870">
      <c r="A49870" s="1" t="n">
        <v>49869</v>
      </c>
      <c r="B49870">
        <f>TEXT(49869, "[$-0E0000]yyyy-mm-dd")</f>
        <v/>
      </c>
      <c r="C49870" t="inlineStr">
        <is>
          <t>2036-06-21</t>
        </is>
      </c>
    </row>
    <row r="49871">
      <c r="A49871" s="1" t="n">
        <v>49870</v>
      </c>
      <c r="B49871">
        <f>TEXT(49870, "[$-0E0000]yyyy-mm-dd")</f>
        <v/>
      </c>
      <c r="C49871" t="inlineStr">
        <is>
          <t>2036-06-22</t>
        </is>
      </c>
    </row>
    <row r="49872">
      <c r="A49872" s="1" t="n">
        <v>49871</v>
      </c>
      <c r="B49872">
        <f>TEXT(49871, "[$-0E0000]yyyy-mm-dd")</f>
        <v/>
      </c>
      <c r="C49872" t="inlineStr">
        <is>
          <t>2036-06-23</t>
        </is>
      </c>
    </row>
    <row r="49873">
      <c r="A49873" s="1" t="n">
        <v>49872</v>
      </c>
      <c r="B49873">
        <f>TEXT(49872, "[$-0E0000]yyyy-mm-dd")</f>
        <v/>
      </c>
      <c r="C49873" t="inlineStr">
        <is>
          <t>2036-06-24</t>
        </is>
      </c>
    </row>
    <row r="49874">
      <c r="A49874" s="1" t="n">
        <v>49873</v>
      </c>
      <c r="B49874">
        <f>TEXT(49873, "[$-0E0000]yyyy-mm-dd")</f>
        <v/>
      </c>
      <c r="C49874" t="inlineStr">
        <is>
          <t>2036-06-25</t>
        </is>
      </c>
    </row>
    <row r="49875">
      <c r="A49875" s="1" t="n">
        <v>49874</v>
      </c>
      <c r="B49875">
        <f>TEXT(49874, "[$-0E0000]yyyy-mm-dd")</f>
        <v/>
      </c>
      <c r="C49875" t="inlineStr">
        <is>
          <t>2036-06-26</t>
        </is>
      </c>
    </row>
    <row r="49876">
      <c r="A49876" s="1" t="n">
        <v>49875</v>
      </c>
      <c r="B49876">
        <f>TEXT(49875, "[$-0E0000]yyyy-mm-dd")</f>
        <v/>
      </c>
      <c r="C49876" t="inlineStr">
        <is>
          <t>2036-06-27</t>
        </is>
      </c>
    </row>
    <row r="49877">
      <c r="A49877" s="1" t="n">
        <v>49876</v>
      </c>
      <c r="B49877">
        <f>TEXT(49876, "[$-0E0000]yyyy-mm-dd")</f>
        <v/>
      </c>
      <c r="C49877" t="inlineStr">
        <is>
          <t>2036-06-28</t>
        </is>
      </c>
    </row>
    <row r="49878">
      <c r="A49878" s="1" t="n">
        <v>49877</v>
      </c>
      <c r="B49878">
        <f>TEXT(49877, "[$-0E0000]yyyy-mm-dd")</f>
        <v/>
      </c>
      <c r="C49878" t="inlineStr">
        <is>
          <t>2036-06-29</t>
        </is>
      </c>
    </row>
    <row r="49879">
      <c r="A49879" s="1" t="n">
        <v>49878</v>
      </c>
      <c r="B49879">
        <f>TEXT(49878, "[$-0E0000]yyyy-mm-dd")</f>
        <v/>
      </c>
      <c r="C49879" t="inlineStr">
        <is>
          <t>2036-06-01</t>
        </is>
      </c>
    </row>
    <row r="49880">
      <c r="A49880" s="1" t="n">
        <v>49879</v>
      </c>
      <c r="B49880">
        <f>TEXT(49879, "[$-0E0000]yyyy-mm-dd")</f>
        <v/>
      </c>
      <c r="C49880" t="inlineStr">
        <is>
          <t>2036-06-02</t>
        </is>
      </c>
    </row>
    <row r="49881">
      <c r="A49881" s="1" t="n">
        <v>49880</v>
      </c>
      <c r="B49881">
        <f>TEXT(49880, "[$-0E0000]yyyy-mm-dd")</f>
        <v/>
      </c>
      <c r="C49881" t="inlineStr">
        <is>
          <t>2036-06-03</t>
        </is>
      </c>
    </row>
    <row r="49882">
      <c r="A49882" s="1" t="n">
        <v>49881</v>
      </c>
      <c r="B49882">
        <f>TEXT(49881, "[$-0E0000]yyyy-mm-dd")</f>
        <v/>
      </c>
      <c r="C49882" t="inlineStr">
        <is>
          <t>2036-06-04</t>
        </is>
      </c>
    </row>
    <row r="49883">
      <c r="A49883" s="1" t="n">
        <v>49882</v>
      </c>
      <c r="B49883">
        <f>TEXT(49882, "[$-0E0000]yyyy-mm-dd")</f>
        <v/>
      </c>
      <c r="C49883" t="inlineStr">
        <is>
          <t>2036-06-05</t>
        </is>
      </c>
    </row>
    <row r="49884">
      <c r="A49884" s="1" t="n">
        <v>49883</v>
      </c>
      <c r="B49884">
        <f>TEXT(49883, "[$-0E0000]yyyy-mm-dd")</f>
        <v/>
      </c>
      <c r="C49884" t="inlineStr">
        <is>
          <t>2036-06-06</t>
        </is>
      </c>
    </row>
    <row r="49885">
      <c r="A49885" s="1" t="n">
        <v>49884</v>
      </c>
      <c r="B49885">
        <f>TEXT(49884, "[$-0E0000]yyyy-mm-dd")</f>
        <v/>
      </c>
      <c r="C49885" t="inlineStr">
        <is>
          <t>2036-06-07</t>
        </is>
      </c>
    </row>
    <row r="49886">
      <c r="A49886" s="1" t="n">
        <v>49885</v>
      </c>
      <c r="B49886">
        <f>TEXT(49885, "[$-0E0000]yyyy-mm-dd")</f>
        <v/>
      </c>
      <c r="C49886" t="inlineStr">
        <is>
          <t>2036-06-08</t>
        </is>
      </c>
    </row>
    <row r="49887">
      <c r="A49887" s="1" t="n">
        <v>49886</v>
      </c>
      <c r="B49887">
        <f>TEXT(49886, "[$-0E0000]yyyy-mm-dd")</f>
        <v/>
      </c>
      <c r="C49887" t="inlineStr">
        <is>
          <t>2036-06-09</t>
        </is>
      </c>
    </row>
    <row r="49888">
      <c r="A49888" s="1" t="n">
        <v>49887</v>
      </c>
      <c r="B49888">
        <f>TEXT(49887, "[$-0E0000]yyyy-mm-dd")</f>
        <v/>
      </c>
      <c r="C49888" t="inlineStr">
        <is>
          <t>2036-06-10</t>
        </is>
      </c>
    </row>
    <row r="49889">
      <c r="A49889" s="1" t="n">
        <v>49888</v>
      </c>
      <c r="B49889">
        <f>TEXT(49888, "[$-0E0000]yyyy-mm-dd")</f>
        <v/>
      </c>
      <c r="C49889" t="inlineStr">
        <is>
          <t>2036-06-11</t>
        </is>
      </c>
    </row>
    <row r="49890">
      <c r="A49890" s="1" t="n">
        <v>49889</v>
      </c>
      <c r="B49890">
        <f>TEXT(49889, "[$-0E0000]yyyy-mm-dd")</f>
        <v/>
      </c>
      <c r="C49890" t="inlineStr">
        <is>
          <t>2036-06-12</t>
        </is>
      </c>
    </row>
    <row r="49891">
      <c r="A49891" s="1" t="n">
        <v>49890</v>
      </c>
      <c r="B49891">
        <f>TEXT(49890, "[$-0E0000]yyyy-mm-dd")</f>
        <v/>
      </c>
      <c r="C49891" t="inlineStr">
        <is>
          <t>2036-06-13</t>
        </is>
      </c>
    </row>
    <row r="49892">
      <c r="A49892" s="1" t="n">
        <v>49891</v>
      </c>
      <c r="B49892">
        <f>TEXT(49891, "[$-0E0000]yyyy-mm-dd")</f>
        <v/>
      </c>
      <c r="C49892" t="inlineStr">
        <is>
          <t>2036-06-14</t>
        </is>
      </c>
    </row>
    <row r="49893">
      <c r="A49893" s="1" t="n">
        <v>49892</v>
      </c>
      <c r="B49893">
        <f>TEXT(49892, "[$-0E0000]yyyy-mm-dd")</f>
        <v/>
      </c>
      <c r="C49893" t="inlineStr">
        <is>
          <t>2036-06-15</t>
        </is>
      </c>
    </row>
    <row r="49894">
      <c r="A49894" s="1" t="n">
        <v>49893</v>
      </c>
      <c r="B49894">
        <f>TEXT(49893, "[$-0E0000]yyyy-mm-dd")</f>
        <v/>
      </c>
      <c r="C49894" t="inlineStr">
        <is>
          <t>2036-06-16</t>
        </is>
      </c>
    </row>
    <row r="49895">
      <c r="A49895" s="1" t="n">
        <v>49894</v>
      </c>
      <c r="B49895">
        <f>TEXT(49894, "[$-0E0000]yyyy-mm-dd")</f>
        <v/>
      </c>
      <c r="C49895" t="inlineStr">
        <is>
          <t>2036-06-17</t>
        </is>
      </c>
    </row>
    <row r="49896">
      <c r="A49896" s="1" t="n">
        <v>49895</v>
      </c>
      <c r="B49896">
        <f>TEXT(49895, "[$-0E0000]yyyy-mm-dd")</f>
        <v/>
      </c>
      <c r="C49896" t="inlineStr">
        <is>
          <t>2036-06-18</t>
        </is>
      </c>
    </row>
    <row r="49897">
      <c r="A49897" s="1" t="n">
        <v>49896</v>
      </c>
      <c r="B49897">
        <f>TEXT(49896, "[$-0E0000]yyyy-mm-dd")</f>
        <v/>
      </c>
      <c r="C49897" t="inlineStr">
        <is>
          <t>2036-06-19</t>
        </is>
      </c>
    </row>
    <row r="49898">
      <c r="A49898" s="1" t="n">
        <v>49897</v>
      </c>
      <c r="B49898">
        <f>TEXT(49897, "[$-0E0000]yyyy-mm-dd")</f>
        <v/>
      </c>
      <c r="C49898" t="inlineStr">
        <is>
          <t>2036-06-20</t>
        </is>
      </c>
    </row>
    <row r="49899">
      <c r="A49899" s="1" t="n">
        <v>49898</v>
      </c>
      <c r="B49899">
        <f>TEXT(49898, "[$-0E0000]yyyy-mm-dd")</f>
        <v/>
      </c>
      <c r="C49899" t="inlineStr">
        <is>
          <t>2036-06-21</t>
        </is>
      </c>
    </row>
    <row r="49900">
      <c r="A49900" s="1" t="n">
        <v>49899</v>
      </c>
      <c r="B49900">
        <f>TEXT(49899, "[$-0E0000]yyyy-mm-dd")</f>
        <v/>
      </c>
      <c r="C49900" t="inlineStr">
        <is>
          <t>2036-06-22</t>
        </is>
      </c>
    </row>
    <row r="49901">
      <c r="A49901" s="1" t="n">
        <v>49900</v>
      </c>
      <c r="B49901">
        <f>TEXT(49900, "[$-0E0000]yyyy-mm-dd")</f>
        <v/>
      </c>
      <c r="C49901" t="inlineStr">
        <is>
          <t>2036-06-23</t>
        </is>
      </c>
    </row>
    <row r="49902">
      <c r="A49902" s="1" t="n">
        <v>49901</v>
      </c>
      <c r="B49902">
        <f>TEXT(49901, "[$-0E0000]yyyy-mm-dd")</f>
        <v/>
      </c>
      <c r="C49902" t="inlineStr">
        <is>
          <t>2036-06-24</t>
        </is>
      </c>
    </row>
    <row r="49903">
      <c r="A49903" s="1" t="n">
        <v>49902</v>
      </c>
      <c r="B49903">
        <f>TEXT(49902, "[$-0E0000]yyyy-mm-dd")</f>
        <v/>
      </c>
      <c r="C49903" t="inlineStr">
        <is>
          <t>2036-06-25</t>
        </is>
      </c>
    </row>
    <row r="49904">
      <c r="A49904" s="1" t="n">
        <v>49903</v>
      </c>
      <c r="B49904">
        <f>TEXT(49903, "[$-0E0000]yyyy-mm-dd")</f>
        <v/>
      </c>
      <c r="C49904" t="inlineStr">
        <is>
          <t>2036-06-26</t>
        </is>
      </c>
    </row>
    <row r="49905">
      <c r="A49905" s="1" t="n">
        <v>49904</v>
      </c>
      <c r="B49905">
        <f>TEXT(49904, "[$-0E0000]yyyy-mm-dd")</f>
        <v/>
      </c>
      <c r="C49905" t="inlineStr">
        <is>
          <t>2036-06-27</t>
        </is>
      </c>
    </row>
    <row r="49906">
      <c r="A49906" s="1" t="n">
        <v>49905</v>
      </c>
      <c r="B49906">
        <f>TEXT(49905, "[$-0E0000]yyyy-mm-dd")</f>
        <v/>
      </c>
      <c r="C49906" t="inlineStr">
        <is>
          <t>2036-06-28</t>
        </is>
      </c>
    </row>
    <row r="49907">
      <c r="A49907" s="1" t="n">
        <v>49906</v>
      </c>
      <c r="B49907">
        <f>TEXT(49906, "[$-0E0000]yyyy-mm-dd")</f>
        <v/>
      </c>
      <c r="C49907" t="inlineStr">
        <is>
          <t>2036-06-29</t>
        </is>
      </c>
    </row>
    <row r="49908">
      <c r="A49908" s="1" t="n">
        <v>49907</v>
      </c>
      <c r="B49908">
        <f>TEXT(49907, "[$-0E0000]yyyy-mm-dd")</f>
        <v/>
      </c>
      <c r="C49908" t="inlineStr">
        <is>
          <t>2036-06-30</t>
        </is>
      </c>
    </row>
    <row r="49909">
      <c r="A49909" s="1" t="n">
        <v>49908</v>
      </c>
      <c r="B49909">
        <f>TEXT(49908, "[$-0E0000]yyyy-mm-dd")</f>
        <v/>
      </c>
      <c r="C49909" t="inlineStr">
        <is>
          <t>2036-07-01</t>
        </is>
      </c>
    </row>
    <row r="49910">
      <c r="A49910" s="1" t="n">
        <v>49909</v>
      </c>
      <c r="B49910">
        <f>TEXT(49909, "[$-0E0000]yyyy-mm-dd")</f>
        <v/>
      </c>
      <c r="C49910" t="inlineStr">
        <is>
          <t>2036-07-02</t>
        </is>
      </c>
    </row>
    <row r="49911">
      <c r="A49911" s="1" t="n">
        <v>49910</v>
      </c>
      <c r="B49911">
        <f>TEXT(49910, "[$-0E0000]yyyy-mm-dd")</f>
        <v/>
      </c>
      <c r="C49911" t="inlineStr">
        <is>
          <t>2036-07-03</t>
        </is>
      </c>
    </row>
    <row r="49912">
      <c r="A49912" s="1" t="n">
        <v>49911</v>
      </c>
      <c r="B49912">
        <f>TEXT(49911, "[$-0E0000]yyyy-mm-dd")</f>
        <v/>
      </c>
      <c r="C49912" t="inlineStr">
        <is>
          <t>2036-07-04</t>
        </is>
      </c>
    </row>
    <row r="49913">
      <c r="A49913" s="1" t="n">
        <v>49912</v>
      </c>
      <c r="B49913">
        <f>TEXT(49912, "[$-0E0000]yyyy-mm-dd")</f>
        <v/>
      </c>
      <c r="C49913" t="inlineStr">
        <is>
          <t>2036-07-05</t>
        </is>
      </c>
    </row>
    <row r="49914">
      <c r="A49914" s="1" t="n">
        <v>49913</v>
      </c>
      <c r="B49914">
        <f>TEXT(49913, "[$-0E0000]yyyy-mm-dd")</f>
        <v/>
      </c>
      <c r="C49914" t="inlineStr">
        <is>
          <t>2036-07-06</t>
        </is>
      </c>
    </row>
    <row r="49915">
      <c r="A49915" s="1" t="n">
        <v>49914</v>
      </c>
      <c r="B49915">
        <f>TEXT(49914, "[$-0E0000]yyyy-mm-dd")</f>
        <v/>
      </c>
      <c r="C49915" t="inlineStr">
        <is>
          <t>2036-07-07</t>
        </is>
      </c>
    </row>
    <row r="49916">
      <c r="A49916" s="1" t="n">
        <v>49915</v>
      </c>
      <c r="B49916">
        <f>TEXT(49915, "[$-0E0000]yyyy-mm-dd")</f>
        <v/>
      </c>
      <c r="C49916" t="inlineStr">
        <is>
          <t>2036-07-08</t>
        </is>
      </c>
    </row>
    <row r="49917">
      <c r="A49917" s="1" t="n">
        <v>49916</v>
      </c>
      <c r="B49917">
        <f>TEXT(49916, "[$-0E0000]yyyy-mm-dd")</f>
        <v/>
      </c>
      <c r="C49917" t="inlineStr">
        <is>
          <t>2036-07-09</t>
        </is>
      </c>
    </row>
    <row r="49918">
      <c r="A49918" s="1" t="n">
        <v>49917</v>
      </c>
      <c r="B49918">
        <f>TEXT(49917, "[$-0E0000]yyyy-mm-dd")</f>
        <v/>
      </c>
      <c r="C49918" t="inlineStr">
        <is>
          <t>2036-07-10</t>
        </is>
      </c>
    </row>
    <row r="49919">
      <c r="A49919" s="1" t="n">
        <v>49918</v>
      </c>
      <c r="B49919">
        <f>TEXT(49918, "[$-0E0000]yyyy-mm-dd")</f>
        <v/>
      </c>
      <c r="C49919" t="inlineStr">
        <is>
          <t>2036-07-11</t>
        </is>
      </c>
    </row>
    <row r="49920">
      <c r="A49920" s="1" t="n">
        <v>49919</v>
      </c>
      <c r="B49920">
        <f>TEXT(49919, "[$-0E0000]yyyy-mm-dd")</f>
        <v/>
      </c>
      <c r="C49920" t="inlineStr">
        <is>
          <t>2036-07-12</t>
        </is>
      </c>
    </row>
    <row r="49921">
      <c r="A49921" s="1" t="n">
        <v>49920</v>
      </c>
      <c r="B49921">
        <f>TEXT(49920, "[$-0E0000]yyyy-mm-dd")</f>
        <v/>
      </c>
      <c r="C49921" t="inlineStr">
        <is>
          <t>2036-07-13</t>
        </is>
      </c>
    </row>
    <row r="49922">
      <c r="A49922" s="1" t="n">
        <v>49921</v>
      </c>
      <c r="B49922">
        <f>TEXT(49921, "[$-0E0000]yyyy-mm-dd")</f>
        <v/>
      </c>
      <c r="C49922" t="inlineStr">
        <is>
          <t>2036-07-14</t>
        </is>
      </c>
    </row>
    <row r="49923">
      <c r="A49923" s="1" t="n">
        <v>49922</v>
      </c>
      <c r="B49923">
        <f>TEXT(49922, "[$-0E0000]yyyy-mm-dd")</f>
        <v/>
      </c>
      <c r="C49923" t="inlineStr">
        <is>
          <t>2036-07-15</t>
        </is>
      </c>
    </row>
    <row r="49924">
      <c r="A49924" s="1" t="n">
        <v>49923</v>
      </c>
      <c r="B49924">
        <f>TEXT(49923, "[$-0E0000]yyyy-mm-dd")</f>
        <v/>
      </c>
      <c r="C49924" t="inlineStr">
        <is>
          <t>2036-07-16</t>
        </is>
      </c>
    </row>
    <row r="49925">
      <c r="A49925" s="1" t="n">
        <v>49924</v>
      </c>
      <c r="B49925">
        <f>TEXT(49924, "[$-0E0000]yyyy-mm-dd")</f>
        <v/>
      </c>
      <c r="C49925" t="inlineStr">
        <is>
          <t>2036-07-17</t>
        </is>
      </c>
    </row>
    <row r="49926">
      <c r="A49926" s="1" t="n">
        <v>49925</v>
      </c>
      <c r="B49926">
        <f>TEXT(49925, "[$-0E0000]yyyy-mm-dd")</f>
        <v/>
      </c>
      <c r="C49926" t="inlineStr">
        <is>
          <t>2036-07-18</t>
        </is>
      </c>
    </row>
    <row r="49927">
      <c r="A49927" s="1" t="n">
        <v>49926</v>
      </c>
      <c r="B49927">
        <f>TEXT(49926, "[$-0E0000]yyyy-mm-dd")</f>
        <v/>
      </c>
      <c r="C49927" t="inlineStr">
        <is>
          <t>2036-07-19</t>
        </is>
      </c>
    </row>
    <row r="49928">
      <c r="A49928" s="1" t="n">
        <v>49927</v>
      </c>
      <c r="B49928">
        <f>TEXT(49927, "[$-0E0000]yyyy-mm-dd")</f>
        <v/>
      </c>
      <c r="C49928" t="inlineStr">
        <is>
          <t>2036-07-20</t>
        </is>
      </c>
    </row>
    <row r="49929">
      <c r="A49929" s="1" t="n">
        <v>49928</v>
      </c>
      <c r="B49929">
        <f>TEXT(49928, "[$-0E0000]yyyy-mm-dd")</f>
        <v/>
      </c>
      <c r="C49929" t="inlineStr">
        <is>
          <t>2036-07-21</t>
        </is>
      </c>
    </row>
    <row r="49930">
      <c r="A49930" s="1" t="n">
        <v>49929</v>
      </c>
      <c r="B49930">
        <f>TEXT(49929, "[$-0E0000]yyyy-mm-dd")</f>
        <v/>
      </c>
      <c r="C49930" t="inlineStr">
        <is>
          <t>2036-07-22</t>
        </is>
      </c>
    </row>
    <row r="49931">
      <c r="A49931" s="1" t="n">
        <v>49930</v>
      </c>
      <c r="B49931">
        <f>TEXT(49930, "[$-0E0000]yyyy-mm-dd")</f>
        <v/>
      </c>
      <c r="C49931" t="inlineStr">
        <is>
          <t>2036-07-23</t>
        </is>
      </c>
    </row>
    <row r="49932">
      <c r="A49932" s="1" t="n">
        <v>49931</v>
      </c>
      <c r="B49932">
        <f>TEXT(49931, "[$-0E0000]yyyy-mm-dd")</f>
        <v/>
      </c>
      <c r="C49932" t="inlineStr">
        <is>
          <t>2036-07-24</t>
        </is>
      </c>
    </row>
    <row r="49933">
      <c r="A49933" s="1" t="n">
        <v>49932</v>
      </c>
      <c r="B49933">
        <f>TEXT(49932, "[$-0E0000]yyyy-mm-dd")</f>
        <v/>
      </c>
      <c r="C49933" t="inlineStr">
        <is>
          <t>2036-07-25</t>
        </is>
      </c>
    </row>
    <row r="49934">
      <c r="A49934" s="1" t="n">
        <v>49933</v>
      </c>
      <c r="B49934">
        <f>TEXT(49933, "[$-0E0000]yyyy-mm-dd")</f>
        <v/>
      </c>
      <c r="C49934" t="inlineStr">
        <is>
          <t>2036-07-26</t>
        </is>
      </c>
    </row>
    <row r="49935">
      <c r="A49935" s="1" t="n">
        <v>49934</v>
      </c>
      <c r="B49935">
        <f>TEXT(49934, "[$-0E0000]yyyy-mm-dd")</f>
        <v/>
      </c>
      <c r="C49935" t="inlineStr">
        <is>
          <t>2036-07-27</t>
        </is>
      </c>
    </row>
    <row r="49936">
      <c r="A49936" s="1" t="n">
        <v>49935</v>
      </c>
      <c r="B49936">
        <f>TEXT(49935, "[$-0E0000]yyyy-mm-dd")</f>
        <v/>
      </c>
      <c r="C49936" t="inlineStr">
        <is>
          <t>2036-07-28</t>
        </is>
      </c>
    </row>
    <row r="49937">
      <c r="A49937" s="1" t="n">
        <v>49936</v>
      </c>
      <c r="B49937">
        <f>TEXT(49936, "[$-0E0000]yyyy-mm-dd")</f>
        <v/>
      </c>
      <c r="C49937" t="inlineStr">
        <is>
          <t>2036-07-29</t>
        </is>
      </c>
    </row>
    <row r="49938">
      <c r="A49938" s="1" t="n">
        <v>49937</v>
      </c>
      <c r="B49938">
        <f>TEXT(49937, "[$-0E0000]yyyy-mm-dd")</f>
        <v/>
      </c>
      <c r="C49938" t="inlineStr">
        <is>
          <t>2036-08-01</t>
        </is>
      </c>
    </row>
    <row r="49939">
      <c r="A49939" s="1" t="n">
        <v>49938</v>
      </c>
      <c r="B49939">
        <f>TEXT(49938, "[$-0E0000]yyyy-mm-dd")</f>
        <v/>
      </c>
      <c r="C49939" t="inlineStr">
        <is>
          <t>2036-08-02</t>
        </is>
      </c>
    </row>
    <row r="49940">
      <c r="A49940" s="1" t="n">
        <v>49939</v>
      </c>
      <c r="B49940">
        <f>TEXT(49939, "[$-0E0000]yyyy-mm-dd")</f>
        <v/>
      </c>
      <c r="C49940" t="inlineStr">
        <is>
          <t>2036-08-03</t>
        </is>
      </c>
    </row>
    <row r="49941">
      <c r="A49941" s="1" t="n">
        <v>49940</v>
      </c>
      <c r="B49941">
        <f>TEXT(49940, "[$-0E0000]yyyy-mm-dd")</f>
        <v/>
      </c>
      <c r="C49941" t="inlineStr">
        <is>
          <t>2036-08-04</t>
        </is>
      </c>
    </row>
    <row r="49942">
      <c r="A49942" s="1" t="n">
        <v>49941</v>
      </c>
      <c r="B49942">
        <f>TEXT(49941, "[$-0E0000]yyyy-mm-dd")</f>
        <v/>
      </c>
      <c r="C49942" t="inlineStr">
        <is>
          <t>2036-08-05</t>
        </is>
      </c>
    </row>
    <row r="49943">
      <c r="A49943" s="1" t="n">
        <v>49942</v>
      </c>
      <c r="B49943">
        <f>TEXT(49942, "[$-0E0000]yyyy-mm-dd")</f>
        <v/>
      </c>
      <c r="C49943" t="inlineStr">
        <is>
          <t>2036-08-06</t>
        </is>
      </c>
    </row>
    <row r="49944">
      <c r="A49944" s="1" t="n">
        <v>49943</v>
      </c>
      <c r="B49944">
        <f>TEXT(49943, "[$-0E0000]yyyy-mm-dd")</f>
        <v/>
      </c>
      <c r="C49944" t="inlineStr">
        <is>
          <t>2036-08-07</t>
        </is>
      </c>
    </row>
    <row r="49945">
      <c r="A49945" s="1" t="n">
        <v>49944</v>
      </c>
      <c r="B49945">
        <f>TEXT(49944, "[$-0E0000]yyyy-mm-dd")</f>
        <v/>
      </c>
      <c r="C49945" t="inlineStr">
        <is>
          <t>2036-08-08</t>
        </is>
      </c>
    </row>
    <row r="49946">
      <c r="A49946" s="1" t="n">
        <v>49945</v>
      </c>
      <c r="B49946">
        <f>TEXT(49945, "[$-0E0000]yyyy-mm-dd")</f>
        <v/>
      </c>
      <c r="C49946" t="inlineStr">
        <is>
          <t>2036-08-09</t>
        </is>
      </c>
    </row>
    <row r="49947">
      <c r="A49947" s="1" t="n">
        <v>49946</v>
      </c>
      <c r="B49947">
        <f>TEXT(49946, "[$-0E0000]yyyy-mm-dd")</f>
        <v/>
      </c>
      <c r="C49947" t="inlineStr">
        <is>
          <t>2036-08-10</t>
        </is>
      </c>
    </row>
    <row r="49948">
      <c r="A49948" s="1" t="n">
        <v>49947</v>
      </c>
      <c r="B49948">
        <f>TEXT(49947, "[$-0E0000]yyyy-mm-dd")</f>
        <v/>
      </c>
      <c r="C49948" t="inlineStr">
        <is>
          <t>2036-08-11</t>
        </is>
      </c>
    </row>
    <row r="49949">
      <c r="A49949" s="1" t="n">
        <v>49948</v>
      </c>
      <c r="B49949">
        <f>TEXT(49948, "[$-0E0000]yyyy-mm-dd")</f>
        <v/>
      </c>
      <c r="C49949" t="inlineStr">
        <is>
          <t>2036-08-12</t>
        </is>
      </c>
    </row>
    <row r="49950">
      <c r="A49950" s="1" t="n">
        <v>49949</v>
      </c>
      <c r="B49950">
        <f>TEXT(49949, "[$-0E0000]yyyy-mm-dd")</f>
        <v/>
      </c>
      <c r="C49950" t="inlineStr">
        <is>
          <t>2036-08-13</t>
        </is>
      </c>
    </row>
    <row r="49951">
      <c r="A49951" s="1" t="n">
        <v>49950</v>
      </c>
      <c r="B49951">
        <f>TEXT(49950, "[$-0E0000]yyyy-mm-dd")</f>
        <v/>
      </c>
      <c r="C49951" t="inlineStr">
        <is>
          <t>2036-08-14</t>
        </is>
      </c>
    </row>
    <row r="49952">
      <c r="A49952" s="1" t="n">
        <v>49951</v>
      </c>
      <c r="B49952">
        <f>TEXT(49951, "[$-0E0000]yyyy-mm-dd")</f>
        <v/>
      </c>
      <c r="C49952" t="inlineStr">
        <is>
          <t>2036-08-15</t>
        </is>
      </c>
    </row>
    <row r="49953">
      <c r="A49953" s="1" t="n">
        <v>49952</v>
      </c>
      <c r="B49953">
        <f>TEXT(49952, "[$-0E0000]yyyy-mm-dd")</f>
        <v/>
      </c>
      <c r="C49953" t="inlineStr">
        <is>
          <t>2036-08-16</t>
        </is>
      </c>
    </row>
    <row r="49954">
      <c r="A49954" s="1" t="n">
        <v>49953</v>
      </c>
      <c r="B49954">
        <f>TEXT(49953, "[$-0E0000]yyyy-mm-dd")</f>
        <v/>
      </c>
      <c r="C49954" t="inlineStr">
        <is>
          <t>2036-08-17</t>
        </is>
      </c>
    </row>
    <row r="49955">
      <c r="A49955" s="1" t="n">
        <v>49954</v>
      </c>
      <c r="B49955">
        <f>TEXT(49954, "[$-0E0000]yyyy-mm-dd")</f>
        <v/>
      </c>
      <c r="C49955" t="inlineStr">
        <is>
          <t>2036-08-18</t>
        </is>
      </c>
    </row>
    <row r="49956">
      <c r="A49956" s="1" t="n">
        <v>49955</v>
      </c>
      <c r="B49956">
        <f>TEXT(49955, "[$-0E0000]yyyy-mm-dd")</f>
        <v/>
      </c>
      <c r="C49956" t="inlineStr">
        <is>
          <t>2036-08-19</t>
        </is>
      </c>
    </row>
    <row r="49957">
      <c r="A49957" s="1" t="n">
        <v>49956</v>
      </c>
      <c r="B49957">
        <f>TEXT(49956, "[$-0E0000]yyyy-mm-dd")</f>
        <v/>
      </c>
      <c r="C49957" t="inlineStr">
        <is>
          <t>2036-08-20</t>
        </is>
      </c>
    </row>
    <row r="49958">
      <c r="A49958" s="1" t="n">
        <v>49957</v>
      </c>
      <c r="B49958">
        <f>TEXT(49957, "[$-0E0000]yyyy-mm-dd")</f>
        <v/>
      </c>
      <c r="C49958" t="inlineStr">
        <is>
          <t>2036-08-21</t>
        </is>
      </c>
    </row>
    <row r="49959">
      <c r="A49959" s="1" t="n">
        <v>49958</v>
      </c>
      <c r="B49959">
        <f>TEXT(49958, "[$-0E0000]yyyy-mm-dd")</f>
        <v/>
      </c>
      <c r="C49959" t="inlineStr">
        <is>
          <t>2036-08-22</t>
        </is>
      </c>
    </row>
    <row r="49960">
      <c r="A49960" s="1" t="n">
        <v>49959</v>
      </c>
      <c r="B49960">
        <f>TEXT(49959, "[$-0E0000]yyyy-mm-dd")</f>
        <v/>
      </c>
      <c r="C49960" t="inlineStr">
        <is>
          <t>2036-08-23</t>
        </is>
      </c>
    </row>
    <row r="49961">
      <c r="A49961" s="1" t="n">
        <v>49960</v>
      </c>
      <c r="B49961">
        <f>TEXT(49960, "[$-0E0000]yyyy-mm-dd")</f>
        <v/>
      </c>
      <c r="C49961" t="inlineStr">
        <is>
          <t>2036-08-24</t>
        </is>
      </c>
    </row>
    <row r="49962">
      <c r="A49962" s="1" t="n">
        <v>49961</v>
      </c>
      <c r="B49962">
        <f>TEXT(49961, "[$-0E0000]yyyy-mm-dd")</f>
        <v/>
      </c>
      <c r="C49962" t="inlineStr">
        <is>
          <t>2036-08-25</t>
        </is>
      </c>
    </row>
    <row r="49963">
      <c r="A49963" s="1" t="n">
        <v>49962</v>
      </c>
      <c r="B49963">
        <f>TEXT(49962, "[$-0E0000]yyyy-mm-dd")</f>
        <v/>
      </c>
      <c r="C49963" t="inlineStr">
        <is>
          <t>2036-08-26</t>
        </is>
      </c>
    </row>
    <row r="49964">
      <c r="A49964" s="1" t="n">
        <v>49963</v>
      </c>
      <c r="B49964">
        <f>TEXT(49963, "[$-0E0000]yyyy-mm-dd")</f>
        <v/>
      </c>
      <c r="C49964" t="inlineStr">
        <is>
          <t>2036-08-27</t>
        </is>
      </c>
    </row>
    <row r="49965">
      <c r="A49965" s="1" t="n">
        <v>49964</v>
      </c>
      <c r="B49965">
        <f>TEXT(49964, "[$-0E0000]yyyy-mm-dd")</f>
        <v/>
      </c>
      <c r="C49965" t="inlineStr">
        <is>
          <t>2036-08-28</t>
        </is>
      </c>
    </row>
    <row r="49966">
      <c r="A49966" s="1" t="n">
        <v>49965</v>
      </c>
      <c r="B49966">
        <f>TEXT(49965, "[$-0E0000]yyyy-mm-dd")</f>
        <v/>
      </c>
      <c r="C49966" t="inlineStr">
        <is>
          <t>2036-08-29</t>
        </is>
      </c>
    </row>
    <row r="49967">
      <c r="A49967" s="1" t="n">
        <v>49966</v>
      </c>
      <c r="B49967">
        <f>TEXT(49966, "[$-0E0000]yyyy-mm-dd")</f>
        <v/>
      </c>
      <c r="C49967" t="inlineStr">
        <is>
          <t>2036-09-01</t>
        </is>
      </c>
    </row>
    <row r="49968">
      <c r="A49968" s="1" t="n">
        <v>49967</v>
      </c>
      <c r="B49968">
        <f>TEXT(49967, "[$-0E0000]yyyy-mm-dd")</f>
        <v/>
      </c>
      <c r="C49968" t="inlineStr">
        <is>
          <t>2036-09-02</t>
        </is>
      </c>
    </row>
    <row r="49969">
      <c r="A49969" s="1" t="n">
        <v>49968</v>
      </c>
      <c r="B49969">
        <f>TEXT(49968, "[$-0E0000]yyyy-mm-dd")</f>
        <v/>
      </c>
      <c r="C49969" t="inlineStr">
        <is>
          <t>2036-09-03</t>
        </is>
      </c>
    </row>
    <row r="49970">
      <c r="A49970" s="1" t="n">
        <v>49969</v>
      </c>
      <c r="B49970">
        <f>TEXT(49969, "[$-0E0000]yyyy-mm-dd")</f>
        <v/>
      </c>
      <c r="C49970" t="inlineStr">
        <is>
          <t>2036-09-04</t>
        </is>
      </c>
    </row>
    <row r="49971">
      <c r="A49971" s="1" t="n">
        <v>49970</v>
      </c>
      <c r="B49971">
        <f>TEXT(49970, "[$-0E0000]yyyy-mm-dd")</f>
        <v/>
      </c>
      <c r="C49971" t="inlineStr">
        <is>
          <t>2036-09-05</t>
        </is>
      </c>
    </row>
    <row r="49972">
      <c r="A49972" s="1" t="n">
        <v>49971</v>
      </c>
      <c r="B49972">
        <f>TEXT(49971, "[$-0E0000]yyyy-mm-dd")</f>
        <v/>
      </c>
      <c r="C49972" t="inlineStr">
        <is>
          <t>2036-09-06</t>
        </is>
      </c>
    </row>
    <row r="49973">
      <c r="A49973" s="1" t="n">
        <v>49972</v>
      </c>
      <c r="B49973">
        <f>TEXT(49972, "[$-0E0000]yyyy-mm-dd")</f>
        <v/>
      </c>
      <c r="C49973" t="inlineStr">
        <is>
          <t>2036-09-07</t>
        </is>
      </c>
    </row>
    <row r="49974">
      <c r="A49974" s="1" t="n">
        <v>49973</v>
      </c>
      <c r="B49974">
        <f>TEXT(49973, "[$-0E0000]yyyy-mm-dd")</f>
        <v/>
      </c>
      <c r="C49974" t="inlineStr">
        <is>
          <t>2036-09-08</t>
        </is>
      </c>
    </row>
    <row r="49975">
      <c r="A49975" s="1" t="n">
        <v>49974</v>
      </c>
      <c r="B49975">
        <f>TEXT(49974, "[$-0E0000]yyyy-mm-dd")</f>
        <v/>
      </c>
      <c r="C49975" t="inlineStr">
        <is>
          <t>2036-09-09</t>
        </is>
      </c>
    </row>
    <row r="49976">
      <c r="A49976" s="1" t="n">
        <v>49975</v>
      </c>
      <c r="B49976">
        <f>TEXT(49975, "[$-0E0000]yyyy-mm-dd")</f>
        <v/>
      </c>
      <c r="C49976" t="inlineStr">
        <is>
          <t>2036-09-10</t>
        </is>
      </c>
    </row>
    <row r="49977">
      <c r="A49977" s="1" t="n">
        <v>49976</v>
      </c>
      <c r="B49977">
        <f>TEXT(49976, "[$-0E0000]yyyy-mm-dd")</f>
        <v/>
      </c>
      <c r="C49977" t="inlineStr">
        <is>
          <t>2036-09-11</t>
        </is>
      </c>
    </row>
    <row r="49978">
      <c r="A49978" s="1" t="n">
        <v>49977</v>
      </c>
      <c r="B49978">
        <f>TEXT(49977, "[$-0E0000]yyyy-mm-dd")</f>
        <v/>
      </c>
      <c r="C49978" t="inlineStr">
        <is>
          <t>2036-09-12</t>
        </is>
      </c>
    </row>
    <row r="49979">
      <c r="A49979" s="1" t="n">
        <v>49978</v>
      </c>
      <c r="B49979">
        <f>TEXT(49978, "[$-0E0000]yyyy-mm-dd")</f>
        <v/>
      </c>
      <c r="C49979" t="inlineStr">
        <is>
          <t>2036-09-13</t>
        </is>
      </c>
    </row>
    <row r="49980">
      <c r="A49980" s="1" t="n">
        <v>49979</v>
      </c>
      <c r="B49980">
        <f>TEXT(49979, "[$-0E0000]yyyy-mm-dd")</f>
        <v/>
      </c>
      <c r="C49980" t="inlineStr">
        <is>
          <t>2036-09-14</t>
        </is>
      </c>
    </row>
    <row r="49981">
      <c r="A49981" s="1" t="n">
        <v>49980</v>
      </c>
      <c r="B49981">
        <f>TEXT(49980, "[$-0E0000]yyyy-mm-dd")</f>
        <v/>
      </c>
      <c r="C49981" t="inlineStr">
        <is>
          <t>2036-09-15</t>
        </is>
      </c>
    </row>
    <row r="49982">
      <c r="A49982" s="1" t="n">
        <v>49981</v>
      </c>
      <c r="B49982">
        <f>TEXT(49981, "[$-0E0000]yyyy-mm-dd")</f>
        <v/>
      </c>
      <c r="C49982" t="inlineStr">
        <is>
          <t>2036-09-16</t>
        </is>
      </c>
    </row>
    <row r="49983">
      <c r="A49983" s="1" t="n">
        <v>49982</v>
      </c>
      <c r="B49983">
        <f>TEXT(49982, "[$-0E0000]yyyy-mm-dd")</f>
        <v/>
      </c>
      <c r="C49983" t="inlineStr">
        <is>
          <t>2036-09-17</t>
        </is>
      </c>
    </row>
    <row r="49984">
      <c r="A49984" s="1" t="n">
        <v>49983</v>
      </c>
      <c r="B49984">
        <f>TEXT(49983, "[$-0E0000]yyyy-mm-dd")</f>
        <v/>
      </c>
      <c r="C49984" t="inlineStr">
        <is>
          <t>2036-09-18</t>
        </is>
      </c>
    </row>
    <row r="49985">
      <c r="A49985" s="1" t="n">
        <v>49984</v>
      </c>
      <c r="B49985">
        <f>TEXT(49984, "[$-0E0000]yyyy-mm-dd")</f>
        <v/>
      </c>
      <c r="C49985" t="inlineStr">
        <is>
          <t>2036-09-19</t>
        </is>
      </c>
    </row>
    <row r="49986">
      <c r="A49986" s="1" t="n">
        <v>49985</v>
      </c>
      <c r="B49986">
        <f>TEXT(49985, "[$-0E0000]yyyy-mm-dd")</f>
        <v/>
      </c>
      <c r="C49986" t="inlineStr">
        <is>
          <t>2036-09-20</t>
        </is>
      </c>
    </row>
    <row r="49987">
      <c r="A49987" s="1" t="n">
        <v>49986</v>
      </c>
      <c r="B49987">
        <f>TEXT(49986, "[$-0E0000]yyyy-mm-dd")</f>
        <v/>
      </c>
      <c r="C49987" t="inlineStr">
        <is>
          <t>2036-09-21</t>
        </is>
      </c>
    </row>
    <row r="49988">
      <c r="A49988" s="1" t="n">
        <v>49987</v>
      </c>
      <c r="B49988">
        <f>TEXT(49987, "[$-0E0000]yyyy-mm-dd")</f>
        <v/>
      </c>
      <c r="C49988" t="inlineStr">
        <is>
          <t>2036-09-22</t>
        </is>
      </c>
    </row>
    <row r="49989">
      <c r="A49989" s="1" t="n">
        <v>49988</v>
      </c>
      <c r="B49989">
        <f>TEXT(49988, "[$-0E0000]yyyy-mm-dd")</f>
        <v/>
      </c>
      <c r="C49989" t="inlineStr">
        <is>
          <t>2036-09-23</t>
        </is>
      </c>
    </row>
    <row r="49990">
      <c r="A49990" s="1" t="n">
        <v>49989</v>
      </c>
      <c r="B49990">
        <f>TEXT(49989, "[$-0E0000]yyyy-mm-dd")</f>
        <v/>
      </c>
      <c r="C49990" t="inlineStr">
        <is>
          <t>2036-09-24</t>
        </is>
      </c>
    </row>
    <row r="49991">
      <c r="A49991" s="1" t="n">
        <v>49990</v>
      </c>
      <c r="B49991">
        <f>TEXT(49990, "[$-0E0000]yyyy-mm-dd")</f>
        <v/>
      </c>
      <c r="C49991" t="inlineStr">
        <is>
          <t>2036-09-25</t>
        </is>
      </c>
    </row>
    <row r="49992">
      <c r="A49992" s="1" t="n">
        <v>49991</v>
      </c>
      <c r="B49992">
        <f>TEXT(49991, "[$-0E0000]yyyy-mm-dd")</f>
        <v/>
      </c>
      <c r="C49992" t="inlineStr">
        <is>
          <t>2036-09-26</t>
        </is>
      </c>
    </row>
    <row r="49993">
      <c r="A49993" s="1" t="n">
        <v>49992</v>
      </c>
      <c r="B49993">
        <f>TEXT(49992, "[$-0E0000]yyyy-mm-dd")</f>
        <v/>
      </c>
      <c r="C49993" t="inlineStr">
        <is>
          <t>2036-09-27</t>
        </is>
      </c>
    </row>
    <row r="49994">
      <c r="A49994" s="1" t="n">
        <v>49993</v>
      </c>
      <c r="B49994">
        <f>TEXT(49993, "[$-0E0000]yyyy-mm-dd")</f>
        <v/>
      </c>
      <c r="C49994" t="inlineStr">
        <is>
          <t>2036-09-28</t>
        </is>
      </c>
    </row>
    <row r="49995">
      <c r="A49995" s="1" t="n">
        <v>49994</v>
      </c>
      <c r="B49995">
        <f>TEXT(49994, "[$-0E0000]yyyy-mm-dd")</f>
        <v/>
      </c>
      <c r="C49995" t="inlineStr">
        <is>
          <t>2036-09-29</t>
        </is>
      </c>
    </row>
    <row r="49996">
      <c r="A49996" s="1" t="n">
        <v>49995</v>
      </c>
      <c r="B49996">
        <f>TEXT(49995, "[$-0E0000]yyyy-mm-dd")</f>
        <v/>
      </c>
      <c r="C49996" t="inlineStr">
        <is>
          <t>2036-09-30</t>
        </is>
      </c>
    </row>
    <row r="49997">
      <c r="A49997" s="1" t="n">
        <v>49996</v>
      </c>
      <c r="B49997">
        <f>TEXT(49996, "[$-0E0000]yyyy-mm-dd")</f>
        <v/>
      </c>
      <c r="C49997" t="inlineStr">
        <is>
          <t>2036-10-01</t>
        </is>
      </c>
    </row>
    <row r="49998">
      <c r="A49998" s="1" t="n">
        <v>49997</v>
      </c>
      <c r="B49998">
        <f>TEXT(49997, "[$-0E0000]yyyy-mm-dd")</f>
        <v/>
      </c>
      <c r="C49998" t="inlineStr">
        <is>
          <t>2036-10-02</t>
        </is>
      </c>
    </row>
    <row r="49999">
      <c r="A49999" s="1" t="n">
        <v>49998</v>
      </c>
      <c r="B49999">
        <f>TEXT(49998, "[$-0E0000]yyyy-mm-dd")</f>
        <v/>
      </c>
      <c r="C49999" t="inlineStr">
        <is>
          <t>2036-10-03</t>
        </is>
      </c>
    </row>
    <row r="50000">
      <c r="A50000" s="1" t="n">
        <v>49999</v>
      </c>
      <c r="B50000">
        <f>TEXT(49999, "[$-0E0000]yyyy-mm-dd")</f>
        <v/>
      </c>
      <c r="C50000" t="inlineStr">
        <is>
          <t>2036-10-04</t>
        </is>
      </c>
    </row>
    <row r="50001">
      <c r="A50001" s="1" t="n">
        <v>50000</v>
      </c>
      <c r="B50001">
        <f>TEXT(50000, "[$-0E0000]yyyy-mm-dd")</f>
        <v/>
      </c>
      <c r="C50001" t="inlineStr">
        <is>
          <t>2036-10-05</t>
        </is>
      </c>
    </row>
    <row r="50002">
      <c r="A50002" s="1" t="n">
        <v>50001</v>
      </c>
      <c r="B50002">
        <f>TEXT(50001, "[$-0E0000]yyyy-mm-dd")</f>
        <v/>
      </c>
      <c r="C50002" t="inlineStr">
        <is>
          <t>2036-10-06</t>
        </is>
      </c>
    </row>
    <row r="50003">
      <c r="A50003" s="1" t="n">
        <v>50002</v>
      </c>
      <c r="B50003">
        <f>TEXT(50002, "[$-0E0000]yyyy-mm-dd")</f>
        <v/>
      </c>
      <c r="C50003" t="inlineStr">
        <is>
          <t>2036-10-07</t>
        </is>
      </c>
    </row>
    <row r="50004">
      <c r="A50004" s="1" t="n">
        <v>50003</v>
      </c>
      <c r="B50004">
        <f>TEXT(50003, "[$-0E0000]yyyy-mm-dd")</f>
        <v/>
      </c>
      <c r="C50004" t="inlineStr">
        <is>
          <t>2036-10-08</t>
        </is>
      </c>
    </row>
    <row r="50005">
      <c r="A50005" s="1" t="n">
        <v>50004</v>
      </c>
      <c r="B50005">
        <f>TEXT(50004, "[$-0E0000]yyyy-mm-dd")</f>
        <v/>
      </c>
      <c r="C50005" t="inlineStr">
        <is>
          <t>2036-10-09</t>
        </is>
      </c>
    </row>
    <row r="50006">
      <c r="A50006" s="1" t="n">
        <v>50005</v>
      </c>
      <c r="B50006">
        <f>TEXT(50005, "[$-0E0000]yyyy-mm-dd")</f>
        <v/>
      </c>
      <c r="C50006" t="inlineStr">
        <is>
          <t>2036-10-10</t>
        </is>
      </c>
    </row>
    <row r="50007">
      <c r="A50007" s="1" t="n">
        <v>50006</v>
      </c>
      <c r="B50007">
        <f>TEXT(50006, "[$-0E0000]yyyy-mm-dd")</f>
        <v/>
      </c>
      <c r="C50007" t="inlineStr">
        <is>
          <t>2036-10-11</t>
        </is>
      </c>
    </row>
    <row r="50008">
      <c r="A50008" s="1" t="n">
        <v>50007</v>
      </c>
      <c r="B50008">
        <f>TEXT(50007, "[$-0E0000]yyyy-mm-dd")</f>
        <v/>
      </c>
      <c r="C50008" t="inlineStr">
        <is>
          <t>2036-10-12</t>
        </is>
      </c>
    </row>
    <row r="50009">
      <c r="A50009" s="1" t="n">
        <v>50008</v>
      </c>
      <c r="B50009">
        <f>TEXT(50008, "[$-0E0000]yyyy-mm-dd")</f>
        <v/>
      </c>
      <c r="C50009" t="inlineStr">
        <is>
          <t>2036-10-13</t>
        </is>
      </c>
    </row>
    <row r="50010">
      <c r="A50010" s="1" t="n">
        <v>50009</v>
      </c>
      <c r="B50010">
        <f>TEXT(50009, "[$-0E0000]yyyy-mm-dd")</f>
        <v/>
      </c>
      <c r="C50010" t="inlineStr">
        <is>
          <t>2036-10-14</t>
        </is>
      </c>
    </row>
    <row r="50011">
      <c r="A50011" s="1" t="n">
        <v>50010</v>
      </c>
      <c r="B50011">
        <f>TEXT(50010, "[$-0E0000]yyyy-mm-dd")</f>
        <v/>
      </c>
      <c r="C50011" t="inlineStr">
        <is>
          <t>2036-10-15</t>
        </is>
      </c>
    </row>
    <row r="50012">
      <c r="A50012" s="1" t="n">
        <v>50011</v>
      </c>
      <c r="B50012">
        <f>TEXT(50011, "[$-0E0000]yyyy-mm-dd")</f>
        <v/>
      </c>
      <c r="C50012" t="inlineStr">
        <is>
          <t>2036-10-16</t>
        </is>
      </c>
    </row>
    <row r="50013">
      <c r="A50013" s="1" t="n">
        <v>50012</v>
      </c>
      <c r="B50013">
        <f>TEXT(50012, "[$-0E0000]yyyy-mm-dd")</f>
        <v/>
      </c>
      <c r="C50013" t="inlineStr">
        <is>
          <t>2036-10-17</t>
        </is>
      </c>
    </row>
    <row r="50014">
      <c r="A50014" s="1" t="n">
        <v>50013</v>
      </c>
      <c r="B50014">
        <f>TEXT(50013, "[$-0E0000]yyyy-mm-dd")</f>
        <v/>
      </c>
      <c r="C50014" t="inlineStr">
        <is>
          <t>2036-10-18</t>
        </is>
      </c>
    </row>
    <row r="50015">
      <c r="A50015" s="1" t="n">
        <v>50014</v>
      </c>
      <c r="B50015">
        <f>TEXT(50014, "[$-0E0000]yyyy-mm-dd")</f>
        <v/>
      </c>
      <c r="C50015" t="inlineStr">
        <is>
          <t>2036-10-19</t>
        </is>
      </c>
    </row>
    <row r="50016">
      <c r="A50016" s="1" t="n">
        <v>50015</v>
      </c>
      <c r="B50016">
        <f>TEXT(50015, "[$-0E0000]yyyy-mm-dd")</f>
        <v/>
      </c>
      <c r="C50016" t="inlineStr">
        <is>
          <t>2036-10-20</t>
        </is>
      </c>
    </row>
    <row r="50017">
      <c r="A50017" s="1" t="n">
        <v>50016</v>
      </c>
      <c r="B50017">
        <f>TEXT(50016, "[$-0E0000]yyyy-mm-dd")</f>
        <v/>
      </c>
      <c r="C50017" t="inlineStr">
        <is>
          <t>2036-10-21</t>
        </is>
      </c>
    </row>
    <row r="50018">
      <c r="A50018" s="1" t="n">
        <v>50017</v>
      </c>
      <c r="B50018">
        <f>TEXT(50017, "[$-0E0000]yyyy-mm-dd")</f>
        <v/>
      </c>
      <c r="C50018" t="inlineStr">
        <is>
          <t>2036-10-22</t>
        </is>
      </c>
    </row>
    <row r="50019">
      <c r="A50019" s="1" t="n">
        <v>50018</v>
      </c>
      <c r="B50019">
        <f>TEXT(50018, "[$-0E0000]yyyy-mm-dd")</f>
        <v/>
      </c>
      <c r="C50019" t="inlineStr">
        <is>
          <t>2036-10-23</t>
        </is>
      </c>
    </row>
    <row r="50020">
      <c r="A50020" s="1" t="n">
        <v>50019</v>
      </c>
      <c r="B50020">
        <f>TEXT(50019, "[$-0E0000]yyyy-mm-dd")</f>
        <v/>
      </c>
      <c r="C50020" t="inlineStr">
        <is>
          <t>2036-10-24</t>
        </is>
      </c>
    </row>
    <row r="50021">
      <c r="A50021" s="1" t="n">
        <v>50020</v>
      </c>
      <c r="B50021">
        <f>TEXT(50020, "[$-0E0000]yyyy-mm-dd")</f>
        <v/>
      </c>
      <c r="C50021" t="inlineStr">
        <is>
          <t>2036-10-25</t>
        </is>
      </c>
    </row>
    <row r="50022">
      <c r="A50022" s="1" t="n">
        <v>50021</v>
      </c>
      <c r="B50022">
        <f>TEXT(50021, "[$-0E0000]yyyy-mm-dd")</f>
        <v/>
      </c>
      <c r="C50022" t="inlineStr">
        <is>
          <t>2036-10-26</t>
        </is>
      </c>
    </row>
    <row r="50023">
      <c r="A50023" s="1" t="n">
        <v>50022</v>
      </c>
      <c r="B50023">
        <f>TEXT(50022, "[$-0E0000]yyyy-mm-dd")</f>
        <v/>
      </c>
      <c r="C50023" t="inlineStr">
        <is>
          <t>2036-10-27</t>
        </is>
      </c>
    </row>
    <row r="50024">
      <c r="A50024" s="1" t="n">
        <v>50023</v>
      </c>
      <c r="B50024">
        <f>TEXT(50023, "[$-0E0000]yyyy-mm-dd")</f>
        <v/>
      </c>
      <c r="C50024" t="inlineStr">
        <is>
          <t>2036-10-28</t>
        </is>
      </c>
    </row>
    <row r="50025">
      <c r="A50025" s="1" t="n">
        <v>50024</v>
      </c>
      <c r="B50025">
        <f>TEXT(50024, "[$-0E0000]yyyy-mm-dd")</f>
        <v/>
      </c>
      <c r="C50025" t="inlineStr">
        <is>
          <t>2036-10-29</t>
        </is>
      </c>
    </row>
    <row r="50026">
      <c r="A50026" s="1" t="n">
        <v>50025</v>
      </c>
      <c r="B50026">
        <f>TEXT(50025, "[$-0E0000]yyyy-mm-dd")</f>
        <v/>
      </c>
      <c r="C50026" t="inlineStr">
        <is>
          <t>2036-11-01</t>
        </is>
      </c>
    </row>
    <row r="50027">
      <c r="A50027" s="1" t="n">
        <v>50026</v>
      </c>
      <c r="B50027">
        <f>TEXT(50026, "[$-0E0000]yyyy-mm-dd")</f>
        <v/>
      </c>
      <c r="C50027" t="inlineStr">
        <is>
          <t>2036-11-02</t>
        </is>
      </c>
    </row>
    <row r="50028">
      <c r="A50028" s="1" t="n">
        <v>50027</v>
      </c>
      <c r="B50028">
        <f>TEXT(50027, "[$-0E0000]yyyy-mm-dd")</f>
        <v/>
      </c>
      <c r="C50028" t="inlineStr">
        <is>
          <t>2036-11-03</t>
        </is>
      </c>
    </row>
    <row r="50029">
      <c r="A50029" s="1" t="n">
        <v>50028</v>
      </c>
      <c r="B50029">
        <f>TEXT(50028, "[$-0E0000]yyyy-mm-dd")</f>
        <v/>
      </c>
      <c r="C50029" t="inlineStr">
        <is>
          <t>2036-11-04</t>
        </is>
      </c>
    </row>
    <row r="50030">
      <c r="A50030" s="1" t="n">
        <v>50029</v>
      </c>
      <c r="B50030">
        <f>TEXT(50029, "[$-0E0000]yyyy-mm-dd")</f>
        <v/>
      </c>
      <c r="C50030" t="inlineStr">
        <is>
          <t>2036-11-05</t>
        </is>
      </c>
    </row>
    <row r="50031">
      <c r="A50031" s="1" t="n">
        <v>50030</v>
      </c>
      <c r="B50031">
        <f>TEXT(50030, "[$-0E0000]yyyy-mm-dd")</f>
        <v/>
      </c>
      <c r="C50031" t="inlineStr">
        <is>
          <t>2036-11-06</t>
        </is>
      </c>
    </row>
    <row r="50032">
      <c r="A50032" s="1" t="n">
        <v>50031</v>
      </c>
      <c r="B50032">
        <f>TEXT(50031, "[$-0E0000]yyyy-mm-dd")</f>
        <v/>
      </c>
      <c r="C50032" t="inlineStr">
        <is>
          <t>2036-11-07</t>
        </is>
      </c>
    </row>
    <row r="50033">
      <c r="A50033" s="1" t="n">
        <v>50032</v>
      </c>
      <c r="B50033">
        <f>TEXT(50032, "[$-0E0000]yyyy-mm-dd")</f>
        <v/>
      </c>
      <c r="C50033" t="inlineStr">
        <is>
          <t>2036-11-08</t>
        </is>
      </c>
    </row>
    <row r="50034">
      <c r="A50034" s="1" t="n">
        <v>50033</v>
      </c>
      <c r="B50034">
        <f>TEXT(50033, "[$-0E0000]yyyy-mm-dd")</f>
        <v/>
      </c>
      <c r="C50034" t="inlineStr">
        <is>
          <t>2036-11-09</t>
        </is>
      </c>
    </row>
    <row r="50035">
      <c r="A50035" s="1" t="n">
        <v>50034</v>
      </c>
      <c r="B50035">
        <f>TEXT(50034, "[$-0E0000]yyyy-mm-dd")</f>
        <v/>
      </c>
      <c r="C50035" t="inlineStr">
        <is>
          <t>2036-11-10</t>
        </is>
      </c>
    </row>
    <row r="50036">
      <c r="A50036" s="1" t="n">
        <v>50035</v>
      </c>
      <c r="B50036">
        <f>TEXT(50035, "[$-0E0000]yyyy-mm-dd")</f>
        <v/>
      </c>
      <c r="C50036" t="inlineStr">
        <is>
          <t>2036-11-11</t>
        </is>
      </c>
    </row>
    <row r="50037">
      <c r="A50037" s="1" t="n">
        <v>50036</v>
      </c>
      <c r="B50037">
        <f>TEXT(50036, "[$-0E0000]yyyy-mm-dd")</f>
        <v/>
      </c>
      <c r="C50037" t="inlineStr">
        <is>
          <t>2036-11-12</t>
        </is>
      </c>
    </row>
    <row r="50038">
      <c r="A50038" s="1" t="n">
        <v>50037</v>
      </c>
      <c r="B50038">
        <f>TEXT(50037, "[$-0E0000]yyyy-mm-dd")</f>
        <v/>
      </c>
      <c r="C50038" t="inlineStr">
        <is>
          <t>2036-11-13</t>
        </is>
      </c>
    </row>
    <row r="50039">
      <c r="A50039" s="1" t="n">
        <v>50038</v>
      </c>
      <c r="B50039">
        <f>TEXT(50038, "[$-0E0000]yyyy-mm-dd")</f>
        <v/>
      </c>
      <c r="C50039" t="inlineStr">
        <is>
          <t>2036-11-14</t>
        </is>
      </c>
    </row>
    <row r="50040">
      <c r="A50040" s="1" t="n">
        <v>50039</v>
      </c>
      <c r="B50040">
        <f>TEXT(50039, "[$-0E0000]yyyy-mm-dd")</f>
        <v/>
      </c>
      <c r="C50040" t="inlineStr">
        <is>
          <t>2036-11-15</t>
        </is>
      </c>
    </row>
    <row r="50041">
      <c r="A50041" s="1" t="n">
        <v>50040</v>
      </c>
      <c r="B50041">
        <f>TEXT(50040, "[$-0E0000]yyyy-mm-dd")</f>
        <v/>
      </c>
      <c r="C50041" t="inlineStr">
        <is>
          <t>2036-11-16</t>
        </is>
      </c>
    </row>
    <row r="50042">
      <c r="A50042" s="1" t="n">
        <v>50041</v>
      </c>
      <c r="B50042">
        <f>TEXT(50041, "[$-0E0000]yyyy-mm-dd")</f>
        <v/>
      </c>
      <c r="C50042" t="inlineStr">
        <is>
          <t>2036-11-17</t>
        </is>
      </c>
    </row>
    <row r="50043">
      <c r="A50043" s="1" t="n">
        <v>50042</v>
      </c>
      <c r="B50043">
        <f>TEXT(50042, "[$-0E0000]yyyy-mm-dd")</f>
        <v/>
      </c>
      <c r="C50043" t="inlineStr">
        <is>
          <t>2036-11-18</t>
        </is>
      </c>
    </row>
    <row r="50044">
      <c r="A50044" s="1" t="n">
        <v>50043</v>
      </c>
      <c r="B50044">
        <f>TEXT(50043, "[$-0E0000]yyyy-mm-dd")</f>
        <v/>
      </c>
      <c r="C50044" t="inlineStr">
        <is>
          <t>2036-11-19</t>
        </is>
      </c>
    </row>
    <row r="50045">
      <c r="A50045" s="1" t="n">
        <v>50044</v>
      </c>
      <c r="B50045">
        <f>TEXT(50044, "[$-0E0000]yyyy-mm-dd")</f>
        <v/>
      </c>
      <c r="C50045" t="inlineStr">
        <is>
          <t>2036-11-20</t>
        </is>
      </c>
    </row>
    <row r="50046">
      <c r="A50046" s="1" t="n">
        <v>50045</v>
      </c>
      <c r="B50046">
        <f>TEXT(50045, "[$-0E0000]yyyy-mm-dd")</f>
        <v/>
      </c>
      <c r="C50046" t="inlineStr">
        <is>
          <t>2036-11-21</t>
        </is>
      </c>
    </row>
    <row r="50047">
      <c r="A50047" s="1" t="n">
        <v>50046</v>
      </c>
      <c r="B50047">
        <f>TEXT(50046, "[$-0E0000]yyyy-mm-dd")</f>
        <v/>
      </c>
      <c r="C50047" t="inlineStr">
        <is>
          <t>2036-11-22</t>
        </is>
      </c>
    </row>
    <row r="50048">
      <c r="A50048" s="1" t="n">
        <v>50047</v>
      </c>
      <c r="B50048">
        <f>TEXT(50047, "[$-0E0000]yyyy-mm-dd")</f>
        <v/>
      </c>
      <c r="C50048" t="inlineStr">
        <is>
          <t>2036-11-23</t>
        </is>
      </c>
    </row>
    <row r="50049">
      <c r="A50049" s="1" t="n">
        <v>50048</v>
      </c>
      <c r="B50049">
        <f>TEXT(50048, "[$-0E0000]yyyy-mm-dd")</f>
        <v/>
      </c>
      <c r="C50049" t="inlineStr">
        <is>
          <t>2036-11-24</t>
        </is>
      </c>
    </row>
    <row r="50050">
      <c r="A50050" s="1" t="n">
        <v>50049</v>
      </c>
      <c r="B50050">
        <f>TEXT(50049, "[$-0E0000]yyyy-mm-dd")</f>
        <v/>
      </c>
      <c r="C50050" t="inlineStr">
        <is>
          <t>2036-11-25</t>
        </is>
      </c>
    </row>
    <row r="50051">
      <c r="A50051" s="1" t="n">
        <v>50050</v>
      </c>
      <c r="B50051">
        <f>TEXT(50050, "[$-0E0000]yyyy-mm-dd")</f>
        <v/>
      </c>
      <c r="C50051" t="inlineStr">
        <is>
          <t>2036-11-26</t>
        </is>
      </c>
    </row>
    <row r="50052">
      <c r="A50052" s="1" t="n">
        <v>50051</v>
      </c>
      <c r="B50052">
        <f>TEXT(50051, "[$-0E0000]yyyy-mm-dd")</f>
        <v/>
      </c>
      <c r="C50052" t="inlineStr">
        <is>
          <t>2036-11-27</t>
        </is>
      </c>
    </row>
    <row r="50053">
      <c r="A50053" s="1" t="n">
        <v>50052</v>
      </c>
      <c r="B50053">
        <f>TEXT(50052, "[$-0E0000]yyyy-mm-dd")</f>
        <v/>
      </c>
      <c r="C50053" t="inlineStr">
        <is>
          <t>2036-11-28</t>
        </is>
      </c>
    </row>
    <row r="50054">
      <c r="A50054" s="1" t="n">
        <v>50053</v>
      </c>
      <c r="B50054">
        <f>TEXT(50053, "[$-0E0000]yyyy-mm-dd")</f>
        <v/>
      </c>
      <c r="C50054" t="inlineStr">
        <is>
          <t>2036-11-29</t>
        </is>
      </c>
    </row>
    <row r="50055">
      <c r="A50055" s="1" t="n">
        <v>50054</v>
      </c>
      <c r="B50055">
        <f>TEXT(50054, "[$-0E0000]yyyy-mm-dd")</f>
        <v/>
      </c>
      <c r="C50055" t="inlineStr">
        <is>
          <t>2036-11-30</t>
        </is>
      </c>
    </row>
    <row r="50056">
      <c r="A50056" s="1" t="n">
        <v>50055</v>
      </c>
      <c r="B50056">
        <f>TEXT(50055, "[$-0E0000]yyyy-mm-dd")</f>
        <v/>
      </c>
      <c r="C50056" t="inlineStr">
        <is>
          <t>2036-12-01</t>
        </is>
      </c>
    </row>
    <row r="50057">
      <c r="A50057" s="1" t="n">
        <v>50056</v>
      </c>
      <c r="B50057">
        <f>TEXT(50056, "[$-0E0000]yyyy-mm-dd")</f>
        <v/>
      </c>
      <c r="C50057" t="inlineStr">
        <is>
          <t>2036-12-02</t>
        </is>
      </c>
    </row>
    <row r="50058">
      <c r="A50058" s="1" t="n">
        <v>50057</v>
      </c>
      <c r="B50058">
        <f>TEXT(50057, "[$-0E0000]yyyy-mm-dd")</f>
        <v/>
      </c>
      <c r="C50058" t="inlineStr">
        <is>
          <t>2036-12-03</t>
        </is>
      </c>
    </row>
    <row r="50059">
      <c r="A50059" s="1" t="n">
        <v>50058</v>
      </c>
      <c r="B50059">
        <f>TEXT(50058, "[$-0E0000]yyyy-mm-dd")</f>
        <v/>
      </c>
      <c r="C50059" t="inlineStr">
        <is>
          <t>2036-12-04</t>
        </is>
      </c>
    </row>
    <row r="50060">
      <c r="A50060" s="1" t="n">
        <v>50059</v>
      </c>
      <c r="B50060">
        <f>TEXT(50059, "[$-0E0000]yyyy-mm-dd")</f>
        <v/>
      </c>
      <c r="C50060" t="inlineStr">
        <is>
          <t>2036-12-05</t>
        </is>
      </c>
    </row>
    <row r="50061">
      <c r="A50061" s="1" t="n">
        <v>50060</v>
      </c>
      <c r="B50061">
        <f>TEXT(50060, "[$-0E0000]yyyy-mm-dd")</f>
        <v/>
      </c>
      <c r="C50061" t="inlineStr">
        <is>
          <t>2036-12-06</t>
        </is>
      </c>
    </row>
    <row r="50062">
      <c r="A50062" s="1" t="n">
        <v>50061</v>
      </c>
      <c r="B50062">
        <f>TEXT(50061, "[$-0E0000]yyyy-mm-dd")</f>
        <v/>
      </c>
      <c r="C50062" t="inlineStr">
        <is>
          <t>2036-12-07</t>
        </is>
      </c>
    </row>
    <row r="50063">
      <c r="A50063" s="1" t="n">
        <v>50062</v>
      </c>
      <c r="B50063">
        <f>TEXT(50062, "[$-0E0000]yyyy-mm-dd")</f>
        <v/>
      </c>
      <c r="C50063" t="inlineStr">
        <is>
          <t>2036-12-08</t>
        </is>
      </c>
    </row>
    <row r="50064">
      <c r="A50064" s="1" t="n">
        <v>50063</v>
      </c>
      <c r="B50064">
        <f>TEXT(50063, "[$-0E0000]yyyy-mm-dd")</f>
        <v/>
      </c>
      <c r="C50064" t="inlineStr">
        <is>
          <t>2036-12-09</t>
        </is>
      </c>
    </row>
    <row r="50065">
      <c r="A50065" s="1" t="n">
        <v>50064</v>
      </c>
      <c r="B50065">
        <f>TEXT(50064, "[$-0E0000]yyyy-mm-dd")</f>
        <v/>
      </c>
      <c r="C50065" t="inlineStr">
        <is>
          <t>2036-12-10</t>
        </is>
      </c>
    </row>
    <row r="50066">
      <c r="A50066" s="1" t="n">
        <v>50065</v>
      </c>
      <c r="B50066">
        <f>TEXT(50065, "[$-0E0000]yyyy-mm-dd")</f>
        <v/>
      </c>
      <c r="C50066" t="inlineStr">
        <is>
          <t>2036-12-11</t>
        </is>
      </c>
    </row>
    <row r="50067">
      <c r="A50067" s="1" t="n">
        <v>50066</v>
      </c>
      <c r="B50067">
        <f>TEXT(50066, "[$-0E0000]yyyy-mm-dd")</f>
        <v/>
      </c>
      <c r="C50067" t="inlineStr">
        <is>
          <t>2036-12-12</t>
        </is>
      </c>
    </row>
    <row r="50068">
      <c r="A50068" s="1" t="n">
        <v>50067</v>
      </c>
      <c r="B50068">
        <f>TEXT(50067, "[$-0E0000]yyyy-mm-dd")</f>
        <v/>
      </c>
      <c r="C50068" t="inlineStr">
        <is>
          <t>2036-12-13</t>
        </is>
      </c>
    </row>
    <row r="50069">
      <c r="A50069" s="1" t="n">
        <v>50068</v>
      </c>
      <c r="B50069">
        <f>TEXT(50068, "[$-0E0000]yyyy-mm-dd")</f>
        <v/>
      </c>
      <c r="C50069" t="inlineStr">
        <is>
          <t>2036-12-14</t>
        </is>
      </c>
    </row>
    <row r="50070">
      <c r="A50070" s="1" t="n">
        <v>50069</v>
      </c>
      <c r="B50070">
        <f>TEXT(50069, "[$-0E0000]yyyy-mm-dd")</f>
        <v/>
      </c>
      <c r="C50070" t="inlineStr">
        <is>
          <t>2036-12-15</t>
        </is>
      </c>
    </row>
    <row r="50071">
      <c r="A50071" s="1" t="n">
        <v>50070</v>
      </c>
      <c r="B50071">
        <f>TEXT(50070, "[$-0E0000]yyyy-mm-dd")</f>
        <v/>
      </c>
      <c r="C50071" t="inlineStr">
        <is>
          <t>2036-12-16</t>
        </is>
      </c>
    </row>
    <row r="50072">
      <c r="A50072" s="1" t="n">
        <v>50071</v>
      </c>
      <c r="B50072">
        <f>TEXT(50071, "[$-0E0000]yyyy-mm-dd")</f>
        <v/>
      </c>
      <c r="C50072" t="inlineStr">
        <is>
          <t>2036-12-17</t>
        </is>
      </c>
    </row>
    <row r="50073">
      <c r="A50073" s="1" t="n">
        <v>50072</v>
      </c>
      <c r="B50073">
        <f>TEXT(50072, "[$-0E0000]yyyy-mm-dd")</f>
        <v/>
      </c>
      <c r="C50073" t="inlineStr">
        <is>
          <t>2036-12-18</t>
        </is>
      </c>
    </row>
    <row r="50074">
      <c r="A50074" s="1" t="n">
        <v>50073</v>
      </c>
      <c r="B50074">
        <f>TEXT(50073, "[$-0E0000]yyyy-mm-dd")</f>
        <v/>
      </c>
      <c r="C50074" t="inlineStr">
        <is>
          <t>2036-12-19</t>
        </is>
      </c>
    </row>
    <row r="50075">
      <c r="A50075" s="1" t="n">
        <v>50074</v>
      </c>
      <c r="B50075">
        <f>TEXT(50074, "[$-0E0000]yyyy-mm-dd")</f>
        <v/>
      </c>
      <c r="C50075" t="inlineStr">
        <is>
          <t>2036-12-20</t>
        </is>
      </c>
    </row>
    <row r="50076">
      <c r="A50076" s="1" t="n">
        <v>50075</v>
      </c>
      <c r="B50076">
        <f>TEXT(50075, "[$-0E0000]yyyy-mm-dd")</f>
        <v/>
      </c>
      <c r="C50076" t="inlineStr">
        <is>
          <t>2036-12-21</t>
        </is>
      </c>
    </row>
    <row r="50077">
      <c r="A50077" s="1" t="n">
        <v>50076</v>
      </c>
      <c r="B50077">
        <f>TEXT(50076, "[$-0E0000]yyyy-mm-dd")</f>
        <v/>
      </c>
      <c r="C50077" t="inlineStr">
        <is>
          <t>2036-12-22</t>
        </is>
      </c>
    </row>
    <row r="50078">
      <c r="A50078" s="1" t="n">
        <v>50077</v>
      </c>
      <c r="B50078">
        <f>TEXT(50077, "[$-0E0000]yyyy-mm-dd")</f>
        <v/>
      </c>
      <c r="C50078" t="inlineStr">
        <is>
          <t>2036-12-23</t>
        </is>
      </c>
    </row>
    <row r="50079">
      <c r="A50079" s="1" t="n">
        <v>50078</v>
      </c>
      <c r="B50079">
        <f>TEXT(50078, "[$-0E0000]yyyy-mm-dd")</f>
        <v/>
      </c>
      <c r="C50079" t="inlineStr">
        <is>
          <t>2036-12-24</t>
        </is>
      </c>
    </row>
    <row r="50080">
      <c r="A50080" s="1" t="n">
        <v>50079</v>
      </c>
      <c r="B50080">
        <f>TEXT(50079, "[$-0E0000]yyyy-mm-dd")</f>
        <v/>
      </c>
      <c r="C50080" t="inlineStr">
        <is>
          <t>2036-12-25</t>
        </is>
      </c>
    </row>
    <row r="50081">
      <c r="A50081" s="1" t="n">
        <v>50080</v>
      </c>
      <c r="B50081">
        <f>TEXT(50080, "[$-0E0000]yyyy-mm-dd")</f>
        <v/>
      </c>
      <c r="C50081" t="inlineStr">
        <is>
          <t>2036-12-26</t>
        </is>
      </c>
    </row>
    <row r="50082">
      <c r="A50082" s="1" t="n">
        <v>50081</v>
      </c>
      <c r="B50082">
        <f>TEXT(50081, "[$-0E0000]yyyy-mm-dd")</f>
        <v/>
      </c>
      <c r="C50082" t="inlineStr">
        <is>
          <t>2036-12-27</t>
        </is>
      </c>
    </row>
    <row r="50083">
      <c r="A50083" s="1" t="n">
        <v>50082</v>
      </c>
      <c r="B50083">
        <f>TEXT(50082, "[$-0E0000]yyyy-mm-dd")</f>
        <v/>
      </c>
      <c r="C50083" t="inlineStr">
        <is>
          <t>2036-12-28</t>
        </is>
      </c>
    </row>
    <row r="50084">
      <c r="A50084" s="1" t="n">
        <v>50083</v>
      </c>
      <c r="B50084">
        <f>TEXT(50083, "[$-0E0000]yyyy-mm-dd")</f>
        <v/>
      </c>
      <c r="C50084" t="inlineStr">
        <is>
          <t>2036-12-29</t>
        </is>
      </c>
    </row>
    <row r="50085">
      <c r="A50085" s="1" t="n">
        <v>50084</v>
      </c>
      <c r="B50085">
        <f>TEXT(50084, "[$-0E0000]yyyy-mm-dd")</f>
        <v/>
      </c>
      <c r="C50085" t="inlineStr">
        <is>
          <t>2036-12-30</t>
        </is>
      </c>
    </row>
    <row r="50086">
      <c r="A50086" s="1" t="n">
        <v>50085</v>
      </c>
      <c r="B50086">
        <f>TEXT(50085, "[$-0E0000]yyyy-mm-dd")</f>
        <v/>
      </c>
      <c r="C50086" t="inlineStr">
        <is>
          <t>2037-01-01</t>
        </is>
      </c>
    </row>
    <row r="50087">
      <c r="A50087" s="1" t="n">
        <v>50086</v>
      </c>
      <c r="B50087">
        <f>TEXT(50086, "[$-0E0000]yyyy-mm-dd")</f>
        <v/>
      </c>
      <c r="C50087" t="inlineStr">
        <is>
          <t>2037-01-02</t>
        </is>
      </c>
    </row>
    <row r="50088">
      <c r="A50088" s="1" t="n">
        <v>50087</v>
      </c>
      <c r="B50088">
        <f>TEXT(50087, "[$-0E0000]yyyy-mm-dd")</f>
        <v/>
      </c>
      <c r="C50088" t="inlineStr">
        <is>
          <t>2037-01-03</t>
        </is>
      </c>
    </row>
    <row r="50089">
      <c r="A50089" s="1" t="n">
        <v>50088</v>
      </c>
      <c r="B50089">
        <f>TEXT(50088, "[$-0E0000]yyyy-mm-dd")</f>
        <v/>
      </c>
      <c r="C50089" t="inlineStr">
        <is>
          <t>2037-01-04</t>
        </is>
      </c>
    </row>
    <row r="50090">
      <c r="A50090" s="1" t="n">
        <v>50089</v>
      </c>
      <c r="B50090">
        <f>TEXT(50089, "[$-0E0000]yyyy-mm-dd")</f>
        <v/>
      </c>
      <c r="C50090" t="inlineStr">
        <is>
          <t>2037-01-05</t>
        </is>
      </c>
    </row>
    <row r="50091">
      <c r="A50091" s="1" t="n">
        <v>50090</v>
      </c>
      <c r="B50091">
        <f>TEXT(50090, "[$-0E0000]yyyy-mm-dd")</f>
        <v/>
      </c>
      <c r="C50091" t="inlineStr">
        <is>
          <t>2037-01-06</t>
        </is>
      </c>
    </row>
    <row r="50092">
      <c r="A50092" s="1" t="n">
        <v>50091</v>
      </c>
      <c r="B50092">
        <f>TEXT(50091, "[$-0E0000]yyyy-mm-dd")</f>
        <v/>
      </c>
      <c r="C50092" t="inlineStr">
        <is>
          <t>2037-01-07</t>
        </is>
      </c>
    </row>
    <row r="50093">
      <c r="A50093" s="1" t="n">
        <v>50092</v>
      </c>
      <c r="B50093">
        <f>TEXT(50092, "[$-0E0000]yyyy-mm-dd")</f>
        <v/>
      </c>
      <c r="C50093" t="inlineStr">
        <is>
          <t>2037-01-08</t>
        </is>
      </c>
    </row>
    <row r="50094">
      <c r="A50094" s="1" t="n">
        <v>50093</v>
      </c>
      <c r="B50094">
        <f>TEXT(50093, "[$-0E0000]yyyy-mm-dd")</f>
        <v/>
      </c>
      <c r="C50094" t="inlineStr">
        <is>
          <t>2037-01-09</t>
        </is>
      </c>
    </row>
    <row r="50095">
      <c r="A50095" s="1" t="n">
        <v>50094</v>
      </c>
      <c r="B50095">
        <f>TEXT(50094, "[$-0E0000]yyyy-mm-dd")</f>
        <v/>
      </c>
      <c r="C50095" t="inlineStr">
        <is>
          <t>2037-01-10</t>
        </is>
      </c>
    </row>
    <row r="50096">
      <c r="A50096" s="1" t="n">
        <v>50095</v>
      </c>
      <c r="B50096">
        <f>TEXT(50095, "[$-0E0000]yyyy-mm-dd")</f>
        <v/>
      </c>
      <c r="C50096" t="inlineStr">
        <is>
          <t>2037-01-11</t>
        </is>
      </c>
    </row>
    <row r="50097">
      <c r="A50097" s="1" t="n">
        <v>50096</v>
      </c>
      <c r="B50097">
        <f>TEXT(50096, "[$-0E0000]yyyy-mm-dd")</f>
        <v/>
      </c>
      <c r="C50097" t="inlineStr">
        <is>
          <t>2037-01-12</t>
        </is>
      </c>
    </row>
    <row r="50098">
      <c r="A50098" s="1" t="n">
        <v>50097</v>
      </c>
      <c r="B50098">
        <f>TEXT(50097, "[$-0E0000]yyyy-mm-dd")</f>
        <v/>
      </c>
      <c r="C50098" t="inlineStr">
        <is>
          <t>2037-01-13</t>
        </is>
      </c>
    </row>
    <row r="50099">
      <c r="A50099" s="1" t="n">
        <v>50098</v>
      </c>
      <c r="B50099">
        <f>TEXT(50098, "[$-0E0000]yyyy-mm-dd")</f>
        <v/>
      </c>
      <c r="C50099" t="inlineStr">
        <is>
          <t>2037-01-14</t>
        </is>
      </c>
    </row>
    <row r="50100">
      <c r="A50100" s="1" t="n">
        <v>50099</v>
      </c>
      <c r="B50100">
        <f>TEXT(50099, "[$-0E0000]yyyy-mm-dd")</f>
        <v/>
      </c>
      <c r="C50100" t="inlineStr">
        <is>
          <t>2037-01-15</t>
        </is>
      </c>
    </row>
    <row r="50101">
      <c r="A50101" s="1" t="n">
        <v>50100</v>
      </c>
      <c r="B50101">
        <f>TEXT(50100, "[$-0E0000]yyyy-mm-dd")</f>
        <v/>
      </c>
      <c r="C50101" t="inlineStr">
        <is>
          <t>2037-01-16</t>
        </is>
      </c>
    </row>
    <row r="50102">
      <c r="A50102" s="1" t="n">
        <v>50101</v>
      </c>
      <c r="B50102">
        <f>TEXT(50101, "[$-0E0000]yyyy-mm-dd")</f>
        <v/>
      </c>
      <c r="C50102" t="inlineStr">
        <is>
          <t>2037-01-17</t>
        </is>
      </c>
    </row>
    <row r="50103">
      <c r="A50103" s="1" t="n">
        <v>50102</v>
      </c>
      <c r="B50103">
        <f>TEXT(50102, "[$-0E0000]yyyy-mm-dd")</f>
        <v/>
      </c>
      <c r="C50103" t="inlineStr">
        <is>
          <t>2037-01-18</t>
        </is>
      </c>
    </row>
    <row r="50104">
      <c r="A50104" s="1" t="n">
        <v>50103</v>
      </c>
      <c r="B50104">
        <f>TEXT(50103, "[$-0E0000]yyyy-mm-dd")</f>
        <v/>
      </c>
      <c r="C50104" t="inlineStr">
        <is>
          <t>2037-01-19</t>
        </is>
      </c>
    </row>
    <row r="50105">
      <c r="A50105" s="1" t="n">
        <v>50104</v>
      </c>
      <c r="B50105">
        <f>TEXT(50104, "[$-0E0000]yyyy-mm-dd")</f>
        <v/>
      </c>
      <c r="C50105" t="inlineStr">
        <is>
          <t>2037-01-20</t>
        </is>
      </c>
    </row>
    <row r="50106">
      <c r="A50106" s="1" t="n">
        <v>50105</v>
      </c>
      <c r="B50106">
        <f>TEXT(50105, "[$-0E0000]yyyy-mm-dd")</f>
        <v/>
      </c>
      <c r="C50106" t="inlineStr">
        <is>
          <t>2037-01-21</t>
        </is>
      </c>
    </row>
    <row r="50107">
      <c r="A50107" s="1" t="n">
        <v>50106</v>
      </c>
      <c r="B50107">
        <f>TEXT(50106, "[$-0E0000]yyyy-mm-dd")</f>
        <v/>
      </c>
      <c r="C50107" t="inlineStr">
        <is>
          <t>2037-01-22</t>
        </is>
      </c>
    </row>
    <row r="50108">
      <c r="A50108" s="1" t="n">
        <v>50107</v>
      </c>
      <c r="B50108">
        <f>TEXT(50107, "[$-0E0000]yyyy-mm-dd")</f>
        <v/>
      </c>
      <c r="C50108" t="inlineStr">
        <is>
          <t>2037-01-23</t>
        </is>
      </c>
    </row>
    <row r="50109">
      <c r="A50109" s="1" t="n">
        <v>50108</v>
      </c>
      <c r="B50109">
        <f>TEXT(50108, "[$-0E0000]yyyy-mm-dd")</f>
        <v/>
      </c>
      <c r="C50109" t="inlineStr">
        <is>
          <t>2037-01-24</t>
        </is>
      </c>
    </row>
    <row r="50110">
      <c r="A50110" s="1" t="n">
        <v>50109</v>
      </c>
      <c r="B50110">
        <f>TEXT(50109, "[$-0E0000]yyyy-mm-dd")</f>
        <v/>
      </c>
      <c r="C50110" t="inlineStr">
        <is>
          <t>2037-01-25</t>
        </is>
      </c>
    </row>
    <row r="50111">
      <c r="A50111" s="1" t="n">
        <v>50110</v>
      </c>
      <c r="B50111">
        <f>TEXT(50110, "[$-0E0000]yyyy-mm-dd")</f>
        <v/>
      </c>
      <c r="C50111" t="inlineStr">
        <is>
          <t>2037-01-26</t>
        </is>
      </c>
    </row>
    <row r="50112">
      <c r="A50112" s="1" t="n">
        <v>50111</v>
      </c>
      <c r="B50112">
        <f>TEXT(50111, "[$-0E0000]yyyy-mm-dd")</f>
        <v/>
      </c>
      <c r="C50112" t="inlineStr">
        <is>
          <t>2037-01-27</t>
        </is>
      </c>
    </row>
    <row r="50113">
      <c r="A50113" s="1" t="n">
        <v>50112</v>
      </c>
      <c r="B50113">
        <f>TEXT(50112, "[$-0E0000]yyyy-mm-dd")</f>
        <v/>
      </c>
      <c r="C50113" t="inlineStr">
        <is>
          <t>2037-01-28</t>
        </is>
      </c>
    </row>
    <row r="50114">
      <c r="A50114" s="1" t="n">
        <v>50113</v>
      </c>
      <c r="B50114">
        <f>TEXT(50113, "[$-0E0000]yyyy-mm-dd")</f>
        <v/>
      </c>
      <c r="C50114" t="inlineStr">
        <is>
          <t>2037-01-29</t>
        </is>
      </c>
    </row>
    <row r="50115">
      <c r="A50115" s="1" t="n">
        <v>50114</v>
      </c>
      <c r="B50115">
        <f>TEXT(50114, "[$-0E0000]yyyy-mm-dd")</f>
        <v/>
      </c>
      <c r="C50115" t="inlineStr">
        <is>
          <t>2037-01-30</t>
        </is>
      </c>
    </row>
    <row r="50116">
      <c r="A50116" s="1" t="n">
        <v>50115</v>
      </c>
      <c r="B50116">
        <f>TEXT(50115, "[$-0E0000]yyyy-mm-dd")</f>
        <v/>
      </c>
      <c r="C50116" t="inlineStr">
        <is>
          <t>2037-02-01</t>
        </is>
      </c>
    </row>
    <row r="50117">
      <c r="A50117" s="1" t="n">
        <v>50116</v>
      </c>
      <c r="B50117">
        <f>TEXT(50116, "[$-0E0000]yyyy-mm-dd")</f>
        <v/>
      </c>
      <c r="C50117" t="inlineStr">
        <is>
          <t>2037-02-02</t>
        </is>
      </c>
    </row>
    <row r="50118">
      <c r="A50118" s="1" t="n">
        <v>50117</v>
      </c>
      <c r="B50118">
        <f>TEXT(50117, "[$-0E0000]yyyy-mm-dd")</f>
        <v/>
      </c>
      <c r="C50118" t="inlineStr">
        <is>
          <t>2037-02-03</t>
        </is>
      </c>
    </row>
    <row r="50119">
      <c r="A50119" s="1" t="n">
        <v>50118</v>
      </c>
      <c r="B50119">
        <f>TEXT(50118, "[$-0E0000]yyyy-mm-dd")</f>
        <v/>
      </c>
      <c r="C50119" t="inlineStr">
        <is>
          <t>2037-02-04</t>
        </is>
      </c>
    </row>
    <row r="50120">
      <c r="A50120" s="1" t="n">
        <v>50119</v>
      </c>
      <c r="B50120">
        <f>TEXT(50119, "[$-0E0000]yyyy-mm-dd")</f>
        <v/>
      </c>
      <c r="C50120" t="inlineStr">
        <is>
          <t>2037-02-05</t>
        </is>
      </c>
    </row>
    <row r="50121">
      <c r="A50121" s="1" t="n">
        <v>50120</v>
      </c>
      <c r="B50121">
        <f>TEXT(50120, "[$-0E0000]yyyy-mm-dd")</f>
        <v/>
      </c>
      <c r="C50121" t="inlineStr">
        <is>
          <t>2037-02-06</t>
        </is>
      </c>
    </row>
    <row r="50122">
      <c r="A50122" s="1" t="n">
        <v>50121</v>
      </c>
      <c r="B50122">
        <f>TEXT(50121, "[$-0E0000]yyyy-mm-dd")</f>
        <v/>
      </c>
      <c r="C50122" t="inlineStr">
        <is>
          <t>2037-02-07</t>
        </is>
      </c>
    </row>
    <row r="50123">
      <c r="A50123" s="1" t="n">
        <v>50122</v>
      </c>
      <c r="B50123">
        <f>TEXT(50122, "[$-0E0000]yyyy-mm-dd")</f>
        <v/>
      </c>
      <c r="C50123" t="inlineStr">
        <is>
          <t>2037-02-08</t>
        </is>
      </c>
    </row>
    <row r="50124">
      <c r="A50124" s="1" t="n">
        <v>50123</v>
      </c>
      <c r="B50124">
        <f>TEXT(50123, "[$-0E0000]yyyy-mm-dd")</f>
        <v/>
      </c>
      <c r="C50124" t="inlineStr">
        <is>
          <t>2037-02-09</t>
        </is>
      </c>
    </row>
    <row r="50125">
      <c r="A50125" s="1" t="n">
        <v>50124</v>
      </c>
      <c r="B50125">
        <f>TEXT(50124, "[$-0E0000]yyyy-mm-dd")</f>
        <v/>
      </c>
      <c r="C50125" t="inlineStr">
        <is>
          <t>2037-02-10</t>
        </is>
      </c>
    </row>
    <row r="50126">
      <c r="A50126" s="1" t="n">
        <v>50125</v>
      </c>
      <c r="B50126">
        <f>TEXT(50125, "[$-0E0000]yyyy-mm-dd")</f>
        <v/>
      </c>
      <c r="C50126" t="inlineStr">
        <is>
          <t>2037-02-11</t>
        </is>
      </c>
    </row>
    <row r="50127">
      <c r="A50127" s="1" t="n">
        <v>50126</v>
      </c>
      <c r="B50127">
        <f>TEXT(50126, "[$-0E0000]yyyy-mm-dd")</f>
        <v/>
      </c>
      <c r="C50127" t="inlineStr">
        <is>
          <t>2037-02-12</t>
        </is>
      </c>
    </row>
    <row r="50128">
      <c r="A50128" s="1" t="n">
        <v>50127</v>
      </c>
      <c r="B50128">
        <f>TEXT(50127, "[$-0E0000]yyyy-mm-dd")</f>
        <v/>
      </c>
      <c r="C50128" t="inlineStr">
        <is>
          <t>2037-02-13</t>
        </is>
      </c>
    </row>
    <row r="50129">
      <c r="A50129" s="1" t="n">
        <v>50128</v>
      </c>
      <c r="B50129">
        <f>TEXT(50128, "[$-0E0000]yyyy-mm-dd")</f>
        <v/>
      </c>
      <c r="C50129" t="inlineStr">
        <is>
          <t>2037-02-14</t>
        </is>
      </c>
    </row>
    <row r="50130">
      <c r="A50130" s="1" t="n">
        <v>50129</v>
      </c>
      <c r="B50130">
        <f>TEXT(50129, "[$-0E0000]yyyy-mm-dd")</f>
        <v/>
      </c>
      <c r="C50130" t="inlineStr">
        <is>
          <t>2037-02-15</t>
        </is>
      </c>
    </row>
    <row r="50131">
      <c r="A50131" s="1" t="n">
        <v>50130</v>
      </c>
      <c r="B50131">
        <f>TEXT(50130, "[$-0E0000]yyyy-mm-dd")</f>
        <v/>
      </c>
      <c r="C50131" t="inlineStr">
        <is>
          <t>2037-02-16</t>
        </is>
      </c>
    </row>
    <row r="50132">
      <c r="A50132" s="1" t="n">
        <v>50131</v>
      </c>
      <c r="B50132">
        <f>TEXT(50131, "[$-0E0000]yyyy-mm-dd")</f>
        <v/>
      </c>
      <c r="C50132" t="inlineStr">
        <is>
          <t>2037-02-17</t>
        </is>
      </c>
    </row>
    <row r="50133">
      <c r="A50133" s="1" t="n">
        <v>50132</v>
      </c>
      <c r="B50133">
        <f>TEXT(50132, "[$-0E0000]yyyy-mm-dd")</f>
        <v/>
      </c>
      <c r="C50133" t="inlineStr">
        <is>
          <t>2037-02-18</t>
        </is>
      </c>
    </row>
    <row r="50134">
      <c r="A50134" s="1" t="n">
        <v>50133</v>
      </c>
      <c r="B50134">
        <f>TEXT(50133, "[$-0E0000]yyyy-mm-dd")</f>
        <v/>
      </c>
      <c r="C50134" t="inlineStr">
        <is>
          <t>2037-02-19</t>
        </is>
      </c>
    </row>
    <row r="50135">
      <c r="A50135" s="1" t="n">
        <v>50134</v>
      </c>
      <c r="B50135">
        <f>TEXT(50134, "[$-0E0000]yyyy-mm-dd")</f>
        <v/>
      </c>
      <c r="C50135" t="inlineStr">
        <is>
          <t>2037-02-20</t>
        </is>
      </c>
    </row>
    <row r="50136">
      <c r="A50136" s="1" t="n">
        <v>50135</v>
      </c>
      <c r="B50136">
        <f>TEXT(50135, "[$-0E0000]yyyy-mm-dd")</f>
        <v/>
      </c>
      <c r="C50136" t="inlineStr">
        <is>
          <t>2037-02-21</t>
        </is>
      </c>
    </row>
    <row r="50137">
      <c r="A50137" s="1" t="n">
        <v>50136</v>
      </c>
      <c r="B50137">
        <f>TEXT(50136, "[$-0E0000]yyyy-mm-dd")</f>
        <v/>
      </c>
      <c r="C50137" t="inlineStr">
        <is>
          <t>2037-02-22</t>
        </is>
      </c>
    </row>
    <row r="50138">
      <c r="A50138" s="1" t="n">
        <v>50137</v>
      </c>
      <c r="B50138">
        <f>TEXT(50137, "[$-0E0000]yyyy-mm-dd")</f>
        <v/>
      </c>
      <c r="C50138" t="inlineStr">
        <is>
          <t>2037-02-23</t>
        </is>
      </c>
    </row>
    <row r="50139">
      <c r="A50139" s="1" t="n">
        <v>50138</v>
      </c>
      <c r="B50139">
        <f>TEXT(50138, "[$-0E0000]yyyy-mm-dd")</f>
        <v/>
      </c>
      <c r="C50139" t="inlineStr">
        <is>
          <t>2037-02-24</t>
        </is>
      </c>
    </row>
    <row r="50140">
      <c r="A50140" s="1" t="n">
        <v>50139</v>
      </c>
      <c r="B50140">
        <f>TEXT(50139, "[$-0E0000]yyyy-mm-dd")</f>
        <v/>
      </c>
      <c r="C50140" t="inlineStr">
        <is>
          <t>2037-02-25</t>
        </is>
      </c>
    </row>
    <row r="50141">
      <c r="A50141" s="1" t="n">
        <v>50140</v>
      </c>
      <c r="B50141">
        <f>TEXT(50140, "[$-0E0000]yyyy-mm-dd")</f>
        <v/>
      </c>
      <c r="C50141" t="inlineStr">
        <is>
          <t>2037-02-26</t>
        </is>
      </c>
    </row>
    <row r="50142">
      <c r="A50142" s="1" t="n">
        <v>50141</v>
      </c>
      <c r="B50142">
        <f>TEXT(50141, "[$-0E0000]yyyy-mm-dd")</f>
        <v/>
      </c>
      <c r="C50142" t="inlineStr">
        <is>
          <t>2037-02-27</t>
        </is>
      </c>
    </row>
    <row r="50143">
      <c r="A50143" s="1" t="n">
        <v>50142</v>
      </c>
      <c r="B50143">
        <f>TEXT(50142, "[$-0E0000]yyyy-mm-dd")</f>
        <v/>
      </c>
      <c r="C50143" t="inlineStr">
        <is>
          <t>2037-02-28</t>
        </is>
      </c>
    </row>
    <row r="50144">
      <c r="A50144" s="1" t="n">
        <v>50143</v>
      </c>
      <c r="B50144">
        <f>TEXT(50143, "[$-0E0000]yyyy-mm-dd")</f>
        <v/>
      </c>
      <c r="C50144" t="inlineStr">
        <is>
          <t>2037-02-29</t>
        </is>
      </c>
    </row>
    <row r="50145">
      <c r="A50145" s="1" t="n">
        <v>50144</v>
      </c>
      <c r="B50145">
        <f>TEXT(50144, "[$-0E0000]yyyy-mm-dd")</f>
        <v/>
      </c>
      <c r="C50145" t="inlineStr">
        <is>
          <t>2037-02-30</t>
        </is>
      </c>
    </row>
    <row r="50146">
      <c r="A50146" s="1" t="n">
        <v>50145</v>
      </c>
      <c r="B50146">
        <f>TEXT(50145, "[$-0E0000]yyyy-mm-dd")</f>
        <v/>
      </c>
      <c r="C50146" t="inlineStr">
        <is>
          <t>2037-03-01</t>
        </is>
      </c>
    </row>
    <row r="50147">
      <c r="A50147" s="1" t="n">
        <v>50146</v>
      </c>
      <c r="B50147">
        <f>TEXT(50146, "[$-0E0000]yyyy-mm-dd")</f>
        <v/>
      </c>
      <c r="C50147" t="inlineStr">
        <is>
          <t>2037-03-02</t>
        </is>
      </c>
    </row>
    <row r="50148">
      <c r="A50148" s="1" t="n">
        <v>50147</v>
      </c>
      <c r="B50148">
        <f>TEXT(50147, "[$-0E0000]yyyy-mm-dd")</f>
        <v/>
      </c>
      <c r="C50148" t="inlineStr">
        <is>
          <t>2037-03-03</t>
        </is>
      </c>
    </row>
    <row r="50149">
      <c r="A50149" s="1" t="n">
        <v>50148</v>
      </c>
      <c r="B50149">
        <f>TEXT(50148, "[$-0E0000]yyyy-mm-dd")</f>
        <v/>
      </c>
      <c r="C50149" t="inlineStr">
        <is>
          <t>2037-03-04</t>
        </is>
      </c>
    </row>
    <row r="50150">
      <c r="A50150" s="1" t="n">
        <v>50149</v>
      </c>
      <c r="B50150">
        <f>TEXT(50149, "[$-0E0000]yyyy-mm-dd")</f>
        <v/>
      </c>
      <c r="C50150" t="inlineStr">
        <is>
          <t>2037-03-05</t>
        </is>
      </c>
    </row>
    <row r="50151">
      <c r="A50151" s="1" t="n">
        <v>50150</v>
      </c>
      <c r="B50151">
        <f>TEXT(50150, "[$-0E0000]yyyy-mm-dd")</f>
        <v/>
      </c>
      <c r="C50151" t="inlineStr">
        <is>
          <t>2037-03-06</t>
        </is>
      </c>
    </row>
    <row r="50152">
      <c r="A50152" s="1" t="n">
        <v>50151</v>
      </c>
      <c r="B50152">
        <f>TEXT(50151, "[$-0E0000]yyyy-mm-dd")</f>
        <v/>
      </c>
      <c r="C50152" t="inlineStr">
        <is>
          <t>2037-03-07</t>
        </is>
      </c>
    </row>
    <row r="50153">
      <c r="A50153" s="1" t="n">
        <v>50152</v>
      </c>
      <c r="B50153">
        <f>TEXT(50152, "[$-0E0000]yyyy-mm-dd")</f>
        <v/>
      </c>
      <c r="C50153" t="inlineStr">
        <is>
          <t>2037-03-08</t>
        </is>
      </c>
    </row>
    <row r="50154">
      <c r="A50154" s="1" t="n">
        <v>50153</v>
      </c>
      <c r="B50154">
        <f>TEXT(50153, "[$-0E0000]yyyy-mm-dd")</f>
        <v/>
      </c>
      <c r="C50154" t="inlineStr">
        <is>
          <t>2037-03-09</t>
        </is>
      </c>
    </row>
    <row r="50155">
      <c r="A50155" s="1" t="n">
        <v>50154</v>
      </c>
      <c r="B50155">
        <f>TEXT(50154, "[$-0E0000]yyyy-mm-dd")</f>
        <v/>
      </c>
      <c r="C50155" t="inlineStr">
        <is>
          <t>2037-03-10</t>
        </is>
      </c>
    </row>
    <row r="50156">
      <c r="A50156" s="1" t="n">
        <v>50155</v>
      </c>
      <c r="B50156">
        <f>TEXT(50155, "[$-0E0000]yyyy-mm-dd")</f>
        <v/>
      </c>
      <c r="C50156" t="inlineStr">
        <is>
          <t>2037-03-11</t>
        </is>
      </c>
    </row>
    <row r="50157">
      <c r="A50157" s="1" t="n">
        <v>50156</v>
      </c>
      <c r="B50157">
        <f>TEXT(50156, "[$-0E0000]yyyy-mm-dd")</f>
        <v/>
      </c>
      <c r="C50157" t="inlineStr">
        <is>
          <t>2037-03-12</t>
        </is>
      </c>
    </row>
    <row r="50158">
      <c r="A50158" s="1" t="n">
        <v>50157</v>
      </c>
      <c r="B50158">
        <f>TEXT(50157, "[$-0E0000]yyyy-mm-dd")</f>
        <v/>
      </c>
      <c r="C50158" t="inlineStr">
        <is>
          <t>2037-03-13</t>
        </is>
      </c>
    </row>
    <row r="50159">
      <c r="A50159" s="1" t="n">
        <v>50158</v>
      </c>
      <c r="B50159">
        <f>TEXT(50158, "[$-0E0000]yyyy-mm-dd")</f>
        <v/>
      </c>
      <c r="C50159" t="inlineStr">
        <is>
          <t>2037-03-14</t>
        </is>
      </c>
    </row>
    <row r="50160">
      <c r="A50160" s="1" t="n">
        <v>50159</v>
      </c>
      <c r="B50160">
        <f>TEXT(50159, "[$-0E0000]yyyy-mm-dd")</f>
        <v/>
      </c>
      <c r="C50160" t="inlineStr">
        <is>
          <t>2037-03-15</t>
        </is>
      </c>
    </row>
    <row r="50161">
      <c r="A50161" s="1" t="n">
        <v>50160</v>
      </c>
      <c r="B50161">
        <f>TEXT(50160, "[$-0E0000]yyyy-mm-dd")</f>
        <v/>
      </c>
      <c r="C50161" t="inlineStr">
        <is>
          <t>2037-03-16</t>
        </is>
      </c>
    </row>
    <row r="50162">
      <c r="A50162" s="1" t="n">
        <v>50161</v>
      </c>
      <c r="B50162">
        <f>TEXT(50161, "[$-0E0000]yyyy-mm-dd")</f>
        <v/>
      </c>
      <c r="C50162" t="inlineStr">
        <is>
          <t>2037-03-17</t>
        </is>
      </c>
    </row>
    <row r="50163">
      <c r="A50163" s="1" t="n">
        <v>50162</v>
      </c>
      <c r="B50163">
        <f>TEXT(50162, "[$-0E0000]yyyy-mm-dd")</f>
        <v/>
      </c>
      <c r="C50163" t="inlineStr">
        <is>
          <t>2037-03-18</t>
        </is>
      </c>
    </row>
    <row r="50164">
      <c r="A50164" s="1" t="n">
        <v>50163</v>
      </c>
      <c r="B50164">
        <f>TEXT(50163, "[$-0E0000]yyyy-mm-dd")</f>
        <v/>
      </c>
      <c r="C50164" t="inlineStr">
        <is>
          <t>2037-03-19</t>
        </is>
      </c>
    </row>
    <row r="50165">
      <c r="A50165" s="1" t="n">
        <v>50164</v>
      </c>
      <c r="B50165">
        <f>TEXT(50164, "[$-0E0000]yyyy-mm-dd")</f>
        <v/>
      </c>
      <c r="C50165" t="inlineStr">
        <is>
          <t>2037-03-20</t>
        </is>
      </c>
    </row>
    <row r="50166">
      <c r="A50166" s="1" t="n">
        <v>50165</v>
      </c>
      <c r="B50166">
        <f>TEXT(50165, "[$-0E0000]yyyy-mm-dd")</f>
        <v/>
      </c>
      <c r="C50166" t="inlineStr">
        <is>
          <t>2037-03-21</t>
        </is>
      </c>
    </row>
    <row r="50167">
      <c r="A50167" s="1" t="n">
        <v>50166</v>
      </c>
      <c r="B50167">
        <f>TEXT(50166, "[$-0E0000]yyyy-mm-dd")</f>
        <v/>
      </c>
      <c r="C50167" t="inlineStr">
        <is>
          <t>2037-03-22</t>
        </is>
      </c>
    </row>
    <row r="50168">
      <c r="A50168" s="1" t="n">
        <v>50167</v>
      </c>
      <c r="B50168">
        <f>TEXT(50167, "[$-0E0000]yyyy-mm-dd")</f>
        <v/>
      </c>
      <c r="C50168" t="inlineStr">
        <is>
          <t>2037-03-23</t>
        </is>
      </c>
    </row>
    <row r="50169">
      <c r="A50169" s="1" t="n">
        <v>50168</v>
      </c>
      <c r="B50169">
        <f>TEXT(50168, "[$-0E0000]yyyy-mm-dd")</f>
        <v/>
      </c>
      <c r="C50169" t="inlineStr">
        <is>
          <t>2037-03-24</t>
        </is>
      </c>
    </row>
    <row r="50170">
      <c r="A50170" s="1" t="n">
        <v>50169</v>
      </c>
      <c r="B50170">
        <f>TEXT(50169, "[$-0E0000]yyyy-mm-dd")</f>
        <v/>
      </c>
      <c r="C50170" t="inlineStr">
        <is>
          <t>2037-03-25</t>
        </is>
      </c>
    </row>
    <row r="50171">
      <c r="A50171" s="1" t="n">
        <v>50170</v>
      </c>
      <c r="B50171">
        <f>TEXT(50170, "[$-0E0000]yyyy-mm-dd")</f>
        <v/>
      </c>
      <c r="C50171" t="inlineStr">
        <is>
          <t>2037-03-26</t>
        </is>
      </c>
    </row>
    <row r="50172">
      <c r="A50172" s="1" t="n">
        <v>50171</v>
      </c>
      <c r="B50172">
        <f>TEXT(50171, "[$-0E0000]yyyy-mm-dd")</f>
        <v/>
      </c>
      <c r="C50172" t="inlineStr">
        <is>
          <t>2037-03-27</t>
        </is>
      </c>
    </row>
    <row r="50173">
      <c r="A50173" s="1" t="n">
        <v>50172</v>
      </c>
      <c r="B50173">
        <f>TEXT(50172, "[$-0E0000]yyyy-mm-dd")</f>
        <v/>
      </c>
      <c r="C50173" t="inlineStr">
        <is>
          <t>2037-03-28</t>
        </is>
      </c>
    </row>
    <row r="50174">
      <c r="A50174" s="1" t="n">
        <v>50173</v>
      </c>
      <c r="B50174">
        <f>TEXT(50173, "[$-0E0000]yyyy-mm-dd")</f>
        <v/>
      </c>
      <c r="C50174" t="inlineStr">
        <is>
          <t>2037-03-29</t>
        </is>
      </c>
    </row>
    <row r="50175">
      <c r="A50175" s="1" t="n">
        <v>50174</v>
      </c>
      <c r="B50175">
        <f>TEXT(50174, "[$-0E0000]yyyy-mm-dd")</f>
        <v/>
      </c>
      <c r="C50175" t="inlineStr">
        <is>
          <t>2037-04-01</t>
        </is>
      </c>
    </row>
    <row r="50176">
      <c r="A50176" s="1" t="n">
        <v>50175</v>
      </c>
      <c r="B50176">
        <f>TEXT(50175, "[$-0E0000]yyyy-mm-dd")</f>
        <v/>
      </c>
      <c r="C50176" t="inlineStr">
        <is>
          <t>2037-04-02</t>
        </is>
      </c>
    </row>
    <row r="50177">
      <c r="A50177" s="1" t="n">
        <v>50176</v>
      </c>
      <c r="B50177">
        <f>TEXT(50176, "[$-0E0000]yyyy-mm-dd")</f>
        <v/>
      </c>
      <c r="C50177" t="inlineStr">
        <is>
          <t>2037-04-03</t>
        </is>
      </c>
    </row>
    <row r="50178">
      <c r="A50178" s="1" t="n">
        <v>50177</v>
      </c>
      <c r="B50178">
        <f>TEXT(50177, "[$-0E0000]yyyy-mm-dd")</f>
        <v/>
      </c>
      <c r="C50178" t="inlineStr">
        <is>
          <t>2037-04-04</t>
        </is>
      </c>
    </row>
    <row r="50179">
      <c r="A50179" s="1" t="n">
        <v>50178</v>
      </c>
      <c r="B50179">
        <f>TEXT(50178, "[$-0E0000]yyyy-mm-dd")</f>
        <v/>
      </c>
      <c r="C50179" t="inlineStr">
        <is>
          <t>2037-04-05</t>
        </is>
      </c>
    </row>
    <row r="50180">
      <c r="A50180" s="1" t="n">
        <v>50179</v>
      </c>
      <c r="B50180">
        <f>TEXT(50179, "[$-0E0000]yyyy-mm-dd")</f>
        <v/>
      </c>
      <c r="C50180" t="inlineStr">
        <is>
          <t>2037-04-06</t>
        </is>
      </c>
    </row>
    <row r="50181">
      <c r="A50181" s="1" t="n">
        <v>50180</v>
      </c>
      <c r="B50181">
        <f>TEXT(50180, "[$-0E0000]yyyy-mm-dd")</f>
        <v/>
      </c>
      <c r="C50181" t="inlineStr">
        <is>
          <t>2037-04-07</t>
        </is>
      </c>
    </row>
    <row r="50182">
      <c r="A50182" s="1" t="n">
        <v>50181</v>
      </c>
      <c r="B50182">
        <f>TEXT(50181, "[$-0E0000]yyyy-mm-dd")</f>
        <v/>
      </c>
      <c r="C50182" t="inlineStr">
        <is>
          <t>2037-04-08</t>
        </is>
      </c>
    </row>
    <row r="50183">
      <c r="A50183" s="1" t="n">
        <v>50182</v>
      </c>
      <c r="B50183">
        <f>TEXT(50182, "[$-0E0000]yyyy-mm-dd")</f>
        <v/>
      </c>
      <c r="C50183" t="inlineStr">
        <is>
          <t>2037-04-09</t>
        </is>
      </c>
    </row>
    <row r="50184">
      <c r="A50184" s="1" t="n">
        <v>50183</v>
      </c>
      <c r="B50184">
        <f>TEXT(50183, "[$-0E0000]yyyy-mm-dd")</f>
        <v/>
      </c>
      <c r="C50184" t="inlineStr">
        <is>
          <t>2037-04-10</t>
        </is>
      </c>
    </row>
    <row r="50185">
      <c r="A50185" s="1" t="n">
        <v>50184</v>
      </c>
      <c r="B50185">
        <f>TEXT(50184, "[$-0E0000]yyyy-mm-dd")</f>
        <v/>
      </c>
      <c r="C50185" t="inlineStr">
        <is>
          <t>2037-04-11</t>
        </is>
      </c>
    </row>
    <row r="50186">
      <c r="A50186" s="1" t="n">
        <v>50185</v>
      </c>
      <c r="B50186">
        <f>TEXT(50185, "[$-0E0000]yyyy-mm-dd")</f>
        <v/>
      </c>
      <c r="C50186" t="inlineStr">
        <is>
          <t>2037-04-12</t>
        </is>
      </c>
    </row>
    <row r="50187">
      <c r="A50187" s="1" t="n">
        <v>50186</v>
      </c>
      <c r="B50187">
        <f>TEXT(50186, "[$-0E0000]yyyy-mm-dd")</f>
        <v/>
      </c>
      <c r="C50187" t="inlineStr">
        <is>
          <t>2037-04-13</t>
        </is>
      </c>
    </row>
    <row r="50188">
      <c r="A50188" s="1" t="n">
        <v>50187</v>
      </c>
      <c r="B50188">
        <f>TEXT(50187, "[$-0E0000]yyyy-mm-dd")</f>
        <v/>
      </c>
      <c r="C50188" t="inlineStr">
        <is>
          <t>2037-04-14</t>
        </is>
      </c>
    </row>
    <row r="50189">
      <c r="A50189" s="1" t="n">
        <v>50188</v>
      </c>
      <c r="B50189">
        <f>TEXT(50188, "[$-0E0000]yyyy-mm-dd")</f>
        <v/>
      </c>
      <c r="C50189" t="inlineStr">
        <is>
          <t>2037-04-15</t>
        </is>
      </c>
    </row>
    <row r="50190">
      <c r="A50190" s="1" t="n">
        <v>50189</v>
      </c>
      <c r="B50190">
        <f>TEXT(50189, "[$-0E0000]yyyy-mm-dd")</f>
        <v/>
      </c>
      <c r="C50190" t="inlineStr">
        <is>
          <t>2037-04-16</t>
        </is>
      </c>
    </row>
    <row r="50191">
      <c r="A50191" s="1" t="n">
        <v>50190</v>
      </c>
      <c r="B50191">
        <f>TEXT(50190, "[$-0E0000]yyyy-mm-dd")</f>
        <v/>
      </c>
      <c r="C50191" t="inlineStr">
        <is>
          <t>2037-04-17</t>
        </is>
      </c>
    </row>
    <row r="50192">
      <c r="A50192" s="1" t="n">
        <v>50191</v>
      </c>
      <c r="B50192">
        <f>TEXT(50191, "[$-0E0000]yyyy-mm-dd")</f>
        <v/>
      </c>
      <c r="C50192" t="inlineStr">
        <is>
          <t>2037-04-18</t>
        </is>
      </c>
    </row>
    <row r="50193">
      <c r="A50193" s="1" t="n">
        <v>50192</v>
      </c>
      <c r="B50193">
        <f>TEXT(50192, "[$-0E0000]yyyy-mm-dd")</f>
        <v/>
      </c>
      <c r="C50193" t="inlineStr">
        <is>
          <t>2037-04-19</t>
        </is>
      </c>
    </row>
    <row r="50194">
      <c r="A50194" s="1" t="n">
        <v>50193</v>
      </c>
      <c r="B50194">
        <f>TEXT(50193, "[$-0E0000]yyyy-mm-dd")</f>
        <v/>
      </c>
      <c r="C50194" t="inlineStr">
        <is>
          <t>2037-04-20</t>
        </is>
      </c>
    </row>
    <row r="50195">
      <c r="A50195" s="1" t="n">
        <v>50194</v>
      </c>
      <c r="B50195">
        <f>TEXT(50194, "[$-0E0000]yyyy-mm-dd")</f>
        <v/>
      </c>
      <c r="C50195" t="inlineStr">
        <is>
          <t>2037-04-21</t>
        </is>
      </c>
    </row>
    <row r="50196">
      <c r="A50196" s="1" t="n">
        <v>50195</v>
      </c>
      <c r="B50196">
        <f>TEXT(50195, "[$-0E0000]yyyy-mm-dd")</f>
        <v/>
      </c>
      <c r="C50196" t="inlineStr">
        <is>
          <t>2037-04-22</t>
        </is>
      </c>
    </row>
    <row r="50197">
      <c r="A50197" s="1" t="n">
        <v>50196</v>
      </c>
      <c r="B50197">
        <f>TEXT(50196, "[$-0E0000]yyyy-mm-dd")</f>
        <v/>
      </c>
      <c r="C50197" t="inlineStr">
        <is>
          <t>2037-04-23</t>
        </is>
      </c>
    </row>
    <row r="50198">
      <c r="A50198" s="1" t="n">
        <v>50197</v>
      </c>
      <c r="B50198">
        <f>TEXT(50197, "[$-0E0000]yyyy-mm-dd")</f>
        <v/>
      </c>
      <c r="C50198" t="inlineStr">
        <is>
          <t>2037-04-24</t>
        </is>
      </c>
    </row>
    <row r="50199">
      <c r="A50199" s="1" t="n">
        <v>50198</v>
      </c>
      <c r="B50199">
        <f>TEXT(50198, "[$-0E0000]yyyy-mm-dd")</f>
        <v/>
      </c>
      <c r="C50199" t="inlineStr">
        <is>
          <t>2037-04-25</t>
        </is>
      </c>
    </row>
    <row r="50200">
      <c r="A50200" s="1" t="n">
        <v>50199</v>
      </c>
      <c r="B50200">
        <f>TEXT(50199, "[$-0E0000]yyyy-mm-dd")</f>
        <v/>
      </c>
      <c r="C50200" t="inlineStr">
        <is>
          <t>2037-04-26</t>
        </is>
      </c>
    </row>
    <row r="50201">
      <c r="A50201" s="1" t="n">
        <v>50200</v>
      </c>
      <c r="B50201">
        <f>TEXT(50200, "[$-0E0000]yyyy-mm-dd")</f>
        <v/>
      </c>
      <c r="C50201" t="inlineStr">
        <is>
          <t>2037-04-27</t>
        </is>
      </c>
    </row>
    <row r="50202">
      <c r="A50202" s="1" t="n">
        <v>50201</v>
      </c>
      <c r="B50202">
        <f>TEXT(50201, "[$-0E0000]yyyy-mm-dd")</f>
        <v/>
      </c>
      <c r="C50202" t="inlineStr">
        <is>
          <t>2037-04-28</t>
        </is>
      </c>
    </row>
    <row r="50203">
      <c r="A50203" s="1" t="n">
        <v>50202</v>
      </c>
      <c r="B50203">
        <f>TEXT(50202, "[$-0E0000]yyyy-mm-dd")</f>
        <v/>
      </c>
      <c r="C50203" t="inlineStr">
        <is>
          <t>2037-04-29</t>
        </is>
      </c>
    </row>
    <row r="50204">
      <c r="A50204" s="1" t="n">
        <v>50203</v>
      </c>
      <c r="B50204">
        <f>TEXT(50203, "[$-0E0000]yyyy-mm-dd")</f>
        <v/>
      </c>
      <c r="C50204" t="inlineStr">
        <is>
          <t>2037-04-30</t>
        </is>
      </c>
    </row>
    <row r="50205">
      <c r="A50205" s="1" t="n">
        <v>50204</v>
      </c>
      <c r="B50205">
        <f>TEXT(50204, "[$-0E0000]yyyy-mm-dd")</f>
        <v/>
      </c>
      <c r="C50205" t="inlineStr">
        <is>
          <t>2037-05-01</t>
        </is>
      </c>
    </row>
    <row r="50206">
      <c r="A50206" s="1" t="n">
        <v>50205</v>
      </c>
      <c r="B50206">
        <f>TEXT(50205, "[$-0E0000]yyyy-mm-dd")</f>
        <v/>
      </c>
      <c r="C50206" t="inlineStr">
        <is>
          <t>2037-05-02</t>
        </is>
      </c>
    </row>
    <row r="50207">
      <c r="A50207" s="1" t="n">
        <v>50206</v>
      </c>
      <c r="B50207">
        <f>TEXT(50206, "[$-0E0000]yyyy-mm-dd")</f>
        <v/>
      </c>
      <c r="C50207" t="inlineStr">
        <is>
          <t>2037-05-03</t>
        </is>
      </c>
    </row>
    <row r="50208">
      <c r="A50208" s="1" t="n">
        <v>50207</v>
      </c>
      <c r="B50208">
        <f>TEXT(50207, "[$-0E0000]yyyy-mm-dd")</f>
        <v/>
      </c>
      <c r="C50208" t="inlineStr">
        <is>
          <t>2037-05-04</t>
        </is>
      </c>
    </row>
    <row r="50209">
      <c r="A50209" s="1" t="n">
        <v>50208</v>
      </c>
      <c r="B50209">
        <f>TEXT(50208, "[$-0E0000]yyyy-mm-dd")</f>
        <v/>
      </c>
      <c r="C50209" t="inlineStr">
        <is>
          <t>2037-05-05</t>
        </is>
      </c>
    </row>
    <row r="50210">
      <c r="A50210" s="1" t="n">
        <v>50209</v>
      </c>
      <c r="B50210">
        <f>TEXT(50209, "[$-0E0000]yyyy-mm-dd")</f>
        <v/>
      </c>
      <c r="C50210" t="inlineStr">
        <is>
          <t>2037-05-06</t>
        </is>
      </c>
    </row>
    <row r="50211">
      <c r="A50211" s="1" t="n">
        <v>50210</v>
      </c>
      <c r="B50211">
        <f>TEXT(50210, "[$-0E0000]yyyy-mm-dd")</f>
        <v/>
      </c>
      <c r="C50211" t="inlineStr">
        <is>
          <t>2037-05-07</t>
        </is>
      </c>
    </row>
    <row r="50212">
      <c r="A50212" s="1" t="n">
        <v>50211</v>
      </c>
      <c r="B50212">
        <f>TEXT(50211, "[$-0E0000]yyyy-mm-dd")</f>
        <v/>
      </c>
      <c r="C50212" t="inlineStr">
        <is>
          <t>2037-05-08</t>
        </is>
      </c>
    </row>
    <row r="50213">
      <c r="A50213" s="1" t="n">
        <v>50212</v>
      </c>
      <c r="B50213">
        <f>TEXT(50212, "[$-0E0000]yyyy-mm-dd")</f>
        <v/>
      </c>
      <c r="C50213" t="inlineStr">
        <is>
          <t>2037-05-09</t>
        </is>
      </c>
    </row>
    <row r="50214">
      <c r="A50214" s="1" t="n">
        <v>50213</v>
      </c>
      <c r="B50214">
        <f>TEXT(50213, "[$-0E0000]yyyy-mm-dd")</f>
        <v/>
      </c>
      <c r="C50214" t="inlineStr">
        <is>
          <t>2037-05-10</t>
        </is>
      </c>
    </row>
    <row r="50215">
      <c r="A50215" s="1" t="n">
        <v>50214</v>
      </c>
      <c r="B50215">
        <f>TEXT(50214, "[$-0E0000]yyyy-mm-dd")</f>
        <v/>
      </c>
      <c r="C50215" t="inlineStr">
        <is>
          <t>2037-05-11</t>
        </is>
      </c>
    </row>
    <row r="50216">
      <c r="A50216" s="1" t="n">
        <v>50215</v>
      </c>
      <c r="B50216">
        <f>TEXT(50215, "[$-0E0000]yyyy-mm-dd")</f>
        <v/>
      </c>
      <c r="C50216" t="inlineStr">
        <is>
          <t>2037-05-12</t>
        </is>
      </c>
    </row>
    <row r="50217">
      <c r="A50217" s="1" t="n">
        <v>50216</v>
      </c>
      <c r="B50217">
        <f>TEXT(50216, "[$-0E0000]yyyy-mm-dd")</f>
        <v/>
      </c>
      <c r="C50217" t="inlineStr">
        <is>
          <t>2037-05-13</t>
        </is>
      </c>
    </row>
    <row r="50218">
      <c r="A50218" s="1" t="n">
        <v>50217</v>
      </c>
      <c r="B50218">
        <f>TEXT(50217, "[$-0E0000]yyyy-mm-dd")</f>
        <v/>
      </c>
      <c r="C50218" t="inlineStr">
        <is>
          <t>2037-05-14</t>
        </is>
      </c>
    </row>
    <row r="50219">
      <c r="A50219" s="1" t="n">
        <v>50218</v>
      </c>
      <c r="B50219">
        <f>TEXT(50218, "[$-0E0000]yyyy-mm-dd")</f>
        <v/>
      </c>
      <c r="C50219" t="inlineStr">
        <is>
          <t>2037-05-15</t>
        </is>
      </c>
    </row>
    <row r="50220">
      <c r="A50220" s="1" t="n">
        <v>50219</v>
      </c>
      <c r="B50220">
        <f>TEXT(50219, "[$-0E0000]yyyy-mm-dd")</f>
        <v/>
      </c>
      <c r="C50220" t="inlineStr">
        <is>
          <t>2037-05-16</t>
        </is>
      </c>
    </row>
    <row r="50221">
      <c r="A50221" s="1" t="n">
        <v>50220</v>
      </c>
      <c r="B50221">
        <f>TEXT(50220, "[$-0E0000]yyyy-mm-dd")</f>
        <v/>
      </c>
      <c r="C50221" t="inlineStr">
        <is>
          <t>2037-05-17</t>
        </is>
      </c>
    </row>
    <row r="50222">
      <c r="A50222" s="1" t="n">
        <v>50221</v>
      </c>
      <c r="B50222">
        <f>TEXT(50221, "[$-0E0000]yyyy-mm-dd")</f>
        <v/>
      </c>
      <c r="C50222" t="inlineStr">
        <is>
          <t>2037-05-18</t>
        </is>
      </c>
    </row>
    <row r="50223">
      <c r="A50223" s="1" t="n">
        <v>50222</v>
      </c>
      <c r="B50223">
        <f>TEXT(50222, "[$-0E0000]yyyy-mm-dd")</f>
        <v/>
      </c>
      <c r="C50223" t="inlineStr">
        <is>
          <t>2037-05-19</t>
        </is>
      </c>
    </row>
    <row r="50224">
      <c r="A50224" s="1" t="n">
        <v>50223</v>
      </c>
      <c r="B50224">
        <f>TEXT(50223, "[$-0E0000]yyyy-mm-dd")</f>
        <v/>
      </c>
      <c r="C50224" t="inlineStr">
        <is>
          <t>2037-05-20</t>
        </is>
      </c>
    </row>
    <row r="50225">
      <c r="A50225" s="1" t="n">
        <v>50224</v>
      </c>
      <c r="B50225">
        <f>TEXT(50224, "[$-0E0000]yyyy-mm-dd")</f>
        <v/>
      </c>
      <c r="C50225" t="inlineStr">
        <is>
          <t>2037-05-21</t>
        </is>
      </c>
    </row>
    <row r="50226">
      <c r="A50226" s="1" t="n">
        <v>50225</v>
      </c>
      <c r="B50226">
        <f>TEXT(50225, "[$-0E0000]yyyy-mm-dd")</f>
        <v/>
      </c>
      <c r="C50226" t="inlineStr">
        <is>
          <t>2037-05-22</t>
        </is>
      </c>
    </row>
    <row r="50227">
      <c r="A50227" s="1" t="n">
        <v>50226</v>
      </c>
      <c r="B50227">
        <f>TEXT(50226, "[$-0E0000]yyyy-mm-dd")</f>
        <v/>
      </c>
      <c r="C50227" t="inlineStr">
        <is>
          <t>2037-05-23</t>
        </is>
      </c>
    </row>
    <row r="50228">
      <c r="A50228" s="1" t="n">
        <v>50227</v>
      </c>
      <c r="B50228">
        <f>TEXT(50227, "[$-0E0000]yyyy-mm-dd")</f>
        <v/>
      </c>
      <c r="C50228" t="inlineStr">
        <is>
          <t>2037-05-24</t>
        </is>
      </c>
    </row>
    <row r="50229">
      <c r="A50229" s="1" t="n">
        <v>50228</v>
      </c>
      <c r="B50229">
        <f>TEXT(50228, "[$-0E0000]yyyy-mm-dd")</f>
        <v/>
      </c>
      <c r="C50229" t="inlineStr">
        <is>
          <t>2037-05-25</t>
        </is>
      </c>
    </row>
    <row r="50230">
      <c r="A50230" s="1" t="n">
        <v>50229</v>
      </c>
      <c r="B50230">
        <f>TEXT(50229, "[$-0E0000]yyyy-mm-dd")</f>
        <v/>
      </c>
      <c r="C50230" t="inlineStr">
        <is>
          <t>2037-05-26</t>
        </is>
      </c>
    </row>
    <row r="50231">
      <c r="A50231" s="1" t="n">
        <v>50230</v>
      </c>
      <c r="B50231">
        <f>TEXT(50230, "[$-0E0000]yyyy-mm-dd")</f>
        <v/>
      </c>
      <c r="C50231" t="inlineStr">
        <is>
          <t>2037-05-27</t>
        </is>
      </c>
    </row>
    <row r="50232">
      <c r="A50232" s="1" t="n">
        <v>50231</v>
      </c>
      <c r="B50232">
        <f>TEXT(50231, "[$-0E0000]yyyy-mm-dd")</f>
        <v/>
      </c>
      <c r="C50232" t="inlineStr">
        <is>
          <t>2037-05-28</t>
        </is>
      </c>
    </row>
    <row r="50233">
      <c r="A50233" s="1" t="n">
        <v>50232</v>
      </c>
      <c r="B50233">
        <f>TEXT(50232, "[$-0E0000]yyyy-mm-dd")</f>
        <v/>
      </c>
      <c r="C50233" t="inlineStr">
        <is>
          <t>2037-05-29</t>
        </is>
      </c>
    </row>
    <row r="50234">
      <c r="A50234" s="1" t="n">
        <v>50233</v>
      </c>
      <c r="B50234">
        <f>TEXT(50233, "[$-0E0000]yyyy-mm-dd")</f>
        <v/>
      </c>
      <c r="C50234" t="inlineStr">
        <is>
          <t>2037-06-01</t>
        </is>
      </c>
    </row>
    <row r="50235">
      <c r="A50235" s="1" t="n">
        <v>50234</v>
      </c>
      <c r="B50235">
        <f>TEXT(50234, "[$-0E0000]yyyy-mm-dd")</f>
        <v/>
      </c>
      <c r="C50235" t="inlineStr">
        <is>
          <t>2037-06-02</t>
        </is>
      </c>
    </row>
    <row r="50236">
      <c r="A50236" s="1" t="n">
        <v>50235</v>
      </c>
      <c r="B50236">
        <f>TEXT(50235, "[$-0E0000]yyyy-mm-dd")</f>
        <v/>
      </c>
      <c r="C50236" t="inlineStr">
        <is>
          <t>2037-06-03</t>
        </is>
      </c>
    </row>
    <row r="50237">
      <c r="A50237" s="1" t="n">
        <v>50236</v>
      </c>
      <c r="B50237">
        <f>TEXT(50236, "[$-0E0000]yyyy-mm-dd")</f>
        <v/>
      </c>
      <c r="C50237" t="inlineStr">
        <is>
          <t>2037-06-04</t>
        </is>
      </c>
    </row>
    <row r="50238">
      <c r="A50238" s="1" t="n">
        <v>50237</v>
      </c>
      <c r="B50238">
        <f>TEXT(50237, "[$-0E0000]yyyy-mm-dd")</f>
        <v/>
      </c>
      <c r="C50238" t="inlineStr">
        <is>
          <t>2037-06-05</t>
        </is>
      </c>
    </row>
    <row r="50239">
      <c r="A50239" s="1" t="n">
        <v>50238</v>
      </c>
      <c r="B50239">
        <f>TEXT(50238, "[$-0E0000]yyyy-mm-dd")</f>
        <v/>
      </c>
      <c r="C50239" t="inlineStr">
        <is>
          <t>2037-06-06</t>
        </is>
      </c>
    </row>
    <row r="50240">
      <c r="A50240" s="1" t="n">
        <v>50239</v>
      </c>
      <c r="B50240">
        <f>TEXT(50239, "[$-0E0000]yyyy-mm-dd")</f>
        <v/>
      </c>
      <c r="C50240" t="inlineStr">
        <is>
          <t>2037-06-07</t>
        </is>
      </c>
    </row>
    <row r="50241">
      <c r="A50241" s="1" t="n">
        <v>50240</v>
      </c>
      <c r="B50241">
        <f>TEXT(50240, "[$-0E0000]yyyy-mm-dd")</f>
        <v/>
      </c>
      <c r="C50241" t="inlineStr">
        <is>
          <t>2037-06-08</t>
        </is>
      </c>
    </row>
    <row r="50242">
      <c r="A50242" s="1" t="n">
        <v>50241</v>
      </c>
      <c r="B50242">
        <f>TEXT(50241, "[$-0E0000]yyyy-mm-dd")</f>
        <v/>
      </c>
      <c r="C50242" t="inlineStr">
        <is>
          <t>2037-06-09</t>
        </is>
      </c>
    </row>
    <row r="50243">
      <c r="A50243" s="1" t="n">
        <v>50242</v>
      </c>
      <c r="B50243">
        <f>TEXT(50242, "[$-0E0000]yyyy-mm-dd")</f>
        <v/>
      </c>
      <c r="C50243" t="inlineStr">
        <is>
          <t>2037-06-10</t>
        </is>
      </c>
    </row>
    <row r="50244">
      <c r="A50244" s="1" t="n">
        <v>50243</v>
      </c>
      <c r="B50244">
        <f>TEXT(50243, "[$-0E0000]yyyy-mm-dd")</f>
        <v/>
      </c>
      <c r="C50244" t="inlineStr">
        <is>
          <t>2037-06-11</t>
        </is>
      </c>
    </row>
    <row r="50245">
      <c r="A50245" s="1" t="n">
        <v>50244</v>
      </c>
      <c r="B50245">
        <f>TEXT(50244, "[$-0E0000]yyyy-mm-dd")</f>
        <v/>
      </c>
      <c r="C50245" t="inlineStr">
        <is>
          <t>2037-06-12</t>
        </is>
      </c>
    </row>
    <row r="50246">
      <c r="A50246" s="1" t="n">
        <v>50245</v>
      </c>
      <c r="B50246">
        <f>TEXT(50245, "[$-0E0000]yyyy-mm-dd")</f>
        <v/>
      </c>
      <c r="C50246" t="inlineStr">
        <is>
          <t>2037-06-13</t>
        </is>
      </c>
    </row>
    <row r="50247">
      <c r="A50247" s="1" t="n">
        <v>50246</v>
      </c>
      <c r="B50247">
        <f>TEXT(50246, "[$-0E0000]yyyy-mm-dd")</f>
        <v/>
      </c>
      <c r="C50247" t="inlineStr">
        <is>
          <t>2037-06-14</t>
        </is>
      </c>
    </row>
    <row r="50248">
      <c r="A50248" s="1" t="n">
        <v>50247</v>
      </c>
      <c r="B50248">
        <f>TEXT(50247, "[$-0E0000]yyyy-mm-dd")</f>
        <v/>
      </c>
      <c r="C50248" t="inlineStr">
        <is>
          <t>2037-06-15</t>
        </is>
      </c>
    </row>
    <row r="50249">
      <c r="A50249" s="1" t="n">
        <v>50248</v>
      </c>
      <c r="B50249">
        <f>TEXT(50248, "[$-0E0000]yyyy-mm-dd")</f>
        <v/>
      </c>
      <c r="C50249" t="inlineStr">
        <is>
          <t>2037-06-16</t>
        </is>
      </c>
    </row>
    <row r="50250">
      <c r="A50250" s="1" t="n">
        <v>50249</v>
      </c>
      <c r="B50250">
        <f>TEXT(50249, "[$-0E0000]yyyy-mm-dd")</f>
        <v/>
      </c>
      <c r="C50250" t="inlineStr">
        <is>
          <t>2037-06-17</t>
        </is>
      </c>
    </row>
    <row r="50251">
      <c r="A50251" s="1" t="n">
        <v>50250</v>
      </c>
      <c r="B50251">
        <f>TEXT(50250, "[$-0E0000]yyyy-mm-dd")</f>
        <v/>
      </c>
      <c r="C50251" t="inlineStr">
        <is>
          <t>2037-06-18</t>
        </is>
      </c>
    </row>
    <row r="50252">
      <c r="A50252" s="1" t="n">
        <v>50251</v>
      </c>
      <c r="B50252">
        <f>TEXT(50251, "[$-0E0000]yyyy-mm-dd")</f>
        <v/>
      </c>
      <c r="C50252" t="inlineStr">
        <is>
          <t>2037-06-19</t>
        </is>
      </c>
    </row>
    <row r="50253">
      <c r="A50253" s="1" t="n">
        <v>50252</v>
      </c>
      <c r="B50253">
        <f>TEXT(50252, "[$-0E0000]yyyy-mm-dd")</f>
        <v/>
      </c>
      <c r="C50253" t="inlineStr">
        <is>
          <t>2037-06-20</t>
        </is>
      </c>
    </row>
    <row r="50254">
      <c r="A50254" s="1" t="n">
        <v>50253</v>
      </c>
      <c r="B50254">
        <f>TEXT(50253, "[$-0E0000]yyyy-mm-dd")</f>
        <v/>
      </c>
      <c r="C50254" t="inlineStr">
        <is>
          <t>2037-06-21</t>
        </is>
      </c>
    </row>
    <row r="50255">
      <c r="A50255" s="1" t="n">
        <v>50254</v>
      </c>
      <c r="B50255">
        <f>TEXT(50254, "[$-0E0000]yyyy-mm-dd")</f>
        <v/>
      </c>
      <c r="C50255" t="inlineStr">
        <is>
          <t>2037-06-22</t>
        </is>
      </c>
    </row>
    <row r="50256">
      <c r="A50256" s="1" t="n">
        <v>50255</v>
      </c>
      <c r="B50256">
        <f>TEXT(50255, "[$-0E0000]yyyy-mm-dd")</f>
        <v/>
      </c>
      <c r="C50256" t="inlineStr">
        <is>
          <t>2037-06-23</t>
        </is>
      </c>
    </row>
    <row r="50257">
      <c r="A50257" s="1" t="n">
        <v>50256</v>
      </c>
      <c r="B50257">
        <f>TEXT(50256, "[$-0E0000]yyyy-mm-dd")</f>
        <v/>
      </c>
      <c r="C50257" t="inlineStr">
        <is>
          <t>2037-06-24</t>
        </is>
      </c>
    </row>
    <row r="50258">
      <c r="A50258" s="1" t="n">
        <v>50257</v>
      </c>
      <c r="B50258">
        <f>TEXT(50257, "[$-0E0000]yyyy-mm-dd")</f>
        <v/>
      </c>
      <c r="C50258" t="inlineStr">
        <is>
          <t>2037-06-25</t>
        </is>
      </c>
    </row>
    <row r="50259">
      <c r="A50259" s="1" t="n">
        <v>50258</v>
      </c>
      <c r="B50259">
        <f>TEXT(50258, "[$-0E0000]yyyy-mm-dd")</f>
        <v/>
      </c>
      <c r="C50259" t="inlineStr">
        <is>
          <t>2037-06-26</t>
        </is>
      </c>
    </row>
    <row r="50260">
      <c r="A50260" s="1" t="n">
        <v>50259</v>
      </c>
      <c r="B50260">
        <f>TEXT(50259, "[$-0E0000]yyyy-mm-dd")</f>
        <v/>
      </c>
      <c r="C50260" t="inlineStr">
        <is>
          <t>2037-06-27</t>
        </is>
      </c>
    </row>
    <row r="50261">
      <c r="A50261" s="1" t="n">
        <v>50260</v>
      </c>
      <c r="B50261">
        <f>TEXT(50260, "[$-0E0000]yyyy-mm-dd")</f>
        <v/>
      </c>
      <c r="C50261" t="inlineStr">
        <is>
          <t>2037-06-28</t>
        </is>
      </c>
    </row>
    <row r="50262">
      <c r="A50262" s="1" t="n">
        <v>50261</v>
      </c>
      <c r="B50262">
        <f>TEXT(50261, "[$-0E0000]yyyy-mm-dd")</f>
        <v/>
      </c>
      <c r="C50262" t="inlineStr">
        <is>
          <t>2037-06-29</t>
        </is>
      </c>
    </row>
    <row r="50263">
      <c r="A50263" s="1" t="n">
        <v>50262</v>
      </c>
      <c r="B50263">
        <f>TEXT(50262, "[$-0E0000]yyyy-mm-dd")</f>
        <v/>
      </c>
      <c r="C50263" t="inlineStr">
        <is>
          <t>2037-07-01</t>
        </is>
      </c>
    </row>
    <row r="50264">
      <c r="A50264" s="1" t="n">
        <v>50263</v>
      </c>
      <c r="B50264">
        <f>TEXT(50263, "[$-0E0000]yyyy-mm-dd")</f>
        <v/>
      </c>
      <c r="C50264" t="inlineStr">
        <is>
          <t>2037-07-02</t>
        </is>
      </c>
    </row>
    <row r="50265">
      <c r="A50265" s="1" t="n">
        <v>50264</v>
      </c>
      <c r="B50265">
        <f>TEXT(50264, "[$-0E0000]yyyy-mm-dd")</f>
        <v/>
      </c>
      <c r="C50265" t="inlineStr">
        <is>
          <t>2037-07-03</t>
        </is>
      </c>
    </row>
    <row r="50266">
      <c r="A50266" s="1" t="n">
        <v>50265</v>
      </c>
      <c r="B50266">
        <f>TEXT(50265, "[$-0E0000]yyyy-mm-dd")</f>
        <v/>
      </c>
      <c r="C50266" t="inlineStr">
        <is>
          <t>2037-07-04</t>
        </is>
      </c>
    </row>
    <row r="50267">
      <c r="A50267" s="1" t="n">
        <v>50266</v>
      </c>
      <c r="B50267">
        <f>TEXT(50266, "[$-0E0000]yyyy-mm-dd")</f>
        <v/>
      </c>
      <c r="C50267" t="inlineStr">
        <is>
          <t>2037-07-05</t>
        </is>
      </c>
    </row>
    <row r="50268">
      <c r="A50268" s="1" t="n">
        <v>50267</v>
      </c>
      <c r="B50268">
        <f>TEXT(50267, "[$-0E0000]yyyy-mm-dd")</f>
        <v/>
      </c>
      <c r="C50268" t="inlineStr">
        <is>
          <t>2037-07-06</t>
        </is>
      </c>
    </row>
    <row r="50269">
      <c r="A50269" s="1" t="n">
        <v>50268</v>
      </c>
      <c r="B50269">
        <f>TEXT(50268, "[$-0E0000]yyyy-mm-dd")</f>
        <v/>
      </c>
      <c r="C50269" t="inlineStr">
        <is>
          <t>2037-07-07</t>
        </is>
      </c>
    </row>
    <row r="50270">
      <c r="A50270" s="1" t="n">
        <v>50269</v>
      </c>
      <c r="B50270">
        <f>TEXT(50269, "[$-0E0000]yyyy-mm-dd")</f>
        <v/>
      </c>
      <c r="C50270" t="inlineStr">
        <is>
          <t>2037-07-08</t>
        </is>
      </c>
    </row>
    <row r="50271">
      <c r="A50271" s="1" t="n">
        <v>50270</v>
      </c>
      <c r="B50271">
        <f>TEXT(50270, "[$-0E0000]yyyy-mm-dd")</f>
        <v/>
      </c>
      <c r="C50271" t="inlineStr">
        <is>
          <t>2037-07-09</t>
        </is>
      </c>
    </row>
    <row r="50272">
      <c r="A50272" s="1" t="n">
        <v>50271</v>
      </c>
      <c r="B50272">
        <f>TEXT(50271, "[$-0E0000]yyyy-mm-dd")</f>
        <v/>
      </c>
      <c r="C50272" t="inlineStr">
        <is>
          <t>2037-07-10</t>
        </is>
      </c>
    </row>
    <row r="50273">
      <c r="A50273" s="1" t="n">
        <v>50272</v>
      </c>
      <c r="B50273">
        <f>TEXT(50272, "[$-0E0000]yyyy-mm-dd")</f>
        <v/>
      </c>
      <c r="C50273" t="inlineStr">
        <is>
          <t>2037-07-11</t>
        </is>
      </c>
    </row>
    <row r="50274">
      <c r="A50274" s="1" t="n">
        <v>50273</v>
      </c>
      <c r="B50274">
        <f>TEXT(50273, "[$-0E0000]yyyy-mm-dd")</f>
        <v/>
      </c>
      <c r="C50274" t="inlineStr">
        <is>
          <t>2037-07-12</t>
        </is>
      </c>
    </row>
    <row r="50275">
      <c r="A50275" s="1" t="n">
        <v>50274</v>
      </c>
      <c r="B50275">
        <f>TEXT(50274, "[$-0E0000]yyyy-mm-dd")</f>
        <v/>
      </c>
      <c r="C50275" t="inlineStr">
        <is>
          <t>2037-07-13</t>
        </is>
      </c>
    </row>
    <row r="50276">
      <c r="A50276" s="1" t="n">
        <v>50275</v>
      </c>
      <c r="B50276">
        <f>TEXT(50275, "[$-0E0000]yyyy-mm-dd")</f>
        <v/>
      </c>
      <c r="C50276" t="inlineStr">
        <is>
          <t>2037-07-14</t>
        </is>
      </c>
    </row>
    <row r="50277">
      <c r="A50277" s="1" t="n">
        <v>50276</v>
      </c>
      <c r="B50277">
        <f>TEXT(50276, "[$-0E0000]yyyy-mm-dd")</f>
        <v/>
      </c>
      <c r="C50277" t="inlineStr">
        <is>
          <t>2037-07-15</t>
        </is>
      </c>
    </row>
    <row r="50278">
      <c r="A50278" s="1" t="n">
        <v>50277</v>
      </c>
      <c r="B50278">
        <f>TEXT(50277, "[$-0E0000]yyyy-mm-dd")</f>
        <v/>
      </c>
      <c r="C50278" t="inlineStr">
        <is>
          <t>2037-07-16</t>
        </is>
      </c>
    </row>
    <row r="50279">
      <c r="A50279" s="1" t="n">
        <v>50278</v>
      </c>
      <c r="B50279">
        <f>TEXT(50278, "[$-0E0000]yyyy-mm-dd")</f>
        <v/>
      </c>
      <c r="C50279" t="inlineStr">
        <is>
          <t>2037-07-17</t>
        </is>
      </c>
    </row>
    <row r="50280">
      <c r="A50280" s="1" t="n">
        <v>50279</v>
      </c>
      <c r="B50280">
        <f>TEXT(50279, "[$-0E0000]yyyy-mm-dd")</f>
        <v/>
      </c>
      <c r="C50280" t="inlineStr">
        <is>
          <t>2037-07-18</t>
        </is>
      </c>
    </row>
    <row r="50281">
      <c r="A50281" s="1" t="n">
        <v>50280</v>
      </c>
      <c r="B50281">
        <f>TEXT(50280, "[$-0E0000]yyyy-mm-dd")</f>
        <v/>
      </c>
      <c r="C50281" t="inlineStr">
        <is>
          <t>2037-07-19</t>
        </is>
      </c>
    </row>
    <row r="50282">
      <c r="A50282" s="1" t="n">
        <v>50281</v>
      </c>
      <c r="B50282">
        <f>TEXT(50281, "[$-0E0000]yyyy-mm-dd")</f>
        <v/>
      </c>
      <c r="C50282" t="inlineStr">
        <is>
          <t>2037-07-20</t>
        </is>
      </c>
    </row>
    <row r="50283">
      <c r="A50283" s="1" t="n">
        <v>50282</v>
      </c>
      <c r="B50283">
        <f>TEXT(50282, "[$-0E0000]yyyy-mm-dd")</f>
        <v/>
      </c>
      <c r="C50283" t="inlineStr">
        <is>
          <t>2037-07-21</t>
        </is>
      </c>
    </row>
    <row r="50284">
      <c r="A50284" s="1" t="n">
        <v>50283</v>
      </c>
      <c r="B50284">
        <f>TEXT(50283, "[$-0E0000]yyyy-mm-dd")</f>
        <v/>
      </c>
      <c r="C50284" t="inlineStr">
        <is>
          <t>2037-07-22</t>
        </is>
      </c>
    </row>
    <row r="50285">
      <c r="A50285" s="1" t="n">
        <v>50284</v>
      </c>
      <c r="B50285">
        <f>TEXT(50284, "[$-0E0000]yyyy-mm-dd")</f>
        <v/>
      </c>
      <c r="C50285" t="inlineStr">
        <is>
          <t>2037-07-23</t>
        </is>
      </c>
    </row>
    <row r="50286">
      <c r="A50286" s="1" t="n">
        <v>50285</v>
      </c>
      <c r="B50286">
        <f>TEXT(50285, "[$-0E0000]yyyy-mm-dd")</f>
        <v/>
      </c>
      <c r="C50286" t="inlineStr">
        <is>
          <t>2037-07-24</t>
        </is>
      </c>
    </row>
    <row r="50287">
      <c r="A50287" s="1" t="n">
        <v>50286</v>
      </c>
      <c r="B50287">
        <f>TEXT(50286, "[$-0E0000]yyyy-mm-dd")</f>
        <v/>
      </c>
      <c r="C50287" t="inlineStr">
        <is>
          <t>2037-07-25</t>
        </is>
      </c>
    </row>
    <row r="50288">
      <c r="A50288" s="1" t="n">
        <v>50287</v>
      </c>
      <c r="B50288">
        <f>TEXT(50287, "[$-0E0000]yyyy-mm-dd")</f>
        <v/>
      </c>
      <c r="C50288" t="inlineStr">
        <is>
          <t>2037-07-26</t>
        </is>
      </c>
    </row>
    <row r="50289">
      <c r="A50289" s="1" t="n">
        <v>50288</v>
      </c>
      <c r="B50289">
        <f>TEXT(50288, "[$-0E0000]yyyy-mm-dd")</f>
        <v/>
      </c>
      <c r="C50289" t="inlineStr">
        <is>
          <t>2037-07-27</t>
        </is>
      </c>
    </row>
    <row r="50290">
      <c r="A50290" s="1" t="n">
        <v>50289</v>
      </c>
      <c r="B50290">
        <f>TEXT(50289, "[$-0E0000]yyyy-mm-dd")</f>
        <v/>
      </c>
      <c r="C50290" t="inlineStr">
        <is>
          <t>2037-07-28</t>
        </is>
      </c>
    </row>
    <row r="50291">
      <c r="A50291" s="1" t="n">
        <v>50290</v>
      </c>
      <c r="B50291">
        <f>TEXT(50290, "[$-0E0000]yyyy-mm-dd")</f>
        <v/>
      </c>
      <c r="C50291" t="inlineStr">
        <is>
          <t>2037-07-29</t>
        </is>
      </c>
    </row>
    <row r="50292">
      <c r="A50292" s="1" t="n">
        <v>50291</v>
      </c>
      <c r="B50292">
        <f>TEXT(50291, "[$-0E0000]yyyy-mm-dd")</f>
        <v/>
      </c>
      <c r="C50292" t="inlineStr">
        <is>
          <t>2037-07-30</t>
        </is>
      </c>
    </row>
    <row r="50293">
      <c r="A50293" s="1" t="n">
        <v>50292</v>
      </c>
      <c r="B50293">
        <f>TEXT(50292, "[$-0E0000]yyyy-mm-dd")</f>
        <v/>
      </c>
      <c r="C50293" t="inlineStr">
        <is>
          <t>2037-08-01</t>
        </is>
      </c>
    </row>
    <row r="50294">
      <c r="A50294" s="1" t="n">
        <v>50293</v>
      </c>
      <c r="B50294">
        <f>TEXT(50293, "[$-0E0000]yyyy-mm-dd")</f>
        <v/>
      </c>
      <c r="C50294" t="inlineStr">
        <is>
          <t>2037-08-02</t>
        </is>
      </c>
    </row>
    <row r="50295">
      <c r="A50295" s="1" t="n">
        <v>50294</v>
      </c>
      <c r="B50295">
        <f>TEXT(50294, "[$-0E0000]yyyy-mm-dd")</f>
        <v/>
      </c>
      <c r="C50295" t="inlineStr">
        <is>
          <t>2037-08-03</t>
        </is>
      </c>
    </row>
    <row r="50296">
      <c r="A50296" s="1" t="n">
        <v>50295</v>
      </c>
      <c r="B50296">
        <f>TEXT(50295, "[$-0E0000]yyyy-mm-dd")</f>
        <v/>
      </c>
      <c r="C50296" t="inlineStr">
        <is>
          <t>2037-08-04</t>
        </is>
      </c>
    </row>
    <row r="50297">
      <c r="A50297" s="1" t="n">
        <v>50296</v>
      </c>
      <c r="B50297">
        <f>TEXT(50296, "[$-0E0000]yyyy-mm-dd")</f>
        <v/>
      </c>
      <c r="C50297" t="inlineStr">
        <is>
          <t>2037-08-05</t>
        </is>
      </c>
    </row>
    <row r="50298">
      <c r="A50298" s="1" t="n">
        <v>50297</v>
      </c>
      <c r="B50298">
        <f>TEXT(50297, "[$-0E0000]yyyy-mm-dd")</f>
        <v/>
      </c>
      <c r="C50298" t="inlineStr">
        <is>
          <t>2037-08-06</t>
        </is>
      </c>
    </row>
    <row r="50299">
      <c r="A50299" s="1" t="n">
        <v>50298</v>
      </c>
      <c r="B50299">
        <f>TEXT(50298, "[$-0E0000]yyyy-mm-dd")</f>
        <v/>
      </c>
      <c r="C50299" t="inlineStr">
        <is>
          <t>2037-08-07</t>
        </is>
      </c>
    </row>
    <row r="50300">
      <c r="A50300" s="1" t="n">
        <v>50299</v>
      </c>
      <c r="B50300">
        <f>TEXT(50299, "[$-0E0000]yyyy-mm-dd")</f>
        <v/>
      </c>
      <c r="C50300" t="inlineStr">
        <is>
          <t>2037-08-08</t>
        </is>
      </c>
    </row>
    <row r="50301">
      <c r="A50301" s="1" t="n">
        <v>50300</v>
      </c>
      <c r="B50301">
        <f>TEXT(50300, "[$-0E0000]yyyy-mm-dd")</f>
        <v/>
      </c>
      <c r="C50301" t="inlineStr">
        <is>
          <t>2037-08-09</t>
        </is>
      </c>
    </row>
    <row r="50302">
      <c r="A50302" s="1" t="n">
        <v>50301</v>
      </c>
      <c r="B50302">
        <f>TEXT(50301, "[$-0E0000]yyyy-mm-dd")</f>
        <v/>
      </c>
      <c r="C50302" t="inlineStr">
        <is>
          <t>2037-08-10</t>
        </is>
      </c>
    </row>
    <row r="50303">
      <c r="A50303" s="1" t="n">
        <v>50302</v>
      </c>
      <c r="B50303">
        <f>TEXT(50302, "[$-0E0000]yyyy-mm-dd")</f>
        <v/>
      </c>
      <c r="C50303" t="inlineStr">
        <is>
          <t>2037-08-11</t>
        </is>
      </c>
    </row>
    <row r="50304">
      <c r="A50304" s="1" t="n">
        <v>50303</v>
      </c>
      <c r="B50304">
        <f>TEXT(50303, "[$-0E0000]yyyy-mm-dd")</f>
        <v/>
      </c>
      <c r="C50304" t="inlineStr">
        <is>
          <t>2037-08-12</t>
        </is>
      </c>
    </row>
    <row r="50305">
      <c r="A50305" s="1" t="n">
        <v>50304</v>
      </c>
      <c r="B50305">
        <f>TEXT(50304, "[$-0E0000]yyyy-mm-dd")</f>
        <v/>
      </c>
      <c r="C50305" t="inlineStr">
        <is>
          <t>2037-08-13</t>
        </is>
      </c>
    </row>
    <row r="50306">
      <c r="A50306" s="1" t="n">
        <v>50305</v>
      </c>
      <c r="B50306">
        <f>TEXT(50305, "[$-0E0000]yyyy-mm-dd")</f>
        <v/>
      </c>
      <c r="C50306" t="inlineStr">
        <is>
          <t>2037-08-14</t>
        </is>
      </c>
    </row>
    <row r="50307">
      <c r="A50307" s="1" t="n">
        <v>50306</v>
      </c>
      <c r="B50307">
        <f>TEXT(50306, "[$-0E0000]yyyy-mm-dd")</f>
        <v/>
      </c>
      <c r="C50307" t="inlineStr">
        <is>
          <t>2037-08-15</t>
        </is>
      </c>
    </row>
    <row r="50308">
      <c r="A50308" s="1" t="n">
        <v>50307</v>
      </c>
      <c r="B50308">
        <f>TEXT(50307, "[$-0E0000]yyyy-mm-dd")</f>
        <v/>
      </c>
      <c r="C50308" t="inlineStr">
        <is>
          <t>2037-08-16</t>
        </is>
      </c>
    </row>
    <row r="50309">
      <c r="A50309" s="1" t="n">
        <v>50308</v>
      </c>
      <c r="B50309">
        <f>TEXT(50308, "[$-0E0000]yyyy-mm-dd")</f>
        <v/>
      </c>
      <c r="C50309" t="inlineStr">
        <is>
          <t>2037-08-17</t>
        </is>
      </c>
    </row>
    <row r="50310">
      <c r="A50310" s="1" t="n">
        <v>50309</v>
      </c>
      <c r="B50310">
        <f>TEXT(50309, "[$-0E0000]yyyy-mm-dd")</f>
        <v/>
      </c>
      <c r="C50310" t="inlineStr">
        <is>
          <t>2037-08-18</t>
        </is>
      </c>
    </row>
    <row r="50311">
      <c r="A50311" s="1" t="n">
        <v>50310</v>
      </c>
      <c r="B50311">
        <f>TEXT(50310, "[$-0E0000]yyyy-mm-dd")</f>
        <v/>
      </c>
      <c r="C50311" t="inlineStr">
        <is>
          <t>2037-08-19</t>
        </is>
      </c>
    </row>
    <row r="50312">
      <c r="A50312" s="1" t="n">
        <v>50311</v>
      </c>
      <c r="B50312">
        <f>TEXT(50311, "[$-0E0000]yyyy-mm-dd")</f>
        <v/>
      </c>
      <c r="C50312" t="inlineStr">
        <is>
          <t>2037-08-20</t>
        </is>
      </c>
    </row>
    <row r="50313">
      <c r="A50313" s="1" t="n">
        <v>50312</v>
      </c>
      <c r="B50313">
        <f>TEXT(50312, "[$-0E0000]yyyy-mm-dd")</f>
        <v/>
      </c>
      <c r="C50313" t="inlineStr">
        <is>
          <t>2037-08-21</t>
        </is>
      </c>
    </row>
    <row r="50314">
      <c r="A50314" s="1" t="n">
        <v>50313</v>
      </c>
      <c r="B50314">
        <f>TEXT(50313, "[$-0E0000]yyyy-mm-dd")</f>
        <v/>
      </c>
      <c r="C50314" t="inlineStr">
        <is>
          <t>2037-08-22</t>
        </is>
      </c>
    </row>
    <row r="50315">
      <c r="A50315" s="1" t="n">
        <v>50314</v>
      </c>
      <c r="B50315">
        <f>TEXT(50314, "[$-0E0000]yyyy-mm-dd")</f>
        <v/>
      </c>
      <c r="C50315" t="inlineStr">
        <is>
          <t>2037-08-23</t>
        </is>
      </c>
    </row>
    <row r="50316">
      <c r="A50316" s="1" t="n">
        <v>50315</v>
      </c>
      <c r="B50316">
        <f>TEXT(50315, "[$-0E0000]yyyy-mm-dd")</f>
        <v/>
      </c>
      <c r="C50316" t="inlineStr">
        <is>
          <t>2037-08-24</t>
        </is>
      </c>
    </row>
    <row r="50317">
      <c r="A50317" s="1" t="n">
        <v>50316</v>
      </c>
      <c r="B50317">
        <f>TEXT(50316, "[$-0E0000]yyyy-mm-dd")</f>
        <v/>
      </c>
      <c r="C50317" t="inlineStr">
        <is>
          <t>2037-08-25</t>
        </is>
      </c>
    </row>
    <row r="50318">
      <c r="A50318" s="1" t="n">
        <v>50317</v>
      </c>
      <c r="B50318">
        <f>TEXT(50317, "[$-0E0000]yyyy-mm-dd")</f>
        <v/>
      </c>
      <c r="C50318" t="inlineStr">
        <is>
          <t>2037-08-26</t>
        </is>
      </c>
    </row>
    <row r="50319">
      <c r="A50319" s="1" t="n">
        <v>50318</v>
      </c>
      <c r="B50319">
        <f>TEXT(50318, "[$-0E0000]yyyy-mm-dd")</f>
        <v/>
      </c>
      <c r="C50319" t="inlineStr">
        <is>
          <t>2037-08-27</t>
        </is>
      </c>
    </row>
    <row r="50320">
      <c r="A50320" s="1" t="n">
        <v>50319</v>
      </c>
      <c r="B50320">
        <f>TEXT(50319, "[$-0E0000]yyyy-mm-dd")</f>
        <v/>
      </c>
      <c r="C50320" t="inlineStr">
        <is>
          <t>2037-08-28</t>
        </is>
      </c>
    </row>
    <row r="50321">
      <c r="A50321" s="1" t="n">
        <v>50320</v>
      </c>
      <c r="B50321">
        <f>TEXT(50320, "[$-0E0000]yyyy-mm-dd")</f>
        <v/>
      </c>
      <c r="C50321" t="inlineStr">
        <is>
          <t>2037-08-29</t>
        </is>
      </c>
    </row>
    <row r="50322">
      <c r="A50322" s="1" t="n">
        <v>50321</v>
      </c>
      <c r="B50322">
        <f>TEXT(50321, "[$-0E0000]yyyy-mm-dd")</f>
        <v/>
      </c>
      <c r="C50322" t="inlineStr">
        <is>
          <t>2037-09-01</t>
        </is>
      </c>
    </row>
    <row r="50323">
      <c r="A50323" s="1" t="n">
        <v>50322</v>
      </c>
      <c r="B50323">
        <f>TEXT(50322, "[$-0E0000]yyyy-mm-dd")</f>
        <v/>
      </c>
      <c r="C50323" t="inlineStr">
        <is>
          <t>2037-09-02</t>
        </is>
      </c>
    </row>
    <row r="50324">
      <c r="A50324" s="1" t="n">
        <v>50323</v>
      </c>
      <c r="B50324">
        <f>TEXT(50323, "[$-0E0000]yyyy-mm-dd")</f>
        <v/>
      </c>
      <c r="C50324" t="inlineStr">
        <is>
          <t>2037-09-03</t>
        </is>
      </c>
    </row>
    <row r="50325">
      <c r="A50325" s="1" t="n">
        <v>50324</v>
      </c>
      <c r="B50325">
        <f>TEXT(50324, "[$-0E0000]yyyy-mm-dd")</f>
        <v/>
      </c>
      <c r="C50325" t="inlineStr">
        <is>
          <t>2037-09-04</t>
        </is>
      </c>
    </row>
    <row r="50326">
      <c r="A50326" s="1" t="n">
        <v>50325</v>
      </c>
      <c r="B50326">
        <f>TEXT(50325, "[$-0E0000]yyyy-mm-dd")</f>
        <v/>
      </c>
      <c r="C50326" t="inlineStr">
        <is>
          <t>2037-09-05</t>
        </is>
      </c>
    </row>
    <row r="50327">
      <c r="A50327" s="1" t="n">
        <v>50326</v>
      </c>
      <c r="B50327">
        <f>TEXT(50326, "[$-0E0000]yyyy-mm-dd")</f>
        <v/>
      </c>
      <c r="C50327" t="inlineStr">
        <is>
          <t>2037-09-06</t>
        </is>
      </c>
    </row>
    <row r="50328">
      <c r="A50328" s="1" t="n">
        <v>50327</v>
      </c>
      <c r="B50328">
        <f>TEXT(50327, "[$-0E0000]yyyy-mm-dd")</f>
        <v/>
      </c>
      <c r="C50328" t="inlineStr">
        <is>
          <t>2037-09-07</t>
        </is>
      </c>
    </row>
    <row r="50329">
      <c r="A50329" s="1" t="n">
        <v>50328</v>
      </c>
      <c r="B50329">
        <f>TEXT(50328, "[$-0E0000]yyyy-mm-dd")</f>
        <v/>
      </c>
      <c r="C50329" t="inlineStr">
        <is>
          <t>2037-09-08</t>
        </is>
      </c>
    </row>
    <row r="50330">
      <c r="A50330" s="1" t="n">
        <v>50329</v>
      </c>
      <c r="B50330">
        <f>TEXT(50329, "[$-0E0000]yyyy-mm-dd")</f>
        <v/>
      </c>
      <c r="C50330" t="inlineStr">
        <is>
          <t>2037-09-09</t>
        </is>
      </c>
    </row>
    <row r="50331">
      <c r="A50331" s="1" t="n">
        <v>50330</v>
      </c>
      <c r="B50331">
        <f>TEXT(50330, "[$-0E0000]yyyy-mm-dd")</f>
        <v/>
      </c>
      <c r="C50331" t="inlineStr">
        <is>
          <t>2037-09-10</t>
        </is>
      </c>
    </row>
    <row r="50332">
      <c r="A50332" s="1" t="n">
        <v>50331</v>
      </c>
      <c r="B50332">
        <f>TEXT(50331, "[$-0E0000]yyyy-mm-dd")</f>
        <v/>
      </c>
      <c r="C50332" t="inlineStr">
        <is>
          <t>2037-09-11</t>
        </is>
      </c>
    </row>
    <row r="50333">
      <c r="A50333" s="1" t="n">
        <v>50332</v>
      </c>
      <c r="B50333">
        <f>TEXT(50332, "[$-0E0000]yyyy-mm-dd")</f>
        <v/>
      </c>
      <c r="C50333" t="inlineStr">
        <is>
          <t>2037-09-12</t>
        </is>
      </c>
    </row>
    <row r="50334">
      <c r="A50334" s="1" t="n">
        <v>50333</v>
      </c>
      <c r="B50334">
        <f>TEXT(50333, "[$-0E0000]yyyy-mm-dd")</f>
        <v/>
      </c>
      <c r="C50334" t="inlineStr">
        <is>
          <t>2037-09-13</t>
        </is>
      </c>
    </row>
    <row r="50335">
      <c r="A50335" s="1" t="n">
        <v>50334</v>
      </c>
      <c r="B50335">
        <f>TEXT(50334, "[$-0E0000]yyyy-mm-dd")</f>
        <v/>
      </c>
      <c r="C50335" t="inlineStr">
        <is>
          <t>2037-09-14</t>
        </is>
      </c>
    </row>
    <row r="50336">
      <c r="A50336" s="1" t="n">
        <v>50335</v>
      </c>
      <c r="B50336">
        <f>TEXT(50335, "[$-0E0000]yyyy-mm-dd")</f>
        <v/>
      </c>
      <c r="C50336" t="inlineStr">
        <is>
          <t>2037-09-15</t>
        </is>
      </c>
    </row>
    <row r="50337">
      <c r="A50337" s="1" t="n">
        <v>50336</v>
      </c>
      <c r="B50337">
        <f>TEXT(50336, "[$-0E0000]yyyy-mm-dd")</f>
        <v/>
      </c>
      <c r="C50337" t="inlineStr">
        <is>
          <t>2037-09-16</t>
        </is>
      </c>
    </row>
    <row r="50338">
      <c r="A50338" s="1" t="n">
        <v>50337</v>
      </c>
      <c r="B50338">
        <f>TEXT(50337, "[$-0E0000]yyyy-mm-dd")</f>
        <v/>
      </c>
      <c r="C50338" t="inlineStr">
        <is>
          <t>2037-09-17</t>
        </is>
      </c>
    </row>
    <row r="50339">
      <c r="A50339" s="1" t="n">
        <v>50338</v>
      </c>
      <c r="B50339">
        <f>TEXT(50338, "[$-0E0000]yyyy-mm-dd")</f>
        <v/>
      </c>
      <c r="C50339" t="inlineStr">
        <is>
          <t>2037-09-18</t>
        </is>
      </c>
    </row>
    <row r="50340">
      <c r="A50340" s="1" t="n">
        <v>50339</v>
      </c>
      <c r="B50340">
        <f>TEXT(50339, "[$-0E0000]yyyy-mm-dd")</f>
        <v/>
      </c>
      <c r="C50340" t="inlineStr">
        <is>
          <t>2037-09-19</t>
        </is>
      </c>
    </row>
    <row r="50341">
      <c r="A50341" s="1" t="n">
        <v>50340</v>
      </c>
      <c r="B50341">
        <f>TEXT(50340, "[$-0E0000]yyyy-mm-dd")</f>
        <v/>
      </c>
      <c r="C50341" t="inlineStr">
        <is>
          <t>2037-09-20</t>
        </is>
      </c>
    </row>
    <row r="50342">
      <c r="A50342" s="1" t="n">
        <v>50341</v>
      </c>
      <c r="B50342">
        <f>TEXT(50341, "[$-0E0000]yyyy-mm-dd")</f>
        <v/>
      </c>
      <c r="C50342" t="inlineStr">
        <is>
          <t>2037-09-21</t>
        </is>
      </c>
    </row>
    <row r="50343">
      <c r="A50343" s="1" t="n">
        <v>50342</v>
      </c>
      <c r="B50343">
        <f>TEXT(50342, "[$-0E0000]yyyy-mm-dd")</f>
        <v/>
      </c>
      <c r="C50343" t="inlineStr">
        <is>
          <t>2037-09-22</t>
        </is>
      </c>
    </row>
    <row r="50344">
      <c r="A50344" s="1" t="n">
        <v>50343</v>
      </c>
      <c r="B50344">
        <f>TEXT(50343, "[$-0E0000]yyyy-mm-dd")</f>
        <v/>
      </c>
      <c r="C50344" t="inlineStr">
        <is>
          <t>2037-09-23</t>
        </is>
      </c>
    </row>
    <row r="50345">
      <c r="A50345" s="1" t="n">
        <v>50344</v>
      </c>
      <c r="B50345">
        <f>TEXT(50344, "[$-0E0000]yyyy-mm-dd")</f>
        <v/>
      </c>
      <c r="C50345" t="inlineStr">
        <is>
          <t>2037-09-24</t>
        </is>
      </c>
    </row>
    <row r="50346">
      <c r="A50346" s="1" t="n">
        <v>50345</v>
      </c>
      <c r="B50346">
        <f>TEXT(50345, "[$-0E0000]yyyy-mm-dd")</f>
        <v/>
      </c>
      <c r="C50346" t="inlineStr">
        <is>
          <t>2037-09-25</t>
        </is>
      </c>
    </row>
    <row r="50347">
      <c r="A50347" s="1" t="n">
        <v>50346</v>
      </c>
      <c r="B50347">
        <f>TEXT(50346, "[$-0E0000]yyyy-mm-dd")</f>
        <v/>
      </c>
      <c r="C50347" t="inlineStr">
        <is>
          <t>2037-09-26</t>
        </is>
      </c>
    </row>
    <row r="50348">
      <c r="A50348" s="1" t="n">
        <v>50347</v>
      </c>
      <c r="B50348">
        <f>TEXT(50347, "[$-0E0000]yyyy-mm-dd")</f>
        <v/>
      </c>
      <c r="C50348" t="inlineStr">
        <is>
          <t>2037-09-27</t>
        </is>
      </c>
    </row>
    <row r="50349">
      <c r="A50349" s="1" t="n">
        <v>50348</v>
      </c>
      <c r="B50349">
        <f>TEXT(50348, "[$-0E0000]yyyy-mm-dd")</f>
        <v/>
      </c>
      <c r="C50349" t="inlineStr">
        <is>
          <t>2037-09-28</t>
        </is>
      </c>
    </row>
    <row r="50350">
      <c r="A50350" s="1" t="n">
        <v>50349</v>
      </c>
      <c r="B50350">
        <f>TEXT(50349, "[$-0E0000]yyyy-mm-dd")</f>
        <v/>
      </c>
      <c r="C50350" t="inlineStr">
        <is>
          <t>2037-09-29</t>
        </is>
      </c>
    </row>
    <row r="50351">
      <c r="A50351" s="1" t="n">
        <v>50350</v>
      </c>
      <c r="B50351">
        <f>TEXT(50350, "[$-0E0000]yyyy-mm-dd")</f>
        <v/>
      </c>
      <c r="C50351" t="inlineStr">
        <is>
          <t>2037-10-01</t>
        </is>
      </c>
    </row>
    <row r="50352">
      <c r="A50352" s="1" t="n">
        <v>50351</v>
      </c>
      <c r="B50352">
        <f>TEXT(50351, "[$-0E0000]yyyy-mm-dd")</f>
        <v/>
      </c>
      <c r="C50352" t="inlineStr">
        <is>
          <t>2037-10-02</t>
        </is>
      </c>
    </row>
    <row r="50353">
      <c r="A50353" s="1" t="n">
        <v>50352</v>
      </c>
      <c r="B50353">
        <f>TEXT(50352, "[$-0E0000]yyyy-mm-dd")</f>
        <v/>
      </c>
      <c r="C50353" t="inlineStr">
        <is>
          <t>2037-10-03</t>
        </is>
      </c>
    </row>
    <row r="50354">
      <c r="A50354" s="1" t="n">
        <v>50353</v>
      </c>
      <c r="B50354">
        <f>TEXT(50353, "[$-0E0000]yyyy-mm-dd")</f>
        <v/>
      </c>
      <c r="C50354" t="inlineStr">
        <is>
          <t>2037-10-04</t>
        </is>
      </c>
    </row>
    <row r="50355">
      <c r="A50355" s="1" t="n">
        <v>50354</v>
      </c>
      <c r="B50355">
        <f>TEXT(50354, "[$-0E0000]yyyy-mm-dd")</f>
        <v/>
      </c>
      <c r="C50355" t="inlineStr">
        <is>
          <t>2037-10-05</t>
        </is>
      </c>
    </row>
    <row r="50356">
      <c r="A50356" s="1" t="n">
        <v>50355</v>
      </c>
      <c r="B50356">
        <f>TEXT(50355, "[$-0E0000]yyyy-mm-dd")</f>
        <v/>
      </c>
      <c r="C50356" t="inlineStr">
        <is>
          <t>2037-10-06</t>
        </is>
      </c>
    </row>
    <row r="50357">
      <c r="A50357" s="1" t="n">
        <v>50356</v>
      </c>
      <c r="B50357">
        <f>TEXT(50356, "[$-0E0000]yyyy-mm-dd")</f>
        <v/>
      </c>
      <c r="C50357" t="inlineStr">
        <is>
          <t>2037-10-07</t>
        </is>
      </c>
    </row>
    <row r="50358">
      <c r="A50358" s="1" t="n">
        <v>50357</v>
      </c>
      <c r="B50358">
        <f>TEXT(50357, "[$-0E0000]yyyy-mm-dd")</f>
        <v/>
      </c>
      <c r="C50358" t="inlineStr">
        <is>
          <t>2037-10-08</t>
        </is>
      </c>
    </row>
    <row r="50359">
      <c r="A50359" s="1" t="n">
        <v>50358</v>
      </c>
      <c r="B50359">
        <f>TEXT(50358, "[$-0E0000]yyyy-mm-dd")</f>
        <v/>
      </c>
      <c r="C50359" t="inlineStr">
        <is>
          <t>2037-10-09</t>
        </is>
      </c>
    </row>
    <row r="50360">
      <c r="A50360" s="1" t="n">
        <v>50359</v>
      </c>
      <c r="B50360">
        <f>TEXT(50359, "[$-0E0000]yyyy-mm-dd")</f>
        <v/>
      </c>
      <c r="C50360" t="inlineStr">
        <is>
          <t>2037-10-10</t>
        </is>
      </c>
    </row>
    <row r="50361">
      <c r="A50361" s="1" t="n">
        <v>50360</v>
      </c>
      <c r="B50361">
        <f>TEXT(50360, "[$-0E0000]yyyy-mm-dd")</f>
        <v/>
      </c>
      <c r="C50361" t="inlineStr">
        <is>
          <t>2037-10-11</t>
        </is>
      </c>
    </row>
    <row r="50362">
      <c r="A50362" s="1" t="n">
        <v>50361</v>
      </c>
      <c r="B50362">
        <f>TEXT(50361, "[$-0E0000]yyyy-mm-dd")</f>
        <v/>
      </c>
      <c r="C50362" t="inlineStr">
        <is>
          <t>2037-10-12</t>
        </is>
      </c>
    </row>
    <row r="50363">
      <c r="A50363" s="1" t="n">
        <v>50362</v>
      </c>
      <c r="B50363">
        <f>TEXT(50362, "[$-0E0000]yyyy-mm-dd")</f>
        <v/>
      </c>
      <c r="C50363" t="inlineStr">
        <is>
          <t>2037-10-13</t>
        </is>
      </c>
    </row>
    <row r="50364">
      <c r="A50364" s="1" t="n">
        <v>50363</v>
      </c>
      <c r="B50364">
        <f>TEXT(50363, "[$-0E0000]yyyy-mm-dd")</f>
        <v/>
      </c>
      <c r="C50364" t="inlineStr">
        <is>
          <t>2037-10-14</t>
        </is>
      </c>
    </row>
    <row r="50365">
      <c r="A50365" s="1" t="n">
        <v>50364</v>
      </c>
      <c r="B50365">
        <f>TEXT(50364, "[$-0E0000]yyyy-mm-dd")</f>
        <v/>
      </c>
      <c r="C50365" t="inlineStr">
        <is>
          <t>2037-10-15</t>
        </is>
      </c>
    </row>
    <row r="50366">
      <c r="A50366" s="1" t="n">
        <v>50365</v>
      </c>
      <c r="B50366">
        <f>TEXT(50365, "[$-0E0000]yyyy-mm-dd")</f>
        <v/>
      </c>
      <c r="C50366" t="inlineStr">
        <is>
          <t>2037-10-16</t>
        </is>
      </c>
    </row>
    <row r="50367">
      <c r="A50367" s="1" t="n">
        <v>50366</v>
      </c>
      <c r="B50367">
        <f>TEXT(50366, "[$-0E0000]yyyy-mm-dd")</f>
        <v/>
      </c>
      <c r="C50367" t="inlineStr">
        <is>
          <t>2037-10-17</t>
        </is>
      </c>
    </row>
    <row r="50368">
      <c r="A50368" s="1" t="n">
        <v>50367</v>
      </c>
      <c r="B50368">
        <f>TEXT(50367, "[$-0E0000]yyyy-mm-dd")</f>
        <v/>
      </c>
      <c r="C50368" t="inlineStr">
        <is>
          <t>2037-10-18</t>
        </is>
      </c>
    </row>
    <row r="50369">
      <c r="A50369" s="1" t="n">
        <v>50368</v>
      </c>
      <c r="B50369">
        <f>TEXT(50368, "[$-0E0000]yyyy-mm-dd")</f>
        <v/>
      </c>
      <c r="C50369" t="inlineStr">
        <is>
          <t>2037-10-19</t>
        </is>
      </c>
    </row>
    <row r="50370">
      <c r="A50370" s="1" t="n">
        <v>50369</v>
      </c>
      <c r="B50370">
        <f>TEXT(50369, "[$-0E0000]yyyy-mm-dd")</f>
        <v/>
      </c>
      <c r="C50370" t="inlineStr">
        <is>
          <t>2037-10-20</t>
        </is>
      </c>
    </row>
    <row r="50371">
      <c r="A50371" s="1" t="n">
        <v>50370</v>
      </c>
      <c r="B50371">
        <f>TEXT(50370, "[$-0E0000]yyyy-mm-dd")</f>
        <v/>
      </c>
      <c r="C50371" t="inlineStr">
        <is>
          <t>2037-10-21</t>
        </is>
      </c>
    </row>
    <row r="50372">
      <c r="A50372" s="1" t="n">
        <v>50371</v>
      </c>
      <c r="B50372">
        <f>TEXT(50371, "[$-0E0000]yyyy-mm-dd")</f>
        <v/>
      </c>
      <c r="C50372" t="inlineStr">
        <is>
          <t>2037-10-22</t>
        </is>
      </c>
    </row>
    <row r="50373">
      <c r="A50373" s="1" t="n">
        <v>50372</v>
      </c>
      <c r="B50373">
        <f>TEXT(50372, "[$-0E0000]yyyy-mm-dd")</f>
        <v/>
      </c>
      <c r="C50373" t="inlineStr">
        <is>
          <t>2037-10-23</t>
        </is>
      </c>
    </row>
    <row r="50374">
      <c r="A50374" s="1" t="n">
        <v>50373</v>
      </c>
      <c r="B50374">
        <f>TEXT(50373, "[$-0E0000]yyyy-mm-dd")</f>
        <v/>
      </c>
      <c r="C50374" t="inlineStr">
        <is>
          <t>2037-10-24</t>
        </is>
      </c>
    </row>
    <row r="50375">
      <c r="A50375" s="1" t="n">
        <v>50374</v>
      </c>
      <c r="B50375">
        <f>TEXT(50374, "[$-0E0000]yyyy-mm-dd")</f>
        <v/>
      </c>
      <c r="C50375" t="inlineStr">
        <is>
          <t>2037-10-25</t>
        </is>
      </c>
    </row>
    <row r="50376">
      <c r="A50376" s="1" t="n">
        <v>50375</v>
      </c>
      <c r="B50376">
        <f>TEXT(50375, "[$-0E0000]yyyy-mm-dd")</f>
        <v/>
      </c>
      <c r="C50376" t="inlineStr">
        <is>
          <t>2037-10-26</t>
        </is>
      </c>
    </row>
    <row r="50377">
      <c r="A50377" s="1" t="n">
        <v>50376</v>
      </c>
      <c r="B50377">
        <f>TEXT(50376, "[$-0E0000]yyyy-mm-dd")</f>
        <v/>
      </c>
      <c r="C50377" t="inlineStr">
        <is>
          <t>2037-10-27</t>
        </is>
      </c>
    </row>
    <row r="50378">
      <c r="A50378" s="1" t="n">
        <v>50377</v>
      </c>
      <c r="B50378">
        <f>TEXT(50377, "[$-0E0000]yyyy-mm-dd")</f>
        <v/>
      </c>
      <c r="C50378" t="inlineStr">
        <is>
          <t>2037-10-28</t>
        </is>
      </c>
    </row>
    <row r="50379">
      <c r="A50379" s="1" t="n">
        <v>50378</v>
      </c>
      <c r="B50379">
        <f>TEXT(50378, "[$-0E0000]yyyy-mm-dd")</f>
        <v/>
      </c>
      <c r="C50379" t="inlineStr">
        <is>
          <t>2037-10-29</t>
        </is>
      </c>
    </row>
    <row r="50380">
      <c r="A50380" s="1" t="n">
        <v>50379</v>
      </c>
      <c r="B50380">
        <f>TEXT(50379, "[$-0E0000]yyyy-mm-dd")</f>
        <v/>
      </c>
      <c r="C50380" t="inlineStr">
        <is>
          <t>2037-10-30</t>
        </is>
      </c>
    </row>
    <row r="50381">
      <c r="A50381" s="1" t="n">
        <v>50380</v>
      </c>
      <c r="B50381">
        <f>TEXT(50380, "[$-0E0000]yyyy-mm-dd")</f>
        <v/>
      </c>
      <c r="C50381" t="inlineStr">
        <is>
          <t>2037-11-01</t>
        </is>
      </c>
    </row>
    <row r="50382">
      <c r="A50382" s="1" t="n">
        <v>50381</v>
      </c>
      <c r="B50382">
        <f>TEXT(50381, "[$-0E0000]yyyy-mm-dd")</f>
        <v/>
      </c>
      <c r="C50382" t="inlineStr">
        <is>
          <t>2037-11-02</t>
        </is>
      </c>
    </row>
    <row r="50383">
      <c r="A50383" s="1" t="n">
        <v>50382</v>
      </c>
      <c r="B50383">
        <f>TEXT(50382, "[$-0E0000]yyyy-mm-dd")</f>
        <v/>
      </c>
      <c r="C50383" t="inlineStr">
        <is>
          <t>2037-11-03</t>
        </is>
      </c>
    </row>
    <row r="50384">
      <c r="A50384" s="1" t="n">
        <v>50383</v>
      </c>
      <c r="B50384">
        <f>TEXT(50383, "[$-0E0000]yyyy-mm-dd")</f>
        <v/>
      </c>
      <c r="C50384" t="inlineStr">
        <is>
          <t>2037-11-04</t>
        </is>
      </c>
    </row>
    <row r="50385">
      <c r="A50385" s="1" t="n">
        <v>50384</v>
      </c>
      <c r="B50385">
        <f>TEXT(50384, "[$-0E0000]yyyy-mm-dd")</f>
        <v/>
      </c>
      <c r="C50385" t="inlineStr">
        <is>
          <t>2037-11-05</t>
        </is>
      </c>
    </row>
    <row r="50386">
      <c r="A50386" s="1" t="n">
        <v>50385</v>
      </c>
      <c r="B50386">
        <f>TEXT(50385, "[$-0E0000]yyyy-mm-dd")</f>
        <v/>
      </c>
      <c r="C50386" t="inlineStr">
        <is>
          <t>2037-11-06</t>
        </is>
      </c>
    </row>
    <row r="50387">
      <c r="A50387" s="1" t="n">
        <v>50386</v>
      </c>
      <c r="B50387">
        <f>TEXT(50386, "[$-0E0000]yyyy-mm-dd")</f>
        <v/>
      </c>
      <c r="C50387" t="inlineStr">
        <is>
          <t>2037-11-07</t>
        </is>
      </c>
    </row>
    <row r="50388">
      <c r="A50388" s="1" t="n">
        <v>50387</v>
      </c>
      <c r="B50388">
        <f>TEXT(50387, "[$-0E0000]yyyy-mm-dd")</f>
        <v/>
      </c>
      <c r="C50388" t="inlineStr">
        <is>
          <t>2037-11-08</t>
        </is>
      </c>
    </row>
    <row r="50389">
      <c r="A50389" s="1" t="n">
        <v>50388</v>
      </c>
      <c r="B50389">
        <f>TEXT(50388, "[$-0E0000]yyyy-mm-dd")</f>
        <v/>
      </c>
      <c r="C50389" t="inlineStr">
        <is>
          <t>2037-11-09</t>
        </is>
      </c>
    </row>
    <row r="50390">
      <c r="A50390" s="1" t="n">
        <v>50389</v>
      </c>
      <c r="B50390">
        <f>TEXT(50389, "[$-0E0000]yyyy-mm-dd")</f>
        <v/>
      </c>
      <c r="C50390" t="inlineStr">
        <is>
          <t>2037-11-10</t>
        </is>
      </c>
    </row>
    <row r="50391">
      <c r="A50391" s="1" t="n">
        <v>50390</v>
      </c>
      <c r="B50391">
        <f>TEXT(50390, "[$-0E0000]yyyy-mm-dd")</f>
        <v/>
      </c>
      <c r="C50391" t="inlineStr">
        <is>
          <t>2037-11-11</t>
        </is>
      </c>
    </row>
    <row r="50392">
      <c r="A50392" s="1" t="n">
        <v>50391</v>
      </c>
      <c r="B50392">
        <f>TEXT(50391, "[$-0E0000]yyyy-mm-dd")</f>
        <v/>
      </c>
      <c r="C50392" t="inlineStr">
        <is>
          <t>2037-11-12</t>
        </is>
      </c>
    </row>
    <row r="50393">
      <c r="A50393" s="1" t="n">
        <v>50392</v>
      </c>
      <c r="B50393">
        <f>TEXT(50392, "[$-0E0000]yyyy-mm-dd")</f>
        <v/>
      </c>
      <c r="C50393" t="inlineStr">
        <is>
          <t>2037-11-13</t>
        </is>
      </c>
    </row>
    <row r="50394">
      <c r="A50394" s="1" t="n">
        <v>50393</v>
      </c>
      <c r="B50394">
        <f>TEXT(50393, "[$-0E0000]yyyy-mm-dd")</f>
        <v/>
      </c>
      <c r="C50394" t="inlineStr">
        <is>
          <t>2037-11-14</t>
        </is>
      </c>
    </row>
    <row r="50395">
      <c r="A50395" s="1" t="n">
        <v>50394</v>
      </c>
      <c r="B50395">
        <f>TEXT(50394, "[$-0E0000]yyyy-mm-dd")</f>
        <v/>
      </c>
      <c r="C50395" t="inlineStr">
        <is>
          <t>2037-11-15</t>
        </is>
      </c>
    </row>
    <row r="50396">
      <c r="A50396" s="1" t="n">
        <v>50395</v>
      </c>
      <c r="B50396">
        <f>TEXT(50395, "[$-0E0000]yyyy-mm-dd")</f>
        <v/>
      </c>
      <c r="C50396" t="inlineStr">
        <is>
          <t>2037-11-16</t>
        </is>
      </c>
    </row>
    <row r="50397">
      <c r="A50397" s="1" t="n">
        <v>50396</v>
      </c>
      <c r="B50397">
        <f>TEXT(50396, "[$-0E0000]yyyy-mm-dd")</f>
        <v/>
      </c>
      <c r="C50397" t="inlineStr">
        <is>
          <t>2037-11-17</t>
        </is>
      </c>
    </row>
    <row r="50398">
      <c r="A50398" s="1" t="n">
        <v>50397</v>
      </c>
      <c r="B50398">
        <f>TEXT(50397, "[$-0E0000]yyyy-mm-dd")</f>
        <v/>
      </c>
      <c r="C50398" t="inlineStr">
        <is>
          <t>2037-11-18</t>
        </is>
      </c>
    </row>
    <row r="50399">
      <c r="A50399" s="1" t="n">
        <v>50398</v>
      </c>
      <c r="B50399">
        <f>TEXT(50398, "[$-0E0000]yyyy-mm-dd")</f>
        <v/>
      </c>
      <c r="C50399" t="inlineStr">
        <is>
          <t>2037-11-19</t>
        </is>
      </c>
    </row>
    <row r="50400">
      <c r="A50400" s="1" t="n">
        <v>50399</v>
      </c>
      <c r="B50400">
        <f>TEXT(50399, "[$-0E0000]yyyy-mm-dd")</f>
        <v/>
      </c>
      <c r="C50400" t="inlineStr">
        <is>
          <t>2037-11-20</t>
        </is>
      </c>
    </row>
    <row r="50401">
      <c r="A50401" s="1" t="n">
        <v>50400</v>
      </c>
      <c r="B50401">
        <f>TEXT(50400, "[$-0E0000]yyyy-mm-dd")</f>
        <v/>
      </c>
      <c r="C50401" t="inlineStr">
        <is>
          <t>2037-11-21</t>
        </is>
      </c>
    </row>
    <row r="50402">
      <c r="A50402" s="1" t="n">
        <v>50401</v>
      </c>
      <c r="B50402">
        <f>TEXT(50401, "[$-0E0000]yyyy-mm-dd")</f>
        <v/>
      </c>
      <c r="C50402" t="inlineStr">
        <is>
          <t>2037-11-22</t>
        </is>
      </c>
    </row>
    <row r="50403">
      <c r="A50403" s="1" t="n">
        <v>50402</v>
      </c>
      <c r="B50403">
        <f>TEXT(50402, "[$-0E0000]yyyy-mm-dd")</f>
        <v/>
      </c>
      <c r="C50403" t="inlineStr">
        <is>
          <t>2037-11-23</t>
        </is>
      </c>
    </row>
    <row r="50404">
      <c r="A50404" s="1" t="n">
        <v>50403</v>
      </c>
      <c r="B50404">
        <f>TEXT(50403, "[$-0E0000]yyyy-mm-dd")</f>
        <v/>
      </c>
      <c r="C50404" t="inlineStr">
        <is>
          <t>2037-11-24</t>
        </is>
      </c>
    </row>
    <row r="50405">
      <c r="A50405" s="1" t="n">
        <v>50404</v>
      </c>
      <c r="B50405">
        <f>TEXT(50404, "[$-0E0000]yyyy-mm-dd")</f>
        <v/>
      </c>
      <c r="C50405" t="inlineStr">
        <is>
          <t>2037-11-25</t>
        </is>
      </c>
    </row>
    <row r="50406">
      <c r="A50406" s="1" t="n">
        <v>50405</v>
      </c>
      <c r="B50406">
        <f>TEXT(50405, "[$-0E0000]yyyy-mm-dd")</f>
        <v/>
      </c>
      <c r="C50406" t="inlineStr">
        <is>
          <t>2037-11-26</t>
        </is>
      </c>
    </row>
    <row r="50407">
      <c r="A50407" s="1" t="n">
        <v>50406</v>
      </c>
      <c r="B50407">
        <f>TEXT(50406, "[$-0E0000]yyyy-mm-dd")</f>
        <v/>
      </c>
      <c r="C50407" t="inlineStr">
        <is>
          <t>2037-11-27</t>
        </is>
      </c>
    </row>
    <row r="50408">
      <c r="A50408" s="1" t="n">
        <v>50407</v>
      </c>
      <c r="B50408">
        <f>TEXT(50407, "[$-0E0000]yyyy-mm-dd")</f>
        <v/>
      </c>
      <c r="C50408" t="inlineStr">
        <is>
          <t>2037-11-28</t>
        </is>
      </c>
    </row>
    <row r="50409">
      <c r="A50409" s="1" t="n">
        <v>50408</v>
      </c>
      <c r="B50409">
        <f>TEXT(50408, "[$-0E0000]yyyy-mm-dd")</f>
        <v/>
      </c>
      <c r="C50409" t="inlineStr">
        <is>
          <t>2037-11-29</t>
        </is>
      </c>
    </row>
    <row r="50410">
      <c r="A50410" s="1" t="n">
        <v>50409</v>
      </c>
      <c r="B50410">
        <f>TEXT(50409, "[$-0E0000]yyyy-mm-dd")</f>
        <v/>
      </c>
      <c r="C50410" t="inlineStr">
        <is>
          <t>2037-12-01</t>
        </is>
      </c>
    </row>
    <row r="50411">
      <c r="A50411" s="1" t="n">
        <v>50410</v>
      </c>
      <c r="B50411">
        <f>TEXT(50410, "[$-0E0000]yyyy-mm-dd")</f>
        <v/>
      </c>
      <c r="C50411" t="inlineStr">
        <is>
          <t>2037-12-02</t>
        </is>
      </c>
    </row>
    <row r="50412">
      <c r="A50412" s="1" t="n">
        <v>50411</v>
      </c>
      <c r="B50412">
        <f>TEXT(50411, "[$-0E0000]yyyy-mm-dd")</f>
        <v/>
      </c>
      <c r="C50412" t="inlineStr">
        <is>
          <t>2037-12-03</t>
        </is>
      </c>
    </row>
    <row r="50413">
      <c r="A50413" s="1" t="n">
        <v>50412</v>
      </c>
      <c r="B50413">
        <f>TEXT(50412, "[$-0E0000]yyyy-mm-dd")</f>
        <v/>
      </c>
      <c r="C50413" t="inlineStr">
        <is>
          <t>2037-12-04</t>
        </is>
      </c>
    </row>
    <row r="50414">
      <c r="A50414" s="1" t="n">
        <v>50413</v>
      </c>
      <c r="B50414">
        <f>TEXT(50413, "[$-0E0000]yyyy-mm-dd")</f>
        <v/>
      </c>
      <c r="C50414" t="inlineStr">
        <is>
          <t>2037-12-05</t>
        </is>
      </c>
    </row>
    <row r="50415">
      <c r="A50415" s="1" t="n">
        <v>50414</v>
      </c>
      <c r="B50415">
        <f>TEXT(50414, "[$-0E0000]yyyy-mm-dd")</f>
        <v/>
      </c>
      <c r="C50415" t="inlineStr">
        <is>
          <t>2037-12-06</t>
        </is>
      </c>
    </row>
    <row r="50416">
      <c r="A50416" s="1" t="n">
        <v>50415</v>
      </c>
      <c r="B50416">
        <f>TEXT(50415, "[$-0E0000]yyyy-mm-dd")</f>
        <v/>
      </c>
      <c r="C50416" t="inlineStr">
        <is>
          <t>2037-12-07</t>
        </is>
      </c>
    </row>
    <row r="50417">
      <c r="A50417" s="1" t="n">
        <v>50416</v>
      </c>
      <c r="B50417">
        <f>TEXT(50416, "[$-0E0000]yyyy-mm-dd")</f>
        <v/>
      </c>
      <c r="C50417" t="inlineStr">
        <is>
          <t>2037-12-08</t>
        </is>
      </c>
    </row>
    <row r="50418">
      <c r="A50418" s="1" t="n">
        <v>50417</v>
      </c>
      <c r="B50418">
        <f>TEXT(50417, "[$-0E0000]yyyy-mm-dd")</f>
        <v/>
      </c>
      <c r="C50418" t="inlineStr">
        <is>
          <t>2037-12-09</t>
        </is>
      </c>
    </row>
    <row r="50419">
      <c r="A50419" s="1" t="n">
        <v>50418</v>
      </c>
      <c r="B50419">
        <f>TEXT(50418, "[$-0E0000]yyyy-mm-dd")</f>
        <v/>
      </c>
      <c r="C50419" t="inlineStr">
        <is>
          <t>2037-12-10</t>
        </is>
      </c>
    </row>
    <row r="50420">
      <c r="A50420" s="1" t="n">
        <v>50419</v>
      </c>
      <c r="B50420">
        <f>TEXT(50419, "[$-0E0000]yyyy-mm-dd")</f>
        <v/>
      </c>
      <c r="C50420" t="inlineStr">
        <is>
          <t>2037-12-11</t>
        </is>
      </c>
    </row>
    <row r="50421">
      <c r="A50421" s="1" t="n">
        <v>50420</v>
      </c>
      <c r="B50421">
        <f>TEXT(50420, "[$-0E0000]yyyy-mm-dd")</f>
        <v/>
      </c>
      <c r="C50421" t="inlineStr">
        <is>
          <t>2037-12-12</t>
        </is>
      </c>
    </row>
    <row r="50422">
      <c r="A50422" s="1" t="n">
        <v>50421</v>
      </c>
      <c r="B50422">
        <f>TEXT(50421, "[$-0E0000]yyyy-mm-dd")</f>
        <v/>
      </c>
      <c r="C50422" t="inlineStr">
        <is>
          <t>2037-12-13</t>
        </is>
      </c>
    </row>
    <row r="50423">
      <c r="A50423" s="1" t="n">
        <v>50422</v>
      </c>
      <c r="B50423">
        <f>TEXT(50422, "[$-0E0000]yyyy-mm-dd")</f>
        <v/>
      </c>
      <c r="C50423" t="inlineStr">
        <is>
          <t>2037-12-14</t>
        </is>
      </c>
    </row>
    <row r="50424">
      <c r="A50424" s="1" t="n">
        <v>50423</v>
      </c>
      <c r="B50424">
        <f>TEXT(50423, "[$-0E0000]yyyy-mm-dd")</f>
        <v/>
      </c>
      <c r="C50424" t="inlineStr">
        <is>
          <t>2037-12-15</t>
        </is>
      </c>
    </row>
    <row r="50425">
      <c r="A50425" s="1" t="n">
        <v>50424</v>
      </c>
      <c r="B50425">
        <f>TEXT(50424, "[$-0E0000]yyyy-mm-dd")</f>
        <v/>
      </c>
      <c r="C50425" t="inlineStr">
        <is>
          <t>2037-12-16</t>
        </is>
      </c>
    </row>
    <row r="50426">
      <c r="A50426" s="1" t="n">
        <v>50425</v>
      </c>
      <c r="B50426">
        <f>TEXT(50425, "[$-0E0000]yyyy-mm-dd")</f>
        <v/>
      </c>
      <c r="C50426" t="inlineStr">
        <is>
          <t>2037-12-17</t>
        </is>
      </c>
    </row>
    <row r="50427">
      <c r="A50427" s="1" t="n">
        <v>50426</v>
      </c>
      <c r="B50427">
        <f>TEXT(50426, "[$-0E0000]yyyy-mm-dd")</f>
        <v/>
      </c>
      <c r="C50427" t="inlineStr">
        <is>
          <t>2037-12-18</t>
        </is>
      </c>
    </row>
    <row r="50428">
      <c r="A50428" s="1" t="n">
        <v>50427</v>
      </c>
      <c r="B50428">
        <f>TEXT(50427, "[$-0E0000]yyyy-mm-dd")</f>
        <v/>
      </c>
      <c r="C50428" t="inlineStr">
        <is>
          <t>2037-12-19</t>
        </is>
      </c>
    </row>
    <row r="50429">
      <c r="A50429" s="1" t="n">
        <v>50428</v>
      </c>
      <c r="B50429">
        <f>TEXT(50428, "[$-0E0000]yyyy-mm-dd")</f>
        <v/>
      </c>
      <c r="C50429" t="inlineStr">
        <is>
          <t>2037-12-20</t>
        </is>
      </c>
    </row>
    <row r="50430">
      <c r="A50430" s="1" t="n">
        <v>50429</v>
      </c>
      <c r="B50430">
        <f>TEXT(50429, "[$-0E0000]yyyy-mm-dd")</f>
        <v/>
      </c>
      <c r="C50430" t="inlineStr">
        <is>
          <t>2037-12-21</t>
        </is>
      </c>
    </row>
    <row r="50431">
      <c r="A50431" s="1" t="n">
        <v>50430</v>
      </c>
      <c r="B50431">
        <f>TEXT(50430, "[$-0E0000]yyyy-mm-dd")</f>
        <v/>
      </c>
      <c r="C50431" t="inlineStr">
        <is>
          <t>2037-12-22</t>
        </is>
      </c>
    </row>
    <row r="50432">
      <c r="A50432" s="1" t="n">
        <v>50431</v>
      </c>
      <c r="B50432">
        <f>TEXT(50431, "[$-0E0000]yyyy-mm-dd")</f>
        <v/>
      </c>
      <c r="C50432" t="inlineStr">
        <is>
          <t>2037-12-23</t>
        </is>
      </c>
    </row>
    <row r="50433">
      <c r="A50433" s="1" t="n">
        <v>50432</v>
      </c>
      <c r="B50433">
        <f>TEXT(50432, "[$-0E0000]yyyy-mm-dd")</f>
        <v/>
      </c>
      <c r="C50433" t="inlineStr">
        <is>
          <t>2037-12-24</t>
        </is>
      </c>
    </row>
    <row r="50434">
      <c r="A50434" s="1" t="n">
        <v>50433</v>
      </c>
      <c r="B50434">
        <f>TEXT(50433, "[$-0E0000]yyyy-mm-dd")</f>
        <v/>
      </c>
      <c r="C50434" t="inlineStr">
        <is>
          <t>2037-12-25</t>
        </is>
      </c>
    </row>
    <row r="50435">
      <c r="A50435" s="1" t="n">
        <v>50434</v>
      </c>
      <c r="B50435">
        <f>TEXT(50434, "[$-0E0000]yyyy-mm-dd")</f>
        <v/>
      </c>
      <c r="C50435" t="inlineStr">
        <is>
          <t>2037-12-26</t>
        </is>
      </c>
    </row>
    <row r="50436">
      <c r="A50436" s="1" t="n">
        <v>50435</v>
      </c>
      <c r="B50436">
        <f>TEXT(50435, "[$-0E0000]yyyy-mm-dd")</f>
        <v/>
      </c>
      <c r="C50436" t="inlineStr">
        <is>
          <t>2037-12-27</t>
        </is>
      </c>
    </row>
    <row r="50437">
      <c r="A50437" s="1" t="n">
        <v>50436</v>
      </c>
      <c r="B50437">
        <f>TEXT(50436, "[$-0E0000]yyyy-mm-dd")</f>
        <v/>
      </c>
      <c r="C50437" t="inlineStr">
        <is>
          <t>2037-12-28</t>
        </is>
      </c>
    </row>
    <row r="50438">
      <c r="A50438" s="1" t="n">
        <v>50437</v>
      </c>
      <c r="B50438">
        <f>TEXT(50437, "[$-0E0000]yyyy-mm-dd")</f>
        <v/>
      </c>
      <c r="C50438" t="inlineStr">
        <is>
          <t>2037-12-29</t>
        </is>
      </c>
    </row>
    <row r="50439">
      <c r="A50439" s="1" t="n">
        <v>50438</v>
      </c>
      <c r="B50439">
        <f>TEXT(50438, "[$-0E0000]yyyy-mm-dd")</f>
        <v/>
      </c>
      <c r="C50439" t="inlineStr">
        <is>
          <t>2037-12-30</t>
        </is>
      </c>
    </row>
    <row r="50440">
      <c r="A50440" s="1" t="n">
        <v>50439</v>
      </c>
      <c r="B50440">
        <f>TEXT(50439, "[$-0E0000]yyyy-mm-dd")</f>
        <v/>
      </c>
      <c r="C50440" t="inlineStr">
        <is>
          <t>2038-01-01</t>
        </is>
      </c>
    </row>
    <row r="50441">
      <c r="A50441" s="1" t="n">
        <v>50440</v>
      </c>
      <c r="B50441">
        <f>TEXT(50440, "[$-0E0000]yyyy-mm-dd")</f>
        <v/>
      </c>
      <c r="C50441" t="inlineStr">
        <is>
          <t>2038-01-02</t>
        </is>
      </c>
    </row>
    <row r="50442">
      <c r="A50442" s="1" t="n">
        <v>50441</v>
      </c>
      <c r="B50442">
        <f>TEXT(50441, "[$-0E0000]yyyy-mm-dd")</f>
        <v/>
      </c>
      <c r="C50442" t="inlineStr">
        <is>
          <t>2038-01-03</t>
        </is>
      </c>
    </row>
    <row r="50443">
      <c r="A50443" s="1" t="n">
        <v>50442</v>
      </c>
      <c r="B50443">
        <f>TEXT(50442, "[$-0E0000]yyyy-mm-dd")</f>
        <v/>
      </c>
      <c r="C50443" t="inlineStr">
        <is>
          <t>2038-01-04</t>
        </is>
      </c>
    </row>
    <row r="50444">
      <c r="A50444" s="1" t="n">
        <v>50443</v>
      </c>
      <c r="B50444">
        <f>TEXT(50443, "[$-0E0000]yyyy-mm-dd")</f>
        <v/>
      </c>
      <c r="C50444" t="inlineStr">
        <is>
          <t>2038-01-05</t>
        </is>
      </c>
    </row>
    <row r="50445">
      <c r="A50445" s="1" t="n">
        <v>50444</v>
      </c>
      <c r="B50445">
        <f>TEXT(50444, "[$-0E0000]yyyy-mm-dd")</f>
        <v/>
      </c>
      <c r="C50445" t="inlineStr">
        <is>
          <t>2038-01-06</t>
        </is>
      </c>
    </row>
    <row r="50446">
      <c r="A50446" s="1" t="n">
        <v>50445</v>
      </c>
      <c r="B50446">
        <f>TEXT(50445, "[$-0E0000]yyyy-mm-dd")</f>
        <v/>
      </c>
      <c r="C50446" t="inlineStr">
        <is>
          <t>2038-01-07</t>
        </is>
      </c>
    </row>
    <row r="50447">
      <c r="A50447" s="1" t="n">
        <v>50446</v>
      </c>
      <c r="B50447">
        <f>TEXT(50446, "[$-0E0000]yyyy-mm-dd")</f>
        <v/>
      </c>
      <c r="C50447" t="inlineStr">
        <is>
          <t>2038-01-08</t>
        </is>
      </c>
    </row>
    <row r="50448">
      <c r="A50448" s="1" t="n">
        <v>50447</v>
      </c>
      <c r="B50448">
        <f>TEXT(50447, "[$-0E0000]yyyy-mm-dd")</f>
        <v/>
      </c>
      <c r="C50448" t="inlineStr">
        <is>
          <t>2038-01-09</t>
        </is>
      </c>
    </row>
    <row r="50449">
      <c r="A50449" s="1" t="n">
        <v>50448</v>
      </c>
      <c r="B50449">
        <f>TEXT(50448, "[$-0E0000]yyyy-mm-dd")</f>
        <v/>
      </c>
      <c r="C50449" t="inlineStr">
        <is>
          <t>2038-01-10</t>
        </is>
      </c>
    </row>
    <row r="50450">
      <c r="A50450" s="1" t="n">
        <v>50449</v>
      </c>
      <c r="B50450">
        <f>TEXT(50449, "[$-0E0000]yyyy-mm-dd")</f>
        <v/>
      </c>
      <c r="C50450" t="inlineStr">
        <is>
          <t>2038-01-11</t>
        </is>
      </c>
    </row>
    <row r="50451">
      <c r="A50451" s="1" t="n">
        <v>50450</v>
      </c>
      <c r="B50451">
        <f>TEXT(50450, "[$-0E0000]yyyy-mm-dd")</f>
        <v/>
      </c>
      <c r="C50451" t="inlineStr">
        <is>
          <t>2038-01-12</t>
        </is>
      </c>
    </row>
    <row r="50452">
      <c r="A50452" s="1" t="n">
        <v>50451</v>
      </c>
      <c r="B50452">
        <f>TEXT(50451, "[$-0E0000]yyyy-mm-dd")</f>
        <v/>
      </c>
      <c r="C50452" t="inlineStr">
        <is>
          <t>2038-01-13</t>
        </is>
      </c>
    </row>
    <row r="50453">
      <c r="A50453" s="1" t="n">
        <v>50452</v>
      </c>
      <c r="B50453">
        <f>TEXT(50452, "[$-0E0000]yyyy-mm-dd")</f>
        <v/>
      </c>
      <c r="C50453" t="inlineStr">
        <is>
          <t>2038-01-14</t>
        </is>
      </c>
    </row>
    <row r="50454">
      <c r="A50454" s="1" t="n">
        <v>50453</v>
      </c>
      <c r="B50454">
        <f>TEXT(50453, "[$-0E0000]yyyy-mm-dd")</f>
        <v/>
      </c>
      <c r="C50454" t="inlineStr">
        <is>
          <t>2038-01-15</t>
        </is>
      </c>
    </row>
    <row r="50455">
      <c r="A50455" s="1" t="n">
        <v>50454</v>
      </c>
      <c r="B50455">
        <f>TEXT(50454, "[$-0E0000]yyyy-mm-dd")</f>
        <v/>
      </c>
      <c r="C50455" t="inlineStr">
        <is>
          <t>2038-01-16</t>
        </is>
      </c>
    </row>
    <row r="50456">
      <c r="A50456" s="1" t="n">
        <v>50455</v>
      </c>
      <c r="B50456">
        <f>TEXT(50455, "[$-0E0000]yyyy-mm-dd")</f>
        <v/>
      </c>
      <c r="C50456" t="inlineStr">
        <is>
          <t>2038-01-17</t>
        </is>
      </c>
    </row>
    <row r="50457">
      <c r="A50457" s="1" t="n">
        <v>50456</v>
      </c>
      <c r="B50457">
        <f>TEXT(50456, "[$-0E0000]yyyy-mm-dd")</f>
        <v/>
      </c>
      <c r="C50457" t="inlineStr">
        <is>
          <t>2038-01-18</t>
        </is>
      </c>
    </row>
    <row r="50458">
      <c r="A50458" s="1" t="n">
        <v>50457</v>
      </c>
      <c r="B50458">
        <f>TEXT(50457, "[$-0E0000]yyyy-mm-dd")</f>
        <v/>
      </c>
      <c r="C50458" t="inlineStr">
        <is>
          <t>2038-01-19</t>
        </is>
      </c>
    </row>
    <row r="50459">
      <c r="A50459" s="1" t="n">
        <v>50458</v>
      </c>
      <c r="B50459">
        <f>TEXT(50458, "[$-0E0000]yyyy-mm-dd")</f>
        <v/>
      </c>
      <c r="C50459" t="inlineStr">
        <is>
          <t>2038-01-20</t>
        </is>
      </c>
    </row>
    <row r="50460">
      <c r="A50460" s="1" t="n">
        <v>50459</v>
      </c>
      <c r="B50460">
        <f>TEXT(50459, "[$-0E0000]yyyy-mm-dd")</f>
        <v/>
      </c>
      <c r="C50460" t="inlineStr">
        <is>
          <t>2038-01-21</t>
        </is>
      </c>
    </row>
    <row r="50461">
      <c r="A50461" s="1" t="n">
        <v>50460</v>
      </c>
      <c r="B50461">
        <f>TEXT(50460, "[$-0E0000]yyyy-mm-dd")</f>
        <v/>
      </c>
      <c r="C50461" t="inlineStr">
        <is>
          <t>2038-01-22</t>
        </is>
      </c>
    </row>
    <row r="50462">
      <c r="A50462" s="1" t="n">
        <v>50461</v>
      </c>
      <c r="B50462">
        <f>TEXT(50461, "[$-0E0000]yyyy-mm-dd")</f>
        <v/>
      </c>
      <c r="C50462" t="inlineStr">
        <is>
          <t>2038-01-23</t>
        </is>
      </c>
    </row>
    <row r="50463">
      <c r="A50463" s="1" t="n">
        <v>50462</v>
      </c>
      <c r="B50463">
        <f>TEXT(50462, "[$-0E0000]yyyy-mm-dd")</f>
        <v/>
      </c>
      <c r="C50463" t="inlineStr">
        <is>
          <t>2038-01-24</t>
        </is>
      </c>
    </row>
    <row r="50464">
      <c r="A50464" s="1" t="n">
        <v>50463</v>
      </c>
      <c r="B50464">
        <f>TEXT(50463, "[$-0E0000]yyyy-mm-dd")</f>
        <v/>
      </c>
      <c r="C50464" t="inlineStr">
        <is>
          <t>2038-01-25</t>
        </is>
      </c>
    </row>
    <row r="50465">
      <c r="A50465" s="1" t="n">
        <v>50464</v>
      </c>
      <c r="B50465">
        <f>TEXT(50464, "[$-0E0000]yyyy-mm-dd")</f>
        <v/>
      </c>
      <c r="C50465" t="inlineStr">
        <is>
          <t>2038-01-26</t>
        </is>
      </c>
    </row>
    <row r="50466">
      <c r="A50466" s="1" t="n">
        <v>50465</v>
      </c>
      <c r="B50466">
        <f>TEXT(50465, "[$-0E0000]yyyy-mm-dd")</f>
        <v/>
      </c>
      <c r="C50466" t="inlineStr">
        <is>
          <t>2038-01-27</t>
        </is>
      </c>
    </row>
    <row r="50467">
      <c r="A50467" s="1" t="n">
        <v>50466</v>
      </c>
      <c r="B50467">
        <f>TEXT(50466, "[$-0E0000]yyyy-mm-dd")</f>
        <v/>
      </c>
      <c r="C50467" t="inlineStr">
        <is>
          <t>2038-01-28</t>
        </is>
      </c>
    </row>
    <row r="50468">
      <c r="A50468" s="1" t="n">
        <v>50467</v>
      </c>
      <c r="B50468">
        <f>TEXT(50467, "[$-0E0000]yyyy-mm-dd")</f>
        <v/>
      </c>
      <c r="C50468" t="inlineStr">
        <is>
          <t>2038-01-29</t>
        </is>
      </c>
    </row>
    <row r="50469">
      <c r="A50469" s="1" t="n">
        <v>50468</v>
      </c>
      <c r="B50469">
        <f>TEXT(50468, "[$-0E0000]yyyy-mm-dd")</f>
        <v/>
      </c>
      <c r="C50469" t="inlineStr">
        <is>
          <t>2038-01-30</t>
        </is>
      </c>
    </row>
    <row r="50470">
      <c r="A50470" s="1" t="n">
        <v>50469</v>
      </c>
      <c r="B50470">
        <f>TEXT(50469, "[$-0E0000]yyyy-mm-dd")</f>
        <v/>
      </c>
      <c r="C50470" t="inlineStr">
        <is>
          <t>2038-02-01</t>
        </is>
      </c>
    </row>
    <row r="50471">
      <c r="A50471" s="1" t="n">
        <v>50470</v>
      </c>
      <c r="B50471">
        <f>TEXT(50470, "[$-0E0000]yyyy-mm-dd")</f>
        <v/>
      </c>
      <c r="C50471" t="inlineStr">
        <is>
          <t>2038-02-02</t>
        </is>
      </c>
    </row>
    <row r="50472">
      <c r="A50472" s="1" t="n">
        <v>50471</v>
      </c>
      <c r="B50472">
        <f>TEXT(50471, "[$-0E0000]yyyy-mm-dd")</f>
        <v/>
      </c>
      <c r="C50472" t="inlineStr">
        <is>
          <t>2038-02-03</t>
        </is>
      </c>
    </row>
    <row r="50473">
      <c r="A50473" s="1" t="n">
        <v>50472</v>
      </c>
      <c r="B50473">
        <f>TEXT(50472, "[$-0E0000]yyyy-mm-dd")</f>
        <v/>
      </c>
      <c r="C50473" t="inlineStr">
        <is>
          <t>2038-02-04</t>
        </is>
      </c>
    </row>
    <row r="50474">
      <c r="A50474" s="1" t="n">
        <v>50473</v>
      </c>
      <c r="B50474">
        <f>TEXT(50473, "[$-0E0000]yyyy-mm-dd")</f>
        <v/>
      </c>
      <c r="C50474" t="inlineStr">
        <is>
          <t>2038-02-05</t>
        </is>
      </c>
    </row>
    <row r="50475">
      <c r="A50475" s="1" t="n">
        <v>50474</v>
      </c>
      <c r="B50475">
        <f>TEXT(50474, "[$-0E0000]yyyy-mm-dd")</f>
        <v/>
      </c>
      <c r="C50475" t="inlineStr">
        <is>
          <t>2038-02-06</t>
        </is>
      </c>
    </row>
    <row r="50476">
      <c r="A50476" s="1" t="n">
        <v>50475</v>
      </c>
      <c r="B50476">
        <f>TEXT(50475, "[$-0E0000]yyyy-mm-dd")</f>
        <v/>
      </c>
      <c r="C50476" t="inlineStr">
        <is>
          <t>2038-02-07</t>
        </is>
      </c>
    </row>
    <row r="50477">
      <c r="A50477" s="1" t="n">
        <v>50476</v>
      </c>
      <c r="B50477">
        <f>TEXT(50476, "[$-0E0000]yyyy-mm-dd")</f>
        <v/>
      </c>
      <c r="C50477" t="inlineStr">
        <is>
          <t>2038-02-08</t>
        </is>
      </c>
    </row>
    <row r="50478">
      <c r="A50478" s="1" t="n">
        <v>50477</v>
      </c>
      <c r="B50478">
        <f>TEXT(50477, "[$-0E0000]yyyy-mm-dd")</f>
        <v/>
      </c>
      <c r="C50478" t="inlineStr">
        <is>
          <t>2038-02-09</t>
        </is>
      </c>
    </row>
    <row r="50479">
      <c r="A50479" s="1" t="n">
        <v>50478</v>
      </c>
      <c r="B50479">
        <f>TEXT(50478, "[$-0E0000]yyyy-mm-dd")</f>
        <v/>
      </c>
      <c r="C50479" t="inlineStr">
        <is>
          <t>2038-02-10</t>
        </is>
      </c>
    </row>
    <row r="50480">
      <c r="A50480" s="1" t="n">
        <v>50479</v>
      </c>
      <c r="B50480">
        <f>TEXT(50479, "[$-0E0000]yyyy-mm-dd")</f>
        <v/>
      </c>
      <c r="C50480" t="inlineStr">
        <is>
          <t>2038-02-11</t>
        </is>
      </c>
    </row>
    <row r="50481">
      <c r="A50481" s="1" t="n">
        <v>50480</v>
      </c>
      <c r="B50481">
        <f>TEXT(50480, "[$-0E0000]yyyy-mm-dd")</f>
        <v/>
      </c>
      <c r="C50481" t="inlineStr">
        <is>
          <t>2038-02-12</t>
        </is>
      </c>
    </row>
    <row r="50482">
      <c r="A50482" s="1" t="n">
        <v>50481</v>
      </c>
      <c r="B50482">
        <f>TEXT(50481, "[$-0E0000]yyyy-mm-dd")</f>
        <v/>
      </c>
      <c r="C50482" t="inlineStr">
        <is>
          <t>2038-02-13</t>
        </is>
      </c>
    </row>
    <row r="50483">
      <c r="A50483" s="1" t="n">
        <v>50482</v>
      </c>
      <c r="B50483">
        <f>TEXT(50482, "[$-0E0000]yyyy-mm-dd")</f>
        <v/>
      </c>
      <c r="C50483" t="inlineStr">
        <is>
          <t>2038-02-14</t>
        </is>
      </c>
    </row>
    <row r="50484">
      <c r="A50484" s="1" t="n">
        <v>50483</v>
      </c>
      <c r="B50484">
        <f>TEXT(50483, "[$-0E0000]yyyy-mm-dd")</f>
        <v/>
      </c>
      <c r="C50484" t="inlineStr">
        <is>
          <t>2038-02-15</t>
        </is>
      </c>
    </row>
    <row r="50485">
      <c r="A50485" s="1" t="n">
        <v>50484</v>
      </c>
      <c r="B50485">
        <f>TEXT(50484, "[$-0E0000]yyyy-mm-dd")</f>
        <v/>
      </c>
      <c r="C50485" t="inlineStr">
        <is>
          <t>2038-02-16</t>
        </is>
      </c>
    </row>
    <row r="50486">
      <c r="A50486" s="1" t="n">
        <v>50485</v>
      </c>
      <c r="B50486">
        <f>TEXT(50485, "[$-0E0000]yyyy-mm-dd")</f>
        <v/>
      </c>
      <c r="C50486" t="inlineStr">
        <is>
          <t>2038-02-17</t>
        </is>
      </c>
    </row>
    <row r="50487">
      <c r="A50487" s="1" t="n">
        <v>50486</v>
      </c>
      <c r="B50487">
        <f>TEXT(50486, "[$-0E0000]yyyy-mm-dd")</f>
        <v/>
      </c>
      <c r="C50487" t="inlineStr">
        <is>
          <t>2038-02-18</t>
        </is>
      </c>
    </row>
    <row r="50488">
      <c r="A50488" s="1" t="n">
        <v>50487</v>
      </c>
      <c r="B50488">
        <f>TEXT(50487, "[$-0E0000]yyyy-mm-dd")</f>
        <v/>
      </c>
      <c r="C50488" t="inlineStr">
        <is>
          <t>2038-02-19</t>
        </is>
      </c>
    </row>
    <row r="50489">
      <c r="A50489" s="1" t="n">
        <v>50488</v>
      </c>
      <c r="B50489">
        <f>TEXT(50488, "[$-0E0000]yyyy-mm-dd")</f>
        <v/>
      </c>
      <c r="C50489" t="inlineStr">
        <is>
          <t>2038-02-20</t>
        </is>
      </c>
    </row>
    <row r="50490">
      <c r="A50490" s="1" t="n">
        <v>50489</v>
      </c>
      <c r="B50490">
        <f>TEXT(50489, "[$-0E0000]yyyy-mm-dd")</f>
        <v/>
      </c>
      <c r="C50490" t="inlineStr">
        <is>
          <t>2038-02-21</t>
        </is>
      </c>
    </row>
    <row r="50491">
      <c r="A50491" s="1" t="n">
        <v>50490</v>
      </c>
      <c r="B50491">
        <f>TEXT(50490, "[$-0E0000]yyyy-mm-dd")</f>
        <v/>
      </c>
      <c r="C50491" t="inlineStr">
        <is>
          <t>2038-02-22</t>
        </is>
      </c>
    </row>
    <row r="50492">
      <c r="A50492" s="1" t="n">
        <v>50491</v>
      </c>
      <c r="B50492">
        <f>TEXT(50491, "[$-0E0000]yyyy-mm-dd")</f>
        <v/>
      </c>
      <c r="C50492" t="inlineStr">
        <is>
          <t>2038-02-23</t>
        </is>
      </c>
    </row>
    <row r="50493">
      <c r="A50493" s="1" t="n">
        <v>50492</v>
      </c>
      <c r="B50493">
        <f>TEXT(50492, "[$-0E0000]yyyy-mm-dd")</f>
        <v/>
      </c>
      <c r="C50493" t="inlineStr">
        <is>
          <t>2038-02-24</t>
        </is>
      </c>
    </row>
    <row r="50494">
      <c r="A50494" s="1" t="n">
        <v>50493</v>
      </c>
      <c r="B50494">
        <f>TEXT(50493, "[$-0E0000]yyyy-mm-dd")</f>
        <v/>
      </c>
      <c r="C50494" t="inlineStr">
        <is>
          <t>2038-02-25</t>
        </is>
      </c>
    </row>
    <row r="50495">
      <c r="A50495" s="1" t="n">
        <v>50494</v>
      </c>
      <c r="B50495">
        <f>TEXT(50494, "[$-0E0000]yyyy-mm-dd")</f>
        <v/>
      </c>
      <c r="C50495" t="inlineStr">
        <is>
          <t>2038-02-26</t>
        </is>
      </c>
    </row>
    <row r="50496">
      <c r="A50496" s="1" t="n">
        <v>50495</v>
      </c>
      <c r="B50496">
        <f>TEXT(50495, "[$-0E0000]yyyy-mm-dd")</f>
        <v/>
      </c>
      <c r="C50496" t="inlineStr">
        <is>
          <t>2038-02-27</t>
        </is>
      </c>
    </row>
    <row r="50497">
      <c r="A50497" s="1" t="n">
        <v>50496</v>
      </c>
      <c r="B50497">
        <f>TEXT(50496, "[$-0E0000]yyyy-mm-dd")</f>
        <v/>
      </c>
      <c r="C50497" t="inlineStr">
        <is>
          <t>2038-02-28</t>
        </is>
      </c>
    </row>
    <row r="50498">
      <c r="A50498" s="1" t="n">
        <v>50497</v>
      </c>
      <c r="B50498">
        <f>TEXT(50497, "[$-0E0000]yyyy-mm-dd")</f>
        <v/>
      </c>
      <c r="C50498" t="inlineStr">
        <is>
          <t>2038-02-29</t>
        </is>
      </c>
    </row>
    <row r="50499">
      <c r="A50499" s="1" t="n">
        <v>50498</v>
      </c>
      <c r="B50499">
        <f>TEXT(50498, "[$-0E0000]yyyy-mm-dd")</f>
        <v/>
      </c>
      <c r="C50499" t="inlineStr">
        <is>
          <t>2038-02-30</t>
        </is>
      </c>
    </row>
    <row r="50500">
      <c r="A50500" s="1" t="n">
        <v>50499</v>
      </c>
      <c r="B50500">
        <f>TEXT(50499, "[$-0E0000]yyyy-mm-dd")</f>
        <v/>
      </c>
      <c r="C50500" t="inlineStr">
        <is>
          <t>2038-03-01</t>
        </is>
      </c>
    </row>
    <row r="50501">
      <c r="A50501" s="1" t="n">
        <v>50500</v>
      </c>
      <c r="B50501">
        <f>TEXT(50500, "[$-0E0000]yyyy-mm-dd")</f>
        <v/>
      </c>
      <c r="C50501" t="inlineStr">
        <is>
          <t>2038-03-02</t>
        </is>
      </c>
    </row>
    <row r="50502">
      <c r="A50502" s="1" t="n">
        <v>50501</v>
      </c>
      <c r="B50502">
        <f>TEXT(50501, "[$-0E0000]yyyy-mm-dd")</f>
        <v/>
      </c>
      <c r="C50502" t="inlineStr">
        <is>
          <t>2038-03-03</t>
        </is>
      </c>
    </row>
    <row r="50503">
      <c r="A50503" s="1" t="n">
        <v>50502</v>
      </c>
      <c r="B50503">
        <f>TEXT(50502, "[$-0E0000]yyyy-mm-dd")</f>
        <v/>
      </c>
      <c r="C50503" t="inlineStr">
        <is>
          <t>2038-03-04</t>
        </is>
      </c>
    </row>
    <row r="50504">
      <c r="A50504" s="1" t="n">
        <v>50503</v>
      </c>
      <c r="B50504">
        <f>TEXT(50503, "[$-0E0000]yyyy-mm-dd")</f>
        <v/>
      </c>
      <c r="C50504" t="inlineStr">
        <is>
          <t>2038-03-05</t>
        </is>
      </c>
    </row>
    <row r="50505">
      <c r="A50505" s="1" t="n">
        <v>50504</v>
      </c>
      <c r="B50505">
        <f>TEXT(50504, "[$-0E0000]yyyy-mm-dd")</f>
        <v/>
      </c>
      <c r="C50505" t="inlineStr">
        <is>
          <t>2038-03-06</t>
        </is>
      </c>
    </row>
    <row r="50506">
      <c r="A50506" s="1" t="n">
        <v>50505</v>
      </c>
      <c r="B50506">
        <f>TEXT(50505, "[$-0E0000]yyyy-mm-dd")</f>
        <v/>
      </c>
      <c r="C50506" t="inlineStr">
        <is>
          <t>2038-03-07</t>
        </is>
      </c>
    </row>
    <row r="50507">
      <c r="A50507" s="1" t="n">
        <v>50506</v>
      </c>
      <c r="B50507">
        <f>TEXT(50506, "[$-0E0000]yyyy-mm-dd")</f>
        <v/>
      </c>
      <c r="C50507" t="inlineStr">
        <is>
          <t>2038-03-08</t>
        </is>
      </c>
    </row>
    <row r="50508">
      <c r="A50508" s="1" t="n">
        <v>50507</v>
      </c>
      <c r="B50508">
        <f>TEXT(50507, "[$-0E0000]yyyy-mm-dd")</f>
        <v/>
      </c>
      <c r="C50508" t="inlineStr">
        <is>
          <t>2038-03-09</t>
        </is>
      </c>
    </row>
    <row r="50509">
      <c r="A50509" s="1" t="n">
        <v>50508</v>
      </c>
      <c r="B50509">
        <f>TEXT(50508, "[$-0E0000]yyyy-mm-dd")</f>
        <v/>
      </c>
      <c r="C50509" t="inlineStr">
        <is>
          <t>2038-03-10</t>
        </is>
      </c>
    </row>
    <row r="50510">
      <c r="A50510" s="1" t="n">
        <v>50509</v>
      </c>
      <c r="B50510">
        <f>TEXT(50509, "[$-0E0000]yyyy-mm-dd")</f>
        <v/>
      </c>
      <c r="C50510" t="inlineStr">
        <is>
          <t>2038-03-11</t>
        </is>
      </c>
    </row>
    <row r="50511">
      <c r="A50511" s="1" t="n">
        <v>50510</v>
      </c>
      <c r="B50511">
        <f>TEXT(50510, "[$-0E0000]yyyy-mm-dd")</f>
        <v/>
      </c>
      <c r="C50511" t="inlineStr">
        <is>
          <t>2038-03-12</t>
        </is>
      </c>
    </row>
    <row r="50512">
      <c r="A50512" s="1" t="n">
        <v>50511</v>
      </c>
      <c r="B50512">
        <f>TEXT(50511, "[$-0E0000]yyyy-mm-dd")</f>
        <v/>
      </c>
      <c r="C50512" t="inlineStr">
        <is>
          <t>2038-03-13</t>
        </is>
      </c>
    </row>
    <row r="50513">
      <c r="A50513" s="1" t="n">
        <v>50512</v>
      </c>
      <c r="B50513">
        <f>TEXT(50512, "[$-0E0000]yyyy-mm-dd")</f>
        <v/>
      </c>
      <c r="C50513" t="inlineStr">
        <is>
          <t>2038-03-14</t>
        </is>
      </c>
    </row>
    <row r="50514">
      <c r="A50514" s="1" t="n">
        <v>50513</v>
      </c>
      <c r="B50514">
        <f>TEXT(50513, "[$-0E0000]yyyy-mm-dd")</f>
        <v/>
      </c>
      <c r="C50514" t="inlineStr">
        <is>
          <t>2038-03-15</t>
        </is>
      </c>
    </row>
    <row r="50515">
      <c r="A50515" s="1" t="n">
        <v>50514</v>
      </c>
      <c r="B50515">
        <f>TEXT(50514, "[$-0E0000]yyyy-mm-dd")</f>
        <v/>
      </c>
      <c r="C50515" t="inlineStr">
        <is>
          <t>2038-03-16</t>
        </is>
      </c>
    </row>
    <row r="50516">
      <c r="A50516" s="1" t="n">
        <v>50515</v>
      </c>
      <c r="B50516">
        <f>TEXT(50515, "[$-0E0000]yyyy-mm-dd")</f>
        <v/>
      </c>
      <c r="C50516" t="inlineStr">
        <is>
          <t>2038-03-17</t>
        </is>
      </c>
    </row>
    <row r="50517">
      <c r="A50517" s="1" t="n">
        <v>50516</v>
      </c>
      <c r="B50517">
        <f>TEXT(50516, "[$-0E0000]yyyy-mm-dd")</f>
        <v/>
      </c>
      <c r="C50517" t="inlineStr">
        <is>
          <t>2038-03-18</t>
        </is>
      </c>
    </row>
    <row r="50518">
      <c r="A50518" s="1" t="n">
        <v>50517</v>
      </c>
      <c r="B50518">
        <f>TEXT(50517, "[$-0E0000]yyyy-mm-dd")</f>
        <v/>
      </c>
      <c r="C50518" t="inlineStr">
        <is>
          <t>2038-03-19</t>
        </is>
      </c>
    </row>
    <row r="50519">
      <c r="A50519" s="1" t="n">
        <v>50518</v>
      </c>
      <c r="B50519">
        <f>TEXT(50518, "[$-0E0000]yyyy-mm-dd")</f>
        <v/>
      </c>
      <c r="C50519" t="inlineStr">
        <is>
          <t>2038-03-20</t>
        </is>
      </c>
    </row>
    <row r="50520">
      <c r="A50520" s="1" t="n">
        <v>50519</v>
      </c>
      <c r="B50520">
        <f>TEXT(50519, "[$-0E0000]yyyy-mm-dd")</f>
        <v/>
      </c>
      <c r="C50520" t="inlineStr">
        <is>
          <t>2038-03-21</t>
        </is>
      </c>
    </row>
    <row r="50521">
      <c r="A50521" s="1" t="n">
        <v>50520</v>
      </c>
      <c r="B50521">
        <f>TEXT(50520, "[$-0E0000]yyyy-mm-dd")</f>
        <v/>
      </c>
      <c r="C50521" t="inlineStr">
        <is>
          <t>2038-03-22</t>
        </is>
      </c>
    </row>
    <row r="50522">
      <c r="A50522" s="1" t="n">
        <v>50521</v>
      </c>
      <c r="B50522">
        <f>TEXT(50521, "[$-0E0000]yyyy-mm-dd")</f>
        <v/>
      </c>
      <c r="C50522" t="inlineStr">
        <is>
          <t>2038-03-23</t>
        </is>
      </c>
    </row>
    <row r="50523">
      <c r="A50523" s="1" t="n">
        <v>50522</v>
      </c>
      <c r="B50523">
        <f>TEXT(50522, "[$-0E0000]yyyy-mm-dd")</f>
        <v/>
      </c>
      <c r="C50523" t="inlineStr">
        <is>
          <t>2038-03-24</t>
        </is>
      </c>
    </row>
    <row r="50524">
      <c r="A50524" s="1" t="n">
        <v>50523</v>
      </c>
      <c r="B50524">
        <f>TEXT(50523, "[$-0E0000]yyyy-mm-dd")</f>
        <v/>
      </c>
      <c r="C50524" t="inlineStr">
        <is>
          <t>2038-03-25</t>
        </is>
      </c>
    </row>
    <row r="50525">
      <c r="A50525" s="1" t="n">
        <v>50524</v>
      </c>
      <c r="B50525">
        <f>TEXT(50524, "[$-0E0000]yyyy-mm-dd")</f>
        <v/>
      </c>
      <c r="C50525" t="inlineStr">
        <is>
          <t>2038-03-26</t>
        </is>
      </c>
    </row>
    <row r="50526">
      <c r="A50526" s="1" t="n">
        <v>50525</v>
      </c>
      <c r="B50526">
        <f>TEXT(50525, "[$-0E0000]yyyy-mm-dd")</f>
        <v/>
      </c>
      <c r="C50526" t="inlineStr">
        <is>
          <t>2038-03-27</t>
        </is>
      </c>
    </row>
    <row r="50527">
      <c r="A50527" s="1" t="n">
        <v>50526</v>
      </c>
      <c r="B50527">
        <f>TEXT(50526, "[$-0E0000]yyyy-mm-dd")</f>
        <v/>
      </c>
      <c r="C50527" t="inlineStr">
        <is>
          <t>2038-03-28</t>
        </is>
      </c>
    </row>
    <row r="50528">
      <c r="A50528" s="1" t="n">
        <v>50527</v>
      </c>
      <c r="B50528">
        <f>TEXT(50527, "[$-0E0000]yyyy-mm-dd")</f>
        <v/>
      </c>
      <c r="C50528" t="inlineStr">
        <is>
          <t>2038-03-29</t>
        </is>
      </c>
    </row>
    <row r="50529">
      <c r="A50529" s="1" t="n">
        <v>50528</v>
      </c>
      <c r="B50529">
        <f>TEXT(50528, "[$-0E0000]yyyy-mm-dd")</f>
        <v/>
      </c>
      <c r="C50529" t="inlineStr">
        <is>
          <t>2038-04-01</t>
        </is>
      </c>
    </row>
    <row r="50530">
      <c r="A50530" s="1" t="n">
        <v>50529</v>
      </c>
      <c r="B50530">
        <f>TEXT(50529, "[$-0E0000]yyyy-mm-dd")</f>
        <v/>
      </c>
      <c r="C50530" t="inlineStr">
        <is>
          <t>2038-04-02</t>
        </is>
      </c>
    </row>
    <row r="50531">
      <c r="A50531" s="1" t="n">
        <v>50530</v>
      </c>
      <c r="B50531">
        <f>TEXT(50530, "[$-0E0000]yyyy-mm-dd")</f>
        <v/>
      </c>
      <c r="C50531" t="inlineStr">
        <is>
          <t>2038-04-03</t>
        </is>
      </c>
    </row>
    <row r="50532">
      <c r="A50532" s="1" t="n">
        <v>50531</v>
      </c>
      <c r="B50532">
        <f>TEXT(50531, "[$-0E0000]yyyy-mm-dd")</f>
        <v/>
      </c>
      <c r="C50532" t="inlineStr">
        <is>
          <t>2038-04-04</t>
        </is>
      </c>
    </row>
    <row r="50533">
      <c r="A50533" s="1" t="n">
        <v>50532</v>
      </c>
      <c r="B50533">
        <f>TEXT(50532, "[$-0E0000]yyyy-mm-dd")</f>
        <v/>
      </c>
      <c r="C50533" t="inlineStr">
        <is>
          <t>2038-04-05</t>
        </is>
      </c>
    </row>
    <row r="50534">
      <c r="A50534" s="1" t="n">
        <v>50533</v>
      </c>
      <c r="B50534">
        <f>TEXT(50533, "[$-0E0000]yyyy-mm-dd")</f>
        <v/>
      </c>
      <c r="C50534" t="inlineStr">
        <is>
          <t>2038-04-06</t>
        </is>
      </c>
    </row>
    <row r="50535">
      <c r="A50535" s="1" t="n">
        <v>50534</v>
      </c>
      <c r="B50535">
        <f>TEXT(50534, "[$-0E0000]yyyy-mm-dd")</f>
        <v/>
      </c>
      <c r="C50535" t="inlineStr">
        <is>
          <t>2038-04-07</t>
        </is>
      </c>
    </row>
    <row r="50536">
      <c r="A50536" s="1" t="n">
        <v>50535</v>
      </c>
      <c r="B50536">
        <f>TEXT(50535, "[$-0E0000]yyyy-mm-dd")</f>
        <v/>
      </c>
      <c r="C50536" t="inlineStr">
        <is>
          <t>2038-04-08</t>
        </is>
      </c>
    </row>
    <row r="50537">
      <c r="A50537" s="1" t="n">
        <v>50536</v>
      </c>
      <c r="B50537">
        <f>TEXT(50536, "[$-0E0000]yyyy-mm-dd")</f>
        <v/>
      </c>
      <c r="C50537" t="inlineStr">
        <is>
          <t>2038-04-09</t>
        </is>
      </c>
    </row>
    <row r="50538">
      <c r="A50538" s="1" t="n">
        <v>50537</v>
      </c>
      <c r="B50538">
        <f>TEXT(50537, "[$-0E0000]yyyy-mm-dd")</f>
        <v/>
      </c>
      <c r="C50538" t="inlineStr">
        <is>
          <t>2038-04-10</t>
        </is>
      </c>
    </row>
    <row r="50539">
      <c r="A50539" s="1" t="n">
        <v>50538</v>
      </c>
      <c r="B50539">
        <f>TEXT(50538, "[$-0E0000]yyyy-mm-dd")</f>
        <v/>
      </c>
      <c r="C50539" t="inlineStr">
        <is>
          <t>2038-04-11</t>
        </is>
      </c>
    </row>
    <row r="50540">
      <c r="A50540" s="1" t="n">
        <v>50539</v>
      </c>
      <c r="B50540">
        <f>TEXT(50539, "[$-0E0000]yyyy-mm-dd")</f>
        <v/>
      </c>
      <c r="C50540" t="inlineStr">
        <is>
          <t>2038-04-12</t>
        </is>
      </c>
    </row>
    <row r="50541">
      <c r="A50541" s="1" t="n">
        <v>50540</v>
      </c>
      <c r="B50541">
        <f>TEXT(50540, "[$-0E0000]yyyy-mm-dd")</f>
        <v/>
      </c>
      <c r="C50541" t="inlineStr">
        <is>
          <t>2038-04-13</t>
        </is>
      </c>
    </row>
    <row r="50542">
      <c r="A50542" s="1" t="n">
        <v>50541</v>
      </c>
      <c r="B50542">
        <f>TEXT(50541, "[$-0E0000]yyyy-mm-dd")</f>
        <v/>
      </c>
      <c r="C50542" t="inlineStr">
        <is>
          <t>2038-04-14</t>
        </is>
      </c>
    </row>
    <row r="50543">
      <c r="A50543" s="1" t="n">
        <v>50542</v>
      </c>
      <c r="B50543">
        <f>TEXT(50542, "[$-0E0000]yyyy-mm-dd")</f>
        <v/>
      </c>
      <c r="C50543" t="inlineStr">
        <is>
          <t>2038-04-15</t>
        </is>
      </c>
    </row>
    <row r="50544">
      <c r="A50544" s="1" t="n">
        <v>50543</v>
      </c>
      <c r="B50544">
        <f>TEXT(50543, "[$-0E0000]yyyy-mm-dd")</f>
        <v/>
      </c>
      <c r="C50544" t="inlineStr">
        <is>
          <t>2038-04-16</t>
        </is>
      </c>
    </row>
    <row r="50545">
      <c r="A50545" s="1" t="n">
        <v>50544</v>
      </c>
      <c r="B50545">
        <f>TEXT(50544, "[$-0E0000]yyyy-mm-dd")</f>
        <v/>
      </c>
      <c r="C50545" t="inlineStr">
        <is>
          <t>2038-04-17</t>
        </is>
      </c>
    </row>
    <row r="50546">
      <c r="A50546" s="1" t="n">
        <v>50545</v>
      </c>
      <c r="B50546">
        <f>TEXT(50545, "[$-0E0000]yyyy-mm-dd")</f>
        <v/>
      </c>
      <c r="C50546" t="inlineStr">
        <is>
          <t>2038-04-18</t>
        </is>
      </c>
    </row>
    <row r="50547">
      <c r="A50547" s="1" t="n">
        <v>50546</v>
      </c>
      <c r="B50547">
        <f>TEXT(50546, "[$-0E0000]yyyy-mm-dd")</f>
        <v/>
      </c>
      <c r="C50547" t="inlineStr">
        <is>
          <t>2038-04-19</t>
        </is>
      </c>
    </row>
    <row r="50548">
      <c r="A50548" s="1" t="n">
        <v>50547</v>
      </c>
      <c r="B50548">
        <f>TEXT(50547, "[$-0E0000]yyyy-mm-dd")</f>
        <v/>
      </c>
      <c r="C50548" t="inlineStr">
        <is>
          <t>2038-04-20</t>
        </is>
      </c>
    </row>
    <row r="50549">
      <c r="A50549" s="1" t="n">
        <v>50548</v>
      </c>
      <c r="B50549">
        <f>TEXT(50548, "[$-0E0000]yyyy-mm-dd")</f>
        <v/>
      </c>
      <c r="C50549" t="inlineStr">
        <is>
          <t>2038-04-21</t>
        </is>
      </c>
    </row>
    <row r="50550">
      <c r="A50550" s="1" t="n">
        <v>50549</v>
      </c>
      <c r="B50550">
        <f>TEXT(50549, "[$-0E0000]yyyy-mm-dd")</f>
        <v/>
      </c>
      <c r="C50550" t="inlineStr">
        <is>
          <t>2038-04-22</t>
        </is>
      </c>
    </row>
    <row r="50551">
      <c r="A50551" s="1" t="n">
        <v>50550</v>
      </c>
      <c r="B50551">
        <f>TEXT(50550, "[$-0E0000]yyyy-mm-dd")</f>
        <v/>
      </c>
      <c r="C50551" t="inlineStr">
        <is>
          <t>2038-04-23</t>
        </is>
      </c>
    </row>
    <row r="50552">
      <c r="A50552" s="1" t="n">
        <v>50551</v>
      </c>
      <c r="B50552">
        <f>TEXT(50551, "[$-0E0000]yyyy-mm-dd")</f>
        <v/>
      </c>
      <c r="C50552" t="inlineStr">
        <is>
          <t>2038-04-24</t>
        </is>
      </c>
    </row>
    <row r="50553">
      <c r="A50553" s="1" t="n">
        <v>50552</v>
      </c>
      <c r="B50553">
        <f>TEXT(50552, "[$-0E0000]yyyy-mm-dd")</f>
        <v/>
      </c>
      <c r="C50553" t="inlineStr">
        <is>
          <t>2038-04-25</t>
        </is>
      </c>
    </row>
    <row r="50554">
      <c r="A50554" s="1" t="n">
        <v>50553</v>
      </c>
      <c r="B50554">
        <f>TEXT(50553, "[$-0E0000]yyyy-mm-dd")</f>
        <v/>
      </c>
      <c r="C50554" t="inlineStr">
        <is>
          <t>2038-04-26</t>
        </is>
      </c>
    </row>
    <row r="50555">
      <c r="A50555" s="1" t="n">
        <v>50554</v>
      </c>
      <c r="B50555">
        <f>TEXT(50554, "[$-0E0000]yyyy-mm-dd")</f>
        <v/>
      </c>
      <c r="C50555" t="inlineStr">
        <is>
          <t>2038-04-27</t>
        </is>
      </c>
    </row>
    <row r="50556">
      <c r="A50556" s="1" t="n">
        <v>50555</v>
      </c>
      <c r="B50556">
        <f>TEXT(50555, "[$-0E0000]yyyy-mm-dd")</f>
        <v/>
      </c>
      <c r="C50556" t="inlineStr">
        <is>
          <t>2038-04-28</t>
        </is>
      </c>
    </row>
    <row r="50557">
      <c r="A50557" s="1" t="n">
        <v>50556</v>
      </c>
      <c r="B50557">
        <f>TEXT(50556, "[$-0E0000]yyyy-mm-dd")</f>
        <v/>
      </c>
      <c r="C50557" t="inlineStr">
        <is>
          <t>2038-04-29</t>
        </is>
      </c>
    </row>
    <row r="50558">
      <c r="A50558" s="1" t="n">
        <v>50557</v>
      </c>
      <c r="B50558">
        <f>TEXT(50557, "[$-0E0000]yyyy-mm-dd")</f>
        <v/>
      </c>
      <c r="C50558" t="inlineStr">
        <is>
          <t>2038-04-30</t>
        </is>
      </c>
    </row>
    <row r="50559">
      <c r="A50559" s="1" t="n">
        <v>50558</v>
      </c>
      <c r="B50559">
        <f>TEXT(50558, "[$-0E0000]yyyy-mm-dd")</f>
        <v/>
      </c>
      <c r="C50559" t="inlineStr">
        <is>
          <t>2038-05-01</t>
        </is>
      </c>
    </row>
    <row r="50560">
      <c r="A50560" s="1" t="n">
        <v>50559</v>
      </c>
      <c r="B50560">
        <f>TEXT(50559, "[$-0E0000]yyyy-mm-dd")</f>
        <v/>
      </c>
      <c r="C50560" t="inlineStr">
        <is>
          <t>2038-05-02</t>
        </is>
      </c>
    </row>
    <row r="50561">
      <c r="A50561" s="1" t="n">
        <v>50560</v>
      </c>
      <c r="B50561">
        <f>TEXT(50560, "[$-0E0000]yyyy-mm-dd")</f>
        <v/>
      </c>
      <c r="C50561" t="inlineStr">
        <is>
          <t>2038-05-03</t>
        </is>
      </c>
    </row>
    <row r="50562">
      <c r="A50562" s="1" t="n">
        <v>50561</v>
      </c>
      <c r="B50562">
        <f>TEXT(50561, "[$-0E0000]yyyy-mm-dd")</f>
        <v/>
      </c>
      <c r="C50562" t="inlineStr">
        <is>
          <t>2038-05-04</t>
        </is>
      </c>
    </row>
    <row r="50563">
      <c r="A50563" s="1" t="n">
        <v>50562</v>
      </c>
      <c r="B50563">
        <f>TEXT(50562, "[$-0E0000]yyyy-mm-dd")</f>
        <v/>
      </c>
      <c r="C50563" t="inlineStr">
        <is>
          <t>2038-05-05</t>
        </is>
      </c>
    </row>
    <row r="50564">
      <c r="A50564" s="1" t="n">
        <v>50563</v>
      </c>
      <c r="B50564">
        <f>TEXT(50563, "[$-0E0000]yyyy-mm-dd")</f>
        <v/>
      </c>
      <c r="C50564" t="inlineStr">
        <is>
          <t>2038-05-06</t>
        </is>
      </c>
    </row>
    <row r="50565">
      <c r="A50565" s="1" t="n">
        <v>50564</v>
      </c>
      <c r="B50565">
        <f>TEXT(50564, "[$-0E0000]yyyy-mm-dd")</f>
        <v/>
      </c>
      <c r="C50565" t="inlineStr">
        <is>
          <t>2038-05-07</t>
        </is>
      </c>
    </row>
    <row r="50566">
      <c r="A50566" s="1" t="n">
        <v>50565</v>
      </c>
      <c r="B50566">
        <f>TEXT(50565, "[$-0E0000]yyyy-mm-dd")</f>
        <v/>
      </c>
      <c r="C50566" t="inlineStr">
        <is>
          <t>2038-05-08</t>
        </is>
      </c>
    </row>
    <row r="50567">
      <c r="A50567" s="1" t="n">
        <v>50566</v>
      </c>
      <c r="B50567">
        <f>TEXT(50566, "[$-0E0000]yyyy-mm-dd")</f>
        <v/>
      </c>
      <c r="C50567" t="inlineStr">
        <is>
          <t>2038-05-09</t>
        </is>
      </c>
    </row>
    <row r="50568">
      <c r="A50568" s="1" t="n">
        <v>50567</v>
      </c>
      <c r="B50568">
        <f>TEXT(50567, "[$-0E0000]yyyy-mm-dd")</f>
        <v/>
      </c>
      <c r="C50568" t="inlineStr">
        <is>
          <t>2038-05-10</t>
        </is>
      </c>
    </row>
    <row r="50569">
      <c r="A50569" s="1" t="n">
        <v>50568</v>
      </c>
      <c r="B50569">
        <f>TEXT(50568, "[$-0E0000]yyyy-mm-dd")</f>
        <v/>
      </c>
      <c r="C50569" t="inlineStr">
        <is>
          <t>2038-05-11</t>
        </is>
      </c>
    </row>
    <row r="50570">
      <c r="A50570" s="1" t="n">
        <v>50569</v>
      </c>
      <c r="B50570">
        <f>TEXT(50569, "[$-0E0000]yyyy-mm-dd")</f>
        <v/>
      </c>
      <c r="C50570" t="inlineStr">
        <is>
          <t>2038-05-12</t>
        </is>
      </c>
    </row>
    <row r="50571">
      <c r="A50571" s="1" t="n">
        <v>50570</v>
      </c>
      <c r="B50571">
        <f>TEXT(50570, "[$-0E0000]yyyy-mm-dd")</f>
        <v/>
      </c>
      <c r="C50571" t="inlineStr">
        <is>
          <t>2038-05-13</t>
        </is>
      </c>
    </row>
    <row r="50572">
      <c r="A50572" s="1" t="n">
        <v>50571</v>
      </c>
      <c r="B50572">
        <f>TEXT(50571, "[$-0E0000]yyyy-mm-dd")</f>
        <v/>
      </c>
      <c r="C50572" t="inlineStr">
        <is>
          <t>2038-05-14</t>
        </is>
      </c>
    </row>
    <row r="50573">
      <c r="A50573" s="1" t="n">
        <v>50572</v>
      </c>
      <c r="B50573">
        <f>TEXT(50572, "[$-0E0000]yyyy-mm-dd")</f>
        <v/>
      </c>
      <c r="C50573" t="inlineStr">
        <is>
          <t>2038-05-15</t>
        </is>
      </c>
    </row>
    <row r="50574">
      <c r="A50574" s="1" t="n">
        <v>50573</v>
      </c>
      <c r="B50574">
        <f>TEXT(50573, "[$-0E0000]yyyy-mm-dd")</f>
        <v/>
      </c>
      <c r="C50574" t="inlineStr">
        <is>
          <t>2038-05-16</t>
        </is>
      </c>
    </row>
    <row r="50575">
      <c r="A50575" s="1" t="n">
        <v>50574</v>
      </c>
      <c r="B50575">
        <f>TEXT(50574, "[$-0E0000]yyyy-mm-dd")</f>
        <v/>
      </c>
      <c r="C50575" t="inlineStr">
        <is>
          <t>2038-05-17</t>
        </is>
      </c>
    </row>
    <row r="50576">
      <c r="A50576" s="1" t="n">
        <v>50575</v>
      </c>
      <c r="B50576">
        <f>TEXT(50575, "[$-0E0000]yyyy-mm-dd")</f>
        <v/>
      </c>
      <c r="C50576" t="inlineStr">
        <is>
          <t>2038-05-18</t>
        </is>
      </c>
    </row>
    <row r="50577">
      <c r="A50577" s="1" t="n">
        <v>50576</v>
      </c>
      <c r="B50577">
        <f>TEXT(50576, "[$-0E0000]yyyy-mm-dd")</f>
        <v/>
      </c>
      <c r="C50577" t="inlineStr">
        <is>
          <t>2038-05-19</t>
        </is>
      </c>
    </row>
    <row r="50578">
      <c r="A50578" s="1" t="n">
        <v>50577</v>
      </c>
      <c r="B50578">
        <f>TEXT(50577, "[$-0E0000]yyyy-mm-dd")</f>
        <v/>
      </c>
      <c r="C50578" t="inlineStr">
        <is>
          <t>2038-05-20</t>
        </is>
      </c>
    </row>
    <row r="50579">
      <c r="A50579" s="1" t="n">
        <v>50578</v>
      </c>
      <c r="B50579">
        <f>TEXT(50578, "[$-0E0000]yyyy-mm-dd")</f>
        <v/>
      </c>
      <c r="C50579" t="inlineStr">
        <is>
          <t>2038-05-21</t>
        </is>
      </c>
    </row>
    <row r="50580">
      <c r="A50580" s="1" t="n">
        <v>50579</v>
      </c>
      <c r="B50580">
        <f>TEXT(50579, "[$-0E0000]yyyy-mm-dd")</f>
        <v/>
      </c>
      <c r="C50580" t="inlineStr">
        <is>
          <t>2038-05-22</t>
        </is>
      </c>
    </row>
    <row r="50581">
      <c r="A50581" s="1" t="n">
        <v>50580</v>
      </c>
      <c r="B50581">
        <f>TEXT(50580, "[$-0E0000]yyyy-mm-dd")</f>
        <v/>
      </c>
      <c r="C50581" t="inlineStr">
        <is>
          <t>2038-05-23</t>
        </is>
      </c>
    </row>
    <row r="50582">
      <c r="A50582" s="1" t="n">
        <v>50581</v>
      </c>
      <c r="B50582">
        <f>TEXT(50581, "[$-0E0000]yyyy-mm-dd")</f>
        <v/>
      </c>
      <c r="C50582" t="inlineStr">
        <is>
          <t>2038-05-24</t>
        </is>
      </c>
    </row>
    <row r="50583">
      <c r="A50583" s="1" t="n">
        <v>50582</v>
      </c>
      <c r="B50583">
        <f>TEXT(50582, "[$-0E0000]yyyy-mm-dd")</f>
        <v/>
      </c>
      <c r="C50583" t="inlineStr">
        <is>
          <t>2038-05-25</t>
        </is>
      </c>
    </row>
    <row r="50584">
      <c r="A50584" s="1" t="n">
        <v>50583</v>
      </c>
      <c r="B50584">
        <f>TEXT(50583, "[$-0E0000]yyyy-mm-dd")</f>
        <v/>
      </c>
      <c r="C50584" t="inlineStr">
        <is>
          <t>2038-05-26</t>
        </is>
      </c>
    </row>
    <row r="50585">
      <c r="A50585" s="1" t="n">
        <v>50584</v>
      </c>
      <c r="B50585">
        <f>TEXT(50584, "[$-0E0000]yyyy-mm-dd")</f>
        <v/>
      </c>
      <c r="C50585" t="inlineStr">
        <is>
          <t>2038-05-27</t>
        </is>
      </c>
    </row>
    <row r="50586">
      <c r="A50586" s="1" t="n">
        <v>50585</v>
      </c>
      <c r="B50586">
        <f>TEXT(50585, "[$-0E0000]yyyy-mm-dd")</f>
        <v/>
      </c>
      <c r="C50586" t="inlineStr">
        <is>
          <t>2038-05-28</t>
        </is>
      </c>
    </row>
    <row r="50587">
      <c r="A50587" s="1" t="n">
        <v>50586</v>
      </c>
      <c r="B50587">
        <f>TEXT(50586, "[$-0E0000]yyyy-mm-dd")</f>
        <v/>
      </c>
      <c r="C50587" t="inlineStr">
        <is>
          <t>2038-05-29</t>
        </is>
      </c>
    </row>
    <row r="50588">
      <c r="A50588" s="1" t="n">
        <v>50587</v>
      </c>
      <c r="B50588">
        <f>TEXT(50587, "[$-0E0000]yyyy-mm-dd")</f>
        <v/>
      </c>
      <c r="C50588" t="inlineStr">
        <is>
          <t>2038-06-01</t>
        </is>
      </c>
    </row>
    <row r="50589">
      <c r="A50589" s="1" t="n">
        <v>50588</v>
      </c>
      <c r="B50589">
        <f>TEXT(50588, "[$-0E0000]yyyy-mm-dd")</f>
        <v/>
      </c>
      <c r="C50589" t="inlineStr">
        <is>
          <t>2038-06-02</t>
        </is>
      </c>
    </row>
    <row r="50590">
      <c r="A50590" s="1" t="n">
        <v>50589</v>
      </c>
      <c r="B50590">
        <f>TEXT(50589, "[$-0E0000]yyyy-mm-dd")</f>
        <v/>
      </c>
      <c r="C50590" t="inlineStr">
        <is>
          <t>2038-06-03</t>
        </is>
      </c>
    </row>
    <row r="50591">
      <c r="A50591" s="1" t="n">
        <v>50590</v>
      </c>
      <c r="B50591">
        <f>TEXT(50590, "[$-0E0000]yyyy-mm-dd")</f>
        <v/>
      </c>
      <c r="C50591" t="inlineStr">
        <is>
          <t>2038-06-04</t>
        </is>
      </c>
    </row>
    <row r="50592">
      <c r="A50592" s="1" t="n">
        <v>50591</v>
      </c>
      <c r="B50592">
        <f>TEXT(50591, "[$-0E0000]yyyy-mm-dd")</f>
        <v/>
      </c>
      <c r="C50592" t="inlineStr">
        <is>
          <t>2038-06-05</t>
        </is>
      </c>
    </row>
    <row r="50593">
      <c r="A50593" s="1" t="n">
        <v>50592</v>
      </c>
      <c r="B50593">
        <f>TEXT(50592, "[$-0E0000]yyyy-mm-dd")</f>
        <v/>
      </c>
      <c r="C50593" t="inlineStr">
        <is>
          <t>2038-06-06</t>
        </is>
      </c>
    </row>
    <row r="50594">
      <c r="A50594" s="1" t="n">
        <v>50593</v>
      </c>
      <c r="B50594">
        <f>TEXT(50593, "[$-0E0000]yyyy-mm-dd")</f>
        <v/>
      </c>
      <c r="C50594" t="inlineStr">
        <is>
          <t>2038-06-07</t>
        </is>
      </c>
    </row>
    <row r="50595">
      <c r="A50595" s="1" t="n">
        <v>50594</v>
      </c>
      <c r="B50595">
        <f>TEXT(50594, "[$-0E0000]yyyy-mm-dd")</f>
        <v/>
      </c>
      <c r="C50595" t="inlineStr">
        <is>
          <t>2038-06-08</t>
        </is>
      </c>
    </row>
    <row r="50596">
      <c r="A50596" s="1" t="n">
        <v>50595</v>
      </c>
      <c r="B50596">
        <f>TEXT(50595, "[$-0E0000]yyyy-mm-dd")</f>
        <v/>
      </c>
      <c r="C50596" t="inlineStr">
        <is>
          <t>2038-06-09</t>
        </is>
      </c>
    </row>
    <row r="50597">
      <c r="A50597" s="1" t="n">
        <v>50596</v>
      </c>
      <c r="B50597">
        <f>TEXT(50596, "[$-0E0000]yyyy-mm-dd")</f>
        <v/>
      </c>
      <c r="C50597" t="inlineStr">
        <is>
          <t>2038-06-10</t>
        </is>
      </c>
    </row>
    <row r="50598">
      <c r="A50598" s="1" t="n">
        <v>50597</v>
      </c>
      <c r="B50598">
        <f>TEXT(50597, "[$-0E0000]yyyy-mm-dd")</f>
        <v/>
      </c>
      <c r="C50598" t="inlineStr">
        <is>
          <t>2038-06-11</t>
        </is>
      </c>
    </row>
    <row r="50599">
      <c r="A50599" s="1" t="n">
        <v>50598</v>
      </c>
      <c r="B50599">
        <f>TEXT(50598, "[$-0E0000]yyyy-mm-dd")</f>
        <v/>
      </c>
      <c r="C50599" t="inlineStr">
        <is>
          <t>2038-06-12</t>
        </is>
      </c>
    </row>
    <row r="50600">
      <c r="A50600" s="1" t="n">
        <v>50599</v>
      </c>
      <c r="B50600">
        <f>TEXT(50599, "[$-0E0000]yyyy-mm-dd")</f>
        <v/>
      </c>
      <c r="C50600" t="inlineStr">
        <is>
          <t>2038-06-13</t>
        </is>
      </c>
    </row>
    <row r="50601">
      <c r="A50601" s="1" t="n">
        <v>50600</v>
      </c>
      <c r="B50601">
        <f>TEXT(50600, "[$-0E0000]yyyy-mm-dd")</f>
        <v/>
      </c>
      <c r="C50601" t="inlineStr">
        <is>
          <t>2038-06-14</t>
        </is>
      </c>
    </row>
    <row r="50602">
      <c r="A50602" s="1" t="n">
        <v>50601</v>
      </c>
      <c r="B50602">
        <f>TEXT(50601, "[$-0E0000]yyyy-mm-dd")</f>
        <v/>
      </c>
      <c r="C50602" t="inlineStr">
        <is>
          <t>2038-06-15</t>
        </is>
      </c>
    </row>
    <row r="50603">
      <c r="A50603" s="1" t="n">
        <v>50602</v>
      </c>
      <c r="B50603">
        <f>TEXT(50602, "[$-0E0000]yyyy-mm-dd")</f>
        <v/>
      </c>
      <c r="C50603" t="inlineStr">
        <is>
          <t>2038-06-16</t>
        </is>
      </c>
    </row>
    <row r="50604">
      <c r="A50604" s="1" t="n">
        <v>50603</v>
      </c>
      <c r="B50604">
        <f>TEXT(50603, "[$-0E0000]yyyy-mm-dd")</f>
        <v/>
      </c>
      <c r="C50604" t="inlineStr">
        <is>
          <t>2038-06-17</t>
        </is>
      </c>
    </row>
    <row r="50605">
      <c r="A50605" s="1" t="n">
        <v>50604</v>
      </c>
      <c r="B50605">
        <f>TEXT(50604, "[$-0E0000]yyyy-mm-dd")</f>
        <v/>
      </c>
      <c r="C50605" t="inlineStr">
        <is>
          <t>2038-06-18</t>
        </is>
      </c>
    </row>
    <row r="50606">
      <c r="A50606" s="1" t="n">
        <v>50605</v>
      </c>
      <c r="B50606">
        <f>TEXT(50605, "[$-0E0000]yyyy-mm-dd")</f>
        <v/>
      </c>
      <c r="C50606" t="inlineStr">
        <is>
          <t>2038-06-19</t>
        </is>
      </c>
    </row>
    <row r="50607">
      <c r="A50607" s="1" t="n">
        <v>50606</v>
      </c>
      <c r="B50607">
        <f>TEXT(50606, "[$-0E0000]yyyy-mm-dd")</f>
        <v/>
      </c>
      <c r="C50607" t="inlineStr">
        <is>
          <t>2038-06-20</t>
        </is>
      </c>
    </row>
    <row r="50608">
      <c r="A50608" s="1" t="n">
        <v>50607</v>
      </c>
      <c r="B50608">
        <f>TEXT(50607, "[$-0E0000]yyyy-mm-dd")</f>
        <v/>
      </c>
      <c r="C50608" t="inlineStr">
        <is>
          <t>2038-06-21</t>
        </is>
      </c>
    </row>
    <row r="50609">
      <c r="A50609" s="1" t="n">
        <v>50608</v>
      </c>
      <c r="B50609">
        <f>TEXT(50608, "[$-0E0000]yyyy-mm-dd")</f>
        <v/>
      </c>
      <c r="C50609" t="inlineStr">
        <is>
          <t>2038-06-22</t>
        </is>
      </c>
    </row>
    <row r="50610">
      <c r="A50610" s="1" t="n">
        <v>50609</v>
      </c>
      <c r="B50610">
        <f>TEXT(50609, "[$-0E0000]yyyy-mm-dd")</f>
        <v/>
      </c>
      <c r="C50610" t="inlineStr">
        <is>
          <t>2038-06-23</t>
        </is>
      </c>
    </row>
    <row r="50611">
      <c r="A50611" s="1" t="n">
        <v>50610</v>
      </c>
      <c r="B50611">
        <f>TEXT(50610, "[$-0E0000]yyyy-mm-dd")</f>
        <v/>
      </c>
      <c r="C50611" t="inlineStr">
        <is>
          <t>2038-06-24</t>
        </is>
      </c>
    </row>
    <row r="50612">
      <c r="A50612" s="1" t="n">
        <v>50611</v>
      </c>
      <c r="B50612">
        <f>TEXT(50611, "[$-0E0000]yyyy-mm-dd")</f>
        <v/>
      </c>
      <c r="C50612" t="inlineStr">
        <is>
          <t>2038-06-25</t>
        </is>
      </c>
    </row>
    <row r="50613">
      <c r="A50613" s="1" t="n">
        <v>50612</v>
      </c>
      <c r="B50613">
        <f>TEXT(50612, "[$-0E0000]yyyy-mm-dd")</f>
        <v/>
      </c>
      <c r="C50613" t="inlineStr">
        <is>
          <t>2038-06-26</t>
        </is>
      </c>
    </row>
    <row r="50614">
      <c r="A50614" s="1" t="n">
        <v>50613</v>
      </c>
      <c r="B50614">
        <f>TEXT(50613, "[$-0E0000]yyyy-mm-dd")</f>
        <v/>
      </c>
      <c r="C50614" t="inlineStr">
        <is>
          <t>2038-06-27</t>
        </is>
      </c>
    </row>
    <row r="50615">
      <c r="A50615" s="1" t="n">
        <v>50614</v>
      </c>
      <c r="B50615">
        <f>TEXT(50614, "[$-0E0000]yyyy-mm-dd")</f>
        <v/>
      </c>
      <c r="C50615" t="inlineStr">
        <is>
          <t>2038-06-28</t>
        </is>
      </c>
    </row>
    <row r="50616">
      <c r="A50616" s="1" t="n">
        <v>50615</v>
      </c>
      <c r="B50616">
        <f>TEXT(50615, "[$-0E0000]yyyy-mm-dd")</f>
        <v/>
      </c>
      <c r="C50616" t="inlineStr">
        <is>
          <t>2038-06-29</t>
        </is>
      </c>
    </row>
    <row r="50617">
      <c r="A50617" s="1" t="n">
        <v>50616</v>
      </c>
      <c r="B50617">
        <f>TEXT(50616, "[$-0E0000]yyyy-mm-dd")</f>
        <v/>
      </c>
      <c r="C50617" t="inlineStr">
        <is>
          <t>2038-06-30</t>
        </is>
      </c>
    </row>
    <row r="50618">
      <c r="A50618" s="1" t="n">
        <v>50617</v>
      </c>
      <c r="B50618">
        <f>TEXT(50617, "[$-0E0000]yyyy-mm-dd")</f>
        <v/>
      </c>
      <c r="C50618" t="inlineStr">
        <is>
          <t>2038-07-01</t>
        </is>
      </c>
    </row>
    <row r="50619">
      <c r="A50619" s="1" t="n">
        <v>50618</v>
      </c>
      <c r="B50619">
        <f>TEXT(50618, "[$-0E0000]yyyy-mm-dd")</f>
        <v/>
      </c>
      <c r="C50619" t="inlineStr">
        <is>
          <t>2038-07-02</t>
        </is>
      </c>
    </row>
    <row r="50620">
      <c r="A50620" s="1" t="n">
        <v>50619</v>
      </c>
      <c r="B50620">
        <f>TEXT(50619, "[$-0E0000]yyyy-mm-dd")</f>
        <v/>
      </c>
      <c r="C50620" t="inlineStr">
        <is>
          <t>2038-07-03</t>
        </is>
      </c>
    </row>
    <row r="50621">
      <c r="A50621" s="1" t="n">
        <v>50620</v>
      </c>
      <c r="B50621">
        <f>TEXT(50620, "[$-0E0000]yyyy-mm-dd")</f>
        <v/>
      </c>
      <c r="C50621" t="inlineStr">
        <is>
          <t>2038-07-04</t>
        </is>
      </c>
    </row>
    <row r="50622">
      <c r="A50622" s="1" t="n">
        <v>50621</v>
      </c>
      <c r="B50622">
        <f>TEXT(50621, "[$-0E0000]yyyy-mm-dd")</f>
        <v/>
      </c>
      <c r="C50622" t="inlineStr">
        <is>
          <t>2038-07-05</t>
        </is>
      </c>
    </row>
    <row r="50623">
      <c r="A50623" s="1" t="n">
        <v>50622</v>
      </c>
      <c r="B50623">
        <f>TEXT(50622, "[$-0E0000]yyyy-mm-dd")</f>
        <v/>
      </c>
      <c r="C50623" t="inlineStr">
        <is>
          <t>2038-07-06</t>
        </is>
      </c>
    </row>
    <row r="50624">
      <c r="A50624" s="1" t="n">
        <v>50623</v>
      </c>
      <c r="B50624">
        <f>TEXT(50623, "[$-0E0000]yyyy-mm-dd")</f>
        <v/>
      </c>
      <c r="C50624" t="inlineStr">
        <is>
          <t>2038-07-07</t>
        </is>
      </c>
    </row>
    <row r="50625">
      <c r="A50625" s="1" t="n">
        <v>50624</v>
      </c>
      <c r="B50625">
        <f>TEXT(50624, "[$-0E0000]yyyy-mm-dd")</f>
        <v/>
      </c>
      <c r="C50625" t="inlineStr">
        <is>
          <t>2038-07-08</t>
        </is>
      </c>
    </row>
    <row r="50626">
      <c r="A50626" s="1" t="n">
        <v>50625</v>
      </c>
      <c r="B50626">
        <f>TEXT(50625, "[$-0E0000]yyyy-mm-dd")</f>
        <v/>
      </c>
      <c r="C50626" t="inlineStr">
        <is>
          <t>2038-07-09</t>
        </is>
      </c>
    </row>
    <row r="50627">
      <c r="A50627" s="1" t="n">
        <v>50626</v>
      </c>
      <c r="B50627">
        <f>TEXT(50626, "[$-0E0000]yyyy-mm-dd")</f>
        <v/>
      </c>
      <c r="C50627" t="inlineStr">
        <is>
          <t>2038-07-10</t>
        </is>
      </c>
    </row>
    <row r="50628">
      <c r="A50628" s="1" t="n">
        <v>50627</v>
      </c>
      <c r="B50628">
        <f>TEXT(50627, "[$-0E0000]yyyy-mm-dd")</f>
        <v/>
      </c>
      <c r="C50628" t="inlineStr">
        <is>
          <t>2038-07-11</t>
        </is>
      </c>
    </row>
    <row r="50629">
      <c r="A50629" s="1" t="n">
        <v>50628</v>
      </c>
      <c r="B50629">
        <f>TEXT(50628, "[$-0E0000]yyyy-mm-dd")</f>
        <v/>
      </c>
      <c r="C50629" t="inlineStr">
        <is>
          <t>2038-07-12</t>
        </is>
      </c>
    </row>
    <row r="50630">
      <c r="A50630" s="1" t="n">
        <v>50629</v>
      </c>
      <c r="B50630">
        <f>TEXT(50629, "[$-0E0000]yyyy-mm-dd")</f>
        <v/>
      </c>
      <c r="C50630" t="inlineStr">
        <is>
          <t>2038-07-13</t>
        </is>
      </c>
    </row>
    <row r="50631">
      <c r="A50631" s="1" t="n">
        <v>50630</v>
      </c>
      <c r="B50631">
        <f>TEXT(50630, "[$-0E0000]yyyy-mm-dd")</f>
        <v/>
      </c>
      <c r="C50631" t="inlineStr">
        <is>
          <t>2038-07-14</t>
        </is>
      </c>
    </row>
    <row r="50632">
      <c r="A50632" s="1" t="n">
        <v>50631</v>
      </c>
      <c r="B50632">
        <f>TEXT(50631, "[$-0E0000]yyyy-mm-dd")</f>
        <v/>
      </c>
      <c r="C50632" t="inlineStr">
        <is>
          <t>2038-07-15</t>
        </is>
      </c>
    </row>
    <row r="50633">
      <c r="A50633" s="1" t="n">
        <v>50632</v>
      </c>
      <c r="B50633">
        <f>TEXT(50632, "[$-0E0000]yyyy-mm-dd")</f>
        <v/>
      </c>
      <c r="C50633" t="inlineStr">
        <is>
          <t>2038-07-16</t>
        </is>
      </c>
    </row>
    <row r="50634">
      <c r="A50634" s="1" t="n">
        <v>50633</v>
      </c>
      <c r="B50634">
        <f>TEXT(50633, "[$-0E0000]yyyy-mm-dd")</f>
        <v/>
      </c>
      <c r="C50634" t="inlineStr">
        <is>
          <t>2038-07-17</t>
        </is>
      </c>
    </row>
    <row r="50635">
      <c r="A50635" s="1" t="n">
        <v>50634</v>
      </c>
      <c r="B50635">
        <f>TEXT(50634, "[$-0E0000]yyyy-mm-dd")</f>
        <v/>
      </c>
      <c r="C50635" t="inlineStr">
        <is>
          <t>2038-07-18</t>
        </is>
      </c>
    </row>
    <row r="50636">
      <c r="A50636" s="1" t="n">
        <v>50635</v>
      </c>
      <c r="B50636">
        <f>TEXT(50635, "[$-0E0000]yyyy-mm-dd")</f>
        <v/>
      </c>
      <c r="C50636" t="inlineStr">
        <is>
          <t>2038-07-19</t>
        </is>
      </c>
    </row>
    <row r="50637">
      <c r="A50637" s="1" t="n">
        <v>50636</v>
      </c>
      <c r="B50637">
        <f>TEXT(50636, "[$-0E0000]yyyy-mm-dd")</f>
        <v/>
      </c>
      <c r="C50637" t="inlineStr">
        <is>
          <t>2038-07-20</t>
        </is>
      </c>
    </row>
    <row r="50638">
      <c r="A50638" s="1" t="n">
        <v>50637</v>
      </c>
      <c r="B50638">
        <f>TEXT(50637, "[$-0E0000]yyyy-mm-dd")</f>
        <v/>
      </c>
      <c r="C50638" t="inlineStr">
        <is>
          <t>2038-07-21</t>
        </is>
      </c>
    </row>
    <row r="50639">
      <c r="A50639" s="1" t="n">
        <v>50638</v>
      </c>
      <c r="B50639">
        <f>TEXT(50638, "[$-0E0000]yyyy-mm-dd")</f>
        <v/>
      </c>
      <c r="C50639" t="inlineStr">
        <is>
          <t>2038-07-22</t>
        </is>
      </c>
    </row>
    <row r="50640">
      <c r="A50640" s="1" t="n">
        <v>50639</v>
      </c>
      <c r="B50640">
        <f>TEXT(50639, "[$-0E0000]yyyy-mm-dd")</f>
        <v/>
      </c>
      <c r="C50640" t="inlineStr">
        <is>
          <t>2038-07-23</t>
        </is>
      </c>
    </row>
    <row r="50641">
      <c r="A50641" s="1" t="n">
        <v>50640</v>
      </c>
      <c r="B50641">
        <f>TEXT(50640, "[$-0E0000]yyyy-mm-dd")</f>
        <v/>
      </c>
      <c r="C50641" t="inlineStr">
        <is>
          <t>2038-07-24</t>
        </is>
      </c>
    </row>
    <row r="50642">
      <c r="A50642" s="1" t="n">
        <v>50641</v>
      </c>
      <c r="B50642">
        <f>TEXT(50641, "[$-0E0000]yyyy-mm-dd")</f>
        <v/>
      </c>
      <c r="C50642" t="inlineStr">
        <is>
          <t>2038-07-25</t>
        </is>
      </c>
    </row>
    <row r="50643">
      <c r="A50643" s="1" t="n">
        <v>50642</v>
      </c>
      <c r="B50643">
        <f>TEXT(50642, "[$-0E0000]yyyy-mm-dd")</f>
        <v/>
      </c>
      <c r="C50643" t="inlineStr">
        <is>
          <t>2038-07-26</t>
        </is>
      </c>
    </row>
    <row r="50644">
      <c r="A50644" s="1" t="n">
        <v>50643</v>
      </c>
      <c r="B50644">
        <f>TEXT(50643, "[$-0E0000]yyyy-mm-dd")</f>
        <v/>
      </c>
      <c r="C50644" t="inlineStr">
        <is>
          <t>2038-07-27</t>
        </is>
      </c>
    </row>
    <row r="50645">
      <c r="A50645" s="1" t="n">
        <v>50644</v>
      </c>
      <c r="B50645">
        <f>TEXT(50644, "[$-0E0000]yyyy-mm-dd")</f>
        <v/>
      </c>
      <c r="C50645" t="inlineStr">
        <is>
          <t>2038-07-28</t>
        </is>
      </c>
    </row>
    <row r="50646">
      <c r="A50646" s="1" t="n">
        <v>50645</v>
      </c>
      <c r="B50646">
        <f>TEXT(50645, "[$-0E0000]yyyy-mm-dd")</f>
        <v/>
      </c>
      <c r="C50646" t="inlineStr">
        <is>
          <t>2038-07-29</t>
        </is>
      </c>
    </row>
    <row r="50647">
      <c r="A50647" s="1" t="n">
        <v>50646</v>
      </c>
      <c r="B50647">
        <f>TEXT(50646, "[$-0E0000]yyyy-mm-dd")</f>
        <v/>
      </c>
      <c r="C50647" t="inlineStr">
        <is>
          <t>2038-08-01</t>
        </is>
      </c>
    </row>
    <row r="50648">
      <c r="A50648" s="1" t="n">
        <v>50647</v>
      </c>
      <c r="B50648">
        <f>TEXT(50647, "[$-0E0000]yyyy-mm-dd")</f>
        <v/>
      </c>
      <c r="C50648" t="inlineStr">
        <is>
          <t>2038-08-02</t>
        </is>
      </c>
    </row>
    <row r="50649">
      <c r="A50649" s="1" t="n">
        <v>50648</v>
      </c>
      <c r="B50649">
        <f>TEXT(50648, "[$-0E0000]yyyy-mm-dd")</f>
        <v/>
      </c>
      <c r="C50649" t="inlineStr">
        <is>
          <t>2038-08-03</t>
        </is>
      </c>
    </row>
    <row r="50650">
      <c r="A50650" s="1" t="n">
        <v>50649</v>
      </c>
      <c r="B50650">
        <f>TEXT(50649, "[$-0E0000]yyyy-mm-dd")</f>
        <v/>
      </c>
      <c r="C50650" t="inlineStr">
        <is>
          <t>2038-08-04</t>
        </is>
      </c>
    </row>
    <row r="50651">
      <c r="A50651" s="1" t="n">
        <v>50650</v>
      </c>
      <c r="B50651">
        <f>TEXT(50650, "[$-0E0000]yyyy-mm-dd")</f>
        <v/>
      </c>
      <c r="C50651" t="inlineStr">
        <is>
          <t>2038-08-05</t>
        </is>
      </c>
    </row>
    <row r="50652">
      <c r="A50652" s="1" t="n">
        <v>50651</v>
      </c>
      <c r="B50652">
        <f>TEXT(50651, "[$-0E0000]yyyy-mm-dd")</f>
        <v/>
      </c>
      <c r="C50652" t="inlineStr">
        <is>
          <t>2038-08-06</t>
        </is>
      </c>
    </row>
    <row r="50653">
      <c r="A50653" s="1" t="n">
        <v>50652</v>
      </c>
      <c r="B50653">
        <f>TEXT(50652, "[$-0E0000]yyyy-mm-dd")</f>
        <v/>
      </c>
      <c r="C50653" t="inlineStr">
        <is>
          <t>2038-08-07</t>
        </is>
      </c>
    </row>
    <row r="50654">
      <c r="A50654" s="1" t="n">
        <v>50653</v>
      </c>
      <c r="B50654">
        <f>TEXT(50653, "[$-0E0000]yyyy-mm-dd")</f>
        <v/>
      </c>
      <c r="C50654" t="inlineStr">
        <is>
          <t>2038-08-08</t>
        </is>
      </c>
    </row>
    <row r="50655">
      <c r="A50655" s="1" t="n">
        <v>50654</v>
      </c>
      <c r="B50655">
        <f>TEXT(50654, "[$-0E0000]yyyy-mm-dd")</f>
        <v/>
      </c>
      <c r="C50655" t="inlineStr">
        <is>
          <t>2038-08-09</t>
        </is>
      </c>
    </row>
    <row r="50656">
      <c r="A50656" s="1" t="n">
        <v>50655</v>
      </c>
      <c r="B50656">
        <f>TEXT(50655, "[$-0E0000]yyyy-mm-dd")</f>
        <v/>
      </c>
      <c r="C50656" t="inlineStr">
        <is>
          <t>2038-08-10</t>
        </is>
      </c>
    </row>
    <row r="50657">
      <c r="A50657" s="1" t="n">
        <v>50656</v>
      </c>
      <c r="B50657">
        <f>TEXT(50656, "[$-0E0000]yyyy-mm-dd")</f>
        <v/>
      </c>
      <c r="C50657" t="inlineStr">
        <is>
          <t>2038-08-11</t>
        </is>
      </c>
    </row>
    <row r="50658">
      <c r="A50658" s="1" t="n">
        <v>50657</v>
      </c>
      <c r="B50658">
        <f>TEXT(50657, "[$-0E0000]yyyy-mm-dd")</f>
        <v/>
      </c>
      <c r="C50658" t="inlineStr">
        <is>
          <t>2038-08-12</t>
        </is>
      </c>
    </row>
    <row r="50659">
      <c r="A50659" s="1" t="n">
        <v>50658</v>
      </c>
      <c r="B50659">
        <f>TEXT(50658, "[$-0E0000]yyyy-mm-dd")</f>
        <v/>
      </c>
      <c r="C50659" t="inlineStr">
        <is>
          <t>2038-08-13</t>
        </is>
      </c>
    </row>
    <row r="50660">
      <c r="A50660" s="1" t="n">
        <v>50659</v>
      </c>
      <c r="B50660">
        <f>TEXT(50659, "[$-0E0000]yyyy-mm-dd")</f>
        <v/>
      </c>
      <c r="C50660" t="inlineStr">
        <is>
          <t>2038-08-14</t>
        </is>
      </c>
    </row>
    <row r="50661">
      <c r="A50661" s="1" t="n">
        <v>50660</v>
      </c>
      <c r="B50661">
        <f>TEXT(50660, "[$-0E0000]yyyy-mm-dd")</f>
        <v/>
      </c>
      <c r="C50661" t="inlineStr">
        <is>
          <t>2038-08-15</t>
        </is>
      </c>
    </row>
    <row r="50662">
      <c r="A50662" s="1" t="n">
        <v>50661</v>
      </c>
      <c r="B50662">
        <f>TEXT(50661, "[$-0E0000]yyyy-mm-dd")</f>
        <v/>
      </c>
      <c r="C50662" t="inlineStr">
        <is>
          <t>2038-08-16</t>
        </is>
      </c>
    </row>
    <row r="50663">
      <c r="A50663" s="1" t="n">
        <v>50662</v>
      </c>
      <c r="B50663">
        <f>TEXT(50662, "[$-0E0000]yyyy-mm-dd")</f>
        <v/>
      </c>
      <c r="C50663" t="inlineStr">
        <is>
          <t>2038-08-17</t>
        </is>
      </c>
    </row>
    <row r="50664">
      <c r="A50664" s="1" t="n">
        <v>50663</v>
      </c>
      <c r="B50664">
        <f>TEXT(50663, "[$-0E0000]yyyy-mm-dd")</f>
        <v/>
      </c>
      <c r="C50664" t="inlineStr">
        <is>
          <t>2038-08-18</t>
        </is>
      </c>
    </row>
    <row r="50665">
      <c r="A50665" s="1" t="n">
        <v>50664</v>
      </c>
      <c r="B50665">
        <f>TEXT(50664, "[$-0E0000]yyyy-mm-dd")</f>
        <v/>
      </c>
      <c r="C50665" t="inlineStr">
        <is>
          <t>2038-08-19</t>
        </is>
      </c>
    </row>
    <row r="50666">
      <c r="A50666" s="1" t="n">
        <v>50665</v>
      </c>
      <c r="B50666">
        <f>TEXT(50665, "[$-0E0000]yyyy-mm-dd")</f>
        <v/>
      </c>
      <c r="C50666" t="inlineStr">
        <is>
          <t>2038-08-20</t>
        </is>
      </c>
    </row>
    <row r="50667">
      <c r="A50667" s="1" t="n">
        <v>50666</v>
      </c>
      <c r="B50667">
        <f>TEXT(50666, "[$-0E0000]yyyy-mm-dd")</f>
        <v/>
      </c>
      <c r="C50667" t="inlineStr">
        <is>
          <t>2038-08-21</t>
        </is>
      </c>
    </row>
    <row r="50668">
      <c r="A50668" s="1" t="n">
        <v>50667</v>
      </c>
      <c r="B50668">
        <f>TEXT(50667, "[$-0E0000]yyyy-mm-dd")</f>
        <v/>
      </c>
      <c r="C50668" t="inlineStr">
        <is>
          <t>2038-08-22</t>
        </is>
      </c>
    </row>
    <row r="50669">
      <c r="A50669" s="1" t="n">
        <v>50668</v>
      </c>
      <c r="B50669">
        <f>TEXT(50668, "[$-0E0000]yyyy-mm-dd")</f>
        <v/>
      </c>
      <c r="C50669" t="inlineStr">
        <is>
          <t>2038-08-23</t>
        </is>
      </c>
    </row>
    <row r="50670">
      <c r="A50670" s="1" t="n">
        <v>50669</v>
      </c>
      <c r="B50670">
        <f>TEXT(50669, "[$-0E0000]yyyy-mm-dd")</f>
        <v/>
      </c>
      <c r="C50670" t="inlineStr">
        <is>
          <t>2038-08-24</t>
        </is>
      </c>
    </row>
    <row r="50671">
      <c r="A50671" s="1" t="n">
        <v>50670</v>
      </c>
      <c r="B50671">
        <f>TEXT(50670, "[$-0E0000]yyyy-mm-dd")</f>
        <v/>
      </c>
      <c r="C50671" t="inlineStr">
        <is>
          <t>2038-08-25</t>
        </is>
      </c>
    </row>
    <row r="50672">
      <c r="A50672" s="1" t="n">
        <v>50671</v>
      </c>
      <c r="B50672">
        <f>TEXT(50671, "[$-0E0000]yyyy-mm-dd")</f>
        <v/>
      </c>
      <c r="C50672" t="inlineStr">
        <is>
          <t>2038-08-26</t>
        </is>
      </c>
    </row>
    <row r="50673">
      <c r="A50673" s="1" t="n">
        <v>50672</v>
      </c>
      <c r="B50673">
        <f>TEXT(50672, "[$-0E0000]yyyy-mm-dd")</f>
        <v/>
      </c>
      <c r="C50673" t="inlineStr">
        <is>
          <t>2038-08-27</t>
        </is>
      </c>
    </row>
    <row r="50674">
      <c r="A50674" s="1" t="n">
        <v>50673</v>
      </c>
      <c r="B50674">
        <f>TEXT(50673, "[$-0E0000]yyyy-mm-dd")</f>
        <v/>
      </c>
      <c r="C50674" t="inlineStr">
        <is>
          <t>2038-08-28</t>
        </is>
      </c>
    </row>
    <row r="50675">
      <c r="A50675" s="1" t="n">
        <v>50674</v>
      </c>
      <c r="B50675">
        <f>TEXT(50674, "[$-0E0000]yyyy-mm-dd")</f>
        <v/>
      </c>
      <c r="C50675" t="inlineStr">
        <is>
          <t>2038-08-29</t>
        </is>
      </c>
    </row>
    <row r="50676">
      <c r="A50676" s="1" t="n">
        <v>50675</v>
      </c>
      <c r="B50676">
        <f>TEXT(50675, "[$-0E0000]yyyy-mm-dd")</f>
        <v/>
      </c>
      <c r="C50676" t="inlineStr">
        <is>
          <t>2038-08-30</t>
        </is>
      </c>
    </row>
    <row r="50677">
      <c r="A50677" s="1" t="n">
        <v>50676</v>
      </c>
      <c r="B50677">
        <f>TEXT(50676, "[$-0E0000]yyyy-mm-dd")</f>
        <v/>
      </c>
      <c r="C50677" t="inlineStr">
        <is>
          <t>2038-09-01</t>
        </is>
      </c>
    </row>
    <row r="50678">
      <c r="A50678" s="1" t="n">
        <v>50677</v>
      </c>
      <c r="B50678">
        <f>TEXT(50677, "[$-0E0000]yyyy-mm-dd")</f>
        <v/>
      </c>
      <c r="C50678" t="inlineStr">
        <is>
          <t>2038-09-02</t>
        </is>
      </c>
    </row>
    <row r="50679">
      <c r="A50679" s="1" t="n">
        <v>50678</v>
      </c>
      <c r="B50679">
        <f>TEXT(50678, "[$-0E0000]yyyy-mm-dd")</f>
        <v/>
      </c>
      <c r="C50679" t="inlineStr">
        <is>
          <t>2038-09-03</t>
        </is>
      </c>
    </row>
    <row r="50680">
      <c r="A50680" s="1" t="n">
        <v>50679</v>
      </c>
      <c r="B50680">
        <f>TEXT(50679, "[$-0E0000]yyyy-mm-dd")</f>
        <v/>
      </c>
      <c r="C50680" t="inlineStr">
        <is>
          <t>2038-09-04</t>
        </is>
      </c>
    </row>
    <row r="50681">
      <c r="A50681" s="1" t="n">
        <v>50680</v>
      </c>
      <c r="B50681">
        <f>TEXT(50680, "[$-0E0000]yyyy-mm-dd")</f>
        <v/>
      </c>
      <c r="C50681" t="inlineStr">
        <is>
          <t>2038-09-05</t>
        </is>
      </c>
    </row>
    <row r="50682">
      <c r="A50682" s="1" t="n">
        <v>50681</v>
      </c>
      <c r="B50682">
        <f>TEXT(50681, "[$-0E0000]yyyy-mm-dd")</f>
        <v/>
      </c>
      <c r="C50682" t="inlineStr">
        <is>
          <t>2038-09-06</t>
        </is>
      </c>
    </row>
    <row r="50683">
      <c r="A50683" s="1" t="n">
        <v>50682</v>
      </c>
      <c r="B50683">
        <f>TEXT(50682, "[$-0E0000]yyyy-mm-dd")</f>
        <v/>
      </c>
      <c r="C50683" t="inlineStr">
        <is>
          <t>2038-09-07</t>
        </is>
      </c>
    </row>
    <row r="50684">
      <c r="A50684" s="1" t="n">
        <v>50683</v>
      </c>
      <c r="B50684">
        <f>TEXT(50683, "[$-0E0000]yyyy-mm-dd")</f>
        <v/>
      </c>
      <c r="C50684" t="inlineStr">
        <is>
          <t>2038-09-08</t>
        </is>
      </c>
    </row>
    <row r="50685">
      <c r="A50685" s="1" t="n">
        <v>50684</v>
      </c>
      <c r="B50685">
        <f>TEXT(50684, "[$-0E0000]yyyy-mm-dd")</f>
        <v/>
      </c>
      <c r="C50685" t="inlineStr">
        <is>
          <t>2038-09-09</t>
        </is>
      </c>
    </row>
    <row r="50686">
      <c r="A50686" s="1" t="n">
        <v>50685</v>
      </c>
      <c r="B50686">
        <f>TEXT(50685, "[$-0E0000]yyyy-mm-dd")</f>
        <v/>
      </c>
      <c r="C50686" t="inlineStr">
        <is>
          <t>2038-09-10</t>
        </is>
      </c>
    </row>
    <row r="50687">
      <c r="A50687" s="1" t="n">
        <v>50686</v>
      </c>
      <c r="B50687">
        <f>TEXT(50686, "[$-0E0000]yyyy-mm-dd")</f>
        <v/>
      </c>
      <c r="C50687" t="inlineStr">
        <is>
          <t>2038-09-11</t>
        </is>
      </c>
    </row>
    <row r="50688">
      <c r="A50688" s="1" t="n">
        <v>50687</v>
      </c>
      <c r="B50688">
        <f>TEXT(50687, "[$-0E0000]yyyy-mm-dd")</f>
        <v/>
      </c>
      <c r="C50688" t="inlineStr">
        <is>
          <t>2038-09-12</t>
        </is>
      </c>
    </row>
    <row r="50689">
      <c r="A50689" s="1" t="n">
        <v>50688</v>
      </c>
      <c r="B50689">
        <f>TEXT(50688, "[$-0E0000]yyyy-mm-dd")</f>
        <v/>
      </c>
      <c r="C50689" t="inlineStr">
        <is>
          <t>2038-09-13</t>
        </is>
      </c>
    </row>
    <row r="50690">
      <c r="A50690" s="1" t="n">
        <v>50689</v>
      </c>
      <c r="B50690">
        <f>TEXT(50689, "[$-0E0000]yyyy-mm-dd")</f>
        <v/>
      </c>
      <c r="C50690" t="inlineStr">
        <is>
          <t>2038-09-14</t>
        </is>
      </c>
    </row>
    <row r="50691">
      <c r="A50691" s="1" t="n">
        <v>50690</v>
      </c>
      <c r="B50691">
        <f>TEXT(50690, "[$-0E0000]yyyy-mm-dd")</f>
        <v/>
      </c>
      <c r="C50691" t="inlineStr">
        <is>
          <t>2038-09-15</t>
        </is>
      </c>
    </row>
    <row r="50692">
      <c r="A50692" s="1" t="n">
        <v>50691</v>
      </c>
      <c r="B50692">
        <f>TEXT(50691, "[$-0E0000]yyyy-mm-dd")</f>
        <v/>
      </c>
      <c r="C50692" t="inlineStr">
        <is>
          <t>2038-09-16</t>
        </is>
      </c>
    </row>
    <row r="50693">
      <c r="A50693" s="1" t="n">
        <v>50692</v>
      </c>
      <c r="B50693">
        <f>TEXT(50692, "[$-0E0000]yyyy-mm-dd")</f>
        <v/>
      </c>
      <c r="C50693" t="inlineStr">
        <is>
          <t>2038-09-17</t>
        </is>
      </c>
    </row>
    <row r="50694">
      <c r="A50694" s="1" t="n">
        <v>50693</v>
      </c>
      <c r="B50694">
        <f>TEXT(50693, "[$-0E0000]yyyy-mm-dd")</f>
        <v/>
      </c>
      <c r="C50694" t="inlineStr">
        <is>
          <t>2038-09-18</t>
        </is>
      </c>
    </row>
    <row r="50695">
      <c r="A50695" s="1" t="n">
        <v>50694</v>
      </c>
      <c r="B50695">
        <f>TEXT(50694, "[$-0E0000]yyyy-mm-dd")</f>
        <v/>
      </c>
      <c r="C50695" t="inlineStr">
        <is>
          <t>2038-09-19</t>
        </is>
      </c>
    </row>
    <row r="50696">
      <c r="A50696" s="1" t="n">
        <v>50695</v>
      </c>
      <c r="B50696">
        <f>TEXT(50695, "[$-0E0000]yyyy-mm-dd")</f>
        <v/>
      </c>
      <c r="C50696" t="inlineStr">
        <is>
          <t>2038-09-20</t>
        </is>
      </c>
    </row>
    <row r="50697">
      <c r="A50697" s="1" t="n">
        <v>50696</v>
      </c>
      <c r="B50697">
        <f>TEXT(50696, "[$-0E0000]yyyy-mm-dd")</f>
        <v/>
      </c>
      <c r="C50697" t="inlineStr">
        <is>
          <t>2038-09-21</t>
        </is>
      </c>
    </row>
    <row r="50698">
      <c r="A50698" s="1" t="n">
        <v>50697</v>
      </c>
      <c r="B50698">
        <f>TEXT(50697, "[$-0E0000]yyyy-mm-dd")</f>
        <v/>
      </c>
      <c r="C50698" t="inlineStr">
        <is>
          <t>2038-09-22</t>
        </is>
      </c>
    </row>
    <row r="50699">
      <c r="A50699" s="1" t="n">
        <v>50698</v>
      </c>
      <c r="B50699">
        <f>TEXT(50698, "[$-0E0000]yyyy-mm-dd")</f>
        <v/>
      </c>
      <c r="C50699" t="inlineStr">
        <is>
          <t>2038-09-23</t>
        </is>
      </c>
    </row>
    <row r="50700">
      <c r="A50700" s="1" t="n">
        <v>50699</v>
      </c>
      <c r="B50700">
        <f>TEXT(50699, "[$-0E0000]yyyy-mm-dd")</f>
        <v/>
      </c>
      <c r="C50700" t="inlineStr">
        <is>
          <t>2038-09-24</t>
        </is>
      </c>
    </row>
    <row r="50701">
      <c r="A50701" s="1" t="n">
        <v>50700</v>
      </c>
      <c r="B50701">
        <f>TEXT(50700, "[$-0E0000]yyyy-mm-dd")</f>
        <v/>
      </c>
      <c r="C50701" t="inlineStr">
        <is>
          <t>2038-09-25</t>
        </is>
      </c>
    </row>
    <row r="50702">
      <c r="A50702" s="1" t="n">
        <v>50701</v>
      </c>
      <c r="B50702">
        <f>TEXT(50701, "[$-0E0000]yyyy-mm-dd")</f>
        <v/>
      </c>
      <c r="C50702" t="inlineStr">
        <is>
          <t>2038-09-26</t>
        </is>
      </c>
    </row>
    <row r="50703">
      <c r="A50703" s="1" t="n">
        <v>50702</v>
      </c>
      <c r="B50703">
        <f>TEXT(50702, "[$-0E0000]yyyy-mm-dd")</f>
        <v/>
      </c>
      <c r="C50703" t="inlineStr">
        <is>
          <t>2038-09-27</t>
        </is>
      </c>
    </row>
    <row r="50704">
      <c r="A50704" s="1" t="n">
        <v>50703</v>
      </c>
      <c r="B50704">
        <f>TEXT(50703, "[$-0E0000]yyyy-mm-dd")</f>
        <v/>
      </c>
      <c r="C50704" t="inlineStr">
        <is>
          <t>2038-09-28</t>
        </is>
      </c>
    </row>
    <row r="50705">
      <c r="A50705" s="1" t="n">
        <v>50704</v>
      </c>
      <c r="B50705">
        <f>TEXT(50704, "[$-0E0000]yyyy-mm-dd")</f>
        <v/>
      </c>
      <c r="C50705" t="inlineStr">
        <is>
          <t>2038-09-29</t>
        </is>
      </c>
    </row>
    <row r="50706">
      <c r="A50706" s="1" t="n">
        <v>50705</v>
      </c>
      <c r="B50706">
        <f>TEXT(50705, "[$-0E0000]yyyy-mm-dd")</f>
        <v/>
      </c>
      <c r="C50706" t="inlineStr">
        <is>
          <t>2038-10-01</t>
        </is>
      </c>
    </row>
    <row r="50707">
      <c r="A50707" s="1" t="n">
        <v>50706</v>
      </c>
      <c r="B50707">
        <f>TEXT(50706, "[$-0E0000]yyyy-mm-dd")</f>
        <v/>
      </c>
      <c r="C50707" t="inlineStr">
        <is>
          <t>2038-10-02</t>
        </is>
      </c>
    </row>
    <row r="50708">
      <c r="A50708" s="1" t="n">
        <v>50707</v>
      </c>
      <c r="B50708">
        <f>TEXT(50707, "[$-0E0000]yyyy-mm-dd")</f>
        <v/>
      </c>
      <c r="C50708" t="inlineStr">
        <is>
          <t>2038-10-03</t>
        </is>
      </c>
    </row>
    <row r="50709">
      <c r="A50709" s="1" t="n">
        <v>50708</v>
      </c>
      <c r="B50709">
        <f>TEXT(50708, "[$-0E0000]yyyy-mm-dd")</f>
        <v/>
      </c>
      <c r="C50709" t="inlineStr">
        <is>
          <t>2038-10-04</t>
        </is>
      </c>
    </row>
    <row r="50710">
      <c r="A50710" s="1" t="n">
        <v>50709</v>
      </c>
      <c r="B50710">
        <f>TEXT(50709, "[$-0E0000]yyyy-mm-dd")</f>
        <v/>
      </c>
      <c r="C50710" t="inlineStr">
        <is>
          <t>2038-10-05</t>
        </is>
      </c>
    </row>
    <row r="50711">
      <c r="A50711" s="1" t="n">
        <v>50710</v>
      </c>
      <c r="B50711">
        <f>TEXT(50710, "[$-0E0000]yyyy-mm-dd")</f>
        <v/>
      </c>
      <c r="C50711" t="inlineStr">
        <is>
          <t>2038-10-06</t>
        </is>
      </c>
    </row>
    <row r="50712">
      <c r="A50712" s="1" t="n">
        <v>50711</v>
      </c>
      <c r="B50712">
        <f>TEXT(50711, "[$-0E0000]yyyy-mm-dd")</f>
        <v/>
      </c>
      <c r="C50712" t="inlineStr">
        <is>
          <t>2038-10-07</t>
        </is>
      </c>
    </row>
    <row r="50713">
      <c r="A50713" s="1" t="n">
        <v>50712</v>
      </c>
      <c r="B50713">
        <f>TEXT(50712, "[$-0E0000]yyyy-mm-dd")</f>
        <v/>
      </c>
      <c r="C50713" t="inlineStr">
        <is>
          <t>2038-10-08</t>
        </is>
      </c>
    </row>
    <row r="50714">
      <c r="A50714" s="1" t="n">
        <v>50713</v>
      </c>
      <c r="B50714">
        <f>TEXT(50713, "[$-0E0000]yyyy-mm-dd")</f>
        <v/>
      </c>
      <c r="C50714" t="inlineStr">
        <is>
          <t>2038-10-09</t>
        </is>
      </c>
    </row>
    <row r="50715">
      <c r="A50715" s="1" t="n">
        <v>50714</v>
      </c>
      <c r="B50715">
        <f>TEXT(50714, "[$-0E0000]yyyy-mm-dd")</f>
        <v/>
      </c>
      <c r="C50715" t="inlineStr">
        <is>
          <t>2038-10-10</t>
        </is>
      </c>
    </row>
    <row r="50716">
      <c r="A50716" s="1" t="n">
        <v>50715</v>
      </c>
      <c r="B50716">
        <f>TEXT(50715, "[$-0E0000]yyyy-mm-dd")</f>
        <v/>
      </c>
      <c r="C50716" t="inlineStr">
        <is>
          <t>2038-10-11</t>
        </is>
      </c>
    </row>
    <row r="50717">
      <c r="A50717" s="1" t="n">
        <v>50716</v>
      </c>
      <c r="B50717">
        <f>TEXT(50716, "[$-0E0000]yyyy-mm-dd")</f>
        <v/>
      </c>
      <c r="C50717" t="inlineStr">
        <is>
          <t>2038-10-12</t>
        </is>
      </c>
    </row>
    <row r="50718">
      <c r="A50718" s="1" t="n">
        <v>50717</v>
      </c>
      <c r="B50718">
        <f>TEXT(50717, "[$-0E0000]yyyy-mm-dd")</f>
        <v/>
      </c>
      <c r="C50718" t="inlineStr">
        <is>
          <t>2038-10-13</t>
        </is>
      </c>
    </row>
    <row r="50719">
      <c r="A50719" s="1" t="n">
        <v>50718</v>
      </c>
      <c r="B50719">
        <f>TEXT(50718, "[$-0E0000]yyyy-mm-dd")</f>
        <v/>
      </c>
      <c r="C50719" t="inlineStr">
        <is>
          <t>2038-10-14</t>
        </is>
      </c>
    </row>
    <row r="50720">
      <c r="A50720" s="1" t="n">
        <v>50719</v>
      </c>
      <c r="B50720">
        <f>TEXT(50719, "[$-0E0000]yyyy-mm-dd")</f>
        <v/>
      </c>
      <c r="C50720" t="inlineStr">
        <is>
          <t>2038-10-15</t>
        </is>
      </c>
    </row>
    <row r="50721">
      <c r="A50721" s="1" t="n">
        <v>50720</v>
      </c>
      <c r="B50721">
        <f>TEXT(50720, "[$-0E0000]yyyy-mm-dd")</f>
        <v/>
      </c>
      <c r="C50721" t="inlineStr">
        <is>
          <t>2038-10-16</t>
        </is>
      </c>
    </row>
    <row r="50722">
      <c r="A50722" s="1" t="n">
        <v>50721</v>
      </c>
      <c r="B50722">
        <f>TEXT(50721, "[$-0E0000]yyyy-mm-dd")</f>
        <v/>
      </c>
      <c r="C50722" t="inlineStr">
        <is>
          <t>2038-10-17</t>
        </is>
      </c>
    </row>
    <row r="50723">
      <c r="A50723" s="1" t="n">
        <v>50722</v>
      </c>
      <c r="B50723">
        <f>TEXT(50722, "[$-0E0000]yyyy-mm-dd")</f>
        <v/>
      </c>
      <c r="C50723" t="inlineStr">
        <is>
          <t>2038-10-18</t>
        </is>
      </c>
    </row>
    <row r="50724">
      <c r="A50724" s="1" t="n">
        <v>50723</v>
      </c>
      <c r="B50724">
        <f>TEXT(50723, "[$-0E0000]yyyy-mm-dd")</f>
        <v/>
      </c>
      <c r="C50724" t="inlineStr">
        <is>
          <t>2038-10-19</t>
        </is>
      </c>
    </row>
    <row r="50725">
      <c r="A50725" s="1" t="n">
        <v>50724</v>
      </c>
      <c r="B50725">
        <f>TEXT(50724, "[$-0E0000]yyyy-mm-dd")</f>
        <v/>
      </c>
      <c r="C50725" t="inlineStr">
        <is>
          <t>2038-10-20</t>
        </is>
      </c>
    </row>
    <row r="50726">
      <c r="A50726" s="1" t="n">
        <v>50725</v>
      </c>
      <c r="B50726">
        <f>TEXT(50725, "[$-0E0000]yyyy-mm-dd")</f>
        <v/>
      </c>
      <c r="C50726" t="inlineStr">
        <is>
          <t>2038-10-21</t>
        </is>
      </c>
    </row>
    <row r="50727">
      <c r="A50727" s="1" t="n">
        <v>50726</v>
      </c>
      <c r="B50727">
        <f>TEXT(50726, "[$-0E0000]yyyy-mm-dd")</f>
        <v/>
      </c>
      <c r="C50727" t="inlineStr">
        <is>
          <t>2038-10-22</t>
        </is>
      </c>
    </row>
    <row r="50728">
      <c r="A50728" s="1" t="n">
        <v>50727</v>
      </c>
      <c r="B50728">
        <f>TEXT(50727, "[$-0E0000]yyyy-mm-dd")</f>
        <v/>
      </c>
      <c r="C50728" t="inlineStr">
        <is>
          <t>2038-10-23</t>
        </is>
      </c>
    </row>
    <row r="50729">
      <c r="A50729" s="1" t="n">
        <v>50728</v>
      </c>
      <c r="B50729">
        <f>TEXT(50728, "[$-0E0000]yyyy-mm-dd")</f>
        <v/>
      </c>
      <c r="C50729" t="inlineStr">
        <is>
          <t>2038-10-24</t>
        </is>
      </c>
    </row>
    <row r="50730">
      <c r="A50730" s="1" t="n">
        <v>50729</v>
      </c>
      <c r="B50730">
        <f>TEXT(50729, "[$-0E0000]yyyy-mm-dd")</f>
        <v/>
      </c>
      <c r="C50730" t="inlineStr">
        <is>
          <t>2038-10-25</t>
        </is>
      </c>
    </row>
    <row r="50731">
      <c r="A50731" s="1" t="n">
        <v>50730</v>
      </c>
      <c r="B50731">
        <f>TEXT(50730, "[$-0E0000]yyyy-mm-dd")</f>
        <v/>
      </c>
      <c r="C50731" t="inlineStr">
        <is>
          <t>2038-10-26</t>
        </is>
      </c>
    </row>
    <row r="50732">
      <c r="A50732" s="1" t="n">
        <v>50731</v>
      </c>
      <c r="B50732">
        <f>TEXT(50731, "[$-0E0000]yyyy-mm-dd")</f>
        <v/>
      </c>
      <c r="C50732" t="inlineStr">
        <is>
          <t>2038-10-27</t>
        </is>
      </c>
    </row>
    <row r="50733">
      <c r="A50733" s="1" t="n">
        <v>50732</v>
      </c>
      <c r="B50733">
        <f>TEXT(50732, "[$-0E0000]yyyy-mm-dd")</f>
        <v/>
      </c>
      <c r="C50733" t="inlineStr">
        <is>
          <t>2038-10-28</t>
        </is>
      </c>
    </row>
    <row r="50734">
      <c r="A50734" s="1" t="n">
        <v>50733</v>
      </c>
      <c r="B50734">
        <f>TEXT(50733, "[$-0E0000]yyyy-mm-dd")</f>
        <v/>
      </c>
      <c r="C50734" t="inlineStr">
        <is>
          <t>2038-10-29</t>
        </is>
      </c>
    </row>
    <row r="50735">
      <c r="A50735" s="1" t="n">
        <v>50734</v>
      </c>
      <c r="B50735">
        <f>TEXT(50734, "[$-0E0000]yyyy-mm-dd")</f>
        <v/>
      </c>
      <c r="C50735" t="inlineStr">
        <is>
          <t>2038-11-01</t>
        </is>
      </c>
    </row>
    <row r="50736">
      <c r="A50736" s="1" t="n">
        <v>50735</v>
      </c>
      <c r="B50736">
        <f>TEXT(50735, "[$-0E0000]yyyy-mm-dd")</f>
        <v/>
      </c>
      <c r="C50736" t="inlineStr">
        <is>
          <t>2038-11-02</t>
        </is>
      </c>
    </row>
    <row r="50737">
      <c r="A50737" s="1" t="n">
        <v>50736</v>
      </c>
      <c r="B50737">
        <f>TEXT(50736, "[$-0E0000]yyyy-mm-dd")</f>
        <v/>
      </c>
      <c r="C50737" t="inlineStr">
        <is>
          <t>2038-11-03</t>
        </is>
      </c>
    </row>
    <row r="50738">
      <c r="A50738" s="1" t="n">
        <v>50737</v>
      </c>
      <c r="B50738">
        <f>TEXT(50737, "[$-0E0000]yyyy-mm-dd")</f>
        <v/>
      </c>
      <c r="C50738" t="inlineStr">
        <is>
          <t>2038-11-04</t>
        </is>
      </c>
    </row>
    <row r="50739">
      <c r="A50739" s="1" t="n">
        <v>50738</v>
      </c>
      <c r="B50739">
        <f>TEXT(50738, "[$-0E0000]yyyy-mm-dd")</f>
        <v/>
      </c>
      <c r="C50739" t="inlineStr">
        <is>
          <t>2038-11-05</t>
        </is>
      </c>
    </row>
    <row r="50740">
      <c r="A50740" s="1" t="n">
        <v>50739</v>
      </c>
      <c r="B50740">
        <f>TEXT(50739, "[$-0E0000]yyyy-mm-dd")</f>
        <v/>
      </c>
      <c r="C50740" t="inlineStr">
        <is>
          <t>2038-11-06</t>
        </is>
      </c>
    </row>
    <row r="50741">
      <c r="A50741" s="1" t="n">
        <v>50740</v>
      </c>
      <c r="B50741">
        <f>TEXT(50740, "[$-0E0000]yyyy-mm-dd")</f>
        <v/>
      </c>
      <c r="C50741" t="inlineStr">
        <is>
          <t>2038-11-07</t>
        </is>
      </c>
    </row>
    <row r="50742">
      <c r="A50742" s="1" t="n">
        <v>50741</v>
      </c>
      <c r="B50742">
        <f>TEXT(50741, "[$-0E0000]yyyy-mm-dd")</f>
        <v/>
      </c>
      <c r="C50742" t="inlineStr">
        <is>
          <t>2038-11-08</t>
        </is>
      </c>
    </row>
    <row r="50743">
      <c r="A50743" s="1" t="n">
        <v>50742</v>
      </c>
      <c r="B50743">
        <f>TEXT(50742, "[$-0E0000]yyyy-mm-dd")</f>
        <v/>
      </c>
      <c r="C50743" t="inlineStr">
        <is>
          <t>2038-11-09</t>
        </is>
      </c>
    </row>
    <row r="50744">
      <c r="A50744" s="1" t="n">
        <v>50743</v>
      </c>
      <c r="B50744">
        <f>TEXT(50743, "[$-0E0000]yyyy-mm-dd")</f>
        <v/>
      </c>
      <c r="C50744" t="inlineStr">
        <is>
          <t>2038-11-10</t>
        </is>
      </c>
    </row>
    <row r="50745">
      <c r="A50745" s="1" t="n">
        <v>50744</v>
      </c>
      <c r="B50745">
        <f>TEXT(50744, "[$-0E0000]yyyy-mm-dd")</f>
        <v/>
      </c>
      <c r="C50745" t="inlineStr">
        <is>
          <t>2038-11-11</t>
        </is>
      </c>
    </row>
    <row r="50746">
      <c r="A50746" s="1" t="n">
        <v>50745</v>
      </c>
      <c r="B50746">
        <f>TEXT(50745, "[$-0E0000]yyyy-mm-dd")</f>
        <v/>
      </c>
      <c r="C50746" t="inlineStr">
        <is>
          <t>2038-11-12</t>
        </is>
      </c>
    </row>
    <row r="50747">
      <c r="A50747" s="1" t="n">
        <v>50746</v>
      </c>
      <c r="B50747">
        <f>TEXT(50746, "[$-0E0000]yyyy-mm-dd")</f>
        <v/>
      </c>
      <c r="C50747" t="inlineStr">
        <is>
          <t>2038-11-13</t>
        </is>
      </c>
    </row>
    <row r="50748">
      <c r="A50748" s="1" t="n">
        <v>50747</v>
      </c>
      <c r="B50748">
        <f>TEXT(50747, "[$-0E0000]yyyy-mm-dd")</f>
        <v/>
      </c>
      <c r="C50748" t="inlineStr">
        <is>
          <t>2038-11-14</t>
        </is>
      </c>
    </row>
    <row r="50749">
      <c r="A50749" s="1" t="n">
        <v>50748</v>
      </c>
      <c r="B50749">
        <f>TEXT(50748, "[$-0E0000]yyyy-mm-dd")</f>
        <v/>
      </c>
      <c r="C50749" t="inlineStr">
        <is>
          <t>2038-11-15</t>
        </is>
      </c>
    </row>
    <row r="50750">
      <c r="A50750" s="1" t="n">
        <v>50749</v>
      </c>
      <c r="B50750">
        <f>TEXT(50749, "[$-0E0000]yyyy-mm-dd")</f>
        <v/>
      </c>
      <c r="C50750" t="inlineStr">
        <is>
          <t>2038-11-16</t>
        </is>
      </c>
    </row>
    <row r="50751">
      <c r="A50751" s="1" t="n">
        <v>50750</v>
      </c>
      <c r="B50751">
        <f>TEXT(50750, "[$-0E0000]yyyy-mm-dd")</f>
        <v/>
      </c>
      <c r="C50751" t="inlineStr">
        <is>
          <t>2038-11-17</t>
        </is>
      </c>
    </row>
    <row r="50752">
      <c r="A50752" s="1" t="n">
        <v>50751</v>
      </c>
      <c r="B50752">
        <f>TEXT(50751, "[$-0E0000]yyyy-mm-dd")</f>
        <v/>
      </c>
      <c r="C50752" t="inlineStr">
        <is>
          <t>2038-11-18</t>
        </is>
      </c>
    </row>
    <row r="50753">
      <c r="A50753" s="1" t="n">
        <v>50752</v>
      </c>
      <c r="B50753">
        <f>TEXT(50752, "[$-0E0000]yyyy-mm-dd")</f>
        <v/>
      </c>
      <c r="C50753" t="inlineStr">
        <is>
          <t>2038-11-19</t>
        </is>
      </c>
    </row>
    <row r="50754">
      <c r="A50754" s="1" t="n">
        <v>50753</v>
      </c>
      <c r="B50754">
        <f>TEXT(50753, "[$-0E0000]yyyy-mm-dd")</f>
        <v/>
      </c>
      <c r="C50754" t="inlineStr">
        <is>
          <t>2038-11-20</t>
        </is>
      </c>
    </row>
    <row r="50755">
      <c r="A50755" s="1" t="n">
        <v>50754</v>
      </c>
      <c r="B50755">
        <f>TEXT(50754, "[$-0E0000]yyyy-mm-dd")</f>
        <v/>
      </c>
      <c r="C50755" t="inlineStr">
        <is>
          <t>2038-11-21</t>
        </is>
      </c>
    </row>
    <row r="50756">
      <c r="A50756" s="1" t="n">
        <v>50755</v>
      </c>
      <c r="B50756">
        <f>TEXT(50755, "[$-0E0000]yyyy-mm-dd")</f>
        <v/>
      </c>
      <c r="C50756" t="inlineStr">
        <is>
          <t>2038-11-22</t>
        </is>
      </c>
    </row>
    <row r="50757">
      <c r="A50757" s="1" t="n">
        <v>50756</v>
      </c>
      <c r="B50757">
        <f>TEXT(50756, "[$-0E0000]yyyy-mm-dd")</f>
        <v/>
      </c>
      <c r="C50757" t="inlineStr">
        <is>
          <t>2038-11-23</t>
        </is>
      </c>
    </row>
    <row r="50758">
      <c r="A50758" s="1" t="n">
        <v>50757</v>
      </c>
      <c r="B50758">
        <f>TEXT(50757, "[$-0E0000]yyyy-mm-dd")</f>
        <v/>
      </c>
      <c r="C50758" t="inlineStr">
        <is>
          <t>2038-11-24</t>
        </is>
      </c>
    </row>
    <row r="50759">
      <c r="A50759" s="1" t="n">
        <v>50758</v>
      </c>
      <c r="B50759">
        <f>TEXT(50758, "[$-0E0000]yyyy-mm-dd")</f>
        <v/>
      </c>
      <c r="C50759" t="inlineStr">
        <is>
          <t>2038-11-25</t>
        </is>
      </c>
    </row>
    <row r="50760">
      <c r="A50760" s="1" t="n">
        <v>50759</v>
      </c>
      <c r="B50760">
        <f>TEXT(50759, "[$-0E0000]yyyy-mm-dd")</f>
        <v/>
      </c>
      <c r="C50760" t="inlineStr">
        <is>
          <t>2038-11-26</t>
        </is>
      </c>
    </row>
    <row r="50761">
      <c r="A50761" s="1" t="n">
        <v>50760</v>
      </c>
      <c r="B50761">
        <f>TEXT(50760, "[$-0E0000]yyyy-mm-dd")</f>
        <v/>
      </c>
      <c r="C50761" t="inlineStr">
        <is>
          <t>2038-11-27</t>
        </is>
      </c>
    </row>
    <row r="50762">
      <c r="A50762" s="1" t="n">
        <v>50761</v>
      </c>
      <c r="B50762">
        <f>TEXT(50761, "[$-0E0000]yyyy-mm-dd")</f>
        <v/>
      </c>
      <c r="C50762" t="inlineStr">
        <is>
          <t>2038-11-28</t>
        </is>
      </c>
    </row>
    <row r="50763">
      <c r="A50763" s="1" t="n">
        <v>50762</v>
      </c>
      <c r="B50763">
        <f>TEXT(50762, "[$-0E0000]yyyy-mm-dd")</f>
        <v/>
      </c>
      <c r="C50763" t="inlineStr">
        <is>
          <t>2038-11-29</t>
        </is>
      </c>
    </row>
    <row r="50764">
      <c r="A50764" s="1" t="n">
        <v>50763</v>
      </c>
      <c r="B50764">
        <f>TEXT(50763, "[$-0E0000]yyyy-mm-dd")</f>
        <v/>
      </c>
      <c r="C50764" t="inlineStr">
        <is>
          <t>2038-11-30</t>
        </is>
      </c>
    </row>
    <row r="50765">
      <c r="A50765" s="1" t="n">
        <v>50764</v>
      </c>
      <c r="B50765">
        <f>TEXT(50764, "[$-0E0000]yyyy-mm-dd")</f>
        <v/>
      </c>
      <c r="C50765" t="inlineStr">
        <is>
          <t>2038-12-01</t>
        </is>
      </c>
    </row>
    <row r="50766">
      <c r="A50766" s="1" t="n">
        <v>50765</v>
      </c>
      <c r="B50766">
        <f>TEXT(50765, "[$-0E0000]yyyy-mm-dd")</f>
        <v/>
      </c>
      <c r="C50766" t="inlineStr">
        <is>
          <t>2038-12-02</t>
        </is>
      </c>
    </row>
    <row r="50767">
      <c r="A50767" s="1" t="n">
        <v>50766</v>
      </c>
      <c r="B50767">
        <f>TEXT(50766, "[$-0E0000]yyyy-mm-dd")</f>
        <v/>
      </c>
      <c r="C50767" t="inlineStr">
        <is>
          <t>2038-12-03</t>
        </is>
      </c>
    </row>
    <row r="50768">
      <c r="A50768" s="1" t="n">
        <v>50767</v>
      </c>
      <c r="B50768">
        <f>TEXT(50767, "[$-0E0000]yyyy-mm-dd")</f>
        <v/>
      </c>
      <c r="C50768" t="inlineStr">
        <is>
          <t>2038-12-04</t>
        </is>
      </c>
    </row>
    <row r="50769">
      <c r="A50769" s="1" t="n">
        <v>50768</v>
      </c>
      <c r="B50769">
        <f>TEXT(50768, "[$-0E0000]yyyy-mm-dd")</f>
        <v/>
      </c>
      <c r="C50769" t="inlineStr">
        <is>
          <t>2038-12-05</t>
        </is>
      </c>
    </row>
    <row r="50770">
      <c r="A50770" s="1" t="n">
        <v>50769</v>
      </c>
      <c r="B50770">
        <f>TEXT(50769, "[$-0E0000]yyyy-mm-dd")</f>
        <v/>
      </c>
      <c r="C50770" t="inlineStr">
        <is>
          <t>2038-12-06</t>
        </is>
      </c>
    </row>
    <row r="50771">
      <c r="A50771" s="1" t="n">
        <v>50770</v>
      </c>
      <c r="B50771">
        <f>TEXT(50770, "[$-0E0000]yyyy-mm-dd")</f>
        <v/>
      </c>
      <c r="C50771" t="inlineStr">
        <is>
          <t>2038-12-07</t>
        </is>
      </c>
    </row>
    <row r="50772">
      <c r="A50772" s="1" t="n">
        <v>50771</v>
      </c>
      <c r="B50772">
        <f>TEXT(50771, "[$-0E0000]yyyy-mm-dd")</f>
        <v/>
      </c>
      <c r="C50772" t="inlineStr">
        <is>
          <t>2038-12-08</t>
        </is>
      </c>
    </row>
    <row r="50773">
      <c r="A50773" s="1" t="n">
        <v>50772</v>
      </c>
      <c r="B50773">
        <f>TEXT(50772, "[$-0E0000]yyyy-mm-dd")</f>
        <v/>
      </c>
      <c r="C50773" t="inlineStr">
        <is>
          <t>2038-12-09</t>
        </is>
      </c>
    </row>
    <row r="50774">
      <c r="A50774" s="1" t="n">
        <v>50773</v>
      </c>
      <c r="B50774">
        <f>TEXT(50773, "[$-0E0000]yyyy-mm-dd")</f>
        <v/>
      </c>
      <c r="C50774" t="inlineStr">
        <is>
          <t>2038-12-10</t>
        </is>
      </c>
    </row>
    <row r="50775">
      <c r="A50775" s="1" t="n">
        <v>50774</v>
      </c>
      <c r="B50775">
        <f>TEXT(50774, "[$-0E0000]yyyy-mm-dd")</f>
        <v/>
      </c>
      <c r="C50775" t="inlineStr">
        <is>
          <t>2038-12-11</t>
        </is>
      </c>
    </row>
    <row r="50776">
      <c r="A50776" s="1" t="n">
        <v>50775</v>
      </c>
      <c r="B50776">
        <f>TEXT(50775, "[$-0E0000]yyyy-mm-dd")</f>
        <v/>
      </c>
      <c r="C50776" t="inlineStr">
        <is>
          <t>2038-12-12</t>
        </is>
      </c>
    </row>
    <row r="50777">
      <c r="A50777" s="1" t="n">
        <v>50776</v>
      </c>
      <c r="B50777">
        <f>TEXT(50776, "[$-0E0000]yyyy-mm-dd")</f>
        <v/>
      </c>
      <c r="C50777" t="inlineStr">
        <is>
          <t>2038-12-13</t>
        </is>
      </c>
    </row>
    <row r="50778">
      <c r="A50778" s="1" t="n">
        <v>50777</v>
      </c>
      <c r="B50778">
        <f>TEXT(50777, "[$-0E0000]yyyy-mm-dd")</f>
        <v/>
      </c>
      <c r="C50778" t="inlineStr">
        <is>
          <t>2038-12-14</t>
        </is>
      </c>
    </row>
    <row r="50779">
      <c r="A50779" s="1" t="n">
        <v>50778</v>
      </c>
      <c r="B50779">
        <f>TEXT(50778, "[$-0E0000]yyyy-mm-dd")</f>
        <v/>
      </c>
      <c r="C50779" t="inlineStr">
        <is>
          <t>2038-12-15</t>
        </is>
      </c>
    </row>
    <row r="50780">
      <c r="A50780" s="1" t="n">
        <v>50779</v>
      </c>
      <c r="B50780">
        <f>TEXT(50779, "[$-0E0000]yyyy-mm-dd")</f>
        <v/>
      </c>
      <c r="C50780" t="inlineStr">
        <is>
          <t>2038-12-16</t>
        </is>
      </c>
    </row>
    <row r="50781">
      <c r="A50781" s="1" t="n">
        <v>50780</v>
      </c>
      <c r="B50781">
        <f>TEXT(50780, "[$-0E0000]yyyy-mm-dd")</f>
        <v/>
      </c>
      <c r="C50781" t="inlineStr">
        <is>
          <t>2038-12-17</t>
        </is>
      </c>
    </row>
    <row r="50782">
      <c r="A50782" s="1" t="n">
        <v>50781</v>
      </c>
      <c r="B50782">
        <f>TEXT(50781, "[$-0E0000]yyyy-mm-dd")</f>
        <v/>
      </c>
      <c r="C50782" t="inlineStr">
        <is>
          <t>2038-12-18</t>
        </is>
      </c>
    </row>
    <row r="50783">
      <c r="A50783" s="1" t="n">
        <v>50782</v>
      </c>
      <c r="B50783">
        <f>TEXT(50782, "[$-0E0000]yyyy-mm-dd")</f>
        <v/>
      </c>
      <c r="C50783" t="inlineStr">
        <is>
          <t>2038-12-19</t>
        </is>
      </c>
    </row>
    <row r="50784">
      <c r="A50784" s="1" t="n">
        <v>50783</v>
      </c>
      <c r="B50784">
        <f>TEXT(50783, "[$-0E0000]yyyy-mm-dd")</f>
        <v/>
      </c>
      <c r="C50784" t="inlineStr">
        <is>
          <t>2038-12-20</t>
        </is>
      </c>
    </row>
    <row r="50785">
      <c r="A50785" s="1" t="n">
        <v>50784</v>
      </c>
      <c r="B50785">
        <f>TEXT(50784, "[$-0E0000]yyyy-mm-dd")</f>
        <v/>
      </c>
      <c r="C50785" t="inlineStr">
        <is>
          <t>2038-12-21</t>
        </is>
      </c>
    </row>
    <row r="50786">
      <c r="A50786" s="1" t="n">
        <v>50785</v>
      </c>
      <c r="B50786">
        <f>TEXT(50785, "[$-0E0000]yyyy-mm-dd")</f>
        <v/>
      </c>
      <c r="C50786" t="inlineStr">
        <is>
          <t>2038-12-22</t>
        </is>
      </c>
    </row>
    <row r="50787">
      <c r="A50787" s="1" t="n">
        <v>50786</v>
      </c>
      <c r="B50787">
        <f>TEXT(50786, "[$-0E0000]yyyy-mm-dd")</f>
        <v/>
      </c>
      <c r="C50787" t="inlineStr">
        <is>
          <t>2038-12-23</t>
        </is>
      </c>
    </row>
    <row r="50788">
      <c r="A50788" s="1" t="n">
        <v>50787</v>
      </c>
      <c r="B50788">
        <f>TEXT(50787, "[$-0E0000]yyyy-mm-dd")</f>
        <v/>
      </c>
      <c r="C50788" t="inlineStr">
        <is>
          <t>2038-12-24</t>
        </is>
      </c>
    </row>
    <row r="50789">
      <c r="A50789" s="1" t="n">
        <v>50788</v>
      </c>
      <c r="B50789">
        <f>TEXT(50788, "[$-0E0000]yyyy-mm-dd")</f>
        <v/>
      </c>
      <c r="C50789" t="inlineStr">
        <is>
          <t>2038-12-25</t>
        </is>
      </c>
    </row>
    <row r="50790">
      <c r="A50790" s="1" t="n">
        <v>50789</v>
      </c>
      <c r="B50790">
        <f>TEXT(50789, "[$-0E0000]yyyy-mm-dd")</f>
        <v/>
      </c>
      <c r="C50790" t="inlineStr">
        <is>
          <t>2038-12-26</t>
        </is>
      </c>
    </row>
    <row r="50791">
      <c r="A50791" s="1" t="n">
        <v>50790</v>
      </c>
      <c r="B50791">
        <f>TEXT(50790, "[$-0E0000]yyyy-mm-dd")</f>
        <v/>
      </c>
      <c r="C50791" t="inlineStr">
        <is>
          <t>2038-12-27</t>
        </is>
      </c>
    </row>
    <row r="50792">
      <c r="A50792" s="1" t="n">
        <v>50791</v>
      </c>
      <c r="B50792">
        <f>TEXT(50791, "[$-0E0000]yyyy-mm-dd")</f>
        <v/>
      </c>
      <c r="C50792" t="inlineStr">
        <is>
          <t>2038-12-28</t>
        </is>
      </c>
    </row>
    <row r="50793">
      <c r="A50793" s="1" t="n">
        <v>50792</v>
      </c>
      <c r="B50793">
        <f>TEXT(50792, "[$-0E0000]yyyy-mm-dd")</f>
        <v/>
      </c>
      <c r="C50793" t="inlineStr">
        <is>
          <t>2038-12-29</t>
        </is>
      </c>
    </row>
    <row r="50794">
      <c r="A50794" s="1" t="n">
        <v>50793</v>
      </c>
      <c r="B50794">
        <f>TEXT(50793, "[$-0E0000]yyyy-mm-dd")</f>
        <v/>
      </c>
      <c r="C50794" t="inlineStr">
        <is>
          <t>2039-01-01</t>
        </is>
      </c>
    </row>
    <row r="50795">
      <c r="A50795" s="1" t="n">
        <v>50794</v>
      </c>
      <c r="B50795">
        <f>TEXT(50794, "[$-0E0000]yyyy-mm-dd")</f>
        <v/>
      </c>
      <c r="C50795" t="inlineStr">
        <is>
          <t>2039-01-02</t>
        </is>
      </c>
    </row>
    <row r="50796">
      <c r="A50796" s="1" t="n">
        <v>50795</v>
      </c>
      <c r="B50796">
        <f>TEXT(50795, "[$-0E0000]yyyy-mm-dd")</f>
        <v/>
      </c>
      <c r="C50796" t="inlineStr">
        <is>
          <t>2039-01-03</t>
        </is>
      </c>
    </row>
    <row r="50797">
      <c r="A50797" s="1" t="n">
        <v>50796</v>
      </c>
      <c r="B50797">
        <f>TEXT(50796, "[$-0E0000]yyyy-mm-dd")</f>
        <v/>
      </c>
      <c r="C50797" t="inlineStr">
        <is>
          <t>2039-01-04</t>
        </is>
      </c>
    </row>
    <row r="50798">
      <c r="A50798" s="1" t="n">
        <v>50797</v>
      </c>
      <c r="B50798">
        <f>TEXT(50797, "[$-0E0000]yyyy-mm-dd")</f>
        <v/>
      </c>
      <c r="C50798" t="inlineStr">
        <is>
          <t>2039-01-05</t>
        </is>
      </c>
    </row>
    <row r="50799">
      <c r="A50799" s="1" t="n">
        <v>50798</v>
      </c>
      <c r="B50799">
        <f>TEXT(50798, "[$-0E0000]yyyy-mm-dd")</f>
        <v/>
      </c>
      <c r="C50799" t="inlineStr">
        <is>
          <t>2039-01-06</t>
        </is>
      </c>
    </row>
    <row r="50800">
      <c r="A50800" s="1" t="n">
        <v>50799</v>
      </c>
      <c r="B50800">
        <f>TEXT(50799, "[$-0E0000]yyyy-mm-dd")</f>
        <v/>
      </c>
      <c r="C50800" t="inlineStr">
        <is>
          <t>2039-01-07</t>
        </is>
      </c>
    </row>
    <row r="50801">
      <c r="A50801" s="1" t="n">
        <v>50800</v>
      </c>
      <c r="B50801">
        <f>TEXT(50800, "[$-0E0000]yyyy-mm-dd")</f>
        <v/>
      </c>
      <c r="C50801" t="inlineStr">
        <is>
          <t>2039-01-08</t>
        </is>
      </c>
    </row>
    <row r="50802">
      <c r="A50802" s="1" t="n">
        <v>50801</v>
      </c>
      <c r="B50802">
        <f>TEXT(50801, "[$-0E0000]yyyy-mm-dd")</f>
        <v/>
      </c>
      <c r="C50802" t="inlineStr">
        <is>
          <t>2039-01-09</t>
        </is>
      </c>
    </row>
    <row r="50803">
      <c r="A50803" s="1" t="n">
        <v>50802</v>
      </c>
      <c r="B50803">
        <f>TEXT(50802, "[$-0E0000]yyyy-mm-dd")</f>
        <v/>
      </c>
      <c r="C50803" t="inlineStr">
        <is>
          <t>2039-01-10</t>
        </is>
      </c>
    </row>
    <row r="50804">
      <c r="A50804" s="1" t="n">
        <v>50803</v>
      </c>
      <c r="B50804">
        <f>TEXT(50803, "[$-0E0000]yyyy-mm-dd")</f>
        <v/>
      </c>
      <c r="C50804" t="inlineStr">
        <is>
          <t>2039-01-11</t>
        </is>
      </c>
    </row>
    <row r="50805">
      <c r="A50805" s="1" t="n">
        <v>50804</v>
      </c>
      <c r="B50805">
        <f>TEXT(50804, "[$-0E0000]yyyy-mm-dd")</f>
        <v/>
      </c>
      <c r="C50805" t="inlineStr">
        <is>
          <t>2039-01-12</t>
        </is>
      </c>
    </row>
    <row r="50806">
      <c r="A50806" s="1" t="n">
        <v>50805</v>
      </c>
      <c r="B50806">
        <f>TEXT(50805, "[$-0E0000]yyyy-mm-dd")</f>
        <v/>
      </c>
      <c r="C50806" t="inlineStr">
        <is>
          <t>2039-01-13</t>
        </is>
      </c>
    </row>
    <row r="50807">
      <c r="A50807" s="1" t="n">
        <v>50806</v>
      </c>
      <c r="B50807">
        <f>TEXT(50806, "[$-0E0000]yyyy-mm-dd")</f>
        <v/>
      </c>
      <c r="C50807" t="inlineStr">
        <is>
          <t>2039-01-14</t>
        </is>
      </c>
    </row>
    <row r="50808">
      <c r="A50808" s="1" t="n">
        <v>50807</v>
      </c>
      <c r="B50808">
        <f>TEXT(50807, "[$-0E0000]yyyy-mm-dd")</f>
        <v/>
      </c>
      <c r="C50808" t="inlineStr">
        <is>
          <t>2039-01-15</t>
        </is>
      </c>
    </row>
    <row r="50809">
      <c r="A50809" s="1" t="n">
        <v>50808</v>
      </c>
      <c r="B50809">
        <f>TEXT(50808, "[$-0E0000]yyyy-mm-dd")</f>
        <v/>
      </c>
      <c r="C50809" t="inlineStr">
        <is>
          <t>2039-01-16</t>
        </is>
      </c>
    </row>
    <row r="50810">
      <c r="A50810" s="1" t="n">
        <v>50809</v>
      </c>
      <c r="B50810">
        <f>TEXT(50809, "[$-0E0000]yyyy-mm-dd")</f>
        <v/>
      </c>
      <c r="C50810" t="inlineStr">
        <is>
          <t>2039-01-17</t>
        </is>
      </c>
    </row>
    <row r="50811">
      <c r="A50811" s="1" t="n">
        <v>50810</v>
      </c>
      <c r="B50811">
        <f>TEXT(50810, "[$-0E0000]yyyy-mm-dd")</f>
        <v/>
      </c>
      <c r="C50811" t="inlineStr">
        <is>
          <t>2039-01-18</t>
        </is>
      </c>
    </row>
    <row r="50812">
      <c r="A50812" s="1" t="n">
        <v>50811</v>
      </c>
      <c r="B50812">
        <f>TEXT(50811, "[$-0E0000]yyyy-mm-dd")</f>
        <v/>
      </c>
      <c r="C50812" t="inlineStr">
        <is>
          <t>2039-01-19</t>
        </is>
      </c>
    </row>
    <row r="50813">
      <c r="A50813" s="1" t="n">
        <v>50812</v>
      </c>
      <c r="B50813">
        <f>TEXT(50812, "[$-0E0000]yyyy-mm-dd")</f>
        <v/>
      </c>
      <c r="C50813" t="inlineStr">
        <is>
          <t>2039-01-20</t>
        </is>
      </c>
    </row>
    <row r="50814">
      <c r="A50814" s="1" t="n">
        <v>50813</v>
      </c>
      <c r="B50814">
        <f>TEXT(50813, "[$-0E0000]yyyy-mm-dd")</f>
        <v/>
      </c>
      <c r="C50814" t="inlineStr">
        <is>
          <t>2039-01-21</t>
        </is>
      </c>
    </row>
    <row r="50815">
      <c r="A50815" s="1" t="n">
        <v>50814</v>
      </c>
      <c r="B50815">
        <f>TEXT(50814, "[$-0E0000]yyyy-mm-dd")</f>
        <v/>
      </c>
      <c r="C50815" t="inlineStr">
        <is>
          <t>2039-01-22</t>
        </is>
      </c>
    </row>
    <row r="50816">
      <c r="A50816" s="1" t="n">
        <v>50815</v>
      </c>
      <c r="B50816">
        <f>TEXT(50815, "[$-0E0000]yyyy-mm-dd")</f>
        <v/>
      </c>
      <c r="C50816" t="inlineStr">
        <is>
          <t>2039-01-23</t>
        </is>
      </c>
    </row>
    <row r="50817">
      <c r="A50817" s="1" t="n">
        <v>50816</v>
      </c>
      <c r="B50817">
        <f>TEXT(50816, "[$-0E0000]yyyy-mm-dd")</f>
        <v/>
      </c>
      <c r="C50817" t="inlineStr">
        <is>
          <t>2039-01-24</t>
        </is>
      </c>
    </row>
    <row r="50818">
      <c r="A50818" s="1" t="n">
        <v>50817</v>
      </c>
      <c r="B50818">
        <f>TEXT(50817, "[$-0E0000]yyyy-mm-dd")</f>
        <v/>
      </c>
      <c r="C50818" t="inlineStr">
        <is>
          <t>2039-01-25</t>
        </is>
      </c>
    </row>
    <row r="50819">
      <c r="A50819" s="1" t="n">
        <v>50818</v>
      </c>
      <c r="B50819">
        <f>TEXT(50818, "[$-0E0000]yyyy-mm-dd")</f>
        <v/>
      </c>
      <c r="C50819" t="inlineStr">
        <is>
          <t>2039-01-26</t>
        </is>
      </c>
    </row>
    <row r="50820">
      <c r="A50820" s="1" t="n">
        <v>50819</v>
      </c>
      <c r="B50820">
        <f>TEXT(50819, "[$-0E0000]yyyy-mm-dd")</f>
        <v/>
      </c>
      <c r="C50820" t="inlineStr">
        <is>
          <t>2039-01-27</t>
        </is>
      </c>
    </row>
    <row r="50821">
      <c r="A50821" s="1" t="n">
        <v>50820</v>
      </c>
      <c r="B50821">
        <f>TEXT(50820, "[$-0E0000]yyyy-mm-dd")</f>
        <v/>
      </c>
      <c r="C50821" t="inlineStr">
        <is>
          <t>2039-01-28</t>
        </is>
      </c>
    </row>
    <row r="50822">
      <c r="A50822" s="1" t="n">
        <v>50821</v>
      </c>
      <c r="B50822">
        <f>TEXT(50821, "[$-0E0000]yyyy-mm-dd")</f>
        <v/>
      </c>
      <c r="C50822" t="inlineStr">
        <is>
          <t>2039-01-29</t>
        </is>
      </c>
    </row>
    <row r="50823">
      <c r="A50823" s="1" t="n">
        <v>50822</v>
      </c>
      <c r="B50823">
        <f>TEXT(50822, "[$-0E0000]yyyy-mm-dd")</f>
        <v/>
      </c>
      <c r="C50823" t="inlineStr">
        <is>
          <t>2039-01-30</t>
        </is>
      </c>
    </row>
    <row r="50824">
      <c r="A50824" s="1" t="n">
        <v>50823</v>
      </c>
      <c r="B50824">
        <f>TEXT(50823, "[$-0E0000]yyyy-mm-dd")</f>
        <v/>
      </c>
      <c r="C50824" t="inlineStr">
        <is>
          <t>2039-02-01</t>
        </is>
      </c>
    </row>
    <row r="50825">
      <c r="A50825" s="1" t="n">
        <v>50824</v>
      </c>
      <c r="B50825">
        <f>TEXT(50824, "[$-0E0000]yyyy-mm-dd")</f>
        <v/>
      </c>
      <c r="C50825" t="inlineStr">
        <is>
          <t>2039-02-02</t>
        </is>
      </c>
    </row>
    <row r="50826">
      <c r="A50826" s="1" t="n">
        <v>50825</v>
      </c>
      <c r="B50826">
        <f>TEXT(50825, "[$-0E0000]yyyy-mm-dd")</f>
        <v/>
      </c>
      <c r="C50826" t="inlineStr">
        <is>
          <t>2039-02-03</t>
        </is>
      </c>
    </row>
    <row r="50827">
      <c r="A50827" s="1" t="n">
        <v>50826</v>
      </c>
      <c r="B50827">
        <f>TEXT(50826, "[$-0E0000]yyyy-mm-dd")</f>
        <v/>
      </c>
      <c r="C50827" t="inlineStr">
        <is>
          <t>2039-02-04</t>
        </is>
      </c>
    </row>
    <row r="50828">
      <c r="A50828" s="1" t="n">
        <v>50827</v>
      </c>
      <c r="B50828">
        <f>TEXT(50827, "[$-0E0000]yyyy-mm-dd")</f>
        <v/>
      </c>
      <c r="C50828" t="inlineStr">
        <is>
          <t>2039-02-05</t>
        </is>
      </c>
    </row>
    <row r="50829">
      <c r="A50829" s="1" t="n">
        <v>50828</v>
      </c>
      <c r="B50829">
        <f>TEXT(50828, "[$-0E0000]yyyy-mm-dd")</f>
        <v/>
      </c>
      <c r="C50829" t="inlineStr">
        <is>
          <t>2039-02-06</t>
        </is>
      </c>
    </row>
    <row r="50830">
      <c r="A50830" s="1" t="n">
        <v>50829</v>
      </c>
      <c r="B50830">
        <f>TEXT(50829, "[$-0E0000]yyyy-mm-dd")</f>
        <v/>
      </c>
      <c r="C50830" t="inlineStr">
        <is>
          <t>2039-02-07</t>
        </is>
      </c>
    </row>
    <row r="50831">
      <c r="A50831" s="1" t="n">
        <v>50830</v>
      </c>
      <c r="B50831">
        <f>TEXT(50830, "[$-0E0000]yyyy-mm-dd")</f>
        <v/>
      </c>
      <c r="C50831" t="inlineStr">
        <is>
          <t>2039-02-08</t>
        </is>
      </c>
    </row>
    <row r="50832">
      <c r="A50832" s="1" t="n">
        <v>50831</v>
      </c>
      <c r="B50832">
        <f>TEXT(50831, "[$-0E0000]yyyy-mm-dd")</f>
        <v/>
      </c>
      <c r="C50832" t="inlineStr">
        <is>
          <t>2039-02-09</t>
        </is>
      </c>
    </row>
    <row r="50833">
      <c r="A50833" s="1" t="n">
        <v>50832</v>
      </c>
      <c r="B50833">
        <f>TEXT(50832, "[$-0E0000]yyyy-mm-dd")</f>
        <v/>
      </c>
      <c r="C50833" t="inlineStr">
        <is>
          <t>2039-02-10</t>
        </is>
      </c>
    </row>
    <row r="50834">
      <c r="A50834" s="1" t="n">
        <v>50833</v>
      </c>
      <c r="B50834">
        <f>TEXT(50833, "[$-0E0000]yyyy-mm-dd")</f>
        <v/>
      </c>
      <c r="C50834" t="inlineStr">
        <is>
          <t>2039-02-11</t>
        </is>
      </c>
    </row>
    <row r="50835">
      <c r="A50835" s="1" t="n">
        <v>50834</v>
      </c>
      <c r="B50835">
        <f>TEXT(50834, "[$-0E0000]yyyy-mm-dd")</f>
        <v/>
      </c>
      <c r="C50835" t="inlineStr">
        <is>
          <t>2039-02-12</t>
        </is>
      </c>
    </row>
    <row r="50836">
      <c r="A50836" s="1" t="n">
        <v>50835</v>
      </c>
      <c r="B50836">
        <f>TEXT(50835, "[$-0E0000]yyyy-mm-dd")</f>
        <v/>
      </c>
      <c r="C50836" t="inlineStr">
        <is>
          <t>2039-02-13</t>
        </is>
      </c>
    </row>
    <row r="50837">
      <c r="A50837" s="1" t="n">
        <v>50836</v>
      </c>
      <c r="B50837">
        <f>TEXT(50836, "[$-0E0000]yyyy-mm-dd")</f>
        <v/>
      </c>
      <c r="C50837" t="inlineStr">
        <is>
          <t>2039-02-14</t>
        </is>
      </c>
    </row>
    <row r="50838">
      <c r="A50838" s="1" t="n">
        <v>50837</v>
      </c>
      <c r="B50838">
        <f>TEXT(50837, "[$-0E0000]yyyy-mm-dd")</f>
        <v/>
      </c>
      <c r="C50838" t="inlineStr">
        <is>
          <t>2039-02-15</t>
        </is>
      </c>
    </row>
    <row r="50839">
      <c r="A50839" s="1" t="n">
        <v>50838</v>
      </c>
      <c r="B50839">
        <f>TEXT(50838, "[$-0E0000]yyyy-mm-dd")</f>
        <v/>
      </c>
      <c r="C50839" t="inlineStr">
        <is>
          <t>2039-02-16</t>
        </is>
      </c>
    </row>
    <row r="50840">
      <c r="A50840" s="1" t="n">
        <v>50839</v>
      </c>
      <c r="B50840">
        <f>TEXT(50839, "[$-0E0000]yyyy-mm-dd")</f>
        <v/>
      </c>
      <c r="C50840" t="inlineStr">
        <is>
          <t>2039-02-17</t>
        </is>
      </c>
    </row>
    <row r="50841">
      <c r="A50841" s="1" t="n">
        <v>50840</v>
      </c>
      <c r="B50841">
        <f>TEXT(50840, "[$-0E0000]yyyy-mm-dd")</f>
        <v/>
      </c>
      <c r="C50841" t="inlineStr">
        <is>
          <t>2039-02-18</t>
        </is>
      </c>
    </row>
    <row r="50842">
      <c r="A50842" s="1" t="n">
        <v>50841</v>
      </c>
      <c r="B50842">
        <f>TEXT(50841, "[$-0E0000]yyyy-mm-dd")</f>
        <v/>
      </c>
      <c r="C50842" t="inlineStr">
        <is>
          <t>2039-02-19</t>
        </is>
      </c>
    </row>
    <row r="50843">
      <c r="A50843" s="1" t="n">
        <v>50842</v>
      </c>
      <c r="B50843">
        <f>TEXT(50842, "[$-0E0000]yyyy-mm-dd")</f>
        <v/>
      </c>
      <c r="C50843" t="inlineStr">
        <is>
          <t>2039-02-20</t>
        </is>
      </c>
    </row>
    <row r="50844">
      <c r="A50844" s="1" t="n">
        <v>50843</v>
      </c>
      <c r="B50844">
        <f>TEXT(50843, "[$-0E0000]yyyy-mm-dd")</f>
        <v/>
      </c>
      <c r="C50844" t="inlineStr">
        <is>
          <t>2039-02-21</t>
        </is>
      </c>
    </row>
    <row r="50845">
      <c r="A50845" s="1" t="n">
        <v>50844</v>
      </c>
      <c r="B50845">
        <f>TEXT(50844, "[$-0E0000]yyyy-mm-dd")</f>
        <v/>
      </c>
      <c r="C50845" t="inlineStr">
        <is>
          <t>2039-02-22</t>
        </is>
      </c>
    </row>
    <row r="50846">
      <c r="A50846" s="1" t="n">
        <v>50845</v>
      </c>
      <c r="B50846">
        <f>TEXT(50845, "[$-0E0000]yyyy-mm-dd")</f>
        <v/>
      </c>
      <c r="C50846" t="inlineStr">
        <is>
          <t>2039-02-23</t>
        </is>
      </c>
    </row>
    <row r="50847">
      <c r="A50847" s="1" t="n">
        <v>50846</v>
      </c>
      <c r="B50847">
        <f>TEXT(50846, "[$-0E0000]yyyy-mm-dd")</f>
        <v/>
      </c>
      <c r="C50847" t="inlineStr">
        <is>
          <t>2039-02-24</t>
        </is>
      </c>
    </row>
    <row r="50848">
      <c r="A50848" s="1" t="n">
        <v>50847</v>
      </c>
      <c r="B50848">
        <f>TEXT(50847, "[$-0E0000]yyyy-mm-dd")</f>
        <v/>
      </c>
      <c r="C50848" t="inlineStr">
        <is>
          <t>2039-02-25</t>
        </is>
      </c>
    </row>
    <row r="50849">
      <c r="A50849" s="1" t="n">
        <v>50848</v>
      </c>
      <c r="B50849">
        <f>TEXT(50848, "[$-0E0000]yyyy-mm-dd")</f>
        <v/>
      </c>
      <c r="C50849" t="inlineStr">
        <is>
          <t>2039-02-26</t>
        </is>
      </c>
    </row>
    <row r="50850">
      <c r="A50850" s="1" t="n">
        <v>50849</v>
      </c>
      <c r="B50850">
        <f>TEXT(50849, "[$-0E0000]yyyy-mm-dd")</f>
        <v/>
      </c>
      <c r="C50850" t="inlineStr">
        <is>
          <t>2039-02-27</t>
        </is>
      </c>
    </row>
    <row r="50851">
      <c r="A50851" s="1" t="n">
        <v>50850</v>
      </c>
      <c r="B50851">
        <f>TEXT(50850, "[$-0E0000]yyyy-mm-dd")</f>
        <v/>
      </c>
      <c r="C50851" t="inlineStr">
        <is>
          <t>2039-02-28</t>
        </is>
      </c>
    </row>
    <row r="50852">
      <c r="A50852" s="1" t="n">
        <v>50851</v>
      </c>
      <c r="B50852">
        <f>TEXT(50851, "[$-0E0000]yyyy-mm-dd")</f>
        <v/>
      </c>
      <c r="C50852" t="inlineStr">
        <is>
          <t>2039-02-29</t>
        </is>
      </c>
    </row>
    <row r="50853">
      <c r="A50853" s="1" t="n">
        <v>50852</v>
      </c>
      <c r="B50853">
        <f>TEXT(50852, "[$-0E0000]yyyy-mm-dd")</f>
        <v/>
      </c>
      <c r="C50853" t="inlineStr">
        <is>
          <t>2039-02-30</t>
        </is>
      </c>
    </row>
    <row r="50854">
      <c r="A50854" s="1" t="n">
        <v>50853</v>
      </c>
      <c r="B50854">
        <f>TEXT(50853, "[$-0E0000]yyyy-mm-dd")</f>
        <v/>
      </c>
      <c r="C50854" t="inlineStr">
        <is>
          <t>2039-03-01</t>
        </is>
      </c>
    </row>
    <row r="50855">
      <c r="A50855" s="1" t="n">
        <v>50854</v>
      </c>
      <c r="B50855">
        <f>TEXT(50854, "[$-0E0000]yyyy-mm-dd")</f>
        <v/>
      </c>
      <c r="C50855" t="inlineStr">
        <is>
          <t>2039-03-02</t>
        </is>
      </c>
    </row>
    <row r="50856">
      <c r="A50856" s="1" t="n">
        <v>50855</v>
      </c>
      <c r="B50856">
        <f>TEXT(50855, "[$-0E0000]yyyy-mm-dd")</f>
        <v/>
      </c>
      <c r="C50856" t="inlineStr">
        <is>
          <t>2039-03-03</t>
        </is>
      </c>
    </row>
    <row r="50857">
      <c r="A50857" s="1" t="n">
        <v>50856</v>
      </c>
      <c r="B50857">
        <f>TEXT(50856, "[$-0E0000]yyyy-mm-dd")</f>
        <v/>
      </c>
      <c r="C50857" t="inlineStr">
        <is>
          <t>2039-03-04</t>
        </is>
      </c>
    </row>
    <row r="50858">
      <c r="A50858" s="1" t="n">
        <v>50857</v>
      </c>
      <c r="B50858">
        <f>TEXT(50857, "[$-0E0000]yyyy-mm-dd")</f>
        <v/>
      </c>
      <c r="C50858" t="inlineStr">
        <is>
          <t>2039-03-05</t>
        </is>
      </c>
    </row>
    <row r="50859">
      <c r="A50859" s="1" t="n">
        <v>50858</v>
      </c>
      <c r="B50859">
        <f>TEXT(50858, "[$-0E0000]yyyy-mm-dd")</f>
        <v/>
      </c>
      <c r="C50859" t="inlineStr">
        <is>
          <t>2039-03-06</t>
        </is>
      </c>
    </row>
    <row r="50860">
      <c r="A50860" s="1" t="n">
        <v>50859</v>
      </c>
      <c r="B50860">
        <f>TEXT(50859, "[$-0E0000]yyyy-mm-dd")</f>
        <v/>
      </c>
      <c r="C50860" t="inlineStr">
        <is>
          <t>2039-03-07</t>
        </is>
      </c>
    </row>
    <row r="50861">
      <c r="A50861" s="1" t="n">
        <v>50860</v>
      </c>
      <c r="B50861">
        <f>TEXT(50860, "[$-0E0000]yyyy-mm-dd")</f>
        <v/>
      </c>
      <c r="C50861" t="inlineStr">
        <is>
          <t>2039-03-08</t>
        </is>
      </c>
    </row>
    <row r="50862">
      <c r="A50862" s="1" t="n">
        <v>50861</v>
      </c>
      <c r="B50862">
        <f>TEXT(50861, "[$-0E0000]yyyy-mm-dd")</f>
        <v/>
      </c>
      <c r="C50862" t="inlineStr">
        <is>
          <t>2039-03-09</t>
        </is>
      </c>
    </row>
    <row r="50863">
      <c r="A50863" s="1" t="n">
        <v>50862</v>
      </c>
      <c r="B50863">
        <f>TEXT(50862, "[$-0E0000]yyyy-mm-dd")</f>
        <v/>
      </c>
      <c r="C50863" t="inlineStr">
        <is>
          <t>2039-03-10</t>
        </is>
      </c>
    </row>
    <row r="50864">
      <c r="A50864" s="1" t="n">
        <v>50863</v>
      </c>
      <c r="B50864">
        <f>TEXT(50863, "[$-0E0000]yyyy-mm-dd")</f>
        <v/>
      </c>
      <c r="C50864" t="inlineStr">
        <is>
          <t>2039-03-11</t>
        </is>
      </c>
    </row>
    <row r="50865">
      <c r="A50865" s="1" t="n">
        <v>50864</v>
      </c>
      <c r="B50865">
        <f>TEXT(50864, "[$-0E0000]yyyy-mm-dd")</f>
        <v/>
      </c>
      <c r="C50865" t="inlineStr">
        <is>
          <t>2039-03-12</t>
        </is>
      </c>
    </row>
    <row r="50866">
      <c r="A50866" s="1" t="n">
        <v>50865</v>
      </c>
      <c r="B50866">
        <f>TEXT(50865, "[$-0E0000]yyyy-mm-dd")</f>
        <v/>
      </c>
      <c r="C50866" t="inlineStr">
        <is>
          <t>2039-03-13</t>
        </is>
      </c>
    </row>
    <row r="50867">
      <c r="A50867" s="1" t="n">
        <v>50866</v>
      </c>
      <c r="B50867">
        <f>TEXT(50866, "[$-0E0000]yyyy-mm-dd")</f>
        <v/>
      </c>
      <c r="C50867" t="inlineStr">
        <is>
          <t>2039-03-14</t>
        </is>
      </c>
    </row>
    <row r="50868">
      <c r="A50868" s="1" t="n">
        <v>50867</v>
      </c>
      <c r="B50868">
        <f>TEXT(50867, "[$-0E0000]yyyy-mm-dd")</f>
        <v/>
      </c>
      <c r="C50868" t="inlineStr">
        <is>
          <t>2039-03-15</t>
        </is>
      </c>
    </row>
    <row r="50869">
      <c r="A50869" s="1" t="n">
        <v>50868</v>
      </c>
      <c r="B50869">
        <f>TEXT(50868, "[$-0E0000]yyyy-mm-dd")</f>
        <v/>
      </c>
      <c r="C50869" t="inlineStr">
        <is>
          <t>2039-03-16</t>
        </is>
      </c>
    </row>
    <row r="50870">
      <c r="A50870" s="1" t="n">
        <v>50869</v>
      </c>
      <c r="B50870">
        <f>TEXT(50869, "[$-0E0000]yyyy-mm-dd")</f>
        <v/>
      </c>
      <c r="C50870" t="inlineStr">
        <is>
          <t>2039-03-17</t>
        </is>
      </c>
    </row>
    <row r="50871">
      <c r="A50871" s="1" t="n">
        <v>50870</v>
      </c>
      <c r="B50871">
        <f>TEXT(50870, "[$-0E0000]yyyy-mm-dd")</f>
        <v/>
      </c>
      <c r="C50871" t="inlineStr">
        <is>
          <t>2039-03-18</t>
        </is>
      </c>
    </row>
    <row r="50872">
      <c r="A50872" s="1" t="n">
        <v>50871</v>
      </c>
      <c r="B50872">
        <f>TEXT(50871, "[$-0E0000]yyyy-mm-dd")</f>
        <v/>
      </c>
      <c r="C50872" t="inlineStr">
        <is>
          <t>2039-03-19</t>
        </is>
      </c>
    </row>
    <row r="50873">
      <c r="A50873" s="1" t="n">
        <v>50872</v>
      </c>
      <c r="B50873">
        <f>TEXT(50872, "[$-0E0000]yyyy-mm-dd")</f>
        <v/>
      </c>
      <c r="C50873" t="inlineStr">
        <is>
          <t>2039-03-20</t>
        </is>
      </c>
    </row>
    <row r="50874">
      <c r="A50874" s="1" t="n">
        <v>50873</v>
      </c>
      <c r="B50874">
        <f>TEXT(50873, "[$-0E0000]yyyy-mm-dd")</f>
        <v/>
      </c>
      <c r="C50874" t="inlineStr">
        <is>
          <t>2039-03-21</t>
        </is>
      </c>
    </row>
    <row r="50875">
      <c r="A50875" s="1" t="n">
        <v>50874</v>
      </c>
      <c r="B50875">
        <f>TEXT(50874, "[$-0E0000]yyyy-mm-dd")</f>
        <v/>
      </c>
      <c r="C50875" t="inlineStr">
        <is>
          <t>2039-03-22</t>
        </is>
      </c>
    </row>
    <row r="50876">
      <c r="A50876" s="1" t="n">
        <v>50875</v>
      </c>
      <c r="B50876">
        <f>TEXT(50875, "[$-0E0000]yyyy-mm-dd")</f>
        <v/>
      </c>
      <c r="C50876" t="inlineStr">
        <is>
          <t>2039-03-23</t>
        </is>
      </c>
    </row>
    <row r="50877">
      <c r="A50877" s="1" t="n">
        <v>50876</v>
      </c>
      <c r="B50877">
        <f>TEXT(50876, "[$-0E0000]yyyy-mm-dd")</f>
        <v/>
      </c>
      <c r="C50877" t="inlineStr">
        <is>
          <t>2039-03-24</t>
        </is>
      </c>
    </row>
    <row r="50878">
      <c r="A50878" s="1" t="n">
        <v>50877</v>
      </c>
      <c r="B50878">
        <f>TEXT(50877, "[$-0E0000]yyyy-mm-dd")</f>
        <v/>
      </c>
      <c r="C50878" t="inlineStr">
        <is>
          <t>2039-03-25</t>
        </is>
      </c>
    </row>
    <row r="50879">
      <c r="A50879" s="1" t="n">
        <v>50878</v>
      </c>
      <c r="B50879">
        <f>TEXT(50878, "[$-0E0000]yyyy-mm-dd")</f>
        <v/>
      </c>
      <c r="C50879" t="inlineStr">
        <is>
          <t>2039-03-26</t>
        </is>
      </c>
    </row>
    <row r="50880">
      <c r="A50880" s="1" t="n">
        <v>50879</v>
      </c>
      <c r="B50880">
        <f>TEXT(50879, "[$-0E0000]yyyy-mm-dd")</f>
        <v/>
      </c>
      <c r="C50880" t="inlineStr">
        <is>
          <t>2039-03-27</t>
        </is>
      </c>
    </row>
    <row r="50881">
      <c r="A50881" s="1" t="n">
        <v>50880</v>
      </c>
      <c r="B50881">
        <f>TEXT(50880, "[$-0E0000]yyyy-mm-dd")</f>
        <v/>
      </c>
      <c r="C50881" t="inlineStr">
        <is>
          <t>2039-03-28</t>
        </is>
      </c>
    </row>
    <row r="50882">
      <c r="A50882" s="1" t="n">
        <v>50881</v>
      </c>
      <c r="B50882">
        <f>TEXT(50881, "[$-0E0000]yyyy-mm-dd")</f>
        <v/>
      </c>
      <c r="C50882" t="inlineStr">
        <is>
          <t>2039-03-29</t>
        </is>
      </c>
    </row>
    <row r="50883">
      <c r="A50883" s="1" t="n">
        <v>50882</v>
      </c>
      <c r="B50883">
        <f>TEXT(50882, "[$-0E0000]yyyy-mm-dd")</f>
        <v/>
      </c>
      <c r="C50883" t="inlineStr">
        <is>
          <t>2039-04-01</t>
        </is>
      </c>
    </row>
    <row r="50884">
      <c r="A50884" s="1" t="n">
        <v>50883</v>
      </c>
      <c r="B50884">
        <f>TEXT(50883, "[$-0E0000]yyyy-mm-dd")</f>
        <v/>
      </c>
      <c r="C50884" t="inlineStr">
        <is>
          <t>2039-04-02</t>
        </is>
      </c>
    </row>
    <row r="50885">
      <c r="A50885" s="1" t="n">
        <v>50884</v>
      </c>
      <c r="B50885">
        <f>TEXT(50884, "[$-0E0000]yyyy-mm-dd")</f>
        <v/>
      </c>
      <c r="C50885" t="inlineStr">
        <is>
          <t>2039-04-03</t>
        </is>
      </c>
    </row>
    <row r="50886">
      <c r="A50886" s="1" t="n">
        <v>50885</v>
      </c>
      <c r="B50886">
        <f>TEXT(50885, "[$-0E0000]yyyy-mm-dd")</f>
        <v/>
      </c>
      <c r="C50886" t="inlineStr">
        <is>
          <t>2039-04-04</t>
        </is>
      </c>
    </row>
    <row r="50887">
      <c r="A50887" s="1" t="n">
        <v>50886</v>
      </c>
      <c r="B50887">
        <f>TEXT(50886, "[$-0E0000]yyyy-mm-dd")</f>
        <v/>
      </c>
      <c r="C50887" t="inlineStr">
        <is>
          <t>2039-04-05</t>
        </is>
      </c>
    </row>
    <row r="50888">
      <c r="A50888" s="1" t="n">
        <v>50887</v>
      </c>
      <c r="B50888">
        <f>TEXT(50887, "[$-0E0000]yyyy-mm-dd")</f>
        <v/>
      </c>
      <c r="C50888" t="inlineStr">
        <is>
          <t>2039-04-06</t>
        </is>
      </c>
    </row>
    <row r="50889">
      <c r="A50889" s="1" t="n">
        <v>50888</v>
      </c>
      <c r="B50889">
        <f>TEXT(50888, "[$-0E0000]yyyy-mm-dd")</f>
        <v/>
      </c>
      <c r="C50889" t="inlineStr">
        <is>
          <t>2039-04-07</t>
        </is>
      </c>
    </row>
    <row r="50890">
      <c r="A50890" s="1" t="n">
        <v>50889</v>
      </c>
      <c r="B50890">
        <f>TEXT(50889, "[$-0E0000]yyyy-mm-dd")</f>
        <v/>
      </c>
      <c r="C50890" t="inlineStr">
        <is>
          <t>2039-04-08</t>
        </is>
      </c>
    </row>
    <row r="50891">
      <c r="A50891" s="1" t="n">
        <v>50890</v>
      </c>
      <c r="B50891">
        <f>TEXT(50890, "[$-0E0000]yyyy-mm-dd")</f>
        <v/>
      </c>
      <c r="C50891" t="inlineStr">
        <is>
          <t>2039-04-09</t>
        </is>
      </c>
    </row>
    <row r="50892">
      <c r="A50892" s="1" t="n">
        <v>50891</v>
      </c>
      <c r="B50892">
        <f>TEXT(50891, "[$-0E0000]yyyy-mm-dd")</f>
        <v/>
      </c>
      <c r="C50892" t="inlineStr">
        <is>
          <t>2039-04-10</t>
        </is>
      </c>
    </row>
    <row r="50893">
      <c r="A50893" s="1" t="n">
        <v>50892</v>
      </c>
      <c r="B50893">
        <f>TEXT(50892, "[$-0E0000]yyyy-mm-dd")</f>
        <v/>
      </c>
      <c r="C50893" t="inlineStr">
        <is>
          <t>2039-04-11</t>
        </is>
      </c>
    </row>
    <row r="50894">
      <c r="A50894" s="1" t="n">
        <v>50893</v>
      </c>
      <c r="B50894">
        <f>TEXT(50893, "[$-0E0000]yyyy-mm-dd")</f>
        <v/>
      </c>
      <c r="C50894" t="inlineStr">
        <is>
          <t>2039-04-12</t>
        </is>
      </c>
    </row>
    <row r="50895">
      <c r="A50895" s="1" t="n">
        <v>50894</v>
      </c>
      <c r="B50895">
        <f>TEXT(50894, "[$-0E0000]yyyy-mm-dd")</f>
        <v/>
      </c>
      <c r="C50895" t="inlineStr">
        <is>
          <t>2039-04-13</t>
        </is>
      </c>
    </row>
    <row r="50896">
      <c r="A50896" s="1" t="n">
        <v>50895</v>
      </c>
      <c r="B50896">
        <f>TEXT(50895, "[$-0E0000]yyyy-mm-dd")</f>
        <v/>
      </c>
      <c r="C50896" t="inlineStr">
        <is>
          <t>2039-04-14</t>
        </is>
      </c>
    </row>
    <row r="50897">
      <c r="A50897" s="1" t="n">
        <v>50896</v>
      </c>
      <c r="B50897">
        <f>TEXT(50896, "[$-0E0000]yyyy-mm-dd")</f>
        <v/>
      </c>
      <c r="C50897" t="inlineStr">
        <is>
          <t>2039-04-15</t>
        </is>
      </c>
    </row>
    <row r="50898">
      <c r="A50898" s="1" t="n">
        <v>50897</v>
      </c>
      <c r="B50898">
        <f>TEXT(50897, "[$-0E0000]yyyy-mm-dd")</f>
        <v/>
      </c>
      <c r="C50898" t="inlineStr">
        <is>
          <t>2039-04-16</t>
        </is>
      </c>
    </row>
    <row r="50899">
      <c r="A50899" s="1" t="n">
        <v>50898</v>
      </c>
      <c r="B50899">
        <f>TEXT(50898, "[$-0E0000]yyyy-mm-dd")</f>
        <v/>
      </c>
      <c r="C50899" t="inlineStr">
        <is>
          <t>2039-04-17</t>
        </is>
      </c>
    </row>
    <row r="50900">
      <c r="A50900" s="1" t="n">
        <v>50899</v>
      </c>
      <c r="B50900">
        <f>TEXT(50899, "[$-0E0000]yyyy-mm-dd")</f>
        <v/>
      </c>
      <c r="C50900" t="inlineStr">
        <is>
          <t>2039-04-18</t>
        </is>
      </c>
    </row>
    <row r="50901">
      <c r="A50901" s="1" t="n">
        <v>50900</v>
      </c>
      <c r="B50901">
        <f>TEXT(50900, "[$-0E0000]yyyy-mm-dd")</f>
        <v/>
      </c>
      <c r="C50901" t="inlineStr">
        <is>
          <t>2039-04-19</t>
        </is>
      </c>
    </row>
    <row r="50902">
      <c r="A50902" s="1" t="n">
        <v>50901</v>
      </c>
      <c r="B50902">
        <f>TEXT(50901, "[$-0E0000]yyyy-mm-dd")</f>
        <v/>
      </c>
      <c r="C50902" t="inlineStr">
        <is>
          <t>2039-04-20</t>
        </is>
      </c>
    </row>
    <row r="50903">
      <c r="A50903" s="1" t="n">
        <v>50902</v>
      </c>
      <c r="B50903">
        <f>TEXT(50902, "[$-0E0000]yyyy-mm-dd")</f>
        <v/>
      </c>
      <c r="C50903" t="inlineStr">
        <is>
          <t>2039-04-21</t>
        </is>
      </c>
    </row>
    <row r="50904">
      <c r="A50904" s="1" t="n">
        <v>50903</v>
      </c>
      <c r="B50904">
        <f>TEXT(50903, "[$-0E0000]yyyy-mm-dd")</f>
        <v/>
      </c>
      <c r="C50904" t="inlineStr">
        <is>
          <t>2039-04-22</t>
        </is>
      </c>
    </row>
    <row r="50905">
      <c r="A50905" s="1" t="n">
        <v>50904</v>
      </c>
      <c r="B50905">
        <f>TEXT(50904, "[$-0E0000]yyyy-mm-dd")</f>
        <v/>
      </c>
      <c r="C50905" t="inlineStr">
        <is>
          <t>2039-04-23</t>
        </is>
      </c>
    </row>
    <row r="50906">
      <c r="A50906" s="1" t="n">
        <v>50905</v>
      </c>
      <c r="B50906">
        <f>TEXT(50905, "[$-0E0000]yyyy-mm-dd")</f>
        <v/>
      </c>
      <c r="C50906" t="inlineStr">
        <is>
          <t>2039-04-24</t>
        </is>
      </c>
    </row>
    <row r="50907">
      <c r="A50907" s="1" t="n">
        <v>50906</v>
      </c>
      <c r="B50907">
        <f>TEXT(50906, "[$-0E0000]yyyy-mm-dd")</f>
        <v/>
      </c>
      <c r="C50907" t="inlineStr">
        <is>
          <t>2039-04-25</t>
        </is>
      </c>
    </row>
    <row r="50908">
      <c r="A50908" s="1" t="n">
        <v>50907</v>
      </c>
      <c r="B50908">
        <f>TEXT(50907, "[$-0E0000]yyyy-mm-dd")</f>
        <v/>
      </c>
      <c r="C50908" t="inlineStr">
        <is>
          <t>2039-04-26</t>
        </is>
      </c>
    </row>
    <row r="50909">
      <c r="A50909" s="1" t="n">
        <v>50908</v>
      </c>
      <c r="B50909">
        <f>TEXT(50908, "[$-0E0000]yyyy-mm-dd")</f>
        <v/>
      </c>
      <c r="C50909" t="inlineStr">
        <is>
          <t>2039-04-27</t>
        </is>
      </c>
    </row>
    <row r="50910">
      <c r="A50910" s="1" t="n">
        <v>50909</v>
      </c>
      <c r="B50910">
        <f>TEXT(50909, "[$-0E0000]yyyy-mm-dd")</f>
        <v/>
      </c>
      <c r="C50910" t="inlineStr">
        <is>
          <t>2039-04-28</t>
        </is>
      </c>
    </row>
    <row r="50911">
      <c r="A50911" s="1" t="n">
        <v>50910</v>
      </c>
      <c r="B50911">
        <f>TEXT(50910, "[$-0E0000]yyyy-mm-dd")</f>
        <v/>
      </c>
      <c r="C50911" t="inlineStr">
        <is>
          <t>2039-04-29</t>
        </is>
      </c>
    </row>
    <row r="50912">
      <c r="A50912" s="1" t="n">
        <v>50911</v>
      </c>
      <c r="B50912">
        <f>TEXT(50911, "[$-0E0000]yyyy-mm-dd")</f>
        <v/>
      </c>
      <c r="C50912" t="inlineStr">
        <is>
          <t>2039-04-30</t>
        </is>
      </c>
    </row>
    <row r="50913">
      <c r="A50913" s="1" t="n">
        <v>50912</v>
      </c>
      <c r="B50913">
        <f>TEXT(50912, "[$-0E0000]yyyy-mm-dd")</f>
        <v/>
      </c>
      <c r="C50913" t="inlineStr">
        <is>
          <t>2039-05-01</t>
        </is>
      </c>
    </row>
    <row r="50914">
      <c r="A50914" s="1" t="n">
        <v>50913</v>
      </c>
      <c r="B50914">
        <f>TEXT(50913, "[$-0E0000]yyyy-mm-dd")</f>
        <v/>
      </c>
      <c r="C50914" t="inlineStr">
        <is>
          <t>2039-05-02</t>
        </is>
      </c>
    </row>
    <row r="50915">
      <c r="A50915" s="1" t="n">
        <v>50914</v>
      </c>
      <c r="B50915">
        <f>TEXT(50914, "[$-0E0000]yyyy-mm-dd")</f>
        <v/>
      </c>
      <c r="C50915" t="inlineStr">
        <is>
          <t>2039-05-03</t>
        </is>
      </c>
    </row>
    <row r="50916">
      <c r="A50916" s="1" t="n">
        <v>50915</v>
      </c>
      <c r="B50916">
        <f>TEXT(50915, "[$-0E0000]yyyy-mm-dd")</f>
        <v/>
      </c>
      <c r="C50916" t="inlineStr">
        <is>
          <t>2039-05-04</t>
        </is>
      </c>
    </row>
    <row r="50917">
      <c r="A50917" s="1" t="n">
        <v>50916</v>
      </c>
      <c r="B50917">
        <f>TEXT(50916, "[$-0E0000]yyyy-mm-dd")</f>
        <v/>
      </c>
      <c r="C50917" t="inlineStr">
        <is>
          <t>2039-05-05</t>
        </is>
      </c>
    </row>
    <row r="50918">
      <c r="A50918" s="1" t="n">
        <v>50917</v>
      </c>
      <c r="B50918">
        <f>TEXT(50917, "[$-0E0000]yyyy-mm-dd")</f>
        <v/>
      </c>
      <c r="C50918" t="inlineStr">
        <is>
          <t>2039-05-06</t>
        </is>
      </c>
    </row>
    <row r="50919">
      <c r="A50919" s="1" t="n">
        <v>50918</v>
      </c>
      <c r="B50919">
        <f>TEXT(50918, "[$-0E0000]yyyy-mm-dd")</f>
        <v/>
      </c>
      <c r="C50919" t="inlineStr">
        <is>
          <t>2039-05-07</t>
        </is>
      </c>
    </row>
    <row r="50920">
      <c r="A50920" s="1" t="n">
        <v>50919</v>
      </c>
      <c r="B50920">
        <f>TEXT(50919, "[$-0E0000]yyyy-mm-dd")</f>
        <v/>
      </c>
      <c r="C50920" t="inlineStr">
        <is>
          <t>2039-05-08</t>
        </is>
      </c>
    </row>
    <row r="50921">
      <c r="A50921" s="1" t="n">
        <v>50920</v>
      </c>
      <c r="B50921">
        <f>TEXT(50920, "[$-0E0000]yyyy-mm-dd")</f>
        <v/>
      </c>
      <c r="C50921" t="inlineStr">
        <is>
          <t>2039-05-09</t>
        </is>
      </c>
    </row>
    <row r="50922">
      <c r="A50922" s="1" t="n">
        <v>50921</v>
      </c>
      <c r="B50922">
        <f>TEXT(50921, "[$-0E0000]yyyy-mm-dd")</f>
        <v/>
      </c>
      <c r="C50922" t="inlineStr">
        <is>
          <t>2039-05-10</t>
        </is>
      </c>
    </row>
    <row r="50923">
      <c r="A50923" s="1" t="n">
        <v>50922</v>
      </c>
      <c r="B50923">
        <f>TEXT(50922, "[$-0E0000]yyyy-mm-dd")</f>
        <v/>
      </c>
      <c r="C50923" t="inlineStr">
        <is>
          <t>2039-05-11</t>
        </is>
      </c>
    </row>
    <row r="50924">
      <c r="A50924" s="1" t="n">
        <v>50923</v>
      </c>
      <c r="B50924">
        <f>TEXT(50923, "[$-0E0000]yyyy-mm-dd")</f>
        <v/>
      </c>
      <c r="C50924" t="inlineStr">
        <is>
          <t>2039-05-12</t>
        </is>
      </c>
    </row>
    <row r="50925">
      <c r="A50925" s="1" t="n">
        <v>50924</v>
      </c>
      <c r="B50925">
        <f>TEXT(50924, "[$-0E0000]yyyy-mm-dd")</f>
        <v/>
      </c>
      <c r="C50925" t="inlineStr">
        <is>
          <t>2039-05-13</t>
        </is>
      </c>
    </row>
    <row r="50926">
      <c r="A50926" s="1" t="n">
        <v>50925</v>
      </c>
      <c r="B50926">
        <f>TEXT(50925, "[$-0E0000]yyyy-mm-dd")</f>
        <v/>
      </c>
      <c r="C50926" t="inlineStr">
        <is>
          <t>2039-05-14</t>
        </is>
      </c>
    </row>
    <row r="50927">
      <c r="A50927" s="1" t="n">
        <v>50926</v>
      </c>
      <c r="B50927">
        <f>TEXT(50926, "[$-0E0000]yyyy-mm-dd")</f>
        <v/>
      </c>
      <c r="C50927" t="inlineStr">
        <is>
          <t>2039-05-15</t>
        </is>
      </c>
    </row>
    <row r="50928">
      <c r="A50928" s="1" t="n">
        <v>50927</v>
      </c>
      <c r="B50928">
        <f>TEXT(50927, "[$-0E0000]yyyy-mm-dd")</f>
        <v/>
      </c>
      <c r="C50928" t="inlineStr">
        <is>
          <t>2039-05-16</t>
        </is>
      </c>
    </row>
    <row r="50929">
      <c r="A50929" s="1" t="n">
        <v>50928</v>
      </c>
      <c r="B50929">
        <f>TEXT(50928, "[$-0E0000]yyyy-mm-dd")</f>
        <v/>
      </c>
      <c r="C50929" t="inlineStr">
        <is>
          <t>2039-05-17</t>
        </is>
      </c>
    </row>
    <row r="50930">
      <c r="A50930" s="1" t="n">
        <v>50929</v>
      </c>
      <c r="B50930">
        <f>TEXT(50929, "[$-0E0000]yyyy-mm-dd")</f>
        <v/>
      </c>
      <c r="C50930" t="inlineStr">
        <is>
          <t>2039-05-18</t>
        </is>
      </c>
    </row>
    <row r="50931">
      <c r="A50931" s="1" t="n">
        <v>50930</v>
      </c>
      <c r="B50931">
        <f>TEXT(50930, "[$-0E0000]yyyy-mm-dd")</f>
        <v/>
      </c>
      <c r="C50931" t="inlineStr">
        <is>
          <t>2039-05-19</t>
        </is>
      </c>
    </row>
    <row r="50932">
      <c r="A50932" s="1" t="n">
        <v>50931</v>
      </c>
      <c r="B50932">
        <f>TEXT(50931, "[$-0E0000]yyyy-mm-dd")</f>
        <v/>
      </c>
      <c r="C50932" t="inlineStr">
        <is>
          <t>2039-05-20</t>
        </is>
      </c>
    </row>
    <row r="50933">
      <c r="A50933" s="1" t="n">
        <v>50932</v>
      </c>
      <c r="B50933">
        <f>TEXT(50932, "[$-0E0000]yyyy-mm-dd")</f>
        <v/>
      </c>
      <c r="C50933" t="inlineStr">
        <is>
          <t>2039-05-21</t>
        </is>
      </c>
    </row>
    <row r="50934">
      <c r="A50934" s="1" t="n">
        <v>50933</v>
      </c>
      <c r="B50934">
        <f>TEXT(50933, "[$-0E0000]yyyy-mm-dd")</f>
        <v/>
      </c>
      <c r="C50934" t="inlineStr">
        <is>
          <t>2039-05-22</t>
        </is>
      </c>
    </row>
    <row r="50935">
      <c r="A50935" s="1" t="n">
        <v>50934</v>
      </c>
      <c r="B50935">
        <f>TEXT(50934, "[$-0E0000]yyyy-mm-dd")</f>
        <v/>
      </c>
      <c r="C50935" t="inlineStr">
        <is>
          <t>2039-05-23</t>
        </is>
      </c>
    </row>
    <row r="50936">
      <c r="A50936" s="1" t="n">
        <v>50935</v>
      </c>
      <c r="B50936">
        <f>TEXT(50935, "[$-0E0000]yyyy-mm-dd")</f>
        <v/>
      </c>
      <c r="C50936" t="inlineStr">
        <is>
          <t>2039-05-24</t>
        </is>
      </c>
    </row>
    <row r="50937">
      <c r="A50937" s="1" t="n">
        <v>50936</v>
      </c>
      <c r="B50937">
        <f>TEXT(50936, "[$-0E0000]yyyy-mm-dd")</f>
        <v/>
      </c>
      <c r="C50937" t="inlineStr">
        <is>
          <t>2039-05-25</t>
        </is>
      </c>
    </row>
    <row r="50938">
      <c r="A50938" s="1" t="n">
        <v>50937</v>
      </c>
      <c r="B50938">
        <f>TEXT(50937, "[$-0E0000]yyyy-mm-dd")</f>
        <v/>
      </c>
      <c r="C50938" t="inlineStr">
        <is>
          <t>2039-05-26</t>
        </is>
      </c>
    </row>
    <row r="50939">
      <c r="A50939" s="1" t="n">
        <v>50938</v>
      </c>
      <c r="B50939">
        <f>TEXT(50938, "[$-0E0000]yyyy-mm-dd")</f>
        <v/>
      </c>
      <c r="C50939" t="inlineStr">
        <is>
          <t>2039-05-27</t>
        </is>
      </c>
    </row>
    <row r="50940">
      <c r="A50940" s="1" t="n">
        <v>50939</v>
      </c>
      <c r="B50940">
        <f>TEXT(50939, "[$-0E0000]yyyy-mm-dd")</f>
        <v/>
      </c>
      <c r="C50940" t="inlineStr">
        <is>
          <t>2039-05-28</t>
        </is>
      </c>
    </row>
    <row r="50941">
      <c r="A50941" s="1" t="n">
        <v>50940</v>
      </c>
      <c r="B50941">
        <f>TEXT(50940, "[$-0E0000]yyyy-mm-dd")</f>
        <v/>
      </c>
      <c r="C50941" t="inlineStr">
        <is>
          <t>2039-05-29</t>
        </is>
      </c>
    </row>
    <row r="50942">
      <c r="A50942" s="1" t="n">
        <v>50941</v>
      </c>
      <c r="B50942">
        <f>TEXT(50941, "[$-0E0000]yyyy-mm-dd")</f>
        <v/>
      </c>
      <c r="C50942" t="inlineStr">
        <is>
          <t>2039-05-30</t>
        </is>
      </c>
    </row>
    <row r="50943">
      <c r="A50943" s="1" t="n">
        <v>50942</v>
      </c>
      <c r="B50943">
        <f>TEXT(50942, "[$-0E0000]yyyy-mm-dd")</f>
        <v/>
      </c>
      <c r="C50943" t="inlineStr">
        <is>
          <t>2039-05-01</t>
        </is>
      </c>
    </row>
    <row r="50944">
      <c r="A50944" s="1" t="n">
        <v>50943</v>
      </c>
      <c r="B50944">
        <f>TEXT(50943, "[$-0E0000]yyyy-mm-dd")</f>
        <v/>
      </c>
      <c r="C50944" t="inlineStr">
        <is>
          <t>2039-05-02</t>
        </is>
      </c>
    </row>
    <row r="50945">
      <c r="A50945" s="1" t="n">
        <v>50944</v>
      </c>
      <c r="B50945">
        <f>TEXT(50944, "[$-0E0000]yyyy-mm-dd")</f>
        <v/>
      </c>
      <c r="C50945" t="inlineStr">
        <is>
          <t>2039-05-03</t>
        </is>
      </c>
    </row>
    <row r="50946">
      <c r="A50946" s="1" t="n">
        <v>50945</v>
      </c>
      <c r="B50946">
        <f>TEXT(50945, "[$-0E0000]yyyy-mm-dd")</f>
        <v/>
      </c>
      <c r="C50946" t="inlineStr">
        <is>
          <t>2039-05-04</t>
        </is>
      </c>
    </row>
    <row r="50947">
      <c r="A50947" s="1" t="n">
        <v>50946</v>
      </c>
      <c r="B50947">
        <f>TEXT(50946, "[$-0E0000]yyyy-mm-dd")</f>
        <v/>
      </c>
      <c r="C50947" t="inlineStr">
        <is>
          <t>2039-05-05</t>
        </is>
      </c>
    </row>
    <row r="50948">
      <c r="A50948" s="1" t="n">
        <v>50947</v>
      </c>
      <c r="B50948">
        <f>TEXT(50947, "[$-0E0000]yyyy-mm-dd")</f>
        <v/>
      </c>
      <c r="C50948" t="inlineStr">
        <is>
          <t>2039-05-06</t>
        </is>
      </c>
    </row>
    <row r="50949">
      <c r="A50949" s="1" t="n">
        <v>50948</v>
      </c>
      <c r="B50949">
        <f>TEXT(50948, "[$-0E0000]yyyy-mm-dd")</f>
        <v/>
      </c>
      <c r="C50949" t="inlineStr">
        <is>
          <t>2039-05-07</t>
        </is>
      </c>
    </row>
    <row r="50950">
      <c r="A50950" s="1" t="n">
        <v>50949</v>
      </c>
      <c r="B50950">
        <f>TEXT(50949, "[$-0E0000]yyyy-mm-dd")</f>
        <v/>
      </c>
      <c r="C50950" t="inlineStr">
        <is>
          <t>2039-05-08</t>
        </is>
      </c>
    </row>
    <row r="50951">
      <c r="A50951" s="1" t="n">
        <v>50950</v>
      </c>
      <c r="B50951">
        <f>TEXT(50950, "[$-0E0000]yyyy-mm-dd")</f>
        <v/>
      </c>
      <c r="C50951" t="inlineStr">
        <is>
          <t>2039-05-09</t>
        </is>
      </c>
    </row>
    <row r="50952">
      <c r="A50952" s="1" t="n">
        <v>50951</v>
      </c>
      <c r="B50952">
        <f>TEXT(50951, "[$-0E0000]yyyy-mm-dd")</f>
        <v/>
      </c>
      <c r="C50952" t="inlineStr">
        <is>
          <t>2039-05-10</t>
        </is>
      </c>
    </row>
    <row r="50953">
      <c r="A50953" s="1" t="n">
        <v>50952</v>
      </c>
      <c r="B50953">
        <f>TEXT(50952, "[$-0E0000]yyyy-mm-dd")</f>
        <v/>
      </c>
      <c r="C50953" t="inlineStr">
        <is>
          <t>2039-05-11</t>
        </is>
      </c>
    </row>
    <row r="50954">
      <c r="A50954" s="1" t="n">
        <v>50953</v>
      </c>
      <c r="B50954">
        <f>TEXT(50953, "[$-0E0000]yyyy-mm-dd")</f>
        <v/>
      </c>
      <c r="C50954" t="inlineStr">
        <is>
          <t>2039-05-12</t>
        </is>
      </c>
    </row>
    <row r="50955">
      <c r="A50955" s="1" t="n">
        <v>50954</v>
      </c>
      <c r="B50955">
        <f>TEXT(50954, "[$-0E0000]yyyy-mm-dd")</f>
        <v/>
      </c>
      <c r="C50955" t="inlineStr">
        <is>
          <t>2039-05-13</t>
        </is>
      </c>
    </row>
    <row r="50956">
      <c r="A50956" s="1" t="n">
        <v>50955</v>
      </c>
      <c r="B50956">
        <f>TEXT(50955, "[$-0E0000]yyyy-mm-dd")</f>
        <v/>
      </c>
      <c r="C50956" t="inlineStr">
        <is>
          <t>2039-05-14</t>
        </is>
      </c>
    </row>
    <row r="50957">
      <c r="A50957" s="1" t="n">
        <v>50956</v>
      </c>
      <c r="B50957">
        <f>TEXT(50956, "[$-0E0000]yyyy-mm-dd")</f>
        <v/>
      </c>
      <c r="C50957" t="inlineStr">
        <is>
          <t>2039-05-15</t>
        </is>
      </c>
    </row>
    <row r="50958">
      <c r="A50958" s="1" t="n">
        <v>50957</v>
      </c>
      <c r="B50958">
        <f>TEXT(50957, "[$-0E0000]yyyy-mm-dd")</f>
        <v/>
      </c>
      <c r="C50958" t="inlineStr">
        <is>
          <t>2039-05-16</t>
        </is>
      </c>
    </row>
    <row r="50959">
      <c r="A50959" s="1" t="n">
        <v>50958</v>
      </c>
      <c r="B50959">
        <f>TEXT(50958, "[$-0E0000]yyyy-mm-dd")</f>
        <v/>
      </c>
      <c r="C50959" t="inlineStr">
        <is>
          <t>2039-05-17</t>
        </is>
      </c>
    </row>
    <row r="50960">
      <c r="A50960" s="1" t="n">
        <v>50959</v>
      </c>
      <c r="B50960">
        <f>TEXT(50959, "[$-0E0000]yyyy-mm-dd")</f>
        <v/>
      </c>
      <c r="C50960" t="inlineStr">
        <is>
          <t>2039-05-18</t>
        </is>
      </c>
    </row>
    <row r="50961">
      <c r="A50961" s="1" t="n">
        <v>50960</v>
      </c>
      <c r="B50961">
        <f>TEXT(50960, "[$-0E0000]yyyy-mm-dd")</f>
        <v/>
      </c>
      <c r="C50961" t="inlineStr">
        <is>
          <t>2039-05-19</t>
        </is>
      </c>
    </row>
    <row r="50962">
      <c r="A50962" s="1" t="n">
        <v>50961</v>
      </c>
      <c r="B50962">
        <f>TEXT(50961, "[$-0E0000]yyyy-mm-dd")</f>
        <v/>
      </c>
      <c r="C50962" t="inlineStr">
        <is>
          <t>2039-05-20</t>
        </is>
      </c>
    </row>
    <row r="50963">
      <c r="A50963" s="1" t="n">
        <v>50962</v>
      </c>
      <c r="B50963">
        <f>TEXT(50962, "[$-0E0000]yyyy-mm-dd")</f>
        <v/>
      </c>
      <c r="C50963" t="inlineStr">
        <is>
          <t>2039-05-21</t>
        </is>
      </c>
    </row>
    <row r="50964">
      <c r="A50964" s="1" t="n">
        <v>50963</v>
      </c>
      <c r="B50964">
        <f>TEXT(50963, "[$-0E0000]yyyy-mm-dd")</f>
        <v/>
      </c>
      <c r="C50964" t="inlineStr">
        <is>
          <t>2039-05-22</t>
        </is>
      </c>
    </row>
    <row r="50965">
      <c r="A50965" s="1" t="n">
        <v>50964</v>
      </c>
      <c r="B50965">
        <f>TEXT(50964, "[$-0E0000]yyyy-mm-dd")</f>
        <v/>
      </c>
      <c r="C50965" t="inlineStr">
        <is>
          <t>2039-05-23</t>
        </is>
      </c>
    </row>
    <row r="50966">
      <c r="A50966" s="1" t="n">
        <v>50965</v>
      </c>
      <c r="B50966">
        <f>TEXT(50965, "[$-0E0000]yyyy-mm-dd")</f>
        <v/>
      </c>
      <c r="C50966" t="inlineStr">
        <is>
          <t>2039-05-24</t>
        </is>
      </c>
    </row>
    <row r="50967">
      <c r="A50967" s="1" t="n">
        <v>50966</v>
      </c>
      <c r="B50967">
        <f>TEXT(50966, "[$-0E0000]yyyy-mm-dd")</f>
        <v/>
      </c>
      <c r="C50967" t="inlineStr">
        <is>
          <t>2039-05-25</t>
        </is>
      </c>
    </row>
    <row r="50968">
      <c r="A50968" s="1" t="n">
        <v>50967</v>
      </c>
      <c r="B50968">
        <f>TEXT(50967, "[$-0E0000]yyyy-mm-dd")</f>
        <v/>
      </c>
      <c r="C50968" t="inlineStr">
        <is>
          <t>2039-05-26</t>
        </is>
      </c>
    </row>
    <row r="50969">
      <c r="A50969" s="1" t="n">
        <v>50968</v>
      </c>
      <c r="B50969">
        <f>TEXT(50968, "[$-0E0000]yyyy-mm-dd")</f>
        <v/>
      </c>
      <c r="C50969" t="inlineStr">
        <is>
          <t>2039-05-27</t>
        </is>
      </c>
    </row>
    <row r="50970">
      <c r="A50970" s="1" t="n">
        <v>50969</v>
      </c>
      <c r="B50970">
        <f>TEXT(50969, "[$-0E0000]yyyy-mm-dd")</f>
        <v/>
      </c>
      <c r="C50970" t="inlineStr">
        <is>
          <t>2039-05-28</t>
        </is>
      </c>
    </row>
    <row r="50971">
      <c r="A50971" s="1" t="n">
        <v>50970</v>
      </c>
      <c r="B50971">
        <f>TEXT(50970, "[$-0E0000]yyyy-mm-dd")</f>
        <v/>
      </c>
      <c r="C50971" t="inlineStr">
        <is>
          <t>2039-05-29</t>
        </is>
      </c>
    </row>
    <row r="50972">
      <c r="A50972" s="1" t="n">
        <v>50971</v>
      </c>
      <c r="B50972">
        <f>TEXT(50971, "[$-0E0000]yyyy-mm-dd")</f>
        <v/>
      </c>
      <c r="C50972" t="inlineStr">
        <is>
          <t>2039-06-01</t>
        </is>
      </c>
    </row>
    <row r="50973">
      <c r="A50973" s="1" t="n">
        <v>50972</v>
      </c>
      <c r="B50973">
        <f>TEXT(50972, "[$-0E0000]yyyy-mm-dd")</f>
        <v/>
      </c>
      <c r="C50973" t="inlineStr">
        <is>
          <t>2039-06-02</t>
        </is>
      </c>
    </row>
    <row r="50974">
      <c r="A50974" s="1" t="n">
        <v>50973</v>
      </c>
      <c r="B50974">
        <f>TEXT(50973, "[$-0E0000]yyyy-mm-dd")</f>
        <v/>
      </c>
      <c r="C50974" t="inlineStr">
        <is>
          <t>2039-06-03</t>
        </is>
      </c>
    </row>
    <row r="50975">
      <c r="A50975" s="1" t="n">
        <v>50974</v>
      </c>
      <c r="B50975">
        <f>TEXT(50974, "[$-0E0000]yyyy-mm-dd")</f>
        <v/>
      </c>
      <c r="C50975" t="inlineStr">
        <is>
          <t>2039-06-04</t>
        </is>
      </c>
    </row>
    <row r="50976">
      <c r="A50976" s="1" t="n">
        <v>50975</v>
      </c>
      <c r="B50976">
        <f>TEXT(50975, "[$-0E0000]yyyy-mm-dd")</f>
        <v/>
      </c>
      <c r="C50976" t="inlineStr">
        <is>
          <t>2039-06-05</t>
        </is>
      </c>
    </row>
    <row r="50977">
      <c r="A50977" s="1" t="n">
        <v>50976</v>
      </c>
      <c r="B50977">
        <f>TEXT(50976, "[$-0E0000]yyyy-mm-dd")</f>
        <v/>
      </c>
      <c r="C50977" t="inlineStr">
        <is>
          <t>2039-06-06</t>
        </is>
      </c>
    </row>
    <row r="50978">
      <c r="A50978" s="1" t="n">
        <v>50977</v>
      </c>
      <c r="B50978">
        <f>TEXT(50977, "[$-0E0000]yyyy-mm-dd")</f>
        <v/>
      </c>
      <c r="C50978" t="inlineStr">
        <is>
          <t>2039-06-07</t>
        </is>
      </c>
    </row>
    <row r="50979">
      <c r="A50979" s="1" t="n">
        <v>50978</v>
      </c>
      <c r="B50979">
        <f>TEXT(50978, "[$-0E0000]yyyy-mm-dd")</f>
        <v/>
      </c>
      <c r="C50979" t="inlineStr">
        <is>
          <t>2039-06-08</t>
        </is>
      </c>
    </row>
    <row r="50980">
      <c r="A50980" s="1" t="n">
        <v>50979</v>
      </c>
      <c r="B50980">
        <f>TEXT(50979, "[$-0E0000]yyyy-mm-dd")</f>
        <v/>
      </c>
      <c r="C50980" t="inlineStr">
        <is>
          <t>2039-06-09</t>
        </is>
      </c>
    </row>
    <row r="50981">
      <c r="A50981" s="1" t="n">
        <v>50980</v>
      </c>
      <c r="B50981">
        <f>TEXT(50980, "[$-0E0000]yyyy-mm-dd")</f>
        <v/>
      </c>
      <c r="C50981" t="inlineStr">
        <is>
          <t>2039-06-10</t>
        </is>
      </c>
    </row>
    <row r="50982">
      <c r="A50982" s="1" t="n">
        <v>50981</v>
      </c>
      <c r="B50982">
        <f>TEXT(50981, "[$-0E0000]yyyy-mm-dd")</f>
        <v/>
      </c>
      <c r="C50982" t="inlineStr">
        <is>
          <t>2039-06-11</t>
        </is>
      </c>
    </row>
    <row r="50983">
      <c r="A50983" s="1" t="n">
        <v>50982</v>
      </c>
      <c r="B50983">
        <f>TEXT(50982, "[$-0E0000]yyyy-mm-dd")</f>
        <v/>
      </c>
      <c r="C50983" t="inlineStr">
        <is>
          <t>2039-06-12</t>
        </is>
      </c>
    </row>
    <row r="50984">
      <c r="A50984" s="1" t="n">
        <v>50983</v>
      </c>
      <c r="B50984">
        <f>TEXT(50983, "[$-0E0000]yyyy-mm-dd")</f>
        <v/>
      </c>
      <c r="C50984" t="inlineStr">
        <is>
          <t>2039-06-13</t>
        </is>
      </c>
    </row>
    <row r="50985">
      <c r="A50985" s="1" t="n">
        <v>50984</v>
      </c>
      <c r="B50985">
        <f>TEXT(50984, "[$-0E0000]yyyy-mm-dd")</f>
        <v/>
      </c>
      <c r="C50985" t="inlineStr">
        <is>
          <t>2039-06-14</t>
        </is>
      </c>
    </row>
    <row r="50986">
      <c r="A50986" s="1" t="n">
        <v>50985</v>
      </c>
      <c r="B50986">
        <f>TEXT(50985, "[$-0E0000]yyyy-mm-dd")</f>
        <v/>
      </c>
      <c r="C50986" t="inlineStr">
        <is>
          <t>2039-06-15</t>
        </is>
      </c>
    </row>
    <row r="50987">
      <c r="A50987" s="1" t="n">
        <v>50986</v>
      </c>
      <c r="B50987">
        <f>TEXT(50986, "[$-0E0000]yyyy-mm-dd")</f>
        <v/>
      </c>
      <c r="C50987" t="inlineStr">
        <is>
          <t>2039-06-16</t>
        </is>
      </c>
    </row>
    <row r="50988">
      <c r="A50988" s="1" t="n">
        <v>50987</v>
      </c>
      <c r="B50988">
        <f>TEXT(50987, "[$-0E0000]yyyy-mm-dd")</f>
        <v/>
      </c>
      <c r="C50988" t="inlineStr">
        <is>
          <t>2039-06-17</t>
        </is>
      </c>
    </row>
    <row r="50989">
      <c r="A50989" s="1" t="n">
        <v>50988</v>
      </c>
      <c r="B50989">
        <f>TEXT(50988, "[$-0E0000]yyyy-mm-dd")</f>
        <v/>
      </c>
      <c r="C50989" t="inlineStr">
        <is>
          <t>2039-06-18</t>
        </is>
      </c>
    </row>
    <row r="50990">
      <c r="A50990" s="1" t="n">
        <v>50989</v>
      </c>
      <c r="B50990">
        <f>TEXT(50989, "[$-0E0000]yyyy-mm-dd")</f>
        <v/>
      </c>
      <c r="C50990" t="inlineStr">
        <is>
          <t>2039-06-19</t>
        </is>
      </c>
    </row>
    <row r="50991">
      <c r="A50991" s="1" t="n">
        <v>50990</v>
      </c>
      <c r="B50991">
        <f>TEXT(50990, "[$-0E0000]yyyy-mm-dd")</f>
        <v/>
      </c>
      <c r="C50991" t="inlineStr">
        <is>
          <t>2039-06-20</t>
        </is>
      </c>
    </row>
    <row r="50992">
      <c r="A50992" s="1" t="n">
        <v>50991</v>
      </c>
      <c r="B50992">
        <f>TEXT(50991, "[$-0E0000]yyyy-mm-dd")</f>
        <v/>
      </c>
      <c r="C50992" t="inlineStr">
        <is>
          <t>2039-06-21</t>
        </is>
      </c>
    </row>
    <row r="50993">
      <c r="A50993" s="1" t="n">
        <v>50992</v>
      </c>
      <c r="B50993">
        <f>TEXT(50992, "[$-0E0000]yyyy-mm-dd")</f>
        <v/>
      </c>
      <c r="C50993" t="inlineStr">
        <is>
          <t>2039-06-22</t>
        </is>
      </c>
    </row>
    <row r="50994">
      <c r="A50994" s="1" t="n">
        <v>50993</v>
      </c>
      <c r="B50994">
        <f>TEXT(50993, "[$-0E0000]yyyy-mm-dd")</f>
        <v/>
      </c>
      <c r="C50994" t="inlineStr">
        <is>
          <t>2039-06-23</t>
        </is>
      </c>
    </row>
    <row r="50995">
      <c r="A50995" s="1" t="n">
        <v>50994</v>
      </c>
      <c r="B50995">
        <f>TEXT(50994, "[$-0E0000]yyyy-mm-dd")</f>
        <v/>
      </c>
      <c r="C50995" t="inlineStr">
        <is>
          <t>2039-06-24</t>
        </is>
      </c>
    </row>
    <row r="50996">
      <c r="A50996" s="1" t="n">
        <v>50995</v>
      </c>
      <c r="B50996">
        <f>TEXT(50995, "[$-0E0000]yyyy-mm-dd")</f>
        <v/>
      </c>
      <c r="C50996" t="inlineStr">
        <is>
          <t>2039-06-25</t>
        </is>
      </c>
    </row>
    <row r="50997">
      <c r="A50997" s="1" t="n">
        <v>50996</v>
      </c>
      <c r="B50997">
        <f>TEXT(50996, "[$-0E0000]yyyy-mm-dd")</f>
        <v/>
      </c>
      <c r="C50997" t="inlineStr">
        <is>
          <t>2039-06-26</t>
        </is>
      </c>
    </row>
    <row r="50998">
      <c r="A50998" s="1" t="n">
        <v>50997</v>
      </c>
      <c r="B50998">
        <f>TEXT(50997, "[$-0E0000]yyyy-mm-dd")</f>
        <v/>
      </c>
      <c r="C50998" t="inlineStr">
        <is>
          <t>2039-06-27</t>
        </is>
      </c>
    </row>
    <row r="50999">
      <c r="A50999" s="1" t="n">
        <v>50998</v>
      </c>
      <c r="B50999">
        <f>TEXT(50998, "[$-0E0000]yyyy-mm-dd")</f>
        <v/>
      </c>
      <c r="C50999" t="inlineStr">
        <is>
          <t>2039-06-28</t>
        </is>
      </c>
    </row>
    <row r="51000">
      <c r="A51000" s="1" t="n">
        <v>50999</v>
      </c>
      <c r="B51000">
        <f>TEXT(50999, "[$-0E0000]yyyy-mm-dd")</f>
        <v/>
      </c>
      <c r="C51000" t="inlineStr">
        <is>
          <t>2039-06-29</t>
        </is>
      </c>
    </row>
    <row r="51001">
      <c r="A51001" s="1" t="n">
        <v>51000</v>
      </c>
      <c r="B51001">
        <f>TEXT(51000, "[$-0E0000]yyyy-mm-dd")</f>
        <v/>
      </c>
      <c r="C51001" t="inlineStr">
        <is>
          <t>2039-06-30</t>
        </is>
      </c>
    </row>
    <row r="51002">
      <c r="A51002" s="1" t="n">
        <v>51001</v>
      </c>
      <c r="B51002">
        <f>TEXT(51001, "[$-0E0000]yyyy-mm-dd")</f>
        <v/>
      </c>
      <c r="C51002" t="inlineStr">
        <is>
          <t>2039-07-01</t>
        </is>
      </c>
    </row>
    <row r="51003">
      <c r="A51003" s="1" t="n">
        <v>51002</v>
      </c>
      <c r="B51003">
        <f>TEXT(51002, "[$-0E0000]yyyy-mm-dd")</f>
        <v/>
      </c>
      <c r="C51003" t="inlineStr">
        <is>
          <t>2039-07-02</t>
        </is>
      </c>
    </row>
    <row r="51004">
      <c r="A51004" s="1" t="n">
        <v>51003</v>
      </c>
      <c r="B51004">
        <f>TEXT(51003, "[$-0E0000]yyyy-mm-dd")</f>
        <v/>
      </c>
      <c r="C51004" t="inlineStr">
        <is>
          <t>2039-07-03</t>
        </is>
      </c>
    </row>
    <row r="51005">
      <c r="A51005" s="1" t="n">
        <v>51004</v>
      </c>
      <c r="B51005">
        <f>TEXT(51004, "[$-0E0000]yyyy-mm-dd")</f>
        <v/>
      </c>
      <c r="C51005" t="inlineStr">
        <is>
          <t>2039-07-04</t>
        </is>
      </c>
    </row>
    <row r="51006">
      <c r="A51006" s="1" t="n">
        <v>51005</v>
      </c>
      <c r="B51006">
        <f>TEXT(51005, "[$-0E0000]yyyy-mm-dd")</f>
        <v/>
      </c>
      <c r="C51006" t="inlineStr">
        <is>
          <t>2039-07-05</t>
        </is>
      </c>
    </row>
    <row r="51007">
      <c r="A51007" s="1" t="n">
        <v>51006</v>
      </c>
      <c r="B51007">
        <f>TEXT(51006, "[$-0E0000]yyyy-mm-dd")</f>
        <v/>
      </c>
      <c r="C51007" t="inlineStr">
        <is>
          <t>2039-07-06</t>
        </is>
      </c>
    </row>
    <row r="51008">
      <c r="A51008" s="1" t="n">
        <v>51007</v>
      </c>
      <c r="B51008">
        <f>TEXT(51007, "[$-0E0000]yyyy-mm-dd")</f>
        <v/>
      </c>
      <c r="C51008" t="inlineStr">
        <is>
          <t>2039-07-07</t>
        </is>
      </c>
    </row>
    <row r="51009">
      <c r="A51009" s="1" t="n">
        <v>51008</v>
      </c>
      <c r="B51009">
        <f>TEXT(51008, "[$-0E0000]yyyy-mm-dd")</f>
        <v/>
      </c>
      <c r="C51009" t="inlineStr">
        <is>
          <t>2039-07-08</t>
        </is>
      </c>
    </row>
    <row r="51010">
      <c r="A51010" s="1" t="n">
        <v>51009</v>
      </c>
      <c r="B51010">
        <f>TEXT(51009, "[$-0E0000]yyyy-mm-dd")</f>
        <v/>
      </c>
      <c r="C51010" t="inlineStr">
        <is>
          <t>2039-07-09</t>
        </is>
      </c>
    </row>
    <row r="51011">
      <c r="A51011" s="1" t="n">
        <v>51010</v>
      </c>
      <c r="B51011">
        <f>TEXT(51010, "[$-0E0000]yyyy-mm-dd")</f>
        <v/>
      </c>
      <c r="C51011" t="inlineStr">
        <is>
          <t>2039-07-10</t>
        </is>
      </c>
    </row>
    <row r="51012">
      <c r="A51012" s="1" t="n">
        <v>51011</v>
      </c>
      <c r="B51012">
        <f>TEXT(51011, "[$-0E0000]yyyy-mm-dd")</f>
        <v/>
      </c>
      <c r="C51012" t="inlineStr">
        <is>
          <t>2039-07-11</t>
        </is>
      </c>
    </row>
    <row r="51013">
      <c r="A51013" s="1" t="n">
        <v>51012</v>
      </c>
      <c r="B51013">
        <f>TEXT(51012, "[$-0E0000]yyyy-mm-dd")</f>
        <v/>
      </c>
      <c r="C51013" t="inlineStr">
        <is>
          <t>2039-07-12</t>
        </is>
      </c>
    </row>
    <row r="51014">
      <c r="A51014" s="1" t="n">
        <v>51013</v>
      </c>
      <c r="B51014">
        <f>TEXT(51013, "[$-0E0000]yyyy-mm-dd")</f>
        <v/>
      </c>
      <c r="C51014" t="inlineStr">
        <is>
          <t>2039-07-13</t>
        </is>
      </c>
    </row>
    <row r="51015">
      <c r="A51015" s="1" t="n">
        <v>51014</v>
      </c>
      <c r="B51015">
        <f>TEXT(51014, "[$-0E0000]yyyy-mm-dd")</f>
        <v/>
      </c>
      <c r="C51015" t="inlineStr">
        <is>
          <t>2039-07-14</t>
        </is>
      </c>
    </row>
    <row r="51016">
      <c r="A51016" s="1" t="n">
        <v>51015</v>
      </c>
      <c r="B51016">
        <f>TEXT(51015, "[$-0E0000]yyyy-mm-dd")</f>
        <v/>
      </c>
      <c r="C51016" t="inlineStr">
        <is>
          <t>2039-07-15</t>
        </is>
      </c>
    </row>
    <row r="51017">
      <c r="A51017" s="1" t="n">
        <v>51016</v>
      </c>
      <c r="B51017">
        <f>TEXT(51016, "[$-0E0000]yyyy-mm-dd")</f>
        <v/>
      </c>
      <c r="C51017" t="inlineStr">
        <is>
          <t>2039-07-16</t>
        </is>
      </c>
    </row>
    <row r="51018">
      <c r="A51018" s="1" t="n">
        <v>51017</v>
      </c>
      <c r="B51018">
        <f>TEXT(51017, "[$-0E0000]yyyy-mm-dd")</f>
        <v/>
      </c>
      <c r="C51018" t="inlineStr">
        <is>
          <t>2039-07-17</t>
        </is>
      </c>
    </row>
    <row r="51019">
      <c r="A51019" s="1" t="n">
        <v>51018</v>
      </c>
      <c r="B51019">
        <f>TEXT(51018, "[$-0E0000]yyyy-mm-dd")</f>
        <v/>
      </c>
      <c r="C51019" t="inlineStr">
        <is>
          <t>2039-07-18</t>
        </is>
      </c>
    </row>
    <row r="51020">
      <c r="A51020" s="1" t="n">
        <v>51019</v>
      </c>
      <c r="B51020">
        <f>TEXT(51019, "[$-0E0000]yyyy-mm-dd")</f>
        <v/>
      </c>
      <c r="C51020" t="inlineStr">
        <is>
          <t>2039-07-19</t>
        </is>
      </c>
    </row>
    <row r="51021">
      <c r="A51021" s="1" t="n">
        <v>51020</v>
      </c>
      <c r="B51021">
        <f>TEXT(51020, "[$-0E0000]yyyy-mm-dd")</f>
        <v/>
      </c>
      <c r="C51021" t="inlineStr">
        <is>
          <t>2039-07-20</t>
        </is>
      </c>
    </row>
    <row r="51022">
      <c r="A51022" s="1" t="n">
        <v>51021</v>
      </c>
      <c r="B51022">
        <f>TEXT(51021, "[$-0E0000]yyyy-mm-dd")</f>
        <v/>
      </c>
      <c r="C51022" t="inlineStr">
        <is>
          <t>2039-07-21</t>
        </is>
      </c>
    </row>
    <row r="51023">
      <c r="A51023" s="1" t="n">
        <v>51022</v>
      </c>
      <c r="B51023">
        <f>TEXT(51022, "[$-0E0000]yyyy-mm-dd")</f>
        <v/>
      </c>
      <c r="C51023" t="inlineStr">
        <is>
          <t>2039-07-22</t>
        </is>
      </c>
    </row>
    <row r="51024">
      <c r="A51024" s="1" t="n">
        <v>51023</v>
      </c>
      <c r="B51024">
        <f>TEXT(51023, "[$-0E0000]yyyy-mm-dd")</f>
        <v/>
      </c>
      <c r="C51024" t="inlineStr">
        <is>
          <t>2039-07-23</t>
        </is>
      </c>
    </row>
    <row r="51025">
      <c r="A51025" s="1" t="n">
        <v>51024</v>
      </c>
      <c r="B51025">
        <f>TEXT(51024, "[$-0E0000]yyyy-mm-dd")</f>
        <v/>
      </c>
      <c r="C51025" t="inlineStr">
        <is>
          <t>2039-07-24</t>
        </is>
      </c>
    </row>
    <row r="51026">
      <c r="A51026" s="1" t="n">
        <v>51025</v>
      </c>
      <c r="B51026">
        <f>TEXT(51025, "[$-0E0000]yyyy-mm-dd")</f>
        <v/>
      </c>
      <c r="C51026" t="inlineStr">
        <is>
          <t>2039-07-25</t>
        </is>
      </c>
    </row>
    <row r="51027">
      <c r="A51027" s="1" t="n">
        <v>51026</v>
      </c>
      <c r="B51027">
        <f>TEXT(51026, "[$-0E0000]yyyy-mm-dd")</f>
        <v/>
      </c>
      <c r="C51027" t="inlineStr">
        <is>
          <t>2039-07-26</t>
        </is>
      </c>
    </row>
    <row r="51028">
      <c r="A51028" s="1" t="n">
        <v>51027</v>
      </c>
      <c r="B51028">
        <f>TEXT(51027, "[$-0E0000]yyyy-mm-dd")</f>
        <v/>
      </c>
      <c r="C51028" t="inlineStr">
        <is>
          <t>2039-07-27</t>
        </is>
      </c>
    </row>
    <row r="51029">
      <c r="A51029" s="1" t="n">
        <v>51028</v>
      </c>
      <c r="B51029">
        <f>TEXT(51028, "[$-0E0000]yyyy-mm-dd")</f>
        <v/>
      </c>
      <c r="C51029" t="inlineStr">
        <is>
          <t>2039-07-28</t>
        </is>
      </c>
    </row>
    <row r="51030">
      <c r="A51030" s="1" t="n">
        <v>51029</v>
      </c>
      <c r="B51030">
        <f>TEXT(51029, "[$-0E0000]yyyy-mm-dd")</f>
        <v/>
      </c>
      <c r="C51030" t="inlineStr">
        <is>
          <t>2039-07-29</t>
        </is>
      </c>
    </row>
    <row r="51031">
      <c r="A51031" s="1" t="n">
        <v>51030</v>
      </c>
      <c r="B51031">
        <f>TEXT(51030, "[$-0E0000]yyyy-mm-dd")</f>
        <v/>
      </c>
      <c r="C51031" t="inlineStr">
        <is>
          <t>2039-08-01</t>
        </is>
      </c>
    </row>
    <row r="51032">
      <c r="A51032" s="1" t="n">
        <v>51031</v>
      </c>
      <c r="B51032">
        <f>TEXT(51031, "[$-0E0000]yyyy-mm-dd")</f>
        <v/>
      </c>
      <c r="C51032" t="inlineStr">
        <is>
          <t>2039-08-02</t>
        </is>
      </c>
    </row>
    <row r="51033">
      <c r="A51033" s="1" t="n">
        <v>51032</v>
      </c>
      <c r="B51033">
        <f>TEXT(51032, "[$-0E0000]yyyy-mm-dd")</f>
        <v/>
      </c>
      <c r="C51033" t="inlineStr">
        <is>
          <t>2039-08-03</t>
        </is>
      </c>
    </row>
    <row r="51034">
      <c r="A51034" s="1" t="n">
        <v>51033</v>
      </c>
      <c r="B51034">
        <f>TEXT(51033, "[$-0E0000]yyyy-mm-dd")</f>
        <v/>
      </c>
      <c r="C51034" t="inlineStr">
        <is>
          <t>2039-08-04</t>
        </is>
      </c>
    </row>
    <row r="51035">
      <c r="A51035" s="1" t="n">
        <v>51034</v>
      </c>
      <c r="B51035">
        <f>TEXT(51034, "[$-0E0000]yyyy-mm-dd")</f>
        <v/>
      </c>
      <c r="C51035" t="inlineStr">
        <is>
          <t>2039-08-05</t>
        </is>
      </c>
    </row>
    <row r="51036">
      <c r="A51036" s="1" t="n">
        <v>51035</v>
      </c>
      <c r="B51036">
        <f>TEXT(51035, "[$-0E0000]yyyy-mm-dd")</f>
        <v/>
      </c>
      <c r="C51036" t="inlineStr">
        <is>
          <t>2039-08-06</t>
        </is>
      </c>
    </row>
    <row r="51037">
      <c r="A51037" s="1" t="n">
        <v>51036</v>
      </c>
      <c r="B51037">
        <f>TEXT(51036, "[$-0E0000]yyyy-mm-dd")</f>
        <v/>
      </c>
      <c r="C51037" t="inlineStr">
        <is>
          <t>2039-08-07</t>
        </is>
      </c>
    </row>
    <row r="51038">
      <c r="A51038" s="1" t="n">
        <v>51037</v>
      </c>
      <c r="B51038">
        <f>TEXT(51037, "[$-0E0000]yyyy-mm-dd")</f>
        <v/>
      </c>
      <c r="C51038" t="inlineStr">
        <is>
          <t>2039-08-08</t>
        </is>
      </c>
    </row>
    <row r="51039">
      <c r="A51039" s="1" t="n">
        <v>51038</v>
      </c>
      <c r="B51039">
        <f>TEXT(51038, "[$-0E0000]yyyy-mm-dd")</f>
        <v/>
      </c>
      <c r="C51039" t="inlineStr">
        <is>
          <t>2039-08-09</t>
        </is>
      </c>
    </row>
    <row r="51040">
      <c r="A51040" s="1" t="n">
        <v>51039</v>
      </c>
      <c r="B51040">
        <f>TEXT(51039, "[$-0E0000]yyyy-mm-dd")</f>
        <v/>
      </c>
      <c r="C51040" t="inlineStr">
        <is>
          <t>2039-08-10</t>
        </is>
      </c>
    </row>
    <row r="51041">
      <c r="A51041" s="1" t="n">
        <v>51040</v>
      </c>
      <c r="B51041">
        <f>TEXT(51040, "[$-0E0000]yyyy-mm-dd")</f>
        <v/>
      </c>
      <c r="C51041" t="inlineStr">
        <is>
          <t>2039-08-11</t>
        </is>
      </c>
    </row>
    <row r="51042">
      <c r="A51042" s="1" t="n">
        <v>51041</v>
      </c>
      <c r="B51042">
        <f>TEXT(51041, "[$-0E0000]yyyy-mm-dd")</f>
        <v/>
      </c>
      <c r="C51042" t="inlineStr">
        <is>
          <t>2039-08-12</t>
        </is>
      </c>
    </row>
    <row r="51043">
      <c r="A51043" s="1" t="n">
        <v>51042</v>
      </c>
      <c r="B51043">
        <f>TEXT(51042, "[$-0E0000]yyyy-mm-dd")</f>
        <v/>
      </c>
      <c r="C51043" t="inlineStr">
        <is>
          <t>2039-08-13</t>
        </is>
      </c>
    </row>
    <row r="51044">
      <c r="A51044" s="1" t="n">
        <v>51043</v>
      </c>
      <c r="B51044">
        <f>TEXT(51043, "[$-0E0000]yyyy-mm-dd")</f>
        <v/>
      </c>
      <c r="C51044" t="inlineStr">
        <is>
          <t>2039-08-14</t>
        </is>
      </c>
    </row>
    <row r="51045">
      <c r="A51045" s="1" t="n">
        <v>51044</v>
      </c>
      <c r="B51045">
        <f>TEXT(51044, "[$-0E0000]yyyy-mm-dd")</f>
        <v/>
      </c>
      <c r="C51045" t="inlineStr">
        <is>
          <t>2039-08-15</t>
        </is>
      </c>
    </row>
    <row r="51046">
      <c r="A51046" s="1" t="n">
        <v>51045</v>
      </c>
      <c r="B51046">
        <f>TEXT(51045, "[$-0E0000]yyyy-mm-dd")</f>
        <v/>
      </c>
      <c r="C51046" t="inlineStr">
        <is>
          <t>2039-08-16</t>
        </is>
      </c>
    </row>
    <row r="51047">
      <c r="A51047" s="1" t="n">
        <v>51046</v>
      </c>
      <c r="B51047">
        <f>TEXT(51046, "[$-0E0000]yyyy-mm-dd")</f>
        <v/>
      </c>
      <c r="C51047" t="inlineStr">
        <is>
          <t>2039-08-17</t>
        </is>
      </c>
    </row>
    <row r="51048">
      <c r="A51048" s="1" t="n">
        <v>51047</v>
      </c>
      <c r="B51048">
        <f>TEXT(51047, "[$-0E0000]yyyy-mm-dd")</f>
        <v/>
      </c>
      <c r="C51048" t="inlineStr">
        <is>
          <t>2039-08-18</t>
        </is>
      </c>
    </row>
    <row r="51049">
      <c r="A51049" s="1" t="n">
        <v>51048</v>
      </c>
      <c r="B51049">
        <f>TEXT(51048, "[$-0E0000]yyyy-mm-dd")</f>
        <v/>
      </c>
      <c r="C51049" t="inlineStr">
        <is>
          <t>2039-08-19</t>
        </is>
      </c>
    </row>
    <row r="51050">
      <c r="A51050" s="1" t="n">
        <v>51049</v>
      </c>
      <c r="B51050">
        <f>TEXT(51049, "[$-0E0000]yyyy-mm-dd")</f>
        <v/>
      </c>
      <c r="C51050" t="inlineStr">
        <is>
          <t>2039-08-20</t>
        </is>
      </c>
    </row>
    <row r="51051">
      <c r="A51051" s="1" t="n">
        <v>51050</v>
      </c>
      <c r="B51051">
        <f>TEXT(51050, "[$-0E0000]yyyy-mm-dd")</f>
        <v/>
      </c>
      <c r="C51051" t="inlineStr">
        <is>
          <t>2039-08-21</t>
        </is>
      </c>
    </row>
    <row r="51052">
      <c r="A51052" s="1" t="n">
        <v>51051</v>
      </c>
      <c r="B51052">
        <f>TEXT(51051, "[$-0E0000]yyyy-mm-dd")</f>
        <v/>
      </c>
      <c r="C51052" t="inlineStr">
        <is>
          <t>2039-08-22</t>
        </is>
      </c>
    </row>
    <row r="51053">
      <c r="A51053" s="1" t="n">
        <v>51052</v>
      </c>
      <c r="B51053">
        <f>TEXT(51052, "[$-0E0000]yyyy-mm-dd")</f>
        <v/>
      </c>
      <c r="C51053" t="inlineStr">
        <is>
          <t>2039-08-23</t>
        </is>
      </c>
    </row>
    <row r="51054">
      <c r="A51054" s="1" t="n">
        <v>51053</v>
      </c>
      <c r="B51054">
        <f>TEXT(51053, "[$-0E0000]yyyy-mm-dd")</f>
        <v/>
      </c>
      <c r="C51054" t="inlineStr">
        <is>
          <t>2039-08-24</t>
        </is>
      </c>
    </row>
    <row r="51055">
      <c r="A51055" s="1" t="n">
        <v>51054</v>
      </c>
      <c r="B51055">
        <f>TEXT(51054, "[$-0E0000]yyyy-mm-dd")</f>
        <v/>
      </c>
      <c r="C51055" t="inlineStr">
        <is>
          <t>2039-08-25</t>
        </is>
      </c>
    </row>
    <row r="51056">
      <c r="A51056" s="1" t="n">
        <v>51055</v>
      </c>
      <c r="B51056">
        <f>TEXT(51055, "[$-0E0000]yyyy-mm-dd")</f>
        <v/>
      </c>
      <c r="C51056" t="inlineStr">
        <is>
          <t>2039-08-26</t>
        </is>
      </c>
    </row>
    <row r="51057">
      <c r="A51057" s="1" t="n">
        <v>51056</v>
      </c>
      <c r="B51057">
        <f>TEXT(51056, "[$-0E0000]yyyy-mm-dd")</f>
        <v/>
      </c>
      <c r="C51057" t="inlineStr">
        <is>
          <t>2039-08-27</t>
        </is>
      </c>
    </row>
    <row r="51058">
      <c r="A51058" s="1" t="n">
        <v>51057</v>
      </c>
      <c r="B51058">
        <f>TEXT(51057, "[$-0E0000]yyyy-mm-dd")</f>
        <v/>
      </c>
      <c r="C51058" t="inlineStr">
        <is>
          <t>2039-08-28</t>
        </is>
      </c>
    </row>
    <row r="51059">
      <c r="A51059" s="1" t="n">
        <v>51058</v>
      </c>
      <c r="B51059">
        <f>TEXT(51058, "[$-0E0000]yyyy-mm-dd")</f>
        <v/>
      </c>
      <c r="C51059" t="inlineStr">
        <is>
          <t>2039-08-29</t>
        </is>
      </c>
    </row>
    <row r="51060">
      <c r="A51060" s="1" t="n">
        <v>51059</v>
      </c>
      <c r="B51060">
        <f>TEXT(51059, "[$-0E0000]yyyy-mm-dd")</f>
        <v/>
      </c>
      <c r="C51060" t="inlineStr">
        <is>
          <t>2039-08-30</t>
        </is>
      </c>
    </row>
    <row r="51061">
      <c r="A51061" s="1" t="n">
        <v>51060</v>
      </c>
      <c r="B51061">
        <f>TEXT(51060, "[$-0E0000]yyyy-mm-dd")</f>
        <v/>
      </c>
      <c r="C51061" t="inlineStr">
        <is>
          <t>2039-09-01</t>
        </is>
      </c>
    </row>
    <row r="51062">
      <c r="A51062" s="1" t="n">
        <v>51061</v>
      </c>
      <c r="B51062">
        <f>TEXT(51061, "[$-0E0000]yyyy-mm-dd")</f>
        <v/>
      </c>
      <c r="C51062" t="inlineStr">
        <is>
          <t>2039-09-02</t>
        </is>
      </c>
    </row>
    <row r="51063">
      <c r="A51063" s="1" t="n">
        <v>51062</v>
      </c>
      <c r="B51063">
        <f>TEXT(51062, "[$-0E0000]yyyy-mm-dd")</f>
        <v/>
      </c>
      <c r="C51063" t="inlineStr">
        <is>
          <t>2039-09-03</t>
        </is>
      </c>
    </row>
    <row r="51064">
      <c r="A51064" s="1" t="n">
        <v>51063</v>
      </c>
      <c r="B51064">
        <f>TEXT(51063, "[$-0E0000]yyyy-mm-dd")</f>
        <v/>
      </c>
      <c r="C51064" t="inlineStr">
        <is>
          <t>2039-09-04</t>
        </is>
      </c>
    </row>
    <row r="51065">
      <c r="A51065" s="1" t="n">
        <v>51064</v>
      </c>
      <c r="B51065">
        <f>TEXT(51064, "[$-0E0000]yyyy-mm-dd")</f>
        <v/>
      </c>
      <c r="C51065" t="inlineStr">
        <is>
          <t>2039-09-05</t>
        </is>
      </c>
    </row>
    <row r="51066">
      <c r="A51066" s="1" t="n">
        <v>51065</v>
      </c>
      <c r="B51066">
        <f>TEXT(51065, "[$-0E0000]yyyy-mm-dd")</f>
        <v/>
      </c>
      <c r="C51066" t="inlineStr">
        <is>
          <t>2039-09-06</t>
        </is>
      </c>
    </row>
    <row r="51067">
      <c r="A51067" s="1" t="n">
        <v>51066</v>
      </c>
      <c r="B51067">
        <f>TEXT(51066, "[$-0E0000]yyyy-mm-dd")</f>
        <v/>
      </c>
      <c r="C51067" t="inlineStr">
        <is>
          <t>2039-09-07</t>
        </is>
      </c>
    </row>
    <row r="51068">
      <c r="A51068" s="1" t="n">
        <v>51067</v>
      </c>
      <c r="B51068">
        <f>TEXT(51067, "[$-0E0000]yyyy-mm-dd")</f>
        <v/>
      </c>
      <c r="C51068" t="inlineStr">
        <is>
          <t>2039-09-08</t>
        </is>
      </c>
    </row>
    <row r="51069">
      <c r="A51069" s="1" t="n">
        <v>51068</v>
      </c>
      <c r="B51069">
        <f>TEXT(51068, "[$-0E0000]yyyy-mm-dd")</f>
        <v/>
      </c>
      <c r="C51069" t="inlineStr">
        <is>
          <t>2039-09-09</t>
        </is>
      </c>
    </row>
    <row r="51070">
      <c r="A51070" s="1" t="n">
        <v>51069</v>
      </c>
      <c r="B51070">
        <f>TEXT(51069, "[$-0E0000]yyyy-mm-dd")</f>
        <v/>
      </c>
      <c r="C51070" t="inlineStr">
        <is>
          <t>2039-09-10</t>
        </is>
      </c>
    </row>
    <row r="51071">
      <c r="A51071" s="1" t="n">
        <v>51070</v>
      </c>
      <c r="B51071">
        <f>TEXT(51070, "[$-0E0000]yyyy-mm-dd")</f>
        <v/>
      </c>
      <c r="C51071" t="inlineStr">
        <is>
          <t>2039-09-11</t>
        </is>
      </c>
    </row>
    <row r="51072">
      <c r="A51072" s="1" t="n">
        <v>51071</v>
      </c>
      <c r="B51072">
        <f>TEXT(51071, "[$-0E0000]yyyy-mm-dd")</f>
        <v/>
      </c>
      <c r="C51072" t="inlineStr">
        <is>
          <t>2039-09-12</t>
        </is>
      </c>
    </row>
    <row r="51073">
      <c r="A51073" s="1" t="n">
        <v>51072</v>
      </c>
      <c r="B51073">
        <f>TEXT(51072, "[$-0E0000]yyyy-mm-dd")</f>
        <v/>
      </c>
      <c r="C51073" t="inlineStr">
        <is>
          <t>2039-09-13</t>
        </is>
      </c>
    </row>
    <row r="51074">
      <c r="A51074" s="1" t="n">
        <v>51073</v>
      </c>
      <c r="B51074">
        <f>TEXT(51073, "[$-0E0000]yyyy-mm-dd")</f>
        <v/>
      </c>
      <c r="C51074" t="inlineStr">
        <is>
          <t>2039-09-14</t>
        </is>
      </c>
    </row>
    <row r="51075">
      <c r="A51075" s="1" t="n">
        <v>51074</v>
      </c>
      <c r="B51075">
        <f>TEXT(51074, "[$-0E0000]yyyy-mm-dd")</f>
        <v/>
      </c>
      <c r="C51075" t="inlineStr">
        <is>
          <t>2039-09-15</t>
        </is>
      </c>
    </row>
    <row r="51076">
      <c r="A51076" s="1" t="n">
        <v>51075</v>
      </c>
      <c r="B51076">
        <f>TEXT(51075, "[$-0E0000]yyyy-mm-dd")</f>
        <v/>
      </c>
      <c r="C51076" t="inlineStr">
        <is>
          <t>2039-09-16</t>
        </is>
      </c>
    </row>
    <row r="51077">
      <c r="A51077" s="1" t="n">
        <v>51076</v>
      </c>
      <c r="B51077">
        <f>TEXT(51076, "[$-0E0000]yyyy-mm-dd")</f>
        <v/>
      </c>
      <c r="C51077" t="inlineStr">
        <is>
          <t>2039-09-17</t>
        </is>
      </c>
    </row>
    <row r="51078">
      <c r="A51078" s="1" t="n">
        <v>51077</v>
      </c>
      <c r="B51078">
        <f>TEXT(51077, "[$-0E0000]yyyy-mm-dd")</f>
        <v/>
      </c>
      <c r="C51078" t="inlineStr">
        <is>
          <t>2039-09-18</t>
        </is>
      </c>
    </row>
    <row r="51079">
      <c r="A51079" s="1" t="n">
        <v>51078</v>
      </c>
      <c r="B51079">
        <f>TEXT(51078, "[$-0E0000]yyyy-mm-dd")</f>
        <v/>
      </c>
      <c r="C51079" t="inlineStr">
        <is>
          <t>2039-09-19</t>
        </is>
      </c>
    </row>
    <row r="51080">
      <c r="A51080" s="1" t="n">
        <v>51079</v>
      </c>
      <c r="B51080">
        <f>TEXT(51079, "[$-0E0000]yyyy-mm-dd")</f>
        <v/>
      </c>
      <c r="C51080" t="inlineStr">
        <is>
          <t>2039-09-20</t>
        </is>
      </c>
    </row>
    <row r="51081">
      <c r="A51081" s="1" t="n">
        <v>51080</v>
      </c>
      <c r="B51081">
        <f>TEXT(51080, "[$-0E0000]yyyy-mm-dd")</f>
        <v/>
      </c>
      <c r="C51081" t="inlineStr">
        <is>
          <t>2039-09-21</t>
        </is>
      </c>
    </row>
    <row r="51082">
      <c r="A51082" s="1" t="n">
        <v>51081</v>
      </c>
      <c r="B51082">
        <f>TEXT(51081, "[$-0E0000]yyyy-mm-dd")</f>
        <v/>
      </c>
      <c r="C51082" t="inlineStr">
        <is>
          <t>2039-09-22</t>
        </is>
      </c>
    </row>
    <row r="51083">
      <c r="A51083" s="1" t="n">
        <v>51082</v>
      </c>
      <c r="B51083">
        <f>TEXT(51082, "[$-0E0000]yyyy-mm-dd")</f>
        <v/>
      </c>
      <c r="C51083" t="inlineStr">
        <is>
          <t>2039-09-23</t>
        </is>
      </c>
    </row>
    <row r="51084">
      <c r="A51084" s="1" t="n">
        <v>51083</v>
      </c>
      <c r="B51084">
        <f>TEXT(51083, "[$-0E0000]yyyy-mm-dd")</f>
        <v/>
      </c>
      <c r="C51084" t="inlineStr">
        <is>
          <t>2039-09-24</t>
        </is>
      </c>
    </row>
    <row r="51085">
      <c r="A51085" s="1" t="n">
        <v>51084</v>
      </c>
      <c r="B51085">
        <f>TEXT(51084, "[$-0E0000]yyyy-mm-dd")</f>
        <v/>
      </c>
      <c r="C51085" t="inlineStr">
        <is>
          <t>2039-09-25</t>
        </is>
      </c>
    </row>
    <row r="51086">
      <c r="A51086" s="1" t="n">
        <v>51085</v>
      </c>
      <c r="B51086">
        <f>TEXT(51085, "[$-0E0000]yyyy-mm-dd")</f>
        <v/>
      </c>
      <c r="C51086" t="inlineStr">
        <is>
          <t>2039-09-26</t>
        </is>
      </c>
    </row>
    <row r="51087">
      <c r="A51087" s="1" t="n">
        <v>51086</v>
      </c>
      <c r="B51087">
        <f>TEXT(51086, "[$-0E0000]yyyy-mm-dd")</f>
        <v/>
      </c>
      <c r="C51087" t="inlineStr">
        <is>
          <t>2039-09-27</t>
        </is>
      </c>
    </row>
    <row r="51088">
      <c r="A51088" s="1" t="n">
        <v>51087</v>
      </c>
      <c r="B51088">
        <f>TEXT(51087, "[$-0E0000]yyyy-mm-dd")</f>
        <v/>
      </c>
      <c r="C51088" t="inlineStr">
        <is>
          <t>2039-09-28</t>
        </is>
      </c>
    </row>
    <row r="51089">
      <c r="A51089" s="1" t="n">
        <v>51088</v>
      </c>
      <c r="B51089">
        <f>TEXT(51088, "[$-0E0000]yyyy-mm-dd")</f>
        <v/>
      </c>
      <c r="C51089" t="inlineStr">
        <is>
          <t>2039-09-29</t>
        </is>
      </c>
    </row>
    <row r="51090">
      <c r="A51090" s="1" t="n">
        <v>51089</v>
      </c>
      <c r="B51090">
        <f>TEXT(51089, "[$-0E0000]yyyy-mm-dd")</f>
        <v/>
      </c>
      <c r="C51090" t="inlineStr">
        <is>
          <t>2039-10-01</t>
        </is>
      </c>
    </row>
    <row r="51091">
      <c r="A51091" s="1" t="n">
        <v>51090</v>
      </c>
      <c r="B51091">
        <f>TEXT(51090, "[$-0E0000]yyyy-mm-dd")</f>
        <v/>
      </c>
      <c r="C51091" t="inlineStr">
        <is>
          <t>2039-10-02</t>
        </is>
      </c>
    </row>
    <row r="51092">
      <c r="A51092" s="1" t="n">
        <v>51091</v>
      </c>
      <c r="B51092">
        <f>TEXT(51091, "[$-0E0000]yyyy-mm-dd")</f>
        <v/>
      </c>
      <c r="C51092" t="inlineStr">
        <is>
          <t>2039-10-03</t>
        </is>
      </c>
    </row>
    <row r="51093">
      <c r="A51093" s="1" t="n">
        <v>51092</v>
      </c>
      <c r="B51093">
        <f>TEXT(51092, "[$-0E0000]yyyy-mm-dd")</f>
        <v/>
      </c>
      <c r="C51093" t="inlineStr">
        <is>
          <t>2039-10-04</t>
        </is>
      </c>
    </row>
    <row r="51094">
      <c r="A51094" s="1" t="n">
        <v>51093</v>
      </c>
      <c r="B51094">
        <f>TEXT(51093, "[$-0E0000]yyyy-mm-dd")</f>
        <v/>
      </c>
      <c r="C51094" t="inlineStr">
        <is>
          <t>2039-10-05</t>
        </is>
      </c>
    </row>
    <row r="51095">
      <c r="A51095" s="1" t="n">
        <v>51094</v>
      </c>
      <c r="B51095">
        <f>TEXT(51094, "[$-0E0000]yyyy-mm-dd")</f>
        <v/>
      </c>
      <c r="C51095" t="inlineStr">
        <is>
          <t>2039-10-06</t>
        </is>
      </c>
    </row>
    <row r="51096">
      <c r="A51096" s="1" t="n">
        <v>51095</v>
      </c>
      <c r="B51096">
        <f>TEXT(51095, "[$-0E0000]yyyy-mm-dd")</f>
        <v/>
      </c>
      <c r="C51096" t="inlineStr">
        <is>
          <t>2039-10-07</t>
        </is>
      </c>
    </row>
    <row r="51097">
      <c r="A51097" s="1" t="n">
        <v>51096</v>
      </c>
      <c r="B51097">
        <f>TEXT(51096, "[$-0E0000]yyyy-mm-dd")</f>
        <v/>
      </c>
      <c r="C51097" t="inlineStr">
        <is>
          <t>2039-10-08</t>
        </is>
      </c>
    </row>
    <row r="51098">
      <c r="A51098" s="1" t="n">
        <v>51097</v>
      </c>
      <c r="B51098">
        <f>TEXT(51097, "[$-0E0000]yyyy-mm-dd")</f>
        <v/>
      </c>
      <c r="C51098" t="inlineStr">
        <is>
          <t>2039-10-09</t>
        </is>
      </c>
    </row>
    <row r="51099">
      <c r="A51099" s="1" t="n">
        <v>51098</v>
      </c>
      <c r="B51099">
        <f>TEXT(51098, "[$-0E0000]yyyy-mm-dd")</f>
        <v/>
      </c>
      <c r="C51099" t="inlineStr">
        <is>
          <t>2039-10-10</t>
        </is>
      </c>
    </row>
    <row r="51100">
      <c r="A51100" s="1" t="n">
        <v>51099</v>
      </c>
      <c r="B51100">
        <f>TEXT(51099, "[$-0E0000]yyyy-mm-dd")</f>
        <v/>
      </c>
      <c r="C51100" t="inlineStr">
        <is>
          <t>2039-10-11</t>
        </is>
      </c>
    </row>
    <row r="51101">
      <c r="A51101" s="1" t="n">
        <v>51100</v>
      </c>
      <c r="B51101">
        <f>TEXT(51100, "[$-0E0000]yyyy-mm-dd")</f>
        <v/>
      </c>
      <c r="C51101" t="inlineStr">
        <is>
          <t>2039-10-12</t>
        </is>
      </c>
    </row>
    <row r="51102">
      <c r="A51102" s="1" t="n">
        <v>51101</v>
      </c>
      <c r="B51102">
        <f>TEXT(51101, "[$-0E0000]yyyy-mm-dd")</f>
        <v/>
      </c>
      <c r="C51102" t="inlineStr">
        <is>
          <t>2039-10-13</t>
        </is>
      </c>
    </row>
    <row r="51103">
      <c r="A51103" s="1" t="n">
        <v>51102</v>
      </c>
      <c r="B51103">
        <f>TEXT(51102, "[$-0E0000]yyyy-mm-dd")</f>
        <v/>
      </c>
      <c r="C51103" t="inlineStr">
        <is>
          <t>2039-10-14</t>
        </is>
      </c>
    </row>
    <row r="51104">
      <c r="A51104" s="1" t="n">
        <v>51103</v>
      </c>
      <c r="B51104">
        <f>TEXT(51103, "[$-0E0000]yyyy-mm-dd")</f>
        <v/>
      </c>
      <c r="C51104" t="inlineStr">
        <is>
          <t>2039-10-15</t>
        </is>
      </c>
    </row>
    <row r="51105">
      <c r="A51105" s="1" t="n">
        <v>51104</v>
      </c>
      <c r="B51105">
        <f>TEXT(51104, "[$-0E0000]yyyy-mm-dd")</f>
        <v/>
      </c>
      <c r="C51105" t="inlineStr">
        <is>
          <t>2039-10-16</t>
        </is>
      </c>
    </row>
    <row r="51106">
      <c r="A51106" s="1" t="n">
        <v>51105</v>
      </c>
      <c r="B51106">
        <f>TEXT(51105, "[$-0E0000]yyyy-mm-dd")</f>
        <v/>
      </c>
      <c r="C51106" t="inlineStr">
        <is>
          <t>2039-10-17</t>
        </is>
      </c>
    </row>
    <row r="51107">
      <c r="A51107" s="1" t="n">
        <v>51106</v>
      </c>
      <c r="B51107">
        <f>TEXT(51106, "[$-0E0000]yyyy-mm-dd")</f>
        <v/>
      </c>
      <c r="C51107" t="inlineStr">
        <is>
          <t>2039-10-18</t>
        </is>
      </c>
    </row>
    <row r="51108">
      <c r="A51108" s="1" t="n">
        <v>51107</v>
      </c>
      <c r="B51108">
        <f>TEXT(51107, "[$-0E0000]yyyy-mm-dd")</f>
        <v/>
      </c>
      <c r="C51108" t="inlineStr">
        <is>
          <t>2039-10-19</t>
        </is>
      </c>
    </row>
    <row r="51109">
      <c r="A51109" s="1" t="n">
        <v>51108</v>
      </c>
      <c r="B51109">
        <f>TEXT(51108, "[$-0E0000]yyyy-mm-dd")</f>
        <v/>
      </c>
      <c r="C51109" t="inlineStr">
        <is>
          <t>2039-10-20</t>
        </is>
      </c>
    </row>
    <row r="51110">
      <c r="A51110" s="1" t="n">
        <v>51109</v>
      </c>
      <c r="B51110">
        <f>TEXT(51109, "[$-0E0000]yyyy-mm-dd")</f>
        <v/>
      </c>
      <c r="C51110" t="inlineStr">
        <is>
          <t>2039-10-21</t>
        </is>
      </c>
    </row>
    <row r="51111">
      <c r="A51111" s="1" t="n">
        <v>51110</v>
      </c>
      <c r="B51111">
        <f>TEXT(51110, "[$-0E0000]yyyy-mm-dd")</f>
        <v/>
      </c>
      <c r="C51111" t="inlineStr">
        <is>
          <t>2039-10-22</t>
        </is>
      </c>
    </row>
    <row r="51112">
      <c r="A51112" s="1" t="n">
        <v>51111</v>
      </c>
      <c r="B51112">
        <f>TEXT(51111, "[$-0E0000]yyyy-mm-dd")</f>
        <v/>
      </c>
      <c r="C51112" t="inlineStr">
        <is>
          <t>2039-10-23</t>
        </is>
      </c>
    </row>
    <row r="51113">
      <c r="A51113" s="1" t="n">
        <v>51112</v>
      </c>
      <c r="B51113">
        <f>TEXT(51112, "[$-0E0000]yyyy-mm-dd")</f>
        <v/>
      </c>
      <c r="C51113" t="inlineStr">
        <is>
          <t>2039-10-24</t>
        </is>
      </c>
    </row>
    <row r="51114">
      <c r="A51114" s="1" t="n">
        <v>51113</v>
      </c>
      <c r="B51114">
        <f>TEXT(51113, "[$-0E0000]yyyy-mm-dd")</f>
        <v/>
      </c>
      <c r="C51114" t="inlineStr">
        <is>
          <t>2039-10-25</t>
        </is>
      </c>
    </row>
    <row r="51115">
      <c r="A51115" s="1" t="n">
        <v>51114</v>
      </c>
      <c r="B51115">
        <f>TEXT(51114, "[$-0E0000]yyyy-mm-dd")</f>
        <v/>
      </c>
      <c r="C51115" t="inlineStr">
        <is>
          <t>2039-10-26</t>
        </is>
      </c>
    </row>
    <row r="51116">
      <c r="A51116" s="1" t="n">
        <v>51115</v>
      </c>
      <c r="B51116">
        <f>TEXT(51115, "[$-0E0000]yyyy-mm-dd")</f>
        <v/>
      </c>
      <c r="C51116" t="inlineStr">
        <is>
          <t>2039-10-27</t>
        </is>
      </c>
    </row>
    <row r="51117">
      <c r="A51117" s="1" t="n">
        <v>51116</v>
      </c>
      <c r="B51117">
        <f>TEXT(51116, "[$-0E0000]yyyy-mm-dd")</f>
        <v/>
      </c>
      <c r="C51117" t="inlineStr">
        <is>
          <t>2039-10-28</t>
        </is>
      </c>
    </row>
    <row r="51118">
      <c r="A51118" s="1" t="n">
        <v>51117</v>
      </c>
      <c r="B51118">
        <f>TEXT(51117, "[$-0E0000]yyyy-mm-dd")</f>
        <v/>
      </c>
      <c r="C51118" t="inlineStr">
        <is>
          <t>2039-10-29</t>
        </is>
      </c>
    </row>
    <row r="51119">
      <c r="A51119" s="1" t="n">
        <v>51118</v>
      </c>
      <c r="B51119">
        <f>TEXT(51118, "[$-0E0000]yyyy-mm-dd")</f>
        <v/>
      </c>
      <c r="C51119" t="inlineStr">
        <is>
          <t>2039-10-30</t>
        </is>
      </c>
    </row>
    <row r="51120">
      <c r="A51120" s="1" t="n">
        <v>51119</v>
      </c>
      <c r="B51120">
        <f>TEXT(51119, "[$-0E0000]yyyy-mm-dd")</f>
        <v/>
      </c>
      <c r="C51120" t="inlineStr">
        <is>
          <t>2039-11-01</t>
        </is>
      </c>
    </row>
    <row r="51121">
      <c r="A51121" s="1" t="n">
        <v>51120</v>
      </c>
      <c r="B51121">
        <f>TEXT(51120, "[$-0E0000]yyyy-mm-dd")</f>
        <v/>
      </c>
      <c r="C51121" t="inlineStr">
        <is>
          <t>2039-11-02</t>
        </is>
      </c>
    </row>
    <row r="51122">
      <c r="A51122" s="1" t="n">
        <v>51121</v>
      </c>
      <c r="B51122">
        <f>TEXT(51121, "[$-0E0000]yyyy-mm-dd")</f>
        <v/>
      </c>
      <c r="C51122" t="inlineStr">
        <is>
          <t>2039-11-03</t>
        </is>
      </c>
    </row>
    <row r="51123">
      <c r="A51123" s="1" t="n">
        <v>51122</v>
      </c>
      <c r="B51123">
        <f>TEXT(51122, "[$-0E0000]yyyy-mm-dd")</f>
        <v/>
      </c>
      <c r="C51123" t="inlineStr">
        <is>
          <t>2039-11-04</t>
        </is>
      </c>
    </row>
    <row r="51124">
      <c r="A51124" s="1" t="n">
        <v>51123</v>
      </c>
      <c r="B51124">
        <f>TEXT(51123, "[$-0E0000]yyyy-mm-dd")</f>
        <v/>
      </c>
      <c r="C51124" t="inlineStr">
        <is>
          <t>2039-11-05</t>
        </is>
      </c>
    </row>
    <row r="51125">
      <c r="A51125" s="1" t="n">
        <v>51124</v>
      </c>
      <c r="B51125">
        <f>TEXT(51124, "[$-0E0000]yyyy-mm-dd")</f>
        <v/>
      </c>
      <c r="C51125" t="inlineStr">
        <is>
          <t>2039-11-06</t>
        </is>
      </c>
    </row>
    <row r="51126">
      <c r="A51126" s="1" t="n">
        <v>51125</v>
      </c>
      <c r="B51126">
        <f>TEXT(51125, "[$-0E0000]yyyy-mm-dd")</f>
        <v/>
      </c>
      <c r="C51126" t="inlineStr">
        <is>
          <t>2039-11-07</t>
        </is>
      </c>
    </row>
    <row r="51127">
      <c r="A51127" s="1" t="n">
        <v>51126</v>
      </c>
      <c r="B51127">
        <f>TEXT(51126, "[$-0E0000]yyyy-mm-dd")</f>
        <v/>
      </c>
      <c r="C51127" t="inlineStr">
        <is>
          <t>2039-11-08</t>
        </is>
      </c>
    </row>
    <row r="51128">
      <c r="A51128" s="1" t="n">
        <v>51127</v>
      </c>
      <c r="B51128">
        <f>TEXT(51127, "[$-0E0000]yyyy-mm-dd")</f>
        <v/>
      </c>
      <c r="C51128" t="inlineStr">
        <is>
          <t>2039-11-09</t>
        </is>
      </c>
    </row>
    <row r="51129">
      <c r="A51129" s="1" t="n">
        <v>51128</v>
      </c>
      <c r="B51129">
        <f>TEXT(51128, "[$-0E0000]yyyy-mm-dd")</f>
        <v/>
      </c>
      <c r="C51129" t="inlineStr">
        <is>
          <t>2039-11-10</t>
        </is>
      </c>
    </row>
    <row r="51130">
      <c r="A51130" s="1" t="n">
        <v>51129</v>
      </c>
      <c r="B51130">
        <f>TEXT(51129, "[$-0E0000]yyyy-mm-dd")</f>
        <v/>
      </c>
      <c r="C51130" t="inlineStr">
        <is>
          <t>2039-11-11</t>
        </is>
      </c>
    </row>
    <row r="51131">
      <c r="A51131" s="1" t="n">
        <v>51130</v>
      </c>
      <c r="B51131">
        <f>TEXT(51130, "[$-0E0000]yyyy-mm-dd")</f>
        <v/>
      </c>
      <c r="C51131" t="inlineStr">
        <is>
          <t>2039-11-12</t>
        </is>
      </c>
    </row>
    <row r="51132">
      <c r="A51132" s="1" t="n">
        <v>51131</v>
      </c>
      <c r="B51132">
        <f>TEXT(51131, "[$-0E0000]yyyy-mm-dd")</f>
        <v/>
      </c>
      <c r="C51132" t="inlineStr">
        <is>
          <t>2039-11-13</t>
        </is>
      </c>
    </row>
    <row r="51133">
      <c r="A51133" s="1" t="n">
        <v>51132</v>
      </c>
      <c r="B51133">
        <f>TEXT(51132, "[$-0E0000]yyyy-mm-dd")</f>
        <v/>
      </c>
      <c r="C51133" t="inlineStr">
        <is>
          <t>2039-11-14</t>
        </is>
      </c>
    </row>
    <row r="51134">
      <c r="A51134" s="1" t="n">
        <v>51133</v>
      </c>
      <c r="B51134">
        <f>TEXT(51133, "[$-0E0000]yyyy-mm-dd")</f>
        <v/>
      </c>
      <c r="C51134" t="inlineStr">
        <is>
          <t>2039-11-15</t>
        </is>
      </c>
    </row>
    <row r="51135">
      <c r="A51135" s="1" t="n">
        <v>51134</v>
      </c>
      <c r="B51135">
        <f>TEXT(51134, "[$-0E0000]yyyy-mm-dd")</f>
        <v/>
      </c>
      <c r="C51135" t="inlineStr">
        <is>
          <t>2039-11-16</t>
        </is>
      </c>
    </row>
    <row r="51136">
      <c r="A51136" s="1" t="n">
        <v>51135</v>
      </c>
      <c r="B51136">
        <f>TEXT(51135, "[$-0E0000]yyyy-mm-dd")</f>
        <v/>
      </c>
      <c r="C51136" t="inlineStr">
        <is>
          <t>2039-11-17</t>
        </is>
      </c>
    </row>
    <row r="51137">
      <c r="A51137" s="1" t="n">
        <v>51136</v>
      </c>
      <c r="B51137">
        <f>TEXT(51136, "[$-0E0000]yyyy-mm-dd")</f>
        <v/>
      </c>
      <c r="C51137" t="inlineStr">
        <is>
          <t>2039-11-18</t>
        </is>
      </c>
    </row>
    <row r="51138">
      <c r="A51138" s="1" t="n">
        <v>51137</v>
      </c>
      <c r="B51138">
        <f>TEXT(51137, "[$-0E0000]yyyy-mm-dd")</f>
        <v/>
      </c>
      <c r="C51138" t="inlineStr">
        <is>
          <t>2039-11-19</t>
        </is>
      </c>
    </row>
    <row r="51139">
      <c r="A51139" s="1" t="n">
        <v>51138</v>
      </c>
      <c r="B51139">
        <f>TEXT(51138, "[$-0E0000]yyyy-mm-dd")</f>
        <v/>
      </c>
      <c r="C51139" t="inlineStr">
        <is>
          <t>2039-11-20</t>
        </is>
      </c>
    </row>
    <row r="51140">
      <c r="A51140" s="1" t="n">
        <v>51139</v>
      </c>
      <c r="B51140">
        <f>TEXT(51139, "[$-0E0000]yyyy-mm-dd")</f>
        <v/>
      </c>
      <c r="C51140" t="inlineStr">
        <is>
          <t>2039-11-21</t>
        </is>
      </c>
    </row>
    <row r="51141">
      <c r="A51141" s="1" t="n">
        <v>51140</v>
      </c>
      <c r="B51141">
        <f>TEXT(51140, "[$-0E0000]yyyy-mm-dd")</f>
        <v/>
      </c>
      <c r="C51141" t="inlineStr">
        <is>
          <t>2039-11-22</t>
        </is>
      </c>
    </row>
    <row r="51142">
      <c r="A51142" s="1" t="n">
        <v>51141</v>
      </c>
      <c r="B51142">
        <f>TEXT(51141, "[$-0E0000]yyyy-mm-dd")</f>
        <v/>
      </c>
      <c r="C51142" t="inlineStr">
        <is>
          <t>2039-11-23</t>
        </is>
      </c>
    </row>
    <row r="51143">
      <c r="A51143" s="1" t="n">
        <v>51142</v>
      </c>
      <c r="B51143">
        <f>TEXT(51142, "[$-0E0000]yyyy-mm-dd")</f>
        <v/>
      </c>
      <c r="C51143" t="inlineStr">
        <is>
          <t>2039-11-24</t>
        </is>
      </c>
    </row>
    <row r="51144">
      <c r="A51144" s="1" t="n">
        <v>51143</v>
      </c>
      <c r="B51144">
        <f>TEXT(51143, "[$-0E0000]yyyy-mm-dd")</f>
        <v/>
      </c>
      <c r="C51144" t="inlineStr">
        <is>
          <t>2039-11-25</t>
        </is>
      </c>
    </row>
    <row r="51145">
      <c r="A51145" s="1" t="n">
        <v>51144</v>
      </c>
      <c r="B51145">
        <f>TEXT(51144, "[$-0E0000]yyyy-mm-dd")</f>
        <v/>
      </c>
      <c r="C51145" t="inlineStr">
        <is>
          <t>2039-11-26</t>
        </is>
      </c>
    </row>
    <row r="51146">
      <c r="A51146" s="1" t="n">
        <v>51145</v>
      </c>
      <c r="B51146">
        <f>TEXT(51145, "[$-0E0000]yyyy-mm-dd")</f>
        <v/>
      </c>
      <c r="C51146" t="inlineStr">
        <is>
          <t>2039-11-27</t>
        </is>
      </c>
    </row>
    <row r="51147">
      <c r="A51147" s="1" t="n">
        <v>51146</v>
      </c>
      <c r="B51147">
        <f>TEXT(51146, "[$-0E0000]yyyy-mm-dd")</f>
        <v/>
      </c>
      <c r="C51147" t="inlineStr">
        <is>
          <t>2039-11-28</t>
        </is>
      </c>
    </row>
    <row r="51148">
      <c r="A51148" s="1" t="n">
        <v>51147</v>
      </c>
      <c r="B51148">
        <f>TEXT(51147, "[$-0E0000]yyyy-mm-dd")</f>
        <v/>
      </c>
      <c r="C51148" t="inlineStr">
        <is>
          <t>2039-11-29</t>
        </is>
      </c>
    </row>
    <row r="51149">
      <c r="A51149" s="1" t="n">
        <v>51148</v>
      </c>
      <c r="B51149">
        <f>TEXT(51148, "[$-0E0000]yyyy-mm-dd")</f>
        <v/>
      </c>
      <c r="C51149" t="inlineStr">
        <is>
          <t>2039-12-01</t>
        </is>
      </c>
    </row>
    <row r="51150">
      <c r="A51150" s="1" t="n">
        <v>51149</v>
      </c>
      <c r="B51150">
        <f>TEXT(51149, "[$-0E0000]yyyy-mm-dd")</f>
        <v/>
      </c>
      <c r="C51150" t="inlineStr">
        <is>
          <t>2039-12-02</t>
        </is>
      </c>
    </row>
    <row r="51151">
      <c r="A51151" s="1" t="n">
        <v>51150</v>
      </c>
      <c r="B51151">
        <f>TEXT(51150, "[$-0E0000]yyyy-mm-dd")</f>
        <v/>
      </c>
      <c r="C51151" t="inlineStr">
        <is>
          <t>2039-12-03</t>
        </is>
      </c>
    </row>
    <row r="51152">
      <c r="A51152" s="1" t="n">
        <v>51151</v>
      </c>
      <c r="B51152">
        <f>TEXT(51151, "[$-0E0000]yyyy-mm-dd")</f>
        <v/>
      </c>
      <c r="C51152" t="inlineStr">
        <is>
          <t>2039-12-04</t>
        </is>
      </c>
    </row>
    <row r="51153">
      <c r="A51153" s="1" t="n">
        <v>51152</v>
      </c>
      <c r="B51153">
        <f>TEXT(51152, "[$-0E0000]yyyy-mm-dd")</f>
        <v/>
      </c>
      <c r="C51153" t="inlineStr">
        <is>
          <t>2039-12-05</t>
        </is>
      </c>
    </row>
    <row r="51154">
      <c r="A51154" s="1" t="n">
        <v>51153</v>
      </c>
      <c r="B51154">
        <f>TEXT(51153, "[$-0E0000]yyyy-mm-dd")</f>
        <v/>
      </c>
      <c r="C51154" t="inlineStr">
        <is>
          <t>2039-12-06</t>
        </is>
      </c>
    </row>
    <row r="51155">
      <c r="A51155" s="1" t="n">
        <v>51154</v>
      </c>
      <c r="B51155">
        <f>TEXT(51154, "[$-0E0000]yyyy-mm-dd")</f>
        <v/>
      </c>
      <c r="C51155" t="inlineStr">
        <is>
          <t>2039-12-07</t>
        </is>
      </c>
    </row>
    <row r="51156">
      <c r="A51156" s="1" t="n">
        <v>51155</v>
      </c>
      <c r="B51156">
        <f>TEXT(51155, "[$-0E0000]yyyy-mm-dd")</f>
        <v/>
      </c>
      <c r="C51156" t="inlineStr">
        <is>
          <t>2039-12-08</t>
        </is>
      </c>
    </row>
    <row r="51157">
      <c r="A51157" s="1" t="n">
        <v>51156</v>
      </c>
      <c r="B51157">
        <f>TEXT(51156, "[$-0E0000]yyyy-mm-dd")</f>
        <v/>
      </c>
      <c r="C51157" t="inlineStr">
        <is>
          <t>2039-12-09</t>
        </is>
      </c>
    </row>
    <row r="51158">
      <c r="A51158" s="1" t="n">
        <v>51157</v>
      </c>
      <c r="B51158">
        <f>TEXT(51157, "[$-0E0000]yyyy-mm-dd")</f>
        <v/>
      </c>
      <c r="C51158" t="inlineStr">
        <is>
          <t>2039-12-10</t>
        </is>
      </c>
    </row>
    <row r="51159">
      <c r="A51159" s="1" t="n">
        <v>51158</v>
      </c>
      <c r="B51159">
        <f>TEXT(51158, "[$-0E0000]yyyy-mm-dd")</f>
        <v/>
      </c>
      <c r="C51159" t="inlineStr">
        <is>
          <t>2039-12-11</t>
        </is>
      </c>
    </row>
    <row r="51160">
      <c r="A51160" s="1" t="n">
        <v>51159</v>
      </c>
      <c r="B51160">
        <f>TEXT(51159, "[$-0E0000]yyyy-mm-dd")</f>
        <v/>
      </c>
      <c r="C51160" t="inlineStr">
        <is>
          <t>2039-12-12</t>
        </is>
      </c>
    </row>
    <row r="51161">
      <c r="A51161" s="1" t="n">
        <v>51160</v>
      </c>
      <c r="B51161">
        <f>TEXT(51160, "[$-0E0000]yyyy-mm-dd")</f>
        <v/>
      </c>
      <c r="C51161" t="inlineStr">
        <is>
          <t>2039-12-13</t>
        </is>
      </c>
    </row>
    <row r="51162">
      <c r="A51162" s="1" t="n">
        <v>51161</v>
      </c>
      <c r="B51162">
        <f>TEXT(51161, "[$-0E0000]yyyy-mm-dd")</f>
        <v/>
      </c>
      <c r="C51162" t="inlineStr">
        <is>
          <t>2039-12-14</t>
        </is>
      </c>
    </row>
    <row r="51163">
      <c r="A51163" s="1" t="n">
        <v>51162</v>
      </c>
      <c r="B51163">
        <f>TEXT(51162, "[$-0E0000]yyyy-mm-dd")</f>
        <v/>
      </c>
      <c r="C51163" t="inlineStr">
        <is>
          <t>2039-12-15</t>
        </is>
      </c>
    </row>
    <row r="51164">
      <c r="A51164" s="1" t="n">
        <v>51163</v>
      </c>
      <c r="B51164">
        <f>TEXT(51163, "[$-0E0000]yyyy-mm-dd")</f>
        <v/>
      </c>
      <c r="C51164" t="inlineStr">
        <is>
          <t>2039-12-16</t>
        </is>
      </c>
    </row>
    <row r="51165">
      <c r="A51165" s="1" t="n">
        <v>51164</v>
      </c>
      <c r="B51165">
        <f>TEXT(51164, "[$-0E0000]yyyy-mm-dd")</f>
        <v/>
      </c>
      <c r="C51165" t="inlineStr">
        <is>
          <t>2039-12-17</t>
        </is>
      </c>
    </row>
    <row r="51166">
      <c r="A51166" s="1" t="n">
        <v>51165</v>
      </c>
      <c r="B51166">
        <f>TEXT(51165, "[$-0E0000]yyyy-mm-dd")</f>
        <v/>
      </c>
      <c r="C51166" t="inlineStr">
        <is>
          <t>2039-12-18</t>
        </is>
      </c>
    </row>
    <row r="51167">
      <c r="A51167" s="1" t="n">
        <v>51166</v>
      </c>
      <c r="B51167">
        <f>TEXT(51166, "[$-0E0000]yyyy-mm-dd")</f>
        <v/>
      </c>
      <c r="C51167" t="inlineStr">
        <is>
          <t>2039-12-19</t>
        </is>
      </c>
    </row>
    <row r="51168">
      <c r="A51168" s="1" t="n">
        <v>51167</v>
      </c>
      <c r="B51168">
        <f>TEXT(51167, "[$-0E0000]yyyy-mm-dd")</f>
        <v/>
      </c>
      <c r="C51168" t="inlineStr">
        <is>
          <t>2039-12-20</t>
        </is>
      </c>
    </row>
    <row r="51169">
      <c r="A51169" s="1" t="n">
        <v>51168</v>
      </c>
      <c r="B51169">
        <f>TEXT(51168, "[$-0E0000]yyyy-mm-dd")</f>
        <v/>
      </c>
      <c r="C51169" t="inlineStr">
        <is>
          <t>2039-12-21</t>
        </is>
      </c>
    </row>
    <row r="51170">
      <c r="A51170" s="1" t="n">
        <v>51169</v>
      </c>
      <c r="B51170">
        <f>TEXT(51169, "[$-0E0000]yyyy-mm-dd")</f>
        <v/>
      </c>
      <c r="C51170" t="inlineStr">
        <is>
          <t>2039-12-22</t>
        </is>
      </c>
    </row>
    <row r="51171">
      <c r="A51171" s="1" t="n">
        <v>51170</v>
      </c>
      <c r="B51171">
        <f>TEXT(51170, "[$-0E0000]yyyy-mm-dd")</f>
        <v/>
      </c>
      <c r="C51171" t="inlineStr">
        <is>
          <t>2039-12-23</t>
        </is>
      </c>
    </row>
    <row r="51172">
      <c r="A51172" s="1" t="n">
        <v>51171</v>
      </c>
      <c r="B51172">
        <f>TEXT(51171, "[$-0E0000]yyyy-mm-dd")</f>
        <v/>
      </c>
      <c r="C51172" t="inlineStr">
        <is>
          <t>2039-12-24</t>
        </is>
      </c>
    </row>
    <row r="51173">
      <c r="A51173" s="1" t="n">
        <v>51172</v>
      </c>
      <c r="B51173">
        <f>TEXT(51172, "[$-0E0000]yyyy-mm-dd")</f>
        <v/>
      </c>
      <c r="C51173" t="inlineStr">
        <is>
          <t>2039-12-25</t>
        </is>
      </c>
    </row>
    <row r="51174">
      <c r="A51174" s="1" t="n">
        <v>51173</v>
      </c>
      <c r="B51174">
        <f>TEXT(51173, "[$-0E0000]yyyy-mm-dd")</f>
        <v/>
      </c>
      <c r="C51174" t="inlineStr">
        <is>
          <t>2039-12-26</t>
        </is>
      </c>
    </row>
    <row r="51175">
      <c r="A51175" s="1" t="n">
        <v>51174</v>
      </c>
      <c r="B51175">
        <f>TEXT(51174, "[$-0E0000]yyyy-mm-dd")</f>
        <v/>
      </c>
      <c r="C51175" t="inlineStr">
        <is>
          <t>2039-12-27</t>
        </is>
      </c>
    </row>
    <row r="51176">
      <c r="A51176" s="1" t="n">
        <v>51175</v>
      </c>
      <c r="B51176">
        <f>TEXT(51175, "[$-0E0000]yyyy-mm-dd")</f>
        <v/>
      </c>
      <c r="C51176" t="inlineStr">
        <is>
          <t>2039-12-28</t>
        </is>
      </c>
    </row>
    <row r="51177">
      <c r="A51177" s="1" t="n">
        <v>51176</v>
      </c>
      <c r="B51177">
        <f>TEXT(51176, "[$-0E0000]yyyy-mm-dd")</f>
        <v/>
      </c>
      <c r="C51177" t="inlineStr">
        <is>
          <t>2039-12-29</t>
        </is>
      </c>
    </row>
    <row r="51178">
      <c r="A51178" s="1" t="n">
        <v>51177</v>
      </c>
      <c r="B51178">
        <f>TEXT(51177, "[$-0E0000]yyyy-mm-dd")</f>
        <v/>
      </c>
      <c r="C51178" t="inlineStr">
        <is>
          <t>2040-01-01</t>
        </is>
      </c>
    </row>
    <row r="51179">
      <c r="A51179" s="1" t="n">
        <v>51178</v>
      </c>
      <c r="B51179">
        <f>TEXT(51178, "[$-0E0000]yyyy-mm-dd")</f>
        <v/>
      </c>
      <c r="C51179" t="inlineStr">
        <is>
          <t>2040-01-02</t>
        </is>
      </c>
    </row>
    <row r="51180">
      <c r="A51180" s="1" t="n">
        <v>51179</v>
      </c>
      <c r="B51180">
        <f>TEXT(51179, "[$-0E0000]yyyy-mm-dd")</f>
        <v/>
      </c>
      <c r="C51180" t="inlineStr">
        <is>
          <t>2040-01-03</t>
        </is>
      </c>
    </row>
    <row r="51181">
      <c r="A51181" s="1" t="n">
        <v>51180</v>
      </c>
      <c r="B51181">
        <f>TEXT(51180, "[$-0E0000]yyyy-mm-dd")</f>
        <v/>
      </c>
      <c r="C51181" t="inlineStr">
        <is>
          <t>2040-01-04</t>
        </is>
      </c>
    </row>
    <row r="51182">
      <c r="A51182" s="1" t="n">
        <v>51181</v>
      </c>
      <c r="B51182">
        <f>TEXT(51181, "[$-0E0000]yyyy-mm-dd")</f>
        <v/>
      </c>
      <c r="C51182" t="inlineStr">
        <is>
          <t>2040-01-05</t>
        </is>
      </c>
    </row>
    <row r="51183">
      <c r="A51183" s="1" t="n">
        <v>51182</v>
      </c>
      <c r="B51183">
        <f>TEXT(51182, "[$-0E0000]yyyy-mm-dd")</f>
        <v/>
      </c>
      <c r="C51183" t="inlineStr">
        <is>
          <t>2040-01-06</t>
        </is>
      </c>
    </row>
    <row r="51184">
      <c r="A51184" s="1" t="n">
        <v>51183</v>
      </c>
      <c r="B51184">
        <f>TEXT(51183, "[$-0E0000]yyyy-mm-dd")</f>
        <v/>
      </c>
      <c r="C51184" t="inlineStr">
        <is>
          <t>2040-01-07</t>
        </is>
      </c>
    </row>
    <row r="51185">
      <c r="A51185" s="1" t="n">
        <v>51184</v>
      </c>
      <c r="B51185">
        <f>TEXT(51184, "[$-0E0000]yyyy-mm-dd")</f>
        <v/>
      </c>
      <c r="C51185" t="inlineStr">
        <is>
          <t>2040-01-08</t>
        </is>
      </c>
    </row>
    <row r="51186">
      <c r="A51186" s="1" t="n">
        <v>51185</v>
      </c>
      <c r="B51186">
        <f>TEXT(51185, "[$-0E0000]yyyy-mm-dd")</f>
        <v/>
      </c>
      <c r="C51186" t="inlineStr">
        <is>
          <t>2040-01-09</t>
        </is>
      </c>
    </row>
    <row r="51187">
      <c r="A51187" s="1" t="n">
        <v>51186</v>
      </c>
      <c r="B51187">
        <f>TEXT(51186, "[$-0E0000]yyyy-mm-dd")</f>
        <v/>
      </c>
      <c r="C51187" t="inlineStr">
        <is>
          <t>2040-01-10</t>
        </is>
      </c>
    </row>
    <row r="51188">
      <c r="A51188" s="1" t="n">
        <v>51187</v>
      </c>
      <c r="B51188">
        <f>TEXT(51187, "[$-0E0000]yyyy-mm-dd")</f>
        <v/>
      </c>
      <c r="C51188" t="inlineStr">
        <is>
          <t>2040-01-11</t>
        </is>
      </c>
    </row>
    <row r="51189">
      <c r="A51189" s="1" t="n">
        <v>51188</v>
      </c>
      <c r="B51189">
        <f>TEXT(51188, "[$-0E0000]yyyy-mm-dd")</f>
        <v/>
      </c>
      <c r="C51189" t="inlineStr">
        <is>
          <t>2040-01-12</t>
        </is>
      </c>
    </row>
    <row r="51190">
      <c r="A51190" s="1" t="n">
        <v>51189</v>
      </c>
      <c r="B51190">
        <f>TEXT(51189, "[$-0E0000]yyyy-mm-dd")</f>
        <v/>
      </c>
      <c r="C51190" t="inlineStr">
        <is>
          <t>2040-01-13</t>
        </is>
      </c>
    </row>
    <row r="51191">
      <c r="A51191" s="1" t="n">
        <v>51190</v>
      </c>
      <c r="B51191">
        <f>TEXT(51190, "[$-0E0000]yyyy-mm-dd")</f>
        <v/>
      </c>
      <c r="C51191" t="inlineStr">
        <is>
          <t>2040-01-14</t>
        </is>
      </c>
    </row>
    <row r="51192">
      <c r="A51192" s="1" t="n">
        <v>51191</v>
      </c>
      <c r="B51192">
        <f>TEXT(51191, "[$-0E0000]yyyy-mm-dd")</f>
        <v/>
      </c>
      <c r="C51192" t="inlineStr">
        <is>
          <t>2040-01-15</t>
        </is>
      </c>
    </row>
    <row r="51193">
      <c r="A51193" s="1" t="n">
        <v>51192</v>
      </c>
      <c r="B51193">
        <f>TEXT(51192, "[$-0E0000]yyyy-mm-dd")</f>
        <v/>
      </c>
      <c r="C51193" t="inlineStr">
        <is>
          <t>2040-01-16</t>
        </is>
      </c>
    </row>
    <row r="51194">
      <c r="A51194" s="1" t="n">
        <v>51193</v>
      </c>
      <c r="B51194">
        <f>TEXT(51193, "[$-0E0000]yyyy-mm-dd")</f>
        <v/>
      </c>
      <c r="C51194" t="inlineStr">
        <is>
          <t>2040-01-17</t>
        </is>
      </c>
    </row>
    <row r="51195">
      <c r="A51195" s="1" t="n">
        <v>51194</v>
      </c>
      <c r="B51195">
        <f>TEXT(51194, "[$-0E0000]yyyy-mm-dd")</f>
        <v/>
      </c>
      <c r="C51195" t="inlineStr">
        <is>
          <t>2040-01-18</t>
        </is>
      </c>
    </row>
    <row r="51196">
      <c r="A51196" s="1" t="n">
        <v>51195</v>
      </c>
      <c r="B51196">
        <f>TEXT(51195, "[$-0E0000]yyyy-mm-dd")</f>
        <v/>
      </c>
      <c r="C51196" t="inlineStr">
        <is>
          <t>2040-01-19</t>
        </is>
      </c>
    </row>
    <row r="51197">
      <c r="A51197" s="1" t="n">
        <v>51196</v>
      </c>
      <c r="B51197">
        <f>TEXT(51196, "[$-0E0000]yyyy-mm-dd")</f>
        <v/>
      </c>
      <c r="C51197" t="inlineStr">
        <is>
          <t>2040-01-20</t>
        </is>
      </c>
    </row>
    <row r="51198">
      <c r="A51198" s="1" t="n">
        <v>51197</v>
      </c>
      <c r="B51198">
        <f>TEXT(51197, "[$-0E0000]yyyy-mm-dd")</f>
        <v/>
      </c>
      <c r="C51198" t="inlineStr">
        <is>
          <t>2040-01-21</t>
        </is>
      </c>
    </row>
    <row r="51199">
      <c r="A51199" s="1" t="n">
        <v>51198</v>
      </c>
      <c r="B51199">
        <f>TEXT(51198, "[$-0E0000]yyyy-mm-dd")</f>
        <v/>
      </c>
      <c r="C51199" t="inlineStr">
        <is>
          <t>2040-01-22</t>
        </is>
      </c>
    </row>
    <row r="51200">
      <c r="A51200" s="1" t="n">
        <v>51199</v>
      </c>
      <c r="B51200">
        <f>TEXT(51199, "[$-0E0000]yyyy-mm-dd")</f>
        <v/>
      </c>
      <c r="C51200" t="inlineStr">
        <is>
          <t>2040-01-23</t>
        </is>
      </c>
    </row>
    <row r="51201">
      <c r="A51201" s="1" t="n">
        <v>51200</v>
      </c>
      <c r="B51201">
        <f>TEXT(51200, "[$-0E0000]yyyy-mm-dd")</f>
        <v/>
      </c>
      <c r="C51201" t="inlineStr">
        <is>
          <t>2040-01-24</t>
        </is>
      </c>
    </row>
    <row r="51202">
      <c r="A51202" s="1" t="n">
        <v>51201</v>
      </c>
      <c r="B51202">
        <f>TEXT(51201, "[$-0E0000]yyyy-mm-dd")</f>
        <v/>
      </c>
      <c r="C51202" t="inlineStr">
        <is>
          <t>2040-01-25</t>
        </is>
      </c>
    </row>
    <row r="51203">
      <c r="A51203" s="1" t="n">
        <v>51202</v>
      </c>
      <c r="B51203">
        <f>TEXT(51202, "[$-0E0000]yyyy-mm-dd")</f>
        <v/>
      </c>
      <c r="C51203" t="inlineStr">
        <is>
          <t>2040-01-26</t>
        </is>
      </c>
    </row>
    <row r="51204">
      <c r="A51204" s="1" t="n">
        <v>51203</v>
      </c>
      <c r="B51204">
        <f>TEXT(51203, "[$-0E0000]yyyy-mm-dd")</f>
        <v/>
      </c>
      <c r="C51204" t="inlineStr">
        <is>
          <t>2040-01-27</t>
        </is>
      </c>
    </row>
    <row r="51205">
      <c r="A51205" s="1" t="n">
        <v>51204</v>
      </c>
      <c r="B51205">
        <f>TEXT(51204, "[$-0E0000]yyyy-mm-dd")</f>
        <v/>
      </c>
      <c r="C51205" t="inlineStr">
        <is>
          <t>2040-01-28</t>
        </is>
      </c>
    </row>
    <row r="51206">
      <c r="A51206" s="1" t="n">
        <v>51205</v>
      </c>
      <c r="B51206">
        <f>TEXT(51205, "[$-0E0000]yyyy-mm-dd")</f>
        <v/>
      </c>
      <c r="C51206" t="inlineStr">
        <is>
          <t>2040-01-29</t>
        </is>
      </c>
    </row>
    <row r="51207">
      <c r="A51207" s="1" t="n">
        <v>51206</v>
      </c>
      <c r="B51207">
        <f>TEXT(51206, "[$-0E0000]yyyy-mm-dd")</f>
        <v/>
      </c>
      <c r="C51207" t="inlineStr">
        <is>
          <t>2040-01-30</t>
        </is>
      </c>
    </row>
    <row r="51208">
      <c r="A51208" s="1" t="n">
        <v>51207</v>
      </c>
      <c r="B51208">
        <f>TEXT(51207, "[$-0E0000]yyyy-mm-dd")</f>
        <v/>
      </c>
      <c r="C51208" t="inlineStr">
        <is>
          <t>2040-02-01</t>
        </is>
      </c>
    </row>
    <row r="51209">
      <c r="A51209" s="1" t="n">
        <v>51208</v>
      </c>
      <c r="B51209">
        <f>TEXT(51208, "[$-0E0000]yyyy-mm-dd")</f>
        <v/>
      </c>
      <c r="C51209" t="inlineStr">
        <is>
          <t>2040-02-02</t>
        </is>
      </c>
    </row>
    <row r="51210">
      <c r="A51210" s="1" t="n">
        <v>51209</v>
      </c>
      <c r="B51210">
        <f>TEXT(51209, "[$-0E0000]yyyy-mm-dd")</f>
        <v/>
      </c>
      <c r="C51210" t="inlineStr">
        <is>
          <t>2040-02-03</t>
        </is>
      </c>
    </row>
    <row r="51211">
      <c r="A51211" s="1" t="n">
        <v>51210</v>
      </c>
      <c r="B51211">
        <f>TEXT(51210, "[$-0E0000]yyyy-mm-dd")</f>
        <v/>
      </c>
      <c r="C51211" t="inlineStr">
        <is>
          <t>2040-02-04</t>
        </is>
      </c>
    </row>
    <row r="51212">
      <c r="A51212" s="1" t="n">
        <v>51211</v>
      </c>
      <c r="B51212">
        <f>TEXT(51211, "[$-0E0000]yyyy-mm-dd")</f>
        <v/>
      </c>
      <c r="C51212" t="inlineStr">
        <is>
          <t>2040-02-05</t>
        </is>
      </c>
    </row>
    <row r="51213">
      <c r="A51213" s="1" t="n">
        <v>51212</v>
      </c>
      <c r="B51213">
        <f>TEXT(51212, "[$-0E0000]yyyy-mm-dd")</f>
        <v/>
      </c>
      <c r="C51213" t="inlineStr">
        <is>
          <t>2040-02-06</t>
        </is>
      </c>
    </row>
    <row r="51214">
      <c r="A51214" s="1" t="n">
        <v>51213</v>
      </c>
      <c r="B51214">
        <f>TEXT(51213, "[$-0E0000]yyyy-mm-dd")</f>
        <v/>
      </c>
      <c r="C51214" t="inlineStr">
        <is>
          <t>2040-02-07</t>
        </is>
      </c>
    </row>
    <row r="51215">
      <c r="A51215" s="1" t="n">
        <v>51214</v>
      </c>
      <c r="B51215">
        <f>TEXT(51214, "[$-0E0000]yyyy-mm-dd")</f>
        <v/>
      </c>
      <c r="C51215" t="inlineStr">
        <is>
          <t>2040-02-08</t>
        </is>
      </c>
    </row>
    <row r="51216">
      <c r="A51216" s="1" t="n">
        <v>51215</v>
      </c>
      <c r="B51216">
        <f>TEXT(51215, "[$-0E0000]yyyy-mm-dd")</f>
        <v/>
      </c>
      <c r="C51216" t="inlineStr">
        <is>
          <t>2040-02-09</t>
        </is>
      </c>
    </row>
    <row r="51217">
      <c r="A51217" s="1" t="n">
        <v>51216</v>
      </c>
      <c r="B51217">
        <f>TEXT(51216, "[$-0E0000]yyyy-mm-dd")</f>
        <v/>
      </c>
      <c r="C51217" t="inlineStr">
        <is>
          <t>2040-02-10</t>
        </is>
      </c>
    </row>
    <row r="51218">
      <c r="A51218" s="1" t="n">
        <v>51217</v>
      </c>
      <c r="B51218">
        <f>TEXT(51217, "[$-0E0000]yyyy-mm-dd")</f>
        <v/>
      </c>
      <c r="C51218" t="inlineStr">
        <is>
          <t>2040-02-11</t>
        </is>
      </c>
    </row>
    <row r="51219">
      <c r="A51219" s="1" t="n">
        <v>51218</v>
      </c>
      <c r="B51219">
        <f>TEXT(51218, "[$-0E0000]yyyy-mm-dd")</f>
        <v/>
      </c>
      <c r="C51219" t="inlineStr">
        <is>
          <t>2040-02-12</t>
        </is>
      </c>
    </row>
    <row r="51220">
      <c r="A51220" s="1" t="n">
        <v>51219</v>
      </c>
      <c r="B51220">
        <f>TEXT(51219, "[$-0E0000]yyyy-mm-dd")</f>
        <v/>
      </c>
      <c r="C51220" t="inlineStr">
        <is>
          <t>2040-02-13</t>
        </is>
      </c>
    </row>
    <row r="51221">
      <c r="A51221" s="1" t="n">
        <v>51220</v>
      </c>
      <c r="B51221">
        <f>TEXT(51220, "[$-0E0000]yyyy-mm-dd")</f>
        <v/>
      </c>
      <c r="C51221" t="inlineStr">
        <is>
          <t>2040-02-14</t>
        </is>
      </c>
    </row>
    <row r="51222">
      <c r="A51222" s="1" t="n">
        <v>51221</v>
      </c>
      <c r="B51222">
        <f>TEXT(51221, "[$-0E0000]yyyy-mm-dd")</f>
        <v/>
      </c>
      <c r="C51222" t="inlineStr">
        <is>
          <t>2040-02-15</t>
        </is>
      </c>
    </row>
    <row r="51223">
      <c r="A51223" s="1" t="n">
        <v>51222</v>
      </c>
      <c r="B51223">
        <f>TEXT(51222, "[$-0E0000]yyyy-mm-dd")</f>
        <v/>
      </c>
      <c r="C51223" t="inlineStr">
        <is>
          <t>2040-02-16</t>
        </is>
      </c>
    </row>
    <row r="51224">
      <c r="A51224" s="1" t="n">
        <v>51223</v>
      </c>
      <c r="B51224">
        <f>TEXT(51223, "[$-0E0000]yyyy-mm-dd")</f>
        <v/>
      </c>
      <c r="C51224" t="inlineStr">
        <is>
          <t>2040-02-17</t>
        </is>
      </c>
    </row>
    <row r="51225">
      <c r="A51225" s="1" t="n">
        <v>51224</v>
      </c>
      <c r="B51225">
        <f>TEXT(51224, "[$-0E0000]yyyy-mm-dd")</f>
        <v/>
      </c>
      <c r="C51225" t="inlineStr">
        <is>
          <t>2040-02-18</t>
        </is>
      </c>
    </row>
    <row r="51226">
      <c r="A51226" s="1" t="n">
        <v>51225</v>
      </c>
      <c r="B51226">
        <f>TEXT(51225, "[$-0E0000]yyyy-mm-dd")</f>
        <v/>
      </c>
      <c r="C51226" t="inlineStr">
        <is>
          <t>2040-02-19</t>
        </is>
      </c>
    </row>
    <row r="51227">
      <c r="A51227" s="1" t="n">
        <v>51226</v>
      </c>
      <c r="B51227">
        <f>TEXT(51226, "[$-0E0000]yyyy-mm-dd")</f>
        <v/>
      </c>
      <c r="C51227" t="inlineStr">
        <is>
          <t>2040-02-20</t>
        </is>
      </c>
    </row>
    <row r="51228">
      <c r="A51228" s="1" t="n">
        <v>51227</v>
      </c>
      <c r="B51228">
        <f>TEXT(51227, "[$-0E0000]yyyy-mm-dd")</f>
        <v/>
      </c>
      <c r="C51228" t="inlineStr">
        <is>
          <t>2040-02-21</t>
        </is>
      </c>
    </row>
    <row r="51229">
      <c r="A51229" s="1" t="n">
        <v>51228</v>
      </c>
      <c r="B51229">
        <f>TEXT(51228, "[$-0E0000]yyyy-mm-dd")</f>
        <v/>
      </c>
      <c r="C51229" t="inlineStr">
        <is>
          <t>2040-02-22</t>
        </is>
      </c>
    </row>
    <row r="51230">
      <c r="A51230" s="1" t="n">
        <v>51229</v>
      </c>
      <c r="B51230">
        <f>TEXT(51229, "[$-0E0000]yyyy-mm-dd")</f>
        <v/>
      </c>
      <c r="C51230" t="inlineStr">
        <is>
          <t>2040-02-23</t>
        </is>
      </c>
    </row>
    <row r="51231">
      <c r="A51231" s="1" t="n">
        <v>51230</v>
      </c>
      <c r="B51231">
        <f>TEXT(51230, "[$-0E0000]yyyy-mm-dd")</f>
        <v/>
      </c>
      <c r="C51231" t="inlineStr">
        <is>
          <t>2040-02-24</t>
        </is>
      </c>
    </row>
    <row r="51232">
      <c r="A51232" s="1" t="n">
        <v>51231</v>
      </c>
      <c r="B51232">
        <f>TEXT(51231, "[$-0E0000]yyyy-mm-dd")</f>
        <v/>
      </c>
      <c r="C51232" t="inlineStr">
        <is>
          <t>2040-02-25</t>
        </is>
      </c>
    </row>
    <row r="51233">
      <c r="A51233" s="1" t="n">
        <v>51232</v>
      </c>
      <c r="B51233">
        <f>TEXT(51232, "[$-0E0000]yyyy-mm-dd")</f>
        <v/>
      </c>
      <c r="C51233" t="inlineStr">
        <is>
          <t>2040-02-26</t>
        </is>
      </c>
    </row>
    <row r="51234">
      <c r="A51234" s="1" t="n">
        <v>51233</v>
      </c>
      <c r="B51234">
        <f>TEXT(51233, "[$-0E0000]yyyy-mm-dd")</f>
        <v/>
      </c>
      <c r="C51234" t="inlineStr">
        <is>
          <t>2040-02-27</t>
        </is>
      </c>
    </row>
    <row r="51235">
      <c r="A51235" s="1" t="n">
        <v>51234</v>
      </c>
      <c r="B51235">
        <f>TEXT(51234, "[$-0E0000]yyyy-mm-dd")</f>
        <v/>
      </c>
      <c r="C51235" t="inlineStr">
        <is>
          <t>2040-02-28</t>
        </is>
      </c>
    </row>
    <row r="51236">
      <c r="A51236" s="1" t="n">
        <v>51235</v>
      </c>
      <c r="B51236">
        <f>TEXT(51235, "[$-0E0000]yyyy-mm-dd")</f>
        <v/>
      </c>
      <c r="C51236" t="inlineStr">
        <is>
          <t>2040-02-29</t>
        </is>
      </c>
    </row>
    <row r="51237">
      <c r="A51237" s="1" t="n">
        <v>51236</v>
      </c>
      <c r="B51237">
        <f>TEXT(51236, "[$-0E0000]yyyy-mm-dd")</f>
        <v/>
      </c>
      <c r="C51237" t="inlineStr">
        <is>
          <t>2040-03-01</t>
        </is>
      </c>
    </row>
    <row r="51238">
      <c r="A51238" s="1" t="n">
        <v>51237</v>
      </c>
      <c r="B51238">
        <f>TEXT(51237, "[$-0E0000]yyyy-mm-dd")</f>
        <v/>
      </c>
      <c r="C51238" t="inlineStr">
        <is>
          <t>2040-03-02</t>
        </is>
      </c>
    </row>
    <row r="51239">
      <c r="A51239" s="1" t="n">
        <v>51238</v>
      </c>
      <c r="B51239">
        <f>TEXT(51238, "[$-0E0000]yyyy-mm-dd")</f>
        <v/>
      </c>
      <c r="C51239" t="inlineStr">
        <is>
          <t>2040-03-03</t>
        </is>
      </c>
    </row>
    <row r="51240">
      <c r="A51240" s="1" t="n">
        <v>51239</v>
      </c>
      <c r="B51240">
        <f>TEXT(51239, "[$-0E0000]yyyy-mm-dd")</f>
        <v/>
      </c>
      <c r="C51240" t="inlineStr">
        <is>
          <t>2040-03-04</t>
        </is>
      </c>
    </row>
    <row r="51241">
      <c r="A51241" s="1" t="n">
        <v>51240</v>
      </c>
      <c r="B51241">
        <f>TEXT(51240, "[$-0E0000]yyyy-mm-dd")</f>
        <v/>
      </c>
      <c r="C51241" t="inlineStr">
        <is>
          <t>2040-03-05</t>
        </is>
      </c>
    </row>
    <row r="51242">
      <c r="A51242" s="1" t="n">
        <v>51241</v>
      </c>
      <c r="B51242">
        <f>TEXT(51241, "[$-0E0000]yyyy-mm-dd")</f>
        <v/>
      </c>
      <c r="C51242" t="inlineStr">
        <is>
          <t>2040-03-06</t>
        </is>
      </c>
    </row>
    <row r="51243">
      <c r="A51243" s="1" t="n">
        <v>51242</v>
      </c>
      <c r="B51243">
        <f>TEXT(51242, "[$-0E0000]yyyy-mm-dd")</f>
        <v/>
      </c>
      <c r="C51243" t="inlineStr">
        <is>
          <t>2040-03-07</t>
        </is>
      </c>
    </row>
    <row r="51244">
      <c r="A51244" s="1" t="n">
        <v>51243</v>
      </c>
      <c r="B51244">
        <f>TEXT(51243, "[$-0E0000]yyyy-mm-dd")</f>
        <v/>
      </c>
      <c r="C51244" t="inlineStr">
        <is>
          <t>2040-03-08</t>
        </is>
      </c>
    </row>
    <row r="51245">
      <c r="A51245" s="1" t="n">
        <v>51244</v>
      </c>
      <c r="B51245">
        <f>TEXT(51244, "[$-0E0000]yyyy-mm-dd")</f>
        <v/>
      </c>
      <c r="C51245" t="inlineStr">
        <is>
          <t>2040-03-09</t>
        </is>
      </c>
    </row>
    <row r="51246">
      <c r="A51246" s="1" t="n">
        <v>51245</v>
      </c>
      <c r="B51246">
        <f>TEXT(51245, "[$-0E0000]yyyy-mm-dd")</f>
        <v/>
      </c>
      <c r="C51246" t="inlineStr">
        <is>
          <t>2040-03-10</t>
        </is>
      </c>
    </row>
    <row r="51247">
      <c r="A51247" s="1" t="n">
        <v>51246</v>
      </c>
      <c r="B51247">
        <f>TEXT(51246, "[$-0E0000]yyyy-mm-dd")</f>
        <v/>
      </c>
      <c r="C51247" t="inlineStr">
        <is>
          <t>2040-03-11</t>
        </is>
      </c>
    </row>
    <row r="51248">
      <c r="A51248" s="1" t="n">
        <v>51247</v>
      </c>
      <c r="B51248">
        <f>TEXT(51247, "[$-0E0000]yyyy-mm-dd")</f>
        <v/>
      </c>
      <c r="C51248" t="inlineStr">
        <is>
          <t>2040-03-12</t>
        </is>
      </c>
    </row>
    <row r="51249">
      <c r="A51249" s="1" t="n">
        <v>51248</v>
      </c>
      <c r="B51249">
        <f>TEXT(51248, "[$-0E0000]yyyy-mm-dd")</f>
        <v/>
      </c>
      <c r="C51249" t="inlineStr">
        <is>
          <t>2040-03-13</t>
        </is>
      </c>
    </row>
    <row r="51250">
      <c r="A51250" s="1" t="n">
        <v>51249</v>
      </c>
      <c r="B51250">
        <f>TEXT(51249, "[$-0E0000]yyyy-mm-dd")</f>
        <v/>
      </c>
      <c r="C51250" t="inlineStr">
        <is>
          <t>2040-03-14</t>
        </is>
      </c>
    </row>
    <row r="51251">
      <c r="A51251" s="1" t="n">
        <v>51250</v>
      </c>
      <c r="B51251">
        <f>TEXT(51250, "[$-0E0000]yyyy-mm-dd")</f>
        <v/>
      </c>
      <c r="C51251" t="inlineStr">
        <is>
          <t>2040-03-15</t>
        </is>
      </c>
    </row>
    <row r="51252">
      <c r="A51252" s="1" t="n">
        <v>51251</v>
      </c>
      <c r="B51252">
        <f>TEXT(51251, "[$-0E0000]yyyy-mm-dd")</f>
        <v/>
      </c>
      <c r="C51252" t="inlineStr">
        <is>
          <t>2040-03-16</t>
        </is>
      </c>
    </row>
    <row r="51253">
      <c r="A51253" s="1" t="n">
        <v>51252</v>
      </c>
      <c r="B51253">
        <f>TEXT(51252, "[$-0E0000]yyyy-mm-dd")</f>
        <v/>
      </c>
      <c r="C51253" t="inlineStr">
        <is>
          <t>2040-03-17</t>
        </is>
      </c>
    </row>
    <row r="51254">
      <c r="A51254" s="1" t="n">
        <v>51253</v>
      </c>
      <c r="B51254">
        <f>TEXT(51253, "[$-0E0000]yyyy-mm-dd")</f>
        <v/>
      </c>
      <c r="C51254" t="inlineStr">
        <is>
          <t>2040-03-18</t>
        </is>
      </c>
    </row>
    <row r="51255">
      <c r="A51255" s="1" t="n">
        <v>51254</v>
      </c>
      <c r="B51255">
        <f>TEXT(51254, "[$-0E0000]yyyy-mm-dd")</f>
        <v/>
      </c>
      <c r="C51255" t="inlineStr">
        <is>
          <t>2040-03-19</t>
        </is>
      </c>
    </row>
    <row r="51256">
      <c r="A51256" s="1" t="n">
        <v>51255</v>
      </c>
      <c r="B51256">
        <f>TEXT(51255, "[$-0E0000]yyyy-mm-dd")</f>
        <v/>
      </c>
      <c r="C51256" t="inlineStr">
        <is>
          <t>2040-03-20</t>
        </is>
      </c>
    </row>
    <row r="51257">
      <c r="A51257" s="1" t="n">
        <v>51256</v>
      </c>
      <c r="B51257">
        <f>TEXT(51256, "[$-0E0000]yyyy-mm-dd")</f>
        <v/>
      </c>
      <c r="C51257" t="inlineStr">
        <is>
          <t>2040-03-21</t>
        </is>
      </c>
    </row>
    <row r="51258">
      <c r="A51258" s="1" t="n">
        <v>51257</v>
      </c>
      <c r="B51258">
        <f>TEXT(51257, "[$-0E0000]yyyy-mm-dd")</f>
        <v/>
      </c>
      <c r="C51258" t="inlineStr">
        <is>
          <t>2040-03-22</t>
        </is>
      </c>
    </row>
    <row r="51259">
      <c r="A51259" s="1" t="n">
        <v>51258</v>
      </c>
      <c r="B51259">
        <f>TEXT(51258, "[$-0E0000]yyyy-mm-dd")</f>
        <v/>
      </c>
      <c r="C51259" t="inlineStr">
        <is>
          <t>2040-03-23</t>
        </is>
      </c>
    </row>
    <row r="51260">
      <c r="A51260" s="1" t="n">
        <v>51259</v>
      </c>
      <c r="B51260">
        <f>TEXT(51259, "[$-0E0000]yyyy-mm-dd")</f>
        <v/>
      </c>
      <c r="C51260" t="inlineStr">
        <is>
          <t>2040-03-24</t>
        </is>
      </c>
    </row>
    <row r="51261">
      <c r="A51261" s="1" t="n">
        <v>51260</v>
      </c>
      <c r="B51261">
        <f>TEXT(51260, "[$-0E0000]yyyy-mm-dd")</f>
        <v/>
      </c>
      <c r="C51261" t="inlineStr">
        <is>
          <t>2040-03-25</t>
        </is>
      </c>
    </row>
    <row r="51262">
      <c r="A51262" s="1" t="n">
        <v>51261</v>
      </c>
      <c r="B51262">
        <f>TEXT(51261, "[$-0E0000]yyyy-mm-dd")</f>
        <v/>
      </c>
      <c r="C51262" t="inlineStr">
        <is>
          <t>2040-03-26</t>
        </is>
      </c>
    </row>
    <row r="51263">
      <c r="A51263" s="1" t="n">
        <v>51262</v>
      </c>
      <c r="B51263">
        <f>TEXT(51262, "[$-0E0000]yyyy-mm-dd")</f>
        <v/>
      </c>
      <c r="C51263" t="inlineStr">
        <is>
          <t>2040-03-27</t>
        </is>
      </c>
    </row>
    <row r="51264">
      <c r="A51264" s="1" t="n">
        <v>51263</v>
      </c>
      <c r="B51264">
        <f>TEXT(51263, "[$-0E0000]yyyy-mm-dd")</f>
        <v/>
      </c>
      <c r="C51264" t="inlineStr">
        <is>
          <t>2040-03-28</t>
        </is>
      </c>
    </row>
    <row r="51265">
      <c r="A51265" s="1" t="n">
        <v>51264</v>
      </c>
      <c r="B51265">
        <f>TEXT(51264, "[$-0E0000]yyyy-mm-dd")</f>
        <v/>
      </c>
      <c r="C51265" t="inlineStr">
        <is>
          <t>2040-03-29</t>
        </is>
      </c>
    </row>
    <row r="51266">
      <c r="A51266" s="1" t="n">
        <v>51265</v>
      </c>
      <c r="B51266">
        <f>TEXT(51265, "[$-0E0000]yyyy-mm-dd")</f>
        <v/>
      </c>
      <c r="C51266" t="inlineStr">
        <is>
          <t>2040-03-30</t>
        </is>
      </c>
    </row>
    <row r="51267">
      <c r="A51267" s="1" t="n">
        <v>51266</v>
      </c>
      <c r="B51267">
        <f>TEXT(51266, "[$-0E0000]yyyy-mm-dd")</f>
        <v/>
      </c>
      <c r="C51267" t="inlineStr">
        <is>
          <t>2040-04-01</t>
        </is>
      </c>
    </row>
    <row r="51268">
      <c r="A51268" s="1" t="n">
        <v>51267</v>
      </c>
      <c r="B51268">
        <f>TEXT(51267, "[$-0E0000]yyyy-mm-dd")</f>
        <v/>
      </c>
      <c r="C51268" t="inlineStr">
        <is>
          <t>2040-04-02</t>
        </is>
      </c>
    </row>
    <row r="51269">
      <c r="A51269" s="1" t="n">
        <v>51268</v>
      </c>
      <c r="B51269">
        <f>TEXT(51268, "[$-0E0000]yyyy-mm-dd")</f>
        <v/>
      </c>
      <c r="C51269" t="inlineStr">
        <is>
          <t>2040-04-03</t>
        </is>
      </c>
    </row>
    <row r="51270">
      <c r="A51270" s="1" t="n">
        <v>51269</v>
      </c>
      <c r="B51270">
        <f>TEXT(51269, "[$-0E0000]yyyy-mm-dd")</f>
        <v/>
      </c>
      <c r="C51270" t="inlineStr">
        <is>
          <t>2040-04-04</t>
        </is>
      </c>
    </row>
    <row r="51271">
      <c r="A51271" s="1" t="n">
        <v>51270</v>
      </c>
      <c r="B51271">
        <f>TEXT(51270, "[$-0E0000]yyyy-mm-dd")</f>
        <v/>
      </c>
      <c r="C51271" t="inlineStr">
        <is>
          <t>2040-04-05</t>
        </is>
      </c>
    </row>
    <row r="51272">
      <c r="A51272" s="1" t="n">
        <v>51271</v>
      </c>
      <c r="B51272">
        <f>TEXT(51271, "[$-0E0000]yyyy-mm-dd")</f>
        <v/>
      </c>
      <c r="C51272" t="inlineStr">
        <is>
          <t>2040-04-06</t>
        </is>
      </c>
    </row>
    <row r="51273">
      <c r="A51273" s="1" t="n">
        <v>51272</v>
      </c>
      <c r="B51273">
        <f>TEXT(51272, "[$-0E0000]yyyy-mm-dd")</f>
        <v/>
      </c>
      <c r="C51273" t="inlineStr">
        <is>
          <t>2040-04-07</t>
        </is>
      </c>
    </row>
    <row r="51274">
      <c r="A51274" s="1" t="n">
        <v>51273</v>
      </c>
      <c r="B51274">
        <f>TEXT(51273, "[$-0E0000]yyyy-mm-dd")</f>
        <v/>
      </c>
      <c r="C51274" t="inlineStr">
        <is>
          <t>2040-04-08</t>
        </is>
      </c>
    </row>
    <row r="51275">
      <c r="A51275" s="1" t="n">
        <v>51274</v>
      </c>
      <c r="B51275">
        <f>TEXT(51274, "[$-0E0000]yyyy-mm-dd")</f>
        <v/>
      </c>
      <c r="C51275" t="inlineStr">
        <is>
          <t>2040-04-09</t>
        </is>
      </c>
    </row>
    <row r="51276">
      <c r="A51276" s="1" t="n">
        <v>51275</v>
      </c>
      <c r="B51276">
        <f>TEXT(51275, "[$-0E0000]yyyy-mm-dd")</f>
        <v/>
      </c>
      <c r="C51276" t="inlineStr">
        <is>
          <t>2040-04-10</t>
        </is>
      </c>
    </row>
    <row r="51277">
      <c r="A51277" s="1" t="n">
        <v>51276</v>
      </c>
      <c r="B51277">
        <f>TEXT(51276, "[$-0E0000]yyyy-mm-dd")</f>
        <v/>
      </c>
      <c r="C51277" t="inlineStr">
        <is>
          <t>2040-04-11</t>
        </is>
      </c>
    </row>
    <row r="51278">
      <c r="A51278" s="1" t="n">
        <v>51277</v>
      </c>
      <c r="B51278">
        <f>TEXT(51277, "[$-0E0000]yyyy-mm-dd")</f>
        <v/>
      </c>
      <c r="C51278" t="inlineStr">
        <is>
          <t>2040-04-12</t>
        </is>
      </c>
    </row>
    <row r="51279">
      <c r="A51279" s="1" t="n">
        <v>51278</v>
      </c>
      <c r="B51279">
        <f>TEXT(51278, "[$-0E0000]yyyy-mm-dd")</f>
        <v/>
      </c>
      <c r="C51279" t="inlineStr">
        <is>
          <t>2040-04-13</t>
        </is>
      </c>
    </row>
    <row r="51280">
      <c r="A51280" s="1" t="n">
        <v>51279</v>
      </c>
      <c r="B51280">
        <f>TEXT(51279, "[$-0E0000]yyyy-mm-dd")</f>
        <v/>
      </c>
      <c r="C51280" t="inlineStr">
        <is>
          <t>2040-04-14</t>
        </is>
      </c>
    </row>
    <row r="51281">
      <c r="A51281" s="1" t="n">
        <v>51280</v>
      </c>
      <c r="B51281">
        <f>TEXT(51280, "[$-0E0000]yyyy-mm-dd")</f>
        <v/>
      </c>
      <c r="C51281" t="inlineStr">
        <is>
          <t>2040-04-15</t>
        </is>
      </c>
    </row>
    <row r="51282">
      <c r="A51282" s="1" t="n">
        <v>51281</v>
      </c>
      <c r="B51282">
        <f>TEXT(51281, "[$-0E0000]yyyy-mm-dd")</f>
        <v/>
      </c>
      <c r="C51282" t="inlineStr">
        <is>
          <t>2040-04-16</t>
        </is>
      </c>
    </row>
    <row r="51283">
      <c r="A51283" s="1" t="n">
        <v>51282</v>
      </c>
      <c r="B51283">
        <f>TEXT(51282, "[$-0E0000]yyyy-mm-dd")</f>
        <v/>
      </c>
      <c r="C51283" t="inlineStr">
        <is>
          <t>2040-04-17</t>
        </is>
      </c>
    </row>
    <row r="51284">
      <c r="A51284" s="1" t="n">
        <v>51283</v>
      </c>
      <c r="B51284">
        <f>TEXT(51283, "[$-0E0000]yyyy-mm-dd")</f>
        <v/>
      </c>
      <c r="C51284" t="inlineStr">
        <is>
          <t>2040-04-18</t>
        </is>
      </c>
    </row>
    <row r="51285">
      <c r="A51285" s="1" t="n">
        <v>51284</v>
      </c>
      <c r="B51285">
        <f>TEXT(51284, "[$-0E0000]yyyy-mm-dd")</f>
        <v/>
      </c>
      <c r="C51285" t="inlineStr">
        <is>
          <t>2040-04-19</t>
        </is>
      </c>
    </row>
    <row r="51286">
      <c r="A51286" s="1" t="n">
        <v>51285</v>
      </c>
      <c r="B51286">
        <f>TEXT(51285, "[$-0E0000]yyyy-mm-dd")</f>
        <v/>
      </c>
      <c r="C51286" t="inlineStr">
        <is>
          <t>2040-04-20</t>
        </is>
      </c>
    </row>
    <row r="51287">
      <c r="A51287" s="1" t="n">
        <v>51286</v>
      </c>
      <c r="B51287">
        <f>TEXT(51286, "[$-0E0000]yyyy-mm-dd")</f>
        <v/>
      </c>
      <c r="C51287" t="inlineStr">
        <is>
          <t>2040-04-21</t>
        </is>
      </c>
    </row>
    <row r="51288">
      <c r="A51288" s="1" t="n">
        <v>51287</v>
      </c>
      <c r="B51288">
        <f>TEXT(51287, "[$-0E0000]yyyy-mm-dd")</f>
        <v/>
      </c>
      <c r="C51288" t="inlineStr">
        <is>
          <t>2040-04-22</t>
        </is>
      </c>
    </row>
    <row r="51289">
      <c r="A51289" s="1" t="n">
        <v>51288</v>
      </c>
      <c r="B51289">
        <f>TEXT(51288, "[$-0E0000]yyyy-mm-dd")</f>
        <v/>
      </c>
      <c r="C51289" t="inlineStr">
        <is>
          <t>2040-04-23</t>
        </is>
      </c>
    </row>
    <row r="51290">
      <c r="A51290" s="1" t="n">
        <v>51289</v>
      </c>
      <c r="B51290">
        <f>TEXT(51289, "[$-0E0000]yyyy-mm-dd")</f>
        <v/>
      </c>
      <c r="C51290" t="inlineStr">
        <is>
          <t>2040-04-24</t>
        </is>
      </c>
    </row>
    <row r="51291">
      <c r="A51291" s="1" t="n">
        <v>51290</v>
      </c>
      <c r="B51291">
        <f>TEXT(51290, "[$-0E0000]yyyy-mm-dd")</f>
        <v/>
      </c>
      <c r="C51291" t="inlineStr">
        <is>
          <t>2040-04-25</t>
        </is>
      </c>
    </row>
    <row r="51292">
      <c r="A51292" s="1" t="n">
        <v>51291</v>
      </c>
      <c r="B51292">
        <f>TEXT(51291, "[$-0E0000]yyyy-mm-dd")</f>
        <v/>
      </c>
      <c r="C51292" t="inlineStr">
        <is>
          <t>2040-04-26</t>
        </is>
      </c>
    </row>
    <row r="51293">
      <c r="A51293" s="1" t="n">
        <v>51292</v>
      </c>
      <c r="B51293">
        <f>TEXT(51292, "[$-0E0000]yyyy-mm-dd")</f>
        <v/>
      </c>
      <c r="C51293" t="inlineStr">
        <is>
          <t>2040-04-27</t>
        </is>
      </c>
    </row>
    <row r="51294">
      <c r="A51294" s="1" t="n">
        <v>51293</v>
      </c>
      <c r="B51294">
        <f>TEXT(51293, "[$-0E0000]yyyy-mm-dd")</f>
        <v/>
      </c>
      <c r="C51294" t="inlineStr">
        <is>
          <t>2040-04-28</t>
        </is>
      </c>
    </row>
    <row r="51295">
      <c r="A51295" s="1" t="n">
        <v>51294</v>
      </c>
      <c r="B51295">
        <f>TEXT(51294, "[$-0E0000]yyyy-mm-dd")</f>
        <v/>
      </c>
      <c r="C51295" t="inlineStr">
        <is>
          <t>2040-04-29</t>
        </is>
      </c>
    </row>
    <row r="51296">
      <c r="A51296" s="1" t="n">
        <v>51295</v>
      </c>
      <c r="B51296">
        <f>TEXT(51295, "[$-0E0000]yyyy-mm-dd")</f>
        <v/>
      </c>
      <c r="C51296" t="inlineStr">
        <is>
          <t>2040-04-30</t>
        </is>
      </c>
    </row>
    <row r="51297">
      <c r="A51297" s="1" t="n">
        <v>51296</v>
      </c>
      <c r="B51297">
        <f>TEXT(51296, "[$-0E0000]yyyy-mm-dd")</f>
        <v/>
      </c>
      <c r="C51297" t="inlineStr">
        <is>
          <t>2040-05-01</t>
        </is>
      </c>
    </row>
    <row r="51298">
      <c r="A51298" s="1" t="n">
        <v>51297</v>
      </c>
      <c r="B51298">
        <f>TEXT(51297, "[$-0E0000]yyyy-mm-dd")</f>
        <v/>
      </c>
      <c r="C51298" t="inlineStr">
        <is>
          <t>2040-05-02</t>
        </is>
      </c>
    </row>
    <row r="51299">
      <c r="A51299" s="1" t="n">
        <v>51298</v>
      </c>
      <c r="B51299">
        <f>TEXT(51298, "[$-0E0000]yyyy-mm-dd")</f>
        <v/>
      </c>
      <c r="C51299" t="inlineStr">
        <is>
          <t>2040-05-03</t>
        </is>
      </c>
    </row>
    <row r="51300">
      <c r="A51300" s="1" t="n">
        <v>51299</v>
      </c>
      <c r="B51300">
        <f>TEXT(51299, "[$-0E0000]yyyy-mm-dd")</f>
        <v/>
      </c>
      <c r="C51300" t="inlineStr">
        <is>
          <t>2040-05-04</t>
        </is>
      </c>
    </row>
    <row r="51301">
      <c r="A51301" s="1" t="n">
        <v>51300</v>
      </c>
      <c r="B51301">
        <f>TEXT(51300, "[$-0E0000]yyyy-mm-dd")</f>
        <v/>
      </c>
      <c r="C51301" t="inlineStr">
        <is>
          <t>2040-05-05</t>
        </is>
      </c>
    </row>
    <row r="51302">
      <c r="A51302" s="1" t="n">
        <v>51301</v>
      </c>
      <c r="B51302">
        <f>TEXT(51301, "[$-0E0000]yyyy-mm-dd")</f>
        <v/>
      </c>
      <c r="C51302" t="inlineStr">
        <is>
          <t>2040-05-06</t>
        </is>
      </c>
    </row>
    <row r="51303">
      <c r="A51303" s="1" t="n">
        <v>51302</v>
      </c>
      <c r="B51303">
        <f>TEXT(51302, "[$-0E0000]yyyy-mm-dd")</f>
        <v/>
      </c>
      <c r="C51303" t="inlineStr">
        <is>
          <t>2040-05-07</t>
        </is>
      </c>
    </row>
    <row r="51304">
      <c r="A51304" s="1" t="n">
        <v>51303</v>
      </c>
      <c r="B51304">
        <f>TEXT(51303, "[$-0E0000]yyyy-mm-dd")</f>
        <v/>
      </c>
      <c r="C51304" t="inlineStr">
        <is>
          <t>2040-05-08</t>
        </is>
      </c>
    </row>
    <row r="51305">
      <c r="A51305" s="1" t="n">
        <v>51304</v>
      </c>
      <c r="B51305">
        <f>TEXT(51304, "[$-0E0000]yyyy-mm-dd")</f>
        <v/>
      </c>
      <c r="C51305" t="inlineStr">
        <is>
          <t>2040-05-09</t>
        </is>
      </c>
    </row>
    <row r="51306">
      <c r="A51306" s="1" t="n">
        <v>51305</v>
      </c>
      <c r="B51306">
        <f>TEXT(51305, "[$-0E0000]yyyy-mm-dd")</f>
        <v/>
      </c>
      <c r="C51306" t="inlineStr">
        <is>
          <t>2040-05-10</t>
        </is>
      </c>
    </row>
    <row r="51307">
      <c r="A51307" s="1" t="n">
        <v>51306</v>
      </c>
      <c r="B51307">
        <f>TEXT(51306, "[$-0E0000]yyyy-mm-dd")</f>
        <v/>
      </c>
      <c r="C51307" t="inlineStr">
        <is>
          <t>2040-05-11</t>
        </is>
      </c>
    </row>
    <row r="51308">
      <c r="A51308" s="1" t="n">
        <v>51307</v>
      </c>
      <c r="B51308">
        <f>TEXT(51307, "[$-0E0000]yyyy-mm-dd")</f>
        <v/>
      </c>
      <c r="C51308" t="inlineStr">
        <is>
          <t>2040-05-12</t>
        </is>
      </c>
    </row>
    <row r="51309">
      <c r="A51309" s="1" t="n">
        <v>51308</v>
      </c>
      <c r="B51309">
        <f>TEXT(51308, "[$-0E0000]yyyy-mm-dd")</f>
        <v/>
      </c>
      <c r="C51309" t="inlineStr">
        <is>
          <t>2040-05-13</t>
        </is>
      </c>
    </row>
    <row r="51310">
      <c r="A51310" s="1" t="n">
        <v>51309</v>
      </c>
      <c r="B51310">
        <f>TEXT(51309, "[$-0E0000]yyyy-mm-dd")</f>
        <v/>
      </c>
      <c r="C51310" t="inlineStr">
        <is>
          <t>2040-05-14</t>
        </is>
      </c>
    </row>
    <row r="51311">
      <c r="A51311" s="1" t="n">
        <v>51310</v>
      </c>
      <c r="B51311">
        <f>TEXT(51310, "[$-0E0000]yyyy-mm-dd")</f>
        <v/>
      </c>
      <c r="C51311" t="inlineStr">
        <is>
          <t>2040-05-15</t>
        </is>
      </c>
    </row>
    <row r="51312">
      <c r="A51312" s="1" t="n">
        <v>51311</v>
      </c>
      <c r="B51312">
        <f>TEXT(51311, "[$-0E0000]yyyy-mm-dd")</f>
        <v/>
      </c>
      <c r="C51312" t="inlineStr">
        <is>
          <t>2040-05-16</t>
        </is>
      </c>
    </row>
    <row r="51313">
      <c r="A51313" s="1" t="n">
        <v>51312</v>
      </c>
      <c r="B51313">
        <f>TEXT(51312, "[$-0E0000]yyyy-mm-dd")</f>
        <v/>
      </c>
      <c r="C51313" t="inlineStr">
        <is>
          <t>2040-05-17</t>
        </is>
      </c>
    </row>
    <row r="51314">
      <c r="A51314" s="1" t="n">
        <v>51313</v>
      </c>
      <c r="B51314">
        <f>TEXT(51313, "[$-0E0000]yyyy-mm-dd")</f>
        <v/>
      </c>
      <c r="C51314" t="inlineStr">
        <is>
          <t>2040-05-18</t>
        </is>
      </c>
    </row>
    <row r="51315">
      <c r="A51315" s="1" t="n">
        <v>51314</v>
      </c>
      <c r="B51315">
        <f>TEXT(51314, "[$-0E0000]yyyy-mm-dd")</f>
        <v/>
      </c>
      <c r="C51315" t="inlineStr">
        <is>
          <t>2040-05-19</t>
        </is>
      </c>
    </row>
    <row r="51316">
      <c r="A51316" s="1" t="n">
        <v>51315</v>
      </c>
      <c r="B51316">
        <f>TEXT(51315, "[$-0E0000]yyyy-mm-dd")</f>
        <v/>
      </c>
      <c r="C51316" t="inlineStr">
        <is>
          <t>2040-05-20</t>
        </is>
      </c>
    </row>
    <row r="51317">
      <c r="A51317" s="1" t="n">
        <v>51316</v>
      </c>
      <c r="B51317">
        <f>TEXT(51316, "[$-0E0000]yyyy-mm-dd")</f>
        <v/>
      </c>
      <c r="C51317" t="inlineStr">
        <is>
          <t>2040-05-21</t>
        </is>
      </c>
    </row>
    <row r="51318">
      <c r="A51318" s="1" t="n">
        <v>51317</v>
      </c>
      <c r="B51318">
        <f>TEXT(51317, "[$-0E0000]yyyy-mm-dd")</f>
        <v/>
      </c>
      <c r="C51318" t="inlineStr">
        <is>
          <t>2040-05-22</t>
        </is>
      </c>
    </row>
    <row r="51319">
      <c r="A51319" s="1" t="n">
        <v>51318</v>
      </c>
      <c r="B51319">
        <f>TEXT(51318, "[$-0E0000]yyyy-mm-dd")</f>
        <v/>
      </c>
      <c r="C51319" t="inlineStr">
        <is>
          <t>2040-05-23</t>
        </is>
      </c>
    </row>
    <row r="51320">
      <c r="A51320" s="1" t="n">
        <v>51319</v>
      </c>
      <c r="B51320">
        <f>TEXT(51319, "[$-0E0000]yyyy-mm-dd")</f>
        <v/>
      </c>
      <c r="C51320" t="inlineStr">
        <is>
          <t>2040-05-24</t>
        </is>
      </c>
    </row>
    <row r="51321">
      <c r="A51321" s="1" t="n">
        <v>51320</v>
      </c>
      <c r="B51321">
        <f>TEXT(51320, "[$-0E0000]yyyy-mm-dd")</f>
        <v/>
      </c>
      <c r="C51321" t="inlineStr">
        <is>
          <t>2040-05-25</t>
        </is>
      </c>
    </row>
    <row r="51322">
      <c r="A51322" s="1" t="n">
        <v>51321</v>
      </c>
      <c r="B51322">
        <f>TEXT(51321, "[$-0E0000]yyyy-mm-dd")</f>
        <v/>
      </c>
      <c r="C51322" t="inlineStr">
        <is>
          <t>2040-05-26</t>
        </is>
      </c>
    </row>
    <row r="51323">
      <c r="A51323" s="1" t="n">
        <v>51322</v>
      </c>
      <c r="B51323">
        <f>TEXT(51322, "[$-0E0000]yyyy-mm-dd")</f>
        <v/>
      </c>
      <c r="C51323" t="inlineStr">
        <is>
          <t>2040-05-27</t>
        </is>
      </c>
    </row>
    <row r="51324">
      <c r="A51324" s="1" t="n">
        <v>51323</v>
      </c>
      <c r="B51324">
        <f>TEXT(51323, "[$-0E0000]yyyy-mm-dd")</f>
        <v/>
      </c>
      <c r="C51324" t="inlineStr">
        <is>
          <t>2040-05-28</t>
        </is>
      </c>
    </row>
    <row r="51325">
      <c r="A51325" s="1" t="n">
        <v>51324</v>
      </c>
      <c r="B51325">
        <f>TEXT(51324, "[$-0E0000]yyyy-mm-dd")</f>
        <v/>
      </c>
      <c r="C51325" t="inlineStr">
        <is>
          <t>2040-05-29</t>
        </is>
      </c>
    </row>
    <row r="51326">
      <c r="A51326" s="1" t="n">
        <v>51325</v>
      </c>
      <c r="B51326">
        <f>TEXT(51325, "[$-0E0000]yyyy-mm-dd")</f>
        <v/>
      </c>
      <c r="C51326" t="inlineStr">
        <is>
          <t>2040-06-01</t>
        </is>
      </c>
    </row>
    <row r="51327">
      <c r="A51327" s="1" t="n">
        <v>51326</v>
      </c>
      <c r="B51327">
        <f>TEXT(51326, "[$-0E0000]yyyy-mm-dd")</f>
        <v/>
      </c>
      <c r="C51327" t="inlineStr">
        <is>
          <t>2040-06-02</t>
        </is>
      </c>
    </row>
    <row r="51328">
      <c r="A51328" s="1" t="n">
        <v>51327</v>
      </c>
      <c r="B51328">
        <f>TEXT(51327, "[$-0E0000]yyyy-mm-dd")</f>
        <v/>
      </c>
      <c r="C51328" t="inlineStr">
        <is>
          <t>2040-06-03</t>
        </is>
      </c>
    </row>
    <row r="51329">
      <c r="A51329" s="1" t="n">
        <v>51328</v>
      </c>
      <c r="B51329">
        <f>TEXT(51328, "[$-0E0000]yyyy-mm-dd")</f>
        <v/>
      </c>
      <c r="C51329" t="inlineStr">
        <is>
          <t>2040-06-04</t>
        </is>
      </c>
    </row>
    <row r="51330">
      <c r="A51330" s="1" t="n">
        <v>51329</v>
      </c>
      <c r="B51330">
        <f>TEXT(51329, "[$-0E0000]yyyy-mm-dd")</f>
        <v/>
      </c>
      <c r="C51330" t="inlineStr">
        <is>
          <t>2040-06-05</t>
        </is>
      </c>
    </row>
    <row r="51331">
      <c r="A51331" s="1" t="n">
        <v>51330</v>
      </c>
      <c r="B51331">
        <f>TEXT(51330, "[$-0E0000]yyyy-mm-dd")</f>
        <v/>
      </c>
      <c r="C51331" t="inlineStr">
        <is>
          <t>2040-06-06</t>
        </is>
      </c>
    </row>
    <row r="51332">
      <c r="A51332" s="1" t="n">
        <v>51331</v>
      </c>
      <c r="B51332">
        <f>TEXT(51331, "[$-0E0000]yyyy-mm-dd")</f>
        <v/>
      </c>
      <c r="C51332" t="inlineStr">
        <is>
          <t>2040-06-07</t>
        </is>
      </c>
    </row>
    <row r="51333">
      <c r="A51333" s="1" t="n">
        <v>51332</v>
      </c>
      <c r="B51333">
        <f>TEXT(51332, "[$-0E0000]yyyy-mm-dd")</f>
        <v/>
      </c>
      <c r="C51333" t="inlineStr">
        <is>
          <t>2040-06-08</t>
        </is>
      </c>
    </row>
    <row r="51334">
      <c r="A51334" s="1" t="n">
        <v>51333</v>
      </c>
      <c r="B51334">
        <f>TEXT(51333, "[$-0E0000]yyyy-mm-dd")</f>
        <v/>
      </c>
      <c r="C51334" t="inlineStr">
        <is>
          <t>2040-06-09</t>
        </is>
      </c>
    </row>
    <row r="51335">
      <c r="A51335" s="1" t="n">
        <v>51334</v>
      </c>
      <c r="B51335">
        <f>TEXT(51334, "[$-0E0000]yyyy-mm-dd")</f>
        <v/>
      </c>
      <c r="C51335" t="inlineStr">
        <is>
          <t>2040-06-10</t>
        </is>
      </c>
    </row>
    <row r="51336">
      <c r="A51336" s="1" t="n">
        <v>51335</v>
      </c>
      <c r="B51336">
        <f>TEXT(51335, "[$-0E0000]yyyy-mm-dd")</f>
        <v/>
      </c>
      <c r="C51336" t="inlineStr">
        <is>
          <t>2040-06-11</t>
        </is>
      </c>
    </row>
    <row r="51337">
      <c r="A51337" s="1" t="n">
        <v>51336</v>
      </c>
      <c r="B51337">
        <f>TEXT(51336, "[$-0E0000]yyyy-mm-dd")</f>
        <v/>
      </c>
      <c r="C51337" t="inlineStr">
        <is>
          <t>2040-06-12</t>
        </is>
      </c>
    </row>
    <row r="51338">
      <c r="A51338" s="1" t="n">
        <v>51337</v>
      </c>
      <c r="B51338">
        <f>TEXT(51337, "[$-0E0000]yyyy-mm-dd")</f>
        <v/>
      </c>
      <c r="C51338" t="inlineStr">
        <is>
          <t>2040-06-13</t>
        </is>
      </c>
    </row>
    <row r="51339">
      <c r="A51339" s="1" t="n">
        <v>51338</v>
      </c>
      <c r="B51339">
        <f>TEXT(51338, "[$-0E0000]yyyy-mm-dd")</f>
        <v/>
      </c>
      <c r="C51339" t="inlineStr">
        <is>
          <t>2040-06-14</t>
        </is>
      </c>
    </row>
    <row r="51340">
      <c r="A51340" s="1" t="n">
        <v>51339</v>
      </c>
      <c r="B51340">
        <f>TEXT(51339, "[$-0E0000]yyyy-mm-dd")</f>
        <v/>
      </c>
      <c r="C51340" t="inlineStr">
        <is>
          <t>2040-06-15</t>
        </is>
      </c>
    </row>
    <row r="51341">
      <c r="A51341" s="1" t="n">
        <v>51340</v>
      </c>
      <c r="B51341">
        <f>TEXT(51340, "[$-0E0000]yyyy-mm-dd")</f>
        <v/>
      </c>
      <c r="C51341" t="inlineStr">
        <is>
          <t>2040-06-16</t>
        </is>
      </c>
    </row>
    <row r="51342">
      <c r="A51342" s="1" t="n">
        <v>51341</v>
      </c>
      <c r="B51342">
        <f>TEXT(51341, "[$-0E0000]yyyy-mm-dd")</f>
        <v/>
      </c>
      <c r="C51342" t="inlineStr">
        <is>
          <t>2040-06-17</t>
        </is>
      </c>
    </row>
    <row r="51343">
      <c r="A51343" s="1" t="n">
        <v>51342</v>
      </c>
      <c r="B51343">
        <f>TEXT(51342, "[$-0E0000]yyyy-mm-dd")</f>
        <v/>
      </c>
      <c r="C51343" t="inlineStr">
        <is>
          <t>2040-06-18</t>
        </is>
      </c>
    </row>
    <row r="51344">
      <c r="A51344" s="1" t="n">
        <v>51343</v>
      </c>
      <c r="B51344">
        <f>TEXT(51343, "[$-0E0000]yyyy-mm-dd")</f>
        <v/>
      </c>
      <c r="C51344" t="inlineStr">
        <is>
          <t>2040-06-19</t>
        </is>
      </c>
    </row>
    <row r="51345">
      <c r="A51345" s="1" t="n">
        <v>51344</v>
      </c>
      <c r="B51345">
        <f>TEXT(51344, "[$-0E0000]yyyy-mm-dd")</f>
        <v/>
      </c>
      <c r="C51345" t="inlineStr">
        <is>
          <t>2040-06-20</t>
        </is>
      </c>
    </row>
    <row r="51346">
      <c r="A51346" s="1" t="n">
        <v>51345</v>
      </c>
      <c r="B51346">
        <f>TEXT(51345, "[$-0E0000]yyyy-mm-dd")</f>
        <v/>
      </c>
      <c r="C51346" t="inlineStr">
        <is>
          <t>2040-06-21</t>
        </is>
      </c>
    </row>
    <row r="51347">
      <c r="A51347" s="1" t="n">
        <v>51346</v>
      </c>
      <c r="B51347">
        <f>TEXT(51346, "[$-0E0000]yyyy-mm-dd")</f>
        <v/>
      </c>
      <c r="C51347" t="inlineStr">
        <is>
          <t>2040-06-22</t>
        </is>
      </c>
    </row>
    <row r="51348">
      <c r="A51348" s="1" t="n">
        <v>51347</v>
      </c>
      <c r="B51348">
        <f>TEXT(51347, "[$-0E0000]yyyy-mm-dd")</f>
        <v/>
      </c>
      <c r="C51348" t="inlineStr">
        <is>
          <t>2040-06-23</t>
        </is>
      </c>
    </row>
    <row r="51349">
      <c r="A51349" s="1" t="n">
        <v>51348</v>
      </c>
      <c r="B51349">
        <f>TEXT(51348, "[$-0E0000]yyyy-mm-dd")</f>
        <v/>
      </c>
      <c r="C51349" t="inlineStr">
        <is>
          <t>2040-06-24</t>
        </is>
      </c>
    </row>
    <row r="51350">
      <c r="A51350" s="1" t="n">
        <v>51349</v>
      </c>
      <c r="B51350">
        <f>TEXT(51349, "[$-0E0000]yyyy-mm-dd")</f>
        <v/>
      </c>
      <c r="C51350" t="inlineStr">
        <is>
          <t>2040-06-25</t>
        </is>
      </c>
    </row>
    <row r="51351">
      <c r="A51351" s="1" t="n">
        <v>51350</v>
      </c>
      <c r="B51351">
        <f>TEXT(51350, "[$-0E0000]yyyy-mm-dd")</f>
        <v/>
      </c>
      <c r="C51351" t="inlineStr">
        <is>
          <t>2040-06-26</t>
        </is>
      </c>
    </row>
    <row r="51352">
      <c r="A51352" s="1" t="n">
        <v>51351</v>
      </c>
      <c r="B51352">
        <f>TEXT(51351, "[$-0E0000]yyyy-mm-dd")</f>
        <v/>
      </c>
      <c r="C51352" t="inlineStr">
        <is>
          <t>2040-06-27</t>
        </is>
      </c>
    </row>
    <row r="51353">
      <c r="A51353" s="1" t="n">
        <v>51352</v>
      </c>
      <c r="B51353">
        <f>TEXT(51352, "[$-0E0000]yyyy-mm-dd")</f>
        <v/>
      </c>
      <c r="C51353" t="inlineStr">
        <is>
          <t>2040-06-28</t>
        </is>
      </c>
    </row>
    <row r="51354">
      <c r="A51354" s="1" t="n">
        <v>51353</v>
      </c>
      <c r="B51354">
        <f>TEXT(51353, "[$-0E0000]yyyy-mm-dd")</f>
        <v/>
      </c>
      <c r="C51354" t="inlineStr">
        <is>
          <t>2040-06-29</t>
        </is>
      </c>
    </row>
    <row r="51355">
      <c r="A51355" s="1" t="n">
        <v>51354</v>
      </c>
      <c r="B51355">
        <f>TEXT(51354, "[$-0E0000]yyyy-mm-dd")</f>
        <v/>
      </c>
      <c r="C51355" t="inlineStr">
        <is>
          <t>2040-06-30</t>
        </is>
      </c>
    </row>
    <row r="51356">
      <c r="A51356" s="1" t="n">
        <v>51355</v>
      </c>
      <c r="B51356">
        <f>TEXT(51355, "[$-0E0000]yyyy-mm-dd")</f>
        <v/>
      </c>
      <c r="C51356" t="inlineStr">
        <is>
          <t>2040-07-01</t>
        </is>
      </c>
    </row>
    <row r="51357">
      <c r="A51357" s="1" t="n">
        <v>51356</v>
      </c>
      <c r="B51357">
        <f>TEXT(51356, "[$-0E0000]yyyy-mm-dd")</f>
        <v/>
      </c>
      <c r="C51357" t="inlineStr">
        <is>
          <t>2040-07-02</t>
        </is>
      </c>
    </row>
    <row r="51358">
      <c r="A51358" s="1" t="n">
        <v>51357</v>
      </c>
      <c r="B51358">
        <f>TEXT(51357, "[$-0E0000]yyyy-mm-dd")</f>
        <v/>
      </c>
      <c r="C51358" t="inlineStr">
        <is>
          <t>2040-07-03</t>
        </is>
      </c>
    </row>
    <row r="51359">
      <c r="A51359" s="1" t="n">
        <v>51358</v>
      </c>
      <c r="B51359">
        <f>TEXT(51358, "[$-0E0000]yyyy-mm-dd")</f>
        <v/>
      </c>
      <c r="C51359" t="inlineStr">
        <is>
          <t>2040-07-04</t>
        </is>
      </c>
    </row>
    <row r="51360">
      <c r="A51360" s="1" t="n">
        <v>51359</v>
      </c>
      <c r="B51360">
        <f>TEXT(51359, "[$-0E0000]yyyy-mm-dd")</f>
        <v/>
      </c>
      <c r="C51360" t="inlineStr">
        <is>
          <t>2040-07-05</t>
        </is>
      </c>
    </row>
    <row r="51361">
      <c r="A51361" s="1" t="n">
        <v>51360</v>
      </c>
      <c r="B51361">
        <f>TEXT(51360, "[$-0E0000]yyyy-mm-dd")</f>
        <v/>
      </c>
      <c r="C51361" t="inlineStr">
        <is>
          <t>2040-07-06</t>
        </is>
      </c>
    </row>
    <row r="51362">
      <c r="A51362" s="1" t="n">
        <v>51361</v>
      </c>
      <c r="B51362">
        <f>TEXT(51361, "[$-0E0000]yyyy-mm-dd")</f>
        <v/>
      </c>
      <c r="C51362" t="inlineStr">
        <is>
          <t>2040-07-07</t>
        </is>
      </c>
    </row>
    <row r="51363">
      <c r="A51363" s="1" t="n">
        <v>51362</v>
      </c>
      <c r="B51363">
        <f>TEXT(51362, "[$-0E0000]yyyy-mm-dd")</f>
        <v/>
      </c>
      <c r="C51363" t="inlineStr">
        <is>
          <t>2040-07-08</t>
        </is>
      </c>
    </row>
    <row r="51364">
      <c r="A51364" s="1" t="n">
        <v>51363</v>
      </c>
      <c r="B51364">
        <f>TEXT(51363, "[$-0E0000]yyyy-mm-dd")</f>
        <v/>
      </c>
      <c r="C51364" t="inlineStr">
        <is>
          <t>2040-07-09</t>
        </is>
      </c>
    </row>
    <row r="51365">
      <c r="A51365" s="1" t="n">
        <v>51364</v>
      </c>
      <c r="B51365">
        <f>TEXT(51364, "[$-0E0000]yyyy-mm-dd")</f>
        <v/>
      </c>
      <c r="C51365" t="inlineStr">
        <is>
          <t>2040-07-10</t>
        </is>
      </c>
    </row>
    <row r="51366">
      <c r="A51366" s="1" t="n">
        <v>51365</v>
      </c>
      <c r="B51366">
        <f>TEXT(51365, "[$-0E0000]yyyy-mm-dd")</f>
        <v/>
      </c>
      <c r="C51366" t="inlineStr">
        <is>
          <t>2040-07-11</t>
        </is>
      </c>
    </row>
    <row r="51367">
      <c r="A51367" s="1" t="n">
        <v>51366</v>
      </c>
      <c r="B51367">
        <f>TEXT(51366, "[$-0E0000]yyyy-mm-dd")</f>
        <v/>
      </c>
      <c r="C51367" t="inlineStr">
        <is>
          <t>2040-07-12</t>
        </is>
      </c>
    </row>
    <row r="51368">
      <c r="A51368" s="1" t="n">
        <v>51367</v>
      </c>
      <c r="B51368">
        <f>TEXT(51367, "[$-0E0000]yyyy-mm-dd")</f>
        <v/>
      </c>
      <c r="C51368" t="inlineStr">
        <is>
          <t>2040-07-13</t>
        </is>
      </c>
    </row>
    <row r="51369">
      <c r="A51369" s="1" t="n">
        <v>51368</v>
      </c>
      <c r="B51369">
        <f>TEXT(51368, "[$-0E0000]yyyy-mm-dd")</f>
        <v/>
      </c>
      <c r="C51369" t="inlineStr">
        <is>
          <t>2040-07-14</t>
        </is>
      </c>
    </row>
    <row r="51370">
      <c r="A51370" s="1" t="n">
        <v>51369</v>
      </c>
      <c r="B51370">
        <f>TEXT(51369, "[$-0E0000]yyyy-mm-dd")</f>
        <v/>
      </c>
      <c r="C51370" t="inlineStr">
        <is>
          <t>2040-07-15</t>
        </is>
      </c>
    </row>
    <row r="51371">
      <c r="A51371" s="1" t="n">
        <v>51370</v>
      </c>
      <c r="B51371">
        <f>TEXT(51370, "[$-0E0000]yyyy-mm-dd")</f>
        <v/>
      </c>
      <c r="C51371" t="inlineStr">
        <is>
          <t>2040-07-16</t>
        </is>
      </c>
    </row>
    <row r="51372">
      <c r="A51372" s="1" t="n">
        <v>51371</v>
      </c>
      <c r="B51372">
        <f>TEXT(51371, "[$-0E0000]yyyy-mm-dd")</f>
        <v/>
      </c>
      <c r="C51372" t="inlineStr">
        <is>
          <t>2040-07-17</t>
        </is>
      </c>
    </row>
    <row r="51373">
      <c r="A51373" s="1" t="n">
        <v>51372</v>
      </c>
      <c r="B51373">
        <f>TEXT(51372, "[$-0E0000]yyyy-mm-dd")</f>
        <v/>
      </c>
      <c r="C51373" t="inlineStr">
        <is>
          <t>2040-07-18</t>
        </is>
      </c>
    </row>
    <row r="51374">
      <c r="A51374" s="1" t="n">
        <v>51373</v>
      </c>
      <c r="B51374">
        <f>TEXT(51373, "[$-0E0000]yyyy-mm-dd")</f>
        <v/>
      </c>
      <c r="C51374" t="inlineStr">
        <is>
          <t>2040-07-19</t>
        </is>
      </c>
    </row>
    <row r="51375">
      <c r="A51375" s="1" t="n">
        <v>51374</v>
      </c>
      <c r="B51375">
        <f>TEXT(51374, "[$-0E0000]yyyy-mm-dd")</f>
        <v/>
      </c>
      <c r="C51375" t="inlineStr">
        <is>
          <t>2040-07-20</t>
        </is>
      </c>
    </row>
    <row r="51376">
      <c r="A51376" s="1" t="n">
        <v>51375</v>
      </c>
      <c r="B51376">
        <f>TEXT(51375, "[$-0E0000]yyyy-mm-dd")</f>
        <v/>
      </c>
      <c r="C51376" t="inlineStr">
        <is>
          <t>2040-07-21</t>
        </is>
      </c>
    </row>
    <row r="51377">
      <c r="A51377" s="1" t="n">
        <v>51376</v>
      </c>
      <c r="B51377">
        <f>TEXT(51376, "[$-0E0000]yyyy-mm-dd")</f>
        <v/>
      </c>
      <c r="C51377" t="inlineStr">
        <is>
          <t>2040-07-22</t>
        </is>
      </c>
    </row>
    <row r="51378">
      <c r="A51378" s="1" t="n">
        <v>51377</v>
      </c>
      <c r="B51378">
        <f>TEXT(51377, "[$-0E0000]yyyy-mm-dd")</f>
        <v/>
      </c>
      <c r="C51378" t="inlineStr">
        <is>
          <t>2040-07-23</t>
        </is>
      </c>
    </row>
    <row r="51379">
      <c r="A51379" s="1" t="n">
        <v>51378</v>
      </c>
      <c r="B51379">
        <f>TEXT(51378, "[$-0E0000]yyyy-mm-dd")</f>
        <v/>
      </c>
      <c r="C51379" t="inlineStr">
        <is>
          <t>2040-07-24</t>
        </is>
      </c>
    </row>
    <row r="51380">
      <c r="A51380" s="1" t="n">
        <v>51379</v>
      </c>
      <c r="B51380">
        <f>TEXT(51379, "[$-0E0000]yyyy-mm-dd")</f>
        <v/>
      </c>
      <c r="C51380" t="inlineStr">
        <is>
          <t>2040-07-25</t>
        </is>
      </c>
    </row>
    <row r="51381">
      <c r="A51381" s="1" t="n">
        <v>51380</v>
      </c>
      <c r="B51381">
        <f>TEXT(51380, "[$-0E0000]yyyy-mm-dd")</f>
        <v/>
      </c>
      <c r="C51381" t="inlineStr">
        <is>
          <t>2040-07-26</t>
        </is>
      </c>
    </row>
    <row r="51382">
      <c r="A51382" s="1" t="n">
        <v>51381</v>
      </c>
      <c r="B51382">
        <f>TEXT(51381, "[$-0E0000]yyyy-mm-dd")</f>
        <v/>
      </c>
      <c r="C51382" t="inlineStr">
        <is>
          <t>2040-07-27</t>
        </is>
      </c>
    </row>
    <row r="51383">
      <c r="A51383" s="1" t="n">
        <v>51382</v>
      </c>
      <c r="B51383">
        <f>TEXT(51382, "[$-0E0000]yyyy-mm-dd")</f>
        <v/>
      </c>
      <c r="C51383" t="inlineStr">
        <is>
          <t>2040-07-28</t>
        </is>
      </c>
    </row>
    <row r="51384">
      <c r="A51384" s="1" t="n">
        <v>51383</v>
      </c>
      <c r="B51384">
        <f>TEXT(51383, "[$-0E0000]yyyy-mm-dd")</f>
        <v/>
      </c>
      <c r="C51384" t="inlineStr">
        <is>
          <t>2040-07-29</t>
        </is>
      </c>
    </row>
    <row r="51385">
      <c r="A51385" s="1" t="n">
        <v>51384</v>
      </c>
      <c r="B51385">
        <f>TEXT(51384, "[$-0E0000]yyyy-mm-dd")</f>
        <v/>
      </c>
      <c r="C51385" t="inlineStr">
        <is>
          <t>2040-08-01</t>
        </is>
      </c>
    </row>
    <row r="51386">
      <c r="A51386" s="1" t="n">
        <v>51385</v>
      </c>
      <c r="B51386">
        <f>TEXT(51385, "[$-0E0000]yyyy-mm-dd")</f>
        <v/>
      </c>
      <c r="C51386" t="inlineStr">
        <is>
          <t>2040-08-02</t>
        </is>
      </c>
    </row>
    <row r="51387">
      <c r="A51387" s="1" t="n">
        <v>51386</v>
      </c>
      <c r="B51387">
        <f>TEXT(51386, "[$-0E0000]yyyy-mm-dd")</f>
        <v/>
      </c>
      <c r="C51387" t="inlineStr">
        <is>
          <t>2040-08-03</t>
        </is>
      </c>
    </row>
    <row r="51388">
      <c r="A51388" s="1" t="n">
        <v>51387</v>
      </c>
      <c r="B51388">
        <f>TEXT(51387, "[$-0E0000]yyyy-mm-dd")</f>
        <v/>
      </c>
      <c r="C51388" t="inlineStr">
        <is>
          <t>2040-08-04</t>
        </is>
      </c>
    </row>
    <row r="51389">
      <c r="A51389" s="1" t="n">
        <v>51388</v>
      </c>
      <c r="B51389">
        <f>TEXT(51388, "[$-0E0000]yyyy-mm-dd")</f>
        <v/>
      </c>
      <c r="C51389" t="inlineStr">
        <is>
          <t>2040-08-05</t>
        </is>
      </c>
    </row>
    <row r="51390">
      <c r="A51390" s="1" t="n">
        <v>51389</v>
      </c>
      <c r="B51390">
        <f>TEXT(51389, "[$-0E0000]yyyy-mm-dd")</f>
        <v/>
      </c>
      <c r="C51390" t="inlineStr">
        <is>
          <t>2040-08-06</t>
        </is>
      </c>
    </row>
    <row r="51391">
      <c r="A51391" s="1" t="n">
        <v>51390</v>
      </c>
      <c r="B51391">
        <f>TEXT(51390, "[$-0E0000]yyyy-mm-dd")</f>
        <v/>
      </c>
      <c r="C51391" t="inlineStr">
        <is>
          <t>2040-08-07</t>
        </is>
      </c>
    </row>
    <row r="51392">
      <c r="A51392" s="1" t="n">
        <v>51391</v>
      </c>
      <c r="B51392">
        <f>TEXT(51391, "[$-0E0000]yyyy-mm-dd")</f>
        <v/>
      </c>
      <c r="C51392" t="inlineStr">
        <is>
          <t>2040-08-08</t>
        </is>
      </c>
    </row>
    <row r="51393">
      <c r="A51393" s="1" t="n">
        <v>51392</v>
      </c>
      <c r="B51393">
        <f>TEXT(51392, "[$-0E0000]yyyy-mm-dd")</f>
        <v/>
      </c>
      <c r="C51393" t="inlineStr">
        <is>
          <t>2040-08-09</t>
        </is>
      </c>
    </row>
    <row r="51394">
      <c r="A51394" s="1" t="n">
        <v>51393</v>
      </c>
      <c r="B51394">
        <f>TEXT(51393, "[$-0E0000]yyyy-mm-dd")</f>
        <v/>
      </c>
      <c r="C51394" t="inlineStr">
        <is>
          <t>2040-08-10</t>
        </is>
      </c>
    </row>
    <row r="51395">
      <c r="A51395" s="1" t="n">
        <v>51394</v>
      </c>
      <c r="B51395">
        <f>TEXT(51394, "[$-0E0000]yyyy-mm-dd")</f>
        <v/>
      </c>
      <c r="C51395" t="inlineStr">
        <is>
          <t>2040-08-11</t>
        </is>
      </c>
    </row>
    <row r="51396">
      <c r="A51396" s="1" t="n">
        <v>51395</v>
      </c>
      <c r="B51396">
        <f>TEXT(51395, "[$-0E0000]yyyy-mm-dd")</f>
        <v/>
      </c>
      <c r="C51396" t="inlineStr">
        <is>
          <t>2040-08-12</t>
        </is>
      </c>
    </row>
    <row r="51397">
      <c r="A51397" s="1" t="n">
        <v>51396</v>
      </c>
      <c r="B51397">
        <f>TEXT(51396, "[$-0E0000]yyyy-mm-dd")</f>
        <v/>
      </c>
      <c r="C51397" t="inlineStr">
        <is>
          <t>2040-08-13</t>
        </is>
      </c>
    </row>
    <row r="51398">
      <c r="A51398" s="1" t="n">
        <v>51397</v>
      </c>
      <c r="B51398">
        <f>TEXT(51397, "[$-0E0000]yyyy-mm-dd")</f>
        <v/>
      </c>
      <c r="C51398" t="inlineStr">
        <is>
          <t>2040-08-14</t>
        </is>
      </c>
    </row>
    <row r="51399">
      <c r="A51399" s="1" t="n">
        <v>51398</v>
      </c>
      <c r="B51399">
        <f>TEXT(51398, "[$-0E0000]yyyy-mm-dd")</f>
        <v/>
      </c>
      <c r="C51399" t="inlineStr">
        <is>
          <t>2040-08-15</t>
        </is>
      </c>
    </row>
    <row r="51400">
      <c r="A51400" s="1" t="n">
        <v>51399</v>
      </c>
      <c r="B51400">
        <f>TEXT(51399, "[$-0E0000]yyyy-mm-dd")</f>
        <v/>
      </c>
      <c r="C51400" t="inlineStr">
        <is>
          <t>2040-08-16</t>
        </is>
      </c>
    </row>
    <row r="51401">
      <c r="A51401" s="1" t="n">
        <v>51400</v>
      </c>
      <c r="B51401">
        <f>TEXT(51400, "[$-0E0000]yyyy-mm-dd")</f>
        <v/>
      </c>
      <c r="C51401" t="inlineStr">
        <is>
          <t>2040-08-17</t>
        </is>
      </c>
    </row>
    <row r="51402">
      <c r="A51402" s="1" t="n">
        <v>51401</v>
      </c>
      <c r="B51402">
        <f>TEXT(51401, "[$-0E0000]yyyy-mm-dd")</f>
        <v/>
      </c>
      <c r="C51402" t="inlineStr">
        <is>
          <t>2040-08-18</t>
        </is>
      </c>
    </row>
    <row r="51403">
      <c r="A51403" s="1" t="n">
        <v>51402</v>
      </c>
      <c r="B51403">
        <f>TEXT(51402, "[$-0E0000]yyyy-mm-dd")</f>
        <v/>
      </c>
      <c r="C51403" t="inlineStr">
        <is>
          <t>2040-08-19</t>
        </is>
      </c>
    </row>
    <row r="51404">
      <c r="A51404" s="1" t="n">
        <v>51403</v>
      </c>
      <c r="B51404">
        <f>TEXT(51403, "[$-0E0000]yyyy-mm-dd")</f>
        <v/>
      </c>
      <c r="C51404" t="inlineStr">
        <is>
          <t>2040-08-20</t>
        </is>
      </c>
    </row>
    <row r="51405">
      <c r="A51405" s="1" t="n">
        <v>51404</v>
      </c>
      <c r="B51405">
        <f>TEXT(51404, "[$-0E0000]yyyy-mm-dd")</f>
        <v/>
      </c>
      <c r="C51405" t="inlineStr">
        <is>
          <t>2040-08-21</t>
        </is>
      </c>
    </row>
    <row r="51406">
      <c r="A51406" s="1" t="n">
        <v>51405</v>
      </c>
      <c r="B51406">
        <f>TEXT(51405, "[$-0E0000]yyyy-mm-dd")</f>
        <v/>
      </c>
      <c r="C51406" t="inlineStr">
        <is>
          <t>2040-08-22</t>
        </is>
      </c>
    </row>
    <row r="51407">
      <c r="A51407" s="1" t="n">
        <v>51406</v>
      </c>
      <c r="B51407">
        <f>TEXT(51406, "[$-0E0000]yyyy-mm-dd")</f>
        <v/>
      </c>
      <c r="C51407" t="inlineStr">
        <is>
          <t>2040-08-23</t>
        </is>
      </c>
    </row>
    <row r="51408">
      <c r="A51408" s="1" t="n">
        <v>51407</v>
      </c>
      <c r="B51408">
        <f>TEXT(51407, "[$-0E0000]yyyy-mm-dd")</f>
        <v/>
      </c>
      <c r="C51408" t="inlineStr">
        <is>
          <t>2040-08-24</t>
        </is>
      </c>
    </row>
    <row r="51409">
      <c r="A51409" s="1" t="n">
        <v>51408</v>
      </c>
      <c r="B51409">
        <f>TEXT(51408, "[$-0E0000]yyyy-mm-dd")</f>
        <v/>
      </c>
      <c r="C51409" t="inlineStr">
        <is>
          <t>2040-08-25</t>
        </is>
      </c>
    </row>
    <row r="51410">
      <c r="A51410" s="1" t="n">
        <v>51409</v>
      </c>
      <c r="B51410">
        <f>TEXT(51409, "[$-0E0000]yyyy-mm-dd")</f>
        <v/>
      </c>
      <c r="C51410" t="inlineStr">
        <is>
          <t>2040-08-26</t>
        </is>
      </c>
    </row>
    <row r="51411">
      <c r="A51411" s="1" t="n">
        <v>51410</v>
      </c>
      <c r="B51411">
        <f>TEXT(51410, "[$-0E0000]yyyy-mm-dd")</f>
        <v/>
      </c>
      <c r="C51411" t="inlineStr">
        <is>
          <t>2040-08-27</t>
        </is>
      </c>
    </row>
    <row r="51412">
      <c r="A51412" s="1" t="n">
        <v>51411</v>
      </c>
      <c r="B51412">
        <f>TEXT(51411, "[$-0E0000]yyyy-mm-dd")</f>
        <v/>
      </c>
      <c r="C51412" t="inlineStr">
        <is>
          <t>2040-08-28</t>
        </is>
      </c>
    </row>
    <row r="51413">
      <c r="A51413" s="1" t="n">
        <v>51412</v>
      </c>
      <c r="B51413">
        <f>TEXT(51412, "[$-0E0000]yyyy-mm-dd")</f>
        <v/>
      </c>
      <c r="C51413" t="inlineStr">
        <is>
          <t>2040-08-29</t>
        </is>
      </c>
    </row>
    <row r="51414">
      <c r="A51414" s="1" t="n">
        <v>51413</v>
      </c>
      <c r="B51414">
        <f>TEXT(51413, "[$-0E0000]yyyy-mm-dd")</f>
        <v/>
      </c>
      <c r="C51414" t="inlineStr">
        <is>
          <t>2040-08-30</t>
        </is>
      </c>
    </row>
    <row r="51415">
      <c r="A51415" s="1" t="n">
        <v>51414</v>
      </c>
      <c r="B51415">
        <f>TEXT(51414, "[$-0E0000]yyyy-mm-dd")</f>
        <v/>
      </c>
      <c r="C51415" t="inlineStr">
        <is>
          <t>2040-09-01</t>
        </is>
      </c>
    </row>
    <row r="51416">
      <c r="A51416" s="1" t="n">
        <v>51415</v>
      </c>
      <c r="B51416">
        <f>TEXT(51415, "[$-0E0000]yyyy-mm-dd")</f>
        <v/>
      </c>
      <c r="C51416" t="inlineStr">
        <is>
          <t>2040-09-02</t>
        </is>
      </c>
    </row>
    <row r="51417">
      <c r="A51417" s="1" t="n">
        <v>51416</v>
      </c>
      <c r="B51417">
        <f>TEXT(51416, "[$-0E0000]yyyy-mm-dd")</f>
        <v/>
      </c>
      <c r="C51417" t="inlineStr">
        <is>
          <t>2040-09-03</t>
        </is>
      </c>
    </row>
    <row r="51418">
      <c r="A51418" s="1" t="n">
        <v>51417</v>
      </c>
      <c r="B51418">
        <f>TEXT(51417, "[$-0E0000]yyyy-mm-dd")</f>
        <v/>
      </c>
      <c r="C51418" t="inlineStr">
        <is>
          <t>2040-09-04</t>
        </is>
      </c>
    </row>
    <row r="51419">
      <c r="A51419" s="1" t="n">
        <v>51418</v>
      </c>
      <c r="B51419">
        <f>TEXT(51418, "[$-0E0000]yyyy-mm-dd")</f>
        <v/>
      </c>
      <c r="C51419" t="inlineStr">
        <is>
          <t>2040-09-05</t>
        </is>
      </c>
    </row>
    <row r="51420">
      <c r="A51420" s="1" t="n">
        <v>51419</v>
      </c>
      <c r="B51420">
        <f>TEXT(51419, "[$-0E0000]yyyy-mm-dd")</f>
        <v/>
      </c>
      <c r="C51420" t="inlineStr">
        <is>
          <t>2040-09-06</t>
        </is>
      </c>
    </row>
    <row r="51421">
      <c r="A51421" s="1" t="n">
        <v>51420</v>
      </c>
      <c r="B51421">
        <f>TEXT(51420, "[$-0E0000]yyyy-mm-dd")</f>
        <v/>
      </c>
      <c r="C51421" t="inlineStr">
        <is>
          <t>2040-09-07</t>
        </is>
      </c>
    </row>
    <row r="51422">
      <c r="A51422" s="1" t="n">
        <v>51421</v>
      </c>
      <c r="B51422">
        <f>TEXT(51421, "[$-0E0000]yyyy-mm-dd")</f>
        <v/>
      </c>
      <c r="C51422" t="inlineStr">
        <is>
          <t>2040-09-08</t>
        </is>
      </c>
    </row>
    <row r="51423">
      <c r="A51423" s="1" t="n">
        <v>51422</v>
      </c>
      <c r="B51423">
        <f>TEXT(51422, "[$-0E0000]yyyy-mm-dd")</f>
        <v/>
      </c>
      <c r="C51423" t="inlineStr">
        <is>
          <t>2040-09-09</t>
        </is>
      </c>
    </row>
    <row r="51424">
      <c r="A51424" s="1" t="n">
        <v>51423</v>
      </c>
      <c r="B51424">
        <f>TEXT(51423, "[$-0E0000]yyyy-mm-dd")</f>
        <v/>
      </c>
      <c r="C51424" t="inlineStr">
        <is>
          <t>2040-09-10</t>
        </is>
      </c>
    </row>
    <row r="51425">
      <c r="A51425" s="1" t="n">
        <v>51424</v>
      </c>
      <c r="B51425">
        <f>TEXT(51424, "[$-0E0000]yyyy-mm-dd")</f>
        <v/>
      </c>
      <c r="C51425" t="inlineStr">
        <is>
          <t>2040-09-11</t>
        </is>
      </c>
    </row>
    <row r="51426">
      <c r="A51426" s="1" t="n">
        <v>51425</v>
      </c>
      <c r="B51426">
        <f>TEXT(51425, "[$-0E0000]yyyy-mm-dd")</f>
        <v/>
      </c>
      <c r="C51426" t="inlineStr">
        <is>
          <t>2040-09-12</t>
        </is>
      </c>
    </row>
    <row r="51427">
      <c r="A51427" s="1" t="n">
        <v>51426</v>
      </c>
      <c r="B51427">
        <f>TEXT(51426, "[$-0E0000]yyyy-mm-dd")</f>
        <v/>
      </c>
      <c r="C51427" t="inlineStr">
        <is>
          <t>2040-09-13</t>
        </is>
      </c>
    </row>
    <row r="51428">
      <c r="A51428" s="1" t="n">
        <v>51427</v>
      </c>
      <c r="B51428">
        <f>TEXT(51427, "[$-0E0000]yyyy-mm-dd")</f>
        <v/>
      </c>
      <c r="C51428" t="inlineStr">
        <is>
          <t>2040-09-14</t>
        </is>
      </c>
    </row>
    <row r="51429">
      <c r="A51429" s="1" t="n">
        <v>51428</v>
      </c>
      <c r="B51429">
        <f>TEXT(51428, "[$-0E0000]yyyy-mm-dd")</f>
        <v/>
      </c>
      <c r="C51429" t="inlineStr">
        <is>
          <t>2040-09-15</t>
        </is>
      </c>
    </row>
    <row r="51430">
      <c r="A51430" s="1" t="n">
        <v>51429</v>
      </c>
      <c r="B51430">
        <f>TEXT(51429, "[$-0E0000]yyyy-mm-dd")</f>
        <v/>
      </c>
      <c r="C51430" t="inlineStr">
        <is>
          <t>2040-09-16</t>
        </is>
      </c>
    </row>
    <row r="51431">
      <c r="A51431" s="1" t="n">
        <v>51430</v>
      </c>
      <c r="B51431">
        <f>TEXT(51430, "[$-0E0000]yyyy-mm-dd")</f>
        <v/>
      </c>
      <c r="C51431" t="inlineStr">
        <is>
          <t>2040-09-17</t>
        </is>
      </c>
    </row>
    <row r="51432">
      <c r="A51432" s="1" t="n">
        <v>51431</v>
      </c>
      <c r="B51432">
        <f>TEXT(51431, "[$-0E0000]yyyy-mm-dd")</f>
        <v/>
      </c>
      <c r="C51432" t="inlineStr">
        <is>
          <t>2040-09-18</t>
        </is>
      </c>
    </row>
    <row r="51433">
      <c r="A51433" s="1" t="n">
        <v>51432</v>
      </c>
      <c r="B51433">
        <f>TEXT(51432, "[$-0E0000]yyyy-mm-dd")</f>
        <v/>
      </c>
      <c r="C51433" t="inlineStr">
        <is>
          <t>2040-09-19</t>
        </is>
      </c>
    </row>
    <row r="51434">
      <c r="A51434" s="1" t="n">
        <v>51433</v>
      </c>
      <c r="B51434">
        <f>TEXT(51433, "[$-0E0000]yyyy-mm-dd")</f>
        <v/>
      </c>
      <c r="C51434" t="inlineStr">
        <is>
          <t>2040-09-20</t>
        </is>
      </c>
    </row>
    <row r="51435">
      <c r="A51435" s="1" t="n">
        <v>51434</v>
      </c>
      <c r="B51435">
        <f>TEXT(51434, "[$-0E0000]yyyy-mm-dd")</f>
        <v/>
      </c>
      <c r="C51435" t="inlineStr">
        <is>
          <t>2040-09-21</t>
        </is>
      </c>
    </row>
    <row r="51436">
      <c r="A51436" s="1" t="n">
        <v>51435</v>
      </c>
      <c r="B51436">
        <f>TEXT(51435, "[$-0E0000]yyyy-mm-dd")</f>
        <v/>
      </c>
      <c r="C51436" t="inlineStr">
        <is>
          <t>2040-09-22</t>
        </is>
      </c>
    </row>
    <row r="51437">
      <c r="A51437" s="1" t="n">
        <v>51436</v>
      </c>
      <c r="B51437">
        <f>TEXT(51436, "[$-0E0000]yyyy-mm-dd")</f>
        <v/>
      </c>
      <c r="C51437" t="inlineStr">
        <is>
          <t>2040-09-23</t>
        </is>
      </c>
    </row>
    <row r="51438">
      <c r="A51438" s="1" t="n">
        <v>51437</v>
      </c>
      <c r="B51438">
        <f>TEXT(51437, "[$-0E0000]yyyy-mm-dd")</f>
        <v/>
      </c>
      <c r="C51438" t="inlineStr">
        <is>
          <t>2040-09-24</t>
        </is>
      </c>
    </row>
    <row r="51439">
      <c r="A51439" s="1" t="n">
        <v>51438</v>
      </c>
      <c r="B51439">
        <f>TEXT(51438, "[$-0E0000]yyyy-mm-dd")</f>
        <v/>
      </c>
      <c r="C51439" t="inlineStr">
        <is>
          <t>2040-09-25</t>
        </is>
      </c>
    </row>
    <row r="51440">
      <c r="A51440" s="1" t="n">
        <v>51439</v>
      </c>
      <c r="B51440">
        <f>TEXT(51439, "[$-0E0000]yyyy-mm-dd")</f>
        <v/>
      </c>
      <c r="C51440" t="inlineStr">
        <is>
          <t>2040-09-26</t>
        </is>
      </c>
    </row>
    <row r="51441">
      <c r="A51441" s="1" t="n">
        <v>51440</v>
      </c>
      <c r="B51441">
        <f>TEXT(51440, "[$-0E0000]yyyy-mm-dd")</f>
        <v/>
      </c>
      <c r="C51441" t="inlineStr">
        <is>
          <t>2040-09-27</t>
        </is>
      </c>
    </row>
    <row r="51442">
      <c r="A51442" s="1" t="n">
        <v>51441</v>
      </c>
      <c r="B51442">
        <f>TEXT(51441, "[$-0E0000]yyyy-mm-dd")</f>
        <v/>
      </c>
      <c r="C51442" t="inlineStr">
        <is>
          <t>2040-09-28</t>
        </is>
      </c>
    </row>
    <row r="51443">
      <c r="A51443" s="1" t="n">
        <v>51442</v>
      </c>
      <c r="B51443">
        <f>TEXT(51442, "[$-0E0000]yyyy-mm-dd")</f>
        <v/>
      </c>
      <c r="C51443" t="inlineStr">
        <is>
          <t>2040-09-29</t>
        </is>
      </c>
    </row>
    <row r="51444">
      <c r="A51444" s="1" t="n">
        <v>51443</v>
      </c>
      <c r="B51444">
        <f>TEXT(51443, "[$-0E0000]yyyy-mm-dd")</f>
        <v/>
      </c>
      <c r="C51444" t="inlineStr">
        <is>
          <t>2040-09-30</t>
        </is>
      </c>
    </row>
    <row r="51445">
      <c r="A51445" s="1" t="n">
        <v>51444</v>
      </c>
      <c r="B51445">
        <f>TEXT(51444, "[$-0E0000]yyyy-mm-dd")</f>
        <v/>
      </c>
      <c r="C51445" t="inlineStr">
        <is>
          <t>2040-10-01</t>
        </is>
      </c>
    </row>
    <row r="51446">
      <c r="A51446" s="1" t="n">
        <v>51445</v>
      </c>
      <c r="B51446">
        <f>TEXT(51445, "[$-0E0000]yyyy-mm-dd")</f>
        <v/>
      </c>
      <c r="C51446" t="inlineStr">
        <is>
          <t>2040-10-02</t>
        </is>
      </c>
    </row>
    <row r="51447">
      <c r="A51447" s="1" t="n">
        <v>51446</v>
      </c>
      <c r="B51447">
        <f>TEXT(51446, "[$-0E0000]yyyy-mm-dd")</f>
        <v/>
      </c>
      <c r="C51447" t="inlineStr">
        <is>
          <t>2040-10-03</t>
        </is>
      </c>
    </row>
    <row r="51448">
      <c r="A51448" s="1" t="n">
        <v>51447</v>
      </c>
      <c r="B51448">
        <f>TEXT(51447, "[$-0E0000]yyyy-mm-dd")</f>
        <v/>
      </c>
      <c r="C51448" t="inlineStr">
        <is>
          <t>2040-10-04</t>
        </is>
      </c>
    </row>
    <row r="51449">
      <c r="A51449" s="1" t="n">
        <v>51448</v>
      </c>
      <c r="B51449">
        <f>TEXT(51448, "[$-0E0000]yyyy-mm-dd")</f>
        <v/>
      </c>
      <c r="C51449" t="inlineStr">
        <is>
          <t>2040-10-05</t>
        </is>
      </c>
    </row>
    <row r="51450">
      <c r="A51450" s="1" t="n">
        <v>51449</v>
      </c>
      <c r="B51450">
        <f>TEXT(51449, "[$-0E0000]yyyy-mm-dd")</f>
        <v/>
      </c>
      <c r="C51450" t="inlineStr">
        <is>
          <t>2040-10-06</t>
        </is>
      </c>
    </row>
    <row r="51451">
      <c r="A51451" s="1" t="n">
        <v>51450</v>
      </c>
      <c r="B51451">
        <f>TEXT(51450, "[$-0E0000]yyyy-mm-dd")</f>
        <v/>
      </c>
      <c r="C51451" t="inlineStr">
        <is>
          <t>2040-10-07</t>
        </is>
      </c>
    </row>
    <row r="51452">
      <c r="A51452" s="1" t="n">
        <v>51451</v>
      </c>
      <c r="B51452">
        <f>TEXT(51451, "[$-0E0000]yyyy-mm-dd")</f>
        <v/>
      </c>
      <c r="C51452" t="inlineStr">
        <is>
          <t>2040-10-08</t>
        </is>
      </c>
    </row>
    <row r="51453">
      <c r="A51453" s="1" t="n">
        <v>51452</v>
      </c>
      <c r="B51453">
        <f>TEXT(51452, "[$-0E0000]yyyy-mm-dd")</f>
        <v/>
      </c>
      <c r="C51453" t="inlineStr">
        <is>
          <t>2040-10-09</t>
        </is>
      </c>
    </row>
    <row r="51454">
      <c r="A51454" s="1" t="n">
        <v>51453</v>
      </c>
      <c r="B51454">
        <f>TEXT(51453, "[$-0E0000]yyyy-mm-dd")</f>
        <v/>
      </c>
      <c r="C51454" t="inlineStr">
        <is>
          <t>2040-10-10</t>
        </is>
      </c>
    </row>
    <row r="51455">
      <c r="A51455" s="1" t="n">
        <v>51454</v>
      </c>
      <c r="B51455">
        <f>TEXT(51454, "[$-0E0000]yyyy-mm-dd")</f>
        <v/>
      </c>
      <c r="C51455" t="inlineStr">
        <is>
          <t>2040-10-11</t>
        </is>
      </c>
    </row>
    <row r="51456">
      <c r="A51456" s="1" t="n">
        <v>51455</v>
      </c>
      <c r="B51456">
        <f>TEXT(51455, "[$-0E0000]yyyy-mm-dd")</f>
        <v/>
      </c>
      <c r="C51456" t="inlineStr">
        <is>
          <t>2040-10-12</t>
        </is>
      </c>
    </row>
    <row r="51457">
      <c r="A51457" s="1" t="n">
        <v>51456</v>
      </c>
      <c r="B51457">
        <f>TEXT(51456, "[$-0E0000]yyyy-mm-dd")</f>
        <v/>
      </c>
      <c r="C51457" t="inlineStr">
        <is>
          <t>2040-10-13</t>
        </is>
      </c>
    </row>
    <row r="51458">
      <c r="A51458" s="1" t="n">
        <v>51457</v>
      </c>
      <c r="B51458">
        <f>TEXT(51457, "[$-0E0000]yyyy-mm-dd")</f>
        <v/>
      </c>
      <c r="C51458" t="inlineStr">
        <is>
          <t>2040-10-14</t>
        </is>
      </c>
    </row>
    <row r="51459">
      <c r="A51459" s="1" t="n">
        <v>51458</v>
      </c>
      <c r="B51459">
        <f>TEXT(51458, "[$-0E0000]yyyy-mm-dd")</f>
        <v/>
      </c>
      <c r="C51459" t="inlineStr">
        <is>
          <t>2040-10-15</t>
        </is>
      </c>
    </row>
    <row r="51460">
      <c r="A51460" s="1" t="n">
        <v>51459</v>
      </c>
      <c r="B51460">
        <f>TEXT(51459, "[$-0E0000]yyyy-mm-dd")</f>
        <v/>
      </c>
      <c r="C51460" t="inlineStr">
        <is>
          <t>2040-10-16</t>
        </is>
      </c>
    </row>
    <row r="51461">
      <c r="A51461" s="1" t="n">
        <v>51460</v>
      </c>
      <c r="B51461">
        <f>TEXT(51460, "[$-0E0000]yyyy-mm-dd")</f>
        <v/>
      </c>
      <c r="C51461" t="inlineStr">
        <is>
          <t>2040-10-17</t>
        </is>
      </c>
    </row>
    <row r="51462">
      <c r="A51462" s="1" t="n">
        <v>51461</v>
      </c>
      <c r="B51462">
        <f>TEXT(51461, "[$-0E0000]yyyy-mm-dd")</f>
        <v/>
      </c>
      <c r="C51462" t="inlineStr">
        <is>
          <t>2040-10-18</t>
        </is>
      </c>
    </row>
    <row r="51463">
      <c r="A51463" s="1" t="n">
        <v>51462</v>
      </c>
      <c r="B51463">
        <f>TEXT(51462, "[$-0E0000]yyyy-mm-dd")</f>
        <v/>
      </c>
      <c r="C51463" t="inlineStr">
        <is>
          <t>2040-10-19</t>
        </is>
      </c>
    </row>
    <row r="51464">
      <c r="A51464" s="1" t="n">
        <v>51463</v>
      </c>
      <c r="B51464">
        <f>TEXT(51463, "[$-0E0000]yyyy-mm-dd")</f>
        <v/>
      </c>
      <c r="C51464" t="inlineStr">
        <is>
          <t>2040-10-20</t>
        </is>
      </c>
    </row>
    <row r="51465">
      <c r="A51465" s="1" t="n">
        <v>51464</v>
      </c>
      <c r="B51465">
        <f>TEXT(51464, "[$-0E0000]yyyy-mm-dd")</f>
        <v/>
      </c>
      <c r="C51465" t="inlineStr">
        <is>
          <t>2040-10-21</t>
        </is>
      </c>
    </row>
    <row r="51466">
      <c r="A51466" s="1" t="n">
        <v>51465</v>
      </c>
      <c r="B51466">
        <f>TEXT(51465, "[$-0E0000]yyyy-mm-dd")</f>
        <v/>
      </c>
      <c r="C51466" t="inlineStr">
        <is>
          <t>2040-10-22</t>
        </is>
      </c>
    </row>
    <row r="51467">
      <c r="A51467" s="1" t="n">
        <v>51466</v>
      </c>
      <c r="B51467">
        <f>TEXT(51466, "[$-0E0000]yyyy-mm-dd")</f>
        <v/>
      </c>
      <c r="C51467" t="inlineStr">
        <is>
          <t>2040-10-23</t>
        </is>
      </c>
    </row>
    <row r="51468">
      <c r="A51468" s="1" t="n">
        <v>51467</v>
      </c>
      <c r="B51468">
        <f>TEXT(51467, "[$-0E0000]yyyy-mm-dd")</f>
        <v/>
      </c>
      <c r="C51468" t="inlineStr">
        <is>
          <t>2040-10-24</t>
        </is>
      </c>
    </row>
    <row r="51469">
      <c r="A51469" s="1" t="n">
        <v>51468</v>
      </c>
      <c r="B51469">
        <f>TEXT(51468, "[$-0E0000]yyyy-mm-dd")</f>
        <v/>
      </c>
      <c r="C51469" t="inlineStr">
        <is>
          <t>2040-10-25</t>
        </is>
      </c>
    </row>
    <row r="51470">
      <c r="A51470" s="1" t="n">
        <v>51469</v>
      </c>
      <c r="B51470">
        <f>TEXT(51469, "[$-0E0000]yyyy-mm-dd")</f>
        <v/>
      </c>
      <c r="C51470" t="inlineStr">
        <is>
          <t>2040-10-26</t>
        </is>
      </c>
    </row>
    <row r="51471">
      <c r="A51471" s="1" t="n">
        <v>51470</v>
      </c>
      <c r="B51471">
        <f>TEXT(51470, "[$-0E0000]yyyy-mm-dd")</f>
        <v/>
      </c>
      <c r="C51471" t="inlineStr">
        <is>
          <t>2040-10-27</t>
        </is>
      </c>
    </row>
    <row r="51472">
      <c r="A51472" s="1" t="n">
        <v>51471</v>
      </c>
      <c r="B51472">
        <f>TEXT(51471, "[$-0E0000]yyyy-mm-dd")</f>
        <v/>
      </c>
      <c r="C51472" t="inlineStr">
        <is>
          <t>2040-10-28</t>
        </is>
      </c>
    </row>
    <row r="51473">
      <c r="A51473" s="1" t="n">
        <v>51472</v>
      </c>
      <c r="B51473">
        <f>TEXT(51472, "[$-0E0000]yyyy-mm-dd")</f>
        <v/>
      </c>
      <c r="C51473" t="inlineStr">
        <is>
          <t>2040-10-29</t>
        </is>
      </c>
    </row>
    <row r="51474">
      <c r="A51474" s="1" t="n">
        <v>51473</v>
      </c>
      <c r="B51474">
        <f>TEXT(51473, "[$-0E0000]yyyy-mm-dd")</f>
        <v/>
      </c>
      <c r="C51474" t="inlineStr">
        <is>
          <t>2040-11-01</t>
        </is>
      </c>
    </row>
    <row r="51475">
      <c r="A51475" s="1" t="n">
        <v>51474</v>
      </c>
      <c r="B51475">
        <f>TEXT(51474, "[$-0E0000]yyyy-mm-dd")</f>
        <v/>
      </c>
      <c r="C51475" t="inlineStr">
        <is>
          <t>2040-11-02</t>
        </is>
      </c>
    </row>
    <row r="51476">
      <c r="A51476" s="1" t="n">
        <v>51475</v>
      </c>
      <c r="B51476">
        <f>TEXT(51475, "[$-0E0000]yyyy-mm-dd")</f>
        <v/>
      </c>
      <c r="C51476" t="inlineStr">
        <is>
          <t>2040-11-03</t>
        </is>
      </c>
    </row>
    <row r="51477">
      <c r="A51477" s="1" t="n">
        <v>51476</v>
      </c>
      <c r="B51477">
        <f>TEXT(51476, "[$-0E0000]yyyy-mm-dd")</f>
        <v/>
      </c>
      <c r="C51477" t="inlineStr">
        <is>
          <t>2040-11-04</t>
        </is>
      </c>
    </row>
    <row r="51478">
      <c r="A51478" s="1" t="n">
        <v>51477</v>
      </c>
      <c r="B51478">
        <f>TEXT(51477, "[$-0E0000]yyyy-mm-dd")</f>
        <v/>
      </c>
      <c r="C51478" t="inlineStr">
        <is>
          <t>2040-11-05</t>
        </is>
      </c>
    </row>
    <row r="51479">
      <c r="A51479" s="1" t="n">
        <v>51478</v>
      </c>
      <c r="B51479">
        <f>TEXT(51478, "[$-0E0000]yyyy-mm-dd")</f>
        <v/>
      </c>
      <c r="C51479" t="inlineStr">
        <is>
          <t>2040-11-06</t>
        </is>
      </c>
    </row>
    <row r="51480">
      <c r="A51480" s="1" t="n">
        <v>51479</v>
      </c>
      <c r="B51480">
        <f>TEXT(51479, "[$-0E0000]yyyy-mm-dd")</f>
        <v/>
      </c>
      <c r="C51480" t="inlineStr">
        <is>
          <t>2040-11-07</t>
        </is>
      </c>
    </row>
    <row r="51481">
      <c r="A51481" s="1" t="n">
        <v>51480</v>
      </c>
      <c r="B51481">
        <f>TEXT(51480, "[$-0E0000]yyyy-mm-dd")</f>
        <v/>
      </c>
      <c r="C51481" t="inlineStr">
        <is>
          <t>2040-11-08</t>
        </is>
      </c>
    </row>
    <row r="51482">
      <c r="A51482" s="1" t="n">
        <v>51481</v>
      </c>
      <c r="B51482">
        <f>TEXT(51481, "[$-0E0000]yyyy-mm-dd")</f>
        <v/>
      </c>
      <c r="C51482" t="inlineStr">
        <is>
          <t>2040-11-09</t>
        </is>
      </c>
    </row>
    <row r="51483">
      <c r="A51483" s="1" t="n">
        <v>51482</v>
      </c>
      <c r="B51483">
        <f>TEXT(51482, "[$-0E0000]yyyy-mm-dd")</f>
        <v/>
      </c>
      <c r="C51483" t="inlineStr">
        <is>
          <t>2040-11-10</t>
        </is>
      </c>
    </row>
    <row r="51484">
      <c r="A51484" s="1" t="n">
        <v>51483</v>
      </c>
      <c r="B51484">
        <f>TEXT(51483, "[$-0E0000]yyyy-mm-dd")</f>
        <v/>
      </c>
      <c r="C51484" t="inlineStr">
        <is>
          <t>2040-11-11</t>
        </is>
      </c>
    </row>
    <row r="51485">
      <c r="A51485" s="1" t="n">
        <v>51484</v>
      </c>
      <c r="B51485">
        <f>TEXT(51484, "[$-0E0000]yyyy-mm-dd")</f>
        <v/>
      </c>
      <c r="C51485" t="inlineStr">
        <is>
          <t>2040-11-12</t>
        </is>
      </c>
    </row>
    <row r="51486">
      <c r="A51486" s="1" t="n">
        <v>51485</v>
      </c>
      <c r="B51486">
        <f>TEXT(51485, "[$-0E0000]yyyy-mm-dd")</f>
        <v/>
      </c>
      <c r="C51486" t="inlineStr">
        <is>
          <t>2040-11-13</t>
        </is>
      </c>
    </row>
    <row r="51487">
      <c r="A51487" s="1" t="n">
        <v>51486</v>
      </c>
      <c r="B51487">
        <f>TEXT(51486, "[$-0E0000]yyyy-mm-dd")</f>
        <v/>
      </c>
      <c r="C51487" t="inlineStr">
        <is>
          <t>2040-11-14</t>
        </is>
      </c>
    </row>
    <row r="51488">
      <c r="A51488" s="1" t="n">
        <v>51487</v>
      </c>
      <c r="B51488">
        <f>TEXT(51487, "[$-0E0000]yyyy-mm-dd")</f>
        <v/>
      </c>
      <c r="C51488" t="inlineStr">
        <is>
          <t>2040-11-15</t>
        </is>
      </c>
    </row>
    <row r="51489">
      <c r="A51489" s="1" t="n">
        <v>51488</v>
      </c>
      <c r="B51489">
        <f>TEXT(51488, "[$-0E0000]yyyy-mm-dd")</f>
        <v/>
      </c>
      <c r="C51489" t="inlineStr">
        <is>
          <t>2040-11-16</t>
        </is>
      </c>
    </row>
    <row r="51490">
      <c r="A51490" s="1" t="n">
        <v>51489</v>
      </c>
      <c r="B51490">
        <f>TEXT(51489, "[$-0E0000]yyyy-mm-dd")</f>
        <v/>
      </c>
      <c r="C51490" t="inlineStr">
        <is>
          <t>2040-11-17</t>
        </is>
      </c>
    </row>
    <row r="51491">
      <c r="A51491" s="1" t="n">
        <v>51490</v>
      </c>
      <c r="B51491">
        <f>TEXT(51490, "[$-0E0000]yyyy-mm-dd")</f>
        <v/>
      </c>
      <c r="C51491" t="inlineStr">
        <is>
          <t>2040-11-18</t>
        </is>
      </c>
    </row>
    <row r="51492">
      <c r="A51492" s="1" t="n">
        <v>51491</v>
      </c>
      <c r="B51492">
        <f>TEXT(51491, "[$-0E0000]yyyy-mm-dd")</f>
        <v/>
      </c>
      <c r="C51492" t="inlineStr">
        <is>
          <t>2040-11-19</t>
        </is>
      </c>
    </row>
    <row r="51493">
      <c r="A51493" s="1" t="n">
        <v>51492</v>
      </c>
      <c r="B51493">
        <f>TEXT(51492, "[$-0E0000]yyyy-mm-dd")</f>
        <v/>
      </c>
      <c r="C51493" t="inlineStr">
        <is>
          <t>2040-11-20</t>
        </is>
      </c>
    </row>
    <row r="51494">
      <c r="A51494" s="1" t="n">
        <v>51493</v>
      </c>
      <c r="B51494">
        <f>TEXT(51493, "[$-0E0000]yyyy-mm-dd")</f>
        <v/>
      </c>
      <c r="C51494" t="inlineStr">
        <is>
          <t>2040-11-21</t>
        </is>
      </c>
    </row>
    <row r="51495">
      <c r="A51495" s="1" t="n">
        <v>51494</v>
      </c>
      <c r="B51495">
        <f>TEXT(51494, "[$-0E0000]yyyy-mm-dd")</f>
        <v/>
      </c>
      <c r="C51495" t="inlineStr">
        <is>
          <t>2040-11-22</t>
        </is>
      </c>
    </row>
    <row r="51496">
      <c r="A51496" s="1" t="n">
        <v>51495</v>
      </c>
      <c r="B51496">
        <f>TEXT(51495, "[$-0E0000]yyyy-mm-dd")</f>
        <v/>
      </c>
      <c r="C51496" t="inlineStr">
        <is>
          <t>2040-11-23</t>
        </is>
      </c>
    </row>
    <row r="51497">
      <c r="A51497" s="1" t="n">
        <v>51496</v>
      </c>
      <c r="B51497">
        <f>TEXT(51496, "[$-0E0000]yyyy-mm-dd")</f>
        <v/>
      </c>
      <c r="C51497" t="inlineStr">
        <is>
          <t>2040-11-24</t>
        </is>
      </c>
    </row>
    <row r="51498">
      <c r="A51498" s="1" t="n">
        <v>51497</v>
      </c>
      <c r="B51498">
        <f>TEXT(51497, "[$-0E0000]yyyy-mm-dd")</f>
        <v/>
      </c>
      <c r="C51498" t="inlineStr">
        <is>
          <t>2040-11-25</t>
        </is>
      </c>
    </row>
    <row r="51499">
      <c r="A51499" s="1" t="n">
        <v>51498</v>
      </c>
      <c r="B51499">
        <f>TEXT(51498, "[$-0E0000]yyyy-mm-dd")</f>
        <v/>
      </c>
      <c r="C51499" t="inlineStr">
        <is>
          <t>2040-11-26</t>
        </is>
      </c>
    </row>
    <row r="51500">
      <c r="A51500" s="1" t="n">
        <v>51499</v>
      </c>
      <c r="B51500">
        <f>TEXT(51499, "[$-0E0000]yyyy-mm-dd")</f>
        <v/>
      </c>
      <c r="C51500" t="inlineStr">
        <is>
          <t>2040-11-27</t>
        </is>
      </c>
    </row>
    <row r="51501">
      <c r="A51501" s="1" t="n">
        <v>51500</v>
      </c>
      <c r="B51501">
        <f>TEXT(51500, "[$-0E0000]yyyy-mm-dd")</f>
        <v/>
      </c>
      <c r="C51501" t="inlineStr">
        <is>
          <t>2040-11-28</t>
        </is>
      </c>
    </row>
    <row r="51502">
      <c r="A51502" s="1" t="n">
        <v>51501</v>
      </c>
      <c r="B51502">
        <f>TEXT(51501, "[$-0E0000]yyyy-mm-dd")</f>
        <v/>
      </c>
      <c r="C51502" t="inlineStr">
        <is>
          <t>2040-11-29</t>
        </is>
      </c>
    </row>
    <row r="51503">
      <c r="A51503" s="1" t="n">
        <v>51502</v>
      </c>
      <c r="B51503">
        <f>TEXT(51502, "[$-0E0000]yyyy-mm-dd")</f>
        <v/>
      </c>
      <c r="C51503" t="inlineStr">
        <is>
          <t>2040-11-30</t>
        </is>
      </c>
    </row>
    <row r="51504">
      <c r="A51504" s="1" t="n">
        <v>51503</v>
      </c>
      <c r="B51504">
        <f>TEXT(51503, "[$-0E0000]yyyy-mm-dd")</f>
        <v/>
      </c>
      <c r="C51504" t="inlineStr">
        <is>
          <t>2040-12-01</t>
        </is>
      </c>
    </row>
    <row r="51505">
      <c r="A51505" s="1" t="n">
        <v>51504</v>
      </c>
      <c r="B51505">
        <f>TEXT(51504, "[$-0E0000]yyyy-mm-dd")</f>
        <v/>
      </c>
      <c r="C51505" t="inlineStr">
        <is>
          <t>2040-12-02</t>
        </is>
      </c>
    </row>
    <row r="51506">
      <c r="A51506" s="1" t="n">
        <v>51505</v>
      </c>
      <c r="B51506">
        <f>TEXT(51505, "[$-0E0000]yyyy-mm-dd")</f>
        <v/>
      </c>
      <c r="C51506" t="inlineStr">
        <is>
          <t>2040-12-03</t>
        </is>
      </c>
    </row>
    <row r="51507">
      <c r="A51507" s="1" t="n">
        <v>51506</v>
      </c>
      <c r="B51507">
        <f>TEXT(51506, "[$-0E0000]yyyy-mm-dd")</f>
        <v/>
      </c>
      <c r="C51507" t="inlineStr">
        <is>
          <t>2040-12-04</t>
        </is>
      </c>
    </row>
    <row r="51508">
      <c r="A51508" s="1" t="n">
        <v>51507</v>
      </c>
      <c r="B51508">
        <f>TEXT(51507, "[$-0E0000]yyyy-mm-dd")</f>
        <v/>
      </c>
      <c r="C51508" t="inlineStr">
        <is>
          <t>2040-12-05</t>
        </is>
      </c>
    </row>
    <row r="51509">
      <c r="A51509" s="1" t="n">
        <v>51508</v>
      </c>
      <c r="B51509">
        <f>TEXT(51508, "[$-0E0000]yyyy-mm-dd")</f>
        <v/>
      </c>
      <c r="C51509" t="inlineStr">
        <is>
          <t>2040-12-06</t>
        </is>
      </c>
    </row>
    <row r="51510">
      <c r="A51510" s="1" t="n">
        <v>51509</v>
      </c>
      <c r="B51510">
        <f>TEXT(51509, "[$-0E0000]yyyy-mm-dd")</f>
        <v/>
      </c>
      <c r="C51510" t="inlineStr">
        <is>
          <t>2040-12-07</t>
        </is>
      </c>
    </row>
    <row r="51511">
      <c r="A51511" s="1" t="n">
        <v>51510</v>
      </c>
      <c r="B51511">
        <f>TEXT(51510, "[$-0E0000]yyyy-mm-dd")</f>
        <v/>
      </c>
      <c r="C51511" t="inlineStr">
        <is>
          <t>2040-12-08</t>
        </is>
      </c>
    </row>
    <row r="51512">
      <c r="A51512" s="1" t="n">
        <v>51511</v>
      </c>
      <c r="B51512">
        <f>TEXT(51511, "[$-0E0000]yyyy-mm-dd")</f>
        <v/>
      </c>
      <c r="C51512" t="inlineStr">
        <is>
          <t>2040-12-09</t>
        </is>
      </c>
    </row>
    <row r="51513">
      <c r="A51513" s="1" t="n">
        <v>51512</v>
      </c>
      <c r="B51513">
        <f>TEXT(51512, "[$-0E0000]yyyy-mm-dd")</f>
        <v/>
      </c>
      <c r="C51513" t="inlineStr">
        <is>
          <t>2040-12-10</t>
        </is>
      </c>
    </row>
    <row r="51514">
      <c r="A51514" s="1" t="n">
        <v>51513</v>
      </c>
      <c r="B51514">
        <f>TEXT(51513, "[$-0E0000]yyyy-mm-dd")</f>
        <v/>
      </c>
      <c r="C51514" t="inlineStr">
        <is>
          <t>2040-12-11</t>
        </is>
      </c>
    </row>
    <row r="51515">
      <c r="A51515" s="1" t="n">
        <v>51514</v>
      </c>
      <c r="B51515">
        <f>TEXT(51514, "[$-0E0000]yyyy-mm-dd")</f>
        <v/>
      </c>
      <c r="C51515" t="inlineStr">
        <is>
          <t>2040-12-12</t>
        </is>
      </c>
    </row>
    <row r="51516">
      <c r="A51516" s="1" t="n">
        <v>51515</v>
      </c>
      <c r="B51516">
        <f>TEXT(51515, "[$-0E0000]yyyy-mm-dd")</f>
        <v/>
      </c>
      <c r="C51516" t="inlineStr">
        <is>
          <t>2040-12-13</t>
        </is>
      </c>
    </row>
    <row r="51517">
      <c r="A51517" s="1" t="n">
        <v>51516</v>
      </c>
      <c r="B51517">
        <f>TEXT(51516, "[$-0E0000]yyyy-mm-dd")</f>
        <v/>
      </c>
      <c r="C51517" t="inlineStr">
        <is>
          <t>2040-12-14</t>
        </is>
      </c>
    </row>
    <row r="51518">
      <c r="A51518" s="1" t="n">
        <v>51517</v>
      </c>
      <c r="B51518">
        <f>TEXT(51517, "[$-0E0000]yyyy-mm-dd")</f>
        <v/>
      </c>
      <c r="C51518" t="inlineStr">
        <is>
          <t>2040-12-15</t>
        </is>
      </c>
    </row>
    <row r="51519">
      <c r="A51519" s="1" t="n">
        <v>51518</v>
      </c>
      <c r="B51519">
        <f>TEXT(51518, "[$-0E0000]yyyy-mm-dd")</f>
        <v/>
      </c>
      <c r="C51519" t="inlineStr">
        <is>
          <t>2040-12-16</t>
        </is>
      </c>
    </row>
    <row r="51520">
      <c r="A51520" s="1" t="n">
        <v>51519</v>
      </c>
      <c r="B51520">
        <f>TEXT(51519, "[$-0E0000]yyyy-mm-dd")</f>
        <v/>
      </c>
      <c r="C51520" t="inlineStr">
        <is>
          <t>2040-12-17</t>
        </is>
      </c>
    </row>
    <row r="51521">
      <c r="A51521" s="1" t="n">
        <v>51520</v>
      </c>
      <c r="B51521">
        <f>TEXT(51520, "[$-0E0000]yyyy-mm-dd")</f>
        <v/>
      </c>
      <c r="C51521" t="inlineStr">
        <is>
          <t>2040-12-18</t>
        </is>
      </c>
    </row>
    <row r="51522">
      <c r="A51522" s="1" t="n">
        <v>51521</v>
      </c>
      <c r="B51522">
        <f>TEXT(51521, "[$-0E0000]yyyy-mm-dd")</f>
        <v/>
      </c>
      <c r="C51522" t="inlineStr">
        <is>
          <t>2040-12-19</t>
        </is>
      </c>
    </row>
    <row r="51523">
      <c r="A51523" s="1" t="n">
        <v>51522</v>
      </c>
      <c r="B51523">
        <f>TEXT(51522, "[$-0E0000]yyyy-mm-dd")</f>
        <v/>
      </c>
      <c r="C51523" t="inlineStr">
        <is>
          <t>2040-12-20</t>
        </is>
      </c>
    </row>
    <row r="51524">
      <c r="A51524" s="1" t="n">
        <v>51523</v>
      </c>
      <c r="B51524">
        <f>TEXT(51523, "[$-0E0000]yyyy-mm-dd")</f>
        <v/>
      </c>
      <c r="C51524" t="inlineStr">
        <is>
          <t>2040-12-21</t>
        </is>
      </c>
    </row>
    <row r="51525">
      <c r="A51525" s="1" t="n">
        <v>51524</v>
      </c>
      <c r="B51525">
        <f>TEXT(51524, "[$-0E0000]yyyy-mm-dd")</f>
        <v/>
      </c>
      <c r="C51525" t="inlineStr">
        <is>
          <t>2040-12-22</t>
        </is>
      </c>
    </row>
    <row r="51526">
      <c r="A51526" s="1" t="n">
        <v>51525</v>
      </c>
      <c r="B51526">
        <f>TEXT(51525, "[$-0E0000]yyyy-mm-dd")</f>
        <v/>
      </c>
      <c r="C51526" t="inlineStr">
        <is>
          <t>2040-12-23</t>
        </is>
      </c>
    </row>
    <row r="51527">
      <c r="A51527" s="1" t="n">
        <v>51526</v>
      </c>
      <c r="B51527">
        <f>TEXT(51526, "[$-0E0000]yyyy-mm-dd")</f>
        <v/>
      </c>
      <c r="C51527" t="inlineStr">
        <is>
          <t>2040-12-24</t>
        </is>
      </c>
    </row>
    <row r="51528">
      <c r="A51528" s="1" t="n">
        <v>51527</v>
      </c>
      <c r="B51528">
        <f>TEXT(51527, "[$-0E0000]yyyy-mm-dd")</f>
        <v/>
      </c>
      <c r="C51528" t="inlineStr">
        <is>
          <t>2040-12-25</t>
        </is>
      </c>
    </row>
    <row r="51529">
      <c r="A51529" s="1" t="n">
        <v>51528</v>
      </c>
      <c r="B51529">
        <f>TEXT(51528, "[$-0E0000]yyyy-mm-dd")</f>
        <v/>
      </c>
      <c r="C51529" t="inlineStr">
        <is>
          <t>2040-12-26</t>
        </is>
      </c>
    </row>
    <row r="51530">
      <c r="A51530" s="1" t="n">
        <v>51529</v>
      </c>
      <c r="B51530">
        <f>TEXT(51529, "[$-0E0000]yyyy-mm-dd")</f>
        <v/>
      </c>
      <c r="C51530" t="inlineStr">
        <is>
          <t>2040-12-27</t>
        </is>
      </c>
    </row>
    <row r="51531">
      <c r="A51531" s="1" t="n">
        <v>51530</v>
      </c>
      <c r="B51531">
        <f>TEXT(51530, "[$-0E0000]yyyy-mm-dd")</f>
        <v/>
      </c>
      <c r="C51531" t="inlineStr">
        <is>
          <t>2040-12-28</t>
        </is>
      </c>
    </row>
    <row r="51532">
      <c r="A51532" s="1" t="n">
        <v>51531</v>
      </c>
      <c r="B51532">
        <f>TEXT(51531, "[$-0E0000]yyyy-mm-dd")</f>
        <v/>
      </c>
      <c r="C51532" t="inlineStr">
        <is>
          <t>2040-12-29</t>
        </is>
      </c>
    </row>
    <row r="51533">
      <c r="A51533" s="1" t="n">
        <v>51532</v>
      </c>
      <c r="B51533">
        <f>TEXT(51532, "[$-0E0000]yyyy-mm-dd")</f>
        <v/>
      </c>
      <c r="C51533" t="inlineStr">
        <is>
          <t>2041-01-01</t>
        </is>
      </c>
    </row>
    <row r="51534">
      <c r="A51534" s="1" t="n">
        <v>51533</v>
      </c>
      <c r="B51534">
        <f>TEXT(51533, "[$-0E0000]yyyy-mm-dd")</f>
        <v/>
      </c>
      <c r="C51534" t="inlineStr">
        <is>
          <t>2041-01-02</t>
        </is>
      </c>
    </row>
    <row r="51535">
      <c r="A51535" s="1" t="n">
        <v>51534</v>
      </c>
      <c r="B51535">
        <f>TEXT(51534, "[$-0E0000]yyyy-mm-dd")</f>
        <v/>
      </c>
      <c r="C51535" t="inlineStr">
        <is>
          <t>2041-01-03</t>
        </is>
      </c>
    </row>
    <row r="51536">
      <c r="A51536" s="1" t="n">
        <v>51535</v>
      </c>
      <c r="B51536">
        <f>TEXT(51535, "[$-0E0000]yyyy-mm-dd")</f>
        <v/>
      </c>
      <c r="C51536" t="inlineStr">
        <is>
          <t>2041-01-04</t>
        </is>
      </c>
    </row>
    <row r="51537">
      <c r="A51537" s="1" t="n">
        <v>51536</v>
      </c>
      <c r="B51537">
        <f>TEXT(51536, "[$-0E0000]yyyy-mm-dd")</f>
        <v/>
      </c>
      <c r="C51537" t="inlineStr">
        <is>
          <t>2041-01-05</t>
        </is>
      </c>
    </row>
    <row r="51538">
      <c r="A51538" s="1" t="n">
        <v>51537</v>
      </c>
      <c r="B51538">
        <f>TEXT(51537, "[$-0E0000]yyyy-mm-dd")</f>
        <v/>
      </c>
      <c r="C51538" t="inlineStr">
        <is>
          <t>2041-01-06</t>
        </is>
      </c>
    </row>
    <row r="51539">
      <c r="A51539" s="1" t="n">
        <v>51538</v>
      </c>
      <c r="B51539">
        <f>TEXT(51538, "[$-0E0000]yyyy-mm-dd")</f>
        <v/>
      </c>
      <c r="C51539" t="inlineStr">
        <is>
          <t>2041-01-07</t>
        </is>
      </c>
    </row>
    <row r="51540">
      <c r="A51540" s="1" t="n">
        <v>51539</v>
      </c>
      <c r="B51540">
        <f>TEXT(51539, "[$-0E0000]yyyy-mm-dd")</f>
        <v/>
      </c>
      <c r="C51540" t="inlineStr">
        <is>
          <t>2041-01-08</t>
        </is>
      </c>
    </row>
    <row r="51541">
      <c r="A51541" s="1" t="n">
        <v>51540</v>
      </c>
      <c r="B51541">
        <f>TEXT(51540, "[$-0E0000]yyyy-mm-dd")</f>
        <v/>
      </c>
      <c r="C51541" t="inlineStr">
        <is>
          <t>2041-01-09</t>
        </is>
      </c>
    </row>
    <row r="51542">
      <c r="A51542" s="1" t="n">
        <v>51541</v>
      </c>
      <c r="B51542">
        <f>TEXT(51541, "[$-0E0000]yyyy-mm-dd")</f>
        <v/>
      </c>
      <c r="C51542" t="inlineStr">
        <is>
          <t>2041-01-10</t>
        </is>
      </c>
    </row>
    <row r="51543">
      <c r="A51543" s="1" t="n">
        <v>51542</v>
      </c>
      <c r="B51543">
        <f>TEXT(51542, "[$-0E0000]yyyy-mm-dd")</f>
        <v/>
      </c>
      <c r="C51543" t="inlineStr">
        <is>
          <t>2041-01-11</t>
        </is>
      </c>
    </row>
    <row r="51544">
      <c r="A51544" s="1" t="n">
        <v>51543</v>
      </c>
      <c r="B51544">
        <f>TEXT(51543, "[$-0E0000]yyyy-mm-dd")</f>
        <v/>
      </c>
      <c r="C51544" t="inlineStr">
        <is>
          <t>2041-01-12</t>
        </is>
      </c>
    </row>
    <row r="51545">
      <c r="A51545" s="1" t="n">
        <v>51544</v>
      </c>
      <c r="B51545">
        <f>TEXT(51544, "[$-0E0000]yyyy-mm-dd")</f>
        <v/>
      </c>
      <c r="C51545" t="inlineStr">
        <is>
          <t>2041-01-13</t>
        </is>
      </c>
    </row>
    <row r="51546">
      <c r="A51546" s="1" t="n">
        <v>51545</v>
      </c>
      <c r="B51546">
        <f>TEXT(51545, "[$-0E0000]yyyy-mm-dd")</f>
        <v/>
      </c>
      <c r="C51546" t="inlineStr">
        <is>
          <t>2041-01-14</t>
        </is>
      </c>
    </row>
    <row r="51547">
      <c r="A51547" s="1" t="n">
        <v>51546</v>
      </c>
      <c r="B51547">
        <f>TEXT(51546, "[$-0E0000]yyyy-mm-dd")</f>
        <v/>
      </c>
      <c r="C51547" t="inlineStr">
        <is>
          <t>2041-01-15</t>
        </is>
      </c>
    </row>
    <row r="51548">
      <c r="A51548" s="1" t="n">
        <v>51547</v>
      </c>
      <c r="B51548">
        <f>TEXT(51547, "[$-0E0000]yyyy-mm-dd")</f>
        <v/>
      </c>
      <c r="C51548" t="inlineStr">
        <is>
          <t>2041-01-16</t>
        </is>
      </c>
    </row>
    <row r="51549">
      <c r="A51549" s="1" t="n">
        <v>51548</v>
      </c>
      <c r="B51549">
        <f>TEXT(51548, "[$-0E0000]yyyy-mm-dd")</f>
        <v/>
      </c>
      <c r="C51549" t="inlineStr">
        <is>
          <t>2041-01-17</t>
        </is>
      </c>
    </row>
    <row r="51550">
      <c r="A51550" s="1" t="n">
        <v>51549</v>
      </c>
      <c r="B51550">
        <f>TEXT(51549, "[$-0E0000]yyyy-mm-dd")</f>
        <v/>
      </c>
      <c r="C51550" t="inlineStr">
        <is>
          <t>2041-01-18</t>
        </is>
      </c>
    </row>
    <row r="51551">
      <c r="A51551" s="1" t="n">
        <v>51550</v>
      </c>
      <c r="B51551">
        <f>TEXT(51550, "[$-0E0000]yyyy-mm-dd")</f>
        <v/>
      </c>
      <c r="C51551" t="inlineStr">
        <is>
          <t>2041-01-19</t>
        </is>
      </c>
    </row>
    <row r="51552">
      <c r="A51552" s="1" t="n">
        <v>51551</v>
      </c>
      <c r="B51552">
        <f>TEXT(51551, "[$-0E0000]yyyy-mm-dd")</f>
        <v/>
      </c>
      <c r="C51552" t="inlineStr">
        <is>
          <t>2041-01-20</t>
        </is>
      </c>
    </row>
    <row r="51553">
      <c r="A51553" s="1" t="n">
        <v>51552</v>
      </c>
      <c r="B51553">
        <f>TEXT(51552, "[$-0E0000]yyyy-mm-dd")</f>
        <v/>
      </c>
      <c r="C51553" t="inlineStr">
        <is>
          <t>2041-01-21</t>
        </is>
      </c>
    </row>
    <row r="51554">
      <c r="A51554" s="1" t="n">
        <v>51553</v>
      </c>
      <c r="B51554">
        <f>TEXT(51553, "[$-0E0000]yyyy-mm-dd")</f>
        <v/>
      </c>
      <c r="C51554" t="inlineStr">
        <is>
          <t>2041-01-22</t>
        </is>
      </c>
    </row>
    <row r="51555">
      <c r="A51555" s="1" t="n">
        <v>51554</v>
      </c>
      <c r="B51555">
        <f>TEXT(51554, "[$-0E0000]yyyy-mm-dd")</f>
        <v/>
      </c>
      <c r="C51555" t="inlineStr">
        <is>
          <t>2041-01-23</t>
        </is>
      </c>
    </row>
    <row r="51556">
      <c r="A51556" s="1" t="n">
        <v>51555</v>
      </c>
      <c r="B51556">
        <f>TEXT(51555, "[$-0E0000]yyyy-mm-dd")</f>
        <v/>
      </c>
      <c r="C51556" t="inlineStr">
        <is>
          <t>2041-01-24</t>
        </is>
      </c>
    </row>
    <row r="51557">
      <c r="A51557" s="1" t="n">
        <v>51556</v>
      </c>
      <c r="B51557">
        <f>TEXT(51556, "[$-0E0000]yyyy-mm-dd")</f>
        <v/>
      </c>
      <c r="C51557" t="inlineStr">
        <is>
          <t>2041-01-25</t>
        </is>
      </c>
    </row>
    <row r="51558">
      <c r="A51558" s="1" t="n">
        <v>51557</v>
      </c>
      <c r="B51558">
        <f>TEXT(51557, "[$-0E0000]yyyy-mm-dd")</f>
        <v/>
      </c>
      <c r="C51558" t="inlineStr">
        <is>
          <t>2041-01-26</t>
        </is>
      </c>
    </row>
    <row r="51559">
      <c r="A51559" s="1" t="n">
        <v>51558</v>
      </c>
      <c r="B51559">
        <f>TEXT(51558, "[$-0E0000]yyyy-mm-dd")</f>
        <v/>
      </c>
      <c r="C51559" t="inlineStr">
        <is>
          <t>2041-01-27</t>
        </is>
      </c>
    </row>
    <row r="51560">
      <c r="A51560" s="1" t="n">
        <v>51559</v>
      </c>
      <c r="B51560">
        <f>TEXT(51559, "[$-0E0000]yyyy-mm-dd")</f>
        <v/>
      </c>
      <c r="C51560" t="inlineStr">
        <is>
          <t>2041-01-28</t>
        </is>
      </c>
    </row>
    <row r="51561">
      <c r="A51561" s="1" t="n">
        <v>51560</v>
      </c>
      <c r="B51561">
        <f>TEXT(51560, "[$-0E0000]yyyy-mm-dd")</f>
        <v/>
      </c>
      <c r="C51561" t="inlineStr">
        <is>
          <t>2041-01-29</t>
        </is>
      </c>
    </row>
    <row r="51562">
      <c r="A51562" s="1" t="n">
        <v>51561</v>
      </c>
      <c r="B51562">
        <f>TEXT(51561, "[$-0E0000]yyyy-mm-dd")</f>
        <v/>
      </c>
      <c r="C51562" t="inlineStr">
        <is>
          <t>2041-02-01</t>
        </is>
      </c>
    </row>
    <row r="51563">
      <c r="A51563" s="1" t="n">
        <v>51562</v>
      </c>
      <c r="B51563">
        <f>TEXT(51562, "[$-0E0000]yyyy-mm-dd")</f>
        <v/>
      </c>
      <c r="C51563" t="inlineStr">
        <is>
          <t>2041-02-02</t>
        </is>
      </c>
    </row>
    <row r="51564">
      <c r="A51564" s="1" t="n">
        <v>51563</v>
      </c>
      <c r="B51564">
        <f>TEXT(51563, "[$-0E0000]yyyy-mm-dd")</f>
        <v/>
      </c>
      <c r="C51564" t="inlineStr">
        <is>
          <t>2041-02-03</t>
        </is>
      </c>
    </row>
    <row r="51565">
      <c r="A51565" s="1" t="n">
        <v>51564</v>
      </c>
      <c r="B51565">
        <f>TEXT(51564, "[$-0E0000]yyyy-mm-dd")</f>
        <v/>
      </c>
      <c r="C51565" t="inlineStr">
        <is>
          <t>2041-02-04</t>
        </is>
      </c>
    </row>
    <row r="51566">
      <c r="A51566" s="1" t="n">
        <v>51565</v>
      </c>
      <c r="B51566">
        <f>TEXT(51565, "[$-0E0000]yyyy-mm-dd")</f>
        <v/>
      </c>
      <c r="C51566" t="inlineStr">
        <is>
          <t>2041-02-05</t>
        </is>
      </c>
    </row>
    <row r="51567">
      <c r="A51567" s="1" t="n">
        <v>51566</v>
      </c>
      <c r="B51567">
        <f>TEXT(51566, "[$-0E0000]yyyy-mm-dd")</f>
        <v/>
      </c>
      <c r="C51567" t="inlineStr">
        <is>
          <t>2041-02-06</t>
        </is>
      </c>
    </row>
    <row r="51568">
      <c r="A51568" s="1" t="n">
        <v>51567</v>
      </c>
      <c r="B51568">
        <f>TEXT(51567, "[$-0E0000]yyyy-mm-dd")</f>
        <v/>
      </c>
      <c r="C51568" t="inlineStr">
        <is>
          <t>2041-02-07</t>
        </is>
      </c>
    </row>
    <row r="51569">
      <c r="A51569" s="1" t="n">
        <v>51568</v>
      </c>
      <c r="B51569">
        <f>TEXT(51568, "[$-0E0000]yyyy-mm-dd")</f>
        <v/>
      </c>
      <c r="C51569" t="inlineStr">
        <is>
          <t>2041-02-08</t>
        </is>
      </c>
    </row>
    <row r="51570">
      <c r="A51570" s="1" t="n">
        <v>51569</v>
      </c>
      <c r="B51570">
        <f>TEXT(51569, "[$-0E0000]yyyy-mm-dd")</f>
        <v/>
      </c>
      <c r="C51570" t="inlineStr">
        <is>
          <t>2041-02-09</t>
        </is>
      </c>
    </row>
    <row r="51571">
      <c r="A51571" s="1" t="n">
        <v>51570</v>
      </c>
      <c r="B51571">
        <f>TEXT(51570, "[$-0E0000]yyyy-mm-dd")</f>
        <v/>
      </c>
      <c r="C51571" t="inlineStr">
        <is>
          <t>2041-02-10</t>
        </is>
      </c>
    </row>
    <row r="51572">
      <c r="A51572" s="1" t="n">
        <v>51571</v>
      </c>
      <c r="B51572">
        <f>TEXT(51571, "[$-0E0000]yyyy-mm-dd")</f>
        <v/>
      </c>
      <c r="C51572" t="inlineStr">
        <is>
          <t>2041-02-11</t>
        </is>
      </c>
    </row>
    <row r="51573">
      <c r="A51573" s="1" t="n">
        <v>51572</v>
      </c>
      <c r="B51573">
        <f>TEXT(51572, "[$-0E0000]yyyy-mm-dd")</f>
        <v/>
      </c>
      <c r="C51573" t="inlineStr">
        <is>
          <t>2041-02-12</t>
        </is>
      </c>
    </row>
    <row r="51574">
      <c r="A51574" s="1" t="n">
        <v>51573</v>
      </c>
      <c r="B51574">
        <f>TEXT(51573, "[$-0E0000]yyyy-mm-dd")</f>
        <v/>
      </c>
      <c r="C51574" t="inlineStr">
        <is>
          <t>2041-02-13</t>
        </is>
      </c>
    </row>
    <row r="51575">
      <c r="A51575" s="1" t="n">
        <v>51574</v>
      </c>
      <c r="B51575">
        <f>TEXT(51574, "[$-0E0000]yyyy-mm-dd")</f>
        <v/>
      </c>
      <c r="C51575" t="inlineStr">
        <is>
          <t>2041-02-14</t>
        </is>
      </c>
    </row>
    <row r="51576">
      <c r="A51576" s="1" t="n">
        <v>51575</v>
      </c>
      <c r="B51576">
        <f>TEXT(51575, "[$-0E0000]yyyy-mm-dd")</f>
        <v/>
      </c>
      <c r="C51576" t="inlineStr">
        <is>
          <t>2041-02-15</t>
        </is>
      </c>
    </row>
    <row r="51577">
      <c r="A51577" s="1" t="n">
        <v>51576</v>
      </c>
      <c r="B51577">
        <f>TEXT(51576, "[$-0E0000]yyyy-mm-dd")</f>
        <v/>
      </c>
      <c r="C51577" t="inlineStr">
        <is>
          <t>2041-02-16</t>
        </is>
      </c>
    </row>
    <row r="51578">
      <c r="A51578" s="1" t="n">
        <v>51577</v>
      </c>
      <c r="B51578">
        <f>TEXT(51577, "[$-0E0000]yyyy-mm-dd")</f>
        <v/>
      </c>
      <c r="C51578" t="inlineStr">
        <is>
          <t>2041-02-17</t>
        </is>
      </c>
    </row>
    <row r="51579">
      <c r="A51579" s="1" t="n">
        <v>51578</v>
      </c>
      <c r="B51579">
        <f>TEXT(51578, "[$-0E0000]yyyy-mm-dd")</f>
        <v/>
      </c>
      <c r="C51579" t="inlineStr">
        <is>
          <t>2041-02-18</t>
        </is>
      </c>
    </row>
    <row r="51580">
      <c r="A51580" s="1" t="n">
        <v>51579</v>
      </c>
      <c r="B51580">
        <f>TEXT(51579, "[$-0E0000]yyyy-mm-dd")</f>
        <v/>
      </c>
      <c r="C51580" t="inlineStr">
        <is>
          <t>2041-02-19</t>
        </is>
      </c>
    </row>
    <row r="51581">
      <c r="A51581" s="1" t="n">
        <v>51580</v>
      </c>
      <c r="B51581">
        <f>TEXT(51580, "[$-0E0000]yyyy-mm-dd")</f>
        <v/>
      </c>
      <c r="C51581" t="inlineStr">
        <is>
          <t>2041-02-20</t>
        </is>
      </c>
    </row>
    <row r="51582">
      <c r="A51582" s="1" t="n">
        <v>51581</v>
      </c>
      <c r="B51582">
        <f>TEXT(51581, "[$-0E0000]yyyy-mm-dd")</f>
        <v/>
      </c>
      <c r="C51582" t="inlineStr">
        <is>
          <t>2041-02-21</t>
        </is>
      </c>
    </row>
    <row r="51583">
      <c r="A51583" s="1" t="n">
        <v>51582</v>
      </c>
      <c r="B51583">
        <f>TEXT(51582, "[$-0E0000]yyyy-mm-dd")</f>
        <v/>
      </c>
      <c r="C51583" t="inlineStr">
        <is>
          <t>2041-02-22</t>
        </is>
      </c>
    </row>
    <row r="51584">
      <c r="A51584" s="1" t="n">
        <v>51583</v>
      </c>
      <c r="B51584">
        <f>TEXT(51583, "[$-0E0000]yyyy-mm-dd")</f>
        <v/>
      </c>
      <c r="C51584" t="inlineStr">
        <is>
          <t>2041-02-23</t>
        </is>
      </c>
    </row>
    <row r="51585">
      <c r="A51585" s="1" t="n">
        <v>51584</v>
      </c>
      <c r="B51585">
        <f>TEXT(51584, "[$-0E0000]yyyy-mm-dd")</f>
        <v/>
      </c>
      <c r="C51585" t="inlineStr">
        <is>
          <t>2041-02-24</t>
        </is>
      </c>
    </row>
    <row r="51586">
      <c r="A51586" s="1" t="n">
        <v>51585</v>
      </c>
      <c r="B51586">
        <f>TEXT(51585, "[$-0E0000]yyyy-mm-dd")</f>
        <v/>
      </c>
      <c r="C51586" t="inlineStr">
        <is>
          <t>2041-02-25</t>
        </is>
      </c>
    </row>
    <row r="51587">
      <c r="A51587" s="1" t="n">
        <v>51586</v>
      </c>
      <c r="B51587">
        <f>TEXT(51586, "[$-0E0000]yyyy-mm-dd")</f>
        <v/>
      </c>
      <c r="C51587" t="inlineStr">
        <is>
          <t>2041-02-26</t>
        </is>
      </c>
    </row>
    <row r="51588">
      <c r="A51588" s="1" t="n">
        <v>51587</v>
      </c>
      <c r="B51588">
        <f>TEXT(51587, "[$-0E0000]yyyy-mm-dd")</f>
        <v/>
      </c>
      <c r="C51588" t="inlineStr">
        <is>
          <t>2041-02-27</t>
        </is>
      </c>
    </row>
    <row r="51589">
      <c r="A51589" s="1" t="n">
        <v>51588</v>
      </c>
      <c r="B51589">
        <f>TEXT(51588, "[$-0E0000]yyyy-mm-dd")</f>
        <v/>
      </c>
      <c r="C51589" t="inlineStr">
        <is>
          <t>2041-02-28</t>
        </is>
      </c>
    </row>
    <row r="51590">
      <c r="A51590" s="1" t="n">
        <v>51589</v>
      </c>
      <c r="B51590">
        <f>TEXT(51589, "[$-0E0000]yyyy-mm-dd")</f>
        <v/>
      </c>
      <c r="C51590" t="inlineStr">
        <is>
          <t>2041-02-29</t>
        </is>
      </c>
    </row>
    <row r="51591">
      <c r="A51591" s="1" t="n">
        <v>51590</v>
      </c>
      <c r="B51591">
        <f>TEXT(51590, "[$-0E0000]yyyy-mm-dd")</f>
        <v/>
      </c>
      <c r="C51591" t="inlineStr">
        <is>
          <t>2041-02-30</t>
        </is>
      </c>
    </row>
    <row r="51592">
      <c r="A51592" s="1" t="n">
        <v>51591</v>
      </c>
      <c r="B51592">
        <f>TEXT(51591, "[$-0E0000]yyyy-mm-dd")</f>
        <v/>
      </c>
      <c r="C51592" t="inlineStr">
        <is>
          <t>2041-03-01</t>
        </is>
      </c>
    </row>
    <row r="51593">
      <c r="A51593" s="1" t="n">
        <v>51592</v>
      </c>
      <c r="B51593">
        <f>TEXT(51592, "[$-0E0000]yyyy-mm-dd")</f>
        <v/>
      </c>
      <c r="C51593" t="inlineStr">
        <is>
          <t>2041-03-02</t>
        </is>
      </c>
    </row>
    <row r="51594">
      <c r="A51594" s="1" t="n">
        <v>51593</v>
      </c>
      <c r="B51594">
        <f>TEXT(51593, "[$-0E0000]yyyy-mm-dd")</f>
        <v/>
      </c>
      <c r="C51594" t="inlineStr">
        <is>
          <t>2041-03-03</t>
        </is>
      </c>
    </row>
    <row r="51595">
      <c r="A51595" s="1" t="n">
        <v>51594</v>
      </c>
      <c r="B51595">
        <f>TEXT(51594, "[$-0E0000]yyyy-mm-dd")</f>
        <v/>
      </c>
      <c r="C51595" t="inlineStr">
        <is>
          <t>2041-03-04</t>
        </is>
      </c>
    </row>
    <row r="51596">
      <c r="A51596" s="1" t="n">
        <v>51595</v>
      </c>
      <c r="B51596">
        <f>TEXT(51595, "[$-0E0000]yyyy-mm-dd")</f>
        <v/>
      </c>
      <c r="C51596" t="inlineStr">
        <is>
          <t>2041-03-05</t>
        </is>
      </c>
    </row>
    <row r="51597">
      <c r="A51597" s="1" t="n">
        <v>51596</v>
      </c>
      <c r="B51597">
        <f>TEXT(51596, "[$-0E0000]yyyy-mm-dd")</f>
        <v/>
      </c>
      <c r="C51597" t="inlineStr">
        <is>
          <t>2041-03-06</t>
        </is>
      </c>
    </row>
    <row r="51598">
      <c r="A51598" s="1" t="n">
        <v>51597</v>
      </c>
      <c r="B51598">
        <f>TEXT(51597, "[$-0E0000]yyyy-mm-dd")</f>
        <v/>
      </c>
      <c r="C51598" t="inlineStr">
        <is>
          <t>2041-03-07</t>
        </is>
      </c>
    </row>
    <row r="51599">
      <c r="A51599" s="1" t="n">
        <v>51598</v>
      </c>
      <c r="B51599">
        <f>TEXT(51598, "[$-0E0000]yyyy-mm-dd")</f>
        <v/>
      </c>
      <c r="C51599" t="inlineStr">
        <is>
          <t>2041-03-08</t>
        </is>
      </c>
    </row>
    <row r="51600">
      <c r="A51600" s="1" t="n">
        <v>51599</v>
      </c>
      <c r="B51600">
        <f>TEXT(51599, "[$-0E0000]yyyy-mm-dd")</f>
        <v/>
      </c>
      <c r="C51600" t="inlineStr">
        <is>
          <t>2041-03-09</t>
        </is>
      </c>
    </row>
    <row r="51601">
      <c r="A51601" s="1" t="n">
        <v>51600</v>
      </c>
      <c r="B51601">
        <f>TEXT(51600, "[$-0E0000]yyyy-mm-dd")</f>
        <v/>
      </c>
      <c r="C51601" t="inlineStr">
        <is>
          <t>2041-03-10</t>
        </is>
      </c>
    </row>
    <row r="51602">
      <c r="A51602" s="1" t="n">
        <v>51601</v>
      </c>
      <c r="B51602">
        <f>TEXT(51601, "[$-0E0000]yyyy-mm-dd")</f>
        <v/>
      </c>
      <c r="C51602" t="inlineStr">
        <is>
          <t>2041-03-11</t>
        </is>
      </c>
    </row>
    <row r="51603">
      <c r="A51603" s="1" t="n">
        <v>51602</v>
      </c>
      <c r="B51603">
        <f>TEXT(51602, "[$-0E0000]yyyy-mm-dd")</f>
        <v/>
      </c>
      <c r="C51603" t="inlineStr">
        <is>
          <t>2041-03-12</t>
        </is>
      </c>
    </row>
    <row r="51604">
      <c r="A51604" s="1" t="n">
        <v>51603</v>
      </c>
      <c r="B51604">
        <f>TEXT(51603, "[$-0E0000]yyyy-mm-dd")</f>
        <v/>
      </c>
      <c r="C51604" t="inlineStr">
        <is>
          <t>2041-03-13</t>
        </is>
      </c>
    </row>
    <row r="51605">
      <c r="A51605" s="1" t="n">
        <v>51604</v>
      </c>
      <c r="B51605">
        <f>TEXT(51604, "[$-0E0000]yyyy-mm-dd")</f>
        <v/>
      </c>
      <c r="C51605" t="inlineStr">
        <is>
          <t>2041-03-14</t>
        </is>
      </c>
    </row>
    <row r="51606">
      <c r="A51606" s="1" t="n">
        <v>51605</v>
      </c>
      <c r="B51606">
        <f>TEXT(51605, "[$-0E0000]yyyy-mm-dd")</f>
        <v/>
      </c>
      <c r="C51606" t="inlineStr">
        <is>
          <t>2041-03-15</t>
        </is>
      </c>
    </row>
    <row r="51607">
      <c r="A51607" s="1" t="n">
        <v>51606</v>
      </c>
      <c r="B51607">
        <f>TEXT(51606, "[$-0E0000]yyyy-mm-dd")</f>
        <v/>
      </c>
      <c r="C51607" t="inlineStr">
        <is>
          <t>2041-03-16</t>
        </is>
      </c>
    </row>
    <row r="51608">
      <c r="A51608" s="1" t="n">
        <v>51607</v>
      </c>
      <c r="B51608">
        <f>TEXT(51607, "[$-0E0000]yyyy-mm-dd")</f>
        <v/>
      </c>
      <c r="C51608" t="inlineStr">
        <is>
          <t>2041-03-17</t>
        </is>
      </c>
    </row>
    <row r="51609">
      <c r="A51609" s="1" t="n">
        <v>51608</v>
      </c>
      <c r="B51609">
        <f>TEXT(51608, "[$-0E0000]yyyy-mm-dd")</f>
        <v/>
      </c>
      <c r="C51609" t="inlineStr">
        <is>
          <t>2041-03-18</t>
        </is>
      </c>
    </row>
    <row r="51610">
      <c r="A51610" s="1" t="n">
        <v>51609</v>
      </c>
      <c r="B51610">
        <f>TEXT(51609, "[$-0E0000]yyyy-mm-dd")</f>
        <v/>
      </c>
      <c r="C51610" t="inlineStr">
        <is>
          <t>2041-03-19</t>
        </is>
      </c>
    </row>
    <row r="51611">
      <c r="A51611" s="1" t="n">
        <v>51610</v>
      </c>
      <c r="B51611">
        <f>TEXT(51610, "[$-0E0000]yyyy-mm-dd")</f>
        <v/>
      </c>
      <c r="C51611" t="inlineStr">
        <is>
          <t>2041-03-20</t>
        </is>
      </c>
    </row>
    <row r="51612">
      <c r="A51612" s="1" t="n">
        <v>51611</v>
      </c>
      <c r="B51612">
        <f>TEXT(51611, "[$-0E0000]yyyy-mm-dd")</f>
        <v/>
      </c>
      <c r="C51612" t="inlineStr">
        <is>
          <t>2041-03-21</t>
        </is>
      </c>
    </row>
    <row r="51613">
      <c r="A51613" s="1" t="n">
        <v>51612</v>
      </c>
      <c r="B51613">
        <f>TEXT(51612, "[$-0E0000]yyyy-mm-dd")</f>
        <v/>
      </c>
      <c r="C51613" t="inlineStr">
        <is>
          <t>2041-03-22</t>
        </is>
      </c>
    </row>
    <row r="51614">
      <c r="A51614" s="1" t="n">
        <v>51613</v>
      </c>
      <c r="B51614">
        <f>TEXT(51613, "[$-0E0000]yyyy-mm-dd")</f>
        <v/>
      </c>
      <c r="C51614" t="inlineStr">
        <is>
          <t>2041-03-23</t>
        </is>
      </c>
    </row>
    <row r="51615">
      <c r="A51615" s="1" t="n">
        <v>51614</v>
      </c>
      <c r="B51615">
        <f>TEXT(51614, "[$-0E0000]yyyy-mm-dd")</f>
        <v/>
      </c>
      <c r="C51615" t="inlineStr">
        <is>
          <t>2041-03-24</t>
        </is>
      </c>
    </row>
    <row r="51616">
      <c r="A51616" s="1" t="n">
        <v>51615</v>
      </c>
      <c r="B51616">
        <f>TEXT(51615, "[$-0E0000]yyyy-mm-dd")</f>
        <v/>
      </c>
      <c r="C51616" t="inlineStr">
        <is>
          <t>2041-03-25</t>
        </is>
      </c>
    </row>
    <row r="51617">
      <c r="A51617" s="1" t="n">
        <v>51616</v>
      </c>
      <c r="B51617">
        <f>TEXT(51616, "[$-0E0000]yyyy-mm-dd")</f>
        <v/>
      </c>
      <c r="C51617" t="inlineStr">
        <is>
          <t>2041-03-26</t>
        </is>
      </c>
    </row>
    <row r="51618">
      <c r="A51618" s="1" t="n">
        <v>51617</v>
      </c>
      <c r="B51618">
        <f>TEXT(51617, "[$-0E0000]yyyy-mm-dd")</f>
        <v/>
      </c>
      <c r="C51618" t="inlineStr">
        <is>
          <t>2041-03-27</t>
        </is>
      </c>
    </row>
    <row r="51619">
      <c r="A51619" s="1" t="n">
        <v>51618</v>
      </c>
      <c r="B51619">
        <f>TEXT(51618, "[$-0E0000]yyyy-mm-dd")</f>
        <v/>
      </c>
      <c r="C51619" t="inlineStr">
        <is>
          <t>2041-03-28</t>
        </is>
      </c>
    </row>
    <row r="51620">
      <c r="A51620" s="1" t="n">
        <v>51619</v>
      </c>
      <c r="B51620">
        <f>TEXT(51619, "[$-0E0000]yyyy-mm-dd")</f>
        <v/>
      </c>
      <c r="C51620" t="inlineStr">
        <is>
          <t>2041-03-29</t>
        </is>
      </c>
    </row>
    <row r="51621">
      <c r="A51621" s="1" t="n">
        <v>51620</v>
      </c>
      <c r="B51621">
        <f>TEXT(51620, "[$-0E0000]yyyy-mm-dd")</f>
        <v/>
      </c>
      <c r="C51621" t="inlineStr">
        <is>
          <t>2041-04-01</t>
        </is>
      </c>
    </row>
    <row r="51622">
      <c r="A51622" s="1" t="n">
        <v>51621</v>
      </c>
      <c r="B51622">
        <f>TEXT(51621, "[$-0E0000]yyyy-mm-dd")</f>
        <v/>
      </c>
      <c r="C51622" t="inlineStr">
        <is>
          <t>2041-04-02</t>
        </is>
      </c>
    </row>
    <row r="51623">
      <c r="A51623" s="1" t="n">
        <v>51622</v>
      </c>
      <c r="B51623">
        <f>TEXT(51622, "[$-0E0000]yyyy-mm-dd")</f>
        <v/>
      </c>
      <c r="C51623" t="inlineStr">
        <is>
          <t>2041-04-03</t>
        </is>
      </c>
    </row>
    <row r="51624">
      <c r="A51624" s="1" t="n">
        <v>51623</v>
      </c>
      <c r="B51624">
        <f>TEXT(51623, "[$-0E0000]yyyy-mm-dd")</f>
        <v/>
      </c>
      <c r="C51624" t="inlineStr">
        <is>
          <t>2041-04-04</t>
        </is>
      </c>
    </row>
    <row r="51625">
      <c r="A51625" s="1" t="n">
        <v>51624</v>
      </c>
      <c r="B51625">
        <f>TEXT(51624, "[$-0E0000]yyyy-mm-dd")</f>
        <v/>
      </c>
      <c r="C51625" t="inlineStr">
        <is>
          <t>2041-04-05</t>
        </is>
      </c>
    </row>
    <row r="51626">
      <c r="A51626" s="1" t="n">
        <v>51625</v>
      </c>
      <c r="B51626">
        <f>TEXT(51625, "[$-0E0000]yyyy-mm-dd")</f>
        <v/>
      </c>
      <c r="C51626" t="inlineStr">
        <is>
          <t>2041-04-06</t>
        </is>
      </c>
    </row>
    <row r="51627">
      <c r="A51627" s="1" t="n">
        <v>51626</v>
      </c>
      <c r="B51627">
        <f>TEXT(51626, "[$-0E0000]yyyy-mm-dd")</f>
        <v/>
      </c>
      <c r="C51627" t="inlineStr">
        <is>
          <t>2041-04-07</t>
        </is>
      </c>
    </row>
    <row r="51628">
      <c r="A51628" s="1" t="n">
        <v>51627</v>
      </c>
      <c r="B51628">
        <f>TEXT(51627, "[$-0E0000]yyyy-mm-dd")</f>
        <v/>
      </c>
      <c r="C51628" t="inlineStr">
        <is>
          <t>2041-04-08</t>
        </is>
      </c>
    </row>
    <row r="51629">
      <c r="A51629" s="1" t="n">
        <v>51628</v>
      </c>
      <c r="B51629">
        <f>TEXT(51628, "[$-0E0000]yyyy-mm-dd")</f>
        <v/>
      </c>
      <c r="C51629" t="inlineStr">
        <is>
          <t>2041-04-09</t>
        </is>
      </c>
    </row>
    <row r="51630">
      <c r="A51630" s="1" t="n">
        <v>51629</v>
      </c>
      <c r="B51630">
        <f>TEXT(51629, "[$-0E0000]yyyy-mm-dd")</f>
        <v/>
      </c>
      <c r="C51630" t="inlineStr">
        <is>
          <t>2041-04-10</t>
        </is>
      </c>
    </row>
    <row r="51631">
      <c r="A51631" s="1" t="n">
        <v>51630</v>
      </c>
      <c r="B51631">
        <f>TEXT(51630, "[$-0E0000]yyyy-mm-dd")</f>
        <v/>
      </c>
      <c r="C51631" t="inlineStr">
        <is>
          <t>2041-04-11</t>
        </is>
      </c>
    </row>
    <row r="51632">
      <c r="A51632" s="1" t="n">
        <v>51631</v>
      </c>
      <c r="B51632">
        <f>TEXT(51631, "[$-0E0000]yyyy-mm-dd")</f>
        <v/>
      </c>
      <c r="C51632" t="inlineStr">
        <is>
          <t>2041-04-12</t>
        </is>
      </c>
    </row>
    <row r="51633">
      <c r="A51633" s="1" t="n">
        <v>51632</v>
      </c>
      <c r="B51633">
        <f>TEXT(51632, "[$-0E0000]yyyy-mm-dd")</f>
        <v/>
      </c>
      <c r="C51633" t="inlineStr">
        <is>
          <t>2041-04-13</t>
        </is>
      </c>
    </row>
    <row r="51634">
      <c r="A51634" s="1" t="n">
        <v>51633</v>
      </c>
      <c r="B51634">
        <f>TEXT(51633, "[$-0E0000]yyyy-mm-dd")</f>
        <v/>
      </c>
      <c r="C51634" t="inlineStr">
        <is>
          <t>2041-04-14</t>
        </is>
      </c>
    </row>
    <row r="51635">
      <c r="A51635" s="1" t="n">
        <v>51634</v>
      </c>
      <c r="B51635">
        <f>TEXT(51634, "[$-0E0000]yyyy-mm-dd")</f>
        <v/>
      </c>
      <c r="C51635" t="inlineStr">
        <is>
          <t>2041-04-15</t>
        </is>
      </c>
    </row>
    <row r="51636">
      <c r="A51636" s="1" t="n">
        <v>51635</v>
      </c>
      <c r="B51636">
        <f>TEXT(51635, "[$-0E0000]yyyy-mm-dd")</f>
        <v/>
      </c>
      <c r="C51636" t="inlineStr">
        <is>
          <t>2041-04-16</t>
        </is>
      </c>
    </row>
    <row r="51637">
      <c r="A51637" s="1" t="n">
        <v>51636</v>
      </c>
      <c r="B51637">
        <f>TEXT(51636, "[$-0E0000]yyyy-mm-dd")</f>
        <v/>
      </c>
      <c r="C51637" t="inlineStr">
        <is>
          <t>2041-04-17</t>
        </is>
      </c>
    </row>
    <row r="51638">
      <c r="A51638" s="1" t="n">
        <v>51637</v>
      </c>
      <c r="B51638">
        <f>TEXT(51637, "[$-0E0000]yyyy-mm-dd")</f>
        <v/>
      </c>
      <c r="C51638" t="inlineStr">
        <is>
          <t>2041-04-18</t>
        </is>
      </c>
    </row>
    <row r="51639">
      <c r="A51639" s="1" t="n">
        <v>51638</v>
      </c>
      <c r="B51639">
        <f>TEXT(51638, "[$-0E0000]yyyy-mm-dd")</f>
        <v/>
      </c>
      <c r="C51639" t="inlineStr">
        <is>
          <t>2041-04-19</t>
        </is>
      </c>
    </row>
    <row r="51640">
      <c r="A51640" s="1" t="n">
        <v>51639</v>
      </c>
      <c r="B51640">
        <f>TEXT(51639, "[$-0E0000]yyyy-mm-dd")</f>
        <v/>
      </c>
      <c r="C51640" t="inlineStr">
        <is>
          <t>2041-04-20</t>
        </is>
      </c>
    </row>
    <row r="51641">
      <c r="A51641" s="1" t="n">
        <v>51640</v>
      </c>
      <c r="B51641">
        <f>TEXT(51640, "[$-0E0000]yyyy-mm-dd")</f>
        <v/>
      </c>
      <c r="C51641" t="inlineStr">
        <is>
          <t>2041-04-21</t>
        </is>
      </c>
    </row>
    <row r="51642">
      <c r="A51642" s="1" t="n">
        <v>51641</v>
      </c>
      <c r="B51642">
        <f>TEXT(51641, "[$-0E0000]yyyy-mm-dd")</f>
        <v/>
      </c>
      <c r="C51642" t="inlineStr">
        <is>
          <t>2041-04-22</t>
        </is>
      </c>
    </row>
    <row r="51643">
      <c r="A51643" s="1" t="n">
        <v>51642</v>
      </c>
      <c r="B51643">
        <f>TEXT(51642, "[$-0E0000]yyyy-mm-dd")</f>
        <v/>
      </c>
      <c r="C51643" t="inlineStr">
        <is>
          <t>2041-04-23</t>
        </is>
      </c>
    </row>
    <row r="51644">
      <c r="A51644" s="1" t="n">
        <v>51643</v>
      </c>
      <c r="B51644">
        <f>TEXT(51643, "[$-0E0000]yyyy-mm-dd")</f>
        <v/>
      </c>
      <c r="C51644" t="inlineStr">
        <is>
          <t>2041-04-24</t>
        </is>
      </c>
    </row>
    <row r="51645">
      <c r="A51645" s="1" t="n">
        <v>51644</v>
      </c>
      <c r="B51645">
        <f>TEXT(51644, "[$-0E0000]yyyy-mm-dd")</f>
        <v/>
      </c>
      <c r="C51645" t="inlineStr">
        <is>
          <t>2041-04-25</t>
        </is>
      </c>
    </row>
    <row r="51646">
      <c r="A51646" s="1" t="n">
        <v>51645</v>
      </c>
      <c r="B51646">
        <f>TEXT(51645, "[$-0E0000]yyyy-mm-dd")</f>
        <v/>
      </c>
      <c r="C51646" t="inlineStr">
        <is>
          <t>2041-04-26</t>
        </is>
      </c>
    </row>
    <row r="51647">
      <c r="A51647" s="1" t="n">
        <v>51646</v>
      </c>
      <c r="B51647">
        <f>TEXT(51646, "[$-0E0000]yyyy-mm-dd")</f>
        <v/>
      </c>
      <c r="C51647" t="inlineStr">
        <is>
          <t>2041-04-27</t>
        </is>
      </c>
    </row>
    <row r="51648">
      <c r="A51648" s="1" t="n">
        <v>51647</v>
      </c>
      <c r="B51648">
        <f>TEXT(51647, "[$-0E0000]yyyy-mm-dd")</f>
        <v/>
      </c>
      <c r="C51648" t="inlineStr">
        <is>
          <t>2041-04-28</t>
        </is>
      </c>
    </row>
    <row r="51649">
      <c r="A51649" s="1" t="n">
        <v>51648</v>
      </c>
      <c r="B51649">
        <f>TEXT(51648, "[$-0E0000]yyyy-mm-dd")</f>
        <v/>
      </c>
      <c r="C51649" t="inlineStr">
        <is>
          <t>2041-04-29</t>
        </is>
      </c>
    </row>
    <row r="51650">
      <c r="A51650" s="1" t="n">
        <v>51649</v>
      </c>
      <c r="B51650">
        <f>TEXT(51649, "[$-0E0000]yyyy-mm-dd")</f>
        <v/>
      </c>
      <c r="C51650" t="inlineStr">
        <is>
          <t>2041-04-30</t>
        </is>
      </c>
    </row>
    <row r="51651">
      <c r="A51651" s="1" t="n">
        <v>51650</v>
      </c>
      <c r="B51651">
        <f>TEXT(51650, "[$-0E0000]yyyy-mm-dd")</f>
        <v/>
      </c>
      <c r="C51651" t="inlineStr">
        <is>
          <t>2041-05-01</t>
        </is>
      </c>
    </row>
    <row r="51652">
      <c r="A51652" s="1" t="n">
        <v>51651</v>
      </c>
      <c r="B51652">
        <f>TEXT(51651, "[$-0E0000]yyyy-mm-dd")</f>
        <v/>
      </c>
      <c r="C51652" t="inlineStr">
        <is>
          <t>2041-05-02</t>
        </is>
      </c>
    </row>
    <row r="51653">
      <c r="A51653" s="1" t="n">
        <v>51652</v>
      </c>
      <c r="B51653">
        <f>TEXT(51652, "[$-0E0000]yyyy-mm-dd")</f>
        <v/>
      </c>
      <c r="C51653" t="inlineStr">
        <is>
          <t>2041-05-03</t>
        </is>
      </c>
    </row>
    <row r="51654">
      <c r="A51654" s="1" t="n">
        <v>51653</v>
      </c>
      <c r="B51654">
        <f>TEXT(51653, "[$-0E0000]yyyy-mm-dd")</f>
        <v/>
      </c>
      <c r="C51654" t="inlineStr">
        <is>
          <t>2041-05-04</t>
        </is>
      </c>
    </row>
    <row r="51655">
      <c r="A51655" s="1" t="n">
        <v>51654</v>
      </c>
      <c r="B51655">
        <f>TEXT(51654, "[$-0E0000]yyyy-mm-dd")</f>
        <v/>
      </c>
      <c r="C51655" t="inlineStr">
        <is>
          <t>2041-05-05</t>
        </is>
      </c>
    </row>
    <row r="51656">
      <c r="A51656" s="1" t="n">
        <v>51655</v>
      </c>
      <c r="B51656">
        <f>TEXT(51655, "[$-0E0000]yyyy-mm-dd")</f>
        <v/>
      </c>
      <c r="C51656" t="inlineStr">
        <is>
          <t>2041-05-06</t>
        </is>
      </c>
    </row>
    <row r="51657">
      <c r="A51657" s="1" t="n">
        <v>51656</v>
      </c>
      <c r="B51657">
        <f>TEXT(51656, "[$-0E0000]yyyy-mm-dd")</f>
        <v/>
      </c>
      <c r="C51657" t="inlineStr">
        <is>
          <t>2041-05-07</t>
        </is>
      </c>
    </row>
    <row r="51658">
      <c r="A51658" s="1" t="n">
        <v>51657</v>
      </c>
      <c r="B51658">
        <f>TEXT(51657, "[$-0E0000]yyyy-mm-dd")</f>
        <v/>
      </c>
      <c r="C51658" t="inlineStr">
        <is>
          <t>2041-05-08</t>
        </is>
      </c>
    </row>
    <row r="51659">
      <c r="A51659" s="1" t="n">
        <v>51658</v>
      </c>
      <c r="B51659">
        <f>TEXT(51658, "[$-0E0000]yyyy-mm-dd")</f>
        <v/>
      </c>
      <c r="C51659" t="inlineStr">
        <is>
          <t>2041-05-09</t>
        </is>
      </c>
    </row>
    <row r="51660">
      <c r="A51660" s="1" t="n">
        <v>51659</v>
      </c>
      <c r="B51660">
        <f>TEXT(51659, "[$-0E0000]yyyy-mm-dd")</f>
        <v/>
      </c>
      <c r="C51660" t="inlineStr">
        <is>
          <t>2041-05-10</t>
        </is>
      </c>
    </row>
    <row r="51661">
      <c r="A51661" s="1" t="n">
        <v>51660</v>
      </c>
      <c r="B51661">
        <f>TEXT(51660, "[$-0E0000]yyyy-mm-dd")</f>
        <v/>
      </c>
      <c r="C51661" t="inlineStr">
        <is>
          <t>2041-05-11</t>
        </is>
      </c>
    </row>
    <row r="51662">
      <c r="A51662" s="1" t="n">
        <v>51661</v>
      </c>
      <c r="B51662">
        <f>TEXT(51661, "[$-0E0000]yyyy-mm-dd")</f>
        <v/>
      </c>
      <c r="C51662" t="inlineStr">
        <is>
          <t>2041-05-12</t>
        </is>
      </c>
    </row>
    <row r="51663">
      <c r="A51663" s="1" t="n">
        <v>51662</v>
      </c>
      <c r="B51663">
        <f>TEXT(51662, "[$-0E0000]yyyy-mm-dd")</f>
        <v/>
      </c>
      <c r="C51663" t="inlineStr">
        <is>
          <t>2041-05-13</t>
        </is>
      </c>
    </row>
    <row r="51664">
      <c r="A51664" s="1" t="n">
        <v>51663</v>
      </c>
      <c r="B51664">
        <f>TEXT(51663, "[$-0E0000]yyyy-mm-dd")</f>
        <v/>
      </c>
      <c r="C51664" t="inlineStr">
        <is>
          <t>2041-05-14</t>
        </is>
      </c>
    </row>
    <row r="51665">
      <c r="A51665" s="1" t="n">
        <v>51664</v>
      </c>
      <c r="B51665">
        <f>TEXT(51664, "[$-0E0000]yyyy-mm-dd")</f>
        <v/>
      </c>
      <c r="C51665" t="inlineStr">
        <is>
          <t>2041-05-15</t>
        </is>
      </c>
    </row>
    <row r="51666">
      <c r="A51666" s="1" t="n">
        <v>51665</v>
      </c>
      <c r="B51666">
        <f>TEXT(51665, "[$-0E0000]yyyy-mm-dd")</f>
        <v/>
      </c>
      <c r="C51666" t="inlineStr">
        <is>
          <t>2041-05-16</t>
        </is>
      </c>
    </row>
    <row r="51667">
      <c r="A51667" s="1" t="n">
        <v>51666</v>
      </c>
      <c r="B51667">
        <f>TEXT(51666, "[$-0E0000]yyyy-mm-dd")</f>
        <v/>
      </c>
      <c r="C51667" t="inlineStr">
        <is>
          <t>2041-05-17</t>
        </is>
      </c>
    </row>
    <row r="51668">
      <c r="A51668" s="1" t="n">
        <v>51667</v>
      </c>
      <c r="B51668">
        <f>TEXT(51667, "[$-0E0000]yyyy-mm-dd")</f>
        <v/>
      </c>
      <c r="C51668" t="inlineStr">
        <is>
          <t>2041-05-18</t>
        </is>
      </c>
    </row>
    <row r="51669">
      <c r="A51669" s="1" t="n">
        <v>51668</v>
      </c>
      <c r="B51669">
        <f>TEXT(51668, "[$-0E0000]yyyy-mm-dd")</f>
        <v/>
      </c>
      <c r="C51669" t="inlineStr">
        <is>
          <t>2041-05-19</t>
        </is>
      </c>
    </row>
    <row r="51670">
      <c r="A51670" s="1" t="n">
        <v>51669</v>
      </c>
      <c r="B51670">
        <f>TEXT(51669, "[$-0E0000]yyyy-mm-dd")</f>
        <v/>
      </c>
      <c r="C51670" t="inlineStr">
        <is>
          <t>2041-05-20</t>
        </is>
      </c>
    </row>
    <row r="51671">
      <c r="A51671" s="1" t="n">
        <v>51670</v>
      </c>
      <c r="B51671">
        <f>TEXT(51670, "[$-0E0000]yyyy-mm-dd")</f>
        <v/>
      </c>
      <c r="C51671" t="inlineStr">
        <is>
          <t>2041-05-21</t>
        </is>
      </c>
    </row>
    <row r="51672">
      <c r="A51672" s="1" t="n">
        <v>51671</v>
      </c>
      <c r="B51672">
        <f>TEXT(51671, "[$-0E0000]yyyy-mm-dd")</f>
        <v/>
      </c>
      <c r="C51672" t="inlineStr">
        <is>
          <t>2041-05-22</t>
        </is>
      </c>
    </row>
    <row r="51673">
      <c r="A51673" s="1" t="n">
        <v>51672</v>
      </c>
      <c r="B51673">
        <f>TEXT(51672, "[$-0E0000]yyyy-mm-dd")</f>
        <v/>
      </c>
      <c r="C51673" t="inlineStr">
        <is>
          <t>2041-05-23</t>
        </is>
      </c>
    </row>
    <row r="51674">
      <c r="A51674" s="1" t="n">
        <v>51673</v>
      </c>
      <c r="B51674">
        <f>TEXT(51673, "[$-0E0000]yyyy-mm-dd")</f>
        <v/>
      </c>
      <c r="C51674" t="inlineStr">
        <is>
          <t>2041-05-24</t>
        </is>
      </c>
    </row>
    <row r="51675">
      <c r="A51675" s="1" t="n">
        <v>51674</v>
      </c>
      <c r="B51675">
        <f>TEXT(51674, "[$-0E0000]yyyy-mm-dd")</f>
        <v/>
      </c>
      <c r="C51675" t="inlineStr">
        <is>
          <t>2041-05-25</t>
        </is>
      </c>
    </row>
    <row r="51676">
      <c r="A51676" s="1" t="n">
        <v>51675</v>
      </c>
      <c r="B51676">
        <f>TEXT(51675, "[$-0E0000]yyyy-mm-dd")</f>
        <v/>
      </c>
      <c r="C51676" t="inlineStr">
        <is>
          <t>2041-05-26</t>
        </is>
      </c>
    </row>
    <row r="51677">
      <c r="A51677" s="1" t="n">
        <v>51676</v>
      </c>
      <c r="B51677">
        <f>TEXT(51676, "[$-0E0000]yyyy-mm-dd")</f>
        <v/>
      </c>
      <c r="C51677" t="inlineStr">
        <is>
          <t>2041-05-27</t>
        </is>
      </c>
    </row>
    <row r="51678">
      <c r="A51678" s="1" t="n">
        <v>51677</v>
      </c>
      <c r="B51678">
        <f>TEXT(51677, "[$-0E0000]yyyy-mm-dd")</f>
        <v/>
      </c>
      <c r="C51678" t="inlineStr">
        <is>
          <t>2041-05-28</t>
        </is>
      </c>
    </row>
    <row r="51679">
      <c r="A51679" s="1" t="n">
        <v>51678</v>
      </c>
      <c r="B51679">
        <f>TEXT(51678, "[$-0E0000]yyyy-mm-dd")</f>
        <v/>
      </c>
      <c r="C51679" t="inlineStr">
        <is>
          <t>2041-05-29</t>
        </is>
      </c>
    </row>
    <row r="51680">
      <c r="A51680" s="1" t="n">
        <v>51679</v>
      </c>
      <c r="B51680">
        <f>TEXT(51679, "[$-0E0000]yyyy-mm-dd")</f>
        <v/>
      </c>
      <c r="C51680" t="inlineStr">
        <is>
          <t>2041-06-01</t>
        </is>
      </c>
    </row>
    <row r="51681">
      <c r="A51681" s="1" t="n">
        <v>51680</v>
      </c>
      <c r="B51681">
        <f>TEXT(51680, "[$-0E0000]yyyy-mm-dd")</f>
        <v/>
      </c>
      <c r="C51681" t="inlineStr">
        <is>
          <t>2041-06-02</t>
        </is>
      </c>
    </row>
    <row r="51682">
      <c r="A51682" s="1" t="n">
        <v>51681</v>
      </c>
      <c r="B51682">
        <f>TEXT(51681, "[$-0E0000]yyyy-mm-dd")</f>
        <v/>
      </c>
      <c r="C51682" t="inlineStr">
        <is>
          <t>2041-06-03</t>
        </is>
      </c>
    </row>
    <row r="51683">
      <c r="A51683" s="1" t="n">
        <v>51682</v>
      </c>
      <c r="B51683">
        <f>TEXT(51682, "[$-0E0000]yyyy-mm-dd")</f>
        <v/>
      </c>
      <c r="C51683" t="inlineStr">
        <is>
          <t>2041-06-04</t>
        </is>
      </c>
    </row>
    <row r="51684">
      <c r="A51684" s="1" t="n">
        <v>51683</v>
      </c>
      <c r="B51684">
        <f>TEXT(51683, "[$-0E0000]yyyy-mm-dd")</f>
        <v/>
      </c>
      <c r="C51684" t="inlineStr">
        <is>
          <t>2041-06-05</t>
        </is>
      </c>
    </row>
    <row r="51685">
      <c r="A51685" s="1" t="n">
        <v>51684</v>
      </c>
      <c r="B51685">
        <f>TEXT(51684, "[$-0E0000]yyyy-mm-dd")</f>
        <v/>
      </c>
      <c r="C51685" t="inlineStr">
        <is>
          <t>2041-06-06</t>
        </is>
      </c>
    </row>
    <row r="51686">
      <c r="A51686" s="1" t="n">
        <v>51685</v>
      </c>
      <c r="B51686">
        <f>TEXT(51685, "[$-0E0000]yyyy-mm-dd")</f>
        <v/>
      </c>
      <c r="C51686" t="inlineStr">
        <is>
          <t>2041-06-07</t>
        </is>
      </c>
    </row>
    <row r="51687">
      <c r="A51687" s="1" t="n">
        <v>51686</v>
      </c>
      <c r="B51687">
        <f>TEXT(51686, "[$-0E0000]yyyy-mm-dd")</f>
        <v/>
      </c>
      <c r="C51687" t="inlineStr">
        <is>
          <t>2041-06-08</t>
        </is>
      </c>
    </row>
    <row r="51688">
      <c r="A51688" s="1" t="n">
        <v>51687</v>
      </c>
      <c r="B51688">
        <f>TEXT(51687, "[$-0E0000]yyyy-mm-dd")</f>
        <v/>
      </c>
      <c r="C51688" t="inlineStr">
        <is>
          <t>2041-06-09</t>
        </is>
      </c>
    </row>
    <row r="51689">
      <c r="A51689" s="1" t="n">
        <v>51688</v>
      </c>
      <c r="B51689">
        <f>TEXT(51688, "[$-0E0000]yyyy-mm-dd")</f>
        <v/>
      </c>
      <c r="C51689" t="inlineStr">
        <is>
          <t>2041-06-10</t>
        </is>
      </c>
    </row>
    <row r="51690">
      <c r="A51690" s="1" t="n">
        <v>51689</v>
      </c>
      <c r="B51690">
        <f>TEXT(51689, "[$-0E0000]yyyy-mm-dd")</f>
        <v/>
      </c>
      <c r="C51690" t="inlineStr">
        <is>
          <t>2041-06-11</t>
        </is>
      </c>
    </row>
    <row r="51691">
      <c r="A51691" s="1" t="n">
        <v>51690</v>
      </c>
      <c r="B51691">
        <f>TEXT(51690, "[$-0E0000]yyyy-mm-dd")</f>
        <v/>
      </c>
      <c r="C51691" t="inlineStr">
        <is>
          <t>2041-06-12</t>
        </is>
      </c>
    </row>
    <row r="51692">
      <c r="A51692" s="1" t="n">
        <v>51691</v>
      </c>
      <c r="B51692">
        <f>TEXT(51691, "[$-0E0000]yyyy-mm-dd")</f>
        <v/>
      </c>
      <c r="C51692" t="inlineStr">
        <is>
          <t>2041-06-13</t>
        </is>
      </c>
    </row>
    <row r="51693">
      <c r="A51693" s="1" t="n">
        <v>51692</v>
      </c>
      <c r="B51693">
        <f>TEXT(51692, "[$-0E0000]yyyy-mm-dd")</f>
        <v/>
      </c>
      <c r="C51693" t="inlineStr">
        <is>
          <t>2041-06-14</t>
        </is>
      </c>
    </row>
    <row r="51694">
      <c r="A51694" s="1" t="n">
        <v>51693</v>
      </c>
      <c r="B51694">
        <f>TEXT(51693, "[$-0E0000]yyyy-mm-dd")</f>
        <v/>
      </c>
      <c r="C51694" t="inlineStr">
        <is>
          <t>2041-06-15</t>
        </is>
      </c>
    </row>
    <row r="51695">
      <c r="A51695" s="1" t="n">
        <v>51694</v>
      </c>
      <c r="B51695">
        <f>TEXT(51694, "[$-0E0000]yyyy-mm-dd")</f>
        <v/>
      </c>
      <c r="C51695" t="inlineStr">
        <is>
          <t>2041-06-16</t>
        </is>
      </c>
    </row>
    <row r="51696">
      <c r="A51696" s="1" t="n">
        <v>51695</v>
      </c>
      <c r="B51696">
        <f>TEXT(51695, "[$-0E0000]yyyy-mm-dd")</f>
        <v/>
      </c>
      <c r="C51696" t="inlineStr">
        <is>
          <t>2041-06-17</t>
        </is>
      </c>
    </row>
    <row r="51697">
      <c r="A51697" s="1" t="n">
        <v>51696</v>
      </c>
      <c r="B51697">
        <f>TEXT(51696, "[$-0E0000]yyyy-mm-dd")</f>
        <v/>
      </c>
      <c r="C51697" t="inlineStr">
        <is>
          <t>2041-06-18</t>
        </is>
      </c>
    </row>
    <row r="51698">
      <c r="A51698" s="1" t="n">
        <v>51697</v>
      </c>
      <c r="B51698">
        <f>TEXT(51697, "[$-0E0000]yyyy-mm-dd")</f>
        <v/>
      </c>
      <c r="C51698" t="inlineStr">
        <is>
          <t>2041-06-19</t>
        </is>
      </c>
    </row>
    <row r="51699">
      <c r="A51699" s="1" t="n">
        <v>51698</v>
      </c>
      <c r="B51699">
        <f>TEXT(51698, "[$-0E0000]yyyy-mm-dd")</f>
        <v/>
      </c>
      <c r="C51699" t="inlineStr">
        <is>
          <t>2041-06-20</t>
        </is>
      </c>
    </row>
    <row r="51700">
      <c r="A51700" s="1" t="n">
        <v>51699</v>
      </c>
      <c r="B51700">
        <f>TEXT(51699, "[$-0E0000]yyyy-mm-dd")</f>
        <v/>
      </c>
      <c r="C51700" t="inlineStr">
        <is>
          <t>2041-06-21</t>
        </is>
      </c>
    </row>
    <row r="51701">
      <c r="A51701" s="1" t="n">
        <v>51700</v>
      </c>
      <c r="B51701">
        <f>TEXT(51700, "[$-0E0000]yyyy-mm-dd")</f>
        <v/>
      </c>
      <c r="C51701" t="inlineStr">
        <is>
          <t>2041-06-22</t>
        </is>
      </c>
    </row>
    <row r="51702">
      <c r="A51702" s="1" t="n">
        <v>51701</v>
      </c>
      <c r="B51702">
        <f>TEXT(51701, "[$-0E0000]yyyy-mm-dd")</f>
        <v/>
      </c>
      <c r="C51702" t="inlineStr">
        <is>
          <t>2041-06-23</t>
        </is>
      </c>
    </row>
    <row r="51703">
      <c r="A51703" s="1" t="n">
        <v>51702</v>
      </c>
      <c r="B51703">
        <f>TEXT(51702, "[$-0E0000]yyyy-mm-dd")</f>
        <v/>
      </c>
      <c r="C51703" t="inlineStr">
        <is>
          <t>2041-06-24</t>
        </is>
      </c>
    </row>
    <row r="51704">
      <c r="A51704" s="1" t="n">
        <v>51703</v>
      </c>
      <c r="B51704">
        <f>TEXT(51703, "[$-0E0000]yyyy-mm-dd")</f>
        <v/>
      </c>
      <c r="C51704" t="inlineStr">
        <is>
          <t>2041-06-25</t>
        </is>
      </c>
    </row>
    <row r="51705">
      <c r="A51705" s="1" t="n">
        <v>51704</v>
      </c>
      <c r="B51705">
        <f>TEXT(51704, "[$-0E0000]yyyy-mm-dd")</f>
        <v/>
      </c>
      <c r="C51705" t="inlineStr">
        <is>
          <t>2041-06-26</t>
        </is>
      </c>
    </row>
    <row r="51706">
      <c r="A51706" s="1" t="n">
        <v>51705</v>
      </c>
      <c r="B51706">
        <f>TEXT(51705, "[$-0E0000]yyyy-mm-dd")</f>
        <v/>
      </c>
      <c r="C51706" t="inlineStr">
        <is>
          <t>2041-06-27</t>
        </is>
      </c>
    </row>
    <row r="51707">
      <c r="A51707" s="1" t="n">
        <v>51706</v>
      </c>
      <c r="B51707">
        <f>TEXT(51706, "[$-0E0000]yyyy-mm-dd")</f>
        <v/>
      </c>
      <c r="C51707" t="inlineStr">
        <is>
          <t>2041-06-28</t>
        </is>
      </c>
    </row>
    <row r="51708">
      <c r="A51708" s="1" t="n">
        <v>51707</v>
      </c>
      <c r="B51708">
        <f>TEXT(51707, "[$-0E0000]yyyy-mm-dd")</f>
        <v/>
      </c>
      <c r="C51708" t="inlineStr">
        <is>
          <t>2041-06-29</t>
        </is>
      </c>
    </row>
    <row r="51709">
      <c r="A51709" s="1" t="n">
        <v>51708</v>
      </c>
      <c r="B51709">
        <f>TEXT(51708, "[$-0E0000]yyyy-mm-dd")</f>
        <v/>
      </c>
      <c r="C51709" t="inlineStr">
        <is>
          <t>2041-06-30</t>
        </is>
      </c>
    </row>
    <row r="51710">
      <c r="A51710" s="1" t="n">
        <v>51709</v>
      </c>
      <c r="B51710">
        <f>TEXT(51709, "[$-0E0000]yyyy-mm-dd")</f>
        <v/>
      </c>
      <c r="C51710" t="inlineStr">
        <is>
          <t>2041-07-01</t>
        </is>
      </c>
    </row>
    <row r="51711">
      <c r="A51711" s="1" t="n">
        <v>51710</v>
      </c>
      <c r="B51711">
        <f>TEXT(51710, "[$-0E0000]yyyy-mm-dd")</f>
        <v/>
      </c>
      <c r="C51711" t="inlineStr">
        <is>
          <t>2041-07-02</t>
        </is>
      </c>
    </row>
    <row r="51712">
      <c r="A51712" s="1" t="n">
        <v>51711</v>
      </c>
      <c r="B51712">
        <f>TEXT(51711, "[$-0E0000]yyyy-mm-dd")</f>
        <v/>
      </c>
      <c r="C51712" t="inlineStr">
        <is>
          <t>2041-07-03</t>
        </is>
      </c>
    </row>
    <row r="51713">
      <c r="A51713" s="1" t="n">
        <v>51712</v>
      </c>
      <c r="B51713">
        <f>TEXT(51712, "[$-0E0000]yyyy-mm-dd")</f>
        <v/>
      </c>
      <c r="C51713" t="inlineStr">
        <is>
          <t>2041-07-04</t>
        </is>
      </c>
    </row>
    <row r="51714">
      <c r="A51714" s="1" t="n">
        <v>51713</v>
      </c>
      <c r="B51714">
        <f>TEXT(51713, "[$-0E0000]yyyy-mm-dd")</f>
        <v/>
      </c>
      <c r="C51714" t="inlineStr">
        <is>
          <t>2041-07-05</t>
        </is>
      </c>
    </row>
    <row r="51715">
      <c r="A51715" s="1" t="n">
        <v>51714</v>
      </c>
      <c r="B51715">
        <f>TEXT(51714, "[$-0E0000]yyyy-mm-dd")</f>
        <v/>
      </c>
      <c r="C51715" t="inlineStr">
        <is>
          <t>2041-07-06</t>
        </is>
      </c>
    </row>
    <row r="51716">
      <c r="A51716" s="1" t="n">
        <v>51715</v>
      </c>
      <c r="B51716">
        <f>TEXT(51715, "[$-0E0000]yyyy-mm-dd")</f>
        <v/>
      </c>
      <c r="C51716" t="inlineStr">
        <is>
          <t>2041-07-07</t>
        </is>
      </c>
    </row>
    <row r="51717">
      <c r="A51717" s="1" t="n">
        <v>51716</v>
      </c>
      <c r="B51717">
        <f>TEXT(51716, "[$-0E0000]yyyy-mm-dd")</f>
        <v/>
      </c>
      <c r="C51717" t="inlineStr">
        <is>
          <t>2041-07-08</t>
        </is>
      </c>
    </row>
    <row r="51718">
      <c r="A51718" s="1" t="n">
        <v>51717</v>
      </c>
      <c r="B51718">
        <f>TEXT(51717, "[$-0E0000]yyyy-mm-dd")</f>
        <v/>
      </c>
      <c r="C51718" t="inlineStr">
        <is>
          <t>2041-07-09</t>
        </is>
      </c>
    </row>
    <row r="51719">
      <c r="A51719" s="1" t="n">
        <v>51718</v>
      </c>
      <c r="B51719">
        <f>TEXT(51718, "[$-0E0000]yyyy-mm-dd")</f>
        <v/>
      </c>
      <c r="C51719" t="inlineStr">
        <is>
          <t>2041-07-10</t>
        </is>
      </c>
    </row>
    <row r="51720">
      <c r="A51720" s="1" t="n">
        <v>51719</v>
      </c>
      <c r="B51720">
        <f>TEXT(51719, "[$-0E0000]yyyy-mm-dd")</f>
        <v/>
      </c>
      <c r="C51720" t="inlineStr">
        <is>
          <t>2041-07-11</t>
        </is>
      </c>
    </row>
    <row r="51721">
      <c r="A51721" s="1" t="n">
        <v>51720</v>
      </c>
      <c r="B51721">
        <f>TEXT(51720, "[$-0E0000]yyyy-mm-dd")</f>
        <v/>
      </c>
      <c r="C51721" t="inlineStr">
        <is>
          <t>2041-07-12</t>
        </is>
      </c>
    </row>
    <row r="51722">
      <c r="A51722" s="1" t="n">
        <v>51721</v>
      </c>
      <c r="B51722">
        <f>TEXT(51721, "[$-0E0000]yyyy-mm-dd")</f>
        <v/>
      </c>
      <c r="C51722" t="inlineStr">
        <is>
          <t>2041-07-13</t>
        </is>
      </c>
    </row>
    <row r="51723">
      <c r="A51723" s="1" t="n">
        <v>51722</v>
      </c>
      <c r="B51723">
        <f>TEXT(51722, "[$-0E0000]yyyy-mm-dd")</f>
        <v/>
      </c>
      <c r="C51723" t="inlineStr">
        <is>
          <t>2041-07-14</t>
        </is>
      </c>
    </row>
    <row r="51724">
      <c r="A51724" s="1" t="n">
        <v>51723</v>
      </c>
      <c r="B51724">
        <f>TEXT(51723, "[$-0E0000]yyyy-mm-dd")</f>
        <v/>
      </c>
      <c r="C51724" t="inlineStr">
        <is>
          <t>2041-07-15</t>
        </is>
      </c>
    </row>
    <row r="51725">
      <c r="A51725" s="1" t="n">
        <v>51724</v>
      </c>
      <c r="B51725">
        <f>TEXT(51724, "[$-0E0000]yyyy-mm-dd")</f>
        <v/>
      </c>
      <c r="C51725" t="inlineStr">
        <is>
          <t>2041-07-16</t>
        </is>
      </c>
    </row>
    <row r="51726">
      <c r="A51726" s="1" t="n">
        <v>51725</v>
      </c>
      <c r="B51726">
        <f>TEXT(51725, "[$-0E0000]yyyy-mm-dd")</f>
        <v/>
      </c>
      <c r="C51726" t="inlineStr">
        <is>
          <t>2041-07-17</t>
        </is>
      </c>
    </row>
    <row r="51727">
      <c r="A51727" s="1" t="n">
        <v>51726</v>
      </c>
      <c r="B51727">
        <f>TEXT(51726, "[$-0E0000]yyyy-mm-dd")</f>
        <v/>
      </c>
      <c r="C51727" t="inlineStr">
        <is>
          <t>2041-07-18</t>
        </is>
      </c>
    </row>
    <row r="51728">
      <c r="A51728" s="1" t="n">
        <v>51727</v>
      </c>
      <c r="B51728">
        <f>TEXT(51727, "[$-0E0000]yyyy-mm-dd")</f>
        <v/>
      </c>
      <c r="C51728" t="inlineStr">
        <is>
          <t>2041-07-19</t>
        </is>
      </c>
    </row>
    <row r="51729">
      <c r="A51729" s="1" t="n">
        <v>51728</v>
      </c>
      <c r="B51729">
        <f>TEXT(51728, "[$-0E0000]yyyy-mm-dd")</f>
        <v/>
      </c>
      <c r="C51729" t="inlineStr">
        <is>
          <t>2041-07-20</t>
        </is>
      </c>
    </row>
    <row r="51730">
      <c r="A51730" s="1" t="n">
        <v>51729</v>
      </c>
      <c r="B51730">
        <f>TEXT(51729, "[$-0E0000]yyyy-mm-dd")</f>
        <v/>
      </c>
      <c r="C51730" t="inlineStr">
        <is>
          <t>2041-07-21</t>
        </is>
      </c>
    </row>
    <row r="51731">
      <c r="A51731" s="1" t="n">
        <v>51730</v>
      </c>
      <c r="B51731">
        <f>TEXT(51730, "[$-0E0000]yyyy-mm-dd")</f>
        <v/>
      </c>
      <c r="C51731" t="inlineStr">
        <is>
          <t>2041-07-22</t>
        </is>
      </c>
    </row>
    <row r="51732">
      <c r="A51732" s="1" t="n">
        <v>51731</v>
      </c>
      <c r="B51732">
        <f>TEXT(51731, "[$-0E0000]yyyy-mm-dd")</f>
        <v/>
      </c>
      <c r="C51732" t="inlineStr">
        <is>
          <t>2041-07-23</t>
        </is>
      </c>
    </row>
    <row r="51733">
      <c r="A51733" s="1" t="n">
        <v>51732</v>
      </c>
      <c r="B51733">
        <f>TEXT(51732, "[$-0E0000]yyyy-mm-dd")</f>
        <v/>
      </c>
      <c r="C51733" t="inlineStr">
        <is>
          <t>2041-07-24</t>
        </is>
      </c>
    </row>
    <row r="51734">
      <c r="A51734" s="1" t="n">
        <v>51733</v>
      </c>
      <c r="B51734">
        <f>TEXT(51733, "[$-0E0000]yyyy-mm-dd")</f>
        <v/>
      </c>
      <c r="C51734" t="inlineStr">
        <is>
          <t>2041-07-25</t>
        </is>
      </c>
    </row>
    <row r="51735">
      <c r="A51735" s="1" t="n">
        <v>51734</v>
      </c>
      <c r="B51735">
        <f>TEXT(51734, "[$-0E0000]yyyy-mm-dd")</f>
        <v/>
      </c>
      <c r="C51735" t="inlineStr">
        <is>
          <t>2041-07-26</t>
        </is>
      </c>
    </row>
    <row r="51736">
      <c r="A51736" s="1" t="n">
        <v>51735</v>
      </c>
      <c r="B51736">
        <f>TEXT(51735, "[$-0E0000]yyyy-mm-dd")</f>
        <v/>
      </c>
      <c r="C51736" t="inlineStr">
        <is>
          <t>2041-07-27</t>
        </is>
      </c>
    </row>
    <row r="51737">
      <c r="A51737" s="1" t="n">
        <v>51736</v>
      </c>
      <c r="B51737">
        <f>TEXT(51736, "[$-0E0000]yyyy-mm-dd")</f>
        <v/>
      </c>
      <c r="C51737" t="inlineStr">
        <is>
          <t>2041-07-28</t>
        </is>
      </c>
    </row>
    <row r="51738">
      <c r="A51738" s="1" t="n">
        <v>51737</v>
      </c>
      <c r="B51738">
        <f>TEXT(51737, "[$-0E0000]yyyy-mm-dd")</f>
        <v/>
      </c>
      <c r="C51738" t="inlineStr">
        <is>
          <t>2041-07-29</t>
        </is>
      </c>
    </row>
    <row r="51739">
      <c r="A51739" s="1" t="n">
        <v>51738</v>
      </c>
      <c r="B51739">
        <f>TEXT(51738, "[$-0E0000]yyyy-mm-dd")</f>
        <v/>
      </c>
      <c r="C51739" t="inlineStr">
        <is>
          <t>2041-07-30</t>
        </is>
      </c>
    </row>
    <row r="51740">
      <c r="A51740" s="1" t="n">
        <v>51739</v>
      </c>
      <c r="B51740">
        <f>TEXT(51739, "[$-0E0000]yyyy-mm-dd")</f>
        <v/>
      </c>
      <c r="C51740" t="inlineStr">
        <is>
          <t>2041-08-01</t>
        </is>
      </c>
    </row>
    <row r="51741">
      <c r="A51741" s="1" t="n">
        <v>51740</v>
      </c>
      <c r="B51741">
        <f>TEXT(51740, "[$-0E0000]yyyy-mm-dd")</f>
        <v/>
      </c>
      <c r="C51741" t="inlineStr">
        <is>
          <t>2041-08-02</t>
        </is>
      </c>
    </row>
    <row r="51742">
      <c r="A51742" s="1" t="n">
        <v>51741</v>
      </c>
      <c r="B51742">
        <f>TEXT(51741, "[$-0E0000]yyyy-mm-dd")</f>
        <v/>
      </c>
      <c r="C51742" t="inlineStr">
        <is>
          <t>2041-08-03</t>
        </is>
      </c>
    </row>
    <row r="51743">
      <c r="A51743" s="1" t="n">
        <v>51742</v>
      </c>
      <c r="B51743">
        <f>TEXT(51742, "[$-0E0000]yyyy-mm-dd")</f>
        <v/>
      </c>
      <c r="C51743" t="inlineStr">
        <is>
          <t>2041-08-04</t>
        </is>
      </c>
    </row>
    <row r="51744">
      <c r="A51744" s="1" t="n">
        <v>51743</v>
      </c>
      <c r="B51744">
        <f>TEXT(51743, "[$-0E0000]yyyy-mm-dd")</f>
        <v/>
      </c>
      <c r="C51744" t="inlineStr">
        <is>
          <t>2041-08-05</t>
        </is>
      </c>
    </row>
    <row r="51745">
      <c r="A51745" s="1" t="n">
        <v>51744</v>
      </c>
      <c r="B51745">
        <f>TEXT(51744, "[$-0E0000]yyyy-mm-dd")</f>
        <v/>
      </c>
      <c r="C51745" t="inlineStr">
        <is>
          <t>2041-08-06</t>
        </is>
      </c>
    </row>
    <row r="51746">
      <c r="A51746" s="1" t="n">
        <v>51745</v>
      </c>
      <c r="B51746">
        <f>TEXT(51745, "[$-0E0000]yyyy-mm-dd")</f>
        <v/>
      </c>
      <c r="C51746" t="inlineStr">
        <is>
          <t>2041-08-07</t>
        </is>
      </c>
    </row>
    <row r="51747">
      <c r="A51747" s="1" t="n">
        <v>51746</v>
      </c>
      <c r="B51747">
        <f>TEXT(51746, "[$-0E0000]yyyy-mm-dd")</f>
        <v/>
      </c>
      <c r="C51747" t="inlineStr">
        <is>
          <t>2041-08-08</t>
        </is>
      </c>
    </row>
    <row r="51748">
      <c r="A51748" s="1" t="n">
        <v>51747</v>
      </c>
      <c r="B51748">
        <f>TEXT(51747, "[$-0E0000]yyyy-mm-dd")</f>
        <v/>
      </c>
      <c r="C51748" t="inlineStr">
        <is>
          <t>2041-08-09</t>
        </is>
      </c>
    </row>
    <row r="51749">
      <c r="A51749" s="1" t="n">
        <v>51748</v>
      </c>
      <c r="B51749">
        <f>TEXT(51748, "[$-0E0000]yyyy-mm-dd")</f>
        <v/>
      </c>
      <c r="C51749" t="inlineStr">
        <is>
          <t>2041-08-10</t>
        </is>
      </c>
    </row>
    <row r="51750">
      <c r="A51750" s="1" t="n">
        <v>51749</v>
      </c>
      <c r="B51750">
        <f>TEXT(51749, "[$-0E0000]yyyy-mm-dd")</f>
        <v/>
      </c>
      <c r="C51750" t="inlineStr">
        <is>
          <t>2041-08-11</t>
        </is>
      </c>
    </row>
    <row r="51751">
      <c r="A51751" s="1" t="n">
        <v>51750</v>
      </c>
      <c r="B51751">
        <f>TEXT(51750, "[$-0E0000]yyyy-mm-dd")</f>
        <v/>
      </c>
      <c r="C51751" t="inlineStr">
        <is>
          <t>2041-08-12</t>
        </is>
      </c>
    </row>
    <row r="51752">
      <c r="A51752" s="1" t="n">
        <v>51751</v>
      </c>
      <c r="B51752">
        <f>TEXT(51751, "[$-0E0000]yyyy-mm-dd")</f>
        <v/>
      </c>
      <c r="C51752" t="inlineStr">
        <is>
          <t>2041-08-13</t>
        </is>
      </c>
    </row>
    <row r="51753">
      <c r="A51753" s="1" t="n">
        <v>51752</v>
      </c>
      <c r="B51753">
        <f>TEXT(51752, "[$-0E0000]yyyy-mm-dd")</f>
        <v/>
      </c>
      <c r="C51753" t="inlineStr">
        <is>
          <t>2041-08-14</t>
        </is>
      </c>
    </row>
    <row r="51754">
      <c r="A51754" s="1" t="n">
        <v>51753</v>
      </c>
      <c r="B51754">
        <f>TEXT(51753, "[$-0E0000]yyyy-mm-dd")</f>
        <v/>
      </c>
      <c r="C51754" t="inlineStr">
        <is>
          <t>2041-08-15</t>
        </is>
      </c>
    </row>
    <row r="51755">
      <c r="A51755" s="1" t="n">
        <v>51754</v>
      </c>
      <c r="B51755">
        <f>TEXT(51754, "[$-0E0000]yyyy-mm-dd")</f>
        <v/>
      </c>
      <c r="C51755" t="inlineStr">
        <is>
          <t>2041-08-16</t>
        </is>
      </c>
    </row>
    <row r="51756">
      <c r="A51756" s="1" t="n">
        <v>51755</v>
      </c>
      <c r="B51756">
        <f>TEXT(51755, "[$-0E0000]yyyy-mm-dd")</f>
        <v/>
      </c>
      <c r="C51756" t="inlineStr">
        <is>
          <t>2041-08-17</t>
        </is>
      </c>
    </row>
    <row r="51757">
      <c r="A51757" s="1" t="n">
        <v>51756</v>
      </c>
      <c r="B51757">
        <f>TEXT(51756, "[$-0E0000]yyyy-mm-dd")</f>
        <v/>
      </c>
      <c r="C51757" t="inlineStr">
        <is>
          <t>2041-08-18</t>
        </is>
      </c>
    </row>
    <row r="51758">
      <c r="A51758" s="1" t="n">
        <v>51757</v>
      </c>
      <c r="B51758">
        <f>TEXT(51757, "[$-0E0000]yyyy-mm-dd")</f>
        <v/>
      </c>
      <c r="C51758" t="inlineStr">
        <is>
          <t>2041-08-19</t>
        </is>
      </c>
    </row>
    <row r="51759">
      <c r="A51759" s="1" t="n">
        <v>51758</v>
      </c>
      <c r="B51759">
        <f>TEXT(51758, "[$-0E0000]yyyy-mm-dd")</f>
        <v/>
      </c>
      <c r="C51759" t="inlineStr">
        <is>
          <t>2041-08-20</t>
        </is>
      </c>
    </row>
    <row r="51760">
      <c r="A51760" s="1" t="n">
        <v>51759</v>
      </c>
      <c r="B51760">
        <f>TEXT(51759, "[$-0E0000]yyyy-mm-dd")</f>
        <v/>
      </c>
      <c r="C51760" t="inlineStr">
        <is>
          <t>2041-08-21</t>
        </is>
      </c>
    </row>
    <row r="51761">
      <c r="A51761" s="1" t="n">
        <v>51760</v>
      </c>
      <c r="B51761">
        <f>TEXT(51760, "[$-0E0000]yyyy-mm-dd")</f>
        <v/>
      </c>
      <c r="C51761" t="inlineStr">
        <is>
          <t>2041-08-22</t>
        </is>
      </c>
    </row>
    <row r="51762">
      <c r="A51762" s="1" t="n">
        <v>51761</v>
      </c>
      <c r="B51762">
        <f>TEXT(51761, "[$-0E0000]yyyy-mm-dd")</f>
        <v/>
      </c>
      <c r="C51762" t="inlineStr">
        <is>
          <t>2041-08-23</t>
        </is>
      </c>
    </row>
    <row r="51763">
      <c r="A51763" s="1" t="n">
        <v>51762</v>
      </c>
      <c r="B51763">
        <f>TEXT(51762, "[$-0E0000]yyyy-mm-dd")</f>
        <v/>
      </c>
      <c r="C51763" t="inlineStr">
        <is>
          <t>2041-08-24</t>
        </is>
      </c>
    </row>
    <row r="51764">
      <c r="A51764" s="1" t="n">
        <v>51763</v>
      </c>
      <c r="B51764">
        <f>TEXT(51763, "[$-0E0000]yyyy-mm-dd")</f>
        <v/>
      </c>
      <c r="C51764" t="inlineStr">
        <is>
          <t>2041-08-25</t>
        </is>
      </c>
    </row>
    <row r="51765">
      <c r="A51765" s="1" t="n">
        <v>51764</v>
      </c>
      <c r="B51765">
        <f>TEXT(51764, "[$-0E0000]yyyy-mm-dd")</f>
        <v/>
      </c>
      <c r="C51765" t="inlineStr">
        <is>
          <t>2041-08-26</t>
        </is>
      </c>
    </row>
    <row r="51766">
      <c r="A51766" s="1" t="n">
        <v>51765</v>
      </c>
      <c r="B51766">
        <f>TEXT(51765, "[$-0E0000]yyyy-mm-dd")</f>
        <v/>
      </c>
      <c r="C51766" t="inlineStr">
        <is>
          <t>2041-08-27</t>
        </is>
      </c>
    </row>
    <row r="51767">
      <c r="A51767" s="1" t="n">
        <v>51766</v>
      </c>
      <c r="B51767">
        <f>TEXT(51766, "[$-0E0000]yyyy-mm-dd")</f>
        <v/>
      </c>
      <c r="C51767" t="inlineStr">
        <is>
          <t>2041-08-28</t>
        </is>
      </c>
    </row>
    <row r="51768">
      <c r="A51768" s="1" t="n">
        <v>51767</v>
      </c>
      <c r="B51768">
        <f>TEXT(51767, "[$-0E0000]yyyy-mm-dd")</f>
        <v/>
      </c>
      <c r="C51768" t="inlineStr">
        <is>
          <t>2041-08-29</t>
        </is>
      </c>
    </row>
    <row r="51769">
      <c r="A51769" s="1" t="n">
        <v>51768</v>
      </c>
      <c r="B51769">
        <f>TEXT(51768, "[$-0E0000]yyyy-mm-dd")</f>
        <v/>
      </c>
      <c r="C51769" t="inlineStr">
        <is>
          <t>2041-09-01</t>
        </is>
      </c>
    </row>
    <row r="51770">
      <c r="A51770" s="1" t="n">
        <v>51769</v>
      </c>
      <c r="B51770">
        <f>TEXT(51769, "[$-0E0000]yyyy-mm-dd")</f>
        <v/>
      </c>
      <c r="C51770" t="inlineStr">
        <is>
          <t>2041-09-02</t>
        </is>
      </c>
    </row>
    <row r="51771">
      <c r="A51771" s="1" t="n">
        <v>51770</v>
      </c>
      <c r="B51771">
        <f>TEXT(51770, "[$-0E0000]yyyy-mm-dd")</f>
        <v/>
      </c>
      <c r="C51771" t="inlineStr">
        <is>
          <t>2041-09-03</t>
        </is>
      </c>
    </row>
    <row r="51772">
      <c r="A51772" s="1" t="n">
        <v>51771</v>
      </c>
      <c r="B51772">
        <f>TEXT(51771, "[$-0E0000]yyyy-mm-dd")</f>
        <v/>
      </c>
      <c r="C51772" t="inlineStr">
        <is>
          <t>2041-09-04</t>
        </is>
      </c>
    </row>
    <row r="51773">
      <c r="A51773" s="1" t="n">
        <v>51772</v>
      </c>
      <c r="B51773">
        <f>TEXT(51772, "[$-0E0000]yyyy-mm-dd")</f>
        <v/>
      </c>
      <c r="C51773" t="inlineStr">
        <is>
          <t>2041-09-05</t>
        </is>
      </c>
    </row>
    <row r="51774">
      <c r="A51774" s="1" t="n">
        <v>51773</v>
      </c>
      <c r="B51774">
        <f>TEXT(51773, "[$-0E0000]yyyy-mm-dd")</f>
        <v/>
      </c>
      <c r="C51774" t="inlineStr">
        <is>
          <t>2041-09-06</t>
        </is>
      </c>
    </row>
    <row r="51775">
      <c r="A51775" s="1" t="n">
        <v>51774</v>
      </c>
      <c r="B51775">
        <f>TEXT(51774, "[$-0E0000]yyyy-mm-dd")</f>
        <v/>
      </c>
      <c r="C51775" t="inlineStr">
        <is>
          <t>2041-09-07</t>
        </is>
      </c>
    </row>
    <row r="51776">
      <c r="A51776" s="1" t="n">
        <v>51775</v>
      </c>
      <c r="B51776">
        <f>TEXT(51775, "[$-0E0000]yyyy-mm-dd")</f>
        <v/>
      </c>
      <c r="C51776" t="inlineStr">
        <is>
          <t>2041-09-08</t>
        </is>
      </c>
    </row>
    <row r="51777">
      <c r="A51777" s="1" t="n">
        <v>51776</v>
      </c>
      <c r="B51777">
        <f>TEXT(51776, "[$-0E0000]yyyy-mm-dd")</f>
        <v/>
      </c>
      <c r="C51777" t="inlineStr">
        <is>
          <t>2041-09-09</t>
        </is>
      </c>
    </row>
    <row r="51778">
      <c r="A51778" s="1" t="n">
        <v>51777</v>
      </c>
      <c r="B51778">
        <f>TEXT(51777, "[$-0E0000]yyyy-mm-dd")</f>
        <v/>
      </c>
      <c r="C51778" t="inlineStr">
        <is>
          <t>2041-09-10</t>
        </is>
      </c>
    </row>
    <row r="51779">
      <c r="A51779" s="1" t="n">
        <v>51778</v>
      </c>
      <c r="B51779">
        <f>TEXT(51778, "[$-0E0000]yyyy-mm-dd")</f>
        <v/>
      </c>
      <c r="C51779" t="inlineStr">
        <is>
          <t>2041-09-11</t>
        </is>
      </c>
    </row>
    <row r="51780">
      <c r="A51780" s="1" t="n">
        <v>51779</v>
      </c>
      <c r="B51780">
        <f>TEXT(51779, "[$-0E0000]yyyy-mm-dd")</f>
        <v/>
      </c>
      <c r="C51780" t="inlineStr">
        <is>
          <t>2041-09-12</t>
        </is>
      </c>
    </row>
    <row r="51781">
      <c r="A51781" s="1" t="n">
        <v>51780</v>
      </c>
      <c r="B51781">
        <f>TEXT(51780, "[$-0E0000]yyyy-mm-dd")</f>
        <v/>
      </c>
      <c r="C51781" t="inlineStr">
        <is>
          <t>2041-09-13</t>
        </is>
      </c>
    </row>
    <row r="51782">
      <c r="A51782" s="1" t="n">
        <v>51781</v>
      </c>
      <c r="B51782">
        <f>TEXT(51781, "[$-0E0000]yyyy-mm-dd")</f>
        <v/>
      </c>
      <c r="C51782" t="inlineStr">
        <is>
          <t>2041-09-14</t>
        </is>
      </c>
    </row>
    <row r="51783">
      <c r="A51783" s="1" t="n">
        <v>51782</v>
      </c>
      <c r="B51783">
        <f>TEXT(51782, "[$-0E0000]yyyy-mm-dd")</f>
        <v/>
      </c>
      <c r="C51783" t="inlineStr">
        <is>
          <t>2041-09-15</t>
        </is>
      </c>
    </row>
    <row r="51784">
      <c r="A51784" s="1" t="n">
        <v>51783</v>
      </c>
      <c r="B51784">
        <f>TEXT(51783, "[$-0E0000]yyyy-mm-dd")</f>
        <v/>
      </c>
      <c r="C51784" t="inlineStr">
        <is>
          <t>2041-09-16</t>
        </is>
      </c>
    </row>
    <row r="51785">
      <c r="A51785" s="1" t="n">
        <v>51784</v>
      </c>
      <c r="B51785">
        <f>TEXT(51784, "[$-0E0000]yyyy-mm-dd")</f>
        <v/>
      </c>
      <c r="C51785" t="inlineStr">
        <is>
          <t>2041-09-17</t>
        </is>
      </c>
    </row>
    <row r="51786">
      <c r="A51786" s="1" t="n">
        <v>51785</v>
      </c>
      <c r="B51786">
        <f>TEXT(51785, "[$-0E0000]yyyy-mm-dd")</f>
        <v/>
      </c>
      <c r="C51786" t="inlineStr">
        <is>
          <t>2041-09-18</t>
        </is>
      </c>
    </row>
    <row r="51787">
      <c r="A51787" s="1" t="n">
        <v>51786</v>
      </c>
      <c r="B51787">
        <f>TEXT(51786, "[$-0E0000]yyyy-mm-dd")</f>
        <v/>
      </c>
      <c r="C51787" t="inlineStr">
        <is>
          <t>2041-09-19</t>
        </is>
      </c>
    </row>
    <row r="51788">
      <c r="A51788" s="1" t="n">
        <v>51787</v>
      </c>
      <c r="B51788">
        <f>TEXT(51787, "[$-0E0000]yyyy-mm-dd")</f>
        <v/>
      </c>
      <c r="C51788" t="inlineStr">
        <is>
          <t>2041-09-20</t>
        </is>
      </c>
    </row>
    <row r="51789">
      <c r="A51789" s="1" t="n">
        <v>51788</v>
      </c>
      <c r="B51789">
        <f>TEXT(51788, "[$-0E0000]yyyy-mm-dd")</f>
        <v/>
      </c>
      <c r="C51789" t="inlineStr">
        <is>
          <t>2041-09-21</t>
        </is>
      </c>
    </row>
    <row r="51790">
      <c r="A51790" s="1" t="n">
        <v>51789</v>
      </c>
      <c r="B51790">
        <f>TEXT(51789, "[$-0E0000]yyyy-mm-dd")</f>
        <v/>
      </c>
      <c r="C51790" t="inlineStr">
        <is>
          <t>2041-09-22</t>
        </is>
      </c>
    </row>
    <row r="51791">
      <c r="A51791" s="1" t="n">
        <v>51790</v>
      </c>
      <c r="B51791">
        <f>TEXT(51790, "[$-0E0000]yyyy-mm-dd")</f>
        <v/>
      </c>
      <c r="C51791" t="inlineStr">
        <is>
          <t>2041-09-23</t>
        </is>
      </c>
    </row>
    <row r="51792">
      <c r="A51792" s="1" t="n">
        <v>51791</v>
      </c>
      <c r="B51792">
        <f>TEXT(51791, "[$-0E0000]yyyy-mm-dd")</f>
        <v/>
      </c>
      <c r="C51792" t="inlineStr">
        <is>
          <t>2041-09-24</t>
        </is>
      </c>
    </row>
    <row r="51793">
      <c r="A51793" s="1" t="n">
        <v>51792</v>
      </c>
      <c r="B51793">
        <f>TEXT(51792, "[$-0E0000]yyyy-mm-dd")</f>
        <v/>
      </c>
      <c r="C51793" t="inlineStr">
        <is>
          <t>2041-09-25</t>
        </is>
      </c>
    </row>
    <row r="51794">
      <c r="A51794" s="1" t="n">
        <v>51793</v>
      </c>
      <c r="B51794">
        <f>TEXT(51793, "[$-0E0000]yyyy-mm-dd")</f>
        <v/>
      </c>
      <c r="C51794" t="inlineStr">
        <is>
          <t>2041-09-26</t>
        </is>
      </c>
    </row>
    <row r="51795">
      <c r="A51795" s="1" t="n">
        <v>51794</v>
      </c>
      <c r="B51795">
        <f>TEXT(51794, "[$-0E0000]yyyy-mm-dd")</f>
        <v/>
      </c>
      <c r="C51795" t="inlineStr">
        <is>
          <t>2041-09-27</t>
        </is>
      </c>
    </row>
    <row r="51796">
      <c r="A51796" s="1" t="n">
        <v>51795</v>
      </c>
      <c r="B51796">
        <f>TEXT(51795, "[$-0E0000]yyyy-mm-dd")</f>
        <v/>
      </c>
      <c r="C51796" t="inlineStr">
        <is>
          <t>2041-09-28</t>
        </is>
      </c>
    </row>
    <row r="51797">
      <c r="A51797" s="1" t="n">
        <v>51796</v>
      </c>
      <c r="B51797">
        <f>TEXT(51796, "[$-0E0000]yyyy-mm-dd")</f>
        <v/>
      </c>
      <c r="C51797" t="inlineStr">
        <is>
          <t>2041-09-29</t>
        </is>
      </c>
    </row>
    <row r="51798">
      <c r="A51798" s="1" t="n">
        <v>51797</v>
      </c>
      <c r="B51798">
        <f>TEXT(51797, "[$-0E0000]yyyy-mm-dd")</f>
        <v/>
      </c>
      <c r="C51798" t="inlineStr">
        <is>
          <t>2041-09-30</t>
        </is>
      </c>
    </row>
    <row r="51799">
      <c r="A51799" s="1" t="n">
        <v>51798</v>
      </c>
      <c r="B51799">
        <f>TEXT(51798, "[$-0E0000]yyyy-mm-dd")</f>
        <v/>
      </c>
      <c r="C51799" t="inlineStr">
        <is>
          <t>2041-10-01</t>
        </is>
      </c>
    </row>
    <row r="51800">
      <c r="A51800" s="1" t="n">
        <v>51799</v>
      </c>
      <c r="B51800">
        <f>TEXT(51799, "[$-0E0000]yyyy-mm-dd")</f>
        <v/>
      </c>
      <c r="C51800" t="inlineStr">
        <is>
          <t>2041-10-02</t>
        </is>
      </c>
    </row>
    <row r="51801">
      <c r="A51801" s="1" t="n">
        <v>51800</v>
      </c>
      <c r="B51801">
        <f>TEXT(51800, "[$-0E0000]yyyy-mm-dd")</f>
        <v/>
      </c>
      <c r="C51801" t="inlineStr">
        <is>
          <t>2041-10-03</t>
        </is>
      </c>
    </row>
    <row r="51802">
      <c r="A51802" s="1" t="n">
        <v>51801</v>
      </c>
      <c r="B51802">
        <f>TEXT(51801, "[$-0E0000]yyyy-mm-dd")</f>
        <v/>
      </c>
      <c r="C51802" t="inlineStr">
        <is>
          <t>2041-10-04</t>
        </is>
      </c>
    </row>
    <row r="51803">
      <c r="A51803" s="1" t="n">
        <v>51802</v>
      </c>
      <c r="B51803">
        <f>TEXT(51802, "[$-0E0000]yyyy-mm-dd")</f>
        <v/>
      </c>
      <c r="C51803" t="inlineStr">
        <is>
          <t>2041-10-05</t>
        </is>
      </c>
    </row>
    <row r="51804">
      <c r="A51804" s="1" t="n">
        <v>51803</v>
      </c>
      <c r="B51804">
        <f>TEXT(51803, "[$-0E0000]yyyy-mm-dd")</f>
        <v/>
      </c>
      <c r="C51804" t="inlineStr">
        <is>
          <t>2041-10-06</t>
        </is>
      </c>
    </row>
    <row r="51805">
      <c r="A51805" s="1" t="n">
        <v>51804</v>
      </c>
      <c r="B51805">
        <f>TEXT(51804, "[$-0E0000]yyyy-mm-dd")</f>
        <v/>
      </c>
      <c r="C51805" t="inlineStr">
        <is>
          <t>2041-10-07</t>
        </is>
      </c>
    </row>
    <row r="51806">
      <c r="A51806" s="1" t="n">
        <v>51805</v>
      </c>
      <c r="B51806">
        <f>TEXT(51805, "[$-0E0000]yyyy-mm-dd")</f>
        <v/>
      </c>
      <c r="C51806" t="inlineStr">
        <is>
          <t>2041-10-08</t>
        </is>
      </c>
    </row>
    <row r="51807">
      <c r="A51807" s="1" t="n">
        <v>51806</v>
      </c>
      <c r="B51807">
        <f>TEXT(51806, "[$-0E0000]yyyy-mm-dd")</f>
        <v/>
      </c>
      <c r="C51807" t="inlineStr">
        <is>
          <t>2041-10-09</t>
        </is>
      </c>
    </row>
    <row r="51808">
      <c r="A51808" s="1" t="n">
        <v>51807</v>
      </c>
      <c r="B51808">
        <f>TEXT(51807, "[$-0E0000]yyyy-mm-dd")</f>
        <v/>
      </c>
      <c r="C51808" t="inlineStr">
        <is>
          <t>2041-10-10</t>
        </is>
      </c>
    </row>
    <row r="51809">
      <c r="A51809" s="1" t="n">
        <v>51808</v>
      </c>
      <c r="B51809">
        <f>TEXT(51808, "[$-0E0000]yyyy-mm-dd")</f>
        <v/>
      </c>
      <c r="C51809" t="inlineStr">
        <is>
          <t>2041-10-11</t>
        </is>
      </c>
    </row>
    <row r="51810">
      <c r="A51810" s="1" t="n">
        <v>51809</v>
      </c>
      <c r="B51810">
        <f>TEXT(51809, "[$-0E0000]yyyy-mm-dd")</f>
        <v/>
      </c>
      <c r="C51810" t="inlineStr">
        <is>
          <t>2041-10-12</t>
        </is>
      </c>
    </row>
    <row r="51811">
      <c r="A51811" s="1" t="n">
        <v>51810</v>
      </c>
      <c r="B51811">
        <f>TEXT(51810, "[$-0E0000]yyyy-mm-dd")</f>
        <v/>
      </c>
      <c r="C51811" t="inlineStr">
        <is>
          <t>2041-10-13</t>
        </is>
      </c>
    </row>
    <row r="51812">
      <c r="A51812" s="1" t="n">
        <v>51811</v>
      </c>
      <c r="B51812">
        <f>TEXT(51811, "[$-0E0000]yyyy-mm-dd")</f>
        <v/>
      </c>
      <c r="C51812" t="inlineStr">
        <is>
          <t>2041-10-14</t>
        </is>
      </c>
    </row>
    <row r="51813">
      <c r="A51813" s="1" t="n">
        <v>51812</v>
      </c>
      <c r="B51813">
        <f>TEXT(51812, "[$-0E0000]yyyy-mm-dd")</f>
        <v/>
      </c>
      <c r="C51813" t="inlineStr">
        <is>
          <t>2041-10-15</t>
        </is>
      </c>
    </row>
    <row r="51814">
      <c r="A51814" s="1" t="n">
        <v>51813</v>
      </c>
      <c r="B51814">
        <f>TEXT(51813, "[$-0E0000]yyyy-mm-dd")</f>
        <v/>
      </c>
      <c r="C51814" t="inlineStr">
        <is>
          <t>2041-10-16</t>
        </is>
      </c>
    </row>
    <row r="51815">
      <c r="A51815" s="1" t="n">
        <v>51814</v>
      </c>
      <c r="B51815">
        <f>TEXT(51814, "[$-0E0000]yyyy-mm-dd")</f>
        <v/>
      </c>
      <c r="C51815" t="inlineStr">
        <is>
          <t>2041-10-17</t>
        </is>
      </c>
    </row>
    <row r="51816">
      <c r="A51816" s="1" t="n">
        <v>51815</v>
      </c>
      <c r="B51816">
        <f>TEXT(51815, "[$-0E0000]yyyy-mm-dd")</f>
        <v/>
      </c>
      <c r="C51816" t="inlineStr">
        <is>
          <t>2041-10-18</t>
        </is>
      </c>
    </row>
    <row r="51817">
      <c r="A51817" s="1" t="n">
        <v>51816</v>
      </c>
      <c r="B51817">
        <f>TEXT(51816, "[$-0E0000]yyyy-mm-dd")</f>
        <v/>
      </c>
      <c r="C51817" t="inlineStr">
        <is>
          <t>2041-10-19</t>
        </is>
      </c>
    </row>
    <row r="51818">
      <c r="A51818" s="1" t="n">
        <v>51817</v>
      </c>
      <c r="B51818">
        <f>TEXT(51817, "[$-0E0000]yyyy-mm-dd")</f>
        <v/>
      </c>
      <c r="C51818" t="inlineStr">
        <is>
          <t>2041-10-20</t>
        </is>
      </c>
    </row>
    <row r="51819">
      <c r="A51819" s="1" t="n">
        <v>51818</v>
      </c>
      <c r="B51819">
        <f>TEXT(51818, "[$-0E0000]yyyy-mm-dd")</f>
        <v/>
      </c>
      <c r="C51819" t="inlineStr">
        <is>
          <t>2041-10-21</t>
        </is>
      </c>
    </row>
    <row r="51820">
      <c r="A51820" s="1" t="n">
        <v>51819</v>
      </c>
      <c r="B51820">
        <f>TEXT(51819, "[$-0E0000]yyyy-mm-dd")</f>
        <v/>
      </c>
      <c r="C51820" t="inlineStr">
        <is>
          <t>2041-10-22</t>
        </is>
      </c>
    </row>
    <row r="51821">
      <c r="A51821" s="1" t="n">
        <v>51820</v>
      </c>
      <c r="B51821">
        <f>TEXT(51820, "[$-0E0000]yyyy-mm-dd")</f>
        <v/>
      </c>
      <c r="C51821" t="inlineStr">
        <is>
          <t>2041-10-23</t>
        </is>
      </c>
    </row>
    <row r="51822">
      <c r="A51822" s="1" t="n">
        <v>51821</v>
      </c>
      <c r="B51822">
        <f>TEXT(51821, "[$-0E0000]yyyy-mm-dd")</f>
        <v/>
      </c>
      <c r="C51822" t="inlineStr">
        <is>
          <t>2041-10-24</t>
        </is>
      </c>
    </row>
    <row r="51823">
      <c r="A51823" s="1" t="n">
        <v>51822</v>
      </c>
      <c r="B51823">
        <f>TEXT(51822, "[$-0E0000]yyyy-mm-dd")</f>
        <v/>
      </c>
      <c r="C51823" t="inlineStr">
        <is>
          <t>2041-10-25</t>
        </is>
      </c>
    </row>
    <row r="51824">
      <c r="A51824" s="1" t="n">
        <v>51823</v>
      </c>
      <c r="B51824">
        <f>TEXT(51823, "[$-0E0000]yyyy-mm-dd")</f>
        <v/>
      </c>
      <c r="C51824" t="inlineStr">
        <is>
          <t>2041-10-26</t>
        </is>
      </c>
    </row>
    <row r="51825">
      <c r="A51825" s="1" t="n">
        <v>51824</v>
      </c>
      <c r="B51825">
        <f>TEXT(51824, "[$-0E0000]yyyy-mm-dd")</f>
        <v/>
      </c>
      <c r="C51825" t="inlineStr">
        <is>
          <t>2041-10-27</t>
        </is>
      </c>
    </row>
    <row r="51826">
      <c r="A51826" s="1" t="n">
        <v>51825</v>
      </c>
      <c r="B51826">
        <f>TEXT(51825, "[$-0E0000]yyyy-mm-dd")</f>
        <v/>
      </c>
      <c r="C51826" t="inlineStr">
        <is>
          <t>2041-10-28</t>
        </is>
      </c>
    </row>
    <row r="51827">
      <c r="A51827" s="1" t="n">
        <v>51826</v>
      </c>
      <c r="B51827">
        <f>TEXT(51826, "[$-0E0000]yyyy-mm-dd")</f>
        <v/>
      </c>
      <c r="C51827" t="inlineStr">
        <is>
          <t>2041-10-29</t>
        </is>
      </c>
    </row>
    <row r="51828">
      <c r="A51828" s="1" t="n">
        <v>51827</v>
      </c>
      <c r="B51828">
        <f>TEXT(51827, "[$-0E0000]yyyy-mm-dd")</f>
        <v/>
      </c>
      <c r="C51828" t="inlineStr">
        <is>
          <t>2041-10-30</t>
        </is>
      </c>
    </row>
    <row r="51829">
      <c r="A51829" s="1" t="n">
        <v>51828</v>
      </c>
      <c r="B51829">
        <f>TEXT(51828, "[$-0E0000]yyyy-mm-dd")</f>
        <v/>
      </c>
      <c r="C51829" t="inlineStr">
        <is>
          <t>2041-11-01</t>
        </is>
      </c>
    </row>
    <row r="51830">
      <c r="A51830" s="1" t="n">
        <v>51829</v>
      </c>
      <c r="B51830">
        <f>TEXT(51829, "[$-0E0000]yyyy-mm-dd")</f>
        <v/>
      </c>
      <c r="C51830" t="inlineStr">
        <is>
          <t>2041-11-02</t>
        </is>
      </c>
    </row>
    <row r="51831">
      <c r="A51831" s="1" t="n">
        <v>51830</v>
      </c>
      <c r="B51831">
        <f>TEXT(51830, "[$-0E0000]yyyy-mm-dd")</f>
        <v/>
      </c>
      <c r="C51831" t="inlineStr">
        <is>
          <t>2041-11-03</t>
        </is>
      </c>
    </row>
    <row r="51832">
      <c r="A51832" s="1" t="n">
        <v>51831</v>
      </c>
      <c r="B51832">
        <f>TEXT(51831, "[$-0E0000]yyyy-mm-dd")</f>
        <v/>
      </c>
      <c r="C51832" t="inlineStr">
        <is>
          <t>2041-11-04</t>
        </is>
      </c>
    </row>
    <row r="51833">
      <c r="A51833" s="1" t="n">
        <v>51832</v>
      </c>
      <c r="B51833">
        <f>TEXT(51832, "[$-0E0000]yyyy-mm-dd")</f>
        <v/>
      </c>
      <c r="C51833" t="inlineStr">
        <is>
          <t>2041-11-05</t>
        </is>
      </c>
    </row>
    <row r="51834">
      <c r="A51834" s="1" t="n">
        <v>51833</v>
      </c>
      <c r="B51834">
        <f>TEXT(51833, "[$-0E0000]yyyy-mm-dd")</f>
        <v/>
      </c>
      <c r="C51834" t="inlineStr">
        <is>
          <t>2041-11-06</t>
        </is>
      </c>
    </row>
    <row r="51835">
      <c r="A51835" s="1" t="n">
        <v>51834</v>
      </c>
      <c r="B51835">
        <f>TEXT(51834, "[$-0E0000]yyyy-mm-dd")</f>
        <v/>
      </c>
      <c r="C51835" t="inlineStr">
        <is>
          <t>2041-11-07</t>
        </is>
      </c>
    </row>
    <row r="51836">
      <c r="A51836" s="1" t="n">
        <v>51835</v>
      </c>
      <c r="B51836">
        <f>TEXT(51835, "[$-0E0000]yyyy-mm-dd")</f>
        <v/>
      </c>
      <c r="C51836" t="inlineStr">
        <is>
          <t>2041-11-08</t>
        </is>
      </c>
    </row>
    <row r="51837">
      <c r="A51837" s="1" t="n">
        <v>51836</v>
      </c>
      <c r="B51837">
        <f>TEXT(51836, "[$-0E0000]yyyy-mm-dd")</f>
        <v/>
      </c>
      <c r="C51837" t="inlineStr">
        <is>
          <t>2041-11-09</t>
        </is>
      </c>
    </row>
    <row r="51838">
      <c r="A51838" s="1" t="n">
        <v>51837</v>
      </c>
      <c r="B51838">
        <f>TEXT(51837, "[$-0E0000]yyyy-mm-dd")</f>
        <v/>
      </c>
      <c r="C51838" t="inlineStr">
        <is>
          <t>2041-11-10</t>
        </is>
      </c>
    </row>
    <row r="51839">
      <c r="A51839" s="1" t="n">
        <v>51838</v>
      </c>
      <c r="B51839">
        <f>TEXT(51838, "[$-0E0000]yyyy-mm-dd")</f>
        <v/>
      </c>
      <c r="C51839" t="inlineStr">
        <is>
          <t>2041-11-11</t>
        </is>
      </c>
    </row>
    <row r="51840">
      <c r="A51840" s="1" t="n">
        <v>51839</v>
      </c>
      <c r="B51840">
        <f>TEXT(51839, "[$-0E0000]yyyy-mm-dd")</f>
        <v/>
      </c>
      <c r="C51840" t="inlineStr">
        <is>
          <t>2041-11-12</t>
        </is>
      </c>
    </row>
    <row r="51841">
      <c r="A51841" s="1" t="n">
        <v>51840</v>
      </c>
      <c r="B51841">
        <f>TEXT(51840, "[$-0E0000]yyyy-mm-dd")</f>
        <v/>
      </c>
      <c r="C51841" t="inlineStr">
        <is>
          <t>2041-11-13</t>
        </is>
      </c>
    </row>
    <row r="51842">
      <c r="A51842" s="1" t="n">
        <v>51841</v>
      </c>
      <c r="B51842">
        <f>TEXT(51841, "[$-0E0000]yyyy-mm-dd")</f>
        <v/>
      </c>
      <c r="C51842" t="inlineStr">
        <is>
          <t>2041-11-14</t>
        </is>
      </c>
    </row>
    <row r="51843">
      <c r="A51843" s="1" t="n">
        <v>51842</v>
      </c>
      <c r="B51843">
        <f>TEXT(51842, "[$-0E0000]yyyy-mm-dd")</f>
        <v/>
      </c>
      <c r="C51843" t="inlineStr">
        <is>
          <t>2041-11-15</t>
        </is>
      </c>
    </row>
    <row r="51844">
      <c r="A51844" s="1" t="n">
        <v>51843</v>
      </c>
      <c r="B51844">
        <f>TEXT(51843, "[$-0E0000]yyyy-mm-dd")</f>
        <v/>
      </c>
      <c r="C51844" t="inlineStr">
        <is>
          <t>2041-11-16</t>
        </is>
      </c>
    </row>
    <row r="51845">
      <c r="A51845" s="1" t="n">
        <v>51844</v>
      </c>
      <c r="B51845">
        <f>TEXT(51844, "[$-0E0000]yyyy-mm-dd")</f>
        <v/>
      </c>
      <c r="C51845" t="inlineStr">
        <is>
          <t>2041-11-17</t>
        </is>
      </c>
    </row>
    <row r="51846">
      <c r="A51846" s="1" t="n">
        <v>51845</v>
      </c>
      <c r="B51846">
        <f>TEXT(51845, "[$-0E0000]yyyy-mm-dd")</f>
        <v/>
      </c>
      <c r="C51846" t="inlineStr">
        <is>
          <t>2041-11-18</t>
        </is>
      </c>
    </row>
    <row r="51847">
      <c r="A51847" s="1" t="n">
        <v>51846</v>
      </c>
      <c r="B51847">
        <f>TEXT(51846, "[$-0E0000]yyyy-mm-dd")</f>
        <v/>
      </c>
      <c r="C51847" t="inlineStr">
        <is>
          <t>2041-11-19</t>
        </is>
      </c>
    </row>
    <row r="51848">
      <c r="A51848" s="1" t="n">
        <v>51847</v>
      </c>
      <c r="B51848">
        <f>TEXT(51847, "[$-0E0000]yyyy-mm-dd")</f>
        <v/>
      </c>
      <c r="C51848" t="inlineStr">
        <is>
          <t>2041-11-20</t>
        </is>
      </c>
    </row>
    <row r="51849">
      <c r="A51849" s="1" t="n">
        <v>51848</v>
      </c>
      <c r="B51849">
        <f>TEXT(51848, "[$-0E0000]yyyy-mm-dd")</f>
        <v/>
      </c>
      <c r="C51849" t="inlineStr">
        <is>
          <t>2041-11-21</t>
        </is>
      </c>
    </row>
    <row r="51850">
      <c r="A51850" s="1" t="n">
        <v>51849</v>
      </c>
      <c r="B51850">
        <f>TEXT(51849, "[$-0E0000]yyyy-mm-dd")</f>
        <v/>
      </c>
      <c r="C51850" t="inlineStr">
        <is>
          <t>2041-11-22</t>
        </is>
      </c>
    </row>
    <row r="51851">
      <c r="A51851" s="1" t="n">
        <v>51850</v>
      </c>
      <c r="B51851">
        <f>TEXT(51850, "[$-0E0000]yyyy-mm-dd")</f>
        <v/>
      </c>
      <c r="C51851" t="inlineStr">
        <is>
          <t>2041-11-23</t>
        </is>
      </c>
    </row>
    <row r="51852">
      <c r="A51852" s="1" t="n">
        <v>51851</v>
      </c>
      <c r="B51852">
        <f>TEXT(51851, "[$-0E0000]yyyy-mm-dd")</f>
        <v/>
      </c>
      <c r="C51852" t="inlineStr">
        <is>
          <t>2041-11-24</t>
        </is>
      </c>
    </row>
    <row r="51853">
      <c r="A51853" s="1" t="n">
        <v>51852</v>
      </c>
      <c r="B51853">
        <f>TEXT(51852, "[$-0E0000]yyyy-mm-dd")</f>
        <v/>
      </c>
      <c r="C51853" t="inlineStr">
        <is>
          <t>2041-11-25</t>
        </is>
      </c>
    </row>
    <row r="51854">
      <c r="A51854" s="1" t="n">
        <v>51853</v>
      </c>
      <c r="B51854">
        <f>TEXT(51853, "[$-0E0000]yyyy-mm-dd")</f>
        <v/>
      </c>
      <c r="C51854" t="inlineStr">
        <is>
          <t>2041-11-26</t>
        </is>
      </c>
    </row>
    <row r="51855">
      <c r="A51855" s="1" t="n">
        <v>51854</v>
      </c>
      <c r="B51855">
        <f>TEXT(51854, "[$-0E0000]yyyy-mm-dd")</f>
        <v/>
      </c>
      <c r="C51855" t="inlineStr">
        <is>
          <t>2041-11-27</t>
        </is>
      </c>
    </row>
    <row r="51856">
      <c r="A51856" s="1" t="n">
        <v>51855</v>
      </c>
      <c r="B51856">
        <f>TEXT(51855, "[$-0E0000]yyyy-mm-dd")</f>
        <v/>
      </c>
      <c r="C51856" t="inlineStr">
        <is>
          <t>2041-11-28</t>
        </is>
      </c>
    </row>
    <row r="51857">
      <c r="A51857" s="1" t="n">
        <v>51856</v>
      </c>
      <c r="B51857">
        <f>TEXT(51856, "[$-0E0000]yyyy-mm-dd")</f>
        <v/>
      </c>
      <c r="C51857" t="inlineStr">
        <is>
          <t>2041-11-29</t>
        </is>
      </c>
    </row>
    <row r="51858">
      <c r="A51858" s="1" t="n">
        <v>51857</v>
      </c>
      <c r="B51858">
        <f>TEXT(51857, "[$-0E0000]yyyy-mm-dd")</f>
        <v/>
      </c>
      <c r="C51858" t="inlineStr">
        <is>
          <t>2041-12-01</t>
        </is>
      </c>
    </row>
    <row r="51859">
      <c r="A51859" s="1" t="n">
        <v>51858</v>
      </c>
      <c r="B51859">
        <f>TEXT(51858, "[$-0E0000]yyyy-mm-dd")</f>
        <v/>
      </c>
      <c r="C51859" t="inlineStr">
        <is>
          <t>2041-12-02</t>
        </is>
      </c>
    </row>
    <row r="51860">
      <c r="A51860" s="1" t="n">
        <v>51859</v>
      </c>
      <c r="B51860">
        <f>TEXT(51859, "[$-0E0000]yyyy-mm-dd")</f>
        <v/>
      </c>
      <c r="C51860" t="inlineStr">
        <is>
          <t>2041-12-03</t>
        </is>
      </c>
    </row>
    <row r="51861">
      <c r="A51861" s="1" t="n">
        <v>51860</v>
      </c>
      <c r="B51861">
        <f>TEXT(51860, "[$-0E0000]yyyy-mm-dd")</f>
        <v/>
      </c>
      <c r="C51861" t="inlineStr">
        <is>
          <t>2041-12-04</t>
        </is>
      </c>
    </row>
    <row r="51862">
      <c r="A51862" s="1" t="n">
        <v>51861</v>
      </c>
      <c r="B51862">
        <f>TEXT(51861, "[$-0E0000]yyyy-mm-dd")</f>
        <v/>
      </c>
      <c r="C51862" t="inlineStr">
        <is>
          <t>2041-12-05</t>
        </is>
      </c>
    </row>
    <row r="51863">
      <c r="A51863" s="1" t="n">
        <v>51862</v>
      </c>
      <c r="B51863">
        <f>TEXT(51862, "[$-0E0000]yyyy-mm-dd")</f>
        <v/>
      </c>
      <c r="C51863" t="inlineStr">
        <is>
          <t>2041-12-06</t>
        </is>
      </c>
    </row>
    <row r="51864">
      <c r="A51864" s="1" t="n">
        <v>51863</v>
      </c>
      <c r="B51864">
        <f>TEXT(51863, "[$-0E0000]yyyy-mm-dd")</f>
        <v/>
      </c>
      <c r="C51864" t="inlineStr">
        <is>
          <t>2041-12-07</t>
        </is>
      </c>
    </row>
    <row r="51865">
      <c r="A51865" s="1" t="n">
        <v>51864</v>
      </c>
      <c r="B51865">
        <f>TEXT(51864, "[$-0E0000]yyyy-mm-dd")</f>
        <v/>
      </c>
      <c r="C51865" t="inlineStr">
        <is>
          <t>2041-12-08</t>
        </is>
      </c>
    </row>
    <row r="51866">
      <c r="A51866" s="1" t="n">
        <v>51865</v>
      </c>
      <c r="B51866">
        <f>TEXT(51865, "[$-0E0000]yyyy-mm-dd")</f>
        <v/>
      </c>
      <c r="C51866" t="inlineStr">
        <is>
          <t>2041-12-09</t>
        </is>
      </c>
    </row>
    <row r="51867">
      <c r="A51867" s="1" t="n">
        <v>51866</v>
      </c>
      <c r="B51867">
        <f>TEXT(51866, "[$-0E0000]yyyy-mm-dd")</f>
        <v/>
      </c>
      <c r="C51867" t="inlineStr">
        <is>
          <t>2041-12-10</t>
        </is>
      </c>
    </row>
    <row r="51868">
      <c r="A51868" s="1" t="n">
        <v>51867</v>
      </c>
      <c r="B51868">
        <f>TEXT(51867, "[$-0E0000]yyyy-mm-dd")</f>
        <v/>
      </c>
      <c r="C51868" t="inlineStr">
        <is>
          <t>2041-12-11</t>
        </is>
      </c>
    </row>
    <row r="51869">
      <c r="A51869" s="1" t="n">
        <v>51868</v>
      </c>
      <c r="B51869">
        <f>TEXT(51868, "[$-0E0000]yyyy-mm-dd")</f>
        <v/>
      </c>
      <c r="C51869" t="inlineStr">
        <is>
          <t>2041-12-12</t>
        </is>
      </c>
    </row>
    <row r="51870">
      <c r="A51870" s="1" t="n">
        <v>51869</v>
      </c>
      <c r="B51870">
        <f>TEXT(51869, "[$-0E0000]yyyy-mm-dd")</f>
        <v/>
      </c>
      <c r="C51870" t="inlineStr">
        <is>
          <t>2041-12-13</t>
        </is>
      </c>
    </row>
    <row r="51871">
      <c r="A51871" s="1" t="n">
        <v>51870</v>
      </c>
      <c r="B51871">
        <f>TEXT(51870, "[$-0E0000]yyyy-mm-dd")</f>
        <v/>
      </c>
      <c r="C51871" t="inlineStr">
        <is>
          <t>2041-12-14</t>
        </is>
      </c>
    </row>
    <row r="51872">
      <c r="A51872" s="1" t="n">
        <v>51871</v>
      </c>
      <c r="B51872">
        <f>TEXT(51871, "[$-0E0000]yyyy-mm-dd")</f>
        <v/>
      </c>
      <c r="C51872" t="inlineStr">
        <is>
          <t>2041-12-15</t>
        </is>
      </c>
    </row>
    <row r="51873">
      <c r="A51873" s="1" t="n">
        <v>51872</v>
      </c>
      <c r="B51873">
        <f>TEXT(51872, "[$-0E0000]yyyy-mm-dd")</f>
        <v/>
      </c>
      <c r="C51873" t="inlineStr">
        <is>
          <t>2041-12-16</t>
        </is>
      </c>
    </row>
    <row r="51874">
      <c r="A51874" s="1" t="n">
        <v>51873</v>
      </c>
      <c r="B51874">
        <f>TEXT(51873, "[$-0E0000]yyyy-mm-dd")</f>
        <v/>
      </c>
      <c r="C51874" t="inlineStr">
        <is>
          <t>2041-12-17</t>
        </is>
      </c>
    </row>
    <row r="51875">
      <c r="A51875" s="1" t="n">
        <v>51874</v>
      </c>
      <c r="B51875">
        <f>TEXT(51874, "[$-0E0000]yyyy-mm-dd")</f>
        <v/>
      </c>
      <c r="C51875" t="inlineStr">
        <is>
          <t>2041-12-18</t>
        </is>
      </c>
    </row>
    <row r="51876">
      <c r="A51876" s="1" t="n">
        <v>51875</v>
      </c>
      <c r="B51876">
        <f>TEXT(51875, "[$-0E0000]yyyy-mm-dd")</f>
        <v/>
      </c>
      <c r="C51876" t="inlineStr">
        <is>
          <t>2041-12-19</t>
        </is>
      </c>
    </row>
    <row r="51877">
      <c r="A51877" s="1" t="n">
        <v>51876</v>
      </c>
      <c r="B51877">
        <f>TEXT(51876, "[$-0E0000]yyyy-mm-dd")</f>
        <v/>
      </c>
      <c r="C51877" t="inlineStr">
        <is>
          <t>2041-12-20</t>
        </is>
      </c>
    </row>
    <row r="51878">
      <c r="A51878" s="1" t="n">
        <v>51877</v>
      </c>
      <c r="B51878">
        <f>TEXT(51877, "[$-0E0000]yyyy-mm-dd")</f>
        <v/>
      </c>
      <c r="C51878" t="inlineStr">
        <is>
          <t>2041-12-21</t>
        </is>
      </c>
    </row>
    <row r="51879">
      <c r="A51879" s="1" t="n">
        <v>51878</v>
      </c>
      <c r="B51879">
        <f>TEXT(51878, "[$-0E0000]yyyy-mm-dd")</f>
        <v/>
      </c>
      <c r="C51879" t="inlineStr">
        <is>
          <t>2041-12-22</t>
        </is>
      </c>
    </row>
    <row r="51880">
      <c r="A51880" s="1" t="n">
        <v>51879</v>
      </c>
      <c r="B51880">
        <f>TEXT(51879, "[$-0E0000]yyyy-mm-dd")</f>
        <v/>
      </c>
      <c r="C51880" t="inlineStr">
        <is>
          <t>2041-12-23</t>
        </is>
      </c>
    </row>
    <row r="51881">
      <c r="A51881" s="1" t="n">
        <v>51880</v>
      </c>
      <c r="B51881">
        <f>TEXT(51880, "[$-0E0000]yyyy-mm-dd")</f>
        <v/>
      </c>
      <c r="C51881" t="inlineStr">
        <is>
          <t>2041-12-24</t>
        </is>
      </c>
    </row>
    <row r="51882">
      <c r="A51882" s="1" t="n">
        <v>51881</v>
      </c>
      <c r="B51882">
        <f>TEXT(51881, "[$-0E0000]yyyy-mm-dd")</f>
        <v/>
      </c>
      <c r="C51882" t="inlineStr">
        <is>
          <t>2041-12-25</t>
        </is>
      </c>
    </row>
    <row r="51883">
      <c r="A51883" s="1" t="n">
        <v>51882</v>
      </c>
      <c r="B51883">
        <f>TEXT(51882, "[$-0E0000]yyyy-mm-dd")</f>
        <v/>
      </c>
      <c r="C51883" t="inlineStr">
        <is>
          <t>2041-12-26</t>
        </is>
      </c>
    </row>
    <row r="51884">
      <c r="A51884" s="1" t="n">
        <v>51883</v>
      </c>
      <c r="B51884">
        <f>TEXT(51883, "[$-0E0000]yyyy-mm-dd")</f>
        <v/>
      </c>
      <c r="C51884" t="inlineStr">
        <is>
          <t>2041-12-27</t>
        </is>
      </c>
    </row>
    <row r="51885">
      <c r="A51885" s="1" t="n">
        <v>51884</v>
      </c>
      <c r="B51885">
        <f>TEXT(51884, "[$-0E0000]yyyy-mm-dd")</f>
        <v/>
      </c>
      <c r="C51885" t="inlineStr">
        <is>
          <t>2041-12-28</t>
        </is>
      </c>
    </row>
    <row r="51886">
      <c r="A51886" s="1" t="n">
        <v>51885</v>
      </c>
      <c r="B51886">
        <f>TEXT(51885, "[$-0E0000]yyyy-mm-dd")</f>
        <v/>
      </c>
      <c r="C51886" t="inlineStr">
        <is>
          <t>2041-12-29</t>
        </is>
      </c>
    </row>
    <row r="51887">
      <c r="A51887" s="1" t="n">
        <v>51886</v>
      </c>
      <c r="B51887">
        <f>TEXT(51886, "[$-0E0000]yyyy-mm-dd")</f>
        <v/>
      </c>
      <c r="C51887" t="inlineStr">
        <is>
          <t>2041-12-30</t>
        </is>
      </c>
    </row>
    <row r="51888">
      <c r="A51888" s="1" t="n">
        <v>51887</v>
      </c>
      <c r="B51888">
        <f>TEXT(51887, "[$-0E0000]yyyy-mm-dd")</f>
        <v/>
      </c>
      <c r="C51888" t="inlineStr">
        <is>
          <t>2042-01-01</t>
        </is>
      </c>
    </row>
    <row r="51889">
      <c r="A51889" s="1" t="n">
        <v>51888</v>
      </c>
      <c r="B51889">
        <f>TEXT(51888, "[$-0E0000]yyyy-mm-dd")</f>
        <v/>
      </c>
      <c r="C51889" t="inlineStr">
        <is>
          <t>2042-01-02</t>
        </is>
      </c>
    </row>
    <row r="51890">
      <c r="A51890" s="1" t="n">
        <v>51889</v>
      </c>
      <c r="B51890">
        <f>TEXT(51889, "[$-0E0000]yyyy-mm-dd")</f>
        <v/>
      </c>
      <c r="C51890" t="inlineStr">
        <is>
          <t>2042-01-03</t>
        </is>
      </c>
    </row>
    <row r="51891">
      <c r="A51891" s="1" t="n">
        <v>51890</v>
      </c>
      <c r="B51891">
        <f>TEXT(51890, "[$-0E0000]yyyy-mm-dd")</f>
        <v/>
      </c>
      <c r="C51891" t="inlineStr">
        <is>
          <t>2042-01-04</t>
        </is>
      </c>
    </row>
    <row r="51892">
      <c r="A51892" s="1" t="n">
        <v>51891</v>
      </c>
      <c r="B51892">
        <f>TEXT(51891, "[$-0E0000]yyyy-mm-dd")</f>
        <v/>
      </c>
      <c r="C51892" t="inlineStr">
        <is>
          <t>2042-01-05</t>
        </is>
      </c>
    </row>
    <row r="51893">
      <c r="A51893" s="1" t="n">
        <v>51892</v>
      </c>
      <c r="B51893">
        <f>TEXT(51892, "[$-0E0000]yyyy-mm-dd")</f>
        <v/>
      </c>
      <c r="C51893" t="inlineStr">
        <is>
          <t>2042-01-06</t>
        </is>
      </c>
    </row>
    <row r="51894">
      <c r="A51894" s="1" t="n">
        <v>51893</v>
      </c>
      <c r="B51894">
        <f>TEXT(51893, "[$-0E0000]yyyy-mm-dd")</f>
        <v/>
      </c>
      <c r="C51894" t="inlineStr">
        <is>
          <t>2042-01-07</t>
        </is>
      </c>
    </row>
    <row r="51895">
      <c r="A51895" s="1" t="n">
        <v>51894</v>
      </c>
      <c r="B51895">
        <f>TEXT(51894, "[$-0E0000]yyyy-mm-dd")</f>
        <v/>
      </c>
      <c r="C51895" t="inlineStr">
        <is>
          <t>2042-01-08</t>
        </is>
      </c>
    </row>
    <row r="51896">
      <c r="A51896" s="1" t="n">
        <v>51895</v>
      </c>
      <c r="B51896">
        <f>TEXT(51895, "[$-0E0000]yyyy-mm-dd")</f>
        <v/>
      </c>
      <c r="C51896" t="inlineStr">
        <is>
          <t>2042-01-09</t>
        </is>
      </c>
    </row>
    <row r="51897">
      <c r="A51897" s="1" t="n">
        <v>51896</v>
      </c>
      <c r="B51897">
        <f>TEXT(51896, "[$-0E0000]yyyy-mm-dd")</f>
        <v/>
      </c>
      <c r="C51897" t="inlineStr">
        <is>
          <t>2042-01-10</t>
        </is>
      </c>
    </row>
    <row r="51898">
      <c r="A51898" s="1" t="n">
        <v>51897</v>
      </c>
      <c r="B51898">
        <f>TEXT(51897, "[$-0E0000]yyyy-mm-dd")</f>
        <v/>
      </c>
      <c r="C51898" t="inlineStr">
        <is>
          <t>2042-01-11</t>
        </is>
      </c>
    </row>
    <row r="51899">
      <c r="A51899" s="1" t="n">
        <v>51898</v>
      </c>
      <c r="B51899">
        <f>TEXT(51898, "[$-0E0000]yyyy-mm-dd")</f>
        <v/>
      </c>
      <c r="C51899" t="inlineStr">
        <is>
          <t>2042-01-12</t>
        </is>
      </c>
    </row>
    <row r="51900">
      <c r="A51900" s="1" t="n">
        <v>51899</v>
      </c>
      <c r="B51900">
        <f>TEXT(51899, "[$-0E0000]yyyy-mm-dd")</f>
        <v/>
      </c>
      <c r="C51900" t="inlineStr">
        <is>
          <t>2042-01-13</t>
        </is>
      </c>
    </row>
    <row r="51901">
      <c r="A51901" s="1" t="n">
        <v>51900</v>
      </c>
      <c r="B51901">
        <f>TEXT(51900, "[$-0E0000]yyyy-mm-dd")</f>
        <v/>
      </c>
      <c r="C51901" t="inlineStr">
        <is>
          <t>2042-01-14</t>
        </is>
      </c>
    </row>
    <row r="51902">
      <c r="A51902" s="1" t="n">
        <v>51901</v>
      </c>
      <c r="B51902">
        <f>TEXT(51901, "[$-0E0000]yyyy-mm-dd")</f>
        <v/>
      </c>
      <c r="C51902" t="inlineStr">
        <is>
          <t>2042-01-15</t>
        </is>
      </c>
    </row>
    <row r="51903">
      <c r="A51903" s="1" t="n">
        <v>51902</v>
      </c>
      <c r="B51903">
        <f>TEXT(51902, "[$-0E0000]yyyy-mm-dd")</f>
        <v/>
      </c>
      <c r="C51903" t="inlineStr">
        <is>
          <t>2042-01-16</t>
        </is>
      </c>
    </row>
    <row r="51904">
      <c r="A51904" s="1" t="n">
        <v>51903</v>
      </c>
      <c r="B51904">
        <f>TEXT(51903, "[$-0E0000]yyyy-mm-dd")</f>
        <v/>
      </c>
      <c r="C51904" t="inlineStr">
        <is>
          <t>2042-01-17</t>
        </is>
      </c>
    </row>
    <row r="51905">
      <c r="A51905" s="1" t="n">
        <v>51904</v>
      </c>
      <c r="B51905">
        <f>TEXT(51904, "[$-0E0000]yyyy-mm-dd")</f>
        <v/>
      </c>
      <c r="C51905" t="inlineStr">
        <is>
          <t>2042-01-18</t>
        </is>
      </c>
    </row>
    <row r="51906">
      <c r="A51906" s="1" t="n">
        <v>51905</v>
      </c>
      <c r="B51906">
        <f>TEXT(51905, "[$-0E0000]yyyy-mm-dd")</f>
        <v/>
      </c>
      <c r="C51906" t="inlineStr">
        <is>
          <t>2042-01-19</t>
        </is>
      </c>
    </row>
    <row r="51907">
      <c r="A51907" s="1" t="n">
        <v>51906</v>
      </c>
      <c r="B51907">
        <f>TEXT(51906, "[$-0E0000]yyyy-mm-dd")</f>
        <v/>
      </c>
      <c r="C51907" t="inlineStr">
        <is>
          <t>2042-01-20</t>
        </is>
      </c>
    </row>
    <row r="51908">
      <c r="A51908" s="1" t="n">
        <v>51907</v>
      </c>
      <c r="B51908">
        <f>TEXT(51907, "[$-0E0000]yyyy-mm-dd")</f>
        <v/>
      </c>
      <c r="C51908" t="inlineStr">
        <is>
          <t>2042-01-21</t>
        </is>
      </c>
    </row>
    <row r="51909">
      <c r="A51909" s="1" t="n">
        <v>51908</v>
      </c>
      <c r="B51909">
        <f>TEXT(51908, "[$-0E0000]yyyy-mm-dd")</f>
        <v/>
      </c>
      <c r="C51909" t="inlineStr">
        <is>
          <t>2042-01-22</t>
        </is>
      </c>
    </row>
    <row r="51910">
      <c r="A51910" s="1" t="n">
        <v>51909</v>
      </c>
      <c r="B51910">
        <f>TEXT(51909, "[$-0E0000]yyyy-mm-dd")</f>
        <v/>
      </c>
      <c r="C51910" t="inlineStr">
        <is>
          <t>2042-01-23</t>
        </is>
      </c>
    </row>
    <row r="51911">
      <c r="A51911" s="1" t="n">
        <v>51910</v>
      </c>
      <c r="B51911">
        <f>TEXT(51910, "[$-0E0000]yyyy-mm-dd")</f>
        <v/>
      </c>
      <c r="C51911" t="inlineStr">
        <is>
          <t>2042-01-24</t>
        </is>
      </c>
    </row>
    <row r="51912">
      <c r="A51912" s="1" t="n">
        <v>51911</v>
      </c>
      <c r="B51912">
        <f>TEXT(51911, "[$-0E0000]yyyy-mm-dd")</f>
        <v/>
      </c>
      <c r="C51912" t="inlineStr">
        <is>
          <t>2042-01-25</t>
        </is>
      </c>
    </row>
    <row r="51913">
      <c r="A51913" s="1" t="n">
        <v>51912</v>
      </c>
      <c r="B51913">
        <f>TEXT(51912, "[$-0E0000]yyyy-mm-dd")</f>
        <v/>
      </c>
      <c r="C51913" t="inlineStr">
        <is>
          <t>2042-01-26</t>
        </is>
      </c>
    </row>
    <row r="51914">
      <c r="A51914" s="1" t="n">
        <v>51913</v>
      </c>
      <c r="B51914">
        <f>TEXT(51913, "[$-0E0000]yyyy-mm-dd")</f>
        <v/>
      </c>
      <c r="C51914" t="inlineStr">
        <is>
          <t>2042-01-27</t>
        </is>
      </c>
    </row>
    <row r="51915">
      <c r="A51915" s="1" t="n">
        <v>51914</v>
      </c>
      <c r="B51915">
        <f>TEXT(51914, "[$-0E0000]yyyy-mm-dd")</f>
        <v/>
      </c>
      <c r="C51915" t="inlineStr">
        <is>
          <t>2042-01-28</t>
        </is>
      </c>
    </row>
    <row r="51916">
      <c r="A51916" s="1" t="n">
        <v>51915</v>
      </c>
      <c r="B51916">
        <f>TEXT(51915, "[$-0E0000]yyyy-mm-dd")</f>
        <v/>
      </c>
      <c r="C51916" t="inlineStr">
        <is>
          <t>2042-01-29</t>
        </is>
      </c>
    </row>
    <row r="51917">
      <c r="A51917" s="1" t="n">
        <v>51916</v>
      </c>
      <c r="B51917">
        <f>TEXT(51916, "[$-0E0000]yyyy-mm-dd")</f>
        <v/>
      </c>
      <c r="C51917" t="inlineStr">
        <is>
          <t>2042-02-01</t>
        </is>
      </c>
    </row>
    <row r="51918">
      <c r="A51918" s="1" t="n">
        <v>51917</v>
      </c>
      <c r="B51918">
        <f>TEXT(51917, "[$-0E0000]yyyy-mm-dd")</f>
        <v/>
      </c>
      <c r="C51918" t="inlineStr">
        <is>
          <t>2042-02-02</t>
        </is>
      </c>
    </row>
    <row r="51919">
      <c r="A51919" s="1" t="n">
        <v>51918</v>
      </c>
      <c r="B51919">
        <f>TEXT(51918, "[$-0E0000]yyyy-mm-dd")</f>
        <v/>
      </c>
      <c r="C51919" t="inlineStr">
        <is>
          <t>2042-02-03</t>
        </is>
      </c>
    </row>
    <row r="51920">
      <c r="A51920" s="1" t="n">
        <v>51919</v>
      </c>
      <c r="B51920">
        <f>TEXT(51919, "[$-0E0000]yyyy-mm-dd")</f>
        <v/>
      </c>
      <c r="C51920" t="inlineStr">
        <is>
          <t>2042-02-04</t>
        </is>
      </c>
    </row>
    <row r="51921">
      <c r="A51921" s="1" t="n">
        <v>51920</v>
      </c>
      <c r="B51921">
        <f>TEXT(51920, "[$-0E0000]yyyy-mm-dd")</f>
        <v/>
      </c>
      <c r="C51921" t="inlineStr">
        <is>
          <t>2042-02-05</t>
        </is>
      </c>
    </row>
    <row r="51922">
      <c r="A51922" s="1" t="n">
        <v>51921</v>
      </c>
      <c r="B51922">
        <f>TEXT(51921, "[$-0E0000]yyyy-mm-dd")</f>
        <v/>
      </c>
      <c r="C51922" t="inlineStr">
        <is>
          <t>2042-02-06</t>
        </is>
      </c>
    </row>
    <row r="51923">
      <c r="A51923" s="1" t="n">
        <v>51922</v>
      </c>
      <c r="B51923">
        <f>TEXT(51922, "[$-0E0000]yyyy-mm-dd")</f>
        <v/>
      </c>
      <c r="C51923" t="inlineStr">
        <is>
          <t>2042-02-07</t>
        </is>
      </c>
    </row>
    <row r="51924">
      <c r="A51924" s="1" t="n">
        <v>51923</v>
      </c>
      <c r="B51924">
        <f>TEXT(51923, "[$-0E0000]yyyy-mm-dd")</f>
        <v/>
      </c>
      <c r="C51924" t="inlineStr">
        <is>
          <t>2042-02-08</t>
        </is>
      </c>
    </row>
    <row r="51925">
      <c r="A51925" s="1" t="n">
        <v>51924</v>
      </c>
      <c r="B51925">
        <f>TEXT(51924, "[$-0E0000]yyyy-mm-dd")</f>
        <v/>
      </c>
      <c r="C51925" t="inlineStr">
        <is>
          <t>2042-02-09</t>
        </is>
      </c>
    </row>
    <row r="51926">
      <c r="A51926" s="1" t="n">
        <v>51925</v>
      </c>
      <c r="B51926">
        <f>TEXT(51925, "[$-0E0000]yyyy-mm-dd")</f>
        <v/>
      </c>
      <c r="C51926" t="inlineStr">
        <is>
          <t>2042-02-10</t>
        </is>
      </c>
    </row>
    <row r="51927">
      <c r="A51927" s="1" t="n">
        <v>51926</v>
      </c>
      <c r="B51927">
        <f>TEXT(51926, "[$-0E0000]yyyy-mm-dd")</f>
        <v/>
      </c>
      <c r="C51927" t="inlineStr">
        <is>
          <t>2042-02-11</t>
        </is>
      </c>
    </row>
    <row r="51928">
      <c r="A51928" s="1" t="n">
        <v>51927</v>
      </c>
      <c r="B51928">
        <f>TEXT(51927, "[$-0E0000]yyyy-mm-dd")</f>
        <v/>
      </c>
      <c r="C51928" t="inlineStr">
        <is>
          <t>2042-02-12</t>
        </is>
      </c>
    </row>
    <row r="51929">
      <c r="A51929" s="1" t="n">
        <v>51928</v>
      </c>
      <c r="B51929">
        <f>TEXT(51928, "[$-0E0000]yyyy-mm-dd")</f>
        <v/>
      </c>
      <c r="C51929" t="inlineStr">
        <is>
          <t>2042-02-13</t>
        </is>
      </c>
    </row>
    <row r="51930">
      <c r="A51930" s="1" t="n">
        <v>51929</v>
      </c>
      <c r="B51930">
        <f>TEXT(51929, "[$-0E0000]yyyy-mm-dd")</f>
        <v/>
      </c>
      <c r="C51930" t="inlineStr">
        <is>
          <t>2042-02-14</t>
        </is>
      </c>
    </row>
    <row r="51931">
      <c r="A51931" s="1" t="n">
        <v>51930</v>
      </c>
      <c r="B51931">
        <f>TEXT(51930, "[$-0E0000]yyyy-mm-dd")</f>
        <v/>
      </c>
      <c r="C51931" t="inlineStr">
        <is>
          <t>2042-02-15</t>
        </is>
      </c>
    </row>
    <row r="51932">
      <c r="A51932" s="1" t="n">
        <v>51931</v>
      </c>
      <c r="B51932">
        <f>TEXT(51931, "[$-0E0000]yyyy-mm-dd")</f>
        <v/>
      </c>
      <c r="C51932" t="inlineStr">
        <is>
          <t>2042-02-16</t>
        </is>
      </c>
    </row>
    <row r="51933">
      <c r="A51933" s="1" t="n">
        <v>51932</v>
      </c>
      <c r="B51933">
        <f>TEXT(51932, "[$-0E0000]yyyy-mm-dd")</f>
        <v/>
      </c>
      <c r="C51933" t="inlineStr">
        <is>
          <t>2042-02-17</t>
        </is>
      </c>
    </row>
    <row r="51934">
      <c r="A51934" s="1" t="n">
        <v>51933</v>
      </c>
      <c r="B51934">
        <f>TEXT(51933, "[$-0E0000]yyyy-mm-dd")</f>
        <v/>
      </c>
      <c r="C51934" t="inlineStr">
        <is>
          <t>2042-02-18</t>
        </is>
      </c>
    </row>
    <row r="51935">
      <c r="A51935" s="1" t="n">
        <v>51934</v>
      </c>
      <c r="B51935">
        <f>TEXT(51934, "[$-0E0000]yyyy-mm-dd")</f>
        <v/>
      </c>
      <c r="C51935" t="inlineStr">
        <is>
          <t>2042-02-19</t>
        </is>
      </c>
    </row>
    <row r="51936">
      <c r="A51936" s="1" t="n">
        <v>51935</v>
      </c>
      <c r="B51936">
        <f>TEXT(51935, "[$-0E0000]yyyy-mm-dd")</f>
        <v/>
      </c>
      <c r="C51936" t="inlineStr">
        <is>
          <t>2042-02-20</t>
        </is>
      </c>
    </row>
    <row r="51937">
      <c r="A51937" s="1" t="n">
        <v>51936</v>
      </c>
      <c r="B51937">
        <f>TEXT(51936, "[$-0E0000]yyyy-mm-dd")</f>
        <v/>
      </c>
      <c r="C51937" t="inlineStr">
        <is>
          <t>2042-02-21</t>
        </is>
      </c>
    </row>
    <row r="51938">
      <c r="A51938" s="1" t="n">
        <v>51937</v>
      </c>
      <c r="B51938">
        <f>TEXT(51937, "[$-0E0000]yyyy-mm-dd")</f>
        <v/>
      </c>
      <c r="C51938" t="inlineStr">
        <is>
          <t>2042-02-22</t>
        </is>
      </c>
    </row>
    <row r="51939">
      <c r="A51939" s="1" t="n">
        <v>51938</v>
      </c>
      <c r="B51939">
        <f>TEXT(51938, "[$-0E0000]yyyy-mm-dd")</f>
        <v/>
      </c>
      <c r="C51939" t="inlineStr">
        <is>
          <t>2042-02-23</t>
        </is>
      </c>
    </row>
    <row r="51940">
      <c r="A51940" s="1" t="n">
        <v>51939</v>
      </c>
      <c r="B51940">
        <f>TEXT(51939, "[$-0E0000]yyyy-mm-dd")</f>
        <v/>
      </c>
      <c r="C51940" t="inlineStr">
        <is>
          <t>2042-02-24</t>
        </is>
      </c>
    </row>
    <row r="51941">
      <c r="A51941" s="1" t="n">
        <v>51940</v>
      </c>
      <c r="B51941">
        <f>TEXT(51940, "[$-0E0000]yyyy-mm-dd")</f>
        <v/>
      </c>
      <c r="C51941" t="inlineStr">
        <is>
          <t>2042-02-25</t>
        </is>
      </c>
    </row>
    <row r="51942">
      <c r="A51942" s="1" t="n">
        <v>51941</v>
      </c>
      <c r="B51942">
        <f>TEXT(51941, "[$-0E0000]yyyy-mm-dd")</f>
        <v/>
      </c>
      <c r="C51942" t="inlineStr">
        <is>
          <t>2042-02-26</t>
        </is>
      </c>
    </row>
    <row r="51943">
      <c r="A51943" s="1" t="n">
        <v>51942</v>
      </c>
      <c r="B51943">
        <f>TEXT(51942, "[$-0E0000]yyyy-mm-dd")</f>
        <v/>
      </c>
      <c r="C51943" t="inlineStr">
        <is>
          <t>2042-02-27</t>
        </is>
      </c>
    </row>
    <row r="51944">
      <c r="A51944" s="1" t="n">
        <v>51943</v>
      </c>
      <c r="B51944">
        <f>TEXT(51943, "[$-0E0000]yyyy-mm-dd")</f>
        <v/>
      </c>
      <c r="C51944" t="inlineStr">
        <is>
          <t>2042-02-28</t>
        </is>
      </c>
    </row>
    <row r="51945">
      <c r="A51945" s="1" t="n">
        <v>51944</v>
      </c>
      <c r="B51945">
        <f>TEXT(51944, "[$-0E0000]yyyy-mm-dd")</f>
        <v/>
      </c>
      <c r="C51945" t="inlineStr">
        <is>
          <t>2042-02-29</t>
        </is>
      </c>
    </row>
    <row r="51946">
      <c r="A51946" s="1" t="n">
        <v>51945</v>
      </c>
      <c r="B51946">
        <f>TEXT(51945, "[$-0E0000]yyyy-mm-dd")</f>
        <v/>
      </c>
      <c r="C51946" t="inlineStr">
        <is>
          <t>2042-02-30</t>
        </is>
      </c>
    </row>
    <row r="51947">
      <c r="A51947" s="1" t="n">
        <v>51946</v>
      </c>
      <c r="B51947">
        <f>TEXT(51946, "[$-0E0000]yyyy-mm-dd")</f>
        <v/>
      </c>
      <c r="C51947" t="inlineStr">
        <is>
          <t>2042-02-01</t>
        </is>
      </c>
    </row>
    <row r="51948">
      <c r="A51948" s="1" t="n">
        <v>51947</v>
      </c>
      <c r="B51948">
        <f>TEXT(51947, "[$-0E0000]yyyy-mm-dd")</f>
        <v/>
      </c>
      <c r="C51948" t="inlineStr">
        <is>
          <t>2042-02-02</t>
        </is>
      </c>
    </row>
    <row r="51949">
      <c r="A51949" s="1" t="n">
        <v>51948</v>
      </c>
      <c r="B51949">
        <f>TEXT(51948, "[$-0E0000]yyyy-mm-dd")</f>
        <v/>
      </c>
      <c r="C51949" t="inlineStr">
        <is>
          <t>2042-02-03</t>
        </is>
      </c>
    </row>
    <row r="51950">
      <c r="A51950" s="1" t="n">
        <v>51949</v>
      </c>
      <c r="B51950">
        <f>TEXT(51949, "[$-0E0000]yyyy-mm-dd")</f>
        <v/>
      </c>
      <c r="C51950" t="inlineStr">
        <is>
          <t>2042-02-04</t>
        </is>
      </c>
    </row>
    <row r="51951">
      <c r="A51951" s="1" t="n">
        <v>51950</v>
      </c>
      <c r="B51951">
        <f>TEXT(51950, "[$-0E0000]yyyy-mm-dd")</f>
        <v/>
      </c>
      <c r="C51951" t="inlineStr">
        <is>
          <t>2042-02-05</t>
        </is>
      </c>
    </row>
    <row r="51952">
      <c r="A51952" s="1" t="n">
        <v>51951</v>
      </c>
      <c r="B51952">
        <f>TEXT(51951, "[$-0E0000]yyyy-mm-dd")</f>
        <v/>
      </c>
      <c r="C51952" t="inlineStr">
        <is>
          <t>2042-02-06</t>
        </is>
      </c>
    </row>
    <row r="51953">
      <c r="A51953" s="1" t="n">
        <v>51952</v>
      </c>
      <c r="B51953">
        <f>TEXT(51952, "[$-0E0000]yyyy-mm-dd")</f>
        <v/>
      </c>
      <c r="C51953" t="inlineStr">
        <is>
          <t>2042-02-07</t>
        </is>
      </c>
    </row>
    <row r="51954">
      <c r="A51954" s="1" t="n">
        <v>51953</v>
      </c>
      <c r="B51954">
        <f>TEXT(51953, "[$-0E0000]yyyy-mm-dd")</f>
        <v/>
      </c>
      <c r="C51954" t="inlineStr">
        <is>
          <t>2042-02-08</t>
        </is>
      </c>
    </row>
    <row r="51955">
      <c r="A51955" s="1" t="n">
        <v>51954</v>
      </c>
      <c r="B51955">
        <f>TEXT(51954, "[$-0E0000]yyyy-mm-dd")</f>
        <v/>
      </c>
      <c r="C51955" t="inlineStr">
        <is>
          <t>2042-02-09</t>
        </is>
      </c>
    </row>
    <row r="51956">
      <c r="A51956" s="1" t="n">
        <v>51955</v>
      </c>
      <c r="B51956">
        <f>TEXT(51955, "[$-0E0000]yyyy-mm-dd")</f>
        <v/>
      </c>
      <c r="C51956" t="inlineStr">
        <is>
          <t>2042-02-10</t>
        </is>
      </c>
    </row>
    <row r="51957">
      <c r="A51957" s="1" t="n">
        <v>51956</v>
      </c>
      <c r="B51957">
        <f>TEXT(51956, "[$-0E0000]yyyy-mm-dd")</f>
        <v/>
      </c>
      <c r="C51957" t="inlineStr">
        <is>
          <t>2042-02-11</t>
        </is>
      </c>
    </row>
    <row r="51958">
      <c r="A51958" s="1" t="n">
        <v>51957</v>
      </c>
      <c r="B51958">
        <f>TEXT(51957, "[$-0E0000]yyyy-mm-dd")</f>
        <v/>
      </c>
      <c r="C51958" t="inlineStr">
        <is>
          <t>2042-02-12</t>
        </is>
      </c>
    </row>
    <row r="51959">
      <c r="A51959" s="1" t="n">
        <v>51958</v>
      </c>
      <c r="B51959">
        <f>TEXT(51958, "[$-0E0000]yyyy-mm-dd")</f>
        <v/>
      </c>
      <c r="C51959" t="inlineStr">
        <is>
          <t>2042-02-13</t>
        </is>
      </c>
    </row>
    <row r="51960">
      <c r="A51960" s="1" t="n">
        <v>51959</v>
      </c>
      <c r="B51960">
        <f>TEXT(51959, "[$-0E0000]yyyy-mm-dd")</f>
        <v/>
      </c>
      <c r="C51960" t="inlineStr">
        <is>
          <t>2042-02-14</t>
        </is>
      </c>
    </row>
    <row r="51961">
      <c r="A51961" s="1" t="n">
        <v>51960</v>
      </c>
      <c r="B51961">
        <f>TEXT(51960, "[$-0E0000]yyyy-mm-dd")</f>
        <v/>
      </c>
      <c r="C51961" t="inlineStr">
        <is>
          <t>2042-02-15</t>
        </is>
      </c>
    </row>
    <row r="51962">
      <c r="A51962" s="1" t="n">
        <v>51961</v>
      </c>
      <c r="B51962">
        <f>TEXT(51961, "[$-0E0000]yyyy-mm-dd")</f>
        <v/>
      </c>
      <c r="C51962" t="inlineStr">
        <is>
          <t>2042-02-16</t>
        </is>
      </c>
    </row>
    <row r="51963">
      <c r="A51963" s="1" t="n">
        <v>51962</v>
      </c>
      <c r="B51963">
        <f>TEXT(51962, "[$-0E0000]yyyy-mm-dd")</f>
        <v/>
      </c>
      <c r="C51963" t="inlineStr">
        <is>
          <t>2042-02-17</t>
        </is>
      </c>
    </row>
    <row r="51964">
      <c r="A51964" s="1" t="n">
        <v>51963</v>
      </c>
      <c r="B51964">
        <f>TEXT(51963, "[$-0E0000]yyyy-mm-dd")</f>
        <v/>
      </c>
      <c r="C51964" t="inlineStr">
        <is>
          <t>2042-02-18</t>
        </is>
      </c>
    </row>
    <row r="51965">
      <c r="A51965" s="1" t="n">
        <v>51964</v>
      </c>
      <c r="B51965">
        <f>TEXT(51964, "[$-0E0000]yyyy-mm-dd")</f>
        <v/>
      </c>
      <c r="C51965" t="inlineStr">
        <is>
          <t>2042-02-19</t>
        </is>
      </c>
    </row>
    <row r="51966">
      <c r="A51966" s="1" t="n">
        <v>51965</v>
      </c>
      <c r="B51966">
        <f>TEXT(51965, "[$-0E0000]yyyy-mm-dd")</f>
        <v/>
      </c>
      <c r="C51966" t="inlineStr">
        <is>
          <t>2042-02-20</t>
        </is>
      </c>
    </row>
    <row r="51967">
      <c r="A51967" s="1" t="n">
        <v>51966</v>
      </c>
      <c r="B51967">
        <f>TEXT(51966, "[$-0E0000]yyyy-mm-dd")</f>
        <v/>
      </c>
      <c r="C51967" t="inlineStr">
        <is>
          <t>2042-02-21</t>
        </is>
      </c>
    </row>
    <row r="51968">
      <c r="A51968" s="1" t="n">
        <v>51967</v>
      </c>
      <c r="B51968">
        <f>TEXT(51967, "[$-0E0000]yyyy-mm-dd")</f>
        <v/>
      </c>
      <c r="C51968" t="inlineStr">
        <is>
          <t>2042-02-22</t>
        </is>
      </c>
    </row>
    <row r="51969">
      <c r="A51969" s="1" t="n">
        <v>51968</v>
      </c>
      <c r="B51969">
        <f>TEXT(51968, "[$-0E0000]yyyy-mm-dd")</f>
        <v/>
      </c>
      <c r="C51969" t="inlineStr">
        <is>
          <t>2042-02-23</t>
        </is>
      </c>
    </row>
    <row r="51970">
      <c r="A51970" s="1" t="n">
        <v>51969</v>
      </c>
      <c r="B51970">
        <f>TEXT(51969, "[$-0E0000]yyyy-mm-dd")</f>
        <v/>
      </c>
      <c r="C51970" t="inlineStr">
        <is>
          <t>2042-02-24</t>
        </is>
      </c>
    </row>
    <row r="51971">
      <c r="A51971" s="1" t="n">
        <v>51970</v>
      </c>
      <c r="B51971">
        <f>TEXT(51970, "[$-0E0000]yyyy-mm-dd")</f>
        <v/>
      </c>
      <c r="C51971" t="inlineStr">
        <is>
          <t>2042-02-25</t>
        </is>
      </c>
    </row>
    <row r="51972">
      <c r="A51972" s="1" t="n">
        <v>51971</v>
      </c>
      <c r="B51972">
        <f>TEXT(51971, "[$-0E0000]yyyy-mm-dd")</f>
        <v/>
      </c>
      <c r="C51972" t="inlineStr">
        <is>
          <t>2042-02-26</t>
        </is>
      </c>
    </row>
    <row r="51973">
      <c r="A51973" s="1" t="n">
        <v>51972</v>
      </c>
      <c r="B51973">
        <f>TEXT(51972, "[$-0E0000]yyyy-mm-dd")</f>
        <v/>
      </c>
      <c r="C51973" t="inlineStr">
        <is>
          <t>2042-02-27</t>
        </is>
      </c>
    </row>
    <row r="51974">
      <c r="A51974" s="1" t="n">
        <v>51973</v>
      </c>
      <c r="B51974">
        <f>TEXT(51973, "[$-0E0000]yyyy-mm-dd")</f>
        <v/>
      </c>
      <c r="C51974" t="inlineStr">
        <is>
          <t>2042-02-28</t>
        </is>
      </c>
    </row>
    <row r="51975">
      <c r="A51975" s="1" t="n">
        <v>51974</v>
      </c>
      <c r="B51975">
        <f>TEXT(51974, "[$-0E0000]yyyy-mm-dd")</f>
        <v/>
      </c>
      <c r="C51975" t="inlineStr">
        <is>
          <t>2042-02-29</t>
        </is>
      </c>
    </row>
    <row r="51976">
      <c r="A51976" s="1" t="n">
        <v>51975</v>
      </c>
      <c r="B51976">
        <f>TEXT(51975, "[$-0E0000]yyyy-mm-dd")</f>
        <v/>
      </c>
      <c r="C51976" t="inlineStr">
        <is>
          <t>2042-03-01</t>
        </is>
      </c>
    </row>
    <row r="51977">
      <c r="A51977" s="1" t="n">
        <v>51976</v>
      </c>
      <c r="B51977">
        <f>TEXT(51976, "[$-0E0000]yyyy-mm-dd")</f>
        <v/>
      </c>
      <c r="C51977" t="inlineStr">
        <is>
          <t>2042-03-02</t>
        </is>
      </c>
    </row>
    <row r="51978">
      <c r="A51978" s="1" t="n">
        <v>51977</v>
      </c>
      <c r="B51978">
        <f>TEXT(51977, "[$-0E0000]yyyy-mm-dd")</f>
        <v/>
      </c>
      <c r="C51978" t="inlineStr">
        <is>
          <t>2042-03-03</t>
        </is>
      </c>
    </row>
    <row r="51979">
      <c r="A51979" s="1" t="n">
        <v>51978</v>
      </c>
      <c r="B51979">
        <f>TEXT(51978, "[$-0E0000]yyyy-mm-dd")</f>
        <v/>
      </c>
      <c r="C51979" t="inlineStr">
        <is>
          <t>2042-03-04</t>
        </is>
      </c>
    </row>
    <row r="51980">
      <c r="A51980" s="1" t="n">
        <v>51979</v>
      </c>
      <c r="B51980">
        <f>TEXT(51979, "[$-0E0000]yyyy-mm-dd")</f>
        <v/>
      </c>
      <c r="C51980" t="inlineStr">
        <is>
          <t>2042-03-05</t>
        </is>
      </c>
    </row>
    <row r="51981">
      <c r="A51981" s="1" t="n">
        <v>51980</v>
      </c>
      <c r="B51981">
        <f>TEXT(51980, "[$-0E0000]yyyy-mm-dd")</f>
        <v/>
      </c>
      <c r="C51981" t="inlineStr">
        <is>
          <t>2042-03-06</t>
        </is>
      </c>
    </row>
    <row r="51982">
      <c r="A51982" s="1" t="n">
        <v>51981</v>
      </c>
      <c r="B51982">
        <f>TEXT(51981, "[$-0E0000]yyyy-mm-dd")</f>
        <v/>
      </c>
      <c r="C51982" t="inlineStr">
        <is>
          <t>2042-03-07</t>
        </is>
      </c>
    </row>
    <row r="51983">
      <c r="A51983" s="1" t="n">
        <v>51982</v>
      </c>
      <c r="B51983">
        <f>TEXT(51982, "[$-0E0000]yyyy-mm-dd")</f>
        <v/>
      </c>
      <c r="C51983" t="inlineStr">
        <is>
          <t>2042-03-08</t>
        </is>
      </c>
    </row>
    <row r="51984">
      <c r="A51984" s="1" t="n">
        <v>51983</v>
      </c>
      <c r="B51984">
        <f>TEXT(51983, "[$-0E0000]yyyy-mm-dd")</f>
        <v/>
      </c>
      <c r="C51984" t="inlineStr">
        <is>
          <t>2042-03-09</t>
        </is>
      </c>
    </row>
    <row r="51985">
      <c r="A51985" s="1" t="n">
        <v>51984</v>
      </c>
      <c r="B51985">
        <f>TEXT(51984, "[$-0E0000]yyyy-mm-dd")</f>
        <v/>
      </c>
      <c r="C51985" t="inlineStr">
        <is>
          <t>2042-03-10</t>
        </is>
      </c>
    </row>
    <row r="51986">
      <c r="A51986" s="1" t="n">
        <v>51985</v>
      </c>
      <c r="B51986">
        <f>TEXT(51985, "[$-0E0000]yyyy-mm-dd")</f>
        <v/>
      </c>
      <c r="C51986" t="inlineStr">
        <is>
          <t>2042-03-11</t>
        </is>
      </c>
    </row>
    <row r="51987">
      <c r="A51987" s="1" t="n">
        <v>51986</v>
      </c>
      <c r="B51987">
        <f>TEXT(51986, "[$-0E0000]yyyy-mm-dd")</f>
        <v/>
      </c>
      <c r="C51987" t="inlineStr">
        <is>
          <t>2042-03-12</t>
        </is>
      </c>
    </row>
    <row r="51988">
      <c r="A51988" s="1" t="n">
        <v>51987</v>
      </c>
      <c r="B51988">
        <f>TEXT(51987, "[$-0E0000]yyyy-mm-dd")</f>
        <v/>
      </c>
      <c r="C51988" t="inlineStr">
        <is>
          <t>2042-03-13</t>
        </is>
      </c>
    </row>
    <row r="51989">
      <c r="A51989" s="1" t="n">
        <v>51988</v>
      </c>
      <c r="B51989">
        <f>TEXT(51988, "[$-0E0000]yyyy-mm-dd")</f>
        <v/>
      </c>
      <c r="C51989" t="inlineStr">
        <is>
          <t>2042-03-14</t>
        </is>
      </c>
    </row>
    <row r="51990">
      <c r="A51990" s="1" t="n">
        <v>51989</v>
      </c>
      <c r="B51990">
        <f>TEXT(51989, "[$-0E0000]yyyy-mm-dd")</f>
        <v/>
      </c>
      <c r="C51990" t="inlineStr">
        <is>
          <t>2042-03-15</t>
        </is>
      </c>
    </row>
    <row r="51991">
      <c r="A51991" s="1" t="n">
        <v>51990</v>
      </c>
      <c r="B51991">
        <f>TEXT(51990, "[$-0E0000]yyyy-mm-dd")</f>
        <v/>
      </c>
      <c r="C51991" t="inlineStr">
        <is>
          <t>2042-03-16</t>
        </is>
      </c>
    </row>
    <row r="51992">
      <c r="A51992" s="1" t="n">
        <v>51991</v>
      </c>
      <c r="B51992">
        <f>TEXT(51991, "[$-0E0000]yyyy-mm-dd")</f>
        <v/>
      </c>
      <c r="C51992" t="inlineStr">
        <is>
          <t>2042-03-17</t>
        </is>
      </c>
    </row>
    <row r="51993">
      <c r="A51993" s="1" t="n">
        <v>51992</v>
      </c>
      <c r="B51993">
        <f>TEXT(51992, "[$-0E0000]yyyy-mm-dd")</f>
        <v/>
      </c>
      <c r="C51993" t="inlineStr">
        <is>
          <t>2042-03-18</t>
        </is>
      </c>
    </row>
    <row r="51994">
      <c r="A51994" s="1" t="n">
        <v>51993</v>
      </c>
      <c r="B51994">
        <f>TEXT(51993, "[$-0E0000]yyyy-mm-dd")</f>
        <v/>
      </c>
      <c r="C51994" t="inlineStr">
        <is>
          <t>2042-03-19</t>
        </is>
      </c>
    </row>
    <row r="51995">
      <c r="A51995" s="1" t="n">
        <v>51994</v>
      </c>
      <c r="B51995">
        <f>TEXT(51994, "[$-0E0000]yyyy-mm-dd")</f>
        <v/>
      </c>
      <c r="C51995" t="inlineStr">
        <is>
          <t>2042-03-20</t>
        </is>
      </c>
    </row>
    <row r="51996">
      <c r="A51996" s="1" t="n">
        <v>51995</v>
      </c>
      <c r="B51996">
        <f>TEXT(51995, "[$-0E0000]yyyy-mm-dd")</f>
        <v/>
      </c>
      <c r="C51996" t="inlineStr">
        <is>
          <t>2042-03-21</t>
        </is>
      </c>
    </row>
    <row r="51997">
      <c r="A51997" s="1" t="n">
        <v>51996</v>
      </c>
      <c r="B51997">
        <f>TEXT(51996, "[$-0E0000]yyyy-mm-dd")</f>
        <v/>
      </c>
      <c r="C51997" t="inlineStr">
        <is>
          <t>2042-03-22</t>
        </is>
      </c>
    </row>
    <row r="51998">
      <c r="A51998" s="1" t="n">
        <v>51997</v>
      </c>
      <c r="B51998">
        <f>TEXT(51997, "[$-0E0000]yyyy-mm-dd")</f>
        <v/>
      </c>
      <c r="C51998" t="inlineStr">
        <is>
          <t>2042-03-23</t>
        </is>
      </c>
    </row>
    <row r="51999">
      <c r="A51999" s="1" t="n">
        <v>51998</v>
      </c>
      <c r="B51999">
        <f>TEXT(51998, "[$-0E0000]yyyy-mm-dd")</f>
        <v/>
      </c>
      <c r="C51999" t="inlineStr">
        <is>
          <t>2042-03-24</t>
        </is>
      </c>
    </row>
    <row r="52000">
      <c r="A52000" s="1" t="n">
        <v>51999</v>
      </c>
      <c r="B52000">
        <f>TEXT(51999, "[$-0E0000]yyyy-mm-dd")</f>
        <v/>
      </c>
      <c r="C52000" t="inlineStr">
        <is>
          <t>2042-03-25</t>
        </is>
      </c>
    </row>
    <row r="52001">
      <c r="A52001" s="1" t="n">
        <v>52000</v>
      </c>
      <c r="B52001">
        <f>TEXT(52000, "[$-0E0000]yyyy-mm-dd")</f>
        <v/>
      </c>
      <c r="C52001" t="inlineStr">
        <is>
          <t>2042-03-26</t>
        </is>
      </c>
    </row>
    <row r="52002">
      <c r="A52002" s="1" t="n">
        <v>52001</v>
      </c>
      <c r="B52002">
        <f>TEXT(52001, "[$-0E0000]yyyy-mm-dd")</f>
        <v/>
      </c>
      <c r="C52002" t="inlineStr">
        <is>
          <t>2042-03-27</t>
        </is>
      </c>
    </row>
    <row r="52003">
      <c r="A52003" s="1" t="n">
        <v>52002</v>
      </c>
      <c r="B52003">
        <f>TEXT(52002, "[$-0E0000]yyyy-mm-dd")</f>
        <v/>
      </c>
      <c r="C52003" t="inlineStr">
        <is>
          <t>2042-03-28</t>
        </is>
      </c>
    </row>
    <row r="52004">
      <c r="A52004" s="1" t="n">
        <v>52003</v>
      </c>
      <c r="B52004">
        <f>TEXT(52003, "[$-0E0000]yyyy-mm-dd")</f>
        <v/>
      </c>
      <c r="C52004" t="inlineStr">
        <is>
          <t>2042-03-29</t>
        </is>
      </c>
    </row>
    <row r="52005">
      <c r="A52005" s="1" t="n">
        <v>52004</v>
      </c>
      <c r="B52005">
        <f>TEXT(52004, "[$-0E0000]yyyy-mm-dd")</f>
        <v/>
      </c>
      <c r="C52005" t="inlineStr">
        <is>
          <t>2042-04-01</t>
        </is>
      </c>
    </row>
    <row r="52006">
      <c r="A52006" s="1" t="n">
        <v>52005</v>
      </c>
      <c r="B52006">
        <f>TEXT(52005, "[$-0E0000]yyyy-mm-dd")</f>
        <v/>
      </c>
      <c r="C52006" t="inlineStr">
        <is>
          <t>2042-04-02</t>
        </is>
      </c>
    </row>
    <row r="52007">
      <c r="A52007" s="1" t="n">
        <v>52006</v>
      </c>
      <c r="B52007">
        <f>TEXT(52006, "[$-0E0000]yyyy-mm-dd")</f>
        <v/>
      </c>
      <c r="C52007" t="inlineStr">
        <is>
          <t>2042-04-03</t>
        </is>
      </c>
    </row>
    <row r="52008">
      <c r="A52008" s="1" t="n">
        <v>52007</v>
      </c>
      <c r="B52008">
        <f>TEXT(52007, "[$-0E0000]yyyy-mm-dd")</f>
        <v/>
      </c>
      <c r="C52008" t="inlineStr">
        <is>
          <t>2042-04-04</t>
        </is>
      </c>
    </row>
    <row r="52009">
      <c r="A52009" s="1" t="n">
        <v>52008</v>
      </c>
      <c r="B52009">
        <f>TEXT(52008, "[$-0E0000]yyyy-mm-dd")</f>
        <v/>
      </c>
      <c r="C52009" t="inlineStr">
        <is>
          <t>2042-04-05</t>
        </is>
      </c>
    </row>
    <row r="52010">
      <c r="A52010" s="1" t="n">
        <v>52009</v>
      </c>
      <c r="B52010">
        <f>TEXT(52009, "[$-0E0000]yyyy-mm-dd")</f>
        <v/>
      </c>
      <c r="C52010" t="inlineStr">
        <is>
          <t>2042-04-06</t>
        </is>
      </c>
    </row>
    <row r="52011">
      <c r="A52011" s="1" t="n">
        <v>52010</v>
      </c>
      <c r="B52011">
        <f>TEXT(52010, "[$-0E0000]yyyy-mm-dd")</f>
        <v/>
      </c>
      <c r="C52011" t="inlineStr">
        <is>
          <t>2042-04-07</t>
        </is>
      </c>
    </row>
    <row r="52012">
      <c r="A52012" s="1" t="n">
        <v>52011</v>
      </c>
      <c r="B52012">
        <f>TEXT(52011, "[$-0E0000]yyyy-mm-dd")</f>
        <v/>
      </c>
      <c r="C52012" t="inlineStr">
        <is>
          <t>2042-04-08</t>
        </is>
      </c>
    </row>
    <row r="52013">
      <c r="A52013" s="1" t="n">
        <v>52012</v>
      </c>
      <c r="B52013">
        <f>TEXT(52012, "[$-0E0000]yyyy-mm-dd")</f>
        <v/>
      </c>
      <c r="C52013" t="inlineStr">
        <is>
          <t>2042-04-09</t>
        </is>
      </c>
    </row>
    <row r="52014">
      <c r="A52014" s="1" t="n">
        <v>52013</v>
      </c>
      <c r="B52014">
        <f>TEXT(52013, "[$-0E0000]yyyy-mm-dd")</f>
        <v/>
      </c>
      <c r="C52014" t="inlineStr">
        <is>
          <t>2042-04-10</t>
        </is>
      </c>
    </row>
    <row r="52015">
      <c r="A52015" s="1" t="n">
        <v>52014</v>
      </c>
      <c r="B52015">
        <f>TEXT(52014, "[$-0E0000]yyyy-mm-dd")</f>
        <v/>
      </c>
      <c r="C52015" t="inlineStr">
        <is>
          <t>2042-04-11</t>
        </is>
      </c>
    </row>
    <row r="52016">
      <c r="A52016" s="1" t="n">
        <v>52015</v>
      </c>
      <c r="B52016">
        <f>TEXT(52015, "[$-0E0000]yyyy-mm-dd")</f>
        <v/>
      </c>
      <c r="C52016" t="inlineStr">
        <is>
          <t>2042-04-12</t>
        </is>
      </c>
    </row>
    <row r="52017">
      <c r="A52017" s="1" t="n">
        <v>52016</v>
      </c>
      <c r="B52017">
        <f>TEXT(52016, "[$-0E0000]yyyy-mm-dd")</f>
        <v/>
      </c>
      <c r="C52017" t="inlineStr">
        <is>
          <t>2042-04-13</t>
        </is>
      </c>
    </row>
    <row r="52018">
      <c r="A52018" s="1" t="n">
        <v>52017</v>
      </c>
      <c r="B52018">
        <f>TEXT(52017, "[$-0E0000]yyyy-mm-dd")</f>
        <v/>
      </c>
      <c r="C52018" t="inlineStr">
        <is>
          <t>2042-04-14</t>
        </is>
      </c>
    </row>
    <row r="52019">
      <c r="A52019" s="1" t="n">
        <v>52018</v>
      </c>
      <c r="B52019">
        <f>TEXT(52018, "[$-0E0000]yyyy-mm-dd")</f>
        <v/>
      </c>
      <c r="C52019" t="inlineStr">
        <is>
          <t>2042-04-15</t>
        </is>
      </c>
    </row>
    <row r="52020">
      <c r="A52020" s="1" t="n">
        <v>52019</v>
      </c>
      <c r="B52020">
        <f>TEXT(52019, "[$-0E0000]yyyy-mm-dd")</f>
        <v/>
      </c>
      <c r="C52020" t="inlineStr">
        <is>
          <t>2042-04-16</t>
        </is>
      </c>
    </row>
    <row r="52021">
      <c r="A52021" s="1" t="n">
        <v>52020</v>
      </c>
      <c r="B52021">
        <f>TEXT(52020, "[$-0E0000]yyyy-mm-dd")</f>
        <v/>
      </c>
      <c r="C52021" t="inlineStr">
        <is>
          <t>2042-04-17</t>
        </is>
      </c>
    </row>
    <row r="52022">
      <c r="A52022" s="1" t="n">
        <v>52021</v>
      </c>
      <c r="B52022">
        <f>TEXT(52021, "[$-0E0000]yyyy-mm-dd")</f>
        <v/>
      </c>
      <c r="C52022" t="inlineStr">
        <is>
          <t>2042-04-18</t>
        </is>
      </c>
    </row>
    <row r="52023">
      <c r="A52023" s="1" t="n">
        <v>52022</v>
      </c>
      <c r="B52023">
        <f>TEXT(52022, "[$-0E0000]yyyy-mm-dd")</f>
        <v/>
      </c>
      <c r="C52023" t="inlineStr">
        <is>
          <t>2042-04-19</t>
        </is>
      </c>
    </row>
    <row r="52024">
      <c r="A52024" s="1" t="n">
        <v>52023</v>
      </c>
      <c r="B52024">
        <f>TEXT(52023, "[$-0E0000]yyyy-mm-dd")</f>
        <v/>
      </c>
      <c r="C52024" t="inlineStr">
        <is>
          <t>2042-04-20</t>
        </is>
      </c>
    </row>
    <row r="52025">
      <c r="A52025" s="1" t="n">
        <v>52024</v>
      </c>
      <c r="B52025">
        <f>TEXT(52024, "[$-0E0000]yyyy-mm-dd")</f>
        <v/>
      </c>
      <c r="C52025" t="inlineStr">
        <is>
          <t>2042-04-21</t>
        </is>
      </c>
    </row>
    <row r="52026">
      <c r="A52026" s="1" t="n">
        <v>52025</v>
      </c>
      <c r="B52026">
        <f>TEXT(52025, "[$-0E0000]yyyy-mm-dd")</f>
        <v/>
      </c>
      <c r="C52026" t="inlineStr">
        <is>
          <t>2042-04-22</t>
        </is>
      </c>
    </row>
    <row r="52027">
      <c r="A52027" s="1" t="n">
        <v>52026</v>
      </c>
      <c r="B52027">
        <f>TEXT(52026, "[$-0E0000]yyyy-mm-dd")</f>
        <v/>
      </c>
      <c r="C52027" t="inlineStr">
        <is>
          <t>2042-04-23</t>
        </is>
      </c>
    </row>
    <row r="52028">
      <c r="A52028" s="1" t="n">
        <v>52027</v>
      </c>
      <c r="B52028">
        <f>TEXT(52027, "[$-0E0000]yyyy-mm-dd")</f>
        <v/>
      </c>
      <c r="C52028" t="inlineStr">
        <is>
          <t>2042-04-24</t>
        </is>
      </c>
    </row>
    <row r="52029">
      <c r="A52029" s="1" t="n">
        <v>52028</v>
      </c>
      <c r="B52029">
        <f>TEXT(52028, "[$-0E0000]yyyy-mm-dd")</f>
        <v/>
      </c>
      <c r="C52029" t="inlineStr">
        <is>
          <t>2042-04-25</t>
        </is>
      </c>
    </row>
    <row r="52030">
      <c r="A52030" s="1" t="n">
        <v>52029</v>
      </c>
      <c r="B52030">
        <f>TEXT(52029, "[$-0E0000]yyyy-mm-dd")</f>
        <v/>
      </c>
      <c r="C52030" t="inlineStr">
        <is>
          <t>2042-04-26</t>
        </is>
      </c>
    </row>
    <row r="52031">
      <c r="A52031" s="1" t="n">
        <v>52030</v>
      </c>
      <c r="B52031">
        <f>TEXT(52030, "[$-0E0000]yyyy-mm-dd")</f>
        <v/>
      </c>
      <c r="C52031" t="inlineStr">
        <is>
          <t>2042-04-27</t>
        </is>
      </c>
    </row>
    <row r="52032">
      <c r="A52032" s="1" t="n">
        <v>52031</v>
      </c>
      <c r="B52032">
        <f>TEXT(52031, "[$-0E0000]yyyy-mm-dd")</f>
        <v/>
      </c>
      <c r="C52032" t="inlineStr">
        <is>
          <t>2042-04-28</t>
        </is>
      </c>
    </row>
    <row r="52033">
      <c r="A52033" s="1" t="n">
        <v>52032</v>
      </c>
      <c r="B52033">
        <f>TEXT(52032, "[$-0E0000]yyyy-mm-dd")</f>
        <v/>
      </c>
      <c r="C52033" t="inlineStr">
        <is>
          <t>2042-04-29</t>
        </is>
      </c>
    </row>
    <row r="52034">
      <c r="A52034" s="1" t="n">
        <v>52033</v>
      </c>
      <c r="B52034">
        <f>TEXT(52033, "[$-0E0000]yyyy-mm-dd")</f>
        <v/>
      </c>
      <c r="C52034" t="inlineStr">
        <is>
          <t>2042-04-30</t>
        </is>
      </c>
    </row>
    <row r="52035">
      <c r="A52035" s="1" t="n">
        <v>52034</v>
      </c>
      <c r="B52035">
        <f>TEXT(52034, "[$-0E0000]yyyy-mm-dd")</f>
        <v/>
      </c>
      <c r="C52035" t="inlineStr">
        <is>
          <t>2042-05-01</t>
        </is>
      </c>
    </row>
    <row r="52036">
      <c r="A52036" s="1" t="n">
        <v>52035</v>
      </c>
      <c r="B52036">
        <f>TEXT(52035, "[$-0E0000]yyyy-mm-dd")</f>
        <v/>
      </c>
      <c r="C52036" t="inlineStr">
        <is>
          <t>2042-05-02</t>
        </is>
      </c>
    </row>
    <row r="52037">
      <c r="A52037" s="1" t="n">
        <v>52036</v>
      </c>
      <c r="B52037">
        <f>TEXT(52036, "[$-0E0000]yyyy-mm-dd")</f>
        <v/>
      </c>
      <c r="C52037" t="inlineStr">
        <is>
          <t>2042-05-03</t>
        </is>
      </c>
    </row>
    <row r="52038">
      <c r="A52038" s="1" t="n">
        <v>52037</v>
      </c>
      <c r="B52038">
        <f>TEXT(52037, "[$-0E0000]yyyy-mm-dd")</f>
        <v/>
      </c>
      <c r="C52038" t="inlineStr">
        <is>
          <t>2042-05-04</t>
        </is>
      </c>
    </row>
    <row r="52039">
      <c r="A52039" s="1" t="n">
        <v>52038</v>
      </c>
      <c r="B52039">
        <f>TEXT(52038, "[$-0E0000]yyyy-mm-dd")</f>
        <v/>
      </c>
      <c r="C52039" t="inlineStr">
        <is>
          <t>2042-05-05</t>
        </is>
      </c>
    </row>
    <row r="52040">
      <c r="A52040" s="1" t="n">
        <v>52039</v>
      </c>
      <c r="B52040">
        <f>TEXT(52039, "[$-0E0000]yyyy-mm-dd")</f>
        <v/>
      </c>
      <c r="C52040" t="inlineStr">
        <is>
          <t>2042-05-06</t>
        </is>
      </c>
    </row>
    <row r="52041">
      <c r="A52041" s="1" t="n">
        <v>52040</v>
      </c>
      <c r="B52041">
        <f>TEXT(52040, "[$-0E0000]yyyy-mm-dd")</f>
        <v/>
      </c>
      <c r="C52041" t="inlineStr">
        <is>
          <t>2042-05-07</t>
        </is>
      </c>
    </row>
    <row r="52042">
      <c r="A52042" s="1" t="n">
        <v>52041</v>
      </c>
      <c r="B52042">
        <f>TEXT(52041, "[$-0E0000]yyyy-mm-dd")</f>
        <v/>
      </c>
      <c r="C52042" t="inlineStr">
        <is>
          <t>2042-05-08</t>
        </is>
      </c>
    </row>
    <row r="52043">
      <c r="A52043" s="1" t="n">
        <v>52042</v>
      </c>
      <c r="B52043">
        <f>TEXT(52042, "[$-0E0000]yyyy-mm-dd")</f>
        <v/>
      </c>
      <c r="C52043" t="inlineStr">
        <is>
          <t>2042-05-09</t>
        </is>
      </c>
    </row>
    <row r="52044">
      <c r="A52044" s="1" t="n">
        <v>52043</v>
      </c>
      <c r="B52044">
        <f>TEXT(52043, "[$-0E0000]yyyy-mm-dd")</f>
        <v/>
      </c>
      <c r="C52044" t="inlineStr">
        <is>
          <t>2042-05-10</t>
        </is>
      </c>
    </row>
    <row r="52045">
      <c r="A52045" s="1" t="n">
        <v>52044</v>
      </c>
      <c r="B52045">
        <f>TEXT(52044, "[$-0E0000]yyyy-mm-dd")</f>
        <v/>
      </c>
      <c r="C52045" t="inlineStr">
        <is>
          <t>2042-05-11</t>
        </is>
      </c>
    </row>
    <row r="52046">
      <c r="A52046" s="1" t="n">
        <v>52045</v>
      </c>
      <c r="B52046">
        <f>TEXT(52045, "[$-0E0000]yyyy-mm-dd")</f>
        <v/>
      </c>
      <c r="C52046" t="inlineStr">
        <is>
          <t>2042-05-12</t>
        </is>
      </c>
    </row>
    <row r="52047">
      <c r="A52047" s="1" t="n">
        <v>52046</v>
      </c>
      <c r="B52047">
        <f>TEXT(52046, "[$-0E0000]yyyy-mm-dd")</f>
        <v/>
      </c>
      <c r="C52047" t="inlineStr">
        <is>
          <t>2042-05-13</t>
        </is>
      </c>
    </row>
    <row r="52048">
      <c r="A52048" s="1" t="n">
        <v>52047</v>
      </c>
      <c r="B52048">
        <f>TEXT(52047, "[$-0E0000]yyyy-mm-dd")</f>
        <v/>
      </c>
      <c r="C52048" t="inlineStr">
        <is>
          <t>2042-05-14</t>
        </is>
      </c>
    </row>
    <row r="52049">
      <c r="A52049" s="1" t="n">
        <v>52048</v>
      </c>
      <c r="B52049">
        <f>TEXT(52048, "[$-0E0000]yyyy-mm-dd")</f>
        <v/>
      </c>
      <c r="C52049" t="inlineStr">
        <is>
          <t>2042-05-15</t>
        </is>
      </c>
    </row>
    <row r="52050">
      <c r="A52050" s="1" t="n">
        <v>52049</v>
      </c>
      <c r="B52050">
        <f>TEXT(52049, "[$-0E0000]yyyy-mm-dd")</f>
        <v/>
      </c>
      <c r="C52050" t="inlineStr">
        <is>
          <t>2042-05-16</t>
        </is>
      </c>
    </row>
    <row r="52051">
      <c r="A52051" s="1" t="n">
        <v>52050</v>
      </c>
      <c r="B52051">
        <f>TEXT(52050, "[$-0E0000]yyyy-mm-dd")</f>
        <v/>
      </c>
      <c r="C52051" t="inlineStr">
        <is>
          <t>2042-05-17</t>
        </is>
      </c>
    </row>
    <row r="52052">
      <c r="A52052" s="1" t="n">
        <v>52051</v>
      </c>
      <c r="B52052">
        <f>TEXT(52051, "[$-0E0000]yyyy-mm-dd")</f>
        <v/>
      </c>
      <c r="C52052" t="inlineStr">
        <is>
          <t>2042-05-18</t>
        </is>
      </c>
    </row>
    <row r="52053">
      <c r="A52053" s="1" t="n">
        <v>52052</v>
      </c>
      <c r="B52053">
        <f>TEXT(52052, "[$-0E0000]yyyy-mm-dd")</f>
        <v/>
      </c>
      <c r="C52053" t="inlineStr">
        <is>
          <t>2042-05-19</t>
        </is>
      </c>
    </row>
    <row r="52054">
      <c r="A52054" s="1" t="n">
        <v>52053</v>
      </c>
      <c r="B52054">
        <f>TEXT(52053, "[$-0E0000]yyyy-mm-dd")</f>
        <v/>
      </c>
      <c r="C52054" t="inlineStr">
        <is>
          <t>2042-05-20</t>
        </is>
      </c>
    </row>
    <row r="52055">
      <c r="A52055" s="1" t="n">
        <v>52054</v>
      </c>
      <c r="B52055">
        <f>TEXT(52054, "[$-0E0000]yyyy-mm-dd")</f>
        <v/>
      </c>
      <c r="C52055" t="inlineStr">
        <is>
          <t>2042-05-21</t>
        </is>
      </c>
    </row>
    <row r="52056">
      <c r="A52056" s="1" t="n">
        <v>52055</v>
      </c>
      <c r="B52056">
        <f>TEXT(52055, "[$-0E0000]yyyy-mm-dd")</f>
        <v/>
      </c>
      <c r="C52056" t="inlineStr">
        <is>
          <t>2042-05-22</t>
        </is>
      </c>
    </row>
    <row r="52057">
      <c r="A52057" s="1" t="n">
        <v>52056</v>
      </c>
      <c r="B52057">
        <f>TEXT(52056, "[$-0E0000]yyyy-mm-dd")</f>
        <v/>
      </c>
      <c r="C52057" t="inlineStr">
        <is>
          <t>2042-05-23</t>
        </is>
      </c>
    </row>
    <row r="52058">
      <c r="A52058" s="1" t="n">
        <v>52057</v>
      </c>
      <c r="B52058">
        <f>TEXT(52057, "[$-0E0000]yyyy-mm-dd")</f>
        <v/>
      </c>
      <c r="C52058" t="inlineStr">
        <is>
          <t>2042-05-24</t>
        </is>
      </c>
    </row>
    <row r="52059">
      <c r="A52059" s="1" t="n">
        <v>52058</v>
      </c>
      <c r="B52059">
        <f>TEXT(52058, "[$-0E0000]yyyy-mm-dd")</f>
        <v/>
      </c>
      <c r="C52059" t="inlineStr">
        <is>
          <t>2042-05-25</t>
        </is>
      </c>
    </row>
    <row r="52060">
      <c r="A52060" s="1" t="n">
        <v>52059</v>
      </c>
      <c r="B52060">
        <f>TEXT(52059, "[$-0E0000]yyyy-mm-dd")</f>
        <v/>
      </c>
      <c r="C52060" t="inlineStr">
        <is>
          <t>2042-05-26</t>
        </is>
      </c>
    </row>
    <row r="52061">
      <c r="A52061" s="1" t="n">
        <v>52060</v>
      </c>
      <c r="B52061">
        <f>TEXT(52060, "[$-0E0000]yyyy-mm-dd")</f>
        <v/>
      </c>
      <c r="C52061" t="inlineStr">
        <is>
          <t>2042-05-27</t>
        </is>
      </c>
    </row>
    <row r="52062">
      <c r="A52062" s="1" t="n">
        <v>52061</v>
      </c>
      <c r="B52062">
        <f>TEXT(52061, "[$-0E0000]yyyy-mm-dd")</f>
        <v/>
      </c>
      <c r="C52062" t="inlineStr">
        <is>
          <t>2042-05-28</t>
        </is>
      </c>
    </row>
    <row r="52063">
      <c r="A52063" s="1" t="n">
        <v>52062</v>
      </c>
      <c r="B52063">
        <f>TEXT(52062, "[$-0E0000]yyyy-mm-dd")</f>
        <v/>
      </c>
      <c r="C52063" t="inlineStr">
        <is>
          <t>2042-05-29</t>
        </is>
      </c>
    </row>
    <row r="52064">
      <c r="A52064" s="1" t="n">
        <v>52063</v>
      </c>
      <c r="B52064">
        <f>TEXT(52063, "[$-0E0000]yyyy-mm-dd")</f>
        <v/>
      </c>
      <c r="C52064" t="inlineStr">
        <is>
          <t>2042-06-01</t>
        </is>
      </c>
    </row>
    <row r="52065">
      <c r="A52065" s="1" t="n">
        <v>52064</v>
      </c>
      <c r="B52065">
        <f>TEXT(52064, "[$-0E0000]yyyy-mm-dd")</f>
        <v/>
      </c>
      <c r="C52065" t="inlineStr">
        <is>
          <t>2042-06-02</t>
        </is>
      </c>
    </row>
    <row r="52066">
      <c r="A52066" s="1" t="n">
        <v>52065</v>
      </c>
      <c r="B52066">
        <f>TEXT(52065, "[$-0E0000]yyyy-mm-dd")</f>
        <v/>
      </c>
      <c r="C52066" t="inlineStr">
        <is>
          <t>2042-06-03</t>
        </is>
      </c>
    </row>
    <row r="52067">
      <c r="A52067" s="1" t="n">
        <v>52066</v>
      </c>
      <c r="B52067">
        <f>TEXT(52066, "[$-0E0000]yyyy-mm-dd")</f>
        <v/>
      </c>
      <c r="C52067" t="inlineStr">
        <is>
          <t>2042-06-04</t>
        </is>
      </c>
    </row>
    <row r="52068">
      <c r="A52068" s="1" t="n">
        <v>52067</v>
      </c>
      <c r="B52068">
        <f>TEXT(52067, "[$-0E0000]yyyy-mm-dd")</f>
        <v/>
      </c>
      <c r="C52068" t="inlineStr">
        <is>
          <t>2042-06-05</t>
        </is>
      </c>
    </row>
    <row r="52069">
      <c r="A52069" s="1" t="n">
        <v>52068</v>
      </c>
      <c r="B52069">
        <f>TEXT(52068, "[$-0E0000]yyyy-mm-dd")</f>
        <v/>
      </c>
      <c r="C52069" t="inlineStr">
        <is>
          <t>2042-06-06</t>
        </is>
      </c>
    </row>
    <row r="52070">
      <c r="A52070" s="1" t="n">
        <v>52069</v>
      </c>
      <c r="B52070">
        <f>TEXT(52069, "[$-0E0000]yyyy-mm-dd")</f>
        <v/>
      </c>
      <c r="C52070" t="inlineStr">
        <is>
          <t>2042-06-07</t>
        </is>
      </c>
    </row>
    <row r="52071">
      <c r="A52071" s="1" t="n">
        <v>52070</v>
      </c>
      <c r="B52071">
        <f>TEXT(52070, "[$-0E0000]yyyy-mm-dd")</f>
        <v/>
      </c>
      <c r="C52071" t="inlineStr">
        <is>
          <t>2042-06-08</t>
        </is>
      </c>
    </row>
    <row r="52072">
      <c r="A52072" s="1" t="n">
        <v>52071</v>
      </c>
      <c r="B52072">
        <f>TEXT(52071, "[$-0E0000]yyyy-mm-dd")</f>
        <v/>
      </c>
      <c r="C52072" t="inlineStr">
        <is>
          <t>2042-06-09</t>
        </is>
      </c>
    </row>
    <row r="52073">
      <c r="A52073" s="1" t="n">
        <v>52072</v>
      </c>
      <c r="B52073">
        <f>TEXT(52072, "[$-0E0000]yyyy-mm-dd")</f>
        <v/>
      </c>
      <c r="C52073" t="inlineStr">
        <is>
          <t>2042-06-10</t>
        </is>
      </c>
    </row>
    <row r="52074">
      <c r="A52074" s="1" t="n">
        <v>52073</v>
      </c>
      <c r="B52074">
        <f>TEXT(52073, "[$-0E0000]yyyy-mm-dd")</f>
        <v/>
      </c>
      <c r="C52074" t="inlineStr">
        <is>
          <t>2042-06-11</t>
        </is>
      </c>
    </row>
    <row r="52075">
      <c r="A52075" s="1" t="n">
        <v>52074</v>
      </c>
      <c r="B52075">
        <f>TEXT(52074, "[$-0E0000]yyyy-mm-dd")</f>
        <v/>
      </c>
      <c r="C52075" t="inlineStr">
        <is>
          <t>2042-06-12</t>
        </is>
      </c>
    </row>
    <row r="52076">
      <c r="A52076" s="1" t="n">
        <v>52075</v>
      </c>
      <c r="B52076">
        <f>TEXT(52075, "[$-0E0000]yyyy-mm-dd")</f>
        <v/>
      </c>
      <c r="C52076" t="inlineStr">
        <is>
          <t>2042-06-13</t>
        </is>
      </c>
    </row>
    <row r="52077">
      <c r="A52077" s="1" t="n">
        <v>52076</v>
      </c>
      <c r="B52077">
        <f>TEXT(52076, "[$-0E0000]yyyy-mm-dd")</f>
        <v/>
      </c>
      <c r="C52077" t="inlineStr">
        <is>
          <t>2042-06-14</t>
        </is>
      </c>
    </row>
    <row r="52078">
      <c r="A52078" s="1" t="n">
        <v>52077</v>
      </c>
      <c r="B52078">
        <f>TEXT(52077, "[$-0E0000]yyyy-mm-dd")</f>
        <v/>
      </c>
      <c r="C52078" t="inlineStr">
        <is>
          <t>2042-06-15</t>
        </is>
      </c>
    </row>
    <row r="52079">
      <c r="A52079" s="1" t="n">
        <v>52078</v>
      </c>
      <c r="B52079">
        <f>TEXT(52078, "[$-0E0000]yyyy-mm-dd")</f>
        <v/>
      </c>
      <c r="C52079" t="inlineStr">
        <is>
          <t>2042-06-16</t>
        </is>
      </c>
    </row>
    <row r="52080">
      <c r="A52080" s="1" t="n">
        <v>52079</v>
      </c>
      <c r="B52080">
        <f>TEXT(52079, "[$-0E0000]yyyy-mm-dd")</f>
        <v/>
      </c>
      <c r="C52080" t="inlineStr">
        <is>
          <t>2042-06-17</t>
        </is>
      </c>
    </row>
    <row r="52081">
      <c r="A52081" s="1" t="n">
        <v>52080</v>
      </c>
      <c r="B52081">
        <f>TEXT(52080, "[$-0E0000]yyyy-mm-dd")</f>
        <v/>
      </c>
      <c r="C52081" t="inlineStr">
        <is>
          <t>2042-06-18</t>
        </is>
      </c>
    </row>
    <row r="52082">
      <c r="A52082" s="1" t="n">
        <v>52081</v>
      </c>
      <c r="B52082">
        <f>TEXT(52081, "[$-0E0000]yyyy-mm-dd")</f>
        <v/>
      </c>
      <c r="C52082" t="inlineStr">
        <is>
          <t>2042-06-19</t>
        </is>
      </c>
    </row>
    <row r="52083">
      <c r="A52083" s="1" t="n">
        <v>52082</v>
      </c>
      <c r="B52083">
        <f>TEXT(52082, "[$-0E0000]yyyy-mm-dd")</f>
        <v/>
      </c>
      <c r="C52083" t="inlineStr">
        <is>
          <t>2042-06-20</t>
        </is>
      </c>
    </row>
    <row r="52084">
      <c r="A52084" s="1" t="n">
        <v>52083</v>
      </c>
      <c r="B52084">
        <f>TEXT(52083, "[$-0E0000]yyyy-mm-dd")</f>
        <v/>
      </c>
      <c r="C52084" t="inlineStr">
        <is>
          <t>2042-06-21</t>
        </is>
      </c>
    </row>
    <row r="52085">
      <c r="A52085" s="1" t="n">
        <v>52084</v>
      </c>
      <c r="B52085">
        <f>TEXT(52084, "[$-0E0000]yyyy-mm-dd")</f>
        <v/>
      </c>
      <c r="C52085" t="inlineStr">
        <is>
          <t>2042-06-22</t>
        </is>
      </c>
    </row>
    <row r="52086">
      <c r="A52086" s="1" t="n">
        <v>52085</v>
      </c>
      <c r="B52086">
        <f>TEXT(52085, "[$-0E0000]yyyy-mm-dd")</f>
        <v/>
      </c>
      <c r="C52086" t="inlineStr">
        <is>
          <t>2042-06-23</t>
        </is>
      </c>
    </row>
    <row r="52087">
      <c r="A52087" s="1" t="n">
        <v>52086</v>
      </c>
      <c r="B52087">
        <f>TEXT(52086, "[$-0E0000]yyyy-mm-dd")</f>
        <v/>
      </c>
      <c r="C52087" t="inlineStr">
        <is>
          <t>2042-06-24</t>
        </is>
      </c>
    </row>
    <row r="52088">
      <c r="A52088" s="1" t="n">
        <v>52087</v>
      </c>
      <c r="B52088">
        <f>TEXT(52087, "[$-0E0000]yyyy-mm-dd")</f>
        <v/>
      </c>
      <c r="C52088" t="inlineStr">
        <is>
          <t>2042-06-25</t>
        </is>
      </c>
    </row>
    <row r="52089">
      <c r="A52089" s="1" t="n">
        <v>52088</v>
      </c>
      <c r="B52089">
        <f>TEXT(52088, "[$-0E0000]yyyy-mm-dd")</f>
        <v/>
      </c>
      <c r="C52089" t="inlineStr">
        <is>
          <t>2042-06-26</t>
        </is>
      </c>
    </row>
    <row r="52090">
      <c r="A52090" s="1" t="n">
        <v>52089</v>
      </c>
      <c r="B52090">
        <f>TEXT(52089, "[$-0E0000]yyyy-mm-dd")</f>
        <v/>
      </c>
      <c r="C52090" t="inlineStr">
        <is>
          <t>2042-06-27</t>
        </is>
      </c>
    </row>
    <row r="52091">
      <c r="A52091" s="1" t="n">
        <v>52090</v>
      </c>
      <c r="B52091">
        <f>TEXT(52090, "[$-0E0000]yyyy-mm-dd")</f>
        <v/>
      </c>
      <c r="C52091" t="inlineStr">
        <is>
          <t>2042-06-28</t>
        </is>
      </c>
    </row>
    <row r="52092">
      <c r="A52092" s="1" t="n">
        <v>52091</v>
      </c>
      <c r="B52092">
        <f>TEXT(52091, "[$-0E0000]yyyy-mm-dd")</f>
        <v/>
      </c>
      <c r="C52092" t="inlineStr">
        <is>
          <t>2042-06-29</t>
        </is>
      </c>
    </row>
    <row r="52093">
      <c r="A52093" s="1" t="n">
        <v>52092</v>
      </c>
      <c r="B52093">
        <f>TEXT(52092, "[$-0E0000]yyyy-mm-dd")</f>
        <v/>
      </c>
      <c r="C52093" t="inlineStr">
        <is>
          <t>2042-06-30</t>
        </is>
      </c>
    </row>
    <row r="52094">
      <c r="A52094" s="1" t="n">
        <v>52093</v>
      </c>
      <c r="B52094">
        <f>TEXT(52093, "[$-0E0000]yyyy-mm-dd")</f>
        <v/>
      </c>
      <c r="C52094" t="inlineStr">
        <is>
          <t>2042-07-01</t>
        </is>
      </c>
    </row>
    <row r="52095">
      <c r="A52095" s="1" t="n">
        <v>52094</v>
      </c>
      <c r="B52095">
        <f>TEXT(52094, "[$-0E0000]yyyy-mm-dd")</f>
        <v/>
      </c>
      <c r="C52095" t="inlineStr">
        <is>
          <t>2042-07-02</t>
        </is>
      </c>
    </row>
    <row r="52096">
      <c r="A52096" s="1" t="n">
        <v>52095</v>
      </c>
      <c r="B52096">
        <f>TEXT(52095, "[$-0E0000]yyyy-mm-dd")</f>
        <v/>
      </c>
      <c r="C52096" t="inlineStr">
        <is>
          <t>2042-07-03</t>
        </is>
      </c>
    </row>
    <row r="52097">
      <c r="A52097" s="1" t="n">
        <v>52096</v>
      </c>
      <c r="B52097">
        <f>TEXT(52096, "[$-0E0000]yyyy-mm-dd")</f>
        <v/>
      </c>
      <c r="C52097" t="inlineStr">
        <is>
          <t>2042-07-04</t>
        </is>
      </c>
    </row>
    <row r="52098">
      <c r="A52098" s="1" t="n">
        <v>52097</v>
      </c>
      <c r="B52098">
        <f>TEXT(52097, "[$-0E0000]yyyy-mm-dd")</f>
        <v/>
      </c>
      <c r="C52098" t="inlineStr">
        <is>
          <t>2042-07-05</t>
        </is>
      </c>
    </row>
    <row r="52099">
      <c r="A52099" s="1" t="n">
        <v>52098</v>
      </c>
      <c r="B52099">
        <f>TEXT(52098, "[$-0E0000]yyyy-mm-dd")</f>
        <v/>
      </c>
      <c r="C52099" t="inlineStr">
        <is>
          <t>2042-07-06</t>
        </is>
      </c>
    </row>
    <row r="52100">
      <c r="A52100" s="1" t="n">
        <v>52099</v>
      </c>
      <c r="B52100">
        <f>TEXT(52099, "[$-0E0000]yyyy-mm-dd")</f>
        <v/>
      </c>
      <c r="C52100" t="inlineStr">
        <is>
          <t>2042-07-07</t>
        </is>
      </c>
    </row>
    <row r="52101">
      <c r="A52101" s="1" t="n">
        <v>52100</v>
      </c>
      <c r="B52101">
        <f>TEXT(52100, "[$-0E0000]yyyy-mm-dd")</f>
        <v/>
      </c>
      <c r="C52101" t="inlineStr">
        <is>
          <t>2042-07-08</t>
        </is>
      </c>
    </row>
    <row r="52102">
      <c r="A52102" s="1" t="n">
        <v>52101</v>
      </c>
      <c r="B52102">
        <f>TEXT(52101, "[$-0E0000]yyyy-mm-dd")</f>
        <v/>
      </c>
      <c r="C52102" t="inlineStr">
        <is>
          <t>2042-07-09</t>
        </is>
      </c>
    </row>
    <row r="52103">
      <c r="A52103" s="1" t="n">
        <v>52102</v>
      </c>
      <c r="B52103">
        <f>TEXT(52102, "[$-0E0000]yyyy-mm-dd")</f>
        <v/>
      </c>
      <c r="C52103" t="inlineStr">
        <is>
          <t>2042-07-10</t>
        </is>
      </c>
    </row>
    <row r="52104">
      <c r="A52104" s="1" t="n">
        <v>52103</v>
      </c>
      <c r="B52104">
        <f>TEXT(52103, "[$-0E0000]yyyy-mm-dd")</f>
        <v/>
      </c>
      <c r="C52104" t="inlineStr">
        <is>
          <t>2042-07-11</t>
        </is>
      </c>
    </row>
    <row r="52105">
      <c r="A52105" s="1" t="n">
        <v>52104</v>
      </c>
      <c r="B52105">
        <f>TEXT(52104, "[$-0E0000]yyyy-mm-dd")</f>
        <v/>
      </c>
      <c r="C52105" t="inlineStr">
        <is>
          <t>2042-07-12</t>
        </is>
      </c>
    </row>
    <row r="52106">
      <c r="A52106" s="1" t="n">
        <v>52105</v>
      </c>
      <c r="B52106">
        <f>TEXT(52105, "[$-0E0000]yyyy-mm-dd")</f>
        <v/>
      </c>
      <c r="C52106" t="inlineStr">
        <is>
          <t>2042-07-13</t>
        </is>
      </c>
    </row>
    <row r="52107">
      <c r="A52107" s="1" t="n">
        <v>52106</v>
      </c>
      <c r="B52107">
        <f>TEXT(52106, "[$-0E0000]yyyy-mm-dd")</f>
        <v/>
      </c>
      <c r="C52107" t="inlineStr">
        <is>
          <t>2042-07-14</t>
        </is>
      </c>
    </row>
    <row r="52108">
      <c r="A52108" s="1" t="n">
        <v>52107</v>
      </c>
      <c r="B52108">
        <f>TEXT(52107, "[$-0E0000]yyyy-mm-dd")</f>
        <v/>
      </c>
      <c r="C52108" t="inlineStr">
        <is>
          <t>2042-07-15</t>
        </is>
      </c>
    </row>
    <row r="52109">
      <c r="A52109" s="1" t="n">
        <v>52108</v>
      </c>
      <c r="B52109">
        <f>TEXT(52108, "[$-0E0000]yyyy-mm-dd")</f>
        <v/>
      </c>
      <c r="C52109" t="inlineStr">
        <is>
          <t>2042-07-16</t>
        </is>
      </c>
    </row>
    <row r="52110">
      <c r="A52110" s="1" t="n">
        <v>52109</v>
      </c>
      <c r="B52110">
        <f>TEXT(52109, "[$-0E0000]yyyy-mm-dd")</f>
        <v/>
      </c>
      <c r="C52110" t="inlineStr">
        <is>
          <t>2042-07-17</t>
        </is>
      </c>
    </row>
    <row r="52111">
      <c r="A52111" s="1" t="n">
        <v>52110</v>
      </c>
      <c r="B52111">
        <f>TEXT(52110, "[$-0E0000]yyyy-mm-dd")</f>
        <v/>
      </c>
      <c r="C52111" t="inlineStr">
        <is>
          <t>2042-07-18</t>
        </is>
      </c>
    </row>
    <row r="52112">
      <c r="A52112" s="1" t="n">
        <v>52111</v>
      </c>
      <c r="B52112">
        <f>TEXT(52111, "[$-0E0000]yyyy-mm-dd")</f>
        <v/>
      </c>
      <c r="C52112" t="inlineStr">
        <is>
          <t>2042-07-19</t>
        </is>
      </c>
    </row>
    <row r="52113">
      <c r="A52113" s="1" t="n">
        <v>52112</v>
      </c>
      <c r="B52113">
        <f>TEXT(52112, "[$-0E0000]yyyy-mm-dd")</f>
        <v/>
      </c>
      <c r="C52113" t="inlineStr">
        <is>
          <t>2042-07-20</t>
        </is>
      </c>
    </row>
    <row r="52114">
      <c r="A52114" s="1" t="n">
        <v>52113</v>
      </c>
      <c r="B52114">
        <f>TEXT(52113, "[$-0E0000]yyyy-mm-dd")</f>
        <v/>
      </c>
      <c r="C52114" t="inlineStr">
        <is>
          <t>2042-07-21</t>
        </is>
      </c>
    </row>
    <row r="52115">
      <c r="A52115" s="1" t="n">
        <v>52114</v>
      </c>
      <c r="B52115">
        <f>TEXT(52114, "[$-0E0000]yyyy-mm-dd")</f>
        <v/>
      </c>
      <c r="C52115" t="inlineStr">
        <is>
          <t>2042-07-22</t>
        </is>
      </c>
    </row>
    <row r="52116">
      <c r="A52116" s="1" t="n">
        <v>52115</v>
      </c>
      <c r="B52116">
        <f>TEXT(52115, "[$-0E0000]yyyy-mm-dd")</f>
        <v/>
      </c>
      <c r="C52116" t="inlineStr">
        <is>
          <t>2042-07-23</t>
        </is>
      </c>
    </row>
    <row r="52117">
      <c r="A52117" s="1" t="n">
        <v>52116</v>
      </c>
      <c r="B52117">
        <f>TEXT(52116, "[$-0E0000]yyyy-mm-dd")</f>
        <v/>
      </c>
      <c r="C52117" t="inlineStr">
        <is>
          <t>2042-07-24</t>
        </is>
      </c>
    </row>
    <row r="52118">
      <c r="A52118" s="1" t="n">
        <v>52117</v>
      </c>
      <c r="B52118">
        <f>TEXT(52117, "[$-0E0000]yyyy-mm-dd")</f>
        <v/>
      </c>
      <c r="C52118" t="inlineStr">
        <is>
          <t>2042-07-25</t>
        </is>
      </c>
    </row>
    <row r="52119">
      <c r="A52119" s="1" t="n">
        <v>52118</v>
      </c>
      <c r="B52119">
        <f>TEXT(52118, "[$-0E0000]yyyy-mm-dd")</f>
        <v/>
      </c>
      <c r="C52119" t="inlineStr">
        <is>
          <t>2042-07-26</t>
        </is>
      </c>
    </row>
    <row r="52120">
      <c r="A52120" s="1" t="n">
        <v>52119</v>
      </c>
      <c r="B52120">
        <f>TEXT(52119, "[$-0E0000]yyyy-mm-dd")</f>
        <v/>
      </c>
      <c r="C52120" t="inlineStr">
        <is>
          <t>2042-07-27</t>
        </is>
      </c>
    </row>
    <row r="52121">
      <c r="A52121" s="1" t="n">
        <v>52120</v>
      </c>
      <c r="B52121">
        <f>TEXT(52120, "[$-0E0000]yyyy-mm-dd")</f>
        <v/>
      </c>
      <c r="C52121" t="inlineStr">
        <is>
          <t>2042-07-28</t>
        </is>
      </c>
    </row>
    <row r="52122">
      <c r="A52122" s="1" t="n">
        <v>52121</v>
      </c>
      <c r="B52122">
        <f>TEXT(52121, "[$-0E0000]yyyy-mm-dd")</f>
        <v/>
      </c>
      <c r="C52122" t="inlineStr">
        <is>
          <t>2042-07-29</t>
        </is>
      </c>
    </row>
    <row r="52123">
      <c r="A52123" s="1" t="n">
        <v>52122</v>
      </c>
      <c r="B52123">
        <f>TEXT(52122, "[$-0E0000]yyyy-mm-dd")</f>
        <v/>
      </c>
      <c r="C52123" t="inlineStr">
        <is>
          <t>2042-08-01</t>
        </is>
      </c>
    </row>
    <row r="52124">
      <c r="A52124" s="1" t="n">
        <v>52123</v>
      </c>
      <c r="B52124">
        <f>TEXT(52123, "[$-0E0000]yyyy-mm-dd")</f>
        <v/>
      </c>
      <c r="C52124" t="inlineStr">
        <is>
          <t>2042-08-02</t>
        </is>
      </c>
    </row>
    <row r="52125">
      <c r="A52125" s="1" t="n">
        <v>52124</v>
      </c>
      <c r="B52125">
        <f>TEXT(52124, "[$-0E0000]yyyy-mm-dd")</f>
        <v/>
      </c>
      <c r="C52125" t="inlineStr">
        <is>
          <t>2042-08-03</t>
        </is>
      </c>
    </row>
    <row r="52126">
      <c r="A52126" s="1" t="n">
        <v>52125</v>
      </c>
      <c r="B52126">
        <f>TEXT(52125, "[$-0E0000]yyyy-mm-dd")</f>
        <v/>
      </c>
      <c r="C52126" t="inlineStr">
        <is>
          <t>2042-08-04</t>
        </is>
      </c>
    </row>
    <row r="52127">
      <c r="A52127" s="1" t="n">
        <v>52126</v>
      </c>
      <c r="B52127">
        <f>TEXT(52126, "[$-0E0000]yyyy-mm-dd")</f>
        <v/>
      </c>
      <c r="C52127" t="inlineStr">
        <is>
          <t>2042-08-05</t>
        </is>
      </c>
    </row>
    <row r="52128">
      <c r="A52128" s="1" t="n">
        <v>52127</v>
      </c>
      <c r="B52128">
        <f>TEXT(52127, "[$-0E0000]yyyy-mm-dd")</f>
        <v/>
      </c>
      <c r="C52128" t="inlineStr">
        <is>
          <t>2042-08-06</t>
        </is>
      </c>
    </row>
    <row r="52129">
      <c r="A52129" s="1" t="n">
        <v>52128</v>
      </c>
      <c r="B52129">
        <f>TEXT(52128, "[$-0E0000]yyyy-mm-dd")</f>
        <v/>
      </c>
      <c r="C52129" t="inlineStr">
        <is>
          <t>2042-08-07</t>
        </is>
      </c>
    </row>
    <row r="52130">
      <c r="A52130" s="1" t="n">
        <v>52129</v>
      </c>
      <c r="B52130">
        <f>TEXT(52129, "[$-0E0000]yyyy-mm-dd")</f>
        <v/>
      </c>
      <c r="C52130" t="inlineStr">
        <is>
          <t>2042-08-08</t>
        </is>
      </c>
    </row>
    <row r="52131">
      <c r="A52131" s="1" t="n">
        <v>52130</v>
      </c>
      <c r="B52131">
        <f>TEXT(52130, "[$-0E0000]yyyy-mm-dd")</f>
        <v/>
      </c>
      <c r="C52131" t="inlineStr">
        <is>
          <t>2042-08-09</t>
        </is>
      </c>
    </row>
    <row r="52132">
      <c r="A52132" s="1" t="n">
        <v>52131</v>
      </c>
      <c r="B52132">
        <f>TEXT(52131, "[$-0E0000]yyyy-mm-dd")</f>
        <v/>
      </c>
      <c r="C52132" t="inlineStr">
        <is>
          <t>2042-08-10</t>
        </is>
      </c>
    </row>
    <row r="52133">
      <c r="A52133" s="1" t="n">
        <v>52132</v>
      </c>
      <c r="B52133">
        <f>TEXT(52132, "[$-0E0000]yyyy-mm-dd")</f>
        <v/>
      </c>
      <c r="C52133" t="inlineStr">
        <is>
          <t>2042-08-11</t>
        </is>
      </c>
    </row>
    <row r="52134">
      <c r="A52134" s="1" t="n">
        <v>52133</v>
      </c>
      <c r="B52134">
        <f>TEXT(52133, "[$-0E0000]yyyy-mm-dd")</f>
        <v/>
      </c>
      <c r="C52134" t="inlineStr">
        <is>
          <t>2042-08-12</t>
        </is>
      </c>
    </row>
    <row r="52135">
      <c r="A52135" s="1" t="n">
        <v>52134</v>
      </c>
      <c r="B52135">
        <f>TEXT(52134, "[$-0E0000]yyyy-mm-dd")</f>
        <v/>
      </c>
      <c r="C52135" t="inlineStr">
        <is>
          <t>2042-08-13</t>
        </is>
      </c>
    </row>
    <row r="52136">
      <c r="A52136" s="1" t="n">
        <v>52135</v>
      </c>
      <c r="B52136">
        <f>TEXT(52135, "[$-0E0000]yyyy-mm-dd")</f>
        <v/>
      </c>
      <c r="C52136" t="inlineStr">
        <is>
          <t>2042-08-14</t>
        </is>
      </c>
    </row>
    <row r="52137">
      <c r="A52137" s="1" t="n">
        <v>52136</v>
      </c>
      <c r="B52137">
        <f>TEXT(52136, "[$-0E0000]yyyy-mm-dd")</f>
        <v/>
      </c>
      <c r="C52137" t="inlineStr">
        <is>
          <t>2042-08-15</t>
        </is>
      </c>
    </row>
    <row r="52138">
      <c r="A52138" s="1" t="n">
        <v>52137</v>
      </c>
      <c r="B52138">
        <f>TEXT(52137, "[$-0E0000]yyyy-mm-dd")</f>
        <v/>
      </c>
      <c r="C52138" t="inlineStr">
        <is>
          <t>2042-08-16</t>
        </is>
      </c>
    </row>
    <row r="52139">
      <c r="A52139" s="1" t="n">
        <v>52138</v>
      </c>
      <c r="B52139">
        <f>TEXT(52138, "[$-0E0000]yyyy-mm-dd")</f>
        <v/>
      </c>
      <c r="C52139" t="inlineStr">
        <is>
          <t>2042-08-17</t>
        </is>
      </c>
    </row>
    <row r="52140">
      <c r="A52140" s="1" t="n">
        <v>52139</v>
      </c>
      <c r="B52140">
        <f>TEXT(52139, "[$-0E0000]yyyy-mm-dd")</f>
        <v/>
      </c>
      <c r="C52140" t="inlineStr">
        <is>
          <t>2042-08-18</t>
        </is>
      </c>
    </row>
    <row r="52141">
      <c r="A52141" s="1" t="n">
        <v>52140</v>
      </c>
      <c r="B52141">
        <f>TEXT(52140, "[$-0E0000]yyyy-mm-dd")</f>
        <v/>
      </c>
      <c r="C52141" t="inlineStr">
        <is>
          <t>2042-08-19</t>
        </is>
      </c>
    </row>
    <row r="52142">
      <c r="A52142" s="1" t="n">
        <v>52141</v>
      </c>
      <c r="B52142">
        <f>TEXT(52141, "[$-0E0000]yyyy-mm-dd")</f>
        <v/>
      </c>
      <c r="C52142" t="inlineStr">
        <is>
          <t>2042-08-20</t>
        </is>
      </c>
    </row>
    <row r="52143">
      <c r="A52143" s="1" t="n">
        <v>52142</v>
      </c>
      <c r="B52143">
        <f>TEXT(52142, "[$-0E0000]yyyy-mm-dd")</f>
        <v/>
      </c>
      <c r="C52143" t="inlineStr">
        <is>
          <t>2042-08-21</t>
        </is>
      </c>
    </row>
    <row r="52144">
      <c r="A52144" s="1" t="n">
        <v>52143</v>
      </c>
      <c r="B52144">
        <f>TEXT(52143, "[$-0E0000]yyyy-mm-dd")</f>
        <v/>
      </c>
      <c r="C52144" t="inlineStr">
        <is>
          <t>2042-08-22</t>
        </is>
      </c>
    </row>
    <row r="52145">
      <c r="A52145" s="1" t="n">
        <v>52144</v>
      </c>
      <c r="B52145">
        <f>TEXT(52144, "[$-0E0000]yyyy-mm-dd")</f>
        <v/>
      </c>
      <c r="C52145" t="inlineStr">
        <is>
          <t>2042-08-23</t>
        </is>
      </c>
    </row>
    <row r="52146">
      <c r="A52146" s="1" t="n">
        <v>52145</v>
      </c>
      <c r="B52146">
        <f>TEXT(52145, "[$-0E0000]yyyy-mm-dd")</f>
        <v/>
      </c>
      <c r="C52146" t="inlineStr">
        <is>
          <t>2042-08-24</t>
        </is>
      </c>
    </row>
    <row r="52147">
      <c r="A52147" s="1" t="n">
        <v>52146</v>
      </c>
      <c r="B52147">
        <f>TEXT(52146, "[$-0E0000]yyyy-mm-dd")</f>
        <v/>
      </c>
      <c r="C52147" t="inlineStr">
        <is>
          <t>2042-08-25</t>
        </is>
      </c>
    </row>
    <row r="52148">
      <c r="A52148" s="1" t="n">
        <v>52147</v>
      </c>
      <c r="B52148">
        <f>TEXT(52147, "[$-0E0000]yyyy-mm-dd")</f>
        <v/>
      </c>
      <c r="C52148" t="inlineStr">
        <is>
          <t>2042-08-26</t>
        </is>
      </c>
    </row>
    <row r="52149">
      <c r="A52149" s="1" t="n">
        <v>52148</v>
      </c>
      <c r="B52149">
        <f>TEXT(52148, "[$-0E0000]yyyy-mm-dd")</f>
        <v/>
      </c>
      <c r="C52149" t="inlineStr">
        <is>
          <t>2042-08-27</t>
        </is>
      </c>
    </row>
    <row r="52150">
      <c r="A52150" s="1" t="n">
        <v>52149</v>
      </c>
      <c r="B52150">
        <f>TEXT(52149, "[$-0E0000]yyyy-mm-dd")</f>
        <v/>
      </c>
      <c r="C52150" t="inlineStr">
        <is>
          <t>2042-08-28</t>
        </is>
      </c>
    </row>
    <row r="52151">
      <c r="A52151" s="1" t="n">
        <v>52150</v>
      </c>
      <c r="B52151">
        <f>TEXT(52150, "[$-0E0000]yyyy-mm-dd")</f>
        <v/>
      </c>
      <c r="C52151" t="inlineStr">
        <is>
          <t>2042-08-29</t>
        </is>
      </c>
    </row>
    <row r="52152">
      <c r="A52152" s="1" t="n">
        <v>52151</v>
      </c>
      <c r="B52152">
        <f>TEXT(52151, "[$-0E0000]yyyy-mm-dd")</f>
        <v/>
      </c>
      <c r="C52152" t="inlineStr">
        <is>
          <t>2042-08-30</t>
        </is>
      </c>
    </row>
    <row r="52153">
      <c r="A52153" s="1" t="n">
        <v>52152</v>
      </c>
      <c r="B52153">
        <f>TEXT(52152, "[$-0E0000]yyyy-mm-dd")</f>
        <v/>
      </c>
      <c r="C52153" t="inlineStr">
        <is>
          <t>2042-09-01</t>
        </is>
      </c>
    </row>
    <row r="52154">
      <c r="A52154" s="1" t="n">
        <v>52153</v>
      </c>
      <c r="B52154">
        <f>TEXT(52153, "[$-0E0000]yyyy-mm-dd")</f>
        <v/>
      </c>
      <c r="C52154" t="inlineStr">
        <is>
          <t>2042-09-02</t>
        </is>
      </c>
    </row>
    <row r="52155">
      <c r="A52155" s="1" t="n">
        <v>52154</v>
      </c>
      <c r="B52155">
        <f>TEXT(52154, "[$-0E0000]yyyy-mm-dd")</f>
        <v/>
      </c>
      <c r="C52155" t="inlineStr">
        <is>
          <t>2042-09-03</t>
        </is>
      </c>
    </row>
    <row r="52156">
      <c r="A52156" s="1" t="n">
        <v>52155</v>
      </c>
      <c r="B52156">
        <f>TEXT(52155, "[$-0E0000]yyyy-mm-dd")</f>
        <v/>
      </c>
      <c r="C52156" t="inlineStr">
        <is>
          <t>2042-09-04</t>
        </is>
      </c>
    </row>
    <row r="52157">
      <c r="A52157" s="1" t="n">
        <v>52156</v>
      </c>
      <c r="B52157">
        <f>TEXT(52156, "[$-0E0000]yyyy-mm-dd")</f>
        <v/>
      </c>
      <c r="C52157" t="inlineStr">
        <is>
          <t>2042-09-05</t>
        </is>
      </c>
    </row>
    <row r="52158">
      <c r="A52158" s="1" t="n">
        <v>52157</v>
      </c>
      <c r="B52158">
        <f>TEXT(52157, "[$-0E0000]yyyy-mm-dd")</f>
        <v/>
      </c>
      <c r="C52158" t="inlineStr">
        <is>
          <t>2042-09-06</t>
        </is>
      </c>
    </row>
    <row r="52159">
      <c r="A52159" s="1" t="n">
        <v>52158</v>
      </c>
      <c r="B52159">
        <f>TEXT(52158, "[$-0E0000]yyyy-mm-dd")</f>
        <v/>
      </c>
      <c r="C52159" t="inlineStr">
        <is>
          <t>2042-09-07</t>
        </is>
      </c>
    </row>
    <row r="52160">
      <c r="A52160" s="1" t="n">
        <v>52159</v>
      </c>
      <c r="B52160">
        <f>TEXT(52159, "[$-0E0000]yyyy-mm-dd")</f>
        <v/>
      </c>
      <c r="C52160" t="inlineStr">
        <is>
          <t>2042-09-08</t>
        </is>
      </c>
    </row>
    <row r="52161">
      <c r="A52161" s="1" t="n">
        <v>52160</v>
      </c>
      <c r="B52161">
        <f>TEXT(52160, "[$-0E0000]yyyy-mm-dd")</f>
        <v/>
      </c>
      <c r="C52161" t="inlineStr">
        <is>
          <t>2042-09-09</t>
        </is>
      </c>
    </row>
    <row r="52162">
      <c r="A52162" s="1" t="n">
        <v>52161</v>
      </c>
      <c r="B52162">
        <f>TEXT(52161, "[$-0E0000]yyyy-mm-dd")</f>
        <v/>
      </c>
      <c r="C52162" t="inlineStr">
        <is>
          <t>2042-09-10</t>
        </is>
      </c>
    </row>
    <row r="52163">
      <c r="A52163" s="1" t="n">
        <v>52162</v>
      </c>
      <c r="B52163">
        <f>TEXT(52162, "[$-0E0000]yyyy-mm-dd")</f>
        <v/>
      </c>
      <c r="C52163" t="inlineStr">
        <is>
          <t>2042-09-11</t>
        </is>
      </c>
    </row>
    <row r="52164">
      <c r="A52164" s="1" t="n">
        <v>52163</v>
      </c>
      <c r="B52164">
        <f>TEXT(52163, "[$-0E0000]yyyy-mm-dd")</f>
        <v/>
      </c>
      <c r="C52164" t="inlineStr">
        <is>
          <t>2042-09-12</t>
        </is>
      </c>
    </row>
    <row r="52165">
      <c r="A52165" s="1" t="n">
        <v>52164</v>
      </c>
      <c r="B52165">
        <f>TEXT(52164, "[$-0E0000]yyyy-mm-dd")</f>
        <v/>
      </c>
      <c r="C52165" t="inlineStr">
        <is>
          <t>2042-09-13</t>
        </is>
      </c>
    </row>
    <row r="52166">
      <c r="A52166" s="1" t="n">
        <v>52165</v>
      </c>
      <c r="B52166">
        <f>TEXT(52165, "[$-0E0000]yyyy-mm-dd")</f>
        <v/>
      </c>
      <c r="C52166" t="inlineStr">
        <is>
          <t>2042-09-14</t>
        </is>
      </c>
    </row>
    <row r="52167">
      <c r="A52167" s="1" t="n">
        <v>52166</v>
      </c>
      <c r="B52167">
        <f>TEXT(52166, "[$-0E0000]yyyy-mm-dd")</f>
        <v/>
      </c>
      <c r="C52167" t="inlineStr">
        <is>
          <t>2042-09-15</t>
        </is>
      </c>
    </row>
    <row r="52168">
      <c r="A52168" s="1" t="n">
        <v>52167</v>
      </c>
      <c r="B52168">
        <f>TEXT(52167, "[$-0E0000]yyyy-mm-dd")</f>
        <v/>
      </c>
      <c r="C52168" t="inlineStr">
        <is>
          <t>2042-09-16</t>
        </is>
      </c>
    </row>
    <row r="52169">
      <c r="A52169" s="1" t="n">
        <v>52168</v>
      </c>
      <c r="B52169">
        <f>TEXT(52168, "[$-0E0000]yyyy-mm-dd")</f>
        <v/>
      </c>
      <c r="C52169" t="inlineStr">
        <is>
          <t>2042-09-17</t>
        </is>
      </c>
    </row>
    <row r="52170">
      <c r="A52170" s="1" t="n">
        <v>52169</v>
      </c>
      <c r="B52170">
        <f>TEXT(52169, "[$-0E0000]yyyy-mm-dd")</f>
        <v/>
      </c>
      <c r="C52170" t="inlineStr">
        <is>
          <t>2042-09-18</t>
        </is>
      </c>
    </row>
    <row r="52171">
      <c r="A52171" s="1" t="n">
        <v>52170</v>
      </c>
      <c r="B52171">
        <f>TEXT(52170, "[$-0E0000]yyyy-mm-dd")</f>
        <v/>
      </c>
      <c r="C52171" t="inlineStr">
        <is>
          <t>2042-09-19</t>
        </is>
      </c>
    </row>
    <row r="52172">
      <c r="A52172" s="1" t="n">
        <v>52171</v>
      </c>
      <c r="B52172">
        <f>TEXT(52171, "[$-0E0000]yyyy-mm-dd")</f>
        <v/>
      </c>
      <c r="C52172" t="inlineStr">
        <is>
          <t>2042-09-20</t>
        </is>
      </c>
    </row>
    <row r="52173">
      <c r="A52173" s="1" t="n">
        <v>52172</v>
      </c>
      <c r="B52173">
        <f>TEXT(52172, "[$-0E0000]yyyy-mm-dd")</f>
        <v/>
      </c>
      <c r="C52173" t="inlineStr">
        <is>
          <t>2042-09-21</t>
        </is>
      </c>
    </row>
    <row r="52174">
      <c r="A52174" s="1" t="n">
        <v>52173</v>
      </c>
      <c r="B52174">
        <f>TEXT(52173, "[$-0E0000]yyyy-mm-dd")</f>
        <v/>
      </c>
      <c r="C52174" t="inlineStr">
        <is>
          <t>2042-09-22</t>
        </is>
      </c>
    </row>
    <row r="52175">
      <c r="A52175" s="1" t="n">
        <v>52174</v>
      </c>
      <c r="B52175">
        <f>TEXT(52174, "[$-0E0000]yyyy-mm-dd")</f>
        <v/>
      </c>
      <c r="C52175" t="inlineStr">
        <is>
          <t>2042-09-23</t>
        </is>
      </c>
    </row>
    <row r="52176">
      <c r="A52176" s="1" t="n">
        <v>52175</v>
      </c>
      <c r="B52176">
        <f>TEXT(52175, "[$-0E0000]yyyy-mm-dd")</f>
        <v/>
      </c>
      <c r="C52176" t="inlineStr">
        <is>
          <t>2042-09-24</t>
        </is>
      </c>
    </row>
    <row r="52177">
      <c r="A52177" s="1" t="n">
        <v>52176</v>
      </c>
      <c r="B52177">
        <f>TEXT(52176, "[$-0E0000]yyyy-mm-dd")</f>
        <v/>
      </c>
      <c r="C52177" t="inlineStr">
        <is>
          <t>2042-09-25</t>
        </is>
      </c>
    </row>
    <row r="52178">
      <c r="A52178" s="1" t="n">
        <v>52177</v>
      </c>
      <c r="B52178">
        <f>TEXT(52177, "[$-0E0000]yyyy-mm-dd")</f>
        <v/>
      </c>
      <c r="C52178" t="inlineStr">
        <is>
          <t>2042-09-26</t>
        </is>
      </c>
    </row>
    <row r="52179">
      <c r="A52179" s="1" t="n">
        <v>52178</v>
      </c>
      <c r="B52179">
        <f>TEXT(52178, "[$-0E0000]yyyy-mm-dd")</f>
        <v/>
      </c>
      <c r="C52179" t="inlineStr">
        <is>
          <t>2042-09-27</t>
        </is>
      </c>
    </row>
    <row r="52180">
      <c r="A52180" s="1" t="n">
        <v>52179</v>
      </c>
      <c r="B52180">
        <f>TEXT(52179, "[$-0E0000]yyyy-mm-dd")</f>
        <v/>
      </c>
      <c r="C52180" t="inlineStr">
        <is>
          <t>2042-09-28</t>
        </is>
      </c>
    </row>
    <row r="52181">
      <c r="A52181" s="1" t="n">
        <v>52180</v>
      </c>
      <c r="B52181">
        <f>TEXT(52180, "[$-0E0000]yyyy-mm-dd")</f>
        <v/>
      </c>
      <c r="C52181" t="inlineStr">
        <is>
          <t>2042-09-29</t>
        </is>
      </c>
    </row>
    <row r="52182">
      <c r="A52182" s="1" t="n">
        <v>52181</v>
      </c>
      <c r="B52182">
        <f>TEXT(52181, "[$-0E0000]yyyy-mm-dd")</f>
        <v/>
      </c>
      <c r="C52182" t="inlineStr">
        <is>
          <t>2042-09-30</t>
        </is>
      </c>
    </row>
    <row r="52183">
      <c r="A52183" s="1" t="n">
        <v>52182</v>
      </c>
      <c r="B52183">
        <f>TEXT(52182, "[$-0E0000]yyyy-mm-dd")</f>
        <v/>
      </c>
      <c r="C52183" t="inlineStr">
        <is>
          <t>2042-10-01</t>
        </is>
      </c>
    </row>
    <row r="52184">
      <c r="A52184" s="1" t="n">
        <v>52183</v>
      </c>
      <c r="B52184">
        <f>TEXT(52183, "[$-0E0000]yyyy-mm-dd")</f>
        <v/>
      </c>
      <c r="C52184" t="inlineStr">
        <is>
          <t>2042-10-02</t>
        </is>
      </c>
    </row>
    <row r="52185">
      <c r="A52185" s="1" t="n">
        <v>52184</v>
      </c>
      <c r="B52185">
        <f>TEXT(52184, "[$-0E0000]yyyy-mm-dd")</f>
        <v/>
      </c>
      <c r="C52185" t="inlineStr">
        <is>
          <t>2042-10-03</t>
        </is>
      </c>
    </row>
    <row r="52186">
      <c r="A52186" s="1" t="n">
        <v>52185</v>
      </c>
      <c r="B52186">
        <f>TEXT(52185, "[$-0E0000]yyyy-mm-dd")</f>
        <v/>
      </c>
      <c r="C52186" t="inlineStr">
        <is>
          <t>2042-10-04</t>
        </is>
      </c>
    </row>
    <row r="52187">
      <c r="A52187" s="1" t="n">
        <v>52186</v>
      </c>
      <c r="B52187">
        <f>TEXT(52186, "[$-0E0000]yyyy-mm-dd")</f>
        <v/>
      </c>
      <c r="C52187" t="inlineStr">
        <is>
          <t>2042-10-05</t>
        </is>
      </c>
    </row>
    <row r="52188">
      <c r="A52188" s="1" t="n">
        <v>52187</v>
      </c>
      <c r="B52188">
        <f>TEXT(52187, "[$-0E0000]yyyy-mm-dd")</f>
        <v/>
      </c>
      <c r="C52188" t="inlineStr">
        <is>
          <t>2042-10-06</t>
        </is>
      </c>
    </row>
    <row r="52189">
      <c r="A52189" s="1" t="n">
        <v>52188</v>
      </c>
      <c r="B52189">
        <f>TEXT(52188, "[$-0E0000]yyyy-mm-dd")</f>
        <v/>
      </c>
      <c r="C52189" t="inlineStr">
        <is>
          <t>2042-10-07</t>
        </is>
      </c>
    </row>
    <row r="52190">
      <c r="A52190" s="1" t="n">
        <v>52189</v>
      </c>
      <c r="B52190">
        <f>TEXT(52189, "[$-0E0000]yyyy-mm-dd")</f>
        <v/>
      </c>
      <c r="C52190" t="inlineStr">
        <is>
          <t>2042-10-08</t>
        </is>
      </c>
    </row>
    <row r="52191">
      <c r="A52191" s="1" t="n">
        <v>52190</v>
      </c>
      <c r="B52191">
        <f>TEXT(52190, "[$-0E0000]yyyy-mm-dd")</f>
        <v/>
      </c>
      <c r="C52191" t="inlineStr">
        <is>
          <t>2042-10-09</t>
        </is>
      </c>
    </row>
    <row r="52192">
      <c r="A52192" s="1" t="n">
        <v>52191</v>
      </c>
      <c r="B52192">
        <f>TEXT(52191, "[$-0E0000]yyyy-mm-dd")</f>
        <v/>
      </c>
      <c r="C52192" t="inlineStr">
        <is>
          <t>2042-10-10</t>
        </is>
      </c>
    </row>
    <row r="52193">
      <c r="A52193" s="1" t="n">
        <v>52192</v>
      </c>
      <c r="B52193">
        <f>TEXT(52192, "[$-0E0000]yyyy-mm-dd")</f>
        <v/>
      </c>
      <c r="C52193" t="inlineStr">
        <is>
          <t>2042-10-11</t>
        </is>
      </c>
    </row>
    <row r="52194">
      <c r="A52194" s="1" t="n">
        <v>52193</v>
      </c>
      <c r="B52194">
        <f>TEXT(52193, "[$-0E0000]yyyy-mm-dd")</f>
        <v/>
      </c>
      <c r="C52194" t="inlineStr">
        <is>
          <t>2042-10-12</t>
        </is>
      </c>
    </row>
    <row r="52195">
      <c r="A52195" s="1" t="n">
        <v>52194</v>
      </c>
      <c r="B52195">
        <f>TEXT(52194, "[$-0E0000]yyyy-mm-dd")</f>
        <v/>
      </c>
      <c r="C52195" t="inlineStr">
        <is>
          <t>2042-10-13</t>
        </is>
      </c>
    </row>
    <row r="52196">
      <c r="A52196" s="1" t="n">
        <v>52195</v>
      </c>
      <c r="B52196">
        <f>TEXT(52195, "[$-0E0000]yyyy-mm-dd")</f>
        <v/>
      </c>
      <c r="C52196" t="inlineStr">
        <is>
          <t>2042-10-14</t>
        </is>
      </c>
    </row>
    <row r="52197">
      <c r="A52197" s="1" t="n">
        <v>52196</v>
      </c>
      <c r="B52197">
        <f>TEXT(52196, "[$-0E0000]yyyy-mm-dd")</f>
        <v/>
      </c>
      <c r="C52197" t="inlineStr">
        <is>
          <t>2042-10-15</t>
        </is>
      </c>
    </row>
    <row r="52198">
      <c r="A52198" s="1" t="n">
        <v>52197</v>
      </c>
      <c r="B52198">
        <f>TEXT(52197, "[$-0E0000]yyyy-mm-dd")</f>
        <v/>
      </c>
      <c r="C52198" t="inlineStr">
        <is>
          <t>2042-10-16</t>
        </is>
      </c>
    </row>
    <row r="52199">
      <c r="A52199" s="1" t="n">
        <v>52198</v>
      </c>
      <c r="B52199">
        <f>TEXT(52198, "[$-0E0000]yyyy-mm-dd")</f>
        <v/>
      </c>
      <c r="C52199" t="inlineStr">
        <is>
          <t>2042-10-17</t>
        </is>
      </c>
    </row>
    <row r="52200">
      <c r="A52200" s="1" t="n">
        <v>52199</v>
      </c>
      <c r="B52200">
        <f>TEXT(52199, "[$-0E0000]yyyy-mm-dd")</f>
        <v/>
      </c>
      <c r="C52200" t="inlineStr">
        <is>
          <t>2042-10-18</t>
        </is>
      </c>
    </row>
    <row r="52201">
      <c r="A52201" s="1" t="n">
        <v>52200</v>
      </c>
      <c r="B52201">
        <f>TEXT(52200, "[$-0E0000]yyyy-mm-dd")</f>
        <v/>
      </c>
      <c r="C52201" t="inlineStr">
        <is>
          <t>2042-10-19</t>
        </is>
      </c>
    </row>
    <row r="52202">
      <c r="A52202" s="1" t="n">
        <v>52201</v>
      </c>
      <c r="B52202">
        <f>TEXT(52201, "[$-0E0000]yyyy-mm-dd")</f>
        <v/>
      </c>
      <c r="C52202" t="inlineStr">
        <is>
          <t>2042-10-20</t>
        </is>
      </c>
    </row>
    <row r="52203">
      <c r="A52203" s="1" t="n">
        <v>52202</v>
      </c>
      <c r="B52203">
        <f>TEXT(52202, "[$-0E0000]yyyy-mm-dd")</f>
        <v/>
      </c>
      <c r="C52203" t="inlineStr">
        <is>
          <t>2042-10-21</t>
        </is>
      </c>
    </row>
    <row r="52204">
      <c r="A52204" s="1" t="n">
        <v>52203</v>
      </c>
      <c r="B52204">
        <f>TEXT(52203, "[$-0E0000]yyyy-mm-dd")</f>
        <v/>
      </c>
      <c r="C52204" t="inlineStr">
        <is>
          <t>2042-10-22</t>
        </is>
      </c>
    </row>
    <row r="52205">
      <c r="A52205" s="1" t="n">
        <v>52204</v>
      </c>
      <c r="B52205">
        <f>TEXT(52204, "[$-0E0000]yyyy-mm-dd")</f>
        <v/>
      </c>
      <c r="C52205" t="inlineStr">
        <is>
          <t>2042-10-23</t>
        </is>
      </c>
    </row>
    <row r="52206">
      <c r="A52206" s="1" t="n">
        <v>52205</v>
      </c>
      <c r="B52206">
        <f>TEXT(52205, "[$-0E0000]yyyy-mm-dd")</f>
        <v/>
      </c>
      <c r="C52206" t="inlineStr">
        <is>
          <t>2042-10-24</t>
        </is>
      </c>
    </row>
    <row r="52207">
      <c r="A52207" s="1" t="n">
        <v>52206</v>
      </c>
      <c r="B52207">
        <f>TEXT(52206, "[$-0E0000]yyyy-mm-dd")</f>
        <v/>
      </c>
      <c r="C52207" t="inlineStr">
        <is>
          <t>2042-10-25</t>
        </is>
      </c>
    </row>
    <row r="52208">
      <c r="A52208" s="1" t="n">
        <v>52207</v>
      </c>
      <c r="B52208">
        <f>TEXT(52207, "[$-0E0000]yyyy-mm-dd")</f>
        <v/>
      </c>
      <c r="C52208" t="inlineStr">
        <is>
          <t>2042-10-26</t>
        </is>
      </c>
    </row>
    <row r="52209">
      <c r="A52209" s="1" t="n">
        <v>52208</v>
      </c>
      <c r="B52209">
        <f>TEXT(52208, "[$-0E0000]yyyy-mm-dd")</f>
        <v/>
      </c>
      <c r="C52209" t="inlineStr">
        <is>
          <t>2042-10-27</t>
        </is>
      </c>
    </row>
    <row r="52210">
      <c r="A52210" s="1" t="n">
        <v>52209</v>
      </c>
      <c r="B52210">
        <f>TEXT(52209, "[$-0E0000]yyyy-mm-dd")</f>
        <v/>
      </c>
      <c r="C52210" t="inlineStr">
        <is>
          <t>2042-10-28</t>
        </is>
      </c>
    </row>
    <row r="52211">
      <c r="A52211" s="1" t="n">
        <v>52210</v>
      </c>
      <c r="B52211">
        <f>TEXT(52210, "[$-0E0000]yyyy-mm-dd")</f>
        <v/>
      </c>
      <c r="C52211" t="inlineStr">
        <is>
          <t>2042-10-29</t>
        </is>
      </c>
    </row>
    <row r="52212">
      <c r="A52212" s="1" t="n">
        <v>52211</v>
      </c>
      <c r="B52212">
        <f>TEXT(52211, "[$-0E0000]yyyy-mm-dd")</f>
        <v/>
      </c>
      <c r="C52212" t="inlineStr">
        <is>
          <t>2042-11-01</t>
        </is>
      </c>
    </row>
    <row r="52213">
      <c r="A52213" s="1" t="n">
        <v>52212</v>
      </c>
      <c r="B52213">
        <f>TEXT(52212, "[$-0E0000]yyyy-mm-dd")</f>
        <v/>
      </c>
      <c r="C52213" t="inlineStr">
        <is>
          <t>2042-11-02</t>
        </is>
      </c>
    </row>
    <row r="52214">
      <c r="A52214" s="1" t="n">
        <v>52213</v>
      </c>
      <c r="B52214">
        <f>TEXT(52213, "[$-0E0000]yyyy-mm-dd")</f>
        <v/>
      </c>
      <c r="C52214" t="inlineStr">
        <is>
          <t>2042-11-03</t>
        </is>
      </c>
    </row>
    <row r="52215">
      <c r="A52215" s="1" t="n">
        <v>52214</v>
      </c>
      <c r="B52215">
        <f>TEXT(52214, "[$-0E0000]yyyy-mm-dd")</f>
        <v/>
      </c>
      <c r="C52215" t="inlineStr">
        <is>
          <t>2042-11-04</t>
        </is>
      </c>
    </row>
    <row r="52216">
      <c r="A52216" s="1" t="n">
        <v>52215</v>
      </c>
      <c r="B52216">
        <f>TEXT(52215, "[$-0E0000]yyyy-mm-dd")</f>
        <v/>
      </c>
      <c r="C52216" t="inlineStr">
        <is>
          <t>2042-11-05</t>
        </is>
      </c>
    </row>
    <row r="52217">
      <c r="A52217" s="1" t="n">
        <v>52216</v>
      </c>
      <c r="B52217">
        <f>TEXT(52216, "[$-0E0000]yyyy-mm-dd")</f>
        <v/>
      </c>
      <c r="C52217" t="inlineStr">
        <is>
          <t>2042-11-06</t>
        </is>
      </c>
    </row>
    <row r="52218">
      <c r="A52218" s="1" t="n">
        <v>52217</v>
      </c>
      <c r="B52218">
        <f>TEXT(52217, "[$-0E0000]yyyy-mm-dd")</f>
        <v/>
      </c>
      <c r="C52218" t="inlineStr">
        <is>
          <t>2042-11-07</t>
        </is>
      </c>
    </row>
    <row r="52219">
      <c r="A52219" s="1" t="n">
        <v>52218</v>
      </c>
      <c r="B52219">
        <f>TEXT(52218, "[$-0E0000]yyyy-mm-dd")</f>
        <v/>
      </c>
      <c r="C52219" t="inlineStr">
        <is>
          <t>2042-11-08</t>
        </is>
      </c>
    </row>
    <row r="52220">
      <c r="A52220" s="1" t="n">
        <v>52219</v>
      </c>
      <c r="B52220">
        <f>TEXT(52219, "[$-0E0000]yyyy-mm-dd")</f>
        <v/>
      </c>
      <c r="C52220" t="inlineStr">
        <is>
          <t>2042-11-09</t>
        </is>
      </c>
    </row>
    <row r="52221">
      <c r="A52221" s="1" t="n">
        <v>52220</v>
      </c>
      <c r="B52221">
        <f>TEXT(52220, "[$-0E0000]yyyy-mm-dd")</f>
        <v/>
      </c>
      <c r="C52221" t="inlineStr">
        <is>
          <t>2042-11-10</t>
        </is>
      </c>
    </row>
    <row r="52222">
      <c r="A52222" s="1" t="n">
        <v>52221</v>
      </c>
      <c r="B52222">
        <f>TEXT(52221, "[$-0E0000]yyyy-mm-dd")</f>
        <v/>
      </c>
      <c r="C52222" t="inlineStr">
        <is>
          <t>2042-11-11</t>
        </is>
      </c>
    </row>
    <row r="52223">
      <c r="A52223" s="1" t="n">
        <v>52222</v>
      </c>
      <c r="B52223">
        <f>TEXT(52222, "[$-0E0000]yyyy-mm-dd")</f>
        <v/>
      </c>
      <c r="C52223" t="inlineStr">
        <is>
          <t>2042-11-12</t>
        </is>
      </c>
    </row>
    <row r="52224">
      <c r="A52224" s="1" t="n">
        <v>52223</v>
      </c>
      <c r="B52224">
        <f>TEXT(52223, "[$-0E0000]yyyy-mm-dd")</f>
        <v/>
      </c>
      <c r="C52224" t="inlineStr">
        <is>
          <t>2042-11-13</t>
        </is>
      </c>
    </row>
    <row r="52225">
      <c r="A52225" s="1" t="n">
        <v>52224</v>
      </c>
      <c r="B52225">
        <f>TEXT(52224, "[$-0E0000]yyyy-mm-dd")</f>
        <v/>
      </c>
      <c r="C52225" t="inlineStr">
        <is>
          <t>2042-11-14</t>
        </is>
      </c>
    </row>
    <row r="52226">
      <c r="A52226" s="1" t="n">
        <v>52225</v>
      </c>
      <c r="B52226">
        <f>TEXT(52225, "[$-0E0000]yyyy-mm-dd")</f>
        <v/>
      </c>
      <c r="C52226" t="inlineStr">
        <is>
          <t>2042-11-15</t>
        </is>
      </c>
    </row>
    <row r="52227">
      <c r="A52227" s="1" t="n">
        <v>52226</v>
      </c>
      <c r="B52227">
        <f>TEXT(52226, "[$-0E0000]yyyy-mm-dd")</f>
        <v/>
      </c>
      <c r="C52227" t="inlineStr">
        <is>
          <t>2042-11-16</t>
        </is>
      </c>
    </row>
    <row r="52228">
      <c r="A52228" s="1" t="n">
        <v>52227</v>
      </c>
      <c r="B52228">
        <f>TEXT(52227, "[$-0E0000]yyyy-mm-dd")</f>
        <v/>
      </c>
      <c r="C52228" t="inlineStr">
        <is>
          <t>2042-11-17</t>
        </is>
      </c>
    </row>
    <row r="52229">
      <c r="A52229" s="1" t="n">
        <v>52228</v>
      </c>
      <c r="B52229">
        <f>TEXT(52228, "[$-0E0000]yyyy-mm-dd")</f>
        <v/>
      </c>
      <c r="C52229" t="inlineStr">
        <is>
          <t>2042-11-18</t>
        </is>
      </c>
    </row>
    <row r="52230">
      <c r="A52230" s="1" t="n">
        <v>52229</v>
      </c>
      <c r="B52230">
        <f>TEXT(52229, "[$-0E0000]yyyy-mm-dd")</f>
        <v/>
      </c>
      <c r="C52230" t="inlineStr">
        <is>
          <t>2042-11-19</t>
        </is>
      </c>
    </row>
    <row r="52231">
      <c r="A52231" s="1" t="n">
        <v>52230</v>
      </c>
      <c r="B52231">
        <f>TEXT(52230, "[$-0E0000]yyyy-mm-dd")</f>
        <v/>
      </c>
      <c r="C52231" t="inlineStr">
        <is>
          <t>2042-11-20</t>
        </is>
      </c>
    </row>
    <row r="52232">
      <c r="A52232" s="1" t="n">
        <v>52231</v>
      </c>
      <c r="B52232">
        <f>TEXT(52231, "[$-0E0000]yyyy-mm-dd")</f>
        <v/>
      </c>
      <c r="C52232" t="inlineStr">
        <is>
          <t>2042-11-21</t>
        </is>
      </c>
    </row>
    <row r="52233">
      <c r="A52233" s="1" t="n">
        <v>52232</v>
      </c>
      <c r="B52233">
        <f>TEXT(52232, "[$-0E0000]yyyy-mm-dd")</f>
        <v/>
      </c>
      <c r="C52233" t="inlineStr">
        <is>
          <t>2042-11-22</t>
        </is>
      </c>
    </row>
    <row r="52234">
      <c r="A52234" s="1" t="n">
        <v>52233</v>
      </c>
      <c r="B52234">
        <f>TEXT(52233, "[$-0E0000]yyyy-mm-dd")</f>
        <v/>
      </c>
      <c r="C52234" t="inlineStr">
        <is>
          <t>2042-11-23</t>
        </is>
      </c>
    </row>
    <row r="52235">
      <c r="A52235" s="1" t="n">
        <v>52234</v>
      </c>
      <c r="B52235">
        <f>TEXT(52234, "[$-0E0000]yyyy-mm-dd")</f>
        <v/>
      </c>
      <c r="C52235" t="inlineStr">
        <is>
          <t>2042-11-24</t>
        </is>
      </c>
    </row>
    <row r="52236">
      <c r="A52236" s="1" t="n">
        <v>52235</v>
      </c>
      <c r="B52236">
        <f>TEXT(52235, "[$-0E0000]yyyy-mm-dd")</f>
        <v/>
      </c>
      <c r="C52236" t="inlineStr">
        <is>
          <t>2042-11-25</t>
        </is>
      </c>
    </row>
    <row r="52237">
      <c r="A52237" s="1" t="n">
        <v>52236</v>
      </c>
      <c r="B52237">
        <f>TEXT(52236, "[$-0E0000]yyyy-mm-dd")</f>
        <v/>
      </c>
      <c r="C52237" t="inlineStr">
        <is>
          <t>2042-11-26</t>
        </is>
      </c>
    </row>
    <row r="52238">
      <c r="A52238" s="1" t="n">
        <v>52237</v>
      </c>
      <c r="B52238">
        <f>TEXT(52237, "[$-0E0000]yyyy-mm-dd")</f>
        <v/>
      </c>
      <c r="C52238" t="inlineStr">
        <is>
          <t>2042-11-27</t>
        </is>
      </c>
    </row>
    <row r="52239">
      <c r="A52239" s="1" t="n">
        <v>52238</v>
      </c>
      <c r="B52239">
        <f>TEXT(52238, "[$-0E0000]yyyy-mm-dd")</f>
        <v/>
      </c>
      <c r="C52239" t="inlineStr">
        <is>
          <t>2042-11-28</t>
        </is>
      </c>
    </row>
    <row r="52240">
      <c r="A52240" s="1" t="n">
        <v>52239</v>
      </c>
      <c r="B52240">
        <f>TEXT(52239, "[$-0E0000]yyyy-mm-dd")</f>
        <v/>
      </c>
      <c r="C52240" t="inlineStr">
        <is>
          <t>2042-11-29</t>
        </is>
      </c>
    </row>
    <row r="52241">
      <c r="A52241" s="1" t="n">
        <v>52240</v>
      </c>
      <c r="B52241">
        <f>TEXT(52240, "[$-0E0000]yyyy-mm-dd")</f>
        <v/>
      </c>
      <c r="C52241" t="inlineStr">
        <is>
          <t>2042-11-30</t>
        </is>
      </c>
    </row>
    <row r="52242">
      <c r="A52242" s="1" t="n">
        <v>52241</v>
      </c>
      <c r="B52242">
        <f>TEXT(52241, "[$-0E0000]yyyy-mm-dd")</f>
        <v/>
      </c>
      <c r="C52242" t="inlineStr">
        <is>
          <t>2042-12-01</t>
        </is>
      </c>
    </row>
    <row r="52243">
      <c r="A52243" s="1" t="n">
        <v>52242</v>
      </c>
      <c r="B52243">
        <f>TEXT(52242, "[$-0E0000]yyyy-mm-dd")</f>
        <v/>
      </c>
      <c r="C52243" t="inlineStr">
        <is>
          <t>2042-12-02</t>
        </is>
      </c>
    </row>
    <row r="52244">
      <c r="A52244" s="1" t="n">
        <v>52243</v>
      </c>
      <c r="B52244">
        <f>TEXT(52243, "[$-0E0000]yyyy-mm-dd")</f>
        <v/>
      </c>
      <c r="C52244" t="inlineStr">
        <is>
          <t>2042-12-03</t>
        </is>
      </c>
    </row>
    <row r="52245">
      <c r="A52245" s="1" t="n">
        <v>52244</v>
      </c>
      <c r="B52245">
        <f>TEXT(52244, "[$-0E0000]yyyy-mm-dd")</f>
        <v/>
      </c>
      <c r="C52245" t="inlineStr">
        <is>
          <t>2042-12-04</t>
        </is>
      </c>
    </row>
    <row r="52246">
      <c r="A52246" s="1" t="n">
        <v>52245</v>
      </c>
      <c r="B52246">
        <f>TEXT(52245, "[$-0E0000]yyyy-mm-dd")</f>
        <v/>
      </c>
      <c r="C52246" t="inlineStr">
        <is>
          <t>2042-12-05</t>
        </is>
      </c>
    </row>
    <row r="52247">
      <c r="A52247" s="1" t="n">
        <v>52246</v>
      </c>
      <c r="B52247">
        <f>TEXT(52246, "[$-0E0000]yyyy-mm-dd")</f>
        <v/>
      </c>
      <c r="C52247" t="inlineStr">
        <is>
          <t>2042-12-06</t>
        </is>
      </c>
    </row>
    <row r="52248">
      <c r="A52248" s="1" t="n">
        <v>52247</v>
      </c>
      <c r="B52248">
        <f>TEXT(52247, "[$-0E0000]yyyy-mm-dd")</f>
        <v/>
      </c>
      <c r="C52248" t="inlineStr">
        <is>
          <t>2042-12-07</t>
        </is>
      </c>
    </row>
    <row r="52249">
      <c r="A52249" s="1" t="n">
        <v>52248</v>
      </c>
      <c r="B52249">
        <f>TEXT(52248, "[$-0E0000]yyyy-mm-dd")</f>
        <v/>
      </c>
      <c r="C52249" t="inlineStr">
        <is>
          <t>2042-12-08</t>
        </is>
      </c>
    </row>
    <row r="52250">
      <c r="A52250" s="1" t="n">
        <v>52249</v>
      </c>
      <c r="B52250">
        <f>TEXT(52249, "[$-0E0000]yyyy-mm-dd")</f>
        <v/>
      </c>
      <c r="C52250" t="inlineStr">
        <is>
          <t>2042-12-09</t>
        </is>
      </c>
    </row>
    <row r="52251">
      <c r="A52251" s="1" t="n">
        <v>52250</v>
      </c>
      <c r="B52251">
        <f>TEXT(52250, "[$-0E0000]yyyy-mm-dd")</f>
        <v/>
      </c>
      <c r="C52251" t="inlineStr">
        <is>
          <t>2042-12-10</t>
        </is>
      </c>
    </row>
    <row r="52252">
      <c r="A52252" s="1" t="n">
        <v>52251</v>
      </c>
      <c r="B52252">
        <f>TEXT(52251, "[$-0E0000]yyyy-mm-dd")</f>
        <v/>
      </c>
      <c r="C52252" t="inlineStr">
        <is>
          <t>2042-12-11</t>
        </is>
      </c>
    </row>
    <row r="52253">
      <c r="A52253" s="1" t="n">
        <v>52252</v>
      </c>
      <c r="B52253">
        <f>TEXT(52252, "[$-0E0000]yyyy-mm-dd")</f>
        <v/>
      </c>
      <c r="C52253" t="inlineStr">
        <is>
          <t>2042-12-12</t>
        </is>
      </c>
    </row>
    <row r="52254">
      <c r="A52254" s="1" t="n">
        <v>52253</v>
      </c>
      <c r="B52254">
        <f>TEXT(52253, "[$-0E0000]yyyy-mm-dd")</f>
        <v/>
      </c>
      <c r="C52254" t="inlineStr">
        <is>
          <t>2042-12-13</t>
        </is>
      </c>
    </row>
    <row r="52255">
      <c r="A52255" s="1" t="n">
        <v>52254</v>
      </c>
      <c r="B52255">
        <f>TEXT(52254, "[$-0E0000]yyyy-mm-dd")</f>
        <v/>
      </c>
      <c r="C52255" t="inlineStr">
        <is>
          <t>2042-12-14</t>
        </is>
      </c>
    </row>
    <row r="52256">
      <c r="A52256" s="1" t="n">
        <v>52255</v>
      </c>
      <c r="B52256">
        <f>TEXT(52255, "[$-0E0000]yyyy-mm-dd")</f>
        <v/>
      </c>
      <c r="C52256" t="inlineStr">
        <is>
          <t>2042-12-15</t>
        </is>
      </c>
    </row>
    <row r="52257">
      <c r="A52257" s="1" t="n">
        <v>52256</v>
      </c>
      <c r="B52257">
        <f>TEXT(52256, "[$-0E0000]yyyy-mm-dd")</f>
        <v/>
      </c>
      <c r="C52257" t="inlineStr">
        <is>
          <t>2042-12-16</t>
        </is>
      </c>
    </row>
    <row r="52258">
      <c r="A52258" s="1" t="n">
        <v>52257</v>
      </c>
      <c r="B52258">
        <f>TEXT(52257, "[$-0E0000]yyyy-mm-dd")</f>
        <v/>
      </c>
      <c r="C52258" t="inlineStr">
        <is>
          <t>2042-12-17</t>
        </is>
      </c>
    </row>
    <row r="52259">
      <c r="A52259" s="1" t="n">
        <v>52258</v>
      </c>
      <c r="B52259">
        <f>TEXT(52258, "[$-0E0000]yyyy-mm-dd")</f>
        <v/>
      </c>
      <c r="C52259" t="inlineStr">
        <is>
          <t>2042-12-18</t>
        </is>
      </c>
    </row>
    <row r="52260">
      <c r="A52260" s="1" t="n">
        <v>52259</v>
      </c>
      <c r="B52260">
        <f>TEXT(52259, "[$-0E0000]yyyy-mm-dd")</f>
        <v/>
      </c>
      <c r="C52260" t="inlineStr">
        <is>
          <t>2042-12-19</t>
        </is>
      </c>
    </row>
    <row r="52261">
      <c r="A52261" s="1" t="n">
        <v>52260</v>
      </c>
      <c r="B52261">
        <f>TEXT(52260, "[$-0E0000]yyyy-mm-dd")</f>
        <v/>
      </c>
      <c r="C52261" t="inlineStr">
        <is>
          <t>2042-12-20</t>
        </is>
      </c>
    </row>
    <row r="52262">
      <c r="A52262" s="1" t="n">
        <v>52261</v>
      </c>
      <c r="B52262">
        <f>TEXT(52261, "[$-0E0000]yyyy-mm-dd")</f>
        <v/>
      </c>
      <c r="C52262" t="inlineStr">
        <is>
          <t>2042-12-21</t>
        </is>
      </c>
    </row>
    <row r="52263">
      <c r="A52263" s="1" t="n">
        <v>52262</v>
      </c>
      <c r="B52263">
        <f>TEXT(52262, "[$-0E0000]yyyy-mm-dd")</f>
        <v/>
      </c>
      <c r="C52263" t="inlineStr">
        <is>
          <t>2042-12-22</t>
        </is>
      </c>
    </row>
    <row r="52264">
      <c r="A52264" s="1" t="n">
        <v>52263</v>
      </c>
      <c r="B52264">
        <f>TEXT(52263, "[$-0E0000]yyyy-mm-dd")</f>
        <v/>
      </c>
      <c r="C52264" t="inlineStr">
        <is>
          <t>2042-12-23</t>
        </is>
      </c>
    </row>
    <row r="52265">
      <c r="A52265" s="1" t="n">
        <v>52264</v>
      </c>
      <c r="B52265">
        <f>TEXT(52264, "[$-0E0000]yyyy-mm-dd")</f>
        <v/>
      </c>
      <c r="C52265" t="inlineStr">
        <is>
          <t>2042-12-24</t>
        </is>
      </c>
    </row>
    <row r="52266">
      <c r="A52266" s="1" t="n">
        <v>52265</v>
      </c>
      <c r="B52266">
        <f>TEXT(52265, "[$-0E0000]yyyy-mm-dd")</f>
        <v/>
      </c>
      <c r="C52266" t="inlineStr">
        <is>
          <t>2042-12-25</t>
        </is>
      </c>
    </row>
    <row r="52267">
      <c r="A52267" s="1" t="n">
        <v>52266</v>
      </c>
      <c r="B52267">
        <f>TEXT(52266, "[$-0E0000]yyyy-mm-dd")</f>
        <v/>
      </c>
      <c r="C52267" t="inlineStr">
        <is>
          <t>2042-12-26</t>
        </is>
      </c>
    </row>
    <row r="52268">
      <c r="A52268" s="1" t="n">
        <v>52267</v>
      </c>
      <c r="B52268">
        <f>TEXT(52267, "[$-0E0000]yyyy-mm-dd")</f>
        <v/>
      </c>
      <c r="C52268" t="inlineStr">
        <is>
          <t>2042-12-27</t>
        </is>
      </c>
    </row>
    <row r="52269">
      <c r="A52269" s="1" t="n">
        <v>52268</v>
      </c>
      <c r="B52269">
        <f>TEXT(52268, "[$-0E0000]yyyy-mm-dd")</f>
        <v/>
      </c>
      <c r="C52269" t="inlineStr">
        <is>
          <t>2042-12-28</t>
        </is>
      </c>
    </row>
    <row r="52270">
      <c r="A52270" s="1" t="n">
        <v>52269</v>
      </c>
      <c r="B52270">
        <f>TEXT(52269, "[$-0E0000]yyyy-mm-dd")</f>
        <v/>
      </c>
      <c r="C52270" t="inlineStr">
        <is>
          <t>2042-12-29</t>
        </is>
      </c>
    </row>
    <row r="52271">
      <c r="A52271" s="1" t="n">
        <v>52270</v>
      </c>
      <c r="B52271">
        <f>TEXT(52270, "[$-0E0000]yyyy-mm-dd")</f>
        <v/>
      </c>
      <c r="C52271" t="inlineStr">
        <is>
          <t>2042-12-30</t>
        </is>
      </c>
    </row>
    <row r="52272">
      <c r="A52272" s="1" t="n">
        <v>52271</v>
      </c>
      <c r="B52272">
        <f>TEXT(52271, "[$-0E0000]yyyy-mm-dd")</f>
        <v/>
      </c>
      <c r="C52272" t="inlineStr">
        <is>
          <t>2043-01-01</t>
        </is>
      </c>
    </row>
    <row r="52273">
      <c r="A52273" s="1" t="n">
        <v>52272</v>
      </c>
      <c r="B52273">
        <f>TEXT(52272, "[$-0E0000]yyyy-mm-dd")</f>
        <v/>
      </c>
      <c r="C52273" t="inlineStr">
        <is>
          <t>2043-01-02</t>
        </is>
      </c>
    </row>
    <row r="52274">
      <c r="A52274" s="1" t="n">
        <v>52273</v>
      </c>
      <c r="B52274">
        <f>TEXT(52273, "[$-0E0000]yyyy-mm-dd")</f>
        <v/>
      </c>
      <c r="C52274" t="inlineStr">
        <is>
          <t>2043-01-03</t>
        </is>
      </c>
    </row>
    <row r="52275">
      <c r="A52275" s="1" t="n">
        <v>52274</v>
      </c>
      <c r="B52275">
        <f>TEXT(52274, "[$-0E0000]yyyy-mm-dd")</f>
        <v/>
      </c>
      <c r="C52275" t="inlineStr">
        <is>
          <t>2043-01-04</t>
        </is>
      </c>
    </row>
    <row r="52276">
      <c r="A52276" s="1" t="n">
        <v>52275</v>
      </c>
      <c r="B52276">
        <f>TEXT(52275, "[$-0E0000]yyyy-mm-dd")</f>
        <v/>
      </c>
      <c r="C52276" t="inlineStr">
        <is>
          <t>2043-01-05</t>
        </is>
      </c>
    </row>
    <row r="52277">
      <c r="A52277" s="1" t="n">
        <v>52276</v>
      </c>
      <c r="B52277">
        <f>TEXT(52276, "[$-0E0000]yyyy-mm-dd")</f>
        <v/>
      </c>
      <c r="C52277" t="inlineStr">
        <is>
          <t>2043-01-06</t>
        </is>
      </c>
    </row>
    <row r="52278">
      <c r="A52278" s="1" t="n">
        <v>52277</v>
      </c>
      <c r="B52278">
        <f>TEXT(52277, "[$-0E0000]yyyy-mm-dd")</f>
        <v/>
      </c>
      <c r="C52278" t="inlineStr">
        <is>
          <t>2043-01-07</t>
        </is>
      </c>
    </row>
    <row r="52279">
      <c r="A52279" s="1" t="n">
        <v>52278</v>
      </c>
      <c r="B52279">
        <f>TEXT(52278, "[$-0E0000]yyyy-mm-dd")</f>
        <v/>
      </c>
      <c r="C52279" t="inlineStr">
        <is>
          <t>2043-01-08</t>
        </is>
      </c>
    </row>
    <row r="52280">
      <c r="A52280" s="1" t="n">
        <v>52279</v>
      </c>
      <c r="B52280">
        <f>TEXT(52279, "[$-0E0000]yyyy-mm-dd")</f>
        <v/>
      </c>
      <c r="C52280" t="inlineStr">
        <is>
          <t>2043-01-09</t>
        </is>
      </c>
    </row>
    <row r="52281">
      <c r="A52281" s="1" t="n">
        <v>52280</v>
      </c>
      <c r="B52281">
        <f>TEXT(52280, "[$-0E0000]yyyy-mm-dd")</f>
        <v/>
      </c>
      <c r="C52281" t="inlineStr">
        <is>
          <t>2043-01-10</t>
        </is>
      </c>
    </row>
    <row r="52282">
      <c r="A52282" s="1" t="n">
        <v>52281</v>
      </c>
      <c r="B52282">
        <f>TEXT(52281, "[$-0E0000]yyyy-mm-dd")</f>
        <v/>
      </c>
      <c r="C52282" t="inlineStr">
        <is>
          <t>2043-01-11</t>
        </is>
      </c>
    </row>
    <row r="52283">
      <c r="A52283" s="1" t="n">
        <v>52282</v>
      </c>
      <c r="B52283">
        <f>TEXT(52282, "[$-0E0000]yyyy-mm-dd")</f>
        <v/>
      </c>
      <c r="C52283" t="inlineStr">
        <is>
          <t>2043-01-12</t>
        </is>
      </c>
    </row>
    <row r="52284">
      <c r="A52284" s="1" t="n">
        <v>52283</v>
      </c>
      <c r="B52284">
        <f>TEXT(52283, "[$-0E0000]yyyy-mm-dd")</f>
        <v/>
      </c>
      <c r="C52284" t="inlineStr">
        <is>
          <t>2043-01-13</t>
        </is>
      </c>
    </row>
    <row r="52285">
      <c r="A52285" s="1" t="n">
        <v>52284</v>
      </c>
      <c r="B52285">
        <f>TEXT(52284, "[$-0E0000]yyyy-mm-dd")</f>
        <v/>
      </c>
      <c r="C52285" t="inlineStr">
        <is>
          <t>2043-01-14</t>
        </is>
      </c>
    </row>
    <row r="52286">
      <c r="A52286" s="1" t="n">
        <v>52285</v>
      </c>
      <c r="B52286">
        <f>TEXT(52285, "[$-0E0000]yyyy-mm-dd")</f>
        <v/>
      </c>
      <c r="C52286" t="inlineStr">
        <is>
          <t>2043-01-15</t>
        </is>
      </c>
    </row>
    <row r="52287">
      <c r="A52287" s="1" t="n">
        <v>52286</v>
      </c>
      <c r="B52287">
        <f>TEXT(52286, "[$-0E0000]yyyy-mm-dd")</f>
        <v/>
      </c>
      <c r="C52287" t="inlineStr">
        <is>
          <t>2043-01-16</t>
        </is>
      </c>
    </row>
    <row r="52288">
      <c r="A52288" s="1" t="n">
        <v>52287</v>
      </c>
      <c r="B52288">
        <f>TEXT(52287, "[$-0E0000]yyyy-mm-dd")</f>
        <v/>
      </c>
      <c r="C52288" t="inlineStr">
        <is>
          <t>2043-01-17</t>
        </is>
      </c>
    </row>
    <row r="52289">
      <c r="A52289" s="1" t="n">
        <v>52288</v>
      </c>
      <c r="B52289">
        <f>TEXT(52288, "[$-0E0000]yyyy-mm-dd")</f>
        <v/>
      </c>
      <c r="C52289" t="inlineStr">
        <is>
          <t>2043-01-18</t>
        </is>
      </c>
    </row>
    <row r="52290">
      <c r="A52290" s="1" t="n">
        <v>52289</v>
      </c>
      <c r="B52290">
        <f>TEXT(52289, "[$-0E0000]yyyy-mm-dd")</f>
        <v/>
      </c>
      <c r="C52290" t="inlineStr">
        <is>
          <t>2043-01-19</t>
        </is>
      </c>
    </row>
    <row r="52291">
      <c r="A52291" s="1" t="n">
        <v>52290</v>
      </c>
      <c r="B52291">
        <f>TEXT(52290, "[$-0E0000]yyyy-mm-dd")</f>
        <v/>
      </c>
      <c r="C52291" t="inlineStr">
        <is>
          <t>2043-01-20</t>
        </is>
      </c>
    </row>
    <row r="52292">
      <c r="A52292" s="1" t="n">
        <v>52291</v>
      </c>
      <c r="B52292">
        <f>TEXT(52291, "[$-0E0000]yyyy-mm-dd")</f>
        <v/>
      </c>
      <c r="C52292" t="inlineStr">
        <is>
          <t>2043-01-21</t>
        </is>
      </c>
    </row>
    <row r="52293">
      <c r="A52293" s="1" t="n">
        <v>52292</v>
      </c>
      <c r="B52293">
        <f>TEXT(52292, "[$-0E0000]yyyy-mm-dd")</f>
        <v/>
      </c>
      <c r="C52293" t="inlineStr">
        <is>
          <t>2043-01-22</t>
        </is>
      </c>
    </row>
    <row r="52294">
      <c r="A52294" s="1" t="n">
        <v>52293</v>
      </c>
      <c r="B52294">
        <f>TEXT(52293, "[$-0E0000]yyyy-mm-dd")</f>
        <v/>
      </c>
      <c r="C52294" t="inlineStr">
        <is>
          <t>2043-01-23</t>
        </is>
      </c>
    </row>
    <row r="52295">
      <c r="A52295" s="1" t="n">
        <v>52294</v>
      </c>
      <c r="B52295">
        <f>TEXT(52294, "[$-0E0000]yyyy-mm-dd")</f>
        <v/>
      </c>
      <c r="C52295" t="inlineStr">
        <is>
          <t>2043-01-24</t>
        </is>
      </c>
    </row>
    <row r="52296">
      <c r="A52296" s="1" t="n">
        <v>52295</v>
      </c>
      <c r="B52296">
        <f>TEXT(52295, "[$-0E0000]yyyy-mm-dd")</f>
        <v/>
      </c>
      <c r="C52296" t="inlineStr">
        <is>
          <t>2043-01-25</t>
        </is>
      </c>
    </row>
    <row r="52297">
      <c r="A52297" s="1" t="n">
        <v>52296</v>
      </c>
      <c r="B52297">
        <f>TEXT(52296, "[$-0E0000]yyyy-mm-dd")</f>
        <v/>
      </c>
      <c r="C52297" t="inlineStr">
        <is>
          <t>2043-01-26</t>
        </is>
      </c>
    </row>
    <row r="52298">
      <c r="A52298" s="1" t="n">
        <v>52297</v>
      </c>
      <c r="B52298">
        <f>TEXT(52297, "[$-0E0000]yyyy-mm-dd")</f>
        <v/>
      </c>
      <c r="C52298" t="inlineStr">
        <is>
          <t>2043-01-27</t>
        </is>
      </c>
    </row>
    <row r="52299">
      <c r="A52299" s="1" t="n">
        <v>52298</v>
      </c>
      <c r="B52299">
        <f>TEXT(52298, "[$-0E0000]yyyy-mm-dd")</f>
        <v/>
      </c>
      <c r="C52299" t="inlineStr">
        <is>
          <t>2043-01-28</t>
        </is>
      </c>
    </row>
    <row r="52300">
      <c r="A52300" s="1" t="n">
        <v>52299</v>
      </c>
      <c r="B52300">
        <f>TEXT(52299, "[$-0E0000]yyyy-mm-dd")</f>
        <v/>
      </c>
      <c r="C52300" t="inlineStr">
        <is>
          <t>2043-01-29</t>
        </is>
      </c>
    </row>
    <row r="52301">
      <c r="A52301" s="1" t="n">
        <v>52300</v>
      </c>
      <c r="B52301">
        <f>TEXT(52300, "[$-0E0000]yyyy-mm-dd")</f>
        <v/>
      </c>
      <c r="C52301" t="inlineStr">
        <is>
          <t>2043-02-01</t>
        </is>
      </c>
    </row>
    <row r="52302">
      <c r="A52302" s="1" t="n">
        <v>52301</v>
      </c>
      <c r="B52302">
        <f>TEXT(52301, "[$-0E0000]yyyy-mm-dd")</f>
        <v/>
      </c>
      <c r="C52302" t="inlineStr">
        <is>
          <t>2043-02-02</t>
        </is>
      </c>
    </row>
    <row r="52303">
      <c r="A52303" s="1" t="n">
        <v>52302</v>
      </c>
      <c r="B52303">
        <f>TEXT(52302, "[$-0E0000]yyyy-mm-dd")</f>
        <v/>
      </c>
      <c r="C52303" t="inlineStr">
        <is>
          <t>2043-02-03</t>
        </is>
      </c>
    </row>
    <row r="52304">
      <c r="A52304" s="1" t="n">
        <v>52303</v>
      </c>
      <c r="B52304">
        <f>TEXT(52303, "[$-0E0000]yyyy-mm-dd")</f>
        <v/>
      </c>
      <c r="C52304" t="inlineStr">
        <is>
          <t>2043-02-04</t>
        </is>
      </c>
    </row>
    <row r="52305">
      <c r="A52305" s="1" t="n">
        <v>52304</v>
      </c>
      <c r="B52305">
        <f>TEXT(52304, "[$-0E0000]yyyy-mm-dd")</f>
        <v/>
      </c>
      <c r="C52305" t="inlineStr">
        <is>
          <t>2043-02-05</t>
        </is>
      </c>
    </row>
    <row r="52306">
      <c r="A52306" s="1" t="n">
        <v>52305</v>
      </c>
      <c r="B52306">
        <f>TEXT(52305, "[$-0E0000]yyyy-mm-dd")</f>
        <v/>
      </c>
      <c r="C52306" t="inlineStr">
        <is>
          <t>2043-02-06</t>
        </is>
      </c>
    </row>
    <row r="52307">
      <c r="A52307" s="1" t="n">
        <v>52306</v>
      </c>
      <c r="B52307">
        <f>TEXT(52306, "[$-0E0000]yyyy-mm-dd")</f>
        <v/>
      </c>
      <c r="C52307" t="inlineStr">
        <is>
          <t>2043-02-07</t>
        </is>
      </c>
    </row>
    <row r="52308">
      <c r="A52308" s="1" t="n">
        <v>52307</v>
      </c>
      <c r="B52308">
        <f>TEXT(52307, "[$-0E0000]yyyy-mm-dd")</f>
        <v/>
      </c>
      <c r="C52308" t="inlineStr">
        <is>
          <t>2043-02-08</t>
        </is>
      </c>
    </row>
    <row r="52309">
      <c r="A52309" s="1" t="n">
        <v>52308</v>
      </c>
      <c r="B52309">
        <f>TEXT(52308, "[$-0E0000]yyyy-mm-dd")</f>
        <v/>
      </c>
      <c r="C52309" t="inlineStr">
        <is>
          <t>2043-02-09</t>
        </is>
      </c>
    </row>
    <row r="52310">
      <c r="A52310" s="1" t="n">
        <v>52309</v>
      </c>
      <c r="B52310">
        <f>TEXT(52309, "[$-0E0000]yyyy-mm-dd")</f>
        <v/>
      </c>
      <c r="C52310" t="inlineStr">
        <is>
          <t>2043-02-10</t>
        </is>
      </c>
    </row>
    <row r="52311">
      <c r="A52311" s="1" t="n">
        <v>52310</v>
      </c>
      <c r="B52311">
        <f>TEXT(52310, "[$-0E0000]yyyy-mm-dd")</f>
        <v/>
      </c>
      <c r="C52311" t="inlineStr">
        <is>
          <t>2043-02-11</t>
        </is>
      </c>
    </row>
    <row r="52312">
      <c r="A52312" s="1" t="n">
        <v>52311</v>
      </c>
      <c r="B52312">
        <f>TEXT(52311, "[$-0E0000]yyyy-mm-dd")</f>
        <v/>
      </c>
      <c r="C52312" t="inlineStr">
        <is>
          <t>2043-02-12</t>
        </is>
      </c>
    </row>
    <row r="52313">
      <c r="A52313" s="1" t="n">
        <v>52312</v>
      </c>
      <c r="B52313">
        <f>TEXT(52312, "[$-0E0000]yyyy-mm-dd")</f>
        <v/>
      </c>
      <c r="C52313" t="inlineStr">
        <is>
          <t>2043-02-13</t>
        </is>
      </c>
    </row>
    <row r="52314">
      <c r="A52314" s="1" t="n">
        <v>52313</v>
      </c>
      <c r="B52314">
        <f>TEXT(52313, "[$-0E0000]yyyy-mm-dd")</f>
        <v/>
      </c>
      <c r="C52314" t="inlineStr">
        <is>
          <t>2043-02-14</t>
        </is>
      </c>
    </row>
    <row r="52315">
      <c r="A52315" s="1" t="n">
        <v>52314</v>
      </c>
      <c r="B52315">
        <f>TEXT(52314, "[$-0E0000]yyyy-mm-dd")</f>
        <v/>
      </c>
      <c r="C52315" t="inlineStr">
        <is>
          <t>2043-02-15</t>
        </is>
      </c>
    </row>
    <row r="52316">
      <c r="A52316" s="1" t="n">
        <v>52315</v>
      </c>
      <c r="B52316">
        <f>TEXT(52315, "[$-0E0000]yyyy-mm-dd")</f>
        <v/>
      </c>
      <c r="C52316" t="inlineStr">
        <is>
          <t>2043-02-16</t>
        </is>
      </c>
    </row>
    <row r="52317">
      <c r="A52317" s="1" t="n">
        <v>52316</v>
      </c>
      <c r="B52317">
        <f>TEXT(52316, "[$-0E0000]yyyy-mm-dd")</f>
        <v/>
      </c>
      <c r="C52317" t="inlineStr">
        <is>
          <t>2043-02-17</t>
        </is>
      </c>
    </row>
    <row r="52318">
      <c r="A52318" s="1" t="n">
        <v>52317</v>
      </c>
      <c r="B52318">
        <f>TEXT(52317, "[$-0E0000]yyyy-mm-dd")</f>
        <v/>
      </c>
      <c r="C52318" t="inlineStr">
        <is>
          <t>2043-02-18</t>
        </is>
      </c>
    </row>
    <row r="52319">
      <c r="A52319" s="1" t="n">
        <v>52318</v>
      </c>
      <c r="B52319">
        <f>TEXT(52318, "[$-0E0000]yyyy-mm-dd")</f>
        <v/>
      </c>
      <c r="C52319" t="inlineStr">
        <is>
          <t>2043-02-19</t>
        </is>
      </c>
    </row>
    <row r="52320">
      <c r="A52320" s="1" t="n">
        <v>52319</v>
      </c>
      <c r="B52320">
        <f>TEXT(52319, "[$-0E0000]yyyy-mm-dd")</f>
        <v/>
      </c>
      <c r="C52320" t="inlineStr">
        <is>
          <t>2043-02-20</t>
        </is>
      </c>
    </row>
    <row r="52321">
      <c r="A52321" s="1" t="n">
        <v>52320</v>
      </c>
      <c r="B52321">
        <f>TEXT(52320, "[$-0E0000]yyyy-mm-dd")</f>
        <v/>
      </c>
      <c r="C52321" t="inlineStr">
        <is>
          <t>2043-02-21</t>
        </is>
      </c>
    </row>
    <row r="52322">
      <c r="A52322" s="1" t="n">
        <v>52321</v>
      </c>
      <c r="B52322">
        <f>TEXT(52321, "[$-0E0000]yyyy-mm-dd")</f>
        <v/>
      </c>
      <c r="C52322" t="inlineStr">
        <is>
          <t>2043-02-22</t>
        </is>
      </c>
    </row>
    <row r="52323">
      <c r="A52323" s="1" t="n">
        <v>52322</v>
      </c>
      <c r="B52323">
        <f>TEXT(52322, "[$-0E0000]yyyy-mm-dd")</f>
        <v/>
      </c>
      <c r="C52323" t="inlineStr">
        <is>
          <t>2043-02-23</t>
        </is>
      </c>
    </row>
    <row r="52324">
      <c r="A52324" s="1" t="n">
        <v>52323</v>
      </c>
      <c r="B52324">
        <f>TEXT(52323, "[$-0E0000]yyyy-mm-dd")</f>
        <v/>
      </c>
      <c r="C52324" t="inlineStr">
        <is>
          <t>2043-02-24</t>
        </is>
      </c>
    </row>
    <row r="52325">
      <c r="A52325" s="1" t="n">
        <v>52324</v>
      </c>
      <c r="B52325">
        <f>TEXT(52324, "[$-0E0000]yyyy-mm-dd")</f>
        <v/>
      </c>
      <c r="C52325" t="inlineStr">
        <is>
          <t>2043-02-25</t>
        </is>
      </c>
    </row>
    <row r="52326">
      <c r="A52326" s="1" t="n">
        <v>52325</v>
      </c>
      <c r="B52326">
        <f>TEXT(52325, "[$-0E0000]yyyy-mm-dd")</f>
        <v/>
      </c>
      <c r="C52326" t="inlineStr">
        <is>
          <t>2043-02-26</t>
        </is>
      </c>
    </row>
    <row r="52327">
      <c r="A52327" s="1" t="n">
        <v>52326</v>
      </c>
      <c r="B52327">
        <f>TEXT(52326, "[$-0E0000]yyyy-mm-dd")</f>
        <v/>
      </c>
      <c r="C52327" t="inlineStr">
        <is>
          <t>2043-02-27</t>
        </is>
      </c>
    </row>
    <row r="52328">
      <c r="A52328" s="1" t="n">
        <v>52327</v>
      </c>
      <c r="B52328">
        <f>TEXT(52327, "[$-0E0000]yyyy-mm-dd")</f>
        <v/>
      </c>
      <c r="C52328" t="inlineStr">
        <is>
          <t>2043-02-28</t>
        </is>
      </c>
    </row>
    <row r="52329">
      <c r="A52329" s="1" t="n">
        <v>52328</v>
      </c>
      <c r="B52329">
        <f>TEXT(52328, "[$-0E0000]yyyy-mm-dd")</f>
        <v/>
      </c>
      <c r="C52329" t="inlineStr">
        <is>
          <t>2043-02-29</t>
        </is>
      </c>
    </row>
    <row r="52330">
      <c r="A52330" s="1" t="n">
        <v>52329</v>
      </c>
      <c r="B52330">
        <f>TEXT(52329, "[$-0E0000]yyyy-mm-dd")</f>
        <v/>
      </c>
      <c r="C52330" t="inlineStr">
        <is>
          <t>2043-02-30</t>
        </is>
      </c>
    </row>
    <row r="52331">
      <c r="A52331" s="1" t="n">
        <v>52330</v>
      </c>
      <c r="B52331">
        <f>TEXT(52330, "[$-0E0000]yyyy-mm-dd")</f>
        <v/>
      </c>
      <c r="C52331" t="inlineStr">
        <is>
          <t>2043-03-01</t>
        </is>
      </c>
    </row>
    <row r="52332">
      <c r="A52332" s="1" t="n">
        <v>52331</v>
      </c>
      <c r="B52332">
        <f>TEXT(52331, "[$-0E0000]yyyy-mm-dd")</f>
        <v/>
      </c>
      <c r="C52332" t="inlineStr">
        <is>
          <t>2043-03-02</t>
        </is>
      </c>
    </row>
    <row r="52333">
      <c r="A52333" s="1" t="n">
        <v>52332</v>
      </c>
      <c r="B52333">
        <f>TEXT(52332, "[$-0E0000]yyyy-mm-dd")</f>
        <v/>
      </c>
      <c r="C52333" t="inlineStr">
        <is>
          <t>2043-03-03</t>
        </is>
      </c>
    </row>
    <row r="52334">
      <c r="A52334" s="1" t="n">
        <v>52333</v>
      </c>
      <c r="B52334">
        <f>TEXT(52333, "[$-0E0000]yyyy-mm-dd")</f>
        <v/>
      </c>
      <c r="C52334" t="inlineStr">
        <is>
          <t>2043-03-04</t>
        </is>
      </c>
    </row>
    <row r="52335">
      <c r="A52335" s="1" t="n">
        <v>52334</v>
      </c>
      <c r="B52335">
        <f>TEXT(52334, "[$-0E0000]yyyy-mm-dd")</f>
        <v/>
      </c>
      <c r="C52335" t="inlineStr">
        <is>
          <t>2043-03-05</t>
        </is>
      </c>
    </row>
    <row r="52336">
      <c r="A52336" s="1" t="n">
        <v>52335</v>
      </c>
      <c r="B52336">
        <f>TEXT(52335, "[$-0E0000]yyyy-mm-dd")</f>
        <v/>
      </c>
      <c r="C52336" t="inlineStr">
        <is>
          <t>2043-03-06</t>
        </is>
      </c>
    </row>
    <row r="52337">
      <c r="A52337" s="1" t="n">
        <v>52336</v>
      </c>
      <c r="B52337">
        <f>TEXT(52336, "[$-0E0000]yyyy-mm-dd")</f>
        <v/>
      </c>
      <c r="C52337" t="inlineStr">
        <is>
          <t>2043-03-07</t>
        </is>
      </c>
    </row>
    <row r="52338">
      <c r="A52338" s="1" t="n">
        <v>52337</v>
      </c>
      <c r="B52338">
        <f>TEXT(52337, "[$-0E0000]yyyy-mm-dd")</f>
        <v/>
      </c>
      <c r="C52338" t="inlineStr">
        <is>
          <t>2043-03-08</t>
        </is>
      </c>
    </row>
    <row r="52339">
      <c r="A52339" s="1" t="n">
        <v>52338</v>
      </c>
      <c r="B52339">
        <f>TEXT(52338, "[$-0E0000]yyyy-mm-dd")</f>
        <v/>
      </c>
      <c r="C52339" t="inlineStr">
        <is>
          <t>2043-03-09</t>
        </is>
      </c>
    </row>
    <row r="52340">
      <c r="A52340" s="1" t="n">
        <v>52339</v>
      </c>
      <c r="B52340">
        <f>TEXT(52339, "[$-0E0000]yyyy-mm-dd")</f>
        <v/>
      </c>
      <c r="C52340" t="inlineStr">
        <is>
          <t>2043-03-10</t>
        </is>
      </c>
    </row>
    <row r="52341">
      <c r="A52341" s="1" t="n">
        <v>52340</v>
      </c>
      <c r="B52341">
        <f>TEXT(52340, "[$-0E0000]yyyy-mm-dd")</f>
        <v/>
      </c>
      <c r="C52341" t="inlineStr">
        <is>
          <t>2043-03-11</t>
        </is>
      </c>
    </row>
    <row r="52342">
      <c r="A52342" s="1" t="n">
        <v>52341</v>
      </c>
      <c r="B52342">
        <f>TEXT(52341, "[$-0E0000]yyyy-mm-dd")</f>
        <v/>
      </c>
      <c r="C52342" t="inlineStr">
        <is>
          <t>2043-03-12</t>
        </is>
      </c>
    </row>
    <row r="52343">
      <c r="A52343" s="1" t="n">
        <v>52342</v>
      </c>
      <c r="B52343">
        <f>TEXT(52342, "[$-0E0000]yyyy-mm-dd")</f>
        <v/>
      </c>
      <c r="C52343" t="inlineStr">
        <is>
          <t>2043-03-13</t>
        </is>
      </c>
    </row>
    <row r="52344">
      <c r="A52344" s="1" t="n">
        <v>52343</v>
      </c>
      <c r="B52344">
        <f>TEXT(52343, "[$-0E0000]yyyy-mm-dd")</f>
        <v/>
      </c>
      <c r="C52344" t="inlineStr">
        <is>
          <t>2043-03-14</t>
        </is>
      </c>
    </row>
    <row r="52345">
      <c r="A52345" s="1" t="n">
        <v>52344</v>
      </c>
      <c r="B52345">
        <f>TEXT(52344, "[$-0E0000]yyyy-mm-dd")</f>
        <v/>
      </c>
      <c r="C52345" t="inlineStr">
        <is>
          <t>2043-03-15</t>
        </is>
      </c>
    </row>
    <row r="52346">
      <c r="A52346" s="1" t="n">
        <v>52345</v>
      </c>
      <c r="B52346">
        <f>TEXT(52345, "[$-0E0000]yyyy-mm-dd")</f>
        <v/>
      </c>
      <c r="C52346" t="inlineStr">
        <is>
          <t>2043-03-16</t>
        </is>
      </c>
    </row>
    <row r="52347">
      <c r="A52347" s="1" t="n">
        <v>52346</v>
      </c>
      <c r="B52347">
        <f>TEXT(52346, "[$-0E0000]yyyy-mm-dd")</f>
        <v/>
      </c>
      <c r="C52347" t="inlineStr">
        <is>
          <t>2043-03-17</t>
        </is>
      </c>
    </row>
    <row r="52348">
      <c r="A52348" s="1" t="n">
        <v>52347</v>
      </c>
      <c r="B52348">
        <f>TEXT(52347, "[$-0E0000]yyyy-mm-dd")</f>
        <v/>
      </c>
      <c r="C52348" t="inlineStr">
        <is>
          <t>2043-03-18</t>
        </is>
      </c>
    </row>
    <row r="52349">
      <c r="A52349" s="1" t="n">
        <v>52348</v>
      </c>
      <c r="B52349">
        <f>TEXT(52348, "[$-0E0000]yyyy-mm-dd")</f>
        <v/>
      </c>
      <c r="C52349" t="inlineStr">
        <is>
          <t>2043-03-19</t>
        </is>
      </c>
    </row>
    <row r="52350">
      <c r="A52350" s="1" t="n">
        <v>52349</v>
      </c>
      <c r="B52350">
        <f>TEXT(52349, "[$-0E0000]yyyy-mm-dd")</f>
        <v/>
      </c>
      <c r="C52350" t="inlineStr">
        <is>
          <t>2043-03-20</t>
        </is>
      </c>
    </row>
    <row r="52351">
      <c r="A52351" s="1" t="n">
        <v>52350</v>
      </c>
      <c r="B52351">
        <f>TEXT(52350, "[$-0E0000]yyyy-mm-dd")</f>
        <v/>
      </c>
      <c r="C52351" t="inlineStr">
        <is>
          <t>2043-03-21</t>
        </is>
      </c>
    </row>
    <row r="52352">
      <c r="A52352" s="1" t="n">
        <v>52351</v>
      </c>
      <c r="B52352">
        <f>TEXT(52351, "[$-0E0000]yyyy-mm-dd")</f>
        <v/>
      </c>
      <c r="C52352" t="inlineStr">
        <is>
          <t>2043-03-22</t>
        </is>
      </c>
    </row>
    <row r="52353">
      <c r="A52353" s="1" t="n">
        <v>52352</v>
      </c>
      <c r="B52353">
        <f>TEXT(52352, "[$-0E0000]yyyy-mm-dd")</f>
        <v/>
      </c>
      <c r="C52353" t="inlineStr">
        <is>
          <t>2043-03-23</t>
        </is>
      </c>
    </row>
    <row r="52354">
      <c r="A52354" s="1" t="n">
        <v>52353</v>
      </c>
      <c r="B52354">
        <f>TEXT(52353, "[$-0E0000]yyyy-mm-dd")</f>
        <v/>
      </c>
      <c r="C52354" t="inlineStr">
        <is>
          <t>2043-03-24</t>
        </is>
      </c>
    </row>
    <row r="52355">
      <c r="A52355" s="1" t="n">
        <v>52354</v>
      </c>
      <c r="B52355">
        <f>TEXT(52354, "[$-0E0000]yyyy-mm-dd")</f>
        <v/>
      </c>
      <c r="C52355" t="inlineStr">
        <is>
          <t>2043-03-25</t>
        </is>
      </c>
    </row>
    <row r="52356">
      <c r="A52356" s="1" t="n">
        <v>52355</v>
      </c>
      <c r="B52356">
        <f>TEXT(52355, "[$-0E0000]yyyy-mm-dd")</f>
        <v/>
      </c>
      <c r="C52356" t="inlineStr">
        <is>
          <t>2043-03-26</t>
        </is>
      </c>
    </row>
    <row r="52357">
      <c r="A52357" s="1" t="n">
        <v>52356</v>
      </c>
      <c r="B52357">
        <f>TEXT(52356, "[$-0E0000]yyyy-mm-dd")</f>
        <v/>
      </c>
      <c r="C52357" t="inlineStr">
        <is>
          <t>2043-03-27</t>
        </is>
      </c>
    </row>
    <row r="52358">
      <c r="A52358" s="1" t="n">
        <v>52357</v>
      </c>
      <c r="B52358">
        <f>TEXT(52357, "[$-0E0000]yyyy-mm-dd")</f>
        <v/>
      </c>
      <c r="C52358" t="inlineStr">
        <is>
          <t>2043-03-28</t>
        </is>
      </c>
    </row>
    <row r="52359">
      <c r="A52359" s="1" t="n">
        <v>52358</v>
      </c>
      <c r="B52359">
        <f>TEXT(52358, "[$-0E0000]yyyy-mm-dd")</f>
        <v/>
      </c>
      <c r="C52359" t="inlineStr">
        <is>
          <t>2043-03-29</t>
        </is>
      </c>
    </row>
    <row r="52360">
      <c r="A52360" s="1" t="n">
        <v>52359</v>
      </c>
      <c r="B52360">
        <f>TEXT(52359, "[$-0E0000]yyyy-mm-dd")</f>
        <v/>
      </c>
      <c r="C52360" t="inlineStr">
        <is>
          <t>2043-04-01</t>
        </is>
      </c>
    </row>
    <row r="52361">
      <c r="A52361" s="1" t="n">
        <v>52360</v>
      </c>
      <c r="B52361">
        <f>TEXT(52360, "[$-0E0000]yyyy-mm-dd")</f>
        <v/>
      </c>
      <c r="C52361" t="inlineStr">
        <is>
          <t>2043-04-02</t>
        </is>
      </c>
    </row>
    <row r="52362">
      <c r="A52362" s="1" t="n">
        <v>52361</v>
      </c>
      <c r="B52362">
        <f>TEXT(52361, "[$-0E0000]yyyy-mm-dd")</f>
        <v/>
      </c>
      <c r="C52362" t="inlineStr">
        <is>
          <t>2043-04-03</t>
        </is>
      </c>
    </row>
    <row r="52363">
      <c r="A52363" s="1" t="n">
        <v>52362</v>
      </c>
      <c r="B52363">
        <f>TEXT(52362, "[$-0E0000]yyyy-mm-dd")</f>
        <v/>
      </c>
      <c r="C52363" t="inlineStr">
        <is>
          <t>2043-04-04</t>
        </is>
      </c>
    </row>
    <row r="52364">
      <c r="A52364" s="1" t="n">
        <v>52363</v>
      </c>
      <c r="B52364">
        <f>TEXT(52363, "[$-0E0000]yyyy-mm-dd")</f>
        <v/>
      </c>
      <c r="C52364" t="inlineStr">
        <is>
          <t>2043-04-05</t>
        </is>
      </c>
    </row>
    <row r="52365">
      <c r="A52365" s="1" t="n">
        <v>52364</v>
      </c>
      <c r="B52365">
        <f>TEXT(52364, "[$-0E0000]yyyy-mm-dd")</f>
        <v/>
      </c>
      <c r="C52365" t="inlineStr">
        <is>
          <t>2043-04-06</t>
        </is>
      </c>
    </row>
    <row r="52366">
      <c r="A52366" s="1" t="n">
        <v>52365</v>
      </c>
      <c r="B52366">
        <f>TEXT(52365, "[$-0E0000]yyyy-mm-dd")</f>
        <v/>
      </c>
      <c r="C52366" t="inlineStr">
        <is>
          <t>2043-04-07</t>
        </is>
      </c>
    </row>
    <row r="52367">
      <c r="A52367" s="1" t="n">
        <v>52366</v>
      </c>
      <c r="B52367">
        <f>TEXT(52366, "[$-0E0000]yyyy-mm-dd")</f>
        <v/>
      </c>
      <c r="C52367" t="inlineStr">
        <is>
          <t>2043-04-08</t>
        </is>
      </c>
    </row>
    <row r="52368">
      <c r="A52368" s="1" t="n">
        <v>52367</v>
      </c>
      <c r="B52368">
        <f>TEXT(52367, "[$-0E0000]yyyy-mm-dd")</f>
        <v/>
      </c>
      <c r="C52368" t="inlineStr">
        <is>
          <t>2043-04-09</t>
        </is>
      </c>
    </row>
    <row r="52369">
      <c r="A52369" s="1" t="n">
        <v>52368</v>
      </c>
      <c r="B52369">
        <f>TEXT(52368, "[$-0E0000]yyyy-mm-dd")</f>
        <v/>
      </c>
      <c r="C52369" t="inlineStr">
        <is>
          <t>2043-04-10</t>
        </is>
      </c>
    </row>
    <row r="52370">
      <c r="A52370" s="1" t="n">
        <v>52369</v>
      </c>
      <c r="B52370">
        <f>TEXT(52369, "[$-0E0000]yyyy-mm-dd")</f>
        <v/>
      </c>
      <c r="C52370" t="inlineStr">
        <is>
          <t>2043-04-11</t>
        </is>
      </c>
    </row>
    <row r="52371">
      <c r="A52371" s="1" t="n">
        <v>52370</v>
      </c>
      <c r="B52371">
        <f>TEXT(52370, "[$-0E0000]yyyy-mm-dd")</f>
        <v/>
      </c>
      <c r="C52371" t="inlineStr">
        <is>
          <t>2043-04-12</t>
        </is>
      </c>
    </row>
    <row r="52372">
      <c r="A52372" s="1" t="n">
        <v>52371</v>
      </c>
      <c r="B52372">
        <f>TEXT(52371, "[$-0E0000]yyyy-mm-dd")</f>
        <v/>
      </c>
      <c r="C52372" t="inlineStr">
        <is>
          <t>2043-04-13</t>
        </is>
      </c>
    </row>
    <row r="52373">
      <c r="A52373" s="1" t="n">
        <v>52372</v>
      </c>
      <c r="B52373">
        <f>TEXT(52372, "[$-0E0000]yyyy-mm-dd")</f>
        <v/>
      </c>
      <c r="C52373" t="inlineStr">
        <is>
          <t>2043-04-14</t>
        </is>
      </c>
    </row>
    <row r="52374">
      <c r="A52374" s="1" t="n">
        <v>52373</v>
      </c>
      <c r="B52374">
        <f>TEXT(52373, "[$-0E0000]yyyy-mm-dd")</f>
        <v/>
      </c>
      <c r="C52374" t="inlineStr">
        <is>
          <t>2043-04-15</t>
        </is>
      </c>
    </row>
    <row r="52375">
      <c r="A52375" s="1" t="n">
        <v>52374</v>
      </c>
      <c r="B52375">
        <f>TEXT(52374, "[$-0E0000]yyyy-mm-dd")</f>
        <v/>
      </c>
      <c r="C52375" t="inlineStr">
        <is>
          <t>2043-04-16</t>
        </is>
      </c>
    </row>
    <row r="52376">
      <c r="A52376" s="1" t="n">
        <v>52375</v>
      </c>
      <c r="B52376">
        <f>TEXT(52375, "[$-0E0000]yyyy-mm-dd")</f>
        <v/>
      </c>
      <c r="C52376" t="inlineStr">
        <is>
          <t>2043-04-17</t>
        </is>
      </c>
    </row>
    <row r="52377">
      <c r="A52377" s="1" t="n">
        <v>52376</v>
      </c>
      <c r="B52377">
        <f>TEXT(52376, "[$-0E0000]yyyy-mm-dd")</f>
        <v/>
      </c>
      <c r="C52377" t="inlineStr">
        <is>
          <t>2043-04-18</t>
        </is>
      </c>
    </row>
    <row r="52378">
      <c r="A52378" s="1" t="n">
        <v>52377</v>
      </c>
      <c r="B52378">
        <f>TEXT(52377, "[$-0E0000]yyyy-mm-dd")</f>
        <v/>
      </c>
      <c r="C52378" t="inlineStr">
        <is>
          <t>2043-04-19</t>
        </is>
      </c>
    </row>
    <row r="52379">
      <c r="A52379" s="1" t="n">
        <v>52378</v>
      </c>
      <c r="B52379">
        <f>TEXT(52378, "[$-0E0000]yyyy-mm-dd")</f>
        <v/>
      </c>
      <c r="C52379" t="inlineStr">
        <is>
          <t>2043-04-20</t>
        </is>
      </c>
    </row>
    <row r="52380">
      <c r="A52380" s="1" t="n">
        <v>52379</v>
      </c>
      <c r="B52380">
        <f>TEXT(52379, "[$-0E0000]yyyy-mm-dd")</f>
        <v/>
      </c>
      <c r="C52380" t="inlineStr">
        <is>
          <t>2043-04-21</t>
        </is>
      </c>
    </row>
    <row r="52381">
      <c r="A52381" s="1" t="n">
        <v>52380</v>
      </c>
      <c r="B52381">
        <f>TEXT(52380, "[$-0E0000]yyyy-mm-dd")</f>
        <v/>
      </c>
      <c r="C52381" t="inlineStr">
        <is>
          <t>2043-04-22</t>
        </is>
      </c>
    </row>
    <row r="52382">
      <c r="A52382" s="1" t="n">
        <v>52381</v>
      </c>
      <c r="B52382">
        <f>TEXT(52381, "[$-0E0000]yyyy-mm-dd")</f>
        <v/>
      </c>
      <c r="C52382" t="inlineStr">
        <is>
          <t>2043-04-23</t>
        </is>
      </c>
    </row>
    <row r="52383">
      <c r="A52383" s="1" t="n">
        <v>52382</v>
      </c>
      <c r="B52383">
        <f>TEXT(52382, "[$-0E0000]yyyy-mm-dd")</f>
        <v/>
      </c>
      <c r="C52383" t="inlineStr">
        <is>
          <t>2043-04-24</t>
        </is>
      </c>
    </row>
    <row r="52384">
      <c r="A52384" s="1" t="n">
        <v>52383</v>
      </c>
      <c r="B52384">
        <f>TEXT(52383, "[$-0E0000]yyyy-mm-dd")</f>
        <v/>
      </c>
      <c r="C52384" t="inlineStr">
        <is>
          <t>2043-04-25</t>
        </is>
      </c>
    </row>
    <row r="52385">
      <c r="A52385" s="1" t="n">
        <v>52384</v>
      </c>
      <c r="B52385">
        <f>TEXT(52384, "[$-0E0000]yyyy-mm-dd")</f>
        <v/>
      </c>
      <c r="C52385" t="inlineStr">
        <is>
          <t>2043-04-26</t>
        </is>
      </c>
    </row>
    <row r="52386">
      <c r="A52386" s="1" t="n">
        <v>52385</v>
      </c>
      <c r="B52386">
        <f>TEXT(52385, "[$-0E0000]yyyy-mm-dd")</f>
        <v/>
      </c>
      <c r="C52386" t="inlineStr">
        <is>
          <t>2043-04-27</t>
        </is>
      </c>
    </row>
    <row r="52387">
      <c r="A52387" s="1" t="n">
        <v>52386</v>
      </c>
      <c r="B52387">
        <f>TEXT(52386, "[$-0E0000]yyyy-mm-dd")</f>
        <v/>
      </c>
      <c r="C52387" t="inlineStr">
        <is>
          <t>2043-04-28</t>
        </is>
      </c>
    </row>
    <row r="52388">
      <c r="A52388" s="1" t="n">
        <v>52387</v>
      </c>
      <c r="B52388">
        <f>TEXT(52387, "[$-0E0000]yyyy-mm-dd")</f>
        <v/>
      </c>
      <c r="C52388" t="inlineStr">
        <is>
          <t>2043-04-29</t>
        </is>
      </c>
    </row>
    <row r="52389">
      <c r="A52389" s="1" t="n">
        <v>52388</v>
      </c>
      <c r="B52389">
        <f>TEXT(52388, "[$-0E0000]yyyy-mm-dd")</f>
        <v/>
      </c>
      <c r="C52389" t="inlineStr">
        <is>
          <t>2043-05-01</t>
        </is>
      </c>
    </row>
    <row r="52390">
      <c r="A52390" s="1" t="n">
        <v>52389</v>
      </c>
      <c r="B52390">
        <f>TEXT(52389, "[$-0E0000]yyyy-mm-dd")</f>
        <v/>
      </c>
      <c r="C52390" t="inlineStr">
        <is>
          <t>2043-05-02</t>
        </is>
      </c>
    </row>
    <row r="52391">
      <c r="A52391" s="1" t="n">
        <v>52390</v>
      </c>
      <c r="B52391">
        <f>TEXT(52390, "[$-0E0000]yyyy-mm-dd")</f>
        <v/>
      </c>
      <c r="C52391" t="inlineStr">
        <is>
          <t>2043-05-03</t>
        </is>
      </c>
    </row>
    <row r="52392">
      <c r="A52392" s="1" t="n">
        <v>52391</v>
      </c>
      <c r="B52392">
        <f>TEXT(52391, "[$-0E0000]yyyy-mm-dd")</f>
        <v/>
      </c>
      <c r="C52392" t="inlineStr">
        <is>
          <t>2043-05-04</t>
        </is>
      </c>
    </row>
    <row r="52393">
      <c r="A52393" s="1" t="n">
        <v>52392</v>
      </c>
      <c r="B52393">
        <f>TEXT(52392, "[$-0E0000]yyyy-mm-dd")</f>
        <v/>
      </c>
      <c r="C52393" t="inlineStr">
        <is>
          <t>2043-05-05</t>
        </is>
      </c>
    </row>
    <row r="52394">
      <c r="A52394" s="1" t="n">
        <v>52393</v>
      </c>
      <c r="B52394">
        <f>TEXT(52393, "[$-0E0000]yyyy-mm-dd")</f>
        <v/>
      </c>
      <c r="C52394" t="inlineStr">
        <is>
          <t>2043-05-06</t>
        </is>
      </c>
    </row>
    <row r="52395">
      <c r="A52395" s="1" t="n">
        <v>52394</v>
      </c>
      <c r="B52395">
        <f>TEXT(52394, "[$-0E0000]yyyy-mm-dd")</f>
        <v/>
      </c>
      <c r="C52395" t="inlineStr">
        <is>
          <t>2043-05-07</t>
        </is>
      </c>
    </row>
    <row r="52396">
      <c r="A52396" s="1" t="n">
        <v>52395</v>
      </c>
      <c r="B52396">
        <f>TEXT(52395, "[$-0E0000]yyyy-mm-dd")</f>
        <v/>
      </c>
      <c r="C52396" t="inlineStr">
        <is>
          <t>2043-05-08</t>
        </is>
      </c>
    </row>
    <row r="52397">
      <c r="A52397" s="1" t="n">
        <v>52396</v>
      </c>
      <c r="B52397">
        <f>TEXT(52396, "[$-0E0000]yyyy-mm-dd")</f>
        <v/>
      </c>
      <c r="C52397" t="inlineStr">
        <is>
          <t>2043-05-09</t>
        </is>
      </c>
    </row>
    <row r="52398">
      <c r="A52398" s="1" t="n">
        <v>52397</v>
      </c>
      <c r="B52398">
        <f>TEXT(52397, "[$-0E0000]yyyy-mm-dd")</f>
        <v/>
      </c>
      <c r="C52398" t="inlineStr">
        <is>
          <t>2043-05-10</t>
        </is>
      </c>
    </row>
    <row r="52399">
      <c r="A52399" s="1" t="n">
        <v>52398</v>
      </c>
      <c r="B52399">
        <f>TEXT(52398, "[$-0E0000]yyyy-mm-dd")</f>
        <v/>
      </c>
      <c r="C52399" t="inlineStr">
        <is>
          <t>2043-05-11</t>
        </is>
      </c>
    </row>
    <row r="52400">
      <c r="A52400" s="1" t="n">
        <v>52399</v>
      </c>
      <c r="B52400">
        <f>TEXT(52399, "[$-0E0000]yyyy-mm-dd")</f>
        <v/>
      </c>
      <c r="C52400" t="inlineStr">
        <is>
          <t>2043-05-12</t>
        </is>
      </c>
    </row>
    <row r="52401">
      <c r="A52401" s="1" t="n">
        <v>52400</v>
      </c>
      <c r="B52401">
        <f>TEXT(52400, "[$-0E0000]yyyy-mm-dd")</f>
        <v/>
      </c>
      <c r="C52401" t="inlineStr">
        <is>
          <t>2043-05-13</t>
        </is>
      </c>
    </row>
    <row r="52402">
      <c r="A52402" s="1" t="n">
        <v>52401</v>
      </c>
      <c r="B52402">
        <f>TEXT(52401, "[$-0E0000]yyyy-mm-dd")</f>
        <v/>
      </c>
      <c r="C52402" t="inlineStr">
        <is>
          <t>2043-05-14</t>
        </is>
      </c>
    </row>
    <row r="52403">
      <c r="A52403" s="1" t="n">
        <v>52402</v>
      </c>
      <c r="B52403">
        <f>TEXT(52402, "[$-0E0000]yyyy-mm-dd")</f>
        <v/>
      </c>
      <c r="C52403" t="inlineStr">
        <is>
          <t>2043-05-15</t>
        </is>
      </c>
    </row>
    <row r="52404">
      <c r="A52404" s="1" t="n">
        <v>52403</v>
      </c>
      <c r="B52404">
        <f>TEXT(52403, "[$-0E0000]yyyy-mm-dd")</f>
        <v/>
      </c>
      <c r="C52404" t="inlineStr">
        <is>
          <t>2043-05-16</t>
        </is>
      </c>
    </row>
    <row r="52405">
      <c r="A52405" s="1" t="n">
        <v>52404</v>
      </c>
      <c r="B52405">
        <f>TEXT(52404, "[$-0E0000]yyyy-mm-dd")</f>
        <v/>
      </c>
      <c r="C52405" t="inlineStr">
        <is>
          <t>2043-05-17</t>
        </is>
      </c>
    </row>
    <row r="52406">
      <c r="A52406" s="1" t="n">
        <v>52405</v>
      </c>
      <c r="B52406">
        <f>TEXT(52405, "[$-0E0000]yyyy-mm-dd")</f>
        <v/>
      </c>
      <c r="C52406" t="inlineStr">
        <is>
          <t>2043-05-18</t>
        </is>
      </c>
    </row>
    <row r="52407">
      <c r="A52407" s="1" t="n">
        <v>52406</v>
      </c>
      <c r="B52407">
        <f>TEXT(52406, "[$-0E0000]yyyy-mm-dd")</f>
        <v/>
      </c>
      <c r="C52407" t="inlineStr">
        <is>
          <t>2043-05-19</t>
        </is>
      </c>
    </row>
    <row r="52408">
      <c r="A52408" s="1" t="n">
        <v>52407</v>
      </c>
      <c r="B52408">
        <f>TEXT(52407, "[$-0E0000]yyyy-mm-dd")</f>
        <v/>
      </c>
      <c r="C52408" t="inlineStr">
        <is>
          <t>2043-05-20</t>
        </is>
      </c>
    </row>
    <row r="52409">
      <c r="A52409" s="1" t="n">
        <v>52408</v>
      </c>
      <c r="B52409">
        <f>TEXT(52408, "[$-0E0000]yyyy-mm-dd")</f>
        <v/>
      </c>
      <c r="C52409" t="inlineStr">
        <is>
          <t>2043-05-21</t>
        </is>
      </c>
    </row>
    <row r="52410">
      <c r="A52410" s="1" t="n">
        <v>52409</v>
      </c>
      <c r="B52410">
        <f>TEXT(52409, "[$-0E0000]yyyy-mm-dd")</f>
        <v/>
      </c>
      <c r="C52410" t="inlineStr">
        <is>
          <t>2043-05-22</t>
        </is>
      </c>
    </row>
    <row r="52411">
      <c r="A52411" s="1" t="n">
        <v>52410</v>
      </c>
      <c r="B52411">
        <f>TEXT(52410, "[$-0E0000]yyyy-mm-dd")</f>
        <v/>
      </c>
      <c r="C52411" t="inlineStr">
        <is>
          <t>2043-05-23</t>
        </is>
      </c>
    </row>
    <row r="52412">
      <c r="A52412" s="1" t="n">
        <v>52411</v>
      </c>
      <c r="B52412">
        <f>TEXT(52411, "[$-0E0000]yyyy-mm-dd")</f>
        <v/>
      </c>
      <c r="C52412" t="inlineStr">
        <is>
          <t>2043-05-24</t>
        </is>
      </c>
    </row>
    <row r="52413">
      <c r="A52413" s="1" t="n">
        <v>52412</v>
      </c>
      <c r="B52413">
        <f>TEXT(52412, "[$-0E0000]yyyy-mm-dd")</f>
        <v/>
      </c>
      <c r="C52413" t="inlineStr">
        <is>
          <t>2043-05-25</t>
        </is>
      </c>
    </row>
    <row r="52414">
      <c r="A52414" s="1" t="n">
        <v>52413</v>
      </c>
      <c r="B52414">
        <f>TEXT(52413, "[$-0E0000]yyyy-mm-dd")</f>
        <v/>
      </c>
      <c r="C52414" t="inlineStr">
        <is>
          <t>2043-05-26</t>
        </is>
      </c>
    </row>
    <row r="52415">
      <c r="A52415" s="1" t="n">
        <v>52414</v>
      </c>
      <c r="B52415">
        <f>TEXT(52414, "[$-0E0000]yyyy-mm-dd")</f>
        <v/>
      </c>
      <c r="C52415" t="inlineStr">
        <is>
          <t>2043-05-27</t>
        </is>
      </c>
    </row>
    <row r="52416">
      <c r="A52416" s="1" t="n">
        <v>52415</v>
      </c>
      <c r="B52416">
        <f>TEXT(52415, "[$-0E0000]yyyy-mm-dd")</f>
        <v/>
      </c>
      <c r="C52416" t="inlineStr">
        <is>
          <t>2043-05-28</t>
        </is>
      </c>
    </row>
    <row r="52417">
      <c r="A52417" s="1" t="n">
        <v>52416</v>
      </c>
      <c r="B52417">
        <f>TEXT(52416, "[$-0E0000]yyyy-mm-dd")</f>
        <v/>
      </c>
      <c r="C52417" t="inlineStr">
        <is>
          <t>2043-05-29</t>
        </is>
      </c>
    </row>
    <row r="52418">
      <c r="A52418" s="1" t="n">
        <v>52417</v>
      </c>
      <c r="B52418">
        <f>TEXT(52417, "[$-0E0000]yyyy-mm-dd")</f>
        <v/>
      </c>
      <c r="C52418" t="inlineStr">
        <is>
          <t>2043-05-30</t>
        </is>
      </c>
    </row>
    <row r="52419">
      <c r="A52419" s="1" t="n">
        <v>52418</v>
      </c>
      <c r="B52419">
        <f>TEXT(52418, "[$-0E0000]yyyy-mm-dd")</f>
        <v/>
      </c>
      <c r="C52419" t="inlineStr">
        <is>
          <t>2043-06-01</t>
        </is>
      </c>
    </row>
    <row r="52420">
      <c r="A52420" s="1" t="n">
        <v>52419</v>
      </c>
      <c r="B52420">
        <f>TEXT(52419, "[$-0E0000]yyyy-mm-dd")</f>
        <v/>
      </c>
      <c r="C52420" t="inlineStr">
        <is>
          <t>2043-06-02</t>
        </is>
      </c>
    </row>
    <row r="52421">
      <c r="A52421" s="1" t="n">
        <v>52420</v>
      </c>
      <c r="B52421">
        <f>TEXT(52420, "[$-0E0000]yyyy-mm-dd")</f>
        <v/>
      </c>
      <c r="C52421" t="inlineStr">
        <is>
          <t>2043-06-03</t>
        </is>
      </c>
    </row>
    <row r="52422">
      <c r="A52422" s="1" t="n">
        <v>52421</v>
      </c>
      <c r="B52422">
        <f>TEXT(52421, "[$-0E0000]yyyy-mm-dd")</f>
        <v/>
      </c>
      <c r="C52422" t="inlineStr">
        <is>
          <t>2043-06-04</t>
        </is>
      </c>
    </row>
    <row r="52423">
      <c r="A52423" s="1" t="n">
        <v>52422</v>
      </c>
      <c r="B52423">
        <f>TEXT(52422, "[$-0E0000]yyyy-mm-dd")</f>
        <v/>
      </c>
      <c r="C52423" t="inlineStr">
        <is>
          <t>2043-06-05</t>
        </is>
      </c>
    </row>
    <row r="52424">
      <c r="A52424" s="1" t="n">
        <v>52423</v>
      </c>
      <c r="B52424">
        <f>TEXT(52423, "[$-0E0000]yyyy-mm-dd")</f>
        <v/>
      </c>
      <c r="C52424" t="inlineStr">
        <is>
          <t>2043-06-06</t>
        </is>
      </c>
    </row>
    <row r="52425">
      <c r="A52425" s="1" t="n">
        <v>52424</v>
      </c>
      <c r="B52425">
        <f>TEXT(52424, "[$-0E0000]yyyy-mm-dd")</f>
        <v/>
      </c>
      <c r="C52425" t="inlineStr">
        <is>
          <t>2043-06-07</t>
        </is>
      </c>
    </row>
    <row r="52426">
      <c r="A52426" s="1" t="n">
        <v>52425</v>
      </c>
      <c r="B52426">
        <f>TEXT(52425, "[$-0E0000]yyyy-mm-dd")</f>
        <v/>
      </c>
      <c r="C52426" t="inlineStr">
        <is>
          <t>2043-06-08</t>
        </is>
      </c>
    </row>
    <row r="52427">
      <c r="A52427" s="1" t="n">
        <v>52426</v>
      </c>
      <c r="B52427">
        <f>TEXT(52426, "[$-0E0000]yyyy-mm-dd")</f>
        <v/>
      </c>
      <c r="C52427" t="inlineStr">
        <is>
          <t>2043-06-09</t>
        </is>
      </c>
    </row>
    <row r="52428">
      <c r="A52428" s="1" t="n">
        <v>52427</v>
      </c>
      <c r="B52428">
        <f>TEXT(52427, "[$-0E0000]yyyy-mm-dd")</f>
        <v/>
      </c>
      <c r="C52428" t="inlineStr">
        <is>
          <t>2043-06-10</t>
        </is>
      </c>
    </row>
    <row r="52429">
      <c r="A52429" s="1" t="n">
        <v>52428</v>
      </c>
      <c r="B52429">
        <f>TEXT(52428, "[$-0E0000]yyyy-mm-dd")</f>
        <v/>
      </c>
      <c r="C52429" t="inlineStr">
        <is>
          <t>2043-06-11</t>
        </is>
      </c>
    </row>
    <row r="52430">
      <c r="A52430" s="1" t="n">
        <v>52429</v>
      </c>
      <c r="B52430">
        <f>TEXT(52429, "[$-0E0000]yyyy-mm-dd")</f>
        <v/>
      </c>
      <c r="C52430" t="inlineStr">
        <is>
          <t>2043-06-12</t>
        </is>
      </c>
    </row>
    <row r="52431">
      <c r="A52431" s="1" t="n">
        <v>52430</v>
      </c>
      <c r="B52431">
        <f>TEXT(52430, "[$-0E0000]yyyy-mm-dd")</f>
        <v/>
      </c>
      <c r="C52431" t="inlineStr">
        <is>
          <t>2043-06-13</t>
        </is>
      </c>
    </row>
    <row r="52432">
      <c r="A52432" s="1" t="n">
        <v>52431</v>
      </c>
      <c r="B52432">
        <f>TEXT(52431, "[$-0E0000]yyyy-mm-dd")</f>
        <v/>
      </c>
      <c r="C52432" t="inlineStr">
        <is>
          <t>2043-06-14</t>
        </is>
      </c>
    </row>
    <row r="52433">
      <c r="A52433" s="1" t="n">
        <v>52432</v>
      </c>
      <c r="B52433">
        <f>TEXT(52432, "[$-0E0000]yyyy-mm-dd")</f>
        <v/>
      </c>
      <c r="C52433" t="inlineStr">
        <is>
          <t>2043-06-15</t>
        </is>
      </c>
    </row>
    <row r="52434">
      <c r="A52434" s="1" t="n">
        <v>52433</v>
      </c>
      <c r="B52434">
        <f>TEXT(52433, "[$-0E0000]yyyy-mm-dd")</f>
        <v/>
      </c>
      <c r="C52434" t="inlineStr">
        <is>
          <t>2043-06-16</t>
        </is>
      </c>
    </row>
    <row r="52435">
      <c r="A52435" s="1" t="n">
        <v>52434</v>
      </c>
      <c r="B52435">
        <f>TEXT(52434, "[$-0E0000]yyyy-mm-dd")</f>
        <v/>
      </c>
      <c r="C52435" t="inlineStr">
        <is>
          <t>2043-06-17</t>
        </is>
      </c>
    </row>
    <row r="52436">
      <c r="A52436" s="1" t="n">
        <v>52435</v>
      </c>
      <c r="B52436">
        <f>TEXT(52435, "[$-0E0000]yyyy-mm-dd")</f>
        <v/>
      </c>
      <c r="C52436" t="inlineStr">
        <is>
          <t>2043-06-18</t>
        </is>
      </c>
    </row>
    <row r="52437">
      <c r="A52437" s="1" t="n">
        <v>52436</v>
      </c>
      <c r="B52437">
        <f>TEXT(52436, "[$-0E0000]yyyy-mm-dd")</f>
        <v/>
      </c>
      <c r="C52437" t="inlineStr">
        <is>
          <t>2043-06-19</t>
        </is>
      </c>
    </row>
    <row r="52438">
      <c r="A52438" s="1" t="n">
        <v>52437</v>
      </c>
      <c r="B52438">
        <f>TEXT(52437, "[$-0E0000]yyyy-mm-dd")</f>
        <v/>
      </c>
      <c r="C52438" t="inlineStr">
        <is>
          <t>2043-06-20</t>
        </is>
      </c>
    </row>
    <row r="52439">
      <c r="A52439" s="1" t="n">
        <v>52438</v>
      </c>
      <c r="B52439">
        <f>TEXT(52438, "[$-0E0000]yyyy-mm-dd")</f>
        <v/>
      </c>
      <c r="C52439" t="inlineStr">
        <is>
          <t>2043-06-21</t>
        </is>
      </c>
    </row>
    <row r="52440">
      <c r="A52440" s="1" t="n">
        <v>52439</v>
      </c>
      <c r="B52440">
        <f>TEXT(52439, "[$-0E0000]yyyy-mm-dd")</f>
        <v/>
      </c>
      <c r="C52440" t="inlineStr">
        <is>
          <t>2043-06-22</t>
        </is>
      </c>
    </row>
    <row r="52441">
      <c r="A52441" s="1" t="n">
        <v>52440</v>
      </c>
      <c r="B52441">
        <f>TEXT(52440, "[$-0E0000]yyyy-mm-dd")</f>
        <v/>
      </c>
      <c r="C52441" t="inlineStr">
        <is>
          <t>2043-06-23</t>
        </is>
      </c>
    </row>
    <row r="52442">
      <c r="A52442" s="1" t="n">
        <v>52441</v>
      </c>
      <c r="B52442">
        <f>TEXT(52441, "[$-0E0000]yyyy-mm-dd")</f>
        <v/>
      </c>
      <c r="C52442" t="inlineStr">
        <is>
          <t>2043-06-24</t>
        </is>
      </c>
    </row>
    <row r="52443">
      <c r="A52443" s="1" t="n">
        <v>52442</v>
      </c>
      <c r="B52443">
        <f>TEXT(52442, "[$-0E0000]yyyy-mm-dd")</f>
        <v/>
      </c>
      <c r="C52443" t="inlineStr">
        <is>
          <t>2043-06-25</t>
        </is>
      </c>
    </row>
    <row r="52444">
      <c r="A52444" s="1" t="n">
        <v>52443</v>
      </c>
      <c r="B52444">
        <f>TEXT(52443, "[$-0E0000]yyyy-mm-dd")</f>
        <v/>
      </c>
      <c r="C52444" t="inlineStr">
        <is>
          <t>2043-06-26</t>
        </is>
      </c>
    </row>
    <row r="52445">
      <c r="A52445" s="1" t="n">
        <v>52444</v>
      </c>
      <c r="B52445">
        <f>TEXT(52444, "[$-0E0000]yyyy-mm-dd")</f>
        <v/>
      </c>
      <c r="C52445" t="inlineStr">
        <is>
          <t>2043-06-27</t>
        </is>
      </c>
    </row>
    <row r="52446">
      <c r="A52446" s="1" t="n">
        <v>52445</v>
      </c>
      <c r="B52446">
        <f>TEXT(52445, "[$-0E0000]yyyy-mm-dd")</f>
        <v/>
      </c>
      <c r="C52446" t="inlineStr">
        <is>
          <t>2043-06-28</t>
        </is>
      </c>
    </row>
    <row r="52447">
      <c r="A52447" s="1" t="n">
        <v>52446</v>
      </c>
      <c r="B52447">
        <f>TEXT(52446, "[$-0E0000]yyyy-mm-dd")</f>
        <v/>
      </c>
      <c r="C52447" t="inlineStr">
        <is>
          <t>2043-06-29</t>
        </is>
      </c>
    </row>
    <row r="52448">
      <c r="A52448" s="1" t="n">
        <v>52447</v>
      </c>
      <c r="B52448">
        <f>TEXT(52447, "[$-0E0000]yyyy-mm-dd")</f>
        <v/>
      </c>
      <c r="C52448" t="inlineStr">
        <is>
          <t>2043-07-01</t>
        </is>
      </c>
    </row>
    <row r="52449">
      <c r="A52449" s="1" t="n">
        <v>52448</v>
      </c>
      <c r="B52449">
        <f>TEXT(52448, "[$-0E0000]yyyy-mm-dd")</f>
        <v/>
      </c>
      <c r="C52449" t="inlineStr">
        <is>
          <t>2043-07-02</t>
        </is>
      </c>
    </row>
    <row r="52450">
      <c r="A52450" s="1" t="n">
        <v>52449</v>
      </c>
      <c r="B52450">
        <f>TEXT(52449, "[$-0E0000]yyyy-mm-dd")</f>
        <v/>
      </c>
      <c r="C52450" t="inlineStr">
        <is>
          <t>2043-07-03</t>
        </is>
      </c>
    </row>
    <row r="52451">
      <c r="A52451" s="1" t="n">
        <v>52450</v>
      </c>
      <c r="B52451">
        <f>TEXT(52450, "[$-0E0000]yyyy-mm-dd")</f>
        <v/>
      </c>
      <c r="C52451" t="inlineStr">
        <is>
          <t>2043-07-04</t>
        </is>
      </c>
    </row>
    <row r="52452">
      <c r="A52452" s="1" t="n">
        <v>52451</v>
      </c>
      <c r="B52452">
        <f>TEXT(52451, "[$-0E0000]yyyy-mm-dd")</f>
        <v/>
      </c>
      <c r="C52452" t="inlineStr">
        <is>
          <t>2043-07-05</t>
        </is>
      </c>
    </row>
    <row r="52453">
      <c r="A52453" s="1" t="n">
        <v>52452</v>
      </c>
      <c r="B52453">
        <f>TEXT(52452, "[$-0E0000]yyyy-mm-dd")</f>
        <v/>
      </c>
      <c r="C52453" t="inlineStr">
        <is>
          <t>2043-07-06</t>
        </is>
      </c>
    </row>
    <row r="52454">
      <c r="A52454" s="1" t="n">
        <v>52453</v>
      </c>
      <c r="B52454">
        <f>TEXT(52453, "[$-0E0000]yyyy-mm-dd")</f>
        <v/>
      </c>
      <c r="C52454" t="inlineStr">
        <is>
          <t>2043-07-07</t>
        </is>
      </c>
    </row>
    <row r="52455">
      <c r="A52455" s="1" t="n">
        <v>52454</v>
      </c>
      <c r="B52455">
        <f>TEXT(52454, "[$-0E0000]yyyy-mm-dd")</f>
        <v/>
      </c>
      <c r="C52455" t="inlineStr">
        <is>
          <t>2043-07-08</t>
        </is>
      </c>
    </row>
    <row r="52456">
      <c r="A52456" s="1" t="n">
        <v>52455</v>
      </c>
      <c r="B52456">
        <f>TEXT(52455, "[$-0E0000]yyyy-mm-dd")</f>
        <v/>
      </c>
      <c r="C52456" t="inlineStr">
        <is>
          <t>2043-07-09</t>
        </is>
      </c>
    </row>
    <row r="52457">
      <c r="A52457" s="1" t="n">
        <v>52456</v>
      </c>
      <c r="B52457">
        <f>TEXT(52456, "[$-0E0000]yyyy-mm-dd")</f>
        <v/>
      </c>
      <c r="C52457" t="inlineStr">
        <is>
          <t>2043-07-10</t>
        </is>
      </c>
    </row>
    <row r="52458">
      <c r="A52458" s="1" t="n">
        <v>52457</v>
      </c>
      <c r="B52458">
        <f>TEXT(52457, "[$-0E0000]yyyy-mm-dd")</f>
        <v/>
      </c>
      <c r="C52458" t="inlineStr">
        <is>
          <t>2043-07-11</t>
        </is>
      </c>
    </row>
    <row r="52459">
      <c r="A52459" s="1" t="n">
        <v>52458</v>
      </c>
      <c r="B52459">
        <f>TEXT(52458, "[$-0E0000]yyyy-mm-dd")</f>
        <v/>
      </c>
      <c r="C52459" t="inlineStr">
        <is>
          <t>2043-07-12</t>
        </is>
      </c>
    </row>
    <row r="52460">
      <c r="A52460" s="1" t="n">
        <v>52459</v>
      </c>
      <c r="B52460">
        <f>TEXT(52459, "[$-0E0000]yyyy-mm-dd")</f>
        <v/>
      </c>
      <c r="C52460" t="inlineStr">
        <is>
          <t>2043-07-13</t>
        </is>
      </c>
    </row>
    <row r="52461">
      <c r="A52461" s="1" t="n">
        <v>52460</v>
      </c>
      <c r="B52461">
        <f>TEXT(52460, "[$-0E0000]yyyy-mm-dd")</f>
        <v/>
      </c>
      <c r="C52461" t="inlineStr">
        <is>
          <t>2043-07-14</t>
        </is>
      </c>
    </row>
    <row r="52462">
      <c r="A52462" s="1" t="n">
        <v>52461</v>
      </c>
      <c r="B52462">
        <f>TEXT(52461, "[$-0E0000]yyyy-mm-dd")</f>
        <v/>
      </c>
      <c r="C52462" t="inlineStr">
        <is>
          <t>2043-07-15</t>
        </is>
      </c>
    </row>
    <row r="52463">
      <c r="A52463" s="1" t="n">
        <v>52462</v>
      </c>
      <c r="B52463">
        <f>TEXT(52462, "[$-0E0000]yyyy-mm-dd")</f>
        <v/>
      </c>
      <c r="C52463" t="inlineStr">
        <is>
          <t>2043-07-16</t>
        </is>
      </c>
    </row>
    <row r="52464">
      <c r="A52464" s="1" t="n">
        <v>52463</v>
      </c>
      <c r="B52464">
        <f>TEXT(52463, "[$-0E0000]yyyy-mm-dd")</f>
        <v/>
      </c>
      <c r="C52464" t="inlineStr">
        <is>
          <t>2043-07-17</t>
        </is>
      </c>
    </row>
    <row r="52465">
      <c r="A52465" s="1" t="n">
        <v>52464</v>
      </c>
      <c r="B52465">
        <f>TEXT(52464, "[$-0E0000]yyyy-mm-dd")</f>
        <v/>
      </c>
      <c r="C52465" t="inlineStr">
        <is>
          <t>2043-07-18</t>
        </is>
      </c>
    </row>
    <row r="52466">
      <c r="A52466" s="1" t="n">
        <v>52465</v>
      </c>
      <c r="B52466">
        <f>TEXT(52465, "[$-0E0000]yyyy-mm-dd")</f>
        <v/>
      </c>
      <c r="C52466" t="inlineStr">
        <is>
          <t>2043-07-19</t>
        </is>
      </c>
    </row>
    <row r="52467">
      <c r="A52467" s="1" t="n">
        <v>52466</v>
      </c>
      <c r="B52467">
        <f>TEXT(52466, "[$-0E0000]yyyy-mm-dd")</f>
        <v/>
      </c>
      <c r="C52467" t="inlineStr">
        <is>
          <t>2043-07-20</t>
        </is>
      </c>
    </row>
    <row r="52468">
      <c r="A52468" s="1" t="n">
        <v>52467</v>
      </c>
      <c r="B52468">
        <f>TEXT(52467, "[$-0E0000]yyyy-mm-dd")</f>
        <v/>
      </c>
      <c r="C52468" t="inlineStr">
        <is>
          <t>2043-07-21</t>
        </is>
      </c>
    </row>
    <row r="52469">
      <c r="A52469" s="1" t="n">
        <v>52468</v>
      </c>
      <c r="B52469">
        <f>TEXT(52468, "[$-0E0000]yyyy-mm-dd")</f>
        <v/>
      </c>
      <c r="C52469" t="inlineStr">
        <is>
          <t>2043-07-22</t>
        </is>
      </c>
    </row>
    <row r="52470">
      <c r="A52470" s="1" t="n">
        <v>52469</v>
      </c>
      <c r="B52470">
        <f>TEXT(52469, "[$-0E0000]yyyy-mm-dd")</f>
        <v/>
      </c>
      <c r="C52470" t="inlineStr">
        <is>
          <t>2043-07-23</t>
        </is>
      </c>
    </row>
    <row r="52471">
      <c r="A52471" s="1" t="n">
        <v>52470</v>
      </c>
      <c r="B52471">
        <f>TEXT(52470, "[$-0E0000]yyyy-mm-dd")</f>
        <v/>
      </c>
      <c r="C52471" t="inlineStr">
        <is>
          <t>2043-07-24</t>
        </is>
      </c>
    </row>
    <row r="52472">
      <c r="A52472" s="1" t="n">
        <v>52471</v>
      </c>
      <c r="B52472">
        <f>TEXT(52471, "[$-0E0000]yyyy-mm-dd")</f>
        <v/>
      </c>
      <c r="C52472" t="inlineStr">
        <is>
          <t>2043-07-25</t>
        </is>
      </c>
    </row>
    <row r="52473">
      <c r="A52473" s="1" t="n">
        <v>52472</v>
      </c>
      <c r="B52473">
        <f>TEXT(52472, "[$-0E0000]yyyy-mm-dd")</f>
        <v/>
      </c>
      <c r="C52473" t="inlineStr">
        <is>
          <t>2043-07-26</t>
        </is>
      </c>
    </row>
    <row r="52474">
      <c r="A52474" s="1" t="n">
        <v>52473</v>
      </c>
      <c r="B52474">
        <f>TEXT(52473, "[$-0E0000]yyyy-mm-dd")</f>
        <v/>
      </c>
      <c r="C52474" t="inlineStr">
        <is>
          <t>2043-07-27</t>
        </is>
      </c>
    </row>
    <row r="52475">
      <c r="A52475" s="1" t="n">
        <v>52474</v>
      </c>
      <c r="B52475">
        <f>TEXT(52474, "[$-0E0000]yyyy-mm-dd")</f>
        <v/>
      </c>
      <c r="C52475" t="inlineStr">
        <is>
          <t>2043-07-28</t>
        </is>
      </c>
    </row>
    <row r="52476">
      <c r="A52476" s="1" t="n">
        <v>52475</v>
      </c>
      <c r="B52476">
        <f>TEXT(52475, "[$-0E0000]yyyy-mm-dd")</f>
        <v/>
      </c>
      <c r="C52476" t="inlineStr">
        <is>
          <t>2043-07-29</t>
        </is>
      </c>
    </row>
    <row r="52477">
      <c r="A52477" s="1" t="n">
        <v>52476</v>
      </c>
      <c r="B52477">
        <f>TEXT(52476, "[$-0E0000]yyyy-mm-dd")</f>
        <v/>
      </c>
      <c r="C52477" t="inlineStr">
        <is>
          <t>2043-08-01</t>
        </is>
      </c>
    </row>
    <row r="52478">
      <c r="A52478" s="1" t="n">
        <v>52477</v>
      </c>
      <c r="B52478">
        <f>TEXT(52477, "[$-0E0000]yyyy-mm-dd")</f>
        <v/>
      </c>
      <c r="C52478" t="inlineStr">
        <is>
          <t>2043-08-02</t>
        </is>
      </c>
    </row>
    <row r="52479">
      <c r="A52479" s="1" t="n">
        <v>52478</v>
      </c>
      <c r="B52479">
        <f>TEXT(52478, "[$-0E0000]yyyy-mm-dd")</f>
        <v/>
      </c>
      <c r="C52479" t="inlineStr">
        <is>
          <t>2043-08-03</t>
        </is>
      </c>
    </row>
    <row r="52480">
      <c r="A52480" s="1" t="n">
        <v>52479</v>
      </c>
      <c r="B52480">
        <f>TEXT(52479, "[$-0E0000]yyyy-mm-dd")</f>
        <v/>
      </c>
      <c r="C52480" t="inlineStr">
        <is>
          <t>2043-08-04</t>
        </is>
      </c>
    </row>
    <row r="52481">
      <c r="A52481" s="1" t="n">
        <v>52480</v>
      </c>
      <c r="B52481">
        <f>TEXT(52480, "[$-0E0000]yyyy-mm-dd")</f>
        <v/>
      </c>
      <c r="C52481" t="inlineStr">
        <is>
          <t>2043-08-05</t>
        </is>
      </c>
    </row>
    <row r="52482">
      <c r="A52482" s="1" t="n">
        <v>52481</v>
      </c>
      <c r="B52482">
        <f>TEXT(52481, "[$-0E0000]yyyy-mm-dd")</f>
        <v/>
      </c>
      <c r="C52482" t="inlineStr">
        <is>
          <t>2043-08-06</t>
        </is>
      </c>
    </row>
    <row r="52483">
      <c r="A52483" s="1" t="n">
        <v>52482</v>
      </c>
      <c r="B52483">
        <f>TEXT(52482, "[$-0E0000]yyyy-mm-dd")</f>
        <v/>
      </c>
      <c r="C52483" t="inlineStr">
        <is>
          <t>2043-08-07</t>
        </is>
      </c>
    </row>
    <row r="52484">
      <c r="A52484" s="1" t="n">
        <v>52483</v>
      </c>
      <c r="B52484">
        <f>TEXT(52483, "[$-0E0000]yyyy-mm-dd")</f>
        <v/>
      </c>
      <c r="C52484" t="inlineStr">
        <is>
          <t>2043-08-08</t>
        </is>
      </c>
    </row>
    <row r="52485">
      <c r="A52485" s="1" t="n">
        <v>52484</v>
      </c>
      <c r="B52485">
        <f>TEXT(52484, "[$-0E0000]yyyy-mm-dd")</f>
        <v/>
      </c>
      <c r="C52485" t="inlineStr">
        <is>
          <t>2043-08-09</t>
        </is>
      </c>
    </row>
    <row r="52486">
      <c r="A52486" s="1" t="n">
        <v>52485</v>
      </c>
      <c r="B52486">
        <f>TEXT(52485, "[$-0E0000]yyyy-mm-dd")</f>
        <v/>
      </c>
      <c r="C52486" t="inlineStr">
        <is>
          <t>2043-08-10</t>
        </is>
      </c>
    </row>
    <row r="52487">
      <c r="A52487" s="1" t="n">
        <v>52486</v>
      </c>
      <c r="B52487">
        <f>TEXT(52486, "[$-0E0000]yyyy-mm-dd")</f>
        <v/>
      </c>
      <c r="C52487" t="inlineStr">
        <is>
          <t>2043-08-11</t>
        </is>
      </c>
    </row>
    <row r="52488">
      <c r="A52488" s="1" t="n">
        <v>52487</v>
      </c>
      <c r="B52488">
        <f>TEXT(52487, "[$-0E0000]yyyy-mm-dd")</f>
        <v/>
      </c>
      <c r="C52488" t="inlineStr">
        <is>
          <t>2043-08-12</t>
        </is>
      </c>
    </row>
    <row r="52489">
      <c r="A52489" s="1" t="n">
        <v>52488</v>
      </c>
      <c r="B52489">
        <f>TEXT(52488, "[$-0E0000]yyyy-mm-dd")</f>
        <v/>
      </c>
      <c r="C52489" t="inlineStr">
        <is>
          <t>2043-08-13</t>
        </is>
      </c>
    </row>
    <row r="52490">
      <c r="A52490" s="1" t="n">
        <v>52489</v>
      </c>
      <c r="B52490">
        <f>TEXT(52489, "[$-0E0000]yyyy-mm-dd")</f>
        <v/>
      </c>
      <c r="C52490" t="inlineStr">
        <is>
          <t>2043-08-14</t>
        </is>
      </c>
    </row>
    <row r="52491">
      <c r="A52491" s="1" t="n">
        <v>52490</v>
      </c>
      <c r="B52491">
        <f>TEXT(52490, "[$-0E0000]yyyy-mm-dd")</f>
        <v/>
      </c>
      <c r="C52491" t="inlineStr">
        <is>
          <t>2043-08-15</t>
        </is>
      </c>
    </row>
    <row r="52492">
      <c r="A52492" s="1" t="n">
        <v>52491</v>
      </c>
      <c r="B52492">
        <f>TEXT(52491, "[$-0E0000]yyyy-mm-dd")</f>
        <v/>
      </c>
      <c r="C52492" t="inlineStr">
        <is>
          <t>2043-08-16</t>
        </is>
      </c>
    </row>
    <row r="52493">
      <c r="A52493" s="1" t="n">
        <v>52492</v>
      </c>
      <c r="B52493">
        <f>TEXT(52492, "[$-0E0000]yyyy-mm-dd")</f>
        <v/>
      </c>
      <c r="C52493" t="inlineStr">
        <is>
          <t>2043-08-17</t>
        </is>
      </c>
    </row>
    <row r="52494">
      <c r="A52494" s="1" t="n">
        <v>52493</v>
      </c>
      <c r="B52494">
        <f>TEXT(52493, "[$-0E0000]yyyy-mm-dd")</f>
        <v/>
      </c>
      <c r="C52494" t="inlineStr">
        <is>
          <t>2043-08-18</t>
        </is>
      </c>
    </row>
    <row r="52495">
      <c r="A52495" s="1" t="n">
        <v>52494</v>
      </c>
      <c r="B52495">
        <f>TEXT(52494, "[$-0E0000]yyyy-mm-dd")</f>
        <v/>
      </c>
      <c r="C52495" t="inlineStr">
        <is>
          <t>2043-08-19</t>
        </is>
      </c>
    </row>
    <row r="52496">
      <c r="A52496" s="1" t="n">
        <v>52495</v>
      </c>
      <c r="B52496">
        <f>TEXT(52495, "[$-0E0000]yyyy-mm-dd")</f>
        <v/>
      </c>
      <c r="C52496" t="inlineStr">
        <is>
          <t>2043-08-20</t>
        </is>
      </c>
    </row>
    <row r="52497">
      <c r="A52497" s="1" t="n">
        <v>52496</v>
      </c>
      <c r="B52497">
        <f>TEXT(52496, "[$-0E0000]yyyy-mm-dd")</f>
        <v/>
      </c>
      <c r="C52497" t="inlineStr">
        <is>
          <t>2043-08-21</t>
        </is>
      </c>
    </row>
    <row r="52498">
      <c r="A52498" s="1" t="n">
        <v>52497</v>
      </c>
      <c r="B52498">
        <f>TEXT(52497, "[$-0E0000]yyyy-mm-dd")</f>
        <v/>
      </c>
      <c r="C52498" t="inlineStr">
        <is>
          <t>2043-08-22</t>
        </is>
      </c>
    </row>
    <row r="52499">
      <c r="A52499" s="1" t="n">
        <v>52498</v>
      </c>
      <c r="B52499">
        <f>TEXT(52498, "[$-0E0000]yyyy-mm-dd")</f>
        <v/>
      </c>
      <c r="C52499" t="inlineStr">
        <is>
          <t>2043-08-23</t>
        </is>
      </c>
    </row>
    <row r="52500">
      <c r="A52500" s="1" t="n">
        <v>52499</v>
      </c>
      <c r="B52500">
        <f>TEXT(52499, "[$-0E0000]yyyy-mm-dd")</f>
        <v/>
      </c>
      <c r="C52500" t="inlineStr">
        <is>
          <t>2043-08-24</t>
        </is>
      </c>
    </row>
    <row r="52501">
      <c r="A52501" s="1" t="n">
        <v>52500</v>
      </c>
      <c r="B52501">
        <f>TEXT(52500, "[$-0E0000]yyyy-mm-dd")</f>
        <v/>
      </c>
      <c r="C52501" t="inlineStr">
        <is>
          <t>2043-08-25</t>
        </is>
      </c>
    </row>
    <row r="52502">
      <c r="A52502" s="1" t="n">
        <v>52501</v>
      </c>
      <c r="B52502">
        <f>TEXT(52501, "[$-0E0000]yyyy-mm-dd")</f>
        <v/>
      </c>
      <c r="C52502" t="inlineStr">
        <is>
          <t>2043-08-26</t>
        </is>
      </c>
    </row>
    <row r="52503">
      <c r="A52503" s="1" t="n">
        <v>52502</v>
      </c>
      <c r="B52503">
        <f>TEXT(52502, "[$-0E0000]yyyy-mm-dd")</f>
        <v/>
      </c>
      <c r="C52503" t="inlineStr">
        <is>
          <t>2043-08-27</t>
        </is>
      </c>
    </row>
    <row r="52504">
      <c r="A52504" s="1" t="n">
        <v>52503</v>
      </c>
      <c r="B52504">
        <f>TEXT(52503, "[$-0E0000]yyyy-mm-dd")</f>
        <v/>
      </c>
      <c r="C52504" t="inlineStr">
        <is>
          <t>2043-08-28</t>
        </is>
      </c>
    </row>
    <row r="52505">
      <c r="A52505" s="1" t="n">
        <v>52504</v>
      </c>
      <c r="B52505">
        <f>TEXT(52504, "[$-0E0000]yyyy-mm-dd")</f>
        <v/>
      </c>
      <c r="C52505" t="inlineStr">
        <is>
          <t>2043-08-29</t>
        </is>
      </c>
    </row>
    <row r="52506">
      <c r="A52506" s="1" t="n">
        <v>52505</v>
      </c>
      <c r="B52506">
        <f>TEXT(52505, "[$-0E0000]yyyy-mm-dd")</f>
        <v/>
      </c>
      <c r="C52506" t="inlineStr">
        <is>
          <t>2043-08-30</t>
        </is>
      </c>
    </row>
    <row r="52507">
      <c r="A52507" s="1" t="n">
        <v>52506</v>
      </c>
      <c r="B52507">
        <f>TEXT(52506, "[$-0E0000]yyyy-mm-dd")</f>
        <v/>
      </c>
      <c r="C52507" t="inlineStr">
        <is>
          <t>2043-09-01</t>
        </is>
      </c>
    </row>
    <row r="52508">
      <c r="A52508" s="1" t="n">
        <v>52507</v>
      </c>
      <c r="B52508">
        <f>TEXT(52507, "[$-0E0000]yyyy-mm-dd")</f>
        <v/>
      </c>
      <c r="C52508" t="inlineStr">
        <is>
          <t>2043-09-02</t>
        </is>
      </c>
    </row>
    <row r="52509">
      <c r="A52509" s="1" t="n">
        <v>52508</v>
      </c>
      <c r="B52509">
        <f>TEXT(52508, "[$-0E0000]yyyy-mm-dd")</f>
        <v/>
      </c>
      <c r="C52509" t="inlineStr">
        <is>
          <t>2043-09-03</t>
        </is>
      </c>
    </row>
    <row r="52510">
      <c r="A52510" s="1" t="n">
        <v>52509</v>
      </c>
      <c r="B52510">
        <f>TEXT(52509, "[$-0E0000]yyyy-mm-dd")</f>
        <v/>
      </c>
      <c r="C52510" t="inlineStr">
        <is>
          <t>2043-09-04</t>
        </is>
      </c>
    </row>
    <row r="52511">
      <c r="A52511" s="1" t="n">
        <v>52510</v>
      </c>
      <c r="B52511">
        <f>TEXT(52510, "[$-0E0000]yyyy-mm-dd")</f>
        <v/>
      </c>
      <c r="C52511" t="inlineStr">
        <is>
          <t>2043-09-05</t>
        </is>
      </c>
    </row>
    <row r="52512">
      <c r="A52512" s="1" t="n">
        <v>52511</v>
      </c>
      <c r="B52512">
        <f>TEXT(52511, "[$-0E0000]yyyy-mm-dd")</f>
        <v/>
      </c>
      <c r="C52512" t="inlineStr">
        <is>
          <t>2043-09-06</t>
        </is>
      </c>
    </row>
    <row r="52513">
      <c r="A52513" s="1" t="n">
        <v>52512</v>
      </c>
      <c r="B52513">
        <f>TEXT(52512, "[$-0E0000]yyyy-mm-dd")</f>
        <v/>
      </c>
      <c r="C52513" t="inlineStr">
        <is>
          <t>2043-09-07</t>
        </is>
      </c>
    </row>
    <row r="52514">
      <c r="A52514" s="1" t="n">
        <v>52513</v>
      </c>
      <c r="B52514">
        <f>TEXT(52513, "[$-0E0000]yyyy-mm-dd")</f>
        <v/>
      </c>
      <c r="C52514" t="inlineStr">
        <is>
          <t>2043-09-08</t>
        </is>
      </c>
    </row>
    <row r="52515">
      <c r="A52515" s="1" t="n">
        <v>52514</v>
      </c>
      <c r="B52515">
        <f>TEXT(52514, "[$-0E0000]yyyy-mm-dd")</f>
        <v/>
      </c>
      <c r="C52515" t="inlineStr">
        <is>
          <t>2043-09-09</t>
        </is>
      </c>
    </row>
    <row r="52516">
      <c r="A52516" s="1" t="n">
        <v>52515</v>
      </c>
      <c r="B52516">
        <f>TEXT(52515, "[$-0E0000]yyyy-mm-dd")</f>
        <v/>
      </c>
      <c r="C52516" t="inlineStr">
        <is>
          <t>2043-09-10</t>
        </is>
      </c>
    </row>
    <row r="52517">
      <c r="A52517" s="1" t="n">
        <v>52516</v>
      </c>
      <c r="B52517">
        <f>TEXT(52516, "[$-0E0000]yyyy-mm-dd")</f>
        <v/>
      </c>
      <c r="C52517" t="inlineStr">
        <is>
          <t>2043-09-11</t>
        </is>
      </c>
    </row>
    <row r="52518">
      <c r="A52518" s="1" t="n">
        <v>52517</v>
      </c>
      <c r="B52518">
        <f>TEXT(52517, "[$-0E0000]yyyy-mm-dd")</f>
        <v/>
      </c>
      <c r="C52518" t="inlineStr">
        <is>
          <t>2043-09-12</t>
        </is>
      </c>
    </row>
    <row r="52519">
      <c r="A52519" s="1" t="n">
        <v>52518</v>
      </c>
      <c r="B52519">
        <f>TEXT(52518, "[$-0E0000]yyyy-mm-dd")</f>
        <v/>
      </c>
      <c r="C52519" t="inlineStr">
        <is>
          <t>2043-09-13</t>
        </is>
      </c>
    </row>
    <row r="52520">
      <c r="A52520" s="1" t="n">
        <v>52519</v>
      </c>
      <c r="B52520">
        <f>TEXT(52519, "[$-0E0000]yyyy-mm-dd")</f>
        <v/>
      </c>
      <c r="C52520" t="inlineStr">
        <is>
          <t>2043-09-14</t>
        </is>
      </c>
    </row>
    <row r="52521">
      <c r="A52521" s="1" t="n">
        <v>52520</v>
      </c>
      <c r="B52521">
        <f>TEXT(52520, "[$-0E0000]yyyy-mm-dd")</f>
        <v/>
      </c>
      <c r="C52521" t="inlineStr">
        <is>
          <t>2043-09-15</t>
        </is>
      </c>
    </row>
    <row r="52522">
      <c r="A52522" s="1" t="n">
        <v>52521</v>
      </c>
      <c r="B52522">
        <f>TEXT(52521, "[$-0E0000]yyyy-mm-dd")</f>
        <v/>
      </c>
      <c r="C52522" t="inlineStr">
        <is>
          <t>2043-09-16</t>
        </is>
      </c>
    </row>
    <row r="52523">
      <c r="A52523" s="1" t="n">
        <v>52522</v>
      </c>
      <c r="B52523">
        <f>TEXT(52522, "[$-0E0000]yyyy-mm-dd")</f>
        <v/>
      </c>
      <c r="C52523" t="inlineStr">
        <is>
          <t>2043-09-17</t>
        </is>
      </c>
    </row>
    <row r="52524">
      <c r="A52524" s="1" t="n">
        <v>52523</v>
      </c>
      <c r="B52524">
        <f>TEXT(52523, "[$-0E0000]yyyy-mm-dd")</f>
        <v/>
      </c>
      <c r="C52524" t="inlineStr">
        <is>
          <t>2043-09-18</t>
        </is>
      </c>
    </row>
    <row r="52525">
      <c r="A52525" s="1" t="n">
        <v>52524</v>
      </c>
      <c r="B52525">
        <f>TEXT(52524, "[$-0E0000]yyyy-mm-dd")</f>
        <v/>
      </c>
      <c r="C52525" t="inlineStr">
        <is>
          <t>2043-09-19</t>
        </is>
      </c>
    </row>
    <row r="52526">
      <c r="A52526" s="1" t="n">
        <v>52525</v>
      </c>
      <c r="B52526">
        <f>TEXT(52525, "[$-0E0000]yyyy-mm-dd")</f>
        <v/>
      </c>
      <c r="C52526" t="inlineStr">
        <is>
          <t>2043-09-20</t>
        </is>
      </c>
    </row>
    <row r="52527">
      <c r="A52527" s="1" t="n">
        <v>52526</v>
      </c>
      <c r="B52527">
        <f>TEXT(52526, "[$-0E0000]yyyy-mm-dd")</f>
        <v/>
      </c>
      <c r="C52527" t="inlineStr">
        <is>
          <t>2043-09-21</t>
        </is>
      </c>
    </row>
    <row r="52528">
      <c r="A52528" s="1" t="n">
        <v>52527</v>
      </c>
      <c r="B52528">
        <f>TEXT(52527, "[$-0E0000]yyyy-mm-dd")</f>
        <v/>
      </c>
      <c r="C52528" t="inlineStr">
        <is>
          <t>2043-09-22</t>
        </is>
      </c>
    </row>
    <row r="52529">
      <c r="A52529" s="1" t="n">
        <v>52528</v>
      </c>
      <c r="B52529">
        <f>TEXT(52528, "[$-0E0000]yyyy-mm-dd")</f>
        <v/>
      </c>
      <c r="C52529" t="inlineStr">
        <is>
          <t>2043-09-23</t>
        </is>
      </c>
    </row>
    <row r="52530">
      <c r="A52530" s="1" t="n">
        <v>52529</v>
      </c>
      <c r="B52530">
        <f>TEXT(52529, "[$-0E0000]yyyy-mm-dd")</f>
        <v/>
      </c>
      <c r="C52530" t="inlineStr">
        <is>
          <t>2043-09-24</t>
        </is>
      </c>
    </row>
    <row r="52531">
      <c r="A52531" s="1" t="n">
        <v>52530</v>
      </c>
      <c r="B52531">
        <f>TEXT(52530, "[$-0E0000]yyyy-mm-dd")</f>
        <v/>
      </c>
      <c r="C52531" t="inlineStr">
        <is>
          <t>2043-09-25</t>
        </is>
      </c>
    </row>
    <row r="52532">
      <c r="A52532" s="1" t="n">
        <v>52531</v>
      </c>
      <c r="B52532">
        <f>TEXT(52531, "[$-0E0000]yyyy-mm-dd")</f>
        <v/>
      </c>
      <c r="C52532" t="inlineStr">
        <is>
          <t>2043-09-26</t>
        </is>
      </c>
    </row>
    <row r="52533">
      <c r="A52533" s="1" t="n">
        <v>52532</v>
      </c>
      <c r="B52533">
        <f>TEXT(52532, "[$-0E0000]yyyy-mm-dd")</f>
        <v/>
      </c>
      <c r="C52533" t="inlineStr">
        <is>
          <t>2043-09-27</t>
        </is>
      </c>
    </row>
    <row r="52534">
      <c r="A52534" s="1" t="n">
        <v>52533</v>
      </c>
      <c r="B52534">
        <f>TEXT(52533, "[$-0E0000]yyyy-mm-dd")</f>
        <v/>
      </c>
      <c r="C52534" t="inlineStr">
        <is>
          <t>2043-09-28</t>
        </is>
      </c>
    </row>
    <row r="52535">
      <c r="A52535" s="1" t="n">
        <v>52534</v>
      </c>
      <c r="B52535">
        <f>TEXT(52534, "[$-0E0000]yyyy-mm-dd")</f>
        <v/>
      </c>
      <c r="C52535" t="inlineStr">
        <is>
          <t>2043-09-29</t>
        </is>
      </c>
    </row>
    <row r="52536">
      <c r="A52536" s="1" t="n">
        <v>52535</v>
      </c>
      <c r="B52536">
        <f>TEXT(52535, "[$-0E0000]yyyy-mm-dd")</f>
        <v/>
      </c>
      <c r="C52536" t="inlineStr">
        <is>
          <t>2043-09-30</t>
        </is>
      </c>
    </row>
    <row r="52537">
      <c r="A52537" s="1" t="n">
        <v>52536</v>
      </c>
      <c r="B52537">
        <f>TEXT(52536, "[$-0E0000]yyyy-mm-dd")</f>
        <v/>
      </c>
      <c r="C52537" t="inlineStr">
        <is>
          <t>2043-10-01</t>
        </is>
      </c>
    </row>
    <row r="52538">
      <c r="A52538" s="1" t="n">
        <v>52537</v>
      </c>
      <c r="B52538">
        <f>TEXT(52537, "[$-0E0000]yyyy-mm-dd")</f>
        <v/>
      </c>
      <c r="C52538" t="inlineStr">
        <is>
          <t>2043-10-02</t>
        </is>
      </c>
    </row>
    <row r="52539">
      <c r="A52539" s="1" t="n">
        <v>52538</v>
      </c>
      <c r="B52539">
        <f>TEXT(52538, "[$-0E0000]yyyy-mm-dd")</f>
        <v/>
      </c>
      <c r="C52539" t="inlineStr">
        <is>
          <t>2043-10-03</t>
        </is>
      </c>
    </row>
    <row r="52540">
      <c r="A52540" s="1" t="n">
        <v>52539</v>
      </c>
      <c r="B52540">
        <f>TEXT(52539, "[$-0E0000]yyyy-mm-dd")</f>
        <v/>
      </c>
      <c r="C52540" t="inlineStr">
        <is>
          <t>2043-10-04</t>
        </is>
      </c>
    </row>
    <row r="52541">
      <c r="A52541" s="1" t="n">
        <v>52540</v>
      </c>
      <c r="B52541">
        <f>TEXT(52540, "[$-0E0000]yyyy-mm-dd")</f>
        <v/>
      </c>
      <c r="C52541" t="inlineStr">
        <is>
          <t>2043-10-05</t>
        </is>
      </c>
    </row>
    <row r="52542">
      <c r="A52542" s="1" t="n">
        <v>52541</v>
      </c>
      <c r="B52542">
        <f>TEXT(52541, "[$-0E0000]yyyy-mm-dd")</f>
        <v/>
      </c>
      <c r="C52542" t="inlineStr">
        <is>
          <t>2043-10-06</t>
        </is>
      </c>
    </row>
    <row r="52543">
      <c r="A52543" s="1" t="n">
        <v>52542</v>
      </c>
      <c r="B52543">
        <f>TEXT(52542, "[$-0E0000]yyyy-mm-dd")</f>
        <v/>
      </c>
      <c r="C52543" t="inlineStr">
        <is>
          <t>2043-10-07</t>
        </is>
      </c>
    </row>
    <row r="52544">
      <c r="A52544" s="1" t="n">
        <v>52543</v>
      </c>
      <c r="B52544">
        <f>TEXT(52543, "[$-0E0000]yyyy-mm-dd")</f>
        <v/>
      </c>
      <c r="C52544" t="inlineStr">
        <is>
          <t>2043-10-08</t>
        </is>
      </c>
    </row>
    <row r="52545">
      <c r="A52545" s="1" t="n">
        <v>52544</v>
      </c>
      <c r="B52545">
        <f>TEXT(52544, "[$-0E0000]yyyy-mm-dd")</f>
        <v/>
      </c>
      <c r="C52545" t="inlineStr">
        <is>
          <t>2043-10-09</t>
        </is>
      </c>
    </row>
    <row r="52546">
      <c r="A52546" s="1" t="n">
        <v>52545</v>
      </c>
      <c r="B52546">
        <f>TEXT(52545, "[$-0E0000]yyyy-mm-dd")</f>
        <v/>
      </c>
      <c r="C52546" t="inlineStr">
        <is>
          <t>2043-10-10</t>
        </is>
      </c>
    </row>
    <row r="52547">
      <c r="A52547" s="1" t="n">
        <v>52546</v>
      </c>
      <c r="B52547">
        <f>TEXT(52546, "[$-0E0000]yyyy-mm-dd")</f>
        <v/>
      </c>
      <c r="C52547" t="inlineStr">
        <is>
          <t>2043-10-11</t>
        </is>
      </c>
    </row>
    <row r="52548">
      <c r="A52548" s="1" t="n">
        <v>52547</v>
      </c>
      <c r="B52548">
        <f>TEXT(52547, "[$-0E0000]yyyy-mm-dd")</f>
        <v/>
      </c>
      <c r="C52548" t="inlineStr">
        <is>
          <t>2043-10-12</t>
        </is>
      </c>
    </row>
    <row r="52549">
      <c r="A52549" s="1" t="n">
        <v>52548</v>
      </c>
      <c r="B52549">
        <f>TEXT(52548, "[$-0E0000]yyyy-mm-dd")</f>
        <v/>
      </c>
      <c r="C52549" t="inlineStr">
        <is>
          <t>2043-10-13</t>
        </is>
      </c>
    </row>
    <row r="52550">
      <c r="A52550" s="1" t="n">
        <v>52549</v>
      </c>
      <c r="B52550">
        <f>TEXT(52549, "[$-0E0000]yyyy-mm-dd")</f>
        <v/>
      </c>
      <c r="C52550" t="inlineStr">
        <is>
          <t>2043-10-14</t>
        </is>
      </c>
    </row>
    <row r="52551">
      <c r="A52551" s="1" t="n">
        <v>52550</v>
      </c>
      <c r="B52551">
        <f>TEXT(52550, "[$-0E0000]yyyy-mm-dd")</f>
        <v/>
      </c>
      <c r="C52551" t="inlineStr">
        <is>
          <t>2043-10-15</t>
        </is>
      </c>
    </row>
    <row r="52552">
      <c r="A52552" s="1" t="n">
        <v>52551</v>
      </c>
      <c r="B52552">
        <f>TEXT(52551, "[$-0E0000]yyyy-mm-dd")</f>
        <v/>
      </c>
      <c r="C52552" t="inlineStr">
        <is>
          <t>2043-10-16</t>
        </is>
      </c>
    </row>
    <row r="52553">
      <c r="A52553" s="1" t="n">
        <v>52552</v>
      </c>
      <c r="B52553">
        <f>TEXT(52552, "[$-0E0000]yyyy-mm-dd")</f>
        <v/>
      </c>
      <c r="C52553" t="inlineStr">
        <is>
          <t>2043-10-17</t>
        </is>
      </c>
    </row>
    <row r="52554">
      <c r="A52554" s="1" t="n">
        <v>52553</v>
      </c>
      <c r="B52554">
        <f>TEXT(52553, "[$-0E0000]yyyy-mm-dd")</f>
        <v/>
      </c>
      <c r="C52554" t="inlineStr">
        <is>
          <t>2043-10-18</t>
        </is>
      </c>
    </row>
    <row r="52555">
      <c r="A52555" s="1" t="n">
        <v>52554</v>
      </c>
      <c r="B52555">
        <f>TEXT(52554, "[$-0E0000]yyyy-mm-dd")</f>
        <v/>
      </c>
      <c r="C52555" t="inlineStr">
        <is>
          <t>2043-10-19</t>
        </is>
      </c>
    </row>
    <row r="52556">
      <c r="A52556" s="1" t="n">
        <v>52555</v>
      </c>
      <c r="B52556">
        <f>TEXT(52555, "[$-0E0000]yyyy-mm-dd")</f>
        <v/>
      </c>
      <c r="C52556" t="inlineStr">
        <is>
          <t>2043-10-20</t>
        </is>
      </c>
    </row>
    <row r="52557">
      <c r="A52557" s="1" t="n">
        <v>52556</v>
      </c>
      <c r="B52557">
        <f>TEXT(52556, "[$-0E0000]yyyy-mm-dd")</f>
        <v/>
      </c>
      <c r="C52557" t="inlineStr">
        <is>
          <t>2043-10-21</t>
        </is>
      </c>
    </row>
    <row r="52558">
      <c r="A52558" s="1" t="n">
        <v>52557</v>
      </c>
      <c r="B52558">
        <f>TEXT(52557, "[$-0E0000]yyyy-mm-dd")</f>
        <v/>
      </c>
      <c r="C52558" t="inlineStr">
        <is>
          <t>2043-10-22</t>
        </is>
      </c>
    </row>
    <row r="52559">
      <c r="A52559" s="1" t="n">
        <v>52558</v>
      </c>
      <c r="B52559">
        <f>TEXT(52558, "[$-0E0000]yyyy-mm-dd")</f>
        <v/>
      </c>
      <c r="C52559" t="inlineStr">
        <is>
          <t>2043-10-23</t>
        </is>
      </c>
    </row>
    <row r="52560">
      <c r="A52560" s="1" t="n">
        <v>52559</v>
      </c>
      <c r="B52560">
        <f>TEXT(52559, "[$-0E0000]yyyy-mm-dd")</f>
        <v/>
      </c>
      <c r="C52560" t="inlineStr">
        <is>
          <t>2043-10-24</t>
        </is>
      </c>
    </row>
    <row r="52561">
      <c r="A52561" s="1" t="n">
        <v>52560</v>
      </c>
      <c r="B52561">
        <f>TEXT(52560, "[$-0E0000]yyyy-mm-dd")</f>
        <v/>
      </c>
      <c r="C52561" t="inlineStr">
        <is>
          <t>2043-10-25</t>
        </is>
      </c>
    </row>
    <row r="52562">
      <c r="A52562" s="1" t="n">
        <v>52561</v>
      </c>
      <c r="B52562">
        <f>TEXT(52561, "[$-0E0000]yyyy-mm-dd")</f>
        <v/>
      </c>
      <c r="C52562" t="inlineStr">
        <is>
          <t>2043-10-26</t>
        </is>
      </c>
    </row>
    <row r="52563">
      <c r="A52563" s="1" t="n">
        <v>52562</v>
      </c>
      <c r="B52563">
        <f>TEXT(52562, "[$-0E0000]yyyy-mm-dd")</f>
        <v/>
      </c>
      <c r="C52563" t="inlineStr">
        <is>
          <t>2043-10-27</t>
        </is>
      </c>
    </row>
    <row r="52564">
      <c r="A52564" s="1" t="n">
        <v>52563</v>
      </c>
      <c r="B52564">
        <f>TEXT(52563, "[$-0E0000]yyyy-mm-dd")</f>
        <v/>
      </c>
      <c r="C52564" t="inlineStr">
        <is>
          <t>2043-10-28</t>
        </is>
      </c>
    </row>
    <row r="52565">
      <c r="A52565" s="1" t="n">
        <v>52564</v>
      </c>
      <c r="B52565">
        <f>TEXT(52564, "[$-0E0000]yyyy-mm-dd")</f>
        <v/>
      </c>
      <c r="C52565" t="inlineStr">
        <is>
          <t>2043-10-29</t>
        </is>
      </c>
    </row>
    <row r="52566">
      <c r="A52566" s="1" t="n">
        <v>52565</v>
      </c>
      <c r="B52566">
        <f>TEXT(52565, "[$-0E0000]yyyy-mm-dd")</f>
        <v/>
      </c>
      <c r="C52566" t="inlineStr">
        <is>
          <t>2043-11-01</t>
        </is>
      </c>
    </row>
    <row r="52567">
      <c r="A52567" s="1" t="n">
        <v>52566</v>
      </c>
      <c r="B52567">
        <f>TEXT(52566, "[$-0E0000]yyyy-mm-dd")</f>
        <v/>
      </c>
      <c r="C52567" t="inlineStr">
        <is>
          <t>2043-11-02</t>
        </is>
      </c>
    </row>
    <row r="52568">
      <c r="A52568" s="1" t="n">
        <v>52567</v>
      </c>
      <c r="B52568">
        <f>TEXT(52567, "[$-0E0000]yyyy-mm-dd")</f>
        <v/>
      </c>
      <c r="C52568" t="inlineStr">
        <is>
          <t>2043-11-03</t>
        </is>
      </c>
    </row>
    <row r="52569">
      <c r="A52569" s="1" t="n">
        <v>52568</v>
      </c>
      <c r="B52569">
        <f>TEXT(52568, "[$-0E0000]yyyy-mm-dd")</f>
        <v/>
      </c>
      <c r="C52569" t="inlineStr">
        <is>
          <t>2043-11-04</t>
        </is>
      </c>
    </row>
    <row r="52570">
      <c r="A52570" s="1" t="n">
        <v>52569</v>
      </c>
      <c r="B52570">
        <f>TEXT(52569, "[$-0E0000]yyyy-mm-dd")</f>
        <v/>
      </c>
      <c r="C52570" t="inlineStr">
        <is>
          <t>2043-11-05</t>
        </is>
      </c>
    </row>
    <row r="52571">
      <c r="A52571" s="1" t="n">
        <v>52570</v>
      </c>
      <c r="B52571">
        <f>TEXT(52570, "[$-0E0000]yyyy-mm-dd")</f>
        <v/>
      </c>
      <c r="C52571" t="inlineStr">
        <is>
          <t>2043-11-06</t>
        </is>
      </c>
    </row>
    <row r="52572">
      <c r="A52572" s="1" t="n">
        <v>52571</v>
      </c>
      <c r="B52572">
        <f>TEXT(52571, "[$-0E0000]yyyy-mm-dd")</f>
        <v/>
      </c>
      <c r="C52572" t="inlineStr">
        <is>
          <t>2043-11-07</t>
        </is>
      </c>
    </row>
    <row r="52573">
      <c r="A52573" s="1" t="n">
        <v>52572</v>
      </c>
      <c r="B52573">
        <f>TEXT(52572, "[$-0E0000]yyyy-mm-dd")</f>
        <v/>
      </c>
      <c r="C52573" t="inlineStr">
        <is>
          <t>2043-11-08</t>
        </is>
      </c>
    </row>
    <row r="52574">
      <c r="A52574" s="1" t="n">
        <v>52573</v>
      </c>
      <c r="B52574">
        <f>TEXT(52573, "[$-0E0000]yyyy-mm-dd")</f>
        <v/>
      </c>
      <c r="C52574" t="inlineStr">
        <is>
          <t>2043-11-09</t>
        </is>
      </c>
    </row>
    <row r="52575">
      <c r="A52575" s="1" t="n">
        <v>52574</v>
      </c>
      <c r="B52575">
        <f>TEXT(52574, "[$-0E0000]yyyy-mm-dd")</f>
        <v/>
      </c>
      <c r="C52575" t="inlineStr">
        <is>
          <t>2043-11-10</t>
        </is>
      </c>
    </row>
    <row r="52576">
      <c r="A52576" s="1" t="n">
        <v>52575</v>
      </c>
      <c r="B52576">
        <f>TEXT(52575, "[$-0E0000]yyyy-mm-dd")</f>
        <v/>
      </c>
      <c r="C52576" t="inlineStr">
        <is>
          <t>2043-11-11</t>
        </is>
      </c>
    </row>
    <row r="52577">
      <c r="A52577" s="1" t="n">
        <v>52576</v>
      </c>
      <c r="B52577">
        <f>TEXT(52576, "[$-0E0000]yyyy-mm-dd")</f>
        <v/>
      </c>
      <c r="C52577" t="inlineStr">
        <is>
          <t>2043-11-12</t>
        </is>
      </c>
    </row>
    <row r="52578">
      <c r="A52578" s="1" t="n">
        <v>52577</v>
      </c>
      <c r="B52578">
        <f>TEXT(52577, "[$-0E0000]yyyy-mm-dd")</f>
        <v/>
      </c>
      <c r="C52578" t="inlineStr">
        <is>
          <t>2043-11-13</t>
        </is>
      </c>
    </row>
    <row r="52579">
      <c r="A52579" s="1" t="n">
        <v>52578</v>
      </c>
      <c r="B52579">
        <f>TEXT(52578, "[$-0E0000]yyyy-mm-dd")</f>
        <v/>
      </c>
      <c r="C52579" t="inlineStr">
        <is>
          <t>2043-11-14</t>
        </is>
      </c>
    </row>
    <row r="52580">
      <c r="A52580" s="1" t="n">
        <v>52579</v>
      </c>
      <c r="B52580">
        <f>TEXT(52579, "[$-0E0000]yyyy-mm-dd")</f>
        <v/>
      </c>
      <c r="C52580" t="inlineStr">
        <is>
          <t>2043-11-15</t>
        </is>
      </c>
    </row>
    <row r="52581">
      <c r="A52581" s="1" t="n">
        <v>52580</v>
      </c>
      <c r="B52581">
        <f>TEXT(52580, "[$-0E0000]yyyy-mm-dd")</f>
        <v/>
      </c>
      <c r="C52581" t="inlineStr">
        <is>
          <t>2043-11-16</t>
        </is>
      </c>
    </row>
    <row r="52582">
      <c r="A52582" s="1" t="n">
        <v>52581</v>
      </c>
      <c r="B52582">
        <f>TEXT(52581, "[$-0E0000]yyyy-mm-dd")</f>
        <v/>
      </c>
      <c r="C52582" t="inlineStr">
        <is>
          <t>2043-11-17</t>
        </is>
      </c>
    </row>
    <row r="52583">
      <c r="A52583" s="1" t="n">
        <v>52582</v>
      </c>
      <c r="B52583">
        <f>TEXT(52582, "[$-0E0000]yyyy-mm-dd")</f>
        <v/>
      </c>
      <c r="C52583" t="inlineStr">
        <is>
          <t>2043-11-18</t>
        </is>
      </c>
    </row>
    <row r="52584">
      <c r="A52584" s="1" t="n">
        <v>52583</v>
      </c>
      <c r="B52584">
        <f>TEXT(52583, "[$-0E0000]yyyy-mm-dd")</f>
        <v/>
      </c>
      <c r="C52584" t="inlineStr">
        <is>
          <t>2043-11-19</t>
        </is>
      </c>
    </row>
    <row r="52585">
      <c r="A52585" s="1" t="n">
        <v>52584</v>
      </c>
      <c r="B52585">
        <f>TEXT(52584, "[$-0E0000]yyyy-mm-dd")</f>
        <v/>
      </c>
      <c r="C52585" t="inlineStr">
        <is>
          <t>2043-11-20</t>
        </is>
      </c>
    </row>
    <row r="52586">
      <c r="A52586" s="1" t="n">
        <v>52585</v>
      </c>
      <c r="B52586">
        <f>TEXT(52585, "[$-0E0000]yyyy-mm-dd")</f>
        <v/>
      </c>
      <c r="C52586" t="inlineStr">
        <is>
          <t>2043-11-21</t>
        </is>
      </c>
    </row>
    <row r="52587">
      <c r="A52587" s="1" t="n">
        <v>52586</v>
      </c>
      <c r="B52587">
        <f>TEXT(52586, "[$-0E0000]yyyy-mm-dd")</f>
        <v/>
      </c>
      <c r="C52587" t="inlineStr">
        <is>
          <t>2043-11-22</t>
        </is>
      </c>
    </row>
    <row r="52588">
      <c r="A52588" s="1" t="n">
        <v>52587</v>
      </c>
      <c r="B52588">
        <f>TEXT(52587, "[$-0E0000]yyyy-mm-dd")</f>
        <v/>
      </c>
      <c r="C52588" t="inlineStr">
        <is>
          <t>2043-11-23</t>
        </is>
      </c>
    </row>
    <row r="52589">
      <c r="A52589" s="1" t="n">
        <v>52588</v>
      </c>
      <c r="B52589">
        <f>TEXT(52588, "[$-0E0000]yyyy-mm-dd")</f>
        <v/>
      </c>
      <c r="C52589" t="inlineStr">
        <is>
          <t>2043-11-24</t>
        </is>
      </c>
    </row>
    <row r="52590">
      <c r="A52590" s="1" t="n">
        <v>52589</v>
      </c>
      <c r="B52590">
        <f>TEXT(52589, "[$-0E0000]yyyy-mm-dd")</f>
        <v/>
      </c>
      <c r="C52590" t="inlineStr">
        <is>
          <t>2043-11-25</t>
        </is>
      </c>
    </row>
    <row r="52591">
      <c r="A52591" s="1" t="n">
        <v>52590</v>
      </c>
      <c r="B52591">
        <f>TEXT(52590, "[$-0E0000]yyyy-mm-dd")</f>
        <v/>
      </c>
      <c r="C52591" t="inlineStr">
        <is>
          <t>2043-11-26</t>
        </is>
      </c>
    </row>
    <row r="52592">
      <c r="A52592" s="1" t="n">
        <v>52591</v>
      </c>
      <c r="B52592">
        <f>TEXT(52591, "[$-0E0000]yyyy-mm-dd")</f>
        <v/>
      </c>
      <c r="C52592" t="inlineStr">
        <is>
          <t>2043-11-27</t>
        </is>
      </c>
    </row>
    <row r="52593">
      <c r="A52593" s="1" t="n">
        <v>52592</v>
      </c>
      <c r="B52593">
        <f>TEXT(52592, "[$-0E0000]yyyy-mm-dd")</f>
        <v/>
      </c>
      <c r="C52593" t="inlineStr">
        <is>
          <t>2043-11-28</t>
        </is>
      </c>
    </row>
    <row r="52594">
      <c r="A52594" s="1" t="n">
        <v>52593</v>
      </c>
      <c r="B52594">
        <f>TEXT(52593, "[$-0E0000]yyyy-mm-dd")</f>
        <v/>
      </c>
      <c r="C52594" t="inlineStr">
        <is>
          <t>2043-11-29</t>
        </is>
      </c>
    </row>
    <row r="52595">
      <c r="A52595" s="1" t="n">
        <v>52594</v>
      </c>
      <c r="B52595">
        <f>TEXT(52594, "[$-0E0000]yyyy-mm-dd")</f>
        <v/>
      </c>
      <c r="C52595" t="inlineStr">
        <is>
          <t>2043-11-30</t>
        </is>
      </c>
    </row>
    <row r="52596">
      <c r="A52596" s="1" t="n">
        <v>52595</v>
      </c>
      <c r="B52596">
        <f>TEXT(52595, "[$-0E0000]yyyy-mm-dd")</f>
        <v/>
      </c>
      <c r="C52596" t="inlineStr">
        <is>
          <t>2043-12-01</t>
        </is>
      </c>
    </row>
    <row r="52597">
      <c r="A52597" s="1" t="n">
        <v>52596</v>
      </c>
      <c r="B52597">
        <f>TEXT(52596, "[$-0E0000]yyyy-mm-dd")</f>
        <v/>
      </c>
      <c r="C52597" t="inlineStr">
        <is>
          <t>2043-12-02</t>
        </is>
      </c>
    </row>
    <row r="52598">
      <c r="A52598" s="1" t="n">
        <v>52597</v>
      </c>
      <c r="B52598">
        <f>TEXT(52597, "[$-0E0000]yyyy-mm-dd")</f>
        <v/>
      </c>
      <c r="C52598" t="inlineStr">
        <is>
          <t>2043-12-03</t>
        </is>
      </c>
    </row>
    <row r="52599">
      <c r="A52599" s="1" t="n">
        <v>52598</v>
      </c>
      <c r="B52599">
        <f>TEXT(52598, "[$-0E0000]yyyy-mm-dd")</f>
        <v/>
      </c>
      <c r="C52599" t="inlineStr">
        <is>
          <t>2043-12-04</t>
        </is>
      </c>
    </row>
    <row r="52600">
      <c r="A52600" s="1" t="n">
        <v>52599</v>
      </c>
      <c r="B52600">
        <f>TEXT(52599, "[$-0E0000]yyyy-mm-dd")</f>
        <v/>
      </c>
      <c r="C52600" t="inlineStr">
        <is>
          <t>2043-12-05</t>
        </is>
      </c>
    </row>
    <row r="52601">
      <c r="A52601" s="1" t="n">
        <v>52600</v>
      </c>
      <c r="B52601">
        <f>TEXT(52600, "[$-0E0000]yyyy-mm-dd")</f>
        <v/>
      </c>
      <c r="C52601" t="inlineStr">
        <is>
          <t>2043-12-06</t>
        </is>
      </c>
    </row>
    <row r="52602">
      <c r="A52602" s="1" t="n">
        <v>52601</v>
      </c>
      <c r="B52602">
        <f>TEXT(52601, "[$-0E0000]yyyy-mm-dd")</f>
        <v/>
      </c>
      <c r="C52602" t="inlineStr">
        <is>
          <t>2043-12-07</t>
        </is>
      </c>
    </row>
    <row r="52603">
      <c r="A52603" s="1" t="n">
        <v>52602</v>
      </c>
      <c r="B52603">
        <f>TEXT(52602, "[$-0E0000]yyyy-mm-dd")</f>
        <v/>
      </c>
      <c r="C52603" t="inlineStr">
        <is>
          <t>2043-12-08</t>
        </is>
      </c>
    </row>
    <row r="52604">
      <c r="A52604" s="1" t="n">
        <v>52603</v>
      </c>
      <c r="B52604">
        <f>TEXT(52603, "[$-0E0000]yyyy-mm-dd")</f>
        <v/>
      </c>
      <c r="C52604" t="inlineStr">
        <is>
          <t>2043-12-09</t>
        </is>
      </c>
    </row>
    <row r="52605">
      <c r="A52605" s="1" t="n">
        <v>52604</v>
      </c>
      <c r="B52605">
        <f>TEXT(52604, "[$-0E0000]yyyy-mm-dd")</f>
        <v/>
      </c>
      <c r="C52605" t="inlineStr">
        <is>
          <t>2043-12-10</t>
        </is>
      </c>
    </row>
    <row r="52606">
      <c r="A52606" s="1" t="n">
        <v>52605</v>
      </c>
      <c r="B52606">
        <f>TEXT(52605, "[$-0E0000]yyyy-mm-dd")</f>
        <v/>
      </c>
      <c r="C52606" t="inlineStr">
        <is>
          <t>2043-12-11</t>
        </is>
      </c>
    </row>
    <row r="52607">
      <c r="A52607" s="1" t="n">
        <v>52606</v>
      </c>
      <c r="B52607">
        <f>TEXT(52606, "[$-0E0000]yyyy-mm-dd")</f>
        <v/>
      </c>
      <c r="C52607" t="inlineStr">
        <is>
          <t>2043-12-12</t>
        </is>
      </c>
    </row>
    <row r="52608">
      <c r="A52608" s="1" t="n">
        <v>52607</v>
      </c>
      <c r="B52608">
        <f>TEXT(52607, "[$-0E0000]yyyy-mm-dd")</f>
        <v/>
      </c>
      <c r="C52608" t="inlineStr">
        <is>
          <t>2043-12-13</t>
        </is>
      </c>
    </row>
    <row r="52609">
      <c r="A52609" s="1" t="n">
        <v>52608</v>
      </c>
      <c r="B52609">
        <f>TEXT(52608, "[$-0E0000]yyyy-mm-dd")</f>
        <v/>
      </c>
      <c r="C52609" t="inlineStr">
        <is>
          <t>2043-12-14</t>
        </is>
      </c>
    </row>
    <row r="52610">
      <c r="A52610" s="1" t="n">
        <v>52609</v>
      </c>
      <c r="B52610">
        <f>TEXT(52609, "[$-0E0000]yyyy-mm-dd")</f>
        <v/>
      </c>
      <c r="C52610" t="inlineStr">
        <is>
          <t>2043-12-15</t>
        </is>
      </c>
    </row>
    <row r="52611">
      <c r="A52611" s="1" t="n">
        <v>52610</v>
      </c>
      <c r="B52611">
        <f>TEXT(52610, "[$-0E0000]yyyy-mm-dd")</f>
        <v/>
      </c>
      <c r="C52611" t="inlineStr">
        <is>
          <t>2043-12-16</t>
        </is>
      </c>
    </row>
    <row r="52612">
      <c r="A52612" s="1" t="n">
        <v>52611</v>
      </c>
      <c r="B52612">
        <f>TEXT(52611, "[$-0E0000]yyyy-mm-dd")</f>
        <v/>
      </c>
      <c r="C52612" t="inlineStr">
        <is>
          <t>2043-12-17</t>
        </is>
      </c>
    </row>
    <row r="52613">
      <c r="A52613" s="1" t="n">
        <v>52612</v>
      </c>
      <c r="B52613">
        <f>TEXT(52612, "[$-0E0000]yyyy-mm-dd")</f>
        <v/>
      </c>
      <c r="C52613" t="inlineStr">
        <is>
          <t>2043-12-18</t>
        </is>
      </c>
    </row>
    <row r="52614">
      <c r="A52614" s="1" t="n">
        <v>52613</v>
      </c>
      <c r="B52614">
        <f>TEXT(52613, "[$-0E0000]yyyy-mm-dd")</f>
        <v/>
      </c>
      <c r="C52614" t="inlineStr">
        <is>
          <t>2043-12-19</t>
        </is>
      </c>
    </row>
    <row r="52615">
      <c r="A52615" s="1" t="n">
        <v>52614</v>
      </c>
      <c r="B52615">
        <f>TEXT(52614, "[$-0E0000]yyyy-mm-dd")</f>
        <v/>
      </c>
      <c r="C52615" t="inlineStr">
        <is>
          <t>2043-12-20</t>
        </is>
      </c>
    </row>
    <row r="52616">
      <c r="A52616" s="1" t="n">
        <v>52615</v>
      </c>
      <c r="B52616">
        <f>TEXT(52615, "[$-0E0000]yyyy-mm-dd")</f>
        <v/>
      </c>
      <c r="C52616" t="inlineStr">
        <is>
          <t>2043-12-21</t>
        </is>
      </c>
    </row>
    <row r="52617">
      <c r="A52617" s="1" t="n">
        <v>52616</v>
      </c>
      <c r="B52617">
        <f>TEXT(52616, "[$-0E0000]yyyy-mm-dd")</f>
        <v/>
      </c>
      <c r="C52617" t="inlineStr">
        <is>
          <t>2043-12-22</t>
        </is>
      </c>
    </row>
    <row r="52618">
      <c r="A52618" s="1" t="n">
        <v>52617</v>
      </c>
      <c r="B52618">
        <f>TEXT(52617, "[$-0E0000]yyyy-mm-dd")</f>
        <v/>
      </c>
      <c r="C52618" t="inlineStr">
        <is>
          <t>2043-12-23</t>
        </is>
      </c>
    </row>
    <row r="52619">
      <c r="A52619" s="1" t="n">
        <v>52618</v>
      </c>
      <c r="B52619">
        <f>TEXT(52618, "[$-0E0000]yyyy-mm-dd")</f>
        <v/>
      </c>
      <c r="C52619" t="inlineStr">
        <is>
          <t>2043-12-24</t>
        </is>
      </c>
    </row>
    <row r="52620">
      <c r="A52620" s="1" t="n">
        <v>52619</v>
      </c>
      <c r="B52620">
        <f>TEXT(52619, "[$-0E0000]yyyy-mm-dd")</f>
        <v/>
      </c>
      <c r="C52620" t="inlineStr">
        <is>
          <t>2043-12-25</t>
        </is>
      </c>
    </row>
    <row r="52621">
      <c r="A52621" s="1" t="n">
        <v>52620</v>
      </c>
      <c r="B52621">
        <f>TEXT(52620, "[$-0E0000]yyyy-mm-dd")</f>
        <v/>
      </c>
      <c r="C52621" t="inlineStr">
        <is>
          <t>2043-12-26</t>
        </is>
      </c>
    </row>
    <row r="52622">
      <c r="A52622" s="1" t="n">
        <v>52621</v>
      </c>
      <c r="B52622">
        <f>TEXT(52621, "[$-0E0000]yyyy-mm-dd")</f>
        <v/>
      </c>
      <c r="C52622" t="inlineStr">
        <is>
          <t>2043-12-27</t>
        </is>
      </c>
    </row>
    <row r="52623">
      <c r="A52623" s="1" t="n">
        <v>52622</v>
      </c>
      <c r="B52623">
        <f>TEXT(52622, "[$-0E0000]yyyy-mm-dd")</f>
        <v/>
      </c>
      <c r="C52623" t="inlineStr">
        <is>
          <t>2043-12-28</t>
        </is>
      </c>
    </row>
    <row r="52624">
      <c r="A52624" s="1" t="n">
        <v>52623</v>
      </c>
      <c r="B52624">
        <f>TEXT(52623, "[$-0E0000]yyyy-mm-dd")</f>
        <v/>
      </c>
      <c r="C52624" t="inlineStr">
        <is>
          <t>2043-12-29</t>
        </is>
      </c>
    </row>
    <row r="52625">
      <c r="A52625" s="1" t="n">
        <v>52624</v>
      </c>
      <c r="B52625">
        <f>TEXT(52624, "[$-0E0000]yyyy-mm-dd")</f>
        <v/>
      </c>
      <c r="C52625" t="inlineStr">
        <is>
          <t>2043-12-30</t>
        </is>
      </c>
    </row>
    <row r="52626">
      <c r="A52626" s="1" t="n">
        <v>52625</v>
      </c>
      <c r="B52626">
        <f>TEXT(52625, "[$-0E0000]yyyy-mm-dd")</f>
        <v/>
      </c>
      <c r="C52626" t="inlineStr">
        <is>
          <t>2044-01-01</t>
        </is>
      </c>
    </row>
    <row r="52627">
      <c r="A52627" s="1" t="n">
        <v>52626</v>
      </c>
      <c r="B52627">
        <f>TEXT(52626, "[$-0E0000]yyyy-mm-dd")</f>
        <v/>
      </c>
      <c r="C52627" t="inlineStr">
        <is>
          <t>2044-01-02</t>
        </is>
      </c>
    </row>
    <row r="52628">
      <c r="A52628" s="1" t="n">
        <v>52627</v>
      </c>
      <c r="B52628">
        <f>TEXT(52627, "[$-0E0000]yyyy-mm-dd")</f>
        <v/>
      </c>
      <c r="C52628" t="inlineStr">
        <is>
          <t>2044-01-03</t>
        </is>
      </c>
    </row>
    <row r="52629">
      <c r="A52629" s="1" t="n">
        <v>52628</v>
      </c>
      <c r="B52629">
        <f>TEXT(52628, "[$-0E0000]yyyy-mm-dd")</f>
        <v/>
      </c>
      <c r="C52629" t="inlineStr">
        <is>
          <t>2044-01-04</t>
        </is>
      </c>
    </row>
    <row r="52630">
      <c r="A52630" s="1" t="n">
        <v>52629</v>
      </c>
      <c r="B52630">
        <f>TEXT(52629, "[$-0E0000]yyyy-mm-dd")</f>
        <v/>
      </c>
      <c r="C52630" t="inlineStr">
        <is>
          <t>2044-01-05</t>
        </is>
      </c>
    </row>
    <row r="52631">
      <c r="A52631" s="1" t="n">
        <v>52630</v>
      </c>
      <c r="B52631">
        <f>TEXT(52630, "[$-0E0000]yyyy-mm-dd")</f>
        <v/>
      </c>
      <c r="C52631" t="inlineStr">
        <is>
          <t>2044-01-06</t>
        </is>
      </c>
    </row>
    <row r="52632">
      <c r="A52632" s="1" t="n">
        <v>52631</v>
      </c>
      <c r="B52632">
        <f>TEXT(52631, "[$-0E0000]yyyy-mm-dd")</f>
        <v/>
      </c>
      <c r="C52632" t="inlineStr">
        <is>
          <t>2044-01-07</t>
        </is>
      </c>
    </row>
    <row r="52633">
      <c r="A52633" s="1" t="n">
        <v>52632</v>
      </c>
      <c r="B52633">
        <f>TEXT(52632, "[$-0E0000]yyyy-mm-dd")</f>
        <v/>
      </c>
      <c r="C52633" t="inlineStr">
        <is>
          <t>2044-01-08</t>
        </is>
      </c>
    </row>
    <row r="52634">
      <c r="A52634" s="1" t="n">
        <v>52633</v>
      </c>
      <c r="B52634">
        <f>TEXT(52633, "[$-0E0000]yyyy-mm-dd")</f>
        <v/>
      </c>
      <c r="C52634" t="inlineStr">
        <is>
          <t>2044-01-09</t>
        </is>
      </c>
    </row>
    <row r="52635">
      <c r="A52635" s="1" t="n">
        <v>52634</v>
      </c>
      <c r="B52635">
        <f>TEXT(52634, "[$-0E0000]yyyy-mm-dd")</f>
        <v/>
      </c>
      <c r="C52635" t="inlineStr">
        <is>
          <t>2044-01-10</t>
        </is>
      </c>
    </row>
    <row r="52636">
      <c r="A52636" s="1" t="n">
        <v>52635</v>
      </c>
      <c r="B52636">
        <f>TEXT(52635, "[$-0E0000]yyyy-mm-dd")</f>
        <v/>
      </c>
      <c r="C52636" t="inlineStr">
        <is>
          <t>2044-01-11</t>
        </is>
      </c>
    </row>
    <row r="52637">
      <c r="A52637" s="1" t="n">
        <v>52636</v>
      </c>
      <c r="B52637">
        <f>TEXT(52636, "[$-0E0000]yyyy-mm-dd")</f>
        <v/>
      </c>
      <c r="C52637" t="inlineStr">
        <is>
          <t>2044-01-12</t>
        </is>
      </c>
    </row>
    <row r="52638">
      <c r="A52638" s="1" t="n">
        <v>52637</v>
      </c>
      <c r="B52638">
        <f>TEXT(52637, "[$-0E0000]yyyy-mm-dd")</f>
        <v/>
      </c>
      <c r="C52638" t="inlineStr">
        <is>
          <t>2044-01-13</t>
        </is>
      </c>
    </row>
    <row r="52639">
      <c r="A52639" s="1" t="n">
        <v>52638</v>
      </c>
      <c r="B52639">
        <f>TEXT(52638, "[$-0E0000]yyyy-mm-dd")</f>
        <v/>
      </c>
      <c r="C52639" t="inlineStr">
        <is>
          <t>2044-01-14</t>
        </is>
      </c>
    </row>
    <row r="52640">
      <c r="A52640" s="1" t="n">
        <v>52639</v>
      </c>
      <c r="B52640">
        <f>TEXT(52639, "[$-0E0000]yyyy-mm-dd")</f>
        <v/>
      </c>
      <c r="C52640" t="inlineStr">
        <is>
          <t>2044-01-15</t>
        </is>
      </c>
    </row>
    <row r="52641">
      <c r="A52641" s="1" t="n">
        <v>52640</v>
      </c>
      <c r="B52641">
        <f>TEXT(52640, "[$-0E0000]yyyy-mm-dd")</f>
        <v/>
      </c>
      <c r="C52641" t="inlineStr">
        <is>
          <t>2044-01-16</t>
        </is>
      </c>
    </row>
    <row r="52642">
      <c r="A52642" s="1" t="n">
        <v>52641</v>
      </c>
      <c r="B52642">
        <f>TEXT(52641, "[$-0E0000]yyyy-mm-dd")</f>
        <v/>
      </c>
      <c r="C52642" t="inlineStr">
        <is>
          <t>2044-01-17</t>
        </is>
      </c>
    </row>
    <row r="52643">
      <c r="A52643" s="1" t="n">
        <v>52642</v>
      </c>
      <c r="B52643">
        <f>TEXT(52642, "[$-0E0000]yyyy-mm-dd")</f>
        <v/>
      </c>
      <c r="C52643" t="inlineStr">
        <is>
          <t>2044-01-18</t>
        </is>
      </c>
    </row>
    <row r="52644">
      <c r="A52644" s="1" t="n">
        <v>52643</v>
      </c>
      <c r="B52644">
        <f>TEXT(52643, "[$-0E0000]yyyy-mm-dd")</f>
        <v/>
      </c>
      <c r="C52644" t="inlineStr">
        <is>
          <t>2044-01-19</t>
        </is>
      </c>
    </row>
    <row r="52645">
      <c r="A52645" s="1" t="n">
        <v>52644</v>
      </c>
      <c r="B52645">
        <f>TEXT(52644, "[$-0E0000]yyyy-mm-dd")</f>
        <v/>
      </c>
      <c r="C52645" t="inlineStr">
        <is>
          <t>2044-01-20</t>
        </is>
      </c>
    </row>
    <row r="52646">
      <c r="A52646" s="1" t="n">
        <v>52645</v>
      </c>
      <c r="B52646">
        <f>TEXT(52645, "[$-0E0000]yyyy-mm-dd")</f>
        <v/>
      </c>
      <c r="C52646" t="inlineStr">
        <is>
          <t>2044-01-21</t>
        </is>
      </c>
    </row>
    <row r="52647">
      <c r="A52647" s="1" t="n">
        <v>52646</v>
      </c>
      <c r="B52647">
        <f>TEXT(52646, "[$-0E0000]yyyy-mm-dd")</f>
        <v/>
      </c>
      <c r="C52647" t="inlineStr">
        <is>
          <t>2044-01-22</t>
        </is>
      </c>
    </row>
    <row r="52648">
      <c r="A52648" s="1" t="n">
        <v>52647</v>
      </c>
      <c r="B52648">
        <f>TEXT(52647, "[$-0E0000]yyyy-mm-dd")</f>
        <v/>
      </c>
      <c r="C52648" t="inlineStr">
        <is>
          <t>2044-01-23</t>
        </is>
      </c>
    </row>
    <row r="52649">
      <c r="A52649" s="1" t="n">
        <v>52648</v>
      </c>
      <c r="B52649">
        <f>TEXT(52648, "[$-0E0000]yyyy-mm-dd")</f>
        <v/>
      </c>
      <c r="C52649" t="inlineStr">
        <is>
          <t>2044-01-24</t>
        </is>
      </c>
    </row>
    <row r="52650">
      <c r="A52650" s="1" t="n">
        <v>52649</v>
      </c>
      <c r="B52650">
        <f>TEXT(52649, "[$-0E0000]yyyy-mm-dd")</f>
        <v/>
      </c>
      <c r="C52650" t="inlineStr">
        <is>
          <t>2044-01-25</t>
        </is>
      </c>
    </row>
    <row r="52651">
      <c r="A52651" s="1" t="n">
        <v>52650</v>
      </c>
      <c r="B52651">
        <f>TEXT(52650, "[$-0E0000]yyyy-mm-dd")</f>
        <v/>
      </c>
      <c r="C52651" t="inlineStr">
        <is>
          <t>2044-01-26</t>
        </is>
      </c>
    </row>
    <row r="52652">
      <c r="A52652" s="1" t="n">
        <v>52651</v>
      </c>
      <c r="B52652">
        <f>TEXT(52651, "[$-0E0000]yyyy-mm-dd")</f>
        <v/>
      </c>
      <c r="C52652" t="inlineStr">
        <is>
          <t>2044-01-27</t>
        </is>
      </c>
    </row>
    <row r="52653">
      <c r="A52653" s="1" t="n">
        <v>52652</v>
      </c>
      <c r="B52653">
        <f>TEXT(52652, "[$-0E0000]yyyy-mm-dd")</f>
        <v/>
      </c>
      <c r="C52653" t="inlineStr">
        <is>
          <t>2044-01-28</t>
        </is>
      </c>
    </row>
    <row r="52654">
      <c r="A52654" s="1" t="n">
        <v>52653</v>
      </c>
      <c r="B52654">
        <f>TEXT(52653, "[$-0E0000]yyyy-mm-dd")</f>
        <v/>
      </c>
      <c r="C52654" t="inlineStr">
        <is>
          <t>2044-01-29</t>
        </is>
      </c>
    </row>
    <row r="52655">
      <c r="A52655" s="1" t="n">
        <v>52654</v>
      </c>
      <c r="B52655">
        <f>TEXT(52654, "[$-0E0000]yyyy-mm-dd")</f>
        <v/>
      </c>
      <c r="C52655" t="inlineStr">
        <is>
          <t>2044-01-30</t>
        </is>
      </c>
    </row>
    <row r="52656">
      <c r="A52656" s="1" t="n">
        <v>52655</v>
      </c>
      <c r="B52656">
        <f>TEXT(52655, "[$-0E0000]yyyy-mm-dd")</f>
        <v/>
      </c>
      <c r="C52656" t="inlineStr">
        <is>
          <t>2044-02-01</t>
        </is>
      </c>
    </row>
    <row r="52657">
      <c r="A52657" s="1" t="n">
        <v>52656</v>
      </c>
      <c r="B52657">
        <f>TEXT(52656, "[$-0E0000]yyyy-mm-dd")</f>
        <v/>
      </c>
      <c r="C52657" t="inlineStr">
        <is>
          <t>2044-02-02</t>
        </is>
      </c>
    </row>
    <row r="52658">
      <c r="A52658" s="1" t="n">
        <v>52657</v>
      </c>
      <c r="B52658">
        <f>TEXT(52657, "[$-0E0000]yyyy-mm-dd")</f>
        <v/>
      </c>
      <c r="C52658" t="inlineStr">
        <is>
          <t>2044-02-03</t>
        </is>
      </c>
    </row>
    <row r="52659">
      <c r="A52659" s="1" t="n">
        <v>52658</v>
      </c>
      <c r="B52659">
        <f>TEXT(52658, "[$-0E0000]yyyy-mm-dd")</f>
        <v/>
      </c>
      <c r="C52659" t="inlineStr">
        <is>
          <t>2044-02-04</t>
        </is>
      </c>
    </row>
    <row r="52660">
      <c r="A52660" s="1" t="n">
        <v>52659</v>
      </c>
      <c r="B52660">
        <f>TEXT(52659, "[$-0E0000]yyyy-mm-dd")</f>
        <v/>
      </c>
      <c r="C52660" t="inlineStr">
        <is>
          <t>2044-02-05</t>
        </is>
      </c>
    </row>
    <row r="52661">
      <c r="A52661" s="1" t="n">
        <v>52660</v>
      </c>
      <c r="B52661">
        <f>TEXT(52660, "[$-0E0000]yyyy-mm-dd")</f>
        <v/>
      </c>
      <c r="C52661" t="inlineStr">
        <is>
          <t>2044-02-06</t>
        </is>
      </c>
    </row>
    <row r="52662">
      <c r="A52662" s="1" t="n">
        <v>52661</v>
      </c>
      <c r="B52662">
        <f>TEXT(52661, "[$-0E0000]yyyy-mm-dd")</f>
        <v/>
      </c>
      <c r="C52662" t="inlineStr">
        <is>
          <t>2044-02-07</t>
        </is>
      </c>
    </row>
    <row r="52663">
      <c r="A52663" s="1" t="n">
        <v>52662</v>
      </c>
      <c r="B52663">
        <f>TEXT(52662, "[$-0E0000]yyyy-mm-dd")</f>
        <v/>
      </c>
      <c r="C52663" t="inlineStr">
        <is>
          <t>2044-02-08</t>
        </is>
      </c>
    </row>
    <row r="52664">
      <c r="A52664" s="1" t="n">
        <v>52663</v>
      </c>
      <c r="B52664">
        <f>TEXT(52663, "[$-0E0000]yyyy-mm-dd")</f>
        <v/>
      </c>
      <c r="C52664" t="inlineStr">
        <is>
          <t>2044-02-09</t>
        </is>
      </c>
    </row>
    <row r="52665">
      <c r="A52665" s="1" t="n">
        <v>52664</v>
      </c>
      <c r="B52665">
        <f>TEXT(52664, "[$-0E0000]yyyy-mm-dd")</f>
        <v/>
      </c>
      <c r="C52665" t="inlineStr">
        <is>
          <t>2044-02-10</t>
        </is>
      </c>
    </row>
    <row r="52666">
      <c r="A52666" s="1" t="n">
        <v>52665</v>
      </c>
      <c r="B52666">
        <f>TEXT(52665, "[$-0E0000]yyyy-mm-dd")</f>
        <v/>
      </c>
      <c r="C52666" t="inlineStr">
        <is>
          <t>2044-02-11</t>
        </is>
      </c>
    </row>
    <row r="52667">
      <c r="A52667" s="1" t="n">
        <v>52666</v>
      </c>
      <c r="B52667">
        <f>TEXT(52666, "[$-0E0000]yyyy-mm-dd")</f>
        <v/>
      </c>
      <c r="C52667" t="inlineStr">
        <is>
          <t>2044-02-12</t>
        </is>
      </c>
    </row>
    <row r="52668">
      <c r="A52668" s="1" t="n">
        <v>52667</v>
      </c>
      <c r="B52668">
        <f>TEXT(52667, "[$-0E0000]yyyy-mm-dd")</f>
        <v/>
      </c>
      <c r="C52668" t="inlineStr">
        <is>
          <t>2044-02-13</t>
        </is>
      </c>
    </row>
    <row r="52669">
      <c r="A52669" s="1" t="n">
        <v>52668</v>
      </c>
      <c r="B52669">
        <f>TEXT(52668, "[$-0E0000]yyyy-mm-dd")</f>
        <v/>
      </c>
      <c r="C52669" t="inlineStr">
        <is>
          <t>2044-02-14</t>
        </is>
      </c>
    </row>
    <row r="52670">
      <c r="A52670" s="1" t="n">
        <v>52669</v>
      </c>
      <c r="B52670">
        <f>TEXT(52669, "[$-0E0000]yyyy-mm-dd")</f>
        <v/>
      </c>
      <c r="C52670" t="inlineStr">
        <is>
          <t>2044-02-15</t>
        </is>
      </c>
    </row>
    <row r="52671">
      <c r="A52671" s="1" t="n">
        <v>52670</v>
      </c>
      <c r="B52671">
        <f>TEXT(52670, "[$-0E0000]yyyy-mm-dd")</f>
        <v/>
      </c>
      <c r="C52671" t="inlineStr">
        <is>
          <t>2044-02-16</t>
        </is>
      </c>
    </row>
    <row r="52672">
      <c r="A52672" s="1" t="n">
        <v>52671</v>
      </c>
      <c r="B52672">
        <f>TEXT(52671, "[$-0E0000]yyyy-mm-dd")</f>
        <v/>
      </c>
      <c r="C52672" t="inlineStr">
        <is>
          <t>2044-02-17</t>
        </is>
      </c>
    </row>
    <row r="52673">
      <c r="A52673" s="1" t="n">
        <v>52672</v>
      </c>
      <c r="B52673">
        <f>TEXT(52672, "[$-0E0000]yyyy-mm-dd")</f>
        <v/>
      </c>
      <c r="C52673" t="inlineStr">
        <is>
          <t>2044-02-18</t>
        </is>
      </c>
    </row>
    <row r="52674">
      <c r="A52674" s="1" t="n">
        <v>52673</v>
      </c>
      <c r="B52674">
        <f>TEXT(52673, "[$-0E0000]yyyy-mm-dd")</f>
        <v/>
      </c>
      <c r="C52674" t="inlineStr">
        <is>
          <t>2044-02-19</t>
        </is>
      </c>
    </row>
    <row r="52675">
      <c r="A52675" s="1" t="n">
        <v>52674</v>
      </c>
      <c r="B52675">
        <f>TEXT(52674, "[$-0E0000]yyyy-mm-dd")</f>
        <v/>
      </c>
      <c r="C52675" t="inlineStr">
        <is>
          <t>2044-02-20</t>
        </is>
      </c>
    </row>
    <row r="52676">
      <c r="A52676" s="1" t="n">
        <v>52675</v>
      </c>
      <c r="B52676">
        <f>TEXT(52675, "[$-0E0000]yyyy-mm-dd")</f>
        <v/>
      </c>
      <c r="C52676" t="inlineStr">
        <is>
          <t>2044-02-21</t>
        </is>
      </c>
    </row>
    <row r="52677">
      <c r="A52677" s="1" t="n">
        <v>52676</v>
      </c>
      <c r="B52677">
        <f>TEXT(52676, "[$-0E0000]yyyy-mm-dd")</f>
        <v/>
      </c>
      <c r="C52677" t="inlineStr">
        <is>
          <t>2044-02-22</t>
        </is>
      </c>
    </row>
    <row r="52678">
      <c r="A52678" s="1" t="n">
        <v>52677</v>
      </c>
      <c r="B52678">
        <f>TEXT(52677, "[$-0E0000]yyyy-mm-dd")</f>
        <v/>
      </c>
      <c r="C52678" t="inlineStr">
        <is>
          <t>2044-02-23</t>
        </is>
      </c>
    </row>
    <row r="52679">
      <c r="A52679" s="1" t="n">
        <v>52678</v>
      </c>
      <c r="B52679">
        <f>TEXT(52678, "[$-0E0000]yyyy-mm-dd")</f>
        <v/>
      </c>
      <c r="C52679" t="inlineStr">
        <is>
          <t>2044-02-24</t>
        </is>
      </c>
    </row>
    <row r="52680">
      <c r="A52680" s="1" t="n">
        <v>52679</v>
      </c>
      <c r="B52680">
        <f>TEXT(52679, "[$-0E0000]yyyy-mm-dd")</f>
        <v/>
      </c>
      <c r="C52680" t="inlineStr">
        <is>
          <t>2044-02-25</t>
        </is>
      </c>
    </row>
    <row r="52681">
      <c r="A52681" s="1" t="n">
        <v>52680</v>
      </c>
      <c r="B52681">
        <f>TEXT(52680, "[$-0E0000]yyyy-mm-dd")</f>
        <v/>
      </c>
      <c r="C52681" t="inlineStr">
        <is>
          <t>2044-02-26</t>
        </is>
      </c>
    </row>
    <row r="52682">
      <c r="A52682" s="1" t="n">
        <v>52681</v>
      </c>
      <c r="B52682">
        <f>TEXT(52681, "[$-0E0000]yyyy-mm-dd")</f>
        <v/>
      </c>
      <c r="C52682" t="inlineStr">
        <is>
          <t>2044-02-27</t>
        </is>
      </c>
    </row>
    <row r="52683">
      <c r="A52683" s="1" t="n">
        <v>52682</v>
      </c>
      <c r="B52683">
        <f>TEXT(52682, "[$-0E0000]yyyy-mm-dd")</f>
        <v/>
      </c>
      <c r="C52683" t="inlineStr">
        <is>
          <t>2044-02-28</t>
        </is>
      </c>
    </row>
    <row r="52684">
      <c r="A52684" s="1" t="n">
        <v>52683</v>
      </c>
      <c r="B52684">
        <f>TEXT(52683, "[$-0E0000]yyyy-mm-dd")</f>
        <v/>
      </c>
      <c r="C52684" t="inlineStr">
        <is>
          <t>2044-02-29</t>
        </is>
      </c>
    </row>
    <row r="52685">
      <c r="A52685" s="1" t="n">
        <v>52684</v>
      </c>
      <c r="B52685">
        <f>TEXT(52684, "[$-0E0000]yyyy-mm-dd")</f>
        <v/>
      </c>
      <c r="C52685" t="inlineStr">
        <is>
          <t>2044-03-01</t>
        </is>
      </c>
    </row>
    <row r="52686">
      <c r="A52686" s="1" t="n">
        <v>52685</v>
      </c>
      <c r="B52686">
        <f>TEXT(52685, "[$-0E0000]yyyy-mm-dd")</f>
        <v/>
      </c>
      <c r="C52686" t="inlineStr">
        <is>
          <t>2044-03-02</t>
        </is>
      </c>
    </row>
    <row r="52687">
      <c r="A52687" s="1" t="n">
        <v>52686</v>
      </c>
      <c r="B52687">
        <f>TEXT(52686, "[$-0E0000]yyyy-mm-dd")</f>
        <v/>
      </c>
      <c r="C52687" t="inlineStr">
        <is>
          <t>2044-03-03</t>
        </is>
      </c>
    </row>
    <row r="52688">
      <c r="A52688" s="1" t="n">
        <v>52687</v>
      </c>
      <c r="B52688">
        <f>TEXT(52687, "[$-0E0000]yyyy-mm-dd")</f>
        <v/>
      </c>
      <c r="C52688" t="inlineStr">
        <is>
          <t>2044-03-04</t>
        </is>
      </c>
    </row>
    <row r="52689">
      <c r="A52689" s="1" t="n">
        <v>52688</v>
      </c>
      <c r="B52689">
        <f>TEXT(52688, "[$-0E0000]yyyy-mm-dd")</f>
        <v/>
      </c>
      <c r="C52689" t="inlineStr">
        <is>
          <t>2044-03-05</t>
        </is>
      </c>
    </row>
    <row r="52690">
      <c r="A52690" s="1" t="n">
        <v>52689</v>
      </c>
      <c r="B52690">
        <f>TEXT(52689, "[$-0E0000]yyyy-mm-dd")</f>
        <v/>
      </c>
      <c r="C52690" t="inlineStr">
        <is>
          <t>2044-03-06</t>
        </is>
      </c>
    </row>
    <row r="52691">
      <c r="A52691" s="1" t="n">
        <v>52690</v>
      </c>
      <c r="B52691">
        <f>TEXT(52690, "[$-0E0000]yyyy-mm-dd")</f>
        <v/>
      </c>
      <c r="C52691" t="inlineStr">
        <is>
          <t>2044-03-07</t>
        </is>
      </c>
    </row>
    <row r="52692">
      <c r="A52692" s="1" t="n">
        <v>52691</v>
      </c>
      <c r="B52692">
        <f>TEXT(52691, "[$-0E0000]yyyy-mm-dd")</f>
        <v/>
      </c>
      <c r="C52692" t="inlineStr">
        <is>
          <t>2044-03-08</t>
        </is>
      </c>
    </row>
    <row r="52693">
      <c r="A52693" s="1" t="n">
        <v>52692</v>
      </c>
      <c r="B52693">
        <f>TEXT(52692, "[$-0E0000]yyyy-mm-dd")</f>
        <v/>
      </c>
      <c r="C52693" t="inlineStr">
        <is>
          <t>2044-03-09</t>
        </is>
      </c>
    </row>
    <row r="52694">
      <c r="A52694" s="1" t="n">
        <v>52693</v>
      </c>
      <c r="B52694">
        <f>TEXT(52693, "[$-0E0000]yyyy-mm-dd")</f>
        <v/>
      </c>
      <c r="C52694" t="inlineStr">
        <is>
          <t>2044-03-10</t>
        </is>
      </c>
    </row>
    <row r="52695">
      <c r="A52695" s="1" t="n">
        <v>52694</v>
      </c>
      <c r="B52695">
        <f>TEXT(52694, "[$-0E0000]yyyy-mm-dd")</f>
        <v/>
      </c>
      <c r="C52695" t="inlineStr">
        <is>
          <t>2044-03-11</t>
        </is>
      </c>
    </row>
    <row r="52696">
      <c r="A52696" s="1" t="n">
        <v>52695</v>
      </c>
      <c r="B52696">
        <f>TEXT(52695, "[$-0E0000]yyyy-mm-dd")</f>
        <v/>
      </c>
      <c r="C52696" t="inlineStr">
        <is>
          <t>2044-03-12</t>
        </is>
      </c>
    </row>
    <row r="52697">
      <c r="A52697" s="1" t="n">
        <v>52696</v>
      </c>
      <c r="B52697">
        <f>TEXT(52696, "[$-0E0000]yyyy-mm-dd")</f>
        <v/>
      </c>
      <c r="C52697" t="inlineStr">
        <is>
          <t>2044-03-13</t>
        </is>
      </c>
    </row>
    <row r="52698">
      <c r="A52698" s="1" t="n">
        <v>52697</v>
      </c>
      <c r="B52698">
        <f>TEXT(52697, "[$-0E0000]yyyy-mm-dd")</f>
        <v/>
      </c>
      <c r="C52698" t="inlineStr">
        <is>
          <t>2044-03-14</t>
        </is>
      </c>
    </row>
    <row r="52699">
      <c r="A52699" s="1" t="n">
        <v>52698</v>
      </c>
      <c r="B52699">
        <f>TEXT(52698, "[$-0E0000]yyyy-mm-dd")</f>
        <v/>
      </c>
      <c r="C52699" t="inlineStr">
        <is>
          <t>2044-03-15</t>
        </is>
      </c>
    </row>
    <row r="52700">
      <c r="A52700" s="1" t="n">
        <v>52699</v>
      </c>
      <c r="B52700">
        <f>TEXT(52699, "[$-0E0000]yyyy-mm-dd")</f>
        <v/>
      </c>
      <c r="C52700" t="inlineStr">
        <is>
          <t>2044-03-16</t>
        </is>
      </c>
    </row>
    <row r="52701">
      <c r="A52701" s="1" t="n">
        <v>52700</v>
      </c>
      <c r="B52701">
        <f>TEXT(52700, "[$-0E0000]yyyy-mm-dd")</f>
        <v/>
      </c>
      <c r="C52701" t="inlineStr">
        <is>
          <t>2044-03-17</t>
        </is>
      </c>
    </row>
    <row r="52702">
      <c r="A52702" s="1" t="n">
        <v>52701</v>
      </c>
      <c r="B52702">
        <f>TEXT(52701, "[$-0E0000]yyyy-mm-dd")</f>
        <v/>
      </c>
      <c r="C52702" t="inlineStr">
        <is>
          <t>2044-03-18</t>
        </is>
      </c>
    </row>
    <row r="52703">
      <c r="A52703" s="1" t="n">
        <v>52702</v>
      </c>
      <c r="B52703">
        <f>TEXT(52702, "[$-0E0000]yyyy-mm-dd")</f>
        <v/>
      </c>
      <c r="C52703" t="inlineStr">
        <is>
          <t>2044-03-19</t>
        </is>
      </c>
    </row>
    <row r="52704">
      <c r="A52704" s="1" t="n">
        <v>52703</v>
      </c>
      <c r="B52704">
        <f>TEXT(52703, "[$-0E0000]yyyy-mm-dd")</f>
        <v/>
      </c>
      <c r="C52704" t="inlineStr">
        <is>
          <t>2044-03-20</t>
        </is>
      </c>
    </row>
    <row r="52705">
      <c r="A52705" s="1" t="n">
        <v>52704</v>
      </c>
      <c r="B52705">
        <f>TEXT(52704, "[$-0E0000]yyyy-mm-dd")</f>
        <v/>
      </c>
      <c r="C52705" t="inlineStr">
        <is>
          <t>2044-03-21</t>
        </is>
      </c>
    </row>
    <row r="52706">
      <c r="A52706" s="1" t="n">
        <v>52705</v>
      </c>
      <c r="B52706">
        <f>TEXT(52705, "[$-0E0000]yyyy-mm-dd")</f>
        <v/>
      </c>
      <c r="C52706" t="inlineStr">
        <is>
          <t>2044-03-22</t>
        </is>
      </c>
    </row>
    <row r="52707">
      <c r="A52707" s="1" t="n">
        <v>52706</v>
      </c>
      <c r="B52707">
        <f>TEXT(52706, "[$-0E0000]yyyy-mm-dd")</f>
        <v/>
      </c>
      <c r="C52707" t="inlineStr">
        <is>
          <t>2044-03-23</t>
        </is>
      </c>
    </row>
    <row r="52708">
      <c r="A52708" s="1" t="n">
        <v>52707</v>
      </c>
      <c r="B52708">
        <f>TEXT(52707, "[$-0E0000]yyyy-mm-dd")</f>
        <v/>
      </c>
      <c r="C52708" t="inlineStr">
        <is>
          <t>2044-03-24</t>
        </is>
      </c>
    </row>
    <row r="52709">
      <c r="A52709" s="1" t="n">
        <v>52708</v>
      </c>
      <c r="B52709">
        <f>TEXT(52708, "[$-0E0000]yyyy-mm-dd")</f>
        <v/>
      </c>
      <c r="C52709" t="inlineStr">
        <is>
          <t>2044-03-25</t>
        </is>
      </c>
    </row>
    <row r="52710">
      <c r="A52710" s="1" t="n">
        <v>52709</v>
      </c>
      <c r="B52710">
        <f>TEXT(52709, "[$-0E0000]yyyy-mm-dd")</f>
        <v/>
      </c>
      <c r="C52710" t="inlineStr">
        <is>
          <t>2044-03-26</t>
        </is>
      </c>
    </row>
    <row r="52711">
      <c r="A52711" s="1" t="n">
        <v>52710</v>
      </c>
      <c r="B52711">
        <f>TEXT(52710, "[$-0E0000]yyyy-mm-dd")</f>
        <v/>
      </c>
      <c r="C52711" t="inlineStr">
        <is>
          <t>2044-03-27</t>
        </is>
      </c>
    </row>
    <row r="52712">
      <c r="A52712" s="1" t="n">
        <v>52711</v>
      </c>
      <c r="B52712">
        <f>TEXT(52711, "[$-0E0000]yyyy-mm-dd")</f>
        <v/>
      </c>
      <c r="C52712" t="inlineStr">
        <is>
          <t>2044-03-28</t>
        </is>
      </c>
    </row>
    <row r="52713">
      <c r="A52713" s="1" t="n">
        <v>52712</v>
      </c>
      <c r="B52713">
        <f>TEXT(52712, "[$-0E0000]yyyy-mm-dd")</f>
        <v/>
      </c>
      <c r="C52713" t="inlineStr">
        <is>
          <t>2044-03-29</t>
        </is>
      </c>
    </row>
    <row r="52714">
      <c r="A52714" s="1" t="n">
        <v>52713</v>
      </c>
      <c r="B52714">
        <f>TEXT(52713, "[$-0E0000]yyyy-mm-dd")</f>
        <v/>
      </c>
      <c r="C52714" t="inlineStr">
        <is>
          <t>2044-03-30</t>
        </is>
      </c>
    </row>
    <row r="52715">
      <c r="A52715" s="1" t="n">
        <v>52714</v>
      </c>
      <c r="B52715">
        <f>TEXT(52714, "[$-0E0000]yyyy-mm-dd")</f>
        <v/>
      </c>
      <c r="C52715" t="inlineStr">
        <is>
          <t>2044-04-01</t>
        </is>
      </c>
    </row>
    <row r="52716">
      <c r="A52716" s="1" t="n">
        <v>52715</v>
      </c>
      <c r="B52716">
        <f>TEXT(52715, "[$-0E0000]yyyy-mm-dd")</f>
        <v/>
      </c>
      <c r="C52716" t="inlineStr">
        <is>
          <t>2044-04-02</t>
        </is>
      </c>
    </row>
    <row r="52717">
      <c r="A52717" s="1" t="n">
        <v>52716</v>
      </c>
      <c r="B52717">
        <f>TEXT(52716, "[$-0E0000]yyyy-mm-dd")</f>
        <v/>
      </c>
      <c r="C52717" t="inlineStr">
        <is>
          <t>2044-04-03</t>
        </is>
      </c>
    </row>
    <row r="52718">
      <c r="A52718" s="1" t="n">
        <v>52717</v>
      </c>
      <c r="B52718">
        <f>TEXT(52717, "[$-0E0000]yyyy-mm-dd")</f>
        <v/>
      </c>
      <c r="C52718" t="inlineStr">
        <is>
          <t>2044-04-04</t>
        </is>
      </c>
    </row>
    <row r="52719">
      <c r="A52719" s="1" t="n">
        <v>52718</v>
      </c>
      <c r="B52719">
        <f>TEXT(52718, "[$-0E0000]yyyy-mm-dd")</f>
        <v/>
      </c>
      <c r="C52719" t="inlineStr">
        <is>
          <t>2044-04-05</t>
        </is>
      </c>
    </row>
    <row r="52720">
      <c r="A52720" s="1" t="n">
        <v>52719</v>
      </c>
      <c r="B52720">
        <f>TEXT(52719, "[$-0E0000]yyyy-mm-dd")</f>
        <v/>
      </c>
      <c r="C52720" t="inlineStr">
        <is>
          <t>2044-04-06</t>
        </is>
      </c>
    </row>
    <row r="52721">
      <c r="A52721" s="1" t="n">
        <v>52720</v>
      </c>
      <c r="B52721">
        <f>TEXT(52720, "[$-0E0000]yyyy-mm-dd")</f>
        <v/>
      </c>
      <c r="C52721" t="inlineStr">
        <is>
          <t>2044-04-07</t>
        </is>
      </c>
    </row>
    <row r="52722">
      <c r="A52722" s="1" t="n">
        <v>52721</v>
      </c>
      <c r="B52722">
        <f>TEXT(52721, "[$-0E0000]yyyy-mm-dd")</f>
        <v/>
      </c>
      <c r="C52722" t="inlineStr">
        <is>
          <t>2044-04-08</t>
        </is>
      </c>
    </row>
    <row r="52723">
      <c r="A52723" s="1" t="n">
        <v>52722</v>
      </c>
      <c r="B52723">
        <f>TEXT(52722, "[$-0E0000]yyyy-mm-dd")</f>
        <v/>
      </c>
      <c r="C52723" t="inlineStr">
        <is>
          <t>2044-04-09</t>
        </is>
      </c>
    </row>
    <row r="52724">
      <c r="A52724" s="1" t="n">
        <v>52723</v>
      </c>
      <c r="B52724">
        <f>TEXT(52723, "[$-0E0000]yyyy-mm-dd")</f>
        <v/>
      </c>
      <c r="C52724" t="inlineStr">
        <is>
          <t>2044-04-10</t>
        </is>
      </c>
    </row>
    <row r="52725">
      <c r="A52725" s="1" t="n">
        <v>52724</v>
      </c>
      <c r="B52725">
        <f>TEXT(52724, "[$-0E0000]yyyy-mm-dd")</f>
        <v/>
      </c>
      <c r="C52725" t="inlineStr">
        <is>
          <t>2044-04-11</t>
        </is>
      </c>
    </row>
    <row r="52726">
      <c r="A52726" s="1" t="n">
        <v>52725</v>
      </c>
      <c r="B52726">
        <f>TEXT(52725, "[$-0E0000]yyyy-mm-dd")</f>
        <v/>
      </c>
      <c r="C52726" t="inlineStr">
        <is>
          <t>2044-04-12</t>
        </is>
      </c>
    </row>
    <row r="52727">
      <c r="A52727" s="1" t="n">
        <v>52726</v>
      </c>
      <c r="B52727">
        <f>TEXT(52726, "[$-0E0000]yyyy-mm-dd")</f>
        <v/>
      </c>
      <c r="C52727" t="inlineStr">
        <is>
          <t>2044-04-13</t>
        </is>
      </c>
    </row>
    <row r="52728">
      <c r="A52728" s="1" t="n">
        <v>52727</v>
      </c>
      <c r="B52728">
        <f>TEXT(52727, "[$-0E0000]yyyy-mm-dd")</f>
        <v/>
      </c>
      <c r="C52728" t="inlineStr">
        <is>
          <t>2044-04-14</t>
        </is>
      </c>
    </row>
    <row r="52729">
      <c r="A52729" s="1" t="n">
        <v>52728</v>
      </c>
      <c r="B52729">
        <f>TEXT(52728, "[$-0E0000]yyyy-mm-dd")</f>
        <v/>
      </c>
      <c r="C52729" t="inlineStr">
        <is>
          <t>2044-04-15</t>
        </is>
      </c>
    </row>
    <row r="52730">
      <c r="A52730" s="1" t="n">
        <v>52729</v>
      </c>
      <c r="B52730">
        <f>TEXT(52729, "[$-0E0000]yyyy-mm-dd")</f>
        <v/>
      </c>
      <c r="C52730" t="inlineStr">
        <is>
          <t>2044-04-16</t>
        </is>
      </c>
    </row>
    <row r="52731">
      <c r="A52731" s="1" t="n">
        <v>52730</v>
      </c>
      <c r="B52731">
        <f>TEXT(52730, "[$-0E0000]yyyy-mm-dd")</f>
        <v/>
      </c>
      <c r="C52731" t="inlineStr">
        <is>
          <t>2044-04-17</t>
        </is>
      </c>
    </row>
    <row r="52732">
      <c r="A52732" s="1" t="n">
        <v>52731</v>
      </c>
      <c r="B52732">
        <f>TEXT(52731, "[$-0E0000]yyyy-mm-dd")</f>
        <v/>
      </c>
      <c r="C52732" t="inlineStr">
        <is>
          <t>2044-04-18</t>
        </is>
      </c>
    </row>
    <row r="52733">
      <c r="A52733" s="1" t="n">
        <v>52732</v>
      </c>
      <c r="B52733">
        <f>TEXT(52732, "[$-0E0000]yyyy-mm-dd")</f>
        <v/>
      </c>
      <c r="C52733" t="inlineStr">
        <is>
          <t>2044-04-19</t>
        </is>
      </c>
    </row>
    <row r="52734">
      <c r="A52734" s="1" t="n">
        <v>52733</v>
      </c>
      <c r="B52734">
        <f>TEXT(52733, "[$-0E0000]yyyy-mm-dd")</f>
        <v/>
      </c>
      <c r="C52734" t="inlineStr">
        <is>
          <t>2044-04-20</t>
        </is>
      </c>
    </row>
    <row r="52735">
      <c r="A52735" s="1" t="n">
        <v>52734</v>
      </c>
      <c r="B52735">
        <f>TEXT(52734, "[$-0E0000]yyyy-mm-dd")</f>
        <v/>
      </c>
      <c r="C52735" t="inlineStr">
        <is>
          <t>2044-04-21</t>
        </is>
      </c>
    </row>
    <row r="52736">
      <c r="A52736" s="1" t="n">
        <v>52735</v>
      </c>
      <c r="B52736">
        <f>TEXT(52735, "[$-0E0000]yyyy-mm-dd")</f>
        <v/>
      </c>
      <c r="C52736" t="inlineStr">
        <is>
          <t>2044-04-22</t>
        </is>
      </c>
    </row>
    <row r="52737">
      <c r="A52737" s="1" t="n">
        <v>52736</v>
      </c>
      <c r="B52737">
        <f>TEXT(52736, "[$-0E0000]yyyy-mm-dd")</f>
        <v/>
      </c>
      <c r="C52737" t="inlineStr">
        <is>
          <t>2044-04-23</t>
        </is>
      </c>
    </row>
    <row r="52738">
      <c r="A52738" s="1" t="n">
        <v>52737</v>
      </c>
      <c r="B52738">
        <f>TEXT(52737, "[$-0E0000]yyyy-mm-dd")</f>
        <v/>
      </c>
      <c r="C52738" t="inlineStr">
        <is>
          <t>2044-04-24</t>
        </is>
      </c>
    </row>
    <row r="52739">
      <c r="A52739" s="1" t="n">
        <v>52738</v>
      </c>
      <c r="B52739">
        <f>TEXT(52738, "[$-0E0000]yyyy-mm-dd")</f>
        <v/>
      </c>
      <c r="C52739" t="inlineStr">
        <is>
          <t>2044-04-25</t>
        </is>
      </c>
    </row>
    <row r="52740">
      <c r="A52740" s="1" t="n">
        <v>52739</v>
      </c>
      <c r="B52740">
        <f>TEXT(52739, "[$-0E0000]yyyy-mm-dd")</f>
        <v/>
      </c>
      <c r="C52740" t="inlineStr">
        <is>
          <t>2044-04-26</t>
        </is>
      </c>
    </row>
    <row r="52741">
      <c r="A52741" s="1" t="n">
        <v>52740</v>
      </c>
      <c r="B52741">
        <f>TEXT(52740, "[$-0E0000]yyyy-mm-dd")</f>
        <v/>
      </c>
      <c r="C52741" t="inlineStr">
        <is>
          <t>2044-04-27</t>
        </is>
      </c>
    </row>
    <row r="52742">
      <c r="A52742" s="1" t="n">
        <v>52741</v>
      </c>
      <c r="B52742">
        <f>TEXT(52741, "[$-0E0000]yyyy-mm-dd")</f>
        <v/>
      </c>
      <c r="C52742" t="inlineStr">
        <is>
          <t>2044-04-28</t>
        </is>
      </c>
    </row>
    <row r="52743">
      <c r="A52743" s="1" t="n">
        <v>52742</v>
      </c>
      <c r="B52743">
        <f>TEXT(52742, "[$-0E0000]yyyy-mm-dd")</f>
        <v/>
      </c>
      <c r="C52743" t="inlineStr">
        <is>
          <t>2044-04-29</t>
        </is>
      </c>
    </row>
    <row r="52744">
      <c r="A52744" s="1" t="n">
        <v>52743</v>
      </c>
      <c r="B52744">
        <f>TEXT(52743, "[$-0E0000]yyyy-mm-dd")</f>
        <v/>
      </c>
      <c r="C52744" t="inlineStr">
        <is>
          <t>2044-05-01</t>
        </is>
      </c>
    </row>
    <row r="52745">
      <c r="A52745" s="1" t="n">
        <v>52744</v>
      </c>
      <c r="B52745">
        <f>TEXT(52744, "[$-0E0000]yyyy-mm-dd")</f>
        <v/>
      </c>
      <c r="C52745" t="inlineStr">
        <is>
          <t>2044-05-02</t>
        </is>
      </c>
    </row>
    <row r="52746">
      <c r="A52746" s="1" t="n">
        <v>52745</v>
      </c>
      <c r="B52746">
        <f>TEXT(52745, "[$-0E0000]yyyy-mm-dd")</f>
        <v/>
      </c>
      <c r="C52746" t="inlineStr">
        <is>
          <t>2044-05-03</t>
        </is>
      </c>
    </row>
    <row r="52747">
      <c r="A52747" s="1" t="n">
        <v>52746</v>
      </c>
      <c r="B52747">
        <f>TEXT(52746, "[$-0E0000]yyyy-mm-dd")</f>
        <v/>
      </c>
      <c r="C52747" t="inlineStr">
        <is>
          <t>2044-05-04</t>
        </is>
      </c>
    </row>
    <row r="52748">
      <c r="A52748" s="1" t="n">
        <v>52747</v>
      </c>
      <c r="B52748">
        <f>TEXT(52747, "[$-0E0000]yyyy-mm-dd")</f>
        <v/>
      </c>
      <c r="C52748" t="inlineStr">
        <is>
          <t>2044-05-05</t>
        </is>
      </c>
    </row>
    <row r="52749">
      <c r="A52749" s="1" t="n">
        <v>52748</v>
      </c>
      <c r="B52749">
        <f>TEXT(52748, "[$-0E0000]yyyy-mm-dd")</f>
        <v/>
      </c>
      <c r="C52749" t="inlineStr">
        <is>
          <t>2044-05-06</t>
        </is>
      </c>
    </row>
    <row r="52750">
      <c r="A52750" s="1" t="n">
        <v>52749</v>
      </c>
      <c r="B52750">
        <f>TEXT(52749, "[$-0E0000]yyyy-mm-dd")</f>
        <v/>
      </c>
      <c r="C52750" t="inlineStr">
        <is>
          <t>2044-05-07</t>
        </is>
      </c>
    </row>
    <row r="52751">
      <c r="A52751" s="1" t="n">
        <v>52750</v>
      </c>
      <c r="B52751">
        <f>TEXT(52750, "[$-0E0000]yyyy-mm-dd")</f>
        <v/>
      </c>
      <c r="C52751" t="inlineStr">
        <is>
          <t>2044-05-08</t>
        </is>
      </c>
    </row>
    <row r="52752">
      <c r="A52752" s="1" t="n">
        <v>52751</v>
      </c>
      <c r="B52752">
        <f>TEXT(52751, "[$-0E0000]yyyy-mm-dd")</f>
        <v/>
      </c>
      <c r="C52752" t="inlineStr">
        <is>
          <t>2044-05-09</t>
        </is>
      </c>
    </row>
    <row r="52753">
      <c r="A52753" s="1" t="n">
        <v>52752</v>
      </c>
      <c r="B52753">
        <f>TEXT(52752, "[$-0E0000]yyyy-mm-dd")</f>
        <v/>
      </c>
      <c r="C52753" t="inlineStr">
        <is>
          <t>2044-05-10</t>
        </is>
      </c>
    </row>
    <row r="52754">
      <c r="A52754" s="1" t="n">
        <v>52753</v>
      </c>
      <c r="B52754">
        <f>TEXT(52753, "[$-0E0000]yyyy-mm-dd")</f>
        <v/>
      </c>
      <c r="C52754" t="inlineStr">
        <is>
          <t>2044-05-11</t>
        </is>
      </c>
    </row>
    <row r="52755">
      <c r="A52755" s="1" t="n">
        <v>52754</v>
      </c>
      <c r="B52755">
        <f>TEXT(52754, "[$-0E0000]yyyy-mm-dd")</f>
        <v/>
      </c>
      <c r="C52755" t="inlineStr">
        <is>
          <t>2044-05-12</t>
        </is>
      </c>
    </row>
    <row r="52756">
      <c r="A52756" s="1" t="n">
        <v>52755</v>
      </c>
      <c r="B52756">
        <f>TEXT(52755, "[$-0E0000]yyyy-mm-dd")</f>
        <v/>
      </c>
      <c r="C52756" t="inlineStr">
        <is>
          <t>2044-05-13</t>
        </is>
      </c>
    </row>
    <row r="52757">
      <c r="A52757" s="1" t="n">
        <v>52756</v>
      </c>
      <c r="B52757">
        <f>TEXT(52756, "[$-0E0000]yyyy-mm-dd")</f>
        <v/>
      </c>
      <c r="C52757" t="inlineStr">
        <is>
          <t>2044-05-14</t>
        </is>
      </c>
    </row>
    <row r="52758">
      <c r="A52758" s="1" t="n">
        <v>52757</v>
      </c>
      <c r="B52758">
        <f>TEXT(52757, "[$-0E0000]yyyy-mm-dd")</f>
        <v/>
      </c>
      <c r="C52758" t="inlineStr">
        <is>
          <t>2044-05-15</t>
        </is>
      </c>
    </row>
    <row r="52759">
      <c r="A52759" s="1" t="n">
        <v>52758</v>
      </c>
      <c r="B52759">
        <f>TEXT(52758, "[$-0E0000]yyyy-mm-dd")</f>
        <v/>
      </c>
      <c r="C52759" t="inlineStr">
        <is>
          <t>2044-05-16</t>
        </is>
      </c>
    </row>
    <row r="52760">
      <c r="A52760" s="1" t="n">
        <v>52759</v>
      </c>
      <c r="B52760">
        <f>TEXT(52759, "[$-0E0000]yyyy-mm-dd")</f>
        <v/>
      </c>
      <c r="C52760" t="inlineStr">
        <is>
          <t>2044-05-17</t>
        </is>
      </c>
    </row>
    <row r="52761">
      <c r="A52761" s="1" t="n">
        <v>52760</v>
      </c>
      <c r="B52761">
        <f>TEXT(52760, "[$-0E0000]yyyy-mm-dd")</f>
        <v/>
      </c>
      <c r="C52761" t="inlineStr">
        <is>
          <t>2044-05-18</t>
        </is>
      </c>
    </row>
    <row r="52762">
      <c r="A52762" s="1" t="n">
        <v>52761</v>
      </c>
      <c r="B52762">
        <f>TEXT(52761, "[$-0E0000]yyyy-mm-dd")</f>
        <v/>
      </c>
      <c r="C52762" t="inlineStr">
        <is>
          <t>2044-05-19</t>
        </is>
      </c>
    </row>
    <row r="52763">
      <c r="A52763" s="1" t="n">
        <v>52762</v>
      </c>
      <c r="B52763">
        <f>TEXT(52762, "[$-0E0000]yyyy-mm-dd")</f>
        <v/>
      </c>
      <c r="C52763" t="inlineStr">
        <is>
          <t>2044-05-20</t>
        </is>
      </c>
    </row>
    <row r="52764">
      <c r="A52764" s="1" t="n">
        <v>52763</v>
      </c>
      <c r="B52764">
        <f>TEXT(52763, "[$-0E0000]yyyy-mm-dd")</f>
        <v/>
      </c>
      <c r="C52764" t="inlineStr">
        <is>
          <t>2044-05-21</t>
        </is>
      </c>
    </row>
    <row r="52765">
      <c r="A52765" s="1" t="n">
        <v>52764</v>
      </c>
      <c r="B52765">
        <f>TEXT(52764, "[$-0E0000]yyyy-mm-dd")</f>
        <v/>
      </c>
      <c r="C52765" t="inlineStr">
        <is>
          <t>2044-05-22</t>
        </is>
      </c>
    </row>
    <row r="52766">
      <c r="A52766" s="1" t="n">
        <v>52765</v>
      </c>
      <c r="B52766">
        <f>TEXT(52765, "[$-0E0000]yyyy-mm-dd")</f>
        <v/>
      </c>
      <c r="C52766" t="inlineStr">
        <is>
          <t>2044-05-23</t>
        </is>
      </c>
    </row>
    <row r="52767">
      <c r="A52767" s="1" t="n">
        <v>52766</v>
      </c>
      <c r="B52767">
        <f>TEXT(52766, "[$-0E0000]yyyy-mm-dd")</f>
        <v/>
      </c>
      <c r="C52767" t="inlineStr">
        <is>
          <t>2044-05-24</t>
        </is>
      </c>
    </row>
    <row r="52768">
      <c r="A52768" s="1" t="n">
        <v>52767</v>
      </c>
      <c r="B52768">
        <f>TEXT(52767, "[$-0E0000]yyyy-mm-dd")</f>
        <v/>
      </c>
      <c r="C52768" t="inlineStr">
        <is>
          <t>2044-05-25</t>
        </is>
      </c>
    </row>
    <row r="52769">
      <c r="A52769" s="1" t="n">
        <v>52768</v>
      </c>
      <c r="B52769">
        <f>TEXT(52768, "[$-0E0000]yyyy-mm-dd")</f>
        <v/>
      </c>
      <c r="C52769" t="inlineStr">
        <is>
          <t>2044-05-26</t>
        </is>
      </c>
    </row>
    <row r="52770">
      <c r="A52770" s="1" t="n">
        <v>52769</v>
      </c>
      <c r="B52770">
        <f>TEXT(52769, "[$-0E0000]yyyy-mm-dd")</f>
        <v/>
      </c>
      <c r="C52770" t="inlineStr">
        <is>
          <t>2044-05-27</t>
        </is>
      </c>
    </row>
    <row r="52771">
      <c r="A52771" s="1" t="n">
        <v>52770</v>
      </c>
      <c r="B52771">
        <f>TEXT(52770, "[$-0E0000]yyyy-mm-dd")</f>
        <v/>
      </c>
      <c r="C52771" t="inlineStr">
        <is>
          <t>2044-05-28</t>
        </is>
      </c>
    </row>
    <row r="52772">
      <c r="A52772" s="1" t="n">
        <v>52771</v>
      </c>
      <c r="B52772">
        <f>TEXT(52771, "[$-0E0000]yyyy-mm-dd")</f>
        <v/>
      </c>
      <c r="C52772" t="inlineStr">
        <is>
          <t>2044-05-29</t>
        </is>
      </c>
    </row>
    <row r="52773">
      <c r="A52773" s="1" t="n">
        <v>52772</v>
      </c>
      <c r="B52773">
        <f>TEXT(52772, "[$-0E0000]yyyy-mm-dd")</f>
        <v/>
      </c>
      <c r="C52773" t="inlineStr">
        <is>
          <t>2044-06-01</t>
        </is>
      </c>
    </row>
    <row r="52774">
      <c r="A52774" s="1" t="n">
        <v>52773</v>
      </c>
      <c r="B52774">
        <f>TEXT(52773, "[$-0E0000]yyyy-mm-dd")</f>
        <v/>
      </c>
      <c r="C52774" t="inlineStr">
        <is>
          <t>2044-06-02</t>
        </is>
      </c>
    </row>
    <row r="52775">
      <c r="A52775" s="1" t="n">
        <v>52774</v>
      </c>
      <c r="B52775">
        <f>TEXT(52774, "[$-0E0000]yyyy-mm-dd")</f>
        <v/>
      </c>
      <c r="C52775" t="inlineStr">
        <is>
          <t>2044-06-03</t>
        </is>
      </c>
    </row>
    <row r="52776">
      <c r="A52776" s="1" t="n">
        <v>52775</v>
      </c>
      <c r="B52776">
        <f>TEXT(52775, "[$-0E0000]yyyy-mm-dd")</f>
        <v/>
      </c>
      <c r="C52776" t="inlineStr">
        <is>
          <t>2044-06-04</t>
        </is>
      </c>
    </row>
    <row r="52777">
      <c r="A52777" s="1" t="n">
        <v>52776</v>
      </c>
      <c r="B52777">
        <f>TEXT(52776, "[$-0E0000]yyyy-mm-dd")</f>
        <v/>
      </c>
      <c r="C52777" t="inlineStr">
        <is>
          <t>2044-06-05</t>
        </is>
      </c>
    </row>
    <row r="52778">
      <c r="A52778" s="1" t="n">
        <v>52777</v>
      </c>
      <c r="B52778">
        <f>TEXT(52777, "[$-0E0000]yyyy-mm-dd")</f>
        <v/>
      </c>
      <c r="C52778" t="inlineStr">
        <is>
          <t>2044-06-06</t>
        </is>
      </c>
    </row>
    <row r="52779">
      <c r="A52779" s="1" t="n">
        <v>52778</v>
      </c>
      <c r="B52779">
        <f>TEXT(52778, "[$-0E0000]yyyy-mm-dd")</f>
        <v/>
      </c>
      <c r="C52779" t="inlineStr">
        <is>
          <t>2044-06-07</t>
        </is>
      </c>
    </row>
    <row r="52780">
      <c r="A52780" s="1" t="n">
        <v>52779</v>
      </c>
      <c r="B52780">
        <f>TEXT(52779, "[$-0E0000]yyyy-mm-dd")</f>
        <v/>
      </c>
      <c r="C52780" t="inlineStr">
        <is>
          <t>2044-06-08</t>
        </is>
      </c>
    </row>
    <row r="52781">
      <c r="A52781" s="1" t="n">
        <v>52780</v>
      </c>
      <c r="B52781">
        <f>TEXT(52780, "[$-0E0000]yyyy-mm-dd")</f>
        <v/>
      </c>
      <c r="C52781" t="inlineStr">
        <is>
          <t>2044-06-09</t>
        </is>
      </c>
    </row>
    <row r="52782">
      <c r="A52782" s="1" t="n">
        <v>52781</v>
      </c>
      <c r="B52782">
        <f>TEXT(52781, "[$-0E0000]yyyy-mm-dd")</f>
        <v/>
      </c>
      <c r="C52782" t="inlineStr">
        <is>
          <t>2044-06-10</t>
        </is>
      </c>
    </row>
    <row r="52783">
      <c r="A52783" s="1" t="n">
        <v>52782</v>
      </c>
      <c r="B52783">
        <f>TEXT(52782, "[$-0E0000]yyyy-mm-dd")</f>
        <v/>
      </c>
      <c r="C52783" t="inlineStr">
        <is>
          <t>2044-06-11</t>
        </is>
      </c>
    </row>
    <row r="52784">
      <c r="A52784" s="1" t="n">
        <v>52783</v>
      </c>
      <c r="B52784">
        <f>TEXT(52783, "[$-0E0000]yyyy-mm-dd")</f>
        <v/>
      </c>
      <c r="C52784" t="inlineStr">
        <is>
          <t>2044-06-12</t>
        </is>
      </c>
    </row>
    <row r="52785">
      <c r="A52785" s="1" t="n">
        <v>52784</v>
      </c>
      <c r="B52785">
        <f>TEXT(52784, "[$-0E0000]yyyy-mm-dd")</f>
        <v/>
      </c>
      <c r="C52785" t="inlineStr">
        <is>
          <t>2044-06-13</t>
        </is>
      </c>
    </row>
    <row r="52786">
      <c r="A52786" s="1" t="n">
        <v>52785</v>
      </c>
      <c r="B52786">
        <f>TEXT(52785, "[$-0E0000]yyyy-mm-dd")</f>
        <v/>
      </c>
      <c r="C52786" t="inlineStr">
        <is>
          <t>2044-06-14</t>
        </is>
      </c>
    </row>
    <row r="52787">
      <c r="A52787" s="1" t="n">
        <v>52786</v>
      </c>
      <c r="B52787">
        <f>TEXT(52786, "[$-0E0000]yyyy-mm-dd")</f>
        <v/>
      </c>
      <c r="C52787" t="inlineStr">
        <is>
          <t>2044-06-15</t>
        </is>
      </c>
    </row>
    <row r="52788">
      <c r="A52788" s="1" t="n">
        <v>52787</v>
      </c>
      <c r="B52788">
        <f>TEXT(52787, "[$-0E0000]yyyy-mm-dd")</f>
        <v/>
      </c>
      <c r="C52788" t="inlineStr">
        <is>
          <t>2044-06-16</t>
        </is>
      </c>
    </row>
    <row r="52789">
      <c r="A52789" s="1" t="n">
        <v>52788</v>
      </c>
      <c r="B52789">
        <f>TEXT(52788, "[$-0E0000]yyyy-mm-dd")</f>
        <v/>
      </c>
      <c r="C52789" t="inlineStr">
        <is>
          <t>2044-06-17</t>
        </is>
      </c>
    </row>
    <row r="52790">
      <c r="A52790" s="1" t="n">
        <v>52789</v>
      </c>
      <c r="B52790">
        <f>TEXT(52789, "[$-0E0000]yyyy-mm-dd")</f>
        <v/>
      </c>
      <c r="C52790" t="inlineStr">
        <is>
          <t>2044-06-18</t>
        </is>
      </c>
    </row>
    <row r="52791">
      <c r="A52791" s="1" t="n">
        <v>52790</v>
      </c>
      <c r="B52791">
        <f>TEXT(52790, "[$-0E0000]yyyy-mm-dd")</f>
        <v/>
      </c>
      <c r="C52791" t="inlineStr">
        <is>
          <t>2044-06-19</t>
        </is>
      </c>
    </row>
    <row r="52792">
      <c r="A52792" s="1" t="n">
        <v>52791</v>
      </c>
      <c r="B52792">
        <f>TEXT(52791, "[$-0E0000]yyyy-mm-dd")</f>
        <v/>
      </c>
      <c r="C52792" t="inlineStr">
        <is>
          <t>2044-06-20</t>
        </is>
      </c>
    </row>
    <row r="52793">
      <c r="A52793" s="1" t="n">
        <v>52792</v>
      </c>
      <c r="B52793">
        <f>TEXT(52792, "[$-0E0000]yyyy-mm-dd")</f>
        <v/>
      </c>
      <c r="C52793" t="inlineStr">
        <is>
          <t>2044-06-21</t>
        </is>
      </c>
    </row>
    <row r="52794">
      <c r="A52794" s="1" t="n">
        <v>52793</v>
      </c>
      <c r="B52794">
        <f>TEXT(52793, "[$-0E0000]yyyy-mm-dd")</f>
        <v/>
      </c>
      <c r="C52794" t="inlineStr">
        <is>
          <t>2044-06-22</t>
        </is>
      </c>
    </row>
    <row r="52795">
      <c r="A52795" s="1" t="n">
        <v>52794</v>
      </c>
      <c r="B52795">
        <f>TEXT(52794, "[$-0E0000]yyyy-mm-dd")</f>
        <v/>
      </c>
      <c r="C52795" t="inlineStr">
        <is>
          <t>2044-06-23</t>
        </is>
      </c>
    </row>
    <row r="52796">
      <c r="A52796" s="1" t="n">
        <v>52795</v>
      </c>
      <c r="B52796">
        <f>TEXT(52795, "[$-0E0000]yyyy-mm-dd")</f>
        <v/>
      </c>
      <c r="C52796" t="inlineStr">
        <is>
          <t>2044-06-24</t>
        </is>
      </c>
    </row>
    <row r="52797">
      <c r="A52797" s="1" t="n">
        <v>52796</v>
      </c>
      <c r="B52797">
        <f>TEXT(52796, "[$-0E0000]yyyy-mm-dd")</f>
        <v/>
      </c>
      <c r="C52797" t="inlineStr">
        <is>
          <t>2044-06-25</t>
        </is>
      </c>
    </row>
    <row r="52798">
      <c r="A52798" s="1" t="n">
        <v>52797</v>
      </c>
      <c r="B52798">
        <f>TEXT(52797, "[$-0E0000]yyyy-mm-dd")</f>
        <v/>
      </c>
      <c r="C52798" t="inlineStr">
        <is>
          <t>2044-06-26</t>
        </is>
      </c>
    </row>
    <row r="52799">
      <c r="A52799" s="1" t="n">
        <v>52798</v>
      </c>
      <c r="B52799">
        <f>TEXT(52798, "[$-0E0000]yyyy-mm-dd")</f>
        <v/>
      </c>
      <c r="C52799" t="inlineStr">
        <is>
          <t>2044-06-27</t>
        </is>
      </c>
    </row>
    <row r="52800">
      <c r="A52800" s="1" t="n">
        <v>52799</v>
      </c>
      <c r="B52800">
        <f>TEXT(52799, "[$-0E0000]yyyy-mm-dd")</f>
        <v/>
      </c>
      <c r="C52800" t="inlineStr">
        <is>
          <t>2044-06-28</t>
        </is>
      </c>
    </row>
    <row r="52801">
      <c r="A52801" s="1" t="n">
        <v>52800</v>
      </c>
      <c r="B52801">
        <f>TEXT(52800, "[$-0E0000]yyyy-mm-dd")</f>
        <v/>
      </c>
      <c r="C52801" t="inlineStr">
        <is>
          <t>2044-06-29</t>
        </is>
      </c>
    </row>
    <row r="52802">
      <c r="A52802" s="1" t="n">
        <v>52801</v>
      </c>
      <c r="B52802">
        <f>TEXT(52801, "[$-0E0000]yyyy-mm-dd")</f>
        <v/>
      </c>
      <c r="C52802" t="inlineStr">
        <is>
          <t>2044-06-30</t>
        </is>
      </c>
    </row>
    <row r="52803">
      <c r="A52803" s="1" t="n">
        <v>52802</v>
      </c>
      <c r="B52803">
        <f>TEXT(52802, "[$-0E0000]yyyy-mm-dd")</f>
        <v/>
      </c>
      <c r="C52803" t="inlineStr">
        <is>
          <t>2044-07-01</t>
        </is>
      </c>
    </row>
    <row r="52804">
      <c r="A52804" s="1" t="n">
        <v>52803</v>
      </c>
      <c r="B52804">
        <f>TEXT(52803, "[$-0E0000]yyyy-mm-dd")</f>
        <v/>
      </c>
      <c r="C52804" t="inlineStr">
        <is>
          <t>2044-07-02</t>
        </is>
      </c>
    </row>
    <row r="52805">
      <c r="A52805" s="1" t="n">
        <v>52804</v>
      </c>
      <c r="B52805">
        <f>TEXT(52804, "[$-0E0000]yyyy-mm-dd")</f>
        <v/>
      </c>
      <c r="C52805" t="inlineStr">
        <is>
          <t>2044-07-03</t>
        </is>
      </c>
    </row>
    <row r="52806">
      <c r="A52806" s="1" t="n">
        <v>52805</v>
      </c>
      <c r="B52806">
        <f>TEXT(52805, "[$-0E0000]yyyy-mm-dd")</f>
        <v/>
      </c>
      <c r="C52806" t="inlineStr">
        <is>
          <t>2044-07-04</t>
        </is>
      </c>
    </row>
    <row r="52807">
      <c r="A52807" s="1" t="n">
        <v>52806</v>
      </c>
      <c r="B52807">
        <f>TEXT(52806, "[$-0E0000]yyyy-mm-dd")</f>
        <v/>
      </c>
      <c r="C52807" t="inlineStr">
        <is>
          <t>2044-07-05</t>
        </is>
      </c>
    </row>
    <row r="52808">
      <c r="A52808" s="1" t="n">
        <v>52807</v>
      </c>
      <c r="B52808">
        <f>TEXT(52807, "[$-0E0000]yyyy-mm-dd")</f>
        <v/>
      </c>
      <c r="C52808" t="inlineStr">
        <is>
          <t>2044-07-06</t>
        </is>
      </c>
    </row>
    <row r="52809">
      <c r="A52809" s="1" t="n">
        <v>52808</v>
      </c>
      <c r="B52809">
        <f>TEXT(52808, "[$-0E0000]yyyy-mm-dd")</f>
        <v/>
      </c>
      <c r="C52809" t="inlineStr">
        <is>
          <t>2044-07-07</t>
        </is>
      </c>
    </row>
    <row r="52810">
      <c r="A52810" s="1" t="n">
        <v>52809</v>
      </c>
      <c r="B52810">
        <f>TEXT(52809, "[$-0E0000]yyyy-mm-dd")</f>
        <v/>
      </c>
      <c r="C52810" t="inlineStr">
        <is>
          <t>2044-07-08</t>
        </is>
      </c>
    </row>
    <row r="52811">
      <c r="A52811" s="1" t="n">
        <v>52810</v>
      </c>
      <c r="B52811">
        <f>TEXT(52810, "[$-0E0000]yyyy-mm-dd")</f>
        <v/>
      </c>
      <c r="C52811" t="inlineStr">
        <is>
          <t>2044-07-09</t>
        </is>
      </c>
    </row>
    <row r="52812">
      <c r="A52812" s="1" t="n">
        <v>52811</v>
      </c>
      <c r="B52812">
        <f>TEXT(52811, "[$-0E0000]yyyy-mm-dd")</f>
        <v/>
      </c>
      <c r="C52812" t="inlineStr">
        <is>
          <t>2044-07-10</t>
        </is>
      </c>
    </row>
    <row r="52813">
      <c r="A52813" s="1" t="n">
        <v>52812</v>
      </c>
      <c r="B52813">
        <f>TEXT(52812, "[$-0E0000]yyyy-mm-dd")</f>
        <v/>
      </c>
      <c r="C52813" t="inlineStr">
        <is>
          <t>2044-07-11</t>
        </is>
      </c>
    </row>
    <row r="52814">
      <c r="A52814" s="1" t="n">
        <v>52813</v>
      </c>
      <c r="B52814">
        <f>TEXT(52813, "[$-0E0000]yyyy-mm-dd")</f>
        <v/>
      </c>
      <c r="C52814" t="inlineStr">
        <is>
          <t>2044-07-12</t>
        </is>
      </c>
    </row>
    <row r="52815">
      <c r="A52815" s="1" t="n">
        <v>52814</v>
      </c>
      <c r="B52815">
        <f>TEXT(52814, "[$-0E0000]yyyy-mm-dd")</f>
        <v/>
      </c>
      <c r="C52815" t="inlineStr">
        <is>
          <t>2044-07-13</t>
        </is>
      </c>
    </row>
    <row r="52816">
      <c r="A52816" s="1" t="n">
        <v>52815</v>
      </c>
      <c r="B52816">
        <f>TEXT(52815, "[$-0E0000]yyyy-mm-dd")</f>
        <v/>
      </c>
      <c r="C52816" t="inlineStr">
        <is>
          <t>2044-07-14</t>
        </is>
      </c>
    </row>
    <row r="52817">
      <c r="A52817" s="1" t="n">
        <v>52816</v>
      </c>
      <c r="B52817">
        <f>TEXT(52816, "[$-0E0000]yyyy-mm-dd")</f>
        <v/>
      </c>
      <c r="C52817" t="inlineStr">
        <is>
          <t>2044-07-15</t>
        </is>
      </c>
    </row>
    <row r="52818">
      <c r="A52818" s="1" t="n">
        <v>52817</v>
      </c>
      <c r="B52818">
        <f>TEXT(52817, "[$-0E0000]yyyy-mm-dd")</f>
        <v/>
      </c>
      <c r="C52818" t="inlineStr">
        <is>
          <t>2044-07-16</t>
        </is>
      </c>
    </row>
    <row r="52819">
      <c r="A52819" s="1" t="n">
        <v>52818</v>
      </c>
      <c r="B52819">
        <f>TEXT(52818, "[$-0E0000]yyyy-mm-dd")</f>
        <v/>
      </c>
      <c r="C52819" t="inlineStr">
        <is>
          <t>2044-07-17</t>
        </is>
      </c>
    </row>
    <row r="52820">
      <c r="A52820" s="1" t="n">
        <v>52819</v>
      </c>
      <c r="B52820">
        <f>TEXT(52819, "[$-0E0000]yyyy-mm-dd")</f>
        <v/>
      </c>
      <c r="C52820" t="inlineStr">
        <is>
          <t>2044-07-18</t>
        </is>
      </c>
    </row>
    <row r="52821">
      <c r="A52821" s="1" t="n">
        <v>52820</v>
      </c>
      <c r="B52821">
        <f>TEXT(52820, "[$-0E0000]yyyy-mm-dd")</f>
        <v/>
      </c>
      <c r="C52821" t="inlineStr">
        <is>
          <t>2044-07-19</t>
        </is>
      </c>
    </row>
    <row r="52822">
      <c r="A52822" s="1" t="n">
        <v>52821</v>
      </c>
      <c r="B52822">
        <f>TEXT(52821, "[$-0E0000]yyyy-mm-dd")</f>
        <v/>
      </c>
      <c r="C52822" t="inlineStr">
        <is>
          <t>2044-07-20</t>
        </is>
      </c>
    </row>
    <row r="52823">
      <c r="A52823" s="1" t="n">
        <v>52822</v>
      </c>
      <c r="B52823">
        <f>TEXT(52822, "[$-0E0000]yyyy-mm-dd")</f>
        <v/>
      </c>
      <c r="C52823" t="inlineStr">
        <is>
          <t>2044-07-21</t>
        </is>
      </c>
    </row>
    <row r="52824">
      <c r="A52824" s="1" t="n">
        <v>52823</v>
      </c>
      <c r="B52824">
        <f>TEXT(52823, "[$-0E0000]yyyy-mm-dd")</f>
        <v/>
      </c>
      <c r="C52824" t="inlineStr">
        <is>
          <t>2044-07-22</t>
        </is>
      </c>
    </row>
    <row r="52825">
      <c r="A52825" s="1" t="n">
        <v>52824</v>
      </c>
      <c r="B52825">
        <f>TEXT(52824, "[$-0E0000]yyyy-mm-dd")</f>
        <v/>
      </c>
      <c r="C52825" t="inlineStr">
        <is>
          <t>2044-07-23</t>
        </is>
      </c>
    </row>
    <row r="52826">
      <c r="A52826" s="1" t="n">
        <v>52825</v>
      </c>
      <c r="B52826">
        <f>TEXT(52825, "[$-0E0000]yyyy-mm-dd")</f>
        <v/>
      </c>
      <c r="C52826" t="inlineStr">
        <is>
          <t>2044-07-24</t>
        </is>
      </c>
    </row>
    <row r="52827">
      <c r="A52827" s="1" t="n">
        <v>52826</v>
      </c>
      <c r="B52827">
        <f>TEXT(52826, "[$-0E0000]yyyy-mm-dd")</f>
        <v/>
      </c>
      <c r="C52827" t="inlineStr">
        <is>
          <t>2044-07-25</t>
        </is>
      </c>
    </row>
    <row r="52828">
      <c r="A52828" s="1" t="n">
        <v>52827</v>
      </c>
      <c r="B52828">
        <f>TEXT(52827, "[$-0E0000]yyyy-mm-dd")</f>
        <v/>
      </c>
      <c r="C52828" t="inlineStr">
        <is>
          <t>2044-07-26</t>
        </is>
      </c>
    </row>
    <row r="52829">
      <c r="A52829" s="1" t="n">
        <v>52828</v>
      </c>
      <c r="B52829">
        <f>TEXT(52828, "[$-0E0000]yyyy-mm-dd")</f>
        <v/>
      </c>
      <c r="C52829" t="inlineStr">
        <is>
          <t>2044-07-27</t>
        </is>
      </c>
    </row>
    <row r="52830">
      <c r="A52830" s="1" t="n">
        <v>52829</v>
      </c>
      <c r="B52830">
        <f>TEXT(52829, "[$-0E0000]yyyy-mm-dd")</f>
        <v/>
      </c>
      <c r="C52830" t="inlineStr">
        <is>
          <t>2044-07-28</t>
        </is>
      </c>
    </row>
    <row r="52831">
      <c r="A52831" s="1" t="n">
        <v>52830</v>
      </c>
      <c r="B52831">
        <f>TEXT(52830, "[$-0E0000]yyyy-mm-dd")</f>
        <v/>
      </c>
      <c r="C52831" t="inlineStr">
        <is>
          <t>2044-07-29</t>
        </is>
      </c>
    </row>
    <row r="52832">
      <c r="A52832" s="1" t="n">
        <v>52831</v>
      </c>
      <c r="B52832">
        <f>TEXT(52831, "[$-0E0000]yyyy-mm-dd")</f>
        <v/>
      </c>
      <c r="C52832" t="inlineStr">
        <is>
          <t>2044-07-01</t>
        </is>
      </c>
    </row>
    <row r="52833">
      <c r="A52833" s="1" t="n">
        <v>52832</v>
      </c>
      <c r="B52833">
        <f>TEXT(52832, "[$-0E0000]yyyy-mm-dd")</f>
        <v/>
      </c>
      <c r="C52833" t="inlineStr">
        <is>
          <t>2044-07-02</t>
        </is>
      </c>
    </row>
    <row r="52834">
      <c r="A52834" s="1" t="n">
        <v>52833</v>
      </c>
      <c r="B52834">
        <f>TEXT(52833, "[$-0E0000]yyyy-mm-dd")</f>
        <v/>
      </c>
      <c r="C52834" t="inlineStr">
        <is>
          <t>2044-07-03</t>
        </is>
      </c>
    </row>
    <row r="52835">
      <c r="A52835" s="1" t="n">
        <v>52834</v>
      </c>
      <c r="B52835">
        <f>TEXT(52834, "[$-0E0000]yyyy-mm-dd")</f>
        <v/>
      </c>
      <c r="C52835" t="inlineStr">
        <is>
          <t>2044-07-04</t>
        </is>
      </c>
    </row>
    <row r="52836">
      <c r="A52836" s="1" t="n">
        <v>52835</v>
      </c>
      <c r="B52836">
        <f>TEXT(52835, "[$-0E0000]yyyy-mm-dd")</f>
        <v/>
      </c>
      <c r="C52836" t="inlineStr">
        <is>
          <t>2044-07-05</t>
        </is>
      </c>
    </row>
    <row r="52837">
      <c r="A52837" s="1" t="n">
        <v>52836</v>
      </c>
      <c r="B52837">
        <f>TEXT(52836, "[$-0E0000]yyyy-mm-dd")</f>
        <v/>
      </c>
      <c r="C52837" t="inlineStr">
        <is>
          <t>2044-07-06</t>
        </is>
      </c>
    </row>
    <row r="52838">
      <c r="A52838" s="1" t="n">
        <v>52837</v>
      </c>
      <c r="B52838">
        <f>TEXT(52837, "[$-0E0000]yyyy-mm-dd")</f>
        <v/>
      </c>
      <c r="C52838" t="inlineStr">
        <is>
          <t>2044-07-07</t>
        </is>
      </c>
    </row>
    <row r="52839">
      <c r="A52839" s="1" t="n">
        <v>52838</v>
      </c>
      <c r="B52839">
        <f>TEXT(52838, "[$-0E0000]yyyy-mm-dd")</f>
        <v/>
      </c>
      <c r="C52839" t="inlineStr">
        <is>
          <t>2044-07-08</t>
        </is>
      </c>
    </row>
    <row r="52840">
      <c r="A52840" s="1" t="n">
        <v>52839</v>
      </c>
      <c r="B52840">
        <f>TEXT(52839, "[$-0E0000]yyyy-mm-dd")</f>
        <v/>
      </c>
      <c r="C52840" t="inlineStr">
        <is>
          <t>2044-07-09</t>
        </is>
      </c>
    </row>
    <row r="52841">
      <c r="A52841" s="1" t="n">
        <v>52840</v>
      </c>
      <c r="B52841">
        <f>TEXT(52840, "[$-0E0000]yyyy-mm-dd")</f>
        <v/>
      </c>
      <c r="C52841" t="inlineStr">
        <is>
          <t>2044-07-10</t>
        </is>
      </c>
    </row>
    <row r="52842">
      <c r="A52842" s="1" t="n">
        <v>52841</v>
      </c>
      <c r="B52842">
        <f>TEXT(52841, "[$-0E0000]yyyy-mm-dd")</f>
        <v/>
      </c>
      <c r="C52842" t="inlineStr">
        <is>
          <t>2044-07-11</t>
        </is>
      </c>
    </row>
    <row r="52843">
      <c r="A52843" s="1" t="n">
        <v>52842</v>
      </c>
      <c r="B52843">
        <f>TEXT(52842, "[$-0E0000]yyyy-mm-dd")</f>
        <v/>
      </c>
      <c r="C52843" t="inlineStr">
        <is>
          <t>2044-07-12</t>
        </is>
      </c>
    </row>
    <row r="52844">
      <c r="A52844" s="1" t="n">
        <v>52843</v>
      </c>
      <c r="B52844">
        <f>TEXT(52843, "[$-0E0000]yyyy-mm-dd")</f>
        <v/>
      </c>
      <c r="C52844" t="inlineStr">
        <is>
          <t>2044-07-13</t>
        </is>
      </c>
    </row>
    <row r="52845">
      <c r="A52845" s="1" t="n">
        <v>52844</v>
      </c>
      <c r="B52845">
        <f>TEXT(52844, "[$-0E0000]yyyy-mm-dd")</f>
        <v/>
      </c>
      <c r="C52845" t="inlineStr">
        <is>
          <t>2044-07-14</t>
        </is>
      </c>
    </row>
    <row r="52846">
      <c r="A52846" s="1" t="n">
        <v>52845</v>
      </c>
      <c r="B52846">
        <f>TEXT(52845, "[$-0E0000]yyyy-mm-dd")</f>
        <v/>
      </c>
      <c r="C52846" t="inlineStr">
        <is>
          <t>2044-07-15</t>
        </is>
      </c>
    </row>
    <row r="52847">
      <c r="A52847" s="1" t="n">
        <v>52846</v>
      </c>
      <c r="B52847">
        <f>TEXT(52846, "[$-0E0000]yyyy-mm-dd")</f>
        <v/>
      </c>
      <c r="C52847" t="inlineStr">
        <is>
          <t>2044-07-16</t>
        </is>
      </c>
    </row>
    <row r="52848">
      <c r="A52848" s="1" t="n">
        <v>52847</v>
      </c>
      <c r="B52848">
        <f>TEXT(52847, "[$-0E0000]yyyy-mm-dd")</f>
        <v/>
      </c>
      <c r="C52848" t="inlineStr">
        <is>
          <t>2044-07-17</t>
        </is>
      </c>
    </row>
    <row r="52849">
      <c r="A52849" s="1" t="n">
        <v>52848</v>
      </c>
      <c r="B52849">
        <f>TEXT(52848, "[$-0E0000]yyyy-mm-dd")</f>
        <v/>
      </c>
      <c r="C52849" t="inlineStr">
        <is>
          <t>2044-07-18</t>
        </is>
      </c>
    </row>
    <row r="52850">
      <c r="A52850" s="1" t="n">
        <v>52849</v>
      </c>
      <c r="B52850">
        <f>TEXT(52849, "[$-0E0000]yyyy-mm-dd")</f>
        <v/>
      </c>
      <c r="C52850" t="inlineStr">
        <is>
          <t>2044-07-19</t>
        </is>
      </c>
    </row>
    <row r="52851">
      <c r="A52851" s="1" t="n">
        <v>52850</v>
      </c>
      <c r="B52851">
        <f>TEXT(52850, "[$-0E0000]yyyy-mm-dd")</f>
        <v/>
      </c>
      <c r="C52851" t="inlineStr">
        <is>
          <t>2044-07-20</t>
        </is>
      </c>
    </row>
    <row r="52852">
      <c r="A52852" s="1" t="n">
        <v>52851</v>
      </c>
      <c r="B52852">
        <f>TEXT(52851, "[$-0E0000]yyyy-mm-dd")</f>
        <v/>
      </c>
      <c r="C52852" t="inlineStr">
        <is>
          <t>2044-07-21</t>
        </is>
      </c>
    </row>
    <row r="52853">
      <c r="A52853" s="1" t="n">
        <v>52852</v>
      </c>
      <c r="B52853">
        <f>TEXT(52852, "[$-0E0000]yyyy-mm-dd")</f>
        <v/>
      </c>
      <c r="C52853" t="inlineStr">
        <is>
          <t>2044-07-22</t>
        </is>
      </c>
    </row>
    <row r="52854">
      <c r="A52854" s="1" t="n">
        <v>52853</v>
      </c>
      <c r="B52854">
        <f>TEXT(52853, "[$-0E0000]yyyy-mm-dd")</f>
        <v/>
      </c>
      <c r="C52854" t="inlineStr">
        <is>
          <t>2044-07-23</t>
        </is>
      </c>
    </row>
    <row r="52855">
      <c r="A52855" s="1" t="n">
        <v>52854</v>
      </c>
      <c r="B52855">
        <f>TEXT(52854, "[$-0E0000]yyyy-mm-dd")</f>
        <v/>
      </c>
      <c r="C52855" t="inlineStr">
        <is>
          <t>2044-07-24</t>
        </is>
      </c>
    </row>
    <row r="52856">
      <c r="A52856" s="1" t="n">
        <v>52855</v>
      </c>
      <c r="B52856">
        <f>TEXT(52855, "[$-0E0000]yyyy-mm-dd")</f>
        <v/>
      </c>
      <c r="C52856" t="inlineStr">
        <is>
          <t>2044-07-25</t>
        </is>
      </c>
    </row>
    <row r="52857">
      <c r="A52857" s="1" t="n">
        <v>52856</v>
      </c>
      <c r="B52857">
        <f>TEXT(52856, "[$-0E0000]yyyy-mm-dd")</f>
        <v/>
      </c>
      <c r="C52857" t="inlineStr">
        <is>
          <t>2044-07-26</t>
        </is>
      </c>
    </row>
    <row r="52858">
      <c r="A52858" s="1" t="n">
        <v>52857</v>
      </c>
      <c r="B52858">
        <f>TEXT(52857, "[$-0E0000]yyyy-mm-dd")</f>
        <v/>
      </c>
      <c r="C52858" t="inlineStr">
        <is>
          <t>2044-07-27</t>
        </is>
      </c>
    </row>
    <row r="52859">
      <c r="A52859" s="1" t="n">
        <v>52858</v>
      </c>
      <c r="B52859">
        <f>TEXT(52858, "[$-0E0000]yyyy-mm-dd")</f>
        <v/>
      </c>
      <c r="C52859" t="inlineStr">
        <is>
          <t>2044-07-28</t>
        </is>
      </c>
    </row>
    <row r="52860">
      <c r="A52860" s="1" t="n">
        <v>52859</v>
      </c>
      <c r="B52860">
        <f>TEXT(52859, "[$-0E0000]yyyy-mm-dd")</f>
        <v/>
      </c>
      <c r="C52860" t="inlineStr">
        <is>
          <t>2044-07-29</t>
        </is>
      </c>
    </row>
    <row r="52861">
      <c r="A52861" s="1" t="n">
        <v>52860</v>
      </c>
      <c r="B52861">
        <f>TEXT(52860, "[$-0E0000]yyyy-mm-dd")</f>
        <v/>
      </c>
      <c r="C52861" t="inlineStr">
        <is>
          <t>2044-08-01</t>
        </is>
      </c>
    </row>
    <row r="52862">
      <c r="A52862" s="1" t="n">
        <v>52861</v>
      </c>
      <c r="B52862">
        <f>TEXT(52861, "[$-0E0000]yyyy-mm-dd")</f>
        <v/>
      </c>
      <c r="C52862" t="inlineStr">
        <is>
          <t>2044-08-02</t>
        </is>
      </c>
    </row>
    <row r="52863">
      <c r="A52863" s="1" t="n">
        <v>52862</v>
      </c>
      <c r="B52863">
        <f>TEXT(52862, "[$-0E0000]yyyy-mm-dd")</f>
        <v/>
      </c>
      <c r="C52863" t="inlineStr">
        <is>
          <t>2044-08-03</t>
        </is>
      </c>
    </row>
    <row r="52864">
      <c r="A52864" s="1" t="n">
        <v>52863</v>
      </c>
      <c r="B52864">
        <f>TEXT(52863, "[$-0E0000]yyyy-mm-dd")</f>
        <v/>
      </c>
      <c r="C52864" t="inlineStr">
        <is>
          <t>2044-08-04</t>
        </is>
      </c>
    </row>
    <row r="52865">
      <c r="A52865" s="1" t="n">
        <v>52864</v>
      </c>
      <c r="B52865">
        <f>TEXT(52864, "[$-0E0000]yyyy-mm-dd")</f>
        <v/>
      </c>
      <c r="C52865" t="inlineStr">
        <is>
          <t>2044-08-05</t>
        </is>
      </c>
    </row>
    <row r="52866">
      <c r="A52866" s="1" t="n">
        <v>52865</v>
      </c>
      <c r="B52866">
        <f>TEXT(52865, "[$-0E0000]yyyy-mm-dd")</f>
        <v/>
      </c>
      <c r="C52866" t="inlineStr">
        <is>
          <t>2044-08-06</t>
        </is>
      </c>
    </row>
    <row r="52867">
      <c r="A52867" s="1" t="n">
        <v>52866</v>
      </c>
      <c r="B52867">
        <f>TEXT(52866, "[$-0E0000]yyyy-mm-dd")</f>
        <v/>
      </c>
      <c r="C52867" t="inlineStr">
        <is>
          <t>2044-08-07</t>
        </is>
      </c>
    </row>
    <row r="52868">
      <c r="A52868" s="1" t="n">
        <v>52867</v>
      </c>
      <c r="B52868">
        <f>TEXT(52867, "[$-0E0000]yyyy-mm-dd")</f>
        <v/>
      </c>
      <c r="C52868" t="inlineStr">
        <is>
          <t>2044-08-08</t>
        </is>
      </c>
    </row>
    <row r="52869">
      <c r="A52869" s="1" t="n">
        <v>52868</v>
      </c>
      <c r="B52869">
        <f>TEXT(52868, "[$-0E0000]yyyy-mm-dd")</f>
        <v/>
      </c>
      <c r="C52869" t="inlineStr">
        <is>
          <t>2044-08-09</t>
        </is>
      </c>
    </row>
    <row r="52870">
      <c r="A52870" s="1" t="n">
        <v>52869</v>
      </c>
      <c r="B52870">
        <f>TEXT(52869, "[$-0E0000]yyyy-mm-dd")</f>
        <v/>
      </c>
      <c r="C52870" t="inlineStr">
        <is>
          <t>2044-08-10</t>
        </is>
      </c>
    </row>
    <row r="52871">
      <c r="A52871" s="1" t="n">
        <v>52870</v>
      </c>
      <c r="B52871">
        <f>TEXT(52870, "[$-0E0000]yyyy-mm-dd")</f>
        <v/>
      </c>
      <c r="C52871" t="inlineStr">
        <is>
          <t>2044-08-11</t>
        </is>
      </c>
    </row>
    <row r="52872">
      <c r="A52872" s="1" t="n">
        <v>52871</v>
      </c>
      <c r="B52872">
        <f>TEXT(52871, "[$-0E0000]yyyy-mm-dd")</f>
        <v/>
      </c>
      <c r="C52872" t="inlineStr">
        <is>
          <t>2044-08-12</t>
        </is>
      </c>
    </row>
    <row r="52873">
      <c r="A52873" s="1" t="n">
        <v>52872</v>
      </c>
      <c r="B52873">
        <f>TEXT(52872, "[$-0E0000]yyyy-mm-dd")</f>
        <v/>
      </c>
      <c r="C52873" t="inlineStr">
        <is>
          <t>2044-08-13</t>
        </is>
      </c>
    </row>
    <row r="52874">
      <c r="A52874" s="1" t="n">
        <v>52873</v>
      </c>
      <c r="B52874">
        <f>TEXT(52873, "[$-0E0000]yyyy-mm-dd")</f>
        <v/>
      </c>
      <c r="C52874" t="inlineStr">
        <is>
          <t>2044-08-14</t>
        </is>
      </c>
    </row>
    <row r="52875">
      <c r="A52875" s="1" t="n">
        <v>52874</v>
      </c>
      <c r="B52875">
        <f>TEXT(52874, "[$-0E0000]yyyy-mm-dd")</f>
        <v/>
      </c>
      <c r="C52875" t="inlineStr">
        <is>
          <t>2044-08-15</t>
        </is>
      </c>
    </row>
    <row r="52876">
      <c r="A52876" s="1" t="n">
        <v>52875</v>
      </c>
      <c r="B52876">
        <f>TEXT(52875, "[$-0E0000]yyyy-mm-dd")</f>
        <v/>
      </c>
      <c r="C52876" t="inlineStr">
        <is>
          <t>2044-08-16</t>
        </is>
      </c>
    </row>
    <row r="52877">
      <c r="A52877" s="1" t="n">
        <v>52876</v>
      </c>
      <c r="B52877">
        <f>TEXT(52876, "[$-0E0000]yyyy-mm-dd")</f>
        <v/>
      </c>
      <c r="C52877" t="inlineStr">
        <is>
          <t>2044-08-17</t>
        </is>
      </c>
    </row>
    <row r="52878">
      <c r="A52878" s="1" t="n">
        <v>52877</v>
      </c>
      <c r="B52878">
        <f>TEXT(52877, "[$-0E0000]yyyy-mm-dd")</f>
        <v/>
      </c>
      <c r="C52878" t="inlineStr">
        <is>
          <t>2044-08-18</t>
        </is>
      </c>
    </row>
    <row r="52879">
      <c r="A52879" s="1" t="n">
        <v>52878</v>
      </c>
      <c r="B52879">
        <f>TEXT(52878, "[$-0E0000]yyyy-mm-dd")</f>
        <v/>
      </c>
      <c r="C52879" t="inlineStr">
        <is>
          <t>2044-08-19</t>
        </is>
      </c>
    </row>
    <row r="52880">
      <c r="A52880" s="1" t="n">
        <v>52879</v>
      </c>
      <c r="B52880">
        <f>TEXT(52879, "[$-0E0000]yyyy-mm-dd")</f>
        <v/>
      </c>
      <c r="C52880" t="inlineStr">
        <is>
          <t>2044-08-20</t>
        </is>
      </c>
    </row>
    <row r="52881">
      <c r="A52881" s="1" t="n">
        <v>52880</v>
      </c>
      <c r="B52881">
        <f>TEXT(52880, "[$-0E0000]yyyy-mm-dd")</f>
        <v/>
      </c>
      <c r="C52881" t="inlineStr">
        <is>
          <t>2044-08-21</t>
        </is>
      </c>
    </row>
    <row r="52882">
      <c r="A52882" s="1" t="n">
        <v>52881</v>
      </c>
      <c r="B52882">
        <f>TEXT(52881, "[$-0E0000]yyyy-mm-dd")</f>
        <v/>
      </c>
      <c r="C52882" t="inlineStr">
        <is>
          <t>2044-08-22</t>
        </is>
      </c>
    </row>
    <row r="52883">
      <c r="A52883" s="1" t="n">
        <v>52882</v>
      </c>
      <c r="B52883">
        <f>TEXT(52882, "[$-0E0000]yyyy-mm-dd")</f>
        <v/>
      </c>
      <c r="C52883" t="inlineStr">
        <is>
          <t>2044-08-23</t>
        </is>
      </c>
    </row>
    <row r="52884">
      <c r="A52884" s="1" t="n">
        <v>52883</v>
      </c>
      <c r="B52884">
        <f>TEXT(52883, "[$-0E0000]yyyy-mm-dd")</f>
        <v/>
      </c>
      <c r="C52884" t="inlineStr">
        <is>
          <t>2044-08-24</t>
        </is>
      </c>
    </row>
    <row r="52885">
      <c r="A52885" s="1" t="n">
        <v>52884</v>
      </c>
      <c r="B52885">
        <f>TEXT(52884, "[$-0E0000]yyyy-mm-dd")</f>
        <v/>
      </c>
      <c r="C52885" t="inlineStr">
        <is>
          <t>2044-08-25</t>
        </is>
      </c>
    </row>
    <row r="52886">
      <c r="A52886" s="1" t="n">
        <v>52885</v>
      </c>
      <c r="B52886">
        <f>TEXT(52885, "[$-0E0000]yyyy-mm-dd")</f>
        <v/>
      </c>
      <c r="C52886" t="inlineStr">
        <is>
          <t>2044-08-26</t>
        </is>
      </c>
    </row>
    <row r="52887">
      <c r="A52887" s="1" t="n">
        <v>52886</v>
      </c>
      <c r="B52887">
        <f>TEXT(52886, "[$-0E0000]yyyy-mm-dd")</f>
        <v/>
      </c>
      <c r="C52887" t="inlineStr">
        <is>
          <t>2044-08-27</t>
        </is>
      </c>
    </row>
    <row r="52888">
      <c r="A52888" s="1" t="n">
        <v>52887</v>
      </c>
      <c r="B52888">
        <f>TEXT(52887, "[$-0E0000]yyyy-mm-dd")</f>
        <v/>
      </c>
      <c r="C52888" t="inlineStr">
        <is>
          <t>2044-08-28</t>
        </is>
      </c>
    </row>
    <row r="52889">
      <c r="A52889" s="1" t="n">
        <v>52888</v>
      </c>
      <c r="B52889">
        <f>TEXT(52888, "[$-0E0000]yyyy-mm-dd")</f>
        <v/>
      </c>
      <c r="C52889" t="inlineStr">
        <is>
          <t>2044-08-29</t>
        </is>
      </c>
    </row>
    <row r="52890">
      <c r="A52890" s="1" t="n">
        <v>52889</v>
      </c>
      <c r="B52890">
        <f>TEXT(52889, "[$-0E0000]yyyy-mm-dd")</f>
        <v/>
      </c>
      <c r="C52890" t="inlineStr">
        <is>
          <t>2044-08-30</t>
        </is>
      </c>
    </row>
    <row r="52891">
      <c r="A52891" s="1" t="n">
        <v>52890</v>
      </c>
      <c r="B52891">
        <f>TEXT(52890, "[$-0E0000]yyyy-mm-dd")</f>
        <v/>
      </c>
      <c r="C52891" t="inlineStr">
        <is>
          <t>2044-09-01</t>
        </is>
      </c>
    </row>
    <row r="52892">
      <c r="A52892" s="1" t="n">
        <v>52891</v>
      </c>
      <c r="B52892">
        <f>TEXT(52891, "[$-0E0000]yyyy-mm-dd")</f>
        <v/>
      </c>
      <c r="C52892" t="inlineStr">
        <is>
          <t>2044-09-02</t>
        </is>
      </c>
    </row>
    <row r="52893">
      <c r="A52893" s="1" t="n">
        <v>52892</v>
      </c>
      <c r="B52893">
        <f>TEXT(52892, "[$-0E0000]yyyy-mm-dd")</f>
        <v/>
      </c>
      <c r="C52893" t="inlineStr">
        <is>
          <t>2044-09-03</t>
        </is>
      </c>
    </row>
    <row r="52894">
      <c r="A52894" s="1" t="n">
        <v>52893</v>
      </c>
      <c r="B52894">
        <f>TEXT(52893, "[$-0E0000]yyyy-mm-dd")</f>
        <v/>
      </c>
      <c r="C52894" t="inlineStr">
        <is>
          <t>2044-09-04</t>
        </is>
      </c>
    </row>
    <row r="52895">
      <c r="A52895" s="1" t="n">
        <v>52894</v>
      </c>
      <c r="B52895">
        <f>TEXT(52894, "[$-0E0000]yyyy-mm-dd")</f>
        <v/>
      </c>
      <c r="C52895" t="inlineStr">
        <is>
          <t>2044-09-05</t>
        </is>
      </c>
    </row>
    <row r="52896">
      <c r="A52896" s="1" t="n">
        <v>52895</v>
      </c>
      <c r="B52896">
        <f>TEXT(52895, "[$-0E0000]yyyy-mm-dd")</f>
        <v/>
      </c>
      <c r="C52896" t="inlineStr">
        <is>
          <t>2044-09-06</t>
        </is>
      </c>
    </row>
    <row r="52897">
      <c r="A52897" s="1" t="n">
        <v>52896</v>
      </c>
      <c r="B52897">
        <f>TEXT(52896, "[$-0E0000]yyyy-mm-dd")</f>
        <v/>
      </c>
      <c r="C52897" t="inlineStr">
        <is>
          <t>2044-09-07</t>
        </is>
      </c>
    </row>
    <row r="52898">
      <c r="A52898" s="1" t="n">
        <v>52897</v>
      </c>
      <c r="B52898">
        <f>TEXT(52897, "[$-0E0000]yyyy-mm-dd")</f>
        <v/>
      </c>
      <c r="C52898" t="inlineStr">
        <is>
          <t>2044-09-08</t>
        </is>
      </c>
    </row>
    <row r="52899">
      <c r="A52899" s="1" t="n">
        <v>52898</v>
      </c>
      <c r="B52899">
        <f>TEXT(52898, "[$-0E0000]yyyy-mm-dd")</f>
        <v/>
      </c>
      <c r="C52899" t="inlineStr">
        <is>
          <t>2044-09-09</t>
        </is>
      </c>
    </row>
    <row r="52900">
      <c r="A52900" s="1" t="n">
        <v>52899</v>
      </c>
      <c r="B52900">
        <f>TEXT(52899, "[$-0E0000]yyyy-mm-dd")</f>
        <v/>
      </c>
      <c r="C52900" t="inlineStr">
        <is>
          <t>2044-09-10</t>
        </is>
      </c>
    </row>
    <row r="52901">
      <c r="A52901" s="1" t="n">
        <v>52900</v>
      </c>
      <c r="B52901">
        <f>TEXT(52900, "[$-0E0000]yyyy-mm-dd")</f>
        <v/>
      </c>
      <c r="C52901" t="inlineStr">
        <is>
          <t>2044-09-11</t>
        </is>
      </c>
    </row>
    <row r="52902">
      <c r="A52902" s="1" t="n">
        <v>52901</v>
      </c>
      <c r="B52902">
        <f>TEXT(52901, "[$-0E0000]yyyy-mm-dd")</f>
        <v/>
      </c>
      <c r="C52902" t="inlineStr">
        <is>
          <t>2044-09-12</t>
        </is>
      </c>
    </row>
    <row r="52903">
      <c r="A52903" s="1" t="n">
        <v>52902</v>
      </c>
      <c r="B52903">
        <f>TEXT(52902, "[$-0E0000]yyyy-mm-dd")</f>
        <v/>
      </c>
      <c r="C52903" t="inlineStr">
        <is>
          <t>2044-09-13</t>
        </is>
      </c>
    </row>
    <row r="52904">
      <c r="A52904" s="1" t="n">
        <v>52903</v>
      </c>
      <c r="B52904">
        <f>TEXT(52903, "[$-0E0000]yyyy-mm-dd")</f>
        <v/>
      </c>
      <c r="C52904" t="inlineStr">
        <is>
          <t>2044-09-14</t>
        </is>
      </c>
    </row>
    <row r="52905">
      <c r="A52905" s="1" t="n">
        <v>52904</v>
      </c>
      <c r="B52905">
        <f>TEXT(52904, "[$-0E0000]yyyy-mm-dd")</f>
        <v/>
      </c>
      <c r="C52905" t="inlineStr">
        <is>
          <t>2044-09-15</t>
        </is>
      </c>
    </row>
    <row r="52906">
      <c r="A52906" s="1" t="n">
        <v>52905</v>
      </c>
      <c r="B52906">
        <f>TEXT(52905, "[$-0E0000]yyyy-mm-dd")</f>
        <v/>
      </c>
      <c r="C52906" t="inlineStr">
        <is>
          <t>2044-09-16</t>
        </is>
      </c>
    </row>
    <row r="52907">
      <c r="A52907" s="1" t="n">
        <v>52906</v>
      </c>
      <c r="B52907">
        <f>TEXT(52906, "[$-0E0000]yyyy-mm-dd")</f>
        <v/>
      </c>
      <c r="C52907" t="inlineStr">
        <is>
          <t>2044-09-17</t>
        </is>
      </c>
    </row>
    <row r="52908">
      <c r="A52908" s="1" t="n">
        <v>52907</v>
      </c>
      <c r="B52908">
        <f>TEXT(52907, "[$-0E0000]yyyy-mm-dd")</f>
        <v/>
      </c>
      <c r="C52908" t="inlineStr">
        <is>
          <t>2044-09-18</t>
        </is>
      </c>
    </row>
    <row r="52909">
      <c r="A52909" s="1" t="n">
        <v>52908</v>
      </c>
      <c r="B52909">
        <f>TEXT(52908, "[$-0E0000]yyyy-mm-dd")</f>
        <v/>
      </c>
      <c r="C52909" t="inlineStr">
        <is>
          <t>2044-09-19</t>
        </is>
      </c>
    </row>
    <row r="52910">
      <c r="A52910" s="1" t="n">
        <v>52909</v>
      </c>
      <c r="B52910">
        <f>TEXT(52909, "[$-0E0000]yyyy-mm-dd")</f>
        <v/>
      </c>
      <c r="C52910" t="inlineStr">
        <is>
          <t>2044-09-20</t>
        </is>
      </c>
    </row>
    <row r="52911">
      <c r="A52911" s="1" t="n">
        <v>52910</v>
      </c>
      <c r="B52911">
        <f>TEXT(52910, "[$-0E0000]yyyy-mm-dd")</f>
        <v/>
      </c>
      <c r="C52911" t="inlineStr">
        <is>
          <t>2044-09-21</t>
        </is>
      </c>
    </row>
    <row r="52912">
      <c r="A52912" s="1" t="n">
        <v>52911</v>
      </c>
      <c r="B52912">
        <f>TEXT(52911, "[$-0E0000]yyyy-mm-dd")</f>
        <v/>
      </c>
      <c r="C52912" t="inlineStr">
        <is>
          <t>2044-09-22</t>
        </is>
      </c>
    </row>
    <row r="52913">
      <c r="A52913" s="1" t="n">
        <v>52912</v>
      </c>
      <c r="B52913">
        <f>TEXT(52912, "[$-0E0000]yyyy-mm-dd")</f>
        <v/>
      </c>
      <c r="C52913" t="inlineStr">
        <is>
          <t>2044-09-23</t>
        </is>
      </c>
    </row>
    <row r="52914">
      <c r="A52914" s="1" t="n">
        <v>52913</v>
      </c>
      <c r="B52914">
        <f>TEXT(52913, "[$-0E0000]yyyy-mm-dd")</f>
        <v/>
      </c>
      <c r="C52914" t="inlineStr">
        <is>
          <t>2044-09-24</t>
        </is>
      </c>
    </row>
    <row r="52915">
      <c r="A52915" s="1" t="n">
        <v>52914</v>
      </c>
      <c r="B52915">
        <f>TEXT(52914, "[$-0E0000]yyyy-mm-dd")</f>
        <v/>
      </c>
      <c r="C52915" t="inlineStr">
        <is>
          <t>2044-09-25</t>
        </is>
      </c>
    </row>
    <row r="52916">
      <c r="A52916" s="1" t="n">
        <v>52915</v>
      </c>
      <c r="B52916">
        <f>TEXT(52915, "[$-0E0000]yyyy-mm-dd")</f>
        <v/>
      </c>
      <c r="C52916" t="inlineStr">
        <is>
          <t>2044-09-26</t>
        </is>
      </c>
    </row>
    <row r="52917">
      <c r="A52917" s="1" t="n">
        <v>52916</v>
      </c>
      <c r="B52917">
        <f>TEXT(52916, "[$-0E0000]yyyy-mm-dd")</f>
        <v/>
      </c>
      <c r="C52917" t="inlineStr">
        <is>
          <t>2044-09-27</t>
        </is>
      </c>
    </row>
    <row r="52918">
      <c r="A52918" s="1" t="n">
        <v>52917</v>
      </c>
      <c r="B52918">
        <f>TEXT(52917, "[$-0E0000]yyyy-mm-dd")</f>
        <v/>
      </c>
      <c r="C52918" t="inlineStr">
        <is>
          <t>2044-09-28</t>
        </is>
      </c>
    </row>
    <row r="52919">
      <c r="A52919" s="1" t="n">
        <v>52918</v>
      </c>
      <c r="B52919">
        <f>TEXT(52918, "[$-0E0000]yyyy-mm-dd")</f>
        <v/>
      </c>
      <c r="C52919" t="inlineStr">
        <is>
          <t>2044-09-29</t>
        </is>
      </c>
    </row>
    <row r="52920">
      <c r="A52920" s="1" t="n">
        <v>52919</v>
      </c>
      <c r="B52920">
        <f>TEXT(52919, "[$-0E0000]yyyy-mm-dd")</f>
        <v/>
      </c>
      <c r="C52920" t="inlineStr">
        <is>
          <t>2044-10-01</t>
        </is>
      </c>
    </row>
    <row r="52921">
      <c r="A52921" s="1" t="n">
        <v>52920</v>
      </c>
      <c r="B52921">
        <f>TEXT(52920, "[$-0E0000]yyyy-mm-dd")</f>
        <v/>
      </c>
      <c r="C52921" t="inlineStr">
        <is>
          <t>2044-10-02</t>
        </is>
      </c>
    </row>
    <row r="52922">
      <c r="A52922" s="1" t="n">
        <v>52921</v>
      </c>
      <c r="B52922">
        <f>TEXT(52921, "[$-0E0000]yyyy-mm-dd")</f>
        <v/>
      </c>
      <c r="C52922" t="inlineStr">
        <is>
          <t>2044-10-03</t>
        </is>
      </c>
    </row>
    <row r="52923">
      <c r="A52923" s="1" t="n">
        <v>52922</v>
      </c>
      <c r="B52923">
        <f>TEXT(52922, "[$-0E0000]yyyy-mm-dd")</f>
        <v/>
      </c>
      <c r="C52923" t="inlineStr">
        <is>
          <t>2044-10-04</t>
        </is>
      </c>
    </row>
    <row r="52924">
      <c r="A52924" s="1" t="n">
        <v>52923</v>
      </c>
      <c r="B52924">
        <f>TEXT(52923, "[$-0E0000]yyyy-mm-dd")</f>
        <v/>
      </c>
      <c r="C52924" t="inlineStr">
        <is>
          <t>2044-10-05</t>
        </is>
      </c>
    </row>
    <row r="52925">
      <c r="A52925" s="1" t="n">
        <v>52924</v>
      </c>
      <c r="B52925">
        <f>TEXT(52924, "[$-0E0000]yyyy-mm-dd")</f>
        <v/>
      </c>
      <c r="C52925" t="inlineStr">
        <is>
          <t>2044-10-06</t>
        </is>
      </c>
    </row>
    <row r="52926">
      <c r="A52926" s="1" t="n">
        <v>52925</v>
      </c>
      <c r="B52926">
        <f>TEXT(52925, "[$-0E0000]yyyy-mm-dd")</f>
        <v/>
      </c>
      <c r="C52926" t="inlineStr">
        <is>
          <t>2044-10-07</t>
        </is>
      </c>
    </row>
    <row r="52927">
      <c r="A52927" s="1" t="n">
        <v>52926</v>
      </c>
      <c r="B52927">
        <f>TEXT(52926, "[$-0E0000]yyyy-mm-dd")</f>
        <v/>
      </c>
      <c r="C52927" t="inlineStr">
        <is>
          <t>2044-10-08</t>
        </is>
      </c>
    </row>
    <row r="52928">
      <c r="A52928" s="1" t="n">
        <v>52927</v>
      </c>
      <c r="B52928">
        <f>TEXT(52927, "[$-0E0000]yyyy-mm-dd")</f>
        <v/>
      </c>
      <c r="C52928" t="inlineStr">
        <is>
          <t>2044-10-09</t>
        </is>
      </c>
    </row>
    <row r="52929">
      <c r="A52929" s="1" t="n">
        <v>52928</v>
      </c>
      <c r="B52929">
        <f>TEXT(52928, "[$-0E0000]yyyy-mm-dd")</f>
        <v/>
      </c>
      <c r="C52929" t="inlineStr">
        <is>
          <t>2044-10-10</t>
        </is>
      </c>
    </row>
    <row r="52930">
      <c r="A52930" s="1" t="n">
        <v>52929</v>
      </c>
      <c r="B52930">
        <f>TEXT(52929, "[$-0E0000]yyyy-mm-dd")</f>
        <v/>
      </c>
      <c r="C52930" t="inlineStr">
        <is>
          <t>2044-10-11</t>
        </is>
      </c>
    </row>
    <row r="52931">
      <c r="A52931" s="1" t="n">
        <v>52930</v>
      </c>
      <c r="B52931">
        <f>TEXT(52930, "[$-0E0000]yyyy-mm-dd")</f>
        <v/>
      </c>
      <c r="C52931" t="inlineStr">
        <is>
          <t>2044-10-12</t>
        </is>
      </c>
    </row>
    <row r="52932">
      <c r="A52932" s="1" t="n">
        <v>52931</v>
      </c>
      <c r="B52932">
        <f>TEXT(52931, "[$-0E0000]yyyy-mm-dd")</f>
        <v/>
      </c>
      <c r="C52932" t="inlineStr">
        <is>
          <t>2044-10-13</t>
        </is>
      </c>
    </row>
    <row r="52933">
      <c r="A52933" s="1" t="n">
        <v>52932</v>
      </c>
      <c r="B52933">
        <f>TEXT(52932, "[$-0E0000]yyyy-mm-dd")</f>
        <v/>
      </c>
      <c r="C52933" t="inlineStr">
        <is>
          <t>2044-10-14</t>
        </is>
      </c>
    </row>
    <row r="52934">
      <c r="A52934" s="1" t="n">
        <v>52933</v>
      </c>
      <c r="B52934">
        <f>TEXT(52933, "[$-0E0000]yyyy-mm-dd")</f>
        <v/>
      </c>
      <c r="C52934" t="inlineStr">
        <is>
          <t>2044-10-15</t>
        </is>
      </c>
    </row>
    <row r="52935">
      <c r="A52935" s="1" t="n">
        <v>52934</v>
      </c>
      <c r="B52935">
        <f>TEXT(52934, "[$-0E0000]yyyy-mm-dd")</f>
        <v/>
      </c>
      <c r="C52935" t="inlineStr">
        <is>
          <t>2044-10-16</t>
        </is>
      </c>
    </row>
    <row r="52936">
      <c r="A52936" s="1" t="n">
        <v>52935</v>
      </c>
      <c r="B52936">
        <f>TEXT(52935, "[$-0E0000]yyyy-mm-dd")</f>
        <v/>
      </c>
      <c r="C52936" t="inlineStr">
        <is>
          <t>2044-10-17</t>
        </is>
      </c>
    </row>
    <row r="52937">
      <c r="A52937" s="1" t="n">
        <v>52936</v>
      </c>
      <c r="B52937">
        <f>TEXT(52936, "[$-0E0000]yyyy-mm-dd")</f>
        <v/>
      </c>
      <c r="C52937" t="inlineStr">
        <is>
          <t>2044-10-18</t>
        </is>
      </c>
    </row>
    <row r="52938">
      <c r="A52938" s="1" t="n">
        <v>52937</v>
      </c>
      <c r="B52938">
        <f>TEXT(52937, "[$-0E0000]yyyy-mm-dd")</f>
        <v/>
      </c>
      <c r="C52938" t="inlineStr">
        <is>
          <t>2044-10-19</t>
        </is>
      </c>
    </row>
    <row r="52939">
      <c r="A52939" s="1" t="n">
        <v>52938</v>
      </c>
      <c r="B52939">
        <f>TEXT(52938, "[$-0E0000]yyyy-mm-dd")</f>
        <v/>
      </c>
      <c r="C52939" t="inlineStr">
        <is>
          <t>2044-10-20</t>
        </is>
      </c>
    </row>
    <row r="52940">
      <c r="A52940" s="1" t="n">
        <v>52939</v>
      </c>
      <c r="B52940">
        <f>TEXT(52939, "[$-0E0000]yyyy-mm-dd")</f>
        <v/>
      </c>
      <c r="C52940" t="inlineStr">
        <is>
          <t>2044-10-21</t>
        </is>
      </c>
    </row>
    <row r="52941">
      <c r="A52941" s="1" t="n">
        <v>52940</v>
      </c>
      <c r="B52941">
        <f>TEXT(52940, "[$-0E0000]yyyy-mm-dd")</f>
        <v/>
      </c>
      <c r="C52941" t="inlineStr">
        <is>
          <t>2044-10-22</t>
        </is>
      </c>
    </row>
    <row r="52942">
      <c r="A52942" s="1" t="n">
        <v>52941</v>
      </c>
      <c r="B52942">
        <f>TEXT(52941, "[$-0E0000]yyyy-mm-dd")</f>
        <v/>
      </c>
      <c r="C52942" t="inlineStr">
        <is>
          <t>2044-10-23</t>
        </is>
      </c>
    </row>
    <row r="52943">
      <c r="A52943" s="1" t="n">
        <v>52942</v>
      </c>
      <c r="B52943">
        <f>TEXT(52942, "[$-0E0000]yyyy-mm-dd")</f>
        <v/>
      </c>
      <c r="C52943" t="inlineStr">
        <is>
          <t>2044-10-24</t>
        </is>
      </c>
    </row>
    <row r="52944">
      <c r="A52944" s="1" t="n">
        <v>52943</v>
      </c>
      <c r="B52944">
        <f>TEXT(52943, "[$-0E0000]yyyy-mm-dd")</f>
        <v/>
      </c>
      <c r="C52944" t="inlineStr">
        <is>
          <t>2044-10-25</t>
        </is>
      </c>
    </row>
    <row r="52945">
      <c r="A52945" s="1" t="n">
        <v>52944</v>
      </c>
      <c r="B52945">
        <f>TEXT(52944, "[$-0E0000]yyyy-mm-dd")</f>
        <v/>
      </c>
      <c r="C52945" t="inlineStr">
        <is>
          <t>2044-10-26</t>
        </is>
      </c>
    </row>
    <row r="52946">
      <c r="A52946" s="1" t="n">
        <v>52945</v>
      </c>
      <c r="B52946">
        <f>TEXT(52945, "[$-0E0000]yyyy-mm-dd")</f>
        <v/>
      </c>
      <c r="C52946" t="inlineStr">
        <is>
          <t>2044-10-27</t>
        </is>
      </c>
    </row>
    <row r="52947">
      <c r="A52947" s="1" t="n">
        <v>52946</v>
      </c>
      <c r="B52947">
        <f>TEXT(52946, "[$-0E0000]yyyy-mm-dd")</f>
        <v/>
      </c>
      <c r="C52947" t="inlineStr">
        <is>
          <t>2044-10-28</t>
        </is>
      </c>
    </row>
    <row r="52948">
      <c r="A52948" s="1" t="n">
        <v>52947</v>
      </c>
      <c r="B52948">
        <f>TEXT(52947, "[$-0E0000]yyyy-mm-dd")</f>
        <v/>
      </c>
      <c r="C52948" t="inlineStr">
        <is>
          <t>2044-10-29</t>
        </is>
      </c>
    </row>
    <row r="52949">
      <c r="A52949" s="1" t="n">
        <v>52948</v>
      </c>
      <c r="B52949">
        <f>TEXT(52948, "[$-0E0000]yyyy-mm-dd")</f>
        <v/>
      </c>
      <c r="C52949" t="inlineStr">
        <is>
          <t>2044-10-30</t>
        </is>
      </c>
    </row>
    <row r="52950">
      <c r="A52950" s="1" t="n">
        <v>52949</v>
      </c>
      <c r="B52950">
        <f>TEXT(52949, "[$-0E0000]yyyy-mm-dd")</f>
        <v/>
      </c>
      <c r="C52950" t="inlineStr">
        <is>
          <t>2044-11-01</t>
        </is>
      </c>
    </row>
    <row r="52951">
      <c r="A52951" s="1" t="n">
        <v>52950</v>
      </c>
      <c r="B52951">
        <f>TEXT(52950, "[$-0E0000]yyyy-mm-dd")</f>
        <v/>
      </c>
      <c r="C52951" t="inlineStr">
        <is>
          <t>2044-11-02</t>
        </is>
      </c>
    </row>
    <row r="52952">
      <c r="A52952" s="1" t="n">
        <v>52951</v>
      </c>
      <c r="B52952">
        <f>TEXT(52951, "[$-0E0000]yyyy-mm-dd")</f>
        <v/>
      </c>
      <c r="C52952" t="inlineStr">
        <is>
          <t>2044-11-03</t>
        </is>
      </c>
    </row>
    <row r="52953">
      <c r="A52953" s="1" t="n">
        <v>52952</v>
      </c>
      <c r="B52953">
        <f>TEXT(52952, "[$-0E0000]yyyy-mm-dd")</f>
        <v/>
      </c>
      <c r="C52953" t="inlineStr">
        <is>
          <t>2044-11-04</t>
        </is>
      </c>
    </row>
    <row r="52954">
      <c r="A52954" s="1" t="n">
        <v>52953</v>
      </c>
      <c r="B52954">
        <f>TEXT(52953, "[$-0E0000]yyyy-mm-dd")</f>
        <v/>
      </c>
      <c r="C52954" t="inlineStr">
        <is>
          <t>2044-11-05</t>
        </is>
      </c>
    </row>
    <row r="52955">
      <c r="A52955" s="1" t="n">
        <v>52954</v>
      </c>
      <c r="B52955">
        <f>TEXT(52954, "[$-0E0000]yyyy-mm-dd")</f>
        <v/>
      </c>
      <c r="C52955" t="inlineStr">
        <is>
          <t>2044-11-06</t>
        </is>
      </c>
    </row>
    <row r="52956">
      <c r="A52956" s="1" t="n">
        <v>52955</v>
      </c>
      <c r="B52956">
        <f>TEXT(52955, "[$-0E0000]yyyy-mm-dd")</f>
        <v/>
      </c>
      <c r="C52956" t="inlineStr">
        <is>
          <t>2044-11-07</t>
        </is>
      </c>
    </row>
    <row r="52957">
      <c r="A52957" s="1" t="n">
        <v>52956</v>
      </c>
      <c r="B52957">
        <f>TEXT(52956, "[$-0E0000]yyyy-mm-dd")</f>
        <v/>
      </c>
      <c r="C52957" t="inlineStr">
        <is>
          <t>2044-11-08</t>
        </is>
      </c>
    </row>
    <row r="52958">
      <c r="A52958" s="1" t="n">
        <v>52957</v>
      </c>
      <c r="B52958">
        <f>TEXT(52957, "[$-0E0000]yyyy-mm-dd")</f>
        <v/>
      </c>
      <c r="C52958" t="inlineStr">
        <is>
          <t>2044-11-09</t>
        </is>
      </c>
    </row>
    <row r="52959">
      <c r="A52959" s="1" t="n">
        <v>52958</v>
      </c>
      <c r="B52959">
        <f>TEXT(52958, "[$-0E0000]yyyy-mm-dd")</f>
        <v/>
      </c>
      <c r="C52959" t="inlineStr">
        <is>
          <t>2044-11-10</t>
        </is>
      </c>
    </row>
    <row r="52960">
      <c r="A52960" s="1" t="n">
        <v>52959</v>
      </c>
      <c r="B52960">
        <f>TEXT(52959, "[$-0E0000]yyyy-mm-dd")</f>
        <v/>
      </c>
      <c r="C52960" t="inlineStr">
        <is>
          <t>2044-11-11</t>
        </is>
      </c>
    </row>
    <row r="52961">
      <c r="A52961" s="1" t="n">
        <v>52960</v>
      </c>
      <c r="B52961">
        <f>TEXT(52960, "[$-0E0000]yyyy-mm-dd")</f>
        <v/>
      </c>
      <c r="C52961" t="inlineStr">
        <is>
          <t>2044-11-12</t>
        </is>
      </c>
    </row>
    <row r="52962">
      <c r="A52962" s="1" t="n">
        <v>52961</v>
      </c>
      <c r="B52962">
        <f>TEXT(52961, "[$-0E0000]yyyy-mm-dd")</f>
        <v/>
      </c>
      <c r="C52962" t="inlineStr">
        <is>
          <t>2044-11-13</t>
        </is>
      </c>
    </row>
    <row r="52963">
      <c r="A52963" s="1" t="n">
        <v>52962</v>
      </c>
      <c r="B52963">
        <f>TEXT(52962, "[$-0E0000]yyyy-mm-dd")</f>
        <v/>
      </c>
      <c r="C52963" t="inlineStr">
        <is>
          <t>2044-11-14</t>
        </is>
      </c>
    </row>
    <row r="52964">
      <c r="A52964" s="1" t="n">
        <v>52963</v>
      </c>
      <c r="B52964">
        <f>TEXT(52963, "[$-0E0000]yyyy-mm-dd")</f>
        <v/>
      </c>
      <c r="C52964" t="inlineStr">
        <is>
          <t>2044-11-15</t>
        </is>
      </c>
    </row>
    <row r="52965">
      <c r="A52965" s="1" t="n">
        <v>52964</v>
      </c>
      <c r="B52965">
        <f>TEXT(52964, "[$-0E0000]yyyy-mm-dd")</f>
        <v/>
      </c>
      <c r="C52965" t="inlineStr">
        <is>
          <t>2044-11-16</t>
        </is>
      </c>
    </row>
    <row r="52966">
      <c r="A52966" s="1" t="n">
        <v>52965</v>
      </c>
      <c r="B52966">
        <f>TEXT(52965, "[$-0E0000]yyyy-mm-dd")</f>
        <v/>
      </c>
      <c r="C52966" t="inlineStr">
        <is>
          <t>2044-11-17</t>
        </is>
      </c>
    </row>
    <row r="52967">
      <c r="A52967" s="1" t="n">
        <v>52966</v>
      </c>
      <c r="B52967">
        <f>TEXT(52966, "[$-0E0000]yyyy-mm-dd")</f>
        <v/>
      </c>
      <c r="C52967" t="inlineStr">
        <is>
          <t>2044-11-18</t>
        </is>
      </c>
    </row>
    <row r="52968">
      <c r="A52968" s="1" t="n">
        <v>52967</v>
      </c>
      <c r="B52968">
        <f>TEXT(52967, "[$-0E0000]yyyy-mm-dd")</f>
        <v/>
      </c>
      <c r="C52968" t="inlineStr">
        <is>
          <t>2044-11-19</t>
        </is>
      </c>
    </row>
    <row r="52969">
      <c r="A52969" s="1" t="n">
        <v>52968</v>
      </c>
      <c r="B52969">
        <f>TEXT(52968, "[$-0E0000]yyyy-mm-dd")</f>
        <v/>
      </c>
      <c r="C52969" t="inlineStr">
        <is>
          <t>2044-11-20</t>
        </is>
      </c>
    </row>
    <row r="52970">
      <c r="A52970" s="1" t="n">
        <v>52969</v>
      </c>
      <c r="B52970">
        <f>TEXT(52969, "[$-0E0000]yyyy-mm-dd")</f>
        <v/>
      </c>
      <c r="C52970" t="inlineStr">
        <is>
          <t>2044-11-21</t>
        </is>
      </c>
    </row>
    <row r="52971">
      <c r="A52971" s="1" t="n">
        <v>52970</v>
      </c>
      <c r="B52971">
        <f>TEXT(52970, "[$-0E0000]yyyy-mm-dd")</f>
        <v/>
      </c>
      <c r="C52971" t="inlineStr">
        <is>
          <t>2044-11-22</t>
        </is>
      </c>
    </row>
    <row r="52972">
      <c r="A52972" s="1" t="n">
        <v>52971</v>
      </c>
      <c r="B52972">
        <f>TEXT(52971, "[$-0E0000]yyyy-mm-dd")</f>
        <v/>
      </c>
      <c r="C52972" t="inlineStr">
        <is>
          <t>2044-11-23</t>
        </is>
      </c>
    </row>
    <row r="52973">
      <c r="A52973" s="1" t="n">
        <v>52972</v>
      </c>
      <c r="B52973">
        <f>TEXT(52972, "[$-0E0000]yyyy-mm-dd")</f>
        <v/>
      </c>
      <c r="C52973" t="inlineStr">
        <is>
          <t>2044-11-24</t>
        </is>
      </c>
    </row>
    <row r="52974">
      <c r="A52974" s="1" t="n">
        <v>52973</v>
      </c>
      <c r="B52974">
        <f>TEXT(52973, "[$-0E0000]yyyy-mm-dd")</f>
        <v/>
      </c>
      <c r="C52974" t="inlineStr">
        <is>
          <t>2044-11-25</t>
        </is>
      </c>
    </row>
    <row r="52975">
      <c r="A52975" s="1" t="n">
        <v>52974</v>
      </c>
      <c r="B52975">
        <f>TEXT(52974, "[$-0E0000]yyyy-mm-dd")</f>
        <v/>
      </c>
      <c r="C52975" t="inlineStr">
        <is>
          <t>2044-11-26</t>
        </is>
      </c>
    </row>
    <row r="52976">
      <c r="A52976" s="1" t="n">
        <v>52975</v>
      </c>
      <c r="B52976">
        <f>TEXT(52975, "[$-0E0000]yyyy-mm-dd")</f>
        <v/>
      </c>
      <c r="C52976" t="inlineStr">
        <is>
          <t>2044-11-27</t>
        </is>
      </c>
    </row>
    <row r="52977">
      <c r="A52977" s="1" t="n">
        <v>52976</v>
      </c>
      <c r="B52977">
        <f>TEXT(52976, "[$-0E0000]yyyy-mm-dd")</f>
        <v/>
      </c>
      <c r="C52977" t="inlineStr">
        <is>
          <t>2044-11-28</t>
        </is>
      </c>
    </row>
    <row r="52978">
      <c r="A52978" s="1" t="n">
        <v>52977</v>
      </c>
      <c r="B52978">
        <f>TEXT(52977, "[$-0E0000]yyyy-mm-dd")</f>
        <v/>
      </c>
      <c r="C52978" t="inlineStr">
        <is>
          <t>2044-11-29</t>
        </is>
      </c>
    </row>
    <row r="52979">
      <c r="A52979" s="1" t="n">
        <v>52978</v>
      </c>
      <c r="B52979">
        <f>TEXT(52978, "[$-0E0000]yyyy-mm-dd")</f>
        <v/>
      </c>
      <c r="C52979" t="inlineStr">
        <is>
          <t>2044-11-30</t>
        </is>
      </c>
    </row>
    <row r="52980">
      <c r="A52980" s="1" t="n">
        <v>52979</v>
      </c>
      <c r="B52980">
        <f>TEXT(52979, "[$-0E0000]yyyy-mm-dd")</f>
        <v/>
      </c>
      <c r="C52980" t="inlineStr">
        <is>
          <t>2044-12-01</t>
        </is>
      </c>
    </row>
    <row r="52981">
      <c r="A52981" s="1" t="n">
        <v>52980</v>
      </c>
      <c r="B52981">
        <f>TEXT(52980, "[$-0E0000]yyyy-mm-dd")</f>
        <v/>
      </c>
      <c r="C52981" t="inlineStr">
        <is>
          <t>2044-12-02</t>
        </is>
      </c>
    </row>
    <row r="52982">
      <c r="A52982" s="1" t="n">
        <v>52981</v>
      </c>
      <c r="B52982">
        <f>TEXT(52981, "[$-0E0000]yyyy-mm-dd")</f>
        <v/>
      </c>
      <c r="C52982" t="inlineStr">
        <is>
          <t>2044-12-03</t>
        </is>
      </c>
    </row>
    <row r="52983">
      <c r="A52983" s="1" t="n">
        <v>52982</v>
      </c>
      <c r="B52983">
        <f>TEXT(52982, "[$-0E0000]yyyy-mm-dd")</f>
        <v/>
      </c>
      <c r="C52983" t="inlineStr">
        <is>
          <t>2044-12-04</t>
        </is>
      </c>
    </row>
    <row r="52984">
      <c r="A52984" s="1" t="n">
        <v>52983</v>
      </c>
      <c r="B52984">
        <f>TEXT(52983, "[$-0E0000]yyyy-mm-dd")</f>
        <v/>
      </c>
      <c r="C52984" t="inlineStr">
        <is>
          <t>2044-12-05</t>
        </is>
      </c>
    </row>
    <row r="52985">
      <c r="A52985" s="1" t="n">
        <v>52984</v>
      </c>
      <c r="B52985">
        <f>TEXT(52984, "[$-0E0000]yyyy-mm-dd")</f>
        <v/>
      </c>
      <c r="C52985" t="inlineStr">
        <is>
          <t>2044-12-06</t>
        </is>
      </c>
    </row>
    <row r="52986">
      <c r="A52986" s="1" t="n">
        <v>52985</v>
      </c>
      <c r="B52986">
        <f>TEXT(52985, "[$-0E0000]yyyy-mm-dd")</f>
        <v/>
      </c>
      <c r="C52986" t="inlineStr">
        <is>
          <t>2044-12-07</t>
        </is>
      </c>
    </row>
    <row r="52987">
      <c r="A52987" s="1" t="n">
        <v>52986</v>
      </c>
      <c r="B52987">
        <f>TEXT(52986, "[$-0E0000]yyyy-mm-dd")</f>
        <v/>
      </c>
      <c r="C52987" t="inlineStr">
        <is>
          <t>2044-12-08</t>
        </is>
      </c>
    </row>
    <row r="52988">
      <c r="A52988" s="1" t="n">
        <v>52987</v>
      </c>
      <c r="B52988">
        <f>TEXT(52987, "[$-0E0000]yyyy-mm-dd")</f>
        <v/>
      </c>
      <c r="C52988" t="inlineStr">
        <is>
          <t>2044-12-09</t>
        </is>
      </c>
    </row>
    <row r="52989">
      <c r="A52989" s="1" t="n">
        <v>52988</v>
      </c>
      <c r="B52989">
        <f>TEXT(52988, "[$-0E0000]yyyy-mm-dd")</f>
        <v/>
      </c>
      <c r="C52989" t="inlineStr">
        <is>
          <t>2044-12-10</t>
        </is>
      </c>
    </row>
    <row r="52990">
      <c r="A52990" s="1" t="n">
        <v>52989</v>
      </c>
      <c r="B52990">
        <f>TEXT(52989, "[$-0E0000]yyyy-mm-dd")</f>
        <v/>
      </c>
      <c r="C52990" t="inlineStr">
        <is>
          <t>2044-12-11</t>
        </is>
      </c>
    </row>
    <row r="52991">
      <c r="A52991" s="1" t="n">
        <v>52990</v>
      </c>
      <c r="B52991">
        <f>TEXT(52990, "[$-0E0000]yyyy-mm-dd")</f>
        <v/>
      </c>
      <c r="C52991" t="inlineStr">
        <is>
          <t>2044-12-12</t>
        </is>
      </c>
    </row>
    <row r="52992">
      <c r="A52992" s="1" t="n">
        <v>52991</v>
      </c>
      <c r="B52992">
        <f>TEXT(52991, "[$-0E0000]yyyy-mm-dd")</f>
        <v/>
      </c>
      <c r="C52992" t="inlineStr">
        <is>
          <t>2044-12-13</t>
        </is>
      </c>
    </row>
    <row r="52993">
      <c r="A52993" s="1" t="n">
        <v>52992</v>
      </c>
      <c r="B52993">
        <f>TEXT(52992, "[$-0E0000]yyyy-mm-dd")</f>
        <v/>
      </c>
      <c r="C52993" t="inlineStr">
        <is>
          <t>2044-12-14</t>
        </is>
      </c>
    </row>
    <row r="52994">
      <c r="A52994" s="1" t="n">
        <v>52993</v>
      </c>
      <c r="B52994">
        <f>TEXT(52993, "[$-0E0000]yyyy-mm-dd")</f>
        <v/>
      </c>
      <c r="C52994" t="inlineStr">
        <is>
          <t>2044-12-15</t>
        </is>
      </c>
    </row>
    <row r="52995">
      <c r="A52995" s="1" t="n">
        <v>52994</v>
      </c>
      <c r="B52995">
        <f>TEXT(52994, "[$-0E0000]yyyy-mm-dd")</f>
        <v/>
      </c>
      <c r="C52995" t="inlineStr">
        <is>
          <t>2044-12-16</t>
        </is>
      </c>
    </row>
    <row r="52996">
      <c r="A52996" s="1" t="n">
        <v>52995</v>
      </c>
      <c r="B52996">
        <f>TEXT(52995, "[$-0E0000]yyyy-mm-dd")</f>
        <v/>
      </c>
      <c r="C52996" t="inlineStr">
        <is>
          <t>2044-12-17</t>
        </is>
      </c>
    </row>
    <row r="52997">
      <c r="A52997" s="1" t="n">
        <v>52996</v>
      </c>
      <c r="B52997">
        <f>TEXT(52996, "[$-0E0000]yyyy-mm-dd")</f>
        <v/>
      </c>
      <c r="C52997" t="inlineStr">
        <is>
          <t>2044-12-18</t>
        </is>
      </c>
    </row>
    <row r="52998">
      <c r="A52998" s="1" t="n">
        <v>52997</v>
      </c>
      <c r="B52998">
        <f>TEXT(52997, "[$-0E0000]yyyy-mm-dd")</f>
        <v/>
      </c>
      <c r="C52998" t="inlineStr">
        <is>
          <t>2044-12-19</t>
        </is>
      </c>
    </row>
    <row r="52999">
      <c r="A52999" s="1" t="n">
        <v>52998</v>
      </c>
      <c r="B52999">
        <f>TEXT(52998, "[$-0E0000]yyyy-mm-dd")</f>
        <v/>
      </c>
      <c r="C52999" t="inlineStr">
        <is>
          <t>2044-12-20</t>
        </is>
      </c>
    </row>
    <row r="53000">
      <c r="A53000" s="1" t="n">
        <v>52999</v>
      </c>
      <c r="B53000">
        <f>TEXT(52999, "[$-0E0000]yyyy-mm-dd")</f>
        <v/>
      </c>
      <c r="C53000" t="inlineStr">
        <is>
          <t>2044-12-21</t>
        </is>
      </c>
    </row>
    <row r="53001">
      <c r="A53001" s="1" t="n">
        <v>53000</v>
      </c>
      <c r="B53001">
        <f>TEXT(53000, "[$-0E0000]yyyy-mm-dd")</f>
        <v/>
      </c>
      <c r="C53001" t="inlineStr">
        <is>
          <t>2044-12-22</t>
        </is>
      </c>
    </row>
    <row r="53002">
      <c r="A53002" s="1" t="n">
        <v>53001</v>
      </c>
      <c r="B53002">
        <f>TEXT(53001, "[$-0E0000]yyyy-mm-dd")</f>
        <v/>
      </c>
      <c r="C53002" t="inlineStr">
        <is>
          <t>2044-12-23</t>
        </is>
      </c>
    </row>
    <row r="53003">
      <c r="A53003" s="1" t="n">
        <v>53002</v>
      </c>
      <c r="B53003">
        <f>TEXT(53002, "[$-0E0000]yyyy-mm-dd")</f>
        <v/>
      </c>
      <c r="C53003" t="inlineStr">
        <is>
          <t>2044-12-24</t>
        </is>
      </c>
    </row>
    <row r="53004">
      <c r="A53004" s="1" t="n">
        <v>53003</v>
      </c>
      <c r="B53004">
        <f>TEXT(53003, "[$-0E0000]yyyy-mm-dd")</f>
        <v/>
      </c>
      <c r="C53004" t="inlineStr">
        <is>
          <t>2044-12-25</t>
        </is>
      </c>
    </row>
    <row r="53005">
      <c r="A53005" s="1" t="n">
        <v>53004</v>
      </c>
      <c r="B53005">
        <f>TEXT(53004, "[$-0E0000]yyyy-mm-dd")</f>
        <v/>
      </c>
      <c r="C53005" t="inlineStr">
        <is>
          <t>2044-12-26</t>
        </is>
      </c>
    </row>
    <row r="53006">
      <c r="A53006" s="1" t="n">
        <v>53005</v>
      </c>
      <c r="B53006">
        <f>TEXT(53005, "[$-0E0000]yyyy-mm-dd")</f>
        <v/>
      </c>
      <c r="C53006" t="inlineStr">
        <is>
          <t>2044-12-27</t>
        </is>
      </c>
    </row>
    <row r="53007">
      <c r="A53007" s="1" t="n">
        <v>53006</v>
      </c>
      <c r="B53007">
        <f>TEXT(53006, "[$-0E0000]yyyy-mm-dd")</f>
        <v/>
      </c>
      <c r="C53007" t="inlineStr">
        <is>
          <t>2044-12-28</t>
        </is>
      </c>
    </row>
    <row r="53008">
      <c r="A53008" s="1" t="n">
        <v>53007</v>
      </c>
      <c r="B53008">
        <f>TEXT(53007, "[$-0E0000]yyyy-mm-dd")</f>
        <v/>
      </c>
      <c r="C53008" t="inlineStr">
        <is>
          <t>2044-12-29</t>
        </is>
      </c>
    </row>
    <row r="53009">
      <c r="A53009" s="1" t="n">
        <v>53008</v>
      </c>
      <c r="B53009">
        <f>TEXT(53008, "[$-0E0000]yyyy-mm-dd")</f>
        <v/>
      </c>
      <c r="C53009" t="inlineStr">
        <is>
          <t>2044-12-30</t>
        </is>
      </c>
    </row>
    <row r="53010">
      <c r="A53010" s="1" t="n">
        <v>53009</v>
      </c>
      <c r="B53010">
        <f>TEXT(53009, "[$-0E0000]yyyy-mm-dd")</f>
        <v/>
      </c>
      <c r="C53010" t="inlineStr">
        <is>
          <t>2045-01-01</t>
        </is>
      </c>
    </row>
    <row r="53011">
      <c r="A53011" s="1" t="n">
        <v>53010</v>
      </c>
      <c r="B53011">
        <f>TEXT(53010, "[$-0E0000]yyyy-mm-dd")</f>
        <v/>
      </c>
      <c r="C53011" t="inlineStr">
        <is>
          <t>2045-01-02</t>
        </is>
      </c>
    </row>
    <row r="53012">
      <c r="A53012" s="1" t="n">
        <v>53011</v>
      </c>
      <c r="B53012">
        <f>TEXT(53011, "[$-0E0000]yyyy-mm-dd")</f>
        <v/>
      </c>
      <c r="C53012" t="inlineStr">
        <is>
          <t>2045-01-03</t>
        </is>
      </c>
    </row>
    <row r="53013">
      <c r="A53013" s="1" t="n">
        <v>53012</v>
      </c>
      <c r="B53013">
        <f>TEXT(53012, "[$-0E0000]yyyy-mm-dd")</f>
        <v/>
      </c>
      <c r="C53013" t="inlineStr">
        <is>
          <t>2045-01-04</t>
        </is>
      </c>
    </row>
    <row r="53014">
      <c r="A53014" s="1" t="n">
        <v>53013</v>
      </c>
      <c r="B53014">
        <f>TEXT(53013, "[$-0E0000]yyyy-mm-dd")</f>
        <v/>
      </c>
      <c r="C53014" t="inlineStr">
        <is>
          <t>2045-01-05</t>
        </is>
      </c>
    </row>
    <row r="53015">
      <c r="A53015" s="1" t="n">
        <v>53014</v>
      </c>
      <c r="B53015">
        <f>TEXT(53014, "[$-0E0000]yyyy-mm-dd")</f>
        <v/>
      </c>
      <c r="C53015" t="inlineStr">
        <is>
          <t>2045-01-06</t>
        </is>
      </c>
    </row>
    <row r="53016">
      <c r="A53016" s="1" t="n">
        <v>53015</v>
      </c>
      <c r="B53016">
        <f>TEXT(53015, "[$-0E0000]yyyy-mm-dd")</f>
        <v/>
      </c>
      <c r="C53016" t="inlineStr">
        <is>
          <t>2045-01-07</t>
        </is>
      </c>
    </row>
    <row r="53017">
      <c r="A53017" s="1" t="n">
        <v>53016</v>
      </c>
      <c r="B53017">
        <f>TEXT(53016, "[$-0E0000]yyyy-mm-dd")</f>
        <v/>
      </c>
      <c r="C53017" t="inlineStr">
        <is>
          <t>2045-01-08</t>
        </is>
      </c>
    </row>
    <row r="53018">
      <c r="A53018" s="1" t="n">
        <v>53017</v>
      </c>
      <c r="B53018">
        <f>TEXT(53017, "[$-0E0000]yyyy-mm-dd")</f>
        <v/>
      </c>
      <c r="C53018" t="inlineStr">
        <is>
          <t>2045-01-09</t>
        </is>
      </c>
    </row>
    <row r="53019">
      <c r="A53019" s="1" t="n">
        <v>53018</v>
      </c>
      <c r="B53019">
        <f>TEXT(53018, "[$-0E0000]yyyy-mm-dd")</f>
        <v/>
      </c>
      <c r="C53019" t="inlineStr">
        <is>
          <t>2045-01-10</t>
        </is>
      </c>
    </row>
    <row r="53020">
      <c r="A53020" s="1" t="n">
        <v>53019</v>
      </c>
      <c r="B53020">
        <f>TEXT(53019, "[$-0E0000]yyyy-mm-dd")</f>
        <v/>
      </c>
      <c r="C53020" t="inlineStr">
        <is>
          <t>2045-01-11</t>
        </is>
      </c>
    </row>
    <row r="53021">
      <c r="A53021" s="1" t="n">
        <v>53020</v>
      </c>
      <c r="B53021">
        <f>TEXT(53020, "[$-0E0000]yyyy-mm-dd")</f>
        <v/>
      </c>
      <c r="C53021" t="inlineStr">
        <is>
          <t>2045-01-12</t>
        </is>
      </c>
    </row>
    <row r="53022">
      <c r="A53022" s="1" t="n">
        <v>53021</v>
      </c>
      <c r="B53022">
        <f>TEXT(53021, "[$-0E0000]yyyy-mm-dd")</f>
        <v/>
      </c>
      <c r="C53022" t="inlineStr">
        <is>
          <t>2045-01-13</t>
        </is>
      </c>
    </row>
    <row r="53023">
      <c r="A53023" s="1" t="n">
        <v>53022</v>
      </c>
      <c r="B53023">
        <f>TEXT(53022, "[$-0E0000]yyyy-mm-dd")</f>
        <v/>
      </c>
      <c r="C53023" t="inlineStr">
        <is>
          <t>2045-01-14</t>
        </is>
      </c>
    </row>
    <row r="53024">
      <c r="A53024" s="1" t="n">
        <v>53023</v>
      </c>
      <c r="B53024">
        <f>TEXT(53023, "[$-0E0000]yyyy-mm-dd")</f>
        <v/>
      </c>
      <c r="C53024" t="inlineStr">
        <is>
          <t>2045-01-15</t>
        </is>
      </c>
    </row>
    <row r="53025">
      <c r="A53025" s="1" t="n">
        <v>53024</v>
      </c>
      <c r="B53025">
        <f>TEXT(53024, "[$-0E0000]yyyy-mm-dd")</f>
        <v/>
      </c>
      <c r="C53025" t="inlineStr">
        <is>
          <t>2045-01-16</t>
        </is>
      </c>
    </row>
    <row r="53026">
      <c r="A53026" s="1" t="n">
        <v>53025</v>
      </c>
      <c r="B53026">
        <f>TEXT(53025, "[$-0E0000]yyyy-mm-dd")</f>
        <v/>
      </c>
      <c r="C53026" t="inlineStr">
        <is>
          <t>2045-01-17</t>
        </is>
      </c>
    </row>
    <row r="53027">
      <c r="A53027" s="1" t="n">
        <v>53026</v>
      </c>
      <c r="B53027">
        <f>TEXT(53026, "[$-0E0000]yyyy-mm-dd")</f>
        <v/>
      </c>
      <c r="C53027" t="inlineStr">
        <is>
          <t>2045-01-18</t>
        </is>
      </c>
    </row>
    <row r="53028">
      <c r="A53028" s="1" t="n">
        <v>53027</v>
      </c>
      <c r="B53028">
        <f>TEXT(53027, "[$-0E0000]yyyy-mm-dd")</f>
        <v/>
      </c>
      <c r="C53028" t="inlineStr">
        <is>
          <t>2045-01-19</t>
        </is>
      </c>
    </row>
    <row r="53029">
      <c r="A53029" s="1" t="n">
        <v>53028</v>
      </c>
      <c r="B53029">
        <f>TEXT(53028, "[$-0E0000]yyyy-mm-dd")</f>
        <v/>
      </c>
      <c r="C53029" t="inlineStr">
        <is>
          <t>2045-01-20</t>
        </is>
      </c>
    </row>
    <row r="53030">
      <c r="A53030" s="1" t="n">
        <v>53029</v>
      </c>
      <c r="B53030">
        <f>TEXT(53029, "[$-0E0000]yyyy-mm-dd")</f>
        <v/>
      </c>
      <c r="C53030" t="inlineStr">
        <is>
          <t>2045-01-21</t>
        </is>
      </c>
    </row>
    <row r="53031">
      <c r="A53031" s="1" t="n">
        <v>53030</v>
      </c>
      <c r="B53031">
        <f>TEXT(53030, "[$-0E0000]yyyy-mm-dd")</f>
        <v/>
      </c>
      <c r="C53031" t="inlineStr">
        <is>
          <t>2045-01-22</t>
        </is>
      </c>
    </row>
    <row r="53032">
      <c r="A53032" s="1" t="n">
        <v>53031</v>
      </c>
      <c r="B53032">
        <f>TEXT(53031, "[$-0E0000]yyyy-mm-dd")</f>
        <v/>
      </c>
      <c r="C53032" t="inlineStr">
        <is>
          <t>2045-01-23</t>
        </is>
      </c>
    </row>
    <row r="53033">
      <c r="A53033" s="1" t="n">
        <v>53032</v>
      </c>
      <c r="B53033">
        <f>TEXT(53032, "[$-0E0000]yyyy-mm-dd")</f>
        <v/>
      </c>
      <c r="C53033" t="inlineStr">
        <is>
          <t>2045-01-24</t>
        </is>
      </c>
    </row>
    <row r="53034">
      <c r="A53034" s="1" t="n">
        <v>53033</v>
      </c>
      <c r="B53034">
        <f>TEXT(53033, "[$-0E0000]yyyy-mm-dd")</f>
        <v/>
      </c>
      <c r="C53034" t="inlineStr">
        <is>
          <t>2045-01-25</t>
        </is>
      </c>
    </row>
    <row r="53035">
      <c r="A53035" s="1" t="n">
        <v>53034</v>
      </c>
      <c r="B53035">
        <f>TEXT(53034, "[$-0E0000]yyyy-mm-dd")</f>
        <v/>
      </c>
      <c r="C53035" t="inlineStr">
        <is>
          <t>2045-01-26</t>
        </is>
      </c>
    </row>
    <row r="53036">
      <c r="A53036" s="1" t="n">
        <v>53035</v>
      </c>
      <c r="B53036">
        <f>TEXT(53035, "[$-0E0000]yyyy-mm-dd")</f>
        <v/>
      </c>
      <c r="C53036" t="inlineStr">
        <is>
          <t>2045-01-27</t>
        </is>
      </c>
    </row>
    <row r="53037">
      <c r="A53037" s="1" t="n">
        <v>53036</v>
      </c>
      <c r="B53037">
        <f>TEXT(53036, "[$-0E0000]yyyy-mm-dd")</f>
        <v/>
      </c>
      <c r="C53037" t="inlineStr">
        <is>
          <t>2045-01-28</t>
        </is>
      </c>
    </row>
    <row r="53038">
      <c r="A53038" s="1" t="n">
        <v>53037</v>
      </c>
      <c r="B53038">
        <f>TEXT(53037, "[$-0E0000]yyyy-mm-dd")</f>
        <v/>
      </c>
      <c r="C53038" t="inlineStr">
        <is>
          <t>2045-01-29</t>
        </is>
      </c>
    </row>
    <row r="53039">
      <c r="A53039" s="1" t="n">
        <v>53038</v>
      </c>
      <c r="B53039">
        <f>TEXT(53038, "[$-0E0000]yyyy-mm-dd")</f>
        <v/>
      </c>
      <c r="C53039" t="inlineStr">
        <is>
          <t>2045-01-30</t>
        </is>
      </c>
    </row>
    <row r="53040">
      <c r="A53040" s="1" t="n">
        <v>53039</v>
      </c>
      <c r="B53040">
        <f>TEXT(53039, "[$-0E0000]yyyy-mm-dd")</f>
        <v/>
      </c>
      <c r="C53040" t="inlineStr">
        <is>
          <t>2045-02-01</t>
        </is>
      </c>
    </row>
    <row r="53041">
      <c r="A53041" s="1" t="n">
        <v>53040</v>
      </c>
      <c r="B53041">
        <f>TEXT(53040, "[$-0E0000]yyyy-mm-dd")</f>
        <v/>
      </c>
      <c r="C53041" t="inlineStr">
        <is>
          <t>2045-02-02</t>
        </is>
      </c>
    </row>
    <row r="53042">
      <c r="A53042" s="1" t="n">
        <v>53041</v>
      </c>
      <c r="B53042">
        <f>TEXT(53041, "[$-0E0000]yyyy-mm-dd")</f>
        <v/>
      </c>
      <c r="C53042" t="inlineStr">
        <is>
          <t>2045-02-03</t>
        </is>
      </c>
    </row>
    <row r="53043">
      <c r="A53043" s="1" t="n">
        <v>53042</v>
      </c>
      <c r="B53043">
        <f>TEXT(53042, "[$-0E0000]yyyy-mm-dd")</f>
        <v/>
      </c>
      <c r="C53043" t="inlineStr">
        <is>
          <t>2045-02-04</t>
        </is>
      </c>
    </row>
    <row r="53044">
      <c r="A53044" s="1" t="n">
        <v>53043</v>
      </c>
      <c r="B53044">
        <f>TEXT(53043, "[$-0E0000]yyyy-mm-dd")</f>
        <v/>
      </c>
      <c r="C53044" t="inlineStr">
        <is>
          <t>2045-02-05</t>
        </is>
      </c>
    </row>
    <row r="53045">
      <c r="A53045" s="1" t="n">
        <v>53044</v>
      </c>
      <c r="B53045">
        <f>TEXT(53044, "[$-0E0000]yyyy-mm-dd")</f>
        <v/>
      </c>
      <c r="C53045" t="inlineStr">
        <is>
          <t>2045-02-06</t>
        </is>
      </c>
    </row>
    <row r="53046">
      <c r="A53046" s="1" t="n">
        <v>53045</v>
      </c>
      <c r="B53046">
        <f>TEXT(53045, "[$-0E0000]yyyy-mm-dd")</f>
        <v/>
      </c>
      <c r="C53046" t="inlineStr">
        <is>
          <t>2045-02-07</t>
        </is>
      </c>
    </row>
    <row r="53047">
      <c r="A53047" s="1" t="n">
        <v>53046</v>
      </c>
      <c r="B53047">
        <f>TEXT(53046, "[$-0E0000]yyyy-mm-dd")</f>
        <v/>
      </c>
      <c r="C53047" t="inlineStr">
        <is>
          <t>2045-02-08</t>
        </is>
      </c>
    </row>
    <row r="53048">
      <c r="A53048" s="1" t="n">
        <v>53047</v>
      </c>
      <c r="B53048">
        <f>TEXT(53047, "[$-0E0000]yyyy-mm-dd")</f>
        <v/>
      </c>
      <c r="C53048" t="inlineStr">
        <is>
          <t>2045-02-09</t>
        </is>
      </c>
    </row>
    <row r="53049">
      <c r="A53049" s="1" t="n">
        <v>53048</v>
      </c>
      <c r="B53049">
        <f>TEXT(53048, "[$-0E0000]yyyy-mm-dd")</f>
        <v/>
      </c>
      <c r="C53049" t="inlineStr">
        <is>
          <t>2045-02-10</t>
        </is>
      </c>
    </row>
    <row r="53050">
      <c r="A53050" s="1" t="n">
        <v>53049</v>
      </c>
      <c r="B53050">
        <f>TEXT(53049, "[$-0E0000]yyyy-mm-dd")</f>
        <v/>
      </c>
      <c r="C53050" t="inlineStr">
        <is>
          <t>2045-02-11</t>
        </is>
      </c>
    </row>
    <row r="53051">
      <c r="A53051" s="1" t="n">
        <v>53050</v>
      </c>
      <c r="B53051">
        <f>TEXT(53050, "[$-0E0000]yyyy-mm-dd")</f>
        <v/>
      </c>
      <c r="C53051" t="inlineStr">
        <is>
          <t>2045-02-12</t>
        </is>
      </c>
    </row>
    <row r="53052">
      <c r="A53052" s="1" t="n">
        <v>53051</v>
      </c>
      <c r="B53052">
        <f>TEXT(53051, "[$-0E0000]yyyy-mm-dd")</f>
        <v/>
      </c>
      <c r="C53052" t="inlineStr">
        <is>
          <t>2045-02-13</t>
        </is>
      </c>
    </row>
    <row r="53053">
      <c r="A53053" s="1" t="n">
        <v>53052</v>
      </c>
      <c r="B53053">
        <f>TEXT(53052, "[$-0E0000]yyyy-mm-dd")</f>
        <v/>
      </c>
      <c r="C53053" t="inlineStr">
        <is>
          <t>2045-02-14</t>
        </is>
      </c>
    </row>
    <row r="53054">
      <c r="A53054" s="1" t="n">
        <v>53053</v>
      </c>
      <c r="B53054">
        <f>TEXT(53053, "[$-0E0000]yyyy-mm-dd")</f>
        <v/>
      </c>
      <c r="C53054" t="inlineStr">
        <is>
          <t>2045-02-15</t>
        </is>
      </c>
    </row>
    <row r="53055">
      <c r="A53055" s="1" t="n">
        <v>53054</v>
      </c>
      <c r="B53055">
        <f>TEXT(53054, "[$-0E0000]yyyy-mm-dd")</f>
        <v/>
      </c>
      <c r="C53055" t="inlineStr">
        <is>
          <t>2045-02-16</t>
        </is>
      </c>
    </row>
    <row r="53056">
      <c r="A53056" s="1" t="n">
        <v>53055</v>
      </c>
      <c r="B53056">
        <f>TEXT(53055, "[$-0E0000]yyyy-mm-dd")</f>
        <v/>
      </c>
      <c r="C53056" t="inlineStr">
        <is>
          <t>2045-02-17</t>
        </is>
      </c>
    </row>
    <row r="53057">
      <c r="A53057" s="1" t="n">
        <v>53056</v>
      </c>
      <c r="B53057">
        <f>TEXT(53056, "[$-0E0000]yyyy-mm-dd")</f>
        <v/>
      </c>
      <c r="C53057" t="inlineStr">
        <is>
          <t>2045-02-18</t>
        </is>
      </c>
    </row>
    <row r="53058">
      <c r="A53058" s="1" t="n">
        <v>53057</v>
      </c>
      <c r="B53058">
        <f>TEXT(53057, "[$-0E0000]yyyy-mm-dd")</f>
        <v/>
      </c>
      <c r="C53058" t="inlineStr">
        <is>
          <t>2045-02-19</t>
        </is>
      </c>
    </row>
    <row r="53059">
      <c r="A53059" s="1" t="n">
        <v>53058</v>
      </c>
      <c r="B53059">
        <f>TEXT(53058, "[$-0E0000]yyyy-mm-dd")</f>
        <v/>
      </c>
      <c r="C53059" t="inlineStr">
        <is>
          <t>2045-02-20</t>
        </is>
      </c>
    </row>
    <row r="53060">
      <c r="A53060" s="1" t="n">
        <v>53059</v>
      </c>
      <c r="B53060">
        <f>TEXT(53059, "[$-0E0000]yyyy-mm-dd")</f>
        <v/>
      </c>
      <c r="C53060" t="inlineStr">
        <is>
          <t>2045-02-21</t>
        </is>
      </c>
    </row>
    <row r="53061">
      <c r="A53061" s="1" t="n">
        <v>53060</v>
      </c>
      <c r="B53061">
        <f>TEXT(53060, "[$-0E0000]yyyy-mm-dd")</f>
        <v/>
      </c>
      <c r="C53061" t="inlineStr">
        <is>
          <t>2045-02-22</t>
        </is>
      </c>
    </row>
    <row r="53062">
      <c r="A53062" s="1" t="n">
        <v>53061</v>
      </c>
      <c r="B53062">
        <f>TEXT(53061, "[$-0E0000]yyyy-mm-dd")</f>
        <v/>
      </c>
      <c r="C53062" t="inlineStr">
        <is>
          <t>2045-02-23</t>
        </is>
      </c>
    </row>
    <row r="53063">
      <c r="A53063" s="1" t="n">
        <v>53062</v>
      </c>
      <c r="B53063">
        <f>TEXT(53062, "[$-0E0000]yyyy-mm-dd")</f>
        <v/>
      </c>
      <c r="C53063" t="inlineStr">
        <is>
          <t>2045-02-24</t>
        </is>
      </c>
    </row>
    <row r="53064">
      <c r="A53064" s="1" t="n">
        <v>53063</v>
      </c>
      <c r="B53064">
        <f>TEXT(53063, "[$-0E0000]yyyy-mm-dd")</f>
        <v/>
      </c>
      <c r="C53064" t="inlineStr">
        <is>
          <t>2045-02-25</t>
        </is>
      </c>
    </row>
    <row r="53065">
      <c r="A53065" s="1" t="n">
        <v>53064</v>
      </c>
      <c r="B53065">
        <f>TEXT(53064, "[$-0E0000]yyyy-mm-dd")</f>
        <v/>
      </c>
      <c r="C53065" t="inlineStr">
        <is>
          <t>2045-02-26</t>
        </is>
      </c>
    </row>
    <row r="53066">
      <c r="A53066" s="1" t="n">
        <v>53065</v>
      </c>
      <c r="B53066">
        <f>TEXT(53065, "[$-0E0000]yyyy-mm-dd")</f>
        <v/>
      </c>
      <c r="C53066" t="inlineStr">
        <is>
          <t>2045-02-27</t>
        </is>
      </c>
    </row>
    <row r="53067">
      <c r="A53067" s="1" t="n">
        <v>53066</v>
      </c>
      <c r="B53067">
        <f>TEXT(53066, "[$-0E0000]yyyy-mm-dd")</f>
        <v/>
      </c>
      <c r="C53067" t="inlineStr">
        <is>
          <t>2045-02-28</t>
        </is>
      </c>
    </row>
    <row r="53068">
      <c r="A53068" s="1" t="n">
        <v>53067</v>
      </c>
      <c r="B53068">
        <f>TEXT(53067, "[$-0E0000]yyyy-mm-dd")</f>
        <v/>
      </c>
      <c r="C53068" t="inlineStr">
        <is>
          <t>2045-02-29</t>
        </is>
      </c>
    </row>
    <row r="53069">
      <c r="A53069" s="1" t="n">
        <v>53068</v>
      </c>
      <c r="B53069">
        <f>TEXT(53068, "[$-0E0000]yyyy-mm-dd")</f>
        <v/>
      </c>
      <c r="C53069" t="inlineStr">
        <is>
          <t>2045-03-01</t>
        </is>
      </c>
    </row>
    <row r="53070">
      <c r="A53070" s="1" t="n">
        <v>53069</v>
      </c>
      <c r="B53070">
        <f>TEXT(53069, "[$-0E0000]yyyy-mm-dd")</f>
        <v/>
      </c>
      <c r="C53070" t="inlineStr">
        <is>
          <t>2045-03-02</t>
        </is>
      </c>
    </row>
    <row r="53071">
      <c r="A53071" s="1" t="n">
        <v>53070</v>
      </c>
      <c r="B53071">
        <f>TEXT(53070, "[$-0E0000]yyyy-mm-dd")</f>
        <v/>
      </c>
      <c r="C53071" t="inlineStr">
        <is>
          <t>2045-03-03</t>
        </is>
      </c>
    </row>
    <row r="53072">
      <c r="A53072" s="1" t="n">
        <v>53071</v>
      </c>
      <c r="B53072">
        <f>TEXT(53071, "[$-0E0000]yyyy-mm-dd")</f>
        <v/>
      </c>
      <c r="C53072" t="inlineStr">
        <is>
          <t>2045-03-04</t>
        </is>
      </c>
    </row>
    <row r="53073">
      <c r="A53073" s="1" t="n">
        <v>53072</v>
      </c>
      <c r="B53073">
        <f>TEXT(53072, "[$-0E0000]yyyy-mm-dd")</f>
        <v/>
      </c>
      <c r="C53073" t="inlineStr">
        <is>
          <t>2045-03-05</t>
        </is>
      </c>
    </row>
    <row r="53074">
      <c r="A53074" s="1" t="n">
        <v>53073</v>
      </c>
      <c r="B53074">
        <f>TEXT(53073, "[$-0E0000]yyyy-mm-dd")</f>
        <v/>
      </c>
      <c r="C53074" t="inlineStr">
        <is>
          <t>2045-03-06</t>
        </is>
      </c>
    </row>
    <row r="53075">
      <c r="A53075" s="1" t="n">
        <v>53074</v>
      </c>
      <c r="B53075">
        <f>TEXT(53074, "[$-0E0000]yyyy-mm-dd")</f>
        <v/>
      </c>
      <c r="C53075" t="inlineStr">
        <is>
          <t>2045-03-07</t>
        </is>
      </c>
    </row>
    <row r="53076">
      <c r="A53076" s="1" t="n">
        <v>53075</v>
      </c>
      <c r="B53076">
        <f>TEXT(53075, "[$-0E0000]yyyy-mm-dd")</f>
        <v/>
      </c>
      <c r="C53076" t="inlineStr">
        <is>
          <t>2045-03-08</t>
        </is>
      </c>
    </row>
    <row r="53077">
      <c r="A53077" s="1" t="n">
        <v>53076</v>
      </c>
      <c r="B53077">
        <f>TEXT(53076, "[$-0E0000]yyyy-mm-dd")</f>
        <v/>
      </c>
      <c r="C53077" t="inlineStr">
        <is>
          <t>2045-03-09</t>
        </is>
      </c>
    </row>
    <row r="53078">
      <c r="A53078" s="1" t="n">
        <v>53077</v>
      </c>
      <c r="B53078">
        <f>TEXT(53077, "[$-0E0000]yyyy-mm-dd")</f>
        <v/>
      </c>
      <c r="C53078" t="inlineStr">
        <is>
          <t>2045-03-10</t>
        </is>
      </c>
    </row>
    <row r="53079">
      <c r="A53079" s="1" t="n">
        <v>53078</v>
      </c>
      <c r="B53079">
        <f>TEXT(53078, "[$-0E0000]yyyy-mm-dd")</f>
        <v/>
      </c>
      <c r="C53079" t="inlineStr">
        <is>
          <t>2045-03-11</t>
        </is>
      </c>
    </row>
    <row r="53080">
      <c r="A53080" s="1" t="n">
        <v>53079</v>
      </c>
      <c r="B53080">
        <f>TEXT(53079, "[$-0E0000]yyyy-mm-dd")</f>
        <v/>
      </c>
      <c r="C53080" t="inlineStr">
        <is>
          <t>2045-03-12</t>
        </is>
      </c>
    </row>
    <row r="53081">
      <c r="A53081" s="1" t="n">
        <v>53080</v>
      </c>
      <c r="B53081">
        <f>TEXT(53080, "[$-0E0000]yyyy-mm-dd")</f>
        <v/>
      </c>
      <c r="C53081" t="inlineStr">
        <is>
          <t>2045-03-13</t>
        </is>
      </c>
    </row>
    <row r="53082">
      <c r="A53082" s="1" t="n">
        <v>53081</v>
      </c>
      <c r="B53082">
        <f>TEXT(53081, "[$-0E0000]yyyy-mm-dd")</f>
        <v/>
      </c>
      <c r="C53082" t="inlineStr">
        <is>
          <t>2045-03-14</t>
        </is>
      </c>
    </row>
    <row r="53083">
      <c r="A53083" s="1" t="n">
        <v>53082</v>
      </c>
      <c r="B53083">
        <f>TEXT(53082, "[$-0E0000]yyyy-mm-dd")</f>
        <v/>
      </c>
      <c r="C53083" t="inlineStr">
        <is>
          <t>2045-03-15</t>
        </is>
      </c>
    </row>
    <row r="53084">
      <c r="A53084" s="1" t="n">
        <v>53083</v>
      </c>
      <c r="B53084">
        <f>TEXT(53083, "[$-0E0000]yyyy-mm-dd")</f>
        <v/>
      </c>
      <c r="C53084" t="inlineStr">
        <is>
          <t>2045-03-16</t>
        </is>
      </c>
    </row>
    <row r="53085">
      <c r="A53085" s="1" t="n">
        <v>53084</v>
      </c>
      <c r="B53085">
        <f>TEXT(53084, "[$-0E0000]yyyy-mm-dd")</f>
        <v/>
      </c>
      <c r="C53085" t="inlineStr">
        <is>
          <t>2045-03-17</t>
        </is>
      </c>
    </row>
    <row r="53086">
      <c r="A53086" s="1" t="n">
        <v>53085</v>
      </c>
      <c r="B53086">
        <f>TEXT(53085, "[$-0E0000]yyyy-mm-dd")</f>
        <v/>
      </c>
      <c r="C53086" t="inlineStr">
        <is>
          <t>2045-03-18</t>
        </is>
      </c>
    </row>
    <row r="53087">
      <c r="A53087" s="1" t="n">
        <v>53086</v>
      </c>
      <c r="B53087">
        <f>TEXT(53086, "[$-0E0000]yyyy-mm-dd")</f>
        <v/>
      </c>
      <c r="C53087" t="inlineStr">
        <is>
          <t>2045-03-19</t>
        </is>
      </c>
    </row>
    <row r="53088">
      <c r="A53088" s="1" t="n">
        <v>53087</v>
      </c>
      <c r="B53088">
        <f>TEXT(53087, "[$-0E0000]yyyy-mm-dd")</f>
        <v/>
      </c>
      <c r="C53088" t="inlineStr">
        <is>
          <t>2045-03-20</t>
        </is>
      </c>
    </row>
    <row r="53089">
      <c r="A53089" s="1" t="n">
        <v>53088</v>
      </c>
      <c r="B53089">
        <f>TEXT(53088, "[$-0E0000]yyyy-mm-dd")</f>
        <v/>
      </c>
      <c r="C53089" t="inlineStr">
        <is>
          <t>2045-03-21</t>
        </is>
      </c>
    </row>
    <row r="53090">
      <c r="A53090" s="1" t="n">
        <v>53089</v>
      </c>
      <c r="B53090">
        <f>TEXT(53089, "[$-0E0000]yyyy-mm-dd")</f>
        <v/>
      </c>
      <c r="C53090" t="inlineStr">
        <is>
          <t>2045-03-22</t>
        </is>
      </c>
    </row>
    <row r="53091">
      <c r="A53091" s="1" t="n">
        <v>53090</v>
      </c>
      <c r="B53091">
        <f>TEXT(53090, "[$-0E0000]yyyy-mm-dd")</f>
        <v/>
      </c>
      <c r="C53091" t="inlineStr">
        <is>
          <t>2045-03-23</t>
        </is>
      </c>
    </row>
    <row r="53092">
      <c r="A53092" s="1" t="n">
        <v>53091</v>
      </c>
      <c r="B53092">
        <f>TEXT(53091, "[$-0E0000]yyyy-mm-dd")</f>
        <v/>
      </c>
      <c r="C53092" t="inlineStr">
        <is>
          <t>2045-03-24</t>
        </is>
      </c>
    </row>
    <row r="53093">
      <c r="A53093" s="1" t="n">
        <v>53092</v>
      </c>
      <c r="B53093">
        <f>TEXT(53092, "[$-0E0000]yyyy-mm-dd")</f>
        <v/>
      </c>
      <c r="C53093" t="inlineStr">
        <is>
          <t>2045-03-25</t>
        </is>
      </c>
    </row>
    <row r="53094">
      <c r="A53094" s="1" t="n">
        <v>53093</v>
      </c>
      <c r="B53094">
        <f>TEXT(53093, "[$-0E0000]yyyy-mm-dd")</f>
        <v/>
      </c>
      <c r="C53094" t="inlineStr">
        <is>
          <t>2045-03-26</t>
        </is>
      </c>
    </row>
    <row r="53095">
      <c r="A53095" s="1" t="n">
        <v>53094</v>
      </c>
      <c r="B53095">
        <f>TEXT(53094, "[$-0E0000]yyyy-mm-dd")</f>
        <v/>
      </c>
      <c r="C53095" t="inlineStr">
        <is>
          <t>2045-03-27</t>
        </is>
      </c>
    </row>
    <row r="53096">
      <c r="A53096" s="1" t="n">
        <v>53095</v>
      </c>
      <c r="B53096">
        <f>TEXT(53095, "[$-0E0000]yyyy-mm-dd")</f>
        <v/>
      </c>
      <c r="C53096" t="inlineStr">
        <is>
          <t>2045-03-28</t>
        </is>
      </c>
    </row>
    <row r="53097">
      <c r="A53097" s="1" t="n">
        <v>53096</v>
      </c>
      <c r="B53097">
        <f>TEXT(53096, "[$-0E0000]yyyy-mm-dd")</f>
        <v/>
      </c>
      <c r="C53097" t="inlineStr">
        <is>
          <t>2045-03-29</t>
        </is>
      </c>
    </row>
    <row r="53098">
      <c r="A53098" s="1" t="n">
        <v>53097</v>
      </c>
      <c r="B53098">
        <f>TEXT(53097, "[$-0E0000]yyyy-mm-dd")</f>
        <v/>
      </c>
      <c r="C53098" t="inlineStr">
        <is>
          <t>2045-03-30</t>
        </is>
      </c>
    </row>
    <row r="53099">
      <c r="A53099" s="1" t="n">
        <v>53098</v>
      </c>
      <c r="B53099">
        <f>TEXT(53098, "[$-0E0000]yyyy-mm-dd")</f>
        <v/>
      </c>
      <c r="C53099" t="inlineStr">
        <is>
          <t>2045-04-01</t>
        </is>
      </c>
    </row>
    <row r="53100">
      <c r="A53100" s="1" t="n">
        <v>53099</v>
      </c>
      <c r="B53100">
        <f>TEXT(53099, "[$-0E0000]yyyy-mm-dd")</f>
        <v/>
      </c>
      <c r="C53100" t="inlineStr">
        <is>
          <t>2045-04-02</t>
        </is>
      </c>
    </row>
    <row r="53101">
      <c r="A53101" s="1" t="n">
        <v>53100</v>
      </c>
      <c r="B53101">
        <f>TEXT(53100, "[$-0E0000]yyyy-mm-dd")</f>
        <v/>
      </c>
      <c r="C53101" t="inlineStr">
        <is>
          <t>2045-04-03</t>
        </is>
      </c>
    </row>
    <row r="53102">
      <c r="A53102" s="1" t="n">
        <v>53101</v>
      </c>
      <c r="B53102">
        <f>TEXT(53101, "[$-0E0000]yyyy-mm-dd")</f>
        <v/>
      </c>
      <c r="C53102" t="inlineStr">
        <is>
          <t>2045-04-04</t>
        </is>
      </c>
    </row>
    <row r="53103">
      <c r="A53103" s="1" t="n">
        <v>53102</v>
      </c>
      <c r="B53103">
        <f>TEXT(53102, "[$-0E0000]yyyy-mm-dd")</f>
        <v/>
      </c>
      <c r="C53103" t="inlineStr">
        <is>
          <t>2045-04-05</t>
        </is>
      </c>
    </row>
    <row r="53104">
      <c r="A53104" s="1" t="n">
        <v>53103</v>
      </c>
      <c r="B53104">
        <f>TEXT(53103, "[$-0E0000]yyyy-mm-dd")</f>
        <v/>
      </c>
      <c r="C53104" t="inlineStr">
        <is>
          <t>2045-04-06</t>
        </is>
      </c>
    </row>
    <row r="53105">
      <c r="A53105" s="1" t="n">
        <v>53104</v>
      </c>
      <c r="B53105">
        <f>TEXT(53104, "[$-0E0000]yyyy-mm-dd")</f>
        <v/>
      </c>
      <c r="C53105" t="inlineStr">
        <is>
          <t>2045-04-07</t>
        </is>
      </c>
    </row>
    <row r="53106">
      <c r="A53106" s="1" t="n">
        <v>53105</v>
      </c>
      <c r="B53106">
        <f>TEXT(53105, "[$-0E0000]yyyy-mm-dd")</f>
        <v/>
      </c>
      <c r="C53106" t="inlineStr">
        <is>
          <t>2045-04-08</t>
        </is>
      </c>
    </row>
    <row r="53107">
      <c r="A53107" s="1" t="n">
        <v>53106</v>
      </c>
      <c r="B53107">
        <f>TEXT(53106, "[$-0E0000]yyyy-mm-dd")</f>
        <v/>
      </c>
      <c r="C53107" t="inlineStr">
        <is>
          <t>2045-04-09</t>
        </is>
      </c>
    </row>
    <row r="53108">
      <c r="A53108" s="1" t="n">
        <v>53107</v>
      </c>
      <c r="B53108">
        <f>TEXT(53107, "[$-0E0000]yyyy-mm-dd")</f>
        <v/>
      </c>
      <c r="C53108" t="inlineStr">
        <is>
          <t>2045-04-10</t>
        </is>
      </c>
    </row>
    <row r="53109">
      <c r="A53109" s="1" t="n">
        <v>53108</v>
      </c>
      <c r="B53109">
        <f>TEXT(53108, "[$-0E0000]yyyy-mm-dd")</f>
        <v/>
      </c>
      <c r="C53109" t="inlineStr">
        <is>
          <t>2045-04-11</t>
        </is>
      </c>
    </row>
    <row r="53110">
      <c r="A53110" s="1" t="n">
        <v>53109</v>
      </c>
      <c r="B53110">
        <f>TEXT(53109, "[$-0E0000]yyyy-mm-dd")</f>
        <v/>
      </c>
      <c r="C53110" t="inlineStr">
        <is>
          <t>2045-04-12</t>
        </is>
      </c>
    </row>
    <row r="53111">
      <c r="A53111" s="1" t="n">
        <v>53110</v>
      </c>
      <c r="B53111">
        <f>TEXT(53110, "[$-0E0000]yyyy-mm-dd")</f>
        <v/>
      </c>
      <c r="C53111" t="inlineStr">
        <is>
          <t>2045-04-13</t>
        </is>
      </c>
    </row>
    <row r="53112">
      <c r="A53112" s="1" t="n">
        <v>53111</v>
      </c>
      <c r="B53112">
        <f>TEXT(53111, "[$-0E0000]yyyy-mm-dd")</f>
        <v/>
      </c>
      <c r="C53112" t="inlineStr">
        <is>
          <t>2045-04-14</t>
        </is>
      </c>
    </row>
    <row r="53113">
      <c r="A53113" s="1" t="n">
        <v>53112</v>
      </c>
      <c r="B53113">
        <f>TEXT(53112, "[$-0E0000]yyyy-mm-dd")</f>
        <v/>
      </c>
      <c r="C53113" t="inlineStr">
        <is>
          <t>2045-04-15</t>
        </is>
      </c>
    </row>
    <row r="53114">
      <c r="A53114" s="1" t="n">
        <v>53113</v>
      </c>
      <c r="B53114">
        <f>TEXT(53113, "[$-0E0000]yyyy-mm-dd")</f>
        <v/>
      </c>
      <c r="C53114" t="inlineStr">
        <is>
          <t>2045-04-16</t>
        </is>
      </c>
    </row>
    <row r="53115">
      <c r="A53115" s="1" t="n">
        <v>53114</v>
      </c>
      <c r="B53115">
        <f>TEXT(53114, "[$-0E0000]yyyy-mm-dd")</f>
        <v/>
      </c>
      <c r="C53115" t="inlineStr">
        <is>
          <t>2045-04-17</t>
        </is>
      </c>
    </row>
    <row r="53116">
      <c r="A53116" s="1" t="n">
        <v>53115</v>
      </c>
      <c r="B53116">
        <f>TEXT(53115, "[$-0E0000]yyyy-mm-dd")</f>
        <v/>
      </c>
      <c r="C53116" t="inlineStr">
        <is>
          <t>2045-04-18</t>
        </is>
      </c>
    </row>
    <row r="53117">
      <c r="A53117" s="1" t="n">
        <v>53116</v>
      </c>
      <c r="B53117">
        <f>TEXT(53116, "[$-0E0000]yyyy-mm-dd")</f>
        <v/>
      </c>
      <c r="C53117" t="inlineStr">
        <is>
          <t>2045-04-19</t>
        </is>
      </c>
    </row>
    <row r="53118">
      <c r="A53118" s="1" t="n">
        <v>53117</v>
      </c>
      <c r="B53118">
        <f>TEXT(53117, "[$-0E0000]yyyy-mm-dd")</f>
        <v/>
      </c>
      <c r="C53118" t="inlineStr">
        <is>
          <t>2045-04-20</t>
        </is>
      </c>
    </row>
    <row r="53119">
      <c r="A53119" s="1" t="n">
        <v>53118</v>
      </c>
      <c r="B53119">
        <f>TEXT(53118, "[$-0E0000]yyyy-mm-dd")</f>
        <v/>
      </c>
      <c r="C53119" t="inlineStr">
        <is>
          <t>2045-04-21</t>
        </is>
      </c>
    </row>
    <row r="53120">
      <c r="A53120" s="1" t="n">
        <v>53119</v>
      </c>
      <c r="B53120">
        <f>TEXT(53119, "[$-0E0000]yyyy-mm-dd")</f>
        <v/>
      </c>
      <c r="C53120" t="inlineStr">
        <is>
          <t>2045-04-22</t>
        </is>
      </c>
    </row>
    <row r="53121">
      <c r="A53121" s="1" t="n">
        <v>53120</v>
      </c>
      <c r="B53121">
        <f>TEXT(53120, "[$-0E0000]yyyy-mm-dd")</f>
        <v/>
      </c>
      <c r="C53121" t="inlineStr">
        <is>
          <t>2045-04-23</t>
        </is>
      </c>
    </row>
    <row r="53122">
      <c r="A53122" s="1" t="n">
        <v>53121</v>
      </c>
      <c r="B53122">
        <f>TEXT(53121, "[$-0E0000]yyyy-mm-dd")</f>
        <v/>
      </c>
      <c r="C53122" t="inlineStr">
        <is>
          <t>2045-04-24</t>
        </is>
      </c>
    </row>
    <row r="53123">
      <c r="A53123" s="1" t="n">
        <v>53122</v>
      </c>
      <c r="B53123">
        <f>TEXT(53122, "[$-0E0000]yyyy-mm-dd")</f>
        <v/>
      </c>
      <c r="C53123" t="inlineStr">
        <is>
          <t>2045-04-25</t>
        </is>
      </c>
    </row>
    <row r="53124">
      <c r="A53124" s="1" t="n">
        <v>53123</v>
      </c>
      <c r="B53124">
        <f>TEXT(53123, "[$-0E0000]yyyy-mm-dd")</f>
        <v/>
      </c>
      <c r="C53124" t="inlineStr">
        <is>
          <t>2045-04-26</t>
        </is>
      </c>
    </row>
    <row r="53125">
      <c r="A53125" s="1" t="n">
        <v>53124</v>
      </c>
      <c r="B53125">
        <f>TEXT(53124, "[$-0E0000]yyyy-mm-dd")</f>
        <v/>
      </c>
      <c r="C53125" t="inlineStr">
        <is>
          <t>2045-04-27</t>
        </is>
      </c>
    </row>
    <row r="53126">
      <c r="A53126" s="1" t="n">
        <v>53125</v>
      </c>
      <c r="B53126">
        <f>TEXT(53125, "[$-0E0000]yyyy-mm-dd")</f>
        <v/>
      </c>
      <c r="C53126" t="inlineStr">
        <is>
          <t>2045-04-28</t>
        </is>
      </c>
    </row>
    <row r="53127">
      <c r="A53127" s="1" t="n">
        <v>53126</v>
      </c>
      <c r="B53127">
        <f>TEXT(53126, "[$-0E0000]yyyy-mm-dd")</f>
        <v/>
      </c>
      <c r="C53127" t="inlineStr">
        <is>
          <t>2045-04-29</t>
        </is>
      </c>
    </row>
    <row r="53128">
      <c r="A53128" s="1" t="n">
        <v>53127</v>
      </c>
      <c r="B53128">
        <f>TEXT(53127, "[$-0E0000]yyyy-mm-dd")</f>
        <v/>
      </c>
      <c r="C53128" t="inlineStr">
        <is>
          <t>2045-05-01</t>
        </is>
      </c>
    </row>
    <row r="53129">
      <c r="A53129" s="1" t="n">
        <v>53128</v>
      </c>
      <c r="B53129">
        <f>TEXT(53128, "[$-0E0000]yyyy-mm-dd")</f>
        <v/>
      </c>
      <c r="C53129" t="inlineStr">
        <is>
          <t>2045-05-02</t>
        </is>
      </c>
    </row>
    <row r="53130">
      <c r="A53130" s="1" t="n">
        <v>53129</v>
      </c>
      <c r="B53130">
        <f>TEXT(53129, "[$-0E0000]yyyy-mm-dd")</f>
        <v/>
      </c>
      <c r="C53130" t="inlineStr">
        <is>
          <t>2045-05-03</t>
        </is>
      </c>
    </row>
    <row r="53131">
      <c r="A53131" s="1" t="n">
        <v>53130</v>
      </c>
      <c r="B53131">
        <f>TEXT(53130, "[$-0E0000]yyyy-mm-dd")</f>
        <v/>
      </c>
      <c r="C53131" t="inlineStr">
        <is>
          <t>2045-05-04</t>
        </is>
      </c>
    </row>
    <row r="53132">
      <c r="A53132" s="1" t="n">
        <v>53131</v>
      </c>
      <c r="B53132">
        <f>TEXT(53131, "[$-0E0000]yyyy-mm-dd")</f>
        <v/>
      </c>
      <c r="C53132" t="inlineStr">
        <is>
          <t>2045-05-05</t>
        </is>
      </c>
    </row>
    <row r="53133">
      <c r="A53133" s="1" t="n">
        <v>53132</v>
      </c>
      <c r="B53133">
        <f>TEXT(53132, "[$-0E0000]yyyy-mm-dd")</f>
        <v/>
      </c>
      <c r="C53133" t="inlineStr">
        <is>
          <t>2045-05-06</t>
        </is>
      </c>
    </row>
    <row r="53134">
      <c r="A53134" s="1" t="n">
        <v>53133</v>
      </c>
      <c r="B53134">
        <f>TEXT(53133, "[$-0E0000]yyyy-mm-dd")</f>
        <v/>
      </c>
      <c r="C53134" t="inlineStr">
        <is>
          <t>2045-05-07</t>
        </is>
      </c>
    </row>
    <row r="53135">
      <c r="A53135" s="1" t="n">
        <v>53134</v>
      </c>
      <c r="B53135">
        <f>TEXT(53134, "[$-0E0000]yyyy-mm-dd")</f>
        <v/>
      </c>
      <c r="C53135" t="inlineStr">
        <is>
          <t>2045-05-08</t>
        </is>
      </c>
    </row>
    <row r="53136">
      <c r="A53136" s="1" t="n">
        <v>53135</v>
      </c>
      <c r="B53136">
        <f>TEXT(53135, "[$-0E0000]yyyy-mm-dd")</f>
        <v/>
      </c>
      <c r="C53136" t="inlineStr">
        <is>
          <t>2045-05-09</t>
        </is>
      </c>
    </row>
    <row r="53137">
      <c r="A53137" s="1" t="n">
        <v>53136</v>
      </c>
      <c r="B53137">
        <f>TEXT(53136, "[$-0E0000]yyyy-mm-dd")</f>
        <v/>
      </c>
      <c r="C53137" t="inlineStr">
        <is>
          <t>2045-05-10</t>
        </is>
      </c>
    </row>
    <row r="53138">
      <c r="A53138" s="1" t="n">
        <v>53137</v>
      </c>
      <c r="B53138">
        <f>TEXT(53137, "[$-0E0000]yyyy-mm-dd")</f>
        <v/>
      </c>
      <c r="C53138" t="inlineStr">
        <is>
          <t>2045-05-11</t>
        </is>
      </c>
    </row>
    <row r="53139">
      <c r="A53139" s="1" t="n">
        <v>53138</v>
      </c>
      <c r="B53139">
        <f>TEXT(53138, "[$-0E0000]yyyy-mm-dd")</f>
        <v/>
      </c>
      <c r="C53139" t="inlineStr">
        <is>
          <t>2045-05-12</t>
        </is>
      </c>
    </row>
    <row r="53140">
      <c r="A53140" s="1" t="n">
        <v>53139</v>
      </c>
      <c r="B53140">
        <f>TEXT(53139, "[$-0E0000]yyyy-mm-dd")</f>
        <v/>
      </c>
      <c r="C53140" t="inlineStr">
        <is>
          <t>2045-05-13</t>
        </is>
      </c>
    </row>
    <row r="53141">
      <c r="A53141" s="1" t="n">
        <v>53140</v>
      </c>
      <c r="B53141">
        <f>TEXT(53140, "[$-0E0000]yyyy-mm-dd")</f>
        <v/>
      </c>
      <c r="C53141" t="inlineStr">
        <is>
          <t>2045-05-14</t>
        </is>
      </c>
    </row>
    <row r="53142">
      <c r="A53142" s="1" t="n">
        <v>53141</v>
      </c>
      <c r="B53142">
        <f>TEXT(53141, "[$-0E0000]yyyy-mm-dd")</f>
        <v/>
      </c>
      <c r="C53142" t="inlineStr">
        <is>
          <t>2045-05-15</t>
        </is>
      </c>
    </row>
    <row r="53143">
      <c r="A53143" s="1" t="n">
        <v>53142</v>
      </c>
      <c r="B53143">
        <f>TEXT(53142, "[$-0E0000]yyyy-mm-dd")</f>
        <v/>
      </c>
      <c r="C53143" t="inlineStr">
        <is>
          <t>2045-05-16</t>
        </is>
      </c>
    </row>
    <row r="53144">
      <c r="A53144" s="1" t="n">
        <v>53143</v>
      </c>
      <c r="B53144">
        <f>TEXT(53143, "[$-0E0000]yyyy-mm-dd")</f>
        <v/>
      </c>
      <c r="C53144" t="inlineStr">
        <is>
          <t>2045-05-17</t>
        </is>
      </c>
    </row>
    <row r="53145">
      <c r="A53145" s="1" t="n">
        <v>53144</v>
      </c>
      <c r="B53145">
        <f>TEXT(53144, "[$-0E0000]yyyy-mm-dd")</f>
        <v/>
      </c>
      <c r="C53145" t="inlineStr">
        <is>
          <t>2045-05-18</t>
        </is>
      </c>
    </row>
    <row r="53146">
      <c r="A53146" s="1" t="n">
        <v>53145</v>
      </c>
      <c r="B53146">
        <f>TEXT(53145, "[$-0E0000]yyyy-mm-dd")</f>
        <v/>
      </c>
      <c r="C53146" t="inlineStr">
        <is>
          <t>2045-05-19</t>
        </is>
      </c>
    </row>
    <row r="53147">
      <c r="A53147" s="1" t="n">
        <v>53146</v>
      </c>
      <c r="B53147">
        <f>TEXT(53146, "[$-0E0000]yyyy-mm-dd")</f>
        <v/>
      </c>
      <c r="C53147" t="inlineStr">
        <is>
          <t>2045-05-20</t>
        </is>
      </c>
    </row>
    <row r="53148">
      <c r="A53148" s="1" t="n">
        <v>53147</v>
      </c>
      <c r="B53148">
        <f>TEXT(53147, "[$-0E0000]yyyy-mm-dd")</f>
        <v/>
      </c>
      <c r="C53148" t="inlineStr">
        <is>
          <t>2045-05-21</t>
        </is>
      </c>
    </row>
    <row r="53149">
      <c r="A53149" s="1" t="n">
        <v>53148</v>
      </c>
      <c r="B53149">
        <f>TEXT(53148, "[$-0E0000]yyyy-mm-dd")</f>
        <v/>
      </c>
      <c r="C53149" t="inlineStr">
        <is>
          <t>2045-05-22</t>
        </is>
      </c>
    </row>
    <row r="53150">
      <c r="A53150" s="1" t="n">
        <v>53149</v>
      </c>
      <c r="B53150">
        <f>TEXT(53149, "[$-0E0000]yyyy-mm-dd")</f>
        <v/>
      </c>
      <c r="C53150" t="inlineStr">
        <is>
          <t>2045-05-23</t>
        </is>
      </c>
    </row>
    <row r="53151">
      <c r="A53151" s="1" t="n">
        <v>53150</v>
      </c>
      <c r="B53151">
        <f>TEXT(53150, "[$-0E0000]yyyy-mm-dd")</f>
        <v/>
      </c>
      <c r="C53151" t="inlineStr">
        <is>
          <t>2045-05-24</t>
        </is>
      </c>
    </row>
    <row r="53152">
      <c r="A53152" s="1" t="n">
        <v>53151</v>
      </c>
      <c r="B53152">
        <f>TEXT(53151, "[$-0E0000]yyyy-mm-dd")</f>
        <v/>
      </c>
      <c r="C53152" t="inlineStr">
        <is>
          <t>2045-05-25</t>
        </is>
      </c>
    </row>
    <row r="53153">
      <c r="A53153" s="1" t="n">
        <v>53152</v>
      </c>
      <c r="B53153">
        <f>TEXT(53152, "[$-0E0000]yyyy-mm-dd")</f>
        <v/>
      </c>
      <c r="C53153" t="inlineStr">
        <is>
          <t>2045-05-26</t>
        </is>
      </c>
    </row>
    <row r="53154">
      <c r="A53154" s="1" t="n">
        <v>53153</v>
      </c>
      <c r="B53154">
        <f>TEXT(53153, "[$-0E0000]yyyy-mm-dd")</f>
        <v/>
      </c>
      <c r="C53154" t="inlineStr">
        <is>
          <t>2045-05-27</t>
        </is>
      </c>
    </row>
    <row r="53155">
      <c r="A53155" s="1" t="n">
        <v>53154</v>
      </c>
      <c r="B53155">
        <f>TEXT(53154, "[$-0E0000]yyyy-mm-dd")</f>
        <v/>
      </c>
      <c r="C53155" t="inlineStr">
        <is>
          <t>2045-05-28</t>
        </is>
      </c>
    </row>
    <row r="53156">
      <c r="A53156" s="1" t="n">
        <v>53155</v>
      </c>
      <c r="B53156">
        <f>TEXT(53155, "[$-0E0000]yyyy-mm-dd")</f>
        <v/>
      </c>
      <c r="C53156" t="inlineStr">
        <is>
          <t>2045-05-29</t>
        </is>
      </c>
    </row>
    <row r="53157">
      <c r="A53157" s="1" t="n">
        <v>53156</v>
      </c>
      <c r="B53157">
        <f>TEXT(53156, "[$-0E0000]yyyy-mm-dd")</f>
        <v/>
      </c>
      <c r="C53157" t="inlineStr">
        <is>
          <t>2045-06-01</t>
        </is>
      </c>
    </row>
    <row r="53158">
      <c r="A53158" s="1" t="n">
        <v>53157</v>
      </c>
      <c r="B53158">
        <f>TEXT(53157, "[$-0E0000]yyyy-mm-dd")</f>
        <v/>
      </c>
      <c r="C53158" t="inlineStr">
        <is>
          <t>2045-06-02</t>
        </is>
      </c>
    </row>
    <row r="53159">
      <c r="A53159" s="1" t="n">
        <v>53158</v>
      </c>
      <c r="B53159">
        <f>TEXT(53158, "[$-0E0000]yyyy-mm-dd")</f>
        <v/>
      </c>
      <c r="C53159" t="inlineStr">
        <is>
          <t>2045-06-03</t>
        </is>
      </c>
    </row>
    <row r="53160">
      <c r="A53160" s="1" t="n">
        <v>53159</v>
      </c>
      <c r="B53160">
        <f>TEXT(53159, "[$-0E0000]yyyy-mm-dd")</f>
        <v/>
      </c>
      <c r="C53160" t="inlineStr">
        <is>
          <t>2045-06-04</t>
        </is>
      </c>
    </row>
    <row r="53161">
      <c r="A53161" s="1" t="n">
        <v>53160</v>
      </c>
      <c r="B53161">
        <f>TEXT(53160, "[$-0E0000]yyyy-mm-dd")</f>
        <v/>
      </c>
      <c r="C53161" t="inlineStr">
        <is>
          <t>2045-06-05</t>
        </is>
      </c>
    </row>
    <row r="53162">
      <c r="A53162" s="1" t="n">
        <v>53161</v>
      </c>
      <c r="B53162">
        <f>TEXT(53161, "[$-0E0000]yyyy-mm-dd")</f>
        <v/>
      </c>
      <c r="C53162" t="inlineStr">
        <is>
          <t>2045-06-06</t>
        </is>
      </c>
    </row>
    <row r="53163">
      <c r="A53163" s="1" t="n">
        <v>53162</v>
      </c>
      <c r="B53163">
        <f>TEXT(53162, "[$-0E0000]yyyy-mm-dd")</f>
        <v/>
      </c>
      <c r="C53163" t="inlineStr">
        <is>
          <t>2045-06-07</t>
        </is>
      </c>
    </row>
    <row r="53164">
      <c r="A53164" s="1" t="n">
        <v>53163</v>
      </c>
      <c r="B53164">
        <f>TEXT(53163, "[$-0E0000]yyyy-mm-dd")</f>
        <v/>
      </c>
      <c r="C53164" t="inlineStr">
        <is>
          <t>2045-06-08</t>
        </is>
      </c>
    </row>
    <row r="53165">
      <c r="A53165" s="1" t="n">
        <v>53164</v>
      </c>
      <c r="B53165">
        <f>TEXT(53164, "[$-0E0000]yyyy-mm-dd")</f>
        <v/>
      </c>
      <c r="C53165" t="inlineStr">
        <is>
          <t>2045-06-09</t>
        </is>
      </c>
    </row>
    <row r="53166">
      <c r="A53166" s="1" t="n">
        <v>53165</v>
      </c>
      <c r="B53166">
        <f>TEXT(53165, "[$-0E0000]yyyy-mm-dd")</f>
        <v/>
      </c>
      <c r="C53166" t="inlineStr">
        <is>
          <t>2045-06-10</t>
        </is>
      </c>
    </row>
    <row r="53167">
      <c r="A53167" s="1" t="n">
        <v>53166</v>
      </c>
      <c r="B53167">
        <f>TEXT(53166, "[$-0E0000]yyyy-mm-dd")</f>
        <v/>
      </c>
      <c r="C53167" t="inlineStr">
        <is>
          <t>2045-06-11</t>
        </is>
      </c>
    </row>
    <row r="53168">
      <c r="A53168" s="1" t="n">
        <v>53167</v>
      </c>
      <c r="B53168">
        <f>TEXT(53167, "[$-0E0000]yyyy-mm-dd")</f>
        <v/>
      </c>
      <c r="C53168" t="inlineStr">
        <is>
          <t>2045-06-12</t>
        </is>
      </c>
    </row>
    <row r="53169">
      <c r="A53169" s="1" t="n">
        <v>53168</v>
      </c>
      <c r="B53169">
        <f>TEXT(53168, "[$-0E0000]yyyy-mm-dd")</f>
        <v/>
      </c>
      <c r="C53169" t="inlineStr">
        <is>
          <t>2045-06-13</t>
        </is>
      </c>
    </row>
    <row r="53170">
      <c r="A53170" s="1" t="n">
        <v>53169</v>
      </c>
      <c r="B53170">
        <f>TEXT(53169, "[$-0E0000]yyyy-mm-dd")</f>
        <v/>
      </c>
      <c r="C53170" t="inlineStr">
        <is>
          <t>2045-06-14</t>
        </is>
      </c>
    </row>
    <row r="53171">
      <c r="A53171" s="1" t="n">
        <v>53170</v>
      </c>
      <c r="B53171">
        <f>TEXT(53170, "[$-0E0000]yyyy-mm-dd")</f>
        <v/>
      </c>
      <c r="C53171" t="inlineStr">
        <is>
          <t>2045-06-15</t>
        </is>
      </c>
    </row>
    <row r="53172">
      <c r="A53172" s="1" t="n">
        <v>53171</v>
      </c>
      <c r="B53172">
        <f>TEXT(53171, "[$-0E0000]yyyy-mm-dd")</f>
        <v/>
      </c>
      <c r="C53172" t="inlineStr">
        <is>
          <t>2045-06-16</t>
        </is>
      </c>
    </row>
    <row r="53173">
      <c r="A53173" s="1" t="n">
        <v>53172</v>
      </c>
      <c r="B53173">
        <f>TEXT(53172, "[$-0E0000]yyyy-mm-dd")</f>
        <v/>
      </c>
      <c r="C53173" t="inlineStr">
        <is>
          <t>2045-06-17</t>
        </is>
      </c>
    </row>
    <row r="53174">
      <c r="A53174" s="1" t="n">
        <v>53173</v>
      </c>
      <c r="B53174">
        <f>TEXT(53173, "[$-0E0000]yyyy-mm-dd")</f>
        <v/>
      </c>
      <c r="C53174" t="inlineStr">
        <is>
          <t>2045-06-18</t>
        </is>
      </c>
    </row>
    <row r="53175">
      <c r="A53175" s="1" t="n">
        <v>53174</v>
      </c>
      <c r="B53175">
        <f>TEXT(53174, "[$-0E0000]yyyy-mm-dd")</f>
        <v/>
      </c>
      <c r="C53175" t="inlineStr">
        <is>
          <t>2045-06-19</t>
        </is>
      </c>
    </row>
    <row r="53176">
      <c r="A53176" s="1" t="n">
        <v>53175</v>
      </c>
      <c r="B53176">
        <f>TEXT(53175, "[$-0E0000]yyyy-mm-dd")</f>
        <v/>
      </c>
      <c r="C53176" t="inlineStr">
        <is>
          <t>2045-06-20</t>
        </is>
      </c>
    </row>
    <row r="53177">
      <c r="A53177" s="1" t="n">
        <v>53176</v>
      </c>
      <c r="B53177">
        <f>TEXT(53176, "[$-0E0000]yyyy-mm-dd")</f>
        <v/>
      </c>
      <c r="C53177" t="inlineStr">
        <is>
          <t>2045-06-21</t>
        </is>
      </c>
    </row>
    <row r="53178">
      <c r="A53178" s="1" t="n">
        <v>53177</v>
      </c>
      <c r="B53178">
        <f>TEXT(53177, "[$-0E0000]yyyy-mm-dd")</f>
        <v/>
      </c>
      <c r="C53178" t="inlineStr">
        <is>
          <t>2045-06-22</t>
        </is>
      </c>
    </row>
    <row r="53179">
      <c r="A53179" s="1" t="n">
        <v>53178</v>
      </c>
      <c r="B53179">
        <f>TEXT(53178, "[$-0E0000]yyyy-mm-dd")</f>
        <v/>
      </c>
      <c r="C53179" t="inlineStr">
        <is>
          <t>2045-06-23</t>
        </is>
      </c>
    </row>
    <row r="53180">
      <c r="A53180" s="1" t="n">
        <v>53179</v>
      </c>
      <c r="B53180">
        <f>TEXT(53179, "[$-0E0000]yyyy-mm-dd")</f>
        <v/>
      </c>
      <c r="C53180" t="inlineStr">
        <is>
          <t>2045-06-24</t>
        </is>
      </c>
    </row>
    <row r="53181">
      <c r="A53181" s="1" t="n">
        <v>53180</v>
      </c>
      <c r="B53181">
        <f>TEXT(53180, "[$-0E0000]yyyy-mm-dd")</f>
        <v/>
      </c>
      <c r="C53181" t="inlineStr">
        <is>
          <t>2045-06-25</t>
        </is>
      </c>
    </row>
    <row r="53182">
      <c r="A53182" s="1" t="n">
        <v>53181</v>
      </c>
      <c r="B53182">
        <f>TEXT(53181, "[$-0E0000]yyyy-mm-dd")</f>
        <v/>
      </c>
      <c r="C53182" t="inlineStr">
        <is>
          <t>2045-06-26</t>
        </is>
      </c>
    </row>
    <row r="53183">
      <c r="A53183" s="1" t="n">
        <v>53182</v>
      </c>
      <c r="B53183">
        <f>TEXT(53182, "[$-0E0000]yyyy-mm-dd")</f>
        <v/>
      </c>
      <c r="C53183" t="inlineStr">
        <is>
          <t>2045-06-27</t>
        </is>
      </c>
    </row>
    <row r="53184">
      <c r="A53184" s="1" t="n">
        <v>53183</v>
      </c>
      <c r="B53184">
        <f>TEXT(53183, "[$-0E0000]yyyy-mm-dd")</f>
        <v/>
      </c>
      <c r="C53184" t="inlineStr">
        <is>
          <t>2045-06-28</t>
        </is>
      </c>
    </row>
    <row r="53185">
      <c r="A53185" s="1" t="n">
        <v>53184</v>
      </c>
      <c r="B53185">
        <f>TEXT(53184, "[$-0E0000]yyyy-mm-dd")</f>
        <v/>
      </c>
      <c r="C53185" t="inlineStr">
        <is>
          <t>2045-06-29</t>
        </is>
      </c>
    </row>
    <row r="53186">
      <c r="A53186" s="1" t="n">
        <v>53185</v>
      </c>
      <c r="B53186">
        <f>TEXT(53185, "[$-0E0000]yyyy-mm-dd")</f>
        <v/>
      </c>
      <c r="C53186" t="inlineStr">
        <is>
          <t>2045-06-30</t>
        </is>
      </c>
    </row>
    <row r="53187">
      <c r="A53187" s="1" t="n">
        <v>53186</v>
      </c>
      <c r="B53187">
        <f>TEXT(53186, "[$-0E0000]yyyy-mm-dd")</f>
        <v/>
      </c>
      <c r="C53187" t="inlineStr">
        <is>
          <t>2045-07-01</t>
        </is>
      </c>
    </row>
    <row r="53188">
      <c r="A53188" s="1" t="n">
        <v>53187</v>
      </c>
      <c r="B53188">
        <f>TEXT(53187, "[$-0E0000]yyyy-mm-dd")</f>
        <v/>
      </c>
      <c r="C53188" t="inlineStr">
        <is>
          <t>2045-07-02</t>
        </is>
      </c>
    </row>
    <row r="53189">
      <c r="A53189" s="1" t="n">
        <v>53188</v>
      </c>
      <c r="B53189">
        <f>TEXT(53188, "[$-0E0000]yyyy-mm-dd")</f>
        <v/>
      </c>
      <c r="C53189" t="inlineStr">
        <is>
          <t>2045-07-03</t>
        </is>
      </c>
    </row>
    <row r="53190">
      <c r="A53190" s="1" t="n">
        <v>53189</v>
      </c>
      <c r="B53190">
        <f>TEXT(53189, "[$-0E0000]yyyy-mm-dd")</f>
        <v/>
      </c>
      <c r="C53190" t="inlineStr">
        <is>
          <t>2045-07-04</t>
        </is>
      </c>
    </row>
    <row r="53191">
      <c r="A53191" s="1" t="n">
        <v>53190</v>
      </c>
      <c r="B53191">
        <f>TEXT(53190, "[$-0E0000]yyyy-mm-dd")</f>
        <v/>
      </c>
      <c r="C53191" t="inlineStr">
        <is>
          <t>2045-07-05</t>
        </is>
      </c>
    </row>
    <row r="53192">
      <c r="A53192" s="1" t="n">
        <v>53191</v>
      </c>
      <c r="B53192">
        <f>TEXT(53191, "[$-0E0000]yyyy-mm-dd")</f>
        <v/>
      </c>
      <c r="C53192" t="inlineStr">
        <is>
          <t>2045-07-06</t>
        </is>
      </c>
    </row>
    <row r="53193">
      <c r="A53193" s="1" t="n">
        <v>53192</v>
      </c>
      <c r="B53193">
        <f>TEXT(53192, "[$-0E0000]yyyy-mm-dd")</f>
        <v/>
      </c>
      <c r="C53193" t="inlineStr">
        <is>
          <t>2045-07-07</t>
        </is>
      </c>
    </row>
    <row r="53194">
      <c r="A53194" s="1" t="n">
        <v>53193</v>
      </c>
      <c r="B53194">
        <f>TEXT(53193, "[$-0E0000]yyyy-mm-dd")</f>
        <v/>
      </c>
      <c r="C53194" t="inlineStr">
        <is>
          <t>2045-07-08</t>
        </is>
      </c>
    </row>
    <row r="53195">
      <c r="A53195" s="1" t="n">
        <v>53194</v>
      </c>
      <c r="B53195">
        <f>TEXT(53194, "[$-0E0000]yyyy-mm-dd")</f>
        <v/>
      </c>
      <c r="C53195" t="inlineStr">
        <is>
          <t>2045-07-09</t>
        </is>
      </c>
    </row>
    <row r="53196">
      <c r="A53196" s="1" t="n">
        <v>53195</v>
      </c>
      <c r="B53196">
        <f>TEXT(53195, "[$-0E0000]yyyy-mm-dd")</f>
        <v/>
      </c>
      <c r="C53196" t="inlineStr">
        <is>
          <t>2045-07-10</t>
        </is>
      </c>
    </row>
    <row r="53197">
      <c r="A53197" s="1" t="n">
        <v>53196</v>
      </c>
      <c r="B53197">
        <f>TEXT(53196, "[$-0E0000]yyyy-mm-dd")</f>
        <v/>
      </c>
      <c r="C53197" t="inlineStr">
        <is>
          <t>2045-07-11</t>
        </is>
      </c>
    </row>
    <row r="53198">
      <c r="A53198" s="1" t="n">
        <v>53197</v>
      </c>
      <c r="B53198">
        <f>TEXT(53197, "[$-0E0000]yyyy-mm-dd")</f>
        <v/>
      </c>
      <c r="C53198" t="inlineStr">
        <is>
          <t>2045-07-12</t>
        </is>
      </c>
    </row>
    <row r="53199">
      <c r="A53199" s="1" t="n">
        <v>53198</v>
      </c>
      <c r="B53199">
        <f>TEXT(53198, "[$-0E0000]yyyy-mm-dd")</f>
        <v/>
      </c>
      <c r="C53199" t="inlineStr">
        <is>
          <t>2045-07-13</t>
        </is>
      </c>
    </row>
    <row r="53200">
      <c r="A53200" s="1" t="n">
        <v>53199</v>
      </c>
      <c r="B53200">
        <f>TEXT(53199, "[$-0E0000]yyyy-mm-dd")</f>
        <v/>
      </c>
      <c r="C53200" t="inlineStr">
        <is>
          <t>2045-07-14</t>
        </is>
      </c>
    </row>
    <row r="53201">
      <c r="A53201" s="1" t="n">
        <v>53200</v>
      </c>
      <c r="B53201">
        <f>TEXT(53200, "[$-0E0000]yyyy-mm-dd")</f>
        <v/>
      </c>
      <c r="C53201" t="inlineStr">
        <is>
          <t>2045-07-15</t>
        </is>
      </c>
    </row>
    <row r="53202">
      <c r="A53202" s="1" t="n">
        <v>53201</v>
      </c>
      <c r="B53202">
        <f>TEXT(53201, "[$-0E0000]yyyy-mm-dd")</f>
        <v/>
      </c>
      <c r="C53202" t="inlineStr">
        <is>
          <t>2045-07-16</t>
        </is>
      </c>
    </row>
    <row r="53203">
      <c r="A53203" s="1" t="n">
        <v>53202</v>
      </c>
      <c r="B53203">
        <f>TEXT(53202, "[$-0E0000]yyyy-mm-dd")</f>
        <v/>
      </c>
      <c r="C53203" t="inlineStr">
        <is>
          <t>2045-07-17</t>
        </is>
      </c>
    </row>
    <row r="53204">
      <c r="A53204" s="1" t="n">
        <v>53203</v>
      </c>
      <c r="B53204">
        <f>TEXT(53203, "[$-0E0000]yyyy-mm-dd")</f>
        <v/>
      </c>
      <c r="C53204" t="inlineStr">
        <is>
          <t>2045-07-18</t>
        </is>
      </c>
    </row>
    <row r="53205">
      <c r="A53205" s="1" t="n">
        <v>53204</v>
      </c>
      <c r="B53205">
        <f>TEXT(53204, "[$-0E0000]yyyy-mm-dd")</f>
        <v/>
      </c>
      <c r="C53205" t="inlineStr">
        <is>
          <t>2045-07-19</t>
        </is>
      </c>
    </row>
    <row r="53206">
      <c r="A53206" s="1" t="n">
        <v>53205</v>
      </c>
      <c r="B53206">
        <f>TEXT(53205, "[$-0E0000]yyyy-mm-dd")</f>
        <v/>
      </c>
      <c r="C53206" t="inlineStr">
        <is>
          <t>2045-07-20</t>
        </is>
      </c>
    </row>
    <row r="53207">
      <c r="A53207" s="1" t="n">
        <v>53206</v>
      </c>
      <c r="B53207">
        <f>TEXT(53206, "[$-0E0000]yyyy-mm-dd")</f>
        <v/>
      </c>
      <c r="C53207" t="inlineStr">
        <is>
          <t>2045-07-21</t>
        </is>
      </c>
    </row>
    <row r="53208">
      <c r="A53208" s="1" t="n">
        <v>53207</v>
      </c>
      <c r="B53208">
        <f>TEXT(53207, "[$-0E0000]yyyy-mm-dd")</f>
        <v/>
      </c>
      <c r="C53208" t="inlineStr">
        <is>
          <t>2045-07-22</t>
        </is>
      </c>
    </row>
    <row r="53209">
      <c r="A53209" s="1" t="n">
        <v>53208</v>
      </c>
      <c r="B53209">
        <f>TEXT(53208, "[$-0E0000]yyyy-mm-dd")</f>
        <v/>
      </c>
      <c r="C53209" t="inlineStr">
        <is>
          <t>2045-07-23</t>
        </is>
      </c>
    </row>
    <row r="53210">
      <c r="A53210" s="1" t="n">
        <v>53209</v>
      </c>
      <c r="B53210">
        <f>TEXT(53209, "[$-0E0000]yyyy-mm-dd")</f>
        <v/>
      </c>
      <c r="C53210" t="inlineStr">
        <is>
          <t>2045-07-24</t>
        </is>
      </c>
    </row>
    <row r="53211">
      <c r="A53211" s="1" t="n">
        <v>53210</v>
      </c>
      <c r="B53211">
        <f>TEXT(53210, "[$-0E0000]yyyy-mm-dd")</f>
        <v/>
      </c>
      <c r="C53211" t="inlineStr">
        <is>
          <t>2045-07-25</t>
        </is>
      </c>
    </row>
    <row r="53212">
      <c r="A53212" s="1" t="n">
        <v>53211</v>
      </c>
      <c r="B53212">
        <f>TEXT(53211, "[$-0E0000]yyyy-mm-dd")</f>
        <v/>
      </c>
      <c r="C53212" t="inlineStr">
        <is>
          <t>2045-07-26</t>
        </is>
      </c>
    </row>
    <row r="53213">
      <c r="A53213" s="1" t="n">
        <v>53212</v>
      </c>
      <c r="B53213">
        <f>TEXT(53212, "[$-0E0000]yyyy-mm-dd")</f>
        <v/>
      </c>
      <c r="C53213" t="inlineStr">
        <is>
          <t>2045-07-27</t>
        </is>
      </c>
    </row>
    <row r="53214">
      <c r="A53214" s="1" t="n">
        <v>53213</v>
      </c>
      <c r="B53214">
        <f>TEXT(53213, "[$-0E0000]yyyy-mm-dd")</f>
        <v/>
      </c>
      <c r="C53214" t="inlineStr">
        <is>
          <t>2045-07-28</t>
        </is>
      </c>
    </row>
    <row r="53215">
      <c r="A53215" s="1" t="n">
        <v>53214</v>
      </c>
      <c r="B53215">
        <f>TEXT(53214, "[$-0E0000]yyyy-mm-dd")</f>
        <v/>
      </c>
      <c r="C53215" t="inlineStr">
        <is>
          <t>2045-07-29</t>
        </is>
      </c>
    </row>
    <row r="53216">
      <c r="A53216" s="1" t="n">
        <v>53215</v>
      </c>
      <c r="B53216">
        <f>TEXT(53215, "[$-0E0000]yyyy-mm-dd")</f>
        <v/>
      </c>
      <c r="C53216" t="inlineStr">
        <is>
          <t>2045-08-01</t>
        </is>
      </c>
    </row>
    <row r="53217">
      <c r="A53217" s="1" t="n">
        <v>53216</v>
      </c>
      <c r="B53217">
        <f>TEXT(53216, "[$-0E0000]yyyy-mm-dd")</f>
        <v/>
      </c>
      <c r="C53217" t="inlineStr">
        <is>
          <t>2045-08-02</t>
        </is>
      </c>
    </row>
    <row r="53218">
      <c r="A53218" s="1" t="n">
        <v>53217</v>
      </c>
      <c r="B53218">
        <f>TEXT(53217, "[$-0E0000]yyyy-mm-dd")</f>
        <v/>
      </c>
      <c r="C53218" t="inlineStr">
        <is>
          <t>2045-08-03</t>
        </is>
      </c>
    </row>
    <row r="53219">
      <c r="A53219" s="1" t="n">
        <v>53218</v>
      </c>
      <c r="B53219">
        <f>TEXT(53218, "[$-0E0000]yyyy-mm-dd")</f>
        <v/>
      </c>
      <c r="C53219" t="inlineStr">
        <is>
          <t>2045-08-04</t>
        </is>
      </c>
    </row>
    <row r="53220">
      <c r="A53220" s="1" t="n">
        <v>53219</v>
      </c>
      <c r="B53220">
        <f>TEXT(53219, "[$-0E0000]yyyy-mm-dd")</f>
        <v/>
      </c>
      <c r="C53220" t="inlineStr">
        <is>
          <t>2045-08-05</t>
        </is>
      </c>
    </row>
    <row r="53221">
      <c r="A53221" s="1" t="n">
        <v>53220</v>
      </c>
      <c r="B53221">
        <f>TEXT(53220, "[$-0E0000]yyyy-mm-dd")</f>
        <v/>
      </c>
      <c r="C53221" t="inlineStr">
        <is>
          <t>2045-08-06</t>
        </is>
      </c>
    </row>
    <row r="53222">
      <c r="A53222" s="1" t="n">
        <v>53221</v>
      </c>
      <c r="B53222">
        <f>TEXT(53221, "[$-0E0000]yyyy-mm-dd")</f>
        <v/>
      </c>
      <c r="C53222" t="inlineStr">
        <is>
          <t>2045-08-07</t>
        </is>
      </c>
    </row>
    <row r="53223">
      <c r="A53223" s="1" t="n">
        <v>53222</v>
      </c>
      <c r="B53223">
        <f>TEXT(53222, "[$-0E0000]yyyy-mm-dd")</f>
        <v/>
      </c>
      <c r="C53223" t="inlineStr">
        <is>
          <t>2045-08-08</t>
        </is>
      </c>
    </row>
    <row r="53224">
      <c r="A53224" s="1" t="n">
        <v>53223</v>
      </c>
      <c r="B53224">
        <f>TEXT(53223, "[$-0E0000]yyyy-mm-dd")</f>
        <v/>
      </c>
      <c r="C53224" t="inlineStr">
        <is>
          <t>2045-08-09</t>
        </is>
      </c>
    </row>
    <row r="53225">
      <c r="A53225" s="1" t="n">
        <v>53224</v>
      </c>
      <c r="B53225">
        <f>TEXT(53224, "[$-0E0000]yyyy-mm-dd")</f>
        <v/>
      </c>
      <c r="C53225" t="inlineStr">
        <is>
          <t>2045-08-10</t>
        </is>
      </c>
    </row>
    <row r="53226">
      <c r="A53226" s="1" t="n">
        <v>53225</v>
      </c>
      <c r="B53226">
        <f>TEXT(53225, "[$-0E0000]yyyy-mm-dd")</f>
        <v/>
      </c>
      <c r="C53226" t="inlineStr">
        <is>
          <t>2045-08-11</t>
        </is>
      </c>
    </row>
    <row r="53227">
      <c r="A53227" s="1" t="n">
        <v>53226</v>
      </c>
      <c r="B53227">
        <f>TEXT(53226, "[$-0E0000]yyyy-mm-dd")</f>
        <v/>
      </c>
      <c r="C53227" t="inlineStr">
        <is>
          <t>2045-08-12</t>
        </is>
      </c>
    </row>
    <row r="53228">
      <c r="A53228" s="1" t="n">
        <v>53227</v>
      </c>
      <c r="B53228">
        <f>TEXT(53227, "[$-0E0000]yyyy-mm-dd")</f>
        <v/>
      </c>
      <c r="C53228" t="inlineStr">
        <is>
          <t>2045-08-13</t>
        </is>
      </c>
    </row>
    <row r="53229">
      <c r="A53229" s="1" t="n">
        <v>53228</v>
      </c>
      <c r="B53229">
        <f>TEXT(53228, "[$-0E0000]yyyy-mm-dd")</f>
        <v/>
      </c>
      <c r="C53229" t="inlineStr">
        <is>
          <t>2045-08-14</t>
        </is>
      </c>
    </row>
    <row r="53230">
      <c r="A53230" s="1" t="n">
        <v>53229</v>
      </c>
      <c r="B53230">
        <f>TEXT(53229, "[$-0E0000]yyyy-mm-dd")</f>
        <v/>
      </c>
      <c r="C53230" t="inlineStr">
        <is>
          <t>2045-08-15</t>
        </is>
      </c>
    </row>
    <row r="53231">
      <c r="A53231" s="1" t="n">
        <v>53230</v>
      </c>
      <c r="B53231">
        <f>TEXT(53230, "[$-0E0000]yyyy-mm-dd")</f>
        <v/>
      </c>
      <c r="C53231" t="inlineStr">
        <is>
          <t>2045-08-16</t>
        </is>
      </c>
    </row>
    <row r="53232">
      <c r="A53232" s="1" t="n">
        <v>53231</v>
      </c>
      <c r="B53232">
        <f>TEXT(53231, "[$-0E0000]yyyy-mm-dd")</f>
        <v/>
      </c>
      <c r="C53232" t="inlineStr">
        <is>
          <t>2045-08-17</t>
        </is>
      </c>
    </row>
    <row r="53233">
      <c r="A53233" s="1" t="n">
        <v>53232</v>
      </c>
      <c r="B53233">
        <f>TEXT(53232, "[$-0E0000]yyyy-mm-dd")</f>
        <v/>
      </c>
      <c r="C53233" t="inlineStr">
        <is>
          <t>2045-08-18</t>
        </is>
      </c>
    </row>
    <row r="53234">
      <c r="A53234" s="1" t="n">
        <v>53233</v>
      </c>
      <c r="B53234">
        <f>TEXT(53233, "[$-0E0000]yyyy-mm-dd")</f>
        <v/>
      </c>
      <c r="C53234" t="inlineStr">
        <is>
          <t>2045-08-19</t>
        </is>
      </c>
    </row>
    <row r="53235">
      <c r="A53235" s="1" t="n">
        <v>53234</v>
      </c>
      <c r="B53235">
        <f>TEXT(53234, "[$-0E0000]yyyy-mm-dd")</f>
        <v/>
      </c>
      <c r="C53235" t="inlineStr">
        <is>
          <t>2045-08-20</t>
        </is>
      </c>
    </row>
    <row r="53236">
      <c r="A53236" s="1" t="n">
        <v>53235</v>
      </c>
      <c r="B53236">
        <f>TEXT(53235, "[$-0E0000]yyyy-mm-dd")</f>
        <v/>
      </c>
      <c r="C53236" t="inlineStr">
        <is>
          <t>2045-08-21</t>
        </is>
      </c>
    </row>
    <row r="53237">
      <c r="A53237" s="1" t="n">
        <v>53236</v>
      </c>
      <c r="B53237">
        <f>TEXT(53236, "[$-0E0000]yyyy-mm-dd")</f>
        <v/>
      </c>
      <c r="C53237" t="inlineStr">
        <is>
          <t>2045-08-22</t>
        </is>
      </c>
    </row>
    <row r="53238">
      <c r="A53238" s="1" t="n">
        <v>53237</v>
      </c>
      <c r="B53238">
        <f>TEXT(53237, "[$-0E0000]yyyy-mm-dd")</f>
        <v/>
      </c>
      <c r="C53238" t="inlineStr">
        <is>
          <t>2045-08-23</t>
        </is>
      </c>
    </row>
    <row r="53239">
      <c r="A53239" s="1" t="n">
        <v>53238</v>
      </c>
      <c r="B53239">
        <f>TEXT(53238, "[$-0E0000]yyyy-mm-dd")</f>
        <v/>
      </c>
      <c r="C53239" t="inlineStr">
        <is>
          <t>2045-08-24</t>
        </is>
      </c>
    </row>
    <row r="53240">
      <c r="A53240" s="1" t="n">
        <v>53239</v>
      </c>
      <c r="B53240">
        <f>TEXT(53239, "[$-0E0000]yyyy-mm-dd")</f>
        <v/>
      </c>
      <c r="C53240" t="inlineStr">
        <is>
          <t>2045-08-25</t>
        </is>
      </c>
    </row>
    <row r="53241">
      <c r="A53241" s="1" t="n">
        <v>53240</v>
      </c>
      <c r="B53241">
        <f>TEXT(53240, "[$-0E0000]yyyy-mm-dd")</f>
        <v/>
      </c>
      <c r="C53241" t="inlineStr">
        <is>
          <t>2045-08-26</t>
        </is>
      </c>
    </row>
    <row r="53242">
      <c r="A53242" s="1" t="n">
        <v>53241</v>
      </c>
      <c r="B53242">
        <f>TEXT(53241, "[$-0E0000]yyyy-mm-dd")</f>
        <v/>
      </c>
      <c r="C53242" t="inlineStr">
        <is>
          <t>2045-08-27</t>
        </is>
      </c>
    </row>
    <row r="53243">
      <c r="A53243" s="1" t="n">
        <v>53242</v>
      </c>
      <c r="B53243">
        <f>TEXT(53242, "[$-0E0000]yyyy-mm-dd")</f>
        <v/>
      </c>
      <c r="C53243" t="inlineStr">
        <is>
          <t>2045-08-28</t>
        </is>
      </c>
    </row>
    <row r="53244">
      <c r="A53244" s="1" t="n">
        <v>53243</v>
      </c>
      <c r="B53244">
        <f>TEXT(53243, "[$-0E0000]yyyy-mm-dd")</f>
        <v/>
      </c>
      <c r="C53244" t="inlineStr">
        <is>
          <t>2045-08-29</t>
        </is>
      </c>
    </row>
    <row r="53245">
      <c r="A53245" s="1" t="n">
        <v>53244</v>
      </c>
      <c r="B53245">
        <f>TEXT(53244, "[$-0E0000]yyyy-mm-dd")</f>
        <v/>
      </c>
      <c r="C53245" t="inlineStr">
        <is>
          <t>2045-09-01</t>
        </is>
      </c>
    </row>
    <row r="53246">
      <c r="A53246" s="1" t="n">
        <v>53245</v>
      </c>
      <c r="B53246">
        <f>TEXT(53245, "[$-0E0000]yyyy-mm-dd")</f>
        <v/>
      </c>
      <c r="C53246" t="inlineStr">
        <is>
          <t>2045-09-02</t>
        </is>
      </c>
    </row>
    <row r="53247">
      <c r="A53247" s="1" t="n">
        <v>53246</v>
      </c>
      <c r="B53247">
        <f>TEXT(53246, "[$-0E0000]yyyy-mm-dd")</f>
        <v/>
      </c>
      <c r="C53247" t="inlineStr">
        <is>
          <t>2045-09-03</t>
        </is>
      </c>
    </row>
    <row r="53248">
      <c r="A53248" s="1" t="n">
        <v>53247</v>
      </c>
      <c r="B53248">
        <f>TEXT(53247, "[$-0E0000]yyyy-mm-dd")</f>
        <v/>
      </c>
      <c r="C53248" t="inlineStr">
        <is>
          <t>2045-09-04</t>
        </is>
      </c>
    </row>
    <row r="53249">
      <c r="A53249" s="1" t="n">
        <v>53248</v>
      </c>
      <c r="B53249">
        <f>TEXT(53248, "[$-0E0000]yyyy-mm-dd")</f>
        <v/>
      </c>
      <c r="C53249" t="inlineStr">
        <is>
          <t>2045-09-05</t>
        </is>
      </c>
    </row>
    <row r="53250">
      <c r="A53250" s="1" t="n">
        <v>53249</v>
      </c>
      <c r="B53250">
        <f>TEXT(53249, "[$-0E0000]yyyy-mm-dd")</f>
        <v/>
      </c>
      <c r="C53250" t="inlineStr">
        <is>
          <t>2045-09-06</t>
        </is>
      </c>
    </row>
    <row r="53251">
      <c r="A53251" s="1" t="n">
        <v>53250</v>
      </c>
      <c r="B53251">
        <f>TEXT(53250, "[$-0E0000]yyyy-mm-dd")</f>
        <v/>
      </c>
      <c r="C53251" t="inlineStr">
        <is>
          <t>2045-09-07</t>
        </is>
      </c>
    </row>
    <row r="53252">
      <c r="A53252" s="1" t="n">
        <v>53251</v>
      </c>
      <c r="B53252">
        <f>TEXT(53251, "[$-0E0000]yyyy-mm-dd")</f>
        <v/>
      </c>
      <c r="C53252" t="inlineStr">
        <is>
          <t>2045-09-08</t>
        </is>
      </c>
    </row>
    <row r="53253">
      <c r="A53253" s="1" t="n">
        <v>53252</v>
      </c>
      <c r="B53253">
        <f>TEXT(53252, "[$-0E0000]yyyy-mm-dd")</f>
        <v/>
      </c>
      <c r="C53253" t="inlineStr">
        <is>
          <t>2045-09-09</t>
        </is>
      </c>
    </row>
    <row r="53254">
      <c r="A53254" s="1" t="n">
        <v>53253</v>
      </c>
      <c r="B53254">
        <f>TEXT(53253, "[$-0E0000]yyyy-mm-dd")</f>
        <v/>
      </c>
      <c r="C53254" t="inlineStr">
        <is>
          <t>2045-09-10</t>
        </is>
      </c>
    </row>
    <row r="53255">
      <c r="A53255" s="1" t="n">
        <v>53254</v>
      </c>
      <c r="B53255">
        <f>TEXT(53254, "[$-0E0000]yyyy-mm-dd")</f>
        <v/>
      </c>
      <c r="C53255" t="inlineStr">
        <is>
          <t>2045-09-11</t>
        </is>
      </c>
    </row>
    <row r="53256">
      <c r="A53256" s="1" t="n">
        <v>53255</v>
      </c>
      <c r="B53256">
        <f>TEXT(53255, "[$-0E0000]yyyy-mm-dd")</f>
        <v/>
      </c>
      <c r="C53256" t="inlineStr">
        <is>
          <t>2045-09-12</t>
        </is>
      </c>
    </row>
    <row r="53257">
      <c r="A53257" s="1" t="n">
        <v>53256</v>
      </c>
      <c r="B53257">
        <f>TEXT(53256, "[$-0E0000]yyyy-mm-dd")</f>
        <v/>
      </c>
      <c r="C53257" t="inlineStr">
        <is>
          <t>2045-09-13</t>
        </is>
      </c>
    </row>
    <row r="53258">
      <c r="A53258" s="1" t="n">
        <v>53257</v>
      </c>
      <c r="B53258">
        <f>TEXT(53257, "[$-0E0000]yyyy-mm-dd")</f>
        <v/>
      </c>
      <c r="C53258" t="inlineStr">
        <is>
          <t>2045-09-14</t>
        </is>
      </c>
    </row>
    <row r="53259">
      <c r="A53259" s="1" t="n">
        <v>53258</v>
      </c>
      <c r="B53259">
        <f>TEXT(53258, "[$-0E0000]yyyy-mm-dd")</f>
        <v/>
      </c>
      <c r="C53259" t="inlineStr">
        <is>
          <t>2045-09-15</t>
        </is>
      </c>
    </row>
    <row r="53260">
      <c r="A53260" s="1" t="n">
        <v>53259</v>
      </c>
      <c r="B53260">
        <f>TEXT(53259, "[$-0E0000]yyyy-mm-dd")</f>
        <v/>
      </c>
      <c r="C53260" t="inlineStr">
        <is>
          <t>2045-09-16</t>
        </is>
      </c>
    </row>
    <row r="53261">
      <c r="A53261" s="1" t="n">
        <v>53260</v>
      </c>
      <c r="B53261">
        <f>TEXT(53260, "[$-0E0000]yyyy-mm-dd")</f>
        <v/>
      </c>
      <c r="C53261" t="inlineStr">
        <is>
          <t>2045-09-17</t>
        </is>
      </c>
    </row>
    <row r="53262">
      <c r="A53262" s="1" t="n">
        <v>53261</v>
      </c>
      <c r="B53262">
        <f>TEXT(53261, "[$-0E0000]yyyy-mm-dd")</f>
        <v/>
      </c>
      <c r="C53262" t="inlineStr">
        <is>
          <t>2045-09-18</t>
        </is>
      </c>
    </row>
    <row r="53263">
      <c r="A53263" s="1" t="n">
        <v>53262</v>
      </c>
      <c r="B53263">
        <f>TEXT(53262, "[$-0E0000]yyyy-mm-dd")</f>
        <v/>
      </c>
      <c r="C53263" t="inlineStr">
        <is>
          <t>2045-09-19</t>
        </is>
      </c>
    </row>
    <row r="53264">
      <c r="A53264" s="1" t="n">
        <v>53263</v>
      </c>
      <c r="B53264">
        <f>TEXT(53263, "[$-0E0000]yyyy-mm-dd")</f>
        <v/>
      </c>
      <c r="C53264" t="inlineStr">
        <is>
          <t>2045-09-20</t>
        </is>
      </c>
    </row>
    <row r="53265">
      <c r="A53265" s="1" t="n">
        <v>53264</v>
      </c>
      <c r="B53265">
        <f>TEXT(53264, "[$-0E0000]yyyy-mm-dd")</f>
        <v/>
      </c>
      <c r="C53265" t="inlineStr">
        <is>
          <t>2045-09-21</t>
        </is>
      </c>
    </row>
    <row r="53266">
      <c r="A53266" s="1" t="n">
        <v>53265</v>
      </c>
      <c r="B53266">
        <f>TEXT(53265, "[$-0E0000]yyyy-mm-dd")</f>
        <v/>
      </c>
      <c r="C53266" t="inlineStr">
        <is>
          <t>2045-09-22</t>
        </is>
      </c>
    </row>
    <row r="53267">
      <c r="A53267" s="1" t="n">
        <v>53266</v>
      </c>
      <c r="B53267">
        <f>TEXT(53266, "[$-0E0000]yyyy-mm-dd")</f>
        <v/>
      </c>
      <c r="C53267" t="inlineStr">
        <is>
          <t>2045-09-23</t>
        </is>
      </c>
    </row>
    <row r="53268">
      <c r="A53268" s="1" t="n">
        <v>53267</v>
      </c>
      <c r="B53268">
        <f>TEXT(53267, "[$-0E0000]yyyy-mm-dd")</f>
        <v/>
      </c>
      <c r="C53268" t="inlineStr">
        <is>
          <t>2045-09-24</t>
        </is>
      </c>
    </row>
    <row r="53269">
      <c r="A53269" s="1" t="n">
        <v>53268</v>
      </c>
      <c r="B53269">
        <f>TEXT(53268, "[$-0E0000]yyyy-mm-dd")</f>
        <v/>
      </c>
      <c r="C53269" t="inlineStr">
        <is>
          <t>2045-09-25</t>
        </is>
      </c>
    </row>
    <row r="53270">
      <c r="A53270" s="1" t="n">
        <v>53269</v>
      </c>
      <c r="B53270">
        <f>TEXT(53269, "[$-0E0000]yyyy-mm-dd")</f>
        <v/>
      </c>
      <c r="C53270" t="inlineStr">
        <is>
          <t>2045-09-26</t>
        </is>
      </c>
    </row>
    <row r="53271">
      <c r="A53271" s="1" t="n">
        <v>53270</v>
      </c>
      <c r="B53271">
        <f>TEXT(53270, "[$-0E0000]yyyy-mm-dd")</f>
        <v/>
      </c>
      <c r="C53271" t="inlineStr">
        <is>
          <t>2045-09-27</t>
        </is>
      </c>
    </row>
    <row r="53272">
      <c r="A53272" s="1" t="n">
        <v>53271</v>
      </c>
      <c r="B53272">
        <f>TEXT(53271, "[$-0E0000]yyyy-mm-dd")</f>
        <v/>
      </c>
      <c r="C53272" t="inlineStr">
        <is>
          <t>2045-09-28</t>
        </is>
      </c>
    </row>
    <row r="53273">
      <c r="A53273" s="1" t="n">
        <v>53272</v>
      </c>
      <c r="B53273">
        <f>TEXT(53272, "[$-0E0000]yyyy-mm-dd")</f>
        <v/>
      </c>
      <c r="C53273" t="inlineStr">
        <is>
          <t>2045-09-29</t>
        </is>
      </c>
    </row>
    <row r="53274">
      <c r="A53274" s="1" t="n">
        <v>53273</v>
      </c>
      <c r="B53274">
        <f>TEXT(53273, "[$-0E0000]yyyy-mm-dd")</f>
        <v/>
      </c>
      <c r="C53274" t="inlineStr">
        <is>
          <t>2045-09-30</t>
        </is>
      </c>
    </row>
    <row r="53275">
      <c r="A53275" s="1" t="n">
        <v>53274</v>
      </c>
      <c r="B53275">
        <f>TEXT(53274, "[$-0E0000]yyyy-mm-dd")</f>
        <v/>
      </c>
      <c r="C53275" t="inlineStr">
        <is>
          <t>2045-10-01</t>
        </is>
      </c>
    </row>
    <row r="53276">
      <c r="A53276" s="1" t="n">
        <v>53275</v>
      </c>
      <c r="B53276">
        <f>TEXT(53275, "[$-0E0000]yyyy-mm-dd")</f>
        <v/>
      </c>
      <c r="C53276" t="inlineStr">
        <is>
          <t>2045-10-02</t>
        </is>
      </c>
    </row>
    <row r="53277">
      <c r="A53277" s="1" t="n">
        <v>53276</v>
      </c>
      <c r="B53277">
        <f>TEXT(53276, "[$-0E0000]yyyy-mm-dd")</f>
        <v/>
      </c>
      <c r="C53277" t="inlineStr">
        <is>
          <t>2045-10-03</t>
        </is>
      </c>
    </row>
    <row r="53278">
      <c r="A53278" s="1" t="n">
        <v>53277</v>
      </c>
      <c r="B53278">
        <f>TEXT(53277, "[$-0E0000]yyyy-mm-dd")</f>
        <v/>
      </c>
      <c r="C53278" t="inlineStr">
        <is>
          <t>2045-10-04</t>
        </is>
      </c>
    </row>
    <row r="53279">
      <c r="A53279" s="1" t="n">
        <v>53278</v>
      </c>
      <c r="B53279">
        <f>TEXT(53278, "[$-0E0000]yyyy-mm-dd")</f>
        <v/>
      </c>
      <c r="C53279" t="inlineStr">
        <is>
          <t>2045-10-05</t>
        </is>
      </c>
    </row>
    <row r="53280">
      <c r="A53280" s="1" t="n">
        <v>53279</v>
      </c>
      <c r="B53280">
        <f>TEXT(53279, "[$-0E0000]yyyy-mm-dd")</f>
        <v/>
      </c>
      <c r="C53280" t="inlineStr">
        <is>
          <t>2045-10-06</t>
        </is>
      </c>
    </row>
    <row r="53281">
      <c r="A53281" s="1" t="n">
        <v>53280</v>
      </c>
      <c r="B53281">
        <f>TEXT(53280, "[$-0E0000]yyyy-mm-dd")</f>
        <v/>
      </c>
      <c r="C53281" t="inlineStr">
        <is>
          <t>2045-10-07</t>
        </is>
      </c>
    </row>
    <row r="53282">
      <c r="A53282" s="1" t="n">
        <v>53281</v>
      </c>
      <c r="B53282">
        <f>TEXT(53281, "[$-0E0000]yyyy-mm-dd")</f>
        <v/>
      </c>
      <c r="C53282" t="inlineStr">
        <is>
          <t>2045-10-08</t>
        </is>
      </c>
    </row>
    <row r="53283">
      <c r="A53283" s="1" t="n">
        <v>53282</v>
      </c>
      <c r="B53283">
        <f>TEXT(53282, "[$-0E0000]yyyy-mm-dd")</f>
        <v/>
      </c>
      <c r="C53283" t="inlineStr">
        <is>
          <t>2045-10-09</t>
        </is>
      </c>
    </row>
    <row r="53284">
      <c r="A53284" s="1" t="n">
        <v>53283</v>
      </c>
      <c r="B53284">
        <f>TEXT(53283, "[$-0E0000]yyyy-mm-dd")</f>
        <v/>
      </c>
      <c r="C53284" t="inlineStr">
        <is>
          <t>2045-10-10</t>
        </is>
      </c>
    </row>
    <row r="53285">
      <c r="A53285" s="1" t="n">
        <v>53284</v>
      </c>
      <c r="B53285">
        <f>TEXT(53284, "[$-0E0000]yyyy-mm-dd")</f>
        <v/>
      </c>
      <c r="C53285" t="inlineStr">
        <is>
          <t>2045-10-11</t>
        </is>
      </c>
    </row>
    <row r="53286">
      <c r="A53286" s="1" t="n">
        <v>53285</v>
      </c>
      <c r="B53286">
        <f>TEXT(53285, "[$-0E0000]yyyy-mm-dd")</f>
        <v/>
      </c>
      <c r="C53286" t="inlineStr">
        <is>
          <t>2045-10-12</t>
        </is>
      </c>
    </row>
    <row r="53287">
      <c r="A53287" s="1" t="n">
        <v>53286</v>
      </c>
      <c r="B53287">
        <f>TEXT(53286, "[$-0E0000]yyyy-mm-dd")</f>
        <v/>
      </c>
      <c r="C53287" t="inlineStr">
        <is>
          <t>2045-10-13</t>
        </is>
      </c>
    </row>
    <row r="53288">
      <c r="A53288" s="1" t="n">
        <v>53287</v>
      </c>
      <c r="B53288">
        <f>TEXT(53287, "[$-0E0000]yyyy-mm-dd")</f>
        <v/>
      </c>
      <c r="C53288" t="inlineStr">
        <is>
          <t>2045-10-14</t>
        </is>
      </c>
    </row>
    <row r="53289">
      <c r="A53289" s="1" t="n">
        <v>53288</v>
      </c>
      <c r="B53289">
        <f>TEXT(53288, "[$-0E0000]yyyy-mm-dd")</f>
        <v/>
      </c>
      <c r="C53289" t="inlineStr">
        <is>
          <t>2045-10-15</t>
        </is>
      </c>
    </row>
    <row r="53290">
      <c r="A53290" s="1" t="n">
        <v>53289</v>
      </c>
      <c r="B53290">
        <f>TEXT(53289, "[$-0E0000]yyyy-mm-dd")</f>
        <v/>
      </c>
      <c r="C53290" t="inlineStr">
        <is>
          <t>2045-10-16</t>
        </is>
      </c>
    </row>
    <row r="53291">
      <c r="A53291" s="1" t="n">
        <v>53290</v>
      </c>
      <c r="B53291">
        <f>TEXT(53290, "[$-0E0000]yyyy-mm-dd")</f>
        <v/>
      </c>
      <c r="C53291" t="inlineStr">
        <is>
          <t>2045-10-17</t>
        </is>
      </c>
    </row>
    <row r="53292">
      <c r="A53292" s="1" t="n">
        <v>53291</v>
      </c>
      <c r="B53292">
        <f>TEXT(53291, "[$-0E0000]yyyy-mm-dd")</f>
        <v/>
      </c>
      <c r="C53292" t="inlineStr">
        <is>
          <t>2045-10-18</t>
        </is>
      </c>
    </row>
    <row r="53293">
      <c r="A53293" s="1" t="n">
        <v>53292</v>
      </c>
      <c r="B53293">
        <f>TEXT(53292, "[$-0E0000]yyyy-mm-dd")</f>
        <v/>
      </c>
      <c r="C53293" t="inlineStr">
        <is>
          <t>2045-10-19</t>
        </is>
      </c>
    </row>
    <row r="53294">
      <c r="A53294" s="1" t="n">
        <v>53293</v>
      </c>
      <c r="B53294">
        <f>TEXT(53293, "[$-0E0000]yyyy-mm-dd")</f>
        <v/>
      </c>
      <c r="C53294" t="inlineStr">
        <is>
          <t>2045-10-20</t>
        </is>
      </c>
    </row>
    <row r="53295">
      <c r="A53295" s="1" t="n">
        <v>53294</v>
      </c>
      <c r="B53295">
        <f>TEXT(53294, "[$-0E0000]yyyy-mm-dd")</f>
        <v/>
      </c>
      <c r="C53295" t="inlineStr">
        <is>
          <t>2045-10-21</t>
        </is>
      </c>
    </row>
    <row r="53296">
      <c r="A53296" s="1" t="n">
        <v>53295</v>
      </c>
      <c r="B53296">
        <f>TEXT(53295, "[$-0E0000]yyyy-mm-dd")</f>
        <v/>
      </c>
      <c r="C53296" t="inlineStr">
        <is>
          <t>2045-10-22</t>
        </is>
      </c>
    </row>
    <row r="53297">
      <c r="A53297" s="1" t="n">
        <v>53296</v>
      </c>
      <c r="B53297">
        <f>TEXT(53296, "[$-0E0000]yyyy-mm-dd")</f>
        <v/>
      </c>
      <c r="C53297" t="inlineStr">
        <is>
          <t>2045-10-23</t>
        </is>
      </c>
    </row>
    <row r="53298">
      <c r="A53298" s="1" t="n">
        <v>53297</v>
      </c>
      <c r="B53298">
        <f>TEXT(53297, "[$-0E0000]yyyy-mm-dd")</f>
        <v/>
      </c>
      <c r="C53298" t="inlineStr">
        <is>
          <t>2045-10-24</t>
        </is>
      </c>
    </row>
    <row r="53299">
      <c r="A53299" s="1" t="n">
        <v>53298</v>
      </c>
      <c r="B53299">
        <f>TEXT(53298, "[$-0E0000]yyyy-mm-dd")</f>
        <v/>
      </c>
      <c r="C53299" t="inlineStr">
        <is>
          <t>2045-10-25</t>
        </is>
      </c>
    </row>
    <row r="53300">
      <c r="A53300" s="1" t="n">
        <v>53299</v>
      </c>
      <c r="B53300">
        <f>TEXT(53299, "[$-0E0000]yyyy-mm-dd")</f>
        <v/>
      </c>
      <c r="C53300" t="inlineStr">
        <is>
          <t>2045-10-26</t>
        </is>
      </c>
    </row>
    <row r="53301">
      <c r="A53301" s="1" t="n">
        <v>53300</v>
      </c>
      <c r="B53301">
        <f>TEXT(53300, "[$-0E0000]yyyy-mm-dd")</f>
        <v/>
      </c>
      <c r="C53301" t="inlineStr">
        <is>
          <t>2045-10-27</t>
        </is>
      </c>
    </row>
    <row r="53302">
      <c r="A53302" s="1" t="n">
        <v>53301</v>
      </c>
      <c r="B53302">
        <f>TEXT(53301, "[$-0E0000]yyyy-mm-dd")</f>
        <v/>
      </c>
      <c r="C53302" t="inlineStr">
        <is>
          <t>2045-10-28</t>
        </is>
      </c>
    </row>
    <row r="53303">
      <c r="A53303" s="1" t="n">
        <v>53302</v>
      </c>
      <c r="B53303">
        <f>TEXT(53302, "[$-0E0000]yyyy-mm-dd")</f>
        <v/>
      </c>
      <c r="C53303" t="inlineStr">
        <is>
          <t>2045-10-29</t>
        </is>
      </c>
    </row>
    <row r="53304">
      <c r="A53304" s="1" t="n">
        <v>53303</v>
      </c>
      <c r="B53304">
        <f>TEXT(53303, "[$-0E0000]yyyy-mm-dd")</f>
        <v/>
      </c>
      <c r="C53304" t="inlineStr">
        <is>
          <t>2045-11-01</t>
        </is>
      </c>
    </row>
    <row r="53305">
      <c r="A53305" s="1" t="n">
        <v>53304</v>
      </c>
      <c r="B53305">
        <f>TEXT(53304, "[$-0E0000]yyyy-mm-dd")</f>
        <v/>
      </c>
      <c r="C53305" t="inlineStr">
        <is>
          <t>2045-11-02</t>
        </is>
      </c>
    </row>
    <row r="53306">
      <c r="A53306" s="1" t="n">
        <v>53305</v>
      </c>
      <c r="B53306">
        <f>TEXT(53305, "[$-0E0000]yyyy-mm-dd")</f>
        <v/>
      </c>
      <c r="C53306" t="inlineStr">
        <is>
          <t>2045-11-03</t>
        </is>
      </c>
    </row>
    <row r="53307">
      <c r="A53307" s="1" t="n">
        <v>53306</v>
      </c>
      <c r="B53307">
        <f>TEXT(53306, "[$-0E0000]yyyy-mm-dd")</f>
        <v/>
      </c>
      <c r="C53307" t="inlineStr">
        <is>
          <t>2045-11-04</t>
        </is>
      </c>
    </row>
    <row r="53308">
      <c r="A53308" s="1" t="n">
        <v>53307</v>
      </c>
      <c r="B53308">
        <f>TEXT(53307, "[$-0E0000]yyyy-mm-dd")</f>
        <v/>
      </c>
      <c r="C53308" t="inlineStr">
        <is>
          <t>2045-11-05</t>
        </is>
      </c>
    </row>
    <row r="53309">
      <c r="A53309" s="1" t="n">
        <v>53308</v>
      </c>
      <c r="B53309">
        <f>TEXT(53308, "[$-0E0000]yyyy-mm-dd")</f>
        <v/>
      </c>
      <c r="C53309" t="inlineStr">
        <is>
          <t>2045-11-06</t>
        </is>
      </c>
    </row>
    <row r="53310">
      <c r="A53310" s="1" t="n">
        <v>53309</v>
      </c>
      <c r="B53310">
        <f>TEXT(53309, "[$-0E0000]yyyy-mm-dd")</f>
        <v/>
      </c>
      <c r="C53310" t="inlineStr">
        <is>
          <t>2045-11-07</t>
        </is>
      </c>
    </row>
    <row r="53311">
      <c r="A53311" s="1" t="n">
        <v>53310</v>
      </c>
      <c r="B53311">
        <f>TEXT(53310, "[$-0E0000]yyyy-mm-dd")</f>
        <v/>
      </c>
      <c r="C53311" t="inlineStr">
        <is>
          <t>2045-11-08</t>
        </is>
      </c>
    </row>
    <row r="53312">
      <c r="A53312" s="1" t="n">
        <v>53311</v>
      </c>
      <c r="B53312">
        <f>TEXT(53311, "[$-0E0000]yyyy-mm-dd")</f>
        <v/>
      </c>
      <c r="C53312" t="inlineStr">
        <is>
          <t>2045-11-09</t>
        </is>
      </c>
    </row>
    <row r="53313">
      <c r="A53313" s="1" t="n">
        <v>53312</v>
      </c>
      <c r="B53313">
        <f>TEXT(53312, "[$-0E0000]yyyy-mm-dd")</f>
        <v/>
      </c>
      <c r="C53313" t="inlineStr">
        <is>
          <t>2045-11-10</t>
        </is>
      </c>
    </row>
    <row r="53314">
      <c r="A53314" s="1" t="n">
        <v>53313</v>
      </c>
      <c r="B53314">
        <f>TEXT(53313, "[$-0E0000]yyyy-mm-dd")</f>
        <v/>
      </c>
      <c r="C53314" t="inlineStr">
        <is>
          <t>2045-11-11</t>
        </is>
      </c>
    </row>
    <row r="53315">
      <c r="A53315" s="1" t="n">
        <v>53314</v>
      </c>
      <c r="B53315">
        <f>TEXT(53314, "[$-0E0000]yyyy-mm-dd")</f>
        <v/>
      </c>
      <c r="C53315" t="inlineStr">
        <is>
          <t>2045-11-12</t>
        </is>
      </c>
    </row>
    <row r="53316">
      <c r="A53316" s="1" t="n">
        <v>53315</v>
      </c>
      <c r="B53316">
        <f>TEXT(53315, "[$-0E0000]yyyy-mm-dd")</f>
        <v/>
      </c>
      <c r="C53316" t="inlineStr">
        <is>
          <t>2045-11-13</t>
        </is>
      </c>
    </row>
    <row r="53317">
      <c r="A53317" s="1" t="n">
        <v>53316</v>
      </c>
      <c r="B53317">
        <f>TEXT(53316, "[$-0E0000]yyyy-mm-dd")</f>
        <v/>
      </c>
      <c r="C53317" t="inlineStr">
        <is>
          <t>2045-11-14</t>
        </is>
      </c>
    </row>
    <row r="53318">
      <c r="A53318" s="1" t="n">
        <v>53317</v>
      </c>
      <c r="B53318">
        <f>TEXT(53317, "[$-0E0000]yyyy-mm-dd")</f>
        <v/>
      </c>
      <c r="C53318" t="inlineStr">
        <is>
          <t>2045-11-15</t>
        </is>
      </c>
    </row>
    <row r="53319">
      <c r="A53319" s="1" t="n">
        <v>53318</v>
      </c>
      <c r="B53319">
        <f>TEXT(53318, "[$-0E0000]yyyy-mm-dd")</f>
        <v/>
      </c>
      <c r="C53319" t="inlineStr">
        <is>
          <t>2045-11-16</t>
        </is>
      </c>
    </row>
    <row r="53320">
      <c r="A53320" s="1" t="n">
        <v>53319</v>
      </c>
      <c r="B53320">
        <f>TEXT(53319, "[$-0E0000]yyyy-mm-dd")</f>
        <v/>
      </c>
      <c r="C53320" t="inlineStr">
        <is>
          <t>2045-11-17</t>
        </is>
      </c>
    </row>
    <row r="53321">
      <c r="A53321" s="1" t="n">
        <v>53320</v>
      </c>
      <c r="B53321">
        <f>TEXT(53320, "[$-0E0000]yyyy-mm-dd")</f>
        <v/>
      </c>
      <c r="C53321" t="inlineStr">
        <is>
          <t>2045-11-18</t>
        </is>
      </c>
    </row>
    <row r="53322">
      <c r="A53322" s="1" t="n">
        <v>53321</v>
      </c>
      <c r="B53322">
        <f>TEXT(53321, "[$-0E0000]yyyy-mm-dd")</f>
        <v/>
      </c>
      <c r="C53322" t="inlineStr">
        <is>
          <t>2045-11-19</t>
        </is>
      </c>
    </row>
    <row r="53323">
      <c r="A53323" s="1" t="n">
        <v>53322</v>
      </c>
      <c r="B53323">
        <f>TEXT(53322, "[$-0E0000]yyyy-mm-dd")</f>
        <v/>
      </c>
      <c r="C53323" t="inlineStr">
        <is>
          <t>2045-11-20</t>
        </is>
      </c>
    </row>
    <row r="53324">
      <c r="A53324" s="1" t="n">
        <v>53323</v>
      </c>
      <c r="B53324">
        <f>TEXT(53323, "[$-0E0000]yyyy-mm-dd")</f>
        <v/>
      </c>
      <c r="C53324" t="inlineStr">
        <is>
          <t>2045-11-21</t>
        </is>
      </c>
    </row>
    <row r="53325">
      <c r="A53325" s="1" t="n">
        <v>53324</v>
      </c>
      <c r="B53325">
        <f>TEXT(53324, "[$-0E0000]yyyy-mm-dd")</f>
        <v/>
      </c>
      <c r="C53325" t="inlineStr">
        <is>
          <t>2045-11-22</t>
        </is>
      </c>
    </row>
    <row r="53326">
      <c r="A53326" s="1" t="n">
        <v>53325</v>
      </c>
      <c r="B53326">
        <f>TEXT(53325, "[$-0E0000]yyyy-mm-dd")</f>
        <v/>
      </c>
      <c r="C53326" t="inlineStr">
        <is>
          <t>2045-11-23</t>
        </is>
      </c>
    </row>
    <row r="53327">
      <c r="A53327" s="1" t="n">
        <v>53326</v>
      </c>
      <c r="B53327">
        <f>TEXT(53326, "[$-0E0000]yyyy-mm-dd")</f>
        <v/>
      </c>
      <c r="C53327" t="inlineStr">
        <is>
          <t>2045-11-24</t>
        </is>
      </c>
    </row>
    <row r="53328">
      <c r="A53328" s="1" t="n">
        <v>53327</v>
      </c>
      <c r="B53328">
        <f>TEXT(53327, "[$-0E0000]yyyy-mm-dd")</f>
        <v/>
      </c>
      <c r="C53328" t="inlineStr">
        <is>
          <t>2045-11-25</t>
        </is>
      </c>
    </row>
    <row r="53329">
      <c r="A53329" s="1" t="n">
        <v>53328</v>
      </c>
      <c r="B53329">
        <f>TEXT(53328, "[$-0E0000]yyyy-mm-dd")</f>
        <v/>
      </c>
      <c r="C53329" t="inlineStr">
        <is>
          <t>2045-11-26</t>
        </is>
      </c>
    </row>
    <row r="53330">
      <c r="A53330" s="1" t="n">
        <v>53329</v>
      </c>
      <c r="B53330">
        <f>TEXT(53329, "[$-0E0000]yyyy-mm-dd")</f>
        <v/>
      </c>
      <c r="C53330" t="inlineStr">
        <is>
          <t>2045-11-27</t>
        </is>
      </c>
    </row>
    <row r="53331">
      <c r="A53331" s="1" t="n">
        <v>53330</v>
      </c>
      <c r="B53331">
        <f>TEXT(53330, "[$-0E0000]yyyy-mm-dd")</f>
        <v/>
      </c>
      <c r="C53331" t="inlineStr">
        <is>
          <t>2045-11-28</t>
        </is>
      </c>
    </row>
    <row r="53332">
      <c r="A53332" s="1" t="n">
        <v>53331</v>
      </c>
      <c r="B53332">
        <f>TEXT(53331, "[$-0E0000]yyyy-mm-dd")</f>
        <v/>
      </c>
      <c r="C53332" t="inlineStr">
        <is>
          <t>2045-11-29</t>
        </is>
      </c>
    </row>
    <row r="53333">
      <c r="A53333" s="1" t="n">
        <v>53332</v>
      </c>
      <c r="B53333">
        <f>TEXT(53332, "[$-0E0000]yyyy-mm-dd")</f>
        <v/>
      </c>
      <c r="C53333" t="inlineStr">
        <is>
          <t>2045-11-30</t>
        </is>
      </c>
    </row>
    <row r="53334">
      <c r="A53334" s="1" t="n">
        <v>53333</v>
      </c>
      <c r="B53334">
        <f>TEXT(53333, "[$-0E0000]yyyy-mm-dd")</f>
        <v/>
      </c>
      <c r="C53334" t="inlineStr">
        <is>
          <t>2045-12-01</t>
        </is>
      </c>
    </row>
    <row r="53335">
      <c r="A53335" s="1" t="n">
        <v>53334</v>
      </c>
      <c r="B53335">
        <f>TEXT(53334, "[$-0E0000]yyyy-mm-dd")</f>
        <v/>
      </c>
      <c r="C53335" t="inlineStr">
        <is>
          <t>2045-12-02</t>
        </is>
      </c>
    </row>
    <row r="53336">
      <c r="A53336" s="1" t="n">
        <v>53335</v>
      </c>
      <c r="B53336">
        <f>TEXT(53335, "[$-0E0000]yyyy-mm-dd")</f>
        <v/>
      </c>
      <c r="C53336" t="inlineStr">
        <is>
          <t>2045-12-03</t>
        </is>
      </c>
    </row>
    <row r="53337">
      <c r="A53337" s="1" t="n">
        <v>53336</v>
      </c>
      <c r="B53337">
        <f>TEXT(53336, "[$-0E0000]yyyy-mm-dd")</f>
        <v/>
      </c>
      <c r="C53337" t="inlineStr">
        <is>
          <t>2045-12-04</t>
        </is>
      </c>
    </row>
    <row r="53338">
      <c r="A53338" s="1" t="n">
        <v>53337</v>
      </c>
      <c r="B53338">
        <f>TEXT(53337, "[$-0E0000]yyyy-mm-dd")</f>
        <v/>
      </c>
      <c r="C53338" t="inlineStr">
        <is>
          <t>2045-12-05</t>
        </is>
      </c>
    </row>
    <row r="53339">
      <c r="A53339" s="1" t="n">
        <v>53338</v>
      </c>
      <c r="B53339">
        <f>TEXT(53338, "[$-0E0000]yyyy-mm-dd")</f>
        <v/>
      </c>
      <c r="C53339" t="inlineStr">
        <is>
          <t>2045-12-06</t>
        </is>
      </c>
    </row>
    <row r="53340">
      <c r="A53340" s="1" t="n">
        <v>53339</v>
      </c>
      <c r="B53340">
        <f>TEXT(53339, "[$-0E0000]yyyy-mm-dd")</f>
        <v/>
      </c>
      <c r="C53340" t="inlineStr">
        <is>
          <t>2045-12-07</t>
        </is>
      </c>
    </row>
    <row r="53341">
      <c r="A53341" s="1" t="n">
        <v>53340</v>
      </c>
      <c r="B53341">
        <f>TEXT(53340, "[$-0E0000]yyyy-mm-dd")</f>
        <v/>
      </c>
      <c r="C53341" t="inlineStr">
        <is>
          <t>2045-12-08</t>
        </is>
      </c>
    </row>
    <row r="53342">
      <c r="A53342" s="1" t="n">
        <v>53341</v>
      </c>
      <c r="B53342">
        <f>TEXT(53341, "[$-0E0000]yyyy-mm-dd")</f>
        <v/>
      </c>
      <c r="C53342" t="inlineStr">
        <is>
          <t>2045-12-09</t>
        </is>
      </c>
    </row>
    <row r="53343">
      <c r="A53343" s="1" t="n">
        <v>53342</v>
      </c>
      <c r="B53343">
        <f>TEXT(53342, "[$-0E0000]yyyy-mm-dd")</f>
        <v/>
      </c>
      <c r="C53343" t="inlineStr">
        <is>
          <t>2045-12-10</t>
        </is>
      </c>
    </row>
    <row r="53344">
      <c r="A53344" s="1" t="n">
        <v>53343</v>
      </c>
      <c r="B53344">
        <f>TEXT(53343, "[$-0E0000]yyyy-mm-dd")</f>
        <v/>
      </c>
      <c r="C53344" t="inlineStr">
        <is>
          <t>2045-12-11</t>
        </is>
      </c>
    </row>
    <row r="53345">
      <c r="A53345" s="1" t="n">
        <v>53344</v>
      </c>
      <c r="B53345">
        <f>TEXT(53344, "[$-0E0000]yyyy-mm-dd")</f>
        <v/>
      </c>
      <c r="C53345" t="inlineStr">
        <is>
          <t>2045-12-12</t>
        </is>
      </c>
    </row>
    <row r="53346">
      <c r="A53346" s="1" t="n">
        <v>53345</v>
      </c>
      <c r="B53346">
        <f>TEXT(53345, "[$-0E0000]yyyy-mm-dd")</f>
        <v/>
      </c>
      <c r="C53346" t="inlineStr">
        <is>
          <t>2045-12-13</t>
        </is>
      </c>
    </row>
    <row r="53347">
      <c r="A53347" s="1" t="n">
        <v>53346</v>
      </c>
      <c r="B53347">
        <f>TEXT(53346, "[$-0E0000]yyyy-mm-dd")</f>
        <v/>
      </c>
      <c r="C53347" t="inlineStr">
        <is>
          <t>2045-12-14</t>
        </is>
      </c>
    </row>
    <row r="53348">
      <c r="A53348" s="1" t="n">
        <v>53347</v>
      </c>
      <c r="B53348">
        <f>TEXT(53347, "[$-0E0000]yyyy-mm-dd")</f>
        <v/>
      </c>
      <c r="C53348" t="inlineStr">
        <is>
          <t>2045-12-15</t>
        </is>
      </c>
    </row>
    <row r="53349">
      <c r="A53349" s="1" t="n">
        <v>53348</v>
      </c>
      <c r="B53349">
        <f>TEXT(53348, "[$-0E0000]yyyy-mm-dd")</f>
        <v/>
      </c>
      <c r="C53349" t="inlineStr">
        <is>
          <t>2045-12-16</t>
        </is>
      </c>
    </row>
    <row r="53350">
      <c r="A53350" s="1" t="n">
        <v>53349</v>
      </c>
      <c r="B53350">
        <f>TEXT(53349, "[$-0E0000]yyyy-mm-dd")</f>
        <v/>
      </c>
      <c r="C53350" t="inlineStr">
        <is>
          <t>2045-12-17</t>
        </is>
      </c>
    </row>
    <row r="53351">
      <c r="A53351" s="1" t="n">
        <v>53350</v>
      </c>
      <c r="B53351">
        <f>TEXT(53350, "[$-0E0000]yyyy-mm-dd")</f>
        <v/>
      </c>
      <c r="C53351" t="inlineStr">
        <is>
          <t>2045-12-18</t>
        </is>
      </c>
    </row>
    <row r="53352">
      <c r="A53352" s="1" t="n">
        <v>53351</v>
      </c>
      <c r="B53352">
        <f>TEXT(53351, "[$-0E0000]yyyy-mm-dd")</f>
        <v/>
      </c>
      <c r="C53352" t="inlineStr">
        <is>
          <t>2045-12-19</t>
        </is>
      </c>
    </row>
    <row r="53353">
      <c r="A53353" s="1" t="n">
        <v>53352</v>
      </c>
      <c r="B53353">
        <f>TEXT(53352, "[$-0E0000]yyyy-mm-dd")</f>
        <v/>
      </c>
      <c r="C53353" t="inlineStr">
        <is>
          <t>2045-12-20</t>
        </is>
      </c>
    </row>
    <row r="53354">
      <c r="A53354" s="1" t="n">
        <v>53353</v>
      </c>
      <c r="B53354">
        <f>TEXT(53353, "[$-0E0000]yyyy-mm-dd")</f>
        <v/>
      </c>
      <c r="C53354" t="inlineStr">
        <is>
          <t>2045-12-21</t>
        </is>
      </c>
    </row>
    <row r="53355">
      <c r="A53355" s="1" t="n">
        <v>53354</v>
      </c>
      <c r="B53355">
        <f>TEXT(53354, "[$-0E0000]yyyy-mm-dd")</f>
        <v/>
      </c>
      <c r="C53355" t="inlineStr">
        <is>
          <t>2045-12-22</t>
        </is>
      </c>
    </row>
    <row r="53356">
      <c r="A53356" s="1" t="n">
        <v>53355</v>
      </c>
      <c r="B53356">
        <f>TEXT(53355, "[$-0E0000]yyyy-mm-dd")</f>
        <v/>
      </c>
      <c r="C53356" t="inlineStr">
        <is>
          <t>2045-12-23</t>
        </is>
      </c>
    </row>
    <row r="53357">
      <c r="A53357" s="1" t="n">
        <v>53356</v>
      </c>
      <c r="B53357">
        <f>TEXT(53356, "[$-0E0000]yyyy-mm-dd")</f>
        <v/>
      </c>
      <c r="C53357" t="inlineStr">
        <is>
          <t>2045-12-24</t>
        </is>
      </c>
    </row>
    <row r="53358">
      <c r="A53358" s="1" t="n">
        <v>53357</v>
      </c>
      <c r="B53358">
        <f>TEXT(53357, "[$-0E0000]yyyy-mm-dd")</f>
        <v/>
      </c>
      <c r="C53358" t="inlineStr">
        <is>
          <t>2045-12-25</t>
        </is>
      </c>
    </row>
    <row r="53359">
      <c r="A53359" s="1" t="n">
        <v>53358</v>
      </c>
      <c r="B53359">
        <f>TEXT(53358, "[$-0E0000]yyyy-mm-dd")</f>
        <v/>
      </c>
      <c r="C53359" t="inlineStr">
        <is>
          <t>2045-12-26</t>
        </is>
      </c>
    </row>
    <row r="53360">
      <c r="A53360" s="1" t="n">
        <v>53359</v>
      </c>
      <c r="B53360">
        <f>TEXT(53359, "[$-0E0000]yyyy-mm-dd")</f>
        <v/>
      </c>
      <c r="C53360" t="inlineStr">
        <is>
          <t>2045-12-27</t>
        </is>
      </c>
    </row>
    <row r="53361">
      <c r="A53361" s="1" t="n">
        <v>53360</v>
      </c>
      <c r="B53361">
        <f>TEXT(53360, "[$-0E0000]yyyy-mm-dd")</f>
        <v/>
      </c>
      <c r="C53361" t="inlineStr">
        <is>
          <t>2045-12-28</t>
        </is>
      </c>
    </row>
    <row r="53362">
      <c r="A53362" s="1" t="n">
        <v>53361</v>
      </c>
      <c r="B53362">
        <f>TEXT(53361, "[$-0E0000]yyyy-mm-dd")</f>
        <v/>
      </c>
      <c r="C53362" t="inlineStr">
        <is>
          <t>2045-12-29</t>
        </is>
      </c>
    </row>
    <row r="53363">
      <c r="A53363" s="1" t="n">
        <v>53362</v>
      </c>
      <c r="B53363">
        <f>TEXT(53362, "[$-0E0000]yyyy-mm-dd")</f>
        <v/>
      </c>
      <c r="C53363" t="inlineStr">
        <is>
          <t>2045-12-30</t>
        </is>
      </c>
    </row>
    <row r="53364">
      <c r="A53364" s="1" t="n">
        <v>53363</v>
      </c>
      <c r="B53364">
        <f>TEXT(53363, "[$-0E0000]yyyy-mm-dd")</f>
        <v/>
      </c>
      <c r="C53364" t="inlineStr">
        <is>
          <t>2046-01-01</t>
        </is>
      </c>
    </row>
    <row r="53365">
      <c r="A53365" s="1" t="n">
        <v>53364</v>
      </c>
      <c r="B53365">
        <f>TEXT(53364, "[$-0E0000]yyyy-mm-dd")</f>
        <v/>
      </c>
      <c r="C53365" t="inlineStr">
        <is>
          <t>2046-01-02</t>
        </is>
      </c>
    </row>
    <row r="53366">
      <c r="A53366" s="1" t="n">
        <v>53365</v>
      </c>
      <c r="B53366">
        <f>TEXT(53365, "[$-0E0000]yyyy-mm-dd")</f>
        <v/>
      </c>
      <c r="C53366" t="inlineStr">
        <is>
          <t>2046-01-03</t>
        </is>
      </c>
    </row>
    <row r="53367">
      <c r="A53367" s="1" t="n">
        <v>53366</v>
      </c>
      <c r="B53367">
        <f>TEXT(53366, "[$-0E0000]yyyy-mm-dd")</f>
        <v/>
      </c>
      <c r="C53367" t="inlineStr">
        <is>
          <t>2046-01-04</t>
        </is>
      </c>
    </row>
    <row r="53368">
      <c r="A53368" s="1" t="n">
        <v>53367</v>
      </c>
      <c r="B53368">
        <f>TEXT(53367, "[$-0E0000]yyyy-mm-dd")</f>
        <v/>
      </c>
      <c r="C53368" t="inlineStr">
        <is>
          <t>2046-01-05</t>
        </is>
      </c>
    </row>
    <row r="53369">
      <c r="A53369" s="1" t="n">
        <v>53368</v>
      </c>
      <c r="B53369">
        <f>TEXT(53368, "[$-0E0000]yyyy-mm-dd")</f>
        <v/>
      </c>
      <c r="C53369" t="inlineStr">
        <is>
          <t>2046-01-06</t>
        </is>
      </c>
    </row>
    <row r="53370">
      <c r="A53370" s="1" t="n">
        <v>53369</v>
      </c>
      <c r="B53370">
        <f>TEXT(53369, "[$-0E0000]yyyy-mm-dd")</f>
        <v/>
      </c>
      <c r="C53370" t="inlineStr">
        <is>
          <t>2046-01-07</t>
        </is>
      </c>
    </row>
    <row r="53371">
      <c r="A53371" s="1" t="n">
        <v>53370</v>
      </c>
      <c r="B53371">
        <f>TEXT(53370, "[$-0E0000]yyyy-mm-dd")</f>
        <v/>
      </c>
      <c r="C53371" t="inlineStr">
        <is>
          <t>2046-01-08</t>
        </is>
      </c>
    </row>
    <row r="53372">
      <c r="A53372" s="1" t="n">
        <v>53371</v>
      </c>
      <c r="B53372">
        <f>TEXT(53371, "[$-0E0000]yyyy-mm-dd")</f>
        <v/>
      </c>
      <c r="C53372" t="inlineStr">
        <is>
          <t>2046-01-09</t>
        </is>
      </c>
    </row>
    <row r="53373">
      <c r="A53373" s="1" t="n">
        <v>53372</v>
      </c>
      <c r="B53373">
        <f>TEXT(53372, "[$-0E0000]yyyy-mm-dd")</f>
        <v/>
      </c>
      <c r="C53373" t="inlineStr">
        <is>
          <t>2046-01-10</t>
        </is>
      </c>
    </row>
    <row r="53374">
      <c r="A53374" s="1" t="n">
        <v>53373</v>
      </c>
      <c r="B53374">
        <f>TEXT(53373, "[$-0E0000]yyyy-mm-dd")</f>
        <v/>
      </c>
      <c r="C53374" t="inlineStr">
        <is>
          <t>2046-01-11</t>
        </is>
      </c>
    </row>
    <row r="53375">
      <c r="A53375" s="1" t="n">
        <v>53374</v>
      </c>
      <c r="B53375">
        <f>TEXT(53374, "[$-0E0000]yyyy-mm-dd")</f>
        <v/>
      </c>
      <c r="C53375" t="inlineStr">
        <is>
          <t>2046-01-12</t>
        </is>
      </c>
    </row>
    <row r="53376">
      <c r="A53376" s="1" t="n">
        <v>53375</v>
      </c>
      <c r="B53376">
        <f>TEXT(53375, "[$-0E0000]yyyy-mm-dd")</f>
        <v/>
      </c>
      <c r="C53376" t="inlineStr">
        <is>
          <t>2046-01-13</t>
        </is>
      </c>
    </row>
    <row r="53377">
      <c r="A53377" s="1" t="n">
        <v>53376</v>
      </c>
      <c r="B53377">
        <f>TEXT(53376, "[$-0E0000]yyyy-mm-dd")</f>
        <v/>
      </c>
      <c r="C53377" t="inlineStr">
        <is>
          <t>2046-01-14</t>
        </is>
      </c>
    </row>
    <row r="53378">
      <c r="A53378" s="1" t="n">
        <v>53377</v>
      </c>
      <c r="B53378">
        <f>TEXT(53377, "[$-0E0000]yyyy-mm-dd")</f>
        <v/>
      </c>
      <c r="C53378" t="inlineStr">
        <is>
          <t>2046-01-15</t>
        </is>
      </c>
    </row>
    <row r="53379">
      <c r="A53379" s="1" t="n">
        <v>53378</v>
      </c>
      <c r="B53379">
        <f>TEXT(53378, "[$-0E0000]yyyy-mm-dd")</f>
        <v/>
      </c>
      <c r="C53379" t="inlineStr">
        <is>
          <t>2046-01-16</t>
        </is>
      </c>
    </row>
    <row r="53380">
      <c r="A53380" s="1" t="n">
        <v>53379</v>
      </c>
      <c r="B53380">
        <f>TEXT(53379, "[$-0E0000]yyyy-mm-dd")</f>
        <v/>
      </c>
      <c r="C53380" t="inlineStr">
        <is>
          <t>2046-01-17</t>
        </is>
      </c>
    </row>
    <row r="53381">
      <c r="A53381" s="1" t="n">
        <v>53380</v>
      </c>
      <c r="B53381">
        <f>TEXT(53380, "[$-0E0000]yyyy-mm-dd")</f>
        <v/>
      </c>
      <c r="C53381" t="inlineStr">
        <is>
          <t>2046-01-18</t>
        </is>
      </c>
    </row>
    <row r="53382">
      <c r="A53382" s="1" t="n">
        <v>53381</v>
      </c>
      <c r="B53382">
        <f>TEXT(53381, "[$-0E0000]yyyy-mm-dd")</f>
        <v/>
      </c>
      <c r="C53382" t="inlineStr">
        <is>
          <t>2046-01-19</t>
        </is>
      </c>
    </row>
    <row r="53383">
      <c r="A53383" s="1" t="n">
        <v>53382</v>
      </c>
      <c r="B53383">
        <f>TEXT(53382, "[$-0E0000]yyyy-mm-dd")</f>
        <v/>
      </c>
      <c r="C53383" t="inlineStr">
        <is>
          <t>2046-01-20</t>
        </is>
      </c>
    </row>
    <row r="53384">
      <c r="A53384" s="1" t="n">
        <v>53383</v>
      </c>
      <c r="B53384">
        <f>TEXT(53383, "[$-0E0000]yyyy-mm-dd")</f>
        <v/>
      </c>
      <c r="C53384" t="inlineStr">
        <is>
          <t>2046-01-21</t>
        </is>
      </c>
    </row>
    <row r="53385">
      <c r="A53385" s="1" t="n">
        <v>53384</v>
      </c>
      <c r="B53385">
        <f>TEXT(53384, "[$-0E0000]yyyy-mm-dd")</f>
        <v/>
      </c>
      <c r="C53385" t="inlineStr">
        <is>
          <t>2046-01-22</t>
        </is>
      </c>
    </row>
    <row r="53386">
      <c r="A53386" s="1" t="n">
        <v>53385</v>
      </c>
      <c r="B53386">
        <f>TEXT(53385, "[$-0E0000]yyyy-mm-dd")</f>
        <v/>
      </c>
      <c r="C53386" t="inlineStr">
        <is>
          <t>2046-01-23</t>
        </is>
      </c>
    </row>
    <row r="53387">
      <c r="A53387" s="1" t="n">
        <v>53386</v>
      </c>
      <c r="B53387">
        <f>TEXT(53386, "[$-0E0000]yyyy-mm-dd")</f>
        <v/>
      </c>
      <c r="C53387" t="inlineStr">
        <is>
          <t>2046-01-24</t>
        </is>
      </c>
    </row>
    <row r="53388">
      <c r="A53388" s="1" t="n">
        <v>53387</v>
      </c>
      <c r="B53388">
        <f>TEXT(53387, "[$-0E0000]yyyy-mm-dd")</f>
        <v/>
      </c>
      <c r="C53388" t="inlineStr">
        <is>
          <t>2046-01-25</t>
        </is>
      </c>
    </row>
    <row r="53389">
      <c r="A53389" s="1" t="n">
        <v>53388</v>
      </c>
      <c r="B53389">
        <f>TEXT(53388, "[$-0E0000]yyyy-mm-dd")</f>
        <v/>
      </c>
      <c r="C53389" t="inlineStr">
        <is>
          <t>2046-01-26</t>
        </is>
      </c>
    </row>
    <row r="53390">
      <c r="A53390" s="1" t="n">
        <v>53389</v>
      </c>
      <c r="B53390">
        <f>TEXT(53389, "[$-0E0000]yyyy-mm-dd")</f>
        <v/>
      </c>
      <c r="C53390" t="inlineStr">
        <is>
          <t>2046-01-27</t>
        </is>
      </c>
    </row>
    <row r="53391">
      <c r="A53391" s="1" t="n">
        <v>53390</v>
      </c>
      <c r="B53391">
        <f>TEXT(53390, "[$-0E0000]yyyy-mm-dd")</f>
        <v/>
      </c>
      <c r="C53391" t="inlineStr">
        <is>
          <t>2046-01-28</t>
        </is>
      </c>
    </row>
    <row r="53392">
      <c r="A53392" s="1" t="n">
        <v>53391</v>
      </c>
      <c r="B53392">
        <f>TEXT(53391, "[$-0E0000]yyyy-mm-dd")</f>
        <v/>
      </c>
      <c r="C53392" t="inlineStr">
        <is>
          <t>2046-01-29</t>
        </is>
      </c>
    </row>
    <row r="53393">
      <c r="A53393" s="1" t="n">
        <v>53392</v>
      </c>
      <c r="B53393">
        <f>TEXT(53392, "[$-0E0000]yyyy-mm-dd")</f>
        <v/>
      </c>
      <c r="C53393" t="inlineStr">
        <is>
          <t>2046-01-30</t>
        </is>
      </c>
    </row>
    <row r="53394">
      <c r="A53394" s="1" t="n">
        <v>53393</v>
      </c>
      <c r="B53394">
        <f>TEXT(53393, "[$-0E0000]yyyy-mm-dd")</f>
        <v/>
      </c>
      <c r="C53394" t="inlineStr">
        <is>
          <t>2046-02-01</t>
        </is>
      </c>
    </row>
    <row r="53395">
      <c r="A53395" s="1" t="n">
        <v>53394</v>
      </c>
      <c r="B53395">
        <f>TEXT(53394, "[$-0E0000]yyyy-mm-dd")</f>
        <v/>
      </c>
      <c r="C53395" t="inlineStr">
        <is>
          <t>2046-02-02</t>
        </is>
      </c>
    </row>
    <row r="53396">
      <c r="A53396" s="1" t="n">
        <v>53395</v>
      </c>
      <c r="B53396">
        <f>TEXT(53395, "[$-0E0000]yyyy-mm-dd")</f>
        <v/>
      </c>
      <c r="C53396" t="inlineStr">
        <is>
          <t>2046-02-03</t>
        </is>
      </c>
    </row>
    <row r="53397">
      <c r="A53397" s="1" t="n">
        <v>53396</v>
      </c>
      <c r="B53397">
        <f>TEXT(53396, "[$-0E0000]yyyy-mm-dd")</f>
        <v/>
      </c>
      <c r="C53397" t="inlineStr">
        <is>
          <t>2046-02-04</t>
        </is>
      </c>
    </row>
    <row r="53398">
      <c r="A53398" s="1" t="n">
        <v>53397</v>
      </c>
      <c r="B53398">
        <f>TEXT(53397, "[$-0E0000]yyyy-mm-dd")</f>
        <v/>
      </c>
      <c r="C53398" t="inlineStr">
        <is>
          <t>2046-02-05</t>
        </is>
      </c>
    </row>
    <row r="53399">
      <c r="A53399" s="1" t="n">
        <v>53398</v>
      </c>
      <c r="B53399">
        <f>TEXT(53398, "[$-0E0000]yyyy-mm-dd")</f>
        <v/>
      </c>
      <c r="C53399" t="inlineStr">
        <is>
          <t>2046-02-06</t>
        </is>
      </c>
    </row>
    <row r="53400">
      <c r="A53400" s="1" t="n">
        <v>53399</v>
      </c>
      <c r="B53400">
        <f>TEXT(53399, "[$-0E0000]yyyy-mm-dd")</f>
        <v/>
      </c>
      <c r="C53400" t="inlineStr">
        <is>
          <t>2046-02-07</t>
        </is>
      </c>
    </row>
    <row r="53401">
      <c r="A53401" s="1" t="n">
        <v>53400</v>
      </c>
      <c r="B53401">
        <f>TEXT(53400, "[$-0E0000]yyyy-mm-dd")</f>
        <v/>
      </c>
      <c r="C53401" t="inlineStr">
        <is>
          <t>2046-02-08</t>
        </is>
      </c>
    </row>
    <row r="53402">
      <c r="A53402" s="1" t="n">
        <v>53401</v>
      </c>
      <c r="B53402">
        <f>TEXT(53401, "[$-0E0000]yyyy-mm-dd")</f>
        <v/>
      </c>
      <c r="C53402" t="inlineStr">
        <is>
          <t>2046-02-09</t>
        </is>
      </c>
    </row>
    <row r="53403">
      <c r="A53403" s="1" t="n">
        <v>53402</v>
      </c>
      <c r="B53403">
        <f>TEXT(53402, "[$-0E0000]yyyy-mm-dd")</f>
        <v/>
      </c>
      <c r="C53403" t="inlineStr">
        <is>
          <t>2046-02-10</t>
        </is>
      </c>
    </row>
    <row r="53404">
      <c r="A53404" s="1" t="n">
        <v>53403</v>
      </c>
      <c r="B53404">
        <f>TEXT(53403, "[$-0E0000]yyyy-mm-dd")</f>
        <v/>
      </c>
      <c r="C53404" t="inlineStr">
        <is>
          <t>2046-02-11</t>
        </is>
      </c>
    </row>
    <row r="53405">
      <c r="A53405" s="1" t="n">
        <v>53404</v>
      </c>
      <c r="B53405">
        <f>TEXT(53404, "[$-0E0000]yyyy-mm-dd")</f>
        <v/>
      </c>
      <c r="C53405" t="inlineStr">
        <is>
          <t>2046-02-12</t>
        </is>
      </c>
    </row>
    <row r="53406">
      <c r="A53406" s="1" t="n">
        <v>53405</v>
      </c>
      <c r="B53406">
        <f>TEXT(53405, "[$-0E0000]yyyy-mm-dd")</f>
        <v/>
      </c>
      <c r="C53406" t="inlineStr">
        <is>
          <t>2046-02-13</t>
        </is>
      </c>
    </row>
    <row r="53407">
      <c r="A53407" s="1" t="n">
        <v>53406</v>
      </c>
      <c r="B53407">
        <f>TEXT(53406, "[$-0E0000]yyyy-mm-dd")</f>
        <v/>
      </c>
      <c r="C53407" t="inlineStr">
        <is>
          <t>2046-02-14</t>
        </is>
      </c>
    </row>
    <row r="53408">
      <c r="A53408" s="1" t="n">
        <v>53407</v>
      </c>
      <c r="B53408">
        <f>TEXT(53407, "[$-0E0000]yyyy-mm-dd")</f>
        <v/>
      </c>
      <c r="C53408" t="inlineStr">
        <is>
          <t>2046-02-15</t>
        </is>
      </c>
    </row>
    <row r="53409">
      <c r="A53409" s="1" t="n">
        <v>53408</v>
      </c>
      <c r="B53409">
        <f>TEXT(53408, "[$-0E0000]yyyy-mm-dd")</f>
        <v/>
      </c>
      <c r="C53409" t="inlineStr">
        <is>
          <t>2046-02-16</t>
        </is>
      </c>
    </row>
    <row r="53410">
      <c r="A53410" s="1" t="n">
        <v>53409</v>
      </c>
      <c r="B53410">
        <f>TEXT(53409, "[$-0E0000]yyyy-mm-dd")</f>
        <v/>
      </c>
      <c r="C53410" t="inlineStr">
        <is>
          <t>2046-02-17</t>
        </is>
      </c>
    </row>
    <row r="53411">
      <c r="A53411" s="1" t="n">
        <v>53410</v>
      </c>
      <c r="B53411">
        <f>TEXT(53410, "[$-0E0000]yyyy-mm-dd")</f>
        <v/>
      </c>
      <c r="C53411" t="inlineStr">
        <is>
          <t>2046-02-18</t>
        </is>
      </c>
    </row>
    <row r="53412">
      <c r="A53412" s="1" t="n">
        <v>53411</v>
      </c>
      <c r="B53412">
        <f>TEXT(53411, "[$-0E0000]yyyy-mm-dd")</f>
        <v/>
      </c>
      <c r="C53412" t="inlineStr">
        <is>
          <t>2046-02-19</t>
        </is>
      </c>
    </row>
    <row r="53413">
      <c r="A53413" s="1" t="n">
        <v>53412</v>
      </c>
      <c r="B53413">
        <f>TEXT(53412, "[$-0E0000]yyyy-mm-dd")</f>
        <v/>
      </c>
      <c r="C53413" t="inlineStr">
        <is>
          <t>2046-02-20</t>
        </is>
      </c>
    </row>
    <row r="53414">
      <c r="A53414" s="1" t="n">
        <v>53413</v>
      </c>
      <c r="B53414">
        <f>TEXT(53413, "[$-0E0000]yyyy-mm-dd")</f>
        <v/>
      </c>
      <c r="C53414" t="inlineStr">
        <is>
          <t>2046-02-21</t>
        </is>
      </c>
    </row>
    <row r="53415">
      <c r="A53415" s="1" t="n">
        <v>53414</v>
      </c>
      <c r="B53415">
        <f>TEXT(53414, "[$-0E0000]yyyy-mm-dd")</f>
        <v/>
      </c>
      <c r="C53415" t="inlineStr">
        <is>
          <t>2046-02-22</t>
        </is>
      </c>
    </row>
    <row r="53416">
      <c r="A53416" s="1" t="n">
        <v>53415</v>
      </c>
      <c r="B53416">
        <f>TEXT(53415, "[$-0E0000]yyyy-mm-dd")</f>
        <v/>
      </c>
      <c r="C53416" t="inlineStr">
        <is>
          <t>2046-02-23</t>
        </is>
      </c>
    </row>
    <row r="53417">
      <c r="A53417" s="1" t="n">
        <v>53416</v>
      </c>
      <c r="B53417">
        <f>TEXT(53416, "[$-0E0000]yyyy-mm-dd")</f>
        <v/>
      </c>
      <c r="C53417" t="inlineStr">
        <is>
          <t>2046-02-24</t>
        </is>
      </c>
    </row>
    <row r="53418">
      <c r="A53418" s="1" t="n">
        <v>53417</v>
      </c>
      <c r="B53418">
        <f>TEXT(53417, "[$-0E0000]yyyy-mm-dd")</f>
        <v/>
      </c>
      <c r="C53418" t="inlineStr">
        <is>
          <t>2046-02-25</t>
        </is>
      </c>
    </row>
    <row r="53419">
      <c r="A53419" s="1" t="n">
        <v>53418</v>
      </c>
      <c r="B53419">
        <f>TEXT(53418, "[$-0E0000]yyyy-mm-dd")</f>
        <v/>
      </c>
      <c r="C53419" t="inlineStr">
        <is>
          <t>2046-02-26</t>
        </is>
      </c>
    </row>
    <row r="53420">
      <c r="A53420" s="1" t="n">
        <v>53419</v>
      </c>
      <c r="B53420">
        <f>TEXT(53419, "[$-0E0000]yyyy-mm-dd")</f>
        <v/>
      </c>
      <c r="C53420" t="inlineStr">
        <is>
          <t>2046-02-27</t>
        </is>
      </c>
    </row>
    <row r="53421">
      <c r="A53421" s="1" t="n">
        <v>53420</v>
      </c>
      <c r="B53421">
        <f>TEXT(53420, "[$-0E0000]yyyy-mm-dd")</f>
        <v/>
      </c>
      <c r="C53421" t="inlineStr">
        <is>
          <t>2046-02-28</t>
        </is>
      </c>
    </row>
    <row r="53422">
      <c r="A53422" s="1" t="n">
        <v>53421</v>
      </c>
      <c r="B53422">
        <f>TEXT(53421, "[$-0E0000]yyyy-mm-dd")</f>
        <v/>
      </c>
      <c r="C53422" t="inlineStr">
        <is>
          <t>2046-02-29</t>
        </is>
      </c>
    </row>
    <row r="53423">
      <c r="A53423" s="1" t="n">
        <v>53422</v>
      </c>
      <c r="B53423">
        <f>TEXT(53422, "[$-0E0000]yyyy-mm-dd")</f>
        <v/>
      </c>
      <c r="C53423" t="inlineStr">
        <is>
          <t>2046-03-01</t>
        </is>
      </c>
    </row>
    <row r="53424">
      <c r="A53424" s="1" t="n">
        <v>53423</v>
      </c>
      <c r="B53424">
        <f>TEXT(53423, "[$-0E0000]yyyy-mm-dd")</f>
        <v/>
      </c>
      <c r="C53424" t="inlineStr">
        <is>
          <t>2046-03-02</t>
        </is>
      </c>
    </row>
    <row r="53425">
      <c r="A53425" s="1" t="n">
        <v>53424</v>
      </c>
      <c r="B53425">
        <f>TEXT(53424, "[$-0E0000]yyyy-mm-dd")</f>
        <v/>
      </c>
      <c r="C53425" t="inlineStr">
        <is>
          <t>2046-03-03</t>
        </is>
      </c>
    </row>
    <row r="53426">
      <c r="A53426" s="1" t="n">
        <v>53425</v>
      </c>
      <c r="B53426">
        <f>TEXT(53425, "[$-0E0000]yyyy-mm-dd")</f>
        <v/>
      </c>
      <c r="C53426" t="inlineStr">
        <is>
          <t>2046-03-04</t>
        </is>
      </c>
    </row>
    <row r="53427">
      <c r="A53427" s="1" t="n">
        <v>53426</v>
      </c>
      <c r="B53427">
        <f>TEXT(53426, "[$-0E0000]yyyy-mm-dd")</f>
        <v/>
      </c>
      <c r="C53427" t="inlineStr">
        <is>
          <t>2046-03-05</t>
        </is>
      </c>
    </row>
    <row r="53428">
      <c r="A53428" s="1" t="n">
        <v>53427</v>
      </c>
      <c r="B53428">
        <f>TEXT(53427, "[$-0E0000]yyyy-mm-dd")</f>
        <v/>
      </c>
      <c r="C53428" t="inlineStr">
        <is>
          <t>2046-03-06</t>
        </is>
      </c>
    </row>
    <row r="53429">
      <c r="A53429" s="1" t="n">
        <v>53428</v>
      </c>
      <c r="B53429">
        <f>TEXT(53428, "[$-0E0000]yyyy-mm-dd")</f>
        <v/>
      </c>
      <c r="C53429" t="inlineStr">
        <is>
          <t>2046-03-07</t>
        </is>
      </c>
    </row>
    <row r="53430">
      <c r="A53430" s="1" t="n">
        <v>53429</v>
      </c>
      <c r="B53430">
        <f>TEXT(53429, "[$-0E0000]yyyy-mm-dd")</f>
        <v/>
      </c>
      <c r="C53430" t="inlineStr">
        <is>
          <t>2046-03-08</t>
        </is>
      </c>
    </row>
    <row r="53431">
      <c r="A53431" s="1" t="n">
        <v>53430</v>
      </c>
      <c r="B53431">
        <f>TEXT(53430, "[$-0E0000]yyyy-mm-dd")</f>
        <v/>
      </c>
      <c r="C53431" t="inlineStr">
        <is>
          <t>2046-03-09</t>
        </is>
      </c>
    </row>
    <row r="53432">
      <c r="A53432" s="1" t="n">
        <v>53431</v>
      </c>
      <c r="B53432">
        <f>TEXT(53431, "[$-0E0000]yyyy-mm-dd")</f>
        <v/>
      </c>
      <c r="C53432" t="inlineStr">
        <is>
          <t>2046-03-10</t>
        </is>
      </c>
    </row>
    <row r="53433">
      <c r="A53433" s="1" t="n">
        <v>53432</v>
      </c>
      <c r="B53433">
        <f>TEXT(53432, "[$-0E0000]yyyy-mm-dd")</f>
        <v/>
      </c>
      <c r="C53433" t="inlineStr">
        <is>
          <t>2046-03-11</t>
        </is>
      </c>
    </row>
    <row r="53434">
      <c r="A53434" s="1" t="n">
        <v>53433</v>
      </c>
      <c r="B53434">
        <f>TEXT(53433, "[$-0E0000]yyyy-mm-dd")</f>
        <v/>
      </c>
      <c r="C53434" t="inlineStr">
        <is>
          <t>2046-03-12</t>
        </is>
      </c>
    </row>
    <row r="53435">
      <c r="A53435" s="1" t="n">
        <v>53434</v>
      </c>
      <c r="B53435">
        <f>TEXT(53434, "[$-0E0000]yyyy-mm-dd")</f>
        <v/>
      </c>
      <c r="C53435" t="inlineStr">
        <is>
          <t>2046-03-13</t>
        </is>
      </c>
    </row>
    <row r="53436">
      <c r="A53436" s="1" t="n">
        <v>53435</v>
      </c>
      <c r="B53436">
        <f>TEXT(53435, "[$-0E0000]yyyy-mm-dd")</f>
        <v/>
      </c>
      <c r="C53436" t="inlineStr">
        <is>
          <t>2046-03-14</t>
        </is>
      </c>
    </row>
    <row r="53437">
      <c r="A53437" s="1" t="n">
        <v>53436</v>
      </c>
      <c r="B53437">
        <f>TEXT(53436, "[$-0E0000]yyyy-mm-dd")</f>
        <v/>
      </c>
      <c r="C53437" t="inlineStr">
        <is>
          <t>2046-03-15</t>
        </is>
      </c>
    </row>
    <row r="53438">
      <c r="A53438" s="1" t="n">
        <v>53437</v>
      </c>
      <c r="B53438">
        <f>TEXT(53437, "[$-0E0000]yyyy-mm-dd")</f>
        <v/>
      </c>
      <c r="C53438" t="inlineStr">
        <is>
          <t>2046-03-16</t>
        </is>
      </c>
    </row>
    <row r="53439">
      <c r="A53439" s="1" t="n">
        <v>53438</v>
      </c>
      <c r="B53439">
        <f>TEXT(53438, "[$-0E0000]yyyy-mm-dd")</f>
        <v/>
      </c>
      <c r="C53439" t="inlineStr">
        <is>
          <t>2046-03-17</t>
        </is>
      </c>
    </row>
    <row r="53440">
      <c r="A53440" s="1" t="n">
        <v>53439</v>
      </c>
      <c r="B53440">
        <f>TEXT(53439, "[$-0E0000]yyyy-mm-dd")</f>
        <v/>
      </c>
      <c r="C53440" t="inlineStr">
        <is>
          <t>2046-03-18</t>
        </is>
      </c>
    </row>
    <row r="53441">
      <c r="A53441" s="1" t="n">
        <v>53440</v>
      </c>
      <c r="B53441">
        <f>TEXT(53440, "[$-0E0000]yyyy-mm-dd")</f>
        <v/>
      </c>
      <c r="C53441" t="inlineStr">
        <is>
          <t>2046-03-19</t>
        </is>
      </c>
    </row>
    <row r="53442">
      <c r="A53442" s="1" t="n">
        <v>53441</v>
      </c>
      <c r="B53442">
        <f>TEXT(53441, "[$-0E0000]yyyy-mm-dd")</f>
        <v/>
      </c>
      <c r="C53442" t="inlineStr">
        <is>
          <t>2046-03-20</t>
        </is>
      </c>
    </row>
    <row r="53443">
      <c r="A53443" s="1" t="n">
        <v>53442</v>
      </c>
      <c r="B53443">
        <f>TEXT(53442, "[$-0E0000]yyyy-mm-dd")</f>
        <v/>
      </c>
      <c r="C53443" t="inlineStr">
        <is>
          <t>2046-03-21</t>
        </is>
      </c>
    </row>
    <row r="53444">
      <c r="A53444" s="1" t="n">
        <v>53443</v>
      </c>
      <c r="B53444">
        <f>TEXT(53443, "[$-0E0000]yyyy-mm-dd")</f>
        <v/>
      </c>
      <c r="C53444" t="inlineStr">
        <is>
          <t>2046-03-22</t>
        </is>
      </c>
    </row>
    <row r="53445">
      <c r="A53445" s="1" t="n">
        <v>53444</v>
      </c>
      <c r="B53445">
        <f>TEXT(53444, "[$-0E0000]yyyy-mm-dd")</f>
        <v/>
      </c>
      <c r="C53445" t="inlineStr">
        <is>
          <t>2046-03-23</t>
        </is>
      </c>
    </row>
    <row r="53446">
      <c r="A53446" s="1" t="n">
        <v>53445</v>
      </c>
      <c r="B53446">
        <f>TEXT(53445, "[$-0E0000]yyyy-mm-dd")</f>
        <v/>
      </c>
      <c r="C53446" t="inlineStr">
        <is>
          <t>2046-03-24</t>
        </is>
      </c>
    </row>
    <row r="53447">
      <c r="A53447" s="1" t="n">
        <v>53446</v>
      </c>
      <c r="B53447">
        <f>TEXT(53446, "[$-0E0000]yyyy-mm-dd")</f>
        <v/>
      </c>
      <c r="C53447" t="inlineStr">
        <is>
          <t>2046-03-25</t>
        </is>
      </c>
    </row>
    <row r="53448">
      <c r="A53448" s="1" t="n">
        <v>53447</v>
      </c>
      <c r="B53448">
        <f>TEXT(53447, "[$-0E0000]yyyy-mm-dd")</f>
        <v/>
      </c>
      <c r="C53448" t="inlineStr">
        <is>
          <t>2046-03-26</t>
        </is>
      </c>
    </row>
    <row r="53449">
      <c r="A53449" s="1" t="n">
        <v>53448</v>
      </c>
      <c r="B53449">
        <f>TEXT(53448, "[$-0E0000]yyyy-mm-dd")</f>
        <v/>
      </c>
      <c r="C53449" t="inlineStr">
        <is>
          <t>2046-03-27</t>
        </is>
      </c>
    </row>
    <row r="53450">
      <c r="A53450" s="1" t="n">
        <v>53449</v>
      </c>
      <c r="B53450">
        <f>TEXT(53449, "[$-0E0000]yyyy-mm-dd")</f>
        <v/>
      </c>
      <c r="C53450" t="inlineStr">
        <is>
          <t>2046-03-28</t>
        </is>
      </c>
    </row>
    <row r="53451">
      <c r="A53451" s="1" t="n">
        <v>53450</v>
      </c>
      <c r="B53451">
        <f>TEXT(53450, "[$-0E0000]yyyy-mm-dd")</f>
        <v/>
      </c>
      <c r="C53451" t="inlineStr">
        <is>
          <t>2046-03-29</t>
        </is>
      </c>
    </row>
    <row r="53452">
      <c r="A53452" s="1" t="n">
        <v>53451</v>
      </c>
      <c r="B53452">
        <f>TEXT(53451, "[$-0E0000]yyyy-mm-dd")</f>
        <v/>
      </c>
      <c r="C53452" t="inlineStr">
        <is>
          <t>2046-03-30</t>
        </is>
      </c>
    </row>
    <row r="53453">
      <c r="A53453" s="1" t="n">
        <v>53452</v>
      </c>
      <c r="B53453">
        <f>TEXT(53452, "[$-0E0000]yyyy-mm-dd")</f>
        <v/>
      </c>
      <c r="C53453" t="inlineStr">
        <is>
          <t>2046-04-01</t>
        </is>
      </c>
    </row>
    <row r="53454">
      <c r="A53454" s="1" t="n">
        <v>53453</v>
      </c>
      <c r="B53454">
        <f>TEXT(53453, "[$-0E0000]yyyy-mm-dd")</f>
        <v/>
      </c>
      <c r="C53454" t="inlineStr">
        <is>
          <t>2046-04-02</t>
        </is>
      </c>
    </row>
    <row r="53455">
      <c r="A53455" s="1" t="n">
        <v>53454</v>
      </c>
      <c r="B53455">
        <f>TEXT(53454, "[$-0E0000]yyyy-mm-dd")</f>
        <v/>
      </c>
      <c r="C53455" t="inlineStr">
        <is>
          <t>2046-04-03</t>
        </is>
      </c>
    </row>
    <row r="53456">
      <c r="A53456" s="1" t="n">
        <v>53455</v>
      </c>
      <c r="B53456">
        <f>TEXT(53455, "[$-0E0000]yyyy-mm-dd")</f>
        <v/>
      </c>
      <c r="C53456" t="inlineStr">
        <is>
          <t>2046-04-04</t>
        </is>
      </c>
    </row>
    <row r="53457">
      <c r="A53457" s="1" t="n">
        <v>53456</v>
      </c>
      <c r="B53457">
        <f>TEXT(53456, "[$-0E0000]yyyy-mm-dd")</f>
        <v/>
      </c>
      <c r="C53457" t="inlineStr">
        <is>
          <t>2046-04-05</t>
        </is>
      </c>
    </row>
    <row r="53458">
      <c r="A53458" s="1" t="n">
        <v>53457</v>
      </c>
      <c r="B53458">
        <f>TEXT(53457, "[$-0E0000]yyyy-mm-dd")</f>
        <v/>
      </c>
      <c r="C53458" t="inlineStr">
        <is>
          <t>2046-04-06</t>
        </is>
      </c>
    </row>
    <row r="53459">
      <c r="A53459" s="1" t="n">
        <v>53458</v>
      </c>
      <c r="B53459">
        <f>TEXT(53458, "[$-0E0000]yyyy-mm-dd")</f>
        <v/>
      </c>
      <c r="C53459" t="inlineStr">
        <is>
          <t>2046-04-07</t>
        </is>
      </c>
    </row>
    <row r="53460">
      <c r="A53460" s="1" t="n">
        <v>53459</v>
      </c>
      <c r="B53460">
        <f>TEXT(53459, "[$-0E0000]yyyy-mm-dd")</f>
        <v/>
      </c>
      <c r="C53460" t="inlineStr">
        <is>
          <t>2046-04-08</t>
        </is>
      </c>
    </row>
    <row r="53461">
      <c r="A53461" s="1" t="n">
        <v>53460</v>
      </c>
      <c r="B53461">
        <f>TEXT(53460, "[$-0E0000]yyyy-mm-dd")</f>
        <v/>
      </c>
      <c r="C53461" t="inlineStr">
        <is>
          <t>2046-04-09</t>
        </is>
      </c>
    </row>
    <row r="53462">
      <c r="A53462" s="1" t="n">
        <v>53461</v>
      </c>
      <c r="B53462">
        <f>TEXT(53461, "[$-0E0000]yyyy-mm-dd")</f>
        <v/>
      </c>
      <c r="C53462" t="inlineStr">
        <is>
          <t>2046-04-10</t>
        </is>
      </c>
    </row>
    <row r="53463">
      <c r="A53463" s="1" t="n">
        <v>53462</v>
      </c>
      <c r="B53463">
        <f>TEXT(53462, "[$-0E0000]yyyy-mm-dd")</f>
        <v/>
      </c>
      <c r="C53463" t="inlineStr">
        <is>
          <t>2046-04-11</t>
        </is>
      </c>
    </row>
    <row r="53464">
      <c r="A53464" s="1" t="n">
        <v>53463</v>
      </c>
      <c r="B53464">
        <f>TEXT(53463, "[$-0E0000]yyyy-mm-dd")</f>
        <v/>
      </c>
      <c r="C53464" t="inlineStr">
        <is>
          <t>2046-04-12</t>
        </is>
      </c>
    </row>
    <row r="53465">
      <c r="A53465" s="1" t="n">
        <v>53464</v>
      </c>
      <c r="B53465">
        <f>TEXT(53464, "[$-0E0000]yyyy-mm-dd")</f>
        <v/>
      </c>
      <c r="C53465" t="inlineStr">
        <is>
          <t>2046-04-13</t>
        </is>
      </c>
    </row>
    <row r="53466">
      <c r="A53466" s="1" t="n">
        <v>53465</v>
      </c>
      <c r="B53466">
        <f>TEXT(53465, "[$-0E0000]yyyy-mm-dd")</f>
        <v/>
      </c>
      <c r="C53466" t="inlineStr">
        <is>
          <t>2046-04-14</t>
        </is>
      </c>
    </row>
    <row r="53467">
      <c r="A53467" s="1" t="n">
        <v>53466</v>
      </c>
      <c r="B53467">
        <f>TEXT(53466, "[$-0E0000]yyyy-mm-dd")</f>
        <v/>
      </c>
      <c r="C53467" t="inlineStr">
        <is>
          <t>2046-04-15</t>
        </is>
      </c>
    </row>
    <row r="53468">
      <c r="A53468" s="1" t="n">
        <v>53467</v>
      </c>
      <c r="B53468">
        <f>TEXT(53467, "[$-0E0000]yyyy-mm-dd")</f>
        <v/>
      </c>
      <c r="C53468" t="inlineStr">
        <is>
          <t>2046-04-16</t>
        </is>
      </c>
    </row>
    <row r="53469">
      <c r="A53469" s="1" t="n">
        <v>53468</v>
      </c>
      <c r="B53469">
        <f>TEXT(53468, "[$-0E0000]yyyy-mm-dd")</f>
        <v/>
      </c>
      <c r="C53469" t="inlineStr">
        <is>
          <t>2046-04-17</t>
        </is>
      </c>
    </row>
    <row r="53470">
      <c r="A53470" s="1" t="n">
        <v>53469</v>
      </c>
      <c r="B53470">
        <f>TEXT(53469, "[$-0E0000]yyyy-mm-dd")</f>
        <v/>
      </c>
      <c r="C53470" t="inlineStr">
        <is>
          <t>2046-04-18</t>
        </is>
      </c>
    </row>
    <row r="53471">
      <c r="A53471" s="1" t="n">
        <v>53470</v>
      </c>
      <c r="B53471">
        <f>TEXT(53470, "[$-0E0000]yyyy-mm-dd")</f>
        <v/>
      </c>
      <c r="C53471" t="inlineStr">
        <is>
          <t>2046-04-19</t>
        </is>
      </c>
    </row>
    <row r="53472">
      <c r="A53472" s="1" t="n">
        <v>53471</v>
      </c>
      <c r="B53472">
        <f>TEXT(53471, "[$-0E0000]yyyy-mm-dd")</f>
        <v/>
      </c>
      <c r="C53472" t="inlineStr">
        <is>
          <t>2046-04-20</t>
        </is>
      </c>
    </row>
    <row r="53473">
      <c r="A53473" s="1" t="n">
        <v>53472</v>
      </c>
      <c r="B53473">
        <f>TEXT(53472, "[$-0E0000]yyyy-mm-dd")</f>
        <v/>
      </c>
      <c r="C53473" t="inlineStr">
        <is>
          <t>2046-04-21</t>
        </is>
      </c>
    </row>
    <row r="53474">
      <c r="A53474" s="1" t="n">
        <v>53473</v>
      </c>
      <c r="B53474">
        <f>TEXT(53473, "[$-0E0000]yyyy-mm-dd")</f>
        <v/>
      </c>
      <c r="C53474" t="inlineStr">
        <is>
          <t>2046-04-22</t>
        </is>
      </c>
    </row>
    <row r="53475">
      <c r="A53475" s="1" t="n">
        <v>53474</v>
      </c>
      <c r="B53475">
        <f>TEXT(53474, "[$-0E0000]yyyy-mm-dd")</f>
        <v/>
      </c>
      <c r="C53475" t="inlineStr">
        <is>
          <t>2046-04-23</t>
        </is>
      </c>
    </row>
    <row r="53476">
      <c r="A53476" s="1" t="n">
        <v>53475</v>
      </c>
      <c r="B53476">
        <f>TEXT(53475, "[$-0E0000]yyyy-mm-dd")</f>
        <v/>
      </c>
      <c r="C53476" t="inlineStr">
        <is>
          <t>2046-04-24</t>
        </is>
      </c>
    </row>
    <row r="53477">
      <c r="A53477" s="1" t="n">
        <v>53476</v>
      </c>
      <c r="B53477">
        <f>TEXT(53476, "[$-0E0000]yyyy-mm-dd")</f>
        <v/>
      </c>
      <c r="C53477" t="inlineStr">
        <is>
          <t>2046-04-25</t>
        </is>
      </c>
    </row>
    <row r="53478">
      <c r="A53478" s="1" t="n">
        <v>53477</v>
      </c>
      <c r="B53478">
        <f>TEXT(53477, "[$-0E0000]yyyy-mm-dd")</f>
        <v/>
      </c>
      <c r="C53478" t="inlineStr">
        <is>
          <t>2046-04-26</t>
        </is>
      </c>
    </row>
    <row r="53479">
      <c r="A53479" s="1" t="n">
        <v>53478</v>
      </c>
      <c r="B53479">
        <f>TEXT(53478, "[$-0E0000]yyyy-mm-dd")</f>
        <v/>
      </c>
      <c r="C53479" t="inlineStr">
        <is>
          <t>2046-04-27</t>
        </is>
      </c>
    </row>
    <row r="53480">
      <c r="A53480" s="1" t="n">
        <v>53479</v>
      </c>
      <c r="B53480">
        <f>TEXT(53479, "[$-0E0000]yyyy-mm-dd")</f>
        <v/>
      </c>
      <c r="C53480" t="inlineStr">
        <is>
          <t>2046-04-28</t>
        </is>
      </c>
    </row>
    <row r="53481">
      <c r="A53481" s="1" t="n">
        <v>53480</v>
      </c>
      <c r="B53481">
        <f>TEXT(53480, "[$-0E0000]yyyy-mm-dd")</f>
        <v/>
      </c>
      <c r="C53481" t="inlineStr">
        <is>
          <t>2046-04-29</t>
        </is>
      </c>
    </row>
    <row r="53482">
      <c r="A53482" s="1" t="n">
        <v>53481</v>
      </c>
      <c r="B53482">
        <f>TEXT(53481, "[$-0E0000]yyyy-mm-dd")</f>
        <v/>
      </c>
      <c r="C53482" t="inlineStr">
        <is>
          <t>2046-05-01</t>
        </is>
      </c>
    </row>
    <row r="53483">
      <c r="A53483" s="1" t="n">
        <v>53482</v>
      </c>
      <c r="B53483">
        <f>TEXT(53482, "[$-0E0000]yyyy-mm-dd")</f>
        <v/>
      </c>
      <c r="C53483" t="inlineStr">
        <is>
          <t>2046-05-02</t>
        </is>
      </c>
    </row>
    <row r="53484">
      <c r="A53484" s="1" t="n">
        <v>53483</v>
      </c>
      <c r="B53484">
        <f>TEXT(53483, "[$-0E0000]yyyy-mm-dd")</f>
        <v/>
      </c>
      <c r="C53484" t="inlineStr">
        <is>
          <t>2046-05-03</t>
        </is>
      </c>
    </row>
    <row r="53485">
      <c r="A53485" s="1" t="n">
        <v>53484</v>
      </c>
      <c r="B53485">
        <f>TEXT(53484, "[$-0E0000]yyyy-mm-dd")</f>
        <v/>
      </c>
      <c r="C53485" t="inlineStr">
        <is>
          <t>2046-05-04</t>
        </is>
      </c>
    </row>
    <row r="53486">
      <c r="A53486" s="1" t="n">
        <v>53485</v>
      </c>
      <c r="B53486">
        <f>TEXT(53485, "[$-0E0000]yyyy-mm-dd")</f>
        <v/>
      </c>
      <c r="C53486" t="inlineStr">
        <is>
          <t>2046-05-05</t>
        </is>
      </c>
    </row>
    <row r="53487">
      <c r="A53487" s="1" t="n">
        <v>53486</v>
      </c>
      <c r="B53487">
        <f>TEXT(53486, "[$-0E0000]yyyy-mm-dd")</f>
        <v/>
      </c>
      <c r="C53487" t="inlineStr">
        <is>
          <t>2046-05-06</t>
        </is>
      </c>
    </row>
    <row r="53488">
      <c r="A53488" s="1" t="n">
        <v>53487</v>
      </c>
      <c r="B53488">
        <f>TEXT(53487, "[$-0E0000]yyyy-mm-dd")</f>
        <v/>
      </c>
      <c r="C53488" t="inlineStr">
        <is>
          <t>2046-05-07</t>
        </is>
      </c>
    </row>
    <row r="53489">
      <c r="A53489" s="1" t="n">
        <v>53488</v>
      </c>
      <c r="B53489">
        <f>TEXT(53488, "[$-0E0000]yyyy-mm-dd")</f>
        <v/>
      </c>
      <c r="C53489" t="inlineStr">
        <is>
          <t>2046-05-08</t>
        </is>
      </c>
    </row>
    <row r="53490">
      <c r="A53490" s="1" t="n">
        <v>53489</v>
      </c>
      <c r="B53490">
        <f>TEXT(53489, "[$-0E0000]yyyy-mm-dd")</f>
        <v/>
      </c>
      <c r="C53490" t="inlineStr">
        <is>
          <t>2046-05-09</t>
        </is>
      </c>
    </row>
    <row r="53491">
      <c r="A53491" s="1" t="n">
        <v>53490</v>
      </c>
      <c r="B53491">
        <f>TEXT(53490, "[$-0E0000]yyyy-mm-dd")</f>
        <v/>
      </c>
      <c r="C53491" t="inlineStr">
        <is>
          <t>2046-05-10</t>
        </is>
      </c>
    </row>
    <row r="53492">
      <c r="A53492" s="1" t="n">
        <v>53491</v>
      </c>
      <c r="B53492">
        <f>TEXT(53491, "[$-0E0000]yyyy-mm-dd")</f>
        <v/>
      </c>
      <c r="C53492" t="inlineStr">
        <is>
          <t>2046-05-11</t>
        </is>
      </c>
    </row>
    <row r="53493">
      <c r="A53493" s="1" t="n">
        <v>53492</v>
      </c>
      <c r="B53493">
        <f>TEXT(53492, "[$-0E0000]yyyy-mm-dd")</f>
        <v/>
      </c>
      <c r="C53493" t="inlineStr">
        <is>
          <t>2046-05-12</t>
        </is>
      </c>
    </row>
    <row r="53494">
      <c r="A53494" s="1" t="n">
        <v>53493</v>
      </c>
      <c r="B53494">
        <f>TEXT(53493, "[$-0E0000]yyyy-mm-dd")</f>
        <v/>
      </c>
      <c r="C53494" t="inlineStr">
        <is>
          <t>2046-05-13</t>
        </is>
      </c>
    </row>
    <row r="53495">
      <c r="A53495" s="1" t="n">
        <v>53494</v>
      </c>
      <c r="B53495">
        <f>TEXT(53494, "[$-0E0000]yyyy-mm-dd")</f>
        <v/>
      </c>
      <c r="C53495" t="inlineStr">
        <is>
          <t>2046-05-14</t>
        </is>
      </c>
    </row>
    <row r="53496">
      <c r="A53496" s="1" t="n">
        <v>53495</v>
      </c>
      <c r="B53496">
        <f>TEXT(53495, "[$-0E0000]yyyy-mm-dd")</f>
        <v/>
      </c>
      <c r="C53496" t="inlineStr">
        <is>
          <t>2046-05-15</t>
        </is>
      </c>
    </row>
    <row r="53497">
      <c r="A53497" s="1" t="n">
        <v>53496</v>
      </c>
      <c r="B53497">
        <f>TEXT(53496, "[$-0E0000]yyyy-mm-dd")</f>
        <v/>
      </c>
      <c r="C53497" t="inlineStr">
        <is>
          <t>2046-05-16</t>
        </is>
      </c>
    </row>
    <row r="53498">
      <c r="A53498" s="1" t="n">
        <v>53497</v>
      </c>
      <c r="B53498">
        <f>TEXT(53497, "[$-0E0000]yyyy-mm-dd")</f>
        <v/>
      </c>
      <c r="C53498" t="inlineStr">
        <is>
          <t>2046-05-17</t>
        </is>
      </c>
    </row>
    <row r="53499">
      <c r="A53499" s="1" t="n">
        <v>53498</v>
      </c>
      <c r="B53499">
        <f>TEXT(53498, "[$-0E0000]yyyy-mm-dd")</f>
        <v/>
      </c>
      <c r="C53499" t="inlineStr">
        <is>
          <t>2046-05-18</t>
        </is>
      </c>
    </row>
    <row r="53500">
      <c r="A53500" s="1" t="n">
        <v>53499</v>
      </c>
      <c r="B53500">
        <f>TEXT(53499, "[$-0E0000]yyyy-mm-dd")</f>
        <v/>
      </c>
      <c r="C53500" t="inlineStr">
        <is>
          <t>2046-05-19</t>
        </is>
      </c>
    </row>
    <row r="53501">
      <c r="A53501" s="1" t="n">
        <v>53500</v>
      </c>
      <c r="B53501">
        <f>TEXT(53500, "[$-0E0000]yyyy-mm-dd")</f>
        <v/>
      </c>
      <c r="C53501" t="inlineStr">
        <is>
          <t>2046-05-20</t>
        </is>
      </c>
    </row>
    <row r="53502">
      <c r="A53502" s="1" t="n">
        <v>53501</v>
      </c>
      <c r="B53502">
        <f>TEXT(53501, "[$-0E0000]yyyy-mm-dd")</f>
        <v/>
      </c>
      <c r="C53502" t="inlineStr">
        <is>
          <t>2046-05-21</t>
        </is>
      </c>
    </row>
    <row r="53503">
      <c r="A53503" s="1" t="n">
        <v>53502</v>
      </c>
      <c r="B53503">
        <f>TEXT(53502, "[$-0E0000]yyyy-mm-dd")</f>
        <v/>
      </c>
      <c r="C53503" t="inlineStr">
        <is>
          <t>2046-05-22</t>
        </is>
      </c>
    </row>
    <row r="53504">
      <c r="A53504" s="1" t="n">
        <v>53503</v>
      </c>
      <c r="B53504">
        <f>TEXT(53503, "[$-0E0000]yyyy-mm-dd")</f>
        <v/>
      </c>
      <c r="C53504" t="inlineStr">
        <is>
          <t>2046-05-23</t>
        </is>
      </c>
    </row>
    <row r="53505">
      <c r="A53505" s="1" t="n">
        <v>53504</v>
      </c>
      <c r="B53505">
        <f>TEXT(53504, "[$-0E0000]yyyy-mm-dd")</f>
        <v/>
      </c>
      <c r="C53505" t="inlineStr">
        <is>
          <t>2046-05-24</t>
        </is>
      </c>
    </row>
    <row r="53506">
      <c r="A53506" s="1" t="n">
        <v>53505</v>
      </c>
      <c r="B53506">
        <f>TEXT(53505, "[$-0E0000]yyyy-mm-dd")</f>
        <v/>
      </c>
      <c r="C53506" t="inlineStr">
        <is>
          <t>2046-05-25</t>
        </is>
      </c>
    </row>
    <row r="53507">
      <c r="A53507" s="1" t="n">
        <v>53506</v>
      </c>
      <c r="B53507">
        <f>TEXT(53506, "[$-0E0000]yyyy-mm-dd")</f>
        <v/>
      </c>
      <c r="C53507" t="inlineStr">
        <is>
          <t>2046-05-26</t>
        </is>
      </c>
    </row>
    <row r="53508">
      <c r="A53508" s="1" t="n">
        <v>53507</v>
      </c>
      <c r="B53508">
        <f>TEXT(53507, "[$-0E0000]yyyy-mm-dd")</f>
        <v/>
      </c>
      <c r="C53508" t="inlineStr">
        <is>
          <t>2046-05-27</t>
        </is>
      </c>
    </row>
    <row r="53509">
      <c r="A53509" s="1" t="n">
        <v>53508</v>
      </c>
      <c r="B53509">
        <f>TEXT(53508, "[$-0E0000]yyyy-mm-dd")</f>
        <v/>
      </c>
      <c r="C53509" t="inlineStr">
        <is>
          <t>2046-05-28</t>
        </is>
      </c>
    </row>
    <row r="53510">
      <c r="A53510" s="1" t="n">
        <v>53509</v>
      </c>
      <c r="B53510">
        <f>TEXT(53509, "[$-0E0000]yyyy-mm-dd")</f>
        <v/>
      </c>
      <c r="C53510" t="inlineStr">
        <is>
          <t>2046-05-29</t>
        </is>
      </c>
    </row>
    <row r="53511">
      <c r="A53511" s="1" t="n">
        <v>53510</v>
      </c>
      <c r="B53511">
        <f>TEXT(53510, "[$-0E0000]yyyy-mm-dd")</f>
        <v/>
      </c>
      <c r="C53511" t="inlineStr">
        <is>
          <t>2046-05-30</t>
        </is>
      </c>
    </row>
    <row r="53512">
      <c r="A53512" s="1" t="n">
        <v>53511</v>
      </c>
      <c r="B53512">
        <f>TEXT(53511, "[$-0E0000]yyyy-mm-dd")</f>
        <v/>
      </c>
      <c r="C53512" t="inlineStr">
        <is>
          <t>2046-06-01</t>
        </is>
      </c>
    </row>
    <row r="53513">
      <c r="A53513" s="1" t="n">
        <v>53512</v>
      </c>
      <c r="B53513">
        <f>TEXT(53512, "[$-0E0000]yyyy-mm-dd")</f>
        <v/>
      </c>
      <c r="C53513" t="inlineStr">
        <is>
          <t>2046-06-02</t>
        </is>
      </c>
    </row>
    <row r="53514">
      <c r="A53514" s="1" t="n">
        <v>53513</v>
      </c>
      <c r="B53514">
        <f>TEXT(53513, "[$-0E0000]yyyy-mm-dd")</f>
        <v/>
      </c>
      <c r="C53514" t="inlineStr">
        <is>
          <t>2046-06-03</t>
        </is>
      </c>
    </row>
    <row r="53515">
      <c r="A53515" s="1" t="n">
        <v>53514</v>
      </c>
      <c r="B53515">
        <f>TEXT(53514, "[$-0E0000]yyyy-mm-dd")</f>
        <v/>
      </c>
      <c r="C53515" t="inlineStr">
        <is>
          <t>2046-06-04</t>
        </is>
      </c>
    </row>
    <row r="53516">
      <c r="A53516" s="1" t="n">
        <v>53515</v>
      </c>
      <c r="B53516">
        <f>TEXT(53515, "[$-0E0000]yyyy-mm-dd")</f>
        <v/>
      </c>
      <c r="C53516" t="inlineStr">
        <is>
          <t>2046-06-05</t>
        </is>
      </c>
    </row>
    <row r="53517">
      <c r="A53517" s="1" t="n">
        <v>53516</v>
      </c>
      <c r="B53517">
        <f>TEXT(53516, "[$-0E0000]yyyy-mm-dd")</f>
        <v/>
      </c>
      <c r="C53517" t="inlineStr">
        <is>
          <t>2046-06-06</t>
        </is>
      </c>
    </row>
    <row r="53518">
      <c r="A53518" s="1" t="n">
        <v>53517</v>
      </c>
      <c r="B53518">
        <f>TEXT(53517, "[$-0E0000]yyyy-mm-dd")</f>
        <v/>
      </c>
      <c r="C53518" t="inlineStr">
        <is>
          <t>2046-06-07</t>
        </is>
      </c>
    </row>
    <row r="53519">
      <c r="A53519" s="1" t="n">
        <v>53518</v>
      </c>
      <c r="B53519">
        <f>TEXT(53518, "[$-0E0000]yyyy-mm-dd")</f>
        <v/>
      </c>
      <c r="C53519" t="inlineStr">
        <is>
          <t>2046-06-08</t>
        </is>
      </c>
    </row>
    <row r="53520">
      <c r="A53520" s="1" t="n">
        <v>53519</v>
      </c>
      <c r="B53520">
        <f>TEXT(53519, "[$-0E0000]yyyy-mm-dd")</f>
        <v/>
      </c>
      <c r="C53520" t="inlineStr">
        <is>
          <t>2046-06-09</t>
        </is>
      </c>
    </row>
    <row r="53521">
      <c r="A53521" s="1" t="n">
        <v>53520</v>
      </c>
      <c r="B53521">
        <f>TEXT(53520, "[$-0E0000]yyyy-mm-dd")</f>
        <v/>
      </c>
      <c r="C53521" t="inlineStr">
        <is>
          <t>2046-06-10</t>
        </is>
      </c>
    </row>
    <row r="53522">
      <c r="A53522" s="1" t="n">
        <v>53521</v>
      </c>
      <c r="B53522">
        <f>TEXT(53521, "[$-0E0000]yyyy-mm-dd")</f>
        <v/>
      </c>
      <c r="C53522" t="inlineStr">
        <is>
          <t>2046-06-11</t>
        </is>
      </c>
    </row>
    <row r="53523">
      <c r="A53523" s="1" t="n">
        <v>53522</v>
      </c>
      <c r="B53523">
        <f>TEXT(53522, "[$-0E0000]yyyy-mm-dd")</f>
        <v/>
      </c>
      <c r="C53523" t="inlineStr">
        <is>
          <t>2046-06-12</t>
        </is>
      </c>
    </row>
    <row r="53524">
      <c r="A53524" s="1" t="n">
        <v>53523</v>
      </c>
      <c r="B53524">
        <f>TEXT(53523, "[$-0E0000]yyyy-mm-dd")</f>
        <v/>
      </c>
      <c r="C53524" t="inlineStr">
        <is>
          <t>2046-06-13</t>
        </is>
      </c>
    </row>
    <row r="53525">
      <c r="A53525" s="1" t="n">
        <v>53524</v>
      </c>
      <c r="B53525">
        <f>TEXT(53524, "[$-0E0000]yyyy-mm-dd")</f>
        <v/>
      </c>
      <c r="C53525" t="inlineStr">
        <is>
          <t>2046-06-14</t>
        </is>
      </c>
    </row>
    <row r="53526">
      <c r="A53526" s="1" t="n">
        <v>53525</v>
      </c>
      <c r="B53526">
        <f>TEXT(53525, "[$-0E0000]yyyy-mm-dd")</f>
        <v/>
      </c>
      <c r="C53526" t="inlineStr">
        <is>
          <t>2046-06-15</t>
        </is>
      </c>
    </row>
    <row r="53527">
      <c r="A53527" s="1" t="n">
        <v>53526</v>
      </c>
      <c r="B53527">
        <f>TEXT(53526, "[$-0E0000]yyyy-mm-dd")</f>
        <v/>
      </c>
      <c r="C53527" t="inlineStr">
        <is>
          <t>2046-06-16</t>
        </is>
      </c>
    </row>
    <row r="53528">
      <c r="A53528" s="1" t="n">
        <v>53527</v>
      </c>
      <c r="B53528">
        <f>TEXT(53527, "[$-0E0000]yyyy-mm-dd")</f>
        <v/>
      </c>
      <c r="C53528" t="inlineStr">
        <is>
          <t>2046-06-17</t>
        </is>
      </c>
    </row>
    <row r="53529">
      <c r="A53529" s="1" t="n">
        <v>53528</v>
      </c>
      <c r="B53529">
        <f>TEXT(53528, "[$-0E0000]yyyy-mm-dd")</f>
        <v/>
      </c>
      <c r="C53529" t="inlineStr">
        <is>
          <t>2046-06-18</t>
        </is>
      </c>
    </row>
    <row r="53530">
      <c r="A53530" s="1" t="n">
        <v>53529</v>
      </c>
      <c r="B53530">
        <f>TEXT(53529, "[$-0E0000]yyyy-mm-dd")</f>
        <v/>
      </c>
      <c r="C53530" t="inlineStr">
        <is>
          <t>2046-06-19</t>
        </is>
      </c>
    </row>
    <row r="53531">
      <c r="A53531" s="1" t="n">
        <v>53530</v>
      </c>
      <c r="B53531">
        <f>TEXT(53530, "[$-0E0000]yyyy-mm-dd")</f>
        <v/>
      </c>
      <c r="C53531" t="inlineStr">
        <is>
          <t>2046-06-20</t>
        </is>
      </c>
    </row>
    <row r="53532">
      <c r="A53532" s="1" t="n">
        <v>53531</v>
      </c>
      <c r="B53532">
        <f>TEXT(53531, "[$-0E0000]yyyy-mm-dd")</f>
        <v/>
      </c>
      <c r="C53532" t="inlineStr">
        <is>
          <t>2046-06-21</t>
        </is>
      </c>
    </row>
    <row r="53533">
      <c r="A53533" s="1" t="n">
        <v>53532</v>
      </c>
      <c r="B53533">
        <f>TEXT(53532, "[$-0E0000]yyyy-mm-dd")</f>
        <v/>
      </c>
      <c r="C53533" t="inlineStr">
        <is>
          <t>2046-06-22</t>
        </is>
      </c>
    </row>
    <row r="53534">
      <c r="A53534" s="1" t="n">
        <v>53533</v>
      </c>
      <c r="B53534">
        <f>TEXT(53533, "[$-0E0000]yyyy-mm-dd")</f>
        <v/>
      </c>
      <c r="C53534" t="inlineStr">
        <is>
          <t>2046-06-23</t>
        </is>
      </c>
    </row>
    <row r="53535">
      <c r="A53535" s="1" t="n">
        <v>53534</v>
      </c>
      <c r="B53535">
        <f>TEXT(53534, "[$-0E0000]yyyy-mm-dd")</f>
        <v/>
      </c>
      <c r="C53535" t="inlineStr">
        <is>
          <t>2046-06-24</t>
        </is>
      </c>
    </row>
    <row r="53536">
      <c r="A53536" s="1" t="n">
        <v>53535</v>
      </c>
      <c r="B53536">
        <f>TEXT(53535, "[$-0E0000]yyyy-mm-dd")</f>
        <v/>
      </c>
      <c r="C53536" t="inlineStr">
        <is>
          <t>2046-06-25</t>
        </is>
      </c>
    </row>
    <row r="53537">
      <c r="A53537" s="1" t="n">
        <v>53536</v>
      </c>
      <c r="B53537">
        <f>TEXT(53536, "[$-0E0000]yyyy-mm-dd")</f>
        <v/>
      </c>
      <c r="C53537" t="inlineStr">
        <is>
          <t>2046-06-26</t>
        </is>
      </c>
    </row>
    <row r="53538">
      <c r="A53538" s="1" t="n">
        <v>53537</v>
      </c>
      <c r="B53538">
        <f>TEXT(53537, "[$-0E0000]yyyy-mm-dd")</f>
        <v/>
      </c>
      <c r="C53538" t="inlineStr">
        <is>
          <t>2046-06-27</t>
        </is>
      </c>
    </row>
    <row r="53539">
      <c r="A53539" s="1" t="n">
        <v>53538</v>
      </c>
      <c r="B53539">
        <f>TEXT(53538, "[$-0E0000]yyyy-mm-dd")</f>
        <v/>
      </c>
      <c r="C53539" t="inlineStr">
        <is>
          <t>2046-06-28</t>
        </is>
      </c>
    </row>
    <row r="53540">
      <c r="A53540" s="1" t="n">
        <v>53539</v>
      </c>
      <c r="B53540">
        <f>TEXT(53539, "[$-0E0000]yyyy-mm-dd")</f>
        <v/>
      </c>
      <c r="C53540" t="inlineStr">
        <is>
          <t>2046-06-29</t>
        </is>
      </c>
    </row>
    <row r="53541">
      <c r="A53541" s="1" t="n">
        <v>53540</v>
      </c>
      <c r="B53541">
        <f>TEXT(53540, "[$-0E0000]yyyy-mm-dd")</f>
        <v/>
      </c>
      <c r="C53541" t="inlineStr">
        <is>
          <t>2046-07-01</t>
        </is>
      </c>
    </row>
    <row r="53542">
      <c r="A53542" s="1" t="n">
        <v>53541</v>
      </c>
      <c r="B53542">
        <f>TEXT(53541, "[$-0E0000]yyyy-mm-dd")</f>
        <v/>
      </c>
      <c r="C53542" t="inlineStr">
        <is>
          <t>2046-07-02</t>
        </is>
      </c>
    </row>
    <row r="53543">
      <c r="A53543" s="1" t="n">
        <v>53542</v>
      </c>
      <c r="B53543">
        <f>TEXT(53542, "[$-0E0000]yyyy-mm-dd")</f>
        <v/>
      </c>
      <c r="C53543" t="inlineStr">
        <is>
          <t>2046-07-03</t>
        </is>
      </c>
    </row>
    <row r="53544">
      <c r="A53544" s="1" t="n">
        <v>53543</v>
      </c>
      <c r="B53544">
        <f>TEXT(53543, "[$-0E0000]yyyy-mm-dd")</f>
        <v/>
      </c>
      <c r="C53544" t="inlineStr">
        <is>
          <t>2046-07-04</t>
        </is>
      </c>
    </row>
    <row r="53545">
      <c r="A53545" s="1" t="n">
        <v>53544</v>
      </c>
      <c r="B53545">
        <f>TEXT(53544, "[$-0E0000]yyyy-mm-dd")</f>
        <v/>
      </c>
      <c r="C53545" t="inlineStr">
        <is>
          <t>2046-07-05</t>
        </is>
      </c>
    </row>
    <row r="53546">
      <c r="A53546" s="1" t="n">
        <v>53545</v>
      </c>
      <c r="B53546">
        <f>TEXT(53545, "[$-0E0000]yyyy-mm-dd")</f>
        <v/>
      </c>
      <c r="C53546" t="inlineStr">
        <is>
          <t>2046-07-06</t>
        </is>
      </c>
    </row>
    <row r="53547">
      <c r="A53547" s="1" t="n">
        <v>53546</v>
      </c>
      <c r="B53547">
        <f>TEXT(53546, "[$-0E0000]yyyy-mm-dd")</f>
        <v/>
      </c>
      <c r="C53547" t="inlineStr">
        <is>
          <t>2046-07-07</t>
        </is>
      </c>
    </row>
    <row r="53548">
      <c r="A53548" s="1" t="n">
        <v>53547</v>
      </c>
      <c r="B53548">
        <f>TEXT(53547, "[$-0E0000]yyyy-mm-dd")</f>
        <v/>
      </c>
      <c r="C53548" t="inlineStr">
        <is>
          <t>2046-07-08</t>
        </is>
      </c>
    </row>
    <row r="53549">
      <c r="A53549" s="1" t="n">
        <v>53548</v>
      </c>
      <c r="B53549">
        <f>TEXT(53548, "[$-0E0000]yyyy-mm-dd")</f>
        <v/>
      </c>
      <c r="C53549" t="inlineStr">
        <is>
          <t>2046-07-09</t>
        </is>
      </c>
    </row>
    <row r="53550">
      <c r="A53550" s="1" t="n">
        <v>53549</v>
      </c>
      <c r="B53550">
        <f>TEXT(53549, "[$-0E0000]yyyy-mm-dd")</f>
        <v/>
      </c>
      <c r="C53550" t="inlineStr">
        <is>
          <t>2046-07-10</t>
        </is>
      </c>
    </row>
    <row r="53551">
      <c r="A53551" s="1" t="n">
        <v>53550</v>
      </c>
      <c r="B53551">
        <f>TEXT(53550, "[$-0E0000]yyyy-mm-dd")</f>
        <v/>
      </c>
      <c r="C53551" t="inlineStr">
        <is>
          <t>2046-07-11</t>
        </is>
      </c>
    </row>
    <row r="53552">
      <c r="A53552" s="1" t="n">
        <v>53551</v>
      </c>
      <c r="B53552">
        <f>TEXT(53551, "[$-0E0000]yyyy-mm-dd")</f>
        <v/>
      </c>
      <c r="C53552" t="inlineStr">
        <is>
          <t>2046-07-12</t>
        </is>
      </c>
    </row>
    <row r="53553">
      <c r="A53553" s="1" t="n">
        <v>53552</v>
      </c>
      <c r="B53553">
        <f>TEXT(53552, "[$-0E0000]yyyy-mm-dd")</f>
        <v/>
      </c>
      <c r="C53553" t="inlineStr">
        <is>
          <t>2046-07-13</t>
        </is>
      </c>
    </row>
    <row r="53554">
      <c r="A53554" s="1" t="n">
        <v>53553</v>
      </c>
      <c r="B53554">
        <f>TEXT(53553, "[$-0E0000]yyyy-mm-dd")</f>
        <v/>
      </c>
      <c r="C53554" t="inlineStr">
        <is>
          <t>2046-07-14</t>
        </is>
      </c>
    </row>
    <row r="53555">
      <c r="A53555" s="1" t="n">
        <v>53554</v>
      </c>
      <c r="B53555">
        <f>TEXT(53554, "[$-0E0000]yyyy-mm-dd")</f>
        <v/>
      </c>
      <c r="C53555" t="inlineStr">
        <is>
          <t>2046-07-15</t>
        </is>
      </c>
    </row>
    <row r="53556">
      <c r="A53556" s="1" t="n">
        <v>53555</v>
      </c>
      <c r="B53556">
        <f>TEXT(53555, "[$-0E0000]yyyy-mm-dd")</f>
        <v/>
      </c>
      <c r="C53556" t="inlineStr">
        <is>
          <t>2046-07-16</t>
        </is>
      </c>
    </row>
    <row r="53557">
      <c r="A53557" s="1" t="n">
        <v>53556</v>
      </c>
      <c r="B53557">
        <f>TEXT(53556, "[$-0E0000]yyyy-mm-dd")</f>
        <v/>
      </c>
      <c r="C53557" t="inlineStr">
        <is>
          <t>2046-07-17</t>
        </is>
      </c>
    </row>
    <row r="53558">
      <c r="A53558" s="1" t="n">
        <v>53557</v>
      </c>
      <c r="B53558">
        <f>TEXT(53557, "[$-0E0000]yyyy-mm-dd")</f>
        <v/>
      </c>
      <c r="C53558" t="inlineStr">
        <is>
          <t>2046-07-18</t>
        </is>
      </c>
    </row>
    <row r="53559">
      <c r="A53559" s="1" t="n">
        <v>53558</v>
      </c>
      <c r="B53559">
        <f>TEXT(53558, "[$-0E0000]yyyy-mm-dd")</f>
        <v/>
      </c>
      <c r="C53559" t="inlineStr">
        <is>
          <t>2046-07-19</t>
        </is>
      </c>
    </row>
    <row r="53560">
      <c r="A53560" s="1" t="n">
        <v>53559</v>
      </c>
      <c r="B53560">
        <f>TEXT(53559, "[$-0E0000]yyyy-mm-dd")</f>
        <v/>
      </c>
      <c r="C53560" t="inlineStr">
        <is>
          <t>2046-07-20</t>
        </is>
      </c>
    </row>
    <row r="53561">
      <c r="A53561" s="1" t="n">
        <v>53560</v>
      </c>
      <c r="B53561">
        <f>TEXT(53560, "[$-0E0000]yyyy-mm-dd")</f>
        <v/>
      </c>
      <c r="C53561" t="inlineStr">
        <is>
          <t>2046-07-21</t>
        </is>
      </c>
    </row>
    <row r="53562">
      <c r="A53562" s="1" t="n">
        <v>53561</v>
      </c>
      <c r="B53562">
        <f>TEXT(53561, "[$-0E0000]yyyy-mm-dd")</f>
        <v/>
      </c>
      <c r="C53562" t="inlineStr">
        <is>
          <t>2046-07-22</t>
        </is>
      </c>
    </row>
    <row r="53563">
      <c r="A53563" s="1" t="n">
        <v>53562</v>
      </c>
      <c r="B53563">
        <f>TEXT(53562, "[$-0E0000]yyyy-mm-dd")</f>
        <v/>
      </c>
      <c r="C53563" t="inlineStr">
        <is>
          <t>2046-07-23</t>
        </is>
      </c>
    </row>
    <row r="53564">
      <c r="A53564" s="1" t="n">
        <v>53563</v>
      </c>
      <c r="B53564">
        <f>TEXT(53563, "[$-0E0000]yyyy-mm-dd")</f>
        <v/>
      </c>
      <c r="C53564" t="inlineStr">
        <is>
          <t>2046-07-24</t>
        </is>
      </c>
    </row>
    <row r="53565">
      <c r="A53565" s="1" t="n">
        <v>53564</v>
      </c>
      <c r="B53565">
        <f>TEXT(53564, "[$-0E0000]yyyy-mm-dd")</f>
        <v/>
      </c>
      <c r="C53565" t="inlineStr">
        <is>
          <t>2046-07-25</t>
        </is>
      </c>
    </row>
    <row r="53566">
      <c r="A53566" s="1" t="n">
        <v>53565</v>
      </c>
      <c r="B53566">
        <f>TEXT(53565, "[$-0E0000]yyyy-mm-dd")</f>
        <v/>
      </c>
      <c r="C53566" t="inlineStr">
        <is>
          <t>2046-07-26</t>
        </is>
      </c>
    </row>
    <row r="53567">
      <c r="A53567" s="1" t="n">
        <v>53566</v>
      </c>
      <c r="B53567">
        <f>TEXT(53566, "[$-0E0000]yyyy-mm-dd")</f>
        <v/>
      </c>
      <c r="C53567" t="inlineStr">
        <is>
          <t>2046-07-27</t>
        </is>
      </c>
    </row>
    <row r="53568">
      <c r="A53568" s="1" t="n">
        <v>53567</v>
      </c>
      <c r="B53568">
        <f>TEXT(53567, "[$-0E0000]yyyy-mm-dd")</f>
        <v/>
      </c>
      <c r="C53568" t="inlineStr">
        <is>
          <t>2046-07-28</t>
        </is>
      </c>
    </row>
    <row r="53569">
      <c r="A53569" s="1" t="n">
        <v>53568</v>
      </c>
      <c r="B53569">
        <f>TEXT(53568, "[$-0E0000]yyyy-mm-dd")</f>
        <v/>
      </c>
      <c r="C53569" t="inlineStr">
        <is>
          <t>2046-07-29</t>
        </is>
      </c>
    </row>
    <row r="53570">
      <c r="A53570" s="1" t="n">
        <v>53569</v>
      </c>
      <c r="B53570">
        <f>TEXT(53569, "[$-0E0000]yyyy-mm-dd")</f>
        <v/>
      </c>
      <c r="C53570" t="inlineStr">
        <is>
          <t>2046-07-30</t>
        </is>
      </c>
    </row>
    <row r="53571">
      <c r="A53571" s="1" t="n">
        <v>53570</v>
      </c>
      <c r="B53571">
        <f>TEXT(53570, "[$-0E0000]yyyy-mm-dd")</f>
        <v/>
      </c>
      <c r="C53571" t="inlineStr">
        <is>
          <t>2046-08-01</t>
        </is>
      </c>
    </row>
    <row r="53572">
      <c r="A53572" s="1" t="n">
        <v>53571</v>
      </c>
      <c r="B53572">
        <f>TEXT(53571, "[$-0E0000]yyyy-mm-dd")</f>
        <v/>
      </c>
      <c r="C53572" t="inlineStr">
        <is>
          <t>2046-08-02</t>
        </is>
      </c>
    </row>
    <row r="53573">
      <c r="A53573" s="1" t="n">
        <v>53572</v>
      </c>
      <c r="B53573">
        <f>TEXT(53572, "[$-0E0000]yyyy-mm-dd")</f>
        <v/>
      </c>
      <c r="C53573" t="inlineStr">
        <is>
          <t>2046-08-03</t>
        </is>
      </c>
    </row>
    <row r="53574">
      <c r="A53574" s="1" t="n">
        <v>53573</v>
      </c>
      <c r="B53574">
        <f>TEXT(53573, "[$-0E0000]yyyy-mm-dd")</f>
        <v/>
      </c>
      <c r="C53574" t="inlineStr">
        <is>
          <t>2046-08-04</t>
        </is>
      </c>
    </row>
    <row r="53575">
      <c r="A53575" s="1" t="n">
        <v>53574</v>
      </c>
      <c r="B53575">
        <f>TEXT(53574, "[$-0E0000]yyyy-mm-dd")</f>
        <v/>
      </c>
      <c r="C53575" t="inlineStr">
        <is>
          <t>2046-08-05</t>
        </is>
      </c>
    </row>
    <row r="53576">
      <c r="A53576" s="1" t="n">
        <v>53575</v>
      </c>
      <c r="B53576">
        <f>TEXT(53575, "[$-0E0000]yyyy-mm-dd")</f>
        <v/>
      </c>
      <c r="C53576" t="inlineStr">
        <is>
          <t>2046-08-06</t>
        </is>
      </c>
    </row>
    <row r="53577">
      <c r="A53577" s="1" t="n">
        <v>53576</v>
      </c>
      <c r="B53577">
        <f>TEXT(53576, "[$-0E0000]yyyy-mm-dd")</f>
        <v/>
      </c>
      <c r="C53577" t="inlineStr">
        <is>
          <t>2046-08-07</t>
        </is>
      </c>
    </row>
    <row r="53578">
      <c r="A53578" s="1" t="n">
        <v>53577</v>
      </c>
      <c r="B53578">
        <f>TEXT(53577, "[$-0E0000]yyyy-mm-dd")</f>
        <v/>
      </c>
      <c r="C53578" t="inlineStr">
        <is>
          <t>2046-08-08</t>
        </is>
      </c>
    </row>
    <row r="53579">
      <c r="A53579" s="1" t="n">
        <v>53578</v>
      </c>
      <c r="B53579">
        <f>TEXT(53578, "[$-0E0000]yyyy-mm-dd")</f>
        <v/>
      </c>
      <c r="C53579" t="inlineStr">
        <is>
          <t>2046-08-09</t>
        </is>
      </c>
    </row>
    <row r="53580">
      <c r="A53580" s="1" t="n">
        <v>53579</v>
      </c>
      <c r="B53580">
        <f>TEXT(53579, "[$-0E0000]yyyy-mm-dd")</f>
        <v/>
      </c>
      <c r="C53580" t="inlineStr">
        <is>
          <t>2046-08-10</t>
        </is>
      </c>
    </row>
    <row r="53581">
      <c r="A53581" s="1" t="n">
        <v>53580</v>
      </c>
      <c r="B53581">
        <f>TEXT(53580, "[$-0E0000]yyyy-mm-dd")</f>
        <v/>
      </c>
      <c r="C53581" t="inlineStr">
        <is>
          <t>2046-08-11</t>
        </is>
      </c>
    </row>
    <row r="53582">
      <c r="A53582" s="1" t="n">
        <v>53581</v>
      </c>
      <c r="B53582">
        <f>TEXT(53581, "[$-0E0000]yyyy-mm-dd")</f>
        <v/>
      </c>
      <c r="C53582" t="inlineStr">
        <is>
          <t>2046-08-12</t>
        </is>
      </c>
    </row>
    <row r="53583">
      <c r="A53583" s="1" t="n">
        <v>53582</v>
      </c>
      <c r="B53583">
        <f>TEXT(53582, "[$-0E0000]yyyy-mm-dd")</f>
        <v/>
      </c>
      <c r="C53583" t="inlineStr">
        <is>
          <t>2046-08-13</t>
        </is>
      </c>
    </row>
    <row r="53584">
      <c r="A53584" s="1" t="n">
        <v>53583</v>
      </c>
      <c r="B53584">
        <f>TEXT(53583, "[$-0E0000]yyyy-mm-dd")</f>
        <v/>
      </c>
      <c r="C53584" t="inlineStr">
        <is>
          <t>2046-08-14</t>
        </is>
      </c>
    </row>
    <row r="53585">
      <c r="A53585" s="1" t="n">
        <v>53584</v>
      </c>
      <c r="B53585">
        <f>TEXT(53584, "[$-0E0000]yyyy-mm-dd")</f>
        <v/>
      </c>
      <c r="C53585" t="inlineStr">
        <is>
          <t>2046-08-15</t>
        </is>
      </c>
    </row>
    <row r="53586">
      <c r="A53586" s="1" t="n">
        <v>53585</v>
      </c>
      <c r="B53586">
        <f>TEXT(53585, "[$-0E0000]yyyy-mm-dd")</f>
        <v/>
      </c>
      <c r="C53586" t="inlineStr">
        <is>
          <t>2046-08-16</t>
        </is>
      </c>
    </row>
    <row r="53587">
      <c r="A53587" s="1" t="n">
        <v>53586</v>
      </c>
      <c r="B53587">
        <f>TEXT(53586, "[$-0E0000]yyyy-mm-dd")</f>
        <v/>
      </c>
      <c r="C53587" t="inlineStr">
        <is>
          <t>2046-08-17</t>
        </is>
      </c>
    </row>
    <row r="53588">
      <c r="A53588" s="1" t="n">
        <v>53587</v>
      </c>
      <c r="B53588">
        <f>TEXT(53587, "[$-0E0000]yyyy-mm-dd")</f>
        <v/>
      </c>
      <c r="C53588" t="inlineStr">
        <is>
          <t>2046-08-18</t>
        </is>
      </c>
    </row>
    <row r="53589">
      <c r="A53589" s="1" t="n">
        <v>53588</v>
      </c>
      <c r="B53589">
        <f>TEXT(53588, "[$-0E0000]yyyy-mm-dd")</f>
        <v/>
      </c>
      <c r="C53589" t="inlineStr">
        <is>
          <t>2046-08-19</t>
        </is>
      </c>
    </row>
    <row r="53590">
      <c r="A53590" s="1" t="n">
        <v>53589</v>
      </c>
      <c r="B53590">
        <f>TEXT(53589, "[$-0E0000]yyyy-mm-dd")</f>
        <v/>
      </c>
      <c r="C53590" t="inlineStr">
        <is>
          <t>2046-08-20</t>
        </is>
      </c>
    </row>
    <row r="53591">
      <c r="A53591" s="1" t="n">
        <v>53590</v>
      </c>
      <c r="B53591">
        <f>TEXT(53590, "[$-0E0000]yyyy-mm-dd")</f>
        <v/>
      </c>
      <c r="C53591" t="inlineStr">
        <is>
          <t>2046-08-21</t>
        </is>
      </c>
    </row>
    <row r="53592">
      <c r="A53592" s="1" t="n">
        <v>53591</v>
      </c>
      <c r="B53592">
        <f>TEXT(53591, "[$-0E0000]yyyy-mm-dd")</f>
        <v/>
      </c>
      <c r="C53592" t="inlineStr">
        <is>
          <t>2046-08-22</t>
        </is>
      </c>
    </row>
    <row r="53593">
      <c r="A53593" s="1" t="n">
        <v>53592</v>
      </c>
      <c r="B53593">
        <f>TEXT(53592, "[$-0E0000]yyyy-mm-dd")</f>
        <v/>
      </c>
      <c r="C53593" t="inlineStr">
        <is>
          <t>2046-08-23</t>
        </is>
      </c>
    </row>
    <row r="53594">
      <c r="A53594" s="1" t="n">
        <v>53593</v>
      </c>
      <c r="B53594">
        <f>TEXT(53593, "[$-0E0000]yyyy-mm-dd")</f>
        <v/>
      </c>
      <c r="C53594" t="inlineStr">
        <is>
          <t>2046-08-24</t>
        </is>
      </c>
    </row>
    <row r="53595">
      <c r="A53595" s="1" t="n">
        <v>53594</v>
      </c>
      <c r="B53595">
        <f>TEXT(53594, "[$-0E0000]yyyy-mm-dd")</f>
        <v/>
      </c>
      <c r="C53595" t="inlineStr">
        <is>
          <t>2046-08-25</t>
        </is>
      </c>
    </row>
    <row r="53596">
      <c r="A53596" s="1" t="n">
        <v>53595</v>
      </c>
      <c r="B53596">
        <f>TEXT(53595, "[$-0E0000]yyyy-mm-dd")</f>
        <v/>
      </c>
      <c r="C53596" t="inlineStr">
        <is>
          <t>2046-08-26</t>
        </is>
      </c>
    </row>
    <row r="53597">
      <c r="A53597" s="1" t="n">
        <v>53596</v>
      </c>
      <c r="B53597">
        <f>TEXT(53596, "[$-0E0000]yyyy-mm-dd")</f>
        <v/>
      </c>
      <c r="C53597" t="inlineStr">
        <is>
          <t>2046-08-27</t>
        </is>
      </c>
    </row>
    <row r="53598">
      <c r="A53598" s="1" t="n">
        <v>53597</v>
      </c>
      <c r="B53598">
        <f>TEXT(53597, "[$-0E0000]yyyy-mm-dd")</f>
        <v/>
      </c>
      <c r="C53598" t="inlineStr">
        <is>
          <t>2046-08-28</t>
        </is>
      </c>
    </row>
    <row r="53599">
      <c r="A53599" s="1" t="n">
        <v>53598</v>
      </c>
      <c r="B53599">
        <f>TEXT(53598, "[$-0E0000]yyyy-mm-dd")</f>
        <v/>
      </c>
      <c r="C53599" t="inlineStr">
        <is>
          <t>2046-08-29</t>
        </is>
      </c>
    </row>
    <row r="53600">
      <c r="A53600" s="1" t="n">
        <v>53599</v>
      </c>
      <c r="B53600">
        <f>TEXT(53599, "[$-0E0000]yyyy-mm-dd")</f>
        <v/>
      </c>
      <c r="C53600" t="inlineStr">
        <is>
          <t>2046-09-01</t>
        </is>
      </c>
    </row>
    <row r="53601">
      <c r="A53601" s="1" t="n">
        <v>53600</v>
      </c>
      <c r="B53601">
        <f>TEXT(53600, "[$-0E0000]yyyy-mm-dd")</f>
        <v/>
      </c>
      <c r="C53601" t="inlineStr">
        <is>
          <t>2046-09-02</t>
        </is>
      </c>
    </row>
    <row r="53602">
      <c r="A53602" s="1" t="n">
        <v>53601</v>
      </c>
      <c r="B53602">
        <f>TEXT(53601, "[$-0E0000]yyyy-mm-dd")</f>
        <v/>
      </c>
      <c r="C53602" t="inlineStr">
        <is>
          <t>2046-09-03</t>
        </is>
      </c>
    </row>
    <row r="53603">
      <c r="A53603" s="1" t="n">
        <v>53602</v>
      </c>
      <c r="B53603">
        <f>TEXT(53602, "[$-0E0000]yyyy-mm-dd")</f>
        <v/>
      </c>
      <c r="C53603" t="inlineStr">
        <is>
          <t>2046-09-04</t>
        </is>
      </c>
    </row>
    <row r="53604">
      <c r="A53604" s="1" t="n">
        <v>53603</v>
      </c>
      <c r="B53604">
        <f>TEXT(53603, "[$-0E0000]yyyy-mm-dd")</f>
        <v/>
      </c>
      <c r="C53604" t="inlineStr">
        <is>
          <t>2046-09-05</t>
        </is>
      </c>
    </row>
    <row r="53605">
      <c r="A53605" s="1" t="n">
        <v>53604</v>
      </c>
      <c r="B53605">
        <f>TEXT(53604, "[$-0E0000]yyyy-mm-dd")</f>
        <v/>
      </c>
      <c r="C53605" t="inlineStr">
        <is>
          <t>2046-09-06</t>
        </is>
      </c>
    </row>
    <row r="53606">
      <c r="A53606" s="1" t="n">
        <v>53605</v>
      </c>
      <c r="B53606">
        <f>TEXT(53605, "[$-0E0000]yyyy-mm-dd")</f>
        <v/>
      </c>
      <c r="C53606" t="inlineStr">
        <is>
          <t>2046-09-07</t>
        </is>
      </c>
    </row>
    <row r="53607">
      <c r="A53607" s="1" t="n">
        <v>53606</v>
      </c>
      <c r="B53607">
        <f>TEXT(53606, "[$-0E0000]yyyy-mm-dd")</f>
        <v/>
      </c>
      <c r="C53607" t="inlineStr">
        <is>
          <t>2046-09-08</t>
        </is>
      </c>
    </row>
    <row r="53608">
      <c r="A53608" s="1" t="n">
        <v>53607</v>
      </c>
      <c r="B53608">
        <f>TEXT(53607, "[$-0E0000]yyyy-mm-dd")</f>
        <v/>
      </c>
      <c r="C53608" t="inlineStr">
        <is>
          <t>2046-09-09</t>
        </is>
      </c>
    </row>
    <row r="53609">
      <c r="A53609" s="1" t="n">
        <v>53608</v>
      </c>
      <c r="B53609">
        <f>TEXT(53608, "[$-0E0000]yyyy-mm-dd")</f>
        <v/>
      </c>
      <c r="C53609" t="inlineStr">
        <is>
          <t>2046-09-10</t>
        </is>
      </c>
    </row>
    <row r="53610">
      <c r="A53610" s="1" t="n">
        <v>53609</v>
      </c>
      <c r="B53610">
        <f>TEXT(53609, "[$-0E0000]yyyy-mm-dd")</f>
        <v/>
      </c>
      <c r="C53610" t="inlineStr">
        <is>
          <t>2046-09-11</t>
        </is>
      </c>
    </row>
    <row r="53611">
      <c r="A53611" s="1" t="n">
        <v>53610</v>
      </c>
      <c r="B53611">
        <f>TEXT(53610, "[$-0E0000]yyyy-mm-dd")</f>
        <v/>
      </c>
      <c r="C53611" t="inlineStr">
        <is>
          <t>2046-09-12</t>
        </is>
      </c>
    </row>
    <row r="53612">
      <c r="A53612" s="1" t="n">
        <v>53611</v>
      </c>
      <c r="B53612">
        <f>TEXT(53611, "[$-0E0000]yyyy-mm-dd")</f>
        <v/>
      </c>
      <c r="C53612" t="inlineStr">
        <is>
          <t>2046-09-13</t>
        </is>
      </c>
    </row>
    <row r="53613">
      <c r="A53613" s="1" t="n">
        <v>53612</v>
      </c>
      <c r="B53613">
        <f>TEXT(53612, "[$-0E0000]yyyy-mm-dd")</f>
        <v/>
      </c>
      <c r="C53613" t="inlineStr">
        <is>
          <t>2046-09-14</t>
        </is>
      </c>
    </row>
    <row r="53614">
      <c r="A53614" s="1" t="n">
        <v>53613</v>
      </c>
      <c r="B53614">
        <f>TEXT(53613, "[$-0E0000]yyyy-mm-dd")</f>
        <v/>
      </c>
      <c r="C53614" t="inlineStr">
        <is>
          <t>2046-09-15</t>
        </is>
      </c>
    </row>
    <row r="53615">
      <c r="A53615" s="1" t="n">
        <v>53614</v>
      </c>
      <c r="B53615">
        <f>TEXT(53614, "[$-0E0000]yyyy-mm-dd")</f>
        <v/>
      </c>
      <c r="C53615" t="inlineStr">
        <is>
          <t>2046-09-16</t>
        </is>
      </c>
    </row>
    <row r="53616">
      <c r="A53616" s="1" t="n">
        <v>53615</v>
      </c>
      <c r="B53616">
        <f>TEXT(53615, "[$-0E0000]yyyy-mm-dd")</f>
        <v/>
      </c>
      <c r="C53616" t="inlineStr">
        <is>
          <t>2046-09-17</t>
        </is>
      </c>
    </row>
    <row r="53617">
      <c r="A53617" s="1" t="n">
        <v>53616</v>
      </c>
      <c r="B53617">
        <f>TEXT(53616, "[$-0E0000]yyyy-mm-dd")</f>
        <v/>
      </c>
      <c r="C53617" t="inlineStr">
        <is>
          <t>2046-09-18</t>
        </is>
      </c>
    </row>
    <row r="53618">
      <c r="A53618" s="1" t="n">
        <v>53617</v>
      </c>
      <c r="B53618">
        <f>TEXT(53617, "[$-0E0000]yyyy-mm-dd")</f>
        <v/>
      </c>
      <c r="C53618" t="inlineStr">
        <is>
          <t>2046-09-19</t>
        </is>
      </c>
    </row>
    <row r="53619">
      <c r="A53619" s="1" t="n">
        <v>53618</v>
      </c>
      <c r="B53619">
        <f>TEXT(53618, "[$-0E0000]yyyy-mm-dd")</f>
        <v/>
      </c>
      <c r="C53619" t="inlineStr">
        <is>
          <t>2046-09-20</t>
        </is>
      </c>
    </row>
    <row r="53620">
      <c r="A53620" s="1" t="n">
        <v>53619</v>
      </c>
      <c r="B53620">
        <f>TEXT(53619, "[$-0E0000]yyyy-mm-dd")</f>
        <v/>
      </c>
      <c r="C53620" t="inlineStr">
        <is>
          <t>2046-09-21</t>
        </is>
      </c>
    </row>
    <row r="53621">
      <c r="A53621" s="1" t="n">
        <v>53620</v>
      </c>
      <c r="B53621">
        <f>TEXT(53620, "[$-0E0000]yyyy-mm-dd")</f>
        <v/>
      </c>
      <c r="C53621" t="inlineStr">
        <is>
          <t>2046-09-22</t>
        </is>
      </c>
    </row>
    <row r="53622">
      <c r="A53622" s="1" t="n">
        <v>53621</v>
      </c>
      <c r="B53622">
        <f>TEXT(53621, "[$-0E0000]yyyy-mm-dd")</f>
        <v/>
      </c>
      <c r="C53622" t="inlineStr">
        <is>
          <t>2046-09-23</t>
        </is>
      </c>
    </row>
    <row r="53623">
      <c r="A53623" s="1" t="n">
        <v>53622</v>
      </c>
      <c r="B53623">
        <f>TEXT(53622, "[$-0E0000]yyyy-mm-dd")</f>
        <v/>
      </c>
      <c r="C53623" t="inlineStr">
        <is>
          <t>2046-09-24</t>
        </is>
      </c>
    </row>
    <row r="53624">
      <c r="A53624" s="1" t="n">
        <v>53623</v>
      </c>
      <c r="B53624">
        <f>TEXT(53623, "[$-0E0000]yyyy-mm-dd")</f>
        <v/>
      </c>
      <c r="C53624" t="inlineStr">
        <is>
          <t>2046-09-25</t>
        </is>
      </c>
    </row>
    <row r="53625">
      <c r="A53625" s="1" t="n">
        <v>53624</v>
      </c>
      <c r="B53625">
        <f>TEXT(53624, "[$-0E0000]yyyy-mm-dd")</f>
        <v/>
      </c>
      <c r="C53625" t="inlineStr">
        <is>
          <t>2046-09-26</t>
        </is>
      </c>
    </row>
    <row r="53626">
      <c r="A53626" s="1" t="n">
        <v>53625</v>
      </c>
      <c r="B53626">
        <f>TEXT(53625, "[$-0E0000]yyyy-mm-dd")</f>
        <v/>
      </c>
      <c r="C53626" t="inlineStr">
        <is>
          <t>2046-09-27</t>
        </is>
      </c>
    </row>
    <row r="53627">
      <c r="A53627" s="1" t="n">
        <v>53626</v>
      </c>
      <c r="B53627">
        <f>TEXT(53626, "[$-0E0000]yyyy-mm-dd")</f>
        <v/>
      </c>
      <c r="C53627" t="inlineStr">
        <is>
          <t>2046-09-28</t>
        </is>
      </c>
    </row>
    <row r="53628">
      <c r="A53628" s="1" t="n">
        <v>53627</v>
      </c>
      <c r="B53628">
        <f>TEXT(53627, "[$-0E0000]yyyy-mm-dd")</f>
        <v/>
      </c>
      <c r="C53628" t="inlineStr">
        <is>
          <t>2046-09-29</t>
        </is>
      </c>
    </row>
    <row r="53629">
      <c r="A53629" s="1" t="n">
        <v>53628</v>
      </c>
      <c r="B53629">
        <f>TEXT(53628, "[$-0E0000]yyyy-mm-dd")</f>
        <v/>
      </c>
      <c r="C53629" t="inlineStr">
        <is>
          <t>2046-10-01</t>
        </is>
      </c>
    </row>
    <row r="53630">
      <c r="A53630" s="1" t="n">
        <v>53629</v>
      </c>
      <c r="B53630">
        <f>TEXT(53629, "[$-0E0000]yyyy-mm-dd")</f>
        <v/>
      </c>
      <c r="C53630" t="inlineStr">
        <is>
          <t>2046-10-02</t>
        </is>
      </c>
    </row>
    <row r="53631">
      <c r="A53631" s="1" t="n">
        <v>53630</v>
      </c>
      <c r="B53631">
        <f>TEXT(53630, "[$-0E0000]yyyy-mm-dd")</f>
        <v/>
      </c>
      <c r="C53631" t="inlineStr">
        <is>
          <t>2046-10-03</t>
        </is>
      </c>
    </row>
    <row r="53632">
      <c r="A53632" s="1" t="n">
        <v>53631</v>
      </c>
      <c r="B53632">
        <f>TEXT(53631, "[$-0E0000]yyyy-mm-dd")</f>
        <v/>
      </c>
      <c r="C53632" t="inlineStr">
        <is>
          <t>2046-10-04</t>
        </is>
      </c>
    </row>
    <row r="53633">
      <c r="A53633" s="1" t="n">
        <v>53632</v>
      </c>
      <c r="B53633">
        <f>TEXT(53632, "[$-0E0000]yyyy-mm-dd")</f>
        <v/>
      </c>
      <c r="C53633" t="inlineStr">
        <is>
          <t>2046-10-05</t>
        </is>
      </c>
    </row>
    <row r="53634">
      <c r="A53634" s="1" t="n">
        <v>53633</v>
      </c>
      <c r="B53634">
        <f>TEXT(53633, "[$-0E0000]yyyy-mm-dd")</f>
        <v/>
      </c>
      <c r="C53634" t="inlineStr">
        <is>
          <t>2046-10-06</t>
        </is>
      </c>
    </row>
    <row r="53635">
      <c r="A53635" s="1" t="n">
        <v>53634</v>
      </c>
      <c r="B53635">
        <f>TEXT(53634, "[$-0E0000]yyyy-mm-dd")</f>
        <v/>
      </c>
      <c r="C53635" t="inlineStr">
        <is>
          <t>2046-10-07</t>
        </is>
      </c>
    </row>
    <row r="53636">
      <c r="A53636" s="1" t="n">
        <v>53635</v>
      </c>
      <c r="B53636">
        <f>TEXT(53635, "[$-0E0000]yyyy-mm-dd")</f>
        <v/>
      </c>
      <c r="C53636" t="inlineStr">
        <is>
          <t>2046-10-08</t>
        </is>
      </c>
    </row>
    <row r="53637">
      <c r="A53637" s="1" t="n">
        <v>53636</v>
      </c>
      <c r="B53637">
        <f>TEXT(53636, "[$-0E0000]yyyy-mm-dd")</f>
        <v/>
      </c>
      <c r="C53637" t="inlineStr">
        <is>
          <t>2046-10-09</t>
        </is>
      </c>
    </row>
    <row r="53638">
      <c r="A53638" s="1" t="n">
        <v>53637</v>
      </c>
      <c r="B53638">
        <f>TEXT(53637, "[$-0E0000]yyyy-mm-dd")</f>
        <v/>
      </c>
      <c r="C53638" t="inlineStr">
        <is>
          <t>2046-10-10</t>
        </is>
      </c>
    </row>
    <row r="53639">
      <c r="A53639" s="1" t="n">
        <v>53638</v>
      </c>
      <c r="B53639">
        <f>TEXT(53638, "[$-0E0000]yyyy-mm-dd")</f>
        <v/>
      </c>
      <c r="C53639" t="inlineStr">
        <is>
          <t>2046-10-11</t>
        </is>
      </c>
    </row>
    <row r="53640">
      <c r="A53640" s="1" t="n">
        <v>53639</v>
      </c>
      <c r="B53640">
        <f>TEXT(53639, "[$-0E0000]yyyy-mm-dd")</f>
        <v/>
      </c>
      <c r="C53640" t="inlineStr">
        <is>
          <t>2046-10-12</t>
        </is>
      </c>
    </row>
    <row r="53641">
      <c r="A53641" s="1" t="n">
        <v>53640</v>
      </c>
      <c r="B53641">
        <f>TEXT(53640, "[$-0E0000]yyyy-mm-dd")</f>
        <v/>
      </c>
      <c r="C53641" t="inlineStr">
        <is>
          <t>2046-10-13</t>
        </is>
      </c>
    </row>
    <row r="53642">
      <c r="A53642" s="1" t="n">
        <v>53641</v>
      </c>
      <c r="B53642">
        <f>TEXT(53641, "[$-0E0000]yyyy-mm-dd")</f>
        <v/>
      </c>
      <c r="C53642" t="inlineStr">
        <is>
          <t>2046-10-14</t>
        </is>
      </c>
    </row>
    <row r="53643">
      <c r="A53643" s="1" t="n">
        <v>53642</v>
      </c>
      <c r="B53643">
        <f>TEXT(53642, "[$-0E0000]yyyy-mm-dd")</f>
        <v/>
      </c>
      <c r="C53643" t="inlineStr">
        <is>
          <t>2046-10-15</t>
        </is>
      </c>
    </row>
    <row r="53644">
      <c r="A53644" s="1" t="n">
        <v>53643</v>
      </c>
      <c r="B53644">
        <f>TEXT(53643, "[$-0E0000]yyyy-mm-dd")</f>
        <v/>
      </c>
      <c r="C53644" t="inlineStr">
        <is>
          <t>2046-10-16</t>
        </is>
      </c>
    </row>
    <row r="53645">
      <c r="A53645" s="1" t="n">
        <v>53644</v>
      </c>
      <c r="B53645">
        <f>TEXT(53644, "[$-0E0000]yyyy-mm-dd")</f>
        <v/>
      </c>
      <c r="C53645" t="inlineStr">
        <is>
          <t>2046-10-17</t>
        </is>
      </c>
    </row>
    <row r="53646">
      <c r="A53646" s="1" t="n">
        <v>53645</v>
      </c>
      <c r="B53646">
        <f>TEXT(53645, "[$-0E0000]yyyy-mm-dd")</f>
        <v/>
      </c>
      <c r="C53646" t="inlineStr">
        <is>
          <t>2046-10-18</t>
        </is>
      </c>
    </row>
    <row r="53647">
      <c r="A53647" s="1" t="n">
        <v>53646</v>
      </c>
      <c r="B53647">
        <f>TEXT(53646, "[$-0E0000]yyyy-mm-dd")</f>
        <v/>
      </c>
      <c r="C53647" t="inlineStr">
        <is>
          <t>2046-10-19</t>
        </is>
      </c>
    </row>
    <row r="53648">
      <c r="A53648" s="1" t="n">
        <v>53647</v>
      </c>
      <c r="B53648">
        <f>TEXT(53647, "[$-0E0000]yyyy-mm-dd")</f>
        <v/>
      </c>
      <c r="C53648" t="inlineStr">
        <is>
          <t>2046-10-20</t>
        </is>
      </c>
    </row>
    <row r="53649">
      <c r="A53649" s="1" t="n">
        <v>53648</v>
      </c>
      <c r="B53649">
        <f>TEXT(53648, "[$-0E0000]yyyy-mm-dd")</f>
        <v/>
      </c>
      <c r="C53649" t="inlineStr">
        <is>
          <t>2046-10-21</t>
        </is>
      </c>
    </row>
    <row r="53650">
      <c r="A53650" s="1" t="n">
        <v>53649</v>
      </c>
      <c r="B53650">
        <f>TEXT(53649, "[$-0E0000]yyyy-mm-dd")</f>
        <v/>
      </c>
      <c r="C53650" t="inlineStr">
        <is>
          <t>2046-10-22</t>
        </is>
      </c>
    </row>
    <row r="53651">
      <c r="A53651" s="1" t="n">
        <v>53650</v>
      </c>
      <c r="B53651">
        <f>TEXT(53650, "[$-0E0000]yyyy-mm-dd")</f>
        <v/>
      </c>
      <c r="C53651" t="inlineStr">
        <is>
          <t>2046-10-23</t>
        </is>
      </c>
    </row>
    <row r="53652">
      <c r="A53652" s="1" t="n">
        <v>53651</v>
      </c>
      <c r="B53652">
        <f>TEXT(53651, "[$-0E0000]yyyy-mm-dd")</f>
        <v/>
      </c>
      <c r="C53652" t="inlineStr">
        <is>
          <t>2046-10-24</t>
        </is>
      </c>
    </row>
    <row r="53653">
      <c r="A53653" s="1" t="n">
        <v>53652</v>
      </c>
      <c r="B53653">
        <f>TEXT(53652, "[$-0E0000]yyyy-mm-dd")</f>
        <v/>
      </c>
      <c r="C53653" t="inlineStr">
        <is>
          <t>2046-10-25</t>
        </is>
      </c>
    </row>
    <row r="53654">
      <c r="A53654" s="1" t="n">
        <v>53653</v>
      </c>
      <c r="B53654">
        <f>TEXT(53653, "[$-0E0000]yyyy-mm-dd")</f>
        <v/>
      </c>
      <c r="C53654" t="inlineStr">
        <is>
          <t>2046-10-26</t>
        </is>
      </c>
    </row>
    <row r="53655">
      <c r="A53655" s="1" t="n">
        <v>53654</v>
      </c>
      <c r="B53655">
        <f>TEXT(53654, "[$-0E0000]yyyy-mm-dd")</f>
        <v/>
      </c>
      <c r="C53655" t="inlineStr">
        <is>
          <t>2046-10-27</t>
        </is>
      </c>
    </row>
    <row r="53656">
      <c r="A53656" s="1" t="n">
        <v>53655</v>
      </c>
      <c r="B53656">
        <f>TEXT(53655, "[$-0E0000]yyyy-mm-dd")</f>
        <v/>
      </c>
      <c r="C53656" t="inlineStr">
        <is>
          <t>2046-10-28</t>
        </is>
      </c>
    </row>
    <row r="53657">
      <c r="A53657" s="1" t="n">
        <v>53656</v>
      </c>
      <c r="B53657">
        <f>TEXT(53656, "[$-0E0000]yyyy-mm-dd")</f>
        <v/>
      </c>
      <c r="C53657" t="inlineStr">
        <is>
          <t>2046-10-29</t>
        </is>
      </c>
    </row>
    <row r="53658">
      <c r="A53658" s="1" t="n">
        <v>53657</v>
      </c>
      <c r="B53658">
        <f>TEXT(53657, "[$-0E0000]yyyy-mm-dd")</f>
        <v/>
      </c>
      <c r="C53658" t="inlineStr">
        <is>
          <t>2046-10-30</t>
        </is>
      </c>
    </row>
    <row r="53659">
      <c r="A53659" s="1" t="n">
        <v>53658</v>
      </c>
      <c r="B53659">
        <f>TEXT(53658, "[$-0E0000]yyyy-mm-dd")</f>
        <v/>
      </c>
      <c r="C53659" t="inlineStr">
        <is>
          <t>2046-11-01</t>
        </is>
      </c>
    </row>
    <row r="53660">
      <c r="A53660" s="1" t="n">
        <v>53659</v>
      </c>
      <c r="B53660">
        <f>TEXT(53659, "[$-0E0000]yyyy-mm-dd")</f>
        <v/>
      </c>
      <c r="C53660" t="inlineStr">
        <is>
          <t>2046-11-02</t>
        </is>
      </c>
    </row>
    <row r="53661">
      <c r="A53661" s="1" t="n">
        <v>53660</v>
      </c>
      <c r="B53661">
        <f>TEXT(53660, "[$-0E0000]yyyy-mm-dd")</f>
        <v/>
      </c>
      <c r="C53661" t="inlineStr">
        <is>
          <t>2046-11-03</t>
        </is>
      </c>
    </row>
    <row r="53662">
      <c r="A53662" s="1" t="n">
        <v>53661</v>
      </c>
      <c r="B53662">
        <f>TEXT(53661, "[$-0E0000]yyyy-mm-dd")</f>
        <v/>
      </c>
      <c r="C53662" t="inlineStr">
        <is>
          <t>2046-11-04</t>
        </is>
      </c>
    </row>
    <row r="53663">
      <c r="A53663" s="1" t="n">
        <v>53662</v>
      </c>
      <c r="B53663">
        <f>TEXT(53662, "[$-0E0000]yyyy-mm-dd")</f>
        <v/>
      </c>
      <c r="C53663" t="inlineStr">
        <is>
          <t>2046-11-05</t>
        </is>
      </c>
    </row>
    <row r="53664">
      <c r="A53664" s="1" t="n">
        <v>53663</v>
      </c>
      <c r="B53664">
        <f>TEXT(53663, "[$-0E0000]yyyy-mm-dd")</f>
        <v/>
      </c>
      <c r="C53664" t="inlineStr">
        <is>
          <t>2046-11-06</t>
        </is>
      </c>
    </row>
    <row r="53665">
      <c r="A53665" s="1" t="n">
        <v>53664</v>
      </c>
      <c r="B53665">
        <f>TEXT(53664, "[$-0E0000]yyyy-mm-dd")</f>
        <v/>
      </c>
      <c r="C53665" t="inlineStr">
        <is>
          <t>2046-11-07</t>
        </is>
      </c>
    </row>
    <row r="53666">
      <c r="A53666" s="1" t="n">
        <v>53665</v>
      </c>
      <c r="B53666">
        <f>TEXT(53665, "[$-0E0000]yyyy-mm-dd")</f>
        <v/>
      </c>
      <c r="C53666" t="inlineStr">
        <is>
          <t>2046-11-08</t>
        </is>
      </c>
    </row>
    <row r="53667">
      <c r="A53667" s="1" t="n">
        <v>53666</v>
      </c>
      <c r="B53667">
        <f>TEXT(53666, "[$-0E0000]yyyy-mm-dd")</f>
        <v/>
      </c>
      <c r="C53667" t="inlineStr">
        <is>
          <t>2046-11-09</t>
        </is>
      </c>
    </row>
    <row r="53668">
      <c r="A53668" s="1" t="n">
        <v>53667</v>
      </c>
      <c r="B53668">
        <f>TEXT(53667, "[$-0E0000]yyyy-mm-dd")</f>
        <v/>
      </c>
      <c r="C53668" t="inlineStr">
        <is>
          <t>2046-11-10</t>
        </is>
      </c>
    </row>
    <row r="53669">
      <c r="A53669" s="1" t="n">
        <v>53668</v>
      </c>
      <c r="B53669">
        <f>TEXT(53668, "[$-0E0000]yyyy-mm-dd")</f>
        <v/>
      </c>
      <c r="C53669" t="inlineStr">
        <is>
          <t>2046-11-11</t>
        </is>
      </c>
    </row>
    <row r="53670">
      <c r="A53670" s="1" t="n">
        <v>53669</v>
      </c>
      <c r="B53670">
        <f>TEXT(53669, "[$-0E0000]yyyy-mm-dd")</f>
        <v/>
      </c>
      <c r="C53670" t="inlineStr">
        <is>
          <t>2046-11-12</t>
        </is>
      </c>
    </row>
    <row r="53671">
      <c r="A53671" s="1" t="n">
        <v>53670</v>
      </c>
      <c r="B53671">
        <f>TEXT(53670, "[$-0E0000]yyyy-mm-dd")</f>
        <v/>
      </c>
      <c r="C53671" t="inlineStr">
        <is>
          <t>2046-11-13</t>
        </is>
      </c>
    </row>
    <row r="53672">
      <c r="A53672" s="1" t="n">
        <v>53671</v>
      </c>
      <c r="B53672">
        <f>TEXT(53671, "[$-0E0000]yyyy-mm-dd")</f>
        <v/>
      </c>
      <c r="C53672" t="inlineStr">
        <is>
          <t>2046-11-14</t>
        </is>
      </c>
    </row>
    <row r="53673">
      <c r="A53673" s="1" t="n">
        <v>53672</v>
      </c>
      <c r="B53673">
        <f>TEXT(53672, "[$-0E0000]yyyy-mm-dd")</f>
        <v/>
      </c>
      <c r="C53673" t="inlineStr">
        <is>
          <t>2046-11-15</t>
        </is>
      </c>
    </row>
    <row r="53674">
      <c r="A53674" s="1" t="n">
        <v>53673</v>
      </c>
      <c r="B53674">
        <f>TEXT(53673, "[$-0E0000]yyyy-mm-dd")</f>
        <v/>
      </c>
      <c r="C53674" t="inlineStr">
        <is>
          <t>2046-11-16</t>
        </is>
      </c>
    </row>
    <row r="53675">
      <c r="A53675" s="1" t="n">
        <v>53674</v>
      </c>
      <c r="B53675">
        <f>TEXT(53674, "[$-0E0000]yyyy-mm-dd")</f>
        <v/>
      </c>
      <c r="C53675" t="inlineStr">
        <is>
          <t>2046-11-17</t>
        </is>
      </c>
    </row>
    <row r="53676">
      <c r="A53676" s="1" t="n">
        <v>53675</v>
      </c>
      <c r="B53676">
        <f>TEXT(53675, "[$-0E0000]yyyy-mm-dd")</f>
        <v/>
      </c>
      <c r="C53676" t="inlineStr">
        <is>
          <t>2046-11-18</t>
        </is>
      </c>
    </row>
    <row r="53677">
      <c r="A53677" s="1" t="n">
        <v>53676</v>
      </c>
      <c r="B53677">
        <f>TEXT(53676, "[$-0E0000]yyyy-mm-dd")</f>
        <v/>
      </c>
      <c r="C53677" t="inlineStr">
        <is>
          <t>2046-11-19</t>
        </is>
      </c>
    </row>
    <row r="53678">
      <c r="A53678" s="1" t="n">
        <v>53677</v>
      </c>
      <c r="B53678">
        <f>TEXT(53677, "[$-0E0000]yyyy-mm-dd")</f>
        <v/>
      </c>
      <c r="C53678" t="inlineStr">
        <is>
          <t>2046-11-20</t>
        </is>
      </c>
    </row>
    <row r="53679">
      <c r="A53679" s="1" t="n">
        <v>53678</v>
      </c>
      <c r="B53679">
        <f>TEXT(53678, "[$-0E0000]yyyy-mm-dd")</f>
        <v/>
      </c>
      <c r="C53679" t="inlineStr">
        <is>
          <t>2046-11-21</t>
        </is>
      </c>
    </row>
    <row r="53680">
      <c r="A53680" s="1" t="n">
        <v>53679</v>
      </c>
      <c r="B53680">
        <f>TEXT(53679, "[$-0E0000]yyyy-mm-dd")</f>
        <v/>
      </c>
      <c r="C53680" t="inlineStr">
        <is>
          <t>2046-11-22</t>
        </is>
      </c>
    </row>
    <row r="53681">
      <c r="A53681" s="1" t="n">
        <v>53680</v>
      </c>
      <c r="B53681">
        <f>TEXT(53680, "[$-0E0000]yyyy-mm-dd")</f>
        <v/>
      </c>
      <c r="C53681" t="inlineStr">
        <is>
          <t>2046-11-23</t>
        </is>
      </c>
    </row>
    <row r="53682">
      <c r="A53682" s="1" t="n">
        <v>53681</v>
      </c>
      <c r="B53682">
        <f>TEXT(53681, "[$-0E0000]yyyy-mm-dd")</f>
        <v/>
      </c>
      <c r="C53682" t="inlineStr">
        <is>
          <t>2046-11-24</t>
        </is>
      </c>
    </row>
    <row r="53683">
      <c r="A53683" s="1" t="n">
        <v>53682</v>
      </c>
      <c r="B53683">
        <f>TEXT(53682, "[$-0E0000]yyyy-mm-dd")</f>
        <v/>
      </c>
      <c r="C53683" t="inlineStr">
        <is>
          <t>2046-11-25</t>
        </is>
      </c>
    </row>
    <row r="53684">
      <c r="A53684" s="1" t="n">
        <v>53683</v>
      </c>
      <c r="B53684">
        <f>TEXT(53683, "[$-0E0000]yyyy-mm-dd")</f>
        <v/>
      </c>
      <c r="C53684" t="inlineStr">
        <is>
          <t>2046-11-26</t>
        </is>
      </c>
    </row>
    <row r="53685">
      <c r="A53685" s="1" t="n">
        <v>53684</v>
      </c>
      <c r="B53685">
        <f>TEXT(53684, "[$-0E0000]yyyy-mm-dd")</f>
        <v/>
      </c>
      <c r="C53685" t="inlineStr">
        <is>
          <t>2046-11-27</t>
        </is>
      </c>
    </row>
    <row r="53686">
      <c r="A53686" s="1" t="n">
        <v>53685</v>
      </c>
      <c r="B53686">
        <f>TEXT(53685, "[$-0E0000]yyyy-mm-dd")</f>
        <v/>
      </c>
      <c r="C53686" t="inlineStr">
        <is>
          <t>2046-11-28</t>
        </is>
      </c>
    </row>
    <row r="53687">
      <c r="A53687" s="1" t="n">
        <v>53686</v>
      </c>
      <c r="B53687">
        <f>TEXT(53686, "[$-0E0000]yyyy-mm-dd")</f>
        <v/>
      </c>
      <c r="C53687" t="inlineStr">
        <is>
          <t>2046-11-29</t>
        </is>
      </c>
    </row>
    <row r="53688">
      <c r="A53688" s="1" t="n">
        <v>53687</v>
      </c>
      <c r="B53688">
        <f>TEXT(53687, "[$-0E0000]yyyy-mm-dd")</f>
        <v/>
      </c>
      <c r="C53688" t="inlineStr">
        <is>
          <t>2046-12-01</t>
        </is>
      </c>
    </row>
    <row r="53689">
      <c r="A53689" s="1" t="n">
        <v>53688</v>
      </c>
      <c r="B53689">
        <f>TEXT(53688, "[$-0E0000]yyyy-mm-dd")</f>
        <v/>
      </c>
      <c r="C53689" t="inlineStr">
        <is>
          <t>2046-12-02</t>
        </is>
      </c>
    </row>
    <row r="53690">
      <c r="A53690" s="1" t="n">
        <v>53689</v>
      </c>
      <c r="B53690">
        <f>TEXT(53689, "[$-0E0000]yyyy-mm-dd")</f>
        <v/>
      </c>
      <c r="C53690" t="inlineStr">
        <is>
          <t>2046-12-03</t>
        </is>
      </c>
    </row>
    <row r="53691">
      <c r="A53691" s="1" t="n">
        <v>53690</v>
      </c>
      <c r="B53691">
        <f>TEXT(53690, "[$-0E0000]yyyy-mm-dd")</f>
        <v/>
      </c>
      <c r="C53691" t="inlineStr">
        <is>
          <t>2046-12-04</t>
        </is>
      </c>
    </row>
    <row r="53692">
      <c r="A53692" s="1" t="n">
        <v>53691</v>
      </c>
      <c r="B53692">
        <f>TEXT(53691, "[$-0E0000]yyyy-mm-dd")</f>
        <v/>
      </c>
      <c r="C53692" t="inlineStr">
        <is>
          <t>2046-12-05</t>
        </is>
      </c>
    </row>
    <row r="53693">
      <c r="A53693" s="1" t="n">
        <v>53692</v>
      </c>
      <c r="B53693">
        <f>TEXT(53692, "[$-0E0000]yyyy-mm-dd")</f>
        <v/>
      </c>
      <c r="C53693" t="inlineStr">
        <is>
          <t>2046-12-06</t>
        </is>
      </c>
    </row>
    <row r="53694">
      <c r="A53694" s="1" t="n">
        <v>53693</v>
      </c>
      <c r="B53694">
        <f>TEXT(53693, "[$-0E0000]yyyy-mm-dd")</f>
        <v/>
      </c>
      <c r="C53694" t="inlineStr">
        <is>
          <t>2046-12-07</t>
        </is>
      </c>
    </row>
    <row r="53695">
      <c r="A53695" s="1" t="n">
        <v>53694</v>
      </c>
      <c r="B53695">
        <f>TEXT(53694, "[$-0E0000]yyyy-mm-dd")</f>
        <v/>
      </c>
      <c r="C53695" t="inlineStr">
        <is>
          <t>2046-12-08</t>
        </is>
      </c>
    </row>
    <row r="53696">
      <c r="A53696" s="1" t="n">
        <v>53695</v>
      </c>
      <c r="B53696">
        <f>TEXT(53695, "[$-0E0000]yyyy-mm-dd")</f>
        <v/>
      </c>
      <c r="C53696" t="inlineStr">
        <is>
          <t>2046-12-09</t>
        </is>
      </c>
    </row>
    <row r="53697">
      <c r="A53697" s="1" t="n">
        <v>53696</v>
      </c>
      <c r="B53697">
        <f>TEXT(53696, "[$-0E0000]yyyy-mm-dd")</f>
        <v/>
      </c>
      <c r="C53697" t="inlineStr">
        <is>
          <t>2046-12-10</t>
        </is>
      </c>
    </row>
    <row r="53698">
      <c r="A53698" s="1" t="n">
        <v>53697</v>
      </c>
      <c r="B53698">
        <f>TEXT(53697, "[$-0E0000]yyyy-mm-dd")</f>
        <v/>
      </c>
      <c r="C53698" t="inlineStr">
        <is>
          <t>2046-12-11</t>
        </is>
      </c>
    </row>
    <row r="53699">
      <c r="A53699" s="1" t="n">
        <v>53698</v>
      </c>
      <c r="B53699">
        <f>TEXT(53698, "[$-0E0000]yyyy-mm-dd")</f>
        <v/>
      </c>
      <c r="C53699" t="inlineStr">
        <is>
          <t>2046-12-12</t>
        </is>
      </c>
    </row>
    <row r="53700">
      <c r="A53700" s="1" t="n">
        <v>53699</v>
      </c>
      <c r="B53700">
        <f>TEXT(53699, "[$-0E0000]yyyy-mm-dd")</f>
        <v/>
      </c>
      <c r="C53700" t="inlineStr">
        <is>
          <t>2046-12-13</t>
        </is>
      </c>
    </row>
    <row r="53701">
      <c r="A53701" s="1" t="n">
        <v>53700</v>
      </c>
      <c r="B53701">
        <f>TEXT(53700, "[$-0E0000]yyyy-mm-dd")</f>
        <v/>
      </c>
      <c r="C53701" t="inlineStr">
        <is>
          <t>2046-12-14</t>
        </is>
      </c>
    </row>
    <row r="53702">
      <c r="A53702" s="1" t="n">
        <v>53701</v>
      </c>
      <c r="B53702">
        <f>TEXT(53701, "[$-0E0000]yyyy-mm-dd")</f>
        <v/>
      </c>
      <c r="C53702" t="inlineStr">
        <is>
          <t>2046-12-15</t>
        </is>
      </c>
    </row>
    <row r="53703">
      <c r="A53703" s="1" t="n">
        <v>53702</v>
      </c>
      <c r="B53703">
        <f>TEXT(53702, "[$-0E0000]yyyy-mm-dd")</f>
        <v/>
      </c>
      <c r="C53703" t="inlineStr">
        <is>
          <t>2046-12-16</t>
        </is>
      </c>
    </row>
    <row r="53704">
      <c r="A53704" s="1" t="n">
        <v>53703</v>
      </c>
      <c r="B53704">
        <f>TEXT(53703, "[$-0E0000]yyyy-mm-dd")</f>
        <v/>
      </c>
      <c r="C53704" t="inlineStr">
        <is>
          <t>2046-12-17</t>
        </is>
      </c>
    </row>
    <row r="53705">
      <c r="A53705" s="1" t="n">
        <v>53704</v>
      </c>
      <c r="B53705">
        <f>TEXT(53704, "[$-0E0000]yyyy-mm-dd")</f>
        <v/>
      </c>
      <c r="C53705" t="inlineStr">
        <is>
          <t>2046-12-18</t>
        </is>
      </c>
    </row>
    <row r="53706">
      <c r="A53706" s="1" t="n">
        <v>53705</v>
      </c>
      <c r="B53706">
        <f>TEXT(53705, "[$-0E0000]yyyy-mm-dd")</f>
        <v/>
      </c>
      <c r="C53706" t="inlineStr">
        <is>
          <t>2046-12-19</t>
        </is>
      </c>
    </row>
    <row r="53707">
      <c r="A53707" s="1" t="n">
        <v>53706</v>
      </c>
      <c r="B53707">
        <f>TEXT(53706, "[$-0E0000]yyyy-mm-dd")</f>
        <v/>
      </c>
      <c r="C53707" t="inlineStr">
        <is>
          <t>2046-12-20</t>
        </is>
      </c>
    </row>
    <row r="53708">
      <c r="A53708" s="1" t="n">
        <v>53707</v>
      </c>
      <c r="B53708">
        <f>TEXT(53707, "[$-0E0000]yyyy-mm-dd")</f>
        <v/>
      </c>
      <c r="C53708" t="inlineStr">
        <is>
          <t>2046-12-21</t>
        </is>
      </c>
    </row>
    <row r="53709">
      <c r="A53709" s="1" t="n">
        <v>53708</v>
      </c>
      <c r="B53709">
        <f>TEXT(53708, "[$-0E0000]yyyy-mm-dd")</f>
        <v/>
      </c>
      <c r="C53709" t="inlineStr">
        <is>
          <t>2046-12-22</t>
        </is>
      </c>
    </row>
    <row r="53710">
      <c r="A53710" s="1" t="n">
        <v>53709</v>
      </c>
      <c r="B53710">
        <f>TEXT(53709, "[$-0E0000]yyyy-mm-dd")</f>
        <v/>
      </c>
      <c r="C53710" t="inlineStr">
        <is>
          <t>2046-12-23</t>
        </is>
      </c>
    </row>
    <row r="53711">
      <c r="A53711" s="1" t="n">
        <v>53710</v>
      </c>
      <c r="B53711">
        <f>TEXT(53710, "[$-0E0000]yyyy-mm-dd")</f>
        <v/>
      </c>
      <c r="C53711" t="inlineStr">
        <is>
          <t>2046-12-24</t>
        </is>
      </c>
    </row>
    <row r="53712">
      <c r="A53712" s="1" t="n">
        <v>53711</v>
      </c>
      <c r="B53712">
        <f>TEXT(53711, "[$-0E0000]yyyy-mm-dd")</f>
        <v/>
      </c>
      <c r="C53712" t="inlineStr">
        <is>
          <t>2046-12-25</t>
        </is>
      </c>
    </row>
    <row r="53713">
      <c r="A53713" s="1" t="n">
        <v>53712</v>
      </c>
      <c r="B53713">
        <f>TEXT(53712, "[$-0E0000]yyyy-mm-dd")</f>
        <v/>
      </c>
      <c r="C53713" t="inlineStr">
        <is>
          <t>2046-12-26</t>
        </is>
      </c>
    </row>
    <row r="53714">
      <c r="A53714" s="1" t="n">
        <v>53713</v>
      </c>
      <c r="B53714">
        <f>TEXT(53713, "[$-0E0000]yyyy-mm-dd")</f>
        <v/>
      </c>
      <c r="C53714" t="inlineStr">
        <is>
          <t>2046-12-27</t>
        </is>
      </c>
    </row>
    <row r="53715">
      <c r="A53715" s="1" t="n">
        <v>53714</v>
      </c>
      <c r="B53715">
        <f>TEXT(53714, "[$-0E0000]yyyy-mm-dd")</f>
        <v/>
      </c>
      <c r="C53715" t="inlineStr">
        <is>
          <t>2046-12-28</t>
        </is>
      </c>
    </row>
    <row r="53716">
      <c r="A53716" s="1" t="n">
        <v>53715</v>
      </c>
      <c r="B53716">
        <f>TEXT(53715, "[$-0E0000]yyyy-mm-dd")</f>
        <v/>
      </c>
      <c r="C53716" t="inlineStr">
        <is>
          <t>2046-12-29</t>
        </is>
      </c>
    </row>
    <row r="53717">
      <c r="A53717" s="1" t="n">
        <v>53716</v>
      </c>
      <c r="B53717">
        <f>TEXT(53716, "[$-0E0000]yyyy-mm-dd")</f>
        <v/>
      </c>
      <c r="C53717" t="inlineStr">
        <is>
          <t>2046-12-30</t>
        </is>
      </c>
    </row>
    <row r="53718">
      <c r="A53718" s="1" t="n">
        <v>53717</v>
      </c>
      <c r="B53718">
        <f>TEXT(53717, "[$-0E0000]yyyy-mm-dd")</f>
        <v/>
      </c>
      <c r="C53718" t="inlineStr">
        <is>
          <t>2047-01-01</t>
        </is>
      </c>
    </row>
    <row r="53719">
      <c r="A53719" s="1" t="n">
        <v>53718</v>
      </c>
      <c r="B53719">
        <f>TEXT(53718, "[$-0E0000]yyyy-mm-dd")</f>
        <v/>
      </c>
      <c r="C53719" t="inlineStr">
        <is>
          <t>2047-01-02</t>
        </is>
      </c>
    </row>
    <row r="53720">
      <c r="A53720" s="1" t="n">
        <v>53719</v>
      </c>
      <c r="B53720">
        <f>TEXT(53719, "[$-0E0000]yyyy-mm-dd")</f>
        <v/>
      </c>
      <c r="C53720" t="inlineStr">
        <is>
          <t>2047-01-03</t>
        </is>
      </c>
    </row>
    <row r="53721">
      <c r="A53721" s="1" t="n">
        <v>53720</v>
      </c>
      <c r="B53721">
        <f>TEXT(53720, "[$-0E0000]yyyy-mm-dd")</f>
        <v/>
      </c>
      <c r="C53721" t="inlineStr">
        <is>
          <t>2047-01-04</t>
        </is>
      </c>
    </row>
    <row r="53722">
      <c r="A53722" s="1" t="n">
        <v>53721</v>
      </c>
      <c r="B53722">
        <f>TEXT(53721, "[$-0E0000]yyyy-mm-dd")</f>
        <v/>
      </c>
      <c r="C53722" t="inlineStr">
        <is>
          <t>2047-01-05</t>
        </is>
      </c>
    </row>
    <row r="53723">
      <c r="A53723" s="1" t="n">
        <v>53722</v>
      </c>
      <c r="B53723">
        <f>TEXT(53722, "[$-0E0000]yyyy-mm-dd")</f>
        <v/>
      </c>
      <c r="C53723" t="inlineStr">
        <is>
          <t>2047-01-06</t>
        </is>
      </c>
    </row>
    <row r="53724">
      <c r="A53724" s="1" t="n">
        <v>53723</v>
      </c>
      <c r="B53724">
        <f>TEXT(53723, "[$-0E0000]yyyy-mm-dd")</f>
        <v/>
      </c>
      <c r="C53724" t="inlineStr">
        <is>
          <t>2047-01-07</t>
        </is>
      </c>
    </row>
    <row r="53725">
      <c r="A53725" s="1" t="n">
        <v>53724</v>
      </c>
      <c r="B53725">
        <f>TEXT(53724, "[$-0E0000]yyyy-mm-dd")</f>
        <v/>
      </c>
      <c r="C53725" t="inlineStr">
        <is>
          <t>2047-01-08</t>
        </is>
      </c>
    </row>
    <row r="53726">
      <c r="A53726" s="1" t="n">
        <v>53725</v>
      </c>
      <c r="B53726">
        <f>TEXT(53725, "[$-0E0000]yyyy-mm-dd")</f>
        <v/>
      </c>
      <c r="C53726" t="inlineStr">
        <is>
          <t>2047-01-09</t>
        </is>
      </c>
    </row>
    <row r="53727">
      <c r="A53727" s="1" t="n">
        <v>53726</v>
      </c>
      <c r="B53727">
        <f>TEXT(53726, "[$-0E0000]yyyy-mm-dd")</f>
        <v/>
      </c>
      <c r="C53727" t="inlineStr">
        <is>
          <t>2047-01-10</t>
        </is>
      </c>
    </row>
    <row r="53728">
      <c r="A53728" s="1" t="n">
        <v>53727</v>
      </c>
      <c r="B53728">
        <f>TEXT(53727, "[$-0E0000]yyyy-mm-dd")</f>
        <v/>
      </c>
      <c r="C53728" t="inlineStr">
        <is>
          <t>2047-01-11</t>
        </is>
      </c>
    </row>
    <row r="53729">
      <c r="A53729" s="1" t="n">
        <v>53728</v>
      </c>
      <c r="B53729">
        <f>TEXT(53728, "[$-0E0000]yyyy-mm-dd")</f>
        <v/>
      </c>
      <c r="C53729" t="inlineStr">
        <is>
          <t>2047-01-12</t>
        </is>
      </c>
    </row>
    <row r="53730">
      <c r="A53730" s="1" t="n">
        <v>53729</v>
      </c>
      <c r="B53730">
        <f>TEXT(53729, "[$-0E0000]yyyy-mm-dd")</f>
        <v/>
      </c>
      <c r="C53730" t="inlineStr">
        <is>
          <t>2047-01-13</t>
        </is>
      </c>
    </row>
    <row r="53731">
      <c r="A53731" s="1" t="n">
        <v>53730</v>
      </c>
      <c r="B53731">
        <f>TEXT(53730, "[$-0E0000]yyyy-mm-dd")</f>
        <v/>
      </c>
      <c r="C53731" t="inlineStr">
        <is>
          <t>2047-01-14</t>
        </is>
      </c>
    </row>
    <row r="53732">
      <c r="A53732" s="1" t="n">
        <v>53731</v>
      </c>
      <c r="B53732">
        <f>TEXT(53731, "[$-0E0000]yyyy-mm-dd")</f>
        <v/>
      </c>
      <c r="C53732" t="inlineStr">
        <is>
          <t>2047-01-15</t>
        </is>
      </c>
    </row>
    <row r="53733">
      <c r="A53733" s="1" t="n">
        <v>53732</v>
      </c>
      <c r="B53733">
        <f>TEXT(53732, "[$-0E0000]yyyy-mm-dd")</f>
        <v/>
      </c>
      <c r="C53733" t="inlineStr">
        <is>
          <t>2047-01-16</t>
        </is>
      </c>
    </row>
    <row r="53734">
      <c r="A53734" s="1" t="n">
        <v>53733</v>
      </c>
      <c r="B53734">
        <f>TEXT(53733, "[$-0E0000]yyyy-mm-dd")</f>
        <v/>
      </c>
      <c r="C53734" t="inlineStr">
        <is>
          <t>2047-01-17</t>
        </is>
      </c>
    </row>
    <row r="53735">
      <c r="A53735" s="1" t="n">
        <v>53734</v>
      </c>
      <c r="B53735">
        <f>TEXT(53734, "[$-0E0000]yyyy-mm-dd")</f>
        <v/>
      </c>
      <c r="C53735" t="inlineStr">
        <is>
          <t>2047-01-18</t>
        </is>
      </c>
    </row>
    <row r="53736">
      <c r="A53736" s="1" t="n">
        <v>53735</v>
      </c>
      <c r="B53736">
        <f>TEXT(53735, "[$-0E0000]yyyy-mm-dd")</f>
        <v/>
      </c>
      <c r="C53736" t="inlineStr">
        <is>
          <t>2047-01-19</t>
        </is>
      </c>
    </row>
    <row r="53737">
      <c r="A53737" s="1" t="n">
        <v>53736</v>
      </c>
      <c r="B53737">
        <f>TEXT(53736, "[$-0E0000]yyyy-mm-dd")</f>
        <v/>
      </c>
      <c r="C53737" t="inlineStr">
        <is>
          <t>2047-01-20</t>
        </is>
      </c>
    </row>
    <row r="53738">
      <c r="A53738" s="1" t="n">
        <v>53737</v>
      </c>
      <c r="B53738">
        <f>TEXT(53737, "[$-0E0000]yyyy-mm-dd")</f>
        <v/>
      </c>
      <c r="C53738" t="inlineStr">
        <is>
          <t>2047-01-21</t>
        </is>
      </c>
    </row>
    <row r="53739">
      <c r="A53739" s="1" t="n">
        <v>53738</v>
      </c>
      <c r="B53739">
        <f>TEXT(53738, "[$-0E0000]yyyy-mm-dd")</f>
        <v/>
      </c>
      <c r="C53739" t="inlineStr">
        <is>
          <t>2047-01-22</t>
        </is>
      </c>
    </row>
    <row r="53740">
      <c r="A53740" s="1" t="n">
        <v>53739</v>
      </c>
      <c r="B53740">
        <f>TEXT(53739, "[$-0E0000]yyyy-mm-dd")</f>
        <v/>
      </c>
      <c r="C53740" t="inlineStr">
        <is>
          <t>2047-01-23</t>
        </is>
      </c>
    </row>
    <row r="53741">
      <c r="A53741" s="1" t="n">
        <v>53740</v>
      </c>
      <c r="B53741">
        <f>TEXT(53740, "[$-0E0000]yyyy-mm-dd")</f>
        <v/>
      </c>
      <c r="C53741" t="inlineStr">
        <is>
          <t>2047-01-24</t>
        </is>
      </c>
    </row>
    <row r="53742">
      <c r="A53742" s="1" t="n">
        <v>53741</v>
      </c>
      <c r="B53742">
        <f>TEXT(53741, "[$-0E0000]yyyy-mm-dd")</f>
        <v/>
      </c>
      <c r="C53742" t="inlineStr">
        <is>
          <t>2047-01-25</t>
        </is>
      </c>
    </row>
    <row r="53743">
      <c r="A53743" s="1" t="n">
        <v>53742</v>
      </c>
      <c r="B53743">
        <f>TEXT(53742, "[$-0E0000]yyyy-mm-dd")</f>
        <v/>
      </c>
      <c r="C53743" t="inlineStr">
        <is>
          <t>2047-01-26</t>
        </is>
      </c>
    </row>
    <row r="53744">
      <c r="A53744" s="1" t="n">
        <v>53743</v>
      </c>
      <c r="B53744">
        <f>TEXT(53743, "[$-0E0000]yyyy-mm-dd")</f>
        <v/>
      </c>
      <c r="C53744" t="inlineStr">
        <is>
          <t>2047-01-27</t>
        </is>
      </c>
    </row>
    <row r="53745">
      <c r="A53745" s="1" t="n">
        <v>53744</v>
      </c>
      <c r="B53745">
        <f>TEXT(53744, "[$-0E0000]yyyy-mm-dd")</f>
        <v/>
      </c>
      <c r="C53745" t="inlineStr">
        <is>
          <t>2047-01-28</t>
        </is>
      </c>
    </row>
    <row r="53746">
      <c r="A53746" s="1" t="n">
        <v>53745</v>
      </c>
      <c r="B53746">
        <f>TEXT(53745, "[$-0E0000]yyyy-mm-dd")</f>
        <v/>
      </c>
      <c r="C53746" t="inlineStr">
        <is>
          <t>2047-01-29</t>
        </is>
      </c>
    </row>
    <row r="53747">
      <c r="A53747" s="1" t="n">
        <v>53746</v>
      </c>
      <c r="B53747">
        <f>TEXT(53746, "[$-0E0000]yyyy-mm-dd")</f>
        <v/>
      </c>
      <c r="C53747" t="inlineStr">
        <is>
          <t>2047-01-30</t>
        </is>
      </c>
    </row>
    <row r="53748">
      <c r="A53748" s="1" t="n">
        <v>53747</v>
      </c>
      <c r="B53748">
        <f>TEXT(53747, "[$-0E0000]yyyy-mm-dd")</f>
        <v/>
      </c>
      <c r="C53748" t="inlineStr">
        <is>
          <t>2047-02-01</t>
        </is>
      </c>
    </row>
    <row r="53749">
      <c r="A53749" s="1" t="n">
        <v>53748</v>
      </c>
      <c r="B53749">
        <f>TEXT(53748, "[$-0E0000]yyyy-mm-dd")</f>
        <v/>
      </c>
      <c r="C53749" t="inlineStr">
        <is>
          <t>2047-02-02</t>
        </is>
      </c>
    </row>
    <row r="53750">
      <c r="A53750" s="1" t="n">
        <v>53749</v>
      </c>
      <c r="B53750">
        <f>TEXT(53749, "[$-0E0000]yyyy-mm-dd")</f>
        <v/>
      </c>
      <c r="C53750" t="inlineStr">
        <is>
          <t>2047-02-03</t>
        </is>
      </c>
    </row>
    <row r="53751">
      <c r="A53751" s="1" t="n">
        <v>53750</v>
      </c>
      <c r="B53751">
        <f>TEXT(53750, "[$-0E0000]yyyy-mm-dd")</f>
        <v/>
      </c>
      <c r="C53751" t="inlineStr">
        <is>
          <t>2047-02-04</t>
        </is>
      </c>
    </row>
    <row r="53752">
      <c r="A53752" s="1" t="n">
        <v>53751</v>
      </c>
      <c r="B53752">
        <f>TEXT(53751, "[$-0E0000]yyyy-mm-dd")</f>
        <v/>
      </c>
      <c r="C53752" t="inlineStr">
        <is>
          <t>2047-02-05</t>
        </is>
      </c>
    </row>
    <row r="53753">
      <c r="A53753" s="1" t="n">
        <v>53752</v>
      </c>
      <c r="B53753">
        <f>TEXT(53752, "[$-0E0000]yyyy-mm-dd")</f>
        <v/>
      </c>
      <c r="C53753" t="inlineStr">
        <is>
          <t>2047-02-06</t>
        </is>
      </c>
    </row>
    <row r="53754">
      <c r="A53754" s="1" t="n">
        <v>53753</v>
      </c>
      <c r="B53754">
        <f>TEXT(53753, "[$-0E0000]yyyy-mm-dd")</f>
        <v/>
      </c>
      <c r="C53754" t="inlineStr">
        <is>
          <t>2047-02-07</t>
        </is>
      </c>
    </row>
    <row r="53755">
      <c r="A53755" s="1" t="n">
        <v>53754</v>
      </c>
      <c r="B53755">
        <f>TEXT(53754, "[$-0E0000]yyyy-mm-dd")</f>
        <v/>
      </c>
      <c r="C53755" t="inlineStr">
        <is>
          <t>2047-02-08</t>
        </is>
      </c>
    </row>
    <row r="53756">
      <c r="A53756" s="1" t="n">
        <v>53755</v>
      </c>
      <c r="B53756">
        <f>TEXT(53755, "[$-0E0000]yyyy-mm-dd")</f>
        <v/>
      </c>
      <c r="C53756" t="inlineStr">
        <is>
          <t>2047-02-09</t>
        </is>
      </c>
    </row>
    <row r="53757">
      <c r="A53757" s="1" t="n">
        <v>53756</v>
      </c>
      <c r="B53757">
        <f>TEXT(53756, "[$-0E0000]yyyy-mm-dd")</f>
        <v/>
      </c>
      <c r="C53757" t="inlineStr">
        <is>
          <t>2047-02-10</t>
        </is>
      </c>
    </row>
    <row r="53758">
      <c r="A53758" s="1" t="n">
        <v>53757</v>
      </c>
      <c r="B53758">
        <f>TEXT(53757, "[$-0E0000]yyyy-mm-dd")</f>
        <v/>
      </c>
      <c r="C53758" t="inlineStr">
        <is>
          <t>2047-02-11</t>
        </is>
      </c>
    </row>
    <row r="53759">
      <c r="A53759" s="1" t="n">
        <v>53758</v>
      </c>
      <c r="B53759">
        <f>TEXT(53758, "[$-0E0000]yyyy-mm-dd")</f>
        <v/>
      </c>
      <c r="C53759" t="inlineStr">
        <is>
          <t>2047-02-12</t>
        </is>
      </c>
    </row>
    <row r="53760">
      <c r="A53760" s="1" t="n">
        <v>53759</v>
      </c>
      <c r="B53760">
        <f>TEXT(53759, "[$-0E0000]yyyy-mm-dd")</f>
        <v/>
      </c>
      <c r="C53760" t="inlineStr">
        <is>
          <t>2047-02-13</t>
        </is>
      </c>
    </row>
    <row r="53761">
      <c r="A53761" s="1" t="n">
        <v>53760</v>
      </c>
      <c r="B53761">
        <f>TEXT(53760, "[$-0E0000]yyyy-mm-dd")</f>
        <v/>
      </c>
      <c r="C53761" t="inlineStr">
        <is>
          <t>2047-02-14</t>
        </is>
      </c>
    </row>
    <row r="53762">
      <c r="A53762" s="1" t="n">
        <v>53761</v>
      </c>
      <c r="B53762">
        <f>TEXT(53761, "[$-0E0000]yyyy-mm-dd")</f>
        <v/>
      </c>
      <c r="C53762" t="inlineStr">
        <is>
          <t>2047-02-15</t>
        </is>
      </c>
    </row>
    <row r="53763">
      <c r="A53763" s="1" t="n">
        <v>53762</v>
      </c>
      <c r="B53763">
        <f>TEXT(53762, "[$-0E0000]yyyy-mm-dd")</f>
        <v/>
      </c>
      <c r="C53763" t="inlineStr">
        <is>
          <t>2047-02-16</t>
        </is>
      </c>
    </row>
    <row r="53764">
      <c r="A53764" s="1" t="n">
        <v>53763</v>
      </c>
      <c r="B53764">
        <f>TEXT(53763, "[$-0E0000]yyyy-mm-dd")</f>
        <v/>
      </c>
      <c r="C53764" t="inlineStr">
        <is>
          <t>2047-02-17</t>
        </is>
      </c>
    </row>
    <row r="53765">
      <c r="A53765" s="1" t="n">
        <v>53764</v>
      </c>
      <c r="B53765">
        <f>TEXT(53764, "[$-0E0000]yyyy-mm-dd")</f>
        <v/>
      </c>
      <c r="C53765" t="inlineStr">
        <is>
          <t>2047-02-18</t>
        </is>
      </c>
    </row>
    <row r="53766">
      <c r="A53766" s="1" t="n">
        <v>53765</v>
      </c>
      <c r="B53766">
        <f>TEXT(53765, "[$-0E0000]yyyy-mm-dd")</f>
        <v/>
      </c>
      <c r="C53766" t="inlineStr">
        <is>
          <t>2047-02-19</t>
        </is>
      </c>
    </row>
    <row r="53767">
      <c r="A53767" s="1" t="n">
        <v>53766</v>
      </c>
      <c r="B53767">
        <f>TEXT(53766, "[$-0E0000]yyyy-mm-dd")</f>
        <v/>
      </c>
      <c r="C53767" t="inlineStr">
        <is>
          <t>2047-02-20</t>
        </is>
      </c>
    </row>
    <row r="53768">
      <c r="A53768" s="1" t="n">
        <v>53767</v>
      </c>
      <c r="B53768">
        <f>TEXT(53767, "[$-0E0000]yyyy-mm-dd")</f>
        <v/>
      </c>
      <c r="C53768" t="inlineStr">
        <is>
          <t>2047-02-21</t>
        </is>
      </c>
    </row>
    <row r="53769">
      <c r="A53769" s="1" t="n">
        <v>53768</v>
      </c>
      <c r="B53769">
        <f>TEXT(53768, "[$-0E0000]yyyy-mm-dd")</f>
        <v/>
      </c>
      <c r="C53769" t="inlineStr">
        <is>
          <t>2047-02-22</t>
        </is>
      </c>
    </row>
    <row r="53770">
      <c r="A53770" s="1" t="n">
        <v>53769</v>
      </c>
      <c r="B53770">
        <f>TEXT(53769, "[$-0E0000]yyyy-mm-dd")</f>
        <v/>
      </c>
      <c r="C53770" t="inlineStr">
        <is>
          <t>2047-02-23</t>
        </is>
      </c>
    </row>
    <row r="53771">
      <c r="A53771" s="1" t="n">
        <v>53770</v>
      </c>
      <c r="B53771">
        <f>TEXT(53770, "[$-0E0000]yyyy-mm-dd")</f>
        <v/>
      </c>
      <c r="C53771" t="inlineStr">
        <is>
          <t>2047-02-24</t>
        </is>
      </c>
    </row>
    <row r="53772">
      <c r="A53772" s="1" t="n">
        <v>53771</v>
      </c>
      <c r="B53772">
        <f>TEXT(53771, "[$-0E0000]yyyy-mm-dd")</f>
        <v/>
      </c>
      <c r="C53772" t="inlineStr">
        <is>
          <t>2047-02-25</t>
        </is>
      </c>
    </row>
    <row r="53773">
      <c r="A53773" s="1" t="n">
        <v>53772</v>
      </c>
      <c r="B53773">
        <f>TEXT(53772, "[$-0E0000]yyyy-mm-dd")</f>
        <v/>
      </c>
      <c r="C53773" t="inlineStr">
        <is>
          <t>2047-02-26</t>
        </is>
      </c>
    </row>
    <row r="53774">
      <c r="A53774" s="1" t="n">
        <v>53773</v>
      </c>
      <c r="B53774">
        <f>TEXT(53773, "[$-0E0000]yyyy-mm-dd")</f>
        <v/>
      </c>
      <c r="C53774" t="inlineStr">
        <is>
          <t>2047-02-27</t>
        </is>
      </c>
    </row>
    <row r="53775">
      <c r="A53775" s="1" t="n">
        <v>53774</v>
      </c>
      <c r="B53775">
        <f>TEXT(53774, "[$-0E0000]yyyy-mm-dd")</f>
        <v/>
      </c>
      <c r="C53775" t="inlineStr">
        <is>
          <t>2047-02-28</t>
        </is>
      </c>
    </row>
    <row r="53776">
      <c r="A53776" s="1" t="n">
        <v>53775</v>
      </c>
      <c r="B53776">
        <f>TEXT(53775, "[$-0E0000]yyyy-mm-dd")</f>
        <v/>
      </c>
      <c r="C53776" t="inlineStr">
        <is>
          <t>2047-02-29</t>
        </is>
      </c>
    </row>
    <row r="53777">
      <c r="A53777" s="1" t="n">
        <v>53776</v>
      </c>
      <c r="B53777">
        <f>TEXT(53776, "[$-0E0000]yyyy-mm-dd")</f>
        <v/>
      </c>
      <c r="C53777" t="inlineStr">
        <is>
          <t>2047-03-01</t>
        </is>
      </c>
    </row>
    <row r="53778">
      <c r="A53778" s="1" t="n">
        <v>53777</v>
      </c>
      <c r="B53778">
        <f>TEXT(53777, "[$-0E0000]yyyy-mm-dd")</f>
        <v/>
      </c>
      <c r="C53778" t="inlineStr">
        <is>
          <t>2047-03-02</t>
        </is>
      </c>
    </row>
    <row r="53779">
      <c r="A53779" s="1" t="n">
        <v>53778</v>
      </c>
      <c r="B53779">
        <f>TEXT(53778, "[$-0E0000]yyyy-mm-dd")</f>
        <v/>
      </c>
      <c r="C53779" t="inlineStr">
        <is>
          <t>2047-03-03</t>
        </is>
      </c>
    </row>
    <row r="53780">
      <c r="A53780" s="1" t="n">
        <v>53779</v>
      </c>
      <c r="B53780">
        <f>TEXT(53779, "[$-0E0000]yyyy-mm-dd")</f>
        <v/>
      </c>
      <c r="C53780" t="inlineStr">
        <is>
          <t>2047-03-04</t>
        </is>
      </c>
    </row>
    <row r="53781">
      <c r="A53781" s="1" t="n">
        <v>53780</v>
      </c>
      <c r="B53781">
        <f>TEXT(53780, "[$-0E0000]yyyy-mm-dd")</f>
        <v/>
      </c>
      <c r="C53781" t="inlineStr">
        <is>
          <t>2047-03-05</t>
        </is>
      </c>
    </row>
    <row r="53782">
      <c r="A53782" s="1" t="n">
        <v>53781</v>
      </c>
      <c r="B53782">
        <f>TEXT(53781, "[$-0E0000]yyyy-mm-dd")</f>
        <v/>
      </c>
      <c r="C53782" t="inlineStr">
        <is>
          <t>2047-03-06</t>
        </is>
      </c>
    </row>
    <row r="53783">
      <c r="A53783" s="1" t="n">
        <v>53782</v>
      </c>
      <c r="B53783">
        <f>TEXT(53782, "[$-0E0000]yyyy-mm-dd")</f>
        <v/>
      </c>
      <c r="C53783" t="inlineStr">
        <is>
          <t>2047-03-07</t>
        </is>
      </c>
    </row>
    <row r="53784">
      <c r="A53784" s="1" t="n">
        <v>53783</v>
      </c>
      <c r="B53784">
        <f>TEXT(53783, "[$-0E0000]yyyy-mm-dd")</f>
        <v/>
      </c>
      <c r="C53784" t="inlineStr">
        <is>
          <t>2047-03-08</t>
        </is>
      </c>
    </row>
    <row r="53785">
      <c r="A53785" s="1" t="n">
        <v>53784</v>
      </c>
      <c r="B53785">
        <f>TEXT(53784, "[$-0E0000]yyyy-mm-dd")</f>
        <v/>
      </c>
      <c r="C53785" t="inlineStr">
        <is>
          <t>2047-03-09</t>
        </is>
      </c>
    </row>
    <row r="53786">
      <c r="A53786" s="1" t="n">
        <v>53785</v>
      </c>
      <c r="B53786">
        <f>TEXT(53785, "[$-0E0000]yyyy-mm-dd")</f>
        <v/>
      </c>
      <c r="C53786" t="inlineStr">
        <is>
          <t>2047-03-10</t>
        </is>
      </c>
    </row>
    <row r="53787">
      <c r="A53787" s="1" t="n">
        <v>53786</v>
      </c>
      <c r="B53787">
        <f>TEXT(53786, "[$-0E0000]yyyy-mm-dd")</f>
        <v/>
      </c>
      <c r="C53787" t="inlineStr">
        <is>
          <t>2047-03-11</t>
        </is>
      </c>
    </row>
    <row r="53788">
      <c r="A53788" s="1" t="n">
        <v>53787</v>
      </c>
      <c r="B53788">
        <f>TEXT(53787, "[$-0E0000]yyyy-mm-dd")</f>
        <v/>
      </c>
      <c r="C53788" t="inlineStr">
        <is>
          <t>2047-03-12</t>
        </is>
      </c>
    </row>
    <row r="53789">
      <c r="A53789" s="1" t="n">
        <v>53788</v>
      </c>
      <c r="B53789">
        <f>TEXT(53788, "[$-0E0000]yyyy-mm-dd")</f>
        <v/>
      </c>
      <c r="C53789" t="inlineStr">
        <is>
          <t>2047-03-13</t>
        </is>
      </c>
    </row>
    <row r="53790">
      <c r="A53790" s="1" t="n">
        <v>53789</v>
      </c>
      <c r="B53790">
        <f>TEXT(53789, "[$-0E0000]yyyy-mm-dd")</f>
        <v/>
      </c>
      <c r="C53790" t="inlineStr">
        <is>
          <t>2047-03-14</t>
        </is>
      </c>
    </row>
    <row r="53791">
      <c r="A53791" s="1" t="n">
        <v>53790</v>
      </c>
      <c r="B53791">
        <f>TEXT(53790, "[$-0E0000]yyyy-mm-dd")</f>
        <v/>
      </c>
      <c r="C53791" t="inlineStr">
        <is>
          <t>2047-03-15</t>
        </is>
      </c>
    </row>
    <row r="53792">
      <c r="A53792" s="1" t="n">
        <v>53791</v>
      </c>
      <c r="B53792">
        <f>TEXT(53791, "[$-0E0000]yyyy-mm-dd")</f>
        <v/>
      </c>
      <c r="C53792" t="inlineStr">
        <is>
          <t>2047-03-16</t>
        </is>
      </c>
    </row>
    <row r="53793">
      <c r="A53793" s="1" t="n">
        <v>53792</v>
      </c>
      <c r="B53793">
        <f>TEXT(53792, "[$-0E0000]yyyy-mm-dd")</f>
        <v/>
      </c>
      <c r="C53793" t="inlineStr">
        <is>
          <t>2047-03-17</t>
        </is>
      </c>
    </row>
    <row r="53794">
      <c r="A53794" s="1" t="n">
        <v>53793</v>
      </c>
      <c r="B53794">
        <f>TEXT(53793, "[$-0E0000]yyyy-mm-dd")</f>
        <v/>
      </c>
      <c r="C53794" t="inlineStr">
        <is>
          <t>2047-03-18</t>
        </is>
      </c>
    </row>
    <row r="53795">
      <c r="A53795" s="1" t="n">
        <v>53794</v>
      </c>
      <c r="B53795">
        <f>TEXT(53794, "[$-0E0000]yyyy-mm-dd")</f>
        <v/>
      </c>
      <c r="C53795" t="inlineStr">
        <is>
          <t>2047-03-19</t>
        </is>
      </c>
    </row>
    <row r="53796">
      <c r="A53796" s="1" t="n">
        <v>53795</v>
      </c>
      <c r="B53796">
        <f>TEXT(53795, "[$-0E0000]yyyy-mm-dd")</f>
        <v/>
      </c>
      <c r="C53796" t="inlineStr">
        <is>
          <t>2047-03-20</t>
        </is>
      </c>
    </row>
    <row r="53797">
      <c r="A53797" s="1" t="n">
        <v>53796</v>
      </c>
      <c r="B53797">
        <f>TEXT(53796, "[$-0E0000]yyyy-mm-dd")</f>
        <v/>
      </c>
      <c r="C53797" t="inlineStr">
        <is>
          <t>2047-03-21</t>
        </is>
      </c>
    </row>
    <row r="53798">
      <c r="A53798" s="1" t="n">
        <v>53797</v>
      </c>
      <c r="B53798">
        <f>TEXT(53797, "[$-0E0000]yyyy-mm-dd")</f>
        <v/>
      </c>
      <c r="C53798" t="inlineStr">
        <is>
          <t>2047-03-22</t>
        </is>
      </c>
    </row>
    <row r="53799">
      <c r="A53799" s="1" t="n">
        <v>53798</v>
      </c>
      <c r="B53799">
        <f>TEXT(53798, "[$-0E0000]yyyy-mm-dd")</f>
        <v/>
      </c>
      <c r="C53799" t="inlineStr">
        <is>
          <t>2047-03-23</t>
        </is>
      </c>
    </row>
    <row r="53800">
      <c r="A53800" s="1" t="n">
        <v>53799</v>
      </c>
      <c r="B53800">
        <f>TEXT(53799, "[$-0E0000]yyyy-mm-dd")</f>
        <v/>
      </c>
      <c r="C53800" t="inlineStr">
        <is>
          <t>2047-03-24</t>
        </is>
      </c>
    </row>
    <row r="53801">
      <c r="A53801" s="1" t="n">
        <v>53800</v>
      </c>
      <c r="B53801">
        <f>TEXT(53800, "[$-0E0000]yyyy-mm-dd")</f>
        <v/>
      </c>
      <c r="C53801" t="inlineStr">
        <is>
          <t>2047-03-25</t>
        </is>
      </c>
    </row>
    <row r="53802">
      <c r="A53802" s="1" t="n">
        <v>53801</v>
      </c>
      <c r="B53802">
        <f>TEXT(53801, "[$-0E0000]yyyy-mm-dd")</f>
        <v/>
      </c>
      <c r="C53802" t="inlineStr">
        <is>
          <t>2047-03-26</t>
        </is>
      </c>
    </row>
    <row r="53803">
      <c r="A53803" s="1" t="n">
        <v>53802</v>
      </c>
      <c r="B53803">
        <f>TEXT(53802, "[$-0E0000]yyyy-mm-dd")</f>
        <v/>
      </c>
      <c r="C53803" t="inlineStr">
        <is>
          <t>2047-03-27</t>
        </is>
      </c>
    </row>
    <row r="53804">
      <c r="A53804" s="1" t="n">
        <v>53803</v>
      </c>
      <c r="B53804">
        <f>TEXT(53803, "[$-0E0000]yyyy-mm-dd")</f>
        <v/>
      </c>
      <c r="C53804" t="inlineStr">
        <is>
          <t>2047-03-28</t>
        </is>
      </c>
    </row>
    <row r="53805">
      <c r="A53805" s="1" t="n">
        <v>53804</v>
      </c>
      <c r="B53805">
        <f>TEXT(53804, "[$-0E0000]yyyy-mm-dd")</f>
        <v/>
      </c>
      <c r="C53805" t="inlineStr">
        <is>
          <t>2047-03-29</t>
        </is>
      </c>
    </row>
    <row r="53806">
      <c r="A53806" s="1" t="n">
        <v>53805</v>
      </c>
      <c r="B53806">
        <f>TEXT(53805, "[$-0E0000]yyyy-mm-dd")</f>
        <v/>
      </c>
      <c r="C53806" t="inlineStr">
        <is>
          <t>2047-03-30</t>
        </is>
      </c>
    </row>
    <row r="53807">
      <c r="A53807" s="1" t="n">
        <v>53806</v>
      </c>
      <c r="B53807">
        <f>TEXT(53806, "[$-0E0000]yyyy-mm-dd")</f>
        <v/>
      </c>
      <c r="C53807" t="inlineStr">
        <is>
          <t>2047-04-01</t>
        </is>
      </c>
    </row>
    <row r="53808">
      <c r="A53808" s="1" t="n">
        <v>53807</v>
      </c>
      <c r="B53808">
        <f>TEXT(53807, "[$-0E0000]yyyy-mm-dd")</f>
        <v/>
      </c>
      <c r="C53808" t="inlineStr">
        <is>
          <t>2047-04-02</t>
        </is>
      </c>
    </row>
    <row r="53809">
      <c r="A53809" s="1" t="n">
        <v>53808</v>
      </c>
      <c r="B53809">
        <f>TEXT(53808, "[$-0E0000]yyyy-mm-dd")</f>
        <v/>
      </c>
      <c r="C53809" t="inlineStr">
        <is>
          <t>2047-04-03</t>
        </is>
      </c>
    </row>
    <row r="53810">
      <c r="A53810" s="1" t="n">
        <v>53809</v>
      </c>
      <c r="B53810">
        <f>TEXT(53809, "[$-0E0000]yyyy-mm-dd")</f>
        <v/>
      </c>
      <c r="C53810" t="inlineStr">
        <is>
          <t>2047-04-04</t>
        </is>
      </c>
    </row>
    <row r="53811">
      <c r="A53811" s="1" t="n">
        <v>53810</v>
      </c>
      <c r="B53811">
        <f>TEXT(53810, "[$-0E0000]yyyy-mm-dd")</f>
        <v/>
      </c>
      <c r="C53811" t="inlineStr">
        <is>
          <t>2047-04-05</t>
        </is>
      </c>
    </row>
    <row r="53812">
      <c r="A53812" s="1" t="n">
        <v>53811</v>
      </c>
      <c r="B53812">
        <f>TEXT(53811, "[$-0E0000]yyyy-mm-dd")</f>
        <v/>
      </c>
      <c r="C53812" t="inlineStr">
        <is>
          <t>2047-04-06</t>
        </is>
      </c>
    </row>
    <row r="53813">
      <c r="A53813" s="1" t="n">
        <v>53812</v>
      </c>
      <c r="B53813">
        <f>TEXT(53812, "[$-0E0000]yyyy-mm-dd")</f>
        <v/>
      </c>
      <c r="C53813" t="inlineStr">
        <is>
          <t>2047-04-07</t>
        </is>
      </c>
    </row>
    <row r="53814">
      <c r="A53814" s="1" t="n">
        <v>53813</v>
      </c>
      <c r="B53814">
        <f>TEXT(53813, "[$-0E0000]yyyy-mm-dd")</f>
        <v/>
      </c>
      <c r="C53814" t="inlineStr">
        <is>
          <t>2047-04-08</t>
        </is>
      </c>
    </row>
    <row r="53815">
      <c r="A53815" s="1" t="n">
        <v>53814</v>
      </c>
      <c r="B53815">
        <f>TEXT(53814, "[$-0E0000]yyyy-mm-dd")</f>
        <v/>
      </c>
      <c r="C53815" t="inlineStr">
        <is>
          <t>2047-04-09</t>
        </is>
      </c>
    </row>
    <row r="53816">
      <c r="A53816" s="1" t="n">
        <v>53815</v>
      </c>
      <c r="B53816">
        <f>TEXT(53815, "[$-0E0000]yyyy-mm-dd")</f>
        <v/>
      </c>
      <c r="C53816" t="inlineStr">
        <is>
          <t>2047-04-10</t>
        </is>
      </c>
    </row>
    <row r="53817">
      <c r="A53817" s="1" t="n">
        <v>53816</v>
      </c>
      <c r="B53817">
        <f>TEXT(53816, "[$-0E0000]yyyy-mm-dd")</f>
        <v/>
      </c>
      <c r="C53817" t="inlineStr">
        <is>
          <t>2047-04-11</t>
        </is>
      </c>
    </row>
    <row r="53818">
      <c r="A53818" s="1" t="n">
        <v>53817</v>
      </c>
      <c r="B53818">
        <f>TEXT(53817, "[$-0E0000]yyyy-mm-dd")</f>
        <v/>
      </c>
      <c r="C53818" t="inlineStr">
        <is>
          <t>2047-04-12</t>
        </is>
      </c>
    </row>
    <row r="53819">
      <c r="A53819" s="1" t="n">
        <v>53818</v>
      </c>
      <c r="B53819">
        <f>TEXT(53818, "[$-0E0000]yyyy-mm-dd")</f>
        <v/>
      </c>
      <c r="C53819" t="inlineStr">
        <is>
          <t>2047-04-13</t>
        </is>
      </c>
    </row>
    <row r="53820">
      <c r="A53820" s="1" t="n">
        <v>53819</v>
      </c>
      <c r="B53820">
        <f>TEXT(53819, "[$-0E0000]yyyy-mm-dd")</f>
        <v/>
      </c>
      <c r="C53820" t="inlineStr">
        <is>
          <t>2047-04-14</t>
        </is>
      </c>
    </row>
    <row r="53821">
      <c r="A53821" s="1" t="n">
        <v>53820</v>
      </c>
      <c r="B53821">
        <f>TEXT(53820, "[$-0E0000]yyyy-mm-dd")</f>
        <v/>
      </c>
      <c r="C53821" t="inlineStr">
        <is>
          <t>2047-04-15</t>
        </is>
      </c>
    </row>
    <row r="53822">
      <c r="A53822" s="1" t="n">
        <v>53821</v>
      </c>
      <c r="B53822">
        <f>TEXT(53821, "[$-0E0000]yyyy-mm-dd")</f>
        <v/>
      </c>
      <c r="C53822" t="inlineStr">
        <is>
          <t>2047-04-16</t>
        </is>
      </c>
    </row>
    <row r="53823">
      <c r="A53823" s="1" t="n">
        <v>53822</v>
      </c>
      <c r="B53823">
        <f>TEXT(53822, "[$-0E0000]yyyy-mm-dd")</f>
        <v/>
      </c>
      <c r="C53823" t="inlineStr">
        <is>
          <t>2047-04-17</t>
        </is>
      </c>
    </row>
    <row r="53824">
      <c r="A53824" s="1" t="n">
        <v>53823</v>
      </c>
      <c r="B53824">
        <f>TEXT(53823, "[$-0E0000]yyyy-mm-dd")</f>
        <v/>
      </c>
      <c r="C53824" t="inlineStr">
        <is>
          <t>2047-04-18</t>
        </is>
      </c>
    </row>
    <row r="53825">
      <c r="A53825" s="1" t="n">
        <v>53824</v>
      </c>
      <c r="B53825">
        <f>TEXT(53824, "[$-0E0000]yyyy-mm-dd")</f>
        <v/>
      </c>
      <c r="C53825" t="inlineStr">
        <is>
          <t>2047-04-19</t>
        </is>
      </c>
    </row>
    <row r="53826">
      <c r="A53826" s="1" t="n">
        <v>53825</v>
      </c>
      <c r="B53826">
        <f>TEXT(53825, "[$-0E0000]yyyy-mm-dd")</f>
        <v/>
      </c>
      <c r="C53826" t="inlineStr">
        <is>
          <t>2047-04-20</t>
        </is>
      </c>
    </row>
    <row r="53827">
      <c r="A53827" s="1" t="n">
        <v>53826</v>
      </c>
      <c r="B53827">
        <f>TEXT(53826, "[$-0E0000]yyyy-mm-dd")</f>
        <v/>
      </c>
      <c r="C53827" t="inlineStr">
        <is>
          <t>2047-04-21</t>
        </is>
      </c>
    </row>
    <row r="53828">
      <c r="A53828" s="1" t="n">
        <v>53827</v>
      </c>
      <c r="B53828">
        <f>TEXT(53827, "[$-0E0000]yyyy-mm-dd")</f>
        <v/>
      </c>
      <c r="C53828" t="inlineStr">
        <is>
          <t>2047-04-22</t>
        </is>
      </c>
    </row>
    <row r="53829">
      <c r="A53829" s="1" t="n">
        <v>53828</v>
      </c>
      <c r="B53829">
        <f>TEXT(53828, "[$-0E0000]yyyy-mm-dd")</f>
        <v/>
      </c>
      <c r="C53829" t="inlineStr">
        <is>
          <t>2047-04-23</t>
        </is>
      </c>
    </row>
    <row r="53830">
      <c r="A53830" s="1" t="n">
        <v>53829</v>
      </c>
      <c r="B53830">
        <f>TEXT(53829, "[$-0E0000]yyyy-mm-dd")</f>
        <v/>
      </c>
      <c r="C53830" t="inlineStr">
        <is>
          <t>2047-04-24</t>
        </is>
      </c>
    </row>
    <row r="53831">
      <c r="A53831" s="1" t="n">
        <v>53830</v>
      </c>
      <c r="B53831">
        <f>TEXT(53830, "[$-0E0000]yyyy-mm-dd")</f>
        <v/>
      </c>
      <c r="C53831" t="inlineStr">
        <is>
          <t>2047-04-25</t>
        </is>
      </c>
    </row>
    <row r="53832">
      <c r="A53832" s="1" t="n">
        <v>53831</v>
      </c>
      <c r="B53832">
        <f>TEXT(53831, "[$-0E0000]yyyy-mm-dd")</f>
        <v/>
      </c>
      <c r="C53832" t="inlineStr">
        <is>
          <t>2047-04-26</t>
        </is>
      </c>
    </row>
    <row r="53833">
      <c r="A53833" s="1" t="n">
        <v>53832</v>
      </c>
      <c r="B53833">
        <f>TEXT(53832, "[$-0E0000]yyyy-mm-dd")</f>
        <v/>
      </c>
      <c r="C53833" t="inlineStr">
        <is>
          <t>2047-04-27</t>
        </is>
      </c>
    </row>
    <row r="53834">
      <c r="A53834" s="1" t="n">
        <v>53833</v>
      </c>
      <c r="B53834">
        <f>TEXT(53833, "[$-0E0000]yyyy-mm-dd")</f>
        <v/>
      </c>
      <c r="C53834" t="inlineStr">
        <is>
          <t>2047-04-28</t>
        </is>
      </c>
    </row>
    <row r="53835">
      <c r="A53835" s="1" t="n">
        <v>53834</v>
      </c>
      <c r="B53835">
        <f>TEXT(53834, "[$-0E0000]yyyy-mm-dd")</f>
        <v/>
      </c>
      <c r="C53835" t="inlineStr">
        <is>
          <t>2047-04-29</t>
        </is>
      </c>
    </row>
    <row r="53836">
      <c r="A53836" s="1" t="n">
        <v>53835</v>
      </c>
      <c r="B53836">
        <f>TEXT(53835, "[$-0E0000]yyyy-mm-dd")</f>
        <v/>
      </c>
      <c r="C53836" t="inlineStr">
        <is>
          <t>2047-04-30</t>
        </is>
      </c>
    </row>
    <row r="53837">
      <c r="A53837" s="1" t="n">
        <v>53836</v>
      </c>
      <c r="B53837">
        <f>TEXT(53836, "[$-0E0000]yyyy-mm-dd")</f>
        <v/>
      </c>
      <c r="C53837" t="inlineStr">
        <is>
          <t>2047-05-01</t>
        </is>
      </c>
    </row>
    <row r="53838">
      <c r="A53838" s="1" t="n">
        <v>53837</v>
      </c>
      <c r="B53838">
        <f>TEXT(53837, "[$-0E0000]yyyy-mm-dd")</f>
        <v/>
      </c>
      <c r="C53838" t="inlineStr">
        <is>
          <t>2047-05-02</t>
        </is>
      </c>
    </row>
    <row r="53839">
      <c r="A53839" s="1" t="n">
        <v>53838</v>
      </c>
      <c r="B53839">
        <f>TEXT(53838, "[$-0E0000]yyyy-mm-dd")</f>
        <v/>
      </c>
      <c r="C53839" t="inlineStr">
        <is>
          <t>2047-05-03</t>
        </is>
      </c>
    </row>
    <row r="53840">
      <c r="A53840" s="1" t="n">
        <v>53839</v>
      </c>
      <c r="B53840">
        <f>TEXT(53839, "[$-0E0000]yyyy-mm-dd")</f>
        <v/>
      </c>
      <c r="C53840" t="inlineStr">
        <is>
          <t>2047-05-04</t>
        </is>
      </c>
    </row>
    <row r="53841">
      <c r="A53841" s="1" t="n">
        <v>53840</v>
      </c>
      <c r="B53841">
        <f>TEXT(53840, "[$-0E0000]yyyy-mm-dd")</f>
        <v/>
      </c>
      <c r="C53841" t="inlineStr">
        <is>
          <t>2047-05-05</t>
        </is>
      </c>
    </row>
    <row r="53842">
      <c r="A53842" s="1" t="n">
        <v>53841</v>
      </c>
      <c r="B53842">
        <f>TEXT(53841, "[$-0E0000]yyyy-mm-dd")</f>
        <v/>
      </c>
      <c r="C53842" t="inlineStr">
        <is>
          <t>2047-05-06</t>
        </is>
      </c>
    </row>
    <row r="53843">
      <c r="A53843" s="1" t="n">
        <v>53842</v>
      </c>
      <c r="B53843">
        <f>TEXT(53842, "[$-0E0000]yyyy-mm-dd")</f>
        <v/>
      </c>
      <c r="C53843" t="inlineStr">
        <is>
          <t>2047-05-07</t>
        </is>
      </c>
    </row>
    <row r="53844">
      <c r="A53844" s="1" t="n">
        <v>53843</v>
      </c>
      <c r="B53844">
        <f>TEXT(53843, "[$-0E0000]yyyy-mm-dd")</f>
        <v/>
      </c>
      <c r="C53844" t="inlineStr">
        <is>
          <t>2047-05-08</t>
        </is>
      </c>
    </row>
    <row r="53845">
      <c r="A53845" s="1" t="n">
        <v>53844</v>
      </c>
      <c r="B53845">
        <f>TEXT(53844, "[$-0E0000]yyyy-mm-dd")</f>
        <v/>
      </c>
      <c r="C53845" t="inlineStr">
        <is>
          <t>2047-05-09</t>
        </is>
      </c>
    </row>
    <row r="53846">
      <c r="A53846" s="1" t="n">
        <v>53845</v>
      </c>
      <c r="B53846">
        <f>TEXT(53845, "[$-0E0000]yyyy-mm-dd")</f>
        <v/>
      </c>
      <c r="C53846" t="inlineStr">
        <is>
          <t>2047-05-10</t>
        </is>
      </c>
    </row>
    <row r="53847">
      <c r="A53847" s="1" t="n">
        <v>53846</v>
      </c>
      <c r="B53847">
        <f>TEXT(53846, "[$-0E0000]yyyy-mm-dd")</f>
        <v/>
      </c>
      <c r="C53847" t="inlineStr">
        <is>
          <t>2047-05-11</t>
        </is>
      </c>
    </row>
    <row r="53848">
      <c r="A53848" s="1" t="n">
        <v>53847</v>
      </c>
      <c r="B53848">
        <f>TEXT(53847, "[$-0E0000]yyyy-mm-dd")</f>
        <v/>
      </c>
      <c r="C53848" t="inlineStr">
        <is>
          <t>2047-05-12</t>
        </is>
      </c>
    </row>
    <row r="53849">
      <c r="A53849" s="1" t="n">
        <v>53848</v>
      </c>
      <c r="B53849">
        <f>TEXT(53848, "[$-0E0000]yyyy-mm-dd")</f>
        <v/>
      </c>
      <c r="C53849" t="inlineStr">
        <is>
          <t>2047-05-13</t>
        </is>
      </c>
    </row>
    <row r="53850">
      <c r="A53850" s="1" t="n">
        <v>53849</v>
      </c>
      <c r="B53850">
        <f>TEXT(53849, "[$-0E0000]yyyy-mm-dd")</f>
        <v/>
      </c>
      <c r="C53850" t="inlineStr">
        <is>
          <t>2047-05-14</t>
        </is>
      </c>
    </row>
    <row r="53851">
      <c r="A53851" s="1" t="n">
        <v>53850</v>
      </c>
      <c r="B53851">
        <f>TEXT(53850, "[$-0E0000]yyyy-mm-dd")</f>
        <v/>
      </c>
      <c r="C53851" t="inlineStr">
        <is>
          <t>2047-05-15</t>
        </is>
      </c>
    </row>
    <row r="53852">
      <c r="A53852" s="1" t="n">
        <v>53851</v>
      </c>
      <c r="B53852">
        <f>TEXT(53851, "[$-0E0000]yyyy-mm-dd")</f>
        <v/>
      </c>
      <c r="C53852" t="inlineStr">
        <is>
          <t>2047-05-16</t>
        </is>
      </c>
    </row>
    <row r="53853">
      <c r="A53853" s="1" t="n">
        <v>53852</v>
      </c>
      <c r="B53853">
        <f>TEXT(53852, "[$-0E0000]yyyy-mm-dd")</f>
        <v/>
      </c>
      <c r="C53853" t="inlineStr">
        <is>
          <t>2047-05-17</t>
        </is>
      </c>
    </row>
    <row r="53854">
      <c r="A53854" s="1" t="n">
        <v>53853</v>
      </c>
      <c r="B53854">
        <f>TEXT(53853, "[$-0E0000]yyyy-mm-dd")</f>
        <v/>
      </c>
      <c r="C53854" t="inlineStr">
        <is>
          <t>2047-05-18</t>
        </is>
      </c>
    </row>
    <row r="53855">
      <c r="A53855" s="1" t="n">
        <v>53854</v>
      </c>
      <c r="B53855">
        <f>TEXT(53854, "[$-0E0000]yyyy-mm-dd")</f>
        <v/>
      </c>
      <c r="C53855" t="inlineStr">
        <is>
          <t>2047-05-19</t>
        </is>
      </c>
    </row>
    <row r="53856">
      <c r="A53856" s="1" t="n">
        <v>53855</v>
      </c>
      <c r="B53856">
        <f>TEXT(53855, "[$-0E0000]yyyy-mm-dd")</f>
        <v/>
      </c>
      <c r="C53856" t="inlineStr">
        <is>
          <t>2047-05-20</t>
        </is>
      </c>
    </row>
    <row r="53857">
      <c r="A53857" s="1" t="n">
        <v>53856</v>
      </c>
      <c r="B53857">
        <f>TEXT(53856, "[$-0E0000]yyyy-mm-dd")</f>
        <v/>
      </c>
      <c r="C53857" t="inlineStr">
        <is>
          <t>2047-05-21</t>
        </is>
      </c>
    </row>
    <row r="53858">
      <c r="A53858" s="1" t="n">
        <v>53857</v>
      </c>
      <c r="B53858">
        <f>TEXT(53857, "[$-0E0000]yyyy-mm-dd")</f>
        <v/>
      </c>
      <c r="C53858" t="inlineStr">
        <is>
          <t>2047-05-22</t>
        </is>
      </c>
    </row>
    <row r="53859">
      <c r="A53859" s="1" t="n">
        <v>53858</v>
      </c>
      <c r="B53859">
        <f>TEXT(53858, "[$-0E0000]yyyy-mm-dd")</f>
        <v/>
      </c>
      <c r="C53859" t="inlineStr">
        <is>
          <t>2047-05-23</t>
        </is>
      </c>
    </row>
    <row r="53860">
      <c r="A53860" s="1" t="n">
        <v>53859</v>
      </c>
      <c r="B53860">
        <f>TEXT(53859, "[$-0E0000]yyyy-mm-dd")</f>
        <v/>
      </c>
      <c r="C53860" t="inlineStr">
        <is>
          <t>2047-05-24</t>
        </is>
      </c>
    </row>
    <row r="53861">
      <c r="A53861" s="1" t="n">
        <v>53860</v>
      </c>
      <c r="B53861">
        <f>TEXT(53860, "[$-0E0000]yyyy-mm-dd")</f>
        <v/>
      </c>
      <c r="C53861" t="inlineStr">
        <is>
          <t>2047-05-25</t>
        </is>
      </c>
    </row>
    <row r="53862">
      <c r="A53862" s="1" t="n">
        <v>53861</v>
      </c>
      <c r="B53862">
        <f>TEXT(53861, "[$-0E0000]yyyy-mm-dd")</f>
        <v/>
      </c>
      <c r="C53862" t="inlineStr">
        <is>
          <t>2047-05-26</t>
        </is>
      </c>
    </row>
    <row r="53863">
      <c r="A53863" s="1" t="n">
        <v>53862</v>
      </c>
      <c r="B53863">
        <f>TEXT(53862, "[$-0E0000]yyyy-mm-dd")</f>
        <v/>
      </c>
      <c r="C53863" t="inlineStr">
        <is>
          <t>2047-05-27</t>
        </is>
      </c>
    </row>
    <row r="53864">
      <c r="A53864" s="1" t="n">
        <v>53863</v>
      </c>
      <c r="B53864">
        <f>TEXT(53863, "[$-0E0000]yyyy-mm-dd")</f>
        <v/>
      </c>
      <c r="C53864" t="inlineStr">
        <is>
          <t>2047-05-28</t>
        </is>
      </c>
    </row>
    <row r="53865">
      <c r="A53865" s="1" t="n">
        <v>53864</v>
      </c>
      <c r="B53865">
        <f>TEXT(53864, "[$-0E0000]yyyy-mm-dd")</f>
        <v/>
      </c>
      <c r="C53865" t="inlineStr">
        <is>
          <t>2047-05-29</t>
        </is>
      </c>
    </row>
    <row r="53866">
      <c r="A53866" s="1" t="n">
        <v>53865</v>
      </c>
      <c r="B53866">
        <f>TEXT(53865, "[$-0E0000]yyyy-mm-dd")</f>
        <v/>
      </c>
      <c r="C53866" t="inlineStr">
        <is>
          <t>2047-05-01</t>
        </is>
      </c>
    </row>
    <row r="53867">
      <c r="A53867" s="1" t="n">
        <v>53866</v>
      </c>
      <c r="B53867">
        <f>TEXT(53866, "[$-0E0000]yyyy-mm-dd")</f>
        <v/>
      </c>
      <c r="C53867" t="inlineStr">
        <is>
          <t>2047-05-02</t>
        </is>
      </c>
    </row>
    <row r="53868">
      <c r="A53868" s="1" t="n">
        <v>53867</v>
      </c>
      <c r="B53868">
        <f>TEXT(53867, "[$-0E0000]yyyy-mm-dd")</f>
        <v/>
      </c>
      <c r="C53868" t="inlineStr">
        <is>
          <t>2047-05-03</t>
        </is>
      </c>
    </row>
    <row r="53869">
      <c r="A53869" s="1" t="n">
        <v>53868</v>
      </c>
      <c r="B53869">
        <f>TEXT(53868, "[$-0E0000]yyyy-mm-dd")</f>
        <v/>
      </c>
      <c r="C53869" t="inlineStr">
        <is>
          <t>2047-05-04</t>
        </is>
      </c>
    </row>
    <row r="53870">
      <c r="A53870" s="1" t="n">
        <v>53869</v>
      </c>
      <c r="B53870">
        <f>TEXT(53869, "[$-0E0000]yyyy-mm-dd")</f>
        <v/>
      </c>
      <c r="C53870" t="inlineStr">
        <is>
          <t>2047-05-05</t>
        </is>
      </c>
    </row>
    <row r="53871">
      <c r="A53871" s="1" t="n">
        <v>53870</v>
      </c>
      <c r="B53871">
        <f>TEXT(53870, "[$-0E0000]yyyy-mm-dd")</f>
        <v/>
      </c>
      <c r="C53871" t="inlineStr">
        <is>
          <t>2047-05-06</t>
        </is>
      </c>
    </row>
    <row r="53872">
      <c r="A53872" s="1" t="n">
        <v>53871</v>
      </c>
      <c r="B53872">
        <f>TEXT(53871, "[$-0E0000]yyyy-mm-dd")</f>
        <v/>
      </c>
      <c r="C53872" t="inlineStr">
        <is>
          <t>2047-05-07</t>
        </is>
      </c>
    </row>
    <row r="53873">
      <c r="A53873" s="1" t="n">
        <v>53872</v>
      </c>
      <c r="B53873">
        <f>TEXT(53872, "[$-0E0000]yyyy-mm-dd")</f>
        <v/>
      </c>
      <c r="C53873" t="inlineStr">
        <is>
          <t>2047-05-08</t>
        </is>
      </c>
    </row>
    <row r="53874">
      <c r="A53874" s="1" t="n">
        <v>53873</v>
      </c>
      <c r="B53874">
        <f>TEXT(53873, "[$-0E0000]yyyy-mm-dd")</f>
        <v/>
      </c>
      <c r="C53874" t="inlineStr">
        <is>
          <t>2047-05-09</t>
        </is>
      </c>
    </row>
    <row r="53875">
      <c r="A53875" s="1" t="n">
        <v>53874</v>
      </c>
      <c r="B53875">
        <f>TEXT(53874, "[$-0E0000]yyyy-mm-dd")</f>
        <v/>
      </c>
      <c r="C53875" t="inlineStr">
        <is>
          <t>2047-05-10</t>
        </is>
      </c>
    </row>
    <row r="53876">
      <c r="A53876" s="1" t="n">
        <v>53875</v>
      </c>
      <c r="B53876">
        <f>TEXT(53875, "[$-0E0000]yyyy-mm-dd")</f>
        <v/>
      </c>
      <c r="C53876" t="inlineStr">
        <is>
          <t>2047-05-11</t>
        </is>
      </c>
    </row>
    <row r="53877">
      <c r="A53877" s="1" t="n">
        <v>53876</v>
      </c>
      <c r="B53877">
        <f>TEXT(53876, "[$-0E0000]yyyy-mm-dd")</f>
        <v/>
      </c>
      <c r="C53877" t="inlineStr">
        <is>
          <t>2047-05-12</t>
        </is>
      </c>
    </row>
    <row r="53878">
      <c r="A53878" s="1" t="n">
        <v>53877</v>
      </c>
      <c r="B53878">
        <f>TEXT(53877, "[$-0E0000]yyyy-mm-dd")</f>
        <v/>
      </c>
      <c r="C53878" t="inlineStr">
        <is>
          <t>2047-05-13</t>
        </is>
      </c>
    </row>
    <row r="53879">
      <c r="A53879" s="1" t="n">
        <v>53878</v>
      </c>
      <c r="B53879">
        <f>TEXT(53878, "[$-0E0000]yyyy-mm-dd")</f>
        <v/>
      </c>
      <c r="C53879" t="inlineStr">
        <is>
          <t>2047-05-14</t>
        </is>
      </c>
    </row>
    <row r="53880">
      <c r="A53880" s="1" t="n">
        <v>53879</v>
      </c>
      <c r="B53880">
        <f>TEXT(53879, "[$-0E0000]yyyy-mm-dd")</f>
        <v/>
      </c>
      <c r="C53880" t="inlineStr">
        <is>
          <t>2047-05-15</t>
        </is>
      </c>
    </row>
    <row r="53881">
      <c r="A53881" s="1" t="n">
        <v>53880</v>
      </c>
      <c r="B53881">
        <f>TEXT(53880, "[$-0E0000]yyyy-mm-dd")</f>
        <v/>
      </c>
      <c r="C53881" t="inlineStr">
        <is>
          <t>2047-05-16</t>
        </is>
      </c>
    </row>
    <row r="53882">
      <c r="A53882" s="1" t="n">
        <v>53881</v>
      </c>
      <c r="B53882">
        <f>TEXT(53881, "[$-0E0000]yyyy-mm-dd")</f>
        <v/>
      </c>
      <c r="C53882" t="inlineStr">
        <is>
          <t>2047-05-17</t>
        </is>
      </c>
    </row>
    <row r="53883">
      <c r="A53883" s="1" t="n">
        <v>53882</v>
      </c>
      <c r="B53883">
        <f>TEXT(53882, "[$-0E0000]yyyy-mm-dd")</f>
        <v/>
      </c>
      <c r="C53883" t="inlineStr">
        <is>
          <t>2047-05-18</t>
        </is>
      </c>
    </row>
    <row r="53884">
      <c r="A53884" s="1" t="n">
        <v>53883</v>
      </c>
      <c r="B53884">
        <f>TEXT(53883, "[$-0E0000]yyyy-mm-dd")</f>
        <v/>
      </c>
      <c r="C53884" t="inlineStr">
        <is>
          <t>2047-05-19</t>
        </is>
      </c>
    </row>
    <row r="53885">
      <c r="A53885" s="1" t="n">
        <v>53884</v>
      </c>
      <c r="B53885">
        <f>TEXT(53884, "[$-0E0000]yyyy-mm-dd")</f>
        <v/>
      </c>
      <c r="C53885" t="inlineStr">
        <is>
          <t>2047-05-20</t>
        </is>
      </c>
    </row>
    <row r="53886">
      <c r="A53886" s="1" t="n">
        <v>53885</v>
      </c>
      <c r="B53886">
        <f>TEXT(53885, "[$-0E0000]yyyy-mm-dd")</f>
        <v/>
      </c>
      <c r="C53886" t="inlineStr">
        <is>
          <t>2047-05-21</t>
        </is>
      </c>
    </row>
    <row r="53887">
      <c r="A53887" s="1" t="n">
        <v>53886</v>
      </c>
      <c r="B53887">
        <f>TEXT(53886, "[$-0E0000]yyyy-mm-dd")</f>
        <v/>
      </c>
      <c r="C53887" t="inlineStr">
        <is>
          <t>2047-05-22</t>
        </is>
      </c>
    </row>
    <row r="53888">
      <c r="A53888" s="1" t="n">
        <v>53887</v>
      </c>
      <c r="B53888">
        <f>TEXT(53887, "[$-0E0000]yyyy-mm-dd")</f>
        <v/>
      </c>
      <c r="C53888" t="inlineStr">
        <is>
          <t>2047-05-23</t>
        </is>
      </c>
    </row>
    <row r="53889">
      <c r="A53889" s="1" t="n">
        <v>53888</v>
      </c>
      <c r="B53889">
        <f>TEXT(53888, "[$-0E0000]yyyy-mm-dd")</f>
        <v/>
      </c>
      <c r="C53889" t="inlineStr">
        <is>
          <t>2047-05-24</t>
        </is>
      </c>
    </row>
    <row r="53890">
      <c r="A53890" s="1" t="n">
        <v>53889</v>
      </c>
      <c r="B53890">
        <f>TEXT(53889, "[$-0E0000]yyyy-mm-dd")</f>
        <v/>
      </c>
      <c r="C53890" t="inlineStr">
        <is>
          <t>2047-05-25</t>
        </is>
      </c>
    </row>
    <row r="53891">
      <c r="A53891" s="1" t="n">
        <v>53890</v>
      </c>
      <c r="B53891">
        <f>TEXT(53890, "[$-0E0000]yyyy-mm-dd")</f>
        <v/>
      </c>
      <c r="C53891" t="inlineStr">
        <is>
          <t>2047-05-26</t>
        </is>
      </c>
    </row>
    <row r="53892">
      <c r="A53892" s="1" t="n">
        <v>53891</v>
      </c>
      <c r="B53892">
        <f>TEXT(53891, "[$-0E0000]yyyy-mm-dd")</f>
        <v/>
      </c>
      <c r="C53892" t="inlineStr">
        <is>
          <t>2047-05-27</t>
        </is>
      </c>
    </row>
    <row r="53893">
      <c r="A53893" s="1" t="n">
        <v>53892</v>
      </c>
      <c r="B53893">
        <f>TEXT(53892, "[$-0E0000]yyyy-mm-dd")</f>
        <v/>
      </c>
      <c r="C53893" t="inlineStr">
        <is>
          <t>2047-05-28</t>
        </is>
      </c>
    </row>
    <row r="53894">
      <c r="A53894" s="1" t="n">
        <v>53893</v>
      </c>
      <c r="B53894">
        <f>TEXT(53893, "[$-0E0000]yyyy-mm-dd")</f>
        <v/>
      </c>
      <c r="C53894" t="inlineStr">
        <is>
          <t>2047-05-29</t>
        </is>
      </c>
    </row>
    <row r="53895">
      <c r="A53895" s="1" t="n">
        <v>53894</v>
      </c>
      <c r="B53895">
        <f>TEXT(53894, "[$-0E0000]yyyy-mm-dd")</f>
        <v/>
      </c>
      <c r="C53895" t="inlineStr">
        <is>
          <t>2047-05-30</t>
        </is>
      </c>
    </row>
    <row r="53896">
      <c r="A53896" s="1" t="n">
        <v>53895</v>
      </c>
      <c r="B53896">
        <f>TEXT(53895, "[$-0E0000]yyyy-mm-dd")</f>
        <v/>
      </c>
      <c r="C53896" t="inlineStr">
        <is>
          <t>2047-06-01</t>
        </is>
      </c>
    </row>
    <row r="53897">
      <c r="A53897" s="1" t="n">
        <v>53896</v>
      </c>
      <c r="B53897">
        <f>TEXT(53896, "[$-0E0000]yyyy-mm-dd")</f>
        <v/>
      </c>
      <c r="C53897" t="inlineStr">
        <is>
          <t>2047-06-02</t>
        </is>
      </c>
    </row>
    <row r="53898">
      <c r="A53898" s="1" t="n">
        <v>53897</v>
      </c>
      <c r="B53898">
        <f>TEXT(53897, "[$-0E0000]yyyy-mm-dd")</f>
        <v/>
      </c>
      <c r="C53898" t="inlineStr">
        <is>
          <t>2047-06-03</t>
        </is>
      </c>
    </row>
    <row r="53899">
      <c r="A53899" s="1" t="n">
        <v>53898</v>
      </c>
      <c r="B53899">
        <f>TEXT(53898, "[$-0E0000]yyyy-mm-dd")</f>
        <v/>
      </c>
      <c r="C53899" t="inlineStr">
        <is>
          <t>2047-06-04</t>
        </is>
      </c>
    </row>
    <row r="53900">
      <c r="A53900" s="1" t="n">
        <v>53899</v>
      </c>
      <c r="B53900">
        <f>TEXT(53899, "[$-0E0000]yyyy-mm-dd")</f>
        <v/>
      </c>
      <c r="C53900" t="inlineStr">
        <is>
          <t>2047-06-05</t>
        </is>
      </c>
    </row>
    <row r="53901">
      <c r="A53901" s="1" t="n">
        <v>53900</v>
      </c>
      <c r="B53901">
        <f>TEXT(53900, "[$-0E0000]yyyy-mm-dd")</f>
        <v/>
      </c>
      <c r="C53901" t="inlineStr">
        <is>
          <t>2047-06-06</t>
        </is>
      </c>
    </row>
    <row r="53902">
      <c r="A53902" s="1" t="n">
        <v>53901</v>
      </c>
      <c r="B53902">
        <f>TEXT(53901, "[$-0E0000]yyyy-mm-dd")</f>
        <v/>
      </c>
      <c r="C53902" t="inlineStr">
        <is>
          <t>2047-06-07</t>
        </is>
      </c>
    </row>
    <row r="53903">
      <c r="A53903" s="1" t="n">
        <v>53902</v>
      </c>
      <c r="B53903">
        <f>TEXT(53902, "[$-0E0000]yyyy-mm-dd")</f>
        <v/>
      </c>
      <c r="C53903" t="inlineStr">
        <is>
          <t>2047-06-08</t>
        </is>
      </c>
    </row>
    <row r="53904">
      <c r="A53904" s="1" t="n">
        <v>53903</v>
      </c>
      <c r="B53904">
        <f>TEXT(53903, "[$-0E0000]yyyy-mm-dd")</f>
        <v/>
      </c>
      <c r="C53904" t="inlineStr">
        <is>
          <t>2047-06-09</t>
        </is>
      </c>
    </row>
    <row r="53905">
      <c r="A53905" s="1" t="n">
        <v>53904</v>
      </c>
      <c r="B53905">
        <f>TEXT(53904, "[$-0E0000]yyyy-mm-dd")</f>
        <v/>
      </c>
      <c r="C53905" t="inlineStr">
        <is>
          <t>2047-06-10</t>
        </is>
      </c>
    </row>
    <row r="53906">
      <c r="A53906" s="1" t="n">
        <v>53905</v>
      </c>
      <c r="B53906">
        <f>TEXT(53905, "[$-0E0000]yyyy-mm-dd")</f>
        <v/>
      </c>
      <c r="C53906" t="inlineStr">
        <is>
          <t>2047-06-11</t>
        </is>
      </c>
    </row>
    <row r="53907">
      <c r="A53907" s="1" t="n">
        <v>53906</v>
      </c>
      <c r="B53907">
        <f>TEXT(53906, "[$-0E0000]yyyy-mm-dd")</f>
        <v/>
      </c>
      <c r="C53907" t="inlineStr">
        <is>
          <t>2047-06-12</t>
        </is>
      </c>
    </row>
    <row r="53908">
      <c r="A53908" s="1" t="n">
        <v>53907</v>
      </c>
      <c r="B53908">
        <f>TEXT(53907, "[$-0E0000]yyyy-mm-dd")</f>
        <v/>
      </c>
      <c r="C53908" t="inlineStr">
        <is>
          <t>2047-06-13</t>
        </is>
      </c>
    </row>
    <row r="53909">
      <c r="A53909" s="1" t="n">
        <v>53908</v>
      </c>
      <c r="B53909">
        <f>TEXT(53908, "[$-0E0000]yyyy-mm-dd")</f>
        <v/>
      </c>
      <c r="C53909" t="inlineStr">
        <is>
          <t>2047-06-14</t>
        </is>
      </c>
    </row>
    <row r="53910">
      <c r="A53910" s="1" t="n">
        <v>53909</v>
      </c>
      <c r="B53910">
        <f>TEXT(53909, "[$-0E0000]yyyy-mm-dd")</f>
        <v/>
      </c>
      <c r="C53910" t="inlineStr">
        <is>
          <t>2047-06-15</t>
        </is>
      </c>
    </row>
    <row r="53911">
      <c r="A53911" s="1" t="n">
        <v>53910</v>
      </c>
      <c r="B53911">
        <f>TEXT(53910, "[$-0E0000]yyyy-mm-dd")</f>
        <v/>
      </c>
      <c r="C53911" t="inlineStr">
        <is>
          <t>2047-06-16</t>
        </is>
      </c>
    </row>
    <row r="53912">
      <c r="A53912" s="1" t="n">
        <v>53911</v>
      </c>
      <c r="B53912">
        <f>TEXT(53911, "[$-0E0000]yyyy-mm-dd")</f>
        <v/>
      </c>
      <c r="C53912" t="inlineStr">
        <is>
          <t>2047-06-17</t>
        </is>
      </c>
    </row>
    <row r="53913">
      <c r="A53913" s="1" t="n">
        <v>53912</v>
      </c>
      <c r="B53913">
        <f>TEXT(53912, "[$-0E0000]yyyy-mm-dd")</f>
        <v/>
      </c>
      <c r="C53913" t="inlineStr">
        <is>
          <t>2047-06-18</t>
        </is>
      </c>
    </row>
    <row r="53914">
      <c r="A53914" s="1" t="n">
        <v>53913</v>
      </c>
      <c r="B53914">
        <f>TEXT(53913, "[$-0E0000]yyyy-mm-dd")</f>
        <v/>
      </c>
      <c r="C53914" t="inlineStr">
        <is>
          <t>2047-06-19</t>
        </is>
      </c>
    </row>
    <row r="53915">
      <c r="A53915" s="1" t="n">
        <v>53914</v>
      </c>
      <c r="B53915">
        <f>TEXT(53914, "[$-0E0000]yyyy-mm-dd")</f>
        <v/>
      </c>
      <c r="C53915" t="inlineStr">
        <is>
          <t>2047-06-20</t>
        </is>
      </c>
    </row>
    <row r="53916">
      <c r="A53916" s="1" t="n">
        <v>53915</v>
      </c>
      <c r="B53916">
        <f>TEXT(53915, "[$-0E0000]yyyy-mm-dd")</f>
        <v/>
      </c>
      <c r="C53916" t="inlineStr">
        <is>
          <t>2047-06-21</t>
        </is>
      </c>
    </row>
    <row r="53917">
      <c r="A53917" s="1" t="n">
        <v>53916</v>
      </c>
      <c r="B53917">
        <f>TEXT(53916, "[$-0E0000]yyyy-mm-dd")</f>
        <v/>
      </c>
      <c r="C53917" t="inlineStr">
        <is>
          <t>2047-06-22</t>
        </is>
      </c>
    </row>
    <row r="53918">
      <c r="A53918" s="1" t="n">
        <v>53917</v>
      </c>
      <c r="B53918">
        <f>TEXT(53917, "[$-0E0000]yyyy-mm-dd")</f>
        <v/>
      </c>
      <c r="C53918" t="inlineStr">
        <is>
          <t>2047-06-23</t>
        </is>
      </c>
    </row>
    <row r="53919">
      <c r="A53919" s="1" t="n">
        <v>53918</v>
      </c>
      <c r="B53919">
        <f>TEXT(53918, "[$-0E0000]yyyy-mm-dd")</f>
        <v/>
      </c>
      <c r="C53919" t="inlineStr">
        <is>
          <t>2047-06-24</t>
        </is>
      </c>
    </row>
    <row r="53920">
      <c r="A53920" s="1" t="n">
        <v>53919</v>
      </c>
      <c r="B53920">
        <f>TEXT(53919, "[$-0E0000]yyyy-mm-dd")</f>
        <v/>
      </c>
      <c r="C53920" t="inlineStr">
        <is>
          <t>2047-06-25</t>
        </is>
      </c>
    </row>
    <row r="53921">
      <c r="A53921" s="1" t="n">
        <v>53920</v>
      </c>
      <c r="B53921">
        <f>TEXT(53920, "[$-0E0000]yyyy-mm-dd")</f>
        <v/>
      </c>
      <c r="C53921" t="inlineStr">
        <is>
          <t>2047-06-26</t>
        </is>
      </c>
    </row>
    <row r="53922">
      <c r="A53922" s="1" t="n">
        <v>53921</v>
      </c>
      <c r="B53922">
        <f>TEXT(53921, "[$-0E0000]yyyy-mm-dd")</f>
        <v/>
      </c>
      <c r="C53922" t="inlineStr">
        <is>
          <t>2047-06-27</t>
        </is>
      </c>
    </row>
    <row r="53923">
      <c r="A53923" s="1" t="n">
        <v>53922</v>
      </c>
      <c r="B53923">
        <f>TEXT(53922, "[$-0E0000]yyyy-mm-dd")</f>
        <v/>
      </c>
      <c r="C53923" t="inlineStr">
        <is>
          <t>2047-06-28</t>
        </is>
      </c>
    </row>
    <row r="53924">
      <c r="A53924" s="1" t="n">
        <v>53923</v>
      </c>
      <c r="B53924">
        <f>TEXT(53923, "[$-0E0000]yyyy-mm-dd")</f>
        <v/>
      </c>
      <c r="C53924" t="inlineStr">
        <is>
          <t>2047-06-29</t>
        </is>
      </c>
    </row>
    <row r="53925">
      <c r="A53925" s="1" t="n">
        <v>53924</v>
      </c>
      <c r="B53925">
        <f>TEXT(53924, "[$-0E0000]yyyy-mm-dd")</f>
        <v/>
      </c>
      <c r="C53925" t="inlineStr">
        <is>
          <t>2047-07-01</t>
        </is>
      </c>
    </row>
    <row r="53926">
      <c r="A53926" s="1" t="n">
        <v>53925</v>
      </c>
      <c r="B53926">
        <f>TEXT(53925, "[$-0E0000]yyyy-mm-dd")</f>
        <v/>
      </c>
      <c r="C53926" t="inlineStr">
        <is>
          <t>2047-07-02</t>
        </is>
      </c>
    </row>
    <row r="53927">
      <c r="A53927" s="1" t="n">
        <v>53926</v>
      </c>
      <c r="B53927">
        <f>TEXT(53926, "[$-0E0000]yyyy-mm-dd")</f>
        <v/>
      </c>
      <c r="C53927" t="inlineStr">
        <is>
          <t>2047-07-03</t>
        </is>
      </c>
    </row>
    <row r="53928">
      <c r="A53928" s="1" t="n">
        <v>53927</v>
      </c>
      <c r="B53928">
        <f>TEXT(53927, "[$-0E0000]yyyy-mm-dd")</f>
        <v/>
      </c>
      <c r="C53928" t="inlineStr">
        <is>
          <t>2047-07-04</t>
        </is>
      </c>
    </row>
    <row r="53929">
      <c r="A53929" s="1" t="n">
        <v>53928</v>
      </c>
      <c r="B53929">
        <f>TEXT(53928, "[$-0E0000]yyyy-mm-dd")</f>
        <v/>
      </c>
      <c r="C53929" t="inlineStr">
        <is>
          <t>2047-07-05</t>
        </is>
      </c>
    </row>
    <row r="53930">
      <c r="A53930" s="1" t="n">
        <v>53929</v>
      </c>
      <c r="B53930">
        <f>TEXT(53929, "[$-0E0000]yyyy-mm-dd")</f>
        <v/>
      </c>
      <c r="C53930" t="inlineStr">
        <is>
          <t>2047-07-06</t>
        </is>
      </c>
    </row>
    <row r="53931">
      <c r="A53931" s="1" t="n">
        <v>53930</v>
      </c>
      <c r="B53931">
        <f>TEXT(53930, "[$-0E0000]yyyy-mm-dd")</f>
        <v/>
      </c>
      <c r="C53931" t="inlineStr">
        <is>
          <t>2047-07-07</t>
        </is>
      </c>
    </row>
    <row r="53932">
      <c r="A53932" s="1" t="n">
        <v>53931</v>
      </c>
      <c r="B53932">
        <f>TEXT(53931, "[$-0E0000]yyyy-mm-dd")</f>
        <v/>
      </c>
      <c r="C53932" t="inlineStr">
        <is>
          <t>2047-07-08</t>
        </is>
      </c>
    </row>
    <row r="53933">
      <c r="A53933" s="1" t="n">
        <v>53932</v>
      </c>
      <c r="B53933">
        <f>TEXT(53932, "[$-0E0000]yyyy-mm-dd")</f>
        <v/>
      </c>
      <c r="C53933" t="inlineStr">
        <is>
          <t>2047-07-09</t>
        </is>
      </c>
    </row>
    <row r="53934">
      <c r="A53934" s="1" t="n">
        <v>53933</v>
      </c>
      <c r="B53934">
        <f>TEXT(53933, "[$-0E0000]yyyy-mm-dd")</f>
        <v/>
      </c>
      <c r="C53934" t="inlineStr">
        <is>
          <t>2047-07-10</t>
        </is>
      </c>
    </row>
    <row r="53935">
      <c r="A53935" s="1" t="n">
        <v>53934</v>
      </c>
      <c r="B53935">
        <f>TEXT(53934, "[$-0E0000]yyyy-mm-dd")</f>
        <v/>
      </c>
      <c r="C53935" t="inlineStr">
        <is>
          <t>2047-07-11</t>
        </is>
      </c>
    </row>
    <row r="53936">
      <c r="A53936" s="1" t="n">
        <v>53935</v>
      </c>
      <c r="B53936">
        <f>TEXT(53935, "[$-0E0000]yyyy-mm-dd")</f>
        <v/>
      </c>
      <c r="C53936" t="inlineStr">
        <is>
          <t>2047-07-12</t>
        </is>
      </c>
    </row>
    <row r="53937">
      <c r="A53937" s="1" t="n">
        <v>53936</v>
      </c>
      <c r="B53937">
        <f>TEXT(53936, "[$-0E0000]yyyy-mm-dd")</f>
        <v/>
      </c>
      <c r="C53937" t="inlineStr">
        <is>
          <t>2047-07-13</t>
        </is>
      </c>
    </row>
    <row r="53938">
      <c r="A53938" s="1" t="n">
        <v>53937</v>
      </c>
      <c r="B53938">
        <f>TEXT(53937, "[$-0E0000]yyyy-mm-dd")</f>
        <v/>
      </c>
      <c r="C53938" t="inlineStr">
        <is>
          <t>2047-07-14</t>
        </is>
      </c>
    </row>
    <row r="53939">
      <c r="A53939" s="1" t="n">
        <v>53938</v>
      </c>
      <c r="B53939">
        <f>TEXT(53938, "[$-0E0000]yyyy-mm-dd")</f>
        <v/>
      </c>
      <c r="C53939" t="inlineStr">
        <is>
          <t>2047-07-15</t>
        </is>
      </c>
    </row>
    <row r="53940">
      <c r="A53940" s="1" t="n">
        <v>53939</v>
      </c>
      <c r="B53940">
        <f>TEXT(53939, "[$-0E0000]yyyy-mm-dd")</f>
        <v/>
      </c>
      <c r="C53940" t="inlineStr">
        <is>
          <t>2047-07-16</t>
        </is>
      </c>
    </row>
    <row r="53941">
      <c r="A53941" s="1" t="n">
        <v>53940</v>
      </c>
      <c r="B53941">
        <f>TEXT(53940, "[$-0E0000]yyyy-mm-dd")</f>
        <v/>
      </c>
      <c r="C53941" t="inlineStr">
        <is>
          <t>2047-07-17</t>
        </is>
      </c>
    </row>
    <row r="53942">
      <c r="A53942" s="1" t="n">
        <v>53941</v>
      </c>
      <c r="B53942">
        <f>TEXT(53941, "[$-0E0000]yyyy-mm-dd")</f>
        <v/>
      </c>
      <c r="C53942" t="inlineStr">
        <is>
          <t>2047-07-18</t>
        </is>
      </c>
    </row>
    <row r="53943">
      <c r="A53943" s="1" t="n">
        <v>53942</v>
      </c>
      <c r="B53943">
        <f>TEXT(53942, "[$-0E0000]yyyy-mm-dd")</f>
        <v/>
      </c>
      <c r="C53943" t="inlineStr">
        <is>
          <t>2047-07-19</t>
        </is>
      </c>
    </row>
    <row r="53944">
      <c r="A53944" s="1" t="n">
        <v>53943</v>
      </c>
      <c r="B53944">
        <f>TEXT(53943, "[$-0E0000]yyyy-mm-dd")</f>
        <v/>
      </c>
      <c r="C53944" t="inlineStr">
        <is>
          <t>2047-07-20</t>
        </is>
      </c>
    </row>
    <row r="53945">
      <c r="A53945" s="1" t="n">
        <v>53944</v>
      </c>
      <c r="B53945">
        <f>TEXT(53944, "[$-0E0000]yyyy-mm-dd")</f>
        <v/>
      </c>
      <c r="C53945" t="inlineStr">
        <is>
          <t>2047-07-21</t>
        </is>
      </c>
    </row>
    <row r="53946">
      <c r="A53946" s="1" t="n">
        <v>53945</v>
      </c>
      <c r="B53946">
        <f>TEXT(53945, "[$-0E0000]yyyy-mm-dd")</f>
        <v/>
      </c>
      <c r="C53946" t="inlineStr">
        <is>
          <t>2047-07-22</t>
        </is>
      </c>
    </row>
    <row r="53947">
      <c r="A53947" s="1" t="n">
        <v>53946</v>
      </c>
      <c r="B53947">
        <f>TEXT(53946, "[$-0E0000]yyyy-mm-dd")</f>
        <v/>
      </c>
      <c r="C53947" t="inlineStr">
        <is>
          <t>2047-07-23</t>
        </is>
      </c>
    </row>
    <row r="53948">
      <c r="A53948" s="1" t="n">
        <v>53947</v>
      </c>
      <c r="B53948">
        <f>TEXT(53947, "[$-0E0000]yyyy-mm-dd")</f>
        <v/>
      </c>
      <c r="C53948" t="inlineStr">
        <is>
          <t>2047-07-24</t>
        </is>
      </c>
    </row>
    <row r="53949">
      <c r="A53949" s="1" t="n">
        <v>53948</v>
      </c>
      <c r="B53949">
        <f>TEXT(53948, "[$-0E0000]yyyy-mm-dd")</f>
        <v/>
      </c>
      <c r="C53949" t="inlineStr">
        <is>
          <t>2047-07-25</t>
        </is>
      </c>
    </row>
    <row r="53950">
      <c r="A53950" s="1" t="n">
        <v>53949</v>
      </c>
      <c r="B53950">
        <f>TEXT(53949, "[$-0E0000]yyyy-mm-dd")</f>
        <v/>
      </c>
      <c r="C53950" t="inlineStr">
        <is>
          <t>2047-07-26</t>
        </is>
      </c>
    </row>
    <row r="53951">
      <c r="A53951" s="1" t="n">
        <v>53950</v>
      </c>
      <c r="B53951">
        <f>TEXT(53950, "[$-0E0000]yyyy-mm-dd")</f>
        <v/>
      </c>
      <c r="C53951" t="inlineStr">
        <is>
          <t>2047-07-27</t>
        </is>
      </c>
    </row>
    <row r="53952">
      <c r="A53952" s="1" t="n">
        <v>53951</v>
      </c>
      <c r="B53952">
        <f>TEXT(53951, "[$-0E0000]yyyy-mm-dd")</f>
        <v/>
      </c>
      <c r="C53952" t="inlineStr">
        <is>
          <t>2047-07-28</t>
        </is>
      </c>
    </row>
    <row r="53953">
      <c r="A53953" s="1" t="n">
        <v>53952</v>
      </c>
      <c r="B53953">
        <f>TEXT(53952, "[$-0E0000]yyyy-mm-dd")</f>
        <v/>
      </c>
      <c r="C53953" t="inlineStr">
        <is>
          <t>2047-07-29</t>
        </is>
      </c>
    </row>
    <row r="53954">
      <c r="A53954" s="1" t="n">
        <v>53953</v>
      </c>
      <c r="B53954">
        <f>TEXT(53953, "[$-0E0000]yyyy-mm-dd")</f>
        <v/>
      </c>
      <c r="C53954" t="inlineStr">
        <is>
          <t>2047-07-30</t>
        </is>
      </c>
    </row>
    <row r="53955">
      <c r="A53955" s="1" t="n">
        <v>53954</v>
      </c>
      <c r="B53955">
        <f>TEXT(53954, "[$-0E0000]yyyy-mm-dd")</f>
        <v/>
      </c>
      <c r="C53955" t="inlineStr">
        <is>
          <t>2047-08-01</t>
        </is>
      </c>
    </row>
    <row r="53956">
      <c r="A53956" s="1" t="n">
        <v>53955</v>
      </c>
      <c r="B53956">
        <f>TEXT(53955, "[$-0E0000]yyyy-mm-dd")</f>
        <v/>
      </c>
      <c r="C53956" t="inlineStr">
        <is>
          <t>2047-08-02</t>
        </is>
      </c>
    </row>
    <row r="53957">
      <c r="A53957" s="1" t="n">
        <v>53956</v>
      </c>
      <c r="B53957">
        <f>TEXT(53956, "[$-0E0000]yyyy-mm-dd")</f>
        <v/>
      </c>
      <c r="C53957" t="inlineStr">
        <is>
          <t>2047-08-03</t>
        </is>
      </c>
    </row>
    <row r="53958">
      <c r="A53958" s="1" t="n">
        <v>53957</v>
      </c>
      <c r="B53958">
        <f>TEXT(53957, "[$-0E0000]yyyy-mm-dd")</f>
        <v/>
      </c>
      <c r="C53958" t="inlineStr">
        <is>
          <t>2047-08-04</t>
        </is>
      </c>
    </row>
    <row r="53959">
      <c r="A53959" s="1" t="n">
        <v>53958</v>
      </c>
      <c r="B53959">
        <f>TEXT(53958, "[$-0E0000]yyyy-mm-dd")</f>
        <v/>
      </c>
      <c r="C53959" t="inlineStr">
        <is>
          <t>2047-08-05</t>
        </is>
      </c>
    </row>
    <row r="53960">
      <c r="A53960" s="1" t="n">
        <v>53959</v>
      </c>
      <c r="B53960">
        <f>TEXT(53959, "[$-0E0000]yyyy-mm-dd")</f>
        <v/>
      </c>
      <c r="C53960" t="inlineStr">
        <is>
          <t>2047-08-06</t>
        </is>
      </c>
    </row>
    <row r="53961">
      <c r="A53961" s="1" t="n">
        <v>53960</v>
      </c>
      <c r="B53961">
        <f>TEXT(53960, "[$-0E0000]yyyy-mm-dd")</f>
        <v/>
      </c>
      <c r="C53961" t="inlineStr">
        <is>
          <t>2047-08-07</t>
        </is>
      </c>
    </row>
    <row r="53962">
      <c r="A53962" s="1" t="n">
        <v>53961</v>
      </c>
      <c r="B53962">
        <f>TEXT(53961, "[$-0E0000]yyyy-mm-dd")</f>
        <v/>
      </c>
      <c r="C53962" t="inlineStr">
        <is>
          <t>2047-08-08</t>
        </is>
      </c>
    </row>
    <row r="53963">
      <c r="A53963" s="1" t="n">
        <v>53962</v>
      </c>
      <c r="B53963">
        <f>TEXT(53962, "[$-0E0000]yyyy-mm-dd")</f>
        <v/>
      </c>
      <c r="C53963" t="inlineStr">
        <is>
          <t>2047-08-09</t>
        </is>
      </c>
    </row>
    <row r="53964">
      <c r="A53964" s="1" t="n">
        <v>53963</v>
      </c>
      <c r="B53964">
        <f>TEXT(53963, "[$-0E0000]yyyy-mm-dd")</f>
        <v/>
      </c>
      <c r="C53964" t="inlineStr">
        <is>
          <t>2047-08-10</t>
        </is>
      </c>
    </row>
    <row r="53965">
      <c r="A53965" s="1" t="n">
        <v>53964</v>
      </c>
      <c r="B53965">
        <f>TEXT(53964, "[$-0E0000]yyyy-mm-dd")</f>
        <v/>
      </c>
      <c r="C53965" t="inlineStr">
        <is>
          <t>2047-08-11</t>
        </is>
      </c>
    </row>
    <row r="53966">
      <c r="A53966" s="1" t="n">
        <v>53965</v>
      </c>
      <c r="B53966">
        <f>TEXT(53965, "[$-0E0000]yyyy-mm-dd")</f>
        <v/>
      </c>
      <c r="C53966" t="inlineStr">
        <is>
          <t>2047-08-12</t>
        </is>
      </c>
    </row>
    <row r="53967">
      <c r="A53967" s="1" t="n">
        <v>53966</v>
      </c>
      <c r="B53967">
        <f>TEXT(53966, "[$-0E0000]yyyy-mm-dd")</f>
        <v/>
      </c>
      <c r="C53967" t="inlineStr">
        <is>
          <t>2047-08-13</t>
        </is>
      </c>
    </row>
    <row r="53968">
      <c r="A53968" s="1" t="n">
        <v>53967</v>
      </c>
      <c r="B53968">
        <f>TEXT(53967, "[$-0E0000]yyyy-mm-dd")</f>
        <v/>
      </c>
      <c r="C53968" t="inlineStr">
        <is>
          <t>2047-08-14</t>
        </is>
      </c>
    </row>
    <row r="53969">
      <c r="A53969" s="1" t="n">
        <v>53968</v>
      </c>
      <c r="B53969">
        <f>TEXT(53968, "[$-0E0000]yyyy-mm-dd")</f>
        <v/>
      </c>
      <c r="C53969" t="inlineStr">
        <is>
          <t>2047-08-15</t>
        </is>
      </c>
    </row>
    <row r="53970">
      <c r="A53970" s="1" t="n">
        <v>53969</v>
      </c>
      <c r="B53970">
        <f>TEXT(53969, "[$-0E0000]yyyy-mm-dd")</f>
        <v/>
      </c>
      <c r="C53970" t="inlineStr">
        <is>
          <t>2047-08-16</t>
        </is>
      </c>
    </row>
    <row r="53971">
      <c r="A53971" s="1" t="n">
        <v>53970</v>
      </c>
      <c r="B53971">
        <f>TEXT(53970, "[$-0E0000]yyyy-mm-dd")</f>
        <v/>
      </c>
      <c r="C53971" t="inlineStr">
        <is>
          <t>2047-08-17</t>
        </is>
      </c>
    </row>
    <row r="53972">
      <c r="A53972" s="1" t="n">
        <v>53971</v>
      </c>
      <c r="B53972">
        <f>TEXT(53971, "[$-0E0000]yyyy-mm-dd")</f>
        <v/>
      </c>
      <c r="C53972" t="inlineStr">
        <is>
          <t>2047-08-18</t>
        </is>
      </c>
    </row>
    <row r="53973">
      <c r="A53973" s="1" t="n">
        <v>53972</v>
      </c>
      <c r="B53973">
        <f>TEXT(53972, "[$-0E0000]yyyy-mm-dd")</f>
        <v/>
      </c>
      <c r="C53973" t="inlineStr">
        <is>
          <t>2047-08-19</t>
        </is>
      </c>
    </row>
    <row r="53974">
      <c r="A53974" s="1" t="n">
        <v>53973</v>
      </c>
      <c r="B53974">
        <f>TEXT(53973, "[$-0E0000]yyyy-mm-dd")</f>
        <v/>
      </c>
      <c r="C53974" t="inlineStr">
        <is>
          <t>2047-08-20</t>
        </is>
      </c>
    </row>
    <row r="53975">
      <c r="A53975" s="1" t="n">
        <v>53974</v>
      </c>
      <c r="B53975">
        <f>TEXT(53974, "[$-0E0000]yyyy-mm-dd")</f>
        <v/>
      </c>
      <c r="C53975" t="inlineStr">
        <is>
          <t>2047-08-21</t>
        </is>
      </c>
    </row>
    <row r="53976">
      <c r="A53976" s="1" t="n">
        <v>53975</v>
      </c>
      <c r="B53976">
        <f>TEXT(53975, "[$-0E0000]yyyy-mm-dd")</f>
        <v/>
      </c>
      <c r="C53976" t="inlineStr">
        <is>
          <t>2047-08-22</t>
        </is>
      </c>
    </row>
    <row r="53977">
      <c r="A53977" s="1" t="n">
        <v>53976</v>
      </c>
      <c r="B53977">
        <f>TEXT(53976, "[$-0E0000]yyyy-mm-dd")</f>
        <v/>
      </c>
      <c r="C53977" t="inlineStr">
        <is>
          <t>2047-08-23</t>
        </is>
      </c>
    </row>
    <row r="53978">
      <c r="A53978" s="1" t="n">
        <v>53977</v>
      </c>
      <c r="B53978">
        <f>TEXT(53977, "[$-0E0000]yyyy-mm-dd")</f>
        <v/>
      </c>
      <c r="C53978" t="inlineStr">
        <is>
          <t>2047-08-24</t>
        </is>
      </c>
    </row>
    <row r="53979">
      <c r="A53979" s="1" t="n">
        <v>53978</v>
      </c>
      <c r="B53979">
        <f>TEXT(53978, "[$-0E0000]yyyy-mm-dd")</f>
        <v/>
      </c>
      <c r="C53979" t="inlineStr">
        <is>
          <t>2047-08-25</t>
        </is>
      </c>
    </row>
    <row r="53980">
      <c r="A53980" s="1" t="n">
        <v>53979</v>
      </c>
      <c r="B53980">
        <f>TEXT(53979, "[$-0E0000]yyyy-mm-dd")</f>
        <v/>
      </c>
      <c r="C53980" t="inlineStr">
        <is>
          <t>2047-08-26</t>
        </is>
      </c>
    </row>
    <row r="53981">
      <c r="A53981" s="1" t="n">
        <v>53980</v>
      </c>
      <c r="B53981">
        <f>TEXT(53980, "[$-0E0000]yyyy-mm-dd")</f>
        <v/>
      </c>
      <c r="C53981" t="inlineStr">
        <is>
          <t>2047-08-27</t>
        </is>
      </c>
    </row>
    <row r="53982">
      <c r="A53982" s="1" t="n">
        <v>53981</v>
      </c>
      <c r="B53982">
        <f>TEXT(53981, "[$-0E0000]yyyy-mm-dd")</f>
        <v/>
      </c>
      <c r="C53982" t="inlineStr">
        <is>
          <t>2047-08-28</t>
        </is>
      </c>
    </row>
    <row r="53983">
      <c r="A53983" s="1" t="n">
        <v>53982</v>
      </c>
      <c r="B53983">
        <f>TEXT(53982, "[$-0E0000]yyyy-mm-dd")</f>
        <v/>
      </c>
      <c r="C53983" t="inlineStr">
        <is>
          <t>2047-08-29</t>
        </is>
      </c>
    </row>
    <row r="53984">
      <c r="A53984" s="1" t="n">
        <v>53983</v>
      </c>
      <c r="B53984">
        <f>TEXT(53983, "[$-0E0000]yyyy-mm-dd")</f>
        <v/>
      </c>
      <c r="C53984" t="inlineStr">
        <is>
          <t>2047-09-01</t>
        </is>
      </c>
    </row>
    <row r="53985">
      <c r="A53985" s="1" t="n">
        <v>53984</v>
      </c>
      <c r="B53985">
        <f>TEXT(53984, "[$-0E0000]yyyy-mm-dd")</f>
        <v/>
      </c>
      <c r="C53985" t="inlineStr">
        <is>
          <t>2047-09-02</t>
        </is>
      </c>
    </row>
    <row r="53986">
      <c r="A53986" s="1" t="n">
        <v>53985</v>
      </c>
      <c r="B53986">
        <f>TEXT(53985, "[$-0E0000]yyyy-mm-dd")</f>
        <v/>
      </c>
      <c r="C53986" t="inlineStr">
        <is>
          <t>2047-09-03</t>
        </is>
      </c>
    </row>
    <row r="53987">
      <c r="A53987" s="1" t="n">
        <v>53986</v>
      </c>
      <c r="B53987">
        <f>TEXT(53986, "[$-0E0000]yyyy-mm-dd")</f>
        <v/>
      </c>
      <c r="C53987" t="inlineStr">
        <is>
          <t>2047-09-04</t>
        </is>
      </c>
    </row>
    <row r="53988">
      <c r="A53988" s="1" t="n">
        <v>53987</v>
      </c>
      <c r="B53988">
        <f>TEXT(53987, "[$-0E0000]yyyy-mm-dd")</f>
        <v/>
      </c>
      <c r="C53988" t="inlineStr">
        <is>
          <t>2047-09-05</t>
        </is>
      </c>
    </row>
    <row r="53989">
      <c r="A53989" s="1" t="n">
        <v>53988</v>
      </c>
      <c r="B53989">
        <f>TEXT(53988, "[$-0E0000]yyyy-mm-dd")</f>
        <v/>
      </c>
      <c r="C53989" t="inlineStr">
        <is>
          <t>2047-09-06</t>
        </is>
      </c>
    </row>
    <row r="53990">
      <c r="A53990" s="1" t="n">
        <v>53989</v>
      </c>
      <c r="B53990">
        <f>TEXT(53989, "[$-0E0000]yyyy-mm-dd")</f>
        <v/>
      </c>
      <c r="C53990" t="inlineStr">
        <is>
          <t>2047-09-07</t>
        </is>
      </c>
    </row>
    <row r="53991">
      <c r="A53991" s="1" t="n">
        <v>53990</v>
      </c>
      <c r="B53991">
        <f>TEXT(53990, "[$-0E0000]yyyy-mm-dd")</f>
        <v/>
      </c>
      <c r="C53991" t="inlineStr">
        <is>
          <t>2047-09-08</t>
        </is>
      </c>
    </row>
    <row r="53992">
      <c r="A53992" s="1" t="n">
        <v>53991</v>
      </c>
      <c r="B53992">
        <f>TEXT(53991, "[$-0E0000]yyyy-mm-dd")</f>
        <v/>
      </c>
      <c r="C53992" t="inlineStr">
        <is>
          <t>2047-09-09</t>
        </is>
      </c>
    </row>
    <row r="53993">
      <c r="A53993" s="1" t="n">
        <v>53992</v>
      </c>
      <c r="B53993">
        <f>TEXT(53992, "[$-0E0000]yyyy-mm-dd")</f>
        <v/>
      </c>
      <c r="C53993" t="inlineStr">
        <is>
          <t>2047-09-10</t>
        </is>
      </c>
    </row>
    <row r="53994">
      <c r="A53994" s="1" t="n">
        <v>53993</v>
      </c>
      <c r="B53994">
        <f>TEXT(53993, "[$-0E0000]yyyy-mm-dd")</f>
        <v/>
      </c>
      <c r="C53994" t="inlineStr">
        <is>
          <t>2047-09-11</t>
        </is>
      </c>
    </row>
    <row r="53995">
      <c r="A53995" s="1" t="n">
        <v>53994</v>
      </c>
      <c r="B53995">
        <f>TEXT(53994, "[$-0E0000]yyyy-mm-dd")</f>
        <v/>
      </c>
      <c r="C53995" t="inlineStr">
        <is>
          <t>2047-09-12</t>
        </is>
      </c>
    </row>
    <row r="53996">
      <c r="A53996" s="1" t="n">
        <v>53995</v>
      </c>
      <c r="B53996">
        <f>TEXT(53995, "[$-0E0000]yyyy-mm-dd")</f>
        <v/>
      </c>
      <c r="C53996" t="inlineStr">
        <is>
          <t>2047-09-13</t>
        </is>
      </c>
    </row>
    <row r="53997">
      <c r="A53997" s="1" t="n">
        <v>53996</v>
      </c>
      <c r="B53997">
        <f>TEXT(53996, "[$-0E0000]yyyy-mm-dd")</f>
        <v/>
      </c>
      <c r="C53997" t="inlineStr">
        <is>
          <t>2047-09-14</t>
        </is>
      </c>
    </row>
    <row r="53998">
      <c r="A53998" s="1" t="n">
        <v>53997</v>
      </c>
      <c r="B53998">
        <f>TEXT(53997, "[$-0E0000]yyyy-mm-dd")</f>
        <v/>
      </c>
      <c r="C53998" t="inlineStr">
        <is>
          <t>2047-09-15</t>
        </is>
      </c>
    </row>
    <row r="53999">
      <c r="A53999" s="1" t="n">
        <v>53998</v>
      </c>
      <c r="B53999">
        <f>TEXT(53998, "[$-0E0000]yyyy-mm-dd")</f>
        <v/>
      </c>
      <c r="C53999" t="inlineStr">
        <is>
          <t>2047-09-16</t>
        </is>
      </c>
    </row>
    <row r="54000">
      <c r="A54000" s="1" t="n">
        <v>53999</v>
      </c>
      <c r="B54000">
        <f>TEXT(53999, "[$-0E0000]yyyy-mm-dd")</f>
        <v/>
      </c>
      <c r="C54000" t="inlineStr">
        <is>
          <t>2047-09-17</t>
        </is>
      </c>
    </row>
    <row r="54001">
      <c r="A54001" s="1" t="n">
        <v>54000</v>
      </c>
      <c r="B54001">
        <f>TEXT(54000, "[$-0E0000]yyyy-mm-dd")</f>
        <v/>
      </c>
      <c r="C54001" t="inlineStr">
        <is>
          <t>2047-09-18</t>
        </is>
      </c>
    </row>
    <row r="54002">
      <c r="A54002" s="1" t="n">
        <v>54001</v>
      </c>
      <c r="B54002">
        <f>TEXT(54001, "[$-0E0000]yyyy-mm-dd")</f>
        <v/>
      </c>
      <c r="C54002" t="inlineStr">
        <is>
          <t>2047-09-19</t>
        </is>
      </c>
    </row>
    <row r="54003">
      <c r="A54003" s="1" t="n">
        <v>54002</v>
      </c>
      <c r="B54003">
        <f>TEXT(54002, "[$-0E0000]yyyy-mm-dd")</f>
        <v/>
      </c>
      <c r="C54003" t="inlineStr">
        <is>
          <t>2047-09-20</t>
        </is>
      </c>
    </row>
    <row r="54004">
      <c r="A54004" s="1" t="n">
        <v>54003</v>
      </c>
      <c r="B54004">
        <f>TEXT(54003, "[$-0E0000]yyyy-mm-dd")</f>
        <v/>
      </c>
      <c r="C54004" t="inlineStr">
        <is>
          <t>2047-09-21</t>
        </is>
      </c>
    </row>
    <row r="54005">
      <c r="A54005" s="1" t="n">
        <v>54004</v>
      </c>
      <c r="B54005">
        <f>TEXT(54004, "[$-0E0000]yyyy-mm-dd")</f>
        <v/>
      </c>
      <c r="C54005" t="inlineStr">
        <is>
          <t>2047-09-22</t>
        </is>
      </c>
    </row>
    <row r="54006">
      <c r="A54006" s="1" t="n">
        <v>54005</v>
      </c>
      <c r="B54006">
        <f>TEXT(54005, "[$-0E0000]yyyy-mm-dd")</f>
        <v/>
      </c>
      <c r="C54006" t="inlineStr">
        <is>
          <t>2047-09-23</t>
        </is>
      </c>
    </row>
    <row r="54007">
      <c r="A54007" s="1" t="n">
        <v>54006</v>
      </c>
      <c r="B54007">
        <f>TEXT(54006, "[$-0E0000]yyyy-mm-dd")</f>
        <v/>
      </c>
      <c r="C54007" t="inlineStr">
        <is>
          <t>2047-09-24</t>
        </is>
      </c>
    </row>
    <row r="54008">
      <c r="A54008" s="1" t="n">
        <v>54007</v>
      </c>
      <c r="B54008">
        <f>TEXT(54007, "[$-0E0000]yyyy-mm-dd")</f>
        <v/>
      </c>
      <c r="C54008" t="inlineStr">
        <is>
          <t>2047-09-25</t>
        </is>
      </c>
    </row>
    <row r="54009">
      <c r="A54009" s="1" t="n">
        <v>54008</v>
      </c>
      <c r="B54009">
        <f>TEXT(54008, "[$-0E0000]yyyy-mm-dd")</f>
        <v/>
      </c>
      <c r="C54009" t="inlineStr">
        <is>
          <t>2047-09-26</t>
        </is>
      </c>
    </row>
    <row r="54010">
      <c r="A54010" s="1" t="n">
        <v>54009</v>
      </c>
      <c r="B54010">
        <f>TEXT(54009, "[$-0E0000]yyyy-mm-dd")</f>
        <v/>
      </c>
      <c r="C54010" t="inlineStr">
        <is>
          <t>2047-09-27</t>
        </is>
      </c>
    </row>
    <row r="54011">
      <c r="A54011" s="1" t="n">
        <v>54010</v>
      </c>
      <c r="B54011">
        <f>TEXT(54010, "[$-0E0000]yyyy-mm-dd")</f>
        <v/>
      </c>
      <c r="C54011" t="inlineStr">
        <is>
          <t>2047-09-28</t>
        </is>
      </c>
    </row>
    <row r="54012">
      <c r="A54012" s="1" t="n">
        <v>54011</v>
      </c>
      <c r="B54012">
        <f>TEXT(54011, "[$-0E0000]yyyy-mm-dd")</f>
        <v/>
      </c>
      <c r="C54012" t="inlineStr">
        <is>
          <t>2047-09-29</t>
        </is>
      </c>
    </row>
    <row r="54013">
      <c r="A54013" s="1" t="n">
        <v>54012</v>
      </c>
      <c r="B54013">
        <f>TEXT(54012, "[$-0E0000]yyyy-mm-dd")</f>
        <v/>
      </c>
      <c r="C54013" t="inlineStr">
        <is>
          <t>2047-10-01</t>
        </is>
      </c>
    </row>
    <row r="54014">
      <c r="A54014" s="1" t="n">
        <v>54013</v>
      </c>
      <c r="B54014">
        <f>TEXT(54013, "[$-0E0000]yyyy-mm-dd")</f>
        <v/>
      </c>
      <c r="C54014" t="inlineStr">
        <is>
          <t>2047-10-02</t>
        </is>
      </c>
    </row>
    <row r="54015">
      <c r="A54015" s="1" t="n">
        <v>54014</v>
      </c>
      <c r="B54015">
        <f>TEXT(54014, "[$-0E0000]yyyy-mm-dd")</f>
        <v/>
      </c>
      <c r="C54015" t="inlineStr">
        <is>
          <t>2047-10-03</t>
        </is>
      </c>
    </row>
    <row r="54016">
      <c r="A54016" s="1" t="n">
        <v>54015</v>
      </c>
      <c r="B54016">
        <f>TEXT(54015, "[$-0E0000]yyyy-mm-dd")</f>
        <v/>
      </c>
      <c r="C54016" t="inlineStr">
        <is>
          <t>2047-10-04</t>
        </is>
      </c>
    </row>
    <row r="54017">
      <c r="A54017" s="1" t="n">
        <v>54016</v>
      </c>
      <c r="B54017">
        <f>TEXT(54016, "[$-0E0000]yyyy-mm-dd")</f>
        <v/>
      </c>
      <c r="C54017" t="inlineStr">
        <is>
          <t>2047-10-05</t>
        </is>
      </c>
    </row>
    <row r="54018">
      <c r="A54018" s="1" t="n">
        <v>54017</v>
      </c>
      <c r="B54018">
        <f>TEXT(54017, "[$-0E0000]yyyy-mm-dd")</f>
        <v/>
      </c>
      <c r="C54018" t="inlineStr">
        <is>
          <t>2047-10-06</t>
        </is>
      </c>
    </row>
    <row r="54019">
      <c r="A54019" s="1" t="n">
        <v>54018</v>
      </c>
      <c r="B54019">
        <f>TEXT(54018, "[$-0E0000]yyyy-mm-dd")</f>
        <v/>
      </c>
      <c r="C54019" t="inlineStr">
        <is>
          <t>2047-10-07</t>
        </is>
      </c>
    </row>
    <row r="54020">
      <c r="A54020" s="1" t="n">
        <v>54019</v>
      </c>
      <c r="B54020">
        <f>TEXT(54019, "[$-0E0000]yyyy-mm-dd")</f>
        <v/>
      </c>
      <c r="C54020" t="inlineStr">
        <is>
          <t>2047-10-08</t>
        </is>
      </c>
    </row>
    <row r="54021">
      <c r="A54021" s="1" t="n">
        <v>54020</v>
      </c>
      <c r="B54021">
        <f>TEXT(54020, "[$-0E0000]yyyy-mm-dd")</f>
        <v/>
      </c>
      <c r="C54021" t="inlineStr">
        <is>
          <t>2047-10-09</t>
        </is>
      </c>
    </row>
    <row r="54022">
      <c r="A54022" s="1" t="n">
        <v>54021</v>
      </c>
      <c r="B54022">
        <f>TEXT(54021, "[$-0E0000]yyyy-mm-dd")</f>
        <v/>
      </c>
      <c r="C54022" t="inlineStr">
        <is>
          <t>2047-10-10</t>
        </is>
      </c>
    </row>
    <row r="54023">
      <c r="A54023" s="1" t="n">
        <v>54022</v>
      </c>
      <c r="B54023">
        <f>TEXT(54022, "[$-0E0000]yyyy-mm-dd")</f>
        <v/>
      </c>
      <c r="C54023" t="inlineStr">
        <is>
          <t>2047-10-11</t>
        </is>
      </c>
    </row>
    <row r="54024">
      <c r="A54024" s="1" t="n">
        <v>54023</v>
      </c>
      <c r="B54024">
        <f>TEXT(54023, "[$-0E0000]yyyy-mm-dd")</f>
        <v/>
      </c>
      <c r="C54024" t="inlineStr">
        <is>
          <t>2047-10-12</t>
        </is>
      </c>
    </row>
    <row r="54025">
      <c r="A54025" s="1" t="n">
        <v>54024</v>
      </c>
      <c r="B54025">
        <f>TEXT(54024, "[$-0E0000]yyyy-mm-dd")</f>
        <v/>
      </c>
      <c r="C54025" t="inlineStr">
        <is>
          <t>2047-10-13</t>
        </is>
      </c>
    </row>
    <row r="54026">
      <c r="A54026" s="1" t="n">
        <v>54025</v>
      </c>
      <c r="B54026">
        <f>TEXT(54025, "[$-0E0000]yyyy-mm-dd")</f>
        <v/>
      </c>
      <c r="C54026" t="inlineStr">
        <is>
          <t>2047-10-14</t>
        </is>
      </c>
    </row>
    <row r="54027">
      <c r="A54027" s="1" t="n">
        <v>54026</v>
      </c>
      <c r="B54027">
        <f>TEXT(54026, "[$-0E0000]yyyy-mm-dd")</f>
        <v/>
      </c>
      <c r="C54027" t="inlineStr">
        <is>
          <t>2047-10-15</t>
        </is>
      </c>
    </row>
    <row r="54028">
      <c r="A54028" s="1" t="n">
        <v>54027</v>
      </c>
      <c r="B54028">
        <f>TEXT(54027, "[$-0E0000]yyyy-mm-dd")</f>
        <v/>
      </c>
      <c r="C54028" t="inlineStr">
        <is>
          <t>2047-10-16</t>
        </is>
      </c>
    </row>
    <row r="54029">
      <c r="A54029" s="1" t="n">
        <v>54028</v>
      </c>
      <c r="B54029">
        <f>TEXT(54028, "[$-0E0000]yyyy-mm-dd")</f>
        <v/>
      </c>
      <c r="C54029" t="inlineStr">
        <is>
          <t>2047-10-17</t>
        </is>
      </c>
    </row>
    <row r="54030">
      <c r="A54030" s="1" t="n">
        <v>54029</v>
      </c>
      <c r="B54030">
        <f>TEXT(54029, "[$-0E0000]yyyy-mm-dd")</f>
        <v/>
      </c>
      <c r="C54030" t="inlineStr">
        <is>
          <t>2047-10-18</t>
        </is>
      </c>
    </row>
    <row r="54031">
      <c r="A54031" s="1" t="n">
        <v>54030</v>
      </c>
      <c r="B54031">
        <f>TEXT(54030, "[$-0E0000]yyyy-mm-dd")</f>
        <v/>
      </c>
      <c r="C54031" t="inlineStr">
        <is>
          <t>2047-10-19</t>
        </is>
      </c>
    </row>
    <row r="54032">
      <c r="A54032" s="1" t="n">
        <v>54031</v>
      </c>
      <c r="B54032">
        <f>TEXT(54031, "[$-0E0000]yyyy-mm-dd")</f>
        <v/>
      </c>
      <c r="C54032" t="inlineStr">
        <is>
          <t>2047-10-20</t>
        </is>
      </c>
    </row>
    <row r="54033">
      <c r="A54033" s="1" t="n">
        <v>54032</v>
      </c>
      <c r="B54033">
        <f>TEXT(54032, "[$-0E0000]yyyy-mm-dd")</f>
        <v/>
      </c>
      <c r="C54033" t="inlineStr">
        <is>
          <t>2047-10-21</t>
        </is>
      </c>
    </row>
    <row r="54034">
      <c r="A54034" s="1" t="n">
        <v>54033</v>
      </c>
      <c r="B54034">
        <f>TEXT(54033, "[$-0E0000]yyyy-mm-dd")</f>
        <v/>
      </c>
      <c r="C54034" t="inlineStr">
        <is>
          <t>2047-10-22</t>
        </is>
      </c>
    </row>
    <row r="54035">
      <c r="A54035" s="1" t="n">
        <v>54034</v>
      </c>
      <c r="B54035">
        <f>TEXT(54034, "[$-0E0000]yyyy-mm-dd")</f>
        <v/>
      </c>
      <c r="C54035" t="inlineStr">
        <is>
          <t>2047-10-23</t>
        </is>
      </c>
    </row>
    <row r="54036">
      <c r="A54036" s="1" t="n">
        <v>54035</v>
      </c>
      <c r="B54036">
        <f>TEXT(54035, "[$-0E0000]yyyy-mm-dd")</f>
        <v/>
      </c>
      <c r="C54036" t="inlineStr">
        <is>
          <t>2047-10-24</t>
        </is>
      </c>
    </row>
    <row r="54037">
      <c r="A54037" s="1" t="n">
        <v>54036</v>
      </c>
      <c r="B54037">
        <f>TEXT(54036, "[$-0E0000]yyyy-mm-dd")</f>
        <v/>
      </c>
      <c r="C54037" t="inlineStr">
        <is>
          <t>2047-10-25</t>
        </is>
      </c>
    </row>
    <row r="54038">
      <c r="A54038" s="1" t="n">
        <v>54037</v>
      </c>
      <c r="B54038">
        <f>TEXT(54037, "[$-0E0000]yyyy-mm-dd")</f>
        <v/>
      </c>
      <c r="C54038" t="inlineStr">
        <is>
          <t>2047-10-26</t>
        </is>
      </c>
    </row>
    <row r="54039">
      <c r="A54039" s="1" t="n">
        <v>54038</v>
      </c>
      <c r="B54039">
        <f>TEXT(54038, "[$-0E0000]yyyy-mm-dd")</f>
        <v/>
      </c>
      <c r="C54039" t="inlineStr">
        <is>
          <t>2047-10-27</t>
        </is>
      </c>
    </row>
    <row r="54040">
      <c r="A54040" s="1" t="n">
        <v>54039</v>
      </c>
      <c r="B54040">
        <f>TEXT(54039, "[$-0E0000]yyyy-mm-dd")</f>
        <v/>
      </c>
      <c r="C54040" t="inlineStr">
        <is>
          <t>2047-10-28</t>
        </is>
      </c>
    </row>
    <row r="54041">
      <c r="A54041" s="1" t="n">
        <v>54040</v>
      </c>
      <c r="B54041">
        <f>TEXT(54040, "[$-0E0000]yyyy-mm-dd")</f>
        <v/>
      </c>
      <c r="C54041" t="inlineStr">
        <is>
          <t>2047-10-29</t>
        </is>
      </c>
    </row>
    <row r="54042">
      <c r="A54042" s="1" t="n">
        <v>54041</v>
      </c>
      <c r="B54042">
        <f>TEXT(54041, "[$-0E0000]yyyy-mm-dd")</f>
        <v/>
      </c>
      <c r="C54042" t="inlineStr">
        <is>
          <t>2047-10-30</t>
        </is>
      </c>
    </row>
    <row r="54043">
      <c r="A54043" s="1" t="n">
        <v>54042</v>
      </c>
      <c r="B54043">
        <f>TEXT(54042, "[$-0E0000]yyyy-mm-dd")</f>
        <v/>
      </c>
      <c r="C54043" t="inlineStr">
        <is>
          <t>2047-11-01</t>
        </is>
      </c>
    </row>
    <row r="54044">
      <c r="A54044" s="1" t="n">
        <v>54043</v>
      </c>
      <c r="B54044">
        <f>TEXT(54043, "[$-0E0000]yyyy-mm-dd")</f>
        <v/>
      </c>
      <c r="C54044" t="inlineStr">
        <is>
          <t>2047-11-02</t>
        </is>
      </c>
    </row>
    <row r="54045">
      <c r="A54045" s="1" t="n">
        <v>54044</v>
      </c>
      <c r="B54045">
        <f>TEXT(54044, "[$-0E0000]yyyy-mm-dd")</f>
        <v/>
      </c>
      <c r="C54045" t="inlineStr">
        <is>
          <t>2047-11-03</t>
        </is>
      </c>
    </row>
    <row r="54046">
      <c r="A54046" s="1" t="n">
        <v>54045</v>
      </c>
      <c r="B54046">
        <f>TEXT(54045, "[$-0E0000]yyyy-mm-dd")</f>
        <v/>
      </c>
      <c r="C54046" t="inlineStr">
        <is>
          <t>2047-11-04</t>
        </is>
      </c>
    </row>
    <row r="54047">
      <c r="A54047" s="1" t="n">
        <v>54046</v>
      </c>
      <c r="B54047">
        <f>TEXT(54046, "[$-0E0000]yyyy-mm-dd")</f>
        <v/>
      </c>
      <c r="C54047" t="inlineStr">
        <is>
          <t>2047-11-05</t>
        </is>
      </c>
    </row>
    <row r="54048">
      <c r="A54048" s="1" t="n">
        <v>54047</v>
      </c>
      <c r="B54048">
        <f>TEXT(54047, "[$-0E0000]yyyy-mm-dd")</f>
        <v/>
      </c>
      <c r="C54048" t="inlineStr">
        <is>
          <t>2047-11-06</t>
        </is>
      </c>
    </row>
    <row r="54049">
      <c r="A54049" s="1" t="n">
        <v>54048</v>
      </c>
      <c r="B54049">
        <f>TEXT(54048, "[$-0E0000]yyyy-mm-dd")</f>
        <v/>
      </c>
      <c r="C54049" t="inlineStr">
        <is>
          <t>2047-11-07</t>
        </is>
      </c>
    </row>
    <row r="54050">
      <c r="A54050" s="1" t="n">
        <v>54049</v>
      </c>
      <c r="B54050">
        <f>TEXT(54049, "[$-0E0000]yyyy-mm-dd")</f>
        <v/>
      </c>
      <c r="C54050" t="inlineStr">
        <is>
          <t>2047-11-08</t>
        </is>
      </c>
    </row>
    <row r="54051">
      <c r="A54051" s="1" t="n">
        <v>54050</v>
      </c>
      <c r="B54051">
        <f>TEXT(54050, "[$-0E0000]yyyy-mm-dd")</f>
        <v/>
      </c>
      <c r="C54051" t="inlineStr">
        <is>
          <t>2047-11-09</t>
        </is>
      </c>
    </row>
    <row r="54052">
      <c r="A54052" s="1" t="n">
        <v>54051</v>
      </c>
      <c r="B54052">
        <f>TEXT(54051, "[$-0E0000]yyyy-mm-dd")</f>
        <v/>
      </c>
      <c r="C54052" t="inlineStr">
        <is>
          <t>2047-11-10</t>
        </is>
      </c>
    </row>
    <row r="54053">
      <c r="A54053" s="1" t="n">
        <v>54052</v>
      </c>
      <c r="B54053">
        <f>TEXT(54052, "[$-0E0000]yyyy-mm-dd")</f>
        <v/>
      </c>
      <c r="C54053" t="inlineStr">
        <is>
          <t>2047-11-11</t>
        </is>
      </c>
    </row>
    <row r="54054">
      <c r="A54054" s="1" t="n">
        <v>54053</v>
      </c>
      <c r="B54054">
        <f>TEXT(54053, "[$-0E0000]yyyy-mm-dd")</f>
        <v/>
      </c>
      <c r="C54054" t="inlineStr">
        <is>
          <t>2047-11-12</t>
        </is>
      </c>
    </row>
    <row r="54055">
      <c r="A54055" s="1" t="n">
        <v>54054</v>
      </c>
      <c r="B54055">
        <f>TEXT(54054, "[$-0E0000]yyyy-mm-dd")</f>
        <v/>
      </c>
      <c r="C54055" t="inlineStr">
        <is>
          <t>2047-11-13</t>
        </is>
      </c>
    </row>
    <row r="54056">
      <c r="A54056" s="1" t="n">
        <v>54055</v>
      </c>
      <c r="B54056">
        <f>TEXT(54055, "[$-0E0000]yyyy-mm-dd")</f>
        <v/>
      </c>
      <c r="C54056" t="inlineStr">
        <is>
          <t>2047-11-14</t>
        </is>
      </c>
    </row>
    <row r="54057">
      <c r="A54057" s="1" t="n">
        <v>54056</v>
      </c>
      <c r="B54057">
        <f>TEXT(54056, "[$-0E0000]yyyy-mm-dd")</f>
        <v/>
      </c>
      <c r="C54057" t="inlineStr">
        <is>
          <t>2047-11-15</t>
        </is>
      </c>
    </row>
    <row r="54058">
      <c r="A54058" s="1" t="n">
        <v>54057</v>
      </c>
      <c r="B54058">
        <f>TEXT(54057, "[$-0E0000]yyyy-mm-dd")</f>
        <v/>
      </c>
      <c r="C54058" t="inlineStr">
        <is>
          <t>2047-11-16</t>
        </is>
      </c>
    </row>
    <row r="54059">
      <c r="A54059" s="1" t="n">
        <v>54058</v>
      </c>
      <c r="B54059">
        <f>TEXT(54058, "[$-0E0000]yyyy-mm-dd")</f>
        <v/>
      </c>
      <c r="C54059" t="inlineStr">
        <is>
          <t>2047-11-17</t>
        </is>
      </c>
    </row>
    <row r="54060">
      <c r="A54060" s="1" t="n">
        <v>54059</v>
      </c>
      <c r="B54060">
        <f>TEXT(54059, "[$-0E0000]yyyy-mm-dd")</f>
        <v/>
      </c>
      <c r="C54060" t="inlineStr">
        <is>
          <t>2047-11-18</t>
        </is>
      </c>
    </row>
    <row r="54061">
      <c r="A54061" s="1" t="n">
        <v>54060</v>
      </c>
      <c r="B54061">
        <f>TEXT(54060, "[$-0E0000]yyyy-mm-dd")</f>
        <v/>
      </c>
      <c r="C54061" t="inlineStr">
        <is>
          <t>2047-11-19</t>
        </is>
      </c>
    </row>
    <row r="54062">
      <c r="A54062" s="1" t="n">
        <v>54061</v>
      </c>
      <c r="B54062">
        <f>TEXT(54061, "[$-0E0000]yyyy-mm-dd")</f>
        <v/>
      </c>
      <c r="C54062" t="inlineStr">
        <is>
          <t>2047-11-20</t>
        </is>
      </c>
    </row>
    <row r="54063">
      <c r="A54063" s="1" t="n">
        <v>54062</v>
      </c>
      <c r="B54063">
        <f>TEXT(54062, "[$-0E0000]yyyy-mm-dd")</f>
        <v/>
      </c>
      <c r="C54063" t="inlineStr">
        <is>
          <t>2047-11-21</t>
        </is>
      </c>
    </row>
    <row r="54064">
      <c r="A54064" s="1" t="n">
        <v>54063</v>
      </c>
      <c r="B54064">
        <f>TEXT(54063, "[$-0E0000]yyyy-mm-dd")</f>
        <v/>
      </c>
      <c r="C54064" t="inlineStr">
        <is>
          <t>2047-11-22</t>
        </is>
      </c>
    </row>
    <row r="54065">
      <c r="A54065" s="1" t="n">
        <v>54064</v>
      </c>
      <c r="B54065">
        <f>TEXT(54064, "[$-0E0000]yyyy-mm-dd")</f>
        <v/>
      </c>
      <c r="C54065" t="inlineStr">
        <is>
          <t>2047-11-23</t>
        </is>
      </c>
    </row>
    <row r="54066">
      <c r="A54066" s="1" t="n">
        <v>54065</v>
      </c>
      <c r="B54066">
        <f>TEXT(54065, "[$-0E0000]yyyy-mm-dd")</f>
        <v/>
      </c>
      <c r="C54066" t="inlineStr">
        <is>
          <t>2047-11-24</t>
        </is>
      </c>
    </row>
    <row r="54067">
      <c r="A54067" s="1" t="n">
        <v>54066</v>
      </c>
      <c r="B54067">
        <f>TEXT(54066, "[$-0E0000]yyyy-mm-dd")</f>
        <v/>
      </c>
      <c r="C54067" t="inlineStr">
        <is>
          <t>2047-11-25</t>
        </is>
      </c>
    </row>
    <row r="54068">
      <c r="A54068" s="1" t="n">
        <v>54067</v>
      </c>
      <c r="B54068">
        <f>TEXT(54067, "[$-0E0000]yyyy-mm-dd")</f>
        <v/>
      </c>
      <c r="C54068" t="inlineStr">
        <is>
          <t>2047-11-26</t>
        </is>
      </c>
    </row>
    <row r="54069">
      <c r="A54069" s="1" t="n">
        <v>54068</v>
      </c>
      <c r="B54069">
        <f>TEXT(54068, "[$-0E0000]yyyy-mm-dd")</f>
        <v/>
      </c>
      <c r="C54069" t="inlineStr">
        <is>
          <t>2047-11-27</t>
        </is>
      </c>
    </row>
    <row r="54070">
      <c r="A54070" s="1" t="n">
        <v>54069</v>
      </c>
      <c r="B54070">
        <f>TEXT(54069, "[$-0E0000]yyyy-mm-dd")</f>
        <v/>
      </c>
      <c r="C54070" t="inlineStr">
        <is>
          <t>2047-11-28</t>
        </is>
      </c>
    </row>
    <row r="54071">
      <c r="A54071" s="1" t="n">
        <v>54070</v>
      </c>
      <c r="B54071">
        <f>TEXT(54070, "[$-0E0000]yyyy-mm-dd")</f>
        <v/>
      </c>
      <c r="C54071" t="inlineStr">
        <is>
          <t>2047-11-29</t>
        </is>
      </c>
    </row>
    <row r="54072">
      <c r="A54072" s="1" t="n">
        <v>54071</v>
      </c>
      <c r="B54072">
        <f>TEXT(54071, "[$-0E0000]yyyy-mm-dd")</f>
        <v/>
      </c>
      <c r="C54072" t="inlineStr">
        <is>
          <t>2047-12-01</t>
        </is>
      </c>
    </row>
    <row r="54073">
      <c r="A54073" s="1" t="n">
        <v>54072</v>
      </c>
      <c r="B54073">
        <f>TEXT(54072, "[$-0E0000]yyyy-mm-dd")</f>
        <v/>
      </c>
      <c r="C54073" t="inlineStr">
        <is>
          <t>2047-12-02</t>
        </is>
      </c>
    </row>
    <row r="54074">
      <c r="A54074" s="1" t="n">
        <v>54073</v>
      </c>
      <c r="B54074">
        <f>TEXT(54073, "[$-0E0000]yyyy-mm-dd")</f>
        <v/>
      </c>
      <c r="C54074" t="inlineStr">
        <is>
          <t>2047-12-03</t>
        </is>
      </c>
    </row>
    <row r="54075">
      <c r="A54075" s="1" t="n">
        <v>54074</v>
      </c>
      <c r="B54075">
        <f>TEXT(54074, "[$-0E0000]yyyy-mm-dd")</f>
        <v/>
      </c>
      <c r="C54075" t="inlineStr">
        <is>
          <t>2047-12-04</t>
        </is>
      </c>
    </row>
    <row r="54076">
      <c r="A54076" s="1" t="n">
        <v>54075</v>
      </c>
      <c r="B54076">
        <f>TEXT(54075, "[$-0E0000]yyyy-mm-dd")</f>
        <v/>
      </c>
      <c r="C54076" t="inlineStr">
        <is>
          <t>2047-12-05</t>
        </is>
      </c>
    </row>
    <row r="54077">
      <c r="A54077" s="1" t="n">
        <v>54076</v>
      </c>
      <c r="B54077">
        <f>TEXT(54076, "[$-0E0000]yyyy-mm-dd")</f>
        <v/>
      </c>
      <c r="C54077" t="inlineStr">
        <is>
          <t>2047-12-06</t>
        </is>
      </c>
    </row>
    <row r="54078">
      <c r="A54078" s="1" t="n">
        <v>54077</v>
      </c>
      <c r="B54078">
        <f>TEXT(54077, "[$-0E0000]yyyy-mm-dd")</f>
        <v/>
      </c>
      <c r="C54078" t="inlineStr">
        <is>
          <t>2047-12-07</t>
        </is>
      </c>
    </row>
    <row r="54079">
      <c r="A54079" s="1" t="n">
        <v>54078</v>
      </c>
      <c r="B54079">
        <f>TEXT(54078, "[$-0E0000]yyyy-mm-dd")</f>
        <v/>
      </c>
      <c r="C54079" t="inlineStr">
        <is>
          <t>2047-12-08</t>
        </is>
      </c>
    </row>
    <row r="54080">
      <c r="A54080" s="1" t="n">
        <v>54079</v>
      </c>
      <c r="B54080">
        <f>TEXT(54079, "[$-0E0000]yyyy-mm-dd")</f>
        <v/>
      </c>
      <c r="C54080" t="inlineStr">
        <is>
          <t>2047-12-09</t>
        </is>
      </c>
    </row>
    <row r="54081">
      <c r="A54081" s="1" t="n">
        <v>54080</v>
      </c>
      <c r="B54081">
        <f>TEXT(54080, "[$-0E0000]yyyy-mm-dd")</f>
        <v/>
      </c>
      <c r="C54081" t="inlineStr">
        <is>
          <t>2047-12-10</t>
        </is>
      </c>
    </row>
    <row r="54082">
      <c r="A54082" s="1" t="n">
        <v>54081</v>
      </c>
      <c r="B54082">
        <f>TEXT(54081, "[$-0E0000]yyyy-mm-dd")</f>
        <v/>
      </c>
      <c r="C54082" t="inlineStr">
        <is>
          <t>2047-12-11</t>
        </is>
      </c>
    </row>
    <row r="54083">
      <c r="A54083" s="1" t="n">
        <v>54082</v>
      </c>
      <c r="B54083">
        <f>TEXT(54082, "[$-0E0000]yyyy-mm-dd")</f>
        <v/>
      </c>
      <c r="C54083" t="inlineStr">
        <is>
          <t>2047-12-12</t>
        </is>
      </c>
    </row>
    <row r="54084">
      <c r="A54084" s="1" t="n">
        <v>54083</v>
      </c>
      <c r="B54084">
        <f>TEXT(54083, "[$-0E0000]yyyy-mm-dd")</f>
        <v/>
      </c>
      <c r="C54084" t="inlineStr">
        <is>
          <t>2047-12-13</t>
        </is>
      </c>
    </row>
    <row r="54085">
      <c r="A54085" s="1" t="n">
        <v>54084</v>
      </c>
      <c r="B54085">
        <f>TEXT(54084, "[$-0E0000]yyyy-mm-dd")</f>
        <v/>
      </c>
      <c r="C54085" t="inlineStr">
        <is>
          <t>2047-12-14</t>
        </is>
      </c>
    </row>
    <row r="54086">
      <c r="A54086" s="1" t="n">
        <v>54085</v>
      </c>
      <c r="B54086">
        <f>TEXT(54085, "[$-0E0000]yyyy-mm-dd")</f>
        <v/>
      </c>
      <c r="C54086" t="inlineStr">
        <is>
          <t>2047-12-15</t>
        </is>
      </c>
    </row>
    <row r="54087">
      <c r="A54087" s="1" t="n">
        <v>54086</v>
      </c>
      <c r="B54087">
        <f>TEXT(54086, "[$-0E0000]yyyy-mm-dd")</f>
        <v/>
      </c>
      <c r="C54087" t="inlineStr">
        <is>
          <t>2047-12-16</t>
        </is>
      </c>
    </row>
    <row r="54088">
      <c r="A54088" s="1" t="n">
        <v>54087</v>
      </c>
      <c r="B54088">
        <f>TEXT(54087, "[$-0E0000]yyyy-mm-dd")</f>
        <v/>
      </c>
      <c r="C54088" t="inlineStr">
        <is>
          <t>2047-12-17</t>
        </is>
      </c>
    </row>
    <row r="54089">
      <c r="A54089" s="1" t="n">
        <v>54088</v>
      </c>
      <c r="B54089">
        <f>TEXT(54088, "[$-0E0000]yyyy-mm-dd")</f>
        <v/>
      </c>
      <c r="C54089" t="inlineStr">
        <is>
          <t>2047-12-18</t>
        </is>
      </c>
    </row>
    <row r="54090">
      <c r="A54090" s="1" t="n">
        <v>54089</v>
      </c>
      <c r="B54090">
        <f>TEXT(54089, "[$-0E0000]yyyy-mm-dd")</f>
        <v/>
      </c>
      <c r="C54090" t="inlineStr">
        <is>
          <t>2047-12-19</t>
        </is>
      </c>
    </row>
    <row r="54091">
      <c r="A54091" s="1" t="n">
        <v>54090</v>
      </c>
      <c r="B54091">
        <f>TEXT(54090, "[$-0E0000]yyyy-mm-dd")</f>
        <v/>
      </c>
      <c r="C54091" t="inlineStr">
        <is>
          <t>2047-12-20</t>
        </is>
      </c>
    </row>
    <row r="54092">
      <c r="A54092" s="1" t="n">
        <v>54091</v>
      </c>
      <c r="B54092">
        <f>TEXT(54091, "[$-0E0000]yyyy-mm-dd")</f>
        <v/>
      </c>
      <c r="C54092" t="inlineStr">
        <is>
          <t>2047-12-21</t>
        </is>
      </c>
    </row>
    <row r="54093">
      <c r="A54093" s="1" t="n">
        <v>54092</v>
      </c>
      <c r="B54093">
        <f>TEXT(54092, "[$-0E0000]yyyy-mm-dd")</f>
        <v/>
      </c>
      <c r="C54093" t="inlineStr">
        <is>
          <t>2047-12-22</t>
        </is>
      </c>
    </row>
    <row r="54094">
      <c r="A54094" s="1" t="n">
        <v>54093</v>
      </c>
      <c r="B54094">
        <f>TEXT(54093, "[$-0E0000]yyyy-mm-dd")</f>
        <v/>
      </c>
      <c r="C54094" t="inlineStr">
        <is>
          <t>2047-12-23</t>
        </is>
      </c>
    </row>
    <row r="54095">
      <c r="A54095" s="1" t="n">
        <v>54094</v>
      </c>
      <c r="B54095">
        <f>TEXT(54094, "[$-0E0000]yyyy-mm-dd")</f>
        <v/>
      </c>
      <c r="C54095" t="inlineStr">
        <is>
          <t>2047-12-24</t>
        </is>
      </c>
    </row>
    <row r="54096">
      <c r="A54096" s="1" t="n">
        <v>54095</v>
      </c>
      <c r="B54096">
        <f>TEXT(54095, "[$-0E0000]yyyy-mm-dd")</f>
        <v/>
      </c>
      <c r="C54096" t="inlineStr">
        <is>
          <t>2047-12-25</t>
        </is>
      </c>
    </row>
    <row r="54097">
      <c r="A54097" s="1" t="n">
        <v>54096</v>
      </c>
      <c r="B54097">
        <f>TEXT(54096, "[$-0E0000]yyyy-mm-dd")</f>
        <v/>
      </c>
      <c r="C54097" t="inlineStr">
        <is>
          <t>2047-12-26</t>
        </is>
      </c>
    </row>
    <row r="54098">
      <c r="A54098" s="1" t="n">
        <v>54097</v>
      </c>
      <c r="B54098">
        <f>TEXT(54097, "[$-0E0000]yyyy-mm-dd")</f>
        <v/>
      </c>
      <c r="C54098" t="inlineStr">
        <is>
          <t>2047-12-27</t>
        </is>
      </c>
    </row>
    <row r="54099">
      <c r="A54099" s="1" t="n">
        <v>54098</v>
      </c>
      <c r="B54099">
        <f>TEXT(54098, "[$-0E0000]yyyy-mm-dd")</f>
        <v/>
      </c>
      <c r="C54099" t="inlineStr">
        <is>
          <t>2047-12-28</t>
        </is>
      </c>
    </row>
    <row r="54100">
      <c r="A54100" s="1" t="n">
        <v>54099</v>
      </c>
      <c r="B54100">
        <f>TEXT(54099, "[$-0E0000]yyyy-mm-dd")</f>
        <v/>
      </c>
      <c r="C54100" t="inlineStr">
        <is>
          <t>2047-12-29</t>
        </is>
      </c>
    </row>
    <row r="54101">
      <c r="A54101" s="1" t="n">
        <v>54100</v>
      </c>
      <c r="B54101">
        <f>TEXT(54100, "[$-0E0000]yyyy-mm-dd")</f>
        <v/>
      </c>
      <c r="C54101" t="inlineStr">
        <is>
          <t>2047-12-30</t>
        </is>
      </c>
    </row>
    <row r="54102">
      <c r="A54102" s="1" t="n">
        <v>54101</v>
      </c>
      <c r="B54102">
        <f>TEXT(54101, "[$-0E0000]yyyy-mm-dd")</f>
        <v/>
      </c>
      <c r="C54102" t="inlineStr">
        <is>
          <t>2048-01-01</t>
        </is>
      </c>
    </row>
    <row r="54103">
      <c r="A54103" s="1" t="n">
        <v>54102</v>
      </c>
      <c r="B54103">
        <f>TEXT(54102, "[$-0E0000]yyyy-mm-dd")</f>
        <v/>
      </c>
      <c r="C54103" t="inlineStr">
        <is>
          <t>2048-01-02</t>
        </is>
      </c>
    </row>
    <row r="54104">
      <c r="A54104" s="1" t="n">
        <v>54103</v>
      </c>
      <c r="B54104">
        <f>TEXT(54103, "[$-0E0000]yyyy-mm-dd")</f>
        <v/>
      </c>
      <c r="C54104" t="inlineStr">
        <is>
          <t>2048-01-03</t>
        </is>
      </c>
    </row>
    <row r="54105">
      <c r="A54105" s="1" t="n">
        <v>54104</v>
      </c>
      <c r="B54105">
        <f>TEXT(54104, "[$-0E0000]yyyy-mm-dd")</f>
        <v/>
      </c>
      <c r="C54105" t="inlineStr">
        <is>
          <t>2048-01-04</t>
        </is>
      </c>
    </row>
    <row r="54106">
      <c r="A54106" s="1" t="n">
        <v>54105</v>
      </c>
      <c r="B54106">
        <f>TEXT(54105, "[$-0E0000]yyyy-mm-dd")</f>
        <v/>
      </c>
      <c r="C54106" t="inlineStr">
        <is>
          <t>2048-01-05</t>
        </is>
      </c>
    </row>
    <row r="54107">
      <c r="A54107" s="1" t="n">
        <v>54106</v>
      </c>
      <c r="B54107">
        <f>TEXT(54106, "[$-0E0000]yyyy-mm-dd")</f>
        <v/>
      </c>
      <c r="C54107" t="inlineStr">
        <is>
          <t>2048-01-06</t>
        </is>
      </c>
    </row>
    <row r="54108">
      <c r="A54108" s="1" t="n">
        <v>54107</v>
      </c>
      <c r="B54108">
        <f>TEXT(54107, "[$-0E0000]yyyy-mm-dd")</f>
        <v/>
      </c>
      <c r="C54108" t="inlineStr">
        <is>
          <t>2048-01-07</t>
        </is>
      </c>
    </row>
    <row r="54109">
      <c r="A54109" s="1" t="n">
        <v>54108</v>
      </c>
      <c r="B54109">
        <f>TEXT(54108, "[$-0E0000]yyyy-mm-dd")</f>
        <v/>
      </c>
      <c r="C54109" t="inlineStr">
        <is>
          <t>2048-01-08</t>
        </is>
      </c>
    </row>
    <row r="54110">
      <c r="A54110" s="1" t="n">
        <v>54109</v>
      </c>
      <c r="B54110">
        <f>TEXT(54109, "[$-0E0000]yyyy-mm-dd")</f>
        <v/>
      </c>
      <c r="C54110" t="inlineStr">
        <is>
          <t>2048-01-09</t>
        </is>
      </c>
    </row>
    <row r="54111">
      <c r="A54111" s="1" t="n">
        <v>54110</v>
      </c>
      <c r="B54111">
        <f>TEXT(54110, "[$-0E0000]yyyy-mm-dd")</f>
        <v/>
      </c>
      <c r="C54111" t="inlineStr">
        <is>
          <t>2048-01-10</t>
        </is>
      </c>
    </row>
    <row r="54112">
      <c r="A54112" s="1" t="n">
        <v>54111</v>
      </c>
      <c r="B54112">
        <f>TEXT(54111, "[$-0E0000]yyyy-mm-dd")</f>
        <v/>
      </c>
      <c r="C54112" t="inlineStr">
        <is>
          <t>2048-01-11</t>
        </is>
      </c>
    </row>
    <row r="54113">
      <c r="A54113" s="1" t="n">
        <v>54112</v>
      </c>
      <c r="B54113">
        <f>TEXT(54112, "[$-0E0000]yyyy-mm-dd")</f>
        <v/>
      </c>
      <c r="C54113" t="inlineStr">
        <is>
          <t>2048-01-12</t>
        </is>
      </c>
    </row>
    <row r="54114">
      <c r="A54114" s="1" t="n">
        <v>54113</v>
      </c>
      <c r="B54114">
        <f>TEXT(54113, "[$-0E0000]yyyy-mm-dd")</f>
        <v/>
      </c>
      <c r="C54114" t="inlineStr">
        <is>
          <t>2048-01-13</t>
        </is>
      </c>
    </row>
    <row r="54115">
      <c r="A54115" s="1" t="n">
        <v>54114</v>
      </c>
      <c r="B54115">
        <f>TEXT(54114, "[$-0E0000]yyyy-mm-dd")</f>
        <v/>
      </c>
      <c r="C54115" t="inlineStr">
        <is>
          <t>2048-01-14</t>
        </is>
      </c>
    </row>
    <row r="54116">
      <c r="A54116" s="1" t="n">
        <v>54115</v>
      </c>
      <c r="B54116">
        <f>TEXT(54115, "[$-0E0000]yyyy-mm-dd")</f>
        <v/>
      </c>
      <c r="C54116" t="inlineStr">
        <is>
          <t>2048-01-15</t>
        </is>
      </c>
    </row>
    <row r="54117">
      <c r="A54117" s="1" t="n">
        <v>54116</v>
      </c>
      <c r="B54117">
        <f>TEXT(54116, "[$-0E0000]yyyy-mm-dd")</f>
        <v/>
      </c>
      <c r="C54117" t="inlineStr">
        <is>
          <t>2048-01-16</t>
        </is>
      </c>
    </row>
    <row r="54118">
      <c r="A54118" s="1" t="n">
        <v>54117</v>
      </c>
      <c r="B54118">
        <f>TEXT(54117, "[$-0E0000]yyyy-mm-dd")</f>
        <v/>
      </c>
      <c r="C54118" t="inlineStr">
        <is>
          <t>2048-01-17</t>
        </is>
      </c>
    </row>
    <row r="54119">
      <c r="A54119" s="1" t="n">
        <v>54118</v>
      </c>
      <c r="B54119">
        <f>TEXT(54118, "[$-0E0000]yyyy-mm-dd")</f>
        <v/>
      </c>
      <c r="C54119" t="inlineStr">
        <is>
          <t>2048-01-18</t>
        </is>
      </c>
    </row>
    <row r="54120">
      <c r="A54120" s="1" t="n">
        <v>54119</v>
      </c>
      <c r="B54120">
        <f>TEXT(54119, "[$-0E0000]yyyy-mm-dd")</f>
        <v/>
      </c>
      <c r="C54120" t="inlineStr">
        <is>
          <t>2048-01-19</t>
        </is>
      </c>
    </row>
    <row r="54121">
      <c r="A54121" s="1" t="n">
        <v>54120</v>
      </c>
      <c r="B54121">
        <f>TEXT(54120, "[$-0E0000]yyyy-mm-dd")</f>
        <v/>
      </c>
      <c r="C54121" t="inlineStr">
        <is>
          <t>2048-01-20</t>
        </is>
      </c>
    </row>
    <row r="54122">
      <c r="A54122" s="1" t="n">
        <v>54121</v>
      </c>
      <c r="B54122">
        <f>TEXT(54121, "[$-0E0000]yyyy-mm-dd")</f>
        <v/>
      </c>
      <c r="C54122" t="inlineStr">
        <is>
          <t>2048-01-21</t>
        </is>
      </c>
    </row>
    <row r="54123">
      <c r="A54123" s="1" t="n">
        <v>54122</v>
      </c>
      <c r="B54123">
        <f>TEXT(54122, "[$-0E0000]yyyy-mm-dd")</f>
        <v/>
      </c>
      <c r="C54123" t="inlineStr">
        <is>
          <t>2048-01-22</t>
        </is>
      </c>
    </row>
    <row r="54124">
      <c r="A54124" s="1" t="n">
        <v>54123</v>
      </c>
      <c r="B54124">
        <f>TEXT(54123, "[$-0E0000]yyyy-mm-dd")</f>
        <v/>
      </c>
      <c r="C54124" t="inlineStr">
        <is>
          <t>2048-01-23</t>
        </is>
      </c>
    </row>
    <row r="54125">
      <c r="A54125" s="1" t="n">
        <v>54124</v>
      </c>
      <c r="B54125">
        <f>TEXT(54124, "[$-0E0000]yyyy-mm-dd")</f>
        <v/>
      </c>
      <c r="C54125" t="inlineStr">
        <is>
          <t>2048-01-24</t>
        </is>
      </c>
    </row>
    <row r="54126">
      <c r="A54126" s="1" t="n">
        <v>54125</v>
      </c>
      <c r="B54126">
        <f>TEXT(54125, "[$-0E0000]yyyy-mm-dd")</f>
        <v/>
      </c>
      <c r="C54126" t="inlineStr">
        <is>
          <t>2048-01-25</t>
        </is>
      </c>
    </row>
    <row r="54127">
      <c r="A54127" s="1" t="n">
        <v>54126</v>
      </c>
      <c r="B54127">
        <f>TEXT(54126, "[$-0E0000]yyyy-mm-dd")</f>
        <v/>
      </c>
      <c r="C54127" t="inlineStr">
        <is>
          <t>2048-01-26</t>
        </is>
      </c>
    </row>
    <row r="54128">
      <c r="A54128" s="1" t="n">
        <v>54127</v>
      </c>
      <c r="B54128">
        <f>TEXT(54127, "[$-0E0000]yyyy-mm-dd")</f>
        <v/>
      </c>
      <c r="C54128" t="inlineStr">
        <is>
          <t>2048-01-27</t>
        </is>
      </c>
    </row>
    <row r="54129">
      <c r="A54129" s="1" t="n">
        <v>54128</v>
      </c>
      <c r="B54129">
        <f>TEXT(54128, "[$-0E0000]yyyy-mm-dd")</f>
        <v/>
      </c>
      <c r="C54129" t="inlineStr">
        <is>
          <t>2048-01-28</t>
        </is>
      </c>
    </row>
    <row r="54130">
      <c r="A54130" s="1" t="n">
        <v>54129</v>
      </c>
      <c r="B54130">
        <f>TEXT(54129, "[$-0E0000]yyyy-mm-dd")</f>
        <v/>
      </c>
      <c r="C54130" t="inlineStr">
        <is>
          <t>2048-01-29</t>
        </is>
      </c>
    </row>
    <row r="54131">
      <c r="A54131" s="1" t="n">
        <v>54130</v>
      </c>
      <c r="B54131">
        <f>TEXT(54130, "[$-0E0000]yyyy-mm-dd")</f>
        <v/>
      </c>
      <c r="C54131" t="inlineStr">
        <is>
          <t>2048-02-01</t>
        </is>
      </c>
    </row>
    <row r="54132">
      <c r="A54132" s="1" t="n">
        <v>54131</v>
      </c>
      <c r="B54132">
        <f>TEXT(54131, "[$-0E0000]yyyy-mm-dd")</f>
        <v/>
      </c>
      <c r="C54132" t="inlineStr">
        <is>
          <t>2048-02-02</t>
        </is>
      </c>
    </row>
    <row r="54133">
      <c r="A54133" s="1" t="n">
        <v>54132</v>
      </c>
      <c r="B54133">
        <f>TEXT(54132, "[$-0E0000]yyyy-mm-dd")</f>
        <v/>
      </c>
      <c r="C54133" t="inlineStr">
        <is>
          <t>2048-02-03</t>
        </is>
      </c>
    </row>
    <row r="54134">
      <c r="A54134" s="1" t="n">
        <v>54133</v>
      </c>
      <c r="B54134">
        <f>TEXT(54133, "[$-0E0000]yyyy-mm-dd")</f>
        <v/>
      </c>
      <c r="C54134" t="inlineStr">
        <is>
          <t>2048-02-04</t>
        </is>
      </c>
    </row>
    <row r="54135">
      <c r="A54135" s="1" t="n">
        <v>54134</v>
      </c>
      <c r="B54135">
        <f>TEXT(54134, "[$-0E0000]yyyy-mm-dd")</f>
        <v/>
      </c>
      <c r="C54135" t="inlineStr">
        <is>
          <t>2048-02-05</t>
        </is>
      </c>
    </row>
    <row r="54136">
      <c r="A54136" s="1" t="n">
        <v>54135</v>
      </c>
      <c r="B54136">
        <f>TEXT(54135, "[$-0E0000]yyyy-mm-dd")</f>
        <v/>
      </c>
      <c r="C54136" t="inlineStr">
        <is>
          <t>2048-02-06</t>
        </is>
      </c>
    </row>
    <row r="54137">
      <c r="A54137" s="1" t="n">
        <v>54136</v>
      </c>
      <c r="B54137">
        <f>TEXT(54136, "[$-0E0000]yyyy-mm-dd")</f>
        <v/>
      </c>
      <c r="C54137" t="inlineStr">
        <is>
          <t>2048-02-07</t>
        </is>
      </c>
    </row>
    <row r="54138">
      <c r="A54138" s="1" t="n">
        <v>54137</v>
      </c>
      <c r="B54138">
        <f>TEXT(54137, "[$-0E0000]yyyy-mm-dd")</f>
        <v/>
      </c>
      <c r="C54138" t="inlineStr">
        <is>
          <t>2048-02-08</t>
        </is>
      </c>
    </row>
    <row r="54139">
      <c r="A54139" s="1" t="n">
        <v>54138</v>
      </c>
      <c r="B54139">
        <f>TEXT(54138, "[$-0E0000]yyyy-mm-dd")</f>
        <v/>
      </c>
      <c r="C54139" t="inlineStr">
        <is>
          <t>2048-02-09</t>
        </is>
      </c>
    </row>
    <row r="54140">
      <c r="A54140" s="1" t="n">
        <v>54139</v>
      </c>
      <c r="B54140">
        <f>TEXT(54139, "[$-0E0000]yyyy-mm-dd")</f>
        <v/>
      </c>
      <c r="C54140" t="inlineStr">
        <is>
          <t>2048-02-10</t>
        </is>
      </c>
    </row>
    <row r="54141">
      <c r="A54141" s="1" t="n">
        <v>54140</v>
      </c>
      <c r="B54141">
        <f>TEXT(54140, "[$-0E0000]yyyy-mm-dd")</f>
        <v/>
      </c>
      <c r="C54141" t="inlineStr">
        <is>
          <t>2048-02-11</t>
        </is>
      </c>
    </row>
    <row r="54142">
      <c r="A54142" s="1" t="n">
        <v>54141</v>
      </c>
      <c r="B54142">
        <f>TEXT(54141, "[$-0E0000]yyyy-mm-dd")</f>
        <v/>
      </c>
      <c r="C54142" t="inlineStr">
        <is>
          <t>2048-02-12</t>
        </is>
      </c>
    </row>
    <row r="54143">
      <c r="A54143" s="1" t="n">
        <v>54142</v>
      </c>
      <c r="B54143">
        <f>TEXT(54142, "[$-0E0000]yyyy-mm-dd")</f>
        <v/>
      </c>
      <c r="C54143" t="inlineStr">
        <is>
          <t>2048-02-13</t>
        </is>
      </c>
    </row>
    <row r="54144">
      <c r="A54144" s="1" t="n">
        <v>54143</v>
      </c>
      <c r="B54144">
        <f>TEXT(54143, "[$-0E0000]yyyy-mm-dd")</f>
        <v/>
      </c>
      <c r="C54144" t="inlineStr">
        <is>
          <t>2048-02-14</t>
        </is>
      </c>
    </row>
    <row r="54145">
      <c r="A54145" s="1" t="n">
        <v>54144</v>
      </c>
      <c r="B54145">
        <f>TEXT(54144, "[$-0E0000]yyyy-mm-dd")</f>
        <v/>
      </c>
      <c r="C54145" t="inlineStr">
        <is>
          <t>2048-02-15</t>
        </is>
      </c>
    </row>
    <row r="54146">
      <c r="A54146" s="1" t="n">
        <v>54145</v>
      </c>
      <c r="B54146">
        <f>TEXT(54145, "[$-0E0000]yyyy-mm-dd")</f>
        <v/>
      </c>
      <c r="C54146" t="inlineStr">
        <is>
          <t>2048-02-16</t>
        </is>
      </c>
    </row>
    <row r="54147">
      <c r="A54147" s="1" t="n">
        <v>54146</v>
      </c>
      <c r="B54147">
        <f>TEXT(54146, "[$-0E0000]yyyy-mm-dd")</f>
        <v/>
      </c>
      <c r="C54147" t="inlineStr">
        <is>
          <t>2048-02-17</t>
        </is>
      </c>
    </row>
    <row r="54148">
      <c r="A54148" s="1" t="n">
        <v>54147</v>
      </c>
      <c r="B54148">
        <f>TEXT(54147, "[$-0E0000]yyyy-mm-dd")</f>
        <v/>
      </c>
      <c r="C54148" t="inlineStr">
        <is>
          <t>2048-02-18</t>
        </is>
      </c>
    </row>
    <row r="54149">
      <c r="A54149" s="1" t="n">
        <v>54148</v>
      </c>
      <c r="B54149">
        <f>TEXT(54148, "[$-0E0000]yyyy-mm-dd")</f>
        <v/>
      </c>
      <c r="C54149" t="inlineStr">
        <is>
          <t>2048-02-19</t>
        </is>
      </c>
    </row>
    <row r="54150">
      <c r="A54150" s="1" t="n">
        <v>54149</v>
      </c>
      <c r="B54150">
        <f>TEXT(54149, "[$-0E0000]yyyy-mm-dd")</f>
        <v/>
      </c>
      <c r="C54150" t="inlineStr">
        <is>
          <t>2048-02-20</t>
        </is>
      </c>
    </row>
    <row r="54151">
      <c r="A54151" s="1" t="n">
        <v>54150</v>
      </c>
      <c r="B54151">
        <f>TEXT(54150, "[$-0E0000]yyyy-mm-dd")</f>
        <v/>
      </c>
      <c r="C54151" t="inlineStr">
        <is>
          <t>2048-02-21</t>
        </is>
      </c>
    </row>
    <row r="54152">
      <c r="A54152" s="1" t="n">
        <v>54151</v>
      </c>
      <c r="B54152">
        <f>TEXT(54151, "[$-0E0000]yyyy-mm-dd")</f>
        <v/>
      </c>
      <c r="C54152" t="inlineStr">
        <is>
          <t>2048-02-22</t>
        </is>
      </c>
    </row>
    <row r="54153">
      <c r="A54153" s="1" t="n">
        <v>54152</v>
      </c>
      <c r="B54153">
        <f>TEXT(54152, "[$-0E0000]yyyy-mm-dd")</f>
        <v/>
      </c>
      <c r="C54153" t="inlineStr">
        <is>
          <t>2048-02-23</t>
        </is>
      </c>
    </row>
    <row r="54154">
      <c r="A54154" s="1" t="n">
        <v>54153</v>
      </c>
      <c r="B54154">
        <f>TEXT(54153, "[$-0E0000]yyyy-mm-dd")</f>
        <v/>
      </c>
      <c r="C54154" t="inlineStr">
        <is>
          <t>2048-02-24</t>
        </is>
      </c>
    </row>
    <row r="54155">
      <c r="A54155" s="1" t="n">
        <v>54154</v>
      </c>
      <c r="B54155">
        <f>TEXT(54154, "[$-0E0000]yyyy-mm-dd")</f>
        <v/>
      </c>
      <c r="C54155" t="inlineStr">
        <is>
          <t>2048-02-25</t>
        </is>
      </c>
    </row>
    <row r="54156">
      <c r="A54156" s="1" t="n">
        <v>54155</v>
      </c>
      <c r="B54156">
        <f>TEXT(54155, "[$-0E0000]yyyy-mm-dd")</f>
        <v/>
      </c>
      <c r="C54156" t="inlineStr">
        <is>
          <t>2048-02-26</t>
        </is>
      </c>
    </row>
    <row r="54157">
      <c r="A54157" s="1" t="n">
        <v>54156</v>
      </c>
      <c r="B54157">
        <f>TEXT(54156, "[$-0E0000]yyyy-mm-dd")</f>
        <v/>
      </c>
      <c r="C54157" t="inlineStr">
        <is>
          <t>2048-02-27</t>
        </is>
      </c>
    </row>
    <row r="54158">
      <c r="A54158" s="1" t="n">
        <v>54157</v>
      </c>
      <c r="B54158">
        <f>TEXT(54157, "[$-0E0000]yyyy-mm-dd")</f>
        <v/>
      </c>
      <c r="C54158" t="inlineStr">
        <is>
          <t>2048-02-28</t>
        </is>
      </c>
    </row>
    <row r="54159">
      <c r="A54159" s="1" t="n">
        <v>54158</v>
      </c>
      <c r="B54159">
        <f>TEXT(54158, "[$-0E0000]yyyy-mm-dd")</f>
        <v/>
      </c>
      <c r="C54159" t="inlineStr">
        <is>
          <t>2048-02-29</t>
        </is>
      </c>
    </row>
    <row r="54160">
      <c r="A54160" s="1" t="n">
        <v>54159</v>
      </c>
      <c r="B54160">
        <f>TEXT(54159, "[$-0E0000]yyyy-mm-dd")</f>
        <v/>
      </c>
      <c r="C54160" t="inlineStr">
        <is>
          <t>2048-02-30</t>
        </is>
      </c>
    </row>
    <row r="54161">
      <c r="A54161" s="1" t="n">
        <v>54160</v>
      </c>
      <c r="B54161">
        <f>TEXT(54160, "[$-0E0000]yyyy-mm-dd")</f>
        <v/>
      </c>
      <c r="C54161" t="inlineStr">
        <is>
          <t>2048-03-01</t>
        </is>
      </c>
    </row>
    <row r="54162">
      <c r="A54162" s="1" t="n">
        <v>54161</v>
      </c>
      <c r="B54162">
        <f>TEXT(54161, "[$-0E0000]yyyy-mm-dd")</f>
        <v/>
      </c>
      <c r="C54162" t="inlineStr">
        <is>
          <t>2048-03-02</t>
        </is>
      </c>
    </row>
    <row r="54163">
      <c r="A54163" s="1" t="n">
        <v>54162</v>
      </c>
      <c r="B54163">
        <f>TEXT(54162, "[$-0E0000]yyyy-mm-dd")</f>
        <v/>
      </c>
      <c r="C54163" t="inlineStr">
        <is>
          <t>2048-03-03</t>
        </is>
      </c>
    </row>
    <row r="54164">
      <c r="A54164" s="1" t="n">
        <v>54163</v>
      </c>
      <c r="B54164">
        <f>TEXT(54163, "[$-0E0000]yyyy-mm-dd")</f>
        <v/>
      </c>
      <c r="C54164" t="inlineStr">
        <is>
          <t>2048-03-04</t>
        </is>
      </c>
    </row>
    <row r="54165">
      <c r="A54165" s="1" t="n">
        <v>54164</v>
      </c>
      <c r="B54165">
        <f>TEXT(54164, "[$-0E0000]yyyy-mm-dd")</f>
        <v/>
      </c>
      <c r="C54165" t="inlineStr">
        <is>
          <t>2048-03-05</t>
        </is>
      </c>
    </row>
    <row r="54166">
      <c r="A54166" s="1" t="n">
        <v>54165</v>
      </c>
      <c r="B54166">
        <f>TEXT(54165, "[$-0E0000]yyyy-mm-dd")</f>
        <v/>
      </c>
      <c r="C54166" t="inlineStr">
        <is>
          <t>2048-03-06</t>
        </is>
      </c>
    </row>
    <row r="54167">
      <c r="A54167" s="1" t="n">
        <v>54166</v>
      </c>
      <c r="B54167">
        <f>TEXT(54166, "[$-0E0000]yyyy-mm-dd")</f>
        <v/>
      </c>
      <c r="C54167" t="inlineStr">
        <is>
          <t>2048-03-07</t>
        </is>
      </c>
    </row>
    <row r="54168">
      <c r="A54168" s="1" t="n">
        <v>54167</v>
      </c>
      <c r="B54168">
        <f>TEXT(54167, "[$-0E0000]yyyy-mm-dd")</f>
        <v/>
      </c>
      <c r="C54168" t="inlineStr">
        <is>
          <t>2048-03-08</t>
        </is>
      </c>
    </row>
    <row r="54169">
      <c r="A54169" s="1" t="n">
        <v>54168</v>
      </c>
      <c r="B54169">
        <f>TEXT(54168, "[$-0E0000]yyyy-mm-dd")</f>
        <v/>
      </c>
      <c r="C54169" t="inlineStr">
        <is>
          <t>2048-03-09</t>
        </is>
      </c>
    </row>
    <row r="54170">
      <c r="A54170" s="1" t="n">
        <v>54169</v>
      </c>
      <c r="B54170">
        <f>TEXT(54169, "[$-0E0000]yyyy-mm-dd")</f>
        <v/>
      </c>
      <c r="C54170" t="inlineStr">
        <is>
          <t>2048-03-10</t>
        </is>
      </c>
    </row>
    <row r="54171">
      <c r="A54171" s="1" t="n">
        <v>54170</v>
      </c>
      <c r="B54171">
        <f>TEXT(54170, "[$-0E0000]yyyy-mm-dd")</f>
        <v/>
      </c>
      <c r="C54171" t="inlineStr">
        <is>
          <t>2048-03-11</t>
        </is>
      </c>
    </row>
    <row r="54172">
      <c r="A54172" s="1" t="n">
        <v>54171</v>
      </c>
      <c r="B54172">
        <f>TEXT(54171, "[$-0E0000]yyyy-mm-dd")</f>
        <v/>
      </c>
      <c r="C54172" t="inlineStr">
        <is>
          <t>2048-03-12</t>
        </is>
      </c>
    </row>
    <row r="54173">
      <c r="A54173" s="1" t="n">
        <v>54172</v>
      </c>
      <c r="B54173">
        <f>TEXT(54172, "[$-0E0000]yyyy-mm-dd")</f>
        <v/>
      </c>
      <c r="C54173" t="inlineStr">
        <is>
          <t>2048-03-13</t>
        </is>
      </c>
    </row>
    <row r="54174">
      <c r="A54174" s="1" t="n">
        <v>54173</v>
      </c>
      <c r="B54174">
        <f>TEXT(54173, "[$-0E0000]yyyy-mm-dd")</f>
        <v/>
      </c>
      <c r="C54174" t="inlineStr">
        <is>
          <t>2048-03-14</t>
        </is>
      </c>
    </row>
    <row r="54175">
      <c r="A54175" s="1" t="n">
        <v>54174</v>
      </c>
      <c r="B54175">
        <f>TEXT(54174, "[$-0E0000]yyyy-mm-dd")</f>
        <v/>
      </c>
      <c r="C54175" t="inlineStr">
        <is>
          <t>2048-03-15</t>
        </is>
      </c>
    </row>
    <row r="54176">
      <c r="A54176" s="1" t="n">
        <v>54175</v>
      </c>
      <c r="B54176">
        <f>TEXT(54175, "[$-0E0000]yyyy-mm-dd")</f>
        <v/>
      </c>
      <c r="C54176" t="inlineStr">
        <is>
          <t>2048-03-16</t>
        </is>
      </c>
    </row>
    <row r="54177">
      <c r="A54177" s="1" t="n">
        <v>54176</v>
      </c>
      <c r="B54177">
        <f>TEXT(54176, "[$-0E0000]yyyy-mm-dd")</f>
        <v/>
      </c>
      <c r="C54177" t="inlineStr">
        <is>
          <t>2048-03-17</t>
        </is>
      </c>
    </row>
    <row r="54178">
      <c r="A54178" s="1" t="n">
        <v>54177</v>
      </c>
      <c r="B54178">
        <f>TEXT(54177, "[$-0E0000]yyyy-mm-dd")</f>
        <v/>
      </c>
      <c r="C54178" t="inlineStr">
        <is>
          <t>2048-03-18</t>
        </is>
      </c>
    </row>
    <row r="54179">
      <c r="A54179" s="1" t="n">
        <v>54178</v>
      </c>
      <c r="B54179">
        <f>TEXT(54178, "[$-0E0000]yyyy-mm-dd")</f>
        <v/>
      </c>
      <c r="C54179" t="inlineStr">
        <is>
          <t>2048-03-19</t>
        </is>
      </c>
    </row>
    <row r="54180">
      <c r="A54180" s="1" t="n">
        <v>54179</v>
      </c>
      <c r="B54180">
        <f>TEXT(54179, "[$-0E0000]yyyy-mm-dd")</f>
        <v/>
      </c>
      <c r="C54180" t="inlineStr">
        <is>
          <t>2048-03-20</t>
        </is>
      </c>
    </row>
    <row r="54181">
      <c r="A54181" s="1" t="n">
        <v>54180</v>
      </c>
      <c r="B54181">
        <f>TEXT(54180, "[$-0E0000]yyyy-mm-dd")</f>
        <v/>
      </c>
      <c r="C54181" t="inlineStr">
        <is>
          <t>2048-03-21</t>
        </is>
      </c>
    </row>
    <row r="54182">
      <c r="A54182" s="1" t="n">
        <v>54181</v>
      </c>
      <c r="B54182">
        <f>TEXT(54181, "[$-0E0000]yyyy-mm-dd")</f>
        <v/>
      </c>
      <c r="C54182" t="inlineStr">
        <is>
          <t>2048-03-22</t>
        </is>
      </c>
    </row>
    <row r="54183">
      <c r="A54183" s="1" t="n">
        <v>54182</v>
      </c>
      <c r="B54183">
        <f>TEXT(54182, "[$-0E0000]yyyy-mm-dd")</f>
        <v/>
      </c>
      <c r="C54183" t="inlineStr">
        <is>
          <t>2048-03-23</t>
        </is>
      </c>
    </row>
    <row r="54184">
      <c r="A54184" s="1" t="n">
        <v>54183</v>
      </c>
      <c r="B54184">
        <f>TEXT(54183, "[$-0E0000]yyyy-mm-dd")</f>
        <v/>
      </c>
      <c r="C54184" t="inlineStr">
        <is>
          <t>2048-03-24</t>
        </is>
      </c>
    </row>
    <row r="54185">
      <c r="A54185" s="1" t="n">
        <v>54184</v>
      </c>
      <c r="B54185">
        <f>TEXT(54184, "[$-0E0000]yyyy-mm-dd")</f>
        <v/>
      </c>
      <c r="C54185" t="inlineStr">
        <is>
          <t>2048-03-25</t>
        </is>
      </c>
    </row>
    <row r="54186">
      <c r="A54186" s="1" t="n">
        <v>54185</v>
      </c>
      <c r="B54186">
        <f>TEXT(54185, "[$-0E0000]yyyy-mm-dd")</f>
        <v/>
      </c>
      <c r="C54186" t="inlineStr">
        <is>
          <t>2048-03-26</t>
        </is>
      </c>
    </row>
    <row r="54187">
      <c r="A54187" s="1" t="n">
        <v>54186</v>
      </c>
      <c r="B54187">
        <f>TEXT(54186, "[$-0E0000]yyyy-mm-dd")</f>
        <v/>
      </c>
      <c r="C54187" t="inlineStr">
        <is>
          <t>2048-03-27</t>
        </is>
      </c>
    </row>
    <row r="54188">
      <c r="A54188" s="1" t="n">
        <v>54187</v>
      </c>
      <c r="B54188">
        <f>TEXT(54187, "[$-0E0000]yyyy-mm-dd")</f>
        <v/>
      </c>
      <c r="C54188" t="inlineStr">
        <is>
          <t>2048-03-28</t>
        </is>
      </c>
    </row>
    <row r="54189">
      <c r="A54189" s="1" t="n">
        <v>54188</v>
      </c>
      <c r="B54189">
        <f>TEXT(54188, "[$-0E0000]yyyy-mm-dd")</f>
        <v/>
      </c>
      <c r="C54189" t="inlineStr">
        <is>
          <t>2048-03-29</t>
        </is>
      </c>
    </row>
    <row r="54190">
      <c r="A54190" s="1" t="n">
        <v>54189</v>
      </c>
      <c r="B54190">
        <f>TEXT(54189, "[$-0E0000]yyyy-mm-dd")</f>
        <v/>
      </c>
      <c r="C54190" t="inlineStr">
        <is>
          <t>2048-03-30</t>
        </is>
      </c>
    </row>
    <row r="54191">
      <c r="A54191" s="1" t="n">
        <v>54190</v>
      </c>
      <c r="B54191">
        <f>TEXT(54190, "[$-0E0000]yyyy-mm-dd")</f>
        <v/>
      </c>
      <c r="C54191" t="inlineStr">
        <is>
          <t>2048-04-01</t>
        </is>
      </c>
    </row>
    <row r="54192">
      <c r="A54192" s="1" t="n">
        <v>54191</v>
      </c>
      <c r="B54192">
        <f>TEXT(54191, "[$-0E0000]yyyy-mm-dd")</f>
        <v/>
      </c>
      <c r="C54192" t="inlineStr">
        <is>
          <t>2048-04-02</t>
        </is>
      </c>
    </row>
    <row r="54193">
      <c r="A54193" s="1" t="n">
        <v>54192</v>
      </c>
      <c r="B54193">
        <f>TEXT(54192, "[$-0E0000]yyyy-mm-dd")</f>
        <v/>
      </c>
      <c r="C54193" t="inlineStr">
        <is>
          <t>2048-04-03</t>
        </is>
      </c>
    </row>
    <row r="54194">
      <c r="A54194" s="1" t="n">
        <v>54193</v>
      </c>
      <c r="B54194">
        <f>TEXT(54193, "[$-0E0000]yyyy-mm-dd")</f>
        <v/>
      </c>
      <c r="C54194" t="inlineStr">
        <is>
          <t>2048-04-04</t>
        </is>
      </c>
    </row>
    <row r="54195">
      <c r="A54195" s="1" t="n">
        <v>54194</v>
      </c>
      <c r="B54195">
        <f>TEXT(54194, "[$-0E0000]yyyy-mm-dd")</f>
        <v/>
      </c>
      <c r="C54195" t="inlineStr">
        <is>
          <t>2048-04-05</t>
        </is>
      </c>
    </row>
    <row r="54196">
      <c r="A54196" s="1" t="n">
        <v>54195</v>
      </c>
      <c r="B54196">
        <f>TEXT(54195, "[$-0E0000]yyyy-mm-dd")</f>
        <v/>
      </c>
      <c r="C54196" t="inlineStr">
        <is>
          <t>2048-04-06</t>
        </is>
      </c>
    </row>
    <row r="54197">
      <c r="A54197" s="1" t="n">
        <v>54196</v>
      </c>
      <c r="B54197">
        <f>TEXT(54196, "[$-0E0000]yyyy-mm-dd")</f>
        <v/>
      </c>
      <c r="C54197" t="inlineStr">
        <is>
          <t>2048-04-07</t>
        </is>
      </c>
    </row>
    <row r="54198">
      <c r="A54198" s="1" t="n">
        <v>54197</v>
      </c>
      <c r="B54198">
        <f>TEXT(54197, "[$-0E0000]yyyy-mm-dd")</f>
        <v/>
      </c>
      <c r="C54198" t="inlineStr">
        <is>
          <t>2048-04-08</t>
        </is>
      </c>
    </row>
    <row r="54199">
      <c r="A54199" s="1" t="n">
        <v>54198</v>
      </c>
      <c r="B54199">
        <f>TEXT(54198, "[$-0E0000]yyyy-mm-dd")</f>
        <v/>
      </c>
      <c r="C54199" t="inlineStr">
        <is>
          <t>2048-04-09</t>
        </is>
      </c>
    </row>
    <row r="54200">
      <c r="A54200" s="1" t="n">
        <v>54199</v>
      </c>
      <c r="B54200">
        <f>TEXT(54199, "[$-0E0000]yyyy-mm-dd")</f>
        <v/>
      </c>
      <c r="C54200" t="inlineStr">
        <is>
          <t>2048-04-10</t>
        </is>
      </c>
    </row>
    <row r="54201">
      <c r="A54201" s="1" t="n">
        <v>54200</v>
      </c>
      <c r="B54201">
        <f>TEXT(54200, "[$-0E0000]yyyy-mm-dd")</f>
        <v/>
      </c>
      <c r="C54201" t="inlineStr">
        <is>
          <t>2048-04-11</t>
        </is>
      </c>
    </row>
    <row r="54202">
      <c r="A54202" s="1" t="n">
        <v>54201</v>
      </c>
      <c r="B54202">
        <f>TEXT(54201, "[$-0E0000]yyyy-mm-dd")</f>
        <v/>
      </c>
      <c r="C54202" t="inlineStr">
        <is>
          <t>2048-04-12</t>
        </is>
      </c>
    </row>
    <row r="54203">
      <c r="A54203" s="1" t="n">
        <v>54202</v>
      </c>
      <c r="B54203">
        <f>TEXT(54202, "[$-0E0000]yyyy-mm-dd")</f>
        <v/>
      </c>
      <c r="C54203" t="inlineStr">
        <is>
          <t>2048-04-13</t>
        </is>
      </c>
    </row>
    <row r="54204">
      <c r="A54204" s="1" t="n">
        <v>54203</v>
      </c>
      <c r="B54204">
        <f>TEXT(54203, "[$-0E0000]yyyy-mm-dd")</f>
        <v/>
      </c>
      <c r="C54204" t="inlineStr">
        <is>
          <t>2048-04-14</t>
        </is>
      </c>
    </row>
    <row r="54205">
      <c r="A54205" s="1" t="n">
        <v>54204</v>
      </c>
      <c r="B54205">
        <f>TEXT(54204, "[$-0E0000]yyyy-mm-dd")</f>
        <v/>
      </c>
      <c r="C54205" t="inlineStr">
        <is>
          <t>2048-04-15</t>
        </is>
      </c>
    </row>
    <row r="54206">
      <c r="A54206" s="1" t="n">
        <v>54205</v>
      </c>
      <c r="B54206">
        <f>TEXT(54205, "[$-0E0000]yyyy-mm-dd")</f>
        <v/>
      </c>
      <c r="C54206" t="inlineStr">
        <is>
          <t>2048-04-16</t>
        </is>
      </c>
    </row>
    <row r="54207">
      <c r="A54207" s="1" t="n">
        <v>54206</v>
      </c>
      <c r="B54207">
        <f>TEXT(54206, "[$-0E0000]yyyy-mm-dd")</f>
        <v/>
      </c>
      <c r="C54207" t="inlineStr">
        <is>
          <t>2048-04-17</t>
        </is>
      </c>
    </row>
    <row r="54208">
      <c r="A54208" s="1" t="n">
        <v>54207</v>
      </c>
      <c r="B54208">
        <f>TEXT(54207, "[$-0E0000]yyyy-mm-dd")</f>
        <v/>
      </c>
      <c r="C54208" t="inlineStr">
        <is>
          <t>2048-04-18</t>
        </is>
      </c>
    </row>
    <row r="54209">
      <c r="A54209" s="1" t="n">
        <v>54208</v>
      </c>
      <c r="B54209">
        <f>TEXT(54208, "[$-0E0000]yyyy-mm-dd")</f>
        <v/>
      </c>
      <c r="C54209" t="inlineStr">
        <is>
          <t>2048-04-19</t>
        </is>
      </c>
    </row>
    <row r="54210">
      <c r="A54210" s="1" t="n">
        <v>54209</v>
      </c>
      <c r="B54210">
        <f>TEXT(54209, "[$-0E0000]yyyy-mm-dd")</f>
        <v/>
      </c>
      <c r="C54210" t="inlineStr">
        <is>
          <t>2048-04-20</t>
        </is>
      </c>
    </row>
    <row r="54211">
      <c r="A54211" s="1" t="n">
        <v>54210</v>
      </c>
      <c r="B54211">
        <f>TEXT(54210, "[$-0E0000]yyyy-mm-dd")</f>
        <v/>
      </c>
      <c r="C54211" t="inlineStr">
        <is>
          <t>2048-04-21</t>
        </is>
      </c>
    </row>
    <row r="54212">
      <c r="A54212" s="1" t="n">
        <v>54211</v>
      </c>
      <c r="B54212">
        <f>TEXT(54211, "[$-0E0000]yyyy-mm-dd")</f>
        <v/>
      </c>
      <c r="C54212" t="inlineStr">
        <is>
          <t>2048-04-22</t>
        </is>
      </c>
    </row>
    <row r="54213">
      <c r="A54213" s="1" t="n">
        <v>54212</v>
      </c>
      <c r="B54213">
        <f>TEXT(54212, "[$-0E0000]yyyy-mm-dd")</f>
        <v/>
      </c>
      <c r="C54213" t="inlineStr">
        <is>
          <t>2048-04-23</t>
        </is>
      </c>
    </row>
    <row r="54214">
      <c r="A54214" s="1" t="n">
        <v>54213</v>
      </c>
      <c r="B54214">
        <f>TEXT(54213, "[$-0E0000]yyyy-mm-dd")</f>
        <v/>
      </c>
      <c r="C54214" t="inlineStr">
        <is>
          <t>2048-04-24</t>
        </is>
      </c>
    </row>
    <row r="54215">
      <c r="A54215" s="1" t="n">
        <v>54214</v>
      </c>
      <c r="B54215">
        <f>TEXT(54214, "[$-0E0000]yyyy-mm-dd")</f>
        <v/>
      </c>
      <c r="C54215" t="inlineStr">
        <is>
          <t>2048-04-25</t>
        </is>
      </c>
    </row>
    <row r="54216">
      <c r="A54216" s="1" t="n">
        <v>54215</v>
      </c>
      <c r="B54216">
        <f>TEXT(54215, "[$-0E0000]yyyy-mm-dd")</f>
        <v/>
      </c>
      <c r="C54216" t="inlineStr">
        <is>
          <t>2048-04-26</t>
        </is>
      </c>
    </row>
    <row r="54217">
      <c r="A54217" s="1" t="n">
        <v>54216</v>
      </c>
      <c r="B54217">
        <f>TEXT(54216, "[$-0E0000]yyyy-mm-dd")</f>
        <v/>
      </c>
      <c r="C54217" t="inlineStr">
        <is>
          <t>2048-04-27</t>
        </is>
      </c>
    </row>
    <row r="54218">
      <c r="A54218" s="1" t="n">
        <v>54217</v>
      </c>
      <c r="B54218">
        <f>TEXT(54217, "[$-0E0000]yyyy-mm-dd")</f>
        <v/>
      </c>
      <c r="C54218" t="inlineStr">
        <is>
          <t>2048-04-28</t>
        </is>
      </c>
    </row>
    <row r="54219">
      <c r="A54219" s="1" t="n">
        <v>54218</v>
      </c>
      <c r="B54219">
        <f>TEXT(54218, "[$-0E0000]yyyy-mm-dd")</f>
        <v/>
      </c>
      <c r="C54219" t="inlineStr">
        <is>
          <t>2048-04-29</t>
        </is>
      </c>
    </row>
    <row r="54220">
      <c r="A54220" s="1" t="n">
        <v>54219</v>
      </c>
      <c r="B54220">
        <f>TEXT(54219, "[$-0E0000]yyyy-mm-dd")</f>
        <v/>
      </c>
      <c r="C54220" t="inlineStr">
        <is>
          <t>2048-05-01</t>
        </is>
      </c>
    </row>
    <row r="54221">
      <c r="A54221" s="1" t="n">
        <v>54220</v>
      </c>
      <c r="B54221">
        <f>TEXT(54220, "[$-0E0000]yyyy-mm-dd")</f>
        <v/>
      </c>
      <c r="C54221" t="inlineStr">
        <is>
          <t>2048-05-02</t>
        </is>
      </c>
    </row>
    <row r="54222">
      <c r="A54222" s="1" t="n">
        <v>54221</v>
      </c>
      <c r="B54222">
        <f>TEXT(54221, "[$-0E0000]yyyy-mm-dd")</f>
        <v/>
      </c>
      <c r="C54222" t="inlineStr">
        <is>
          <t>2048-05-03</t>
        </is>
      </c>
    </row>
    <row r="54223">
      <c r="A54223" s="1" t="n">
        <v>54222</v>
      </c>
      <c r="B54223">
        <f>TEXT(54222, "[$-0E0000]yyyy-mm-dd")</f>
        <v/>
      </c>
      <c r="C54223" t="inlineStr">
        <is>
          <t>2048-05-04</t>
        </is>
      </c>
    </row>
    <row r="54224">
      <c r="A54224" s="1" t="n">
        <v>54223</v>
      </c>
      <c r="B54224">
        <f>TEXT(54223, "[$-0E0000]yyyy-mm-dd")</f>
        <v/>
      </c>
      <c r="C54224" t="inlineStr">
        <is>
          <t>2048-05-05</t>
        </is>
      </c>
    </row>
    <row r="54225">
      <c r="A54225" s="1" t="n">
        <v>54224</v>
      </c>
      <c r="B54225">
        <f>TEXT(54224, "[$-0E0000]yyyy-mm-dd")</f>
        <v/>
      </c>
      <c r="C54225" t="inlineStr">
        <is>
          <t>2048-05-06</t>
        </is>
      </c>
    </row>
    <row r="54226">
      <c r="A54226" s="1" t="n">
        <v>54225</v>
      </c>
      <c r="B54226">
        <f>TEXT(54225, "[$-0E0000]yyyy-mm-dd")</f>
        <v/>
      </c>
      <c r="C54226" t="inlineStr">
        <is>
          <t>2048-05-07</t>
        </is>
      </c>
    </row>
    <row r="54227">
      <c r="A54227" s="1" t="n">
        <v>54226</v>
      </c>
      <c r="B54227">
        <f>TEXT(54226, "[$-0E0000]yyyy-mm-dd")</f>
        <v/>
      </c>
      <c r="C54227" t="inlineStr">
        <is>
          <t>2048-05-08</t>
        </is>
      </c>
    </row>
    <row r="54228">
      <c r="A54228" s="1" t="n">
        <v>54227</v>
      </c>
      <c r="B54228">
        <f>TEXT(54227, "[$-0E0000]yyyy-mm-dd")</f>
        <v/>
      </c>
      <c r="C54228" t="inlineStr">
        <is>
          <t>2048-05-09</t>
        </is>
      </c>
    </row>
    <row r="54229">
      <c r="A54229" s="1" t="n">
        <v>54228</v>
      </c>
      <c r="B54229">
        <f>TEXT(54228, "[$-0E0000]yyyy-mm-dd")</f>
        <v/>
      </c>
      <c r="C54229" t="inlineStr">
        <is>
          <t>2048-05-10</t>
        </is>
      </c>
    </row>
    <row r="54230">
      <c r="A54230" s="1" t="n">
        <v>54229</v>
      </c>
      <c r="B54230">
        <f>TEXT(54229, "[$-0E0000]yyyy-mm-dd")</f>
        <v/>
      </c>
      <c r="C54230" t="inlineStr">
        <is>
          <t>2048-05-11</t>
        </is>
      </c>
    </row>
    <row r="54231">
      <c r="A54231" s="1" t="n">
        <v>54230</v>
      </c>
      <c r="B54231">
        <f>TEXT(54230, "[$-0E0000]yyyy-mm-dd")</f>
        <v/>
      </c>
      <c r="C54231" t="inlineStr">
        <is>
          <t>2048-05-12</t>
        </is>
      </c>
    </row>
    <row r="54232">
      <c r="A54232" s="1" t="n">
        <v>54231</v>
      </c>
      <c r="B54232">
        <f>TEXT(54231, "[$-0E0000]yyyy-mm-dd")</f>
        <v/>
      </c>
      <c r="C54232" t="inlineStr">
        <is>
          <t>2048-05-13</t>
        </is>
      </c>
    </row>
    <row r="54233">
      <c r="A54233" s="1" t="n">
        <v>54232</v>
      </c>
      <c r="B54233">
        <f>TEXT(54232, "[$-0E0000]yyyy-mm-dd")</f>
        <v/>
      </c>
      <c r="C54233" t="inlineStr">
        <is>
          <t>2048-05-14</t>
        </is>
      </c>
    </row>
    <row r="54234">
      <c r="A54234" s="1" t="n">
        <v>54233</v>
      </c>
      <c r="B54234">
        <f>TEXT(54233, "[$-0E0000]yyyy-mm-dd")</f>
        <v/>
      </c>
      <c r="C54234" t="inlineStr">
        <is>
          <t>2048-05-15</t>
        </is>
      </c>
    </row>
    <row r="54235">
      <c r="A54235" s="1" t="n">
        <v>54234</v>
      </c>
      <c r="B54235">
        <f>TEXT(54234, "[$-0E0000]yyyy-mm-dd")</f>
        <v/>
      </c>
      <c r="C54235" t="inlineStr">
        <is>
          <t>2048-05-16</t>
        </is>
      </c>
    </row>
    <row r="54236">
      <c r="A54236" s="1" t="n">
        <v>54235</v>
      </c>
      <c r="B54236">
        <f>TEXT(54235, "[$-0E0000]yyyy-mm-dd")</f>
        <v/>
      </c>
      <c r="C54236" t="inlineStr">
        <is>
          <t>2048-05-17</t>
        </is>
      </c>
    </row>
    <row r="54237">
      <c r="A54237" s="1" t="n">
        <v>54236</v>
      </c>
      <c r="B54237">
        <f>TEXT(54236, "[$-0E0000]yyyy-mm-dd")</f>
        <v/>
      </c>
      <c r="C54237" t="inlineStr">
        <is>
          <t>2048-05-18</t>
        </is>
      </c>
    </row>
    <row r="54238">
      <c r="A54238" s="1" t="n">
        <v>54237</v>
      </c>
      <c r="B54238">
        <f>TEXT(54237, "[$-0E0000]yyyy-mm-dd")</f>
        <v/>
      </c>
      <c r="C54238" t="inlineStr">
        <is>
          <t>2048-05-19</t>
        </is>
      </c>
    </row>
    <row r="54239">
      <c r="A54239" s="1" t="n">
        <v>54238</v>
      </c>
      <c r="B54239">
        <f>TEXT(54238, "[$-0E0000]yyyy-mm-dd")</f>
        <v/>
      </c>
      <c r="C54239" t="inlineStr">
        <is>
          <t>2048-05-20</t>
        </is>
      </c>
    </row>
    <row r="54240">
      <c r="A54240" s="1" t="n">
        <v>54239</v>
      </c>
      <c r="B54240">
        <f>TEXT(54239, "[$-0E0000]yyyy-mm-dd")</f>
        <v/>
      </c>
      <c r="C54240" t="inlineStr">
        <is>
          <t>2048-05-21</t>
        </is>
      </c>
    </row>
    <row r="54241">
      <c r="A54241" s="1" t="n">
        <v>54240</v>
      </c>
      <c r="B54241">
        <f>TEXT(54240, "[$-0E0000]yyyy-mm-dd")</f>
        <v/>
      </c>
      <c r="C54241" t="inlineStr">
        <is>
          <t>2048-05-22</t>
        </is>
      </c>
    </row>
    <row r="54242">
      <c r="A54242" s="1" t="n">
        <v>54241</v>
      </c>
      <c r="B54242">
        <f>TEXT(54241, "[$-0E0000]yyyy-mm-dd")</f>
        <v/>
      </c>
      <c r="C54242" t="inlineStr">
        <is>
          <t>2048-05-23</t>
        </is>
      </c>
    </row>
    <row r="54243">
      <c r="A54243" s="1" t="n">
        <v>54242</v>
      </c>
      <c r="B54243">
        <f>TEXT(54242, "[$-0E0000]yyyy-mm-dd")</f>
        <v/>
      </c>
      <c r="C54243" t="inlineStr">
        <is>
          <t>2048-05-24</t>
        </is>
      </c>
    </row>
    <row r="54244">
      <c r="A54244" s="1" t="n">
        <v>54243</v>
      </c>
      <c r="B54244">
        <f>TEXT(54243, "[$-0E0000]yyyy-mm-dd")</f>
        <v/>
      </c>
      <c r="C54244" t="inlineStr">
        <is>
          <t>2048-05-25</t>
        </is>
      </c>
    </row>
    <row r="54245">
      <c r="A54245" s="1" t="n">
        <v>54244</v>
      </c>
      <c r="B54245">
        <f>TEXT(54244, "[$-0E0000]yyyy-mm-dd")</f>
        <v/>
      </c>
      <c r="C54245" t="inlineStr">
        <is>
          <t>2048-05-26</t>
        </is>
      </c>
    </row>
    <row r="54246">
      <c r="A54246" s="1" t="n">
        <v>54245</v>
      </c>
      <c r="B54246">
        <f>TEXT(54245, "[$-0E0000]yyyy-mm-dd")</f>
        <v/>
      </c>
      <c r="C54246" t="inlineStr">
        <is>
          <t>2048-05-27</t>
        </is>
      </c>
    </row>
    <row r="54247">
      <c r="A54247" s="1" t="n">
        <v>54246</v>
      </c>
      <c r="B54247">
        <f>TEXT(54246, "[$-0E0000]yyyy-mm-dd")</f>
        <v/>
      </c>
      <c r="C54247" t="inlineStr">
        <is>
          <t>2048-05-28</t>
        </is>
      </c>
    </row>
    <row r="54248">
      <c r="A54248" s="1" t="n">
        <v>54247</v>
      </c>
      <c r="B54248">
        <f>TEXT(54247, "[$-0E0000]yyyy-mm-dd")</f>
        <v/>
      </c>
      <c r="C54248" t="inlineStr">
        <is>
          <t>2048-05-29</t>
        </is>
      </c>
    </row>
    <row r="54249">
      <c r="A54249" s="1" t="n">
        <v>54248</v>
      </c>
      <c r="B54249">
        <f>TEXT(54248, "[$-0E0000]yyyy-mm-dd")</f>
        <v/>
      </c>
      <c r="C54249" t="inlineStr">
        <is>
          <t>2048-05-30</t>
        </is>
      </c>
    </row>
    <row r="54250">
      <c r="A54250" s="1" t="n">
        <v>54249</v>
      </c>
      <c r="B54250">
        <f>TEXT(54249, "[$-0E0000]yyyy-mm-dd")</f>
        <v/>
      </c>
      <c r="C54250" t="inlineStr">
        <is>
          <t>2048-06-01</t>
        </is>
      </c>
    </row>
    <row r="54251">
      <c r="A54251" s="1" t="n">
        <v>54250</v>
      </c>
      <c r="B54251">
        <f>TEXT(54250, "[$-0E0000]yyyy-mm-dd")</f>
        <v/>
      </c>
      <c r="C54251" t="inlineStr">
        <is>
          <t>2048-06-02</t>
        </is>
      </c>
    </row>
    <row r="54252">
      <c r="A54252" s="1" t="n">
        <v>54251</v>
      </c>
      <c r="B54252">
        <f>TEXT(54251, "[$-0E0000]yyyy-mm-dd")</f>
        <v/>
      </c>
      <c r="C54252" t="inlineStr">
        <is>
          <t>2048-06-03</t>
        </is>
      </c>
    </row>
    <row r="54253">
      <c r="A54253" s="1" t="n">
        <v>54252</v>
      </c>
      <c r="B54253">
        <f>TEXT(54252, "[$-0E0000]yyyy-mm-dd")</f>
        <v/>
      </c>
      <c r="C54253" t="inlineStr">
        <is>
          <t>2048-06-04</t>
        </is>
      </c>
    </row>
    <row r="54254">
      <c r="A54254" s="1" t="n">
        <v>54253</v>
      </c>
      <c r="B54254">
        <f>TEXT(54253, "[$-0E0000]yyyy-mm-dd")</f>
        <v/>
      </c>
      <c r="C54254" t="inlineStr">
        <is>
          <t>2048-06-05</t>
        </is>
      </c>
    </row>
    <row r="54255">
      <c r="A54255" s="1" t="n">
        <v>54254</v>
      </c>
      <c r="B54255">
        <f>TEXT(54254, "[$-0E0000]yyyy-mm-dd")</f>
        <v/>
      </c>
      <c r="C54255" t="inlineStr">
        <is>
          <t>2048-06-06</t>
        </is>
      </c>
    </row>
    <row r="54256">
      <c r="A54256" s="1" t="n">
        <v>54255</v>
      </c>
      <c r="B54256">
        <f>TEXT(54255, "[$-0E0000]yyyy-mm-dd")</f>
        <v/>
      </c>
      <c r="C54256" t="inlineStr">
        <is>
          <t>2048-06-07</t>
        </is>
      </c>
    </row>
    <row r="54257">
      <c r="A54257" s="1" t="n">
        <v>54256</v>
      </c>
      <c r="B54257">
        <f>TEXT(54256, "[$-0E0000]yyyy-mm-dd")</f>
        <v/>
      </c>
      <c r="C54257" t="inlineStr">
        <is>
          <t>2048-06-08</t>
        </is>
      </c>
    </row>
    <row r="54258">
      <c r="A54258" s="1" t="n">
        <v>54257</v>
      </c>
      <c r="B54258">
        <f>TEXT(54257, "[$-0E0000]yyyy-mm-dd")</f>
        <v/>
      </c>
      <c r="C54258" t="inlineStr">
        <is>
          <t>2048-06-09</t>
        </is>
      </c>
    </row>
    <row r="54259">
      <c r="A54259" s="1" t="n">
        <v>54258</v>
      </c>
      <c r="B54259">
        <f>TEXT(54258, "[$-0E0000]yyyy-mm-dd")</f>
        <v/>
      </c>
      <c r="C54259" t="inlineStr">
        <is>
          <t>2048-06-10</t>
        </is>
      </c>
    </row>
    <row r="54260">
      <c r="A54260" s="1" t="n">
        <v>54259</v>
      </c>
      <c r="B54260">
        <f>TEXT(54259, "[$-0E0000]yyyy-mm-dd")</f>
        <v/>
      </c>
      <c r="C54260" t="inlineStr">
        <is>
          <t>2048-06-11</t>
        </is>
      </c>
    </row>
    <row r="54261">
      <c r="A54261" s="1" t="n">
        <v>54260</v>
      </c>
      <c r="B54261">
        <f>TEXT(54260, "[$-0E0000]yyyy-mm-dd")</f>
        <v/>
      </c>
      <c r="C54261" t="inlineStr">
        <is>
          <t>2048-06-12</t>
        </is>
      </c>
    </row>
    <row r="54262">
      <c r="A54262" s="1" t="n">
        <v>54261</v>
      </c>
      <c r="B54262">
        <f>TEXT(54261, "[$-0E0000]yyyy-mm-dd")</f>
        <v/>
      </c>
      <c r="C54262" t="inlineStr">
        <is>
          <t>2048-06-13</t>
        </is>
      </c>
    </row>
    <row r="54263">
      <c r="A54263" s="1" t="n">
        <v>54262</v>
      </c>
      <c r="B54263">
        <f>TEXT(54262, "[$-0E0000]yyyy-mm-dd")</f>
        <v/>
      </c>
      <c r="C54263" t="inlineStr">
        <is>
          <t>2048-06-14</t>
        </is>
      </c>
    </row>
    <row r="54264">
      <c r="A54264" s="1" t="n">
        <v>54263</v>
      </c>
      <c r="B54264">
        <f>TEXT(54263, "[$-0E0000]yyyy-mm-dd")</f>
        <v/>
      </c>
      <c r="C54264" t="inlineStr">
        <is>
          <t>2048-06-15</t>
        </is>
      </c>
    </row>
    <row r="54265">
      <c r="A54265" s="1" t="n">
        <v>54264</v>
      </c>
      <c r="B54265">
        <f>TEXT(54264, "[$-0E0000]yyyy-mm-dd")</f>
        <v/>
      </c>
      <c r="C54265" t="inlineStr">
        <is>
          <t>2048-06-16</t>
        </is>
      </c>
    </row>
    <row r="54266">
      <c r="A54266" s="1" t="n">
        <v>54265</v>
      </c>
      <c r="B54266">
        <f>TEXT(54265, "[$-0E0000]yyyy-mm-dd")</f>
        <v/>
      </c>
      <c r="C54266" t="inlineStr">
        <is>
          <t>2048-06-17</t>
        </is>
      </c>
    </row>
    <row r="54267">
      <c r="A54267" s="1" t="n">
        <v>54266</v>
      </c>
      <c r="B54267">
        <f>TEXT(54266, "[$-0E0000]yyyy-mm-dd")</f>
        <v/>
      </c>
      <c r="C54267" t="inlineStr">
        <is>
          <t>2048-06-18</t>
        </is>
      </c>
    </row>
    <row r="54268">
      <c r="A54268" s="1" t="n">
        <v>54267</v>
      </c>
      <c r="B54268">
        <f>TEXT(54267, "[$-0E0000]yyyy-mm-dd")</f>
        <v/>
      </c>
      <c r="C54268" t="inlineStr">
        <is>
          <t>2048-06-19</t>
        </is>
      </c>
    </row>
    <row r="54269">
      <c r="A54269" s="1" t="n">
        <v>54268</v>
      </c>
      <c r="B54269">
        <f>TEXT(54268, "[$-0E0000]yyyy-mm-dd")</f>
        <v/>
      </c>
      <c r="C54269" t="inlineStr">
        <is>
          <t>2048-06-20</t>
        </is>
      </c>
    </row>
    <row r="54270">
      <c r="A54270" s="1" t="n">
        <v>54269</v>
      </c>
      <c r="B54270">
        <f>TEXT(54269, "[$-0E0000]yyyy-mm-dd")</f>
        <v/>
      </c>
      <c r="C54270" t="inlineStr">
        <is>
          <t>2048-06-21</t>
        </is>
      </c>
    </row>
    <row r="54271">
      <c r="A54271" s="1" t="n">
        <v>54270</v>
      </c>
      <c r="B54271">
        <f>TEXT(54270, "[$-0E0000]yyyy-mm-dd")</f>
        <v/>
      </c>
      <c r="C54271" t="inlineStr">
        <is>
          <t>2048-06-22</t>
        </is>
      </c>
    </row>
    <row r="54272">
      <c r="A54272" s="1" t="n">
        <v>54271</v>
      </c>
      <c r="B54272">
        <f>TEXT(54271, "[$-0E0000]yyyy-mm-dd")</f>
        <v/>
      </c>
      <c r="C54272" t="inlineStr">
        <is>
          <t>2048-06-23</t>
        </is>
      </c>
    </row>
    <row r="54273">
      <c r="A54273" s="1" t="n">
        <v>54272</v>
      </c>
      <c r="B54273">
        <f>TEXT(54272, "[$-0E0000]yyyy-mm-dd")</f>
        <v/>
      </c>
      <c r="C54273" t="inlineStr">
        <is>
          <t>2048-06-24</t>
        </is>
      </c>
    </row>
    <row r="54274">
      <c r="A54274" s="1" t="n">
        <v>54273</v>
      </c>
      <c r="B54274">
        <f>TEXT(54273, "[$-0E0000]yyyy-mm-dd")</f>
        <v/>
      </c>
      <c r="C54274" t="inlineStr">
        <is>
          <t>2048-06-25</t>
        </is>
      </c>
    </row>
    <row r="54275">
      <c r="A54275" s="1" t="n">
        <v>54274</v>
      </c>
      <c r="B54275">
        <f>TEXT(54274, "[$-0E0000]yyyy-mm-dd")</f>
        <v/>
      </c>
      <c r="C54275" t="inlineStr">
        <is>
          <t>2048-06-26</t>
        </is>
      </c>
    </row>
    <row r="54276">
      <c r="A54276" s="1" t="n">
        <v>54275</v>
      </c>
      <c r="B54276">
        <f>TEXT(54275, "[$-0E0000]yyyy-mm-dd")</f>
        <v/>
      </c>
      <c r="C54276" t="inlineStr">
        <is>
          <t>2048-06-27</t>
        </is>
      </c>
    </row>
    <row r="54277">
      <c r="A54277" s="1" t="n">
        <v>54276</v>
      </c>
      <c r="B54277">
        <f>TEXT(54276, "[$-0E0000]yyyy-mm-dd")</f>
        <v/>
      </c>
      <c r="C54277" t="inlineStr">
        <is>
          <t>2048-06-28</t>
        </is>
      </c>
    </row>
    <row r="54278">
      <c r="A54278" s="1" t="n">
        <v>54277</v>
      </c>
      <c r="B54278">
        <f>TEXT(54277, "[$-0E0000]yyyy-mm-dd")</f>
        <v/>
      </c>
      <c r="C54278" t="inlineStr">
        <is>
          <t>2048-06-29</t>
        </is>
      </c>
    </row>
    <row r="54279">
      <c r="A54279" s="1" t="n">
        <v>54278</v>
      </c>
      <c r="B54279">
        <f>TEXT(54278, "[$-0E0000]yyyy-mm-dd")</f>
        <v/>
      </c>
      <c r="C54279" t="inlineStr">
        <is>
          <t>2048-06-30</t>
        </is>
      </c>
    </row>
    <row r="54280">
      <c r="A54280" s="1" t="n">
        <v>54279</v>
      </c>
      <c r="B54280">
        <f>TEXT(54279, "[$-0E0000]yyyy-mm-dd")</f>
        <v/>
      </c>
      <c r="C54280" t="inlineStr">
        <is>
          <t>2048-07-01</t>
        </is>
      </c>
    </row>
    <row r="54281">
      <c r="A54281" s="1" t="n">
        <v>54280</v>
      </c>
      <c r="B54281">
        <f>TEXT(54280, "[$-0E0000]yyyy-mm-dd")</f>
        <v/>
      </c>
      <c r="C54281" t="inlineStr">
        <is>
          <t>2048-07-02</t>
        </is>
      </c>
    </row>
    <row r="54282">
      <c r="A54282" s="1" t="n">
        <v>54281</v>
      </c>
      <c r="B54282">
        <f>TEXT(54281, "[$-0E0000]yyyy-mm-dd")</f>
        <v/>
      </c>
      <c r="C54282" t="inlineStr">
        <is>
          <t>2048-07-03</t>
        </is>
      </c>
    </row>
    <row r="54283">
      <c r="A54283" s="1" t="n">
        <v>54282</v>
      </c>
      <c r="B54283">
        <f>TEXT(54282, "[$-0E0000]yyyy-mm-dd")</f>
        <v/>
      </c>
      <c r="C54283" t="inlineStr">
        <is>
          <t>2048-07-04</t>
        </is>
      </c>
    </row>
    <row r="54284">
      <c r="A54284" s="1" t="n">
        <v>54283</v>
      </c>
      <c r="B54284">
        <f>TEXT(54283, "[$-0E0000]yyyy-mm-dd")</f>
        <v/>
      </c>
      <c r="C54284" t="inlineStr">
        <is>
          <t>2048-07-05</t>
        </is>
      </c>
    </row>
    <row r="54285">
      <c r="A54285" s="1" t="n">
        <v>54284</v>
      </c>
      <c r="B54285">
        <f>TEXT(54284, "[$-0E0000]yyyy-mm-dd")</f>
        <v/>
      </c>
      <c r="C54285" t="inlineStr">
        <is>
          <t>2048-07-06</t>
        </is>
      </c>
    </row>
    <row r="54286">
      <c r="A54286" s="1" t="n">
        <v>54285</v>
      </c>
      <c r="B54286">
        <f>TEXT(54285, "[$-0E0000]yyyy-mm-dd")</f>
        <v/>
      </c>
      <c r="C54286" t="inlineStr">
        <is>
          <t>2048-07-07</t>
        </is>
      </c>
    </row>
    <row r="54287">
      <c r="A54287" s="1" t="n">
        <v>54286</v>
      </c>
      <c r="B54287">
        <f>TEXT(54286, "[$-0E0000]yyyy-mm-dd")</f>
        <v/>
      </c>
      <c r="C54287" t="inlineStr">
        <is>
          <t>2048-07-08</t>
        </is>
      </c>
    </row>
    <row r="54288">
      <c r="A54288" s="1" t="n">
        <v>54287</v>
      </c>
      <c r="B54288">
        <f>TEXT(54287, "[$-0E0000]yyyy-mm-dd")</f>
        <v/>
      </c>
      <c r="C54288" t="inlineStr">
        <is>
          <t>2048-07-09</t>
        </is>
      </c>
    </row>
    <row r="54289">
      <c r="A54289" s="1" t="n">
        <v>54288</v>
      </c>
      <c r="B54289">
        <f>TEXT(54288, "[$-0E0000]yyyy-mm-dd")</f>
        <v/>
      </c>
      <c r="C54289" t="inlineStr">
        <is>
          <t>2048-07-10</t>
        </is>
      </c>
    </row>
    <row r="54290">
      <c r="A54290" s="1" t="n">
        <v>54289</v>
      </c>
      <c r="B54290">
        <f>TEXT(54289, "[$-0E0000]yyyy-mm-dd")</f>
        <v/>
      </c>
      <c r="C54290" t="inlineStr">
        <is>
          <t>2048-07-11</t>
        </is>
      </c>
    </row>
    <row r="54291">
      <c r="A54291" s="1" t="n">
        <v>54290</v>
      </c>
      <c r="B54291">
        <f>TEXT(54290, "[$-0E0000]yyyy-mm-dd")</f>
        <v/>
      </c>
      <c r="C54291" t="inlineStr">
        <is>
          <t>2048-07-12</t>
        </is>
      </c>
    </row>
    <row r="54292">
      <c r="A54292" s="1" t="n">
        <v>54291</v>
      </c>
      <c r="B54292">
        <f>TEXT(54291, "[$-0E0000]yyyy-mm-dd")</f>
        <v/>
      </c>
      <c r="C54292" t="inlineStr">
        <is>
          <t>2048-07-13</t>
        </is>
      </c>
    </row>
    <row r="54293">
      <c r="A54293" s="1" t="n">
        <v>54292</v>
      </c>
      <c r="B54293">
        <f>TEXT(54292, "[$-0E0000]yyyy-mm-dd")</f>
        <v/>
      </c>
      <c r="C54293" t="inlineStr">
        <is>
          <t>2048-07-14</t>
        </is>
      </c>
    </row>
    <row r="54294">
      <c r="A54294" s="1" t="n">
        <v>54293</v>
      </c>
      <c r="B54294">
        <f>TEXT(54293, "[$-0E0000]yyyy-mm-dd")</f>
        <v/>
      </c>
      <c r="C54294" t="inlineStr">
        <is>
          <t>2048-07-15</t>
        </is>
      </c>
    </row>
    <row r="54295">
      <c r="A54295" s="1" t="n">
        <v>54294</v>
      </c>
      <c r="B54295">
        <f>TEXT(54294, "[$-0E0000]yyyy-mm-dd")</f>
        <v/>
      </c>
      <c r="C54295" t="inlineStr">
        <is>
          <t>2048-07-16</t>
        </is>
      </c>
    </row>
    <row r="54296">
      <c r="A54296" s="1" t="n">
        <v>54295</v>
      </c>
      <c r="B54296">
        <f>TEXT(54295, "[$-0E0000]yyyy-mm-dd")</f>
        <v/>
      </c>
      <c r="C54296" t="inlineStr">
        <is>
          <t>2048-07-17</t>
        </is>
      </c>
    </row>
    <row r="54297">
      <c r="A54297" s="1" t="n">
        <v>54296</v>
      </c>
      <c r="B54297">
        <f>TEXT(54296, "[$-0E0000]yyyy-mm-dd")</f>
        <v/>
      </c>
      <c r="C54297" t="inlineStr">
        <is>
          <t>2048-07-18</t>
        </is>
      </c>
    </row>
    <row r="54298">
      <c r="A54298" s="1" t="n">
        <v>54297</v>
      </c>
      <c r="B54298">
        <f>TEXT(54297, "[$-0E0000]yyyy-mm-dd")</f>
        <v/>
      </c>
      <c r="C54298" t="inlineStr">
        <is>
          <t>2048-07-19</t>
        </is>
      </c>
    </row>
    <row r="54299">
      <c r="A54299" s="1" t="n">
        <v>54298</v>
      </c>
      <c r="B54299">
        <f>TEXT(54298, "[$-0E0000]yyyy-mm-dd")</f>
        <v/>
      </c>
      <c r="C54299" t="inlineStr">
        <is>
          <t>2048-07-20</t>
        </is>
      </c>
    </row>
    <row r="54300">
      <c r="A54300" s="1" t="n">
        <v>54299</v>
      </c>
      <c r="B54300">
        <f>TEXT(54299, "[$-0E0000]yyyy-mm-dd")</f>
        <v/>
      </c>
      <c r="C54300" t="inlineStr">
        <is>
          <t>2048-07-21</t>
        </is>
      </c>
    </row>
    <row r="54301">
      <c r="A54301" s="1" t="n">
        <v>54300</v>
      </c>
      <c r="B54301">
        <f>TEXT(54300, "[$-0E0000]yyyy-mm-dd")</f>
        <v/>
      </c>
      <c r="C54301" t="inlineStr">
        <is>
          <t>2048-07-22</t>
        </is>
      </c>
    </row>
    <row r="54302">
      <c r="A54302" s="1" t="n">
        <v>54301</v>
      </c>
      <c r="B54302">
        <f>TEXT(54301, "[$-0E0000]yyyy-mm-dd")</f>
        <v/>
      </c>
      <c r="C54302" t="inlineStr">
        <is>
          <t>2048-07-23</t>
        </is>
      </c>
    </row>
    <row r="54303">
      <c r="A54303" s="1" t="n">
        <v>54302</v>
      </c>
      <c r="B54303">
        <f>TEXT(54302, "[$-0E0000]yyyy-mm-dd")</f>
        <v/>
      </c>
      <c r="C54303" t="inlineStr">
        <is>
          <t>2048-07-24</t>
        </is>
      </c>
    </row>
    <row r="54304">
      <c r="A54304" s="1" t="n">
        <v>54303</v>
      </c>
      <c r="B54304">
        <f>TEXT(54303, "[$-0E0000]yyyy-mm-dd")</f>
        <v/>
      </c>
      <c r="C54304" t="inlineStr">
        <is>
          <t>2048-07-25</t>
        </is>
      </c>
    </row>
    <row r="54305">
      <c r="A54305" s="1" t="n">
        <v>54304</v>
      </c>
      <c r="B54305">
        <f>TEXT(54304, "[$-0E0000]yyyy-mm-dd")</f>
        <v/>
      </c>
      <c r="C54305" t="inlineStr">
        <is>
          <t>2048-07-26</t>
        </is>
      </c>
    </row>
    <row r="54306">
      <c r="A54306" s="1" t="n">
        <v>54305</v>
      </c>
      <c r="B54306">
        <f>TEXT(54305, "[$-0E0000]yyyy-mm-dd")</f>
        <v/>
      </c>
      <c r="C54306" t="inlineStr">
        <is>
          <t>2048-07-27</t>
        </is>
      </c>
    </row>
    <row r="54307">
      <c r="A54307" s="1" t="n">
        <v>54306</v>
      </c>
      <c r="B54307">
        <f>TEXT(54306, "[$-0E0000]yyyy-mm-dd")</f>
        <v/>
      </c>
      <c r="C54307" t="inlineStr">
        <is>
          <t>2048-07-28</t>
        </is>
      </c>
    </row>
    <row r="54308">
      <c r="A54308" s="1" t="n">
        <v>54307</v>
      </c>
      <c r="B54308">
        <f>TEXT(54307, "[$-0E0000]yyyy-mm-dd")</f>
        <v/>
      </c>
      <c r="C54308" t="inlineStr">
        <is>
          <t>2048-07-29</t>
        </is>
      </c>
    </row>
    <row r="54309">
      <c r="A54309" s="1" t="n">
        <v>54308</v>
      </c>
      <c r="B54309">
        <f>TEXT(54308, "[$-0E0000]yyyy-mm-dd")</f>
        <v/>
      </c>
      <c r="C54309" t="inlineStr">
        <is>
          <t>2048-08-01</t>
        </is>
      </c>
    </row>
    <row r="54310">
      <c r="A54310" s="1" t="n">
        <v>54309</v>
      </c>
      <c r="B54310">
        <f>TEXT(54309, "[$-0E0000]yyyy-mm-dd")</f>
        <v/>
      </c>
      <c r="C54310" t="inlineStr">
        <is>
          <t>2048-08-02</t>
        </is>
      </c>
    </row>
    <row r="54311">
      <c r="A54311" s="1" t="n">
        <v>54310</v>
      </c>
      <c r="B54311">
        <f>TEXT(54310, "[$-0E0000]yyyy-mm-dd")</f>
        <v/>
      </c>
      <c r="C54311" t="inlineStr">
        <is>
          <t>2048-08-03</t>
        </is>
      </c>
    </row>
    <row r="54312">
      <c r="A54312" s="1" t="n">
        <v>54311</v>
      </c>
      <c r="B54312">
        <f>TEXT(54311, "[$-0E0000]yyyy-mm-dd")</f>
        <v/>
      </c>
      <c r="C54312" t="inlineStr">
        <is>
          <t>2048-08-04</t>
        </is>
      </c>
    </row>
    <row r="54313">
      <c r="A54313" s="1" t="n">
        <v>54312</v>
      </c>
      <c r="B54313">
        <f>TEXT(54312, "[$-0E0000]yyyy-mm-dd")</f>
        <v/>
      </c>
      <c r="C54313" t="inlineStr">
        <is>
          <t>2048-08-05</t>
        </is>
      </c>
    </row>
    <row r="54314">
      <c r="A54314" s="1" t="n">
        <v>54313</v>
      </c>
      <c r="B54314">
        <f>TEXT(54313, "[$-0E0000]yyyy-mm-dd")</f>
        <v/>
      </c>
      <c r="C54314" t="inlineStr">
        <is>
          <t>2048-08-06</t>
        </is>
      </c>
    </row>
    <row r="54315">
      <c r="A54315" s="1" t="n">
        <v>54314</v>
      </c>
      <c r="B54315">
        <f>TEXT(54314, "[$-0E0000]yyyy-mm-dd")</f>
        <v/>
      </c>
      <c r="C54315" t="inlineStr">
        <is>
          <t>2048-08-07</t>
        </is>
      </c>
    </row>
    <row r="54316">
      <c r="A54316" s="1" t="n">
        <v>54315</v>
      </c>
      <c r="B54316">
        <f>TEXT(54315, "[$-0E0000]yyyy-mm-dd")</f>
        <v/>
      </c>
      <c r="C54316" t="inlineStr">
        <is>
          <t>2048-08-08</t>
        </is>
      </c>
    </row>
    <row r="54317">
      <c r="A54317" s="1" t="n">
        <v>54316</v>
      </c>
      <c r="B54317">
        <f>TEXT(54316, "[$-0E0000]yyyy-mm-dd")</f>
        <v/>
      </c>
      <c r="C54317" t="inlineStr">
        <is>
          <t>2048-08-09</t>
        </is>
      </c>
    </row>
    <row r="54318">
      <c r="A54318" s="1" t="n">
        <v>54317</v>
      </c>
      <c r="B54318">
        <f>TEXT(54317, "[$-0E0000]yyyy-mm-dd")</f>
        <v/>
      </c>
      <c r="C54318" t="inlineStr">
        <is>
          <t>2048-08-10</t>
        </is>
      </c>
    </row>
    <row r="54319">
      <c r="A54319" s="1" t="n">
        <v>54318</v>
      </c>
      <c r="B54319">
        <f>TEXT(54318, "[$-0E0000]yyyy-mm-dd")</f>
        <v/>
      </c>
      <c r="C54319" t="inlineStr">
        <is>
          <t>2048-08-11</t>
        </is>
      </c>
    </row>
    <row r="54320">
      <c r="A54320" s="1" t="n">
        <v>54319</v>
      </c>
      <c r="B54320">
        <f>TEXT(54319, "[$-0E0000]yyyy-mm-dd")</f>
        <v/>
      </c>
      <c r="C54320" t="inlineStr">
        <is>
          <t>2048-08-12</t>
        </is>
      </c>
    </row>
    <row r="54321">
      <c r="A54321" s="1" t="n">
        <v>54320</v>
      </c>
      <c r="B54321">
        <f>TEXT(54320, "[$-0E0000]yyyy-mm-dd")</f>
        <v/>
      </c>
      <c r="C54321" t="inlineStr">
        <is>
          <t>2048-08-13</t>
        </is>
      </c>
    </row>
    <row r="54322">
      <c r="A54322" s="1" t="n">
        <v>54321</v>
      </c>
      <c r="B54322">
        <f>TEXT(54321, "[$-0E0000]yyyy-mm-dd")</f>
        <v/>
      </c>
      <c r="C54322" t="inlineStr">
        <is>
          <t>2048-08-14</t>
        </is>
      </c>
    </row>
    <row r="54323">
      <c r="A54323" s="1" t="n">
        <v>54322</v>
      </c>
      <c r="B54323">
        <f>TEXT(54322, "[$-0E0000]yyyy-mm-dd")</f>
        <v/>
      </c>
      <c r="C54323" t="inlineStr">
        <is>
          <t>2048-08-15</t>
        </is>
      </c>
    </row>
    <row r="54324">
      <c r="A54324" s="1" t="n">
        <v>54323</v>
      </c>
      <c r="B54324">
        <f>TEXT(54323, "[$-0E0000]yyyy-mm-dd")</f>
        <v/>
      </c>
      <c r="C54324" t="inlineStr">
        <is>
          <t>2048-08-16</t>
        </is>
      </c>
    </row>
    <row r="54325">
      <c r="A54325" s="1" t="n">
        <v>54324</v>
      </c>
      <c r="B54325">
        <f>TEXT(54324, "[$-0E0000]yyyy-mm-dd")</f>
        <v/>
      </c>
      <c r="C54325" t="inlineStr">
        <is>
          <t>2048-08-17</t>
        </is>
      </c>
    </row>
    <row r="54326">
      <c r="A54326" s="1" t="n">
        <v>54325</v>
      </c>
      <c r="B54326">
        <f>TEXT(54325, "[$-0E0000]yyyy-mm-dd")</f>
        <v/>
      </c>
      <c r="C54326" t="inlineStr">
        <is>
          <t>2048-08-18</t>
        </is>
      </c>
    </row>
    <row r="54327">
      <c r="A54327" s="1" t="n">
        <v>54326</v>
      </c>
      <c r="B54327">
        <f>TEXT(54326, "[$-0E0000]yyyy-mm-dd")</f>
        <v/>
      </c>
      <c r="C54327" t="inlineStr">
        <is>
          <t>2048-08-19</t>
        </is>
      </c>
    </row>
    <row r="54328">
      <c r="A54328" s="1" t="n">
        <v>54327</v>
      </c>
      <c r="B54328">
        <f>TEXT(54327, "[$-0E0000]yyyy-mm-dd")</f>
        <v/>
      </c>
      <c r="C54328" t="inlineStr">
        <is>
          <t>2048-08-20</t>
        </is>
      </c>
    </row>
    <row r="54329">
      <c r="A54329" s="1" t="n">
        <v>54328</v>
      </c>
      <c r="B54329">
        <f>TEXT(54328, "[$-0E0000]yyyy-mm-dd")</f>
        <v/>
      </c>
      <c r="C54329" t="inlineStr">
        <is>
          <t>2048-08-21</t>
        </is>
      </c>
    </row>
    <row r="54330">
      <c r="A54330" s="1" t="n">
        <v>54329</v>
      </c>
      <c r="B54330">
        <f>TEXT(54329, "[$-0E0000]yyyy-mm-dd")</f>
        <v/>
      </c>
      <c r="C54330" t="inlineStr">
        <is>
          <t>2048-08-22</t>
        </is>
      </c>
    </row>
    <row r="54331">
      <c r="A54331" s="1" t="n">
        <v>54330</v>
      </c>
      <c r="B54331">
        <f>TEXT(54330, "[$-0E0000]yyyy-mm-dd")</f>
        <v/>
      </c>
      <c r="C54331" t="inlineStr">
        <is>
          <t>2048-08-23</t>
        </is>
      </c>
    </row>
    <row r="54332">
      <c r="A54332" s="1" t="n">
        <v>54331</v>
      </c>
      <c r="B54332">
        <f>TEXT(54331, "[$-0E0000]yyyy-mm-dd")</f>
        <v/>
      </c>
      <c r="C54332" t="inlineStr">
        <is>
          <t>2048-08-24</t>
        </is>
      </c>
    </row>
    <row r="54333">
      <c r="A54333" s="1" t="n">
        <v>54332</v>
      </c>
      <c r="B54333">
        <f>TEXT(54332, "[$-0E0000]yyyy-mm-dd")</f>
        <v/>
      </c>
      <c r="C54333" t="inlineStr">
        <is>
          <t>2048-08-25</t>
        </is>
      </c>
    </row>
    <row r="54334">
      <c r="A54334" s="1" t="n">
        <v>54333</v>
      </c>
      <c r="B54334">
        <f>TEXT(54333, "[$-0E0000]yyyy-mm-dd")</f>
        <v/>
      </c>
      <c r="C54334" t="inlineStr">
        <is>
          <t>2048-08-26</t>
        </is>
      </c>
    </row>
    <row r="54335">
      <c r="A54335" s="1" t="n">
        <v>54334</v>
      </c>
      <c r="B54335">
        <f>TEXT(54334, "[$-0E0000]yyyy-mm-dd")</f>
        <v/>
      </c>
      <c r="C54335" t="inlineStr">
        <is>
          <t>2048-08-27</t>
        </is>
      </c>
    </row>
    <row r="54336">
      <c r="A54336" s="1" t="n">
        <v>54335</v>
      </c>
      <c r="B54336">
        <f>TEXT(54335, "[$-0E0000]yyyy-mm-dd")</f>
        <v/>
      </c>
      <c r="C54336" t="inlineStr">
        <is>
          <t>2048-08-28</t>
        </is>
      </c>
    </row>
    <row r="54337">
      <c r="A54337" s="1" t="n">
        <v>54336</v>
      </c>
      <c r="B54337">
        <f>TEXT(54336, "[$-0E0000]yyyy-mm-dd")</f>
        <v/>
      </c>
      <c r="C54337" t="inlineStr">
        <is>
          <t>2048-08-29</t>
        </is>
      </c>
    </row>
    <row r="54338">
      <c r="A54338" s="1" t="n">
        <v>54337</v>
      </c>
      <c r="B54338">
        <f>TEXT(54337, "[$-0E0000]yyyy-mm-dd")</f>
        <v/>
      </c>
      <c r="C54338" t="inlineStr">
        <is>
          <t>2048-08-30</t>
        </is>
      </c>
    </row>
    <row r="54339">
      <c r="A54339" s="1" t="n">
        <v>54338</v>
      </c>
      <c r="B54339">
        <f>TEXT(54338, "[$-0E0000]yyyy-mm-dd")</f>
        <v/>
      </c>
      <c r="C54339" t="inlineStr">
        <is>
          <t>2048-09-01</t>
        </is>
      </c>
    </row>
    <row r="54340">
      <c r="A54340" s="1" t="n">
        <v>54339</v>
      </c>
      <c r="B54340">
        <f>TEXT(54339, "[$-0E0000]yyyy-mm-dd")</f>
        <v/>
      </c>
      <c r="C54340" t="inlineStr">
        <is>
          <t>2048-09-02</t>
        </is>
      </c>
    </row>
    <row r="54341">
      <c r="A54341" s="1" t="n">
        <v>54340</v>
      </c>
      <c r="B54341">
        <f>TEXT(54340, "[$-0E0000]yyyy-mm-dd")</f>
        <v/>
      </c>
      <c r="C54341" t="inlineStr">
        <is>
          <t>2048-09-03</t>
        </is>
      </c>
    </row>
    <row r="54342">
      <c r="A54342" s="1" t="n">
        <v>54341</v>
      </c>
      <c r="B54342">
        <f>TEXT(54341, "[$-0E0000]yyyy-mm-dd")</f>
        <v/>
      </c>
      <c r="C54342" t="inlineStr">
        <is>
          <t>2048-09-04</t>
        </is>
      </c>
    </row>
    <row r="54343">
      <c r="A54343" s="1" t="n">
        <v>54342</v>
      </c>
      <c r="B54343">
        <f>TEXT(54342, "[$-0E0000]yyyy-mm-dd")</f>
        <v/>
      </c>
      <c r="C54343" t="inlineStr">
        <is>
          <t>2048-09-05</t>
        </is>
      </c>
    </row>
    <row r="54344">
      <c r="A54344" s="1" t="n">
        <v>54343</v>
      </c>
      <c r="B54344">
        <f>TEXT(54343, "[$-0E0000]yyyy-mm-dd")</f>
        <v/>
      </c>
      <c r="C54344" t="inlineStr">
        <is>
          <t>2048-09-06</t>
        </is>
      </c>
    </row>
    <row r="54345">
      <c r="A54345" s="1" t="n">
        <v>54344</v>
      </c>
      <c r="B54345">
        <f>TEXT(54344, "[$-0E0000]yyyy-mm-dd")</f>
        <v/>
      </c>
      <c r="C54345" t="inlineStr">
        <is>
          <t>2048-09-07</t>
        </is>
      </c>
    </row>
    <row r="54346">
      <c r="A54346" s="1" t="n">
        <v>54345</v>
      </c>
      <c r="B54346">
        <f>TEXT(54345, "[$-0E0000]yyyy-mm-dd")</f>
        <v/>
      </c>
      <c r="C54346" t="inlineStr">
        <is>
          <t>2048-09-08</t>
        </is>
      </c>
    </row>
    <row r="54347">
      <c r="A54347" s="1" t="n">
        <v>54346</v>
      </c>
      <c r="B54347">
        <f>TEXT(54346, "[$-0E0000]yyyy-mm-dd")</f>
        <v/>
      </c>
      <c r="C54347" t="inlineStr">
        <is>
          <t>2048-09-09</t>
        </is>
      </c>
    </row>
    <row r="54348">
      <c r="A54348" s="1" t="n">
        <v>54347</v>
      </c>
      <c r="B54348">
        <f>TEXT(54347, "[$-0E0000]yyyy-mm-dd")</f>
        <v/>
      </c>
      <c r="C54348" t="inlineStr">
        <is>
          <t>2048-09-10</t>
        </is>
      </c>
    </row>
    <row r="54349">
      <c r="A54349" s="1" t="n">
        <v>54348</v>
      </c>
      <c r="B54349">
        <f>TEXT(54348, "[$-0E0000]yyyy-mm-dd")</f>
        <v/>
      </c>
      <c r="C54349" t="inlineStr">
        <is>
          <t>2048-09-11</t>
        </is>
      </c>
    </row>
    <row r="54350">
      <c r="A54350" s="1" t="n">
        <v>54349</v>
      </c>
      <c r="B54350">
        <f>TEXT(54349, "[$-0E0000]yyyy-mm-dd")</f>
        <v/>
      </c>
      <c r="C54350" t="inlineStr">
        <is>
          <t>2048-09-12</t>
        </is>
      </c>
    </row>
    <row r="54351">
      <c r="A54351" s="1" t="n">
        <v>54350</v>
      </c>
      <c r="B54351">
        <f>TEXT(54350, "[$-0E0000]yyyy-mm-dd")</f>
        <v/>
      </c>
      <c r="C54351" t="inlineStr">
        <is>
          <t>2048-09-13</t>
        </is>
      </c>
    </row>
    <row r="54352">
      <c r="A54352" s="1" t="n">
        <v>54351</v>
      </c>
      <c r="B54352">
        <f>TEXT(54351, "[$-0E0000]yyyy-mm-dd")</f>
        <v/>
      </c>
      <c r="C54352" t="inlineStr">
        <is>
          <t>2048-09-14</t>
        </is>
      </c>
    </row>
    <row r="54353">
      <c r="A54353" s="1" t="n">
        <v>54352</v>
      </c>
      <c r="B54353">
        <f>TEXT(54352, "[$-0E0000]yyyy-mm-dd")</f>
        <v/>
      </c>
      <c r="C54353" t="inlineStr">
        <is>
          <t>2048-09-15</t>
        </is>
      </c>
    </row>
    <row r="54354">
      <c r="A54354" s="1" t="n">
        <v>54353</v>
      </c>
      <c r="B54354">
        <f>TEXT(54353, "[$-0E0000]yyyy-mm-dd")</f>
        <v/>
      </c>
      <c r="C54354" t="inlineStr">
        <is>
          <t>2048-09-16</t>
        </is>
      </c>
    </row>
    <row r="54355">
      <c r="A54355" s="1" t="n">
        <v>54354</v>
      </c>
      <c r="B54355">
        <f>TEXT(54354, "[$-0E0000]yyyy-mm-dd")</f>
        <v/>
      </c>
      <c r="C54355" t="inlineStr">
        <is>
          <t>2048-09-17</t>
        </is>
      </c>
    </row>
    <row r="54356">
      <c r="A54356" s="1" t="n">
        <v>54355</v>
      </c>
      <c r="B54356">
        <f>TEXT(54355, "[$-0E0000]yyyy-mm-dd")</f>
        <v/>
      </c>
      <c r="C54356" t="inlineStr">
        <is>
          <t>2048-09-18</t>
        </is>
      </c>
    </row>
    <row r="54357">
      <c r="A54357" s="1" t="n">
        <v>54356</v>
      </c>
      <c r="B54357">
        <f>TEXT(54356, "[$-0E0000]yyyy-mm-dd")</f>
        <v/>
      </c>
      <c r="C54357" t="inlineStr">
        <is>
          <t>2048-09-19</t>
        </is>
      </c>
    </row>
    <row r="54358">
      <c r="A54358" s="1" t="n">
        <v>54357</v>
      </c>
      <c r="B54358">
        <f>TEXT(54357, "[$-0E0000]yyyy-mm-dd")</f>
        <v/>
      </c>
      <c r="C54358" t="inlineStr">
        <is>
          <t>2048-09-20</t>
        </is>
      </c>
    </row>
    <row r="54359">
      <c r="A54359" s="1" t="n">
        <v>54358</v>
      </c>
      <c r="B54359">
        <f>TEXT(54358, "[$-0E0000]yyyy-mm-dd")</f>
        <v/>
      </c>
      <c r="C54359" t="inlineStr">
        <is>
          <t>2048-09-21</t>
        </is>
      </c>
    </row>
    <row r="54360">
      <c r="A54360" s="1" t="n">
        <v>54359</v>
      </c>
      <c r="B54360">
        <f>TEXT(54359, "[$-0E0000]yyyy-mm-dd")</f>
        <v/>
      </c>
      <c r="C54360" t="inlineStr">
        <is>
          <t>2048-09-22</t>
        </is>
      </c>
    </row>
    <row r="54361">
      <c r="A54361" s="1" t="n">
        <v>54360</v>
      </c>
      <c r="B54361">
        <f>TEXT(54360, "[$-0E0000]yyyy-mm-dd")</f>
        <v/>
      </c>
      <c r="C54361" t="inlineStr">
        <is>
          <t>2048-09-23</t>
        </is>
      </c>
    </row>
    <row r="54362">
      <c r="A54362" s="1" t="n">
        <v>54361</v>
      </c>
      <c r="B54362">
        <f>TEXT(54361, "[$-0E0000]yyyy-mm-dd")</f>
        <v/>
      </c>
      <c r="C54362" t="inlineStr">
        <is>
          <t>2048-09-24</t>
        </is>
      </c>
    </row>
    <row r="54363">
      <c r="A54363" s="1" t="n">
        <v>54362</v>
      </c>
      <c r="B54363">
        <f>TEXT(54362, "[$-0E0000]yyyy-mm-dd")</f>
        <v/>
      </c>
      <c r="C54363" t="inlineStr">
        <is>
          <t>2048-09-25</t>
        </is>
      </c>
    </row>
    <row r="54364">
      <c r="A54364" s="1" t="n">
        <v>54363</v>
      </c>
      <c r="B54364">
        <f>TEXT(54363, "[$-0E0000]yyyy-mm-dd")</f>
        <v/>
      </c>
      <c r="C54364" t="inlineStr">
        <is>
          <t>2048-09-26</t>
        </is>
      </c>
    </row>
    <row r="54365">
      <c r="A54365" s="1" t="n">
        <v>54364</v>
      </c>
      <c r="B54365">
        <f>TEXT(54364, "[$-0E0000]yyyy-mm-dd")</f>
        <v/>
      </c>
      <c r="C54365" t="inlineStr">
        <is>
          <t>2048-09-27</t>
        </is>
      </c>
    </row>
    <row r="54366">
      <c r="A54366" s="1" t="n">
        <v>54365</v>
      </c>
      <c r="B54366">
        <f>TEXT(54365, "[$-0E0000]yyyy-mm-dd")</f>
        <v/>
      </c>
      <c r="C54366" t="inlineStr">
        <is>
          <t>2048-09-28</t>
        </is>
      </c>
    </row>
    <row r="54367">
      <c r="A54367" s="1" t="n">
        <v>54366</v>
      </c>
      <c r="B54367">
        <f>TEXT(54366, "[$-0E0000]yyyy-mm-dd")</f>
        <v/>
      </c>
      <c r="C54367" t="inlineStr">
        <is>
          <t>2048-09-29</t>
        </is>
      </c>
    </row>
    <row r="54368">
      <c r="A54368" s="1" t="n">
        <v>54367</v>
      </c>
      <c r="B54368">
        <f>TEXT(54367, "[$-0E0000]yyyy-mm-dd")</f>
        <v/>
      </c>
      <c r="C54368" t="inlineStr">
        <is>
          <t>2048-10-01</t>
        </is>
      </c>
    </row>
    <row r="54369">
      <c r="A54369" s="1" t="n">
        <v>54368</v>
      </c>
      <c r="B54369">
        <f>TEXT(54368, "[$-0E0000]yyyy-mm-dd")</f>
        <v/>
      </c>
      <c r="C54369" t="inlineStr">
        <is>
          <t>2048-10-02</t>
        </is>
      </c>
    </row>
    <row r="54370">
      <c r="A54370" s="1" t="n">
        <v>54369</v>
      </c>
      <c r="B54370">
        <f>TEXT(54369, "[$-0E0000]yyyy-mm-dd")</f>
        <v/>
      </c>
      <c r="C54370" t="inlineStr">
        <is>
          <t>2048-10-03</t>
        </is>
      </c>
    </row>
    <row r="54371">
      <c r="A54371" s="1" t="n">
        <v>54370</v>
      </c>
      <c r="B54371">
        <f>TEXT(54370, "[$-0E0000]yyyy-mm-dd")</f>
        <v/>
      </c>
      <c r="C54371" t="inlineStr">
        <is>
          <t>2048-10-04</t>
        </is>
      </c>
    </row>
    <row r="54372">
      <c r="A54372" s="1" t="n">
        <v>54371</v>
      </c>
      <c r="B54372">
        <f>TEXT(54371, "[$-0E0000]yyyy-mm-dd")</f>
        <v/>
      </c>
      <c r="C54372" t="inlineStr">
        <is>
          <t>2048-10-05</t>
        </is>
      </c>
    </row>
    <row r="54373">
      <c r="A54373" s="1" t="n">
        <v>54372</v>
      </c>
      <c r="B54373">
        <f>TEXT(54372, "[$-0E0000]yyyy-mm-dd")</f>
        <v/>
      </c>
      <c r="C54373" t="inlineStr">
        <is>
          <t>2048-10-06</t>
        </is>
      </c>
    </row>
    <row r="54374">
      <c r="A54374" s="1" t="n">
        <v>54373</v>
      </c>
      <c r="B54374">
        <f>TEXT(54373, "[$-0E0000]yyyy-mm-dd")</f>
        <v/>
      </c>
      <c r="C54374" t="inlineStr">
        <is>
          <t>2048-10-07</t>
        </is>
      </c>
    </row>
    <row r="54375">
      <c r="A54375" s="1" t="n">
        <v>54374</v>
      </c>
      <c r="B54375">
        <f>TEXT(54374, "[$-0E0000]yyyy-mm-dd")</f>
        <v/>
      </c>
      <c r="C54375" t="inlineStr">
        <is>
          <t>2048-10-08</t>
        </is>
      </c>
    </row>
    <row r="54376">
      <c r="A54376" s="1" t="n">
        <v>54375</v>
      </c>
      <c r="B54376">
        <f>TEXT(54375, "[$-0E0000]yyyy-mm-dd")</f>
        <v/>
      </c>
      <c r="C54376" t="inlineStr">
        <is>
          <t>2048-10-09</t>
        </is>
      </c>
    </row>
    <row r="54377">
      <c r="A54377" s="1" t="n">
        <v>54376</v>
      </c>
      <c r="B54377">
        <f>TEXT(54376, "[$-0E0000]yyyy-mm-dd")</f>
        <v/>
      </c>
      <c r="C54377" t="inlineStr">
        <is>
          <t>2048-10-10</t>
        </is>
      </c>
    </row>
    <row r="54378">
      <c r="A54378" s="1" t="n">
        <v>54377</v>
      </c>
      <c r="B54378">
        <f>TEXT(54377, "[$-0E0000]yyyy-mm-dd")</f>
        <v/>
      </c>
      <c r="C54378" t="inlineStr">
        <is>
          <t>2048-10-11</t>
        </is>
      </c>
    </row>
    <row r="54379">
      <c r="A54379" s="1" t="n">
        <v>54378</v>
      </c>
      <c r="B54379">
        <f>TEXT(54378, "[$-0E0000]yyyy-mm-dd")</f>
        <v/>
      </c>
      <c r="C54379" t="inlineStr">
        <is>
          <t>2048-10-12</t>
        </is>
      </c>
    </row>
    <row r="54380">
      <c r="A54380" s="1" t="n">
        <v>54379</v>
      </c>
      <c r="B54380">
        <f>TEXT(54379, "[$-0E0000]yyyy-mm-dd")</f>
        <v/>
      </c>
      <c r="C54380" t="inlineStr">
        <is>
          <t>2048-10-13</t>
        </is>
      </c>
    </row>
    <row r="54381">
      <c r="A54381" s="1" t="n">
        <v>54380</v>
      </c>
      <c r="B54381">
        <f>TEXT(54380, "[$-0E0000]yyyy-mm-dd")</f>
        <v/>
      </c>
      <c r="C54381" t="inlineStr">
        <is>
          <t>2048-10-14</t>
        </is>
      </c>
    </row>
    <row r="54382">
      <c r="A54382" s="1" t="n">
        <v>54381</v>
      </c>
      <c r="B54382">
        <f>TEXT(54381, "[$-0E0000]yyyy-mm-dd")</f>
        <v/>
      </c>
      <c r="C54382" t="inlineStr">
        <is>
          <t>2048-10-15</t>
        </is>
      </c>
    </row>
    <row r="54383">
      <c r="A54383" s="1" t="n">
        <v>54382</v>
      </c>
      <c r="B54383">
        <f>TEXT(54382, "[$-0E0000]yyyy-mm-dd")</f>
        <v/>
      </c>
      <c r="C54383" t="inlineStr">
        <is>
          <t>2048-10-16</t>
        </is>
      </c>
    </row>
    <row r="54384">
      <c r="A54384" s="1" t="n">
        <v>54383</v>
      </c>
      <c r="B54384">
        <f>TEXT(54383, "[$-0E0000]yyyy-mm-dd")</f>
        <v/>
      </c>
      <c r="C54384" t="inlineStr">
        <is>
          <t>2048-10-17</t>
        </is>
      </c>
    </row>
    <row r="54385">
      <c r="A54385" s="1" t="n">
        <v>54384</v>
      </c>
      <c r="B54385">
        <f>TEXT(54384, "[$-0E0000]yyyy-mm-dd")</f>
        <v/>
      </c>
      <c r="C54385" t="inlineStr">
        <is>
          <t>2048-10-18</t>
        </is>
      </c>
    </row>
    <row r="54386">
      <c r="A54386" s="1" t="n">
        <v>54385</v>
      </c>
      <c r="B54386">
        <f>TEXT(54385, "[$-0E0000]yyyy-mm-dd")</f>
        <v/>
      </c>
      <c r="C54386" t="inlineStr">
        <is>
          <t>2048-10-19</t>
        </is>
      </c>
    </row>
    <row r="54387">
      <c r="A54387" s="1" t="n">
        <v>54386</v>
      </c>
      <c r="B54387">
        <f>TEXT(54386, "[$-0E0000]yyyy-mm-dd")</f>
        <v/>
      </c>
      <c r="C54387" t="inlineStr">
        <is>
          <t>2048-10-20</t>
        </is>
      </c>
    </row>
    <row r="54388">
      <c r="A54388" s="1" t="n">
        <v>54387</v>
      </c>
      <c r="B54388">
        <f>TEXT(54387, "[$-0E0000]yyyy-mm-dd")</f>
        <v/>
      </c>
      <c r="C54388" t="inlineStr">
        <is>
          <t>2048-10-21</t>
        </is>
      </c>
    </row>
    <row r="54389">
      <c r="A54389" s="1" t="n">
        <v>54388</v>
      </c>
      <c r="B54389">
        <f>TEXT(54388, "[$-0E0000]yyyy-mm-dd")</f>
        <v/>
      </c>
      <c r="C54389" t="inlineStr">
        <is>
          <t>2048-10-22</t>
        </is>
      </c>
    </row>
    <row r="54390">
      <c r="A54390" s="1" t="n">
        <v>54389</v>
      </c>
      <c r="B54390">
        <f>TEXT(54389, "[$-0E0000]yyyy-mm-dd")</f>
        <v/>
      </c>
      <c r="C54390" t="inlineStr">
        <is>
          <t>2048-10-23</t>
        </is>
      </c>
    </row>
    <row r="54391">
      <c r="A54391" s="1" t="n">
        <v>54390</v>
      </c>
      <c r="B54391">
        <f>TEXT(54390, "[$-0E0000]yyyy-mm-dd")</f>
        <v/>
      </c>
      <c r="C54391" t="inlineStr">
        <is>
          <t>2048-10-24</t>
        </is>
      </c>
    </row>
    <row r="54392">
      <c r="A54392" s="1" t="n">
        <v>54391</v>
      </c>
      <c r="B54392">
        <f>TEXT(54391, "[$-0E0000]yyyy-mm-dd")</f>
        <v/>
      </c>
      <c r="C54392" t="inlineStr">
        <is>
          <t>2048-10-25</t>
        </is>
      </c>
    </row>
    <row r="54393">
      <c r="A54393" s="1" t="n">
        <v>54392</v>
      </c>
      <c r="B54393">
        <f>TEXT(54392, "[$-0E0000]yyyy-mm-dd")</f>
        <v/>
      </c>
      <c r="C54393" t="inlineStr">
        <is>
          <t>2048-10-26</t>
        </is>
      </c>
    </row>
    <row r="54394">
      <c r="A54394" s="1" t="n">
        <v>54393</v>
      </c>
      <c r="B54394">
        <f>TEXT(54393, "[$-0E0000]yyyy-mm-dd")</f>
        <v/>
      </c>
      <c r="C54394" t="inlineStr">
        <is>
          <t>2048-10-27</t>
        </is>
      </c>
    </row>
    <row r="54395">
      <c r="A54395" s="1" t="n">
        <v>54394</v>
      </c>
      <c r="B54395">
        <f>TEXT(54394, "[$-0E0000]yyyy-mm-dd")</f>
        <v/>
      </c>
      <c r="C54395" t="inlineStr">
        <is>
          <t>2048-10-28</t>
        </is>
      </c>
    </row>
    <row r="54396">
      <c r="A54396" s="1" t="n">
        <v>54395</v>
      </c>
      <c r="B54396">
        <f>TEXT(54395, "[$-0E0000]yyyy-mm-dd")</f>
        <v/>
      </c>
      <c r="C54396" t="inlineStr">
        <is>
          <t>2048-10-29</t>
        </is>
      </c>
    </row>
    <row r="54397">
      <c r="A54397" s="1" t="n">
        <v>54396</v>
      </c>
      <c r="B54397">
        <f>TEXT(54396, "[$-0E0000]yyyy-mm-dd")</f>
        <v/>
      </c>
      <c r="C54397" t="inlineStr">
        <is>
          <t>2048-11-01</t>
        </is>
      </c>
    </row>
    <row r="54398">
      <c r="A54398" s="1" t="n">
        <v>54397</v>
      </c>
      <c r="B54398">
        <f>TEXT(54397, "[$-0E0000]yyyy-mm-dd")</f>
        <v/>
      </c>
      <c r="C54398" t="inlineStr">
        <is>
          <t>2048-11-02</t>
        </is>
      </c>
    </row>
    <row r="54399">
      <c r="A54399" s="1" t="n">
        <v>54398</v>
      </c>
      <c r="B54399">
        <f>TEXT(54398, "[$-0E0000]yyyy-mm-dd")</f>
        <v/>
      </c>
      <c r="C54399" t="inlineStr">
        <is>
          <t>2048-11-03</t>
        </is>
      </c>
    </row>
    <row r="54400">
      <c r="A54400" s="1" t="n">
        <v>54399</v>
      </c>
      <c r="B54400">
        <f>TEXT(54399, "[$-0E0000]yyyy-mm-dd")</f>
        <v/>
      </c>
      <c r="C54400" t="inlineStr">
        <is>
          <t>2048-11-04</t>
        </is>
      </c>
    </row>
    <row r="54401">
      <c r="A54401" s="1" t="n">
        <v>54400</v>
      </c>
      <c r="B54401">
        <f>TEXT(54400, "[$-0E0000]yyyy-mm-dd")</f>
        <v/>
      </c>
      <c r="C54401" t="inlineStr">
        <is>
          <t>2048-11-05</t>
        </is>
      </c>
    </row>
    <row r="54402">
      <c r="A54402" s="1" t="n">
        <v>54401</v>
      </c>
      <c r="B54402">
        <f>TEXT(54401, "[$-0E0000]yyyy-mm-dd")</f>
        <v/>
      </c>
      <c r="C54402" t="inlineStr">
        <is>
          <t>2048-11-06</t>
        </is>
      </c>
    </row>
    <row r="54403">
      <c r="A54403" s="1" t="n">
        <v>54402</v>
      </c>
      <c r="B54403">
        <f>TEXT(54402, "[$-0E0000]yyyy-mm-dd")</f>
        <v/>
      </c>
      <c r="C54403" t="inlineStr">
        <is>
          <t>2048-11-07</t>
        </is>
      </c>
    </row>
    <row r="54404">
      <c r="A54404" s="1" t="n">
        <v>54403</v>
      </c>
      <c r="B54404">
        <f>TEXT(54403, "[$-0E0000]yyyy-mm-dd")</f>
        <v/>
      </c>
      <c r="C54404" t="inlineStr">
        <is>
          <t>2048-11-08</t>
        </is>
      </c>
    </row>
    <row r="54405">
      <c r="A54405" s="1" t="n">
        <v>54404</v>
      </c>
      <c r="B54405">
        <f>TEXT(54404, "[$-0E0000]yyyy-mm-dd")</f>
        <v/>
      </c>
      <c r="C54405" t="inlineStr">
        <is>
          <t>2048-11-09</t>
        </is>
      </c>
    </row>
    <row r="54406">
      <c r="A54406" s="1" t="n">
        <v>54405</v>
      </c>
      <c r="B54406">
        <f>TEXT(54405, "[$-0E0000]yyyy-mm-dd")</f>
        <v/>
      </c>
      <c r="C54406" t="inlineStr">
        <is>
          <t>2048-11-10</t>
        </is>
      </c>
    </row>
    <row r="54407">
      <c r="A54407" s="1" t="n">
        <v>54406</v>
      </c>
      <c r="B54407">
        <f>TEXT(54406, "[$-0E0000]yyyy-mm-dd")</f>
        <v/>
      </c>
      <c r="C54407" t="inlineStr">
        <is>
          <t>2048-11-11</t>
        </is>
      </c>
    </row>
    <row r="54408">
      <c r="A54408" s="1" t="n">
        <v>54407</v>
      </c>
      <c r="B54408">
        <f>TEXT(54407, "[$-0E0000]yyyy-mm-dd")</f>
        <v/>
      </c>
      <c r="C54408" t="inlineStr">
        <is>
          <t>2048-11-12</t>
        </is>
      </c>
    </row>
    <row r="54409">
      <c r="A54409" s="1" t="n">
        <v>54408</v>
      </c>
      <c r="B54409">
        <f>TEXT(54408, "[$-0E0000]yyyy-mm-dd")</f>
        <v/>
      </c>
      <c r="C54409" t="inlineStr">
        <is>
          <t>2048-11-13</t>
        </is>
      </c>
    </row>
    <row r="54410">
      <c r="A54410" s="1" t="n">
        <v>54409</v>
      </c>
      <c r="B54410">
        <f>TEXT(54409, "[$-0E0000]yyyy-mm-dd")</f>
        <v/>
      </c>
      <c r="C54410" t="inlineStr">
        <is>
          <t>2048-11-14</t>
        </is>
      </c>
    </row>
    <row r="54411">
      <c r="A54411" s="1" t="n">
        <v>54410</v>
      </c>
      <c r="B54411">
        <f>TEXT(54410, "[$-0E0000]yyyy-mm-dd")</f>
        <v/>
      </c>
      <c r="C54411" t="inlineStr">
        <is>
          <t>2048-11-15</t>
        </is>
      </c>
    </row>
    <row r="54412">
      <c r="A54412" s="1" t="n">
        <v>54411</v>
      </c>
      <c r="B54412">
        <f>TEXT(54411, "[$-0E0000]yyyy-mm-dd")</f>
        <v/>
      </c>
      <c r="C54412" t="inlineStr">
        <is>
          <t>2048-11-16</t>
        </is>
      </c>
    </row>
    <row r="54413">
      <c r="A54413" s="1" t="n">
        <v>54412</v>
      </c>
      <c r="B54413">
        <f>TEXT(54412, "[$-0E0000]yyyy-mm-dd")</f>
        <v/>
      </c>
      <c r="C54413" t="inlineStr">
        <is>
          <t>2048-11-17</t>
        </is>
      </c>
    </row>
    <row r="54414">
      <c r="A54414" s="1" t="n">
        <v>54413</v>
      </c>
      <c r="B54414">
        <f>TEXT(54413, "[$-0E0000]yyyy-mm-dd")</f>
        <v/>
      </c>
      <c r="C54414" t="inlineStr">
        <is>
          <t>2048-11-18</t>
        </is>
      </c>
    </row>
    <row r="54415">
      <c r="A54415" s="1" t="n">
        <v>54414</v>
      </c>
      <c r="B54415">
        <f>TEXT(54414, "[$-0E0000]yyyy-mm-dd")</f>
        <v/>
      </c>
      <c r="C54415" t="inlineStr">
        <is>
          <t>2048-11-19</t>
        </is>
      </c>
    </row>
    <row r="54416">
      <c r="A54416" s="1" t="n">
        <v>54415</v>
      </c>
      <c r="B54416">
        <f>TEXT(54415, "[$-0E0000]yyyy-mm-dd")</f>
        <v/>
      </c>
      <c r="C54416" t="inlineStr">
        <is>
          <t>2048-11-20</t>
        </is>
      </c>
    </row>
    <row r="54417">
      <c r="A54417" s="1" t="n">
        <v>54416</v>
      </c>
      <c r="B54417">
        <f>TEXT(54416, "[$-0E0000]yyyy-mm-dd")</f>
        <v/>
      </c>
      <c r="C54417" t="inlineStr">
        <is>
          <t>2048-11-21</t>
        </is>
      </c>
    </row>
    <row r="54418">
      <c r="A54418" s="1" t="n">
        <v>54417</v>
      </c>
      <c r="B54418">
        <f>TEXT(54417, "[$-0E0000]yyyy-mm-dd")</f>
        <v/>
      </c>
      <c r="C54418" t="inlineStr">
        <is>
          <t>2048-11-22</t>
        </is>
      </c>
    </row>
    <row r="54419">
      <c r="A54419" s="1" t="n">
        <v>54418</v>
      </c>
      <c r="B54419">
        <f>TEXT(54418, "[$-0E0000]yyyy-mm-dd")</f>
        <v/>
      </c>
      <c r="C54419" t="inlineStr">
        <is>
          <t>2048-11-23</t>
        </is>
      </c>
    </row>
    <row r="54420">
      <c r="A54420" s="1" t="n">
        <v>54419</v>
      </c>
      <c r="B54420">
        <f>TEXT(54419, "[$-0E0000]yyyy-mm-dd")</f>
        <v/>
      </c>
      <c r="C54420" t="inlineStr">
        <is>
          <t>2048-11-24</t>
        </is>
      </c>
    </row>
    <row r="54421">
      <c r="A54421" s="1" t="n">
        <v>54420</v>
      </c>
      <c r="B54421">
        <f>TEXT(54420, "[$-0E0000]yyyy-mm-dd")</f>
        <v/>
      </c>
      <c r="C54421" t="inlineStr">
        <is>
          <t>2048-11-25</t>
        </is>
      </c>
    </row>
    <row r="54422">
      <c r="A54422" s="1" t="n">
        <v>54421</v>
      </c>
      <c r="B54422">
        <f>TEXT(54421, "[$-0E0000]yyyy-mm-dd")</f>
        <v/>
      </c>
      <c r="C54422" t="inlineStr">
        <is>
          <t>2048-11-26</t>
        </is>
      </c>
    </row>
    <row r="54423">
      <c r="A54423" s="1" t="n">
        <v>54422</v>
      </c>
      <c r="B54423">
        <f>TEXT(54422, "[$-0E0000]yyyy-mm-dd")</f>
        <v/>
      </c>
      <c r="C54423" t="inlineStr">
        <is>
          <t>2048-11-27</t>
        </is>
      </c>
    </row>
    <row r="54424">
      <c r="A54424" s="1" t="n">
        <v>54423</v>
      </c>
      <c r="B54424">
        <f>TEXT(54423, "[$-0E0000]yyyy-mm-dd")</f>
        <v/>
      </c>
      <c r="C54424" t="inlineStr">
        <is>
          <t>2048-11-28</t>
        </is>
      </c>
    </row>
    <row r="54425">
      <c r="A54425" s="1" t="n">
        <v>54424</v>
      </c>
      <c r="B54425">
        <f>TEXT(54424, "[$-0E0000]yyyy-mm-dd")</f>
        <v/>
      </c>
      <c r="C54425" t="inlineStr">
        <is>
          <t>2048-11-29</t>
        </is>
      </c>
    </row>
    <row r="54426">
      <c r="A54426" s="1" t="n">
        <v>54425</v>
      </c>
      <c r="B54426">
        <f>TEXT(54425, "[$-0E0000]yyyy-mm-dd")</f>
        <v/>
      </c>
      <c r="C54426" t="inlineStr">
        <is>
          <t>2048-11-30</t>
        </is>
      </c>
    </row>
    <row r="54427">
      <c r="A54427" s="1" t="n">
        <v>54426</v>
      </c>
      <c r="B54427">
        <f>TEXT(54426, "[$-0E0000]yyyy-mm-dd")</f>
        <v/>
      </c>
      <c r="C54427" t="inlineStr">
        <is>
          <t>2048-12-01</t>
        </is>
      </c>
    </row>
    <row r="54428">
      <c r="A54428" s="1" t="n">
        <v>54427</v>
      </c>
      <c r="B54428">
        <f>TEXT(54427, "[$-0E0000]yyyy-mm-dd")</f>
        <v/>
      </c>
      <c r="C54428" t="inlineStr">
        <is>
          <t>2048-12-02</t>
        </is>
      </c>
    </row>
    <row r="54429">
      <c r="A54429" s="1" t="n">
        <v>54428</v>
      </c>
      <c r="B54429">
        <f>TEXT(54428, "[$-0E0000]yyyy-mm-dd")</f>
        <v/>
      </c>
      <c r="C54429" t="inlineStr">
        <is>
          <t>2048-12-03</t>
        </is>
      </c>
    </row>
    <row r="54430">
      <c r="A54430" s="1" t="n">
        <v>54429</v>
      </c>
      <c r="B54430">
        <f>TEXT(54429, "[$-0E0000]yyyy-mm-dd")</f>
        <v/>
      </c>
      <c r="C54430" t="inlineStr">
        <is>
          <t>2048-12-04</t>
        </is>
      </c>
    </row>
    <row r="54431">
      <c r="A54431" s="1" t="n">
        <v>54430</v>
      </c>
      <c r="B54431">
        <f>TEXT(54430, "[$-0E0000]yyyy-mm-dd")</f>
        <v/>
      </c>
      <c r="C54431" t="inlineStr">
        <is>
          <t>2048-12-05</t>
        </is>
      </c>
    </row>
    <row r="54432">
      <c r="A54432" s="1" t="n">
        <v>54431</v>
      </c>
      <c r="B54432">
        <f>TEXT(54431, "[$-0E0000]yyyy-mm-dd")</f>
        <v/>
      </c>
      <c r="C54432" t="inlineStr">
        <is>
          <t>2048-12-06</t>
        </is>
      </c>
    </row>
    <row r="54433">
      <c r="A54433" s="1" t="n">
        <v>54432</v>
      </c>
      <c r="B54433">
        <f>TEXT(54432, "[$-0E0000]yyyy-mm-dd")</f>
        <v/>
      </c>
      <c r="C54433" t="inlineStr">
        <is>
          <t>2048-12-07</t>
        </is>
      </c>
    </row>
    <row r="54434">
      <c r="A54434" s="1" t="n">
        <v>54433</v>
      </c>
      <c r="B54434">
        <f>TEXT(54433, "[$-0E0000]yyyy-mm-dd")</f>
        <v/>
      </c>
      <c r="C54434" t="inlineStr">
        <is>
          <t>2048-12-08</t>
        </is>
      </c>
    </row>
    <row r="54435">
      <c r="A54435" s="1" t="n">
        <v>54434</v>
      </c>
      <c r="B54435">
        <f>TEXT(54434, "[$-0E0000]yyyy-mm-dd")</f>
        <v/>
      </c>
      <c r="C54435" t="inlineStr">
        <is>
          <t>2048-12-09</t>
        </is>
      </c>
    </row>
    <row r="54436">
      <c r="A54436" s="1" t="n">
        <v>54435</v>
      </c>
      <c r="B54436">
        <f>TEXT(54435, "[$-0E0000]yyyy-mm-dd")</f>
        <v/>
      </c>
      <c r="C54436" t="inlineStr">
        <is>
          <t>2048-12-10</t>
        </is>
      </c>
    </row>
    <row r="54437">
      <c r="A54437" s="1" t="n">
        <v>54436</v>
      </c>
      <c r="B54437">
        <f>TEXT(54436, "[$-0E0000]yyyy-mm-dd")</f>
        <v/>
      </c>
      <c r="C54437" t="inlineStr">
        <is>
          <t>2048-12-11</t>
        </is>
      </c>
    </row>
    <row r="54438">
      <c r="A54438" s="1" t="n">
        <v>54437</v>
      </c>
      <c r="B54438">
        <f>TEXT(54437, "[$-0E0000]yyyy-mm-dd")</f>
        <v/>
      </c>
      <c r="C54438" t="inlineStr">
        <is>
          <t>2048-12-12</t>
        </is>
      </c>
    </row>
    <row r="54439">
      <c r="A54439" s="1" t="n">
        <v>54438</v>
      </c>
      <c r="B54439">
        <f>TEXT(54438, "[$-0E0000]yyyy-mm-dd")</f>
        <v/>
      </c>
      <c r="C54439" t="inlineStr">
        <is>
          <t>2048-12-13</t>
        </is>
      </c>
    </row>
    <row r="54440">
      <c r="A54440" s="1" t="n">
        <v>54439</v>
      </c>
      <c r="B54440">
        <f>TEXT(54439, "[$-0E0000]yyyy-mm-dd")</f>
        <v/>
      </c>
      <c r="C54440" t="inlineStr">
        <is>
          <t>2048-12-14</t>
        </is>
      </c>
    </row>
    <row r="54441">
      <c r="A54441" s="1" t="n">
        <v>54440</v>
      </c>
      <c r="B54441">
        <f>TEXT(54440, "[$-0E0000]yyyy-mm-dd")</f>
        <v/>
      </c>
      <c r="C54441" t="inlineStr">
        <is>
          <t>2048-12-15</t>
        </is>
      </c>
    </row>
    <row r="54442">
      <c r="A54442" s="1" t="n">
        <v>54441</v>
      </c>
      <c r="B54442">
        <f>TEXT(54441, "[$-0E0000]yyyy-mm-dd")</f>
        <v/>
      </c>
      <c r="C54442" t="inlineStr">
        <is>
          <t>2048-12-16</t>
        </is>
      </c>
    </row>
    <row r="54443">
      <c r="A54443" s="1" t="n">
        <v>54442</v>
      </c>
      <c r="B54443">
        <f>TEXT(54442, "[$-0E0000]yyyy-mm-dd")</f>
        <v/>
      </c>
      <c r="C54443" t="inlineStr">
        <is>
          <t>2048-12-17</t>
        </is>
      </c>
    </row>
    <row r="54444">
      <c r="A54444" s="1" t="n">
        <v>54443</v>
      </c>
      <c r="B54444">
        <f>TEXT(54443, "[$-0E0000]yyyy-mm-dd")</f>
        <v/>
      </c>
      <c r="C54444" t="inlineStr">
        <is>
          <t>2048-12-18</t>
        </is>
      </c>
    </row>
    <row r="54445">
      <c r="A54445" s="1" t="n">
        <v>54444</v>
      </c>
      <c r="B54445">
        <f>TEXT(54444, "[$-0E0000]yyyy-mm-dd")</f>
        <v/>
      </c>
      <c r="C54445" t="inlineStr">
        <is>
          <t>2048-12-19</t>
        </is>
      </c>
    </row>
    <row r="54446">
      <c r="A54446" s="1" t="n">
        <v>54445</v>
      </c>
      <c r="B54446">
        <f>TEXT(54445, "[$-0E0000]yyyy-mm-dd")</f>
        <v/>
      </c>
      <c r="C54446" t="inlineStr">
        <is>
          <t>2048-12-20</t>
        </is>
      </c>
    </row>
    <row r="54447">
      <c r="A54447" s="1" t="n">
        <v>54446</v>
      </c>
      <c r="B54447">
        <f>TEXT(54446, "[$-0E0000]yyyy-mm-dd")</f>
        <v/>
      </c>
      <c r="C54447" t="inlineStr">
        <is>
          <t>2048-12-21</t>
        </is>
      </c>
    </row>
    <row r="54448">
      <c r="A54448" s="1" t="n">
        <v>54447</v>
      </c>
      <c r="B54448">
        <f>TEXT(54447, "[$-0E0000]yyyy-mm-dd")</f>
        <v/>
      </c>
      <c r="C54448" t="inlineStr">
        <is>
          <t>2048-12-22</t>
        </is>
      </c>
    </row>
    <row r="54449">
      <c r="A54449" s="1" t="n">
        <v>54448</v>
      </c>
      <c r="B54449">
        <f>TEXT(54448, "[$-0E0000]yyyy-mm-dd")</f>
        <v/>
      </c>
      <c r="C54449" t="inlineStr">
        <is>
          <t>2048-12-23</t>
        </is>
      </c>
    </row>
    <row r="54450">
      <c r="A54450" s="1" t="n">
        <v>54449</v>
      </c>
      <c r="B54450">
        <f>TEXT(54449, "[$-0E0000]yyyy-mm-dd")</f>
        <v/>
      </c>
      <c r="C54450" t="inlineStr">
        <is>
          <t>2048-12-24</t>
        </is>
      </c>
    </row>
    <row r="54451">
      <c r="A54451" s="1" t="n">
        <v>54450</v>
      </c>
      <c r="B54451">
        <f>TEXT(54450, "[$-0E0000]yyyy-mm-dd")</f>
        <v/>
      </c>
      <c r="C54451" t="inlineStr">
        <is>
          <t>2048-12-25</t>
        </is>
      </c>
    </row>
    <row r="54452">
      <c r="A54452" s="1" t="n">
        <v>54451</v>
      </c>
      <c r="B54452">
        <f>TEXT(54451, "[$-0E0000]yyyy-mm-dd")</f>
        <v/>
      </c>
      <c r="C54452" t="inlineStr">
        <is>
          <t>2048-12-26</t>
        </is>
      </c>
    </row>
    <row r="54453">
      <c r="A54453" s="1" t="n">
        <v>54452</v>
      </c>
      <c r="B54453">
        <f>TEXT(54452, "[$-0E0000]yyyy-mm-dd")</f>
        <v/>
      </c>
      <c r="C54453" t="inlineStr">
        <is>
          <t>2048-12-27</t>
        </is>
      </c>
    </row>
    <row r="54454">
      <c r="A54454" s="1" t="n">
        <v>54453</v>
      </c>
      <c r="B54454">
        <f>TEXT(54453, "[$-0E0000]yyyy-mm-dd")</f>
        <v/>
      </c>
      <c r="C54454" t="inlineStr">
        <is>
          <t>2048-12-28</t>
        </is>
      </c>
    </row>
    <row r="54455">
      <c r="A54455" s="1" t="n">
        <v>54454</v>
      </c>
      <c r="B54455">
        <f>TEXT(54454, "[$-0E0000]yyyy-mm-dd")</f>
        <v/>
      </c>
      <c r="C54455" t="inlineStr">
        <is>
          <t>2048-12-29</t>
        </is>
      </c>
    </row>
    <row r="54456">
      <c r="A54456" s="1" t="n">
        <v>54455</v>
      </c>
      <c r="B54456">
        <f>TEXT(54455, "[$-0E0000]yyyy-mm-dd")</f>
        <v/>
      </c>
      <c r="C54456" t="inlineStr">
        <is>
          <t>2049-01-01</t>
        </is>
      </c>
    </row>
    <row r="54457">
      <c r="A54457" s="1" t="n">
        <v>54456</v>
      </c>
      <c r="B54457">
        <f>TEXT(54456, "[$-0E0000]yyyy-mm-dd")</f>
        <v/>
      </c>
      <c r="C54457" t="inlineStr">
        <is>
          <t>2049-01-02</t>
        </is>
      </c>
    </row>
    <row r="54458">
      <c r="A54458" s="1" t="n">
        <v>54457</v>
      </c>
      <c r="B54458">
        <f>TEXT(54457, "[$-0E0000]yyyy-mm-dd")</f>
        <v/>
      </c>
      <c r="C54458" t="inlineStr">
        <is>
          <t>2049-01-03</t>
        </is>
      </c>
    </row>
    <row r="54459">
      <c r="A54459" s="1" t="n">
        <v>54458</v>
      </c>
      <c r="B54459">
        <f>TEXT(54458, "[$-0E0000]yyyy-mm-dd")</f>
        <v/>
      </c>
      <c r="C54459" t="inlineStr">
        <is>
          <t>2049-01-04</t>
        </is>
      </c>
    </row>
    <row r="54460">
      <c r="A54460" s="1" t="n">
        <v>54459</v>
      </c>
      <c r="B54460">
        <f>TEXT(54459, "[$-0E0000]yyyy-mm-dd")</f>
        <v/>
      </c>
      <c r="C54460" t="inlineStr">
        <is>
          <t>2049-01-05</t>
        </is>
      </c>
    </row>
    <row r="54461">
      <c r="A54461" s="1" t="n">
        <v>54460</v>
      </c>
      <c r="B54461">
        <f>TEXT(54460, "[$-0E0000]yyyy-mm-dd")</f>
        <v/>
      </c>
      <c r="C54461" t="inlineStr">
        <is>
          <t>2049-01-06</t>
        </is>
      </c>
    </row>
    <row r="54462">
      <c r="A54462" s="1" t="n">
        <v>54461</v>
      </c>
      <c r="B54462">
        <f>TEXT(54461, "[$-0E0000]yyyy-mm-dd")</f>
        <v/>
      </c>
      <c r="C54462" t="inlineStr">
        <is>
          <t>2049-01-07</t>
        </is>
      </c>
    </row>
    <row r="54463">
      <c r="A54463" s="1" t="n">
        <v>54462</v>
      </c>
      <c r="B54463">
        <f>TEXT(54462, "[$-0E0000]yyyy-mm-dd")</f>
        <v/>
      </c>
      <c r="C54463" t="inlineStr">
        <is>
          <t>2049-01-08</t>
        </is>
      </c>
    </row>
    <row r="54464">
      <c r="A54464" s="1" t="n">
        <v>54463</v>
      </c>
      <c r="B54464">
        <f>TEXT(54463, "[$-0E0000]yyyy-mm-dd")</f>
        <v/>
      </c>
      <c r="C54464" t="inlineStr">
        <is>
          <t>2049-01-09</t>
        </is>
      </c>
    </row>
    <row r="54465">
      <c r="A54465" s="1" t="n">
        <v>54464</v>
      </c>
      <c r="B54465">
        <f>TEXT(54464, "[$-0E0000]yyyy-mm-dd")</f>
        <v/>
      </c>
      <c r="C54465" t="inlineStr">
        <is>
          <t>2049-01-10</t>
        </is>
      </c>
    </row>
    <row r="54466">
      <c r="A54466" s="1" t="n">
        <v>54465</v>
      </c>
      <c r="B54466">
        <f>TEXT(54465, "[$-0E0000]yyyy-mm-dd")</f>
        <v/>
      </c>
      <c r="C54466" t="inlineStr">
        <is>
          <t>2049-01-11</t>
        </is>
      </c>
    </row>
    <row r="54467">
      <c r="A54467" s="1" t="n">
        <v>54466</v>
      </c>
      <c r="B54467">
        <f>TEXT(54466, "[$-0E0000]yyyy-mm-dd")</f>
        <v/>
      </c>
      <c r="C54467" t="inlineStr">
        <is>
          <t>2049-01-12</t>
        </is>
      </c>
    </row>
    <row r="54468">
      <c r="A54468" s="1" t="n">
        <v>54467</v>
      </c>
      <c r="B54468">
        <f>TEXT(54467, "[$-0E0000]yyyy-mm-dd")</f>
        <v/>
      </c>
      <c r="C54468" t="inlineStr">
        <is>
          <t>2049-01-13</t>
        </is>
      </c>
    </row>
    <row r="54469">
      <c r="A54469" s="1" t="n">
        <v>54468</v>
      </c>
      <c r="B54469">
        <f>TEXT(54468, "[$-0E0000]yyyy-mm-dd")</f>
        <v/>
      </c>
      <c r="C54469" t="inlineStr">
        <is>
          <t>2049-01-14</t>
        </is>
      </c>
    </row>
    <row r="54470">
      <c r="A54470" s="1" t="n">
        <v>54469</v>
      </c>
      <c r="B54470">
        <f>TEXT(54469, "[$-0E0000]yyyy-mm-dd")</f>
        <v/>
      </c>
      <c r="C54470" t="inlineStr">
        <is>
          <t>2049-01-15</t>
        </is>
      </c>
    </row>
    <row r="54471">
      <c r="A54471" s="1" t="n">
        <v>54470</v>
      </c>
      <c r="B54471">
        <f>TEXT(54470, "[$-0E0000]yyyy-mm-dd")</f>
        <v/>
      </c>
      <c r="C54471" t="inlineStr">
        <is>
          <t>2049-01-16</t>
        </is>
      </c>
    </row>
    <row r="54472">
      <c r="A54472" s="1" t="n">
        <v>54471</v>
      </c>
      <c r="B54472">
        <f>TEXT(54471, "[$-0E0000]yyyy-mm-dd")</f>
        <v/>
      </c>
      <c r="C54472" t="inlineStr">
        <is>
          <t>2049-01-17</t>
        </is>
      </c>
    </row>
    <row r="54473">
      <c r="A54473" s="1" t="n">
        <v>54472</v>
      </c>
      <c r="B54473">
        <f>TEXT(54472, "[$-0E0000]yyyy-mm-dd")</f>
        <v/>
      </c>
      <c r="C54473" t="inlineStr">
        <is>
          <t>2049-01-18</t>
        </is>
      </c>
    </row>
    <row r="54474">
      <c r="A54474" s="1" t="n">
        <v>54473</v>
      </c>
      <c r="B54474">
        <f>TEXT(54473, "[$-0E0000]yyyy-mm-dd")</f>
        <v/>
      </c>
      <c r="C54474" t="inlineStr">
        <is>
          <t>2049-01-19</t>
        </is>
      </c>
    </row>
    <row r="54475">
      <c r="A54475" s="1" t="n">
        <v>54474</v>
      </c>
      <c r="B54475">
        <f>TEXT(54474, "[$-0E0000]yyyy-mm-dd")</f>
        <v/>
      </c>
      <c r="C54475" t="inlineStr">
        <is>
          <t>2049-01-20</t>
        </is>
      </c>
    </row>
    <row r="54476">
      <c r="A54476" s="1" t="n">
        <v>54475</v>
      </c>
      <c r="B54476">
        <f>TEXT(54475, "[$-0E0000]yyyy-mm-dd")</f>
        <v/>
      </c>
      <c r="C54476" t="inlineStr">
        <is>
          <t>2049-01-21</t>
        </is>
      </c>
    </row>
    <row r="54477">
      <c r="A54477" s="1" t="n">
        <v>54476</v>
      </c>
      <c r="B54477">
        <f>TEXT(54476, "[$-0E0000]yyyy-mm-dd")</f>
        <v/>
      </c>
      <c r="C54477" t="inlineStr">
        <is>
          <t>2049-01-22</t>
        </is>
      </c>
    </row>
    <row r="54478">
      <c r="A54478" s="1" t="n">
        <v>54477</v>
      </c>
      <c r="B54478">
        <f>TEXT(54477, "[$-0E0000]yyyy-mm-dd")</f>
        <v/>
      </c>
      <c r="C54478" t="inlineStr">
        <is>
          <t>2049-01-23</t>
        </is>
      </c>
    </row>
    <row r="54479">
      <c r="A54479" s="1" t="n">
        <v>54478</v>
      </c>
      <c r="B54479">
        <f>TEXT(54478, "[$-0E0000]yyyy-mm-dd")</f>
        <v/>
      </c>
      <c r="C54479" t="inlineStr">
        <is>
          <t>2049-01-24</t>
        </is>
      </c>
    </row>
    <row r="54480">
      <c r="A54480" s="1" t="n">
        <v>54479</v>
      </c>
      <c r="B54480">
        <f>TEXT(54479, "[$-0E0000]yyyy-mm-dd")</f>
        <v/>
      </c>
      <c r="C54480" t="inlineStr">
        <is>
          <t>2049-01-25</t>
        </is>
      </c>
    </row>
    <row r="54481">
      <c r="A54481" s="1" t="n">
        <v>54480</v>
      </c>
      <c r="B54481">
        <f>TEXT(54480, "[$-0E0000]yyyy-mm-dd")</f>
        <v/>
      </c>
      <c r="C54481" t="inlineStr">
        <is>
          <t>2049-01-26</t>
        </is>
      </c>
    </row>
    <row r="54482">
      <c r="A54482" s="1" t="n">
        <v>54481</v>
      </c>
      <c r="B54482">
        <f>TEXT(54481, "[$-0E0000]yyyy-mm-dd")</f>
        <v/>
      </c>
      <c r="C54482" t="inlineStr">
        <is>
          <t>2049-01-27</t>
        </is>
      </c>
    </row>
    <row r="54483">
      <c r="A54483" s="1" t="n">
        <v>54482</v>
      </c>
      <c r="B54483">
        <f>TEXT(54482, "[$-0E0000]yyyy-mm-dd")</f>
        <v/>
      </c>
      <c r="C54483" t="inlineStr">
        <is>
          <t>2049-01-28</t>
        </is>
      </c>
    </row>
    <row r="54484">
      <c r="A54484" s="1" t="n">
        <v>54483</v>
      </c>
      <c r="B54484">
        <f>TEXT(54483, "[$-0E0000]yyyy-mm-dd")</f>
        <v/>
      </c>
      <c r="C54484" t="inlineStr">
        <is>
          <t>2049-01-29</t>
        </is>
      </c>
    </row>
    <row r="54485">
      <c r="A54485" s="1" t="n">
        <v>54484</v>
      </c>
      <c r="B54485">
        <f>TEXT(54484, "[$-0E0000]yyyy-mm-dd")</f>
        <v/>
      </c>
      <c r="C54485" t="inlineStr">
        <is>
          <t>2049-01-30</t>
        </is>
      </c>
    </row>
    <row r="54486">
      <c r="A54486" s="1" t="n">
        <v>54485</v>
      </c>
      <c r="B54486">
        <f>TEXT(54485, "[$-0E0000]yyyy-mm-dd")</f>
        <v/>
      </c>
      <c r="C54486" t="inlineStr">
        <is>
          <t>2049-02-01</t>
        </is>
      </c>
    </row>
    <row r="54487">
      <c r="A54487" s="1" t="n">
        <v>54486</v>
      </c>
      <c r="B54487">
        <f>TEXT(54486, "[$-0E0000]yyyy-mm-dd")</f>
        <v/>
      </c>
      <c r="C54487" t="inlineStr">
        <is>
          <t>2049-02-02</t>
        </is>
      </c>
    </row>
    <row r="54488">
      <c r="A54488" s="1" t="n">
        <v>54487</v>
      </c>
      <c r="B54488">
        <f>TEXT(54487, "[$-0E0000]yyyy-mm-dd")</f>
        <v/>
      </c>
      <c r="C54488" t="inlineStr">
        <is>
          <t>2049-02-03</t>
        </is>
      </c>
    </row>
    <row r="54489">
      <c r="A54489" s="1" t="n">
        <v>54488</v>
      </c>
      <c r="B54489">
        <f>TEXT(54488, "[$-0E0000]yyyy-mm-dd")</f>
        <v/>
      </c>
      <c r="C54489" t="inlineStr">
        <is>
          <t>2049-02-04</t>
        </is>
      </c>
    </row>
    <row r="54490">
      <c r="A54490" s="1" t="n">
        <v>54489</v>
      </c>
      <c r="B54490">
        <f>TEXT(54489, "[$-0E0000]yyyy-mm-dd")</f>
        <v/>
      </c>
      <c r="C54490" t="inlineStr">
        <is>
          <t>2049-02-05</t>
        </is>
      </c>
    </row>
    <row r="54491">
      <c r="A54491" s="1" t="n">
        <v>54490</v>
      </c>
      <c r="B54491">
        <f>TEXT(54490, "[$-0E0000]yyyy-mm-dd")</f>
        <v/>
      </c>
      <c r="C54491" t="inlineStr">
        <is>
          <t>2049-02-06</t>
        </is>
      </c>
    </row>
    <row r="54492">
      <c r="A54492" s="1" t="n">
        <v>54491</v>
      </c>
      <c r="B54492">
        <f>TEXT(54491, "[$-0E0000]yyyy-mm-dd")</f>
        <v/>
      </c>
      <c r="C54492" t="inlineStr">
        <is>
          <t>2049-02-07</t>
        </is>
      </c>
    </row>
    <row r="54493">
      <c r="A54493" s="1" t="n">
        <v>54492</v>
      </c>
      <c r="B54493">
        <f>TEXT(54492, "[$-0E0000]yyyy-mm-dd")</f>
        <v/>
      </c>
      <c r="C54493" t="inlineStr">
        <is>
          <t>2049-02-08</t>
        </is>
      </c>
    </row>
    <row r="54494">
      <c r="A54494" s="1" t="n">
        <v>54493</v>
      </c>
      <c r="B54494">
        <f>TEXT(54493, "[$-0E0000]yyyy-mm-dd")</f>
        <v/>
      </c>
      <c r="C54494" t="inlineStr">
        <is>
          <t>2049-02-09</t>
        </is>
      </c>
    </row>
    <row r="54495">
      <c r="A54495" s="1" t="n">
        <v>54494</v>
      </c>
      <c r="B54495">
        <f>TEXT(54494, "[$-0E0000]yyyy-mm-dd")</f>
        <v/>
      </c>
      <c r="C54495" t="inlineStr">
        <is>
          <t>2049-02-10</t>
        </is>
      </c>
    </row>
    <row r="54496">
      <c r="A54496" s="1" t="n">
        <v>54495</v>
      </c>
      <c r="B54496">
        <f>TEXT(54495, "[$-0E0000]yyyy-mm-dd")</f>
        <v/>
      </c>
      <c r="C54496" t="inlineStr">
        <is>
          <t>2049-02-11</t>
        </is>
      </c>
    </row>
    <row r="54497">
      <c r="A54497" s="1" t="n">
        <v>54496</v>
      </c>
      <c r="B54497">
        <f>TEXT(54496, "[$-0E0000]yyyy-mm-dd")</f>
        <v/>
      </c>
      <c r="C54497" t="inlineStr">
        <is>
          <t>2049-02-12</t>
        </is>
      </c>
    </row>
    <row r="54498">
      <c r="A54498" s="1" t="n">
        <v>54497</v>
      </c>
      <c r="B54498">
        <f>TEXT(54497, "[$-0E0000]yyyy-mm-dd")</f>
        <v/>
      </c>
      <c r="C54498" t="inlineStr">
        <is>
          <t>2049-02-13</t>
        </is>
      </c>
    </row>
    <row r="54499">
      <c r="A54499" s="1" t="n">
        <v>54498</v>
      </c>
      <c r="B54499">
        <f>TEXT(54498, "[$-0E0000]yyyy-mm-dd")</f>
        <v/>
      </c>
      <c r="C54499" t="inlineStr">
        <is>
          <t>2049-02-14</t>
        </is>
      </c>
    </row>
    <row r="54500">
      <c r="A54500" s="1" t="n">
        <v>54499</v>
      </c>
      <c r="B54500">
        <f>TEXT(54499, "[$-0E0000]yyyy-mm-dd")</f>
        <v/>
      </c>
      <c r="C54500" t="inlineStr">
        <is>
          <t>2049-02-15</t>
        </is>
      </c>
    </row>
    <row r="54501">
      <c r="A54501" s="1" t="n">
        <v>54500</v>
      </c>
      <c r="B54501">
        <f>TEXT(54500, "[$-0E0000]yyyy-mm-dd")</f>
        <v/>
      </c>
      <c r="C54501" t="inlineStr">
        <is>
          <t>2049-02-16</t>
        </is>
      </c>
    </row>
    <row r="54502">
      <c r="A54502" s="1" t="n">
        <v>54501</v>
      </c>
      <c r="B54502">
        <f>TEXT(54501, "[$-0E0000]yyyy-mm-dd")</f>
        <v/>
      </c>
      <c r="C54502" t="inlineStr">
        <is>
          <t>2049-02-17</t>
        </is>
      </c>
    </row>
    <row r="54503">
      <c r="A54503" s="1" t="n">
        <v>54502</v>
      </c>
      <c r="B54503">
        <f>TEXT(54502, "[$-0E0000]yyyy-mm-dd")</f>
        <v/>
      </c>
      <c r="C54503" t="inlineStr">
        <is>
          <t>2049-02-18</t>
        </is>
      </c>
    </row>
    <row r="54504">
      <c r="A54504" s="1" t="n">
        <v>54503</v>
      </c>
      <c r="B54504">
        <f>TEXT(54503, "[$-0E0000]yyyy-mm-dd")</f>
        <v/>
      </c>
      <c r="C54504" t="inlineStr">
        <is>
          <t>2049-02-19</t>
        </is>
      </c>
    </row>
    <row r="54505">
      <c r="A54505" s="1" t="n">
        <v>54504</v>
      </c>
      <c r="B54505">
        <f>TEXT(54504, "[$-0E0000]yyyy-mm-dd")</f>
        <v/>
      </c>
      <c r="C54505" t="inlineStr">
        <is>
          <t>2049-02-20</t>
        </is>
      </c>
    </row>
    <row r="54506">
      <c r="A54506" s="1" t="n">
        <v>54505</v>
      </c>
      <c r="B54506">
        <f>TEXT(54505, "[$-0E0000]yyyy-mm-dd")</f>
        <v/>
      </c>
      <c r="C54506" t="inlineStr">
        <is>
          <t>2049-02-21</t>
        </is>
      </c>
    </row>
    <row r="54507">
      <c r="A54507" s="1" t="n">
        <v>54506</v>
      </c>
      <c r="B54507">
        <f>TEXT(54506, "[$-0E0000]yyyy-mm-dd")</f>
        <v/>
      </c>
      <c r="C54507" t="inlineStr">
        <is>
          <t>2049-02-22</t>
        </is>
      </c>
    </row>
    <row r="54508">
      <c r="A54508" s="1" t="n">
        <v>54507</v>
      </c>
      <c r="B54508">
        <f>TEXT(54507, "[$-0E0000]yyyy-mm-dd")</f>
        <v/>
      </c>
      <c r="C54508" t="inlineStr">
        <is>
          <t>2049-02-23</t>
        </is>
      </c>
    </row>
    <row r="54509">
      <c r="A54509" s="1" t="n">
        <v>54508</v>
      </c>
      <c r="B54509">
        <f>TEXT(54508, "[$-0E0000]yyyy-mm-dd")</f>
        <v/>
      </c>
      <c r="C54509" t="inlineStr">
        <is>
          <t>2049-02-24</t>
        </is>
      </c>
    </row>
    <row r="54510">
      <c r="A54510" s="1" t="n">
        <v>54509</v>
      </c>
      <c r="B54510">
        <f>TEXT(54509, "[$-0E0000]yyyy-mm-dd")</f>
        <v/>
      </c>
      <c r="C54510" t="inlineStr">
        <is>
          <t>2049-02-25</t>
        </is>
      </c>
    </row>
    <row r="54511">
      <c r="A54511" s="1" t="n">
        <v>54510</v>
      </c>
      <c r="B54511">
        <f>TEXT(54510, "[$-0E0000]yyyy-mm-dd")</f>
        <v/>
      </c>
      <c r="C54511" t="inlineStr">
        <is>
          <t>2049-02-26</t>
        </is>
      </c>
    </row>
    <row r="54512">
      <c r="A54512" s="1" t="n">
        <v>54511</v>
      </c>
      <c r="B54512">
        <f>TEXT(54511, "[$-0E0000]yyyy-mm-dd")</f>
        <v/>
      </c>
      <c r="C54512" t="inlineStr">
        <is>
          <t>2049-02-27</t>
        </is>
      </c>
    </row>
    <row r="54513">
      <c r="A54513" s="1" t="n">
        <v>54512</v>
      </c>
      <c r="B54513">
        <f>TEXT(54512, "[$-0E0000]yyyy-mm-dd")</f>
        <v/>
      </c>
      <c r="C54513" t="inlineStr">
        <is>
          <t>2049-02-28</t>
        </is>
      </c>
    </row>
    <row r="54514">
      <c r="A54514" s="1" t="n">
        <v>54513</v>
      </c>
      <c r="B54514">
        <f>TEXT(54513, "[$-0E0000]yyyy-mm-dd")</f>
        <v/>
      </c>
      <c r="C54514" t="inlineStr">
        <is>
          <t>2049-02-29</t>
        </is>
      </c>
    </row>
    <row r="54515">
      <c r="A54515" s="1" t="n">
        <v>54514</v>
      </c>
      <c r="B54515">
        <f>TEXT(54514, "[$-0E0000]yyyy-mm-dd")</f>
        <v/>
      </c>
      <c r="C54515" t="inlineStr">
        <is>
          <t>2049-03-01</t>
        </is>
      </c>
    </row>
    <row r="54516">
      <c r="A54516" s="1" t="n">
        <v>54515</v>
      </c>
      <c r="B54516">
        <f>TEXT(54515, "[$-0E0000]yyyy-mm-dd")</f>
        <v/>
      </c>
      <c r="C54516" t="inlineStr">
        <is>
          <t>2049-03-02</t>
        </is>
      </c>
    </row>
    <row r="54517">
      <c r="A54517" s="1" t="n">
        <v>54516</v>
      </c>
      <c r="B54517">
        <f>TEXT(54516, "[$-0E0000]yyyy-mm-dd")</f>
        <v/>
      </c>
      <c r="C54517" t="inlineStr">
        <is>
          <t>2049-03-03</t>
        </is>
      </c>
    </row>
    <row r="54518">
      <c r="A54518" s="1" t="n">
        <v>54517</v>
      </c>
      <c r="B54518">
        <f>TEXT(54517, "[$-0E0000]yyyy-mm-dd")</f>
        <v/>
      </c>
      <c r="C54518" t="inlineStr">
        <is>
          <t>2049-03-04</t>
        </is>
      </c>
    </row>
    <row r="54519">
      <c r="A54519" s="1" t="n">
        <v>54518</v>
      </c>
      <c r="B54519">
        <f>TEXT(54518, "[$-0E0000]yyyy-mm-dd")</f>
        <v/>
      </c>
      <c r="C54519" t="inlineStr">
        <is>
          <t>2049-03-05</t>
        </is>
      </c>
    </row>
    <row r="54520">
      <c r="A54520" s="1" t="n">
        <v>54519</v>
      </c>
      <c r="B54520">
        <f>TEXT(54519, "[$-0E0000]yyyy-mm-dd")</f>
        <v/>
      </c>
      <c r="C54520" t="inlineStr">
        <is>
          <t>2049-03-06</t>
        </is>
      </c>
    </row>
    <row r="54521">
      <c r="A54521" s="1" t="n">
        <v>54520</v>
      </c>
      <c r="B54521">
        <f>TEXT(54520, "[$-0E0000]yyyy-mm-dd")</f>
        <v/>
      </c>
      <c r="C54521" t="inlineStr">
        <is>
          <t>2049-03-07</t>
        </is>
      </c>
    </row>
    <row r="54522">
      <c r="A54522" s="1" t="n">
        <v>54521</v>
      </c>
      <c r="B54522">
        <f>TEXT(54521, "[$-0E0000]yyyy-mm-dd")</f>
        <v/>
      </c>
      <c r="C54522" t="inlineStr">
        <is>
          <t>2049-03-08</t>
        </is>
      </c>
    </row>
    <row r="54523">
      <c r="A54523" s="1" t="n">
        <v>54522</v>
      </c>
      <c r="B54523">
        <f>TEXT(54522, "[$-0E0000]yyyy-mm-dd")</f>
        <v/>
      </c>
      <c r="C54523" t="inlineStr">
        <is>
          <t>2049-03-09</t>
        </is>
      </c>
    </row>
    <row r="54524">
      <c r="A54524" s="1" t="n">
        <v>54523</v>
      </c>
      <c r="B54524">
        <f>TEXT(54523, "[$-0E0000]yyyy-mm-dd")</f>
        <v/>
      </c>
      <c r="C54524" t="inlineStr">
        <is>
          <t>2049-03-10</t>
        </is>
      </c>
    </row>
    <row r="54525">
      <c r="A54525" s="1" t="n">
        <v>54524</v>
      </c>
      <c r="B54525">
        <f>TEXT(54524, "[$-0E0000]yyyy-mm-dd")</f>
        <v/>
      </c>
      <c r="C54525" t="inlineStr">
        <is>
          <t>2049-03-11</t>
        </is>
      </c>
    </row>
    <row r="54526">
      <c r="A54526" s="1" t="n">
        <v>54525</v>
      </c>
      <c r="B54526">
        <f>TEXT(54525, "[$-0E0000]yyyy-mm-dd")</f>
        <v/>
      </c>
      <c r="C54526" t="inlineStr">
        <is>
          <t>2049-03-12</t>
        </is>
      </c>
    </row>
    <row r="54527">
      <c r="A54527" s="1" t="n">
        <v>54526</v>
      </c>
      <c r="B54527">
        <f>TEXT(54526, "[$-0E0000]yyyy-mm-dd")</f>
        <v/>
      </c>
      <c r="C54527" t="inlineStr">
        <is>
          <t>2049-03-13</t>
        </is>
      </c>
    </row>
    <row r="54528">
      <c r="A54528" s="1" t="n">
        <v>54527</v>
      </c>
      <c r="B54528">
        <f>TEXT(54527, "[$-0E0000]yyyy-mm-dd")</f>
        <v/>
      </c>
      <c r="C54528" t="inlineStr">
        <is>
          <t>2049-03-14</t>
        </is>
      </c>
    </row>
    <row r="54529">
      <c r="A54529" s="1" t="n">
        <v>54528</v>
      </c>
      <c r="B54529">
        <f>TEXT(54528, "[$-0E0000]yyyy-mm-dd")</f>
        <v/>
      </c>
      <c r="C54529" t="inlineStr">
        <is>
          <t>2049-03-15</t>
        </is>
      </c>
    </row>
    <row r="54530">
      <c r="A54530" s="1" t="n">
        <v>54529</v>
      </c>
      <c r="B54530">
        <f>TEXT(54529, "[$-0E0000]yyyy-mm-dd")</f>
        <v/>
      </c>
      <c r="C54530" t="inlineStr">
        <is>
          <t>2049-03-16</t>
        </is>
      </c>
    </row>
    <row r="54531">
      <c r="A54531" s="1" t="n">
        <v>54530</v>
      </c>
      <c r="B54531">
        <f>TEXT(54530, "[$-0E0000]yyyy-mm-dd")</f>
        <v/>
      </c>
      <c r="C54531" t="inlineStr">
        <is>
          <t>2049-03-17</t>
        </is>
      </c>
    </row>
    <row r="54532">
      <c r="A54532" s="1" t="n">
        <v>54531</v>
      </c>
      <c r="B54532">
        <f>TEXT(54531, "[$-0E0000]yyyy-mm-dd")</f>
        <v/>
      </c>
      <c r="C54532" t="inlineStr">
        <is>
          <t>2049-03-18</t>
        </is>
      </c>
    </row>
    <row r="54533">
      <c r="A54533" s="1" t="n">
        <v>54532</v>
      </c>
      <c r="B54533">
        <f>TEXT(54532, "[$-0E0000]yyyy-mm-dd")</f>
        <v/>
      </c>
      <c r="C54533" t="inlineStr">
        <is>
          <t>2049-03-19</t>
        </is>
      </c>
    </row>
    <row r="54534">
      <c r="A54534" s="1" t="n">
        <v>54533</v>
      </c>
      <c r="B54534">
        <f>TEXT(54533, "[$-0E0000]yyyy-mm-dd")</f>
        <v/>
      </c>
      <c r="C54534" t="inlineStr">
        <is>
          <t>2049-03-20</t>
        </is>
      </c>
    </row>
    <row r="54535">
      <c r="A54535" s="1" t="n">
        <v>54534</v>
      </c>
      <c r="B54535">
        <f>TEXT(54534, "[$-0E0000]yyyy-mm-dd")</f>
        <v/>
      </c>
      <c r="C54535" t="inlineStr">
        <is>
          <t>2049-03-21</t>
        </is>
      </c>
    </row>
    <row r="54536">
      <c r="A54536" s="1" t="n">
        <v>54535</v>
      </c>
      <c r="B54536">
        <f>TEXT(54535, "[$-0E0000]yyyy-mm-dd")</f>
        <v/>
      </c>
      <c r="C54536" t="inlineStr">
        <is>
          <t>2049-03-22</t>
        </is>
      </c>
    </row>
    <row r="54537">
      <c r="A54537" s="1" t="n">
        <v>54536</v>
      </c>
      <c r="B54537">
        <f>TEXT(54536, "[$-0E0000]yyyy-mm-dd")</f>
        <v/>
      </c>
      <c r="C54537" t="inlineStr">
        <is>
          <t>2049-03-23</t>
        </is>
      </c>
    </row>
    <row r="54538">
      <c r="A54538" s="1" t="n">
        <v>54537</v>
      </c>
      <c r="B54538">
        <f>TEXT(54537, "[$-0E0000]yyyy-mm-dd")</f>
        <v/>
      </c>
      <c r="C54538" t="inlineStr">
        <is>
          <t>2049-03-24</t>
        </is>
      </c>
    </row>
    <row r="54539">
      <c r="A54539" s="1" t="n">
        <v>54538</v>
      </c>
      <c r="B54539">
        <f>TEXT(54538, "[$-0E0000]yyyy-mm-dd")</f>
        <v/>
      </c>
      <c r="C54539" t="inlineStr">
        <is>
          <t>2049-03-25</t>
        </is>
      </c>
    </row>
    <row r="54540">
      <c r="A54540" s="1" t="n">
        <v>54539</v>
      </c>
      <c r="B54540">
        <f>TEXT(54539, "[$-0E0000]yyyy-mm-dd")</f>
        <v/>
      </c>
      <c r="C54540" t="inlineStr">
        <is>
          <t>2049-03-26</t>
        </is>
      </c>
    </row>
    <row r="54541">
      <c r="A54541" s="1" t="n">
        <v>54540</v>
      </c>
      <c r="B54541">
        <f>TEXT(54540, "[$-0E0000]yyyy-mm-dd")</f>
        <v/>
      </c>
      <c r="C54541" t="inlineStr">
        <is>
          <t>2049-03-27</t>
        </is>
      </c>
    </row>
    <row r="54542">
      <c r="A54542" s="1" t="n">
        <v>54541</v>
      </c>
      <c r="B54542">
        <f>TEXT(54541, "[$-0E0000]yyyy-mm-dd")</f>
        <v/>
      </c>
      <c r="C54542" t="inlineStr">
        <is>
          <t>2049-03-28</t>
        </is>
      </c>
    </row>
    <row r="54543">
      <c r="A54543" s="1" t="n">
        <v>54542</v>
      </c>
      <c r="B54543">
        <f>TEXT(54542, "[$-0E0000]yyyy-mm-dd")</f>
        <v/>
      </c>
      <c r="C54543" t="inlineStr">
        <is>
          <t>2049-03-29</t>
        </is>
      </c>
    </row>
    <row r="54544">
      <c r="A54544" s="1" t="n">
        <v>54543</v>
      </c>
      <c r="B54544">
        <f>TEXT(54543, "[$-0E0000]yyyy-mm-dd")</f>
        <v/>
      </c>
      <c r="C54544" t="inlineStr">
        <is>
          <t>2049-03-30</t>
        </is>
      </c>
    </row>
    <row r="54545">
      <c r="A54545" s="1" t="n">
        <v>54544</v>
      </c>
      <c r="B54545">
        <f>TEXT(54544, "[$-0E0000]yyyy-mm-dd")</f>
        <v/>
      </c>
      <c r="C54545" t="inlineStr">
        <is>
          <t>2049-04-01</t>
        </is>
      </c>
    </row>
    <row r="54546">
      <c r="A54546" s="1" t="n">
        <v>54545</v>
      </c>
      <c r="B54546">
        <f>TEXT(54545, "[$-0E0000]yyyy-mm-dd")</f>
        <v/>
      </c>
      <c r="C54546" t="inlineStr">
        <is>
          <t>2049-04-02</t>
        </is>
      </c>
    </row>
    <row r="54547">
      <c r="A54547" s="1" t="n">
        <v>54546</v>
      </c>
      <c r="B54547">
        <f>TEXT(54546, "[$-0E0000]yyyy-mm-dd")</f>
        <v/>
      </c>
      <c r="C54547" t="inlineStr">
        <is>
          <t>2049-04-03</t>
        </is>
      </c>
    </row>
    <row r="54548">
      <c r="A54548" s="1" t="n">
        <v>54547</v>
      </c>
      <c r="B54548">
        <f>TEXT(54547, "[$-0E0000]yyyy-mm-dd")</f>
        <v/>
      </c>
      <c r="C54548" t="inlineStr">
        <is>
          <t>2049-04-04</t>
        </is>
      </c>
    </row>
    <row r="54549">
      <c r="A54549" s="1" t="n">
        <v>54548</v>
      </c>
      <c r="B54549">
        <f>TEXT(54548, "[$-0E0000]yyyy-mm-dd")</f>
        <v/>
      </c>
      <c r="C54549" t="inlineStr">
        <is>
          <t>2049-04-05</t>
        </is>
      </c>
    </row>
    <row r="54550">
      <c r="A54550" s="1" t="n">
        <v>54549</v>
      </c>
      <c r="B54550">
        <f>TEXT(54549, "[$-0E0000]yyyy-mm-dd")</f>
        <v/>
      </c>
      <c r="C54550" t="inlineStr">
        <is>
          <t>2049-04-06</t>
        </is>
      </c>
    </row>
    <row r="54551">
      <c r="A54551" s="1" t="n">
        <v>54550</v>
      </c>
      <c r="B54551">
        <f>TEXT(54550, "[$-0E0000]yyyy-mm-dd")</f>
        <v/>
      </c>
      <c r="C54551" t="inlineStr">
        <is>
          <t>2049-04-07</t>
        </is>
      </c>
    </row>
    <row r="54552">
      <c r="A54552" s="1" t="n">
        <v>54551</v>
      </c>
      <c r="B54552">
        <f>TEXT(54551, "[$-0E0000]yyyy-mm-dd")</f>
        <v/>
      </c>
      <c r="C54552" t="inlineStr">
        <is>
          <t>2049-04-08</t>
        </is>
      </c>
    </row>
    <row r="54553">
      <c r="A54553" s="1" t="n">
        <v>54552</v>
      </c>
      <c r="B54553">
        <f>TEXT(54552, "[$-0E0000]yyyy-mm-dd")</f>
        <v/>
      </c>
      <c r="C54553" t="inlineStr">
        <is>
          <t>2049-04-09</t>
        </is>
      </c>
    </row>
    <row r="54554">
      <c r="A54554" s="1" t="n">
        <v>54553</v>
      </c>
      <c r="B54554">
        <f>TEXT(54553, "[$-0E0000]yyyy-mm-dd")</f>
        <v/>
      </c>
      <c r="C54554" t="inlineStr">
        <is>
          <t>2049-04-10</t>
        </is>
      </c>
    </row>
    <row r="54555">
      <c r="A54555" s="1" t="n">
        <v>54554</v>
      </c>
      <c r="B54555">
        <f>TEXT(54554, "[$-0E0000]yyyy-mm-dd")</f>
        <v/>
      </c>
      <c r="C54555" t="inlineStr">
        <is>
          <t>2049-04-11</t>
        </is>
      </c>
    </row>
    <row r="54556">
      <c r="A54556" s="1" t="n">
        <v>54555</v>
      </c>
      <c r="B54556">
        <f>TEXT(54555, "[$-0E0000]yyyy-mm-dd")</f>
        <v/>
      </c>
      <c r="C54556" t="inlineStr">
        <is>
          <t>2049-04-12</t>
        </is>
      </c>
    </row>
    <row r="54557">
      <c r="A54557" s="1" t="n">
        <v>54556</v>
      </c>
      <c r="B54557">
        <f>TEXT(54556, "[$-0E0000]yyyy-mm-dd")</f>
        <v/>
      </c>
      <c r="C54557" t="inlineStr">
        <is>
          <t>2049-04-13</t>
        </is>
      </c>
    </row>
    <row r="54558">
      <c r="A54558" s="1" t="n">
        <v>54557</v>
      </c>
      <c r="B54558">
        <f>TEXT(54557, "[$-0E0000]yyyy-mm-dd")</f>
        <v/>
      </c>
      <c r="C54558" t="inlineStr">
        <is>
          <t>2049-04-14</t>
        </is>
      </c>
    </row>
    <row r="54559">
      <c r="A54559" s="1" t="n">
        <v>54558</v>
      </c>
      <c r="B54559">
        <f>TEXT(54558, "[$-0E0000]yyyy-mm-dd")</f>
        <v/>
      </c>
      <c r="C54559" t="inlineStr">
        <is>
          <t>2049-04-15</t>
        </is>
      </c>
    </row>
    <row r="54560">
      <c r="A54560" s="1" t="n">
        <v>54559</v>
      </c>
      <c r="B54560">
        <f>TEXT(54559, "[$-0E0000]yyyy-mm-dd")</f>
        <v/>
      </c>
      <c r="C54560" t="inlineStr">
        <is>
          <t>2049-04-16</t>
        </is>
      </c>
    </row>
    <row r="54561">
      <c r="A54561" s="1" t="n">
        <v>54560</v>
      </c>
      <c r="B54561">
        <f>TEXT(54560, "[$-0E0000]yyyy-mm-dd")</f>
        <v/>
      </c>
      <c r="C54561" t="inlineStr">
        <is>
          <t>2049-04-17</t>
        </is>
      </c>
    </row>
    <row r="54562">
      <c r="A54562" s="1" t="n">
        <v>54561</v>
      </c>
      <c r="B54562">
        <f>TEXT(54561, "[$-0E0000]yyyy-mm-dd")</f>
        <v/>
      </c>
      <c r="C54562" t="inlineStr">
        <is>
          <t>2049-04-18</t>
        </is>
      </c>
    </row>
    <row r="54563">
      <c r="A54563" s="1" t="n">
        <v>54562</v>
      </c>
      <c r="B54563">
        <f>TEXT(54562, "[$-0E0000]yyyy-mm-dd")</f>
        <v/>
      </c>
      <c r="C54563" t="inlineStr">
        <is>
          <t>2049-04-19</t>
        </is>
      </c>
    </row>
    <row r="54564">
      <c r="A54564" s="1" t="n">
        <v>54563</v>
      </c>
      <c r="B54564">
        <f>TEXT(54563, "[$-0E0000]yyyy-mm-dd")</f>
        <v/>
      </c>
      <c r="C54564" t="inlineStr">
        <is>
          <t>2049-04-20</t>
        </is>
      </c>
    </row>
    <row r="54565">
      <c r="A54565" s="1" t="n">
        <v>54564</v>
      </c>
      <c r="B54565">
        <f>TEXT(54564, "[$-0E0000]yyyy-mm-dd")</f>
        <v/>
      </c>
      <c r="C54565" t="inlineStr">
        <is>
          <t>2049-04-21</t>
        </is>
      </c>
    </row>
    <row r="54566">
      <c r="A54566" s="1" t="n">
        <v>54565</v>
      </c>
      <c r="B54566">
        <f>TEXT(54565, "[$-0E0000]yyyy-mm-dd")</f>
        <v/>
      </c>
      <c r="C54566" t="inlineStr">
        <is>
          <t>2049-04-22</t>
        </is>
      </c>
    </row>
    <row r="54567">
      <c r="A54567" s="1" t="n">
        <v>54566</v>
      </c>
      <c r="B54567">
        <f>TEXT(54566, "[$-0E0000]yyyy-mm-dd")</f>
        <v/>
      </c>
      <c r="C54567" t="inlineStr">
        <is>
          <t>2049-04-23</t>
        </is>
      </c>
    </row>
    <row r="54568">
      <c r="A54568" s="1" t="n">
        <v>54567</v>
      </c>
      <c r="B54568">
        <f>TEXT(54567, "[$-0E0000]yyyy-mm-dd")</f>
        <v/>
      </c>
      <c r="C54568" t="inlineStr">
        <is>
          <t>2049-04-24</t>
        </is>
      </c>
    </row>
    <row r="54569">
      <c r="A54569" s="1" t="n">
        <v>54568</v>
      </c>
      <c r="B54569">
        <f>TEXT(54568, "[$-0E0000]yyyy-mm-dd")</f>
        <v/>
      </c>
      <c r="C54569" t="inlineStr">
        <is>
          <t>2049-04-25</t>
        </is>
      </c>
    </row>
    <row r="54570">
      <c r="A54570" s="1" t="n">
        <v>54569</v>
      </c>
      <c r="B54570">
        <f>TEXT(54569, "[$-0E0000]yyyy-mm-dd")</f>
        <v/>
      </c>
      <c r="C54570" t="inlineStr">
        <is>
          <t>2049-04-26</t>
        </is>
      </c>
    </row>
    <row r="54571">
      <c r="A54571" s="1" t="n">
        <v>54570</v>
      </c>
      <c r="B54571">
        <f>TEXT(54570, "[$-0E0000]yyyy-mm-dd")</f>
        <v/>
      </c>
      <c r="C54571" t="inlineStr">
        <is>
          <t>2049-04-27</t>
        </is>
      </c>
    </row>
    <row r="54572">
      <c r="A54572" s="1" t="n">
        <v>54571</v>
      </c>
      <c r="B54572">
        <f>TEXT(54571, "[$-0E0000]yyyy-mm-dd")</f>
        <v/>
      </c>
      <c r="C54572" t="inlineStr">
        <is>
          <t>2049-04-28</t>
        </is>
      </c>
    </row>
    <row r="54573">
      <c r="A54573" s="1" t="n">
        <v>54572</v>
      </c>
      <c r="B54573">
        <f>TEXT(54572, "[$-0E0000]yyyy-mm-dd")</f>
        <v/>
      </c>
      <c r="C54573" t="inlineStr">
        <is>
          <t>2049-04-29</t>
        </is>
      </c>
    </row>
    <row r="54574">
      <c r="A54574" s="1" t="n">
        <v>54573</v>
      </c>
      <c r="B54574">
        <f>TEXT(54573, "[$-0E0000]yyyy-mm-dd")</f>
        <v/>
      </c>
      <c r="C54574" t="inlineStr">
        <is>
          <t>2049-05-01</t>
        </is>
      </c>
    </row>
    <row r="54575">
      <c r="A54575" s="1" t="n">
        <v>54574</v>
      </c>
      <c r="B54575">
        <f>TEXT(54574, "[$-0E0000]yyyy-mm-dd")</f>
        <v/>
      </c>
      <c r="C54575" t="inlineStr">
        <is>
          <t>2049-05-02</t>
        </is>
      </c>
    </row>
    <row r="54576">
      <c r="A54576" s="1" t="n">
        <v>54575</v>
      </c>
      <c r="B54576">
        <f>TEXT(54575, "[$-0E0000]yyyy-mm-dd")</f>
        <v/>
      </c>
      <c r="C54576" t="inlineStr">
        <is>
          <t>2049-05-03</t>
        </is>
      </c>
    </row>
    <row r="54577">
      <c r="A54577" s="1" t="n">
        <v>54576</v>
      </c>
      <c r="B54577">
        <f>TEXT(54576, "[$-0E0000]yyyy-mm-dd")</f>
        <v/>
      </c>
      <c r="C54577" t="inlineStr">
        <is>
          <t>2049-05-04</t>
        </is>
      </c>
    </row>
    <row r="54578">
      <c r="A54578" s="1" t="n">
        <v>54577</v>
      </c>
      <c r="B54578">
        <f>TEXT(54577, "[$-0E0000]yyyy-mm-dd")</f>
        <v/>
      </c>
      <c r="C54578" t="inlineStr">
        <is>
          <t>2049-05-05</t>
        </is>
      </c>
    </row>
    <row r="54579">
      <c r="A54579" s="1" t="n">
        <v>54578</v>
      </c>
      <c r="B54579">
        <f>TEXT(54578, "[$-0E0000]yyyy-mm-dd")</f>
        <v/>
      </c>
      <c r="C54579" t="inlineStr">
        <is>
          <t>2049-05-06</t>
        </is>
      </c>
    </row>
    <row r="54580">
      <c r="A54580" s="1" t="n">
        <v>54579</v>
      </c>
      <c r="B54580">
        <f>TEXT(54579, "[$-0E0000]yyyy-mm-dd")</f>
        <v/>
      </c>
      <c r="C54580" t="inlineStr">
        <is>
          <t>2049-05-07</t>
        </is>
      </c>
    </row>
    <row r="54581">
      <c r="A54581" s="1" t="n">
        <v>54580</v>
      </c>
      <c r="B54581">
        <f>TEXT(54580, "[$-0E0000]yyyy-mm-dd")</f>
        <v/>
      </c>
      <c r="C54581" t="inlineStr">
        <is>
          <t>2049-05-08</t>
        </is>
      </c>
    </row>
    <row r="54582">
      <c r="A54582" s="1" t="n">
        <v>54581</v>
      </c>
      <c r="B54582">
        <f>TEXT(54581, "[$-0E0000]yyyy-mm-dd")</f>
        <v/>
      </c>
      <c r="C54582" t="inlineStr">
        <is>
          <t>2049-05-09</t>
        </is>
      </c>
    </row>
    <row r="54583">
      <c r="A54583" s="1" t="n">
        <v>54582</v>
      </c>
      <c r="B54583">
        <f>TEXT(54582, "[$-0E0000]yyyy-mm-dd")</f>
        <v/>
      </c>
      <c r="C54583" t="inlineStr">
        <is>
          <t>2049-05-10</t>
        </is>
      </c>
    </row>
    <row r="54584">
      <c r="A54584" s="1" t="n">
        <v>54583</v>
      </c>
      <c r="B54584">
        <f>TEXT(54583, "[$-0E0000]yyyy-mm-dd")</f>
        <v/>
      </c>
      <c r="C54584" t="inlineStr">
        <is>
          <t>2049-05-11</t>
        </is>
      </c>
    </row>
    <row r="54585">
      <c r="A54585" s="1" t="n">
        <v>54584</v>
      </c>
      <c r="B54585">
        <f>TEXT(54584, "[$-0E0000]yyyy-mm-dd")</f>
        <v/>
      </c>
      <c r="C54585" t="inlineStr">
        <is>
          <t>2049-05-12</t>
        </is>
      </c>
    </row>
    <row r="54586">
      <c r="A54586" s="1" t="n">
        <v>54585</v>
      </c>
      <c r="B54586">
        <f>TEXT(54585, "[$-0E0000]yyyy-mm-dd")</f>
        <v/>
      </c>
      <c r="C54586" t="inlineStr">
        <is>
          <t>2049-05-13</t>
        </is>
      </c>
    </row>
    <row r="54587">
      <c r="A54587" s="1" t="n">
        <v>54586</v>
      </c>
      <c r="B54587">
        <f>TEXT(54586, "[$-0E0000]yyyy-mm-dd")</f>
        <v/>
      </c>
      <c r="C54587" t="inlineStr">
        <is>
          <t>2049-05-14</t>
        </is>
      </c>
    </row>
    <row r="54588">
      <c r="A54588" s="1" t="n">
        <v>54587</v>
      </c>
      <c r="B54588">
        <f>TEXT(54587, "[$-0E0000]yyyy-mm-dd")</f>
        <v/>
      </c>
      <c r="C54588" t="inlineStr">
        <is>
          <t>2049-05-15</t>
        </is>
      </c>
    </row>
    <row r="54589">
      <c r="A54589" s="1" t="n">
        <v>54588</v>
      </c>
      <c r="B54589">
        <f>TEXT(54588, "[$-0E0000]yyyy-mm-dd")</f>
        <v/>
      </c>
      <c r="C54589" t="inlineStr">
        <is>
          <t>2049-05-16</t>
        </is>
      </c>
    </row>
    <row r="54590">
      <c r="A54590" s="1" t="n">
        <v>54589</v>
      </c>
      <c r="B54590">
        <f>TEXT(54589, "[$-0E0000]yyyy-mm-dd")</f>
        <v/>
      </c>
      <c r="C54590" t="inlineStr">
        <is>
          <t>2049-05-17</t>
        </is>
      </c>
    </row>
    <row r="54591">
      <c r="A54591" s="1" t="n">
        <v>54590</v>
      </c>
      <c r="B54591">
        <f>TEXT(54590, "[$-0E0000]yyyy-mm-dd")</f>
        <v/>
      </c>
      <c r="C54591" t="inlineStr">
        <is>
          <t>2049-05-18</t>
        </is>
      </c>
    </row>
    <row r="54592">
      <c r="A54592" s="1" t="n">
        <v>54591</v>
      </c>
      <c r="B54592">
        <f>TEXT(54591, "[$-0E0000]yyyy-mm-dd")</f>
        <v/>
      </c>
      <c r="C54592" t="inlineStr">
        <is>
          <t>2049-05-19</t>
        </is>
      </c>
    </row>
    <row r="54593">
      <c r="A54593" s="1" t="n">
        <v>54592</v>
      </c>
      <c r="B54593">
        <f>TEXT(54592, "[$-0E0000]yyyy-mm-dd")</f>
        <v/>
      </c>
      <c r="C54593" t="inlineStr">
        <is>
          <t>2049-05-20</t>
        </is>
      </c>
    </row>
    <row r="54594">
      <c r="A54594" s="1" t="n">
        <v>54593</v>
      </c>
      <c r="B54594">
        <f>TEXT(54593, "[$-0E0000]yyyy-mm-dd")</f>
        <v/>
      </c>
      <c r="C54594" t="inlineStr">
        <is>
          <t>2049-05-21</t>
        </is>
      </c>
    </row>
    <row r="54595">
      <c r="A54595" s="1" t="n">
        <v>54594</v>
      </c>
      <c r="B54595">
        <f>TEXT(54594, "[$-0E0000]yyyy-mm-dd")</f>
        <v/>
      </c>
      <c r="C54595" t="inlineStr">
        <is>
          <t>2049-05-22</t>
        </is>
      </c>
    </row>
    <row r="54596">
      <c r="A54596" s="1" t="n">
        <v>54595</v>
      </c>
      <c r="B54596">
        <f>TEXT(54595, "[$-0E0000]yyyy-mm-dd")</f>
        <v/>
      </c>
      <c r="C54596" t="inlineStr">
        <is>
          <t>2049-05-23</t>
        </is>
      </c>
    </row>
    <row r="54597">
      <c r="A54597" s="1" t="n">
        <v>54596</v>
      </c>
      <c r="B54597">
        <f>TEXT(54596, "[$-0E0000]yyyy-mm-dd")</f>
        <v/>
      </c>
      <c r="C54597" t="inlineStr">
        <is>
          <t>2049-05-24</t>
        </is>
      </c>
    </row>
    <row r="54598">
      <c r="A54598" s="1" t="n">
        <v>54597</v>
      </c>
      <c r="B54598">
        <f>TEXT(54597, "[$-0E0000]yyyy-mm-dd")</f>
        <v/>
      </c>
      <c r="C54598" t="inlineStr">
        <is>
          <t>2049-05-25</t>
        </is>
      </c>
    </row>
    <row r="54599">
      <c r="A54599" s="1" t="n">
        <v>54598</v>
      </c>
      <c r="B54599">
        <f>TEXT(54598, "[$-0E0000]yyyy-mm-dd")</f>
        <v/>
      </c>
      <c r="C54599" t="inlineStr">
        <is>
          <t>2049-05-26</t>
        </is>
      </c>
    </row>
    <row r="54600">
      <c r="A54600" s="1" t="n">
        <v>54599</v>
      </c>
      <c r="B54600">
        <f>TEXT(54599, "[$-0E0000]yyyy-mm-dd")</f>
        <v/>
      </c>
      <c r="C54600" t="inlineStr">
        <is>
          <t>2049-05-27</t>
        </is>
      </c>
    </row>
    <row r="54601">
      <c r="A54601" s="1" t="n">
        <v>54600</v>
      </c>
      <c r="B54601">
        <f>TEXT(54600, "[$-0E0000]yyyy-mm-dd")</f>
        <v/>
      </c>
      <c r="C54601" t="inlineStr">
        <is>
          <t>2049-05-28</t>
        </is>
      </c>
    </row>
    <row r="54602">
      <c r="A54602" s="1" t="n">
        <v>54601</v>
      </c>
      <c r="B54602">
        <f>TEXT(54601, "[$-0E0000]yyyy-mm-dd")</f>
        <v/>
      </c>
      <c r="C54602" t="inlineStr">
        <is>
          <t>2049-05-29</t>
        </is>
      </c>
    </row>
    <row r="54603">
      <c r="A54603" s="1" t="n">
        <v>54602</v>
      </c>
      <c r="B54603">
        <f>TEXT(54602, "[$-0E0000]yyyy-mm-dd")</f>
        <v/>
      </c>
      <c r="C54603" t="inlineStr">
        <is>
          <t>2049-05-30</t>
        </is>
      </c>
    </row>
    <row r="54604">
      <c r="A54604" s="1" t="n">
        <v>54603</v>
      </c>
      <c r="B54604">
        <f>TEXT(54603, "[$-0E0000]yyyy-mm-dd")</f>
        <v/>
      </c>
      <c r="C54604" t="inlineStr">
        <is>
          <t>2049-06-01</t>
        </is>
      </c>
    </row>
    <row r="54605">
      <c r="A54605" s="1" t="n">
        <v>54604</v>
      </c>
      <c r="B54605">
        <f>TEXT(54604, "[$-0E0000]yyyy-mm-dd")</f>
        <v/>
      </c>
      <c r="C54605" t="inlineStr">
        <is>
          <t>2049-06-02</t>
        </is>
      </c>
    </row>
    <row r="54606">
      <c r="A54606" s="1" t="n">
        <v>54605</v>
      </c>
      <c r="B54606">
        <f>TEXT(54605, "[$-0E0000]yyyy-mm-dd")</f>
        <v/>
      </c>
      <c r="C54606" t="inlineStr">
        <is>
          <t>2049-06-03</t>
        </is>
      </c>
    </row>
    <row r="54607">
      <c r="A54607" s="1" t="n">
        <v>54606</v>
      </c>
      <c r="B54607">
        <f>TEXT(54606, "[$-0E0000]yyyy-mm-dd")</f>
        <v/>
      </c>
      <c r="C54607" t="inlineStr">
        <is>
          <t>2049-06-04</t>
        </is>
      </c>
    </row>
    <row r="54608">
      <c r="A54608" s="1" t="n">
        <v>54607</v>
      </c>
      <c r="B54608">
        <f>TEXT(54607, "[$-0E0000]yyyy-mm-dd")</f>
        <v/>
      </c>
      <c r="C54608" t="inlineStr">
        <is>
          <t>2049-06-05</t>
        </is>
      </c>
    </row>
    <row r="54609">
      <c r="A54609" s="1" t="n">
        <v>54608</v>
      </c>
      <c r="B54609">
        <f>TEXT(54608, "[$-0E0000]yyyy-mm-dd")</f>
        <v/>
      </c>
      <c r="C54609" t="inlineStr">
        <is>
          <t>2049-06-06</t>
        </is>
      </c>
    </row>
    <row r="54610">
      <c r="A54610" s="1" t="n">
        <v>54609</v>
      </c>
      <c r="B54610">
        <f>TEXT(54609, "[$-0E0000]yyyy-mm-dd")</f>
        <v/>
      </c>
      <c r="C54610" t="inlineStr">
        <is>
          <t>2049-06-07</t>
        </is>
      </c>
    </row>
    <row r="54611">
      <c r="A54611" s="1" t="n">
        <v>54610</v>
      </c>
      <c r="B54611">
        <f>TEXT(54610, "[$-0E0000]yyyy-mm-dd")</f>
        <v/>
      </c>
      <c r="C54611" t="inlineStr">
        <is>
          <t>2049-06-08</t>
        </is>
      </c>
    </row>
    <row r="54612">
      <c r="A54612" s="1" t="n">
        <v>54611</v>
      </c>
      <c r="B54612">
        <f>TEXT(54611, "[$-0E0000]yyyy-mm-dd")</f>
        <v/>
      </c>
      <c r="C54612" t="inlineStr">
        <is>
          <t>2049-06-09</t>
        </is>
      </c>
    </row>
    <row r="54613">
      <c r="A54613" s="1" t="n">
        <v>54612</v>
      </c>
      <c r="B54613">
        <f>TEXT(54612, "[$-0E0000]yyyy-mm-dd")</f>
        <v/>
      </c>
      <c r="C54613" t="inlineStr">
        <is>
          <t>2049-06-10</t>
        </is>
      </c>
    </row>
    <row r="54614">
      <c r="A54614" s="1" t="n">
        <v>54613</v>
      </c>
      <c r="B54614">
        <f>TEXT(54613, "[$-0E0000]yyyy-mm-dd")</f>
        <v/>
      </c>
      <c r="C54614" t="inlineStr">
        <is>
          <t>2049-06-11</t>
        </is>
      </c>
    </row>
    <row r="54615">
      <c r="A54615" s="1" t="n">
        <v>54614</v>
      </c>
      <c r="B54615">
        <f>TEXT(54614, "[$-0E0000]yyyy-mm-dd")</f>
        <v/>
      </c>
      <c r="C54615" t="inlineStr">
        <is>
          <t>2049-06-12</t>
        </is>
      </c>
    </row>
    <row r="54616">
      <c r="A54616" s="1" t="n">
        <v>54615</v>
      </c>
      <c r="B54616">
        <f>TEXT(54615, "[$-0E0000]yyyy-mm-dd")</f>
        <v/>
      </c>
      <c r="C54616" t="inlineStr">
        <is>
          <t>2049-06-13</t>
        </is>
      </c>
    </row>
    <row r="54617">
      <c r="A54617" s="1" t="n">
        <v>54616</v>
      </c>
      <c r="B54617">
        <f>TEXT(54616, "[$-0E0000]yyyy-mm-dd")</f>
        <v/>
      </c>
      <c r="C54617" t="inlineStr">
        <is>
          <t>2049-06-14</t>
        </is>
      </c>
    </row>
    <row r="54618">
      <c r="A54618" s="1" t="n">
        <v>54617</v>
      </c>
      <c r="B54618">
        <f>TEXT(54617, "[$-0E0000]yyyy-mm-dd")</f>
        <v/>
      </c>
      <c r="C54618" t="inlineStr">
        <is>
          <t>2049-06-15</t>
        </is>
      </c>
    </row>
    <row r="54619">
      <c r="A54619" s="1" t="n">
        <v>54618</v>
      </c>
      <c r="B54619">
        <f>TEXT(54618, "[$-0E0000]yyyy-mm-dd")</f>
        <v/>
      </c>
      <c r="C54619" t="inlineStr">
        <is>
          <t>2049-06-16</t>
        </is>
      </c>
    </row>
    <row r="54620">
      <c r="A54620" s="1" t="n">
        <v>54619</v>
      </c>
      <c r="B54620">
        <f>TEXT(54619, "[$-0E0000]yyyy-mm-dd")</f>
        <v/>
      </c>
      <c r="C54620" t="inlineStr">
        <is>
          <t>2049-06-17</t>
        </is>
      </c>
    </row>
    <row r="54621">
      <c r="A54621" s="1" t="n">
        <v>54620</v>
      </c>
      <c r="B54621">
        <f>TEXT(54620, "[$-0E0000]yyyy-mm-dd")</f>
        <v/>
      </c>
      <c r="C54621" t="inlineStr">
        <is>
          <t>2049-06-18</t>
        </is>
      </c>
    </row>
    <row r="54622">
      <c r="A54622" s="1" t="n">
        <v>54621</v>
      </c>
      <c r="B54622">
        <f>TEXT(54621, "[$-0E0000]yyyy-mm-dd")</f>
        <v/>
      </c>
      <c r="C54622" t="inlineStr">
        <is>
          <t>2049-06-19</t>
        </is>
      </c>
    </row>
    <row r="54623">
      <c r="A54623" s="1" t="n">
        <v>54622</v>
      </c>
      <c r="B54623">
        <f>TEXT(54622, "[$-0E0000]yyyy-mm-dd")</f>
        <v/>
      </c>
      <c r="C54623" t="inlineStr">
        <is>
          <t>2049-06-20</t>
        </is>
      </c>
    </row>
    <row r="54624">
      <c r="A54624" s="1" t="n">
        <v>54623</v>
      </c>
      <c r="B54624">
        <f>TEXT(54623, "[$-0E0000]yyyy-mm-dd")</f>
        <v/>
      </c>
      <c r="C54624" t="inlineStr">
        <is>
          <t>2049-06-21</t>
        </is>
      </c>
    </row>
    <row r="54625">
      <c r="A54625" s="1" t="n">
        <v>54624</v>
      </c>
      <c r="B54625">
        <f>TEXT(54624, "[$-0E0000]yyyy-mm-dd")</f>
        <v/>
      </c>
      <c r="C54625" t="inlineStr">
        <is>
          <t>2049-06-22</t>
        </is>
      </c>
    </row>
    <row r="54626">
      <c r="A54626" s="1" t="n">
        <v>54625</v>
      </c>
      <c r="B54626">
        <f>TEXT(54625, "[$-0E0000]yyyy-mm-dd")</f>
        <v/>
      </c>
      <c r="C54626" t="inlineStr">
        <is>
          <t>2049-06-23</t>
        </is>
      </c>
    </row>
    <row r="54627">
      <c r="A54627" s="1" t="n">
        <v>54626</v>
      </c>
      <c r="B54627">
        <f>TEXT(54626, "[$-0E0000]yyyy-mm-dd")</f>
        <v/>
      </c>
      <c r="C54627" t="inlineStr">
        <is>
          <t>2049-06-24</t>
        </is>
      </c>
    </row>
    <row r="54628">
      <c r="A54628" s="1" t="n">
        <v>54627</v>
      </c>
      <c r="B54628">
        <f>TEXT(54627, "[$-0E0000]yyyy-mm-dd")</f>
        <v/>
      </c>
      <c r="C54628" t="inlineStr">
        <is>
          <t>2049-06-25</t>
        </is>
      </c>
    </row>
    <row r="54629">
      <c r="A54629" s="1" t="n">
        <v>54628</v>
      </c>
      <c r="B54629">
        <f>TEXT(54628, "[$-0E0000]yyyy-mm-dd")</f>
        <v/>
      </c>
      <c r="C54629" t="inlineStr">
        <is>
          <t>2049-06-26</t>
        </is>
      </c>
    </row>
    <row r="54630">
      <c r="A54630" s="1" t="n">
        <v>54629</v>
      </c>
      <c r="B54630">
        <f>TEXT(54629, "[$-0E0000]yyyy-mm-dd")</f>
        <v/>
      </c>
      <c r="C54630" t="inlineStr">
        <is>
          <t>2049-06-27</t>
        </is>
      </c>
    </row>
    <row r="54631">
      <c r="A54631" s="1" t="n">
        <v>54630</v>
      </c>
      <c r="B54631">
        <f>TEXT(54630, "[$-0E0000]yyyy-mm-dd")</f>
        <v/>
      </c>
      <c r="C54631" t="inlineStr">
        <is>
          <t>2049-06-28</t>
        </is>
      </c>
    </row>
    <row r="54632">
      <c r="A54632" s="1" t="n">
        <v>54631</v>
      </c>
      <c r="B54632">
        <f>TEXT(54631, "[$-0E0000]yyyy-mm-dd")</f>
        <v/>
      </c>
      <c r="C54632" t="inlineStr">
        <is>
          <t>2049-06-29</t>
        </is>
      </c>
    </row>
    <row r="54633">
      <c r="A54633" s="1" t="n">
        <v>54632</v>
      </c>
      <c r="B54633">
        <f>TEXT(54632, "[$-0E0000]yyyy-mm-dd")</f>
        <v/>
      </c>
      <c r="C54633" t="inlineStr">
        <is>
          <t>2049-06-30</t>
        </is>
      </c>
    </row>
    <row r="54634">
      <c r="A54634" s="1" t="n">
        <v>54633</v>
      </c>
      <c r="B54634">
        <f>TEXT(54633, "[$-0E0000]yyyy-mm-dd")</f>
        <v/>
      </c>
      <c r="C54634" t="inlineStr">
        <is>
          <t>2049-07-01</t>
        </is>
      </c>
    </row>
    <row r="54635">
      <c r="A54635" s="1" t="n">
        <v>54634</v>
      </c>
      <c r="B54635">
        <f>TEXT(54634, "[$-0E0000]yyyy-mm-dd")</f>
        <v/>
      </c>
      <c r="C54635" t="inlineStr">
        <is>
          <t>2049-07-02</t>
        </is>
      </c>
    </row>
    <row r="54636">
      <c r="A54636" s="1" t="n">
        <v>54635</v>
      </c>
      <c r="B54636">
        <f>TEXT(54635, "[$-0E0000]yyyy-mm-dd")</f>
        <v/>
      </c>
      <c r="C54636" t="inlineStr">
        <is>
          <t>2049-07-03</t>
        </is>
      </c>
    </row>
    <row r="54637">
      <c r="A54637" s="1" t="n">
        <v>54636</v>
      </c>
      <c r="B54637">
        <f>TEXT(54636, "[$-0E0000]yyyy-mm-dd")</f>
        <v/>
      </c>
      <c r="C54637" t="inlineStr">
        <is>
          <t>2049-07-04</t>
        </is>
      </c>
    </row>
    <row r="54638">
      <c r="A54638" s="1" t="n">
        <v>54637</v>
      </c>
      <c r="B54638">
        <f>TEXT(54637, "[$-0E0000]yyyy-mm-dd")</f>
        <v/>
      </c>
      <c r="C54638" t="inlineStr">
        <is>
          <t>2049-07-05</t>
        </is>
      </c>
    </row>
    <row r="54639">
      <c r="A54639" s="1" t="n">
        <v>54638</v>
      </c>
      <c r="B54639">
        <f>TEXT(54638, "[$-0E0000]yyyy-mm-dd")</f>
        <v/>
      </c>
      <c r="C54639" t="inlineStr">
        <is>
          <t>2049-07-06</t>
        </is>
      </c>
    </row>
    <row r="54640">
      <c r="A54640" s="1" t="n">
        <v>54639</v>
      </c>
      <c r="B54640">
        <f>TEXT(54639, "[$-0E0000]yyyy-mm-dd")</f>
        <v/>
      </c>
      <c r="C54640" t="inlineStr">
        <is>
          <t>2049-07-07</t>
        </is>
      </c>
    </row>
    <row r="54641">
      <c r="A54641" s="1" t="n">
        <v>54640</v>
      </c>
      <c r="B54641">
        <f>TEXT(54640, "[$-0E0000]yyyy-mm-dd")</f>
        <v/>
      </c>
      <c r="C54641" t="inlineStr">
        <is>
          <t>2049-07-08</t>
        </is>
      </c>
    </row>
    <row r="54642">
      <c r="A54642" s="1" t="n">
        <v>54641</v>
      </c>
      <c r="B54642">
        <f>TEXT(54641, "[$-0E0000]yyyy-mm-dd")</f>
        <v/>
      </c>
      <c r="C54642" t="inlineStr">
        <is>
          <t>2049-07-09</t>
        </is>
      </c>
    </row>
    <row r="54643">
      <c r="A54643" s="1" t="n">
        <v>54642</v>
      </c>
      <c r="B54643">
        <f>TEXT(54642, "[$-0E0000]yyyy-mm-dd")</f>
        <v/>
      </c>
      <c r="C54643" t="inlineStr">
        <is>
          <t>2049-07-10</t>
        </is>
      </c>
    </row>
    <row r="54644">
      <c r="A54644" s="1" t="n">
        <v>54643</v>
      </c>
      <c r="B54644">
        <f>TEXT(54643, "[$-0E0000]yyyy-mm-dd")</f>
        <v/>
      </c>
      <c r="C54644" t="inlineStr">
        <is>
          <t>2049-07-11</t>
        </is>
      </c>
    </row>
    <row r="54645">
      <c r="A54645" s="1" t="n">
        <v>54644</v>
      </c>
      <c r="B54645">
        <f>TEXT(54644, "[$-0E0000]yyyy-mm-dd")</f>
        <v/>
      </c>
      <c r="C54645" t="inlineStr">
        <is>
          <t>2049-07-12</t>
        </is>
      </c>
    </row>
    <row r="54646">
      <c r="A54646" s="1" t="n">
        <v>54645</v>
      </c>
      <c r="B54646">
        <f>TEXT(54645, "[$-0E0000]yyyy-mm-dd")</f>
        <v/>
      </c>
      <c r="C54646" t="inlineStr">
        <is>
          <t>2049-07-13</t>
        </is>
      </c>
    </row>
    <row r="54647">
      <c r="A54647" s="1" t="n">
        <v>54646</v>
      </c>
      <c r="B54647">
        <f>TEXT(54646, "[$-0E0000]yyyy-mm-dd")</f>
        <v/>
      </c>
      <c r="C54647" t="inlineStr">
        <is>
          <t>2049-07-14</t>
        </is>
      </c>
    </row>
    <row r="54648">
      <c r="A54648" s="1" t="n">
        <v>54647</v>
      </c>
      <c r="B54648">
        <f>TEXT(54647, "[$-0E0000]yyyy-mm-dd")</f>
        <v/>
      </c>
      <c r="C54648" t="inlineStr">
        <is>
          <t>2049-07-15</t>
        </is>
      </c>
    </row>
    <row r="54649">
      <c r="A54649" s="1" t="n">
        <v>54648</v>
      </c>
      <c r="B54649">
        <f>TEXT(54648, "[$-0E0000]yyyy-mm-dd")</f>
        <v/>
      </c>
      <c r="C54649" t="inlineStr">
        <is>
          <t>2049-07-16</t>
        </is>
      </c>
    </row>
    <row r="54650">
      <c r="A54650" s="1" t="n">
        <v>54649</v>
      </c>
      <c r="B54650">
        <f>TEXT(54649, "[$-0E0000]yyyy-mm-dd")</f>
        <v/>
      </c>
      <c r="C54650" t="inlineStr">
        <is>
          <t>2049-07-17</t>
        </is>
      </c>
    </row>
    <row r="54651">
      <c r="A54651" s="1" t="n">
        <v>54650</v>
      </c>
      <c r="B54651">
        <f>TEXT(54650, "[$-0E0000]yyyy-mm-dd")</f>
        <v/>
      </c>
      <c r="C54651" t="inlineStr">
        <is>
          <t>2049-07-18</t>
        </is>
      </c>
    </row>
    <row r="54652">
      <c r="A54652" s="1" t="n">
        <v>54651</v>
      </c>
      <c r="B54652">
        <f>TEXT(54651, "[$-0E0000]yyyy-mm-dd")</f>
        <v/>
      </c>
      <c r="C54652" t="inlineStr">
        <is>
          <t>2049-07-19</t>
        </is>
      </c>
    </row>
    <row r="54653">
      <c r="A54653" s="1" t="n">
        <v>54652</v>
      </c>
      <c r="B54653">
        <f>TEXT(54652, "[$-0E0000]yyyy-mm-dd")</f>
        <v/>
      </c>
      <c r="C54653" t="inlineStr">
        <is>
          <t>2049-07-20</t>
        </is>
      </c>
    </row>
    <row r="54654">
      <c r="A54654" s="1" t="n">
        <v>54653</v>
      </c>
      <c r="B54654">
        <f>TEXT(54653, "[$-0E0000]yyyy-mm-dd")</f>
        <v/>
      </c>
      <c r="C54654" t="inlineStr">
        <is>
          <t>2049-07-21</t>
        </is>
      </c>
    </row>
    <row r="54655">
      <c r="A54655" s="1" t="n">
        <v>54654</v>
      </c>
      <c r="B54655">
        <f>TEXT(54654, "[$-0E0000]yyyy-mm-dd")</f>
        <v/>
      </c>
      <c r="C54655" t="inlineStr">
        <is>
          <t>2049-07-22</t>
        </is>
      </c>
    </row>
    <row r="54656">
      <c r="A54656" s="1" t="n">
        <v>54655</v>
      </c>
      <c r="B54656">
        <f>TEXT(54655, "[$-0E0000]yyyy-mm-dd")</f>
        <v/>
      </c>
      <c r="C54656" t="inlineStr">
        <is>
          <t>2049-07-23</t>
        </is>
      </c>
    </row>
    <row r="54657">
      <c r="A54657" s="1" t="n">
        <v>54656</v>
      </c>
      <c r="B54657">
        <f>TEXT(54656, "[$-0E0000]yyyy-mm-dd")</f>
        <v/>
      </c>
      <c r="C54657" t="inlineStr">
        <is>
          <t>2049-07-24</t>
        </is>
      </c>
    </row>
    <row r="54658">
      <c r="A54658" s="1" t="n">
        <v>54657</v>
      </c>
      <c r="B54658">
        <f>TEXT(54657, "[$-0E0000]yyyy-mm-dd")</f>
        <v/>
      </c>
      <c r="C54658" t="inlineStr">
        <is>
          <t>2049-07-25</t>
        </is>
      </c>
    </row>
    <row r="54659">
      <c r="A54659" s="1" t="n">
        <v>54658</v>
      </c>
      <c r="B54659">
        <f>TEXT(54658, "[$-0E0000]yyyy-mm-dd")</f>
        <v/>
      </c>
      <c r="C54659" t="inlineStr">
        <is>
          <t>2049-07-26</t>
        </is>
      </c>
    </row>
    <row r="54660">
      <c r="A54660" s="1" t="n">
        <v>54659</v>
      </c>
      <c r="B54660">
        <f>TEXT(54659, "[$-0E0000]yyyy-mm-dd")</f>
        <v/>
      </c>
      <c r="C54660" t="inlineStr">
        <is>
          <t>2049-07-27</t>
        </is>
      </c>
    </row>
    <row r="54661">
      <c r="A54661" s="1" t="n">
        <v>54660</v>
      </c>
      <c r="B54661">
        <f>TEXT(54660, "[$-0E0000]yyyy-mm-dd")</f>
        <v/>
      </c>
      <c r="C54661" t="inlineStr">
        <is>
          <t>2049-07-28</t>
        </is>
      </c>
    </row>
    <row r="54662">
      <c r="A54662" s="1" t="n">
        <v>54661</v>
      </c>
      <c r="B54662">
        <f>TEXT(54661, "[$-0E0000]yyyy-mm-dd")</f>
        <v/>
      </c>
      <c r="C54662" t="inlineStr">
        <is>
          <t>2049-07-29</t>
        </is>
      </c>
    </row>
    <row r="54663">
      <c r="A54663" s="1" t="n">
        <v>54662</v>
      </c>
      <c r="B54663">
        <f>TEXT(54662, "[$-0E0000]yyyy-mm-dd")</f>
        <v/>
      </c>
      <c r="C54663" t="inlineStr">
        <is>
          <t>2049-08-01</t>
        </is>
      </c>
    </row>
    <row r="54664">
      <c r="A54664" s="1" t="n">
        <v>54663</v>
      </c>
      <c r="B54664">
        <f>TEXT(54663, "[$-0E0000]yyyy-mm-dd")</f>
        <v/>
      </c>
      <c r="C54664" t="inlineStr">
        <is>
          <t>2049-08-02</t>
        </is>
      </c>
    </row>
    <row r="54665">
      <c r="A54665" s="1" t="n">
        <v>54664</v>
      </c>
      <c r="B54665">
        <f>TEXT(54664, "[$-0E0000]yyyy-mm-dd")</f>
        <v/>
      </c>
      <c r="C54665" t="inlineStr">
        <is>
          <t>2049-08-03</t>
        </is>
      </c>
    </row>
    <row r="54666">
      <c r="A54666" s="1" t="n">
        <v>54665</v>
      </c>
      <c r="B54666">
        <f>TEXT(54665, "[$-0E0000]yyyy-mm-dd")</f>
        <v/>
      </c>
      <c r="C54666" t="inlineStr">
        <is>
          <t>2049-08-04</t>
        </is>
      </c>
    </row>
    <row r="54667">
      <c r="A54667" s="1" t="n">
        <v>54666</v>
      </c>
      <c r="B54667">
        <f>TEXT(54666, "[$-0E0000]yyyy-mm-dd")</f>
        <v/>
      </c>
      <c r="C54667" t="inlineStr">
        <is>
          <t>2049-08-05</t>
        </is>
      </c>
    </row>
    <row r="54668">
      <c r="A54668" s="1" t="n">
        <v>54667</v>
      </c>
      <c r="B54668">
        <f>TEXT(54667, "[$-0E0000]yyyy-mm-dd")</f>
        <v/>
      </c>
      <c r="C54668" t="inlineStr">
        <is>
          <t>2049-08-06</t>
        </is>
      </c>
    </row>
    <row r="54669">
      <c r="A54669" s="1" t="n">
        <v>54668</v>
      </c>
      <c r="B54669">
        <f>TEXT(54668, "[$-0E0000]yyyy-mm-dd")</f>
        <v/>
      </c>
      <c r="C54669" t="inlineStr">
        <is>
          <t>2049-08-07</t>
        </is>
      </c>
    </row>
    <row r="54670">
      <c r="A54670" s="1" t="n">
        <v>54669</v>
      </c>
      <c r="B54670">
        <f>TEXT(54669, "[$-0E0000]yyyy-mm-dd")</f>
        <v/>
      </c>
      <c r="C54670" t="inlineStr">
        <is>
          <t>2049-08-08</t>
        </is>
      </c>
    </row>
    <row r="54671">
      <c r="A54671" s="1" t="n">
        <v>54670</v>
      </c>
      <c r="B54671">
        <f>TEXT(54670, "[$-0E0000]yyyy-mm-dd")</f>
        <v/>
      </c>
      <c r="C54671" t="inlineStr">
        <is>
          <t>2049-08-09</t>
        </is>
      </c>
    </row>
    <row r="54672">
      <c r="A54672" s="1" t="n">
        <v>54671</v>
      </c>
      <c r="B54672">
        <f>TEXT(54671, "[$-0E0000]yyyy-mm-dd")</f>
        <v/>
      </c>
      <c r="C54672" t="inlineStr">
        <is>
          <t>2049-08-10</t>
        </is>
      </c>
    </row>
    <row r="54673">
      <c r="A54673" s="1" t="n">
        <v>54672</v>
      </c>
      <c r="B54673">
        <f>TEXT(54672, "[$-0E0000]yyyy-mm-dd")</f>
        <v/>
      </c>
      <c r="C54673" t="inlineStr">
        <is>
          <t>2049-08-11</t>
        </is>
      </c>
    </row>
    <row r="54674">
      <c r="A54674" s="1" t="n">
        <v>54673</v>
      </c>
      <c r="B54674">
        <f>TEXT(54673, "[$-0E0000]yyyy-mm-dd")</f>
        <v/>
      </c>
      <c r="C54674" t="inlineStr">
        <is>
          <t>2049-08-12</t>
        </is>
      </c>
    </row>
    <row r="54675">
      <c r="A54675" s="1" t="n">
        <v>54674</v>
      </c>
      <c r="B54675">
        <f>TEXT(54674, "[$-0E0000]yyyy-mm-dd")</f>
        <v/>
      </c>
      <c r="C54675" t="inlineStr">
        <is>
          <t>2049-08-13</t>
        </is>
      </c>
    </row>
    <row r="54676">
      <c r="A54676" s="1" t="n">
        <v>54675</v>
      </c>
      <c r="B54676">
        <f>TEXT(54675, "[$-0E0000]yyyy-mm-dd")</f>
        <v/>
      </c>
      <c r="C54676" t="inlineStr">
        <is>
          <t>2049-08-14</t>
        </is>
      </c>
    </row>
    <row r="54677">
      <c r="A54677" s="1" t="n">
        <v>54676</v>
      </c>
      <c r="B54677">
        <f>TEXT(54676, "[$-0E0000]yyyy-mm-dd")</f>
        <v/>
      </c>
      <c r="C54677" t="inlineStr">
        <is>
          <t>2049-08-15</t>
        </is>
      </c>
    </row>
    <row r="54678">
      <c r="A54678" s="1" t="n">
        <v>54677</v>
      </c>
      <c r="B54678">
        <f>TEXT(54677, "[$-0E0000]yyyy-mm-dd")</f>
        <v/>
      </c>
      <c r="C54678" t="inlineStr">
        <is>
          <t>2049-08-16</t>
        </is>
      </c>
    </row>
    <row r="54679">
      <c r="A54679" s="1" t="n">
        <v>54678</v>
      </c>
      <c r="B54679">
        <f>TEXT(54678, "[$-0E0000]yyyy-mm-dd")</f>
        <v/>
      </c>
      <c r="C54679" t="inlineStr">
        <is>
          <t>2049-08-17</t>
        </is>
      </c>
    </row>
    <row r="54680">
      <c r="A54680" s="1" t="n">
        <v>54679</v>
      </c>
      <c r="B54680">
        <f>TEXT(54679, "[$-0E0000]yyyy-mm-dd")</f>
        <v/>
      </c>
      <c r="C54680" t="inlineStr">
        <is>
          <t>2049-08-18</t>
        </is>
      </c>
    </row>
    <row r="54681">
      <c r="A54681" s="1" t="n">
        <v>54680</v>
      </c>
      <c r="B54681">
        <f>TEXT(54680, "[$-0E0000]yyyy-mm-dd")</f>
        <v/>
      </c>
      <c r="C54681" t="inlineStr">
        <is>
          <t>2049-08-19</t>
        </is>
      </c>
    </row>
    <row r="54682">
      <c r="A54682" s="1" t="n">
        <v>54681</v>
      </c>
      <c r="B54682">
        <f>TEXT(54681, "[$-0E0000]yyyy-mm-dd")</f>
        <v/>
      </c>
      <c r="C54682" t="inlineStr">
        <is>
          <t>2049-08-20</t>
        </is>
      </c>
    </row>
    <row r="54683">
      <c r="A54683" s="1" t="n">
        <v>54682</v>
      </c>
      <c r="B54683">
        <f>TEXT(54682, "[$-0E0000]yyyy-mm-dd")</f>
        <v/>
      </c>
      <c r="C54683" t="inlineStr">
        <is>
          <t>2049-08-21</t>
        </is>
      </c>
    </row>
    <row r="54684">
      <c r="A54684" s="1" t="n">
        <v>54683</v>
      </c>
      <c r="B54684">
        <f>TEXT(54683, "[$-0E0000]yyyy-mm-dd")</f>
        <v/>
      </c>
      <c r="C54684" t="inlineStr">
        <is>
          <t>2049-08-22</t>
        </is>
      </c>
    </row>
    <row r="54685">
      <c r="A54685" s="1" t="n">
        <v>54684</v>
      </c>
      <c r="B54685">
        <f>TEXT(54684, "[$-0E0000]yyyy-mm-dd")</f>
        <v/>
      </c>
      <c r="C54685" t="inlineStr">
        <is>
          <t>2049-08-23</t>
        </is>
      </c>
    </row>
    <row r="54686">
      <c r="A54686" s="1" t="n">
        <v>54685</v>
      </c>
      <c r="B54686">
        <f>TEXT(54685, "[$-0E0000]yyyy-mm-dd")</f>
        <v/>
      </c>
      <c r="C54686" t="inlineStr">
        <is>
          <t>2049-08-24</t>
        </is>
      </c>
    </row>
    <row r="54687">
      <c r="A54687" s="1" t="n">
        <v>54686</v>
      </c>
      <c r="B54687">
        <f>TEXT(54686, "[$-0E0000]yyyy-mm-dd")</f>
        <v/>
      </c>
      <c r="C54687" t="inlineStr">
        <is>
          <t>2049-08-25</t>
        </is>
      </c>
    </row>
    <row r="54688">
      <c r="A54688" s="1" t="n">
        <v>54687</v>
      </c>
      <c r="B54688">
        <f>TEXT(54687, "[$-0E0000]yyyy-mm-dd")</f>
        <v/>
      </c>
      <c r="C54688" t="inlineStr">
        <is>
          <t>2049-08-26</t>
        </is>
      </c>
    </row>
    <row r="54689">
      <c r="A54689" s="1" t="n">
        <v>54688</v>
      </c>
      <c r="B54689">
        <f>TEXT(54688, "[$-0E0000]yyyy-mm-dd")</f>
        <v/>
      </c>
      <c r="C54689" t="inlineStr">
        <is>
          <t>2049-08-27</t>
        </is>
      </c>
    </row>
    <row r="54690">
      <c r="A54690" s="1" t="n">
        <v>54689</v>
      </c>
      <c r="B54690">
        <f>TEXT(54689, "[$-0E0000]yyyy-mm-dd")</f>
        <v/>
      </c>
      <c r="C54690" t="inlineStr">
        <is>
          <t>2049-08-28</t>
        </is>
      </c>
    </row>
    <row r="54691">
      <c r="A54691" s="1" t="n">
        <v>54690</v>
      </c>
      <c r="B54691">
        <f>TEXT(54690, "[$-0E0000]yyyy-mm-dd")</f>
        <v/>
      </c>
      <c r="C54691" t="inlineStr">
        <is>
          <t>2049-08-29</t>
        </is>
      </c>
    </row>
    <row r="54692">
      <c r="A54692" s="1" t="n">
        <v>54691</v>
      </c>
      <c r="B54692">
        <f>TEXT(54691, "[$-0E0000]yyyy-mm-dd")</f>
        <v/>
      </c>
      <c r="C54692" t="inlineStr">
        <is>
          <t>2049-08-30</t>
        </is>
      </c>
    </row>
    <row r="54693">
      <c r="A54693" s="1" t="n">
        <v>54692</v>
      </c>
      <c r="B54693">
        <f>TEXT(54692, "[$-0E0000]yyyy-mm-dd")</f>
        <v/>
      </c>
      <c r="C54693" t="inlineStr">
        <is>
          <t>2049-09-01</t>
        </is>
      </c>
    </row>
    <row r="54694">
      <c r="A54694" s="1" t="n">
        <v>54693</v>
      </c>
      <c r="B54694">
        <f>TEXT(54693, "[$-0E0000]yyyy-mm-dd")</f>
        <v/>
      </c>
      <c r="C54694" t="inlineStr">
        <is>
          <t>2049-09-02</t>
        </is>
      </c>
    </row>
    <row r="54695">
      <c r="A54695" s="1" t="n">
        <v>54694</v>
      </c>
      <c r="B54695">
        <f>TEXT(54694, "[$-0E0000]yyyy-mm-dd")</f>
        <v/>
      </c>
      <c r="C54695" t="inlineStr">
        <is>
          <t>2049-09-03</t>
        </is>
      </c>
    </row>
    <row r="54696">
      <c r="A54696" s="1" t="n">
        <v>54695</v>
      </c>
      <c r="B54696">
        <f>TEXT(54695, "[$-0E0000]yyyy-mm-dd")</f>
        <v/>
      </c>
      <c r="C54696" t="inlineStr">
        <is>
          <t>2049-09-04</t>
        </is>
      </c>
    </row>
    <row r="54697">
      <c r="A54697" s="1" t="n">
        <v>54696</v>
      </c>
      <c r="B54697">
        <f>TEXT(54696, "[$-0E0000]yyyy-mm-dd")</f>
        <v/>
      </c>
      <c r="C54697" t="inlineStr">
        <is>
          <t>2049-09-05</t>
        </is>
      </c>
    </row>
    <row r="54698">
      <c r="A54698" s="1" t="n">
        <v>54697</v>
      </c>
      <c r="B54698">
        <f>TEXT(54697, "[$-0E0000]yyyy-mm-dd")</f>
        <v/>
      </c>
      <c r="C54698" t="inlineStr">
        <is>
          <t>2049-09-06</t>
        </is>
      </c>
    </row>
    <row r="54699">
      <c r="A54699" s="1" t="n">
        <v>54698</v>
      </c>
      <c r="B54699">
        <f>TEXT(54698, "[$-0E0000]yyyy-mm-dd")</f>
        <v/>
      </c>
      <c r="C54699" t="inlineStr">
        <is>
          <t>2049-09-07</t>
        </is>
      </c>
    </row>
    <row r="54700">
      <c r="A54700" s="1" t="n">
        <v>54699</v>
      </c>
      <c r="B54700">
        <f>TEXT(54699, "[$-0E0000]yyyy-mm-dd")</f>
        <v/>
      </c>
      <c r="C54700" t="inlineStr">
        <is>
          <t>2049-09-08</t>
        </is>
      </c>
    </row>
    <row r="54701">
      <c r="A54701" s="1" t="n">
        <v>54700</v>
      </c>
      <c r="B54701">
        <f>TEXT(54700, "[$-0E0000]yyyy-mm-dd")</f>
        <v/>
      </c>
      <c r="C54701" t="inlineStr">
        <is>
          <t>2049-09-09</t>
        </is>
      </c>
    </row>
    <row r="54702">
      <c r="A54702" s="1" t="n">
        <v>54701</v>
      </c>
      <c r="B54702">
        <f>TEXT(54701, "[$-0E0000]yyyy-mm-dd")</f>
        <v/>
      </c>
      <c r="C54702" t="inlineStr">
        <is>
          <t>2049-09-10</t>
        </is>
      </c>
    </row>
    <row r="54703">
      <c r="A54703" s="1" t="n">
        <v>54702</v>
      </c>
      <c r="B54703">
        <f>TEXT(54702, "[$-0E0000]yyyy-mm-dd")</f>
        <v/>
      </c>
      <c r="C54703" t="inlineStr">
        <is>
          <t>2049-09-11</t>
        </is>
      </c>
    </row>
    <row r="54704">
      <c r="A54704" s="1" t="n">
        <v>54703</v>
      </c>
      <c r="B54704">
        <f>TEXT(54703, "[$-0E0000]yyyy-mm-dd")</f>
        <v/>
      </c>
      <c r="C54704" t="inlineStr">
        <is>
          <t>2049-09-12</t>
        </is>
      </c>
    </row>
    <row r="54705">
      <c r="A54705" s="1" t="n">
        <v>54704</v>
      </c>
      <c r="B54705">
        <f>TEXT(54704, "[$-0E0000]yyyy-mm-dd")</f>
        <v/>
      </c>
      <c r="C54705" t="inlineStr">
        <is>
          <t>2049-09-13</t>
        </is>
      </c>
    </row>
    <row r="54706">
      <c r="A54706" s="1" t="n">
        <v>54705</v>
      </c>
      <c r="B54706">
        <f>TEXT(54705, "[$-0E0000]yyyy-mm-dd")</f>
        <v/>
      </c>
      <c r="C54706" t="inlineStr">
        <is>
          <t>2049-09-14</t>
        </is>
      </c>
    </row>
    <row r="54707">
      <c r="A54707" s="1" t="n">
        <v>54706</v>
      </c>
      <c r="B54707">
        <f>TEXT(54706, "[$-0E0000]yyyy-mm-dd")</f>
        <v/>
      </c>
      <c r="C54707" t="inlineStr">
        <is>
          <t>2049-09-15</t>
        </is>
      </c>
    </row>
    <row r="54708">
      <c r="A54708" s="1" t="n">
        <v>54707</v>
      </c>
      <c r="B54708">
        <f>TEXT(54707, "[$-0E0000]yyyy-mm-dd")</f>
        <v/>
      </c>
      <c r="C54708" t="inlineStr">
        <is>
          <t>2049-09-16</t>
        </is>
      </c>
    </row>
    <row r="54709">
      <c r="A54709" s="1" t="n">
        <v>54708</v>
      </c>
      <c r="B54709">
        <f>TEXT(54708, "[$-0E0000]yyyy-mm-dd")</f>
        <v/>
      </c>
      <c r="C54709" t="inlineStr">
        <is>
          <t>2049-09-17</t>
        </is>
      </c>
    </row>
    <row r="54710">
      <c r="A54710" s="1" t="n">
        <v>54709</v>
      </c>
      <c r="B54710">
        <f>TEXT(54709, "[$-0E0000]yyyy-mm-dd")</f>
        <v/>
      </c>
      <c r="C54710" t="inlineStr">
        <is>
          <t>2049-09-18</t>
        </is>
      </c>
    </row>
    <row r="54711">
      <c r="A54711" s="1" t="n">
        <v>54710</v>
      </c>
      <c r="B54711">
        <f>TEXT(54710, "[$-0E0000]yyyy-mm-dd")</f>
        <v/>
      </c>
      <c r="C54711" t="inlineStr">
        <is>
          <t>2049-09-19</t>
        </is>
      </c>
    </row>
    <row r="54712">
      <c r="A54712" s="1" t="n">
        <v>54711</v>
      </c>
      <c r="B54712">
        <f>TEXT(54711, "[$-0E0000]yyyy-mm-dd")</f>
        <v/>
      </c>
      <c r="C54712" t="inlineStr">
        <is>
          <t>2049-09-20</t>
        </is>
      </c>
    </row>
    <row r="54713">
      <c r="A54713" s="1" t="n">
        <v>54712</v>
      </c>
      <c r="B54713">
        <f>TEXT(54712, "[$-0E0000]yyyy-mm-dd")</f>
        <v/>
      </c>
      <c r="C54713" t="inlineStr">
        <is>
          <t>2049-09-21</t>
        </is>
      </c>
    </row>
    <row r="54714">
      <c r="A54714" s="1" t="n">
        <v>54713</v>
      </c>
      <c r="B54714">
        <f>TEXT(54713, "[$-0E0000]yyyy-mm-dd")</f>
        <v/>
      </c>
      <c r="C54714" t="inlineStr">
        <is>
          <t>2049-09-22</t>
        </is>
      </c>
    </row>
    <row r="54715">
      <c r="A54715" s="1" t="n">
        <v>54714</v>
      </c>
      <c r="B54715">
        <f>TEXT(54714, "[$-0E0000]yyyy-mm-dd")</f>
        <v/>
      </c>
      <c r="C54715" t="inlineStr">
        <is>
          <t>2049-09-23</t>
        </is>
      </c>
    </row>
    <row r="54716">
      <c r="A54716" s="1" t="n">
        <v>54715</v>
      </c>
      <c r="B54716">
        <f>TEXT(54715, "[$-0E0000]yyyy-mm-dd")</f>
        <v/>
      </c>
      <c r="C54716" t="inlineStr">
        <is>
          <t>2049-09-24</t>
        </is>
      </c>
    </row>
    <row r="54717">
      <c r="A54717" s="1" t="n">
        <v>54716</v>
      </c>
      <c r="B54717">
        <f>TEXT(54716, "[$-0E0000]yyyy-mm-dd")</f>
        <v/>
      </c>
      <c r="C54717" t="inlineStr">
        <is>
          <t>2049-09-25</t>
        </is>
      </c>
    </row>
    <row r="54718">
      <c r="A54718" s="1" t="n">
        <v>54717</v>
      </c>
      <c r="B54718">
        <f>TEXT(54717, "[$-0E0000]yyyy-mm-dd")</f>
        <v/>
      </c>
      <c r="C54718" t="inlineStr">
        <is>
          <t>2049-09-26</t>
        </is>
      </c>
    </row>
    <row r="54719">
      <c r="A54719" s="1" t="n">
        <v>54718</v>
      </c>
      <c r="B54719">
        <f>TEXT(54718, "[$-0E0000]yyyy-mm-dd")</f>
        <v/>
      </c>
      <c r="C54719" t="inlineStr">
        <is>
          <t>2049-09-27</t>
        </is>
      </c>
    </row>
    <row r="54720">
      <c r="A54720" s="1" t="n">
        <v>54719</v>
      </c>
      <c r="B54720">
        <f>TEXT(54719, "[$-0E0000]yyyy-mm-dd")</f>
        <v/>
      </c>
      <c r="C54720" t="inlineStr">
        <is>
          <t>2049-09-28</t>
        </is>
      </c>
    </row>
    <row r="54721">
      <c r="A54721" s="1" t="n">
        <v>54720</v>
      </c>
      <c r="B54721">
        <f>TEXT(54720, "[$-0E0000]yyyy-mm-dd")</f>
        <v/>
      </c>
      <c r="C54721" t="inlineStr">
        <is>
          <t>2049-09-29</t>
        </is>
      </c>
    </row>
    <row r="54722">
      <c r="A54722" s="1" t="n">
        <v>54721</v>
      </c>
      <c r="B54722">
        <f>TEXT(54721, "[$-0E0000]yyyy-mm-dd")</f>
        <v/>
      </c>
      <c r="C54722" t="inlineStr">
        <is>
          <t>2049-09-30</t>
        </is>
      </c>
    </row>
    <row r="54723">
      <c r="A54723" s="1" t="n">
        <v>54722</v>
      </c>
      <c r="B54723">
        <f>TEXT(54722, "[$-0E0000]yyyy-mm-dd")</f>
        <v/>
      </c>
      <c r="C54723" t="inlineStr">
        <is>
          <t>2049-10-01</t>
        </is>
      </c>
    </row>
    <row r="54724">
      <c r="A54724" s="1" t="n">
        <v>54723</v>
      </c>
      <c r="B54724">
        <f>TEXT(54723, "[$-0E0000]yyyy-mm-dd")</f>
        <v/>
      </c>
      <c r="C54724" t="inlineStr">
        <is>
          <t>2049-10-02</t>
        </is>
      </c>
    </row>
    <row r="54725">
      <c r="A54725" s="1" t="n">
        <v>54724</v>
      </c>
      <c r="B54725">
        <f>TEXT(54724, "[$-0E0000]yyyy-mm-dd")</f>
        <v/>
      </c>
      <c r="C54725" t="inlineStr">
        <is>
          <t>2049-10-03</t>
        </is>
      </c>
    </row>
    <row r="54726">
      <c r="A54726" s="1" t="n">
        <v>54725</v>
      </c>
      <c r="B54726">
        <f>TEXT(54725, "[$-0E0000]yyyy-mm-dd")</f>
        <v/>
      </c>
      <c r="C54726" t="inlineStr">
        <is>
          <t>2049-10-04</t>
        </is>
      </c>
    </row>
    <row r="54727">
      <c r="A54727" s="1" t="n">
        <v>54726</v>
      </c>
      <c r="B54727">
        <f>TEXT(54726, "[$-0E0000]yyyy-mm-dd")</f>
        <v/>
      </c>
      <c r="C54727" t="inlineStr">
        <is>
          <t>2049-10-05</t>
        </is>
      </c>
    </row>
    <row r="54728">
      <c r="A54728" s="1" t="n">
        <v>54727</v>
      </c>
      <c r="B54728">
        <f>TEXT(54727, "[$-0E0000]yyyy-mm-dd")</f>
        <v/>
      </c>
      <c r="C54728" t="inlineStr">
        <is>
          <t>2049-10-06</t>
        </is>
      </c>
    </row>
    <row r="54729">
      <c r="A54729" s="1" t="n">
        <v>54728</v>
      </c>
      <c r="B54729">
        <f>TEXT(54728, "[$-0E0000]yyyy-mm-dd")</f>
        <v/>
      </c>
      <c r="C54729" t="inlineStr">
        <is>
          <t>2049-10-07</t>
        </is>
      </c>
    </row>
    <row r="54730">
      <c r="A54730" s="1" t="n">
        <v>54729</v>
      </c>
      <c r="B54730">
        <f>TEXT(54729, "[$-0E0000]yyyy-mm-dd")</f>
        <v/>
      </c>
      <c r="C54730" t="inlineStr">
        <is>
          <t>2049-10-08</t>
        </is>
      </c>
    </row>
    <row r="54731">
      <c r="A54731" s="1" t="n">
        <v>54730</v>
      </c>
      <c r="B54731">
        <f>TEXT(54730, "[$-0E0000]yyyy-mm-dd")</f>
        <v/>
      </c>
      <c r="C54731" t="inlineStr">
        <is>
          <t>2049-10-09</t>
        </is>
      </c>
    </row>
    <row r="54732">
      <c r="A54732" s="1" t="n">
        <v>54731</v>
      </c>
      <c r="B54732">
        <f>TEXT(54731, "[$-0E0000]yyyy-mm-dd")</f>
        <v/>
      </c>
      <c r="C54732" t="inlineStr">
        <is>
          <t>2049-10-10</t>
        </is>
      </c>
    </row>
    <row r="54733">
      <c r="A54733" s="1" t="n">
        <v>54732</v>
      </c>
      <c r="B54733">
        <f>TEXT(54732, "[$-0E0000]yyyy-mm-dd")</f>
        <v/>
      </c>
      <c r="C54733" t="inlineStr">
        <is>
          <t>2049-10-11</t>
        </is>
      </c>
    </row>
    <row r="54734">
      <c r="A54734" s="1" t="n">
        <v>54733</v>
      </c>
      <c r="B54734">
        <f>TEXT(54733, "[$-0E0000]yyyy-mm-dd")</f>
        <v/>
      </c>
      <c r="C54734" t="inlineStr">
        <is>
          <t>2049-10-12</t>
        </is>
      </c>
    </row>
    <row r="54735">
      <c r="A54735" s="1" t="n">
        <v>54734</v>
      </c>
      <c r="B54735">
        <f>TEXT(54734, "[$-0E0000]yyyy-mm-dd")</f>
        <v/>
      </c>
      <c r="C54735" t="inlineStr">
        <is>
          <t>2049-10-13</t>
        </is>
      </c>
    </row>
    <row r="54736">
      <c r="A54736" s="1" t="n">
        <v>54735</v>
      </c>
      <c r="B54736">
        <f>TEXT(54735, "[$-0E0000]yyyy-mm-dd")</f>
        <v/>
      </c>
      <c r="C54736" t="inlineStr">
        <is>
          <t>2049-10-14</t>
        </is>
      </c>
    </row>
    <row r="54737">
      <c r="A54737" s="1" t="n">
        <v>54736</v>
      </c>
      <c r="B54737">
        <f>TEXT(54736, "[$-0E0000]yyyy-mm-dd")</f>
        <v/>
      </c>
      <c r="C54737" t="inlineStr">
        <is>
          <t>2049-10-15</t>
        </is>
      </c>
    </row>
    <row r="54738">
      <c r="A54738" s="1" t="n">
        <v>54737</v>
      </c>
      <c r="B54738">
        <f>TEXT(54737, "[$-0E0000]yyyy-mm-dd")</f>
        <v/>
      </c>
      <c r="C54738" t="inlineStr">
        <is>
          <t>2049-10-16</t>
        </is>
      </c>
    </row>
    <row r="54739">
      <c r="A54739" s="1" t="n">
        <v>54738</v>
      </c>
      <c r="B54739">
        <f>TEXT(54738, "[$-0E0000]yyyy-mm-dd")</f>
        <v/>
      </c>
      <c r="C54739" t="inlineStr">
        <is>
          <t>2049-10-17</t>
        </is>
      </c>
    </row>
    <row r="54740">
      <c r="A54740" s="1" t="n">
        <v>54739</v>
      </c>
      <c r="B54740">
        <f>TEXT(54739, "[$-0E0000]yyyy-mm-dd")</f>
        <v/>
      </c>
      <c r="C54740" t="inlineStr">
        <is>
          <t>2049-10-18</t>
        </is>
      </c>
    </row>
    <row r="54741">
      <c r="A54741" s="1" t="n">
        <v>54740</v>
      </c>
      <c r="B54741">
        <f>TEXT(54740, "[$-0E0000]yyyy-mm-dd")</f>
        <v/>
      </c>
      <c r="C54741" t="inlineStr">
        <is>
          <t>2049-10-19</t>
        </is>
      </c>
    </row>
    <row r="54742">
      <c r="A54742" s="1" t="n">
        <v>54741</v>
      </c>
      <c r="B54742">
        <f>TEXT(54741, "[$-0E0000]yyyy-mm-dd")</f>
        <v/>
      </c>
      <c r="C54742" t="inlineStr">
        <is>
          <t>2049-10-20</t>
        </is>
      </c>
    </row>
    <row r="54743">
      <c r="A54743" s="1" t="n">
        <v>54742</v>
      </c>
      <c r="B54743">
        <f>TEXT(54742, "[$-0E0000]yyyy-mm-dd")</f>
        <v/>
      </c>
      <c r="C54743" t="inlineStr">
        <is>
          <t>2049-10-21</t>
        </is>
      </c>
    </row>
    <row r="54744">
      <c r="A54744" s="1" t="n">
        <v>54743</v>
      </c>
      <c r="B54744">
        <f>TEXT(54743, "[$-0E0000]yyyy-mm-dd")</f>
        <v/>
      </c>
      <c r="C54744" t="inlineStr">
        <is>
          <t>2049-10-22</t>
        </is>
      </c>
    </row>
    <row r="54745">
      <c r="A54745" s="1" t="n">
        <v>54744</v>
      </c>
      <c r="B54745">
        <f>TEXT(54744, "[$-0E0000]yyyy-mm-dd")</f>
        <v/>
      </c>
      <c r="C54745" t="inlineStr">
        <is>
          <t>2049-10-23</t>
        </is>
      </c>
    </row>
    <row r="54746">
      <c r="A54746" s="1" t="n">
        <v>54745</v>
      </c>
      <c r="B54746">
        <f>TEXT(54745, "[$-0E0000]yyyy-mm-dd")</f>
        <v/>
      </c>
      <c r="C54746" t="inlineStr">
        <is>
          <t>2049-10-24</t>
        </is>
      </c>
    </row>
    <row r="54747">
      <c r="A54747" s="1" t="n">
        <v>54746</v>
      </c>
      <c r="B54747">
        <f>TEXT(54746, "[$-0E0000]yyyy-mm-dd")</f>
        <v/>
      </c>
      <c r="C54747" t="inlineStr">
        <is>
          <t>2049-10-25</t>
        </is>
      </c>
    </row>
    <row r="54748">
      <c r="A54748" s="1" t="n">
        <v>54747</v>
      </c>
      <c r="B54748">
        <f>TEXT(54747, "[$-0E0000]yyyy-mm-dd")</f>
        <v/>
      </c>
      <c r="C54748" t="inlineStr">
        <is>
          <t>2049-10-26</t>
        </is>
      </c>
    </row>
    <row r="54749">
      <c r="A54749" s="1" t="n">
        <v>54748</v>
      </c>
      <c r="B54749">
        <f>TEXT(54748, "[$-0E0000]yyyy-mm-dd")</f>
        <v/>
      </c>
      <c r="C54749" t="inlineStr">
        <is>
          <t>2049-10-27</t>
        </is>
      </c>
    </row>
    <row r="54750">
      <c r="A54750" s="1" t="n">
        <v>54749</v>
      </c>
      <c r="B54750">
        <f>TEXT(54749, "[$-0E0000]yyyy-mm-dd")</f>
        <v/>
      </c>
      <c r="C54750" t="inlineStr">
        <is>
          <t>2049-10-28</t>
        </is>
      </c>
    </row>
    <row r="54751">
      <c r="A54751" s="1" t="n">
        <v>54750</v>
      </c>
      <c r="B54751">
        <f>TEXT(54750, "[$-0E0000]yyyy-mm-dd")</f>
        <v/>
      </c>
      <c r="C54751" t="inlineStr">
        <is>
          <t>2049-10-29</t>
        </is>
      </c>
    </row>
    <row r="54752">
      <c r="A54752" s="1" t="n">
        <v>54751</v>
      </c>
      <c r="B54752">
        <f>TEXT(54751, "[$-0E0000]yyyy-mm-dd")</f>
        <v/>
      </c>
      <c r="C54752" t="inlineStr">
        <is>
          <t>2049-11-01</t>
        </is>
      </c>
    </row>
    <row r="54753">
      <c r="A54753" s="1" t="n">
        <v>54752</v>
      </c>
      <c r="B54753">
        <f>TEXT(54752, "[$-0E0000]yyyy-mm-dd")</f>
        <v/>
      </c>
      <c r="C54753" t="inlineStr">
        <is>
          <t>2049-11-02</t>
        </is>
      </c>
    </row>
    <row r="54754">
      <c r="A54754" s="1" t="n">
        <v>54753</v>
      </c>
      <c r="B54754">
        <f>TEXT(54753, "[$-0E0000]yyyy-mm-dd")</f>
        <v/>
      </c>
      <c r="C54754" t="inlineStr">
        <is>
          <t>2049-11-03</t>
        </is>
      </c>
    </row>
    <row r="54755">
      <c r="A54755" s="1" t="n">
        <v>54754</v>
      </c>
      <c r="B54755">
        <f>TEXT(54754, "[$-0E0000]yyyy-mm-dd")</f>
        <v/>
      </c>
      <c r="C54755" t="inlineStr">
        <is>
          <t>2049-11-04</t>
        </is>
      </c>
    </row>
    <row r="54756">
      <c r="A54756" s="1" t="n">
        <v>54755</v>
      </c>
      <c r="B54756">
        <f>TEXT(54755, "[$-0E0000]yyyy-mm-dd")</f>
        <v/>
      </c>
      <c r="C54756" t="inlineStr">
        <is>
          <t>2049-11-05</t>
        </is>
      </c>
    </row>
    <row r="54757">
      <c r="A54757" s="1" t="n">
        <v>54756</v>
      </c>
      <c r="B54757">
        <f>TEXT(54756, "[$-0E0000]yyyy-mm-dd")</f>
        <v/>
      </c>
      <c r="C54757" t="inlineStr">
        <is>
          <t>2049-11-06</t>
        </is>
      </c>
    </row>
    <row r="54758">
      <c r="A54758" s="1" t="n">
        <v>54757</v>
      </c>
      <c r="B54758">
        <f>TEXT(54757, "[$-0E0000]yyyy-mm-dd")</f>
        <v/>
      </c>
      <c r="C54758" t="inlineStr">
        <is>
          <t>2049-11-07</t>
        </is>
      </c>
    </row>
    <row r="54759">
      <c r="A54759" s="1" t="n">
        <v>54758</v>
      </c>
      <c r="B54759">
        <f>TEXT(54758, "[$-0E0000]yyyy-mm-dd")</f>
        <v/>
      </c>
      <c r="C54759" t="inlineStr">
        <is>
          <t>2049-11-08</t>
        </is>
      </c>
    </row>
    <row r="54760">
      <c r="A54760" s="1" t="n">
        <v>54759</v>
      </c>
      <c r="B54760">
        <f>TEXT(54759, "[$-0E0000]yyyy-mm-dd")</f>
        <v/>
      </c>
      <c r="C54760" t="inlineStr">
        <is>
          <t>2049-11-09</t>
        </is>
      </c>
    </row>
    <row r="54761">
      <c r="A54761" s="1" t="n">
        <v>54760</v>
      </c>
      <c r="B54761">
        <f>TEXT(54760, "[$-0E0000]yyyy-mm-dd")</f>
        <v/>
      </c>
      <c r="C54761" t="inlineStr">
        <is>
          <t>2049-11-10</t>
        </is>
      </c>
    </row>
    <row r="54762">
      <c r="A54762" s="1" t="n">
        <v>54761</v>
      </c>
      <c r="B54762">
        <f>TEXT(54761, "[$-0E0000]yyyy-mm-dd")</f>
        <v/>
      </c>
      <c r="C54762" t="inlineStr">
        <is>
          <t>2049-11-11</t>
        </is>
      </c>
    </row>
    <row r="54763">
      <c r="A54763" s="1" t="n">
        <v>54762</v>
      </c>
      <c r="B54763">
        <f>TEXT(54762, "[$-0E0000]yyyy-mm-dd")</f>
        <v/>
      </c>
      <c r="C54763" t="inlineStr">
        <is>
          <t>2049-11-12</t>
        </is>
      </c>
    </row>
    <row r="54764">
      <c r="A54764" s="1" t="n">
        <v>54763</v>
      </c>
      <c r="B54764">
        <f>TEXT(54763, "[$-0E0000]yyyy-mm-dd")</f>
        <v/>
      </c>
      <c r="C54764" t="inlineStr">
        <is>
          <t>2049-11-13</t>
        </is>
      </c>
    </row>
    <row r="54765">
      <c r="A54765" s="1" t="n">
        <v>54764</v>
      </c>
      <c r="B54765">
        <f>TEXT(54764, "[$-0E0000]yyyy-mm-dd")</f>
        <v/>
      </c>
      <c r="C54765" t="inlineStr">
        <is>
          <t>2049-11-14</t>
        </is>
      </c>
    </row>
    <row r="54766">
      <c r="A54766" s="1" t="n">
        <v>54765</v>
      </c>
      <c r="B54766">
        <f>TEXT(54765, "[$-0E0000]yyyy-mm-dd")</f>
        <v/>
      </c>
      <c r="C54766" t="inlineStr">
        <is>
          <t>2049-11-15</t>
        </is>
      </c>
    </row>
    <row r="54767">
      <c r="A54767" s="1" t="n">
        <v>54766</v>
      </c>
      <c r="B54767">
        <f>TEXT(54766, "[$-0E0000]yyyy-mm-dd")</f>
        <v/>
      </c>
      <c r="C54767" t="inlineStr">
        <is>
          <t>2049-11-16</t>
        </is>
      </c>
    </row>
    <row r="54768">
      <c r="A54768" s="1" t="n">
        <v>54767</v>
      </c>
      <c r="B54768">
        <f>TEXT(54767, "[$-0E0000]yyyy-mm-dd")</f>
        <v/>
      </c>
      <c r="C54768" t="inlineStr">
        <is>
          <t>2049-11-17</t>
        </is>
      </c>
    </row>
    <row r="54769">
      <c r="A54769" s="1" t="n">
        <v>54768</v>
      </c>
      <c r="B54769">
        <f>TEXT(54768, "[$-0E0000]yyyy-mm-dd")</f>
        <v/>
      </c>
      <c r="C54769" t="inlineStr">
        <is>
          <t>2049-11-18</t>
        </is>
      </c>
    </row>
    <row r="54770">
      <c r="A54770" s="1" t="n">
        <v>54769</v>
      </c>
      <c r="B54770">
        <f>TEXT(54769, "[$-0E0000]yyyy-mm-dd")</f>
        <v/>
      </c>
      <c r="C54770" t="inlineStr">
        <is>
          <t>2049-11-19</t>
        </is>
      </c>
    </row>
    <row r="54771">
      <c r="A54771" s="1" t="n">
        <v>54770</v>
      </c>
      <c r="B54771">
        <f>TEXT(54770, "[$-0E0000]yyyy-mm-dd")</f>
        <v/>
      </c>
      <c r="C54771" t="inlineStr">
        <is>
          <t>2049-11-20</t>
        </is>
      </c>
    </row>
    <row r="54772">
      <c r="A54772" s="1" t="n">
        <v>54771</v>
      </c>
      <c r="B54772">
        <f>TEXT(54771, "[$-0E0000]yyyy-mm-dd")</f>
        <v/>
      </c>
      <c r="C54772" t="inlineStr">
        <is>
          <t>2049-11-21</t>
        </is>
      </c>
    </row>
    <row r="54773">
      <c r="A54773" s="1" t="n">
        <v>54772</v>
      </c>
      <c r="B54773">
        <f>TEXT(54772, "[$-0E0000]yyyy-mm-dd")</f>
        <v/>
      </c>
      <c r="C54773" t="inlineStr">
        <is>
          <t>2049-11-22</t>
        </is>
      </c>
    </row>
    <row r="54774">
      <c r="A54774" s="1" t="n">
        <v>54773</v>
      </c>
      <c r="B54774">
        <f>TEXT(54773, "[$-0E0000]yyyy-mm-dd")</f>
        <v/>
      </c>
      <c r="C54774" t="inlineStr">
        <is>
          <t>2049-11-23</t>
        </is>
      </c>
    </row>
    <row r="54775">
      <c r="A54775" s="1" t="n">
        <v>54774</v>
      </c>
      <c r="B54775">
        <f>TEXT(54774, "[$-0E0000]yyyy-mm-dd")</f>
        <v/>
      </c>
      <c r="C54775" t="inlineStr">
        <is>
          <t>2049-11-24</t>
        </is>
      </c>
    </row>
    <row r="54776">
      <c r="A54776" s="1" t="n">
        <v>54775</v>
      </c>
      <c r="B54776">
        <f>TEXT(54775, "[$-0E0000]yyyy-mm-dd")</f>
        <v/>
      </c>
      <c r="C54776" t="inlineStr">
        <is>
          <t>2049-11-25</t>
        </is>
      </c>
    </row>
    <row r="54777">
      <c r="A54777" s="1" t="n">
        <v>54776</v>
      </c>
      <c r="B54777">
        <f>TEXT(54776, "[$-0E0000]yyyy-mm-dd")</f>
        <v/>
      </c>
      <c r="C54777" t="inlineStr">
        <is>
          <t>2049-11-26</t>
        </is>
      </c>
    </row>
    <row r="54778">
      <c r="A54778" s="1" t="n">
        <v>54777</v>
      </c>
      <c r="B54778">
        <f>TEXT(54777, "[$-0E0000]yyyy-mm-dd")</f>
        <v/>
      </c>
      <c r="C54778" t="inlineStr">
        <is>
          <t>2049-11-27</t>
        </is>
      </c>
    </row>
    <row r="54779">
      <c r="A54779" s="1" t="n">
        <v>54778</v>
      </c>
      <c r="B54779">
        <f>TEXT(54778, "[$-0E0000]yyyy-mm-dd")</f>
        <v/>
      </c>
      <c r="C54779" t="inlineStr">
        <is>
          <t>2049-11-28</t>
        </is>
      </c>
    </row>
    <row r="54780">
      <c r="A54780" s="1" t="n">
        <v>54779</v>
      </c>
      <c r="B54780">
        <f>TEXT(54779, "[$-0E0000]yyyy-mm-dd")</f>
        <v/>
      </c>
      <c r="C54780" t="inlineStr">
        <is>
          <t>2049-11-29</t>
        </is>
      </c>
    </row>
    <row r="54781">
      <c r="A54781" s="1" t="n">
        <v>54780</v>
      </c>
      <c r="B54781">
        <f>TEXT(54780, "[$-0E0000]yyyy-mm-dd")</f>
        <v/>
      </c>
      <c r="C54781" t="inlineStr">
        <is>
          <t>2049-11-30</t>
        </is>
      </c>
    </row>
    <row r="54782">
      <c r="A54782" s="1" t="n">
        <v>54781</v>
      </c>
      <c r="B54782">
        <f>TEXT(54781, "[$-0E0000]yyyy-mm-dd")</f>
        <v/>
      </c>
      <c r="C54782" t="inlineStr">
        <is>
          <t>2049-12-01</t>
        </is>
      </c>
    </row>
    <row r="54783">
      <c r="A54783" s="1" t="n">
        <v>54782</v>
      </c>
      <c r="B54783">
        <f>TEXT(54782, "[$-0E0000]yyyy-mm-dd")</f>
        <v/>
      </c>
      <c r="C54783" t="inlineStr">
        <is>
          <t>2049-12-02</t>
        </is>
      </c>
    </row>
    <row r="54784">
      <c r="A54784" s="1" t="n">
        <v>54783</v>
      </c>
      <c r="B54784">
        <f>TEXT(54783, "[$-0E0000]yyyy-mm-dd")</f>
        <v/>
      </c>
      <c r="C54784" t="inlineStr">
        <is>
          <t>2049-12-03</t>
        </is>
      </c>
    </row>
    <row r="54785">
      <c r="A54785" s="1" t="n">
        <v>54784</v>
      </c>
      <c r="B54785">
        <f>TEXT(54784, "[$-0E0000]yyyy-mm-dd")</f>
        <v/>
      </c>
      <c r="C54785" t="inlineStr">
        <is>
          <t>2049-12-04</t>
        </is>
      </c>
    </row>
    <row r="54786">
      <c r="A54786" s="1" t="n">
        <v>54785</v>
      </c>
      <c r="B54786">
        <f>TEXT(54785, "[$-0E0000]yyyy-mm-dd")</f>
        <v/>
      </c>
      <c r="C54786" t="inlineStr">
        <is>
          <t>2049-12-05</t>
        </is>
      </c>
    </row>
    <row r="54787">
      <c r="A54787" s="1" t="n">
        <v>54786</v>
      </c>
      <c r="B54787">
        <f>TEXT(54786, "[$-0E0000]yyyy-mm-dd")</f>
        <v/>
      </c>
      <c r="C54787" t="inlineStr">
        <is>
          <t>2049-12-06</t>
        </is>
      </c>
    </row>
    <row r="54788">
      <c r="A54788" s="1" t="n">
        <v>54787</v>
      </c>
      <c r="B54788">
        <f>TEXT(54787, "[$-0E0000]yyyy-mm-dd")</f>
        <v/>
      </c>
      <c r="C54788" t="inlineStr">
        <is>
          <t>2049-12-07</t>
        </is>
      </c>
    </row>
    <row r="54789">
      <c r="A54789" s="1" t="n">
        <v>54788</v>
      </c>
      <c r="B54789">
        <f>TEXT(54788, "[$-0E0000]yyyy-mm-dd")</f>
        <v/>
      </c>
      <c r="C54789" t="inlineStr">
        <is>
          <t>2049-12-08</t>
        </is>
      </c>
    </row>
    <row r="54790">
      <c r="A54790" s="1" t="n">
        <v>54789</v>
      </c>
      <c r="B54790">
        <f>TEXT(54789, "[$-0E0000]yyyy-mm-dd")</f>
        <v/>
      </c>
      <c r="C54790" t="inlineStr">
        <is>
          <t>2049-12-09</t>
        </is>
      </c>
    </row>
    <row r="54791">
      <c r="A54791" s="1" t="n">
        <v>54790</v>
      </c>
      <c r="B54791">
        <f>TEXT(54790, "[$-0E0000]yyyy-mm-dd")</f>
        <v/>
      </c>
      <c r="C54791" t="inlineStr">
        <is>
          <t>2049-12-10</t>
        </is>
      </c>
    </row>
    <row r="54792">
      <c r="A54792" s="1" t="n">
        <v>54791</v>
      </c>
      <c r="B54792">
        <f>TEXT(54791, "[$-0E0000]yyyy-mm-dd")</f>
        <v/>
      </c>
      <c r="C54792" t="inlineStr">
        <is>
          <t>2049-12-11</t>
        </is>
      </c>
    </row>
    <row r="54793">
      <c r="A54793" s="1" t="n">
        <v>54792</v>
      </c>
      <c r="B54793">
        <f>TEXT(54792, "[$-0E0000]yyyy-mm-dd")</f>
        <v/>
      </c>
      <c r="C54793" t="inlineStr">
        <is>
          <t>2049-12-12</t>
        </is>
      </c>
    </row>
    <row r="54794">
      <c r="A54794" s="1" t="n">
        <v>54793</v>
      </c>
      <c r="B54794">
        <f>TEXT(54793, "[$-0E0000]yyyy-mm-dd")</f>
        <v/>
      </c>
      <c r="C54794" t="inlineStr">
        <is>
          <t>2049-12-13</t>
        </is>
      </c>
    </row>
    <row r="54795">
      <c r="A54795" s="1" t="n">
        <v>54794</v>
      </c>
      <c r="B54795">
        <f>TEXT(54794, "[$-0E0000]yyyy-mm-dd")</f>
        <v/>
      </c>
      <c r="C54795" t="inlineStr">
        <is>
          <t>2049-12-14</t>
        </is>
      </c>
    </row>
    <row r="54796">
      <c r="A54796" s="1" t="n">
        <v>54795</v>
      </c>
      <c r="B54796">
        <f>TEXT(54795, "[$-0E0000]yyyy-mm-dd")</f>
        <v/>
      </c>
      <c r="C54796" t="inlineStr">
        <is>
          <t>2049-12-15</t>
        </is>
      </c>
    </row>
    <row r="54797">
      <c r="A54797" s="1" t="n">
        <v>54796</v>
      </c>
      <c r="B54797">
        <f>TEXT(54796, "[$-0E0000]yyyy-mm-dd")</f>
        <v/>
      </c>
      <c r="C54797" t="inlineStr">
        <is>
          <t>2049-12-16</t>
        </is>
      </c>
    </row>
    <row r="54798">
      <c r="A54798" s="1" t="n">
        <v>54797</v>
      </c>
      <c r="B54798">
        <f>TEXT(54797, "[$-0E0000]yyyy-mm-dd")</f>
        <v/>
      </c>
      <c r="C54798" t="inlineStr">
        <is>
          <t>2049-12-17</t>
        </is>
      </c>
    </row>
    <row r="54799">
      <c r="A54799" s="1" t="n">
        <v>54798</v>
      </c>
      <c r="B54799">
        <f>TEXT(54798, "[$-0E0000]yyyy-mm-dd")</f>
        <v/>
      </c>
      <c r="C54799" t="inlineStr">
        <is>
          <t>2049-12-18</t>
        </is>
      </c>
    </row>
    <row r="54800">
      <c r="A54800" s="1" t="n">
        <v>54799</v>
      </c>
      <c r="B54800">
        <f>TEXT(54799, "[$-0E0000]yyyy-mm-dd")</f>
        <v/>
      </c>
      <c r="C54800" t="inlineStr">
        <is>
          <t>2049-12-19</t>
        </is>
      </c>
    </row>
    <row r="54801">
      <c r="A54801" s="1" t="n">
        <v>54800</v>
      </c>
      <c r="B54801">
        <f>TEXT(54800, "[$-0E0000]yyyy-mm-dd")</f>
        <v/>
      </c>
      <c r="C54801" t="inlineStr">
        <is>
          <t>2049-12-20</t>
        </is>
      </c>
    </row>
    <row r="54802">
      <c r="A54802" s="1" t="n">
        <v>54801</v>
      </c>
      <c r="B54802">
        <f>TEXT(54801, "[$-0E0000]yyyy-mm-dd")</f>
        <v/>
      </c>
      <c r="C54802" t="inlineStr">
        <is>
          <t>2049-12-21</t>
        </is>
      </c>
    </row>
    <row r="54803">
      <c r="A54803" s="1" t="n">
        <v>54802</v>
      </c>
      <c r="B54803">
        <f>TEXT(54802, "[$-0E0000]yyyy-mm-dd")</f>
        <v/>
      </c>
      <c r="C54803" t="inlineStr">
        <is>
          <t>2049-12-22</t>
        </is>
      </c>
    </row>
    <row r="54804">
      <c r="A54804" s="1" t="n">
        <v>54803</v>
      </c>
      <c r="B54804">
        <f>TEXT(54803, "[$-0E0000]yyyy-mm-dd")</f>
        <v/>
      </c>
      <c r="C54804" t="inlineStr">
        <is>
          <t>2049-12-23</t>
        </is>
      </c>
    </row>
    <row r="54805">
      <c r="A54805" s="1" t="n">
        <v>54804</v>
      </c>
      <c r="B54805">
        <f>TEXT(54804, "[$-0E0000]yyyy-mm-dd")</f>
        <v/>
      </c>
      <c r="C54805" t="inlineStr">
        <is>
          <t>2049-12-24</t>
        </is>
      </c>
    </row>
    <row r="54806">
      <c r="A54806" s="1" t="n">
        <v>54805</v>
      </c>
      <c r="B54806">
        <f>TEXT(54805, "[$-0E0000]yyyy-mm-dd")</f>
        <v/>
      </c>
      <c r="C54806" t="inlineStr">
        <is>
          <t>2049-12-25</t>
        </is>
      </c>
    </row>
    <row r="54807">
      <c r="A54807" s="1" t="n">
        <v>54806</v>
      </c>
      <c r="B54807">
        <f>TEXT(54806, "[$-0E0000]yyyy-mm-dd")</f>
        <v/>
      </c>
      <c r="C54807" t="inlineStr">
        <is>
          <t>2049-12-26</t>
        </is>
      </c>
    </row>
    <row r="54808">
      <c r="A54808" s="1" t="n">
        <v>54807</v>
      </c>
      <c r="B54808">
        <f>TEXT(54807, "[$-0E0000]yyyy-mm-dd")</f>
        <v/>
      </c>
      <c r="C54808" t="inlineStr">
        <is>
          <t>2049-12-27</t>
        </is>
      </c>
    </row>
    <row r="54809">
      <c r="A54809" s="1" t="n">
        <v>54808</v>
      </c>
      <c r="B54809">
        <f>TEXT(54808, "[$-0E0000]yyyy-mm-dd")</f>
        <v/>
      </c>
      <c r="C54809" t="inlineStr">
        <is>
          <t>2049-12-28</t>
        </is>
      </c>
    </row>
    <row r="54810">
      <c r="A54810" s="1" t="n">
        <v>54809</v>
      </c>
      <c r="B54810">
        <f>TEXT(54809, "[$-0E0000]yyyy-mm-dd")</f>
        <v/>
      </c>
      <c r="C54810" t="inlineStr">
        <is>
          <t>2049-12-29</t>
        </is>
      </c>
    </row>
    <row r="54811">
      <c r="A54811" s="1" t="n">
        <v>54810</v>
      </c>
      <c r="B54811">
        <f>TEXT(54810, "[$-0E0000]yyyy-mm-dd")</f>
        <v/>
      </c>
      <c r="C54811" t="inlineStr">
        <is>
          <t>2050-01-01</t>
        </is>
      </c>
    </row>
    <row r="54812">
      <c r="A54812" s="1" t="n">
        <v>54811</v>
      </c>
      <c r="B54812">
        <f>TEXT(54811, "[$-0E0000]yyyy-mm-dd")</f>
        <v/>
      </c>
      <c r="C54812" t="inlineStr">
        <is>
          <t>2050-01-02</t>
        </is>
      </c>
    </row>
    <row r="54813">
      <c r="A54813" s="1" t="n">
        <v>54812</v>
      </c>
      <c r="B54813">
        <f>TEXT(54812, "[$-0E0000]yyyy-mm-dd")</f>
        <v/>
      </c>
      <c r="C54813" t="inlineStr">
        <is>
          <t>2050-01-03</t>
        </is>
      </c>
    </row>
    <row r="54814">
      <c r="A54814" s="1" t="n">
        <v>54813</v>
      </c>
      <c r="B54814">
        <f>TEXT(54813, "[$-0E0000]yyyy-mm-dd")</f>
        <v/>
      </c>
      <c r="C54814" t="inlineStr">
        <is>
          <t>2050-01-04</t>
        </is>
      </c>
    </row>
    <row r="54815">
      <c r="A54815" s="1" t="n">
        <v>54814</v>
      </c>
      <c r="B54815">
        <f>TEXT(54814, "[$-0E0000]yyyy-mm-dd")</f>
        <v/>
      </c>
      <c r="C54815" t="inlineStr">
        <is>
          <t>2050-01-05</t>
        </is>
      </c>
    </row>
    <row r="54816">
      <c r="A54816" s="1" t="n">
        <v>54815</v>
      </c>
      <c r="B54816">
        <f>TEXT(54815, "[$-0E0000]yyyy-mm-dd")</f>
        <v/>
      </c>
      <c r="C54816" t="inlineStr">
        <is>
          <t>2050-01-06</t>
        </is>
      </c>
    </row>
    <row r="54817">
      <c r="A54817" s="1" t="n">
        <v>54816</v>
      </c>
      <c r="B54817">
        <f>TEXT(54816, "[$-0E0000]yyyy-mm-dd")</f>
        <v/>
      </c>
      <c r="C54817" t="inlineStr">
        <is>
          <t>2050-01-07</t>
        </is>
      </c>
    </row>
    <row r="54818">
      <c r="A54818" s="1" t="n">
        <v>54817</v>
      </c>
      <c r="B54818">
        <f>TEXT(54817, "[$-0E0000]yyyy-mm-dd")</f>
        <v/>
      </c>
      <c r="C54818" t="inlineStr">
        <is>
          <t>2050-01-08</t>
        </is>
      </c>
    </row>
    <row r="54819">
      <c r="A54819" s="1" t="n">
        <v>54818</v>
      </c>
      <c r="B54819">
        <f>TEXT(54818, "[$-0E0000]yyyy-mm-dd")</f>
        <v/>
      </c>
      <c r="C54819" t="inlineStr">
        <is>
          <t>2050-01-09</t>
        </is>
      </c>
    </row>
    <row r="54820">
      <c r="A54820" s="1" t="n">
        <v>54819</v>
      </c>
      <c r="B54820">
        <f>TEXT(54819, "[$-0E0000]yyyy-mm-dd")</f>
        <v/>
      </c>
      <c r="C54820" t="inlineStr">
        <is>
          <t>2050-01-10</t>
        </is>
      </c>
    </row>
    <row r="54821">
      <c r="A54821" s="1" t="n">
        <v>54820</v>
      </c>
      <c r="B54821">
        <f>TEXT(54820, "[$-0E0000]yyyy-mm-dd")</f>
        <v/>
      </c>
      <c r="C54821" t="inlineStr">
        <is>
          <t>2050-01-11</t>
        </is>
      </c>
    </row>
    <row r="54822">
      <c r="A54822" s="1" t="n">
        <v>54821</v>
      </c>
      <c r="B54822">
        <f>TEXT(54821, "[$-0E0000]yyyy-mm-dd")</f>
        <v/>
      </c>
      <c r="C54822" t="inlineStr">
        <is>
          <t>2050-01-12</t>
        </is>
      </c>
    </row>
    <row r="54823">
      <c r="A54823" s="1" t="n">
        <v>54822</v>
      </c>
      <c r="B54823">
        <f>TEXT(54822, "[$-0E0000]yyyy-mm-dd")</f>
        <v/>
      </c>
      <c r="C54823" t="inlineStr">
        <is>
          <t>2050-01-13</t>
        </is>
      </c>
    </row>
    <row r="54824">
      <c r="A54824" s="1" t="n">
        <v>54823</v>
      </c>
      <c r="B54824">
        <f>TEXT(54823, "[$-0E0000]yyyy-mm-dd")</f>
        <v/>
      </c>
      <c r="C54824" t="inlineStr">
        <is>
          <t>2050-01-14</t>
        </is>
      </c>
    </row>
    <row r="54825">
      <c r="A54825" s="1" t="n">
        <v>54824</v>
      </c>
      <c r="B54825">
        <f>TEXT(54824, "[$-0E0000]yyyy-mm-dd")</f>
        <v/>
      </c>
      <c r="C54825" t="inlineStr">
        <is>
          <t>2050-01-15</t>
        </is>
      </c>
    </row>
    <row r="54826">
      <c r="A54826" s="1" t="n">
        <v>54825</v>
      </c>
      <c r="B54826">
        <f>TEXT(54825, "[$-0E0000]yyyy-mm-dd")</f>
        <v/>
      </c>
      <c r="C54826" t="inlineStr">
        <is>
          <t>2050-01-16</t>
        </is>
      </c>
    </row>
    <row r="54827">
      <c r="A54827" s="1" t="n">
        <v>54826</v>
      </c>
      <c r="B54827">
        <f>TEXT(54826, "[$-0E0000]yyyy-mm-dd")</f>
        <v/>
      </c>
      <c r="C54827" t="inlineStr">
        <is>
          <t>2050-01-17</t>
        </is>
      </c>
    </row>
    <row r="54828">
      <c r="A54828" s="1" t="n">
        <v>54827</v>
      </c>
      <c r="B54828">
        <f>TEXT(54827, "[$-0E0000]yyyy-mm-dd")</f>
        <v/>
      </c>
      <c r="C54828" t="inlineStr">
        <is>
          <t>2050-01-18</t>
        </is>
      </c>
    </row>
    <row r="54829">
      <c r="A54829" s="1" t="n">
        <v>54828</v>
      </c>
      <c r="B54829">
        <f>TEXT(54828, "[$-0E0000]yyyy-mm-dd")</f>
        <v/>
      </c>
      <c r="C54829" t="inlineStr">
        <is>
          <t>2050-01-19</t>
        </is>
      </c>
    </row>
    <row r="54830">
      <c r="A54830" s="1" t="n">
        <v>54829</v>
      </c>
      <c r="B54830">
        <f>TEXT(54829, "[$-0E0000]yyyy-mm-dd")</f>
        <v/>
      </c>
      <c r="C54830" t="inlineStr">
        <is>
          <t>2050-01-20</t>
        </is>
      </c>
    </row>
    <row r="54831">
      <c r="A54831" s="1" t="n">
        <v>54830</v>
      </c>
      <c r="B54831">
        <f>TEXT(54830, "[$-0E0000]yyyy-mm-dd")</f>
        <v/>
      </c>
      <c r="C54831" t="inlineStr">
        <is>
          <t>2050-01-21</t>
        </is>
      </c>
    </row>
    <row r="54832">
      <c r="A54832" s="1" t="n">
        <v>54831</v>
      </c>
      <c r="B54832">
        <f>TEXT(54831, "[$-0E0000]yyyy-mm-dd")</f>
        <v/>
      </c>
      <c r="C54832" t="inlineStr">
        <is>
          <t>2050-01-22</t>
        </is>
      </c>
    </row>
    <row r="54833">
      <c r="A54833" s="1" t="n">
        <v>54832</v>
      </c>
      <c r="B54833">
        <f>TEXT(54832, "[$-0E0000]yyyy-mm-dd")</f>
        <v/>
      </c>
      <c r="C54833" t="inlineStr">
        <is>
          <t>2050-01-23</t>
        </is>
      </c>
    </row>
    <row r="54834">
      <c r="A54834" s="1" t="n">
        <v>54833</v>
      </c>
      <c r="B54834">
        <f>TEXT(54833, "[$-0E0000]yyyy-mm-dd")</f>
        <v/>
      </c>
      <c r="C54834" t="inlineStr">
        <is>
          <t>2050-01-24</t>
        </is>
      </c>
    </row>
    <row r="54835">
      <c r="A54835" s="1" t="n">
        <v>54834</v>
      </c>
      <c r="B54835">
        <f>TEXT(54834, "[$-0E0000]yyyy-mm-dd")</f>
        <v/>
      </c>
      <c r="C54835" t="inlineStr">
        <is>
          <t>2050-01-25</t>
        </is>
      </c>
    </row>
    <row r="54836">
      <c r="A54836" s="1" t="n">
        <v>54835</v>
      </c>
      <c r="B54836">
        <f>TEXT(54835, "[$-0E0000]yyyy-mm-dd")</f>
        <v/>
      </c>
      <c r="C54836" t="inlineStr">
        <is>
          <t>2050-01-26</t>
        </is>
      </c>
    </row>
    <row r="54837">
      <c r="A54837" s="1" t="n">
        <v>54836</v>
      </c>
      <c r="B54837">
        <f>TEXT(54836, "[$-0E0000]yyyy-mm-dd")</f>
        <v/>
      </c>
      <c r="C54837" t="inlineStr">
        <is>
          <t>2050-01-27</t>
        </is>
      </c>
    </row>
    <row r="54838">
      <c r="A54838" s="1" t="n">
        <v>54837</v>
      </c>
      <c r="B54838">
        <f>TEXT(54837, "[$-0E0000]yyyy-mm-dd")</f>
        <v/>
      </c>
      <c r="C54838" t="inlineStr">
        <is>
          <t>2050-01-28</t>
        </is>
      </c>
    </row>
    <row r="54839">
      <c r="A54839" s="1" t="n">
        <v>54838</v>
      </c>
      <c r="B54839">
        <f>TEXT(54838, "[$-0E0000]yyyy-mm-dd")</f>
        <v/>
      </c>
      <c r="C54839" t="inlineStr">
        <is>
          <t>2050-01-29</t>
        </is>
      </c>
    </row>
    <row r="54840">
      <c r="A54840" s="1" t="n">
        <v>54839</v>
      </c>
      <c r="B54840">
        <f>TEXT(54839, "[$-0E0000]yyyy-mm-dd")</f>
        <v/>
      </c>
      <c r="C54840" t="inlineStr">
        <is>
          <t>2050-02-01</t>
        </is>
      </c>
    </row>
    <row r="54841">
      <c r="A54841" s="1" t="n">
        <v>54840</v>
      </c>
      <c r="B54841">
        <f>TEXT(54840, "[$-0E0000]yyyy-mm-dd")</f>
        <v/>
      </c>
      <c r="C54841" t="inlineStr">
        <is>
          <t>2050-02-02</t>
        </is>
      </c>
    </row>
    <row r="54842">
      <c r="A54842" s="1" t="n">
        <v>54841</v>
      </c>
      <c r="B54842">
        <f>TEXT(54841, "[$-0E0000]yyyy-mm-dd")</f>
        <v/>
      </c>
      <c r="C54842" t="inlineStr">
        <is>
          <t>2050-02-03</t>
        </is>
      </c>
    </row>
    <row r="54843">
      <c r="A54843" s="1" t="n">
        <v>54842</v>
      </c>
      <c r="B54843">
        <f>TEXT(54842, "[$-0E0000]yyyy-mm-dd")</f>
        <v/>
      </c>
      <c r="C54843" t="inlineStr">
        <is>
          <t>2050-02-04</t>
        </is>
      </c>
    </row>
    <row r="54844">
      <c r="A54844" s="1" t="n">
        <v>54843</v>
      </c>
      <c r="B54844">
        <f>TEXT(54843, "[$-0E0000]yyyy-mm-dd")</f>
        <v/>
      </c>
      <c r="C54844" t="inlineStr">
        <is>
          <t>2050-02-05</t>
        </is>
      </c>
    </row>
    <row r="54845">
      <c r="A54845" s="1" t="n">
        <v>54844</v>
      </c>
      <c r="B54845">
        <f>TEXT(54844, "[$-0E0000]yyyy-mm-dd")</f>
        <v/>
      </c>
      <c r="C54845" t="inlineStr">
        <is>
          <t>2050-02-06</t>
        </is>
      </c>
    </row>
    <row r="54846">
      <c r="A54846" s="1" t="n">
        <v>54845</v>
      </c>
      <c r="B54846">
        <f>TEXT(54845, "[$-0E0000]yyyy-mm-dd")</f>
        <v/>
      </c>
      <c r="C54846" t="inlineStr">
        <is>
          <t>2050-02-07</t>
        </is>
      </c>
    </row>
    <row r="54847">
      <c r="A54847" s="1" t="n">
        <v>54846</v>
      </c>
      <c r="B54847">
        <f>TEXT(54846, "[$-0E0000]yyyy-mm-dd")</f>
        <v/>
      </c>
      <c r="C54847" t="inlineStr">
        <is>
          <t>2050-02-08</t>
        </is>
      </c>
    </row>
    <row r="54848">
      <c r="A54848" s="1" t="n">
        <v>54847</v>
      </c>
      <c r="B54848">
        <f>TEXT(54847, "[$-0E0000]yyyy-mm-dd")</f>
        <v/>
      </c>
      <c r="C54848" t="inlineStr">
        <is>
          <t>2050-02-09</t>
        </is>
      </c>
    </row>
    <row r="54849">
      <c r="A54849" s="1" t="n">
        <v>54848</v>
      </c>
      <c r="B54849">
        <f>TEXT(54848, "[$-0E0000]yyyy-mm-dd")</f>
        <v/>
      </c>
      <c r="C54849" t="inlineStr">
        <is>
          <t>2050-02-10</t>
        </is>
      </c>
    </row>
    <row r="54850">
      <c r="A54850" s="1" t="n">
        <v>54849</v>
      </c>
      <c r="B54850">
        <f>TEXT(54849, "[$-0E0000]yyyy-mm-dd")</f>
        <v/>
      </c>
      <c r="C54850" t="inlineStr">
        <is>
          <t>2050-02-11</t>
        </is>
      </c>
    </row>
    <row r="54851">
      <c r="A54851" s="1" t="n">
        <v>54850</v>
      </c>
      <c r="B54851">
        <f>TEXT(54850, "[$-0E0000]yyyy-mm-dd")</f>
        <v/>
      </c>
      <c r="C54851" t="inlineStr">
        <is>
          <t>2050-02-12</t>
        </is>
      </c>
    </row>
    <row r="54852">
      <c r="A54852" s="1" t="n">
        <v>54851</v>
      </c>
      <c r="B54852">
        <f>TEXT(54851, "[$-0E0000]yyyy-mm-dd")</f>
        <v/>
      </c>
      <c r="C54852" t="inlineStr">
        <is>
          <t>2050-02-13</t>
        </is>
      </c>
    </row>
    <row r="54853">
      <c r="A54853" s="1" t="n">
        <v>54852</v>
      </c>
      <c r="B54853">
        <f>TEXT(54852, "[$-0E0000]yyyy-mm-dd")</f>
        <v/>
      </c>
      <c r="C54853" t="inlineStr">
        <is>
          <t>2050-02-14</t>
        </is>
      </c>
    </row>
    <row r="54854">
      <c r="A54854" s="1" t="n">
        <v>54853</v>
      </c>
      <c r="B54854">
        <f>TEXT(54853, "[$-0E0000]yyyy-mm-dd")</f>
        <v/>
      </c>
      <c r="C54854" t="inlineStr">
        <is>
          <t>2050-02-15</t>
        </is>
      </c>
    </row>
    <row r="54855">
      <c r="A54855" s="1" t="n">
        <v>54854</v>
      </c>
      <c r="B54855">
        <f>TEXT(54854, "[$-0E0000]yyyy-mm-dd")</f>
        <v/>
      </c>
      <c r="C54855" t="inlineStr">
        <is>
          <t>2050-02-16</t>
        </is>
      </c>
    </row>
    <row r="54856">
      <c r="A54856" s="1" t="n">
        <v>54855</v>
      </c>
      <c r="B54856">
        <f>TEXT(54855, "[$-0E0000]yyyy-mm-dd")</f>
        <v/>
      </c>
      <c r="C54856" t="inlineStr">
        <is>
          <t>2050-02-17</t>
        </is>
      </c>
    </row>
    <row r="54857">
      <c r="A54857" s="1" t="n">
        <v>54856</v>
      </c>
      <c r="B54857">
        <f>TEXT(54856, "[$-0E0000]yyyy-mm-dd")</f>
        <v/>
      </c>
      <c r="C54857" t="inlineStr">
        <is>
          <t>2050-02-18</t>
        </is>
      </c>
    </row>
    <row r="54858">
      <c r="A54858" s="1" t="n">
        <v>54857</v>
      </c>
      <c r="B54858">
        <f>TEXT(54857, "[$-0E0000]yyyy-mm-dd")</f>
        <v/>
      </c>
      <c r="C54858" t="inlineStr">
        <is>
          <t>2050-02-19</t>
        </is>
      </c>
    </row>
    <row r="54859">
      <c r="A54859" s="1" t="n">
        <v>54858</v>
      </c>
      <c r="B54859">
        <f>TEXT(54858, "[$-0E0000]yyyy-mm-dd")</f>
        <v/>
      </c>
      <c r="C54859" t="inlineStr">
        <is>
          <t>2050-02-20</t>
        </is>
      </c>
    </row>
    <row r="54860">
      <c r="A54860" s="1" t="n">
        <v>54859</v>
      </c>
      <c r="B54860">
        <f>TEXT(54859, "[$-0E0000]yyyy-mm-dd")</f>
        <v/>
      </c>
      <c r="C54860" t="inlineStr">
        <is>
          <t>2050-02-21</t>
        </is>
      </c>
    </row>
    <row r="54861">
      <c r="A54861" s="1" t="n">
        <v>54860</v>
      </c>
      <c r="B54861">
        <f>TEXT(54860, "[$-0E0000]yyyy-mm-dd")</f>
        <v/>
      </c>
      <c r="C54861" t="inlineStr">
        <is>
          <t>2050-02-22</t>
        </is>
      </c>
    </row>
    <row r="54862">
      <c r="A54862" s="1" t="n">
        <v>54861</v>
      </c>
      <c r="B54862">
        <f>TEXT(54861, "[$-0E0000]yyyy-mm-dd")</f>
        <v/>
      </c>
      <c r="C54862" t="inlineStr">
        <is>
          <t>2050-02-23</t>
        </is>
      </c>
    </row>
    <row r="54863">
      <c r="A54863" s="1" t="n">
        <v>54862</v>
      </c>
      <c r="B54863">
        <f>TEXT(54862, "[$-0E0000]yyyy-mm-dd")</f>
        <v/>
      </c>
      <c r="C54863" t="inlineStr">
        <is>
          <t>2050-02-24</t>
        </is>
      </c>
    </row>
    <row r="54864">
      <c r="A54864" s="1" t="n">
        <v>54863</v>
      </c>
      <c r="B54864">
        <f>TEXT(54863, "[$-0E0000]yyyy-mm-dd")</f>
        <v/>
      </c>
      <c r="C54864" t="inlineStr">
        <is>
          <t>2050-02-25</t>
        </is>
      </c>
    </row>
    <row r="54865">
      <c r="A54865" s="1" t="n">
        <v>54864</v>
      </c>
      <c r="B54865">
        <f>TEXT(54864, "[$-0E0000]yyyy-mm-dd")</f>
        <v/>
      </c>
      <c r="C54865" t="inlineStr">
        <is>
          <t>2050-02-26</t>
        </is>
      </c>
    </row>
    <row r="54866">
      <c r="A54866" s="1" t="n">
        <v>54865</v>
      </c>
      <c r="B54866">
        <f>TEXT(54865, "[$-0E0000]yyyy-mm-dd")</f>
        <v/>
      </c>
      <c r="C54866" t="inlineStr">
        <is>
          <t>2050-02-27</t>
        </is>
      </c>
    </row>
    <row r="54867">
      <c r="A54867" s="1" t="n">
        <v>54866</v>
      </c>
      <c r="B54867">
        <f>TEXT(54866, "[$-0E0000]yyyy-mm-dd")</f>
        <v/>
      </c>
      <c r="C54867" t="inlineStr">
        <is>
          <t>2050-02-28</t>
        </is>
      </c>
    </row>
    <row r="54868">
      <c r="A54868" s="1" t="n">
        <v>54867</v>
      </c>
      <c r="B54868">
        <f>TEXT(54867, "[$-0E0000]yyyy-mm-dd")</f>
        <v/>
      </c>
      <c r="C54868" t="inlineStr">
        <is>
          <t>2050-02-29</t>
        </is>
      </c>
    </row>
    <row r="54869">
      <c r="A54869" s="1" t="n">
        <v>54868</v>
      </c>
      <c r="B54869">
        <f>TEXT(54868, "[$-0E0000]yyyy-mm-dd")</f>
        <v/>
      </c>
      <c r="C54869" t="inlineStr">
        <is>
          <t>2050-02-30</t>
        </is>
      </c>
    </row>
    <row r="54870">
      <c r="A54870" s="1" t="n">
        <v>54869</v>
      </c>
      <c r="B54870">
        <f>TEXT(54869, "[$-0E0000]yyyy-mm-dd")</f>
        <v/>
      </c>
      <c r="C54870" t="inlineStr">
        <is>
          <t>2050-03-01</t>
        </is>
      </c>
    </row>
    <row r="54871">
      <c r="A54871" s="1" t="n">
        <v>54870</v>
      </c>
      <c r="B54871">
        <f>TEXT(54870, "[$-0E0000]yyyy-mm-dd")</f>
        <v/>
      </c>
      <c r="C54871" t="inlineStr">
        <is>
          <t>2050-03-02</t>
        </is>
      </c>
    </row>
    <row r="54872">
      <c r="A54872" s="1" t="n">
        <v>54871</v>
      </c>
      <c r="B54872">
        <f>TEXT(54871, "[$-0E0000]yyyy-mm-dd")</f>
        <v/>
      </c>
      <c r="C54872" t="inlineStr">
        <is>
          <t>2050-03-03</t>
        </is>
      </c>
    </row>
    <row r="54873">
      <c r="A54873" s="1" t="n">
        <v>54872</v>
      </c>
      <c r="B54873">
        <f>TEXT(54872, "[$-0E0000]yyyy-mm-dd")</f>
        <v/>
      </c>
      <c r="C54873" t="inlineStr">
        <is>
          <t>2050-03-04</t>
        </is>
      </c>
    </row>
    <row r="54874">
      <c r="A54874" s="1" t="n">
        <v>54873</v>
      </c>
      <c r="B54874">
        <f>TEXT(54873, "[$-0E0000]yyyy-mm-dd")</f>
        <v/>
      </c>
      <c r="C54874" t="inlineStr">
        <is>
          <t>2050-03-05</t>
        </is>
      </c>
    </row>
    <row r="54875">
      <c r="A54875" s="1" t="n">
        <v>54874</v>
      </c>
      <c r="B54875">
        <f>TEXT(54874, "[$-0E0000]yyyy-mm-dd")</f>
        <v/>
      </c>
      <c r="C54875" t="inlineStr">
        <is>
          <t>2050-03-06</t>
        </is>
      </c>
    </row>
    <row r="54876">
      <c r="A54876" s="1" t="n">
        <v>54875</v>
      </c>
      <c r="B54876">
        <f>TEXT(54875, "[$-0E0000]yyyy-mm-dd")</f>
        <v/>
      </c>
      <c r="C54876" t="inlineStr">
        <is>
          <t>2050-03-07</t>
        </is>
      </c>
    </row>
    <row r="54877">
      <c r="A54877" s="1" t="n">
        <v>54876</v>
      </c>
      <c r="B54877">
        <f>TEXT(54876, "[$-0E0000]yyyy-mm-dd")</f>
        <v/>
      </c>
      <c r="C54877" t="inlineStr">
        <is>
          <t>2050-03-08</t>
        </is>
      </c>
    </row>
    <row r="54878">
      <c r="A54878" s="1" t="n">
        <v>54877</v>
      </c>
      <c r="B54878">
        <f>TEXT(54877, "[$-0E0000]yyyy-mm-dd")</f>
        <v/>
      </c>
      <c r="C54878" t="inlineStr">
        <is>
          <t>2050-03-09</t>
        </is>
      </c>
    </row>
    <row r="54879">
      <c r="A54879" s="1" t="n">
        <v>54878</v>
      </c>
      <c r="B54879">
        <f>TEXT(54878, "[$-0E0000]yyyy-mm-dd")</f>
        <v/>
      </c>
      <c r="C54879" t="inlineStr">
        <is>
          <t>2050-03-10</t>
        </is>
      </c>
    </row>
    <row r="54880">
      <c r="A54880" s="1" t="n">
        <v>54879</v>
      </c>
      <c r="B54880">
        <f>TEXT(54879, "[$-0E0000]yyyy-mm-dd")</f>
        <v/>
      </c>
      <c r="C54880" t="inlineStr">
        <is>
          <t>2050-03-11</t>
        </is>
      </c>
    </row>
    <row r="54881">
      <c r="A54881" s="1" t="n">
        <v>54880</v>
      </c>
      <c r="B54881">
        <f>TEXT(54880, "[$-0E0000]yyyy-mm-dd")</f>
        <v/>
      </c>
      <c r="C54881" t="inlineStr">
        <is>
          <t>2050-03-12</t>
        </is>
      </c>
    </row>
    <row r="54882">
      <c r="A54882" s="1" t="n">
        <v>54881</v>
      </c>
      <c r="B54882">
        <f>TEXT(54881, "[$-0E0000]yyyy-mm-dd")</f>
        <v/>
      </c>
      <c r="C54882" t="inlineStr">
        <is>
          <t>2050-03-13</t>
        </is>
      </c>
    </row>
    <row r="54883">
      <c r="A54883" s="1" t="n">
        <v>54882</v>
      </c>
      <c r="B54883">
        <f>TEXT(54882, "[$-0E0000]yyyy-mm-dd")</f>
        <v/>
      </c>
      <c r="C54883" t="inlineStr">
        <is>
          <t>2050-03-14</t>
        </is>
      </c>
    </row>
    <row r="54884">
      <c r="A54884" s="1" t="n">
        <v>54883</v>
      </c>
      <c r="B54884">
        <f>TEXT(54883, "[$-0E0000]yyyy-mm-dd")</f>
        <v/>
      </c>
      <c r="C54884" t="inlineStr">
        <is>
          <t>2050-03-15</t>
        </is>
      </c>
    </row>
    <row r="54885">
      <c r="A54885" s="1" t="n">
        <v>54884</v>
      </c>
      <c r="B54885">
        <f>TEXT(54884, "[$-0E0000]yyyy-mm-dd")</f>
        <v/>
      </c>
      <c r="C54885" t="inlineStr">
        <is>
          <t>2050-03-16</t>
        </is>
      </c>
    </row>
    <row r="54886">
      <c r="A54886" s="1" t="n">
        <v>54885</v>
      </c>
      <c r="B54886">
        <f>TEXT(54885, "[$-0E0000]yyyy-mm-dd")</f>
        <v/>
      </c>
      <c r="C54886" t="inlineStr">
        <is>
          <t>2050-03-17</t>
        </is>
      </c>
    </row>
    <row r="54887">
      <c r="A54887" s="1" t="n">
        <v>54886</v>
      </c>
      <c r="B54887">
        <f>TEXT(54886, "[$-0E0000]yyyy-mm-dd")</f>
        <v/>
      </c>
      <c r="C54887" t="inlineStr">
        <is>
          <t>2050-03-18</t>
        </is>
      </c>
    </row>
    <row r="54888">
      <c r="A54888" s="1" t="n">
        <v>54887</v>
      </c>
      <c r="B54888">
        <f>TEXT(54887, "[$-0E0000]yyyy-mm-dd")</f>
        <v/>
      </c>
      <c r="C54888" t="inlineStr">
        <is>
          <t>2050-03-19</t>
        </is>
      </c>
    </row>
    <row r="54889">
      <c r="A54889" s="1" t="n">
        <v>54888</v>
      </c>
      <c r="B54889">
        <f>TEXT(54888, "[$-0E0000]yyyy-mm-dd")</f>
        <v/>
      </c>
      <c r="C54889" t="inlineStr">
        <is>
          <t>2050-03-20</t>
        </is>
      </c>
    </row>
    <row r="54890">
      <c r="A54890" s="1" t="n">
        <v>54889</v>
      </c>
      <c r="B54890">
        <f>TEXT(54889, "[$-0E0000]yyyy-mm-dd")</f>
        <v/>
      </c>
      <c r="C54890" t="inlineStr">
        <is>
          <t>2050-03-21</t>
        </is>
      </c>
    </row>
    <row r="54891">
      <c r="A54891" s="1" t="n">
        <v>54890</v>
      </c>
      <c r="B54891">
        <f>TEXT(54890, "[$-0E0000]yyyy-mm-dd")</f>
        <v/>
      </c>
      <c r="C54891" t="inlineStr">
        <is>
          <t>2050-03-22</t>
        </is>
      </c>
    </row>
    <row r="54892">
      <c r="A54892" s="1" t="n">
        <v>54891</v>
      </c>
      <c r="B54892">
        <f>TEXT(54891, "[$-0E0000]yyyy-mm-dd")</f>
        <v/>
      </c>
      <c r="C54892" t="inlineStr">
        <is>
          <t>2050-03-23</t>
        </is>
      </c>
    </row>
    <row r="54893">
      <c r="A54893" s="1" t="n">
        <v>54892</v>
      </c>
      <c r="B54893">
        <f>TEXT(54892, "[$-0E0000]yyyy-mm-dd")</f>
        <v/>
      </c>
      <c r="C54893" t="inlineStr">
        <is>
          <t>2050-03-24</t>
        </is>
      </c>
    </row>
    <row r="54894">
      <c r="A54894" s="1" t="n">
        <v>54893</v>
      </c>
      <c r="B54894">
        <f>TEXT(54893, "[$-0E0000]yyyy-mm-dd")</f>
        <v/>
      </c>
      <c r="C54894" t="inlineStr">
        <is>
          <t>2050-03-25</t>
        </is>
      </c>
    </row>
    <row r="54895">
      <c r="A54895" s="1" t="n">
        <v>54894</v>
      </c>
      <c r="B54895">
        <f>TEXT(54894, "[$-0E0000]yyyy-mm-dd")</f>
        <v/>
      </c>
      <c r="C54895" t="inlineStr">
        <is>
          <t>2050-03-26</t>
        </is>
      </c>
    </row>
    <row r="54896">
      <c r="A54896" s="1" t="n">
        <v>54895</v>
      </c>
      <c r="B54896">
        <f>TEXT(54895, "[$-0E0000]yyyy-mm-dd")</f>
        <v/>
      </c>
      <c r="C54896" t="inlineStr">
        <is>
          <t>2050-03-27</t>
        </is>
      </c>
    </row>
    <row r="54897">
      <c r="A54897" s="1" t="n">
        <v>54896</v>
      </c>
      <c r="B54897">
        <f>TEXT(54896, "[$-0E0000]yyyy-mm-dd")</f>
        <v/>
      </c>
      <c r="C54897" t="inlineStr">
        <is>
          <t>2050-03-28</t>
        </is>
      </c>
    </row>
    <row r="54898">
      <c r="A54898" s="1" t="n">
        <v>54897</v>
      </c>
      <c r="B54898">
        <f>TEXT(54897, "[$-0E0000]yyyy-mm-dd")</f>
        <v/>
      </c>
      <c r="C54898" t="inlineStr">
        <is>
          <t>2050-03-29</t>
        </is>
      </c>
    </row>
    <row r="54899">
      <c r="A54899" s="1" t="n">
        <v>54898</v>
      </c>
      <c r="B54899">
        <f>TEXT(54898, "[$-0E0000]yyyy-mm-dd")</f>
        <v/>
      </c>
      <c r="C54899" t="inlineStr">
        <is>
          <t>2050-03-01</t>
        </is>
      </c>
    </row>
    <row r="54900">
      <c r="A54900" s="1" t="n">
        <v>54899</v>
      </c>
      <c r="B54900">
        <f>TEXT(54899, "[$-0E0000]yyyy-mm-dd")</f>
        <v/>
      </c>
      <c r="C54900" t="inlineStr">
        <is>
          <t>2050-03-02</t>
        </is>
      </c>
    </row>
    <row r="54901">
      <c r="A54901" s="1" t="n">
        <v>54900</v>
      </c>
      <c r="B54901">
        <f>TEXT(54900, "[$-0E0000]yyyy-mm-dd")</f>
        <v/>
      </c>
      <c r="C54901" t="inlineStr">
        <is>
          <t>2050-03-03</t>
        </is>
      </c>
    </row>
    <row r="54902">
      <c r="A54902" s="1" t="n">
        <v>54901</v>
      </c>
      <c r="B54902">
        <f>TEXT(54901, "[$-0E0000]yyyy-mm-dd")</f>
        <v/>
      </c>
      <c r="C54902" t="inlineStr">
        <is>
          <t>2050-03-04</t>
        </is>
      </c>
    </row>
    <row r="54903">
      <c r="A54903" s="1" t="n">
        <v>54902</v>
      </c>
      <c r="B54903">
        <f>TEXT(54902, "[$-0E0000]yyyy-mm-dd")</f>
        <v/>
      </c>
      <c r="C54903" t="inlineStr">
        <is>
          <t>2050-03-05</t>
        </is>
      </c>
    </row>
    <row r="54904">
      <c r="A54904" s="1" t="n">
        <v>54903</v>
      </c>
      <c r="B54904">
        <f>TEXT(54903, "[$-0E0000]yyyy-mm-dd")</f>
        <v/>
      </c>
      <c r="C54904" t="inlineStr">
        <is>
          <t>2050-03-06</t>
        </is>
      </c>
    </row>
    <row r="54905">
      <c r="A54905" s="1" t="n">
        <v>54904</v>
      </c>
      <c r="B54905">
        <f>TEXT(54904, "[$-0E0000]yyyy-mm-dd")</f>
        <v/>
      </c>
      <c r="C54905" t="inlineStr">
        <is>
          <t>2050-03-07</t>
        </is>
      </c>
    </row>
    <row r="54906">
      <c r="A54906" s="1" t="n">
        <v>54905</v>
      </c>
      <c r="B54906">
        <f>TEXT(54905, "[$-0E0000]yyyy-mm-dd")</f>
        <v/>
      </c>
      <c r="C54906" t="inlineStr">
        <is>
          <t>2050-03-08</t>
        </is>
      </c>
    </row>
    <row r="54907">
      <c r="A54907" s="1" t="n">
        <v>54906</v>
      </c>
      <c r="B54907">
        <f>TEXT(54906, "[$-0E0000]yyyy-mm-dd")</f>
        <v/>
      </c>
      <c r="C54907" t="inlineStr">
        <is>
          <t>2050-03-09</t>
        </is>
      </c>
    </row>
    <row r="54908">
      <c r="A54908" s="1" t="n">
        <v>54907</v>
      </c>
      <c r="B54908">
        <f>TEXT(54907, "[$-0E0000]yyyy-mm-dd")</f>
        <v/>
      </c>
      <c r="C54908" t="inlineStr">
        <is>
          <t>2050-03-10</t>
        </is>
      </c>
    </row>
    <row r="54909">
      <c r="A54909" s="1" t="n">
        <v>54908</v>
      </c>
      <c r="B54909">
        <f>TEXT(54908, "[$-0E0000]yyyy-mm-dd")</f>
        <v/>
      </c>
      <c r="C54909" t="inlineStr">
        <is>
          <t>2050-03-11</t>
        </is>
      </c>
    </row>
    <row r="54910">
      <c r="A54910" s="1" t="n">
        <v>54909</v>
      </c>
      <c r="B54910">
        <f>TEXT(54909, "[$-0E0000]yyyy-mm-dd")</f>
        <v/>
      </c>
      <c r="C54910" t="inlineStr">
        <is>
          <t>2050-03-12</t>
        </is>
      </c>
    </row>
    <row r="54911">
      <c r="A54911" s="1" t="n">
        <v>54910</v>
      </c>
      <c r="B54911">
        <f>TEXT(54910, "[$-0E0000]yyyy-mm-dd")</f>
        <v/>
      </c>
      <c r="C54911" t="inlineStr">
        <is>
          <t>2050-03-13</t>
        </is>
      </c>
    </row>
    <row r="54912">
      <c r="A54912" s="1" t="n">
        <v>54911</v>
      </c>
      <c r="B54912">
        <f>TEXT(54911, "[$-0E0000]yyyy-mm-dd")</f>
        <v/>
      </c>
      <c r="C54912" t="inlineStr">
        <is>
          <t>2050-03-14</t>
        </is>
      </c>
    </row>
    <row r="54913">
      <c r="A54913" s="1" t="n">
        <v>54912</v>
      </c>
      <c r="B54913">
        <f>TEXT(54912, "[$-0E0000]yyyy-mm-dd")</f>
        <v/>
      </c>
      <c r="C54913" t="inlineStr">
        <is>
          <t>2050-03-15</t>
        </is>
      </c>
    </row>
    <row r="54914">
      <c r="A54914" s="1" t="n">
        <v>54913</v>
      </c>
      <c r="B54914">
        <f>TEXT(54913, "[$-0E0000]yyyy-mm-dd")</f>
        <v/>
      </c>
      <c r="C54914" t="inlineStr">
        <is>
          <t>2050-03-16</t>
        </is>
      </c>
    </row>
    <row r="54915">
      <c r="A54915" s="1" t="n">
        <v>54914</v>
      </c>
      <c r="B54915">
        <f>TEXT(54914, "[$-0E0000]yyyy-mm-dd")</f>
        <v/>
      </c>
      <c r="C54915" t="inlineStr">
        <is>
          <t>2050-03-17</t>
        </is>
      </c>
    </row>
    <row r="54916">
      <c r="A54916" s="1" t="n">
        <v>54915</v>
      </c>
      <c r="B54916">
        <f>TEXT(54915, "[$-0E0000]yyyy-mm-dd")</f>
        <v/>
      </c>
      <c r="C54916" t="inlineStr">
        <is>
          <t>2050-03-18</t>
        </is>
      </c>
    </row>
    <row r="54917">
      <c r="A54917" s="1" t="n">
        <v>54916</v>
      </c>
      <c r="B54917">
        <f>TEXT(54916, "[$-0E0000]yyyy-mm-dd")</f>
        <v/>
      </c>
      <c r="C54917" t="inlineStr">
        <is>
          <t>2050-03-19</t>
        </is>
      </c>
    </row>
    <row r="54918">
      <c r="A54918" s="1" t="n">
        <v>54917</v>
      </c>
      <c r="B54918">
        <f>TEXT(54917, "[$-0E0000]yyyy-mm-dd")</f>
        <v/>
      </c>
      <c r="C54918" t="inlineStr">
        <is>
          <t>2050-03-20</t>
        </is>
      </c>
    </row>
    <row r="54919">
      <c r="A54919" s="1" t="n">
        <v>54918</v>
      </c>
      <c r="B54919">
        <f>TEXT(54918, "[$-0E0000]yyyy-mm-dd")</f>
        <v/>
      </c>
      <c r="C54919" t="inlineStr">
        <is>
          <t>2050-03-21</t>
        </is>
      </c>
    </row>
    <row r="54920">
      <c r="A54920" s="1" t="n">
        <v>54919</v>
      </c>
      <c r="B54920">
        <f>TEXT(54919, "[$-0E0000]yyyy-mm-dd")</f>
        <v/>
      </c>
      <c r="C54920" t="inlineStr">
        <is>
          <t>2050-03-22</t>
        </is>
      </c>
    </row>
    <row r="54921">
      <c r="A54921" s="1" t="n">
        <v>54920</v>
      </c>
      <c r="B54921">
        <f>TEXT(54920, "[$-0E0000]yyyy-mm-dd")</f>
        <v/>
      </c>
      <c r="C54921" t="inlineStr">
        <is>
          <t>2050-03-23</t>
        </is>
      </c>
    </row>
    <row r="54922">
      <c r="A54922" s="1" t="n">
        <v>54921</v>
      </c>
      <c r="B54922">
        <f>TEXT(54921, "[$-0E0000]yyyy-mm-dd")</f>
        <v/>
      </c>
      <c r="C54922" t="inlineStr">
        <is>
          <t>2050-03-24</t>
        </is>
      </c>
    </row>
    <row r="54923">
      <c r="A54923" s="1" t="n">
        <v>54922</v>
      </c>
      <c r="B54923">
        <f>TEXT(54922, "[$-0E0000]yyyy-mm-dd")</f>
        <v/>
      </c>
      <c r="C54923" t="inlineStr">
        <is>
          <t>2050-03-25</t>
        </is>
      </c>
    </row>
    <row r="54924">
      <c r="A54924" s="1" t="n">
        <v>54923</v>
      </c>
      <c r="B54924">
        <f>TEXT(54923, "[$-0E0000]yyyy-mm-dd")</f>
        <v/>
      </c>
      <c r="C54924" t="inlineStr">
        <is>
          <t>2050-03-26</t>
        </is>
      </c>
    </row>
    <row r="54925">
      <c r="A54925" s="1" t="n">
        <v>54924</v>
      </c>
      <c r="B54925">
        <f>TEXT(54924, "[$-0E0000]yyyy-mm-dd")</f>
        <v/>
      </c>
      <c r="C54925" t="inlineStr">
        <is>
          <t>2050-03-27</t>
        </is>
      </c>
    </row>
    <row r="54926">
      <c r="A54926" s="1" t="n">
        <v>54925</v>
      </c>
      <c r="B54926">
        <f>TEXT(54925, "[$-0E0000]yyyy-mm-dd")</f>
        <v/>
      </c>
      <c r="C54926" t="inlineStr">
        <is>
          <t>2050-03-28</t>
        </is>
      </c>
    </row>
    <row r="54927">
      <c r="A54927" s="1" t="n">
        <v>54926</v>
      </c>
      <c r="B54927">
        <f>TEXT(54926, "[$-0E0000]yyyy-mm-dd")</f>
        <v/>
      </c>
      <c r="C54927" t="inlineStr">
        <is>
          <t>2050-03-29</t>
        </is>
      </c>
    </row>
    <row r="54928">
      <c r="A54928" s="1" t="n">
        <v>54927</v>
      </c>
      <c r="B54928">
        <f>TEXT(54927, "[$-0E0000]yyyy-mm-dd")</f>
        <v/>
      </c>
      <c r="C54928" t="inlineStr">
        <is>
          <t>2050-03-30</t>
        </is>
      </c>
    </row>
    <row r="54929">
      <c r="A54929" s="1" t="n">
        <v>54928</v>
      </c>
      <c r="B54929">
        <f>TEXT(54928, "[$-0E0000]yyyy-mm-dd")</f>
        <v/>
      </c>
      <c r="C54929" t="inlineStr">
        <is>
          <t>2050-04-01</t>
        </is>
      </c>
    </row>
    <row r="54930">
      <c r="A54930" s="1" t="n">
        <v>54929</v>
      </c>
      <c r="B54930">
        <f>TEXT(54929, "[$-0E0000]yyyy-mm-dd")</f>
        <v/>
      </c>
      <c r="C54930" t="inlineStr">
        <is>
          <t>2050-04-02</t>
        </is>
      </c>
    </row>
    <row r="54931">
      <c r="A54931" s="1" t="n">
        <v>54930</v>
      </c>
      <c r="B54931">
        <f>TEXT(54930, "[$-0E0000]yyyy-mm-dd")</f>
        <v/>
      </c>
      <c r="C54931" t="inlineStr">
        <is>
          <t>2050-04-03</t>
        </is>
      </c>
    </row>
    <row r="54932">
      <c r="A54932" s="1" t="n">
        <v>54931</v>
      </c>
      <c r="B54932">
        <f>TEXT(54931, "[$-0E0000]yyyy-mm-dd")</f>
        <v/>
      </c>
      <c r="C54932" t="inlineStr">
        <is>
          <t>2050-04-04</t>
        </is>
      </c>
    </row>
    <row r="54933">
      <c r="A54933" s="1" t="n">
        <v>54932</v>
      </c>
      <c r="B54933">
        <f>TEXT(54932, "[$-0E0000]yyyy-mm-dd")</f>
        <v/>
      </c>
      <c r="C54933" t="inlineStr">
        <is>
          <t>2050-04-05</t>
        </is>
      </c>
    </row>
    <row r="54934">
      <c r="A54934" s="1" t="n">
        <v>54933</v>
      </c>
      <c r="B54934">
        <f>TEXT(54933, "[$-0E0000]yyyy-mm-dd")</f>
        <v/>
      </c>
      <c r="C54934" t="inlineStr">
        <is>
          <t>2050-04-06</t>
        </is>
      </c>
    </row>
    <row r="54935">
      <c r="A54935" s="1" t="n">
        <v>54934</v>
      </c>
      <c r="B54935">
        <f>TEXT(54934, "[$-0E0000]yyyy-mm-dd")</f>
        <v/>
      </c>
      <c r="C54935" t="inlineStr">
        <is>
          <t>2050-04-07</t>
        </is>
      </c>
    </row>
    <row r="54936">
      <c r="A54936" s="1" t="n">
        <v>54935</v>
      </c>
      <c r="B54936">
        <f>TEXT(54935, "[$-0E0000]yyyy-mm-dd")</f>
        <v/>
      </c>
      <c r="C54936" t="inlineStr">
        <is>
          <t>2050-04-08</t>
        </is>
      </c>
    </row>
    <row r="54937">
      <c r="A54937" s="1" t="n">
        <v>54936</v>
      </c>
      <c r="B54937">
        <f>TEXT(54936, "[$-0E0000]yyyy-mm-dd")</f>
        <v/>
      </c>
      <c r="C54937" t="inlineStr">
        <is>
          <t>2050-04-09</t>
        </is>
      </c>
    </row>
    <row r="54938">
      <c r="A54938" s="1" t="n">
        <v>54937</v>
      </c>
      <c r="B54938">
        <f>TEXT(54937, "[$-0E0000]yyyy-mm-dd")</f>
        <v/>
      </c>
      <c r="C54938" t="inlineStr">
        <is>
          <t>2050-04-10</t>
        </is>
      </c>
    </row>
    <row r="54939">
      <c r="A54939" s="1" t="n">
        <v>54938</v>
      </c>
      <c r="B54939">
        <f>TEXT(54938, "[$-0E0000]yyyy-mm-dd")</f>
        <v/>
      </c>
      <c r="C54939" t="inlineStr">
        <is>
          <t>2050-04-11</t>
        </is>
      </c>
    </row>
    <row r="54940">
      <c r="A54940" s="1" t="n">
        <v>54939</v>
      </c>
      <c r="B54940">
        <f>TEXT(54939, "[$-0E0000]yyyy-mm-dd")</f>
        <v/>
      </c>
      <c r="C54940" t="inlineStr">
        <is>
          <t>2050-04-12</t>
        </is>
      </c>
    </row>
    <row r="54941">
      <c r="A54941" s="1" t="n">
        <v>54940</v>
      </c>
      <c r="B54941">
        <f>TEXT(54940, "[$-0E0000]yyyy-mm-dd")</f>
        <v/>
      </c>
      <c r="C54941" t="inlineStr">
        <is>
          <t>2050-04-13</t>
        </is>
      </c>
    </row>
    <row r="54942">
      <c r="A54942" s="1" t="n">
        <v>54941</v>
      </c>
      <c r="B54942">
        <f>TEXT(54941, "[$-0E0000]yyyy-mm-dd")</f>
        <v/>
      </c>
      <c r="C54942" t="inlineStr">
        <is>
          <t>2050-04-14</t>
        </is>
      </c>
    </row>
    <row r="54943">
      <c r="A54943" s="1" t="n">
        <v>54942</v>
      </c>
      <c r="B54943">
        <f>TEXT(54942, "[$-0E0000]yyyy-mm-dd")</f>
        <v/>
      </c>
      <c r="C54943" t="inlineStr">
        <is>
          <t>2050-04-15</t>
        </is>
      </c>
    </row>
    <row r="54944">
      <c r="A54944" s="1" t="n">
        <v>54943</v>
      </c>
      <c r="B54944">
        <f>TEXT(54943, "[$-0E0000]yyyy-mm-dd")</f>
        <v/>
      </c>
      <c r="C54944" t="inlineStr">
        <is>
          <t>2050-04-16</t>
        </is>
      </c>
    </row>
    <row r="54945">
      <c r="A54945" s="1" t="n">
        <v>54944</v>
      </c>
      <c r="B54945">
        <f>TEXT(54944, "[$-0E0000]yyyy-mm-dd")</f>
        <v/>
      </c>
      <c r="C54945" t="inlineStr">
        <is>
          <t>2050-04-17</t>
        </is>
      </c>
    </row>
    <row r="54946">
      <c r="A54946" s="1" t="n">
        <v>54945</v>
      </c>
      <c r="B54946">
        <f>TEXT(54945, "[$-0E0000]yyyy-mm-dd")</f>
        <v/>
      </c>
      <c r="C54946" t="inlineStr">
        <is>
          <t>2050-04-18</t>
        </is>
      </c>
    </row>
    <row r="54947">
      <c r="A54947" s="1" t="n">
        <v>54946</v>
      </c>
      <c r="B54947">
        <f>TEXT(54946, "[$-0E0000]yyyy-mm-dd")</f>
        <v/>
      </c>
      <c r="C54947" t="inlineStr">
        <is>
          <t>2050-04-19</t>
        </is>
      </c>
    </row>
    <row r="54948">
      <c r="A54948" s="1" t="n">
        <v>54947</v>
      </c>
      <c r="B54948">
        <f>TEXT(54947, "[$-0E0000]yyyy-mm-dd")</f>
        <v/>
      </c>
      <c r="C54948" t="inlineStr">
        <is>
          <t>2050-04-20</t>
        </is>
      </c>
    </row>
    <row r="54949">
      <c r="A54949" s="1" t="n">
        <v>54948</v>
      </c>
      <c r="B54949">
        <f>TEXT(54948, "[$-0E0000]yyyy-mm-dd")</f>
        <v/>
      </c>
      <c r="C54949" t="inlineStr">
        <is>
          <t>2050-04-21</t>
        </is>
      </c>
    </row>
    <row r="54950">
      <c r="A54950" s="1" t="n">
        <v>54949</v>
      </c>
      <c r="B54950">
        <f>TEXT(54949, "[$-0E0000]yyyy-mm-dd")</f>
        <v/>
      </c>
      <c r="C54950" t="inlineStr">
        <is>
          <t>2050-04-22</t>
        </is>
      </c>
    </row>
    <row r="54951">
      <c r="A54951" s="1" t="n">
        <v>54950</v>
      </c>
      <c r="B54951">
        <f>TEXT(54950, "[$-0E0000]yyyy-mm-dd")</f>
        <v/>
      </c>
      <c r="C54951" t="inlineStr">
        <is>
          <t>2050-04-23</t>
        </is>
      </c>
    </row>
    <row r="54952">
      <c r="A54952" s="1" t="n">
        <v>54951</v>
      </c>
      <c r="B54952">
        <f>TEXT(54951, "[$-0E0000]yyyy-mm-dd")</f>
        <v/>
      </c>
      <c r="C54952" t="inlineStr">
        <is>
          <t>2050-04-24</t>
        </is>
      </c>
    </row>
    <row r="54953">
      <c r="A54953" s="1" t="n">
        <v>54952</v>
      </c>
      <c r="B54953">
        <f>TEXT(54952, "[$-0E0000]yyyy-mm-dd")</f>
        <v/>
      </c>
      <c r="C54953" t="inlineStr">
        <is>
          <t>2050-04-25</t>
        </is>
      </c>
    </row>
    <row r="54954">
      <c r="A54954" s="1" t="n">
        <v>54953</v>
      </c>
      <c r="B54954">
        <f>TEXT(54953, "[$-0E0000]yyyy-mm-dd")</f>
        <v/>
      </c>
      <c r="C54954" t="inlineStr">
        <is>
          <t>2050-04-26</t>
        </is>
      </c>
    </row>
    <row r="54955">
      <c r="A54955" s="1" t="n">
        <v>54954</v>
      </c>
      <c r="B54955">
        <f>TEXT(54954, "[$-0E0000]yyyy-mm-dd")</f>
        <v/>
      </c>
      <c r="C54955" t="inlineStr">
        <is>
          <t>2050-04-27</t>
        </is>
      </c>
    </row>
    <row r="54956">
      <c r="A54956" s="1" t="n">
        <v>54955</v>
      </c>
      <c r="B54956">
        <f>TEXT(54955, "[$-0E0000]yyyy-mm-dd")</f>
        <v/>
      </c>
      <c r="C54956" t="inlineStr">
        <is>
          <t>2050-04-28</t>
        </is>
      </c>
    </row>
    <row r="54957">
      <c r="A54957" s="1" t="n">
        <v>54956</v>
      </c>
      <c r="B54957">
        <f>TEXT(54956, "[$-0E0000]yyyy-mm-dd")</f>
        <v/>
      </c>
      <c r="C54957" t="inlineStr">
        <is>
          <t>2050-04-29</t>
        </is>
      </c>
    </row>
    <row r="54958">
      <c r="A54958" s="1" t="n">
        <v>54957</v>
      </c>
      <c r="B54958">
        <f>TEXT(54957, "[$-0E0000]yyyy-mm-dd")</f>
        <v/>
      </c>
      <c r="C54958" t="inlineStr">
        <is>
          <t>2050-05-01</t>
        </is>
      </c>
    </row>
    <row r="54959">
      <c r="A54959" s="1" t="n">
        <v>54958</v>
      </c>
      <c r="B54959">
        <f>TEXT(54958, "[$-0E0000]yyyy-mm-dd")</f>
        <v/>
      </c>
      <c r="C54959" t="inlineStr">
        <is>
          <t>2050-05-02</t>
        </is>
      </c>
    </row>
    <row r="54960">
      <c r="A54960" s="1" t="n">
        <v>54959</v>
      </c>
      <c r="B54960">
        <f>TEXT(54959, "[$-0E0000]yyyy-mm-dd")</f>
        <v/>
      </c>
      <c r="C54960" t="inlineStr">
        <is>
          <t>2050-05-03</t>
        </is>
      </c>
    </row>
    <row r="54961">
      <c r="A54961" s="1" t="n">
        <v>54960</v>
      </c>
      <c r="B54961">
        <f>TEXT(54960, "[$-0E0000]yyyy-mm-dd")</f>
        <v/>
      </c>
      <c r="C54961" t="inlineStr">
        <is>
          <t>2050-05-04</t>
        </is>
      </c>
    </row>
    <row r="54962">
      <c r="A54962" s="1" t="n">
        <v>54961</v>
      </c>
      <c r="B54962">
        <f>TEXT(54961, "[$-0E0000]yyyy-mm-dd")</f>
        <v/>
      </c>
      <c r="C54962" t="inlineStr">
        <is>
          <t>2050-05-05</t>
        </is>
      </c>
    </row>
    <row r="54963">
      <c r="A54963" s="1" t="n">
        <v>54962</v>
      </c>
      <c r="B54963">
        <f>TEXT(54962, "[$-0E0000]yyyy-mm-dd")</f>
        <v/>
      </c>
      <c r="C54963" t="inlineStr">
        <is>
          <t>2050-05-06</t>
        </is>
      </c>
    </row>
    <row r="54964">
      <c r="A54964" s="1" t="n">
        <v>54963</v>
      </c>
      <c r="B54964">
        <f>TEXT(54963, "[$-0E0000]yyyy-mm-dd")</f>
        <v/>
      </c>
      <c r="C54964" t="inlineStr">
        <is>
          <t>2050-05-07</t>
        </is>
      </c>
    </row>
    <row r="54965">
      <c r="A54965" s="1" t="n">
        <v>54964</v>
      </c>
      <c r="B54965">
        <f>TEXT(54964, "[$-0E0000]yyyy-mm-dd")</f>
        <v/>
      </c>
      <c r="C54965" t="inlineStr">
        <is>
          <t>2050-05-08</t>
        </is>
      </c>
    </row>
    <row r="54966">
      <c r="A54966" s="1" t="n">
        <v>54965</v>
      </c>
      <c r="B54966">
        <f>TEXT(54965, "[$-0E0000]yyyy-mm-dd")</f>
        <v/>
      </c>
      <c r="C54966" t="inlineStr">
        <is>
          <t>2050-05-09</t>
        </is>
      </c>
    </row>
    <row r="54967">
      <c r="A54967" s="1" t="n">
        <v>54966</v>
      </c>
      <c r="B54967">
        <f>TEXT(54966, "[$-0E0000]yyyy-mm-dd")</f>
        <v/>
      </c>
      <c r="C54967" t="inlineStr">
        <is>
          <t>2050-05-10</t>
        </is>
      </c>
    </row>
    <row r="54968">
      <c r="A54968" s="1" t="n">
        <v>54967</v>
      </c>
      <c r="B54968">
        <f>TEXT(54967, "[$-0E0000]yyyy-mm-dd")</f>
        <v/>
      </c>
      <c r="C54968" t="inlineStr">
        <is>
          <t>2050-05-11</t>
        </is>
      </c>
    </row>
    <row r="54969">
      <c r="A54969" s="1" t="n">
        <v>54968</v>
      </c>
      <c r="B54969">
        <f>TEXT(54968, "[$-0E0000]yyyy-mm-dd")</f>
        <v/>
      </c>
      <c r="C54969" t="inlineStr">
        <is>
          <t>2050-05-12</t>
        </is>
      </c>
    </row>
    <row r="54970">
      <c r="A54970" s="1" t="n">
        <v>54969</v>
      </c>
      <c r="B54970">
        <f>TEXT(54969, "[$-0E0000]yyyy-mm-dd")</f>
        <v/>
      </c>
      <c r="C54970" t="inlineStr">
        <is>
          <t>2050-05-13</t>
        </is>
      </c>
    </row>
    <row r="54971">
      <c r="A54971" s="1" t="n">
        <v>54970</v>
      </c>
      <c r="B54971">
        <f>TEXT(54970, "[$-0E0000]yyyy-mm-dd")</f>
        <v/>
      </c>
      <c r="C54971" t="inlineStr">
        <is>
          <t>2050-05-14</t>
        </is>
      </c>
    </row>
    <row r="54972">
      <c r="A54972" s="1" t="n">
        <v>54971</v>
      </c>
      <c r="B54972">
        <f>TEXT(54971, "[$-0E0000]yyyy-mm-dd")</f>
        <v/>
      </c>
      <c r="C54972" t="inlineStr">
        <is>
          <t>2050-05-15</t>
        </is>
      </c>
    </row>
    <row r="54973">
      <c r="A54973" s="1" t="n">
        <v>54972</v>
      </c>
      <c r="B54973">
        <f>TEXT(54972, "[$-0E0000]yyyy-mm-dd")</f>
        <v/>
      </c>
      <c r="C54973" t="inlineStr">
        <is>
          <t>2050-05-16</t>
        </is>
      </c>
    </row>
    <row r="54974">
      <c r="A54974" s="1" t="n">
        <v>54973</v>
      </c>
      <c r="B54974">
        <f>TEXT(54973, "[$-0E0000]yyyy-mm-dd")</f>
        <v/>
      </c>
      <c r="C54974" t="inlineStr">
        <is>
          <t>2050-05-17</t>
        </is>
      </c>
    </row>
    <row r="54975">
      <c r="A54975" s="1" t="n">
        <v>54974</v>
      </c>
      <c r="B54975">
        <f>TEXT(54974, "[$-0E0000]yyyy-mm-dd")</f>
        <v/>
      </c>
      <c r="C54975" t="inlineStr">
        <is>
          <t>2050-05-18</t>
        </is>
      </c>
    </row>
    <row r="54976">
      <c r="A54976" s="1" t="n">
        <v>54975</v>
      </c>
      <c r="B54976">
        <f>TEXT(54975, "[$-0E0000]yyyy-mm-dd")</f>
        <v/>
      </c>
      <c r="C54976" t="inlineStr">
        <is>
          <t>2050-05-19</t>
        </is>
      </c>
    </row>
    <row r="54977">
      <c r="A54977" s="1" t="n">
        <v>54976</v>
      </c>
      <c r="B54977">
        <f>TEXT(54976, "[$-0E0000]yyyy-mm-dd")</f>
        <v/>
      </c>
      <c r="C54977" t="inlineStr">
        <is>
          <t>2050-05-20</t>
        </is>
      </c>
    </row>
    <row r="54978">
      <c r="A54978" s="1" t="n">
        <v>54977</v>
      </c>
      <c r="B54978">
        <f>TEXT(54977, "[$-0E0000]yyyy-mm-dd")</f>
        <v/>
      </c>
      <c r="C54978" t="inlineStr">
        <is>
          <t>2050-05-21</t>
        </is>
      </c>
    </row>
    <row r="54979">
      <c r="A54979" s="1" t="n">
        <v>54978</v>
      </c>
      <c r="B54979">
        <f>TEXT(54978, "[$-0E0000]yyyy-mm-dd")</f>
        <v/>
      </c>
      <c r="C54979" t="inlineStr">
        <is>
          <t>2050-05-22</t>
        </is>
      </c>
    </row>
    <row r="54980">
      <c r="A54980" s="1" t="n">
        <v>54979</v>
      </c>
      <c r="B54980">
        <f>TEXT(54979, "[$-0E0000]yyyy-mm-dd")</f>
        <v/>
      </c>
      <c r="C54980" t="inlineStr">
        <is>
          <t>2050-05-23</t>
        </is>
      </c>
    </row>
    <row r="54981">
      <c r="A54981" s="1" t="n">
        <v>54980</v>
      </c>
      <c r="B54981">
        <f>TEXT(54980, "[$-0E0000]yyyy-mm-dd")</f>
        <v/>
      </c>
      <c r="C54981" t="inlineStr">
        <is>
          <t>2050-05-24</t>
        </is>
      </c>
    </row>
    <row r="54982">
      <c r="A54982" s="1" t="n">
        <v>54981</v>
      </c>
      <c r="B54982">
        <f>TEXT(54981, "[$-0E0000]yyyy-mm-dd")</f>
        <v/>
      </c>
      <c r="C54982" t="inlineStr">
        <is>
          <t>2050-05-25</t>
        </is>
      </c>
    </row>
    <row r="54983">
      <c r="A54983" s="1" t="n">
        <v>54982</v>
      </c>
      <c r="B54983">
        <f>TEXT(54982, "[$-0E0000]yyyy-mm-dd")</f>
        <v/>
      </c>
      <c r="C54983" t="inlineStr">
        <is>
          <t>2050-05-26</t>
        </is>
      </c>
    </row>
    <row r="54984">
      <c r="A54984" s="1" t="n">
        <v>54983</v>
      </c>
      <c r="B54984">
        <f>TEXT(54983, "[$-0E0000]yyyy-mm-dd")</f>
        <v/>
      </c>
      <c r="C54984" t="inlineStr">
        <is>
          <t>2050-05-27</t>
        </is>
      </c>
    </row>
    <row r="54985">
      <c r="A54985" s="1" t="n">
        <v>54984</v>
      </c>
      <c r="B54985">
        <f>TEXT(54984, "[$-0E0000]yyyy-mm-dd")</f>
        <v/>
      </c>
      <c r="C54985" t="inlineStr">
        <is>
          <t>2050-05-28</t>
        </is>
      </c>
    </row>
    <row r="54986">
      <c r="A54986" s="1" t="n">
        <v>54985</v>
      </c>
      <c r="B54986">
        <f>TEXT(54985, "[$-0E0000]yyyy-mm-dd")</f>
        <v/>
      </c>
      <c r="C54986" t="inlineStr">
        <is>
          <t>2050-05-29</t>
        </is>
      </c>
    </row>
    <row r="54987">
      <c r="A54987" s="1" t="n">
        <v>54986</v>
      </c>
      <c r="B54987">
        <f>TEXT(54986, "[$-0E0000]yyyy-mm-dd")</f>
        <v/>
      </c>
      <c r="C54987" t="inlineStr">
        <is>
          <t>2050-05-30</t>
        </is>
      </c>
    </row>
    <row r="54988">
      <c r="A54988" s="1" t="n">
        <v>54987</v>
      </c>
      <c r="B54988">
        <f>TEXT(54987, "[$-0E0000]yyyy-mm-dd")</f>
        <v/>
      </c>
      <c r="C54988" t="inlineStr">
        <is>
          <t>2050-06-01</t>
        </is>
      </c>
    </row>
    <row r="54989">
      <c r="A54989" s="1" t="n">
        <v>54988</v>
      </c>
      <c r="B54989">
        <f>TEXT(54988, "[$-0E0000]yyyy-mm-dd")</f>
        <v/>
      </c>
      <c r="C54989" t="inlineStr">
        <is>
          <t>2050-06-02</t>
        </is>
      </c>
    </row>
    <row r="54990">
      <c r="A54990" s="1" t="n">
        <v>54989</v>
      </c>
      <c r="B54990">
        <f>TEXT(54989, "[$-0E0000]yyyy-mm-dd")</f>
        <v/>
      </c>
      <c r="C54990" t="inlineStr">
        <is>
          <t>2050-06-03</t>
        </is>
      </c>
    </row>
    <row r="54991">
      <c r="A54991" s="1" t="n">
        <v>54990</v>
      </c>
      <c r="B54991">
        <f>TEXT(54990, "[$-0E0000]yyyy-mm-dd")</f>
        <v/>
      </c>
      <c r="C54991" t="inlineStr">
        <is>
          <t>2050-06-04</t>
        </is>
      </c>
    </row>
    <row r="54992">
      <c r="A54992" s="1" t="n">
        <v>54991</v>
      </c>
      <c r="B54992">
        <f>TEXT(54991, "[$-0E0000]yyyy-mm-dd")</f>
        <v/>
      </c>
      <c r="C54992" t="inlineStr">
        <is>
          <t>2050-06-05</t>
        </is>
      </c>
    </row>
    <row r="54993">
      <c r="A54993" s="1" t="n">
        <v>54992</v>
      </c>
      <c r="B54993">
        <f>TEXT(54992, "[$-0E0000]yyyy-mm-dd")</f>
        <v/>
      </c>
      <c r="C54993" t="inlineStr">
        <is>
          <t>2050-06-06</t>
        </is>
      </c>
    </row>
    <row r="54994">
      <c r="A54994" s="1" t="n">
        <v>54993</v>
      </c>
      <c r="B54994">
        <f>TEXT(54993, "[$-0E0000]yyyy-mm-dd")</f>
        <v/>
      </c>
      <c r="C54994" t="inlineStr">
        <is>
          <t>2050-06-07</t>
        </is>
      </c>
    </row>
    <row r="54995">
      <c r="A54995" s="1" t="n">
        <v>54994</v>
      </c>
      <c r="B54995">
        <f>TEXT(54994, "[$-0E0000]yyyy-mm-dd")</f>
        <v/>
      </c>
      <c r="C54995" t="inlineStr">
        <is>
          <t>2050-06-08</t>
        </is>
      </c>
    </row>
    <row r="54996">
      <c r="A54996" s="1" t="n">
        <v>54995</v>
      </c>
      <c r="B54996">
        <f>TEXT(54995, "[$-0E0000]yyyy-mm-dd")</f>
        <v/>
      </c>
      <c r="C54996" t="inlineStr">
        <is>
          <t>2050-06-09</t>
        </is>
      </c>
    </row>
    <row r="54997">
      <c r="A54997" s="1" t="n">
        <v>54996</v>
      </c>
      <c r="B54997">
        <f>TEXT(54996, "[$-0E0000]yyyy-mm-dd")</f>
        <v/>
      </c>
      <c r="C54997" t="inlineStr">
        <is>
          <t>2050-06-10</t>
        </is>
      </c>
    </row>
    <row r="54998">
      <c r="A54998" s="1" t="n">
        <v>54997</v>
      </c>
      <c r="B54998">
        <f>TEXT(54997, "[$-0E0000]yyyy-mm-dd")</f>
        <v/>
      </c>
      <c r="C54998" t="inlineStr">
        <is>
          <t>2050-06-11</t>
        </is>
      </c>
    </row>
    <row r="54999">
      <c r="A54999" s="1" t="n">
        <v>54998</v>
      </c>
      <c r="B54999">
        <f>TEXT(54998, "[$-0E0000]yyyy-mm-dd")</f>
        <v/>
      </c>
      <c r="C54999" t="inlineStr">
        <is>
          <t>2050-06-12</t>
        </is>
      </c>
    </row>
    <row r="55000">
      <c r="A55000" s="1" t="n">
        <v>54999</v>
      </c>
      <c r="B55000">
        <f>TEXT(54999, "[$-0E0000]yyyy-mm-dd")</f>
        <v/>
      </c>
      <c r="C55000" t="inlineStr">
        <is>
          <t>2050-06-13</t>
        </is>
      </c>
    </row>
    <row r="55001">
      <c r="A55001" s="1" t="n">
        <v>55000</v>
      </c>
      <c r="B55001">
        <f>TEXT(55000, "[$-0E0000]yyyy-mm-dd")</f>
        <v/>
      </c>
      <c r="C55001" t="inlineStr">
        <is>
          <t>2050-06-14</t>
        </is>
      </c>
    </row>
    <row r="55002">
      <c r="A55002" s="1" t="n">
        <v>55001</v>
      </c>
      <c r="B55002">
        <f>TEXT(55001, "[$-0E0000]yyyy-mm-dd")</f>
        <v/>
      </c>
      <c r="C55002" t="inlineStr">
        <is>
          <t>2050-06-15</t>
        </is>
      </c>
    </row>
    <row r="55003">
      <c r="A55003" s="1" t="n">
        <v>55002</v>
      </c>
      <c r="B55003">
        <f>TEXT(55002, "[$-0E0000]yyyy-mm-dd")</f>
        <v/>
      </c>
      <c r="C55003" t="inlineStr">
        <is>
          <t>2050-06-16</t>
        </is>
      </c>
    </row>
    <row r="55004">
      <c r="A55004" s="1" t="n">
        <v>55003</v>
      </c>
      <c r="B55004">
        <f>TEXT(55003, "[$-0E0000]yyyy-mm-dd")</f>
        <v/>
      </c>
      <c r="C55004" t="inlineStr">
        <is>
          <t>2050-06-17</t>
        </is>
      </c>
    </row>
    <row r="55005">
      <c r="A55005" s="1" t="n">
        <v>55004</v>
      </c>
      <c r="B55005">
        <f>TEXT(55004, "[$-0E0000]yyyy-mm-dd")</f>
        <v/>
      </c>
      <c r="C55005" t="inlineStr">
        <is>
          <t>2050-06-18</t>
        </is>
      </c>
    </row>
    <row r="55006">
      <c r="A55006" s="1" t="n">
        <v>55005</v>
      </c>
      <c r="B55006">
        <f>TEXT(55005, "[$-0E0000]yyyy-mm-dd")</f>
        <v/>
      </c>
      <c r="C55006" t="inlineStr">
        <is>
          <t>2050-06-19</t>
        </is>
      </c>
    </row>
    <row r="55007">
      <c r="A55007" s="1" t="n">
        <v>55006</v>
      </c>
      <c r="B55007">
        <f>TEXT(55006, "[$-0E0000]yyyy-mm-dd")</f>
        <v/>
      </c>
      <c r="C55007" t="inlineStr">
        <is>
          <t>2050-06-20</t>
        </is>
      </c>
    </row>
    <row r="55008">
      <c r="A55008" s="1" t="n">
        <v>55007</v>
      </c>
      <c r="B55008">
        <f>TEXT(55007, "[$-0E0000]yyyy-mm-dd")</f>
        <v/>
      </c>
      <c r="C55008" t="inlineStr">
        <is>
          <t>2050-06-21</t>
        </is>
      </c>
    </row>
    <row r="55009">
      <c r="A55009" s="1" t="n">
        <v>55008</v>
      </c>
      <c r="B55009">
        <f>TEXT(55008, "[$-0E0000]yyyy-mm-dd")</f>
        <v/>
      </c>
      <c r="C55009" t="inlineStr">
        <is>
          <t>2050-06-22</t>
        </is>
      </c>
    </row>
    <row r="55010">
      <c r="A55010" s="1" t="n">
        <v>55009</v>
      </c>
      <c r="B55010">
        <f>TEXT(55009, "[$-0E0000]yyyy-mm-dd")</f>
        <v/>
      </c>
      <c r="C55010" t="inlineStr">
        <is>
          <t>2050-06-23</t>
        </is>
      </c>
    </row>
    <row r="55011">
      <c r="A55011" s="1" t="n">
        <v>55010</v>
      </c>
      <c r="B55011">
        <f>TEXT(55010, "[$-0E0000]yyyy-mm-dd")</f>
        <v/>
      </c>
      <c r="C55011" t="inlineStr">
        <is>
          <t>2050-06-24</t>
        </is>
      </c>
    </row>
    <row r="55012">
      <c r="A55012" s="1" t="n">
        <v>55011</v>
      </c>
      <c r="B55012">
        <f>TEXT(55011, "[$-0E0000]yyyy-mm-dd")</f>
        <v/>
      </c>
      <c r="C55012" t="inlineStr">
        <is>
          <t>2050-06-25</t>
        </is>
      </c>
    </row>
    <row r="55013">
      <c r="A55013" s="1" t="n">
        <v>55012</v>
      </c>
      <c r="B55013">
        <f>TEXT(55012, "[$-0E0000]yyyy-mm-dd")</f>
        <v/>
      </c>
      <c r="C55013" t="inlineStr">
        <is>
          <t>2050-06-26</t>
        </is>
      </c>
    </row>
    <row r="55014">
      <c r="A55014" s="1" t="n">
        <v>55013</v>
      </c>
      <c r="B55014">
        <f>TEXT(55013, "[$-0E0000]yyyy-mm-dd")</f>
        <v/>
      </c>
      <c r="C55014" t="inlineStr">
        <is>
          <t>2050-06-27</t>
        </is>
      </c>
    </row>
    <row r="55015">
      <c r="A55015" s="1" t="n">
        <v>55014</v>
      </c>
      <c r="B55015">
        <f>TEXT(55014, "[$-0E0000]yyyy-mm-dd")</f>
        <v/>
      </c>
      <c r="C55015" t="inlineStr">
        <is>
          <t>2050-06-28</t>
        </is>
      </c>
    </row>
    <row r="55016">
      <c r="A55016" s="1" t="n">
        <v>55015</v>
      </c>
      <c r="B55016">
        <f>TEXT(55015, "[$-0E0000]yyyy-mm-dd")</f>
        <v/>
      </c>
      <c r="C55016" t="inlineStr">
        <is>
          <t>2050-06-29</t>
        </is>
      </c>
    </row>
    <row r="55017">
      <c r="A55017" s="1" t="n">
        <v>55016</v>
      </c>
      <c r="B55017">
        <f>TEXT(55016, "[$-0E0000]yyyy-mm-dd")</f>
        <v/>
      </c>
      <c r="C55017" t="inlineStr">
        <is>
          <t>2050-07-01</t>
        </is>
      </c>
    </row>
    <row r="55018">
      <c r="A55018" s="1" t="n">
        <v>55017</v>
      </c>
      <c r="B55018">
        <f>TEXT(55017, "[$-0E0000]yyyy-mm-dd")</f>
        <v/>
      </c>
      <c r="C55018" t="inlineStr">
        <is>
          <t>2050-07-02</t>
        </is>
      </c>
    </row>
    <row r="55019">
      <c r="A55019" s="1" t="n">
        <v>55018</v>
      </c>
      <c r="B55019">
        <f>TEXT(55018, "[$-0E0000]yyyy-mm-dd")</f>
        <v/>
      </c>
      <c r="C55019" t="inlineStr">
        <is>
          <t>2050-07-03</t>
        </is>
      </c>
    </row>
    <row r="55020">
      <c r="A55020" s="1" t="n">
        <v>55019</v>
      </c>
      <c r="B55020">
        <f>TEXT(55019, "[$-0E0000]yyyy-mm-dd")</f>
        <v/>
      </c>
      <c r="C55020" t="inlineStr">
        <is>
          <t>2050-07-04</t>
        </is>
      </c>
    </row>
    <row r="55021">
      <c r="A55021" s="1" t="n">
        <v>55020</v>
      </c>
      <c r="B55021">
        <f>TEXT(55020, "[$-0E0000]yyyy-mm-dd")</f>
        <v/>
      </c>
      <c r="C55021" t="inlineStr">
        <is>
          <t>2050-07-05</t>
        </is>
      </c>
    </row>
    <row r="55022">
      <c r="A55022" s="1" t="n">
        <v>55021</v>
      </c>
      <c r="B55022">
        <f>TEXT(55021, "[$-0E0000]yyyy-mm-dd")</f>
        <v/>
      </c>
      <c r="C55022" t="inlineStr">
        <is>
          <t>2050-07-06</t>
        </is>
      </c>
    </row>
    <row r="55023">
      <c r="A55023" s="1" t="n">
        <v>55022</v>
      </c>
      <c r="B55023">
        <f>TEXT(55022, "[$-0E0000]yyyy-mm-dd")</f>
        <v/>
      </c>
      <c r="C55023" t="inlineStr">
        <is>
          <t>2050-07-07</t>
        </is>
      </c>
    </row>
    <row r="55024">
      <c r="A55024" s="1" t="n">
        <v>55023</v>
      </c>
      <c r="B55024">
        <f>TEXT(55023, "[$-0E0000]yyyy-mm-dd")</f>
        <v/>
      </c>
      <c r="C55024" t="inlineStr">
        <is>
          <t>2050-07-08</t>
        </is>
      </c>
    </row>
    <row r="55025">
      <c r="A55025" s="1" t="n">
        <v>55024</v>
      </c>
      <c r="B55025">
        <f>TEXT(55024, "[$-0E0000]yyyy-mm-dd")</f>
        <v/>
      </c>
      <c r="C55025" t="inlineStr">
        <is>
          <t>2050-07-09</t>
        </is>
      </c>
    </row>
    <row r="55026">
      <c r="A55026" s="1" t="n">
        <v>55025</v>
      </c>
      <c r="B55026">
        <f>TEXT(55025, "[$-0E0000]yyyy-mm-dd")</f>
        <v/>
      </c>
      <c r="C55026" t="inlineStr">
        <is>
          <t>2050-07-10</t>
        </is>
      </c>
    </row>
    <row r="55027">
      <c r="A55027" s="1" t="n">
        <v>55026</v>
      </c>
      <c r="B55027">
        <f>TEXT(55026, "[$-0E0000]yyyy-mm-dd")</f>
        <v/>
      </c>
      <c r="C55027" t="inlineStr">
        <is>
          <t>2050-07-11</t>
        </is>
      </c>
    </row>
    <row r="55028">
      <c r="A55028" s="1" t="n">
        <v>55027</v>
      </c>
      <c r="B55028">
        <f>TEXT(55027, "[$-0E0000]yyyy-mm-dd")</f>
        <v/>
      </c>
      <c r="C55028" t="inlineStr">
        <is>
          <t>2050-07-12</t>
        </is>
      </c>
    </row>
    <row r="55029">
      <c r="A55029" s="1" t="n">
        <v>55028</v>
      </c>
      <c r="B55029">
        <f>TEXT(55028, "[$-0E0000]yyyy-mm-dd")</f>
        <v/>
      </c>
      <c r="C55029" t="inlineStr">
        <is>
          <t>2050-07-13</t>
        </is>
      </c>
    </row>
    <row r="55030">
      <c r="A55030" s="1" t="n">
        <v>55029</v>
      </c>
      <c r="B55030">
        <f>TEXT(55029, "[$-0E0000]yyyy-mm-dd")</f>
        <v/>
      </c>
      <c r="C55030" t="inlineStr">
        <is>
          <t>2050-07-14</t>
        </is>
      </c>
    </row>
    <row r="55031">
      <c r="A55031" s="1" t="n">
        <v>55030</v>
      </c>
      <c r="B55031">
        <f>TEXT(55030, "[$-0E0000]yyyy-mm-dd")</f>
        <v/>
      </c>
      <c r="C55031" t="inlineStr">
        <is>
          <t>2050-07-15</t>
        </is>
      </c>
    </row>
    <row r="55032">
      <c r="A55032" s="1" t="n">
        <v>55031</v>
      </c>
      <c r="B55032">
        <f>TEXT(55031, "[$-0E0000]yyyy-mm-dd")</f>
        <v/>
      </c>
      <c r="C55032" t="inlineStr">
        <is>
          <t>2050-07-16</t>
        </is>
      </c>
    </row>
    <row r="55033">
      <c r="A55033" s="1" t="n">
        <v>55032</v>
      </c>
      <c r="B55033">
        <f>TEXT(55032, "[$-0E0000]yyyy-mm-dd")</f>
        <v/>
      </c>
      <c r="C55033" t="inlineStr">
        <is>
          <t>2050-07-17</t>
        </is>
      </c>
    </row>
    <row r="55034">
      <c r="A55034" s="1" t="n">
        <v>55033</v>
      </c>
      <c r="B55034">
        <f>TEXT(55033, "[$-0E0000]yyyy-mm-dd")</f>
        <v/>
      </c>
      <c r="C55034" t="inlineStr">
        <is>
          <t>2050-07-18</t>
        </is>
      </c>
    </row>
    <row r="55035">
      <c r="A55035" s="1" t="n">
        <v>55034</v>
      </c>
      <c r="B55035">
        <f>TEXT(55034, "[$-0E0000]yyyy-mm-dd")</f>
        <v/>
      </c>
      <c r="C55035" t="inlineStr">
        <is>
          <t>2050-07-19</t>
        </is>
      </c>
    </row>
    <row r="55036">
      <c r="A55036" s="1" t="n">
        <v>55035</v>
      </c>
      <c r="B55036">
        <f>TEXT(55035, "[$-0E0000]yyyy-mm-dd")</f>
        <v/>
      </c>
      <c r="C55036" t="inlineStr">
        <is>
          <t>2050-07-20</t>
        </is>
      </c>
    </row>
    <row r="55037">
      <c r="A55037" s="1" t="n">
        <v>55036</v>
      </c>
      <c r="B55037">
        <f>TEXT(55036, "[$-0E0000]yyyy-mm-dd")</f>
        <v/>
      </c>
      <c r="C55037" t="inlineStr">
        <is>
          <t>2050-07-21</t>
        </is>
      </c>
    </row>
    <row r="55038">
      <c r="A55038" s="1" t="n">
        <v>55037</v>
      </c>
      <c r="B55038">
        <f>TEXT(55037, "[$-0E0000]yyyy-mm-dd")</f>
        <v/>
      </c>
      <c r="C55038" t="inlineStr">
        <is>
          <t>2050-07-22</t>
        </is>
      </c>
    </row>
    <row r="55039">
      <c r="A55039" s="1" t="n">
        <v>55038</v>
      </c>
      <c r="B55039">
        <f>TEXT(55038, "[$-0E0000]yyyy-mm-dd")</f>
        <v/>
      </c>
      <c r="C55039" t="inlineStr">
        <is>
          <t>2050-07-23</t>
        </is>
      </c>
    </row>
    <row r="55040">
      <c r="A55040" s="1" t="n">
        <v>55039</v>
      </c>
      <c r="B55040">
        <f>TEXT(55039, "[$-0E0000]yyyy-mm-dd")</f>
        <v/>
      </c>
      <c r="C55040" t="inlineStr">
        <is>
          <t>2050-07-24</t>
        </is>
      </c>
    </row>
    <row r="55041">
      <c r="A55041" s="1" t="n">
        <v>55040</v>
      </c>
      <c r="B55041">
        <f>TEXT(55040, "[$-0E0000]yyyy-mm-dd")</f>
        <v/>
      </c>
      <c r="C55041" t="inlineStr">
        <is>
          <t>2050-07-25</t>
        </is>
      </c>
    </row>
    <row r="55042">
      <c r="A55042" s="1" t="n">
        <v>55041</v>
      </c>
      <c r="B55042">
        <f>TEXT(55041, "[$-0E0000]yyyy-mm-dd")</f>
        <v/>
      </c>
      <c r="C55042" t="inlineStr">
        <is>
          <t>2050-07-26</t>
        </is>
      </c>
    </row>
    <row r="55043">
      <c r="A55043" s="1" t="n">
        <v>55042</v>
      </c>
      <c r="B55043">
        <f>TEXT(55042, "[$-0E0000]yyyy-mm-dd")</f>
        <v/>
      </c>
      <c r="C55043" t="inlineStr">
        <is>
          <t>2050-07-27</t>
        </is>
      </c>
    </row>
    <row r="55044">
      <c r="A55044" s="1" t="n">
        <v>55043</v>
      </c>
      <c r="B55044">
        <f>TEXT(55043, "[$-0E0000]yyyy-mm-dd")</f>
        <v/>
      </c>
      <c r="C55044" t="inlineStr">
        <is>
          <t>2050-07-28</t>
        </is>
      </c>
    </row>
    <row r="55045">
      <c r="A55045" s="1" t="n">
        <v>55044</v>
      </c>
      <c r="B55045">
        <f>TEXT(55044, "[$-0E0000]yyyy-mm-dd")</f>
        <v/>
      </c>
      <c r="C55045" t="inlineStr">
        <is>
          <t>2050-07-29</t>
        </is>
      </c>
    </row>
    <row r="55046">
      <c r="A55046" s="1" t="n">
        <v>55045</v>
      </c>
      <c r="B55046">
        <f>TEXT(55045, "[$-0E0000]yyyy-mm-dd")</f>
        <v/>
      </c>
      <c r="C55046" t="inlineStr">
        <is>
          <t>2050-07-30</t>
        </is>
      </c>
    </row>
    <row r="55047">
      <c r="A55047" s="1" t="n">
        <v>55046</v>
      </c>
      <c r="B55047">
        <f>TEXT(55046, "[$-0E0000]yyyy-mm-dd")</f>
        <v/>
      </c>
      <c r="C55047" t="inlineStr">
        <is>
          <t>2050-08-01</t>
        </is>
      </c>
    </row>
    <row r="55048">
      <c r="A55048" s="1" t="n">
        <v>55047</v>
      </c>
      <c r="B55048">
        <f>TEXT(55047, "[$-0E0000]yyyy-mm-dd")</f>
        <v/>
      </c>
      <c r="C55048" t="inlineStr">
        <is>
          <t>2050-08-02</t>
        </is>
      </c>
    </row>
    <row r="55049">
      <c r="A55049" s="1" t="n">
        <v>55048</v>
      </c>
      <c r="B55049">
        <f>TEXT(55048, "[$-0E0000]yyyy-mm-dd")</f>
        <v/>
      </c>
      <c r="C55049" t="inlineStr">
        <is>
          <t>2050-08-03</t>
        </is>
      </c>
    </row>
    <row r="55050">
      <c r="A55050" s="1" t="n">
        <v>55049</v>
      </c>
      <c r="B55050">
        <f>TEXT(55049, "[$-0E0000]yyyy-mm-dd")</f>
        <v/>
      </c>
      <c r="C55050" t="inlineStr">
        <is>
          <t>2050-08-04</t>
        </is>
      </c>
    </row>
    <row r="55051">
      <c r="A55051" s="1" t="n">
        <v>55050</v>
      </c>
      <c r="B55051">
        <f>TEXT(55050, "[$-0E0000]yyyy-mm-dd")</f>
        <v/>
      </c>
      <c r="C55051" t="inlineStr">
        <is>
          <t>2050-08-05</t>
        </is>
      </c>
    </row>
    <row r="55052">
      <c r="A55052" s="1" t="n">
        <v>55051</v>
      </c>
      <c r="B55052">
        <f>TEXT(55051, "[$-0E0000]yyyy-mm-dd")</f>
        <v/>
      </c>
      <c r="C55052" t="inlineStr">
        <is>
          <t>2050-08-06</t>
        </is>
      </c>
    </row>
    <row r="55053">
      <c r="A55053" s="1" t="n">
        <v>55052</v>
      </c>
      <c r="B55053">
        <f>TEXT(55052, "[$-0E0000]yyyy-mm-dd")</f>
        <v/>
      </c>
      <c r="C55053" t="inlineStr">
        <is>
          <t>2050-08-07</t>
        </is>
      </c>
    </row>
    <row r="55054">
      <c r="A55054" s="1" t="n">
        <v>55053</v>
      </c>
      <c r="B55054">
        <f>TEXT(55053, "[$-0E0000]yyyy-mm-dd")</f>
        <v/>
      </c>
      <c r="C55054" t="inlineStr">
        <is>
          <t>2050-08-08</t>
        </is>
      </c>
    </row>
    <row r="55055">
      <c r="A55055" s="1" t="n">
        <v>55054</v>
      </c>
      <c r="B55055">
        <f>TEXT(55054, "[$-0E0000]yyyy-mm-dd")</f>
        <v/>
      </c>
      <c r="C55055" t="inlineStr">
        <is>
          <t>2050-08-09</t>
        </is>
      </c>
    </row>
    <row r="55056">
      <c r="A55056" s="1" t="n">
        <v>55055</v>
      </c>
      <c r="B55056">
        <f>TEXT(55055, "[$-0E0000]yyyy-mm-dd")</f>
        <v/>
      </c>
      <c r="C55056" t="inlineStr">
        <is>
          <t>2050-08-10</t>
        </is>
      </c>
    </row>
    <row r="55057">
      <c r="A55057" s="1" t="n">
        <v>55056</v>
      </c>
      <c r="B55057">
        <f>TEXT(55056, "[$-0E0000]yyyy-mm-dd")</f>
        <v/>
      </c>
      <c r="C55057" t="inlineStr">
        <is>
          <t>2050-08-11</t>
        </is>
      </c>
    </row>
    <row r="55058">
      <c r="A55058" s="1" t="n">
        <v>55057</v>
      </c>
      <c r="B55058">
        <f>TEXT(55057, "[$-0E0000]yyyy-mm-dd")</f>
        <v/>
      </c>
      <c r="C55058" t="inlineStr">
        <is>
          <t>2050-08-12</t>
        </is>
      </c>
    </row>
    <row r="55059">
      <c r="A55059" s="1" t="n">
        <v>55058</v>
      </c>
      <c r="B55059">
        <f>TEXT(55058, "[$-0E0000]yyyy-mm-dd")</f>
        <v/>
      </c>
      <c r="C55059" t="inlineStr">
        <is>
          <t>2050-08-13</t>
        </is>
      </c>
    </row>
    <row r="55060">
      <c r="A55060" s="1" t="n">
        <v>55059</v>
      </c>
      <c r="B55060">
        <f>TEXT(55059, "[$-0E0000]yyyy-mm-dd")</f>
        <v/>
      </c>
      <c r="C55060" t="inlineStr">
        <is>
          <t>2050-08-14</t>
        </is>
      </c>
    </row>
    <row r="55061">
      <c r="A55061" s="1" t="n">
        <v>55060</v>
      </c>
      <c r="B55061">
        <f>TEXT(55060, "[$-0E0000]yyyy-mm-dd")</f>
        <v/>
      </c>
      <c r="C55061" t="inlineStr">
        <is>
          <t>2050-08-15</t>
        </is>
      </c>
    </row>
    <row r="55062">
      <c r="A55062" s="1" t="n">
        <v>55061</v>
      </c>
      <c r="B55062">
        <f>TEXT(55061, "[$-0E0000]yyyy-mm-dd")</f>
        <v/>
      </c>
      <c r="C55062" t="inlineStr">
        <is>
          <t>2050-08-16</t>
        </is>
      </c>
    </row>
    <row r="55063">
      <c r="A55063" s="1" t="n">
        <v>55062</v>
      </c>
      <c r="B55063">
        <f>TEXT(55062, "[$-0E0000]yyyy-mm-dd")</f>
        <v/>
      </c>
      <c r="C55063" t="inlineStr">
        <is>
          <t>2050-08-17</t>
        </is>
      </c>
    </row>
    <row r="55064">
      <c r="A55064" s="1" t="n">
        <v>55063</v>
      </c>
      <c r="B55064">
        <f>TEXT(55063, "[$-0E0000]yyyy-mm-dd")</f>
        <v/>
      </c>
      <c r="C55064" t="inlineStr">
        <is>
          <t>2050-08-18</t>
        </is>
      </c>
    </row>
    <row r="55065">
      <c r="A55065" s="1" t="n">
        <v>55064</v>
      </c>
      <c r="B55065">
        <f>TEXT(55064, "[$-0E0000]yyyy-mm-dd")</f>
        <v/>
      </c>
      <c r="C55065" t="inlineStr">
        <is>
          <t>2050-08-19</t>
        </is>
      </c>
    </row>
    <row r="55066">
      <c r="A55066" s="1" t="n">
        <v>55065</v>
      </c>
      <c r="B55066">
        <f>TEXT(55065, "[$-0E0000]yyyy-mm-dd")</f>
        <v/>
      </c>
      <c r="C55066" t="inlineStr">
        <is>
          <t>2050-08-20</t>
        </is>
      </c>
    </row>
    <row r="55067">
      <c r="A55067" s="1" t="n">
        <v>55066</v>
      </c>
      <c r="B55067">
        <f>TEXT(55066, "[$-0E0000]yyyy-mm-dd")</f>
        <v/>
      </c>
      <c r="C55067" t="inlineStr">
        <is>
          <t>2050-08-21</t>
        </is>
      </c>
    </row>
    <row r="55068">
      <c r="A55068" s="1" t="n">
        <v>55067</v>
      </c>
      <c r="B55068">
        <f>TEXT(55067, "[$-0E0000]yyyy-mm-dd")</f>
        <v/>
      </c>
      <c r="C55068" t="inlineStr">
        <is>
          <t>2050-08-22</t>
        </is>
      </c>
    </row>
    <row r="55069">
      <c r="A55069" s="1" t="n">
        <v>55068</v>
      </c>
      <c r="B55069">
        <f>TEXT(55068, "[$-0E0000]yyyy-mm-dd")</f>
        <v/>
      </c>
      <c r="C55069" t="inlineStr">
        <is>
          <t>2050-08-23</t>
        </is>
      </c>
    </row>
    <row r="55070">
      <c r="A55070" s="1" t="n">
        <v>55069</v>
      </c>
      <c r="B55070">
        <f>TEXT(55069, "[$-0E0000]yyyy-mm-dd")</f>
        <v/>
      </c>
      <c r="C55070" t="inlineStr">
        <is>
          <t>2050-08-24</t>
        </is>
      </c>
    </row>
    <row r="55071">
      <c r="A55071" s="1" t="n">
        <v>55070</v>
      </c>
      <c r="B55071">
        <f>TEXT(55070, "[$-0E0000]yyyy-mm-dd")</f>
        <v/>
      </c>
      <c r="C55071" t="inlineStr">
        <is>
          <t>2050-08-25</t>
        </is>
      </c>
    </row>
    <row r="55072">
      <c r="A55072" s="1" t="n">
        <v>55071</v>
      </c>
      <c r="B55072">
        <f>TEXT(55071, "[$-0E0000]yyyy-mm-dd")</f>
        <v/>
      </c>
      <c r="C55072" t="inlineStr">
        <is>
          <t>2050-08-26</t>
        </is>
      </c>
    </row>
    <row r="55073">
      <c r="A55073" s="1" t="n">
        <v>55072</v>
      </c>
      <c r="B55073">
        <f>TEXT(55072, "[$-0E0000]yyyy-mm-dd")</f>
        <v/>
      </c>
      <c r="C55073" t="inlineStr">
        <is>
          <t>2050-08-27</t>
        </is>
      </c>
    </row>
    <row r="55074">
      <c r="A55074" s="1" t="n">
        <v>55073</v>
      </c>
      <c r="B55074">
        <f>TEXT(55073, "[$-0E0000]yyyy-mm-dd")</f>
        <v/>
      </c>
      <c r="C55074" t="inlineStr">
        <is>
          <t>2050-08-28</t>
        </is>
      </c>
    </row>
    <row r="55075">
      <c r="A55075" s="1" t="n">
        <v>55074</v>
      </c>
      <c r="B55075">
        <f>TEXT(55074, "[$-0E0000]yyyy-mm-dd")</f>
        <v/>
      </c>
      <c r="C55075" t="inlineStr">
        <is>
          <t>2050-08-29</t>
        </is>
      </c>
    </row>
    <row r="55076">
      <c r="A55076" s="1" t="n">
        <v>55075</v>
      </c>
      <c r="B55076">
        <f>TEXT(55075, "[$-0E0000]yyyy-mm-dd")</f>
        <v/>
      </c>
      <c r="C55076" t="inlineStr">
        <is>
          <t>2050-08-30</t>
        </is>
      </c>
    </row>
    <row r="55077">
      <c r="A55077" s="1" t="n">
        <v>55076</v>
      </c>
      <c r="B55077">
        <f>TEXT(55076, "[$-0E0000]yyyy-mm-dd")</f>
        <v/>
      </c>
      <c r="C55077" t="inlineStr">
        <is>
          <t>2050-09-01</t>
        </is>
      </c>
    </row>
    <row r="55078">
      <c r="A55078" s="1" t="n">
        <v>55077</v>
      </c>
      <c r="B55078">
        <f>TEXT(55077, "[$-0E0000]yyyy-mm-dd")</f>
        <v/>
      </c>
      <c r="C55078" t="inlineStr">
        <is>
          <t>2050-09-02</t>
        </is>
      </c>
    </row>
    <row r="55079">
      <c r="A55079" s="1" t="n">
        <v>55078</v>
      </c>
      <c r="B55079">
        <f>TEXT(55078, "[$-0E0000]yyyy-mm-dd")</f>
        <v/>
      </c>
      <c r="C55079" t="inlineStr">
        <is>
          <t>2050-09-03</t>
        </is>
      </c>
    </row>
    <row r="55080">
      <c r="A55080" s="1" t="n">
        <v>55079</v>
      </c>
      <c r="B55080">
        <f>TEXT(55079, "[$-0E0000]yyyy-mm-dd")</f>
        <v/>
      </c>
      <c r="C55080" t="inlineStr">
        <is>
          <t>2050-09-04</t>
        </is>
      </c>
    </row>
    <row r="55081">
      <c r="A55081" s="1" t="n">
        <v>55080</v>
      </c>
      <c r="B55081">
        <f>TEXT(55080, "[$-0E0000]yyyy-mm-dd")</f>
        <v/>
      </c>
      <c r="C55081" t="inlineStr">
        <is>
          <t>2050-09-05</t>
        </is>
      </c>
    </row>
    <row r="55082">
      <c r="A55082" s="1" t="n">
        <v>55081</v>
      </c>
      <c r="B55082">
        <f>TEXT(55081, "[$-0E0000]yyyy-mm-dd")</f>
        <v/>
      </c>
      <c r="C55082" t="inlineStr">
        <is>
          <t>2050-09-06</t>
        </is>
      </c>
    </row>
    <row r="55083">
      <c r="A55083" s="1" t="n">
        <v>55082</v>
      </c>
      <c r="B55083">
        <f>TEXT(55082, "[$-0E0000]yyyy-mm-dd")</f>
        <v/>
      </c>
      <c r="C55083" t="inlineStr">
        <is>
          <t>2050-09-07</t>
        </is>
      </c>
    </row>
    <row r="55084">
      <c r="A55084" s="1" t="n">
        <v>55083</v>
      </c>
      <c r="B55084">
        <f>TEXT(55083, "[$-0E0000]yyyy-mm-dd")</f>
        <v/>
      </c>
      <c r="C55084" t="inlineStr">
        <is>
          <t>2050-09-08</t>
        </is>
      </c>
    </row>
    <row r="55085">
      <c r="A55085" s="1" t="n">
        <v>55084</v>
      </c>
      <c r="B55085">
        <f>TEXT(55084, "[$-0E0000]yyyy-mm-dd")</f>
        <v/>
      </c>
      <c r="C55085" t="inlineStr">
        <is>
          <t>2050-09-09</t>
        </is>
      </c>
    </row>
    <row r="55086">
      <c r="A55086" s="1" t="n">
        <v>55085</v>
      </c>
      <c r="B55086">
        <f>TEXT(55085, "[$-0E0000]yyyy-mm-dd")</f>
        <v/>
      </c>
      <c r="C55086" t="inlineStr">
        <is>
          <t>2050-09-10</t>
        </is>
      </c>
    </row>
    <row r="55087">
      <c r="A55087" s="1" t="n">
        <v>55086</v>
      </c>
      <c r="B55087">
        <f>TEXT(55086, "[$-0E0000]yyyy-mm-dd")</f>
        <v/>
      </c>
      <c r="C55087" t="inlineStr">
        <is>
          <t>2050-09-11</t>
        </is>
      </c>
    </row>
    <row r="55088">
      <c r="A55088" s="1" t="n">
        <v>55087</v>
      </c>
      <c r="B55088">
        <f>TEXT(55087, "[$-0E0000]yyyy-mm-dd")</f>
        <v/>
      </c>
      <c r="C55088" t="inlineStr">
        <is>
          <t>2050-09-12</t>
        </is>
      </c>
    </row>
    <row r="55089">
      <c r="A55089" s="1" t="n">
        <v>55088</v>
      </c>
      <c r="B55089">
        <f>TEXT(55088, "[$-0E0000]yyyy-mm-dd")</f>
        <v/>
      </c>
      <c r="C55089" t="inlineStr">
        <is>
          <t>2050-09-13</t>
        </is>
      </c>
    </row>
    <row r="55090">
      <c r="A55090" s="1" t="n">
        <v>55089</v>
      </c>
      <c r="B55090">
        <f>TEXT(55089, "[$-0E0000]yyyy-mm-dd")</f>
        <v/>
      </c>
      <c r="C55090" t="inlineStr">
        <is>
          <t>2050-09-14</t>
        </is>
      </c>
    </row>
    <row r="55091">
      <c r="A55091" s="1" t="n">
        <v>55090</v>
      </c>
      <c r="B55091">
        <f>TEXT(55090, "[$-0E0000]yyyy-mm-dd")</f>
        <v/>
      </c>
      <c r="C55091" t="inlineStr">
        <is>
          <t>2050-09-15</t>
        </is>
      </c>
    </row>
    <row r="55092">
      <c r="A55092" s="1" t="n">
        <v>55091</v>
      </c>
      <c r="B55092">
        <f>TEXT(55091, "[$-0E0000]yyyy-mm-dd")</f>
        <v/>
      </c>
      <c r="C55092" t="inlineStr">
        <is>
          <t>2050-09-16</t>
        </is>
      </c>
    </row>
    <row r="55093">
      <c r="A55093" s="1" t="n">
        <v>55092</v>
      </c>
      <c r="B55093">
        <f>TEXT(55092, "[$-0E0000]yyyy-mm-dd")</f>
        <v/>
      </c>
      <c r="C55093" t="inlineStr">
        <is>
          <t>2050-09-17</t>
        </is>
      </c>
    </row>
    <row r="55094">
      <c r="A55094" s="1" t="n">
        <v>55093</v>
      </c>
      <c r="B55094">
        <f>TEXT(55093, "[$-0E0000]yyyy-mm-dd")</f>
        <v/>
      </c>
      <c r="C55094" t="inlineStr">
        <is>
          <t>2050-09-18</t>
        </is>
      </c>
    </row>
    <row r="55095">
      <c r="A55095" s="1" t="n">
        <v>55094</v>
      </c>
      <c r="B55095">
        <f>TEXT(55094, "[$-0E0000]yyyy-mm-dd")</f>
        <v/>
      </c>
      <c r="C55095" t="inlineStr">
        <is>
          <t>2050-09-19</t>
        </is>
      </c>
    </row>
    <row r="55096">
      <c r="A55096" s="1" t="n">
        <v>55095</v>
      </c>
      <c r="B55096">
        <f>TEXT(55095, "[$-0E0000]yyyy-mm-dd")</f>
        <v/>
      </c>
      <c r="C55096" t="inlineStr">
        <is>
          <t>2050-09-20</t>
        </is>
      </c>
    </row>
    <row r="55097">
      <c r="A55097" s="1" t="n">
        <v>55096</v>
      </c>
      <c r="B55097">
        <f>TEXT(55096, "[$-0E0000]yyyy-mm-dd")</f>
        <v/>
      </c>
      <c r="C55097" t="inlineStr">
        <is>
          <t>2050-09-21</t>
        </is>
      </c>
    </row>
    <row r="55098">
      <c r="A55098" s="1" t="n">
        <v>55097</v>
      </c>
      <c r="B55098">
        <f>TEXT(55097, "[$-0E0000]yyyy-mm-dd")</f>
        <v/>
      </c>
      <c r="C55098" t="inlineStr">
        <is>
          <t>2050-09-22</t>
        </is>
      </c>
    </row>
    <row r="55099">
      <c r="A55099" s="1" t="n">
        <v>55098</v>
      </c>
      <c r="B55099">
        <f>TEXT(55098, "[$-0E0000]yyyy-mm-dd")</f>
        <v/>
      </c>
      <c r="C55099" t="inlineStr">
        <is>
          <t>2050-09-23</t>
        </is>
      </c>
    </row>
    <row r="55100">
      <c r="A55100" s="1" t="n">
        <v>55099</v>
      </c>
      <c r="B55100">
        <f>TEXT(55099, "[$-0E0000]yyyy-mm-dd")</f>
        <v/>
      </c>
      <c r="C55100" t="inlineStr">
        <is>
          <t>2050-09-24</t>
        </is>
      </c>
    </row>
    <row r="55101">
      <c r="A55101" s="1" t="n">
        <v>55100</v>
      </c>
      <c r="B55101">
        <f>TEXT(55100, "[$-0E0000]yyyy-mm-dd")</f>
        <v/>
      </c>
      <c r="C55101" t="inlineStr">
        <is>
          <t>2050-09-25</t>
        </is>
      </c>
    </row>
    <row r="55102">
      <c r="A55102" s="1" t="n">
        <v>55101</v>
      </c>
      <c r="B55102">
        <f>TEXT(55101, "[$-0E0000]yyyy-mm-dd")</f>
        <v/>
      </c>
      <c r="C55102" t="inlineStr">
        <is>
          <t>2050-09-26</t>
        </is>
      </c>
    </row>
    <row r="55103">
      <c r="A55103" s="1" t="n">
        <v>55102</v>
      </c>
      <c r="B55103">
        <f>TEXT(55102, "[$-0E0000]yyyy-mm-dd")</f>
        <v/>
      </c>
      <c r="C55103" t="inlineStr">
        <is>
          <t>2050-09-27</t>
        </is>
      </c>
    </row>
    <row r="55104">
      <c r="A55104" s="1" t="n">
        <v>55103</v>
      </c>
      <c r="B55104">
        <f>TEXT(55103, "[$-0E0000]yyyy-mm-dd")</f>
        <v/>
      </c>
      <c r="C55104" t="inlineStr">
        <is>
          <t>2050-09-28</t>
        </is>
      </c>
    </row>
    <row r="55105">
      <c r="A55105" s="1" t="n">
        <v>55104</v>
      </c>
      <c r="B55105">
        <f>TEXT(55104, "[$-0E0000]yyyy-mm-dd")</f>
        <v/>
      </c>
      <c r="C55105" t="inlineStr">
        <is>
          <t>2050-09-29</t>
        </is>
      </c>
    </row>
    <row r="55106">
      <c r="A55106" s="1" t="n">
        <v>55105</v>
      </c>
      <c r="B55106">
        <f>TEXT(55105, "[$-0E0000]yyyy-mm-dd")</f>
        <v/>
      </c>
      <c r="C55106" t="inlineStr">
        <is>
          <t>2050-10-01</t>
        </is>
      </c>
    </row>
    <row r="55107">
      <c r="A55107" s="1" t="n">
        <v>55106</v>
      </c>
      <c r="B55107">
        <f>TEXT(55106, "[$-0E0000]yyyy-mm-dd")</f>
        <v/>
      </c>
      <c r="C55107" t="inlineStr">
        <is>
          <t>2050-10-02</t>
        </is>
      </c>
    </row>
    <row r="55108">
      <c r="A55108" s="1" t="n">
        <v>55107</v>
      </c>
      <c r="B55108">
        <f>TEXT(55107, "[$-0E0000]yyyy-mm-dd")</f>
        <v/>
      </c>
      <c r="C55108" t="inlineStr">
        <is>
          <t>2050-10-03</t>
        </is>
      </c>
    </row>
    <row r="55109">
      <c r="A55109" s="1" t="n">
        <v>55108</v>
      </c>
      <c r="B55109">
        <f>TEXT(55108, "[$-0E0000]yyyy-mm-dd")</f>
        <v/>
      </c>
      <c r="C55109" t="inlineStr">
        <is>
          <t>2050-10-04</t>
        </is>
      </c>
    </row>
    <row r="55110">
      <c r="A55110" s="1" t="n">
        <v>55109</v>
      </c>
      <c r="B55110">
        <f>TEXT(55109, "[$-0E0000]yyyy-mm-dd")</f>
        <v/>
      </c>
      <c r="C55110" t="inlineStr">
        <is>
          <t>2050-10-05</t>
        </is>
      </c>
    </row>
    <row r="55111">
      <c r="A55111" s="1" t="n">
        <v>55110</v>
      </c>
      <c r="B55111">
        <f>TEXT(55110, "[$-0E0000]yyyy-mm-dd")</f>
        <v/>
      </c>
      <c r="C55111" t="inlineStr">
        <is>
          <t>2050-10-06</t>
        </is>
      </c>
    </row>
    <row r="55112">
      <c r="A55112" s="1" t="n">
        <v>55111</v>
      </c>
      <c r="B55112">
        <f>TEXT(55111, "[$-0E0000]yyyy-mm-dd")</f>
        <v/>
      </c>
      <c r="C55112" t="inlineStr">
        <is>
          <t>2050-10-07</t>
        </is>
      </c>
    </row>
    <row r="55113">
      <c r="A55113" s="1" t="n">
        <v>55112</v>
      </c>
      <c r="B55113">
        <f>TEXT(55112, "[$-0E0000]yyyy-mm-dd")</f>
        <v/>
      </c>
      <c r="C55113" t="inlineStr">
        <is>
          <t>2050-10-08</t>
        </is>
      </c>
    </row>
    <row r="55114">
      <c r="A55114" s="1" t="n">
        <v>55113</v>
      </c>
      <c r="B55114">
        <f>TEXT(55113, "[$-0E0000]yyyy-mm-dd")</f>
        <v/>
      </c>
      <c r="C55114" t="inlineStr">
        <is>
          <t>2050-10-09</t>
        </is>
      </c>
    </row>
    <row r="55115">
      <c r="A55115" s="1" t="n">
        <v>55114</v>
      </c>
      <c r="B55115">
        <f>TEXT(55114, "[$-0E0000]yyyy-mm-dd")</f>
        <v/>
      </c>
      <c r="C55115" t="inlineStr">
        <is>
          <t>2050-10-10</t>
        </is>
      </c>
    </row>
    <row r="55116">
      <c r="A55116" s="1" t="n">
        <v>55115</v>
      </c>
      <c r="B55116">
        <f>TEXT(55115, "[$-0E0000]yyyy-mm-dd")</f>
        <v/>
      </c>
      <c r="C55116" t="inlineStr">
        <is>
          <t>2050-10-11</t>
        </is>
      </c>
    </row>
    <row r="55117">
      <c r="A55117" s="1" t="n">
        <v>55116</v>
      </c>
      <c r="B55117">
        <f>TEXT(55116, "[$-0E0000]yyyy-mm-dd")</f>
        <v/>
      </c>
      <c r="C55117" t="inlineStr">
        <is>
          <t>2050-10-12</t>
        </is>
      </c>
    </row>
    <row r="55118">
      <c r="A55118" s="1" t="n">
        <v>55117</v>
      </c>
      <c r="B55118">
        <f>TEXT(55117, "[$-0E0000]yyyy-mm-dd")</f>
        <v/>
      </c>
      <c r="C55118" t="inlineStr">
        <is>
          <t>2050-10-13</t>
        </is>
      </c>
    </row>
    <row r="55119">
      <c r="A55119" s="1" t="n">
        <v>55118</v>
      </c>
      <c r="B55119">
        <f>TEXT(55118, "[$-0E0000]yyyy-mm-dd")</f>
        <v/>
      </c>
      <c r="C55119" t="inlineStr">
        <is>
          <t>2050-10-14</t>
        </is>
      </c>
    </row>
    <row r="55120">
      <c r="A55120" s="1" t="n">
        <v>55119</v>
      </c>
      <c r="B55120">
        <f>TEXT(55119, "[$-0E0000]yyyy-mm-dd")</f>
        <v/>
      </c>
      <c r="C55120" t="inlineStr">
        <is>
          <t>2050-10-15</t>
        </is>
      </c>
    </row>
    <row r="55121">
      <c r="A55121" s="1" t="n">
        <v>55120</v>
      </c>
      <c r="B55121">
        <f>TEXT(55120, "[$-0E0000]yyyy-mm-dd")</f>
        <v/>
      </c>
      <c r="C55121" t="inlineStr">
        <is>
          <t>2050-10-16</t>
        </is>
      </c>
    </row>
    <row r="55122">
      <c r="A55122" s="1" t="n">
        <v>55121</v>
      </c>
      <c r="B55122">
        <f>TEXT(55121, "[$-0E0000]yyyy-mm-dd")</f>
        <v/>
      </c>
      <c r="C55122" t="inlineStr">
        <is>
          <t>2050-10-17</t>
        </is>
      </c>
    </row>
    <row r="55123">
      <c r="A55123" s="1" t="n">
        <v>55122</v>
      </c>
      <c r="B55123">
        <f>TEXT(55122, "[$-0E0000]yyyy-mm-dd")</f>
        <v/>
      </c>
      <c r="C55123" t="inlineStr">
        <is>
          <t>2050-10-18</t>
        </is>
      </c>
    </row>
    <row r="55124">
      <c r="A55124" s="1" t="n">
        <v>55123</v>
      </c>
      <c r="B55124">
        <f>TEXT(55123, "[$-0E0000]yyyy-mm-dd")</f>
        <v/>
      </c>
      <c r="C55124" t="inlineStr">
        <is>
          <t>2050-10-19</t>
        </is>
      </c>
    </row>
    <row r="55125">
      <c r="A55125" s="1" t="n">
        <v>55124</v>
      </c>
      <c r="B55125">
        <f>TEXT(55124, "[$-0E0000]yyyy-mm-dd")</f>
        <v/>
      </c>
      <c r="C55125" t="inlineStr">
        <is>
          <t>2050-10-20</t>
        </is>
      </c>
    </row>
    <row r="55126">
      <c r="A55126" s="1" t="n">
        <v>55125</v>
      </c>
      <c r="B55126">
        <f>TEXT(55125, "[$-0E0000]yyyy-mm-dd")</f>
        <v/>
      </c>
      <c r="C55126" t="inlineStr">
        <is>
          <t>2050-10-21</t>
        </is>
      </c>
    </row>
    <row r="55127">
      <c r="A55127" s="1" t="n">
        <v>55126</v>
      </c>
      <c r="B55127">
        <f>TEXT(55126, "[$-0E0000]yyyy-mm-dd")</f>
        <v/>
      </c>
      <c r="C55127" t="inlineStr">
        <is>
          <t>2050-10-22</t>
        </is>
      </c>
    </row>
    <row r="55128">
      <c r="A55128" s="1" t="n">
        <v>55127</v>
      </c>
      <c r="B55128">
        <f>TEXT(55127, "[$-0E0000]yyyy-mm-dd")</f>
        <v/>
      </c>
      <c r="C55128" t="inlineStr">
        <is>
          <t>2050-10-23</t>
        </is>
      </c>
    </row>
    <row r="55129">
      <c r="A55129" s="1" t="n">
        <v>55128</v>
      </c>
      <c r="B55129">
        <f>TEXT(55128, "[$-0E0000]yyyy-mm-dd")</f>
        <v/>
      </c>
      <c r="C55129" t="inlineStr">
        <is>
          <t>2050-10-24</t>
        </is>
      </c>
    </row>
    <row r="55130">
      <c r="A55130" s="1" t="n">
        <v>55129</v>
      </c>
      <c r="B55130">
        <f>TEXT(55129, "[$-0E0000]yyyy-mm-dd")</f>
        <v/>
      </c>
      <c r="C55130" t="inlineStr">
        <is>
          <t>2050-10-25</t>
        </is>
      </c>
    </row>
    <row r="55131">
      <c r="A55131" s="1" t="n">
        <v>55130</v>
      </c>
      <c r="B55131">
        <f>TEXT(55130, "[$-0E0000]yyyy-mm-dd")</f>
        <v/>
      </c>
      <c r="C55131" t="inlineStr">
        <is>
          <t>2050-10-26</t>
        </is>
      </c>
    </row>
    <row r="55132">
      <c r="A55132" s="1" t="n">
        <v>55131</v>
      </c>
      <c r="B55132">
        <f>TEXT(55131, "[$-0E0000]yyyy-mm-dd")</f>
        <v/>
      </c>
      <c r="C55132" t="inlineStr">
        <is>
          <t>2050-10-27</t>
        </is>
      </c>
    </row>
    <row r="55133">
      <c r="A55133" s="1" t="n">
        <v>55132</v>
      </c>
      <c r="B55133">
        <f>TEXT(55132, "[$-0E0000]yyyy-mm-dd")</f>
        <v/>
      </c>
      <c r="C55133" t="inlineStr">
        <is>
          <t>2050-10-28</t>
        </is>
      </c>
    </row>
    <row r="55134">
      <c r="A55134" s="1" t="n">
        <v>55133</v>
      </c>
      <c r="B55134">
        <f>TEXT(55133, "[$-0E0000]yyyy-mm-dd")</f>
        <v/>
      </c>
      <c r="C55134" t="inlineStr">
        <is>
          <t>2050-10-29</t>
        </is>
      </c>
    </row>
    <row r="55135">
      <c r="A55135" s="1" t="n">
        <v>55134</v>
      </c>
      <c r="B55135">
        <f>TEXT(55134, "[$-0E0000]yyyy-mm-dd")</f>
        <v/>
      </c>
      <c r="C55135" t="inlineStr">
        <is>
          <t>2050-10-30</t>
        </is>
      </c>
    </row>
    <row r="55136">
      <c r="A55136" s="1" t="n">
        <v>55135</v>
      </c>
      <c r="B55136">
        <f>TEXT(55135, "[$-0E0000]yyyy-mm-dd")</f>
        <v/>
      </c>
      <c r="C55136" t="inlineStr">
        <is>
          <t>2050-11-01</t>
        </is>
      </c>
    </row>
    <row r="55137">
      <c r="A55137" s="1" t="n">
        <v>55136</v>
      </c>
      <c r="B55137">
        <f>TEXT(55136, "[$-0E0000]yyyy-mm-dd")</f>
        <v/>
      </c>
      <c r="C55137" t="inlineStr">
        <is>
          <t>2050-11-02</t>
        </is>
      </c>
    </row>
    <row r="55138">
      <c r="A55138" s="1" t="n">
        <v>55137</v>
      </c>
      <c r="B55138">
        <f>TEXT(55137, "[$-0E0000]yyyy-mm-dd")</f>
        <v/>
      </c>
      <c r="C55138" t="inlineStr">
        <is>
          <t>2050-11-03</t>
        </is>
      </c>
    </row>
    <row r="55139">
      <c r="A55139" s="1" t="n">
        <v>55138</v>
      </c>
      <c r="B55139">
        <f>TEXT(55138, "[$-0E0000]yyyy-mm-dd")</f>
        <v/>
      </c>
      <c r="C55139" t="inlineStr">
        <is>
          <t>2050-11-04</t>
        </is>
      </c>
    </row>
    <row r="55140">
      <c r="A55140" s="1" t="n">
        <v>55139</v>
      </c>
      <c r="B55140">
        <f>TEXT(55139, "[$-0E0000]yyyy-mm-dd")</f>
        <v/>
      </c>
      <c r="C55140" t="inlineStr">
        <is>
          <t>2050-11-05</t>
        </is>
      </c>
    </row>
    <row r="55141">
      <c r="A55141" s="1" t="n">
        <v>55140</v>
      </c>
      <c r="B55141">
        <f>TEXT(55140, "[$-0E0000]yyyy-mm-dd")</f>
        <v/>
      </c>
      <c r="C55141" t="inlineStr">
        <is>
          <t>2050-11-06</t>
        </is>
      </c>
    </row>
    <row r="55142">
      <c r="A55142" s="1" t="n">
        <v>55141</v>
      </c>
      <c r="B55142">
        <f>TEXT(55141, "[$-0E0000]yyyy-mm-dd")</f>
        <v/>
      </c>
      <c r="C55142" t="inlineStr">
        <is>
          <t>2050-11-07</t>
        </is>
      </c>
    </row>
    <row r="55143">
      <c r="A55143" s="1" t="n">
        <v>55142</v>
      </c>
      <c r="B55143">
        <f>TEXT(55142, "[$-0E0000]yyyy-mm-dd")</f>
        <v/>
      </c>
      <c r="C55143" t="inlineStr">
        <is>
          <t>2050-11-08</t>
        </is>
      </c>
    </row>
    <row r="55144">
      <c r="A55144" s="1" t="n">
        <v>55143</v>
      </c>
      <c r="B55144">
        <f>TEXT(55143, "[$-0E0000]yyyy-mm-dd")</f>
        <v/>
      </c>
      <c r="C55144" t="inlineStr">
        <is>
          <t>2050-11-09</t>
        </is>
      </c>
    </row>
    <row r="55145">
      <c r="A55145" s="1" t="n">
        <v>55144</v>
      </c>
      <c r="B55145">
        <f>TEXT(55144, "[$-0E0000]yyyy-mm-dd")</f>
        <v/>
      </c>
      <c r="C55145" t="inlineStr">
        <is>
          <t>2050-11-10</t>
        </is>
      </c>
    </row>
    <row r="55146">
      <c r="A55146" s="1" t="n">
        <v>55145</v>
      </c>
      <c r="B55146">
        <f>TEXT(55145, "[$-0E0000]yyyy-mm-dd")</f>
        <v/>
      </c>
      <c r="C55146" t="inlineStr">
        <is>
          <t>2050-11-11</t>
        </is>
      </c>
    </row>
    <row r="55147">
      <c r="A55147" s="1" t="n">
        <v>55146</v>
      </c>
      <c r="B55147">
        <f>TEXT(55146, "[$-0E0000]yyyy-mm-dd")</f>
        <v/>
      </c>
      <c r="C55147" t="inlineStr">
        <is>
          <t>2050-11-12</t>
        </is>
      </c>
    </row>
    <row r="55148">
      <c r="A55148" s="1" t="n">
        <v>55147</v>
      </c>
      <c r="B55148">
        <f>TEXT(55147, "[$-0E0000]yyyy-mm-dd")</f>
        <v/>
      </c>
      <c r="C55148" t="inlineStr">
        <is>
          <t>2050-11-13</t>
        </is>
      </c>
    </row>
    <row r="55149">
      <c r="A55149" s="1" t="n">
        <v>55148</v>
      </c>
      <c r="B55149">
        <f>TEXT(55148, "[$-0E0000]yyyy-mm-dd")</f>
        <v/>
      </c>
      <c r="C55149" t="inlineStr">
        <is>
          <t>2050-11-14</t>
        </is>
      </c>
    </row>
    <row r="55150">
      <c r="A55150" s="1" t="n">
        <v>55149</v>
      </c>
      <c r="B55150">
        <f>TEXT(55149, "[$-0E0000]yyyy-mm-dd")</f>
        <v/>
      </c>
      <c r="C55150" t="inlineStr">
        <is>
          <t>2050-11-15</t>
        </is>
      </c>
    </row>
    <row r="55151">
      <c r="A55151" s="1" t="n">
        <v>55150</v>
      </c>
      <c r="B55151">
        <f>TEXT(55150, "[$-0E0000]yyyy-mm-dd")</f>
        <v/>
      </c>
      <c r="C55151" t="inlineStr">
        <is>
          <t>2050-11-16</t>
        </is>
      </c>
    </row>
    <row r="55152">
      <c r="A55152" s="1" t="n">
        <v>55151</v>
      </c>
      <c r="B55152">
        <f>TEXT(55151, "[$-0E0000]yyyy-mm-dd")</f>
        <v/>
      </c>
      <c r="C55152" t="inlineStr">
        <is>
          <t>2050-11-17</t>
        </is>
      </c>
    </row>
    <row r="55153">
      <c r="A55153" s="1" t="n">
        <v>55152</v>
      </c>
      <c r="B55153">
        <f>TEXT(55152, "[$-0E0000]yyyy-mm-dd")</f>
        <v/>
      </c>
      <c r="C55153" t="inlineStr">
        <is>
          <t>2050-11-18</t>
        </is>
      </c>
    </row>
    <row r="55154">
      <c r="A55154" s="1" t="n">
        <v>55153</v>
      </c>
      <c r="B55154">
        <f>TEXT(55153, "[$-0E0000]yyyy-mm-dd")</f>
        <v/>
      </c>
      <c r="C55154" t="inlineStr">
        <is>
          <t>2050-11-19</t>
        </is>
      </c>
    </row>
    <row r="55155">
      <c r="A55155" s="1" t="n">
        <v>55154</v>
      </c>
      <c r="B55155">
        <f>TEXT(55154, "[$-0E0000]yyyy-mm-dd")</f>
        <v/>
      </c>
      <c r="C55155" t="inlineStr">
        <is>
          <t>2050-11-20</t>
        </is>
      </c>
    </row>
    <row r="55156">
      <c r="A55156" s="1" t="n">
        <v>55155</v>
      </c>
      <c r="B55156">
        <f>TEXT(55155, "[$-0E0000]yyyy-mm-dd")</f>
        <v/>
      </c>
      <c r="C55156" t="inlineStr">
        <is>
          <t>2050-11-21</t>
        </is>
      </c>
    </row>
    <row r="55157">
      <c r="A55157" s="1" t="n">
        <v>55156</v>
      </c>
      <c r="B55157">
        <f>TEXT(55156, "[$-0E0000]yyyy-mm-dd")</f>
        <v/>
      </c>
      <c r="C55157" t="inlineStr">
        <is>
          <t>2050-11-22</t>
        </is>
      </c>
    </row>
    <row r="55158">
      <c r="A55158" s="1" t="n">
        <v>55157</v>
      </c>
      <c r="B55158">
        <f>TEXT(55157, "[$-0E0000]yyyy-mm-dd")</f>
        <v/>
      </c>
      <c r="C55158" t="inlineStr">
        <is>
          <t>2050-11-23</t>
        </is>
      </c>
    </row>
    <row r="55159">
      <c r="A55159" s="1" t="n">
        <v>55158</v>
      </c>
      <c r="B55159">
        <f>TEXT(55158, "[$-0E0000]yyyy-mm-dd")</f>
        <v/>
      </c>
      <c r="C55159" t="inlineStr">
        <is>
          <t>2050-11-24</t>
        </is>
      </c>
    </row>
    <row r="55160">
      <c r="A55160" s="1" t="n">
        <v>55159</v>
      </c>
      <c r="B55160">
        <f>TEXT(55159, "[$-0E0000]yyyy-mm-dd")</f>
        <v/>
      </c>
      <c r="C55160" t="inlineStr">
        <is>
          <t>2050-11-25</t>
        </is>
      </c>
    </row>
    <row r="55161">
      <c r="A55161" s="1" t="n">
        <v>55160</v>
      </c>
      <c r="B55161">
        <f>TEXT(55160, "[$-0E0000]yyyy-mm-dd")</f>
        <v/>
      </c>
      <c r="C55161" t="inlineStr">
        <is>
          <t>2050-11-26</t>
        </is>
      </c>
    </row>
    <row r="55162">
      <c r="A55162" s="1" t="n">
        <v>55161</v>
      </c>
      <c r="B55162">
        <f>TEXT(55161, "[$-0E0000]yyyy-mm-dd")</f>
        <v/>
      </c>
      <c r="C55162" t="inlineStr">
        <is>
          <t>2050-11-27</t>
        </is>
      </c>
    </row>
    <row r="55163">
      <c r="A55163" s="1" t="n">
        <v>55162</v>
      </c>
      <c r="B55163">
        <f>TEXT(55162, "[$-0E0000]yyyy-mm-dd")</f>
        <v/>
      </c>
      <c r="C55163" t="inlineStr">
        <is>
          <t>2050-11-28</t>
        </is>
      </c>
    </row>
    <row r="55164">
      <c r="A55164" s="1" t="n">
        <v>55163</v>
      </c>
      <c r="B55164">
        <f>TEXT(55163, "[$-0E0000]yyyy-mm-dd")</f>
        <v/>
      </c>
      <c r="C55164" t="inlineStr">
        <is>
          <t>2050-11-29</t>
        </is>
      </c>
    </row>
    <row r="55165">
      <c r="A55165" s="1" t="n">
        <v>55164</v>
      </c>
      <c r="B55165">
        <f>TEXT(55164, "[$-0E0000]yyyy-mm-dd")</f>
        <v/>
      </c>
      <c r="C55165" t="inlineStr">
        <is>
          <t>2050-11-30</t>
        </is>
      </c>
    </row>
    <row r="55166">
      <c r="A55166" s="1" t="n">
        <v>55165</v>
      </c>
      <c r="B55166">
        <f>TEXT(55165, "[$-0E0000]yyyy-mm-dd")</f>
        <v/>
      </c>
      <c r="C55166" t="inlineStr">
        <is>
          <t>2050-12-01</t>
        </is>
      </c>
    </row>
    <row r="55167">
      <c r="A55167" s="1" t="n">
        <v>55166</v>
      </c>
      <c r="B55167">
        <f>TEXT(55166, "[$-0E0000]yyyy-mm-dd")</f>
        <v/>
      </c>
      <c r="C55167" t="inlineStr">
        <is>
          <t>2050-12-02</t>
        </is>
      </c>
    </row>
    <row r="55168">
      <c r="A55168" s="1" t="n">
        <v>55167</v>
      </c>
      <c r="B55168">
        <f>TEXT(55167, "[$-0E0000]yyyy-mm-dd")</f>
        <v/>
      </c>
      <c r="C55168" t="inlineStr">
        <is>
          <t>2050-12-03</t>
        </is>
      </c>
    </row>
    <row r="55169">
      <c r="A55169" s="1" t="n">
        <v>55168</v>
      </c>
      <c r="B55169">
        <f>TEXT(55168, "[$-0E0000]yyyy-mm-dd")</f>
        <v/>
      </c>
      <c r="C55169" t="inlineStr">
        <is>
          <t>2050-12-04</t>
        </is>
      </c>
    </row>
    <row r="55170">
      <c r="A55170" s="1" t="n">
        <v>55169</v>
      </c>
      <c r="B55170">
        <f>TEXT(55169, "[$-0E0000]yyyy-mm-dd")</f>
        <v/>
      </c>
      <c r="C55170" t="inlineStr">
        <is>
          <t>2050-12-05</t>
        </is>
      </c>
    </row>
    <row r="55171">
      <c r="A55171" s="1" t="n">
        <v>55170</v>
      </c>
      <c r="B55171">
        <f>TEXT(55170, "[$-0E0000]yyyy-mm-dd")</f>
        <v/>
      </c>
      <c r="C55171" t="inlineStr">
        <is>
          <t>2050-12-06</t>
        </is>
      </c>
    </row>
    <row r="55172">
      <c r="A55172" s="1" t="n">
        <v>55171</v>
      </c>
      <c r="B55172">
        <f>TEXT(55171, "[$-0E0000]yyyy-mm-dd")</f>
        <v/>
      </c>
      <c r="C55172" t="inlineStr">
        <is>
          <t>2050-12-07</t>
        </is>
      </c>
    </row>
    <row r="55173">
      <c r="A55173" s="1" t="n">
        <v>55172</v>
      </c>
      <c r="B55173">
        <f>TEXT(55172, "[$-0E0000]yyyy-mm-dd")</f>
        <v/>
      </c>
      <c r="C55173" t="inlineStr">
        <is>
          <t>2050-12-08</t>
        </is>
      </c>
    </row>
    <row r="55174">
      <c r="A55174" s="1" t="n">
        <v>55173</v>
      </c>
      <c r="B55174">
        <f>TEXT(55173, "[$-0E0000]yyyy-mm-dd")</f>
        <v/>
      </c>
      <c r="C55174" t="inlineStr">
        <is>
          <t>2050-12-09</t>
        </is>
      </c>
    </row>
    <row r="55175">
      <c r="A55175" s="1" t="n">
        <v>55174</v>
      </c>
      <c r="B55175">
        <f>TEXT(55174, "[$-0E0000]yyyy-mm-dd")</f>
        <v/>
      </c>
      <c r="C55175" t="inlineStr">
        <is>
          <t>2050-12-10</t>
        </is>
      </c>
    </row>
    <row r="55176">
      <c r="A55176" s="1" t="n">
        <v>55175</v>
      </c>
      <c r="B55176">
        <f>TEXT(55175, "[$-0E0000]yyyy-mm-dd")</f>
        <v/>
      </c>
      <c r="C55176" t="inlineStr">
        <is>
          <t>2050-12-11</t>
        </is>
      </c>
    </row>
    <row r="55177">
      <c r="A55177" s="1" t="n">
        <v>55176</v>
      </c>
      <c r="B55177">
        <f>TEXT(55176, "[$-0E0000]yyyy-mm-dd")</f>
        <v/>
      </c>
      <c r="C55177" t="inlineStr">
        <is>
          <t>2050-12-12</t>
        </is>
      </c>
    </row>
    <row r="55178">
      <c r="A55178" s="1" t="n">
        <v>55177</v>
      </c>
      <c r="B55178">
        <f>TEXT(55177, "[$-0E0000]yyyy-mm-dd")</f>
        <v/>
      </c>
      <c r="C55178" t="inlineStr">
        <is>
          <t>2050-12-13</t>
        </is>
      </c>
    </row>
    <row r="55179">
      <c r="A55179" s="1" t="n">
        <v>55178</v>
      </c>
      <c r="B55179">
        <f>TEXT(55178, "[$-0E0000]yyyy-mm-dd")</f>
        <v/>
      </c>
      <c r="C55179" t="inlineStr">
        <is>
          <t>2050-12-14</t>
        </is>
      </c>
    </row>
    <row r="55180">
      <c r="A55180" s="1" t="n">
        <v>55179</v>
      </c>
      <c r="B55180">
        <f>TEXT(55179, "[$-0E0000]yyyy-mm-dd")</f>
        <v/>
      </c>
      <c r="C55180" t="inlineStr">
        <is>
          <t>2050-12-15</t>
        </is>
      </c>
    </row>
    <row r="55181">
      <c r="A55181" s="1" t="n">
        <v>55180</v>
      </c>
      <c r="B55181">
        <f>TEXT(55180, "[$-0E0000]yyyy-mm-dd")</f>
        <v/>
      </c>
      <c r="C55181" t="inlineStr">
        <is>
          <t>2050-12-16</t>
        </is>
      </c>
    </row>
    <row r="55182">
      <c r="A55182" s="1" t="n">
        <v>55181</v>
      </c>
      <c r="B55182">
        <f>TEXT(55181, "[$-0E0000]yyyy-mm-dd")</f>
        <v/>
      </c>
      <c r="C55182" t="inlineStr">
        <is>
          <t>2050-12-17</t>
        </is>
      </c>
    </row>
    <row r="55183">
      <c r="A55183" s="1" t="n">
        <v>55182</v>
      </c>
      <c r="B55183">
        <f>TEXT(55182, "[$-0E0000]yyyy-mm-dd")</f>
        <v/>
      </c>
      <c r="C55183" t="inlineStr">
        <is>
          <t>2050-12-18</t>
        </is>
      </c>
    </row>
    <row r="55184">
      <c r="A55184" s="1" t="n">
        <v>55183</v>
      </c>
      <c r="B55184">
        <f>TEXT(55183, "[$-0E0000]yyyy-mm-dd")</f>
        <v/>
      </c>
      <c r="C55184" t="inlineStr">
        <is>
          <t>2050-12-19</t>
        </is>
      </c>
    </row>
    <row r="55185">
      <c r="A55185" s="1" t="n">
        <v>55184</v>
      </c>
      <c r="B55185">
        <f>TEXT(55184, "[$-0E0000]yyyy-mm-dd")</f>
        <v/>
      </c>
      <c r="C55185" t="inlineStr">
        <is>
          <t>2050-12-20</t>
        </is>
      </c>
    </row>
    <row r="55186">
      <c r="A55186" s="1" t="n">
        <v>55185</v>
      </c>
      <c r="B55186">
        <f>TEXT(55185, "[$-0E0000]yyyy-mm-dd")</f>
        <v/>
      </c>
      <c r="C55186" t="inlineStr">
        <is>
          <t>2050-12-21</t>
        </is>
      </c>
    </row>
    <row r="55187">
      <c r="A55187" s="1" t="n">
        <v>55186</v>
      </c>
      <c r="B55187">
        <f>TEXT(55186, "[$-0E0000]yyyy-mm-dd")</f>
        <v/>
      </c>
      <c r="C55187" t="inlineStr">
        <is>
          <t>2050-12-22</t>
        </is>
      </c>
    </row>
    <row r="55188">
      <c r="A55188" s="1" t="n">
        <v>55187</v>
      </c>
      <c r="B55188">
        <f>TEXT(55187, "[$-0E0000]yyyy-mm-dd")</f>
        <v/>
      </c>
      <c r="C55188" t="inlineStr">
        <is>
          <t>2050-12-23</t>
        </is>
      </c>
    </row>
    <row r="55189">
      <c r="A55189" s="1" t="n">
        <v>55188</v>
      </c>
      <c r="B55189">
        <f>TEXT(55188, "[$-0E0000]yyyy-mm-dd")</f>
        <v/>
      </c>
      <c r="C55189" t="inlineStr">
        <is>
          <t>2050-12-24</t>
        </is>
      </c>
    </row>
    <row r="55190">
      <c r="A55190" s="1" t="n">
        <v>55189</v>
      </c>
      <c r="B55190">
        <f>TEXT(55189, "[$-0E0000]yyyy-mm-dd")</f>
        <v/>
      </c>
      <c r="C55190" t="inlineStr">
        <is>
          <t>2050-12-25</t>
        </is>
      </c>
    </row>
    <row r="55191">
      <c r="A55191" s="1" t="n">
        <v>55190</v>
      </c>
      <c r="B55191">
        <f>TEXT(55190, "[$-0E0000]yyyy-mm-dd")</f>
        <v/>
      </c>
      <c r="C55191" t="inlineStr">
        <is>
          <t>2050-12-26</t>
        </is>
      </c>
    </row>
    <row r="55192">
      <c r="A55192" s="1" t="n">
        <v>55191</v>
      </c>
      <c r="B55192">
        <f>TEXT(55191, "[$-0E0000]yyyy-mm-dd")</f>
        <v/>
      </c>
      <c r="C55192" t="inlineStr">
        <is>
          <t>2050-12-27</t>
        </is>
      </c>
    </row>
    <row r="55193">
      <c r="A55193" s="1" t="n">
        <v>55192</v>
      </c>
      <c r="B55193">
        <f>TEXT(55192, "[$-0E0000]yyyy-mm-dd")</f>
        <v/>
      </c>
      <c r="C55193" t="inlineStr">
        <is>
          <t>2050-12-28</t>
        </is>
      </c>
    </row>
    <row r="55194">
      <c r="A55194" s="1" t="n">
        <v>55193</v>
      </c>
      <c r="B55194">
        <f>TEXT(55193, "[$-0E0000]yyyy-mm-dd")</f>
        <v/>
      </c>
      <c r="C55194" t="inlineStr">
        <is>
          <t>2050-12-29</t>
        </is>
      </c>
    </row>
    <row r="55195">
      <c r="A55195" s="1" t="n">
        <v>55194</v>
      </c>
      <c r="B55195">
        <f>TEXT(55194, "[$-0E0000]yyyy-mm-dd")</f>
        <v/>
      </c>
      <c r="C55195" t="inlineStr">
        <is>
          <t>2051-01-01</t>
        </is>
      </c>
    </row>
    <row r="55196">
      <c r="A55196" s="1" t="n">
        <v>55195</v>
      </c>
      <c r="B55196">
        <f>TEXT(55195, "[$-0E0000]yyyy-mm-dd")</f>
        <v/>
      </c>
      <c r="C55196" t="inlineStr">
        <is>
          <t>2051-01-02</t>
        </is>
      </c>
    </row>
    <row r="55197">
      <c r="A55197" s="1" t="n">
        <v>55196</v>
      </c>
      <c r="B55197">
        <f>TEXT(55196, "[$-0E0000]yyyy-mm-dd")</f>
        <v/>
      </c>
      <c r="C55197" t="inlineStr">
        <is>
          <t>2051-01-03</t>
        </is>
      </c>
    </row>
    <row r="55198">
      <c r="A55198" s="1" t="n">
        <v>55197</v>
      </c>
      <c r="B55198">
        <f>TEXT(55197, "[$-0E0000]yyyy-mm-dd")</f>
        <v/>
      </c>
      <c r="C55198" t="inlineStr">
        <is>
          <t>2051-01-04</t>
        </is>
      </c>
    </row>
    <row r="55199">
      <c r="A55199" s="1" t="n">
        <v>55198</v>
      </c>
      <c r="B55199">
        <f>TEXT(55198, "[$-0E0000]yyyy-mm-dd")</f>
        <v/>
      </c>
      <c r="C55199" t="inlineStr">
        <is>
          <t>2051-01-05</t>
        </is>
      </c>
    </row>
    <row r="55200">
      <c r="A55200" s="1" t="n">
        <v>55199</v>
      </c>
      <c r="B55200">
        <f>TEXT(55199, "[$-0E0000]yyyy-mm-dd")</f>
        <v/>
      </c>
      <c r="C55200" t="inlineStr">
        <is>
          <t>2051-01-06</t>
        </is>
      </c>
    </row>
    <row r="55201">
      <c r="A55201" s="1" t="n">
        <v>55200</v>
      </c>
      <c r="B55201">
        <f>TEXT(55200, "[$-0E0000]yyyy-mm-dd")</f>
        <v/>
      </c>
      <c r="C55201" t="inlineStr">
        <is>
          <t>2051-01-07</t>
        </is>
      </c>
    </row>
    <row r="55202">
      <c r="A55202" s="1" t="n">
        <v>55201</v>
      </c>
      <c r="B55202">
        <f>TEXT(55201, "[$-0E0000]yyyy-mm-dd")</f>
        <v/>
      </c>
      <c r="C55202" t="inlineStr">
        <is>
          <t>2051-01-08</t>
        </is>
      </c>
    </row>
    <row r="55203">
      <c r="A55203" s="1" t="n">
        <v>55202</v>
      </c>
      <c r="B55203">
        <f>TEXT(55202, "[$-0E0000]yyyy-mm-dd")</f>
        <v/>
      </c>
      <c r="C55203" t="inlineStr">
        <is>
          <t>2051-01-09</t>
        </is>
      </c>
    </row>
    <row r="55204">
      <c r="A55204" s="1" t="n">
        <v>55203</v>
      </c>
      <c r="B55204">
        <f>TEXT(55203, "[$-0E0000]yyyy-mm-dd")</f>
        <v/>
      </c>
      <c r="C55204" t="inlineStr">
        <is>
          <t>2051-01-10</t>
        </is>
      </c>
    </row>
    <row r="55205">
      <c r="A55205" s="1" t="n">
        <v>55204</v>
      </c>
      <c r="B55205">
        <f>TEXT(55204, "[$-0E0000]yyyy-mm-dd")</f>
        <v/>
      </c>
      <c r="C55205" t="inlineStr">
        <is>
          <t>2051-01-11</t>
        </is>
      </c>
    </row>
    <row r="55206">
      <c r="A55206" s="1" t="n">
        <v>55205</v>
      </c>
      <c r="B55206">
        <f>TEXT(55205, "[$-0E0000]yyyy-mm-dd")</f>
        <v/>
      </c>
      <c r="C55206" t="inlineStr">
        <is>
          <t>2051-01-12</t>
        </is>
      </c>
    </row>
    <row r="55207">
      <c r="A55207" s="1" t="n">
        <v>55206</v>
      </c>
      <c r="B55207">
        <f>TEXT(55206, "[$-0E0000]yyyy-mm-dd")</f>
        <v/>
      </c>
      <c r="C55207" t="inlineStr">
        <is>
          <t>2051-01-13</t>
        </is>
      </c>
    </row>
    <row r="55208">
      <c r="A55208" s="1" t="n">
        <v>55207</v>
      </c>
      <c r="B55208">
        <f>TEXT(55207, "[$-0E0000]yyyy-mm-dd")</f>
        <v/>
      </c>
      <c r="C55208" t="inlineStr">
        <is>
          <t>2051-01-14</t>
        </is>
      </c>
    </row>
    <row r="55209">
      <c r="A55209" s="1" t="n">
        <v>55208</v>
      </c>
      <c r="B55209">
        <f>TEXT(55208, "[$-0E0000]yyyy-mm-dd")</f>
        <v/>
      </c>
      <c r="C55209" t="inlineStr">
        <is>
          <t>2051-01-15</t>
        </is>
      </c>
    </row>
    <row r="55210">
      <c r="A55210" s="1" t="n">
        <v>55209</v>
      </c>
      <c r="B55210">
        <f>TEXT(55209, "[$-0E0000]yyyy-mm-dd")</f>
        <v/>
      </c>
      <c r="C55210" t="inlineStr">
        <is>
          <t>2051-01-16</t>
        </is>
      </c>
    </row>
    <row r="55211">
      <c r="A55211" s="1" t="n">
        <v>55210</v>
      </c>
      <c r="B55211">
        <f>TEXT(55210, "[$-0E0000]yyyy-mm-dd")</f>
        <v/>
      </c>
      <c r="C55211" t="inlineStr">
        <is>
          <t>2051-01-17</t>
        </is>
      </c>
    </row>
    <row r="55212">
      <c r="A55212" s="1" t="n">
        <v>55211</v>
      </c>
      <c r="B55212">
        <f>TEXT(55211, "[$-0E0000]yyyy-mm-dd")</f>
        <v/>
      </c>
      <c r="C55212" t="inlineStr">
        <is>
          <t>2051-01-18</t>
        </is>
      </c>
    </row>
    <row r="55213">
      <c r="A55213" s="1" t="n">
        <v>55212</v>
      </c>
      <c r="B55213">
        <f>TEXT(55212, "[$-0E0000]yyyy-mm-dd")</f>
        <v/>
      </c>
      <c r="C55213" t="inlineStr">
        <is>
          <t>2051-01-19</t>
        </is>
      </c>
    </row>
    <row r="55214">
      <c r="A55214" s="1" t="n">
        <v>55213</v>
      </c>
      <c r="B55214">
        <f>TEXT(55213, "[$-0E0000]yyyy-mm-dd")</f>
        <v/>
      </c>
      <c r="C55214" t="inlineStr">
        <is>
          <t>2051-01-20</t>
        </is>
      </c>
    </row>
    <row r="55215">
      <c r="A55215" s="1" t="n">
        <v>55214</v>
      </c>
      <c r="B55215">
        <f>TEXT(55214, "[$-0E0000]yyyy-mm-dd")</f>
        <v/>
      </c>
      <c r="C55215" t="inlineStr">
        <is>
          <t>2051-01-21</t>
        </is>
      </c>
    </row>
    <row r="55216">
      <c r="A55216" s="1" t="n">
        <v>55215</v>
      </c>
      <c r="B55216">
        <f>TEXT(55215, "[$-0E0000]yyyy-mm-dd")</f>
        <v/>
      </c>
      <c r="C55216" t="inlineStr">
        <is>
          <t>2051-01-22</t>
        </is>
      </c>
    </row>
    <row r="55217">
      <c r="A55217" s="1" t="n">
        <v>55216</v>
      </c>
      <c r="B55217">
        <f>TEXT(55216, "[$-0E0000]yyyy-mm-dd")</f>
        <v/>
      </c>
      <c r="C55217" t="inlineStr">
        <is>
          <t>2051-01-23</t>
        </is>
      </c>
    </row>
    <row r="55218">
      <c r="A55218" s="1" t="n">
        <v>55217</v>
      </c>
      <c r="B55218">
        <f>TEXT(55217, "[$-0E0000]yyyy-mm-dd")</f>
        <v/>
      </c>
      <c r="C55218" t="inlineStr">
        <is>
          <t>2051-01-24</t>
        </is>
      </c>
    </row>
    <row r="55219">
      <c r="A55219" s="1" t="n">
        <v>55218</v>
      </c>
      <c r="B55219">
        <f>TEXT(55218, "[$-0E0000]yyyy-mm-dd")</f>
        <v/>
      </c>
      <c r="C55219" t="inlineStr">
        <is>
          <t>2051-01-25</t>
        </is>
      </c>
    </row>
    <row r="55220">
      <c r="A55220" s="1" t="n">
        <v>55219</v>
      </c>
      <c r="B55220">
        <f>TEXT(55219, "[$-0E0000]yyyy-mm-dd")</f>
        <v/>
      </c>
      <c r="C55220" t="inlineStr">
        <is>
          <t>2051-01-26</t>
        </is>
      </c>
    </row>
    <row r="55221">
      <c r="A55221" s="1" t="n">
        <v>55220</v>
      </c>
      <c r="B55221">
        <f>TEXT(55220, "[$-0E0000]yyyy-mm-dd")</f>
        <v/>
      </c>
      <c r="C55221" t="inlineStr">
        <is>
          <t>2051-01-27</t>
        </is>
      </c>
    </row>
    <row r="55222">
      <c r="A55222" s="1" t="n">
        <v>55221</v>
      </c>
      <c r="B55222">
        <f>TEXT(55221, "[$-0E0000]yyyy-mm-dd")</f>
        <v/>
      </c>
      <c r="C55222" t="inlineStr">
        <is>
          <t>2051-01-28</t>
        </is>
      </c>
    </row>
    <row r="55223">
      <c r="A55223" s="1" t="n">
        <v>55222</v>
      </c>
      <c r="B55223">
        <f>TEXT(55222, "[$-0E0000]yyyy-mm-dd")</f>
        <v/>
      </c>
      <c r="C55223" t="inlineStr">
        <is>
          <t>2051-01-29</t>
        </is>
      </c>
    </row>
    <row r="55224">
      <c r="A55224" s="1" t="n">
        <v>55223</v>
      </c>
      <c r="B55224">
        <f>TEXT(55223, "[$-0E0000]yyyy-mm-dd")</f>
        <v/>
      </c>
      <c r="C55224" t="inlineStr">
        <is>
          <t>2051-01-30</t>
        </is>
      </c>
    </row>
    <row r="55225">
      <c r="A55225" s="1" t="n">
        <v>55224</v>
      </c>
      <c r="B55225">
        <f>TEXT(55224, "[$-0E0000]yyyy-mm-dd")</f>
        <v/>
      </c>
      <c r="C55225" t="inlineStr">
        <is>
          <t>2051-02-01</t>
        </is>
      </c>
    </row>
    <row r="55226">
      <c r="A55226" s="1" t="n">
        <v>55225</v>
      </c>
      <c r="B55226">
        <f>TEXT(55225, "[$-0E0000]yyyy-mm-dd")</f>
        <v/>
      </c>
      <c r="C55226" t="inlineStr">
        <is>
          <t>2051-02-02</t>
        </is>
      </c>
    </row>
    <row r="55227">
      <c r="A55227" s="1" t="n">
        <v>55226</v>
      </c>
      <c r="B55227">
        <f>TEXT(55226, "[$-0E0000]yyyy-mm-dd")</f>
        <v/>
      </c>
      <c r="C55227" t="inlineStr">
        <is>
          <t>2051-02-03</t>
        </is>
      </c>
    </row>
    <row r="55228">
      <c r="A55228" s="1" t="n">
        <v>55227</v>
      </c>
      <c r="B55228">
        <f>TEXT(55227, "[$-0E0000]yyyy-mm-dd")</f>
        <v/>
      </c>
      <c r="C55228" t="inlineStr">
        <is>
          <t>2051-02-04</t>
        </is>
      </c>
    </row>
    <row r="55229">
      <c r="A55229" s="1" t="n">
        <v>55228</v>
      </c>
      <c r="B55229">
        <f>TEXT(55228, "[$-0E0000]yyyy-mm-dd")</f>
        <v/>
      </c>
      <c r="C55229" t="inlineStr">
        <is>
          <t>2051-02-05</t>
        </is>
      </c>
    </row>
    <row r="55230">
      <c r="A55230" s="1" t="n">
        <v>55229</v>
      </c>
      <c r="B55230">
        <f>TEXT(55229, "[$-0E0000]yyyy-mm-dd")</f>
        <v/>
      </c>
      <c r="C55230" t="inlineStr">
        <is>
          <t>2051-02-06</t>
        </is>
      </c>
    </row>
    <row r="55231">
      <c r="A55231" s="1" t="n">
        <v>55230</v>
      </c>
      <c r="B55231">
        <f>TEXT(55230, "[$-0E0000]yyyy-mm-dd")</f>
        <v/>
      </c>
      <c r="C55231" t="inlineStr">
        <is>
          <t>2051-02-07</t>
        </is>
      </c>
    </row>
    <row r="55232">
      <c r="A55232" s="1" t="n">
        <v>55231</v>
      </c>
      <c r="B55232">
        <f>TEXT(55231, "[$-0E0000]yyyy-mm-dd")</f>
        <v/>
      </c>
      <c r="C55232" t="inlineStr">
        <is>
          <t>2051-02-08</t>
        </is>
      </c>
    </row>
    <row r="55233">
      <c r="A55233" s="1" t="n">
        <v>55232</v>
      </c>
      <c r="B55233">
        <f>TEXT(55232, "[$-0E0000]yyyy-mm-dd")</f>
        <v/>
      </c>
      <c r="C55233" t="inlineStr">
        <is>
          <t>2051-02-09</t>
        </is>
      </c>
    </row>
    <row r="55234">
      <c r="A55234" s="1" t="n">
        <v>55233</v>
      </c>
      <c r="B55234">
        <f>TEXT(55233, "[$-0E0000]yyyy-mm-dd")</f>
        <v/>
      </c>
      <c r="C55234" t="inlineStr">
        <is>
          <t>2051-02-10</t>
        </is>
      </c>
    </row>
    <row r="55235">
      <c r="A55235" s="1" t="n">
        <v>55234</v>
      </c>
      <c r="B55235">
        <f>TEXT(55234, "[$-0E0000]yyyy-mm-dd")</f>
        <v/>
      </c>
      <c r="C55235" t="inlineStr">
        <is>
          <t>2051-02-11</t>
        </is>
      </c>
    </row>
    <row r="55236">
      <c r="A55236" s="1" t="n">
        <v>55235</v>
      </c>
      <c r="B55236">
        <f>TEXT(55235, "[$-0E0000]yyyy-mm-dd")</f>
        <v/>
      </c>
      <c r="C55236" t="inlineStr">
        <is>
          <t>2051-02-12</t>
        </is>
      </c>
    </row>
    <row r="55237">
      <c r="A55237" s="1" t="n">
        <v>55236</v>
      </c>
      <c r="B55237">
        <f>TEXT(55236, "[$-0E0000]yyyy-mm-dd")</f>
        <v/>
      </c>
      <c r="C55237" t="inlineStr">
        <is>
          <t>2051-02-13</t>
        </is>
      </c>
    </row>
    <row r="55238">
      <c r="A55238" s="1" t="n">
        <v>55237</v>
      </c>
      <c r="B55238">
        <f>TEXT(55237, "[$-0E0000]yyyy-mm-dd")</f>
        <v/>
      </c>
      <c r="C55238" t="inlineStr">
        <is>
          <t>2051-02-14</t>
        </is>
      </c>
    </row>
    <row r="55239">
      <c r="A55239" s="1" t="n">
        <v>55238</v>
      </c>
      <c r="B55239">
        <f>TEXT(55238, "[$-0E0000]yyyy-mm-dd")</f>
        <v/>
      </c>
      <c r="C55239" t="inlineStr">
        <is>
          <t>2051-02-15</t>
        </is>
      </c>
    </row>
    <row r="55240">
      <c r="A55240" s="1" t="n">
        <v>55239</v>
      </c>
      <c r="B55240">
        <f>TEXT(55239, "[$-0E0000]yyyy-mm-dd")</f>
        <v/>
      </c>
      <c r="C55240" t="inlineStr">
        <is>
          <t>2051-02-16</t>
        </is>
      </c>
    </row>
    <row r="55241">
      <c r="A55241" s="1" t="n">
        <v>55240</v>
      </c>
      <c r="B55241">
        <f>TEXT(55240, "[$-0E0000]yyyy-mm-dd")</f>
        <v/>
      </c>
      <c r="C55241" t="inlineStr">
        <is>
          <t>2051-02-17</t>
        </is>
      </c>
    </row>
    <row r="55242">
      <c r="A55242" s="1" t="n">
        <v>55241</v>
      </c>
      <c r="B55242">
        <f>TEXT(55241, "[$-0E0000]yyyy-mm-dd")</f>
        <v/>
      </c>
      <c r="C55242" t="inlineStr">
        <is>
          <t>2051-02-18</t>
        </is>
      </c>
    </row>
    <row r="55243">
      <c r="A55243" s="1" t="n">
        <v>55242</v>
      </c>
      <c r="B55243">
        <f>TEXT(55242, "[$-0E0000]yyyy-mm-dd")</f>
        <v/>
      </c>
      <c r="C55243" t="inlineStr">
        <is>
          <t>2051-02-19</t>
        </is>
      </c>
    </row>
    <row r="55244">
      <c r="A55244" s="1" t="n">
        <v>55243</v>
      </c>
      <c r="B55244">
        <f>TEXT(55243, "[$-0E0000]yyyy-mm-dd")</f>
        <v/>
      </c>
      <c r="C55244" t="inlineStr">
        <is>
          <t>2051-02-20</t>
        </is>
      </c>
    </row>
    <row r="55245">
      <c r="A55245" s="1" t="n">
        <v>55244</v>
      </c>
      <c r="B55245">
        <f>TEXT(55244, "[$-0E0000]yyyy-mm-dd")</f>
        <v/>
      </c>
      <c r="C55245" t="inlineStr">
        <is>
          <t>2051-02-21</t>
        </is>
      </c>
    </row>
    <row r="55246">
      <c r="A55246" s="1" t="n">
        <v>55245</v>
      </c>
      <c r="B55246">
        <f>TEXT(55245, "[$-0E0000]yyyy-mm-dd")</f>
        <v/>
      </c>
      <c r="C55246" t="inlineStr">
        <is>
          <t>2051-02-22</t>
        </is>
      </c>
    </row>
    <row r="55247">
      <c r="A55247" s="1" t="n">
        <v>55246</v>
      </c>
      <c r="B55247">
        <f>TEXT(55246, "[$-0E0000]yyyy-mm-dd")</f>
        <v/>
      </c>
      <c r="C55247" t="inlineStr">
        <is>
          <t>2051-02-23</t>
        </is>
      </c>
    </row>
    <row r="55248">
      <c r="A55248" s="1" t="n">
        <v>55247</v>
      </c>
      <c r="B55248">
        <f>TEXT(55247, "[$-0E0000]yyyy-mm-dd")</f>
        <v/>
      </c>
      <c r="C55248" t="inlineStr">
        <is>
          <t>2051-02-24</t>
        </is>
      </c>
    </row>
    <row r="55249">
      <c r="A55249" s="1" t="n">
        <v>55248</v>
      </c>
      <c r="B55249">
        <f>TEXT(55248, "[$-0E0000]yyyy-mm-dd")</f>
        <v/>
      </c>
      <c r="C55249" t="inlineStr">
        <is>
          <t>2051-02-25</t>
        </is>
      </c>
    </row>
    <row r="55250">
      <c r="A55250" s="1" t="n">
        <v>55249</v>
      </c>
      <c r="B55250">
        <f>TEXT(55249, "[$-0E0000]yyyy-mm-dd")</f>
        <v/>
      </c>
      <c r="C55250" t="inlineStr">
        <is>
          <t>2051-02-26</t>
        </is>
      </c>
    </row>
    <row r="55251">
      <c r="A55251" s="1" t="n">
        <v>55250</v>
      </c>
      <c r="B55251">
        <f>TEXT(55250, "[$-0E0000]yyyy-mm-dd")</f>
        <v/>
      </c>
      <c r="C55251" t="inlineStr">
        <is>
          <t>2051-02-27</t>
        </is>
      </c>
    </row>
    <row r="55252">
      <c r="A55252" s="1" t="n">
        <v>55251</v>
      </c>
      <c r="B55252">
        <f>TEXT(55251, "[$-0E0000]yyyy-mm-dd")</f>
        <v/>
      </c>
      <c r="C55252" t="inlineStr">
        <is>
          <t>2051-02-28</t>
        </is>
      </c>
    </row>
    <row r="55253">
      <c r="A55253" s="1" t="n">
        <v>55252</v>
      </c>
      <c r="B55253">
        <f>TEXT(55252, "[$-0E0000]yyyy-mm-dd")</f>
        <v/>
      </c>
      <c r="C55253" t="inlineStr">
        <is>
          <t>2051-02-29</t>
        </is>
      </c>
    </row>
    <row r="55254">
      <c r="A55254" s="1" t="n">
        <v>55253</v>
      </c>
      <c r="B55254">
        <f>TEXT(55253, "[$-0E0000]yyyy-mm-dd")</f>
        <v/>
      </c>
      <c r="C55254" t="inlineStr">
        <is>
          <t>2051-03-01</t>
        </is>
      </c>
    </row>
    <row r="55255">
      <c r="A55255" s="1" t="n">
        <v>55254</v>
      </c>
      <c r="B55255">
        <f>TEXT(55254, "[$-0E0000]yyyy-mm-dd")</f>
        <v/>
      </c>
      <c r="C55255" t="inlineStr">
        <is>
          <t>2051-03-02</t>
        </is>
      </c>
    </row>
    <row r="55256">
      <c r="A55256" s="1" t="n">
        <v>55255</v>
      </c>
      <c r="B55256">
        <f>TEXT(55255, "[$-0E0000]yyyy-mm-dd")</f>
        <v/>
      </c>
      <c r="C55256" t="inlineStr">
        <is>
          <t>2051-03-03</t>
        </is>
      </c>
    </row>
    <row r="55257">
      <c r="A55257" s="1" t="n">
        <v>55256</v>
      </c>
      <c r="B55257">
        <f>TEXT(55256, "[$-0E0000]yyyy-mm-dd")</f>
        <v/>
      </c>
      <c r="C55257" t="inlineStr">
        <is>
          <t>2051-03-04</t>
        </is>
      </c>
    </row>
    <row r="55258">
      <c r="A55258" s="1" t="n">
        <v>55257</v>
      </c>
      <c r="B55258">
        <f>TEXT(55257, "[$-0E0000]yyyy-mm-dd")</f>
        <v/>
      </c>
      <c r="C55258" t="inlineStr">
        <is>
          <t>2051-03-05</t>
        </is>
      </c>
    </row>
    <row r="55259">
      <c r="A55259" s="1" t="n">
        <v>55258</v>
      </c>
      <c r="B55259">
        <f>TEXT(55258, "[$-0E0000]yyyy-mm-dd")</f>
        <v/>
      </c>
      <c r="C55259" t="inlineStr">
        <is>
          <t>2051-03-06</t>
        </is>
      </c>
    </row>
    <row r="55260">
      <c r="A55260" s="1" t="n">
        <v>55259</v>
      </c>
      <c r="B55260">
        <f>TEXT(55259, "[$-0E0000]yyyy-mm-dd")</f>
        <v/>
      </c>
      <c r="C55260" t="inlineStr">
        <is>
          <t>2051-03-07</t>
        </is>
      </c>
    </row>
    <row r="55261">
      <c r="A55261" s="1" t="n">
        <v>55260</v>
      </c>
      <c r="B55261">
        <f>TEXT(55260, "[$-0E0000]yyyy-mm-dd")</f>
        <v/>
      </c>
      <c r="C55261" t="inlineStr">
        <is>
          <t>2051-03-08</t>
        </is>
      </c>
    </row>
    <row r="55262">
      <c r="A55262" s="1" t="n">
        <v>55261</v>
      </c>
      <c r="B55262">
        <f>TEXT(55261, "[$-0E0000]yyyy-mm-dd")</f>
        <v/>
      </c>
      <c r="C55262" t="inlineStr">
        <is>
          <t>2051-03-09</t>
        </is>
      </c>
    </row>
    <row r="55263">
      <c r="A55263" s="1" t="n">
        <v>55262</v>
      </c>
      <c r="B55263">
        <f>TEXT(55262, "[$-0E0000]yyyy-mm-dd")</f>
        <v/>
      </c>
      <c r="C55263" t="inlineStr">
        <is>
          <t>2051-03-10</t>
        </is>
      </c>
    </row>
    <row r="55264">
      <c r="A55264" s="1" t="n">
        <v>55263</v>
      </c>
      <c r="B55264">
        <f>TEXT(55263, "[$-0E0000]yyyy-mm-dd")</f>
        <v/>
      </c>
      <c r="C55264" t="inlineStr">
        <is>
          <t>2051-03-11</t>
        </is>
      </c>
    </row>
    <row r="55265">
      <c r="A55265" s="1" t="n">
        <v>55264</v>
      </c>
      <c r="B55265">
        <f>TEXT(55264, "[$-0E0000]yyyy-mm-dd")</f>
        <v/>
      </c>
      <c r="C55265" t="inlineStr">
        <is>
          <t>2051-03-12</t>
        </is>
      </c>
    </row>
    <row r="55266">
      <c r="A55266" s="1" t="n">
        <v>55265</v>
      </c>
      <c r="B55266">
        <f>TEXT(55265, "[$-0E0000]yyyy-mm-dd")</f>
        <v/>
      </c>
      <c r="C55266" t="inlineStr">
        <is>
          <t>2051-03-13</t>
        </is>
      </c>
    </row>
    <row r="55267">
      <c r="A55267" s="1" t="n">
        <v>55266</v>
      </c>
      <c r="B55267">
        <f>TEXT(55266, "[$-0E0000]yyyy-mm-dd")</f>
        <v/>
      </c>
      <c r="C55267" t="inlineStr">
        <is>
          <t>2051-03-14</t>
        </is>
      </c>
    </row>
    <row r="55268">
      <c r="A55268" s="1" t="n">
        <v>55267</v>
      </c>
      <c r="B55268">
        <f>TEXT(55267, "[$-0E0000]yyyy-mm-dd")</f>
        <v/>
      </c>
      <c r="C55268" t="inlineStr">
        <is>
          <t>2051-03-15</t>
        </is>
      </c>
    </row>
    <row r="55269">
      <c r="A55269" s="1" t="n">
        <v>55268</v>
      </c>
      <c r="B55269">
        <f>TEXT(55268, "[$-0E0000]yyyy-mm-dd")</f>
        <v/>
      </c>
      <c r="C55269" t="inlineStr">
        <is>
          <t>2051-03-16</t>
        </is>
      </c>
    </row>
    <row r="55270">
      <c r="A55270" s="1" t="n">
        <v>55269</v>
      </c>
      <c r="B55270">
        <f>TEXT(55269, "[$-0E0000]yyyy-mm-dd")</f>
        <v/>
      </c>
      <c r="C55270" t="inlineStr">
        <is>
          <t>2051-03-17</t>
        </is>
      </c>
    </row>
    <row r="55271">
      <c r="A55271" s="1" t="n">
        <v>55270</v>
      </c>
      <c r="B55271">
        <f>TEXT(55270, "[$-0E0000]yyyy-mm-dd")</f>
        <v/>
      </c>
      <c r="C55271" t="inlineStr">
        <is>
          <t>2051-03-18</t>
        </is>
      </c>
    </row>
    <row r="55272">
      <c r="A55272" s="1" t="n">
        <v>55271</v>
      </c>
      <c r="B55272">
        <f>TEXT(55271, "[$-0E0000]yyyy-mm-dd")</f>
        <v/>
      </c>
      <c r="C55272" t="inlineStr">
        <is>
          <t>2051-03-19</t>
        </is>
      </c>
    </row>
    <row r="55273">
      <c r="A55273" s="1" t="n">
        <v>55272</v>
      </c>
      <c r="B55273">
        <f>TEXT(55272, "[$-0E0000]yyyy-mm-dd")</f>
        <v/>
      </c>
      <c r="C55273" t="inlineStr">
        <is>
          <t>2051-03-20</t>
        </is>
      </c>
    </row>
    <row r="55274">
      <c r="A55274" s="1" t="n">
        <v>55273</v>
      </c>
      <c r="B55274">
        <f>TEXT(55273, "[$-0E0000]yyyy-mm-dd")</f>
        <v/>
      </c>
      <c r="C55274" t="inlineStr">
        <is>
          <t>2051-03-21</t>
        </is>
      </c>
    </row>
    <row r="55275">
      <c r="A55275" s="1" t="n">
        <v>55274</v>
      </c>
      <c r="B55275">
        <f>TEXT(55274, "[$-0E0000]yyyy-mm-dd")</f>
        <v/>
      </c>
      <c r="C55275" t="inlineStr">
        <is>
          <t>2051-03-22</t>
        </is>
      </c>
    </row>
    <row r="55276">
      <c r="A55276" s="1" t="n">
        <v>55275</v>
      </c>
      <c r="B55276">
        <f>TEXT(55275, "[$-0E0000]yyyy-mm-dd")</f>
        <v/>
      </c>
      <c r="C55276" t="inlineStr">
        <is>
          <t>2051-03-23</t>
        </is>
      </c>
    </row>
    <row r="55277">
      <c r="A55277" s="1" t="n">
        <v>55276</v>
      </c>
      <c r="B55277">
        <f>TEXT(55276, "[$-0E0000]yyyy-mm-dd")</f>
        <v/>
      </c>
      <c r="C55277" t="inlineStr">
        <is>
          <t>2051-03-24</t>
        </is>
      </c>
    </row>
    <row r="55278">
      <c r="A55278" s="1" t="n">
        <v>55277</v>
      </c>
      <c r="B55278">
        <f>TEXT(55277, "[$-0E0000]yyyy-mm-dd")</f>
        <v/>
      </c>
      <c r="C55278" t="inlineStr">
        <is>
          <t>2051-03-25</t>
        </is>
      </c>
    </row>
    <row r="55279">
      <c r="A55279" s="1" t="n">
        <v>55278</v>
      </c>
      <c r="B55279">
        <f>TEXT(55278, "[$-0E0000]yyyy-mm-dd")</f>
        <v/>
      </c>
      <c r="C55279" t="inlineStr">
        <is>
          <t>2051-03-26</t>
        </is>
      </c>
    </row>
    <row r="55280">
      <c r="A55280" s="1" t="n">
        <v>55279</v>
      </c>
      <c r="B55280">
        <f>TEXT(55279, "[$-0E0000]yyyy-mm-dd")</f>
        <v/>
      </c>
      <c r="C55280" t="inlineStr">
        <is>
          <t>2051-03-27</t>
        </is>
      </c>
    </row>
    <row r="55281">
      <c r="A55281" s="1" t="n">
        <v>55280</v>
      </c>
      <c r="B55281">
        <f>TEXT(55280, "[$-0E0000]yyyy-mm-dd")</f>
        <v/>
      </c>
      <c r="C55281" t="inlineStr">
        <is>
          <t>2051-03-28</t>
        </is>
      </c>
    </row>
    <row r="55282">
      <c r="A55282" s="1" t="n">
        <v>55281</v>
      </c>
      <c r="B55282">
        <f>TEXT(55281, "[$-0E0000]yyyy-mm-dd")</f>
        <v/>
      </c>
      <c r="C55282" t="inlineStr">
        <is>
          <t>2051-03-29</t>
        </is>
      </c>
    </row>
    <row r="55283">
      <c r="A55283" s="1" t="n">
        <v>55282</v>
      </c>
      <c r="B55283">
        <f>TEXT(55282, "[$-0E0000]yyyy-mm-dd")</f>
        <v/>
      </c>
      <c r="C55283" t="inlineStr">
        <is>
          <t>2051-04-01</t>
        </is>
      </c>
    </row>
    <row r="55284">
      <c r="A55284" s="1" t="n">
        <v>55283</v>
      </c>
      <c r="B55284">
        <f>TEXT(55283, "[$-0E0000]yyyy-mm-dd")</f>
        <v/>
      </c>
      <c r="C55284" t="inlineStr">
        <is>
          <t>2051-04-02</t>
        </is>
      </c>
    </row>
    <row r="55285">
      <c r="A55285" s="1" t="n">
        <v>55284</v>
      </c>
      <c r="B55285">
        <f>TEXT(55284, "[$-0E0000]yyyy-mm-dd")</f>
        <v/>
      </c>
      <c r="C55285" t="inlineStr">
        <is>
          <t>2051-04-03</t>
        </is>
      </c>
    </row>
    <row r="55286">
      <c r="A55286" s="1" t="n">
        <v>55285</v>
      </c>
      <c r="B55286">
        <f>TEXT(55285, "[$-0E0000]yyyy-mm-dd")</f>
        <v/>
      </c>
      <c r="C55286" t="inlineStr">
        <is>
          <t>2051-04-04</t>
        </is>
      </c>
    </row>
    <row r="55287">
      <c r="A55287" s="1" t="n">
        <v>55286</v>
      </c>
      <c r="B55287">
        <f>TEXT(55286, "[$-0E0000]yyyy-mm-dd")</f>
        <v/>
      </c>
      <c r="C55287" t="inlineStr">
        <is>
          <t>2051-04-05</t>
        </is>
      </c>
    </row>
    <row r="55288">
      <c r="A55288" s="1" t="n">
        <v>55287</v>
      </c>
      <c r="B55288">
        <f>TEXT(55287, "[$-0E0000]yyyy-mm-dd")</f>
        <v/>
      </c>
      <c r="C55288" t="inlineStr">
        <is>
          <t>2051-04-06</t>
        </is>
      </c>
    </row>
    <row r="55289">
      <c r="A55289" s="1" t="n">
        <v>55288</v>
      </c>
      <c r="B55289">
        <f>TEXT(55288, "[$-0E0000]yyyy-mm-dd")</f>
        <v/>
      </c>
      <c r="C55289" t="inlineStr">
        <is>
          <t>2051-04-07</t>
        </is>
      </c>
    </row>
    <row r="55290">
      <c r="A55290" s="1" t="n">
        <v>55289</v>
      </c>
      <c r="B55290">
        <f>TEXT(55289, "[$-0E0000]yyyy-mm-dd")</f>
        <v/>
      </c>
      <c r="C55290" t="inlineStr">
        <is>
          <t>2051-04-08</t>
        </is>
      </c>
    </row>
    <row r="55291">
      <c r="A55291" s="1" t="n">
        <v>55290</v>
      </c>
      <c r="B55291">
        <f>TEXT(55290, "[$-0E0000]yyyy-mm-dd")</f>
        <v/>
      </c>
      <c r="C55291" t="inlineStr">
        <is>
          <t>2051-04-09</t>
        </is>
      </c>
    </row>
    <row r="55292">
      <c r="A55292" s="1" t="n">
        <v>55291</v>
      </c>
      <c r="B55292">
        <f>TEXT(55291, "[$-0E0000]yyyy-mm-dd")</f>
        <v/>
      </c>
      <c r="C55292" t="inlineStr">
        <is>
          <t>2051-04-10</t>
        </is>
      </c>
    </row>
    <row r="55293">
      <c r="A55293" s="1" t="n">
        <v>55292</v>
      </c>
      <c r="B55293">
        <f>TEXT(55292, "[$-0E0000]yyyy-mm-dd")</f>
        <v/>
      </c>
      <c r="C55293" t="inlineStr">
        <is>
          <t>2051-04-11</t>
        </is>
      </c>
    </row>
    <row r="55294">
      <c r="A55294" s="1" t="n">
        <v>55293</v>
      </c>
      <c r="B55294">
        <f>TEXT(55293, "[$-0E0000]yyyy-mm-dd")</f>
        <v/>
      </c>
      <c r="C55294" t="inlineStr">
        <is>
          <t>2051-04-12</t>
        </is>
      </c>
    </row>
    <row r="55295">
      <c r="A55295" s="1" t="n">
        <v>55294</v>
      </c>
      <c r="B55295">
        <f>TEXT(55294, "[$-0E0000]yyyy-mm-dd")</f>
        <v/>
      </c>
      <c r="C55295" t="inlineStr">
        <is>
          <t>2051-04-13</t>
        </is>
      </c>
    </row>
    <row r="55296">
      <c r="A55296" s="1" t="n">
        <v>55295</v>
      </c>
      <c r="B55296">
        <f>TEXT(55295, "[$-0E0000]yyyy-mm-dd")</f>
        <v/>
      </c>
      <c r="C55296" t="inlineStr">
        <is>
          <t>2051-04-14</t>
        </is>
      </c>
    </row>
    <row r="55297">
      <c r="A55297" s="1" t="n">
        <v>55296</v>
      </c>
      <c r="B55297">
        <f>TEXT(55296, "[$-0E0000]yyyy-mm-dd")</f>
        <v/>
      </c>
      <c r="C55297" t="inlineStr">
        <is>
          <t>2051-04-15</t>
        </is>
      </c>
    </row>
    <row r="55298">
      <c r="A55298" s="1" t="n">
        <v>55297</v>
      </c>
      <c r="B55298">
        <f>TEXT(55297, "[$-0E0000]yyyy-mm-dd")</f>
        <v/>
      </c>
      <c r="C55298" t="inlineStr">
        <is>
          <t>2051-04-16</t>
        </is>
      </c>
    </row>
    <row r="55299">
      <c r="A55299" s="1" t="n">
        <v>55298</v>
      </c>
      <c r="B55299">
        <f>TEXT(55298, "[$-0E0000]yyyy-mm-dd")</f>
        <v/>
      </c>
      <c r="C55299" t="inlineStr">
        <is>
          <t>2051-04-17</t>
        </is>
      </c>
    </row>
    <row r="55300">
      <c r="A55300" s="1" t="n">
        <v>55299</v>
      </c>
      <c r="B55300">
        <f>TEXT(55299, "[$-0E0000]yyyy-mm-dd")</f>
        <v/>
      </c>
      <c r="C55300" t="inlineStr">
        <is>
          <t>2051-04-18</t>
        </is>
      </c>
    </row>
    <row r="55301">
      <c r="A55301" s="1" t="n">
        <v>55300</v>
      </c>
      <c r="B55301">
        <f>TEXT(55300, "[$-0E0000]yyyy-mm-dd")</f>
        <v/>
      </c>
      <c r="C55301" t="inlineStr">
        <is>
          <t>2051-04-19</t>
        </is>
      </c>
    </row>
    <row r="55302">
      <c r="A55302" s="1" t="n">
        <v>55301</v>
      </c>
      <c r="B55302">
        <f>TEXT(55301, "[$-0E0000]yyyy-mm-dd")</f>
        <v/>
      </c>
      <c r="C55302" t="inlineStr">
        <is>
          <t>2051-04-20</t>
        </is>
      </c>
    </row>
    <row r="55303">
      <c r="A55303" s="1" t="n">
        <v>55302</v>
      </c>
      <c r="B55303">
        <f>TEXT(55302, "[$-0E0000]yyyy-mm-dd")</f>
        <v/>
      </c>
      <c r="C55303" t="inlineStr">
        <is>
          <t>2051-04-21</t>
        </is>
      </c>
    </row>
    <row r="55304">
      <c r="A55304" s="1" t="n">
        <v>55303</v>
      </c>
      <c r="B55304">
        <f>TEXT(55303, "[$-0E0000]yyyy-mm-dd")</f>
        <v/>
      </c>
      <c r="C55304" t="inlineStr">
        <is>
          <t>2051-04-22</t>
        </is>
      </c>
    </row>
    <row r="55305">
      <c r="A55305" s="1" t="n">
        <v>55304</v>
      </c>
      <c r="B55305">
        <f>TEXT(55304, "[$-0E0000]yyyy-mm-dd")</f>
        <v/>
      </c>
      <c r="C55305" t="inlineStr">
        <is>
          <t>2051-04-23</t>
        </is>
      </c>
    </row>
    <row r="55306">
      <c r="A55306" s="1" t="n">
        <v>55305</v>
      </c>
      <c r="B55306">
        <f>TEXT(55305, "[$-0E0000]yyyy-mm-dd")</f>
        <v/>
      </c>
      <c r="C55306" t="inlineStr">
        <is>
          <t>2051-04-24</t>
        </is>
      </c>
    </row>
    <row r="55307">
      <c r="A55307" s="1" t="n">
        <v>55306</v>
      </c>
      <c r="B55307">
        <f>TEXT(55306, "[$-0E0000]yyyy-mm-dd")</f>
        <v/>
      </c>
      <c r="C55307" t="inlineStr">
        <is>
          <t>2051-04-25</t>
        </is>
      </c>
    </row>
    <row r="55308">
      <c r="A55308" s="1" t="n">
        <v>55307</v>
      </c>
      <c r="B55308">
        <f>TEXT(55307, "[$-0E0000]yyyy-mm-dd")</f>
        <v/>
      </c>
      <c r="C55308" t="inlineStr">
        <is>
          <t>2051-04-26</t>
        </is>
      </c>
    </row>
    <row r="55309">
      <c r="A55309" s="1" t="n">
        <v>55308</v>
      </c>
      <c r="B55309">
        <f>TEXT(55308, "[$-0E0000]yyyy-mm-dd")</f>
        <v/>
      </c>
      <c r="C55309" t="inlineStr">
        <is>
          <t>2051-04-27</t>
        </is>
      </c>
    </row>
    <row r="55310">
      <c r="A55310" s="1" t="n">
        <v>55309</v>
      </c>
      <c r="B55310">
        <f>TEXT(55309, "[$-0E0000]yyyy-mm-dd")</f>
        <v/>
      </c>
      <c r="C55310" t="inlineStr">
        <is>
          <t>2051-04-28</t>
        </is>
      </c>
    </row>
    <row r="55311">
      <c r="A55311" s="1" t="n">
        <v>55310</v>
      </c>
      <c r="B55311">
        <f>TEXT(55310, "[$-0E0000]yyyy-mm-dd")</f>
        <v/>
      </c>
      <c r="C55311" t="inlineStr">
        <is>
          <t>2051-04-29</t>
        </is>
      </c>
    </row>
    <row r="55312">
      <c r="A55312" s="1" t="n">
        <v>55311</v>
      </c>
      <c r="B55312">
        <f>TEXT(55311, "[$-0E0000]yyyy-mm-dd")</f>
        <v/>
      </c>
      <c r="C55312" t="inlineStr">
        <is>
          <t>2051-04-30</t>
        </is>
      </c>
    </row>
    <row r="55313">
      <c r="A55313" s="1" t="n">
        <v>55312</v>
      </c>
      <c r="B55313">
        <f>TEXT(55312, "[$-0E0000]yyyy-mm-dd")</f>
        <v/>
      </c>
      <c r="C55313" t="inlineStr">
        <is>
          <t>2051-05-01</t>
        </is>
      </c>
    </row>
    <row r="55314">
      <c r="A55314" s="1" t="n">
        <v>55313</v>
      </c>
      <c r="B55314">
        <f>TEXT(55313, "[$-0E0000]yyyy-mm-dd")</f>
        <v/>
      </c>
      <c r="C55314" t="inlineStr">
        <is>
          <t>2051-05-02</t>
        </is>
      </c>
    </row>
    <row r="55315">
      <c r="A55315" s="1" t="n">
        <v>55314</v>
      </c>
      <c r="B55315">
        <f>TEXT(55314, "[$-0E0000]yyyy-mm-dd")</f>
        <v/>
      </c>
      <c r="C55315" t="inlineStr">
        <is>
          <t>2051-05-03</t>
        </is>
      </c>
    </row>
    <row r="55316">
      <c r="A55316" s="1" t="n">
        <v>55315</v>
      </c>
      <c r="B55316">
        <f>TEXT(55315, "[$-0E0000]yyyy-mm-dd")</f>
        <v/>
      </c>
      <c r="C55316" t="inlineStr">
        <is>
          <t>2051-05-04</t>
        </is>
      </c>
    </row>
    <row r="55317">
      <c r="A55317" s="1" t="n">
        <v>55316</v>
      </c>
      <c r="B55317">
        <f>TEXT(55316, "[$-0E0000]yyyy-mm-dd")</f>
        <v/>
      </c>
      <c r="C55317" t="inlineStr">
        <is>
          <t>2051-05-05</t>
        </is>
      </c>
    </row>
    <row r="55318">
      <c r="A55318" s="1" t="n">
        <v>55317</v>
      </c>
      <c r="B55318">
        <f>TEXT(55317, "[$-0E0000]yyyy-mm-dd")</f>
        <v/>
      </c>
      <c r="C55318" t="inlineStr">
        <is>
          <t>2051-05-06</t>
        </is>
      </c>
    </row>
    <row r="55319">
      <c r="A55319" s="1" t="n">
        <v>55318</v>
      </c>
      <c r="B55319">
        <f>TEXT(55318, "[$-0E0000]yyyy-mm-dd")</f>
        <v/>
      </c>
      <c r="C55319" t="inlineStr">
        <is>
          <t>2051-05-07</t>
        </is>
      </c>
    </row>
    <row r="55320">
      <c r="A55320" s="1" t="n">
        <v>55319</v>
      </c>
      <c r="B55320">
        <f>TEXT(55319, "[$-0E0000]yyyy-mm-dd")</f>
        <v/>
      </c>
      <c r="C55320" t="inlineStr">
        <is>
          <t>2051-05-08</t>
        </is>
      </c>
    </row>
    <row r="55321">
      <c r="A55321" s="1" t="n">
        <v>55320</v>
      </c>
      <c r="B55321">
        <f>TEXT(55320, "[$-0E0000]yyyy-mm-dd")</f>
        <v/>
      </c>
      <c r="C55321" t="inlineStr">
        <is>
          <t>2051-05-09</t>
        </is>
      </c>
    </row>
    <row r="55322">
      <c r="A55322" s="1" t="n">
        <v>55321</v>
      </c>
      <c r="B55322">
        <f>TEXT(55321, "[$-0E0000]yyyy-mm-dd")</f>
        <v/>
      </c>
      <c r="C55322" t="inlineStr">
        <is>
          <t>2051-05-10</t>
        </is>
      </c>
    </row>
    <row r="55323">
      <c r="A55323" s="1" t="n">
        <v>55322</v>
      </c>
      <c r="B55323">
        <f>TEXT(55322, "[$-0E0000]yyyy-mm-dd")</f>
        <v/>
      </c>
      <c r="C55323" t="inlineStr">
        <is>
          <t>2051-05-11</t>
        </is>
      </c>
    </row>
    <row r="55324">
      <c r="A55324" s="1" t="n">
        <v>55323</v>
      </c>
      <c r="B55324">
        <f>TEXT(55323, "[$-0E0000]yyyy-mm-dd")</f>
        <v/>
      </c>
      <c r="C55324" t="inlineStr">
        <is>
          <t>2051-05-12</t>
        </is>
      </c>
    </row>
    <row r="55325">
      <c r="A55325" s="1" t="n">
        <v>55324</v>
      </c>
      <c r="B55325">
        <f>TEXT(55324, "[$-0E0000]yyyy-mm-dd")</f>
        <v/>
      </c>
      <c r="C55325" t="inlineStr">
        <is>
          <t>2051-05-13</t>
        </is>
      </c>
    </row>
    <row r="55326">
      <c r="A55326" s="1" t="n">
        <v>55325</v>
      </c>
      <c r="B55326">
        <f>TEXT(55325, "[$-0E0000]yyyy-mm-dd")</f>
        <v/>
      </c>
      <c r="C55326" t="inlineStr">
        <is>
          <t>2051-05-14</t>
        </is>
      </c>
    </row>
    <row r="55327">
      <c r="A55327" s="1" t="n">
        <v>55326</v>
      </c>
      <c r="B55327">
        <f>TEXT(55326, "[$-0E0000]yyyy-mm-dd")</f>
        <v/>
      </c>
      <c r="C55327" t="inlineStr">
        <is>
          <t>2051-05-15</t>
        </is>
      </c>
    </row>
    <row r="55328">
      <c r="A55328" s="1" t="n">
        <v>55327</v>
      </c>
      <c r="B55328">
        <f>TEXT(55327, "[$-0E0000]yyyy-mm-dd")</f>
        <v/>
      </c>
      <c r="C55328" t="inlineStr">
        <is>
          <t>2051-05-16</t>
        </is>
      </c>
    </row>
    <row r="55329">
      <c r="A55329" s="1" t="n">
        <v>55328</v>
      </c>
      <c r="B55329">
        <f>TEXT(55328, "[$-0E0000]yyyy-mm-dd")</f>
        <v/>
      </c>
      <c r="C55329" t="inlineStr">
        <is>
          <t>2051-05-17</t>
        </is>
      </c>
    </row>
    <row r="55330">
      <c r="A55330" s="1" t="n">
        <v>55329</v>
      </c>
      <c r="B55330">
        <f>TEXT(55329, "[$-0E0000]yyyy-mm-dd")</f>
        <v/>
      </c>
      <c r="C55330" t="inlineStr">
        <is>
          <t>2051-05-18</t>
        </is>
      </c>
    </row>
    <row r="55331">
      <c r="A55331" s="1" t="n">
        <v>55330</v>
      </c>
      <c r="B55331">
        <f>TEXT(55330, "[$-0E0000]yyyy-mm-dd")</f>
        <v/>
      </c>
      <c r="C55331" t="inlineStr">
        <is>
          <t>2051-05-19</t>
        </is>
      </c>
    </row>
    <row r="55332">
      <c r="A55332" s="1" t="n">
        <v>55331</v>
      </c>
      <c r="B55332">
        <f>TEXT(55331, "[$-0E0000]yyyy-mm-dd")</f>
        <v/>
      </c>
      <c r="C55332" t="inlineStr">
        <is>
          <t>2051-05-20</t>
        </is>
      </c>
    </row>
    <row r="55333">
      <c r="A55333" s="1" t="n">
        <v>55332</v>
      </c>
      <c r="B55333">
        <f>TEXT(55332, "[$-0E0000]yyyy-mm-dd")</f>
        <v/>
      </c>
      <c r="C55333" t="inlineStr">
        <is>
          <t>2051-05-21</t>
        </is>
      </c>
    </row>
    <row r="55334">
      <c r="A55334" s="1" t="n">
        <v>55333</v>
      </c>
      <c r="B55334">
        <f>TEXT(55333, "[$-0E0000]yyyy-mm-dd")</f>
        <v/>
      </c>
      <c r="C55334" t="inlineStr">
        <is>
          <t>2051-05-22</t>
        </is>
      </c>
    </row>
    <row r="55335">
      <c r="A55335" s="1" t="n">
        <v>55334</v>
      </c>
      <c r="B55335">
        <f>TEXT(55334, "[$-0E0000]yyyy-mm-dd")</f>
        <v/>
      </c>
      <c r="C55335" t="inlineStr">
        <is>
          <t>2051-05-23</t>
        </is>
      </c>
    </row>
    <row r="55336">
      <c r="A55336" s="1" t="n">
        <v>55335</v>
      </c>
      <c r="B55336">
        <f>TEXT(55335, "[$-0E0000]yyyy-mm-dd")</f>
        <v/>
      </c>
      <c r="C55336" t="inlineStr">
        <is>
          <t>2051-05-24</t>
        </is>
      </c>
    </row>
    <row r="55337">
      <c r="A55337" s="1" t="n">
        <v>55336</v>
      </c>
      <c r="B55337">
        <f>TEXT(55336, "[$-0E0000]yyyy-mm-dd")</f>
        <v/>
      </c>
      <c r="C55337" t="inlineStr">
        <is>
          <t>2051-05-25</t>
        </is>
      </c>
    </row>
    <row r="55338">
      <c r="A55338" s="1" t="n">
        <v>55337</v>
      </c>
      <c r="B55338">
        <f>TEXT(55337, "[$-0E0000]yyyy-mm-dd")</f>
        <v/>
      </c>
      <c r="C55338" t="inlineStr">
        <is>
          <t>2051-05-26</t>
        </is>
      </c>
    </row>
    <row r="55339">
      <c r="A55339" s="1" t="n">
        <v>55338</v>
      </c>
      <c r="B55339">
        <f>TEXT(55338, "[$-0E0000]yyyy-mm-dd")</f>
        <v/>
      </c>
      <c r="C55339" t="inlineStr">
        <is>
          <t>2051-05-27</t>
        </is>
      </c>
    </row>
    <row r="55340">
      <c r="A55340" s="1" t="n">
        <v>55339</v>
      </c>
      <c r="B55340">
        <f>TEXT(55339, "[$-0E0000]yyyy-mm-dd")</f>
        <v/>
      </c>
      <c r="C55340" t="inlineStr">
        <is>
          <t>2051-05-28</t>
        </is>
      </c>
    </row>
    <row r="55341">
      <c r="A55341" s="1" t="n">
        <v>55340</v>
      </c>
      <c r="B55341">
        <f>TEXT(55340, "[$-0E0000]yyyy-mm-dd")</f>
        <v/>
      </c>
      <c r="C55341" t="inlineStr">
        <is>
          <t>2051-05-29</t>
        </is>
      </c>
    </row>
    <row r="55342">
      <c r="A55342" s="1" t="n">
        <v>55341</v>
      </c>
      <c r="B55342">
        <f>TEXT(55341, "[$-0E0000]yyyy-mm-dd")</f>
        <v/>
      </c>
      <c r="C55342" t="inlineStr">
        <is>
          <t>2051-06-01</t>
        </is>
      </c>
    </row>
    <row r="55343">
      <c r="A55343" s="1" t="n">
        <v>55342</v>
      </c>
      <c r="B55343">
        <f>TEXT(55342, "[$-0E0000]yyyy-mm-dd")</f>
        <v/>
      </c>
      <c r="C55343" t="inlineStr">
        <is>
          <t>2051-06-02</t>
        </is>
      </c>
    </row>
    <row r="55344">
      <c r="A55344" s="1" t="n">
        <v>55343</v>
      </c>
      <c r="B55344">
        <f>TEXT(55343, "[$-0E0000]yyyy-mm-dd")</f>
        <v/>
      </c>
      <c r="C55344" t="inlineStr">
        <is>
          <t>2051-06-03</t>
        </is>
      </c>
    </row>
    <row r="55345">
      <c r="A55345" s="1" t="n">
        <v>55344</v>
      </c>
      <c r="B55345">
        <f>TEXT(55344, "[$-0E0000]yyyy-mm-dd")</f>
        <v/>
      </c>
      <c r="C55345" t="inlineStr">
        <is>
          <t>2051-06-04</t>
        </is>
      </c>
    </row>
    <row r="55346">
      <c r="A55346" s="1" t="n">
        <v>55345</v>
      </c>
      <c r="B55346">
        <f>TEXT(55345, "[$-0E0000]yyyy-mm-dd")</f>
        <v/>
      </c>
      <c r="C55346" t="inlineStr">
        <is>
          <t>2051-06-05</t>
        </is>
      </c>
    </row>
    <row r="55347">
      <c r="A55347" s="1" t="n">
        <v>55346</v>
      </c>
      <c r="B55347">
        <f>TEXT(55346, "[$-0E0000]yyyy-mm-dd")</f>
        <v/>
      </c>
      <c r="C55347" t="inlineStr">
        <is>
          <t>2051-06-06</t>
        </is>
      </c>
    </row>
    <row r="55348">
      <c r="A55348" s="1" t="n">
        <v>55347</v>
      </c>
      <c r="B55348">
        <f>TEXT(55347, "[$-0E0000]yyyy-mm-dd")</f>
        <v/>
      </c>
      <c r="C55348" t="inlineStr">
        <is>
          <t>2051-06-07</t>
        </is>
      </c>
    </row>
    <row r="55349">
      <c r="A55349" s="1" t="n">
        <v>55348</v>
      </c>
      <c r="B55349">
        <f>TEXT(55348, "[$-0E0000]yyyy-mm-dd")</f>
        <v/>
      </c>
      <c r="C55349" t="inlineStr">
        <is>
          <t>2051-06-08</t>
        </is>
      </c>
    </row>
    <row r="55350">
      <c r="A55350" s="1" t="n">
        <v>55349</v>
      </c>
      <c r="B55350">
        <f>TEXT(55349, "[$-0E0000]yyyy-mm-dd")</f>
        <v/>
      </c>
      <c r="C55350" t="inlineStr">
        <is>
          <t>2051-06-09</t>
        </is>
      </c>
    </row>
    <row r="55351">
      <c r="A55351" s="1" t="n">
        <v>55350</v>
      </c>
      <c r="B55351">
        <f>TEXT(55350, "[$-0E0000]yyyy-mm-dd")</f>
        <v/>
      </c>
      <c r="C55351" t="inlineStr">
        <is>
          <t>2051-06-10</t>
        </is>
      </c>
    </row>
    <row r="55352">
      <c r="A55352" s="1" t="n">
        <v>55351</v>
      </c>
      <c r="B55352">
        <f>TEXT(55351, "[$-0E0000]yyyy-mm-dd")</f>
        <v/>
      </c>
      <c r="C55352" t="inlineStr">
        <is>
          <t>2051-06-11</t>
        </is>
      </c>
    </row>
    <row r="55353">
      <c r="A55353" s="1" t="n">
        <v>55352</v>
      </c>
      <c r="B55353">
        <f>TEXT(55352, "[$-0E0000]yyyy-mm-dd")</f>
        <v/>
      </c>
      <c r="C55353" t="inlineStr">
        <is>
          <t>2051-06-12</t>
        </is>
      </c>
    </row>
    <row r="55354">
      <c r="A55354" s="1" t="n">
        <v>55353</v>
      </c>
      <c r="B55354">
        <f>TEXT(55353, "[$-0E0000]yyyy-mm-dd")</f>
        <v/>
      </c>
      <c r="C55354" t="inlineStr">
        <is>
          <t>2051-06-13</t>
        </is>
      </c>
    </row>
    <row r="55355">
      <c r="A55355" s="1" t="n">
        <v>55354</v>
      </c>
      <c r="B55355">
        <f>TEXT(55354, "[$-0E0000]yyyy-mm-dd")</f>
        <v/>
      </c>
      <c r="C55355" t="inlineStr">
        <is>
          <t>2051-06-14</t>
        </is>
      </c>
    </row>
    <row r="55356">
      <c r="A55356" s="1" t="n">
        <v>55355</v>
      </c>
      <c r="B55356">
        <f>TEXT(55355, "[$-0E0000]yyyy-mm-dd")</f>
        <v/>
      </c>
      <c r="C55356" t="inlineStr">
        <is>
          <t>2051-06-15</t>
        </is>
      </c>
    </row>
    <row r="55357">
      <c r="A55357" s="1" t="n">
        <v>55356</v>
      </c>
      <c r="B55357">
        <f>TEXT(55356, "[$-0E0000]yyyy-mm-dd")</f>
        <v/>
      </c>
      <c r="C55357" t="inlineStr">
        <is>
          <t>2051-06-16</t>
        </is>
      </c>
    </row>
    <row r="55358">
      <c r="A55358" s="1" t="n">
        <v>55357</v>
      </c>
      <c r="B55358">
        <f>TEXT(55357, "[$-0E0000]yyyy-mm-dd")</f>
        <v/>
      </c>
      <c r="C55358" t="inlineStr">
        <is>
          <t>2051-06-17</t>
        </is>
      </c>
    </row>
    <row r="55359">
      <c r="A55359" s="1" t="n">
        <v>55358</v>
      </c>
      <c r="B55359">
        <f>TEXT(55358, "[$-0E0000]yyyy-mm-dd")</f>
        <v/>
      </c>
      <c r="C55359" t="inlineStr">
        <is>
          <t>2051-06-18</t>
        </is>
      </c>
    </row>
    <row r="55360">
      <c r="A55360" s="1" t="n">
        <v>55359</v>
      </c>
      <c r="B55360">
        <f>TEXT(55359, "[$-0E0000]yyyy-mm-dd")</f>
        <v/>
      </c>
      <c r="C55360" t="inlineStr">
        <is>
          <t>2051-06-19</t>
        </is>
      </c>
    </row>
    <row r="55361">
      <c r="A55361" s="1" t="n">
        <v>55360</v>
      </c>
      <c r="B55361">
        <f>TEXT(55360, "[$-0E0000]yyyy-mm-dd")</f>
        <v/>
      </c>
      <c r="C55361" t="inlineStr">
        <is>
          <t>2051-06-20</t>
        </is>
      </c>
    </row>
    <row r="55362">
      <c r="A55362" s="1" t="n">
        <v>55361</v>
      </c>
      <c r="B55362">
        <f>TEXT(55361, "[$-0E0000]yyyy-mm-dd")</f>
        <v/>
      </c>
      <c r="C55362" t="inlineStr">
        <is>
          <t>2051-06-21</t>
        </is>
      </c>
    </row>
    <row r="55363">
      <c r="A55363" s="1" t="n">
        <v>55362</v>
      </c>
      <c r="B55363">
        <f>TEXT(55362, "[$-0E0000]yyyy-mm-dd")</f>
        <v/>
      </c>
      <c r="C55363" t="inlineStr">
        <is>
          <t>2051-06-22</t>
        </is>
      </c>
    </row>
    <row r="55364">
      <c r="A55364" s="1" t="n">
        <v>55363</v>
      </c>
      <c r="B55364">
        <f>TEXT(55363, "[$-0E0000]yyyy-mm-dd")</f>
        <v/>
      </c>
      <c r="C55364" t="inlineStr">
        <is>
          <t>2051-06-23</t>
        </is>
      </c>
    </row>
    <row r="55365">
      <c r="A55365" s="1" t="n">
        <v>55364</v>
      </c>
      <c r="B55365">
        <f>TEXT(55364, "[$-0E0000]yyyy-mm-dd")</f>
        <v/>
      </c>
      <c r="C55365" t="inlineStr">
        <is>
          <t>2051-06-24</t>
        </is>
      </c>
    </row>
    <row r="55366">
      <c r="A55366" s="1" t="n">
        <v>55365</v>
      </c>
      <c r="B55366">
        <f>TEXT(55365, "[$-0E0000]yyyy-mm-dd")</f>
        <v/>
      </c>
      <c r="C55366" t="inlineStr">
        <is>
          <t>2051-06-25</t>
        </is>
      </c>
    </row>
    <row r="55367">
      <c r="A55367" s="1" t="n">
        <v>55366</v>
      </c>
      <c r="B55367">
        <f>TEXT(55366, "[$-0E0000]yyyy-mm-dd")</f>
        <v/>
      </c>
      <c r="C55367" t="inlineStr">
        <is>
          <t>2051-06-26</t>
        </is>
      </c>
    </row>
    <row r="55368">
      <c r="A55368" s="1" t="n">
        <v>55367</v>
      </c>
      <c r="B55368">
        <f>TEXT(55367, "[$-0E0000]yyyy-mm-dd")</f>
        <v/>
      </c>
      <c r="C55368" t="inlineStr">
        <is>
          <t>2051-06-27</t>
        </is>
      </c>
    </row>
    <row r="55369">
      <c r="A55369" s="1" t="n">
        <v>55368</v>
      </c>
      <c r="B55369">
        <f>TEXT(55368, "[$-0E0000]yyyy-mm-dd")</f>
        <v/>
      </c>
      <c r="C55369" t="inlineStr">
        <is>
          <t>2051-06-28</t>
        </is>
      </c>
    </row>
    <row r="55370">
      <c r="A55370" s="1" t="n">
        <v>55369</v>
      </c>
      <c r="B55370">
        <f>TEXT(55369, "[$-0E0000]yyyy-mm-dd")</f>
        <v/>
      </c>
      <c r="C55370" t="inlineStr">
        <is>
          <t>2051-06-29</t>
        </is>
      </c>
    </row>
    <row r="55371">
      <c r="A55371" s="1" t="n">
        <v>55370</v>
      </c>
      <c r="B55371">
        <f>TEXT(55370, "[$-0E0000]yyyy-mm-dd")</f>
        <v/>
      </c>
      <c r="C55371" t="inlineStr">
        <is>
          <t>2051-07-01</t>
        </is>
      </c>
    </row>
    <row r="55372">
      <c r="A55372" s="1" t="n">
        <v>55371</v>
      </c>
      <c r="B55372">
        <f>TEXT(55371, "[$-0E0000]yyyy-mm-dd")</f>
        <v/>
      </c>
      <c r="C55372" t="inlineStr">
        <is>
          <t>2051-07-02</t>
        </is>
      </c>
    </row>
    <row r="55373">
      <c r="A55373" s="1" t="n">
        <v>55372</v>
      </c>
      <c r="B55373">
        <f>TEXT(55372, "[$-0E0000]yyyy-mm-dd")</f>
        <v/>
      </c>
      <c r="C55373" t="inlineStr">
        <is>
          <t>2051-07-03</t>
        </is>
      </c>
    </row>
    <row r="55374">
      <c r="A55374" s="1" t="n">
        <v>55373</v>
      </c>
      <c r="B55374">
        <f>TEXT(55373, "[$-0E0000]yyyy-mm-dd")</f>
        <v/>
      </c>
      <c r="C55374" t="inlineStr">
        <is>
          <t>2051-07-04</t>
        </is>
      </c>
    </row>
    <row r="55375">
      <c r="A55375" s="1" t="n">
        <v>55374</v>
      </c>
      <c r="B55375">
        <f>TEXT(55374, "[$-0E0000]yyyy-mm-dd")</f>
        <v/>
      </c>
      <c r="C55375" t="inlineStr">
        <is>
          <t>2051-07-05</t>
        </is>
      </c>
    </row>
    <row r="55376">
      <c r="A55376" s="1" t="n">
        <v>55375</v>
      </c>
      <c r="B55376">
        <f>TEXT(55375, "[$-0E0000]yyyy-mm-dd")</f>
        <v/>
      </c>
      <c r="C55376" t="inlineStr">
        <is>
          <t>2051-07-06</t>
        </is>
      </c>
    </row>
    <row r="55377">
      <c r="A55377" s="1" t="n">
        <v>55376</v>
      </c>
      <c r="B55377">
        <f>TEXT(55376, "[$-0E0000]yyyy-mm-dd")</f>
        <v/>
      </c>
      <c r="C55377" t="inlineStr">
        <is>
          <t>2051-07-07</t>
        </is>
      </c>
    </row>
    <row r="55378">
      <c r="A55378" s="1" t="n">
        <v>55377</v>
      </c>
      <c r="B55378">
        <f>TEXT(55377, "[$-0E0000]yyyy-mm-dd")</f>
        <v/>
      </c>
      <c r="C55378" t="inlineStr">
        <is>
          <t>2051-07-08</t>
        </is>
      </c>
    </row>
    <row r="55379">
      <c r="A55379" s="1" t="n">
        <v>55378</v>
      </c>
      <c r="B55379">
        <f>TEXT(55378, "[$-0E0000]yyyy-mm-dd")</f>
        <v/>
      </c>
      <c r="C55379" t="inlineStr">
        <is>
          <t>2051-07-09</t>
        </is>
      </c>
    </row>
    <row r="55380">
      <c r="A55380" s="1" t="n">
        <v>55379</v>
      </c>
      <c r="B55380">
        <f>TEXT(55379, "[$-0E0000]yyyy-mm-dd")</f>
        <v/>
      </c>
      <c r="C55380" t="inlineStr">
        <is>
          <t>2051-07-10</t>
        </is>
      </c>
    </row>
    <row r="55381">
      <c r="A55381" s="1" t="n">
        <v>55380</v>
      </c>
      <c r="B55381">
        <f>TEXT(55380, "[$-0E0000]yyyy-mm-dd")</f>
        <v/>
      </c>
      <c r="C55381" t="inlineStr">
        <is>
          <t>2051-07-11</t>
        </is>
      </c>
    </row>
    <row r="55382">
      <c r="A55382" s="1" t="n">
        <v>55381</v>
      </c>
      <c r="B55382">
        <f>TEXT(55381, "[$-0E0000]yyyy-mm-dd")</f>
        <v/>
      </c>
      <c r="C55382" t="inlineStr">
        <is>
          <t>2051-07-12</t>
        </is>
      </c>
    </row>
    <row r="55383">
      <c r="A55383" s="1" t="n">
        <v>55382</v>
      </c>
      <c r="B55383">
        <f>TEXT(55382, "[$-0E0000]yyyy-mm-dd")</f>
        <v/>
      </c>
      <c r="C55383" t="inlineStr">
        <is>
          <t>2051-07-13</t>
        </is>
      </c>
    </row>
    <row r="55384">
      <c r="A55384" s="1" t="n">
        <v>55383</v>
      </c>
      <c r="B55384">
        <f>TEXT(55383, "[$-0E0000]yyyy-mm-dd")</f>
        <v/>
      </c>
      <c r="C55384" t="inlineStr">
        <is>
          <t>2051-07-14</t>
        </is>
      </c>
    </row>
    <row r="55385">
      <c r="A55385" s="1" t="n">
        <v>55384</v>
      </c>
      <c r="B55385">
        <f>TEXT(55384, "[$-0E0000]yyyy-mm-dd")</f>
        <v/>
      </c>
      <c r="C55385" t="inlineStr">
        <is>
          <t>2051-07-15</t>
        </is>
      </c>
    </row>
    <row r="55386">
      <c r="A55386" s="1" t="n">
        <v>55385</v>
      </c>
      <c r="B55386">
        <f>TEXT(55385, "[$-0E0000]yyyy-mm-dd")</f>
        <v/>
      </c>
      <c r="C55386" t="inlineStr">
        <is>
          <t>2051-07-16</t>
        </is>
      </c>
    </row>
    <row r="55387">
      <c r="A55387" s="1" t="n">
        <v>55386</v>
      </c>
      <c r="B55387">
        <f>TEXT(55386, "[$-0E0000]yyyy-mm-dd")</f>
        <v/>
      </c>
      <c r="C55387" t="inlineStr">
        <is>
          <t>2051-07-17</t>
        </is>
      </c>
    </row>
    <row r="55388">
      <c r="A55388" s="1" t="n">
        <v>55387</v>
      </c>
      <c r="B55388">
        <f>TEXT(55387, "[$-0E0000]yyyy-mm-dd")</f>
        <v/>
      </c>
      <c r="C55388" t="inlineStr">
        <is>
          <t>2051-07-18</t>
        </is>
      </c>
    </row>
    <row r="55389">
      <c r="A55389" s="1" t="n">
        <v>55388</v>
      </c>
      <c r="B55389">
        <f>TEXT(55388, "[$-0E0000]yyyy-mm-dd")</f>
        <v/>
      </c>
      <c r="C55389" t="inlineStr">
        <is>
          <t>2051-07-19</t>
        </is>
      </c>
    </row>
    <row r="55390">
      <c r="A55390" s="1" t="n">
        <v>55389</v>
      </c>
      <c r="B55390">
        <f>TEXT(55389, "[$-0E0000]yyyy-mm-dd")</f>
        <v/>
      </c>
      <c r="C55390" t="inlineStr">
        <is>
          <t>2051-07-20</t>
        </is>
      </c>
    </row>
    <row r="55391">
      <c r="A55391" s="1" t="n">
        <v>55390</v>
      </c>
      <c r="B55391">
        <f>TEXT(55390, "[$-0E0000]yyyy-mm-dd")</f>
        <v/>
      </c>
      <c r="C55391" t="inlineStr">
        <is>
          <t>2051-07-21</t>
        </is>
      </c>
    </row>
    <row r="55392">
      <c r="A55392" s="1" t="n">
        <v>55391</v>
      </c>
      <c r="B55392">
        <f>TEXT(55391, "[$-0E0000]yyyy-mm-dd")</f>
        <v/>
      </c>
      <c r="C55392" t="inlineStr">
        <is>
          <t>2051-07-22</t>
        </is>
      </c>
    </row>
    <row r="55393">
      <c r="A55393" s="1" t="n">
        <v>55392</v>
      </c>
      <c r="B55393">
        <f>TEXT(55392, "[$-0E0000]yyyy-mm-dd")</f>
        <v/>
      </c>
      <c r="C55393" t="inlineStr">
        <is>
          <t>2051-07-23</t>
        </is>
      </c>
    </row>
    <row r="55394">
      <c r="A55394" s="1" t="n">
        <v>55393</v>
      </c>
      <c r="B55394">
        <f>TEXT(55393, "[$-0E0000]yyyy-mm-dd")</f>
        <v/>
      </c>
      <c r="C55394" t="inlineStr">
        <is>
          <t>2051-07-24</t>
        </is>
      </c>
    </row>
    <row r="55395">
      <c r="A55395" s="1" t="n">
        <v>55394</v>
      </c>
      <c r="B55395">
        <f>TEXT(55394, "[$-0E0000]yyyy-mm-dd")</f>
        <v/>
      </c>
      <c r="C55395" t="inlineStr">
        <is>
          <t>2051-07-25</t>
        </is>
      </c>
    </row>
    <row r="55396">
      <c r="A55396" s="1" t="n">
        <v>55395</v>
      </c>
      <c r="B55396">
        <f>TEXT(55395, "[$-0E0000]yyyy-mm-dd")</f>
        <v/>
      </c>
      <c r="C55396" t="inlineStr">
        <is>
          <t>2051-07-26</t>
        </is>
      </c>
    </row>
    <row r="55397">
      <c r="A55397" s="1" t="n">
        <v>55396</v>
      </c>
      <c r="B55397">
        <f>TEXT(55396, "[$-0E0000]yyyy-mm-dd")</f>
        <v/>
      </c>
      <c r="C55397" t="inlineStr">
        <is>
          <t>2051-07-27</t>
        </is>
      </c>
    </row>
    <row r="55398">
      <c r="A55398" s="1" t="n">
        <v>55397</v>
      </c>
      <c r="B55398">
        <f>TEXT(55397, "[$-0E0000]yyyy-mm-dd")</f>
        <v/>
      </c>
      <c r="C55398" t="inlineStr">
        <is>
          <t>2051-07-28</t>
        </is>
      </c>
    </row>
    <row r="55399">
      <c r="A55399" s="1" t="n">
        <v>55398</v>
      </c>
      <c r="B55399">
        <f>TEXT(55398, "[$-0E0000]yyyy-mm-dd")</f>
        <v/>
      </c>
      <c r="C55399" t="inlineStr">
        <is>
          <t>2051-07-29</t>
        </is>
      </c>
    </row>
    <row r="55400">
      <c r="A55400" s="1" t="n">
        <v>55399</v>
      </c>
      <c r="B55400">
        <f>TEXT(55399, "[$-0E0000]yyyy-mm-dd")</f>
        <v/>
      </c>
      <c r="C55400" t="inlineStr">
        <is>
          <t>2051-07-30</t>
        </is>
      </c>
    </row>
    <row r="55401">
      <c r="A55401" s="1" t="n">
        <v>55400</v>
      </c>
      <c r="B55401">
        <f>TEXT(55400, "[$-0E0000]yyyy-mm-dd")</f>
        <v/>
      </c>
      <c r="C55401" t="inlineStr">
        <is>
          <t>2051-08-01</t>
        </is>
      </c>
    </row>
    <row r="55402">
      <c r="A55402" s="1" t="n">
        <v>55401</v>
      </c>
      <c r="B55402">
        <f>TEXT(55401, "[$-0E0000]yyyy-mm-dd")</f>
        <v/>
      </c>
      <c r="C55402" t="inlineStr">
        <is>
          <t>2051-08-02</t>
        </is>
      </c>
    </row>
    <row r="55403">
      <c r="A55403" s="1" t="n">
        <v>55402</v>
      </c>
      <c r="B55403">
        <f>TEXT(55402, "[$-0E0000]yyyy-mm-dd")</f>
        <v/>
      </c>
      <c r="C55403" t="inlineStr">
        <is>
          <t>2051-08-03</t>
        </is>
      </c>
    </row>
    <row r="55404">
      <c r="A55404" s="1" t="n">
        <v>55403</v>
      </c>
      <c r="B55404">
        <f>TEXT(55403, "[$-0E0000]yyyy-mm-dd")</f>
        <v/>
      </c>
      <c r="C55404" t="inlineStr">
        <is>
          <t>2051-08-04</t>
        </is>
      </c>
    </row>
    <row r="55405">
      <c r="A55405" s="1" t="n">
        <v>55404</v>
      </c>
      <c r="B55405">
        <f>TEXT(55404, "[$-0E0000]yyyy-mm-dd")</f>
        <v/>
      </c>
      <c r="C55405" t="inlineStr">
        <is>
          <t>2051-08-05</t>
        </is>
      </c>
    </row>
    <row r="55406">
      <c r="A55406" s="1" t="n">
        <v>55405</v>
      </c>
      <c r="B55406">
        <f>TEXT(55405, "[$-0E0000]yyyy-mm-dd")</f>
        <v/>
      </c>
      <c r="C55406" t="inlineStr">
        <is>
          <t>2051-08-06</t>
        </is>
      </c>
    </row>
    <row r="55407">
      <c r="A55407" s="1" t="n">
        <v>55406</v>
      </c>
      <c r="B55407">
        <f>TEXT(55406, "[$-0E0000]yyyy-mm-dd")</f>
        <v/>
      </c>
      <c r="C55407" t="inlineStr">
        <is>
          <t>2051-08-07</t>
        </is>
      </c>
    </row>
    <row r="55408">
      <c r="A55408" s="1" t="n">
        <v>55407</v>
      </c>
      <c r="B55408">
        <f>TEXT(55407, "[$-0E0000]yyyy-mm-dd")</f>
        <v/>
      </c>
      <c r="C55408" t="inlineStr">
        <is>
          <t>2051-08-08</t>
        </is>
      </c>
    </row>
    <row r="55409">
      <c r="A55409" s="1" t="n">
        <v>55408</v>
      </c>
      <c r="B55409">
        <f>TEXT(55408, "[$-0E0000]yyyy-mm-dd")</f>
        <v/>
      </c>
      <c r="C55409" t="inlineStr">
        <is>
          <t>2051-08-09</t>
        </is>
      </c>
    </row>
    <row r="55410">
      <c r="A55410" s="1" t="n">
        <v>55409</v>
      </c>
      <c r="B55410">
        <f>TEXT(55409, "[$-0E0000]yyyy-mm-dd")</f>
        <v/>
      </c>
      <c r="C55410" t="inlineStr">
        <is>
          <t>2051-08-10</t>
        </is>
      </c>
    </row>
    <row r="55411">
      <c r="A55411" s="1" t="n">
        <v>55410</v>
      </c>
      <c r="B55411">
        <f>TEXT(55410, "[$-0E0000]yyyy-mm-dd")</f>
        <v/>
      </c>
      <c r="C55411" t="inlineStr">
        <is>
          <t>2051-08-11</t>
        </is>
      </c>
    </row>
    <row r="55412">
      <c r="A55412" s="1" t="n">
        <v>55411</v>
      </c>
      <c r="B55412">
        <f>TEXT(55411, "[$-0E0000]yyyy-mm-dd")</f>
        <v/>
      </c>
      <c r="C55412" t="inlineStr">
        <is>
          <t>2051-08-12</t>
        </is>
      </c>
    </row>
    <row r="55413">
      <c r="A55413" s="1" t="n">
        <v>55412</v>
      </c>
      <c r="B55413">
        <f>TEXT(55412, "[$-0E0000]yyyy-mm-dd")</f>
        <v/>
      </c>
      <c r="C55413" t="inlineStr">
        <is>
          <t>2051-08-13</t>
        </is>
      </c>
    </row>
    <row r="55414">
      <c r="A55414" s="1" t="n">
        <v>55413</v>
      </c>
      <c r="B55414">
        <f>TEXT(55413, "[$-0E0000]yyyy-mm-dd")</f>
        <v/>
      </c>
      <c r="C55414" t="inlineStr">
        <is>
          <t>2051-08-14</t>
        </is>
      </c>
    </row>
    <row r="55415">
      <c r="A55415" s="1" t="n">
        <v>55414</v>
      </c>
      <c r="B55415">
        <f>TEXT(55414, "[$-0E0000]yyyy-mm-dd")</f>
        <v/>
      </c>
      <c r="C55415" t="inlineStr">
        <is>
          <t>2051-08-15</t>
        </is>
      </c>
    </row>
    <row r="55416">
      <c r="A55416" s="1" t="n">
        <v>55415</v>
      </c>
      <c r="B55416">
        <f>TEXT(55415, "[$-0E0000]yyyy-mm-dd")</f>
        <v/>
      </c>
      <c r="C55416" t="inlineStr">
        <is>
          <t>2051-08-16</t>
        </is>
      </c>
    </row>
    <row r="55417">
      <c r="A55417" s="1" t="n">
        <v>55416</v>
      </c>
      <c r="B55417">
        <f>TEXT(55416, "[$-0E0000]yyyy-mm-dd")</f>
        <v/>
      </c>
      <c r="C55417" t="inlineStr">
        <is>
          <t>2051-08-17</t>
        </is>
      </c>
    </row>
    <row r="55418">
      <c r="A55418" s="1" t="n">
        <v>55417</v>
      </c>
      <c r="B55418">
        <f>TEXT(55417, "[$-0E0000]yyyy-mm-dd")</f>
        <v/>
      </c>
      <c r="C55418" t="inlineStr">
        <is>
          <t>2051-08-18</t>
        </is>
      </c>
    </row>
    <row r="55419">
      <c r="A55419" s="1" t="n">
        <v>55418</v>
      </c>
      <c r="B55419">
        <f>TEXT(55418, "[$-0E0000]yyyy-mm-dd")</f>
        <v/>
      </c>
      <c r="C55419" t="inlineStr">
        <is>
          <t>2051-08-19</t>
        </is>
      </c>
    </row>
    <row r="55420">
      <c r="A55420" s="1" t="n">
        <v>55419</v>
      </c>
      <c r="B55420">
        <f>TEXT(55419, "[$-0E0000]yyyy-mm-dd")</f>
        <v/>
      </c>
      <c r="C55420" t="inlineStr">
        <is>
          <t>2051-08-20</t>
        </is>
      </c>
    </row>
    <row r="55421">
      <c r="A55421" s="1" t="n">
        <v>55420</v>
      </c>
      <c r="B55421">
        <f>TEXT(55420, "[$-0E0000]yyyy-mm-dd")</f>
        <v/>
      </c>
      <c r="C55421" t="inlineStr">
        <is>
          <t>2051-08-21</t>
        </is>
      </c>
    </row>
    <row r="55422">
      <c r="A55422" s="1" t="n">
        <v>55421</v>
      </c>
      <c r="B55422">
        <f>TEXT(55421, "[$-0E0000]yyyy-mm-dd")</f>
        <v/>
      </c>
      <c r="C55422" t="inlineStr">
        <is>
          <t>2051-08-22</t>
        </is>
      </c>
    </row>
    <row r="55423">
      <c r="A55423" s="1" t="n">
        <v>55422</v>
      </c>
      <c r="B55423">
        <f>TEXT(55422, "[$-0E0000]yyyy-mm-dd")</f>
        <v/>
      </c>
      <c r="C55423" t="inlineStr">
        <is>
          <t>2051-08-23</t>
        </is>
      </c>
    </row>
    <row r="55424">
      <c r="A55424" s="1" t="n">
        <v>55423</v>
      </c>
      <c r="B55424">
        <f>TEXT(55423, "[$-0E0000]yyyy-mm-dd")</f>
        <v/>
      </c>
      <c r="C55424" t="inlineStr">
        <is>
          <t>2051-08-24</t>
        </is>
      </c>
    </row>
    <row r="55425">
      <c r="A55425" s="1" t="n">
        <v>55424</v>
      </c>
      <c r="B55425">
        <f>TEXT(55424, "[$-0E0000]yyyy-mm-dd")</f>
        <v/>
      </c>
      <c r="C55425" t="inlineStr">
        <is>
          <t>2051-08-25</t>
        </is>
      </c>
    </row>
    <row r="55426">
      <c r="A55426" s="1" t="n">
        <v>55425</v>
      </c>
      <c r="B55426">
        <f>TEXT(55425, "[$-0E0000]yyyy-mm-dd")</f>
        <v/>
      </c>
      <c r="C55426" t="inlineStr">
        <is>
          <t>2051-08-26</t>
        </is>
      </c>
    </row>
    <row r="55427">
      <c r="A55427" s="1" t="n">
        <v>55426</v>
      </c>
      <c r="B55427">
        <f>TEXT(55426, "[$-0E0000]yyyy-mm-dd")</f>
        <v/>
      </c>
      <c r="C55427" t="inlineStr">
        <is>
          <t>2051-08-27</t>
        </is>
      </c>
    </row>
    <row r="55428">
      <c r="A55428" s="1" t="n">
        <v>55427</v>
      </c>
      <c r="B55428">
        <f>TEXT(55427, "[$-0E0000]yyyy-mm-dd")</f>
        <v/>
      </c>
      <c r="C55428" t="inlineStr">
        <is>
          <t>2051-08-28</t>
        </is>
      </c>
    </row>
    <row r="55429">
      <c r="A55429" s="1" t="n">
        <v>55428</v>
      </c>
      <c r="B55429">
        <f>TEXT(55428, "[$-0E0000]yyyy-mm-dd")</f>
        <v/>
      </c>
      <c r="C55429" t="inlineStr">
        <is>
          <t>2051-08-29</t>
        </is>
      </c>
    </row>
    <row r="55430">
      <c r="A55430" s="1" t="n">
        <v>55429</v>
      </c>
      <c r="B55430">
        <f>TEXT(55429, "[$-0E0000]yyyy-mm-dd")</f>
        <v/>
      </c>
      <c r="C55430" t="inlineStr">
        <is>
          <t>2051-08-30</t>
        </is>
      </c>
    </row>
    <row r="55431">
      <c r="A55431" s="1" t="n">
        <v>55430</v>
      </c>
      <c r="B55431">
        <f>TEXT(55430, "[$-0E0000]yyyy-mm-dd")</f>
        <v/>
      </c>
      <c r="C55431" t="inlineStr">
        <is>
          <t>2051-09-01</t>
        </is>
      </c>
    </row>
    <row r="55432">
      <c r="A55432" s="1" t="n">
        <v>55431</v>
      </c>
      <c r="B55432">
        <f>TEXT(55431, "[$-0E0000]yyyy-mm-dd")</f>
        <v/>
      </c>
      <c r="C55432" t="inlineStr">
        <is>
          <t>2051-09-02</t>
        </is>
      </c>
    </row>
    <row r="55433">
      <c r="A55433" s="1" t="n">
        <v>55432</v>
      </c>
      <c r="B55433">
        <f>TEXT(55432, "[$-0E0000]yyyy-mm-dd")</f>
        <v/>
      </c>
      <c r="C55433" t="inlineStr">
        <is>
          <t>2051-09-03</t>
        </is>
      </c>
    </row>
    <row r="55434">
      <c r="A55434" s="1" t="n">
        <v>55433</v>
      </c>
      <c r="B55434">
        <f>TEXT(55433, "[$-0E0000]yyyy-mm-dd")</f>
        <v/>
      </c>
      <c r="C55434" t="inlineStr">
        <is>
          <t>2051-09-04</t>
        </is>
      </c>
    </row>
    <row r="55435">
      <c r="A55435" s="1" t="n">
        <v>55434</v>
      </c>
      <c r="B55435">
        <f>TEXT(55434, "[$-0E0000]yyyy-mm-dd")</f>
        <v/>
      </c>
      <c r="C55435" t="inlineStr">
        <is>
          <t>2051-09-05</t>
        </is>
      </c>
    </row>
    <row r="55436">
      <c r="A55436" s="1" t="n">
        <v>55435</v>
      </c>
      <c r="B55436">
        <f>TEXT(55435, "[$-0E0000]yyyy-mm-dd")</f>
        <v/>
      </c>
      <c r="C55436" t="inlineStr">
        <is>
          <t>2051-09-06</t>
        </is>
      </c>
    </row>
    <row r="55437">
      <c r="A55437" s="1" t="n">
        <v>55436</v>
      </c>
      <c r="B55437">
        <f>TEXT(55436, "[$-0E0000]yyyy-mm-dd")</f>
        <v/>
      </c>
      <c r="C55437" t="inlineStr">
        <is>
          <t>2051-09-07</t>
        </is>
      </c>
    </row>
    <row r="55438">
      <c r="A55438" s="1" t="n">
        <v>55437</v>
      </c>
      <c r="B55438">
        <f>TEXT(55437, "[$-0E0000]yyyy-mm-dd")</f>
        <v/>
      </c>
      <c r="C55438" t="inlineStr">
        <is>
          <t>2051-09-08</t>
        </is>
      </c>
    </row>
    <row r="55439">
      <c r="A55439" s="1" t="n">
        <v>55438</v>
      </c>
      <c r="B55439">
        <f>TEXT(55438, "[$-0E0000]yyyy-mm-dd")</f>
        <v/>
      </c>
      <c r="C55439" t="inlineStr">
        <is>
          <t>2051-09-09</t>
        </is>
      </c>
    </row>
    <row r="55440">
      <c r="A55440" s="1" t="n">
        <v>55439</v>
      </c>
      <c r="B55440">
        <f>TEXT(55439, "[$-0E0000]yyyy-mm-dd")</f>
        <v/>
      </c>
      <c r="C55440" t="inlineStr">
        <is>
          <t>2051-09-10</t>
        </is>
      </c>
    </row>
    <row r="55441">
      <c r="A55441" s="1" t="n">
        <v>55440</v>
      </c>
      <c r="B55441">
        <f>TEXT(55440, "[$-0E0000]yyyy-mm-dd")</f>
        <v/>
      </c>
      <c r="C55441" t="inlineStr">
        <is>
          <t>2051-09-11</t>
        </is>
      </c>
    </row>
    <row r="55442">
      <c r="A55442" s="1" t="n">
        <v>55441</v>
      </c>
      <c r="B55442">
        <f>TEXT(55441, "[$-0E0000]yyyy-mm-dd")</f>
        <v/>
      </c>
      <c r="C55442" t="inlineStr">
        <is>
          <t>2051-09-12</t>
        </is>
      </c>
    </row>
    <row r="55443">
      <c r="A55443" s="1" t="n">
        <v>55442</v>
      </c>
      <c r="B55443">
        <f>TEXT(55442, "[$-0E0000]yyyy-mm-dd")</f>
        <v/>
      </c>
      <c r="C55443" t="inlineStr">
        <is>
          <t>2051-09-13</t>
        </is>
      </c>
    </row>
    <row r="55444">
      <c r="A55444" s="1" t="n">
        <v>55443</v>
      </c>
      <c r="B55444">
        <f>TEXT(55443, "[$-0E0000]yyyy-mm-dd")</f>
        <v/>
      </c>
      <c r="C55444" t="inlineStr">
        <is>
          <t>2051-09-14</t>
        </is>
      </c>
    </row>
    <row r="55445">
      <c r="A55445" s="1" t="n">
        <v>55444</v>
      </c>
      <c r="B55445">
        <f>TEXT(55444, "[$-0E0000]yyyy-mm-dd")</f>
        <v/>
      </c>
      <c r="C55445" t="inlineStr">
        <is>
          <t>2051-09-15</t>
        </is>
      </c>
    </row>
    <row r="55446">
      <c r="A55446" s="1" t="n">
        <v>55445</v>
      </c>
      <c r="B55446">
        <f>TEXT(55445, "[$-0E0000]yyyy-mm-dd")</f>
        <v/>
      </c>
      <c r="C55446" t="inlineStr">
        <is>
          <t>2051-09-16</t>
        </is>
      </c>
    </row>
    <row r="55447">
      <c r="A55447" s="1" t="n">
        <v>55446</v>
      </c>
      <c r="B55447">
        <f>TEXT(55446, "[$-0E0000]yyyy-mm-dd")</f>
        <v/>
      </c>
      <c r="C55447" t="inlineStr">
        <is>
          <t>2051-09-17</t>
        </is>
      </c>
    </row>
    <row r="55448">
      <c r="A55448" s="1" t="n">
        <v>55447</v>
      </c>
      <c r="B55448">
        <f>TEXT(55447, "[$-0E0000]yyyy-mm-dd")</f>
        <v/>
      </c>
      <c r="C55448" t="inlineStr">
        <is>
          <t>2051-09-18</t>
        </is>
      </c>
    </row>
    <row r="55449">
      <c r="A55449" s="1" t="n">
        <v>55448</v>
      </c>
      <c r="B55449">
        <f>TEXT(55448, "[$-0E0000]yyyy-mm-dd")</f>
        <v/>
      </c>
      <c r="C55449" t="inlineStr">
        <is>
          <t>2051-09-19</t>
        </is>
      </c>
    </row>
    <row r="55450">
      <c r="A55450" s="1" t="n">
        <v>55449</v>
      </c>
      <c r="B55450">
        <f>TEXT(55449, "[$-0E0000]yyyy-mm-dd")</f>
        <v/>
      </c>
      <c r="C55450" t="inlineStr">
        <is>
          <t>2051-09-20</t>
        </is>
      </c>
    </row>
    <row r="55451">
      <c r="A55451" s="1" t="n">
        <v>55450</v>
      </c>
      <c r="B55451">
        <f>TEXT(55450, "[$-0E0000]yyyy-mm-dd")</f>
        <v/>
      </c>
      <c r="C55451" t="inlineStr">
        <is>
          <t>2051-09-21</t>
        </is>
      </c>
    </row>
    <row r="55452">
      <c r="A55452" s="1" t="n">
        <v>55451</v>
      </c>
      <c r="B55452">
        <f>TEXT(55451, "[$-0E0000]yyyy-mm-dd")</f>
        <v/>
      </c>
      <c r="C55452" t="inlineStr">
        <is>
          <t>2051-09-22</t>
        </is>
      </c>
    </row>
    <row r="55453">
      <c r="A55453" s="1" t="n">
        <v>55452</v>
      </c>
      <c r="B55453">
        <f>TEXT(55452, "[$-0E0000]yyyy-mm-dd")</f>
        <v/>
      </c>
      <c r="C55453" t="inlineStr">
        <is>
          <t>2051-09-23</t>
        </is>
      </c>
    </row>
    <row r="55454">
      <c r="A55454" s="1" t="n">
        <v>55453</v>
      </c>
      <c r="B55454">
        <f>TEXT(55453, "[$-0E0000]yyyy-mm-dd")</f>
        <v/>
      </c>
      <c r="C55454" t="inlineStr">
        <is>
          <t>2051-09-24</t>
        </is>
      </c>
    </row>
    <row r="55455">
      <c r="A55455" s="1" t="n">
        <v>55454</v>
      </c>
      <c r="B55455">
        <f>TEXT(55454, "[$-0E0000]yyyy-mm-dd")</f>
        <v/>
      </c>
      <c r="C55455" t="inlineStr">
        <is>
          <t>2051-09-25</t>
        </is>
      </c>
    </row>
    <row r="55456">
      <c r="A55456" s="1" t="n">
        <v>55455</v>
      </c>
      <c r="B55456">
        <f>TEXT(55455, "[$-0E0000]yyyy-mm-dd")</f>
        <v/>
      </c>
      <c r="C55456" t="inlineStr">
        <is>
          <t>2051-09-26</t>
        </is>
      </c>
    </row>
    <row r="55457">
      <c r="A55457" s="1" t="n">
        <v>55456</v>
      </c>
      <c r="B55457">
        <f>TEXT(55456, "[$-0E0000]yyyy-mm-dd")</f>
        <v/>
      </c>
      <c r="C55457" t="inlineStr">
        <is>
          <t>2051-09-27</t>
        </is>
      </c>
    </row>
    <row r="55458">
      <c r="A55458" s="1" t="n">
        <v>55457</v>
      </c>
      <c r="B55458">
        <f>TEXT(55457, "[$-0E0000]yyyy-mm-dd")</f>
        <v/>
      </c>
      <c r="C55458" t="inlineStr">
        <is>
          <t>2051-09-28</t>
        </is>
      </c>
    </row>
    <row r="55459">
      <c r="A55459" s="1" t="n">
        <v>55458</v>
      </c>
      <c r="B55459">
        <f>TEXT(55458, "[$-0E0000]yyyy-mm-dd")</f>
        <v/>
      </c>
      <c r="C55459" t="inlineStr">
        <is>
          <t>2051-09-29</t>
        </is>
      </c>
    </row>
    <row r="55460">
      <c r="A55460" s="1" t="n">
        <v>55459</v>
      </c>
      <c r="B55460">
        <f>TEXT(55459, "[$-0E0000]yyyy-mm-dd")</f>
        <v/>
      </c>
      <c r="C55460" t="inlineStr">
        <is>
          <t>2051-10-01</t>
        </is>
      </c>
    </row>
    <row r="55461">
      <c r="A55461" s="1" t="n">
        <v>55460</v>
      </c>
      <c r="B55461">
        <f>TEXT(55460, "[$-0E0000]yyyy-mm-dd")</f>
        <v/>
      </c>
      <c r="C55461" t="inlineStr">
        <is>
          <t>2051-10-02</t>
        </is>
      </c>
    </row>
    <row r="55462">
      <c r="A55462" s="1" t="n">
        <v>55461</v>
      </c>
      <c r="B55462">
        <f>TEXT(55461, "[$-0E0000]yyyy-mm-dd")</f>
        <v/>
      </c>
      <c r="C55462" t="inlineStr">
        <is>
          <t>2051-10-03</t>
        </is>
      </c>
    </row>
    <row r="55463">
      <c r="A55463" s="1" t="n">
        <v>55462</v>
      </c>
      <c r="B55463">
        <f>TEXT(55462, "[$-0E0000]yyyy-mm-dd")</f>
        <v/>
      </c>
      <c r="C55463" t="inlineStr">
        <is>
          <t>2051-10-04</t>
        </is>
      </c>
    </row>
    <row r="55464">
      <c r="A55464" s="1" t="n">
        <v>55463</v>
      </c>
      <c r="B55464">
        <f>TEXT(55463, "[$-0E0000]yyyy-mm-dd")</f>
        <v/>
      </c>
      <c r="C55464" t="inlineStr">
        <is>
          <t>2051-10-05</t>
        </is>
      </c>
    </row>
    <row r="55465">
      <c r="A55465" s="1" t="n">
        <v>55464</v>
      </c>
      <c r="B55465">
        <f>TEXT(55464, "[$-0E0000]yyyy-mm-dd")</f>
        <v/>
      </c>
      <c r="C55465" t="inlineStr">
        <is>
          <t>2051-10-06</t>
        </is>
      </c>
    </row>
    <row r="55466">
      <c r="A55466" s="1" t="n">
        <v>55465</v>
      </c>
      <c r="B55466">
        <f>TEXT(55465, "[$-0E0000]yyyy-mm-dd")</f>
        <v/>
      </c>
      <c r="C55466" t="inlineStr">
        <is>
          <t>2051-10-07</t>
        </is>
      </c>
    </row>
    <row r="55467">
      <c r="A55467" s="1" t="n">
        <v>55466</v>
      </c>
      <c r="B55467">
        <f>TEXT(55466, "[$-0E0000]yyyy-mm-dd")</f>
        <v/>
      </c>
      <c r="C55467" t="inlineStr">
        <is>
          <t>2051-10-08</t>
        </is>
      </c>
    </row>
    <row r="55468">
      <c r="A55468" s="1" t="n">
        <v>55467</v>
      </c>
      <c r="B55468">
        <f>TEXT(55467, "[$-0E0000]yyyy-mm-dd")</f>
        <v/>
      </c>
      <c r="C55468" t="inlineStr">
        <is>
          <t>2051-10-09</t>
        </is>
      </c>
    </row>
    <row r="55469">
      <c r="A55469" s="1" t="n">
        <v>55468</v>
      </c>
      <c r="B55469">
        <f>TEXT(55468, "[$-0E0000]yyyy-mm-dd")</f>
        <v/>
      </c>
      <c r="C55469" t="inlineStr">
        <is>
          <t>2051-10-10</t>
        </is>
      </c>
    </row>
    <row r="55470">
      <c r="A55470" s="1" t="n">
        <v>55469</v>
      </c>
      <c r="B55470">
        <f>TEXT(55469, "[$-0E0000]yyyy-mm-dd")</f>
        <v/>
      </c>
      <c r="C55470" t="inlineStr">
        <is>
          <t>2051-10-11</t>
        </is>
      </c>
    </row>
    <row r="55471">
      <c r="A55471" s="1" t="n">
        <v>55470</v>
      </c>
      <c r="B55471">
        <f>TEXT(55470, "[$-0E0000]yyyy-mm-dd")</f>
        <v/>
      </c>
      <c r="C55471" t="inlineStr">
        <is>
          <t>2051-10-12</t>
        </is>
      </c>
    </row>
    <row r="55472">
      <c r="A55472" s="1" t="n">
        <v>55471</v>
      </c>
      <c r="B55472">
        <f>TEXT(55471, "[$-0E0000]yyyy-mm-dd")</f>
        <v/>
      </c>
      <c r="C55472" t="inlineStr">
        <is>
          <t>2051-10-13</t>
        </is>
      </c>
    </row>
    <row r="55473">
      <c r="A55473" s="1" t="n">
        <v>55472</v>
      </c>
      <c r="B55473">
        <f>TEXT(55472, "[$-0E0000]yyyy-mm-dd")</f>
        <v/>
      </c>
      <c r="C55473" t="inlineStr">
        <is>
          <t>2051-10-14</t>
        </is>
      </c>
    </row>
    <row r="55474">
      <c r="A55474" s="1" t="n">
        <v>55473</v>
      </c>
      <c r="B55474">
        <f>TEXT(55473, "[$-0E0000]yyyy-mm-dd")</f>
        <v/>
      </c>
      <c r="C55474" t="inlineStr">
        <is>
          <t>2051-10-15</t>
        </is>
      </c>
    </row>
    <row r="55475">
      <c r="A55475" s="1" t="n">
        <v>55474</v>
      </c>
      <c r="B55475">
        <f>TEXT(55474, "[$-0E0000]yyyy-mm-dd")</f>
        <v/>
      </c>
      <c r="C55475" t="inlineStr">
        <is>
          <t>2051-10-16</t>
        </is>
      </c>
    </row>
    <row r="55476">
      <c r="A55476" s="1" t="n">
        <v>55475</v>
      </c>
      <c r="B55476">
        <f>TEXT(55475, "[$-0E0000]yyyy-mm-dd")</f>
        <v/>
      </c>
      <c r="C55476" t="inlineStr">
        <is>
          <t>2051-10-17</t>
        </is>
      </c>
    </row>
    <row r="55477">
      <c r="A55477" s="1" t="n">
        <v>55476</v>
      </c>
      <c r="B55477">
        <f>TEXT(55476, "[$-0E0000]yyyy-mm-dd")</f>
        <v/>
      </c>
      <c r="C55477" t="inlineStr">
        <is>
          <t>2051-10-18</t>
        </is>
      </c>
    </row>
    <row r="55478">
      <c r="A55478" s="1" t="n">
        <v>55477</v>
      </c>
      <c r="B55478">
        <f>TEXT(55477, "[$-0E0000]yyyy-mm-dd")</f>
        <v/>
      </c>
      <c r="C55478" t="inlineStr">
        <is>
          <t>2051-10-19</t>
        </is>
      </c>
    </row>
    <row r="55479">
      <c r="A55479" s="1" t="n">
        <v>55478</v>
      </c>
      <c r="B55479">
        <f>TEXT(55478, "[$-0E0000]yyyy-mm-dd")</f>
        <v/>
      </c>
      <c r="C55479" t="inlineStr">
        <is>
          <t>2051-10-20</t>
        </is>
      </c>
    </row>
    <row r="55480">
      <c r="A55480" s="1" t="n">
        <v>55479</v>
      </c>
      <c r="B55480">
        <f>TEXT(55479, "[$-0E0000]yyyy-mm-dd")</f>
        <v/>
      </c>
      <c r="C55480" t="inlineStr">
        <is>
          <t>2051-10-21</t>
        </is>
      </c>
    </row>
    <row r="55481">
      <c r="A55481" s="1" t="n">
        <v>55480</v>
      </c>
      <c r="B55481">
        <f>TEXT(55480, "[$-0E0000]yyyy-mm-dd")</f>
        <v/>
      </c>
      <c r="C55481" t="inlineStr">
        <is>
          <t>2051-10-22</t>
        </is>
      </c>
    </row>
    <row r="55482">
      <c r="A55482" s="1" t="n">
        <v>55481</v>
      </c>
      <c r="B55482">
        <f>TEXT(55481, "[$-0E0000]yyyy-mm-dd")</f>
        <v/>
      </c>
      <c r="C55482" t="inlineStr">
        <is>
          <t>2051-10-23</t>
        </is>
      </c>
    </row>
    <row r="55483">
      <c r="A55483" s="1" t="n">
        <v>55482</v>
      </c>
      <c r="B55483">
        <f>TEXT(55482, "[$-0E0000]yyyy-mm-dd")</f>
        <v/>
      </c>
      <c r="C55483" t="inlineStr">
        <is>
          <t>2051-10-24</t>
        </is>
      </c>
    </row>
    <row r="55484">
      <c r="A55484" s="1" t="n">
        <v>55483</v>
      </c>
      <c r="B55484">
        <f>TEXT(55483, "[$-0E0000]yyyy-mm-dd")</f>
        <v/>
      </c>
      <c r="C55484" t="inlineStr">
        <is>
          <t>2051-10-25</t>
        </is>
      </c>
    </row>
    <row r="55485">
      <c r="A55485" s="1" t="n">
        <v>55484</v>
      </c>
      <c r="B55485">
        <f>TEXT(55484, "[$-0E0000]yyyy-mm-dd")</f>
        <v/>
      </c>
      <c r="C55485" t="inlineStr">
        <is>
          <t>2051-10-26</t>
        </is>
      </c>
    </row>
    <row r="55486">
      <c r="A55486" s="1" t="n">
        <v>55485</v>
      </c>
      <c r="B55486">
        <f>TEXT(55485, "[$-0E0000]yyyy-mm-dd")</f>
        <v/>
      </c>
      <c r="C55486" t="inlineStr">
        <is>
          <t>2051-10-27</t>
        </is>
      </c>
    </row>
    <row r="55487">
      <c r="A55487" s="1" t="n">
        <v>55486</v>
      </c>
      <c r="B55487">
        <f>TEXT(55486, "[$-0E0000]yyyy-mm-dd")</f>
        <v/>
      </c>
      <c r="C55487" t="inlineStr">
        <is>
          <t>2051-10-28</t>
        </is>
      </c>
    </row>
    <row r="55488">
      <c r="A55488" s="1" t="n">
        <v>55487</v>
      </c>
      <c r="B55488">
        <f>TEXT(55487, "[$-0E0000]yyyy-mm-dd")</f>
        <v/>
      </c>
      <c r="C55488" t="inlineStr">
        <is>
          <t>2051-10-29</t>
        </is>
      </c>
    </row>
    <row r="55489">
      <c r="A55489" s="1" t="n">
        <v>55488</v>
      </c>
      <c r="B55489">
        <f>TEXT(55488, "[$-0E0000]yyyy-mm-dd")</f>
        <v/>
      </c>
      <c r="C55489" t="inlineStr">
        <is>
          <t>2051-10-30</t>
        </is>
      </c>
    </row>
    <row r="55490">
      <c r="A55490" s="1" t="n">
        <v>55489</v>
      </c>
      <c r="B55490">
        <f>TEXT(55489, "[$-0E0000]yyyy-mm-dd")</f>
        <v/>
      </c>
      <c r="C55490" t="inlineStr">
        <is>
          <t>2051-11-01</t>
        </is>
      </c>
    </row>
    <row r="55491">
      <c r="A55491" s="1" t="n">
        <v>55490</v>
      </c>
      <c r="B55491">
        <f>TEXT(55490, "[$-0E0000]yyyy-mm-dd")</f>
        <v/>
      </c>
      <c r="C55491" t="inlineStr">
        <is>
          <t>2051-11-02</t>
        </is>
      </c>
    </row>
    <row r="55492">
      <c r="A55492" s="1" t="n">
        <v>55491</v>
      </c>
      <c r="B55492">
        <f>TEXT(55491, "[$-0E0000]yyyy-mm-dd")</f>
        <v/>
      </c>
      <c r="C55492" t="inlineStr">
        <is>
          <t>2051-11-03</t>
        </is>
      </c>
    </row>
    <row r="55493">
      <c r="A55493" s="1" t="n">
        <v>55492</v>
      </c>
      <c r="B55493">
        <f>TEXT(55492, "[$-0E0000]yyyy-mm-dd")</f>
        <v/>
      </c>
      <c r="C55493" t="inlineStr">
        <is>
          <t>2051-11-04</t>
        </is>
      </c>
    </row>
    <row r="55494">
      <c r="A55494" s="1" t="n">
        <v>55493</v>
      </c>
      <c r="B55494">
        <f>TEXT(55493, "[$-0E0000]yyyy-mm-dd")</f>
        <v/>
      </c>
      <c r="C55494" t="inlineStr">
        <is>
          <t>2051-11-05</t>
        </is>
      </c>
    </row>
    <row r="55495">
      <c r="A55495" s="1" t="n">
        <v>55494</v>
      </c>
      <c r="B55495">
        <f>TEXT(55494, "[$-0E0000]yyyy-mm-dd")</f>
        <v/>
      </c>
      <c r="C55495" t="inlineStr">
        <is>
          <t>2051-11-06</t>
        </is>
      </c>
    </row>
    <row r="55496">
      <c r="A55496" s="1" t="n">
        <v>55495</v>
      </c>
      <c r="B55496">
        <f>TEXT(55495, "[$-0E0000]yyyy-mm-dd")</f>
        <v/>
      </c>
      <c r="C55496" t="inlineStr">
        <is>
          <t>2051-11-07</t>
        </is>
      </c>
    </row>
    <row r="55497">
      <c r="A55497" s="1" t="n">
        <v>55496</v>
      </c>
      <c r="B55497">
        <f>TEXT(55496, "[$-0E0000]yyyy-mm-dd")</f>
        <v/>
      </c>
      <c r="C55497" t="inlineStr">
        <is>
          <t>2051-11-08</t>
        </is>
      </c>
    </row>
    <row r="55498">
      <c r="A55498" s="1" t="n">
        <v>55497</v>
      </c>
      <c r="B55498">
        <f>TEXT(55497, "[$-0E0000]yyyy-mm-dd")</f>
        <v/>
      </c>
      <c r="C55498" t="inlineStr">
        <is>
          <t>2051-11-09</t>
        </is>
      </c>
    </row>
    <row r="55499">
      <c r="A55499" s="1" t="n">
        <v>55498</v>
      </c>
      <c r="B55499">
        <f>TEXT(55498, "[$-0E0000]yyyy-mm-dd")</f>
        <v/>
      </c>
      <c r="C55499" t="inlineStr">
        <is>
          <t>2051-11-10</t>
        </is>
      </c>
    </row>
    <row r="55500">
      <c r="A55500" s="1" t="n">
        <v>55499</v>
      </c>
      <c r="B55500">
        <f>TEXT(55499, "[$-0E0000]yyyy-mm-dd")</f>
        <v/>
      </c>
      <c r="C55500" t="inlineStr">
        <is>
          <t>2051-11-11</t>
        </is>
      </c>
    </row>
    <row r="55501">
      <c r="A55501" s="1" t="n">
        <v>55500</v>
      </c>
      <c r="B55501">
        <f>TEXT(55500, "[$-0E0000]yyyy-mm-dd")</f>
        <v/>
      </c>
      <c r="C55501" t="inlineStr">
        <is>
          <t>2051-11-12</t>
        </is>
      </c>
    </row>
    <row r="55502">
      <c r="A55502" s="1" t="n">
        <v>55501</v>
      </c>
      <c r="B55502">
        <f>TEXT(55501, "[$-0E0000]yyyy-mm-dd")</f>
        <v/>
      </c>
      <c r="C55502" t="inlineStr">
        <is>
          <t>2051-11-13</t>
        </is>
      </c>
    </row>
    <row r="55503">
      <c r="A55503" s="1" t="n">
        <v>55502</v>
      </c>
      <c r="B55503">
        <f>TEXT(55502, "[$-0E0000]yyyy-mm-dd")</f>
        <v/>
      </c>
      <c r="C55503" t="inlineStr">
        <is>
          <t>2051-11-14</t>
        </is>
      </c>
    </row>
    <row r="55504">
      <c r="A55504" s="1" t="n">
        <v>55503</v>
      </c>
      <c r="B55504">
        <f>TEXT(55503, "[$-0E0000]yyyy-mm-dd")</f>
        <v/>
      </c>
      <c r="C55504" t="inlineStr">
        <is>
          <t>2051-11-15</t>
        </is>
      </c>
    </row>
    <row r="55505">
      <c r="A55505" s="1" t="n">
        <v>55504</v>
      </c>
      <c r="B55505">
        <f>TEXT(55504, "[$-0E0000]yyyy-mm-dd")</f>
        <v/>
      </c>
      <c r="C55505" t="inlineStr">
        <is>
          <t>2051-11-16</t>
        </is>
      </c>
    </row>
    <row r="55506">
      <c r="A55506" s="1" t="n">
        <v>55505</v>
      </c>
      <c r="B55506">
        <f>TEXT(55505, "[$-0E0000]yyyy-mm-dd")</f>
        <v/>
      </c>
      <c r="C55506" t="inlineStr">
        <is>
          <t>2051-11-17</t>
        </is>
      </c>
    </row>
    <row r="55507">
      <c r="A55507" s="1" t="n">
        <v>55506</v>
      </c>
      <c r="B55507">
        <f>TEXT(55506, "[$-0E0000]yyyy-mm-dd")</f>
        <v/>
      </c>
      <c r="C55507" t="inlineStr">
        <is>
          <t>2051-11-18</t>
        </is>
      </c>
    </row>
    <row r="55508">
      <c r="A55508" s="1" t="n">
        <v>55507</v>
      </c>
      <c r="B55508">
        <f>TEXT(55507, "[$-0E0000]yyyy-mm-dd")</f>
        <v/>
      </c>
      <c r="C55508" t="inlineStr">
        <is>
          <t>2051-11-19</t>
        </is>
      </c>
    </row>
    <row r="55509">
      <c r="A55509" s="1" t="n">
        <v>55508</v>
      </c>
      <c r="B55509">
        <f>TEXT(55508, "[$-0E0000]yyyy-mm-dd")</f>
        <v/>
      </c>
      <c r="C55509" t="inlineStr">
        <is>
          <t>2051-11-20</t>
        </is>
      </c>
    </row>
    <row r="55510">
      <c r="A55510" s="1" t="n">
        <v>55509</v>
      </c>
      <c r="B55510">
        <f>TEXT(55509, "[$-0E0000]yyyy-mm-dd")</f>
        <v/>
      </c>
      <c r="C55510" t="inlineStr">
        <is>
          <t>2051-11-21</t>
        </is>
      </c>
    </row>
    <row r="55511">
      <c r="A55511" s="1" t="n">
        <v>55510</v>
      </c>
      <c r="B55511">
        <f>TEXT(55510, "[$-0E0000]yyyy-mm-dd")</f>
        <v/>
      </c>
      <c r="C55511" t="inlineStr">
        <is>
          <t>2051-11-22</t>
        </is>
      </c>
    </row>
    <row r="55512">
      <c r="A55512" s="1" t="n">
        <v>55511</v>
      </c>
      <c r="B55512">
        <f>TEXT(55511, "[$-0E0000]yyyy-mm-dd")</f>
        <v/>
      </c>
      <c r="C55512" t="inlineStr">
        <is>
          <t>2051-11-23</t>
        </is>
      </c>
    </row>
    <row r="55513">
      <c r="A55513" s="1" t="n">
        <v>55512</v>
      </c>
      <c r="B55513">
        <f>TEXT(55512, "[$-0E0000]yyyy-mm-dd")</f>
        <v/>
      </c>
      <c r="C55513" t="inlineStr">
        <is>
          <t>2051-11-24</t>
        </is>
      </c>
    </row>
    <row r="55514">
      <c r="A55514" s="1" t="n">
        <v>55513</v>
      </c>
      <c r="B55514">
        <f>TEXT(55513, "[$-0E0000]yyyy-mm-dd")</f>
        <v/>
      </c>
      <c r="C55514" t="inlineStr">
        <is>
          <t>2051-11-25</t>
        </is>
      </c>
    </row>
    <row r="55515">
      <c r="A55515" s="1" t="n">
        <v>55514</v>
      </c>
      <c r="B55515">
        <f>TEXT(55514, "[$-0E0000]yyyy-mm-dd")</f>
        <v/>
      </c>
      <c r="C55515" t="inlineStr">
        <is>
          <t>2051-11-26</t>
        </is>
      </c>
    </row>
    <row r="55516">
      <c r="A55516" s="1" t="n">
        <v>55515</v>
      </c>
      <c r="B55516">
        <f>TEXT(55515, "[$-0E0000]yyyy-mm-dd")</f>
        <v/>
      </c>
      <c r="C55516" t="inlineStr">
        <is>
          <t>2051-11-27</t>
        </is>
      </c>
    </row>
    <row r="55517">
      <c r="A55517" s="1" t="n">
        <v>55516</v>
      </c>
      <c r="B55517">
        <f>TEXT(55516, "[$-0E0000]yyyy-mm-dd")</f>
        <v/>
      </c>
      <c r="C55517" t="inlineStr">
        <is>
          <t>2051-11-28</t>
        </is>
      </c>
    </row>
    <row r="55518">
      <c r="A55518" s="1" t="n">
        <v>55517</v>
      </c>
      <c r="B55518">
        <f>TEXT(55517, "[$-0E0000]yyyy-mm-dd")</f>
        <v/>
      </c>
      <c r="C55518" t="inlineStr">
        <is>
          <t>2051-11-29</t>
        </is>
      </c>
    </row>
    <row r="55519">
      <c r="A55519" s="1" t="n">
        <v>55518</v>
      </c>
      <c r="B55519">
        <f>TEXT(55518, "[$-0E0000]yyyy-mm-dd")</f>
        <v/>
      </c>
      <c r="C55519" t="inlineStr">
        <is>
          <t>2051-11-30</t>
        </is>
      </c>
    </row>
    <row r="55520">
      <c r="A55520" s="1" t="n">
        <v>55519</v>
      </c>
      <c r="B55520">
        <f>TEXT(55519, "[$-0E0000]yyyy-mm-dd")</f>
        <v/>
      </c>
      <c r="C55520" t="inlineStr">
        <is>
          <t>2051-12-01</t>
        </is>
      </c>
    </row>
    <row r="55521">
      <c r="A55521" s="1" t="n">
        <v>55520</v>
      </c>
      <c r="B55521">
        <f>TEXT(55520, "[$-0E0000]yyyy-mm-dd")</f>
        <v/>
      </c>
      <c r="C55521" t="inlineStr">
        <is>
          <t>2051-12-02</t>
        </is>
      </c>
    </row>
    <row r="55522">
      <c r="A55522" s="1" t="n">
        <v>55521</v>
      </c>
      <c r="B55522">
        <f>TEXT(55521, "[$-0E0000]yyyy-mm-dd")</f>
        <v/>
      </c>
      <c r="C55522" t="inlineStr">
        <is>
          <t>2051-12-03</t>
        </is>
      </c>
    </row>
    <row r="55523">
      <c r="A55523" s="1" t="n">
        <v>55522</v>
      </c>
      <c r="B55523">
        <f>TEXT(55522, "[$-0E0000]yyyy-mm-dd")</f>
        <v/>
      </c>
      <c r="C55523" t="inlineStr">
        <is>
          <t>2051-12-04</t>
        </is>
      </c>
    </row>
    <row r="55524">
      <c r="A55524" s="1" t="n">
        <v>55523</v>
      </c>
      <c r="B55524">
        <f>TEXT(55523, "[$-0E0000]yyyy-mm-dd")</f>
        <v/>
      </c>
      <c r="C55524" t="inlineStr">
        <is>
          <t>2051-12-05</t>
        </is>
      </c>
    </row>
    <row r="55525">
      <c r="A55525" s="1" t="n">
        <v>55524</v>
      </c>
      <c r="B55525">
        <f>TEXT(55524, "[$-0E0000]yyyy-mm-dd")</f>
        <v/>
      </c>
      <c r="C55525" t="inlineStr">
        <is>
          <t>2051-12-06</t>
        </is>
      </c>
    </row>
    <row r="55526">
      <c r="A55526" s="1" t="n">
        <v>55525</v>
      </c>
      <c r="B55526">
        <f>TEXT(55525, "[$-0E0000]yyyy-mm-dd")</f>
        <v/>
      </c>
      <c r="C55526" t="inlineStr">
        <is>
          <t>2051-12-07</t>
        </is>
      </c>
    </row>
    <row r="55527">
      <c r="A55527" s="1" t="n">
        <v>55526</v>
      </c>
      <c r="B55527">
        <f>TEXT(55526, "[$-0E0000]yyyy-mm-dd")</f>
        <v/>
      </c>
      <c r="C55527" t="inlineStr">
        <is>
          <t>2051-12-08</t>
        </is>
      </c>
    </row>
    <row r="55528">
      <c r="A55528" s="1" t="n">
        <v>55527</v>
      </c>
      <c r="B55528">
        <f>TEXT(55527, "[$-0E0000]yyyy-mm-dd")</f>
        <v/>
      </c>
      <c r="C55528" t="inlineStr">
        <is>
          <t>2051-12-09</t>
        </is>
      </c>
    </row>
    <row r="55529">
      <c r="A55529" s="1" t="n">
        <v>55528</v>
      </c>
      <c r="B55529">
        <f>TEXT(55528, "[$-0E0000]yyyy-mm-dd")</f>
        <v/>
      </c>
      <c r="C55529" t="inlineStr">
        <is>
          <t>2051-12-10</t>
        </is>
      </c>
    </row>
    <row r="55530">
      <c r="A55530" s="1" t="n">
        <v>55529</v>
      </c>
      <c r="B55530">
        <f>TEXT(55529, "[$-0E0000]yyyy-mm-dd")</f>
        <v/>
      </c>
      <c r="C55530" t="inlineStr">
        <is>
          <t>2051-12-11</t>
        </is>
      </c>
    </row>
    <row r="55531">
      <c r="A55531" s="1" t="n">
        <v>55530</v>
      </c>
      <c r="B55531">
        <f>TEXT(55530, "[$-0E0000]yyyy-mm-dd")</f>
        <v/>
      </c>
      <c r="C55531" t="inlineStr">
        <is>
          <t>2051-12-12</t>
        </is>
      </c>
    </row>
    <row r="55532">
      <c r="A55532" s="1" t="n">
        <v>55531</v>
      </c>
      <c r="B55532">
        <f>TEXT(55531, "[$-0E0000]yyyy-mm-dd")</f>
        <v/>
      </c>
      <c r="C55532" t="inlineStr">
        <is>
          <t>2051-12-13</t>
        </is>
      </c>
    </row>
    <row r="55533">
      <c r="A55533" s="1" t="n">
        <v>55532</v>
      </c>
      <c r="B55533">
        <f>TEXT(55532, "[$-0E0000]yyyy-mm-dd")</f>
        <v/>
      </c>
      <c r="C55533" t="inlineStr">
        <is>
          <t>2051-12-14</t>
        </is>
      </c>
    </row>
    <row r="55534">
      <c r="A55534" s="1" t="n">
        <v>55533</v>
      </c>
      <c r="B55534">
        <f>TEXT(55533, "[$-0E0000]yyyy-mm-dd")</f>
        <v/>
      </c>
      <c r="C55534" t="inlineStr">
        <is>
          <t>2051-12-15</t>
        </is>
      </c>
    </row>
    <row r="55535">
      <c r="A55535" s="1" t="n">
        <v>55534</v>
      </c>
      <c r="B55535">
        <f>TEXT(55534, "[$-0E0000]yyyy-mm-dd")</f>
        <v/>
      </c>
      <c r="C55535" t="inlineStr">
        <is>
          <t>2051-12-16</t>
        </is>
      </c>
    </row>
    <row r="55536">
      <c r="A55536" s="1" t="n">
        <v>55535</v>
      </c>
      <c r="B55536">
        <f>TEXT(55535, "[$-0E0000]yyyy-mm-dd")</f>
        <v/>
      </c>
      <c r="C55536" t="inlineStr">
        <is>
          <t>2051-12-17</t>
        </is>
      </c>
    </row>
    <row r="55537">
      <c r="A55537" s="1" t="n">
        <v>55536</v>
      </c>
      <c r="B55537">
        <f>TEXT(55536, "[$-0E0000]yyyy-mm-dd")</f>
        <v/>
      </c>
      <c r="C55537" t="inlineStr">
        <is>
          <t>2051-12-18</t>
        </is>
      </c>
    </row>
    <row r="55538">
      <c r="A55538" s="1" t="n">
        <v>55537</v>
      </c>
      <c r="B55538">
        <f>TEXT(55537, "[$-0E0000]yyyy-mm-dd")</f>
        <v/>
      </c>
      <c r="C55538" t="inlineStr">
        <is>
          <t>2051-12-19</t>
        </is>
      </c>
    </row>
    <row r="55539">
      <c r="A55539" s="1" t="n">
        <v>55538</v>
      </c>
      <c r="B55539">
        <f>TEXT(55538, "[$-0E0000]yyyy-mm-dd")</f>
        <v/>
      </c>
      <c r="C55539" t="inlineStr">
        <is>
          <t>2051-12-20</t>
        </is>
      </c>
    </row>
    <row r="55540">
      <c r="A55540" s="1" t="n">
        <v>55539</v>
      </c>
      <c r="B55540">
        <f>TEXT(55539, "[$-0E0000]yyyy-mm-dd")</f>
        <v/>
      </c>
      <c r="C55540" t="inlineStr">
        <is>
          <t>2051-12-21</t>
        </is>
      </c>
    </row>
    <row r="55541">
      <c r="A55541" s="1" t="n">
        <v>55540</v>
      </c>
      <c r="B55541">
        <f>TEXT(55540, "[$-0E0000]yyyy-mm-dd")</f>
        <v/>
      </c>
      <c r="C55541" t="inlineStr">
        <is>
          <t>2051-12-22</t>
        </is>
      </c>
    </row>
    <row r="55542">
      <c r="A55542" s="1" t="n">
        <v>55541</v>
      </c>
      <c r="B55542">
        <f>TEXT(55541, "[$-0E0000]yyyy-mm-dd")</f>
        <v/>
      </c>
      <c r="C55542" t="inlineStr">
        <is>
          <t>2051-12-23</t>
        </is>
      </c>
    </row>
    <row r="55543">
      <c r="A55543" s="1" t="n">
        <v>55542</v>
      </c>
      <c r="B55543">
        <f>TEXT(55542, "[$-0E0000]yyyy-mm-dd")</f>
        <v/>
      </c>
      <c r="C55543" t="inlineStr">
        <is>
          <t>2051-12-24</t>
        </is>
      </c>
    </row>
    <row r="55544">
      <c r="A55544" s="1" t="n">
        <v>55543</v>
      </c>
      <c r="B55544">
        <f>TEXT(55543, "[$-0E0000]yyyy-mm-dd")</f>
        <v/>
      </c>
      <c r="C55544" t="inlineStr">
        <is>
          <t>2051-12-25</t>
        </is>
      </c>
    </row>
    <row r="55545">
      <c r="A55545" s="1" t="n">
        <v>55544</v>
      </c>
      <c r="B55545">
        <f>TEXT(55544, "[$-0E0000]yyyy-mm-dd")</f>
        <v/>
      </c>
      <c r="C55545" t="inlineStr">
        <is>
          <t>2051-12-26</t>
        </is>
      </c>
    </row>
    <row r="55546">
      <c r="A55546" s="1" t="n">
        <v>55545</v>
      </c>
      <c r="B55546">
        <f>TEXT(55545, "[$-0E0000]yyyy-mm-dd")</f>
        <v/>
      </c>
      <c r="C55546" t="inlineStr">
        <is>
          <t>2051-12-27</t>
        </is>
      </c>
    </row>
    <row r="55547">
      <c r="A55547" s="1" t="n">
        <v>55546</v>
      </c>
      <c r="B55547">
        <f>TEXT(55546, "[$-0E0000]yyyy-mm-dd")</f>
        <v/>
      </c>
      <c r="C55547" t="inlineStr">
        <is>
          <t>2051-12-28</t>
        </is>
      </c>
    </row>
    <row r="55548">
      <c r="A55548" s="1" t="n">
        <v>55547</v>
      </c>
      <c r="B55548">
        <f>TEXT(55547, "[$-0E0000]yyyy-mm-dd")</f>
        <v/>
      </c>
      <c r="C55548" t="inlineStr">
        <is>
          <t>2051-12-29</t>
        </is>
      </c>
    </row>
    <row r="55549">
      <c r="A55549" s="1" t="n">
        <v>55548</v>
      </c>
      <c r="B55549">
        <f>TEXT(55548, "[$-0E0000]yyyy-mm-dd")</f>
        <v/>
      </c>
      <c r="C55549" t="inlineStr">
        <is>
          <t>2051-12-30</t>
        </is>
      </c>
    </row>
    <row r="55550">
      <c r="A55550" s="1" t="n">
        <v>55549</v>
      </c>
      <c r="B55550">
        <f>TEXT(55549, "[$-0E0000]yyyy-mm-dd")</f>
        <v/>
      </c>
      <c r="C55550" t="inlineStr">
        <is>
          <t>2052-01-01</t>
        </is>
      </c>
    </row>
    <row r="55551">
      <c r="A55551" s="1" t="n">
        <v>55550</v>
      </c>
      <c r="B55551">
        <f>TEXT(55550, "[$-0E0000]yyyy-mm-dd")</f>
        <v/>
      </c>
      <c r="C55551" t="inlineStr">
        <is>
          <t>2052-01-02</t>
        </is>
      </c>
    </row>
    <row r="55552">
      <c r="A55552" s="1" t="n">
        <v>55551</v>
      </c>
      <c r="B55552">
        <f>TEXT(55551, "[$-0E0000]yyyy-mm-dd")</f>
        <v/>
      </c>
      <c r="C55552" t="inlineStr">
        <is>
          <t>2052-01-03</t>
        </is>
      </c>
    </row>
    <row r="55553">
      <c r="A55553" s="1" t="n">
        <v>55552</v>
      </c>
      <c r="B55553">
        <f>TEXT(55552, "[$-0E0000]yyyy-mm-dd")</f>
        <v/>
      </c>
      <c r="C55553" t="inlineStr">
        <is>
          <t>2052-01-04</t>
        </is>
      </c>
    </row>
    <row r="55554">
      <c r="A55554" s="1" t="n">
        <v>55553</v>
      </c>
      <c r="B55554">
        <f>TEXT(55553, "[$-0E0000]yyyy-mm-dd")</f>
        <v/>
      </c>
      <c r="C55554" t="inlineStr">
        <is>
          <t>2052-01-05</t>
        </is>
      </c>
    </row>
    <row r="55555">
      <c r="A55555" s="1" t="n">
        <v>55554</v>
      </c>
      <c r="B55555">
        <f>TEXT(55554, "[$-0E0000]yyyy-mm-dd")</f>
        <v/>
      </c>
      <c r="C55555" t="inlineStr">
        <is>
          <t>2052-01-06</t>
        </is>
      </c>
    </row>
    <row r="55556">
      <c r="A55556" s="1" t="n">
        <v>55555</v>
      </c>
      <c r="B55556">
        <f>TEXT(55555, "[$-0E0000]yyyy-mm-dd")</f>
        <v/>
      </c>
      <c r="C55556" t="inlineStr">
        <is>
          <t>2052-01-07</t>
        </is>
      </c>
    </row>
    <row r="55557">
      <c r="A55557" s="1" t="n">
        <v>55556</v>
      </c>
      <c r="B55557">
        <f>TEXT(55556, "[$-0E0000]yyyy-mm-dd")</f>
        <v/>
      </c>
      <c r="C55557" t="inlineStr">
        <is>
          <t>2052-01-08</t>
        </is>
      </c>
    </row>
    <row r="55558">
      <c r="A55558" s="1" t="n">
        <v>55557</v>
      </c>
      <c r="B55558">
        <f>TEXT(55557, "[$-0E0000]yyyy-mm-dd")</f>
        <v/>
      </c>
      <c r="C55558" t="inlineStr">
        <is>
          <t>2052-01-09</t>
        </is>
      </c>
    </row>
    <row r="55559">
      <c r="A55559" s="1" t="n">
        <v>55558</v>
      </c>
      <c r="B55559">
        <f>TEXT(55558, "[$-0E0000]yyyy-mm-dd")</f>
        <v/>
      </c>
      <c r="C55559" t="inlineStr">
        <is>
          <t>2052-01-10</t>
        </is>
      </c>
    </row>
    <row r="55560">
      <c r="A55560" s="1" t="n">
        <v>55559</v>
      </c>
      <c r="B55560">
        <f>TEXT(55559, "[$-0E0000]yyyy-mm-dd")</f>
        <v/>
      </c>
      <c r="C55560" t="inlineStr">
        <is>
          <t>2052-01-11</t>
        </is>
      </c>
    </row>
    <row r="55561">
      <c r="A55561" s="1" t="n">
        <v>55560</v>
      </c>
      <c r="B55561">
        <f>TEXT(55560, "[$-0E0000]yyyy-mm-dd")</f>
        <v/>
      </c>
      <c r="C55561" t="inlineStr">
        <is>
          <t>2052-01-12</t>
        </is>
      </c>
    </row>
    <row r="55562">
      <c r="A55562" s="1" t="n">
        <v>55561</v>
      </c>
      <c r="B55562">
        <f>TEXT(55561, "[$-0E0000]yyyy-mm-dd")</f>
        <v/>
      </c>
      <c r="C55562" t="inlineStr">
        <is>
          <t>2052-01-13</t>
        </is>
      </c>
    </row>
    <row r="55563">
      <c r="A55563" s="1" t="n">
        <v>55562</v>
      </c>
      <c r="B55563">
        <f>TEXT(55562, "[$-0E0000]yyyy-mm-dd")</f>
        <v/>
      </c>
      <c r="C55563" t="inlineStr">
        <is>
          <t>2052-01-14</t>
        </is>
      </c>
    </row>
    <row r="55564">
      <c r="A55564" s="1" t="n">
        <v>55563</v>
      </c>
      <c r="B55564">
        <f>TEXT(55563, "[$-0E0000]yyyy-mm-dd")</f>
        <v/>
      </c>
      <c r="C55564" t="inlineStr">
        <is>
          <t>2052-01-15</t>
        </is>
      </c>
    </row>
    <row r="55565">
      <c r="A55565" s="1" t="n">
        <v>55564</v>
      </c>
      <c r="B55565">
        <f>TEXT(55564, "[$-0E0000]yyyy-mm-dd")</f>
        <v/>
      </c>
      <c r="C55565" t="inlineStr">
        <is>
          <t>2052-01-16</t>
        </is>
      </c>
    </row>
    <row r="55566">
      <c r="A55566" s="1" t="n">
        <v>55565</v>
      </c>
      <c r="B55566">
        <f>TEXT(55565, "[$-0E0000]yyyy-mm-dd")</f>
        <v/>
      </c>
      <c r="C55566" t="inlineStr">
        <is>
          <t>2052-01-17</t>
        </is>
      </c>
    </row>
    <row r="55567">
      <c r="A55567" s="1" t="n">
        <v>55566</v>
      </c>
      <c r="B55567">
        <f>TEXT(55566, "[$-0E0000]yyyy-mm-dd")</f>
        <v/>
      </c>
      <c r="C55567" t="inlineStr">
        <is>
          <t>2052-01-18</t>
        </is>
      </c>
    </row>
    <row r="55568">
      <c r="A55568" s="1" t="n">
        <v>55567</v>
      </c>
      <c r="B55568">
        <f>TEXT(55567, "[$-0E0000]yyyy-mm-dd")</f>
        <v/>
      </c>
      <c r="C55568" t="inlineStr">
        <is>
          <t>2052-01-19</t>
        </is>
      </c>
    </row>
    <row r="55569">
      <c r="A55569" s="1" t="n">
        <v>55568</v>
      </c>
      <c r="B55569">
        <f>TEXT(55568, "[$-0E0000]yyyy-mm-dd")</f>
        <v/>
      </c>
      <c r="C55569" t="inlineStr">
        <is>
          <t>2052-01-20</t>
        </is>
      </c>
    </row>
    <row r="55570">
      <c r="A55570" s="1" t="n">
        <v>55569</v>
      </c>
      <c r="B55570">
        <f>TEXT(55569, "[$-0E0000]yyyy-mm-dd")</f>
        <v/>
      </c>
      <c r="C55570" t="inlineStr">
        <is>
          <t>2052-01-21</t>
        </is>
      </c>
    </row>
    <row r="55571">
      <c r="A55571" s="1" t="n">
        <v>55570</v>
      </c>
      <c r="B55571">
        <f>TEXT(55570, "[$-0E0000]yyyy-mm-dd")</f>
        <v/>
      </c>
      <c r="C55571" t="inlineStr">
        <is>
          <t>2052-01-22</t>
        </is>
      </c>
    </row>
    <row r="55572">
      <c r="A55572" s="1" t="n">
        <v>55571</v>
      </c>
      <c r="B55572">
        <f>TEXT(55571, "[$-0E0000]yyyy-mm-dd")</f>
        <v/>
      </c>
      <c r="C55572" t="inlineStr">
        <is>
          <t>2052-01-23</t>
        </is>
      </c>
    </row>
    <row r="55573">
      <c r="A55573" s="1" t="n">
        <v>55572</v>
      </c>
      <c r="B55573">
        <f>TEXT(55572, "[$-0E0000]yyyy-mm-dd")</f>
        <v/>
      </c>
      <c r="C55573" t="inlineStr">
        <is>
          <t>2052-01-24</t>
        </is>
      </c>
    </row>
    <row r="55574">
      <c r="A55574" s="1" t="n">
        <v>55573</v>
      </c>
      <c r="B55574">
        <f>TEXT(55573, "[$-0E0000]yyyy-mm-dd")</f>
        <v/>
      </c>
      <c r="C55574" t="inlineStr">
        <is>
          <t>2052-01-25</t>
        </is>
      </c>
    </row>
    <row r="55575">
      <c r="A55575" s="1" t="n">
        <v>55574</v>
      </c>
      <c r="B55575">
        <f>TEXT(55574, "[$-0E0000]yyyy-mm-dd")</f>
        <v/>
      </c>
      <c r="C55575" t="inlineStr">
        <is>
          <t>2052-01-26</t>
        </is>
      </c>
    </row>
    <row r="55576">
      <c r="A55576" s="1" t="n">
        <v>55575</v>
      </c>
      <c r="B55576">
        <f>TEXT(55575, "[$-0E0000]yyyy-mm-dd")</f>
        <v/>
      </c>
      <c r="C55576" t="inlineStr">
        <is>
          <t>2052-01-27</t>
        </is>
      </c>
    </row>
    <row r="55577">
      <c r="A55577" s="1" t="n">
        <v>55576</v>
      </c>
      <c r="B55577">
        <f>TEXT(55576, "[$-0E0000]yyyy-mm-dd")</f>
        <v/>
      </c>
      <c r="C55577" t="inlineStr">
        <is>
          <t>2052-01-28</t>
        </is>
      </c>
    </row>
    <row r="55578">
      <c r="A55578" s="1" t="n">
        <v>55577</v>
      </c>
      <c r="B55578">
        <f>TEXT(55577, "[$-0E0000]yyyy-mm-dd")</f>
        <v/>
      </c>
      <c r="C55578" t="inlineStr">
        <is>
          <t>2052-01-29</t>
        </is>
      </c>
    </row>
    <row r="55579">
      <c r="A55579" s="1" t="n">
        <v>55578</v>
      </c>
      <c r="B55579">
        <f>TEXT(55578, "[$-0E0000]yyyy-mm-dd")</f>
        <v/>
      </c>
      <c r="C55579" t="inlineStr">
        <is>
          <t>2052-02-01</t>
        </is>
      </c>
    </row>
    <row r="55580">
      <c r="A55580" s="1" t="n">
        <v>55579</v>
      </c>
      <c r="B55580">
        <f>TEXT(55579, "[$-0E0000]yyyy-mm-dd")</f>
        <v/>
      </c>
      <c r="C55580" t="inlineStr">
        <is>
          <t>2052-02-02</t>
        </is>
      </c>
    </row>
    <row r="55581">
      <c r="A55581" s="1" t="n">
        <v>55580</v>
      </c>
      <c r="B55581">
        <f>TEXT(55580, "[$-0E0000]yyyy-mm-dd")</f>
        <v/>
      </c>
      <c r="C55581" t="inlineStr">
        <is>
          <t>2052-02-03</t>
        </is>
      </c>
    </row>
    <row r="55582">
      <c r="A55582" s="1" t="n">
        <v>55581</v>
      </c>
      <c r="B55582">
        <f>TEXT(55581, "[$-0E0000]yyyy-mm-dd")</f>
        <v/>
      </c>
      <c r="C55582" t="inlineStr">
        <is>
          <t>2052-02-04</t>
        </is>
      </c>
    </row>
    <row r="55583">
      <c r="A55583" s="1" t="n">
        <v>55582</v>
      </c>
      <c r="B55583">
        <f>TEXT(55582, "[$-0E0000]yyyy-mm-dd")</f>
        <v/>
      </c>
      <c r="C55583" t="inlineStr">
        <is>
          <t>2052-02-05</t>
        </is>
      </c>
    </row>
    <row r="55584">
      <c r="A55584" s="1" t="n">
        <v>55583</v>
      </c>
      <c r="B55584">
        <f>TEXT(55583, "[$-0E0000]yyyy-mm-dd")</f>
        <v/>
      </c>
      <c r="C55584" t="inlineStr">
        <is>
          <t>2052-02-06</t>
        </is>
      </c>
    </row>
    <row r="55585">
      <c r="A55585" s="1" t="n">
        <v>55584</v>
      </c>
      <c r="B55585">
        <f>TEXT(55584, "[$-0E0000]yyyy-mm-dd")</f>
        <v/>
      </c>
      <c r="C55585" t="inlineStr">
        <is>
          <t>2052-02-07</t>
        </is>
      </c>
    </row>
    <row r="55586">
      <c r="A55586" s="1" t="n">
        <v>55585</v>
      </c>
      <c r="B55586">
        <f>TEXT(55585, "[$-0E0000]yyyy-mm-dd")</f>
        <v/>
      </c>
      <c r="C55586" t="inlineStr">
        <is>
          <t>2052-02-08</t>
        </is>
      </c>
    </row>
    <row r="55587">
      <c r="A55587" s="1" t="n">
        <v>55586</v>
      </c>
      <c r="B55587">
        <f>TEXT(55586, "[$-0E0000]yyyy-mm-dd")</f>
        <v/>
      </c>
      <c r="C55587" t="inlineStr">
        <is>
          <t>2052-02-09</t>
        </is>
      </c>
    </row>
    <row r="55588">
      <c r="A55588" s="1" t="n">
        <v>55587</v>
      </c>
      <c r="B55588">
        <f>TEXT(55587, "[$-0E0000]yyyy-mm-dd")</f>
        <v/>
      </c>
      <c r="C55588" t="inlineStr">
        <is>
          <t>2052-02-10</t>
        </is>
      </c>
    </row>
    <row r="55589">
      <c r="A55589" s="1" t="n">
        <v>55588</v>
      </c>
      <c r="B55589">
        <f>TEXT(55588, "[$-0E0000]yyyy-mm-dd")</f>
        <v/>
      </c>
      <c r="C55589" t="inlineStr">
        <is>
          <t>2052-02-11</t>
        </is>
      </c>
    </row>
    <row r="55590">
      <c r="A55590" s="1" t="n">
        <v>55589</v>
      </c>
      <c r="B55590">
        <f>TEXT(55589, "[$-0E0000]yyyy-mm-dd")</f>
        <v/>
      </c>
      <c r="C55590" t="inlineStr">
        <is>
          <t>2052-02-12</t>
        </is>
      </c>
    </row>
    <row r="55591">
      <c r="A55591" s="1" t="n">
        <v>55590</v>
      </c>
      <c r="B55591">
        <f>TEXT(55590, "[$-0E0000]yyyy-mm-dd")</f>
        <v/>
      </c>
      <c r="C55591" t="inlineStr">
        <is>
          <t>2052-02-13</t>
        </is>
      </c>
    </row>
    <row r="55592">
      <c r="A55592" s="1" t="n">
        <v>55591</v>
      </c>
      <c r="B55592">
        <f>TEXT(55591, "[$-0E0000]yyyy-mm-dd")</f>
        <v/>
      </c>
      <c r="C55592" t="inlineStr">
        <is>
          <t>2052-02-14</t>
        </is>
      </c>
    </row>
    <row r="55593">
      <c r="A55593" s="1" t="n">
        <v>55592</v>
      </c>
      <c r="B55593">
        <f>TEXT(55592, "[$-0E0000]yyyy-mm-dd")</f>
        <v/>
      </c>
      <c r="C55593" t="inlineStr">
        <is>
          <t>2052-02-15</t>
        </is>
      </c>
    </row>
    <row r="55594">
      <c r="A55594" s="1" t="n">
        <v>55593</v>
      </c>
      <c r="B55594">
        <f>TEXT(55593, "[$-0E0000]yyyy-mm-dd")</f>
        <v/>
      </c>
      <c r="C55594" t="inlineStr">
        <is>
          <t>2052-02-16</t>
        </is>
      </c>
    </row>
    <row r="55595">
      <c r="A55595" s="1" t="n">
        <v>55594</v>
      </c>
      <c r="B55595">
        <f>TEXT(55594, "[$-0E0000]yyyy-mm-dd")</f>
        <v/>
      </c>
      <c r="C55595" t="inlineStr">
        <is>
          <t>2052-02-17</t>
        </is>
      </c>
    </row>
    <row r="55596">
      <c r="A55596" s="1" t="n">
        <v>55595</v>
      </c>
      <c r="B55596">
        <f>TEXT(55595, "[$-0E0000]yyyy-mm-dd")</f>
        <v/>
      </c>
      <c r="C55596" t="inlineStr">
        <is>
          <t>2052-02-18</t>
        </is>
      </c>
    </row>
    <row r="55597">
      <c r="A55597" s="1" t="n">
        <v>55596</v>
      </c>
      <c r="B55597">
        <f>TEXT(55596, "[$-0E0000]yyyy-mm-dd")</f>
        <v/>
      </c>
      <c r="C55597" t="inlineStr">
        <is>
          <t>2052-02-19</t>
        </is>
      </c>
    </row>
    <row r="55598">
      <c r="A55598" s="1" t="n">
        <v>55597</v>
      </c>
      <c r="B55598">
        <f>TEXT(55597, "[$-0E0000]yyyy-mm-dd")</f>
        <v/>
      </c>
      <c r="C55598" t="inlineStr">
        <is>
          <t>2052-02-20</t>
        </is>
      </c>
    </row>
    <row r="55599">
      <c r="A55599" s="1" t="n">
        <v>55598</v>
      </c>
      <c r="B55599">
        <f>TEXT(55598, "[$-0E0000]yyyy-mm-dd")</f>
        <v/>
      </c>
      <c r="C55599" t="inlineStr">
        <is>
          <t>2052-02-21</t>
        </is>
      </c>
    </row>
    <row r="55600">
      <c r="A55600" s="1" t="n">
        <v>55599</v>
      </c>
      <c r="B55600">
        <f>TEXT(55599, "[$-0E0000]yyyy-mm-dd")</f>
        <v/>
      </c>
      <c r="C55600" t="inlineStr">
        <is>
          <t>2052-02-22</t>
        </is>
      </c>
    </row>
    <row r="55601">
      <c r="A55601" s="1" t="n">
        <v>55600</v>
      </c>
      <c r="B55601">
        <f>TEXT(55600, "[$-0E0000]yyyy-mm-dd")</f>
        <v/>
      </c>
      <c r="C55601" t="inlineStr">
        <is>
          <t>2052-02-23</t>
        </is>
      </c>
    </row>
    <row r="55602">
      <c r="A55602" s="1" t="n">
        <v>55601</v>
      </c>
      <c r="B55602">
        <f>TEXT(55601, "[$-0E0000]yyyy-mm-dd")</f>
        <v/>
      </c>
      <c r="C55602" t="inlineStr">
        <is>
          <t>2052-02-24</t>
        </is>
      </c>
    </row>
    <row r="55603">
      <c r="A55603" s="1" t="n">
        <v>55602</v>
      </c>
      <c r="B55603">
        <f>TEXT(55602, "[$-0E0000]yyyy-mm-dd")</f>
        <v/>
      </c>
      <c r="C55603" t="inlineStr">
        <is>
          <t>2052-02-25</t>
        </is>
      </c>
    </row>
    <row r="55604">
      <c r="A55604" s="1" t="n">
        <v>55603</v>
      </c>
      <c r="B55604">
        <f>TEXT(55603, "[$-0E0000]yyyy-mm-dd")</f>
        <v/>
      </c>
      <c r="C55604" t="inlineStr">
        <is>
          <t>2052-02-26</t>
        </is>
      </c>
    </row>
    <row r="55605">
      <c r="A55605" s="1" t="n">
        <v>55604</v>
      </c>
      <c r="B55605">
        <f>TEXT(55604, "[$-0E0000]yyyy-mm-dd")</f>
        <v/>
      </c>
      <c r="C55605" t="inlineStr">
        <is>
          <t>2052-02-27</t>
        </is>
      </c>
    </row>
    <row r="55606">
      <c r="A55606" s="1" t="n">
        <v>55605</v>
      </c>
      <c r="B55606">
        <f>TEXT(55605, "[$-0E0000]yyyy-mm-dd")</f>
        <v/>
      </c>
      <c r="C55606" t="inlineStr">
        <is>
          <t>2052-02-28</t>
        </is>
      </c>
    </row>
    <row r="55607">
      <c r="A55607" s="1" t="n">
        <v>55606</v>
      </c>
      <c r="B55607">
        <f>TEXT(55606, "[$-0E0000]yyyy-mm-dd")</f>
        <v/>
      </c>
      <c r="C55607" t="inlineStr">
        <is>
          <t>2052-02-29</t>
        </is>
      </c>
    </row>
    <row r="55608">
      <c r="A55608" s="1" t="n">
        <v>55607</v>
      </c>
      <c r="B55608">
        <f>TEXT(55607, "[$-0E0000]yyyy-mm-dd")</f>
        <v/>
      </c>
      <c r="C55608" t="inlineStr">
        <is>
          <t>2052-02-30</t>
        </is>
      </c>
    </row>
    <row r="55609">
      <c r="A55609" s="1" t="n">
        <v>55608</v>
      </c>
      <c r="B55609">
        <f>TEXT(55608, "[$-0E0000]yyyy-mm-dd")</f>
        <v/>
      </c>
      <c r="C55609" t="inlineStr">
        <is>
          <t>2052-03-01</t>
        </is>
      </c>
    </row>
    <row r="55610">
      <c r="A55610" s="1" t="n">
        <v>55609</v>
      </c>
      <c r="B55610">
        <f>TEXT(55609, "[$-0E0000]yyyy-mm-dd")</f>
        <v/>
      </c>
      <c r="C55610" t="inlineStr">
        <is>
          <t>2052-03-02</t>
        </is>
      </c>
    </row>
    <row r="55611">
      <c r="A55611" s="1" t="n">
        <v>55610</v>
      </c>
      <c r="B55611">
        <f>TEXT(55610, "[$-0E0000]yyyy-mm-dd")</f>
        <v/>
      </c>
      <c r="C55611" t="inlineStr">
        <is>
          <t>2052-03-03</t>
        </is>
      </c>
    </row>
    <row r="55612">
      <c r="A55612" s="1" t="n">
        <v>55611</v>
      </c>
      <c r="B55612">
        <f>TEXT(55611, "[$-0E0000]yyyy-mm-dd")</f>
        <v/>
      </c>
      <c r="C55612" t="inlineStr">
        <is>
          <t>2052-03-04</t>
        </is>
      </c>
    </row>
    <row r="55613">
      <c r="A55613" s="1" t="n">
        <v>55612</v>
      </c>
      <c r="B55613">
        <f>TEXT(55612, "[$-0E0000]yyyy-mm-dd")</f>
        <v/>
      </c>
      <c r="C55613" t="inlineStr">
        <is>
          <t>2052-03-05</t>
        </is>
      </c>
    </row>
    <row r="55614">
      <c r="A55614" s="1" t="n">
        <v>55613</v>
      </c>
      <c r="B55614">
        <f>TEXT(55613, "[$-0E0000]yyyy-mm-dd")</f>
        <v/>
      </c>
      <c r="C55614" t="inlineStr">
        <is>
          <t>2052-03-06</t>
        </is>
      </c>
    </row>
    <row r="55615">
      <c r="A55615" s="1" t="n">
        <v>55614</v>
      </c>
      <c r="B55615">
        <f>TEXT(55614, "[$-0E0000]yyyy-mm-dd")</f>
        <v/>
      </c>
      <c r="C55615" t="inlineStr">
        <is>
          <t>2052-03-07</t>
        </is>
      </c>
    </row>
    <row r="55616">
      <c r="A55616" s="1" t="n">
        <v>55615</v>
      </c>
      <c r="B55616">
        <f>TEXT(55615, "[$-0E0000]yyyy-mm-dd")</f>
        <v/>
      </c>
      <c r="C55616" t="inlineStr">
        <is>
          <t>2052-03-08</t>
        </is>
      </c>
    </row>
    <row r="55617">
      <c r="A55617" s="1" t="n">
        <v>55616</v>
      </c>
      <c r="B55617">
        <f>TEXT(55616, "[$-0E0000]yyyy-mm-dd")</f>
        <v/>
      </c>
      <c r="C55617" t="inlineStr">
        <is>
          <t>2052-03-09</t>
        </is>
      </c>
    </row>
    <row r="55618">
      <c r="A55618" s="1" t="n">
        <v>55617</v>
      </c>
      <c r="B55618">
        <f>TEXT(55617, "[$-0E0000]yyyy-mm-dd")</f>
        <v/>
      </c>
      <c r="C55618" t="inlineStr">
        <is>
          <t>2052-03-10</t>
        </is>
      </c>
    </row>
    <row r="55619">
      <c r="A55619" s="1" t="n">
        <v>55618</v>
      </c>
      <c r="B55619">
        <f>TEXT(55618, "[$-0E0000]yyyy-mm-dd")</f>
        <v/>
      </c>
      <c r="C55619" t="inlineStr">
        <is>
          <t>2052-03-11</t>
        </is>
      </c>
    </row>
    <row r="55620">
      <c r="A55620" s="1" t="n">
        <v>55619</v>
      </c>
      <c r="B55620">
        <f>TEXT(55619, "[$-0E0000]yyyy-mm-dd")</f>
        <v/>
      </c>
      <c r="C55620" t="inlineStr">
        <is>
          <t>2052-03-12</t>
        </is>
      </c>
    </row>
    <row r="55621">
      <c r="A55621" s="1" t="n">
        <v>55620</v>
      </c>
      <c r="B55621">
        <f>TEXT(55620, "[$-0E0000]yyyy-mm-dd")</f>
        <v/>
      </c>
      <c r="C55621" t="inlineStr">
        <is>
          <t>2052-03-13</t>
        </is>
      </c>
    </row>
    <row r="55622">
      <c r="A55622" s="1" t="n">
        <v>55621</v>
      </c>
      <c r="B55622">
        <f>TEXT(55621, "[$-0E0000]yyyy-mm-dd")</f>
        <v/>
      </c>
      <c r="C55622" t="inlineStr">
        <is>
          <t>2052-03-14</t>
        </is>
      </c>
    </row>
    <row r="55623">
      <c r="A55623" s="1" t="n">
        <v>55622</v>
      </c>
      <c r="B55623">
        <f>TEXT(55622, "[$-0E0000]yyyy-mm-dd")</f>
        <v/>
      </c>
      <c r="C55623" t="inlineStr">
        <is>
          <t>2052-03-15</t>
        </is>
      </c>
    </row>
    <row r="55624">
      <c r="A55624" s="1" t="n">
        <v>55623</v>
      </c>
      <c r="B55624">
        <f>TEXT(55623, "[$-0E0000]yyyy-mm-dd")</f>
        <v/>
      </c>
      <c r="C55624" t="inlineStr">
        <is>
          <t>2052-03-16</t>
        </is>
      </c>
    </row>
    <row r="55625">
      <c r="A55625" s="1" t="n">
        <v>55624</v>
      </c>
      <c r="B55625">
        <f>TEXT(55624, "[$-0E0000]yyyy-mm-dd")</f>
        <v/>
      </c>
      <c r="C55625" t="inlineStr">
        <is>
          <t>2052-03-17</t>
        </is>
      </c>
    </row>
    <row r="55626">
      <c r="A55626" s="1" t="n">
        <v>55625</v>
      </c>
      <c r="B55626">
        <f>TEXT(55625, "[$-0E0000]yyyy-mm-dd")</f>
        <v/>
      </c>
      <c r="C55626" t="inlineStr">
        <is>
          <t>2052-03-18</t>
        </is>
      </c>
    </row>
    <row r="55627">
      <c r="A55627" s="1" t="n">
        <v>55626</v>
      </c>
      <c r="B55627">
        <f>TEXT(55626, "[$-0E0000]yyyy-mm-dd")</f>
        <v/>
      </c>
      <c r="C55627" t="inlineStr">
        <is>
          <t>2052-03-19</t>
        </is>
      </c>
    </row>
    <row r="55628">
      <c r="A55628" s="1" t="n">
        <v>55627</v>
      </c>
      <c r="B55628">
        <f>TEXT(55627, "[$-0E0000]yyyy-mm-dd")</f>
        <v/>
      </c>
      <c r="C55628" t="inlineStr">
        <is>
          <t>2052-03-20</t>
        </is>
      </c>
    </row>
    <row r="55629">
      <c r="A55629" s="1" t="n">
        <v>55628</v>
      </c>
      <c r="B55629">
        <f>TEXT(55628, "[$-0E0000]yyyy-mm-dd")</f>
        <v/>
      </c>
      <c r="C55629" t="inlineStr">
        <is>
          <t>2052-03-21</t>
        </is>
      </c>
    </row>
    <row r="55630">
      <c r="A55630" s="1" t="n">
        <v>55629</v>
      </c>
      <c r="B55630">
        <f>TEXT(55629, "[$-0E0000]yyyy-mm-dd")</f>
        <v/>
      </c>
      <c r="C55630" t="inlineStr">
        <is>
          <t>2052-03-22</t>
        </is>
      </c>
    </row>
    <row r="55631">
      <c r="A55631" s="1" t="n">
        <v>55630</v>
      </c>
      <c r="B55631">
        <f>TEXT(55630, "[$-0E0000]yyyy-mm-dd")</f>
        <v/>
      </c>
      <c r="C55631" t="inlineStr">
        <is>
          <t>2052-03-23</t>
        </is>
      </c>
    </row>
    <row r="55632">
      <c r="A55632" s="1" t="n">
        <v>55631</v>
      </c>
      <c r="B55632">
        <f>TEXT(55631, "[$-0E0000]yyyy-mm-dd")</f>
        <v/>
      </c>
      <c r="C55632" t="inlineStr">
        <is>
          <t>2052-03-24</t>
        </is>
      </c>
    </row>
    <row r="55633">
      <c r="A55633" s="1" t="n">
        <v>55632</v>
      </c>
      <c r="B55633">
        <f>TEXT(55632, "[$-0E0000]yyyy-mm-dd")</f>
        <v/>
      </c>
      <c r="C55633" t="inlineStr">
        <is>
          <t>2052-03-25</t>
        </is>
      </c>
    </row>
    <row r="55634">
      <c r="A55634" s="1" t="n">
        <v>55633</v>
      </c>
      <c r="B55634">
        <f>TEXT(55633, "[$-0E0000]yyyy-mm-dd")</f>
        <v/>
      </c>
      <c r="C55634" t="inlineStr">
        <is>
          <t>2052-03-26</t>
        </is>
      </c>
    </row>
    <row r="55635">
      <c r="A55635" s="1" t="n">
        <v>55634</v>
      </c>
      <c r="B55635">
        <f>TEXT(55634, "[$-0E0000]yyyy-mm-dd")</f>
        <v/>
      </c>
      <c r="C55635" t="inlineStr">
        <is>
          <t>2052-03-27</t>
        </is>
      </c>
    </row>
    <row r="55636">
      <c r="A55636" s="1" t="n">
        <v>55635</v>
      </c>
      <c r="B55636">
        <f>TEXT(55635, "[$-0E0000]yyyy-mm-dd")</f>
        <v/>
      </c>
      <c r="C55636" t="inlineStr">
        <is>
          <t>2052-03-28</t>
        </is>
      </c>
    </row>
    <row r="55637">
      <c r="A55637" s="1" t="n">
        <v>55636</v>
      </c>
      <c r="B55637">
        <f>TEXT(55636, "[$-0E0000]yyyy-mm-dd")</f>
        <v/>
      </c>
      <c r="C55637" t="inlineStr">
        <is>
          <t>2052-03-29</t>
        </is>
      </c>
    </row>
    <row r="55638">
      <c r="A55638" s="1" t="n">
        <v>55637</v>
      </c>
      <c r="B55638">
        <f>TEXT(55637, "[$-0E0000]yyyy-mm-dd")</f>
        <v/>
      </c>
      <c r="C55638" t="inlineStr">
        <is>
          <t>2052-04-01</t>
        </is>
      </c>
    </row>
    <row r="55639">
      <c r="A55639" s="1" t="n">
        <v>55638</v>
      </c>
      <c r="B55639">
        <f>TEXT(55638, "[$-0E0000]yyyy-mm-dd")</f>
        <v/>
      </c>
      <c r="C55639" t="inlineStr">
        <is>
          <t>2052-04-02</t>
        </is>
      </c>
    </row>
    <row r="55640">
      <c r="A55640" s="1" t="n">
        <v>55639</v>
      </c>
      <c r="B55640">
        <f>TEXT(55639, "[$-0E0000]yyyy-mm-dd")</f>
        <v/>
      </c>
      <c r="C55640" t="inlineStr">
        <is>
          <t>2052-04-03</t>
        </is>
      </c>
    </row>
    <row r="55641">
      <c r="A55641" s="1" t="n">
        <v>55640</v>
      </c>
      <c r="B55641">
        <f>TEXT(55640, "[$-0E0000]yyyy-mm-dd")</f>
        <v/>
      </c>
      <c r="C55641" t="inlineStr">
        <is>
          <t>2052-04-04</t>
        </is>
      </c>
    </row>
    <row r="55642">
      <c r="A55642" s="1" t="n">
        <v>55641</v>
      </c>
      <c r="B55642">
        <f>TEXT(55641, "[$-0E0000]yyyy-mm-dd")</f>
        <v/>
      </c>
      <c r="C55642" t="inlineStr">
        <is>
          <t>2052-04-05</t>
        </is>
      </c>
    </row>
    <row r="55643">
      <c r="A55643" s="1" t="n">
        <v>55642</v>
      </c>
      <c r="B55643">
        <f>TEXT(55642, "[$-0E0000]yyyy-mm-dd")</f>
        <v/>
      </c>
      <c r="C55643" t="inlineStr">
        <is>
          <t>2052-04-06</t>
        </is>
      </c>
    </row>
    <row r="55644">
      <c r="A55644" s="1" t="n">
        <v>55643</v>
      </c>
      <c r="B55644">
        <f>TEXT(55643, "[$-0E0000]yyyy-mm-dd")</f>
        <v/>
      </c>
      <c r="C55644" t="inlineStr">
        <is>
          <t>2052-04-07</t>
        </is>
      </c>
    </row>
    <row r="55645">
      <c r="A55645" s="1" t="n">
        <v>55644</v>
      </c>
      <c r="B55645">
        <f>TEXT(55644, "[$-0E0000]yyyy-mm-dd")</f>
        <v/>
      </c>
      <c r="C55645" t="inlineStr">
        <is>
          <t>2052-04-08</t>
        </is>
      </c>
    </row>
    <row r="55646">
      <c r="A55646" s="1" t="n">
        <v>55645</v>
      </c>
      <c r="B55646">
        <f>TEXT(55645, "[$-0E0000]yyyy-mm-dd")</f>
        <v/>
      </c>
      <c r="C55646" t="inlineStr">
        <is>
          <t>2052-04-09</t>
        </is>
      </c>
    </row>
    <row r="55647">
      <c r="A55647" s="1" t="n">
        <v>55646</v>
      </c>
      <c r="B55647">
        <f>TEXT(55646, "[$-0E0000]yyyy-mm-dd")</f>
        <v/>
      </c>
      <c r="C55647" t="inlineStr">
        <is>
          <t>2052-04-10</t>
        </is>
      </c>
    </row>
    <row r="55648">
      <c r="A55648" s="1" t="n">
        <v>55647</v>
      </c>
      <c r="B55648">
        <f>TEXT(55647, "[$-0E0000]yyyy-mm-dd")</f>
        <v/>
      </c>
      <c r="C55648" t="inlineStr">
        <is>
          <t>2052-04-11</t>
        </is>
      </c>
    </row>
    <row r="55649">
      <c r="A55649" s="1" t="n">
        <v>55648</v>
      </c>
      <c r="B55649">
        <f>TEXT(55648, "[$-0E0000]yyyy-mm-dd")</f>
        <v/>
      </c>
      <c r="C55649" t="inlineStr">
        <is>
          <t>2052-04-12</t>
        </is>
      </c>
    </row>
    <row r="55650">
      <c r="A55650" s="1" t="n">
        <v>55649</v>
      </c>
      <c r="B55650">
        <f>TEXT(55649, "[$-0E0000]yyyy-mm-dd")</f>
        <v/>
      </c>
      <c r="C55650" t="inlineStr">
        <is>
          <t>2052-04-13</t>
        </is>
      </c>
    </row>
    <row r="55651">
      <c r="A55651" s="1" t="n">
        <v>55650</v>
      </c>
      <c r="B55651">
        <f>TEXT(55650, "[$-0E0000]yyyy-mm-dd")</f>
        <v/>
      </c>
      <c r="C55651" t="inlineStr">
        <is>
          <t>2052-04-14</t>
        </is>
      </c>
    </row>
    <row r="55652">
      <c r="A55652" s="1" t="n">
        <v>55651</v>
      </c>
      <c r="B55652">
        <f>TEXT(55651, "[$-0E0000]yyyy-mm-dd")</f>
        <v/>
      </c>
      <c r="C55652" t="inlineStr">
        <is>
          <t>2052-04-15</t>
        </is>
      </c>
    </row>
    <row r="55653">
      <c r="A55653" s="1" t="n">
        <v>55652</v>
      </c>
      <c r="B55653">
        <f>TEXT(55652, "[$-0E0000]yyyy-mm-dd")</f>
        <v/>
      </c>
      <c r="C55653" t="inlineStr">
        <is>
          <t>2052-04-16</t>
        </is>
      </c>
    </row>
    <row r="55654">
      <c r="A55654" s="1" t="n">
        <v>55653</v>
      </c>
      <c r="B55654">
        <f>TEXT(55653, "[$-0E0000]yyyy-mm-dd")</f>
        <v/>
      </c>
      <c r="C55654" t="inlineStr">
        <is>
          <t>2052-04-17</t>
        </is>
      </c>
    </row>
    <row r="55655">
      <c r="A55655" s="1" t="n">
        <v>55654</v>
      </c>
      <c r="B55655">
        <f>TEXT(55654, "[$-0E0000]yyyy-mm-dd")</f>
        <v/>
      </c>
      <c r="C55655" t="inlineStr">
        <is>
          <t>2052-04-18</t>
        </is>
      </c>
    </row>
    <row r="55656">
      <c r="A55656" s="1" t="n">
        <v>55655</v>
      </c>
      <c r="B55656">
        <f>TEXT(55655, "[$-0E0000]yyyy-mm-dd")</f>
        <v/>
      </c>
      <c r="C55656" t="inlineStr">
        <is>
          <t>2052-04-19</t>
        </is>
      </c>
    </row>
    <row r="55657">
      <c r="A55657" s="1" t="n">
        <v>55656</v>
      </c>
      <c r="B55657">
        <f>TEXT(55656, "[$-0E0000]yyyy-mm-dd")</f>
        <v/>
      </c>
      <c r="C55657" t="inlineStr">
        <is>
          <t>2052-04-20</t>
        </is>
      </c>
    </row>
    <row r="55658">
      <c r="A55658" s="1" t="n">
        <v>55657</v>
      </c>
      <c r="B55658">
        <f>TEXT(55657, "[$-0E0000]yyyy-mm-dd")</f>
        <v/>
      </c>
      <c r="C55658" t="inlineStr">
        <is>
          <t>2052-04-21</t>
        </is>
      </c>
    </row>
    <row r="55659">
      <c r="A55659" s="1" t="n">
        <v>55658</v>
      </c>
      <c r="B55659">
        <f>TEXT(55658, "[$-0E0000]yyyy-mm-dd")</f>
        <v/>
      </c>
      <c r="C55659" t="inlineStr">
        <is>
          <t>2052-04-22</t>
        </is>
      </c>
    </row>
    <row r="55660">
      <c r="A55660" s="1" t="n">
        <v>55659</v>
      </c>
      <c r="B55660">
        <f>TEXT(55659, "[$-0E0000]yyyy-mm-dd")</f>
        <v/>
      </c>
      <c r="C55660" t="inlineStr">
        <is>
          <t>2052-04-23</t>
        </is>
      </c>
    </row>
    <row r="55661">
      <c r="A55661" s="1" t="n">
        <v>55660</v>
      </c>
      <c r="B55661">
        <f>TEXT(55660, "[$-0E0000]yyyy-mm-dd")</f>
        <v/>
      </c>
      <c r="C55661" t="inlineStr">
        <is>
          <t>2052-04-24</t>
        </is>
      </c>
    </row>
    <row r="55662">
      <c r="A55662" s="1" t="n">
        <v>55661</v>
      </c>
      <c r="B55662">
        <f>TEXT(55661, "[$-0E0000]yyyy-mm-dd")</f>
        <v/>
      </c>
      <c r="C55662" t="inlineStr">
        <is>
          <t>2052-04-25</t>
        </is>
      </c>
    </row>
    <row r="55663">
      <c r="A55663" s="1" t="n">
        <v>55662</v>
      </c>
      <c r="B55663">
        <f>TEXT(55662, "[$-0E0000]yyyy-mm-dd")</f>
        <v/>
      </c>
      <c r="C55663" t="inlineStr">
        <is>
          <t>2052-04-26</t>
        </is>
      </c>
    </row>
    <row r="55664">
      <c r="A55664" s="1" t="n">
        <v>55663</v>
      </c>
      <c r="B55664">
        <f>TEXT(55663, "[$-0E0000]yyyy-mm-dd")</f>
        <v/>
      </c>
      <c r="C55664" t="inlineStr">
        <is>
          <t>2052-04-27</t>
        </is>
      </c>
    </row>
    <row r="55665">
      <c r="A55665" s="1" t="n">
        <v>55664</v>
      </c>
      <c r="B55665">
        <f>TEXT(55664, "[$-0E0000]yyyy-mm-dd")</f>
        <v/>
      </c>
      <c r="C55665" t="inlineStr">
        <is>
          <t>2052-04-28</t>
        </is>
      </c>
    </row>
    <row r="55666">
      <c r="A55666" s="1" t="n">
        <v>55665</v>
      </c>
      <c r="B55666">
        <f>TEXT(55665, "[$-0E0000]yyyy-mm-dd")</f>
        <v/>
      </c>
      <c r="C55666" t="inlineStr">
        <is>
          <t>2052-04-29</t>
        </is>
      </c>
    </row>
    <row r="55667">
      <c r="A55667" s="1" t="n">
        <v>55666</v>
      </c>
      <c r="B55667">
        <f>TEXT(55666, "[$-0E0000]yyyy-mm-dd")</f>
        <v/>
      </c>
      <c r="C55667" t="inlineStr">
        <is>
          <t>2052-05-01</t>
        </is>
      </c>
    </row>
    <row r="55668">
      <c r="A55668" s="1" t="n">
        <v>55667</v>
      </c>
      <c r="B55668">
        <f>TEXT(55667, "[$-0E0000]yyyy-mm-dd")</f>
        <v/>
      </c>
      <c r="C55668" t="inlineStr">
        <is>
          <t>2052-05-02</t>
        </is>
      </c>
    </row>
    <row r="55669">
      <c r="A55669" s="1" t="n">
        <v>55668</v>
      </c>
      <c r="B55669">
        <f>TEXT(55668, "[$-0E0000]yyyy-mm-dd")</f>
        <v/>
      </c>
      <c r="C55669" t="inlineStr">
        <is>
          <t>2052-05-03</t>
        </is>
      </c>
    </row>
    <row r="55670">
      <c r="A55670" s="1" t="n">
        <v>55669</v>
      </c>
      <c r="B55670">
        <f>TEXT(55669, "[$-0E0000]yyyy-mm-dd")</f>
        <v/>
      </c>
      <c r="C55670" t="inlineStr">
        <is>
          <t>2052-05-04</t>
        </is>
      </c>
    </row>
    <row r="55671">
      <c r="A55671" s="1" t="n">
        <v>55670</v>
      </c>
      <c r="B55671">
        <f>TEXT(55670, "[$-0E0000]yyyy-mm-dd")</f>
        <v/>
      </c>
      <c r="C55671" t="inlineStr">
        <is>
          <t>2052-05-05</t>
        </is>
      </c>
    </row>
    <row r="55672">
      <c r="A55672" s="1" t="n">
        <v>55671</v>
      </c>
      <c r="B55672">
        <f>TEXT(55671, "[$-0E0000]yyyy-mm-dd")</f>
        <v/>
      </c>
      <c r="C55672" t="inlineStr">
        <is>
          <t>2052-05-06</t>
        </is>
      </c>
    </row>
    <row r="55673">
      <c r="A55673" s="1" t="n">
        <v>55672</v>
      </c>
      <c r="B55673">
        <f>TEXT(55672, "[$-0E0000]yyyy-mm-dd")</f>
        <v/>
      </c>
      <c r="C55673" t="inlineStr">
        <is>
          <t>2052-05-07</t>
        </is>
      </c>
    </row>
    <row r="55674">
      <c r="A55674" s="1" t="n">
        <v>55673</v>
      </c>
      <c r="B55674">
        <f>TEXT(55673, "[$-0E0000]yyyy-mm-dd")</f>
        <v/>
      </c>
      <c r="C55674" t="inlineStr">
        <is>
          <t>2052-05-08</t>
        </is>
      </c>
    </row>
    <row r="55675">
      <c r="A55675" s="1" t="n">
        <v>55674</v>
      </c>
      <c r="B55675">
        <f>TEXT(55674, "[$-0E0000]yyyy-mm-dd")</f>
        <v/>
      </c>
      <c r="C55675" t="inlineStr">
        <is>
          <t>2052-05-09</t>
        </is>
      </c>
    </row>
    <row r="55676">
      <c r="A55676" s="1" t="n">
        <v>55675</v>
      </c>
      <c r="B55676">
        <f>TEXT(55675, "[$-0E0000]yyyy-mm-dd")</f>
        <v/>
      </c>
      <c r="C55676" t="inlineStr">
        <is>
          <t>2052-05-10</t>
        </is>
      </c>
    </row>
    <row r="55677">
      <c r="A55677" s="1" t="n">
        <v>55676</v>
      </c>
      <c r="B55677">
        <f>TEXT(55676, "[$-0E0000]yyyy-mm-dd")</f>
        <v/>
      </c>
      <c r="C55677" t="inlineStr">
        <is>
          <t>2052-05-11</t>
        </is>
      </c>
    </row>
    <row r="55678">
      <c r="A55678" s="1" t="n">
        <v>55677</v>
      </c>
      <c r="B55678">
        <f>TEXT(55677, "[$-0E0000]yyyy-mm-dd")</f>
        <v/>
      </c>
      <c r="C55678" t="inlineStr">
        <is>
          <t>2052-05-12</t>
        </is>
      </c>
    </row>
    <row r="55679">
      <c r="A55679" s="1" t="n">
        <v>55678</v>
      </c>
      <c r="B55679">
        <f>TEXT(55678, "[$-0E0000]yyyy-mm-dd")</f>
        <v/>
      </c>
      <c r="C55679" t="inlineStr">
        <is>
          <t>2052-05-13</t>
        </is>
      </c>
    </row>
    <row r="55680">
      <c r="A55680" s="1" t="n">
        <v>55679</v>
      </c>
      <c r="B55680">
        <f>TEXT(55679, "[$-0E0000]yyyy-mm-dd")</f>
        <v/>
      </c>
      <c r="C55680" t="inlineStr">
        <is>
          <t>2052-05-14</t>
        </is>
      </c>
    </row>
    <row r="55681">
      <c r="A55681" s="1" t="n">
        <v>55680</v>
      </c>
      <c r="B55681">
        <f>TEXT(55680, "[$-0E0000]yyyy-mm-dd")</f>
        <v/>
      </c>
      <c r="C55681" t="inlineStr">
        <is>
          <t>2052-05-15</t>
        </is>
      </c>
    </row>
    <row r="55682">
      <c r="A55682" s="1" t="n">
        <v>55681</v>
      </c>
      <c r="B55682">
        <f>TEXT(55681, "[$-0E0000]yyyy-mm-dd")</f>
        <v/>
      </c>
      <c r="C55682" t="inlineStr">
        <is>
          <t>2052-05-16</t>
        </is>
      </c>
    </row>
    <row r="55683">
      <c r="A55683" s="1" t="n">
        <v>55682</v>
      </c>
      <c r="B55683">
        <f>TEXT(55682, "[$-0E0000]yyyy-mm-dd")</f>
        <v/>
      </c>
      <c r="C55683" t="inlineStr">
        <is>
          <t>2052-05-17</t>
        </is>
      </c>
    </row>
    <row r="55684">
      <c r="A55684" s="1" t="n">
        <v>55683</v>
      </c>
      <c r="B55684">
        <f>TEXT(55683, "[$-0E0000]yyyy-mm-dd")</f>
        <v/>
      </c>
      <c r="C55684" t="inlineStr">
        <is>
          <t>2052-05-18</t>
        </is>
      </c>
    </row>
    <row r="55685">
      <c r="A55685" s="1" t="n">
        <v>55684</v>
      </c>
      <c r="B55685">
        <f>TEXT(55684, "[$-0E0000]yyyy-mm-dd")</f>
        <v/>
      </c>
      <c r="C55685" t="inlineStr">
        <is>
          <t>2052-05-19</t>
        </is>
      </c>
    </row>
    <row r="55686">
      <c r="A55686" s="1" t="n">
        <v>55685</v>
      </c>
      <c r="B55686">
        <f>TEXT(55685, "[$-0E0000]yyyy-mm-dd")</f>
        <v/>
      </c>
      <c r="C55686" t="inlineStr">
        <is>
          <t>2052-05-20</t>
        </is>
      </c>
    </row>
    <row r="55687">
      <c r="A55687" s="1" t="n">
        <v>55686</v>
      </c>
      <c r="B55687">
        <f>TEXT(55686, "[$-0E0000]yyyy-mm-dd")</f>
        <v/>
      </c>
      <c r="C55687" t="inlineStr">
        <is>
          <t>2052-05-21</t>
        </is>
      </c>
    </row>
    <row r="55688">
      <c r="A55688" s="1" t="n">
        <v>55687</v>
      </c>
      <c r="B55688">
        <f>TEXT(55687, "[$-0E0000]yyyy-mm-dd")</f>
        <v/>
      </c>
      <c r="C55688" t="inlineStr">
        <is>
          <t>2052-05-22</t>
        </is>
      </c>
    </row>
    <row r="55689">
      <c r="A55689" s="1" t="n">
        <v>55688</v>
      </c>
      <c r="B55689">
        <f>TEXT(55688, "[$-0E0000]yyyy-mm-dd")</f>
        <v/>
      </c>
      <c r="C55689" t="inlineStr">
        <is>
          <t>2052-05-23</t>
        </is>
      </c>
    </row>
    <row r="55690">
      <c r="A55690" s="1" t="n">
        <v>55689</v>
      </c>
      <c r="B55690">
        <f>TEXT(55689, "[$-0E0000]yyyy-mm-dd")</f>
        <v/>
      </c>
      <c r="C55690" t="inlineStr">
        <is>
          <t>2052-05-24</t>
        </is>
      </c>
    </row>
    <row r="55691">
      <c r="A55691" s="1" t="n">
        <v>55690</v>
      </c>
      <c r="B55691">
        <f>TEXT(55690, "[$-0E0000]yyyy-mm-dd")</f>
        <v/>
      </c>
      <c r="C55691" t="inlineStr">
        <is>
          <t>2052-05-25</t>
        </is>
      </c>
    </row>
    <row r="55692">
      <c r="A55692" s="1" t="n">
        <v>55691</v>
      </c>
      <c r="B55692">
        <f>TEXT(55691, "[$-0E0000]yyyy-mm-dd")</f>
        <v/>
      </c>
      <c r="C55692" t="inlineStr">
        <is>
          <t>2052-05-26</t>
        </is>
      </c>
    </row>
    <row r="55693">
      <c r="A55693" s="1" t="n">
        <v>55692</v>
      </c>
      <c r="B55693">
        <f>TEXT(55692, "[$-0E0000]yyyy-mm-dd")</f>
        <v/>
      </c>
      <c r="C55693" t="inlineStr">
        <is>
          <t>2052-05-27</t>
        </is>
      </c>
    </row>
    <row r="55694">
      <c r="A55694" s="1" t="n">
        <v>55693</v>
      </c>
      <c r="B55694">
        <f>TEXT(55693, "[$-0E0000]yyyy-mm-dd")</f>
        <v/>
      </c>
      <c r="C55694" t="inlineStr">
        <is>
          <t>2052-05-28</t>
        </is>
      </c>
    </row>
    <row r="55695">
      <c r="A55695" s="1" t="n">
        <v>55694</v>
      </c>
      <c r="B55695">
        <f>TEXT(55694, "[$-0E0000]yyyy-mm-dd")</f>
        <v/>
      </c>
      <c r="C55695" t="inlineStr">
        <is>
          <t>2052-05-29</t>
        </is>
      </c>
    </row>
    <row r="55696">
      <c r="A55696" s="1" t="n">
        <v>55695</v>
      </c>
      <c r="B55696">
        <f>TEXT(55695, "[$-0E0000]yyyy-mm-dd")</f>
        <v/>
      </c>
      <c r="C55696" t="inlineStr">
        <is>
          <t>2052-05-30</t>
        </is>
      </c>
    </row>
    <row r="55697">
      <c r="A55697" s="1" t="n">
        <v>55696</v>
      </c>
      <c r="B55697">
        <f>TEXT(55696, "[$-0E0000]yyyy-mm-dd")</f>
        <v/>
      </c>
      <c r="C55697" t="inlineStr">
        <is>
          <t>2052-06-01</t>
        </is>
      </c>
    </row>
    <row r="55698">
      <c r="A55698" s="1" t="n">
        <v>55697</v>
      </c>
      <c r="B55698">
        <f>TEXT(55697, "[$-0E0000]yyyy-mm-dd")</f>
        <v/>
      </c>
      <c r="C55698" t="inlineStr">
        <is>
          <t>2052-06-02</t>
        </is>
      </c>
    </row>
    <row r="55699">
      <c r="A55699" s="1" t="n">
        <v>55698</v>
      </c>
      <c r="B55699">
        <f>TEXT(55698, "[$-0E0000]yyyy-mm-dd")</f>
        <v/>
      </c>
      <c r="C55699" t="inlineStr">
        <is>
          <t>2052-06-03</t>
        </is>
      </c>
    </row>
    <row r="55700">
      <c r="A55700" s="1" t="n">
        <v>55699</v>
      </c>
      <c r="B55700">
        <f>TEXT(55699, "[$-0E0000]yyyy-mm-dd")</f>
        <v/>
      </c>
      <c r="C55700" t="inlineStr">
        <is>
          <t>2052-06-04</t>
        </is>
      </c>
    </row>
    <row r="55701">
      <c r="A55701" s="1" t="n">
        <v>55700</v>
      </c>
      <c r="B55701">
        <f>TEXT(55700, "[$-0E0000]yyyy-mm-dd")</f>
        <v/>
      </c>
      <c r="C55701" t="inlineStr">
        <is>
          <t>2052-06-05</t>
        </is>
      </c>
    </row>
    <row r="55702">
      <c r="A55702" s="1" t="n">
        <v>55701</v>
      </c>
      <c r="B55702">
        <f>TEXT(55701, "[$-0E0000]yyyy-mm-dd")</f>
        <v/>
      </c>
      <c r="C55702" t="inlineStr">
        <is>
          <t>2052-06-06</t>
        </is>
      </c>
    </row>
    <row r="55703">
      <c r="A55703" s="1" t="n">
        <v>55702</v>
      </c>
      <c r="B55703">
        <f>TEXT(55702, "[$-0E0000]yyyy-mm-dd")</f>
        <v/>
      </c>
      <c r="C55703" t="inlineStr">
        <is>
          <t>2052-06-07</t>
        </is>
      </c>
    </row>
    <row r="55704">
      <c r="A55704" s="1" t="n">
        <v>55703</v>
      </c>
      <c r="B55704">
        <f>TEXT(55703, "[$-0E0000]yyyy-mm-dd")</f>
        <v/>
      </c>
      <c r="C55704" t="inlineStr">
        <is>
          <t>2052-06-08</t>
        </is>
      </c>
    </row>
    <row r="55705">
      <c r="A55705" s="1" t="n">
        <v>55704</v>
      </c>
      <c r="B55705">
        <f>TEXT(55704, "[$-0E0000]yyyy-mm-dd")</f>
        <v/>
      </c>
      <c r="C55705" t="inlineStr">
        <is>
          <t>2052-06-09</t>
        </is>
      </c>
    </row>
    <row r="55706">
      <c r="A55706" s="1" t="n">
        <v>55705</v>
      </c>
      <c r="B55706">
        <f>TEXT(55705, "[$-0E0000]yyyy-mm-dd")</f>
        <v/>
      </c>
      <c r="C55706" t="inlineStr">
        <is>
          <t>2052-06-10</t>
        </is>
      </c>
    </row>
    <row r="55707">
      <c r="A55707" s="1" t="n">
        <v>55706</v>
      </c>
      <c r="B55707">
        <f>TEXT(55706, "[$-0E0000]yyyy-mm-dd")</f>
        <v/>
      </c>
      <c r="C55707" t="inlineStr">
        <is>
          <t>2052-06-11</t>
        </is>
      </c>
    </row>
    <row r="55708">
      <c r="A55708" s="1" t="n">
        <v>55707</v>
      </c>
      <c r="B55708">
        <f>TEXT(55707, "[$-0E0000]yyyy-mm-dd")</f>
        <v/>
      </c>
      <c r="C55708" t="inlineStr">
        <is>
          <t>2052-06-12</t>
        </is>
      </c>
    </row>
    <row r="55709">
      <c r="A55709" s="1" t="n">
        <v>55708</v>
      </c>
      <c r="B55709">
        <f>TEXT(55708, "[$-0E0000]yyyy-mm-dd")</f>
        <v/>
      </c>
      <c r="C55709" t="inlineStr">
        <is>
          <t>2052-06-13</t>
        </is>
      </c>
    </row>
    <row r="55710">
      <c r="A55710" s="1" t="n">
        <v>55709</v>
      </c>
      <c r="B55710">
        <f>TEXT(55709, "[$-0E0000]yyyy-mm-dd")</f>
        <v/>
      </c>
      <c r="C55710" t="inlineStr">
        <is>
          <t>2052-06-14</t>
        </is>
      </c>
    </row>
    <row r="55711">
      <c r="A55711" s="1" t="n">
        <v>55710</v>
      </c>
      <c r="B55711">
        <f>TEXT(55710, "[$-0E0000]yyyy-mm-dd")</f>
        <v/>
      </c>
      <c r="C55711" t="inlineStr">
        <is>
          <t>2052-06-15</t>
        </is>
      </c>
    </row>
    <row r="55712">
      <c r="A55712" s="1" t="n">
        <v>55711</v>
      </c>
      <c r="B55712">
        <f>TEXT(55711, "[$-0E0000]yyyy-mm-dd")</f>
        <v/>
      </c>
      <c r="C55712" t="inlineStr">
        <is>
          <t>2052-06-16</t>
        </is>
      </c>
    </row>
    <row r="55713">
      <c r="A55713" s="1" t="n">
        <v>55712</v>
      </c>
      <c r="B55713">
        <f>TEXT(55712, "[$-0E0000]yyyy-mm-dd")</f>
        <v/>
      </c>
      <c r="C55713" t="inlineStr">
        <is>
          <t>2052-06-17</t>
        </is>
      </c>
    </row>
    <row r="55714">
      <c r="A55714" s="1" t="n">
        <v>55713</v>
      </c>
      <c r="B55714">
        <f>TEXT(55713, "[$-0E0000]yyyy-mm-dd")</f>
        <v/>
      </c>
      <c r="C55714" t="inlineStr">
        <is>
          <t>2052-06-18</t>
        </is>
      </c>
    </row>
    <row r="55715">
      <c r="A55715" s="1" t="n">
        <v>55714</v>
      </c>
      <c r="B55715">
        <f>TEXT(55714, "[$-0E0000]yyyy-mm-dd")</f>
        <v/>
      </c>
      <c r="C55715" t="inlineStr">
        <is>
          <t>2052-06-19</t>
        </is>
      </c>
    </row>
    <row r="55716">
      <c r="A55716" s="1" t="n">
        <v>55715</v>
      </c>
      <c r="B55716">
        <f>TEXT(55715, "[$-0E0000]yyyy-mm-dd")</f>
        <v/>
      </c>
      <c r="C55716" t="inlineStr">
        <is>
          <t>2052-06-20</t>
        </is>
      </c>
    </row>
    <row r="55717">
      <c r="A55717" s="1" t="n">
        <v>55716</v>
      </c>
      <c r="B55717">
        <f>TEXT(55716, "[$-0E0000]yyyy-mm-dd")</f>
        <v/>
      </c>
      <c r="C55717" t="inlineStr">
        <is>
          <t>2052-06-21</t>
        </is>
      </c>
    </row>
    <row r="55718">
      <c r="A55718" s="1" t="n">
        <v>55717</v>
      </c>
      <c r="B55718">
        <f>TEXT(55717, "[$-0E0000]yyyy-mm-dd")</f>
        <v/>
      </c>
      <c r="C55718" t="inlineStr">
        <is>
          <t>2052-06-22</t>
        </is>
      </c>
    </row>
    <row r="55719">
      <c r="A55719" s="1" t="n">
        <v>55718</v>
      </c>
      <c r="B55719">
        <f>TEXT(55718, "[$-0E0000]yyyy-mm-dd")</f>
        <v/>
      </c>
      <c r="C55719" t="inlineStr">
        <is>
          <t>2052-06-23</t>
        </is>
      </c>
    </row>
    <row r="55720">
      <c r="A55720" s="1" t="n">
        <v>55719</v>
      </c>
      <c r="B55720">
        <f>TEXT(55719, "[$-0E0000]yyyy-mm-dd")</f>
        <v/>
      </c>
      <c r="C55720" t="inlineStr">
        <is>
          <t>2052-06-24</t>
        </is>
      </c>
    </row>
    <row r="55721">
      <c r="A55721" s="1" t="n">
        <v>55720</v>
      </c>
      <c r="B55721">
        <f>TEXT(55720, "[$-0E0000]yyyy-mm-dd")</f>
        <v/>
      </c>
      <c r="C55721" t="inlineStr">
        <is>
          <t>2052-06-25</t>
        </is>
      </c>
    </row>
    <row r="55722">
      <c r="A55722" s="1" t="n">
        <v>55721</v>
      </c>
      <c r="B55722">
        <f>TEXT(55721, "[$-0E0000]yyyy-mm-dd")</f>
        <v/>
      </c>
      <c r="C55722" t="inlineStr">
        <is>
          <t>2052-06-26</t>
        </is>
      </c>
    </row>
    <row r="55723">
      <c r="A55723" s="1" t="n">
        <v>55722</v>
      </c>
      <c r="B55723">
        <f>TEXT(55722, "[$-0E0000]yyyy-mm-dd")</f>
        <v/>
      </c>
      <c r="C55723" t="inlineStr">
        <is>
          <t>2052-06-27</t>
        </is>
      </c>
    </row>
    <row r="55724">
      <c r="A55724" s="1" t="n">
        <v>55723</v>
      </c>
      <c r="B55724">
        <f>TEXT(55723, "[$-0E0000]yyyy-mm-dd")</f>
        <v/>
      </c>
      <c r="C55724" t="inlineStr">
        <is>
          <t>2052-06-28</t>
        </is>
      </c>
    </row>
    <row r="55725">
      <c r="A55725" s="1" t="n">
        <v>55724</v>
      </c>
      <c r="B55725">
        <f>TEXT(55724, "[$-0E0000]yyyy-mm-dd")</f>
        <v/>
      </c>
      <c r="C55725" t="inlineStr">
        <is>
          <t>2052-06-29</t>
        </is>
      </c>
    </row>
    <row r="55726">
      <c r="A55726" s="1" t="n">
        <v>55725</v>
      </c>
      <c r="B55726">
        <f>TEXT(55725, "[$-0E0000]yyyy-mm-dd")</f>
        <v/>
      </c>
      <c r="C55726" t="inlineStr">
        <is>
          <t>2052-07-01</t>
        </is>
      </c>
    </row>
    <row r="55727">
      <c r="A55727" s="1" t="n">
        <v>55726</v>
      </c>
      <c r="B55727">
        <f>TEXT(55726, "[$-0E0000]yyyy-mm-dd")</f>
        <v/>
      </c>
      <c r="C55727" t="inlineStr">
        <is>
          <t>2052-07-02</t>
        </is>
      </c>
    </row>
    <row r="55728">
      <c r="A55728" s="1" t="n">
        <v>55727</v>
      </c>
      <c r="B55728">
        <f>TEXT(55727, "[$-0E0000]yyyy-mm-dd")</f>
        <v/>
      </c>
      <c r="C55728" t="inlineStr">
        <is>
          <t>2052-07-03</t>
        </is>
      </c>
    </row>
    <row r="55729">
      <c r="A55729" s="1" t="n">
        <v>55728</v>
      </c>
      <c r="B55729">
        <f>TEXT(55728, "[$-0E0000]yyyy-mm-dd")</f>
        <v/>
      </c>
      <c r="C55729" t="inlineStr">
        <is>
          <t>2052-07-04</t>
        </is>
      </c>
    </row>
    <row r="55730">
      <c r="A55730" s="1" t="n">
        <v>55729</v>
      </c>
      <c r="B55730">
        <f>TEXT(55729, "[$-0E0000]yyyy-mm-dd")</f>
        <v/>
      </c>
      <c r="C55730" t="inlineStr">
        <is>
          <t>2052-07-05</t>
        </is>
      </c>
    </row>
    <row r="55731">
      <c r="A55731" s="1" t="n">
        <v>55730</v>
      </c>
      <c r="B55731">
        <f>TEXT(55730, "[$-0E0000]yyyy-mm-dd")</f>
        <v/>
      </c>
      <c r="C55731" t="inlineStr">
        <is>
          <t>2052-07-06</t>
        </is>
      </c>
    </row>
    <row r="55732">
      <c r="A55732" s="1" t="n">
        <v>55731</v>
      </c>
      <c r="B55732">
        <f>TEXT(55731, "[$-0E0000]yyyy-mm-dd")</f>
        <v/>
      </c>
      <c r="C55732" t="inlineStr">
        <is>
          <t>2052-07-07</t>
        </is>
      </c>
    </row>
    <row r="55733">
      <c r="A55733" s="1" t="n">
        <v>55732</v>
      </c>
      <c r="B55733">
        <f>TEXT(55732, "[$-0E0000]yyyy-mm-dd")</f>
        <v/>
      </c>
      <c r="C55733" t="inlineStr">
        <is>
          <t>2052-07-08</t>
        </is>
      </c>
    </row>
    <row r="55734">
      <c r="A55734" s="1" t="n">
        <v>55733</v>
      </c>
      <c r="B55734">
        <f>TEXT(55733, "[$-0E0000]yyyy-mm-dd")</f>
        <v/>
      </c>
      <c r="C55734" t="inlineStr">
        <is>
          <t>2052-07-09</t>
        </is>
      </c>
    </row>
    <row r="55735">
      <c r="A55735" s="1" t="n">
        <v>55734</v>
      </c>
      <c r="B55735">
        <f>TEXT(55734, "[$-0E0000]yyyy-mm-dd")</f>
        <v/>
      </c>
      <c r="C55735" t="inlineStr">
        <is>
          <t>2052-07-10</t>
        </is>
      </c>
    </row>
    <row r="55736">
      <c r="A55736" s="1" t="n">
        <v>55735</v>
      </c>
      <c r="B55736">
        <f>TEXT(55735, "[$-0E0000]yyyy-mm-dd")</f>
        <v/>
      </c>
      <c r="C55736" t="inlineStr">
        <is>
          <t>2052-07-11</t>
        </is>
      </c>
    </row>
    <row r="55737">
      <c r="A55737" s="1" t="n">
        <v>55736</v>
      </c>
      <c r="B55737">
        <f>TEXT(55736, "[$-0E0000]yyyy-mm-dd")</f>
        <v/>
      </c>
      <c r="C55737" t="inlineStr">
        <is>
          <t>2052-07-12</t>
        </is>
      </c>
    </row>
    <row r="55738">
      <c r="A55738" s="1" t="n">
        <v>55737</v>
      </c>
      <c r="B55738">
        <f>TEXT(55737, "[$-0E0000]yyyy-mm-dd")</f>
        <v/>
      </c>
      <c r="C55738" t="inlineStr">
        <is>
          <t>2052-07-13</t>
        </is>
      </c>
    </row>
    <row r="55739">
      <c r="A55739" s="1" t="n">
        <v>55738</v>
      </c>
      <c r="B55739">
        <f>TEXT(55738, "[$-0E0000]yyyy-mm-dd")</f>
        <v/>
      </c>
      <c r="C55739" t="inlineStr">
        <is>
          <t>2052-07-14</t>
        </is>
      </c>
    </row>
    <row r="55740">
      <c r="A55740" s="1" t="n">
        <v>55739</v>
      </c>
      <c r="B55740">
        <f>TEXT(55739, "[$-0E0000]yyyy-mm-dd")</f>
        <v/>
      </c>
      <c r="C55740" t="inlineStr">
        <is>
          <t>2052-07-15</t>
        </is>
      </c>
    </row>
    <row r="55741">
      <c r="A55741" s="1" t="n">
        <v>55740</v>
      </c>
      <c r="B55741">
        <f>TEXT(55740, "[$-0E0000]yyyy-mm-dd")</f>
        <v/>
      </c>
      <c r="C55741" t="inlineStr">
        <is>
          <t>2052-07-16</t>
        </is>
      </c>
    </row>
    <row r="55742">
      <c r="A55742" s="1" t="n">
        <v>55741</v>
      </c>
      <c r="B55742">
        <f>TEXT(55741, "[$-0E0000]yyyy-mm-dd")</f>
        <v/>
      </c>
      <c r="C55742" t="inlineStr">
        <is>
          <t>2052-07-17</t>
        </is>
      </c>
    </row>
    <row r="55743">
      <c r="A55743" s="1" t="n">
        <v>55742</v>
      </c>
      <c r="B55743">
        <f>TEXT(55742, "[$-0E0000]yyyy-mm-dd")</f>
        <v/>
      </c>
      <c r="C55743" t="inlineStr">
        <is>
          <t>2052-07-18</t>
        </is>
      </c>
    </row>
    <row r="55744">
      <c r="A55744" s="1" t="n">
        <v>55743</v>
      </c>
      <c r="B55744">
        <f>TEXT(55743, "[$-0E0000]yyyy-mm-dd")</f>
        <v/>
      </c>
      <c r="C55744" t="inlineStr">
        <is>
          <t>2052-07-19</t>
        </is>
      </c>
    </row>
    <row r="55745">
      <c r="A55745" s="1" t="n">
        <v>55744</v>
      </c>
      <c r="B55745">
        <f>TEXT(55744, "[$-0E0000]yyyy-mm-dd")</f>
        <v/>
      </c>
      <c r="C55745" t="inlineStr">
        <is>
          <t>2052-07-20</t>
        </is>
      </c>
    </row>
    <row r="55746">
      <c r="A55746" s="1" t="n">
        <v>55745</v>
      </c>
      <c r="B55746">
        <f>TEXT(55745, "[$-0E0000]yyyy-mm-dd")</f>
        <v/>
      </c>
      <c r="C55746" t="inlineStr">
        <is>
          <t>2052-07-21</t>
        </is>
      </c>
    </row>
    <row r="55747">
      <c r="A55747" s="1" t="n">
        <v>55746</v>
      </c>
      <c r="B55747">
        <f>TEXT(55746, "[$-0E0000]yyyy-mm-dd")</f>
        <v/>
      </c>
      <c r="C55747" t="inlineStr">
        <is>
          <t>2052-07-22</t>
        </is>
      </c>
    </row>
    <row r="55748">
      <c r="A55748" s="1" t="n">
        <v>55747</v>
      </c>
      <c r="B55748">
        <f>TEXT(55747, "[$-0E0000]yyyy-mm-dd")</f>
        <v/>
      </c>
      <c r="C55748" t="inlineStr">
        <is>
          <t>2052-07-23</t>
        </is>
      </c>
    </row>
    <row r="55749">
      <c r="A55749" s="1" t="n">
        <v>55748</v>
      </c>
      <c r="B55749">
        <f>TEXT(55748, "[$-0E0000]yyyy-mm-dd")</f>
        <v/>
      </c>
      <c r="C55749" t="inlineStr">
        <is>
          <t>2052-07-24</t>
        </is>
      </c>
    </row>
    <row r="55750">
      <c r="A55750" s="1" t="n">
        <v>55749</v>
      </c>
      <c r="B55750">
        <f>TEXT(55749, "[$-0E0000]yyyy-mm-dd")</f>
        <v/>
      </c>
      <c r="C55750" t="inlineStr">
        <is>
          <t>2052-07-25</t>
        </is>
      </c>
    </row>
    <row r="55751">
      <c r="A55751" s="1" t="n">
        <v>55750</v>
      </c>
      <c r="B55751">
        <f>TEXT(55750, "[$-0E0000]yyyy-mm-dd")</f>
        <v/>
      </c>
      <c r="C55751" t="inlineStr">
        <is>
          <t>2052-07-26</t>
        </is>
      </c>
    </row>
    <row r="55752">
      <c r="A55752" s="1" t="n">
        <v>55751</v>
      </c>
      <c r="B55752">
        <f>TEXT(55751, "[$-0E0000]yyyy-mm-dd")</f>
        <v/>
      </c>
      <c r="C55752" t="inlineStr">
        <is>
          <t>2052-07-27</t>
        </is>
      </c>
    </row>
    <row r="55753">
      <c r="A55753" s="1" t="n">
        <v>55752</v>
      </c>
      <c r="B55753">
        <f>TEXT(55752, "[$-0E0000]yyyy-mm-dd")</f>
        <v/>
      </c>
      <c r="C55753" t="inlineStr">
        <is>
          <t>2052-07-28</t>
        </is>
      </c>
    </row>
    <row r="55754">
      <c r="A55754" s="1" t="n">
        <v>55753</v>
      </c>
      <c r="B55754">
        <f>TEXT(55753, "[$-0E0000]yyyy-mm-dd")</f>
        <v/>
      </c>
      <c r="C55754" t="inlineStr">
        <is>
          <t>2052-07-29</t>
        </is>
      </c>
    </row>
    <row r="55755">
      <c r="A55755" s="1" t="n">
        <v>55754</v>
      </c>
      <c r="B55755">
        <f>TEXT(55754, "[$-0E0000]yyyy-mm-dd")</f>
        <v/>
      </c>
      <c r="C55755" t="inlineStr">
        <is>
          <t>2052-08-01</t>
        </is>
      </c>
    </row>
    <row r="55756">
      <c r="A55756" s="1" t="n">
        <v>55755</v>
      </c>
      <c r="B55756">
        <f>TEXT(55755, "[$-0E0000]yyyy-mm-dd")</f>
        <v/>
      </c>
      <c r="C55756" t="inlineStr">
        <is>
          <t>2052-08-02</t>
        </is>
      </c>
    </row>
    <row r="55757">
      <c r="A55757" s="1" t="n">
        <v>55756</v>
      </c>
      <c r="B55757">
        <f>TEXT(55756, "[$-0E0000]yyyy-mm-dd")</f>
        <v/>
      </c>
      <c r="C55757" t="inlineStr">
        <is>
          <t>2052-08-03</t>
        </is>
      </c>
    </row>
    <row r="55758">
      <c r="A55758" s="1" t="n">
        <v>55757</v>
      </c>
      <c r="B55758">
        <f>TEXT(55757, "[$-0E0000]yyyy-mm-dd")</f>
        <v/>
      </c>
      <c r="C55758" t="inlineStr">
        <is>
          <t>2052-08-04</t>
        </is>
      </c>
    </row>
    <row r="55759">
      <c r="A55759" s="1" t="n">
        <v>55758</v>
      </c>
      <c r="B55759">
        <f>TEXT(55758, "[$-0E0000]yyyy-mm-dd")</f>
        <v/>
      </c>
      <c r="C55759" t="inlineStr">
        <is>
          <t>2052-08-05</t>
        </is>
      </c>
    </row>
    <row r="55760">
      <c r="A55760" s="1" t="n">
        <v>55759</v>
      </c>
      <c r="B55760">
        <f>TEXT(55759, "[$-0E0000]yyyy-mm-dd")</f>
        <v/>
      </c>
      <c r="C55760" t="inlineStr">
        <is>
          <t>2052-08-06</t>
        </is>
      </c>
    </row>
    <row r="55761">
      <c r="A55761" s="1" t="n">
        <v>55760</v>
      </c>
      <c r="B55761">
        <f>TEXT(55760, "[$-0E0000]yyyy-mm-dd")</f>
        <v/>
      </c>
      <c r="C55761" t="inlineStr">
        <is>
          <t>2052-08-07</t>
        </is>
      </c>
    </row>
    <row r="55762">
      <c r="A55762" s="1" t="n">
        <v>55761</v>
      </c>
      <c r="B55762">
        <f>TEXT(55761, "[$-0E0000]yyyy-mm-dd")</f>
        <v/>
      </c>
      <c r="C55762" t="inlineStr">
        <is>
          <t>2052-08-08</t>
        </is>
      </c>
    </row>
    <row r="55763">
      <c r="A55763" s="1" t="n">
        <v>55762</v>
      </c>
      <c r="B55763">
        <f>TEXT(55762, "[$-0E0000]yyyy-mm-dd")</f>
        <v/>
      </c>
      <c r="C55763" t="inlineStr">
        <is>
          <t>2052-08-09</t>
        </is>
      </c>
    </row>
    <row r="55764">
      <c r="A55764" s="1" t="n">
        <v>55763</v>
      </c>
      <c r="B55764">
        <f>TEXT(55763, "[$-0E0000]yyyy-mm-dd")</f>
        <v/>
      </c>
      <c r="C55764" t="inlineStr">
        <is>
          <t>2052-08-10</t>
        </is>
      </c>
    </row>
    <row r="55765">
      <c r="A55765" s="1" t="n">
        <v>55764</v>
      </c>
      <c r="B55765">
        <f>TEXT(55764, "[$-0E0000]yyyy-mm-dd")</f>
        <v/>
      </c>
      <c r="C55765" t="inlineStr">
        <is>
          <t>2052-08-11</t>
        </is>
      </c>
    </row>
    <row r="55766">
      <c r="A55766" s="1" t="n">
        <v>55765</v>
      </c>
      <c r="B55766">
        <f>TEXT(55765, "[$-0E0000]yyyy-mm-dd")</f>
        <v/>
      </c>
      <c r="C55766" t="inlineStr">
        <is>
          <t>2052-08-12</t>
        </is>
      </c>
    </row>
    <row r="55767">
      <c r="A55767" s="1" t="n">
        <v>55766</v>
      </c>
      <c r="B55767">
        <f>TEXT(55766, "[$-0E0000]yyyy-mm-dd")</f>
        <v/>
      </c>
      <c r="C55767" t="inlineStr">
        <is>
          <t>2052-08-13</t>
        </is>
      </c>
    </row>
    <row r="55768">
      <c r="A55768" s="1" t="n">
        <v>55767</v>
      </c>
      <c r="B55768">
        <f>TEXT(55767, "[$-0E0000]yyyy-mm-dd")</f>
        <v/>
      </c>
      <c r="C55768" t="inlineStr">
        <is>
          <t>2052-08-14</t>
        </is>
      </c>
    </row>
    <row r="55769">
      <c r="A55769" s="1" t="n">
        <v>55768</v>
      </c>
      <c r="B55769">
        <f>TEXT(55768, "[$-0E0000]yyyy-mm-dd")</f>
        <v/>
      </c>
      <c r="C55769" t="inlineStr">
        <is>
          <t>2052-08-15</t>
        </is>
      </c>
    </row>
    <row r="55770">
      <c r="A55770" s="1" t="n">
        <v>55769</v>
      </c>
      <c r="B55770">
        <f>TEXT(55769, "[$-0E0000]yyyy-mm-dd")</f>
        <v/>
      </c>
      <c r="C55770" t="inlineStr">
        <is>
          <t>2052-08-16</t>
        </is>
      </c>
    </row>
    <row r="55771">
      <c r="A55771" s="1" t="n">
        <v>55770</v>
      </c>
      <c r="B55771">
        <f>TEXT(55770, "[$-0E0000]yyyy-mm-dd")</f>
        <v/>
      </c>
      <c r="C55771" t="inlineStr">
        <is>
          <t>2052-08-17</t>
        </is>
      </c>
    </row>
    <row r="55772">
      <c r="A55772" s="1" t="n">
        <v>55771</v>
      </c>
      <c r="B55772">
        <f>TEXT(55771, "[$-0E0000]yyyy-mm-dd")</f>
        <v/>
      </c>
      <c r="C55772" t="inlineStr">
        <is>
          <t>2052-08-18</t>
        </is>
      </c>
    </row>
    <row r="55773">
      <c r="A55773" s="1" t="n">
        <v>55772</v>
      </c>
      <c r="B55773">
        <f>TEXT(55772, "[$-0E0000]yyyy-mm-dd")</f>
        <v/>
      </c>
      <c r="C55773" t="inlineStr">
        <is>
          <t>2052-08-19</t>
        </is>
      </c>
    </row>
    <row r="55774">
      <c r="A55774" s="1" t="n">
        <v>55773</v>
      </c>
      <c r="B55774">
        <f>TEXT(55773, "[$-0E0000]yyyy-mm-dd")</f>
        <v/>
      </c>
      <c r="C55774" t="inlineStr">
        <is>
          <t>2052-08-20</t>
        </is>
      </c>
    </row>
    <row r="55775">
      <c r="A55775" s="1" t="n">
        <v>55774</v>
      </c>
      <c r="B55775">
        <f>TEXT(55774, "[$-0E0000]yyyy-mm-dd")</f>
        <v/>
      </c>
      <c r="C55775" t="inlineStr">
        <is>
          <t>2052-08-21</t>
        </is>
      </c>
    </row>
    <row r="55776">
      <c r="A55776" s="1" t="n">
        <v>55775</v>
      </c>
      <c r="B55776">
        <f>TEXT(55775, "[$-0E0000]yyyy-mm-dd")</f>
        <v/>
      </c>
      <c r="C55776" t="inlineStr">
        <is>
          <t>2052-08-22</t>
        </is>
      </c>
    </row>
    <row r="55777">
      <c r="A55777" s="1" t="n">
        <v>55776</v>
      </c>
      <c r="B55777">
        <f>TEXT(55776, "[$-0E0000]yyyy-mm-dd")</f>
        <v/>
      </c>
      <c r="C55777" t="inlineStr">
        <is>
          <t>2052-08-23</t>
        </is>
      </c>
    </row>
    <row r="55778">
      <c r="A55778" s="1" t="n">
        <v>55777</v>
      </c>
      <c r="B55778">
        <f>TEXT(55777, "[$-0E0000]yyyy-mm-dd")</f>
        <v/>
      </c>
      <c r="C55778" t="inlineStr">
        <is>
          <t>2052-08-24</t>
        </is>
      </c>
    </row>
    <row r="55779">
      <c r="A55779" s="1" t="n">
        <v>55778</v>
      </c>
      <c r="B55779">
        <f>TEXT(55778, "[$-0E0000]yyyy-mm-dd")</f>
        <v/>
      </c>
      <c r="C55779" t="inlineStr">
        <is>
          <t>2052-08-25</t>
        </is>
      </c>
    </row>
    <row r="55780">
      <c r="A55780" s="1" t="n">
        <v>55779</v>
      </c>
      <c r="B55780">
        <f>TEXT(55779, "[$-0E0000]yyyy-mm-dd")</f>
        <v/>
      </c>
      <c r="C55780" t="inlineStr">
        <is>
          <t>2052-08-26</t>
        </is>
      </c>
    </row>
    <row r="55781">
      <c r="A55781" s="1" t="n">
        <v>55780</v>
      </c>
      <c r="B55781">
        <f>TEXT(55780, "[$-0E0000]yyyy-mm-dd")</f>
        <v/>
      </c>
      <c r="C55781" t="inlineStr">
        <is>
          <t>2052-08-27</t>
        </is>
      </c>
    </row>
    <row r="55782">
      <c r="A55782" s="1" t="n">
        <v>55781</v>
      </c>
      <c r="B55782">
        <f>TEXT(55781, "[$-0E0000]yyyy-mm-dd")</f>
        <v/>
      </c>
      <c r="C55782" t="inlineStr">
        <is>
          <t>2052-08-28</t>
        </is>
      </c>
    </row>
    <row r="55783">
      <c r="A55783" s="1" t="n">
        <v>55782</v>
      </c>
      <c r="B55783">
        <f>TEXT(55782, "[$-0E0000]yyyy-mm-dd")</f>
        <v/>
      </c>
      <c r="C55783" t="inlineStr">
        <is>
          <t>2052-08-29</t>
        </is>
      </c>
    </row>
    <row r="55784">
      <c r="A55784" s="1" t="n">
        <v>55783</v>
      </c>
      <c r="B55784">
        <f>TEXT(55783, "[$-0E0000]yyyy-mm-dd")</f>
        <v/>
      </c>
      <c r="C55784" t="inlineStr">
        <is>
          <t>2052-08-30</t>
        </is>
      </c>
    </row>
    <row r="55785">
      <c r="A55785" s="1" t="n">
        <v>55784</v>
      </c>
      <c r="B55785">
        <f>TEXT(55784, "[$-0E0000]yyyy-mm-dd")</f>
        <v/>
      </c>
      <c r="C55785" t="inlineStr">
        <is>
          <t>2052-08-01</t>
        </is>
      </c>
    </row>
    <row r="55786">
      <c r="A55786" s="1" t="n">
        <v>55785</v>
      </c>
      <c r="B55786">
        <f>TEXT(55785, "[$-0E0000]yyyy-mm-dd")</f>
        <v/>
      </c>
      <c r="C55786" t="inlineStr">
        <is>
          <t>2052-08-02</t>
        </is>
      </c>
    </row>
    <row r="55787">
      <c r="A55787" s="1" t="n">
        <v>55786</v>
      </c>
      <c r="B55787">
        <f>TEXT(55786, "[$-0E0000]yyyy-mm-dd")</f>
        <v/>
      </c>
      <c r="C55787" t="inlineStr">
        <is>
          <t>2052-08-03</t>
        </is>
      </c>
    </row>
    <row r="55788">
      <c r="A55788" s="1" t="n">
        <v>55787</v>
      </c>
      <c r="B55788">
        <f>TEXT(55787, "[$-0E0000]yyyy-mm-dd")</f>
        <v/>
      </c>
      <c r="C55788" t="inlineStr">
        <is>
          <t>2052-08-04</t>
        </is>
      </c>
    </row>
    <row r="55789">
      <c r="A55789" s="1" t="n">
        <v>55788</v>
      </c>
      <c r="B55789">
        <f>TEXT(55788, "[$-0E0000]yyyy-mm-dd")</f>
        <v/>
      </c>
      <c r="C55789" t="inlineStr">
        <is>
          <t>2052-08-05</t>
        </is>
      </c>
    </row>
    <row r="55790">
      <c r="A55790" s="1" t="n">
        <v>55789</v>
      </c>
      <c r="B55790">
        <f>TEXT(55789, "[$-0E0000]yyyy-mm-dd")</f>
        <v/>
      </c>
      <c r="C55790" t="inlineStr">
        <is>
          <t>2052-08-06</t>
        </is>
      </c>
    </row>
    <row r="55791">
      <c r="A55791" s="1" t="n">
        <v>55790</v>
      </c>
      <c r="B55791">
        <f>TEXT(55790, "[$-0E0000]yyyy-mm-dd")</f>
        <v/>
      </c>
      <c r="C55791" t="inlineStr">
        <is>
          <t>2052-08-07</t>
        </is>
      </c>
    </row>
    <row r="55792">
      <c r="A55792" s="1" t="n">
        <v>55791</v>
      </c>
      <c r="B55792">
        <f>TEXT(55791, "[$-0E0000]yyyy-mm-dd")</f>
        <v/>
      </c>
      <c r="C55792" t="inlineStr">
        <is>
          <t>2052-08-08</t>
        </is>
      </c>
    </row>
    <row r="55793">
      <c r="A55793" s="1" t="n">
        <v>55792</v>
      </c>
      <c r="B55793">
        <f>TEXT(55792, "[$-0E0000]yyyy-mm-dd")</f>
        <v/>
      </c>
      <c r="C55793" t="inlineStr">
        <is>
          <t>2052-08-09</t>
        </is>
      </c>
    </row>
    <row r="55794">
      <c r="A55794" s="1" t="n">
        <v>55793</v>
      </c>
      <c r="B55794">
        <f>TEXT(55793, "[$-0E0000]yyyy-mm-dd")</f>
        <v/>
      </c>
      <c r="C55794" t="inlineStr">
        <is>
          <t>2052-08-10</t>
        </is>
      </c>
    </row>
    <row r="55795">
      <c r="A55795" s="1" t="n">
        <v>55794</v>
      </c>
      <c r="B55795">
        <f>TEXT(55794, "[$-0E0000]yyyy-mm-dd")</f>
        <v/>
      </c>
      <c r="C55795" t="inlineStr">
        <is>
          <t>2052-08-11</t>
        </is>
      </c>
    </row>
    <row r="55796">
      <c r="A55796" s="1" t="n">
        <v>55795</v>
      </c>
      <c r="B55796">
        <f>TEXT(55795, "[$-0E0000]yyyy-mm-dd")</f>
        <v/>
      </c>
      <c r="C55796" t="inlineStr">
        <is>
          <t>2052-08-12</t>
        </is>
      </c>
    </row>
    <row r="55797">
      <c r="A55797" s="1" t="n">
        <v>55796</v>
      </c>
      <c r="B55797">
        <f>TEXT(55796, "[$-0E0000]yyyy-mm-dd")</f>
        <v/>
      </c>
      <c r="C55797" t="inlineStr">
        <is>
          <t>2052-08-13</t>
        </is>
      </c>
    </row>
    <row r="55798">
      <c r="A55798" s="1" t="n">
        <v>55797</v>
      </c>
      <c r="B55798">
        <f>TEXT(55797, "[$-0E0000]yyyy-mm-dd")</f>
        <v/>
      </c>
      <c r="C55798" t="inlineStr">
        <is>
          <t>2052-08-14</t>
        </is>
      </c>
    </row>
    <row r="55799">
      <c r="A55799" s="1" t="n">
        <v>55798</v>
      </c>
      <c r="B55799">
        <f>TEXT(55798, "[$-0E0000]yyyy-mm-dd")</f>
        <v/>
      </c>
      <c r="C55799" t="inlineStr">
        <is>
          <t>2052-08-15</t>
        </is>
      </c>
    </row>
    <row r="55800">
      <c r="A55800" s="1" t="n">
        <v>55799</v>
      </c>
      <c r="B55800">
        <f>TEXT(55799, "[$-0E0000]yyyy-mm-dd")</f>
        <v/>
      </c>
      <c r="C55800" t="inlineStr">
        <is>
          <t>2052-08-16</t>
        </is>
      </c>
    </row>
    <row r="55801">
      <c r="A55801" s="1" t="n">
        <v>55800</v>
      </c>
      <c r="B55801">
        <f>TEXT(55800, "[$-0E0000]yyyy-mm-dd")</f>
        <v/>
      </c>
      <c r="C55801" t="inlineStr">
        <is>
          <t>2052-08-17</t>
        </is>
      </c>
    </row>
    <row r="55802">
      <c r="A55802" s="1" t="n">
        <v>55801</v>
      </c>
      <c r="B55802">
        <f>TEXT(55801, "[$-0E0000]yyyy-mm-dd")</f>
        <v/>
      </c>
      <c r="C55802" t="inlineStr">
        <is>
          <t>2052-08-18</t>
        </is>
      </c>
    </row>
    <row r="55803">
      <c r="A55803" s="1" t="n">
        <v>55802</v>
      </c>
      <c r="B55803">
        <f>TEXT(55802, "[$-0E0000]yyyy-mm-dd")</f>
        <v/>
      </c>
      <c r="C55803" t="inlineStr">
        <is>
          <t>2052-08-19</t>
        </is>
      </c>
    </row>
    <row r="55804">
      <c r="A55804" s="1" t="n">
        <v>55803</v>
      </c>
      <c r="B55804">
        <f>TEXT(55803, "[$-0E0000]yyyy-mm-dd")</f>
        <v/>
      </c>
      <c r="C55804" t="inlineStr">
        <is>
          <t>2052-08-20</t>
        </is>
      </c>
    </row>
    <row r="55805">
      <c r="A55805" s="1" t="n">
        <v>55804</v>
      </c>
      <c r="B55805">
        <f>TEXT(55804, "[$-0E0000]yyyy-mm-dd")</f>
        <v/>
      </c>
      <c r="C55805" t="inlineStr">
        <is>
          <t>2052-08-21</t>
        </is>
      </c>
    </row>
    <row r="55806">
      <c r="A55806" s="1" t="n">
        <v>55805</v>
      </c>
      <c r="B55806">
        <f>TEXT(55805, "[$-0E0000]yyyy-mm-dd")</f>
        <v/>
      </c>
      <c r="C55806" t="inlineStr">
        <is>
          <t>2052-08-22</t>
        </is>
      </c>
    </row>
    <row r="55807">
      <c r="A55807" s="1" t="n">
        <v>55806</v>
      </c>
      <c r="B55807">
        <f>TEXT(55806, "[$-0E0000]yyyy-mm-dd")</f>
        <v/>
      </c>
      <c r="C55807" t="inlineStr">
        <is>
          <t>2052-08-23</t>
        </is>
      </c>
    </row>
    <row r="55808">
      <c r="A55808" s="1" t="n">
        <v>55807</v>
      </c>
      <c r="B55808">
        <f>TEXT(55807, "[$-0E0000]yyyy-mm-dd")</f>
        <v/>
      </c>
      <c r="C55808" t="inlineStr">
        <is>
          <t>2052-08-24</t>
        </is>
      </c>
    </row>
    <row r="55809">
      <c r="A55809" s="1" t="n">
        <v>55808</v>
      </c>
      <c r="B55809">
        <f>TEXT(55808, "[$-0E0000]yyyy-mm-dd")</f>
        <v/>
      </c>
      <c r="C55809" t="inlineStr">
        <is>
          <t>2052-08-25</t>
        </is>
      </c>
    </row>
    <row r="55810">
      <c r="A55810" s="1" t="n">
        <v>55809</v>
      </c>
      <c r="B55810">
        <f>TEXT(55809, "[$-0E0000]yyyy-mm-dd")</f>
        <v/>
      </c>
      <c r="C55810" t="inlineStr">
        <is>
          <t>2052-08-26</t>
        </is>
      </c>
    </row>
    <row r="55811">
      <c r="A55811" s="1" t="n">
        <v>55810</v>
      </c>
      <c r="B55811">
        <f>TEXT(55810, "[$-0E0000]yyyy-mm-dd")</f>
        <v/>
      </c>
      <c r="C55811" t="inlineStr">
        <is>
          <t>2052-08-27</t>
        </is>
      </c>
    </row>
    <row r="55812">
      <c r="A55812" s="1" t="n">
        <v>55811</v>
      </c>
      <c r="B55812">
        <f>TEXT(55811, "[$-0E0000]yyyy-mm-dd")</f>
        <v/>
      </c>
      <c r="C55812" t="inlineStr">
        <is>
          <t>2052-08-28</t>
        </is>
      </c>
    </row>
    <row r="55813">
      <c r="A55813" s="1" t="n">
        <v>55812</v>
      </c>
      <c r="B55813">
        <f>TEXT(55812, "[$-0E0000]yyyy-mm-dd")</f>
        <v/>
      </c>
      <c r="C55813" t="inlineStr">
        <is>
          <t>2052-08-29</t>
        </is>
      </c>
    </row>
    <row r="55814">
      <c r="A55814" s="1" t="n">
        <v>55813</v>
      </c>
      <c r="B55814">
        <f>TEXT(55813, "[$-0E0000]yyyy-mm-dd")</f>
        <v/>
      </c>
      <c r="C55814" t="inlineStr">
        <is>
          <t>2052-09-01</t>
        </is>
      </c>
    </row>
    <row r="55815">
      <c r="A55815" s="1" t="n">
        <v>55814</v>
      </c>
      <c r="B55815">
        <f>TEXT(55814, "[$-0E0000]yyyy-mm-dd")</f>
        <v/>
      </c>
      <c r="C55815" t="inlineStr">
        <is>
          <t>2052-09-02</t>
        </is>
      </c>
    </row>
    <row r="55816">
      <c r="A55816" s="1" t="n">
        <v>55815</v>
      </c>
      <c r="B55816">
        <f>TEXT(55815, "[$-0E0000]yyyy-mm-dd")</f>
        <v/>
      </c>
      <c r="C55816" t="inlineStr">
        <is>
          <t>2052-09-03</t>
        </is>
      </c>
    </row>
    <row r="55817">
      <c r="A55817" s="1" t="n">
        <v>55816</v>
      </c>
      <c r="B55817">
        <f>TEXT(55816, "[$-0E0000]yyyy-mm-dd")</f>
        <v/>
      </c>
      <c r="C55817" t="inlineStr">
        <is>
          <t>2052-09-04</t>
        </is>
      </c>
    </row>
    <row r="55818">
      <c r="A55818" s="1" t="n">
        <v>55817</v>
      </c>
      <c r="B55818">
        <f>TEXT(55817, "[$-0E0000]yyyy-mm-dd")</f>
        <v/>
      </c>
      <c r="C55818" t="inlineStr">
        <is>
          <t>2052-09-05</t>
        </is>
      </c>
    </row>
    <row r="55819">
      <c r="A55819" s="1" t="n">
        <v>55818</v>
      </c>
      <c r="B55819">
        <f>TEXT(55818, "[$-0E0000]yyyy-mm-dd")</f>
        <v/>
      </c>
      <c r="C55819" t="inlineStr">
        <is>
          <t>2052-09-06</t>
        </is>
      </c>
    </row>
    <row r="55820">
      <c r="A55820" s="1" t="n">
        <v>55819</v>
      </c>
      <c r="B55820">
        <f>TEXT(55819, "[$-0E0000]yyyy-mm-dd")</f>
        <v/>
      </c>
      <c r="C55820" t="inlineStr">
        <is>
          <t>2052-09-07</t>
        </is>
      </c>
    </row>
    <row r="55821">
      <c r="A55821" s="1" t="n">
        <v>55820</v>
      </c>
      <c r="B55821">
        <f>TEXT(55820, "[$-0E0000]yyyy-mm-dd")</f>
        <v/>
      </c>
      <c r="C55821" t="inlineStr">
        <is>
          <t>2052-09-08</t>
        </is>
      </c>
    </row>
    <row r="55822">
      <c r="A55822" s="1" t="n">
        <v>55821</v>
      </c>
      <c r="B55822">
        <f>TEXT(55821, "[$-0E0000]yyyy-mm-dd")</f>
        <v/>
      </c>
      <c r="C55822" t="inlineStr">
        <is>
          <t>2052-09-09</t>
        </is>
      </c>
    </row>
    <row r="55823">
      <c r="A55823" s="1" t="n">
        <v>55822</v>
      </c>
      <c r="B55823">
        <f>TEXT(55822, "[$-0E0000]yyyy-mm-dd")</f>
        <v/>
      </c>
      <c r="C55823" t="inlineStr">
        <is>
          <t>2052-09-10</t>
        </is>
      </c>
    </row>
    <row r="55824">
      <c r="A55824" s="1" t="n">
        <v>55823</v>
      </c>
      <c r="B55824">
        <f>TEXT(55823, "[$-0E0000]yyyy-mm-dd")</f>
        <v/>
      </c>
      <c r="C55824" t="inlineStr">
        <is>
          <t>2052-09-11</t>
        </is>
      </c>
    </row>
    <row r="55825">
      <c r="A55825" s="1" t="n">
        <v>55824</v>
      </c>
      <c r="B55825">
        <f>TEXT(55824, "[$-0E0000]yyyy-mm-dd")</f>
        <v/>
      </c>
      <c r="C55825" t="inlineStr">
        <is>
          <t>2052-09-12</t>
        </is>
      </c>
    </row>
    <row r="55826">
      <c r="A55826" s="1" t="n">
        <v>55825</v>
      </c>
      <c r="B55826">
        <f>TEXT(55825, "[$-0E0000]yyyy-mm-dd")</f>
        <v/>
      </c>
      <c r="C55826" t="inlineStr">
        <is>
          <t>2052-09-13</t>
        </is>
      </c>
    </row>
    <row r="55827">
      <c r="A55827" s="1" t="n">
        <v>55826</v>
      </c>
      <c r="B55827">
        <f>TEXT(55826, "[$-0E0000]yyyy-mm-dd")</f>
        <v/>
      </c>
      <c r="C55827" t="inlineStr">
        <is>
          <t>2052-09-14</t>
        </is>
      </c>
    </row>
    <row r="55828">
      <c r="A55828" s="1" t="n">
        <v>55827</v>
      </c>
      <c r="B55828">
        <f>TEXT(55827, "[$-0E0000]yyyy-mm-dd")</f>
        <v/>
      </c>
      <c r="C55828" t="inlineStr">
        <is>
          <t>2052-09-15</t>
        </is>
      </c>
    </row>
    <row r="55829">
      <c r="A55829" s="1" t="n">
        <v>55828</v>
      </c>
      <c r="B55829">
        <f>TEXT(55828, "[$-0E0000]yyyy-mm-dd")</f>
        <v/>
      </c>
      <c r="C55829" t="inlineStr">
        <is>
          <t>2052-09-16</t>
        </is>
      </c>
    </row>
    <row r="55830">
      <c r="A55830" s="1" t="n">
        <v>55829</v>
      </c>
      <c r="B55830">
        <f>TEXT(55829, "[$-0E0000]yyyy-mm-dd")</f>
        <v/>
      </c>
      <c r="C55830" t="inlineStr">
        <is>
          <t>2052-09-17</t>
        </is>
      </c>
    </row>
    <row r="55831">
      <c r="A55831" s="1" t="n">
        <v>55830</v>
      </c>
      <c r="B55831">
        <f>TEXT(55830, "[$-0E0000]yyyy-mm-dd")</f>
        <v/>
      </c>
      <c r="C55831" t="inlineStr">
        <is>
          <t>2052-09-18</t>
        </is>
      </c>
    </row>
    <row r="55832">
      <c r="A55832" s="1" t="n">
        <v>55831</v>
      </c>
      <c r="B55832">
        <f>TEXT(55831, "[$-0E0000]yyyy-mm-dd")</f>
        <v/>
      </c>
      <c r="C55832" t="inlineStr">
        <is>
          <t>2052-09-19</t>
        </is>
      </c>
    </row>
    <row r="55833">
      <c r="A55833" s="1" t="n">
        <v>55832</v>
      </c>
      <c r="B55833">
        <f>TEXT(55832, "[$-0E0000]yyyy-mm-dd")</f>
        <v/>
      </c>
      <c r="C55833" t="inlineStr">
        <is>
          <t>2052-09-20</t>
        </is>
      </c>
    </row>
    <row r="55834">
      <c r="A55834" s="1" t="n">
        <v>55833</v>
      </c>
      <c r="B55834">
        <f>TEXT(55833, "[$-0E0000]yyyy-mm-dd")</f>
        <v/>
      </c>
      <c r="C55834" t="inlineStr">
        <is>
          <t>2052-09-21</t>
        </is>
      </c>
    </row>
    <row r="55835">
      <c r="A55835" s="1" t="n">
        <v>55834</v>
      </c>
      <c r="B55835">
        <f>TEXT(55834, "[$-0E0000]yyyy-mm-dd")</f>
        <v/>
      </c>
      <c r="C55835" t="inlineStr">
        <is>
          <t>2052-09-22</t>
        </is>
      </c>
    </row>
    <row r="55836">
      <c r="A55836" s="1" t="n">
        <v>55835</v>
      </c>
      <c r="B55836">
        <f>TEXT(55835, "[$-0E0000]yyyy-mm-dd")</f>
        <v/>
      </c>
      <c r="C55836" t="inlineStr">
        <is>
          <t>2052-09-23</t>
        </is>
      </c>
    </row>
    <row r="55837">
      <c r="A55837" s="1" t="n">
        <v>55836</v>
      </c>
      <c r="B55837">
        <f>TEXT(55836, "[$-0E0000]yyyy-mm-dd")</f>
        <v/>
      </c>
      <c r="C55837" t="inlineStr">
        <is>
          <t>2052-09-24</t>
        </is>
      </c>
    </row>
    <row r="55838">
      <c r="A55838" s="1" t="n">
        <v>55837</v>
      </c>
      <c r="B55838">
        <f>TEXT(55837, "[$-0E0000]yyyy-mm-dd")</f>
        <v/>
      </c>
      <c r="C55838" t="inlineStr">
        <is>
          <t>2052-09-25</t>
        </is>
      </c>
    </row>
    <row r="55839">
      <c r="A55839" s="1" t="n">
        <v>55838</v>
      </c>
      <c r="B55839">
        <f>TEXT(55838, "[$-0E0000]yyyy-mm-dd")</f>
        <v/>
      </c>
      <c r="C55839" t="inlineStr">
        <is>
          <t>2052-09-26</t>
        </is>
      </c>
    </row>
    <row r="55840">
      <c r="A55840" s="1" t="n">
        <v>55839</v>
      </c>
      <c r="B55840">
        <f>TEXT(55839, "[$-0E0000]yyyy-mm-dd")</f>
        <v/>
      </c>
      <c r="C55840" t="inlineStr">
        <is>
          <t>2052-09-27</t>
        </is>
      </c>
    </row>
    <row r="55841">
      <c r="A55841" s="1" t="n">
        <v>55840</v>
      </c>
      <c r="B55841">
        <f>TEXT(55840, "[$-0E0000]yyyy-mm-dd")</f>
        <v/>
      </c>
      <c r="C55841" t="inlineStr">
        <is>
          <t>2052-09-28</t>
        </is>
      </c>
    </row>
    <row r="55842">
      <c r="A55842" s="1" t="n">
        <v>55841</v>
      </c>
      <c r="B55842">
        <f>TEXT(55841, "[$-0E0000]yyyy-mm-dd")</f>
        <v/>
      </c>
      <c r="C55842" t="inlineStr">
        <is>
          <t>2052-09-29</t>
        </is>
      </c>
    </row>
    <row r="55843">
      <c r="A55843" s="1" t="n">
        <v>55842</v>
      </c>
      <c r="B55843">
        <f>TEXT(55842, "[$-0E0000]yyyy-mm-dd")</f>
        <v/>
      </c>
      <c r="C55843" t="inlineStr">
        <is>
          <t>2052-09-30</t>
        </is>
      </c>
    </row>
    <row r="55844">
      <c r="A55844" s="1" t="n">
        <v>55843</v>
      </c>
      <c r="B55844">
        <f>TEXT(55843, "[$-0E0000]yyyy-mm-dd")</f>
        <v/>
      </c>
      <c r="C55844" t="inlineStr">
        <is>
          <t>2052-10-01</t>
        </is>
      </c>
    </row>
    <row r="55845">
      <c r="A55845" s="1" t="n">
        <v>55844</v>
      </c>
      <c r="B55845">
        <f>TEXT(55844, "[$-0E0000]yyyy-mm-dd")</f>
        <v/>
      </c>
      <c r="C55845" t="inlineStr">
        <is>
          <t>2052-10-02</t>
        </is>
      </c>
    </row>
    <row r="55846">
      <c r="A55846" s="1" t="n">
        <v>55845</v>
      </c>
      <c r="B55846">
        <f>TEXT(55845, "[$-0E0000]yyyy-mm-dd")</f>
        <v/>
      </c>
      <c r="C55846" t="inlineStr">
        <is>
          <t>2052-10-03</t>
        </is>
      </c>
    </row>
    <row r="55847">
      <c r="A55847" s="1" t="n">
        <v>55846</v>
      </c>
      <c r="B55847">
        <f>TEXT(55846, "[$-0E0000]yyyy-mm-dd")</f>
        <v/>
      </c>
      <c r="C55847" t="inlineStr">
        <is>
          <t>2052-10-04</t>
        </is>
      </c>
    </row>
    <row r="55848">
      <c r="A55848" s="1" t="n">
        <v>55847</v>
      </c>
      <c r="B55848">
        <f>TEXT(55847, "[$-0E0000]yyyy-mm-dd")</f>
        <v/>
      </c>
      <c r="C55848" t="inlineStr">
        <is>
          <t>2052-10-05</t>
        </is>
      </c>
    </row>
    <row r="55849">
      <c r="A55849" s="1" t="n">
        <v>55848</v>
      </c>
      <c r="B55849">
        <f>TEXT(55848, "[$-0E0000]yyyy-mm-dd")</f>
        <v/>
      </c>
      <c r="C55849" t="inlineStr">
        <is>
          <t>2052-10-06</t>
        </is>
      </c>
    </row>
    <row r="55850">
      <c r="A55850" s="1" t="n">
        <v>55849</v>
      </c>
      <c r="B55850">
        <f>TEXT(55849, "[$-0E0000]yyyy-mm-dd")</f>
        <v/>
      </c>
      <c r="C55850" t="inlineStr">
        <is>
          <t>2052-10-07</t>
        </is>
      </c>
    </row>
    <row r="55851">
      <c r="A55851" s="1" t="n">
        <v>55850</v>
      </c>
      <c r="B55851">
        <f>TEXT(55850, "[$-0E0000]yyyy-mm-dd")</f>
        <v/>
      </c>
      <c r="C55851" t="inlineStr">
        <is>
          <t>2052-10-08</t>
        </is>
      </c>
    </row>
    <row r="55852">
      <c r="A55852" s="1" t="n">
        <v>55851</v>
      </c>
      <c r="B55852">
        <f>TEXT(55851, "[$-0E0000]yyyy-mm-dd")</f>
        <v/>
      </c>
      <c r="C55852" t="inlineStr">
        <is>
          <t>2052-10-09</t>
        </is>
      </c>
    </row>
    <row r="55853">
      <c r="A55853" s="1" t="n">
        <v>55852</v>
      </c>
      <c r="B55853">
        <f>TEXT(55852, "[$-0E0000]yyyy-mm-dd")</f>
        <v/>
      </c>
      <c r="C55853" t="inlineStr">
        <is>
          <t>2052-10-10</t>
        </is>
      </c>
    </row>
    <row r="55854">
      <c r="A55854" s="1" t="n">
        <v>55853</v>
      </c>
      <c r="B55854">
        <f>TEXT(55853, "[$-0E0000]yyyy-mm-dd")</f>
        <v/>
      </c>
      <c r="C55854" t="inlineStr">
        <is>
          <t>2052-10-11</t>
        </is>
      </c>
    </row>
    <row r="55855">
      <c r="A55855" s="1" t="n">
        <v>55854</v>
      </c>
      <c r="B55855">
        <f>TEXT(55854, "[$-0E0000]yyyy-mm-dd")</f>
        <v/>
      </c>
      <c r="C55855" t="inlineStr">
        <is>
          <t>2052-10-12</t>
        </is>
      </c>
    </row>
    <row r="55856">
      <c r="A55856" s="1" t="n">
        <v>55855</v>
      </c>
      <c r="B55856">
        <f>TEXT(55855, "[$-0E0000]yyyy-mm-dd")</f>
        <v/>
      </c>
      <c r="C55856" t="inlineStr">
        <is>
          <t>2052-10-13</t>
        </is>
      </c>
    </row>
    <row r="55857">
      <c r="A55857" s="1" t="n">
        <v>55856</v>
      </c>
      <c r="B55857">
        <f>TEXT(55856, "[$-0E0000]yyyy-mm-dd")</f>
        <v/>
      </c>
      <c r="C55857" t="inlineStr">
        <is>
          <t>2052-10-14</t>
        </is>
      </c>
    </row>
    <row r="55858">
      <c r="A55858" s="1" t="n">
        <v>55857</v>
      </c>
      <c r="B55858">
        <f>TEXT(55857, "[$-0E0000]yyyy-mm-dd")</f>
        <v/>
      </c>
      <c r="C55858" t="inlineStr">
        <is>
          <t>2052-10-15</t>
        </is>
      </c>
    </row>
    <row r="55859">
      <c r="A55859" s="1" t="n">
        <v>55858</v>
      </c>
      <c r="B55859">
        <f>TEXT(55858, "[$-0E0000]yyyy-mm-dd")</f>
        <v/>
      </c>
      <c r="C55859" t="inlineStr">
        <is>
          <t>2052-10-16</t>
        </is>
      </c>
    </row>
    <row r="55860">
      <c r="A55860" s="1" t="n">
        <v>55859</v>
      </c>
      <c r="B55860">
        <f>TEXT(55859, "[$-0E0000]yyyy-mm-dd")</f>
        <v/>
      </c>
      <c r="C55860" t="inlineStr">
        <is>
          <t>2052-10-17</t>
        </is>
      </c>
    </row>
    <row r="55861">
      <c r="A55861" s="1" t="n">
        <v>55860</v>
      </c>
      <c r="B55861">
        <f>TEXT(55860, "[$-0E0000]yyyy-mm-dd")</f>
        <v/>
      </c>
      <c r="C55861" t="inlineStr">
        <is>
          <t>2052-10-18</t>
        </is>
      </c>
    </row>
    <row r="55862">
      <c r="A55862" s="1" t="n">
        <v>55861</v>
      </c>
      <c r="B55862">
        <f>TEXT(55861, "[$-0E0000]yyyy-mm-dd")</f>
        <v/>
      </c>
      <c r="C55862" t="inlineStr">
        <is>
          <t>2052-10-19</t>
        </is>
      </c>
    </row>
    <row r="55863">
      <c r="A55863" s="1" t="n">
        <v>55862</v>
      </c>
      <c r="B55863">
        <f>TEXT(55862, "[$-0E0000]yyyy-mm-dd")</f>
        <v/>
      </c>
      <c r="C55863" t="inlineStr">
        <is>
          <t>2052-10-20</t>
        </is>
      </c>
    </row>
    <row r="55864">
      <c r="A55864" s="1" t="n">
        <v>55863</v>
      </c>
      <c r="B55864">
        <f>TEXT(55863, "[$-0E0000]yyyy-mm-dd")</f>
        <v/>
      </c>
      <c r="C55864" t="inlineStr">
        <is>
          <t>2052-10-21</t>
        </is>
      </c>
    </row>
    <row r="55865">
      <c r="A55865" s="1" t="n">
        <v>55864</v>
      </c>
      <c r="B55865">
        <f>TEXT(55864, "[$-0E0000]yyyy-mm-dd")</f>
        <v/>
      </c>
      <c r="C55865" t="inlineStr">
        <is>
          <t>2052-10-22</t>
        </is>
      </c>
    </row>
    <row r="55866">
      <c r="A55866" s="1" t="n">
        <v>55865</v>
      </c>
      <c r="B55866">
        <f>TEXT(55865, "[$-0E0000]yyyy-mm-dd")</f>
        <v/>
      </c>
      <c r="C55866" t="inlineStr">
        <is>
          <t>2052-10-23</t>
        </is>
      </c>
    </row>
    <row r="55867">
      <c r="A55867" s="1" t="n">
        <v>55866</v>
      </c>
      <c r="B55867">
        <f>TEXT(55866, "[$-0E0000]yyyy-mm-dd")</f>
        <v/>
      </c>
      <c r="C55867" t="inlineStr">
        <is>
          <t>2052-10-24</t>
        </is>
      </c>
    </row>
    <row r="55868">
      <c r="A55868" s="1" t="n">
        <v>55867</v>
      </c>
      <c r="B55868">
        <f>TEXT(55867, "[$-0E0000]yyyy-mm-dd")</f>
        <v/>
      </c>
      <c r="C55868" t="inlineStr">
        <is>
          <t>2052-10-25</t>
        </is>
      </c>
    </row>
    <row r="55869">
      <c r="A55869" s="1" t="n">
        <v>55868</v>
      </c>
      <c r="B55869">
        <f>TEXT(55868, "[$-0E0000]yyyy-mm-dd")</f>
        <v/>
      </c>
      <c r="C55869" t="inlineStr">
        <is>
          <t>2052-10-26</t>
        </is>
      </c>
    </row>
    <row r="55870">
      <c r="A55870" s="1" t="n">
        <v>55869</v>
      </c>
      <c r="B55870">
        <f>TEXT(55869, "[$-0E0000]yyyy-mm-dd")</f>
        <v/>
      </c>
      <c r="C55870" t="inlineStr">
        <is>
          <t>2052-10-27</t>
        </is>
      </c>
    </row>
    <row r="55871">
      <c r="A55871" s="1" t="n">
        <v>55870</v>
      </c>
      <c r="B55871">
        <f>TEXT(55870, "[$-0E0000]yyyy-mm-dd")</f>
        <v/>
      </c>
      <c r="C55871" t="inlineStr">
        <is>
          <t>2052-10-28</t>
        </is>
      </c>
    </row>
    <row r="55872">
      <c r="A55872" s="1" t="n">
        <v>55871</v>
      </c>
      <c r="B55872">
        <f>TEXT(55871, "[$-0E0000]yyyy-mm-dd")</f>
        <v/>
      </c>
      <c r="C55872" t="inlineStr">
        <is>
          <t>2052-10-29</t>
        </is>
      </c>
    </row>
    <row r="55873">
      <c r="A55873" s="1" t="n">
        <v>55872</v>
      </c>
      <c r="B55873">
        <f>TEXT(55872, "[$-0E0000]yyyy-mm-dd")</f>
        <v/>
      </c>
      <c r="C55873" t="inlineStr">
        <is>
          <t>2052-10-30</t>
        </is>
      </c>
    </row>
    <row r="55874">
      <c r="A55874" s="1" t="n">
        <v>55873</v>
      </c>
      <c r="B55874">
        <f>TEXT(55873, "[$-0E0000]yyyy-mm-dd")</f>
        <v/>
      </c>
      <c r="C55874" t="inlineStr">
        <is>
          <t>2052-11-01</t>
        </is>
      </c>
    </row>
    <row r="55875">
      <c r="A55875" s="1" t="n">
        <v>55874</v>
      </c>
      <c r="B55875">
        <f>TEXT(55874, "[$-0E0000]yyyy-mm-dd")</f>
        <v/>
      </c>
      <c r="C55875" t="inlineStr">
        <is>
          <t>2052-11-02</t>
        </is>
      </c>
    </row>
    <row r="55876">
      <c r="A55876" s="1" t="n">
        <v>55875</v>
      </c>
      <c r="B55876">
        <f>TEXT(55875, "[$-0E0000]yyyy-mm-dd")</f>
        <v/>
      </c>
      <c r="C55876" t="inlineStr">
        <is>
          <t>2052-11-03</t>
        </is>
      </c>
    </row>
    <row r="55877">
      <c r="A55877" s="1" t="n">
        <v>55876</v>
      </c>
      <c r="B55877">
        <f>TEXT(55876, "[$-0E0000]yyyy-mm-dd")</f>
        <v/>
      </c>
      <c r="C55877" t="inlineStr">
        <is>
          <t>2052-11-04</t>
        </is>
      </c>
    </row>
    <row r="55878">
      <c r="A55878" s="1" t="n">
        <v>55877</v>
      </c>
      <c r="B55878">
        <f>TEXT(55877, "[$-0E0000]yyyy-mm-dd")</f>
        <v/>
      </c>
      <c r="C55878" t="inlineStr">
        <is>
          <t>2052-11-05</t>
        </is>
      </c>
    </row>
    <row r="55879">
      <c r="A55879" s="1" t="n">
        <v>55878</v>
      </c>
      <c r="B55879">
        <f>TEXT(55878, "[$-0E0000]yyyy-mm-dd")</f>
        <v/>
      </c>
      <c r="C55879" t="inlineStr">
        <is>
          <t>2052-11-06</t>
        </is>
      </c>
    </row>
    <row r="55880">
      <c r="A55880" s="1" t="n">
        <v>55879</v>
      </c>
      <c r="B55880">
        <f>TEXT(55879, "[$-0E0000]yyyy-mm-dd")</f>
        <v/>
      </c>
      <c r="C55880" t="inlineStr">
        <is>
          <t>2052-11-07</t>
        </is>
      </c>
    </row>
    <row r="55881">
      <c r="A55881" s="1" t="n">
        <v>55880</v>
      </c>
      <c r="B55881">
        <f>TEXT(55880, "[$-0E0000]yyyy-mm-dd")</f>
        <v/>
      </c>
      <c r="C55881" t="inlineStr">
        <is>
          <t>2052-11-08</t>
        </is>
      </c>
    </row>
    <row r="55882">
      <c r="A55882" s="1" t="n">
        <v>55881</v>
      </c>
      <c r="B55882">
        <f>TEXT(55881, "[$-0E0000]yyyy-mm-dd")</f>
        <v/>
      </c>
      <c r="C55882" t="inlineStr">
        <is>
          <t>2052-11-09</t>
        </is>
      </c>
    </row>
    <row r="55883">
      <c r="A55883" s="1" t="n">
        <v>55882</v>
      </c>
      <c r="B55883">
        <f>TEXT(55882, "[$-0E0000]yyyy-mm-dd")</f>
        <v/>
      </c>
      <c r="C55883" t="inlineStr">
        <is>
          <t>2052-11-10</t>
        </is>
      </c>
    </row>
    <row r="55884">
      <c r="A55884" s="1" t="n">
        <v>55883</v>
      </c>
      <c r="B55884">
        <f>TEXT(55883, "[$-0E0000]yyyy-mm-dd")</f>
        <v/>
      </c>
      <c r="C55884" t="inlineStr">
        <is>
          <t>2052-11-11</t>
        </is>
      </c>
    </row>
    <row r="55885">
      <c r="A55885" s="1" t="n">
        <v>55884</v>
      </c>
      <c r="B55885">
        <f>TEXT(55884, "[$-0E0000]yyyy-mm-dd")</f>
        <v/>
      </c>
      <c r="C55885" t="inlineStr">
        <is>
          <t>2052-11-12</t>
        </is>
      </c>
    </row>
    <row r="55886">
      <c r="A55886" s="1" t="n">
        <v>55885</v>
      </c>
      <c r="B55886">
        <f>TEXT(55885, "[$-0E0000]yyyy-mm-dd")</f>
        <v/>
      </c>
      <c r="C55886" t="inlineStr">
        <is>
          <t>2052-11-13</t>
        </is>
      </c>
    </row>
    <row r="55887">
      <c r="A55887" s="1" t="n">
        <v>55886</v>
      </c>
      <c r="B55887">
        <f>TEXT(55886, "[$-0E0000]yyyy-mm-dd")</f>
        <v/>
      </c>
      <c r="C55887" t="inlineStr">
        <is>
          <t>2052-11-14</t>
        </is>
      </c>
    </row>
    <row r="55888">
      <c r="A55888" s="1" t="n">
        <v>55887</v>
      </c>
      <c r="B55888">
        <f>TEXT(55887, "[$-0E0000]yyyy-mm-dd")</f>
        <v/>
      </c>
      <c r="C55888" t="inlineStr">
        <is>
          <t>2052-11-15</t>
        </is>
      </c>
    </row>
    <row r="55889">
      <c r="A55889" s="1" t="n">
        <v>55888</v>
      </c>
      <c r="B55889">
        <f>TEXT(55888, "[$-0E0000]yyyy-mm-dd")</f>
        <v/>
      </c>
      <c r="C55889" t="inlineStr">
        <is>
          <t>2052-11-16</t>
        </is>
      </c>
    </row>
    <row r="55890">
      <c r="A55890" s="1" t="n">
        <v>55889</v>
      </c>
      <c r="B55890">
        <f>TEXT(55889, "[$-0E0000]yyyy-mm-dd")</f>
        <v/>
      </c>
      <c r="C55890" t="inlineStr">
        <is>
          <t>2052-11-17</t>
        </is>
      </c>
    </row>
    <row r="55891">
      <c r="A55891" s="1" t="n">
        <v>55890</v>
      </c>
      <c r="B55891">
        <f>TEXT(55890, "[$-0E0000]yyyy-mm-dd")</f>
        <v/>
      </c>
      <c r="C55891" t="inlineStr">
        <is>
          <t>2052-11-18</t>
        </is>
      </c>
    </row>
    <row r="55892">
      <c r="A55892" s="1" t="n">
        <v>55891</v>
      </c>
      <c r="B55892">
        <f>TEXT(55891, "[$-0E0000]yyyy-mm-dd")</f>
        <v/>
      </c>
      <c r="C55892" t="inlineStr">
        <is>
          <t>2052-11-19</t>
        </is>
      </c>
    </row>
    <row r="55893">
      <c r="A55893" s="1" t="n">
        <v>55892</v>
      </c>
      <c r="B55893">
        <f>TEXT(55892, "[$-0E0000]yyyy-mm-dd")</f>
        <v/>
      </c>
      <c r="C55893" t="inlineStr">
        <is>
          <t>2052-11-20</t>
        </is>
      </c>
    </row>
    <row r="55894">
      <c r="A55894" s="1" t="n">
        <v>55893</v>
      </c>
      <c r="B55894">
        <f>TEXT(55893, "[$-0E0000]yyyy-mm-dd")</f>
        <v/>
      </c>
      <c r="C55894" t="inlineStr">
        <is>
          <t>2052-11-21</t>
        </is>
      </c>
    </row>
    <row r="55895">
      <c r="A55895" s="1" t="n">
        <v>55894</v>
      </c>
      <c r="B55895">
        <f>TEXT(55894, "[$-0E0000]yyyy-mm-dd")</f>
        <v/>
      </c>
      <c r="C55895" t="inlineStr">
        <is>
          <t>2052-11-22</t>
        </is>
      </c>
    </row>
    <row r="55896">
      <c r="A55896" s="1" t="n">
        <v>55895</v>
      </c>
      <c r="B55896">
        <f>TEXT(55895, "[$-0E0000]yyyy-mm-dd")</f>
        <v/>
      </c>
      <c r="C55896" t="inlineStr">
        <is>
          <t>2052-11-23</t>
        </is>
      </c>
    </row>
    <row r="55897">
      <c r="A55897" s="1" t="n">
        <v>55896</v>
      </c>
      <c r="B55897">
        <f>TEXT(55896, "[$-0E0000]yyyy-mm-dd")</f>
        <v/>
      </c>
      <c r="C55897" t="inlineStr">
        <is>
          <t>2052-11-24</t>
        </is>
      </c>
    </row>
    <row r="55898">
      <c r="A55898" s="1" t="n">
        <v>55897</v>
      </c>
      <c r="B55898">
        <f>TEXT(55897, "[$-0E0000]yyyy-mm-dd")</f>
        <v/>
      </c>
      <c r="C55898" t="inlineStr">
        <is>
          <t>2052-11-25</t>
        </is>
      </c>
    </row>
    <row r="55899">
      <c r="A55899" s="1" t="n">
        <v>55898</v>
      </c>
      <c r="B55899">
        <f>TEXT(55898, "[$-0E0000]yyyy-mm-dd")</f>
        <v/>
      </c>
      <c r="C55899" t="inlineStr">
        <is>
          <t>2052-11-26</t>
        </is>
      </c>
    </row>
    <row r="55900">
      <c r="A55900" s="1" t="n">
        <v>55899</v>
      </c>
      <c r="B55900">
        <f>TEXT(55899, "[$-0E0000]yyyy-mm-dd")</f>
        <v/>
      </c>
      <c r="C55900" t="inlineStr">
        <is>
          <t>2052-11-27</t>
        </is>
      </c>
    </row>
    <row r="55901">
      <c r="A55901" s="1" t="n">
        <v>55900</v>
      </c>
      <c r="B55901">
        <f>TEXT(55900, "[$-0E0000]yyyy-mm-dd")</f>
        <v/>
      </c>
      <c r="C55901" t="inlineStr">
        <is>
          <t>2052-11-28</t>
        </is>
      </c>
    </row>
    <row r="55902">
      <c r="A55902" s="1" t="n">
        <v>55901</v>
      </c>
      <c r="B55902">
        <f>TEXT(55901, "[$-0E0000]yyyy-mm-dd")</f>
        <v/>
      </c>
      <c r="C55902" t="inlineStr">
        <is>
          <t>2052-11-29</t>
        </is>
      </c>
    </row>
    <row r="55903">
      <c r="A55903" s="1" t="n">
        <v>55902</v>
      </c>
      <c r="B55903">
        <f>TEXT(55902, "[$-0E0000]yyyy-mm-dd")</f>
        <v/>
      </c>
      <c r="C55903" t="inlineStr">
        <is>
          <t>2052-11-30</t>
        </is>
      </c>
    </row>
    <row r="55904">
      <c r="A55904" s="1" t="n">
        <v>55903</v>
      </c>
      <c r="B55904">
        <f>TEXT(55903, "[$-0E0000]yyyy-mm-dd")</f>
        <v/>
      </c>
      <c r="C55904" t="inlineStr">
        <is>
          <t>2052-12-01</t>
        </is>
      </c>
    </row>
    <row r="55905">
      <c r="A55905" s="1" t="n">
        <v>55904</v>
      </c>
      <c r="B55905">
        <f>TEXT(55904, "[$-0E0000]yyyy-mm-dd")</f>
        <v/>
      </c>
      <c r="C55905" t="inlineStr">
        <is>
          <t>2052-12-02</t>
        </is>
      </c>
    </row>
    <row r="55906">
      <c r="A55906" s="1" t="n">
        <v>55905</v>
      </c>
      <c r="B55906">
        <f>TEXT(55905, "[$-0E0000]yyyy-mm-dd")</f>
        <v/>
      </c>
      <c r="C55906" t="inlineStr">
        <is>
          <t>2052-12-03</t>
        </is>
      </c>
    </row>
    <row r="55907">
      <c r="A55907" s="1" t="n">
        <v>55906</v>
      </c>
      <c r="B55907">
        <f>TEXT(55906, "[$-0E0000]yyyy-mm-dd")</f>
        <v/>
      </c>
      <c r="C55907" t="inlineStr">
        <is>
          <t>2052-12-04</t>
        </is>
      </c>
    </row>
    <row r="55908">
      <c r="A55908" s="1" t="n">
        <v>55907</v>
      </c>
      <c r="B55908">
        <f>TEXT(55907, "[$-0E0000]yyyy-mm-dd")</f>
        <v/>
      </c>
      <c r="C55908" t="inlineStr">
        <is>
          <t>2052-12-05</t>
        </is>
      </c>
    </row>
    <row r="55909">
      <c r="A55909" s="1" t="n">
        <v>55908</v>
      </c>
      <c r="B55909">
        <f>TEXT(55908, "[$-0E0000]yyyy-mm-dd")</f>
        <v/>
      </c>
      <c r="C55909" t="inlineStr">
        <is>
          <t>2052-12-06</t>
        </is>
      </c>
    </row>
    <row r="55910">
      <c r="A55910" s="1" t="n">
        <v>55909</v>
      </c>
      <c r="B55910">
        <f>TEXT(55909, "[$-0E0000]yyyy-mm-dd")</f>
        <v/>
      </c>
      <c r="C55910" t="inlineStr">
        <is>
          <t>2052-12-07</t>
        </is>
      </c>
    </row>
    <row r="55911">
      <c r="A55911" s="1" t="n">
        <v>55910</v>
      </c>
      <c r="B55911">
        <f>TEXT(55910, "[$-0E0000]yyyy-mm-dd")</f>
        <v/>
      </c>
      <c r="C55911" t="inlineStr">
        <is>
          <t>2052-12-08</t>
        </is>
      </c>
    </row>
    <row r="55912">
      <c r="A55912" s="1" t="n">
        <v>55911</v>
      </c>
      <c r="B55912">
        <f>TEXT(55911, "[$-0E0000]yyyy-mm-dd")</f>
        <v/>
      </c>
      <c r="C55912" t="inlineStr">
        <is>
          <t>2052-12-09</t>
        </is>
      </c>
    </row>
    <row r="55913">
      <c r="A55913" s="1" t="n">
        <v>55912</v>
      </c>
      <c r="B55913">
        <f>TEXT(55912, "[$-0E0000]yyyy-mm-dd")</f>
        <v/>
      </c>
      <c r="C55913" t="inlineStr">
        <is>
          <t>2052-12-10</t>
        </is>
      </c>
    </row>
    <row r="55914">
      <c r="A55914" s="1" t="n">
        <v>55913</v>
      </c>
      <c r="B55914">
        <f>TEXT(55913, "[$-0E0000]yyyy-mm-dd")</f>
        <v/>
      </c>
      <c r="C55914" t="inlineStr">
        <is>
          <t>2052-12-11</t>
        </is>
      </c>
    </row>
    <row r="55915">
      <c r="A55915" s="1" t="n">
        <v>55914</v>
      </c>
      <c r="B55915">
        <f>TEXT(55914, "[$-0E0000]yyyy-mm-dd")</f>
        <v/>
      </c>
      <c r="C55915" t="inlineStr">
        <is>
          <t>2052-12-12</t>
        </is>
      </c>
    </row>
    <row r="55916">
      <c r="A55916" s="1" t="n">
        <v>55915</v>
      </c>
      <c r="B55916">
        <f>TEXT(55915, "[$-0E0000]yyyy-mm-dd")</f>
        <v/>
      </c>
      <c r="C55916" t="inlineStr">
        <is>
          <t>2052-12-13</t>
        </is>
      </c>
    </row>
    <row r="55917">
      <c r="A55917" s="1" t="n">
        <v>55916</v>
      </c>
      <c r="B55917">
        <f>TEXT(55916, "[$-0E0000]yyyy-mm-dd")</f>
        <v/>
      </c>
      <c r="C55917" t="inlineStr">
        <is>
          <t>2052-12-14</t>
        </is>
      </c>
    </row>
    <row r="55918">
      <c r="A55918" s="1" t="n">
        <v>55917</v>
      </c>
      <c r="B55918">
        <f>TEXT(55917, "[$-0E0000]yyyy-mm-dd")</f>
        <v/>
      </c>
      <c r="C55918" t="inlineStr">
        <is>
          <t>2052-12-15</t>
        </is>
      </c>
    </row>
    <row r="55919">
      <c r="A55919" s="1" t="n">
        <v>55918</v>
      </c>
      <c r="B55919">
        <f>TEXT(55918, "[$-0E0000]yyyy-mm-dd")</f>
        <v/>
      </c>
      <c r="C55919" t="inlineStr">
        <is>
          <t>2052-12-16</t>
        </is>
      </c>
    </row>
    <row r="55920">
      <c r="A55920" s="1" t="n">
        <v>55919</v>
      </c>
      <c r="B55920">
        <f>TEXT(55919, "[$-0E0000]yyyy-mm-dd")</f>
        <v/>
      </c>
      <c r="C55920" t="inlineStr">
        <is>
          <t>2052-12-17</t>
        </is>
      </c>
    </row>
    <row r="55921">
      <c r="A55921" s="1" t="n">
        <v>55920</v>
      </c>
      <c r="B55921">
        <f>TEXT(55920, "[$-0E0000]yyyy-mm-dd")</f>
        <v/>
      </c>
      <c r="C55921" t="inlineStr">
        <is>
          <t>2052-12-18</t>
        </is>
      </c>
    </row>
    <row r="55922">
      <c r="A55922" s="1" t="n">
        <v>55921</v>
      </c>
      <c r="B55922">
        <f>TEXT(55921, "[$-0E0000]yyyy-mm-dd")</f>
        <v/>
      </c>
      <c r="C55922" t="inlineStr">
        <is>
          <t>2052-12-19</t>
        </is>
      </c>
    </row>
    <row r="55923">
      <c r="A55923" s="1" t="n">
        <v>55922</v>
      </c>
      <c r="B55923">
        <f>TEXT(55922, "[$-0E0000]yyyy-mm-dd")</f>
        <v/>
      </c>
      <c r="C55923" t="inlineStr">
        <is>
          <t>2052-12-20</t>
        </is>
      </c>
    </row>
    <row r="55924">
      <c r="A55924" s="1" t="n">
        <v>55923</v>
      </c>
      <c r="B55924">
        <f>TEXT(55923, "[$-0E0000]yyyy-mm-dd")</f>
        <v/>
      </c>
      <c r="C55924" t="inlineStr">
        <is>
          <t>2052-12-21</t>
        </is>
      </c>
    </row>
    <row r="55925">
      <c r="A55925" s="1" t="n">
        <v>55924</v>
      </c>
      <c r="B55925">
        <f>TEXT(55924, "[$-0E0000]yyyy-mm-dd")</f>
        <v/>
      </c>
      <c r="C55925" t="inlineStr">
        <is>
          <t>2052-12-22</t>
        </is>
      </c>
    </row>
    <row r="55926">
      <c r="A55926" s="1" t="n">
        <v>55925</v>
      </c>
      <c r="B55926">
        <f>TEXT(55925, "[$-0E0000]yyyy-mm-dd")</f>
        <v/>
      </c>
      <c r="C55926" t="inlineStr">
        <is>
          <t>2052-12-23</t>
        </is>
      </c>
    </row>
    <row r="55927">
      <c r="A55927" s="1" t="n">
        <v>55926</v>
      </c>
      <c r="B55927">
        <f>TEXT(55926, "[$-0E0000]yyyy-mm-dd")</f>
        <v/>
      </c>
      <c r="C55927" t="inlineStr">
        <is>
          <t>2052-12-24</t>
        </is>
      </c>
    </row>
    <row r="55928">
      <c r="A55928" s="1" t="n">
        <v>55927</v>
      </c>
      <c r="B55928">
        <f>TEXT(55927, "[$-0E0000]yyyy-mm-dd")</f>
        <v/>
      </c>
      <c r="C55928" t="inlineStr">
        <is>
          <t>2052-12-25</t>
        </is>
      </c>
    </row>
    <row r="55929">
      <c r="A55929" s="1" t="n">
        <v>55928</v>
      </c>
      <c r="B55929">
        <f>TEXT(55928, "[$-0E0000]yyyy-mm-dd")</f>
        <v/>
      </c>
      <c r="C55929" t="inlineStr">
        <is>
          <t>2052-12-26</t>
        </is>
      </c>
    </row>
    <row r="55930">
      <c r="A55930" s="1" t="n">
        <v>55929</v>
      </c>
      <c r="B55930">
        <f>TEXT(55929, "[$-0E0000]yyyy-mm-dd")</f>
        <v/>
      </c>
      <c r="C55930" t="inlineStr">
        <is>
          <t>2052-12-27</t>
        </is>
      </c>
    </row>
    <row r="55931">
      <c r="A55931" s="1" t="n">
        <v>55930</v>
      </c>
      <c r="B55931">
        <f>TEXT(55930, "[$-0E0000]yyyy-mm-dd")</f>
        <v/>
      </c>
      <c r="C55931" t="inlineStr">
        <is>
          <t>2052-12-28</t>
        </is>
      </c>
    </row>
    <row r="55932">
      <c r="A55932" s="1" t="n">
        <v>55931</v>
      </c>
      <c r="B55932">
        <f>TEXT(55931, "[$-0E0000]yyyy-mm-dd")</f>
        <v/>
      </c>
      <c r="C55932" t="inlineStr">
        <is>
          <t>2052-12-29</t>
        </is>
      </c>
    </row>
    <row r="55933">
      <c r="A55933" s="1" t="n">
        <v>55932</v>
      </c>
      <c r="B55933">
        <f>TEXT(55932, "[$-0E0000]yyyy-mm-dd")</f>
        <v/>
      </c>
      <c r="C55933" t="inlineStr">
        <is>
          <t>2052-12-30</t>
        </is>
      </c>
    </row>
    <row r="55934">
      <c r="A55934" s="1" t="n">
        <v>55933</v>
      </c>
      <c r="B55934">
        <f>TEXT(55933, "[$-0E0000]yyyy-mm-dd")</f>
        <v/>
      </c>
      <c r="C55934" t="inlineStr">
        <is>
          <t>2053-01-01</t>
        </is>
      </c>
    </row>
    <row r="55935">
      <c r="A55935" s="1" t="n">
        <v>55934</v>
      </c>
      <c r="B55935">
        <f>TEXT(55934, "[$-0E0000]yyyy-mm-dd")</f>
        <v/>
      </c>
      <c r="C55935" t="inlineStr">
        <is>
          <t>2053-01-02</t>
        </is>
      </c>
    </row>
    <row r="55936">
      <c r="A55936" s="1" t="n">
        <v>55935</v>
      </c>
      <c r="B55936">
        <f>TEXT(55935, "[$-0E0000]yyyy-mm-dd")</f>
        <v/>
      </c>
      <c r="C55936" t="inlineStr">
        <is>
          <t>2053-01-03</t>
        </is>
      </c>
    </row>
    <row r="55937">
      <c r="A55937" s="1" t="n">
        <v>55936</v>
      </c>
      <c r="B55937">
        <f>TEXT(55936, "[$-0E0000]yyyy-mm-dd")</f>
        <v/>
      </c>
      <c r="C55937" t="inlineStr">
        <is>
          <t>2053-01-04</t>
        </is>
      </c>
    </row>
    <row r="55938">
      <c r="A55938" s="1" t="n">
        <v>55937</v>
      </c>
      <c r="B55938">
        <f>TEXT(55937, "[$-0E0000]yyyy-mm-dd")</f>
        <v/>
      </c>
      <c r="C55938" t="inlineStr">
        <is>
          <t>2053-01-05</t>
        </is>
      </c>
    </row>
    <row r="55939">
      <c r="A55939" s="1" t="n">
        <v>55938</v>
      </c>
      <c r="B55939">
        <f>TEXT(55938, "[$-0E0000]yyyy-mm-dd")</f>
        <v/>
      </c>
      <c r="C55939" t="inlineStr">
        <is>
          <t>2053-01-06</t>
        </is>
      </c>
    </row>
    <row r="55940">
      <c r="A55940" s="1" t="n">
        <v>55939</v>
      </c>
      <c r="B55940">
        <f>TEXT(55939, "[$-0E0000]yyyy-mm-dd")</f>
        <v/>
      </c>
      <c r="C55940" t="inlineStr">
        <is>
          <t>2053-01-07</t>
        </is>
      </c>
    </row>
    <row r="55941">
      <c r="A55941" s="1" t="n">
        <v>55940</v>
      </c>
      <c r="B55941">
        <f>TEXT(55940, "[$-0E0000]yyyy-mm-dd")</f>
        <v/>
      </c>
      <c r="C55941" t="inlineStr">
        <is>
          <t>2053-01-08</t>
        </is>
      </c>
    </row>
    <row r="55942">
      <c r="A55942" s="1" t="n">
        <v>55941</v>
      </c>
      <c r="B55942">
        <f>TEXT(55941, "[$-0E0000]yyyy-mm-dd")</f>
        <v/>
      </c>
      <c r="C55942" t="inlineStr">
        <is>
          <t>2053-01-09</t>
        </is>
      </c>
    </row>
    <row r="55943">
      <c r="A55943" s="1" t="n">
        <v>55942</v>
      </c>
      <c r="B55943">
        <f>TEXT(55942, "[$-0E0000]yyyy-mm-dd")</f>
        <v/>
      </c>
      <c r="C55943" t="inlineStr">
        <is>
          <t>2053-01-10</t>
        </is>
      </c>
    </row>
    <row r="55944">
      <c r="A55944" s="1" t="n">
        <v>55943</v>
      </c>
      <c r="B55944">
        <f>TEXT(55943, "[$-0E0000]yyyy-mm-dd")</f>
        <v/>
      </c>
      <c r="C55944" t="inlineStr">
        <is>
          <t>2053-01-11</t>
        </is>
      </c>
    </row>
    <row r="55945">
      <c r="A55945" s="1" t="n">
        <v>55944</v>
      </c>
      <c r="B55945">
        <f>TEXT(55944, "[$-0E0000]yyyy-mm-dd")</f>
        <v/>
      </c>
      <c r="C55945" t="inlineStr">
        <is>
          <t>2053-01-12</t>
        </is>
      </c>
    </row>
    <row r="55946">
      <c r="A55946" s="1" t="n">
        <v>55945</v>
      </c>
      <c r="B55946">
        <f>TEXT(55945, "[$-0E0000]yyyy-mm-dd")</f>
        <v/>
      </c>
      <c r="C55946" t="inlineStr">
        <is>
          <t>2053-01-13</t>
        </is>
      </c>
    </row>
    <row r="55947">
      <c r="A55947" s="1" t="n">
        <v>55946</v>
      </c>
      <c r="B55947">
        <f>TEXT(55946, "[$-0E0000]yyyy-mm-dd")</f>
        <v/>
      </c>
      <c r="C55947" t="inlineStr">
        <is>
          <t>2053-01-14</t>
        </is>
      </c>
    </row>
    <row r="55948">
      <c r="A55948" s="1" t="n">
        <v>55947</v>
      </c>
      <c r="B55948">
        <f>TEXT(55947, "[$-0E0000]yyyy-mm-dd")</f>
        <v/>
      </c>
      <c r="C55948" t="inlineStr">
        <is>
          <t>2053-01-15</t>
        </is>
      </c>
    </row>
    <row r="55949">
      <c r="A55949" s="1" t="n">
        <v>55948</v>
      </c>
      <c r="B55949">
        <f>TEXT(55948, "[$-0E0000]yyyy-mm-dd")</f>
        <v/>
      </c>
      <c r="C55949" t="inlineStr">
        <is>
          <t>2053-01-16</t>
        </is>
      </c>
    </row>
    <row r="55950">
      <c r="A55950" s="1" t="n">
        <v>55949</v>
      </c>
      <c r="B55950">
        <f>TEXT(55949, "[$-0E0000]yyyy-mm-dd")</f>
        <v/>
      </c>
      <c r="C55950" t="inlineStr">
        <is>
          <t>2053-01-17</t>
        </is>
      </c>
    </row>
    <row r="55951">
      <c r="A55951" s="1" t="n">
        <v>55950</v>
      </c>
      <c r="B55951">
        <f>TEXT(55950, "[$-0E0000]yyyy-mm-dd")</f>
        <v/>
      </c>
      <c r="C55951" t="inlineStr">
        <is>
          <t>2053-01-18</t>
        </is>
      </c>
    </row>
    <row r="55952">
      <c r="A55952" s="1" t="n">
        <v>55951</v>
      </c>
      <c r="B55952">
        <f>TEXT(55951, "[$-0E0000]yyyy-mm-dd")</f>
        <v/>
      </c>
      <c r="C55952" t="inlineStr">
        <is>
          <t>2053-01-19</t>
        </is>
      </c>
    </row>
    <row r="55953">
      <c r="A55953" s="1" t="n">
        <v>55952</v>
      </c>
      <c r="B55953">
        <f>TEXT(55952, "[$-0E0000]yyyy-mm-dd")</f>
        <v/>
      </c>
      <c r="C55953" t="inlineStr">
        <is>
          <t>2053-01-20</t>
        </is>
      </c>
    </row>
    <row r="55954">
      <c r="A55954" s="1" t="n">
        <v>55953</v>
      </c>
      <c r="B55954">
        <f>TEXT(55953, "[$-0E0000]yyyy-mm-dd")</f>
        <v/>
      </c>
      <c r="C55954" t="inlineStr">
        <is>
          <t>2053-01-21</t>
        </is>
      </c>
    </row>
    <row r="55955">
      <c r="A55955" s="1" t="n">
        <v>55954</v>
      </c>
      <c r="B55955">
        <f>TEXT(55954, "[$-0E0000]yyyy-mm-dd")</f>
        <v/>
      </c>
      <c r="C55955" t="inlineStr">
        <is>
          <t>2053-01-22</t>
        </is>
      </c>
    </row>
    <row r="55956">
      <c r="A55956" s="1" t="n">
        <v>55955</v>
      </c>
      <c r="B55956">
        <f>TEXT(55955, "[$-0E0000]yyyy-mm-dd")</f>
        <v/>
      </c>
      <c r="C55956" t="inlineStr">
        <is>
          <t>2053-01-23</t>
        </is>
      </c>
    </row>
    <row r="55957">
      <c r="A55957" s="1" t="n">
        <v>55956</v>
      </c>
      <c r="B55957">
        <f>TEXT(55956, "[$-0E0000]yyyy-mm-dd")</f>
        <v/>
      </c>
      <c r="C55957" t="inlineStr">
        <is>
          <t>2053-01-24</t>
        </is>
      </c>
    </row>
    <row r="55958">
      <c r="A55958" s="1" t="n">
        <v>55957</v>
      </c>
      <c r="B55958">
        <f>TEXT(55957, "[$-0E0000]yyyy-mm-dd")</f>
        <v/>
      </c>
      <c r="C55958" t="inlineStr">
        <is>
          <t>2053-01-25</t>
        </is>
      </c>
    </row>
    <row r="55959">
      <c r="A55959" s="1" t="n">
        <v>55958</v>
      </c>
      <c r="B55959">
        <f>TEXT(55958, "[$-0E0000]yyyy-mm-dd")</f>
        <v/>
      </c>
      <c r="C55959" t="inlineStr">
        <is>
          <t>2053-01-26</t>
        </is>
      </c>
    </row>
    <row r="55960">
      <c r="A55960" s="1" t="n">
        <v>55959</v>
      </c>
      <c r="B55960">
        <f>TEXT(55959, "[$-0E0000]yyyy-mm-dd")</f>
        <v/>
      </c>
      <c r="C55960" t="inlineStr">
        <is>
          <t>2053-01-27</t>
        </is>
      </c>
    </row>
    <row r="55961">
      <c r="A55961" s="1" t="n">
        <v>55960</v>
      </c>
      <c r="B55961">
        <f>TEXT(55960, "[$-0E0000]yyyy-mm-dd")</f>
        <v/>
      </c>
      <c r="C55961" t="inlineStr">
        <is>
          <t>2053-01-28</t>
        </is>
      </c>
    </row>
    <row r="55962">
      <c r="A55962" s="1" t="n">
        <v>55961</v>
      </c>
      <c r="B55962">
        <f>TEXT(55961, "[$-0E0000]yyyy-mm-dd")</f>
        <v/>
      </c>
      <c r="C55962" t="inlineStr">
        <is>
          <t>2053-01-29</t>
        </is>
      </c>
    </row>
    <row r="55963">
      <c r="A55963" s="1" t="n">
        <v>55962</v>
      </c>
      <c r="B55963">
        <f>TEXT(55962, "[$-0E0000]yyyy-mm-dd")</f>
        <v/>
      </c>
      <c r="C55963" t="inlineStr">
        <is>
          <t>2053-02-01</t>
        </is>
      </c>
    </row>
    <row r="55964">
      <c r="A55964" s="1" t="n">
        <v>55963</v>
      </c>
      <c r="B55964">
        <f>TEXT(55963, "[$-0E0000]yyyy-mm-dd")</f>
        <v/>
      </c>
      <c r="C55964" t="inlineStr">
        <is>
          <t>2053-02-02</t>
        </is>
      </c>
    </row>
    <row r="55965">
      <c r="A55965" s="1" t="n">
        <v>55964</v>
      </c>
      <c r="B55965">
        <f>TEXT(55964, "[$-0E0000]yyyy-mm-dd")</f>
        <v/>
      </c>
      <c r="C55965" t="inlineStr">
        <is>
          <t>2053-02-03</t>
        </is>
      </c>
    </row>
    <row r="55966">
      <c r="A55966" s="1" t="n">
        <v>55965</v>
      </c>
      <c r="B55966">
        <f>TEXT(55965, "[$-0E0000]yyyy-mm-dd")</f>
        <v/>
      </c>
      <c r="C55966" t="inlineStr">
        <is>
          <t>2053-02-04</t>
        </is>
      </c>
    </row>
    <row r="55967">
      <c r="A55967" s="1" t="n">
        <v>55966</v>
      </c>
      <c r="B55967">
        <f>TEXT(55966, "[$-0E0000]yyyy-mm-dd")</f>
        <v/>
      </c>
      <c r="C55967" t="inlineStr">
        <is>
          <t>2053-02-05</t>
        </is>
      </c>
    </row>
    <row r="55968">
      <c r="A55968" s="1" t="n">
        <v>55967</v>
      </c>
      <c r="B55968">
        <f>TEXT(55967, "[$-0E0000]yyyy-mm-dd")</f>
        <v/>
      </c>
      <c r="C55968" t="inlineStr">
        <is>
          <t>2053-02-06</t>
        </is>
      </c>
    </row>
    <row r="55969">
      <c r="A55969" s="1" t="n">
        <v>55968</v>
      </c>
      <c r="B55969">
        <f>TEXT(55968, "[$-0E0000]yyyy-mm-dd")</f>
        <v/>
      </c>
      <c r="C55969" t="inlineStr">
        <is>
          <t>2053-02-07</t>
        </is>
      </c>
    </row>
    <row r="55970">
      <c r="A55970" s="1" t="n">
        <v>55969</v>
      </c>
      <c r="B55970">
        <f>TEXT(55969, "[$-0E0000]yyyy-mm-dd")</f>
        <v/>
      </c>
      <c r="C55970" t="inlineStr">
        <is>
          <t>2053-02-08</t>
        </is>
      </c>
    </row>
    <row r="55971">
      <c r="A55971" s="1" t="n">
        <v>55970</v>
      </c>
      <c r="B55971">
        <f>TEXT(55970, "[$-0E0000]yyyy-mm-dd")</f>
        <v/>
      </c>
      <c r="C55971" t="inlineStr">
        <is>
          <t>2053-02-09</t>
        </is>
      </c>
    </row>
    <row r="55972">
      <c r="A55972" s="1" t="n">
        <v>55971</v>
      </c>
      <c r="B55972">
        <f>TEXT(55971, "[$-0E0000]yyyy-mm-dd")</f>
        <v/>
      </c>
      <c r="C55972" t="inlineStr">
        <is>
          <t>2053-02-10</t>
        </is>
      </c>
    </row>
    <row r="55973">
      <c r="A55973" s="1" t="n">
        <v>55972</v>
      </c>
      <c r="B55973">
        <f>TEXT(55972, "[$-0E0000]yyyy-mm-dd")</f>
        <v/>
      </c>
      <c r="C55973" t="inlineStr">
        <is>
          <t>2053-02-11</t>
        </is>
      </c>
    </row>
    <row r="55974">
      <c r="A55974" s="1" t="n">
        <v>55973</v>
      </c>
      <c r="B55974">
        <f>TEXT(55973, "[$-0E0000]yyyy-mm-dd")</f>
        <v/>
      </c>
      <c r="C55974" t="inlineStr">
        <is>
          <t>2053-02-12</t>
        </is>
      </c>
    </row>
    <row r="55975">
      <c r="A55975" s="1" t="n">
        <v>55974</v>
      </c>
      <c r="B55975">
        <f>TEXT(55974, "[$-0E0000]yyyy-mm-dd")</f>
        <v/>
      </c>
      <c r="C55975" t="inlineStr">
        <is>
          <t>2053-02-13</t>
        </is>
      </c>
    </row>
    <row r="55976">
      <c r="A55976" s="1" t="n">
        <v>55975</v>
      </c>
      <c r="B55976">
        <f>TEXT(55975, "[$-0E0000]yyyy-mm-dd")</f>
        <v/>
      </c>
      <c r="C55976" t="inlineStr">
        <is>
          <t>2053-02-14</t>
        </is>
      </c>
    </row>
    <row r="55977">
      <c r="A55977" s="1" t="n">
        <v>55976</v>
      </c>
      <c r="B55977">
        <f>TEXT(55976, "[$-0E0000]yyyy-mm-dd")</f>
        <v/>
      </c>
      <c r="C55977" t="inlineStr">
        <is>
          <t>2053-02-15</t>
        </is>
      </c>
    </row>
    <row r="55978">
      <c r="A55978" s="1" t="n">
        <v>55977</v>
      </c>
      <c r="B55978">
        <f>TEXT(55977, "[$-0E0000]yyyy-mm-dd")</f>
        <v/>
      </c>
      <c r="C55978" t="inlineStr">
        <is>
          <t>2053-02-16</t>
        </is>
      </c>
    </row>
    <row r="55979">
      <c r="A55979" s="1" t="n">
        <v>55978</v>
      </c>
      <c r="B55979">
        <f>TEXT(55978, "[$-0E0000]yyyy-mm-dd")</f>
        <v/>
      </c>
      <c r="C55979" t="inlineStr">
        <is>
          <t>2053-02-17</t>
        </is>
      </c>
    </row>
    <row r="55980">
      <c r="A55980" s="1" t="n">
        <v>55979</v>
      </c>
      <c r="B55980">
        <f>TEXT(55979, "[$-0E0000]yyyy-mm-dd")</f>
        <v/>
      </c>
      <c r="C55980" t="inlineStr">
        <is>
          <t>2053-02-18</t>
        </is>
      </c>
    </row>
    <row r="55981">
      <c r="A55981" s="1" t="n">
        <v>55980</v>
      </c>
      <c r="B55981">
        <f>TEXT(55980, "[$-0E0000]yyyy-mm-dd")</f>
        <v/>
      </c>
      <c r="C55981" t="inlineStr">
        <is>
          <t>2053-02-19</t>
        </is>
      </c>
    </row>
    <row r="55982">
      <c r="A55982" s="1" t="n">
        <v>55981</v>
      </c>
      <c r="B55982">
        <f>TEXT(55981, "[$-0E0000]yyyy-mm-dd")</f>
        <v/>
      </c>
      <c r="C55982" t="inlineStr">
        <is>
          <t>2053-02-20</t>
        </is>
      </c>
    </row>
    <row r="55983">
      <c r="A55983" s="1" t="n">
        <v>55982</v>
      </c>
      <c r="B55983">
        <f>TEXT(55982, "[$-0E0000]yyyy-mm-dd")</f>
        <v/>
      </c>
      <c r="C55983" t="inlineStr">
        <is>
          <t>2053-02-21</t>
        </is>
      </c>
    </row>
    <row r="55984">
      <c r="A55984" s="1" t="n">
        <v>55983</v>
      </c>
      <c r="B55984">
        <f>TEXT(55983, "[$-0E0000]yyyy-mm-dd")</f>
        <v/>
      </c>
      <c r="C55984" t="inlineStr">
        <is>
          <t>2053-02-22</t>
        </is>
      </c>
    </row>
    <row r="55985">
      <c r="A55985" s="1" t="n">
        <v>55984</v>
      </c>
      <c r="B55985">
        <f>TEXT(55984, "[$-0E0000]yyyy-mm-dd")</f>
        <v/>
      </c>
      <c r="C55985" t="inlineStr">
        <is>
          <t>2053-02-23</t>
        </is>
      </c>
    </row>
    <row r="55986">
      <c r="A55986" s="1" t="n">
        <v>55985</v>
      </c>
      <c r="B55986">
        <f>TEXT(55985, "[$-0E0000]yyyy-mm-dd")</f>
        <v/>
      </c>
      <c r="C55986" t="inlineStr">
        <is>
          <t>2053-02-24</t>
        </is>
      </c>
    </row>
    <row r="55987">
      <c r="A55987" s="1" t="n">
        <v>55986</v>
      </c>
      <c r="B55987">
        <f>TEXT(55986, "[$-0E0000]yyyy-mm-dd")</f>
        <v/>
      </c>
      <c r="C55987" t="inlineStr">
        <is>
          <t>2053-02-25</t>
        </is>
      </c>
    </row>
    <row r="55988">
      <c r="A55988" s="1" t="n">
        <v>55987</v>
      </c>
      <c r="B55988">
        <f>TEXT(55987, "[$-0E0000]yyyy-mm-dd")</f>
        <v/>
      </c>
      <c r="C55988" t="inlineStr">
        <is>
          <t>2053-02-26</t>
        </is>
      </c>
    </row>
    <row r="55989">
      <c r="A55989" s="1" t="n">
        <v>55988</v>
      </c>
      <c r="B55989">
        <f>TEXT(55988, "[$-0E0000]yyyy-mm-dd")</f>
        <v/>
      </c>
      <c r="C55989" t="inlineStr">
        <is>
          <t>2053-02-27</t>
        </is>
      </c>
    </row>
    <row r="55990">
      <c r="A55990" s="1" t="n">
        <v>55989</v>
      </c>
      <c r="B55990">
        <f>TEXT(55989, "[$-0E0000]yyyy-mm-dd")</f>
        <v/>
      </c>
      <c r="C55990" t="inlineStr">
        <is>
          <t>2053-02-28</t>
        </is>
      </c>
    </row>
    <row r="55991">
      <c r="A55991" s="1" t="n">
        <v>55990</v>
      </c>
      <c r="B55991">
        <f>TEXT(55990, "[$-0E0000]yyyy-mm-dd")</f>
        <v/>
      </c>
      <c r="C55991" t="inlineStr">
        <is>
          <t>2053-02-29</t>
        </is>
      </c>
    </row>
    <row r="55992">
      <c r="A55992" s="1" t="n">
        <v>55991</v>
      </c>
      <c r="B55992">
        <f>TEXT(55991, "[$-0E0000]yyyy-mm-dd")</f>
        <v/>
      </c>
      <c r="C55992" t="inlineStr">
        <is>
          <t>2053-02-30</t>
        </is>
      </c>
    </row>
    <row r="55993">
      <c r="A55993" s="1" t="n">
        <v>55992</v>
      </c>
      <c r="B55993">
        <f>TEXT(55992, "[$-0E0000]yyyy-mm-dd")</f>
        <v/>
      </c>
      <c r="C55993" t="inlineStr">
        <is>
          <t>2053-03-01</t>
        </is>
      </c>
    </row>
    <row r="55994">
      <c r="A55994" s="1" t="n">
        <v>55993</v>
      </c>
      <c r="B55994">
        <f>TEXT(55993, "[$-0E0000]yyyy-mm-dd")</f>
        <v/>
      </c>
      <c r="C55994" t="inlineStr">
        <is>
          <t>2053-03-02</t>
        </is>
      </c>
    </row>
    <row r="55995">
      <c r="A55995" s="1" t="n">
        <v>55994</v>
      </c>
      <c r="B55995">
        <f>TEXT(55994, "[$-0E0000]yyyy-mm-dd")</f>
        <v/>
      </c>
      <c r="C55995" t="inlineStr">
        <is>
          <t>2053-03-03</t>
        </is>
      </c>
    </row>
    <row r="55996">
      <c r="A55996" s="1" t="n">
        <v>55995</v>
      </c>
      <c r="B55996">
        <f>TEXT(55995, "[$-0E0000]yyyy-mm-dd")</f>
        <v/>
      </c>
      <c r="C55996" t="inlineStr">
        <is>
          <t>2053-03-04</t>
        </is>
      </c>
    </row>
    <row r="55997">
      <c r="A55997" s="1" t="n">
        <v>55996</v>
      </c>
      <c r="B55997">
        <f>TEXT(55996, "[$-0E0000]yyyy-mm-dd")</f>
        <v/>
      </c>
      <c r="C55997" t="inlineStr">
        <is>
          <t>2053-03-05</t>
        </is>
      </c>
    </row>
    <row r="55998">
      <c r="A55998" s="1" t="n">
        <v>55997</v>
      </c>
      <c r="B55998">
        <f>TEXT(55997, "[$-0E0000]yyyy-mm-dd")</f>
        <v/>
      </c>
      <c r="C55998" t="inlineStr">
        <is>
          <t>2053-03-06</t>
        </is>
      </c>
    </row>
    <row r="55999">
      <c r="A55999" s="1" t="n">
        <v>55998</v>
      </c>
      <c r="B55999">
        <f>TEXT(55998, "[$-0E0000]yyyy-mm-dd")</f>
        <v/>
      </c>
      <c r="C55999" t="inlineStr">
        <is>
          <t>2053-03-07</t>
        </is>
      </c>
    </row>
    <row r="56000">
      <c r="A56000" s="1" t="n">
        <v>55999</v>
      </c>
      <c r="B56000">
        <f>TEXT(55999, "[$-0E0000]yyyy-mm-dd")</f>
        <v/>
      </c>
      <c r="C56000" t="inlineStr">
        <is>
          <t>2053-03-08</t>
        </is>
      </c>
    </row>
    <row r="56001">
      <c r="A56001" s="1" t="n">
        <v>56000</v>
      </c>
      <c r="B56001">
        <f>TEXT(56000, "[$-0E0000]yyyy-mm-dd")</f>
        <v/>
      </c>
      <c r="C56001" t="inlineStr">
        <is>
          <t>2053-03-09</t>
        </is>
      </c>
    </row>
    <row r="56002">
      <c r="A56002" s="1" t="n">
        <v>56001</v>
      </c>
      <c r="B56002">
        <f>TEXT(56001, "[$-0E0000]yyyy-mm-dd")</f>
        <v/>
      </c>
      <c r="C56002" t="inlineStr">
        <is>
          <t>2053-03-10</t>
        </is>
      </c>
    </row>
    <row r="56003">
      <c r="A56003" s="1" t="n">
        <v>56002</v>
      </c>
      <c r="B56003">
        <f>TEXT(56002, "[$-0E0000]yyyy-mm-dd")</f>
        <v/>
      </c>
      <c r="C56003" t="inlineStr">
        <is>
          <t>2053-03-11</t>
        </is>
      </c>
    </row>
    <row r="56004">
      <c r="A56004" s="1" t="n">
        <v>56003</v>
      </c>
      <c r="B56004">
        <f>TEXT(56003, "[$-0E0000]yyyy-mm-dd")</f>
        <v/>
      </c>
      <c r="C56004" t="inlineStr">
        <is>
          <t>2053-03-12</t>
        </is>
      </c>
    </row>
    <row r="56005">
      <c r="A56005" s="1" t="n">
        <v>56004</v>
      </c>
      <c r="B56005">
        <f>TEXT(56004, "[$-0E0000]yyyy-mm-dd")</f>
        <v/>
      </c>
      <c r="C56005" t="inlineStr">
        <is>
          <t>2053-03-13</t>
        </is>
      </c>
    </row>
    <row r="56006">
      <c r="A56006" s="1" t="n">
        <v>56005</v>
      </c>
      <c r="B56006">
        <f>TEXT(56005, "[$-0E0000]yyyy-mm-dd")</f>
        <v/>
      </c>
      <c r="C56006" t="inlineStr">
        <is>
          <t>2053-03-14</t>
        </is>
      </c>
    </row>
    <row r="56007">
      <c r="A56007" s="1" t="n">
        <v>56006</v>
      </c>
      <c r="B56007">
        <f>TEXT(56006, "[$-0E0000]yyyy-mm-dd")</f>
        <v/>
      </c>
      <c r="C56007" t="inlineStr">
        <is>
          <t>2053-03-15</t>
        </is>
      </c>
    </row>
    <row r="56008">
      <c r="A56008" s="1" t="n">
        <v>56007</v>
      </c>
      <c r="B56008">
        <f>TEXT(56007, "[$-0E0000]yyyy-mm-dd")</f>
        <v/>
      </c>
      <c r="C56008" t="inlineStr">
        <is>
          <t>2053-03-16</t>
        </is>
      </c>
    </row>
    <row r="56009">
      <c r="A56009" s="1" t="n">
        <v>56008</v>
      </c>
      <c r="B56009">
        <f>TEXT(56008, "[$-0E0000]yyyy-mm-dd")</f>
        <v/>
      </c>
      <c r="C56009" t="inlineStr">
        <is>
          <t>2053-03-17</t>
        </is>
      </c>
    </row>
    <row r="56010">
      <c r="A56010" s="1" t="n">
        <v>56009</v>
      </c>
      <c r="B56010">
        <f>TEXT(56009, "[$-0E0000]yyyy-mm-dd")</f>
        <v/>
      </c>
      <c r="C56010" t="inlineStr">
        <is>
          <t>2053-03-18</t>
        </is>
      </c>
    </row>
    <row r="56011">
      <c r="A56011" s="1" t="n">
        <v>56010</v>
      </c>
      <c r="B56011">
        <f>TEXT(56010, "[$-0E0000]yyyy-mm-dd")</f>
        <v/>
      </c>
      <c r="C56011" t="inlineStr">
        <is>
          <t>2053-03-19</t>
        </is>
      </c>
    </row>
    <row r="56012">
      <c r="A56012" s="1" t="n">
        <v>56011</v>
      </c>
      <c r="B56012">
        <f>TEXT(56011, "[$-0E0000]yyyy-mm-dd")</f>
        <v/>
      </c>
      <c r="C56012" t="inlineStr">
        <is>
          <t>2053-03-20</t>
        </is>
      </c>
    </row>
    <row r="56013">
      <c r="A56013" s="1" t="n">
        <v>56012</v>
      </c>
      <c r="B56013">
        <f>TEXT(56012, "[$-0E0000]yyyy-mm-dd")</f>
        <v/>
      </c>
      <c r="C56013" t="inlineStr">
        <is>
          <t>2053-03-21</t>
        </is>
      </c>
    </row>
    <row r="56014">
      <c r="A56014" s="1" t="n">
        <v>56013</v>
      </c>
      <c r="B56014">
        <f>TEXT(56013, "[$-0E0000]yyyy-mm-dd")</f>
        <v/>
      </c>
      <c r="C56014" t="inlineStr">
        <is>
          <t>2053-03-22</t>
        </is>
      </c>
    </row>
    <row r="56015">
      <c r="A56015" s="1" t="n">
        <v>56014</v>
      </c>
      <c r="B56015">
        <f>TEXT(56014, "[$-0E0000]yyyy-mm-dd")</f>
        <v/>
      </c>
      <c r="C56015" t="inlineStr">
        <is>
          <t>2053-03-23</t>
        </is>
      </c>
    </row>
    <row r="56016">
      <c r="A56016" s="1" t="n">
        <v>56015</v>
      </c>
      <c r="B56016">
        <f>TEXT(56015, "[$-0E0000]yyyy-mm-dd")</f>
        <v/>
      </c>
      <c r="C56016" t="inlineStr">
        <is>
          <t>2053-03-24</t>
        </is>
      </c>
    </row>
    <row r="56017">
      <c r="A56017" s="1" t="n">
        <v>56016</v>
      </c>
      <c r="B56017">
        <f>TEXT(56016, "[$-0E0000]yyyy-mm-dd")</f>
        <v/>
      </c>
      <c r="C56017" t="inlineStr">
        <is>
          <t>2053-03-25</t>
        </is>
      </c>
    </row>
    <row r="56018">
      <c r="A56018" s="1" t="n">
        <v>56017</v>
      </c>
      <c r="B56018">
        <f>TEXT(56017, "[$-0E0000]yyyy-mm-dd")</f>
        <v/>
      </c>
      <c r="C56018" t="inlineStr">
        <is>
          <t>2053-03-26</t>
        </is>
      </c>
    </row>
    <row r="56019">
      <c r="A56019" s="1" t="n">
        <v>56018</v>
      </c>
      <c r="B56019">
        <f>TEXT(56018, "[$-0E0000]yyyy-mm-dd")</f>
        <v/>
      </c>
      <c r="C56019" t="inlineStr">
        <is>
          <t>2053-03-27</t>
        </is>
      </c>
    </row>
    <row r="56020">
      <c r="A56020" s="1" t="n">
        <v>56019</v>
      </c>
      <c r="B56020">
        <f>TEXT(56019, "[$-0E0000]yyyy-mm-dd")</f>
        <v/>
      </c>
      <c r="C56020" t="inlineStr">
        <is>
          <t>2053-03-28</t>
        </is>
      </c>
    </row>
    <row r="56021">
      <c r="A56021" s="1" t="n">
        <v>56020</v>
      </c>
      <c r="B56021">
        <f>TEXT(56020, "[$-0E0000]yyyy-mm-dd")</f>
        <v/>
      </c>
      <c r="C56021" t="inlineStr">
        <is>
          <t>2053-03-29</t>
        </is>
      </c>
    </row>
    <row r="56022">
      <c r="A56022" s="1" t="n">
        <v>56021</v>
      </c>
      <c r="B56022">
        <f>TEXT(56021, "[$-0E0000]yyyy-mm-dd")</f>
        <v/>
      </c>
      <c r="C56022" t="inlineStr">
        <is>
          <t>2053-04-01</t>
        </is>
      </c>
    </row>
    <row r="56023">
      <c r="A56023" s="1" t="n">
        <v>56022</v>
      </c>
      <c r="B56023">
        <f>TEXT(56022, "[$-0E0000]yyyy-mm-dd")</f>
        <v/>
      </c>
      <c r="C56023" t="inlineStr">
        <is>
          <t>2053-04-02</t>
        </is>
      </c>
    </row>
    <row r="56024">
      <c r="A56024" s="1" t="n">
        <v>56023</v>
      </c>
      <c r="B56024">
        <f>TEXT(56023, "[$-0E0000]yyyy-mm-dd")</f>
        <v/>
      </c>
      <c r="C56024" t="inlineStr">
        <is>
          <t>2053-04-03</t>
        </is>
      </c>
    </row>
    <row r="56025">
      <c r="A56025" s="1" t="n">
        <v>56024</v>
      </c>
      <c r="B56025">
        <f>TEXT(56024, "[$-0E0000]yyyy-mm-dd")</f>
        <v/>
      </c>
      <c r="C56025" t="inlineStr">
        <is>
          <t>2053-04-04</t>
        </is>
      </c>
    </row>
    <row r="56026">
      <c r="A56026" s="1" t="n">
        <v>56025</v>
      </c>
      <c r="B56026">
        <f>TEXT(56025, "[$-0E0000]yyyy-mm-dd")</f>
        <v/>
      </c>
      <c r="C56026" t="inlineStr">
        <is>
          <t>2053-04-05</t>
        </is>
      </c>
    </row>
    <row r="56027">
      <c r="A56027" s="1" t="n">
        <v>56026</v>
      </c>
      <c r="B56027">
        <f>TEXT(56026, "[$-0E0000]yyyy-mm-dd")</f>
        <v/>
      </c>
      <c r="C56027" t="inlineStr">
        <is>
          <t>2053-04-06</t>
        </is>
      </c>
    </row>
    <row r="56028">
      <c r="A56028" s="1" t="n">
        <v>56027</v>
      </c>
      <c r="B56028">
        <f>TEXT(56027, "[$-0E0000]yyyy-mm-dd")</f>
        <v/>
      </c>
      <c r="C56028" t="inlineStr">
        <is>
          <t>2053-04-07</t>
        </is>
      </c>
    </row>
    <row r="56029">
      <c r="A56029" s="1" t="n">
        <v>56028</v>
      </c>
      <c r="B56029">
        <f>TEXT(56028, "[$-0E0000]yyyy-mm-dd")</f>
        <v/>
      </c>
      <c r="C56029" t="inlineStr">
        <is>
          <t>2053-04-08</t>
        </is>
      </c>
    </row>
    <row r="56030">
      <c r="A56030" s="1" t="n">
        <v>56029</v>
      </c>
      <c r="B56030">
        <f>TEXT(56029, "[$-0E0000]yyyy-mm-dd")</f>
        <v/>
      </c>
      <c r="C56030" t="inlineStr">
        <is>
          <t>2053-04-09</t>
        </is>
      </c>
    </row>
    <row r="56031">
      <c r="A56031" s="1" t="n">
        <v>56030</v>
      </c>
      <c r="B56031">
        <f>TEXT(56030, "[$-0E0000]yyyy-mm-dd")</f>
        <v/>
      </c>
      <c r="C56031" t="inlineStr">
        <is>
          <t>2053-04-10</t>
        </is>
      </c>
    </row>
    <row r="56032">
      <c r="A56032" s="1" t="n">
        <v>56031</v>
      </c>
      <c r="B56032">
        <f>TEXT(56031, "[$-0E0000]yyyy-mm-dd")</f>
        <v/>
      </c>
      <c r="C56032" t="inlineStr">
        <is>
          <t>2053-04-11</t>
        </is>
      </c>
    </row>
    <row r="56033">
      <c r="A56033" s="1" t="n">
        <v>56032</v>
      </c>
      <c r="B56033">
        <f>TEXT(56032, "[$-0E0000]yyyy-mm-dd")</f>
        <v/>
      </c>
      <c r="C56033" t="inlineStr">
        <is>
          <t>2053-04-12</t>
        </is>
      </c>
    </row>
    <row r="56034">
      <c r="A56034" s="1" t="n">
        <v>56033</v>
      </c>
      <c r="B56034">
        <f>TEXT(56033, "[$-0E0000]yyyy-mm-dd")</f>
        <v/>
      </c>
      <c r="C56034" t="inlineStr">
        <is>
          <t>2053-04-13</t>
        </is>
      </c>
    </row>
    <row r="56035">
      <c r="A56035" s="1" t="n">
        <v>56034</v>
      </c>
      <c r="B56035">
        <f>TEXT(56034, "[$-0E0000]yyyy-mm-dd")</f>
        <v/>
      </c>
      <c r="C56035" t="inlineStr">
        <is>
          <t>2053-04-14</t>
        </is>
      </c>
    </row>
    <row r="56036">
      <c r="A56036" s="1" t="n">
        <v>56035</v>
      </c>
      <c r="B56036">
        <f>TEXT(56035, "[$-0E0000]yyyy-mm-dd")</f>
        <v/>
      </c>
      <c r="C56036" t="inlineStr">
        <is>
          <t>2053-04-15</t>
        </is>
      </c>
    </row>
    <row r="56037">
      <c r="A56037" s="1" t="n">
        <v>56036</v>
      </c>
      <c r="B56037">
        <f>TEXT(56036, "[$-0E0000]yyyy-mm-dd")</f>
        <v/>
      </c>
      <c r="C56037" t="inlineStr">
        <is>
          <t>2053-04-16</t>
        </is>
      </c>
    </row>
    <row r="56038">
      <c r="A56038" s="1" t="n">
        <v>56037</v>
      </c>
      <c r="B56038">
        <f>TEXT(56037, "[$-0E0000]yyyy-mm-dd")</f>
        <v/>
      </c>
      <c r="C56038" t="inlineStr">
        <is>
          <t>2053-04-17</t>
        </is>
      </c>
    </row>
    <row r="56039">
      <c r="A56039" s="1" t="n">
        <v>56038</v>
      </c>
      <c r="B56039">
        <f>TEXT(56038, "[$-0E0000]yyyy-mm-dd")</f>
        <v/>
      </c>
      <c r="C56039" t="inlineStr">
        <is>
          <t>2053-04-18</t>
        </is>
      </c>
    </row>
    <row r="56040">
      <c r="A56040" s="1" t="n">
        <v>56039</v>
      </c>
      <c r="B56040">
        <f>TEXT(56039, "[$-0E0000]yyyy-mm-dd")</f>
        <v/>
      </c>
      <c r="C56040" t="inlineStr">
        <is>
          <t>2053-04-19</t>
        </is>
      </c>
    </row>
    <row r="56041">
      <c r="A56041" s="1" t="n">
        <v>56040</v>
      </c>
      <c r="B56041">
        <f>TEXT(56040, "[$-0E0000]yyyy-mm-dd")</f>
        <v/>
      </c>
      <c r="C56041" t="inlineStr">
        <is>
          <t>2053-04-20</t>
        </is>
      </c>
    </row>
    <row r="56042">
      <c r="A56042" s="1" t="n">
        <v>56041</v>
      </c>
      <c r="B56042">
        <f>TEXT(56041, "[$-0E0000]yyyy-mm-dd")</f>
        <v/>
      </c>
      <c r="C56042" t="inlineStr">
        <is>
          <t>2053-04-21</t>
        </is>
      </c>
    </row>
    <row r="56043">
      <c r="A56043" s="1" t="n">
        <v>56042</v>
      </c>
      <c r="B56043">
        <f>TEXT(56042, "[$-0E0000]yyyy-mm-dd")</f>
        <v/>
      </c>
      <c r="C56043" t="inlineStr">
        <is>
          <t>2053-04-22</t>
        </is>
      </c>
    </row>
    <row r="56044">
      <c r="A56044" s="1" t="n">
        <v>56043</v>
      </c>
      <c r="B56044">
        <f>TEXT(56043, "[$-0E0000]yyyy-mm-dd")</f>
        <v/>
      </c>
      <c r="C56044" t="inlineStr">
        <is>
          <t>2053-04-23</t>
        </is>
      </c>
    </row>
    <row r="56045">
      <c r="A56045" s="1" t="n">
        <v>56044</v>
      </c>
      <c r="B56045">
        <f>TEXT(56044, "[$-0E0000]yyyy-mm-dd")</f>
        <v/>
      </c>
      <c r="C56045" t="inlineStr">
        <is>
          <t>2053-04-24</t>
        </is>
      </c>
    </row>
    <row r="56046">
      <c r="A56046" s="1" t="n">
        <v>56045</v>
      </c>
      <c r="B56046">
        <f>TEXT(56045, "[$-0E0000]yyyy-mm-dd")</f>
        <v/>
      </c>
      <c r="C56046" t="inlineStr">
        <is>
          <t>2053-04-25</t>
        </is>
      </c>
    </row>
    <row r="56047">
      <c r="A56047" s="1" t="n">
        <v>56046</v>
      </c>
      <c r="B56047">
        <f>TEXT(56046, "[$-0E0000]yyyy-mm-dd")</f>
        <v/>
      </c>
      <c r="C56047" t="inlineStr">
        <is>
          <t>2053-04-26</t>
        </is>
      </c>
    </row>
    <row r="56048">
      <c r="A56048" s="1" t="n">
        <v>56047</v>
      </c>
      <c r="B56048">
        <f>TEXT(56047, "[$-0E0000]yyyy-mm-dd")</f>
        <v/>
      </c>
      <c r="C56048" t="inlineStr">
        <is>
          <t>2053-04-27</t>
        </is>
      </c>
    </row>
    <row r="56049">
      <c r="A56049" s="1" t="n">
        <v>56048</v>
      </c>
      <c r="B56049">
        <f>TEXT(56048, "[$-0E0000]yyyy-mm-dd")</f>
        <v/>
      </c>
      <c r="C56049" t="inlineStr">
        <is>
          <t>2053-04-28</t>
        </is>
      </c>
    </row>
    <row r="56050">
      <c r="A56050" s="1" t="n">
        <v>56049</v>
      </c>
      <c r="B56050">
        <f>TEXT(56049, "[$-0E0000]yyyy-mm-dd")</f>
        <v/>
      </c>
      <c r="C56050" t="inlineStr">
        <is>
          <t>2053-04-29</t>
        </is>
      </c>
    </row>
    <row r="56051">
      <c r="A56051" s="1" t="n">
        <v>56050</v>
      </c>
      <c r="B56051">
        <f>TEXT(56050, "[$-0E0000]yyyy-mm-dd")</f>
        <v/>
      </c>
      <c r="C56051" t="inlineStr">
        <is>
          <t>2053-05-01</t>
        </is>
      </c>
    </row>
    <row r="56052">
      <c r="A56052" s="1" t="n">
        <v>56051</v>
      </c>
      <c r="B56052">
        <f>TEXT(56051, "[$-0E0000]yyyy-mm-dd")</f>
        <v/>
      </c>
      <c r="C56052" t="inlineStr">
        <is>
          <t>2053-05-02</t>
        </is>
      </c>
    </row>
    <row r="56053">
      <c r="A56053" s="1" t="n">
        <v>56052</v>
      </c>
      <c r="B56053">
        <f>TEXT(56052, "[$-0E0000]yyyy-mm-dd")</f>
        <v/>
      </c>
      <c r="C56053" t="inlineStr">
        <is>
          <t>2053-05-03</t>
        </is>
      </c>
    </row>
    <row r="56054">
      <c r="A56054" s="1" t="n">
        <v>56053</v>
      </c>
      <c r="B56054">
        <f>TEXT(56053, "[$-0E0000]yyyy-mm-dd")</f>
        <v/>
      </c>
      <c r="C56054" t="inlineStr">
        <is>
          <t>2053-05-04</t>
        </is>
      </c>
    </row>
    <row r="56055">
      <c r="A56055" s="1" t="n">
        <v>56054</v>
      </c>
      <c r="B56055">
        <f>TEXT(56054, "[$-0E0000]yyyy-mm-dd")</f>
        <v/>
      </c>
      <c r="C56055" t="inlineStr">
        <is>
          <t>2053-05-05</t>
        </is>
      </c>
    </row>
    <row r="56056">
      <c r="A56056" s="1" t="n">
        <v>56055</v>
      </c>
      <c r="B56056">
        <f>TEXT(56055, "[$-0E0000]yyyy-mm-dd")</f>
        <v/>
      </c>
      <c r="C56056" t="inlineStr">
        <is>
          <t>2053-05-06</t>
        </is>
      </c>
    </row>
    <row r="56057">
      <c r="A56057" s="1" t="n">
        <v>56056</v>
      </c>
      <c r="B56057">
        <f>TEXT(56056, "[$-0E0000]yyyy-mm-dd")</f>
        <v/>
      </c>
      <c r="C56057" t="inlineStr">
        <is>
          <t>2053-05-07</t>
        </is>
      </c>
    </row>
    <row r="56058">
      <c r="A56058" s="1" t="n">
        <v>56057</v>
      </c>
      <c r="B56058">
        <f>TEXT(56057, "[$-0E0000]yyyy-mm-dd")</f>
        <v/>
      </c>
      <c r="C56058" t="inlineStr">
        <is>
          <t>2053-05-08</t>
        </is>
      </c>
    </row>
    <row r="56059">
      <c r="A56059" s="1" t="n">
        <v>56058</v>
      </c>
      <c r="B56059">
        <f>TEXT(56058, "[$-0E0000]yyyy-mm-dd")</f>
        <v/>
      </c>
      <c r="C56059" t="inlineStr">
        <is>
          <t>2053-05-09</t>
        </is>
      </c>
    </row>
    <row r="56060">
      <c r="A56060" s="1" t="n">
        <v>56059</v>
      </c>
      <c r="B56060">
        <f>TEXT(56059, "[$-0E0000]yyyy-mm-dd")</f>
        <v/>
      </c>
      <c r="C56060" t="inlineStr">
        <is>
          <t>2053-05-10</t>
        </is>
      </c>
    </row>
    <row r="56061">
      <c r="A56061" s="1" t="n">
        <v>56060</v>
      </c>
      <c r="B56061">
        <f>TEXT(56060, "[$-0E0000]yyyy-mm-dd")</f>
        <v/>
      </c>
      <c r="C56061" t="inlineStr">
        <is>
          <t>2053-05-11</t>
        </is>
      </c>
    </row>
    <row r="56062">
      <c r="A56062" s="1" t="n">
        <v>56061</v>
      </c>
      <c r="B56062">
        <f>TEXT(56061, "[$-0E0000]yyyy-mm-dd")</f>
        <v/>
      </c>
      <c r="C56062" t="inlineStr">
        <is>
          <t>2053-05-12</t>
        </is>
      </c>
    </row>
    <row r="56063">
      <c r="A56063" s="1" t="n">
        <v>56062</v>
      </c>
      <c r="B56063">
        <f>TEXT(56062, "[$-0E0000]yyyy-mm-dd")</f>
        <v/>
      </c>
      <c r="C56063" t="inlineStr">
        <is>
          <t>2053-05-13</t>
        </is>
      </c>
    </row>
    <row r="56064">
      <c r="A56064" s="1" t="n">
        <v>56063</v>
      </c>
      <c r="B56064">
        <f>TEXT(56063, "[$-0E0000]yyyy-mm-dd")</f>
        <v/>
      </c>
      <c r="C56064" t="inlineStr">
        <is>
          <t>2053-05-14</t>
        </is>
      </c>
    </row>
    <row r="56065">
      <c r="A56065" s="1" t="n">
        <v>56064</v>
      </c>
      <c r="B56065">
        <f>TEXT(56064, "[$-0E0000]yyyy-mm-dd")</f>
        <v/>
      </c>
      <c r="C56065" t="inlineStr">
        <is>
          <t>2053-05-15</t>
        </is>
      </c>
    </row>
    <row r="56066">
      <c r="A56066" s="1" t="n">
        <v>56065</v>
      </c>
      <c r="B56066">
        <f>TEXT(56065, "[$-0E0000]yyyy-mm-dd")</f>
        <v/>
      </c>
      <c r="C56066" t="inlineStr">
        <is>
          <t>2053-05-16</t>
        </is>
      </c>
    </row>
    <row r="56067">
      <c r="A56067" s="1" t="n">
        <v>56066</v>
      </c>
      <c r="B56067">
        <f>TEXT(56066, "[$-0E0000]yyyy-mm-dd")</f>
        <v/>
      </c>
      <c r="C56067" t="inlineStr">
        <is>
          <t>2053-05-17</t>
        </is>
      </c>
    </row>
    <row r="56068">
      <c r="A56068" s="1" t="n">
        <v>56067</v>
      </c>
      <c r="B56068">
        <f>TEXT(56067, "[$-0E0000]yyyy-mm-dd")</f>
        <v/>
      </c>
      <c r="C56068" t="inlineStr">
        <is>
          <t>2053-05-18</t>
        </is>
      </c>
    </row>
    <row r="56069">
      <c r="A56069" s="1" t="n">
        <v>56068</v>
      </c>
      <c r="B56069">
        <f>TEXT(56068, "[$-0E0000]yyyy-mm-dd")</f>
        <v/>
      </c>
      <c r="C56069" t="inlineStr">
        <is>
          <t>2053-05-19</t>
        </is>
      </c>
    </row>
    <row r="56070">
      <c r="A56070" s="1" t="n">
        <v>56069</v>
      </c>
      <c r="B56070">
        <f>TEXT(56069, "[$-0E0000]yyyy-mm-dd")</f>
        <v/>
      </c>
      <c r="C56070" t="inlineStr">
        <is>
          <t>2053-05-20</t>
        </is>
      </c>
    </row>
    <row r="56071">
      <c r="A56071" s="1" t="n">
        <v>56070</v>
      </c>
      <c r="B56071">
        <f>TEXT(56070, "[$-0E0000]yyyy-mm-dd")</f>
        <v/>
      </c>
      <c r="C56071" t="inlineStr">
        <is>
          <t>2053-05-21</t>
        </is>
      </c>
    </row>
    <row r="56072">
      <c r="A56072" s="1" t="n">
        <v>56071</v>
      </c>
      <c r="B56072">
        <f>TEXT(56071, "[$-0E0000]yyyy-mm-dd")</f>
        <v/>
      </c>
      <c r="C56072" t="inlineStr">
        <is>
          <t>2053-05-22</t>
        </is>
      </c>
    </row>
    <row r="56073">
      <c r="A56073" s="1" t="n">
        <v>56072</v>
      </c>
      <c r="B56073">
        <f>TEXT(56072, "[$-0E0000]yyyy-mm-dd")</f>
        <v/>
      </c>
      <c r="C56073" t="inlineStr">
        <is>
          <t>2053-05-23</t>
        </is>
      </c>
    </row>
    <row r="56074">
      <c r="A56074" s="1" t="n">
        <v>56073</v>
      </c>
      <c r="B56074">
        <f>TEXT(56073, "[$-0E0000]yyyy-mm-dd")</f>
        <v/>
      </c>
      <c r="C56074" t="inlineStr">
        <is>
          <t>2053-05-24</t>
        </is>
      </c>
    </row>
    <row r="56075">
      <c r="A56075" s="1" t="n">
        <v>56074</v>
      </c>
      <c r="B56075">
        <f>TEXT(56074, "[$-0E0000]yyyy-mm-dd")</f>
        <v/>
      </c>
      <c r="C56075" t="inlineStr">
        <is>
          <t>2053-05-25</t>
        </is>
      </c>
    </row>
    <row r="56076">
      <c r="A56076" s="1" t="n">
        <v>56075</v>
      </c>
      <c r="B56076">
        <f>TEXT(56075, "[$-0E0000]yyyy-mm-dd")</f>
        <v/>
      </c>
      <c r="C56076" t="inlineStr">
        <is>
          <t>2053-05-26</t>
        </is>
      </c>
    </row>
    <row r="56077">
      <c r="A56077" s="1" t="n">
        <v>56076</v>
      </c>
      <c r="B56077">
        <f>TEXT(56076, "[$-0E0000]yyyy-mm-dd")</f>
        <v/>
      </c>
      <c r="C56077" t="inlineStr">
        <is>
          <t>2053-05-27</t>
        </is>
      </c>
    </row>
    <row r="56078">
      <c r="A56078" s="1" t="n">
        <v>56077</v>
      </c>
      <c r="B56078">
        <f>TEXT(56077, "[$-0E0000]yyyy-mm-dd")</f>
        <v/>
      </c>
      <c r="C56078" t="inlineStr">
        <is>
          <t>2053-05-28</t>
        </is>
      </c>
    </row>
    <row r="56079">
      <c r="A56079" s="1" t="n">
        <v>56078</v>
      </c>
      <c r="B56079">
        <f>TEXT(56078, "[$-0E0000]yyyy-mm-dd")</f>
        <v/>
      </c>
      <c r="C56079" t="inlineStr">
        <is>
          <t>2053-05-29</t>
        </is>
      </c>
    </row>
    <row r="56080">
      <c r="A56080" s="1" t="n">
        <v>56079</v>
      </c>
      <c r="B56080">
        <f>TEXT(56079, "[$-0E0000]yyyy-mm-dd")</f>
        <v/>
      </c>
      <c r="C56080" t="inlineStr">
        <is>
          <t>2053-05-30</t>
        </is>
      </c>
    </row>
    <row r="56081">
      <c r="A56081" s="1" t="n">
        <v>56080</v>
      </c>
      <c r="B56081">
        <f>TEXT(56080, "[$-0E0000]yyyy-mm-dd")</f>
        <v/>
      </c>
      <c r="C56081" t="inlineStr">
        <is>
          <t>2053-06-01</t>
        </is>
      </c>
    </row>
    <row r="56082">
      <c r="A56082" s="1" t="n">
        <v>56081</v>
      </c>
      <c r="B56082">
        <f>TEXT(56081, "[$-0E0000]yyyy-mm-dd")</f>
        <v/>
      </c>
      <c r="C56082" t="inlineStr">
        <is>
          <t>2053-06-02</t>
        </is>
      </c>
    </row>
    <row r="56083">
      <c r="A56083" s="1" t="n">
        <v>56082</v>
      </c>
      <c r="B56083">
        <f>TEXT(56082, "[$-0E0000]yyyy-mm-dd")</f>
        <v/>
      </c>
      <c r="C56083" t="inlineStr">
        <is>
          <t>2053-06-03</t>
        </is>
      </c>
    </row>
    <row r="56084">
      <c r="A56084" s="1" t="n">
        <v>56083</v>
      </c>
      <c r="B56084">
        <f>TEXT(56083, "[$-0E0000]yyyy-mm-dd")</f>
        <v/>
      </c>
      <c r="C56084" t="inlineStr">
        <is>
          <t>2053-06-04</t>
        </is>
      </c>
    </row>
    <row r="56085">
      <c r="A56085" s="1" t="n">
        <v>56084</v>
      </c>
      <c r="B56085">
        <f>TEXT(56084, "[$-0E0000]yyyy-mm-dd")</f>
        <v/>
      </c>
      <c r="C56085" t="inlineStr">
        <is>
          <t>2053-06-05</t>
        </is>
      </c>
    </row>
    <row r="56086">
      <c r="A56086" s="1" t="n">
        <v>56085</v>
      </c>
      <c r="B56086">
        <f>TEXT(56085, "[$-0E0000]yyyy-mm-dd")</f>
        <v/>
      </c>
      <c r="C56086" t="inlineStr">
        <is>
          <t>2053-06-06</t>
        </is>
      </c>
    </row>
    <row r="56087">
      <c r="A56087" s="1" t="n">
        <v>56086</v>
      </c>
      <c r="B56087">
        <f>TEXT(56086, "[$-0E0000]yyyy-mm-dd")</f>
        <v/>
      </c>
      <c r="C56087" t="inlineStr">
        <is>
          <t>2053-06-07</t>
        </is>
      </c>
    </row>
    <row r="56088">
      <c r="A56088" s="1" t="n">
        <v>56087</v>
      </c>
      <c r="B56088">
        <f>TEXT(56087, "[$-0E0000]yyyy-mm-dd")</f>
        <v/>
      </c>
      <c r="C56088" t="inlineStr">
        <is>
          <t>2053-06-08</t>
        </is>
      </c>
    </row>
    <row r="56089">
      <c r="A56089" s="1" t="n">
        <v>56088</v>
      </c>
      <c r="B56089">
        <f>TEXT(56088, "[$-0E0000]yyyy-mm-dd")</f>
        <v/>
      </c>
      <c r="C56089" t="inlineStr">
        <is>
          <t>2053-06-09</t>
        </is>
      </c>
    </row>
    <row r="56090">
      <c r="A56090" s="1" t="n">
        <v>56089</v>
      </c>
      <c r="B56090">
        <f>TEXT(56089, "[$-0E0000]yyyy-mm-dd")</f>
        <v/>
      </c>
      <c r="C56090" t="inlineStr">
        <is>
          <t>2053-06-10</t>
        </is>
      </c>
    </row>
    <row r="56091">
      <c r="A56091" s="1" t="n">
        <v>56090</v>
      </c>
      <c r="B56091">
        <f>TEXT(56090, "[$-0E0000]yyyy-mm-dd")</f>
        <v/>
      </c>
      <c r="C56091" t="inlineStr">
        <is>
          <t>2053-06-11</t>
        </is>
      </c>
    </row>
    <row r="56092">
      <c r="A56092" s="1" t="n">
        <v>56091</v>
      </c>
      <c r="B56092">
        <f>TEXT(56091, "[$-0E0000]yyyy-mm-dd")</f>
        <v/>
      </c>
      <c r="C56092" t="inlineStr">
        <is>
          <t>2053-06-12</t>
        </is>
      </c>
    </row>
    <row r="56093">
      <c r="A56093" s="1" t="n">
        <v>56092</v>
      </c>
      <c r="B56093">
        <f>TEXT(56092, "[$-0E0000]yyyy-mm-dd")</f>
        <v/>
      </c>
      <c r="C56093" t="inlineStr">
        <is>
          <t>2053-06-13</t>
        </is>
      </c>
    </row>
    <row r="56094">
      <c r="A56094" s="1" t="n">
        <v>56093</v>
      </c>
      <c r="B56094">
        <f>TEXT(56093, "[$-0E0000]yyyy-mm-dd")</f>
        <v/>
      </c>
      <c r="C56094" t="inlineStr">
        <is>
          <t>2053-06-14</t>
        </is>
      </c>
    </row>
    <row r="56095">
      <c r="A56095" s="1" t="n">
        <v>56094</v>
      </c>
      <c r="B56095">
        <f>TEXT(56094, "[$-0E0000]yyyy-mm-dd")</f>
        <v/>
      </c>
      <c r="C56095" t="inlineStr">
        <is>
          <t>2053-06-15</t>
        </is>
      </c>
    </row>
    <row r="56096">
      <c r="A56096" s="1" t="n">
        <v>56095</v>
      </c>
      <c r="B56096">
        <f>TEXT(56095, "[$-0E0000]yyyy-mm-dd")</f>
        <v/>
      </c>
      <c r="C56096" t="inlineStr">
        <is>
          <t>2053-06-16</t>
        </is>
      </c>
    </row>
    <row r="56097">
      <c r="A56097" s="1" t="n">
        <v>56096</v>
      </c>
      <c r="B56097">
        <f>TEXT(56096, "[$-0E0000]yyyy-mm-dd")</f>
        <v/>
      </c>
      <c r="C56097" t="inlineStr">
        <is>
          <t>2053-06-17</t>
        </is>
      </c>
    </row>
    <row r="56098">
      <c r="A56098" s="1" t="n">
        <v>56097</v>
      </c>
      <c r="B56098">
        <f>TEXT(56097, "[$-0E0000]yyyy-mm-dd")</f>
        <v/>
      </c>
      <c r="C56098" t="inlineStr">
        <is>
          <t>2053-06-18</t>
        </is>
      </c>
    </row>
    <row r="56099">
      <c r="A56099" s="1" t="n">
        <v>56098</v>
      </c>
      <c r="B56099">
        <f>TEXT(56098, "[$-0E0000]yyyy-mm-dd")</f>
        <v/>
      </c>
      <c r="C56099" t="inlineStr">
        <is>
          <t>2053-06-19</t>
        </is>
      </c>
    </row>
    <row r="56100">
      <c r="A56100" s="1" t="n">
        <v>56099</v>
      </c>
      <c r="B56100">
        <f>TEXT(56099, "[$-0E0000]yyyy-mm-dd")</f>
        <v/>
      </c>
      <c r="C56100" t="inlineStr">
        <is>
          <t>2053-06-20</t>
        </is>
      </c>
    </row>
    <row r="56101">
      <c r="A56101" s="1" t="n">
        <v>56100</v>
      </c>
      <c r="B56101">
        <f>TEXT(56100, "[$-0E0000]yyyy-mm-dd")</f>
        <v/>
      </c>
      <c r="C56101" t="inlineStr">
        <is>
          <t>2053-06-21</t>
        </is>
      </c>
    </row>
    <row r="56102">
      <c r="A56102" s="1" t="n">
        <v>56101</v>
      </c>
      <c r="B56102">
        <f>TEXT(56101, "[$-0E0000]yyyy-mm-dd")</f>
        <v/>
      </c>
      <c r="C56102" t="inlineStr">
        <is>
          <t>2053-06-22</t>
        </is>
      </c>
    </row>
    <row r="56103">
      <c r="A56103" s="1" t="n">
        <v>56102</v>
      </c>
      <c r="B56103">
        <f>TEXT(56102, "[$-0E0000]yyyy-mm-dd")</f>
        <v/>
      </c>
      <c r="C56103" t="inlineStr">
        <is>
          <t>2053-06-23</t>
        </is>
      </c>
    </row>
    <row r="56104">
      <c r="A56104" s="1" t="n">
        <v>56103</v>
      </c>
      <c r="B56104">
        <f>TEXT(56103, "[$-0E0000]yyyy-mm-dd")</f>
        <v/>
      </c>
      <c r="C56104" t="inlineStr">
        <is>
          <t>2053-06-24</t>
        </is>
      </c>
    </row>
    <row r="56105">
      <c r="A56105" s="1" t="n">
        <v>56104</v>
      </c>
      <c r="B56105">
        <f>TEXT(56104, "[$-0E0000]yyyy-mm-dd")</f>
        <v/>
      </c>
      <c r="C56105" t="inlineStr">
        <is>
          <t>2053-06-25</t>
        </is>
      </c>
    </row>
    <row r="56106">
      <c r="A56106" s="1" t="n">
        <v>56105</v>
      </c>
      <c r="B56106">
        <f>TEXT(56105, "[$-0E0000]yyyy-mm-dd")</f>
        <v/>
      </c>
      <c r="C56106" t="inlineStr">
        <is>
          <t>2053-06-26</t>
        </is>
      </c>
    </row>
    <row r="56107">
      <c r="A56107" s="1" t="n">
        <v>56106</v>
      </c>
      <c r="B56107">
        <f>TEXT(56106, "[$-0E0000]yyyy-mm-dd")</f>
        <v/>
      </c>
      <c r="C56107" t="inlineStr">
        <is>
          <t>2053-06-27</t>
        </is>
      </c>
    </row>
    <row r="56108">
      <c r="A56108" s="1" t="n">
        <v>56107</v>
      </c>
      <c r="B56108">
        <f>TEXT(56107, "[$-0E0000]yyyy-mm-dd")</f>
        <v/>
      </c>
      <c r="C56108" t="inlineStr">
        <is>
          <t>2053-06-28</t>
        </is>
      </c>
    </row>
    <row r="56109">
      <c r="A56109" s="1" t="n">
        <v>56108</v>
      </c>
      <c r="B56109">
        <f>TEXT(56108, "[$-0E0000]yyyy-mm-dd")</f>
        <v/>
      </c>
      <c r="C56109" t="inlineStr">
        <is>
          <t>2053-06-29</t>
        </is>
      </c>
    </row>
    <row r="56110">
      <c r="A56110" s="1" t="n">
        <v>56109</v>
      </c>
      <c r="B56110">
        <f>TEXT(56109, "[$-0E0000]yyyy-mm-dd")</f>
        <v/>
      </c>
      <c r="C56110" t="inlineStr">
        <is>
          <t>2053-07-01</t>
        </is>
      </c>
    </row>
    <row r="56111">
      <c r="A56111" s="1" t="n">
        <v>56110</v>
      </c>
      <c r="B56111">
        <f>TEXT(56110, "[$-0E0000]yyyy-mm-dd")</f>
        <v/>
      </c>
      <c r="C56111" t="inlineStr">
        <is>
          <t>2053-07-02</t>
        </is>
      </c>
    </row>
    <row r="56112">
      <c r="A56112" s="1" t="n">
        <v>56111</v>
      </c>
      <c r="B56112">
        <f>TEXT(56111, "[$-0E0000]yyyy-mm-dd")</f>
        <v/>
      </c>
      <c r="C56112" t="inlineStr">
        <is>
          <t>2053-07-03</t>
        </is>
      </c>
    </row>
    <row r="56113">
      <c r="A56113" s="1" t="n">
        <v>56112</v>
      </c>
      <c r="B56113">
        <f>TEXT(56112, "[$-0E0000]yyyy-mm-dd")</f>
        <v/>
      </c>
      <c r="C56113" t="inlineStr">
        <is>
          <t>2053-07-04</t>
        </is>
      </c>
    </row>
    <row r="56114">
      <c r="A56114" s="1" t="n">
        <v>56113</v>
      </c>
      <c r="B56114">
        <f>TEXT(56113, "[$-0E0000]yyyy-mm-dd")</f>
        <v/>
      </c>
      <c r="C56114" t="inlineStr">
        <is>
          <t>2053-07-05</t>
        </is>
      </c>
    </row>
    <row r="56115">
      <c r="A56115" s="1" t="n">
        <v>56114</v>
      </c>
      <c r="B56115">
        <f>TEXT(56114, "[$-0E0000]yyyy-mm-dd")</f>
        <v/>
      </c>
      <c r="C56115" t="inlineStr">
        <is>
          <t>2053-07-06</t>
        </is>
      </c>
    </row>
    <row r="56116">
      <c r="A56116" s="1" t="n">
        <v>56115</v>
      </c>
      <c r="B56116">
        <f>TEXT(56115, "[$-0E0000]yyyy-mm-dd")</f>
        <v/>
      </c>
      <c r="C56116" t="inlineStr">
        <is>
          <t>2053-07-07</t>
        </is>
      </c>
    </row>
    <row r="56117">
      <c r="A56117" s="1" t="n">
        <v>56116</v>
      </c>
      <c r="B56117">
        <f>TEXT(56116, "[$-0E0000]yyyy-mm-dd")</f>
        <v/>
      </c>
      <c r="C56117" t="inlineStr">
        <is>
          <t>2053-07-08</t>
        </is>
      </c>
    </row>
    <row r="56118">
      <c r="A56118" s="1" t="n">
        <v>56117</v>
      </c>
      <c r="B56118">
        <f>TEXT(56117, "[$-0E0000]yyyy-mm-dd")</f>
        <v/>
      </c>
      <c r="C56118" t="inlineStr">
        <is>
          <t>2053-07-09</t>
        </is>
      </c>
    </row>
    <row r="56119">
      <c r="A56119" s="1" t="n">
        <v>56118</v>
      </c>
      <c r="B56119">
        <f>TEXT(56118, "[$-0E0000]yyyy-mm-dd")</f>
        <v/>
      </c>
      <c r="C56119" t="inlineStr">
        <is>
          <t>2053-07-10</t>
        </is>
      </c>
    </row>
    <row r="56120">
      <c r="A56120" s="1" t="n">
        <v>56119</v>
      </c>
      <c r="B56120">
        <f>TEXT(56119, "[$-0E0000]yyyy-mm-dd")</f>
        <v/>
      </c>
      <c r="C56120" t="inlineStr">
        <is>
          <t>2053-07-11</t>
        </is>
      </c>
    </row>
    <row r="56121">
      <c r="A56121" s="1" t="n">
        <v>56120</v>
      </c>
      <c r="B56121">
        <f>TEXT(56120, "[$-0E0000]yyyy-mm-dd")</f>
        <v/>
      </c>
      <c r="C56121" t="inlineStr">
        <is>
          <t>2053-07-12</t>
        </is>
      </c>
    </row>
    <row r="56122">
      <c r="A56122" s="1" t="n">
        <v>56121</v>
      </c>
      <c r="B56122">
        <f>TEXT(56121, "[$-0E0000]yyyy-mm-dd")</f>
        <v/>
      </c>
      <c r="C56122" t="inlineStr">
        <is>
          <t>2053-07-13</t>
        </is>
      </c>
    </row>
    <row r="56123">
      <c r="A56123" s="1" t="n">
        <v>56122</v>
      </c>
      <c r="B56123">
        <f>TEXT(56122, "[$-0E0000]yyyy-mm-dd")</f>
        <v/>
      </c>
      <c r="C56123" t="inlineStr">
        <is>
          <t>2053-07-14</t>
        </is>
      </c>
    </row>
    <row r="56124">
      <c r="A56124" s="1" t="n">
        <v>56123</v>
      </c>
      <c r="B56124">
        <f>TEXT(56123, "[$-0E0000]yyyy-mm-dd")</f>
        <v/>
      </c>
      <c r="C56124" t="inlineStr">
        <is>
          <t>2053-07-15</t>
        </is>
      </c>
    </row>
    <row r="56125">
      <c r="A56125" s="1" t="n">
        <v>56124</v>
      </c>
      <c r="B56125">
        <f>TEXT(56124, "[$-0E0000]yyyy-mm-dd")</f>
        <v/>
      </c>
      <c r="C56125" t="inlineStr">
        <is>
          <t>2053-07-16</t>
        </is>
      </c>
    </row>
    <row r="56126">
      <c r="A56126" s="1" t="n">
        <v>56125</v>
      </c>
      <c r="B56126">
        <f>TEXT(56125, "[$-0E0000]yyyy-mm-dd")</f>
        <v/>
      </c>
      <c r="C56126" t="inlineStr">
        <is>
          <t>2053-07-17</t>
        </is>
      </c>
    </row>
    <row r="56127">
      <c r="A56127" s="1" t="n">
        <v>56126</v>
      </c>
      <c r="B56127">
        <f>TEXT(56126, "[$-0E0000]yyyy-mm-dd")</f>
        <v/>
      </c>
      <c r="C56127" t="inlineStr">
        <is>
          <t>2053-07-18</t>
        </is>
      </c>
    </row>
    <row r="56128">
      <c r="A56128" s="1" t="n">
        <v>56127</v>
      </c>
      <c r="B56128">
        <f>TEXT(56127, "[$-0E0000]yyyy-mm-dd")</f>
        <v/>
      </c>
      <c r="C56128" t="inlineStr">
        <is>
          <t>2053-07-19</t>
        </is>
      </c>
    </row>
    <row r="56129">
      <c r="A56129" s="1" t="n">
        <v>56128</v>
      </c>
      <c r="B56129">
        <f>TEXT(56128, "[$-0E0000]yyyy-mm-dd")</f>
        <v/>
      </c>
      <c r="C56129" t="inlineStr">
        <is>
          <t>2053-07-20</t>
        </is>
      </c>
    </row>
    <row r="56130">
      <c r="A56130" s="1" t="n">
        <v>56129</v>
      </c>
      <c r="B56130">
        <f>TEXT(56129, "[$-0E0000]yyyy-mm-dd")</f>
        <v/>
      </c>
      <c r="C56130" t="inlineStr">
        <is>
          <t>2053-07-21</t>
        </is>
      </c>
    </row>
    <row r="56131">
      <c r="A56131" s="1" t="n">
        <v>56130</v>
      </c>
      <c r="B56131">
        <f>TEXT(56130, "[$-0E0000]yyyy-mm-dd")</f>
        <v/>
      </c>
      <c r="C56131" t="inlineStr">
        <is>
          <t>2053-07-22</t>
        </is>
      </c>
    </row>
    <row r="56132">
      <c r="A56132" s="1" t="n">
        <v>56131</v>
      </c>
      <c r="B56132">
        <f>TEXT(56131, "[$-0E0000]yyyy-mm-dd")</f>
        <v/>
      </c>
      <c r="C56132" t="inlineStr">
        <is>
          <t>2053-07-23</t>
        </is>
      </c>
    </row>
    <row r="56133">
      <c r="A56133" s="1" t="n">
        <v>56132</v>
      </c>
      <c r="B56133">
        <f>TEXT(56132, "[$-0E0000]yyyy-mm-dd")</f>
        <v/>
      </c>
      <c r="C56133" t="inlineStr">
        <is>
          <t>2053-07-24</t>
        </is>
      </c>
    </row>
    <row r="56134">
      <c r="A56134" s="1" t="n">
        <v>56133</v>
      </c>
      <c r="B56134">
        <f>TEXT(56133, "[$-0E0000]yyyy-mm-dd")</f>
        <v/>
      </c>
      <c r="C56134" t="inlineStr">
        <is>
          <t>2053-07-25</t>
        </is>
      </c>
    </row>
    <row r="56135">
      <c r="A56135" s="1" t="n">
        <v>56134</v>
      </c>
      <c r="B56135">
        <f>TEXT(56134, "[$-0E0000]yyyy-mm-dd")</f>
        <v/>
      </c>
      <c r="C56135" t="inlineStr">
        <is>
          <t>2053-07-26</t>
        </is>
      </c>
    </row>
    <row r="56136">
      <c r="A56136" s="1" t="n">
        <v>56135</v>
      </c>
      <c r="B56136">
        <f>TEXT(56135, "[$-0E0000]yyyy-mm-dd")</f>
        <v/>
      </c>
      <c r="C56136" t="inlineStr">
        <is>
          <t>2053-07-27</t>
        </is>
      </c>
    </row>
    <row r="56137">
      <c r="A56137" s="1" t="n">
        <v>56136</v>
      </c>
      <c r="B56137">
        <f>TEXT(56136, "[$-0E0000]yyyy-mm-dd")</f>
        <v/>
      </c>
      <c r="C56137" t="inlineStr">
        <is>
          <t>2053-07-28</t>
        </is>
      </c>
    </row>
    <row r="56138">
      <c r="A56138" s="1" t="n">
        <v>56137</v>
      </c>
      <c r="B56138">
        <f>TEXT(56137, "[$-0E0000]yyyy-mm-dd")</f>
        <v/>
      </c>
      <c r="C56138" t="inlineStr">
        <is>
          <t>2053-07-29</t>
        </is>
      </c>
    </row>
    <row r="56139">
      <c r="A56139" s="1" t="n">
        <v>56138</v>
      </c>
      <c r="B56139">
        <f>TEXT(56138, "[$-0E0000]yyyy-mm-dd")</f>
        <v/>
      </c>
      <c r="C56139" t="inlineStr">
        <is>
          <t>2053-08-01</t>
        </is>
      </c>
    </row>
    <row r="56140">
      <c r="A56140" s="1" t="n">
        <v>56139</v>
      </c>
      <c r="B56140">
        <f>TEXT(56139, "[$-0E0000]yyyy-mm-dd")</f>
        <v/>
      </c>
      <c r="C56140" t="inlineStr">
        <is>
          <t>2053-08-02</t>
        </is>
      </c>
    </row>
    <row r="56141">
      <c r="A56141" s="1" t="n">
        <v>56140</v>
      </c>
      <c r="B56141">
        <f>TEXT(56140, "[$-0E0000]yyyy-mm-dd")</f>
        <v/>
      </c>
      <c r="C56141" t="inlineStr">
        <is>
          <t>2053-08-03</t>
        </is>
      </c>
    </row>
    <row r="56142">
      <c r="A56142" s="1" t="n">
        <v>56141</v>
      </c>
      <c r="B56142">
        <f>TEXT(56141, "[$-0E0000]yyyy-mm-dd")</f>
        <v/>
      </c>
      <c r="C56142" t="inlineStr">
        <is>
          <t>2053-08-04</t>
        </is>
      </c>
    </row>
    <row r="56143">
      <c r="A56143" s="1" t="n">
        <v>56142</v>
      </c>
      <c r="B56143">
        <f>TEXT(56142, "[$-0E0000]yyyy-mm-dd")</f>
        <v/>
      </c>
      <c r="C56143" t="inlineStr">
        <is>
          <t>2053-08-05</t>
        </is>
      </c>
    </row>
    <row r="56144">
      <c r="A56144" s="1" t="n">
        <v>56143</v>
      </c>
      <c r="B56144">
        <f>TEXT(56143, "[$-0E0000]yyyy-mm-dd")</f>
        <v/>
      </c>
      <c r="C56144" t="inlineStr">
        <is>
          <t>2053-08-06</t>
        </is>
      </c>
    </row>
    <row r="56145">
      <c r="A56145" s="1" t="n">
        <v>56144</v>
      </c>
      <c r="B56145">
        <f>TEXT(56144, "[$-0E0000]yyyy-mm-dd")</f>
        <v/>
      </c>
      <c r="C56145" t="inlineStr">
        <is>
          <t>2053-08-07</t>
        </is>
      </c>
    </row>
    <row r="56146">
      <c r="A56146" s="1" t="n">
        <v>56145</v>
      </c>
      <c r="B56146">
        <f>TEXT(56145, "[$-0E0000]yyyy-mm-dd")</f>
        <v/>
      </c>
      <c r="C56146" t="inlineStr">
        <is>
          <t>2053-08-08</t>
        </is>
      </c>
    </row>
    <row r="56147">
      <c r="A56147" s="1" t="n">
        <v>56146</v>
      </c>
      <c r="B56147">
        <f>TEXT(56146, "[$-0E0000]yyyy-mm-dd")</f>
        <v/>
      </c>
      <c r="C56147" t="inlineStr">
        <is>
          <t>2053-08-09</t>
        </is>
      </c>
    </row>
    <row r="56148">
      <c r="A56148" s="1" t="n">
        <v>56147</v>
      </c>
      <c r="B56148">
        <f>TEXT(56147, "[$-0E0000]yyyy-mm-dd")</f>
        <v/>
      </c>
      <c r="C56148" t="inlineStr">
        <is>
          <t>2053-08-10</t>
        </is>
      </c>
    </row>
    <row r="56149">
      <c r="A56149" s="1" t="n">
        <v>56148</v>
      </c>
      <c r="B56149">
        <f>TEXT(56148, "[$-0E0000]yyyy-mm-dd")</f>
        <v/>
      </c>
      <c r="C56149" t="inlineStr">
        <is>
          <t>2053-08-11</t>
        </is>
      </c>
    </row>
    <row r="56150">
      <c r="A56150" s="1" t="n">
        <v>56149</v>
      </c>
      <c r="B56150">
        <f>TEXT(56149, "[$-0E0000]yyyy-mm-dd")</f>
        <v/>
      </c>
      <c r="C56150" t="inlineStr">
        <is>
          <t>2053-08-12</t>
        </is>
      </c>
    </row>
    <row r="56151">
      <c r="A56151" s="1" t="n">
        <v>56150</v>
      </c>
      <c r="B56151">
        <f>TEXT(56150, "[$-0E0000]yyyy-mm-dd")</f>
        <v/>
      </c>
      <c r="C56151" t="inlineStr">
        <is>
          <t>2053-08-13</t>
        </is>
      </c>
    </row>
    <row r="56152">
      <c r="A56152" s="1" t="n">
        <v>56151</v>
      </c>
      <c r="B56152">
        <f>TEXT(56151, "[$-0E0000]yyyy-mm-dd")</f>
        <v/>
      </c>
      <c r="C56152" t="inlineStr">
        <is>
          <t>2053-08-14</t>
        </is>
      </c>
    </row>
    <row r="56153">
      <c r="A56153" s="1" t="n">
        <v>56152</v>
      </c>
      <c r="B56153">
        <f>TEXT(56152, "[$-0E0000]yyyy-mm-dd")</f>
        <v/>
      </c>
      <c r="C56153" t="inlineStr">
        <is>
          <t>2053-08-15</t>
        </is>
      </c>
    </row>
    <row r="56154">
      <c r="A56154" s="1" t="n">
        <v>56153</v>
      </c>
      <c r="B56154">
        <f>TEXT(56153, "[$-0E0000]yyyy-mm-dd")</f>
        <v/>
      </c>
      <c r="C56154" t="inlineStr">
        <is>
          <t>2053-08-16</t>
        </is>
      </c>
    </row>
    <row r="56155">
      <c r="A56155" s="1" t="n">
        <v>56154</v>
      </c>
      <c r="B56155">
        <f>TEXT(56154, "[$-0E0000]yyyy-mm-dd")</f>
        <v/>
      </c>
      <c r="C56155" t="inlineStr">
        <is>
          <t>2053-08-17</t>
        </is>
      </c>
    </row>
    <row r="56156">
      <c r="A56156" s="1" t="n">
        <v>56155</v>
      </c>
      <c r="B56156">
        <f>TEXT(56155, "[$-0E0000]yyyy-mm-dd")</f>
        <v/>
      </c>
      <c r="C56156" t="inlineStr">
        <is>
          <t>2053-08-18</t>
        </is>
      </c>
    </row>
    <row r="56157">
      <c r="A56157" s="1" t="n">
        <v>56156</v>
      </c>
      <c r="B56157">
        <f>TEXT(56156, "[$-0E0000]yyyy-mm-dd")</f>
        <v/>
      </c>
      <c r="C56157" t="inlineStr">
        <is>
          <t>2053-08-19</t>
        </is>
      </c>
    </row>
    <row r="56158">
      <c r="A56158" s="1" t="n">
        <v>56157</v>
      </c>
      <c r="B56158">
        <f>TEXT(56157, "[$-0E0000]yyyy-mm-dd")</f>
        <v/>
      </c>
      <c r="C56158" t="inlineStr">
        <is>
          <t>2053-08-20</t>
        </is>
      </c>
    </row>
    <row r="56159">
      <c r="A56159" s="1" t="n">
        <v>56158</v>
      </c>
      <c r="B56159">
        <f>TEXT(56158, "[$-0E0000]yyyy-mm-dd")</f>
        <v/>
      </c>
      <c r="C56159" t="inlineStr">
        <is>
          <t>2053-08-21</t>
        </is>
      </c>
    </row>
    <row r="56160">
      <c r="A56160" s="1" t="n">
        <v>56159</v>
      </c>
      <c r="B56160">
        <f>TEXT(56159, "[$-0E0000]yyyy-mm-dd")</f>
        <v/>
      </c>
      <c r="C56160" t="inlineStr">
        <is>
          <t>2053-08-22</t>
        </is>
      </c>
    </row>
    <row r="56161">
      <c r="A56161" s="1" t="n">
        <v>56160</v>
      </c>
      <c r="B56161">
        <f>TEXT(56160, "[$-0E0000]yyyy-mm-dd")</f>
        <v/>
      </c>
      <c r="C56161" t="inlineStr">
        <is>
          <t>2053-08-23</t>
        </is>
      </c>
    </row>
    <row r="56162">
      <c r="A56162" s="1" t="n">
        <v>56161</v>
      </c>
      <c r="B56162">
        <f>TEXT(56161, "[$-0E0000]yyyy-mm-dd")</f>
        <v/>
      </c>
      <c r="C56162" t="inlineStr">
        <is>
          <t>2053-08-24</t>
        </is>
      </c>
    </row>
    <row r="56163">
      <c r="A56163" s="1" t="n">
        <v>56162</v>
      </c>
      <c r="B56163">
        <f>TEXT(56162, "[$-0E0000]yyyy-mm-dd")</f>
        <v/>
      </c>
      <c r="C56163" t="inlineStr">
        <is>
          <t>2053-08-25</t>
        </is>
      </c>
    </row>
    <row r="56164">
      <c r="A56164" s="1" t="n">
        <v>56163</v>
      </c>
      <c r="B56164">
        <f>TEXT(56163, "[$-0E0000]yyyy-mm-dd")</f>
        <v/>
      </c>
      <c r="C56164" t="inlineStr">
        <is>
          <t>2053-08-26</t>
        </is>
      </c>
    </row>
    <row r="56165">
      <c r="A56165" s="1" t="n">
        <v>56164</v>
      </c>
      <c r="B56165">
        <f>TEXT(56164, "[$-0E0000]yyyy-mm-dd")</f>
        <v/>
      </c>
      <c r="C56165" t="inlineStr">
        <is>
          <t>2053-08-27</t>
        </is>
      </c>
    </row>
    <row r="56166">
      <c r="A56166" s="1" t="n">
        <v>56165</v>
      </c>
      <c r="B56166">
        <f>TEXT(56165, "[$-0E0000]yyyy-mm-dd")</f>
        <v/>
      </c>
      <c r="C56166" t="inlineStr">
        <is>
          <t>2053-08-28</t>
        </is>
      </c>
    </row>
    <row r="56167">
      <c r="A56167" s="1" t="n">
        <v>56166</v>
      </c>
      <c r="B56167">
        <f>TEXT(56166, "[$-0E0000]yyyy-mm-dd")</f>
        <v/>
      </c>
      <c r="C56167" t="inlineStr">
        <is>
          <t>2053-08-29</t>
        </is>
      </c>
    </row>
    <row r="56168">
      <c r="A56168" s="1" t="n">
        <v>56167</v>
      </c>
      <c r="B56168">
        <f>TEXT(56167, "[$-0E0000]yyyy-mm-dd")</f>
        <v/>
      </c>
      <c r="C56168" t="inlineStr">
        <is>
          <t>2053-08-30</t>
        </is>
      </c>
    </row>
    <row r="56169">
      <c r="A56169" s="1" t="n">
        <v>56168</v>
      </c>
      <c r="B56169">
        <f>TEXT(56168, "[$-0E0000]yyyy-mm-dd")</f>
        <v/>
      </c>
      <c r="C56169" t="inlineStr">
        <is>
          <t>2053-09-01</t>
        </is>
      </c>
    </row>
    <row r="56170">
      <c r="A56170" s="1" t="n">
        <v>56169</v>
      </c>
      <c r="B56170">
        <f>TEXT(56169, "[$-0E0000]yyyy-mm-dd")</f>
        <v/>
      </c>
      <c r="C56170" t="inlineStr">
        <is>
          <t>2053-09-02</t>
        </is>
      </c>
    </row>
    <row r="56171">
      <c r="A56171" s="1" t="n">
        <v>56170</v>
      </c>
      <c r="B56171">
        <f>TEXT(56170, "[$-0E0000]yyyy-mm-dd")</f>
        <v/>
      </c>
      <c r="C56171" t="inlineStr">
        <is>
          <t>2053-09-03</t>
        </is>
      </c>
    </row>
    <row r="56172">
      <c r="A56172" s="1" t="n">
        <v>56171</v>
      </c>
      <c r="B56172">
        <f>TEXT(56171, "[$-0E0000]yyyy-mm-dd")</f>
        <v/>
      </c>
      <c r="C56172" t="inlineStr">
        <is>
          <t>2053-09-04</t>
        </is>
      </c>
    </row>
    <row r="56173">
      <c r="A56173" s="1" t="n">
        <v>56172</v>
      </c>
      <c r="B56173">
        <f>TEXT(56172, "[$-0E0000]yyyy-mm-dd")</f>
        <v/>
      </c>
      <c r="C56173" t="inlineStr">
        <is>
          <t>2053-09-05</t>
        </is>
      </c>
    </row>
    <row r="56174">
      <c r="A56174" s="1" t="n">
        <v>56173</v>
      </c>
      <c r="B56174">
        <f>TEXT(56173, "[$-0E0000]yyyy-mm-dd")</f>
        <v/>
      </c>
      <c r="C56174" t="inlineStr">
        <is>
          <t>2053-09-06</t>
        </is>
      </c>
    </row>
    <row r="56175">
      <c r="A56175" s="1" t="n">
        <v>56174</v>
      </c>
      <c r="B56175">
        <f>TEXT(56174, "[$-0E0000]yyyy-mm-dd")</f>
        <v/>
      </c>
      <c r="C56175" t="inlineStr">
        <is>
          <t>2053-09-07</t>
        </is>
      </c>
    </row>
    <row r="56176">
      <c r="A56176" s="1" t="n">
        <v>56175</v>
      </c>
      <c r="B56176">
        <f>TEXT(56175, "[$-0E0000]yyyy-mm-dd")</f>
        <v/>
      </c>
      <c r="C56176" t="inlineStr">
        <is>
          <t>2053-09-08</t>
        </is>
      </c>
    </row>
    <row r="56177">
      <c r="A56177" s="1" t="n">
        <v>56176</v>
      </c>
      <c r="B56177">
        <f>TEXT(56176, "[$-0E0000]yyyy-mm-dd")</f>
        <v/>
      </c>
      <c r="C56177" t="inlineStr">
        <is>
          <t>2053-09-09</t>
        </is>
      </c>
    </row>
    <row r="56178">
      <c r="A56178" s="1" t="n">
        <v>56177</v>
      </c>
      <c r="B56178">
        <f>TEXT(56177, "[$-0E0000]yyyy-mm-dd")</f>
        <v/>
      </c>
      <c r="C56178" t="inlineStr">
        <is>
          <t>2053-09-10</t>
        </is>
      </c>
    </row>
    <row r="56179">
      <c r="A56179" s="1" t="n">
        <v>56178</v>
      </c>
      <c r="B56179">
        <f>TEXT(56178, "[$-0E0000]yyyy-mm-dd")</f>
        <v/>
      </c>
      <c r="C56179" t="inlineStr">
        <is>
          <t>2053-09-11</t>
        </is>
      </c>
    </row>
    <row r="56180">
      <c r="A56180" s="1" t="n">
        <v>56179</v>
      </c>
      <c r="B56180">
        <f>TEXT(56179, "[$-0E0000]yyyy-mm-dd")</f>
        <v/>
      </c>
      <c r="C56180" t="inlineStr">
        <is>
          <t>2053-09-12</t>
        </is>
      </c>
    </row>
    <row r="56181">
      <c r="A56181" s="1" t="n">
        <v>56180</v>
      </c>
      <c r="B56181">
        <f>TEXT(56180, "[$-0E0000]yyyy-mm-dd")</f>
        <v/>
      </c>
      <c r="C56181" t="inlineStr">
        <is>
          <t>2053-09-13</t>
        </is>
      </c>
    </row>
    <row r="56182">
      <c r="A56182" s="1" t="n">
        <v>56181</v>
      </c>
      <c r="B56182">
        <f>TEXT(56181, "[$-0E0000]yyyy-mm-dd")</f>
        <v/>
      </c>
      <c r="C56182" t="inlineStr">
        <is>
          <t>2053-09-14</t>
        </is>
      </c>
    </row>
    <row r="56183">
      <c r="A56183" s="1" t="n">
        <v>56182</v>
      </c>
      <c r="B56183">
        <f>TEXT(56182, "[$-0E0000]yyyy-mm-dd")</f>
        <v/>
      </c>
      <c r="C56183" t="inlineStr">
        <is>
          <t>2053-09-15</t>
        </is>
      </c>
    </row>
    <row r="56184">
      <c r="A56184" s="1" t="n">
        <v>56183</v>
      </c>
      <c r="B56184">
        <f>TEXT(56183, "[$-0E0000]yyyy-mm-dd")</f>
        <v/>
      </c>
      <c r="C56184" t="inlineStr">
        <is>
          <t>2053-09-16</t>
        </is>
      </c>
    </row>
    <row r="56185">
      <c r="A56185" s="1" t="n">
        <v>56184</v>
      </c>
      <c r="B56185">
        <f>TEXT(56184, "[$-0E0000]yyyy-mm-dd")</f>
        <v/>
      </c>
      <c r="C56185" t="inlineStr">
        <is>
          <t>2053-09-17</t>
        </is>
      </c>
    </row>
    <row r="56186">
      <c r="A56186" s="1" t="n">
        <v>56185</v>
      </c>
      <c r="B56186">
        <f>TEXT(56185, "[$-0E0000]yyyy-mm-dd")</f>
        <v/>
      </c>
      <c r="C56186" t="inlineStr">
        <is>
          <t>2053-09-18</t>
        </is>
      </c>
    </row>
    <row r="56187">
      <c r="A56187" s="1" t="n">
        <v>56186</v>
      </c>
      <c r="B56187">
        <f>TEXT(56186, "[$-0E0000]yyyy-mm-dd")</f>
        <v/>
      </c>
      <c r="C56187" t="inlineStr">
        <is>
          <t>2053-09-19</t>
        </is>
      </c>
    </row>
    <row r="56188">
      <c r="A56188" s="1" t="n">
        <v>56187</v>
      </c>
      <c r="B56188">
        <f>TEXT(56187, "[$-0E0000]yyyy-mm-dd")</f>
        <v/>
      </c>
      <c r="C56188" t="inlineStr">
        <is>
          <t>2053-09-20</t>
        </is>
      </c>
    </row>
    <row r="56189">
      <c r="A56189" s="1" t="n">
        <v>56188</v>
      </c>
      <c r="B56189">
        <f>TEXT(56188, "[$-0E0000]yyyy-mm-dd")</f>
        <v/>
      </c>
      <c r="C56189" t="inlineStr">
        <is>
          <t>2053-09-21</t>
        </is>
      </c>
    </row>
    <row r="56190">
      <c r="A56190" s="1" t="n">
        <v>56189</v>
      </c>
      <c r="B56190">
        <f>TEXT(56189, "[$-0E0000]yyyy-mm-dd")</f>
        <v/>
      </c>
      <c r="C56190" t="inlineStr">
        <is>
          <t>2053-09-22</t>
        </is>
      </c>
    </row>
    <row r="56191">
      <c r="A56191" s="1" t="n">
        <v>56190</v>
      </c>
      <c r="B56191">
        <f>TEXT(56190, "[$-0E0000]yyyy-mm-dd")</f>
        <v/>
      </c>
      <c r="C56191" t="inlineStr">
        <is>
          <t>2053-09-23</t>
        </is>
      </c>
    </row>
    <row r="56192">
      <c r="A56192" s="1" t="n">
        <v>56191</v>
      </c>
      <c r="B56192">
        <f>TEXT(56191, "[$-0E0000]yyyy-mm-dd")</f>
        <v/>
      </c>
      <c r="C56192" t="inlineStr">
        <is>
          <t>2053-09-24</t>
        </is>
      </c>
    </row>
    <row r="56193">
      <c r="A56193" s="1" t="n">
        <v>56192</v>
      </c>
      <c r="B56193">
        <f>TEXT(56192, "[$-0E0000]yyyy-mm-dd")</f>
        <v/>
      </c>
      <c r="C56193" t="inlineStr">
        <is>
          <t>2053-09-25</t>
        </is>
      </c>
    </row>
    <row r="56194">
      <c r="A56194" s="1" t="n">
        <v>56193</v>
      </c>
      <c r="B56194">
        <f>TEXT(56193, "[$-0E0000]yyyy-mm-dd")</f>
        <v/>
      </c>
      <c r="C56194" t="inlineStr">
        <is>
          <t>2053-09-26</t>
        </is>
      </c>
    </row>
    <row r="56195">
      <c r="A56195" s="1" t="n">
        <v>56194</v>
      </c>
      <c r="B56195">
        <f>TEXT(56194, "[$-0E0000]yyyy-mm-dd")</f>
        <v/>
      </c>
      <c r="C56195" t="inlineStr">
        <is>
          <t>2053-09-27</t>
        </is>
      </c>
    </row>
    <row r="56196">
      <c r="A56196" s="1" t="n">
        <v>56195</v>
      </c>
      <c r="B56196">
        <f>TEXT(56195, "[$-0E0000]yyyy-mm-dd")</f>
        <v/>
      </c>
      <c r="C56196" t="inlineStr">
        <is>
          <t>2053-09-28</t>
        </is>
      </c>
    </row>
    <row r="56197">
      <c r="A56197" s="1" t="n">
        <v>56196</v>
      </c>
      <c r="B56197">
        <f>TEXT(56196, "[$-0E0000]yyyy-mm-dd")</f>
        <v/>
      </c>
      <c r="C56197" t="inlineStr">
        <is>
          <t>2053-09-29</t>
        </is>
      </c>
    </row>
    <row r="56198">
      <c r="A56198" s="1" t="n">
        <v>56197</v>
      </c>
      <c r="B56198">
        <f>TEXT(56197, "[$-0E0000]yyyy-mm-dd")</f>
        <v/>
      </c>
      <c r="C56198" t="inlineStr">
        <is>
          <t>2053-10-01</t>
        </is>
      </c>
    </row>
    <row r="56199">
      <c r="A56199" s="1" t="n">
        <v>56198</v>
      </c>
      <c r="B56199">
        <f>TEXT(56198, "[$-0E0000]yyyy-mm-dd")</f>
        <v/>
      </c>
      <c r="C56199" t="inlineStr">
        <is>
          <t>2053-10-02</t>
        </is>
      </c>
    </row>
    <row r="56200">
      <c r="A56200" s="1" t="n">
        <v>56199</v>
      </c>
      <c r="B56200">
        <f>TEXT(56199, "[$-0E0000]yyyy-mm-dd")</f>
        <v/>
      </c>
      <c r="C56200" t="inlineStr">
        <is>
          <t>2053-10-03</t>
        </is>
      </c>
    </row>
    <row r="56201">
      <c r="A56201" s="1" t="n">
        <v>56200</v>
      </c>
      <c r="B56201">
        <f>TEXT(56200, "[$-0E0000]yyyy-mm-dd")</f>
        <v/>
      </c>
      <c r="C56201" t="inlineStr">
        <is>
          <t>2053-10-04</t>
        </is>
      </c>
    </row>
    <row r="56202">
      <c r="A56202" s="1" t="n">
        <v>56201</v>
      </c>
      <c r="B56202">
        <f>TEXT(56201, "[$-0E0000]yyyy-mm-dd")</f>
        <v/>
      </c>
      <c r="C56202" t="inlineStr">
        <is>
          <t>2053-10-05</t>
        </is>
      </c>
    </row>
    <row r="56203">
      <c r="A56203" s="1" t="n">
        <v>56202</v>
      </c>
      <c r="B56203">
        <f>TEXT(56202, "[$-0E0000]yyyy-mm-dd")</f>
        <v/>
      </c>
      <c r="C56203" t="inlineStr">
        <is>
          <t>2053-10-06</t>
        </is>
      </c>
    </row>
    <row r="56204">
      <c r="A56204" s="1" t="n">
        <v>56203</v>
      </c>
      <c r="B56204">
        <f>TEXT(56203, "[$-0E0000]yyyy-mm-dd")</f>
        <v/>
      </c>
      <c r="C56204" t="inlineStr">
        <is>
          <t>2053-10-07</t>
        </is>
      </c>
    </row>
    <row r="56205">
      <c r="A56205" s="1" t="n">
        <v>56204</v>
      </c>
      <c r="B56205">
        <f>TEXT(56204, "[$-0E0000]yyyy-mm-dd")</f>
        <v/>
      </c>
      <c r="C56205" t="inlineStr">
        <is>
          <t>2053-10-08</t>
        </is>
      </c>
    </row>
    <row r="56206">
      <c r="A56206" s="1" t="n">
        <v>56205</v>
      </c>
      <c r="B56206">
        <f>TEXT(56205, "[$-0E0000]yyyy-mm-dd")</f>
        <v/>
      </c>
      <c r="C56206" t="inlineStr">
        <is>
          <t>2053-10-09</t>
        </is>
      </c>
    </row>
    <row r="56207">
      <c r="A56207" s="1" t="n">
        <v>56206</v>
      </c>
      <c r="B56207">
        <f>TEXT(56206, "[$-0E0000]yyyy-mm-dd")</f>
        <v/>
      </c>
      <c r="C56207" t="inlineStr">
        <is>
          <t>2053-10-10</t>
        </is>
      </c>
    </row>
    <row r="56208">
      <c r="A56208" s="1" t="n">
        <v>56207</v>
      </c>
      <c r="B56208">
        <f>TEXT(56207, "[$-0E0000]yyyy-mm-dd")</f>
        <v/>
      </c>
      <c r="C56208" t="inlineStr">
        <is>
          <t>2053-10-11</t>
        </is>
      </c>
    </row>
    <row r="56209">
      <c r="A56209" s="1" t="n">
        <v>56208</v>
      </c>
      <c r="B56209">
        <f>TEXT(56208, "[$-0E0000]yyyy-mm-dd")</f>
        <v/>
      </c>
      <c r="C56209" t="inlineStr">
        <is>
          <t>2053-10-12</t>
        </is>
      </c>
    </row>
    <row r="56210">
      <c r="A56210" s="1" t="n">
        <v>56209</v>
      </c>
      <c r="B56210">
        <f>TEXT(56209, "[$-0E0000]yyyy-mm-dd")</f>
        <v/>
      </c>
      <c r="C56210" t="inlineStr">
        <is>
          <t>2053-10-13</t>
        </is>
      </c>
    </row>
    <row r="56211">
      <c r="A56211" s="1" t="n">
        <v>56210</v>
      </c>
      <c r="B56211">
        <f>TEXT(56210, "[$-0E0000]yyyy-mm-dd")</f>
        <v/>
      </c>
      <c r="C56211" t="inlineStr">
        <is>
          <t>2053-10-14</t>
        </is>
      </c>
    </row>
    <row r="56212">
      <c r="A56212" s="1" t="n">
        <v>56211</v>
      </c>
      <c r="B56212">
        <f>TEXT(56211, "[$-0E0000]yyyy-mm-dd")</f>
        <v/>
      </c>
      <c r="C56212" t="inlineStr">
        <is>
          <t>2053-10-15</t>
        </is>
      </c>
    </row>
    <row r="56213">
      <c r="A56213" s="1" t="n">
        <v>56212</v>
      </c>
      <c r="B56213">
        <f>TEXT(56212, "[$-0E0000]yyyy-mm-dd")</f>
        <v/>
      </c>
      <c r="C56213" t="inlineStr">
        <is>
          <t>2053-10-16</t>
        </is>
      </c>
    </row>
    <row r="56214">
      <c r="A56214" s="1" t="n">
        <v>56213</v>
      </c>
      <c r="B56214">
        <f>TEXT(56213, "[$-0E0000]yyyy-mm-dd")</f>
        <v/>
      </c>
      <c r="C56214" t="inlineStr">
        <is>
          <t>2053-10-17</t>
        </is>
      </c>
    </row>
    <row r="56215">
      <c r="A56215" s="1" t="n">
        <v>56214</v>
      </c>
      <c r="B56215">
        <f>TEXT(56214, "[$-0E0000]yyyy-mm-dd")</f>
        <v/>
      </c>
      <c r="C56215" t="inlineStr">
        <is>
          <t>2053-10-18</t>
        </is>
      </c>
    </row>
    <row r="56216">
      <c r="A56216" s="1" t="n">
        <v>56215</v>
      </c>
      <c r="B56216">
        <f>TEXT(56215, "[$-0E0000]yyyy-mm-dd")</f>
        <v/>
      </c>
      <c r="C56216" t="inlineStr">
        <is>
          <t>2053-10-19</t>
        </is>
      </c>
    </row>
    <row r="56217">
      <c r="A56217" s="1" t="n">
        <v>56216</v>
      </c>
      <c r="B56217">
        <f>TEXT(56216, "[$-0E0000]yyyy-mm-dd")</f>
        <v/>
      </c>
      <c r="C56217" t="inlineStr">
        <is>
          <t>2053-10-20</t>
        </is>
      </c>
    </row>
    <row r="56218">
      <c r="A56218" s="1" t="n">
        <v>56217</v>
      </c>
      <c r="B56218">
        <f>TEXT(56217, "[$-0E0000]yyyy-mm-dd")</f>
        <v/>
      </c>
      <c r="C56218" t="inlineStr">
        <is>
          <t>2053-10-21</t>
        </is>
      </c>
    </row>
    <row r="56219">
      <c r="A56219" s="1" t="n">
        <v>56218</v>
      </c>
      <c r="B56219">
        <f>TEXT(56218, "[$-0E0000]yyyy-mm-dd")</f>
        <v/>
      </c>
      <c r="C56219" t="inlineStr">
        <is>
          <t>2053-10-22</t>
        </is>
      </c>
    </row>
    <row r="56220">
      <c r="A56220" s="1" t="n">
        <v>56219</v>
      </c>
      <c r="B56220">
        <f>TEXT(56219, "[$-0E0000]yyyy-mm-dd")</f>
        <v/>
      </c>
      <c r="C56220" t="inlineStr">
        <is>
          <t>2053-10-23</t>
        </is>
      </c>
    </row>
    <row r="56221">
      <c r="A56221" s="1" t="n">
        <v>56220</v>
      </c>
      <c r="B56221">
        <f>TEXT(56220, "[$-0E0000]yyyy-mm-dd")</f>
        <v/>
      </c>
      <c r="C56221" t="inlineStr">
        <is>
          <t>2053-10-24</t>
        </is>
      </c>
    </row>
    <row r="56222">
      <c r="A56222" s="1" t="n">
        <v>56221</v>
      </c>
      <c r="B56222">
        <f>TEXT(56221, "[$-0E0000]yyyy-mm-dd")</f>
        <v/>
      </c>
      <c r="C56222" t="inlineStr">
        <is>
          <t>2053-10-25</t>
        </is>
      </c>
    </row>
    <row r="56223">
      <c r="A56223" s="1" t="n">
        <v>56222</v>
      </c>
      <c r="B56223">
        <f>TEXT(56222, "[$-0E0000]yyyy-mm-dd")</f>
        <v/>
      </c>
      <c r="C56223" t="inlineStr">
        <is>
          <t>2053-10-26</t>
        </is>
      </c>
    </row>
    <row r="56224">
      <c r="A56224" s="1" t="n">
        <v>56223</v>
      </c>
      <c r="B56224">
        <f>TEXT(56223, "[$-0E0000]yyyy-mm-dd")</f>
        <v/>
      </c>
      <c r="C56224" t="inlineStr">
        <is>
          <t>2053-10-27</t>
        </is>
      </c>
    </row>
    <row r="56225">
      <c r="A56225" s="1" t="n">
        <v>56224</v>
      </c>
      <c r="B56225">
        <f>TEXT(56224, "[$-0E0000]yyyy-mm-dd")</f>
        <v/>
      </c>
      <c r="C56225" t="inlineStr">
        <is>
          <t>2053-10-28</t>
        </is>
      </c>
    </row>
    <row r="56226">
      <c r="A56226" s="1" t="n">
        <v>56225</v>
      </c>
      <c r="B56226">
        <f>TEXT(56225, "[$-0E0000]yyyy-mm-dd")</f>
        <v/>
      </c>
      <c r="C56226" t="inlineStr">
        <is>
          <t>2053-10-29</t>
        </is>
      </c>
    </row>
    <row r="56227">
      <c r="A56227" s="1" t="n">
        <v>56226</v>
      </c>
      <c r="B56227">
        <f>TEXT(56226, "[$-0E0000]yyyy-mm-dd")</f>
        <v/>
      </c>
      <c r="C56227" t="inlineStr">
        <is>
          <t>2053-10-30</t>
        </is>
      </c>
    </row>
    <row r="56228">
      <c r="A56228" s="1" t="n">
        <v>56227</v>
      </c>
      <c r="B56228">
        <f>TEXT(56227, "[$-0E0000]yyyy-mm-dd")</f>
        <v/>
      </c>
      <c r="C56228" t="inlineStr">
        <is>
          <t>2053-11-01</t>
        </is>
      </c>
    </row>
    <row r="56229">
      <c r="A56229" s="1" t="n">
        <v>56228</v>
      </c>
      <c r="B56229">
        <f>TEXT(56228, "[$-0E0000]yyyy-mm-dd")</f>
        <v/>
      </c>
      <c r="C56229" t="inlineStr">
        <is>
          <t>2053-11-02</t>
        </is>
      </c>
    </row>
    <row r="56230">
      <c r="A56230" s="1" t="n">
        <v>56229</v>
      </c>
      <c r="B56230">
        <f>TEXT(56229, "[$-0E0000]yyyy-mm-dd")</f>
        <v/>
      </c>
      <c r="C56230" t="inlineStr">
        <is>
          <t>2053-11-03</t>
        </is>
      </c>
    </row>
    <row r="56231">
      <c r="A56231" s="1" t="n">
        <v>56230</v>
      </c>
      <c r="B56231">
        <f>TEXT(56230, "[$-0E0000]yyyy-mm-dd")</f>
        <v/>
      </c>
      <c r="C56231" t="inlineStr">
        <is>
          <t>2053-11-04</t>
        </is>
      </c>
    </row>
    <row r="56232">
      <c r="A56232" s="1" t="n">
        <v>56231</v>
      </c>
      <c r="B56232">
        <f>TEXT(56231, "[$-0E0000]yyyy-mm-dd")</f>
        <v/>
      </c>
      <c r="C56232" t="inlineStr">
        <is>
          <t>2053-11-05</t>
        </is>
      </c>
    </row>
    <row r="56233">
      <c r="A56233" s="1" t="n">
        <v>56232</v>
      </c>
      <c r="B56233">
        <f>TEXT(56232, "[$-0E0000]yyyy-mm-dd")</f>
        <v/>
      </c>
      <c r="C56233" t="inlineStr">
        <is>
          <t>2053-11-06</t>
        </is>
      </c>
    </row>
    <row r="56234">
      <c r="A56234" s="1" t="n">
        <v>56233</v>
      </c>
      <c r="B56234">
        <f>TEXT(56233, "[$-0E0000]yyyy-mm-dd")</f>
        <v/>
      </c>
      <c r="C56234" t="inlineStr">
        <is>
          <t>2053-11-07</t>
        </is>
      </c>
    </row>
    <row r="56235">
      <c r="A56235" s="1" t="n">
        <v>56234</v>
      </c>
      <c r="B56235">
        <f>TEXT(56234, "[$-0E0000]yyyy-mm-dd")</f>
        <v/>
      </c>
      <c r="C56235" t="inlineStr">
        <is>
          <t>2053-11-08</t>
        </is>
      </c>
    </row>
    <row r="56236">
      <c r="A56236" s="1" t="n">
        <v>56235</v>
      </c>
      <c r="B56236">
        <f>TEXT(56235, "[$-0E0000]yyyy-mm-dd")</f>
        <v/>
      </c>
      <c r="C56236" t="inlineStr">
        <is>
          <t>2053-11-09</t>
        </is>
      </c>
    </row>
    <row r="56237">
      <c r="A56237" s="1" t="n">
        <v>56236</v>
      </c>
      <c r="B56237">
        <f>TEXT(56236, "[$-0E0000]yyyy-mm-dd")</f>
        <v/>
      </c>
      <c r="C56237" t="inlineStr">
        <is>
          <t>2053-11-10</t>
        </is>
      </c>
    </row>
    <row r="56238">
      <c r="A56238" s="1" t="n">
        <v>56237</v>
      </c>
      <c r="B56238">
        <f>TEXT(56237, "[$-0E0000]yyyy-mm-dd")</f>
        <v/>
      </c>
      <c r="C56238" t="inlineStr">
        <is>
          <t>2053-11-11</t>
        </is>
      </c>
    </row>
    <row r="56239">
      <c r="A56239" s="1" t="n">
        <v>56238</v>
      </c>
      <c r="B56239">
        <f>TEXT(56238, "[$-0E0000]yyyy-mm-dd")</f>
        <v/>
      </c>
      <c r="C56239" t="inlineStr">
        <is>
          <t>2053-11-12</t>
        </is>
      </c>
    </row>
    <row r="56240">
      <c r="A56240" s="1" t="n">
        <v>56239</v>
      </c>
      <c r="B56240">
        <f>TEXT(56239, "[$-0E0000]yyyy-mm-dd")</f>
        <v/>
      </c>
      <c r="C56240" t="inlineStr">
        <is>
          <t>2053-11-13</t>
        </is>
      </c>
    </row>
    <row r="56241">
      <c r="A56241" s="1" t="n">
        <v>56240</v>
      </c>
      <c r="B56241">
        <f>TEXT(56240, "[$-0E0000]yyyy-mm-dd")</f>
        <v/>
      </c>
      <c r="C56241" t="inlineStr">
        <is>
          <t>2053-11-14</t>
        </is>
      </c>
    </row>
    <row r="56242">
      <c r="A56242" s="1" t="n">
        <v>56241</v>
      </c>
      <c r="B56242">
        <f>TEXT(56241, "[$-0E0000]yyyy-mm-dd")</f>
        <v/>
      </c>
      <c r="C56242" t="inlineStr">
        <is>
          <t>2053-11-15</t>
        </is>
      </c>
    </row>
    <row r="56243">
      <c r="A56243" s="1" t="n">
        <v>56242</v>
      </c>
      <c r="B56243">
        <f>TEXT(56242, "[$-0E0000]yyyy-mm-dd")</f>
        <v/>
      </c>
      <c r="C56243" t="inlineStr">
        <is>
          <t>2053-11-16</t>
        </is>
      </c>
    </row>
    <row r="56244">
      <c r="A56244" s="1" t="n">
        <v>56243</v>
      </c>
      <c r="B56244">
        <f>TEXT(56243, "[$-0E0000]yyyy-mm-dd")</f>
        <v/>
      </c>
      <c r="C56244" t="inlineStr">
        <is>
          <t>2053-11-17</t>
        </is>
      </c>
    </row>
    <row r="56245">
      <c r="A56245" s="1" t="n">
        <v>56244</v>
      </c>
      <c r="B56245">
        <f>TEXT(56244, "[$-0E0000]yyyy-mm-dd")</f>
        <v/>
      </c>
      <c r="C56245" t="inlineStr">
        <is>
          <t>2053-11-18</t>
        </is>
      </c>
    </row>
    <row r="56246">
      <c r="A56246" s="1" t="n">
        <v>56245</v>
      </c>
      <c r="B56246">
        <f>TEXT(56245, "[$-0E0000]yyyy-mm-dd")</f>
        <v/>
      </c>
      <c r="C56246" t="inlineStr">
        <is>
          <t>2053-11-19</t>
        </is>
      </c>
    </row>
    <row r="56247">
      <c r="A56247" s="1" t="n">
        <v>56246</v>
      </c>
      <c r="B56247">
        <f>TEXT(56246, "[$-0E0000]yyyy-mm-dd")</f>
        <v/>
      </c>
      <c r="C56247" t="inlineStr">
        <is>
          <t>2053-11-20</t>
        </is>
      </c>
    </row>
    <row r="56248">
      <c r="A56248" s="1" t="n">
        <v>56247</v>
      </c>
      <c r="B56248">
        <f>TEXT(56247, "[$-0E0000]yyyy-mm-dd")</f>
        <v/>
      </c>
      <c r="C56248" t="inlineStr">
        <is>
          <t>2053-11-21</t>
        </is>
      </c>
    </row>
    <row r="56249">
      <c r="A56249" s="1" t="n">
        <v>56248</v>
      </c>
      <c r="B56249">
        <f>TEXT(56248, "[$-0E0000]yyyy-mm-dd")</f>
        <v/>
      </c>
      <c r="C56249" t="inlineStr">
        <is>
          <t>2053-11-22</t>
        </is>
      </c>
    </row>
    <row r="56250">
      <c r="A56250" s="1" t="n">
        <v>56249</v>
      </c>
      <c r="B56250">
        <f>TEXT(56249, "[$-0E0000]yyyy-mm-dd")</f>
        <v/>
      </c>
      <c r="C56250" t="inlineStr">
        <is>
          <t>2053-11-23</t>
        </is>
      </c>
    </row>
    <row r="56251">
      <c r="A56251" s="1" t="n">
        <v>56250</v>
      </c>
      <c r="B56251">
        <f>TEXT(56250, "[$-0E0000]yyyy-mm-dd")</f>
        <v/>
      </c>
      <c r="C56251" t="inlineStr">
        <is>
          <t>2053-11-24</t>
        </is>
      </c>
    </row>
    <row r="56252">
      <c r="A56252" s="1" t="n">
        <v>56251</v>
      </c>
      <c r="B56252">
        <f>TEXT(56251, "[$-0E0000]yyyy-mm-dd")</f>
        <v/>
      </c>
      <c r="C56252" t="inlineStr">
        <is>
          <t>2053-11-25</t>
        </is>
      </c>
    </row>
    <row r="56253">
      <c r="A56253" s="1" t="n">
        <v>56252</v>
      </c>
      <c r="B56253">
        <f>TEXT(56252, "[$-0E0000]yyyy-mm-dd")</f>
        <v/>
      </c>
      <c r="C56253" t="inlineStr">
        <is>
          <t>2053-11-26</t>
        </is>
      </c>
    </row>
    <row r="56254">
      <c r="A56254" s="1" t="n">
        <v>56253</v>
      </c>
      <c r="B56254">
        <f>TEXT(56253, "[$-0E0000]yyyy-mm-dd")</f>
        <v/>
      </c>
      <c r="C56254" t="inlineStr">
        <is>
          <t>2053-11-27</t>
        </is>
      </c>
    </row>
    <row r="56255">
      <c r="A56255" s="1" t="n">
        <v>56254</v>
      </c>
      <c r="B56255">
        <f>TEXT(56254, "[$-0E0000]yyyy-mm-dd")</f>
        <v/>
      </c>
      <c r="C56255" t="inlineStr">
        <is>
          <t>2053-11-28</t>
        </is>
      </c>
    </row>
    <row r="56256">
      <c r="A56256" s="1" t="n">
        <v>56255</v>
      </c>
      <c r="B56256">
        <f>TEXT(56255, "[$-0E0000]yyyy-mm-dd")</f>
        <v/>
      </c>
      <c r="C56256" t="inlineStr">
        <is>
          <t>2053-11-29</t>
        </is>
      </c>
    </row>
    <row r="56257">
      <c r="A56257" s="1" t="n">
        <v>56256</v>
      </c>
      <c r="B56257">
        <f>TEXT(56256, "[$-0E0000]yyyy-mm-dd")</f>
        <v/>
      </c>
      <c r="C56257" t="inlineStr">
        <is>
          <t>2053-11-30</t>
        </is>
      </c>
    </row>
    <row r="56258">
      <c r="A56258" s="1" t="n">
        <v>56257</v>
      </c>
      <c r="B56258">
        <f>TEXT(56257, "[$-0E0000]yyyy-mm-dd")</f>
        <v/>
      </c>
      <c r="C56258" t="inlineStr">
        <is>
          <t>2053-12-01</t>
        </is>
      </c>
    </row>
    <row r="56259">
      <c r="A56259" s="1" t="n">
        <v>56258</v>
      </c>
      <c r="B56259">
        <f>TEXT(56258, "[$-0E0000]yyyy-mm-dd")</f>
        <v/>
      </c>
      <c r="C56259" t="inlineStr">
        <is>
          <t>2053-12-02</t>
        </is>
      </c>
    </row>
    <row r="56260">
      <c r="A56260" s="1" t="n">
        <v>56259</v>
      </c>
      <c r="B56260">
        <f>TEXT(56259, "[$-0E0000]yyyy-mm-dd")</f>
        <v/>
      </c>
      <c r="C56260" t="inlineStr">
        <is>
          <t>2053-12-03</t>
        </is>
      </c>
    </row>
    <row r="56261">
      <c r="A56261" s="1" t="n">
        <v>56260</v>
      </c>
      <c r="B56261">
        <f>TEXT(56260, "[$-0E0000]yyyy-mm-dd")</f>
        <v/>
      </c>
      <c r="C56261" t="inlineStr">
        <is>
          <t>2053-12-04</t>
        </is>
      </c>
    </row>
    <row r="56262">
      <c r="A56262" s="1" t="n">
        <v>56261</v>
      </c>
      <c r="B56262">
        <f>TEXT(56261, "[$-0E0000]yyyy-mm-dd")</f>
        <v/>
      </c>
      <c r="C56262" t="inlineStr">
        <is>
          <t>2053-12-05</t>
        </is>
      </c>
    </row>
    <row r="56263">
      <c r="A56263" s="1" t="n">
        <v>56262</v>
      </c>
      <c r="B56263">
        <f>TEXT(56262, "[$-0E0000]yyyy-mm-dd")</f>
        <v/>
      </c>
      <c r="C56263" t="inlineStr">
        <is>
          <t>2053-12-06</t>
        </is>
      </c>
    </row>
    <row r="56264">
      <c r="A56264" s="1" t="n">
        <v>56263</v>
      </c>
      <c r="B56264">
        <f>TEXT(56263, "[$-0E0000]yyyy-mm-dd")</f>
        <v/>
      </c>
      <c r="C56264" t="inlineStr">
        <is>
          <t>2053-12-07</t>
        </is>
      </c>
    </row>
    <row r="56265">
      <c r="A56265" s="1" t="n">
        <v>56264</v>
      </c>
      <c r="B56265">
        <f>TEXT(56264, "[$-0E0000]yyyy-mm-dd")</f>
        <v/>
      </c>
      <c r="C56265" t="inlineStr">
        <is>
          <t>2053-12-08</t>
        </is>
      </c>
    </row>
    <row r="56266">
      <c r="A56266" s="1" t="n">
        <v>56265</v>
      </c>
      <c r="B56266">
        <f>TEXT(56265, "[$-0E0000]yyyy-mm-dd")</f>
        <v/>
      </c>
      <c r="C56266" t="inlineStr">
        <is>
          <t>2053-12-09</t>
        </is>
      </c>
    </row>
    <row r="56267">
      <c r="A56267" s="1" t="n">
        <v>56266</v>
      </c>
      <c r="B56267">
        <f>TEXT(56266, "[$-0E0000]yyyy-mm-dd")</f>
        <v/>
      </c>
      <c r="C56267" t="inlineStr">
        <is>
          <t>2053-12-10</t>
        </is>
      </c>
    </row>
    <row r="56268">
      <c r="A56268" s="1" t="n">
        <v>56267</v>
      </c>
      <c r="B56268">
        <f>TEXT(56267, "[$-0E0000]yyyy-mm-dd")</f>
        <v/>
      </c>
      <c r="C56268" t="inlineStr">
        <is>
          <t>2053-12-11</t>
        </is>
      </c>
    </row>
    <row r="56269">
      <c r="A56269" s="1" t="n">
        <v>56268</v>
      </c>
      <c r="B56269">
        <f>TEXT(56268, "[$-0E0000]yyyy-mm-dd")</f>
        <v/>
      </c>
      <c r="C56269" t="inlineStr">
        <is>
          <t>2053-12-12</t>
        </is>
      </c>
    </row>
    <row r="56270">
      <c r="A56270" s="1" t="n">
        <v>56269</v>
      </c>
      <c r="B56270">
        <f>TEXT(56269, "[$-0E0000]yyyy-mm-dd")</f>
        <v/>
      </c>
      <c r="C56270" t="inlineStr">
        <is>
          <t>2053-12-13</t>
        </is>
      </c>
    </row>
    <row r="56271">
      <c r="A56271" s="1" t="n">
        <v>56270</v>
      </c>
      <c r="B56271">
        <f>TEXT(56270, "[$-0E0000]yyyy-mm-dd")</f>
        <v/>
      </c>
      <c r="C56271" t="inlineStr">
        <is>
          <t>2053-12-14</t>
        </is>
      </c>
    </row>
    <row r="56272">
      <c r="A56272" s="1" t="n">
        <v>56271</v>
      </c>
      <c r="B56272">
        <f>TEXT(56271, "[$-0E0000]yyyy-mm-dd")</f>
        <v/>
      </c>
      <c r="C56272" t="inlineStr">
        <is>
          <t>2053-12-15</t>
        </is>
      </c>
    </row>
    <row r="56273">
      <c r="A56273" s="1" t="n">
        <v>56272</v>
      </c>
      <c r="B56273">
        <f>TEXT(56272, "[$-0E0000]yyyy-mm-dd")</f>
        <v/>
      </c>
      <c r="C56273" t="inlineStr">
        <is>
          <t>2053-12-16</t>
        </is>
      </c>
    </row>
    <row r="56274">
      <c r="A56274" s="1" t="n">
        <v>56273</v>
      </c>
      <c r="B56274">
        <f>TEXT(56273, "[$-0E0000]yyyy-mm-dd")</f>
        <v/>
      </c>
      <c r="C56274" t="inlineStr">
        <is>
          <t>2053-12-17</t>
        </is>
      </c>
    </row>
    <row r="56275">
      <c r="A56275" s="1" t="n">
        <v>56274</v>
      </c>
      <c r="B56275">
        <f>TEXT(56274, "[$-0E0000]yyyy-mm-dd")</f>
        <v/>
      </c>
      <c r="C56275" t="inlineStr">
        <is>
          <t>2053-12-18</t>
        </is>
      </c>
    </row>
    <row r="56276">
      <c r="A56276" s="1" t="n">
        <v>56275</v>
      </c>
      <c r="B56276">
        <f>TEXT(56275, "[$-0E0000]yyyy-mm-dd")</f>
        <v/>
      </c>
      <c r="C56276" t="inlineStr">
        <is>
          <t>2053-12-19</t>
        </is>
      </c>
    </row>
    <row r="56277">
      <c r="A56277" s="1" t="n">
        <v>56276</v>
      </c>
      <c r="B56277">
        <f>TEXT(56276, "[$-0E0000]yyyy-mm-dd")</f>
        <v/>
      </c>
      <c r="C56277" t="inlineStr">
        <is>
          <t>2053-12-20</t>
        </is>
      </c>
    </row>
    <row r="56278">
      <c r="A56278" s="1" t="n">
        <v>56277</v>
      </c>
      <c r="B56278">
        <f>TEXT(56277, "[$-0E0000]yyyy-mm-dd")</f>
        <v/>
      </c>
      <c r="C56278" t="inlineStr">
        <is>
          <t>2053-12-21</t>
        </is>
      </c>
    </row>
    <row r="56279">
      <c r="A56279" s="1" t="n">
        <v>56278</v>
      </c>
      <c r="B56279">
        <f>TEXT(56278, "[$-0E0000]yyyy-mm-dd")</f>
        <v/>
      </c>
      <c r="C56279" t="inlineStr">
        <is>
          <t>2053-12-22</t>
        </is>
      </c>
    </row>
    <row r="56280">
      <c r="A56280" s="1" t="n">
        <v>56279</v>
      </c>
      <c r="B56280">
        <f>TEXT(56279, "[$-0E0000]yyyy-mm-dd")</f>
        <v/>
      </c>
      <c r="C56280" t="inlineStr">
        <is>
          <t>2053-12-23</t>
        </is>
      </c>
    </row>
    <row r="56281">
      <c r="A56281" s="1" t="n">
        <v>56280</v>
      </c>
      <c r="B56281">
        <f>TEXT(56280, "[$-0E0000]yyyy-mm-dd")</f>
        <v/>
      </c>
      <c r="C56281" t="inlineStr">
        <is>
          <t>2053-12-24</t>
        </is>
      </c>
    </row>
    <row r="56282">
      <c r="A56282" s="1" t="n">
        <v>56281</v>
      </c>
      <c r="B56282">
        <f>TEXT(56281, "[$-0E0000]yyyy-mm-dd")</f>
        <v/>
      </c>
      <c r="C56282" t="inlineStr">
        <is>
          <t>2053-12-25</t>
        </is>
      </c>
    </row>
    <row r="56283">
      <c r="A56283" s="1" t="n">
        <v>56282</v>
      </c>
      <c r="B56283">
        <f>TEXT(56282, "[$-0E0000]yyyy-mm-dd")</f>
        <v/>
      </c>
      <c r="C56283" t="inlineStr">
        <is>
          <t>2053-12-26</t>
        </is>
      </c>
    </row>
    <row r="56284">
      <c r="A56284" s="1" t="n">
        <v>56283</v>
      </c>
      <c r="B56284">
        <f>TEXT(56283, "[$-0E0000]yyyy-mm-dd")</f>
        <v/>
      </c>
      <c r="C56284" t="inlineStr">
        <is>
          <t>2053-12-27</t>
        </is>
      </c>
    </row>
    <row r="56285">
      <c r="A56285" s="1" t="n">
        <v>56284</v>
      </c>
      <c r="B56285">
        <f>TEXT(56284, "[$-0E0000]yyyy-mm-dd")</f>
        <v/>
      </c>
      <c r="C56285" t="inlineStr">
        <is>
          <t>2053-12-28</t>
        </is>
      </c>
    </row>
    <row r="56286">
      <c r="A56286" s="1" t="n">
        <v>56285</v>
      </c>
      <c r="B56286">
        <f>TEXT(56285, "[$-0E0000]yyyy-mm-dd")</f>
        <v/>
      </c>
      <c r="C56286" t="inlineStr">
        <is>
          <t>2053-12-29</t>
        </is>
      </c>
    </row>
    <row r="56287">
      <c r="A56287" s="1" t="n">
        <v>56286</v>
      </c>
      <c r="B56287">
        <f>TEXT(56286, "[$-0E0000]yyyy-mm-dd")</f>
        <v/>
      </c>
      <c r="C56287" t="inlineStr">
        <is>
          <t>2053-12-30</t>
        </is>
      </c>
    </row>
    <row r="56288">
      <c r="A56288" s="1" t="n">
        <v>56287</v>
      </c>
      <c r="B56288">
        <f>TEXT(56287, "[$-0E0000]yyyy-mm-dd")</f>
        <v/>
      </c>
      <c r="C56288" t="inlineStr">
        <is>
          <t>2054-01-01</t>
        </is>
      </c>
    </row>
    <row r="56289">
      <c r="A56289" s="1" t="n">
        <v>56288</v>
      </c>
      <c r="B56289">
        <f>TEXT(56288, "[$-0E0000]yyyy-mm-dd")</f>
        <v/>
      </c>
      <c r="C56289" t="inlineStr">
        <is>
          <t>2054-01-02</t>
        </is>
      </c>
    </row>
    <row r="56290">
      <c r="A56290" s="1" t="n">
        <v>56289</v>
      </c>
      <c r="B56290">
        <f>TEXT(56289, "[$-0E0000]yyyy-mm-dd")</f>
        <v/>
      </c>
      <c r="C56290" t="inlineStr">
        <is>
          <t>2054-01-03</t>
        </is>
      </c>
    </row>
    <row r="56291">
      <c r="A56291" s="1" t="n">
        <v>56290</v>
      </c>
      <c r="B56291">
        <f>TEXT(56290, "[$-0E0000]yyyy-mm-dd")</f>
        <v/>
      </c>
      <c r="C56291" t="inlineStr">
        <is>
          <t>2054-01-04</t>
        </is>
      </c>
    </row>
    <row r="56292">
      <c r="A56292" s="1" t="n">
        <v>56291</v>
      </c>
      <c r="B56292">
        <f>TEXT(56291, "[$-0E0000]yyyy-mm-dd")</f>
        <v/>
      </c>
      <c r="C56292" t="inlineStr">
        <is>
          <t>2054-01-05</t>
        </is>
      </c>
    </row>
    <row r="56293">
      <c r="A56293" s="1" t="n">
        <v>56292</v>
      </c>
      <c r="B56293">
        <f>TEXT(56292, "[$-0E0000]yyyy-mm-dd")</f>
        <v/>
      </c>
      <c r="C56293" t="inlineStr">
        <is>
          <t>2054-01-06</t>
        </is>
      </c>
    </row>
    <row r="56294">
      <c r="A56294" s="1" t="n">
        <v>56293</v>
      </c>
      <c r="B56294">
        <f>TEXT(56293, "[$-0E0000]yyyy-mm-dd")</f>
        <v/>
      </c>
      <c r="C56294" t="inlineStr">
        <is>
          <t>2054-01-07</t>
        </is>
      </c>
    </row>
    <row r="56295">
      <c r="A56295" s="1" t="n">
        <v>56294</v>
      </c>
      <c r="B56295">
        <f>TEXT(56294, "[$-0E0000]yyyy-mm-dd")</f>
        <v/>
      </c>
      <c r="C56295" t="inlineStr">
        <is>
          <t>2054-01-08</t>
        </is>
      </c>
    </row>
    <row r="56296">
      <c r="A56296" s="1" t="n">
        <v>56295</v>
      </c>
      <c r="B56296">
        <f>TEXT(56295, "[$-0E0000]yyyy-mm-dd")</f>
        <v/>
      </c>
      <c r="C56296" t="inlineStr">
        <is>
          <t>2054-01-09</t>
        </is>
      </c>
    </row>
    <row r="56297">
      <c r="A56297" s="1" t="n">
        <v>56296</v>
      </c>
      <c r="B56297">
        <f>TEXT(56296, "[$-0E0000]yyyy-mm-dd")</f>
        <v/>
      </c>
      <c r="C56297" t="inlineStr">
        <is>
          <t>2054-01-10</t>
        </is>
      </c>
    </row>
    <row r="56298">
      <c r="A56298" s="1" t="n">
        <v>56297</v>
      </c>
      <c r="B56298">
        <f>TEXT(56297, "[$-0E0000]yyyy-mm-dd")</f>
        <v/>
      </c>
      <c r="C56298" t="inlineStr">
        <is>
          <t>2054-01-11</t>
        </is>
      </c>
    </row>
    <row r="56299">
      <c r="A56299" s="1" t="n">
        <v>56298</v>
      </c>
      <c r="B56299">
        <f>TEXT(56298, "[$-0E0000]yyyy-mm-dd")</f>
        <v/>
      </c>
      <c r="C56299" t="inlineStr">
        <is>
          <t>2054-01-12</t>
        </is>
      </c>
    </row>
    <row r="56300">
      <c r="A56300" s="1" t="n">
        <v>56299</v>
      </c>
      <c r="B56300">
        <f>TEXT(56299, "[$-0E0000]yyyy-mm-dd")</f>
        <v/>
      </c>
      <c r="C56300" t="inlineStr">
        <is>
          <t>2054-01-13</t>
        </is>
      </c>
    </row>
    <row r="56301">
      <c r="A56301" s="1" t="n">
        <v>56300</v>
      </c>
      <c r="B56301">
        <f>TEXT(56300, "[$-0E0000]yyyy-mm-dd")</f>
        <v/>
      </c>
      <c r="C56301" t="inlineStr">
        <is>
          <t>2054-01-14</t>
        </is>
      </c>
    </row>
    <row r="56302">
      <c r="A56302" s="1" t="n">
        <v>56301</v>
      </c>
      <c r="B56302">
        <f>TEXT(56301, "[$-0E0000]yyyy-mm-dd")</f>
        <v/>
      </c>
      <c r="C56302" t="inlineStr">
        <is>
          <t>2054-01-15</t>
        </is>
      </c>
    </row>
    <row r="56303">
      <c r="A56303" s="1" t="n">
        <v>56302</v>
      </c>
      <c r="B56303">
        <f>TEXT(56302, "[$-0E0000]yyyy-mm-dd")</f>
        <v/>
      </c>
      <c r="C56303" t="inlineStr">
        <is>
          <t>2054-01-16</t>
        </is>
      </c>
    </row>
    <row r="56304">
      <c r="A56304" s="1" t="n">
        <v>56303</v>
      </c>
      <c r="B56304">
        <f>TEXT(56303, "[$-0E0000]yyyy-mm-dd")</f>
        <v/>
      </c>
      <c r="C56304" t="inlineStr">
        <is>
          <t>2054-01-17</t>
        </is>
      </c>
    </row>
    <row r="56305">
      <c r="A56305" s="1" t="n">
        <v>56304</v>
      </c>
      <c r="B56305">
        <f>TEXT(56304, "[$-0E0000]yyyy-mm-dd")</f>
        <v/>
      </c>
      <c r="C56305" t="inlineStr">
        <is>
          <t>2054-01-18</t>
        </is>
      </c>
    </row>
    <row r="56306">
      <c r="A56306" s="1" t="n">
        <v>56305</v>
      </c>
      <c r="B56306">
        <f>TEXT(56305, "[$-0E0000]yyyy-mm-dd")</f>
        <v/>
      </c>
      <c r="C56306" t="inlineStr">
        <is>
          <t>2054-01-19</t>
        </is>
      </c>
    </row>
    <row r="56307">
      <c r="A56307" s="1" t="n">
        <v>56306</v>
      </c>
      <c r="B56307">
        <f>TEXT(56306, "[$-0E0000]yyyy-mm-dd")</f>
        <v/>
      </c>
      <c r="C56307" t="inlineStr">
        <is>
          <t>2054-01-20</t>
        </is>
      </c>
    </row>
    <row r="56308">
      <c r="A56308" s="1" t="n">
        <v>56307</v>
      </c>
      <c r="B56308">
        <f>TEXT(56307, "[$-0E0000]yyyy-mm-dd")</f>
        <v/>
      </c>
      <c r="C56308" t="inlineStr">
        <is>
          <t>2054-01-21</t>
        </is>
      </c>
    </row>
    <row r="56309">
      <c r="A56309" s="1" t="n">
        <v>56308</v>
      </c>
      <c r="B56309">
        <f>TEXT(56308, "[$-0E0000]yyyy-mm-dd")</f>
        <v/>
      </c>
      <c r="C56309" t="inlineStr">
        <is>
          <t>2054-01-22</t>
        </is>
      </c>
    </row>
    <row r="56310">
      <c r="A56310" s="1" t="n">
        <v>56309</v>
      </c>
      <c r="B56310">
        <f>TEXT(56309, "[$-0E0000]yyyy-mm-dd")</f>
        <v/>
      </c>
      <c r="C56310" t="inlineStr">
        <is>
          <t>2054-01-23</t>
        </is>
      </c>
    </row>
    <row r="56311">
      <c r="A56311" s="1" t="n">
        <v>56310</v>
      </c>
      <c r="B56311">
        <f>TEXT(56310, "[$-0E0000]yyyy-mm-dd")</f>
        <v/>
      </c>
      <c r="C56311" t="inlineStr">
        <is>
          <t>2054-01-24</t>
        </is>
      </c>
    </row>
    <row r="56312">
      <c r="A56312" s="1" t="n">
        <v>56311</v>
      </c>
      <c r="B56312">
        <f>TEXT(56311, "[$-0E0000]yyyy-mm-dd")</f>
        <v/>
      </c>
      <c r="C56312" t="inlineStr">
        <is>
          <t>2054-01-25</t>
        </is>
      </c>
    </row>
    <row r="56313">
      <c r="A56313" s="1" t="n">
        <v>56312</v>
      </c>
      <c r="B56313">
        <f>TEXT(56312, "[$-0E0000]yyyy-mm-dd")</f>
        <v/>
      </c>
      <c r="C56313" t="inlineStr">
        <is>
          <t>2054-01-26</t>
        </is>
      </c>
    </row>
    <row r="56314">
      <c r="A56314" s="1" t="n">
        <v>56313</v>
      </c>
      <c r="B56314">
        <f>TEXT(56313, "[$-0E0000]yyyy-mm-dd")</f>
        <v/>
      </c>
      <c r="C56314" t="inlineStr">
        <is>
          <t>2054-01-27</t>
        </is>
      </c>
    </row>
    <row r="56315">
      <c r="A56315" s="1" t="n">
        <v>56314</v>
      </c>
      <c r="B56315">
        <f>TEXT(56314, "[$-0E0000]yyyy-mm-dd")</f>
        <v/>
      </c>
      <c r="C56315" t="inlineStr">
        <is>
          <t>2054-01-28</t>
        </is>
      </c>
    </row>
    <row r="56316">
      <c r="A56316" s="1" t="n">
        <v>56315</v>
      </c>
      <c r="B56316">
        <f>TEXT(56315, "[$-0E0000]yyyy-mm-dd")</f>
        <v/>
      </c>
      <c r="C56316" t="inlineStr">
        <is>
          <t>2054-01-29</t>
        </is>
      </c>
    </row>
    <row r="56317">
      <c r="A56317" s="1" t="n">
        <v>56316</v>
      </c>
      <c r="B56317">
        <f>TEXT(56316, "[$-0E0000]yyyy-mm-dd")</f>
        <v/>
      </c>
      <c r="C56317" t="inlineStr">
        <is>
          <t>2054-02-01</t>
        </is>
      </c>
    </row>
    <row r="56318">
      <c r="A56318" s="1" t="n">
        <v>56317</v>
      </c>
      <c r="B56318">
        <f>TEXT(56317, "[$-0E0000]yyyy-mm-dd")</f>
        <v/>
      </c>
      <c r="C56318" t="inlineStr">
        <is>
          <t>2054-02-02</t>
        </is>
      </c>
    </row>
    <row r="56319">
      <c r="A56319" s="1" t="n">
        <v>56318</v>
      </c>
      <c r="B56319">
        <f>TEXT(56318, "[$-0E0000]yyyy-mm-dd")</f>
        <v/>
      </c>
      <c r="C56319" t="inlineStr">
        <is>
          <t>2054-02-03</t>
        </is>
      </c>
    </row>
    <row r="56320">
      <c r="A56320" s="1" t="n">
        <v>56319</v>
      </c>
      <c r="B56320">
        <f>TEXT(56319, "[$-0E0000]yyyy-mm-dd")</f>
        <v/>
      </c>
      <c r="C56320" t="inlineStr">
        <is>
          <t>2054-02-04</t>
        </is>
      </c>
    </row>
    <row r="56321">
      <c r="A56321" s="1" t="n">
        <v>56320</v>
      </c>
      <c r="B56321">
        <f>TEXT(56320, "[$-0E0000]yyyy-mm-dd")</f>
        <v/>
      </c>
      <c r="C56321" t="inlineStr">
        <is>
          <t>2054-02-05</t>
        </is>
      </c>
    </row>
    <row r="56322">
      <c r="A56322" s="1" t="n">
        <v>56321</v>
      </c>
      <c r="B56322">
        <f>TEXT(56321, "[$-0E0000]yyyy-mm-dd")</f>
        <v/>
      </c>
      <c r="C56322" t="inlineStr">
        <is>
          <t>2054-02-06</t>
        </is>
      </c>
    </row>
    <row r="56323">
      <c r="A56323" s="1" t="n">
        <v>56322</v>
      </c>
      <c r="B56323">
        <f>TEXT(56322, "[$-0E0000]yyyy-mm-dd")</f>
        <v/>
      </c>
      <c r="C56323" t="inlineStr">
        <is>
          <t>2054-02-07</t>
        </is>
      </c>
    </row>
    <row r="56324">
      <c r="A56324" s="1" t="n">
        <v>56323</v>
      </c>
      <c r="B56324">
        <f>TEXT(56323, "[$-0E0000]yyyy-mm-dd")</f>
        <v/>
      </c>
      <c r="C56324" t="inlineStr">
        <is>
          <t>2054-02-08</t>
        </is>
      </c>
    </row>
    <row r="56325">
      <c r="A56325" s="1" t="n">
        <v>56324</v>
      </c>
      <c r="B56325">
        <f>TEXT(56324, "[$-0E0000]yyyy-mm-dd")</f>
        <v/>
      </c>
      <c r="C56325" t="inlineStr">
        <is>
          <t>2054-02-09</t>
        </is>
      </c>
    </row>
    <row r="56326">
      <c r="A56326" s="1" t="n">
        <v>56325</v>
      </c>
      <c r="B56326">
        <f>TEXT(56325, "[$-0E0000]yyyy-mm-dd")</f>
        <v/>
      </c>
      <c r="C56326" t="inlineStr">
        <is>
          <t>2054-02-10</t>
        </is>
      </c>
    </row>
    <row r="56327">
      <c r="A56327" s="1" t="n">
        <v>56326</v>
      </c>
      <c r="B56327">
        <f>TEXT(56326, "[$-0E0000]yyyy-mm-dd")</f>
        <v/>
      </c>
      <c r="C56327" t="inlineStr">
        <is>
          <t>2054-02-11</t>
        </is>
      </c>
    </row>
    <row r="56328">
      <c r="A56328" s="1" t="n">
        <v>56327</v>
      </c>
      <c r="B56328">
        <f>TEXT(56327, "[$-0E0000]yyyy-mm-dd")</f>
        <v/>
      </c>
      <c r="C56328" t="inlineStr">
        <is>
          <t>2054-02-12</t>
        </is>
      </c>
    </row>
    <row r="56329">
      <c r="A56329" s="1" t="n">
        <v>56328</v>
      </c>
      <c r="B56329">
        <f>TEXT(56328, "[$-0E0000]yyyy-mm-dd")</f>
        <v/>
      </c>
      <c r="C56329" t="inlineStr">
        <is>
          <t>2054-02-13</t>
        </is>
      </c>
    </row>
    <row r="56330">
      <c r="A56330" s="1" t="n">
        <v>56329</v>
      </c>
      <c r="B56330">
        <f>TEXT(56329, "[$-0E0000]yyyy-mm-dd")</f>
        <v/>
      </c>
      <c r="C56330" t="inlineStr">
        <is>
          <t>2054-02-14</t>
        </is>
      </c>
    </row>
    <row r="56331">
      <c r="A56331" s="1" t="n">
        <v>56330</v>
      </c>
      <c r="B56331">
        <f>TEXT(56330, "[$-0E0000]yyyy-mm-dd")</f>
        <v/>
      </c>
      <c r="C56331" t="inlineStr">
        <is>
          <t>2054-02-15</t>
        </is>
      </c>
    </row>
    <row r="56332">
      <c r="A56332" s="1" t="n">
        <v>56331</v>
      </c>
      <c r="B56332">
        <f>TEXT(56331, "[$-0E0000]yyyy-mm-dd")</f>
        <v/>
      </c>
      <c r="C56332" t="inlineStr">
        <is>
          <t>2054-02-16</t>
        </is>
      </c>
    </row>
    <row r="56333">
      <c r="A56333" s="1" t="n">
        <v>56332</v>
      </c>
      <c r="B56333">
        <f>TEXT(56332, "[$-0E0000]yyyy-mm-dd")</f>
        <v/>
      </c>
      <c r="C56333" t="inlineStr">
        <is>
          <t>2054-02-17</t>
        </is>
      </c>
    </row>
    <row r="56334">
      <c r="A56334" s="1" t="n">
        <v>56333</v>
      </c>
      <c r="B56334">
        <f>TEXT(56333, "[$-0E0000]yyyy-mm-dd")</f>
        <v/>
      </c>
      <c r="C56334" t="inlineStr">
        <is>
          <t>2054-02-18</t>
        </is>
      </c>
    </row>
    <row r="56335">
      <c r="A56335" s="1" t="n">
        <v>56334</v>
      </c>
      <c r="B56335">
        <f>TEXT(56334, "[$-0E0000]yyyy-mm-dd")</f>
        <v/>
      </c>
      <c r="C56335" t="inlineStr">
        <is>
          <t>2054-02-19</t>
        </is>
      </c>
    </row>
    <row r="56336">
      <c r="A56336" s="1" t="n">
        <v>56335</v>
      </c>
      <c r="B56336">
        <f>TEXT(56335, "[$-0E0000]yyyy-mm-dd")</f>
        <v/>
      </c>
      <c r="C56336" t="inlineStr">
        <is>
          <t>2054-02-20</t>
        </is>
      </c>
    </row>
    <row r="56337">
      <c r="A56337" s="1" t="n">
        <v>56336</v>
      </c>
      <c r="B56337">
        <f>TEXT(56336, "[$-0E0000]yyyy-mm-dd")</f>
        <v/>
      </c>
      <c r="C56337" t="inlineStr">
        <is>
          <t>2054-02-21</t>
        </is>
      </c>
    </row>
    <row r="56338">
      <c r="A56338" s="1" t="n">
        <v>56337</v>
      </c>
      <c r="B56338">
        <f>TEXT(56337, "[$-0E0000]yyyy-mm-dd")</f>
        <v/>
      </c>
      <c r="C56338" t="inlineStr">
        <is>
          <t>2054-02-22</t>
        </is>
      </c>
    </row>
    <row r="56339">
      <c r="A56339" s="1" t="n">
        <v>56338</v>
      </c>
      <c r="B56339">
        <f>TEXT(56338, "[$-0E0000]yyyy-mm-dd")</f>
        <v/>
      </c>
      <c r="C56339" t="inlineStr">
        <is>
          <t>2054-02-23</t>
        </is>
      </c>
    </row>
    <row r="56340">
      <c r="A56340" s="1" t="n">
        <v>56339</v>
      </c>
      <c r="B56340">
        <f>TEXT(56339, "[$-0E0000]yyyy-mm-dd")</f>
        <v/>
      </c>
      <c r="C56340" t="inlineStr">
        <is>
          <t>2054-02-24</t>
        </is>
      </c>
    </row>
    <row r="56341">
      <c r="A56341" s="1" t="n">
        <v>56340</v>
      </c>
      <c r="B56341">
        <f>TEXT(56340, "[$-0E0000]yyyy-mm-dd")</f>
        <v/>
      </c>
      <c r="C56341" t="inlineStr">
        <is>
          <t>2054-02-25</t>
        </is>
      </c>
    </row>
    <row r="56342">
      <c r="A56342" s="1" t="n">
        <v>56341</v>
      </c>
      <c r="B56342">
        <f>TEXT(56341, "[$-0E0000]yyyy-mm-dd")</f>
        <v/>
      </c>
      <c r="C56342" t="inlineStr">
        <is>
          <t>2054-02-26</t>
        </is>
      </c>
    </row>
    <row r="56343">
      <c r="A56343" s="1" t="n">
        <v>56342</v>
      </c>
      <c r="B56343">
        <f>TEXT(56342, "[$-0E0000]yyyy-mm-dd")</f>
        <v/>
      </c>
      <c r="C56343" t="inlineStr">
        <is>
          <t>2054-02-27</t>
        </is>
      </c>
    </row>
    <row r="56344">
      <c r="A56344" s="1" t="n">
        <v>56343</v>
      </c>
      <c r="B56344">
        <f>TEXT(56343, "[$-0E0000]yyyy-mm-dd")</f>
        <v/>
      </c>
      <c r="C56344" t="inlineStr">
        <is>
          <t>2054-02-28</t>
        </is>
      </c>
    </row>
    <row r="56345">
      <c r="A56345" s="1" t="n">
        <v>56344</v>
      </c>
      <c r="B56345">
        <f>TEXT(56344, "[$-0E0000]yyyy-mm-dd")</f>
        <v/>
      </c>
      <c r="C56345" t="inlineStr">
        <is>
          <t>2054-02-29</t>
        </is>
      </c>
    </row>
    <row r="56346">
      <c r="A56346" s="1" t="n">
        <v>56345</v>
      </c>
      <c r="B56346">
        <f>TEXT(56345, "[$-0E0000]yyyy-mm-dd")</f>
        <v/>
      </c>
      <c r="C56346" t="inlineStr">
        <is>
          <t>2054-02-30</t>
        </is>
      </c>
    </row>
    <row r="56347">
      <c r="A56347" s="1" t="n">
        <v>56346</v>
      </c>
      <c r="B56347">
        <f>TEXT(56346, "[$-0E0000]yyyy-mm-dd")</f>
        <v/>
      </c>
      <c r="C56347" t="inlineStr">
        <is>
          <t>2054-03-01</t>
        </is>
      </c>
    </row>
    <row r="56348">
      <c r="A56348" s="1" t="n">
        <v>56347</v>
      </c>
      <c r="B56348">
        <f>TEXT(56347, "[$-0E0000]yyyy-mm-dd")</f>
        <v/>
      </c>
      <c r="C56348" t="inlineStr">
        <is>
          <t>2054-03-02</t>
        </is>
      </c>
    </row>
    <row r="56349">
      <c r="A56349" s="1" t="n">
        <v>56348</v>
      </c>
      <c r="B56349">
        <f>TEXT(56348, "[$-0E0000]yyyy-mm-dd")</f>
        <v/>
      </c>
      <c r="C56349" t="inlineStr">
        <is>
          <t>2054-03-03</t>
        </is>
      </c>
    </row>
    <row r="56350">
      <c r="A56350" s="1" t="n">
        <v>56349</v>
      </c>
      <c r="B56350">
        <f>TEXT(56349, "[$-0E0000]yyyy-mm-dd")</f>
        <v/>
      </c>
      <c r="C56350" t="inlineStr">
        <is>
          <t>2054-03-04</t>
        </is>
      </c>
    </row>
    <row r="56351">
      <c r="A56351" s="1" t="n">
        <v>56350</v>
      </c>
      <c r="B56351">
        <f>TEXT(56350, "[$-0E0000]yyyy-mm-dd")</f>
        <v/>
      </c>
      <c r="C56351" t="inlineStr">
        <is>
          <t>2054-03-05</t>
        </is>
      </c>
    </row>
    <row r="56352">
      <c r="A56352" s="1" t="n">
        <v>56351</v>
      </c>
      <c r="B56352">
        <f>TEXT(56351, "[$-0E0000]yyyy-mm-dd")</f>
        <v/>
      </c>
      <c r="C56352" t="inlineStr">
        <is>
          <t>2054-03-06</t>
        </is>
      </c>
    </row>
    <row r="56353">
      <c r="A56353" s="1" t="n">
        <v>56352</v>
      </c>
      <c r="B56353">
        <f>TEXT(56352, "[$-0E0000]yyyy-mm-dd")</f>
        <v/>
      </c>
      <c r="C56353" t="inlineStr">
        <is>
          <t>2054-03-07</t>
        </is>
      </c>
    </row>
    <row r="56354">
      <c r="A56354" s="1" t="n">
        <v>56353</v>
      </c>
      <c r="B56354">
        <f>TEXT(56353, "[$-0E0000]yyyy-mm-dd")</f>
        <v/>
      </c>
      <c r="C56354" t="inlineStr">
        <is>
          <t>2054-03-08</t>
        </is>
      </c>
    </row>
    <row r="56355">
      <c r="A56355" s="1" t="n">
        <v>56354</v>
      </c>
      <c r="B56355">
        <f>TEXT(56354, "[$-0E0000]yyyy-mm-dd")</f>
        <v/>
      </c>
      <c r="C56355" t="inlineStr">
        <is>
          <t>2054-03-09</t>
        </is>
      </c>
    </row>
    <row r="56356">
      <c r="A56356" s="1" t="n">
        <v>56355</v>
      </c>
      <c r="B56356">
        <f>TEXT(56355, "[$-0E0000]yyyy-mm-dd")</f>
        <v/>
      </c>
      <c r="C56356" t="inlineStr">
        <is>
          <t>2054-03-10</t>
        </is>
      </c>
    </row>
    <row r="56357">
      <c r="A56357" s="1" t="n">
        <v>56356</v>
      </c>
      <c r="B56357">
        <f>TEXT(56356, "[$-0E0000]yyyy-mm-dd")</f>
        <v/>
      </c>
      <c r="C56357" t="inlineStr">
        <is>
          <t>2054-03-11</t>
        </is>
      </c>
    </row>
    <row r="56358">
      <c r="A56358" s="1" t="n">
        <v>56357</v>
      </c>
      <c r="B56358">
        <f>TEXT(56357, "[$-0E0000]yyyy-mm-dd")</f>
        <v/>
      </c>
      <c r="C56358" t="inlineStr">
        <is>
          <t>2054-03-12</t>
        </is>
      </c>
    </row>
    <row r="56359">
      <c r="A56359" s="1" t="n">
        <v>56358</v>
      </c>
      <c r="B56359">
        <f>TEXT(56358, "[$-0E0000]yyyy-mm-dd")</f>
        <v/>
      </c>
      <c r="C56359" t="inlineStr">
        <is>
          <t>2054-03-13</t>
        </is>
      </c>
    </row>
    <row r="56360">
      <c r="A56360" s="1" t="n">
        <v>56359</v>
      </c>
      <c r="B56360">
        <f>TEXT(56359, "[$-0E0000]yyyy-mm-dd")</f>
        <v/>
      </c>
      <c r="C56360" t="inlineStr">
        <is>
          <t>2054-03-14</t>
        </is>
      </c>
    </row>
    <row r="56361">
      <c r="A56361" s="1" t="n">
        <v>56360</v>
      </c>
      <c r="B56361">
        <f>TEXT(56360, "[$-0E0000]yyyy-mm-dd")</f>
        <v/>
      </c>
      <c r="C56361" t="inlineStr">
        <is>
          <t>2054-03-15</t>
        </is>
      </c>
    </row>
    <row r="56362">
      <c r="A56362" s="1" t="n">
        <v>56361</v>
      </c>
      <c r="B56362">
        <f>TEXT(56361, "[$-0E0000]yyyy-mm-dd")</f>
        <v/>
      </c>
      <c r="C56362" t="inlineStr">
        <is>
          <t>2054-03-16</t>
        </is>
      </c>
    </row>
    <row r="56363">
      <c r="A56363" s="1" t="n">
        <v>56362</v>
      </c>
      <c r="B56363">
        <f>TEXT(56362, "[$-0E0000]yyyy-mm-dd")</f>
        <v/>
      </c>
      <c r="C56363" t="inlineStr">
        <is>
          <t>2054-03-17</t>
        </is>
      </c>
    </row>
    <row r="56364">
      <c r="A56364" s="1" t="n">
        <v>56363</v>
      </c>
      <c r="B56364">
        <f>TEXT(56363, "[$-0E0000]yyyy-mm-dd")</f>
        <v/>
      </c>
      <c r="C56364" t="inlineStr">
        <is>
          <t>2054-03-18</t>
        </is>
      </c>
    </row>
    <row r="56365">
      <c r="A56365" s="1" t="n">
        <v>56364</v>
      </c>
      <c r="B56365">
        <f>TEXT(56364, "[$-0E0000]yyyy-mm-dd")</f>
        <v/>
      </c>
      <c r="C56365" t="inlineStr">
        <is>
          <t>2054-03-19</t>
        </is>
      </c>
    </row>
    <row r="56366">
      <c r="A56366" s="1" t="n">
        <v>56365</v>
      </c>
      <c r="B56366">
        <f>TEXT(56365, "[$-0E0000]yyyy-mm-dd")</f>
        <v/>
      </c>
      <c r="C56366" t="inlineStr">
        <is>
          <t>2054-03-20</t>
        </is>
      </c>
    </row>
    <row r="56367">
      <c r="A56367" s="1" t="n">
        <v>56366</v>
      </c>
      <c r="B56367">
        <f>TEXT(56366, "[$-0E0000]yyyy-mm-dd")</f>
        <v/>
      </c>
      <c r="C56367" t="inlineStr">
        <is>
          <t>2054-03-21</t>
        </is>
      </c>
    </row>
    <row r="56368">
      <c r="A56368" s="1" t="n">
        <v>56367</v>
      </c>
      <c r="B56368">
        <f>TEXT(56367, "[$-0E0000]yyyy-mm-dd")</f>
        <v/>
      </c>
      <c r="C56368" t="inlineStr">
        <is>
          <t>2054-03-22</t>
        </is>
      </c>
    </row>
    <row r="56369">
      <c r="A56369" s="1" t="n">
        <v>56368</v>
      </c>
      <c r="B56369">
        <f>TEXT(56368, "[$-0E0000]yyyy-mm-dd")</f>
        <v/>
      </c>
      <c r="C56369" t="inlineStr">
        <is>
          <t>2054-03-23</t>
        </is>
      </c>
    </row>
    <row r="56370">
      <c r="A56370" s="1" t="n">
        <v>56369</v>
      </c>
      <c r="B56370">
        <f>TEXT(56369, "[$-0E0000]yyyy-mm-dd")</f>
        <v/>
      </c>
      <c r="C56370" t="inlineStr">
        <is>
          <t>2054-03-24</t>
        </is>
      </c>
    </row>
    <row r="56371">
      <c r="A56371" s="1" t="n">
        <v>56370</v>
      </c>
      <c r="B56371">
        <f>TEXT(56370, "[$-0E0000]yyyy-mm-dd")</f>
        <v/>
      </c>
      <c r="C56371" t="inlineStr">
        <is>
          <t>2054-03-25</t>
        </is>
      </c>
    </row>
    <row r="56372">
      <c r="A56372" s="1" t="n">
        <v>56371</v>
      </c>
      <c r="B56372">
        <f>TEXT(56371, "[$-0E0000]yyyy-mm-dd")</f>
        <v/>
      </c>
      <c r="C56372" t="inlineStr">
        <is>
          <t>2054-03-26</t>
        </is>
      </c>
    </row>
    <row r="56373">
      <c r="A56373" s="1" t="n">
        <v>56372</v>
      </c>
      <c r="B56373">
        <f>TEXT(56372, "[$-0E0000]yyyy-mm-dd")</f>
        <v/>
      </c>
      <c r="C56373" t="inlineStr">
        <is>
          <t>2054-03-27</t>
        </is>
      </c>
    </row>
    <row r="56374">
      <c r="A56374" s="1" t="n">
        <v>56373</v>
      </c>
      <c r="B56374">
        <f>TEXT(56373, "[$-0E0000]yyyy-mm-dd")</f>
        <v/>
      </c>
      <c r="C56374" t="inlineStr">
        <is>
          <t>2054-03-28</t>
        </is>
      </c>
    </row>
    <row r="56375">
      <c r="A56375" s="1" t="n">
        <v>56374</v>
      </c>
      <c r="B56375">
        <f>TEXT(56374, "[$-0E0000]yyyy-mm-dd")</f>
        <v/>
      </c>
      <c r="C56375" t="inlineStr">
        <is>
          <t>2054-03-29</t>
        </is>
      </c>
    </row>
    <row r="56376">
      <c r="A56376" s="1" t="n">
        <v>56375</v>
      </c>
      <c r="B56376">
        <f>TEXT(56375, "[$-0E0000]yyyy-mm-dd")</f>
        <v/>
      </c>
      <c r="C56376" t="inlineStr">
        <is>
          <t>2054-03-30</t>
        </is>
      </c>
    </row>
    <row r="56377">
      <c r="A56377" s="1" t="n">
        <v>56376</v>
      </c>
      <c r="B56377">
        <f>TEXT(56376, "[$-0E0000]yyyy-mm-dd")</f>
        <v/>
      </c>
      <c r="C56377" t="inlineStr">
        <is>
          <t>2054-04-01</t>
        </is>
      </c>
    </row>
    <row r="56378">
      <c r="A56378" s="1" t="n">
        <v>56377</v>
      </c>
      <c r="B56378">
        <f>TEXT(56377, "[$-0E0000]yyyy-mm-dd")</f>
        <v/>
      </c>
      <c r="C56378" t="inlineStr">
        <is>
          <t>2054-04-02</t>
        </is>
      </c>
    </row>
    <row r="56379">
      <c r="A56379" s="1" t="n">
        <v>56378</v>
      </c>
      <c r="B56379">
        <f>TEXT(56378, "[$-0E0000]yyyy-mm-dd")</f>
        <v/>
      </c>
      <c r="C56379" t="inlineStr">
        <is>
          <t>2054-04-03</t>
        </is>
      </c>
    </row>
    <row r="56380">
      <c r="A56380" s="1" t="n">
        <v>56379</v>
      </c>
      <c r="B56380">
        <f>TEXT(56379, "[$-0E0000]yyyy-mm-dd")</f>
        <v/>
      </c>
      <c r="C56380" t="inlineStr">
        <is>
          <t>2054-04-04</t>
        </is>
      </c>
    </row>
    <row r="56381">
      <c r="A56381" s="1" t="n">
        <v>56380</v>
      </c>
      <c r="B56381">
        <f>TEXT(56380, "[$-0E0000]yyyy-mm-dd")</f>
        <v/>
      </c>
      <c r="C56381" t="inlineStr">
        <is>
          <t>2054-04-05</t>
        </is>
      </c>
    </row>
    <row r="56382">
      <c r="A56382" s="1" t="n">
        <v>56381</v>
      </c>
      <c r="B56382">
        <f>TEXT(56381, "[$-0E0000]yyyy-mm-dd")</f>
        <v/>
      </c>
      <c r="C56382" t="inlineStr">
        <is>
          <t>2054-04-06</t>
        </is>
      </c>
    </row>
    <row r="56383">
      <c r="A56383" s="1" t="n">
        <v>56382</v>
      </c>
      <c r="B56383">
        <f>TEXT(56382, "[$-0E0000]yyyy-mm-dd")</f>
        <v/>
      </c>
      <c r="C56383" t="inlineStr">
        <is>
          <t>2054-04-07</t>
        </is>
      </c>
    </row>
    <row r="56384">
      <c r="A56384" s="1" t="n">
        <v>56383</v>
      </c>
      <c r="B56384">
        <f>TEXT(56383, "[$-0E0000]yyyy-mm-dd")</f>
        <v/>
      </c>
      <c r="C56384" t="inlineStr">
        <is>
          <t>2054-04-08</t>
        </is>
      </c>
    </row>
    <row r="56385">
      <c r="A56385" s="1" t="n">
        <v>56384</v>
      </c>
      <c r="B56385">
        <f>TEXT(56384, "[$-0E0000]yyyy-mm-dd")</f>
        <v/>
      </c>
      <c r="C56385" t="inlineStr">
        <is>
          <t>2054-04-09</t>
        </is>
      </c>
    </row>
    <row r="56386">
      <c r="A56386" s="1" t="n">
        <v>56385</v>
      </c>
      <c r="B56386">
        <f>TEXT(56385, "[$-0E0000]yyyy-mm-dd")</f>
        <v/>
      </c>
      <c r="C56386" t="inlineStr">
        <is>
          <t>2054-04-10</t>
        </is>
      </c>
    </row>
    <row r="56387">
      <c r="A56387" s="1" t="n">
        <v>56386</v>
      </c>
      <c r="B56387">
        <f>TEXT(56386, "[$-0E0000]yyyy-mm-dd")</f>
        <v/>
      </c>
      <c r="C56387" t="inlineStr">
        <is>
          <t>2054-04-11</t>
        </is>
      </c>
    </row>
    <row r="56388">
      <c r="A56388" s="1" t="n">
        <v>56387</v>
      </c>
      <c r="B56388">
        <f>TEXT(56387, "[$-0E0000]yyyy-mm-dd")</f>
        <v/>
      </c>
      <c r="C56388" t="inlineStr">
        <is>
          <t>2054-04-12</t>
        </is>
      </c>
    </row>
    <row r="56389">
      <c r="A56389" s="1" t="n">
        <v>56388</v>
      </c>
      <c r="B56389">
        <f>TEXT(56388, "[$-0E0000]yyyy-mm-dd")</f>
        <v/>
      </c>
      <c r="C56389" t="inlineStr">
        <is>
          <t>2054-04-13</t>
        </is>
      </c>
    </row>
    <row r="56390">
      <c r="A56390" s="1" t="n">
        <v>56389</v>
      </c>
      <c r="B56390">
        <f>TEXT(56389, "[$-0E0000]yyyy-mm-dd")</f>
        <v/>
      </c>
      <c r="C56390" t="inlineStr">
        <is>
          <t>2054-04-14</t>
        </is>
      </c>
    </row>
    <row r="56391">
      <c r="A56391" s="1" t="n">
        <v>56390</v>
      </c>
      <c r="B56391">
        <f>TEXT(56390, "[$-0E0000]yyyy-mm-dd")</f>
        <v/>
      </c>
      <c r="C56391" t="inlineStr">
        <is>
          <t>2054-04-15</t>
        </is>
      </c>
    </row>
    <row r="56392">
      <c r="A56392" s="1" t="n">
        <v>56391</v>
      </c>
      <c r="B56392">
        <f>TEXT(56391, "[$-0E0000]yyyy-mm-dd")</f>
        <v/>
      </c>
      <c r="C56392" t="inlineStr">
        <is>
          <t>2054-04-16</t>
        </is>
      </c>
    </row>
    <row r="56393">
      <c r="A56393" s="1" t="n">
        <v>56392</v>
      </c>
      <c r="B56393">
        <f>TEXT(56392, "[$-0E0000]yyyy-mm-dd")</f>
        <v/>
      </c>
      <c r="C56393" t="inlineStr">
        <is>
          <t>2054-04-17</t>
        </is>
      </c>
    </row>
    <row r="56394">
      <c r="A56394" s="1" t="n">
        <v>56393</v>
      </c>
      <c r="B56394">
        <f>TEXT(56393, "[$-0E0000]yyyy-mm-dd")</f>
        <v/>
      </c>
      <c r="C56394" t="inlineStr">
        <is>
          <t>2054-04-18</t>
        </is>
      </c>
    </row>
    <row r="56395">
      <c r="A56395" s="1" t="n">
        <v>56394</v>
      </c>
      <c r="B56395">
        <f>TEXT(56394, "[$-0E0000]yyyy-mm-dd")</f>
        <v/>
      </c>
      <c r="C56395" t="inlineStr">
        <is>
          <t>2054-04-19</t>
        </is>
      </c>
    </row>
    <row r="56396">
      <c r="A56396" s="1" t="n">
        <v>56395</v>
      </c>
      <c r="B56396">
        <f>TEXT(56395, "[$-0E0000]yyyy-mm-dd")</f>
        <v/>
      </c>
      <c r="C56396" t="inlineStr">
        <is>
          <t>2054-04-20</t>
        </is>
      </c>
    </row>
    <row r="56397">
      <c r="A56397" s="1" t="n">
        <v>56396</v>
      </c>
      <c r="B56397">
        <f>TEXT(56396, "[$-0E0000]yyyy-mm-dd")</f>
        <v/>
      </c>
      <c r="C56397" t="inlineStr">
        <is>
          <t>2054-04-21</t>
        </is>
      </c>
    </row>
    <row r="56398">
      <c r="A56398" s="1" t="n">
        <v>56397</v>
      </c>
      <c r="B56398">
        <f>TEXT(56397, "[$-0E0000]yyyy-mm-dd")</f>
        <v/>
      </c>
      <c r="C56398" t="inlineStr">
        <is>
          <t>2054-04-22</t>
        </is>
      </c>
    </row>
    <row r="56399">
      <c r="A56399" s="1" t="n">
        <v>56398</v>
      </c>
      <c r="B56399">
        <f>TEXT(56398, "[$-0E0000]yyyy-mm-dd")</f>
        <v/>
      </c>
      <c r="C56399" t="inlineStr">
        <is>
          <t>2054-04-23</t>
        </is>
      </c>
    </row>
    <row r="56400">
      <c r="A56400" s="1" t="n">
        <v>56399</v>
      </c>
      <c r="B56400">
        <f>TEXT(56399, "[$-0E0000]yyyy-mm-dd")</f>
        <v/>
      </c>
      <c r="C56400" t="inlineStr">
        <is>
          <t>2054-04-24</t>
        </is>
      </c>
    </row>
    <row r="56401">
      <c r="A56401" s="1" t="n">
        <v>56400</v>
      </c>
      <c r="B56401">
        <f>TEXT(56400, "[$-0E0000]yyyy-mm-dd")</f>
        <v/>
      </c>
      <c r="C56401" t="inlineStr">
        <is>
          <t>2054-04-25</t>
        </is>
      </c>
    </row>
    <row r="56402">
      <c r="A56402" s="1" t="n">
        <v>56401</v>
      </c>
      <c r="B56402">
        <f>TEXT(56401, "[$-0E0000]yyyy-mm-dd")</f>
        <v/>
      </c>
      <c r="C56402" t="inlineStr">
        <is>
          <t>2054-04-26</t>
        </is>
      </c>
    </row>
    <row r="56403">
      <c r="A56403" s="1" t="n">
        <v>56402</v>
      </c>
      <c r="B56403">
        <f>TEXT(56402, "[$-0E0000]yyyy-mm-dd")</f>
        <v/>
      </c>
      <c r="C56403" t="inlineStr">
        <is>
          <t>2054-04-27</t>
        </is>
      </c>
    </row>
    <row r="56404">
      <c r="A56404" s="1" t="n">
        <v>56403</v>
      </c>
      <c r="B56404">
        <f>TEXT(56403, "[$-0E0000]yyyy-mm-dd")</f>
        <v/>
      </c>
      <c r="C56404" t="inlineStr">
        <is>
          <t>2054-04-28</t>
        </is>
      </c>
    </row>
    <row r="56405">
      <c r="A56405" s="1" t="n">
        <v>56404</v>
      </c>
      <c r="B56405">
        <f>TEXT(56404, "[$-0E0000]yyyy-mm-dd")</f>
        <v/>
      </c>
      <c r="C56405" t="inlineStr">
        <is>
          <t>2054-04-29</t>
        </is>
      </c>
    </row>
    <row r="56406">
      <c r="A56406" s="1" t="n">
        <v>56405</v>
      </c>
      <c r="B56406">
        <f>TEXT(56405, "[$-0E0000]yyyy-mm-dd")</f>
        <v/>
      </c>
      <c r="C56406" t="inlineStr">
        <is>
          <t>2054-05-01</t>
        </is>
      </c>
    </row>
    <row r="56407">
      <c r="A56407" s="1" t="n">
        <v>56406</v>
      </c>
      <c r="B56407">
        <f>TEXT(56406, "[$-0E0000]yyyy-mm-dd")</f>
        <v/>
      </c>
      <c r="C56407" t="inlineStr">
        <is>
          <t>2054-05-02</t>
        </is>
      </c>
    </row>
    <row r="56408">
      <c r="A56408" s="1" t="n">
        <v>56407</v>
      </c>
      <c r="B56408">
        <f>TEXT(56407, "[$-0E0000]yyyy-mm-dd")</f>
        <v/>
      </c>
      <c r="C56408" t="inlineStr">
        <is>
          <t>2054-05-03</t>
        </is>
      </c>
    </row>
    <row r="56409">
      <c r="A56409" s="1" t="n">
        <v>56408</v>
      </c>
      <c r="B56409">
        <f>TEXT(56408, "[$-0E0000]yyyy-mm-dd")</f>
        <v/>
      </c>
      <c r="C56409" t="inlineStr">
        <is>
          <t>2054-05-04</t>
        </is>
      </c>
    </row>
    <row r="56410">
      <c r="A56410" s="1" t="n">
        <v>56409</v>
      </c>
      <c r="B56410">
        <f>TEXT(56409, "[$-0E0000]yyyy-mm-dd")</f>
        <v/>
      </c>
      <c r="C56410" t="inlineStr">
        <is>
          <t>2054-05-05</t>
        </is>
      </c>
    </row>
    <row r="56411">
      <c r="A56411" s="1" t="n">
        <v>56410</v>
      </c>
      <c r="B56411">
        <f>TEXT(56410, "[$-0E0000]yyyy-mm-dd")</f>
        <v/>
      </c>
      <c r="C56411" t="inlineStr">
        <is>
          <t>2054-05-06</t>
        </is>
      </c>
    </row>
    <row r="56412">
      <c r="A56412" s="1" t="n">
        <v>56411</v>
      </c>
      <c r="B56412">
        <f>TEXT(56411, "[$-0E0000]yyyy-mm-dd")</f>
        <v/>
      </c>
      <c r="C56412" t="inlineStr">
        <is>
          <t>2054-05-07</t>
        </is>
      </c>
    </row>
    <row r="56413">
      <c r="A56413" s="1" t="n">
        <v>56412</v>
      </c>
      <c r="B56413">
        <f>TEXT(56412, "[$-0E0000]yyyy-mm-dd")</f>
        <v/>
      </c>
      <c r="C56413" t="inlineStr">
        <is>
          <t>2054-05-08</t>
        </is>
      </c>
    </row>
    <row r="56414">
      <c r="A56414" s="1" t="n">
        <v>56413</v>
      </c>
      <c r="B56414">
        <f>TEXT(56413, "[$-0E0000]yyyy-mm-dd")</f>
        <v/>
      </c>
      <c r="C56414" t="inlineStr">
        <is>
          <t>2054-05-09</t>
        </is>
      </c>
    </row>
    <row r="56415">
      <c r="A56415" s="1" t="n">
        <v>56414</v>
      </c>
      <c r="B56415">
        <f>TEXT(56414, "[$-0E0000]yyyy-mm-dd")</f>
        <v/>
      </c>
      <c r="C56415" t="inlineStr">
        <is>
          <t>2054-05-10</t>
        </is>
      </c>
    </row>
    <row r="56416">
      <c r="A56416" s="1" t="n">
        <v>56415</v>
      </c>
      <c r="B56416">
        <f>TEXT(56415, "[$-0E0000]yyyy-mm-dd")</f>
        <v/>
      </c>
      <c r="C56416" t="inlineStr">
        <is>
          <t>2054-05-11</t>
        </is>
      </c>
    </row>
    <row r="56417">
      <c r="A56417" s="1" t="n">
        <v>56416</v>
      </c>
      <c r="B56417">
        <f>TEXT(56416, "[$-0E0000]yyyy-mm-dd")</f>
        <v/>
      </c>
      <c r="C56417" t="inlineStr">
        <is>
          <t>2054-05-12</t>
        </is>
      </c>
    </row>
    <row r="56418">
      <c r="A56418" s="1" t="n">
        <v>56417</v>
      </c>
      <c r="B56418">
        <f>TEXT(56417, "[$-0E0000]yyyy-mm-dd")</f>
        <v/>
      </c>
      <c r="C56418" t="inlineStr">
        <is>
          <t>2054-05-13</t>
        </is>
      </c>
    </row>
    <row r="56419">
      <c r="A56419" s="1" t="n">
        <v>56418</v>
      </c>
      <c r="B56419">
        <f>TEXT(56418, "[$-0E0000]yyyy-mm-dd")</f>
        <v/>
      </c>
      <c r="C56419" t="inlineStr">
        <is>
          <t>2054-05-14</t>
        </is>
      </c>
    </row>
    <row r="56420">
      <c r="A56420" s="1" t="n">
        <v>56419</v>
      </c>
      <c r="B56420">
        <f>TEXT(56419, "[$-0E0000]yyyy-mm-dd")</f>
        <v/>
      </c>
      <c r="C56420" t="inlineStr">
        <is>
          <t>2054-05-15</t>
        </is>
      </c>
    </row>
    <row r="56421">
      <c r="A56421" s="1" t="n">
        <v>56420</v>
      </c>
      <c r="B56421">
        <f>TEXT(56420, "[$-0E0000]yyyy-mm-dd")</f>
        <v/>
      </c>
      <c r="C56421" t="inlineStr">
        <is>
          <t>2054-05-16</t>
        </is>
      </c>
    </row>
    <row r="56422">
      <c r="A56422" s="1" t="n">
        <v>56421</v>
      </c>
      <c r="B56422">
        <f>TEXT(56421, "[$-0E0000]yyyy-mm-dd")</f>
        <v/>
      </c>
      <c r="C56422" t="inlineStr">
        <is>
          <t>2054-05-17</t>
        </is>
      </c>
    </row>
    <row r="56423">
      <c r="A56423" s="1" t="n">
        <v>56422</v>
      </c>
      <c r="B56423">
        <f>TEXT(56422, "[$-0E0000]yyyy-mm-dd")</f>
        <v/>
      </c>
      <c r="C56423" t="inlineStr">
        <is>
          <t>2054-05-18</t>
        </is>
      </c>
    </row>
    <row r="56424">
      <c r="A56424" s="1" t="n">
        <v>56423</v>
      </c>
      <c r="B56424">
        <f>TEXT(56423, "[$-0E0000]yyyy-mm-dd")</f>
        <v/>
      </c>
      <c r="C56424" t="inlineStr">
        <is>
          <t>2054-05-19</t>
        </is>
      </c>
    </row>
    <row r="56425">
      <c r="A56425" s="1" t="n">
        <v>56424</v>
      </c>
      <c r="B56425">
        <f>TEXT(56424, "[$-0E0000]yyyy-mm-dd")</f>
        <v/>
      </c>
      <c r="C56425" t="inlineStr">
        <is>
          <t>2054-05-20</t>
        </is>
      </c>
    </row>
    <row r="56426">
      <c r="A56426" s="1" t="n">
        <v>56425</v>
      </c>
      <c r="B56426">
        <f>TEXT(56425, "[$-0E0000]yyyy-mm-dd")</f>
        <v/>
      </c>
      <c r="C56426" t="inlineStr">
        <is>
          <t>2054-05-21</t>
        </is>
      </c>
    </row>
    <row r="56427">
      <c r="A56427" s="1" t="n">
        <v>56426</v>
      </c>
      <c r="B56427">
        <f>TEXT(56426, "[$-0E0000]yyyy-mm-dd")</f>
        <v/>
      </c>
      <c r="C56427" t="inlineStr">
        <is>
          <t>2054-05-22</t>
        </is>
      </c>
    </row>
    <row r="56428">
      <c r="A56428" s="1" t="n">
        <v>56427</v>
      </c>
      <c r="B56428">
        <f>TEXT(56427, "[$-0E0000]yyyy-mm-dd")</f>
        <v/>
      </c>
      <c r="C56428" t="inlineStr">
        <is>
          <t>2054-05-23</t>
        </is>
      </c>
    </row>
    <row r="56429">
      <c r="A56429" s="1" t="n">
        <v>56428</v>
      </c>
      <c r="B56429">
        <f>TEXT(56428, "[$-0E0000]yyyy-mm-dd")</f>
        <v/>
      </c>
      <c r="C56429" t="inlineStr">
        <is>
          <t>2054-05-24</t>
        </is>
      </c>
    </row>
    <row r="56430">
      <c r="A56430" s="1" t="n">
        <v>56429</v>
      </c>
      <c r="B56430">
        <f>TEXT(56429, "[$-0E0000]yyyy-mm-dd")</f>
        <v/>
      </c>
      <c r="C56430" t="inlineStr">
        <is>
          <t>2054-05-25</t>
        </is>
      </c>
    </row>
    <row r="56431">
      <c r="A56431" s="1" t="n">
        <v>56430</v>
      </c>
      <c r="B56431">
        <f>TEXT(56430, "[$-0E0000]yyyy-mm-dd")</f>
        <v/>
      </c>
      <c r="C56431" t="inlineStr">
        <is>
          <t>2054-05-26</t>
        </is>
      </c>
    </row>
    <row r="56432">
      <c r="A56432" s="1" t="n">
        <v>56431</v>
      </c>
      <c r="B56432">
        <f>TEXT(56431, "[$-0E0000]yyyy-mm-dd")</f>
        <v/>
      </c>
      <c r="C56432" t="inlineStr">
        <is>
          <t>2054-05-27</t>
        </is>
      </c>
    </row>
    <row r="56433">
      <c r="A56433" s="1" t="n">
        <v>56432</v>
      </c>
      <c r="B56433">
        <f>TEXT(56432, "[$-0E0000]yyyy-mm-dd")</f>
        <v/>
      </c>
      <c r="C56433" t="inlineStr">
        <is>
          <t>2054-05-28</t>
        </is>
      </c>
    </row>
    <row r="56434">
      <c r="A56434" s="1" t="n">
        <v>56433</v>
      </c>
      <c r="B56434">
        <f>TEXT(56433, "[$-0E0000]yyyy-mm-dd")</f>
        <v/>
      </c>
      <c r="C56434" t="inlineStr">
        <is>
          <t>2054-05-29</t>
        </is>
      </c>
    </row>
    <row r="56435">
      <c r="A56435" s="1" t="n">
        <v>56434</v>
      </c>
      <c r="B56435">
        <f>TEXT(56434, "[$-0E0000]yyyy-mm-dd")</f>
        <v/>
      </c>
      <c r="C56435" t="inlineStr">
        <is>
          <t>2054-06-01</t>
        </is>
      </c>
    </row>
    <row r="56436">
      <c r="A56436" s="1" t="n">
        <v>56435</v>
      </c>
      <c r="B56436">
        <f>TEXT(56435, "[$-0E0000]yyyy-mm-dd")</f>
        <v/>
      </c>
      <c r="C56436" t="inlineStr">
        <is>
          <t>2054-06-02</t>
        </is>
      </c>
    </row>
    <row r="56437">
      <c r="A56437" s="1" t="n">
        <v>56436</v>
      </c>
      <c r="B56437">
        <f>TEXT(56436, "[$-0E0000]yyyy-mm-dd")</f>
        <v/>
      </c>
      <c r="C56437" t="inlineStr">
        <is>
          <t>2054-06-03</t>
        </is>
      </c>
    </row>
    <row r="56438">
      <c r="A56438" s="1" t="n">
        <v>56437</v>
      </c>
      <c r="B56438">
        <f>TEXT(56437, "[$-0E0000]yyyy-mm-dd")</f>
        <v/>
      </c>
      <c r="C56438" t="inlineStr">
        <is>
          <t>2054-06-04</t>
        </is>
      </c>
    </row>
    <row r="56439">
      <c r="A56439" s="1" t="n">
        <v>56438</v>
      </c>
      <c r="B56439">
        <f>TEXT(56438, "[$-0E0000]yyyy-mm-dd")</f>
        <v/>
      </c>
      <c r="C56439" t="inlineStr">
        <is>
          <t>2054-06-05</t>
        </is>
      </c>
    </row>
    <row r="56440">
      <c r="A56440" s="1" t="n">
        <v>56439</v>
      </c>
      <c r="B56440">
        <f>TEXT(56439, "[$-0E0000]yyyy-mm-dd")</f>
        <v/>
      </c>
      <c r="C56440" t="inlineStr">
        <is>
          <t>2054-06-06</t>
        </is>
      </c>
    </row>
    <row r="56441">
      <c r="A56441" s="1" t="n">
        <v>56440</v>
      </c>
      <c r="B56441">
        <f>TEXT(56440, "[$-0E0000]yyyy-mm-dd")</f>
        <v/>
      </c>
      <c r="C56441" t="inlineStr">
        <is>
          <t>2054-06-07</t>
        </is>
      </c>
    </row>
    <row r="56442">
      <c r="A56442" s="1" t="n">
        <v>56441</v>
      </c>
      <c r="B56442">
        <f>TEXT(56441, "[$-0E0000]yyyy-mm-dd")</f>
        <v/>
      </c>
      <c r="C56442" t="inlineStr">
        <is>
          <t>2054-06-08</t>
        </is>
      </c>
    </row>
    <row r="56443">
      <c r="A56443" s="1" t="n">
        <v>56442</v>
      </c>
      <c r="B56443">
        <f>TEXT(56442, "[$-0E0000]yyyy-mm-dd")</f>
        <v/>
      </c>
      <c r="C56443" t="inlineStr">
        <is>
          <t>2054-06-09</t>
        </is>
      </c>
    </row>
    <row r="56444">
      <c r="A56444" s="1" t="n">
        <v>56443</v>
      </c>
      <c r="B56444">
        <f>TEXT(56443, "[$-0E0000]yyyy-mm-dd")</f>
        <v/>
      </c>
      <c r="C56444" t="inlineStr">
        <is>
          <t>2054-06-10</t>
        </is>
      </c>
    </row>
    <row r="56445">
      <c r="A56445" s="1" t="n">
        <v>56444</v>
      </c>
      <c r="B56445">
        <f>TEXT(56444, "[$-0E0000]yyyy-mm-dd")</f>
        <v/>
      </c>
      <c r="C56445" t="inlineStr">
        <is>
          <t>2054-06-11</t>
        </is>
      </c>
    </row>
    <row r="56446">
      <c r="A56446" s="1" t="n">
        <v>56445</v>
      </c>
      <c r="B56446">
        <f>TEXT(56445, "[$-0E0000]yyyy-mm-dd")</f>
        <v/>
      </c>
      <c r="C56446" t="inlineStr">
        <is>
          <t>2054-06-12</t>
        </is>
      </c>
    </row>
    <row r="56447">
      <c r="A56447" s="1" t="n">
        <v>56446</v>
      </c>
      <c r="B56447">
        <f>TEXT(56446, "[$-0E0000]yyyy-mm-dd")</f>
        <v/>
      </c>
      <c r="C56447" t="inlineStr">
        <is>
          <t>2054-06-13</t>
        </is>
      </c>
    </row>
    <row r="56448">
      <c r="A56448" s="1" t="n">
        <v>56447</v>
      </c>
      <c r="B56448">
        <f>TEXT(56447, "[$-0E0000]yyyy-mm-dd")</f>
        <v/>
      </c>
      <c r="C56448" t="inlineStr">
        <is>
          <t>2054-06-14</t>
        </is>
      </c>
    </row>
    <row r="56449">
      <c r="A56449" s="1" t="n">
        <v>56448</v>
      </c>
      <c r="B56449">
        <f>TEXT(56448, "[$-0E0000]yyyy-mm-dd")</f>
        <v/>
      </c>
      <c r="C56449" t="inlineStr">
        <is>
          <t>2054-06-15</t>
        </is>
      </c>
    </row>
    <row r="56450">
      <c r="A56450" s="1" t="n">
        <v>56449</v>
      </c>
      <c r="B56450">
        <f>TEXT(56449, "[$-0E0000]yyyy-mm-dd")</f>
        <v/>
      </c>
      <c r="C56450" t="inlineStr">
        <is>
          <t>2054-06-16</t>
        </is>
      </c>
    </row>
    <row r="56451">
      <c r="A56451" s="1" t="n">
        <v>56450</v>
      </c>
      <c r="B56451">
        <f>TEXT(56450, "[$-0E0000]yyyy-mm-dd")</f>
        <v/>
      </c>
      <c r="C56451" t="inlineStr">
        <is>
          <t>2054-06-17</t>
        </is>
      </c>
    </row>
    <row r="56452">
      <c r="A56452" s="1" t="n">
        <v>56451</v>
      </c>
      <c r="B56452">
        <f>TEXT(56451, "[$-0E0000]yyyy-mm-dd")</f>
        <v/>
      </c>
      <c r="C56452" t="inlineStr">
        <is>
          <t>2054-06-18</t>
        </is>
      </c>
    </row>
    <row r="56453">
      <c r="A56453" s="1" t="n">
        <v>56452</v>
      </c>
      <c r="B56453">
        <f>TEXT(56452, "[$-0E0000]yyyy-mm-dd")</f>
        <v/>
      </c>
      <c r="C56453" t="inlineStr">
        <is>
          <t>2054-06-19</t>
        </is>
      </c>
    </row>
    <row r="56454">
      <c r="A56454" s="1" t="n">
        <v>56453</v>
      </c>
      <c r="B56454">
        <f>TEXT(56453, "[$-0E0000]yyyy-mm-dd")</f>
        <v/>
      </c>
      <c r="C56454" t="inlineStr">
        <is>
          <t>2054-06-20</t>
        </is>
      </c>
    </row>
    <row r="56455">
      <c r="A56455" s="1" t="n">
        <v>56454</v>
      </c>
      <c r="B56455">
        <f>TEXT(56454, "[$-0E0000]yyyy-mm-dd")</f>
        <v/>
      </c>
      <c r="C56455" t="inlineStr">
        <is>
          <t>2054-06-21</t>
        </is>
      </c>
    </row>
    <row r="56456">
      <c r="A56456" s="1" t="n">
        <v>56455</v>
      </c>
      <c r="B56456">
        <f>TEXT(56455, "[$-0E0000]yyyy-mm-dd")</f>
        <v/>
      </c>
      <c r="C56456" t="inlineStr">
        <is>
          <t>2054-06-22</t>
        </is>
      </c>
    </row>
    <row r="56457">
      <c r="A56457" s="1" t="n">
        <v>56456</v>
      </c>
      <c r="B56457">
        <f>TEXT(56456, "[$-0E0000]yyyy-mm-dd")</f>
        <v/>
      </c>
      <c r="C56457" t="inlineStr">
        <is>
          <t>2054-06-23</t>
        </is>
      </c>
    </row>
    <row r="56458">
      <c r="A56458" s="1" t="n">
        <v>56457</v>
      </c>
      <c r="B56458">
        <f>TEXT(56457, "[$-0E0000]yyyy-mm-dd")</f>
        <v/>
      </c>
      <c r="C56458" t="inlineStr">
        <is>
          <t>2054-06-24</t>
        </is>
      </c>
    </row>
    <row r="56459">
      <c r="A56459" s="1" t="n">
        <v>56458</v>
      </c>
      <c r="B56459">
        <f>TEXT(56458, "[$-0E0000]yyyy-mm-dd")</f>
        <v/>
      </c>
      <c r="C56459" t="inlineStr">
        <is>
          <t>2054-06-25</t>
        </is>
      </c>
    </row>
    <row r="56460">
      <c r="A56460" s="1" t="n">
        <v>56459</v>
      </c>
      <c r="B56460">
        <f>TEXT(56459, "[$-0E0000]yyyy-mm-dd")</f>
        <v/>
      </c>
      <c r="C56460" t="inlineStr">
        <is>
          <t>2054-06-26</t>
        </is>
      </c>
    </row>
    <row r="56461">
      <c r="A56461" s="1" t="n">
        <v>56460</v>
      </c>
      <c r="B56461">
        <f>TEXT(56460, "[$-0E0000]yyyy-mm-dd")</f>
        <v/>
      </c>
      <c r="C56461" t="inlineStr">
        <is>
          <t>2054-06-27</t>
        </is>
      </c>
    </row>
    <row r="56462">
      <c r="A56462" s="1" t="n">
        <v>56461</v>
      </c>
      <c r="B56462">
        <f>TEXT(56461, "[$-0E0000]yyyy-mm-dd")</f>
        <v/>
      </c>
      <c r="C56462" t="inlineStr">
        <is>
          <t>2054-06-28</t>
        </is>
      </c>
    </row>
    <row r="56463">
      <c r="A56463" s="1" t="n">
        <v>56462</v>
      </c>
      <c r="B56463">
        <f>TEXT(56462, "[$-0E0000]yyyy-mm-dd")</f>
        <v/>
      </c>
      <c r="C56463" t="inlineStr">
        <is>
          <t>2054-06-29</t>
        </is>
      </c>
    </row>
    <row r="56464">
      <c r="A56464" s="1" t="n">
        <v>56463</v>
      </c>
      <c r="B56464">
        <f>TEXT(56463, "[$-0E0000]yyyy-mm-dd")</f>
        <v/>
      </c>
      <c r="C56464" t="inlineStr">
        <is>
          <t>2054-06-30</t>
        </is>
      </c>
    </row>
    <row r="56465">
      <c r="A56465" s="1" t="n">
        <v>56464</v>
      </c>
      <c r="B56465">
        <f>TEXT(56464, "[$-0E0000]yyyy-mm-dd")</f>
        <v/>
      </c>
      <c r="C56465" t="inlineStr">
        <is>
          <t>2054-07-01</t>
        </is>
      </c>
    </row>
    <row r="56466">
      <c r="A56466" s="1" t="n">
        <v>56465</v>
      </c>
      <c r="B56466">
        <f>TEXT(56465, "[$-0E0000]yyyy-mm-dd")</f>
        <v/>
      </c>
      <c r="C56466" t="inlineStr">
        <is>
          <t>2054-07-02</t>
        </is>
      </c>
    </row>
    <row r="56467">
      <c r="A56467" s="1" t="n">
        <v>56466</v>
      </c>
      <c r="B56467">
        <f>TEXT(56466, "[$-0E0000]yyyy-mm-dd")</f>
        <v/>
      </c>
      <c r="C56467" t="inlineStr">
        <is>
          <t>2054-07-03</t>
        </is>
      </c>
    </row>
    <row r="56468">
      <c r="A56468" s="1" t="n">
        <v>56467</v>
      </c>
      <c r="B56468">
        <f>TEXT(56467, "[$-0E0000]yyyy-mm-dd")</f>
        <v/>
      </c>
      <c r="C56468" t="inlineStr">
        <is>
          <t>2054-07-04</t>
        </is>
      </c>
    </row>
    <row r="56469">
      <c r="A56469" s="1" t="n">
        <v>56468</v>
      </c>
      <c r="B56469">
        <f>TEXT(56468, "[$-0E0000]yyyy-mm-dd")</f>
        <v/>
      </c>
      <c r="C56469" t="inlineStr">
        <is>
          <t>2054-07-05</t>
        </is>
      </c>
    </row>
    <row r="56470">
      <c r="A56470" s="1" t="n">
        <v>56469</v>
      </c>
      <c r="B56470">
        <f>TEXT(56469, "[$-0E0000]yyyy-mm-dd")</f>
        <v/>
      </c>
      <c r="C56470" t="inlineStr">
        <is>
          <t>2054-07-06</t>
        </is>
      </c>
    </row>
    <row r="56471">
      <c r="A56471" s="1" t="n">
        <v>56470</v>
      </c>
      <c r="B56471">
        <f>TEXT(56470, "[$-0E0000]yyyy-mm-dd")</f>
        <v/>
      </c>
      <c r="C56471" t="inlineStr">
        <is>
          <t>2054-07-07</t>
        </is>
      </c>
    </row>
    <row r="56472">
      <c r="A56472" s="1" t="n">
        <v>56471</v>
      </c>
      <c r="B56472">
        <f>TEXT(56471, "[$-0E0000]yyyy-mm-dd")</f>
        <v/>
      </c>
      <c r="C56472" t="inlineStr">
        <is>
          <t>2054-07-08</t>
        </is>
      </c>
    </row>
    <row r="56473">
      <c r="A56473" s="1" t="n">
        <v>56472</v>
      </c>
      <c r="B56473">
        <f>TEXT(56472, "[$-0E0000]yyyy-mm-dd")</f>
        <v/>
      </c>
      <c r="C56473" t="inlineStr">
        <is>
          <t>2054-07-09</t>
        </is>
      </c>
    </row>
    <row r="56474">
      <c r="A56474" s="1" t="n">
        <v>56473</v>
      </c>
      <c r="B56474">
        <f>TEXT(56473, "[$-0E0000]yyyy-mm-dd")</f>
        <v/>
      </c>
      <c r="C56474" t="inlineStr">
        <is>
          <t>2054-07-10</t>
        </is>
      </c>
    </row>
    <row r="56475">
      <c r="A56475" s="1" t="n">
        <v>56474</v>
      </c>
      <c r="B56475">
        <f>TEXT(56474, "[$-0E0000]yyyy-mm-dd")</f>
        <v/>
      </c>
      <c r="C56475" t="inlineStr">
        <is>
          <t>2054-07-11</t>
        </is>
      </c>
    </row>
    <row r="56476">
      <c r="A56476" s="1" t="n">
        <v>56475</v>
      </c>
      <c r="B56476">
        <f>TEXT(56475, "[$-0E0000]yyyy-mm-dd")</f>
        <v/>
      </c>
      <c r="C56476" t="inlineStr">
        <is>
          <t>2054-07-12</t>
        </is>
      </c>
    </row>
    <row r="56477">
      <c r="A56477" s="1" t="n">
        <v>56476</v>
      </c>
      <c r="B56477">
        <f>TEXT(56476, "[$-0E0000]yyyy-mm-dd")</f>
        <v/>
      </c>
      <c r="C56477" t="inlineStr">
        <is>
          <t>2054-07-13</t>
        </is>
      </c>
    </row>
    <row r="56478">
      <c r="A56478" s="1" t="n">
        <v>56477</v>
      </c>
      <c r="B56478">
        <f>TEXT(56477, "[$-0E0000]yyyy-mm-dd")</f>
        <v/>
      </c>
      <c r="C56478" t="inlineStr">
        <is>
          <t>2054-07-14</t>
        </is>
      </c>
    </row>
    <row r="56479">
      <c r="A56479" s="1" t="n">
        <v>56478</v>
      </c>
      <c r="B56479">
        <f>TEXT(56478, "[$-0E0000]yyyy-mm-dd")</f>
        <v/>
      </c>
      <c r="C56479" t="inlineStr">
        <is>
          <t>2054-07-15</t>
        </is>
      </c>
    </row>
    <row r="56480">
      <c r="A56480" s="1" t="n">
        <v>56479</v>
      </c>
      <c r="B56480">
        <f>TEXT(56479, "[$-0E0000]yyyy-mm-dd")</f>
        <v/>
      </c>
      <c r="C56480" t="inlineStr">
        <is>
          <t>2054-07-16</t>
        </is>
      </c>
    </row>
    <row r="56481">
      <c r="A56481" s="1" t="n">
        <v>56480</v>
      </c>
      <c r="B56481">
        <f>TEXT(56480, "[$-0E0000]yyyy-mm-dd")</f>
        <v/>
      </c>
      <c r="C56481" t="inlineStr">
        <is>
          <t>2054-07-17</t>
        </is>
      </c>
    </row>
    <row r="56482">
      <c r="A56482" s="1" t="n">
        <v>56481</v>
      </c>
      <c r="B56482">
        <f>TEXT(56481, "[$-0E0000]yyyy-mm-dd")</f>
        <v/>
      </c>
      <c r="C56482" t="inlineStr">
        <is>
          <t>2054-07-18</t>
        </is>
      </c>
    </row>
    <row r="56483">
      <c r="A56483" s="1" t="n">
        <v>56482</v>
      </c>
      <c r="B56483">
        <f>TEXT(56482, "[$-0E0000]yyyy-mm-dd")</f>
        <v/>
      </c>
      <c r="C56483" t="inlineStr">
        <is>
          <t>2054-07-19</t>
        </is>
      </c>
    </row>
    <row r="56484">
      <c r="A56484" s="1" t="n">
        <v>56483</v>
      </c>
      <c r="B56484">
        <f>TEXT(56483, "[$-0E0000]yyyy-mm-dd")</f>
        <v/>
      </c>
      <c r="C56484" t="inlineStr">
        <is>
          <t>2054-07-20</t>
        </is>
      </c>
    </row>
    <row r="56485">
      <c r="A56485" s="1" t="n">
        <v>56484</v>
      </c>
      <c r="B56485">
        <f>TEXT(56484, "[$-0E0000]yyyy-mm-dd")</f>
        <v/>
      </c>
      <c r="C56485" t="inlineStr">
        <is>
          <t>2054-07-21</t>
        </is>
      </c>
    </row>
    <row r="56486">
      <c r="A56486" s="1" t="n">
        <v>56485</v>
      </c>
      <c r="B56486">
        <f>TEXT(56485, "[$-0E0000]yyyy-mm-dd")</f>
        <v/>
      </c>
      <c r="C56486" t="inlineStr">
        <is>
          <t>2054-07-22</t>
        </is>
      </c>
    </row>
    <row r="56487">
      <c r="A56487" s="1" t="n">
        <v>56486</v>
      </c>
      <c r="B56487">
        <f>TEXT(56486, "[$-0E0000]yyyy-mm-dd")</f>
        <v/>
      </c>
      <c r="C56487" t="inlineStr">
        <is>
          <t>2054-07-23</t>
        </is>
      </c>
    </row>
    <row r="56488">
      <c r="A56488" s="1" t="n">
        <v>56487</v>
      </c>
      <c r="B56488">
        <f>TEXT(56487, "[$-0E0000]yyyy-mm-dd")</f>
        <v/>
      </c>
      <c r="C56488" t="inlineStr">
        <is>
          <t>2054-07-24</t>
        </is>
      </c>
    </row>
    <row r="56489">
      <c r="A56489" s="1" t="n">
        <v>56488</v>
      </c>
      <c r="B56489">
        <f>TEXT(56488, "[$-0E0000]yyyy-mm-dd")</f>
        <v/>
      </c>
      <c r="C56489" t="inlineStr">
        <is>
          <t>2054-07-25</t>
        </is>
      </c>
    </row>
    <row r="56490">
      <c r="A56490" s="1" t="n">
        <v>56489</v>
      </c>
      <c r="B56490">
        <f>TEXT(56489, "[$-0E0000]yyyy-mm-dd")</f>
        <v/>
      </c>
      <c r="C56490" t="inlineStr">
        <is>
          <t>2054-07-26</t>
        </is>
      </c>
    </row>
    <row r="56491">
      <c r="A56491" s="1" t="n">
        <v>56490</v>
      </c>
      <c r="B56491">
        <f>TEXT(56490, "[$-0E0000]yyyy-mm-dd")</f>
        <v/>
      </c>
      <c r="C56491" t="inlineStr">
        <is>
          <t>2054-07-27</t>
        </is>
      </c>
    </row>
    <row r="56492">
      <c r="A56492" s="1" t="n">
        <v>56491</v>
      </c>
      <c r="B56492">
        <f>TEXT(56491, "[$-0E0000]yyyy-mm-dd")</f>
        <v/>
      </c>
      <c r="C56492" t="inlineStr">
        <is>
          <t>2054-07-28</t>
        </is>
      </c>
    </row>
    <row r="56493">
      <c r="A56493" s="1" t="n">
        <v>56492</v>
      </c>
      <c r="B56493">
        <f>TEXT(56492, "[$-0E0000]yyyy-mm-dd")</f>
        <v/>
      </c>
      <c r="C56493" t="inlineStr">
        <is>
          <t>2054-07-29</t>
        </is>
      </c>
    </row>
    <row r="56494">
      <c r="A56494" s="1" t="n">
        <v>56493</v>
      </c>
      <c r="B56494">
        <f>TEXT(56493, "[$-0E0000]yyyy-mm-dd")</f>
        <v/>
      </c>
      <c r="C56494" t="inlineStr">
        <is>
          <t>2054-08-01</t>
        </is>
      </c>
    </row>
    <row r="56495">
      <c r="A56495" s="1" t="n">
        <v>56494</v>
      </c>
      <c r="B56495">
        <f>TEXT(56494, "[$-0E0000]yyyy-mm-dd")</f>
        <v/>
      </c>
      <c r="C56495" t="inlineStr">
        <is>
          <t>2054-08-02</t>
        </is>
      </c>
    </row>
    <row r="56496">
      <c r="A56496" s="1" t="n">
        <v>56495</v>
      </c>
      <c r="B56496">
        <f>TEXT(56495, "[$-0E0000]yyyy-mm-dd")</f>
        <v/>
      </c>
      <c r="C56496" t="inlineStr">
        <is>
          <t>2054-08-03</t>
        </is>
      </c>
    </row>
    <row r="56497">
      <c r="A56497" s="1" t="n">
        <v>56496</v>
      </c>
      <c r="B56497">
        <f>TEXT(56496, "[$-0E0000]yyyy-mm-dd")</f>
        <v/>
      </c>
      <c r="C56497" t="inlineStr">
        <is>
          <t>2054-08-04</t>
        </is>
      </c>
    </row>
    <row r="56498">
      <c r="A56498" s="1" t="n">
        <v>56497</v>
      </c>
      <c r="B56498">
        <f>TEXT(56497, "[$-0E0000]yyyy-mm-dd")</f>
        <v/>
      </c>
      <c r="C56498" t="inlineStr">
        <is>
          <t>2054-08-05</t>
        </is>
      </c>
    </row>
    <row r="56499">
      <c r="A56499" s="1" t="n">
        <v>56498</v>
      </c>
      <c r="B56499">
        <f>TEXT(56498, "[$-0E0000]yyyy-mm-dd")</f>
        <v/>
      </c>
      <c r="C56499" t="inlineStr">
        <is>
          <t>2054-08-06</t>
        </is>
      </c>
    </row>
    <row r="56500">
      <c r="A56500" s="1" t="n">
        <v>56499</v>
      </c>
      <c r="B56500">
        <f>TEXT(56499, "[$-0E0000]yyyy-mm-dd")</f>
        <v/>
      </c>
      <c r="C56500" t="inlineStr">
        <is>
          <t>2054-08-07</t>
        </is>
      </c>
    </row>
    <row r="56501">
      <c r="A56501" s="1" t="n">
        <v>56500</v>
      </c>
      <c r="B56501">
        <f>TEXT(56500, "[$-0E0000]yyyy-mm-dd")</f>
        <v/>
      </c>
      <c r="C56501" t="inlineStr">
        <is>
          <t>2054-08-08</t>
        </is>
      </c>
    </row>
    <row r="56502">
      <c r="A56502" s="1" t="n">
        <v>56501</v>
      </c>
      <c r="B56502">
        <f>TEXT(56501, "[$-0E0000]yyyy-mm-dd")</f>
        <v/>
      </c>
      <c r="C56502" t="inlineStr">
        <is>
          <t>2054-08-09</t>
        </is>
      </c>
    </row>
    <row r="56503">
      <c r="A56503" s="1" t="n">
        <v>56502</v>
      </c>
      <c r="B56503">
        <f>TEXT(56502, "[$-0E0000]yyyy-mm-dd")</f>
        <v/>
      </c>
      <c r="C56503" t="inlineStr">
        <is>
          <t>2054-08-10</t>
        </is>
      </c>
    </row>
    <row r="56504">
      <c r="A56504" s="1" t="n">
        <v>56503</v>
      </c>
      <c r="B56504">
        <f>TEXT(56503, "[$-0E0000]yyyy-mm-dd")</f>
        <v/>
      </c>
      <c r="C56504" t="inlineStr">
        <is>
          <t>2054-08-11</t>
        </is>
      </c>
    </row>
    <row r="56505">
      <c r="A56505" s="1" t="n">
        <v>56504</v>
      </c>
      <c r="B56505">
        <f>TEXT(56504, "[$-0E0000]yyyy-mm-dd")</f>
        <v/>
      </c>
      <c r="C56505" t="inlineStr">
        <is>
          <t>2054-08-12</t>
        </is>
      </c>
    </row>
    <row r="56506">
      <c r="A56506" s="1" t="n">
        <v>56505</v>
      </c>
      <c r="B56506">
        <f>TEXT(56505, "[$-0E0000]yyyy-mm-dd")</f>
        <v/>
      </c>
      <c r="C56506" t="inlineStr">
        <is>
          <t>2054-08-13</t>
        </is>
      </c>
    </row>
    <row r="56507">
      <c r="A56507" s="1" t="n">
        <v>56506</v>
      </c>
      <c r="B56507">
        <f>TEXT(56506, "[$-0E0000]yyyy-mm-dd")</f>
        <v/>
      </c>
      <c r="C56507" t="inlineStr">
        <is>
          <t>2054-08-14</t>
        </is>
      </c>
    </row>
    <row r="56508">
      <c r="A56508" s="1" t="n">
        <v>56507</v>
      </c>
      <c r="B56508">
        <f>TEXT(56507, "[$-0E0000]yyyy-mm-dd")</f>
        <v/>
      </c>
      <c r="C56508" t="inlineStr">
        <is>
          <t>2054-08-15</t>
        </is>
      </c>
    </row>
    <row r="56509">
      <c r="A56509" s="1" t="n">
        <v>56508</v>
      </c>
      <c r="B56509">
        <f>TEXT(56508, "[$-0E0000]yyyy-mm-dd")</f>
        <v/>
      </c>
      <c r="C56509" t="inlineStr">
        <is>
          <t>2054-08-16</t>
        </is>
      </c>
    </row>
    <row r="56510">
      <c r="A56510" s="1" t="n">
        <v>56509</v>
      </c>
      <c r="B56510">
        <f>TEXT(56509, "[$-0E0000]yyyy-mm-dd")</f>
        <v/>
      </c>
      <c r="C56510" t="inlineStr">
        <is>
          <t>2054-08-17</t>
        </is>
      </c>
    </row>
    <row r="56511">
      <c r="A56511" s="1" t="n">
        <v>56510</v>
      </c>
      <c r="B56511">
        <f>TEXT(56510, "[$-0E0000]yyyy-mm-dd")</f>
        <v/>
      </c>
      <c r="C56511" t="inlineStr">
        <is>
          <t>2054-08-18</t>
        </is>
      </c>
    </row>
    <row r="56512">
      <c r="A56512" s="1" t="n">
        <v>56511</v>
      </c>
      <c r="B56512">
        <f>TEXT(56511, "[$-0E0000]yyyy-mm-dd")</f>
        <v/>
      </c>
      <c r="C56512" t="inlineStr">
        <is>
          <t>2054-08-19</t>
        </is>
      </c>
    </row>
    <row r="56513">
      <c r="A56513" s="1" t="n">
        <v>56512</v>
      </c>
      <c r="B56513">
        <f>TEXT(56512, "[$-0E0000]yyyy-mm-dd")</f>
        <v/>
      </c>
      <c r="C56513" t="inlineStr">
        <is>
          <t>2054-08-20</t>
        </is>
      </c>
    </row>
    <row r="56514">
      <c r="A56514" s="1" t="n">
        <v>56513</v>
      </c>
      <c r="B56514">
        <f>TEXT(56513, "[$-0E0000]yyyy-mm-dd")</f>
        <v/>
      </c>
      <c r="C56514" t="inlineStr">
        <is>
          <t>2054-08-21</t>
        </is>
      </c>
    </row>
    <row r="56515">
      <c r="A56515" s="1" t="n">
        <v>56514</v>
      </c>
      <c r="B56515">
        <f>TEXT(56514, "[$-0E0000]yyyy-mm-dd")</f>
        <v/>
      </c>
      <c r="C56515" t="inlineStr">
        <is>
          <t>2054-08-22</t>
        </is>
      </c>
    </row>
    <row r="56516">
      <c r="A56516" s="1" t="n">
        <v>56515</v>
      </c>
      <c r="B56516">
        <f>TEXT(56515, "[$-0E0000]yyyy-mm-dd")</f>
        <v/>
      </c>
      <c r="C56516" t="inlineStr">
        <is>
          <t>2054-08-23</t>
        </is>
      </c>
    </row>
    <row r="56517">
      <c r="A56517" s="1" t="n">
        <v>56516</v>
      </c>
      <c r="B56517">
        <f>TEXT(56516, "[$-0E0000]yyyy-mm-dd")</f>
        <v/>
      </c>
      <c r="C56517" t="inlineStr">
        <is>
          <t>2054-08-24</t>
        </is>
      </c>
    </row>
    <row r="56518">
      <c r="A56518" s="1" t="n">
        <v>56517</v>
      </c>
      <c r="B56518">
        <f>TEXT(56517, "[$-0E0000]yyyy-mm-dd")</f>
        <v/>
      </c>
      <c r="C56518" t="inlineStr">
        <is>
          <t>2054-08-25</t>
        </is>
      </c>
    </row>
    <row r="56519">
      <c r="A56519" s="1" t="n">
        <v>56518</v>
      </c>
      <c r="B56519">
        <f>TEXT(56518, "[$-0E0000]yyyy-mm-dd")</f>
        <v/>
      </c>
      <c r="C56519" t="inlineStr">
        <is>
          <t>2054-08-26</t>
        </is>
      </c>
    </row>
    <row r="56520">
      <c r="A56520" s="1" t="n">
        <v>56519</v>
      </c>
      <c r="B56520">
        <f>TEXT(56519, "[$-0E0000]yyyy-mm-dd")</f>
        <v/>
      </c>
      <c r="C56520" t="inlineStr">
        <is>
          <t>2054-08-27</t>
        </is>
      </c>
    </row>
    <row r="56521">
      <c r="A56521" s="1" t="n">
        <v>56520</v>
      </c>
      <c r="B56521">
        <f>TEXT(56520, "[$-0E0000]yyyy-mm-dd")</f>
        <v/>
      </c>
      <c r="C56521" t="inlineStr">
        <is>
          <t>2054-08-28</t>
        </is>
      </c>
    </row>
    <row r="56522">
      <c r="A56522" s="1" t="n">
        <v>56521</v>
      </c>
      <c r="B56522">
        <f>TEXT(56521, "[$-0E0000]yyyy-mm-dd")</f>
        <v/>
      </c>
      <c r="C56522" t="inlineStr">
        <is>
          <t>2054-08-29</t>
        </is>
      </c>
    </row>
    <row r="56523">
      <c r="A56523" s="1" t="n">
        <v>56522</v>
      </c>
      <c r="B56523">
        <f>TEXT(56522, "[$-0E0000]yyyy-mm-dd")</f>
        <v/>
      </c>
      <c r="C56523" t="inlineStr">
        <is>
          <t>2054-09-01</t>
        </is>
      </c>
    </row>
    <row r="56524">
      <c r="A56524" s="1" t="n">
        <v>56523</v>
      </c>
      <c r="B56524">
        <f>TEXT(56523, "[$-0E0000]yyyy-mm-dd")</f>
        <v/>
      </c>
      <c r="C56524" t="inlineStr">
        <is>
          <t>2054-09-02</t>
        </is>
      </c>
    </row>
    <row r="56525">
      <c r="A56525" s="1" t="n">
        <v>56524</v>
      </c>
      <c r="B56525">
        <f>TEXT(56524, "[$-0E0000]yyyy-mm-dd")</f>
        <v/>
      </c>
      <c r="C56525" t="inlineStr">
        <is>
          <t>2054-09-03</t>
        </is>
      </c>
    </row>
    <row r="56526">
      <c r="A56526" s="1" t="n">
        <v>56525</v>
      </c>
      <c r="B56526">
        <f>TEXT(56525, "[$-0E0000]yyyy-mm-dd")</f>
        <v/>
      </c>
      <c r="C56526" t="inlineStr">
        <is>
          <t>2054-09-04</t>
        </is>
      </c>
    </row>
    <row r="56527">
      <c r="A56527" s="1" t="n">
        <v>56526</v>
      </c>
      <c r="B56527">
        <f>TEXT(56526, "[$-0E0000]yyyy-mm-dd")</f>
        <v/>
      </c>
      <c r="C56527" t="inlineStr">
        <is>
          <t>2054-09-05</t>
        </is>
      </c>
    </row>
    <row r="56528">
      <c r="A56528" s="1" t="n">
        <v>56527</v>
      </c>
      <c r="B56528">
        <f>TEXT(56527, "[$-0E0000]yyyy-mm-dd")</f>
        <v/>
      </c>
      <c r="C56528" t="inlineStr">
        <is>
          <t>2054-09-06</t>
        </is>
      </c>
    </row>
    <row r="56529">
      <c r="A56529" s="1" t="n">
        <v>56528</v>
      </c>
      <c r="B56529">
        <f>TEXT(56528, "[$-0E0000]yyyy-mm-dd")</f>
        <v/>
      </c>
      <c r="C56529" t="inlineStr">
        <is>
          <t>2054-09-07</t>
        </is>
      </c>
    </row>
    <row r="56530">
      <c r="A56530" s="1" t="n">
        <v>56529</v>
      </c>
      <c r="B56530">
        <f>TEXT(56529, "[$-0E0000]yyyy-mm-dd")</f>
        <v/>
      </c>
      <c r="C56530" t="inlineStr">
        <is>
          <t>2054-09-08</t>
        </is>
      </c>
    </row>
    <row r="56531">
      <c r="A56531" s="1" t="n">
        <v>56530</v>
      </c>
      <c r="B56531">
        <f>TEXT(56530, "[$-0E0000]yyyy-mm-dd")</f>
        <v/>
      </c>
      <c r="C56531" t="inlineStr">
        <is>
          <t>2054-09-09</t>
        </is>
      </c>
    </row>
    <row r="56532">
      <c r="A56532" s="1" t="n">
        <v>56531</v>
      </c>
      <c r="B56532">
        <f>TEXT(56531, "[$-0E0000]yyyy-mm-dd")</f>
        <v/>
      </c>
      <c r="C56532" t="inlineStr">
        <is>
          <t>2054-09-10</t>
        </is>
      </c>
    </row>
    <row r="56533">
      <c r="A56533" s="1" t="n">
        <v>56532</v>
      </c>
      <c r="B56533">
        <f>TEXT(56532, "[$-0E0000]yyyy-mm-dd")</f>
        <v/>
      </c>
      <c r="C56533" t="inlineStr">
        <is>
          <t>2054-09-11</t>
        </is>
      </c>
    </row>
    <row r="56534">
      <c r="A56534" s="1" t="n">
        <v>56533</v>
      </c>
      <c r="B56534">
        <f>TEXT(56533, "[$-0E0000]yyyy-mm-dd")</f>
        <v/>
      </c>
      <c r="C56534" t="inlineStr">
        <is>
          <t>2054-09-12</t>
        </is>
      </c>
    </row>
    <row r="56535">
      <c r="A56535" s="1" t="n">
        <v>56534</v>
      </c>
      <c r="B56535">
        <f>TEXT(56534, "[$-0E0000]yyyy-mm-dd")</f>
        <v/>
      </c>
      <c r="C56535" t="inlineStr">
        <is>
          <t>2054-09-13</t>
        </is>
      </c>
    </row>
    <row r="56536">
      <c r="A56536" s="1" t="n">
        <v>56535</v>
      </c>
      <c r="B56536">
        <f>TEXT(56535, "[$-0E0000]yyyy-mm-dd")</f>
        <v/>
      </c>
      <c r="C56536" t="inlineStr">
        <is>
          <t>2054-09-14</t>
        </is>
      </c>
    </row>
    <row r="56537">
      <c r="A56537" s="1" t="n">
        <v>56536</v>
      </c>
      <c r="B56537">
        <f>TEXT(56536, "[$-0E0000]yyyy-mm-dd")</f>
        <v/>
      </c>
      <c r="C56537" t="inlineStr">
        <is>
          <t>2054-09-15</t>
        </is>
      </c>
    </row>
    <row r="56538">
      <c r="A56538" s="1" t="n">
        <v>56537</v>
      </c>
      <c r="B56538">
        <f>TEXT(56537, "[$-0E0000]yyyy-mm-dd")</f>
        <v/>
      </c>
      <c r="C56538" t="inlineStr">
        <is>
          <t>2054-09-16</t>
        </is>
      </c>
    </row>
    <row r="56539">
      <c r="A56539" s="1" t="n">
        <v>56538</v>
      </c>
      <c r="B56539">
        <f>TEXT(56538, "[$-0E0000]yyyy-mm-dd")</f>
        <v/>
      </c>
      <c r="C56539" t="inlineStr">
        <is>
          <t>2054-09-17</t>
        </is>
      </c>
    </row>
    <row r="56540">
      <c r="A56540" s="1" t="n">
        <v>56539</v>
      </c>
      <c r="B56540">
        <f>TEXT(56539, "[$-0E0000]yyyy-mm-dd")</f>
        <v/>
      </c>
      <c r="C56540" t="inlineStr">
        <is>
          <t>2054-09-18</t>
        </is>
      </c>
    </row>
    <row r="56541">
      <c r="A56541" s="1" t="n">
        <v>56540</v>
      </c>
      <c r="B56541">
        <f>TEXT(56540, "[$-0E0000]yyyy-mm-dd")</f>
        <v/>
      </c>
      <c r="C56541" t="inlineStr">
        <is>
          <t>2054-09-19</t>
        </is>
      </c>
    </row>
    <row r="56542">
      <c r="A56542" s="1" t="n">
        <v>56541</v>
      </c>
      <c r="B56542">
        <f>TEXT(56541, "[$-0E0000]yyyy-mm-dd")</f>
        <v/>
      </c>
      <c r="C56542" t="inlineStr">
        <is>
          <t>2054-09-20</t>
        </is>
      </c>
    </row>
    <row r="56543">
      <c r="A56543" s="1" t="n">
        <v>56542</v>
      </c>
      <c r="B56543">
        <f>TEXT(56542, "[$-0E0000]yyyy-mm-dd")</f>
        <v/>
      </c>
      <c r="C56543" t="inlineStr">
        <is>
          <t>2054-09-21</t>
        </is>
      </c>
    </row>
    <row r="56544">
      <c r="A56544" s="1" t="n">
        <v>56543</v>
      </c>
      <c r="B56544">
        <f>TEXT(56543, "[$-0E0000]yyyy-mm-dd")</f>
        <v/>
      </c>
      <c r="C56544" t="inlineStr">
        <is>
          <t>2054-09-22</t>
        </is>
      </c>
    </row>
    <row r="56545">
      <c r="A56545" s="1" t="n">
        <v>56544</v>
      </c>
      <c r="B56545">
        <f>TEXT(56544, "[$-0E0000]yyyy-mm-dd")</f>
        <v/>
      </c>
      <c r="C56545" t="inlineStr">
        <is>
          <t>2054-09-23</t>
        </is>
      </c>
    </row>
    <row r="56546">
      <c r="A56546" s="1" t="n">
        <v>56545</v>
      </c>
      <c r="B56546">
        <f>TEXT(56545, "[$-0E0000]yyyy-mm-dd")</f>
        <v/>
      </c>
      <c r="C56546" t="inlineStr">
        <is>
          <t>2054-09-24</t>
        </is>
      </c>
    </row>
    <row r="56547">
      <c r="A56547" s="1" t="n">
        <v>56546</v>
      </c>
      <c r="B56547">
        <f>TEXT(56546, "[$-0E0000]yyyy-mm-dd")</f>
        <v/>
      </c>
      <c r="C56547" t="inlineStr">
        <is>
          <t>2054-09-25</t>
        </is>
      </c>
    </row>
    <row r="56548">
      <c r="A56548" s="1" t="n">
        <v>56547</v>
      </c>
      <c r="B56548">
        <f>TEXT(56547, "[$-0E0000]yyyy-mm-dd")</f>
        <v/>
      </c>
      <c r="C56548" t="inlineStr">
        <is>
          <t>2054-09-26</t>
        </is>
      </c>
    </row>
    <row r="56549">
      <c r="A56549" s="1" t="n">
        <v>56548</v>
      </c>
      <c r="B56549">
        <f>TEXT(56548, "[$-0E0000]yyyy-mm-dd")</f>
        <v/>
      </c>
      <c r="C56549" t="inlineStr">
        <is>
          <t>2054-09-27</t>
        </is>
      </c>
    </row>
    <row r="56550">
      <c r="A56550" s="1" t="n">
        <v>56549</v>
      </c>
      <c r="B56550">
        <f>TEXT(56549, "[$-0E0000]yyyy-mm-dd")</f>
        <v/>
      </c>
      <c r="C56550" t="inlineStr">
        <is>
          <t>2054-09-28</t>
        </is>
      </c>
    </row>
    <row r="56551">
      <c r="A56551" s="1" t="n">
        <v>56550</v>
      </c>
      <c r="B56551">
        <f>TEXT(56550, "[$-0E0000]yyyy-mm-dd")</f>
        <v/>
      </c>
      <c r="C56551" t="inlineStr">
        <is>
          <t>2054-09-29</t>
        </is>
      </c>
    </row>
    <row r="56552">
      <c r="A56552" s="1" t="n">
        <v>56551</v>
      </c>
      <c r="B56552">
        <f>TEXT(56551, "[$-0E0000]yyyy-mm-dd")</f>
        <v/>
      </c>
      <c r="C56552" t="inlineStr">
        <is>
          <t>2054-09-30</t>
        </is>
      </c>
    </row>
    <row r="56553">
      <c r="A56553" s="1" t="n">
        <v>56552</v>
      </c>
      <c r="B56553">
        <f>TEXT(56552, "[$-0E0000]yyyy-mm-dd")</f>
        <v/>
      </c>
      <c r="C56553" t="inlineStr">
        <is>
          <t>2054-10-01</t>
        </is>
      </c>
    </row>
    <row r="56554">
      <c r="A56554" s="1" t="n">
        <v>56553</v>
      </c>
      <c r="B56554">
        <f>TEXT(56553, "[$-0E0000]yyyy-mm-dd")</f>
        <v/>
      </c>
      <c r="C56554" t="inlineStr">
        <is>
          <t>2054-10-02</t>
        </is>
      </c>
    </row>
    <row r="56555">
      <c r="A56555" s="1" t="n">
        <v>56554</v>
      </c>
      <c r="B56555">
        <f>TEXT(56554, "[$-0E0000]yyyy-mm-dd")</f>
        <v/>
      </c>
      <c r="C56555" t="inlineStr">
        <is>
          <t>2054-10-03</t>
        </is>
      </c>
    </row>
    <row r="56556">
      <c r="A56556" s="1" t="n">
        <v>56555</v>
      </c>
      <c r="B56556">
        <f>TEXT(56555, "[$-0E0000]yyyy-mm-dd")</f>
        <v/>
      </c>
      <c r="C56556" t="inlineStr">
        <is>
          <t>2054-10-04</t>
        </is>
      </c>
    </row>
    <row r="56557">
      <c r="A56557" s="1" t="n">
        <v>56556</v>
      </c>
      <c r="B56557">
        <f>TEXT(56556, "[$-0E0000]yyyy-mm-dd")</f>
        <v/>
      </c>
      <c r="C56557" t="inlineStr">
        <is>
          <t>2054-10-05</t>
        </is>
      </c>
    </row>
    <row r="56558">
      <c r="A56558" s="1" t="n">
        <v>56557</v>
      </c>
      <c r="B56558">
        <f>TEXT(56557, "[$-0E0000]yyyy-mm-dd")</f>
        <v/>
      </c>
      <c r="C56558" t="inlineStr">
        <is>
          <t>2054-10-06</t>
        </is>
      </c>
    </row>
    <row r="56559">
      <c r="A56559" s="1" t="n">
        <v>56558</v>
      </c>
      <c r="B56559">
        <f>TEXT(56558, "[$-0E0000]yyyy-mm-dd")</f>
        <v/>
      </c>
      <c r="C56559" t="inlineStr">
        <is>
          <t>2054-10-07</t>
        </is>
      </c>
    </row>
    <row r="56560">
      <c r="A56560" s="1" t="n">
        <v>56559</v>
      </c>
      <c r="B56560">
        <f>TEXT(56559, "[$-0E0000]yyyy-mm-dd")</f>
        <v/>
      </c>
      <c r="C56560" t="inlineStr">
        <is>
          <t>2054-10-08</t>
        </is>
      </c>
    </row>
    <row r="56561">
      <c r="A56561" s="1" t="n">
        <v>56560</v>
      </c>
      <c r="B56561">
        <f>TEXT(56560, "[$-0E0000]yyyy-mm-dd")</f>
        <v/>
      </c>
      <c r="C56561" t="inlineStr">
        <is>
          <t>2054-10-09</t>
        </is>
      </c>
    </row>
    <row r="56562">
      <c r="A56562" s="1" t="n">
        <v>56561</v>
      </c>
      <c r="B56562">
        <f>TEXT(56561, "[$-0E0000]yyyy-mm-dd")</f>
        <v/>
      </c>
      <c r="C56562" t="inlineStr">
        <is>
          <t>2054-10-10</t>
        </is>
      </c>
    </row>
    <row r="56563">
      <c r="A56563" s="1" t="n">
        <v>56562</v>
      </c>
      <c r="B56563">
        <f>TEXT(56562, "[$-0E0000]yyyy-mm-dd")</f>
        <v/>
      </c>
      <c r="C56563" t="inlineStr">
        <is>
          <t>2054-10-11</t>
        </is>
      </c>
    </row>
    <row r="56564">
      <c r="A56564" s="1" t="n">
        <v>56563</v>
      </c>
      <c r="B56564">
        <f>TEXT(56563, "[$-0E0000]yyyy-mm-dd")</f>
        <v/>
      </c>
      <c r="C56564" t="inlineStr">
        <is>
          <t>2054-10-12</t>
        </is>
      </c>
    </row>
    <row r="56565">
      <c r="A56565" s="1" t="n">
        <v>56564</v>
      </c>
      <c r="B56565">
        <f>TEXT(56564, "[$-0E0000]yyyy-mm-dd")</f>
        <v/>
      </c>
      <c r="C56565" t="inlineStr">
        <is>
          <t>2054-10-13</t>
        </is>
      </c>
    </row>
    <row r="56566">
      <c r="A56566" s="1" t="n">
        <v>56565</v>
      </c>
      <c r="B56566">
        <f>TEXT(56565, "[$-0E0000]yyyy-mm-dd")</f>
        <v/>
      </c>
      <c r="C56566" t="inlineStr">
        <is>
          <t>2054-10-14</t>
        </is>
      </c>
    </row>
    <row r="56567">
      <c r="A56567" s="1" t="n">
        <v>56566</v>
      </c>
      <c r="B56567">
        <f>TEXT(56566, "[$-0E0000]yyyy-mm-dd")</f>
        <v/>
      </c>
      <c r="C56567" t="inlineStr">
        <is>
          <t>2054-10-15</t>
        </is>
      </c>
    </row>
    <row r="56568">
      <c r="A56568" s="1" t="n">
        <v>56567</v>
      </c>
      <c r="B56568">
        <f>TEXT(56567, "[$-0E0000]yyyy-mm-dd")</f>
        <v/>
      </c>
      <c r="C56568" t="inlineStr">
        <is>
          <t>2054-10-16</t>
        </is>
      </c>
    </row>
    <row r="56569">
      <c r="A56569" s="1" t="n">
        <v>56568</v>
      </c>
      <c r="B56569">
        <f>TEXT(56568, "[$-0E0000]yyyy-mm-dd")</f>
        <v/>
      </c>
      <c r="C56569" t="inlineStr">
        <is>
          <t>2054-10-17</t>
        </is>
      </c>
    </row>
    <row r="56570">
      <c r="A56570" s="1" t="n">
        <v>56569</v>
      </c>
      <c r="B56570">
        <f>TEXT(56569, "[$-0E0000]yyyy-mm-dd")</f>
        <v/>
      </c>
      <c r="C56570" t="inlineStr">
        <is>
          <t>2054-10-18</t>
        </is>
      </c>
    </row>
    <row r="56571">
      <c r="A56571" s="1" t="n">
        <v>56570</v>
      </c>
      <c r="B56571">
        <f>TEXT(56570, "[$-0E0000]yyyy-mm-dd")</f>
        <v/>
      </c>
      <c r="C56571" t="inlineStr">
        <is>
          <t>2054-10-19</t>
        </is>
      </c>
    </row>
    <row r="56572">
      <c r="A56572" s="1" t="n">
        <v>56571</v>
      </c>
      <c r="B56572">
        <f>TEXT(56571, "[$-0E0000]yyyy-mm-dd")</f>
        <v/>
      </c>
      <c r="C56572" t="inlineStr">
        <is>
          <t>2054-10-20</t>
        </is>
      </c>
    </row>
    <row r="56573">
      <c r="A56573" s="1" t="n">
        <v>56572</v>
      </c>
      <c r="B56573">
        <f>TEXT(56572, "[$-0E0000]yyyy-mm-dd")</f>
        <v/>
      </c>
      <c r="C56573" t="inlineStr">
        <is>
          <t>2054-10-21</t>
        </is>
      </c>
    </row>
    <row r="56574">
      <c r="A56574" s="1" t="n">
        <v>56573</v>
      </c>
      <c r="B56574">
        <f>TEXT(56573, "[$-0E0000]yyyy-mm-dd")</f>
        <v/>
      </c>
      <c r="C56574" t="inlineStr">
        <is>
          <t>2054-10-22</t>
        </is>
      </c>
    </row>
    <row r="56575">
      <c r="A56575" s="1" t="n">
        <v>56574</v>
      </c>
      <c r="B56575">
        <f>TEXT(56574, "[$-0E0000]yyyy-mm-dd")</f>
        <v/>
      </c>
      <c r="C56575" t="inlineStr">
        <is>
          <t>2054-10-23</t>
        </is>
      </c>
    </row>
    <row r="56576">
      <c r="A56576" s="1" t="n">
        <v>56575</v>
      </c>
      <c r="B56576">
        <f>TEXT(56575, "[$-0E0000]yyyy-mm-dd")</f>
        <v/>
      </c>
      <c r="C56576" t="inlineStr">
        <is>
          <t>2054-10-24</t>
        </is>
      </c>
    </row>
    <row r="56577">
      <c r="A56577" s="1" t="n">
        <v>56576</v>
      </c>
      <c r="B56577">
        <f>TEXT(56576, "[$-0E0000]yyyy-mm-dd")</f>
        <v/>
      </c>
      <c r="C56577" t="inlineStr">
        <is>
          <t>2054-10-25</t>
        </is>
      </c>
    </row>
    <row r="56578">
      <c r="A56578" s="1" t="n">
        <v>56577</v>
      </c>
      <c r="B56578">
        <f>TEXT(56577, "[$-0E0000]yyyy-mm-dd")</f>
        <v/>
      </c>
      <c r="C56578" t="inlineStr">
        <is>
          <t>2054-10-26</t>
        </is>
      </c>
    </row>
    <row r="56579">
      <c r="A56579" s="1" t="n">
        <v>56578</v>
      </c>
      <c r="B56579">
        <f>TEXT(56578, "[$-0E0000]yyyy-mm-dd")</f>
        <v/>
      </c>
      <c r="C56579" t="inlineStr">
        <is>
          <t>2054-10-27</t>
        </is>
      </c>
    </row>
    <row r="56580">
      <c r="A56580" s="1" t="n">
        <v>56579</v>
      </c>
      <c r="B56580">
        <f>TEXT(56579, "[$-0E0000]yyyy-mm-dd")</f>
        <v/>
      </c>
      <c r="C56580" t="inlineStr">
        <is>
          <t>2054-10-28</t>
        </is>
      </c>
    </row>
    <row r="56581">
      <c r="A56581" s="1" t="n">
        <v>56580</v>
      </c>
      <c r="B56581">
        <f>TEXT(56580, "[$-0E0000]yyyy-mm-dd")</f>
        <v/>
      </c>
      <c r="C56581" t="inlineStr">
        <is>
          <t>2054-10-29</t>
        </is>
      </c>
    </row>
    <row r="56582">
      <c r="A56582" s="1" t="n">
        <v>56581</v>
      </c>
      <c r="B56582">
        <f>TEXT(56581, "[$-0E0000]yyyy-mm-dd")</f>
        <v/>
      </c>
      <c r="C56582" t="inlineStr">
        <is>
          <t>2054-11-01</t>
        </is>
      </c>
    </row>
    <row r="56583">
      <c r="A56583" s="1" t="n">
        <v>56582</v>
      </c>
      <c r="B56583">
        <f>TEXT(56582, "[$-0E0000]yyyy-mm-dd")</f>
        <v/>
      </c>
      <c r="C56583" t="inlineStr">
        <is>
          <t>2054-11-02</t>
        </is>
      </c>
    </row>
    <row r="56584">
      <c r="A56584" s="1" t="n">
        <v>56583</v>
      </c>
      <c r="B56584">
        <f>TEXT(56583, "[$-0E0000]yyyy-mm-dd")</f>
        <v/>
      </c>
      <c r="C56584" t="inlineStr">
        <is>
          <t>2054-11-03</t>
        </is>
      </c>
    </row>
    <row r="56585">
      <c r="A56585" s="1" t="n">
        <v>56584</v>
      </c>
      <c r="B56585">
        <f>TEXT(56584, "[$-0E0000]yyyy-mm-dd")</f>
        <v/>
      </c>
      <c r="C56585" t="inlineStr">
        <is>
          <t>2054-11-04</t>
        </is>
      </c>
    </row>
    <row r="56586">
      <c r="A56586" s="1" t="n">
        <v>56585</v>
      </c>
      <c r="B56586">
        <f>TEXT(56585, "[$-0E0000]yyyy-mm-dd")</f>
        <v/>
      </c>
      <c r="C56586" t="inlineStr">
        <is>
          <t>2054-11-05</t>
        </is>
      </c>
    </row>
    <row r="56587">
      <c r="A56587" s="1" t="n">
        <v>56586</v>
      </c>
      <c r="B56587">
        <f>TEXT(56586, "[$-0E0000]yyyy-mm-dd")</f>
        <v/>
      </c>
      <c r="C56587" t="inlineStr">
        <is>
          <t>2054-11-06</t>
        </is>
      </c>
    </row>
    <row r="56588">
      <c r="A56588" s="1" t="n">
        <v>56587</v>
      </c>
      <c r="B56588">
        <f>TEXT(56587, "[$-0E0000]yyyy-mm-dd")</f>
        <v/>
      </c>
      <c r="C56588" t="inlineStr">
        <is>
          <t>2054-11-07</t>
        </is>
      </c>
    </row>
    <row r="56589">
      <c r="A56589" s="1" t="n">
        <v>56588</v>
      </c>
      <c r="B56589">
        <f>TEXT(56588, "[$-0E0000]yyyy-mm-dd")</f>
        <v/>
      </c>
      <c r="C56589" t="inlineStr">
        <is>
          <t>2054-11-08</t>
        </is>
      </c>
    </row>
    <row r="56590">
      <c r="A56590" s="1" t="n">
        <v>56589</v>
      </c>
      <c r="B56590">
        <f>TEXT(56589, "[$-0E0000]yyyy-mm-dd")</f>
        <v/>
      </c>
      <c r="C56590" t="inlineStr">
        <is>
          <t>2054-11-09</t>
        </is>
      </c>
    </row>
    <row r="56591">
      <c r="A56591" s="1" t="n">
        <v>56590</v>
      </c>
      <c r="B56591">
        <f>TEXT(56590, "[$-0E0000]yyyy-mm-dd")</f>
        <v/>
      </c>
      <c r="C56591" t="inlineStr">
        <is>
          <t>2054-11-10</t>
        </is>
      </c>
    </row>
    <row r="56592">
      <c r="A56592" s="1" t="n">
        <v>56591</v>
      </c>
      <c r="B56592">
        <f>TEXT(56591, "[$-0E0000]yyyy-mm-dd")</f>
        <v/>
      </c>
      <c r="C56592" t="inlineStr">
        <is>
          <t>2054-11-11</t>
        </is>
      </c>
    </row>
    <row r="56593">
      <c r="A56593" s="1" t="n">
        <v>56592</v>
      </c>
      <c r="B56593">
        <f>TEXT(56592, "[$-0E0000]yyyy-mm-dd")</f>
        <v/>
      </c>
      <c r="C56593" t="inlineStr">
        <is>
          <t>2054-11-12</t>
        </is>
      </c>
    </row>
    <row r="56594">
      <c r="A56594" s="1" t="n">
        <v>56593</v>
      </c>
      <c r="B56594">
        <f>TEXT(56593, "[$-0E0000]yyyy-mm-dd")</f>
        <v/>
      </c>
      <c r="C56594" t="inlineStr">
        <is>
          <t>2054-11-13</t>
        </is>
      </c>
    </row>
    <row r="56595">
      <c r="A56595" s="1" t="n">
        <v>56594</v>
      </c>
      <c r="B56595">
        <f>TEXT(56594, "[$-0E0000]yyyy-mm-dd")</f>
        <v/>
      </c>
      <c r="C56595" t="inlineStr">
        <is>
          <t>2054-11-14</t>
        </is>
      </c>
    </row>
    <row r="56596">
      <c r="A56596" s="1" t="n">
        <v>56595</v>
      </c>
      <c r="B56596">
        <f>TEXT(56595, "[$-0E0000]yyyy-mm-dd")</f>
        <v/>
      </c>
      <c r="C56596" t="inlineStr">
        <is>
          <t>2054-11-15</t>
        </is>
      </c>
    </row>
    <row r="56597">
      <c r="A56597" s="1" t="n">
        <v>56596</v>
      </c>
      <c r="B56597">
        <f>TEXT(56596, "[$-0E0000]yyyy-mm-dd")</f>
        <v/>
      </c>
      <c r="C56597" t="inlineStr">
        <is>
          <t>2054-11-16</t>
        </is>
      </c>
    </row>
    <row r="56598">
      <c r="A56598" s="1" t="n">
        <v>56597</v>
      </c>
      <c r="B56598">
        <f>TEXT(56597, "[$-0E0000]yyyy-mm-dd")</f>
        <v/>
      </c>
      <c r="C56598" t="inlineStr">
        <is>
          <t>2054-11-17</t>
        </is>
      </c>
    </row>
    <row r="56599">
      <c r="A56599" s="1" t="n">
        <v>56598</v>
      </c>
      <c r="B56599">
        <f>TEXT(56598, "[$-0E0000]yyyy-mm-dd")</f>
        <v/>
      </c>
      <c r="C56599" t="inlineStr">
        <is>
          <t>2054-11-18</t>
        </is>
      </c>
    </row>
    <row r="56600">
      <c r="A56600" s="1" t="n">
        <v>56599</v>
      </c>
      <c r="B56600">
        <f>TEXT(56599, "[$-0E0000]yyyy-mm-dd")</f>
        <v/>
      </c>
      <c r="C56600" t="inlineStr">
        <is>
          <t>2054-11-19</t>
        </is>
      </c>
    </row>
    <row r="56601">
      <c r="A56601" s="1" t="n">
        <v>56600</v>
      </c>
      <c r="B56601">
        <f>TEXT(56600, "[$-0E0000]yyyy-mm-dd")</f>
        <v/>
      </c>
      <c r="C56601" t="inlineStr">
        <is>
          <t>2054-11-20</t>
        </is>
      </c>
    </row>
    <row r="56602">
      <c r="A56602" s="1" t="n">
        <v>56601</v>
      </c>
      <c r="B56602">
        <f>TEXT(56601, "[$-0E0000]yyyy-mm-dd")</f>
        <v/>
      </c>
      <c r="C56602" t="inlineStr">
        <is>
          <t>2054-11-21</t>
        </is>
      </c>
    </row>
    <row r="56603">
      <c r="A56603" s="1" t="n">
        <v>56602</v>
      </c>
      <c r="B56603">
        <f>TEXT(56602, "[$-0E0000]yyyy-mm-dd")</f>
        <v/>
      </c>
      <c r="C56603" t="inlineStr">
        <is>
          <t>2054-11-22</t>
        </is>
      </c>
    </row>
    <row r="56604">
      <c r="A56604" s="1" t="n">
        <v>56603</v>
      </c>
      <c r="B56604">
        <f>TEXT(56603, "[$-0E0000]yyyy-mm-dd")</f>
        <v/>
      </c>
      <c r="C56604" t="inlineStr">
        <is>
          <t>2054-11-23</t>
        </is>
      </c>
    </row>
    <row r="56605">
      <c r="A56605" s="1" t="n">
        <v>56604</v>
      </c>
      <c r="B56605">
        <f>TEXT(56604, "[$-0E0000]yyyy-mm-dd")</f>
        <v/>
      </c>
      <c r="C56605" t="inlineStr">
        <is>
          <t>2054-11-24</t>
        </is>
      </c>
    </row>
    <row r="56606">
      <c r="A56606" s="1" t="n">
        <v>56605</v>
      </c>
      <c r="B56606">
        <f>TEXT(56605, "[$-0E0000]yyyy-mm-dd")</f>
        <v/>
      </c>
      <c r="C56606" t="inlineStr">
        <is>
          <t>2054-11-25</t>
        </is>
      </c>
    </row>
    <row r="56607">
      <c r="A56607" s="1" t="n">
        <v>56606</v>
      </c>
      <c r="B56607">
        <f>TEXT(56606, "[$-0E0000]yyyy-mm-dd")</f>
        <v/>
      </c>
      <c r="C56607" t="inlineStr">
        <is>
          <t>2054-11-26</t>
        </is>
      </c>
    </row>
    <row r="56608">
      <c r="A56608" s="1" t="n">
        <v>56607</v>
      </c>
      <c r="B56608">
        <f>TEXT(56607, "[$-0E0000]yyyy-mm-dd")</f>
        <v/>
      </c>
      <c r="C56608" t="inlineStr">
        <is>
          <t>2054-11-27</t>
        </is>
      </c>
    </row>
    <row r="56609">
      <c r="A56609" s="1" t="n">
        <v>56608</v>
      </c>
      <c r="B56609">
        <f>TEXT(56608, "[$-0E0000]yyyy-mm-dd")</f>
        <v/>
      </c>
      <c r="C56609" t="inlineStr">
        <is>
          <t>2054-11-28</t>
        </is>
      </c>
    </row>
    <row r="56610">
      <c r="A56610" s="1" t="n">
        <v>56609</v>
      </c>
      <c r="B56610">
        <f>TEXT(56609, "[$-0E0000]yyyy-mm-dd")</f>
        <v/>
      </c>
      <c r="C56610" t="inlineStr">
        <is>
          <t>2054-11-29</t>
        </is>
      </c>
    </row>
    <row r="56611">
      <c r="A56611" s="1" t="n">
        <v>56610</v>
      </c>
      <c r="B56611">
        <f>TEXT(56610, "[$-0E0000]yyyy-mm-dd")</f>
        <v/>
      </c>
      <c r="C56611" t="inlineStr">
        <is>
          <t>2054-11-30</t>
        </is>
      </c>
    </row>
    <row r="56612">
      <c r="A56612" s="1" t="n">
        <v>56611</v>
      </c>
      <c r="B56612">
        <f>TEXT(56611, "[$-0E0000]yyyy-mm-dd")</f>
        <v/>
      </c>
      <c r="C56612" t="inlineStr">
        <is>
          <t>2054-12-01</t>
        </is>
      </c>
    </row>
    <row r="56613">
      <c r="A56613" s="1" t="n">
        <v>56612</v>
      </c>
      <c r="B56613">
        <f>TEXT(56612, "[$-0E0000]yyyy-mm-dd")</f>
        <v/>
      </c>
      <c r="C56613" t="inlineStr">
        <is>
          <t>2054-12-02</t>
        </is>
      </c>
    </row>
    <row r="56614">
      <c r="A56614" s="1" t="n">
        <v>56613</v>
      </c>
      <c r="B56614">
        <f>TEXT(56613, "[$-0E0000]yyyy-mm-dd")</f>
        <v/>
      </c>
      <c r="C56614" t="inlineStr">
        <is>
          <t>2054-12-03</t>
        </is>
      </c>
    </row>
    <row r="56615">
      <c r="A56615" s="1" t="n">
        <v>56614</v>
      </c>
      <c r="B56615">
        <f>TEXT(56614, "[$-0E0000]yyyy-mm-dd")</f>
        <v/>
      </c>
      <c r="C56615" t="inlineStr">
        <is>
          <t>2054-12-04</t>
        </is>
      </c>
    </row>
    <row r="56616">
      <c r="A56616" s="1" t="n">
        <v>56615</v>
      </c>
      <c r="B56616">
        <f>TEXT(56615, "[$-0E0000]yyyy-mm-dd")</f>
        <v/>
      </c>
      <c r="C56616" t="inlineStr">
        <is>
          <t>2054-12-05</t>
        </is>
      </c>
    </row>
    <row r="56617">
      <c r="A56617" s="1" t="n">
        <v>56616</v>
      </c>
      <c r="B56617">
        <f>TEXT(56616, "[$-0E0000]yyyy-mm-dd")</f>
        <v/>
      </c>
      <c r="C56617" t="inlineStr">
        <is>
          <t>2054-12-06</t>
        </is>
      </c>
    </row>
    <row r="56618">
      <c r="A56618" s="1" t="n">
        <v>56617</v>
      </c>
      <c r="B56618">
        <f>TEXT(56617, "[$-0E0000]yyyy-mm-dd")</f>
        <v/>
      </c>
      <c r="C56618" t="inlineStr">
        <is>
          <t>2054-12-07</t>
        </is>
      </c>
    </row>
    <row r="56619">
      <c r="A56619" s="1" t="n">
        <v>56618</v>
      </c>
      <c r="B56619">
        <f>TEXT(56618, "[$-0E0000]yyyy-mm-dd")</f>
        <v/>
      </c>
      <c r="C56619" t="inlineStr">
        <is>
          <t>2054-12-08</t>
        </is>
      </c>
    </row>
    <row r="56620">
      <c r="A56620" s="1" t="n">
        <v>56619</v>
      </c>
      <c r="B56620">
        <f>TEXT(56619, "[$-0E0000]yyyy-mm-dd")</f>
        <v/>
      </c>
      <c r="C56620" t="inlineStr">
        <is>
          <t>2054-12-09</t>
        </is>
      </c>
    </row>
    <row r="56621">
      <c r="A56621" s="1" t="n">
        <v>56620</v>
      </c>
      <c r="B56621">
        <f>TEXT(56620, "[$-0E0000]yyyy-mm-dd")</f>
        <v/>
      </c>
      <c r="C56621" t="inlineStr">
        <is>
          <t>2054-12-10</t>
        </is>
      </c>
    </row>
    <row r="56622">
      <c r="A56622" s="1" t="n">
        <v>56621</v>
      </c>
      <c r="B56622">
        <f>TEXT(56621, "[$-0E0000]yyyy-mm-dd")</f>
        <v/>
      </c>
      <c r="C56622" t="inlineStr">
        <is>
          <t>2054-12-11</t>
        </is>
      </c>
    </row>
    <row r="56623">
      <c r="A56623" s="1" t="n">
        <v>56622</v>
      </c>
      <c r="B56623">
        <f>TEXT(56622, "[$-0E0000]yyyy-mm-dd")</f>
        <v/>
      </c>
      <c r="C56623" t="inlineStr">
        <is>
          <t>2054-12-12</t>
        </is>
      </c>
    </row>
    <row r="56624">
      <c r="A56624" s="1" t="n">
        <v>56623</v>
      </c>
      <c r="B56624">
        <f>TEXT(56623, "[$-0E0000]yyyy-mm-dd")</f>
        <v/>
      </c>
      <c r="C56624" t="inlineStr">
        <is>
          <t>2054-12-13</t>
        </is>
      </c>
    </row>
    <row r="56625">
      <c r="A56625" s="1" t="n">
        <v>56624</v>
      </c>
      <c r="B56625">
        <f>TEXT(56624, "[$-0E0000]yyyy-mm-dd")</f>
        <v/>
      </c>
      <c r="C56625" t="inlineStr">
        <is>
          <t>2054-12-14</t>
        </is>
      </c>
    </row>
    <row r="56626">
      <c r="A56626" s="1" t="n">
        <v>56625</v>
      </c>
      <c r="B56626">
        <f>TEXT(56625, "[$-0E0000]yyyy-mm-dd")</f>
        <v/>
      </c>
      <c r="C56626" t="inlineStr">
        <is>
          <t>2054-12-15</t>
        </is>
      </c>
    </row>
    <row r="56627">
      <c r="A56627" s="1" t="n">
        <v>56626</v>
      </c>
      <c r="B56627">
        <f>TEXT(56626, "[$-0E0000]yyyy-mm-dd")</f>
        <v/>
      </c>
      <c r="C56627" t="inlineStr">
        <is>
          <t>2054-12-16</t>
        </is>
      </c>
    </row>
    <row r="56628">
      <c r="A56628" s="1" t="n">
        <v>56627</v>
      </c>
      <c r="B56628">
        <f>TEXT(56627, "[$-0E0000]yyyy-mm-dd")</f>
        <v/>
      </c>
      <c r="C56628" t="inlineStr">
        <is>
          <t>2054-12-17</t>
        </is>
      </c>
    </row>
    <row r="56629">
      <c r="A56629" s="1" t="n">
        <v>56628</v>
      </c>
      <c r="B56629">
        <f>TEXT(56628, "[$-0E0000]yyyy-mm-dd")</f>
        <v/>
      </c>
      <c r="C56629" t="inlineStr">
        <is>
          <t>2054-12-18</t>
        </is>
      </c>
    </row>
    <row r="56630">
      <c r="A56630" s="1" t="n">
        <v>56629</v>
      </c>
      <c r="B56630">
        <f>TEXT(56629, "[$-0E0000]yyyy-mm-dd")</f>
        <v/>
      </c>
      <c r="C56630" t="inlineStr">
        <is>
          <t>2054-12-19</t>
        </is>
      </c>
    </row>
    <row r="56631">
      <c r="A56631" s="1" t="n">
        <v>56630</v>
      </c>
      <c r="B56631">
        <f>TEXT(56630, "[$-0E0000]yyyy-mm-dd")</f>
        <v/>
      </c>
      <c r="C56631" t="inlineStr">
        <is>
          <t>2054-12-20</t>
        </is>
      </c>
    </row>
    <row r="56632">
      <c r="A56632" s="1" t="n">
        <v>56631</v>
      </c>
      <c r="B56632">
        <f>TEXT(56631, "[$-0E0000]yyyy-mm-dd")</f>
        <v/>
      </c>
      <c r="C56632" t="inlineStr">
        <is>
          <t>2054-12-21</t>
        </is>
      </c>
    </row>
    <row r="56633">
      <c r="A56633" s="1" t="n">
        <v>56632</v>
      </c>
      <c r="B56633">
        <f>TEXT(56632, "[$-0E0000]yyyy-mm-dd")</f>
        <v/>
      </c>
      <c r="C56633" t="inlineStr">
        <is>
          <t>2054-12-22</t>
        </is>
      </c>
    </row>
    <row r="56634">
      <c r="A56634" s="1" t="n">
        <v>56633</v>
      </c>
      <c r="B56634">
        <f>TEXT(56633, "[$-0E0000]yyyy-mm-dd")</f>
        <v/>
      </c>
      <c r="C56634" t="inlineStr">
        <is>
          <t>2054-12-23</t>
        </is>
      </c>
    </row>
    <row r="56635">
      <c r="A56635" s="1" t="n">
        <v>56634</v>
      </c>
      <c r="B56635">
        <f>TEXT(56634, "[$-0E0000]yyyy-mm-dd")</f>
        <v/>
      </c>
      <c r="C56635" t="inlineStr">
        <is>
          <t>2054-12-24</t>
        </is>
      </c>
    </row>
    <row r="56636">
      <c r="A56636" s="1" t="n">
        <v>56635</v>
      </c>
      <c r="B56636">
        <f>TEXT(56635, "[$-0E0000]yyyy-mm-dd")</f>
        <v/>
      </c>
      <c r="C56636" t="inlineStr">
        <is>
          <t>2054-12-25</t>
        </is>
      </c>
    </row>
    <row r="56637">
      <c r="A56637" s="1" t="n">
        <v>56636</v>
      </c>
      <c r="B56637">
        <f>TEXT(56636, "[$-0E0000]yyyy-mm-dd")</f>
        <v/>
      </c>
      <c r="C56637" t="inlineStr">
        <is>
          <t>2054-12-26</t>
        </is>
      </c>
    </row>
    <row r="56638">
      <c r="A56638" s="1" t="n">
        <v>56637</v>
      </c>
      <c r="B56638">
        <f>TEXT(56637, "[$-0E0000]yyyy-mm-dd")</f>
        <v/>
      </c>
      <c r="C56638" t="inlineStr">
        <is>
          <t>2054-12-27</t>
        </is>
      </c>
    </row>
    <row r="56639">
      <c r="A56639" s="1" t="n">
        <v>56638</v>
      </c>
      <c r="B56639">
        <f>TEXT(56638, "[$-0E0000]yyyy-mm-dd")</f>
        <v/>
      </c>
      <c r="C56639" t="inlineStr">
        <is>
          <t>2054-12-28</t>
        </is>
      </c>
    </row>
    <row r="56640">
      <c r="A56640" s="1" t="n">
        <v>56639</v>
      </c>
      <c r="B56640">
        <f>TEXT(56639, "[$-0E0000]yyyy-mm-dd")</f>
        <v/>
      </c>
      <c r="C56640" t="inlineStr">
        <is>
          <t>2054-12-29</t>
        </is>
      </c>
    </row>
    <row r="56641">
      <c r="A56641" s="1" t="n">
        <v>56640</v>
      </c>
      <c r="B56641">
        <f>TEXT(56640, "[$-0E0000]yyyy-mm-dd")</f>
        <v/>
      </c>
      <c r="C56641" t="inlineStr">
        <is>
          <t>2054-12-30</t>
        </is>
      </c>
    </row>
    <row r="56642">
      <c r="A56642" s="1" t="n">
        <v>56641</v>
      </c>
      <c r="B56642">
        <f>TEXT(56641, "[$-0E0000]yyyy-mm-dd")</f>
        <v/>
      </c>
      <c r="C56642" t="inlineStr">
        <is>
          <t>2055-01-01</t>
        </is>
      </c>
    </row>
    <row r="56643">
      <c r="A56643" s="1" t="n">
        <v>56642</v>
      </c>
      <c r="B56643">
        <f>TEXT(56642, "[$-0E0000]yyyy-mm-dd")</f>
        <v/>
      </c>
      <c r="C56643" t="inlineStr">
        <is>
          <t>2055-01-02</t>
        </is>
      </c>
    </row>
    <row r="56644">
      <c r="A56644" s="1" t="n">
        <v>56643</v>
      </c>
      <c r="B56644">
        <f>TEXT(56643, "[$-0E0000]yyyy-mm-dd")</f>
        <v/>
      </c>
      <c r="C56644" t="inlineStr">
        <is>
          <t>2055-01-03</t>
        </is>
      </c>
    </row>
    <row r="56645">
      <c r="A56645" s="1" t="n">
        <v>56644</v>
      </c>
      <c r="B56645">
        <f>TEXT(56644, "[$-0E0000]yyyy-mm-dd")</f>
        <v/>
      </c>
      <c r="C56645" t="inlineStr">
        <is>
          <t>2055-01-04</t>
        </is>
      </c>
    </row>
    <row r="56646">
      <c r="A56646" s="1" t="n">
        <v>56645</v>
      </c>
      <c r="B56646">
        <f>TEXT(56645, "[$-0E0000]yyyy-mm-dd")</f>
        <v/>
      </c>
      <c r="C56646" t="inlineStr">
        <is>
          <t>2055-01-05</t>
        </is>
      </c>
    </row>
    <row r="56647">
      <c r="A56647" s="1" t="n">
        <v>56646</v>
      </c>
      <c r="B56647">
        <f>TEXT(56646, "[$-0E0000]yyyy-mm-dd")</f>
        <v/>
      </c>
      <c r="C56647" t="inlineStr">
        <is>
          <t>2055-01-06</t>
        </is>
      </c>
    </row>
    <row r="56648">
      <c r="A56648" s="1" t="n">
        <v>56647</v>
      </c>
      <c r="B56648">
        <f>TEXT(56647, "[$-0E0000]yyyy-mm-dd")</f>
        <v/>
      </c>
      <c r="C56648" t="inlineStr">
        <is>
          <t>2055-01-07</t>
        </is>
      </c>
    </row>
    <row r="56649">
      <c r="A56649" s="1" t="n">
        <v>56648</v>
      </c>
      <c r="B56649">
        <f>TEXT(56648, "[$-0E0000]yyyy-mm-dd")</f>
        <v/>
      </c>
      <c r="C56649" t="inlineStr">
        <is>
          <t>2055-01-08</t>
        </is>
      </c>
    </row>
    <row r="56650">
      <c r="A56650" s="1" t="n">
        <v>56649</v>
      </c>
      <c r="B56650">
        <f>TEXT(56649, "[$-0E0000]yyyy-mm-dd")</f>
        <v/>
      </c>
      <c r="C56650" t="inlineStr">
        <is>
          <t>2055-01-09</t>
        </is>
      </c>
    </row>
    <row r="56651">
      <c r="A56651" s="1" t="n">
        <v>56650</v>
      </c>
      <c r="B56651">
        <f>TEXT(56650, "[$-0E0000]yyyy-mm-dd")</f>
        <v/>
      </c>
      <c r="C56651" t="inlineStr">
        <is>
          <t>2055-01-10</t>
        </is>
      </c>
    </row>
    <row r="56652">
      <c r="A56652" s="1" t="n">
        <v>56651</v>
      </c>
      <c r="B56652">
        <f>TEXT(56651, "[$-0E0000]yyyy-mm-dd")</f>
        <v/>
      </c>
      <c r="C56652" t="inlineStr">
        <is>
          <t>2055-01-11</t>
        </is>
      </c>
    </row>
    <row r="56653">
      <c r="A56653" s="1" t="n">
        <v>56652</v>
      </c>
      <c r="B56653">
        <f>TEXT(56652, "[$-0E0000]yyyy-mm-dd")</f>
        <v/>
      </c>
      <c r="C56653" t="inlineStr">
        <is>
          <t>2055-01-12</t>
        </is>
      </c>
    </row>
    <row r="56654">
      <c r="A56654" s="1" t="n">
        <v>56653</v>
      </c>
      <c r="B56654">
        <f>TEXT(56653, "[$-0E0000]yyyy-mm-dd")</f>
        <v/>
      </c>
      <c r="C56654" t="inlineStr">
        <is>
          <t>2055-01-13</t>
        </is>
      </c>
    </row>
    <row r="56655">
      <c r="A56655" s="1" t="n">
        <v>56654</v>
      </c>
      <c r="B56655">
        <f>TEXT(56654, "[$-0E0000]yyyy-mm-dd")</f>
        <v/>
      </c>
      <c r="C56655" t="inlineStr">
        <is>
          <t>2055-01-14</t>
        </is>
      </c>
    </row>
    <row r="56656">
      <c r="A56656" s="1" t="n">
        <v>56655</v>
      </c>
      <c r="B56656">
        <f>TEXT(56655, "[$-0E0000]yyyy-mm-dd")</f>
        <v/>
      </c>
      <c r="C56656" t="inlineStr">
        <is>
          <t>2055-01-15</t>
        </is>
      </c>
    </row>
    <row r="56657">
      <c r="A56657" s="1" t="n">
        <v>56656</v>
      </c>
      <c r="B56657">
        <f>TEXT(56656, "[$-0E0000]yyyy-mm-dd")</f>
        <v/>
      </c>
      <c r="C56657" t="inlineStr">
        <is>
          <t>2055-01-16</t>
        </is>
      </c>
    </row>
    <row r="56658">
      <c r="A56658" s="1" t="n">
        <v>56657</v>
      </c>
      <c r="B56658">
        <f>TEXT(56657, "[$-0E0000]yyyy-mm-dd")</f>
        <v/>
      </c>
      <c r="C56658" t="inlineStr">
        <is>
          <t>2055-01-17</t>
        </is>
      </c>
    </row>
    <row r="56659">
      <c r="A56659" s="1" t="n">
        <v>56658</v>
      </c>
      <c r="B56659">
        <f>TEXT(56658, "[$-0E0000]yyyy-mm-dd")</f>
        <v/>
      </c>
      <c r="C56659" t="inlineStr">
        <is>
          <t>2055-01-18</t>
        </is>
      </c>
    </row>
    <row r="56660">
      <c r="A56660" s="1" t="n">
        <v>56659</v>
      </c>
      <c r="B56660">
        <f>TEXT(56659, "[$-0E0000]yyyy-mm-dd")</f>
        <v/>
      </c>
      <c r="C56660" t="inlineStr">
        <is>
          <t>2055-01-19</t>
        </is>
      </c>
    </row>
    <row r="56661">
      <c r="A56661" s="1" t="n">
        <v>56660</v>
      </c>
      <c r="B56661">
        <f>TEXT(56660, "[$-0E0000]yyyy-mm-dd")</f>
        <v/>
      </c>
      <c r="C56661" t="inlineStr">
        <is>
          <t>2055-01-20</t>
        </is>
      </c>
    </row>
    <row r="56662">
      <c r="A56662" s="1" t="n">
        <v>56661</v>
      </c>
      <c r="B56662">
        <f>TEXT(56661, "[$-0E0000]yyyy-mm-dd")</f>
        <v/>
      </c>
      <c r="C56662" t="inlineStr">
        <is>
          <t>2055-01-21</t>
        </is>
      </c>
    </row>
    <row r="56663">
      <c r="A56663" s="1" t="n">
        <v>56662</v>
      </c>
      <c r="B56663">
        <f>TEXT(56662, "[$-0E0000]yyyy-mm-dd")</f>
        <v/>
      </c>
      <c r="C56663" t="inlineStr">
        <is>
          <t>2055-01-22</t>
        </is>
      </c>
    </row>
    <row r="56664">
      <c r="A56664" s="1" t="n">
        <v>56663</v>
      </c>
      <c r="B56664">
        <f>TEXT(56663, "[$-0E0000]yyyy-mm-dd")</f>
        <v/>
      </c>
      <c r="C56664" t="inlineStr">
        <is>
          <t>2055-01-23</t>
        </is>
      </c>
    </row>
    <row r="56665">
      <c r="A56665" s="1" t="n">
        <v>56664</v>
      </c>
      <c r="B56665">
        <f>TEXT(56664, "[$-0E0000]yyyy-mm-dd")</f>
        <v/>
      </c>
      <c r="C56665" t="inlineStr">
        <is>
          <t>2055-01-24</t>
        </is>
      </c>
    </row>
    <row r="56666">
      <c r="A56666" s="1" t="n">
        <v>56665</v>
      </c>
      <c r="B56666">
        <f>TEXT(56665, "[$-0E0000]yyyy-mm-dd")</f>
        <v/>
      </c>
      <c r="C56666" t="inlineStr">
        <is>
          <t>2055-01-25</t>
        </is>
      </c>
    </row>
    <row r="56667">
      <c r="A56667" s="1" t="n">
        <v>56666</v>
      </c>
      <c r="B56667">
        <f>TEXT(56666, "[$-0E0000]yyyy-mm-dd")</f>
        <v/>
      </c>
      <c r="C56667" t="inlineStr">
        <is>
          <t>2055-01-26</t>
        </is>
      </c>
    </row>
    <row r="56668">
      <c r="A56668" s="1" t="n">
        <v>56667</v>
      </c>
      <c r="B56668">
        <f>TEXT(56667, "[$-0E0000]yyyy-mm-dd")</f>
        <v/>
      </c>
      <c r="C56668" t="inlineStr">
        <is>
          <t>2055-01-27</t>
        </is>
      </c>
    </row>
    <row r="56669">
      <c r="A56669" s="1" t="n">
        <v>56668</v>
      </c>
      <c r="B56669">
        <f>TEXT(56668, "[$-0E0000]yyyy-mm-dd")</f>
        <v/>
      </c>
      <c r="C56669" t="inlineStr">
        <is>
          <t>2055-01-28</t>
        </is>
      </c>
    </row>
    <row r="56670">
      <c r="A56670" s="1" t="n">
        <v>56669</v>
      </c>
      <c r="B56670">
        <f>TEXT(56669, "[$-0E0000]yyyy-mm-dd")</f>
        <v/>
      </c>
      <c r="C56670" t="inlineStr">
        <is>
          <t>2055-01-29</t>
        </is>
      </c>
    </row>
    <row r="56671">
      <c r="A56671" s="1" t="n">
        <v>56670</v>
      </c>
      <c r="B56671">
        <f>TEXT(56670, "[$-0E0000]yyyy-mm-dd")</f>
        <v/>
      </c>
      <c r="C56671" t="inlineStr">
        <is>
          <t>2055-02-01</t>
        </is>
      </c>
    </row>
    <row r="56672">
      <c r="A56672" s="1" t="n">
        <v>56671</v>
      </c>
      <c r="B56672">
        <f>TEXT(56671, "[$-0E0000]yyyy-mm-dd")</f>
        <v/>
      </c>
      <c r="C56672" t="inlineStr">
        <is>
          <t>2055-02-02</t>
        </is>
      </c>
    </row>
    <row r="56673">
      <c r="A56673" s="1" t="n">
        <v>56672</v>
      </c>
      <c r="B56673">
        <f>TEXT(56672, "[$-0E0000]yyyy-mm-dd")</f>
        <v/>
      </c>
      <c r="C56673" t="inlineStr">
        <is>
          <t>2055-02-03</t>
        </is>
      </c>
    </row>
    <row r="56674">
      <c r="A56674" s="1" t="n">
        <v>56673</v>
      </c>
      <c r="B56674">
        <f>TEXT(56673, "[$-0E0000]yyyy-mm-dd")</f>
        <v/>
      </c>
      <c r="C56674" t="inlineStr">
        <is>
          <t>2055-02-04</t>
        </is>
      </c>
    </row>
    <row r="56675">
      <c r="A56675" s="1" t="n">
        <v>56674</v>
      </c>
      <c r="B56675">
        <f>TEXT(56674, "[$-0E0000]yyyy-mm-dd")</f>
        <v/>
      </c>
      <c r="C56675" t="inlineStr">
        <is>
          <t>2055-02-05</t>
        </is>
      </c>
    </row>
    <row r="56676">
      <c r="A56676" s="1" t="n">
        <v>56675</v>
      </c>
      <c r="B56676">
        <f>TEXT(56675, "[$-0E0000]yyyy-mm-dd")</f>
        <v/>
      </c>
      <c r="C56676" t="inlineStr">
        <is>
          <t>2055-02-06</t>
        </is>
      </c>
    </row>
    <row r="56677">
      <c r="A56677" s="1" t="n">
        <v>56676</v>
      </c>
      <c r="B56677">
        <f>TEXT(56676, "[$-0E0000]yyyy-mm-dd")</f>
        <v/>
      </c>
      <c r="C56677" t="inlineStr">
        <is>
          <t>2055-02-07</t>
        </is>
      </c>
    </row>
    <row r="56678">
      <c r="A56678" s="1" t="n">
        <v>56677</v>
      </c>
      <c r="B56678">
        <f>TEXT(56677, "[$-0E0000]yyyy-mm-dd")</f>
        <v/>
      </c>
      <c r="C56678" t="inlineStr">
        <is>
          <t>2055-02-08</t>
        </is>
      </c>
    </row>
    <row r="56679">
      <c r="A56679" s="1" t="n">
        <v>56678</v>
      </c>
      <c r="B56679">
        <f>TEXT(56678, "[$-0E0000]yyyy-mm-dd")</f>
        <v/>
      </c>
      <c r="C56679" t="inlineStr">
        <is>
          <t>2055-02-09</t>
        </is>
      </c>
    </row>
    <row r="56680">
      <c r="A56680" s="1" t="n">
        <v>56679</v>
      </c>
      <c r="B56680">
        <f>TEXT(56679, "[$-0E0000]yyyy-mm-dd")</f>
        <v/>
      </c>
      <c r="C56680" t="inlineStr">
        <is>
          <t>2055-02-10</t>
        </is>
      </c>
    </row>
    <row r="56681">
      <c r="A56681" s="1" t="n">
        <v>56680</v>
      </c>
      <c r="B56681">
        <f>TEXT(56680, "[$-0E0000]yyyy-mm-dd")</f>
        <v/>
      </c>
      <c r="C56681" t="inlineStr">
        <is>
          <t>2055-02-11</t>
        </is>
      </c>
    </row>
    <row r="56682">
      <c r="A56682" s="1" t="n">
        <v>56681</v>
      </c>
      <c r="B56682">
        <f>TEXT(56681, "[$-0E0000]yyyy-mm-dd")</f>
        <v/>
      </c>
      <c r="C56682" t="inlineStr">
        <is>
          <t>2055-02-12</t>
        </is>
      </c>
    </row>
    <row r="56683">
      <c r="A56683" s="1" t="n">
        <v>56682</v>
      </c>
      <c r="B56683">
        <f>TEXT(56682, "[$-0E0000]yyyy-mm-dd")</f>
        <v/>
      </c>
      <c r="C56683" t="inlineStr">
        <is>
          <t>2055-02-13</t>
        </is>
      </c>
    </row>
    <row r="56684">
      <c r="A56684" s="1" t="n">
        <v>56683</v>
      </c>
      <c r="B56684">
        <f>TEXT(56683, "[$-0E0000]yyyy-mm-dd")</f>
        <v/>
      </c>
      <c r="C56684" t="inlineStr">
        <is>
          <t>2055-02-14</t>
        </is>
      </c>
    </row>
    <row r="56685">
      <c r="A56685" s="1" t="n">
        <v>56684</v>
      </c>
      <c r="B56685">
        <f>TEXT(56684, "[$-0E0000]yyyy-mm-dd")</f>
        <v/>
      </c>
      <c r="C56685" t="inlineStr">
        <is>
          <t>2055-02-15</t>
        </is>
      </c>
    </row>
    <row r="56686">
      <c r="A56686" s="1" t="n">
        <v>56685</v>
      </c>
      <c r="B56686">
        <f>TEXT(56685, "[$-0E0000]yyyy-mm-dd")</f>
        <v/>
      </c>
      <c r="C56686" t="inlineStr">
        <is>
          <t>2055-02-16</t>
        </is>
      </c>
    </row>
    <row r="56687">
      <c r="A56687" s="1" t="n">
        <v>56686</v>
      </c>
      <c r="B56687">
        <f>TEXT(56686, "[$-0E0000]yyyy-mm-dd")</f>
        <v/>
      </c>
      <c r="C56687" t="inlineStr">
        <is>
          <t>2055-02-17</t>
        </is>
      </c>
    </row>
    <row r="56688">
      <c r="A56688" s="1" t="n">
        <v>56687</v>
      </c>
      <c r="B56688">
        <f>TEXT(56687, "[$-0E0000]yyyy-mm-dd")</f>
        <v/>
      </c>
      <c r="C56688" t="inlineStr">
        <is>
          <t>2055-02-18</t>
        </is>
      </c>
    </row>
    <row r="56689">
      <c r="A56689" s="1" t="n">
        <v>56688</v>
      </c>
      <c r="B56689">
        <f>TEXT(56688, "[$-0E0000]yyyy-mm-dd")</f>
        <v/>
      </c>
      <c r="C56689" t="inlineStr">
        <is>
          <t>2055-02-19</t>
        </is>
      </c>
    </row>
    <row r="56690">
      <c r="A56690" s="1" t="n">
        <v>56689</v>
      </c>
      <c r="B56690">
        <f>TEXT(56689, "[$-0E0000]yyyy-mm-dd")</f>
        <v/>
      </c>
      <c r="C56690" t="inlineStr">
        <is>
          <t>2055-02-20</t>
        </is>
      </c>
    </row>
    <row r="56691">
      <c r="A56691" s="1" t="n">
        <v>56690</v>
      </c>
      <c r="B56691">
        <f>TEXT(56690, "[$-0E0000]yyyy-mm-dd")</f>
        <v/>
      </c>
      <c r="C56691" t="inlineStr">
        <is>
          <t>2055-02-21</t>
        </is>
      </c>
    </row>
    <row r="56692">
      <c r="A56692" s="1" t="n">
        <v>56691</v>
      </c>
      <c r="B56692">
        <f>TEXT(56691, "[$-0E0000]yyyy-mm-dd")</f>
        <v/>
      </c>
      <c r="C56692" t="inlineStr">
        <is>
          <t>2055-02-22</t>
        </is>
      </c>
    </row>
    <row r="56693">
      <c r="A56693" s="1" t="n">
        <v>56692</v>
      </c>
      <c r="B56693">
        <f>TEXT(56692, "[$-0E0000]yyyy-mm-dd")</f>
        <v/>
      </c>
      <c r="C56693" t="inlineStr">
        <is>
          <t>2055-02-23</t>
        </is>
      </c>
    </row>
    <row r="56694">
      <c r="A56694" s="1" t="n">
        <v>56693</v>
      </c>
      <c r="B56694">
        <f>TEXT(56693, "[$-0E0000]yyyy-mm-dd")</f>
        <v/>
      </c>
      <c r="C56694" t="inlineStr">
        <is>
          <t>2055-02-24</t>
        </is>
      </c>
    </row>
    <row r="56695">
      <c r="A56695" s="1" t="n">
        <v>56694</v>
      </c>
      <c r="B56695">
        <f>TEXT(56694, "[$-0E0000]yyyy-mm-dd")</f>
        <v/>
      </c>
      <c r="C56695" t="inlineStr">
        <is>
          <t>2055-02-25</t>
        </is>
      </c>
    </row>
    <row r="56696">
      <c r="A56696" s="1" t="n">
        <v>56695</v>
      </c>
      <c r="B56696">
        <f>TEXT(56695, "[$-0E0000]yyyy-mm-dd")</f>
        <v/>
      </c>
      <c r="C56696" t="inlineStr">
        <is>
          <t>2055-02-26</t>
        </is>
      </c>
    </row>
    <row r="56697">
      <c r="A56697" s="1" t="n">
        <v>56696</v>
      </c>
      <c r="B56697">
        <f>TEXT(56696, "[$-0E0000]yyyy-mm-dd")</f>
        <v/>
      </c>
      <c r="C56697" t="inlineStr">
        <is>
          <t>2055-02-27</t>
        </is>
      </c>
    </row>
    <row r="56698">
      <c r="A56698" s="1" t="n">
        <v>56697</v>
      </c>
      <c r="B56698">
        <f>TEXT(56697, "[$-0E0000]yyyy-mm-dd")</f>
        <v/>
      </c>
      <c r="C56698" t="inlineStr">
        <is>
          <t>2055-02-28</t>
        </is>
      </c>
    </row>
    <row r="56699">
      <c r="A56699" s="1" t="n">
        <v>56698</v>
      </c>
      <c r="B56699">
        <f>TEXT(56698, "[$-0E0000]yyyy-mm-dd")</f>
        <v/>
      </c>
      <c r="C56699" t="inlineStr">
        <is>
          <t>2055-02-29</t>
        </is>
      </c>
    </row>
    <row r="56700">
      <c r="A56700" s="1" t="n">
        <v>56699</v>
      </c>
      <c r="B56700">
        <f>TEXT(56699, "[$-0E0000]yyyy-mm-dd")</f>
        <v/>
      </c>
      <c r="C56700" t="inlineStr">
        <is>
          <t>2055-02-30</t>
        </is>
      </c>
    </row>
    <row r="56701">
      <c r="A56701" s="1" t="n">
        <v>56700</v>
      </c>
      <c r="B56701">
        <f>TEXT(56700, "[$-0E0000]yyyy-mm-dd")</f>
        <v/>
      </c>
      <c r="C56701" t="inlineStr">
        <is>
          <t>2055-03-01</t>
        </is>
      </c>
    </row>
    <row r="56702">
      <c r="A56702" s="1" t="n">
        <v>56701</v>
      </c>
      <c r="B56702">
        <f>TEXT(56701, "[$-0E0000]yyyy-mm-dd")</f>
        <v/>
      </c>
      <c r="C56702" t="inlineStr">
        <is>
          <t>2055-03-02</t>
        </is>
      </c>
    </row>
    <row r="56703">
      <c r="A56703" s="1" t="n">
        <v>56702</v>
      </c>
      <c r="B56703">
        <f>TEXT(56702, "[$-0E0000]yyyy-mm-dd")</f>
        <v/>
      </c>
      <c r="C56703" t="inlineStr">
        <is>
          <t>2055-03-03</t>
        </is>
      </c>
    </row>
    <row r="56704">
      <c r="A56704" s="1" t="n">
        <v>56703</v>
      </c>
      <c r="B56704">
        <f>TEXT(56703, "[$-0E0000]yyyy-mm-dd")</f>
        <v/>
      </c>
      <c r="C56704" t="inlineStr">
        <is>
          <t>2055-03-04</t>
        </is>
      </c>
    </row>
    <row r="56705">
      <c r="A56705" s="1" t="n">
        <v>56704</v>
      </c>
      <c r="B56705">
        <f>TEXT(56704, "[$-0E0000]yyyy-mm-dd")</f>
        <v/>
      </c>
      <c r="C56705" t="inlineStr">
        <is>
          <t>2055-03-05</t>
        </is>
      </c>
    </row>
    <row r="56706">
      <c r="A56706" s="1" t="n">
        <v>56705</v>
      </c>
      <c r="B56706">
        <f>TEXT(56705, "[$-0E0000]yyyy-mm-dd")</f>
        <v/>
      </c>
      <c r="C56706" t="inlineStr">
        <is>
          <t>2055-03-06</t>
        </is>
      </c>
    </row>
    <row r="56707">
      <c r="A56707" s="1" t="n">
        <v>56706</v>
      </c>
      <c r="B56707">
        <f>TEXT(56706, "[$-0E0000]yyyy-mm-dd")</f>
        <v/>
      </c>
      <c r="C56707" t="inlineStr">
        <is>
          <t>2055-03-07</t>
        </is>
      </c>
    </row>
    <row r="56708">
      <c r="A56708" s="1" t="n">
        <v>56707</v>
      </c>
      <c r="B56708">
        <f>TEXT(56707, "[$-0E0000]yyyy-mm-dd")</f>
        <v/>
      </c>
      <c r="C56708" t="inlineStr">
        <is>
          <t>2055-03-08</t>
        </is>
      </c>
    </row>
    <row r="56709">
      <c r="A56709" s="1" t="n">
        <v>56708</v>
      </c>
      <c r="B56709">
        <f>TEXT(56708, "[$-0E0000]yyyy-mm-dd")</f>
        <v/>
      </c>
      <c r="C56709" t="inlineStr">
        <is>
          <t>2055-03-09</t>
        </is>
      </c>
    </row>
    <row r="56710">
      <c r="A56710" s="1" t="n">
        <v>56709</v>
      </c>
      <c r="B56710">
        <f>TEXT(56709, "[$-0E0000]yyyy-mm-dd")</f>
        <v/>
      </c>
      <c r="C56710" t="inlineStr">
        <is>
          <t>2055-03-10</t>
        </is>
      </c>
    </row>
    <row r="56711">
      <c r="A56711" s="1" t="n">
        <v>56710</v>
      </c>
      <c r="B56711">
        <f>TEXT(56710, "[$-0E0000]yyyy-mm-dd")</f>
        <v/>
      </c>
      <c r="C56711" t="inlineStr">
        <is>
          <t>2055-03-11</t>
        </is>
      </c>
    </row>
    <row r="56712">
      <c r="A56712" s="1" t="n">
        <v>56711</v>
      </c>
      <c r="B56712">
        <f>TEXT(56711, "[$-0E0000]yyyy-mm-dd")</f>
        <v/>
      </c>
      <c r="C56712" t="inlineStr">
        <is>
          <t>2055-03-12</t>
        </is>
      </c>
    </row>
    <row r="56713">
      <c r="A56713" s="1" t="n">
        <v>56712</v>
      </c>
      <c r="B56713">
        <f>TEXT(56712, "[$-0E0000]yyyy-mm-dd")</f>
        <v/>
      </c>
      <c r="C56713" t="inlineStr">
        <is>
          <t>2055-03-13</t>
        </is>
      </c>
    </row>
    <row r="56714">
      <c r="A56714" s="1" t="n">
        <v>56713</v>
      </c>
      <c r="B56714">
        <f>TEXT(56713, "[$-0E0000]yyyy-mm-dd")</f>
        <v/>
      </c>
      <c r="C56714" t="inlineStr">
        <is>
          <t>2055-03-14</t>
        </is>
      </c>
    </row>
    <row r="56715">
      <c r="A56715" s="1" t="n">
        <v>56714</v>
      </c>
      <c r="B56715">
        <f>TEXT(56714, "[$-0E0000]yyyy-mm-dd")</f>
        <v/>
      </c>
      <c r="C56715" t="inlineStr">
        <is>
          <t>2055-03-15</t>
        </is>
      </c>
    </row>
    <row r="56716">
      <c r="A56716" s="1" t="n">
        <v>56715</v>
      </c>
      <c r="B56716">
        <f>TEXT(56715, "[$-0E0000]yyyy-mm-dd")</f>
        <v/>
      </c>
      <c r="C56716" t="inlineStr">
        <is>
          <t>2055-03-16</t>
        </is>
      </c>
    </row>
    <row r="56717">
      <c r="A56717" s="1" t="n">
        <v>56716</v>
      </c>
      <c r="B56717">
        <f>TEXT(56716, "[$-0E0000]yyyy-mm-dd")</f>
        <v/>
      </c>
      <c r="C56717" t="inlineStr">
        <is>
          <t>2055-03-17</t>
        </is>
      </c>
    </row>
    <row r="56718">
      <c r="A56718" s="1" t="n">
        <v>56717</v>
      </c>
      <c r="B56718">
        <f>TEXT(56717, "[$-0E0000]yyyy-mm-dd")</f>
        <v/>
      </c>
      <c r="C56718" t="inlineStr">
        <is>
          <t>2055-03-18</t>
        </is>
      </c>
    </row>
    <row r="56719">
      <c r="A56719" s="1" t="n">
        <v>56718</v>
      </c>
      <c r="B56719">
        <f>TEXT(56718, "[$-0E0000]yyyy-mm-dd")</f>
        <v/>
      </c>
      <c r="C56719" t="inlineStr">
        <is>
          <t>2055-03-19</t>
        </is>
      </c>
    </row>
    <row r="56720">
      <c r="A56720" s="1" t="n">
        <v>56719</v>
      </c>
      <c r="B56720">
        <f>TEXT(56719, "[$-0E0000]yyyy-mm-dd")</f>
        <v/>
      </c>
      <c r="C56720" t="inlineStr">
        <is>
          <t>2055-03-20</t>
        </is>
      </c>
    </row>
    <row r="56721">
      <c r="A56721" s="1" t="n">
        <v>56720</v>
      </c>
      <c r="B56721">
        <f>TEXT(56720, "[$-0E0000]yyyy-mm-dd")</f>
        <v/>
      </c>
      <c r="C56721" t="inlineStr">
        <is>
          <t>2055-03-21</t>
        </is>
      </c>
    </row>
    <row r="56722">
      <c r="A56722" s="1" t="n">
        <v>56721</v>
      </c>
      <c r="B56722">
        <f>TEXT(56721, "[$-0E0000]yyyy-mm-dd")</f>
        <v/>
      </c>
      <c r="C56722" t="inlineStr">
        <is>
          <t>2055-03-22</t>
        </is>
      </c>
    </row>
    <row r="56723">
      <c r="A56723" s="1" t="n">
        <v>56722</v>
      </c>
      <c r="B56723">
        <f>TEXT(56722, "[$-0E0000]yyyy-mm-dd")</f>
        <v/>
      </c>
      <c r="C56723" t="inlineStr">
        <is>
          <t>2055-03-23</t>
        </is>
      </c>
    </row>
    <row r="56724">
      <c r="A56724" s="1" t="n">
        <v>56723</v>
      </c>
      <c r="B56724">
        <f>TEXT(56723, "[$-0E0000]yyyy-mm-dd")</f>
        <v/>
      </c>
      <c r="C56724" t="inlineStr">
        <is>
          <t>2055-03-24</t>
        </is>
      </c>
    </row>
    <row r="56725">
      <c r="A56725" s="1" t="n">
        <v>56724</v>
      </c>
      <c r="B56725">
        <f>TEXT(56724, "[$-0E0000]yyyy-mm-dd")</f>
        <v/>
      </c>
      <c r="C56725" t="inlineStr">
        <is>
          <t>2055-03-25</t>
        </is>
      </c>
    </row>
    <row r="56726">
      <c r="A56726" s="1" t="n">
        <v>56725</v>
      </c>
      <c r="B56726">
        <f>TEXT(56725, "[$-0E0000]yyyy-mm-dd")</f>
        <v/>
      </c>
      <c r="C56726" t="inlineStr">
        <is>
          <t>2055-03-26</t>
        </is>
      </c>
    </row>
    <row r="56727">
      <c r="A56727" s="1" t="n">
        <v>56726</v>
      </c>
      <c r="B56727">
        <f>TEXT(56726, "[$-0E0000]yyyy-mm-dd")</f>
        <v/>
      </c>
      <c r="C56727" t="inlineStr">
        <is>
          <t>2055-03-27</t>
        </is>
      </c>
    </row>
    <row r="56728">
      <c r="A56728" s="1" t="n">
        <v>56727</v>
      </c>
      <c r="B56728">
        <f>TEXT(56727, "[$-0E0000]yyyy-mm-dd")</f>
        <v/>
      </c>
      <c r="C56728" t="inlineStr">
        <is>
          <t>2055-03-28</t>
        </is>
      </c>
    </row>
    <row r="56729">
      <c r="A56729" s="1" t="n">
        <v>56728</v>
      </c>
      <c r="B56729">
        <f>TEXT(56728, "[$-0E0000]yyyy-mm-dd")</f>
        <v/>
      </c>
      <c r="C56729" t="inlineStr">
        <is>
          <t>2055-03-29</t>
        </is>
      </c>
    </row>
    <row r="56730">
      <c r="A56730" s="1" t="n">
        <v>56729</v>
      </c>
      <c r="B56730">
        <f>TEXT(56729, "[$-0E0000]yyyy-mm-dd")</f>
        <v/>
      </c>
      <c r="C56730" t="inlineStr">
        <is>
          <t>2055-03-30</t>
        </is>
      </c>
    </row>
    <row r="56731">
      <c r="A56731" s="1" t="n">
        <v>56730</v>
      </c>
      <c r="B56731">
        <f>TEXT(56730, "[$-0E0000]yyyy-mm-dd")</f>
        <v/>
      </c>
      <c r="C56731" t="inlineStr">
        <is>
          <t>2055-04-01</t>
        </is>
      </c>
    </row>
    <row r="56732">
      <c r="A56732" s="1" t="n">
        <v>56731</v>
      </c>
      <c r="B56732">
        <f>TEXT(56731, "[$-0E0000]yyyy-mm-dd")</f>
        <v/>
      </c>
      <c r="C56732" t="inlineStr">
        <is>
          <t>2055-04-02</t>
        </is>
      </c>
    </row>
    <row r="56733">
      <c r="A56733" s="1" t="n">
        <v>56732</v>
      </c>
      <c r="B56733">
        <f>TEXT(56732, "[$-0E0000]yyyy-mm-dd")</f>
        <v/>
      </c>
      <c r="C56733" t="inlineStr">
        <is>
          <t>2055-04-03</t>
        </is>
      </c>
    </row>
    <row r="56734">
      <c r="A56734" s="1" t="n">
        <v>56733</v>
      </c>
      <c r="B56734">
        <f>TEXT(56733, "[$-0E0000]yyyy-mm-dd")</f>
        <v/>
      </c>
      <c r="C56734" t="inlineStr">
        <is>
          <t>2055-04-04</t>
        </is>
      </c>
    </row>
    <row r="56735">
      <c r="A56735" s="1" t="n">
        <v>56734</v>
      </c>
      <c r="B56735">
        <f>TEXT(56734, "[$-0E0000]yyyy-mm-dd")</f>
        <v/>
      </c>
      <c r="C56735" t="inlineStr">
        <is>
          <t>2055-04-05</t>
        </is>
      </c>
    </row>
    <row r="56736">
      <c r="A56736" s="1" t="n">
        <v>56735</v>
      </c>
      <c r="B56736">
        <f>TEXT(56735, "[$-0E0000]yyyy-mm-dd")</f>
        <v/>
      </c>
      <c r="C56736" t="inlineStr">
        <is>
          <t>2055-04-06</t>
        </is>
      </c>
    </row>
    <row r="56737">
      <c r="A56737" s="1" t="n">
        <v>56736</v>
      </c>
      <c r="B56737">
        <f>TEXT(56736, "[$-0E0000]yyyy-mm-dd")</f>
        <v/>
      </c>
      <c r="C56737" t="inlineStr">
        <is>
          <t>2055-04-07</t>
        </is>
      </c>
    </row>
    <row r="56738">
      <c r="A56738" s="1" t="n">
        <v>56737</v>
      </c>
      <c r="B56738">
        <f>TEXT(56737, "[$-0E0000]yyyy-mm-dd")</f>
        <v/>
      </c>
      <c r="C56738" t="inlineStr">
        <is>
          <t>2055-04-08</t>
        </is>
      </c>
    </row>
    <row r="56739">
      <c r="A56739" s="1" t="n">
        <v>56738</v>
      </c>
      <c r="B56739">
        <f>TEXT(56738, "[$-0E0000]yyyy-mm-dd")</f>
        <v/>
      </c>
      <c r="C56739" t="inlineStr">
        <is>
          <t>2055-04-09</t>
        </is>
      </c>
    </row>
    <row r="56740">
      <c r="A56740" s="1" t="n">
        <v>56739</v>
      </c>
      <c r="B56740">
        <f>TEXT(56739, "[$-0E0000]yyyy-mm-dd")</f>
        <v/>
      </c>
      <c r="C56740" t="inlineStr">
        <is>
          <t>2055-04-10</t>
        </is>
      </c>
    </row>
    <row r="56741">
      <c r="A56741" s="1" t="n">
        <v>56740</v>
      </c>
      <c r="B56741">
        <f>TEXT(56740, "[$-0E0000]yyyy-mm-dd")</f>
        <v/>
      </c>
      <c r="C56741" t="inlineStr">
        <is>
          <t>2055-04-11</t>
        </is>
      </c>
    </row>
    <row r="56742">
      <c r="A56742" s="1" t="n">
        <v>56741</v>
      </c>
      <c r="B56742">
        <f>TEXT(56741, "[$-0E0000]yyyy-mm-dd")</f>
        <v/>
      </c>
      <c r="C56742" t="inlineStr">
        <is>
          <t>2055-04-12</t>
        </is>
      </c>
    </row>
    <row r="56743">
      <c r="A56743" s="1" t="n">
        <v>56742</v>
      </c>
      <c r="B56743">
        <f>TEXT(56742, "[$-0E0000]yyyy-mm-dd")</f>
        <v/>
      </c>
      <c r="C56743" t="inlineStr">
        <is>
          <t>2055-04-13</t>
        </is>
      </c>
    </row>
    <row r="56744">
      <c r="A56744" s="1" t="n">
        <v>56743</v>
      </c>
      <c r="B56744">
        <f>TEXT(56743, "[$-0E0000]yyyy-mm-dd")</f>
        <v/>
      </c>
      <c r="C56744" t="inlineStr">
        <is>
          <t>2055-04-14</t>
        </is>
      </c>
    </row>
    <row r="56745">
      <c r="A56745" s="1" t="n">
        <v>56744</v>
      </c>
      <c r="B56745">
        <f>TEXT(56744, "[$-0E0000]yyyy-mm-dd")</f>
        <v/>
      </c>
      <c r="C56745" t="inlineStr">
        <is>
          <t>2055-04-15</t>
        </is>
      </c>
    </row>
    <row r="56746">
      <c r="A56746" s="1" t="n">
        <v>56745</v>
      </c>
      <c r="B56746">
        <f>TEXT(56745, "[$-0E0000]yyyy-mm-dd")</f>
        <v/>
      </c>
      <c r="C56746" t="inlineStr">
        <is>
          <t>2055-04-16</t>
        </is>
      </c>
    </row>
    <row r="56747">
      <c r="A56747" s="1" t="n">
        <v>56746</v>
      </c>
      <c r="B56747">
        <f>TEXT(56746, "[$-0E0000]yyyy-mm-dd")</f>
        <v/>
      </c>
      <c r="C56747" t="inlineStr">
        <is>
          <t>2055-04-17</t>
        </is>
      </c>
    </row>
    <row r="56748">
      <c r="A56748" s="1" t="n">
        <v>56747</v>
      </c>
      <c r="B56748">
        <f>TEXT(56747, "[$-0E0000]yyyy-mm-dd")</f>
        <v/>
      </c>
      <c r="C56748" t="inlineStr">
        <is>
          <t>2055-04-18</t>
        </is>
      </c>
    </row>
    <row r="56749">
      <c r="A56749" s="1" t="n">
        <v>56748</v>
      </c>
      <c r="B56749">
        <f>TEXT(56748, "[$-0E0000]yyyy-mm-dd")</f>
        <v/>
      </c>
      <c r="C56749" t="inlineStr">
        <is>
          <t>2055-04-19</t>
        </is>
      </c>
    </row>
    <row r="56750">
      <c r="A56750" s="1" t="n">
        <v>56749</v>
      </c>
      <c r="B56750">
        <f>TEXT(56749, "[$-0E0000]yyyy-mm-dd")</f>
        <v/>
      </c>
      <c r="C56750" t="inlineStr">
        <is>
          <t>2055-04-20</t>
        </is>
      </c>
    </row>
    <row r="56751">
      <c r="A56751" s="1" t="n">
        <v>56750</v>
      </c>
      <c r="B56751">
        <f>TEXT(56750, "[$-0E0000]yyyy-mm-dd")</f>
        <v/>
      </c>
      <c r="C56751" t="inlineStr">
        <is>
          <t>2055-04-21</t>
        </is>
      </c>
    </row>
    <row r="56752">
      <c r="A56752" s="1" t="n">
        <v>56751</v>
      </c>
      <c r="B56752">
        <f>TEXT(56751, "[$-0E0000]yyyy-mm-dd")</f>
        <v/>
      </c>
      <c r="C56752" t="inlineStr">
        <is>
          <t>2055-04-22</t>
        </is>
      </c>
    </row>
    <row r="56753">
      <c r="A56753" s="1" t="n">
        <v>56752</v>
      </c>
      <c r="B56753">
        <f>TEXT(56752, "[$-0E0000]yyyy-mm-dd")</f>
        <v/>
      </c>
      <c r="C56753" t="inlineStr">
        <is>
          <t>2055-04-23</t>
        </is>
      </c>
    </row>
    <row r="56754">
      <c r="A56754" s="1" t="n">
        <v>56753</v>
      </c>
      <c r="B56754">
        <f>TEXT(56753, "[$-0E0000]yyyy-mm-dd")</f>
        <v/>
      </c>
      <c r="C56754" t="inlineStr">
        <is>
          <t>2055-04-24</t>
        </is>
      </c>
    </row>
    <row r="56755">
      <c r="A56755" s="1" t="n">
        <v>56754</v>
      </c>
      <c r="B56755">
        <f>TEXT(56754, "[$-0E0000]yyyy-mm-dd")</f>
        <v/>
      </c>
      <c r="C56755" t="inlineStr">
        <is>
          <t>2055-04-25</t>
        </is>
      </c>
    </row>
    <row r="56756">
      <c r="A56756" s="1" t="n">
        <v>56755</v>
      </c>
      <c r="B56756">
        <f>TEXT(56755, "[$-0E0000]yyyy-mm-dd")</f>
        <v/>
      </c>
      <c r="C56756" t="inlineStr">
        <is>
          <t>2055-04-26</t>
        </is>
      </c>
    </row>
    <row r="56757">
      <c r="A56757" s="1" t="n">
        <v>56756</v>
      </c>
      <c r="B56757">
        <f>TEXT(56756, "[$-0E0000]yyyy-mm-dd")</f>
        <v/>
      </c>
      <c r="C56757" t="inlineStr">
        <is>
          <t>2055-04-27</t>
        </is>
      </c>
    </row>
    <row r="56758">
      <c r="A56758" s="1" t="n">
        <v>56757</v>
      </c>
      <c r="B56758">
        <f>TEXT(56757, "[$-0E0000]yyyy-mm-dd")</f>
        <v/>
      </c>
      <c r="C56758" t="inlineStr">
        <is>
          <t>2055-04-28</t>
        </is>
      </c>
    </row>
    <row r="56759">
      <c r="A56759" s="1" t="n">
        <v>56758</v>
      </c>
      <c r="B56759">
        <f>TEXT(56758, "[$-0E0000]yyyy-mm-dd")</f>
        <v/>
      </c>
      <c r="C56759" t="inlineStr">
        <is>
          <t>2055-04-29</t>
        </is>
      </c>
    </row>
    <row r="56760">
      <c r="A56760" s="1" t="n">
        <v>56759</v>
      </c>
      <c r="B56760">
        <f>TEXT(56759, "[$-0E0000]yyyy-mm-dd")</f>
        <v/>
      </c>
      <c r="C56760" t="inlineStr">
        <is>
          <t>2055-05-01</t>
        </is>
      </c>
    </row>
    <row r="56761">
      <c r="A56761" s="1" t="n">
        <v>56760</v>
      </c>
      <c r="B56761">
        <f>TEXT(56760, "[$-0E0000]yyyy-mm-dd")</f>
        <v/>
      </c>
      <c r="C56761" t="inlineStr">
        <is>
          <t>2055-05-02</t>
        </is>
      </c>
    </row>
    <row r="56762">
      <c r="A56762" s="1" t="n">
        <v>56761</v>
      </c>
      <c r="B56762">
        <f>TEXT(56761, "[$-0E0000]yyyy-mm-dd")</f>
        <v/>
      </c>
      <c r="C56762" t="inlineStr">
        <is>
          <t>2055-05-03</t>
        </is>
      </c>
    </row>
    <row r="56763">
      <c r="A56763" s="1" t="n">
        <v>56762</v>
      </c>
      <c r="B56763">
        <f>TEXT(56762, "[$-0E0000]yyyy-mm-dd")</f>
        <v/>
      </c>
      <c r="C56763" t="inlineStr">
        <is>
          <t>2055-05-04</t>
        </is>
      </c>
    </row>
    <row r="56764">
      <c r="A56764" s="1" t="n">
        <v>56763</v>
      </c>
      <c r="B56764">
        <f>TEXT(56763, "[$-0E0000]yyyy-mm-dd")</f>
        <v/>
      </c>
      <c r="C56764" t="inlineStr">
        <is>
          <t>2055-05-05</t>
        </is>
      </c>
    </row>
    <row r="56765">
      <c r="A56765" s="1" t="n">
        <v>56764</v>
      </c>
      <c r="B56765">
        <f>TEXT(56764, "[$-0E0000]yyyy-mm-dd")</f>
        <v/>
      </c>
      <c r="C56765" t="inlineStr">
        <is>
          <t>2055-05-06</t>
        </is>
      </c>
    </row>
    <row r="56766">
      <c r="A56766" s="1" t="n">
        <v>56765</v>
      </c>
      <c r="B56766">
        <f>TEXT(56765, "[$-0E0000]yyyy-mm-dd")</f>
        <v/>
      </c>
      <c r="C56766" t="inlineStr">
        <is>
          <t>2055-05-07</t>
        </is>
      </c>
    </row>
    <row r="56767">
      <c r="A56767" s="1" t="n">
        <v>56766</v>
      </c>
      <c r="B56767">
        <f>TEXT(56766, "[$-0E0000]yyyy-mm-dd")</f>
        <v/>
      </c>
      <c r="C56767" t="inlineStr">
        <is>
          <t>2055-05-08</t>
        </is>
      </c>
    </row>
    <row r="56768">
      <c r="A56768" s="1" t="n">
        <v>56767</v>
      </c>
      <c r="B56768">
        <f>TEXT(56767, "[$-0E0000]yyyy-mm-dd")</f>
        <v/>
      </c>
      <c r="C56768" t="inlineStr">
        <is>
          <t>2055-05-09</t>
        </is>
      </c>
    </row>
    <row r="56769">
      <c r="A56769" s="1" t="n">
        <v>56768</v>
      </c>
      <c r="B56769">
        <f>TEXT(56768, "[$-0E0000]yyyy-mm-dd")</f>
        <v/>
      </c>
      <c r="C56769" t="inlineStr">
        <is>
          <t>2055-05-10</t>
        </is>
      </c>
    </row>
    <row r="56770">
      <c r="A56770" s="1" t="n">
        <v>56769</v>
      </c>
      <c r="B56770">
        <f>TEXT(56769, "[$-0E0000]yyyy-mm-dd")</f>
        <v/>
      </c>
      <c r="C56770" t="inlineStr">
        <is>
          <t>2055-05-11</t>
        </is>
      </c>
    </row>
    <row r="56771">
      <c r="A56771" s="1" t="n">
        <v>56770</v>
      </c>
      <c r="B56771">
        <f>TEXT(56770, "[$-0E0000]yyyy-mm-dd")</f>
        <v/>
      </c>
      <c r="C56771" t="inlineStr">
        <is>
          <t>2055-05-12</t>
        </is>
      </c>
    </row>
    <row r="56772">
      <c r="A56772" s="1" t="n">
        <v>56771</v>
      </c>
      <c r="B56772">
        <f>TEXT(56771, "[$-0E0000]yyyy-mm-dd")</f>
        <v/>
      </c>
      <c r="C56772" t="inlineStr">
        <is>
          <t>2055-05-13</t>
        </is>
      </c>
    </row>
    <row r="56773">
      <c r="A56773" s="1" t="n">
        <v>56772</v>
      </c>
      <c r="B56773">
        <f>TEXT(56772, "[$-0E0000]yyyy-mm-dd")</f>
        <v/>
      </c>
      <c r="C56773" t="inlineStr">
        <is>
          <t>2055-05-14</t>
        </is>
      </c>
    </row>
    <row r="56774">
      <c r="A56774" s="1" t="n">
        <v>56773</v>
      </c>
      <c r="B56774">
        <f>TEXT(56773, "[$-0E0000]yyyy-mm-dd")</f>
        <v/>
      </c>
      <c r="C56774" t="inlineStr">
        <is>
          <t>2055-05-15</t>
        </is>
      </c>
    </row>
    <row r="56775">
      <c r="A56775" s="1" t="n">
        <v>56774</v>
      </c>
      <c r="B56775">
        <f>TEXT(56774, "[$-0E0000]yyyy-mm-dd")</f>
        <v/>
      </c>
      <c r="C56775" t="inlineStr">
        <is>
          <t>2055-05-16</t>
        </is>
      </c>
    </row>
    <row r="56776">
      <c r="A56776" s="1" t="n">
        <v>56775</v>
      </c>
      <c r="B56776">
        <f>TEXT(56775, "[$-0E0000]yyyy-mm-dd")</f>
        <v/>
      </c>
      <c r="C56776" t="inlineStr">
        <is>
          <t>2055-05-17</t>
        </is>
      </c>
    </row>
    <row r="56777">
      <c r="A56777" s="1" t="n">
        <v>56776</v>
      </c>
      <c r="B56777">
        <f>TEXT(56776, "[$-0E0000]yyyy-mm-dd")</f>
        <v/>
      </c>
      <c r="C56777" t="inlineStr">
        <is>
          <t>2055-05-18</t>
        </is>
      </c>
    </row>
    <row r="56778">
      <c r="A56778" s="1" t="n">
        <v>56777</v>
      </c>
      <c r="B56778">
        <f>TEXT(56777, "[$-0E0000]yyyy-mm-dd")</f>
        <v/>
      </c>
      <c r="C56778" t="inlineStr">
        <is>
          <t>2055-05-19</t>
        </is>
      </c>
    </row>
    <row r="56779">
      <c r="A56779" s="1" t="n">
        <v>56778</v>
      </c>
      <c r="B56779">
        <f>TEXT(56778, "[$-0E0000]yyyy-mm-dd")</f>
        <v/>
      </c>
      <c r="C56779" t="inlineStr">
        <is>
          <t>2055-05-20</t>
        </is>
      </c>
    </row>
    <row r="56780">
      <c r="A56780" s="1" t="n">
        <v>56779</v>
      </c>
      <c r="B56780">
        <f>TEXT(56779, "[$-0E0000]yyyy-mm-dd")</f>
        <v/>
      </c>
      <c r="C56780" t="inlineStr">
        <is>
          <t>2055-05-21</t>
        </is>
      </c>
    </row>
    <row r="56781">
      <c r="A56781" s="1" t="n">
        <v>56780</v>
      </c>
      <c r="B56781">
        <f>TEXT(56780, "[$-0E0000]yyyy-mm-dd")</f>
        <v/>
      </c>
      <c r="C56781" t="inlineStr">
        <is>
          <t>2055-05-22</t>
        </is>
      </c>
    </row>
    <row r="56782">
      <c r="A56782" s="1" t="n">
        <v>56781</v>
      </c>
      <c r="B56782">
        <f>TEXT(56781, "[$-0E0000]yyyy-mm-dd")</f>
        <v/>
      </c>
      <c r="C56782" t="inlineStr">
        <is>
          <t>2055-05-23</t>
        </is>
      </c>
    </row>
    <row r="56783">
      <c r="A56783" s="1" t="n">
        <v>56782</v>
      </c>
      <c r="B56783">
        <f>TEXT(56782, "[$-0E0000]yyyy-mm-dd")</f>
        <v/>
      </c>
      <c r="C56783" t="inlineStr">
        <is>
          <t>2055-05-24</t>
        </is>
      </c>
    </row>
    <row r="56784">
      <c r="A56784" s="1" t="n">
        <v>56783</v>
      </c>
      <c r="B56784">
        <f>TEXT(56783, "[$-0E0000]yyyy-mm-dd")</f>
        <v/>
      </c>
      <c r="C56784" t="inlineStr">
        <is>
          <t>2055-05-25</t>
        </is>
      </c>
    </row>
    <row r="56785">
      <c r="A56785" s="1" t="n">
        <v>56784</v>
      </c>
      <c r="B56785">
        <f>TEXT(56784, "[$-0E0000]yyyy-mm-dd")</f>
        <v/>
      </c>
      <c r="C56785" t="inlineStr">
        <is>
          <t>2055-05-26</t>
        </is>
      </c>
    </row>
    <row r="56786">
      <c r="A56786" s="1" t="n">
        <v>56785</v>
      </c>
      <c r="B56786">
        <f>TEXT(56785, "[$-0E0000]yyyy-mm-dd")</f>
        <v/>
      </c>
      <c r="C56786" t="inlineStr">
        <is>
          <t>2055-05-27</t>
        </is>
      </c>
    </row>
    <row r="56787">
      <c r="A56787" s="1" t="n">
        <v>56786</v>
      </c>
      <c r="B56787">
        <f>TEXT(56786, "[$-0E0000]yyyy-mm-dd")</f>
        <v/>
      </c>
      <c r="C56787" t="inlineStr">
        <is>
          <t>2055-05-28</t>
        </is>
      </c>
    </row>
    <row r="56788">
      <c r="A56788" s="1" t="n">
        <v>56787</v>
      </c>
      <c r="B56788">
        <f>TEXT(56787, "[$-0E0000]yyyy-mm-dd")</f>
        <v/>
      </c>
      <c r="C56788" t="inlineStr">
        <is>
          <t>2055-05-29</t>
        </is>
      </c>
    </row>
    <row r="56789">
      <c r="A56789" s="1" t="n">
        <v>56788</v>
      </c>
      <c r="B56789">
        <f>TEXT(56788, "[$-0E0000]yyyy-mm-dd")</f>
        <v/>
      </c>
      <c r="C56789" t="inlineStr">
        <is>
          <t>2055-05-30</t>
        </is>
      </c>
    </row>
    <row r="56790">
      <c r="A56790" s="1" t="n">
        <v>56789</v>
      </c>
      <c r="B56790">
        <f>TEXT(56789, "[$-0E0000]yyyy-mm-dd")</f>
        <v/>
      </c>
      <c r="C56790" t="inlineStr">
        <is>
          <t>2055-06-01</t>
        </is>
      </c>
    </row>
    <row r="56791">
      <c r="A56791" s="1" t="n">
        <v>56790</v>
      </c>
      <c r="B56791">
        <f>TEXT(56790, "[$-0E0000]yyyy-mm-dd")</f>
        <v/>
      </c>
      <c r="C56791" t="inlineStr">
        <is>
          <t>2055-06-02</t>
        </is>
      </c>
    </row>
    <row r="56792">
      <c r="A56792" s="1" t="n">
        <v>56791</v>
      </c>
      <c r="B56792">
        <f>TEXT(56791, "[$-0E0000]yyyy-mm-dd")</f>
        <v/>
      </c>
      <c r="C56792" t="inlineStr">
        <is>
          <t>2055-06-03</t>
        </is>
      </c>
    </row>
    <row r="56793">
      <c r="A56793" s="1" t="n">
        <v>56792</v>
      </c>
      <c r="B56793">
        <f>TEXT(56792, "[$-0E0000]yyyy-mm-dd")</f>
        <v/>
      </c>
      <c r="C56793" t="inlineStr">
        <is>
          <t>2055-06-04</t>
        </is>
      </c>
    </row>
    <row r="56794">
      <c r="A56794" s="1" t="n">
        <v>56793</v>
      </c>
      <c r="B56794">
        <f>TEXT(56793, "[$-0E0000]yyyy-mm-dd")</f>
        <v/>
      </c>
      <c r="C56794" t="inlineStr">
        <is>
          <t>2055-06-05</t>
        </is>
      </c>
    </row>
    <row r="56795">
      <c r="A56795" s="1" t="n">
        <v>56794</v>
      </c>
      <c r="B56795">
        <f>TEXT(56794, "[$-0E0000]yyyy-mm-dd")</f>
        <v/>
      </c>
      <c r="C56795" t="inlineStr">
        <is>
          <t>2055-06-06</t>
        </is>
      </c>
    </row>
    <row r="56796">
      <c r="A56796" s="1" t="n">
        <v>56795</v>
      </c>
      <c r="B56796">
        <f>TEXT(56795, "[$-0E0000]yyyy-mm-dd")</f>
        <v/>
      </c>
      <c r="C56796" t="inlineStr">
        <is>
          <t>2055-06-07</t>
        </is>
      </c>
    </row>
    <row r="56797">
      <c r="A56797" s="1" t="n">
        <v>56796</v>
      </c>
      <c r="B56797">
        <f>TEXT(56796, "[$-0E0000]yyyy-mm-dd")</f>
        <v/>
      </c>
      <c r="C56797" t="inlineStr">
        <is>
          <t>2055-06-08</t>
        </is>
      </c>
    </row>
    <row r="56798">
      <c r="A56798" s="1" t="n">
        <v>56797</v>
      </c>
      <c r="B56798">
        <f>TEXT(56797, "[$-0E0000]yyyy-mm-dd")</f>
        <v/>
      </c>
      <c r="C56798" t="inlineStr">
        <is>
          <t>2055-06-09</t>
        </is>
      </c>
    </row>
    <row r="56799">
      <c r="A56799" s="1" t="n">
        <v>56798</v>
      </c>
      <c r="B56799">
        <f>TEXT(56798, "[$-0E0000]yyyy-mm-dd")</f>
        <v/>
      </c>
      <c r="C56799" t="inlineStr">
        <is>
          <t>2055-06-10</t>
        </is>
      </c>
    </row>
    <row r="56800">
      <c r="A56800" s="1" t="n">
        <v>56799</v>
      </c>
      <c r="B56800">
        <f>TEXT(56799, "[$-0E0000]yyyy-mm-dd")</f>
        <v/>
      </c>
      <c r="C56800" t="inlineStr">
        <is>
          <t>2055-06-11</t>
        </is>
      </c>
    </row>
    <row r="56801">
      <c r="A56801" s="1" t="n">
        <v>56800</v>
      </c>
      <c r="B56801">
        <f>TEXT(56800, "[$-0E0000]yyyy-mm-dd")</f>
        <v/>
      </c>
      <c r="C56801" t="inlineStr">
        <is>
          <t>2055-06-12</t>
        </is>
      </c>
    </row>
    <row r="56802">
      <c r="A56802" s="1" t="n">
        <v>56801</v>
      </c>
      <c r="B56802">
        <f>TEXT(56801, "[$-0E0000]yyyy-mm-dd")</f>
        <v/>
      </c>
      <c r="C56802" t="inlineStr">
        <is>
          <t>2055-06-13</t>
        </is>
      </c>
    </row>
    <row r="56803">
      <c r="A56803" s="1" t="n">
        <v>56802</v>
      </c>
      <c r="B56803">
        <f>TEXT(56802, "[$-0E0000]yyyy-mm-dd")</f>
        <v/>
      </c>
      <c r="C56803" t="inlineStr">
        <is>
          <t>2055-06-14</t>
        </is>
      </c>
    </row>
    <row r="56804">
      <c r="A56804" s="1" t="n">
        <v>56803</v>
      </c>
      <c r="B56804">
        <f>TEXT(56803, "[$-0E0000]yyyy-mm-dd")</f>
        <v/>
      </c>
      <c r="C56804" t="inlineStr">
        <is>
          <t>2055-06-15</t>
        </is>
      </c>
    </row>
    <row r="56805">
      <c r="A56805" s="1" t="n">
        <v>56804</v>
      </c>
      <c r="B56805">
        <f>TEXT(56804, "[$-0E0000]yyyy-mm-dd")</f>
        <v/>
      </c>
      <c r="C56805" t="inlineStr">
        <is>
          <t>2055-06-16</t>
        </is>
      </c>
    </row>
    <row r="56806">
      <c r="A56806" s="1" t="n">
        <v>56805</v>
      </c>
      <c r="B56806">
        <f>TEXT(56805, "[$-0E0000]yyyy-mm-dd")</f>
        <v/>
      </c>
      <c r="C56806" t="inlineStr">
        <is>
          <t>2055-06-17</t>
        </is>
      </c>
    </row>
    <row r="56807">
      <c r="A56807" s="1" t="n">
        <v>56806</v>
      </c>
      <c r="B56807">
        <f>TEXT(56806, "[$-0E0000]yyyy-mm-dd")</f>
        <v/>
      </c>
      <c r="C56807" t="inlineStr">
        <is>
          <t>2055-06-18</t>
        </is>
      </c>
    </row>
    <row r="56808">
      <c r="A56808" s="1" t="n">
        <v>56807</v>
      </c>
      <c r="B56808">
        <f>TEXT(56807, "[$-0E0000]yyyy-mm-dd")</f>
        <v/>
      </c>
      <c r="C56808" t="inlineStr">
        <is>
          <t>2055-06-19</t>
        </is>
      </c>
    </row>
    <row r="56809">
      <c r="A56809" s="1" t="n">
        <v>56808</v>
      </c>
      <c r="B56809">
        <f>TEXT(56808, "[$-0E0000]yyyy-mm-dd")</f>
        <v/>
      </c>
      <c r="C56809" t="inlineStr">
        <is>
          <t>2055-06-20</t>
        </is>
      </c>
    </row>
    <row r="56810">
      <c r="A56810" s="1" t="n">
        <v>56809</v>
      </c>
      <c r="B56810">
        <f>TEXT(56809, "[$-0E0000]yyyy-mm-dd")</f>
        <v/>
      </c>
      <c r="C56810" t="inlineStr">
        <is>
          <t>2055-06-21</t>
        </is>
      </c>
    </row>
    <row r="56811">
      <c r="A56811" s="1" t="n">
        <v>56810</v>
      </c>
      <c r="B56811">
        <f>TEXT(56810, "[$-0E0000]yyyy-mm-dd")</f>
        <v/>
      </c>
      <c r="C56811" t="inlineStr">
        <is>
          <t>2055-06-22</t>
        </is>
      </c>
    </row>
    <row r="56812">
      <c r="A56812" s="1" t="n">
        <v>56811</v>
      </c>
      <c r="B56812">
        <f>TEXT(56811, "[$-0E0000]yyyy-mm-dd")</f>
        <v/>
      </c>
      <c r="C56812" t="inlineStr">
        <is>
          <t>2055-06-23</t>
        </is>
      </c>
    </row>
    <row r="56813">
      <c r="A56813" s="1" t="n">
        <v>56812</v>
      </c>
      <c r="B56813">
        <f>TEXT(56812, "[$-0E0000]yyyy-mm-dd")</f>
        <v/>
      </c>
      <c r="C56813" t="inlineStr">
        <is>
          <t>2055-06-24</t>
        </is>
      </c>
    </row>
    <row r="56814">
      <c r="A56814" s="1" t="n">
        <v>56813</v>
      </c>
      <c r="B56814">
        <f>TEXT(56813, "[$-0E0000]yyyy-mm-dd")</f>
        <v/>
      </c>
      <c r="C56814" t="inlineStr">
        <is>
          <t>2055-06-25</t>
        </is>
      </c>
    </row>
    <row r="56815">
      <c r="A56815" s="1" t="n">
        <v>56814</v>
      </c>
      <c r="B56815">
        <f>TEXT(56814, "[$-0E0000]yyyy-mm-dd")</f>
        <v/>
      </c>
      <c r="C56815" t="inlineStr">
        <is>
          <t>2055-06-26</t>
        </is>
      </c>
    </row>
    <row r="56816">
      <c r="A56816" s="1" t="n">
        <v>56815</v>
      </c>
      <c r="B56816">
        <f>TEXT(56815, "[$-0E0000]yyyy-mm-dd")</f>
        <v/>
      </c>
      <c r="C56816" t="inlineStr">
        <is>
          <t>2055-06-27</t>
        </is>
      </c>
    </row>
    <row r="56817">
      <c r="A56817" s="1" t="n">
        <v>56816</v>
      </c>
      <c r="B56817">
        <f>TEXT(56816, "[$-0E0000]yyyy-mm-dd")</f>
        <v/>
      </c>
      <c r="C56817" t="inlineStr">
        <is>
          <t>2055-06-28</t>
        </is>
      </c>
    </row>
    <row r="56818">
      <c r="A56818" s="1" t="n">
        <v>56817</v>
      </c>
      <c r="B56818">
        <f>TEXT(56817, "[$-0E0000]yyyy-mm-dd")</f>
        <v/>
      </c>
      <c r="C56818" t="inlineStr">
        <is>
          <t>2055-06-29</t>
        </is>
      </c>
    </row>
    <row r="56819">
      <c r="A56819" s="1" t="n">
        <v>56818</v>
      </c>
      <c r="B56819">
        <f>TEXT(56818, "[$-0E0000]yyyy-mm-dd")</f>
        <v/>
      </c>
      <c r="C56819" t="inlineStr">
        <is>
          <t>2055-06-01</t>
        </is>
      </c>
    </row>
    <row r="56820">
      <c r="A56820" s="1" t="n">
        <v>56819</v>
      </c>
      <c r="B56820">
        <f>TEXT(56819, "[$-0E0000]yyyy-mm-dd")</f>
        <v/>
      </c>
      <c r="C56820" t="inlineStr">
        <is>
          <t>2055-06-02</t>
        </is>
      </c>
    </row>
    <row r="56821">
      <c r="A56821" s="1" t="n">
        <v>56820</v>
      </c>
      <c r="B56821">
        <f>TEXT(56820, "[$-0E0000]yyyy-mm-dd")</f>
        <v/>
      </c>
      <c r="C56821" t="inlineStr">
        <is>
          <t>2055-06-03</t>
        </is>
      </c>
    </row>
    <row r="56822">
      <c r="A56822" s="1" t="n">
        <v>56821</v>
      </c>
      <c r="B56822">
        <f>TEXT(56821, "[$-0E0000]yyyy-mm-dd")</f>
        <v/>
      </c>
      <c r="C56822" t="inlineStr">
        <is>
          <t>2055-06-04</t>
        </is>
      </c>
    </row>
    <row r="56823">
      <c r="A56823" s="1" t="n">
        <v>56822</v>
      </c>
      <c r="B56823">
        <f>TEXT(56822, "[$-0E0000]yyyy-mm-dd")</f>
        <v/>
      </c>
      <c r="C56823" t="inlineStr">
        <is>
          <t>2055-06-05</t>
        </is>
      </c>
    </row>
    <row r="56824">
      <c r="A56824" s="1" t="n">
        <v>56823</v>
      </c>
      <c r="B56824">
        <f>TEXT(56823, "[$-0E0000]yyyy-mm-dd")</f>
        <v/>
      </c>
      <c r="C56824" t="inlineStr">
        <is>
          <t>2055-06-06</t>
        </is>
      </c>
    </row>
    <row r="56825">
      <c r="A56825" s="1" t="n">
        <v>56824</v>
      </c>
      <c r="B56825">
        <f>TEXT(56824, "[$-0E0000]yyyy-mm-dd")</f>
        <v/>
      </c>
      <c r="C56825" t="inlineStr">
        <is>
          <t>2055-06-07</t>
        </is>
      </c>
    </row>
    <row r="56826">
      <c r="A56826" s="1" t="n">
        <v>56825</v>
      </c>
      <c r="B56826">
        <f>TEXT(56825, "[$-0E0000]yyyy-mm-dd")</f>
        <v/>
      </c>
      <c r="C56826" t="inlineStr">
        <is>
          <t>2055-06-08</t>
        </is>
      </c>
    </row>
    <row r="56827">
      <c r="A56827" s="1" t="n">
        <v>56826</v>
      </c>
      <c r="B56827">
        <f>TEXT(56826, "[$-0E0000]yyyy-mm-dd")</f>
        <v/>
      </c>
      <c r="C56827" t="inlineStr">
        <is>
          <t>2055-06-09</t>
        </is>
      </c>
    </row>
    <row r="56828">
      <c r="A56828" s="1" t="n">
        <v>56827</v>
      </c>
      <c r="B56828">
        <f>TEXT(56827, "[$-0E0000]yyyy-mm-dd")</f>
        <v/>
      </c>
      <c r="C56828" t="inlineStr">
        <is>
          <t>2055-06-10</t>
        </is>
      </c>
    </row>
    <row r="56829">
      <c r="A56829" s="1" t="n">
        <v>56828</v>
      </c>
      <c r="B56829">
        <f>TEXT(56828, "[$-0E0000]yyyy-mm-dd")</f>
        <v/>
      </c>
      <c r="C56829" t="inlineStr">
        <is>
          <t>2055-06-11</t>
        </is>
      </c>
    </row>
    <row r="56830">
      <c r="A56830" s="1" t="n">
        <v>56829</v>
      </c>
      <c r="B56830">
        <f>TEXT(56829, "[$-0E0000]yyyy-mm-dd")</f>
        <v/>
      </c>
      <c r="C56830" t="inlineStr">
        <is>
          <t>2055-06-12</t>
        </is>
      </c>
    </row>
    <row r="56831">
      <c r="A56831" s="1" t="n">
        <v>56830</v>
      </c>
      <c r="B56831">
        <f>TEXT(56830, "[$-0E0000]yyyy-mm-dd")</f>
        <v/>
      </c>
      <c r="C56831" t="inlineStr">
        <is>
          <t>2055-06-13</t>
        </is>
      </c>
    </row>
    <row r="56832">
      <c r="A56832" s="1" t="n">
        <v>56831</v>
      </c>
      <c r="B56832">
        <f>TEXT(56831, "[$-0E0000]yyyy-mm-dd")</f>
        <v/>
      </c>
      <c r="C56832" t="inlineStr">
        <is>
          <t>2055-06-14</t>
        </is>
      </c>
    </row>
    <row r="56833">
      <c r="A56833" s="1" t="n">
        <v>56832</v>
      </c>
      <c r="B56833">
        <f>TEXT(56832, "[$-0E0000]yyyy-mm-dd")</f>
        <v/>
      </c>
      <c r="C56833" t="inlineStr">
        <is>
          <t>2055-06-15</t>
        </is>
      </c>
    </row>
    <row r="56834">
      <c r="A56834" s="1" t="n">
        <v>56833</v>
      </c>
      <c r="B56834">
        <f>TEXT(56833, "[$-0E0000]yyyy-mm-dd")</f>
        <v/>
      </c>
      <c r="C56834" t="inlineStr">
        <is>
          <t>2055-06-16</t>
        </is>
      </c>
    </row>
    <row r="56835">
      <c r="A56835" s="1" t="n">
        <v>56834</v>
      </c>
      <c r="B56835">
        <f>TEXT(56834, "[$-0E0000]yyyy-mm-dd")</f>
        <v/>
      </c>
      <c r="C56835" t="inlineStr">
        <is>
          <t>2055-06-17</t>
        </is>
      </c>
    </row>
    <row r="56836">
      <c r="A56836" s="1" t="n">
        <v>56835</v>
      </c>
      <c r="B56836">
        <f>TEXT(56835, "[$-0E0000]yyyy-mm-dd")</f>
        <v/>
      </c>
      <c r="C56836" t="inlineStr">
        <is>
          <t>2055-06-18</t>
        </is>
      </c>
    </row>
    <row r="56837">
      <c r="A56837" s="1" t="n">
        <v>56836</v>
      </c>
      <c r="B56837">
        <f>TEXT(56836, "[$-0E0000]yyyy-mm-dd")</f>
        <v/>
      </c>
      <c r="C56837" t="inlineStr">
        <is>
          <t>2055-06-19</t>
        </is>
      </c>
    </row>
    <row r="56838">
      <c r="A56838" s="1" t="n">
        <v>56837</v>
      </c>
      <c r="B56838">
        <f>TEXT(56837, "[$-0E0000]yyyy-mm-dd")</f>
        <v/>
      </c>
      <c r="C56838" t="inlineStr">
        <is>
          <t>2055-06-20</t>
        </is>
      </c>
    </row>
    <row r="56839">
      <c r="A56839" s="1" t="n">
        <v>56838</v>
      </c>
      <c r="B56839">
        <f>TEXT(56838, "[$-0E0000]yyyy-mm-dd")</f>
        <v/>
      </c>
      <c r="C56839" t="inlineStr">
        <is>
          <t>2055-06-21</t>
        </is>
      </c>
    </row>
    <row r="56840">
      <c r="A56840" s="1" t="n">
        <v>56839</v>
      </c>
      <c r="B56840">
        <f>TEXT(56839, "[$-0E0000]yyyy-mm-dd")</f>
        <v/>
      </c>
      <c r="C56840" t="inlineStr">
        <is>
          <t>2055-06-22</t>
        </is>
      </c>
    </row>
    <row r="56841">
      <c r="A56841" s="1" t="n">
        <v>56840</v>
      </c>
      <c r="B56841">
        <f>TEXT(56840, "[$-0E0000]yyyy-mm-dd")</f>
        <v/>
      </c>
      <c r="C56841" t="inlineStr">
        <is>
          <t>2055-06-23</t>
        </is>
      </c>
    </row>
    <row r="56842">
      <c r="A56842" s="1" t="n">
        <v>56841</v>
      </c>
      <c r="B56842">
        <f>TEXT(56841, "[$-0E0000]yyyy-mm-dd")</f>
        <v/>
      </c>
      <c r="C56842" t="inlineStr">
        <is>
          <t>2055-06-24</t>
        </is>
      </c>
    </row>
    <row r="56843">
      <c r="A56843" s="1" t="n">
        <v>56842</v>
      </c>
      <c r="B56843">
        <f>TEXT(56842, "[$-0E0000]yyyy-mm-dd")</f>
        <v/>
      </c>
      <c r="C56843" t="inlineStr">
        <is>
          <t>2055-06-25</t>
        </is>
      </c>
    </row>
    <row r="56844">
      <c r="A56844" s="1" t="n">
        <v>56843</v>
      </c>
      <c r="B56844">
        <f>TEXT(56843, "[$-0E0000]yyyy-mm-dd")</f>
        <v/>
      </c>
      <c r="C56844" t="inlineStr">
        <is>
          <t>2055-06-26</t>
        </is>
      </c>
    </row>
    <row r="56845">
      <c r="A56845" s="1" t="n">
        <v>56844</v>
      </c>
      <c r="B56845">
        <f>TEXT(56844, "[$-0E0000]yyyy-mm-dd")</f>
        <v/>
      </c>
      <c r="C56845" t="inlineStr">
        <is>
          <t>2055-06-27</t>
        </is>
      </c>
    </row>
    <row r="56846">
      <c r="A56846" s="1" t="n">
        <v>56845</v>
      </c>
      <c r="B56846">
        <f>TEXT(56845, "[$-0E0000]yyyy-mm-dd")</f>
        <v/>
      </c>
      <c r="C56846" t="inlineStr">
        <is>
          <t>2055-06-28</t>
        </is>
      </c>
    </row>
    <row r="56847">
      <c r="A56847" s="1" t="n">
        <v>56846</v>
      </c>
      <c r="B56847">
        <f>TEXT(56846, "[$-0E0000]yyyy-mm-dd")</f>
        <v/>
      </c>
      <c r="C56847" t="inlineStr">
        <is>
          <t>2055-06-29</t>
        </is>
      </c>
    </row>
    <row r="56848">
      <c r="A56848" s="1" t="n">
        <v>56847</v>
      </c>
      <c r="B56848">
        <f>TEXT(56847, "[$-0E0000]yyyy-mm-dd")</f>
        <v/>
      </c>
      <c r="C56848" t="inlineStr">
        <is>
          <t>2055-06-30</t>
        </is>
      </c>
    </row>
    <row r="56849">
      <c r="A56849" s="1" t="n">
        <v>56848</v>
      </c>
      <c r="B56849">
        <f>TEXT(56848, "[$-0E0000]yyyy-mm-dd")</f>
        <v/>
      </c>
      <c r="C56849" t="inlineStr">
        <is>
          <t>2055-07-01</t>
        </is>
      </c>
    </row>
    <row r="56850">
      <c r="A56850" s="1" t="n">
        <v>56849</v>
      </c>
      <c r="B56850">
        <f>TEXT(56849, "[$-0E0000]yyyy-mm-dd")</f>
        <v/>
      </c>
      <c r="C56850" t="inlineStr">
        <is>
          <t>2055-07-02</t>
        </is>
      </c>
    </row>
    <row r="56851">
      <c r="A56851" s="1" t="n">
        <v>56850</v>
      </c>
      <c r="B56851">
        <f>TEXT(56850, "[$-0E0000]yyyy-mm-dd")</f>
        <v/>
      </c>
      <c r="C56851" t="inlineStr">
        <is>
          <t>2055-07-03</t>
        </is>
      </c>
    </row>
    <row r="56852">
      <c r="A56852" s="1" t="n">
        <v>56851</v>
      </c>
      <c r="B56852">
        <f>TEXT(56851, "[$-0E0000]yyyy-mm-dd")</f>
        <v/>
      </c>
      <c r="C56852" t="inlineStr">
        <is>
          <t>2055-07-04</t>
        </is>
      </c>
    </row>
    <row r="56853">
      <c r="A56853" s="1" t="n">
        <v>56852</v>
      </c>
      <c r="B56853">
        <f>TEXT(56852, "[$-0E0000]yyyy-mm-dd")</f>
        <v/>
      </c>
      <c r="C56853" t="inlineStr">
        <is>
          <t>2055-07-05</t>
        </is>
      </c>
    </row>
    <row r="56854">
      <c r="A56854" s="1" t="n">
        <v>56853</v>
      </c>
      <c r="B56854">
        <f>TEXT(56853, "[$-0E0000]yyyy-mm-dd")</f>
        <v/>
      </c>
      <c r="C56854" t="inlineStr">
        <is>
          <t>2055-07-06</t>
        </is>
      </c>
    </row>
    <row r="56855">
      <c r="A56855" s="1" t="n">
        <v>56854</v>
      </c>
      <c r="B56855">
        <f>TEXT(56854, "[$-0E0000]yyyy-mm-dd")</f>
        <v/>
      </c>
      <c r="C56855" t="inlineStr">
        <is>
          <t>2055-07-07</t>
        </is>
      </c>
    </row>
    <row r="56856">
      <c r="A56856" s="1" t="n">
        <v>56855</v>
      </c>
      <c r="B56856">
        <f>TEXT(56855, "[$-0E0000]yyyy-mm-dd")</f>
        <v/>
      </c>
      <c r="C56856" t="inlineStr">
        <is>
          <t>2055-07-08</t>
        </is>
      </c>
    </row>
    <row r="56857">
      <c r="A56857" s="1" t="n">
        <v>56856</v>
      </c>
      <c r="B56857">
        <f>TEXT(56856, "[$-0E0000]yyyy-mm-dd")</f>
        <v/>
      </c>
      <c r="C56857" t="inlineStr">
        <is>
          <t>2055-07-09</t>
        </is>
      </c>
    </row>
    <row r="56858">
      <c r="A56858" s="1" t="n">
        <v>56857</v>
      </c>
      <c r="B56858">
        <f>TEXT(56857, "[$-0E0000]yyyy-mm-dd")</f>
        <v/>
      </c>
      <c r="C56858" t="inlineStr">
        <is>
          <t>2055-07-10</t>
        </is>
      </c>
    </row>
    <row r="56859">
      <c r="A56859" s="1" t="n">
        <v>56858</v>
      </c>
      <c r="B56859">
        <f>TEXT(56858, "[$-0E0000]yyyy-mm-dd")</f>
        <v/>
      </c>
      <c r="C56859" t="inlineStr">
        <is>
          <t>2055-07-11</t>
        </is>
      </c>
    </row>
    <row r="56860">
      <c r="A56860" s="1" t="n">
        <v>56859</v>
      </c>
      <c r="B56860">
        <f>TEXT(56859, "[$-0E0000]yyyy-mm-dd")</f>
        <v/>
      </c>
      <c r="C56860" t="inlineStr">
        <is>
          <t>2055-07-12</t>
        </is>
      </c>
    </row>
    <row r="56861">
      <c r="A56861" s="1" t="n">
        <v>56860</v>
      </c>
      <c r="B56861">
        <f>TEXT(56860, "[$-0E0000]yyyy-mm-dd")</f>
        <v/>
      </c>
      <c r="C56861" t="inlineStr">
        <is>
          <t>2055-07-13</t>
        </is>
      </c>
    </row>
    <row r="56862">
      <c r="A56862" s="1" t="n">
        <v>56861</v>
      </c>
      <c r="B56862">
        <f>TEXT(56861, "[$-0E0000]yyyy-mm-dd")</f>
        <v/>
      </c>
      <c r="C56862" t="inlineStr">
        <is>
          <t>2055-07-14</t>
        </is>
      </c>
    </row>
    <row r="56863">
      <c r="A56863" s="1" t="n">
        <v>56862</v>
      </c>
      <c r="B56863">
        <f>TEXT(56862, "[$-0E0000]yyyy-mm-dd")</f>
        <v/>
      </c>
      <c r="C56863" t="inlineStr">
        <is>
          <t>2055-07-15</t>
        </is>
      </c>
    </row>
    <row r="56864">
      <c r="A56864" s="1" t="n">
        <v>56863</v>
      </c>
      <c r="B56864">
        <f>TEXT(56863, "[$-0E0000]yyyy-mm-dd")</f>
        <v/>
      </c>
      <c r="C56864" t="inlineStr">
        <is>
          <t>2055-07-16</t>
        </is>
      </c>
    </row>
    <row r="56865">
      <c r="A56865" s="1" t="n">
        <v>56864</v>
      </c>
      <c r="B56865">
        <f>TEXT(56864, "[$-0E0000]yyyy-mm-dd")</f>
        <v/>
      </c>
      <c r="C56865" t="inlineStr">
        <is>
          <t>2055-07-17</t>
        </is>
      </c>
    </row>
    <row r="56866">
      <c r="A56866" s="1" t="n">
        <v>56865</v>
      </c>
      <c r="B56866">
        <f>TEXT(56865, "[$-0E0000]yyyy-mm-dd")</f>
        <v/>
      </c>
      <c r="C56866" t="inlineStr">
        <is>
          <t>2055-07-18</t>
        </is>
      </c>
    </row>
    <row r="56867">
      <c r="A56867" s="1" t="n">
        <v>56866</v>
      </c>
      <c r="B56867">
        <f>TEXT(56866, "[$-0E0000]yyyy-mm-dd")</f>
        <v/>
      </c>
      <c r="C56867" t="inlineStr">
        <is>
          <t>2055-07-19</t>
        </is>
      </c>
    </row>
    <row r="56868">
      <c r="A56868" s="1" t="n">
        <v>56867</v>
      </c>
      <c r="B56868">
        <f>TEXT(56867, "[$-0E0000]yyyy-mm-dd")</f>
        <v/>
      </c>
      <c r="C56868" t="inlineStr">
        <is>
          <t>2055-07-20</t>
        </is>
      </c>
    </row>
    <row r="56869">
      <c r="A56869" s="1" t="n">
        <v>56868</v>
      </c>
      <c r="B56869">
        <f>TEXT(56868, "[$-0E0000]yyyy-mm-dd")</f>
        <v/>
      </c>
      <c r="C56869" t="inlineStr">
        <is>
          <t>2055-07-21</t>
        </is>
      </c>
    </row>
    <row r="56870">
      <c r="A56870" s="1" t="n">
        <v>56869</v>
      </c>
      <c r="B56870">
        <f>TEXT(56869, "[$-0E0000]yyyy-mm-dd")</f>
        <v/>
      </c>
      <c r="C56870" t="inlineStr">
        <is>
          <t>2055-07-22</t>
        </is>
      </c>
    </row>
    <row r="56871">
      <c r="A56871" s="1" t="n">
        <v>56870</v>
      </c>
      <c r="B56871">
        <f>TEXT(56870, "[$-0E0000]yyyy-mm-dd")</f>
        <v/>
      </c>
      <c r="C56871" t="inlineStr">
        <is>
          <t>2055-07-23</t>
        </is>
      </c>
    </row>
    <row r="56872">
      <c r="A56872" s="1" t="n">
        <v>56871</v>
      </c>
      <c r="B56872">
        <f>TEXT(56871, "[$-0E0000]yyyy-mm-dd")</f>
        <v/>
      </c>
      <c r="C56872" t="inlineStr">
        <is>
          <t>2055-07-24</t>
        </is>
      </c>
    </row>
    <row r="56873">
      <c r="A56873" s="1" t="n">
        <v>56872</v>
      </c>
      <c r="B56873">
        <f>TEXT(56872, "[$-0E0000]yyyy-mm-dd")</f>
        <v/>
      </c>
      <c r="C56873" t="inlineStr">
        <is>
          <t>2055-07-25</t>
        </is>
      </c>
    </row>
    <row r="56874">
      <c r="A56874" s="1" t="n">
        <v>56873</v>
      </c>
      <c r="B56874">
        <f>TEXT(56873, "[$-0E0000]yyyy-mm-dd")</f>
        <v/>
      </c>
      <c r="C56874" t="inlineStr">
        <is>
          <t>2055-07-26</t>
        </is>
      </c>
    </row>
    <row r="56875">
      <c r="A56875" s="1" t="n">
        <v>56874</v>
      </c>
      <c r="B56875">
        <f>TEXT(56874, "[$-0E0000]yyyy-mm-dd")</f>
        <v/>
      </c>
      <c r="C56875" t="inlineStr">
        <is>
          <t>2055-07-27</t>
        </is>
      </c>
    </row>
    <row r="56876">
      <c r="A56876" s="1" t="n">
        <v>56875</v>
      </c>
      <c r="B56876">
        <f>TEXT(56875, "[$-0E0000]yyyy-mm-dd")</f>
        <v/>
      </c>
      <c r="C56876" t="inlineStr">
        <is>
          <t>2055-07-28</t>
        </is>
      </c>
    </row>
    <row r="56877">
      <c r="A56877" s="1" t="n">
        <v>56876</v>
      </c>
      <c r="B56877">
        <f>TEXT(56876, "[$-0E0000]yyyy-mm-dd")</f>
        <v/>
      </c>
      <c r="C56877" t="inlineStr">
        <is>
          <t>2055-07-29</t>
        </is>
      </c>
    </row>
    <row r="56878">
      <c r="A56878" s="1" t="n">
        <v>56877</v>
      </c>
      <c r="B56878">
        <f>TEXT(56877, "[$-0E0000]yyyy-mm-dd")</f>
        <v/>
      </c>
      <c r="C56878" t="inlineStr">
        <is>
          <t>2055-08-01</t>
        </is>
      </c>
    </row>
    <row r="56879">
      <c r="A56879" s="1" t="n">
        <v>56878</v>
      </c>
      <c r="B56879">
        <f>TEXT(56878, "[$-0E0000]yyyy-mm-dd")</f>
        <v/>
      </c>
      <c r="C56879" t="inlineStr">
        <is>
          <t>2055-08-02</t>
        </is>
      </c>
    </row>
    <row r="56880">
      <c r="A56880" s="1" t="n">
        <v>56879</v>
      </c>
      <c r="B56880">
        <f>TEXT(56879, "[$-0E0000]yyyy-mm-dd")</f>
        <v/>
      </c>
      <c r="C56880" t="inlineStr">
        <is>
          <t>2055-08-03</t>
        </is>
      </c>
    </row>
    <row r="56881">
      <c r="A56881" s="1" t="n">
        <v>56880</v>
      </c>
      <c r="B56881">
        <f>TEXT(56880, "[$-0E0000]yyyy-mm-dd")</f>
        <v/>
      </c>
      <c r="C56881" t="inlineStr">
        <is>
          <t>2055-08-04</t>
        </is>
      </c>
    </row>
    <row r="56882">
      <c r="A56882" s="1" t="n">
        <v>56881</v>
      </c>
      <c r="B56882">
        <f>TEXT(56881, "[$-0E0000]yyyy-mm-dd")</f>
        <v/>
      </c>
      <c r="C56882" t="inlineStr">
        <is>
          <t>2055-08-05</t>
        </is>
      </c>
    </row>
    <row r="56883">
      <c r="A56883" s="1" t="n">
        <v>56882</v>
      </c>
      <c r="B56883">
        <f>TEXT(56882, "[$-0E0000]yyyy-mm-dd")</f>
        <v/>
      </c>
      <c r="C56883" t="inlineStr">
        <is>
          <t>2055-08-06</t>
        </is>
      </c>
    </row>
    <row r="56884">
      <c r="A56884" s="1" t="n">
        <v>56883</v>
      </c>
      <c r="B56884">
        <f>TEXT(56883, "[$-0E0000]yyyy-mm-dd")</f>
        <v/>
      </c>
      <c r="C56884" t="inlineStr">
        <is>
          <t>2055-08-07</t>
        </is>
      </c>
    </row>
    <row r="56885">
      <c r="A56885" s="1" t="n">
        <v>56884</v>
      </c>
      <c r="B56885">
        <f>TEXT(56884, "[$-0E0000]yyyy-mm-dd")</f>
        <v/>
      </c>
      <c r="C56885" t="inlineStr">
        <is>
          <t>2055-08-08</t>
        </is>
      </c>
    </row>
    <row r="56886">
      <c r="A56886" s="1" t="n">
        <v>56885</v>
      </c>
      <c r="B56886">
        <f>TEXT(56885, "[$-0E0000]yyyy-mm-dd")</f>
        <v/>
      </c>
      <c r="C56886" t="inlineStr">
        <is>
          <t>2055-08-09</t>
        </is>
      </c>
    </row>
    <row r="56887">
      <c r="A56887" s="1" t="n">
        <v>56886</v>
      </c>
      <c r="B56887">
        <f>TEXT(56886, "[$-0E0000]yyyy-mm-dd")</f>
        <v/>
      </c>
      <c r="C56887" t="inlineStr">
        <is>
          <t>2055-08-10</t>
        </is>
      </c>
    </row>
    <row r="56888">
      <c r="A56888" s="1" t="n">
        <v>56887</v>
      </c>
      <c r="B56888">
        <f>TEXT(56887, "[$-0E0000]yyyy-mm-dd")</f>
        <v/>
      </c>
      <c r="C56888" t="inlineStr">
        <is>
          <t>2055-08-11</t>
        </is>
      </c>
    </row>
    <row r="56889">
      <c r="A56889" s="1" t="n">
        <v>56888</v>
      </c>
      <c r="B56889">
        <f>TEXT(56888, "[$-0E0000]yyyy-mm-dd")</f>
        <v/>
      </c>
      <c r="C56889" t="inlineStr">
        <is>
          <t>2055-08-12</t>
        </is>
      </c>
    </row>
    <row r="56890">
      <c r="A56890" s="1" t="n">
        <v>56889</v>
      </c>
      <c r="B56890">
        <f>TEXT(56889, "[$-0E0000]yyyy-mm-dd")</f>
        <v/>
      </c>
      <c r="C56890" t="inlineStr">
        <is>
          <t>2055-08-13</t>
        </is>
      </c>
    </row>
    <row r="56891">
      <c r="A56891" s="1" t="n">
        <v>56890</v>
      </c>
      <c r="B56891">
        <f>TEXT(56890, "[$-0E0000]yyyy-mm-dd")</f>
        <v/>
      </c>
      <c r="C56891" t="inlineStr">
        <is>
          <t>2055-08-14</t>
        </is>
      </c>
    </row>
    <row r="56892">
      <c r="A56892" s="1" t="n">
        <v>56891</v>
      </c>
      <c r="B56892">
        <f>TEXT(56891, "[$-0E0000]yyyy-mm-dd")</f>
        <v/>
      </c>
      <c r="C56892" t="inlineStr">
        <is>
          <t>2055-08-15</t>
        </is>
      </c>
    </row>
    <row r="56893">
      <c r="A56893" s="1" t="n">
        <v>56892</v>
      </c>
      <c r="B56893">
        <f>TEXT(56892, "[$-0E0000]yyyy-mm-dd")</f>
        <v/>
      </c>
      <c r="C56893" t="inlineStr">
        <is>
          <t>2055-08-16</t>
        </is>
      </c>
    </row>
    <row r="56894">
      <c r="A56894" s="1" t="n">
        <v>56893</v>
      </c>
      <c r="B56894">
        <f>TEXT(56893, "[$-0E0000]yyyy-mm-dd")</f>
        <v/>
      </c>
      <c r="C56894" t="inlineStr">
        <is>
          <t>2055-08-17</t>
        </is>
      </c>
    </row>
    <row r="56895">
      <c r="A56895" s="1" t="n">
        <v>56894</v>
      </c>
      <c r="B56895">
        <f>TEXT(56894, "[$-0E0000]yyyy-mm-dd")</f>
        <v/>
      </c>
      <c r="C56895" t="inlineStr">
        <is>
          <t>2055-08-18</t>
        </is>
      </c>
    </row>
    <row r="56896">
      <c r="A56896" s="1" t="n">
        <v>56895</v>
      </c>
      <c r="B56896">
        <f>TEXT(56895, "[$-0E0000]yyyy-mm-dd")</f>
        <v/>
      </c>
      <c r="C56896" t="inlineStr">
        <is>
          <t>2055-08-19</t>
        </is>
      </c>
    </row>
    <row r="56897">
      <c r="A56897" s="1" t="n">
        <v>56896</v>
      </c>
      <c r="B56897">
        <f>TEXT(56896, "[$-0E0000]yyyy-mm-dd")</f>
        <v/>
      </c>
      <c r="C56897" t="inlineStr">
        <is>
          <t>2055-08-20</t>
        </is>
      </c>
    </row>
    <row r="56898">
      <c r="A56898" s="1" t="n">
        <v>56897</v>
      </c>
      <c r="B56898">
        <f>TEXT(56897, "[$-0E0000]yyyy-mm-dd")</f>
        <v/>
      </c>
      <c r="C56898" t="inlineStr">
        <is>
          <t>2055-08-21</t>
        </is>
      </c>
    </row>
    <row r="56899">
      <c r="A56899" s="1" t="n">
        <v>56898</v>
      </c>
      <c r="B56899">
        <f>TEXT(56898, "[$-0E0000]yyyy-mm-dd")</f>
        <v/>
      </c>
      <c r="C56899" t="inlineStr">
        <is>
          <t>2055-08-22</t>
        </is>
      </c>
    </row>
    <row r="56900">
      <c r="A56900" s="1" t="n">
        <v>56899</v>
      </c>
      <c r="B56900">
        <f>TEXT(56899, "[$-0E0000]yyyy-mm-dd")</f>
        <v/>
      </c>
      <c r="C56900" t="inlineStr">
        <is>
          <t>2055-08-23</t>
        </is>
      </c>
    </row>
    <row r="56901">
      <c r="A56901" s="1" t="n">
        <v>56900</v>
      </c>
      <c r="B56901">
        <f>TEXT(56900, "[$-0E0000]yyyy-mm-dd")</f>
        <v/>
      </c>
      <c r="C56901" t="inlineStr">
        <is>
          <t>2055-08-24</t>
        </is>
      </c>
    </row>
    <row r="56902">
      <c r="A56902" s="1" t="n">
        <v>56901</v>
      </c>
      <c r="B56902">
        <f>TEXT(56901, "[$-0E0000]yyyy-mm-dd")</f>
        <v/>
      </c>
      <c r="C56902" t="inlineStr">
        <is>
          <t>2055-08-25</t>
        </is>
      </c>
    </row>
    <row r="56903">
      <c r="A56903" s="1" t="n">
        <v>56902</v>
      </c>
      <c r="B56903">
        <f>TEXT(56902, "[$-0E0000]yyyy-mm-dd")</f>
        <v/>
      </c>
      <c r="C56903" t="inlineStr">
        <is>
          <t>2055-08-26</t>
        </is>
      </c>
    </row>
    <row r="56904">
      <c r="A56904" s="1" t="n">
        <v>56903</v>
      </c>
      <c r="B56904">
        <f>TEXT(56903, "[$-0E0000]yyyy-mm-dd")</f>
        <v/>
      </c>
      <c r="C56904" t="inlineStr">
        <is>
          <t>2055-08-27</t>
        </is>
      </c>
    </row>
    <row r="56905">
      <c r="A56905" s="1" t="n">
        <v>56904</v>
      </c>
      <c r="B56905">
        <f>TEXT(56904, "[$-0E0000]yyyy-mm-dd")</f>
        <v/>
      </c>
      <c r="C56905" t="inlineStr">
        <is>
          <t>2055-08-28</t>
        </is>
      </c>
    </row>
    <row r="56906">
      <c r="A56906" s="1" t="n">
        <v>56905</v>
      </c>
      <c r="B56906">
        <f>TEXT(56905, "[$-0E0000]yyyy-mm-dd")</f>
        <v/>
      </c>
      <c r="C56906" t="inlineStr">
        <is>
          <t>2055-08-29</t>
        </is>
      </c>
    </row>
    <row r="56907">
      <c r="A56907" s="1" t="n">
        <v>56906</v>
      </c>
      <c r="B56907">
        <f>TEXT(56906, "[$-0E0000]yyyy-mm-dd")</f>
        <v/>
      </c>
      <c r="C56907" t="inlineStr">
        <is>
          <t>2055-09-01</t>
        </is>
      </c>
    </row>
    <row r="56908">
      <c r="A56908" s="1" t="n">
        <v>56907</v>
      </c>
      <c r="B56908">
        <f>TEXT(56907, "[$-0E0000]yyyy-mm-dd")</f>
        <v/>
      </c>
      <c r="C56908" t="inlineStr">
        <is>
          <t>2055-09-02</t>
        </is>
      </c>
    </row>
    <row r="56909">
      <c r="A56909" s="1" t="n">
        <v>56908</v>
      </c>
      <c r="B56909">
        <f>TEXT(56908, "[$-0E0000]yyyy-mm-dd")</f>
        <v/>
      </c>
      <c r="C56909" t="inlineStr">
        <is>
          <t>2055-09-03</t>
        </is>
      </c>
    </row>
    <row r="56910">
      <c r="A56910" s="1" t="n">
        <v>56909</v>
      </c>
      <c r="B56910">
        <f>TEXT(56909, "[$-0E0000]yyyy-mm-dd")</f>
        <v/>
      </c>
      <c r="C56910" t="inlineStr">
        <is>
          <t>2055-09-04</t>
        </is>
      </c>
    </row>
    <row r="56911">
      <c r="A56911" s="1" t="n">
        <v>56910</v>
      </c>
      <c r="B56911">
        <f>TEXT(56910, "[$-0E0000]yyyy-mm-dd")</f>
        <v/>
      </c>
      <c r="C56911" t="inlineStr">
        <is>
          <t>2055-09-05</t>
        </is>
      </c>
    </row>
    <row r="56912">
      <c r="A56912" s="1" t="n">
        <v>56911</v>
      </c>
      <c r="B56912">
        <f>TEXT(56911, "[$-0E0000]yyyy-mm-dd")</f>
        <v/>
      </c>
      <c r="C56912" t="inlineStr">
        <is>
          <t>2055-09-06</t>
        </is>
      </c>
    </row>
    <row r="56913">
      <c r="A56913" s="1" t="n">
        <v>56912</v>
      </c>
      <c r="B56913">
        <f>TEXT(56912, "[$-0E0000]yyyy-mm-dd")</f>
        <v/>
      </c>
      <c r="C56913" t="inlineStr">
        <is>
          <t>2055-09-07</t>
        </is>
      </c>
    </row>
    <row r="56914">
      <c r="A56914" s="1" t="n">
        <v>56913</v>
      </c>
      <c r="B56914">
        <f>TEXT(56913, "[$-0E0000]yyyy-mm-dd")</f>
        <v/>
      </c>
      <c r="C56914" t="inlineStr">
        <is>
          <t>2055-09-08</t>
        </is>
      </c>
    </row>
    <row r="56915">
      <c r="A56915" s="1" t="n">
        <v>56914</v>
      </c>
      <c r="B56915">
        <f>TEXT(56914, "[$-0E0000]yyyy-mm-dd")</f>
        <v/>
      </c>
      <c r="C56915" t="inlineStr">
        <is>
          <t>2055-09-09</t>
        </is>
      </c>
    </row>
    <row r="56916">
      <c r="A56916" s="1" t="n">
        <v>56915</v>
      </c>
      <c r="B56916">
        <f>TEXT(56915, "[$-0E0000]yyyy-mm-dd")</f>
        <v/>
      </c>
      <c r="C56916" t="inlineStr">
        <is>
          <t>2055-09-10</t>
        </is>
      </c>
    </row>
    <row r="56917">
      <c r="A56917" s="1" t="n">
        <v>56916</v>
      </c>
      <c r="B56917">
        <f>TEXT(56916, "[$-0E0000]yyyy-mm-dd")</f>
        <v/>
      </c>
      <c r="C56917" t="inlineStr">
        <is>
          <t>2055-09-11</t>
        </is>
      </c>
    </row>
    <row r="56918">
      <c r="A56918" s="1" t="n">
        <v>56917</v>
      </c>
      <c r="B56918">
        <f>TEXT(56917, "[$-0E0000]yyyy-mm-dd")</f>
        <v/>
      </c>
      <c r="C56918" t="inlineStr">
        <is>
          <t>2055-09-12</t>
        </is>
      </c>
    </row>
    <row r="56919">
      <c r="A56919" s="1" t="n">
        <v>56918</v>
      </c>
      <c r="B56919">
        <f>TEXT(56918, "[$-0E0000]yyyy-mm-dd")</f>
        <v/>
      </c>
      <c r="C56919" t="inlineStr">
        <is>
          <t>2055-09-13</t>
        </is>
      </c>
    </row>
    <row r="56920">
      <c r="A56920" s="1" t="n">
        <v>56919</v>
      </c>
      <c r="B56920">
        <f>TEXT(56919, "[$-0E0000]yyyy-mm-dd")</f>
        <v/>
      </c>
      <c r="C56920" t="inlineStr">
        <is>
          <t>2055-09-14</t>
        </is>
      </c>
    </row>
    <row r="56921">
      <c r="A56921" s="1" t="n">
        <v>56920</v>
      </c>
      <c r="B56921">
        <f>TEXT(56920, "[$-0E0000]yyyy-mm-dd")</f>
        <v/>
      </c>
      <c r="C56921" t="inlineStr">
        <is>
          <t>2055-09-15</t>
        </is>
      </c>
    </row>
    <row r="56922">
      <c r="A56922" s="1" t="n">
        <v>56921</v>
      </c>
      <c r="B56922">
        <f>TEXT(56921, "[$-0E0000]yyyy-mm-dd")</f>
        <v/>
      </c>
      <c r="C56922" t="inlineStr">
        <is>
          <t>2055-09-16</t>
        </is>
      </c>
    </row>
    <row r="56923">
      <c r="A56923" s="1" t="n">
        <v>56922</v>
      </c>
      <c r="B56923">
        <f>TEXT(56922, "[$-0E0000]yyyy-mm-dd")</f>
        <v/>
      </c>
      <c r="C56923" t="inlineStr">
        <is>
          <t>2055-09-17</t>
        </is>
      </c>
    </row>
    <row r="56924">
      <c r="A56924" s="1" t="n">
        <v>56923</v>
      </c>
      <c r="B56924">
        <f>TEXT(56923, "[$-0E0000]yyyy-mm-dd")</f>
        <v/>
      </c>
      <c r="C56924" t="inlineStr">
        <is>
          <t>2055-09-18</t>
        </is>
      </c>
    </row>
    <row r="56925">
      <c r="A56925" s="1" t="n">
        <v>56924</v>
      </c>
      <c r="B56925">
        <f>TEXT(56924, "[$-0E0000]yyyy-mm-dd")</f>
        <v/>
      </c>
      <c r="C56925" t="inlineStr">
        <is>
          <t>2055-09-19</t>
        </is>
      </c>
    </row>
    <row r="56926">
      <c r="A56926" s="1" t="n">
        <v>56925</v>
      </c>
      <c r="B56926">
        <f>TEXT(56925, "[$-0E0000]yyyy-mm-dd")</f>
        <v/>
      </c>
      <c r="C56926" t="inlineStr">
        <is>
          <t>2055-09-20</t>
        </is>
      </c>
    </row>
    <row r="56927">
      <c r="A56927" s="1" t="n">
        <v>56926</v>
      </c>
      <c r="B56927">
        <f>TEXT(56926, "[$-0E0000]yyyy-mm-dd")</f>
        <v/>
      </c>
      <c r="C56927" t="inlineStr">
        <is>
          <t>2055-09-21</t>
        </is>
      </c>
    </row>
    <row r="56928">
      <c r="A56928" s="1" t="n">
        <v>56927</v>
      </c>
      <c r="B56928">
        <f>TEXT(56927, "[$-0E0000]yyyy-mm-dd")</f>
        <v/>
      </c>
      <c r="C56928" t="inlineStr">
        <is>
          <t>2055-09-22</t>
        </is>
      </c>
    </row>
    <row r="56929">
      <c r="A56929" s="1" t="n">
        <v>56928</v>
      </c>
      <c r="B56929">
        <f>TEXT(56928, "[$-0E0000]yyyy-mm-dd")</f>
        <v/>
      </c>
      <c r="C56929" t="inlineStr">
        <is>
          <t>2055-09-23</t>
        </is>
      </c>
    </row>
    <row r="56930">
      <c r="A56930" s="1" t="n">
        <v>56929</v>
      </c>
      <c r="B56930">
        <f>TEXT(56929, "[$-0E0000]yyyy-mm-dd")</f>
        <v/>
      </c>
      <c r="C56930" t="inlineStr">
        <is>
          <t>2055-09-24</t>
        </is>
      </c>
    </row>
    <row r="56931">
      <c r="A56931" s="1" t="n">
        <v>56930</v>
      </c>
      <c r="B56931">
        <f>TEXT(56930, "[$-0E0000]yyyy-mm-dd")</f>
        <v/>
      </c>
      <c r="C56931" t="inlineStr">
        <is>
          <t>2055-09-25</t>
        </is>
      </c>
    </row>
    <row r="56932">
      <c r="A56932" s="1" t="n">
        <v>56931</v>
      </c>
      <c r="B56932">
        <f>TEXT(56931, "[$-0E0000]yyyy-mm-dd")</f>
        <v/>
      </c>
      <c r="C56932" t="inlineStr">
        <is>
          <t>2055-09-26</t>
        </is>
      </c>
    </row>
    <row r="56933">
      <c r="A56933" s="1" t="n">
        <v>56932</v>
      </c>
      <c r="B56933">
        <f>TEXT(56932, "[$-0E0000]yyyy-mm-dd")</f>
        <v/>
      </c>
      <c r="C56933" t="inlineStr">
        <is>
          <t>2055-09-27</t>
        </is>
      </c>
    </row>
    <row r="56934">
      <c r="A56934" s="1" t="n">
        <v>56933</v>
      </c>
      <c r="B56934">
        <f>TEXT(56933, "[$-0E0000]yyyy-mm-dd")</f>
        <v/>
      </c>
      <c r="C56934" t="inlineStr">
        <is>
          <t>2055-09-28</t>
        </is>
      </c>
    </row>
    <row r="56935">
      <c r="A56935" s="1" t="n">
        <v>56934</v>
      </c>
      <c r="B56935">
        <f>TEXT(56934, "[$-0E0000]yyyy-mm-dd")</f>
        <v/>
      </c>
      <c r="C56935" t="inlineStr">
        <is>
          <t>2055-09-29</t>
        </is>
      </c>
    </row>
    <row r="56936">
      <c r="A56936" s="1" t="n">
        <v>56935</v>
      </c>
      <c r="B56936">
        <f>TEXT(56935, "[$-0E0000]yyyy-mm-dd")</f>
        <v/>
      </c>
      <c r="C56936" t="inlineStr">
        <is>
          <t>2055-09-30</t>
        </is>
      </c>
    </row>
    <row r="56937">
      <c r="A56937" s="1" t="n">
        <v>56936</v>
      </c>
      <c r="B56937">
        <f>TEXT(56936, "[$-0E0000]yyyy-mm-dd")</f>
        <v/>
      </c>
      <c r="C56937" t="inlineStr">
        <is>
          <t>2055-10-01</t>
        </is>
      </c>
    </row>
    <row r="56938">
      <c r="A56938" s="1" t="n">
        <v>56937</v>
      </c>
      <c r="B56938">
        <f>TEXT(56937, "[$-0E0000]yyyy-mm-dd")</f>
        <v/>
      </c>
      <c r="C56938" t="inlineStr">
        <is>
          <t>2055-10-02</t>
        </is>
      </c>
    </row>
    <row r="56939">
      <c r="A56939" s="1" t="n">
        <v>56938</v>
      </c>
      <c r="B56939">
        <f>TEXT(56938, "[$-0E0000]yyyy-mm-dd")</f>
        <v/>
      </c>
      <c r="C56939" t="inlineStr">
        <is>
          <t>2055-10-03</t>
        </is>
      </c>
    </row>
    <row r="56940">
      <c r="A56940" s="1" t="n">
        <v>56939</v>
      </c>
      <c r="B56940">
        <f>TEXT(56939, "[$-0E0000]yyyy-mm-dd")</f>
        <v/>
      </c>
      <c r="C56940" t="inlineStr">
        <is>
          <t>2055-10-04</t>
        </is>
      </c>
    </row>
    <row r="56941">
      <c r="A56941" s="1" t="n">
        <v>56940</v>
      </c>
      <c r="B56941">
        <f>TEXT(56940, "[$-0E0000]yyyy-mm-dd")</f>
        <v/>
      </c>
      <c r="C56941" t="inlineStr">
        <is>
          <t>2055-10-05</t>
        </is>
      </c>
    </row>
    <row r="56942">
      <c r="A56942" s="1" t="n">
        <v>56941</v>
      </c>
      <c r="B56942">
        <f>TEXT(56941, "[$-0E0000]yyyy-mm-dd")</f>
        <v/>
      </c>
      <c r="C56942" t="inlineStr">
        <is>
          <t>2055-10-06</t>
        </is>
      </c>
    </row>
    <row r="56943">
      <c r="A56943" s="1" t="n">
        <v>56942</v>
      </c>
      <c r="B56943">
        <f>TEXT(56942, "[$-0E0000]yyyy-mm-dd")</f>
        <v/>
      </c>
      <c r="C56943" t="inlineStr">
        <is>
          <t>2055-10-07</t>
        </is>
      </c>
    </row>
    <row r="56944">
      <c r="A56944" s="1" t="n">
        <v>56943</v>
      </c>
      <c r="B56944">
        <f>TEXT(56943, "[$-0E0000]yyyy-mm-dd")</f>
        <v/>
      </c>
      <c r="C56944" t="inlineStr">
        <is>
          <t>2055-10-08</t>
        </is>
      </c>
    </row>
    <row r="56945">
      <c r="A56945" s="1" t="n">
        <v>56944</v>
      </c>
      <c r="B56945">
        <f>TEXT(56944, "[$-0E0000]yyyy-mm-dd")</f>
        <v/>
      </c>
      <c r="C56945" t="inlineStr">
        <is>
          <t>2055-10-09</t>
        </is>
      </c>
    </row>
    <row r="56946">
      <c r="A56946" s="1" t="n">
        <v>56945</v>
      </c>
      <c r="B56946">
        <f>TEXT(56945, "[$-0E0000]yyyy-mm-dd")</f>
        <v/>
      </c>
      <c r="C56946" t="inlineStr">
        <is>
          <t>2055-10-10</t>
        </is>
      </c>
    </row>
    <row r="56947">
      <c r="A56947" s="1" t="n">
        <v>56946</v>
      </c>
      <c r="B56947">
        <f>TEXT(56946, "[$-0E0000]yyyy-mm-dd")</f>
        <v/>
      </c>
      <c r="C56947" t="inlineStr">
        <is>
          <t>2055-10-11</t>
        </is>
      </c>
    </row>
    <row r="56948">
      <c r="A56948" s="1" t="n">
        <v>56947</v>
      </c>
      <c r="B56948">
        <f>TEXT(56947, "[$-0E0000]yyyy-mm-dd")</f>
        <v/>
      </c>
      <c r="C56948" t="inlineStr">
        <is>
          <t>2055-10-12</t>
        </is>
      </c>
    </row>
    <row r="56949">
      <c r="A56949" s="1" t="n">
        <v>56948</v>
      </c>
      <c r="B56949">
        <f>TEXT(56948, "[$-0E0000]yyyy-mm-dd")</f>
        <v/>
      </c>
      <c r="C56949" t="inlineStr">
        <is>
          <t>2055-10-13</t>
        </is>
      </c>
    </row>
    <row r="56950">
      <c r="A56950" s="1" t="n">
        <v>56949</v>
      </c>
      <c r="B56950">
        <f>TEXT(56949, "[$-0E0000]yyyy-mm-dd")</f>
        <v/>
      </c>
      <c r="C56950" t="inlineStr">
        <is>
          <t>2055-10-14</t>
        </is>
      </c>
    </row>
    <row r="56951">
      <c r="A56951" s="1" t="n">
        <v>56950</v>
      </c>
      <c r="B56951">
        <f>TEXT(56950, "[$-0E0000]yyyy-mm-dd")</f>
        <v/>
      </c>
      <c r="C56951" t="inlineStr">
        <is>
          <t>2055-10-15</t>
        </is>
      </c>
    </row>
    <row r="56952">
      <c r="A56952" s="1" t="n">
        <v>56951</v>
      </c>
      <c r="B56952">
        <f>TEXT(56951, "[$-0E0000]yyyy-mm-dd")</f>
        <v/>
      </c>
      <c r="C56952" t="inlineStr">
        <is>
          <t>2055-10-16</t>
        </is>
      </c>
    </row>
    <row r="56953">
      <c r="A56953" s="1" t="n">
        <v>56952</v>
      </c>
      <c r="B56953">
        <f>TEXT(56952, "[$-0E0000]yyyy-mm-dd")</f>
        <v/>
      </c>
      <c r="C56953" t="inlineStr">
        <is>
          <t>2055-10-17</t>
        </is>
      </c>
    </row>
    <row r="56954">
      <c r="A56954" s="1" t="n">
        <v>56953</v>
      </c>
      <c r="B56954">
        <f>TEXT(56953, "[$-0E0000]yyyy-mm-dd")</f>
        <v/>
      </c>
      <c r="C56954" t="inlineStr">
        <is>
          <t>2055-10-18</t>
        </is>
      </c>
    </row>
    <row r="56955">
      <c r="A56955" s="1" t="n">
        <v>56954</v>
      </c>
      <c r="B56955">
        <f>TEXT(56954, "[$-0E0000]yyyy-mm-dd")</f>
        <v/>
      </c>
      <c r="C56955" t="inlineStr">
        <is>
          <t>2055-10-19</t>
        </is>
      </c>
    </row>
    <row r="56956">
      <c r="A56956" s="1" t="n">
        <v>56955</v>
      </c>
      <c r="B56956">
        <f>TEXT(56955, "[$-0E0000]yyyy-mm-dd")</f>
        <v/>
      </c>
      <c r="C56956" t="inlineStr">
        <is>
          <t>2055-10-20</t>
        </is>
      </c>
    </row>
    <row r="56957">
      <c r="A56957" s="1" t="n">
        <v>56956</v>
      </c>
      <c r="B56957">
        <f>TEXT(56956, "[$-0E0000]yyyy-mm-dd")</f>
        <v/>
      </c>
      <c r="C56957" t="inlineStr">
        <is>
          <t>2055-10-21</t>
        </is>
      </c>
    </row>
    <row r="56958">
      <c r="A56958" s="1" t="n">
        <v>56957</v>
      </c>
      <c r="B56958">
        <f>TEXT(56957, "[$-0E0000]yyyy-mm-dd")</f>
        <v/>
      </c>
      <c r="C56958" t="inlineStr">
        <is>
          <t>2055-10-22</t>
        </is>
      </c>
    </row>
    <row r="56959">
      <c r="A56959" s="1" t="n">
        <v>56958</v>
      </c>
      <c r="B56959">
        <f>TEXT(56958, "[$-0E0000]yyyy-mm-dd")</f>
        <v/>
      </c>
      <c r="C56959" t="inlineStr">
        <is>
          <t>2055-10-23</t>
        </is>
      </c>
    </row>
    <row r="56960">
      <c r="A56960" s="1" t="n">
        <v>56959</v>
      </c>
      <c r="B56960">
        <f>TEXT(56959, "[$-0E0000]yyyy-mm-dd")</f>
        <v/>
      </c>
      <c r="C56960" t="inlineStr">
        <is>
          <t>2055-10-24</t>
        </is>
      </c>
    </row>
    <row r="56961">
      <c r="A56961" s="1" t="n">
        <v>56960</v>
      </c>
      <c r="B56961">
        <f>TEXT(56960, "[$-0E0000]yyyy-mm-dd")</f>
        <v/>
      </c>
      <c r="C56961" t="inlineStr">
        <is>
          <t>2055-10-25</t>
        </is>
      </c>
    </row>
    <row r="56962">
      <c r="A56962" s="1" t="n">
        <v>56961</v>
      </c>
      <c r="B56962">
        <f>TEXT(56961, "[$-0E0000]yyyy-mm-dd")</f>
        <v/>
      </c>
      <c r="C56962" t="inlineStr">
        <is>
          <t>2055-10-26</t>
        </is>
      </c>
    </row>
    <row r="56963">
      <c r="A56963" s="1" t="n">
        <v>56962</v>
      </c>
      <c r="B56963">
        <f>TEXT(56962, "[$-0E0000]yyyy-mm-dd")</f>
        <v/>
      </c>
      <c r="C56963" t="inlineStr">
        <is>
          <t>2055-10-27</t>
        </is>
      </c>
    </row>
    <row r="56964">
      <c r="A56964" s="1" t="n">
        <v>56963</v>
      </c>
      <c r="B56964">
        <f>TEXT(56963, "[$-0E0000]yyyy-mm-dd")</f>
        <v/>
      </c>
      <c r="C56964" t="inlineStr">
        <is>
          <t>2055-10-28</t>
        </is>
      </c>
    </row>
    <row r="56965">
      <c r="A56965" s="1" t="n">
        <v>56964</v>
      </c>
      <c r="B56965">
        <f>TEXT(56964, "[$-0E0000]yyyy-mm-dd")</f>
        <v/>
      </c>
      <c r="C56965" t="inlineStr">
        <is>
          <t>2055-10-29</t>
        </is>
      </c>
    </row>
    <row r="56966">
      <c r="A56966" s="1" t="n">
        <v>56965</v>
      </c>
      <c r="B56966">
        <f>TEXT(56965, "[$-0E0000]yyyy-mm-dd")</f>
        <v/>
      </c>
      <c r="C56966" t="inlineStr">
        <is>
          <t>2055-11-01</t>
        </is>
      </c>
    </row>
    <row r="56967">
      <c r="A56967" s="1" t="n">
        <v>56966</v>
      </c>
      <c r="B56967">
        <f>TEXT(56966, "[$-0E0000]yyyy-mm-dd")</f>
        <v/>
      </c>
      <c r="C56967" t="inlineStr">
        <is>
          <t>2055-11-02</t>
        </is>
      </c>
    </row>
    <row r="56968">
      <c r="A56968" s="1" t="n">
        <v>56967</v>
      </c>
      <c r="B56968">
        <f>TEXT(56967, "[$-0E0000]yyyy-mm-dd")</f>
        <v/>
      </c>
      <c r="C56968" t="inlineStr">
        <is>
          <t>2055-11-03</t>
        </is>
      </c>
    </row>
    <row r="56969">
      <c r="A56969" s="1" t="n">
        <v>56968</v>
      </c>
      <c r="B56969">
        <f>TEXT(56968, "[$-0E0000]yyyy-mm-dd")</f>
        <v/>
      </c>
      <c r="C56969" t="inlineStr">
        <is>
          <t>2055-11-04</t>
        </is>
      </c>
    </row>
    <row r="56970">
      <c r="A56970" s="1" t="n">
        <v>56969</v>
      </c>
      <c r="B56970">
        <f>TEXT(56969, "[$-0E0000]yyyy-mm-dd")</f>
        <v/>
      </c>
      <c r="C56970" t="inlineStr">
        <is>
          <t>2055-11-05</t>
        </is>
      </c>
    </row>
    <row r="56971">
      <c r="A56971" s="1" t="n">
        <v>56970</v>
      </c>
      <c r="B56971">
        <f>TEXT(56970, "[$-0E0000]yyyy-mm-dd")</f>
        <v/>
      </c>
      <c r="C56971" t="inlineStr">
        <is>
          <t>2055-11-06</t>
        </is>
      </c>
    </row>
    <row r="56972">
      <c r="A56972" s="1" t="n">
        <v>56971</v>
      </c>
      <c r="B56972">
        <f>TEXT(56971, "[$-0E0000]yyyy-mm-dd")</f>
        <v/>
      </c>
      <c r="C56972" t="inlineStr">
        <is>
          <t>2055-11-07</t>
        </is>
      </c>
    </row>
    <row r="56973">
      <c r="A56973" s="1" t="n">
        <v>56972</v>
      </c>
      <c r="B56973">
        <f>TEXT(56972, "[$-0E0000]yyyy-mm-dd")</f>
        <v/>
      </c>
      <c r="C56973" t="inlineStr">
        <is>
          <t>2055-11-08</t>
        </is>
      </c>
    </row>
    <row r="56974">
      <c r="A56974" s="1" t="n">
        <v>56973</v>
      </c>
      <c r="B56974">
        <f>TEXT(56973, "[$-0E0000]yyyy-mm-dd")</f>
        <v/>
      </c>
      <c r="C56974" t="inlineStr">
        <is>
          <t>2055-11-09</t>
        </is>
      </c>
    </row>
    <row r="56975">
      <c r="A56975" s="1" t="n">
        <v>56974</v>
      </c>
      <c r="B56975">
        <f>TEXT(56974, "[$-0E0000]yyyy-mm-dd")</f>
        <v/>
      </c>
      <c r="C56975" t="inlineStr">
        <is>
          <t>2055-11-10</t>
        </is>
      </c>
    </row>
    <row r="56976">
      <c r="A56976" s="1" t="n">
        <v>56975</v>
      </c>
      <c r="B56976">
        <f>TEXT(56975, "[$-0E0000]yyyy-mm-dd")</f>
        <v/>
      </c>
      <c r="C56976" t="inlineStr">
        <is>
          <t>2055-11-11</t>
        </is>
      </c>
    </row>
    <row r="56977">
      <c r="A56977" s="1" t="n">
        <v>56976</v>
      </c>
      <c r="B56977">
        <f>TEXT(56976, "[$-0E0000]yyyy-mm-dd")</f>
        <v/>
      </c>
      <c r="C56977" t="inlineStr">
        <is>
          <t>2055-11-12</t>
        </is>
      </c>
    </row>
    <row r="56978">
      <c r="A56978" s="1" t="n">
        <v>56977</v>
      </c>
      <c r="B56978">
        <f>TEXT(56977, "[$-0E0000]yyyy-mm-dd")</f>
        <v/>
      </c>
      <c r="C56978" t="inlineStr">
        <is>
          <t>2055-11-13</t>
        </is>
      </c>
    </row>
    <row r="56979">
      <c r="A56979" s="1" t="n">
        <v>56978</v>
      </c>
      <c r="B56979">
        <f>TEXT(56978, "[$-0E0000]yyyy-mm-dd")</f>
        <v/>
      </c>
      <c r="C56979" t="inlineStr">
        <is>
          <t>2055-11-14</t>
        </is>
      </c>
    </row>
    <row r="56980">
      <c r="A56980" s="1" t="n">
        <v>56979</v>
      </c>
      <c r="B56980">
        <f>TEXT(56979, "[$-0E0000]yyyy-mm-dd")</f>
        <v/>
      </c>
      <c r="C56980" t="inlineStr">
        <is>
          <t>2055-11-15</t>
        </is>
      </c>
    </row>
    <row r="56981">
      <c r="A56981" s="1" t="n">
        <v>56980</v>
      </c>
      <c r="B56981">
        <f>TEXT(56980, "[$-0E0000]yyyy-mm-dd")</f>
        <v/>
      </c>
      <c r="C56981" t="inlineStr">
        <is>
          <t>2055-11-16</t>
        </is>
      </c>
    </row>
    <row r="56982">
      <c r="A56982" s="1" t="n">
        <v>56981</v>
      </c>
      <c r="B56982">
        <f>TEXT(56981, "[$-0E0000]yyyy-mm-dd")</f>
        <v/>
      </c>
      <c r="C56982" t="inlineStr">
        <is>
          <t>2055-11-17</t>
        </is>
      </c>
    </row>
    <row r="56983">
      <c r="A56983" s="1" t="n">
        <v>56982</v>
      </c>
      <c r="B56983">
        <f>TEXT(56982, "[$-0E0000]yyyy-mm-dd")</f>
        <v/>
      </c>
      <c r="C56983" t="inlineStr">
        <is>
          <t>2055-11-18</t>
        </is>
      </c>
    </row>
    <row r="56984">
      <c r="A56984" s="1" t="n">
        <v>56983</v>
      </c>
      <c r="B56984">
        <f>TEXT(56983, "[$-0E0000]yyyy-mm-dd")</f>
        <v/>
      </c>
      <c r="C56984" t="inlineStr">
        <is>
          <t>2055-11-19</t>
        </is>
      </c>
    </row>
    <row r="56985">
      <c r="A56985" s="1" t="n">
        <v>56984</v>
      </c>
      <c r="B56985">
        <f>TEXT(56984, "[$-0E0000]yyyy-mm-dd")</f>
        <v/>
      </c>
      <c r="C56985" t="inlineStr">
        <is>
          <t>2055-11-20</t>
        </is>
      </c>
    </row>
    <row r="56986">
      <c r="A56986" s="1" t="n">
        <v>56985</v>
      </c>
      <c r="B56986">
        <f>TEXT(56985, "[$-0E0000]yyyy-mm-dd")</f>
        <v/>
      </c>
      <c r="C56986" t="inlineStr">
        <is>
          <t>2055-11-21</t>
        </is>
      </c>
    </row>
    <row r="56987">
      <c r="A56987" s="1" t="n">
        <v>56986</v>
      </c>
      <c r="B56987">
        <f>TEXT(56986, "[$-0E0000]yyyy-mm-dd")</f>
        <v/>
      </c>
      <c r="C56987" t="inlineStr">
        <is>
          <t>2055-11-22</t>
        </is>
      </c>
    </row>
    <row r="56988">
      <c r="A56988" s="1" t="n">
        <v>56987</v>
      </c>
      <c r="B56988">
        <f>TEXT(56987, "[$-0E0000]yyyy-mm-dd")</f>
        <v/>
      </c>
      <c r="C56988" t="inlineStr">
        <is>
          <t>2055-11-23</t>
        </is>
      </c>
    </row>
    <row r="56989">
      <c r="A56989" s="1" t="n">
        <v>56988</v>
      </c>
      <c r="B56989">
        <f>TEXT(56988, "[$-0E0000]yyyy-mm-dd")</f>
        <v/>
      </c>
      <c r="C56989" t="inlineStr">
        <is>
          <t>2055-11-24</t>
        </is>
      </c>
    </row>
    <row r="56990">
      <c r="A56990" s="1" t="n">
        <v>56989</v>
      </c>
      <c r="B56990">
        <f>TEXT(56989, "[$-0E0000]yyyy-mm-dd")</f>
        <v/>
      </c>
      <c r="C56990" t="inlineStr">
        <is>
          <t>2055-11-25</t>
        </is>
      </c>
    </row>
    <row r="56991">
      <c r="A56991" s="1" t="n">
        <v>56990</v>
      </c>
      <c r="B56991">
        <f>TEXT(56990, "[$-0E0000]yyyy-mm-dd")</f>
        <v/>
      </c>
      <c r="C56991" t="inlineStr">
        <is>
          <t>2055-11-26</t>
        </is>
      </c>
    </row>
    <row r="56992">
      <c r="A56992" s="1" t="n">
        <v>56991</v>
      </c>
      <c r="B56992">
        <f>TEXT(56991, "[$-0E0000]yyyy-mm-dd")</f>
        <v/>
      </c>
      <c r="C56992" t="inlineStr">
        <is>
          <t>2055-11-27</t>
        </is>
      </c>
    </row>
    <row r="56993">
      <c r="A56993" s="1" t="n">
        <v>56992</v>
      </c>
      <c r="B56993">
        <f>TEXT(56992, "[$-0E0000]yyyy-mm-dd")</f>
        <v/>
      </c>
      <c r="C56993" t="inlineStr">
        <is>
          <t>2055-11-28</t>
        </is>
      </c>
    </row>
    <row r="56994">
      <c r="A56994" s="1" t="n">
        <v>56993</v>
      </c>
      <c r="B56994">
        <f>TEXT(56993, "[$-0E0000]yyyy-mm-dd")</f>
        <v/>
      </c>
      <c r="C56994" t="inlineStr">
        <is>
          <t>2055-11-29</t>
        </is>
      </c>
    </row>
    <row r="56995">
      <c r="A56995" s="1" t="n">
        <v>56994</v>
      </c>
      <c r="B56995">
        <f>TEXT(56994, "[$-0E0000]yyyy-mm-dd")</f>
        <v/>
      </c>
      <c r="C56995" t="inlineStr">
        <is>
          <t>2055-11-30</t>
        </is>
      </c>
    </row>
    <row r="56996">
      <c r="A56996" s="1" t="n">
        <v>56995</v>
      </c>
      <c r="B56996">
        <f>TEXT(56995, "[$-0E0000]yyyy-mm-dd")</f>
        <v/>
      </c>
      <c r="C56996" t="inlineStr">
        <is>
          <t>2055-12-01</t>
        </is>
      </c>
    </row>
    <row r="56997">
      <c r="A56997" s="1" t="n">
        <v>56996</v>
      </c>
      <c r="B56997">
        <f>TEXT(56996, "[$-0E0000]yyyy-mm-dd")</f>
        <v/>
      </c>
      <c r="C56997" t="inlineStr">
        <is>
          <t>2055-12-02</t>
        </is>
      </c>
    </row>
    <row r="56998">
      <c r="A56998" s="1" t="n">
        <v>56997</v>
      </c>
      <c r="B56998">
        <f>TEXT(56997, "[$-0E0000]yyyy-mm-dd")</f>
        <v/>
      </c>
      <c r="C56998" t="inlineStr">
        <is>
          <t>2055-12-03</t>
        </is>
      </c>
    </row>
    <row r="56999">
      <c r="A56999" s="1" t="n">
        <v>56998</v>
      </c>
      <c r="B56999">
        <f>TEXT(56998, "[$-0E0000]yyyy-mm-dd")</f>
        <v/>
      </c>
      <c r="C56999" t="inlineStr">
        <is>
          <t>2055-12-04</t>
        </is>
      </c>
    </row>
    <row r="57000">
      <c r="A57000" s="1" t="n">
        <v>56999</v>
      </c>
      <c r="B57000">
        <f>TEXT(56999, "[$-0E0000]yyyy-mm-dd")</f>
        <v/>
      </c>
      <c r="C57000" t="inlineStr">
        <is>
          <t>2055-12-05</t>
        </is>
      </c>
    </row>
    <row r="57001">
      <c r="A57001" s="1" t="n">
        <v>57000</v>
      </c>
      <c r="B57001">
        <f>TEXT(57000, "[$-0E0000]yyyy-mm-dd")</f>
        <v/>
      </c>
      <c r="C57001" t="inlineStr">
        <is>
          <t>2055-12-06</t>
        </is>
      </c>
    </row>
    <row r="57002">
      <c r="A57002" s="1" t="n">
        <v>57001</v>
      </c>
      <c r="B57002">
        <f>TEXT(57001, "[$-0E0000]yyyy-mm-dd")</f>
        <v/>
      </c>
      <c r="C57002" t="inlineStr">
        <is>
          <t>2055-12-07</t>
        </is>
      </c>
    </row>
    <row r="57003">
      <c r="A57003" s="1" t="n">
        <v>57002</v>
      </c>
      <c r="B57003">
        <f>TEXT(57002, "[$-0E0000]yyyy-mm-dd")</f>
        <v/>
      </c>
      <c r="C57003" t="inlineStr">
        <is>
          <t>2055-12-08</t>
        </is>
      </c>
    </row>
    <row r="57004">
      <c r="A57004" s="1" t="n">
        <v>57003</v>
      </c>
      <c r="B57004">
        <f>TEXT(57003, "[$-0E0000]yyyy-mm-dd")</f>
        <v/>
      </c>
      <c r="C57004" t="inlineStr">
        <is>
          <t>2055-12-09</t>
        </is>
      </c>
    </row>
    <row r="57005">
      <c r="A57005" s="1" t="n">
        <v>57004</v>
      </c>
      <c r="B57005">
        <f>TEXT(57004, "[$-0E0000]yyyy-mm-dd")</f>
        <v/>
      </c>
      <c r="C57005" t="inlineStr">
        <is>
          <t>2055-12-10</t>
        </is>
      </c>
    </row>
    <row r="57006">
      <c r="A57006" s="1" t="n">
        <v>57005</v>
      </c>
      <c r="B57006">
        <f>TEXT(57005, "[$-0E0000]yyyy-mm-dd")</f>
        <v/>
      </c>
      <c r="C57006" t="inlineStr">
        <is>
          <t>2055-12-11</t>
        </is>
      </c>
    </row>
    <row r="57007">
      <c r="A57007" s="1" t="n">
        <v>57006</v>
      </c>
      <c r="B57007">
        <f>TEXT(57006, "[$-0E0000]yyyy-mm-dd")</f>
        <v/>
      </c>
      <c r="C57007" t="inlineStr">
        <is>
          <t>2055-12-12</t>
        </is>
      </c>
    </row>
    <row r="57008">
      <c r="A57008" s="1" t="n">
        <v>57007</v>
      </c>
      <c r="B57008">
        <f>TEXT(57007, "[$-0E0000]yyyy-mm-dd")</f>
        <v/>
      </c>
      <c r="C57008" t="inlineStr">
        <is>
          <t>2055-12-13</t>
        </is>
      </c>
    </row>
    <row r="57009">
      <c r="A57009" s="1" t="n">
        <v>57008</v>
      </c>
      <c r="B57009">
        <f>TEXT(57008, "[$-0E0000]yyyy-mm-dd")</f>
        <v/>
      </c>
      <c r="C57009" t="inlineStr">
        <is>
          <t>2055-12-14</t>
        </is>
      </c>
    </row>
    <row r="57010">
      <c r="A57010" s="1" t="n">
        <v>57009</v>
      </c>
      <c r="B57010">
        <f>TEXT(57009, "[$-0E0000]yyyy-mm-dd")</f>
        <v/>
      </c>
      <c r="C57010" t="inlineStr">
        <is>
          <t>2055-12-15</t>
        </is>
      </c>
    </row>
    <row r="57011">
      <c r="A57011" s="1" t="n">
        <v>57010</v>
      </c>
      <c r="B57011">
        <f>TEXT(57010, "[$-0E0000]yyyy-mm-dd")</f>
        <v/>
      </c>
      <c r="C57011" t="inlineStr">
        <is>
          <t>2055-12-16</t>
        </is>
      </c>
    </row>
    <row r="57012">
      <c r="A57012" s="1" t="n">
        <v>57011</v>
      </c>
      <c r="B57012">
        <f>TEXT(57011, "[$-0E0000]yyyy-mm-dd")</f>
        <v/>
      </c>
      <c r="C57012" t="inlineStr">
        <is>
          <t>2055-12-17</t>
        </is>
      </c>
    </row>
    <row r="57013">
      <c r="A57013" s="1" t="n">
        <v>57012</v>
      </c>
      <c r="B57013">
        <f>TEXT(57012, "[$-0E0000]yyyy-mm-dd")</f>
        <v/>
      </c>
      <c r="C57013" t="inlineStr">
        <is>
          <t>2055-12-18</t>
        </is>
      </c>
    </row>
    <row r="57014">
      <c r="A57014" s="1" t="n">
        <v>57013</v>
      </c>
      <c r="B57014">
        <f>TEXT(57013, "[$-0E0000]yyyy-mm-dd")</f>
        <v/>
      </c>
      <c r="C57014" t="inlineStr">
        <is>
          <t>2055-12-19</t>
        </is>
      </c>
    </row>
    <row r="57015">
      <c r="A57015" s="1" t="n">
        <v>57014</v>
      </c>
      <c r="B57015">
        <f>TEXT(57014, "[$-0E0000]yyyy-mm-dd")</f>
        <v/>
      </c>
      <c r="C57015" t="inlineStr">
        <is>
          <t>2055-12-20</t>
        </is>
      </c>
    </row>
    <row r="57016">
      <c r="A57016" s="1" t="n">
        <v>57015</v>
      </c>
      <c r="B57016">
        <f>TEXT(57015, "[$-0E0000]yyyy-mm-dd")</f>
        <v/>
      </c>
      <c r="C57016" t="inlineStr">
        <is>
          <t>2055-12-21</t>
        </is>
      </c>
    </row>
    <row r="57017">
      <c r="A57017" s="1" t="n">
        <v>57016</v>
      </c>
      <c r="B57017">
        <f>TEXT(57016, "[$-0E0000]yyyy-mm-dd")</f>
        <v/>
      </c>
      <c r="C57017" t="inlineStr">
        <is>
          <t>2055-12-22</t>
        </is>
      </c>
    </row>
    <row r="57018">
      <c r="A57018" s="1" t="n">
        <v>57017</v>
      </c>
      <c r="B57018">
        <f>TEXT(57017, "[$-0E0000]yyyy-mm-dd")</f>
        <v/>
      </c>
      <c r="C57018" t="inlineStr">
        <is>
          <t>2055-12-23</t>
        </is>
      </c>
    </row>
    <row r="57019">
      <c r="A57019" s="1" t="n">
        <v>57018</v>
      </c>
      <c r="B57019">
        <f>TEXT(57018, "[$-0E0000]yyyy-mm-dd")</f>
        <v/>
      </c>
      <c r="C57019" t="inlineStr">
        <is>
          <t>2055-12-24</t>
        </is>
      </c>
    </row>
    <row r="57020">
      <c r="A57020" s="1" t="n">
        <v>57019</v>
      </c>
      <c r="B57020">
        <f>TEXT(57019, "[$-0E0000]yyyy-mm-dd")</f>
        <v/>
      </c>
      <c r="C57020" t="inlineStr">
        <is>
          <t>2055-12-25</t>
        </is>
      </c>
    </row>
    <row r="57021">
      <c r="A57021" s="1" t="n">
        <v>57020</v>
      </c>
      <c r="B57021">
        <f>TEXT(57020, "[$-0E0000]yyyy-mm-dd")</f>
        <v/>
      </c>
      <c r="C57021" t="inlineStr">
        <is>
          <t>2055-12-26</t>
        </is>
      </c>
    </row>
    <row r="57022">
      <c r="A57022" s="1" t="n">
        <v>57021</v>
      </c>
      <c r="B57022">
        <f>TEXT(57021, "[$-0E0000]yyyy-mm-dd")</f>
        <v/>
      </c>
      <c r="C57022" t="inlineStr">
        <is>
          <t>2055-12-27</t>
        </is>
      </c>
    </row>
    <row r="57023">
      <c r="A57023" s="1" t="n">
        <v>57022</v>
      </c>
      <c r="B57023">
        <f>TEXT(57022, "[$-0E0000]yyyy-mm-dd")</f>
        <v/>
      </c>
      <c r="C57023" t="inlineStr">
        <is>
          <t>2055-12-28</t>
        </is>
      </c>
    </row>
    <row r="57024">
      <c r="A57024" s="1" t="n">
        <v>57023</v>
      </c>
      <c r="B57024">
        <f>TEXT(57023, "[$-0E0000]yyyy-mm-dd")</f>
        <v/>
      </c>
      <c r="C57024" t="inlineStr">
        <is>
          <t>2055-12-29</t>
        </is>
      </c>
    </row>
    <row r="57025">
      <c r="A57025" s="1" t="n">
        <v>57024</v>
      </c>
      <c r="B57025">
        <f>TEXT(57024, "[$-0E0000]yyyy-mm-dd")</f>
        <v/>
      </c>
      <c r="C57025" t="inlineStr">
        <is>
          <t>2056-01-01</t>
        </is>
      </c>
    </row>
    <row r="57026">
      <c r="A57026" s="1" t="n">
        <v>57025</v>
      </c>
      <c r="B57026">
        <f>TEXT(57025, "[$-0E0000]yyyy-mm-dd")</f>
        <v/>
      </c>
      <c r="C57026" t="inlineStr">
        <is>
          <t>2056-01-02</t>
        </is>
      </c>
    </row>
    <row r="57027">
      <c r="A57027" s="1" t="n">
        <v>57026</v>
      </c>
      <c r="B57027">
        <f>TEXT(57026, "[$-0E0000]yyyy-mm-dd")</f>
        <v/>
      </c>
      <c r="C57027" t="inlineStr">
        <is>
          <t>2056-01-03</t>
        </is>
      </c>
    </row>
    <row r="57028">
      <c r="A57028" s="1" t="n">
        <v>57027</v>
      </c>
      <c r="B57028">
        <f>TEXT(57027, "[$-0E0000]yyyy-mm-dd")</f>
        <v/>
      </c>
      <c r="C57028" t="inlineStr">
        <is>
          <t>2056-01-04</t>
        </is>
      </c>
    </row>
    <row r="57029">
      <c r="A57029" s="1" t="n">
        <v>57028</v>
      </c>
      <c r="B57029">
        <f>TEXT(57028, "[$-0E0000]yyyy-mm-dd")</f>
        <v/>
      </c>
      <c r="C57029" t="inlineStr">
        <is>
          <t>2056-01-05</t>
        </is>
      </c>
    </row>
    <row r="57030">
      <c r="A57030" s="1" t="n">
        <v>57029</v>
      </c>
      <c r="B57030">
        <f>TEXT(57029, "[$-0E0000]yyyy-mm-dd")</f>
        <v/>
      </c>
      <c r="C57030" t="inlineStr">
        <is>
          <t>2056-01-06</t>
        </is>
      </c>
    </row>
    <row r="57031">
      <c r="A57031" s="1" t="n">
        <v>57030</v>
      </c>
      <c r="B57031">
        <f>TEXT(57030, "[$-0E0000]yyyy-mm-dd")</f>
        <v/>
      </c>
      <c r="C57031" t="inlineStr">
        <is>
          <t>2056-01-07</t>
        </is>
      </c>
    </row>
    <row r="57032">
      <c r="A57032" s="1" t="n">
        <v>57031</v>
      </c>
      <c r="B57032">
        <f>TEXT(57031, "[$-0E0000]yyyy-mm-dd")</f>
        <v/>
      </c>
      <c r="C57032" t="inlineStr">
        <is>
          <t>2056-01-08</t>
        </is>
      </c>
    </row>
    <row r="57033">
      <c r="A57033" s="1" t="n">
        <v>57032</v>
      </c>
      <c r="B57033">
        <f>TEXT(57032, "[$-0E0000]yyyy-mm-dd")</f>
        <v/>
      </c>
      <c r="C57033" t="inlineStr">
        <is>
          <t>2056-01-09</t>
        </is>
      </c>
    </row>
    <row r="57034">
      <c r="A57034" s="1" t="n">
        <v>57033</v>
      </c>
      <c r="B57034">
        <f>TEXT(57033, "[$-0E0000]yyyy-mm-dd")</f>
        <v/>
      </c>
      <c r="C57034" t="inlineStr">
        <is>
          <t>2056-01-10</t>
        </is>
      </c>
    </row>
    <row r="57035">
      <c r="A57035" s="1" t="n">
        <v>57034</v>
      </c>
      <c r="B57035">
        <f>TEXT(57034, "[$-0E0000]yyyy-mm-dd")</f>
        <v/>
      </c>
      <c r="C57035" t="inlineStr">
        <is>
          <t>2056-01-11</t>
        </is>
      </c>
    </row>
    <row r="57036">
      <c r="A57036" s="1" t="n">
        <v>57035</v>
      </c>
      <c r="B57036">
        <f>TEXT(57035, "[$-0E0000]yyyy-mm-dd")</f>
        <v/>
      </c>
      <c r="C57036" t="inlineStr">
        <is>
          <t>2056-01-12</t>
        </is>
      </c>
    </row>
    <row r="57037">
      <c r="A57037" s="1" t="n">
        <v>57036</v>
      </c>
      <c r="B57037">
        <f>TEXT(57036, "[$-0E0000]yyyy-mm-dd")</f>
        <v/>
      </c>
      <c r="C57037" t="inlineStr">
        <is>
          <t>2056-01-13</t>
        </is>
      </c>
    </row>
    <row r="57038">
      <c r="A57038" s="1" t="n">
        <v>57037</v>
      </c>
      <c r="B57038">
        <f>TEXT(57037, "[$-0E0000]yyyy-mm-dd")</f>
        <v/>
      </c>
      <c r="C57038" t="inlineStr">
        <is>
          <t>2056-01-14</t>
        </is>
      </c>
    </row>
    <row r="57039">
      <c r="A57039" s="1" t="n">
        <v>57038</v>
      </c>
      <c r="B57039">
        <f>TEXT(57038, "[$-0E0000]yyyy-mm-dd")</f>
        <v/>
      </c>
      <c r="C57039" t="inlineStr">
        <is>
          <t>2056-01-15</t>
        </is>
      </c>
    </row>
    <row r="57040">
      <c r="A57040" s="1" t="n">
        <v>57039</v>
      </c>
      <c r="B57040">
        <f>TEXT(57039, "[$-0E0000]yyyy-mm-dd")</f>
        <v/>
      </c>
      <c r="C57040" t="inlineStr">
        <is>
          <t>2056-01-16</t>
        </is>
      </c>
    </row>
    <row r="57041">
      <c r="A57041" s="1" t="n">
        <v>57040</v>
      </c>
      <c r="B57041">
        <f>TEXT(57040, "[$-0E0000]yyyy-mm-dd")</f>
        <v/>
      </c>
      <c r="C57041" t="inlineStr">
        <is>
          <t>2056-01-17</t>
        </is>
      </c>
    </row>
    <row r="57042">
      <c r="A57042" s="1" t="n">
        <v>57041</v>
      </c>
      <c r="B57042">
        <f>TEXT(57041, "[$-0E0000]yyyy-mm-dd")</f>
        <v/>
      </c>
      <c r="C57042" t="inlineStr">
        <is>
          <t>2056-01-18</t>
        </is>
      </c>
    </row>
    <row r="57043">
      <c r="A57043" s="1" t="n">
        <v>57042</v>
      </c>
      <c r="B57043">
        <f>TEXT(57042, "[$-0E0000]yyyy-mm-dd")</f>
        <v/>
      </c>
      <c r="C57043" t="inlineStr">
        <is>
          <t>2056-01-19</t>
        </is>
      </c>
    </row>
    <row r="57044">
      <c r="A57044" s="1" t="n">
        <v>57043</v>
      </c>
      <c r="B57044">
        <f>TEXT(57043, "[$-0E0000]yyyy-mm-dd")</f>
        <v/>
      </c>
      <c r="C57044" t="inlineStr">
        <is>
          <t>2056-01-20</t>
        </is>
      </c>
    </row>
    <row r="57045">
      <c r="A57045" s="1" t="n">
        <v>57044</v>
      </c>
      <c r="B57045">
        <f>TEXT(57044, "[$-0E0000]yyyy-mm-dd")</f>
        <v/>
      </c>
      <c r="C57045" t="inlineStr">
        <is>
          <t>2056-01-21</t>
        </is>
      </c>
    </row>
    <row r="57046">
      <c r="A57046" s="1" t="n">
        <v>57045</v>
      </c>
      <c r="B57046">
        <f>TEXT(57045, "[$-0E0000]yyyy-mm-dd")</f>
        <v/>
      </c>
      <c r="C57046" t="inlineStr">
        <is>
          <t>2056-01-22</t>
        </is>
      </c>
    </row>
    <row r="57047">
      <c r="A57047" s="1" t="n">
        <v>57046</v>
      </c>
      <c r="B57047">
        <f>TEXT(57046, "[$-0E0000]yyyy-mm-dd")</f>
        <v/>
      </c>
      <c r="C57047" t="inlineStr">
        <is>
          <t>2056-01-23</t>
        </is>
      </c>
    </row>
    <row r="57048">
      <c r="A57048" s="1" t="n">
        <v>57047</v>
      </c>
      <c r="B57048">
        <f>TEXT(57047, "[$-0E0000]yyyy-mm-dd")</f>
        <v/>
      </c>
      <c r="C57048" t="inlineStr">
        <is>
          <t>2056-01-24</t>
        </is>
      </c>
    </row>
    <row r="57049">
      <c r="A57049" s="1" t="n">
        <v>57048</v>
      </c>
      <c r="B57049">
        <f>TEXT(57048, "[$-0E0000]yyyy-mm-dd")</f>
        <v/>
      </c>
      <c r="C57049" t="inlineStr">
        <is>
          <t>2056-01-25</t>
        </is>
      </c>
    </row>
    <row r="57050">
      <c r="A57050" s="1" t="n">
        <v>57049</v>
      </c>
      <c r="B57050">
        <f>TEXT(57049, "[$-0E0000]yyyy-mm-dd")</f>
        <v/>
      </c>
      <c r="C57050" t="inlineStr">
        <is>
          <t>2056-01-26</t>
        </is>
      </c>
    </row>
    <row r="57051">
      <c r="A57051" s="1" t="n">
        <v>57050</v>
      </c>
      <c r="B57051">
        <f>TEXT(57050, "[$-0E0000]yyyy-mm-dd")</f>
        <v/>
      </c>
      <c r="C57051" t="inlineStr">
        <is>
          <t>2056-01-27</t>
        </is>
      </c>
    </row>
    <row r="57052">
      <c r="A57052" s="1" t="n">
        <v>57051</v>
      </c>
      <c r="B57052">
        <f>TEXT(57051, "[$-0E0000]yyyy-mm-dd")</f>
        <v/>
      </c>
      <c r="C57052" t="inlineStr">
        <is>
          <t>2056-01-28</t>
        </is>
      </c>
    </row>
    <row r="57053">
      <c r="A57053" s="1" t="n">
        <v>57052</v>
      </c>
      <c r="B57053">
        <f>TEXT(57052, "[$-0E0000]yyyy-mm-dd")</f>
        <v/>
      </c>
      <c r="C57053" t="inlineStr">
        <is>
          <t>2056-01-29</t>
        </is>
      </c>
    </row>
    <row r="57054">
      <c r="A57054" s="1" t="n">
        <v>57053</v>
      </c>
      <c r="B57054">
        <f>TEXT(57053, "[$-0E0000]yyyy-mm-dd")</f>
        <v/>
      </c>
      <c r="C57054" t="inlineStr">
        <is>
          <t>2056-01-30</t>
        </is>
      </c>
    </row>
    <row r="57055">
      <c r="A57055" s="1" t="n">
        <v>57054</v>
      </c>
      <c r="B57055">
        <f>TEXT(57054, "[$-0E0000]yyyy-mm-dd")</f>
        <v/>
      </c>
      <c r="C57055" t="inlineStr">
        <is>
          <t>2056-02-01</t>
        </is>
      </c>
    </row>
    <row r="57056">
      <c r="A57056" s="1" t="n">
        <v>57055</v>
      </c>
      <c r="B57056">
        <f>TEXT(57055, "[$-0E0000]yyyy-mm-dd")</f>
        <v/>
      </c>
      <c r="C57056" t="inlineStr">
        <is>
          <t>2056-02-02</t>
        </is>
      </c>
    </row>
    <row r="57057">
      <c r="A57057" s="1" t="n">
        <v>57056</v>
      </c>
      <c r="B57057">
        <f>TEXT(57056, "[$-0E0000]yyyy-mm-dd")</f>
        <v/>
      </c>
      <c r="C57057" t="inlineStr">
        <is>
          <t>2056-02-03</t>
        </is>
      </c>
    </row>
    <row r="57058">
      <c r="A57058" s="1" t="n">
        <v>57057</v>
      </c>
      <c r="B57058">
        <f>TEXT(57057, "[$-0E0000]yyyy-mm-dd")</f>
        <v/>
      </c>
      <c r="C57058" t="inlineStr">
        <is>
          <t>2056-02-04</t>
        </is>
      </c>
    </row>
    <row r="57059">
      <c r="A57059" s="1" t="n">
        <v>57058</v>
      </c>
      <c r="B57059">
        <f>TEXT(57058, "[$-0E0000]yyyy-mm-dd")</f>
        <v/>
      </c>
      <c r="C57059" t="inlineStr">
        <is>
          <t>2056-02-05</t>
        </is>
      </c>
    </row>
    <row r="57060">
      <c r="A57060" s="1" t="n">
        <v>57059</v>
      </c>
      <c r="B57060">
        <f>TEXT(57059, "[$-0E0000]yyyy-mm-dd")</f>
        <v/>
      </c>
      <c r="C57060" t="inlineStr">
        <is>
          <t>2056-02-06</t>
        </is>
      </c>
    </row>
    <row r="57061">
      <c r="A57061" s="1" t="n">
        <v>57060</v>
      </c>
      <c r="B57061">
        <f>TEXT(57060, "[$-0E0000]yyyy-mm-dd")</f>
        <v/>
      </c>
      <c r="C57061" t="inlineStr">
        <is>
          <t>2056-02-07</t>
        </is>
      </c>
    </row>
    <row r="57062">
      <c r="A57062" s="1" t="n">
        <v>57061</v>
      </c>
      <c r="B57062">
        <f>TEXT(57061, "[$-0E0000]yyyy-mm-dd")</f>
        <v/>
      </c>
      <c r="C57062" t="inlineStr">
        <is>
          <t>2056-02-08</t>
        </is>
      </c>
    </row>
    <row r="57063">
      <c r="A57063" s="1" t="n">
        <v>57062</v>
      </c>
      <c r="B57063">
        <f>TEXT(57062, "[$-0E0000]yyyy-mm-dd")</f>
        <v/>
      </c>
      <c r="C57063" t="inlineStr">
        <is>
          <t>2056-02-09</t>
        </is>
      </c>
    </row>
    <row r="57064">
      <c r="A57064" s="1" t="n">
        <v>57063</v>
      </c>
      <c r="B57064">
        <f>TEXT(57063, "[$-0E0000]yyyy-mm-dd")</f>
        <v/>
      </c>
      <c r="C57064" t="inlineStr">
        <is>
          <t>2056-02-10</t>
        </is>
      </c>
    </row>
    <row r="57065">
      <c r="A57065" s="1" t="n">
        <v>57064</v>
      </c>
      <c r="B57065">
        <f>TEXT(57064, "[$-0E0000]yyyy-mm-dd")</f>
        <v/>
      </c>
      <c r="C57065" t="inlineStr">
        <is>
          <t>2056-02-11</t>
        </is>
      </c>
    </row>
    <row r="57066">
      <c r="A57066" s="1" t="n">
        <v>57065</v>
      </c>
      <c r="B57066">
        <f>TEXT(57065, "[$-0E0000]yyyy-mm-dd")</f>
        <v/>
      </c>
      <c r="C57066" t="inlineStr">
        <is>
          <t>2056-02-12</t>
        </is>
      </c>
    </row>
    <row r="57067">
      <c r="A57067" s="1" t="n">
        <v>57066</v>
      </c>
      <c r="B57067">
        <f>TEXT(57066, "[$-0E0000]yyyy-mm-dd")</f>
        <v/>
      </c>
      <c r="C57067" t="inlineStr">
        <is>
          <t>2056-02-13</t>
        </is>
      </c>
    </row>
    <row r="57068">
      <c r="A57068" s="1" t="n">
        <v>57067</v>
      </c>
      <c r="B57068">
        <f>TEXT(57067, "[$-0E0000]yyyy-mm-dd")</f>
        <v/>
      </c>
      <c r="C57068" t="inlineStr">
        <is>
          <t>2056-02-14</t>
        </is>
      </c>
    </row>
    <row r="57069">
      <c r="A57069" s="1" t="n">
        <v>57068</v>
      </c>
      <c r="B57069">
        <f>TEXT(57068, "[$-0E0000]yyyy-mm-dd")</f>
        <v/>
      </c>
      <c r="C57069" t="inlineStr">
        <is>
          <t>2056-02-15</t>
        </is>
      </c>
    </row>
    <row r="57070">
      <c r="A57070" s="1" t="n">
        <v>57069</v>
      </c>
      <c r="B57070">
        <f>TEXT(57069, "[$-0E0000]yyyy-mm-dd")</f>
        <v/>
      </c>
      <c r="C57070" t="inlineStr">
        <is>
          <t>2056-02-16</t>
        </is>
      </c>
    </row>
    <row r="57071">
      <c r="A57071" s="1" t="n">
        <v>57070</v>
      </c>
      <c r="B57071">
        <f>TEXT(57070, "[$-0E0000]yyyy-mm-dd")</f>
        <v/>
      </c>
      <c r="C57071" t="inlineStr">
        <is>
          <t>2056-02-17</t>
        </is>
      </c>
    </row>
    <row r="57072">
      <c r="A57072" s="1" t="n">
        <v>57071</v>
      </c>
      <c r="B57072">
        <f>TEXT(57071, "[$-0E0000]yyyy-mm-dd")</f>
        <v/>
      </c>
      <c r="C57072" t="inlineStr">
        <is>
          <t>2056-02-18</t>
        </is>
      </c>
    </row>
    <row r="57073">
      <c r="A57073" s="1" t="n">
        <v>57072</v>
      </c>
      <c r="B57073">
        <f>TEXT(57072, "[$-0E0000]yyyy-mm-dd")</f>
        <v/>
      </c>
      <c r="C57073" t="inlineStr">
        <is>
          <t>2056-02-19</t>
        </is>
      </c>
    </row>
    <row r="57074">
      <c r="A57074" s="1" t="n">
        <v>57073</v>
      </c>
      <c r="B57074">
        <f>TEXT(57073, "[$-0E0000]yyyy-mm-dd")</f>
        <v/>
      </c>
      <c r="C57074" t="inlineStr">
        <is>
          <t>2056-02-20</t>
        </is>
      </c>
    </row>
    <row r="57075">
      <c r="A57075" s="1" t="n">
        <v>57074</v>
      </c>
      <c r="B57075">
        <f>TEXT(57074, "[$-0E0000]yyyy-mm-dd")</f>
        <v/>
      </c>
      <c r="C57075" t="inlineStr">
        <is>
          <t>2056-02-21</t>
        </is>
      </c>
    </row>
    <row r="57076">
      <c r="A57076" s="1" t="n">
        <v>57075</v>
      </c>
      <c r="B57076">
        <f>TEXT(57075, "[$-0E0000]yyyy-mm-dd")</f>
        <v/>
      </c>
      <c r="C57076" t="inlineStr">
        <is>
          <t>2056-02-22</t>
        </is>
      </c>
    </row>
    <row r="57077">
      <c r="A57077" s="1" t="n">
        <v>57076</v>
      </c>
      <c r="B57077">
        <f>TEXT(57076, "[$-0E0000]yyyy-mm-dd")</f>
        <v/>
      </c>
      <c r="C57077" t="inlineStr">
        <is>
          <t>2056-02-23</t>
        </is>
      </c>
    </row>
    <row r="57078">
      <c r="A57078" s="1" t="n">
        <v>57077</v>
      </c>
      <c r="B57078">
        <f>TEXT(57077, "[$-0E0000]yyyy-mm-dd")</f>
        <v/>
      </c>
      <c r="C57078" t="inlineStr">
        <is>
          <t>2056-02-24</t>
        </is>
      </c>
    </row>
    <row r="57079">
      <c r="A57079" s="1" t="n">
        <v>57078</v>
      </c>
      <c r="B57079">
        <f>TEXT(57078, "[$-0E0000]yyyy-mm-dd")</f>
        <v/>
      </c>
      <c r="C57079" t="inlineStr">
        <is>
          <t>2056-02-25</t>
        </is>
      </c>
    </row>
    <row r="57080">
      <c r="A57080" s="1" t="n">
        <v>57079</v>
      </c>
      <c r="B57080">
        <f>TEXT(57079, "[$-0E0000]yyyy-mm-dd")</f>
        <v/>
      </c>
      <c r="C57080" t="inlineStr">
        <is>
          <t>2056-02-26</t>
        </is>
      </c>
    </row>
    <row r="57081">
      <c r="A57081" s="1" t="n">
        <v>57080</v>
      </c>
      <c r="B57081">
        <f>TEXT(57080, "[$-0E0000]yyyy-mm-dd")</f>
        <v/>
      </c>
      <c r="C57081" t="inlineStr">
        <is>
          <t>2056-02-27</t>
        </is>
      </c>
    </row>
    <row r="57082">
      <c r="A57082" s="1" t="n">
        <v>57081</v>
      </c>
      <c r="B57082">
        <f>TEXT(57081, "[$-0E0000]yyyy-mm-dd")</f>
        <v/>
      </c>
      <c r="C57082" t="inlineStr">
        <is>
          <t>2056-02-28</t>
        </is>
      </c>
    </row>
    <row r="57083">
      <c r="A57083" s="1" t="n">
        <v>57082</v>
      </c>
      <c r="B57083">
        <f>TEXT(57082, "[$-0E0000]yyyy-mm-dd")</f>
        <v/>
      </c>
      <c r="C57083" t="inlineStr">
        <is>
          <t>2056-02-29</t>
        </is>
      </c>
    </row>
    <row r="57084">
      <c r="A57084" s="1" t="n">
        <v>57083</v>
      </c>
      <c r="B57084">
        <f>TEXT(57083, "[$-0E0000]yyyy-mm-dd")</f>
        <v/>
      </c>
      <c r="C57084" t="inlineStr">
        <is>
          <t>2056-02-30</t>
        </is>
      </c>
    </row>
    <row r="57085">
      <c r="A57085" s="1" t="n">
        <v>57084</v>
      </c>
      <c r="B57085">
        <f>TEXT(57084, "[$-0E0000]yyyy-mm-dd")</f>
        <v/>
      </c>
      <c r="C57085" t="inlineStr">
        <is>
          <t>2056-03-01</t>
        </is>
      </c>
    </row>
    <row r="57086">
      <c r="A57086" s="1" t="n">
        <v>57085</v>
      </c>
      <c r="B57086">
        <f>TEXT(57085, "[$-0E0000]yyyy-mm-dd")</f>
        <v/>
      </c>
      <c r="C57086" t="inlineStr">
        <is>
          <t>2056-03-02</t>
        </is>
      </c>
    </row>
    <row r="57087">
      <c r="A57087" s="1" t="n">
        <v>57086</v>
      </c>
      <c r="B57087">
        <f>TEXT(57086, "[$-0E0000]yyyy-mm-dd")</f>
        <v/>
      </c>
      <c r="C57087" t="inlineStr">
        <is>
          <t>2056-03-03</t>
        </is>
      </c>
    </row>
    <row r="57088">
      <c r="A57088" s="1" t="n">
        <v>57087</v>
      </c>
      <c r="B57088">
        <f>TEXT(57087, "[$-0E0000]yyyy-mm-dd")</f>
        <v/>
      </c>
      <c r="C57088" t="inlineStr">
        <is>
          <t>2056-03-04</t>
        </is>
      </c>
    </row>
    <row r="57089">
      <c r="A57089" s="1" t="n">
        <v>57088</v>
      </c>
      <c r="B57089">
        <f>TEXT(57088, "[$-0E0000]yyyy-mm-dd")</f>
        <v/>
      </c>
      <c r="C57089" t="inlineStr">
        <is>
          <t>2056-03-05</t>
        </is>
      </c>
    </row>
    <row r="57090">
      <c r="A57090" s="1" t="n">
        <v>57089</v>
      </c>
      <c r="B57090">
        <f>TEXT(57089, "[$-0E0000]yyyy-mm-dd")</f>
        <v/>
      </c>
      <c r="C57090" t="inlineStr">
        <is>
          <t>2056-03-06</t>
        </is>
      </c>
    </row>
    <row r="57091">
      <c r="A57091" s="1" t="n">
        <v>57090</v>
      </c>
      <c r="B57091">
        <f>TEXT(57090, "[$-0E0000]yyyy-mm-dd")</f>
        <v/>
      </c>
      <c r="C57091" t="inlineStr">
        <is>
          <t>2056-03-07</t>
        </is>
      </c>
    </row>
    <row r="57092">
      <c r="A57092" s="1" t="n">
        <v>57091</v>
      </c>
      <c r="B57092">
        <f>TEXT(57091, "[$-0E0000]yyyy-mm-dd")</f>
        <v/>
      </c>
      <c r="C57092" t="inlineStr">
        <is>
          <t>2056-03-08</t>
        </is>
      </c>
    </row>
    <row r="57093">
      <c r="A57093" s="1" t="n">
        <v>57092</v>
      </c>
      <c r="B57093">
        <f>TEXT(57092, "[$-0E0000]yyyy-mm-dd")</f>
        <v/>
      </c>
      <c r="C57093" t="inlineStr">
        <is>
          <t>2056-03-09</t>
        </is>
      </c>
    </row>
    <row r="57094">
      <c r="A57094" s="1" t="n">
        <v>57093</v>
      </c>
      <c r="B57094">
        <f>TEXT(57093, "[$-0E0000]yyyy-mm-dd")</f>
        <v/>
      </c>
      <c r="C57094" t="inlineStr">
        <is>
          <t>2056-03-10</t>
        </is>
      </c>
    </row>
    <row r="57095">
      <c r="A57095" s="1" t="n">
        <v>57094</v>
      </c>
      <c r="B57095">
        <f>TEXT(57094, "[$-0E0000]yyyy-mm-dd")</f>
        <v/>
      </c>
      <c r="C57095" t="inlineStr">
        <is>
          <t>2056-03-11</t>
        </is>
      </c>
    </row>
    <row r="57096">
      <c r="A57096" s="1" t="n">
        <v>57095</v>
      </c>
      <c r="B57096">
        <f>TEXT(57095, "[$-0E0000]yyyy-mm-dd")</f>
        <v/>
      </c>
      <c r="C57096" t="inlineStr">
        <is>
          <t>2056-03-12</t>
        </is>
      </c>
    </row>
    <row r="57097">
      <c r="A57097" s="1" t="n">
        <v>57096</v>
      </c>
      <c r="B57097">
        <f>TEXT(57096, "[$-0E0000]yyyy-mm-dd")</f>
        <v/>
      </c>
      <c r="C57097" t="inlineStr">
        <is>
          <t>2056-03-13</t>
        </is>
      </c>
    </row>
    <row r="57098">
      <c r="A57098" s="1" t="n">
        <v>57097</v>
      </c>
      <c r="B57098">
        <f>TEXT(57097, "[$-0E0000]yyyy-mm-dd")</f>
        <v/>
      </c>
      <c r="C57098" t="inlineStr">
        <is>
          <t>2056-03-14</t>
        </is>
      </c>
    </row>
    <row r="57099">
      <c r="A57099" s="1" t="n">
        <v>57098</v>
      </c>
      <c r="B57099">
        <f>TEXT(57098, "[$-0E0000]yyyy-mm-dd")</f>
        <v/>
      </c>
      <c r="C57099" t="inlineStr">
        <is>
          <t>2056-03-15</t>
        </is>
      </c>
    </row>
    <row r="57100">
      <c r="A57100" s="1" t="n">
        <v>57099</v>
      </c>
      <c r="B57100">
        <f>TEXT(57099, "[$-0E0000]yyyy-mm-dd")</f>
        <v/>
      </c>
      <c r="C57100" t="inlineStr">
        <is>
          <t>2056-03-16</t>
        </is>
      </c>
    </row>
    <row r="57101">
      <c r="A57101" s="1" t="n">
        <v>57100</v>
      </c>
      <c r="B57101">
        <f>TEXT(57100, "[$-0E0000]yyyy-mm-dd")</f>
        <v/>
      </c>
      <c r="C57101" t="inlineStr">
        <is>
          <t>2056-03-17</t>
        </is>
      </c>
    </row>
    <row r="57102">
      <c r="A57102" s="1" t="n">
        <v>57101</v>
      </c>
      <c r="B57102">
        <f>TEXT(57101, "[$-0E0000]yyyy-mm-dd")</f>
        <v/>
      </c>
      <c r="C57102" t="inlineStr">
        <is>
          <t>2056-03-18</t>
        </is>
      </c>
    </row>
    <row r="57103">
      <c r="A57103" s="1" t="n">
        <v>57102</v>
      </c>
      <c r="B57103">
        <f>TEXT(57102, "[$-0E0000]yyyy-mm-dd")</f>
        <v/>
      </c>
      <c r="C57103" t="inlineStr">
        <is>
          <t>2056-03-19</t>
        </is>
      </c>
    </row>
    <row r="57104">
      <c r="A57104" s="1" t="n">
        <v>57103</v>
      </c>
      <c r="B57104">
        <f>TEXT(57103, "[$-0E0000]yyyy-mm-dd")</f>
        <v/>
      </c>
      <c r="C57104" t="inlineStr">
        <is>
          <t>2056-03-20</t>
        </is>
      </c>
    </row>
    <row r="57105">
      <c r="A57105" s="1" t="n">
        <v>57104</v>
      </c>
      <c r="B57105">
        <f>TEXT(57104, "[$-0E0000]yyyy-mm-dd")</f>
        <v/>
      </c>
      <c r="C57105" t="inlineStr">
        <is>
          <t>2056-03-21</t>
        </is>
      </c>
    </row>
    <row r="57106">
      <c r="A57106" s="1" t="n">
        <v>57105</v>
      </c>
      <c r="B57106">
        <f>TEXT(57105, "[$-0E0000]yyyy-mm-dd")</f>
        <v/>
      </c>
      <c r="C57106" t="inlineStr">
        <is>
          <t>2056-03-22</t>
        </is>
      </c>
    </row>
    <row r="57107">
      <c r="A57107" s="1" t="n">
        <v>57106</v>
      </c>
      <c r="B57107">
        <f>TEXT(57106, "[$-0E0000]yyyy-mm-dd")</f>
        <v/>
      </c>
      <c r="C57107" t="inlineStr">
        <is>
          <t>2056-03-23</t>
        </is>
      </c>
    </row>
    <row r="57108">
      <c r="A57108" s="1" t="n">
        <v>57107</v>
      </c>
      <c r="B57108">
        <f>TEXT(57107, "[$-0E0000]yyyy-mm-dd")</f>
        <v/>
      </c>
      <c r="C57108" t="inlineStr">
        <is>
          <t>2056-03-24</t>
        </is>
      </c>
    </row>
    <row r="57109">
      <c r="A57109" s="1" t="n">
        <v>57108</v>
      </c>
      <c r="B57109">
        <f>TEXT(57108, "[$-0E0000]yyyy-mm-dd")</f>
        <v/>
      </c>
      <c r="C57109" t="inlineStr">
        <is>
          <t>2056-03-25</t>
        </is>
      </c>
    </row>
    <row r="57110">
      <c r="A57110" s="1" t="n">
        <v>57109</v>
      </c>
      <c r="B57110">
        <f>TEXT(57109, "[$-0E0000]yyyy-mm-dd")</f>
        <v/>
      </c>
      <c r="C57110" t="inlineStr">
        <is>
          <t>2056-03-26</t>
        </is>
      </c>
    </row>
    <row r="57111">
      <c r="A57111" s="1" t="n">
        <v>57110</v>
      </c>
      <c r="B57111">
        <f>TEXT(57110, "[$-0E0000]yyyy-mm-dd")</f>
        <v/>
      </c>
      <c r="C57111" t="inlineStr">
        <is>
          <t>2056-03-27</t>
        </is>
      </c>
    </row>
    <row r="57112">
      <c r="A57112" s="1" t="n">
        <v>57111</v>
      </c>
      <c r="B57112">
        <f>TEXT(57111, "[$-0E0000]yyyy-mm-dd")</f>
        <v/>
      </c>
      <c r="C57112" t="inlineStr">
        <is>
          <t>2056-03-28</t>
        </is>
      </c>
    </row>
    <row r="57113">
      <c r="A57113" s="1" t="n">
        <v>57112</v>
      </c>
      <c r="B57113">
        <f>TEXT(57112, "[$-0E0000]yyyy-mm-dd")</f>
        <v/>
      </c>
      <c r="C57113" t="inlineStr">
        <is>
          <t>2056-03-29</t>
        </is>
      </c>
    </row>
    <row r="57114">
      <c r="A57114" s="1" t="n">
        <v>57113</v>
      </c>
      <c r="B57114">
        <f>TEXT(57113, "[$-0E0000]yyyy-mm-dd")</f>
        <v/>
      </c>
      <c r="C57114" t="inlineStr">
        <is>
          <t>2056-03-30</t>
        </is>
      </c>
    </row>
    <row r="57115">
      <c r="A57115" s="1" t="n">
        <v>57114</v>
      </c>
      <c r="B57115">
        <f>TEXT(57114, "[$-0E0000]yyyy-mm-dd")</f>
        <v/>
      </c>
      <c r="C57115" t="inlineStr">
        <is>
          <t>2056-04-01</t>
        </is>
      </c>
    </row>
    <row r="57116">
      <c r="A57116" s="1" t="n">
        <v>57115</v>
      </c>
      <c r="B57116">
        <f>TEXT(57115, "[$-0E0000]yyyy-mm-dd")</f>
        <v/>
      </c>
      <c r="C57116" t="inlineStr">
        <is>
          <t>2056-04-02</t>
        </is>
      </c>
    </row>
    <row r="57117">
      <c r="A57117" s="1" t="n">
        <v>57116</v>
      </c>
      <c r="B57117">
        <f>TEXT(57116, "[$-0E0000]yyyy-mm-dd")</f>
        <v/>
      </c>
      <c r="C57117" t="inlineStr">
        <is>
          <t>2056-04-03</t>
        </is>
      </c>
    </row>
    <row r="57118">
      <c r="A57118" s="1" t="n">
        <v>57117</v>
      </c>
      <c r="B57118">
        <f>TEXT(57117, "[$-0E0000]yyyy-mm-dd")</f>
        <v/>
      </c>
      <c r="C57118" t="inlineStr">
        <is>
          <t>2056-04-04</t>
        </is>
      </c>
    </row>
    <row r="57119">
      <c r="A57119" s="1" t="n">
        <v>57118</v>
      </c>
      <c r="B57119">
        <f>TEXT(57118, "[$-0E0000]yyyy-mm-dd")</f>
        <v/>
      </c>
      <c r="C57119" t="inlineStr">
        <is>
          <t>2056-04-05</t>
        </is>
      </c>
    </row>
    <row r="57120">
      <c r="A57120" s="1" t="n">
        <v>57119</v>
      </c>
      <c r="B57120">
        <f>TEXT(57119, "[$-0E0000]yyyy-mm-dd")</f>
        <v/>
      </c>
      <c r="C57120" t="inlineStr">
        <is>
          <t>2056-04-06</t>
        </is>
      </c>
    </row>
    <row r="57121">
      <c r="A57121" s="1" t="n">
        <v>57120</v>
      </c>
      <c r="B57121">
        <f>TEXT(57120, "[$-0E0000]yyyy-mm-dd")</f>
        <v/>
      </c>
      <c r="C57121" t="inlineStr">
        <is>
          <t>2056-04-07</t>
        </is>
      </c>
    </row>
    <row r="57122">
      <c r="A57122" s="1" t="n">
        <v>57121</v>
      </c>
      <c r="B57122">
        <f>TEXT(57121, "[$-0E0000]yyyy-mm-dd")</f>
        <v/>
      </c>
      <c r="C57122" t="inlineStr">
        <is>
          <t>2056-04-08</t>
        </is>
      </c>
    </row>
    <row r="57123">
      <c r="A57123" s="1" t="n">
        <v>57122</v>
      </c>
      <c r="B57123">
        <f>TEXT(57122, "[$-0E0000]yyyy-mm-dd")</f>
        <v/>
      </c>
      <c r="C57123" t="inlineStr">
        <is>
          <t>2056-04-09</t>
        </is>
      </c>
    </row>
    <row r="57124">
      <c r="A57124" s="1" t="n">
        <v>57123</v>
      </c>
      <c r="B57124">
        <f>TEXT(57123, "[$-0E0000]yyyy-mm-dd")</f>
        <v/>
      </c>
      <c r="C57124" t="inlineStr">
        <is>
          <t>2056-04-10</t>
        </is>
      </c>
    </row>
    <row r="57125">
      <c r="A57125" s="1" t="n">
        <v>57124</v>
      </c>
      <c r="B57125">
        <f>TEXT(57124, "[$-0E0000]yyyy-mm-dd")</f>
        <v/>
      </c>
      <c r="C57125" t="inlineStr">
        <is>
          <t>2056-04-11</t>
        </is>
      </c>
    </row>
    <row r="57126">
      <c r="A57126" s="1" t="n">
        <v>57125</v>
      </c>
      <c r="B57126">
        <f>TEXT(57125, "[$-0E0000]yyyy-mm-dd")</f>
        <v/>
      </c>
      <c r="C57126" t="inlineStr">
        <is>
          <t>2056-04-12</t>
        </is>
      </c>
    </row>
    <row r="57127">
      <c r="A57127" s="1" t="n">
        <v>57126</v>
      </c>
      <c r="B57127">
        <f>TEXT(57126, "[$-0E0000]yyyy-mm-dd")</f>
        <v/>
      </c>
      <c r="C57127" t="inlineStr">
        <is>
          <t>2056-04-13</t>
        </is>
      </c>
    </row>
    <row r="57128">
      <c r="A57128" s="1" t="n">
        <v>57127</v>
      </c>
      <c r="B57128">
        <f>TEXT(57127, "[$-0E0000]yyyy-mm-dd")</f>
        <v/>
      </c>
      <c r="C57128" t="inlineStr">
        <is>
          <t>2056-04-14</t>
        </is>
      </c>
    </row>
    <row r="57129">
      <c r="A57129" s="1" t="n">
        <v>57128</v>
      </c>
      <c r="B57129">
        <f>TEXT(57128, "[$-0E0000]yyyy-mm-dd")</f>
        <v/>
      </c>
      <c r="C57129" t="inlineStr">
        <is>
          <t>2056-04-15</t>
        </is>
      </c>
    </row>
    <row r="57130">
      <c r="A57130" s="1" t="n">
        <v>57129</v>
      </c>
      <c r="B57130">
        <f>TEXT(57129, "[$-0E0000]yyyy-mm-dd")</f>
        <v/>
      </c>
      <c r="C57130" t="inlineStr">
        <is>
          <t>2056-04-16</t>
        </is>
      </c>
    </row>
    <row r="57131">
      <c r="A57131" s="1" t="n">
        <v>57130</v>
      </c>
      <c r="B57131">
        <f>TEXT(57130, "[$-0E0000]yyyy-mm-dd")</f>
        <v/>
      </c>
      <c r="C57131" t="inlineStr">
        <is>
          <t>2056-04-17</t>
        </is>
      </c>
    </row>
    <row r="57132">
      <c r="A57132" s="1" t="n">
        <v>57131</v>
      </c>
      <c r="B57132">
        <f>TEXT(57131, "[$-0E0000]yyyy-mm-dd")</f>
        <v/>
      </c>
      <c r="C57132" t="inlineStr">
        <is>
          <t>2056-04-18</t>
        </is>
      </c>
    </row>
    <row r="57133">
      <c r="A57133" s="1" t="n">
        <v>57132</v>
      </c>
      <c r="B57133">
        <f>TEXT(57132, "[$-0E0000]yyyy-mm-dd")</f>
        <v/>
      </c>
      <c r="C57133" t="inlineStr">
        <is>
          <t>2056-04-19</t>
        </is>
      </c>
    </row>
    <row r="57134">
      <c r="A57134" s="1" t="n">
        <v>57133</v>
      </c>
      <c r="B57134">
        <f>TEXT(57133, "[$-0E0000]yyyy-mm-dd")</f>
        <v/>
      </c>
      <c r="C57134" t="inlineStr">
        <is>
          <t>2056-04-20</t>
        </is>
      </c>
    </row>
    <row r="57135">
      <c r="A57135" s="1" t="n">
        <v>57134</v>
      </c>
      <c r="B57135">
        <f>TEXT(57134, "[$-0E0000]yyyy-mm-dd")</f>
        <v/>
      </c>
      <c r="C57135" t="inlineStr">
        <is>
          <t>2056-04-21</t>
        </is>
      </c>
    </row>
    <row r="57136">
      <c r="A57136" s="1" t="n">
        <v>57135</v>
      </c>
      <c r="B57136">
        <f>TEXT(57135, "[$-0E0000]yyyy-mm-dd")</f>
        <v/>
      </c>
      <c r="C57136" t="inlineStr">
        <is>
          <t>2056-04-22</t>
        </is>
      </c>
    </row>
    <row r="57137">
      <c r="A57137" s="1" t="n">
        <v>57136</v>
      </c>
      <c r="B57137">
        <f>TEXT(57136, "[$-0E0000]yyyy-mm-dd")</f>
        <v/>
      </c>
      <c r="C57137" t="inlineStr">
        <is>
          <t>2056-04-23</t>
        </is>
      </c>
    </row>
    <row r="57138">
      <c r="A57138" s="1" t="n">
        <v>57137</v>
      </c>
      <c r="B57138">
        <f>TEXT(57137, "[$-0E0000]yyyy-mm-dd")</f>
        <v/>
      </c>
      <c r="C57138" t="inlineStr">
        <is>
          <t>2056-04-24</t>
        </is>
      </c>
    </row>
    <row r="57139">
      <c r="A57139" s="1" t="n">
        <v>57138</v>
      </c>
      <c r="B57139">
        <f>TEXT(57138, "[$-0E0000]yyyy-mm-dd")</f>
        <v/>
      </c>
      <c r="C57139" t="inlineStr">
        <is>
          <t>2056-04-25</t>
        </is>
      </c>
    </row>
    <row r="57140">
      <c r="A57140" s="1" t="n">
        <v>57139</v>
      </c>
      <c r="B57140">
        <f>TEXT(57139, "[$-0E0000]yyyy-mm-dd")</f>
        <v/>
      </c>
      <c r="C57140" t="inlineStr">
        <is>
          <t>2056-04-26</t>
        </is>
      </c>
    </row>
    <row r="57141">
      <c r="A57141" s="1" t="n">
        <v>57140</v>
      </c>
      <c r="B57141">
        <f>TEXT(57140, "[$-0E0000]yyyy-mm-dd")</f>
        <v/>
      </c>
      <c r="C57141" t="inlineStr">
        <is>
          <t>2056-04-27</t>
        </is>
      </c>
    </row>
    <row r="57142">
      <c r="A57142" s="1" t="n">
        <v>57141</v>
      </c>
      <c r="B57142">
        <f>TEXT(57141, "[$-0E0000]yyyy-mm-dd")</f>
        <v/>
      </c>
      <c r="C57142" t="inlineStr">
        <is>
          <t>2056-04-28</t>
        </is>
      </c>
    </row>
    <row r="57143">
      <c r="A57143" s="1" t="n">
        <v>57142</v>
      </c>
      <c r="B57143">
        <f>TEXT(57142, "[$-0E0000]yyyy-mm-dd")</f>
        <v/>
      </c>
      <c r="C57143" t="inlineStr">
        <is>
          <t>2056-04-29</t>
        </is>
      </c>
    </row>
    <row r="57144">
      <c r="A57144" s="1" t="n">
        <v>57143</v>
      </c>
      <c r="B57144">
        <f>TEXT(57143, "[$-0E0000]yyyy-mm-dd")</f>
        <v/>
      </c>
      <c r="C57144" t="inlineStr">
        <is>
          <t>2056-05-01</t>
        </is>
      </c>
    </row>
    <row r="57145">
      <c r="A57145" s="1" t="n">
        <v>57144</v>
      </c>
      <c r="B57145">
        <f>TEXT(57144, "[$-0E0000]yyyy-mm-dd")</f>
        <v/>
      </c>
      <c r="C57145" t="inlineStr">
        <is>
          <t>2056-05-02</t>
        </is>
      </c>
    </row>
    <row r="57146">
      <c r="A57146" s="1" t="n">
        <v>57145</v>
      </c>
      <c r="B57146">
        <f>TEXT(57145, "[$-0E0000]yyyy-mm-dd")</f>
        <v/>
      </c>
      <c r="C57146" t="inlineStr">
        <is>
          <t>2056-05-03</t>
        </is>
      </c>
    </row>
    <row r="57147">
      <c r="A57147" s="1" t="n">
        <v>57146</v>
      </c>
      <c r="B57147">
        <f>TEXT(57146, "[$-0E0000]yyyy-mm-dd")</f>
        <v/>
      </c>
      <c r="C57147" t="inlineStr">
        <is>
          <t>2056-05-04</t>
        </is>
      </c>
    </row>
    <row r="57148">
      <c r="A57148" s="1" t="n">
        <v>57147</v>
      </c>
      <c r="B57148">
        <f>TEXT(57147, "[$-0E0000]yyyy-mm-dd")</f>
        <v/>
      </c>
      <c r="C57148" t="inlineStr">
        <is>
          <t>2056-05-05</t>
        </is>
      </c>
    </row>
    <row r="57149">
      <c r="A57149" s="1" t="n">
        <v>57148</v>
      </c>
      <c r="B57149">
        <f>TEXT(57148, "[$-0E0000]yyyy-mm-dd")</f>
        <v/>
      </c>
      <c r="C57149" t="inlineStr">
        <is>
          <t>2056-05-06</t>
        </is>
      </c>
    </row>
    <row r="57150">
      <c r="A57150" s="1" t="n">
        <v>57149</v>
      </c>
      <c r="B57150">
        <f>TEXT(57149, "[$-0E0000]yyyy-mm-dd")</f>
        <v/>
      </c>
      <c r="C57150" t="inlineStr">
        <is>
          <t>2056-05-07</t>
        </is>
      </c>
    </row>
    <row r="57151">
      <c r="A57151" s="1" t="n">
        <v>57150</v>
      </c>
      <c r="B57151">
        <f>TEXT(57150, "[$-0E0000]yyyy-mm-dd")</f>
        <v/>
      </c>
      <c r="C57151" t="inlineStr">
        <is>
          <t>2056-05-08</t>
        </is>
      </c>
    </row>
    <row r="57152">
      <c r="A57152" s="1" t="n">
        <v>57151</v>
      </c>
      <c r="B57152">
        <f>TEXT(57151, "[$-0E0000]yyyy-mm-dd")</f>
        <v/>
      </c>
      <c r="C57152" t="inlineStr">
        <is>
          <t>2056-05-09</t>
        </is>
      </c>
    </row>
    <row r="57153">
      <c r="A57153" s="1" t="n">
        <v>57152</v>
      </c>
      <c r="B57153">
        <f>TEXT(57152, "[$-0E0000]yyyy-mm-dd")</f>
        <v/>
      </c>
      <c r="C57153" t="inlineStr">
        <is>
          <t>2056-05-10</t>
        </is>
      </c>
    </row>
    <row r="57154">
      <c r="A57154" s="1" t="n">
        <v>57153</v>
      </c>
      <c r="B57154">
        <f>TEXT(57153, "[$-0E0000]yyyy-mm-dd")</f>
        <v/>
      </c>
      <c r="C57154" t="inlineStr">
        <is>
          <t>2056-05-11</t>
        </is>
      </c>
    </row>
    <row r="57155">
      <c r="A57155" s="1" t="n">
        <v>57154</v>
      </c>
      <c r="B57155">
        <f>TEXT(57154, "[$-0E0000]yyyy-mm-dd")</f>
        <v/>
      </c>
      <c r="C57155" t="inlineStr">
        <is>
          <t>2056-05-12</t>
        </is>
      </c>
    </row>
    <row r="57156">
      <c r="A57156" s="1" t="n">
        <v>57155</v>
      </c>
      <c r="B57156">
        <f>TEXT(57155, "[$-0E0000]yyyy-mm-dd")</f>
        <v/>
      </c>
      <c r="C57156" t="inlineStr">
        <is>
          <t>2056-05-13</t>
        </is>
      </c>
    </row>
    <row r="57157">
      <c r="A57157" s="1" t="n">
        <v>57156</v>
      </c>
      <c r="B57157">
        <f>TEXT(57156, "[$-0E0000]yyyy-mm-dd")</f>
        <v/>
      </c>
      <c r="C57157" t="inlineStr">
        <is>
          <t>2056-05-14</t>
        </is>
      </c>
    </row>
    <row r="57158">
      <c r="A57158" s="1" t="n">
        <v>57157</v>
      </c>
      <c r="B57158">
        <f>TEXT(57157, "[$-0E0000]yyyy-mm-dd")</f>
        <v/>
      </c>
      <c r="C57158" t="inlineStr">
        <is>
          <t>2056-05-15</t>
        </is>
      </c>
    </row>
    <row r="57159">
      <c r="A57159" s="1" t="n">
        <v>57158</v>
      </c>
      <c r="B57159">
        <f>TEXT(57158, "[$-0E0000]yyyy-mm-dd")</f>
        <v/>
      </c>
      <c r="C57159" t="inlineStr">
        <is>
          <t>2056-05-16</t>
        </is>
      </c>
    </row>
    <row r="57160">
      <c r="A57160" s="1" t="n">
        <v>57159</v>
      </c>
      <c r="B57160">
        <f>TEXT(57159, "[$-0E0000]yyyy-mm-dd")</f>
        <v/>
      </c>
      <c r="C57160" t="inlineStr">
        <is>
          <t>2056-05-17</t>
        </is>
      </c>
    </row>
    <row r="57161">
      <c r="A57161" s="1" t="n">
        <v>57160</v>
      </c>
      <c r="B57161">
        <f>TEXT(57160, "[$-0E0000]yyyy-mm-dd")</f>
        <v/>
      </c>
      <c r="C57161" t="inlineStr">
        <is>
          <t>2056-05-18</t>
        </is>
      </c>
    </row>
    <row r="57162">
      <c r="A57162" s="1" t="n">
        <v>57161</v>
      </c>
      <c r="B57162">
        <f>TEXT(57161, "[$-0E0000]yyyy-mm-dd")</f>
        <v/>
      </c>
      <c r="C57162" t="inlineStr">
        <is>
          <t>2056-05-19</t>
        </is>
      </c>
    </row>
    <row r="57163">
      <c r="A57163" s="1" t="n">
        <v>57162</v>
      </c>
      <c r="B57163">
        <f>TEXT(57162, "[$-0E0000]yyyy-mm-dd")</f>
        <v/>
      </c>
      <c r="C57163" t="inlineStr">
        <is>
          <t>2056-05-20</t>
        </is>
      </c>
    </row>
    <row r="57164">
      <c r="A57164" s="1" t="n">
        <v>57163</v>
      </c>
      <c r="B57164">
        <f>TEXT(57163, "[$-0E0000]yyyy-mm-dd")</f>
        <v/>
      </c>
      <c r="C57164" t="inlineStr">
        <is>
          <t>2056-05-21</t>
        </is>
      </c>
    </row>
    <row r="57165">
      <c r="A57165" s="1" t="n">
        <v>57164</v>
      </c>
      <c r="B57165">
        <f>TEXT(57164, "[$-0E0000]yyyy-mm-dd")</f>
        <v/>
      </c>
      <c r="C57165" t="inlineStr">
        <is>
          <t>2056-05-22</t>
        </is>
      </c>
    </row>
    <row r="57166">
      <c r="A57166" s="1" t="n">
        <v>57165</v>
      </c>
      <c r="B57166">
        <f>TEXT(57165, "[$-0E0000]yyyy-mm-dd")</f>
        <v/>
      </c>
      <c r="C57166" t="inlineStr">
        <is>
          <t>2056-05-23</t>
        </is>
      </c>
    </row>
    <row r="57167">
      <c r="A57167" s="1" t="n">
        <v>57166</v>
      </c>
      <c r="B57167">
        <f>TEXT(57166, "[$-0E0000]yyyy-mm-dd")</f>
        <v/>
      </c>
      <c r="C57167" t="inlineStr">
        <is>
          <t>2056-05-24</t>
        </is>
      </c>
    </row>
    <row r="57168">
      <c r="A57168" s="1" t="n">
        <v>57167</v>
      </c>
      <c r="B57168">
        <f>TEXT(57167, "[$-0E0000]yyyy-mm-dd")</f>
        <v/>
      </c>
      <c r="C57168" t="inlineStr">
        <is>
          <t>2056-05-25</t>
        </is>
      </c>
    </row>
    <row r="57169">
      <c r="A57169" s="1" t="n">
        <v>57168</v>
      </c>
      <c r="B57169">
        <f>TEXT(57168, "[$-0E0000]yyyy-mm-dd")</f>
        <v/>
      </c>
      <c r="C57169" t="inlineStr">
        <is>
          <t>2056-05-26</t>
        </is>
      </c>
    </row>
    <row r="57170">
      <c r="A57170" s="1" t="n">
        <v>57169</v>
      </c>
      <c r="B57170">
        <f>TEXT(57169, "[$-0E0000]yyyy-mm-dd")</f>
        <v/>
      </c>
      <c r="C57170" t="inlineStr">
        <is>
          <t>2056-05-27</t>
        </is>
      </c>
    </row>
    <row r="57171">
      <c r="A57171" s="1" t="n">
        <v>57170</v>
      </c>
      <c r="B57171">
        <f>TEXT(57170, "[$-0E0000]yyyy-mm-dd")</f>
        <v/>
      </c>
      <c r="C57171" t="inlineStr">
        <is>
          <t>2056-05-28</t>
        </is>
      </c>
    </row>
    <row r="57172">
      <c r="A57172" s="1" t="n">
        <v>57171</v>
      </c>
      <c r="B57172">
        <f>TEXT(57171, "[$-0E0000]yyyy-mm-dd")</f>
        <v/>
      </c>
      <c r="C57172" t="inlineStr">
        <is>
          <t>2056-05-29</t>
        </is>
      </c>
    </row>
    <row r="57173">
      <c r="A57173" s="1" t="n">
        <v>57172</v>
      </c>
      <c r="B57173">
        <f>TEXT(57172, "[$-0E0000]yyyy-mm-dd")</f>
        <v/>
      </c>
      <c r="C57173" t="inlineStr">
        <is>
          <t>2056-05-30</t>
        </is>
      </c>
    </row>
    <row r="57174">
      <c r="A57174" s="1" t="n">
        <v>57173</v>
      </c>
      <c r="B57174">
        <f>TEXT(57173, "[$-0E0000]yyyy-mm-dd")</f>
        <v/>
      </c>
      <c r="C57174" t="inlineStr">
        <is>
          <t>2056-06-01</t>
        </is>
      </c>
    </row>
    <row r="57175">
      <c r="A57175" s="1" t="n">
        <v>57174</v>
      </c>
      <c r="B57175">
        <f>TEXT(57174, "[$-0E0000]yyyy-mm-dd")</f>
        <v/>
      </c>
      <c r="C57175" t="inlineStr">
        <is>
          <t>2056-06-02</t>
        </is>
      </c>
    </row>
    <row r="57176">
      <c r="A57176" s="1" t="n">
        <v>57175</v>
      </c>
      <c r="B57176">
        <f>TEXT(57175, "[$-0E0000]yyyy-mm-dd")</f>
        <v/>
      </c>
      <c r="C57176" t="inlineStr">
        <is>
          <t>2056-06-03</t>
        </is>
      </c>
    </row>
    <row r="57177">
      <c r="A57177" s="1" t="n">
        <v>57176</v>
      </c>
      <c r="B57177">
        <f>TEXT(57176, "[$-0E0000]yyyy-mm-dd")</f>
        <v/>
      </c>
      <c r="C57177" t="inlineStr">
        <is>
          <t>2056-06-04</t>
        </is>
      </c>
    </row>
    <row r="57178">
      <c r="A57178" s="1" t="n">
        <v>57177</v>
      </c>
      <c r="B57178">
        <f>TEXT(57177, "[$-0E0000]yyyy-mm-dd")</f>
        <v/>
      </c>
      <c r="C57178" t="inlineStr">
        <is>
          <t>2056-06-05</t>
        </is>
      </c>
    </row>
    <row r="57179">
      <c r="A57179" s="1" t="n">
        <v>57178</v>
      </c>
      <c r="B57179">
        <f>TEXT(57178, "[$-0E0000]yyyy-mm-dd")</f>
        <v/>
      </c>
      <c r="C57179" t="inlineStr">
        <is>
          <t>2056-06-06</t>
        </is>
      </c>
    </row>
    <row r="57180">
      <c r="A57180" s="1" t="n">
        <v>57179</v>
      </c>
      <c r="B57180">
        <f>TEXT(57179, "[$-0E0000]yyyy-mm-dd")</f>
        <v/>
      </c>
      <c r="C57180" t="inlineStr">
        <is>
          <t>2056-06-07</t>
        </is>
      </c>
    </row>
    <row r="57181">
      <c r="A57181" s="1" t="n">
        <v>57180</v>
      </c>
      <c r="B57181">
        <f>TEXT(57180, "[$-0E0000]yyyy-mm-dd")</f>
        <v/>
      </c>
      <c r="C57181" t="inlineStr">
        <is>
          <t>2056-06-08</t>
        </is>
      </c>
    </row>
    <row r="57182">
      <c r="A57182" s="1" t="n">
        <v>57181</v>
      </c>
      <c r="B57182">
        <f>TEXT(57181, "[$-0E0000]yyyy-mm-dd")</f>
        <v/>
      </c>
      <c r="C57182" t="inlineStr">
        <is>
          <t>2056-06-09</t>
        </is>
      </c>
    </row>
    <row r="57183">
      <c r="A57183" s="1" t="n">
        <v>57182</v>
      </c>
      <c r="B57183">
        <f>TEXT(57182, "[$-0E0000]yyyy-mm-dd")</f>
        <v/>
      </c>
      <c r="C57183" t="inlineStr">
        <is>
          <t>2056-06-10</t>
        </is>
      </c>
    </row>
    <row r="57184">
      <c r="A57184" s="1" t="n">
        <v>57183</v>
      </c>
      <c r="B57184">
        <f>TEXT(57183, "[$-0E0000]yyyy-mm-dd")</f>
        <v/>
      </c>
      <c r="C57184" t="inlineStr">
        <is>
          <t>2056-06-11</t>
        </is>
      </c>
    </row>
    <row r="57185">
      <c r="A57185" s="1" t="n">
        <v>57184</v>
      </c>
      <c r="B57185">
        <f>TEXT(57184, "[$-0E0000]yyyy-mm-dd")</f>
        <v/>
      </c>
      <c r="C57185" t="inlineStr">
        <is>
          <t>2056-06-12</t>
        </is>
      </c>
    </row>
    <row r="57186">
      <c r="A57186" s="1" t="n">
        <v>57185</v>
      </c>
      <c r="B57186">
        <f>TEXT(57185, "[$-0E0000]yyyy-mm-dd")</f>
        <v/>
      </c>
      <c r="C57186" t="inlineStr">
        <is>
          <t>2056-06-13</t>
        </is>
      </c>
    </row>
    <row r="57187">
      <c r="A57187" s="1" t="n">
        <v>57186</v>
      </c>
      <c r="B57187">
        <f>TEXT(57186, "[$-0E0000]yyyy-mm-dd")</f>
        <v/>
      </c>
      <c r="C57187" t="inlineStr">
        <is>
          <t>2056-06-14</t>
        </is>
      </c>
    </row>
    <row r="57188">
      <c r="A57188" s="1" t="n">
        <v>57187</v>
      </c>
      <c r="B57188">
        <f>TEXT(57187, "[$-0E0000]yyyy-mm-dd")</f>
        <v/>
      </c>
      <c r="C57188" t="inlineStr">
        <is>
          <t>2056-06-15</t>
        </is>
      </c>
    </row>
    <row r="57189">
      <c r="A57189" s="1" t="n">
        <v>57188</v>
      </c>
      <c r="B57189">
        <f>TEXT(57188, "[$-0E0000]yyyy-mm-dd")</f>
        <v/>
      </c>
      <c r="C57189" t="inlineStr">
        <is>
          <t>2056-06-16</t>
        </is>
      </c>
    </row>
    <row r="57190">
      <c r="A57190" s="1" t="n">
        <v>57189</v>
      </c>
      <c r="B57190">
        <f>TEXT(57189, "[$-0E0000]yyyy-mm-dd")</f>
        <v/>
      </c>
      <c r="C57190" t="inlineStr">
        <is>
          <t>2056-06-17</t>
        </is>
      </c>
    </row>
    <row r="57191">
      <c r="A57191" s="1" t="n">
        <v>57190</v>
      </c>
      <c r="B57191">
        <f>TEXT(57190, "[$-0E0000]yyyy-mm-dd")</f>
        <v/>
      </c>
      <c r="C57191" t="inlineStr">
        <is>
          <t>2056-06-18</t>
        </is>
      </c>
    </row>
    <row r="57192">
      <c r="A57192" s="1" t="n">
        <v>57191</v>
      </c>
      <c r="B57192">
        <f>TEXT(57191, "[$-0E0000]yyyy-mm-dd")</f>
        <v/>
      </c>
      <c r="C57192" t="inlineStr">
        <is>
          <t>2056-06-19</t>
        </is>
      </c>
    </row>
    <row r="57193">
      <c r="A57193" s="1" t="n">
        <v>57192</v>
      </c>
      <c r="B57193">
        <f>TEXT(57192, "[$-0E0000]yyyy-mm-dd")</f>
        <v/>
      </c>
      <c r="C57193" t="inlineStr">
        <is>
          <t>2056-06-20</t>
        </is>
      </c>
    </row>
    <row r="57194">
      <c r="A57194" s="1" t="n">
        <v>57193</v>
      </c>
      <c r="B57194">
        <f>TEXT(57193, "[$-0E0000]yyyy-mm-dd")</f>
        <v/>
      </c>
      <c r="C57194" t="inlineStr">
        <is>
          <t>2056-06-21</t>
        </is>
      </c>
    </row>
    <row r="57195">
      <c r="A57195" s="1" t="n">
        <v>57194</v>
      </c>
      <c r="B57195">
        <f>TEXT(57194, "[$-0E0000]yyyy-mm-dd")</f>
        <v/>
      </c>
      <c r="C57195" t="inlineStr">
        <is>
          <t>2056-06-22</t>
        </is>
      </c>
    </row>
    <row r="57196">
      <c r="A57196" s="1" t="n">
        <v>57195</v>
      </c>
      <c r="B57196">
        <f>TEXT(57195, "[$-0E0000]yyyy-mm-dd")</f>
        <v/>
      </c>
      <c r="C57196" t="inlineStr">
        <is>
          <t>2056-06-23</t>
        </is>
      </c>
    </row>
    <row r="57197">
      <c r="A57197" s="1" t="n">
        <v>57196</v>
      </c>
      <c r="B57197">
        <f>TEXT(57196, "[$-0E0000]yyyy-mm-dd")</f>
        <v/>
      </c>
      <c r="C57197" t="inlineStr">
        <is>
          <t>2056-06-24</t>
        </is>
      </c>
    </row>
    <row r="57198">
      <c r="A57198" s="1" t="n">
        <v>57197</v>
      </c>
      <c r="B57198">
        <f>TEXT(57197, "[$-0E0000]yyyy-mm-dd")</f>
        <v/>
      </c>
      <c r="C57198" t="inlineStr">
        <is>
          <t>2056-06-25</t>
        </is>
      </c>
    </row>
    <row r="57199">
      <c r="A57199" s="1" t="n">
        <v>57198</v>
      </c>
      <c r="B57199">
        <f>TEXT(57198, "[$-0E0000]yyyy-mm-dd")</f>
        <v/>
      </c>
      <c r="C57199" t="inlineStr">
        <is>
          <t>2056-06-26</t>
        </is>
      </c>
    </row>
    <row r="57200">
      <c r="A57200" s="1" t="n">
        <v>57199</v>
      </c>
      <c r="B57200">
        <f>TEXT(57199, "[$-0E0000]yyyy-mm-dd")</f>
        <v/>
      </c>
      <c r="C57200" t="inlineStr">
        <is>
          <t>2056-06-27</t>
        </is>
      </c>
    </row>
    <row r="57201">
      <c r="A57201" s="1" t="n">
        <v>57200</v>
      </c>
      <c r="B57201">
        <f>TEXT(57200, "[$-0E0000]yyyy-mm-dd")</f>
        <v/>
      </c>
      <c r="C57201" t="inlineStr">
        <is>
          <t>2056-06-28</t>
        </is>
      </c>
    </row>
    <row r="57202">
      <c r="A57202" s="1" t="n">
        <v>57201</v>
      </c>
      <c r="B57202">
        <f>TEXT(57201, "[$-0E0000]yyyy-mm-dd")</f>
        <v/>
      </c>
      <c r="C57202" t="inlineStr">
        <is>
          <t>2056-06-29</t>
        </is>
      </c>
    </row>
    <row r="57203">
      <c r="A57203" s="1" t="n">
        <v>57202</v>
      </c>
      <c r="B57203">
        <f>TEXT(57202, "[$-0E0000]yyyy-mm-dd")</f>
        <v/>
      </c>
      <c r="C57203" t="inlineStr">
        <is>
          <t>2056-07-01</t>
        </is>
      </c>
    </row>
    <row r="57204">
      <c r="A57204" s="1" t="n">
        <v>57203</v>
      </c>
      <c r="B57204">
        <f>TEXT(57203, "[$-0E0000]yyyy-mm-dd")</f>
        <v/>
      </c>
      <c r="C57204" t="inlineStr">
        <is>
          <t>2056-07-02</t>
        </is>
      </c>
    </row>
    <row r="57205">
      <c r="A57205" s="1" t="n">
        <v>57204</v>
      </c>
      <c r="B57205">
        <f>TEXT(57204, "[$-0E0000]yyyy-mm-dd")</f>
        <v/>
      </c>
      <c r="C57205" t="inlineStr">
        <is>
          <t>2056-07-03</t>
        </is>
      </c>
    </row>
    <row r="57206">
      <c r="A57206" s="1" t="n">
        <v>57205</v>
      </c>
      <c r="B57206">
        <f>TEXT(57205, "[$-0E0000]yyyy-mm-dd")</f>
        <v/>
      </c>
      <c r="C57206" t="inlineStr">
        <is>
          <t>2056-07-04</t>
        </is>
      </c>
    </row>
    <row r="57207">
      <c r="A57207" s="1" t="n">
        <v>57206</v>
      </c>
      <c r="B57207">
        <f>TEXT(57206, "[$-0E0000]yyyy-mm-dd")</f>
        <v/>
      </c>
      <c r="C57207" t="inlineStr">
        <is>
          <t>2056-07-05</t>
        </is>
      </c>
    </row>
    <row r="57208">
      <c r="A57208" s="1" t="n">
        <v>57207</v>
      </c>
      <c r="B57208">
        <f>TEXT(57207, "[$-0E0000]yyyy-mm-dd")</f>
        <v/>
      </c>
      <c r="C57208" t="inlineStr">
        <is>
          <t>2056-07-06</t>
        </is>
      </c>
    </row>
    <row r="57209">
      <c r="A57209" s="1" t="n">
        <v>57208</v>
      </c>
      <c r="B57209">
        <f>TEXT(57208, "[$-0E0000]yyyy-mm-dd")</f>
        <v/>
      </c>
      <c r="C57209" t="inlineStr">
        <is>
          <t>2056-07-07</t>
        </is>
      </c>
    </row>
    <row r="57210">
      <c r="A57210" s="1" t="n">
        <v>57209</v>
      </c>
      <c r="B57210">
        <f>TEXT(57209, "[$-0E0000]yyyy-mm-dd")</f>
        <v/>
      </c>
      <c r="C57210" t="inlineStr">
        <is>
          <t>2056-07-08</t>
        </is>
      </c>
    </row>
    <row r="57211">
      <c r="A57211" s="1" t="n">
        <v>57210</v>
      </c>
      <c r="B57211">
        <f>TEXT(57210, "[$-0E0000]yyyy-mm-dd")</f>
        <v/>
      </c>
      <c r="C57211" t="inlineStr">
        <is>
          <t>2056-07-09</t>
        </is>
      </c>
    </row>
    <row r="57212">
      <c r="A57212" s="1" t="n">
        <v>57211</v>
      </c>
      <c r="B57212">
        <f>TEXT(57211, "[$-0E0000]yyyy-mm-dd")</f>
        <v/>
      </c>
      <c r="C57212" t="inlineStr">
        <is>
          <t>2056-07-10</t>
        </is>
      </c>
    </row>
    <row r="57213">
      <c r="A57213" s="1" t="n">
        <v>57212</v>
      </c>
      <c r="B57213">
        <f>TEXT(57212, "[$-0E0000]yyyy-mm-dd")</f>
        <v/>
      </c>
      <c r="C57213" t="inlineStr">
        <is>
          <t>2056-07-11</t>
        </is>
      </c>
    </row>
    <row r="57214">
      <c r="A57214" s="1" t="n">
        <v>57213</v>
      </c>
      <c r="B57214">
        <f>TEXT(57213, "[$-0E0000]yyyy-mm-dd")</f>
        <v/>
      </c>
      <c r="C57214" t="inlineStr">
        <is>
          <t>2056-07-12</t>
        </is>
      </c>
    </row>
    <row r="57215">
      <c r="A57215" s="1" t="n">
        <v>57214</v>
      </c>
      <c r="B57215">
        <f>TEXT(57214, "[$-0E0000]yyyy-mm-dd")</f>
        <v/>
      </c>
      <c r="C57215" t="inlineStr">
        <is>
          <t>2056-07-13</t>
        </is>
      </c>
    </row>
    <row r="57216">
      <c r="A57216" s="1" t="n">
        <v>57215</v>
      </c>
      <c r="B57216">
        <f>TEXT(57215, "[$-0E0000]yyyy-mm-dd")</f>
        <v/>
      </c>
      <c r="C57216" t="inlineStr">
        <is>
          <t>2056-07-14</t>
        </is>
      </c>
    </row>
    <row r="57217">
      <c r="A57217" s="1" t="n">
        <v>57216</v>
      </c>
      <c r="B57217">
        <f>TEXT(57216, "[$-0E0000]yyyy-mm-dd")</f>
        <v/>
      </c>
      <c r="C57217" t="inlineStr">
        <is>
          <t>2056-07-15</t>
        </is>
      </c>
    </row>
    <row r="57218">
      <c r="A57218" s="1" t="n">
        <v>57217</v>
      </c>
      <c r="B57218">
        <f>TEXT(57217, "[$-0E0000]yyyy-mm-dd")</f>
        <v/>
      </c>
      <c r="C57218" t="inlineStr">
        <is>
          <t>2056-07-16</t>
        </is>
      </c>
    </row>
    <row r="57219">
      <c r="A57219" s="1" t="n">
        <v>57218</v>
      </c>
      <c r="B57219">
        <f>TEXT(57218, "[$-0E0000]yyyy-mm-dd")</f>
        <v/>
      </c>
      <c r="C57219" t="inlineStr">
        <is>
          <t>2056-07-17</t>
        </is>
      </c>
    </row>
    <row r="57220">
      <c r="A57220" s="1" t="n">
        <v>57219</v>
      </c>
      <c r="B57220">
        <f>TEXT(57219, "[$-0E0000]yyyy-mm-dd")</f>
        <v/>
      </c>
      <c r="C57220" t="inlineStr">
        <is>
          <t>2056-07-18</t>
        </is>
      </c>
    </row>
    <row r="57221">
      <c r="A57221" s="1" t="n">
        <v>57220</v>
      </c>
      <c r="B57221">
        <f>TEXT(57220, "[$-0E0000]yyyy-mm-dd")</f>
        <v/>
      </c>
      <c r="C57221" t="inlineStr">
        <is>
          <t>2056-07-19</t>
        </is>
      </c>
    </row>
    <row r="57222">
      <c r="A57222" s="1" t="n">
        <v>57221</v>
      </c>
      <c r="B57222">
        <f>TEXT(57221, "[$-0E0000]yyyy-mm-dd")</f>
        <v/>
      </c>
      <c r="C57222" t="inlineStr">
        <is>
          <t>2056-07-20</t>
        </is>
      </c>
    </row>
    <row r="57223">
      <c r="A57223" s="1" t="n">
        <v>57222</v>
      </c>
      <c r="B57223">
        <f>TEXT(57222, "[$-0E0000]yyyy-mm-dd")</f>
        <v/>
      </c>
      <c r="C57223" t="inlineStr">
        <is>
          <t>2056-07-21</t>
        </is>
      </c>
    </row>
    <row r="57224">
      <c r="A57224" s="1" t="n">
        <v>57223</v>
      </c>
      <c r="B57224">
        <f>TEXT(57223, "[$-0E0000]yyyy-mm-dd")</f>
        <v/>
      </c>
      <c r="C57224" t="inlineStr">
        <is>
          <t>2056-07-22</t>
        </is>
      </c>
    </row>
    <row r="57225">
      <c r="A57225" s="1" t="n">
        <v>57224</v>
      </c>
      <c r="B57225">
        <f>TEXT(57224, "[$-0E0000]yyyy-mm-dd")</f>
        <v/>
      </c>
      <c r="C57225" t="inlineStr">
        <is>
          <t>2056-07-23</t>
        </is>
      </c>
    </row>
    <row r="57226">
      <c r="A57226" s="1" t="n">
        <v>57225</v>
      </c>
      <c r="B57226">
        <f>TEXT(57225, "[$-0E0000]yyyy-mm-dd")</f>
        <v/>
      </c>
      <c r="C57226" t="inlineStr">
        <is>
          <t>2056-07-24</t>
        </is>
      </c>
    </row>
    <row r="57227">
      <c r="A57227" s="1" t="n">
        <v>57226</v>
      </c>
      <c r="B57227">
        <f>TEXT(57226, "[$-0E0000]yyyy-mm-dd")</f>
        <v/>
      </c>
      <c r="C57227" t="inlineStr">
        <is>
          <t>2056-07-25</t>
        </is>
      </c>
    </row>
    <row r="57228">
      <c r="A57228" s="1" t="n">
        <v>57227</v>
      </c>
      <c r="B57228">
        <f>TEXT(57227, "[$-0E0000]yyyy-mm-dd")</f>
        <v/>
      </c>
      <c r="C57228" t="inlineStr">
        <is>
          <t>2056-07-26</t>
        </is>
      </c>
    </row>
    <row r="57229">
      <c r="A57229" s="1" t="n">
        <v>57228</v>
      </c>
      <c r="B57229">
        <f>TEXT(57228, "[$-0E0000]yyyy-mm-dd")</f>
        <v/>
      </c>
      <c r="C57229" t="inlineStr">
        <is>
          <t>2056-07-27</t>
        </is>
      </c>
    </row>
    <row r="57230">
      <c r="A57230" s="1" t="n">
        <v>57229</v>
      </c>
      <c r="B57230">
        <f>TEXT(57229, "[$-0E0000]yyyy-mm-dd")</f>
        <v/>
      </c>
      <c r="C57230" t="inlineStr">
        <is>
          <t>2056-07-28</t>
        </is>
      </c>
    </row>
    <row r="57231">
      <c r="A57231" s="1" t="n">
        <v>57230</v>
      </c>
      <c r="B57231">
        <f>TEXT(57230, "[$-0E0000]yyyy-mm-dd")</f>
        <v/>
      </c>
      <c r="C57231" t="inlineStr">
        <is>
          <t>2056-07-29</t>
        </is>
      </c>
    </row>
    <row r="57232">
      <c r="A57232" s="1" t="n">
        <v>57231</v>
      </c>
      <c r="B57232">
        <f>TEXT(57231, "[$-0E0000]yyyy-mm-dd")</f>
        <v/>
      </c>
      <c r="C57232" t="inlineStr">
        <is>
          <t>2056-07-30</t>
        </is>
      </c>
    </row>
    <row r="57233">
      <c r="A57233" s="1" t="n">
        <v>57232</v>
      </c>
      <c r="B57233">
        <f>TEXT(57232, "[$-0E0000]yyyy-mm-dd")</f>
        <v/>
      </c>
      <c r="C57233" t="inlineStr">
        <is>
          <t>2056-08-01</t>
        </is>
      </c>
    </row>
    <row r="57234">
      <c r="A57234" s="1" t="n">
        <v>57233</v>
      </c>
      <c r="B57234">
        <f>TEXT(57233, "[$-0E0000]yyyy-mm-dd")</f>
        <v/>
      </c>
      <c r="C57234" t="inlineStr">
        <is>
          <t>2056-08-02</t>
        </is>
      </c>
    </row>
    <row r="57235">
      <c r="A57235" s="1" t="n">
        <v>57234</v>
      </c>
      <c r="B57235">
        <f>TEXT(57234, "[$-0E0000]yyyy-mm-dd")</f>
        <v/>
      </c>
      <c r="C57235" t="inlineStr">
        <is>
          <t>2056-08-03</t>
        </is>
      </c>
    </row>
    <row r="57236">
      <c r="A57236" s="1" t="n">
        <v>57235</v>
      </c>
      <c r="B57236">
        <f>TEXT(57235, "[$-0E0000]yyyy-mm-dd")</f>
        <v/>
      </c>
      <c r="C57236" t="inlineStr">
        <is>
          <t>2056-08-04</t>
        </is>
      </c>
    </row>
    <row r="57237">
      <c r="A57237" s="1" t="n">
        <v>57236</v>
      </c>
      <c r="B57237">
        <f>TEXT(57236, "[$-0E0000]yyyy-mm-dd")</f>
        <v/>
      </c>
      <c r="C57237" t="inlineStr">
        <is>
          <t>2056-08-05</t>
        </is>
      </c>
    </row>
    <row r="57238">
      <c r="A57238" s="1" t="n">
        <v>57237</v>
      </c>
      <c r="B57238">
        <f>TEXT(57237, "[$-0E0000]yyyy-mm-dd")</f>
        <v/>
      </c>
      <c r="C57238" t="inlineStr">
        <is>
          <t>2056-08-06</t>
        </is>
      </c>
    </row>
    <row r="57239">
      <c r="A57239" s="1" t="n">
        <v>57238</v>
      </c>
      <c r="B57239">
        <f>TEXT(57238, "[$-0E0000]yyyy-mm-dd")</f>
        <v/>
      </c>
      <c r="C57239" t="inlineStr">
        <is>
          <t>2056-08-07</t>
        </is>
      </c>
    </row>
    <row r="57240">
      <c r="A57240" s="1" t="n">
        <v>57239</v>
      </c>
      <c r="B57240">
        <f>TEXT(57239, "[$-0E0000]yyyy-mm-dd")</f>
        <v/>
      </c>
      <c r="C57240" t="inlineStr">
        <is>
          <t>2056-08-08</t>
        </is>
      </c>
    </row>
    <row r="57241">
      <c r="A57241" s="1" t="n">
        <v>57240</v>
      </c>
      <c r="B57241">
        <f>TEXT(57240, "[$-0E0000]yyyy-mm-dd")</f>
        <v/>
      </c>
      <c r="C57241" t="inlineStr">
        <is>
          <t>2056-08-09</t>
        </is>
      </c>
    </row>
    <row r="57242">
      <c r="A57242" s="1" t="n">
        <v>57241</v>
      </c>
      <c r="B57242">
        <f>TEXT(57241, "[$-0E0000]yyyy-mm-dd")</f>
        <v/>
      </c>
      <c r="C57242" t="inlineStr">
        <is>
          <t>2056-08-10</t>
        </is>
      </c>
    </row>
    <row r="57243">
      <c r="A57243" s="1" t="n">
        <v>57242</v>
      </c>
      <c r="B57243">
        <f>TEXT(57242, "[$-0E0000]yyyy-mm-dd")</f>
        <v/>
      </c>
      <c r="C57243" t="inlineStr">
        <is>
          <t>2056-08-11</t>
        </is>
      </c>
    </row>
    <row r="57244">
      <c r="A57244" s="1" t="n">
        <v>57243</v>
      </c>
      <c r="B57244">
        <f>TEXT(57243, "[$-0E0000]yyyy-mm-dd")</f>
        <v/>
      </c>
      <c r="C57244" t="inlineStr">
        <is>
          <t>2056-08-12</t>
        </is>
      </c>
    </row>
    <row r="57245">
      <c r="A57245" s="1" t="n">
        <v>57244</v>
      </c>
      <c r="B57245">
        <f>TEXT(57244, "[$-0E0000]yyyy-mm-dd")</f>
        <v/>
      </c>
      <c r="C57245" t="inlineStr">
        <is>
          <t>2056-08-13</t>
        </is>
      </c>
    </row>
    <row r="57246">
      <c r="A57246" s="1" t="n">
        <v>57245</v>
      </c>
      <c r="B57246">
        <f>TEXT(57245, "[$-0E0000]yyyy-mm-dd")</f>
        <v/>
      </c>
      <c r="C57246" t="inlineStr">
        <is>
          <t>2056-08-14</t>
        </is>
      </c>
    </row>
    <row r="57247">
      <c r="A57247" s="1" t="n">
        <v>57246</v>
      </c>
      <c r="B57247">
        <f>TEXT(57246, "[$-0E0000]yyyy-mm-dd")</f>
        <v/>
      </c>
      <c r="C57247" t="inlineStr">
        <is>
          <t>2056-08-15</t>
        </is>
      </c>
    </row>
    <row r="57248">
      <c r="A57248" s="1" t="n">
        <v>57247</v>
      </c>
      <c r="B57248">
        <f>TEXT(57247, "[$-0E0000]yyyy-mm-dd")</f>
        <v/>
      </c>
      <c r="C57248" t="inlineStr">
        <is>
          <t>2056-08-16</t>
        </is>
      </c>
    </row>
    <row r="57249">
      <c r="A57249" s="1" t="n">
        <v>57248</v>
      </c>
      <c r="B57249">
        <f>TEXT(57248, "[$-0E0000]yyyy-mm-dd")</f>
        <v/>
      </c>
      <c r="C57249" t="inlineStr">
        <is>
          <t>2056-08-17</t>
        </is>
      </c>
    </row>
    <row r="57250">
      <c r="A57250" s="1" t="n">
        <v>57249</v>
      </c>
      <c r="B57250">
        <f>TEXT(57249, "[$-0E0000]yyyy-mm-dd")</f>
        <v/>
      </c>
      <c r="C57250" t="inlineStr">
        <is>
          <t>2056-08-18</t>
        </is>
      </c>
    </row>
    <row r="57251">
      <c r="A57251" s="1" t="n">
        <v>57250</v>
      </c>
      <c r="B57251">
        <f>TEXT(57250, "[$-0E0000]yyyy-mm-dd")</f>
        <v/>
      </c>
      <c r="C57251" t="inlineStr">
        <is>
          <t>2056-08-19</t>
        </is>
      </c>
    </row>
    <row r="57252">
      <c r="A57252" s="1" t="n">
        <v>57251</v>
      </c>
      <c r="B57252">
        <f>TEXT(57251, "[$-0E0000]yyyy-mm-dd")</f>
        <v/>
      </c>
      <c r="C57252" t="inlineStr">
        <is>
          <t>2056-08-20</t>
        </is>
      </c>
    </row>
    <row r="57253">
      <c r="A57253" s="1" t="n">
        <v>57252</v>
      </c>
      <c r="B57253">
        <f>TEXT(57252, "[$-0E0000]yyyy-mm-dd")</f>
        <v/>
      </c>
      <c r="C57253" t="inlineStr">
        <is>
          <t>2056-08-21</t>
        </is>
      </c>
    </row>
    <row r="57254">
      <c r="A57254" s="1" t="n">
        <v>57253</v>
      </c>
      <c r="B57254">
        <f>TEXT(57253, "[$-0E0000]yyyy-mm-dd")</f>
        <v/>
      </c>
      <c r="C57254" t="inlineStr">
        <is>
          <t>2056-08-22</t>
        </is>
      </c>
    </row>
    <row r="57255">
      <c r="A57255" s="1" t="n">
        <v>57254</v>
      </c>
      <c r="B57255">
        <f>TEXT(57254, "[$-0E0000]yyyy-mm-dd")</f>
        <v/>
      </c>
      <c r="C57255" t="inlineStr">
        <is>
          <t>2056-08-23</t>
        </is>
      </c>
    </row>
    <row r="57256">
      <c r="A57256" s="1" t="n">
        <v>57255</v>
      </c>
      <c r="B57256">
        <f>TEXT(57255, "[$-0E0000]yyyy-mm-dd")</f>
        <v/>
      </c>
      <c r="C57256" t="inlineStr">
        <is>
          <t>2056-08-24</t>
        </is>
      </c>
    </row>
    <row r="57257">
      <c r="A57257" s="1" t="n">
        <v>57256</v>
      </c>
      <c r="B57257">
        <f>TEXT(57256, "[$-0E0000]yyyy-mm-dd")</f>
        <v/>
      </c>
      <c r="C57257" t="inlineStr">
        <is>
          <t>2056-08-25</t>
        </is>
      </c>
    </row>
    <row r="57258">
      <c r="A57258" s="1" t="n">
        <v>57257</v>
      </c>
      <c r="B57258">
        <f>TEXT(57257, "[$-0E0000]yyyy-mm-dd")</f>
        <v/>
      </c>
      <c r="C57258" t="inlineStr">
        <is>
          <t>2056-08-26</t>
        </is>
      </c>
    </row>
    <row r="57259">
      <c r="A57259" s="1" t="n">
        <v>57258</v>
      </c>
      <c r="B57259">
        <f>TEXT(57258, "[$-0E0000]yyyy-mm-dd")</f>
        <v/>
      </c>
      <c r="C57259" t="inlineStr">
        <is>
          <t>2056-08-27</t>
        </is>
      </c>
    </row>
    <row r="57260">
      <c r="A57260" s="1" t="n">
        <v>57259</v>
      </c>
      <c r="B57260">
        <f>TEXT(57259, "[$-0E0000]yyyy-mm-dd")</f>
        <v/>
      </c>
      <c r="C57260" t="inlineStr">
        <is>
          <t>2056-08-28</t>
        </is>
      </c>
    </row>
    <row r="57261">
      <c r="A57261" s="1" t="n">
        <v>57260</v>
      </c>
      <c r="B57261">
        <f>TEXT(57260, "[$-0E0000]yyyy-mm-dd")</f>
        <v/>
      </c>
      <c r="C57261" t="inlineStr">
        <is>
          <t>2056-08-29</t>
        </is>
      </c>
    </row>
    <row r="57262">
      <c r="A57262" s="1" t="n">
        <v>57261</v>
      </c>
      <c r="B57262">
        <f>TEXT(57261, "[$-0E0000]yyyy-mm-dd")</f>
        <v/>
      </c>
      <c r="C57262" t="inlineStr">
        <is>
          <t>2056-09-01</t>
        </is>
      </c>
    </row>
    <row r="57263">
      <c r="A57263" s="1" t="n">
        <v>57262</v>
      </c>
      <c r="B57263">
        <f>TEXT(57262, "[$-0E0000]yyyy-mm-dd")</f>
        <v/>
      </c>
      <c r="C57263" t="inlineStr">
        <is>
          <t>2056-09-02</t>
        </is>
      </c>
    </row>
    <row r="57264">
      <c r="A57264" s="1" t="n">
        <v>57263</v>
      </c>
      <c r="B57264">
        <f>TEXT(57263, "[$-0E0000]yyyy-mm-dd")</f>
        <v/>
      </c>
      <c r="C57264" t="inlineStr">
        <is>
          <t>2056-09-03</t>
        </is>
      </c>
    </row>
    <row r="57265">
      <c r="A57265" s="1" t="n">
        <v>57264</v>
      </c>
      <c r="B57265">
        <f>TEXT(57264, "[$-0E0000]yyyy-mm-dd")</f>
        <v/>
      </c>
      <c r="C57265" t="inlineStr">
        <is>
          <t>2056-09-04</t>
        </is>
      </c>
    </row>
    <row r="57266">
      <c r="A57266" s="1" t="n">
        <v>57265</v>
      </c>
      <c r="B57266">
        <f>TEXT(57265, "[$-0E0000]yyyy-mm-dd")</f>
        <v/>
      </c>
      <c r="C57266" t="inlineStr">
        <is>
          <t>2056-09-05</t>
        </is>
      </c>
    </row>
    <row r="57267">
      <c r="A57267" s="1" t="n">
        <v>57266</v>
      </c>
      <c r="B57267">
        <f>TEXT(57266, "[$-0E0000]yyyy-mm-dd")</f>
        <v/>
      </c>
      <c r="C57267" t="inlineStr">
        <is>
          <t>2056-09-06</t>
        </is>
      </c>
    </row>
    <row r="57268">
      <c r="A57268" s="1" t="n">
        <v>57267</v>
      </c>
      <c r="B57268">
        <f>TEXT(57267, "[$-0E0000]yyyy-mm-dd")</f>
        <v/>
      </c>
      <c r="C57268" t="inlineStr">
        <is>
          <t>2056-09-07</t>
        </is>
      </c>
    </row>
    <row r="57269">
      <c r="A57269" s="1" t="n">
        <v>57268</v>
      </c>
      <c r="B57269">
        <f>TEXT(57268, "[$-0E0000]yyyy-mm-dd")</f>
        <v/>
      </c>
      <c r="C57269" t="inlineStr">
        <is>
          <t>2056-09-08</t>
        </is>
      </c>
    </row>
    <row r="57270">
      <c r="A57270" s="1" t="n">
        <v>57269</v>
      </c>
      <c r="B57270">
        <f>TEXT(57269, "[$-0E0000]yyyy-mm-dd")</f>
        <v/>
      </c>
      <c r="C57270" t="inlineStr">
        <is>
          <t>2056-09-09</t>
        </is>
      </c>
    </row>
    <row r="57271">
      <c r="A57271" s="1" t="n">
        <v>57270</v>
      </c>
      <c r="B57271">
        <f>TEXT(57270, "[$-0E0000]yyyy-mm-dd")</f>
        <v/>
      </c>
      <c r="C57271" t="inlineStr">
        <is>
          <t>2056-09-10</t>
        </is>
      </c>
    </row>
    <row r="57272">
      <c r="A57272" s="1" t="n">
        <v>57271</v>
      </c>
      <c r="B57272">
        <f>TEXT(57271, "[$-0E0000]yyyy-mm-dd")</f>
        <v/>
      </c>
      <c r="C57272" t="inlineStr">
        <is>
          <t>2056-09-11</t>
        </is>
      </c>
    </row>
    <row r="57273">
      <c r="A57273" s="1" t="n">
        <v>57272</v>
      </c>
      <c r="B57273">
        <f>TEXT(57272, "[$-0E0000]yyyy-mm-dd")</f>
        <v/>
      </c>
      <c r="C57273" t="inlineStr">
        <is>
          <t>2056-09-12</t>
        </is>
      </c>
    </row>
    <row r="57274">
      <c r="A57274" s="1" t="n">
        <v>57273</v>
      </c>
      <c r="B57274">
        <f>TEXT(57273, "[$-0E0000]yyyy-mm-dd")</f>
        <v/>
      </c>
      <c r="C57274" t="inlineStr">
        <is>
          <t>2056-09-13</t>
        </is>
      </c>
    </row>
    <row r="57275">
      <c r="A57275" s="1" t="n">
        <v>57274</v>
      </c>
      <c r="B57275">
        <f>TEXT(57274, "[$-0E0000]yyyy-mm-dd")</f>
        <v/>
      </c>
      <c r="C57275" t="inlineStr">
        <is>
          <t>2056-09-14</t>
        </is>
      </c>
    </row>
    <row r="57276">
      <c r="A57276" s="1" t="n">
        <v>57275</v>
      </c>
      <c r="B57276">
        <f>TEXT(57275, "[$-0E0000]yyyy-mm-dd")</f>
        <v/>
      </c>
      <c r="C57276" t="inlineStr">
        <is>
          <t>2056-09-15</t>
        </is>
      </c>
    </row>
    <row r="57277">
      <c r="A57277" s="1" t="n">
        <v>57276</v>
      </c>
      <c r="B57277">
        <f>TEXT(57276, "[$-0E0000]yyyy-mm-dd")</f>
        <v/>
      </c>
      <c r="C57277" t="inlineStr">
        <is>
          <t>2056-09-16</t>
        </is>
      </c>
    </row>
    <row r="57278">
      <c r="A57278" s="1" t="n">
        <v>57277</v>
      </c>
      <c r="B57278">
        <f>TEXT(57277, "[$-0E0000]yyyy-mm-dd")</f>
        <v/>
      </c>
      <c r="C57278" t="inlineStr">
        <is>
          <t>2056-09-17</t>
        </is>
      </c>
    </row>
    <row r="57279">
      <c r="A57279" s="1" t="n">
        <v>57278</v>
      </c>
      <c r="B57279">
        <f>TEXT(57278, "[$-0E0000]yyyy-mm-dd")</f>
        <v/>
      </c>
      <c r="C57279" t="inlineStr">
        <is>
          <t>2056-09-18</t>
        </is>
      </c>
    </row>
    <row r="57280">
      <c r="A57280" s="1" t="n">
        <v>57279</v>
      </c>
      <c r="B57280">
        <f>TEXT(57279, "[$-0E0000]yyyy-mm-dd")</f>
        <v/>
      </c>
      <c r="C57280" t="inlineStr">
        <is>
          <t>2056-09-19</t>
        </is>
      </c>
    </row>
    <row r="57281">
      <c r="A57281" s="1" t="n">
        <v>57280</v>
      </c>
      <c r="B57281">
        <f>TEXT(57280, "[$-0E0000]yyyy-mm-dd")</f>
        <v/>
      </c>
      <c r="C57281" t="inlineStr">
        <is>
          <t>2056-09-20</t>
        </is>
      </c>
    </row>
    <row r="57282">
      <c r="A57282" s="1" t="n">
        <v>57281</v>
      </c>
      <c r="B57282">
        <f>TEXT(57281, "[$-0E0000]yyyy-mm-dd")</f>
        <v/>
      </c>
      <c r="C57282" t="inlineStr">
        <is>
          <t>2056-09-21</t>
        </is>
      </c>
    </row>
    <row r="57283">
      <c r="A57283" s="1" t="n">
        <v>57282</v>
      </c>
      <c r="B57283">
        <f>TEXT(57282, "[$-0E0000]yyyy-mm-dd")</f>
        <v/>
      </c>
      <c r="C57283" t="inlineStr">
        <is>
          <t>2056-09-22</t>
        </is>
      </c>
    </row>
    <row r="57284">
      <c r="A57284" s="1" t="n">
        <v>57283</v>
      </c>
      <c r="B57284">
        <f>TEXT(57283, "[$-0E0000]yyyy-mm-dd")</f>
        <v/>
      </c>
      <c r="C57284" t="inlineStr">
        <is>
          <t>2056-09-23</t>
        </is>
      </c>
    </row>
    <row r="57285">
      <c r="A57285" s="1" t="n">
        <v>57284</v>
      </c>
      <c r="B57285">
        <f>TEXT(57284, "[$-0E0000]yyyy-mm-dd")</f>
        <v/>
      </c>
      <c r="C57285" t="inlineStr">
        <is>
          <t>2056-09-24</t>
        </is>
      </c>
    </row>
    <row r="57286">
      <c r="A57286" s="1" t="n">
        <v>57285</v>
      </c>
      <c r="B57286">
        <f>TEXT(57285, "[$-0E0000]yyyy-mm-dd")</f>
        <v/>
      </c>
      <c r="C57286" t="inlineStr">
        <is>
          <t>2056-09-25</t>
        </is>
      </c>
    </row>
    <row r="57287">
      <c r="A57287" s="1" t="n">
        <v>57286</v>
      </c>
      <c r="B57287">
        <f>TEXT(57286, "[$-0E0000]yyyy-mm-dd")</f>
        <v/>
      </c>
      <c r="C57287" t="inlineStr">
        <is>
          <t>2056-09-26</t>
        </is>
      </c>
    </row>
    <row r="57288">
      <c r="A57288" s="1" t="n">
        <v>57287</v>
      </c>
      <c r="B57288">
        <f>TEXT(57287, "[$-0E0000]yyyy-mm-dd")</f>
        <v/>
      </c>
      <c r="C57288" t="inlineStr">
        <is>
          <t>2056-09-27</t>
        </is>
      </c>
    </row>
    <row r="57289">
      <c r="A57289" s="1" t="n">
        <v>57288</v>
      </c>
      <c r="B57289">
        <f>TEXT(57288, "[$-0E0000]yyyy-mm-dd")</f>
        <v/>
      </c>
      <c r="C57289" t="inlineStr">
        <is>
          <t>2056-09-28</t>
        </is>
      </c>
    </row>
    <row r="57290">
      <c r="A57290" s="1" t="n">
        <v>57289</v>
      </c>
      <c r="B57290">
        <f>TEXT(57289, "[$-0E0000]yyyy-mm-dd")</f>
        <v/>
      </c>
      <c r="C57290" t="inlineStr">
        <is>
          <t>2056-09-29</t>
        </is>
      </c>
    </row>
    <row r="57291">
      <c r="A57291" s="1" t="n">
        <v>57290</v>
      </c>
      <c r="B57291">
        <f>TEXT(57290, "[$-0E0000]yyyy-mm-dd")</f>
        <v/>
      </c>
      <c r="C57291" t="inlineStr">
        <is>
          <t>2056-10-01</t>
        </is>
      </c>
    </row>
    <row r="57292">
      <c r="A57292" s="1" t="n">
        <v>57291</v>
      </c>
      <c r="B57292">
        <f>TEXT(57291, "[$-0E0000]yyyy-mm-dd")</f>
        <v/>
      </c>
      <c r="C57292" t="inlineStr">
        <is>
          <t>2056-10-02</t>
        </is>
      </c>
    </row>
    <row r="57293">
      <c r="A57293" s="1" t="n">
        <v>57292</v>
      </c>
      <c r="B57293">
        <f>TEXT(57292, "[$-0E0000]yyyy-mm-dd")</f>
        <v/>
      </c>
      <c r="C57293" t="inlineStr">
        <is>
          <t>2056-10-03</t>
        </is>
      </c>
    </row>
    <row r="57294">
      <c r="A57294" s="1" t="n">
        <v>57293</v>
      </c>
      <c r="B57294">
        <f>TEXT(57293, "[$-0E0000]yyyy-mm-dd")</f>
        <v/>
      </c>
      <c r="C57294" t="inlineStr">
        <is>
          <t>2056-10-04</t>
        </is>
      </c>
    </row>
    <row r="57295">
      <c r="A57295" s="1" t="n">
        <v>57294</v>
      </c>
      <c r="B57295">
        <f>TEXT(57294, "[$-0E0000]yyyy-mm-dd")</f>
        <v/>
      </c>
      <c r="C57295" t="inlineStr">
        <is>
          <t>2056-10-05</t>
        </is>
      </c>
    </row>
    <row r="57296">
      <c r="A57296" s="1" t="n">
        <v>57295</v>
      </c>
      <c r="B57296">
        <f>TEXT(57295, "[$-0E0000]yyyy-mm-dd")</f>
        <v/>
      </c>
      <c r="C57296" t="inlineStr">
        <is>
          <t>2056-10-06</t>
        </is>
      </c>
    </row>
    <row r="57297">
      <c r="A57297" s="1" t="n">
        <v>57296</v>
      </c>
      <c r="B57297">
        <f>TEXT(57296, "[$-0E0000]yyyy-mm-dd")</f>
        <v/>
      </c>
      <c r="C57297" t="inlineStr">
        <is>
          <t>2056-10-07</t>
        </is>
      </c>
    </row>
    <row r="57298">
      <c r="A57298" s="1" t="n">
        <v>57297</v>
      </c>
      <c r="B57298">
        <f>TEXT(57297, "[$-0E0000]yyyy-mm-dd")</f>
        <v/>
      </c>
      <c r="C57298" t="inlineStr">
        <is>
          <t>2056-10-08</t>
        </is>
      </c>
    </row>
    <row r="57299">
      <c r="A57299" s="1" t="n">
        <v>57298</v>
      </c>
      <c r="B57299">
        <f>TEXT(57298, "[$-0E0000]yyyy-mm-dd")</f>
        <v/>
      </c>
      <c r="C57299" t="inlineStr">
        <is>
          <t>2056-10-09</t>
        </is>
      </c>
    </row>
    <row r="57300">
      <c r="A57300" s="1" t="n">
        <v>57299</v>
      </c>
      <c r="B57300">
        <f>TEXT(57299, "[$-0E0000]yyyy-mm-dd")</f>
        <v/>
      </c>
      <c r="C57300" t="inlineStr">
        <is>
          <t>2056-10-10</t>
        </is>
      </c>
    </row>
    <row r="57301">
      <c r="A57301" s="1" t="n">
        <v>57300</v>
      </c>
      <c r="B57301">
        <f>TEXT(57300, "[$-0E0000]yyyy-mm-dd")</f>
        <v/>
      </c>
      <c r="C57301" t="inlineStr">
        <is>
          <t>2056-10-11</t>
        </is>
      </c>
    </row>
    <row r="57302">
      <c r="A57302" s="1" t="n">
        <v>57301</v>
      </c>
      <c r="B57302">
        <f>TEXT(57301, "[$-0E0000]yyyy-mm-dd")</f>
        <v/>
      </c>
      <c r="C57302" t="inlineStr">
        <is>
          <t>2056-10-12</t>
        </is>
      </c>
    </row>
    <row r="57303">
      <c r="A57303" s="1" t="n">
        <v>57302</v>
      </c>
      <c r="B57303">
        <f>TEXT(57302, "[$-0E0000]yyyy-mm-dd")</f>
        <v/>
      </c>
      <c r="C57303" t="inlineStr">
        <is>
          <t>2056-10-13</t>
        </is>
      </c>
    </row>
    <row r="57304">
      <c r="A57304" s="1" t="n">
        <v>57303</v>
      </c>
      <c r="B57304">
        <f>TEXT(57303, "[$-0E0000]yyyy-mm-dd")</f>
        <v/>
      </c>
      <c r="C57304" t="inlineStr">
        <is>
          <t>2056-10-14</t>
        </is>
      </c>
    </row>
    <row r="57305">
      <c r="A57305" s="1" t="n">
        <v>57304</v>
      </c>
      <c r="B57305">
        <f>TEXT(57304, "[$-0E0000]yyyy-mm-dd")</f>
        <v/>
      </c>
      <c r="C57305" t="inlineStr">
        <is>
          <t>2056-10-15</t>
        </is>
      </c>
    </row>
    <row r="57306">
      <c r="A57306" s="1" t="n">
        <v>57305</v>
      </c>
      <c r="B57306">
        <f>TEXT(57305, "[$-0E0000]yyyy-mm-dd")</f>
        <v/>
      </c>
      <c r="C57306" t="inlineStr">
        <is>
          <t>2056-10-16</t>
        </is>
      </c>
    </row>
    <row r="57307">
      <c r="A57307" s="1" t="n">
        <v>57306</v>
      </c>
      <c r="B57307">
        <f>TEXT(57306, "[$-0E0000]yyyy-mm-dd")</f>
        <v/>
      </c>
      <c r="C57307" t="inlineStr">
        <is>
          <t>2056-10-17</t>
        </is>
      </c>
    </row>
    <row r="57308">
      <c r="A57308" s="1" t="n">
        <v>57307</v>
      </c>
      <c r="B57308">
        <f>TEXT(57307, "[$-0E0000]yyyy-mm-dd")</f>
        <v/>
      </c>
      <c r="C57308" t="inlineStr">
        <is>
          <t>2056-10-18</t>
        </is>
      </c>
    </row>
    <row r="57309">
      <c r="A57309" s="1" t="n">
        <v>57308</v>
      </c>
      <c r="B57309">
        <f>TEXT(57308, "[$-0E0000]yyyy-mm-dd")</f>
        <v/>
      </c>
      <c r="C57309" t="inlineStr">
        <is>
          <t>2056-10-19</t>
        </is>
      </c>
    </row>
    <row r="57310">
      <c r="A57310" s="1" t="n">
        <v>57309</v>
      </c>
      <c r="B57310">
        <f>TEXT(57309, "[$-0E0000]yyyy-mm-dd")</f>
        <v/>
      </c>
      <c r="C57310" t="inlineStr">
        <is>
          <t>2056-10-20</t>
        </is>
      </c>
    </row>
    <row r="57311">
      <c r="A57311" s="1" t="n">
        <v>57310</v>
      </c>
      <c r="B57311">
        <f>TEXT(57310, "[$-0E0000]yyyy-mm-dd")</f>
        <v/>
      </c>
      <c r="C57311" t="inlineStr">
        <is>
          <t>2056-10-21</t>
        </is>
      </c>
    </row>
    <row r="57312">
      <c r="A57312" s="1" t="n">
        <v>57311</v>
      </c>
      <c r="B57312">
        <f>TEXT(57311, "[$-0E0000]yyyy-mm-dd")</f>
        <v/>
      </c>
      <c r="C57312" t="inlineStr">
        <is>
          <t>2056-10-22</t>
        </is>
      </c>
    </row>
    <row r="57313">
      <c r="A57313" s="1" t="n">
        <v>57312</v>
      </c>
      <c r="B57313">
        <f>TEXT(57312, "[$-0E0000]yyyy-mm-dd")</f>
        <v/>
      </c>
      <c r="C57313" t="inlineStr">
        <is>
          <t>2056-10-23</t>
        </is>
      </c>
    </row>
    <row r="57314">
      <c r="A57314" s="1" t="n">
        <v>57313</v>
      </c>
      <c r="B57314">
        <f>TEXT(57313, "[$-0E0000]yyyy-mm-dd")</f>
        <v/>
      </c>
      <c r="C57314" t="inlineStr">
        <is>
          <t>2056-10-24</t>
        </is>
      </c>
    </row>
    <row r="57315">
      <c r="A57315" s="1" t="n">
        <v>57314</v>
      </c>
      <c r="B57315">
        <f>TEXT(57314, "[$-0E0000]yyyy-mm-dd")</f>
        <v/>
      </c>
      <c r="C57315" t="inlineStr">
        <is>
          <t>2056-10-25</t>
        </is>
      </c>
    </row>
    <row r="57316">
      <c r="A57316" s="1" t="n">
        <v>57315</v>
      </c>
      <c r="B57316">
        <f>TEXT(57315, "[$-0E0000]yyyy-mm-dd")</f>
        <v/>
      </c>
      <c r="C57316" t="inlineStr">
        <is>
          <t>2056-10-26</t>
        </is>
      </c>
    </row>
    <row r="57317">
      <c r="A57317" s="1" t="n">
        <v>57316</v>
      </c>
      <c r="B57317">
        <f>TEXT(57316, "[$-0E0000]yyyy-mm-dd")</f>
        <v/>
      </c>
      <c r="C57317" t="inlineStr">
        <is>
          <t>2056-10-27</t>
        </is>
      </c>
    </row>
    <row r="57318">
      <c r="A57318" s="1" t="n">
        <v>57317</v>
      </c>
      <c r="B57318">
        <f>TEXT(57317, "[$-0E0000]yyyy-mm-dd")</f>
        <v/>
      </c>
      <c r="C57318" t="inlineStr">
        <is>
          <t>2056-10-28</t>
        </is>
      </c>
    </row>
    <row r="57319">
      <c r="A57319" s="1" t="n">
        <v>57318</v>
      </c>
      <c r="B57319">
        <f>TEXT(57318, "[$-0E0000]yyyy-mm-dd")</f>
        <v/>
      </c>
      <c r="C57319" t="inlineStr">
        <is>
          <t>2056-10-29</t>
        </is>
      </c>
    </row>
    <row r="57320">
      <c r="A57320" s="1" t="n">
        <v>57319</v>
      </c>
      <c r="B57320">
        <f>TEXT(57319, "[$-0E0000]yyyy-mm-dd")</f>
        <v/>
      </c>
      <c r="C57320" t="inlineStr">
        <is>
          <t>2056-10-30</t>
        </is>
      </c>
    </row>
    <row r="57321">
      <c r="A57321" s="1" t="n">
        <v>57320</v>
      </c>
      <c r="B57321">
        <f>TEXT(57320, "[$-0E0000]yyyy-mm-dd")</f>
        <v/>
      </c>
      <c r="C57321" t="inlineStr">
        <is>
          <t>2056-11-01</t>
        </is>
      </c>
    </row>
    <row r="57322">
      <c r="A57322" s="1" t="n">
        <v>57321</v>
      </c>
      <c r="B57322">
        <f>TEXT(57321, "[$-0E0000]yyyy-mm-dd")</f>
        <v/>
      </c>
      <c r="C57322" t="inlineStr">
        <is>
          <t>2056-11-02</t>
        </is>
      </c>
    </row>
    <row r="57323">
      <c r="A57323" s="1" t="n">
        <v>57322</v>
      </c>
      <c r="B57323">
        <f>TEXT(57322, "[$-0E0000]yyyy-mm-dd")</f>
        <v/>
      </c>
      <c r="C57323" t="inlineStr">
        <is>
          <t>2056-11-03</t>
        </is>
      </c>
    </row>
    <row r="57324">
      <c r="A57324" s="1" t="n">
        <v>57323</v>
      </c>
      <c r="B57324">
        <f>TEXT(57323, "[$-0E0000]yyyy-mm-dd")</f>
        <v/>
      </c>
      <c r="C57324" t="inlineStr">
        <is>
          <t>2056-11-04</t>
        </is>
      </c>
    </row>
    <row r="57325">
      <c r="A57325" s="1" t="n">
        <v>57324</v>
      </c>
      <c r="B57325">
        <f>TEXT(57324, "[$-0E0000]yyyy-mm-dd")</f>
        <v/>
      </c>
      <c r="C57325" t="inlineStr">
        <is>
          <t>2056-11-05</t>
        </is>
      </c>
    </row>
    <row r="57326">
      <c r="A57326" s="1" t="n">
        <v>57325</v>
      </c>
      <c r="B57326">
        <f>TEXT(57325, "[$-0E0000]yyyy-mm-dd")</f>
        <v/>
      </c>
      <c r="C57326" t="inlineStr">
        <is>
          <t>2056-11-06</t>
        </is>
      </c>
    </row>
    <row r="57327">
      <c r="A57327" s="1" t="n">
        <v>57326</v>
      </c>
      <c r="B57327">
        <f>TEXT(57326, "[$-0E0000]yyyy-mm-dd")</f>
        <v/>
      </c>
      <c r="C57327" t="inlineStr">
        <is>
          <t>2056-11-07</t>
        </is>
      </c>
    </row>
    <row r="57328">
      <c r="A57328" s="1" t="n">
        <v>57327</v>
      </c>
      <c r="B57328">
        <f>TEXT(57327, "[$-0E0000]yyyy-mm-dd")</f>
        <v/>
      </c>
      <c r="C57328" t="inlineStr">
        <is>
          <t>2056-11-08</t>
        </is>
      </c>
    </row>
    <row r="57329">
      <c r="A57329" s="1" t="n">
        <v>57328</v>
      </c>
      <c r="B57329">
        <f>TEXT(57328, "[$-0E0000]yyyy-mm-dd")</f>
        <v/>
      </c>
      <c r="C57329" t="inlineStr">
        <is>
          <t>2056-11-09</t>
        </is>
      </c>
    </row>
    <row r="57330">
      <c r="A57330" s="1" t="n">
        <v>57329</v>
      </c>
      <c r="B57330">
        <f>TEXT(57329, "[$-0E0000]yyyy-mm-dd")</f>
        <v/>
      </c>
      <c r="C57330" t="inlineStr">
        <is>
          <t>2056-11-10</t>
        </is>
      </c>
    </row>
    <row r="57331">
      <c r="A57331" s="1" t="n">
        <v>57330</v>
      </c>
      <c r="B57331">
        <f>TEXT(57330, "[$-0E0000]yyyy-mm-dd")</f>
        <v/>
      </c>
      <c r="C57331" t="inlineStr">
        <is>
          <t>2056-11-11</t>
        </is>
      </c>
    </row>
    <row r="57332">
      <c r="A57332" s="1" t="n">
        <v>57331</v>
      </c>
      <c r="B57332">
        <f>TEXT(57331, "[$-0E0000]yyyy-mm-dd")</f>
        <v/>
      </c>
      <c r="C57332" t="inlineStr">
        <is>
          <t>2056-11-12</t>
        </is>
      </c>
    </row>
    <row r="57333">
      <c r="A57333" s="1" t="n">
        <v>57332</v>
      </c>
      <c r="B57333">
        <f>TEXT(57332, "[$-0E0000]yyyy-mm-dd")</f>
        <v/>
      </c>
      <c r="C57333" t="inlineStr">
        <is>
          <t>2056-11-13</t>
        </is>
      </c>
    </row>
    <row r="57334">
      <c r="A57334" s="1" t="n">
        <v>57333</v>
      </c>
      <c r="B57334">
        <f>TEXT(57333, "[$-0E0000]yyyy-mm-dd")</f>
        <v/>
      </c>
      <c r="C57334" t="inlineStr">
        <is>
          <t>2056-11-14</t>
        </is>
      </c>
    </row>
    <row r="57335">
      <c r="A57335" s="1" t="n">
        <v>57334</v>
      </c>
      <c r="B57335">
        <f>TEXT(57334, "[$-0E0000]yyyy-mm-dd")</f>
        <v/>
      </c>
      <c r="C57335" t="inlineStr">
        <is>
          <t>2056-11-15</t>
        </is>
      </c>
    </row>
    <row r="57336">
      <c r="A57336" s="1" t="n">
        <v>57335</v>
      </c>
      <c r="B57336">
        <f>TEXT(57335, "[$-0E0000]yyyy-mm-dd")</f>
        <v/>
      </c>
      <c r="C57336" t="inlineStr">
        <is>
          <t>2056-11-16</t>
        </is>
      </c>
    </row>
    <row r="57337">
      <c r="A57337" s="1" t="n">
        <v>57336</v>
      </c>
      <c r="B57337">
        <f>TEXT(57336, "[$-0E0000]yyyy-mm-dd")</f>
        <v/>
      </c>
      <c r="C57337" t="inlineStr">
        <is>
          <t>2056-11-17</t>
        </is>
      </c>
    </row>
    <row r="57338">
      <c r="A57338" s="1" t="n">
        <v>57337</v>
      </c>
      <c r="B57338">
        <f>TEXT(57337, "[$-0E0000]yyyy-mm-dd")</f>
        <v/>
      </c>
      <c r="C57338" t="inlineStr">
        <is>
          <t>2056-11-18</t>
        </is>
      </c>
    </row>
    <row r="57339">
      <c r="A57339" s="1" t="n">
        <v>57338</v>
      </c>
      <c r="B57339">
        <f>TEXT(57338, "[$-0E0000]yyyy-mm-dd")</f>
        <v/>
      </c>
      <c r="C57339" t="inlineStr">
        <is>
          <t>2056-11-19</t>
        </is>
      </c>
    </row>
    <row r="57340">
      <c r="A57340" s="1" t="n">
        <v>57339</v>
      </c>
      <c r="B57340">
        <f>TEXT(57339, "[$-0E0000]yyyy-mm-dd")</f>
        <v/>
      </c>
      <c r="C57340" t="inlineStr">
        <is>
          <t>2056-11-20</t>
        </is>
      </c>
    </row>
    <row r="57341">
      <c r="A57341" s="1" t="n">
        <v>57340</v>
      </c>
      <c r="B57341">
        <f>TEXT(57340, "[$-0E0000]yyyy-mm-dd")</f>
        <v/>
      </c>
      <c r="C57341" t="inlineStr">
        <is>
          <t>2056-11-21</t>
        </is>
      </c>
    </row>
    <row r="57342">
      <c r="A57342" s="1" t="n">
        <v>57341</v>
      </c>
      <c r="B57342">
        <f>TEXT(57341, "[$-0E0000]yyyy-mm-dd")</f>
        <v/>
      </c>
      <c r="C57342" t="inlineStr">
        <is>
          <t>2056-11-22</t>
        </is>
      </c>
    </row>
    <row r="57343">
      <c r="A57343" s="1" t="n">
        <v>57342</v>
      </c>
      <c r="B57343">
        <f>TEXT(57342, "[$-0E0000]yyyy-mm-dd")</f>
        <v/>
      </c>
      <c r="C57343" t="inlineStr">
        <is>
          <t>2056-11-23</t>
        </is>
      </c>
    </row>
    <row r="57344">
      <c r="A57344" s="1" t="n">
        <v>57343</v>
      </c>
      <c r="B57344">
        <f>TEXT(57343, "[$-0E0000]yyyy-mm-dd")</f>
        <v/>
      </c>
      <c r="C57344" t="inlineStr">
        <is>
          <t>2056-11-24</t>
        </is>
      </c>
    </row>
    <row r="57345">
      <c r="A57345" s="1" t="n">
        <v>57344</v>
      </c>
      <c r="B57345">
        <f>TEXT(57344, "[$-0E0000]yyyy-mm-dd")</f>
        <v/>
      </c>
      <c r="C57345" t="inlineStr">
        <is>
          <t>2056-11-25</t>
        </is>
      </c>
    </row>
    <row r="57346">
      <c r="A57346" s="1" t="n">
        <v>57345</v>
      </c>
      <c r="B57346">
        <f>TEXT(57345, "[$-0E0000]yyyy-mm-dd")</f>
        <v/>
      </c>
      <c r="C57346" t="inlineStr">
        <is>
          <t>2056-11-26</t>
        </is>
      </c>
    </row>
    <row r="57347">
      <c r="A57347" s="1" t="n">
        <v>57346</v>
      </c>
      <c r="B57347">
        <f>TEXT(57346, "[$-0E0000]yyyy-mm-dd")</f>
        <v/>
      </c>
      <c r="C57347" t="inlineStr">
        <is>
          <t>2056-11-27</t>
        </is>
      </c>
    </row>
    <row r="57348">
      <c r="A57348" s="1" t="n">
        <v>57347</v>
      </c>
      <c r="B57348">
        <f>TEXT(57347, "[$-0E0000]yyyy-mm-dd")</f>
        <v/>
      </c>
      <c r="C57348" t="inlineStr">
        <is>
          <t>2056-11-28</t>
        </is>
      </c>
    </row>
    <row r="57349">
      <c r="A57349" s="1" t="n">
        <v>57348</v>
      </c>
      <c r="B57349">
        <f>TEXT(57348, "[$-0E0000]yyyy-mm-dd")</f>
        <v/>
      </c>
      <c r="C57349" t="inlineStr">
        <is>
          <t>2056-11-29</t>
        </is>
      </c>
    </row>
    <row r="57350">
      <c r="A57350" s="1" t="n">
        <v>57349</v>
      </c>
      <c r="B57350">
        <f>TEXT(57349, "[$-0E0000]yyyy-mm-dd")</f>
        <v/>
      </c>
      <c r="C57350" t="inlineStr">
        <is>
          <t>2056-12-01</t>
        </is>
      </c>
    </row>
    <row r="57351">
      <c r="A57351" s="1" t="n">
        <v>57350</v>
      </c>
      <c r="B57351">
        <f>TEXT(57350, "[$-0E0000]yyyy-mm-dd")</f>
        <v/>
      </c>
      <c r="C57351" t="inlineStr">
        <is>
          <t>2056-12-02</t>
        </is>
      </c>
    </row>
    <row r="57352">
      <c r="A57352" s="1" t="n">
        <v>57351</v>
      </c>
      <c r="B57352">
        <f>TEXT(57351, "[$-0E0000]yyyy-mm-dd")</f>
        <v/>
      </c>
      <c r="C57352" t="inlineStr">
        <is>
          <t>2056-12-03</t>
        </is>
      </c>
    </row>
    <row r="57353">
      <c r="A57353" s="1" t="n">
        <v>57352</v>
      </c>
      <c r="B57353">
        <f>TEXT(57352, "[$-0E0000]yyyy-mm-dd")</f>
        <v/>
      </c>
      <c r="C57353" t="inlineStr">
        <is>
          <t>2056-12-04</t>
        </is>
      </c>
    </row>
    <row r="57354">
      <c r="A57354" s="1" t="n">
        <v>57353</v>
      </c>
      <c r="B57354">
        <f>TEXT(57353, "[$-0E0000]yyyy-mm-dd")</f>
        <v/>
      </c>
      <c r="C57354" t="inlineStr">
        <is>
          <t>2056-12-05</t>
        </is>
      </c>
    </row>
    <row r="57355">
      <c r="A57355" s="1" t="n">
        <v>57354</v>
      </c>
      <c r="B57355">
        <f>TEXT(57354, "[$-0E0000]yyyy-mm-dd")</f>
        <v/>
      </c>
      <c r="C57355" t="inlineStr">
        <is>
          <t>2056-12-06</t>
        </is>
      </c>
    </row>
    <row r="57356">
      <c r="A57356" s="1" t="n">
        <v>57355</v>
      </c>
      <c r="B57356">
        <f>TEXT(57355, "[$-0E0000]yyyy-mm-dd")</f>
        <v/>
      </c>
      <c r="C57356" t="inlineStr">
        <is>
          <t>2056-12-07</t>
        </is>
      </c>
    </row>
    <row r="57357">
      <c r="A57357" s="1" t="n">
        <v>57356</v>
      </c>
      <c r="B57357">
        <f>TEXT(57356, "[$-0E0000]yyyy-mm-dd")</f>
        <v/>
      </c>
      <c r="C57357" t="inlineStr">
        <is>
          <t>2056-12-08</t>
        </is>
      </c>
    </row>
    <row r="57358">
      <c r="A57358" s="1" t="n">
        <v>57357</v>
      </c>
      <c r="B57358">
        <f>TEXT(57357, "[$-0E0000]yyyy-mm-dd")</f>
        <v/>
      </c>
      <c r="C57358" t="inlineStr">
        <is>
          <t>2056-12-09</t>
        </is>
      </c>
    </row>
    <row r="57359">
      <c r="A57359" s="1" t="n">
        <v>57358</v>
      </c>
      <c r="B57359">
        <f>TEXT(57358, "[$-0E0000]yyyy-mm-dd")</f>
        <v/>
      </c>
      <c r="C57359" t="inlineStr">
        <is>
          <t>2056-12-10</t>
        </is>
      </c>
    </row>
    <row r="57360">
      <c r="A57360" s="1" t="n">
        <v>57359</v>
      </c>
      <c r="B57360">
        <f>TEXT(57359, "[$-0E0000]yyyy-mm-dd")</f>
        <v/>
      </c>
      <c r="C57360" t="inlineStr">
        <is>
          <t>2056-12-11</t>
        </is>
      </c>
    </row>
    <row r="57361">
      <c r="A57361" s="1" t="n">
        <v>57360</v>
      </c>
      <c r="B57361">
        <f>TEXT(57360, "[$-0E0000]yyyy-mm-dd")</f>
        <v/>
      </c>
      <c r="C57361" t="inlineStr">
        <is>
          <t>2056-12-12</t>
        </is>
      </c>
    </row>
    <row r="57362">
      <c r="A57362" s="1" t="n">
        <v>57361</v>
      </c>
      <c r="B57362">
        <f>TEXT(57361, "[$-0E0000]yyyy-mm-dd")</f>
        <v/>
      </c>
      <c r="C57362" t="inlineStr">
        <is>
          <t>2056-12-13</t>
        </is>
      </c>
    </row>
    <row r="57363">
      <c r="A57363" s="1" t="n">
        <v>57362</v>
      </c>
      <c r="B57363">
        <f>TEXT(57362, "[$-0E0000]yyyy-mm-dd")</f>
        <v/>
      </c>
      <c r="C57363" t="inlineStr">
        <is>
          <t>2056-12-14</t>
        </is>
      </c>
    </row>
    <row r="57364">
      <c r="A57364" s="1" t="n">
        <v>57363</v>
      </c>
      <c r="B57364">
        <f>TEXT(57363, "[$-0E0000]yyyy-mm-dd")</f>
        <v/>
      </c>
      <c r="C57364" t="inlineStr">
        <is>
          <t>2056-12-15</t>
        </is>
      </c>
    </row>
    <row r="57365">
      <c r="A57365" s="1" t="n">
        <v>57364</v>
      </c>
      <c r="B57365">
        <f>TEXT(57364, "[$-0E0000]yyyy-mm-dd")</f>
        <v/>
      </c>
      <c r="C57365" t="inlineStr">
        <is>
          <t>2056-12-16</t>
        </is>
      </c>
    </row>
    <row r="57366">
      <c r="A57366" s="1" t="n">
        <v>57365</v>
      </c>
      <c r="B57366">
        <f>TEXT(57365, "[$-0E0000]yyyy-mm-dd")</f>
        <v/>
      </c>
      <c r="C57366" t="inlineStr">
        <is>
          <t>2056-12-17</t>
        </is>
      </c>
    </row>
    <row r="57367">
      <c r="A57367" s="1" t="n">
        <v>57366</v>
      </c>
      <c r="B57367">
        <f>TEXT(57366, "[$-0E0000]yyyy-mm-dd")</f>
        <v/>
      </c>
      <c r="C57367" t="inlineStr">
        <is>
          <t>2056-12-18</t>
        </is>
      </c>
    </row>
    <row r="57368">
      <c r="A57368" s="1" t="n">
        <v>57367</v>
      </c>
      <c r="B57368">
        <f>TEXT(57367, "[$-0E0000]yyyy-mm-dd")</f>
        <v/>
      </c>
      <c r="C57368" t="inlineStr">
        <is>
          <t>2056-12-19</t>
        </is>
      </c>
    </row>
    <row r="57369">
      <c r="A57369" s="1" t="n">
        <v>57368</v>
      </c>
      <c r="B57369">
        <f>TEXT(57368, "[$-0E0000]yyyy-mm-dd")</f>
        <v/>
      </c>
      <c r="C57369" t="inlineStr">
        <is>
          <t>2056-12-20</t>
        </is>
      </c>
    </row>
    <row r="57370">
      <c r="A57370" s="1" t="n">
        <v>57369</v>
      </c>
      <c r="B57370">
        <f>TEXT(57369, "[$-0E0000]yyyy-mm-dd")</f>
        <v/>
      </c>
      <c r="C57370" t="inlineStr">
        <is>
          <t>2056-12-21</t>
        </is>
      </c>
    </row>
    <row r="57371">
      <c r="A57371" s="1" t="n">
        <v>57370</v>
      </c>
      <c r="B57371">
        <f>TEXT(57370, "[$-0E0000]yyyy-mm-dd")</f>
        <v/>
      </c>
      <c r="C57371" t="inlineStr">
        <is>
          <t>2056-12-22</t>
        </is>
      </c>
    </row>
    <row r="57372">
      <c r="A57372" s="1" t="n">
        <v>57371</v>
      </c>
      <c r="B57372">
        <f>TEXT(57371, "[$-0E0000]yyyy-mm-dd")</f>
        <v/>
      </c>
      <c r="C57372" t="inlineStr">
        <is>
          <t>2056-12-23</t>
        </is>
      </c>
    </row>
    <row r="57373">
      <c r="A57373" s="1" t="n">
        <v>57372</v>
      </c>
      <c r="B57373">
        <f>TEXT(57372, "[$-0E0000]yyyy-mm-dd")</f>
        <v/>
      </c>
      <c r="C57373" t="inlineStr">
        <is>
          <t>2056-12-24</t>
        </is>
      </c>
    </row>
    <row r="57374">
      <c r="A57374" s="1" t="n">
        <v>57373</v>
      </c>
      <c r="B57374">
        <f>TEXT(57373, "[$-0E0000]yyyy-mm-dd")</f>
        <v/>
      </c>
      <c r="C57374" t="inlineStr">
        <is>
          <t>2056-12-25</t>
        </is>
      </c>
    </row>
    <row r="57375">
      <c r="A57375" s="1" t="n">
        <v>57374</v>
      </c>
      <c r="B57375">
        <f>TEXT(57374, "[$-0E0000]yyyy-mm-dd")</f>
        <v/>
      </c>
      <c r="C57375" t="inlineStr">
        <is>
          <t>2056-12-26</t>
        </is>
      </c>
    </row>
    <row r="57376">
      <c r="A57376" s="1" t="n">
        <v>57375</v>
      </c>
      <c r="B57376">
        <f>TEXT(57375, "[$-0E0000]yyyy-mm-dd")</f>
        <v/>
      </c>
      <c r="C57376" t="inlineStr">
        <is>
          <t>2056-12-27</t>
        </is>
      </c>
    </row>
    <row r="57377">
      <c r="A57377" s="1" t="n">
        <v>57376</v>
      </c>
      <c r="B57377">
        <f>TEXT(57376, "[$-0E0000]yyyy-mm-dd")</f>
        <v/>
      </c>
      <c r="C57377" t="inlineStr">
        <is>
          <t>2056-12-28</t>
        </is>
      </c>
    </row>
    <row r="57378">
      <c r="A57378" s="1" t="n">
        <v>57377</v>
      </c>
      <c r="B57378">
        <f>TEXT(57377, "[$-0E0000]yyyy-mm-dd")</f>
        <v/>
      </c>
      <c r="C57378" t="inlineStr">
        <is>
          <t>2056-12-29</t>
        </is>
      </c>
    </row>
    <row r="57379">
      <c r="A57379" s="1" t="n">
        <v>57378</v>
      </c>
      <c r="B57379">
        <f>TEXT(57378, "[$-0E0000]yyyy-mm-dd")</f>
        <v/>
      </c>
      <c r="C57379" t="inlineStr">
        <is>
          <t>2056-12-30</t>
        </is>
      </c>
    </row>
    <row r="57380">
      <c r="A57380" s="1" t="n">
        <v>57379</v>
      </c>
      <c r="B57380">
        <f>TEXT(57379, "[$-0E0000]yyyy-mm-dd")</f>
        <v/>
      </c>
      <c r="C57380" t="inlineStr">
        <is>
          <t>2057-01-01</t>
        </is>
      </c>
    </row>
    <row r="57381">
      <c r="A57381" s="1" t="n">
        <v>57380</v>
      </c>
      <c r="B57381">
        <f>TEXT(57380, "[$-0E0000]yyyy-mm-dd")</f>
        <v/>
      </c>
      <c r="C57381" t="inlineStr">
        <is>
          <t>2057-01-02</t>
        </is>
      </c>
    </row>
    <row r="57382">
      <c r="A57382" s="1" t="n">
        <v>57381</v>
      </c>
      <c r="B57382">
        <f>TEXT(57381, "[$-0E0000]yyyy-mm-dd")</f>
        <v/>
      </c>
      <c r="C57382" t="inlineStr">
        <is>
          <t>2057-01-03</t>
        </is>
      </c>
    </row>
    <row r="57383">
      <c r="A57383" s="1" t="n">
        <v>57382</v>
      </c>
      <c r="B57383">
        <f>TEXT(57382, "[$-0E0000]yyyy-mm-dd")</f>
        <v/>
      </c>
      <c r="C57383" t="inlineStr">
        <is>
          <t>2057-01-04</t>
        </is>
      </c>
    </row>
    <row r="57384">
      <c r="A57384" s="1" t="n">
        <v>57383</v>
      </c>
      <c r="B57384">
        <f>TEXT(57383, "[$-0E0000]yyyy-mm-dd")</f>
        <v/>
      </c>
      <c r="C57384" t="inlineStr">
        <is>
          <t>2057-01-05</t>
        </is>
      </c>
    </row>
    <row r="57385">
      <c r="A57385" s="1" t="n">
        <v>57384</v>
      </c>
      <c r="B57385">
        <f>TEXT(57384, "[$-0E0000]yyyy-mm-dd")</f>
        <v/>
      </c>
      <c r="C57385" t="inlineStr">
        <is>
          <t>2057-01-06</t>
        </is>
      </c>
    </row>
    <row r="57386">
      <c r="A57386" s="1" t="n">
        <v>57385</v>
      </c>
      <c r="B57386">
        <f>TEXT(57385, "[$-0E0000]yyyy-mm-dd")</f>
        <v/>
      </c>
      <c r="C57386" t="inlineStr">
        <is>
          <t>2057-01-07</t>
        </is>
      </c>
    </row>
    <row r="57387">
      <c r="A57387" s="1" t="n">
        <v>57386</v>
      </c>
      <c r="B57387">
        <f>TEXT(57386, "[$-0E0000]yyyy-mm-dd")</f>
        <v/>
      </c>
      <c r="C57387" t="inlineStr">
        <is>
          <t>2057-01-08</t>
        </is>
      </c>
    </row>
    <row r="57388">
      <c r="A57388" s="1" t="n">
        <v>57387</v>
      </c>
      <c r="B57388">
        <f>TEXT(57387, "[$-0E0000]yyyy-mm-dd")</f>
        <v/>
      </c>
      <c r="C57388" t="inlineStr">
        <is>
          <t>2057-01-09</t>
        </is>
      </c>
    </row>
    <row r="57389">
      <c r="A57389" s="1" t="n">
        <v>57388</v>
      </c>
      <c r="B57389">
        <f>TEXT(57388, "[$-0E0000]yyyy-mm-dd")</f>
        <v/>
      </c>
      <c r="C57389" t="inlineStr">
        <is>
          <t>2057-01-10</t>
        </is>
      </c>
    </row>
    <row r="57390">
      <c r="A57390" s="1" t="n">
        <v>57389</v>
      </c>
      <c r="B57390">
        <f>TEXT(57389, "[$-0E0000]yyyy-mm-dd")</f>
        <v/>
      </c>
      <c r="C57390" t="inlineStr">
        <is>
          <t>2057-01-11</t>
        </is>
      </c>
    </row>
    <row r="57391">
      <c r="A57391" s="1" t="n">
        <v>57390</v>
      </c>
      <c r="B57391">
        <f>TEXT(57390, "[$-0E0000]yyyy-mm-dd")</f>
        <v/>
      </c>
      <c r="C57391" t="inlineStr">
        <is>
          <t>2057-01-12</t>
        </is>
      </c>
    </row>
    <row r="57392">
      <c r="A57392" s="1" t="n">
        <v>57391</v>
      </c>
      <c r="B57392">
        <f>TEXT(57391, "[$-0E0000]yyyy-mm-dd")</f>
        <v/>
      </c>
      <c r="C57392" t="inlineStr">
        <is>
          <t>2057-01-13</t>
        </is>
      </c>
    </row>
    <row r="57393">
      <c r="A57393" s="1" t="n">
        <v>57392</v>
      </c>
      <c r="B57393">
        <f>TEXT(57392, "[$-0E0000]yyyy-mm-dd")</f>
        <v/>
      </c>
      <c r="C57393" t="inlineStr">
        <is>
          <t>2057-01-14</t>
        </is>
      </c>
    </row>
    <row r="57394">
      <c r="A57394" s="1" t="n">
        <v>57393</v>
      </c>
      <c r="B57394">
        <f>TEXT(57393, "[$-0E0000]yyyy-mm-dd")</f>
        <v/>
      </c>
      <c r="C57394" t="inlineStr">
        <is>
          <t>2057-01-15</t>
        </is>
      </c>
    </row>
    <row r="57395">
      <c r="A57395" s="1" t="n">
        <v>57394</v>
      </c>
      <c r="B57395">
        <f>TEXT(57394, "[$-0E0000]yyyy-mm-dd")</f>
        <v/>
      </c>
      <c r="C57395" t="inlineStr">
        <is>
          <t>2057-01-16</t>
        </is>
      </c>
    </row>
    <row r="57396">
      <c r="A57396" s="1" t="n">
        <v>57395</v>
      </c>
      <c r="B57396">
        <f>TEXT(57395, "[$-0E0000]yyyy-mm-dd")</f>
        <v/>
      </c>
      <c r="C57396" t="inlineStr">
        <is>
          <t>2057-01-17</t>
        </is>
      </c>
    </row>
    <row r="57397">
      <c r="A57397" s="1" t="n">
        <v>57396</v>
      </c>
      <c r="B57397">
        <f>TEXT(57396, "[$-0E0000]yyyy-mm-dd")</f>
        <v/>
      </c>
      <c r="C57397" t="inlineStr">
        <is>
          <t>2057-01-18</t>
        </is>
      </c>
    </row>
    <row r="57398">
      <c r="A57398" s="1" t="n">
        <v>57397</v>
      </c>
      <c r="B57398">
        <f>TEXT(57397, "[$-0E0000]yyyy-mm-dd")</f>
        <v/>
      </c>
      <c r="C57398" t="inlineStr">
        <is>
          <t>2057-01-19</t>
        </is>
      </c>
    </row>
    <row r="57399">
      <c r="A57399" s="1" t="n">
        <v>57398</v>
      </c>
      <c r="B57399">
        <f>TEXT(57398, "[$-0E0000]yyyy-mm-dd")</f>
        <v/>
      </c>
      <c r="C57399" t="inlineStr">
        <is>
          <t>2057-01-20</t>
        </is>
      </c>
    </row>
    <row r="57400">
      <c r="A57400" s="1" t="n">
        <v>57399</v>
      </c>
      <c r="B57400">
        <f>TEXT(57399, "[$-0E0000]yyyy-mm-dd")</f>
        <v/>
      </c>
      <c r="C57400" t="inlineStr">
        <is>
          <t>2057-01-21</t>
        </is>
      </c>
    </row>
    <row r="57401">
      <c r="A57401" s="1" t="n">
        <v>57400</v>
      </c>
      <c r="B57401">
        <f>TEXT(57400, "[$-0E0000]yyyy-mm-dd")</f>
        <v/>
      </c>
      <c r="C57401" t="inlineStr">
        <is>
          <t>2057-01-22</t>
        </is>
      </c>
    </row>
    <row r="57402">
      <c r="A57402" s="1" t="n">
        <v>57401</v>
      </c>
      <c r="B57402">
        <f>TEXT(57401, "[$-0E0000]yyyy-mm-dd")</f>
        <v/>
      </c>
      <c r="C57402" t="inlineStr">
        <is>
          <t>2057-01-23</t>
        </is>
      </c>
    </row>
    <row r="57403">
      <c r="A57403" s="1" t="n">
        <v>57402</v>
      </c>
      <c r="B57403">
        <f>TEXT(57402, "[$-0E0000]yyyy-mm-dd")</f>
        <v/>
      </c>
      <c r="C57403" t="inlineStr">
        <is>
          <t>2057-01-24</t>
        </is>
      </c>
    </row>
    <row r="57404">
      <c r="A57404" s="1" t="n">
        <v>57403</v>
      </c>
      <c r="B57404">
        <f>TEXT(57403, "[$-0E0000]yyyy-mm-dd")</f>
        <v/>
      </c>
      <c r="C57404" t="inlineStr">
        <is>
          <t>2057-01-25</t>
        </is>
      </c>
    </row>
    <row r="57405">
      <c r="A57405" s="1" t="n">
        <v>57404</v>
      </c>
      <c r="B57405">
        <f>TEXT(57404, "[$-0E0000]yyyy-mm-dd")</f>
        <v/>
      </c>
      <c r="C57405" t="inlineStr">
        <is>
          <t>2057-01-26</t>
        </is>
      </c>
    </row>
    <row r="57406">
      <c r="A57406" s="1" t="n">
        <v>57405</v>
      </c>
      <c r="B57406">
        <f>TEXT(57405, "[$-0E0000]yyyy-mm-dd")</f>
        <v/>
      </c>
      <c r="C57406" t="inlineStr">
        <is>
          <t>2057-01-27</t>
        </is>
      </c>
    </row>
    <row r="57407">
      <c r="A57407" s="1" t="n">
        <v>57406</v>
      </c>
      <c r="B57407">
        <f>TEXT(57406, "[$-0E0000]yyyy-mm-dd")</f>
        <v/>
      </c>
      <c r="C57407" t="inlineStr">
        <is>
          <t>2057-01-28</t>
        </is>
      </c>
    </row>
    <row r="57408">
      <c r="A57408" s="1" t="n">
        <v>57407</v>
      </c>
      <c r="B57408">
        <f>TEXT(57407, "[$-0E0000]yyyy-mm-dd")</f>
        <v/>
      </c>
      <c r="C57408" t="inlineStr">
        <is>
          <t>2057-01-29</t>
        </is>
      </c>
    </row>
    <row r="57409">
      <c r="A57409" s="1" t="n">
        <v>57408</v>
      </c>
      <c r="B57409">
        <f>TEXT(57408, "[$-0E0000]yyyy-mm-dd")</f>
        <v/>
      </c>
      <c r="C57409" t="inlineStr">
        <is>
          <t>2057-02-01</t>
        </is>
      </c>
    </row>
    <row r="57410">
      <c r="A57410" s="1" t="n">
        <v>57409</v>
      </c>
      <c r="B57410">
        <f>TEXT(57409, "[$-0E0000]yyyy-mm-dd")</f>
        <v/>
      </c>
      <c r="C57410" t="inlineStr">
        <is>
          <t>2057-02-02</t>
        </is>
      </c>
    </row>
    <row r="57411">
      <c r="A57411" s="1" t="n">
        <v>57410</v>
      </c>
      <c r="B57411">
        <f>TEXT(57410, "[$-0E0000]yyyy-mm-dd")</f>
        <v/>
      </c>
      <c r="C57411" t="inlineStr">
        <is>
          <t>2057-02-03</t>
        </is>
      </c>
    </row>
    <row r="57412">
      <c r="A57412" s="1" t="n">
        <v>57411</v>
      </c>
      <c r="B57412">
        <f>TEXT(57411, "[$-0E0000]yyyy-mm-dd")</f>
        <v/>
      </c>
      <c r="C57412" t="inlineStr">
        <is>
          <t>2057-02-04</t>
        </is>
      </c>
    </row>
    <row r="57413">
      <c r="A57413" s="1" t="n">
        <v>57412</v>
      </c>
      <c r="B57413">
        <f>TEXT(57412, "[$-0E0000]yyyy-mm-dd")</f>
        <v/>
      </c>
      <c r="C57413" t="inlineStr">
        <is>
          <t>2057-02-05</t>
        </is>
      </c>
    </row>
    <row r="57414">
      <c r="A57414" s="1" t="n">
        <v>57413</v>
      </c>
      <c r="B57414">
        <f>TEXT(57413, "[$-0E0000]yyyy-mm-dd")</f>
        <v/>
      </c>
      <c r="C57414" t="inlineStr">
        <is>
          <t>2057-02-06</t>
        </is>
      </c>
    </row>
    <row r="57415">
      <c r="A57415" s="1" t="n">
        <v>57414</v>
      </c>
      <c r="B57415">
        <f>TEXT(57414, "[$-0E0000]yyyy-mm-dd")</f>
        <v/>
      </c>
      <c r="C57415" t="inlineStr">
        <is>
          <t>2057-02-07</t>
        </is>
      </c>
    </row>
    <row r="57416">
      <c r="A57416" s="1" t="n">
        <v>57415</v>
      </c>
      <c r="B57416">
        <f>TEXT(57415, "[$-0E0000]yyyy-mm-dd")</f>
        <v/>
      </c>
      <c r="C57416" t="inlineStr">
        <is>
          <t>2057-02-08</t>
        </is>
      </c>
    </row>
    <row r="57417">
      <c r="A57417" s="1" t="n">
        <v>57416</v>
      </c>
      <c r="B57417">
        <f>TEXT(57416, "[$-0E0000]yyyy-mm-dd")</f>
        <v/>
      </c>
      <c r="C57417" t="inlineStr">
        <is>
          <t>2057-02-09</t>
        </is>
      </c>
    </row>
    <row r="57418">
      <c r="A57418" s="1" t="n">
        <v>57417</v>
      </c>
      <c r="B57418">
        <f>TEXT(57417, "[$-0E0000]yyyy-mm-dd")</f>
        <v/>
      </c>
      <c r="C57418" t="inlineStr">
        <is>
          <t>2057-02-10</t>
        </is>
      </c>
    </row>
    <row r="57419">
      <c r="A57419" s="1" t="n">
        <v>57418</v>
      </c>
      <c r="B57419">
        <f>TEXT(57418, "[$-0E0000]yyyy-mm-dd")</f>
        <v/>
      </c>
      <c r="C57419" t="inlineStr">
        <is>
          <t>2057-02-11</t>
        </is>
      </c>
    </row>
    <row r="57420">
      <c r="A57420" s="1" t="n">
        <v>57419</v>
      </c>
      <c r="B57420">
        <f>TEXT(57419, "[$-0E0000]yyyy-mm-dd")</f>
        <v/>
      </c>
      <c r="C57420" t="inlineStr">
        <is>
          <t>2057-02-12</t>
        </is>
      </c>
    </row>
    <row r="57421">
      <c r="A57421" s="1" t="n">
        <v>57420</v>
      </c>
      <c r="B57421">
        <f>TEXT(57420, "[$-0E0000]yyyy-mm-dd")</f>
        <v/>
      </c>
      <c r="C57421" t="inlineStr">
        <is>
          <t>2057-02-13</t>
        </is>
      </c>
    </row>
    <row r="57422">
      <c r="A57422" s="1" t="n">
        <v>57421</v>
      </c>
      <c r="B57422">
        <f>TEXT(57421, "[$-0E0000]yyyy-mm-dd")</f>
        <v/>
      </c>
      <c r="C57422" t="inlineStr">
        <is>
          <t>2057-02-14</t>
        </is>
      </c>
    </row>
    <row r="57423">
      <c r="A57423" s="1" t="n">
        <v>57422</v>
      </c>
      <c r="B57423">
        <f>TEXT(57422, "[$-0E0000]yyyy-mm-dd")</f>
        <v/>
      </c>
      <c r="C57423" t="inlineStr">
        <is>
          <t>2057-02-15</t>
        </is>
      </c>
    </row>
    <row r="57424">
      <c r="A57424" s="1" t="n">
        <v>57423</v>
      </c>
      <c r="B57424">
        <f>TEXT(57423, "[$-0E0000]yyyy-mm-dd")</f>
        <v/>
      </c>
      <c r="C57424" t="inlineStr">
        <is>
          <t>2057-02-16</t>
        </is>
      </c>
    </row>
    <row r="57425">
      <c r="A57425" s="1" t="n">
        <v>57424</v>
      </c>
      <c r="B57425">
        <f>TEXT(57424, "[$-0E0000]yyyy-mm-dd")</f>
        <v/>
      </c>
      <c r="C57425" t="inlineStr">
        <is>
          <t>2057-02-17</t>
        </is>
      </c>
    </row>
    <row r="57426">
      <c r="A57426" s="1" t="n">
        <v>57425</v>
      </c>
      <c r="B57426">
        <f>TEXT(57425, "[$-0E0000]yyyy-mm-dd")</f>
        <v/>
      </c>
      <c r="C57426" t="inlineStr">
        <is>
          <t>2057-02-18</t>
        </is>
      </c>
    </row>
    <row r="57427">
      <c r="A57427" s="1" t="n">
        <v>57426</v>
      </c>
      <c r="B57427">
        <f>TEXT(57426, "[$-0E0000]yyyy-mm-dd")</f>
        <v/>
      </c>
      <c r="C57427" t="inlineStr">
        <is>
          <t>2057-02-19</t>
        </is>
      </c>
    </row>
    <row r="57428">
      <c r="A57428" s="1" t="n">
        <v>57427</v>
      </c>
      <c r="B57428">
        <f>TEXT(57427, "[$-0E0000]yyyy-mm-dd")</f>
        <v/>
      </c>
      <c r="C57428" t="inlineStr">
        <is>
          <t>2057-02-20</t>
        </is>
      </c>
    </row>
    <row r="57429">
      <c r="A57429" s="1" t="n">
        <v>57428</v>
      </c>
      <c r="B57429">
        <f>TEXT(57428, "[$-0E0000]yyyy-mm-dd")</f>
        <v/>
      </c>
      <c r="C57429" t="inlineStr">
        <is>
          <t>2057-02-21</t>
        </is>
      </c>
    </row>
    <row r="57430">
      <c r="A57430" s="1" t="n">
        <v>57429</v>
      </c>
      <c r="B57430">
        <f>TEXT(57429, "[$-0E0000]yyyy-mm-dd")</f>
        <v/>
      </c>
      <c r="C57430" t="inlineStr">
        <is>
          <t>2057-02-22</t>
        </is>
      </c>
    </row>
    <row r="57431">
      <c r="A57431" s="1" t="n">
        <v>57430</v>
      </c>
      <c r="B57431">
        <f>TEXT(57430, "[$-0E0000]yyyy-mm-dd")</f>
        <v/>
      </c>
      <c r="C57431" t="inlineStr">
        <is>
          <t>2057-02-23</t>
        </is>
      </c>
    </row>
    <row r="57432">
      <c r="A57432" s="1" t="n">
        <v>57431</v>
      </c>
      <c r="B57432">
        <f>TEXT(57431, "[$-0E0000]yyyy-mm-dd")</f>
        <v/>
      </c>
      <c r="C57432" t="inlineStr">
        <is>
          <t>2057-02-24</t>
        </is>
      </c>
    </row>
    <row r="57433">
      <c r="A57433" s="1" t="n">
        <v>57432</v>
      </c>
      <c r="B57433">
        <f>TEXT(57432, "[$-0E0000]yyyy-mm-dd")</f>
        <v/>
      </c>
      <c r="C57433" t="inlineStr">
        <is>
          <t>2057-02-25</t>
        </is>
      </c>
    </row>
    <row r="57434">
      <c r="A57434" s="1" t="n">
        <v>57433</v>
      </c>
      <c r="B57434">
        <f>TEXT(57433, "[$-0E0000]yyyy-mm-dd")</f>
        <v/>
      </c>
      <c r="C57434" t="inlineStr">
        <is>
          <t>2057-02-26</t>
        </is>
      </c>
    </row>
    <row r="57435">
      <c r="A57435" s="1" t="n">
        <v>57434</v>
      </c>
      <c r="B57435">
        <f>TEXT(57434, "[$-0E0000]yyyy-mm-dd")</f>
        <v/>
      </c>
      <c r="C57435" t="inlineStr">
        <is>
          <t>2057-02-27</t>
        </is>
      </c>
    </row>
    <row r="57436">
      <c r="A57436" s="1" t="n">
        <v>57435</v>
      </c>
      <c r="B57436">
        <f>TEXT(57435, "[$-0E0000]yyyy-mm-dd")</f>
        <v/>
      </c>
      <c r="C57436" t="inlineStr">
        <is>
          <t>2057-02-28</t>
        </is>
      </c>
    </row>
    <row r="57437">
      <c r="A57437" s="1" t="n">
        <v>57436</v>
      </c>
      <c r="B57437">
        <f>TEXT(57436, "[$-0E0000]yyyy-mm-dd")</f>
        <v/>
      </c>
      <c r="C57437" t="inlineStr">
        <is>
          <t>2057-02-29</t>
        </is>
      </c>
    </row>
    <row r="57438">
      <c r="A57438" s="1" t="n">
        <v>57437</v>
      </c>
      <c r="B57438">
        <f>TEXT(57437, "[$-0E0000]yyyy-mm-dd")</f>
        <v/>
      </c>
      <c r="C57438" t="inlineStr">
        <is>
          <t>2057-02-30</t>
        </is>
      </c>
    </row>
    <row r="57439">
      <c r="A57439" s="1" t="n">
        <v>57438</v>
      </c>
      <c r="B57439">
        <f>TEXT(57438, "[$-0E0000]yyyy-mm-dd")</f>
        <v/>
      </c>
      <c r="C57439" t="inlineStr">
        <is>
          <t>2057-03-01</t>
        </is>
      </c>
    </row>
    <row r="57440">
      <c r="A57440" s="1" t="n">
        <v>57439</v>
      </c>
      <c r="B57440">
        <f>TEXT(57439, "[$-0E0000]yyyy-mm-dd")</f>
        <v/>
      </c>
      <c r="C57440" t="inlineStr">
        <is>
          <t>2057-03-02</t>
        </is>
      </c>
    </row>
    <row r="57441">
      <c r="A57441" s="1" t="n">
        <v>57440</v>
      </c>
      <c r="B57441">
        <f>TEXT(57440, "[$-0E0000]yyyy-mm-dd")</f>
        <v/>
      </c>
      <c r="C57441" t="inlineStr">
        <is>
          <t>2057-03-03</t>
        </is>
      </c>
    </row>
    <row r="57442">
      <c r="A57442" s="1" t="n">
        <v>57441</v>
      </c>
      <c r="B57442">
        <f>TEXT(57441, "[$-0E0000]yyyy-mm-dd")</f>
        <v/>
      </c>
      <c r="C57442" t="inlineStr">
        <is>
          <t>2057-03-04</t>
        </is>
      </c>
    </row>
    <row r="57443">
      <c r="A57443" s="1" t="n">
        <v>57442</v>
      </c>
      <c r="B57443">
        <f>TEXT(57442, "[$-0E0000]yyyy-mm-dd")</f>
        <v/>
      </c>
      <c r="C57443" t="inlineStr">
        <is>
          <t>2057-03-05</t>
        </is>
      </c>
    </row>
    <row r="57444">
      <c r="A57444" s="1" t="n">
        <v>57443</v>
      </c>
      <c r="B57444">
        <f>TEXT(57443, "[$-0E0000]yyyy-mm-dd")</f>
        <v/>
      </c>
      <c r="C57444" t="inlineStr">
        <is>
          <t>2057-03-06</t>
        </is>
      </c>
    </row>
    <row r="57445">
      <c r="A57445" s="1" t="n">
        <v>57444</v>
      </c>
      <c r="B57445">
        <f>TEXT(57444, "[$-0E0000]yyyy-mm-dd")</f>
        <v/>
      </c>
      <c r="C57445" t="inlineStr">
        <is>
          <t>2057-03-07</t>
        </is>
      </c>
    </row>
    <row r="57446">
      <c r="A57446" s="1" t="n">
        <v>57445</v>
      </c>
      <c r="B57446">
        <f>TEXT(57445, "[$-0E0000]yyyy-mm-dd")</f>
        <v/>
      </c>
      <c r="C57446" t="inlineStr">
        <is>
          <t>2057-03-08</t>
        </is>
      </c>
    </row>
    <row r="57447">
      <c r="A57447" s="1" t="n">
        <v>57446</v>
      </c>
      <c r="B57447">
        <f>TEXT(57446, "[$-0E0000]yyyy-mm-dd")</f>
        <v/>
      </c>
      <c r="C57447" t="inlineStr">
        <is>
          <t>2057-03-09</t>
        </is>
      </c>
    </row>
    <row r="57448">
      <c r="A57448" s="1" t="n">
        <v>57447</v>
      </c>
      <c r="B57448">
        <f>TEXT(57447, "[$-0E0000]yyyy-mm-dd")</f>
        <v/>
      </c>
      <c r="C57448" t="inlineStr">
        <is>
          <t>2057-03-10</t>
        </is>
      </c>
    </row>
    <row r="57449">
      <c r="A57449" s="1" t="n">
        <v>57448</v>
      </c>
      <c r="B57449">
        <f>TEXT(57448, "[$-0E0000]yyyy-mm-dd")</f>
        <v/>
      </c>
      <c r="C57449" t="inlineStr">
        <is>
          <t>2057-03-11</t>
        </is>
      </c>
    </row>
    <row r="57450">
      <c r="A57450" s="1" t="n">
        <v>57449</v>
      </c>
      <c r="B57450">
        <f>TEXT(57449, "[$-0E0000]yyyy-mm-dd")</f>
        <v/>
      </c>
      <c r="C57450" t="inlineStr">
        <is>
          <t>2057-03-12</t>
        </is>
      </c>
    </row>
    <row r="57451">
      <c r="A57451" s="1" t="n">
        <v>57450</v>
      </c>
      <c r="B57451">
        <f>TEXT(57450, "[$-0E0000]yyyy-mm-dd")</f>
        <v/>
      </c>
      <c r="C57451" t="inlineStr">
        <is>
          <t>2057-03-13</t>
        </is>
      </c>
    </row>
    <row r="57452">
      <c r="A57452" s="1" t="n">
        <v>57451</v>
      </c>
      <c r="B57452">
        <f>TEXT(57451, "[$-0E0000]yyyy-mm-dd")</f>
        <v/>
      </c>
      <c r="C57452" t="inlineStr">
        <is>
          <t>2057-03-14</t>
        </is>
      </c>
    </row>
    <row r="57453">
      <c r="A57453" s="1" t="n">
        <v>57452</v>
      </c>
      <c r="B57453">
        <f>TEXT(57452, "[$-0E0000]yyyy-mm-dd")</f>
        <v/>
      </c>
      <c r="C57453" t="inlineStr">
        <is>
          <t>2057-03-15</t>
        </is>
      </c>
    </row>
    <row r="57454">
      <c r="A57454" s="1" t="n">
        <v>57453</v>
      </c>
      <c r="B57454">
        <f>TEXT(57453, "[$-0E0000]yyyy-mm-dd")</f>
        <v/>
      </c>
      <c r="C57454" t="inlineStr">
        <is>
          <t>2057-03-16</t>
        </is>
      </c>
    </row>
    <row r="57455">
      <c r="A57455" s="1" t="n">
        <v>57454</v>
      </c>
      <c r="B57455">
        <f>TEXT(57454, "[$-0E0000]yyyy-mm-dd")</f>
        <v/>
      </c>
      <c r="C57455" t="inlineStr">
        <is>
          <t>2057-03-17</t>
        </is>
      </c>
    </row>
    <row r="57456">
      <c r="A57456" s="1" t="n">
        <v>57455</v>
      </c>
      <c r="B57456">
        <f>TEXT(57455, "[$-0E0000]yyyy-mm-dd")</f>
        <v/>
      </c>
      <c r="C57456" t="inlineStr">
        <is>
          <t>2057-03-18</t>
        </is>
      </c>
    </row>
    <row r="57457">
      <c r="A57457" s="1" t="n">
        <v>57456</v>
      </c>
      <c r="B57457">
        <f>TEXT(57456, "[$-0E0000]yyyy-mm-dd")</f>
        <v/>
      </c>
      <c r="C57457" t="inlineStr">
        <is>
          <t>2057-03-19</t>
        </is>
      </c>
    </row>
    <row r="57458">
      <c r="A57458" s="1" t="n">
        <v>57457</v>
      </c>
      <c r="B57458">
        <f>TEXT(57457, "[$-0E0000]yyyy-mm-dd")</f>
        <v/>
      </c>
      <c r="C57458" t="inlineStr">
        <is>
          <t>2057-03-20</t>
        </is>
      </c>
    </row>
    <row r="57459">
      <c r="A57459" s="1" t="n">
        <v>57458</v>
      </c>
      <c r="B57459">
        <f>TEXT(57458, "[$-0E0000]yyyy-mm-dd")</f>
        <v/>
      </c>
      <c r="C57459" t="inlineStr">
        <is>
          <t>2057-03-21</t>
        </is>
      </c>
    </row>
    <row r="57460">
      <c r="A57460" s="1" t="n">
        <v>57459</v>
      </c>
      <c r="B57460">
        <f>TEXT(57459, "[$-0E0000]yyyy-mm-dd")</f>
        <v/>
      </c>
      <c r="C57460" t="inlineStr">
        <is>
          <t>2057-03-22</t>
        </is>
      </c>
    </row>
    <row r="57461">
      <c r="A57461" s="1" t="n">
        <v>57460</v>
      </c>
      <c r="B57461">
        <f>TEXT(57460, "[$-0E0000]yyyy-mm-dd")</f>
        <v/>
      </c>
      <c r="C57461" t="inlineStr">
        <is>
          <t>2057-03-23</t>
        </is>
      </c>
    </row>
    <row r="57462">
      <c r="A57462" s="1" t="n">
        <v>57461</v>
      </c>
      <c r="B57462">
        <f>TEXT(57461, "[$-0E0000]yyyy-mm-dd")</f>
        <v/>
      </c>
      <c r="C57462" t="inlineStr">
        <is>
          <t>2057-03-24</t>
        </is>
      </c>
    </row>
    <row r="57463">
      <c r="A57463" s="1" t="n">
        <v>57462</v>
      </c>
      <c r="B57463">
        <f>TEXT(57462, "[$-0E0000]yyyy-mm-dd")</f>
        <v/>
      </c>
      <c r="C57463" t="inlineStr">
        <is>
          <t>2057-03-25</t>
        </is>
      </c>
    </row>
    <row r="57464">
      <c r="A57464" s="1" t="n">
        <v>57463</v>
      </c>
      <c r="B57464">
        <f>TEXT(57463, "[$-0E0000]yyyy-mm-dd")</f>
        <v/>
      </c>
      <c r="C57464" t="inlineStr">
        <is>
          <t>2057-03-26</t>
        </is>
      </c>
    </row>
    <row r="57465">
      <c r="A57465" s="1" t="n">
        <v>57464</v>
      </c>
      <c r="B57465">
        <f>TEXT(57464, "[$-0E0000]yyyy-mm-dd")</f>
        <v/>
      </c>
      <c r="C57465" t="inlineStr">
        <is>
          <t>2057-03-27</t>
        </is>
      </c>
    </row>
    <row r="57466">
      <c r="A57466" s="1" t="n">
        <v>57465</v>
      </c>
      <c r="B57466">
        <f>TEXT(57465, "[$-0E0000]yyyy-mm-dd")</f>
        <v/>
      </c>
      <c r="C57466" t="inlineStr">
        <is>
          <t>2057-03-28</t>
        </is>
      </c>
    </row>
    <row r="57467">
      <c r="A57467" s="1" t="n">
        <v>57466</v>
      </c>
      <c r="B57467">
        <f>TEXT(57466, "[$-0E0000]yyyy-mm-dd")</f>
        <v/>
      </c>
      <c r="C57467" t="inlineStr">
        <is>
          <t>2057-03-29</t>
        </is>
      </c>
    </row>
    <row r="57468">
      <c r="A57468" s="1" t="n">
        <v>57467</v>
      </c>
      <c r="B57468">
        <f>TEXT(57467, "[$-0E0000]yyyy-mm-dd")</f>
        <v/>
      </c>
      <c r="C57468" t="inlineStr">
        <is>
          <t>2057-03-30</t>
        </is>
      </c>
    </row>
    <row r="57469">
      <c r="A57469" s="1" t="n">
        <v>57468</v>
      </c>
      <c r="B57469">
        <f>TEXT(57468, "[$-0E0000]yyyy-mm-dd")</f>
        <v/>
      </c>
      <c r="C57469" t="inlineStr">
        <is>
          <t>2057-04-01</t>
        </is>
      </c>
    </row>
    <row r="57470">
      <c r="A57470" s="1" t="n">
        <v>57469</v>
      </c>
      <c r="B57470">
        <f>TEXT(57469, "[$-0E0000]yyyy-mm-dd")</f>
        <v/>
      </c>
      <c r="C57470" t="inlineStr">
        <is>
          <t>2057-04-02</t>
        </is>
      </c>
    </row>
    <row r="57471">
      <c r="A57471" s="1" t="n">
        <v>57470</v>
      </c>
      <c r="B57471">
        <f>TEXT(57470, "[$-0E0000]yyyy-mm-dd")</f>
        <v/>
      </c>
      <c r="C57471" t="inlineStr">
        <is>
          <t>2057-04-03</t>
        </is>
      </c>
    </row>
    <row r="57472">
      <c r="A57472" s="1" t="n">
        <v>57471</v>
      </c>
      <c r="B57472">
        <f>TEXT(57471, "[$-0E0000]yyyy-mm-dd")</f>
        <v/>
      </c>
      <c r="C57472" t="inlineStr">
        <is>
          <t>2057-04-04</t>
        </is>
      </c>
    </row>
    <row r="57473">
      <c r="A57473" s="1" t="n">
        <v>57472</v>
      </c>
      <c r="B57473">
        <f>TEXT(57472, "[$-0E0000]yyyy-mm-dd")</f>
        <v/>
      </c>
      <c r="C57473" t="inlineStr">
        <is>
          <t>2057-04-05</t>
        </is>
      </c>
    </row>
    <row r="57474">
      <c r="A57474" s="1" t="n">
        <v>57473</v>
      </c>
      <c r="B57474">
        <f>TEXT(57473, "[$-0E0000]yyyy-mm-dd")</f>
        <v/>
      </c>
      <c r="C57474" t="inlineStr">
        <is>
          <t>2057-04-06</t>
        </is>
      </c>
    </row>
    <row r="57475">
      <c r="A57475" s="1" t="n">
        <v>57474</v>
      </c>
      <c r="B57475">
        <f>TEXT(57474, "[$-0E0000]yyyy-mm-dd")</f>
        <v/>
      </c>
      <c r="C57475" t="inlineStr">
        <is>
          <t>2057-04-07</t>
        </is>
      </c>
    </row>
    <row r="57476">
      <c r="A57476" s="1" t="n">
        <v>57475</v>
      </c>
      <c r="B57476">
        <f>TEXT(57475, "[$-0E0000]yyyy-mm-dd")</f>
        <v/>
      </c>
      <c r="C57476" t="inlineStr">
        <is>
          <t>2057-04-08</t>
        </is>
      </c>
    </row>
    <row r="57477">
      <c r="A57477" s="1" t="n">
        <v>57476</v>
      </c>
      <c r="B57477">
        <f>TEXT(57476, "[$-0E0000]yyyy-mm-dd")</f>
        <v/>
      </c>
      <c r="C57477" t="inlineStr">
        <is>
          <t>2057-04-09</t>
        </is>
      </c>
    </row>
    <row r="57478">
      <c r="A57478" s="1" t="n">
        <v>57477</v>
      </c>
      <c r="B57478">
        <f>TEXT(57477, "[$-0E0000]yyyy-mm-dd")</f>
        <v/>
      </c>
      <c r="C57478" t="inlineStr">
        <is>
          <t>2057-04-10</t>
        </is>
      </c>
    </row>
    <row r="57479">
      <c r="A57479" s="1" t="n">
        <v>57478</v>
      </c>
      <c r="B57479">
        <f>TEXT(57478, "[$-0E0000]yyyy-mm-dd")</f>
        <v/>
      </c>
      <c r="C57479" t="inlineStr">
        <is>
          <t>2057-04-11</t>
        </is>
      </c>
    </row>
    <row r="57480">
      <c r="A57480" s="1" t="n">
        <v>57479</v>
      </c>
      <c r="B57480">
        <f>TEXT(57479, "[$-0E0000]yyyy-mm-dd")</f>
        <v/>
      </c>
      <c r="C57480" t="inlineStr">
        <is>
          <t>2057-04-12</t>
        </is>
      </c>
    </row>
    <row r="57481">
      <c r="A57481" s="1" t="n">
        <v>57480</v>
      </c>
      <c r="B57481">
        <f>TEXT(57480, "[$-0E0000]yyyy-mm-dd")</f>
        <v/>
      </c>
      <c r="C57481" t="inlineStr">
        <is>
          <t>2057-04-13</t>
        </is>
      </c>
    </row>
    <row r="57482">
      <c r="A57482" s="1" t="n">
        <v>57481</v>
      </c>
      <c r="B57482">
        <f>TEXT(57481, "[$-0E0000]yyyy-mm-dd")</f>
        <v/>
      </c>
      <c r="C57482" t="inlineStr">
        <is>
          <t>2057-04-14</t>
        </is>
      </c>
    </row>
    <row r="57483">
      <c r="A57483" s="1" t="n">
        <v>57482</v>
      </c>
      <c r="B57483">
        <f>TEXT(57482, "[$-0E0000]yyyy-mm-dd")</f>
        <v/>
      </c>
      <c r="C57483" t="inlineStr">
        <is>
          <t>2057-04-15</t>
        </is>
      </c>
    </row>
    <row r="57484">
      <c r="A57484" s="1" t="n">
        <v>57483</v>
      </c>
      <c r="B57484">
        <f>TEXT(57483, "[$-0E0000]yyyy-mm-dd")</f>
        <v/>
      </c>
      <c r="C57484" t="inlineStr">
        <is>
          <t>2057-04-16</t>
        </is>
      </c>
    </row>
    <row r="57485">
      <c r="A57485" s="1" t="n">
        <v>57484</v>
      </c>
      <c r="B57485">
        <f>TEXT(57484, "[$-0E0000]yyyy-mm-dd")</f>
        <v/>
      </c>
      <c r="C57485" t="inlineStr">
        <is>
          <t>2057-04-17</t>
        </is>
      </c>
    </row>
    <row r="57486">
      <c r="A57486" s="1" t="n">
        <v>57485</v>
      </c>
      <c r="B57486">
        <f>TEXT(57485, "[$-0E0000]yyyy-mm-dd")</f>
        <v/>
      </c>
      <c r="C57486" t="inlineStr">
        <is>
          <t>2057-04-18</t>
        </is>
      </c>
    </row>
    <row r="57487">
      <c r="A57487" s="1" t="n">
        <v>57486</v>
      </c>
      <c r="B57487">
        <f>TEXT(57486, "[$-0E0000]yyyy-mm-dd")</f>
        <v/>
      </c>
      <c r="C57487" t="inlineStr">
        <is>
          <t>2057-04-19</t>
        </is>
      </c>
    </row>
    <row r="57488">
      <c r="A57488" s="1" t="n">
        <v>57487</v>
      </c>
      <c r="B57488">
        <f>TEXT(57487, "[$-0E0000]yyyy-mm-dd")</f>
        <v/>
      </c>
      <c r="C57488" t="inlineStr">
        <is>
          <t>2057-04-20</t>
        </is>
      </c>
    </row>
    <row r="57489">
      <c r="A57489" s="1" t="n">
        <v>57488</v>
      </c>
      <c r="B57489">
        <f>TEXT(57488, "[$-0E0000]yyyy-mm-dd")</f>
        <v/>
      </c>
      <c r="C57489" t="inlineStr">
        <is>
          <t>2057-04-21</t>
        </is>
      </c>
    </row>
    <row r="57490">
      <c r="A57490" s="1" t="n">
        <v>57489</v>
      </c>
      <c r="B57490">
        <f>TEXT(57489, "[$-0E0000]yyyy-mm-dd")</f>
        <v/>
      </c>
      <c r="C57490" t="inlineStr">
        <is>
          <t>2057-04-22</t>
        </is>
      </c>
    </row>
    <row r="57491">
      <c r="A57491" s="1" t="n">
        <v>57490</v>
      </c>
      <c r="B57491">
        <f>TEXT(57490, "[$-0E0000]yyyy-mm-dd")</f>
        <v/>
      </c>
      <c r="C57491" t="inlineStr">
        <is>
          <t>2057-04-23</t>
        </is>
      </c>
    </row>
    <row r="57492">
      <c r="A57492" s="1" t="n">
        <v>57491</v>
      </c>
      <c r="B57492">
        <f>TEXT(57491, "[$-0E0000]yyyy-mm-dd")</f>
        <v/>
      </c>
      <c r="C57492" t="inlineStr">
        <is>
          <t>2057-04-24</t>
        </is>
      </c>
    </row>
    <row r="57493">
      <c r="A57493" s="1" t="n">
        <v>57492</v>
      </c>
      <c r="B57493">
        <f>TEXT(57492, "[$-0E0000]yyyy-mm-dd")</f>
        <v/>
      </c>
      <c r="C57493" t="inlineStr">
        <is>
          <t>2057-04-25</t>
        </is>
      </c>
    </row>
    <row r="57494">
      <c r="A57494" s="1" t="n">
        <v>57493</v>
      </c>
      <c r="B57494">
        <f>TEXT(57493, "[$-0E0000]yyyy-mm-dd")</f>
        <v/>
      </c>
      <c r="C57494" t="inlineStr">
        <is>
          <t>2057-04-26</t>
        </is>
      </c>
    </row>
    <row r="57495">
      <c r="A57495" s="1" t="n">
        <v>57494</v>
      </c>
      <c r="B57495">
        <f>TEXT(57494, "[$-0E0000]yyyy-mm-dd")</f>
        <v/>
      </c>
      <c r="C57495" t="inlineStr">
        <is>
          <t>2057-04-27</t>
        </is>
      </c>
    </row>
    <row r="57496">
      <c r="A57496" s="1" t="n">
        <v>57495</v>
      </c>
      <c r="B57496">
        <f>TEXT(57495, "[$-0E0000]yyyy-mm-dd")</f>
        <v/>
      </c>
      <c r="C57496" t="inlineStr">
        <is>
          <t>2057-04-28</t>
        </is>
      </c>
    </row>
    <row r="57497">
      <c r="A57497" s="1" t="n">
        <v>57496</v>
      </c>
      <c r="B57497">
        <f>TEXT(57496, "[$-0E0000]yyyy-mm-dd")</f>
        <v/>
      </c>
      <c r="C57497" t="inlineStr">
        <is>
          <t>2057-04-29</t>
        </is>
      </c>
    </row>
    <row r="57498">
      <c r="A57498" s="1" t="n">
        <v>57497</v>
      </c>
      <c r="B57498">
        <f>TEXT(57497, "[$-0E0000]yyyy-mm-dd")</f>
        <v/>
      </c>
      <c r="C57498" t="inlineStr">
        <is>
          <t>2057-05-01</t>
        </is>
      </c>
    </row>
    <row r="57499">
      <c r="A57499" s="1" t="n">
        <v>57498</v>
      </c>
      <c r="B57499">
        <f>TEXT(57498, "[$-0E0000]yyyy-mm-dd")</f>
        <v/>
      </c>
      <c r="C57499" t="inlineStr">
        <is>
          <t>2057-05-02</t>
        </is>
      </c>
    </row>
    <row r="57500">
      <c r="A57500" s="1" t="n">
        <v>57499</v>
      </c>
      <c r="B57500">
        <f>TEXT(57499, "[$-0E0000]yyyy-mm-dd")</f>
        <v/>
      </c>
      <c r="C57500" t="inlineStr">
        <is>
          <t>2057-05-03</t>
        </is>
      </c>
    </row>
    <row r="57501">
      <c r="A57501" s="1" t="n">
        <v>57500</v>
      </c>
      <c r="B57501">
        <f>TEXT(57500, "[$-0E0000]yyyy-mm-dd")</f>
        <v/>
      </c>
      <c r="C57501" t="inlineStr">
        <is>
          <t>2057-05-04</t>
        </is>
      </c>
    </row>
    <row r="57502">
      <c r="A57502" s="1" t="n">
        <v>57501</v>
      </c>
      <c r="B57502">
        <f>TEXT(57501, "[$-0E0000]yyyy-mm-dd")</f>
        <v/>
      </c>
      <c r="C57502" t="inlineStr">
        <is>
          <t>2057-05-05</t>
        </is>
      </c>
    </row>
    <row r="57503">
      <c r="A57503" s="1" t="n">
        <v>57502</v>
      </c>
      <c r="B57503">
        <f>TEXT(57502, "[$-0E0000]yyyy-mm-dd")</f>
        <v/>
      </c>
      <c r="C57503" t="inlineStr">
        <is>
          <t>2057-05-06</t>
        </is>
      </c>
    </row>
    <row r="57504">
      <c r="A57504" s="1" t="n">
        <v>57503</v>
      </c>
      <c r="B57504">
        <f>TEXT(57503, "[$-0E0000]yyyy-mm-dd")</f>
        <v/>
      </c>
      <c r="C57504" t="inlineStr">
        <is>
          <t>2057-05-07</t>
        </is>
      </c>
    </row>
    <row r="57505">
      <c r="A57505" s="1" t="n">
        <v>57504</v>
      </c>
      <c r="B57505">
        <f>TEXT(57504, "[$-0E0000]yyyy-mm-dd")</f>
        <v/>
      </c>
      <c r="C57505" t="inlineStr">
        <is>
          <t>2057-05-08</t>
        </is>
      </c>
    </row>
    <row r="57506">
      <c r="A57506" s="1" t="n">
        <v>57505</v>
      </c>
      <c r="B57506">
        <f>TEXT(57505, "[$-0E0000]yyyy-mm-dd")</f>
        <v/>
      </c>
      <c r="C57506" t="inlineStr">
        <is>
          <t>2057-05-09</t>
        </is>
      </c>
    </row>
    <row r="57507">
      <c r="A57507" s="1" t="n">
        <v>57506</v>
      </c>
      <c r="B57507">
        <f>TEXT(57506, "[$-0E0000]yyyy-mm-dd")</f>
        <v/>
      </c>
      <c r="C57507" t="inlineStr">
        <is>
          <t>2057-05-10</t>
        </is>
      </c>
    </row>
    <row r="57508">
      <c r="A57508" s="1" t="n">
        <v>57507</v>
      </c>
      <c r="B57508">
        <f>TEXT(57507, "[$-0E0000]yyyy-mm-dd")</f>
        <v/>
      </c>
      <c r="C57508" t="inlineStr">
        <is>
          <t>2057-05-11</t>
        </is>
      </c>
    </row>
    <row r="57509">
      <c r="A57509" s="1" t="n">
        <v>57508</v>
      </c>
      <c r="B57509">
        <f>TEXT(57508, "[$-0E0000]yyyy-mm-dd")</f>
        <v/>
      </c>
      <c r="C57509" t="inlineStr">
        <is>
          <t>2057-05-12</t>
        </is>
      </c>
    </row>
    <row r="57510">
      <c r="A57510" s="1" t="n">
        <v>57509</v>
      </c>
      <c r="B57510">
        <f>TEXT(57509, "[$-0E0000]yyyy-mm-dd")</f>
        <v/>
      </c>
      <c r="C57510" t="inlineStr">
        <is>
          <t>2057-05-13</t>
        </is>
      </c>
    </row>
    <row r="57511">
      <c r="A57511" s="1" t="n">
        <v>57510</v>
      </c>
      <c r="B57511">
        <f>TEXT(57510, "[$-0E0000]yyyy-mm-dd")</f>
        <v/>
      </c>
      <c r="C57511" t="inlineStr">
        <is>
          <t>2057-05-14</t>
        </is>
      </c>
    </row>
    <row r="57512">
      <c r="A57512" s="1" t="n">
        <v>57511</v>
      </c>
      <c r="B57512">
        <f>TEXT(57511, "[$-0E0000]yyyy-mm-dd")</f>
        <v/>
      </c>
      <c r="C57512" t="inlineStr">
        <is>
          <t>2057-05-15</t>
        </is>
      </c>
    </row>
    <row r="57513">
      <c r="A57513" s="1" t="n">
        <v>57512</v>
      </c>
      <c r="B57513">
        <f>TEXT(57512, "[$-0E0000]yyyy-mm-dd")</f>
        <v/>
      </c>
      <c r="C57513" t="inlineStr">
        <is>
          <t>2057-05-16</t>
        </is>
      </c>
    </row>
    <row r="57514">
      <c r="A57514" s="1" t="n">
        <v>57513</v>
      </c>
      <c r="B57514">
        <f>TEXT(57513, "[$-0E0000]yyyy-mm-dd")</f>
        <v/>
      </c>
      <c r="C57514" t="inlineStr">
        <is>
          <t>2057-05-17</t>
        </is>
      </c>
    </row>
    <row r="57515">
      <c r="A57515" s="1" t="n">
        <v>57514</v>
      </c>
      <c r="B57515">
        <f>TEXT(57514, "[$-0E0000]yyyy-mm-dd")</f>
        <v/>
      </c>
      <c r="C57515" t="inlineStr">
        <is>
          <t>2057-05-18</t>
        </is>
      </c>
    </row>
    <row r="57516">
      <c r="A57516" s="1" t="n">
        <v>57515</v>
      </c>
      <c r="B57516">
        <f>TEXT(57515, "[$-0E0000]yyyy-mm-dd")</f>
        <v/>
      </c>
      <c r="C57516" t="inlineStr">
        <is>
          <t>2057-05-19</t>
        </is>
      </c>
    </row>
    <row r="57517">
      <c r="A57517" s="1" t="n">
        <v>57516</v>
      </c>
      <c r="B57517">
        <f>TEXT(57516, "[$-0E0000]yyyy-mm-dd")</f>
        <v/>
      </c>
      <c r="C57517" t="inlineStr">
        <is>
          <t>2057-05-20</t>
        </is>
      </c>
    </row>
    <row r="57518">
      <c r="A57518" s="1" t="n">
        <v>57517</v>
      </c>
      <c r="B57518">
        <f>TEXT(57517, "[$-0E0000]yyyy-mm-dd")</f>
        <v/>
      </c>
      <c r="C57518" t="inlineStr">
        <is>
          <t>2057-05-21</t>
        </is>
      </c>
    </row>
    <row r="57519">
      <c r="A57519" s="1" t="n">
        <v>57518</v>
      </c>
      <c r="B57519">
        <f>TEXT(57518, "[$-0E0000]yyyy-mm-dd")</f>
        <v/>
      </c>
      <c r="C57519" t="inlineStr">
        <is>
          <t>2057-05-22</t>
        </is>
      </c>
    </row>
    <row r="57520">
      <c r="A57520" s="1" t="n">
        <v>57519</v>
      </c>
      <c r="B57520">
        <f>TEXT(57519, "[$-0E0000]yyyy-mm-dd")</f>
        <v/>
      </c>
      <c r="C57520" t="inlineStr">
        <is>
          <t>2057-05-23</t>
        </is>
      </c>
    </row>
    <row r="57521">
      <c r="A57521" s="1" t="n">
        <v>57520</v>
      </c>
      <c r="B57521">
        <f>TEXT(57520, "[$-0E0000]yyyy-mm-dd")</f>
        <v/>
      </c>
      <c r="C57521" t="inlineStr">
        <is>
          <t>2057-05-24</t>
        </is>
      </c>
    </row>
    <row r="57522">
      <c r="A57522" s="1" t="n">
        <v>57521</v>
      </c>
      <c r="B57522">
        <f>TEXT(57521, "[$-0E0000]yyyy-mm-dd")</f>
        <v/>
      </c>
      <c r="C57522" t="inlineStr">
        <is>
          <t>2057-05-25</t>
        </is>
      </c>
    </row>
    <row r="57523">
      <c r="A57523" s="1" t="n">
        <v>57522</v>
      </c>
      <c r="B57523">
        <f>TEXT(57522, "[$-0E0000]yyyy-mm-dd")</f>
        <v/>
      </c>
      <c r="C57523" t="inlineStr">
        <is>
          <t>2057-05-26</t>
        </is>
      </c>
    </row>
    <row r="57524">
      <c r="A57524" s="1" t="n">
        <v>57523</v>
      </c>
      <c r="B57524">
        <f>TEXT(57523, "[$-0E0000]yyyy-mm-dd")</f>
        <v/>
      </c>
      <c r="C57524" t="inlineStr">
        <is>
          <t>2057-05-27</t>
        </is>
      </c>
    </row>
    <row r="57525">
      <c r="A57525" s="1" t="n">
        <v>57524</v>
      </c>
      <c r="B57525">
        <f>TEXT(57524, "[$-0E0000]yyyy-mm-dd")</f>
        <v/>
      </c>
      <c r="C57525" t="inlineStr">
        <is>
          <t>2057-05-28</t>
        </is>
      </c>
    </row>
    <row r="57526">
      <c r="A57526" s="1" t="n">
        <v>57525</v>
      </c>
      <c r="B57526">
        <f>TEXT(57525, "[$-0E0000]yyyy-mm-dd")</f>
        <v/>
      </c>
      <c r="C57526" t="inlineStr">
        <is>
          <t>2057-05-29</t>
        </is>
      </c>
    </row>
    <row r="57527">
      <c r="A57527" s="1" t="n">
        <v>57526</v>
      </c>
      <c r="B57527">
        <f>TEXT(57526, "[$-0E0000]yyyy-mm-dd")</f>
        <v/>
      </c>
      <c r="C57527" t="inlineStr">
        <is>
          <t>2057-05-30</t>
        </is>
      </c>
    </row>
    <row r="57528">
      <c r="A57528" s="1" t="n">
        <v>57527</v>
      </c>
      <c r="B57528">
        <f>TEXT(57527, "[$-0E0000]yyyy-mm-dd")</f>
        <v/>
      </c>
      <c r="C57528" t="inlineStr">
        <is>
          <t>2057-06-01</t>
        </is>
      </c>
    </row>
    <row r="57529">
      <c r="A57529" s="1" t="n">
        <v>57528</v>
      </c>
      <c r="B57529">
        <f>TEXT(57528, "[$-0E0000]yyyy-mm-dd")</f>
        <v/>
      </c>
      <c r="C57529" t="inlineStr">
        <is>
          <t>2057-06-02</t>
        </is>
      </c>
    </row>
    <row r="57530">
      <c r="A57530" s="1" t="n">
        <v>57529</v>
      </c>
      <c r="B57530">
        <f>TEXT(57529, "[$-0E0000]yyyy-mm-dd")</f>
        <v/>
      </c>
      <c r="C57530" t="inlineStr">
        <is>
          <t>2057-06-03</t>
        </is>
      </c>
    </row>
    <row r="57531">
      <c r="A57531" s="1" t="n">
        <v>57530</v>
      </c>
      <c r="B57531">
        <f>TEXT(57530, "[$-0E0000]yyyy-mm-dd")</f>
        <v/>
      </c>
      <c r="C57531" t="inlineStr">
        <is>
          <t>2057-06-04</t>
        </is>
      </c>
    </row>
    <row r="57532">
      <c r="A57532" s="1" t="n">
        <v>57531</v>
      </c>
      <c r="B57532">
        <f>TEXT(57531, "[$-0E0000]yyyy-mm-dd")</f>
        <v/>
      </c>
      <c r="C57532" t="inlineStr">
        <is>
          <t>2057-06-05</t>
        </is>
      </c>
    </row>
    <row r="57533">
      <c r="A57533" s="1" t="n">
        <v>57532</v>
      </c>
      <c r="B57533">
        <f>TEXT(57532, "[$-0E0000]yyyy-mm-dd")</f>
        <v/>
      </c>
      <c r="C57533" t="inlineStr">
        <is>
          <t>2057-06-06</t>
        </is>
      </c>
    </row>
    <row r="57534">
      <c r="A57534" s="1" t="n">
        <v>57533</v>
      </c>
      <c r="B57534">
        <f>TEXT(57533, "[$-0E0000]yyyy-mm-dd")</f>
        <v/>
      </c>
      <c r="C57534" t="inlineStr">
        <is>
          <t>2057-06-07</t>
        </is>
      </c>
    </row>
    <row r="57535">
      <c r="A57535" s="1" t="n">
        <v>57534</v>
      </c>
      <c r="B57535">
        <f>TEXT(57534, "[$-0E0000]yyyy-mm-dd")</f>
        <v/>
      </c>
      <c r="C57535" t="inlineStr">
        <is>
          <t>2057-06-08</t>
        </is>
      </c>
    </row>
    <row r="57536">
      <c r="A57536" s="1" t="n">
        <v>57535</v>
      </c>
      <c r="B57536">
        <f>TEXT(57535, "[$-0E0000]yyyy-mm-dd")</f>
        <v/>
      </c>
      <c r="C57536" t="inlineStr">
        <is>
          <t>2057-06-09</t>
        </is>
      </c>
    </row>
    <row r="57537">
      <c r="A57537" s="1" t="n">
        <v>57536</v>
      </c>
      <c r="B57537">
        <f>TEXT(57536, "[$-0E0000]yyyy-mm-dd")</f>
        <v/>
      </c>
      <c r="C57537" t="inlineStr">
        <is>
          <t>2057-06-10</t>
        </is>
      </c>
    </row>
    <row r="57538">
      <c r="A57538" s="1" t="n">
        <v>57537</v>
      </c>
      <c r="B57538">
        <f>TEXT(57537, "[$-0E0000]yyyy-mm-dd")</f>
        <v/>
      </c>
      <c r="C57538" t="inlineStr">
        <is>
          <t>2057-06-11</t>
        </is>
      </c>
    </row>
    <row r="57539">
      <c r="A57539" s="1" t="n">
        <v>57538</v>
      </c>
      <c r="B57539">
        <f>TEXT(57538, "[$-0E0000]yyyy-mm-dd")</f>
        <v/>
      </c>
      <c r="C57539" t="inlineStr">
        <is>
          <t>2057-06-12</t>
        </is>
      </c>
    </row>
    <row r="57540">
      <c r="A57540" s="1" t="n">
        <v>57539</v>
      </c>
      <c r="B57540">
        <f>TEXT(57539, "[$-0E0000]yyyy-mm-dd")</f>
        <v/>
      </c>
      <c r="C57540" t="inlineStr">
        <is>
          <t>2057-06-13</t>
        </is>
      </c>
    </row>
    <row r="57541">
      <c r="A57541" s="1" t="n">
        <v>57540</v>
      </c>
      <c r="B57541">
        <f>TEXT(57540, "[$-0E0000]yyyy-mm-dd")</f>
        <v/>
      </c>
      <c r="C57541" t="inlineStr">
        <is>
          <t>2057-06-14</t>
        </is>
      </c>
    </row>
    <row r="57542">
      <c r="A57542" s="1" t="n">
        <v>57541</v>
      </c>
      <c r="B57542">
        <f>TEXT(57541, "[$-0E0000]yyyy-mm-dd")</f>
        <v/>
      </c>
      <c r="C57542" t="inlineStr">
        <is>
          <t>2057-06-15</t>
        </is>
      </c>
    </row>
    <row r="57543">
      <c r="A57543" s="1" t="n">
        <v>57542</v>
      </c>
      <c r="B57543">
        <f>TEXT(57542, "[$-0E0000]yyyy-mm-dd")</f>
        <v/>
      </c>
      <c r="C57543" t="inlineStr">
        <is>
          <t>2057-06-16</t>
        </is>
      </c>
    </row>
    <row r="57544">
      <c r="A57544" s="1" t="n">
        <v>57543</v>
      </c>
      <c r="B57544">
        <f>TEXT(57543, "[$-0E0000]yyyy-mm-dd")</f>
        <v/>
      </c>
      <c r="C57544" t="inlineStr">
        <is>
          <t>2057-06-17</t>
        </is>
      </c>
    </row>
    <row r="57545">
      <c r="A57545" s="1" t="n">
        <v>57544</v>
      </c>
      <c r="B57545">
        <f>TEXT(57544, "[$-0E0000]yyyy-mm-dd")</f>
        <v/>
      </c>
      <c r="C57545" t="inlineStr">
        <is>
          <t>2057-06-18</t>
        </is>
      </c>
    </row>
    <row r="57546">
      <c r="A57546" s="1" t="n">
        <v>57545</v>
      </c>
      <c r="B57546">
        <f>TEXT(57545, "[$-0E0000]yyyy-mm-dd")</f>
        <v/>
      </c>
      <c r="C57546" t="inlineStr">
        <is>
          <t>2057-06-19</t>
        </is>
      </c>
    </row>
    <row r="57547">
      <c r="A57547" s="1" t="n">
        <v>57546</v>
      </c>
      <c r="B57547">
        <f>TEXT(57546, "[$-0E0000]yyyy-mm-dd")</f>
        <v/>
      </c>
      <c r="C57547" t="inlineStr">
        <is>
          <t>2057-06-20</t>
        </is>
      </c>
    </row>
    <row r="57548">
      <c r="A57548" s="1" t="n">
        <v>57547</v>
      </c>
      <c r="B57548">
        <f>TEXT(57547, "[$-0E0000]yyyy-mm-dd")</f>
        <v/>
      </c>
      <c r="C57548" t="inlineStr">
        <is>
          <t>2057-06-21</t>
        </is>
      </c>
    </row>
    <row r="57549">
      <c r="A57549" s="1" t="n">
        <v>57548</v>
      </c>
      <c r="B57549">
        <f>TEXT(57548, "[$-0E0000]yyyy-mm-dd")</f>
        <v/>
      </c>
      <c r="C57549" t="inlineStr">
        <is>
          <t>2057-06-22</t>
        </is>
      </c>
    </row>
    <row r="57550">
      <c r="A57550" s="1" t="n">
        <v>57549</v>
      </c>
      <c r="B57550">
        <f>TEXT(57549, "[$-0E0000]yyyy-mm-dd")</f>
        <v/>
      </c>
      <c r="C57550" t="inlineStr">
        <is>
          <t>2057-06-23</t>
        </is>
      </c>
    </row>
    <row r="57551">
      <c r="A57551" s="1" t="n">
        <v>57550</v>
      </c>
      <c r="B57551">
        <f>TEXT(57550, "[$-0E0000]yyyy-mm-dd")</f>
        <v/>
      </c>
      <c r="C57551" t="inlineStr">
        <is>
          <t>2057-06-24</t>
        </is>
      </c>
    </row>
    <row r="57552">
      <c r="A57552" s="1" t="n">
        <v>57551</v>
      </c>
      <c r="B57552">
        <f>TEXT(57551, "[$-0E0000]yyyy-mm-dd")</f>
        <v/>
      </c>
      <c r="C57552" t="inlineStr">
        <is>
          <t>2057-06-25</t>
        </is>
      </c>
    </row>
    <row r="57553">
      <c r="A57553" s="1" t="n">
        <v>57552</v>
      </c>
      <c r="B57553">
        <f>TEXT(57552, "[$-0E0000]yyyy-mm-dd")</f>
        <v/>
      </c>
      <c r="C57553" t="inlineStr">
        <is>
          <t>2057-06-26</t>
        </is>
      </c>
    </row>
    <row r="57554">
      <c r="A57554" s="1" t="n">
        <v>57553</v>
      </c>
      <c r="B57554">
        <f>TEXT(57553, "[$-0E0000]yyyy-mm-dd")</f>
        <v/>
      </c>
      <c r="C57554" t="inlineStr">
        <is>
          <t>2057-06-27</t>
        </is>
      </c>
    </row>
    <row r="57555">
      <c r="A57555" s="1" t="n">
        <v>57554</v>
      </c>
      <c r="B57555">
        <f>TEXT(57554, "[$-0E0000]yyyy-mm-dd")</f>
        <v/>
      </c>
      <c r="C57555" t="inlineStr">
        <is>
          <t>2057-06-28</t>
        </is>
      </c>
    </row>
    <row r="57556">
      <c r="A57556" s="1" t="n">
        <v>57555</v>
      </c>
      <c r="B57556">
        <f>TEXT(57555, "[$-0E0000]yyyy-mm-dd")</f>
        <v/>
      </c>
      <c r="C57556" t="inlineStr">
        <is>
          <t>2057-06-29</t>
        </is>
      </c>
    </row>
    <row r="57557">
      <c r="A57557" s="1" t="n">
        <v>57556</v>
      </c>
      <c r="B57557">
        <f>TEXT(57556, "[$-0E0000]yyyy-mm-dd")</f>
        <v/>
      </c>
      <c r="C57557" t="inlineStr">
        <is>
          <t>2057-07-01</t>
        </is>
      </c>
    </row>
    <row r="57558">
      <c r="A57558" s="1" t="n">
        <v>57557</v>
      </c>
      <c r="B57558">
        <f>TEXT(57557, "[$-0E0000]yyyy-mm-dd")</f>
        <v/>
      </c>
      <c r="C57558" t="inlineStr">
        <is>
          <t>2057-07-02</t>
        </is>
      </c>
    </row>
    <row r="57559">
      <c r="A57559" s="1" t="n">
        <v>57558</v>
      </c>
      <c r="B57559">
        <f>TEXT(57558, "[$-0E0000]yyyy-mm-dd")</f>
        <v/>
      </c>
      <c r="C57559" t="inlineStr">
        <is>
          <t>2057-07-03</t>
        </is>
      </c>
    </row>
    <row r="57560">
      <c r="A57560" s="1" t="n">
        <v>57559</v>
      </c>
      <c r="B57560">
        <f>TEXT(57559, "[$-0E0000]yyyy-mm-dd")</f>
        <v/>
      </c>
      <c r="C57560" t="inlineStr">
        <is>
          <t>2057-07-04</t>
        </is>
      </c>
    </row>
    <row r="57561">
      <c r="A57561" s="1" t="n">
        <v>57560</v>
      </c>
      <c r="B57561">
        <f>TEXT(57560, "[$-0E0000]yyyy-mm-dd")</f>
        <v/>
      </c>
      <c r="C57561" t="inlineStr">
        <is>
          <t>2057-07-05</t>
        </is>
      </c>
    </row>
    <row r="57562">
      <c r="A57562" s="1" t="n">
        <v>57561</v>
      </c>
      <c r="B57562">
        <f>TEXT(57561, "[$-0E0000]yyyy-mm-dd")</f>
        <v/>
      </c>
      <c r="C57562" t="inlineStr">
        <is>
          <t>2057-07-06</t>
        </is>
      </c>
    </row>
    <row r="57563">
      <c r="A57563" s="1" t="n">
        <v>57562</v>
      </c>
      <c r="B57563">
        <f>TEXT(57562, "[$-0E0000]yyyy-mm-dd")</f>
        <v/>
      </c>
      <c r="C57563" t="inlineStr">
        <is>
          <t>2057-07-07</t>
        </is>
      </c>
    </row>
    <row r="57564">
      <c r="A57564" s="1" t="n">
        <v>57563</v>
      </c>
      <c r="B57564">
        <f>TEXT(57563, "[$-0E0000]yyyy-mm-dd")</f>
        <v/>
      </c>
      <c r="C57564" t="inlineStr">
        <is>
          <t>2057-07-08</t>
        </is>
      </c>
    </row>
    <row r="57565">
      <c r="A57565" s="1" t="n">
        <v>57564</v>
      </c>
      <c r="B57565">
        <f>TEXT(57564, "[$-0E0000]yyyy-mm-dd")</f>
        <v/>
      </c>
      <c r="C57565" t="inlineStr">
        <is>
          <t>2057-07-09</t>
        </is>
      </c>
    </row>
    <row r="57566">
      <c r="A57566" s="1" t="n">
        <v>57565</v>
      </c>
      <c r="B57566">
        <f>TEXT(57565, "[$-0E0000]yyyy-mm-dd")</f>
        <v/>
      </c>
      <c r="C57566" t="inlineStr">
        <is>
          <t>2057-07-10</t>
        </is>
      </c>
    </row>
    <row r="57567">
      <c r="A57567" s="1" t="n">
        <v>57566</v>
      </c>
      <c r="B57567">
        <f>TEXT(57566, "[$-0E0000]yyyy-mm-dd")</f>
        <v/>
      </c>
      <c r="C57567" t="inlineStr">
        <is>
          <t>2057-07-11</t>
        </is>
      </c>
    </row>
    <row r="57568">
      <c r="A57568" s="1" t="n">
        <v>57567</v>
      </c>
      <c r="B57568">
        <f>TEXT(57567, "[$-0E0000]yyyy-mm-dd")</f>
        <v/>
      </c>
      <c r="C57568" t="inlineStr">
        <is>
          <t>2057-07-12</t>
        </is>
      </c>
    </row>
    <row r="57569">
      <c r="A57569" s="1" t="n">
        <v>57568</v>
      </c>
      <c r="B57569">
        <f>TEXT(57568, "[$-0E0000]yyyy-mm-dd")</f>
        <v/>
      </c>
      <c r="C57569" t="inlineStr">
        <is>
          <t>2057-07-13</t>
        </is>
      </c>
    </row>
    <row r="57570">
      <c r="A57570" s="1" t="n">
        <v>57569</v>
      </c>
      <c r="B57570">
        <f>TEXT(57569, "[$-0E0000]yyyy-mm-dd")</f>
        <v/>
      </c>
      <c r="C57570" t="inlineStr">
        <is>
          <t>2057-07-14</t>
        </is>
      </c>
    </row>
    <row r="57571">
      <c r="A57571" s="1" t="n">
        <v>57570</v>
      </c>
      <c r="B57571">
        <f>TEXT(57570, "[$-0E0000]yyyy-mm-dd")</f>
        <v/>
      </c>
      <c r="C57571" t="inlineStr">
        <is>
          <t>2057-07-15</t>
        </is>
      </c>
    </row>
    <row r="57572">
      <c r="A57572" s="1" t="n">
        <v>57571</v>
      </c>
      <c r="B57572">
        <f>TEXT(57571, "[$-0E0000]yyyy-mm-dd")</f>
        <v/>
      </c>
      <c r="C57572" t="inlineStr">
        <is>
          <t>2057-07-16</t>
        </is>
      </c>
    </row>
    <row r="57573">
      <c r="A57573" s="1" t="n">
        <v>57572</v>
      </c>
      <c r="B57573">
        <f>TEXT(57572, "[$-0E0000]yyyy-mm-dd")</f>
        <v/>
      </c>
      <c r="C57573" t="inlineStr">
        <is>
          <t>2057-07-17</t>
        </is>
      </c>
    </row>
    <row r="57574">
      <c r="A57574" s="1" t="n">
        <v>57573</v>
      </c>
      <c r="B57574">
        <f>TEXT(57573, "[$-0E0000]yyyy-mm-dd")</f>
        <v/>
      </c>
      <c r="C57574" t="inlineStr">
        <is>
          <t>2057-07-18</t>
        </is>
      </c>
    </row>
    <row r="57575">
      <c r="A57575" s="1" t="n">
        <v>57574</v>
      </c>
      <c r="B57575">
        <f>TEXT(57574, "[$-0E0000]yyyy-mm-dd")</f>
        <v/>
      </c>
      <c r="C57575" t="inlineStr">
        <is>
          <t>2057-07-19</t>
        </is>
      </c>
    </row>
    <row r="57576">
      <c r="A57576" s="1" t="n">
        <v>57575</v>
      </c>
      <c r="B57576">
        <f>TEXT(57575, "[$-0E0000]yyyy-mm-dd")</f>
        <v/>
      </c>
      <c r="C57576" t="inlineStr">
        <is>
          <t>2057-07-20</t>
        </is>
      </c>
    </row>
    <row r="57577">
      <c r="A57577" s="1" t="n">
        <v>57576</v>
      </c>
      <c r="B57577">
        <f>TEXT(57576, "[$-0E0000]yyyy-mm-dd")</f>
        <v/>
      </c>
      <c r="C57577" t="inlineStr">
        <is>
          <t>2057-07-21</t>
        </is>
      </c>
    </row>
    <row r="57578">
      <c r="A57578" s="1" t="n">
        <v>57577</v>
      </c>
      <c r="B57578">
        <f>TEXT(57577, "[$-0E0000]yyyy-mm-dd")</f>
        <v/>
      </c>
      <c r="C57578" t="inlineStr">
        <is>
          <t>2057-07-22</t>
        </is>
      </c>
    </row>
    <row r="57579">
      <c r="A57579" s="1" t="n">
        <v>57578</v>
      </c>
      <c r="B57579">
        <f>TEXT(57578, "[$-0E0000]yyyy-mm-dd")</f>
        <v/>
      </c>
      <c r="C57579" t="inlineStr">
        <is>
          <t>2057-07-23</t>
        </is>
      </c>
    </row>
    <row r="57580">
      <c r="A57580" s="1" t="n">
        <v>57579</v>
      </c>
      <c r="B57580">
        <f>TEXT(57579, "[$-0E0000]yyyy-mm-dd")</f>
        <v/>
      </c>
      <c r="C57580" t="inlineStr">
        <is>
          <t>2057-07-24</t>
        </is>
      </c>
    </row>
    <row r="57581">
      <c r="A57581" s="1" t="n">
        <v>57580</v>
      </c>
      <c r="B57581">
        <f>TEXT(57580, "[$-0E0000]yyyy-mm-dd")</f>
        <v/>
      </c>
      <c r="C57581" t="inlineStr">
        <is>
          <t>2057-07-25</t>
        </is>
      </c>
    </row>
    <row r="57582">
      <c r="A57582" s="1" t="n">
        <v>57581</v>
      </c>
      <c r="B57582">
        <f>TEXT(57581, "[$-0E0000]yyyy-mm-dd")</f>
        <v/>
      </c>
      <c r="C57582" t="inlineStr">
        <is>
          <t>2057-07-26</t>
        </is>
      </c>
    </row>
    <row r="57583">
      <c r="A57583" s="1" t="n">
        <v>57582</v>
      </c>
      <c r="B57583">
        <f>TEXT(57582, "[$-0E0000]yyyy-mm-dd")</f>
        <v/>
      </c>
      <c r="C57583" t="inlineStr">
        <is>
          <t>2057-07-27</t>
        </is>
      </c>
    </row>
    <row r="57584">
      <c r="A57584" s="1" t="n">
        <v>57583</v>
      </c>
      <c r="B57584">
        <f>TEXT(57583, "[$-0E0000]yyyy-mm-dd")</f>
        <v/>
      </c>
      <c r="C57584" t="inlineStr">
        <is>
          <t>2057-07-28</t>
        </is>
      </c>
    </row>
    <row r="57585">
      <c r="A57585" s="1" t="n">
        <v>57584</v>
      </c>
      <c r="B57585">
        <f>TEXT(57584, "[$-0E0000]yyyy-mm-dd")</f>
        <v/>
      </c>
      <c r="C57585" t="inlineStr">
        <is>
          <t>2057-07-29</t>
        </is>
      </c>
    </row>
    <row r="57586">
      <c r="A57586" s="1" t="n">
        <v>57585</v>
      </c>
      <c r="B57586">
        <f>TEXT(57585, "[$-0E0000]yyyy-mm-dd")</f>
        <v/>
      </c>
      <c r="C57586" t="inlineStr">
        <is>
          <t>2057-07-30</t>
        </is>
      </c>
    </row>
    <row r="57587">
      <c r="A57587" s="1" t="n">
        <v>57586</v>
      </c>
      <c r="B57587">
        <f>TEXT(57586, "[$-0E0000]yyyy-mm-dd")</f>
        <v/>
      </c>
      <c r="C57587" t="inlineStr">
        <is>
          <t>2057-08-01</t>
        </is>
      </c>
    </row>
    <row r="57588">
      <c r="A57588" s="1" t="n">
        <v>57587</v>
      </c>
      <c r="B57588">
        <f>TEXT(57587, "[$-0E0000]yyyy-mm-dd")</f>
        <v/>
      </c>
      <c r="C57588" t="inlineStr">
        <is>
          <t>2057-08-02</t>
        </is>
      </c>
    </row>
    <row r="57589">
      <c r="A57589" s="1" t="n">
        <v>57588</v>
      </c>
      <c r="B57589">
        <f>TEXT(57588, "[$-0E0000]yyyy-mm-dd")</f>
        <v/>
      </c>
      <c r="C57589" t="inlineStr">
        <is>
          <t>2057-08-03</t>
        </is>
      </c>
    </row>
    <row r="57590">
      <c r="A57590" s="1" t="n">
        <v>57589</v>
      </c>
      <c r="B57590">
        <f>TEXT(57589, "[$-0E0000]yyyy-mm-dd")</f>
        <v/>
      </c>
      <c r="C57590" t="inlineStr">
        <is>
          <t>2057-08-04</t>
        </is>
      </c>
    </row>
    <row r="57591">
      <c r="A57591" s="1" t="n">
        <v>57590</v>
      </c>
      <c r="B57591">
        <f>TEXT(57590, "[$-0E0000]yyyy-mm-dd")</f>
        <v/>
      </c>
      <c r="C57591" t="inlineStr">
        <is>
          <t>2057-08-05</t>
        </is>
      </c>
    </row>
    <row r="57592">
      <c r="A57592" s="1" t="n">
        <v>57591</v>
      </c>
      <c r="B57592">
        <f>TEXT(57591, "[$-0E0000]yyyy-mm-dd")</f>
        <v/>
      </c>
      <c r="C57592" t="inlineStr">
        <is>
          <t>2057-08-06</t>
        </is>
      </c>
    </row>
    <row r="57593">
      <c r="A57593" s="1" t="n">
        <v>57592</v>
      </c>
      <c r="B57593">
        <f>TEXT(57592, "[$-0E0000]yyyy-mm-dd")</f>
        <v/>
      </c>
      <c r="C57593" t="inlineStr">
        <is>
          <t>2057-08-07</t>
        </is>
      </c>
    </row>
    <row r="57594">
      <c r="A57594" s="1" t="n">
        <v>57593</v>
      </c>
      <c r="B57594">
        <f>TEXT(57593, "[$-0E0000]yyyy-mm-dd")</f>
        <v/>
      </c>
      <c r="C57594" t="inlineStr">
        <is>
          <t>2057-08-08</t>
        </is>
      </c>
    </row>
    <row r="57595">
      <c r="A57595" s="1" t="n">
        <v>57594</v>
      </c>
      <c r="B57595">
        <f>TEXT(57594, "[$-0E0000]yyyy-mm-dd")</f>
        <v/>
      </c>
      <c r="C57595" t="inlineStr">
        <is>
          <t>2057-08-09</t>
        </is>
      </c>
    </row>
    <row r="57596">
      <c r="A57596" s="1" t="n">
        <v>57595</v>
      </c>
      <c r="B57596">
        <f>TEXT(57595, "[$-0E0000]yyyy-mm-dd")</f>
        <v/>
      </c>
      <c r="C57596" t="inlineStr">
        <is>
          <t>2057-08-10</t>
        </is>
      </c>
    </row>
    <row r="57597">
      <c r="A57597" s="1" t="n">
        <v>57596</v>
      </c>
      <c r="B57597">
        <f>TEXT(57596, "[$-0E0000]yyyy-mm-dd")</f>
        <v/>
      </c>
      <c r="C57597" t="inlineStr">
        <is>
          <t>2057-08-11</t>
        </is>
      </c>
    </row>
    <row r="57598">
      <c r="A57598" s="1" t="n">
        <v>57597</v>
      </c>
      <c r="B57598">
        <f>TEXT(57597, "[$-0E0000]yyyy-mm-dd")</f>
        <v/>
      </c>
      <c r="C57598" t="inlineStr">
        <is>
          <t>2057-08-12</t>
        </is>
      </c>
    </row>
    <row r="57599">
      <c r="A57599" s="1" t="n">
        <v>57598</v>
      </c>
      <c r="B57599">
        <f>TEXT(57598, "[$-0E0000]yyyy-mm-dd")</f>
        <v/>
      </c>
      <c r="C57599" t="inlineStr">
        <is>
          <t>2057-08-13</t>
        </is>
      </c>
    </row>
    <row r="57600">
      <c r="A57600" s="1" t="n">
        <v>57599</v>
      </c>
      <c r="B57600">
        <f>TEXT(57599, "[$-0E0000]yyyy-mm-dd")</f>
        <v/>
      </c>
      <c r="C57600" t="inlineStr">
        <is>
          <t>2057-08-14</t>
        </is>
      </c>
    </row>
    <row r="57601">
      <c r="A57601" s="1" t="n">
        <v>57600</v>
      </c>
      <c r="B57601">
        <f>TEXT(57600, "[$-0E0000]yyyy-mm-dd")</f>
        <v/>
      </c>
      <c r="C57601" t="inlineStr">
        <is>
          <t>2057-08-15</t>
        </is>
      </c>
    </row>
    <row r="57602">
      <c r="A57602" s="1" t="n">
        <v>57601</v>
      </c>
      <c r="B57602">
        <f>TEXT(57601, "[$-0E0000]yyyy-mm-dd")</f>
        <v/>
      </c>
      <c r="C57602" t="inlineStr">
        <is>
          <t>2057-08-16</t>
        </is>
      </c>
    </row>
    <row r="57603">
      <c r="A57603" s="1" t="n">
        <v>57602</v>
      </c>
      <c r="B57603">
        <f>TEXT(57602, "[$-0E0000]yyyy-mm-dd")</f>
        <v/>
      </c>
      <c r="C57603" t="inlineStr">
        <is>
          <t>2057-08-17</t>
        </is>
      </c>
    </row>
    <row r="57604">
      <c r="A57604" s="1" t="n">
        <v>57603</v>
      </c>
      <c r="B57604">
        <f>TEXT(57603, "[$-0E0000]yyyy-mm-dd")</f>
        <v/>
      </c>
      <c r="C57604" t="inlineStr">
        <is>
          <t>2057-08-18</t>
        </is>
      </c>
    </row>
    <row r="57605">
      <c r="A57605" s="1" t="n">
        <v>57604</v>
      </c>
      <c r="B57605">
        <f>TEXT(57604, "[$-0E0000]yyyy-mm-dd")</f>
        <v/>
      </c>
      <c r="C57605" t="inlineStr">
        <is>
          <t>2057-08-19</t>
        </is>
      </c>
    </row>
    <row r="57606">
      <c r="A57606" s="1" t="n">
        <v>57605</v>
      </c>
      <c r="B57606">
        <f>TEXT(57605, "[$-0E0000]yyyy-mm-dd")</f>
        <v/>
      </c>
      <c r="C57606" t="inlineStr">
        <is>
          <t>2057-08-20</t>
        </is>
      </c>
    </row>
    <row r="57607">
      <c r="A57607" s="1" t="n">
        <v>57606</v>
      </c>
      <c r="B57607">
        <f>TEXT(57606, "[$-0E0000]yyyy-mm-dd")</f>
        <v/>
      </c>
      <c r="C57607" t="inlineStr">
        <is>
          <t>2057-08-21</t>
        </is>
      </c>
    </row>
    <row r="57608">
      <c r="A57608" s="1" t="n">
        <v>57607</v>
      </c>
      <c r="B57608">
        <f>TEXT(57607, "[$-0E0000]yyyy-mm-dd")</f>
        <v/>
      </c>
      <c r="C57608" t="inlineStr">
        <is>
          <t>2057-08-22</t>
        </is>
      </c>
    </row>
    <row r="57609">
      <c r="A57609" s="1" t="n">
        <v>57608</v>
      </c>
      <c r="B57609">
        <f>TEXT(57608, "[$-0E0000]yyyy-mm-dd")</f>
        <v/>
      </c>
      <c r="C57609" t="inlineStr">
        <is>
          <t>2057-08-23</t>
        </is>
      </c>
    </row>
    <row r="57610">
      <c r="A57610" s="1" t="n">
        <v>57609</v>
      </c>
      <c r="B57610">
        <f>TEXT(57609, "[$-0E0000]yyyy-mm-dd")</f>
        <v/>
      </c>
      <c r="C57610" t="inlineStr">
        <is>
          <t>2057-08-24</t>
        </is>
      </c>
    </row>
    <row r="57611">
      <c r="A57611" s="1" t="n">
        <v>57610</v>
      </c>
      <c r="B57611">
        <f>TEXT(57610, "[$-0E0000]yyyy-mm-dd")</f>
        <v/>
      </c>
      <c r="C57611" t="inlineStr">
        <is>
          <t>2057-08-25</t>
        </is>
      </c>
    </row>
    <row r="57612">
      <c r="A57612" s="1" t="n">
        <v>57611</v>
      </c>
      <c r="B57612">
        <f>TEXT(57611, "[$-0E0000]yyyy-mm-dd")</f>
        <v/>
      </c>
      <c r="C57612" t="inlineStr">
        <is>
          <t>2057-08-26</t>
        </is>
      </c>
    </row>
    <row r="57613">
      <c r="A57613" s="1" t="n">
        <v>57612</v>
      </c>
      <c r="B57613">
        <f>TEXT(57612, "[$-0E0000]yyyy-mm-dd")</f>
        <v/>
      </c>
      <c r="C57613" t="inlineStr">
        <is>
          <t>2057-08-27</t>
        </is>
      </c>
    </row>
    <row r="57614">
      <c r="A57614" s="1" t="n">
        <v>57613</v>
      </c>
      <c r="B57614">
        <f>TEXT(57613, "[$-0E0000]yyyy-mm-dd")</f>
        <v/>
      </c>
      <c r="C57614" t="inlineStr">
        <is>
          <t>2057-08-28</t>
        </is>
      </c>
    </row>
    <row r="57615">
      <c r="A57615" s="1" t="n">
        <v>57614</v>
      </c>
      <c r="B57615">
        <f>TEXT(57614, "[$-0E0000]yyyy-mm-dd")</f>
        <v/>
      </c>
      <c r="C57615" t="inlineStr">
        <is>
          <t>2057-08-29</t>
        </is>
      </c>
    </row>
    <row r="57616">
      <c r="A57616" s="1" t="n">
        <v>57615</v>
      </c>
      <c r="B57616">
        <f>TEXT(57615, "[$-0E0000]yyyy-mm-dd")</f>
        <v/>
      </c>
      <c r="C57616" t="inlineStr">
        <is>
          <t>2057-08-30</t>
        </is>
      </c>
    </row>
    <row r="57617">
      <c r="A57617" s="1" t="n">
        <v>57616</v>
      </c>
      <c r="B57617">
        <f>TEXT(57616, "[$-0E0000]yyyy-mm-dd")</f>
        <v/>
      </c>
      <c r="C57617" t="inlineStr">
        <is>
          <t>2057-09-01</t>
        </is>
      </c>
    </row>
    <row r="57618">
      <c r="A57618" s="1" t="n">
        <v>57617</v>
      </c>
      <c r="B57618">
        <f>TEXT(57617, "[$-0E0000]yyyy-mm-dd")</f>
        <v/>
      </c>
      <c r="C57618" t="inlineStr">
        <is>
          <t>2057-09-02</t>
        </is>
      </c>
    </row>
    <row r="57619">
      <c r="A57619" s="1" t="n">
        <v>57618</v>
      </c>
      <c r="B57619">
        <f>TEXT(57618, "[$-0E0000]yyyy-mm-dd")</f>
        <v/>
      </c>
      <c r="C57619" t="inlineStr">
        <is>
          <t>2057-09-03</t>
        </is>
      </c>
    </row>
    <row r="57620">
      <c r="A57620" s="1" t="n">
        <v>57619</v>
      </c>
      <c r="B57620">
        <f>TEXT(57619, "[$-0E0000]yyyy-mm-dd")</f>
        <v/>
      </c>
      <c r="C57620" t="inlineStr">
        <is>
          <t>2057-09-04</t>
        </is>
      </c>
    </row>
    <row r="57621">
      <c r="A57621" s="1" t="n">
        <v>57620</v>
      </c>
      <c r="B57621">
        <f>TEXT(57620, "[$-0E0000]yyyy-mm-dd")</f>
        <v/>
      </c>
      <c r="C57621" t="inlineStr">
        <is>
          <t>2057-09-05</t>
        </is>
      </c>
    </row>
    <row r="57622">
      <c r="A57622" s="1" t="n">
        <v>57621</v>
      </c>
      <c r="B57622">
        <f>TEXT(57621, "[$-0E0000]yyyy-mm-dd")</f>
        <v/>
      </c>
      <c r="C57622" t="inlineStr">
        <is>
          <t>2057-09-06</t>
        </is>
      </c>
    </row>
    <row r="57623">
      <c r="A57623" s="1" t="n">
        <v>57622</v>
      </c>
      <c r="B57623">
        <f>TEXT(57622, "[$-0E0000]yyyy-mm-dd")</f>
        <v/>
      </c>
      <c r="C57623" t="inlineStr">
        <is>
          <t>2057-09-07</t>
        </is>
      </c>
    </row>
    <row r="57624">
      <c r="A57624" s="1" t="n">
        <v>57623</v>
      </c>
      <c r="B57624">
        <f>TEXT(57623, "[$-0E0000]yyyy-mm-dd")</f>
        <v/>
      </c>
      <c r="C57624" t="inlineStr">
        <is>
          <t>2057-09-08</t>
        </is>
      </c>
    </row>
    <row r="57625">
      <c r="A57625" s="1" t="n">
        <v>57624</v>
      </c>
      <c r="B57625">
        <f>TEXT(57624, "[$-0E0000]yyyy-mm-dd")</f>
        <v/>
      </c>
      <c r="C57625" t="inlineStr">
        <is>
          <t>2057-09-09</t>
        </is>
      </c>
    </row>
    <row r="57626">
      <c r="A57626" s="1" t="n">
        <v>57625</v>
      </c>
      <c r="B57626">
        <f>TEXT(57625, "[$-0E0000]yyyy-mm-dd")</f>
        <v/>
      </c>
      <c r="C57626" t="inlineStr">
        <is>
          <t>2057-09-10</t>
        </is>
      </c>
    </row>
    <row r="57627">
      <c r="A57627" s="1" t="n">
        <v>57626</v>
      </c>
      <c r="B57627">
        <f>TEXT(57626, "[$-0E0000]yyyy-mm-dd")</f>
        <v/>
      </c>
      <c r="C57627" t="inlineStr">
        <is>
          <t>2057-09-11</t>
        </is>
      </c>
    </row>
    <row r="57628">
      <c r="A57628" s="1" t="n">
        <v>57627</v>
      </c>
      <c r="B57628">
        <f>TEXT(57627, "[$-0E0000]yyyy-mm-dd")</f>
        <v/>
      </c>
      <c r="C57628" t="inlineStr">
        <is>
          <t>2057-09-12</t>
        </is>
      </c>
    </row>
    <row r="57629">
      <c r="A57629" s="1" t="n">
        <v>57628</v>
      </c>
      <c r="B57629">
        <f>TEXT(57628, "[$-0E0000]yyyy-mm-dd")</f>
        <v/>
      </c>
      <c r="C57629" t="inlineStr">
        <is>
          <t>2057-09-13</t>
        </is>
      </c>
    </row>
    <row r="57630">
      <c r="A57630" s="1" t="n">
        <v>57629</v>
      </c>
      <c r="B57630">
        <f>TEXT(57629, "[$-0E0000]yyyy-mm-dd")</f>
        <v/>
      </c>
      <c r="C57630" t="inlineStr">
        <is>
          <t>2057-09-14</t>
        </is>
      </c>
    </row>
    <row r="57631">
      <c r="A57631" s="1" t="n">
        <v>57630</v>
      </c>
      <c r="B57631">
        <f>TEXT(57630, "[$-0E0000]yyyy-mm-dd")</f>
        <v/>
      </c>
      <c r="C57631" t="inlineStr">
        <is>
          <t>2057-09-15</t>
        </is>
      </c>
    </row>
    <row r="57632">
      <c r="A57632" s="1" t="n">
        <v>57631</v>
      </c>
      <c r="B57632">
        <f>TEXT(57631, "[$-0E0000]yyyy-mm-dd")</f>
        <v/>
      </c>
      <c r="C57632" t="inlineStr">
        <is>
          <t>2057-09-16</t>
        </is>
      </c>
    </row>
    <row r="57633">
      <c r="A57633" s="1" t="n">
        <v>57632</v>
      </c>
      <c r="B57633">
        <f>TEXT(57632, "[$-0E0000]yyyy-mm-dd")</f>
        <v/>
      </c>
      <c r="C57633" t="inlineStr">
        <is>
          <t>2057-09-17</t>
        </is>
      </c>
    </row>
    <row r="57634">
      <c r="A57634" s="1" t="n">
        <v>57633</v>
      </c>
      <c r="B57634">
        <f>TEXT(57633, "[$-0E0000]yyyy-mm-dd")</f>
        <v/>
      </c>
      <c r="C57634" t="inlineStr">
        <is>
          <t>2057-09-18</t>
        </is>
      </c>
    </row>
    <row r="57635">
      <c r="A57635" s="1" t="n">
        <v>57634</v>
      </c>
      <c r="B57635">
        <f>TEXT(57634, "[$-0E0000]yyyy-mm-dd")</f>
        <v/>
      </c>
      <c r="C57635" t="inlineStr">
        <is>
          <t>2057-09-19</t>
        </is>
      </c>
    </row>
    <row r="57636">
      <c r="A57636" s="1" t="n">
        <v>57635</v>
      </c>
      <c r="B57636">
        <f>TEXT(57635, "[$-0E0000]yyyy-mm-dd")</f>
        <v/>
      </c>
      <c r="C57636" t="inlineStr">
        <is>
          <t>2057-09-20</t>
        </is>
      </c>
    </row>
    <row r="57637">
      <c r="A57637" s="1" t="n">
        <v>57636</v>
      </c>
      <c r="B57637">
        <f>TEXT(57636, "[$-0E0000]yyyy-mm-dd")</f>
        <v/>
      </c>
      <c r="C57637" t="inlineStr">
        <is>
          <t>2057-09-21</t>
        </is>
      </c>
    </row>
    <row r="57638">
      <c r="A57638" s="1" t="n">
        <v>57637</v>
      </c>
      <c r="B57638">
        <f>TEXT(57637, "[$-0E0000]yyyy-mm-dd")</f>
        <v/>
      </c>
      <c r="C57638" t="inlineStr">
        <is>
          <t>2057-09-22</t>
        </is>
      </c>
    </row>
    <row r="57639">
      <c r="A57639" s="1" t="n">
        <v>57638</v>
      </c>
      <c r="B57639">
        <f>TEXT(57638, "[$-0E0000]yyyy-mm-dd")</f>
        <v/>
      </c>
      <c r="C57639" t="inlineStr">
        <is>
          <t>2057-09-23</t>
        </is>
      </c>
    </row>
    <row r="57640">
      <c r="A57640" s="1" t="n">
        <v>57639</v>
      </c>
      <c r="B57640">
        <f>TEXT(57639, "[$-0E0000]yyyy-mm-dd")</f>
        <v/>
      </c>
      <c r="C57640" t="inlineStr">
        <is>
          <t>2057-09-24</t>
        </is>
      </c>
    </row>
    <row r="57641">
      <c r="A57641" s="1" t="n">
        <v>57640</v>
      </c>
      <c r="B57641">
        <f>TEXT(57640, "[$-0E0000]yyyy-mm-dd")</f>
        <v/>
      </c>
      <c r="C57641" t="inlineStr">
        <is>
          <t>2057-09-25</t>
        </is>
      </c>
    </row>
    <row r="57642">
      <c r="A57642" s="1" t="n">
        <v>57641</v>
      </c>
      <c r="B57642">
        <f>TEXT(57641, "[$-0E0000]yyyy-mm-dd")</f>
        <v/>
      </c>
      <c r="C57642" t="inlineStr">
        <is>
          <t>2057-09-26</t>
        </is>
      </c>
    </row>
    <row r="57643">
      <c r="A57643" s="1" t="n">
        <v>57642</v>
      </c>
      <c r="B57643">
        <f>TEXT(57642, "[$-0E0000]yyyy-mm-dd")</f>
        <v/>
      </c>
      <c r="C57643" t="inlineStr">
        <is>
          <t>2057-09-27</t>
        </is>
      </c>
    </row>
    <row r="57644">
      <c r="A57644" s="1" t="n">
        <v>57643</v>
      </c>
      <c r="B57644">
        <f>TEXT(57643, "[$-0E0000]yyyy-mm-dd")</f>
        <v/>
      </c>
      <c r="C57644" t="inlineStr">
        <is>
          <t>2057-09-28</t>
        </is>
      </c>
    </row>
    <row r="57645">
      <c r="A57645" s="1" t="n">
        <v>57644</v>
      </c>
      <c r="B57645">
        <f>TEXT(57644, "[$-0E0000]yyyy-mm-dd")</f>
        <v/>
      </c>
      <c r="C57645" t="inlineStr">
        <is>
          <t>2057-09-29</t>
        </is>
      </c>
    </row>
    <row r="57646">
      <c r="A57646" s="1" t="n">
        <v>57645</v>
      </c>
      <c r="B57646">
        <f>TEXT(57645, "[$-0E0000]yyyy-mm-dd")</f>
        <v/>
      </c>
      <c r="C57646" t="inlineStr">
        <is>
          <t>2057-10-01</t>
        </is>
      </c>
    </row>
    <row r="57647">
      <c r="A57647" s="1" t="n">
        <v>57646</v>
      </c>
      <c r="B57647">
        <f>TEXT(57646, "[$-0E0000]yyyy-mm-dd")</f>
        <v/>
      </c>
      <c r="C57647" t="inlineStr">
        <is>
          <t>2057-10-02</t>
        </is>
      </c>
    </row>
    <row r="57648">
      <c r="A57648" s="1" t="n">
        <v>57647</v>
      </c>
      <c r="B57648">
        <f>TEXT(57647, "[$-0E0000]yyyy-mm-dd")</f>
        <v/>
      </c>
      <c r="C57648" t="inlineStr">
        <is>
          <t>2057-10-03</t>
        </is>
      </c>
    </row>
    <row r="57649">
      <c r="A57649" s="1" t="n">
        <v>57648</v>
      </c>
      <c r="B57649">
        <f>TEXT(57648, "[$-0E0000]yyyy-mm-dd")</f>
        <v/>
      </c>
      <c r="C57649" t="inlineStr">
        <is>
          <t>2057-10-04</t>
        </is>
      </c>
    </row>
    <row r="57650">
      <c r="A57650" s="1" t="n">
        <v>57649</v>
      </c>
      <c r="B57650">
        <f>TEXT(57649, "[$-0E0000]yyyy-mm-dd")</f>
        <v/>
      </c>
      <c r="C57650" t="inlineStr">
        <is>
          <t>2057-10-05</t>
        </is>
      </c>
    </row>
    <row r="57651">
      <c r="A57651" s="1" t="n">
        <v>57650</v>
      </c>
      <c r="B57651">
        <f>TEXT(57650, "[$-0E0000]yyyy-mm-dd")</f>
        <v/>
      </c>
      <c r="C57651" t="inlineStr">
        <is>
          <t>2057-10-06</t>
        </is>
      </c>
    </row>
    <row r="57652">
      <c r="A57652" s="1" t="n">
        <v>57651</v>
      </c>
      <c r="B57652">
        <f>TEXT(57651, "[$-0E0000]yyyy-mm-dd")</f>
        <v/>
      </c>
      <c r="C57652" t="inlineStr">
        <is>
          <t>2057-10-07</t>
        </is>
      </c>
    </row>
    <row r="57653">
      <c r="A57653" s="1" t="n">
        <v>57652</v>
      </c>
      <c r="B57653">
        <f>TEXT(57652, "[$-0E0000]yyyy-mm-dd")</f>
        <v/>
      </c>
      <c r="C57653" t="inlineStr">
        <is>
          <t>2057-10-08</t>
        </is>
      </c>
    </row>
    <row r="57654">
      <c r="A57654" s="1" t="n">
        <v>57653</v>
      </c>
      <c r="B57654">
        <f>TEXT(57653, "[$-0E0000]yyyy-mm-dd")</f>
        <v/>
      </c>
      <c r="C57654" t="inlineStr">
        <is>
          <t>2057-10-09</t>
        </is>
      </c>
    </row>
    <row r="57655">
      <c r="A57655" s="1" t="n">
        <v>57654</v>
      </c>
      <c r="B57655">
        <f>TEXT(57654, "[$-0E0000]yyyy-mm-dd")</f>
        <v/>
      </c>
      <c r="C57655" t="inlineStr">
        <is>
          <t>2057-10-10</t>
        </is>
      </c>
    </row>
    <row r="57656">
      <c r="A57656" s="1" t="n">
        <v>57655</v>
      </c>
      <c r="B57656">
        <f>TEXT(57655, "[$-0E0000]yyyy-mm-dd")</f>
        <v/>
      </c>
      <c r="C57656" t="inlineStr">
        <is>
          <t>2057-10-11</t>
        </is>
      </c>
    </row>
    <row r="57657">
      <c r="A57657" s="1" t="n">
        <v>57656</v>
      </c>
      <c r="B57657">
        <f>TEXT(57656, "[$-0E0000]yyyy-mm-dd")</f>
        <v/>
      </c>
      <c r="C57657" t="inlineStr">
        <is>
          <t>2057-10-12</t>
        </is>
      </c>
    </row>
    <row r="57658">
      <c r="A57658" s="1" t="n">
        <v>57657</v>
      </c>
      <c r="B57658">
        <f>TEXT(57657, "[$-0E0000]yyyy-mm-dd")</f>
        <v/>
      </c>
      <c r="C57658" t="inlineStr">
        <is>
          <t>2057-10-13</t>
        </is>
      </c>
    </row>
    <row r="57659">
      <c r="A57659" s="1" t="n">
        <v>57658</v>
      </c>
      <c r="B57659">
        <f>TEXT(57658, "[$-0E0000]yyyy-mm-dd")</f>
        <v/>
      </c>
      <c r="C57659" t="inlineStr">
        <is>
          <t>2057-10-14</t>
        </is>
      </c>
    </row>
    <row r="57660">
      <c r="A57660" s="1" t="n">
        <v>57659</v>
      </c>
      <c r="B57660">
        <f>TEXT(57659, "[$-0E0000]yyyy-mm-dd")</f>
        <v/>
      </c>
      <c r="C57660" t="inlineStr">
        <is>
          <t>2057-10-15</t>
        </is>
      </c>
    </row>
    <row r="57661">
      <c r="A57661" s="1" t="n">
        <v>57660</v>
      </c>
      <c r="B57661">
        <f>TEXT(57660, "[$-0E0000]yyyy-mm-dd")</f>
        <v/>
      </c>
      <c r="C57661" t="inlineStr">
        <is>
          <t>2057-10-16</t>
        </is>
      </c>
    </row>
    <row r="57662">
      <c r="A57662" s="1" t="n">
        <v>57661</v>
      </c>
      <c r="B57662">
        <f>TEXT(57661, "[$-0E0000]yyyy-mm-dd")</f>
        <v/>
      </c>
      <c r="C57662" t="inlineStr">
        <is>
          <t>2057-10-17</t>
        </is>
      </c>
    </row>
    <row r="57663">
      <c r="A57663" s="1" t="n">
        <v>57662</v>
      </c>
      <c r="B57663">
        <f>TEXT(57662, "[$-0E0000]yyyy-mm-dd")</f>
        <v/>
      </c>
      <c r="C57663" t="inlineStr">
        <is>
          <t>2057-10-18</t>
        </is>
      </c>
    </row>
    <row r="57664">
      <c r="A57664" s="1" t="n">
        <v>57663</v>
      </c>
      <c r="B57664">
        <f>TEXT(57663, "[$-0E0000]yyyy-mm-dd")</f>
        <v/>
      </c>
      <c r="C57664" t="inlineStr">
        <is>
          <t>2057-10-19</t>
        </is>
      </c>
    </row>
    <row r="57665">
      <c r="A57665" s="1" t="n">
        <v>57664</v>
      </c>
      <c r="B57665">
        <f>TEXT(57664, "[$-0E0000]yyyy-mm-dd")</f>
        <v/>
      </c>
      <c r="C57665" t="inlineStr">
        <is>
          <t>2057-10-20</t>
        </is>
      </c>
    </row>
    <row r="57666">
      <c r="A57666" s="1" t="n">
        <v>57665</v>
      </c>
      <c r="B57666">
        <f>TEXT(57665, "[$-0E0000]yyyy-mm-dd")</f>
        <v/>
      </c>
      <c r="C57666" t="inlineStr">
        <is>
          <t>2057-10-21</t>
        </is>
      </c>
    </row>
    <row r="57667">
      <c r="A57667" s="1" t="n">
        <v>57666</v>
      </c>
      <c r="B57667">
        <f>TEXT(57666, "[$-0E0000]yyyy-mm-dd")</f>
        <v/>
      </c>
      <c r="C57667" t="inlineStr">
        <is>
          <t>2057-10-22</t>
        </is>
      </c>
    </row>
    <row r="57668">
      <c r="A57668" s="1" t="n">
        <v>57667</v>
      </c>
      <c r="B57668">
        <f>TEXT(57667, "[$-0E0000]yyyy-mm-dd")</f>
        <v/>
      </c>
      <c r="C57668" t="inlineStr">
        <is>
          <t>2057-10-23</t>
        </is>
      </c>
    </row>
    <row r="57669">
      <c r="A57669" s="1" t="n">
        <v>57668</v>
      </c>
      <c r="B57669">
        <f>TEXT(57668, "[$-0E0000]yyyy-mm-dd")</f>
        <v/>
      </c>
      <c r="C57669" t="inlineStr">
        <is>
          <t>2057-10-24</t>
        </is>
      </c>
    </row>
    <row r="57670">
      <c r="A57670" s="1" t="n">
        <v>57669</v>
      </c>
      <c r="B57670">
        <f>TEXT(57669, "[$-0E0000]yyyy-mm-dd")</f>
        <v/>
      </c>
      <c r="C57670" t="inlineStr">
        <is>
          <t>2057-10-25</t>
        </is>
      </c>
    </row>
    <row r="57671">
      <c r="A57671" s="1" t="n">
        <v>57670</v>
      </c>
      <c r="B57671">
        <f>TEXT(57670, "[$-0E0000]yyyy-mm-dd")</f>
        <v/>
      </c>
      <c r="C57671" t="inlineStr">
        <is>
          <t>2057-10-26</t>
        </is>
      </c>
    </row>
    <row r="57672">
      <c r="A57672" s="1" t="n">
        <v>57671</v>
      </c>
      <c r="B57672">
        <f>TEXT(57671, "[$-0E0000]yyyy-mm-dd")</f>
        <v/>
      </c>
      <c r="C57672" t="inlineStr">
        <is>
          <t>2057-10-27</t>
        </is>
      </c>
    </row>
    <row r="57673">
      <c r="A57673" s="1" t="n">
        <v>57672</v>
      </c>
      <c r="B57673">
        <f>TEXT(57672, "[$-0E0000]yyyy-mm-dd")</f>
        <v/>
      </c>
      <c r="C57673" t="inlineStr">
        <is>
          <t>2057-10-28</t>
        </is>
      </c>
    </row>
    <row r="57674">
      <c r="A57674" s="1" t="n">
        <v>57673</v>
      </c>
      <c r="B57674">
        <f>TEXT(57673, "[$-0E0000]yyyy-mm-dd")</f>
        <v/>
      </c>
      <c r="C57674" t="inlineStr">
        <is>
          <t>2057-10-29</t>
        </is>
      </c>
    </row>
    <row r="57675">
      <c r="A57675" s="1" t="n">
        <v>57674</v>
      </c>
      <c r="B57675">
        <f>TEXT(57674, "[$-0E0000]yyyy-mm-dd")</f>
        <v/>
      </c>
      <c r="C57675" t="inlineStr">
        <is>
          <t>2057-11-01</t>
        </is>
      </c>
    </row>
    <row r="57676">
      <c r="A57676" s="1" t="n">
        <v>57675</v>
      </c>
      <c r="B57676">
        <f>TEXT(57675, "[$-0E0000]yyyy-mm-dd")</f>
        <v/>
      </c>
      <c r="C57676" t="inlineStr">
        <is>
          <t>2057-11-02</t>
        </is>
      </c>
    </row>
    <row r="57677">
      <c r="A57677" s="1" t="n">
        <v>57676</v>
      </c>
      <c r="B57677">
        <f>TEXT(57676, "[$-0E0000]yyyy-mm-dd")</f>
        <v/>
      </c>
      <c r="C57677" t="inlineStr">
        <is>
          <t>2057-11-03</t>
        </is>
      </c>
    </row>
    <row r="57678">
      <c r="A57678" s="1" t="n">
        <v>57677</v>
      </c>
      <c r="B57678">
        <f>TEXT(57677, "[$-0E0000]yyyy-mm-dd")</f>
        <v/>
      </c>
      <c r="C57678" t="inlineStr">
        <is>
          <t>2057-11-04</t>
        </is>
      </c>
    </row>
    <row r="57679">
      <c r="A57679" s="1" t="n">
        <v>57678</v>
      </c>
      <c r="B57679">
        <f>TEXT(57678, "[$-0E0000]yyyy-mm-dd")</f>
        <v/>
      </c>
      <c r="C57679" t="inlineStr">
        <is>
          <t>2057-11-05</t>
        </is>
      </c>
    </row>
    <row r="57680">
      <c r="A57680" s="1" t="n">
        <v>57679</v>
      </c>
      <c r="B57680">
        <f>TEXT(57679, "[$-0E0000]yyyy-mm-dd")</f>
        <v/>
      </c>
      <c r="C57680" t="inlineStr">
        <is>
          <t>2057-11-06</t>
        </is>
      </c>
    </row>
    <row r="57681">
      <c r="A57681" s="1" t="n">
        <v>57680</v>
      </c>
      <c r="B57681">
        <f>TEXT(57680, "[$-0E0000]yyyy-mm-dd")</f>
        <v/>
      </c>
      <c r="C57681" t="inlineStr">
        <is>
          <t>2057-11-07</t>
        </is>
      </c>
    </row>
    <row r="57682">
      <c r="A57682" s="1" t="n">
        <v>57681</v>
      </c>
      <c r="B57682">
        <f>TEXT(57681, "[$-0E0000]yyyy-mm-dd")</f>
        <v/>
      </c>
      <c r="C57682" t="inlineStr">
        <is>
          <t>2057-11-08</t>
        </is>
      </c>
    </row>
    <row r="57683">
      <c r="A57683" s="1" t="n">
        <v>57682</v>
      </c>
      <c r="B57683">
        <f>TEXT(57682, "[$-0E0000]yyyy-mm-dd")</f>
        <v/>
      </c>
      <c r="C57683" t="inlineStr">
        <is>
          <t>2057-11-09</t>
        </is>
      </c>
    </row>
    <row r="57684">
      <c r="A57684" s="1" t="n">
        <v>57683</v>
      </c>
      <c r="B57684">
        <f>TEXT(57683, "[$-0E0000]yyyy-mm-dd")</f>
        <v/>
      </c>
      <c r="C57684" t="inlineStr">
        <is>
          <t>2057-11-10</t>
        </is>
      </c>
    </row>
    <row r="57685">
      <c r="A57685" s="1" t="n">
        <v>57684</v>
      </c>
      <c r="B57685">
        <f>TEXT(57684, "[$-0E0000]yyyy-mm-dd")</f>
        <v/>
      </c>
      <c r="C57685" t="inlineStr">
        <is>
          <t>2057-11-11</t>
        </is>
      </c>
    </row>
    <row r="57686">
      <c r="A57686" s="1" t="n">
        <v>57685</v>
      </c>
      <c r="B57686">
        <f>TEXT(57685, "[$-0E0000]yyyy-mm-dd")</f>
        <v/>
      </c>
      <c r="C57686" t="inlineStr">
        <is>
          <t>2057-11-12</t>
        </is>
      </c>
    </row>
    <row r="57687">
      <c r="A57687" s="1" t="n">
        <v>57686</v>
      </c>
      <c r="B57687">
        <f>TEXT(57686, "[$-0E0000]yyyy-mm-dd")</f>
        <v/>
      </c>
      <c r="C57687" t="inlineStr">
        <is>
          <t>2057-11-13</t>
        </is>
      </c>
    </row>
    <row r="57688">
      <c r="A57688" s="1" t="n">
        <v>57687</v>
      </c>
      <c r="B57688">
        <f>TEXT(57687, "[$-0E0000]yyyy-mm-dd")</f>
        <v/>
      </c>
      <c r="C57688" t="inlineStr">
        <is>
          <t>2057-11-14</t>
        </is>
      </c>
    </row>
    <row r="57689">
      <c r="A57689" s="1" t="n">
        <v>57688</v>
      </c>
      <c r="B57689">
        <f>TEXT(57688, "[$-0E0000]yyyy-mm-dd")</f>
        <v/>
      </c>
      <c r="C57689" t="inlineStr">
        <is>
          <t>2057-11-15</t>
        </is>
      </c>
    </row>
    <row r="57690">
      <c r="A57690" s="1" t="n">
        <v>57689</v>
      </c>
      <c r="B57690">
        <f>TEXT(57689, "[$-0E0000]yyyy-mm-dd")</f>
        <v/>
      </c>
      <c r="C57690" t="inlineStr">
        <is>
          <t>2057-11-16</t>
        </is>
      </c>
    </row>
    <row r="57691">
      <c r="A57691" s="1" t="n">
        <v>57690</v>
      </c>
      <c r="B57691">
        <f>TEXT(57690, "[$-0E0000]yyyy-mm-dd")</f>
        <v/>
      </c>
      <c r="C57691" t="inlineStr">
        <is>
          <t>2057-11-17</t>
        </is>
      </c>
    </row>
    <row r="57692">
      <c r="A57692" s="1" t="n">
        <v>57691</v>
      </c>
      <c r="B57692">
        <f>TEXT(57691, "[$-0E0000]yyyy-mm-dd")</f>
        <v/>
      </c>
      <c r="C57692" t="inlineStr">
        <is>
          <t>2057-11-18</t>
        </is>
      </c>
    </row>
    <row r="57693">
      <c r="A57693" s="1" t="n">
        <v>57692</v>
      </c>
      <c r="B57693">
        <f>TEXT(57692, "[$-0E0000]yyyy-mm-dd")</f>
        <v/>
      </c>
      <c r="C57693" t="inlineStr">
        <is>
          <t>2057-11-19</t>
        </is>
      </c>
    </row>
    <row r="57694">
      <c r="A57694" s="1" t="n">
        <v>57693</v>
      </c>
      <c r="B57694">
        <f>TEXT(57693, "[$-0E0000]yyyy-mm-dd")</f>
        <v/>
      </c>
      <c r="C57694" t="inlineStr">
        <is>
          <t>2057-11-20</t>
        </is>
      </c>
    </row>
    <row r="57695">
      <c r="A57695" s="1" t="n">
        <v>57694</v>
      </c>
      <c r="B57695">
        <f>TEXT(57694, "[$-0E0000]yyyy-mm-dd")</f>
        <v/>
      </c>
      <c r="C57695" t="inlineStr">
        <is>
          <t>2057-11-21</t>
        </is>
      </c>
    </row>
    <row r="57696">
      <c r="A57696" s="1" t="n">
        <v>57695</v>
      </c>
      <c r="B57696">
        <f>TEXT(57695, "[$-0E0000]yyyy-mm-dd")</f>
        <v/>
      </c>
      <c r="C57696" t="inlineStr">
        <is>
          <t>2057-11-22</t>
        </is>
      </c>
    </row>
    <row r="57697">
      <c r="A57697" s="1" t="n">
        <v>57696</v>
      </c>
      <c r="B57697">
        <f>TEXT(57696, "[$-0E0000]yyyy-mm-dd")</f>
        <v/>
      </c>
      <c r="C57697" t="inlineStr">
        <is>
          <t>2057-11-23</t>
        </is>
      </c>
    </row>
    <row r="57698">
      <c r="A57698" s="1" t="n">
        <v>57697</v>
      </c>
      <c r="B57698">
        <f>TEXT(57697, "[$-0E0000]yyyy-mm-dd")</f>
        <v/>
      </c>
      <c r="C57698" t="inlineStr">
        <is>
          <t>2057-11-24</t>
        </is>
      </c>
    </row>
    <row r="57699">
      <c r="A57699" s="1" t="n">
        <v>57698</v>
      </c>
      <c r="B57699">
        <f>TEXT(57698, "[$-0E0000]yyyy-mm-dd")</f>
        <v/>
      </c>
      <c r="C57699" t="inlineStr">
        <is>
          <t>2057-11-25</t>
        </is>
      </c>
    </row>
    <row r="57700">
      <c r="A57700" s="1" t="n">
        <v>57699</v>
      </c>
      <c r="B57700">
        <f>TEXT(57699, "[$-0E0000]yyyy-mm-dd")</f>
        <v/>
      </c>
      <c r="C57700" t="inlineStr">
        <is>
          <t>2057-11-26</t>
        </is>
      </c>
    </row>
    <row r="57701">
      <c r="A57701" s="1" t="n">
        <v>57700</v>
      </c>
      <c r="B57701">
        <f>TEXT(57700, "[$-0E0000]yyyy-mm-dd")</f>
        <v/>
      </c>
      <c r="C57701" t="inlineStr">
        <is>
          <t>2057-11-27</t>
        </is>
      </c>
    </row>
    <row r="57702">
      <c r="A57702" s="1" t="n">
        <v>57701</v>
      </c>
      <c r="B57702">
        <f>TEXT(57701, "[$-0E0000]yyyy-mm-dd")</f>
        <v/>
      </c>
      <c r="C57702" t="inlineStr">
        <is>
          <t>2057-11-28</t>
        </is>
      </c>
    </row>
    <row r="57703">
      <c r="A57703" s="1" t="n">
        <v>57702</v>
      </c>
      <c r="B57703">
        <f>TEXT(57702, "[$-0E0000]yyyy-mm-dd")</f>
        <v/>
      </c>
      <c r="C57703" t="inlineStr">
        <is>
          <t>2057-11-29</t>
        </is>
      </c>
    </row>
    <row r="57704">
      <c r="A57704" s="1" t="n">
        <v>57703</v>
      </c>
      <c r="B57704">
        <f>TEXT(57703, "[$-0E0000]yyyy-mm-dd")</f>
        <v/>
      </c>
      <c r="C57704" t="inlineStr">
        <is>
          <t>2057-11-30</t>
        </is>
      </c>
    </row>
    <row r="57705">
      <c r="A57705" s="1" t="n">
        <v>57704</v>
      </c>
      <c r="B57705">
        <f>TEXT(57704, "[$-0E0000]yyyy-mm-dd")</f>
        <v/>
      </c>
      <c r="C57705" t="inlineStr">
        <is>
          <t>2057-12-01</t>
        </is>
      </c>
    </row>
    <row r="57706">
      <c r="A57706" s="1" t="n">
        <v>57705</v>
      </c>
      <c r="B57706">
        <f>TEXT(57705, "[$-0E0000]yyyy-mm-dd")</f>
        <v/>
      </c>
      <c r="C57706" t="inlineStr">
        <is>
          <t>2057-12-02</t>
        </is>
      </c>
    </row>
    <row r="57707">
      <c r="A57707" s="1" t="n">
        <v>57706</v>
      </c>
      <c r="B57707">
        <f>TEXT(57706, "[$-0E0000]yyyy-mm-dd")</f>
        <v/>
      </c>
      <c r="C57707" t="inlineStr">
        <is>
          <t>2057-12-03</t>
        </is>
      </c>
    </row>
    <row r="57708">
      <c r="A57708" s="1" t="n">
        <v>57707</v>
      </c>
      <c r="B57708">
        <f>TEXT(57707, "[$-0E0000]yyyy-mm-dd")</f>
        <v/>
      </c>
      <c r="C57708" t="inlineStr">
        <is>
          <t>2057-12-04</t>
        </is>
      </c>
    </row>
    <row r="57709">
      <c r="A57709" s="1" t="n">
        <v>57708</v>
      </c>
      <c r="B57709">
        <f>TEXT(57708, "[$-0E0000]yyyy-mm-dd")</f>
        <v/>
      </c>
      <c r="C57709" t="inlineStr">
        <is>
          <t>2057-12-05</t>
        </is>
      </c>
    </row>
    <row r="57710">
      <c r="A57710" s="1" t="n">
        <v>57709</v>
      </c>
      <c r="B57710">
        <f>TEXT(57709, "[$-0E0000]yyyy-mm-dd")</f>
        <v/>
      </c>
      <c r="C57710" t="inlineStr">
        <is>
          <t>2057-12-06</t>
        </is>
      </c>
    </row>
    <row r="57711">
      <c r="A57711" s="1" t="n">
        <v>57710</v>
      </c>
      <c r="B57711">
        <f>TEXT(57710, "[$-0E0000]yyyy-mm-dd")</f>
        <v/>
      </c>
      <c r="C57711" t="inlineStr">
        <is>
          <t>2057-12-07</t>
        </is>
      </c>
    </row>
    <row r="57712">
      <c r="A57712" s="1" t="n">
        <v>57711</v>
      </c>
      <c r="B57712">
        <f>TEXT(57711, "[$-0E0000]yyyy-mm-dd")</f>
        <v/>
      </c>
      <c r="C57712" t="inlineStr">
        <is>
          <t>2057-12-08</t>
        </is>
      </c>
    </row>
    <row r="57713">
      <c r="A57713" s="1" t="n">
        <v>57712</v>
      </c>
      <c r="B57713">
        <f>TEXT(57712, "[$-0E0000]yyyy-mm-dd")</f>
        <v/>
      </c>
      <c r="C57713" t="inlineStr">
        <is>
          <t>2057-12-09</t>
        </is>
      </c>
    </row>
    <row r="57714">
      <c r="A57714" s="1" t="n">
        <v>57713</v>
      </c>
      <c r="B57714">
        <f>TEXT(57713, "[$-0E0000]yyyy-mm-dd")</f>
        <v/>
      </c>
      <c r="C57714" t="inlineStr">
        <is>
          <t>2057-12-10</t>
        </is>
      </c>
    </row>
    <row r="57715">
      <c r="A57715" s="1" t="n">
        <v>57714</v>
      </c>
      <c r="B57715">
        <f>TEXT(57714, "[$-0E0000]yyyy-mm-dd")</f>
        <v/>
      </c>
      <c r="C57715" t="inlineStr">
        <is>
          <t>2057-12-11</t>
        </is>
      </c>
    </row>
    <row r="57716">
      <c r="A57716" s="1" t="n">
        <v>57715</v>
      </c>
      <c r="B57716">
        <f>TEXT(57715, "[$-0E0000]yyyy-mm-dd")</f>
        <v/>
      </c>
      <c r="C57716" t="inlineStr">
        <is>
          <t>2057-12-12</t>
        </is>
      </c>
    </row>
    <row r="57717">
      <c r="A57717" s="1" t="n">
        <v>57716</v>
      </c>
      <c r="B57717">
        <f>TEXT(57716, "[$-0E0000]yyyy-mm-dd")</f>
        <v/>
      </c>
      <c r="C57717" t="inlineStr">
        <is>
          <t>2057-12-13</t>
        </is>
      </c>
    </row>
    <row r="57718">
      <c r="A57718" s="1" t="n">
        <v>57717</v>
      </c>
      <c r="B57718">
        <f>TEXT(57717, "[$-0E0000]yyyy-mm-dd")</f>
        <v/>
      </c>
      <c r="C57718" t="inlineStr">
        <is>
          <t>2057-12-14</t>
        </is>
      </c>
    </row>
    <row r="57719">
      <c r="A57719" s="1" t="n">
        <v>57718</v>
      </c>
      <c r="B57719">
        <f>TEXT(57718, "[$-0E0000]yyyy-mm-dd")</f>
        <v/>
      </c>
      <c r="C57719" t="inlineStr">
        <is>
          <t>2057-12-15</t>
        </is>
      </c>
    </row>
    <row r="57720">
      <c r="A57720" s="1" t="n">
        <v>57719</v>
      </c>
      <c r="B57720">
        <f>TEXT(57719, "[$-0E0000]yyyy-mm-dd")</f>
        <v/>
      </c>
      <c r="C57720" t="inlineStr">
        <is>
          <t>2057-12-16</t>
        </is>
      </c>
    </row>
    <row r="57721">
      <c r="A57721" s="1" t="n">
        <v>57720</v>
      </c>
      <c r="B57721">
        <f>TEXT(57720, "[$-0E0000]yyyy-mm-dd")</f>
        <v/>
      </c>
      <c r="C57721" t="inlineStr">
        <is>
          <t>2057-12-17</t>
        </is>
      </c>
    </row>
    <row r="57722">
      <c r="A57722" s="1" t="n">
        <v>57721</v>
      </c>
      <c r="B57722">
        <f>TEXT(57721, "[$-0E0000]yyyy-mm-dd")</f>
        <v/>
      </c>
      <c r="C57722" t="inlineStr">
        <is>
          <t>2057-12-18</t>
        </is>
      </c>
    </row>
    <row r="57723">
      <c r="A57723" s="1" t="n">
        <v>57722</v>
      </c>
      <c r="B57723">
        <f>TEXT(57722, "[$-0E0000]yyyy-mm-dd")</f>
        <v/>
      </c>
      <c r="C57723" t="inlineStr">
        <is>
          <t>2057-12-19</t>
        </is>
      </c>
    </row>
    <row r="57724">
      <c r="A57724" s="1" t="n">
        <v>57723</v>
      </c>
      <c r="B57724">
        <f>TEXT(57723, "[$-0E0000]yyyy-mm-dd")</f>
        <v/>
      </c>
      <c r="C57724" t="inlineStr">
        <is>
          <t>2057-12-20</t>
        </is>
      </c>
    </row>
    <row r="57725">
      <c r="A57725" s="1" t="n">
        <v>57724</v>
      </c>
      <c r="B57725">
        <f>TEXT(57724, "[$-0E0000]yyyy-mm-dd")</f>
        <v/>
      </c>
      <c r="C57725" t="inlineStr">
        <is>
          <t>2057-12-21</t>
        </is>
      </c>
    </row>
    <row r="57726">
      <c r="A57726" s="1" t="n">
        <v>57725</v>
      </c>
      <c r="B57726">
        <f>TEXT(57725, "[$-0E0000]yyyy-mm-dd")</f>
        <v/>
      </c>
      <c r="C57726" t="inlineStr">
        <is>
          <t>2057-12-22</t>
        </is>
      </c>
    </row>
    <row r="57727">
      <c r="A57727" s="1" t="n">
        <v>57726</v>
      </c>
      <c r="B57727">
        <f>TEXT(57726, "[$-0E0000]yyyy-mm-dd")</f>
        <v/>
      </c>
      <c r="C57727" t="inlineStr">
        <is>
          <t>2057-12-23</t>
        </is>
      </c>
    </row>
    <row r="57728">
      <c r="A57728" s="1" t="n">
        <v>57727</v>
      </c>
      <c r="B57728">
        <f>TEXT(57727, "[$-0E0000]yyyy-mm-dd")</f>
        <v/>
      </c>
      <c r="C57728" t="inlineStr">
        <is>
          <t>2057-12-24</t>
        </is>
      </c>
    </row>
    <row r="57729">
      <c r="A57729" s="1" t="n">
        <v>57728</v>
      </c>
      <c r="B57729">
        <f>TEXT(57728, "[$-0E0000]yyyy-mm-dd")</f>
        <v/>
      </c>
      <c r="C57729" t="inlineStr">
        <is>
          <t>2057-12-25</t>
        </is>
      </c>
    </row>
    <row r="57730">
      <c r="A57730" s="1" t="n">
        <v>57729</v>
      </c>
      <c r="B57730">
        <f>TEXT(57729, "[$-0E0000]yyyy-mm-dd")</f>
        <v/>
      </c>
      <c r="C57730" t="inlineStr">
        <is>
          <t>2057-12-26</t>
        </is>
      </c>
    </row>
    <row r="57731">
      <c r="A57731" s="1" t="n">
        <v>57730</v>
      </c>
      <c r="B57731">
        <f>TEXT(57730, "[$-0E0000]yyyy-mm-dd")</f>
        <v/>
      </c>
      <c r="C57731" t="inlineStr">
        <is>
          <t>2057-12-27</t>
        </is>
      </c>
    </row>
    <row r="57732">
      <c r="A57732" s="1" t="n">
        <v>57731</v>
      </c>
      <c r="B57732">
        <f>TEXT(57731, "[$-0E0000]yyyy-mm-dd")</f>
        <v/>
      </c>
      <c r="C57732" t="inlineStr">
        <is>
          <t>2057-12-28</t>
        </is>
      </c>
    </row>
    <row r="57733">
      <c r="A57733" s="1" t="n">
        <v>57732</v>
      </c>
      <c r="B57733">
        <f>TEXT(57732, "[$-0E0000]yyyy-mm-dd")</f>
        <v/>
      </c>
      <c r="C57733" t="inlineStr">
        <is>
          <t>2057-12-29</t>
        </is>
      </c>
    </row>
    <row r="57734">
      <c r="A57734" s="1" t="n">
        <v>57733</v>
      </c>
      <c r="B57734">
        <f>TEXT(57733, "[$-0E0000]yyyy-mm-dd")</f>
        <v/>
      </c>
      <c r="C57734" t="inlineStr">
        <is>
          <t>2058-01-01</t>
        </is>
      </c>
    </row>
    <row r="57735">
      <c r="A57735" s="1" t="n">
        <v>57734</v>
      </c>
      <c r="B57735">
        <f>TEXT(57734, "[$-0E0000]yyyy-mm-dd")</f>
        <v/>
      </c>
      <c r="C57735" t="inlineStr">
        <is>
          <t>2058-01-02</t>
        </is>
      </c>
    </row>
    <row r="57736">
      <c r="A57736" s="1" t="n">
        <v>57735</v>
      </c>
      <c r="B57736">
        <f>TEXT(57735, "[$-0E0000]yyyy-mm-dd")</f>
        <v/>
      </c>
      <c r="C57736" t="inlineStr">
        <is>
          <t>2058-01-03</t>
        </is>
      </c>
    </row>
    <row r="57737">
      <c r="A57737" s="1" t="n">
        <v>57736</v>
      </c>
      <c r="B57737">
        <f>TEXT(57736, "[$-0E0000]yyyy-mm-dd")</f>
        <v/>
      </c>
      <c r="C57737" t="inlineStr">
        <is>
          <t>2058-01-04</t>
        </is>
      </c>
    </row>
    <row r="57738">
      <c r="A57738" s="1" t="n">
        <v>57737</v>
      </c>
      <c r="B57738">
        <f>TEXT(57737, "[$-0E0000]yyyy-mm-dd")</f>
        <v/>
      </c>
      <c r="C57738" t="inlineStr">
        <is>
          <t>2058-01-05</t>
        </is>
      </c>
    </row>
    <row r="57739">
      <c r="A57739" s="1" t="n">
        <v>57738</v>
      </c>
      <c r="B57739">
        <f>TEXT(57738, "[$-0E0000]yyyy-mm-dd")</f>
        <v/>
      </c>
      <c r="C57739" t="inlineStr">
        <is>
          <t>2058-01-06</t>
        </is>
      </c>
    </row>
    <row r="57740">
      <c r="A57740" s="1" t="n">
        <v>57739</v>
      </c>
      <c r="B57740">
        <f>TEXT(57739, "[$-0E0000]yyyy-mm-dd")</f>
        <v/>
      </c>
      <c r="C57740" t="inlineStr">
        <is>
          <t>2058-01-07</t>
        </is>
      </c>
    </row>
    <row r="57741">
      <c r="A57741" s="1" t="n">
        <v>57740</v>
      </c>
      <c r="B57741">
        <f>TEXT(57740, "[$-0E0000]yyyy-mm-dd")</f>
        <v/>
      </c>
      <c r="C57741" t="inlineStr">
        <is>
          <t>2058-01-08</t>
        </is>
      </c>
    </row>
    <row r="57742">
      <c r="A57742" s="1" t="n">
        <v>57741</v>
      </c>
      <c r="B57742">
        <f>TEXT(57741, "[$-0E0000]yyyy-mm-dd")</f>
        <v/>
      </c>
      <c r="C57742" t="inlineStr">
        <is>
          <t>2058-01-09</t>
        </is>
      </c>
    </row>
    <row r="57743">
      <c r="A57743" s="1" t="n">
        <v>57742</v>
      </c>
      <c r="B57743">
        <f>TEXT(57742, "[$-0E0000]yyyy-mm-dd")</f>
        <v/>
      </c>
      <c r="C57743" t="inlineStr">
        <is>
          <t>2058-01-10</t>
        </is>
      </c>
    </row>
    <row r="57744">
      <c r="A57744" s="1" t="n">
        <v>57743</v>
      </c>
      <c r="B57744">
        <f>TEXT(57743, "[$-0E0000]yyyy-mm-dd")</f>
        <v/>
      </c>
      <c r="C57744" t="inlineStr">
        <is>
          <t>2058-01-11</t>
        </is>
      </c>
    </row>
    <row r="57745">
      <c r="A57745" s="1" t="n">
        <v>57744</v>
      </c>
      <c r="B57745">
        <f>TEXT(57744, "[$-0E0000]yyyy-mm-dd")</f>
        <v/>
      </c>
      <c r="C57745" t="inlineStr">
        <is>
          <t>2058-01-12</t>
        </is>
      </c>
    </row>
    <row r="57746">
      <c r="A57746" s="1" t="n">
        <v>57745</v>
      </c>
      <c r="B57746">
        <f>TEXT(57745, "[$-0E0000]yyyy-mm-dd")</f>
        <v/>
      </c>
      <c r="C57746" t="inlineStr">
        <is>
          <t>2058-01-13</t>
        </is>
      </c>
    </row>
    <row r="57747">
      <c r="A57747" s="1" t="n">
        <v>57746</v>
      </c>
      <c r="B57747">
        <f>TEXT(57746, "[$-0E0000]yyyy-mm-dd")</f>
        <v/>
      </c>
      <c r="C57747" t="inlineStr">
        <is>
          <t>2058-01-14</t>
        </is>
      </c>
    </row>
    <row r="57748">
      <c r="A57748" s="1" t="n">
        <v>57747</v>
      </c>
      <c r="B57748">
        <f>TEXT(57747, "[$-0E0000]yyyy-mm-dd")</f>
        <v/>
      </c>
      <c r="C57748" t="inlineStr">
        <is>
          <t>2058-01-15</t>
        </is>
      </c>
    </row>
    <row r="57749">
      <c r="A57749" s="1" t="n">
        <v>57748</v>
      </c>
      <c r="B57749">
        <f>TEXT(57748, "[$-0E0000]yyyy-mm-dd")</f>
        <v/>
      </c>
      <c r="C57749" t="inlineStr">
        <is>
          <t>2058-01-16</t>
        </is>
      </c>
    </row>
    <row r="57750">
      <c r="A57750" s="1" t="n">
        <v>57749</v>
      </c>
      <c r="B57750">
        <f>TEXT(57749, "[$-0E0000]yyyy-mm-dd")</f>
        <v/>
      </c>
      <c r="C57750" t="inlineStr">
        <is>
          <t>2058-01-17</t>
        </is>
      </c>
    </row>
    <row r="57751">
      <c r="A57751" s="1" t="n">
        <v>57750</v>
      </c>
      <c r="B57751">
        <f>TEXT(57750, "[$-0E0000]yyyy-mm-dd")</f>
        <v/>
      </c>
      <c r="C57751" t="inlineStr">
        <is>
          <t>2058-01-18</t>
        </is>
      </c>
    </row>
    <row r="57752">
      <c r="A57752" s="1" t="n">
        <v>57751</v>
      </c>
      <c r="B57752">
        <f>TEXT(57751, "[$-0E0000]yyyy-mm-dd")</f>
        <v/>
      </c>
      <c r="C57752" t="inlineStr">
        <is>
          <t>2058-01-19</t>
        </is>
      </c>
    </row>
    <row r="57753">
      <c r="A57753" s="1" t="n">
        <v>57752</v>
      </c>
      <c r="B57753">
        <f>TEXT(57752, "[$-0E0000]yyyy-mm-dd")</f>
        <v/>
      </c>
      <c r="C57753" t="inlineStr">
        <is>
          <t>2058-01-20</t>
        </is>
      </c>
    </row>
    <row r="57754">
      <c r="A57754" s="1" t="n">
        <v>57753</v>
      </c>
      <c r="B57754">
        <f>TEXT(57753, "[$-0E0000]yyyy-mm-dd")</f>
        <v/>
      </c>
      <c r="C57754" t="inlineStr">
        <is>
          <t>2058-01-21</t>
        </is>
      </c>
    </row>
    <row r="57755">
      <c r="A57755" s="1" t="n">
        <v>57754</v>
      </c>
      <c r="B57755">
        <f>TEXT(57754, "[$-0E0000]yyyy-mm-dd")</f>
        <v/>
      </c>
      <c r="C57755" t="inlineStr">
        <is>
          <t>2058-01-22</t>
        </is>
      </c>
    </row>
    <row r="57756">
      <c r="A57756" s="1" t="n">
        <v>57755</v>
      </c>
      <c r="B57756">
        <f>TEXT(57755, "[$-0E0000]yyyy-mm-dd")</f>
        <v/>
      </c>
      <c r="C57756" t="inlineStr">
        <is>
          <t>2058-01-23</t>
        </is>
      </c>
    </row>
    <row r="57757">
      <c r="A57757" s="1" t="n">
        <v>57756</v>
      </c>
      <c r="B57757">
        <f>TEXT(57756, "[$-0E0000]yyyy-mm-dd")</f>
        <v/>
      </c>
      <c r="C57757" t="inlineStr">
        <is>
          <t>2058-01-24</t>
        </is>
      </c>
    </row>
    <row r="57758">
      <c r="A57758" s="1" t="n">
        <v>57757</v>
      </c>
      <c r="B57758">
        <f>TEXT(57757, "[$-0E0000]yyyy-mm-dd")</f>
        <v/>
      </c>
      <c r="C57758" t="inlineStr">
        <is>
          <t>2058-01-25</t>
        </is>
      </c>
    </row>
    <row r="57759">
      <c r="A57759" s="1" t="n">
        <v>57758</v>
      </c>
      <c r="B57759">
        <f>TEXT(57758, "[$-0E0000]yyyy-mm-dd")</f>
        <v/>
      </c>
      <c r="C57759" t="inlineStr">
        <is>
          <t>2058-01-26</t>
        </is>
      </c>
    </row>
    <row r="57760">
      <c r="A57760" s="1" t="n">
        <v>57759</v>
      </c>
      <c r="B57760">
        <f>TEXT(57759, "[$-0E0000]yyyy-mm-dd")</f>
        <v/>
      </c>
      <c r="C57760" t="inlineStr">
        <is>
          <t>2058-01-27</t>
        </is>
      </c>
    </row>
    <row r="57761">
      <c r="A57761" s="1" t="n">
        <v>57760</v>
      </c>
      <c r="B57761">
        <f>TEXT(57760, "[$-0E0000]yyyy-mm-dd")</f>
        <v/>
      </c>
      <c r="C57761" t="inlineStr">
        <is>
          <t>2058-01-28</t>
        </is>
      </c>
    </row>
    <row r="57762">
      <c r="A57762" s="1" t="n">
        <v>57761</v>
      </c>
      <c r="B57762">
        <f>TEXT(57761, "[$-0E0000]yyyy-mm-dd")</f>
        <v/>
      </c>
      <c r="C57762" t="inlineStr">
        <is>
          <t>2058-01-29</t>
        </is>
      </c>
    </row>
    <row r="57763">
      <c r="A57763" s="1" t="n">
        <v>57762</v>
      </c>
      <c r="B57763">
        <f>TEXT(57762, "[$-0E0000]yyyy-mm-dd")</f>
        <v/>
      </c>
      <c r="C57763" t="inlineStr">
        <is>
          <t>2058-01-30</t>
        </is>
      </c>
    </row>
    <row r="57764">
      <c r="A57764" s="1" t="n">
        <v>57763</v>
      </c>
      <c r="B57764">
        <f>TEXT(57763, "[$-0E0000]yyyy-mm-dd")</f>
        <v/>
      </c>
      <c r="C57764" t="inlineStr">
        <is>
          <t>2058-02-01</t>
        </is>
      </c>
    </row>
    <row r="57765">
      <c r="A57765" s="1" t="n">
        <v>57764</v>
      </c>
      <c r="B57765">
        <f>TEXT(57764, "[$-0E0000]yyyy-mm-dd")</f>
        <v/>
      </c>
      <c r="C57765" t="inlineStr">
        <is>
          <t>2058-02-02</t>
        </is>
      </c>
    </row>
    <row r="57766">
      <c r="A57766" s="1" t="n">
        <v>57765</v>
      </c>
      <c r="B57766">
        <f>TEXT(57765, "[$-0E0000]yyyy-mm-dd")</f>
        <v/>
      </c>
      <c r="C57766" t="inlineStr">
        <is>
          <t>2058-02-03</t>
        </is>
      </c>
    </row>
    <row r="57767">
      <c r="A57767" s="1" t="n">
        <v>57766</v>
      </c>
      <c r="B57767">
        <f>TEXT(57766, "[$-0E0000]yyyy-mm-dd")</f>
        <v/>
      </c>
      <c r="C57767" t="inlineStr">
        <is>
          <t>2058-02-04</t>
        </is>
      </c>
    </row>
    <row r="57768">
      <c r="A57768" s="1" t="n">
        <v>57767</v>
      </c>
      <c r="B57768">
        <f>TEXT(57767, "[$-0E0000]yyyy-mm-dd")</f>
        <v/>
      </c>
      <c r="C57768" t="inlineStr">
        <is>
          <t>2058-02-05</t>
        </is>
      </c>
    </row>
    <row r="57769">
      <c r="A57769" s="1" t="n">
        <v>57768</v>
      </c>
      <c r="B57769">
        <f>TEXT(57768, "[$-0E0000]yyyy-mm-dd")</f>
        <v/>
      </c>
      <c r="C57769" t="inlineStr">
        <is>
          <t>2058-02-06</t>
        </is>
      </c>
    </row>
    <row r="57770">
      <c r="A57770" s="1" t="n">
        <v>57769</v>
      </c>
      <c r="B57770">
        <f>TEXT(57769, "[$-0E0000]yyyy-mm-dd")</f>
        <v/>
      </c>
      <c r="C57770" t="inlineStr">
        <is>
          <t>2058-02-07</t>
        </is>
      </c>
    </row>
    <row r="57771">
      <c r="A57771" s="1" t="n">
        <v>57770</v>
      </c>
      <c r="B57771">
        <f>TEXT(57770, "[$-0E0000]yyyy-mm-dd")</f>
        <v/>
      </c>
      <c r="C57771" t="inlineStr">
        <is>
          <t>2058-02-08</t>
        </is>
      </c>
    </row>
    <row r="57772">
      <c r="A57772" s="1" t="n">
        <v>57771</v>
      </c>
      <c r="B57772">
        <f>TEXT(57771, "[$-0E0000]yyyy-mm-dd")</f>
        <v/>
      </c>
      <c r="C57772" t="inlineStr">
        <is>
          <t>2058-02-09</t>
        </is>
      </c>
    </row>
    <row r="57773">
      <c r="A57773" s="1" t="n">
        <v>57772</v>
      </c>
      <c r="B57773">
        <f>TEXT(57772, "[$-0E0000]yyyy-mm-dd")</f>
        <v/>
      </c>
      <c r="C57773" t="inlineStr">
        <is>
          <t>2058-02-10</t>
        </is>
      </c>
    </row>
    <row r="57774">
      <c r="A57774" s="1" t="n">
        <v>57773</v>
      </c>
      <c r="B57774">
        <f>TEXT(57773, "[$-0E0000]yyyy-mm-dd")</f>
        <v/>
      </c>
      <c r="C57774" t="inlineStr">
        <is>
          <t>2058-02-11</t>
        </is>
      </c>
    </row>
    <row r="57775">
      <c r="A57775" s="1" t="n">
        <v>57774</v>
      </c>
      <c r="B57775">
        <f>TEXT(57774, "[$-0E0000]yyyy-mm-dd")</f>
        <v/>
      </c>
      <c r="C57775" t="inlineStr">
        <is>
          <t>2058-02-12</t>
        </is>
      </c>
    </row>
    <row r="57776">
      <c r="A57776" s="1" t="n">
        <v>57775</v>
      </c>
      <c r="B57776">
        <f>TEXT(57775, "[$-0E0000]yyyy-mm-dd")</f>
        <v/>
      </c>
      <c r="C57776" t="inlineStr">
        <is>
          <t>2058-02-13</t>
        </is>
      </c>
    </row>
    <row r="57777">
      <c r="A57777" s="1" t="n">
        <v>57776</v>
      </c>
      <c r="B57777">
        <f>TEXT(57776, "[$-0E0000]yyyy-mm-dd")</f>
        <v/>
      </c>
      <c r="C57777" t="inlineStr">
        <is>
          <t>2058-02-14</t>
        </is>
      </c>
    </row>
    <row r="57778">
      <c r="A57778" s="1" t="n">
        <v>57777</v>
      </c>
      <c r="B57778">
        <f>TEXT(57777, "[$-0E0000]yyyy-mm-dd")</f>
        <v/>
      </c>
      <c r="C57778" t="inlineStr">
        <is>
          <t>2058-02-15</t>
        </is>
      </c>
    </row>
    <row r="57779">
      <c r="A57779" s="1" t="n">
        <v>57778</v>
      </c>
      <c r="B57779">
        <f>TEXT(57778, "[$-0E0000]yyyy-mm-dd")</f>
        <v/>
      </c>
      <c r="C57779" t="inlineStr">
        <is>
          <t>2058-02-16</t>
        </is>
      </c>
    </row>
    <row r="57780">
      <c r="A57780" s="1" t="n">
        <v>57779</v>
      </c>
      <c r="B57780">
        <f>TEXT(57779, "[$-0E0000]yyyy-mm-dd")</f>
        <v/>
      </c>
      <c r="C57780" t="inlineStr">
        <is>
          <t>2058-02-17</t>
        </is>
      </c>
    </row>
    <row r="57781">
      <c r="A57781" s="1" t="n">
        <v>57780</v>
      </c>
      <c r="B57781">
        <f>TEXT(57780, "[$-0E0000]yyyy-mm-dd")</f>
        <v/>
      </c>
      <c r="C57781" t="inlineStr">
        <is>
          <t>2058-02-18</t>
        </is>
      </c>
    </row>
    <row r="57782">
      <c r="A57782" s="1" t="n">
        <v>57781</v>
      </c>
      <c r="B57782">
        <f>TEXT(57781, "[$-0E0000]yyyy-mm-dd")</f>
        <v/>
      </c>
      <c r="C57782" t="inlineStr">
        <is>
          <t>2058-02-19</t>
        </is>
      </c>
    </row>
    <row r="57783">
      <c r="A57783" s="1" t="n">
        <v>57782</v>
      </c>
      <c r="B57783">
        <f>TEXT(57782, "[$-0E0000]yyyy-mm-dd")</f>
        <v/>
      </c>
      <c r="C57783" t="inlineStr">
        <is>
          <t>2058-02-20</t>
        </is>
      </c>
    </row>
    <row r="57784">
      <c r="A57784" s="1" t="n">
        <v>57783</v>
      </c>
      <c r="B57784">
        <f>TEXT(57783, "[$-0E0000]yyyy-mm-dd")</f>
        <v/>
      </c>
      <c r="C57784" t="inlineStr">
        <is>
          <t>2058-02-21</t>
        </is>
      </c>
    </row>
    <row r="57785">
      <c r="A57785" s="1" t="n">
        <v>57784</v>
      </c>
      <c r="B57785">
        <f>TEXT(57784, "[$-0E0000]yyyy-mm-dd")</f>
        <v/>
      </c>
      <c r="C57785" t="inlineStr">
        <is>
          <t>2058-02-22</t>
        </is>
      </c>
    </row>
    <row r="57786">
      <c r="A57786" s="1" t="n">
        <v>57785</v>
      </c>
      <c r="B57786">
        <f>TEXT(57785, "[$-0E0000]yyyy-mm-dd")</f>
        <v/>
      </c>
      <c r="C57786" t="inlineStr">
        <is>
          <t>2058-02-23</t>
        </is>
      </c>
    </row>
    <row r="57787">
      <c r="A57787" s="1" t="n">
        <v>57786</v>
      </c>
      <c r="B57787">
        <f>TEXT(57786, "[$-0E0000]yyyy-mm-dd")</f>
        <v/>
      </c>
      <c r="C57787" t="inlineStr">
        <is>
          <t>2058-02-24</t>
        </is>
      </c>
    </row>
    <row r="57788">
      <c r="A57788" s="1" t="n">
        <v>57787</v>
      </c>
      <c r="B57788">
        <f>TEXT(57787, "[$-0E0000]yyyy-mm-dd")</f>
        <v/>
      </c>
      <c r="C57788" t="inlineStr">
        <is>
          <t>2058-02-25</t>
        </is>
      </c>
    </row>
    <row r="57789">
      <c r="A57789" s="1" t="n">
        <v>57788</v>
      </c>
      <c r="B57789">
        <f>TEXT(57788, "[$-0E0000]yyyy-mm-dd")</f>
        <v/>
      </c>
      <c r="C57789" t="inlineStr">
        <is>
          <t>2058-02-26</t>
        </is>
      </c>
    </row>
    <row r="57790">
      <c r="A57790" s="1" t="n">
        <v>57789</v>
      </c>
      <c r="B57790">
        <f>TEXT(57789, "[$-0E0000]yyyy-mm-dd")</f>
        <v/>
      </c>
      <c r="C57790" t="inlineStr">
        <is>
          <t>2058-02-27</t>
        </is>
      </c>
    </row>
    <row r="57791">
      <c r="A57791" s="1" t="n">
        <v>57790</v>
      </c>
      <c r="B57791">
        <f>TEXT(57790, "[$-0E0000]yyyy-mm-dd")</f>
        <v/>
      </c>
      <c r="C57791" t="inlineStr">
        <is>
          <t>2058-02-28</t>
        </is>
      </c>
    </row>
    <row r="57792">
      <c r="A57792" s="1" t="n">
        <v>57791</v>
      </c>
      <c r="B57792">
        <f>TEXT(57791, "[$-0E0000]yyyy-mm-dd")</f>
        <v/>
      </c>
      <c r="C57792" t="inlineStr">
        <is>
          <t>2058-02-29</t>
        </is>
      </c>
    </row>
    <row r="57793">
      <c r="A57793" s="1" t="n">
        <v>57792</v>
      </c>
      <c r="B57793">
        <f>TEXT(57792, "[$-0E0000]yyyy-mm-dd")</f>
        <v/>
      </c>
      <c r="C57793" t="inlineStr">
        <is>
          <t>2058-03-01</t>
        </is>
      </c>
    </row>
    <row r="57794">
      <c r="A57794" s="1" t="n">
        <v>57793</v>
      </c>
      <c r="B57794">
        <f>TEXT(57793, "[$-0E0000]yyyy-mm-dd")</f>
        <v/>
      </c>
      <c r="C57794" t="inlineStr">
        <is>
          <t>2058-03-02</t>
        </is>
      </c>
    </row>
    <row r="57795">
      <c r="A57795" s="1" t="n">
        <v>57794</v>
      </c>
      <c r="B57795">
        <f>TEXT(57794, "[$-0E0000]yyyy-mm-dd")</f>
        <v/>
      </c>
      <c r="C57795" t="inlineStr">
        <is>
          <t>2058-03-03</t>
        </is>
      </c>
    </row>
    <row r="57796">
      <c r="A57796" s="1" t="n">
        <v>57795</v>
      </c>
      <c r="B57796">
        <f>TEXT(57795, "[$-0E0000]yyyy-mm-dd")</f>
        <v/>
      </c>
      <c r="C57796" t="inlineStr">
        <is>
          <t>2058-03-04</t>
        </is>
      </c>
    </row>
    <row r="57797">
      <c r="A57797" s="1" t="n">
        <v>57796</v>
      </c>
      <c r="B57797">
        <f>TEXT(57796, "[$-0E0000]yyyy-mm-dd")</f>
        <v/>
      </c>
      <c r="C57797" t="inlineStr">
        <is>
          <t>2058-03-05</t>
        </is>
      </c>
    </row>
    <row r="57798">
      <c r="A57798" s="1" t="n">
        <v>57797</v>
      </c>
      <c r="B57798">
        <f>TEXT(57797, "[$-0E0000]yyyy-mm-dd")</f>
        <v/>
      </c>
      <c r="C57798" t="inlineStr">
        <is>
          <t>2058-03-06</t>
        </is>
      </c>
    </row>
    <row r="57799">
      <c r="A57799" s="1" t="n">
        <v>57798</v>
      </c>
      <c r="B57799">
        <f>TEXT(57798, "[$-0E0000]yyyy-mm-dd")</f>
        <v/>
      </c>
      <c r="C57799" t="inlineStr">
        <is>
          <t>2058-03-07</t>
        </is>
      </c>
    </row>
    <row r="57800">
      <c r="A57800" s="1" t="n">
        <v>57799</v>
      </c>
      <c r="B57800">
        <f>TEXT(57799, "[$-0E0000]yyyy-mm-dd")</f>
        <v/>
      </c>
      <c r="C57800" t="inlineStr">
        <is>
          <t>2058-03-08</t>
        </is>
      </c>
    </row>
    <row r="57801">
      <c r="A57801" s="1" t="n">
        <v>57800</v>
      </c>
      <c r="B57801">
        <f>TEXT(57800, "[$-0E0000]yyyy-mm-dd")</f>
        <v/>
      </c>
      <c r="C57801" t="inlineStr">
        <is>
          <t>2058-03-09</t>
        </is>
      </c>
    </row>
    <row r="57802">
      <c r="A57802" s="1" t="n">
        <v>57801</v>
      </c>
      <c r="B57802">
        <f>TEXT(57801, "[$-0E0000]yyyy-mm-dd")</f>
        <v/>
      </c>
      <c r="C57802" t="inlineStr">
        <is>
          <t>2058-03-10</t>
        </is>
      </c>
    </row>
    <row r="57803">
      <c r="A57803" s="1" t="n">
        <v>57802</v>
      </c>
      <c r="B57803">
        <f>TEXT(57802, "[$-0E0000]yyyy-mm-dd")</f>
        <v/>
      </c>
      <c r="C57803" t="inlineStr">
        <is>
          <t>2058-03-11</t>
        </is>
      </c>
    </row>
    <row r="57804">
      <c r="A57804" s="1" t="n">
        <v>57803</v>
      </c>
      <c r="B57804">
        <f>TEXT(57803, "[$-0E0000]yyyy-mm-dd")</f>
        <v/>
      </c>
      <c r="C57804" t="inlineStr">
        <is>
          <t>2058-03-12</t>
        </is>
      </c>
    </row>
    <row r="57805">
      <c r="A57805" s="1" t="n">
        <v>57804</v>
      </c>
      <c r="B57805">
        <f>TEXT(57804, "[$-0E0000]yyyy-mm-dd")</f>
        <v/>
      </c>
      <c r="C57805" t="inlineStr">
        <is>
          <t>2058-03-13</t>
        </is>
      </c>
    </row>
    <row r="57806">
      <c r="A57806" s="1" t="n">
        <v>57805</v>
      </c>
      <c r="B57806">
        <f>TEXT(57805, "[$-0E0000]yyyy-mm-dd")</f>
        <v/>
      </c>
      <c r="C57806" t="inlineStr">
        <is>
          <t>2058-03-14</t>
        </is>
      </c>
    </row>
    <row r="57807">
      <c r="A57807" s="1" t="n">
        <v>57806</v>
      </c>
      <c r="B57807">
        <f>TEXT(57806, "[$-0E0000]yyyy-mm-dd")</f>
        <v/>
      </c>
      <c r="C57807" t="inlineStr">
        <is>
          <t>2058-03-15</t>
        </is>
      </c>
    </row>
    <row r="57808">
      <c r="A57808" s="1" t="n">
        <v>57807</v>
      </c>
      <c r="B57808">
        <f>TEXT(57807, "[$-0E0000]yyyy-mm-dd")</f>
        <v/>
      </c>
      <c r="C57808" t="inlineStr">
        <is>
          <t>2058-03-16</t>
        </is>
      </c>
    </row>
    <row r="57809">
      <c r="A57809" s="1" t="n">
        <v>57808</v>
      </c>
      <c r="B57809">
        <f>TEXT(57808, "[$-0E0000]yyyy-mm-dd")</f>
        <v/>
      </c>
      <c r="C57809" t="inlineStr">
        <is>
          <t>2058-03-17</t>
        </is>
      </c>
    </row>
    <row r="57810">
      <c r="A57810" s="1" t="n">
        <v>57809</v>
      </c>
      <c r="B57810">
        <f>TEXT(57809, "[$-0E0000]yyyy-mm-dd")</f>
        <v/>
      </c>
      <c r="C57810" t="inlineStr">
        <is>
          <t>2058-03-18</t>
        </is>
      </c>
    </row>
    <row r="57811">
      <c r="A57811" s="1" t="n">
        <v>57810</v>
      </c>
      <c r="B57811">
        <f>TEXT(57810, "[$-0E0000]yyyy-mm-dd")</f>
        <v/>
      </c>
      <c r="C57811" t="inlineStr">
        <is>
          <t>2058-03-19</t>
        </is>
      </c>
    </row>
    <row r="57812">
      <c r="A57812" s="1" t="n">
        <v>57811</v>
      </c>
      <c r="B57812">
        <f>TEXT(57811, "[$-0E0000]yyyy-mm-dd")</f>
        <v/>
      </c>
      <c r="C57812" t="inlineStr">
        <is>
          <t>2058-03-20</t>
        </is>
      </c>
    </row>
    <row r="57813">
      <c r="A57813" s="1" t="n">
        <v>57812</v>
      </c>
      <c r="B57813">
        <f>TEXT(57812, "[$-0E0000]yyyy-mm-dd")</f>
        <v/>
      </c>
      <c r="C57813" t="inlineStr">
        <is>
          <t>2058-03-21</t>
        </is>
      </c>
    </row>
    <row r="57814">
      <c r="A57814" s="1" t="n">
        <v>57813</v>
      </c>
      <c r="B57814">
        <f>TEXT(57813, "[$-0E0000]yyyy-mm-dd")</f>
        <v/>
      </c>
      <c r="C57814" t="inlineStr">
        <is>
          <t>2058-03-22</t>
        </is>
      </c>
    </row>
    <row r="57815">
      <c r="A57815" s="1" t="n">
        <v>57814</v>
      </c>
      <c r="B57815">
        <f>TEXT(57814, "[$-0E0000]yyyy-mm-dd")</f>
        <v/>
      </c>
      <c r="C57815" t="inlineStr">
        <is>
          <t>2058-03-23</t>
        </is>
      </c>
    </row>
    <row r="57816">
      <c r="A57816" s="1" t="n">
        <v>57815</v>
      </c>
      <c r="B57816">
        <f>TEXT(57815, "[$-0E0000]yyyy-mm-dd")</f>
        <v/>
      </c>
      <c r="C57816" t="inlineStr">
        <is>
          <t>2058-03-24</t>
        </is>
      </c>
    </row>
    <row r="57817">
      <c r="A57817" s="1" t="n">
        <v>57816</v>
      </c>
      <c r="B57817">
        <f>TEXT(57816, "[$-0E0000]yyyy-mm-dd")</f>
        <v/>
      </c>
      <c r="C57817" t="inlineStr">
        <is>
          <t>2058-03-25</t>
        </is>
      </c>
    </row>
    <row r="57818">
      <c r="A57818" s="1" t="n">
        <v>57817</v>
      </c>
      <c r="B57818">
        <f>TEXT(57817, "[$-0E0000]yyyy-mm-dd")</f>
        <v/>
      </c>
      <c r="C57818" t="inlineStr">
        <is>
          <t>2058-03-26</t>
        </is>
      </c>
    </row>
    <row r="57819">
      <c r="A57819" s="1" t="n">
        <v>57818</v>
      </c>
      <c r="B57819">
        <f>TEXT(57818, "[$-0E0000]yyyy-mm-dd")</f>
        <v/>
      </c>
      <c r="C57819" t="inlineStr">
        <is>
          <t>2058-03-27</t>
        </is>
      </c>
    </row>
    <row r="57820">
      <c r="A57820" s="1" t="n">
        <v>57819</v>
      </c>
      <c r="B57820">
        <f>TEXT(57819, "[$-0E0000]yyyy-mm-dd")</f>
        <v/>
      </c>
      <c r="C57820" t="inlineStr">
        <is>
          <t>2058-03-28</t>
        </is>
      </c>
    </row>
    <row r="57821">
      <c r="A57821" s="1" t="n">
        <v>57820</v>
      </c>
      <c r="B57821">
        <f>TEXT(57820, "[$-0E0000]yyyy-mm-dd")</f>
        <v/>
      </c>
      <c r="C57821" t="inlineStr">
        <is>
          <t>2058-03-29</t>
        </is>
      </c>
    </row>
    <row r="57822">
      <c r="A57822" s="1" t="n">
        <v>57821</v>
      </c>
      <c r="B57822">
        <f>TEXT(57821, "[$-0E0000]yyyy-mm-dd")</f>
        <v/>
      </c>
      <c r="C57822" t="inlineStr">
        <is>
          <t>2058-03-30</t>
        </is>
      </c>
    </row>
    <row r="57823">
      <c r="A57823" s="1" t="n">
        <v>57822</v>
      </c>
      <c r="B57823">
        <f>TEXT(57822, "[$-0E0000]yyyy-mm-dd")</f>
        <v/>
      </c>
      <c r="C57823" t="inlineStr">
        <is>
          <t>2058-04-01</t>
        </is>
      </c>
    </row>
    <row r="57824">
      <c r="A57824" s="1" t="n">
        <v>57823</v>
      </c>
      <c r="B57824">
        <f>TEXT(57823, "[$-0E0000]yyyy-mm-dd")</f>
        <v/>
      </c>
      <c r="C57824" t="inlineStr">
        <is>
          <t>2058-04-02</t>
        </is>
      </c>
    </row>
    <row r="57825">
      <c r="A57825" s="1" t="n">
        <v>57824</v>
      </c>
      <c r="B57825">
        <f>TEXT(57824, "[$-0E0000]yyyy-mm-dd")</f>
        <v/>
      </c>
      <c r="C57825" t="inlineStr">
        <is>
          <t>2058-04-03</t>
        </is>
      </c>
    </row>
    <row r="57826">
      <c r="A57826" s="1" t="n">
        <v>57825</v>
      </c>
      <c r="B57826">
        <f>TEXT(57825, "[$-0E0000]yyyy-mm-dd")</f>
        <v/>
      </c>
      <c r="C57826" t="inlineStr">
        <is>
          <t>2058-04-04</t>
        </is>
      </c>
    </row>
    <row r="57827">
      <c r="A57827" s="1" t="n">
        <v>57826</v>
      </c>
      <c r="B57827">
        <f>TEXT(57826, "[$-0E0000]yyyy-mm-dd")</f>
        <v/>
      </c>
      <c r="C57827" t="inlineStr">
        <is>
          <t>2058-04-05</t>
        </is>
      </c>
    </row>
    <row r="57828">
      <c r="A57828" s="1" t="n">
        <v>57827</v>
      </c>
      <c r="B57828">
        <f>TEXT(57827, "[$-0E0000]yyyy-mm-dd")</f>
        <v/>
      </c>
      <c r="C57828" t="inlineStr">
        <is>
          <t>2058-04-06</t>
        </is>
      </c>
    </row>
    <row r="57829">
      <c r="A57829" s="1" t="n">
        <v>57828</v>
      </c>
      <c r="B57829">
        <f>TEXT(57828, "[$-0E0000]yyyy-mm-dd")</f>
        <v/>
      </c>
      <c r="C57829" t="inlineStr">
        <is>
          <t>2058-04-07</t>
        </is>
      </c>
    </row>
    <row r="57830">
      <c r="A57830" s="1" t="n">
        <v>57829</v>
      </c>
      <c r="B57830">
        <f>TEXT(57829, "[$-0E0000]yyyy-mm-dd")</f>
        <v/>
      </c>
      <c r="C57830" t="inlineStr">
        <is>
          <t>2058-04-08</t>
        </is>
      </c>
    </row>
    <row r="57831">
      <c r="A57831" s="1" t="n">
        <v>57830</v>
      </c>
      <c r="B57831">
        <f>TEXT(57830, "[$-0E0000]yyyy-mm-dd")</f>
        <v/>
      </c>
      <c r="C57831" t="inlineStr">
        <is>
          <t>2058-04-09</t>
        </is>
      </c>
    </row>
    <row r="57832">
      <c r="A57832" s="1" t="n">
        <v>57831</v>
      </c>
      <c r="B57832">
        <f>TEXT(57831, "[$-0E0000]yyyy-mm-dd")</f>
        <v/>
      </c>
      <c r="C57832" t="inlineStr">
        <is>
          <t>2058-04-10</t>
        </is>
      </c>
    </row>
    <row r="57833">
      <c r="A57833" s="1" t="n">
        <v>57832</v>
      </c>
      <c r="B57833">
        <f>TEXT(57832, "[$-0E0000]yyyy-mm-dd")</f>
        <v/>
      </c>
      <c r="C57833" t="inlineStr">
        <is>
          <t>2058-04-11</t>
        </is>
      </c>
    </row>
    <row r="57834">
      <c r="A57834" s="1" t="n">
        <v>57833</v>
      </c>
      <c r="B57834">
        <f>TEXT(57833, "[$-0E0000]yyyy-mm-dd")</f>
        <v/>
      </c>
      <c r="C57834" t="inlineStr">
        <is>
          <t>2058-04-12</t>
        </is>
      </c>
    </row>
    <row r="57835">
      <c r="A57835" s="1" t="n">
        <v>57834</v>
      </c>
      <c r="B57835">
        <f>TEXT(57834, "[$-0E0000]yyyy-mm-dd")</f>
        <v/>
      </c>
      <c r="C57835" t="inlineStr">
        <is>
          <t>2058-04-13</t>
        </is>
      </c>
    </row>
    <row r="57836">
      <c r="A57836" s="1" t="n">
        <v>57835</v>
      </c>
      <c r="B57836">
        <f>TEXT(57835, "[$-0E0000]yyyy-mm-dd")</f>
        <v/>
      </c>
      <c r="C57836" t="inlineStr">
        <is>
          <t>2058-04-14</t>
        </is>
      </c>
    </row>
    <row r="57837">
      <c r="A57837" s="1" t="n">
        <v>57836</v>
      </c>
      <c r="B57837">
        <f>TEXT(57836, "[$-0E0000]yyyy-mm-dd")</f>
        <v/>
      </c>
      <c r="C57837" t="inlineStr">
        <is>
          <t>2058-04-15</t>
        </is>
      </c>
    </row>
    <row r="57838">
      <c r="A57838" s="1" t="n">
        <v>57837</v>
      </c>
      <c r="B57838">
        <f>TEXT(57837, "[$-0E0000]yyyy-mm-dd")</f>
        <v/>
      </c>
      <c r="C57838" t="inlineStr">
        <is>
          <t>2058-04-16</t>
        </is>
      </c>
    </row>
    <row r="57839">
      <c r="A57839" s="1" t="n">
        <v>57838</v>
      </c>
      <c r="B57839">
        <f>TEXT(57838, "[$-0E0000]yyyy-mm-dd")</f>
        <v/>
      </c>
      <c r="C57839" t="inlineStr">
        <is>
          <t>2058-04-17</t>
        </is>
      </c>
    </row>
    <row r="57840">
      <c r="A57840" s="1" t="n">
        <v>57839</v>
      </c>
      <c r="B57840">
        <f>TEXT(57839, "[$-0E0000]yyyy-mm-dd")</f>
        <v/>
      </c>
      <c r="C57840" t="inlineStr">
        <is>
          <t>2058-04-18</t>
        </is>
      </c>
    </row>
    <row r="57841">
      <c r="A57841" s="1" t="n">
        <v>57840</v>
      </c>
      <c r="B57841">
        <f>TEXT(57840, "[$-0E0000]yyyy-mm-dd")</f>
        <v/>
      </c>
      <c r="C57841" t="inlineStr">
        <is>
          <t>2058-04-19</t>
        </is>
      </c>
    </row>
    <row r="57842">
      <c r="A57842" s="1" t="n">
        <v>57841</v>
      </c>
      <c r="B57842">
        <f>TEXT(57841, "[$-0E0000]yyyy-mm-dd")</f>
        <v/>
      </c>
      <c r="C57842" t="inlineStr">
        <is>
          <t>2058-04-20</t>
        </is>
      </c>
    </row>
    <row r="57843">
      <c r="A57843" s="1" t="n">
        <v>57842</v>
      </c>
      <c r="B57843">
        <f>TEXT(57842, "[$-0E0000]yyyy-mm-dd")</f>
        <v/>
      </c>
      <c r="C57843" t="inlineStr">
        <is>
          <t>2058-04-21</t>
        </is>
      </c>
    </row>
    <row r="57844">
      <c r="A57844" s="1" t="n">
        <v>57843</v>
      </c>
      <c r="B57844">
        <f>TEXT(57843, "[$-0E0000]yyyy-mm-dd")</f>
        <v/>
      </c>
      <c r="C57844" t="inlineStr">
        <is>
          <t>2058-04-22</t>
        </is>
      </c>
    </row>
    <row r="57845">
      <c r="A57845" s="1" t="n">
        <v>57844</v>
      </c>
      <c r="B57845">
        <f>TEXT(57844, "[$-0E0000]yyyy-mm-dd")</f>
        <v/>
      </c>
      <c r="C57845" t="inlineStr">
        <is>
          <t>2058-04-23</t>
        </is>
      </c>
    </row>
    <row r="57846">
      <c r="A57846" s="1" t="n">
        <v>57845</v>
      </c>
      <c r="B57846">
        <f>TEXT(57845, "[$-0E0000]yyyy-mm-dd")</f>
        <v/>
      </c>
      <c r="C57846" t="inlineStr">
        <is>
          <t>2058-04-24</t>
        </is>
      </c>
    </row>
    <row r="57847">
      <c r="A57847" s="1" t="n">
        <v>57846</v>
      </c>
      <c r="B57847">
        <f>TEXT(57846, "[$-0E0000]yyyy-mm-dd")</f>
        <v/>
      </c>
      <c r="C57847" t="inlineStr">
        <is>
          <t>2058-04-25</t>
        </is>
      </c>
    </row>
    <row r="57848">
      <c r="A57848" s="1" t="n">
        <v>57847</v>
      </c>
      <c r="B57848">
        <f>TEXT(57847, "[$-0E0000]yyyy-mm-dd")</f>
        <v/>
      </c>
      <c r="C57848" t="inlineStr">
        <is>
          <t>2058-04-26</t>
        </is>
      </c>
    </row>
    <row r="57849">
      <c r="A57849" s="1" t="n">
        <v>57848</v>
      </c>
      <c r="B57849">
        <f>TEXT(57848, "[$-0E0000]yyyy-mm-dd")</f>
        <v/>
      </c>
      <c r="C57849" t="inlineStr">
        <is>
          <t>2058-04-27</t>
        </is>
      </c>
    </row>
    <row r="57850">
      <c r="A57850" s="1" t="n">
        <v>57849</v>
      </c>
      <c r="B57850">
        <f>TEXT(57849, "[$-0E0000]yyyy-mm-dd")</f>
        <v/>
      </c>
      <c r="C57850" t="inlineStr">
        <is>
          <t>2058-04-28</t>
        </is>
      </c>
    </row>
    <row r="57851">
      <c r="A57851" s="1" t="n">
        <v>57850</v>
      </c>
      <c r="B57851">
        <f>TEXT(57850, "[$-0E0000]yyyy-mm-dd")</f>
        <v/>
      </c>
      <c r="C57851" t="inlineStr">
        <is>
          <t>2058-04-29</t>
        </is>
      </c>
    </row>
    <row r="57852">
      <c r="A57852" s="1" t="n">
        <v>57851</v>
      </c>
      <c r="B57852">
        <f>TEXT(57851, "[$-0E0000]yyyy-mm-dd")</f>
        <v/>
      </c>
      <c r="C57852" t="inlineStr">
        <is>
          <t>2058-04-01</t>
        </is>
      </c>
    </row>
    <row r="57853">
      <c r="A57853" s="1" t="n">
        <v>57852</v>
      </c>
      <c r="B57853">
        <f>TEXT(57852, "[$-0E0000]yyyy-mm-dd")</f>
        <v/>
      </c>
      <c r="C57853" t="inlineStr">
        <is>
          <t>2058-04-02</t>
        </is>
      </c>
    </row>
    <row r="57854">
      <c r="A57854" s="1" t="n">
        <v>57853</v>
      </c>
      <c r="B57854">
        <f>TEXT(57853, "[$-0E0000]yyyy-mm-dd")</f>
        <v/>
      </c>
      <c r="C57854" t="inlineStr">
        <is>
          <t>2058-04-03</t>
        </is>
      </c>
    </row>
    <row r="57855">
      <c r="A57855" s="1" t="n">
        <v>57854</v>
      </c>
      <c r="B57855">
        <f>TEXT(57854, "[$-0E0000]yyyy-mm-dd")</f>
        <v/>
      </c>
      <c r="C57855" t="inlineStr">
        <is>
          <t>2058-04-04</t>
        </is>
      </c>
    </row>
    <row r="57856">
      <c r="A57856" s="1" t="n">
        <v>57855</v>
      </c>
      <c r="B57856">
        <f>TEXT(57855, "[$-0E0000]yyyy-mm-dd")</f>
        <v/>
      </c>
      <c r="C57856" t="inlineStr">
        <is>
          <t>2058-04-05</t>
        </is>
      </c>
    </row>
    <row r="57857">
      <c r="A57857" s="1" t="n">
        <v>57856</v>
      </c>
      <c r="B57857">
        <f>TEXT(57856, "[$-0E0000]yyyy-mm-dd")</f>
        <v/>
      </c>
      <c r="C57857" t="inlineStr">
        <is>
          <t>2058-04-06</t>
        </is>
      </c>
    </row>
    <row r="57858">
      <c r="A57858" s="1" t="n">
        <v>57857</v>
      </c>
      <c r="B57858">
        <f>TEXT(57857, "[$-0E0000]yyyy-mm-dd")</f>
        <v/>
      </c>
      <c r="C57858" t="inlineStr">
        <is>
          <t>2058-04-07</t>
        </is>
      </c>
    </row>
    <row r="57859">
      <c r="A57859" s="1" t="n">
        <v>57858</v>
      </c>
      <c r="B57859">
        <f>TEXT(57858, "[$-0E0000]yyyy-mm-dd")</f>
        <v/>
      </c>
      <c r="C57859" t="inlineStr">
        <is>
          <t>2058-04-08</t>
        </is>
      </c>
    </row>
    <row r="57860">
      <c r="A57860" s="1" t="n">
        <v>57859</v>
      </c>
      <c r="B57860">
        <f>TEXT(57859, "[$-0E0000]yyyy-mm-dd")</f>
        <v/>
      </c>
      <c r="C57860" t="inlineStr">
        <is>
          <t>2058-04-09</t>
        </is>
      </c>
    </row>
    <row r="57861">
      <c r="A57861" s="1" t="n">
        <v>57860</v>
      </c>
      <c r="B57861">
        <f>TEXT(57860, "[$-0E0000]yyyy-mm-dd")</f>
        <v/>
      </c>
      <c r="C57861" t="inlineStr">
        <is>
          <t>2058-04-10</t>
        </is>
      </c>
    </row>
    <row r="57862">
      <c r="A57862" s="1" t="n">
        <v>57861</v>
      </c>
      <c r="B57862">
        <f>TEXT(57861, "[$-0E0000]yyyy-mm-dd")</f>
        <v/>
      </c>
      <c r="C57862" t="inlineStr">
        <is>
          <t>2058-04-11</t>
        </is>
      </c>
    </row>
    <row r="57863">
      <c r="A57863" s="1" t="n">
        <v>57862</v>
      </c>
      <c r="B57863">
        <f>TEXT(57862, "[$-0E0000]yyyy-mm-dd")</f>
        <v/>
      </c>
      <c r="C57863" t="inlineStr">
        <is>
          <t>2058-04-12</t>
        </is>
      </c>
    </row>
    <row r="57864">
      <c r="A57864" s="1" t="n">
        <v>57863</v>
      </c>
      <c r="B57864">
        <f>TEXT(57863, "[$-0E0000]yyyy-mm-dd")</f>
        <v/>
      </c>
      <c r="C57864" t="inlineStr">
        <is>
          <t>2058-04-13</t>
        </is>
      </c>
    </row>
    <row r="57865">
      <c r="A57865" s="1" t="n">
        <v>57864</v>
      </c>
      <c r="B57865">
        <f>TEXT(57864, "[$-0E0000]yyyy-mm-dd")</f>
        <v/>
      </c>
      <c r="C57865" t="inlineStr">
        <is>
          <t>2058-04-14</t>
        </is>
      </c>
    </row>
    <row r="57866">
      <c r="A57866" s="1" t="n">
        <v>57865</v>
      </c>
      <c r="B57866">
        <f>TEXT(57865, "[$-0E0000]yyyy-mm-dd")</f>
        <v/>
      </c>
      <c r="C57866" t="inlineStr">
        <is>
          <t>2058-04-15</t>
        </is>
      </c>
    </row>
    <row r="57867">
      <c r="A57867" s="1" t="n">
        <v>57866</v>
      </c>
      <c r="B57867">
        <f>TEXT(57866, "[$-0E0000]yyyy-mm-dd")</f>
        <v/>
      </c>
      <c r="C57867" t="inlineStr">
        <is>
          <t>2058-04-16</t>
        </is>
      </c>
    </row>
    <row r="57868">
      <c r="A57868" s="1" t="n">
        <v>57867</v>
      </c>
      <c r="B57868">
        <f>TEXT(57867, "[$-0E0000]yyyy-mm-dd")</f>
        <v/>
      </c>
      <c r="C57868" t="inlineStr">
        <is>
          <t>2058-04-17</t>
        </is>
      </c>
    </row>
    <row r="57869">
      <c r="A57869" s="1" t="n">
        <v>57868</v>
      </c>
      <c r="B57869">
        <f>TEXT(57868, "[$-0E0000]yyyy-mm-dd")</f>
        <v/>
      </c>
      <c r="C57869" t="inlineStr">
        <is>
          <t>2058-04-18</t>
        </is>
      </c>
    </row>
    <row r="57870">
      <c r="A57870" s="1" t="n">
        <v>57869</v>
      </c>
      <c r="B57870">
        <f>TEXT(57869, "[$-0E0000]yyyy-mm-dd")</f>
        <v/>
      </c>
      <c r="C57870" t="inlineStr">
        <is>
          <t>2058-04-19</t>
        </is>
      </c>
    </row>
    <row r="57871">
      <c r="A57871" s="1" t="n">
        <v>57870</v>
      </c>
      <c r="B57871">
        <f>TEXT(57870, "[$-0E0000]yyyy-mm-dd")</f>
        <v/>
      </c>
      <c r="C57871" t="inlineStr">
        <is>
          <t>2058-04-20</t>
        </is>
      </c>
    </row>
    <row r="57872">
      <c r="A57872" s="1" t="n">
        <v>57871</v>
      </c>
      <c r="B57872">
        <f>TEXT(57871, "[$-0E0000]yyyy-mm-dd")</f>
        <v/>
      </c>
      <c r="C57872" t="inlineStr">
        <is>
          <t>2058-04-21</t>
        </is>
      </c>
    </row>
    <row r="57873">
      <c r="A57873" s="1" t="n">
        <v>57872</v>
      </c>
      <c r="B57873">
        <f>TEXT(57872, "[$-0E0000]yyyy-mm-dd")</f>
        <v/>
      </c>
      <c r="C57873" t="inlineStr">
        <is>
          <t>2058-04-22</t>
        </is>
      </c>
    </row>
    <row r="57874">
      <c r="A57874" s="1" t="n">
        <v>57873</v>
      </c>
      <c r="B57874">
        <f>TEXT(57873, "[$-0E0000]yyyy-mm-dd")</f>
        <v/>
      </c>
      <c r="C57874" t="inlineStr">
        <is>
          <t>2058-04-23</t>
        </is>
      </c>
    </row>
    <row r="57875">
      <c r="A57875" s="1" t="n">
        <v>57874</v>
      </c>
      <c r="B57875">
        <f>TEXT(57874, "[$-0E0000]yyyy-mm-dd")</f>
        <v/>
      </c>
      <c r="C57875" t="inlineStr">
        <is>
          <t>2058-04-24</t>
        </is>
      </c>
    </row>
    <row r="57876">
      <c r="A57876" s="1" t="n">
        <v>57875</v>
      </c>
      <c r="B57876">
        <f>TEXT(57875, "[$-0E0000]yyyy-mm-dd")</f>
        <v/>
      </c>
      <c r="C57876" t="inlineStr">
        <is>
          <t>2058-04-25</t>
        </is>
      </c>
    </row>
    <row r="57877">
      <c r="A57877" s="1" t="n">
        <v>57876</v>
      </c>
      <c r="B57877">
        <f>TEXT(57876, "[$-0E0000]yyyy-mm-dd")</f>
        <v/>
      </c>
      <c r="C57877" t="inlineStr">
        <is>
          <t>2058-04-26</t>
        </is>
      </c>
    </row>
    <row r="57878">
      <c r="A57878" s="1" t="n">
        <v>57877</v>
      </c>
      <c r="B57878">
        <f>TEXT(57877, "[$-0E0000]yyyy-mm-dd")</f>
        <v/>
      </c>
      <c r="C57878" t="inlineStr">
        <is>
          <t>2058-04-27</t>
        </is>
      </c>
    </row>
    <row r="57879">
      <c r="A57879" s="1" t="n">
        <v>57878</v>
      </c>
      <c r="B57879">
        <f>TEXT(57878, "[$-0E0000]yyyy-mm-dd")</f>
        <v/>
      </c>
      <c r="C57879" t="inlineStr">
        <is>
          <t>2058-04-28</t>
        </is>
      </c>
    </row>
    <row r="57880">
      <c r="A57880" s="1" t="n">
        <v>57879</v>
      </c>
      <c r="B57880">
        <f>TEXT(57879, "[$-0E0000]yyyy-mm-dd")</f>
        <v/>
      </c>
      <c r="C57880" t="inlineStr">
        <is>
          <t>2058-04-29</t>
        </is>
      </c>
    </row>
    <row r="57881">
      <c r="A57881" s="1" t="n">
        <v>57880</v>
      </c>
      <c r="B57881">
        <f>TEXT(57880, "[$-0E0000]yyyy-mm-dd")</f>
        <v/>
      </c>
      <c r="C57881" t="inlineStr">
        <is>
          <t>2058-04-30</t>
        </is>
      </c>
    </row>
    <row r="57882">
      <c r="A57882" s="1" t="n">
        <v>57881</v>
      </c>
      <c r="B57882">
        <f>TEXT(57881, "[$-0E0000]yyyy-mm-dd")</f>
        <v/>
      </c>
      <c r="C57882" t="inlineStr">
        <is>
          <t>2058-05-01</t>
        </is>
      </c>
    </row>
    <row r="57883">
      <c r="A57883" s="1" t="n">
        <v>57882</v>
      </c>
      <c r="B57883">
        <f>TEXT(57882, "[$-0E0000]yyyy-mm-dd")</f>
        <v/>
      </c>
      <c r="C57883" t="inlineStr">
        <is>
          <t>2058-05-02</t>
        </is>
      </c>
    </row>
    <row r="57884">
      <c r="A57884" s="1" t="n">
        <v>57883</v>
      </c>
      <c r="B57884">
        <f>TEXT(57883, "[$-0E0000]yyyy-mm-dd")</f>
        <v/>
      </c>
      <c r="C57884" t="inlineStr">
        <is>
          <t>2058-05-03</t>
        </is>
      </c>
    </row>
    <row r="57885">
      <c r="A57885" s="1" t="n">
        <v>57884</v>
      </c>
      <c r="B57885">
        <f>TEXT(57884, "[$-0E0000]yyyy-mm-dd")</f>
        <v/>
      </c>
      <c r="C57885" t="inlineStr">
        <is>
          <t>2058-05-04</t>
        </is>
      </c>
    </row>
    <row r="57886">
      <c r="A57886" s="1" t="n">
        <v>57885</v>
      </c>
      <c r="B57886">
        <f>TEXT(57885, "[$-0E0000]yyyy-mm-dd")</f>
        <v/>
      </c>
      <c r="C57886" t="inlineStr">
        <is>
          <t>2058-05-05</t>
        </is>
      </c>
    </row>
    <row r="57887">
      <c r="A57887" s="1" t="n">
        <v>57886</v>
      </c>
      <c r="B57887">
        <f>TEXT(57886, "[$-0E0000]yyyy-mm-dd")</f>
        <v/>
      </c>
      <c r="C57887" t="inlineStr">
        <is>
          <t>2058-05-06</t>
        </is>
      </c>
    </row>
    <row r="57888">
      <c r="A57888" s="1" t="n">
        <v>57887</v>
      </c>
      <c r="B57888">
        <f>TEXT(57887, "[$-0E0000]yyyy-mm-dd")</f>
        <v/>
      </c>
      <c r="C57888" t="inlineStr">
        <is>
          <t>2058-05-07</t>
        </is>
      </c>
    </row>
    <row r="57889">
      <c r="A57889" s="1" t="n">
        <v>57888</v>
      </c>
      <c r="B57889">
        <f>TEXT(57888, "[$-0E0000]yyyy-mm-dd")</f>
        <v/>
      </c>
      <c r="C57889" t="inlineStr">
        <is>
          <t>2058-05-08</t>
        </is>
      </c>
    </row>
    <row r="57890">
      <c r="A57890" s="1" t="n">
        <v>57889</v>
      </c>
      <c r="B57890">
        <f>TEXT(57889, "[$-0E0000]yyyy-mm-dd")</f>
        <v/>
      </c>
      <c r="C57890" t="inlineStr">
        <is>
          <t>2058-05-09</t>
        </is>
      </c>
    </row>
    <row r="57891">
      <c r="A57891" s="1" t="n">
        <v>57890</v>
      </c>
      <c r="B57891">
        <f>TEXT(57890, "[$-0E0000]yyyy-mm-dd")</f>
        <v/>
      </c>
      <c r="C57891" t="inlineStr">
        <is>
          <t>2058-05-10</t>
        </is>
      </c>
    </row>
    <row r="57892">
      <c r="A57892" s="1" t="n">
        <v>57891</v>
      </c>
      <c r="B57892">
        <f>TEXT(57891, "[$-0E0000]yyyy-mm-dd")</f>
        <v/>
      </c>
      <c r="C57892" t="inlineStr">
        <is>
          <t>2058-05-11</t>
        </is>
      </c>
    </row>
    <row r="57893">
      <c r="A57893" s="1" t="n">
        <v>57892</v>
      </c>
      <c r="B57893">
        <f>TEXT(57892, "[$-0E0000]yyyy-mm-dd")</f>
        <v/>
      </c>
      <c r="C57893" t="inlineStr">
        <is>
          <t>2058-05-12</t>
        </is>
      </c>
    </row>
    <row r="57894">
      <c r="A57894" s="1" t="n">
        <v>57893</v>
      </c>
      <c r="B57894">
        <f>TEXT(57893, "[$-0E0000]yyyy-mm-dd")</f>
        <v/>
      </c>
      <c r="C57894" t="inlineStr">
        <is>
          <t>2058-05-13</t>
        </is>
      </c>
    </row>
    <row r="57895">
      <c r="A57895" s="1" t="n">
        <v>57894</v>
      </c>
      <c r="B57895">
        <f>TEXT(57894, "[$-0E0000]yyyy-mm-dd")</f>
        <v/>
      </c>
      <c r="C57895" t="inlineStr">
        <is>
          <t>2058-05-14</t>
        </is>
      </c>
    </row>
    <row r="57896">
      <c r="A57896" s="1" t="n">
        <v>57895</v>
      </c>
      <c r="B57896">
        <f>TEXT(57895, "[$-0E0000]yyyy-mm-dd")</f>
        <v/>
      </c>
      <c r="C57896" t="inlineStr">
        <is>
          <t>2058-05-15</t>
        </is>
      </c>
    </row>
    <row r="57897">
      <c r="A57897" s="1" t="n">
        <v>57896</v>
      </c>
      <c r="B57897">
        <f>TEXT(57896, "[$-0E0000]yyyy-mm-dd")</f>
        <v/>
      </c>
      <c r="C57897" t="inlineStr">
        <is>
          <t>2058-05-16</t>
        </is>
      </c>
    </row>
    <row r="57898">
      <c r="A57898" s="1" t="n">
        <v>57897</v>
      </c>
      <c r="B57898">
        <f>TEXT(57897, "[$-0E0000]yyyy-mm-dd")</f>
        <v/>
      </c>
      <c r="C57898" t="inlineStr">
        <is>
          <t>2058-05-17</t>
        </is>
      </c>
    </row>
    <row r="57899">
      <c r="A57899" s="1" t="n">
        <v>57898</v>
      </c>
      <c r="B57899">
        <f>TEXT(57898, "[$-0E0000]yyyy-mm-dd")</f>
        <v/>
      </c>
      <c r="C57899" t="inlineStr">
        <is>
          <t>2058-05-18</t>
        </is>
      </c>
    </row>
    <row r="57900">
      <c r="A57900" s="1" t="n">
        <v>57899</v>
      </c>
      <c r="B57900">
        <f>TEXT(57899, "[$-0E0000]yyyy-mm-dd")</f>
        <v/>
      </c>
      <c r="C57900" t="inlineStr">
        <is>
          <t>2058-05-19</t>
        </is>
      </c>
    </row>
    <row r="57901">
      <c r="A57901" s="1" t="n">
        <v>57900</v>
      </c>
      <c r="B57901">
        <f>TEXT(57900, "[$-0E0000]yyyy-mm-dd")</f>
        <v/>
      </c>
      <c r="C57901" t="inlineStr">
        <is>
          <t>2058-05-20</t>
        </is>
      </c>
    </row>
    <row r="57902">
      <c r="A57902" s="1" t="n">
        <v>57901</v>
      </c>
      <c r="B57902">
        <f>TEXT(57901, "[$-0E0000]yyyy-mm-dd")</f>
        <v/>
      </c>
      <c r="C57902" t="inlineStr">
        <is>
          <t>2058-05-21</t>
        </is>
      </c>
    </row>
    <row r="57903">
      <c r="A57903" s="1" t="n">
        <v>57902</v>
      </c>
      <c r="B57903">
        <f>TEXT(57902, "[$-0E0000]yyyy-mm-dd")</f>
        <v/>
      </c>
      <c r="C57903" t="inlineStr">
        <is>
          <t>2058-05-22</t>
        </is>
      </c>
    </row>
    <row r="57904">
      <c r="A57904" s="1" t="n">
        <v>57903</v>
      </c>
      <c r="B57904">
        <f>TEXT(57903, "[$-0E0000]yyyy-mm-dd")</f>
        <v/>
      </c>
      <c r="C57904" t="inlineStr">
        <is>
          <t>2058-05-23</t>
        </is>
      </c>
    </row>
    <row r="57905">
      <c r="A57905" s="1" t="n">
        <v>57904</v>
      </c>
      <c r="B57905">
        <f>TEXT(57904, "[$-0E0000]yyyy-mm-dd")</f>
        <v/>
      </c>
      <c r="C57905" t="inlineStr">
        <is>
          <t>2058-05-24</t>
        </is>
      </c>
    </row>
    <row r="57906">
      <c r="A57906" s="1" t="n">
        <v>57905</v>
      </c>
      <c r="B57906">
        <f>TEXT(57905, "[$-0E0000]yyyy-mm-dd")</f>
        <v/>
      </c>
      <c r="C57906" t="inlineStr">
        <is>
          <t>2058-05-25</t>
        </is>
      </c>
    </row>
    <row r="57907">
      <c r="A57907" s="1" t="n">
        <v>57906</v>
      </c>
      <c r="B57907">
        <f>TEXT(57906, "[$-0E0000]yyyy-mm-dd")</f>
        <v/>
      </c>
      <c r="C57907" t="inlineStr">
        <is>
          <t>2058-05-26</t>
        </is>
      </c>
    </row>
    <row r="57908">
      <c r="A57908" s="1" t="n">
        <v>57907</v>
      </c>
      <c r="B57908">
        <f>TEXT(57907, "[$-0E0000]yyyy-mm-dd")</f>
        <v/>
      </c>
      <c r="C57908" t="inlineStr">
        <is>
          <t>2058-05-27</t>
        </is>
      </c>
    </row>
    <row r="57909">
      <c r="A57909" s="1" t="n">
        <v>57908</v>
      </c>
      <c r="B57909">
        <f>TEXT(57908, "[$-0E0000]yyyy-mm-dd")</f>
        <v/>
      </c>
      <c r="C57909" t="inlineStr">
        <is>
          <t>2058-05-28</t>
        </is>
      </c>
    </row>
    <row r="57910">
      <c r="A57910" s="1" t="n">
        <v>57909</v>
      </c>
      <c r="B57910">
        <f>TEXT(57909, "[$-0E0000]yyyy-mm-dd")</f>
        <v/>
      </c>
      <c r="C57910" t="inlineStr">
        <is>
          <t>2058-05-29</t>
        </is>
      </c>
    </row>
    <row r="57911">
      <c r="A57911" s="1" t="n">
        <v>57910</v>
      </c>
      <c r="B57911">
        <f>TEXT(57910, "[$-0E0000]yyyy-mm-dd")</f>
        <v/>
      </c>
      <c r="C57911" t="inlineStr">
        <is>
          <t>2058-06-01</t>
        </is>
      </c>
    </row>
    <row r="57912">
      <c r="A57912" s="1" t="n">
        <v>57911</v>
      </c>
      <c r="B57912">
        <f>TEXT(57911, "[$-0E0000]yyyy-mm-dd")</f>
        <v/>
      </c>
      <c r="C57912" t="inlineStr">
        <is>
          <t>2058-06-02</t>
        </is>
      </c>
    </row>
    <row r="57913">
      <c r="A57913" s="1" t="n">
        <v>57912</v>
      </c>
      <c r="B57913">
        <f>TEXT(57912, "[$-0E0000]yyyy-mm-dd")</f>
        <v/>
      </c>
      <c r="C57913" t="inlineStr">
        <is>
          <t>2058-06-03</t>
        </is>
      </c>
    </row>
    <row r="57914">
      <c r="A57914" s="1" t="n">
        <v>57913</v>
      </c>
      <c r="B57914">
        <f>TEXT(57913, "[$-0E0000]yyyy-mm-dd")</f>
        <v/>
      </c>
      <c r="C57914" t="inlineStr">
        <is>
          <t>2058-06-04</t>
        </is>
      </c>
    </row>
    <row r="57915">
      <c r="A57915" s="1" t="n">
        <v>57914</v>
      </c>
      <c r="B57915">
        <f>TEXT(57914, "[$-0E0000]yyyy-mm-dd")</f>
        <v/>
      </c>
      <c r="C57915" t="inlineStr">
        <is>
          <t>2058-06-05</t>
        </is>
      </c>
    </row>
    <row r="57916">
      <c r="A57916" s="1" t="n">
        <v>57915</v>
      </c>
      <c r="B57916">
        <f>TEXT(57915, "[$-0E0000]yyyy-mm-dd")</f>
        <v/>
      </c>
      <c r="C57916" t="inlineStr">
        <is>
          <t>2058-06-06</t>
        </is>
      </c>
    </row>
    <row r="57917">
      <c r="A57917" s="1" t="n">
        <v>57916</v>
      </c>
      <c r="B57917">
        <f>TEXT(57916, "[$-0E0000]yyyy-mm-dd")</f>
        <v/>
      </c>
      <c r="C57917" t="inlineStr">
        <is>
          <t>2058-06-07</t>
        </is>
      </c>
    </row>
    <row r="57918">
      <c r="A57918" s="1" t="n">
        <v>57917</v>
      </c>
      <c r="B57918">
        <f>TEXT(57917, "[$-0E0000]yyyy-mm-dd")</f>
        <v/>
      </c>
      <c r="C57918" t="inlineStr">
        <is>
          <t>2058-06-08</t>
        </is>
      </c>
    </row>
    <row r="57919">
      <c r="A57919" s="1" t="n">
        <v>57918</v>
      </c>
      <c r="B57919">
        <f>TEXT(57918, "[$-0E0000]yyyy-mm-dd")</f>
        <v/>
      </c>
      <c r="C57919" t="inlineStr">
        <is>
          <t>2058-06-09</t>
        </is>
      </c>
    </row>
    <row r="57920">
      <c r="A57920" s="1" t="n">
        <v>57919</v>
      </c>
      <c r="B57920">
        <f>TEXT(57919, "[$-0E0000]yyyy-mm-dd")</f>
        <v/>
      </c>
      <c r="C57920" t="inlineStr">
        <is>
          <t>2058-06-10</t>
        </is>
      </c>
    </row>
    <row r="57921">
      <c r="A57921" s="1" t="n">
        <v>57920</v>
      </c>
      <c r="B57921">
        <f>TEXT(57920, "[$-0E0000]yyyy-mm-dd")</f>
        <v/>
      </c>
      <c r="C57921" t="inlineStr">
        <is>
          <t>2058-06-11</t>
        </is>
      </c>
    </row>
    <row r="57922">
      <c r="A57922" s="1" t="n">
        <v>57921</v>
      </c>
      <c r="B57922">
        <f>TEXT(57921, "[$-0E0000]yyyy-mm-dd")</f>
        <v/>
      </c>
      <c r="C57922" t="inlineStr">
        <is>
          <t>2058-06-12</t>
        </is>
      </c>
    </row>
    <row r="57923">
      <c r="A57923" s="1" t="n">
        <v>57922</v>
      </c>
      <c r="B57923">
        <f>TEXT(57922, "[$-0E0000]yyyy-mm-dd")</f>
        <v/>
      </c>
      <c r="C57923" t="inlineStr">
        <is>
          <t>2058-06-13</t>
        </is>
      </c>
    </row>
    <row r="57924">
      <c r="A57924" s="1" t="n">
        <v>57923</v>
      </c>
      <c r="B57924">
        <f>TEXT(57923, "[$-0E0000]yyyy-mm-dd")</f>
        <v/>
      </c>
      <c r="C57924" t="inlineStr">
        <is>
          <t>2058-06-14</t>
        </is>
      </c>
    </row>
    <row r="57925">
      <c r="A57925" s="1" t="n">
        <v>57924</v>
      </c>
      <c r="B57925">
        <f>TEXT(57924, "[$-0E0000]yyyy-mm-dd")</f>
        <v/>
      </c>
      <c r="C57925" t="inlineStr">
        <is>
          <t>2058-06-15</t>
        </is>
      </c>
    </row>
    <row r="57926">
      <c r="A57926" s="1" t="n">
        <v>57925</v>
      </c>
      <c r="B57926">
        <f>TEXT(57925, "[$-0E0000]yyyy-mm-dd")</f>
        <v/>
      </c>
      <c r="C57926" t="inlineStr">
        <is>
          <t>2058-06-16</t>
        </is>
      </c>
    </row>
    <row r="57927">
      <c r="A57927" s="1" t="n">
        <v>57926</v>
      </c>
      <c r="B57927">
        <f>TEXT(57926, "[$-0E0000]yyyy-mm-dd")</f>
        <v/>
      </c>
      <c r="C57927" t="inlineStr">
        <is>
          <t>2058-06-17</t>
        </is>
      </c>
    </row>
    <row r="57928">
      <c r="A57928" s="1" t="n">
        <v>57927</v>
      </c>
      <c r="B57928">
        <f>TEXT(57927, "[$-0E0000]yyyy-mm-dd")</f>
        <v/>
      </c>
      <c r="C57928" t="inlineStr">
        <is>
          <t>2058-06-18</t>
        </is>
      </c>
    </row>
    <row r="57929">
      <c r="A57929" s="1" t="n">
        <v>57928</v>
      </c>
      <c r="B57929">
        <f>TEXT(57928, "[$-0E0000]yyyy-mm-dd")</f>
        <v/>
      </c>
      <c r="C57929" t="inlineStr">
        <is>
          <t>2058-06-19</t>
        </is>
      </c>
    </row>
    <row r="57930">
      <c r="A57930" s="1" t="n">
        <v>57929</v>
      </c>
      <c r="B57930">
        <f>TEXT(57929, "[$-0E0000]yyyy-mm-dd")</f>
        <v/>
      </c>
      <c r="C57930" t="inlineStr">
        <is>
          <t>2058-06-20</t>
        </is>
      </c>
    </row>
    <row r="57931">
      <c r="A57931" s="1" t="n">
        <v>57930</v>
      </c>
      <c r="B57931">
        <f>TEXT(57930, "[$-0E0000]yyyy-mm-dd")</f>
        <v/>
      </c>
      <c r="C57931" t="inlineStr">
        <is>
          <t>2058-06-21</t>
        </is>
      </c>
    </row>
    <row r="57932">
      <c r="A57932" s="1" t="n">
        <v>57931</v>
      </c>
      <c r="B57932">
        <f>TEXT(57931, "[$-0E0000]yyyy-mm-dd")</f>
        <v/>
      </c>
      <c r="C57932" t="inlineStr">
        <is>
          <t>2058-06-22</t>
        </is>
      </c>
    </row>
    <row r="57933">
      <c r="A57933" s="1" t="n">
        <v>57932</v>
      </c>
      <c r="B57933">
        <f>TEXT(57932, "[$-0E0000]yyyy-mm-dd")</f>
        <v/>
      </c>
      <c r="C57933" t="inlineStr">
        <is>
          <t>2058-06-23</t>
        </is>
      </c>
    </row>
    <row r="57934">
      <c r="A57934" s="1" t="n">
        <v>57933</v>
      </c>
      <c r="B57934">
        <f>TEXT(57933, "[$-0E0000]yyyy-mm-dd")</f>
        <v/>
      </c>
      <c r="C57934" t="inlineStr">
        <is>
          <t>2058-06-24</t>
        </is>
      </c>
    </row>
    <row r="57935">
      <c r="A57935" s="1" t="n">
        <v>57934</v>
      </c>
      <c r="B57935">
        <f>TEXT(57934, "[$-0E0000]yyyy-mm-dd")</f>
        <v/>
      </c>
      <c r="C57935" t="inlineStr">
        <is>
          <t>2058-06-25</t>
        </is>
      </c>
    </row>
    <row r="57936">
      <c r="A57936" s="1" t="n">
        <v>57935</v>
      </c>
      <c r="B57936">
        <f>TEXT(57935, "[$-0E0000]yyyy-mm-dd")</f>
        <v/>
      </c>
      <c r="C57936" t="inlineStr">
        <is>
          <t>2058-06-26</t>
        </is>
      </c>
    </row>
    <row r="57937">
      <c r="A57937" s="1" t="n">
        <v>57936</v>
      </c>
      <c r="B57937">
        <f>TEXT(57936, "[$-0E0000]yyyy-mm-dd")</f>
        <v/>
      </c>
      <c r="C57937" t="inlineStr">
        <is>
          <t>2058-06-27</t>
        </is>
      </c>
    </row>
    <row r="57938">
      <c r="A57938" s="1" t="n">
        <v>57937</v>
      </c>
      <c r="B57938">
        <f>TEXT(57937, "[$-0E0000]yyyy-mm-dd")</f>
        <v/>
      </c>
      <c r="C57938" t="inlineStr">
        <is>
          <t>2058-06-28</t>
        </is>
      </c>
    </row>
    <row r="57939">
      <c r="A57939" s="1" t="n">
        <v>57938</v>
      </c>
      <c r="B57939">
        <f>TEXT(57938, "[$-0E0000]yyyy-mm-dd")</f>
        <v/>
      </c>
      <c r="C57939" t="inlineStr">
        <is>
          <t>2058-06-29</t>
        </is>
      </c>
    </row>
    <row r="57940">
      <c r="A57940" s="1" t="n">
        <v>57939</v>
      </c>
      <c r="B57940">
        <f>TEXT(57939, "[$-0E0000]yyyy-mm-dd")</f>
        <v/>
      </c>
      <c r="C57940" t="inlineStr">
        <is>
          <t>2058-06-30</t>
        </is>
      </c>
    </row>
    <row r="57941">
      <c r="A57941" s="1" t="n">
        <v>57940</v>
      </c>
      <c r="B57941">
        <f>TEXT(57940, "[$-0E0000]yyyy-mm-dd")</f>
        <v/>
      </c>
      <c r="C57941" t="inlineStr">
        <is>
          <t>2058-07-01</t>
        </is>
      </c>
    </row>
    <row r="57942">
      <c r="A57942" s="1" t="n">
        <v>57941</v>
      </c>
      <c r="B57942">
        <f>TEXT(57941, "[$-0E0000]yyyy-mm-dd")</f>
        <v/>
      </c>
      <c r="C57942" t="inlineStr">
        <is>
          <t>2058-07-02</t>
        </is>
      </c>
    </row>
    <row r="57943">
      <c r="A57943" s="1" t="n">
        <v>57942</v>
      </c>
      <c r="B57943">
        <f>TEXT(57942, "[$-0E0000]yyyy-mm-dd")</f>
        <v/>
      </c>
      <c r="C57943" t="inlineStr">
        <is>
          <t>2058-07-03</t>
        </is>
      </c>
    </row>
    <row r="57944">
      <c r="A57944" s="1" t="n">
        <v>57943</v>
      </c>
      <c r="B57944">
        <f>TEXT(57943, "[$-0E0000]yyyy-mm-dd")</f>
        <v/>
      </c>
      <c r="C57944" t="inlineStr">
        <is>
          <t>2058-07-04</t>
        </is>
      </c>
    </row>
    <row r="57945">
      <c r="A57945" s="1" t="n">
        <v>57944</v>
      </c>
      <c r="B57945">
        <f>TEXT(57944, "[$-0E0000]yyyy-mm-dd")</f>
        <v/>
      </c>
      <c r="C57945" t="inlineStr">
        <is>
          <t>2058-07-05</t>
        </is>
      </c>
    </row>
    <row r="57946">
      <c r="A57946" s="1" t="n">
        <v>57945</v>
      </c>
      <c r="B57946">
        <f>TEXT(57945, "[$-0E0000]yyyy-mm-dd")</f>
        <v/>
      </c>
      <c r="C57946" t="inlineStr">
        <is>
          <t>2058-07-06</t>
        </is>
      </c>
    </row>
    <row r="57947">
      <c r="A57947" s="1" t="n">
        <v>57946</v>
      </c>
      <c r="B57947">
        <f>TEXT(57946, "[$-0E0000]yyyy-mm-dd")</f>
        <v/>
      </c>
      <c r="C57947" t="inlineStr">
        <is>
          <t>2058-07-07</t>
        </is>
      </c>
    </row>
    <row r="57948">
      <c r="A57948" s="1" t="n">
        <v>57947</v>
      </c>
      <c r="B57948">
        <f>TEXT(57947, "[$-0E0000]yyyy-mm-dd")</f>
        <v/>
      </c>
      <c r="C57948" t="inlineStr">
        <is>
          <t>2058-07-08</t>
        </is>
      </c>
    </row>
    <row r="57949">
      <c r="A57949" s="1" t="n">
        <v>57948</v>
      </c>
      <c r="B57949">
        <f>TEXT(57948, "[$-0E0000]yyyy-mm-dd")</f>
        <v/>
      </c>
      <c r="C57949" t="inlineStr">
        <is>
          <t>2058-07-09</t>
        </is>
      </c>
    </row>
    <row r="57950">
      <c r="A57950" s="1" t="n">
        <v>57949</v>
      </c>
      <c r="B57950">
        <f>TEXT(57949, "[$-0E0000]yyyy-mm-dd")</f>
        <v/>
      </c>
      <c r="C57950" t="inlineStr">
        <is>
          <t>2058-07-10</t>
        </is>
      </c>
    </row>
    <row r="57951">
      <c r="A57951" s="1" t="n">
        <v>57950</v>
      </c>
      <c r="B57951">
        <f>TEXT(57950, "[$-0E0000]yyyy-mm-dd")</f>
        <v/>
      </c>
      <c r="C57951" t="inlineStr">
        <is>
          <t>2058-07-11</t>
        </is>
      </c>
    </row>
    <row r="57952">
      <c r="A57952" s="1" t="n">
        <v>57951</v>
      </c>
      <c r="B57952">
        <f>TEXT(57951, "[$-0E0000]yyyy-mm-dd")</f>
        <v/>
      </c>
      <c r="C57952" t="inlineStr">
        <is>
          <t>2058-07-12</t>
        </is>
      </c>
    </row>
    <row r="57953">
      <c r="A57953" s="1" t="n">
        <v>57952</v>
      </c>
      <c r="B57953">
        <f>TEXT(57952, "[$-0E0000]yyyy-mm-dd")</f>
        <v/>
      </c>
      <c r="C57953" t="inlineStr">
        <is>
          <t>2058-07-13</t>
        </is>
      </c>
    </row>
    <row r="57954">
      <c r="A57954" s="1" t="n">
        <v>57953</v>
      </c>
      <c r="B57954">
        <f>TEXT(57953, "[$-0E0000]yyyy-mm-dd")</f>
        <v/>
      </c>
      <c r="C57954" t="inlineStr">
        <is>
          <t>2058-07-14</t>
        </is>
      </c>
    </row>
    <row r="57955">
      <c r="A57955" s="1" t="n">
        <v>57954</v>
      </c>
      <c r="B57955">
        <f>TEXT(57954, "[$-0E0000]yyyy-mm-dd")</f>
        <v/>
      </c>
      <c r="C57955" t="inlineStr">
        <is>
          <t>2058-07-15</t>
        </is>
      </c>
    </row>
    <row r="57956">
      <c r="A57956" s="1" t="n">
        <v>57955</v>
      </c>
      <c r="B57956">
        <f>TEXT(57955, "[$-0E0000]yyyy-mm-dd")</f>
        <v/>
      </c>
      <c r="C57956" t="inlineStr">
        <is>
          <t>2058-07-16</t>
        </is>
      </c>
    </row>
    <row r="57957">
      <c r="A57957" s="1" t="n">
        <v>57956</v>
      </c>
      <c r="B57957">
        <f>TEXT(57956, "[$-0E0000]yyyy-mm-dd")</f>
        <v/>
      </c>
      <c r="C57957" t="inlineStr">
        <is>
          <t>2058-07-17</t>
        </is>
      </c>
    </row>
    <row r="57958">
      <c r="A57958" s="1" t="n">
        <v>57957</v>
      </c>
      <c r="B57958">
        <f>TEXT(57957, "[$-0E0000]yyyy-mm-dd")</f>
        <v/>
      </c>
      <c r="C57958" t="inlineStr">
        <is>
          <t>2058-07-18</t>
        </is>
      </c>
    </row>
    <row r="57959">
      <c r="A57959" s="1" t="n">
        <v>57958</v>
      </c>
      <c r="B57959">
        <f>TEXT(57958, "[$-0E0000]yyyy-mm-dd")</f>
        <v/>
      </c>
      <c r="C57959" t="inlineStr">
        <is>
          <t>2058-07-19</t>
        </is>
      </c>
    </row>
    <row r="57960">
      <c r="A57960" s="1" t="n">
        <v>57959</v>
      </c>
      <c r="B57960">
        <f>TEXT(57959, "[$-0E0000]yyyy-mm-dd")</f>
        <v/>
      </c>
      <c r="C57960" t="inlineStr">
        <is>
          <t>2058-07-20</t>
        </is>
      </c>
    </row>
    <row r="57961">
      <c r="A57961" s="1" t="n">
        <v>57960</v>
      </c>
      <c r="B57961">
        <f>TEXT(57960, "[$-0E0000]yyyy-mm-dd")</f>
        <v/>
      </c>
      <c r="C57961" t="inlineStr">
        <is>
          <t>2058-07-21</t>
        </is>
      </c>
    </row>
    <row r="57962">
      <c r="A57962" s="1" t="n">
        <v>57961</v>
      </c>
      <c r="B57962">
        <f>TEXT(57961, "[$-0E0000]yyyy-mm-dd")</f>
        <v/>
      </c>
      <c r="C57962" t="inlineStr">
        <is>
          <t>2058-07-22</t>
        </is>
      </c>
    </row>
    <row r="57963">
      <c r="A57963" s="1" t="n">
        <v>57962</v>
      </c>
      <c r="B57963">
        <f>TEXT(57962, "[$-0E0000]yyyy-mm-dd")</f>
        <v/>
      </c>
      <c r="C57963" t="inlineStr">
        <is>
          <t>2058-07-23</t>
        </is>
      </c>
    </row>
    <row r="57964">
      <c r="A57964" s="1" t="n">
        <v>57963</v>
      </c>
      <c r="B57964">
        <f>TEXT(57963, "[$-0E0000]yyyy-mm-dd")</f>
        <v/>
      </c>
      <c r="C57964" t="inlineStr">
        <is>
          <t>2058-07-24</t>
        </is>
      </c>
    </row>
    <row r="57965">
      <c r="A57965" s="1" t="n">
        <v>57964</v>
      </c>
      <c r="B57965">
        <f>TEXT(57964, "[$-0E0000]yyyy-mm-dd")</f>
        <v/>
      </c>
      <c r="C57965" t="inlineStr">
        <is>
          <t>2058-07-25</t>
        </is>
      </c>
    </row>
    <row r="57966">
      <c r="A57966" s="1" t="n">
        <v>57965</v>
      </c>
      <c r="B57966">
        <f>TEXT(57965, "[$-0E0000]yyyy-mm-dd")</f>
        <v/>
      </c>
      <c r="C57966" t="inlineStr">
        <is>
          <t>2058-07-26</t>
        </is>
      </c>
    </row>
    <row r="57967">
      <c r="A57967" s="1" t="n">
        <v>57966</v>
      </c>
      <c r="B57967">
        <f>TEXT(57966, "[$-0E0000]yyyy-mm-dd")</f>
        <v/>
      </c>
      <c r="C57967" t="inlineStr">
        <is>
          <t>2058-07-27</t>
        </is>
      </c>
    </row>
    <row r="57968">
      <c r="A57968" s="1" t="n">
        <v>57967</v>
      </c>
      <c r="B57968">
        <f>TEXT(57967, "[$-0E0000]yyyy-mm-dd")</f>
        <v/>
      </c>
      <c r="C57968" t="inlineStr">
        <is>
          <t>2058-07-28</t>
        </is>
      </c>
    </row>
    <row r="57969">
      <c r="A57969" s="1" t="n">
        <v>57968</v>
      </c>
      <c r="B57969">
        <f>TEXT(57968, "[$-0E0000]yyyy-mm-dd")</f>
        <v/>
      </c>
      <c r="C57969" t="inlineStr">
        <is>
          <t>2058-07-29</t>
        </is>
      </c>
    </row>
    <row r="57970">
      <c r="A57970" s="1" t="n">
        <v>57969</v>
      </c>
      <c r="B57970">
        <f>TEXT(57969, "[$-0E0000]yyyy-mm-dd")</f>
        <v/>
      </c>
      <c r="C57970" t="inlineStr">
        <is>
          <t>2058-07-30</t>
        </is>
      </c>
    </row>
    <row r="57971">
      <c r="A57971" s="1" t="n">
        <v>57970</v>
      </c>
      <c r="B57971">
        <f>TEXT(57970, "[$-0E0000]yyyy-mm-dd")</f>
        <v/>
      </c>
      <c r="C57971" t="inlineStr">
        <is>
          <t>2058-08-01</t>
        </is>
      </c>
    </row>
    <row r="57972">
      <c r="A57972" s="1" t="n">
        <v>57971</v>
      </c>
      <c r="B57972">
        <f>TEXT(57971, "[$-0E0000]yyyy-mm-dd")</f>
        <v/>
      </c>
      <c r="C57972" t="inlineStr">
        <is>
          <t>2058-08-02</t>
        </is>
      </c>
    </row>
    <row r="57973">
      <c r="A57973" s="1" t="n">
        <v>57972</v>
      </c>
      <c r="B57973">
        <f>TEXT(57972, "[$-0E0000]yyyy-mm-dd")</f>
        <v/>
      </c>
      <c r="C57973" t="inlineStr">
        <is>
          <t>2058-08-03</t>
        </is>
      </c>
    </row>
    <row r="57974">
      <c r="A57974" s="1" t="n">
        <v>57973</v>
      </c>
      <c r="B57974">
        <f>TEXT(57973, "[$-0E0000]yyyy-mm-dd")</f>
        <v/>
      </c>
      <c r="C57974" t="inlineStr">
        <is>
          <t>2058-08-04</t>
        </is>
      </c>
    </row>
    <row r="57975">
      <c r="A57975" s="1" t="n">
        <v>57974</v>
      </c>
      <c r="B57975">
        <f>TEXT(57974, "[$-0E0000]yyyy-mm-dd")</f>
        <v/>
      </c>
      <c r="C57975" t="inlineStr">
        <is>
          <t>2058-08-05</t>
        </is>
      </c>
    </row>
    <row r="57976">
      <c r="A57976" s="1" t="n">
        <v>57975</v>
      </c>
      <c r="B57976">
        <f>TEXT(57975, "[$-0E0000]yyyy-mm-dd")</f>
        <v/>
      </c>
      <c r="C57976" t="inlineStr">
        <is>
          <t>2058-08-06</t>
        </is>
      </c>
    </row>
    <row r="57977">
      <c r="A57977" s="1" t="n">
        <v>57976</v>
      </c>
      <c r="B57977">
        <f>TEXT(57976, "[$-0E0000]yyyy-mm-dd")</f>
        <v/>
      </c>
      <c r="C57977" t="inlineStr">
        <is>
          <t>2058-08-07</t>
        </is>
      </c>
    </row>
    <row r="57978">
      <c r="A57978" s="1" t="n">
        <v>57977</v>
      </c>
      <c r="B57978">
        <f>TEXT(57977, "[$-0E0000]yyyy-mm-dd")</f>
        <v/>
      </c>
      <c r="C57978" t="inlineStr">
        <is>
          <t>2058-08-08</t>
        </is>
      </c>
    </row>
    <row r="57979">
      <c r="A57979" s="1" t="n">
        <v>57978</v>
      </c>
      <c r="B57979">
        <f>TEXT(57978, "[$-0E0000]yyyy-mm-dd")</f>
        <v/>
      </c>
      <c r="C57979" t="inlineStr">
        <is>
          <t>2058-08-09</t>
        </is>
      </c>
    </row>
    <row r="57980">
      <c r="A57980" s="1" t="n">
        <v>57979</v>
      </c>
      <c r="B57980">
        <f>TEXT(57979, "[$-0E0000]yyyy-mm-dd")</f>
        <v/>
      </c>
      <c r="C57980" t="inlineStr">
        <is>
          <t>2058-08-10</t>
        </is>
      </c>
    </row>
    <row r="57981">
      <c r="A57981" s="1" t="n">
        <v>57980</v>
      </c>
      <c r="B57981">
        <f>TEXT(57980, "[$-0E0000]yyyy-mm-dd")</f>
        <v/>
      </c>
      <c r="C57981" t="inlineStr">
        <is>
          <t>2058-08-11</t>
        </is>
      </c>
    </row>
    <row r="57982">
      <c r="A57982" s="1" t="n">
        <v>57981</v>
      </c>
      <c r="B57982">
        <f>TEXT(57981, "[$-0E0000]yyyy-mm-dd")</f>
        <v/>
      </c>
      <c r="C57982" t="inlineStr">
        <is>
          <t>2058-08-12</t>
        </is>
      </c>
    </row>
    <row r="57983">
      <c r="A57983" s="1" t="n">
        <v>57982</v>
      </c>
      <c r="B57983">
        <f>TEXT(57982, "[$-0E0000]yyyy-mm-dd")</f>
        <v/>
      </c>
      <c r="C57983" t="inlineStr">
        <is>
          <t>2058-08-13</t>
        </is>
      </c>
    </row>
    <row r="57984">
      <c r="A57984" s="1" t="n">
        <v>57983</v>
      </c>
      <c r="B57984">
        <f>TEXT(57983, "[$-0E0000]yyyy-mm-dd")</f>
        <v/>
      </c>
      <c r="C57984" t="inlineStr">
        <is>
          <t>2058-08-14</t>
        </is>
      </c>
    </row>
    <row r="57985">
      <c r="A57985" s="1" t="n">
        <v>57984</v>
      </c>
      <c r="B57985">
        <f>TEXT(57984, "[$-0E0000]yyyy-mm-dd")</f>
        <v/>
      </c>
      <c r="C57985" t="inlineStr">
        <is>
          <t>2058-08-15</t>
        </is>
      </c>
    </row>
    <row r="57986">
      <c r="A57986" s="1" t="n">
        <v>57985</v>
      </c>
      <c r="B57986">
        <f>TEXT(57985, "[$-0E0000]yyyy-mm-dd")</f>
        <v/>
      </c>
      <c r="C57986" t="inlineStr">
        <is>
          <t>2058-08-16</t>
        </is>
      </c>
    </row>
    <row r="57987">
      <c r="A57987" s="1" t="n">
        <v>57986</v>
      </c>
      <c r="B57987">
        <f>TEXT(57986, "[$-0E0000]yyyy-mm-dd")</f>
        <v/>
      </c>
      <c r="C57987" t="inlineStr">
        <is>
          <t>2058-08-17</t>
        </is>
      </c>
    </row>
    <row r="57988">
      <c r="A57988" s="1" t="n">
        <v>57987</v>
      </c>
      <c r="B57988">
        <f>TEXT(57987, "[$-0E0000]yyyy-mm-dd")</f>
        <v/>
      </c>
      <c r="C57988" t="inlineStr">
        <is>
          <t>2058-08-18</t>
        </is>
      </c>
    </row>
    <row r="57989">
      <c r="A57989" s="1" t="n">
        <v>57988</v>
      </c>
      <c r="B57989">
        <f>TEXT(57988, "[$-0E0000]yyyy-mm-dd")</f>
        <v/>
      </c>
      <c r="C57989" t="inlineStr">
        <is>
          <t>2058-08-19</t>
        </is>
      </c>
    </row>
    <row r="57990">
      <c r="A57990" s="1" t="n">
        <v>57989</v>
      </c>
      <c r="B57990">
        <f>TEXT(57989, "[$-0E0000]yyyy-mm-dd")</f>
        <v/>
      </c>
      <c r="C57990" t="inlineStr">
        <is>
          <t>2058-08-20</t>
        </is>
      </c>
    </row>
    <row r="57991">
      <c r="A57991" s="1" t="n">
        <v>57990</v>
      </c>
      <c r="B57991">
        <f>TEXT(57990, "[$-0E0000]yyyy-mm-dd")</f>
        <v/>
      </c>
      <c r="C57991" t="inlineStr">
        <is>
          <t>2058-08-21</t>
        </is>
      </c>
    </row>
    <row r="57992">
      <c r="A57992" s="1" t="n">
        <v>57991</v>
      </c>
      <c r="B57992">
        <f>TEXT(57991, "[$-0E0000]yyyy-mm-dd")</f>
        <v/>
      </c>
      <c r="C57992" t="inlineStr">
        <is>
          <t>2058-08-22</t>
        </is>
      </c>
    </row>
    <row r="57993">
      <c r="A57993" s="1" t="n">
        <v>57992</v>
      </c>
      <c r="B57993">
        <f>TEXT(57992, "[$-0E0000]yyyy-mm-dd")</f>
        <v/>
      </c>
      <c r="C57993" t="inlineStr">
        <is>
          <t>2058-08-23</t>
        </is>
      </c>
    </row>
    <row r="57994">
      <c r="A57994" s="1" t="n">
        <v>57993</v>
      </c>
      <c r="B57994">
        <f>TEXT(57993, "[$-0E0000]yyyy-mm-dd")</f>
        <v/>
      </c>
      <c r="C57994" t="inlineStr">
        <is>
          <t>2058-08-24</t>
        </is>
      </c>
    </row>
    <row r="57995">
      <c r="A57995" s="1" t="n">
        <v>57994</v>
      </c>
      <c r="B57995">
        <f>TEXT(57994, "[$-0E0000]yyyy-mm-dd")</f>
        <v/>
      </c>
      <c r="C57995" t="inlineStr">
        <is>
          <t>2058-08-25</t>
        </is>
      </c>
    </row>
    <row r="57996">
      <c r="A57996" s="1" t="n">
        <v>57995</v>
      </c>
      <c r="B57996">
        <f>TEXT(57995, "[$-0E0000]yyyy-mm-dd")</f>
        <v/>
      </c>
      <c r="C57996" t="inlineStr">
        <is>
          <t>2058-08-26</t>
        </is>
      </c>
    </row>
    <row r="57997">
      <c r="A57997" s="1" t="n">
        <v>57996</v>
      </c>
      <c r="B57997">
        <f>TEXT(57996, "[$-0E0000]yyyy-mm-dd")</f>
        <v/>
      </c>
      <c r="C57997" t="inlineStr">
        <is>
          <t>2058-08-27</t>
        </is>
      </c>
    </row>
    <row r="57998">
      <c r="A57998" s="1" t="n">
        <v>57997</v>
      </c>
      <c r="B57998">
        <f>TEXT(57997, "[$-0E0000]yyyy-mm-dd")</f>
        <v/>
      </c>
      <c r="C57998" t="inlineStr">
        <is>
          <t>2058-08-28</t>
        </is>
      </c>
    </row>
    <row r="57999">
      <c r="A57999" s="1" t="n">
        <v>57998</v>
      </c>
      <c r="B57999">
        <f>TEXT(57998, "[$-0E0000]yyyy-mm-dd")</f>
        <v/>
      </c>
      <c r="C57999" t="inlineStr">
        <is>
          <t>2058-08-29</t>
        </is>
      </c>
    </row>
    <row r="58000">
      <c r="A58000" s="1" t="n">
        <v>57999</v>
      </c>
      <c r="B58000">
        <f>TEXT(57999, "[$-0E0000]yyyy-mm-dd")</f>
        <v/>
      </c>
      <c r="C58000" t="inlineStr">
        <is>
          <t>2058-09-01</t>
        </is>
      </c>
    </row>
    <row r="58001">
      <c r="A58001" s="1" t="n">
        <v>58000</v>
      </c>
      <c r="B58001">
        <f>TEXT(58000, "[$-0E0000]yyyy-mm-dd")</f>
        <v/>
      </c>
      <c r="C58001" t="inlineStr">
        <is>
          <t>2058-09-02</t>
        </is>
      </c>
    </row>
    <row r="58002">
      <c r="A58002" s="1" t="n">
        <v>58001</v>
      </c>
      <c r="B58002">
        <f>TEXT(58001, "[$-0E0000]yyyy-mm-dd")</f>
        <v/>
      </c>
      <c r="C58002" t="inlineStr">
        <is>
          <t>2058-09-03</t>
        </is>
      </c>
    </row>
    <row r="58003">
      <c r="A58003" s="1" t="n">
        <v>58002</v>
      </c>
      <c r="B58003">
        <f>TEXT(58002, "[$-0E0000]yyyy-mm-dd")</f>
        <v/>
      </c>
      <c r="C58003" t="inlineStr">
        <is>
          <t>2058-09-04</t>
        </is>
      </c>
    </row>
    <row r="58004">
      <c r="A58004" s="1" t="n">
        <v>58003</v>
      </c>
      <c r="B58004">
        <f>TEXT(58003, "[$-0E0000]yyyy-mm-dd")</f>
        <v/>
      </c>
      <c r="C58004" t="inlineStr">
        <is>
          <t>2058-09-05</t>
        </is>
      </c>
    </row>
    <row r="58005">
      <c r="A58005" s="1" t="n">
        <v>58004</v>
      </c>
      <c r="B58005">
        <f>TEXT(58004, "[$-0E0000]yyyy-mm-dd")</f>
        <v/>
      </c>
      <c r="C58005" t="inlineStr">
        <is>
          <t>2058-09-06</t>
        </is>
      </c>
    </row>
    <row r="58006">
      <c r="A58006" s="1" t="n">
        <v>58005</v>
      </c>
      <c r="B58006">
        <f>TEXT(58005, "[$-0E0000]yyyy-mm-dd")</f>
        <v/>
      </c>
      <c r="C58006" t="inlineStr">
        <is>
          <t>2058-09-07</t>
        </is>
      </c>
    </row>
    <row r="58007">
      <c r="A58007" s="1" t="n">
        <v>58006</v>
      </c>
      <c r="B58007">
        <f>TEXT(58006, "[$-0E0000]yyyy-mm-dd")</f>
        <v/>
      </c>
      <c r="C58007" t="inlineStr">
        <is>
          <t>2058-09-08</t>
        </is>
      </c>
    </row>
    <row r="58008">
      <c r="A58008" s="1" t="n">
        <v>58007</v>
      </c>
      <c r="B58008">
        <f>TEXT(58007, "[$-0E0000]yyyy-mm-dd")</f>
        <v/>
      </c>
      <c r="C58008" t="inlineStr">
        <is>
          <t>2058-09-09</t>
        </is>
      </c>
    </row>
    <row r="58009">
      <c r="A58009" s="1" t="n">
        <v>58008</v>
      </c>
      <c r="B58009">
        <f>TEXT(58008, "[$-0E0000]yyyy-mm-dd")</f>
        <v/>
      </c>
      <c r="C58009" t="inlineStr">
        <is>
          <t>2058-09-10</t>
        </is>
      </c>
    </row>
    <row r="58010">
      <c r="A58010" s="1" t="n">
        <v>58009</v>
      </c>
      <c r="B58010">
        <f>TEXT(58009, "[$-0E0000]yyyy-mm-dd")</f>
        <v/>
      </c>
      <c r="C58010" t="inlineStr">
        <is>
          <t>2058-09-11</t>
        </is>
      </c>
    </row>
    <row r="58011">
      <c r="A58011" s="1" t="n">
        <v>58010</v>
      </c>
      <c r="B58011">
        <f>TEXT(58010, "[$-0E0000]yyyy-mm-dd")</f>
        <v/>
      </c>
      <c r="C58011" t="inlineStr">
        <is>
          <t>2058-09-12</t>
        </is>
      </c>
    </row>
    <row r="58012">
      <c r="A58012" s="1" t="n">
        <v>58011</v>
      </c>
      <c r="B58012">
        <f>TEXT(58011, "[$-0E0000]yyyy-mm-dd")</f>
        <v/>
      </c>
      <c r="C58012" t="inlineStr">
        <is>
          <t>2058-09-13</t>
        </is>
      </c>
    </row>
    <row r="58013">
      <c r="A58013" s="1" t="n">
        <v>58012</v>
      </c>
      <c r="B58013">
        <f>TEXT(58012, "[$-0E0000]yyyy-mm-dd")</f>
        <v/>
      </c>
      <c r="C58013" t="inlineStr">
        <is>
          <t>2058-09-14</t>
        </is>
      </c>
    </row>
    <row r="58014">
      <c r="A58014" s="1" t="n">
        <v>58013</v>
      </c>
      <c r="B58014">
        <f>TEXT(58013, "[$-0E0000]yyyy-mm-dd")</f>
        <v/>
      </c>
      <c r="C58014" t="inlineStr">
        <is>
          <t>2058-09-15</t>
        </is>
      </c>
    </row>
    <row r="58015">
      <c r="A58015" s="1" t="n">
        <v>58014</v>
      </c>
      <c r="B58015">
        <f>TEXT(58014, "[$-0E0000]yyyy-mm-dd")</f>
        <v/>
      </c>
      <c r="C58015" t="inlineStr">
        <is>
          <t>2058-09-16</t>
        </is>
      </c>
    </row>
    <row r="58016">
      <c r="A58016" s="1" t="n">
        <v>58015</v>
      </c>
      <c r="B58016">
        <f>TEXT(58015, "[$-0E0000]yyyy-mm-dd")</f>
        <v/>
      </c>
      <c r="C58016" t="inlineStr">
        <is>
          <t>2058-09-17</t>
        </is>
      </c>
    </row>
    <row r="58017">
      <c r="A58017" s="1" t="n">
        <v>58016</v>
      </c>
      <c r="B58017">
        <f>TEXT(58016, "[$-0E0000]yyyy-mm-dd")</f>
        <v/>
      </c>
      <c r="C58017" t="inlineStr">
        <is>
          <t>2058-09-18</t>
        </is>
      </c>
    </row>
    <row r="58018">
      <c r="A58018" s="1" t="n">
        <v>58017</v>
      </c>
      <c r="B58018">
        <f>TEXT(58017, "[$-0E0000]yyyy-mm-dd")</f>
        <v/>
      </c>
      <c r="C58018" t="inlineStr">
        <is>
          <t>2058-09-19</t>
        </is>
      </c>
    </row>
    <row r="58019">
      <c r="A58019" s="1" t="n">
        <v>58018</v>
      </c>
      <c r="B58019">
        <f>TEXT(58018, "[$-0E0000]yyyy-mm-dd")</f>
        <v/>
      </c>
      <c r="C58019" t="inlineStr">
        <is>
          <t>2058-09-20</t>
        </is>
      </c>
    </row>
    <row r="58020">
      <c r="A58020" s="1" t="n">
        <v>58019</v>
      </c>
      <c r="B58020">
        <f>TEXT(58019, "[$-0E0000]yyyy-mm-dd")</f>
        <v/>
      </c>
      <c r="C58020" t="inlineStr">
        <is>
          <t>2058-09-21</t>
        </is>
      </c>
    </row>
    <row r="58021">
      <c r="A58021" s="1" t="n">
        <v>58020</v>
      </c>
      <c r="B58021">
        <f>TEXT(58020, "[$-0E0000]yyyy-mm-dd")</f>
        <v/>
      </c>
      <c r="C58021" t="inlineStr">
        <is>
          <t>2058-09-22</t>
        </is>
      </c>
    </row>
    <row r="58022">
      <c r="A58022" s="1" t="n">
        <v>58021</v>
      </c>
      <c r="B58022">
        <f>TEXT(58021, "[$-0E0000]yyyy-mm-dd")</f>
        <v/>
      </c>
      <c r="C58022" t="inlineStr">
        <is>
          <t>2058-09-23</t>
        </is>
      </c>
    </row>
    <row r="58023">
      <c r="A58023" s="1" t="n">
        <v>58022</v>
      </c>
      <c r="B58023">
        <f>TEXT(58022, "[$-0E0000]yyyy-mm-dd")</f>
        <v/>
      </c>
      <c r="C58023" t="inlineStr">
        <is>
          <t>2058-09-24</t>
        </is>
      </c>
    </row>
    <row r="58024">
      <c r="A58024" s="1" t="n">
        <v>58023</v>
      </c>
      <c r="B58024">
        <f>TEXT(58023, "[$-0E0000]yyyy-mm-dd")</f>
        <v/>
      </c>
      <c r="C58024" t="inlineStr">
        <is>
          <t>2058-09-25</t>
        </is>
      </c>
    </row>
    <row r="58025">
      <c r="A58025" s="1" t="n">
        <v>58024</v>
      </c>
      <c r="B58025">
        <f>TEXT(58024, "[$-0E0000]yyyy-mm-dd")</f>
        <v/>
      </c>
      <c r="C58025" t="inlineStr">
        <is>
          <t>2058-09-26</t>
        </is>
      </c>
    </row>
    <row r="58026">
      <c r="A58026" s="1" t="n">
        <v>58025</v>
      </c>
      <c r="B58026">
        <f>TEXT(58025, "[$-0E0000]yyyy-mm-dd")</f>
        <v/>
      </c>
      <c r="C58026" t="inlineStr">
        <is>
          <t>2058-09-27</t>
        </is>
      </c>
    </row>
    <row r="58027">
      <c r="A58027" s="1" t="n">
        <v>58026</v>
      </c>
      <c r="B58027">
        <f>TEXT(58026, "[$-0E0000]yyyy-mm-dd")</f>
        <v/>
      </c>
      <c r="C58027" t="inlineStr">
        <is>
          <t>2058-09-28</t>
        </is>
      </c>
    </row>
    <row r="58028">
      <c r="A58028" s="1" t="n">
        <v>58027</v>
      </c>
      <c r="B58028">
        <f>TEXT(58027, "[$-0E0000]yyyy-mm-dd")</f>
        <v/>
      </c>
      <c r="C58028" t="inlineStr">
        <is>
          <t>2058-09-29</t>
        </is>
      </c>
    </row>
    <row r="58029">
      <c r="A58029" s="1" t="n">
        <v>58028</v>
      </c>
      <c r="B58029">
        <f>TEXT(58028, "[$-0E0000]yyyy-mm-dd")</f>
        <v/>
      </c>
      <c r="C58029" t="inlineStr">
        <is>
          <t>2058-09-30</t>
        </is>
      </c>
    </row>
    <row r="58030">
      <c r="A58030" s="1" t="n">
        <v>58029</v>
      </c>
      <c r="B58030">
        <f>TEXT(58029, "[$-0E0000]yyyy-mm-dd")</f>
        <v/>
      </c>
      <c r="C58030" t="inlineStr">
        <is>
          <t>2058-10-01</t>
        </is>
      </c>
    </row>
    <row r="58031">
      <c r="A58031" s="1" t="n">
        <v>58030</v>
      </c>
      <c r="B58031">
        <f>TEXT(58030, "[$-0E0000]yyyy-mm-dd")</f>
        <v/>
      </c>
      <c r="C58031" t="inlineStr">
        <is>
          <t>2058-10-02</t>
        </is>
      </c>
    </row>
    <row r="58032">
      <c r="A58032" s="1" t="n">
        <v>58031</v>
      </c>
      <c r="B58032">
        <f>TEXT(58031, "[$-0E0000]yyyy-mm-dd")</f>
        <v/>
      </c>
      <c r="C58032" t="inlineStr">
        <is>
          <t>2058-10-03</t>
        </is>
      </c>
    </row>
    <row r="58033">
      <c r="A58033" s="1" t="n">
        <v>58032</v>
      </c>
      <c r="B58033">
        <f>TEXT(58032, "[$-0E0000]yyyy-mm-dd")</f>
        <v/>
      </c>
      <c r="C58033" t="inlineStr">
        <is>
          <t>2058-10-04</t>
        </is>
      </c>
    </row>
    <row r="58034">
      <c r="A58034" s="1" t="n">
        <v>58033</v>
      </c>
      <c r="B58034">
        <f>TEXT(58033, "[$-0E0000]yyyy-mm-dd")</f>
        <v/>
      </c>
      <c r="C58034" t="inlineStr">
        <is>
          <t>2058-10-05</t>
        </is>
      </c>
    </row>
    <row r="58035">
      <c r="A58035" s="1" t="n">
        <v>58034</v>
      </c>
      <c r="B58035">
        <f>TEXT(58034, "[$-0E0000]yyyy-mm-dd")</f>
        <v/>
      </c>
      <c r="C58035" t="inlineStr">
        <is>
          <t>2058-10-06</t>
        </is>
      </c>
    </row>
    <row r="58036">
      <c r="A58036" s="1" t="n">
        <v>58035</v>
      </c>
      <c r="B58036">
        <f>TEXT(58035, "[$-0E0000]yyyy-mm-dd")</f>
        <v/>
      </c>
      <c r="C58036" t="inlineStr">
        <is>
          <t>2058-10-07</t>
        </is>
      </c>
    </row>
    <row r="58037">
      <c r="A58037" s="1" t="n">
        <v>58036</v>
      </c>
      <c r="B58037">
        <f>TEXT(58036, "[$-0E0000]yyyy-mm-dd")</f>
        <v/>
      </c>
      <c r="C58037" t="inlineStr">
        <is>
          <t>2058-10-08</t>
        </is>
      </c>
    </row>
    <row r="58038">
      <c r="A58038" s="1" t="n">
        <v>58037</v>
      </c>
      <c r="B58038">
        <f>TEXT(58037, "[$-0E0000]yyyy-mm-dd")</f>
        <v/>
      </c>
      <c r="C58038" t="inlineStr">
        <is>
          <t>2058-10-09</t>
        </is>
      </c>
    </row>
    <row r="58039">
      <c r="A58039" s="1" t="n">
        <v>58038</v>
      </c>
      <c r="B58039">
        <f>TEXT(58038, "[$-0E0000]yyyy-mm-dd")</f>
        <v/>
      </c>
      <c r="C58039" t="inlineStr">
        <is>
          <t>2058-10-10</t>
        </is>
      </c>
    </row>
    <row r="58040">
      <c r="A58040" s="1" t="n">
        <v>58039</v>
      </c>
      <c r="B58040">
        <f>TEXT(58039, "[$-0E0000]yyyy-mm-dd")</f>
        <v/>
      </c>
      <c r="C58040" t="inlineStr">
        <is>
          <t>2058-10-11</t>
        </is>
      </c>
    </row>
    <row r="58041">
      <c r="A58041" s="1" t="n">
        <v>58040</v>
      </c>
      <c r="B58041">
        <f>TEXT(58040, "[$-0E0000]yyyy-mm-dd")</f>
        <v/>
      </c>
      <c r="C58041" t="inlineStr">
        <is>
          <t>2058-10-12</t>
        </is>
      </c>
    </row>
    <row r="58042">
      <c r="A58042" s="1" t="n">
        <v>58041</v>
      </c>
      <c r="B58042">
        <f>TEXT(58041, "[$-0E0000]yyyy-mm-dd")</f>
        <v/>
      </c>
      <c r="C58042" t="inlineStr">
        <is>
          <t>2058-10-13</t>
        </is>
      </c>
    </row>
    <row r="58043">
      <c r="A58043" s="1" t="n">
        <v>58042</v>
      </c>
      <c r="B58043">
        <f>TEXT(58042, "[$-0E0000]yyyy-mm-dd")</f>
        <v/>
      </c>
      <c r="C58043" t="inlineStr">
        <is>
          <t>2058-10-14</t>
        </is>
      </c>
    </row>
    <row r="58044">
      <c r="A58044" s="1" t="n">
        <v>58043</v>
      </c>
      <c r="B58044">
        <f>TEXT(58043, "[$-0E0000]yyyy-mm-dd")</f>
        <v/>
      </c>
      <c r="C58044" t="inlineStr">
        <is>
          <t>2058-10-15</t>
        </is>
      </c>
    </row>
    <row r="58045">
      <c r="A58045" s="1" t="n">
        <v>58044</v>
      </c>
      <c r="B58045">
        <f>TEXT(58044, "[$-0E0000]yyyy-mm-dd")</f>
        <v/>
      </c>
      <c r="C58045" t="inlineStr">
        <is>
          <t>2058-10-16</t>
        </is>
      </c>
    </row>
    <row r="58046">
      <c r="A58046" s="1" t="n">
        <v>58045</v>
      </c>
      <c r="B58046">
        <f>TEXT(58045, "[$-0E0000]yyyy-mm-dd")</f>
        <v/>
      </c>
      <c r="C58046" t="inlineStr">
        <is>
          <t>2058-10-17</t>
        </is>
      </c>
    </row>
    <row r="58047">
      <c r="A58047" s="1" t="n">
        <v>58046</v>
      </c>
      <c r="B58047">
        <f>TEXT(58046, "[$-0E0000]yyyy-mm-dd")</f>
        <v/>
      </c>
      <c r="C58047" t="inlineStr">
        <is>
          <t>2058-10-18</t>
        </is>
      </c>
    </row>
    <row r="58048">
      <c r="A58048" s="1" t="n">
        <v>58047</v>
      </c>
      <c r="B58048">
        <f>TEXT(58047, "[$-0E0000]yyyy-mm-dd")</f>
        <v/>
      </c>
      <c r="C58048" t="inlineStr">
        <is>
          <t>2058-10-19</t>
        </is>
      </c>
    </row>
    <row r="58049">
      <c r="A58049" s="1" t="n">
        <v>58048</v>
      </c>
      <c r="B58049">
        <f>TEXT(58048, "[$-0E0000]yyyy-mm-dd")</f>
        <v/>
      </c>
      <c r="C58049" t="inlineStr">
        <is>
          <t>2058-10-20</t>
        </is>
      </c>
    </row>
    <row r="58050">
      <c r="A58050" s="1" t="n">
        <v>58049</v>
      </c>
      <c r="B58050">
        <f>TEXT(58049, "[$-0E0000]yyyy-mm-dd")</f>
        <v/>
      </c>
      <c r="C58050" t="inlineStr">
        <is>
          <t>2058-10-21</t>
        </is>
      </c>
    </row>
    <row r="58051">
      <c r="A58051" s="1" t="n">
        <v>58050</v>
      </c>
      <c r="B58051">
        <f>TEXT(58050, "[$-0E0000]yyyy-mm-dd")</f>
        <v/>
      </c>
      <c r="C58051" t="inlineStr">
        <is>
          <t>2058-10-22</t>
        </is>
      </c>
    </row>
    <row r="58052">
      <c r="A58052" s="1" t="n">
        <v>58051</v>
      </c>
      <c r="B58052">
        <f>TEXT(58051, "[$-0E0000]yyyy-mm-dd")</f>
        <v/>
      </c>
      <c r="C58052" t="inlineStr">
        <is>
          <t>2058-10-23</t>
        </is>
      </c>
    </row>
    <row r="58053">
      <c r="A58053" s="1" t="n">
        <v>58052</v>
      </c>
      <c r="B58053">
        <f>TEXT(58052, "[$-0E0000]yyyy-mm-dd")</f>
        <v/>
      </c>
      <c r="C58053" t="inlineStr">
        <is>
          <t>2058-10-24</t>
        </is>
      </c>
    </row>
    <row r="58054">
      <c r="A58054" s="1" t="n">
        <v>58053</v>
      </c>
      <c r="B58054">
        <f>TEXT(58053, "[$-0E0000]yyyy-mm-dd")</f>
        <v/>
      </c>
      <c r="C58054" t="inlineStr">
        <is>
          <t>2058-10-25</t>
        </is>
      </c>
    </row>
    <row r="58055">
      <c r="A58055" s="1" t="n">
        <v>58054</v>
      </c>
      <c r="B58055">
        <f>TEXT(58054, "[$-0E0000]yyyy-mm-dd")</f>
        <v/>
      </c>
      <c r="C58055" t="inlineStr">
        <is>
          <t>2058-10-26</t>
        </is>
      </c>
    </row>
    <row r="58056">
      <c r="A58056" s="1" t="n">
        <v>58055</v>
      </c>
      <c r="B58056">
        <f>TEXT(58055, "[$-0E0000]yyyy-mm-dd")</f>
        <v/>
      </c>
      <c r="C58056" t="inlineStr">
        <is>
          <t>2058-10-27</t>
        </is>
      </c>
    </row>
    <row r="58057">
      <c r="A58057" s="1" t="n">
        <v>58056</v>
      </c>
      <c r="B58057">
        <f>TEXT(58056, "[$-0E0000]yyyy-mm-dd")</f>
        <v/>
      </c>
      <c r="C58057" t="inlineStr">
        <is>
          <t>2058-10-28</t>
        </is>
      </c>
    </row>
    <row r="58058">
      <c r="A58058" s="1" t="n">
        <v>58057</v>
      </c>
      <c r="B58058">
        <f>TEXT(58057, "[$-0E0000]yyyy-mm-dd")</f>
        <v/>
      </c>
      <c r="C58058" t="inlineStr">
        <is>
          <t>2058-10-29</t>
        </is>
      </c>
    </row>
    <row r="58059">
      <c r="A58059" s="1" t="n">
        <v>58058</v>
      </c>
      <c r="B58059">
        <f>TEXT(58058, "[$-0E0000]yyyy-mm-dd")</f>
        <v/>
      </c>
      <c r="C58059" t="inlineStr">
        <is>
          <t>2058-10-30</t>
        </is>
      </c>
    </row>
    <row r="58060">
      <c r="A58060" s="1" t="n">
        <v>58059</v>
      </c>
      <c r="B58060">
        <f>TEXT(58059, "[$-0E0000]yyyy-mm-dd")</f>
        <v/>
      </c>
      <c r="C58060" t="inlineStr">
        <is>
          <t>2058-11-01</t>
        </is>
      </c>
    </row>
    <row r="58061">
      <c r="A58061" s="1" t="n">
        <v>58060</v>
      </c>
      <c r="B58061">
        <f>TEXT(58060, "[$-0E0000]yyyy-mm-dd")</f>
        <v/>
      </c>
      <c r="C58061" t="inlineStr">
        <is>
          <t>2058-11-02</t>
        </is>
      </c>
    </row>
    <row r="58062">
      <c r="A58062" s="1" t="n">
        <v>58061</v>
      </c>
      <c r="B58062">
        <f>TEXT(58061, "[$-0E0000]yyyy-mm-dd")</f>
        <v/>
      </c>
      <c r="C58062" t="inlineStr">
        <is>
          <t>2058-11-03</t>
        </is>
      </c>
    </row>
    <row r="58063">
      <c r="A58063" s="1" t="n">
        <v>58062</v>
      </c>
      <c r="B58063">
        <f>TEXT(58062, "[$-0E0000]yyyy-mm-dd")</f>
        <v/>
      </c>
      <c r="C58063" t="inlineStr">
        <is>
          <t>2058-11-04</t>
        </is>
      </c>
    </row>
    <row r="58064">
      <c r="A58064" s="1" t="n">
        <v>58063</v>
      </c>
      <c r="B58064">
        <f>TEXT(58063, "[$-0E0000]yyyy-mm-dd")</f>
        <v/>
      </c>
      <c r="C58064" t="inlineStr">
        <is>
          <t>2058-11-05</t>
        </is>
      </c>
    </row>
    <row r="58065">
      <c r="A58065" s="1" t="n">
        <v>58064</v>
      </c>
      <c r="B58065">
        <f>TEXT(58064, "[$-0E0000]yyyy-mm-dd")</f>
        <v/>
      </c>
      <c r="C58065" t="inlineStr">
        <is>
          <t>2058-11-06</t>
        </is>
      </c>
    </row>
    <row r="58066">
      <c r="A58066" s="1" t="n">
        <v>58065</v>
      </c>
      <c r="B58066">
        <f>TEXT(58065, "[$-0E0000]yyyy-mm-dd")</f>
        <v/>
      </c>
      <c r="C58066" t="inlineStr">
        <is>
          <t>2058-11-07</t>
        </is>
      </c>
    </row>
    <row r="58067">
      <c r="A58067" s="1" t="n">
        <v>58066</v>
      </c>
      <c r="B58067">
        <f>TEXT(58066, "[$-0E0000]yyyy-mm-dd")</f>
        <v/>
      </c>
      <c r="C58067" t="inlineStr">
        <is>
          <t>2058-11-08</t>
        </is>
      </c>
    </row>
    <row r="58068">
      <c r="A58068" s="1" t="n">
        <v>58067</v>
      </c>
      <c r="B58068">
        <f>TEXT(58067, "[$-0E0000]yyyy-mm-dd")</f>
        <v/>
      </c>
      <c r="C58068" t="inlineStr">
        <is>
          <t>2058-11-09</t>
        </is>
      </c>
    </row>
    <row r="58069">
      <c r="A58069" s="1" t="n">
        <v>58068</v>
      </c>
      <c r="B58069">
        <f>TEXT(58068, "[$-0E0000]yyyy-mm-dd")</f>
        <v/>
      </c>
      <c r="C58069" t="inlineStr">
        <is>
          <t>2058-11-10</t>
        </is>
      </c>
    </row>
    <row r="58070">
      <c r="A58070" s="1" t="n">
        <v>58069</v>
      </c>
      <c r="B58070">
        <f>TEXT(58069, "[$-0E0000]yyyy-mm-dd")</f>
        <v/>
      </c>
      <c r="C58070" t="inlineStr">
        <is>
          <t>2058-11-11</t>
        </is>
      </c>
    </row>
    <row r="58071">
      <c r="A58071" s="1" t="n">
        <v>58070</v>
      </c>
      <c r="B58071">
        <f>TEXT(58070, "[$-0E0000]yyyy-mm-dd")</f>
        <v/>
      </c>
      <c r="C58071" t="inlineStr">
        <is>
          <t>2058-11-12</t>
        </is>
      </c>
    </row>
    <row r="58072">
      <c r="A58072" s="1" t="n">
        <v>58071</v>
      </c>
      <c r="B58072">
        <f>TEXT(58071, "[$-0E0000]yyyy-mm-dd")</f>
        <v/>
      </c>
      <c r="C58072" t="inlineStr">
        <is>
          <t>2058-11-13</t>
        </is>
      </c>
    </row>
    <row r="58073">
      <c r="A58073" s="1" t="n">
        <v>58072</v>
      </c>
      <c r="B58073">
        <f>TEXT(58072, "[$-0E0000]yyyy-mm-dd")</f>
        <v/>
      </c>
      <c r="C58073" t="inlineStr">
        <is>
          <t>2058-11-14</t>
        </is>
      </c>
    </row>
    <row r="58074">
      <c r="A58074" s="1" t="n">
        <v>58073</v>
      </c>
      <c r="B58074">
        <f>TEXT(58073, "[$-0E0000]yyyy-mm-dd")</f>
        <v/>
      </c>
      <c r="C58074" t="inlineStr">
        <is>
          <t>2058-11-15</t>
        </is>
      </c>
    </row>
    <row r="58075">
      <c r="A58075" s="1" t="n">
        <v>58074</v>
      </c>
      <c r="B58075">
        <f>TEXT(58074, "[$-0E0000]yyyy-mm-dd")</f>
        <v/>
      </c>
      <c r="C58075" t="inlineStr">
        <is>
          <t>2058-11-16</t>
        </is>
      </c>
    </row>
    <row r="58076">
      <c r="A58076" s="1" t="n">
        <v>58075</v>
      </c>
      <c r="B58076">
        <f>TEXT(58075, "[$-0E0000]yyyy-mm-dd")</f>
        <v/>
      </c>
      <c r="C58076" t="inlineStr">
        <is>
          <t>2058-11-17</t>
        </is>
      </c>
    </row>
    <row r="58077">
      <c r="A58077" s="1" t="n">
        <v>58076</v>
      </c>
      <c r="B58077">
        <f>TEXT(58076, "[$-0E0000]yyyy-mm-dd")</f>
        <v/>
      </c>
      <c r="C58077" t="inlineStr">
        <is>
          <t>2058-11-18</t>
        </is>
      </c>
    </row>
    <row r="58078">
      <c r="A58078" s="1" t="n">
        <v>58077</v>
      </c>
      <c r="B58078">
        <f>TEXT(58077, "[$-0E0000]yyyy-mm-dd")</f>
        <v/>
      </c>
      <c r="C58078" t="inlineStr">
        <is>
          <t>2058-11-19</t>
        </is>
      </c>
    </row>
    <row r="58079">
      <c r="A58079" s="1" t="n">
        <v>58078</v>
      </c>
      <c r="B58079">
        <f>TEXT(58078, "[$-0E0000]yyyy-mm-dd")</f>
        <v/>
      </c>
      <c r="C58079" t="inlineStr">
        <is>
          <t>2058-11-20</t>
        </is>
      </c>
    </row>
    <row r="58080">
      <c r="A58080" s="1" t="n">
        <v>58079</v>
      </c>
      <c r="B58080">
        <f>TEXT(58079, "[$-0E0000]yyyy-mm-dd")</f>
        <v/>
      </c>
      <c r="C58080" t="inlineStr">
        <is>
          <t>2058-11-21</t>
        </is>
      </c>
    </row>
    <row r="58081">
      <c r="A58081" s="1" t="n">
        <v>58080</v>
      </c>
      <c r="B58081">
        <f>TEXT(58080, "[$-0E0000]yyyy-mm-dd")</f>
        <v/>
      </c>
      <c r="C58081" t="inlineStr">
        <is>
          <t>2058-11-22</t>
        </is>
      </c>
    </row>
    <row r="58082">
      <c r="A58082" s="1" t="n">
        <v>58081</v>
      </c>
      <c r="B58082">
        <f>TEXT(58081, "[$-0E0000]yyyy-mm-dd")</f>
        <v/>
      </c>
      <c r="C58082" t="inlineStr">
        <is>
          <t>2058-11-23</t>
        </is>
      </c>
    </row>
    <row r="58083">
      <c r="A58083" s="1" t="n">
        <v>58082</v>
      </c>
      <c r="B58083">
        <f>TEXT(58082, "[$-0E0000]yyyy-mm-dd")</f>
        <v/>
      </c>
      <c r="C58083" t="inlineStr">
        <is>
          <t>2058-11-24</t>
        </is>
      </c>
    </row>
    <row r="58084">
      <c r="A58084" s="1" t="n">
        <v>58083</v>
      </c>
      <c r="B58084">
        <f>TEXT(58083, "[$-0E0000]yyyy-mm-dd")</f>
        <v/>
      </c>
      <c r="C58084" t="inlineStr">
        <is>
          <t>2058-11-25</t>
        </is>
      </c>
    </row>
    <row r="58085">
      <c r="A58085" s="1" t="n">
        <v>58084</v>
      </c>
      <c r="B58085">
        <f>TEXT(58084, "[$-0E0000]yyyy-mm-dd")</f>
        <v/>
      </c>
      <c r="C58085" t="inlineStr">
        <is>
          <t>2058-11-26</t>
        </is>
      </c>
    </row>
    <row r="58086">
      <c r="A58086" s="1" t="n">
        <v>58085</v>
      </c>
      <c r="B58086">
        <f>TEXT(58085, "[$-0E0000]yyyy-mm-dd")</f>
        <v/>
      </c>
      <c r="C58086" t="inlineStr">
        <is>
          <t>2058-11-27</t>
        </is>
      </c>
    </row>
    <row r="58087">
      <c r="A58087" s="1" t="n">
        <v>58086</v>
      </c>
      <c r="B58087">
        <f>TEXT(58086, "[$-0E0000]yyyy-mm-dd")</f>
        <v/>
      </c>
      <c r="C58087" t="inlineStr">
        <is>
          <t>2058-11-28</t>
        </is>
      </c>
    </row>
    <row r="58088">
      <c r="A58088" s="1" t="n">
        <v>58087</v>
      </c>
      <c r="B58088">
        <f>TEXT(58087, "[$-0E0000]yyyy-mm-dd")</f>
        <v/>
      </c>
      <c r="C58088" t="inlineStr">
        <is>
          <t>2058-11-29</t>
        </is>
      </c>
    </row>
    <row r="58089">
      <c r="A58089" s="1" t="n">
        <v>58088</v>
      </c>
      <c r="B58089">
        <f>TEXT(58088, "[$-0E0000]yyyy-mm-dd")</f>
        <v/>
      </c>
      <c r="C58089" t="inlineStr">
        <is>
          <t>2058-12-01</t>
        </is>
      </c>
    </row>
    <row r="58090">
      <c r="A58090" s="1" t="n">
        <v>58089</v>
      </c>
      <c r="B58090">
        <f>TEXT(58089, "[$-0E0000]yyyy-mm-dd")</f>
        <v/>
      </c>
      <c r="C58090" t="inlineStr">
        <is>
          <t>2058-12-02</t>
        </is>
      </c>
    </row>
    <row r="58091">
      <c r="A58091" s="1" t="n">
        <v>58090</v>
      </c>
      <c r="B58091">
        <f>TEXT(58090, "[$-0E0000]yyyy-mm-dd")</f>
        <v/>
      </c>
      <c r="C58091" t="inlineStr">
        <is>
          <t>2058-12-03</t>
        </is>
      </c>
    </row>
    <row r="58092">
      <c r="A58092" s="1" t="n">
        <v>58091</v>
      </c>
      <c r="B58092">
        <f>TEXT(58091, "[$-0E0000]yyyy-mm-dd")</f>
        <v/>
      </c>
      <c r="C58092" t="inlineStr">
        <is>
          <t>2058-12-04</t>
        </is>
      </c>
    </row>
    <row r="58093">
      <c r="A58093" s="1" t="n">
        <v>58092</v>
      </c>
      <c r="B58093">
        <f>TEXT(58092, "[$-0E0000]yyyy-mm-dd")</f>
        <v/>
      </c>
      <c r="C58093" t="inlineStr">
        <is>
          <t>2058-12-05</t>
        </is>
      </c>
    </row>
    <row r="58094">
      <c r="A58094" s="1" t="n">
        <v>58093</v>
      </c>
      <c r="B58094">
        <f>TEXT(58093, "[$-0E0000]yyyy-mm-dd")</f>
        <v/>
      </c>
      <c r="C58094" t="inlineStr">
        <is>
          <t>2058-12-06</t>
        </is>
      </c>
    </row>
    <row r="58095">
      <c r="A58095" s="1" t="n">
        <v>58094</v>
      </c>
      <c r="B58095">
        <f>TEXT(58094, "[$-0E0000]yyyy-mm-dd")</f>
        <v/>
      </c>
      <c r="C58095" t="inlineStr">
        <is>
          <t>2058-12-07</t>
        </is>
      </c>
    </row>
    <row r="58096">
      <c r="A58096" s="1" t="n">
        <v>58095</v>
      </c>
      <c r="B58096">
        <f>TEXT(58095, "[$-0E0000]yyyy-mm-dd")</f>
        <v/>
      </c>
      <c r="C58096" t="inlineStr">
        <is>
          <t>2058-12-08</t>
        </is>
      </c>
    </row>
    <row r="58097">
      <c r="A58097" s="1" t="n">
        <v>58096</v>
      </c>
      <c r="B58097">
        <f>TEXT(58096, "[$-0E0000]yyyy-mm-dd")</f>
        <v/>
      </c>
      <c r="C58097" t="inlineStr">
        <is>
          <t>2058-12-09</t>
        </is>
      </c>
    </row>
    <row r="58098">
      <c r="A58098" s="1" t="n">
        <v>58097</v>
      </c>
      <c r="B58098">
        <f>TEXT(58097, "[$-0E0000]yyyy-mm-dd")</f>
        <v/>
      </c>
      <c r="C58098" t="inlineStr">
        <is>
          <t>2058-12-10</t>
        </is>
      </c>
    </row>
    <row r="58099">
      <c r="A58099" s="1" t="n">
        <v>58098</v>
      </c>
      <c r="B58099">
        <f>TEXT(58098, "[$-0E0000]yyyy-mm-dd")</f>
        <v/>
      </c>
      <c r="C58099" t="inlineStr">
        <is>
          <t>2058-12-11</t>
        </is>
      </c>
    </row>
    <row r="58100">
      <c r="A58100" s="1" t="n">
        <v>58099</v>
      </c>
      <c r="B58100">
        <f>TEXT(58099, "[$-0E0000]yyyy-mm-dd")</f>
        <v/>
      </c>
      <c r="C58100" t="inlineStr">
        <is>
          <t>2058-12-12</t>
        </is>
      </c>
    </row>
    <row r="58101">
      <c r="A58101" s="1" t="n">
        <v>58100</v>
      </c>
      <c r="B58101">
        <f>TEXT(58100, "[$-0E0000]yyyy-mm-dd")</f>
        <v/>
      </c>
      <c r="C58101" t="inlineStr">
        <is>
          <t>2058-12-13</t>
        </is>
      </c>
    </row>
    <row r="58102">
      <c r="A58102" s="1" t="n">
        <v>58101</v>
      </c>
      <c r="B58102">
        <f>TEXT(58101, "[$-0E0000]yyyy-mm-dd")</f>
        <v/>
      </c>
      <c r="C58102" t="inlineStr">
        <is>
          <t>2058-12-14</t>
        </is>
      </c>
    </row>
    <row r="58103">
      <c r="A58103" s="1" t="n">
        <v>58102</v>
      </c>
      <c r="B58103">
        <f>TEXT(58102, "[$-0E0000]yyyy-mm-dd")</f>
        <v/>
      </c>
      <c r="C58103" t="inlineStr">
        <is>
          <t>2058-12-15</t>
        </is>
      </c>
    </row>
    <row r="58104">
      <c r="A58104" s="1" t="n">
        <v>58103</v>
      </c>
      <c r="B58104">
        <f>TEXT(58103, "[$-0E0000]yyyy-mm-dd")</f>
        <v/>
      </c>
      <c r="C58104" t="inlineStr">
        <is>
          <t>2058-12-16</t>
        </is>
      </c>
    </row>
    <row r="58105">
      <c r="A58105" s="1" t="n">
        <v>58104</v>
      </c>
      <c r="B58105">
        <f>TEXT(58104, "[$-0E0000]yyyy-mm-dd")</f>
        <v/>
      </c>
      <c r="C58105" t="inlineStr">
        <is>
          <t>2058-12-17</t>
        </is>
      </c>
    </row>
    <row r="58106">
      <c r="A58106" s="1" t="n">
        <v>58105</v>
      </c>
      <c r="B58106">
        <f>TEXT(58105, "[$-0E0000]yyyy-mm-dd")</f>
        <v/>
      </c>
      <c r="C58106" t="inlineStr">
        <is>
          <t>2058-12-18</t>
        </is>
      </c>
    </row>
    <row r="58107">
      <c r="A58107" s="1" t="n">
        <v>58106</v>
      </c>
      <c r="B58107">
        <f>TEXT(58106, "[$-0E0000]yyyy-mm-dd")</f>
        <v/>
      </c>
      <c r="C58107" t="inlineStr">
        <is>
          <t>2058-12-19</t>
        </is>
      </c>
    </row>
    <row r="58108">
      <c r="A58108" s="1" t="n">
        <v>58107</v>
      </c>
      <c r="B58108">
        <f>TEXT(58107, "[$-0E0000]yyyy-mm-dd")</f>
        <v/>
      </c>
      <c r="C58108" t="inlineStr">
        <is>
          <t>2058-12-20</t>
        </is>
      </c>
    </row>
    <row r="58109">
      <c r="A58109" s="1" t="n">
        <v>58108</v>
      </c>
      <c r="B58109">
        <f>TEXT(58108, "[$-0E0000]yyyy-mm-dd")</f>
        <v/>
      </c>
      <c r="C58109" t="inlineStr">
        <is>
          <t>2058-12-21</t>
        </is>
      </c>
    </row>
    <row r="58110">
      <c r="A58110" s="1" t="n">
        <v>58109</v>
      </c>
      <c r="B58110">
        <f>TEXT(58109, "[$-0E0000]yyyy-mm-dd")</f>
        <v/>
      </c>
      <c r="C58110" t="inlineStr">
        <is>
          <t>2058-12-22</t>
        </is>
      </c>
    </row>
    <row r="58111">
      <c r="A58111" s="1" t="n">
        <v>58110</v>
      </c>
      <c r="B58111">
        <f>TEXT(58110, "[$-0E0000]yyyy-mm-dd")</f>
        <v/>
      </c>
      <c r="C58111" t="inlineStr">
        <is>
          <t>2058-12-23</t>
        </is>
      </c>
    </row>
    <row r="58112">
      <c r="A58112" s="1" t="n">
        <v>58111</v>
      </c>
      <c r="B58112">
        <f>TEXT(58111, "[$-0E0000]yyyy-mm-dd")</f>
        <v/>
      </c>
      <c r="C58112" t="inlineStr">
        <is>
          <t>2058-12-24</t>
        </is>
      </c>
    </row>
    <row r="58113">
      <c r="A58113" s="1" t="n">
        <v>58112</v>
      </c>
      <c r="B58113">
        <f>TEXT(58112, "[$-0E0000]yyyy-mm-dd")</f>
        <v/>
      </c>
      <c r="C58113" t="inlineStr">
        <is>
          <t>2058-12-25</t>
        </is>
      </c>
    </row>
    <row r="58114">
      <c r="A58114" s="1" t="n">
        <v>58113</v>
      </c>
      <c r="B58114">
        <f>TEXT(58113, "[$-0E0000]yyyy-mm-dd")</f>
        <v/>
      </c>
      <c r="C58114" t="inlineStr">
        <is>
          <t>2058-12-26</t>
        </is>
      </c>
    </row>
    <row r="58115">
      <c r="A58115" s="1" t="n">
        <v>58114</v>
      </c>
      <c r="B58115">
        <f>TEXT(58114, "[$-0E0000]yyyy-mm-dd")</f>
        <v/>
      </c>
      <c r="C58115" t="inlineStr">
        <is>
          <t>2058-12-27</t>
        </is>
      </c>
    </row>
    <row r="58116">
      <c r="A58116" s="1" t="n">
        <v>58115</v>
      </c>
      <c r="B58116">
        <f>TEXT(58115, "[$-0E0000]yyyy-mm-dd")</f>
        <v/>
      </c>
      <c r="C58116" t="inlineStr">
        <is>
          <t>2058-12-28</t>
        </is>
      </c>
    </row>
    <row r="58117">
      <c r="A58117" s="1" t="n">
        <v>58116</v>
      </c>
      <c r="B58117">
        <f>TEXT(58116, "[$-0E0000]yyyy-mm-dd")</f>
        <v/>
      </c>
      <c r="C58117" t="inlineStr">
        <is>
          <t>2058-12-29</t>
        </is>
      </c>
    </row>
    <row r="58118">
      <c r="A58118" s="1" t="n">
        <v>58117</v>
      </c>
      <c r="B58118">
        <f>TEXT(58117, "[$-0E0000]yyyy-mm-dd")</f>
        <v/>
      </c>
      <c r="C58118" t="inlineStr">
        <is>
          <t>2059-01-01</t>
        </is>
      </c>
    </row>
    <row r="58119">
      <c r="A58119" s="1" t="n">
        <v>58118</v>
      </c>
      <c r="B58119">
        <f>TEXT(58118, "[$-0E0000]yyyy-mm-dd")</f>
        <v/>
      </c>
      <c r="C58119" t="inlineStr">
        <is>
          <t>2059-01-02</t>
        </is>
      </c>
    </row>
    <row r="58120">
      <c r="A58120" s="1" t="n">
        <v>58119</v>
      </c>
      <c r="B58120">
        <f>TEXT(58119, "[$-0E0000]yyyy-mm-dd")</f>
        <v/>
      </c>
      <c r="C58120" t="inlineStr">
        <is>
          <t>2059-01-03</t>
        </is>
      </c>
    </row>
    <row r="58121">
      <c r="A58121" s="1" t="n">
        <v>58120</v>
      </c>
      <c r="B58121">
        <f>TEXT(58120, "[$-0E0000]yyyy-mm-dd")</f>
        <v/>
      </c>
      <c r="C58121" t="inlineStr">
        <is>
          <t>2059-01-04</t>
        </is>
      </c>
    </row>
    <row r="58122">
      <c r="A58122" s="1" t="n">
        <v>58121</v>
      </c>
      <c r="B58122">
        <f>TEXT(58121, "[$-0E0000]yyyy-mm-dd")</f>
        <v/>
      </c>
      <c r="C58122" t="inlineStr">
        <is>
          <t>2059-01-05</t>
        </is>
      </c>
    </row>
    <row r="58123">
      <c r="A58123" s="1" t="n">
        <v>58122</v>
      </c>
      <c r="B58123">
        <f>TEXT(58122, "[$-0E0000]yyyy-mm-dd")</f>
        <v/>
      </c>
      <c r="C58123" t="inlineStr">
        <is>
          <t>2059-01-06</t>
        </is>
      </c>
    </row>
    <row r="58124">
      <c r="A58124" s="1" t="n">
        <v>58123</v>
      </c>
      <c r="B58124">
        <f>TEXT(58123, "[$-0E0000]yyyy-mm-dd")</f>
        <v/>
      </c>
      <c r="C58124" t="inlineStr">
        <is>
          <t>2059-01-07</t>
        </is>
      </c>
    </row>
    <row r="58125">
      <c r="A58125" s="1" t="n">
        <v>58124</v>
      </c>
      <c r="B58125">
        <f>TEXT(58124, "[$-0E0000]yyyy-mm-dd")</f>
        <v/>
      </c>
      <c r="C58125" t="inlineStr">
        <is>
          <t>2059-01-08</t>
        </is>
      </c>
    </row>
    <row r="58126">
      <c r="A58126" s="1" t="n">
        <v>58125</v>
      </c>
      <c r="B58126">
        <f>TEXT(58125, "[$-0E0000]yyyy-mm-dd")</f>
        <v/>
      </c>
      <c r="C58126" t="inlineStr">
        <is>
          <t>2059-01-09</t>
        </is>
      </c>
    </row>
    <row r="58127">
      <c r="A58127" s="1" t="n">
        <v>58126</v>
      </c>
      <c r="B58127">
        <f>TEXT(58126, "[$-0E0000]yyyy-mm-dd")</f>
        <v/>
      </c>
      <c r="C58127" t="inlineStr">
        <is>
          <t>2059-01-10</t>
        </is>
      </c>
    </row>
    <row r="58128">
      <c r="A58128" s="1" t="n">
        <v>58127</v>
      </c>
      <c r="B58128">
        <f>TEXT(58127, "[$-0E0000]yyyy-mm-dd")</f>
        <v/>
      </c>
      <c r="C58128" t="inlineStr">
        <is>
          <t>2059-01-11</t>
        </is>
      </c>
    </row>
    <row r="58129">
      <c r="A58129" s="1" t="n">
        <v>58128</v>
      </c>
      <c r="B58129">
        <f>TEXT(58128, "[$-0E0000]yyyy-mm-dd")</f>
        <v/>
      </c>
      <c r="C58129" t="inlineStr">
        <is>
          <t>2059-01-12</t>
        </is>
      </c>
    </row>
    <row r="58130">
      <c r="A58130" s="1" t="n">
        <v>58129</v>
      </c>
      <c r="B58130">
        <f>TEXT(58129, "[$-0E0000]yyyy-mm-dd")</f>
        <v/>
      </c>
      <c r="C58130" t="inlineStr">
        <is>
          <t>2059-01-13</t>
        </is>
      </c>
    </row>
    <row r="58131">
      <c r="A58131" s="1" t="n">
        <v>58130</v>
      </c>
      <c r="B58131">
        <f>TEXT(58130, "[$-0E0000]yyyy-mm-dd")</f>
        <v/>
      </c>
      <c r="C58131" t="inlineStr">
        <is>
          <t>2059-01-14</t>
        </is>
      </c>
    </row>
    <row r="58132">
      <c r="A58132" s="1" t="n">
        <v>58131</v>
      </c>
      <c r="B58132">
        <f>TEXT(58131, "[$-0E0000]yyyy-mm-dd")</f>
        <v/>
      </c>
      <c r="C58132" t="inlineStr">
        <is>
          <t>2059-01-15</t>
        </is>
      </c>
    </row>
    <row r="58133">
      <c r="A58133" s="1" t="n">
        <v>58132</v>
      </c>
      <c r="B58133">
        <f>TEXT(58132, "[$-0E0000]yyyy-mm-dd")</f>
        <v/>
      </c>
      <c r="C58133" t="inlineStr">
        <is>
          <t>2059-01-16</t>
        </is>
      </c>
    </row>
    <row r="58134">
      <c r="A58134" s="1" t="n">
        <v>58133</v>
      </c>
      <c r="B58134">
        <f>TEXT(58133, "[$-0E0000]yyyy-mm-dd")</f>
        <v/>
      </c>
      <c r="C58134" t="inlineStr">
        <is>
          <t>2059-01-17</t>
        </is>
      </c>
    </row>
    <row r="58135">
      <c r="A58135" s="1" t="n">
        <v>58134</v>
      </c>
      <c r="B58135">
        <f>TEXT(58134, "[$-0E0000]yyyy-mm-dd")</f>
        <v/>
      </c>
      <c r="C58135" t="inlineStr">
        <is>
          <t>2059-01-18</t>
        </is>
      </c>
    </row>
    <row r="58136">
      <c r="A58136" s="1" t="n">
        <v>58135</v>
      </c>
      <c r="B58136">
        <f>TEXT(58135, "[$-0E0000]yyyy-mm-dd")</f>
        <v/>
      </c>
      <c r="C58136" t="inlineStr">
        <is>
          <t>2059-01-19</t>
        </is>
      </c>
    </row>
    <row r="58137">
      <c r="A58137" s="1" t="n">
        <v>58136</v>
      </c>
      <c r="B58137">
        <f>TEXT(58136, "[$-0E0000]yyyy-mm-dd")</f>
        <v/>
      </c>
      <c r="C58137" t="inlineStr">
        <is>
          <t>2059-01-20</t>
        </is>
      </c>
    </row>
    <row r="58138">
      <c r="A58138" s="1" t="n">
        <v>58137</v>
      </c>
      <c r="B58138">
        <f>TEXT(58137, "[$-0E0000]yyyy-mm-dd")</f>
        <v/>
      </c>
      <c r="C58138" t="inlineStr">
        <is>
          <t>2059-01-21</t>
        </is>
      </c>
    </row>
    <row r="58139">
      <c r="A58139" s="1" t="n">
        <v>58138</v>
      </c>
      <c r="B58139">
        <f>TEXT(58138, "[$-0E0000]yyyy-mm-dd")</f>
        <v/>
      </c>
      <c r="C58139" t="inlineStr">
        <is>
          <t>2059-01-22</t>
        </is>
      </c>
    </row>
    <row r="58140">
      <c r="A58140" s="1" t="n">
        <v>58139</v>
      </c>
      <c r="B58140">
        <f>TEXT(58139, "[$-0E0000]yyyy-mm-dd")</f>
        <v/>
      </c>
      <c r="C58140" t="inlineStr">
        <is>
          <t>2059-01-23</t>
        </is>
      </c>
    </row>
    <row r="58141">
      <c r="A58141" s="1" t="n">
        <v>58140</v>
      </c>
      <c r="B58141">
        <f>TEXT(58140, "[$-0E0000]yyyy-mm-dd")</f>
        <v/>
      </c>
      <c r="C58141" t="inlineStr">
        <is>
          <t>2059-01-24</t>
        </is>
      </c>
    </row>
    <row r="58142">
      <c r="A58142" s="1" t="n">
        <v>58141</v>
      </c>
      <c r="B58142">
        <f>TEXT(58141, "[$-0E0000]yyyy-mm-dd")</f>
        <v/>
      </c>
      <c r="C58142" t="inlineStr">
        <is>
          <t>2059-01-25</t>
        </is>
      </c>
    </row>
    <row r="58143">
      <c r="A58143" s="1" t="n">
        <v>58142</v>
      </c>
      <c r="B58143">
        <f>TEXT(58142, "[$-0E0000]yyyy-mm-dd")</f>
        <v/>
      </c>
      <c r="C58143" t="inlineStr">
        <is>
          <t>2059-01-26</t>
        </is>
      </c>
    </row>
    <row r="58144">
      <c r="A58144" s="1" t="n">
        <v>58143</v>
      </c>
      <c r="B58144">
        <f>TEXT(58143, "[$-0E0000]yyyy-mm-dd")</f>
        <v/>
      </c>
      <c r="C58144" t="inlineStr">
        <is>
          <t>2059-01-27</t>
        </is>
      </c>
    </row>
    <row r="58145">
      <c r="A58145" s="1" t="n">
        <v>58144</v>
      </c>
      <c r="B58145">
        <f>TEXT(58144, "[$-0E0000]yyyy-mm-dd")</f>
        <v/>
      </c>
      <c r="C58145" t="inlineStr">
        <is>
          <t>2059-01-28</t>
        </is>
      </c>
    </row>
    <row r="58146">
      <c r="A58146" s="1" t="n">
        <v>58145</v>
      </c>
      <c r="B58146">
        <f>TEXT(58145, "[$-0E0000]yyyy-mm-dd")</f>
        <v/>
      </c>
      <c r="C58146" t="inlineStr">
        <is>
          <t>2059-01-29</t>
        </is>
      </c>
    </row>
    <row r="58147">
      <c r="A58147" s="1" t="n">
        <v>58146</v>
      </c>
      <c r="B58147">
        <f>TEXT(58146, "[$-0E0000]yyyy-mm-dd")</f>
        <v/>
      </c>
      <c r="C58147" t="inlineStr">
        <is>
          <t>2059-01-30</t>
        </is>
      </c>
    </row>
    <row r="58148">
      <c r="A58148" s="1" t="n">
        <v>58147</v>
      </c>
      <c r="B58148">
        <f>TEXT(58147, "[$-0E0000]yyyy-mm-dd")</f>
        <v/>
      </c>
      <c r="C58148" t="inlineStr">
        <is>
          <t>2059-02-01</t>
        </is>
      </c>
    </row>
    <row r="58149">
      <c r="A58149" s="1" t="n">
        <v>58148</v>
      </c>
      <c r="B58149">
        <f>TEXT(58148, "[$-0E0000]yyyy-mm-dd")</f>
        <v/>
      </c>
      <c r="C58149" t="inlineStr">
        <is>
          <t>2059-02-02</t>
        </is>
      </c>
    </row>
    <row r="58150">
      <c r="A58150" s="1" t="n">
        <v>58149</v>
      </c>
      <c r="B58150">
        <f>TEXT(58149, "[$-0E0000]yyyy-mm-dd")</f>
        <v/>
      </c>
      <c r="C58150" t="inlineStr">
        <is>
          <t>2059-02-03</t>
        </is>
      </c>
    </row>
    <row r="58151">
      <c r="A58151" s="1" t="n">
        <v>58150</v>
      </c>
      <c r="B58151">
        <f>TEXT(58150, "[$-0E0000]yyyy-mm-dd")</f>
        <v/>
      </c>
      <c r="C58151" t="inlineStr">
        <is>
          <t>2059-02-04</t>
        </is>
      </c>
    </row>
    <row r="58152">
      <c r="A58152" s="1" t="n">
        <v>58151</v>
      </c>
      <c r="B58152">
        <f>TEXT(58151, "[$-0E0000]yyyy-mm-dd")</f>
        <v/>
      </c>
      <c r="C58152" t="inlineStr">
        <is>
          <t>2059-02-05</t>
        </is>
      </c>
    </row>
    <row r="58153">
      <c r="A58153" s="1" t="n">
        <v>58152</v>
      </c>
      <c r="B58153">
        <f>TEXT(58152, "[$-0E0000]yyyy-mm-dd")</f>
        <v/>
      </c>
      <c r="C58153" t="inlineStr">
        <is>
          <t>2059-02-06</t>
        </is>
      </c>
    </row>
    <row r="58154">
      <c r="A58154" s="1" t="n">
        <v>58153</v>
      </c>
      <c r="B58154">
        <f>TEXT(58153, "[$-0E0000]yyyy-mm-dd")</f>
        <v/>
      </c>
      <c r="C58154" t="inlineStr">
        <is>
          <t>2059-02-07</t>
        </is>
      </c>
    </row>
    <row r="58155">
      <c r="A58155" s="1" t="n">
        <v>58154</v>
      </c>
      <c r="B58155">
        <f>TEXT(58154, "[$-0E0000]yyyy-mm-dd")</f>
        <v/>
      </c>
      <c r="C58155" t="inlineStr">
        <is>
          <t>2059-02-08</t>
        </is>
      </c>
    </row>
    <row r="58156">
      <c r="A58156" s="1" t="n">
        <v>58155</v>
      </c>
      <c r="B58156">
        <f>TEXT(58155, "[$-0E0000]yyyy-mm-dd")</f>
        <v/>
      </c>
      <c r="C58156" t="inlineStr">
        <is>
          <t>2059-02-09</t>
        </is>
      </c>
    </row>
    <row r="58157">
      <c r="A58157" s="1" t="n">
        <v>58156</v>
      </c>
      <c r="B58157">
        <f>TEXT(58156, "[$-0E0000]yyyy-mm-dd")</f>
        <v/>
      </c>
      <c r="C58157" t="inlineStr">
        <is>
          <t>2059-02-10</t>
        </is>
      </c>
    </row>
    <row r="58158">
      <c r="A58158" s="1" t="n">
        <v>58157</v>
      </c>
      <c r="B58158">
        <f>TEXT(58157, "[$-0E0000]yyyy-mm-dd")</f>
        <v/>
      </c>
      <c r="C58158" t="inlineStr">
        <is>
          <t>2059-02-11</t>
        </is>
      </c>
    </row>
    <row r="58159">
      <c r="A58159" s="1" t="n">
        <v>58158</v>
      </c>
      <c r="B58159">
        <f>TEXT(58158, "[$-0E0000]yyyy-mm-dd")</f>
        <v/>
      </c>
      <c r="C58159" t="inlineStr">
        <is>
          <t>2059-02-12</t>
        </is>
      </c>
    </row>
    <row r="58160">
      <c r="A58160" s="1" t="n">
        <v>58159</v>
      </c>
      <c r="B58160">
        <f>TEXT(58159, "[$-0E0000]yyyy-mm-dd")</f>
        <v/>
      </c>
      <c r="C58160" t="inlineStr">
        <is>
          <t>2059-02-13</t>
        </is>
      </c>
    </row>
    <row r="58161">
      <c r="A58161" s="1" t="n">
        <v>58160</v>
      </c>
      <c r="B58161">
        <f>TEXT(58160, "[$-0E0000]yyyy-mm-dd")</f>
        <v/>
      </c>
      <c r="C58161" t="inlineStr">
        <is>
          <t>2059-02-14</t>
        </is>
      </c>
    </row>
    <row r="58162">
      <c r="A58162" s="1" t="n">
        <v>58161</v>
      </c>
      <c r="B58162">
        <f>TEXT(58161, "[$-0E0000]yyyy-mm-dd")</f>
        <v/>
      </c>
      <c r="C58162" t="inlineStr">
        <is>
          <t>2059-02-15</t>
        </is>
      </c>
    </row>
    <row r="58163">
      <c r="A58163" s="1" t="n">
        <v>58162</v>
      </c>
      <c r="B58163">
        <f>TEXT(58162, "[$-0E0000]yyyy-mm-dd")</f>
        <v/>
      </c>
      <c r="C58163" t="inlineStr">
        <is>
          <t>2059-02-16</t>
        </is>
      </c>
    </row>
    <row r="58164">
      <c r="A58164" s="1" t="n">
        <v>58163</v>
      </c>
      <c r="B58164">
        <f>TEXT(58163, "[$-0E0000]yyyy-mm-dd")</f>
        <v/>
      </c>
      <c r="C58164" t="inlineStr">
        <is>
          <t>2059-02-17</t>
        </is>
      </c>
    </row>
    <row r="58165">
      <c r="A58165" s="1" t="n">
        <v>58164</v>
      </c>
      <c r="B58165">
        <f>TEXT(58164, "[$-0E0000]yyyy-mm-dd")</f>
        <v/>
      </c>
      <c r="C58165" t="inlineStr">
        <is>
          <t>2059-02-18</t>
        </is>
      </c>
    </row>
    <row r="58166">
      <c r="A58166" s="1" t="n">
        <v>58165</v>
      </c>
      <c r="B58166">
        <f>TEXT(58165, "[$-0E0000]yyyy-mm-dd")</f>
        <v/>
      </c>
      <c r="C58166" t="inlineStr">
        <is>
          <t>2059-02-19</t>
        </is>
      </c>
    </row>
    <row r="58167">
      <c r="A58167" s="1" t="n">
        <v>58166</v>
      </c>
      <c r="B58167">
        <f>TEXT(58166, "[$-0E0000]yyyy-mm-dd")</f>
        <v/>
      </c>
      <c r="C58167" t="inlineStr">
        <is>
          <t>2059-02-20</t>
        </is>
      </c>
    </row>
    <row r="58168">
      <c r="A58168" s="1" t="n">
        <v>58167</v>
      </c>
      <c r="B58168">
        <f>TEXT(58167, "[$-0E0000]yyyy-mm-dd")</f>
        <v/>
      </c>
      <c r="C58168" t="inlineStr">
        <is>
          <t>2059-02-21</t>
        </is>
      </c>
    </row>
    <row r="58169">
      <c r="A58169" s="1" t="n">
        <v>58168</v>
      </c>
      <c r="B58169">
        <f>TEXT(58168, "[$-0E0000]yyyy-mm-dd")</f>
        <v/>
      </c>
      <c r="C58169" t="inlineStr">
        <is>
          <t>2059-02-22</t>
        </is>
      </c>
    </row>
    <row r="58170">
      <c r="A58170" s="1" t="n">
        <v>58169</v>
      </c>
      <c r="B58170">
        <f>TEXT(58169, "[$-0E0000]yyyy-mm-dd")</f>
        <v/>
      </c>
      <c r="C58170" t="inlineStr">
        <is>
          <t>2059-02-23</t>
        </is>
      </c>
    </row>
    <row r="58171">
      <c r="A58171" s="1" t="n">
        <v>58170</v>
      </c>
      <c r="B58171">
        <f>TEXT(58170, "[$-0E0000]yyyy-mm-dd")</f>
        <v/>
      </c>
      <c r="C58171" t="inlineStr">
        <is>
          <t>2059-02-24</t>
        </is>
      </c>
    </row>
    <row r="58172">
      <c r="A58172" s="1" t="n">
        <v>58171</v>
      </c>
      <c r="B58172">
        <f>TEXT(58171, "[$-0E0000]yyyy-mm-dd")</f>
        <v/>
      </c>
      <c r="C58172" t="inlineStr">
        <is>
          <t>2059-02-25</t>
        </is>
      </c>
    </row>
    <row r="58173">
      <c r="A58173" s="1" t="n">
        <v>58172</v>
      </c>
      <c r="B58173">
        <f>TEXT(58172, "[$-0E0000]yyyy-mm-dd")</f>
        <v/>
      </c>
      <c r="C58173" t="inlineStr">
        <is>
          <t>2059-02-26</t>
        </is>
      </c>
    </row>
    <row r="58174">
      <c r="A58174" s="1" t="n">
        <v>58173</v>
      </c>
      <c r="B58174">
        <f>TEXT(58173, "[$-0E0000]yyyy-mm-dd")</f>
        <v/>
      </c>
      <c r="C58174" t="inlineStr">
        <is>
          <t>2059-02-27</t>
        </is>
      </c>
    </row>
    <row r="58175">
      <c r="A58175" s="1" t="n">
        <v>58174</v>
      </c>
      <c r="B58175">
        <f>TEXT(58174, "[$-0E0000]yyyy-mm-dd")</f>
        <v/>
      </c>
      <c r="C58175" t="inlineStr">
        <is>
          <t>2059-02-28</t>
        </is>
      </c>
    </row>
    <row r="58176">
      <c r="A58176" s="1" t="n">
        <v>58175</v>
      </c>
      <c r="B58176">
        <f>TEXT(58175, "[$-0E0000]yyyy-mm-dd")</f>
        <v/>
      </c>
      <c r="C58176" t="inlineStr">
        <is>
          <t>2059-02-29</t>
        </is>
      </c>
    </row>
    <row r="58177">
      <c r="A58177" s="1" t="n">
        <v>58176</v>
      </c>
      <c r="B58177">
        <f>TEXT(58176, "[$-0E0000]yyyy-mm-dd")</f>
        <v/>
      </c>
      <c r="C58177" t="inlineStr">
        <is>
          <t>2059-03-01</t>
        </is>
      </c>
    </row>
    <row r="58178">
      <c r="A58178" s="1" t="n">
        <v>58177</v>
      </c>
      <c r="B58178">
        <f>TEXT(58177, "[$-0E0000]yyyy-mm-dd")</f>
        <v/>
      </c>
      <c r="C58178" t="inlineStr">
        <is>
          <t>2059-03-02</t>
        </is>
      </c>
    </row>
    <row r="58179">
      <c r="A58179" s="1" t="n">
        <v>58178</v>
      </c>
      <c r="B58179">
        <f>TEXT(58178, "[$-0E0000]yyyy-mm-dd")</f>
        <v/>
      </c>
      <c r="C58179" t="inlineStr">
        <is>
          <t>2059-03-03</t>
        </is>
      </c>
    </row>
    <row r="58180">
      <c r="A58180" s="1" t="n">
        <v>58179</v>
      </c>
      <c r="B58180">
        <f>TEXT(58179, "[$-0E0000]yyyy-mm-dd")</f>
        <v/>
      </c>
      <c r="C58180" t="inlineStr">
        <is>
          <t>2059-03-04</t>
        </is>
      </c>
    </row>
    <row r="58181">
      <c r="A58181" s="1" t="n">
        <v>58180</v>
      </c>
      <c r="B58181">
        <f>TEXT(58180, "[$-0E0000]yyyy-mm-dd")</f>
        <v/>
      </c>
      <c r="C58181" t="inlineStr">
        <is>
          <t>2059-03-05</t>
        </is>
      </c>
    </row>
    <row r="58182">
      <c r="A58182" s="1" t="n">
        <v>58181</v>
      </c>
      <c r="B58182">
        <f>TEXT(58181, "[$-0E0000]yyyy-mm-dd")</f>
        <v/>
      </c>
      <c r="C58182" t="inlineStr">
        <is>
          <t>2059-03-06</t>
        </is>
      </c>
    </row>
    <row r="58183">
      <c r="A58183" s="1" t="n">
        <v>58182</v>
      </c>
      <c r="B58183">
        <f>TEXT(58182, "[$-0E0000]yyyy-mm-dd")</f>
        <v/>
      </c>
      <c r="C58183" t="inlineStr">
        <is>
          <t>2059-03-07</t>
        </is>
      </c>
    </row>
    <row r="58184">
      <c r="A58184" s="1" t="n">
        <v>58183</v>
      </c>
      <c r="B58184">
        <f>TEXT(58183, "[$-0E0000]yyyy-mm-dd")</f>
        <v/>
      </c>
      <c r="C58184" t="inlineStr">
        <is>
          <t>2059-03-08</t>
        </is>
      </c>
    </row>
    <row r="58185">
      <c r="A58185" s="1" t="n">
        <v>58184</v>
      </c>
      <c r="B58185">
        <f>TEXT(58184, "[$-0E0000]yyyy-mm-dd")</f>
        <v/>
      </c>
      <c r="C58185" t="inlineStr">
        <is>
          <t>2059-03-09</t>
        </is>
      </c>
    </row>
    <row r="58186">
      <c r="A58186" s="1" t="n">
        <v>58185</v>
      </c>
      <c r="B58186">
        <f>TEXT(58185, "[$-0E0000]yyyy-mm-dd")</f>
        <v/>
      </c>
      <c r="C58186" t="inlineStr">
        <is>
          <t>2059-03-10</t>
        </is>
      </c>
    </row>
    <row r="58187">
      <c r="A58187" s="1" t="n">
        <v>58186</v>
      </c>
      <c r="B58187">
        <f>TEXT(58186, "[$-0E0000]yyyy-mm-dd")</f>
        <v/>
      </c>
      <c r="C58187" t="inlineStr">
        <is>
          <t>2059-03-11</t>
        </is>
      </c>
    </row>
    <row r="58188">
      <c r="A58188" s="1" t="n">
        <v>58187</v>
      </c>
      <c r="B58188">
        <f>TEXT(58187, "[$-0E0000]yyyy-mm-dd")</f>
        <v/>
      </c>
      <c r="C58188" t="inlineStr">
        <is>
          <t>2059-03-12</t>
        </is>
      </c>
    </row>
    <row r="58189">
      <c r="A58189" s="1" t="n">
        <v>58188</v>
      </c>
      <c r="B58189">
        <f>TEXT(58188, "[$-0E0000]yyyy-mm-dd")</f>
        <v/>
      </c>
      <c r="C58189" t="inlineStr">
        <is>
          <t>2059-03-13</t>
        </is>
      </c>
    </row>
    <row r="58190">
      <c r="A58190" s="1" t="n">
        <v>58189</v>
      </c>
      <c r="B58190">
        <f>TEXT(58189, "[$-0E0000]yyyy-mm-dd")</f>
        <v/>
      </c>
      <c r="C58190" t="inlineStr">
        <is>
          <t>2059-03-14</t>
        </is>
      </c>
    </row>
    <row r="58191">
      <c r="A58191" s="1" t="n">
        <v>58190</v>
      </c>
      <c r="B58191">
        <f>TEXT(58190, "[$-0E0000]yyyy-mm-dd")</f>
        <v/>
      </c>
      <c r="C58191" t="inlineStr">
        <is>
          <t>2059-03-15</t>
        </is>
      </c>
    </row>
    <row r="58192">
      <c r="A58192" s="1" t="n">
        <v>58191</v>
      </c>
      <c r="B58192">
        <f>TEXT(58191, "[$-0E0000]yyyy-mm-dd")</f>
        <v/>
      </c>
      <c r="C58192" t="inlineStr">
        <is>
          <t>2059-03-16</t>
        </is>
      </c>
    </row>
    <row r="58193">
      <c r="A58193" s="1" t="n">
        <v>58192</v>
      </c>
      <c r="B58193">
        <f>TEXT(58192, "[$-0E0000]yyyy-mm-dd")</f>
        <v/>
      </c>
      <c r="C58193" t="inlineStr">
        <is>
          <t>2059-03-17</t>
        </is>
      </c>
    </row>
    <row r="58194">
      <c r="A58194" s="1" t="n">
        <v>58193</v>
      </c>
      <c r="B58194">
        <f>TEXT(58193, "[$-0E0000]yyyy-mm-dd")</f>
        <v/>
      </c>
      <c r="C58194" t="inlineStr">
        <is>
          <t>2059-03-18</t>
        </is>
      </c>
    </row>
    <row r="58195">
      <c r="A58195" s="1" t="n">
        <v>58194</v>
      </c>
      <c r="B58195">
        <f>TEXT(58194, "[$-0E0000]yyyy-mm-dd")</f>
        <v/>
      </c>
      <c r="C58195" t="inlineStr">
        <is>
          <t>2059-03-19</t>
        </is>
      </c>
    </row>
    <row r="58196">
      <c r="A58196" s="1" t="n">
        <v>58195</v>
      </c>
      <c r="B58196">
        <f>TEXT(58195, "[$-0E0000]yyyy-mm-dd")</f>
        <v/>
      </c>
      <c r="C58196" t="inlineStr">
        <is>
          <t>2059-03-20</t>
        </is>
      </c>
    </row>
    <row r="58197">
      <c r="A58197" s="1" t="n">
        <v>58196</v>
      </c>
      <c r="B58197">
        <f>TEXT(58196, "[$-0E0000]yyyy-mm-dd")</f>
        <v/>
      </c>
      <c r="C58197" t="inlineStr">
        <is>
          <t>2059-03-21</t>
        </is>
      </c>
    </row>
    <row r="58198">
      <c r="A58198" s="1" t="n">
        <v>58197</v>
      </c>
      <c r="B58198">
        <f>TEXT(58197, "[$-0E0000]yyyy-mm-dd")</f>
        <v/>
      </c>
      <c r="C58198" t="inlineStr">
        <is>
          <t>2059-03-22</t>
        </is>
      </c>
    </row>
    <row r="58199">
      <c r="A58199" s="1" t="n">
        <v>58198</v>
      </c>
      <c r="B58199">
        <f>TEXT(58198, "[$-0E0000]yyyy-mm-dd")</f>
        <v/>
      </c>
      <c r="C58199" t="inlineStr">
        <is>
          <t>2059-03-23</t>
        </is>
      </c>
    </row>
    <row r="58200">
      <c r="A58200" s="1" t="n">
        <v>58199</v>
      </c>
      <c r="B58200">
        <f>TEXT(58199, "[$-0E0000]yyyy-mm-dd")</f>
        <v/>
      </c>
      <c r="C58200" t="inlineStr">
        <is>
          <t>2059-03-24</t>
        </is>
      </c>
    </row>
    <row r="58201">
      <c r="A58201" s="1" t="n">
        <v>58200</v>
      </c>
      <c r="B58201">
        <f>TEXT(58200, "[$-0E0000]yyyy-mm-dd")</f>
        <v/>
      </c>
      <c r="C58201" t="inlineStr">
        <is>
          <t>2059-03-25</t>
        </is>
      </c>
    </row>
    <row r="58202">
      <c r="A58202" s="1" t="n">
        <v>58201</v>
      </c>
      <c r="B58202">
        <f>TEXT(58201, "[$-0E0000]yyyy-mm-dd")</f>
        <v/>
      </c>
      <c r="C58202" t="inlineStr">
        <is>
          <t>2059-03-26</t>
        </is>
      </c>
    </row>
    <row r="58203">
      <c r="A58203" s="1" t="n">
        <v>58202</v>
      </c>
      <c r="B58203">
        <f>TEXT(58202, "[$-0E0000]yyyy-mm-dd")</f>
        <v/>
      </c>
      <c r="C58203" t="inlineStr">
        <is>
          <t>2059-03-27</t>
        </is>
      </c>
    </row>
    <row r="58204">
      <c r="A58204" s="1" t="n">
        <v>58203</v>
      </c>
      <c r="B58204">
        <f>TEXT(58203, "[$-0E0000]yyyy-mm-dd")</f>
        <v/>
      </c>
      <c r="C58204" t="inlineStr">
        <is>
          <t>2059-03-28</t>
        </is>
      </c>
    </row>
    <row r="58205">
      <c r="A58205" s="1" t="n">
        <v>58204</v>
      </c>
      <c r="B58205">
        <f>TEXT(58204, "[$-0E0000]yyyy-mm-dd")</f>
        <v/>
      </c>
      <c r="C58205" t="inlineStr">
        <is>
          <t>2059-03-29</t>
        </is>
      </c>
    </row>
    <row r="58206">
      <c r="A58206" s="1" t="n">
        <v>58205</v>
      </c>
      <c r="B58206">
        <f>TEXT(58205, "[$-0E0000]yyyy-mm-dd")</f>
        <v/>
      </c>
      <c r="C58206" t="inlineStr">
        <is>
          <t>2059-03-30</t>
        </is>
      </c>
    </row>
    <row r="58207">
      <c r="A58207" s="1" t="n">
        <v>58206</v>
      </c>
      <c r="B58207">
        <f>TEXT(58206, "[$-0E0000]yyyy-mm-dd")</f>
        <v/>
      </c>
      <c r="C58207" t="inlineStr">
        <is>
          <t>2059-04-01</t>
        </is>
      </c>
    </row>
    <row r="58208">
      <c r="A58208" s="1" t="n">
        <v>58207</v>
      </c>
      <c r="B58208">
        <f>TEXT(58207, "[$-0E0000]yyyy-mm-dd")</f>
        <v/>
      </c>
      <c r="C58208" t="inlineStr">
        <is>
          <t>2059-04-02</t>
        </is>
      </c>
    </row>
    <row r="58209">
      <c r="A58209" s="1" t="n">
        <v>58208</v>
      </c>
      <c r="B58209">
        <f>TEXT(58208, "[$-0E0000]yyyy-mm-dd")</f>
        <v/>
      </c>
      <c r="C58209" t="inlineStr">
        <is>
          <t>2059-04-03</t>
        </is>
      </c>
    </row>
    <row r="58210">
      <c r="A58210" s="1" t="n">
        <v>58209</v>
      </c>
      <c r="B58210">
        <f>TEXT(58209, "[$-0E0000]yyyy-mm-dd")</f>
        <v/>
      </c>
      <c r="C58210" t="inlineStr">
        <is>
          <t>2059-04-04</t>
        </is>
      </c>
    </row>
    <row r="58211">
      <c r="A58211" s="1" t="n">
        <v>58210</v>
      </c>
      <c r="B58211">
        <f>TEXT(58210, "[$-0E0000]yyyy-mm-dd")</f>
        <v/>
      </c>
      <c r="C58211" t="inlineStr">
        <is>
          <t>2059-04-05</t>
        </is>
      </c>
    </row>
    <row r="58212">
      <c r="A58212" s="1" t="n">
        <v>58211</v>
      </c>
      <c r="B58212">
        <f>TEXT(58211, "[$-0E0000]yyyy-mm-dd")</f>
        <v/>
      </c>
      <c r="C58212" t="inlineStr">
        <is>
          <t>2059-04-06</t>
        </is>
      </c>
    </row>
    <row r="58213">
      <c r="A58213" s="1" t="n">
        <v>58212</v>
      </c>
      <c r="B58213">
        <f>TEXT(58212, "[$-0E0000]yyyy-mm-dd")</f>
        <v/>
      </c>
      <c r="C58213" t="inlineStr">
        <is>
          <t>2059-04-07</t>
        </is>
      </c>
    </row>
    <row r="58214">
      <c r="A58214" s="1" t="n">
        <v>58213</v>
      </c>
      <c r="B58214">
        <f>TEXT(58213, "[$-0E0000]yyyy-mm-dd")</f>
        <v/>
      </c>
      <c r="C58214" t="inlineStr">
        <is>
          <t>2059-04-08</t>
        </is>
      </c>
    </row>
    <row r="58215">
      <c r="A58215" s="1" t="n">
        <v>58214</v>
      </c>
      <c r="B58215">
        <f>TEXT(58214, "[$-0E0000]yyyy-mm-dd")</f>
        <v/>
      </c>
      <c r="C58215" t="inlineStr">
        <is>
          <t>2059-04-09</t>
        </is>
      </c>
    </row>
    <row r="58216">
      <c r="A58216" s="1" t="n">
        <v>58215</v>
      </c>
      <c r="B58216">
        <f>TEXT(58215, "[$-0E0000]yyyy-mm-dd")</f>
        <v/>
      </c>
      <c r="C58216" t="inlineStr">
        <is>
          <t>2059-04-10</t>
        </is>
      </c>
    </row>
    <row r="58217">
      <c r="A58217" s="1" t="n">
        <v>58216</v>
      </c>
      <c r="B58217">
        <f>TEXT(58216, "[$-0E0000]yyyy-mm-dd")</f>
        <v/>
      </c>
      <c r="C58217" t="inlineStr">
        <is>
          <t>2059-04-11</t>
        </is>
      </c>
    </row>
    <row r="58218">
      <c r="A58218" s="1" t="n">
        <v>58217</v>
      </c>
      <c r="B58218">
        <f>TEXT(58217, "[$-0E0000]yyyy-mm-dd")</f>
        <v/>
      </c>
      <c r="C58218" t="inlineStr">
        <is>
          <t>2059-04-12</t>
        </is>
      </c>
    </row>
    <row r="58219">
      <c r="A58219" s="1" t="n">
        <v>58218</v>
      </c>
      <c r="B58219">
        <f>TEXT(58218, "[$-0E0000]yyyy-mm-dd")</f>
        <v/>
      </c>
      <c r="C58219" t="inlineStr">
        <is>
          <t>2059-04-13</t>
        </is>
      </c>
    </row>
    <row r="58220">
      <c r="A58220" s="1" t="n">
        <v>58219</v>
      </c>
      <c r="B58220">
        <f>TEXT(58219, "[$-0E0000]yyyy-mm-dd")</f>
        <v/>
      </c>
      <c r="C58220" t="inlineStr">
        <is>
          <t>2059-04-14</t>
        </is>
      </c>
    </row>
    <row r="58221">
      <c r="A58221" s="1" t="n">
        <v>58220</v>
      </c>
      <c r="B58221">
        <f>TEXT(58220, "[$-0E0000]yyyy-mm-dd")</f>
        <v/>
      </c>
      <c r="C58221" t="inlineStr">
        <is>
          <t>2059-04-15</t>
        </is>
      </c>
    </row>
    <row r="58222">
      <c r="A58222" s="1" t="n">
        <v>58221</v>
      </c>
      <c r="B58222">
        <f>TEXT(58221, "[$-0E0000]yyyy-mm-dd")</f>
        <v/>
      </c>
      <c r="C58222" t="inlineStr">
        <is>
          <t>2059-04-16</t>
        </is>
      </c>
    </row>
    <row r="58223">
      <c r="A58223" s="1" t="n">
        <v>58222</v>
      </c>
      <c r="B58223">
        <f>TEXT(58222, "[$-0E0000]yyyy-mm-dd")</f>
        <v/>
      </c>
      <c r="C58223" t="inlineStr">
        <is>
          <t>2059-04-17</t>
        </is>
      </c>
    </row>
    <row r="58224">
      <c r="A58224" s="1" t="n">
        <v>58223</v>
      </c>
      <c r="B58224">
        <f>TEXT(58223, "[$-0E0000]yyyy-mm-dd")</f>
        <v/>
      </c>
      <c r="C58224" t="inlineStr">
        <is>
          <t>2059-04-18</t>
        </is>
      </c>
    </row>
    <row r="58225">
      <c r="A58225" s="1" t="n">
        <v>58224</v>
      </c>
      <c r="B58225">
        <f>TEXT(58224, "[$-0E0000]yyyy-mm-dd")</f>
        <v/>
      </c>
      <c r="C58225" t="inlineStr">
        <is>
          <t>2059-04-19</t>
        </is>
      </c>
    </row>
    <row r="58226">
      <c r="A58226" s="1" t="n">
        <v>58225</v>
      </c>
      <c r="B58226">
        <f>TEXT(58225, "[$-0E0000]yyyy-mm-dd")</f>
        <v/>
      </c>
      <c r="C58226" t="inlineStr">
        <is>
          <t>2059-04-20</t>
        </is>
      </c>
    </row>
    <row r="58227">
      <c r="A58227" s="1" t="n">
        <v>58226</v>
      </c>
      <c r="B58227">
        <f>TEXT(58226, "[$-0E0000]yyyy-mm-dd")</f>
        <v/>
      </c>
      <c r="C58227" t="inlineStr">
        <is>
          <t>2059-04-21</t>
        </is>
      </c>
    </row>
    <row r="58228">
      <c r="A58228" s="1" t="n">
        <v>58227</v>
      </c>
      <c r="B58228">
        <f>TEXT(58227, "[$-0E0000]yyyy-mm-dd")</f>
        <v/>
      </c>
      <c r="C58228" t="inlineStr">
        <is>
          <t>2059-04-22</t>
        </is>
      </c>
    </row>
    <row r="58229">
      <c r="A58229" s="1" t="n">
        <v>58228</v>
      </c>
      <c r="B58229">
        <f>TEXT(58228, "[$-0E0000]yyyy-mm-dd")</f>
        <v/>
      </c>
      <c r="C58229" t="inlineStr">
        <is>
          <t>2059-04-23</t>
        </is>
      </c>
    </row>
    <row r="58230">
      <c r="A58230" s="1" t="n">
        <v>58229</v>
      </c>
      <c r="B58230">
        <f>TEXT(58229, "[$-0E0000]yyyy-mm-dd")</f>
        <v/>
      </c>
      <c r="C58230" t="inlineStr">
        <is>
          <t>2059-04-24</t>
        </is>
      </c>
    </row>
    <row r="58231">
      <c r="A58231" s="1" t="n">
        <v>58230</v>
      </c>
      <c r="B58231">
        <f>TEXT(58230, "[$-0E0000]yyyy-mm-dd")</f>
        <v/>
      </c>
      <c r="C58231" t="inlineStr">
        <is>
          <t>2059-04-25</t>
        </is>
      </c>
    </row>
    <row r="58232">
      <c r="A58232" s="1" t="n">
        <v>58231</v>
      </c>
      <c r="B58232">
        <f>TEXT(58231, "[$-0E0000]yyyy-mm-dd")</f>
        <v/>
      </c>
      <c r="C58232" t="inlineStr">
        <is>
          <t>2059-04-26</t>
        </is>
      </c>
    </row>
    <row r="58233">
      <c r="A58233" s="1" t="n">
        <v>58232</v>
      </c>
      <c r="B58233">
        <f>TEXT(58232, "[$-0E0000]yyyy-mm-dd")</f>
        <v/>
      </c>
      <c r="C58233" t="inlineStr">
        <is>
          <t>2059-04-27</t>
        </is>
      </c>
    </row>
    <row r="58234">
      <c r="A58234" s="1" t="n">
        <v>58233</v>
      </c>
      <c r="B58234">
        <f>TEXT(58233, "[$-0E0000]yyyy-mm-dd")</f>
        <v/>
      </c>
      <c r="C58234" t="inlineStr">
        <is>
          <t>2059-04-28</t>
        </is>
      </c>
    </row>
    <row r="58235">
      <c r="A58235" s="1" t="n">
        <v>58234</v>
      </c>
      <c r="B58235">
        <f>TEXT(58234, "[$-0E0000]yyyy-mm-dd")</f>
        <v/>
      </c>
      <c r="C58235" t="inlineStr">
        <is>
          <t>2059-04-29</t>
        </is>
      </c>
    </row>
    <row r="58236">
      <c r="A58236" s="1" t="n">
        <v>58235</v>
      </c>
      <c r="B58236">
        <f>TEXT(58235, "[$-0E0000]yyyy-mm-dd")</f>
        <v/>
      </c>
      <c r="C58236" t="inlineStr">
        <is>
          <t>2059-05-01</t>
        </is>
      </c>
    </row>
    <row r="58237">
      <c r="A58237" s="1" t="n">
        <v>58236</v>
      </c>
      <c r="B58237">
        <f>TEXT(58236, "[$-0E0000]yyyy-mm-dd")</f>
        <v/>
      </c>
      <c r="C58237" t="inlineStr">
        <is>
          <t>2059-05-02</t>
        </is>
      </c>
    </row>
    <row r="58238">
      <c r="A58238" s="1" t="n">
        <v>58237</v>
      </c>
      <c r="B58238">
        <f>TEXT(58237, "[$-0E0000]yyyy-mm-dd")</f>
        <v/>
      </c>
      <c r="C58238" t="inlineStr">
        <is>
          <t>2059-05-03</t>
        </is>
      </c>
    </row>
    <row r="58239">
      <c r="A58239" s="1" t="n">
        <v>58238</v>
      </c>
      <c r="B58239">
        <f>TEXT(58238, "[$-0E0000]yyyy-mm-dd")</f>
        <v/>
      </c>
      <c r="C58239" t="inlineStr">
        <is>
          <t>2059-05-04</t>
        </is>
      </c>
    </row>
    <row r="58240">
      <c r="A58240" s="1" t="n">
        <v>58239</v>
      </c>
      <c r="B58240">
        <f>TEXT(58239, "[$-0E0000]yyyy-mm-dd")</f>
        <v/>
      </c>
      <c r="C58240" t="inlineStr">
        <is>
          <t>2059-05-05</t>
        </is>
      </c>
    </row>
    <row r="58241">
      <c r="A58241" s="1" t="n">
        <v>58240</v>
      </c>
      <c r="B58241">
        <f>TEXT(58240, "[$-0E0000]yyyy-mm-dd")</f>
        <v/>
      </c>
      <c r="C58241" t="inlineStr">
        <is>
          <t>2059-05-06</t>
        </is>
      </c>
    </row>
    <row r="58242">
      <c r="A58242" s="1" t="n">
        <v>58241</v>
      </c>
      <c r="B58242">
        <f>TEXT(58241, "[$-0E0000]yyyy-mm-dd")</f>
        <v/>
      </c>
      <c r="C58242" t="inlineStr">
        <is>
          <t>2059-05-07</t>
        </is>
      </c>
    </row>
    <row r="58243">
      <c r="A58243" s="1" t="n">
        <v>58242</v>
      </c>
      <c r="B58243">
        <f>TEXT(58242, "[$-0E0000]yyyy-mm-dd")</f>
        <v/>
      </c>
      <c r="C58243" t="inlineStr">
        <is>
          <t>2059-05-08</t>
        </is>
      </c>
    </row>
    <row r="58244">
      <c r="A58244" s="1" t="n">
        <v>58243</v>
      </c>
      <c r="B58244">
        <f>TEXT(58243, "[$-0E0000]yyyy-mm-dd")</f>
        <v/>
      </c>
      <c r="C58244" t="inlineStr">
        <is>
          <t>2059-05-09</t>
        </is>
      </c>
    </row>
    <row r="58245">
      <c r="A58245" s="1" t="n">
        <v>58244</v>
      </c>
      <c r="B58245">
        <f>TEXT(58244, "[$-0E0000]yyyy-mm-dd")</f>
        <v/>
      </c>
      <c r="C58245" t="inlineStr">
        <is>
          <t>2059-05-10</t>
        </is>
      </c>
    </row>
    <row r="58246">
      <c r="A58246" s="1" t="n">
        <v>58245</v>
      </c>
      <c r="B58246">
        <f>TEXT(58245, "[$-0E0000]yyyy-mm-dd")</f>
        <v/>
      </c>
      <c r="C58246" t="inlineStr">
        <is>
          <t>2059-05-11</t>
        </is>
      </c>
    </row>
    <row r="58247">
      <c r="A58247" s="1" t="n">
        <v>58246</v>
      </c>
      <c r="B58247">
        <f>TEXT(58246, "[$-0E0000]yyyy-mm-dd")</f>
        <v/>
      </c>
      <c r="C58247" t="inlineStr">
        <is>
          <t>2059-05-12</t>
        </is>
      </c>
    </row>
    <row r="58248">
      <c r="A58248" s="1" t="n">
        <v>58247</v>
      </c>
      <c r="B58248">
        <f>TEXT(58247, "[$-0E0000]yyyy-mm-dd")</f>
        <v/>
      </c>
      <c r="C58248" t="inlineStr">
        <is>
          <t>2059-05-13</t>
        </is>
      </c>
    </row>
    <row r="58249">
      <c r="A58249" s="1" t="n">
        <v>58248</v>
      </c>
      <c r="B58249">
        <f>TEXT(58248, "[$-0E0000]yyyy-mm-dd")</f>
        <v/>
      </c>
      <c r="C58249" t="inlineStr">
        <is>
          <t>2059-05-14</t>
        </is>
      </c>
    </row>
    <row r="58250">
      <c r="A58250" s="1" t="n">
        <v>58249</v>
      </c>
      <c r="B58250">
        <f>TEXT(58249, "[$-0E0000]yyyy-mm-dd")</f>
        <v/>
      </c>
      <c r="C58250" t="inlineStr">
        <is>
          <t>2059-05-15</t>
        </is>
      </c>
    </row>
    <row r="58251">
      <c r="A58251" s="1" t="n">
        <v>58250</v>
      </c>
      <c r="B58251">
        <f>TEXT(58250, "[$-0E0000]yyyy-mm-dd")</f>
        <v/>
      </c>
      <c r="C58251" t="inlineStr">
        <is>
          <t>2059-05-16</t>
        </is>
      </c>
    </row>
    <row r="58252">
      <c r="A58252" s="1" t="n">
        <v>58251</v>
      </c>
      <c r="B58252">
        <f>TEXT(58251, "[$-0E0000]yyyy-mm-dd")</f>
        <v/>
      </c>
      <c r="C58252" t="inlineStr">
        <is>
          <t>2059-05-17</t>
        </is>
      </c>
    </row>
    <row r="58253">
      <c r="A58253" s="1" t="n">
        <v>58252</v>
      </c>
      <c r="B58253">
        <f>TEXT(58252, "[$-0E0000]yyyy-mm-dd")</f>
        <v/>
      </c>
      <c r="C58253" t="inlineStr">
        <is>
          <t>2059-05-18</t>
        </is>
      </c>
    </row>
    <row r="58254">
      <c r="A58254" s="1" t="n">
        <v>58253</v>
      </c>
      <c r="B58254">
        <f>TEXT(58253, "[$-0E0000]yyyy-mm-dd")</f>
        <v/>
      </c>
      <c r="C58254" t="inlineStr">
        <is>
          <t>2059-05-19</t>
        </is>
      </c>
    </row>
    <row r="58255">
      <c r="A58255" s="1" t="n">
        <v>58254</v>
      </c>
      <c r="B58255">
        <f>TEXT(58254, "[$-0E0000]yyyy-mm-dd")</f>
        <v/>
      </c>
      <c r="C58255" t="inlineStr">
        <is>
          <t>2059-05-20</t>
        </is>
      </c>
    </row>
    <row r="58256">
      <c r="A58256" s="1" t="n">
        <v>58255</v>
      </c>
      <c r="B58256">
        <f>TEXT(58255, "[$-0E0000]yyyy-mm-dd")</f>
        <v/>
      </c>
      <c r="C58256" t="inlineStr">
        <is>
          <t>2059-05-21</t>
        </is>
      </c>
    </row>
    <row r="58257">
      <c r="A58257" s="1" t="n">
        <v>58256</v>
      </c>
      <c r="B58257">
        <f>TEXT(58256, "[$-0E0000]yyyy-mm-dd")</f>
        <v/>
      </c>
      <c r="C58257" t="inlineStr">
        <is>
          <t>2059-05-22</t>
        </is>
      </c>
    </row>
    <row r="58258">
      <c r="A58258" s="1" t="n">
        <v>58257</v>
      </c>
      <c r="B58258">
        <f>TEXT(58257, "[$-0E0000]yyyy-mm-dd")</f>
        <v/>
      </c>
      <c r="C58258" t="inlineStr">
        <is>
          <t>2059-05-23</t>
        </is>
      </c>
    </row>
    <row r="58259">
      <c r="A58259" s="1" t="n">
        <v>58258</v>
      </c>
      <c r="B58259">
        <f>TEXT(58258, "[$-0E0000]yyyy-mm-dd")</f>
        <v/>
      </c>
      <c r="C58259" t="inlineStr">
        <is>
          <t>2059-05-24</t>
        </is>
      </c>
    </row>
    <row r="58260">
      <c r="A58260" s="1" t="n">
        <v>58259</v>
      </c>
      <c r="B58260">
        <f>TEXT(58259, "[$-0E0000]yyyy-mm-dd")</f>
        <v/>
      </c>
      <c r="C58260" t="inlineStr">
        <is>
          <t>2059-05-25</t>
        </is>
      </c>
    </row>
    <row r="58261">
      <c r="A58261" s="1" t="n">
        <v>58260</v>
      </c>
      <c r="B58261">
        <f>TEXT(58260, "[$-0E0000]yyyy-mm-dd")</f>
        <v/>
      </c>
      <c r="C58261" t="inlineStr">
        <is>
          <t>2059-05-26</t>
        </is>
      </c>
    </row>
    <row r="58262">
      <c r="A58262" s="1" t="n">
        <v>58261</v>
      </c>
      <c r="B58262">
        <f>TEXT(58261, "[$-0E0000]yyyy-mm-dd")</f>
        <v/>
      </c>
      <c r="C58262" t="inlineStr">
        <is>
          <t>2059-05-27</t>
        </is>
      </c>
    </row>
    <row r="58263">
      <c r="A58263" s="1" t="n">
        <v>58262</v>
      </c>
      <c r="B58263">
        <f>TEXT(58262, "[$-0E0000]yyyy-mm-dd")</f>
        <v/>
      </c>
      <c r="C58263" t="inlineStr">
        <is>
          <t>2059-05-28</t>
        </is>
      </c>
    </row>
    <row r="58264">
      <c r="A58264" s="1" t="n">
        <v>58263</v>
      </c>
      <c r="B58264">
        <f>TEXT(58263, "[$-0E0000]yyyy-mm-dd")</f>
        <v/>
      </c>
      <c r="C58264" t="inlineStr">
        <is>
          <t>2059-05-29</t>
        </is>
      </c>
    </row>
    <row r="58265">
      <c r="A58265" s="1" t="n">
        <v>58264</v>
      </c>
      <c r="B58265">
        <f>TEXT(58264, "[$-0E0000]yyyy-mm-dd")</f>
        <v/>
      </c>
      <c r="C58265" t="inlineStr">
        <is>
          <t>2059-05-30</t>
        </is>
      </c>
    </row>
    <row r="58266">
      <c r="A58266" s="1" t="n">
        <v>58265</v>
      </c>
      <c r="B58266">
        <f>TEXT(58265, "[$-0E0000]yyyy-mm-dd")</f>
        <v/>
      </c>
      <c r="C58266" t="inlineStr">
        <is>
          <t>2059-06-01</t>
        </is>
      </c>
    </row>
    <row r="58267">
      <c r="A58267" s="1" t="n">
        <v>58266</v>
      </c>
      <c r="B58267">
        <f>TEXT(58266, "[$-0E0000]yyyy-mm-dd")</f>
        <v/>
      </c>
      <c r="C58267" t="inlineStr">
        <is>
          <t>2059-06-02</t>
        </is>
      </c>
    </row>
    <row r="58268">
      <c r="A58268" s="1" t="n">
        <v>58267</v>
      </c>
      <c r="B58268">
        <f>TEXT(58267, "[$-0E0000]yyyy-mm-dd")</f>
        <v/>
      </c>
      <c r="C58268" t="inlineStr">
        <is>
          <t>2059-06-03</t>
        </is>
      </c>
    </row>
    <row r="58269">
      <c r="A58269" s="1" t="n">
        <v>58268</v>
      </c>
      <c r="B58269">
        <f>TEXT(58268, "[$-0E0000]yyyy-mm-dd")</f>
        <v/>
      </c>
      <c r="C58269" t="inlineStr">
        <is>
          <t>2059-06-04</t>
        </is>
      </c>
    </row>
    <row r="58270">
      <c r="A58270" s="1" t="n">
        <v>58269</v>
      </c>
      <c r="B58270">
        <f>TEXT(58269, "[$-0E0000]yyyy-mm-dd")</f>
        <v/>
      </c>
      <c r="C58270" t="inlineStr">
        <is>
          <t>2059-06-05</t>
        </is>
      </c>
    </row>
    <row r="58271">
      <c r="A58271" s="1" t="n">
        <v>58270</v>
      </c>
      <c r="B58271">
        <f>TEXT(58270, "[$-0E0000]yyyy-mm-dd")</f>
        <v/>
      </c>
      <c r="C58271" t="inlineStr">
        <is>
          <t>2059-06-06</t>
        </is>
      </c>
    </row>
    <row r="58272">
      <c r="A58272" s="1" t="n">
        <v>58271</v>
      </c>
      <c r="B58272">
        <f>TEXT(58271, "[$-0E0000]yyyy-mm-dd")</f>
        <v/>
      </c>
      <c r="C58272" t="inlineStr">
        <is>
          <t>2059-06-07</t>
        </is>
      </c>
    </row>
    <row r="58273">
      <c r="A58273" s="1" t="n">
        <v>58272</v>
      </c>
      <c r="B58273">
        <f>TEXT(58272, "[$-0E0000]yyyy-mm-dd")</f>
        <v/>
      </c>
      <c r="C58273" t="inlineStr">
        <is>
          <t>2059-06-08</t>
        </is>
      </c>
    </row>
    <row r="58274">
      <c r="A58274" s="1" t="n">
        <v>58273</v>
      </c>
      <c r="B58274">
        <f>TEXT(58273, "[$-0E0000]yyyy-mm-dd")</f>
        <v/>
      </c>
      <c r="C58274" t="inlineStr">
        <is>
          <t>2059-06-09</t>
        </is>
      </c>
    </row>
    <row r="58275">
      <c r="A58275" s="1" t="n">
        <v>58274</v>
      </c>
      <c r="B58275">
        <f>TEXT(58274, "[$-0E0000]yyyy-mm-dd")</f>
        <v/>
      </c>
      <c r="C58275" t="inlineStr">
        <is>
          <t>2059-06-10</t>
        </is>
      </c>
    </row>
    <row r="58276">
      <c r="A58276" s="1" t="n">
        <v>58275</v>
      </c>
      <c r="B58276">
        <f>TEXT(58275, "[$-0E0000]yyyy-mm-dd")</f>
        <v/>
      </c>
      <c r="C58276" t="inlineStr">
        <is>
          <t>2059-06-11</t>
        </is>
      </c>
    </row>
    <row r="58277">
      <c r="A58277" s="1" t="n">
        <v>58276</v>
      </c>
      <c r="B58277">
        <f>TEXT(58276, "[$-0E0000]yyyy-mm-dd")</f>
        <v/>
      </c>
      <c r="C58277" t="inlineStr">
        <is>
          <t>2059-06-12</t>
        </is>
      </c>
    </row>
    <row r="58278">
      <c r="A58278" s="1" t="n">
        <v>58277</v>
      </c>
      <c r="B58278">
        <f>TEXT(58277, "[$-0E0000]yyyy-mm-dd")</f>
        <v/>
      </c>
      <c r="C58278" t="inlineStr">
        <is>
          <t>2059-06-13</t>
        </is>
      </c>
    </row>
    <row r="58279">
      <c r="A58279" s="1" t="n">
        <v>58278</v>
      </c>
      <c r="B58279">
        <f>TEXT(58278, "[$-0E0000]yyyy-mm-dd")</f>
        <v/>
      </c>
      <c r="C58279" t="inlineStr">
        <is>
          <t>2059-06-14</t>
        </is>
      </c>
    </row>
    <row r="58280">
      <c r="A58280" s="1" t="n">
        <v>58279</v>
      </c>
      <c r="B58280">
        <f>TEXT(58279, "[$-0E0000]yyyy-mm-dd")</f>
        <v/>
      </c>
      <c r="C58280" t="inlineStr">
        <is>
          <t>2059-06-15</t>
        </is>
      </c>
    </row>
    <row r="58281">
      <c r="A58281" s="1" t="n">
        <v>58280</v>
      </c>
      <c r="B58281">
        <f>TEXT(58280, "[$-0E0000]yyyy-mm-dd")</f>
        <v/>
      </c>
      <c r="C58281" t="inlineStr">
        <is>
          <t>2059-06-16</t>
        </is>
      </c>
    </row>
    <row r="58282">
      <c r="A58282" s="1" t="n">
        <v>58281</v>
      </c>
      <c r="B58282">
        <f>TEXT(58281, "[$-0E0000]yyyy-mm-dd")</f>
        <v/>
      </c>
      <c r="C58282" t="inlineStr">
        <is>
          <t>2059-06-17</t>
        </is>
      </c>
    </row>
    <row r="58283">
      <c r="A58283" s="1" t="n">
        <v>58282</v>
      </c>
      <c r="B58283">
        <f>TEXT(58282, "[$-0E0000]yyyy-mm-dd")</f>
        <v/>
      </c>
      <c r="C58283" t="inlineStr">
        <is>
          <t>2059-06-18</t>
        </is>
      </c>
    </row>
    <row r="58284">
      <c r="A58284" s="1" t="n">
        <v>58283</v>
      </c>
      <c r="B58284">
        <f>TEXT(58283, "[$-0E0000]yyyy-mm-dd")</f>
        <v/>
      </c>
      <c r="C58284" t="inlineStr">
        <is>
          <t>2059-06-19</t>
        </is>
      </c>
    </row>
    <row r="58285">
      <c r="A58285" s="1" t="n">
        <v>58284</v>
      </c>
      <c r="B58285">
        <f>TEXT(58284, "[$-0E0000]yyyy-mm-dd")</f>
        <v/>
      </c>
      <c r="C58285" t="inlineStr">
        <is>
          <t>2059-06-20</t>
        </is>
      </c>
    </row>
    <row r="58286">
      <c r="A58286" s="1" t="n">
        <v>58285</v>
      </c>
      <c r="B58286">
        <f>TEXT(58285, "[$-0E0000]yyyy-mm-dd")</f>
        <v/>
      </c>
      <c r="C58286" t="inlineStr">
        <is>
          <t>2059-06-21</t>
        </is>
      </c>
    </row>
    <row r="58287">
      <c r="A58287" s="1" t="n">
        <v>58286</v>
      </c>
      <c r="B58287">
        <f>TEXT(58286, "[$-0E0000]yyyy-mm-dd")</f>
        <v/>
      </c>
      <c r="C58287" t="inlineStr">
        <is>
          <t>2059-06-22</t>
        </is>
      </c>
    </row>
    <row r="58288">
      <c r="A58288" s="1" t="n">
        <v>58287</v>
      </c>
      <c r="B58288">
        <f>TEXT(58287, "[$-0E0000]yyyy-mm-dd")</f>
        <v/>
      </c>
      <c r="C58288" t="inlineStr">
        <is>
          <t>2059-06-23</t>
        </is>
      </c>
    </row>
    <row r="58289">
      <c r="A58289" s="1" t="n">
        <v>58288</v>
      </c>
      <c r="B58289">
        <f>TEXT(58288, "[$-0E0000]yyyy-mm-dd")</f>
        <v/>
      </c>
      <c r="C58289" t="inlineStr">
        <is>
          <t>2059-06-24</t>
        </is>
      </c>
    </row>
    <row r="58290">
      <c r="A58290" s="1" t="n">
        <v>58289</v>
      </c>
      <c r="B58290">
        <f>TEXT(58289, "[$-0E0000]yyyy-mm-dd")</f>
        <v/>
      </c>
      <c r="C58290" t="inlineStr">
        <is>
          <t>2059-06-25</t>
        </is>
      </c>
    </row>
    <row r="58291">
      <c r="A58291" s="1" t="n">
        <v>58290</v>
      </c>
      <c r="B58291">
        <f>TEXT(58290, "[$-0E0000]yyyy-mm-dd")</f>
        <v/>
      </c>
      <c r="C58291" t="inlineStr">
        <is>
          <t>2059-06-26</t>
        </is>
      </c>
    </row>
    <row r="58292">
      <c r="A58292" s="1" t="n">
        <v>58291</v>
      </c>
      <c r="B58292">
        <f>TEXT(58291, "[$-0E0000]yyyy-mm-dd")</f>
        <v/>
      </c>
      <c r="C58292" t="inlineStr">
        <is>
          <t>2059-06-27</t>
        </is>
      </c>
    </row>
    <row r="58293">
      <c r="A58293" s="1" t="n">
        <v>58292</v>
      </c>
      <c r="B58293">
        <f>TEXT(58292, "[$-0E0000]yyyy-mm-dd")</f>
        <v/>
      </c>
      <c r="C58293" t="inlineStr">
        <is>
          <t>2059-06-28</t>
        </is>
      </c>
    </row>
    <row r="58294">
      <c r="A58294" s="1" t="n">
        <v>58293</v>
      </c>
      <c r="B58294">
        <f>TEXT(58293, "[$-0E0000]yyyy-mm-dd")</f>
        <v/>
      </c>
      <c r="C58294" t="inlineStr">
        <is>
          <t>2059-06-29</t>
        </is>
      </c>
    </row>
    <row r="58295">
      <c r="A58295" s="1" t="n">
        <v>58294</v>
      </c>
      <c r="B58295">
        <f>TEXT(58294, "[$-0E0000]yyyy-mm-dd")</f>
        <v/>
      </c>
      <c r="C58295" t="inlineStr">
        <is>
          <t>2059-07-01</t>
        </is>
      </c>
    </row>
    <row r="58296">
      <c r="A58296" s="1" t="n">
        <v>58295</v>
      </c>
      <c r="B58296">
        <f>TEXT(58295, "[$-0E0000]yyyy-mm-dd")</f>
        <v/>
      </c>
      <c r="C58296" t="inlineStr">
        <is>
          <t>2059-07-02</t>
        </is>
      </c>
    </row>
    <row r="58297">
      <c r="A58297" s="1" t="n">
        <v>58296</v>
      </c>
      <c r="B58297">
        <f>TEXT(58296, "[$-0E0000]yyyy-mm-dd")</f>
        <v/>
      </c>
      <c r="C58297" t="inlineStr">
        <is>
          <t>2059-07-03</t>
        </is>
      </c>
    </row>
    <row r="58298">
      <c r="A58298" s="1" t="n">
        <v>58297</v>
      </c>
      <c r="B58298">
        <f>TEXT(58297, "[$-0E0000]yyyy-mm-dd")</f>
        <v/>
      </c>
      <c r="C58298" t="inlineStr">
        <is>
          <t>2059-07-04</t>
        </is>
      </c>
    </row>
    <row r="58299">
      <c r="A58299" s="1" t="n">
        <v>58298</v>
      </c>
      <c r="B58299">
        <f>TEXT(58298, "[$-0E0000]yyyy-mm-dd")</f>
        <v/>
      </c>
      <c r="C58299" t="inlineStr">
        <is>
          <t>2059-07-05</t>
        </is>
      </c>
    </row>
    <row r="58300">
      <c r="A58300" s="1" t="n">
        <v>58299</v>
      </c>
      <c r="B58300">
        <f>TEXT(58299, "[$-0E0000]yyyy-mm-dd")</f>
        <v/>
      </c>
      <c r="C58300" t="inlineStr">
        <is>
          <t>2059-07-06</t>
        </is>
      </c>
    </row>
    <row r="58301">
      <c r="A58301" s="1" t="n">
        <v>58300</v>
      </c>
      <c r="B58301">
        <f>TEXT(58300, "[$-0E0000]yyyy-mm-dd")</f>
        <v/>
      </c>
      <c r="C58301" t="inlineStr">
        <is>
          <t>2059-07-07</t>
        </is>
      </c>
    </row>
    <row r="58302">
      <c r="A58302" s="1" t="n">
        <v>58301</v>
      </c>
      <c r="B58302">
        <f>TEXT(58301, "[$-0E0000]yyyy-mm-dd")</f>
        <v/>
      </c>
      <c r="C58302" t="inlineStr">
        <is>
          <t>2059-07-08</t>
        </is>
      </c>
    </row>
    <row r="58303">
      <c r="A58303" s="1" t="n">
        <v>58302</v>
      </c>
      <c r="B58303">
        <f>TEXT(58302, "[$-0E0000]yyyy-mm-dd")</f>
        <v/>
      </c>
      <c r="C58303" t="inlineStr">
        <is>
          <t>2059-07-09</t>
        </is>
      </c>
    </row>
    <row r="58304">
      <c r="A58304" s="1" t="n">
        <v>58303</v>
      </c>
      <c r="B58304">
        <f>TEXT(58303, "[$-0E0000]yyyy-mm-dd")</f>
        <v/>
      </c>
      <c r="C58304" t="inlineStr">
        <is>
          <t>2059-07-10</t>
        </is>
      </c>
    </row>
    <row r="58305">
      <c r="A58305" s="1" t="n">
        <v>58304</v>
      </c>
      <c r="B58305">
        <f>TEXT(58304, "[$-0E0000]yyyy-mm-dd")</f>
        <v/>
      </c>
      <c r="C58305" t="inlineStr">
        <is>
          <t>2059-07-11</t>
        </is>
      </c>
    </row>
    <row r="58306">
      <c r="A58306" s="1" t="n">
        <v>58305</v>
      </c>
      <c r="B58306">
        <f>TEXT(58305, "[$-0E0000]yyyy-mm-dd")</f>
        <v/>
      </c>
      <c r="C58306" t="inlineStr">
        <is>
          <t>2059-07-12</t>
        </is>
      </c>
    </row>
    <row r="58307">
      <c r="A58307" s="1" t="n">
        <v>58306</v>
      </c>
      <c r="B58307">
        <f>TEXT(58306, "[$-0E0000]yyyy-mm-dd")</f>
        <v/>
      </c>
      <c r="C58307" t="inlineStr">
        <is>
          <t>2059-07-13</t>
        </is>
      </c>
    </row>
    <row r="58308">
      <c r="A58308" s="1" t="n">
        <v>58307</v>
      </c>
      <c r="B58308">
        <f>TEXT(58307, "[$-0E0000]yyyy-mm-dd")</f>
        <v/>
      </c>
      <c r="C58308" t="inlineStr">
        <is>
          <t>2059-07-14</t>
        </is>
      </c>
    </row>
    <row r="58309">
      <c r="A58309" s="1" t="n">
        <v>58308</v>
      </c>
      <c r="B58309">
        <f>TEXT(58308, "[$-0E0000]yyyy-mm-dd")</f>
        <v/>
      </c>
      <c r="C58309" t="inlineStr">
        <is>
          <t>2059-07-15</t>
        </is>
      </c>
    </row>
    <row r="58310">
      <c r="A58310" s="1" t="n">
        <v>58309</v>
      </c>
      <c r="B58310">
        <f>TEXT(58309, "[$-0E0000]yyyy-mm-dd")</f>
        <v/>
      </c>
      <c r="C58310" t="inlineStr">
        <is>
          <t>2059-07-16</t>
        </is>
      </c>
    </row>
    <row r="58311">
      <c r="A58311" s="1" t="n">
        <v>58310</v>
      </c>
      <c r="B58311">
        <f>TEXT(58310, "[$-0E0000]yyyy-mm-dd")</f>
        <v/>
      </c>
      <c r="C58311" t="inlineStr">
        <is>
          <t>2059-07-17</t>
        </is>
      </c>
    </row>
    <row r="58312">
      <c r="A58312" s="1" t="n">
        <v>58311</v>
      </c>
      <c r="B58312">
        <f>TEXT(58311, "[$-0E0000]yyyy-mm-dd")</f>
        <v/>
      </c>
      <c r="C58312" t="inlineStr">
        <is>
          <t>2059-07-18</t>
        </is>
      </c>
    </row>
    <row r="58313">
      <c r="A58313" s="1" t="n">
        <v>58312</v>
      </c>
      <c r="B58313">
        <f>TEXT(58312, "[$-0E0000]yyyy-mm-dd")</f>
        <v/>
      </c>
      <c r="C58313" t="inlineStr">
        <is>
          <t>2059-07-19</t>
        </is>
      </c>
    </row>
    <row r="58314">
      <c r="A58314" s="1" t="n">
        <v>58313</v>
      </c>
      <c r="B58314">
        <f>TEXT(58313, "[$-0E0000]yyyy-mm-dd")</f>
        <v/>
      </c>
      <c r="C58314" t="inlineStr">
        <is>
          <t>2059-07-20</t>
        </is>
      </c>
    </row>
    <row r="58315">
      <c r="A58315" s="1" t="n">
        <v>58314</v>
      </c>
      <c r="B58315">
        <f>TEXT(58314, "[$-0E0000]yyyy-mm-dd")</f>
        <v/>
      </c>
      <c r="C58315" t="inlineStr">
        <is>
          <t>2059-07-21</t>
        </is>
      </c>
    </row>
    <row r="58316">
      <c r="A58316" s="1" t="n">
        <v>58315</v>
      </c>
      <c r="B58316">
        <f>TEXT(58315, "[$-0E0000]yyyy-mm-dd")</f>
        <v/>
      </c>
      <c r="C58316" t="inlineStr">
        <is>
          <t>2059-07-22</t>
        </is>
      </c>
    </row>
    <row r="58317">
      <c r="A58317" s="1" t="n">
        <v>58316</v>
      </c>
      <c r="B58317">
        <f>TEXT(58316, "[$-0E0000]yyyy-mm-dd")</f>
        <v/>
      </c>
      <c r="C58317" t="inlineStr">
        <is>
          <t>2059-07-23</t>
        </is>
      </c>
    </row>
    <row r="58318">
      <c r="A58318" s="1" t="n">
        <v>58317</v>
      </c>
      <c r="B58318">
        <f>TEXT(58317, "[$-0E0000]yyyy-mm-dd")</f>
        <v/>
      </c>
      <c r="C58318" t="inlineStr">
        <is>
          <t>2059-07-24</t>
        </is>
      </c>
    </row>
    <row r="58319">
      <c r="A58319" s="1" t="n">
        <v>58318</v>
      </c>
      <c r="B58319">
        <f>TEXT(58318, "[$-0E0000]yyyy-mm-dd")</f>
        <v/>
      </c>
      <c r="C58319" t="inlineStr">
        <is>
          <t>2059-07-25</t>
        </is>
      </c>
    </row>
    <row r="58320">
      <c r="A58320" s="1" t="n">
        <v>58319</v>
      </c>
      <c r="B58320">
        <f>TEXT(58319, "[$-0E0000]yyyy-mm-dd")</f>
        <v/>
      </c>
      <c r="C58320" t="inlineStr">
        <is>
          <t>2059-07-26</t>
        </is>
      </c>
    </row>
    <row r="58321">
      <c r="A58321" s="1" t="n">
        <v>58320</v>
      </c>
      <c r="B58321">
        <f>TEXT(58320, "[$-0E0000]yyyy-mm-dd")</f>
        <v/>
      </c>
      <c r="C58321" t="inlineStr">
        <is>
          <t>2059-07-27</t>
        </is>
      </c>
    </row>
    <row r="58322">
      <c r="A58322" s="1" t="n">
        <v>58321</v>
      </c>
      <c r="B58322">
        <f>TEXT(58321, "[$-0E0000]yyyy-mm-dd")</f>
        <v/>
      </c>
      <c r="C58322" t="inlineStr">
        <is>
          <t>2059-07-28</t>
        </is>
      </c>
    </row>
    <row r="58323">
      <c r="A58323" s="1" t="n">
        <v>58322</v>
      </c>
      <c r="B58323">
        <f>TEXT(58322, "[$-0E0000]yyyy-mm-dd")</f>
        <v/>
      </c>
      <c r="C58323" t="inlineStr">
        <is>
          <t>2059-07-29</t>
        </is>
      </c>
    </row>
    <row r="58324">
      <c r="A58324" s="1" t="n">
        <v>58323</v>
      </c>
      <c r="B58324">
        <f>TEXT(58323, "[$-0E0000]yyyy-mm-dd")</f>
        <v/>
      </c>
      <c r="C58324" t="inlineStr">
        <is>
          <t>2059-07-30</t>
        </is>
      </c>
    </row>
    <row r="58325">
      <c r="A58325" s="1" t="n">
        <v>58324</v>
      </c>
      <c r="B58325">
        <f>TEXT(58324, "[$-0E0000]yyyy-mm-dd")</f>
        <v/>
      </c>
      <c r="C58325" t="inlineStr">
        <is>
          <t>2059-08-01</t>
        </is>
      </c>
    </row>
    <row r="58326">
      <c r="A58326" s="1" t="n">
        <v>58325</v>
      </c>
      <c r="B58326">
        <f>TEXT(58325, "[$-0E0000]yyyy-mm-dd")</f>
        <v/>
      </c>
      <c r="C58326" t="inlineStr">
        <is>
          <t>2059-08-02</t>
        </is>
      </c>
    </row>
    <row r="58327">
      <c r="A58327" s="1" t="n">
        <v>58326</v>
      </c>
      <c r="B58327">
        <f>TEXT(58326, "[$-0E0000]yyyy-mm-dd")</f>
        <v/>
      </c>
      <c r="C58327" t="inlineStr">
        <is>
          <t>2059-08-03</t>
        </is>
      </c>
    </row>
    <row r="58328">
      <c r="A58328" s="1" t="n">
        <v>58327</v>
      </c>
      <c r="B58328">
        <f>TEXT(58327, "[$-0E0000]yyyy-mm-dd")</f>
        <v/>
      </c>
      <c r="C58328" t="inlineStr">
        <is>
          <t>2059-08-04</t>
        </is>
      </c>
    </row>
    <row r="58329">
      <c r="A58329" s="1" t="n">
        <v>58328</v>
      </c>
      <c r="B58329">
        <f>TEXT(58328, "[$-0E0000]yyyy-mm-dd")</f>
        <v/>
      </c>
      <c r="C58329" t="inlineStr">
        <is>
          <t>2059-08-05</t>
        </is>
      </c>
    </row>
    <row r="58330">
      <c r="A58330" s="1" t="n">
        <v>58329</v>
      </c>
      <c r="B58330">
        <f>TEXT(58329, "[$-0E0000]yyyy-mm-dd")</f>
        <v/>
      </c>
      <c r="C58330" t="inlineStr">
        <is>
          <t>2059-08-06</t>
        </is>
      </c>
    </row>
    <row r="58331">
      <c r="A58331" s="1" t="n">
        <v>58330</v>
      </c>
      <c r="B58331">
        <f>TEXT(58330, "[$-0E0000]yyyy-mm-dd")</f>
        <v/>
      </c>
      <c r="C58331" t="inlineStr">
        <is>
          <t>2059-08-07</t>
        </is>
      </c>
    </row>
    <row r="58332">
      <c r="A58332" s="1" t="n">
        <v>58331</v>
      </c>
      <c r="B58332">
        <f>TEXT(58331, "[$-0E0000]yyyy-mm-dd")</f>
        <v/>
      </c>
      <c r="C58332" t="inlineStr">
        <is>
          <t>2059-08-08</t>
        </is>
      </c>
    </row>
    <row r="58333">
      <c r="A58333" s="1" t="n">
        <v>58332</v>
      </c>
      <c r="B58333">
        <f>TEXT(58332, "[$-0E0000]yyyy-mm-dd")</f>
        <v/>
      </c>
      <c r="C58333" t="inlineStr">
        <is>
          <t>2059-08-09</t>
        </is>
      </c>
    </row>
    <row r="58334">
      <c r="A58334" s="1" t="n">
        <v>58333</v>
      </c>
      <c r="B58334">
        <f>TEXT(58333, "[$-0E0000]yyyy-mm-dd")</f>
        <v/>
      </c>
      <c r="C58334" t="inlineStr">
        <is>
          <t>2059-08-10</t>
        </is>
      </c>
    </row>
    <row r="58335">
      <c r="A58335" s="1" t="n">
        <v>58334</v>
      </c>
      <c r="B58335">
        <f>TEXT(58334, "[$-0E0000]yyyy-mm-dd")</f>
        <v/>
      </c>
      <c r="C58335" t="inlineStr">
        <is>
          <t>2059-08-11</t>
        </is>
      </c>
    </row>
    <row r="58336">
      <c r="A58336" s="1" t="n">
        <v>58335</v>
      </c>
      <c r="B58336">
        <f>TEXT(58335, "[$-0E0000]yyyy-mm-dd")</f>
        <v/>
      </c>
      <c r="C58336" t="inlineStr">
        <is>
          <t>2059-08-12</t>
        </is>
      </c>
    </row>
    <row r="58337">
      <c r="A58337" s="1" t="n">
        <v>58336</v>
      </c>
      <c r="B58337">
        <f>TEXT(58336, "[$-0E0000]yyyy-mm-dd")</f>
        <v/>
      </c>
      <c r="C58337" t="inlineStr">
        <is>
          <t>2059-08-13</t>
        </is>
      </c>
    </row>
    <row r="58338">
      <c r="A58338" s="1" t="n">
        <v>58337</v>
      </c>
      <c r="B58338">
        <f>TEXT(58337, "[$-0E0000]yyyy-mm-dd")</f>
        <v/>
      </c>
      <c r="C58338" t="inlineStr">
        <is>
          <t>2059-08-14</t>
        </is>
      </c>
    </row>
    <row r="58339">
      <c r="A58339" s="1" t="n">
        <v>58338</v>
      </c>
      <c r="B58339">
        <f>TEXT(58338, "[$-0E0000]yyyy-mm-dd")</f>
        <v/>
      </c>
      <c r="C58339" t="inlineStr">
        <is>
          <t>2059-08-15</t>
        </is>
      </c>
    </row>
    <row r="58340">
      <c r="A58340" s="1" t="n">
        <v>58339</v>
      </c>
      <c r="B58340">
        <f>TEXT(58339, "[$-0E0000]yyyy-mm-dd")</f>
        <v/>
      </c>
      <c r="C58340" t="inlineStr">
        <is>
          <t>2059-08-16</t>
        </is>
      </c>
    </row>
    <row r="58341">
      <c r="A58341" s="1" t="n">
        <v>58340</v>
      </c>
      <c r="B58341">
        <f>TEXT(58340, "[$-0E0000]yyyy-mm-dd")</f>
        <v/>
      </c>
      <c r="C58341" t="inlineStr">
        <is>
          <t>2059-08-17</t>
        </is>
      </c>
    </row>
    <row r="58342">
      <c r="A58342" s="1" t="n">
        <v>58341</v>
      </c>
      <c r="B58342">
        <f>TEXT(58341, "[$-0E0000]yyyy-mm-dd")</f>
        <v/>
      </c>
      <c r="C58342" t="inlineStr">
        <is>
          <t>2059-08-18</t>
        </is>
      </c>
    </row>
    <row r="58343">
      <c r="A58343" s="1" t="n">
        <v>58342</v>
      </c>
      <c r="B58343">
        <f>TEXT(58342, "[$-0E0000]yyyy-mm-dd")</f>
        <v/>
      </c>
      <c r="C58343" t="inlineStr">
        <is>
          <t>2059-08-19</t>
        </is>
      </c>
    </row>
    <row r="58344">
      <c r="A58344" s="1" t="n">
        <v>58343</v>
      </c>
      <c r="B58344">
        <f>TEXT(58343, "[$-0E0000]yyyy-mm-dd")</f>
        <v/>
      </c>
      <c r="C58344" t="inlineStr">
        <is>
          <t>2059-08-20</t>
        </is>
      </c>
    </row>
    <row r="58345">
      <c r="A58345" s="1" t="n">
        <v>58344</v>
      </c>
      <c r="B58345">
        <f>TEXT(58344, "[$-0E0000]yyyy-mm-dd")</f>
        <v/>
      </c>
      <c r="C58345" t="inlineStr">
        <is>
          <t>2059-08-21</t>
        </is>
      </c>
    </row>
    <row r="58346">
      <c r="A58346" s="1" t="n">
        <v>58345</v>
      </c>
      <c r="B58346">
        <f>TEXT(58345, "[$-0E0000]yyyy-mm-dd")</f>
        <v/>
      </c>
      <c r="C58346" t="inlineStr">
        <is>
          <t>2059-08-22</t>
        </is>
      </c>
    </row>
    <row r="58347">
      <c r="A58347" s="1" t="n">
        <v>58346</v>
      </c>
      <c r="B58347">
        <f>TEXT(58346, "[$-0E0000]yyyy-mm-dd")</f>
        <v/>
      </c>
      <c r="C58347" t="inlineStr">
        <is>
          <t>2059-08-23</t>
        </is>
      </c>
    </row>
    <row r="58348">
      <c r="A58348" s="1" t="n">
        <v>58347</v>
      </c>
      <c r="B58348">
        <f>TEXT(58347, "[$-0E0000]yyyy-mm-dd")</f>
        <v/>
      </c>
      <c r="C58348" t="inlineStr">
        <is>
          <t>2059-08-24</t>
        </is>
      </c>
    </row>
    <row r="58349">
      <c r="A58349" s="1" t="n">
        <v>58348</v>
      </c>
      <c r="B58349">
        <f>TEXT(58348, "[$-0E0000]yyyy-mm-dd")</f>
        <v/>
      </c>
      <c r="C58349" t="inlineStr">
        <is>
          <t>2059-08-25</t>
        </is>
      </c>
    </row>
    <row r="58350">
      <c r="A58350" s="1" t="n">
        <v>58349</v>
      </c>
      <c r="B58350">
        <f>TEXT(58349, "[$-0E0000]yyyy-mm-dd")</f>
        <v/>
      </c>
      <c r="C58350" t="inlineStr">
        <is>
          <t>2059-08-26</t>
        </is>
      </c>
    </row>
    <row r="58351">
      <c r="A58351" s="1" t="n">
        <v>58350</v>
      </c>
      <c r="B58351">
        <f>TEXT(58350, "[$-0E0000]yyyy-mm-dd")</f>
        <v/>
      </c>
      <c r="C58351" t="inlineStr">
        <is>
          <t>2059-08-27</t>
        </is>
      </c>
    </row>
    <row r="58352">
      <c r="A58352" s="1" t="n">
        <v>58351</v>
      </c>
      <c r="B58352">
        <f>TEXT(58351, "[$-0E0000]yyyy-mm-dd")</f>
        <v/>
      </c>
      <c r="C58352" t="inlineStr">
        <is>
          <t>2059-08-28</t>
        </is>
      </c>
    </row>
    <row r="58353">
      <c r="A58353" s="1" t="n">
        <v>58352</v>
      </c>
      <c r="B58353">
        <f>TEXT(58352, "[$-0E0000]yyyy-mm-dd")</f>
        <v/>
      </c>
      <c r="C58353" t="inlineStr">
        <is>
          <t>2059-08-29</t>
        </is>
      </c>
    </row>
    <row r="58354">
      <c r="A58354" s="1" t="n">
        <v>58353</v>
      </c>
      <c r="B58354">
        <f>TEXT(58353, "[$-0E0000]yyyy-mm-dd")</f>
        <v/>
      </c>
      <c r="C58354" t="inlineStr">
        <is>
          <t>2059-09-01</t>
        </is>
      </c>
    </row>
    <row r="58355">
      <c r="A58355" s="1" t="n">
        <v>58354</v>
      </c>
      <c r="B58355">
        <f>TEXT(58354, "[$-0E0000]yyyy-mm-dd")</f>
        <v/>
      </c>
      <c r="C58355" t="inlineStr">
        <is>
          <t>2059-09-02</t>
        </is>
      </c>
    </row>
    <row r="58356">
      <c r="A58356" s="1" t="n">
        <v>58355</v>
      </c>
      <c r="B58356">
        <f>TEXT(58355, "[$-0E0000]yyyy-mm-dd")</f>
        <v/>
      </c>
      <c r="C58356" t="inlineStr">
        <is>
          <t>2059-09-03</t>
        </is>
      </c>
    </row>
    <row r="58357">
      <c r="A58357" s="1" t="n">
        <v>58356</v>
      </c>
      <c r="B58357">
        <f>TEXT(58356, "[$-0E0000]yyyy-mm-dd")</f>
        <v/>
      </c>
      <c r="C58357" t="inlineStr">
        <is>
          <t>2059-09-04</t>
        </is>
      </c>
    </row>
    <row r="58358">
      <c r="A58358" s="1" t="n">
        <v>58357</v>
      </c>
      <c r="B58358">
        <f>TEXT(58357, "[$-0E0000]yyyy-mm-dd")</f>
        <v/>
      </c>
      <c r="C58358" t="inlineStr">
        <is>
          <t>2059-09-05</t>
        </is>
      </c>
    </row>
    <row r="58359">
      <c r="A58359" s="1" t="n">
        <v>58358</v>
      </c>
      <c r="B58359">
        <f>TEXT(58358, "[$-0E0000]yyyy-mm-dd")</f>
        <v/>
      </c>
      <c r="C58359" t="inlineStr">
        <is>
          <t>2059-09-06</t>
        </is>
      </c>
    </row>
    <row r="58360">
      <c r="A58360" s="1" t="n">
        <v>58359</v>
      </c>
      <c r="B58360">
        <f>TEXT(58359, "[$-0E0000]yyyy-mm-dd")</f>
        <v/>
      </c>
      <c r="C58360" t="inlineStr">
        <is>
          <t>2059-09-07</t>
        </is>
      </c>
    </row>
    <row r="58361">
      <c r="A58361" s="1" t="n">
        <v>58360</v>
      </c>
      <c r="B58361">
        <f>TEXT(58360, "[$-0E0000]yyyy-mm-dd")</f>
        <v/>
      </c>
      <c r="C58361" t="inlineStr">
        <is>
          <t>2059-09-08</t>
        </is>
      </c>
    </row>
    <row r="58362">
      <c r="A58362" s="1" t="n">
        <v>58361</v>
      </c>
      <c r="B58362">
        <f>TEXT(58361, "[$-0E0000]yyyy-mm-dd")</f>
        <v/>
      </c>
      <c r="C58362" t="inlineStr">
        <is>
          <t>2059-09-09</t>
        </is>
      </c>
    </row>
    <row r="58363">
      <c r="A58363" s="1" t="n">
        <v>58362</v>
      </c>
      <c r="B58363">
        <f>TEXT(58362, "[$-0E0000]yyyy-mm-dd")</f>
        <v/>
      </c>
      <c r="C58363" t="inlineStr">
        <is>
          <t>2059-09-10</t>
        </is>
      </c>
    </row>
    <row r="58364">
      <c r="A58364" s="1" t="n">
        <v>58363</v>
      </c>
      <c r="B58364">
        <f>TEXT(58363, "[$-0E0000]yyyy-mm-dd")</f>
        <v/>
      </c>
      <c r="C58364" t="inlineStr">
        <is>
          <t>2059-09-11</t>
        </is>
      </c>
    </row>
    <row r="58365">
      <c r="A58365" s="1" t="n">
        <v>58364</v>
      </c>
      <c r="B58365">
        <f>TEXT(58364, "[$-0E0000]yyyy-mm-dd")</f>
        <v/>
      </c>
      <c r="C58365" t="inlineStr">
        <is>
          <t>2059-09-12</t>
        </is>
      </c>
    </row>
    <row r="58366">
      <c r="A58366" s="1" t="n">
        <v>58365</v>
      </c>
      <c r="B58366">
        <f>TEXT(58365, "[$-0E0000]yyyy-mm-dd")</f>
        <v/>
      </c>
      <c r="C58366" t="inlineStr">
        <is>
          <t>2059-09-13</t>
        </is>
      </c>
    </row>
    <row r="58367">
      <c r="A58367" s="1" t="n">
        <v>58366</v>
      </c>
      <c r="B58367">
        <f>TEXT(58366, "[$-0E0000]yyyy-mm-dd")</f>
        <v/>
      </c>
      <c r="C58367" t="inlineStr">
        <is>
          <t>2059-09-14</t>
        </is>
      </c>
    </row>
    <row r="58368">
      <c r="A58368" s="1" t="n">
        <v>58367</v>
      </c>
      <c r="B58368">
        <f>TEXT(58367, "[$-0E0000]yyyy-mm-dd")</f>
        <v/>
      </c>
      <c r="C58368" t="inlineStr">
        <is>
          <t>2059-09-15</t>
        </is>
      </c>
    </row>
    <row r="58369">
      <c r="A58369" s="1" t="n">
        <v>58368</v>
      </c>
      <c r="B58369">
        <f>TEXT(58368, "[$-0E0000]yyyy-mm-dd")</f>
        <v/>
      </c>
      <c r="C58369" t="inlineStr">
        <is>
          <t>2059-09-16</t>
        </is>
      </c>
    </row>
    <row r="58370">
      <c r="A58370" s="1" t="n">
        <v>58369</v>
      </c>
      <c r="B58370">
        <f>TEXT(58369, "[$-0E0000]yyyy-mm-dd")</f>
        <v/>
      </c>
      <c r="C58370" t="inlineStr">
        <is>
          <t>2059-09-17</t>
        </is>
      </c>
    </row>
    <row r="58371">
      <c r="A58371" s="1" t="n">
        <v>58370</v>
      </c>
      <c r="B58371">
        <f>TEXT(58370, "[$-0E0000]yyyy-mm-dd")</f>
        <v/>
      </c>
      <c r="C58371" t="inlineStr">
        <is>
          <t>2059-09-18</t>
        </is>
      </c>
    </row>
    <row r="58372">
      <c r="A58372" s="1" t="n">
        <v>58371</v>
      </c>
      <c r="B58372">
        <f>TEXT(58371, "[$-0E0000]yyyy-mm-dd")</f>
        <v/>
      </c>
      <c r="C58372" t="inlineStr">
        <is>
          <t>2059-09-19</t>
        </is>
      </c>
    </row>
    <row r="58373">
      <c r="A58373" s="1" t="n">
        <v>58372</v>
      </c>
      <c r="B58373">
        <f>TEXT(58372, "[$-0E0000]yyyy-mm-dd")</f>
        <v/>
      </c>
      <c r="C58373" t="inlineStr">
        <is>
          <t>2059-09-20</t>
        </is>
      </c>
    </row>
    <row r="58374">
      <c r="A58374" s="1" t="n">
        <v>58373</v>
      </c>
      <c r="B58374">
        <f>TEXT(58373, "[$-0E0000]yyyy-mm-dd")</f>
        <v/>
      </c>
      <c r="C58374" t="inlineStr">
        <is>
          <t>2059-09-21</t>
        </is>
      </c>
    </row>
    <row r="58375">
      <c r="A58375" s="1" t="n">
        <v>58374</v>
      </c>
      <c r="B58375">
        <f>TEXT(58374, "[$-0E0000]yyyy-mm-dd")</f>
        <v/>
      </c>
      <c r="C58375" t="inlineStr">
        <is>
          <t>2059-09-22</t>
        </is>
      </c>
    </row>
    <row r="58376">
      <c r="A58376" s="1" t="n">
        <v>58375</v>
      </c>
      <c r="B58376">
        <f>TEXT(58375, "[$-0E0000]yyyy-mm-dd")</f>
        <v/>
      </c>
      <c r="C58376" t="inlineStr">
        <is>
          <t>2059-09-23</t>
        </is>
      </c>
    </row>
    <row r="58377">
      <c r="A58377" s="1" t="n">
        <v>58376</v>
      </c>
      <c r="B58377">
        <f>TEXT(58376, "[$-0E0000]yyyy-mm-dd")</f>
        <v/>
      </c>
      <c r="C58377" t="inlineStr">
        <is>
          <t>2059-09-24</t>
        </is>
      </c>
    </row>
    <row r="58378">
      <c r="A58378" s="1" t="n">
        <v>58377</v>
      </c>
      <c r="B58378">
        <f>TEXT(58377, "[$-0E0000]yyyy-mm-dd")</f>
        <v/>
      </c>
      <c r="C58378" t="inlineStr">
        <is>
          <t>2059-09-25</t>
        </is>
      </c>
    </row>
    <row r="58379">
      <c r="A58379" s="1" t="n">
        <v>58378</v>
      </c>
      <c r="B58379">
        <f>TEXT(58378, "[$-0E0000]yyyy-mm-dd")</f>
        <v/>
      </c>
      <c r="C58379" t="inlineStr">
        <is>
          <t>2059-09-26</t>
        </is>
      </c>
    </row>
    <row r="58380">
      <c r="A58380" s="1" t="n">
        <v>58379</v>
      </c>
      <c r="B58380">
        <f>TEXT(58379, "[$-0E0000]yyyy-mm-dd")</f>
        <v/>
      </c>
      <c r="C58380" t="inlineStr">
        <is>
          <t>2059-09-27</t>
        </is>
      </c>
    </row>
    <row r="58381">
      <c r="A58381" s="1" t="n">
        <v>58380</v>
      </c>
      <c r="B58381">
        <f>TEXT(58380, "[$-0E0000]yyyy-mm-dd")</f>
        <v/>
      </c>
      <c r="C58381" t="inlineStr">
        <is>
          <t>2059-09-28</t>
        </is>
      </c>
    </row>
    <row r="58382">
      <c r="A58382" s="1" t="n">
        <v>58381</v>
      </c>
      <c r="B58382">
        <f>TEXT(58381, "[$-0E0000]yyyy-mm-dd")</f>
        <v/>
      </c>
      <c r="C58382" t="inlineStr">
        <is>
          <t>2059-09-29</t>
        </is>
      </c>
    </row>
    <row r="58383">
      <c r="A58383" s="1" t="n">
        <v>58382</v>
      </c>
      <c r="B58383">
        <f>TEXT(58382, "[$-0E0000]yyyy-mm-dd")</f>
        <v/>
      </c>
      <c r="C58383" t="inlineStr">
        <is>
          <t>2059-09-30</t>
        </is>
      </c>
    </row>
    <row r="58384">
      <c r="A58384" s="1" t="n">
        <v>58383</v>
      </c>
      <c r="B58384">
        <f>TEXT(58383, "[$-0E0000]yyyy-mm-dd")</f>
        <v/>
      </c>
      <c r="C58384" t="inlineStr">
        <is>
          <t>2059-10-01</t>
        </is>
      </c>
    </row>
    <row r="58385">
      <c r="A58385" s="1" t="n">
        <v>58384</v>
      </c>
      <c r="B58385">
        <f>TEXT(58384, "[$-0E0000]yyyy-mm-dd")</f>
        <v/>
      </c>
      <c r="C58385" t="inlineStr">
        <is>
          <t>2059-10-02</t>
        </is>
      </c>
    </row>
    <row r="58386">
      <c r="A58386" s="1" t="n">
        <v>58385</v>
      </c>
      <c r="B58386">
        <f>TEXT(58385, "[$-0E0000]yyyy-mm-dd")</f>
        <v/>
      </c>
      <c r="C58386" t="inlineStr">
        <is>
          <t>2059-10-03</t>
        </is>
      </c>
    </row>
    <row r="58387">
      <c r="A58387" s="1" t="n">
        <v>58386</v>
      </c>
      <c r="B58387">
        <f>TEXT(58386, "[$-0E0000]yyyy-mm-dd")</f>
        <v/>
      </c>
      <c r="C58387" t="inlineStr">
        <is>
          <t>2059-10-04</t>
        </is>
      </c>
    </row>
    <row r="58388">
      <c r="A58388" s="1" t="n">
        <v>58387</v>
      </c>
      <c r="B58388">
        <f>TEXT(58387, "[$-0E0000]yyyy-mm-dd")</f>
        <v/>
      </c>
      <c r="C58388" t="inlineStr">
        <is>
          <t>2059-10-05</t>
        </is>
      </c>
    </row>
    <row r="58389">
      <c r="A58389" s="1" t="n">
        <v>58388</v>
      </c>
      <c r="B58389">
        <f>TEXT(58388, "[$-0E0000]yyyy-mm-dd")</f>
        <v/>
      </c>
      <c r="C58389" t="inlineStr">
        <is>
          <t>2059-10-06</t>
        </is>
      </c>
    </row>
    <row r="58390">
      <c r="A58390" s="1" t="n">
        <v>58389</v>
      </c>
      <c r="B58390">
        <f>TEXT(58389, "[$-0E0000]yyyy-mm-dd")</f>
        <v/>
      </c>
      <c r="C58390" t="inlineStr">
        <is>
          <t>2059-10-07</t>
        </is>
      </c>
    </row>
    <row r="58391">
      <c r="A58391" s="1" t="n">
        <v>58390</v>
      </c>
      <c r="B58391">
        <f>TEXT(58390, "[$-0E0000]yyyy-mm-dd")</f>
        <v/>
      </c>
      <c r="C58391" t="inlineStr">
        <is>
          <t>2059-10-08</t>
        </is>
      </c>
    </row>
    <row r="58392">
      <c r="A58392" s="1" t="n">
        <v>58391</v>
      </c>
      <c r="B58392">
        <f>TEXT(58391, "[$-0E0000]yyyy-mm-dd")</f>
        <v/>
      </c>
      <c r="C58392" t="inlineStr">
        <is>
          <t>2059-10-09</t>
        </is>
      </c>
    </row>
    <row r="58393">
      <c r="A58393" s="1" t="n">
        <v>58392</v>
      </c>
      <c r="B58393">
        <f>TEXT(58392, "[$-0E0000]yyyy-mm-dd")</f>
        <v/>
      </c>
      <c r="C58393" t="inlineStr">
        <is>
          <t>2059-10-10</t>
        </is>
      </c>
    </row>
    <row r="58394">
      <c r="A58394" s="1" t="n">
        <v>58393</v>
      </c>
      <c r="B58394">
        <f>TEXT(58393, "[$-0E0000]yyyy-mm-dd")</f>
        <v/>
      </c>
      <c r="C58394" t="inlineStr">
        <is>
          <t>2059-10-11</t>
        </is>
      </c>
    </row>
    <row r="58395">
      <c r="A58395" s="1" t="n">
        <v>58394</v>
      </c>
      <c r="B58395">
        <f>TEXT(58394, "[$-0E0000]yyyy-mm-dd")</f>
        <v/>
      </c>
      <c r="C58395" t="inlineStr">
        <is>
          <t>2059-10-12</t>
        </is>
      </c>
    </row>
    <row r="58396">
      <c r="A58396" s="1" t="n">
        <v>58395</v>
      </c>
      <c r="B58396">
        <f>TEXT(58395, "[$-0E0000]yyyy-mm-dd")</f>
        <v/>
      </c>
      <c r="C58396" t="inlineStr">
        <is>
          <t>2059-10-13</t>
        </is>
      </c>
    </row>
    <row r="58397">
      <c r="A58397" s="1" t="n">
        <v>58396</v>
      </c>
      <c r="B58397">
        <f>TEXT(58396, "[$-0E0000]yyyy-mm-dd")</f>
        <v/>
      </c>
      <c r="C58397" t="inlineStr">
        <is>
          <t>2059-10-14</t>
        </is>
      </c>
    </row>
    <row r="58398">
      <c r="A58398" s="1" t="n">
        <v>58397</v>
      </c>
      <c r="B58398">
        <f>TEXT(58397, "[$-0E0000]yyyy-mm-dd")</f>
        <v/>
      </c>
      <c r="C58398" t="inlineStr">
        <is>
          <t>2059-10-15</t>
        </is>
      </c>
    </row>
    <row r="58399">
      <c r="A58399" s="1" t="n">
        <v>58398</v>
      </c>
      <c r="B58399">
        <f>TEXT(58398, "[$-0E0000]yyyy-mm-dd")</f>
        <v/>
      </c>
      <c r="C58399" t="inlineStr">
        <is>
          <t>2059-10-16</t>
        </is>
      </c>
    </row>
    <row r="58400">
      <c r="A58400" s="1" t="n">
        <v>58399</v>
      </c>
      <c r="B58400">
        <f>TEXT(58399, "[$-0E0000]yyyy-mm-dd")</f>
        <v/>
      </c>
      <c r="C58400" t="inlineStr">
        <is>
          <t>2059-10-17</t>
        </is>
      </c>
    </row>
    <row r="58401">
      <c r="A58401" s="1" t="n">
        <v>58400</v>
      </c>
      <c r="B58401">
        <f>TEXT(58400, "[$-0E0000]yyyy-mm-dd")</f>
        <v/>
      </c>
      <c r="C58401" t="inlineStr">
        <is>
          <t>2059-10-18</t>
        </is>
      </c>
    </row>
    <row r="58402">
      <c r="A58402" s="1" t="n">
        <v>58401</v>
      </c>
      <c r="B58402">
        <f>TEXT(58401, "[$-0E0000]yyyy-mm-dd")</f>
        <v/>
      </c>
      <c r="C58402" t="inlineStr">
        <is>
          <t>2059-10-19</t>
        </is>
      </c>
    </row>
    <row r="58403">
      <c r="A58403" s="1" t="n">
        <v>58402</v>
      </c>
      <c r="B58403">
        <f>TEXT(58402, "[$-0E0000]yyyy-mm-dd")</f>
        <v/>
      </c>
      <c r="C58403" t="inlineStr">
        <is>
          <t>2059-10-20</t>
        </is>
      </c>
    </row>
    <row r="58404">
      <c r="A58404" s="1" t="n">
        <v>58403</v>
      </c>
      <c r="B58404">
        <f>TEXT(58403, "[$-0E0000]yyyy-mm-dd")</f>
        <v/>
      </c>
      <c r="C58404" t="inlineStr">
        <is>
          <t>2059-10-21</t>
        </is>
      </c>
    </row>
    <row r="58405">
      <c r="A58405" s="1" t="n">
        <v>58404</v>
      </c>
      <c r="B58405">
        <f>TEXT(58404, "[$-0E0000]yyyy-mm-dd")</f>
        <v/>
      </c>
      <c r="C58405" t="inlineStr">
        <is>
          <t>2059-10-22</t>
        </is>
      </c>
    </row>
    <row r="58406">
      <c r="A58406" s="1" t="n">
        <v>58405</v>
      </c>
      <c r="B58406">
        <f>TEXT(58405, "[$-0E0000]yyyy-mm-dd")</f>
        <v/>
      </c>
      <c r="C58406" t="inlineStr">
        <is>
          <t>2059-10-23</t>
        </is>
      </c>
    </row>
    <row r="58407">
      <c r="A58407" s="1" t="n">
        <v>58406</v>
      </c>
      <c r="B58407">
        <f>TEXT(58406, "[$-0E0000]yyyy-mm-dd")</f>
        <v/>
      </c>
      <c r="C58407" t="inlineStr">
        <is>
          <t>2059-10-24</t>
        </is>
      </c>
    </row>
    <row r="58408">
      <c r="A58408" s="1" t="n">
        <v>58407</v>
      </c>
      <c r="B58408">
        <f>TEXT(58407, "[$-0E0000]yyyy-mm-dd")</f>
        <v/>
      </c>
      <c r="C58408" t="inlineStr">
        <is>
          <t>2059-10-25</t>
        </is>
      </c>
    </row>
    <row r="58409">
      <c r="A58409" s="1" t="n">
        <v>58408</v>
      </c>
      <c r="B58409">
        <f>TEXT(58408, "[$-0E0000]yyyy-mm-dd")</f>
        <v/>
      </c>
      <c r="C58409" t="inlineStr">
        <is>
          <t>2059-10-26</t>
        </is>
      </c>
    </row>
    <row r="58410">
      <c r="A58410" s="1" t="n">
        <v>58409</v>
      </c>
      <c r="B58410">
        <f>TEXT(58409, "[$-0E0000]yyyy-mm-dd")</f>
        <v/>
      </c>
      <c r="C58410" t="inlineStr">
        <is>
          <t>2059-10-27</t>
        </is>
      </c>
    </row>
    <row r="58411">
      <c r="A58411" s="1" t="n">
        <v>58410</v>
      </c>
      <c r="B58411">
        <f>TEXT(58410, "[$-0E0000]yyyy-mm-dd")</f>
        <v/>
      </c>
      <c r="C58411" t="inlineStr">
        <is>
          <t>2059-10-28</t>
        </is>
      </c>
    </row>
    <row r="58412">
      <c r="A58412" s="1" t="n">
        <v>58411</v>
      </c>
      <c r="B58412">
        <f>TEXT(58411, "[$-0E0000]yyyy-mm-dd")</f>
        <v/>
      </c>
      <c r="C58412" t="inlineStr">
        <is>
          <t>2059-10-29</t>
        </is>
      </c>
    </row>
    <row r="58413">
      <c r="A58413" s="1" t="n">
        <v>58412</v>
      </c>
      <c r="B58413">
        <f>TEXT(58412, "[$-0E0000]yyyy-mm-dd")</f>
        <v/>
      </c>
      <c r="C58413" t="inlineStr">
        <is>
          <t>2059-10-30</t>
        </is>
      </c>
    </row>
    <row r="58414">
      <c r="A58414" s="1" t="n">
        <v>58413</v>
      </c>
      <c r="B58414">
        <f>TEXT(58413, "[$-0E0000]yyyy-mm-dd")</f>
        <v/>
      </c>
      <c r="C58414" t="inlineStr">
        <is>
          <t>2059-11-01</t>
        </is>
      </c>
    </row>
    <row r="58415">
      <c r="A58415" s="1" t="n">
        <v>58414</v>
      </c>
      <c r="B58415">
        <f>TEXT(58414, "[$-0E0000]yyyy-mm-dd")</f>
        <v/>
      </c>
      <c r="C58415" t="inlineStr">
        <is>
          <t>2059-11-02</t>
        </is>
      </c>
    </row>
    <row r="58416">
      <c r="A58416" s="1" t="n">
        <v>58415</v>
      </c>
      <c r="B58416">
        <f>TEXT(58415, "[$-0E0000]yyyy-mm-dd")</f>
        <v/>
      </c>
      <c r="C58416" t="inlineStr">
        <is>
          <t>2059-11-03</t>
        </is>
      </c>
    </row>
    <row r="58417">
      <c r="A58417" s="1" t="n">
        <v>58416</v>
      </c>
      <c r="B58417">
        <f>TEXT(58416, "[$-0E0000]yyyy-mm-dd")</f>
        <v/>
      </c>
      <c r="C58417" t="inlineStr">
        <is>
          <t>2059-11-04</t>
        </is>
      </c>
    </row>
    <row r="58418">
      <c r="A58418" s="1" t="n">
        <v>58417</v>
      </c>
      <c r="B58418">
        <f>TEXT(58417, "[$-0E0000]yyyy-mm-dd")</f>
        <v/>
      </c>
      <c r="C58418" t="inlineStr">
        <is>
          <t>2059-11-05</t>
        </is>
      </c>
    </row>
    <row r="58419">
      <c r="A58419" s="1" t="n">
        <v>58418</v>
      </c>
      <c r="B58419">
        <f>TEXT(58418, "[$-0E0000]yyyy-mm-dd")</f>
        <v/>
      </c>
      <c r="C58419" t="inlineStr">
        <is>
          <t>2059-11-06</t>
        </is>
      </c>
    </row>
    <row r="58420">
      <c r="A58420" s="1" t="n">
        <v>58419</v>
      </c>
      <c r="B58420">
        <f>TEXT(58419, "[$-0E0000]yyyy-mm-dd")</f>
        <v/>
      </c>
      <c r="C58420" t="inlineStr">
        <is>
          <t>2059-11-07</t>
        </is>
      </c>
    </row>
    <row r="58421">
      <c r="A58421" s="1" t="n">
        <v>58420</v>
      </c>
      <c r="B58421">
        <f>TEXT(58420, "[$-0E0000]yyyy-mm-dd")</f>
        <v/>
      </c>
      <c r="C58421" t="inlineStr">
        <is>
          <t>2059-11-08</t>
        </is>
      </c>
    </row>
    <row r="58422">
      <c r="A58422" s="1" t="n">
        <v>58421</v>
      </c>
      <c r="B58422">
        <f>TEXT(58421, "[$-0E0000]yyyy-mm-dd")</f>
        <v/>
      </c>
      <c r="C58422" t="inlineStr">
        <is>
          <t>2059-11-09</t>
        </is>
      </c>
    </row>
    <row r="58423">
      <c r="A58423" s="1" t="n">
        <v>58422</v>
      </c>
      <c r="B58423">
        <f>TEXT(58422, "[$-0E0000]yyyy-mm-dd")</f>
        <v/>
      </c>
      <c r="C58423" t="inlineStr">
        <is>
          <t>2059-11-10</t>
        </is>
      </c>
    </row>
    <row r="58424">
      <c r="A58424" s="1" t="n">
        <v>58423</v>
      </c>
      <c r="B58424">
        <f>TEXT(58423, "[$-0E0000]yyyy-mm-dd")</f>
        <v/>
      </c>
      <c r="C58424" t="inlineStr">
        <is>
          <t>2059-11-11</t>
        </is>
      </c>
    </row>
    <row r="58425">
      <c r="A58425" s="1" t="n">
        <v>58424</v>
      </c>
      <c r="B58425">
        <f>TEXT(58424, "[$-0E0000]yyyy-mm-dd")</f>
        <v/>
      </c>
      <c r="C58425" t="inlineStr">
        <is>
          <t>2059-11-12</t>
        </is>
      </c>
    </row>
    <row r="58426">
      <c r="A58426" s="1" t="n">
        <v>58425</v>
      </c>
      <c r="B58426">
        <f>TEXT(58425, "[$-0E0000]yyyy-mm-dd")</f>
        <v/>
      </c>
      <c r="C58426" t="inlineStr">
        <is>
          <t>2059-11-13</t>
        </is>
      </c>
    </row>
    <row r="58427">
      <c r="A58427" s="1" t="n">
        <v>58426</v>
      </c>
      <c r="B58427">
        <f>TEXT(58426, "[$-0E0000]yyyy-mm-dd")</f>
        <v/>
      </c>
      <c r="C58427" t="inlineStr">
        <is>
          <t>2059-11-14</t>
        </is>
      </c>
    </row>
    <row r="58428">
      <c r="A58428" s="1" t="n">
        <v>58427</v>
      </c>
      <c r="B58428">
        <f>TEXT(58427, "[$-0E0000]yyyy-mm-dd")</f>
        <v/>
      </c>
      <c r="C58428" t="inlineStr">
        <is>
          <t>2059-11-15</t>
        </is>
      </c>
    </row>
    <row r="58429">
      <c r="A58429" s="1" t="n">
        <v>58428</v>
      </c>
      <c r="B58429">
        <f>TEXT(58428, "[$-0E0000]yyyy-mm-dd")</f>
        <v/>
      </c>
      <c r="C58429" t="inlineStr">
        <is>
          <t>2059-11-16</t>
        </is>
      </c>
    </row>
    <row r="58430">
      <c r="A58430" s="1" t="n">
        <v>58429</v>
      </c>
      <c r="B58430">
        <f>TEXT(58429, "[$-0E0000]yyyy-mm-dd")</f>
        <v/>
      </c>
      <c r="C58430" t="inlineStr">
        <is>
          <t>2059-11-17</t>
        </is>
      </c>
    </row>
    <row r="58431">
      <c r="A58431" s="1" t="n">
        <v>58430</v>
      </c>
      <c r="B58431">
        <f>TEXT(58430, "[$-0E0000]yyyy-mm-dd")</f>
        <v/>
      </c>
      <c r="C58431" t="inlineStr">
        <is>
          <t>2059-11-18</t>
        </is>
      </c>
    </row>
    <row r="58432">
      <c r="A58432" s="1" t="n">
        <v>58431</v>
      </c>
      <c r="B58432">
        <f>TEXT(58431, "[$-0E0000]yyyy-mm-dd")</f>
        <v/>
      </c>
      <c r="C58432" t="inlineStr">
        <is>
          <t>2059-11-19</t>
        </is>
      </c>
    </row>
    <row r="58433">
      <c r="A58433" s="1" t="n">
        <v>58432</v>
      </c>
      <c r="B58433">
        <f>TEXT(58432, "[$-0E0000]yyyy-mm-dd")</f>
        <v/>
      </c>
      <c r="C58433" t="inlineStr">
        <is>
          <t>2059-11-20</t>
        </is>
      </c>
    </row>
    <row r="58434">
      <c r="A58434" s="1" t="n">
        <v>58433</v>
      </c>
      <c r="B58434">
        <f>TEXT(58433, "[$-0E0000]yyyy-mm-dd")</f>
        <v/>
      </c>
      <c r="C58434" t="inlineStr">
        <is>
          <t>2059-11-21</t>
        </is>
      </c>
    </row>
    <row r="58435">
      <c r="A58435" s="1" t="n">
        <v>58434</v>
      </c>
      <c r="B58435">
        <f>TEXT(58434, "[$-0E0000]yyyy-mm-dd")</f>
        <v/>
      </c>
      <c r="C58435" t="inlineStr">
        <is>
          <t>2059-11-22</t>
        </is>
      </c>
    </row>
    <row r="58436">
      <c r="A58436" s="1" t="n">
        <v>58435</v>
      </c>
      <c r="B58436">
        <f>TEXT(58435, "[$-0E0000]yyyy-mm-dd")</f>
        <v/>
      </c>
      <c r="C58436" t="inlineStr">
        <is>
          <t>2059-11-23</t>
        </is>
      </c>
    </row>
    <row r="58437">
      <c r="A58437" s="1" t="n">
        <v>58436</v>
      </c>
      <c r="B58437">
        <f>TEXT(58436, "[$-0E0000]yyyy-mm-dd")</f>
        <v/>
      </c>
      <c r="C58437" t="inlineStr">
        <is>
          <t>2059-11-24</t>
        </is>
      </c>
    </row>
    <row r="58438">
      <c r="A58438" s="1" t="n">
        <v>58437</v>
      </c>
      <c r="B58438">
        <f>TEXT(58437, "[$-0E0000]yyyy-mm-dd")</f>
        <v/>
      </c>
      <c r="C58438" t="inlineStr">
        <is>
          <t>2059-11-25</t>
        </is>
      </c>
    </row>
    <row r="58439">
      <c r="A58439" s="1" t="n">
        <v>58438</v>
      </c>
      <c r="B58439">
        <f>TEXT(58438, "[$-0E0000]yyyy-mm-dd")</f>
        <v/>
      </c>
      <c r="C58439" t="inlineStr">
        <is>
          <t>2059-11-26</t>
        </is>
      </c>
    </row>
    <row r="58440">
      <c r="A58440" s="1" t="n">
        <v>58439</v>
      </c>
      <c r="B58440">
        <f>TEXT(58439, "[$-0E0000]yyyy-mm-dd")</f>
        <v/>
      </c>
      <c r="C58440" t="inlineStr">
        <is>
          <t>2059-11-27</t>
        </is>
      </c>
    </row>
    <row r="58441">
      <c r="A58441" s="1" t="n">
        <v>58440</v>
      </c>
      <c r="B58441">
        <f>TEXT(58440, "[$-0E0000]yyyy-mm-dd")</f>
        <v/>
      </c>
      <c r="C58441" t="inlineStr">
        <is>
          <t>2059-11-28</t>
        </is>
      </c>
    </row>
    <row r="58442">
      <c r="A58442" s="1" t="n">
        <v>58441</v>
      </c>
      <c r="B58442">
        <f>TEXT(58441, "[$-0E0000]yyyy-mm-dd")</f>
        <v/>
      </c>
      <c r="C58442" t="inlineStr">
        <is>
          <t>2059-11-29</t>
        </is>
      </c>
    </row>
    <row r="58443">
      <c r="A58443" s="1" t="n">
        <v>58442</v>
      </c>
      <c r="B58443">
        <f>TEXT(58442, "[$-0E0000]yyyy-mm-dd")</f>
        <v/>
      </c>
      <c r="C58443" t="inlineStr">
        <is>
          <t>2059-11-30</t>
        </is>
      </c>
    </row>
    <row r="58444">
      <c r="A58444" s="1" t="n">
        <v>58443</v>
      </c>
      <c r="B58444">
        <f>TEXT(58443, "[$-0E0000]yyyy-mm-dd")</f>
        <v/>
      </c>
      <c r="C58444" t="inlineStr">
        <is>
          <t>2059-12-01</t>
        </is>
      </c>
    </row>
    <row r="58445">
      <c r="A58445" s="1" t="n">
        <v>58444</v>
      </c>
      <c r="B58445">
        <f>TEXT(58444, "[$-0E0000]yyyy-mm-dd")</f>
        <v/>
      </c>
      <c r="C58445" t="inlineStr">
        <is>
          <t>2059-12-02</t>
        </is>
      </c>
    </row>
    <row r="58446">
      <c r="A58446" s="1" t="n">
        <v>58445</v>
      </c>
      <c r="B58446">
        <f>TEXT(58445, "[$-0E0000]yyyy-mm-dd")</f>
        <v/>
      </c>
      <c r="C58446" t="inlineStr">
        <is>
          <t>2059-12-03</t>
        </is>
      </c>
    </row>
    <row r="58447">
      <c r="A58447" s="1" t="n">
        <v>58446</v>
      </c>
      <c r="B58447">
        <f>TEXT(58446, "[$-0E0000]yyyy-mm-dd")</f>
        <v/>
      </c>
      <c r="C58447" t="inlineStr">
        <is>
          <t>2059-12-04</t>
        </is>
      </c>
    </row>
    <row r="58448">
      <c r="A58448" s="1" t="n">
        <v>58447</v>
      </c>
      <c r="B58448">
        <f>TEXT(58447, "[$-0E0000]yyyy-mm-dd")</f>
        <v/>
      </c>
      <c r="C58448" t="inlineStr">
        <is>
          <t>2059-12-05</t>
        </is>
      </c>
    </row>
    <row r="58449">
      <c r="A58449" s="1" t="n">
        <v>58448</v>
      </c>
      <c r="B58449">
        <f>TEXT(58448, "[$-0E0000]yyyy-mm-dd")</f>
        <v/>
      </c>
      <c r="C58449" t="inlineStr">
        <is>
          <t>2059-12-06</t>
        </is>
      </c>
    </row>
    <row r="58450">
      <c r="A58450" s="1" t="n">
        <v>58449</v>
      </c>
      <c r="B58450">
        <f>TEXT(58449, "[$-0E0000]yyyy-mm-dd")</f>
        <v/>
      </c>
      <c r="C58450" t="inlineStr">
        <is>
          <t>2059-12-07</t>
        </is>
      </c>
    </row>
    <row r="58451">
      <c r="A58451" s="1" t="n">
        <v>58450</v>
      </c>
      <c r="B58451">
        <f>TEXT(58450, "[$-0E0000]yyyy-mm-dd")</f>
        <v/>
      </c>
      <c r="C58451" t="inlineStr">
        <is>
          <t>2059-12-08</t>
        </is>
      </c>
    </row>
    <row r="58452">
      <c r="A58452" s="1" t="n">
        <v>58451</v>
      </c>
      <c r="B58452">
        <f>TEXT(58451, "[$-0E0000]yyyy-mm-dd")</f>
        <v/>
      </c>
      <c r="C58452" t="inlineStr">
        <is>
          <t>2059-12-09</t>
        </is>
      </c>
    </row>
    <row r="58453">
      <c r="A58453" s="1" t="n">
        <v>58452</v>
      </c>
      <c r="B58453">
        <f>TEXT(58452, "[$-0E0000]yyyy-mm-dd")</f>
        <v/>
      </c>
      <c r="C58453" t="inlineStr">
        <is>
          <t>2059-12-10</t>
        </is>
      </c>
    </row>
    <row r="58454">
      <c r="A58454" s="1" t="n">
        <v>58453</v>
      </c>
      <c r="B58454">
        <f>TEXT(58453, "[$-0E0000]yyyy-mm-dd")</f>
        <v/>
      </c>
      <c r="C58454" t="inlineStr">
        <is>
          <t>2059-12-11</t>
        </is>
      </c>
    </row>
    <row r="58455">
      <c r="A58455" s="1" t="n">
        <v>58454</v>
      </c>
      <c r="B58455">
        <f>TEXT(58454, "[$-0E0000]yyyy-mm-dd")</f>
        <v/>
      </c>
      <c r="C58455" t="inlineStr">
        <is>
          <t>2059-12-12</t>
        </is>
      </c>
    </row>
    <row r="58456">
      <c r="A58456" s="1" t="n">
        <v>58455</v>
      </c>
      <c r="B58456">
        <f>TEXT(58455, "[$-0E0000]yyyy-mm-dd")</f>
        <v/>
      </c>
      <c r="C58456" t="inlineStr">
        <is>
          <t>2059-12-13</t>
        </is>
      </c>
    </row>
    <row r="58457">
      <c r="A58457" s="1" t="n">
        <v>58456</v>
      </c>
      <c r="B58457">
        <f>TEXT(58456, "[$-0E0000]yyyy-mm-dd")</f>
        <v/>
      </c>
      <c r="C58457" t="inlineStr">
        <is>
          <t>2059-12-14</t>
        </is>
      </c>
    </row>
    <row r="58458">
      <c r="A58458" s="1" t="n">
        <v>58457</v>
      </c>
      <c r="B58458">
        <f>TEXT(58457, "[$-0E0000]yyyy-mm-dd")</f>
        <v/>
      </c>
      <c r="C58458" t="inlineStr">
        <is>
          <t>2059-12-15</t>
        </is>
      </c>
    </row>
    <row r="58459">
      <c r="A58459" s="1" t="n">
        <v>58458</v>
      </c>
      <c r="B58459">
        <f>TEXT(58458, "[$-0E0000]yyyy-mm-dd")</f>
        <v/>
      </c>
      <c r="C58459" t="inlineStr">
        <is>
          <t>2059-12-16</t>
        </is>
      </c>
    </row>
    <row r="58460">
      <c r="A58460" s="1" t="n">
        <v>58459</v>
      </c>
      <c r="B58460">
        <f>TEXT(58459, "[$-0E0000]yyyy-mm-dd")</f>
        <v/>
      </c>
      <c r="C58460" t="inlineStr">
        <is>
          <t>2059-12-17</t>
        </is>
      </c>
    </row>
    <row r="58461">
      <c r="A58461" s="1" t="n">
        <v>58460</v>
      </c>
      <c r="B58461">
        <f>TEXT(58460, "[$-0E0000]yyyy-mm-dd")</f>
        <v/>
      </c>
      <c r="C58461" t="inlineStr">
        <is>
          <t>2059-12-18</t>
        </is>
      </c>
    </row>
    <row r="58462">
      <c r="A58462" s="1" t="n">
        <v>58461</v>
      </c>
      <c r="B58462">
        <f>TEXT(58461, "[$-0E0000]yyyy-mm-dd")</f>
        <v/>
      </c>
      <c r="C58462" t="inlineStr">
        <is>
          <t>2059-12-19</t>
        </is>
      </c>
    </row>
    <row r="58463">
      <c r="A58463" s="1" t="n">
        <v>58462</v>
      </c>
      <c r="B58463">
        <f>TEXT(58462, "[$-0E0000]yyyy-mm-dd")</f>
        <v/>
      </c>
      <c r="C58463" t="inlineStr">
        <is>
          <t>2059-12-20</t>
        </is>
      </c>
    </row>
    <row r="58464">
      <c r="A58464" s="1" t="n">
        <v>58463</v>
      </c>
      <c r="B58464">
        <f>TEXT(58463, "[$-0E0000]yyyy-mm-dd")</f>
        <v/>
      </c>
      <c r="C58464" t="inlineStr">
        <is>
          <t>2059-12-21</t>
        </is>
      </c>
    </row>
    <row r="58465">
      <c r="A58465" s="1" t="n">
        <v>58464</v>
      </c>
      <c r="B58465">
        <f>TEXT(58464, "[$-0E0000]yyyy-mm-dd")</f>
        <v/>
      </c>
      <c r="C58465" t="inlineStr">
        <is>
          <t>2059-12-22</t>
        </is>
      </c>
    </row>
    <row r="58466">
      <c r="A58466" s="1" t="n">
        <v>58465</v>
      </c>
      <c r="B58466">
        <f>TEXT(58465, "[$-0E0000]yyyy-mm-dd")</f>
        <v/>
      </c>
      <c r="C58466" t="inlineStr">
        <is>
          <t>2059-12-23</t>
        </is>
      </c>
    </row>
    <row r="58467">
      <c r="A58467" s="1" t="n">
        <v>58466</v>
      </c>
      <c r="B58467">
        <f>TEXT(58466, "[$-0E0000]yyyy-mm-dd")</f>
        <v/>
      </c>
      <c r="C58467" t="inlineStr">
        <is>
          <t>2059-12-24</t>
        </is>
      </c>
    </row>
    <row r="58468">
      <c r="A58468" s="1" t="n">
        <v>58467</v>
      </c>
      <c r="B58468">
        <f>TEXT(58467, "[$-0E0000]yyyy-mm-dd")</f>
        <v/>
      </c>
      <c r="C58468" t="inlineStr">
        <is>
          <t>2059-12-25</t>
        </is>
      </c>
    </row>
    <row r="58469">
      <c r="A58469" s="1" t="n">
        <v>58468</v>
      </c>
      <c r="B58469">
        <f>TEXT(58468, "[$-0E0000]yyyy-mm-dd")</f>
        <v/>
      </c>
      <c r="C58469" t="inlineStr">
        <is>
          <t>2059-12-26</t>
        </is>
      </c>
    </row>
    <row r="58470">
      <c r="A58470" s="1" t="n">
        <v>58469</v>
      </c>
      <c r="B58470">
        <f>TEXT(58469, "[$-0E0000]yyyy-mm-dd")</f>
        <v/>
      </c>
      <c r="C58470" t="inlineStr">
        <is>
          <t>2059-12-27</t>
        </is>
      </c>
    </row>
    <row r="58471">
      <c r="A58471" s="1" t="n">
        <v>58470</v>
      </c>
      <c r="B58471">
        <f>TEXT(58470, "[$-0E0000]yyyy-mm-dd")</f>
        <v/>
      </c>
      <c r="C58471" t="inlineStr">
        <is>
          <t>2059-12-28</t>
        </is>
      </c>
    </row>
    <row r="58472">
      <c r="A58472" s="1" t="n">
        <v>58471</v>
      </c>
      <c r="B58472">
        <f>TEXT(58471, "[$-0E0000]yyyy-mm-dd")</f>
        <v/>
      </c>
      <c r="C58472" t="inlineStr">
        <is>
          <t>2059-12-29</t>
        </is>
      </c>
    </row>
    <row r="58473">
      <c r="A58473" s="1" t="n">
        <v>58472</v>
      </c>
      <c r="B58473">
        <f>TEXT(58472, "[$-0E0000]yyyy-mm-dd")</f>
        <v/>
      </c>
      <c r="C58473" t="inlineStr">
        <is>
          <t>2060-01-01</t>
        </is>
      </c>
    </row>
    <row r="58474">
      <c r="A58474" s="1" t="n">
        <v>58473</v>
      </c>
      <c r="B58474">
        <f>TEXT(58473, "[$-0E0000]yyyy-mm-dd")</f>
        <v/>
      </c>
      <c r="C58474" t="inlineStr">
        <is>
          <t>2060-01-02</t>
        </is>
      </c>
    </row>
    <row r="58475">
      <c r="A58475" s="1" t="n">
        <v>58474</v>
      </c>
      <c r="B58475">
        <f>TEXT(58474, "[$-0E0000]yyyy-mm-dd")</f>
        <v/>
      </c>
      <c r="C58475" t="inlineStr">
        <is>
          <t>2060-01-03</t>
        </is>
      </c>
    </row>
    <row r="58476">
      <c r="A58476" s="1" t="n">
        <v>58475</v>
      </c>
      <c r="B58476">
        <f>TEXT(58475, "[$-0E0000]yyyy-mm-dd")</f>
        <v/>
      </c>
      <c r="C58476" t="inlineStr">
        <is>
          <t>2060-01-04</t>
        </is>
      </c>
    </row>
    <row r="58477">
      <c r="A58477" s="1" t="n">
        <v>58476</v>
      </c>
      <c r="B58477">
        <f>TEXT(58476, "[$-0E0000]yyyy-mm-dd")</f>
        <v/>
      </c>
      <c r="C58477" t="inlineStr">
        <is>
          <t>2060-01-05</t>
        </is>
      </c>
    </row>
    <row r="58478">
      <c r="A58478" s="1" t="n">
        <v>58477</v>
      </c>
      <c r="B58478">
        <f>TEXT(58477, "[$-0E0000]yyyy-mm-dd")</f>
        <v/>
      </c>
      <c r="C58478" t="inlineStr">
        <is>
          <t>2060-01-06</t>
        </is>
      </c>
    </row>
    <row r="58479">
      <c r="A58479" s="1" t="n">
        <v>58478</v>
      </c>
      <c r="B58479">
        <f>TEXT(58478, "[$-0E0000]yyyy-mm-dd")</f>
        <v/>
      </c>
      <c r="C58479" t="inlineStr">
        <is>
          <t>2060-01-07</t>
        </is>
      </c>
    </row>
    <row r="58480">
      <c r="A58480" s="1" t="n">
        <v>58479</v>
      </c>
      <c r="B58480">
        <f>TEXT(58479, "[$-0E0000]yyyy-mm-dd")</f>
        <v/>
      </c>
      <c r="C58480" t="inlineStr">
        <is>
          <t>2060-01-08</t>
        </is>
      </c>
    </row>
    <row r="58481">
      <c r="A58481" s="1" t="n">
        <v>58480</v>
      </c>
      <c r="B58481">
        <f>TEXT(58480, "[$-0E0000]yyyy-mm-dd")</f>
        <v/>
      </c>
      <c r="C58481" t="inlineStr">
        <is>
          <t>2060-01-09</t>
        </is>
      </c>
    </row>
    <row r="58482">
      <c r="A58482" s="1" t="n">
        <v>58481</v>
      </c>
      <c r="B58482">
        <f>TEXT(58481, "[$-0E0000]yyyy-mm-dd")</f>
        <v/>
      </c>
      <c r="C58482" t="inlineStr">
        <is>
          <t>2060-01-10</t>
        </is>
      </c>
    </row>
    <row r="58483">
      <c r="A58483" s="1" t="n">
        <v>58482</v>
      </c>
      <c r="B58483">
        <f>TEXT(58482, "[$-0E0000]yyyy-mm-dd")</f>
        <v/>
      </c>
      <c r="C58483" t="inlineStr">
        <is>
          <t>2060-01-11</t>
        </is>
      </c>
    </row>
    <row r="58484">
      <c r="A58484" s="1" t="n">
        <v>58483</v>
      </c>
      <c r="B58484">
        <f>TEXT(58483, "[$-0E0000]yyyy-mm-dd")</f>
        <v/>
      </c>
      <c r="C58484" t="inlineStr">
        <is>
          <t>2060-01-12</t>
        </is>
      </c>
    </row>
    <row r="58485">
      <c r="A58485" s="1" t="n">
        <v>58484</v>
      </c>
      <c r="B58485">
        <f>TEXT(58484, "[$-0E0000]yyyy-mm-dd")</f>
        <v/>
      </c>
      <c r="C58485" t="inlineStr">
        <is>
          <t>2060-01-13</t>
        </is>
      </c>
    </row>
    <row r="58486">
      <c r="A58486" s="1" t="n">
        <v>58485</v>
      </c>
      <c r="B58486">
        <f>TEXT(58485, "[$-0E0000]yyyy-mm-dd")</f>
        <v/>
      </c>
      <c r="C58486" t="inlineStr">
        <is>
          <t>2060-01-14</t>
        </is>
      </c>
    </row>
    <row r="58487">
      <c r="A58487" s="1" t="n">
        <v>58486</v>
      </c>
      <c r="B58487">
        <f>TEXT(58486, "[$-0E0000]yyyy-mm-dd")</f>
        <v/>
      </c>
      <c r="C58487" t="inlineStr">
        <is>
          <t>2060-01-15</t>
        </is>
      </c>
    </row>
    <row r="58488">
      <c r="A58488" s="1" t="n">
        <v>58487</v>
      </c>
      <c r="B58488">
        <f>TEXT(58487, "[$-0E0000]yyyy-mm-dd")</f>
        <v/>
      </c>
      <c r="C58488" t="inlineStr">
        <is>
          <t>2060-01-16</t>
        </is>
      </c>
    </row>
    <row r="58489">
      <c r="A58489" s="1" t="n">
        <v>58488</v>
      </c>
      <c r="B58489">
        <f>TEXT(58488, "[$-0E0000]yyyy-mm-dd")</f>
        <v/>
      </c>
      <c r="C58489" t="inlineStr">
        <is>
          <t>2060-01-17</t>
        </is>
      </c>
    </row>
    <row r="58490">
      <c r="A58490" s="1" t="n">
        <v>58489</v>
      </c>
      <c r="B58490">
        <f>TEXT(58489, "[$-0E0000]yyyy-mm-dd")</f>
        <v/>
      </c>
      <c r="C58490" t="inlineStr">
        <is>
          <t>2060-01-18</t>
        </is>
      </c>
    </row>
    <row r="58491">
      <c r="A58491" s="1" t="n">
        <v>58490</v>
      </c>
      <c r="B58491">
        <f>TEXT(58490, "[$-0E0000]yyyy-mm-dd")</f>
        <v/>
      </c>
      <c r="C58491" t="inlineStr">
        <is>
          <t>2060-01-19</t>
        </is>
      </c>
    </row>
    <row r="58492">
      <c r="A58492" s="1" t="n">
        <v>58491</v>
      </c>
      <c r="B58492">
        <f>TEXT(58491, "[$-0E0000]yyyy-mm-dd")</f>
        <v/>
      </c>
      <c r="C58492" t="inlineStr">
        <is>
          <t>2060-01-20</t>
        </is>
      </c>
    </row>
    <row r="58493">
      <c r="A58493" s="1" t="n">
        <v>58492</v>
      </c>
      <c r="B58493">
        <f>TEXT(58492, "[$-0E0000]yyyy-mm-dd")</f>
        <v/>
      </c>
      <c r="C58493" t="inlineStr">
        <is>
          <t>2060-01-21</t>
        </is>
      </c>
    </row>
    <row r="58494">
      <c r="A58494" s="1" t="n">
        <v>58493</v>
      </c>
      <c r="B58494">
        <f>TEXT(58493, "[$-0E0000]yyyy-mm-dd")</f>
        <v/>
      </c>
      <c r="C58494" t="inlineStr">
        <is>
          <t>2060-01-22</t>
        </is>
      </c>
    </row>
    <row r="58495">
      <c r="A58495" s="1" t="n">
        <v>58494</v>
      </c>
      <c r="B58495">
        <f>TEXT(58494, "[$-0E0000]yyyy-mm-dd")</f>
        <v/>
      </c>
      <c r="C58495" t="inlineStr">
        <is>
          <t>2060-01-23</t>
        </is>
      </c>
    </row>
    <row r="58496">
      <c r="A58496" s="1" t="n">
        <v>58495</v>
      </c>
      <c r="B58496">
        <f>TEXT(58495, "[$-0E0000]yyyy-mm-dd")</f>
        <v/>
      </c>
      <c r="C58496" t="inlineStr">
        <is>
          <t>2060-01-24</t>
        </is>
      </c>
    </row>
    <row r="58497">
      <c r="A58497" s="1" t="n">
        <v>58496</v>
      </c>
      <c r="B58497">
        <f>TEXT(58496, "[$-0E0000]yyyy-mm-dd")</f>
        <v/>
      </c>
      <c r="C58497" t="inlineStr">
        <is>
          <t>2060-01-25</t>
        </is>
      </c>
    </row>
    <row r="58498">
      <c r="A58498" s="1" t="n">
        <v>58497</v>
      </c>
      <c r="B58498">
        <f>TEXT(58497, "[$-0E0000]yyyy-mm-dd")</f>
        <v/>
      </c>
      <c r="C58498" t="inlineStr">
        <is>
          <t>2060-01-26</t>
        </is>
      </c>
    </row>
    <row r="58499">
      <c r="A58499" s="1" t="n">
        <v>58498</v>
      </c>
      <c r="B58499">
        <f>TEXT(58498, "[$-0E0000]yyyy-mm-dd")</f>
        <v/>
      </c>
      <c r="C58499" t="inlineStr">
        <is>
          <t>2060-01-27</t>
        </is>
      </c>
    </row>
    <row r="58500">
      <c r="A58500" s="1" t="n">
        <v>58499</v>
      </c>
      <c r="B58500">
        <f>TEXT(58499, "[$-0E0000]yyyy-mm-dd")</f>
        <v/>
      </c>
      <c r="C58500" t="inlineStr">
        <is>
          <t>2060-01-28</t>
        </is>
      </c>
    </row>
    <row r="58501">
      <c r="A58501" s="1" t="n">
        <v>58500</v>
      </c>
      <c r="B58501">
        <f>TEXT(58500, "[$-0E0000]yyyy-mm-dd")</f>
        <v/>
      </c>
      <c r="C58501" t="inlineStr">
        <is>
          <t>2060-01-29</t>
        </is>
      </c>
    </row>
    <row r="58502">
      <c r="A58502" s="1" t="n">
        <v>58501</v>
      </c>
      <c r="B58502">
        <f>TEXT(58501, "[$-0E0000]yyyy-mm-dd")</f>
        <v/>
      </c>
      <c r="C58502" t="inlineStr">
        <is>
          <t>2060-01-30</t>
        </is>
      </c>
    </row>
    <row r="58503">
      <c r="A58503" s="1" t="n">
        <v>58502</v>
      </c>
      <c r="B58503">
        <f>TEXT(58502, "[$-0E0000]yyyy-mm-dd")</f>
        <v/>
      </c>
      <c r="C58503" t="inlineStr">
        <is>
          <t>2060-02-01</t>
        </is>
      </c>
    </row>
    <row r="58504">
      <c r="A58504" s="1" t="n">
        <v>58503</v>
      </c>
      <c r="B58504">
        <f>TEXT(58503, "[$-0E0000]yyyy-mm-dd")</f>
        <v/>
      </c>
      <c r="C58504" t="inlineStr">
        <is>
          <t>2060-02-02</t>
        </is>
      </c>
    </row>
    <row r="58505">
      <c r="A58505" s="1" t="n">
        <v>58504</v>
      </c>
      <c r="B58505">
        <f>TEXT(58504, "[$-0E0000]yyyy-mm-dd")</f>
        <v/>
      </c>
      <c r="C58505" t="inlineStr">
        <is>
          <t>2060-02-03</t>
        </is>
      </c>
    </row>
    <row r="58506">
      <c r="A58506" s="1" t="n">
        <v>58505</v>
      </c>
      <c r="B58506">
        <f>TEXT(58505, "[$-0E0000]yyyy-mm-dd")</f>
        <v/>
      </c>
      <c r="C58506" t="inlineStr">
        <is>
          <t>2060-02-04</t>
        </is>
      </c>
    </row>
    <row r="58507">
      <c r="A58507" s="1" t="n">
        <v>58506</v>
      </c>
      <c r="B58507">
        <f>TEXT(58506, "[$-0E0000]yyyy-mm-dd")</f>
        <v/>
      </c>
      <c r="C58507" t="inlineStr">
        <is>
          <t>2060-02-05</t>
        </is>
      </c>
    </row>
    <row r="58508">
      <c r="A58508" s="1" t="n">
        <v>58507</v>
      </c>
      <c r="B58508">
        <f>TEXT(58507, "[$-0E0000]yyyy-mm-dd")</f>
        <v/>
      </c>
      <c r="C58508" t="inlineStr">
        <is>
          <t>2060-02-06</t>
        </is>
      </c>
    </row>
    <row r="58509">
      <c r="A58509" s="1" t="n">
        <v>58508</v>
      </c>
      <c r="B58509">
        <f>TEXT(58508, "[$-0E0000]yyyy-mm-dd")</f>
        <v/>
      </c>
      <c r="C58509" t="inlineStr">
        <is>
          <t>2060-02-07</t>
        </is>
      </c>
    </row>
    <row r="58510">
      <c r="A58510" s="1" t="n">
        <v>58509</v>
      </c>
      <c r="B58510">
        <f>TEXT(58509, "[$-0E0000]yyyy-mm-dd")</f>
        <v/>
      </c>
      <c r="C58510" t="inlineStr">
        <is>
          <t>2060-02-08</t>
        </is>
      </c>
    </row>
    <row r="58511">
      <c r="A58511" s="1" t="n">
        <v>58510</v>
      </c>
      <c r="B58511">
        <f>TEXT(58510, "[$-0E0000]yyyy-mm-dd")</f>
        <v/>
      </c>
      <c r="C58511" t="inlineStr">
        <is>
          <t>2060-02-09</t>
        </is>
      </c>
    </row>
    <row r="58512">
      <c r="A58512" s="1" t="n">
        <v>58511</v>
      </c>
      <c r="B58512">
        <f>TEXT(58511, "[$-0E0000]yyyy-mm-dd")</f>
        <v/>
      </c>
      <c r="C58512" t="inlineStr">
        <is>
          <t>2060-02-10</t>
        </is>
      </c>
    </row>
    <row r="58513">
      <c r="A58513" s="1" t="n">
        <v>58512</v>
      </c>
      <c r="B58513">
        <f>TEXT(58512, "[$-0E0000]yyyy-mm-dd")</f>
        <v/>
      </c>
      <c r="C58513" t="inlineStr">
        <is>
          <t>2060-02-11</t>
        </is>
      </c>
    </row>
    <row r="58514">
      <c r="A58514" s="1" t="n">
        <v>58513</v>
      </c>
      <c r="B58514">
        <f>TEXT(58513, "[$-0E0000]yyyy-mm-dd")</f>
        <v/>
      </c>
      <c r="C58514" t="inlineStr">
        <is>
          <t>2060-02-12</t>
        </is>
      </c>
    </row>
    <row r="58515">
      <c r="A58515" s="1" t="n">
        <v>58514</v>
      </c>
      <c r="B58515">
        <f>TEXT(58514, "[$-0E0000]yyyy-mm-dd")</f>
        <v/>
      </c>
      <c r="C58515" t="inlineStr">
        <is>
          <t>2060-02-13</t>
        </is>
      </c>
    </row>
    <row r="58516">
      <c r="A58516" s="1" t="n">
        <v>58515</v>
      </c>
      <c r="B58516">
        <f>TEXT(58515, "[$-0E0000]yyyy-mm-dd")</f>
        <v/>
      </c>
      <c r="C58516" t="inlineStr">
        <is>
          <t>2060-02-14</t>
        </is>
      </c>
    </row>
    <row r="58517">
      <c r="A58517" s="1" t="n">
        <v>58516</v>
      </c>
      <c r="B58517">
        <f>TEXT(58516, "[$-0E0000]yyyy-mm-dd")</f>
        <v/>
      </c>
      <c r="C58517" t="inlineStr">
        <is>
          <t>2060-02-15</t>
        </is>
      </c>
    </row>
    <row r="58518">
      <c r="A58518" s="1" t="n">
        <v>58517</v>
      </c>
      <c r="B58518">
        <f>TEXT(58517, "[$-0E0000]yyyy-mm-dd")</f>
        <v/>
      </c>
      <c r="C58518" t="inlineStr">
        <is>
          <t>2060-02-16</t>
        </is>
      </c>
    </row>
    <row r="58519">
      <c r="A58519" s="1" t="n">
        <v>58518</v>
      </c>
      <c r="B58519">
        <f>TEXT(58518, "[$-0E0000]yyyy-mm-dd")</f>
        <v/>
      </c>
      <c r="C58519" t="inlineStr">
        <is>
          <t>2060-02-17</t>
        </is>
      </c>
    </row>
    <row r="58520">
      <c r="A58520" s="1" t="n">
        <v>58519</v>
      </c>
      <c r="B58520">
        <f>TEXT(58519, "[$-0E0000]yyyy-mm-dd")</f>
        <v/>
      </c>
      <c r="C58520" t="inlineStr">
        <is>
          <t>2060-02-18</t>
        </is>
      </c>
    </row>
    <row r="58521">
      <c r="A58521" s="1" t="n">
        <v>58520</v>
      </c>
      <c r="B58521">
        <f>TEXT(58520, "[$-0E0000]yyyy-mm-dd")</f>
        <v/>
      </c>
      <c r="C58521" t="inlineStr">
        <is>
          <t>2060-02-19</t>
        </is>
      </c>
    </row>
    <row r="58522">
      <c r="A58522" s="1" t="n">
        <v>58521</v>
      </c>
      <c r="B58522">
        <f>TEXT(58521, "[$-0E0000]yyyy-mm-dd")</f>
        <v/>
      </c>
      <c r="C58522" t="inlineStr">
        <is>
          <t>2060-02-20</t>
        </is>
      </c>
    </row>
    <row r="58523">
      <c r="A58523" s="1" t="n">
        <v>58522</v>
      </c>
      <c r="B58523">
        <f>TEXT(58522, "[$-0E0000]yyyy-mm-dd")</f>
        <v/>
      </c>
      <c r="C58523" t="inlineStr">
        <is>
          <t>2060-02-21</t>
        </is>
      </c>
    </row>
    <row r="58524">
      <c r="A58524" s="1" t="n">
        <v>58523</v>
      </c>
      <c r="B58524">
        <f>TEXT(58523, "[$-0E0000]yyyy-mm-dd")</f>
        <v/>
      </c>
      <c r="C58524" t="inlineStr">
        <is>
          <t>2060-02-22</t>
        </is>
      </c>
    </row>
    <row r="58525">
      <c r="A58525" s="1" t="n">
        <v>58524</v>
      </c>
      <c r="B58525">
        <f>TEXT(58524, "[$-0E0000]yyyy-mm-dd")</f>
        <v/>
      </c>
      <c r="C58525" t="inlineStr">
        <is>
          <t>2060-02-23</t>
        </is>
      </c>
    </row>
    <row r="58526">
      <c r="A58526" s="1" t="n">
        <v>58525</v>
      </c>
      <c r="B58526">
        <f>TEXT(58525, "[$-0E0000]yyyy-mm-dd")</f>
        <v/>
      </c>
      <c r="C58526" t="inlineStr">
        <is>
          <t>2060-02-24</t>
        </is>
      </c>
    </row>
    <row r="58527">
      <c r="A58527" s="1" t="n">
        <v>58526</v>
      </c>
      <c r="B58527">
        <f>TEXT(58526, "[$-0E0000]yyyy-mm-dd")</f>
        <v/>
      </c>
      <c r="C58527" t="inlineStr">
        <is>
          <t>2060-02-25</t>
        </is>
      </c>
    </row>
    <row r="58528">
      <c r="A58528" s="1" t="n">
        <v>58527</v>
      </c>
      <c r="B58528">
        <f>TEXT(58527, "[$-0E0000]yyyy-mm-dd")</f>
        <v/>
      </c>
      <c r="C58528" t="inlineStr">
        <is>
          <t>2060-02-26</t>
        </is>
      </c>
    </row>
    <row r="58529">
      <c r="A58529" s="1" t="n">
        <v>58528</v>
      </c>
      <c r="B58529">
        <f>TEXT(58528, "[$-0E0000]yyyy-mm-dd")</f>
        <v/>
      </c>
      <c r="C58529" t="inlineStr">
        <is>
          <t>2060-02-27</t>
        </is>
      </c>
    </row>
    <row r="58530">
      <c r="A58530" s="1" t="n">
        <v>58529</v>
      </c>
      <c r="B58530">
        <f>TEXT(58529, "[$-0E0000]yyyy-mm-dd")</f>
        <v/>
      </c>
      <c r="C58530" t="inlineStr">
        <is>
          <t>2060-02-28</t>
        </is>
      </c>
    </row>
    <row r="58531">
      <c r="A58531" s="1" t="n">
        <v>58530</v>
      </c>
      <c r="B58531">
        <f>TEXT(58530, "[$-0E0000]yyyy-mm-dd")</f>
        <v/>
      </c>
      <c r="C58531" t="inlineStr">
        <is>
          <t>2060-02-29</t>
        </is>
      </c>
    </row>
    <row r="58532">
      <c r="A58532" s="1" t="n">
        <v>58531</v>
      </c>
      <c r="B58532">
        <f>TEXT(58531, "[$-0E0000]yyyy-mm-dd")</f>
        <v/>
      </c>
      <c r="C58532" t="inlineStr">
        <is>
          <t>2060-03-01</t>
        </is>
      </c>
    </row>
    <row r="58533">
      <c r="A58533" s="1" t="n">
        <v>58532</v>
      </c>
      <c r="B58533">
        <f>TEXT(58532, "[$-0E0000]yyyy-mm-dd")</f>
        <v/>
      </c>
      <c r="C58533" t="inlineStr">
        <is>
          <t>2060-03-02</t>
        </is>
      </c>
    </row>
    <row r="58534">
      <c r="A58534" s="1" t="n">
        <v>58533</v>
      </c>
      <c r="B58534">
        <f>TEXT(58533, "[$-0E0000]yyyy-mm-dd")</f>
        <v/>
      </c>
      <c r="C58534" t="inlineStr">
        <is>
          <t>2060-03-03</t>
        </is>
      </c>
    </row>
    <row r="58535">
      <c r="A58535" s="1" t="n">
        <v>58534</v>
      </c>
      <c r="B58535">
        <f>TEXT(58534, "[$-0E0000]yyyy-mm-dd")</f>
        <v/>
      </c>
      <c r="C58535" t="inlineStr">
        <is>
          <t>2060-03-04</t>
        </is>
      </c>
    </row>
    <row r="58536">
      <c r="A58536" s="1" t="n">
        <v>58535</v>
      </c>
      <c r="B58536">
        <f>TEXT(58535, "[$-0E0000]yyyy-mm-dd")</f>
        <v/>
      </c>
      <c r="C58536" t="inlineStr">
        <is>
          <t>2060-03-05</t>
        </is>
      </c>
    </row>
    <row r="58537">
      <c r="A58537" s="1" t="n">
        <v>58536</v>
      </c>
      <c r="B58537">
        <f>TEXT(58536, "[$-0E0000]yyyy-mm-dd")</f>
        <v/>
      </c>
      <c r="C58537" t="inlineStr">
        <is>
          <t>2060-03-06</t>
        </is>
      </c>
    </row>
    <row r="58538">
      <c r="A58538" s="1" t="n">
        <v>58537</v>
      </c>
      <c r="B58538">
        <f>TEXT(58537, "[$-0E0000]yyyy-mm-dd")</f>
        <v/>
      </c>
      <c r="C58538" t="inlineStr">
        <is>
          <t>2060-03-07</t>
        </is>
      </c>
    </row>
    <row r="58539">
      <c r="A58539" s="1" t="n">
        <v>58538</v>
      </c>
      <c r="B58539">
        <f>TEXT(58538, "[$-0E0000]yyyy-mm-dd")</f>
        <v/>
      </c>
      <c r="C58539" t="inlineStr">
        <is>
          <t>2060-03-08</t>
        </is>
      </c>
    </row>
    <row r="58540">
      <c r="A58540" s="1" t="n">
        <v>58539</v>
      </c>
      <c r="B58540">
        <f>TEXT(58539, "[$-0E0000]yyyy-mm-dd")</f>
        <v/>
      </c>
      <c r="C58540" t="inlineStr">
        <is>
          <t>2060-03-09</t>
        </is>
      </c>
    </row>
    <row r="58541">
      <c r="A58541" s="1" t="n">
        <v>58540</v>
      </c>
      <c r="B58541">
        <f>TEXT(58540, "[$-0E0000]yyyy-mm-dd")</f>
        <v/>
      </c>
      <c r="C58541" t="inlineStr">
        <is>
          <t>2060-03-10</t>
        </is>
      </c>
    </row>
    <row r="58542">
      <c r="A58542" s="1" t="n">
        <v>58541</v>
      </c>
      <c r="B58542">
        <f>TEXT(58541, "[$-0E0000]yyyy-mm-dd")</f>
        <v/>
      </c>
      <c r="C58542" t="inlineStr">
        <is>
          <t>2060-03-11</t>
        </is>
      </c>
    </row>
    <row r="58543">
      <c r="A58543" s="1" t="n">
        <v>58542</v>
      </c>
      <c r="B58543">
        <f>TEXT(58542, "[$-0E0000]yyyy-mm-dd")</f>
        <v/>
      </c>
      <c r="C58543" t="inlineStr">
        <is>
          <t>2060-03-12</t>
        </is>
      </c>
    </row>
    <row r="58544">
      <c r="A58544" s="1" t="n">
        <v>58543</v>
      </c>
      <c r="B58544">
        <f>TEXT(58543, "[$-0E0000]yyyy-mm-dd")</f>
        <v/>
      </c>
      <c r="C58544" t="inlineStr">
        <is>
          <t>2060-03-13</t>
        </is>
      </c>
    </row>
    <row r="58545">
      <c r="A58545" s="1" t="n">
        <v>58544</v>
      </c>
      <c r="B58545">
        <f>TEXT(58544, "[$-0E0000]yyyy-mm-dd")</f>
        <v/>
      </c>
      <c r="C58545" t="inlineStr">
        <is>
          <t>2060-03-14</t>
        </is>
      </c>
    </row>
    <row r="58546">
      <c r="A58546" s="1" t="n">
        <v>58545</v>
      </c>
      <c r="B58546">
        <f>TEXT(58545, "[$-0E0000]yyyy-mm-dd")</f>
        <v/>
      </c>
      <c r="C58546" t="inlineStr">
        <is>
          <t>2060-03-15</t>
        </is>
      </c>
    </row>
    <row r="58547">
      <c r="A58547" s="1" t="n">
        <v>58546</v>
      </c>
      <c r="B58547">
        <f>TEXT(58546, "[$-0E0000]yyyy-mm-dd")</f>
        <v/>
      </c>
      <c r="C58547" t="inlineStr">
        <is>
          <t>2060-03-16</t>
        </is>
      </c>
    </row>
    <row r="58548">
      <c r="A58548" s="1" t="n">
        <v>58547</v>
      </c>
      <c r="B58548">
        <f>TEXT(58547, "[$-0E0000]yyyy-mm-dd")</f>
        <v/>
      </c>
      <c r="C58548" t="inlineStr">
        <is>
          <t>2060-03-17</t>
        </is>
      </c>
    </row>
    <row r="58549">
      <c r="A58549" s="1" t="n">
        <v>58548</v>
      </c>
      <c r="B58549">
        <f>TEXT(58548, "[$-0E0000]yyyy-mm-dd")</f>
        <v/>
      </c>
      <c r="C58549" t="inlineStr">
        <is>
          <t>2060-03-18</t>
        </is>
      </c>
    </row>
    <row r="58550">
      <c r="A58550" s="1" t="n">
        <v>58549</v>
      </c>
      <c r="B58550">
        <f>TEXT(58549, "[$-0E0000]yyyy-mm-dd")</f>
        <v/>
      </c>
      <c r="C58550" t="inlineStr">
        <is>
          <t>2060-03-19</t>
        </is>
      </c>
    </row>
    <row r="58551">
      <c r="A58551" s="1" t="n">
        <v>58550</v>
      </c>
      <c r="B58551">
        <f>TEXT(58550, "[$-0E0000]yyyy-mm-dd")</f>
        <v/>
      </c>
      <c r="C58551" t="inlineStr">
        <is>
          <t>2060-03-20</t>
        </is>
      </c>
    </row>
    <row r="58552">
      <c r="A58552" s="1" t="n">
        <v>58551</v>
      </c>
      <c r="B58552">
        <f>TEXT(58551, "[$-0E0000]yyyy-mm-dd")</f>
        <v/>
      </c>
      <c r="C58552" t="inlineStr">
        <is>
          <t>2060-03-21</t>
        </is>
      </c>
    </row>
    <row r="58553">
      <c r="A58553" s="1" t="n">
        <v>58552</v>
      </c>
      <c r="B58553">
        <f>TEXT(58552, "[$-0E0000]yyyy-mm-dd")</f>
        <v/>
      </c>
      <c r="C58553" t="inlineStr">
        <is>
          <t>2060-03-22</t>
        </is>
      </c>
    </row>
    <row r="58554">
      <c r="A58554" s="1" t="n">
        <v>58553</v>
      </c>
      <c r="B58554">
        <f>TEXT(58553, "[$-0E0000]yyyy-mm-dd")</f>
        <v/>
      </c>
      <c r="C58554" t="inlineStr">
        <is>
          <t>2060-03-23</t>
        </is>
      </c>
    </row>
    <row r="58555">
      <c r="A58555" s="1" t="n">
        <v>58554</v>
      </c>
      <c r="B58555">
        <f>TEXT(58554, "[$-0E0000]yyyy-mm-dd")</f>
        <v/>
      </c>
      <c r="C58555" t="inlineStr">
        <is>
          <t>2060-03-24</t>
        </is>
      </c>
    </row>
    <row r="58556">
      <c r="A58556" s="1" t="n">
        <v>58555</v>
      </c>
      <c r="B58556">
        <f>TEXT(58555, "[$-0E0000]yyyy-mm-dd")</f>
        <v/>
      </c>
      <c r="C58556" t="inlineStr">
        <is>
          <t>2060-03-25</t>
        </is>
      </c>
    </row>
    <row r="58557">
      <c r="A58557" s="1" t="n">
        <v>58556</v>
      </c>
      <c r="B58557">
        <f>TEXT(58556, "[$-0E0000]yyyy-mm-dd")</f>
        <v/>
      </c>
      <c r="C58557" t="inlineStr">
        <is>
          <t>2060-03-26</t>
        </is>
      </c>
    </row>
    <row r="58558">
      <c r="A58558" s="1" t="n">
        <v>58557</v>
      </c>
      <c r="B58558">
        <f>TEXT(58557, "[$-0E0000]yyyy-mm-dd")</f>
        <v/>
      </c>
      <c r="C58558" t="inlineStr">
        <is>
          <t>2060-03-27</t>
        </is>
      </c>
    </row>
    <row r="58559">
      <c r="A58559" s="1" t="n">
        <v>58558</v>
      </c>
      <c r="B58559">
        <f>TEXT(58558, "[$-0E0000]yyyy-mm-dd")</f>
        <v/>
      </c>
      <c r="C58559" t="inlineStr">
        <is>
          <t>2060-03-28</t>
        </is>
      </c>
    </row>
    <row r="58560">
      <c r="A58560" s="1" t="n">
        <v>58559</v>
      </c>
      <c r="B58560">
        <f>TEXT(58559, "[$-0E0000]yyyy-mm-dd")</f>
        <v/>
      </c>
      <c r="C58560" t="inlineStr">
        <is>
          <t>2060-03-29</t>
        </is>
      </c>
    </row>
    <row r="58561">
      <c r="A58561" s="1" t="n">
        <v>58560</v>
      </c>
      <c r="B58561">
        <f>TEXT(58560, "[$-0E0000]yyyy-mm-dd")</f>
        <v/>
      </c>
      <c r="C58561" t="inlineStr">
        <is>
          <t>2060-04-01</t>
        </is>
      </c>
    </row>
    <row r="58562">
      <c r="A58562" s="1" t="n">
        <v>58561</v>
      </c>
      <c r="B58562">
        <f>TEXT(58561, "[$-0E0000]yyyy-mm-dd")</f>
        <v/>
      </c>
      <c r="C58562" t="inlineStr">
        <is>
          <t>2060-04-02</t>
        </is>
      </c>
    </row>
    <row r="58563">
      <c r="A58563" s="1" t="n">
        <v>58562</v>
      </c>
      <c r="B58563">
        <f>TEXT(58562, "[$-0E0000]yyyy-mm-dd")</f>
        <v/>
      </c>
      <c r="C58563" t="inlineStr">
        <is>
          <t>2060-04-03</t>
        </is>
      </c>
    </row>
    <row r="58564">
      <c r="A58564" s="1" t="n">
        <v>58563</v>
      </c>
      <c r="B58564">
        <f>TEXT(58563, "[$-0E0000]yyyy-mm-dd")</f>
        <v/>
      </c>
      <c r="C58564" t="inlineStr">
        <is>
          <t>2060-04-04</t>
        </is>
      </c>
    </row>
    <row r="58565">
      <c r="A58565" s="1" t="n">
        <v>58564</v>
      </c>
      <c r="B58565">
        <f>TEXT(58564, "[$-0E0000]yyyy-mm-dd")</f>
        <v/>
      </c>
      <c r="C58565" t="inlineStr">
        <is>
          <t>2060-04-05</t>
        </is>
      </c>
    </row>
    <row r="58566">
      <c r="A58566" s="1" t="n">
        <v>58565</v>
      </c>
      <c r="B58566">
        <f>TEXT(58565, "[$-0E0000]yyyy-mm-dd")</f>
        <v/>
      </c>
      <c r="C58566" t="inlineStr">
        <is>
          <t>2060-04-06</t>
        </is>
      </c>
    </row>
    <row r="58567">
      <c r="A58567" s="1" t="n">
        <v>58566</v>
      </c>
      <c r="B58567">
        <f>TEXT(58566, "[$-0E0000]yyyy-mm-dd")</f>
        <v/>
      </c>
      <c r="C58567" t="inlineStr">
        <is>
          <t>2060-04-07</t>
        </is>
      </c>
    </row>
    <row r="58568">
      <c r="A58568" s="1" t="n">
        <v>58567</v>
      </c>
      <c r="B58568">
        <f>TEXT(58567, "[$-0E0000]yyyy-mm-dd")</f>
        <v/>
      </c>
      <c r="C58568" t="inlineStr">
        <is>
          <t>2060-04-08</t>
        </is>
      </c>
    </row>
    <row r="58569">
      <c r="A58569" s="1" t="n">
        <v>58568</v>
      </c>
      <c r="B58569">
        <f>TEXT(58568, "[$-0E0000]yyyy-mm-dd")</f>
        <v/>
      </c>
      <c r="C58569" t="inlineStr">
        <is>
          <t>2060-04-09</t>
        </is>
      </c>
    </row>
    <row r="58570">
      <c r="A58570" s="1" t="n">
        <v>58569</v>
      </c>
      <c r="B58570">
        <f>TEXT(58569, "[$-0E0000]yyyy-mm-dd")</f>
        <v/>
      </c>
      <c r="C58570" t="inlineStr">
        <is>
          <t>2060-04-10</t>
        </is>
      </c>
    </row>
    <row r="58571">
      <c r="A58571" s="1" t="n">
        <v>58570</v>
      </c>
      <c r="B58571">
        <f>TEXT(58570, "[$-0E0000]yyyy-mm-dd")</f>
        <v/>
      </c>
      <c r="C58571" t="inlineStr">
        <is>
          <t>2060-04-11</t>
        </is>
      </c>
    </row>
    <row r="58572">
      <c r="A58572" s="1" t="n">
        <v>58571</v>
      </c>
      <c r="B58572">
        <f>TEXT(58571, "[$-0E0000]yyyy-mm-dd")</f>
        <v/>
      </c>
      <c r="C58572" t="inlineStr">
        <is>
          <t>2060-04-12</t>
        </is>
      </c>
    </row>
    <row r="58573">
      <c r="A58573" s="1" t="n">
        <v>58572</v>
      </c>
      <c r="B58573">
        <f>TEXT(58572, "[$-0E0000]yyyy-mm-dd")</f>
        <v/>
      </c>
      <c r="C58573" t="inlineStr">
        <is>
          <t>2060-04-13</t>
        </is>
      </c>
    </row>
    <row r="58574">
      <c r="A58574" s="1" t="n">
        <v>58573</v>
      </c>
      <c r="B58574">
        <f>TEXT(58573, "[$-0E0000]yyyy-mm-dd")</f>
        <v/>
      </c>
      <c r="C58574" t="inlineStr">
        <is>
          <t>2060-04-14</t>
        </is>
      </c>
    </row>
    <row r="58575">
      <c r="A58575" s="1" t="n">
        <v>58574</v>
      </c>
      <c r="B58575">
        <f>TEXT(58574, "[$-0E0000]yyyy-mm-dd")</f>
        <v/>
      </c>
      <c r="C58575" t="inlineStr">
        <is>
          <t>2060-04-15</t>
        </is>
      </c>
    </row>
    <row r="58576">
      <c r="A58576" s="1" t="n">
        <v>58575</v>
      </c>
      <c r="B58576">
        <f>TEXT(58575, "[$-0E0000]yyyy-mm-dd")</f>
        <v/>
      </c>
      <c r="C58576" t="inlineStr">
        <is>
          <t>2060-04-16</t>
        </is>
      </c>
    </row>
    <row r="58577">
      <c r="A58577" s="1" t="n">
        <v>58576</v>
      </c>
      <c r="B58577">
        <f>TEXT(58576, "[$-0E0000]yyyy-mm-dd")</f>
        <v/>
      </c>
      <c r="C58577" t="inlineStr">
        <is>
          <t>2060-04-17</t>
        </is>
      </c>
    </row>
    <row r="58578">
      <c r="A58578" s="1" t="n">
        <v>58577</v>
      </c>
      <c r="B58578">
        <f>TEXT(58577, "[$-0E0000]yyyy-mm-dd")</f>
        <v/>
      </c>
      <c r="C58578" t="inlineStr">
        <is>
          <t>2060-04-18</t>
        </is>
      </c>
    </row>
    <row r="58579">
      <c r="A58579" s="1" t="n">
        <v>58578</v>
      </c>
      <c r="B58579">
        <f>TEXT(58578, "[$-0E0000]yyyy-mm-dd")</f>
        <v/>
      </c>
      <c r="C58579" t="inlineStr">
        <is>
          <t>2060-04-19</t>
        </is>
      </c>
    </row>
    <row r="58580">
      <c r="A58580" s="1" t="n">
        <v>58579</v>
      </c>
      <c r="B58580">
        <f>TEXT(58579, "[$-0E0000]yyyy-mm-dd")</f>
        <v/>
      </c>
      <c r="C58580" t="inlineStr">
        <is>
          <t>2060-04-20</t>
        </is>
      </c>
    </row>
    <row r="58581">
      <c r="A58581" s="1" t="n">
        <v>58580</v>
      </c>
      <c r="B58581">
        <f>TEXT(58580, "[$-0E0000]yyyy-mm-dd")</f>
        <v/>
      </c>
      <c r="C58581" t="inlineStr">
        <is>
          <t>2060-04-21</t>
        </is>
      </c>
    </row>
    <row r="58582">
      <c r="A58582" s="1" t="n">
        <v>58581</v>
      </c>
      <c r="B58582">
        <f>TEXT(58581, "[$-0E0000]yyyy-mm-dd")</f>
        <v/>
      </c>
      <c r="C58582" t="inlineStr">
        <is>
          <t>2060-04-22</t>
        </is>
      </c>
    </row>
    <row r="58583">
      <c r="A58583" s="1" t="n">
        <v>58582</v>
      </c>
      <c r="B58583">
        <f>TEXT(58582, "[$-0E0000]yyyy-mm-dd")</f>
        <v/>
      </c>
      <c r="C58583" t="inlineStr">
        <is>
          <t>2060-04-23</t>
        </is>
      </c>
    </row>
    <row r="58584">
      <c r="A58584" s="1" t="n">
        <v>58583</v>
      </c>
      <c r="B58584">
        <f>TEXT(58583, "[$-0E0000]yyyy-mm-dd")</f>
        <v/>
      </c>
      <c r="C58584" t="inlineStr">
        <is>
          <t>2060-04-24</t>
        </is>
      </c>
    </row>
    <row r="58585">
      <c r="A58585" s="1" t="n">
        <v>58584</v>
      </c>
      <c r="B58585">
        <f>TEXT(58584, "[$-0E0000]yyyy-mm-dd")</f>
        <v/>
      </c>
      <c r="C58585" t="inlineStr">
        <is>
          <t>2060-04-25</t>
        </is>
      </c>
    </row>
    <row r="58586">
      <c r="A58586" s="1" t="n">
        <v>58585</v>
      </c>
      <c r="B58586">
        <f>TEXT(58585, "[$-0E0000]yyyy-mm-dd")</f>
        <v/>
      </c>
      <c r="C58586" t="inlineStr">
        <is>
          <t>2060-04-26</t>
        </is>
      </c>
    </row>
    <row r="58587">
      <c r="A58587" s="1" t="n">
        <v>58586</v>
      </c>
      <c r="B58587">
        <f>TEXT(58586, "[$-0E0000]yyyy-mm-dd")</f>
        <v/>
      </c>
      <c r="C58587" t="inlineStr">
        <is>
          <t>2060-04-27</t>
        </is>
      </c>
    </row>
    <row r="58588">
      <c r="A58588" s="1" t="n">
        <v>58587</v>
      </c>
      <c r="B58588">
        <f>TEXT(58587, "[$-0E0000]yyyy-mm-dd")</f>
        <v/>
      </c>
      <c r="C58588" t="inlineStr">
        <is>
          <t>2060-04-28</t>
        </is>
      </c>
    </row>
    <row r="58589">
      <c r="A58589" s="1" t="n">
        <v>58588</v>
      </c>
      <c r="B58589">
        <f>TEXT(58588, "[$-0E0000]yyyy-mm-dd")</f>
        <v/>
      </c>
      <c r="C58589" t="inlineStr">
        <is>
          <t>2060-04-29</t>
        </is>
      </c>
    </row>
    <row r="58590">
      <c r="A58590" s="1" t="n">
        <v>58589</v>
      </c>
      <c r="B58590">
        <f>TEXT(58589, "[$-0E0000]yyyy-mm-dd")</f>
        <v/>
      </c>
      <c r="C58590" t="inlineStr">
        <is>
          <t>2060-04-30</t>
        </is>
      </c>
    </row>
    <row r="58591">
      <c r="A58591" s="1" t="n">
        <v>58590</v>
      </c>
      <c r="B58591">
        <f>TEXT(58590, "[$-0E0000]yyyy-mm-dd")</f>
        <v/>
      </c>
      <c r="C58591" t="inlineStr">
        <is>
          <t>2060-05-01</t>
        </is>
      </c>
    </row>
    <row r="58592">
      <c r="A58592" s="1" t="n">
        <v>58591</v>
      </c>
      <c r="B58592">
        <f>TEXT(58591, "[$-0E0000]yyyy-mm-dd")</f>
        <v/>
      </c>
      <c r="C58592" t="inlineStr">
        <is>
          <t>2060-05-02</t>
        </is>
      </c>
    </row>
    <row r="58593">
      <c r="A58593" s="1" t="n">
        <v>58592</v>
      </c>
      <c r="B58593">
        <f>TEXT(58592, "[$-0E0000]yyyy-mm-dd")</f>
        <v/>
      </c>
      <c r="C58593" t="inlineStr">
        <is>
          <t>2060-05-03</t>
        </is>
      </c>
    </row>
    <row r="58594">
      <c r="A58594" s="1" t="n">
        <v>58593</v>
      </c>
      <c r="B58594">
        <f>TEXT(58593, "[$-0E0000]yyyy-mm-dd")</f>
        <v/>
      </c>
      <c r="C58594" t="inlineStr">
        <is>
          <t>2060-05-04</t>
        </is>
      </c>
    </row>
    <row r="58595">
      <c r="A58595" s="1" t="n">
        <v>58594</v>
      </c>
      <c r="B58595">
        <f>TEXT(58594, "[$-0E0000]yyyy-mm-dd")</f>
        <v/>
      </c>
      <c r="C58595" t="inlineStr">
        <is>
          <t>2060-05-05</t>
        </is>
      </c>
    </row>
    <row r="58596">
      <c r="A58596" s="1" t="n">
        <v>58595</v>
      </c>
      <c r="B58596">
        <f>TEXT(58595, "[$-0E0000]yyyy-mm-dd")</f>
        <v/>
      </c>
      <c r="C58596" t="inlineStr">
        <is>
          <t>2060-05-06</t>
        </is>
      </c>
    </row>
    <row r="58597">
      <c r="A58597" s="1" t="n">
        <v>58596</v>
      </c>
      <c r="B58597">
        <f>TEXT(58596, "[$-0E0000]yyyy-mm-dd")</f>
        <v/>
      </c>
      <c r="C58597" t="inlineStr">
        <is>
          <t>2060-05-07</t>
        </is>
      </c>
    </row>
    <row r="58598">
      <c r="A58598" s="1" t="n">
        <v>58597</v>
      </c>
      <c r="B58598">
        <f>TEXT(58597, "[$-0E0000]yyyy-mm-dd")</f>
        <v/>
      </c>
      <c r="C58598" t="inlineStr">
        <is>
          <t>2060-05-08</t>
        </is>
      </c>
    </row>
    <row r="58599">
      <c r="A58599" s="1" t="n">
        <v>58598</v>
      </c>
      <c r="B58599">
        <f>TEXT(58598, "[$-0E0000]yyyy-mm-dd")</f>
        <v/>
      </c>
      <c r="C58599" t="inlineStr">
        <is>
          <t>2060-05-09</t>
        </is>
      </c>
    </row>
    <row r="58600">
      <c r="A58600" s="1" t="n">
        <v>58599</v>
      </c>
      <c r="B58600">
        <f>TEXT(58599, "[$-0E0000]yyyy-mm-dd")</f>
        <v/>
      </c>
      <c r="C58600" t="inlineStr">
        <is>
          <t>2060-05-10</t>
        </is>
      </c>
    </row>
    <row r="58601">
      <c r="A58601" s="1" t="n">
        <v>58600</v>
      </c>
      <c r="B58601">
        <f>TEXT(58600, "[$-0E0000]yyyy-mm-dd")</f>
        <v/>
      </c>
      <c r="C58601" t="inlineStr">
        <is>
          <t>2060-05-11</t>
        </is>
      </c>
    </row>
    <row r="58602">
      <c r="A58602" s="1" t="n">
        <v>58601</v>
      </c>
      <c r="B58602">
        <f>TEXT(58601, "[$-0E0000]yyyy-mm-dd")</f>
        <v/>
      </c>
      <c r="C58602" t="inlineStr">
        <is>
          <t>2060-05-12</t>
        </is>
      </c>
    </row>
    <row r="58603">
      <c r="A58603" s="1" t="n">
        <v>58602</v>
      </c>
      <c r="B58603">
        <f>TEXT(58602, "[$-0E0000]yyyy-mm-dd")</f>
        <v/>
      </c>
      <c r="C58603" t="inlineStr">
        <is>
          <t>2060-05-13</t>
        </is>
      </c>
    </row>
    <row r="58604">
      <c r="A58604" s="1" t="n">
        <v>58603</v>
      </c>
      <c r="B58604">
        <f>TEXT(58603, "[$-0E0000]yyyy-mm-dd")</f>
        <v/>
      </c>
      <c r="C58604" t="inlineStr">
        <is>
          <t>2060-05-14</t>
        </is>
      </c>
    </row>
    <row r="58605">
      <c r="A58605" s="1" t="n">
        <v>58604</v>
      </c>
      <c r="B58605">
        <f>TEXT(58604, "[$-0E0000]yyyy-mm-dd")</f>
        <v/>
      </c>
      <c r="C58605" t="inlineStr">
        <is>
          <t>2060-05-15</t>
        </is>
      </c>
    </row>
    <row r="58606">
      <c r="A58606" s="1" t="n">
        <v>58605</v>
      </c>
      <c r="B58606">
        <f>TEXT(58605, "[$-0E0000]yyyy-mm-dd")</f>
        <v/>
      </c>
      <c r="C58606" t="inlineStr">
        <is>
          <t>2060-05-16</t>
        </is>
      </c>
    </row>
    <row r="58607">
      <c r="A58607" s="1" t="n">
        <v>58606</v>
      </c>
      <c r="B58607">
        <f>TEXT(58606, "[$-0E0000]yyyy-mm-dd")</f>
        <v/>
      </c>
      <c r="C58607" t="inlineStr">
        <is>
          <t>2060-05-17</t>
        </is>
      </c>
    </row>
    <row r="58608">
      <c r="A58608" s="1" t="n">
        <v>58607</v>
      </c>
      <c r="B58608">
        <f>TEXT(58607, "[$-0E0000]yyyy-mm-dd")</f>
        <v/>
      </c>
      <c r="C58608" t="inlineStr">
        <is>
          <t>2060-05-18</t>
        </is>
      </c>
    </row>
    <row r="58609">
      <c r="A58609" s="1" t="n">
        <v>58608</v>
      </c>
      <c r="B58609">
        <f>TEXT(58608, "[$-0E0000]yyyy-mm-dd")</f>
        <v/>
      </c>
      <c r="C58609" t="inlineStr">
        <is>
          <t>2060-05-19</t>
        </is>
      </c>
    </row>
    <row r="58610">
      <c r="A58610" s="1" t="n">
        <v>58609</v>
      </c>
      <c r="B58610">
        <f>TEXT(58609, "[$-0E0000]yyyy-mm-dd")</f>
        <v/>
      </c>
      <c r="C58610" t="inlineStr">
        <is>
          <t>2060-05-20</t>
        </is>
      </c>
    </row>
    <row r="58611">
      <c r="A58611" s="1" t="n">
        <v>58610</v>
      </c>
      <c r="B58611">
        <f>TEXT(58610, "[$-0E0000]yyyy-mm-dd")</f>
        <v/>
      </c>
      <c r="C58611" t="inlineStr">
        <is>
          <t>2060-05-21</t>
        </is>
      </c>
    </row>
    <row r="58612">
      <c r="A58612" s="1" t="n">
        <v>58611</v>
      </c>
      <c r="B58612">
        <f>TEXT(58611, "[$-0E0000]yyyy-mm-dd")</f>
        <v/>
      </c>
      <c r="C58612" t="inlineStr">
        <is>
          <t>2060-05-22</t>
        </is>
      </c>
    </row>
    <row r="58613">
      <c r="A58613" s="1" t="n">
        <v>58612</v>
      </c>
      <c r="B58613">
        <f>TEXT(58612, "[$-0E0000]yyyy-mm-dd")</f>
        <v/>
      </c>
      <c r="C58613" t="inlineStr">
        <is>
          <t>2060-05-23</t>
        </is>
      </c>
    </row>
    <row r="58614">
      <c r="A58614" s="1" t="n">
        <v>58613</v>
      </c>
      <c r="B58614">
        <f>TEXT(58613, "[$-0E0000]yyyy-mm-dd")</f>
        <v/>
      </c>
      <c r="C58614" t="inlineStr">
        <is>
          <t>2060-05-24</t>
        </is>
      </c>
    </row>
    <row r="58615">
      <c r="A58615" s="1" t="n">
        <v>58614</v>
      </c>
      <c r="B58615">
        <f>TEXT(58614, "[$-0E0000]yyyy-mm-dd")</f>
        <v/>
      </c>
      <c r="C58615" t="inlineStr">
        <is>
          <t>2060-05-25</t>
        </is>
      </c>
    </row>
    <row r="58616">
      <c r="A58616" s="1" t="n">
        <v>58615</v>
      </c>
      <c r="B58616">
        <f>TEXT(58615, "[$-0E0000]yyyy-mm-dd")</f>
        <v/>
      </c>
      <c r="C58616" t="inlineStr">
        <is>
          <t>2060-05-26</t>
        </is>
      </c>
    </row>
    <row r="58617">
      <c r="A58617" s="1" t="n">
        <v>58616</v>
      </c>
      <c r="B58617">
        <f>TEXT(58616, "[$-0E0000]yyyy-mm-dd")</f>
        <v/>
      </c>
      <c r="C58617" t="inlineStr">
        <is>
          <t>2060-05-27</t>
        </is>
      </c>
    </row>
    <row r="58618">
      <c r="A58618" s="1" t="n">
        <v>58617</v>
      </c>
      <c r="B58618">
        <f>TEXT(58617, "[$-0E0000]yyyy-mm-dd")</f>
        <v/>
      </c>
      <c r="C58618" t="inlineStr">
        <is>
          <t>2060-05-28</t>
        </is>
      </c>
    </row>
    <row r="58619">
      <c r="A58619" s="1" t="n">
        <v>58618</v>
      </c>
      <c r="B58619">
        <f>TEXT(58618, "[$-0E0000]yyyy-mm-dd")</f>
        <v/>
      </c>
      <c r="C58619" t="inlineStr">
        <is>
          <t>2060-05-29</t>
        </is>
      </c>
    </row>
    <row r="58620">
      <c r="A58620" s="1" t="n">
        <v>58619</v>
      </c>
      <c r="B58620">
        <f>TEXT(58619, "[$-0E0000]yyyy-mm-dd")</f>
        <v/>
      </c>
      <c r="C58620" t="inlineStr">
        <is>
          <t>2060-06-01</t>
        </is>
      </c>
    </row>
    <row r="58621">
      <c r="A58621" s="1" t="n">
        <v>58620</v>
      </c>
      <c r="B58621">
        <f>TEXT(58620, "[$-0E0000]yyyy-mm-dd")</f>
        <v/>
      </c>
      <c r="C58621" t="inlineStr">
        <is>
          <t>2060-06-02</t>
        </is>
      </c>
    </row>
    <row r="58622">
      <c r="A58622" s="1" t="n">
        <v>58621</v>
      </c>
      <c r="B58622">
        <f>TEXT(58621, "[$-0E0000]yyyy-mm-dd")</f>
        <v/>
      </c>
      <c r="C58622" t="inlineStr">
        <is>
          <t>2060-06-03</t>
        </is>
      </c>
    </row>
    <row r="58623">
      <c r="A58623" s="1" t="n">
        <v>58622</v>
      </c>
      <c r="B58623">
        <f>TEXT(58622, "[$-0E0000]yyyy-mm-dd")</f>
        <v/>
      </c>
      <c r="C58623" t="inlineStr">
        <is>
          <t>2060-06-04</t>
        </is>
      </c>
    </row>
    <row r="58624">
      <c r="A58624" s="1" t="n">
        <v>58623</v>
      </c>
      <c r="B58624">
        <f>TEXT(58623, "[$-0E0000]yyyy-mm-dd")</f>
        <v/>
      </c>
      <c r="C58624" t="inlineStr">
        <is>
          <t>2060-06-05</t>
        </is>
      </c>
    </row>
    <row r="58625">
      <c r="A58625" s="1" t="n">
        <v>58624</v>
      </c>
      <c r="B58625">
        <f>TEXT(58624, "[$-0E0000]yyyy-mm-dd")</f>
        <v/>
      </c>
      <c r="C58625" t="inlineStr">
        <is>
          <t>2060-06-06</t>
        </is>
      </c>
    </row>
    <row r="58626">
      <c r="A58626" s="1" t="n">
        <v>58625</v>
      </c>
      <c r="B58626">
        <f>TEXT(58625, "[$-0E0000]yyyy-mm-dd")</f>
        <v/>
      </c>
      <c r="C58626" t="inlineStr">
        <is>
          <t>2060-06-07</t>
        </is>
      </c>
    </row>
    <row r="58627">
      <c r="A58627" s="1" t="n">
        <v>58626</v>
      </c>
      <c r="B58627">
        <f>TEXT(58626, "[$-0E0000]yyyy-mm-dd")</f>
        <v/>
      </c>
      <c r="C58627" t="inlineStr">
        <is>
          <t>2060-06-08</t>
        </is>
      </c>
    </row>
    <row r="58628">
      <c r="A58628" s="1" t="n">
        <v>58627</v>
      </c>
      <c r="B58628">
        <f>TEXT(58627, "[$-0E0000]yyyy-mm-dd")</f>
        <v/>
      </c>
      <c r="C58628" t="inlineStr">
        <is>
          <t>2060-06-09</t>
        </is>
      </c>
    </row>
    <row r="58629">
      <c r="A58629" s="1" t="n">
        <v>58628</v>
      </c>
      <c r="B58629">
        <f>TEXT(58628, "[$-0E0000]yyyy-mm-dd")</f>
        <v/>
      </c>
      <c r="C58629" t="inlineStr">
        <is>
          <t>2060-06-10</t>
        </is>
      </c>
    </row>
    <row r="58630">
      <c r="A58630" s="1" t="n">
        <v>58629</v>
      </c>
      <c r="B58630">
        <f>TEXT(58629, "[$-0E0000]yyyy-mm-dd")</f>
        <v/>
      </c>
      <c r="C58630" t="inlineStr">
        <is>
          <t>2060-06-11</t>
        </is>
      </c>
    </row>
    <row r="58631">
      <c r="A58631" s="1" t="n">
        <v>58630</v>
      </c>
      <c r="B58631">
        <f>TEXT(58630, "[$-0E0000]yyyy-mm-dd")</f>
        <v/>
      </c>
      <c r="C58631" t="inlineStr">
        <is>
          <t>2060-06-12</t>
        </is>
      </c>
    </row>
    <row r="58632">
      <c r="A58632" s="1" t="n">
        <v>58631</v>
      </c>
      <c r="B58632">
        <f>TEXT(58631, "[$-0E0000]yyyy-mm-dd")</f>
        <v/>
      </c>
      <c r="C58632" t="inlineStr">
        <is>
          <t>2060-06-13</t>
        </is>
      </c>
    </row>
    <row r="58633">
      <c r="A58633" s="1" t="n">
        <v>58632</v>
      </c>
      <c r="B58633">
        <f>TEXT(58632, "[$-0E0000]yyyy-mm-dd")</f>
        <v/>
      </c>
      <c r="C58633" t="inlineStr">
        <is>
          <t>2060-06-14</t>
        </is>
      </c>
    </row>
    <row r="58634">
      <c r="A58634" s="1" t="n">
        <v>58633</v>
      </c>
      <c r="B58634">
        <f>TEXT(58633, "[$-0E0000]yyyy-mm-dd")</f>
        <v/>
      </c>
      <c r="C58634" t="inlineStr">
        <is>
          <t>2060-06-15</t>
        </is>
      </c>
    </row>
    <row r="58635">
      <c r="A58635" s="1" t="n">
        <v>58634</v>
      </c>
      <c r="B58635">
        <f>TEXT(58634, "[$-0E0000]yyyy-mm-dd")</f>
        <v/>
      </c>
      <c r="C58635" t="inlineStr">
        <is>
          <t>2060-06-16</t>
        </is>
      </c>
    </row>
    <row r="58636">
      <c r="A58636" s="1" t="n">
        <v>58635</v>
      </c>
      <c r="B58636">
        <f>TEXT(58635, "[$-0E0000]yyyy-mm-dd")</f>
        <v/>
      </c>
      <c r="C58636" t="inlineStr">
        <is>
          <t>2060-06-17</t>
        </is>
      </c>
    </row>
    <row r="58637">
      <c r="A58637" s="1" t="n">
        <v>58636</v>
      </c>
      <c r="B58637">
        <f>TEXT(58636, "[$-0E0000]yyyy-mm-dd")</f>
        <v/>
      </c>
      <c r="C58637" t="inlineStr">
        <is>
          <t>2060-06-18</t>
        </is>
      </c>
    </row>
    <row r="58638">
      <c r="A58638" s="1" t="n">
        <v>58637</v>
      </c>
      <c r="B58638">
        <f>TEXT(58637, "[$-0E0000]yyyy-mm-dd")</f>
        <v/>
      </c>
      <c r="C58638" t="inlineStr">
        <is>
          <t>2060-06-19</t>
        </is>
      </c>
    </row>
    <row r="58639">
      <c r="A58639" s="1" t="n">
        <v>58638</v>
      </c>
      <c r="B58639">
        <f>TEXT(58638, "[$-0E0000]yyyy-mm-dd")</f>
        <v/>
      </c>
      <c r="C58639" t="inlineStr">
        <is>
          <t>2060-06-20</t>
        </is>
      </c>
    </row>
    <row r="58640">
      <c r="A58640" s="1" t="n">
        <v>58639</v>
      </c>
      <c r="B58640">
        <f>TEXT(58639, "[$-0E0000]yyyy-mm-dd")</f>
        <v/>
      </c>
      <c r="C58640" t="inlineStr">
        <is>
          <t>2060-06-21</t>
        </is>
      </c>
    </row>
    <row r="58641">
      <c r="A58641" s="1" t="n">
        <v>58640</v>
      </c>
      <c r="B58641">
        <f>TEXT(58640, "[$-0E0000]yyyy-mm-dd")</f>
        <v/>
      </c>
      <c r="C58641" t="inlineStr">
        <is>
          <t>2060-06-22</t>
        </is>
      </c>
    </row>
    <row r="58642">
      <c r="A58642" s="1" t="n">
        <v>58641</v>
      </c>
      <c r="B58642">
        <f>TEXT(58641, "[$-0E0000]yyyy-mm-dd")</f>
        <v/>
      </c>
      <c r="C58642" t="inlineStr">
        <is>
          <t>2060-06-23</t>
        </is>
      </c>
    </row>
    <row r="58643">
      <c r="A58643" s="1" t="n">
        <v>58642</v>
      </c>
      <c r="B58643">
        <f>TEXT(58642, "[$-0E0000]yyyy-mm-dd")</f>
        <v/>
      </c>
      <c r="C58643" t="inlineStr">
        <is>
          <t>2060-06-24</t>
        </is>
      </c>
    </row>
    <row r="58644">
      <c r="A58644" s="1" t="n">
        <v>58643</v>
      </c>
      <c r="B58644">
        <f>TEXT(58643, "[$-0E0000]yyyy-mm-dd")</f>
        <v/>
      </c>
      <c r="C58644" t="inlineStr">
        <is>
          <t>2060-06-25</t>
        </is>
      </c>
    </row>
    <row r="58645">
      <c r="A58645" s="1" t="n">
        <v>58644</v>
      </c>
      <c r="B58645">
        <f>TEXT(58644, "[$-0E0000]yyyy-mm-dd")</f>
        <v/>
      </c>
      <c r="C58645" t="inlineStr">
        <is>
          <t>2060-06-26</t>
        </is>
      </c>
    </row>
    <row r="58646">
      <c r="A58646" s="1" t="n">
        <v>58645</v>
      </c>
      <c r="B58646">
        <f>TEXT(58645, "[$-0E0000]yyyy-mm-dd")</f>
        <v/>
      </c>
      <c r="C58646" t="inlineStr">
        <is>
          <t>2060-06-27</t>
        </is>
      </c>
    </row>
    <row r="58647">
      <c r="A58647" s="1" t="n">
        <v>58646</v>
      </c>
      <c r="B58647">
        <f>TEXT(58646, "[$-0E0000]yyyy-mm-dd")</f>
        <v/>
      </c>
      <c r="C58647" t="inlineStr">
        <is>
          <t>2060-06-28</t>
        </is>
      </c>
    </row>
    <row r="58648">
      <c r="A58648" s="1" t="n">
        <v>58647</v>
      </c>
      <c r="B58648">
        <f>TEXT(58647, "[$-0E0000]yyyy-mm-dd")</f>
        <v/>
      </c>
      <c r="C58648" t="inlineStr">
        <is>
          <t>2060-06-29</t>
        </is>
      </c>
    </row>
    <row r="58649">
      <c r="A58649" s="1" t="n">
        <v>58648</v>
      </c>
      <c r="B58649">
        <f>TEXT(58648, "[$-0E0000]yyyy-mm-dd")</f>
        <v/>
      </c>
      <c r="C58649" t="inlineStr">
        <is>
          <t>2060-07-01</t>
        </is>
      </c>
    </row>
    <row r="58650">
      <c r="A58650" s="1" t="n">
        <v>58649</v>
      </c>
      <c r="B58650">
        <f>TEXT(58649, "[$-0E0000]yyyy-mm-dd")</f>
        <v/>
      </c>
      <c r="C58650" t="inlineStr">
        <is>
          <t>2060-07-02</t>
        </is>
      </c>
    </row>
    <row r="58651">
      <c r="A58651" s="1" t="n">
        <v>58650</v>
      </c>
      <c r="B58651">
        <f>TEXT(58650, "[$-0E0000]yyyy-mm-dd")</f>
        <v/>
      </c>
      <c r="C58651" t="inlineStr">
        <is>
          <t>2060-07-03</t>
        </is>
      </c>
    </row>
    <row r="58652">
      <c r="A58652" s="1" t="n">
        <v>58651</v>
      </c>
      <c r="B58652">
        <f>TEXT(58651, "[$-0E0000]yyyy-mm-dd")</f>
        <v/>
      </c>
      <c r="C58652" t="inlineStr">
        <is>
          <t>2060-07-04</t>
        </is>
      </c>
    </row>
    <row r="58653">
      <c r="A58653" s="1" t="n">
        <v>58652</v>
      </c>
      <c r="B58653">
        <f>TEXT(58652, "[$-0E0000]yyyy-mm-dd")</f>
        <v/>
      </c>
      <c r="C58653" t="inlineStr">
        <is>
          <t>2060-07-05</t>
        </is>
      </c>
    </row>
    <row r="58654">
      <c r="A58654" s="1" t="n">
        <v>58653</v>
      </c>
      <c r="B58654">
        <f>TEXT(58653, "[$-0E0000]yyyy-mm-dd")</f>
        <v/>
      </c>
      <c r="C58654" t="inlineStr">
        <is>
          <t>2060-07-06</t>
        </is>
      </c>
    </row>
    <row r="58655">
      <c r="A58655" s="1" t="n">
        <v>58654</v>
      </c>
      <c r="B58655">
        <f>TEXT(58654, "[$-0E0000]yyyy-mm-dd")</f>
        <v/>
      </c>
      <c r="C58655" t="inlineStr">
        <is>
          <t>2060-07-07</t>
        </is>
      </c>
    </row>
    <row r="58656">
      <c r="A58656" s="1" t="n">
        <v>58655</v>
      </c>
      <c r="B58656">
        <f>TEXT(58655, "[$-0E0000]yyyy-mm-dd")</f>
        <v/>
      </c>
      <c r="C58656" t="inlineStr">
        <is>
          <t>2060-07-08</t>
        </is>
      </c>
    </row>
    <row r="58657">
      <c r="A58657" s="1" t="n">
        <v>58656</v>
      </c>
      <c r="B58657">
        <f>TEXT(58656, "[$-0E0000]yyyy-mm-dd")</f>
        <v/>
      </c>
      <c r="C58657" t="inlineStr">
        <is>
          <t>2060-07-09</t>
        </is>
      </c>
    </row>
    <row r="58658">
      <c r="A58658" s="1" t="n">
        <v>58657</v>
      </c>
      <c r="B58658">
        <f>TEXT(58657, "[$-0E0000]yyyy-mm-dd")</f>
        <v/>
      </c>
      <c r="C58658" t="inlineStr">
        <is>
          <t>2060-07-10</t>
        </is>
      </c>
    </row>
    <row r="58659">
      <c r="A58659" s="1" t="n">
        <v>58658</v>
      </c>
      <c r="B58659">
        <f>TEXT(58658, "[$-0E0000]yyyy-mm-dd")</f>
        <v/>
      </c>
      <c r="C58659" t="inlineStr">
        <is>
          <t>2060-07-11</t>
        </is>
      </c>
    </row>
    <row r="58660">
      <c r="A58660" s="1" t="n">
        <v>58659</v>
      </c>
      <c r="B58660">
        <f>TEXT(58659, "[$-0E0000]yyyy-mm-dd")</f>
        <v/>
      </c>
      <c r="C58660" t="inlineStr">
        <is>
          <t>2060-07-12</t>
        </is>
      </c>
    </row>
    <row r="58661">
      <c r="A58661" s="1" t="n">
        <v>58660</v>
      </c>
      <c r="B58661">
        <f>TEXT(58660, "[$-0E0000]yyyy-mm-dd")</f>
        <v/>
      </c>
      <c r="C58661" t="inlineStr">
        <is>
          <t>2060-07-13</t>
        </is>
      </c>
    </row>
    <row r="58662">
      <c r="A58662" s="1" t="n">
        <v>58661</v>
      </c>
      <c r="B58662">
        <f>TEXT(58661, "[$-0E0000]yyyy-mm-dd")</f>
        <v/>
      </c>
      <c r="C58662" t="inlineStr">
        <is>
          <t>2060-07-14</t>
        </is>
      </c>
    </row>
    <row r="58663">
      <c r="A58663" s="1" t="n">
        <v>58662</v>
      </c>
      <c r="B58663">
        <f>TEXT(58662, "[$-0E0000]yyyy-mm-dd")</f>
        <v/>
      </c>
      <c r="C58663" t="inlineStr">
        <is>
          <t>2060-07-15</t>
        </is>
      </c>
    </row>
    <row r="58664">
      <c r="A58664" s="1" t="n">
        <v>58663</v>
      </c>
      <c r="B58664">
        <f>TEXT(58663, "[$-0E0000]yyyy-mm-dd")</f>
        <v/>
      </c>
      <c r="C58664" t="inlineStr">
        <is>
          <t>2060-07-16</t>
        </is>
      </c>
    </row>
    <row r="58665">
      <c r="A58665" s="1" t="n">
        <v>58664</v>
      </c>
      <c r="B58665">
        <f>TEXT(58664, "[$-0E0000]yyyy-mm-dd")</f>
        <v/>
      </c>
      <c r="C58665" t="inlineStr">
        <is>
          <t>2060-07-17</t>
        </is>
      </c>
    </row>
    <row r="58666">
      <c r="A58666" s="1" t="n">
        <v>58665</v>
      </c>
      <c r="B58666">
        <f>TEXT(58665, "[$-0E0000]yyyy-mm-dd")</f>
        <v/>
      </c>
      <c r="C58666" t="inlineStr">
        <is>
          <t>2060-07-18</t>
        </is>
      </c>
    </row>
    <row r="58667">
      <c r="A58667" s="1" t="n">
        <v>58666</v>
      </c>
      <c r="B58667">
        <f>TEXT(58666, "[$-0E0000]yyyy-mm-dd")</f>
        <v/>
      </c>
      <c r="C58667" t="inlineStr">
        <is>
          <t>2060-07-19</t>
        </is>
      </c>
    </row>
    <row r="58668">
      <c r="A58668" s="1" t="n">
        <v>58667</v>
      </c>
      <c r="B58668">
        <f>TEXT(58667, "[$-0E0000]yyyy-mm-dd")</f>
        <v/>
      </c>
      <c r="C58668" t="inlineStr">
        <is>
          <t>2060-07-20</t>
        </is>
      </c>
    </row>
    <row r="58669">
      <c r="A58669" s="1" t="n">
        <v>58668</v>
      </c>
      <c r="B58669">
        <f>TEXT(58668, "[$-0E0000]yyyy-mm-dd")</f>
        <v/>
      </c>
      <c r="C58669" t="inlineStr">
        <is>
          <t>2060-07-21</t>
        </is>
      </c>
    </row>
    <row r="58670">
      <c r="A58670" s="1" t="n">
        <v>58669</v>
      </c>
      <c r="B58670">
        <f>TEXT(58669, "[$-0E0000]yyyy-mm-dd")</f>
        <v/>
      </c>
      <c r="C58670" t="inlineStr">
        <is>
          <t>2060-07-22</t>
        </is>
      </c>
    </row>
    <row r="58671">
      <c r="A58671" s="1" t="n">
        <v>58670</v>
      </c>
      <c r="B58671">
        <f>TEXT(58670, "[$-0E0000]yyyy-mm-dd")</f>
        <v/>
      </c>
      <c r="C58671" t="inlineStr">
        <is>
          <t>2060-07-23</t>
        </is>
      </c>
    </row>
    <row r="58672">
      <c r="A58672" s="1" t="n">
        <v>58671</v>
      </c>
      <c r="B58672">
        <f>TEXT(58671, "[$-0E0000]yyyy-mm-dd")</f>
        <v/>
      </c>
      <c r="C58672" t="inlineStr">
        <is>
          <t>2060-07-24</t>
        </is>
      </c>
    </row>
    <row r="58673">
      <c r="A58673" s="1" t="n">
        <v>58672</v>
      </c>
      <c r="B58673">
        <f>TEXT(58672, "[$-0E0000]yyyy-mm-dd")</f>
        <v/>
      </c>
      <c r="C58673" t="inlineStr">
        <is>
          <t>2060-07-25</t>
        </is>
      </c>
    </row>
    <row r="58674">
      <c r="A58674" s="1" t="n">
        <v>58673</v>
      </c>
      <c r="B58674">
        <f>TEXT(58673, "[$-0E0000]yyyy-mm-dd")</f>
        <v/>
      </c>
      <c r="C58674" t="inlineStr">
        <is>
          <t>2060-07-26</t>
        </is>
      </c>
    </row>
    <row r="58675">
      <c r="A58675" s="1" t="n">
        <v>58674</v>
      </c>
      <c r="B58675">
        <f>TEXT(58674, "[$-0E0000]yyyy-mm-dd")</f>
        <v/>
      </c>
      <c r="C58675" t="inlineStr">
        <is>
          <t>2060-07-27</t>
        </is>
      </c>
    </row>
    <row r="58676">
      <c r="A58676" s="1" t="n">
        <v>58675</v>
      </c>
      <c r="B58676">
        <f>TEXT(58675, "[$-0E0000]yyyy-mm-dd")</f>
        <v/>
      </c>
      <c r="C58676" t="inlineStr">
        <is>
          <t>2060-07-28</t>
        </is>
      </c>
    </row>
    <row r="58677">
      <c r="A58677" s="1" t="n">
        <v>58676</v>
      </c>
      <c r="B58677">
        <f>TEXT(58676, "[$-0E0000]yyyy-mm-dd")</f>
        <v/>
      </c>
      <c r="C58677" t="inlineStr">
        <is>
          <t>2060-07-29</t>
        </is>
      </c>
    </row>
    <row r="58678">
      <c r="A58678" s="1" t="n">
        <v>58677</v>
      </c>
      <c r="B58678">
        <f>TEXT(58677, "[$-0E0000]yyyy-mm-dd")</f>
        <v/>
      </c>
      <c r="C58678" t="inlineStr">
        <is>
          <t>2060-07-30</t>
        </is>
      </c>
    </row>
    <row r="58679">
      <c r="A58679" s="1" t="n">
        <v>58678</v>
      </c>
      <c r="B58679">
        <f>TEXT(58678, "[$-0E0000]yyyy-mm-dd")</f>
        <v/>
      </c>
      <c r="C58679" t="inlineStr">
        <is>
          <t>2060-08-01</t>
        </is>
      </c>
    </row>
    <row r="58680">
      <c r="A58680" s="1" t="n">
        <v>58679</v>
      </c>
      <c r="B58680">
        <f>TEXT(58679, "[$-0E0000]yyyy-mm-dd")</f>
        <v/>
      </c>
      <c r="C58680" t="inlineStr">
        <is>
          <t>2060-08-02</t>
        </is>
      </c>
    </row>
    <row r="58681">
      <c r="A58681" s="1" t="n">
        <v>58680</v>
      </c>
      <c r="B58681">
        <f>TEXT(58680, "[$-0E0000]yyyy-mm-dd")</f>
        <v/>
      </c>
      <c r="C58681" t="inlineStr">
        <is>
          <t>2060-08-03</t>
        </is>
      </c>
    </row>
    <row r="58682">
      <c r="A58682" s="1" t="n">
        <v>58681</v>
      </c>
      <c r="B58682">
        <f>TEXT(58681, "[$-0E0000]yyyy-mm-dd")</f>
        <v/>
      </c>
      <c r="C58682" t="inlineStr">
        <is>
          <t>2060-08-04</t>
        </is>
      </c>
    </row>
    <row r="58683">
      <c r="A58683" s="1" t="n">
        <v>58682</v>
      </c>
      <c r="B58683">
        <f>TEXT(58682, "[$-0E0000]yyyy-mm-dd")</f>
        <v/>
      </c>
      <c r="C58683" t="inlineStr">
        <is>
          <t>2060-08-05</t>
        </is>
      </c>
    </row>
    <row r="58684">
      <c r="A58684" s="1" t="n">
        <v>58683</v>
      </c>
      <c r="B58684">
        <f>TEXT(58683, "[$-0E0000]yyyy-mm-dd")</f>
        <v/>
      </c>
      <c r="C58684" t="inlineStr">
        <is>
          <t>2060-08-06</t>
        </is>
      </c>
    </row>
    <row r="58685">
      <c r="A58685" s="1" t="n">
        <v>58684</v>
      </c>
      <c r="B58685">
        <f>TEXT(58684, "[$-0E0000]yyyy-mm-dd")</f>
        <v/>
      </c>
      <c r="C58685" t="inlineStr">
        <is>
          <t>2060-08-07</t>
        </is>
      </c>
    </row>
    <row r="58686">
      <c r="A58686" s="1" t="n">
        <v>58685</v>
      </c>
      <c r="B58686">
        <f>TEXT(58685, "[$-0E0000]yyyy-mm-dd")</f>
        <v/>
      </c>
      <c r="C58686" t="inlineStr">
        <is>
          <t>2060-08-08</t>
        </is>
      </c>
    </row>
    <row r="58687">
      <c r="A58687" s="1" t="n">
        <v>58686</v>
      </c>
      <c r="B58687">
        <f>TEXT(58686, "[$-0E0000]yyyy-mm-dd")</f>
        <v/>
      </c>
      <c r="C58687" t="inlineStr">
        <is>
          <t>2060-08-09</t>
        </is>
      </c>
    </row>
    <row r="58688">
      <c r="A58688" s="1" t="n">
        <v>58687</v>
      </c>
      <c r="B58688">
        <f>TEXT(58687, "[$-0E0000]yyyy-mm-dd")</f>
        <v/>
      </c>
      <c r="C58688" t="inlineStr">
        <is>
          <t>2060-08-10</t>
        </is>
      </c>
    </row>
    <row r="58689">
      <c r="A58689" s="1" t="n">
        <v>58688</v>
      </c>
      <c r="B58689">
        <f>TEXT(58688, "[$-0E0000]yyyy-mm-dd")</f>
        <v/>
      </c>
      <c r="C58689" t="inlineStr">
        <is>
          <t>2060-08-11</t>
        </is>
      </c>
    </row>
    <row r="58690">
      <c r="A58690" s="1" t="n">
        <v>58689</v>
      </c>
      <c r="B58690">
        <f>TEXT(58689, "[$-0E0000]yyyy-mm-dd")</f>
        <v/>
      </c>
      <c r="C58690" t="inlineStr">
        <is>
          <t>2060-08-12</t>
        </is>
      </c>
    </row>
    <row r="58691">
      <c r="A58691" s="1" t="n">
        <v>58690</v>
      </c>
      <c r="B58691">
        <f>TEXT(58690, "[$-0E0000]yyyy-mm-dd")</f>
        <v/>
      </c>
      <c r="C58691" t="inlineStr">
        <is>
          <t>2060-08-13</t>
        </is>
      </c>
    </row>
    <row r="58692">
      <c r="A58692" s="1" t="n">
        <v>58691</v>
      </c>
      <c r="B58692">
        <f>TEXT(58691, "[$-0E0000]yyyy-mm-dd")</f>
        <v/>
      </c>
      <c r="C58692" t="inlineStr">
        <is>
          <t>2060-08-14</t>
        </is>
      </c>
    </row>
    <row r="58693">
      <c r="A58693" s="1" t="n">
        <v>58692</v>
      </c>
      <c r="B58693">
        <f>TEXT(58692, "[$-0E0000]yyyy-mm-dd")</f>
        <v/>
      </c>
      <c r="C58693" t="inlineStr">
        <is>
          <t>2060-08-15</t>
        </is>
      </c>
    </row>
    <row r="58694">
      <c r="A58694" s="1" t="n">
        <v>58693</v>
      </c>
      <c r="B58694">
        <f>TEXT(58693, "[$-0E0000]yyyy-mm-dd")</f>
        <v/>
      </c>
      <c r="C58694" t="inlineStr">
        <is>
          <t>2060-08-16</t>
        </is>
      </c>
    </row>
    <row r="58695">
      <c r="A58695" s="1" t="n">
        <v>58694</v>
      </c>
      <c r="B58695">
        <f>TEXT(58694, "[$-0E0000]yyyy-mm-dd")</f>
        <v/>
      </c>
      <c r="C58695" t="inlineStr">
        <is>
          <t>2060-08-17</t>
        </is>
      </c>
    </row>
    <row r="58696">
      <c r="A58696" s="1" t="n">
        <v>58695</v>
      </c>
      <c r="B58696">
        <f>TEXT(58695, "[$-0E0000]yyyy-mm-dd")</f>
        <v/>
      </c>
      <c r="C58696" t="inlineStr">
        <is>
          <t>2060-08-18</t>
        </is>
      </c>
    </row>
    <row r="58697">
      <c r="A58697" s="1" t="n">
        <v>58696</v>
      </c>
      <c r="B58697">
        <f>TEXT(58696, "[$-0E0000]yyyy-mm-dd")</f>
        <v/>
      </c>
      <c r="C58697" t="inlineStr">
        <is>
          <t>2060-08-19</t>
        </is>
      </c>
    </row>
    <row r="58698">
      <c r="A58698" s="1" t="n">
        <v>58697</v>
      </c>
      <c r="B58698">
        <f>TEXT(58697, "[$-0E0000]yyyy-mm-dd")</f>
        <v/>
      </c>
      <c r="C58698" t="inlineStr">
        <is>
          <t>2060-08-20</t>
        </is>
      </c>
    </row>
    <row r="58699">
      <c r="A58699" s="1" t="n">
        <v>58698</v>
      </c>
      <c r="B58699">
        <f>TEXT(58698, "[$-0E0000]yyyy-mm-dd")</f>
        <v/>
      </c>
      <c r="C58699" t="inlineStr">
        <is>
          <t>2060-08-21</t>
        </is>
      </c>
    </row>
    <row r="58700">
      <c r="A58700" s="1" t="n">
        <v>58699</v>
      </c>
      <c r="B58700">
        <f>TEXT(58699, "[$-0E0000]yyyy-mm-dd")</f>
        <v/>
      </c>
      <c r="C58700" t="inlineStr">
        <is>
          <t>2060-08-22</t>
        </is>
      </c>
    </row>
    <row r="58701">
      <c r="A58701" s="1" t="n">
        <v>58700</v>
      </c>
      <c r="B58701">
        <f>TEXT(58700, "[$-0E0000]yyyy-mm-dd")</f>
        <v/>
      </c>
      <c r="C58701" t="inlineStr">
        <is>
          <t>2060-08-23</t>
        </is>
      </c>
    </row>
    <row r="58702">
      <c r="A58702" s="1" t="n">
        <v>58701</v>
      </c>
      <c r="B58702">
        <f>TEXT(58701, "[$-0E0000]yyyy-mm-dd")</f>
        <v/>
      </c>
      <c r="C58702" t="inlineStr">
        <is>
          <t>2060-08-24</t>
        </is>
      </c>
    </row>
    <row r="58703">
      <c r="A58703" s="1" t="n">
        <v>58702</v>
      </c>
      <c r="B58703">
        <f>TEXT(58702, "[$-0E0000]yyyy-mm-dd")</f>
        <v/>
      </c>
      <c r="C58703" t="inlineStr">
        <is>
          <t>2060-08-25</t>
        </is>
      </c>
    </row>
    <row r="58704">
      <c r="A58704" s="1" t="n">
        <v>58703</v>
      </c>
      <c r="B58704">
        <f>TEXT(58703, "[$-0E0000]yyyy-mm-dd")</f>
        <v/>
      </c>
      <c r="C58704" t="inlineStr">
        <is>
          <t>2060-08-26</t>
        </is>
      </c>
    </row>
    <row r="58705">
      <c r="A58705" s="1" t="n">
        <v>58704</v>
      </c>
      <c r="B58705">
        <f>TEXT(58704, "[$-0E0000]yyyy-mm-dd")</f>
        <v/>
      </c>
      <c r="C58705" t="inlineStr">
        <is>
          <t>2060-08-27</t>
        </is>
      </c>
    </row>
    <row r="58706">
      <c r="A58706" s="1" t="n">
        <v>58705</v>
      </c>
      <c r="B58706">
        <f>TEXT(58705, "[$-0E0000]yyyy-mm-dd")</f>
        <v/>
      </c>
      <c r="C58706" t="inlineStr">
        <is>
          <t>2060-08-28</t>
        </is>
      </c>
    </row>
    <row r="58707">
      <c r="A58707" s="1" t="n">
        <v>58706</v>
      </c>
      <c r="B58707">
        <f>TEXT(58706, "[$-0E0000]yyyy-mm-dd")</f>
        <v/>
      </c>
      <c r="C58707" t="inlineStr">
        <is>
          <t>2060-08-29</t>
        </is>
      </c>
    </row>
    <row r="58708">
      <c r="A58708" s="1" t="n">
        <v>58707</v>
      </c>
      <c r="B58708">
        <f>TEXT(58707, "[$-0E0000]yyyy-mm-dd")</f>
        <v/>
      </c>
      <c r="C58708" t="inlineStr">
        <is>
          <t>2060-09-01</t>
        </is>
      </c>
    </row>
    <row r="58709">
      <c r="A58709" s="1" t="n">
        <v>58708</v>
      </c>
      <c r="B58709">
        <f>TEXT(58708, "[$-0E0000]yyyy-mm-dd")</f>
        <v/>
      </c>
      <c r="C58709" t="inlineStr">
        <is>
          <t>2060-09-02</t>
        </is>
      </c>
    </row>
    <row r="58710">
      <c r="A58710" s="1" t="n">
        <v>58709</v>
      </c>
      <c r="B58710">
        <f>TEXT(58709, "[$-0E0000]yyyy-mm-dd")</f>
        <v/>
      </c>
      <c r="C58710" t="inlineStr">
        <is>
          <t>2060-09-03</t>
        </is>
      </c>
    </row>
    <row r="58711">
      <c r="A58711" s="1" t="n">
        <v>58710</v>
      </c>
      <c r="B58711">
        <f>TEXT(58710, "[$-0E0000]yyyy-mm-dd")</f>
        <v/>
      </c>
      <c r="C58711" t="inlineStr">
        <is>
          <t>2060-09-04</t>
        </is>
      </c>
    </row>
    <row r="58712">
      <c r="A58712" s="1" t="n">
        <v>58711</v>
      </c>
      <c r="B58712">
        <f>TEXT(58711, "[$-0E0000]yyyy-mm-dd")</f>
        <v/>
      </c>
      <c r="C58712" t="inlineStr">
        <is>
          <t>2060-09-05</t>
        </is>
      </c>
    </row>
    <row r="58713">
      <c r="A58713" s="1" t="n">
        <v>58712</v>
      </c>
      <c r="B58713">
        <f>TEXT(58712, "[$-0E0000]yyyy-mm-dd")</f>
        <v/>
      </c>
      <c r="C58713" t="inlineStr">
        <is>
          <t>2060-09-06</t>
        </is>
      </c>
    </row>
    <row r="58714">
      <c r="A58714" s="1" t="n">
        <v>58713</v>
      </c>
      <c r="B58714">
        <f>TEXT(58713, "[$-0E0000]yyyy-mm-dd")</f>
        <v/>
      </c>
      <c r="C58714" t="inlineStr">
        <is>
          <t>2060-09-07</t>
        </is>
      </c>
    </row>
    <row r="58715">
      <c r="A58715" s="1" t="n">
        <v>58714</v>
      </c>
      <c r="B58715">
        <f>TEXT(58714, "[$-0E0000]yyyy-mm-dd")</f>
        <v/>
      </c>
      <c r="C58715" t="inlineStr">
        <is>
          <t>2060-09-08</t>
        </is>
      </c>
    </row>
    <row r="58716">
      <c r="A58716" s="1" t="n">
        <v>58715</v>
      </c>
      <c r="B58716">
        <f>TEXT(58715, "[$-0E0000]yyyy-mm-dd")</f>
        <v/>
      </c>
      <c r="C58716" t="inlineStr">
        <is>
          <t>2060-09-09</t>
        </is>
      </c>
    </row>
    <row r="58717">
      <c r="A58717" s="1" t="n">
        <v>58716</v>
      </c>
      <c r="B58717">
        <f>TEXT(58716, "[$-0E0000]yyyy-mm-dd")</f>
        <v/>
      </c>
      <c r="C58717" t="inlineStr">
        <is>
          <t>2060-09-10</t>
        </is>
      </c>
    </row>
    <row r="58718">
      <c r="A58718" s="1" t="n">
        <v>58717</v>
      </c>
      <c r="B58718">
        <f>TEXT(58717, "[$-0E0000]yyyy-mm-dd")</f>
        <v/>
      </c>
      <c r="C58718" t="inlineStr">
        <is>
          <t>2060-09-11</t>
        </is>
      </c>
    </row>
    <row r="58719">
      <c r="A58719" s="1" t="n">
        <v>58718</v>
      </c>
      <c r="B58719">
        <f>TEXT(58718, "[$-0E0000]yyyy-mm-dd")</f>
        <v/>
      </c>
      <c r="C58719" t="inlineStr">
        <is>
          <t>2060-09-12</t>
        </is>
      </c>
    </row>
    <row r="58720">
      <c r="A58720" s="1" t="n">
        <v>58719</v>
      </c>
      <c r="B58720">
        <f>TEXT(58719, "[$-0E0000]yyyy-mm-dd")</f>
        <v/>
      </c>
      <c r="C58720" t="inlineStr">
        <is>
          <t>2060-09-13</t>
        </is>
      </c>
    </row>
    <row r="58721">
      <c r="A58721" s="1" t="n">
        <v>58720</v>
      </c>
      <c r="B58721">
        <f>TEXT(58720, "[$-0E0000]yyyy-mm-dd")</f>
        <v/>
      </c>
      <c r="C58721" t="inlineStr">
        <is>
          <t>2060-09-14</t>
        </is>
      </c>
    </row>
    <row r="58722">
      <c r="A58722" s="1" t="n">
        <v>58721</v>
      </c>
      <c r="B58722">
        <f>TEXT(58721, "[$-0E0000]yyyy-mm-dd")</f>
        <v/>
      </c>
      <c r="C58722" t="inlineStr">
        <is>
          <t>2060-09-15</t>
        </is>
      </c>
    </row>
    <row r="58723">
      <c r="A58723" s="1" t="n">
        <v>58722</v>
      </c>
      <c r="B58723">
        <f>TEXT(58722, "[$-0E0000]yyyy-mm-dd")</f>
        <v/>
      </c>
      <c r="C58723" t="inlineStr">
        <is>
          <t>2060-09-16</t>
        </is>
      </c>
    </row>
    <row r="58724">
      <c r="A58724" s="1" t="n">
        <v>58723</v>
      </c>
      <c r="B58724">
        <f>TEXT(58723, "[$-0E0000]yyyy-mm-dd")</f>
        <v/>
      </c>
      <c r="C58724" t="inlineStr">
        <is>
          <t>2060-09-17</t>
        </is>
      </c>
    </row>
    <row r="58725">
      <c r="A58725" s="1" t="n">
        <v>58724</v>
      </c>
      <c r="B58725">
        <f>TEXT(58724, "[$-0E0000]yyyy-mm-dd")</f>
        <v/>
      </c>
      <c r="C58725" t="inlineStr">
        <is>
          <t>2060-09-18</t>
        </is>
      </c>
    </row>
    <row r="58726">
      <c r="A58726" s="1" t="n">
        <v>58725</v>
      </c>
      <c r="B58726">
        <f>TEXT(58725, "[$-0E0000]yyyy-mm-dd")</f>
        <v/>
      </c>
      <c r="C58726" t="inlineStr">
        <is>
          <t>2060-09-19</t>
        </is>
      </c>
    </row>
    <row r="58727">
      <c r="A58727" s="1" t="n">
        <v>58726</v>
      </c>
      <c r="B58727">
        <f>TEXT(58726, "[$-0E0000]yyyy-mm-dd")</f>
        <v/>
      </c>
      <c r="C58727" t="inlineStr">
        <is>
          <t>2060-09-20</t>
        </is>
      </c>
    </row>
    <row r="58728">
      <c r="A58728" s="1" t="n">
        <v>58727</v>
      </c>
      <c r="B58728">
        <f>TEXT(58727, "[$-0E0000]yyyy-mm-dd")</f>
        <v/>
      </c>
      <c r="C58728" t="inlineStr">
        <is>
          <t>2060-09-21</t>
        </is>
      </c>
    </row>
    <row r="58729">
      <c r="A58729" s="1" t="n">
        <v>58728</v>
      </c>
      <c r="B58729">
        <f>TEXT(58728, "[$-0E0000]yyyy-mm-dd")</f>
        <v/>
      </c>
      <c r="C58729" t="inlineStr">
        <is>
          <t>2060-09-22</t>
        </is>
      </c>
    </row>
    <row r="58730">
      <c r="A58730" s="1" t="n">
        <v>58729</v>
      </c>
      <c r="B58730">
        <f>TEXT(58729, "[$-0E0000]yyyy-mm-dd")</f>
        <v/>
      </c>
      <c r="C58730" t="inlineStr">
        <is>
          <t>2060-09-23</t>
        </is>
      </c>
    </row>
    <row r="58731">
      <c r="A58731" s="1" t="n">
        <v>58730</v>
      </c>
      <c r="B58731">
        <f>TEXT(58730, "[$-0E0000]yyyy-mm-dd")</f>
        <v/>
      </c>
      <c r="C58731" t="inlineStr">
        <is>
          <t>2060-09-24</t>
        </is>
      </c>
    </row>
    <row r="58732">
      <c r="A58732" s="1" t="n">
        <v>58731</v>
      </c>
      <c r="B58732">
        <f>TEXT(58731, "[$-0E0000]yyyy-mm-dd")</f>
        <v/>
      </c>
      <c r="C58732" t="inlineStr">
        <is>
          <t>2060-09-25</t>
        </is>
      </c>
    </row>
    <row r="58733">
      <c r="A58733" s="1" t="n">
        <v>58732</v>
      </c>
      <c r="B58733">
        <f>TEXT(58732, "[$-0E0000]yyyy-mm-dd")</f>
        <v/>
      </c>
      <c r="C58733" t="inlineStr">
        <is>
          <t>2060-09-26</t>
        </is>
      </c>
    </row>
    <row r="58734">
      <c r="A58734" s="1" t="n">
        <v>58733</v>
      </c>
      <c r="B58734">
        <f>TEXT(58733, "[$-0E0000]yyyy-mm-dd")</f>
        <v/>
      </c>
      <c r="C58734" t="inlineStr">
        <is>
          <t>2060-09-27</t>
        </is>
      </c>
    </row>
    <row r="58735">
      <c r="A58735" s="1" t="n">
        <v>58734</v>
      </c>
      <c r="B58735">
        <f>TEXT(58734, "[$-0E0000]yyyy-mm-dd")</f>
        <v/>
      </c>
      <c r="C58735" t="inlineStr">
        <is>
          <t>2060-09-28</t>
        </is>
      </c>
    </row>
    <row r="58736">
      <c r="A58736" s="1" t="n">
        <v>58735</v>
      </c>
      <c r="B58736">
        <f>TEXT(58735, "[$-0E0000]yyyy-mm-dd")</f>
        <v/>
      </c>
      <c r="C58736" t="inlineStr">
        <is>
          <t>2060-09-29</t>
        </is>
      </c>
    </row>
    <row r="58737">
      <c r="A58737" s="1" t="n">
        <v>58736</v>
      </c>
      <c r="B58737">
        <f>TEXT(58736, "[$-0E0000]yyyy-mm-dd")</f>
        <v/>
      </c>
      <c r="C58737" t="inlineStr">
        <is>
          <t>2060-09-30</t>
        </is>
      </c>
    </row>
    <row r="58738">
      <c r="A58738" s="1" t="n">
        <v>58737</v>
      </c>
      <c r="B58738">
        <f>TEXT(58737, "[$-0E0000]yyyy-mm-dd")</f>
        <v/>
      </c>
      <c r="C58738" t="inlineStr">
        <is>
          <t>2060-10-01</t>
        </is>
      </c>
    </row>
    <row r="58739">
      <c r="A58739" s="1" t="n">
        <v>58738</v>
      </c>
      <c r="B58739">
        <f>TEXT(58738, "[$-0E0000]yyyy-mm-dd")</f>
        <v/>
      </c>
      <c r="C58739" t="inlineStr">
        <is>
          <t>2060-10-02</t>
        </is>
      </c>
    </row>
    <row r="58740">
      <c r="A58740" s="1" t="n">
        <v>58739</v>
      </c>
      <c r="B58740">
        <f>TEXT(58739, "[$-0E0000]yyyy-mm-dd")</f>
        <v/>
      </c>
      <c r="C58740" t="inlineStr">
        <is>
          <t>2060-10-03</t>
        </is>
      </c>
    </row>
    <row r="58741">
      <c r="A58741" s="1" t="n">
        <v>58740</v>
      </c>
      <c r="B58741">
        <f>TEXT(58740, "[$-0E0000]yyyy-mm-dd")</f>
        <v/>
      </c>
      <c r="C58741" t="inlineStr">
        <is>
          <t>2060-10-04</t>
        </is>
      </c>
    </row>
    <row r="58742">
      <c r="A58742" s="1" t="n">
        <v>58741</v>
      </c>
      <c r="B58742">
        <f>TEXT(58741, "[$-0E0000]yyyy-mm-dd")</f>
        <v/>
      </c>
      <c r="C58742" t="inlineStr">
        <is>
          <t>2060-10-05</t>
        </is>
      </c>
    </row>
    <row r="58743">
      <c r="A58743" s="1" t="n">
        <v>58742</v>
      </c>
      <c r="B58743">
        <f>TEXT(58742, "[$-0E0000]yyyy-mm-dd")</f>
        <v/>
      </c>
      <c r="C58743" t="inlineStr">
        <is>
          <t>2060-10-06</t>
        </is>
      </c>
    </row>
    <row r="58744">
      <c r="A58744" s="1" t="n">
        <v>58743</v>
      </c>
      <c r="B58744">
        <f>TEXT(58743, "[$-0E0000]yyyy-mm-dd")</f>
        <v/>
      </c>
      <c r="C58744" t="inlineStr">
        <is>
          <t>2060-10-07</t>
        </is>
      </c>
    </row>
    <row r="58745">
      <c r="A58745" s="1" t="n">
        <v>58744</v>
      </c>
      <c r="B58745">
        <f>TEXT(58744, "[$-0E0000]yyyy-mm-dd")</f>
        <v/>
      </c>
      <c r="C58745" t="inlineStr">
        <is>
          <t>2060-10-08</t>
        </is>
      </c>
    </row>
    <row r="58746">
      <c r="A58746" s="1" t="n">
        <v>58745</v>
      </c>
      <c r="B58746">
        <f>TEXT(58745, "[$-0E0000]yyyy-mm-dd")</f>
        <v/>
      </c>
      <c r="C58746" t="inlineStr">
        <is>
          <t>2060-10-09</t>
        </is>
      </c>
    </row>
    <row r="58747">
      <c r="A58747" s="1" t="n">
        <v>58746</v>
      </c>
      <c r="B58747">
        <f>TEXT(58746, "[$-0E0000]yyyy-mm-dd")</f>
        <v/>
      </c>
      <c r="C58747" t="inlineStr">
        <is>
          <t>2060-10-10</t>
        </is>
      </c>
    </row>
    <row r="58748">
      <c r="A58748" s="1" t="n">
        <v>58747</v>
      </c>
      <c r="B58748">
        <f>TEXT(58747, "[$-0E0000]yyyy-mm-dd")</f>
        <v/>
      </c>
      <c r="C58748" t="inlineStr">
        <is>
          <t>2060-10-11</t>
        </is>
      </c>
    </row>
    <row r="58749">
      <c r="A58749" s="1" t="n">
        <v>58748</v>
      </c>
      <c r="B58749">
        <f>TEXT(58748, "[$-0E0000]yyyy-mm-dd")</f>
        <v/>
      </c>
      <c r="C58749" t="inlineStr">
        <is>
          <t>2060-10-12</t>
        </is>
      </c>
    </row>
    <row r="58750">
      <c r="A58750" s="1" t="n">
        <v>58749</v>
      </c>
      <c r="B58750">
        <f>TEXT(58749, "[$-0E0000]yyyy-mm-dd")</f>
        <v/>
      </c>
      <c r="C58750" t="inlineStr">
        <is>
          <t>2060-10-13</t>
        </is>
      </c>
    </row>
    <row r="58751">
      <c r="A58751" s="1" t="n">
        <v>58750</v>
      </c>
      <c r="B58751">
        <f>TEXT(58750, "[$-0E0000]yyyy-mm-dd")</f>
        <v/>
      </c>
      <c r="C58751" t="inlineStr">
        <is>
          <t>2060-10-14</t>
        </is>
      </c>
    </row>
    <row r="58752">
      <c r="A58752" s="1" t="n">
        <v>58751</v>
      </c>
      <c r="B58752">
        <f>TEXT(58751, "[$-0E0000]yyyy-mm-dd")</f>
        <v/>
      </c>
      <c r="C58752" t="inlineStr">
        <is>
          <t>2060-10-15</t>
        </is>
      </c>
    </row>
    <row r="58753">
      <c r="A58753" s="1" t="n">
        <v>58752</v>
      </c>
      <c r="B58753">
        <f>TEXT(58752, "[$-0E0000]yyyy-mm-dd")</f>
        <v/>
      </c>
      <c r="C58753" t="inlineStr">
        <is>
          <t>2060-10-16</t>
        </is>
      </c>
    </row>
    <row r="58754">
      <c r="A58754" s="1" t="n">
        <v>58753</v>
      </c>
      <c r="B58754">
        <f>TEXT(58753, "[$-0E0000]yyyy-mm-dd")</f>
        <v/>
      </c>
      <c r="C58754" t="inlineStr">
        <is>
          <t>2060-10-17</t>
        </is>
      </c>
    </row>
    <row r="58755">
      <c r="A58755" s="1" t="n">
        <v>58754</v>
      </c>
      <c r="B58755">
        <f>TEXT(58754, "[$-0E0000]yyyy-mm-dd")</f>
        <v/>
      </c>
      <c r="C58755" t="inlineStr">
        <is>
          <t>2060-10-18</t>
        </is>
      </c>
    </row>
    <row r="58756">
      <c r="A58756" s="1" t="n">
        <v>58755</v>
      </c>
      <c r="B58756">
        <f>TEXT(58755, "[$-0E0000]yyyy-mm-dd")</f>
        <v/>
      </c>
      <c r="C58756" t="inlineStr">
        <is>
          <t>2060-10-19</t>
        </is>
      </c>
    </row>
    <row r="58757">
      <c r="A58757" s="1" t="n">
        <v>58756</v>
      </c>
      <c r="B58757">
        <f>TEXT(58756, "[$-0E0000]yyyy-mm-dd")</f>
        <v/>
      </c>
      <c r="C58757" t="inlineStr">
        <is>
          <t>2060-10-20</t>
        </is>
      </c>
    </row>
    <row r="58758">
      <c r="A58758" s="1" t="n">
        <v>58757</v>
      </c>
      <c r="B58758">
        <f>TEXT(58757, "[$-0E0000]yyyy-mm-dd")</f>
        <v/>
      </c>
      <c r="C58758" t="inlineStr">
        <is>
          <t>2060-10-21</t>
        </is>
      </c>
    </row>
    <row r="58759">
      <c r="A58759" s="1" t="n">
        <v>58758</v>
      </c>
      <c r="B58759">
        <f>TEXT(58758, "[$-0E0000]yyyy-mm-dd")</f>
        <v/>
      </c>
      <c r="C58759" t="inlineStr">
        <is>
          <t>2060-10-22</t>
        </is>
      </c>
    </row>
    <row r="58760">
      <c r="A58760" s="1" t="n">
        <v>58759</v>
      </c>
      <c r="B58760">
        <f>TEXT(58759, "[$-0E0000]yyyy-mm-dd")</f>
        <v/>
      </c>
      <c r="C58760" t="inlineStr">
        <is>
          <t>2060-10-23</t>
        </is>
      </c>
    </row>
    <row r="58761">
      <c r="A58761" s="1" t="n">
        <v>58760</v>
      </c>
      <c r="B58761">
        <f>TEXT(58760, "[$-0E0000]yyyy-mm-dd")</f>
        <v/>
      </c>
      <c r="C58761" t="inlineStr">
        <is>
          <t>2060-10-24</t>
        </is>
      </c>
    </row>
    <row r="58762">
      <c r="A58762" s="1" t="n">
        <v>58761</v>
      </c>
      <c r="B58762">
        <f>TEXT(58761, "[$-0E0000]yyyy-mm-dd")</f>
        <v/>
      </c>
      <c r="C58762" t="inlineStr">
        <is>
          <t>2060-10-25</t>
        </is>
      </c>
    </row>
    <row r="58763">
      <c r="A58763" s="1" t="n">
        <v>58762</v>
      </c>
      <c r="B58763">
        <f>TEXT(58762, "[$-0E0000]yyyy-mm-dd")</f>
        <v/>
      </c>
      <c r="C58763" t="inlineStr">
        <is>
          <t>2060-10-26</t>
        </is>
      </c>
    </row>
    <row r="58764">
      <c r="A58764" s="1" t="n">
        <v>58763</v>
      </c>
      <c r="B58764">
        <f>TEXT(58763, "[$-0E0000]yyyy-mm-dd")</f>
        <v/>
      </c>
      <c r="C58764" t="inlineStr">
        <is>
          <t>2060-10-27</t>
        </is>
      </c>
    </row>
    <row r="58765">
      <c r="A58765" s="1" t="n">
        <v>58764</v>
      </c>
      <c r="B58765">
        <f>TEXT(58764, "[$-0E0000]yyyy-mm-dd")</f>
        <v/>
      </c>
      <c r="C58765" t="inlineStr">
        <is>
          <t>2060-10-28</t>
        </is>
      </c>
    </row>
    <row r="58766">
      <c r="A58766" s="1" t="n">
        <v>58765</v>
      </c>
      <c r="B58766">
        <f>TEXT(58765, "[$-0E0000]yyyy-mm-dd")</f>
        <v/>
      </c>
      <c r="C58766" t="inlineStr">
        <is>
          <t>2060-10-29</t>
        </is>
      </c>
    </row>
    <row r="58767">
      <c r="A58767" s="1" t="n">
        <v>58766</v>
      </c>
      <c r="B58767">
        <f>TEXT(58766, "[$-0E0000]yyyy-mm-dd")</f>
        <v/>
      </c>
      <c r="C58767" t="inlineStr">
        <is>
          <t>2060-10-30</t>
        </is>
      </c>
    </row>
    <row r="58768">
      <c r="A58768" s="1" t="n">
        <v>58767</v>
      </c>
      <c r="B58768">
        <f>TEXT(58767, "[$-0E0000]yyyy-mm-dd")</f>
        <v/>
      </c>
      <c r="C58768" t="inlineStr">
        <is>
          <t>2060-11-01</t>
        </is>
      </c>
    </row>
    <row r="58769">
      <c r="A58769" s="1" t="n">
        <v>58768</v>
      </c>
      <c r="B58769">
        <f>TEXT(58768, "[$-0E0000]yyyy-mm-dd")</f>
        <v/>
      </c>
      <c r="C58769" t="inlineStr">
        <is>
          <t>2060-11-02</t>
        </is>
      </c>
    </row>
    <row r="58770">
      <c r="A58770" s="1" t="n">
        <v>58769</v>
      </c>
      <c r="B58770">
        <f>TEXT(58769, "[$-0E0000]yyyy-mm-dd")</f>
        <v/>
      </c>
      <c r="C58770" t="inlineStr">
        <is>
          <t>2060-11-03</t>
        </is>
      </c>
    </row>
    <row r="58771">
      <c r="A58771" s="1" t="n">
        <v>58770</v>
      </c>
      <c r="B58771">
        <f>TEXT(58770, "[$-0E0000]yyyy-mm-dd")</f>
        <v/>
      </c>
      <c r="C58771" t="inlineStr">
        <is>
          <t>2060-11-04</t>
        </is>
      </c>
    </row>
    <row r="58772">
      <c r="A58772" s="1" t="n">
        <v>58771</v>
      </c>
      <c r="B58772">
        <f>TEXT(58771, "[$-0E0000]yyyy-mm-dd")</f>
        <v/>
      </c>
      <c r="C58772" t="inlineStr">
        <is>
          <t>2060-11-05</t>
        </is>
      </c>
    </row>
    <row r="58773">
      <c r="A58773" s="1" t="n">
        <v>58772</v>
      </c>
      <c r="B58773">
        <f>TEXT(58772, "[$-0E0000]yyyy-mm-dd")</f>
        <v/>
      </c>
      <c r="C58773" t="inlineStr">
        <is>
          <t>2060-11-06</t>
        </is>
      </c>
    </row>
    <row r="58774">
      <c r="A58774" s="1" t="n">
        <v>58773</v>
      </c>
      <c r="B58774">
        <f>TEXT(58773, "[$-0E0000]yyyy-mm-dd")</f>
        <v/>
      </c>
      <c r="C58774" t="inlineStr">
        <is>
          <t>2060-11-07</t>
        </is>
      </c>
    </row>
    <row r="58775">
      <c r="A58775" s="1" t="n">
        <v>58774</v>
      </c>
      <c r="B58775">
        <f>TEXT(58774, "[$-0E0000]yyyy-mm-dd")</f>
        <v/>
      </c>
      <c r="C58775" t="inlineStr">
        <is>
          <t>2060-11-08</t>
        </is>
      </c>
    </row>
    <row r="58776">
      <c r="A58776" s="1" t="n">
        <v>58775</v>
      </c>
      <c r="B58776">
        <f>TEXT(58775, "[$-0E0000]yyyy-mm-dd")</f>
        <v/>
      </c>
      <c r="C58776" t="inlineStr">
        <is>
          <t>2060-11-09</t>
        </is>
      </c>
    </row>
    <row r="58777">
      <c r="A58777" s="1" t="n">
        <v>58776</v>
      </c>
      <c r="B58777">
        <f>TEXT(58776, "[$-0E0000]yyyy-mm-dd")</f>
        <v/>
      </c>
      <c r="C58777" t="inlineStr">
        <is>
          <t>2060-11-10</t>
        </is>
      </c>
    </row>
    <row r="58778">
      <c r="A58778" s="1" t="n">
        <v>58777</v>
      </c>
      <c r="B58778">
        <f>TEXT(58777, "[$-0E0000]yyyy-mm-dd")</f>
        <v/>
      </c>
      <c r="C58778" t="inlineStr">
        <is>
          <t>2060-11-11</t>
        </is>
      </c>
    </row>
    <row r="58779">
      <c r="A58779" s="1" t="n">
        <v>58778</v>
      </c>
      <c r="B58779">
        <f>TEXT(58778, "[$-0E0000]yyyy-mm-dd")</f>
        <v/>
      </c>
      <c r="C58779" t="inlineStr">
        <is>
          <t>2060-11-12</t>
        </is>
      </c>
    </row>
    <row r="58780">
      <c r="A58780" s="1" t="n">
        <v>58779</v>
      </c>
      <c r="B58780">
        <f>TEXT(58779, "[$-0E0000]yyyy-mm-dd")</f>
        <v/>
      </c>
      <c r="C58780" t="inlineStr">
        <is>
          <t>2060-11-13</t>
        </is>
      </c>
    </row>
    <row r="58781">
      <c r="A58781" s="1" t="n">
        <v>58780</v>
      </c>
      <c r="B58781">
        <f>TEXT(58780, "[$-0E0000]yyyy-mm-dd")</f>
        <v/>
      </c>
      <c r="C58781" t="inlineStr">
        <is>
          <t>2060-11-14</t>
        </is>
      </c>
    </row>
    <row r="58782">
      <c r="A58782" s="1" t="n">
        <v>58781</v>
      </c>
      <c r="B58782">
        <f>TEXT(58781, "[$-0E0000]yyyy-mm-dd")</f>
        <v/>
      </c>
      <c r="C58782" t="inlineStr">
        <is>
          <t>2060-11-15</t>
        </is>
      </c>
    </row>
    <row r="58783">
      <c r="A58783" s="1" t="n">
        <v>58782</v>
      </c>
      <c r="B58783">
        <f>TEXT(58782, "[$-0E0000]yyyy-mm-dd")</f>
        <v/>
      </c>
      <c r="C58783" t="inlineStr">
        <is>
          <t>2060-11-16</t>
        </is>
      </c>
    </row>
    <row r="58784">
      <c r="A58784" s="1" t="n">
        <v>58783</v>
      </c>
      <c r="B58784">
        <f>TEXT(58783, "[$-0E0000]yyyy-mm-dd")</f>
        <v/>
      </c>
      <c r="C58784" t="inlineStr">
        <is>
          <t>2060-11-17</t>
        </is>
      </c>
    </row>
    <row r="58785">
      <c r="A58785" s="1" t="n">
        <v>58784</v>
      </c>
      <c r="B58785">
        <f>TEXT(58784, "[$-0E0000]yyyy-mm-dd")</f>
        <v/>
      </c>
      <c r="C58785" t="inlineStr">
        <is>
          <t>2060-11-18</t>
        </is>
      </c>
    </row>
    <row r="58786">
      <c r="A58786" s="1" t="n">
        <v>58785</v>
      </c>
      <c r="B58786">
        <f>TEXT(58785, "[$-0E0000]yyyy-mm-dd")</f>
        <v/>
      </c>
      <c r="C58786" t="inlineStr">
        <is>
          <t>2060-11-19</t>
        </is>
      </c>
    </row>
    <row r="58787">
      <c r="A58787" s="1" t="n">
        <v>58786</v>
      </c>
      <c r="B58787">
        <f>TEXT(58786, "[$-0E0000]yyyy-mm-dd")</f>
        <v/>
      </c>
      <c r="C58787" t="inlineStr">
        <is>
          <t>2060-11-20</t>
        </is>
      </c>
    </row>
    <row r="58788">
      <c r="A58788" s="1" t="n">
        <v>58787</v>
      </c>
      <c r="B58788">
        <f>TEXT(58787, "[$-0E0000]yyyy-mm-dd")</f>
        <v/>
      </c>
      <c r="C58788" t="inlineStr">
        <is>
          <t>2060-11-21</t>
        </is>
      </c>
    </row>
    <row r="58789">
      <c r="A58789" s="1" t="n">
        <v>58788</v>
      </c>
      <c r="B58789">
        <f>TEXT(58788, "[$-0E0000]yyyy-mm-dd")</f>
        <v/>
      </c>
      <c r="C58789" t="inlineStr">
        <is>
          <t>2060-11-22</t>
        </is>
      </c>
    </row>
    <row r="58790">
      <c r="A58790" s="1" t="n">
        <v>58789</v>
      </c>
      <c r="B58790">
        <f>TEXT(58789, "[$-0E0000]yyyy-mm-dd")</f>
        <v/>
      </c>
      <c r="C58790" t="inlineStr">
        <is>
          <t>2060-11-23</t>
        </is>
      </c>
    </row>
    <row r="58791">
      <c r="A58791" s="1" t="n">
        <v>58790</v>
      </c>
      <c r="B58791">
        <f>TEXT(58790, "[$-0E0000]yyyy-mm-dd")</f>
        <v/>
      </c>
      <c r="C58791" t="inlineStr">
        <is>
          <t>2060-11-24</t>
        </is>
      </c>
    </row>
    <row r="58792">
      <c r="A58792" s="1" t="n">
        <v>58791</v>
      </c>
      <c r="B58792">
        <f>TEXT(58791, "[$-0E0000]yyyy-mm-dd")</f>
        <v/>
      </c>
      <c r="C58792" t="inlineStr">
        <is>
          <t>2060-11-25</t>
        </is>
      </c>
    </row>
    <row r="58793">
      <c r="A58793" s="1" t="n">
        <v>58792</v>
      </c>
      <c r="B58793">
        <f>TEXT(58792, "[$-0E0000]yyyy-mm-dd")</f>
        <v/>
      </c>
      <c r="C58793" t="inlineStr">
        <is>
          <t>2060-11-26</t>
        </is>
      </c>
    </row>
    <row r="58794">
      <c r="A58794" s="1" t="n">
        <v>58793</v>
      </c>
      <c r="B58794">
        <f>TEXT(58793, "[$-0E0000]yyyy-mm-dd")</f>
        <v/>
      </c>
      <c r="C58794" t="inlineStr">
        <is>
          <t>2060-11-27</t>
        </is>
      </c>
    </row>
    <row r="58795">
      <c r="A58795" s="1" t="n">
        <v>58794</v>
      </c>
      <c r="B58795">
        <f>TEXT(58794, "[$-0E0000]yyyy-mm-dd")</f>
        <v/>
      </c>
      <c r="C58795" t="inlineStr">
        <is>
          <t>2060-11-28</t>
        </is>
      </c>
    </row>
    <row r="58796">
      <c r="A58796" s="1" t="n">
        <v>58795</v>
      </c>
      <c r="B58796">
        <f>TEXT(58795, "[$-0E0000]yyyy-mm-dd")</f>
        <v/>
      </c>
      <c r="C58796" t="inlineStr">
        <is>
          <t>2060-11-29</t>
        </is>
      </c>
    </row>
    <row r="58797">
      <c r="A58797" s="1" t="n">
        <v>58796</v>
      </c>
      <c r="B58797">
        <f>TEXT(58796, "[$-0E0000]yyyy-mm-dd")</f>
        <v/>
      </c>
      <c r="C58797" t="inlineStr">
        <is>
          <t>2060-11-30</t>
        </is>
      </c>
    </row>
    <row r="58798">
      <c r="A58798" s="1" t="n">
        <v>58797</v>
      </c>
      <c r="B58798">
        <f>TEXT(58797, "[$-0E0000]yyyy-mm-dd")</f>
        <v/>
      </c>
      <c r="C58798" t="inlineStr">
        <is>
          <t>2060-12-01</t>
        </is>
      </c>
    </row>
    <row r="58799">
      <c r="A58799" s="1" t="n">
        <v>58798</v>
      </c>
      <c r="B58799">
        <f>TEXT(58798, "[$-0E0000]yyyy-mm-dd")</f>
        <v/>
      </c>
      <c r="C58799" t="inlineStr">
        <is>
          <t>2060-12-02</t>
        </is>
      </c>
    </row>
    <row r="58800">
      <c r="A58800" s="1" t="n">
        <v>58799</v>
      </c>
      <c r="B58800">
        <f>TEXT(58799, "[$-0E0000]yyyy-mm-dd")</f>
        <v/>
      </c>
      <c r="C58800" t="inlineStr">
        <is>
          <t>2060-12-03</t>
        </is>
      </c>
    </row>
    <row r="58801">
      <c r="A58801" s="1" t="n">
        <v>58800</v>
      </c>
      <c r="B58801">
        <f>TEXT(58800, "[$-0E0000]yyyy-mm-dd")</f>
        <v/>
      </c>
      <c r="C58801" t="inlineStr">
        <is>
          <t>2060-12-04</t>
        </is>
      </c>
    </row>
    <row r="58802">
      <c r="A58802" s="1" t="n">
        <v>58801</v>
      </c>
      <c r="B58802">
        <f>TEXT(58801, "[$-0E0000]yyyy-mm-dd")</f>
        <v/>
      </c>
      <c r="C58802" t="inlineStr">
        <is>
          <t>2060-12-05</t>
        </is>
      </c>
    </row>
    <row r="58803">
      <c r="A58803" s="1" t="n">
        <v>58802</v>
      </c>
      <c r="B58803">
        <f>TEXT(58802, "[$-0E0000]yyyy-mm-dd")</f>
        <v/>
      </c>
      <c r="C58803" t="inlineStr">
        <is>
          <t>2060-12-06</t>
        </is>
      </c>
    </row>
    <row r="58804">
      <c r="A58804" s="1" t="n">
        <v>58803</v>
      </c>
      <c r="B58804">
        <f>TEXT(58803, "[$-0E0000]yyyy-mm-dd")</f>
        <v/>
      </c>
      <c r="C58804" t="inlineStr">
        <is>
          <t>2060-12-07</t>
        </is>
      </c>
    </row>
    <row r="58805">
      <c r="A58805" s="1" t="n">
        <v>58804</v>
      </c>
      <c r="B58805">
        <f>TEXT(58804, "[$-0E0000]yyyy-mm-dd")</f>
        <v/>
      </c>
      <c r="C58805" t="inlineStr">
        <is>
          <t>2060-12-08</t>
        </is>
      </c>
    </row>
    <row r="58806">
      <c r="A58806" s="1" t="n">
        <v>58805</v>
      </c>
      <c r="B58806">
        <f>TEXT(58805, "[$-0E0000]yyyy-mm-dd")</f>
        <v/>
      </c>
      <c r="C58806" t="inlineStr">
        <is>
          <t>2060-12-09</t>
        </is>
      </c>
    </row>
    <row r="58807">
      <c r="A58807" s="1" t="n">
        <v>58806</v>
      </c>
      <c r="B58807">
        <f>TEXT(58806, "[$-0E0000]yyyy-mm-dd")</f>
        <v/>
      </c>
      <c r="C58807" t="inlineStr">
        <is>
          <t>2060-12-10</t>
        </is>
      </c>
    </row>
    <row r="58808">
      <c r="A58808" s="1" t="n">
        <v>58807</v>
      </c>
      <c r="B58808">
        <f>TEXT(58807, "[$-0E0000]yyyy-mm-dd")</f>
        <v/>
      </c>
      <c r="C58808" t="inlineStr">
        <is>
          <t>2060-12-11</t>
        </is>
      </c>
    </row>
    <row r="58809">
      <c r="A58809" s="1" t="n">
        <v>58808</v>
      </c>
      <c r="B58809">
        <f>TEXT(58808, "[$-0E0000]yyyy-mm-dd")</f>
        <v/>
      </c>
      <c r="C58809" t="inlineStr">
        <is>
          <t>2060-12-12</t>
        </is>
      </c>
    </row>
    <row r="58810">
      <c r="A58810" s="1" t="n">
        <v>58809</v>
      </c>
      <c r="B58810">
        <f>TEXT(58809, "[$-0E0000]yyyy-mm-dd")</f>
        <v/>
      </c>
      <c r="C58810" t="inlineStr">
        <is>
          <t>2060-12-13</t>
        </is>
      </c>
    </row>
    <row r="58811">
      <c r="A58811" s="1" t="n">
        <v>58810</v>
      </c>
      <c r="B58811">
        <f>TEXT(58810, "[$-0E0000]yyyy-mm-dd")</f>
        <v/>
      </c>
      <c r="C58811" t="inlineStr">
        <is>
          <t>2060-12-14</t>
        </is>
      </c>
    </row>
    <row r="58812">
      <c r="A58812" s="1" t="n">
        <v>58811</v>
      </c>
      <c r="B58812">
        <f>TEXT(58811, "[$-0E0000]yyyy-mm-dd")</f>
        <v/>
      </c>
      <c r="C58812" t="inlineStr">
        <is>
          <t>2060-12-15</t>
        </is>
      </c>
    </row>
    <row r="58813">
      <c r="A58813" s="1" t="n">
        <v>58812</v>
      </c>
      <c r="B58813">
        <f>TEXT(58812, "[$-0E0000]yyyy-mm-dd")</f>
        <v/>
      </c>
      <c r="C58813" t="inlineStr">
        <is>
          <t>2060-12-16</t>
        </is>
      </c>
    </row>
    <row r="58814">
      <c r="A58814" s="1" t="n">
        <v>58813</v>
      </c>
      <c r="B58814">
        <f>TEXT(58813, "[$-0E0000]yyyy-mm-dd")</f>
        <v/>
      </c>
      <c r="C58814" t="inlineStr">
        <is>
          <t>2060-12-17</t>
        </is>
      </c>
    </row>
    <row r="58815">
      <c r="A58815" s="1" t="n">
        <v>58814</v>
      </c>
      <c r="B58815">
        <f>TEXT(58814, "[$-0E0000]yyyy-mm-dd")</f>
        <v/>
      </c>
      <c r="C58815" t="inlineStr">
        <is>
          <t>2060-12-18</t>
        </is>
      </c>
    </row>
    <row r="58816">
      <c r="A58816" s="1" t="n">
        <v>58815</v>
      </c>
      <c r="B58816">
        <f>TEXT(58815, "[$-0E0000]yyyy-mm-dd")</f>
        <v/>
      </c>
      <c r="C58816" t="inlineStr">
        <is>
          <t>2060-12-19</t>
        </is>
      </c>
    </row>
    <row r="58817">
      <c r="A58817" s="1" t="n">
        <v>58816</v>
      </c>
      <c r="B58817">
        <f>TEXT(58816, "[$-0E0000]yyyy-mm-dd")</f>
        <v/>
      </c>
      <c r="C58817" t="inlineStr">
        <is>
          <t>2060-12-20</t>
        </is>
      </c>
    </row>
    <row r="58818">
      <c r="A58818" s="1" t="n">
        <v>58817</v>
      </c>
      <c r="B58818">
        <f>TEXT(58817, "[$-0E0000]yyyy-mm-dd")</f>
        <v/>
      </c>
      <c r="C58818" t="inlineStr">
        <is>
          <t>2060-12-21</t>
        </is>
      </c>
    </row>
    <row r="58819">
      <c r="A58819" s="1" t="n">
        <v>58818</v>
      </c>
      <c r="B58819">
        <f>TEXT(58818, "[$-0E0000]yyyy-mm-dd")</f>
        <v/>
      </c>
      <c r="C58819" t="inlineStr">
        <is>
          <t>2060-12-22</t>
        </is>
      </c>
    </row>
    <row r="58820">
      <c r="A58820" s="1" t="n">
        <v>58819</v>
      </c>
      <c r="B58820">
        <f>TEXT(58819, "[$-0E0000]yyyy-mm-dd")</f>
        <v/>
      </c>
      <c r="C58820" t="inlineStr">
        <is>
          <t>2060-12-23</t>
        </is>
      </c>
    </row>
    <row r="58821">
      <c r="A58821" s="1" t="n">
        <v>58820</v>
      </c>
      <c r="B58821">
        <f>TEXT(58820, "[$-0E0000]yyyy-mm-dd")</f>
        <v/>
      </c>
      <c r="C58821" t="inlineStr">
        <is>
          <t>2060-12-24</t>
        </is>
      </c>
    </row>
    <row r="58822">
      <c r="A58822" s="1" t="n">
        <v>58821</v>
      </c>
      <c r="B58822">
        <f>TEXT(58821, "[$-0E0000]yyyy-mm-dd")</f>
        <v/>
      </c>
      <c r="C58822" t="inlineStr">
        <is>
          <t>2060-12-25</t>
        </is>
      </c>
    </row>
    <row r="58823">
      <c r="A58823" s="1" t="n">
        <v>58822</v>
      </c>
      <c r="B58823">
        <f>TEXT(58822, "[$-0E0000]yyyy-mm-dd")</f>
        <v/>
      </c>
      <c r="C58823" t="inlineStr">
        <is>
          <t>2060-12-26</t>
        </is>
      </c>
    </row>
    <row r="58824">
      <c r="A58824" s="1" t="n">
        <v>58823</v>
      </c>
      <c r="B58824">
        <f>TEXT(58823, "[$-0E0000]yyyy-mm-dd")</f>
        <v/>
      </c>
      <c r="C58824" t="inlineStr">
        <is>
          <t>2060-12-27</t>
        </is>
      </c>
    </row>
    <row r="58825">
      <c r="A58825" s="1" t="n">
        <v>58824</v>
      </c>
      <c r="B58825">
        <f>TEXT(58824, "[$-0E0000]yyyy-mm-dd")</f>
        <v/>
      </c>
      <c r="C58825" t="inlineStr">
        <is>
          <t>2060-12-28</t>
        </is>
      </c>
    </row>
    <row r="58826">
      <c r="A58826" s="1" t="n">
        <v>58825</v>
      </c>
      <c r="B58826">
        <f>TEXT(58825, "[$-0E0000]yyyy-mm-dd")</f>
        <v/>
      </c>
      <c r="C58826" t="inlineStr">
        <is>
          <t>2060-12-29</t>
        </is>
      </c>
    </row>
    <row r="58827">
      <c r="A58827" s="1" t="n">
        <v>58826</v>
      </c>
      <c r="B58827">
        <f>TEXT(58826, "[$-0E0000]yyyy-mm-dd")</f>
        <v/>
      </c>
      <c r="C58827" t="inlineStr">
        <is>
          <t>2061-01-01</t>
        </is>
      </c>
    </row>
    <row r="58828">
      <c r="A58828" s="1" t="n">
        <v>58827</v>
      </c>
      <c r="B58828">
        <f>TEXT(58827, "[$-0E0000]yyyy-mm-dd")</f>
        <v/>
      </c>
      <c r="C58828" t="inlineStr">
        <is>
          <t>2061-01-02</t>
        </is>
      </c>
    </row>
    <row r="58829">
      <c r="A58829" s="1" t="n">
        <v>58828</v>
      </c>
      <c r="B58829">
        <f>TEXT(58828, "[$-0E0000]yyyy-mm-dd")</f>
        <v/>
      </c>
      <c r="C58829" t="inlineStr">
        <is>
          <t>2061-01-03</t>
        </is>
      </c>
    </row>
    <row r="58830">
      <c r="A58830" s="1" t="n">
        <v>58829</v>
      </c>
      <c r="B58830">
        <f>TEXT(58829, "[$-0E0000]yyyy-mm-dd")</f>
        <v/>
      </c>
      <c r="C58830" t="inlineStr">
        <is>
          <t>2061-01-04</t>
        </is>
      </c>
    </row>
    <row r="58831">
      <c r="A58831" s="1" t="n">
        <v>58830</v>
      </c>
      <c r="B58831">
        <f>TEXT(58830, "[$-0E0000]yyyy-mm-dd")</f>
        <v/>
      </c>
      <c r="C58831" t="inlineStr">
        <is>
          <t>2061-01-05</t>
        </is>
      </c>
    </row>
    <row r="58832">
      <c r="A58832" s="1" t="n">
        <v>58831</v>
      </c>
      <c r="B58832">
        <f>TEXT(58831, "[$-0E0000]yyyy-mm-dd")</f>
        <v/>
      </c>
      <c r="C58832" t="inlineStr">
        <is>
          <t>2061-01-06</t>
        </is>
      </c>
    </row>
    <row r="58833">
      <c r="A58833" s="1" t="n">
        <v>58832</v>
      </c>
      <c r="B58833">
        <f>TEXT(58832, "[$-0E0000]yyyy-mm-dd")</f>
        <v/>
      </c>
      <c r="C58833" t="inlineStr">
        <is>
          <t>2061-01-07</t>
        </is>
      </c>
    </row>
    <row r="58834">
      <c r="A58834" s="1" t="n">
        <v>58833</v>
      </c>
      <c r="B58834">
        <f>TEXT(58833, "[$-0E0000]yyyy-mm-dd")</f>
        <v/>
      </c>
      <c r="C58834" t="inlineStr">
        <is>
          <t>2061-01-08</t>
        </is>
      </c>
    </row>
    <row r="58835">
      <c r="A58835" s="1" t="n">
        <v>58834</v>
      </c>
      <c r="B58835">
        <f>TEXT(58834, "[$-0E0000]yyyy-mm-dd")</f>
        <v/>
      </c>
      <c r="C58835" t="inlineStr">
        <is>
          <t>2061-01-09</t>
        </is>
      </c>
    </row>
    <row r="58836">
      <c r="A58836" s="1" t="n">
        <v>58835</v>
      </c>
      <c r="B58836">
        <f>TEXT(58835, "[$-0E0000]yyyy-mm-dd")</f>
        <v/>
      </c>
      <c r="C58836" t="inlineStr">
        <is>
          <t>2061-01-10</t>
        </is>
      </c>
    </row>
    <row r="58837">
      <c r="A58837" s="1" t="n">
        <v>58836</v>
      </c>
      <c r="B58837">
        <f>TEXT(58836, "[$-0E0000]yyyy-mm-dd")</f>
        <v/>
      </c>
      <c r="C58837" t="inlineStr">
        <is>
          <t>2061-01-11</t>
        </is>
      </c>
    </row>
    <row r="58838">
      <c r="A58838" s="1" t="n">
        <v>58837</v>
      </c>
      <c r="B58838">
        <f>TEXT(58837, "[$-0E0000]yyyy-mm-dd")</f>
        <v/>
      </c>
      <c r="C58838" t="inlineStr">
        <is>
          <t>2061-01-12</t>
        </is>
      </c>
    </row>
    <row r="58839">
      <c r="A58839" s="1" t="n">
        <v>58838</v>
      </c>
      <c r="B58839">
        <f>TEXT(58838, "[$-0E0000]yyyy-mm-dd")</f>
        <v/>
      </c>
      <c r="C58839" t="inlineStr">
        <is>
          <t>2061-01-13</t>
        </is>
      </c>
    </row>
    <row r="58840">
      <c r="A58840" s="1" t="n">
        <v>58839</v>
      </c>
      <c r="B58840">
        <f>TEXT(58839, "[$-0E0000]yyyy-mm-dd")</f>
        <v/>
      </c>
      <c r="C58840" t="inlineStr">
        <is>
          <t>2061-01-14</t>
        </is>
      </c>
    </row>
    <row r="58841">
      <c r="A58841" s="1" t="n">
        <v>58840</v>
      </c>
      <c r="B58841">
        <f>TEXT(58840, "[$-0E0000]yyyy-mm-dd")</f>
        <v/>
      </c>
      <c r="C58841" t="inlineStr">
        <is>
          <t>2061-01-15</t>
        </is>
      </c>
    </row>
    <row r="58842">
      <c r="A58842" s="1" t="n">
        <v>58841</v>
      </c>
      <c r="B58842">
        <f>TEXT(58841, "[$-0E0000]yyyy-mm-dd")</f>
        <v/>
      </c>
      <c r="C58842" t="inlineStr">
        <is>
          <t>2061-01-16</t>
        </is>
      </c>
    </row>
    <row r="58843">
      <c r="A58843" s="1" t="n">
        <v>58842</v>
      </c>
      <c r="B58843">
        <f>TEXT(58842, "[$-0E0000]yyyy-mm-dd")</f>
        <v/>
      </c>
      <c r="C58843" t="inlineStr">
        <is>
          <t>2061-01-17</t>
        </is>
      </c>
    </row>
    <row r="58844">
      <c r="A58844" s="1" t="n">
        <v>58843</v>
      </c>
      <c r="B58844">
        <f>TEXT(58843, "[$-0E0000]yyyy-mm-dd")</f>
        <v/>
      </c>
      <c r="C58844" t="inlineStr">
        <is>
          <t>2061-01-18</t>
        </is>
      </c>
    </row>
    <row r="58845">
      <c r="A58845" s="1" t="n">
        <v>58844</v>
      </c>
      <c r="B58845">
        <f>TEXT(58844, "[$-0E0000]yyyy-mm-dd")</f>
        <v/>
      </c>
      <c r="C58845" t="inlineStr">
        <is>
          <t>2061-01-19</t>
        </is>
      </c>
    </row>
    <row r="58846">
      <c r="A58846" s="1" t="n">
        <v>58845</v>
      </c>
      <c r="B58846">
        <f>TEXT(58845, "[$-0E0000]yyyy-mm-dd")</f>
        <v/>
      </c>
      <c r="C58846" t="inlineStr">
        <is>
          <t>2061-01-20</t>
        </is>
      </c>
    </row>
    <row r="58847">
      <c r="A58847" s="1" t="n">
        <v>58846</v>
      </c>
      <c r="B58847">
        <f>TEXT(58846, "[$-0E0000]yyyy-mm-dd")</f>
        <v/>
      </c>
      <c r="C58847" t="inlineStr">
        <is>
          <t>2061-01-21</t>
        </is>
      </c>
    </row>
    <row r="58848">
      <c r="A58848" s="1" t="n">
        <v>58847</v>
      </c>
      <c r="B58848">
        <f>TEXT(58847, "[$-0E0000]yyyy-mm-dd")</f>
        <v/>
      </c>
      <c r="C58848" t="inlineStr">
        <is>
          <t>2061-01-22</t>
        </is>
      </c>
    </row>
    <row r="58849">
      <c r="A58849" s="1" t="n">
        <v>58848</v>
      </c>
      <c r="B58849">
        <f>TEXT(58848, "[$-0E0000]yyyy-mm-dd")</f>
        <v/>
      </c>
      <c r="C58849" t="inlineStr">
        <is>
          <t>2061-01-23</t>
        </is>
      </c>
    </row>
    <row r="58850">
      <c r="A58850" s="1" t="n">
        <v>58849</v>
      </c>
      <c r="B58850">
        <f>TEXT(58849, "[$-0E0000]yyyy-mm-dd")</f>
        <v/>
      </c>
      <c r="C58850" t="inlineStr">
        <is>
          <t>2061-01-24</t>
        </is>
      </c>
    </row>
    <row r="58851">
      <c r="A58851" s="1" t="n">
        <v>58850</v>
      </c>
      <c r="B58851">
        <f>TEXT(58850, "[$-0E0000]yyyy-mm-dd")</f>
        <v/>
      </c>
      <c r="C58851" t="inlineStr">
        <is>
          <t>2061-01-25</t>
        </is>
      </c>
    </row>
    <row r="58852">
      <c r="A58852" s="1" t="n">
        <v>58851</v>
      </c>
      <c r="B58852">
        <f>TEXT(58851, "[$-0E0000]yyyy-mm-dd")</f>
        <v/>
      </c>
      <c r="C58852" t="inlineStr">
        <is>
          <t>2061-01-26</t>
        </is>
      </c>
    </row>
    <row r="58853">
      <c r="A58853" s="1" t="n">
        <v>58852</v>
      </c>
      <c r="B58853">
        <f>TEXT(58852, "[$-0E0000]yyyy-mm-dd")</f>
        <v/>
      </c>
      <c r="C58853" t="inlineStr">
        <is>
          <t>2061-01-27</t>
        </is>
      </c>
    </row>
    <row r="58854">
      <c r="A58854" s="1" t="n">
        <v>58853</v>
      </c>
      <c r="B58854">
        <f>TEXT(58853, "[$-0E0000]yyyy-mm-dd")</f>
        <v/>
      </c>
      <c r="C58854" t="inlineStr">
        <is>
          <t>2061-01-28</t>
        </is>
      </c>
    </row>
    <row r="58855">
      <c r="A58855" s="1" t="n">
        <v>58854</v>
      </c>
      <c r="B58855">
        <f>TEXT(58854, "[$-0E0000]yyyy-mm-dd")</f>
        <v/>
      </c>
      <c r="C58855" t="inlineStr">
        <is>
          <t>2061-01-29</t>
        </is>
      </c>
    </row>
    <row r="58856">
      <c r="A58856" s="1" t="n">
        <v>58855</v>
      </c>
      <c r="B58856">
        <f>TEXT(58855, "[$-0E0000]yyyy-mm-dd")</f>
        <v/>
      </c>
      <c r="C58856" t="inlineStr">
        <is>
          <t>2061-01-30</t>
        </is>
      </c>
    </row>
    <row r="58857">
      <c r="A58857" s="1" t="n">
        <v>58856</v>
      </c>
      <c r="B58857">
        <f>TEXT(58856, "[$-0E0000]yyyy-mm-dd")</f>
        <v/>
      </c>
      <c r="C58857" t="inlineStr">
        <is>
          <t>2061-02-01</t>
        </is>
      </c>
    </row>
    <row r="58858">
      <c r="A58858" s="1" t="n">
        <v>58857</v>
      </c>
      <c r="B58858">
        <f>TEXT(58857, "[$-0E0000]yyyy-mm-dd")</f>
        <v/>
      </c>
      <c r="C58858" t="inlineStr">
        <is>
          <t>2061-02-02</t>
        </is>
      </c>
    </row>
    <row r="58859">
      <c r="A58859" s="1" t="n">
        <v>58858</v>
      </c>
      <c r="B58859">
        <f>TEXT(58858, "[$-0E0000]yyyy-mm-dd")</f>
        <v/>
      </c>
      <c r="C58859" t="inlineStr">
        <is>
          <t>2061-02-03</t>
        </is>
      </c>
    </row>
    <row r="58860">
      <c r="A58860" s="1" t="n">
        <v>58859</v>
      </c>
      <c r="B58860">
        <f>TEXT(58859, "[$-0E0000]yyyy-mm-dd")</f>
        <v/>
      </c>
      <c r="C58860" t="inlineStr">
        <is>
          <t>2061-02-04</t>
        </is>
      </c>
    </row>
    <row r="58861">
      <c r="A58861" s="1" t="n">
        <v>58860</v>
      </c>
      <c r="B58861">
        <f>TEXT(58860, "[$-0E0000]yyyy-mm-dd")</f>
        <v/>
      </c>
      <c r="C58861" t="inlineStr">
        <is>
          <t>2061-02-05</t>
        </is>
      </c>
    </row>
    <row r="58862">
      <c r="A58862" s="1" t="n">
        <v>58861</v>
      </c>
      <c r="B58862">
        <f>TEXT(58861, "[$-0E0000]yyyy-mm-dd")</f>
        <v/>
      </c>
      <c r="C58862" t="inlineStr">
        <is>
          <t>2061-02-06</t>
        </is>
      </c>
    </row>
    <row r="58863">
      <c r="A58863" s="1" t="n">
        <v>58862</v>
      </c>
      <c r="B58863">
        <f>TEXT(58862, "[$-0E0000]yyyy-mm-dd")</f>
        <v/>
      </c>
      <c r="C58863" t="inlineStr">
        <is>
          <t>2061-02-07</t>
        </is>
      </c>
    </row>
    <row r="58864">
      <c r="A58864" s="1" t="n">
        <v>58863</v>
      </c>
      <c r="B58864">
        <f>TEXT(58863, "[$-0E0000]yyyy-mm-dd")</f>
        <v/>
      </c>
      <c r="C58864" t="inlineStr">
        <is>
          <t>2061-02-08</t>
        </is>
      </c>
    </row>
    <row r="58865">
      <c r="A58865" s="1" t="n">
        <v>58864</v>
      </c>
      <c r="B58865">
        <f>TEXT(58864, "[$-0E0000]yyyy-mm-dd")</f>
        <v/>
      </c>
      <c r="C58865" t="inlineStr">
        <is>
          <t>2061-02-09</t>
        </is>
      </c>
    </row>
    <row r="58866">
      <c r="A58866" s="1" t="n">
        <v>58865</v>
      </c>
      <c r="B58866">
        <f>TEXT(58865, "[$-0E0000]yyyy-mm-dd")</f>
        <v/>
      </c>
      <c r="C58866" t="inlineStr">
        <is>
          <t>2061-02-10</t>
        </is>
      </c>
    </row>
    <row r="58867">
      <c r="A58867" s="1" t="n">
        <v>58866</v>
      </c>
      <c r="B58867">
        <f>TEXT(58866, "[$-0E0000]yyyy-mm-dd")</f>
        <v/>
      </c>
      <c r="C58867" t="inlineStr">
        <is>
          <t>2061-02-11</t>
        </is>
      </c>
    </row>
    <row r="58868">
      <c r="A58868" s="1" t="n">
        <v>58867</v>
      </c>
      <c r="B58868">
        <f>TEXT(58867, "[$-0E0000]yyyy-mm-dd")</f>
        <v/>
      </c>
      <c r="C58868" t="inlineStr">
        <is>
          <t>2061-02-12</t>
        </is>
      </c>
    </row>
    <row r="58869">
      <c r="A58869" s="1" t="n">
        <v>58868</v>
      </c>
      <c r="B58869">
        <f>TEXT(58868, "[$-0E0000]yyyy-mm-dd")</f>
        <v/>
      </c>
      <c r="C58869" t="inlineStr">
        <is>
          <t>2061-02-13</t>
        </is>
      </c>
    </row>
    <row r="58870">
      <c r="A58870" s="1" t="n">
        <v>58869</v>
      </c>
      <c r="B58870">
        <f>TEXT(58869, "[$-0E0000]yyyy-mm-dd")</f>
        <v/>
      </c>
      <c r="C58870" t="inlineStr">
        <is>
          <t>2061-02-14</t>
        </is>
      </c>
    </row>
    <row r="58871">
      <c r="A58871" s="1" t="n">
        <v>58870</v>
      </c>
      <c r="B58871">
        <f>TEXT(58870, "[$-0E0000]yyyy-mm-dd")</f>
        <v/>
      </c>
      <c r="C58871" t="inlineStr">
        <is>
          <t>2061-02-15</t>
        </is>
      </c>
    </row>
    <row r="58872">
      <c r="A58872" s="1" t="n">
        <v>58871</v>
      </c>
      <c r="B58872">
        <f>TEXT(58871, "[$-0E0000]yyyy-mm-dd")</f>
        <v/>
      </c>
      <c r="C58872" t="inlineStr">
        <is>
          <t>2061-02-16</t>
        </is>
      </c>
    </row>
    <row r="58873">
      <c r="A58873" s="1" t="n">
        <v>58872</v>
      </c>
      <c r="B58873">
        <f>TEXT(58872, "[$-0E0000]yyyy-mm-dd")</f>
        <v/>
      </c>
      <c r="C58873" t="inlineStr">
        <is>
          <t>2061-02-17</t>
        </is>
      </c>
    </row>
    <row r="58874">
      <c r="A58874" s="1" t="n">
        <v>58873</v>
      </c>
      <c r="B58874">
        <f>TEXT(58873, "[$-0E0000]yyyy-mm-dd")</f>
        <v/>
      </c>
      <c r="C58874" t="inlineStr">
        <is>
          <t>2061-02-18</t>
        </is>
      </c>
    </row>
    <row r="58875">
      <c r="A58875" s="1" t="n">
        <v>58874</v>
      </c>
      <c r="B58875">
        <f>TEXT(58874, "[$-0E0000]yyyy-mm-dd")</f>
        <v/>
      </c>
      <c r="C58875" t="inlineStr">
        <is>
          <t>2061-02-19</t>
        </is>
      </c>
    </row>
    <row r="58876">
      <c r="A58876" s="1" t="n">
        <v>58875</v>
      </c>
      <c r="B58876">
        <f>TEXT(58875, "[$-0E0000]yyyy-mm-dd")</f>
        <v/>
      </c>
      <c r="C58876" t="inlineStr">
        <is>
          <t>2061-02-20</t>
        </is>
      </c>
    </row>
    <row r="58877">
      <c r="A58877" s="1" t="n">
        <v>58876</v>
      </c>
      <c r="B58877">
        <f>TEXT(58876, "[$-0E0000]yyyy-mm-dd")</f>
        <v/>
      </c>
      <c r="C58877" t="inlineStr">
        <is>
          <t>2061-02-21</t>
        </is>
      </c>
    </row>
    <row r="58878">
      <c r="A58878" s="1" t="n">
        <v>58877</v>
      </c>
      <c r="B58878">
        <f>TEXT(58877, "[$-0E0000]yyyy-mm-dd")</f>
        <v/>
      </c>
      <c r="C58878" t="inlineStr">
        <is>
          <t>2061-02-22</t>
        </is>
      </c>
    </row>
    <row r="58879">
      <c r="A58879" s="1" t="n">
        <v>58878</v>
      </c>
      <c r="B58879">
        <f>TEXT(58878, "[$-0E0000]yyyy-mm-dd")</f>
        <v/>
      </c>
      <c r="C58879" t="inlineStr">
        <is>
          <t>2061-02-23</t>
        </is>
      </c>
    </row>
    <row r="58880">
      <c r="A58880" s="1" t="n">
        <v>58879</v>
      </c>
      <c r="B58880">
        <f>TEXT(58879, "[$-0E0000]yyyy-mm-dd")</f>
        <v/>
      </c>
      <c r="C58880" t="inlineStr">
        <is>
          <t>2061-02-24</t>
        </is>
      </c>
    </row>
    <row r="58881">
      <c r="A58881" s="1" t="n">
        <v>58880</v>
      </c>
      <c r="B58881">
        <f>TEXT(58880, "[$-0E0000]yyyy-mm-dd")</f>
        <v/>
      </c>
      <c r="C58881" t="inlineStr">
        <is>
          <t>2061-02-25</t>
        </is>
      </c>
    </row>
    <row r="58882">
      <c r="A58882" s="1" t="n">
        <v>58881</v>
      </c>
      <c r="B58882">
        <f>TEXT(58881, "[$-0E0000]yyyy-mm-dd")</f>
        <v/>
      </c>
      <c r="C58882" t="inlineStr">
        <is>
          <t>2061-02-26</t>
        </is>
      </c>
    </row>
    <row r="58883">
      <c r="A58883" s="1" t="n">
        <v>58882</v>
      </c>
      <c r="B58883">
        <f>TEXT(58882, "[$-0E0000]yyyy-mm-dd")</f>
        <v/>
      </c>
      <c r="C58883" t="inlineStr">
        <is>
          <t>2061-02-27</t>
        </is>
      </c>
    </row>
    <row r="58884">
      <c r="A58884" s="1" t="n">
        <v>58883</v>
      </c>
      <c r="B58884">
        <f>TEXT(58883, "[$-0E0000]yyyy-mm-dd")</f>
        <v/>
      </c>
      <c r="C58884" t="inlineStr">
        <is>
          <t>2061-02-28</t>
        </is>
      </c>
    </row>
    <row r="58885">
      <c r="A58885" s="1" t="n">
        <v>58884</v>
      </c>
      <c r="B58885">
        <f>TEXT(58884, "[$-0E0000]yyyy-mm-dd")</f>
        <v/>
      </c>
      <c r="C58885" t="inlineStr">
        <is>
          <t>2061-02-29</t>
        </is>
      </c>
    </row>
    <row r="58886">
      <c r="A58886" s="1" t="n">
        <v>58885</v>
      </c>
      <c r="B58886">
        <f>TEXT(58885, "[$-0E0000]yyyy-mm-dd")</f>
        <v/>
      </c>
      <c r="C58886" t="inlineStr">
        <is>
          <t>2061-02-30</t>
        </is>
      </c>
    </row>
    <row r="58887">
      <c r="A58887" s="1" t="n">
        <v>58886</v>
      </c>
      <c r="B58887">
        <f>TEXT(58886, "[$-0E0000]yyyy-mm-dd")</f>
        <v/>
      </c>
      <c r="C58887" t="inlineStr">
        <is>
          <t>2061-03-01</t>
        </is>
      </c>
    </row>
    <row r="58888">
      <c r="A58888" s="1" t="n">
        <v>58887</v>
      </c>
      <c r="B58888">
        <f>TEXT(58887, "[$-0E0000]yyyy-mm-dd")</f>
        <v/>
      </c>
      <c r="C58888" t="inlineStr">
        <is>
          <t>2061-03-02</t>
        </is>
      </c>
    </row>
    <row r="58889">
      <c r="A58889" s="1" t="n">
        <v>58888</v>
      </c>
      <c r="B58889">
        <f>TEXT(58888, "[$-0E0000]yyyy-mm-dd")</f>
        <v/>
      </c>
      <c r="C58889" t="inlineStr">
        <is>
          <t>2061-03-03</t>
        </is>
      </c>
    </row>
    <row r="58890">
      <c r="A58890" s="1" t="n">
        <v>58889</v>
      </c>
      <c r="B58890">
        <f>TEXT(58889, "[$-0E0000]yyyy-mm-dd")</f>
        <v/>
      </c>
      <c r="C58890" t="inlineStr">
        <is>
          <t>2061-03-04</t>
        </is>
      </c>
    </row>
    <row r="58891">
      <c r="A58891" s="1" t="n">
        <v>58890</v>
      </c>
      <c r="B58891">
        <f>TEXT(58890, "[$-0E0000]yyyy-mm-dd")</f>
        <v/>
      </c>
      <c r="C58891" t="inlineStr">
        <is>
          <t>2061-03-05</t>
        </is>
      </c>
    </row>
    <row r="58892">
      <c r="A58892" s="1" t="n">
        <v>58891</v>
      </c>
      <c r="B58892">
        <f>TEXT(58891, "[$-0E0000]yyyy-mm-dd")</f>
        <v/>
      </c>
      <c r="C58892" t="inlineStr">
        <is>
          <t>2061-03-06</t>
        </is>
      </c>
    </row>
    <row r="58893">
      <c r="A58893" s="1" t="n">
        <v>58892</v>
      </c>
      <c r="B58893">
        <f>TEXT(58892, "[$-0E0000]yyyy-mm-dd")</f>
        <v/>
      </c>
      <c r="C58893" t="inlineStr">
        <is>
          <t>2061-03-07</t>
        </is>
      </c>
    </row>
    <row r="58894">
      <c r="A58894" s="1" t="n">
        <v>58893</v>
      </c>
      <c r="B58894">
        <f>TEXT(58893, "[$-0E0000]yyyy-mm-dd")</f>
        <v/>
      </c>
      <c r="C58894" t="inlineStr">
        <is>
          <t>2061-03-08</t>
        </is>
      </c>
    </row>
    <row r="58895">
      <c r="A58895" s="1" t="n">
        <v>58894</v>
      </c>
      <c r="B58895">
        <f>TEXT(58894, "[$-0E0000]yyyy-mm-dd")</f>
        <v/>
      </c>
      <c r="C58895" t="inlineStr">
        <is>
          <t>2061-03-09</t>
        </is>
      </c>
    </row>
    <row r="58896">
      <c r="A58896" s="1" t="n">
        <v>58895</v>
      </c>
      <c r="B58896">
        <f>TEXT(58895, "[$-0E0000]yyyy-mm-dd")</f>
        <v/>
      </c>
      <c r="C58896" t="inlineStr">
        <is>
          <t>2061-03-10</t>
        </is>
      </c>
    </row>
    <row r="58897">
      <c r="A58897" s="1" t="n">
        <v>58896</v>
      </c>
      <c r="B58897">
        <f>TEXT(58896, "[$-0E0000]yyyy-mm-dd")</f>
        <v/>
      </c>
      <c r="C58897" t="inlineStr">
        <is>
          <t>2061-03-11</t>
        </is>
      </c>
    </row>
    <row r="58898">
      <c r="A58898" s="1" t="n">
        <v>58897</v>
      </c>
      <c r="B58898">
        <f>TEXT(58897, "[$-0E0000]yyyy-mm-dd")</f>
        <v/>
      </c>
      <c r="C58898" t="inlineStr">
        <is>
          <t>2061-03-12</t>
        </is>
      </c>
    </row>
    <row r="58899">
      <c r="A58899" s="1" t="n">
        <v>58898</v>
      </c>
      <c r="B58899">
        <f>TEXT(58898, "[$-0E0000]yyyy-mm-dd")</f>
        <v/>
      </c>
      <c r="C58899" t="inlineStr">
        <is>
          <t>2061-03-13</t>
        </is>
      </c>
    </row>
    <row r="58900">
      <c r="A58900" s="1" t="n">
        <v>58899</v>
      </c>
      <c r="B58900">
        <f>TEXT(58899, "[$-0E0000]yyyy-mm-dd")</f>
        <v/>
      </c>
      <c r="C58900" t="inlineStr">
        <is>
          <t>2061-03-14</t>
        </is>
      </c>
    </row>
    <row r="58901">
      <c r="A58901" s="1" t="n">
        <v>58900</v>
      </c>
      <c r="B58901">
        <f>TEXT(58900, "[$-0E0000]yyyy-mm-dd")</f>
        <v/>
      </c>
      <c r="C58901" t="inlineStr">
        <is>
          <t>2061-03-15</t>
        </is>
      </c>
    </row>
    <row r="58902">
      <c r="A58902" s="1" t="n">
        <v>58901</v>
      </c>
      <c r="B58902">
        <f>TEXT(58901, "[$-0E0000]yyyy-mm-dd")</f>
        <v/>
      </c>
      <c r="C58902" t="inlineStr">
        <is>
          <t>2061-03-16</t>
        </is>
      </c>
    </row>
    <row r="58903">
      <c r="A58903" s="1" t="n">
        <v>58902</v>
      </c>
      <c r="B58903">
        <f>TEXT(58902, "[$-0E0000]yyyy-mm-dd")</f>
        <v/>
      </c>
      <c r="C58903" t="inlineStr">
        <is>
          <t>2061-03-17</t>
        </is>
      </c>
    </row>
    <row r="58904">
      <c r="A58904" s="1" t="n">
        <v>58903</v>
      </c>
      <c r="B58904">
        <f>TEXT(58903, "[$-0E0000]yyyy-mm-dd")</f>
        <v/>
      </c>
      <c r="C58904" t="inlineStr">
        <is>
          <t>2061-03-18</t>
        </is>
      </c>
    </row>
    <row r="58905">
      <c r="A58905" s="1" t="n">
        <v>58904</v>
      </c>
      <c r="B58905">
        <f>TEXT(58904, "[$-0E0000]yyyy-mm-dd")</f>
        <v/>
      </c>
      <c r="C58905" t="inlineStr">
        <is>
          <t>2061-03-19</t>
        </is>
      </c>
    </row>
    <row r="58906">
      <c r="A58906" s="1" t="n">
        <v>58905</v>
      </c>
      <c r="B58906">
        <f>TEXT(58905, "[$-0E0000]yyyy-mm-dd")</f>
        <v/>
      </c>
      <c r="C58906" t="inlineStr">
        <is>
          <t>2061-03-20</t>
        </is>
      </c>
    </row>
    <row r="58907">
      <c r="A58907" s="1" t="n">
        <v>58906</v>
      </c>
      <c r="B58907">
        <f>TEXT(58906, "[$-0E0000]yyyy-mm-dd")</f>
        <v/>
      </c>
      <c r="C58907" t="inlineStr">
        <is>
          <t>2061-03-21</t>
        </is>
      </c>
    </row>
    <row r="58908">
      <c r="A58908" s="1" t="n">
        <v>58907</v>
      </c>
      <c r="B58908">
        <f>TEXT(58907, "[$-0E0000]yyyy-mm-dd")</f>
        <v/>
      </c>
      <c r="C58908" t="inlineStr">
        <is>
          <t>2061-03-22</t>
        </is>
      </c>
    </row>
    <row r="58909">
      <c r="A58909" s="1" t="n">
        <v>58908</v>
      </c>
      <c r="B58909">
        <f>TEXT(58908, "[$-0E0000]yyyy-mm-dd")</f>
        <v/>
      </c>
      <c r="C58909" t="inlineStr">
        <is>
          <t>2061-03-23</t>
        </is>
      </c>
    </row>
    <row r="58910">
      <c r="A58910" s="1" t="n">
        <v>58909</v>
      </c>
      <c r="B58910">
        <f>TEXT(58909, "[$-0E0000]yyyy-mm-dd")</f>
        <v/>
      </c>
      <c r="C58910" t="inlineStr">
        <is>
          <t>2061-03-24</t>
        </is>
      </c>
    </row>
    <row r="58911">
      <c r="A58911" s="1" t="n">
        <v>58910</v>
      </c>
      <c r="B58911">
        <f>TEXT(58910, "[$-0E0000]yyyy-mm-dd")</f>
        <v/>
      </c>
      <c r="C58911" t="inlineStr">
        <is>
          <t>2061-03-25</t>
        </is>
      </c>
    </row>
    <row r="58912">
      <c r="A58912" s="1" t="n">
        <v>58911</v>
      </c>
      <c r="B58912">
        <f>TEXT(58911, "[$-0E0000]yyyy-mm-dd")</f>
        <v/>
      </c>
      <c r="C58912" t="inlineStr">
        <is>
          <t>2061-03-26</t>
        </is>
      </c>
    </row>
    <row r="58913">
      <c r="A58913" s="1" t="n">
        <v>58912</v>
      </c>
      <c r="B58913">
        <f>TEXT(58912, "[$-0E0000]yyyy-mm-dd")</f>
        <v/>
      </c>
      <c r="C58913" t="inlineStr">
        <is>
          <t>2061-03-27</t>
        </is>
      </c>
    </row>
    <row r="58914">
      <c r="A58914" s="1" t="n">
        <v>58913</v>
      </c>
      <c r="B58914">
        <f>TEXT(58913, "[$-0E0000]yyyy-mm-dd")</f>
        <v/>
      </c>
      <c r="C58914" t="inlineStr">
        <is>
          <t>2061-03-28</t>
        </is>
      </c>
    </row>
    <row r="58915">
      <c r="A58915" s="1" t="n">
        <v>58914</v>
      </c>
      <c r="B58915">
        <f>TEXT(58914, "[$-0E0000]yyyy-mm-dd")</f>
        <v/>
      </c>
      <c r="C58915" t="inlineStr">
        <is>
          <t>2061-03-29</t>
        </is>
      </c>
    </row>
    <row r="58916">
      <c r="A58916" s="1" t="n">
        <v>58915</v>
      </c>
      <c r="B58916">
        <f>TEXT(58915, "[$-0E0000]yyyy-mm-dd")</f>
        <v/>
      </c>
      <c r="C58916" t="inlineStr">
        <is>
          <t>2061-03-01</t>
        </is>
      </c>
    </row>
    <row r="58917">
      <c r="A58917" s="1" t="n">
        <v>58916</v>
      </c>
      <c r="B58917">
        <f>TEXT(58916, "[$-0E0000]yyyy-mm-dd")</f>
        <v/>
      </c>
      <c r="C58917" t="inlineStr">
        <is>
          <t>2061-03-02</t>
        </is>
      </c>
    </row>
    <row r="58918">
      <c r="A58918" s="1" t="n">
        <v>58917</v>
      </c>
      <c r="B58918">
        <f>TEXT(58917, "[$-0E0000]yyyy-mm-dd")</f>
        <v/>
      </c>
      <c r="C58918" t="inlineStr">
        <is>
          <t>2061-03-03</t>
        </is>
      </c>
    </row>
    <row r="58919">
      <c r="A58919" s="1" t="n">
        <v>58918</v>
      </c>
      <c r="B58919">
        <f>TEXT(58918, "[$-0E0000]yyyy-mm-dd")</f>
        <v/>
      </c>
      <c r="C58919" t="inlineStr">
        <is>
          <t>2061-03-04</t>
        </is>
      </c>
    </row>
    <row r="58920">
      <c r="A58920" s="1" t="n">
        <v>58919</v>
      </c>
      <c r="B58920">
        <f>TEXT(58919, "[$-0E0000]yyyy-mm-dd")</f>
        <v/>
      </c>
      <c r="C58920" t="inlineStr">
        <is>
          <t>2061-03-05</t>
        </is>
      </c>
    </row>
    <row r="58921">
      <c r="A58921" s="1" t="n">
        <v>58920</v>
      </c>
      <c r="B58921">
        <f>TEXT(58920, "[$-0E0000]yyyy-mm-dd")</f>
        <v/>
      </c>
      <c r="C58921" t="inlineStr">
        <is>
          <t>2061-03-06</t>
        </is>
      </c>
    </row>
    <row r="58922">
      <c r="A58922" s="1" t="n">
        <v>58921</v>
      </c>
      <c r="B58922">
        <f>TEXT(58921, "[$-0E0000]yyyy-mm-dd")</f>
        <v/>
      </c>
      <c r="C58922" t="inlineStr">
        <is>
          <t>2061-03-07</t>
        </is>
      </c>
    </row>
    <row r="58923">
      <c r="A58923" s="1" t="n">
        <v>58922</v>
      </c>
      <c r="B58923">
        <f>TEXT(58922, "[$-0E0000]yyyy-mm-dd")</f>
        <v/>
      </c>
      <c r="C58923" t="inlineStr">
        <is>
          <t>2061-03-08</t>
        </is>
      </c>
    </row>
    <row r="58924">
      <c r="A58924" s="1" t="n">
        <v>58923</v>
      </c>
      <c r="B58924">
        <f>TEXT(58923, "[$-0E0000]yyyy-mm-dd")</f>
        <v/>
      </c>
      <c r="C58924" t="inlineStr">
        <is>
          <t>2061-03-09</t>
        </is>
      </c>
    </row>
    <row r="58925">
      <c r="A58925" s="1" t="n">
        <v>58924</v>
      </c>
      <c r="B58925">
        <f>TEXT(58924, "[$-0E0000]yyyy-mm-dd")</f>
        <v/>
      </c>
      <c r="C58925" t="inlineStr">
        <is>
          <t>2061-03-10</t>
        </is>
      </c>
    </row>
    <row r="58926">
      <c r="A58926" s="1" t="n">
        <v>58925</v>
      </c>
      <c r="B58926">
        <f>TEXT(58925, "[$-0E0000]yyyy-mm-dd")</f>
        <v/>
      </c>
      <c r="C58926" t="inlineStr">
        <is>
          <t>2061-03-11</t>
        </is>
      </c>
    </row>
    <row r="58927">
      <c r="A58927" s="1" t="n">
        <v>58926</v>
      </c>
      <c r="B58927">
        <f>TEXT(58926, "[$-0E0000]yyyy-mm-dd")</f>
        <v/>
      </c>
      <c r="C58927" t="inlineStr">
        <is>
          <t>2061-03-12</t>
        </is>
      </c>
    </row>
    <row r="58928">
      <c r="A58928" s="1" t="n">
        <v>58927</v>
      </c>
      <c r="B58928">
        <f>TEXT(58927, "[$-0E0000]yyyy-mm-dd")</f>
        <v/>
      </c>
      <c r="C58928" t="inlineStr">
        <is>
          <t>2061-03-13</t>
        </is>
      </c>
    </row>
    <row r="58929">
      <c r="A58929" s="1" t="n">
        <v>58928</v>
      </c>
      <c r="B58929">
        <f>TEXT(58928, "[$-0E0000]yyyy-mm-dd")</f>
        <v/>
      </c>
      <c r="C58929" t="inlineStr">
        <is>
          <t>2061-03-14</t>
        </is>
      </c>
    </row>
    <row r="58930">
      <c r="A58930" s="1" t="n">
        <v>58929</v>
      </c>
      <c r="B58930">
        <f>TEXT(58929, "[$-0E0000]yyyy-mm-dd")</f>
        <v/>
      </c>
      <c r="C58930" t="inlineStr">
        <is>
          <t>2061-03-15</t>
        </is>
      </c>
    </row>
    <row r="58931">
      <c r="A58931" s="1" t="n">
        <v>58930</v>
      </c>
      <c r="B58931">
        <f>TEXT(58930, "[$-0E0000]yyyy-mm-dd")</f>
        <v/>
      </c>
      <c r="C58931" t="inlineStr">
        <is>
          <t>2061-03-16</t>
        </is>
      </c>
    </row>
    <row r="58932">
      <c r="A58932" s="1" t="n">
        <v>58931</v>
      </c>
      <c r="B58932">
        <f>TEXT(58931, "[$-0E0000]yyyy-mm-dd")</f>
        <v/>
      </c>
      <c r="C58932" t="inlineStr">
        <is>
          <t>2061-03-17</t>
        </is>
      </c>
    </row>
    <row r="58933">
      <c r="A58933" s="1" t="n">
        <v>58932</v>
      </c>
      <c r="B58933">
        <f>TEXT(58932, "[$-0E0000]yyyy-mm-dd")</f>
        <v/>
      </c>
      <c r="C58933" t="inlineStr">
        <is>
          <t>2061-03-18</t>
        </is>
      </c>
    </row>
    <row r="58934">
      <c r="A58934" s="1" t="n">
        <v>58933</v>
      </c>
      <c r="B58934">
        <f>TEXT(58933, "[$-0E0000]yyyy-mm-dd")</f>
        <v/>
      </c>
      <c r="C58934" t="inlineStr">
        <is>
          <t>2061-03-19</t>
        </is>
      </c>
    </row>
    <row r="58935">
      <c r="A58935" s="1" t="n">
        <v>58934</v>
      </c>
      <c r="B58935">
        <f>TEXT(58934, "[$-0E0000]yyyy-mm-dd")</f>
        <v/>
      </c>
      <c r="C58935" t="inlineStr">
        <is>
          <t>2061-03-20</t>
        </is>
      </c>
    </row>
    <row r="58936">
      <c r="A58936" s="1" t="n">
        <v>58935</v>
      </c>
      <c r="B58936">
        <f>TEXT(58935, "[$-0E0000]yyyy-mm-dd")</f>
        <v/>
      </c>
      <c r="C58936" t="inlineStr">
        <is>
          <t>2061-03-21</t>
        </is>
      </c>
    </row>
    <row r="58937">
      <c r="A58937" s="1" t="n">
        <v>58936</v>
      </c>
      <c r="B58937">
        <f>TEXT(58936, "[$-0E0000]yyyy-mm-dd")</f>
        <v/>
      </c>
      <c r="C58937" t="inlineStr">
        <is>
          <t>2061-03-22</t>
        </is>
      </c>
    </row>
    <row r="58938">
      <c r="A58938" s="1" t="n">
        <v>58937</v>
      </c>
      <c r="B58938">
        <f>TEXT(58937, "[$-0E0000]yyyy-mm-dd")</f>
        <v/>
      </c>
      <c r="C58938" t="inlineStr">
        <is>
          <t>2061-03-23</t>
        </is>
      </c>
    </row>
    <row r="58939">
      <c r="A58939" s="1" t="n">
        <v>58938</v>
      </c>
      <c r="B58939">
        <f>TEXT(58938, "[$-0E0000]yyyy-mm-dd")</f>
        <v/>
      </c>
      <c r="C58939" t="inlineStr">
        <is>
          <t>2061-03-24</t>
        </is>
      </c>
    </row>
    <row r="58940">
      <c r="A58940" s="1" t="n">
        <v>58939</v>
      </c>
      <c r="B58940">
        <f>TEXT(58939, "[$-0E0000]yyyy-mm-dd")</f>
        <v/>
      </c>
      <c r="C58940" t="inlineStr">
        <is>
          <t>2061-03-25</t>
        </is>
      </c>
    </row>
    <row r="58941">
      <c r="A58941" s="1" t="n">
        <v>58940</v>
      </c>
      <c r="B58941">
        <f>TEXT(58940, "[$-0E0000]yyyy-mm-dd")</f>
        <v/>
      </c>
      <c r="C58941" t="inlineStr">
        <is>
          <t>2061-03-26</t>
        </is>
      </c>
    </row>
    <row r="58942">
      <c r="A58942" s="1" t="n">
        <v>58941</v>
      </c>
      <c r="B58942">
        <f>TEXT(58941, "[$-0E0000]yyyy-mm-dd")</f>
        <v/>
      </c>
      <c r="C58942" t="inlineStr">
        <is>
          <t>2061-03-27</t>
        </is>
      </c>
    </row>
    <row r="58943">
      <c r="A58943" s="1" t="n">
        <v>58942</v>
      </c>
      <c r="B58943">
        <f>TEXT(58942, "[$-0E0000]yyyy-mm-dd")</f>
        <v/>
      </c>
      <c r="C58943" t="inlineStr">
        <is>
          <t>2061-03-28</t>
        </is>
      </c>
    </row>
    <row r="58944">
      <c r="A58944" s="1" t="n">
        <v>58943</v>
      </c>
      <c r="B58944">
        <f>TEXT(58943, "[$-0E0000]yyyy-mm-dd")</f>
        <v/>
      </c>
      <c r="C58944" t="inlineStr">
        <is>
          <t>2061-03-29</t>
        </is>
      </c>
    </row>
    <row r="58945">
      <c r="A58945" s="1" t="n">
        <v>58944</v>
      </c>
      <c r="B58945">
        <f>TEXT(58944, "[$-0E0000]yyyy-mm-dd")</f>
        <v/>
      </c>
      <c r="C58945" t="inlineStr">
        <is>
          <t>2061-04-01</t>
        </is>
      </c>
    </row>
    <row r="58946">
      <c r="A58946" s="1" t="n">
        <v>58945</v>
      </c>
      <c r="B58946">
        <f>TEXT(58945, "[$-0E0000]yyyy-mm-dd")</f>
        <v/>
      </c>
      <c r="C58946" t="inlineStr">
        <is>
          <t>2061-04-02</t>
        </is>
      </c>
    </row>
    <row r="58947">
      <c r="A58947" s="1" t="n">
        <v>58946</v>
      </c>
      <c r="B58947">
        <f>TEXT(58946, "[$-0E0000]yyyy-mm-dd")</f>
        <v/>
      </c>
      <c r="C58947" t="inlineStr">
        <is>
          <t>2061-04-03</t>
        </is>
      </c>
    </row>
    <row r="58948">
      <c r="A58948" s="1" t="n">
        <v>58947</v>
      </c>
      <c r="B58948">
        <f>TEXT(58947, "[$-0E0000]yyyy-mm-dd")</f>
        <v/>
      </c>
      <c r="C58948" t="inlineStr">
        <is>
          <t>2061-04-04</t>
        </is>
      </c>
    </row>
    <row r="58949">
      <c r="A58949" s="1" t="n">
        <v>58948</v>
      </c>
      <c r="B58949">
        <f>TEXT(58948, "[$-0E0000]yyyy-mm-dd")</f>
        <v/>
      </c>
      <c r="C58949" t="inlineStr">
        <is>
          <t>2061-04-05</t>
        </is>
      </c>
    </row>
    <row r="58950">
      <c r="A58950" s="1" t="n">
        <v>58949</v>
      </c>
      <c r="B58950">
        <f>TEXT(58949, "[$-0E0000]yyyy-mm-dd")</f>
        <v/>
      </c>
      <c r="C58950" t="inlineStr">
        <is>
          <t>2061-04-06</t>
        </is>
      </c>
    </row>
    <row r="58951">
      <c r="A58951" s="1" t="n">
        <v>58950</v>
      </c>
      <c r="B58951">
        <f>TEXT(58950, "[$-0E0000]yyyy-mm-dd")</f>
        <v/>
      </c>
      <c r="C58951" t="inlineStr">
        <is>
          <t>2061-04-07</t>
        </is>
      </c>
    </row>
    <row r="58952">
      <c r="A58952" s="1" t="n">
        <v>58951</v>
      </c>
      <c r="B58952">
        <f>TEXT(58951, "[$-0E0000]yyyy-mm-dd")</f>
        <v/>
      </c>
      <c r="C58952" t="inlineStr">
        <is>
          <t>2061-04-08</t>
        </is>
      </c>
    </row>
    <row r="58953">
      <c r="A58953" s="1" t="n">
        <v>58952</v>
      </c>
      <c r="B58953">
        <f>TEXT(58952, "[$-0E0000]yyyy-mm-dd")</f>
        <v/>
      </c>
      <c r="C58953" t="inlineStr">
        <is>
          <t>2061-04-09</t>
        </is>
      </c>
    </row>
    <row r="58954">
      <c r="A58954" s="1" t="n">
        <v>58953</v>
      </c>
      <c r="B58954">
        <f>TEXT(58953, "[$-0E0000]yyyy-mm-dd")</f>
        <v/>
      </c>
      <c r="C58954" t="inlineStr">
        <is>
          <t>2061-04-10</t>
        </is>
      </c>
    </row>
    <row r="58955">
      <c r="A58955" s="1" t="n">
        <v>58954</v>
      </c>
      <c r="B58955">
        <f>TEXT(58954, "[$-0E0000]yyyy-mm-dd")</f>
        <v/>
      </c>
      <c r="C58955" t="inlineStr">
        <is>
          <t>2061-04-11</t>
        </is>
      </c>
    </row>
    <row r="58956">
      <c r="A58956" s="1" t="n">
        <v>58955</v>
      </c>
      <c r="B58956">
        <f>TEXT(58955, "[$-0E0000]yyyy-mm-dd")</f>
        <v/>
      </c>
      <c r="C58956" t="inlineStr">
        <is>
          <t>2061-04-12</t>
        </is>
      </c>
    </row>
    <row r="58957">
      <c r="A58957" s="1" t="n">
        <v>58956</v>
      </c>
      <c r="B58957">
        <f>TEXT(58956, "[$-0E0000]yyyy-mm-dd")</f>
        <v/>
      </c>
      <c r="C58957" t="inlineStr">
        <is>
          <t>2061-04-13</t>
        </is>
      </c>
    </row>
    <row r="58958">
      <c r="A58958" s="1" t="n">
        <v>58957</v>
      </c>
      <c r="B58958">
        <f>TEXT(58957, "[$-0E0000]yyyy-mm-dd")</f>
        <v/>
      </c>
      <c r="C58958" t="inlineStr">
        <is>
          <t>2061-04-14</t>
        </is>
      </c>
    </row>
    <row r="58959">
      <c r="A58959" s="1" t="n">
        <v>58958</v>
      </c>
      <c r="B58959">
        <f>TEXT(58958, "[$-0E0000]yyyy-mm-dd")</f>
        <v/>
      </c>
      <c r="C58959" t="inlineStr">
        <is>
          <t>2061-04-15</t>
        </is>
      </c>
    </row>
    <row r="58960">
      <c r="A58960" s="1" t="n">
        <v>58959</v>
      </c>
      <c r="B58960">
        <f>TEXT(58959, "[$-0E0000]yyyy-mm-dd")</f>
        <v/>
      </c>
      <c r="C58960" t="inlineStr">
        <is>
          <t>2061-04-16</t>
        </is>
      </c>
    </row>
    <row r="58961">
      <c r="A58961" s="1" t="n">
        <v>58960</v>
      </c>
      <c r="B58961">
        <f>TEXT(58960, "[$-0E0000]yyyy-mm-dd")</f>
        <v/>
      </c>
      <c r="C58961" t="inlineStr">
        <is>
          <t>2061-04-17</t>
        </is>
      </c>
    </row>
    <row r="58962">
      <c r="A58962" s="1" t="n">
        <v>58961</v>
      </c>
      <c r="B58962">
        <f>TEXT(58961, "[$-0E0000]yyyy-mm-dd")</f>
        <v/>
      </c>
      <c r="C58962" t="inlineStr">
        <is>
          <t>2061-04-18</t>
        </is>
      </c>
    </row>
    <row r="58963">
      <c r="A58963" s="1" t="n">
        <v>58962</v>
      </c>
      <c r="B58963">
        <f>TEXT(58962, "[$-0E0000]yyyy-mm-dd")</f>
        <v/>
      </c>
      <c r="C58963" t="inlineStr">
        <is>
          <t>2061-04-19</t>
        </is>
      </c>
    </row>
    <row r="58964">
      <c r="A58964" s="1" t="n">
        <v>58963</v>
      </c>
      <c r="B58964">
        <f>TEXT(58963, "[$-0E0000]yyyy-mm-dd")</f>
        <v/>
      </c>
      <c r="C58964" t="inlineStr">
        <is>
          <t>2061-04-20</t>
        </is>
      </c>
    </row>
    <row r="58965">
      <c r="A58965" s="1" t="n">
        <v>58964</v>
      </c>
      <c r="B58965">
        <f>TEXT(58964, "[$-0E0000]yyyy-mm-dd")</f>
        <v/>
      </c>
      <c r="C58965" t="inlineStr">
        <is>
          <t>2061-04-21</t>
        </is>
      </c>
    </row>
    <row r="58966">
      <c r="A58966" s="1" t="n">
        <v>58965</v>
      </c>
      <c r="B58966">
        <f>TEXT(58965, "[$-0E0000]yyyy-mm-dd")</f>
        <v/>
      </c>
      <c r="C58966" t="inlineStr">
        <is>
          <t>2061-04-22</t>
        </is>
      </c>
    </row>
    <row r="58967">
      <c r="A58967" s="1" t="n">
        <v>58966</v>
      </c>
      <c r="B58967">
        <f>TEXT(58966, "[$-0E0000]yyyy-mm-dd")</f>
        <v/>
      </c>
      <c r="C58967" t="inlineStr">
        <is>
          <t>2061-04-23</t>
        </is>
      </c>
    </row>
    <row r="58968">
      <c r="A58968" s="1" t="n">
        <v>58967</v>
      </c>
      <c r="B58968">
        <f>TEXT(58967, "[$-0E0000]yyyy-mm-dd")</f>
        <v/>
      </c>
      <c r="C58968" t="inlineStr">
        <is>
          <t>2061-04-24</t>
        </is>
      </c>
    </row>
    <row r="58969">
      <c r="A58969" s="1" t="n">
        <v>58968</v>
      </c>
      <c r="B58969">
        <f>TEXT(58968, "[$-0E0000]yyyy-mm-dd")</f>
        <v/>
      </c>
      <c r="C58969" t="inlineStr">
        <is>
          <t>2061-04-25</t>
        </is>
      </c>
    </row>
    <row r="58970">
      <c r="A58970" s="1" t="n">
        <v>58969</v>
      </c>
      <c r="B58970">
        <f>TEXT(58969, "[$-0E0000]yyyy-mm-dd")</f>
        <v/>
      </c>
      <c r="C58970" t="inlineStr">
        <is>
          <t>2061-04-26</t>
        </is>
      </c>
    </row>
    <row r="58971">
      <c r="A58971" s="1" t="n">
        <v>58970</v>
      </c>
      <c r="B58971">
        <f>TEXT(58970, "[$-0E0000]yyyy-mm-dd")</f>
        <v/>
      </c>
      <c r="C58971" t="inlineStr">
        <is>
          <t>2061-04-27</t>
        </is>
      </c>
    </row>
    <row r="58972">
      <c r="A58972" s="1" t="n">
        <v>58971</v>
      </c>
      <c r="B58972">
        <f>TEXT(58971, "[$-0E0000]yyyy-mm-dd")</f>
        <v/>
      </c>
      <c r="C58972" t="inlineStr">
        <is>
          <t>2061-04-28</t>
        </is>
      </c>
    </row>
    <row r="58973">
      <c r="A58973" s="1" t="n">
        <v>58972</v>
      </c>
      <c r="B58973">
        <f>TEXT(58972, "[$-0E0000]yyyy-mm-dd")</f>
        <v/>
      </c>
      <c r="C58973" t="inlineStr">
        <is>
          <t>2061-04-29</t>
        </is>
      </c>
    </row>
    <row r="58974">
      <c r="A58974" s="1" t="n">
        <v>58973</v>
      </c>
      <c r="B58974">
        <f>TEXT(58973, "[$-0E0000]yyyy-mm-dd")</f>
        <v/>
      </c>
      <c r="C58974" t="inlineStr">
        <is>
          <t>2061-04-30</t>
        </is>
      </c>
    </row>
    <row r="58975">
      <c r="A58975" s="1" t="n">
        <v>58974</v>
      </c>
      <c r="B58975">
        <f>TEXT(58974, "[$-0E0000]yyyy-mm-dd")</f>
        <v/>
      </c>
      <c r="C58975" t="inlineStr">
        <is>
          <t>2061-05-01</t>
        </is>
      </c>
    </row>
    <row r="58976">
      <c r="A58976" s="1" t="n">
        <v>58975</v>
      </c>
      <c r="B58976">
        <f>TEXT(58975, "[$-0E0000]yyyy-mm-dd")</f>
        <v/>
      </c>
      <c r="C58976" t="inlineStr">
        <is>
          <t>2061-05-02</t>
        </is>
      </c>
    </row>
    <row r="58977">
      <c r="A58977" s="1" t="n">
        <v>58976</v>
      </c>
      <c r="B58977">
        <f>TEXT(58976, "[$-0E0000]yyyy-mm-dd")</f>
        <v/>
      </c>
      <c r="C58977" t="inlineStr">
        <is>
          <t>2061-05-03</t>
        </is>
      </c>
    </row>
    <row r="58978">
      <c r="A58978" s="1" t="n">
        <v>58977</v>
      </c>
      <c r="B58978">
        <f>TEXT(58977, "[$-0E0000]yyyy-mm-dd")</f>
        <v/>
      </c>
      <c r="C58978" t="inlineStr">
        <is>
          <t>2061-05-04</t>
        </is>
      </c>
    </row>
    <row r="58979">
      <c r="A58979" s="1" t="n">
        <v>58978</v>
      </c>
      <c r="B58979">
        <f>TEXT(58978, "[$-0E0000]yyyy-mm-dd")</f>
        <v/>
      </c>
      <c r="C58979" t="inlineStr">
        <is>
          <t>2061-05-05</t>
        </is>
      </c>
    </row>
    <row r="58980">
      <c r="A58980" s="1" t="n">
        <v>58979</v>
      </c>
      <c r="B58980">
        <f>TEXT(58979, "[$-0E0000]yyyy-mm-dd")</f>
        <v/>
      </c>
      <c r="C58980" t="inlineStr">
        <is>
          <t>2061-05-06</t>
        </is>
      </c>
    </row>
    <row r="58981">
      <c r="A58981" s="1" t="n">
        <v>58980</v>
      </c>
      <c r="B58981">
        <f>TEXT(58980, "[$-0E0000]yyyy-mm-dd")</f>
        <v/>
      </c>
      <c r="C58981" t="inlineStr">
        <is>
          <t>2061-05-07</t>
        </is>
      </c>
    </row>
    <row r="58982">
      <c r="A58982" s="1" t="n">
        <v>58981</v>
      </c>
      <c r="B58982">
        <f>TEXT(58981, "[$-0E0000]yyyy-mm-dd")</f>
        <v/>
      </c>
      <c r="C58982" t="inlineStr">
        <is>
          <t>2061-05-08</t>
        </is>
      </c>
    </row>
    <row r="58983">
      <c r="A58983" s="1" t="n">
        <v>58982</v>
      </c>
      <c r="B58983">
        <f>TEXT(58982, "[$-0E0000]yyyy-mm-dd")</f>
        <v/>
      </c>
      <c r="C58983" t="inlineStr">
        <is>
          <t>2061-05-09</t>
        </is>
      </c>
    </row>
    <row r="58984">
      <c r="A58984" s="1" t="n">
        <v>58983</v>
      </c>
      <c r="B58984">
        <f>TEXT(58983, "[$-0E0000]yyyy-mm-dd")</f>
        <v/>
      </c>
      <c r="C58984" t="inlineStr">
        <is>
          <t>2061-05-10</t>
        </is>
      </c>
    </row>
    <row r="58985">
      <c r="A58985" s="1" t="n">
        <v>58984</v>
      </c>
      <c r="B58985">
        <f>TEXT(58984, "[$-0E0000]yyyy-mm-dd")</f>
        <v/>
      </c>
      <c r="C58985" t="inlineStr">
        <is>
          <t>2061-05-11</t>
        </is>
      </c>
    </row>
    <row r="58986">
      <c r="A58986" s="1" t="n">
        <v>58985</v>
      </c>
      <c r="B58986">
        <f>TEXT(58985, "[$-0E0000]yyyy-mm-dd")</f>
        <v/>
      </c>
      <c r="C58986" t="inlineStr">
        <is>
          <t>2061-05-12</t>
        </is>
      </c>
    </row>
    <row r="58987">
      <c r="A58987" s="1" t="n">
        <v>58986</v>
      </c>
      <c r="B58987">
        <f>TEXT(58986, "[$-0E0000]yyyy-mm-dd")</f>
        <v/>
      </c>
      <c r="C58987" t="inlineStr">
        <is>
          <t>2061-05-13</t>
        </is>
      </c>
    </row>
    <row r="58988">
      <c r="A58988" s="1" t="n">
        <v>58987</v>
      </c>
      <c r="B58988">
        <f>TEXT(58987, "[$-0E0000]yyyy-mm-dd")</f>
        <v/>
      </c>
      <c r="C58988" t="inlineStr">
        <is>
          <t>2061-05-14</t>
        </is>
      </c>
    </row>
    <row r="58989">
      <c r="A58989" s="1" t="n">
        <v>58988</v>
      </c>
      <c r="B58989">
        <f>TEXT(58988, "[$-0E0000]yyyy-mm-dd")</f>
        <v/>
      </c>
      <c r="C58989" t="inlineStr">
        <is>
          <t>2061-05-15</t>
        </is>
      </c>
    </row>
    <row r="58990">
      <c r="A58990" s="1" t="n">
        <v>58989</v>
      </c>
      <c r="B58990">
        <f>TEXT(58989, "[$-0E0000]yyyy-mm-dd")</f>
        <v/>
      </c>
      <c r="C58990" t="inlineStr">
        <is>
          <t>2061-05-16</t>
        </is>
      </c>
    </row>
    <row r="58991">
      <c r="A58991" s="1" t="n">
        <v>58990</v>
      </c>
      <c r="B58991">
        <f>TEXT(58990, "[$-0E0000]yyyy-mm-dd")</f>
        <v/>
      </c>
      <c r="C58991" t="inlineStr">
        <is>
          <t>2061-05-17</t>
        </is>
      </c>
    </row>
    <row r="58992">
      <c r="A58992" s="1" t="n">
        <v>58991</v>
      </c>
      <c r="B58992">
        <f>TEXT(58991, "[$-0E0000]yyyy-mm-dd")</f>
        <v/>
      </c>
      <c r="C58992" t="inlineStr">
        <is>
          <t>2061-05-18</t>
        </is>
      </c>
    </row>
    <row r="58993">
      <c r="A58993" s="1" t="n">
        <v>58992</v>
      </c>
      <c r="B58993">
        <f>TEXT(58992, "[$-0E0000]yyyy-mm-dd")</f>
        <v/>
      </c>
      <c r="C58993" t="inlineStr">
        <is>
          <t>2061-05-19</t>
        </is>
      </c>
    </row>
    <row r="58994">
      <c r="A58994" s="1" t="n">
        <v>58993</v>
      </c>
      <c r="B58994">
        <f>TEXT(58993, "[$-0E0000]yyyy-mm-dd")</f>
        <v/>
      </c>
      <c r="C58994" t="inlineStr">
        <is>
          <t>2061-05-20</t>
        </is>
      </c>
    </row>
    <row r="58995">
      <c r="A58995" s="1" t="n">
        <v>58994</v>
      </c>
      <c r="B58995">
        <f>TEXT(58994, "[$-0E0000]yyyy-mm-dd")</f>
        <v/>
      </c>
      <c r="C58995" t="inlineStr">
        <is>
          <t>2061-05-21</t>
        </is>
      </c>
    </row>
    <row r="58996">
      <c r="A58996" s="1" t="n">
        <v>58995</v>
      </c>
      <c r="B58996">
        <f>TEXT(58995, "[$-0E0000]yyyy-mm-dd")</f>
        <v/>
      </c>
      <c r="C58996" t="inlineStr">
        <is>
          <t>2061-05-22</t>
        </is>
      </c>
    </row>
    <row r="58997">
      <c r="A58997" s="1" t="n">
        <v>58996</v>
      </c>
      <c r="B58997">
        <f>TEXT(58996, "[$-0E0000]yyyy-mm-dd")</f>
        <v/>
      </c>
      <c r="C58997" t="inlineStr">
        <is>
          <t>2061-05-23</t>
        </is>
      </c>
    </row>
    <row r="58998">
      <c r="A58998" s="1" t="n">
        <v>58997</v>
      </c>
      <c r="B58998">
        <f>TEXT(58997, "[$-0E0000]yyyy-mm-dd")</f>
        <v/>
      </c>
      <c r="C58998" t="inlineStr">
        <is>
          <t>2061-05-24</t>
        </is>
      </c>
    </row>
    <row r="58999">
      <c r="A58999" s="1" t="n">
        <v>58998</v>
      </c>
      <c r="B58999">
        <f>TEXT(58998, "[$-0E0000]yyyy-mm-dd")</f>
        <v/>
      </c>
      <c r="C58999" t="inlineStr">
        <is>
          <t>2061-05-25</t>
        </is>
      </c>
    </row>
    <row r="59000">
      <c r="A59000" s="1" t="n">
        <v>58999</v>
      </c>
      <c r="B59000">
        <f>TEXT(58999, "[$-0E0000]yyyy-mm-dd")</f>
        <v/>
      </c>
      <c r="C59000" t="inlineStr">
        <is>
          <t>2061-05-26</t>
        </is>
      </c>
    </row>
    <row r="59001">
      <c r="A59001" s="1" t="n">
        <v>59000</v>
      </c>
      <c r="B59001">
        <f>TEXT(59000, "[$-0E0000]yyyy-mm-dd")</f>
        <v/>
      </c>
      <c r="C59001" t="inlineStr">
        <is>
          <t>2061-05-27</t>
        </is>
      </c>
    </row>
    <row r="59002">
      <c r="A59002" s="1" t="n">
        <v>59001</v>
      </c>
      <c r="B59002">
        <f>TEXT(59001, "[$-0E0000]yyyy-mm-dd")</f>
        <v/>
      </c>
      <c r="C59002" t="inlineStr">
        <is>
          <t>2061-05-28</t>
        </is>
      </c>
    </row>
    <row r="59003">
      <c r="A59003" s="1" t="n">
        <v>59002</v>
      </c>
      <c r="B59003">
        <f>TEXT(59002, "[$-0E0000]yyyy-mm-dd")</f>
        <v/>
      </c>
      <c r="C59003" t="inlineStr">
        <is>
          <t>2061-05-29</t>
        </is>
      </c>
    </row>
    <row r="59004">
      <c r="A59004" s="1" t="n">
        <v>59003</v>
      </c>
      <c r="B59004">
        <f>TEXT(59003, "[$-0E0000]yyyy-mm-dd")</f>
        <v/>
      </c>
      <c r="C59004" t="inlineStr">
        <is>
          <t>2061-06-01</t>
        </is>
      </c>
    </row>
    <row r="59005">
      <c r="A59005" s="1" t="n">
        <v>59004</v>
      </c>
      <c r="B59005">
        <f>TEXT(59004, "[$-0E0000]yyyy-mm-dd")</f>
        <v/>
      </c>
      <c r="C59005" t="inlineStr">
        <is>
          <t>2061-06-02</t>
        </is>
      </c>
    </row>
    <row r="59006">
      <c r="A59006" s="1" t="n">
        <v>59005</v>
      </c>
      <c r="B59006">
        <f>TEXT(59005, "[$-0E0000]yyyy-mm-dd")</f>
        <v/>
      </c>
      <c r="C59006" t="inlineStr">
        <is>
          <t>2061-06-03</t>
        </is>
      </c>
    </row>
    <row r="59007">
      <c r="A59007" s="1" t="n">
        <v>59006</v>
      </c>
      <c r="B59007">
        <f>TEXT(59006, "[$-0E0000]yyyy-mm-dd")</f>
        <v/>
      </c>
      <c r="C59007" t="inlineStr">
        <is>
          <t>2061-06-04</t>
        </is>
      </c>
    </row>
    <row r="59008">
      <c r="A59008" s="1" t="n">
        <v>59007</v>
      </c>
      <c r="B59008">
        <f>TEXT(59007, "[$-0E0000]yyyy-mm-dd")</f>
        <v/>
      </c>
      <c r="C59008" t="inlineStr">
        <is>
          <t>2061-06-05</t>
        </is>
      </c>
    </row>
    <row r="59009">
      <c r="A59009" s="1" t="n">
        <v>59008</v>
      </c>
      <c r="B59009">
        <f>TEXT(59008, "[$-0E0000]yyyy-mm-dd")</f>
        <v/>
      </c>
      <c r="C59009" t="inlineStr">
        <is>
          <t>2061-06-06</t>
        </is>
      </c>
    </row>
    <row r="59010">
      <c r="A59010" s="1" t="n">
        <v>59009</v>
      </c>
      <c r="B59010">
        <f>TEXT(59009, "[$-0E0000]yyyy-mm-dd")</f>
        <v/>
      </c>
      <c r="C59010" t="inlineStr">
        <is>
          <t>2061-06-07</t>
        </is>
      </c>
    </row>
    <row r="59011">
      <c r="A59011" s="1" t="n">
        <v>59010</v>
      </c>
      <c r="B59011">
        <f>TEXT(59010, "[$-0E0000]yyyy-mm-dd")</f>
        <v/>
      </c>
      <c r="C59011" t="inlineStr">
        <is>
          <t>2061-06-08</t>
        </is>
      </c>
    </row>
    <row r="59012">
      <c r="A59012" s="1" t="n">
        <v>59011</v>
      </c>
      <c r="B59012">
        <f>TEXT(59011, "[$-0E0000]yyyy-mm-dd")</f>
        <v/>
      </c>
      <c r="C59012" t="inlineStr">
        <is>
          <t>2061-06-09</t>
        </is>
      </c>
    </row>
    <row r="59013">
      <c r="A59013" s="1" t="n">
        <v>59012</v>
      </c>
      <c r="B59013">
        <f>TEXT(59012, "[$-0E0000]yyyy-mm-dd")</f>
        <v/>
      </c>
      <c r="C59013" t="inlineStr">
        <is>
          <t>2061-06-10</t>
        </is>
      </c>
    </row>
    <row r="59014">
      <c r="A59014" s="1" t="n">
        <v>59013</v>
      </c>
      <c r="B59014">
        <f>TEXT(59013, "[$-0E0000]yyyy-mm-dd")</f>
        <v/>
      </c>
      <c r="C59014" t="inlineStr">
        <is>
          <t>2061-06-11</t>
        </is>
      </c>
    </row>
    <row r="59015">
      <c r="A59015" s="1" t="n">
        <v>59014</v>
      </c>
      <c r="B59015">
        <f>TEXT(59014, "[$-0E0000]yyyy-mm-dd")</f>
        <v/>
      </c>
      <c r="C59015" t="inlineStr">
        <is>
          <t>2061-06-12</t>
        </is>
      </c>
    </row>
    <row r="59016">
      <c r="A59016" s="1" t="n">
        <v>59015</v>
      </c>
      <c r="B59016">
        <f>TEXT(59015, "[$-0E0000]yyyy-mm-dd")</f>
        <v/>
      </c>
      <c r="C59016" t="inlineStr">
        <is>
          <t>2061-06-13</t>
        </is>
      </c>
    </row>
    <row r="59017">
      <c r="A59017" s="1" t="n">
        <v>59016</v>
      </c>
      <c r="B59017">
        <f>TEXT(59016, "[$-0E0000]yyyy-mm-dd")</f>
        <v/>
      </c>
      <c r="C59017" t="inlineStr">
        <is>
          <t>2061-06-14</t>
        </is>
      </c>
    </row>
    <row r="59018">
      <c r="A59018" s="1" t="n">
        <v>59017</v>
      </c>
      <c r="B59018">
        <f>TEXT(59017, "[$-0E0000]yyyy-mm-dd")</f>
        <v/>
      </c>
      <c r="C59018" t="inlineStr">
        <is>
          <t>2061-06-15</t>
        </is>
      </c>
    </row>
    <row r="59019">
      <c r="A59019" s="1" t="n">
        <v>59018</v>
      </c>
      <c r="B59019">
        <f>TEXT(59018, "[$-0E0000]yyyy-mm-dd")</f>
        <v/>
      </c>
      <c r="C59019" t="inlineStr">
        <is>
          <t>2061-06-16</t>
        </is>
      </c>
    </row>
    <row r="59020">
      <c r="A59020" s="1" t="n">
        <v>59019</v>
      </c>
      <c r="B59020">
        <f>TEXT(59019, "[$-0E0000]yyyy-mm-dd")</f>
        <v/>
      </c>
      <c r="C59020" t="inlineStr">
        <is>
          <t>2061-06-17</t>
        </is>
      </c>
    </row>
    <row r="59021">
      <c r="A59021" s="1" t="n">
        <v>59020</v>
      </c>
      <c r="B59021">
        <f>TEXT(59020, "[$-0E0000]yyyy-mm-dd")</f>
        <v/>
      </c>
      <c r="C59021" t="inlineStr">
        <is>
          <t>2061-06-18</t>
        </is>
      </c>
    </row>
    <row r="59022">
      <c r="A59022" s="1" t="n">
        <v>59021</v>
      </c>
      <c r="B59022">
        <f>TEXT(59021, "[$-0E0000]yyyy-mm-dd")</f>
        <v/>
      </c>
      <c r="C59022" t="inlineStr">
        <is>
          <t>2061-06-19</t>
        </is>
      </c>
    </row>
    <row r="59023">
      <c r="A59023" s="1" t="n">
        <v>59022</v>
      </c>
      <c r="B59023">
        <f>TEXT(59022, "[$-0E0000]yyyy-mm-dd")</f>
        <v/>
      </c>
      <c r="C59023" t="inlineStr">
        <is>
          <t>2061-06-20</t>
        </is>
      </c>
    </row>
    <row r="59024">
      <c r="A59024" s="1" t="n">
        <v>59023</v>
      </c>
      <c r="B59024">
        <f>TEXT(59023, "[$-0E0000]yyyy-mm-dd")</f>
        <v/>
      </c>
      <c r="C59024" t="inlineStr">
        <is>
          <t>2061-06-21</t>
        </is>
      </c>
    </row>
    <row r="59025">
      <c r="A59025" s="1" t="n">
        <v>59024</v>
      </c>
      <c r="B59025">
        <f>TEXT(59024, "[$-0E0000]yyyy-mm-dd")</f>
        <v/>
      </c>
      <c r="C59025" t="inlineStr">
        <is>
          <t>2061-06-22</t>
        </is>
      </c>
    </row>
    <row r="59026">
      <c r="A59026" s="1" t="n">
        <v>59025</v>
      </c>
      <c r="B59026">
        <f>TEXT(59025, "[$-0E0000]yyyy-mm-dd")</f>
        <v/>
      </c>
      <c r="C59026" t="inlineStr">
        <is>
          <t>2061-06-23</t>
        </is>
      </c>
    </row>
    <row r="59027">
      <c r="A59027" s="1" t="n">
        <v>59026</v>
      </c>
      <c r="B59027">
        <f>TEXT(59026, "[$-0E0000]yyyy-mm-dd")</f>
        <v/>
      </c>
      <c r="C59027" t="inlineStr">
        <is>
          <t>2061-06-24</t>
        </is>
      </c>
    </row>
    <row r="59028">
      <c r="A59028" s="1" t="n">
        <v>59027</v>
      </c>
      <c r="B59028">
        <f>TEXT(59027, "[$-0E0000]yyyy-mm-dd")</f>
        <v/>
      </c>
      <c r="C59028" t="inlineStr">
        <is>
          <t>2061-06-25</t>
        </is>
      </c>
    </row>
    <row r="59029">
      <c r="A59029" s="1" t="n">
        <v>59028</v>
      </c>
      <c r="B59029">
        <f>TEXT(59028, "[$-0E0000]yyyy-mm-dd")</f>
        <v/>
      </c>
      <c r="C59029" t="inlineStr">
        <is>
          <t>2061-06-26</t>
        </is>
      </c>
    </row>
    <row r="59030">
      <c r="A59030" s="1" t="n">
        <v>59029</v>
      </c>
      <c r="B59030">
        <f>TEXT(59029, "[$-0E0000]yyyy-mm-dd")</f>
        <v/>
      </c>
      <c r="C59030" t="inlineStr">
        <is>
          <t>2061-06-27</t>
        </is>
      </c>
    </row>
    <row r="59031">
      <c r="A59031" s="1" t="n">
        <v>59030</v>
      </c>
      <c r="B59031">
        <f>TEXT(59030, "[$-0E0000]yyyy-mm-dd")</f>
        <v/>
      </c>
      <c r="C59031" t="inlineStr">
        <is>
          <t>2061-06-28</t>
        </is>
      </c>
    </row>
    <row r="59032">
      <c r="A59032" s="1" t="n">
        <v>59031</v>
      </c>
      <c r="B59032">
        <f>TEXT(59031, "[$-0E0000]yyyy-mm-dd")</f>
        <v/>
      </c>
      <c r="C59032" t="inlineStr">
        <is>
          <t>2061-06-29</t>
        </is>
      </c>
    </row>
    <row r="59033">
      <c r="A59033" s="1" t="n">
        <v>59032</v>
      </c>
      <c r="B59033">
        <f>TEXT(59032, "[$-0E0000]yyyy-mm-dd")</f>
        <v/>
      </c>
      <c r="C59033" t="inlineStr">
        <is>
          <t>2061-07-01</t>
        </is>
      </c>
    </row>
    <row r="59034">
      <c r="A59034" s="1" t="n">
        <v>59033</v>
      </c>
      <c r="B59034">
        <f>TEXT(59033, "[$-0E0000]yyyy-mm-dd")</f>
        <v/>
      </c>
      <c r="C59034" t="inlineStr">
        <is>
          <t>2061-07-02</t>
        </is>
      </c>
    </row>
    <row r="59035">
      <c r="A59035" s="1" t="n">
        <v>59034</v>
      </c>
      <c r="B59035">
        <f>TEXT(59034, "[$-0E0000]yyyy-mm-dd")</f>
        <v/>
      </c>
      <c r="C59035" t="inlineStr">
        <is>
          <t>2061-07-03</t>
        </is>
      </c>
    </row>
    <row r="59036">
      <c r="A59036" s="1" t="n">
        <v>59035</v>
      </c>
      <c r="B59036">
        <f>TEXT(59035, "[$-0E0000]yyyy-mm-dd")</f>
        <v/>
      </c>
      <c r="C59036" t="inlineStr">
        <is>
          <t>2061-07-04</t>
        </is>
      </c>
    </row>
    <row r="59037">
      <c r="A59037" s="1" t="n">
        <v>59036</v>
      </c>
      <c r="B59037">
        <f>TEXT(59036, "[$-0E0000]yyyy-mm-dd")</f>
        <v/>
      </c>
      <c r="C59037" t="inlineStr">
        <is>
          <t>2061-07-05</t>
        </is>
      </c>
    </row>
    <row r="59038">
      <c r="A59038" s="1" t="n">
        <v>59037</v>
      </c>
      <c r="B59038">
        <f>TEXT(59037, "[$-0E0000]yyyy-mm-dd")</f>
        <v/>
      </c>
      <c r="C59038" t="inlineStr">
        <is>
          <t>2061-07-06</t>
        </is>
      </c>
    </row>
    <row r="59039">
      <c r="A59039" s="1" t="n">
        <v>59038</v>
      </c>
      <c r="B59039">
        <f>TEXT(59038, "[$-0E0000]yyyy-mm-dd")</f>
        <v/>
      </c>
      <c r="C59039" t="inlineStr">
        <is>
          <t>2061-07-07</t>
        </is>
      </c>
    </row>
    <row r="59040">
      <c r="A59040" s="1" t="n">
        <v>59039</v>
      </c>
      <c r="B59040">
        <f>TEXT(59039, "[$-0E0000]yyyy-mm-dd")</f>
        <v/>
      </c>
      <c r="C59040" t="inlineStr">
        <is>
          <t>2061-07-08</t>
        </is>
      </c>
    </row>
    <row r="59041">
      <c r="A59041" s="1" t="n">
        <v>59040</v>
      </c>
      <c r="B59041">
        <f>TEXT(59040, "[$-0E0000]yyyy-mm-dd")</f>
        <v/>
      </c>
      <c r="C59041" t="inlineStr">
        <is>
          <t>2061-07-09</t>
        </is>
      </c>
    </row>
    <row r="59042">
      <c r="A59042" s="1" t="n">
        <v>59041</v>
      </c>
      <c r="B59042">
        <f>TEXT(59041, "[$-0E0000]yyyy-mm-dd")</f>
        <v/>
      </c>
      <c r="C59042" t="inlineStr">
        <is>
          <t>2061-07-10</t>
        </is>
      </c>
    </row>
    <row r="59043">
      <c r="A59043" s="1" t="n">
        <v>59042</v>
      </c>
      <c r="B59043">
        <f>TEXT(59042, "[$-0E0000]yyyy-mm-dd")</f>
        <v/>
      </c>
      <c r="C59043" t="inlineStr">
        <is>
          <t>2061-07-11</t>
        </is>
      </c>
    </row>
    <row r="59044">
      <c r="A59044" s="1" t="n">
        <v>59043</v>
      </c>
      <c r="B59044">
        <f>TEXT(59043, "[$-0E0000]yyyy-mm-dd")</f>
        <v/>
      </c>
      <c r="C59044" t="inlineStr">
        <is>
          <t>2061-07-12</t>
        </is>
      </c>
    </row>
    <row r="59045">
      <c r="A59045" s="1" t="n">
        <v>59044</v>
      </c>
      <c r="B59045">
        <f>TEXT(59044, "[$-0E0000]yyyy-mm-dd")</f>
        <v/>
      </c>
      <c r="C59045" t="inlineStr">
        <is>
          <t>2061-07-13</t>
        </is>
      </c>
    </row>
    <row r="59046">
      <c r="A59046" s="1" t="n">
        <v>59045</v>
      </c>
      <c r="B59046">
        <f>TEXT(59045, "[$-0E0000]yyyy-mm-dd")</f>
        <v/>
      </c>
      <c r="C59046" t="inlineStr">
        <is>
          <t>2061-07-14</t>
        </is>
      </c>
    </row>
    <row r="59047">
      <c r="A59047" s="1" t="n">
        <v>59046</v>
      </c>
      <c r="B59047">
        <f>TEXT(59046, "[$-0E0000]yyyy-mm-dd")</f>
        <v/>
      </c>
      <c r="C59047" t="inlineStr">
        <is>
          <t>2061-07-15</t>
        </is>
      </c>
    </row>
    <row r="59048">
      <c r="A59048" s="1" t="n">
        <v>59047</v>
      </c>
      <c r="B59048">
        <f>TEXT(59047, "[$-0E0000]yyyy-mm-dd")</f>
        <v/>
      </c>
      <c r="C59048" t="inlineStr">
        <is>
          <t>2061-07-16</t>
        </is>
      </c>
    </row>
    <row r="59049">
      <c r="A59049" s="1" t="n">
        <v>59048</v>
      </c>
      <c r="B59049">
        <f>TEXT(59048, "[$-0E0000]yyyy-mm-dd")</f>
        <v/>
      </c>
      <c r="C59049" t="inlineStr">
        <is>
          <t>2061-07-17</t>
        </is>
      </c>
    </row>
    <row r="59050">
      <c r="A59050" s="1" t="n">
        <v>59049</v>
      </c>
      <c r="B59050">
        <f>TEXT(59049, "[$-0E0000]yyyy-mm-dd")</f>
        <v/>
      </c>
      <c r="C59050" t="inlineStr">
        <is>
          <t>2061-07-18</t>
        </is>
      </c>
    </row>
    <row r="59051">
      <c r="A59051" s="1" t="n">
        <v>59050</v>
      </c>
      <c r="B59051">
        <f>TEXT(59050, "[$-0E0000]yyyy-mm-dd")</f>
        <v/>
      </c>
      <c r="C59051" t="inlineStr">
        <is>
          <t>2061-07-19</t>
        </is>
      </c>
    </row>
    <row r="59052">
      <c r="A59052" s="1" t="n">
        <v>59051</v>
      </c>
      <c r="B59052">
        <f>TEXT(59051, "[$-0E0000]yyyy-mm-dd")</f>
        <v/>
      </c>
      <c r="C59052" t="inlineStr">
        <is>
          <t>2061-07-20</t>
        </is>
      </c>
    </row>
    <row r="59053">
      <c r="A59053" s="1" t="n">
        <v>59052</v>
      </c>
      <c r="B59053">
        <f>TEXT(59052, "[$-0E0000]yyyy-mm-dd")</f>
        <v/>
      </c>
      <c r="C59053" t="inlineStr">
        <is>
          <t>2061-07-21</t>
        </is>
      </c>
    </row>
    <row r="59054">
      <c r="A59054" s="1" t="n">
        <v>59053</v>
      </c>
      <c r="B59054">
        <f>TEXT(59053, "[$-0E0000]yyyy-mm-dd")</f>
        <v/>
      </c>
      <c r="C59054" t="inlineStr">
        <is>
          <t>2061-07-22</t>
        </is>
      </c>
    </row>
    <row r="59055">
      <c r="A59055" s="1" t="n">
        <v>59054</v>
      </c>
      <c r="B59055">
        <f>TEXT(59054, "[$-0E0000]yyyy-mm-dd")</f>
        <v/>
      </c>
      <c r="C59055" t="inlineStr">
        <is>
          <t>2061-07-23</t>
        </is>
      </c>
    </row>
    <row r="59056">
      <c r="A59056" s="1" t="n">
        <v>59055</v>
      </c>
      <c r="B59056">
        <f>TEXT(59055, "[$-0E0000]yyyy-mm-dd")</f>
        <v/>
      </c>
      <c r="C59056" t="inlineStr">
        <is>
          <t>2061-07-24</t>
        </is>
      </c>
    </row>
    <row r="59057">
      <c r="A59057" s="1" t="n">
        <v>59056</v>
      </c>
      <c r="B59057">
        <f>TEXT(59056, "[$-0E0000]yyyy-mm-dd")</f>
        <v/>
      </c>
      <c r="C59057" t="inlineStr">
        <is>
          <t>2061-07-25</t>
        </is>
      </c>
    </row>
    <row r="59058">
      <c r="A59058" s="1" t="n">
        <v>59057</v>
      </c>
      <c r="B59058">
        <f>TEXT(59057, "[$-0E0000]yyyy-mm-dd")</f>
        <v/>
      </c>
      <c r="C59058" t="inlineStr">
        <is>
          <t>2061-07-26</t>
        </is>
      </c>
    </row>
    <row r="59059">
      <c r="A59059" s="1" t="n">
        <v>59058</v>
      </c>
      <c r="B59059">
        <f>TEXT(59058, "[$-0E0000]yyyy-mm-dd")</f>
        <v/>
      </c>
      <c r="C59059" t="inlineStr">
        <is>
          <t>2061-07-27</t>
        </is>
      </c>
    </row>
    <row r="59060">
      <c r="A59060" s="1" t="n">
        <v>59059</v>
      </c>
      <c r="B59060">
        <f>TEXT(59059, "[$-0E0000]yyyy-mm-dd")</f>
        <v/>
      </c>
      <c r="C59060" t="inlineStr">
        <is>
          <t>2061-07-28</t>
        </is>
      </c>
    </row>
    <row r="59061">
      <c r="A59061" s="1" t="n">
        <v>59060</v>
      </c>
      <c r="B59061">
        <f>TEXT(59060, "[$-0E0000]yyyy-mm-dd")</f>
        <v/>
      </c>
      <c r="C59061" t="inlineStr">
        <is>
          <t>2061-07-29</t>
        </is>
      </c>
    </row>
    <row r="59062">
      <c r="A59062" s="1" t="n">
        <v>59061</v>
      </c>
      <c r="B59062">
        <f>TEXT(59061, "[$-0E0000]yyyy-mm-dd")</f>
        <v/>
      </c>
      <c r="C59062" t="inlineStr">
        <is>
          <t>2061-07-30</t>
        </is>
      </c>
    </row>
    <row r="59063">
      <c r="A59063" s="1" t="n">
        <v>59062</v>
      </c>
      <c r="B59063">
        <f>TEXT(59062, "[$-0E0000]yyyy-mm-dd")</f>
        <v/>
      </c>
      <c r="C59063" t="inlineStr">
        <is>
          <t>2061-08-01</t>
        </is>
      </c>
    </row>
    <row r="59064">
      <c r="A59064" s="1" t="n">
        <v>59063</v>
      </c>
      <c r="B59064">
        <f>TEXT(59063, "[$-0E0000]yyyy-mm-dd")</f>
        <v/>
      </c>
      <c r="C59064" t="inlineStr">
        <is>
          <t>2061-08-02</t>
        </is>
      </c>
    </row>
    <row r="59065">
      <c r="A59065" s="1" t="n">
        <v>59064</v>
      </c>
      <c r="B59065">
        <f>TEXT(59064, "[$-0E0000]yyyy-mm-dd")</f>
        <v/>
      </c>
      <c r="C59065" t="inlineStr">
        <is>
          <t>2061-08-03</t>
        </is>
      </c>
    </row>
    <row r="59066">
      <c r="A59066" s="1" t="n">
        <v>59065</v>
      </c>
      <c r="B59066">
        <f>TEXT(59065, "[$-0E0000]yyyy-mm-dd")</f>
        <v/>
      </c>
      <c r="C59066" t="inlineStr">
        <is>
          <t>2061-08-04</t>
        </is>
      </c>
    </row>
    <row r="59067">
      <c r="A59067" s="1" t="n">
        <v>59066</v>
      </c>
      <c r="B59067">
        <f>TEXT(59066, "[$-0E0000]yyyy-mm-dd")</f>
        <v/>
      </c>
      <c r="C59067" t="inlineStr">
        <is>
          <t>2061-08-05</t>
        </is>
      </c>
    </row>
    <row r="59068">
      <c r="A59068" s="1" t="n">
        <v>59067</v>
      </c>
      <c r="B59068">
        <f>TEXT(59067, "[$-0E0000]yyyy-mm-dd")</f>
        <v/>
      </c>
      <c r="C59068" t="inlineStr">
        <is>
          <t>2061-08-06</t>
        </is>
      </c>
    </row>
    <row r="59069">
      <c r="A59069" s="1" t="n">
        <v>59068</v>
      </c>
      <c r="B59069">
        <f>TEXT(59068, "[$-0E0000]yyyy-mm-dd")</f>
        <v/>
      </c>
      <c r="C59069" t="inlineStr">
        <is>
          <t>2061-08-07</t>
        </is>
      </c>
    </row>
    <row r="59070">
      <c r="A59070" s="1" t="n">
        <v>59069</v>
      </c>
      <c r="B59070">
        <f>TEXT(59069, "[$-0E0000]yyyy-mm-dd")</f>
        <v/>
      </c>
      <c r="C59070" t="inlineStr">
        <is>
          <t>2061-08-08</t>
        </is>
      </c>
    </row>
    <row r="59071">
      <c r="A59071" s="1" t="n">
        <v>59070</v>
      </c>
      <c r="B59071">
        <f>TEXT(59070, "[$-0E0000]yyyy-mm-dd")</f>
        <v/>
      </c>
      <c r="C59071" t="inlineStr">
        <is>
          <t>2061-08-09</t>
        </is>
      </c>
    </row>
    <row r="59072">
      <c r="A59072" s="1" t="n">
        <v>59071</v>
      </c>
      <c r="B59072">
        <f>TEXT(59071, "[$-0E0000]yyyy-mm-dd")</f>
        <v/>
      </c>
      <c r="C59072" t="inlineStr">
        <is>
          <t>2061-08-10</t>
        </is>
      </c>
    </row>
    <row r="59073">
      <c r="A59073" s="1" t="n">
        <v>59072</v>
      </c>
      <c r="B59073">
        <f>TEXT(59072, "[$-0E0000]yyyy-mm-dd")</f>
        <v/>
      </c>
      <c r="C59073" t="inlineStr">
        <is>
          <t>2061-08-11</t>
        </is>
      </c>
    </row>
    <row r="59074">
      <c r="A59074" s="1" t="n">
        <v>59073</v>
      </c>
      <c r="B59074">
        <f>TEXT(59073, "[$-0E0000]yyyy-mm-dd")</f>
        <v/>
      </c>
      <c r="C59074" t="inlineStr">
        <is>
          <t>2061-08-12</t>
        </is>
      </c>
    </row>
    <row r="59075">
      <c r="A59075" s="1" t="n">
        <v>59074</v>
      </c>
      <c r="B59075">
        <f>TEXT(59074, "[$-0E0000]yyyy-mm-dd")</f>
        <v/>
      </c>
      <c r="C59075" t="inlineStr">
        <is>
          <t>2061-08-13</t>
        </is>
      </c>
    </row>
    <row r="59076">
      <c r="A59076" s="1" t="n">
        <v>59075</v>
      </c>
      <c r="B59076">
        <f>TEXT(59075, "[$-0E0000]yyyy-mm-dd")</f>
        <v/>
      </c>
      <c r="C59076" t="inlineStr">
        <is>
          <t>2061-08-14</t>
        </is>
      </c>
    </row>
    <row r="59077">
      <c r="A59077" s="1" t="n">
        <v>59076</v>
      </c>
      <c r="B59077">
        <f>TEXT(59076, "[$-0E0000]yyyy-mm-dd")</f>
        <v/>
      </c>
      <c r="C59077" t="inlineStr">
        <is>
          <t>2061-08-15</t>
        </is>
      </c>
    </row>
    <row r="59078">
      <c r="A59078" s="1" t="n">
        <v>59077</v>
      </c>
      <c r="B59078">
        <f>TEXT(59077, "[$-0E0000]yyyy-mm-dd")</f>
        <v/>
      </c>
      <c r="C59078" t="inlineStr">
        <is>
          <t>2061-08-16</t>
        </is>
      </c>
    </row>
    <row r="59079">
      <c r="A59079" s="1" t="n">
        <v>59078</v>
      </c>
      <c r="B59079">
        <f>TEXT(59078, "[$-0E0000]yyyy-mm-dd")</f>
        <v/>
      </c>
      <c r="C59079" t="inlineStr">
        <is>
          <t>2061-08-17</t>
        </is>
      </c>
    </row>
    <row r="59080">
      <c r="A59080" s="1" t="n">
        <v>59079</v>
      </c>
      <c r="B59080">
        <f>TEXT(59079, "[$-0E0000]yyyy-mm-dd")</f>
        <v/>
      </c>
      <c r="C59080" t="inlineStr">
        <is>
          <t>2061-08-18</t>
        </is>
      </c>
    </row>
    <row r="59081">
      <c r="A59081" s="1" t="n">
        <v>59080</v>
      </c>
      <c r="B59081">
        <f>TEXT(59080, "[$-0E0000]yyyy-mm-dd")</f>
        <v/>
      </c>
      <c r="C59081" t="inlineStr">
        <is>
          <t>2061-08-19</t>
        </is>
      </c>
    </row>
    <row r="59082">
      <c r="A59082" s="1" t="n">
        <v>59081</v>
      </c>
      <c r="B59082">
        <f>TEXT(59081, "[$-0E0000]yyyy-mm-dd")</f>
        <v/>
      </c>
      <c r="C59082" t="inlineStr">
        <is>
          <t>2061-08-20</t>
        </is>
      </c>
    </row>
    <row r="59083">
      <c r="A59083" s="1" t="n">
        <v>59082</v>
      </c>
      <c r="B59083">
        <f>TEXT(59082, "[$-0E0000]yyyy-mm-dd")</f>
        <v/>
      </c>
      <c r="C59083" t="inlineStr">
        <is>
          <t>2061-08-21</t>
        </is>
      </c>
    </row>
    <row r="59084">
      <c r="A59084" s="1" t="n">
        <v>59083</v>
      </c>
      <c r="B59084">
        <f>TEXT(59083, "[$-0E0000]yyyy-mm-dd")</f>
        <v/>
      </c>
      <c r="C59084" t="inlineStr">
        <is>
          <t>2061-08-22</t>
        </is>
      </c>
    </row>
    <row r="59085">
      <c r="A59085" s="1" t="n">
        <v>59084</v>
      </c>
      <c r="B59085">
        <f>TEXT(59084, "[$-0E0000]yyyy-mm-dd")</f>
        <v/>
      </c>
      <c r="C59085" t="inlineStr">
        <is>
          <t>2061-08-23</t>
        </is>
      </c>
    </row>
    <row r="59086">
      <c r="A59086" s="1" t="n">
        <v>59085</v>
      </c>
      <c r="B59086">
        <f>TEXT(59085, "[$-0E0000]yyyy-mm-dd")</f>
        <v/>
      </c>
      <c r="C59086" t="inlineStr">
        <is>
          <t>2061-08-24</t>
        </is>
      </c>
    </row>
    <row r="59087">
      <c r="A59087" s="1" t="n">
        <v>59086</v>
      </c>
      <c r="B59087">
        <f>TEXT(59086, "[$-0E0000]yyyy-mm-dd")</f>
        <v/>
      </c>
      <c r="C59087" t="inlineStr">
        <is>
          <t>2061-08-25</t>
        </is>
      </c>
    </row>
    <row r="59088">
      <c r="A59088" s="1" t="n">
        <v>59087</v>
      </c>
      <c r="B59088">
        <f>TEXT(59087, "[$-0E0000]yyyy-mm-dd")</f>
        <v/>
      </c>
      <c r="C59088" t="inlineStr">
        <is>
          <t>2061-08-26</t>
        </is>
      </c>
    </row>
    <row r="59089">
      <c r="A59089" s="1" t="n">
        <v>59088</v>
      </c>
      <c r="B59089">
        <f>TEXT(59088, "[$-0E0000]yyyy-mm-dd")</f>
        <v/>
      </c>
      <c r="C59089" t="inlineStr">
        <is>
          <t>2061-08-27</t>
        </is>
      </c>
    </row>
    <row r="59090">
      <c r="A59090" s="1" t="n">
        <v>59089</v>
      </c>
      <c r="B59090">
        <f>TEXT(59089, "[$-0E0000]yyyy-mm-dd")</f>
        <v/>
      </c>
      <c r="C59090" t="inlineStr">
        <is>
          <t>2061-08-28</t>
        </is>
      </c>
    </row>
    <row r="59091">
      <c r="A59091" s="1" t="n">
        <v>59090</v>
      </c>
      <c r="B59091">
        <f>TEXT(59090, "[$-0E0000]yyyy-mm-dd")</f>
        <v/>
      </c>
      <c r="C59091" t="inlineStr">
        <is>
          <t>2061-08-29</t>
        </is>
      </c>
    </row>
    <row r="59092">
      <c r="A59092" s="1" t="n">
        <v>59091</v>
      </c>
      <c r="B59092">
        <f>TEXT(59091, "[$-0E0000]yyyy-mm-dd")</f>
        <v/>
      </c>
      <c r="C59092" t="inlineStr">
        <is>
          <t>2061-09-01</t>
        </is>
      </c>
    </row>
    <row r="59093">
      <c r="A59093" s="1" t="n">
        <v>59092</v>
      </c>
      <c r="B59093">
        <f>TEXT(59092, "[$-0E0000]yyyy-mm-dd")</f>
        <v/>
      </c>
      <c r="C59093" t="inlineStr">
        <is>
          <t>2061-09-02</t>
        </is>
      </c>
    </row>
    <row r="59094">
      <c r="A59094" s="1" t="n">
        <v>59093</v>
      </c>
      <c r="B59094">
        <f>TEXT(59093, "[$-0E0000]yyyy-mm-dd")</f>
        <v/>
      </c>
      <c r="C59094" t="inlineStr">
        <is>
          <t>2061-09-03</t>
        </is>
      </c>
    </row>
    <row r="59095">
      <c r="A59095" s="1" t="n">
        <v>59094</v>
      </c>
      <c r="B59095">
        <f>TEXT(59094, "[$-0E0000]yyyy-mm-dd")</f>
        <v/>
      </c>
      <c r="C59095" t="inlineStr">
        <is>
          <t>2061-09-04</t>
        </is>
      </c>
    </row>
    <row r="59096">
      <c r="A59096" s="1" t="n">
        <v>59095</v>
      </c>
      <c r="B59096">
        <f>TEXT(59095, "[$-0E0000]yyyy-mm-dd")</f>
        <v/>
      </c>
      <c r="C59096" t="inlineStr">
        <is>
          <t>2061-09-05</t>
        </is>
      </c>
    </row>
    <row r="59097">
      <c r="A59097" s="1" t="n">
        <v>59096</v>
      </c>
      <c r="B59097">
        <f>TEXT(59096, "[$-0E0000]yyyy-mm-dd")</f>
        <v/>
      </c>
      <c r="C59097" t="inlineStr">
        <is>
          <t>2061-09-06</t>
        </is>
      </c>
    </row>
    <row r="59098">
      <c r="A59098" s="1" t="n">
        <v>59097</v>
      </c>
      <c r="B59098">
        <f>TEXT(59097, "[$-0E0000]yyyy-mm-dd")</f>
        <v/>
      </c>
      <c r="C59098" t="inlineStr">
        <is>
          <t>2061-09-07</t>
        </is>
      </c>
    </row>
    <row r="59099">
      <c r="A59099" s="1" t="n">
        <v>59098</v>
      </c>
      <c r="B59099">
        <f>TEXT(59098, "[$-0E0000]yyyy-mm-dd")</f>
        <v/>
      </c>
      <c r="C59099" t="inlineStr">
        <is>
          <t>2061-09-08</t>
        </is>
      </c>
    </row>
    <row r="59100">
      <c r="A59100" s="1" t="n">
        <v>59099</v>
      </c>
      <c r="B59100">
        <f>TEXT(59099, "[$-0E0000]yyyy-mm-dd")</f>
        <v/>
      </c>
      <c r="C59100" t="inlineStr">
        <is>
          <t>2061-09-09</t>
        </is>
      </c>
    </row>
    <row r="59101">
      <c r="A59101" s="1" t="n">
        <v>59100</v>
      </c>
      <c r="B59101">
        <f>TEXT(59100, "[$-0E0000]yyyy-mm-dd")</f>
        <v/>
      </c>
      <c r="C59101" t="inlineStr">
        <is>
          <t>2061-09-10</t>
        </is>
      </c>
    </row>
    <row r="59102">
      <c r="A59102" s="1" t="n">
        <v>59101</v>
      </c>
      <c r="B59102">
        <f>TEXT(59101, "[$-0E0000]yyyy-mm-dd")</f>
        <v/>
      </c>
      <c r="C59102" t="inlineStr">
        <is>
          <t>2061-09-11</t>
        </is>
      </c>
    </row>
    <row r="59103">
      <c r="A59103" s="1" t="n">
        <v>59102</v>
      </c>
      <c r="B59103">
        <f>TEXT(59102, "[$-0E0000]yyyy-mm-dd")</f>
        <v/>
      </c>
      <c r="C59103" t="inlineStr">
        <is>
          <t>2061-09-12</t>
        </is>
      </c>
    </row>
    <row r="59104">
      <c r="A59104" s="1" t="n">
        <v>59103</v>
      </c>
      <c r="B59104">
        <f>TEXT(59103, "[$-0E0000]yyyy-mm-dd")</f>
        <v/>
      </c>
      <c r="C59104" t="inlineStr">
        <is>
          <t>2061-09-13</t>
        </is>
      </c>
    </row>
    <row r="59105">
      <c r="A59105" s="1" t="n">
        <v>59104</v>
      </c>
      <c r="B59105">
        <f>TEXT(59104, "[$-0E0000]yyyy-mm-dd")</f>
        <v/>
      </c>
      <c r="C59105" t="inlineStr">
        <is>
          <t>2061-09-14</t>
        </is>
      </c>
    </row>
    <row r="59106">
      <c r="A59106" s="1" t="n">
        <v>59105</v>
      </c>
      <c r="B59106">
        <f>TEXT(59105, "[$-0E0000]yyyy-mm-dd")</f>
        <v/>
      </c>
      <c r="C59106" t="inlineStr">
        <is>
          <t>2061-09-15</t>
        </is>
      </c>
    </row>
    <row r="59107">
      <c r="A59107" s="1" t="n">
        <v>59106</v>
      </c>
      <c r="B59107">
        <f>TEXT(59106, "[$-0E0000]yyyy-mm-dd")</f>
        <v/>
      </c>
      <c r="C59107" t="inlineStr">
        <is>
          <t>2061-09-16</t>
        </is>
      </c>
    </row>
    <row r="59108">
      <c r="A59108" s="1" t="n">
        <v>59107</v>
      </c>
      <c r="B59108">
        <f>TEXT(59107, "[$-0E0000]yyyy-mm-dd")</f>
        <v/>
      </c>
      <c r="C59108" t="inlineStr">
        <is>
          <t>2061-09-17</t>
        </is>
      </c>
    </row>
    <row r="59109">
      <c r="A59109" s="1" t="n">
        <v>59108</v>
      </c>
      <c r="B59109">
        <f>TEXT(59108, "[$-0E0000]yyyy-mm-dd")</f>
        <v/>
      </c>
      <c r="C59109" t="inlineStr">
        <is>
          <t>2061-09-18</t>
        </is>
      </c>
    </row>
    <row r="59110">
      <c r="A59110" s="1" t="n">
        <v>59109</v>
      </c>
      <c r="B59110">
        <f>TEXT(59109, "[$-0E0000]yyyy-mm-dd")</f>
        <v/>
      </c>
      <c r="C59110" t="inlineStr">
        <is>
          <t>2061-09-19</t>
        </is>
      </c>
    </row>
    <row r="59111">
      <c r="A59111" s="1" t="n">
        <v>59110</v>
      </c>
      <c r="B59111">
        <f>TEXT(59110, "[$-0E0000]yyyy-mm-dd")</f>
        <v/>
      </c>
      <c r="C59111" t="inlineStr">
        <is>
          <t>2061-09-20</t>
        </is>
      </c>
    </row>
    <row r="59112">
      <c r="A59112" s="1" t="n">
        <v>59111</v>
      </c>
      <c r="B59112">
        <f>TEXT(59111, "[$-0E0000]yyyy-mm-dd")</f>
        <v/>
      </c>
      <c r="C59112" t="inlineStr">
        <is>
          <t>2061-09-21</t>
        </is>
      </c>
    </row>
    <row r="59113">
      <c r="A59113" s="1" t="n">
        <v>59112</v>
      </c>
      <c r="B59113">
        <f>TEXT(59112, "[$-0E0000]yyyy-mm-dd")</f>
        <v/>
      </c>
      <c r="C59113" t="inlineStr">
        <is>
          <t>2061-09-22</t>
        </is>
      </c>
    </row>
    <row r="59114">
      <c r="A59114" s="1" t="n">
        <v>59113</v>
      </c>
      <c r="B59114">
        <f>TEXT(59113, "[$-0E0000]yyyy-mm-dd")</f>
        <v/>
      </c>
      <c r="C59114" t="inlineStr">
        <is>
          <t>2061-09-23</t>
        </is>
      </c>
    </row>
    <row r="59115">
      <c r="A59115" s="1" t="n">
        <v>59114</v>
      </c>
      <c r="B59115">
        <f>TEXT(59114, "[$-0E0000]yyyy-mm-dd")</f>
        <v/>
      </c>
      <c r="C59115" t="inlineStr">
        <is>
          <t>2061-09-24</t>
        </is>
      </c>
    </row>
    <row r="59116">
      <c r="A59116" s="1" t="n">
        <v>59115</v>
      </c>
      <c r="B59116">
        <f>TEXT(59115, "[$-0E0000]yyyy-mm-dd")</f>
        <v/>
      </c>
      <c r="C59116" t="inlineStr">
        <is>
          <t>2061-09-25</t>
        </is>
      </c>
    </row>
    <row r="59117">
      <c r="A59117" s="1" t="n">
        <v>59116</v>
      </c>
      <c r="B59117">
        <f>TEXT(59116, "[$-0E0000]yyyy-mm-dd")</f>
        <v/>
      </c>
      <c r="C59117" t="inlineStr">
        <is>
          <t>2061-09-26</t>
        </is>
      </c>
    </row>
    <row r="59118">
      <c r="A59118" s="1" t="n">
        <v>59117</v>
      </c>
      <c r="B59118">
        <f>TEXT(59117, "[$-0E0000]yyyy-mm-dd")</f>
        <v/>
      </c>
      <c r="C59118" t="inlineStr">
        <is>
          <t>2061-09-27</t>
        </is>
      </c>
    </row>
    <row r="59119">
      <c r="A59119" s="1" t="n">
        <v>59118</v>
      </c>
      <c r="B59119">
        <f>TEXT(59118, "[$-0E0000]yyyy-mm-dd")</f>
        <v/>
      </c>
      <c r="C59119" t="inlineStr">
        <is>
          <t>2061-09-28</t>
        </is>
      </c>
    </row>
    <row r="59120">
      <c r="A59120" s="1" t="n">
        <v>59119</v>
      </c>
      <c r="B59120">
        <f>TEXT(59119, "[$-0E0000]yyyy-mm-dd")</f>
        <v/>
      </c>
      <c r="C59120" t="inlineStr">
        <is>
          <t>2061-09-29</t>
        </is>
      </c>
    </row>
    <row r="59121">
      <c r="A59121" s="1" t="n">
        <v>59120</v>
      </c>
      <c r="B59121">
        <f>TEXT(59120, "[$-0E0000]yyyy-mm-dd")</f>
        <v/>
      </c>
      <c r="C59121" t="inlineStr">
        <is>
          <t>2061-09-30</t>
        </is>
      </c>
    </row>
    <row r="59122">
      <c r="A59122" s="1" t="n">
        <v>59121</v>
      </c>
      <c r="B59122">
        <f>TEXT(59121, "[$-0E0000]yyyy-mm-dd")</f>
        <v/>
      </c>
      <c r="C59122" t="inlineStr">
        <is>
          <t>2061-10-01</t>
        </is>
      </c>
    </row>
    <row r="59123">
      <c r="A59123" s="1" t="n">
        <v>59122</v>
      </c>
      <c r="B59123">
        <f>TEXT(59122, "[$-0E0000]yyyy-mm-dd")</f>
        <v/>
      </c>
      <c r="C59123" t="inlineStr">
        <is>
          <t>2061-10-02</t>
        </is>
      </c>
    </row>
    <row r="59124">
      <c r="A59124" s="1" t="n">
        <v>59123</v>
      </c>
      <c r="B59124">
        <f>TEXT(59123, "[$-0E0000]yyyy-mm-dd")</f>
        <v/>
      </c>
      <c r="C59124" t="inlineStr">
        <is>
          <t>2061-10-03</t>
        </is>
      </c>
    </row>
    <row r="59125">
      <c r="A59125" s="1" t="n">
        <v>59124</v>
      </c>
      <c r="B59125">
        <f>TEXT(59124, "[$-0E0000]yyyy-mm-dd")</f>
        <v/>
      </c>
      <c r="C59125" t="inlineStr">
        <is>
          <t>2061-10-04</t>
        </is>
      </c>
    </row>
    <row r="59126">
      <c r="A59126" s="1" t="n">
        <v>59125</v>
      </c>
      <c r="B59126">
        <f>TEXT(59125, "[$-0E0000]yyyy-mm-dd")</f>
        <v/>
      </c>
      <c r="C59126" t="inlineStr">
        <is>
          <t>2061-10-05</t>
        </is>
      </c>
    </row>
    <row r="59127">
      <c r="A59127" s="1" t="n">
        <v>59126</v>
      </c>
      <c r="B59127">
        <f>TEXT(59126, "[$-0E0000]yyyy-mm-dd")</f>
        <v/>
      </c>
      <c r="C59127" t="inlineStr">
        <is>
          <t>2061-10-06</t>
        </is>
      </c>
    </row>
    <row r="59128">
      <c r="A59128" s="1" t="n">
        <v>59127</v>
      </c>
      <c r="B59128">
        <f>TEXT(59127, "[$-0E0000]yyyy-mm-dd")</f>
        <v/>
      </c>
      <c r="C59128" t="inlineStr">
        <is>
          <t>2061-10-07</t>
        </is>
      </c>
    </row>
    <row r="59129">
      <c r="A59129" s="1" t="n">
        <v>59128</v>
      </c>
      <c r="B59129">
        <f>TEXT(59128, "[$-0E0000]yyyy-mm-dd")</f>
        <v/>
      </c>
      <c r="C59129" t="inlineStr">
        <is>
          <t>2061-10-08</t>
        </is>
      </c>
    </row>
    <row r="59130">
      <c r="A59130" s="1" t="n">
        <v>59129</v>
      </c>
      <c r="B59130">
        <f>TEXT(59129, "[$-0E0000]yyyy-mm-dd")</f>
        <v/>
      </c>
      <c r="C59130" t="inlineStr">
        <is>
          <t>2061-10-09</t>
        </is>
      </c>
    </row>
    <row r="59131">
      <c r="A59131" s="1" t="n">
        <v>59130</v>
      </c>
      <c r="B59131">
        <f>TEXT(59130, "[$-0E0000]yyyy-mm-dd")</f>
        <v/>
      </c>
      <c r="C59131" t="inlineStr">
        <is>
          <t>2061-10-10</t>
        </is>
      </c>
    </row>
    <row r="59132">
      <c r="A59132" s="1" t="n">
        <v>59131</v>
      </c>
      <c r="B59132">
        <f>TEXT(59131, "[$-0E0000]yyyy-mm-dd")</f>
        <v/>
      </c>
      <c r="C59132" t="inlineStr">
        <is>
          <t>2061-10-11</t>
        </is>
      </c>
    </row>
    <row r="59133">
      <c r="A59133" s="1" t="n">
        <v>59132</v>
      </c>
      <c r="B59133">
        <f>TEXT(59132, "[$-0E0000]yyyy-mm-dd")</f>
        <v/>
      </c>
      <c r="C59133" t="inlineStr">
        <is>
          <t>2061-10-12</t>
        </is>
      </c>
    </row>
    <row r="59134">
      <c r="A59134" s="1" t="n">
        <v>59133</v>
      </c>
      <c r="B59134">
        <f>TEXT(59133, "[$-0E0000]yyyy-mm-dd")</f>
        <v/>
      </c>
      <c r="C59134" t="inlineStr">
        <is>
          <t>2061-10-13</t>
        </is>
      </c>
    </row>
    <row r="59135">
      <c r="A59135" s="1" t="n">
        <v>59134</v>
      </c>
      <c r="B59135">
        <f>TEXT(59134, "[$-0E0000]yyyy-mm-dd")</f>
        <v/>
      </c>
      <c r="C59135" t="inlineStr">
        <is>
          <t>2061-10-14</t>
        </is>
      </c>
    </row>
    <row r="59136">
      <c r="A59136" s="1" t="n">
        <v>59135</v>
      </c>
      <c r="B59136">
        <f>TEXT(59135, "[$-0E0000]yyyy-mm-dd")</f>
        <v/>
      </c>
      <c r="C59136" t="inlineStr">
        <is>
          <t>2061-10-15</t>
        </is>
      </c>
    </row>
    <row r="59137">
      <c r="A59137" s="1" t="n">
        <v>59136</v>
      </c>
      <c r="B59137">
        <f>TEXT(59136, "[$-0E0000]yyyy-mm-dd")</f>
        <v/>
      </c>
      <c r="C59137" t="inlineStr">
        <is>
          <t>2061-10-16</t>
        </is>
      </c>
    </row>
    <row r="59138">
      <c r="A59138" s="1" t="n">
        <v>59137</v>
      </c>
      <c r="B59138">
        <f>TEXT(59137, "[$-0E0000]yyyy-mm-dd")</f>
        <v/>
      </c>
      <c r="C59138" t="inlineStr">
        <is>
          <t>2061-10-17</t>
        </is>
      </c>
    </row>
    <row r="59139">
      <c r="A59139" s="1" t="n">
        <v>59138</v>
      </c>
      <c r="B59139">
        <f>TEXT(59138, "[$-0E0000]yyyy-mm-dd")</f>
        <v/>
      </c>
      <c r="C59139" t="inlineStr">
        <is>
          <t>2061-10-18</t>
        </is>
      </c>
    </row>
    <row r="59140">
      <c r="A59140" s="1" t="n">
        <v>59139</v>
      </c>
      <c r="B59140">
        <f>TEXT(59139, "[$-0E0000]yyyy-mm-dd")</f>
        <v/>
      </c>
      <c r="C59140" t="inlineStr">
        <is>
          <t>2061-10-19</t>
        </is>
      </c>
    </row>
    <row r="59141">
      <c r="A59141" s="1" t="n">
        <v>59140</v>
      </c>
      <c r="B59141">
        <f>TEXT(59140, "[$-0E0000]yyyy-mm-dd")</f>
        <v/>
      </c>
      <c r="C59141" t="inlineStr">
        <is>
          <t>2061-10-20</t>
        </is>
      </c>
    </row>
    <row r="59142">
      <c r="A59142" s="1" t="n">
        <v>59141</v>
      </c>
      <c r="B59142">
        <f>TEXT(59141, "[$-0E0000]yyyy-mm-dd")</f>
        <v/>
      </c>
      <c r="C59142" t="inlineStr">
        <is>
          <t>2061-10-21</t>
        </is>
      </c>
    </row>
    <row r="59143">
      <c r="A59143" s="1" t="n">
        <v>59142</v>
      </c>
      <c r="B59143">
        <f>TEXT(59142, "[$-0E0000]yyyy-mm-dd")</f>
        <v/>
      </c>
      <c r="C59143" t="inlineStr">
        <is>
          <t>2061-10-22</t>
        </is>
      </c>
    </row>
    <row r="59144">
      <c r="A59144" s="1" t="n">
        <v>59143</v>
      </c>
      <c r="B59144">
        <f>TEXT(59143, "[$-0E0000]yyyy-mm-dd")</f>
        <v/>
      </c>
      <c r="C59144" t="inlineStr">
        <is>
          <t>2061-10-23</t>
        </is>
      </c>
    </row>
    <row r="59145">
      <c r="A59145" s="1" t="n">
        <v>59144</v>
      </c>
      <c r="B59145">
        <f>TEXT(59144, "[$-0E0000]yyyy-mm-dd")</f>
        <v/>
      </c>
      <c r="C59145" t="inlineStr">
        <is>
          <t>2061-10-24</t>
        </is>
      </c>
    </row>
    <row r="59146">
      <c r="A59146" s="1" t="n">
        <v>59145</v>
      </c>
      <c r="B59146">
        <f>TEXT(59145, "[$-0E0000]yyyy-mm-dd")</f>
        <v/>
      </c>
      <c r="C59146" t="inlineStr">
        <is>
          <t>2061-10-25</t>
        </is>
      </c>
    </row>
    <row r="59147">
      <c r="A59147" s="1" t="n">
        <v>59146</v>
      </c>
      <c r="B59147">
        <f>TEXT(59146, "[$-0E0000]yyyy-mm-dd")</f>
        <v/>
      </c>
      <c r="C59147" t="inlineStr">
        <is>
          <t>2061-10-26</t>
        </is>
      </c>
    </row>
    <row r="59148">
      <c r="A59148" s="1" t="n">
        <v>59147</v>
      </c>
      <c r="B59148">
        <f>TEXT(59147, "[$-0E0000]yyyy-mm-dd")</f>
        <v/>
      </c>
      <c r="C59148" t="inlineStr">
        <is>
          <t>2061-10-27</t>
        </is>
      </c>
    </row>
    <row r="59149">
      <c r="A59149" s="1" t="n">
        <v>59148</v>
      </c>
      <c r="B59149">
        <f>TEXT(59148, "[$-0E0000]yyyy-mm-dd")</f>
        <v/>
      </c>
      <c r="C59149" t="inlineStr">
        <is>
          <t>2061-10-28</t>
        </is>
      </c>
    </row>
    <row r="59150">
      <c r="A59150" s="1" t="n">
        <v>59149</v>
      </c>
      <c r="B59150">
        <f>TEXT(59149, "[$-0E0000]yyyy-mm-dd")</f>
        <v/>
      </c>
      <c r="C59150" t="inlineStr">
        <is>
          <t>2061-10-29</t>
        </is>
      </c>
    </row>
    <row r="59151">
      <c r="A59151" s="1" t="n">
        <v>59150</v>
      </c>
      <c r="B59151">
        <f>TEXT(59150, "[$-0E0000]yyyy-mm-dd")</f>
        <v/>
      </c>
      <c r="C59151" t="inlineStr">
        <is>
          <t>2061-10-30</t>
        </is>
      </c>
    </row>
    <row r="59152">
      <c r="A59152" s="1" t="n">
        <v>59151</v>
      </c>
      <c r="B59152">
        <f>TEXT(59151, "[$-0E0000]yyyy-mm-dd")</f>
        <v/>
      </c>
      <c r="C59152" t="inlineStr">
        <is>
          <t>2061-11-01</t>
        </is>
      </c>
    </row>
    <row r="59153">
      <c r="A59153" s="1" t="n">
        <v>59152</v>
      </c>
      <c r="B59153">
        <f>TEXT(59152, "[$-0E0000]yyyy-mm-dd")</f>
        <v/>
      </c>
      <c r="C59153" t="inlineStr">
        <is>
          <t>2061-11-02</t>
        </is>
      </c>
    </row>
    <row r="59154">
      <c r="A59154" s="1" t="n">
        <v>59153</v>
      </c>
      <c r="B59154">
        <f>TEXT(59153, "[$-0E0000]yyyy-mm-dd")</f>
        <v/>
      </c>
      <c r="C59154" t="inlineStr">
        <is>
          <t>2061-11-03</t>
        </is>
      </c>
    </row>
    <row r="59155">
      <c r="A59155" s="1" t="n">
        <v>59154</v>
      </c>
      <c r="B59155">
        <f>TEXT(59154, "[$-0E0000]yyyy-mm-dd")</f>
        <v/>
      </c>
      <c r="C59155" t="inlineStr">
        <is>
          <t>2061-11-04</t>
        </is>
      </c>
    </row>
    <row r="59156">
      <c r="A59156" s="1" t="n">
        <v>59155</v>
      </c>
      <c r="B59156">
        <f>TEXT(59155, "[$-0E0000]yyyy-mm-dd")</f>
        <v/>
      </c>
      <c r="C59156" t="inlineStr">
        <is>
          <t>2061-11-05</t>
        </is>
      </c>
    </row>
    <row r="59157">
      <c r="A59157" s="1" t="n">
        <v>59156</v>
      </c>
      <c r="B59157">
        <f>TEXT(59156, "[$-0E0000]yyyy-mm-dd")</f>
        <v/>
      </c>
      <c r="C59157" t="inlineStr">
        <is>
          <t>2061-11-06</t>
        </is>
      </c>
    </row>
    <row r="59158">
      <c r="A59158" s="1" t="n">
        <v>59157</v>
      </c>
      <c r="B59158">
        <f>TEXT(59157, "[$-0E0000]yyyy-mm-dd")</f>
        <v/>
      </c>
      <c r="C59158" t="inlineStr">
        <is>
          <t>2061-11-07</t>
        </is>
      </c>
    </row>
    <row r="59159">
      <c r="A59159" s="1" t="n">
        <v>59158</v>
      </c>
      <c r="B59159">
        <f>TEXT(59158, "[$-0E0000]yyyy-mm-dd")</f>
        <v/>
      </c>
      <c r="C59159" t="inlineStr">
        <is>
          <t>2061-11-08</t>
        </is>
      </c>
    </row>
    <row r="59160">
      <c r="A59160" s="1" t="n">
        <v>59159</v>
      </c>
      <c r="B59160">
        <f>TEXT(59159, "[$-0E0000]yyyy-mm-dd")</f>
        <v/>
      </c>
      <c r="C59160" t="inlineStr">
        <is>
          <t>2061-11-09</t>
        </is>
      </c>
    </row>
    <row r="59161">
      <c r="A59161" s="1" t="n">
        <v>59160</v>
      </c>
      <c r="B59161">
        <f>TEXT(59160, "[$-0E0000]yyyy-mm-dd")</f>
        <v/>
      </c>
      <c r="C59161" t="inlineStr">
        <is>
          <t>2061-11-10</t>
        </is>
      </c>
    </row>
    <row r="59162">
      <c r="A59162" s="1" t="n">
        <v>59161</v>
      </c>
      <c r="B59162">
        <f>TEXT(59161, "[$-0E0000]yyyy-mm-dd")</f>
        <v/>
      </c>
      <c r="C59162" t="inlineStr">
        <is>
          <t>2061-11-11</t>
        </is>
      </c>
    </row>
    <row r="59163">
      <c r="A59163" s="1" t="n">
        <v>59162</v>
      </c>
      <c r="B59163">
        <f>TEXT(59162, "[$-0E0000]yyyy-mm-dd")</f>
        <v/>
      </c>
      <c r="C59163" t="inlineStr">
        <is>
          <t>2061-11-12</t>
        </is>
      </c>
    </row>
    <row r="59164">
      <c r="A59164" s="1" t="n">
        <v>59163</v>
      </c>
      <c r="B59164">
        <f>TEXT(59163, "[$-0E0000]yyyy-mm-dd")</f>
        <v/>
      </c>
      <c r="C59164" t="inlineStr">
        <is>
          <t>2061-11-13</t>
        </is>
      </c>
    </row>
    <row r="59165">
      <c r="A59165" s="1" t="n">
        <v>59164</v>
      </c>
      <c r="B59165">
        <f>TEXT(59164, "[$-0E0000]yyyy-mm-dd")</f>
        <v/>
      </c>
      <c r="C59165" t="inlineStr">
        <is>
          <t>2061-11-14</t>
        </is>
      </c>
    </row>
    <row r="59166">
      <c r="A59166" s="1" t="n">
        <v>59165</v>
      </c>
      <c r="B59166">
        <f>TEXT(59165, "[$-0E0000]yyyy-mm-dd")</f>
        <v/>
      </c>
      <c r="C59166" t="inlineStr">
        <is>
          <t>2061-11-15</t>
        </is>
      </c>
    </row>
    <row r="59167">
      <c r="A59167" s="1" t="n">
        <v>59166</v>
      </c>
      <c r="B59167">
        <f>TEXT(59166, "[$-0E0000]yyyy-mm-dd")</f>
        <v/>
      </c>
      <c r="C59167" t="inlineStr">
        <is>
          <t>2061-11-16</t>
        </is>
      </c>
    </row>
    <row r="59168">
      <c r="A59168" s="1" t="n">
        <v>59167</v>
      </c>
      <c r="B59168">
        <f>TEXT(59167, "[$-0E0000]yyyy-mm-dd")</f>
        <v/>
      </c>
      <c r="C59168" t="inlineStr">
        <is>
          <t>2061-11-17</t>
        </is>
      </c>
    </row>
    <row r="59169">
      <c r="A59169" s="1" t="n">
        <v>59168</v>
      </c>
      <c r="B59169">
        <f>TEXT(59168, "[$-0E0000]yyyy-mm-dd")</f>
        <v/>
      </c>
      <c r="C59169" t="inlineStr">
        <is>
          <t>2061-11-18</t>
        </is>
      </c>
    </row>
    <row r="59170">
      <c r="A59170" s="1" t="n">
        <v>59169</v>
      </c>
      <c r="B59170">
        <f>TEXT(59169, "[$-0E0000]yyyy-mm-dd")</f>
        <v/>
      </c>
      <c r="C59170" t="inlineStr">
        <is>
          <t>2061-11-19</t>
        </is>
      </c>
    </row>
    <row r="59171">
      <c r="A59171" s="1" t="n">
        <v>59170</v>
      </c>
      <c r="B59171">
        <f>TEXT(59170, "[$-0E0000]yyyy-mm-dd")</f>
        <v/>
      </c>
      <c r="C59171" t="inlineStr">
        <is>
          <t>2061-11-20</t>
        </is>
      </c>
    </row>
    <row r="59172">
      <c r="A59172" s="1" t="n">
        <v>59171</v>
      </c>
      <c r="B59172">
        <f>TEXT(59171, "[$-0E0000]yyyy-mm-dd")</f>
        <v/>
      </c>
      <c r="C59172" t="inlineStr">
        <is>
          <t>2061-11-21</t>
        </is>
      </c>
    </row>
    <row r="59173">
      <c r="A59173" s="1" t="n">
        <v>59172</v>
      </c>
      <c r="B59173">
        <f>TEXT(59172, "[$-0E0000]yyyy-mm-dd")</f>
        <v/>
      </c>
      <c r="C59173" t="inlineStr">
        <is>
          <t>2061-11-22</t>
        </is>
      </c>
    </row>
    <row r="59174">
      <c r="A59174" s="1" t="n">
        <v>59173</v>
      </c>
      <c r="B59174">
        <f>TEXT(59173, "[$-0E0000]yyyy-mm-dd")</f>
        <v/>
      </c>
      <c r="C59174" t="inlineStr">
        <is>
          <t>2061-11-23</t>
        </is>
      </c>
    </row>
    <row r="59175">
      <c r="A59175" s="1" t="n">
        <v>59174</v>
      </c>
      <c r="B59175">
        <f>TEXT(59174, "[$-0E0000]yyyy-mm-dd")</f>
        <v/>
      </c>
      <c r="C59175" t="inlineStr">
        <is>
          <t>2061-11-24</t>
        </is>
      </c>
    </row>
    <row r="59176">
      <c r="A59176" s="1" t="n">
        <v>59175</v>
      </c>
      <c r="B59176">
        <f>TEXT(59175, "[$-0E0000]yyyy-mm-dd")</f>
        <v/>
      </c>
      <c r="C59176" t="inlineStr">
        <is>
          <t>2061-11-25</t>
        </is>
      </c>
    </row>
    <row r="59177">
      <c r="A59177" s="1" t="n">
        <v>59176</v>
      </c>
      <c r="B59177">
        <f>TEXT(59176, "[$-0E0000]yyyy-mm-dd")</f>
        <v/>
      </c>
      <c r="C59177" t="inlineStr">
        <is>
          <t>2061-11-26</t>
        </is>
      </c>
    </row>
    <row r="59178">
      <c r="A59178" s="1" t="n">
        <v>59177</v>
      </c>
      <c r="B59178">
        <f>TEXT(59177, "[$-0E0000]yyyy-mm-dd")</f>
        <v/>
      </c>
      <c r="C59178" t="inlineStr">
        <is>
          <t>2061-11-27</t>
        </is>
      </c>
    </row>
    <row r="59179">
      <c r="A59179" s="1" t="n">
        <v>59178</v>
      </c>
      <c r="B59179">
        <f>TEXT(59178, "[$-0E0000]yyyy-mm-dd")</f>
        <v/>
      </c>
      <c r="C59179" t="inlineStr">
        <is>
          <t>2061-11-28</t>
        </is>
      </c>
    </row>
    <row r="59180">
      <c r="A59180" s="1" t="n">
        <v>59179</v>
      </c>
      <c r="B59180">
        <f>TEXT(59179, "[$-0E0000]yyyy-mm-dd")</f>
        <v/>
      </c>
      <c r="C59180" t="inlineStr">
        <is>
          <t>2061-11-29</t>
        </is>
      </c>
    </row>
    <row r="59181">
      <c r="A59181" s="1" t="n">
        <v>59180</v>
      </c>
      <c r="B59181">
        <f>TEXT(59180, "[$-0E0000]yyyy-mm-dd")</f>
        <v/>
      </c>
      <c r="C59181" t="inlineStr">
        <is>
          <t>2061-11-30</t>
        </is>
      </c>
    </row>
    <row r="59182">
      <c r="A59182" s="1" t="n">
        <v>59181</v>
      </c>
      <c r="B59182">
        <f>TEXT(59181, "[$-0E0000]yyyy-mm-dd")</f>
        <v/>
      </c>
      <c r="C59182" t="inlineStr">
        <is>
          <t>2061-12-01</t>
        </is>
      </c>
    </row>
    <row r="59183">
      <c r="A59183" s="1" t="n">
        <v>59182</v>
      </c>
      <c r="B59183">
        <f>TEXT(59182, "[$-0E0000]yyyy-mm-dd")</f>
        <v/>
      </c>
      <c r="C59183" t="inlineStr">
        <is>
          <t>2061-12-02</t>
        </is>
      </c>
    </row>
    <row r="59184">
      <c r="A59184" s="1" t="n">
        <v>59183</v>
      </c>
      <c r="B59184">
        <f>TEXT(59183, "[$-0E0000]yyyy-mm-dd")</f>
        <v/>
      </c>
      <c r="C59184" t="inlineStr">
        <is>
          <t>2061-12-03</t>
        </is>
      </c>
    </row>
    <row r="59185">
      <c r="A59185" s="1" t="n">
        <v>59184</v>
      </c>
      <c r="B59185">
        <f>TEXT(59184, "[$-0E0000]yyyy-mm-dd")</f>
        <v/>
      </c>
      <c r="C59185" t="inlineStr">
        <is>
          <t>2061-12-04</t>
        </is>
      </c>
    </row>
    <row r="59186">
      <c r="A59186" s="1" t="n">
        <v>59185</v>
      </c>
      <c r="B59186">
        <f>TEXT(59185, "[$-0E0000]yyyy-mm-dd")</f>
        <v/>
      </c>
      <c r="C59186" t="inlineStr">
        <is>
          <t>2061-12-05</t>
        </is>
      </c>
    </row>
    <row r="59187">
      <c r="A59187" s="1" t="n">
        <v>59186</v>
      </c>
      <c r="B59187">
        <f>TEXT(59186, "[$-0E0000]yyyy-mm-dd")</f>
        <v/>
      </c>
      <c r="C59187" t="inlineStr">
        <is>
          <t>2061-12-06</t>
        </is>
      </c>
    </row>
    <row r="59188">
      <c r="A59188" s="1" t="n">
        <v>59187</v>
      </c>
      <c r="B59188">
        <f>TEXT(59187, "[$-0E0000]yyyy-mm-dd")</f>
        <v/>
      </c>
      <c r="C59188" t="inlineStr">
        <is>
          <t>2061-12-07</t>
        </is>
      </c>
    </row>
    <row r="59189">
      <c r="A59189" s="1" t="n">
        <v>59188</v>
      </c>
      <c r="B59189">
        <f>TEXT(59188, "[$-0E0000]yyyy-mm-dd")</f>
        <v/>
      </c>
      <c r="C59189" t="inlineStr">
        <is>
          <t>2061-12-08</t>
        </is>
      </c>
    </row>
    <row r="59190">
      <c r="A59190" s="1" t="n">
        <v>59189</v>
      </c>
      <c r="B59190">
        <f>TEXT(59189, "[$-0E0000]yyyy-mm-dd")</f>
        <v/>
      </c>
      <c r="C59190" t="inlineStr">
        <is>
          <t>2061-12-09</t>
        </is>
      </c>
    </row>
    <row r="59191">
      <c r="A59191" s="1" t="n">
        <v>59190</v>
      </c>
      <c r="B59191">
        <f>TEXT(59190, "[$-0E0000]yyyy-mm-dd")</f>
        <v/>
      </c>
      <c r="C59191" t="inlineStr">
        <is>
          <t>2061-12-10</t>
        </is>
      </c>
    </row>
    <row r="59192">
      <c r="A59192" s="1" t="n">
        <v>59191</v>
      </c>
      <c r="B59192">
        <f>TEXT(59191, "[$-0E0000]yyyy-mm-dd")</f>
        <v/>
      </c>
      <c r="C59192" t="inlineStr">
        <is>
          <t>2061-12-11</t>
        </is>
      </c>
    </row>
    <row r="59193">
      <c r="A59193" s="1" t="n">
        <v>59192</v>
      </c>
      <c r="B59193">
        <f>TEXT(59192, "[$-0E0000]yyyy-mm-dd")</f>
        <v/>
      </c>
      <c r="C59193" t="inlineStr">
        <is>
          <t>2061-12-12</t>
        </is>
      </c>
    </row>
    <row r="59194">
      <c r="A59194" s="1" t="n">
        <v>59193</v>
      </c>
      <c r="B59194">
        <f>TEXT(59193, "[$-0E0000]yyyy-mm-dd")</f>
        <v/>
      </c>
      <c r="C59194" t="inlineStr">
        <is>
          <t>2061-12-13</t>
        </is>
      </c>
    </row>
    <row r="59195">
      <c r="A59195" s="1" t="n">
        <v>59194</v>
      </c>
      <c r="B59195">
        <f>TEXT(59194, "[$-0E0000]yyyy-mm-dd")</f>
        <v/>
      </c>
      <c r="C59195" t="inlineStr">
        <is>
          <t>2061-12-14</t>
        </is>
      </c>
    </row>
    <row r="59196">
      <c r="A59196" s="1" t="n">
        <v>59195</v>
      </c>
      <c r="B59196">
        <f>TEXT(59195, "[$-0E0000]yyyy-mm-dd")</f>
        <v/>
      </c>
      <c r="C59196" t="inlineStr">
        <is>
          <t>2061-12-15</t>
        </is>
      </c>
    </row>
    <row r="59197">
      <c r="A59197" s="1" t="n">
        <v>59196</v>
      </c>
      <c r="B59197">
        <f>TEXT(59196, "[$-0E0000]yyyy-mm-dd")</f>
        <v/>
      </c>
      <c r="C59197" t="inlineStr">
        <is>
          <t>2061-12-16</t>
        </is>
      </c>
    </row>
    <row r="59198">
      <c r="A59198" s="1" t="n">
        <v>59197</v>
      </c>
      <c r="B59198">
        <f>TEXT(59197, "[$-0E0000]yyyy-mm-dd")</f>
        <v/>
      </c>
      <c r="C59198" t="inlineStr">
        <is>
          <t>2061-12-17</t>
        </is>
      </c>
    </row>
    <row r="59199">
      <c r="A59199" s="1" t="n">
        <v>59198</v>
      </c>
      <c r="B59199">
        <f>TEXT(59198, "[$-0E0000]yyyy-mm-dd")</f>
        <v/>
      </c>
      <c r="C59199" t="inlineStr">
        <is>
          <t>2061-12-18</t>
        </is>
      </c>
    </row>
    <row r="59200">
      <c r="A59200" s="1" t="n">
        <v>59199</v>
      </c>
      <c r="B59200">
        <f>TEXT(59199, "[$-0E0000]yyyy-mm-dd")</f>
        <v/>
      </c>
      <c r="C59200" t="inlineStr">
        <is>
          <t>2061-12-19</t>
        </is>
      </c>
    </row>
    <row r="59201">
      <c r="A59201" s="1" t="n">
        <v>59200</v>
      </c>
      <c r="B59201">
        <f>TEXT(59200, "[$-0E0000]yyyy-mm-dd")</f>
        <v/>
      </c>
      <c r="C59201" t="inlineStr">
        <is>
          <t>2061-12-20</t>
        </is>
      </c>
    </row>
    <row r="59202">
      <c r="A59202" s="1" t="n">
        <v>59201</v>
      </c>
      <c r="B59202">
        <f>TEXT(59201, "[$-0E0000]yyyy-mm-dd")</f>
        <v/>
      </c>
      <c r="C59202" t="inlineStr">
        <is>
          <t>2061-12-21</t>
        </is>
      </c>
    </row>
    <row r="59203">
      <c r="A59203" s="1" t="n">
        <v>59202</v>
      </c>
      <c r="B59203">
        <f>TEXT(59202, "[$-0E0000]yyyy-mm-dd")</f>
        <v/>
      </c>
      <c r="C59203" t="inlineStr">
        <is>
          <t>2061-12-22</t>
        </is>
      </c>
    </row>
    <row r="59204">
      <c r="A59204" s="1" t="n">
        <v>59203</v>
      </c>
      <c r="B59204">
        <f>TEXT(59203, "[$-0E0000]yyyy-mm-dd")</f>
        <v/>
      </c>
      <c r="C59204" t="inlineStr">
        <is>
          <t>2061-12-23</t>
        </is>
      </c>
    </row>
    <row r="59205">
      <c r="A59205" s="1" t="n">
        <v>59204</v>
      </c>
      <c r="B59205">
        <f>TEXT(59204, "[$-0E0000]yyyy-mm-dd")</f>
        <v/>
      </c>
      <c r="C59205" t="inlineStr">
        <is>
          <t>2061-12-24</t>
        </is>
      </c>
    </row>
    <row r="59206">
      <c r="A59206" s="1" t="n">
        <v>59205</v>
      </c>
      <c r="B59206">
        <f>TEXT(59205, "[$-0E0000]yyyy-mm-dd")</f>
        <v/>
      </c>
      <c r="C59206" t="inlineStr">
        <is>
          <t>2061-12-25</t>
        </is>
      </c>
    </row>
    <row r="59207">
      <c r="A59207" s="1" t="n">
        <v>59206</v>
      </c>
      <c r="B59207">
        <f>TEXT(59206, "[$-0E0000]yyyy-mm-dd")</f>
        <v/>
      </c>
      <c r="C59207" t="inlineStr">
        <is>
          <t>2061-12-26</t>
        </is>
      </c>
    </row>
    <row r="59208">
      <c r="A59208" s="1" t="n">
        <v>59207</v>
      </c>
      <c r="B59208">
        <f>TEXT(59207, "[$-0E0000]yyyy-mm-dd")</f>
        <v/>
      </c>
      <c r="C59208" t="inlineStr">
        <is>
          <t>2061-12-27</t>
        </is>
      </c>
    </row>
    <row r="59209">
      <c r="A59209" s="1" t="n">
        <v>59208</v>
      </c>
      <c r="B59209">
        <f>TEXT(59208, "[$-0E0000]yyyy-mm-dd")</f>
        <v/>
      </c>
      <c r="C59209" t="inlineStr">
        <is>
          <t>2061-12-28</t>
        </is>
      </c>
    </row>
    <row r="59210">
      <c r="A59210" s="1" t="n">
        <v>59209</v>
      </c>
      <c r="B59210">
        <f>TEXT(59209, "[$-0E0000]yyyy-mm-dd")</f>
        <v/>
      </c>
      <c r="C59210" t="inlineStr">
        <is>
          <t>2061-12-29</t>
        </is>
      </c>
    </row>
    <row r="59211">
      <c r="A59211" s="1" t="n">
        <v>59210</v>
      </c>
      <c r="B59211">
        <f>TEXT(59210, "[$-0E0000]yyyy-mm-dd")</f>
        <v/>
      </c>
      <c r="C59211" t="inlineStr">
        <is>
          <t>2062-01-01</t>
        </is>
      </c>
    </row>
    <row r="59212">
      <c r="A59212" s="1" t="n">
        <v>59211</v>
      </c>
      <c r="B59212">
        <f>TEXT(59211, "[$-0E0000]yyyy-mm-dd")</f>
        <v/>
      </c>
      <c r="C59212" t="inlineStr">
        <is>
          <t>2062-01-02</t>
        </is>
      </c>
    </row>
    <row r="59213">
      <c r="A59213" s="1" t="n">
        <v>59212</v>
      </c>
      <c r="B59213">
        <f>TEXT(59212, "[$-0E0000]yyyy-mm-dd")</f>
        <v/>
      </c>
      <c r="C59213" t="inlineStr">
        <is>
          <t>2062-01-03</t>
        </is>
      </c>
    </row>
    <row r="59214">
      <c r="A59214" s="1" t="n">
        <v>59213</v>
      </c>
      <c r="B59214">
        <f>TEXT(59213, "[$-0E0000]yyyy-mm-dd")</f>
        <v/>
      </c>
      <c r="C59214" t="inlineStr">
        <is>
          <t>2062-01-04</t>
        </is>
      </c>
    </row>
    <row r="59215">
      <c r="A59215" s="1" t="n">
        <v>59214</v>
      </c>
      <c r="B59215">
        <f>TEXT(59214, "[$-0E0000]yyyy-mm-dd")</f>
        <v/>
      </c>
      <c r="C59215" t="inlineStr">
        <is>
          <t>2062-01-05</t>
        </is>
      </c>
    </row>
    <row r="59216">
      <c r="A59216" s="1" t="n">
        <v>59215</v>
      </c>
      <c r="B59216">
        <f>TEXT(59215, "[$-0E0000]yyyy-mm-dd")</f>
        <v/>
      </c>
      <c r="C59216" t="inlineStr">
        <is>
          <t>2062-01-06</t>
        </is>
      </c>
    </row>
    <row r="59217">
      <c r="A59217" s="1" t="n">
        <v>59216</v>
      </c>
      <c r="B59217">
        <f>TEXT(59216, "[$-0E0000]yyyy-mm-dd")</f>
        <v/>
      </c>
      <c r="C59217" t="inlineStr">
        <is>
          <t>2062-01-07</t>
        </is>
      </c>
    </row>
    <row r="59218">
      <c r="A59218" s="1" t="n">
        <v>59217</v>
      </c>
      <c r="B59218">
        <f>TEXT(59217, "[$-0E0000]yyyy-mm-dd")</f>
        <v/>
      </c>
      <c r="C59218" t="inlineStr">
        <is>
          <t>2062-01-08</t>
        </is>
      </c>
    </row>
    <row r="59219">
      <c r="A59219" s="1" t="n">
        <v>59218</v>
      </c>
      <c r="B59219">
        <f>TEXT(59218, "[$-0E0000]yyyy-mm-dd")</f>
        <v/>
      </c>
      <c r="C59219" t="inlineStr">
        <is>
          <t>2062-01-09</t>
        </is>
      </c>
    </row>
    <row r="59220">
      <c r="A59220" s="1" t="n">
        <v>59219</v>
      </c>
      <c r="B59220">
        <f>TEXT(59219, "[$-0E0000]yyyy-mm-dd")</f>
        <v/>
      </c>
      <c r="C59220" t="inlineStr">
        <is>
          <t>2062-01-10</t>
        </is>
      </c>
    </row>
    <row r="59221">
      <c r="A59221" s="1" t="n">
        <v>59220</v>
      </c>
      <c r="B59221">
        <f>TEXT(59220, "[$-0E0000]yyyy-mm-dd")</f>
        <v/>
      </c>
      <c r="C59221" t="inlineStr">
        <is>
          <t>2062-01-11</t>
        </is>
      </c>
    </row>
    <row r="59222">
      <c r="A59222" s="1" t="n">
        <v>59221</v>
      </c>
      <c r="B59222">
        <f>TEXT(59221, "[$-0E0000]yyyy-mm-dd")</f>
        <v/>
      </c>
      <c r="C59222" t="inlineStr">
        <is>
          <t>2062-01-12</t>
        </is>
      </c>
    </row>
    <row r="59223">
      <c r="A59223" s="1" t="n">
        <v>59222</v>
      </c>
      <c r="B59223">
        <f>TEXT(59222, "[$-0E0000]yyyy-mm-dd")</f>
        <v/>
      </c>
      <c r="C59223" t="inlineStr">
        <is>
          <t>2062-01-13</t>
        </is>
      </c>
    </row>
    <row r="59224">
      <c r="A59224" s="1" t="n">
        <v>59223</v>
      </c>
      <c r="B59224">
        <f>TEXT(59223, "[$-0E0000]yyyy-mm-dd")</f>
        <v/>
      </c>
      <c r="C59224" t="inlineStr">
        <is>
          <t>2062-01-14</t>
        </is>
      </c>
    </row>
    <row r="59225">
      <c r="A59225" s="1" t="n">
        <v>59224</v>
      </c>
      <c r="B59225">
        <f>TEXT(59224, "[$-0E0000]yyyy-mm-dd")</f>
        <v/>
      </c>
      <c r="C59225" t="inlineStr">
        <is>
          <t>2062-01-15</t>
        </is>
      </c>
    </row>
    <row r="59226">
      <c r="A59226" s="1" t="n">
        <v>59225</v>
      </c>
      <c r="B59226">
        <f>TEXT(59225, "[$-0E0000]yyyy-mm-dd")</f>
        <v/>
      </c>
      <c r="C59226" t="inlineStr">
        <is>
          <t>2062-01-16</t>
        </is>
      </c>
    </row>
    <row r="59227">
      <c r="A59227" s="1" t="n">
        <v>59226</v>
      </c>
      <c r="B59227">
        <f>TEXT(59226, "[$-0E0000]yyyy-mm-dd")</f>
        <v/>
      </c>
      <c r="C59227" t="inlineStr">
        <is>
          <t>2062-01-17</t>
        </is>
      </c>
    </row>
    <row r="59228">
      <c r="A59228" s="1" t="n">
        <v>59227</v>
      </c>
      <c r="B59228">
        <f>TEXT(59227, "[$-0E0000]yyyy-mm-dd")</f>
        <v/>
      </c>
      <c r="C59228" t="inlineStr">
        <is>
          <t>2062-01-18</t>
        </is>
      </c>
    </row>
    <row r="59229">
      <c r="A59229" s="1" t="n">
        <v>59228</v>
      </c>
      <c r="B59229">
        <f>TEXT(59228, "[$-0E0000]yyyy-mm-dd")</f>
        <v/>
      </c>
      <c r="C59229" t="inlineStr">
        <is>
          <t>2062-01-19</t>
        </is>
      </c>
    </row>
    <row r="59230">
      <c r="A59230" s="1" t="n">
        <v>59229</v>
      </c>
      <c r="B59230">
        <f>TEXT(59229, "[$-0E0000]yyyy-mm-dd")</f>
        <v/>
      </c>
      <c r="C59230" t="inlineStr">
        <is>
          <t>2062-01-20</t>
        </is>
      </c>
    </row>
    <row r="59231">
      <c r="A59231" s="1" t="n">
        <v>59230</v>
      </c>
      <c r="B59231">
        <f>TEXT(59230, "[$-0E0000]yyyy-mm-dd")</f>
        <v/>
      </c>
      <c r="C59231" t="inlineStr">
        <is>
          <t>2062-01-21</t>
        </is>
      </c>
    </row>
    <row r="59232">
      <c r="A59232" s="1" t="n">
        <v>59231</v>
      </c>
      <c r="B59232">
        <f>TEXT(59231, "[$-0E0000]yyyy-mm-dd")</f>
        <v/>
      </c>
      <c r="C59232" t="inlineStr">
        <is>
          <t>2062-01-22</t>
        </is>
      </c>
    </row>
    <row r="59233">
      <c r="A59233" s="1" t="n">
        <v>59232</v>
      </c>
      <c r="B59233">
        <f>TEXT(59232, "[$-0E0000]yyyy-mm-dd")</f>
        <v/>
      </c>
      <c r="C59233" t="inlineStr">
        <is>
          <t>2062-01-23</t>
        </is>
      </c>
    </row>
    <row r="59234">
      <c r="A59234" s="1" t="n">
        <v>59233</v>
      </c>
      <c r="B59234">
        <f>TEXT(59233, "[$-0E0000]yyyy-mm-dd")</f>
        <v/>
      </c>
      <c r="C59234" t="inlineStr">
        <is>
          <t>2062-01-24</t>
        </is>
      </c>
    </row>
    <row r="59235">
      <c r="A59235" s="1" t="n">
        <v>59234</v>
      </c>
      <c r="B59235">
        <f>TEXT(59234, "[$-0E0000]yyyy-mm-dd")</f>
        <v/>
      </c>
      <c r="C59235" t="inlineStr">
        <is>
          <t>2062-01-25</t>
        </is>
      </c>
    </row>
    <row r="59236">
      <c r="A59236" s="1" t="n">
        <v>59235</v>
      </c>
      <c r="B59236">
        <f>TEXT(59235, "[$-0E0000]yyyy-mm-dd")</f>
        <v/>
      </c>
      <c r="C59236" t="inlineStr">
        <is>
          <t>2062-01-26</t>
        </is>
      </c>
    </row>
    <row r="59237">
      <c r="A59237" s="1" t="n">
        <v>59236</v>
      </c>
      <c r="B59237">
        <f>TEXT(59236, "[$-0E0000]yyyy-mm-dd")</f>
        <v/>
      </c>
      <c r="C59237" t="inlineStr">
        <is>
          <t>2062-01-27</t>
        </is>
      </c>
    </row>
    <row r="59238">
      <c r="A59238" s="1" t="n">
        <v>59237</v>
      </c>
      <c r="B59238">
        <f>TEXT(59237, "[$-0E0000]yyyy-mm-dd")</f>
        <v/>
      </c>
      <c r="C59238" t="inlineStr">
        <is>
          <t>2062-01-28</t>
        </is>
      </c>
    </row>
    <row r="59239">
      <c r="A59239" s="1" t="n">
        <v>59238</v>
      </c>
      <c r="B59239">
        <f>TEXT(59238, "[$-0E0000]yyyy-mm-dd")</f>
        <v/>
      </c>
      <c r="C59239" t="inlineStr">
        <is>
          <t>2062-01-29</t>
        </is>
      </c>
    </row>
    <row r="59240">
      <c r="A59240" s="1" t="n">
        <v>59239</v>
      </c>
      <c r="B59240">
        <f>TEXT(59239, "[$-0E0000]yyyy-mm-dd")</f>
        <v/>
      </c>
      <c r="C59240" t="inlineStr">
        <is>
          <t>2062-01-30</t>
        </is>
      </c>
    </row>
    <row r="59241">
      <c r="A59241" s="1" t="n">
        <v>59240</v>
      </c>
      <c r="B59241">
        <f>TEXT(59240, "[$-0E0000]yyyy-mm-dd")</f>
        <v/>
      </c>
      <c r="C59241" t="inlineStr">
        <is>
          <t>2062-02-01</t>
        </is>
      </c>
    </row>
    <row r="59242">
      <c r="A59242" s="1" t="n">
        <v>59241</v>
      </c>
      <c r="B59242">
        <f>TEXT(59241, "[$-0E0000]yyyy-mm-dd")</f>
        <v/>
      </c>
      <c r="C59242" t="inlineStr">
        <is>
          <t>2062-02-02</t>
        </is>
      </c>
    </row>
    <row r="59243">
      <c r="A59243" s="1" t="n">
        <v>59242</v>
      </c>
      <c r="B59243">
        <f>TEXT(59242, "[$-0E0000]yyyy-mm-dd")</f>
        <v/>
      </c>
      <c r="C59243" t="inlineStr">
        <is>
          <t>2062-02-03</t>
        </is>
      </c>
    </row>
    <row r="59244">
      <c r="A59244" s="1" t="n">
        <v>59243</v>
      </c>
      <c r="B59244">
        <f>TEXT(59243, "[$-0E0000]yyyy-mm-dd")</f>
        <v/>
      </c>
      <c r="C59244" t="inlineStr">
        <is>
          <t>2062-02-04</t>
        </is>
      </c>
    </row>
    <row r="59245">
      <c r="A59245" s="1" t="n">
        <v>59244</v>
      </c>
      <c r="B59245">
        <f>TEXT(59244, "[$-0E0000]yyyy-mm-dd")</f>
        <v/>
      </c>
      <c r="C59245" t="inlineStr">
        <is>
          <t>2062-02-05</t>
        </is>
      </c>
    </row>
    <row r="59246">
      <c r="A59246" s="1" t="n">
        <v>59245</v>
      </c>
      <c r="B59246">
        <f>TEXT(59245, "[$-0E0000]yyyy-mm-dd")</f>
        <v/>
      </c>
      <c r="C59246" t="inlineStr">
        <is>
          <t>2062-02-06</t>
        </is>
      </c>
    </row>
    <row r="59247">
      <c r="A59247" s="1" t="n">
        <v>59246</v>
      </c>
      <c r="B59247">
        <f>TEXT(59246, "[$-0E0000]yyyy-mm-dd")</f>
        <v/>
      </c>
      <c r="C59247" t="inlineStr">
        <is>
          <t>2062-02-07</t>
        </is>
      </c>
    </row>
    <row r="59248">
      <c r="A59248" s="1" t="n">
        <v>59247</v>
      </c>
      <c r="B59248">
        <f>TEXT(59247, "[$-0E0000]yyyy-mm-dd")</f>
        <v/>
      </c>
      <c r="C59248" t="inlineStr">
        <is>
          <t>2062-02-08</t>
        </is>
      </c>
    </row>
    <row r="59249">
      <c r="A59249" s="1" t="n">
        <v>59248</v>
      </c>
      <c r="B59249">
        <f>TEXT(59248, "[$-0E0000]yyyy-mm-dd")</f>
        <v/>
      </c>
      <c r="C59249" t="inlineStr">
        <is>
          <t>2062-02-09</t>
        </is>
      </c>
    </row>
    <row r="59250">
      <c r="A59250" s="1" t="n">
        <v>59249</v>
      </c>
      <c r="B59250">
        <f>TEXT(59249, "[$-0E0000]yyyy-mm-dd")</f>
        <v/>
      </c>
      <c r="C59250" t="inlineStr">
        <is>
          <t>2062-02-10</t>
        </is>
      </c>
    </row>
    <row r="59251">
      <c r="A59251" s="1" t="n">
        <v>59250</v>
      </c>
      <c r="B59251">
        <f>TEXT(59250, "[$-0E0000]yyyy-mm-dd")</f>
        <v/>
      </c>
      <c r="C59251" t="inlineStr">
        <is>
          <t>2062-02-11</t>
        </is>
      </c>
    </row>
    <row r="59252">
      <c r="A59252" s="1" t="n">
        <v>59251</v>
      </c>
      <c r="B59252">
        <f>TEXT(59251, "[$-0E0000]yyyy-mm-dd")</f>
        <v/>
      </c>
      <c r="C59252" t="inlineStr">
        <is>
          <t>2062-02-12</t>
        </is>
      </c>
    </row>
    <row r="59253">
      <c r="A59253" s="1" t="n">
        <v>59252</v>
      </c>
      <c r="B59253">
        <f>TEXT(59252, "[$-0E0000]yyyy-mm-dd")</f>
        <v/>
      </c>
      <c r="C59253" t="inlineStr">
        <is>
          <t>2062-02-13</t>
        </is>
      </c>
    </row>
    <row r="59254">
      <c r="A59254" s="1" t="n">
        <v>59253</v>
      </c>
      <c r="B59254">
        <f>TEXT(59253, "[$-0E0000]yyyy-mm-dd")</f>
        <v/>
      </c>
      <c r="C59254" t="inlineStr">
        <is>
          <t>2062-02-14</t>
        </is>
      </c>
    </row>
    <row r="59255">
      <c r="A59255" s="1" t="n">
        <v>59254</v>
      </c>
      <c r="B59255">
        <f>TEXT(59254, "[$-0E0000]yyyy-mm-dd")</f>
        <v/>
      </c>
      <c r="C59255" t="inlineStr">
        <is>
          <t>2062-02-15</t>
        </is>
      </c>
    </row>
    <row r="59256">
      <c r="A59256" s="1" t="n">
        <v>59255</v>
      </c>
      <c r="B59256">
        <f>TEXT(59255, "[$-0E0000]yyyy-mm-dd")</f>
        <v/>
      </c>
      <c r="C59256" t="inlineStr">
        <is>
          <t>2062-02-16</t>
        </is>
      </c>
    </row>
    <row r="59257">
      <c r="A59257" s="1" t="n">
        <v>59256</v>
      </c>
      <c r="B59257">
        <f>TEXT(59256, "[$-0E0000]yyyy-mm-dd")</f>
        <v/>
      </c>
      <c r="C59257" t="inlineStr">
        <is>
          <t>2062-02-17</t>
        </is>
      </c>
    </row>
    <row r="59258">
      <c r="A59258" s="1" t="n">
        <v>59257</v>
      </c>
      <c r="B59258">
        <f>TEXT(59257, "[$-0E0000]yyyy-mm-dd")</f>
        <v/>
      </c>
      <c r="C59258" t="inlineStr">
        <is>
          <t>2062-02-18</t>
        </is>
      </c>
    </row>
    <row r="59259">
      <c r="A59259" s="1" t="n">
        <v>59258</v>
      </c>
      <c r="B59259">
        <f>TEXT(59258, "[$-0E0000]yyyy-mm-dd")</f>
        <v/>
      </c>
      <c r="C59259" t="inlineStr">
        <is>
          <t>2062-02-19</t>
        </is>
      </c>
    </row>
    <row r="59260">
      <c r="A59260" s="1" t="n">
        <v>59259</v>
      </c>
      <c r="B59260">
        <f>TEXT(59259, "[$-0E0000]yyyy-mm-dd")</f>
        <v/>
      </c>
      <c r="C59260" t="inlineStr">
        <is>
          <t>2062-02-20</t>
        </is>
      </c>
    </row>
    <row r="59261">
      <c r="A59261" s="1" t="n">
        <v>59260</v>
      </c>
      <c r="B59261">
        <f>TEXT(59260, "[$-0E0000]yyyy-mm-dd")</f>
        <v/>
      </c>
      <c r="C59261" t="inlineStr">
        <is>
          <t>2062-02-21</t>
        </is>
      </c>
    </row>
    <row r="59262">
      <c r="A59262" s="1" t="n">
        <v>59261</v>
      </c>
      <c r="B59262">
        <f>TEXT(59261, "[$-0E0000]yyyy-mm-dd")</f>
        <v/>
      </c>
      <c r="C59262" t="inlineStr">
        <is>
          <t>2062-02-22</t>
        </is>
      </c>
    </row>
    <row r="59263">
      <c r="A59263" s="1" t="n">
        <v>59262</v>
      </c>
      <c r="B59263">
        <f>TEXT(59262, "[$-0E0000]yyyy-mm-dd")</f>
        <v/>
      </c>
      <c r="C59263" t="inlineStr">
        <is>
          <t>2062-02-23</t>
        </is>
      </c>
    </row>
    <row r="59264">
      <c r="A59264" s="1" t="n">
        <v>59263</v>
      </c>
      <c r="B59264">
        <f>TEXT(59263, "[$-0E0000]yyyy-mm-dd")</f>
        <v/>
      </c>
      <c r="C59264" t="inlineStr">
        <is>
          <t>2062-02-24</t>
        </is>
      </c>
    </row>
    <row r="59265">
      <c r="A59265" s="1" t="n">
        <v>59264</v>
      </c>
      <c r="B59265">
        <f>TEXT(59264, "[$-0E0000]yyyy-mm-dd")</f>
        <v/>
      </c>
      <c r="C59265" t="inlineStr">
        <is>
          <t>2062-02-25</t>
        </is>
      </c>
    </row>
    <row r="59266">
      <c r="A59266" s="1" t="n">
        <v>59265</v>
      </c>
      <c r="B59266">
        <f>TEXT(59265, "[$-0E0000]yyyy-mm-dd")</f>
        <v/>
      </c>
      <c r="C59266" t="inlineStr">
        <is>
          <t>2062-02-26</t>
        </is>
      </c>
    </row>
    <row r="59267">
      <c r="A59267" s="1" t="n">
        <v>59266</v>
      </c>
      <c r="B59267">
        <f>TEXT(59266, "[$-0E0000]yyyy-mm-dd")</f>
        <v/>
      </c>
      <c r="C59267" t="inlineStr">
        <is>
          <t>2062-02-27</t>
        </is>
      </c>
    </row>
    <row r="59268">
      <c r="A59268" s="1" t="n">
        <v>59267</v>
      </c>
      <c r="B59268">
        <f>TEXT(59267, "[$-0E0000]yyyy-mm-dd")</f>
        <v/>
      </c>
      <c r="C59268" t="inlineStr">
        <is>
          <t>2062-02-28</t>
        </is>
      </c>
    </row>
    <row r="59269">
      <c r="A59269" s="1" t="n">
        <v>59268</v>
      </c>
      <c r="B59269">
        <f>TEXT(59268, "[$-0E0000]yyyy-mm-dd")</f>
        <v/>
      </c>
      <c r="C59269" t="inlineStr">
        <is>
          <t>2062-02-29</t>
        </is>
      </c>
    </row>
    <row r="59270">
      <c r="A59270" s="1" t="n">
        <v>59269</v>
      </c>
      <c r="B59270">
        <f>TEXT(59269, "[$-0E0000]yyyy-mm-dd")</f>
        <v/>
      </c>
      <c r="C59270" t="inlineStr">
        <is>
          <t>2062-02-30</t>
        </is>
      </c>
    </row>
    <row r="59271">
      <c r="A59271" s="1" t="n">
        <v>59270</v>
      </c>
      <c r="B59271">
        <f>TEXT(59270, "[$-0E0000]yyyy-mm-dd")</f>
        <v/>
      </c>
      <c r="C59271" t="inlineStr">
        <is>
          <t>2062-03-01</t>
        </is>
      </c>
    </row>
    <row r="59272">
      <c r="A59272" s="1" t="n">
        <v>59271</v>
      </c>
      <c r="B59272">
        <f>TEXT(59271, "[$-0E0000]yyyy-mm-dd")</f>
        <v/>
      </c>
      <c r="C59272" t="inlineStr">
        <is>
          <t>2062-03-02</t>
        </is>
      </c>
    </row>
    <row r="59273">
      <c r="A59273" s="1" t="n">
        <v>59272</v>
      </c>
      <c r="B59273">
        <f>TEXT(59272, "[$-0E0000]yyyy-mm-dd")</f>
        <v/>
      </c>
      <c r="C59273" t="inlineStr">
        <is>
          <t>2062-03-03</t>
        </is>
      </c>
    </row>
    <row r="59274">
      <c r="A59274" s="1" t="n">
        <v>59273</v>
      </c>
      <c r="B59274">
        <f>TEXT(59273, "[$-0E0000]yyyy-mm-dd")</f>
        <v/>
      </c>
      <c r="C59274" t="inlineStr">
        <is>
          <t>2062-03-04</t>
        </is>
      </c>
    </row>
    <row r="59275">
      <c r="A59275" s="1" t="n">
        <v>59274</v>
      </c>
      <c r="B59275">
        <f>TEXT(59274, "[$-0E0000]yyyy-mm-dd")</f>
        <v/>
      </c>
      <c r="C59275" t="inlineStr">
        <is>
          <t>2062-03-05</t>
        </is>
      </c>
    </row>
    <row r="59276">
      <c r="A59276" s="1" t="n">
        <v>59275</v>
      </c>
      <c r="B59276">
        <f>TEXT(59275, "[$-0E0000]yyyy-mm-dd")</f>
        <v/>
      </c>
      <c r="C59276" t="inlineStr">
        <is>
          <t>2062-03-06</t>
        </is>
      </c>
    </row>
    <row r="59277">
      <c r="A59277" s="1" t="n">
        <v>59276</v>
      </c>
      <c r="B59277">
        <f>TEXT(59276, "[$-0E0000]yyyy-mm-dd")</f>
        <v/>
      </c>
      <c r="C59277" t="inlineStr">
        <is>
          <t>2062-03-07</t>
        </is>
      </c>
    </row>
    <row r="59278">
      <c r="A59278" s="1" t="n">
        <v>59277</v>
      </c>
      <c r="B59278">
        <f>TEXT(59277, "[$-0E0000]yyyy-mm-dd")</f>
        <v/>
      </c>
      <c r="C59278" t="inlineStr">
        <is>
          <t>2062-03-08</t>
        </is>
      </c>
    </row>
    <row r="59279">
      <c r="A59279" s="1" t="n">
        <v>59278</v>
      </c>
      <c r="B59279">
        <f>TEXT(59278, "[$-0E0000]yyyy-mm-dd")</f>
        <v/>
      </c>
      <c r="C59279" t="inlineStr">
        <is>
          <t>2062-03-09</t>
        </is>
      </c>
    </row>
    <row r="59280">
      <c r="A59280" s="1" t="n">
        <v>59279</v>
      </c>
      <c r="B59280">
        <f>TEXT(59279, "[$-0E0000]yyyy-mm-dd")</f>
        <v/>
      </c>
      <c r="C59280" t="inlineStr">
        <is>
          <t>2062-03-10</t>
        </is>
      </c>
    </row>
    <row r="59281">
      <c r="A59281" s="1" t="n">
        <v>59280</v>
      </c>
      <c r="B59281">
        <f>TEXT(59280, "[$-0E0000]yyyy-mm-dd")</f>
        <v/>
      </c>
      <c r="C59281" t="inlineStr">
        <is>
          <t>2062-03-11</t>
        </is>
      </c>
    </row>
    <row r="59282">
      <c r="A59282" s="1" t="n">
        <v>59281</v>
      </c>
      <c r="B59282">
        <f>TEXT(59281, "[$-0E0000]yyyy-mm-dd")</f>
        <v/>
      </c>
      <c r="C59282" t="inlineStr">
        <is>
          <t>2062-03-12</t>
        </is>
      </c>
    </row>
    <row r="59283">
      <c r="A59283" s="1" t="n">
        <v>59282</v>
      </c>
      <c r="B59283">
        <f>TEXT(59282, "[$-0E0000]yyyy-mm-dd")</f>
        <v/>
      </c>
      <c r="C59283" t="inlineStr">
        <is>
          <t>2062-03-13</t>
        </is>
      </c>
    </row>
    <row r="59284">
      <c r="A59284" s="1" t="n">
        <v>59283</v>
      </c>
      <c r="B59284">
        <f>TEXT(59283, "[$-0E0000]yyyy-mm-dd")</f>
        <v/>
      </c>
      <c r="C59284" t="inlineStr">
        <is>
          <t>2062-03-14</t>
        </is>
      </c>
    </row>
    <row r="59285">
      <c r="A59285" s="1" t="n">
        <v>59284</v>
      </c>
      <c r="B59285">
        <f>TEXT(59284, "[$-0E0000]yyyy-mm-dd")</f>
        <v/>
      </c>
      <c r="C59285" t="inlineStr">
        <is>
          <t>2062-03-15</t>
        </is>
      </c>
    </row>
    <row r="59286">
      <c r="A59286" s="1" t="n">
        <v>59285</v>
      </c>
      <c r="B59286">
        <f>TEXT(59285, "[$-0E0000]yyyy-mm-dd")</f>
        <v/>
      </c>
      <c r="C59286" t="inlineStr">
        <is>
          <t>2062-03-16</t>
        </is>
      </c>
    </row>
    <row r="59287">
      <c r="A59287" s="1" t="n">
        <v>59286</v>
      </c>
      <c r="B59287">
        <f>TEXT(59286, "[$-0E0000]yyyy-mm-dd")</f>
        <v/>
      </c>
      <c r="C59287" t="inlineStr">
        <is>
          <t>2062-03-17</t>
        </is>
      </c>
    </row>
    <row r="59288">
      <c r="A59288" s="1" t="n">
        <v>59287</v>
      </c>
      <c r="B59288">
        <f>TEXT(59287, "[$-0E0000]yyyy-mm-dd")</f>
        <v/>
      </c>
      <c r="C59288" t="inlineStr">
        <is>
          <t>2062-03-18</t>
        </is>
      </c>
    </row>
    <row r="59289">
      <c r="A59289" s="1" t="n">
        <v>59288</v>
      </c>
      <c r="B59289">
        <f>TEXT(59288, "[$-0E0000]yyyy-mm-dd")</f>
        <v/>
      </c>
      <c r="C59289" t="inlineStr">
        <is>
          <t>2062-03-19</t>
        </is>
      </c>
    </row>
    <row r="59290">
      <c r="A59290" s="1" t="n">
        <v>59289</v>
      </c>
      <c r="B59290">
        <f>TEXT(59289, "[$-0E0000]yyyy-mm-dd")</f>
        <v/>
      </c>
      <c r="C59290" t="inlineStr">
        <is>
          <t>2062-03-20</t>
        </is>
      </c>
    </row>
    <row r="59291">
      <c r="A59291" s="1" t="n">
        <v>59290</v>
      </c>
      <c r="B59291">
        <f>TEXT(59290, "[$-0E0000]yyyy-mm-dd")</f>
        <v/>
      </c>
      <c r="C59291" t="inlineStr">
        <is>
          <t>2062-03-21</t>
        </is>
      </c>
    </row>
    <row r="59292">
      <c r="A59292" s="1" t="n">
        <v>59291</v>
      </c>
      <c r="B59292">
        <f>TEXT(59291, "[$-0E0000]yyyy-mm-dd")</f>
        <v/>
      </c>
      <c r="C59292" t="inlineStr">
        <is>
          <t>2062-03-22</t>
        </is>
      </c>
    </row>
    <row r="59293">
      <c r="A59293" s="1" t="n">
        <v>59292</v>
      </c>
      <c r="B59293">
        <f>TEXT(59292, "[$-0E0000]yyyy-mm-dd")</f>
        <v/>
      </c>
      <c r="C59293" t="inlineStr">
        <is>
          <t>2062-03-23</t>
        </is>
      </c>
    </row>
    <row r="59294">
      <c r="A59294" s="1" t="n">
        <v>59293</v>
      </c>
      <c r="B59294">
        <f>TEXT(59293, "[$-0E0000]yyyy-mm-dd")</f>
        <v/>
      </c>
      <c r="C59294" t="inlineStr">
        <is>
          <t>2062-03-24</t>
        </is>
      </c>
    </row>
    <row r="59295">
      <c r="A59295" s="1" t="n">
        <v>59294</v>
      </c>
      <c r="B59295">
        <f>TEXT(59294, "[$-0E0000]yyyy-mm-dd")</f>
        <v/>
      </c>
      <c r="C59295" t="inlineStr">
        <is>
          <t>2062-03-25</t>
        </is>
      </c>
    </row>
    <row r="59296">
      <c r="A59296" s="1" t="n">
        <v>59295</v>
      </c>
      <c r="B59296">
        <f>TEXT(59295, "[$-0E0000]yyyy-mm-dd")</f>
        <v/>
      </c>
      <c r="C59296" t="inlineStr">
        <is>
          <t>2062-03-26</t>
        </is>
      </c>
    </row>
    <row r="59297">
      <c r="A59297" s="1" t="n">
        <v>59296</v>
      </c>
      <c r="B59297">
        <f>TEXT(59296, "[$-0E0000]yyyy-mm-dd")</f>
        <v/>
      </c>
      <c r="C59297" t="inlineStr">
        <is>
          <t>2062-03-27</t>
        </is>
      </c>
    </row>
    <row r="59298">
      <c r="A59298" s="1" t="n">
        <v>59297</v>
      </c>
      <c r="B59298">
        <f>TEXT(59297, "[$-0E0000]yyyy-mm-dd")</f>
        <v/>
      </c>
      <c r="C59298" t="inlineStr">
        <is>
          <t>2062-03-28</t>
        </is>
      </c>
    </row>
    <row r="59299">
      <c r="A59299" s="1" t="n">
        <v>59298</v>
      </c>
      <c r="B59299">
        <f>TEXT(59298, "[$-0E0000]yyyy-mm-dd")</f>
        <v/>
      </c>
      <c r="C59299" t="inlineStr">
        <is>
          <t>2062-03-29</t>
        </is>
      </c>
    </row>
    <row r="59300">
      <c r="A59300" s="1" t="n">
        <v>59299</v>
      </c>
      <c r="B59300">
        <f>TEXT(59299, "[$-0E0000]yyyy-mm-dd")</f>
        <v/>
      </c>
      <c r="C59300" t="inlineStr">
        <is>
          <t>2062-04-01</t>
        </is>
      </c>
    </row>
    <row r="59301">
      <c r="A59301" s="1" t="n">
        <v>59300</v>
      </c>
      <c r="B59301">
        <f>TEXT(59300, "[$-0E0000]yyyy-mm-dd")</f>
        <v/>
      </c>
      <c r="C59301" t="inlineStr">
        <is>
          <t>2062-04-02</t>
        </is>
      </c>
    </row>
    <row r="59302">
      <c r="A59302" s="1" t="n">
        <v>59301</v>
      </c>
      <c r="B59302">
        <f>TEXT(59301, "[$-0E0000]yyyy-mm-dd")</f>
        <v/>
      </c>
      <c r="C59302" t="inlineStr">
        <is>
          <t>2062-04-03</t>
        </is>
      </c>
    </row>
    <row r="59303">
      <c r="A59303" s="1" t="n">
        <v>59302</v>
      </c>
      <c r="B59303">
        <f>TEXT(59302, "[$-0E0000]yyyy-mm-dd")</f>
        <v/>
      </c>
      <c r="C59303" t="inlineStr">
        <is>
          <t>2062-04-04</t>
        </is>
      </c>
    </row>
    <row r="59304">
      <c r="A59304" s="1" t="n">
        <v>59303</v>
      </c>
      <c r="B59304">
        <f>TEXT(59303, "[$-0E0000]yyyy-mm-dd")</f>
        <v/>
      </c>
      <c r="C59304" t="inlineStr">
        <is>
          <t>2062-04-05</t>
        </is>
      </c>
    </row>
    <row r="59305">
      <c r="A59305" s="1" t="n">
        <v>59304</v>
      </c>
      <c r="B59305">
        <f>TEXT(59304, "[$-0E0000]yyyy-mm-dd")</f>
        <v/>
      </c>
      <c r="C59305" t="inlineStr">
        <is>
          <t>2062-04-06</t>
        </is>
      </c>
    </row>
    <row r="59306">
      <c r="A59306" s="1" t="n">
        <v>59305</v>
      </c>
      <c r="B59306">
        <f>TEXT(59305, "[$-0E0000]yyyy-mm-dd")</f>
        <v/>
      </c>
      <c r="C59306" t="inlineStr">
        <is>
          <t>2062-04-07</t>
        </is>
      </c>
    </row>
    <row r="59307">
      <c r="A59307" s="1" t="n">
        <v>59306</v>
      </c>
      <c r="B59307">
        <f>TEXT(59306, "[$-0E0000]yyyy-mm-dd")</f>
        <v/>
      </c>
      <c r="C59307" t="inlineStr">
        <is>
          <t>2062-04-08</t>
        </is>
      </c>
    </row>
    <row r="59308">
      <c r="A59308" s="1" t="n">
        <v>59307</v>
      </c>
      <c r="B59308">
        <f>TEXT(59307, "[$-0E0000]yyyy-mm-dd")</f>
        <v/>
      </c>
      <c r="C59308" t="inlineStr">
        <is>
          <t>2062-04-09</t>
        </is>
      </c>
    </row>
    <row r="59309">
      <c r="A59309" s="1" t="n">
        <v>59308</v>
      </c>
      <c r="B59309">
        <f>TEXT(59308, "[$-0E0000]yyyy-mm-dd")</f>
        <v/>
      </c>
      <c r="C59309" t="inlineStr">
        <is>
          <t>2062-04-10</t>
        </is>
      </c>
    </row>
    <row r="59310">
      <c r="A59310" s="1" t="n">
        <v>59309</v>
      </c>
      <c r="B59310">
        <f>TEXT(59309, "[$-0E0000]yyyy-mm-dd")</f>
        <v/>
      </c>
      <c r="C59310" t="inlineStr">
        <is>
          <t>2062-04-11</t>
        </is>
      </c>
    </row>
    <row r="59311">
      <c r="A59311" s="1" t="n">
        <v>59310</v>
      </c>
      <c r="B59311">
        <f>TEXT(59310, "[$-0E0000]yyyy-mm-dd")</f>
        <v/>
      </c>
      <c r="C59311" t="inlineStr">
        <is>
          <t>2062-04-12</t>
        </is>
      </c>
    </row>
    <row r="59312">
      <c r="A59312" s="1" t="n">
        <v>59311</v>
      </c>
      <c r="B59312">
        <f>TEXT(59311, "[$-0E0000]yyyy-mm-dd")</f>
        <v/>
      </c>
      <c r="C59312" t="inlineStr">
        <is>
          <t>2062-04-13</t>
        </is>
      </c>
    </row>
    <row r="59313">
      <c r="A59313" s="1" t="n">
        <v>59312</v>
      </c>
      <c r="B59313">
        <f>TEXT(59312, "[$-0E0000]yyyy-mm-dd")</f>
        <v/>
      </c>
      <c r="C59313" t="inlineStr">
        <is>
          <t>2062-04-14</t>
        </is>
      </c>
    </row>
    <row r="59314">
      <c r="A59314" s="1" t="n">
        <v>59313</v>
      </c>
      <c r="B59314">
        <f>TEXT(59313, "[$-0E0000]yyyy-mm-dd")</f>
        <v/>
      </c>
      <c r="C59314" t="inlineStr">
        <is>
          <t>2062-04-15</t>
        </is>
      </c>
    </row>
    <row r="59315">
      <c r="A59315" s="1" t="n">
        <v>59314</v>
      </c>
      <c r="B59315">
        <f>TEXT(59314, "[$-0E0000]yyyy-mm-dd")</f>
        <v/>
      </c>
      <c r="C59315" t="inlineStr">
        <is>
          <t>2062-04-16</t>
        </is>
      </c>
    </row>
    <row r="59316">
      <c r="A59316" s="1" t="n">
        <v>59315</v>
      </c>
      <c r="B59316">
        <f>TEXT(59315, "[$-0E0000]yyyy-mm-dd")</f>
        <v/>
      </c>
      <c r="C59316" t="inlineStr">
        <is>
          <t>2062-04-17</t>
        </is>
      </c>
    </row>
    <row r="59317">
      <c r="A59317" s="1" t="n">
        <v>59316</v>
      </c>
      <c r="B59317">
        <f>TEXT(59316, "[$-0E0000]yyyy-mm-dd")</f>
        <v/>
      </c>
      <c r="C59317" t="inlineStr">
        <is>
          <t>2062-04-18</t>
        </is>
      </c>
    </row>
    <row r="59318">
      <c r="A59318" s="1" t="n">
        <v>59317</v>
      </c>
      <c r="B59318">
        <f>TEXT(59317, "[$-0E0000]yyyy-mm-dd")</f>
        <v/>
      </c>
      <c r="C59318" t="inlineStr">
        <is>
          <t>2062-04-19</t>
        </is>
      </c>
    </row>
    <row r="59319">
      <c r="A59319" s="1" t="n">
        <v>59318</v>
      </c>
      <c r="B59319">
        <f>TEXT(59318, "[$-0E0000]yyyy-mm-dd")</f>
        <v/>
      </c>
      <c r="C59319" t="inlineStr">
        <is>
          <t>2062-04-20</t>
        </is>
      </c>
    </row>
    <row r="59320">
      <c r="A59320" s="1" t="n">
        <v>59319</v>
      </c>
      <c r="B59320">
        <f>TEXT(59319, "[$-0E0000]yyyy-mm-dd")</f>
        <v/>
      </c>
      <c r="C59320" t="inlineStr">
        <is>
          <t>2062-04-21</t>
        </is>
      </c>
    </row>
    <row r="59321">
      <c r="A59321" s="1" t="n">
        <v>59320</v>
      </c>
      <c r="B59321">
        <f>TEXT(59320, "[$-0E0000]yyyy-mm-dd")</f>
        <v/>
      </c>
      <c r="C59321" t="inlineStr">
        <is>
          <t>2062-04-22</t>
        </is>
      </c>
    </row>
    <row r="59322">
      <c r="A59322" s="1" t="n">
        <v>59321</v>
      </c>
      <c r="B59322">
        <f>TEXT(59321, "[$-0E0000]yyyy-mm-dd")</f>
        <v/>
      </c>
      <c r="C59322" t="inlineStr">
        <is>
          <t>2062-04-23</t>
        </is>
      </c>
    </row>
    <row r="59323">
      <c r="A59323" s="1" t="n">
        <v>59322</v>
      </c>
      <c r="B59323">
        <f>TEXT(59322, "[$-0E0000]yyyy-mm-dd")</f>
        <v/>
      </c>
      <c r="C59323" t="inlineStr">
        <is>
          <t>2062-04-24</t>
        </is>
      </c>
    </row>
    <row r="59324">
      <c r="A59324" s="1" t="n">
        <v>59323</v>
      </c>
      <c r="B59324">
        <f>TEXT(59323, "[$-0E0000]yyyy-mm-dd")</f>
        <v/>
      </c>
      <c r="C59324" t="inlineStr">
        <is>
          <t>2062-04-25</t>
        </is>
      </c>
    </row>
    <row r="59325">
      <c r="A59325" s="1" t="n">
        <v>59324</v>
      </c>
      <c r="B59325">
        <f>TEXT(59324, "[$-0E0000]yyyy-mm-dd")</f>
        <v/>
      </c>
      <c r="C59325" t="inlineStr">
        <is>
          <t>2062-04-26</t>
        </is>
      </c>
    </row>
    <row r="59326">
      <c r="A59326" s="1" t="n">
        <v>59325</v>
      </c>
      <c r="B59326">
        <f>TEXT(59325, "[$-0E0000]yyyy-mm-dd")</f>
        <v/>
      </c>
      <c r="C59326" t="inlineStr">
        <is>
          <t>2062-04-27</t>
        </is>
      </c>
    </row>
    <row r="59327">
      <c r="A59327" s="1" t="n">
        <v>59326</v>
      </c>
      <c r="B59327">
        <f>TEXT(59326, "[$-0E0000]yyyy-mm-dd")</f>
        <v/>
      </c>
      <c r="C59327" t="inlineStr">
        <is>
          <t>2062-04-28</t>
        </is>
      </c>
    </row>
    <row r="59328">
      <c r="A59328" s="1" t="n">
        <v>59327</v>
      </c>
      <c r="B59328">
        <f>TEXT(59327, "[$-0E0000]yyyy-mm-dd")</f>
        <v/>
      </c>
      <c r="C59328" t="inlineStr">
        <is>
          <t>2062-04-29</t>
        </is>
      </c>
    </row>
    <row r="59329">
      <c r="A59329" s="1" t="n">
        <v>59328</v>
      </c>
      <c r="B59329">
        <f>TEXT(59328, "[$-0E0000]yyyy-mm-dd")</f>
        <v/>
      </c>
      <c r="C59329" t="inlineStr">
        <is>
          <t>2062-05-01</t>
        </is>
      </c>
    </row>
    <row r="59330">
      <c r="A59330" s="1" t="n">
        <v>59329</v>
      </c>
      <c r="B59330">
        <f>TEXT(59329, "[$-0E0000]yyyy-mm-dd")</f>
        <v/>
      </c>
      <c r="C59330" t="inlineStr">
        <is>
          <t>2062-05-02</t>
        </is>
      </c>
    </row>
    <row r="59331">
      <c r="A59331" s="1" t="n">
        <v>59330</v>
      </c>
      <c r="B59331">
        <f>TEXT(59330, "[$-0E0000]yyyy-mm-dd")</f>
        <v/>
      </c>
      <c r="C59331" t="inlineStr">
        <is>
          <t>2062-05-03</t>
        </is>
      </c>
    </row>
    <row r="59332">
      <c r="A59332" s="1" t="n">
        <v>59331</v>
      </c>
      <c r="B59332">
        <f>TEXT(59331, "[$-0E0000]yyyy-mm-dd")</f>
        <v/>
      </c>
      <c r="C59332" t="inlineStr">
        <is>
          <t>2062-05-04</t>
        </is>
      </c>
    </row>
    <row r="59333">
      <c r="A59333" s="1" t="n">
        <v>59332</v>
      </c>
      <c r="B59333">
        <f>TEXT(59332, "[$-0E0000]yyyy-mm-dd")</f>
        <v/>
      </c>
      <c r="C59333" t="inlineStr">
        <is>
          <t>2062-05-05</t>
        </is>
      </c>
    </row>
    <row r="59334">
      <c r="A59334" s="1" t="n">
        <v>59333</v>
      </c>
      <c r="B59334">
        <f>TEXT(59333, "[$-0E0000]yyyy-mm-dd")</f>
        <v/>
      </c>
      <c r="C59334" t="inlineStr">
        <is>
          <t>2062-05-06</t>
        </is>
      </c>
    </row>
    <row r="59335">
      <c r="A59335" s="1" t="n">
        <v>59334</v>
      </c>
      <c r="B59335">
        <f>TEXT(59334, "[$-0E0000]yyyy-mm-dd")</f>
        <v/>
      </c>
      <c r="C59335" t="inlineStr">
        <is>
          <t>2062-05-07</t>
        </is>
      </c>
    </row>
    <row r="59336">
      <c r="A59336" s="1" t="n">
        <v>59335</v>
      </c>
      <c r="B59336">
        <f>TEXT(59335, "[$-0E0000]yyyy-mm-dd")</f>
        <v/>
      </c>
      <c r="C59336" t="inlineStr">
        <is>
          <t>2062-05-08</t>
        </is>
      </c>
    </row>
    <row r="59337">
      <c r="A59337" s="1" t="n">
        <v>59336</v>
      </c>
      <c r="B59337">
        <f>TEXT(59336, "[$-0E0000]yyyy-mm-dd")</f>
        <v/>
      </c>
      <c r="C59337" t="inlineStr">
        <is>
          <t>2062-05-09</t>
        </is>
      </c>
    </row>
    <row r="59338">
      <c r="A59338" s="1" t="n">
        <v>59337</v>
      </c>
      <c r="B59338">
        <f>TEXT(59337, "[$-0E0000]yyyy-mm-dd")</f>
        <v/>
      </c>
      <c r="C59338" t="inlineStr">
        <is>
          <t>2062-05-10</t>
        </is>
      </c>
    </row>
    <row r="59339">
      <c r="A59339" s="1" t="n">
        <v>59338</v>
      </c>
      <c r="B59339">
        <f>TEXT(59338, "[$-0E0000]yyyy-mm-dd")</f>
        <v/>
      </c>
      <c r="C59339" t="inlineStr">
        <is>
          <t>2062-05-11</t>
        </is>
      </c>
    </row>
    <row r="59340">
      <c r="A59340" s="1" t="n">
        <v>59339</v>
      </c>
      <c r="B59340">
        <f>TEXT(59339, "[$-0E0000]yyyy-mm-dd")</f>
        <v/>
      </c>
      <c r="C59340" t="inlineStr">
        <is>
          <t>2062-05-12</t>
        </is>
      </c>
    </row>
    <row r="59341">
      <c r="A59341" s="1" t="n">
        <v>59340</v>
      </c>
      <c r="B59341">
        <f>TEXT(59340, "[$-0E0000]yyyy-mm-dd")</f>
        <v/>
      </c>
      <c r="C59341" t="inlineStr">
        <is>
          <t>2062-05-13</t>
        </is>
      </c>
    </row>
    <row r="59342">
      <c r="A59342" s="1" t="n">
        <v>59341</v>
      </c>
      <c r="B59342">
        <f>TEXT(59341, "[$-0E0000]yyyy-mm-dd")</f>
        <v/>
      </c>
      <c r="C59342" t="inlineStr">
        <is>
          <t>2062-05-14</t>
        </is>
      </c>
    </row>
    <row r="59343">
      <c r="A59343" s="1" t="n">
        <v>59342</v>
      </c>
      <c r="B59343">
        <f>TEXT(59342, "[$-0E0000]yyyy-mm-dd")</f>
        <v/>
      </c>
      <c r="C59343" t="inlineStr">
        <is>
          <t>2062-05-15</t>
        </is>
      </c>
    </row>
    <row r="59344">
      <c r="A59344" s="1" t="n">
        <v>59343</v>
      </c>
      <c r="B59344">
        <f>TEXT(59343, "[$-0E0000]yyyy-mm-dd")</f>
        <v/>
      </c>
      <c r="C59344" t="inlineStr">
        <is>
          <t>2062-05-16</t>
        </is>
      </c>
    </row>
    <row r="59345">
      <c r="A59345" s="1" t="n">
        <v>59344</v>
      </c>
      <c r="B59345">
        <f>TEXT(59344, "[$-0E0000]yyyy-mm-dd")</f>
        <v/>
      </c>
      <c r="C59345" t="inlineStr">
        <is>
          <t>2062-05-17</t>
        </is>
      </c>
    </row>
    <row r="59346">
      <c r="A59346" s="1" t="n">
        <v>59345</v>
      </c>
      <c r="B59346">
        <f>TEXT(59345, "[$-0E0000]yyyy-mm-dd")</f>
        <v/>
      </c>
      <c r="C59346" t="inlineStr">
        <is>
          <t>2062-05-18</t>
        </is>
      </c>
    </row>
    <row r="59347">
      <c r="A59347" s="1" t="n">
        <v>59346</v>
      </c>
      <c r="B59347">
        <f>TEXT(59346, "[$-0E0000]yyyy-mm-dd")</f>
        <v/>
      </c>
      <c r="C59347" t="inlineStr">
        <is>
          <t>2062-05-19</t>
        </is>
      </c>
    </row>
    <row r="59348">
      <c r="A59348" s="1" t="n">
        <v>59347</v>
      </c>
      <c r="B59348">
        <f>TEXT(59347, "[$-0E0000]yyyy-mm-dd")</f>
        <v/>
      </c>
      <c r="C59348" t="inlineStr">
        <is>
          <t>2062-05-20</t>
        </is>
      </c>
    </row>
    <row r="59349">
      <c r="A59349" s="1" t="n">
        <v>59348</v>
      </c>
      <c r="B59349">
        <f>TEXT(59348, "[$-0E0000]yyyy-mm-dd")</f>
        <v/>
      </c>
      <c r="C59349" t="inlineStr">
        <is>
          <t>2062-05-21</t>
        </is>
      </c>
    </row>
    <row r="59350">
      <c r="A59350" s="1" t="n">
        <v>59349</v>
      </c>
      <c r="B59350">
        <f>TEXT(59349, "[$-0E0000]yyyy-mm-dd")</f>
        <v/>
      </c>
      <c r="C59350" t="inlineStr">
        <is>
          <t>2062-05-22</t>
        </is>
      </c>
    </row>
    <row r="59351">
      <c r="A59351" s="1" t="n">
        <v>59350</v>
      </c>
      <c r="B59351">
        <f>TEXT(59350, "[$-0E0000]yyyy-mm-dd")</f>
        <v/>
      </c>
      <c r="C59351" t="inlineStr">
        <is>
          <t>2062-05-23</t>
        </is>
      </c>
    </row>
    <row r="59352">
      <c r="A59352" s="1" t="n">
        <v>59351</v>
      </c>
      <c r="B59352">
        <f>TEXT(59351, "[$-0E0000]yyyy-mm-dd")</f>
        <v/>
      </c>
      <c r="C59352" t="inlineStr">
        <is>
          <t>2062-05-24</t>
        </is>
      </c>
    </row>
    <row r="59353">
      <c r="A59353" s="1" t="n">
        <v>59352</v>
      </c>
      <c r="B59353">
        <f>TEXT(59352, "[$-0E0000]yyyy-mm-dd")</f>
        <v/>
      </c>
      <c r="C59353" t="inlineStr">
        <is>
          <t>2062-05-25</t>
        </is>
      </c>
    </row>
    <row r="59354">
      <c r="A59354" s="1" t="n">
        <v>59353</v>
      </c>
      <c r="B59354">
        <f>TEXT(59353, "[$-0E0000]yyyy-mm-dd")</f>
        <v/>
      </c>
      <c r="C59354" t="inlineStr">
        <is>
          <t>2062-05-26</t>
        </is>
      </c>
    </row>
    <row r="59355">
      <c r="A59355" s="1" t="n">
        <v>59354</v>
      </c>
      <c r="B59355">
        <f>TEXT(59354, "[$-0E0000]yyyy-mm-dd")</f>
        <v/>
      </c>
      <c r="C59355" t="inlineStr">
        <is>
          <t>2062-05-27</t>
        </is>
      </c>
    </row>
    <row r="59356">
      <c r="A59356" s="1" t="n">
        <v>59355</v>
      </c>
      <c r="B59356">
        <f>TEXT(59355, "[$-0E0000]yyyy-mm-dd")</f>
        <v/>
      </c>
      <c r="C59356" t="inlineStr">
        <is>
          <t>2062-05-28</t>
        </is>
      </c>
    </row>
    <row r="59357">
      <c r="A59357" s="1" t="n">
        <v>59356</v>
      </c>
      <c r="B59357">
        <f>TEXT(59356, "[$-0E0000]yyyy-mm-dd")</f>
        <v/>
      </c>
      <c r="C59357" t="inlineStr">
        <is>
          <t>2062-05-29</t>
        </is>
      </c>
    </row>
    <row r="59358">
      <c r="A59358" s="1" t="n">
        <v>59357</v>
      </c>
      <c r="B59358">
        <f>TEXT(59357, "[$-0E0000]yyyy-mm-dd")</f>
        <v/>
      </c>
      <c r="C59358" t="inlineStr">
        <is>
          <t>2062-05-30</t>
        </is>
      </c>
    </row>
    <row r="59359">
      <c r="A59359" s="1" t="n">
        <v>59358</v>
      </c>
      <c r="B59359">
        <f>TEXT(59358, "[$-0E0000]yyyy-mm-dd")</f>
        <v/>
      </c>
      <c r="C59359" t="inlineStr">
        <is>
          <t>2062-06-01</t>
        </is>
      </c>
    </row>
    <row r="59360">
      <c r="A59360" s="1" t="n">
        <v>59359</v>
      </c>
      <c r="B59360">
        <f>TEXT(59359, "[$-0E0000]yyyy-mm-dd")</f>
        <v/>
      </c>
      <c r="C59360" t="inlineStr">
        <is>
          <t>2062-06-02</t>
        </is>
      </c>
    </row>
    <row r="59361">
      <c r="A59361" s="1" t="n">
        <v>59360</v>
      </c>
      <c r="B59361">
        <f>TEXT(59360, "[$-0E0000]yyyy-mm-dd")</f>
        <v/>
      </c>
      <c r="C59361" t="inlineStr">
        <is>
          <t>2062-06-03</t>
        </is>
      </c>
    </row>
    <row r="59362">
      <c r="A59362" s="1" t="n">
        <v>59361</v>
      </c>
      <c r="B59362">
        <f>TEXT(59361, "[$-0E0000]yyyy-mm-dd")</f>
        <v/>
      </c>
      <c r="C59362" t="inlineStr">
        <is>
          <t>2062-06-04</t>
        </is>
      </c>
    </row>
    <row r="59363">
      <c r="A59363" s="1" t="n">
        <v>59362</v>
      </c>
      <c r="B59363">
        <f>TEXT(59362, "[$-0E0000]yyyy-mm-dd")</f>
        <v/>
      </c>
      <c r="C59363" t="inlineStr">
        <is>
          <t>2062-06-05</t>
        </is>
      </c>
    </row>
    <row r="59364">
      <c r="A59364" s="1" t="n">
        <v>59363</v>
      </c>
      <c r="B59364">
        <f>TEXT(59363, "[$-0E0000]yyyy-mm-dd")</f>
        <v/>
      </c>
      <c r="C59364" t="inlineStr">
        <is>
          <t>2062-06-06</t>
        </is>
      </c>
    </row>
    <row r="59365">
      <c r="A59365" s="1" t="n">
        <v>59364</v>
      </c>
      <c r="B59365">
        <f>TEXT(59364, "[$-0E0000]yyyy-mm-dd")</f>
        <v/>
      </c>
      <c r="C59365" t="inlineStr">
        <is>
          <t>2062-06-07</t>
        </is>
      </c>
    </row>
    <row r="59366">
      <c r="A59366" s="1" t="n">
        <v>59365</v>
      </c>
      <c r="B59366">
        <f>TEXT(59365, "[$-0E0000]yyyy-mm-dd")</f>
        <v/>
      </c>
      <c r="C59366" t="inlineStr">
        <is>
          <t>2062-06-08</t>
        </is>
      </c>
    </row>
    <row r="59367">
      <c r="A59367" s="1" t="n">
        <v>59366</v>
      </c>
      <c r="B59367">
        <f>TEXT(59366, "[$-0E0000]yyyy-mm-dd")</f>
        <v/>
      </c>
      <c r="C59367" t="inlineStr">
        <is>
          <t>2062-06-09</t>
        </is>
      </c>
    </row>
    <row r="59368">
      <c r="A59368" s="1" t="n">
        <v>59367</v>
      </c>
      <c r="B59368">
        <f>TEXT(59367, "[$-0E0000]yyyy-mm-dd")</f>
        <v/>
      </c>
      <c r="C59368" t="inlineStr">
        <is>
          <t>2062-06-10</t>
        </is>
      </c>
    </row>
    <row r="59369">
      <c r="A59369" s="1" t="n">
        <v>59368</v>
      </c>
      <c r="B59369">
        <f>TEXT(59368, "[$-0E0000]yyyy-mm-dd")</f>
        <v/>
      </c>
      <c r="C59369" t="inlineStr">
        <is>
          <t>2062-06-11</t>
        </is>
      </c>
    </row>
    <row r="59370">
      <c r="A59370" s="1" t="n">
        <v>59369</v>
      </c>
      <c r="B59370">
        <f>TEXT(59369, "[$-0E0000]yyyy-mm-dd")</f>
        <v/>
      </c>
      <c r="C59370" t="inlineStr">
        <is>
          <t>2062-06-12</t>
        </is>
      </c>
    </row>
    <row r="59371">
      <c r="A59371" s="1" t="n">
        <v>59370</v>
      </c>
      <c r="B59371">
        <f>TEXT(59370, "[$-0E0000]yyyy-mm-dd")</f>
        <v/>
      </c>
      <c r="C59371" t="inlineStr">
        <is>
          <t>2062-06-13</t>
        </is>
      </c>
    </row>
    <row r="59372">
      <c r="A59372" s="1" t="n">
        <v>59371</v>
      </c>
      <c r="B59372">
        <f>TEXT(59371, "[$-0E0000]yyyy-mm-dd")</f>
        <v/>
      </c>
      <c r="C59372" t="inlineStr">
        <is>
          <t>2062-06-14</t>
        </is>
      </c>
    </row>
    <row r="59373">
      <c r="A59373" s="1" t="n">
        <v>59372</v>
      </c>
      <c r="B59373">
        <f>TEXT(59372, "[$-0E0000]yyyy-mm-dd")</f>
        <v/>
      </c>
      <c r="C59373" t="inlineStr">
        <is>
          <t>2062-06-15</t>
        </is>
      </c>
    </row>
    <row r="59374">
      <c r="A59374" s="1" t="n">
        <v>59373</v>
      </c>
      <c r="B59374">
        <f>TEXT(59373, "[$-0E0000]yyyy-mm-dd")</f>
        <v/>
      </c>
      <c r="C59374" t="inlineStr">
        <is>
          <t>2062-06-16</t>
        </is>
      </c>
    </row>
    <row r="59375">
      <c r="A59375" s="1" t="n">
        <v>59374</v>
      </c>
      <c r="B59375">
        <f>TEXT(59374, "[$-0E0000]yyyy-mm-dd")</f>
        <v/>
      </c>
      <c r="C59375" t="inlineStr">
        <is>
          <t>2062-06-17</t>
        </is>
      </c>
    </row>
    <row r="59376">
      <c r="A59376" s="1" t="n">
        <v>59375</v>
      </c>
      <c r="B59376">
        <f>TEXT(59375, "[$-0E0000]yyyy-mm-dd")</f>
        <v/>
      </c>
      <c r="C59376" t="inlineStr">
        <is>
          <t>2062-06-18</t>
        </is>
      </c>
    </row>
    <row r="59377">
      <c r="A59377" s="1" t="n">
        <v>59376</v>
      </c>
      <c r="B59377">
        <f>TEXT(59376, "[$-0E0000]yyyy-mm-dd")</f>
        <v/>
      </c>
      <c r="C59377" t="inlineStr">
        <is>
          <t>2062-06-19</t>
        </is>
      </c>
    </row>
    <row r="59378">
      <c r="A59378" s="1" t="n">
        <v>59377</v>
      </c>
      <c r="B59378">
        <f>TEXT(59377, "[$-0E0000]yyyy-mm-dd")</f>
        <v/>
      </c>
      <c r="C59378" t="inlineStr">
        <is>
          <t>2062-06-20</t>
        </is>
      </c>
    </row>
    <row r="59379">
      <c r="A59379" s="1" t="n">
        <v>59378</v>
      </c>
      <c r="B59379">
        <f>TEXT(59378, "[$-0E0000]yyyy-mm-dd")</f>
        <v/>
      </c>
      <c r="C59379" t="inlineStr">
        <is>
          <t>2062-06-21</t>
        </is>
      </c>
    </row>
    <row r="59380">
      <c r="A59380" s="1" t="n">
        <v>59379</v>
      </c>
      <c r="B59380">
        <f>TEXT(59379, "[$-0E0000]yyyy-mm-dd")</f>
        <v/>
      </c>
      <c r="C59380" t="inlineStr">
        <is>
          <t>2062-06-22</t>
        </is>
      </c>
    </row>
    <row r="59381">
      <c r="A59381" s="1" t="n">
        <v>59380</v>
      </c>
      <c r="B59381">
        <f>TEXT(59380, "[$-0E0000]yyyy-mm-dd")</f>
        <v/>
      </c>
      <c r="C59381" t="inlineStr">
        <is>
          <t>2062-06-23</t>
        </is>
      </c>
    </row>
    <row r="59382">
      <c r="A59382" s="1" t="n">
        <v>59381</v>
      </c>
      <c r="B59382">
        <f>TEXT(59381, "[$-0E0000]yyyy-mm-dd")</f>
        <v/>
      </c>
      <c r="C59382" t="inlineStr">
        <is>
          <t>2062-06-24</t>
        </is>
      </c>
    </row>
    <row r="59383">
      <c r="A59383" s="1" t="n">
        <v>59382</v>
      </c>
      <c r="B59383">
        <f>TEXT(59382, "[$-0E0000]yyyy-mm-dd")</f>
        <v/>
      </c>
      <c r="C59383" t="inlineStr">
        <is>
          <t>2062-06-25</t>
        </is>
      </c>
    </row>
    <row r="59384">
      <c r="A59384" s="1" t="n">
        <v>59383</v>
      </c>
      <c r="B59384">
        <f>TEXT(59383, "[$-0E0000]yyyy-mm-dd")</f>
        <v/>
      </c>
      <c r="C59384" t="inlineStr">
        <is>
          <t>2062-06-26</t>
        </is>
      </c>
    </row>
    <row r="59385">
      <c r="A59385" s="1" t="n">
        <v>59384</v>
      </c>
      <c r="B59385">
        <f>TEXT(59384, "[$-0E0000]yyyy-mm-dd")</f>
        <v/>
      </c>
      <c r="C59385" t="inlineStr">
        <is>
          <t>2062-06-27</t>
        </is>
      </c>
    </row>
    <row r="59386">
      <c r="A59386" s="1" t="n">
        <v>59385</v>
      </c>
      <c r="B59386">
        <f>TEXT(59385, "[$-0E0000]yyyy-mm-dd")</f>
        <v/>
      </c>
      <c r="C59386" t="inlineStr">
        <is>
          <t>2062-06-28</t>
        </is>
      </c>
    </row>
    <row r="59387">
      <c r="A59387" s="1" t="n">
        <v>59386</v>
      </c>
      <c r="B59387">
        <f>TEXT(59386, "[$-0E0000]yyyy-mm-dd")</f>
        <v/>
      </c>
      <c r="C59387" t="inlineStr">
        <is>
          <t>2062-06-29</t>
        </is>
      </c>
    </row>
    <row r="59388">
      <c r="A59388" s="1" t="n">
        <v>59387</v>
      </c>
      <c r="B59388">
        <f>TEXT(59387, "[$-0E0000]yyyy-mm-dd")</f>
        <v/>
      </c>
      <c r="C59388" t="inlineStr">
        <is>
          <t>2062-07-01</t>
        </is>
      </c>
    </row>
    <row r="59389">
      <c r="A59389" s="1" t="n">
        <v>59388</v>
      </c>
      <c r="B59389">
        <f>TEXT(59388, "[$-0E0000]yyyy-mm-dd")</f>
        <v/>
      </c>
      <c r="C59389" t="inlineStr">
        <is>
          <t>2062-07-02</t>
        </is>
      </c>
    </row>
    <row r="59390">
      <c r="A59390" s="1" t="n">
        <v>59389</v>
      </c>
      <c r="B59390">
        <f>TEXT(59389, "[$-0E0000]yyyy-mm-dd")</f>
        <v/>
      </c>
      <c r="C59390" t="inlineStr">
        <is>
          <t>2062-07-03</t>
        </is>
      </c>
    </row>
    <row r="59391">
      <c r="A59391" s="1" t="n">
        <v>59390</v>
      </c>
      <c r="B59391">
        <f>TEXT(59390, "[$-0E0000]yyyy-mm-dd")</f>
        <v/>
      </c>
      <c r="C59391" t="inlineStr">
        <is>
          <t>2062-07-04</t>
        </is>
      </c>
    </row>
    <row r="59392">
      <c r="A59392" s="1" t="n">
        <v>59391</v>
      </c>
      <c r="B59392">
        <f>TEXT(59391, "[$-0E0000]yyyy-mm-dd")</f>
        <v/>
      </c>
      <c r="C59392" t="inlineStr">
        <is>
          <t>2062-07-05</t>
        </is>
      </c>
    </row>
    <row r="59393">
      <c r="A59393" s="1" t="n">
        <v>59392</v>
      </c>
      <c r="B59393">
        <f>TEXT(59392, "[$-0E0000]yyyy-mm-dd")</f>
        <v/>
      </c>
      <c r="C59393" t="inlineStr">
        <is>
          <t>2062-07-06</t>
        </is>
      </c>
    </row>
    <row r="59394">
      <c r="A59394" s="1" t="n">
        <v>59393</v>
      </c>
      <c r="B59394">
        <f>TEXT(59393, "[$-0E0000]yyyy-mm-dd")</f>
        <v/>
      </c>
      <c r="C59394" t="inlineStr">
        <is>
          <t>2062-07-07</t>
        </is>
      </c>
    </row>
    <row r="59395">
      <c r="A59395" s="1" t="n">
        <v>59394</v>
      </c>
      <c r="B59395">
        <f>TEXT(59394, "[$-0E0000]yyyy-mm-dd")</f>
        <v/>
      </c>
      <c r="C59395" t="inlineStr">
        <is>
          <t>2062-07-08</t>
        </is>
      </c>
    </row>
    <row r="59396">
      <c r="A59396" s="1" t="n">
        <v>59395</v>
      </c>
      <c r="B59396">
        <f>TEXT(59395, "[$-0E0000]yyyy-mm-dd")</f>
        <v/>
      </c>
      <c r="C59396" t="inlineStr">
        <is>
          <t>2062-07-09</t>
        </is>
      </c>
    </row>
    <row r="59397">
      <c r="A59397" s="1" t="n">
        <v>59396</v>
      </c>
      <c r="B59397">
        <f>TEXT(59396, "[$-0E0000]yyyy-mm-dd")</f>
        <v/>
      </c>
      <c r="C59397" t="inlineStr">
        <is>
          <t>2062-07-10</t>
        </is>
      </c>
    </row>
    <row r="59398">
      <c r="A59398" s="1" t="n">
        <v>59397</v>
      </c>
      <c r="B59398">
        <f>TEXT(59397, "[$-0E0000]yyyy-mm-dd")</f>
        <v/>
      </c>
      <c r="C59398" t="inlineStr">
        <is>
          <t>2062-07-11</t>
        </is>
      </c>
    </row>
    <row r="59399">
      <c r="A59399" s="1" t="n">
        <v>59398</v>
      </c>
      <c r="B59399">
        <f>TEXT(59398, "[$-0E0000]yyyy-mm-dd")</f>
        <v/>
      </c>
      <c r="C59399" t="inlineStr">
        <is>
          <t>2062-07-12</t>
        </is>
      </c>
    </row>
    <row r="59400">
      <c r="A59400" s="1" t="n">
        <v>59399</v>
      </c>
      <c r="B59400">
        <f>TEXT(59399, "[$-0E0000]yyyy-mm-dd")</f>
        <v/>
      </c>
      <c r="C59400" t="inlineStr">
        <is>
          <t>2062-07-13</t>
        </is>
      </c>
    </row>
    <row r="59401">
      <c r="A59401" s="1" t="n">
        <v>59400</v>
      </c>
      <c r="B59401">
        <f>TEXT(59400, "[$-0E0000]yyyy-mm-dd")</f>
        <v/>
      </c>
      <c r="C59401" t="inlineStr">
        <is>
          <t>2062-07-14</t>
        </is>
      </c>
    </row>
    <row r="59402">
      <c r="A59402" s="1" t="n">
        <v>59401</v>
      </c>
      <c r="B59402">
        <f>TEXT(59401, "[$-0E0000]yyyy-mm-dd")</f>
        <v/>
      </c>
      <c r="C59402" t="inlineStr">
        <is>
          <t>2062-07-15</t>
        </is>
      </c>
    </row>
    <row r="59403">
      <c r="A59403" s="1" t="n">
        <v>59402</v>
      </c>
      <c r="B59403">
        <f>TEXT(59402, "[$-0E0000]yyyy-mm-dd")</f>
        <v/>
      </c>
      <c r="C59403" t="inlineStr">
        <is>
          <t>2062-07-16</t>
        </is>
      </c>
    </row>
    <row r="59404">
      <c r="A59404" s="1" t="n">
        <v>59403</v>
      </c>
      <c r="B59404">
        <f>TEXT(59403, "[$-0E0000]yyyy-mm-dd")</f>
        <v/>
      </c>
      <c r="C59404" t="inlineStr">
        <is>
          <t>2062-07-17</t>
        </is>
      </c>
    </row>
    <row r="59405">
      <c r="A59405" s="1" t="n">
        <v>59404</v>
      </c>
      <c r="B59405">
        <f>TEXT(59404, "[$-0E0000]yyyy-mm-dd")</f>
        <v/>
      </c>
      <c r="C59405" t="inlineStr">
        <is>
          <t>2062-07-18</t>
        </is>
      </c>
    </row>
    <row r="59406">
      <c r="A59406" s="1" t="n">
        <v>59405</v>
      </c>
      <c r="B59406">
        <f>TEXT(59405, "[$-0E0000]yyyy-mm-dd")</f>
        <v/>
      </c>
      <c r="C59406" t="inlineStr">
        <is>
          <t>2062-07-19</t>
        </is>
      </c>
    </row>
    <row r="59407">
      <c r="A59407" s="1" t="n">
        <v>59406</v>
      </c>
      <c r="B59407">
        <f>TEXT(59406, "[$-0E0000]yyyy-mm-dd")</f>
        <v/>
      </c>
      <c r="C59407" t="inlineStr">
        <is>
          <t>2062-07-20</t>
        </is>
      </c>
    </row>
    <row r="59408">
      <c r="A59408" s="1" t="n">
        <v>59407</v>
      </c>
      <c r="B59408">
        <f>TEXT(59407, "[$-0E0000]yyyy-mm-dd")</f>
        <v/>
      </c>
      <c r="C59408" t="inlineStr">
        <is>
          <t>2062-07-21</t>
        </is>
      </c>
    </row>
    <row r="59409">
      <c r="A59409" s="1" t="n">
        <v>59408</v>
      </c>
      <c r="B59409">
        <f>TEXT(59408, "[$-0E0000]yyyy-mm-dd")</f>
        <v/>
      </c>
      <c r="C59409" t="inlineStr">
        <is>
          <t>2062-07-22</t>
        </is>
      </c>
    </row>
    <row r="59410">
      <c r="A59410" s="1" t="n">
        <v>59409</v>
      </c>
      <c r="B59410">
        <f>TEXT(59409, "[$-0E0000]yyyy-mm-dd")</f>
        <v/>
      </c>
      <c r="C59410" t="inlineStr">
        <is>
          <t>2062-07-23</t>
        </is>
      </c>
    </row>
    <row r="59411">
      <c r="A59411" s="1" t="n">
        <v>59410</v>
      </c>
      <c r="B59411">
        <f>TEXT(59410, "[$-0E0000]yyyy-mm-dd")</f>
        <v/>
      </c>
      <c r="C59411" t="inlineStr">
        <is>
          <t>2062-07-24</t>
        </is>
      </c>
    </row>
    <row r="59412">
      <c r="A59412" s="1" t="n">
        <v>59411</v>
      </c>
      <c r="B59412">
        <f>TEXT(59411, "[$-0E0000]yyyy-mm-dd")</f>
        <v/>
      </c>
      <c r="C59412" t="inlineStr">
        <is>
          <t>2062-07-25</t>
        </is>
      </c>
    </row>
    <row r="59413">
      <c r="A59413" s="1" t="n">
        <v>59412</v>
      </c>
      <c r="B59413">
        <f>TEXT(59412, "[$-0E0000]yyyy-mm-dd")</f>
        <v/>
      </c>
      <c r="C59413" t="inlineStr">
        <is>
          <t>2062-07-26</t>
        </is>
      </c>
    </row>
    <row r="59414">
      <c r="A59414" s="1" t="n">
        <v>59413</v>
      </c>
      <c r="B59414">
        <f>TEXT(59413, "[$-0E0000]yyyy-mm-dd")</f>
        <v/>
      </c>
      <c r="C59414" t="inlineStr">
        <is>
          <t>2062-07-27</t>
        </is>
      </c>
    </row>
    <row r="59415">
      <c r="A59415" s="1" t="n">
        <v>59414</v>
      </c>
      <c r="B59415">
        <f>TEXT(59414, "[$-0E0000]yyyy-mm-dd")</f>
        <v/>
      </c>
      <c r="C59415" t="inlineStr">
        <is>
          <t>2062-07-28</t>
        </is>
      </c>
    </row>
    <row r="59416">
      <c r="A59416" s="1" t="n">
        <v>59415</v>
      </c>
      <c r="B59416">
        <f>TEXT(59415, "[$-0E0000]yyyy-mm-dd")</f>
        <v/>
      </c>
      <c r="C59416" t="inlineStr">
        <is>
          <t>2062-07-29</t>
        </is>
      </c>
    </row>
    <row r="59417">
      <c r="A59417" s="1" t="n">
        <v>59416</v>
      </c>
      <c r="B59417">
        <f>TEXT(59416, "[$-0E0000]yyyy-mm-dd")</f>
        <v/>
      </c>
      <c r="C59417" t="inlineStr">
        <is>
          <t>2062-08-01</t>
        </is>
      </c>
    </row>
    <row r="59418">
      <c r="A59418" s="1" t="n">
        <v>59417</v>
      </c>
      <c r="B59418">
        <f>TEXT(59417, "[$-0E0000]yyyy-mm-dd")</f>
        <v/>
      </c>
      <c r="C59418" t="inlineStr">
        <is>
          <t>2062-08-02</t>
        </is>
      </c>
    </row>
    <row r="59419">
      <c r="A59419" s="1" t="n">
        <v>59418</v>
      </c>
      <c r="B59419">
        <f>TEXT(59418, "[$-0E0000]yyyy-mm-dd")</f>
        <v/>
      </c>
      <c r="C59419" t="inlineStr">
        <is>
          <t>2062-08-03</t>
        </is>
      </c>
    </row>
    <row r="59420">
      <c r="A59420" s="1" t="n">
        <v>59419</v>
      </c>
      <c r="B59420">
        <f>TEXT(59419, "[$-0E0000]yyyy-mm-dd")</f>
        <v/>
      </c>
      <c r="C59420" t="inlineStr">
        <is>
          <t>2062-08-04</t>
        </is>
      </c>
    </row>
    <row r="59421">
      <c r="A59421" s="1" t="n">
        <v>59420</v>
      </c>
      <c r="B59421">
        <f>TEXT(59420, "[$-0E0000]yyyy-mm-dd")</f>
        <v/>
      </c>
      <c r="C59421" t="inlineStr">
        <is>
          <t>2062-08-05</t>
        </is>
      </c>
    </row>
    <row r="59422">
      <c r="A59422" s="1" t="n">
        <v>59421</v>
      </c>
      <c r="B59422">
        <f>TEXT(59421, "[$-0E0000]yyyy-mm-dd")</f>
        <v/>
      </c>
      <c r="C59422" t="inlineStr">
        <is>
          <t>2062-08-06</t>
        </is>
      </c>
    </row>
    <row r="59423">
      <c r="A59423" s="1" t="n">
        <v>59422</v>
      </c>
      <c r="B59423">
        <f>TEXT(59422, "[$-0E0000]yyyy-mm-dd")</f>
        <v/>
      </c>
      <c r="C59423" t="inlineStr">
        <is>
          <t>2062-08-07</t>
        </is>
      </c>
    </row>
    <row r="59424">
      <c r="A59424" s="1" t="n">
        <v>59423</v>
      </c>
      <c r="B59424">
        <f>TEXT(59423, "[$-0E0000]yyyy-mm-dd")</f>
        <v/>
      </c>
      <c r="C59424" t="inlineStr">
        <is>
          <t>2062-08-08</t>
        </is>
      </c>
    </row>
    <row r="59425">
      <c r="A59425" s="1" t="n">
        <v>59424</v>
      </c>
      <c r="B59425">
        <f>TEXT(59424, "[$-0E0000]yyyy-mm-dd")</f>
        <v/>
      </c>
      <c r="C59425" t="inlineStr">
        <is>
          <t>2062-08-09</t>
        </is>
      </c>
    </row>
    <row r="59426">
      <c r="A59426" s="1" t="n">
        <v>59425</v>
      </c>
      <c r="B59426">
        <f>TEXT(59425, "[$-0E0000]yyyy-mm-dd")</f>
        <v/>
      </c>
      <c r="C59426" t="inlineStr">
        <is>
          <t>2062-08-10</t>
        </is>
      </c>
    </row>
    <row r="59427">
      <c r="A59427" s="1" t="n">
        <v>59426</v>
      </c>
      <c r="B59427">
        <f>TEXT(59426, "[$-0E0000]yyyy-mm-dd")</f>
        <v/>
      </c>
      <c r="C59427" t="inlineStr">
        <is>
          <t>2062-08-11</t>
        </is>
      </c>
    </row>
    <row r="59428">
      <c r="A59428" s="1" t="n">
        <v>59427</v>
      </c>
      <c r="B59428">
        <f>TEXT(59427, "[$-0E0000]yyyy-mm-dd")</f>
        <v/>
      </c>
      <c r="C59428" t="inlineStr">
        <is>
          <t>2062-08-12</t>
        </is>
      </c>
    </row>
    <row r="59429">
      <c r="A59429" s="1" t="n">
        <v>59428</v>
      </c>
      <c r="B59429">
        <f>TEXT(59428, "[$-0E0000]yyyy-mm-dd")</f>
        <v/>
      </c>
      <c r="C59429" t="inlineStr">
        <is>
          <t>2062-08-13</t>
        </is>
      </c>
    </row>
    <row r="59430">
      <c r="A59430" s="1" t="n">
        <v>59429</v>
      </c>
      <c r="B59430">
        <f>TEXT(59429, "[$-0E0000]yyyy-mm-dd")</f>
        <v/>
      </c>
      <c r="C59430" t="inlineStr">
        <is>
          <t>2062-08-14</t>
        </is>
      </c>
    </row>
    <row r="59431">
      <c r="A59431" s="1" t="n">
        <v>59430</v>
      </c>
      <c r="B59431">
        <f>TEXT(59430, "[$-0E0000]yyyy-mm-dd")</f>
        <v/>
      </c>
      <c r="C59431" t="inlineStr">
        <is>
          <t>2062-08-15</t>
        </is>
      </c>
    </row>
    <row r="59432">
      <c r="A59432" s="1" t="n">
        <v>59431</v>
      </c>
      <c r="B59432">
        <f>TEXT(59431, "[$-0E0000]yyyy-mm-dd")</f>
        <v/>
      </c>
      <c r="C59432" t="inlineStr">
        <is>
          <t>2062-08-16</t>
        </is>
      </c>
    </row>
    <row r="59433">
      <c r="A59433" s="1" t="n">
        <v>59432</v>
      </c>
      <c r="B59433">
        <f>TEXT(59432, "[$-0E0000]yyyy-mm-dd")</f>
        <v/>
      </c>
      <c r="C59433" t="inlineStr">
        <is>
          <t>2062-08-17</t>
        </is>
      </c>
    </row>
    <row r="59434">
      <c r="A59434" s="1" t="n">
        <v>59433</v>
      </c>
      <c r="B59434">
        <f>TEXT(59433, "[$-0E0000]yyyy-mm-dd")</f>
        <v/>
      </c>
      <c r="C59434" t="inlineStr">
        <is>
          <t>2062-08-18</t>
        </is>
      </c>
    </row>
    <row r="59435">
      <c r="A59435" s="1" t="n">
        <v>59434</v>
      </c>
      <c r="B59435">
        <f>TEXT(59434, "[$-0E0000]yyyy-mm-dd")</f>
        <v/>
      </c>
      <c r="C59435" t="inlineStr">
        <is>
          <t>2062-08-19</t>
        </is>
      </c>
    </row>
    <row r="59436">
      <c r="A59436" s="1" t="n">
        <v>59435</v>
      </c>
      <c r="B59436">
        <f>TEXT(59435, "[$-0E0000]yyyy-mm-dd")</f>
        <v/>
      </c>
      <c r="C59436" t="inlineStr">
        <is>
          <t>2062-08-20</t>
        </is>
      </c>
    </row>
    <row r="59437">
      <c r="A59437" s="1" t="n">
        <v>59436</v>
      </c>
      <c r="B59437">
        <f>TEXT(59436, "[$-0E0000]yyyy-mm-dd")</f>
        <v/>
      </c>
      <c r="C59437" t="inlineStr">
        <is>
          <t>2062-08-21</t>
        </is>
      </c>
    </row>
    <row r="59438">
      <c r="A59438" s="1" t="n">
        <v>59437</v>
      </c>
      <c r="B59438">
        <f>TEXT(59437, "[$-0E0000]yyyy-mm-dd")</f>
        <v/>
      </c>
      <c r="C59438" t="inlineStr">
        <is>
          <t>2062-08-22</t>
        </is>
      </c>
    </row>
    <row r="59439">
      <c r="A59439" s="1" t="n">
        <v>59438</v>
      </c>
      <c r="B59439">
        <f>TEXT(59438, "[$-0E0000]yyyy-mm-dd")</f>
        <v/>
      </c>
      <c r="C59439" t="inlineStr">
        <is>
          <t>2062-08-23</t>
        </is>
      </c>
    </row>
    <row r="59440">
      <c r="A59440" s="1" t="n">
        <v>59439</v>
      </c>
      <c r="B59440">
        <f>TEXT(59439, "[$-0E0000]yyyy-mm-dd")</f>
        <v/>
      </c>
      <c r="C59440" t="inlineStr">
        <is>
          <t>2062-08-24</t>
        </is>
      </c>
    </row>
    <row r="59441">
      <c r="A59441" s="1" t="n">
        <v>59440</v>
      </c>
      <c r="B59441">
        <f>TEXT(59440, "[$-0E0000]yyyy-mm-dd")</f>
        <v/>
      </c>
      <c r="C59441" t="inlineStr">
        <is>
          <t>2062-08-25</t>
        </is>
      </c>
    </row>
    <row r="59442">
      <c r="A59442" s="1" t="n">
        <v>59441</v>
      </c>
      <c r="B59442">
        <f>TEXT(59441, "[$-0E0000]yyyy-mm-dd")</f>
        <v/>
      </c>
      <c r="C59442" t="inlineStr">
        <is>
          <t>2062-08-26</t>
        </is>
      </c>
    </row>
    <row r="59443">
      <c r="A59443" s="1" t="n">
        <v>59442</v>
      </c>
      <c r="B59443">
        <f>TEXT(59442, "[$-0E0000]yyyy-mm-dd")</f>
        <v/>
      </c>
      <c r="C59443" t="inlineStr">
        <is>
          <t>2062-08-27</t>
        </is>
      </c>
    </row>
    <row r="59444">
      <c r="A59444" s="1" t="n">
        <v>59443</v>
      </c>
      <c r="B59444">
        <f>TEXT(59443, "[$-0E0000]yyyy-mm-dd")</f>
        <v/>
      </c>
      <c r="C59444" t="inlineStr">
        <is>
          <t>2062-08-28</t>
        </is>
      </c>
    </row>
    <row r="59445">
      <c r="A59445" s="1" t="n">
        <v>59444</v>
      </c>
      <c r="B59445">
        <f>TEXT(59444, "[$-0E0000]yyyy-mm-dd")</f>
        <v/>
      </c>
      <c r="C59445" t="inlineStr">
        <is>
          <t>2062-08-29</t>
        </is>
      </c>
    </row>
    <row r="59446">
      <c r="A59446" s="1" t="n">
        <v>59445</v>
      </c>
      <c r="B59446">
        <f>TEXT(59445, "[$-0E0000]yyyy-mm-dd")</f>
        <v/>
      </c>
      <c r="C59446" t="inlineStr">
        <is>
          <t>2062-08-30</t>
        </is>
      </c>
    </row>
    <row r="59447">
      <c r="A59447" s="1" t="n">
        <v>59446</v>
      </c>
      <c r="B59447">
        <f>TEXT(59446, "[$-0E0000]yyyy-mm-dd")</f>
        <v/>
      </c>
      <c r="C59447" t="inlineStr">
        <is>
          <t>2062-09-01</t>
        </is>
      </c>
    </row>
    <row r="59448">
      <c r="A59448" s="1" t="n">
        <v>59447</v>
      </c>
      <c r="B59448">
        <f>TEXT(59447, "[$-0E0000]yyyy-mm-dd")</f>
        <v/>
      </c>
      <c r="C59448" t="inlineStr">
        <is>
          <t>2062-09-02</t>
        </is>
      </c>
    </row>
    <row r="59449">
      <c r="A59449" s="1" t="n">
        <v>59448</v>
      </c>
      <c r="B59449">
        <f>TEXT(59448, "[$-0E0000]yyyy-mm-dd")</f>
        <v/>
      </c>
      <c r="C59449" t="inlineStr">
        <is>
          <t>2062-09-03</t>
        </is>
      </c>
    </row>
    <row r="59450">
      <c r="A59450" s="1" t="n">
        <v>59449</v>
      </c>
      <c r="B59450">
        <f>TEXT(59449, "[$-0E0000]yyyy-mm-dd")</f>
        <v/>
      </c>
      <c r="C59450" t="inlineStr">
        <is>
          <t>2062-09-04</t>
        </is>
      </c>
    </row>
    <row r="59451">
      <c r="A59451" s="1" t="n">
        <v>59450</v>
      </c>
      <c r="B59451">
        <f>TEXT(59450, "[$-0E0000]yyyy-mm-dd")</f>
        <v/>
      </c>
      <c r="C59451" t="inlineStr">
        <is>
          <t>2062-09-05</t>
        </is>
      </c>
    </row>
    <row r="59452">
      <c r="A59452" s="1" t="n">
        <v>59451</v>
      </c>
      <c r="B59452">
        <f>TEXT(59451, "[$-0E0000]yyyy-mm-dd")</f>
        <v/>
      </c>
      <c r="C59452" t="inlineStr">
        <is>
          <t>2062-09-06</t>
        </is>
      </c>
    </row>
    <row r="59453">
      <c r="A59453" s="1" t="n">
        <v>59452</v>
      </c>
      <c r="B59453">
        <f>TEXT(59452, "[$-0E0000]yyyy-mm-dd")</f>
        <v/>
      </c>
      <c r="C59453" t="inlineStr">
        <is>
          <t>2062-09-07</t>
        </is>
      </c>
    </row>
    <row r="59454">
      <c r="A59454" s="1" t="n">
        <v>59453</v>
      </c>
      <c r="B59454">
        <f>TEXT(59453, "[$-0E0000]yyyy-mm-dd")</f>
        <v/>
      </c>
      <c r="C59454" t="inlineStr">
        <is>
          <t>2062-09-08</t>
        </is>
      </c>
    </row>
    <row r="59455">
      <c r="A59455" s="1" t="n">
        <v>59454</v>
      </c>
      <c r="B59455">
        <f>TEXT(59454, "[$-0E0000]yyyy-mm-dd")</f>
        <v/>
      </c>
      <c r="C59455" t="inlineStr">
        <is>
          <t>2062-09-09</t>
        </is>
      </c>
    </row>
    <row r="59456">
      <c r="A59456" s="1" t="n">
        <v>59455</v>
      </c>
      <c r="B59456">
        <f>TEXT(59455, "[$-0E0000]yyyy-mm-dd")</f>
        <v/>
      </c>
      <c r="C59456" t="inlineStr">
        <is>
          <t>2062-09-10</t>
        </is>
      </c>
    </row>
    <row r="59457">
      <c r="A59457" s="1" t="n">
        <v>59456</v>
      </c>
      <c r="B59457">
        <f>TEXT(59456, "[$-0E0000]yyyy-mm-dd")</f>
        <v/>
      </c>
      <c r="C59457" t="inlineStr">
        <is>
          <t>2062-09-11</t>
        </is>
      </c>
    </row>
    <row r="59458">
      <c r="A59458" s="1" t="n">
        <v>59457</v>
      </c>
      <c r="B59458">
        <f>TEXT(59457, "[$-0E0000]yyyy-mm-dd")</f>
        <v/>
      </c>
      <c r="C59458" t="inlineStr">
        <is>
          <t>2062-09-12</t>
        </is>
      </c>
    </row>
    <row r="59459">
      <c r="A59459" s="1" t="n">
        <v>59458</v>
      </c>
      <c r="B59459">
        <f>TEXT(59458, "[$-0E0000]yyyy-mm-dd")</f>
        <v/>
      </c>
      <c r="C59459" t="inlineStr">
        <is>
          <t>2062-09-13</t>
        </is>
      </c>
    </row>
    <row r="59460">
      <c r="A59460" s="1" t="n">
        <v>59459</v>
      </c>
      <c r="B59460">
        <f>TEXT(59459, "[$-0E0000]yyyy-mm-dd")</f>
        <v/>
      </c>
      <c r="C59460" t="inlineStr">
        <is>
          <t>2062-09-14</t>
        </is>
      </c>
    </row>
    <row r="59461">
      <c r="A59461" s="1" t="n">
        <v>59460</v>
      </c>
      <c r="B59461">
        <f>TEXT(59460, "[$-0E0000]yyyy-mm-dd")</f>
        <v/>
      </c>
      <c r="C59461" t="inlineStr">
        <is>
          <t>2062-09-15</t>
        </is>
      </c>
    </row>
    <row r="59462">
      <c r="A59462" s="1" t="n">
        <v>59461</v>
      </c>
      <c r="B59462">
        <f>TEXT(59461, "[$-0E0000]yyyy-mm-dd")</f>
        <v/>
      </c>
      <c r="C59462" t="inlineStr">
        <is>
          <t>2062-09-16</t>
        </is>
      </c>
    </row>
    <row r="59463">
      <c r="A59463" s="1" t="n">
        <v>59462</v>
      </c>
      <c r="B59463">
        <f>TEXT(59462, "[$-0E0000]yyyy-mm-dd")</f>
        <v/>
      </c>
      <c r="C59463" t="inlineStr">
        <is>
          <t>2062-09-17</t>
        </is>
      </c>
    </row>
    <row r="59464">
      <c r="A59464" s="1" t="n">
        <v>59463</v>
      </c>
      <c r="B59464">
        <f>TEXT(59463, "[$-0E0000]yyyy-mm-dd")</f>
        <v/>
      </c>
      <c r="C59464" t="inlineStr">
        <is>
          <t>2062-09-18</t>
        </is>
      </c>
    </row>
    <row r="59465">
      <c r="A59465" s="1" t="n">
        <v>59464</v>
      </c>
      <c r="B59465">
        <f>TEXT(59464, "[$-0E0000]yyyy-mm-dd")</f>
        <v/>
      </c>
      <c r="C59465" t="inlineStr">
        <is>
          <t>2062-09-19</t>
        </is>
      </c>
    </row>
    <row r="59466">
      <c r="A59466" s="1" t="n">
        <v>59465</v>
      </c>
      <c r="B59466">
        <f>TEXT(59465, "[$-0E0000]yyyy-mm-dd")</f>
        <v/>
      </c>
      <c r="C59466" t="inlineStr">
        <is>
          <t>2062-09-20</t>
        </is>
      </c>
    </row>
    <row r="59467">
      <c r="A59467" s="1" t="n">
        <v>59466</v>
      </c>
      <c r="B59467">
        <f>TEXT(59466, "[$-0E0000]yyyy-mm-dd")</f>
        <v/>
      </c>
      <c r="C59467" t="inlineStr">
        <is>
          <t>2062-09-21</t>
        </is>
      </c>
    </row>
    <row r="59468">
      <c r="A59468" s="1" t="n">
        <v>59467</v>
      </c>
      <c r="B59468">
        <f>TEXT(59467, "[$-0E0000]yyyy-mm-dd")</f>
        <v/>
      </c>
      <c r="C59468" t="inlineStr">
        <is>
          <t>2062-09-22</t>
        </is>
      </c>
    </row>
    <row r="59469">
      <c r="A59469" s="1" t="n">
        <v>59468</v>
      </c>
      <c r="B59469">
        <f>TEXT(59468, "[$-0E0000]yyyy-mm-dd")</f>
        <v/>
      </c>
      <c r="C59469" t="inlineStr">
        <is>
          <t>2062-09-23</t>
        </is>
      </c>
    </row>
    <row r="59470">
      <c r="A59470" s="1" t="n">
        <v>59469</v>
      </c>
      <c r="B59470">
        <f>TEXT(59469, "[$-0E0000]yyyy-mm-dd")</f>
        <v/>
      </c>
      <c r="C59470" t="inlineStr">
        <is>
          <t>2062-09-24</t>
        </is>
      </c>
    </row>
    <row r="59471">
      <c r="A59471" s="1" t="n">
        <v>59470</v>
      </c>
      <c r="B59471">
        <f>TEXT(59470, "[$-0E0000]yyyy-mm-dd")</f>
        <v/>
      </c>
      <c r="C59471" t="inlineStr">
        <is>
          <t>2062-09-25</t>
        </is>
      </c>
    </row>
    <row r="59472">
      <c r="A59472" s="1" t="n">
        <v>59471</v>
      </c>
      <c r="B59472">
        <f>TEXT(59471, "[$-0E0000]yyyy-mm-dd")</f>
        <v/>
      </c>
      <c r="C59472" t="inlineStr">
        <is>
          <t>2062-09-26</t>
        </is>
      </c>
    </row>
    <row r="59473">
      <c r="A59473" s="1" t="n">
        <v>59472</v>
      </c>
      <c r="B59473">
        <f>TEXT(59472, "[$-0E0000]yyyy-mm-dd")</f>
        <v/>
      </c>
      <c r="C59473" t="inlineStr">
        <is>
          <t>2062-09-27</t>
        </is>
      </c>
    </row>
    <row r="59474">
      <c r="A59474" s="1" t="n">
        <v>59473</v>
      </c>
      <c r="B59474">
        <f>TEXT(59473, "[$-0E0000]yyyy-mm-dd")</f>
        <v/>
      </c>
      <c r="C59474" t="inlineStr">
        <is>
          <t>2062-09-28</t>
        </is>
      </c>
    </row>
    <row r="59475">
      <c r="A59475" s="1" t="n">
        <v>59474</v>
      </c>
      <c r="B59475">
        <f>TEXT(59474, "[$-0E0000]yyyy-mm-dd")</f>
        <v/>
      </c>
      <c r="C59475" t="inlineStr">
        <is>
          <t>2062-09-29</t>
        </is>
      </c>
    </row>
    <row r="59476">
      <c r="A59476" s="1" t="n">
        <v>59475</v>
      </c>
      <c r="B59476">
        <f>TEXT(59475, "[$-0E0000]yyyy-mm-dd")</f>
        <v/>
      </c>
      <c r="C59476" t="inlineStr">
        <is>
          <t>2062-10-01</t>
        </is>
      </c>
    </row>
    <row r="59477">
      <c r="A59477" s="1" t="n">
        <v>59476</v>
      </c>
      <c r="B59477">
        <f>TEXT(59476, "[$-0E0000]yyyy-mm-dd")</f>
        <v/>
      </c>
      <c r="C59477" t="inlineStr">
        <is>
          <t>2062-10-02</t>
        </is>
      </c>
    </row>
    <row r="59478">
      <c r="A59478" s="1" t="n">
        <v>59477</v>
      </c>
      <c r="B59478">
        <f>TEXT(59477, "[$-0E0000]yyyy-mm-dd")</f>
        <v/>
      </c>
      <c r="C59478" t="inlineStr">
        <is>
          <t>2062-10-03</t>
        </is>
      </c>
    </row>
    <row r="59479">
      <c r="A59479" s="1" t="n">
        <v>59478</v>
      </c>
      <c r="B59479">
        <f>TEXT(59478, "[$-0E0000]yyyy-mm-dd")</f>
        <v/>
      </c>
      <c r="C59479" t="inlineStr">
        <is>
          <t>2062-10-04</t>
        </is>
      </c>
    </row>
    <row r="59480">
      <c r="A59480" s="1" t="n">
        <v>59479</v>
      </c>
      <c r="B59480">
        <f>TEXT(59479, "[$-0E0000]yyyy-mm-dd")</f>
        <v/>
      </c>
      <c r="C59480" t="inlineStr">
        <is>
          <t>2062-10-05</t>
        </is>
      </c>
    </row>
    <row r="59481">
      <c r="A59481" s="1" t="n">
        <v>59480</v>
      </c>
      <c r="B59481">
        <f>TEXT(59480, "[$-0E0000]yyyy-mm-dd")</f>
        <v/>
      </c>
      <c r="C59481" t="inlineStr">
        <is>
          <t>2062-10-06</t>
        </is>
      </c>
    </row>
    <row r="59482">
      <c r="A59482" s="1" t="n">
        <v>59481</v>
      </c>
      <c r="B59482">
        <f>TEXT(59481, "[$-0E0000]yyyy-mm-dd")</f>
        <v/>
      </c>
      <c r="C59482" t="inlineStr">
        <is>
          <t>2062-10-07</t>
        </is>
      </c>
    </row>
    <row r="59483">
      <c r="A59483" s="1" t="n">
        <v>59482</v>
      </c>
      <c r="B59483">
        <f>TEXT(59482, "[$-0E0000]yyyy-mm-dd")</f>
        <v/>
      </c>
      <c r="C59483" t="inlineStr">
        <is>
          <t>2062-10-08</t>
        </is>
      </c>
    </row>
    <row r="59484">
      <c r="A59484" s="1" t="n">
        <v>59483</v>
      </c>
      <c r="B59484">
        <f>TEXT(59483, "[$-0E0000]yyyy-mm-dd")</f>
        <v/>
      </c>
      <c r="C59484" t="inlineStr">
        <is>
          <t>2062-10-09</t>
        </is>
      </c>
    </row>
    <row r="59485">
      <c r="A59485" s="1" t="n">
        <v>59484</v>
      </c>
      <c r="B59485">
        <f>TEXT(59484, "[$-0E0000]yyyy-mm-dd")</f>
        <v/>
      </c>
      <c r="C59485" t="inlineStr">
        <is>
          <t>2062-10-10</t>
        </is>
      </c>
    </row>
    <row r="59486">
      <c r="A59486" s="1" t="n">
        <v>59485</v>
      </c>
      <c r="B59486">
        <f>TEXT(59485, "[$-0E0000]yyyy-mm-dd")</f>
        <v/>
      </c>
      <c r="C59486" t="inlineStr">
        <is>
          <t>2062-10-11</t>
        </is>
      </c>
    </row>
    <row r="59487">
      <c r="A59487" s="1" t="n">
        <v>59486</v>
      </c>
      <c r="B59487">
        <f>TEXT(59486, "[$-0E0000]yyyy-mm-dd")</f>
        <v/>
      </c>
      <c r="C59487" t="inlineStr">
        <is>
          <t>2062-10-12</t>
        </is>
      </c>
    </row>
    <row r="59488">
      <c r="A59488" s="1" t="n">
        <v>59487</v>
      </c>
      <c r="B59488">
        <f>TEXT(59487, "[$-0E0000]yyyy-mm-dd")</f>
        <v/>
      </c>
      <c r="C59488" t="inlineStr">
        <is>
          <t>2062-10-13</t>
        </is>
      </c>
    </row>
    <row r="59489">
      <c r="A59489" s="1" t="n">
        <v>59488</v>
      </c>
      <c r="B59489">
        <f>TEXT(59488, "[$-0E0000]yyyy-mm-dd")</f>
        <v/>
      </c>
      <c r="C59489" t="inlineStr">
        <is>
          <t>2062-10-14</t>
        </is>
      </c>
    </row>
    <row r="59490">
      <c r="A59490" s="1" t="n">
        <v>59489</v>
      </c>
      <c r="B59490">
        <f>TEXT(59489, "[$-0E0000]yyyy-mm-dd")</f>
        <v/>
      </c>
      <c r="C59490" t="inlineStr">
        <is>
          <t>2062-10-15</t>
        </is>
      </c>
    </row>
    <row r="59491">
      <c r="A59491" s="1" t="n">
        <v>59490</v>
      </c>
      <c r="B59491">
        <f>TEXT(59490, "[$-0E0000]yyyy-mm-dd")</f>
        <v/>
      </c>
      <c r="C59491" t="inlineStr">
        <is>
          <t>2062-10-16</t>
        </is>
      </c>
    </row>
    <row r="59492">
      <c r="A59492" s="1" t="n">
        <v>59491</v>
      </c>
      <c r="B59492">
        <f>TEXT(59491, "[$-0E0000]yyyy-mm-dd")</f>
        <v/>
      </c>
      <c r="C59492" t="inlineStr">
        <is>
          <t>2062-10-17</t>
        </is>
      </c>
    </row>
    <row r="59493">
      <c r="A59493" s="1" t="n">
        <v>59492</v>
      </c>
      <c r="B59493">
        <f>TEXT(59492, "[$-0E0000]yyyy-mm-dd")</f>
        <v/>
      </c>
      <c r="C59493" t="inlineStr">
        <is>
          <t>2062-10-18</t>
        </is>
      </c>
    </row>
    <row r="59494">
      <c r="A59494" s="1" t="n">
        <v>59493</v>
      </c>
      <c r="B59494">
        <f>TEXT(59493, "[$-0E0000]yyyy-mm-dd")</f>
        <v/>
      </c>
      <c r="C59494" t="inlineStr">
        <is>
          <t>2062-10-19</t>
        </is>
      </c>
    </row>
    <row r="59495">
      <c r="A59495" s="1" t="n">
        <v>59494</v>
      </c>
      <c r="B59495">
        <f>TEXT(59494, "[$-0E0000]yyyy-mm-dd")</f>
        <v/>
      </c>
      <c r="C59495" t="inlineStr">
        <is>
          <t>2062-10-20</t>
        </is>
      </c>
    </row>
    <row r="59496">
      <c r="A59496" s="1" t="n">
        <v>59495</v>
      </c>
      <c r="B59496">
        <f>TEXT(59495, "[$-0E0000]yyyy-mm-dd")</f>
        <v/>
      </c>
      <c r="C59496" t="inlineStr">
        <is>
          <t>2062-10-21</t>
        </is>
      </c>
    </row>
    <row r="59497">
      <c r="A59497" s="1" t="n">
        <v>59496</v>
      </c>
      <c r="B59497">
        <f>TEXT(59496, "[$-0E0000]yyyy-mm-dd")</f>
        <v/>
      </c>
      <c r="C59497" t="inlineStr">
        <is>
          <t>2062-10-22</t>
        </is>
      </c>
    </row>
    <row r="59498">
      <c r="A59498" s="1" t="n">
        <v>59497</v>
      </c>
      <c r="B59498">
        <f>TEXT(59497, "[$-0E0000]yyyy-mm-dd")</f>
        <v/>
      </c>
      <c r="C59498" t="inlineStr">
        <is>
          <t>2062-10-23</t>
        </is>
      </c>
    </row>
    <row r="59499">
      <c r="A59499" s="1" t="n">
        <v>59498</v>
      </c>
      <c r="B59499">
        <f>TEXT(59498, "[$-0E0000]yyyy-mm-dd")</f>
        <v/>
      </c>
      <c r="C59499" t="inlineStr">
        <is>
          <t>2062-10-24</t>
        </is>
      </c>
    </row>
    <row r="59500">
      <c r="A59500" s="1" t="n">
        <v>59499</v>
      </c>
      <c r="B59500">
        <f>TEXT(59499, "[$-0E0000]yyyy-mm-dd")</f>
        <v/>
      </c>
      <c r="C59500" t="inlineStr">
        <is>
          <t>2062-10-25</t>
        </is>
      </c>
    </row>
    <row r="59501">
      <c r="A59501" s="1" t="n">
        <v>59500</v>
      </c>
      <c r="B59501">
        <f>TEXT(59500, "[$-0E0000]yyyy-mm-dd")</f>
        <v/>
      </c>
      <c r="C59501" t="inlineStr">
        <is>
          <t>2062-10-26</t>
        </is>
      </c>
    </row>
    <row r="59502">
      <c r="A59502" s="1" t="n">
        <v>59501</v>
      </c>
      <c r="B59502">
        <f>TEXT(59501, "[$-0E0000]yyyy-mm-dd")</f>
        <v/>
      </c>
      <c r="C59502" t="inlineStr">
        <is>
          <t>2062-10-27</t>
        </is>
      </c>
    </row>
    <row r="59503">
      <c r="A59503" s="1" t="n">
        <v>59502</v>
      </c>
      <c r="B59503">
        <f>TEXT(59502, "[$-0E0000]yyyy-mm-dd")</f>
        <v/>
      </c>
      <c r="C59503" t="inlineStr">
        <is>
          <t>2062-10-28</t>
        </is>
      </c>
    </row>
    <row r="59504">
      <c r="A59504" s="1" t="n">
        <v>59503</v>
      </c>
      <c r="B59504">
        <f>TEXT(59503, "[$-0E0000]yyyy-mm-dd")</f>
        <v/>
      </c>
      <c r="C59504" t="inlineStr">
        <is>
          <t>2062-10-29</t>
        </is>
      </c>
    </row>
    <row r="59505">
      <c r="A59505" s="1" t="n">
        <v>59504</v>
      </c>
      <c r="B59505">
        <f>TEXT(59504, "[$-0E0000]yyyy-mm-dd")</f>
        <v/>
      </c>
      <c r="C59505" t="inlineStr">
        <is>
          <t>2062-10-30</t>
        </is>
      </c>
    </row>
    <row r="59506">
      <c r="A59506" s="1" t="n">
        <v>59505</v>
      </c>
      <c r="B59506">
        <f>TEXT(59505, "[$-0E0000]yyyy-mm-dd")</f>
        <v/>
      </c>
      <c r="C59506" t="inlineStr">
        <is>
          <t>2062-11-01</t>
        </is>
      </c>
    </row>
    <row r="59507">
      <c r="A59507" s="1" t="n">
        <v>59506</v>
      </c>
      <c r="B59507">
        <f>TEXT(59506, "[$-0E0000]yyyy-mm-dd")</f>
        <v/>
      </c>
      <c r="C59507" t="inlineStr">
        <is>
          <t>2062-11-02</t>
        </is>
      </c>
    </row>
    <row r="59508">
      <c r="A59508" s="1" t="n">
        <v>59507</v>
      </c>
      <c r="B59508">
        <f>TEXT(59507, "[$-0E0000]yyyy-mm-dd")</f>
        <v/>
      </c>
      <c r="C59508" t="inlineStr">
        <is>
          <t>2062-11-03</t>
        </is>
      </c>
    </row>
    <row r="59509">
      <c r="A59509" s="1" t="n">
        <v>59508</v>
      </c>
      <c r="B59509">
        <f>TEXT(59508, "[$-0E0000]yyyy-mm-dd")</f>
        <v/>
      </c>
      <c r="C59509" t="inlineStr">
        <is>
          <t>2062-11-04</t>
        </is>
      </c>
    </row>
    <row r="59510">
      <c r="A59510" s="1" t="n">
        <v>59509</v>
      </c>
      <c r="B59510">
        <f>TEXT(59509, "[$-0E0000]yyyy-mm-dd")</f>
        <v/>
      </c>
      <c r="C59510" t="inlineStr">
        <is>
          <t>2062-11-05</t>
        </is>
      </c>
    </row>
    <row r="59511">
      <c r="A59511" s="1" t="n">
        <v>59510</v>
      </c>
      <c r="B59511">
        <f>TEXT(59510, "[$-0E0000]yyyy-mm-dd")</f>
        <v/>
      </c>
      <c r="C59511" t="inlineStr">
        <is>
          <t>2062-11-06</t>
        </is>
      </c>
    </row>
    <row r="59512">
      <c r="A59512" s="1" t="n">
        <v>59511</v>
      </c>
      <c r="B59512">
        <f>TEXT(59511, "[$-0E0000]yyyy-mm-dd")</f>
        <v/>
      </c>
      <c r="C59512" t="inlineStr">
        <is>
          <t>2062-11-07</t>
        </is>
      </c>
    </row>
    <row r="59513">
      <c r="A59513" s="1" t="n">
        <v>59512</v>
      </c>
      <c r="B59513">
        <f>TEXT(59512, "[$-0E0000]yyyy-mm-dd")</f>
        <v/>
      </c>
      <c r="C59513" t="inlineStr">
        <is>
          <t>2062-11-08</t>
        </is>
      </c>
    </row>
    <row r="59514">
      <c r="A59514" s="1" t="n">
        <v>59513</v>
      </c>
      <c r="B59514">
        <f>TEXT(59513, "[$-0E0000]yyyy-mm-dd")</f>
        <v/>
      </c>
      <c r="C59514" t="inlineStr">
        <is>
          <t>2062-11-09</t>
        </is>
      </c>
    </row>
    <row r="59515">
      <c r="A59515" s="1" t="n">
        <v>59514</v>
      </c>
      <c r="B59515">
        <f>TEXT(59514, "[$-0E0000]yyyy-mm-dd")</f>
        <v/>
      </c>
      <c r="C59515" t="inlineStr">
        <is>
          <t>2062-11-10</t>
        </is>
      </c>
    </row>
    <row r="59516">
      <c r="A59516" s="1" t="n">
        <v>59515</v>
      </c>
      <c r="B59516">
        <f>TEXT(59515, "[$-0E0000]yyyy-mm-dd")</f>
        <v/>
      </c>
      <c r="C59516" t="inlineStr">
        <is>
          <t>2062-11-11</t>
        </is>
      </c>
    </row>
    <row r="59517">
      <c r="A59517" s="1" t="n">
        <v>59516</v>
      </c>
      <c r="B59517">
        <f>TEXT(59516, "[$-0E0000]yyyy-mm-dd")</f>
        <v/>
      </c>
      <c r="C59517" t="inlineStr">
        <is>
          <t>2062-11-12</t>
        </is>
      </c>
    </row>
    <row r="59518">
      <c r="A59518" s="1" t="n">
        <v>59517</v>
      </c>
      <c r="B59518">
        <f>TEXT(59517, "[$-0E0000]yyyy-mm-dd")</f>
        <v/>
      </c>
      <c r="C59518" t="inlineStr">
        <is>
          <t>2062-11-13</t>
        </is>
      </c>
    </row>
    <row r="59519">
      <c r="A59519" s="1" t="n">
        <v>59518</v>
      </c>
      <c r="B59519">
        <f>TEXT(59518, "[$-0E0000]yyyy-mm-dd")</f>
        <v/>
      </c>
      <c r="C59519" t="inlineStr">
        <is>
          <t>2062-11-14</t>
        </is>
      </c>
    </row>
    <row r="59520">
      <c r="A59520" s="1" t="n">
        <v>59519</v>
      </c>
      <c r="B59520">
        <f>TEXT(59519, "[$-0E0000]yyyy-mm-dd")</f>
        <v/>
      </c>
      <c r="C59520" t="inlineStr">
        <is>
          <t>2062-11-15</t>
        </is>
      </c>
    </row>
    <row r="59521">
      <c r="A59521" s="1" t="n">
        <v>59520</v>
      </c>
      <c r="B59521">
        <f>TEXT(59520, "[$-0E0000]yyyy-mm-dd")</f>
        <v/>
      </c>
      <c r="C59521" t="inlineStr">
        <is>
          <t>2062-11-16</t>
        </is>
      </c>
    </row>
    <row r="59522">
      <c r="A59522" s="1" t="n">
        <v>59521</v>
      </c>
      <c r="B59522">
        <f>TEXT(59521, "[$-0E0000]yyyy-mm-dd")</f>
        <v/>
      </c>
      <c r="C59522" t="inlineStr">
        <is>
          <t>2062-11-17</t>
        </is>
      </c>
    </row>
    <row r="59523">
      <c r="A59523" s="1" t="n">
        <v>59522</v>
      </c>
      <c r="B59523">
        <f>TEXT(59522, "[$-0E0000]yyyy-mm-dd")</f>
        <v/>
      </c>
      <c r="C59523" t="inlineStr">
        <is>
          <t>2062-11-18</t>
        </is>
      </c>
    </row>
    <row r="59524">
      <c r="A59524" s="1" t="n">
        <v>59523</v>
      </c>
      <c r="B59524">
        <f>TEXT(59523, "[$-0E0000]yyyy-mm-dd")</f>
        <v/>
      </c>
      <c r="C59524" t="inlineStr">
        <is>
          <t>2062-11-19</t>
        </is>
      </c>
    </row>
    <row r="59525">
      <c r="A59525" s="1" t="n">
        <v>59524</v>
      </c>
      <c r="B59525">
        <f>TEXT(59524, "[$-0E0000]yyyy-mm-dd")</f>
        <v/>
      </c>
      <c r="C59525" t="inlineStr">
        <is>
          <t>2062-11-20</t>
        </is>
      </c>
    </row>
    <row r="59526">
      <c r="A59526" s="1" t="n">
        <v>59525</v>
      </c>
      <c r="B59526">
        <f>TEXT(59525, "[$-0E0000]yyyy-mm-dd")</f>
        <v/>
      </c>
      <c r="C59526" t="inlineStr">
        <is>
          <t>2062-11-21</t>
        </is>
      </c>
    </row>
    <row r="59527">
      <c r="A59527" s="1" t="n">
        <v>59526</v>
      </c>
      <c r="B59527">
        <f>TEXT(59526, "[$-0E0000]yyyy-mm-dd")</f>
        <v/>
      </c>
      <c r="C59527" t="inlineStr">
        <is>
          <t>2062-11-22</t>
        </is>
      </c>
    </row>
    <row r="59528">
      <c r="A59528" s="1" t="n">
        <v>59527</v>
      </c>
      <c r="B59528">
        <f>TEXT(59527, "[$-0E0000]yyyy-mm-dd")</f>
        <v/>
      </c>
      <c r="C59528" t="inlineStr">
        <is>
          <t>2062-11-23</t>
        </is>
      </c>
    </row>
    <row r="59529">
      <c r="A59529" s="1" t="n">
        <v>59528</v>
      </c>
      <c r="B59529">
        <f>TEXT(59528, "[$-0E0000]yyyy-mm-dd")</f>
        <v/>
      </c>
      <c r="C59529" t="inlineStr">
        <is>
          <t>2062-11-24</t>
        </is>
      </c>
    </row>
    <row r="59530">
      <c r="A59530" s="1" t="n">
        <v>59529</v>
      </c>
      <c r="B59530">
        <f>TEXT(59529, "[$-0E0000]yyyy-mm-dd")</f>
        <v/>
      </c>
      <c r="C59530" t="inlineStr">
        <is>
          <t>2062-11-25</t>
        </is>
      </c>
    </row>
    <row r="59531">
      <c r="A59531" s="1" t="n">
        <v>59530</v>
      </c>
      <c r="B59531">
        <f>TEXT(59530, "[$-0E0000]yyyy-mm-dd")</f>
        <v/>
      </c>
      <c r="C59531" t="inlineStr">
        <is>
          <t>2062-11-26</t>
        </is>
      </c>
    </row>
    <row r="59532">
      <c r="A59532" s="1" t="n">
        <v>59531</v>
      </c>
      <c r="B59532">
        <f>TEXT(59531, "[$-0E0000]yyyy-mm-dd")</f>
        <v/>
      </c>
      <c r="C59532" t="inlineStr">
        <is>
          <t>2062-11-27</t>
        </is>
      </c>
    </row>
    <row r="59533">
      <c r="A59533" s="1" t="n">
        <v>59532</v>
      </c>
      <c r="B59533">
        <f>TEXT(59532, "[$-0E0000]yyyy-mm-dd")</f>
        <v/>
      </c>
      <c r="C59533" t="inlineStr">
        <is>
          <t>2062-11-28</t>
        </is>
      </c>
    </row>
    <row r="59534">
      <c r="A59534" s="1" t="n">
        <v>59533</v>
      </c>
      <c r="B59534">
        <f>TEXT(59533, "[$-0E0000]yyyy-mm-dd")</f>
        <v/>
      </c>
      <c r="C59534" t="inlineStr">
        <is>
          <t>2062-11-29</t>
        </is>
      </c>
    </row>
    <row r="59535">
      <c r="A59535" s="1" t="n">
        <v>59534</v>
      </c>
      <c r="B59535">
        <f>TEXT(59534, "[$-0E0000]yyyy-mm-dd")</f>
        <v/>
      </c>
      <c r="C59535" t="inlineStr">
        <is>
          <t>2062-11-30</t>
        </is>
      </c>
    </row>
    <row r="59536">
      <c r="A59536" s="1" t="n">
        <v>59535</v>
      </c>
      <c r="B59536">
        <f>TEXT(59535, "[$-0E0000]yyyy-mm-dd")</f>
        <v/>
      </c>
      <c r="C59536" t="inlineStr">
        <is>
          <t>2062-12-01</t>
        </is>
      </c>
    </row>
    <row r="59537">
      <c r="A59537" s="1" t="n">
        <v>59536</v>
      </c>
      <c r="B59537">
        <f>TEXT(59536, "[$-0E0000]yyyy-mm-dd")</f>
        <v/>
      </c>
      <c r="C59537" t="inlineStr">
        <is>
          <t>2062-12-02</t>
        </is>
      </c>
    </row>
    <row r="59538">
      <c r="A59538" s="1" t="n">
        <v>59537</v>
      </c>
      <c r="B59538">
        <f>TEXT(59537, "[$-0E0000]yyyy-mm-dd")</f>
        <v/>
      </c>
      <c r="C59538" t="inlineStr">
        <is>
          <t>2062-12-03</t>
        </is>
      </c>
    </row>
    <row r="59539">
      <c r="A59539" s="1" t="n">
        <v>59538</v>
      </c>
      <c r="B59539">
        <f>TEXT(59538, "[$-0E0000]yyyy-mm-dd")</f>
        <v/>
      </c>
      <c r="C59539" t="inlineStr">
        <is>
          <t>2062-12-04</t>
        </is>
      </c>
    </row>
    <row r="59540">
      <c r="A59540" s="1" t="n">
        <v>59539</v>
      </c>
      <c r="B59540">
        <f>TEXT(59539, "[$-0E0000]yyyy-mm-dd")</f>
        <v/>
      </c>
      <c r="C59540" t="inlineStr">
        <is>
          <t>2062-12-05</t>
        </is>
      </c>
    </row>
    <row r="59541">
      <c r="A59541" s="1" t="n">
        <v>59540</v>
      </c>
      <c r="B59541">
        <f>TEXT(59540, "[$-0E0000]yyyy-mm-dd")</f>
        <v/>
      </c>
      <c r="C59541" t="inlineStr">
        <is>
          <t>2062-12-06</t>
        </is>
      </c>
    </row>
    <row r="59542">
      <c r="A59542" s="1" t="n">
        <v>59541</v>
      </c>
      <c r="B59542">
        <f>TEXT(59541, "[$-0E0000]yyyy-mm-dd")</f>
        <v/>
      </c>
      <c r="C59542" t="inlineStr">
        <is>
          <t>2062-12-07</t>
        </is>
      </c>
    </row>
    <row r="59543">
      <c r="A59543" s="1" t="n">
        <v>59542</v>
      </c>
      <c r="B59543">
        <f>TEXT(59542, "[$-0E0000]yyyy-mm-dd")</f>
        <v/>
      </c>
      <c r="C59543" t="inlineStr">
        <is>
          <t>2062-12-08</t>
        </is>
      </c>
    </row>
    <row r="59544">
      <c r="A59544" s="1" t="n">
        <v>59543</v>
      </c>
      <c r="B59544">
        <f>TEXT(59543, "[$-0E0000]yyyy-mm-dd")</f>
        <v/>
      </c>
      <c r="C59544" t="inlineStr">
        <is>
          <t>2062-12-09</t>
        </is>
      </c>
    </row>
    <row r="59545">
      <c r="A59545" s="1" t="n">
        <v>59544</v>
      </c>
      <c r="B59545">
        <f>TEXT(59544, "[$-0E0000]yyyy-mm-dd")</f>
        <v/>
      </c>
      <c r="C59545" t="inlineStr">
        <is>
          <t>2062-12-10</t>
        </is>
      </c>
    </row>
    <row r="59546">
      <c r="A59546" s="1" t="n">
        <v>59545</v>
      </c>
      <c r="B59546">
        <f>TEXT(59545, "[$-0E0000]yyyy-mm-dd")</f>
        <v/>
      </c>
      <c r="C59546" t="inlineStr">
        <is>
          <t>2062-12-11</t>
        </is>
      </c>
    </row>
    <row r="59547">
      <c r="A59547" s="1" t="n">
        <v>59546</v>
      </c>
      <c r="B59547">
        <f>TEXT(59546, "[$-0E0000]yyyy-mm-dd")</f>
        <v/>
      </c>
      <c r="C59547" t="inlineStr">
        <is>
          <t>2062-12-12</t>
        </is>
      </c>
    </row>
    <row r="59548">
      <c r="A59548" s="1" t="n">
        <v>59547</v>
      </c>
      <c r="B59548">
        <f>TEXT(59547, "[$-0E0000]yyyy-mm-dd")</f>
        <v/>
      </c>
      <c r="C59548" t="inlineStr">
        <is>
          <t>2062-12-13</t>
        </is>
      </c>
    </row>
    <row r="59549">
      <c r="A59549" s="1" t="n">
        <v>59548</v>
      </c>
      <c r="B59549">
        <f>TEXT(59548, "[$-0E0000]yyyy-mm-dd")</f>
        <v/>
      </c>
      <c r="C59549" t="inlineStr">
        <is>
          <t>2062-12-14</t>
        </is>
      </c>
    </row>
    <row r="59550">
      <c r="A59550" s="1" t="n">
        <v>59549</v>
      </c>
      <c r="B59550">
        <f>TEXT(59549, "[$-0E0000]yyyy-mm-dd")</f>
        <v/>
      </c>
      <c r="C59550" t="inlineStr">
        <is>
          <t>2062-12-15</t>
        </is>
      </c>
    </row>
    <row r="59551">
      <c r="A59551" s="1" t="n">
        <v>59550</v>
      </c>
      <c r="B59551">
        <f>TEXT(59550, "[$-0E0000]yyyy-mm-dd")</f>
        <v/>
      </c>
      <c r="C59551" t="inlineStr">
        <is>
          <t>2062-12-16</t>
        </is>
      </c>
    </row>
    <row r="59552">
      <c r="A59552" s="1" t="n">
        <v>59551</v>
      </c>
      <c r="B59552">
        <f>TEXT(59551, "[$-0E0000]yyyy-mm-dd")</f>
        <v/>
      </c>
      <c r="C59552" t="inlineStr">
        <is>
          <t>2062-12-17</t>
        </is>
      </c>
    </row>
    <row r="59553">
      <c r="A59553" s="1" t="n">
        <v>59552</v>
      </c>
      <c r="B59553">
        <f>TEXT(59552, "[$-0E0000]yyyy-mm-dd")</f>
        <v/>
      </c>
      <c r="C59553" t="inlineStr">
        <is>
          <t>2062-12-18</t>
        </is>
      </c>
    </row>
    <row r="59554">
      <c r="A59554" s="1" t="n">
        <v>59553</v>
      </c>
      <c r="B59554">
        <f>TEXT(59553, "[$-0E0000]yyyy-mm-dd")</f>
        <v/>
      </c>
      <c r="C59554" t="inlineStr">
        <is>
          <t>2062-12-19</t>
        </is>
      </c>
    </row>
    <row r="59555">
      <c r="A59555" s="1" t="n">
        <v>59554</v>
      </c>
      <c r="B59555">
        <f>TEXT(59554, "[$-0E0000]yyyy-mm-dd")</f>
        <v/>
      </c>
      <c r="C59555" t="inlineStr">
        <is>
          <t>2062-12-20</t>
        </is>
      </c>
    </row>
    <row r="59556">
      <c r="A59556" s="1" t="n">
        <v>59555</v>
      </c>
      <c r="B59556">
        <f>TEXT(59555, "[$-0E0000]yyyy-mm-dd")</f>
        <v/>
      </c>
      <c r="C59556" t="inlineStr">
        <is>
          <t>2062-12-21</t>
        </is>
      </c>
    </row>
    <row r="59557">
      <c r="A59557" s="1" t="n">
        <v>59556</v>
      </c>
      <c r="B59557">
        <f>TEXT(59556, "[$-0E0000]yyyy-mm-dd")</f>
        <v/>
      </c>
      <c r="C59557" t="inlineStr">
        <is>
          <t>2062-12-22</t>
        </is>
      </c>
    </row>
    <row r="59558">
      <c r="A59558" s="1" t="n">
        <v>59557</v>
      </c>
      <c r="B59558">
        <f>TEXT(59557, "[$-0E0000]yyyy-mm-dd")</f>
        <v/>
      </c>
      <c r="C59558" t="inlineStr">
        <is>
          <t>2062-12-23</t>
        </is>
      </c>
    </row>
    <row r="59559">
      <c r="A59559" s="1" t="n">
        <v>59558</v>
      </c>
      <c r="B59559">
        <f>TEXT(59558, "[$-0E0000]yyyy-mm-dd")</f>
        <v/>
      </c>
      <c r="C59559" t="inlineStr">
        <is>
          <t>2062-12-24</t>
        </is>
      </c>
    </row>
    <row r="59560">
      <c r="A59560" s="1" t="n">
        <v>59559</v>
      </c>
      <c r="B59560">
        <f>TEXT(59559, "[$-0E0000]yyyy-mm-dd")</f>
        <v/>
      </c>
      <c r="C59560" t="inlineStr">
        <is>
          <t>2062-12-25</t>
        </is>
      </c>
    </row>
    <row r="59561">
      <c r="A59561" s="1" t="n">
        <v>59560</v>
      </c>
      <c r="B59561">
        <f>TEXT(59560, "[$-0E0000]yyyy-mm-dd")</f>
        <v/>
      </c>
      <c r="C59561" t="inlineStr">
        <is>
          <t>2062-12-26</t>
        </is>
      </c>
    </row>
    <row r="59562">
      <c r="A59562" s="1" t="n">
        <v>59561</v>
      </c>
      <c r="B59562">
        <f>TEXT(59561, "[$-0E0000]yyyy-mm-dd")</f>
        <v/>
      </c>
      <c r="C59562" t="inlineStr">
        <is>
          <t>2062-12-27</t>
        </is>
      </c>
    </row>
    <row r="59563">
      <c r="A59563" s="1" t="n">
        <v>59562</v>
      </c>
      <c r="B59563">
        <f>TEXT(59562, "[$-0E0000]yyyy-mm-dd")</f>
        <v/>
      </c>
      <c r="C59563" t="inlineStr">
        <is>
          <t>2062-12-28</t>
        </is>
      </c>
    </row>
    <row r="59564">
      <c r="A59564" s="1" t="n">
        <v>59563</v>
      </c>
      <c r="B59564">
        <f>TEXT(59563, "[$-0E0000]yyyy-mm-dd")</f>
        <v/>
      </c>
      <c r="C59564" t="inlineStr">
        <is>
          <t>2062-12-29</t>
        </is>
      </c>
    </row>
    <row r="59565">
      <c r="A59565" s="1" t="n">
        <v>59564</v>
      </c>
      <c r="B59565">
        <f>TEXT(59564, "[$-0E0000]yyyy-mm-dd")</f>
        <v/>
      </c>
      <c r="C59565" t="inlineStr">
        <is>
          <t>2063-01-01</t>
        </is>
      </c>
    </row>
    <row r="59566">
      <c r="A59566" s="1" t="n">
        <v>59565</v>
      </c>
      <c r="B59566">
        <f>TEXT(59565, "[$-0E0000]yyyy-mm-dd")</f>
        <v/>
      </c>
      <c r="C59566" t="inlineStr">
        <is>
          <t>2063-01-02</t>
        </is>
      </c>
    </row>
    <row r="59567">
      <c r="A59567" s="1" t="n">
        <v>59566</v>
      </c>
      <c r="B59567">
        <f>TEXT(59566, "[$-0E0000]yyyy-mm-dd")</f>
        <v/>
      </c>
      <c r="C59567" t="inlineStr">
        <is>
          <t>2063-01-03</t>
        </is>
      </c>
    </row>
    <row r="59568">
      <c r="A59568" s="1" t="n">
        <v>59567</v>
      </c>
      <c r="B59568">
        <f>TEXT(59567, "[$-0E0000]yyyy-mm-dd")</f>
        <v/>
      </c>
      <c r="C59568" t="inlineStr">
        <is>
          <t>2063-01-04</t>
        </is>
      </c>
    </row>
    <row r="59569">
      <c r="A59569" s="1" t="n">
        <v>59568</v>
      </c>
      <c r="B59569">
        <f>TEXT(59568, "[$-0E0000]yyyy-mm-dd")</f>
        <v/>
      </c>
      <c r="C59569" t="inlineStr">
        <is>
          <t>2063-01-05</t>
        </is>
      </c>
    </row>
    <row r="59570">
      <c r="A59570" s="1" t="n">
        <v>59569</v>
      </c>
      <c r="B59570">
        <f>TEXT(59569, "[$-0E0000]yyyy-mm-dd")</f>
        <v/>
      </c>
      <c r="C59570" t="inlineStr">
        <is>
          <t>2063-01-06</t>
        </is>
      </c>
    </row>
    <row r="59571">
      <c r="A59571" s="1" t="n">
        <v>59570</v>
      </c>
      <c r="B59571">
        <f>TEXT(59570, "[$-0E0000]yyyy-mm-dd")</f>
        <v/>
      </c>
      <c r="C59571" t="inlineStr">
        <is>
          <t>2063-01-07</t>
        </is>
      </c>
    </row>
    <row r="59572">
      <c r="A59572" s="1" t="n">
        <v>59571</v>
      </c>
      <c r="B59572">
        <f>TEXT(59571, "[$-0E0000]yyyy-mm-dd")</f>
        <v/>
      </c>
      <c r="C59572" t="inlineStr">
        <is>
          <t>2063-01-08</t>
        </is>
      </c>
    </row>
    <row r="59573">
      <c r="A59573" s="1" t="n">
        <v>59572</v>
      </c>
      <c r="B59573">
        <f>TEXT(59572, "[$-0E0000]yyyy-mm-dd")</f>
        <v/>
      </c>
      <c r="C59573" t="inlineStr">
        <is>
          <t>2063-01-09</t>
        </is>
      </c>
    </row>
    <row r="59574">
      <c r="A59574" s="1" t="n">
        <v>59573</v>
      </c>
      <c r="B59574">
        <f>TEXT(59573, "[$-0E0000]yyyy-mm-dd")</f>
        <v/>
      </c>
      <c r="C59574" t="inlineStr">
        <is>
          <t>2063-01-10</t>
        </is>
      </c>
    </row>
    <row r="59575">
      <c r="A59575" s="1" t="n">
        <v>59574</v>
      </c>
      <c r="B59575">
        <f>TEXT(59574, "[$-0E0000]yyyy-mm-dd")</f>
        <v/>
      </c>
      <c r="C59575" t="inlineStr">
        <is>
          <t>2063-01-11</t>
        </is>
      </c>
    </row>
    <row r="59576">
      <c r="A59576" s="1" t="n">
        <v>59575</v>
      </c>
      <c r="B59576">
        <f>TEXT(59575, "[$-0E0000]yyyy-mm-dd")</f>
        <v/>
      </c>
      <c r="C59576" t="inlineStr">
        <is>
          <t>2063-01-12</t>
        </is>
      </c>
    </row>
    <row r="59577">
      <c r="A59577" s="1" t="n">
        <v>59576</v>
      </c>
      <c r="B59577">
        <f>TEXT(59576, "[$-0E0000]yyyy-mm-dd")</f>
        <v/>
      </c>
      <c r="C59577" t="inlineStr">
        <is>
          <t>2063-01-13</t>
        </is>
      </c>
    </row>
    <row r="59578">
      <c r="A59578" s="1" t="n">
        <v>59577</v>
      </c>
      <c r="B59578">
        <f>TEXT(59577, "[$-0E0000]yyyy-mm-dd")</f>
        <v/>
      </c>
      <c r="C59578" t="inlineStr">
        <is>
          <t>2063-01-14</t>
        </is>
      </c>
    </row>
    <row r="59579">
      <c r="A59579" s="1" t="n">
        <v>59578</v>
      </c>
      <c r="B59579">
        <f>TEXT(59578, "[$-0E0000]yyyy-mm-dd")</f>
        <v/>
      </c>
      <c r="C59579" t="inlineStr">
        <is>
          <t>2063-01-15</t>
        </is>
      </c>
    </row>
    <row r="59580">
      <c r="A59580" s="1" t="n">
        <v>59579</v>
      </c>
      <c r="B59580">
        <f>TEXT(59579, "[$-0E0000]yyyy-mm-dd")</f>
        <v/>
      </c>
      <c r="C59580" t="inlineStr">
        <is>
          <t>2063-01-16</t>
        </is>
      </c>
    </row>
    <row r="59581">
      <c r="A59581" s="1" t="n">
        <v>59580</v>
      </c>
      <c r="B59581">
        <f>TEXT(59580, "[$-0E0000]yyyy-mm-dd")</f>
        <v/>
      </c>
      <c r="C59581" t="inlineStr">
        <is>
          <t>2063-01-17</t>
        </is>
      </c>
    </row>
    <row r="59582">
      <c r="A59582" s="1" t="n">
        <v>59581</v>
      </c>
      <c r="B59582">
        <f>TEXT(59581, "[$-0E0000]yyyy-mm-dd")</f>
        <v/>
      </c>
      <c r="C59582" t="inlineStr">
        <is>
          <t>2063-01-18</t>
        </is>
      </c>
    </row>
    <row r="59583">
      <c r="A59583" s="1" t="n">
        <v>59582</v>
      </c>
      <c r="B59583">
        <f>TEXT(59582, "[$-0E0000]yyyy-mm-dd")</f>
        <v/>
      </c>
      <c r="C59583" t="inlineStr">
        <is>
          <t>2063-01-19</t>
        </is>
      </c>
    </row>
    <row r="59584">
      <c r="A59584" s="1" t="n">
        <v>59583</v>
      </c>
      <c r="B59584">
        <f>TEXT(59583, "[$-0E0000]yyyy-mm-dd")</f>
        <v/>
      </c>
      <c r="C59584" t="inlineStr">
        <is>
          <t>2063-01-20</t>
        </is>
      </c>
    </row>
    <row r="59585">
      <c r="A59585" s="1" t="n">
        <v>59584</v>
      </c>
      <c r="B59585">
        <f>TEXT(59584, "[$-0E0000]yyyy-mm-dd")</f>
        <v/>
      </c>
      <c r="C59585" t="inlineStr">
        <is>
          <t>2063-01-21</t>
        </is>
      </c>
    </row>
    <row r="59586">
      <c r="A59586" s="1" t="n">
        <v>59585</v>
      </c>
      <c r="B59586">
        <f>TEXT(59585, "[$-0E0000]yyyy-mm-dd")</f>
        <v/>
      </c>
      <c r="C59586" t="inlineStr">
        <is>
          <t>2063-01-22</t>
        </is>
      </c>
    </row>
    <row r="59587">
      <c r="A59587" s="1" t="n">
        <v>59586</v>
      </c>
      <c r="B59587">
        <f>TEXT(59586, "[$-0E0000]yyyy-mm-dd")</f>
        <v/>
      </c>
      <c r="C59587" t="inlineStr">
        <is>
          <t>2063-01-23</t>
        </is>
      </c>
    </row>
    <row r="59588">
      <c r="A59588" s="1" t="n">
        <v>59587</v>
      </c>
      <c r="B59588">
        <f>TEXT(59587, "[$-0E0000]yyyy-mm-dd")</f>
        <v/>
      </c>
      <c r="C59588" t="inlineStr">
        <is>
          <t>2063-01-24</t>
        </is>
      </c>
    </row>
    <row r="59589">
      <c r="A59589" s="1" t="n">
        <v>59588</v>
      </c>
      <c r="B59589">
        <f>TEXT(59588, "[$-0E0000]yyyy-mm-dd")</f>
        <v/>
      </c>
      <c r="C59589" t="inlineStr">
        <is>
          <t>2063-01-25</t>
        </is>
      </c>
    </row>
    <row r="59590">
      <c r="A59590" s="1" t="n">
        <v>59589</v>
      </c>
      <c r="B59590">
        <f>TEXT(59589, "[$-0E0000]yyyy-mm-dd")</f>
        <v/>
      </c>
      <c r="C59590" t="inlineStr">
        <is>
          <t>2063-01-26</t>
        </is>
      </c>
    </row>
    <row r="59591">
      <c r="A59591" s="1" t="n">
        <v>59590</v>
      </c>
      <c r="B59591">
        <f>TEXT(59590, "[$-0E0000]yyyy-mm-dd")</f>
        <v/>
      </c>
      <c r="C59591" t="inlineStr">
        <is>
          <t>2063-01-27</t>
        </is>
      </c>
    </row>
    <row r="59592">
      <c r="A59592" s="1" t="n">
        <v>59591</v>
      </c>
      <c r="B59592">
        <f>TEXT(59591, "[$-0E0000]yyyy-mm-dd")</f>
        <v/>
      </c>
      <c r="C59592" t="inlineStr">
        <is>
          <t>2063-01-28</t>
        </is>
      </c>
    </row>
    <row r="59593">
      <c r="A59593" s="1" t="n">
        <v>59592</v>
      </c>
      <c r="B59593">
        <f>TEXT(59592, "[$-0E0000]yyyy-mm-dd")</f>
        <v/>
      </c>
      <c r="C59593" t="inlineStr">
        <is>
          <t>2063-01-29</t>
        </is>
      </c>
    </row>
    <row r="59594">
      <c r="A59594" s="1" t="n">
        <v>59593</v>
      </c>
      <c r="B59594">
        <f>TEXT(59593, "[$-0E0000]yyyy-mm-dd")</f>
        <v/>
      </c>
      <c r="C59594" t="inlineStr">
        <is>
          <t>2063-01-30</t>
        </is>
      </c>
    </row>
    <row r="59595">
      <c r="A59595" s="1" t="n">
        <v>59594</v>
      </c>
      <c r="B59595">
        <f>TEXT(59594, "[$-0E0000]yyyy-mm-dd")</f>
        <v/>
      </c>
      <c r="C59595" t="inlineStr">
        <is>
          <t>2063-02-01</t>
        </is>
      </c>
    </row>
    <row r="59596">
      <c r="A59596" s="1" t="n">
        <v>59595</v>
      </c>
      <c r="B59596">
        <f>TEXT(59595, "[$-0E0000]yyyy-mm-dd")</f>
        <v/>
      </c>
      <c r="C59596" t="inlineStr">
        <is>
          <t>2063-02-02</t>
        </is>
      </c>
    </row>
    <row r="59597">
      <c r="A59597" s="1" t="n">
        <v>59596</v>
      </c>
      <c r="B59597">
        <f>TEXT(59596, "[$-0E0000]yyyy-mm-dd")</f>
        <v/>
      </c>
      <c r="C59597" t="inlineStr">
        <is>
          <t>2063-02-03</t>
        </is>
      </c>
    </row>
    <row r="59598">
      <c r="A59598" s="1" t="n">
        <v>59597</v>
      </c>
      <c r="B59598">
        <f>TEXT(59597, "[$-0E0000]yyyy-mm-dd")</f>
        <v/>
      </c>
      <c r="C59598" t="inlineStr">
        <is>
          <t>2063-02-04</t>
        </is>
      </c>
    </row>
    <row r="59599">
      <c r="A59599" s="1" t="n">
        <v>59598</v>
      </c>
      <c r="B59599">
        <f>TEXT(59598, "[$-0E0000]yyyy-mm-dd")</f>
        <v/>
      </c>
      <c r="C59599" t="inlineStr">
        <is>
          <t>2063-02-05</t>
        </is>
      </c>
    </row>
    <row r="59600">
      <c r="A59600" s="1" t="n">
        <v>59599</v>
      </c>
      <c r="B59600">
        <f>TEXT(59599, "[$-0E0000]yyyy-mm-dd")</f>
        <v/>
      </c>
      <c r="C59600" t="inlineStr">
        <is>
          <t>2063-02-06</t>
        </is>
      </c>
    </row>
    <row r="59601">
      <c r="A59601" s="1" t="n">
        <v>59600</v>
      </c>
      <c r="B59601">
        <f>TEXT(59600, "[$-0E0000]yyyy-mm-dd")</f>
        <v/>
      </c>
      <c r="C59601" t="inlineStr">
        <is>
          <t>2063-02-07</t>
        </is>
      </c>
    </row>
    <row r="59602">
      <c r="A59602" s="1" t="n">
        <v>59601</v>
      </c>
      <c r="B59602">
        <f>TEXT(59601, "[$-0E0000]yyyy-mm-dd")</f>
        <v/>
      </c>
      <c r="C59602" t="inlineStr">
        <is>
          <t>2063-02-08</t>
        </is>
      </c>
    </row>
    <row r="59603">
      <c r="A59603" s="1" t="n">
        <v>59602</v>
      </c>
      <c r="B59603">
        <f>TEXT(59602, "[$-0E0000]yyyy-mm-dd")</f>
        <v/>
      </c>
      <c r="C59603" t="inlineStr">
        <is>
          <t>2063-02-09</t>
        </is>
      </c>
    </row>
    <row r="59604">
      <c r="A59604" s="1" t="n">
        <v>59603</v>
      </c>
      <c r="B59604">
        <f>TEXT(59603, "[$-0E0000]yyyy-mm-dd")</f>
        <v/>
      </c>
      <c r="C59604" t="inlineStr">
        <is>
          <t>2063-02-10</t>
        </is>
      </c>
    </row>
    <row r="59605">
      <c r="A59605" s="1" t="n">
        <v>59604</v>
      </c>
      <c r="B59605">
        <f>TEXT(59604, "[$-0E0000]yyyy-mm-dd")</f>
        <v/>
      </c>
      <c r="C59605" t="inlineStr">
        <is>
          <t>2063-02-11</t>
        </is>
      </c>
    </row>
    <row r="59606">
      <c r="A59606" s="1" t="n">
        <v>59605</v>
      </c>
      <c r="B59606">
        <f>TEXT(59605, "[$-0E0000]yyyy-mm-dd")</f>
        <v/>
      </c>
      <c r="C59606" t="inlineStr">
        <is>
          <t>2063-02-12</t>
        </is>
      </c>
    </row>
    <row r="59607">
      <c r="A59607" s="1" t="n">
        <v>59606</v>
      </c>
      <c r="B59607">
        <f>TEXT(59606, "[$-0E0000]yyyy-mm-dd")</f>
        <v/>
      </c>
      <c r="C59607" t="inlineStr">
        <is>
          <t>2063-02-13</t>
        </is>
      </c>
    </row>
    <row r="59608">
      <c r="A59608" s="1" t="n">
        <v>59607</v>
      </c>
      <c r="B59608">
        <f>TEXT(59607, "[$-0E0000]yyyy-mm-dd")</f>
        <v/>
      </c>
      <c r="C59608" t="inlineStr">
        <is>
          <t>2063-02-14</t>
        </is>
      </c>
    </row>
    <row r="59609">
      <c r="A59609" s="1" t="n">
        <v>59608</v>
      </c>
      <c r="B59609">
        <f>TEXT(59608, "[$-0E0000]yyyy-mm-dd")</f>
        <v/>
      </c>
      <c r="C59609" t="inlineStr">
        <is>
          <t>2063-02-15</t>
        </is>
      </c>
    </row>
    <row r="59610">
      <c r="A59610" s="1" t="n">
        <v>59609</v>
      </c>
      <c r="B59610">
        <f>TEXT(59609, "[$-0E0000]yyyy-mm-dd")</f>
        <v/>
      </c>
      <c r="C59610" t="inlineStr">
        <is>
          <t>2063-02-16</t>
        </is>
      </c>
    </row>
    <row r="59611">
      <c r="A59611" s="1" t="n">
        <v>59610</v>
      </c>
      <c r="B59611">
        <f>TEXT(59610, "[$-0E0000]yyyy-mm-dd")</f>
        <v/>
      </c>
      <c r="C59611" t="inlineStr">
        <is>
          <t>2063-02-17</t>
        </is>
      </c>
    </row>
    <row r="59612">
      <c r="A59612" s="1" t="n">
        <v>59611</v>
      </c>
      <c r="B59612">
        <f>TEXT(59611, "[$-0E0000]yyyy-mm-dd")</f>
        <v/>
      </c>
      <c r="C59612" t="inlineStr">
        <is>
          <t>2063-02-18</t>
        </is>
      </c>
    </row>
    <row r="59613">
      <c r="A59613" s="1" t="n">
        <v>59612</v>
      </c>
      <c r="B59613">
        <f>TEXT(59612, "[$-0E0000]yyyy-mm-dd")</f>
        <v/>
      </c>
      <c r="C59613" t="inlineStr">
        <is>
          <t>2063-02-19</t>
        </is>
      </c>
    </row>
    <row r="59614">
      <c r="A59614" s="1" t="n">
        <v>59613</v>
      </c>
      <c r="B59614">
        <f>TEXT(59613, "[$-0E0000]yyyy-mm-dd")</f>
        <v/>
      </c>
      <c r="C59614" t="inlineStr">
        <is>
          <t>2063-02-20</t>
        </is>
      </c>
    </row>
    <row r="59615">
      <c r="A59615" s="1" t="n">
        <v>59614</v>
      </c>
      <c r="B59615">
        <f>TEXT(59614, "[$-0E0000]yyyy-mm-dd")</f>
        <v/>
      </c>
      <c r="C59615" t="inlineStr">
        <is>
          <t>2063-02-21</t>
        </is>
      </c>
    </row>
    <row r="59616">
      <c r="A59616" s="1" t="n">
        <v>59615</v>
      </c>
      <c r="B59616">
        <f>TEXT(59615, "[$-0E0000]yyyy-mm-dd")</f>
        <v/>
      </c>
      <c r="C59616" t="inlineStr">
        <is>
          <t>2063-02-22</t>
        </is>
      </c>
    </row>
    <row r="59617">
      <c r="A59617" s="1" t="n">
        <v>59616</v>
      </c>
      <c r="B59617">
        <f>TEXT(59616, "[$-0E0000]yyyy-mm-dd")</f>
        <v/>
      </c>
      <c r="C59617" t="inlineStr">
        <is>
          <t>2063-02-23</t>
        </is>
      </c>
    </row>
    <row r="59618">
      <c r="A59618" s="1" t="n">
        <v>59617</v>
      </c>
      <c r="B59618">
        <f>TEXT(59617, "[$-0E0000]yyyy-mm-dd")</f>
        <v/>
      </c>
      <c r="C59618" t="inlineStr">
        <is>
          <t>2063-02-24</t>
        </is>
      </c>
    </row>
    <row r="59619">
      <c r="A59619" s="1" t="n">
        <v>59618</v>
      </c>
      <c r="B59619">
        <f>TEXT(59618, "[$-0E0000]yyyy-mm-dd")</f>
        <v/>
      </c>
      <c r="C59619" t="inlineStr">
        <is>
          <t>2063-02-25</t>
        </is>
      </c>
    </row>
    <row r="59620">
      <c r="A59620" s="1" t="n">
        <v>59619</v>
      </c>
      <c r="B59620">
        <f>TEXT(59619, "[$-0E0000]yyyy-mm-dd")</f>
        <v/>
      </c>
      <c r="C59620" t="inlineStr">
        <is>
          <t>2063-02-26</t>
        </is>
      </c>
    </row>
    <row r="59621">
      <c r="A59621" s="1" t="n">
        <v>59620</v>
      </c>
      <c r="B59621">
        <f>TEXT(59620, "[$-0E0000]yyyy-mm-dd")</f>
        <v/>
      </c>
      <c r="C59621" t="inlineStr">
        <is>
          <t>2063-02-27</t>
        </is>
      </c>
    </row>
    <row r="59622">
      <c r="A59622" s="1" t="n">
        <v>59621</v>
      </c>
      <c r="B59622">
        <f>TEXT(59621, "[$-0E0000]yyyy-mm-dd")</f>
        <v/>
      </c>
      <c r="C59622" t="inlineStr">
        <is>
          <t>2063-02-28</t>
        </is>
      </c>
    </row>
    <row r="59623">
      <c r="A59623" s="1" t="n">
        <v>59622</v>
      </c>
      <c r="B59623">
        <f>TEXT(59622, "[$-0E0000]yyyy-mm-dd")</f>
        <v/>
      </c>
      <c r="C59623" t="inlineStr">
        <is>
          <t>2063-02-29</t>
        </is>
      </c>
    </row>
    <row r="59624">
      <c r="A59624" s="1" t="n">
        <v>59623</v>
      </c>
      <c r="B59624">
        <f>TEXT(59623, "[$-0E0000]yyyy-mm-dd")</f>
        <v/>
      </c>
      <c r="C59624" t="inlineStr">
        <is>
          <t>2063-02-30</t>
        </is>
      </c>
    </row>
    <row r="59625">
      <c r="A59625" s="1" t="n">
        <v>59624</v>
      </c>
      <c r="B59625">
        <f>TEXT(59624, "[$-0E0000]yyyy-mm-dd")</f>
        <v/>
      </c>
      <c r="C59625" t="inlineStr">
        <is>
          <t>2063-03-01</t>
        </is>
      </c>
    </row>
    <row r="59626">
      <c r="A59626" s="1" t="n">
        <v>59625</v>
      </c>
      <c r="B59626">
        <f>TEXT(59625, "[$-0E0000]yyyy-mm-dd")</f>
        <v/>
      </c>
      <c r="C59626" t="inlineStr">
        <is>
          <t>2063-03-02</t>
        </is>
      </c>
    </row>
    <row r="59627">
      <c r="A59627" s="1" t="n">
        <v>59626</v>
      </c>
      <c r="B59627">
        <f>TEXT(59626, "[$-0E0000]yyyy-mm-dd")</f>
        <v/>
      </c>
      <c r="C59627" t="inlineStr">
        <is>
          <t>2063-03-03</t>
        </is>
      </c>
    </row>
    <row r="59628">
      <c r="A59628" s="1" t="n">
        <v>59627</v>
      </c>
      <c r="B59628">
        <f>TEXT(59627, "[$-0E0000]yyyy-mm-dd")</f>
        <v/>
      </c>
      <c r="C59628" t="inlineStr">
        <is>
          <t>2063-03-04</t>
        </is>
      </c>
    </row>
    <row r="59629">
      <c r="A59629" s="1" t="n">
        <v>59628</v>
      </c>
      <c r="B59629">
        <f>TEXT(59628, "[$-0E0000]yyyy-mm-dd")</f>
        <v/>
      </c>
      <c r="C59629" t="inlineStr">
        <is>
          <t>2063-03-05</t>
        </is>
      </c>
    </row>
    <row r="59630">
      <c r="A59630" s="1" t="n">
        <v>59629</v>
      </c>
      <c r="B59630">
        <f>TEXT(59629, "[$-0E0000]yyyy-mm-dd")</f>
        <v/>
      </c>
      <c r="C59630" t="inlineStr">
        <is>
          <t>2063-03-06</t>
        </is>
      </c>
    </row>
    <row r="59631">
      <c r="A59631" s="1" t="n">
        <v>59630</v>
      </c>
      <c r="B59631">
        <f>TEXT(59630, "[$-0E0000]yyyy-mm-dd")</f>
        <v/>
      </c>
      <c r="C59631" t="inlineStr">
        <is>
          <t>2063-03-07</t>
        </is>
      </c>
    </row>
    <row r="59632">
      <c r="A59632" s="1" t="n">
        <v>59631</v>
      </c>
      <c r="B59632">
        <f>TEXT(59631, "[$-0E0000]yyyy-mm-dd")</f>
        <v/>
      </c>
      <c r="C59632" t="inlineStr">
        <is>
          <t>2063-03-08</t>
        </is>
      </c>
    </row>
    <row r="59633">
      <c r="A59633" s="1" t="n">
        <v>59632</v>
      </c>
      <c r="B59633">
        <f>TEXT(59632, "[$-0E0000]yyyy-mm-dd")</f>
        <v/>
      </c>
      <c r="C59633" t="inlineStr">
        <is>
          <t>2063-03-09</t>
        </is>
      </c>
    </row>
    <row r="59634">
      <c r="A59634" s="1" t="n">
        <v>59633</v>
      </c>
      <c r="B59634">
        <f>TEXT(59633, "[$-0E0000]yyyy-mm-dd")</f>
        <v/>
      </c>
      <c r="C59634" t="inlineStr">
        <is>
          <t>2063-03-10</t>
        </is>
      </c>
    </row>
    <row r="59635">
      <c r="A59635" s="1" t="n">
        <v>59634</v>
      </c>
      <c r="B59635">
        <f>TEXT(59634, "[$-0E0000]yyyy-mm-dd")</f>
        <v/>
      </c>
      <c r="C59635" t="inlineStr">
        <is>
          <t>2063-03-11</t>
        </is>
      </c>
    </row>
    <row r="59636">
      <c r="A59636" s="1" t="n">
        <v>59635</v>
      </c>
      <c r="B59636">
        <f>TEXT(59635, "[$-0E0000]yyyy-mm-dd")</f>
        <v/>
      </c>
      <c r="C59636" t="inlineStr">
        <is>
          <t>2063-03-12</t>
        </is>
      </c>
    </row>
    <row r="59637">
      <c r="A59637" s="1" t="n">
        <v>59636</v>
      </c>
      <c r="B59637">
        <f>TEXT(59636, "[$-0E0000]yyyy-mm-dd")</f>
        <v/>
      </c>
      <c r="C59637" t="inlineStr">
        <is>
          <t>2063-03-13</t>
        </is>
      </c>
    </row>
    <row r="59638">
      <c r="A59638" s="1" t="n">
        <v>59637</v>
      </c>
      <c r="B59638">
        <f>TEXT(59637, "[$-0E0000]yyyy-mm-dd")</f>
        <v/>
      </c>
      <c r="C59638" t="inlineStr">
        <is>
          <t>2063-03-14</t>
        </is>
      </c>
    </row>
    <row r="59639">
      <c r="A59639" s="1" t="n">
        <v>59638</v>
      </c>
      <c r="B59639">
        <f>TEXT(59638, "[$-0E0000]yyyy-mm-dd")</f>
        <v/>
      </c>
      <c r="C59639" t="inlineStr">
        <is>
          <t>2063-03-15</t>
        </is>
      </c>
    </row>
    <row r="59640">
      <c r="A59640" s="1" t="n">
        <v>59639</v>
      </c>
      <c r="B59640">
        <f>TEXT(59639, "[$-0E0000]yyyy-mm-dd")</f>
        <v/>
      </c>
      <c r="C59640" t="inlineStr">
        <is>
          <t>2063-03-16</t>
        </is>
      </c>
    </row>
    <row r="59641">
      <c r="A59641" s="1" t="n">
        <v>59640</v>
      </c>
      <c r="B59641">
        <f>TEXT(59640, "[$-0E0000]yyyy-mm-dd")</f>
        <v/>
      </c>
      <c r="C59641" t="inlineStr">
        <is>
          <t>2063-03-17</t>
        </is>
      </c>
    </row>
    <row r="59642">
      <c r="A59642" s="1" t="n">
        <v>59641</v>
      </c>
      <c r="B59642">
        <f>TEXT(59641, "[$-0E0000]yyyy-mm-dd")</f>
        <v/>
      </c>
      <c r="C59642" t="inlineStr">
        <is>
          <t>2063-03-18</t>
        </is>
      </c>
    </row>
    <row r="59643">
      <c r="A59643" s="1" t="n">
        <v>59642</v>
      </c>
      <c r="B59643">
        <f>TEXT(59642, "[$-0E0000]yyyy-mm-dd")</f>
        <v/>
      </c>
      <c r="C59643" t="inlineStr">
        <is>
          <t>2063-03-19</t>
        </is>
      </c>
    </row>
    <row r="59644">
      <c r="A59644" s="1" t="n">
        <v>59643</v>
      </c>
      <c r="B59644">
        <f>TEXT(59643, "[$-0E0000]yyyy-mm-dd")</f>
        <v/>
      </c>
      <c r="C59644" t="inlineStr">
        <is>
          <t>2063-03-20</t>
        </is>
      </c>
    </row>
    <row r="59645">
      <c r="A59645" s="1" t="n">
        <v>59644</v>
      </c>
      <c r="B59645">
        <f>TEXT(59644, "[$-0E0000]yyyy-mm-dd")</f>
        <v/>
      </c>
      <c r="C59645" t="inlineStr">
        <is>
          <t>2063-03-21</t>
        </is>
      </c>
    </row>
    <row r="59646">
      <c r="A59646" s="1" t="n">
        <v>59645</v>
      </c>
      <c r="B59646">
        <f>TEXT(59645, "[$-0E0000]yyyy-mm-dd")</f>
        <v/>
      </c>
      <c r="C59646" t="inlineStr">
        <is>
          <t>2063-03-22</t>
        </is>
      </c>
    </row>
    <row r="59647">
      <c r="A59647" s="1" t="n">
        <v>59646</v>
      </c>
      <c r="B59647">
        <f>TEXT(59646, "[$-0E0000]yyyy-mm-dd")</f>
        <v/>
      </c>
      <c r="C59647" t="inlineStr">
        <is>
          <t>2063-03-23</t>
        </is>
      </c>
    </row>
    <row r="59648">
      <c r="A59648" s="1" t="n">
        <v>59647</v>
      </c>
      <c r="B59648">
        <f>TEXT(59647, "[$-0E0000]yyyy-mm-dd")</f>
        <v/>
      </c>
      <c r="C59648" t="inlineStr">
        <is>
          <t>2063-03-24</t>
        </is>
      </c>
    </row>
    <row r="59649">
      <c r="A59649" s="1" t="n">
        <v>59648</v>
      </c>
      <c r="B59649">
        <f>TEXT(59648, "[$-0E0000]yyyy-mm-dd")</f>
        <v/>
      </c>
      <c r="C59649" t="inlineStr">
        <is>
          <t>2063-03-25</t>
        </is>
      </c>
    </row>
    <row r="59650">
      <c r="A59650" s="1" t="n">
        <v>59649</v>
      </c>
      <c r="B59650">
        <f>TEXT(59649, "[$-0E0000]yyyy-mm-dd")</f>
        <v/>
      </c>
      <c r="C59650" t="inlineStr">
        <is>
          <t>2063-03-26</t>
        </is>
      </c>
    </row>
    <row r="59651">
      <c r="A59651" s="1" t="n">
        <v>59650</v>
      </c>
      <c r="B59651">
        <f>TEXT(59650, "[$-0E0000]yyyy-mm-dd")</f>
        <v/>
      </c>
      <c r="C59651" t="inlineStr">
        <is>
          <t>2063-03-27</t>
        </is>
      </c>
    </row>
    <row r="59652">
      <c r="A59652" s="1" t="n">
        <v>59651</v>
      </c>
      <c r="B59652">
        <f>TEXT(59651, "[$-0E0000]yyyy-mm-dd")</f>
        <v/>
      </c>
      <c r="C59652" t="inlineStr">
        <is>
          <t>2063-03-28</t>
        </is>
      </c>
    </row>
    <row r="59653">
      <c r="A59653" s="1" t="n">
        <v>59652</v>
      </c>
      <c r="B59653">
        <f>TEXT(59652, "[$-0E0000]yyyy-mm-dd")</f>
        <v/>
      </c>
      <c r="C59653" t="inlineStr">
        <is>
          <t>2063-03-29</t>
        </is>
      </c>
    </row>
    <row r="59654">
      <c r="A59654" s="1" t="n">
        <v>59653</v>
      </c>
      <c r="B59654">
        <f>TEXT(59653, "[$-0E0000]yyyy-mm-dd")</f>
        <v/>
      </c>
      <c r="C59654" t="inlineStr">
        <is>
          <t>2063-04-01</t>
        </is>
      </c>
    </row>
    <row r="59655">
      <c r="A59655" s="1" t="n">
        <v>59654</v>
      </c>
      <c r="B59655">
        <f>TEXT(59654, "[$-0E0000]yyyy-mm-dd")</f>
        <v/>
      </c>
      <c r="C59655" t="inlineStr">
        <is>
          <t>2063-04-02</t>
        </is>
      </c>
    </row>
    <row r="59656">
      <c r="A59656" s="1" t="n">
        <v>59655</v>
      </c>
      <c r="B59656">
        <f>TEXT(59655, "[$-0E0000]yyyy-mm-dd")</f>
        <v/>
      </c>
      <c r="C59656" t="inlineStr">
        <is>
          <t>2063-04-03</t>
        </is>
      </c>
    </row>
    <row r="59657">
      <c r="A59657" s="1" t="n">
        <v>59656</v>
      </c>
      <c r="B59657">
        <f>TEXT(59656, "[$-0E0000]yyyy-mm-dd")</f>
        <v/>
      </c>
      <c r="C59657" t="inlineStr">
        <is>
          <t>2063-04-04</t>
        </is>
      </c>
    </row>
    <row r="59658">
      <c r="A59658" s="1" t="n">
        <v>59657</v>
      </c>
      <c r="B59658">
        <f>TEXT(59657, "[$-0E0000]yyyy-mm-dd")</f>
        <v/>
      </c>
      <c r="C59658" t="inlineStr">
        <is>
          <t>2063-04-05</t>
        </is>
      </c>
    </row>
    <row r="59659">
      <c r="A59659" s="1" t="n">
        <v>59658</v>
      </c>
      <c r="B59659">
        <f>TEXT(59658, "[$-0E0000]yyyy-mm-dd")</f>
        <v/>
      </c>
      <c r="C59659" t="inlineStr">
        <is>
          <t>2063-04-06</t>
        </is>
      </c>
    </row>
    <row r="59660">
      <c r="A59660" s="1" t="n">
        <v>59659</v>
      </c>
      <c r="B59660">
        <f>TEXT(59659, "[$-0E0000]yyyy-mm-dd")</f>
        <v/>
      </c>
      <c r="C59660" t="inlineStr">
        <is>
          <t>2063-04-07</t>
        </is>
      </c>
    </row>
    <row r="59661">
      <c r="A59661" s="1" t="n">
        <v>59660</v>
      </c>
      <c r="B59661">
        <f>TEXT(59660, "[$-0E0000]yyyy-mm-dd")</f>
        <v/>
      </c>
      <c r="C59661" t="inlineStr">
        <is>
          <t>2063-04-08</t>
        </is>
      </c>
    </row>
    <row r="59662">
      <c r="A59662" s="1" t="n">
        <v>59661</v>
      </c>
      <c r="B59662">
        <f>TEXT(59661, "[$-0E0000]yyyy-mm-dd")</f>
        <v/>
      </c>
      <c r="C59662" t="inlineStr">
        <is>
          <t>2063-04-09</t>
        </is>
      </c>
    </row>
    <row r="59663">
      <c r="A59663" s="1" t="n">
        <v>59662</v>
      </c>
      <c r="B59663">
        <f>TEXT(59662, "[$-0E0000]yyyy-mm-dd")</f>
        <v/>
      </c>
      <c r="C59663" t="inlineStr">
        <is>
          <t>2063-04-10</t>
        </is>
      </c>
    </row>
    <row r="59664">
      <c r="A59664" s="1" t="n">
        <v>59663</v>
      </c>
      <c r="B59664">
        <f>TEXT(59663, "[$-0E0000]yyyy-mm-dd")</f>
        <v/>
      </c>
      <c r="C59664" t="inlineStr">
        <is>
          <t>2063-04-11</t>
        </is>
      </c>
    </row>
    <row r="59665">
      <c r="A59665" s="1" t="n">
        <v>59664</v>
      </c>
      <c r="B59665">
        <f>TEXT(59664, "[$-0E0000]yyyy-mm-dd")</f>
        <v/>
      </c>
      <c r="C59665" t="inlineStr">
        <is>
          <t>2063-04-12</t>
        </is>
      </c>
    </row>
    <row r="59666">
      <c r="A59666" s="1" t="n">
        <v>59665</v>
      </c>
      <c r="B59666">
        <f>TEXT(59665, "[$-0E0000]yyyy-mm-dd")</f>
        <v/>
      </c>
      <c r="C59666" t="inlineStr">
        <is>
          <t>2063-04-13</t>
        </is>
      </c>
    </row>
    <row r="59667">
      <c r="A59667" s="1" t="n">
        <v>59666</v>
      </c>
      <c r="B59667">
        <f>TEXT(59666, "[$-0E0000]yyyy-mm-dd")</f>
        <v/>
      </c>
      <c r="C59667" t="inlineStr">
        <is>
          <t>2063-04-14</t>
        </is>
      </c>
    </row>
    <row r="59668">
      <c r="A59668" s="1" t="n">
        <v>59667</v>
      </c>
      <c r="B59668">
        <f>TEXT(59667, "[$-0E0000]yyyy-mm-dd")</f>
        <v/>
      </c>
      <c r="C59668" t="inlineStr">
        <is>
          <t>2063-04-15</t>
        </is>
      </c>
    </row>
    <row r="59669">
      <c r="A59669" s="1" t="n">
        <v>59668</v>
      </c>
      <c r="B59669">
        <f>TEXT(59668, "[$-0E0000]yyyy-mm-dd")</f>
        <v/>
      </c>
      <c r="C59669" t="inlineStr">
        <is>
          <t>2063-04-16</t>
        </is>
      </c>
    </row>
    <row r="59670">
      <c r="A59670" s="1" t="n">
        <v>59669</v>
      </c>
      <c r="B59670">
        <f>TEXT(59669, "[$-0E0000]yyyy-mm-dd")</f>
        <v/>
      </c>
      <c r="C59670" t="inlineStr">
        <is>
          <t>2063-04-17</t>
        </is>
      </c>
    </row>
    <row r="59671">
      <c r="A59671" s="1" t="n">
        <v>59670</v>
      </c>
      <c r="B59671">
        <f>TEXT(59670, "[$-0E0000]yyyy-mm-dd")</f>
        <v/>
      </c>
      <c r="C59671" t="inlineStr">
        <is>
          <t>2063-04-18</t>
        </is>
      </c>
    </row>
    <row r="59672">
      <c r="A59672" s="1" t="n">
        <v>59671</v>
      </c>
      <c r="B59672">
        <f>TEXT(59671, "[$-0E0000]yyyy-mm-dd")</f>
        <v/>
      </c>
      <c r="C59672" t="inlineStr">
        <is>
          <t>2063-04-19</t>
        </is>
      </c>
    </row>
    <row r="59673">
      <c r="A59673" s="1" t="n">
        <v>59672</v>
      </c>
      <c r="B59673">
        <f>TEXT(59672, "[$-0E0000]yyyy-mm-dd")</f>
        <v/>
      </c>
      <c r="C59673" t="inlineStr">
        <is>
          <t>2063-04-20</t>
        </is>
      </c>
    </row>
    <row r="59674">
      <c r="A59674" s="1" t="n">
        <v>59673</v>
      </c>
      <c r="B59674">
        <f>TEXT(59673, "[$-0E0000]yyyy-mm-dd")</f>
        <v/>
      </c>
      <c r="C59674" t="inlineStr">
        <is>
          <t>2063-04-21</t>
        </is>
      </c>
    </row>
    <row r="59675">
      <c r="A59675" s="1" t="n">
        <v>59674</v>
      </c>
      <c r="B59675">
        <f>TEXT(59674, "[$-0E0000]yyyy-mm-dd")</f>
        <v/>
      </c>
      <c r="C59675" t="inlineStr">
        <is>
          <t>2063-04-22</t>
        </is>
      </c>
    </row>
    <row r="59676">
      <c r="A59676" s="1" t="n">
        <v>59675</v>
      </c>
      <c r="B59676">
        <f>TEXT(59675, "[$-0E0000]yyyy-mm-dd")</f>
        <v/>
      </c>
      <c r="C59676" t="inlineStr">
        <is>
          <t>2063-04-23</t>
        </is>
      </c>
    </row>
    <row r="59677">
      <c r="A59677" s="1" t="n">
        <v>59676</v>
      </c>
      <c r="B59677">
        <f>TEXT(59676, "[$-0E0000]yyyy-mm-dd")</f>
        <v/>
      </c>
      <c r="C59677" t="inlineStr">
        <is>
          <t>2063-04-24</t>
        </is>
      </c>
    </row>
    <row r="59678">
      <c r="A59678" s="1" t="n">
        <v>59677</v>
      </c>
      <c r="B59678">
        <f>TEXT(59677, "[$-0E0000]yyyy-mm-dd")</f>
        <v/>
      </c>
      <c r="C59678" t="inlineStr">
        <is>
          <t>2063-04-25</t>
        </is>
      </c>
    </row>
    <row r="59679">
      <c r="A59679" s="1" t="n">
        <v>59678</v>
      </c>
      <c r="B59679">
        <f>TEXT(59678, "[$-0E0000]yyyy-mm-dd")</f>
        <v/>
      </c>
      <c r="C59679" t="inlineStr">
        <is>
          <t>2063-04-26</t>
        </is>
      </c>
    </row>
    <row r="59680">
      <c r="A59680" s="1" t="n">
        <v>59679</v>
      </c>
      <c r="B59680">
        <f>TEXT(59679, "[$-0E0000]yyyy-mm-dd")</f>
        <v/>
      </c>
      <c r="C59680" t="inlineStr">
        <is>
          <t>2063-04-27</t>
        </is>
      </c>
    </row>
    <row r="59681">
      <c r="A59681" s="1" t="n">
        <v>59680</v>
      </c>
      <c r="B59681">
        <f>TEXT(59680, "[$-0E0000]yyyy-mm-dd")</f>
        <v/>
      </c>
      <c r="C59681" t="inlineStr">
        <is>
          <t>2063-04-28</t>
        </is>
      </c>
    </row>
    <row r="59682">
      <c r="A59682" s="1" t="n">
        <v>59681</v>
      </c>
      <c r="B59682">
        <f>TEXT(59681, "[$-0E0000]yyyy-mm-dd")</f>
        <v/>
      </c>
      <c r="C59682" t="inlineStr">
        <is>
          <t>2063-04-29</t>
        </is>
      </c>
    </row>
    <row r="59683">
      <c r="A59683" s="1" t="n">
        <v>59682</v>
      </c>
      <c r="B59683">
        <f>TEXT(59682, "[$-0E0000]yyyy-mm-dd")</f>
        <v/>
      </c>
      <c r="C59683" t="inlineStr">
        <is>
          <t>2063-04-30</t>
        </is>
      </c>
    </row>
    <row r="59684">
      <c r="A59684" s="1" t="n">
        <v>59683</v>
      </c>
      <c r="B59684">
        <f>TEXT(59683, "[$-0E0000]yyyy-mm-dd")</f>
        <v/>
      </c>
      <c r="C59684" t="inlineStr">
        <is>
          <t>2063-05-01</t>
        </is>
      </c>
    </row>
    <row r="59685">
      <c r="A59685" s="1" t="n">
        <v>59684</v>
      </c>
      <c r="B59685">
        <f>TEXT(59684, "[$-0E0000]yyyy-mm-dd")</f>
        <v/>
      </c>
      <c r="C59685" t="inlineStr">
        <is>
          <t>2063-05-02</t>
        </is>
      </c>
    </row>
    <row r="59686">
      <c r="A59686" s="1" t="n">
        <v>59685</v>
      </c>
      <c r="B59686">
        <f>TEXT(59685, "[$-0E0000]yyyy-mm-dd")</f>
        <v/>
      </c>
      <c r="C59686" t="inlineStr">
        <is>
          <t>2063-05-03</t>
        </is>
      </c>
    </row>
    <row r="59687">
      <c r="A59687" s="1" t="n">
        <v>59686</v>
      </c>
      <c r="B59687">
        <f>TEXT(59686, "[$-0E0000]yyyy-mm-dd")</f>
        <v/>
      </c>
      <c r="C59687" t="inlineStr">
        <is>
          <t>2063-05-04</t>
        </is>
      </c>
    </row>
    <row r="59688">
      <c r="A59688" s="1" t="n">
        <v>59687</v>
      </c>
      <c r="B59688">
        <f>TEXT(59687, "[$-0E0000]yyyy-mm-dd")</f>
        <v/>
      </c>
      <c r="C59688" t="inlineStr">
        <is>
          <t>2063-05-05</t>
        </is>
      </c>
    </row>
    <row r="59689">
      <c r="A59689" s="1" t="n">
        <v>59688</v>
      </c>
      <c r="B59689">
        <f>TEXT(59688, "[$-0E0000]yyyy-mm-dd")</f>
        <v/>
      </c>
      <c r="C59689" t="inlineStr">
        <is>
          <t>2063-05-06</t>
        </is>
      </c>
    </row>
    <row r="59690">
      <c r="A59690" s="1" t="n">
        <v>59689</v>
      </c>
      <c r="B59690">
        <f>TEXT(59689, "[$-0E0000]yyyy-mm-dd")</f>
        <v/>
      </c>
      <c r="C59690" t="inlineStr">
        <is>
          <t>2063-05-07</t>
        </is>
      </c>
    </row>
    <row r="59691">
      <c r="A59691" s="1" t="n">
        <v>59690</v>
      </c>
      <c r="B59691">
        <f>TEXT(59690, "[$-0E0000]yyyy-mm-dd")</f>
        <v/>
      </c>
      <c r="C59691" t="inlineStr">
        <is>
          <t>2063-05-08</t>
        </is>
      </c>
    </row>
    <row r="59692">
      <c r="A59692" s="1" t="n">
        <v>59691</v>
      </c>
      <c r="B59692">
        <f>TEXT(59691, "[$-0E0000]yyyy-mm-dd")</f>
        <v/>
      </c>
      <c r="C59692" t="inlineStr">
        <is>
          <t>2063-05-09</t>
        </is>
      </c>
    </row>
    <row r="59693">
      <c r="A59693" s="1" t="n">
        <v>59692</v>
      </c>
      <c r="B59693">
        <f>TEXT(59692, "[$-0E0000]yyyy-mm-dd")</f>
        <v/>
      </c>
      <c r="C59693" t="inlineStr">
        <is>
          <t>2063-05-10</t>
        </is>
      </c>
    </row>
    <row r="59694">
      <c r="A59694" s="1" t="n">
        <v>59693</v>
      </c>
      <c r="B59694">
        <f>TEXT(59693, "[$-0E0000]yyyy-mm-dd")</f>
        <v/>
      </c>
      <c r="C59694" t="inlineStr">
        <is>
          <t>2063-05-11</t>
        </is>
      </c>
    </row>
    <row r="59695">
      <c r="A59695" s="1" t="n">
        <v>59694</v>
      </c>
      <c r="B59695">
        <f>TEXT(59694, "[$-0E0000]yyyy-mm-dd")</f>
        <v/>
      </c>
      <c r="C59695" t="inlineStr">
        <is>
          <t>2063-05-12</t>
        </is>
      </c>
    </row>
    <row r="59696">
      <c r="A59696" s="1" t="n">
        <v>59695</v>
      </c>
      <c r="B59696">
        <f>TEXT(59695, "[$-0E0000]yyyy-mm-dd")</f>
        <v/>
      </c>
      <c r="C59696" t="inlineStr">
        <is>
          <t>2063-05-13</t>
        </is>
      </c>
    </row>
    <row r="59697">
      <c r="A59697" s="1" t="n">
        <v>59696</v>
      </c>
      <c r="B59697">
        <f>TEXT(59696, "[$-0E0000]yyyy-mm-dd")</f>
        <v/>
      </c>
      <c r="C59697" t="inlineStr">
        <is>
          <t>2063-05-14</t>
        </is>
      </c>
    </row>
    <row r="59698">
      <c r="A59698" s="1" t="n">
        <v>59697</v>
      </c>
      <c r="B59698">
        <f>TEXT(59697, "[$-0E0000]yyyy-mm-dd")</f>
        <v/>
      </c>
      <c r="C59698" t="inlineStr">
        <is>
          <t>2063-05-15</t>
        </is>
      </c>
    </row>
    <row r="59699">
      <c r="A59699" s="1" t="n">
        <v>59698</v>
      </c>
      <c r="B59699">
        <f>TEXT(59698, "[$-0E0000]yyyy-mm-dd")</f>
        <v/>
      </c>
      <c r="C59699" t="inlineStr">
        <is>
          <t>2063-05-16</t>
        </is>
      </c>
    </row>
    <row r="59700">
      <c r="A59700" s="1" t="n">
        <v>59699</v>
      </c>
      <c r="B59700">
        <f>TEXT(59699, "[$-0E0000]yyyy-mm-dd")</f>
        <v/>
      </c>
      <c r="C59700" t="inlineStr">
        <is>
          <t>2063-05-17</t>
        </is>
      </c>
    </row>
    <row r="59701">
      <c r="A59701" s="1" t="n">
        <v>59700</v>
      </c>
      <c r="B59701">
        <f>TEXT(59700, "[$-0E0000]yyyy-mm-dd")</f>
        <v/>
      </c>
      <c r="C59701" t="inlineStr">
        <is>
          <t>2063-05-18</t>
        </is>
      </c>
    </row>
    <row r="59702">
      <c r="A59702" s="1" t="n">
        <v>59701</v>
      </c>
      <c r="B59702">
        <f>TEXT(59701, "[$-0E0000]yyyy-mm-dd")</f>
        <v/>
      </c>
      <c r="C59702" t="inlineStr">
        <is>
          <t>2063-05-19</t>
        </is>
      </c>
    </row>
    <row r="59703">
      <c r="A59703" s="1" t="n">
        <v>59702</v>
      </c>
      <c r="B59703">
        <f>TEXT(59702, "[$-0E0000]yyyy-mm-dd")</f>
        <v/>
      </c>
      <c r="C59703" t="inlineStr">
        <is>
          <t>2063-05-20</t>
        </is>
      </c>
    </row>
    <row r="59704">
      <c r="A59704" s="1" t="n">
        <v>59703</v>
      </c>
      <c r="B59704">
        <f>TEXT(59703, "[$-0E0000]yyyy-mm-dd")</f>
        <v/>
      </c>
      <c r="C59704" t="inlineStr">
        <is>
          <t>2063-05-21</t>
        </is>
      </c>
    </row>
    <row r="59705">
      <c r="A59705" s="1" t="n">
        <v>59704</v>
      </c>
      <c r="B59705">
        <f>TEXT(59704, "[$-0E0000]yyyy-mm-dd")</f>
        <v/>
      </c>
      <c r="C59705" t="inlineStr">
        <is>
          <t>2063-05-22</t>
        </is>
      </c>
    </row>
    <row r="59706">
      <c r="A59706" s="1" t="n">
        <v>59705</v>
      </c>
      <c r="B59706">
        <f>TEXT(59705, "[$-0E0000]yyyy-mm-dd")</f>
        <v/>
      </c>
      <c r="C59706" t="inlineStr">
        <is>
          <t>2063-05-23</t>
        </is>
      </c>
    </row>
    <row r="59707">
      <c r="A59707" s="1" t="n">
        <v>59706</v>
      </c>
      <c r="B59707">
        <f>TEXT(59706, "[$-0E0000]yyyy-mm-dd")</f>
        <v/>
      </c>
      <c r="C59707" t="inlineStr">
        <is>
          <t>2063-05-24</t>
        </is>
      </c>
    </row>
    <row r="59708">
      <c r="A59708" s="1" t="n">
        <v>59707</v>
      </c>
      <c r="B59708">
        <f>TEXT(59707, "[$-0E0000]yyyy-mm-dd")</f>
        <v/>
      </c>
      <c r="C59708" t="inlineStr">
        <is>
          <t>2063-05-25</t>
        </is>
      </c>
    </row>
    <row r="59709">
      <c r="A59709" s="1" t="n">
        <v>59708</v>
      </c>
      <c r="B59709">
        <f>TEXT(59708, "[$-0E0000]yyyy-mm-dd")</f>
        <v/>
      </c>
      <c r="C59709" t="inlineStr">
        <is>
          <t>2063-05-26</t>
        </is>
      </c>
    </row>
    <row r="59710">
      <c r="A59710" s="1" t="n">
        <v>59709</v>
      </c>
      <c r="B59710">
        <f>TEXT(59709, "[$-0E0000]yyyy-mm-dd")</f>
        <v/>
      </c>
      <c r="C59710" t="inlineStr">
        <is>
          <t>2063-05-27</t>
        </is>
      </c>
    </row>
    <row r="59711">
      <c r="A59711" s="1" t="n">
        <v>59710</v>
      </c>
      <c r="B59711">
        <f>TEXT(59710, "[$-0E0000]yyyy-mm-dd")</f>
        <v/>
      </c>
      <c r="C59711" t="inlineStr">
        <is>
          <t>2063-05-28</t>
        </is>
      </c>
    </row>
    <row r="59712">
      <c r="A59712" s="1" t="n">
        <v>59711</v>
      </c>
      <c r="B59712">
        <f>TEXT(59711, "[$-0E0000]yyyy-mm-dd")</f>
        <v/>
      </c>
      <c r="C59712" t="inlineStr">
        <is>
          <t>2063-05-29</t>
        </is>
      </c>
    </row>
    <row r="59713">
      <c r="A59713" s="1" t="n">
        <v>59712</v>
      </c>
      <c r="B59713">
        <f>TEXT(59712, "[$-0E0000]yyyy-mm-dd")</f>
        <v/>
      </c>
      <c r="C59713" t="inlineStr">
        <is>
          <t>2063-06-01</t>
        </is>
      </c>
    </row>
    <row r="59714">
      <c r="A59714" s="1" t="n">
        <v>59713</v>
      </c>
      <c r="B59714">
        <f>TEXT(59713, "[$-0E0000]yyyy-mm-dd")</f>
        <v/>
      </c>
      <c r="C59714" t="inlineStr">
        <is>
          <t>2063-06-02</t>
        </is>
      </c>
    </row>
    <row r="59715">
      <c r="A59715" s="1" t="n">
        <v>59714</v>
      </c>
      <c r="B59715">
        <f>TEXT(59714, "[$-0E0000]yyyy-mm-dd")</f>
        <v/>
      </c>
      <c r="C59715" t="inlineStr">
        <is>
          <t>2063-06-03</t>
        </is>
      </c>
    </row>
    <row r="59716">
      <c r="A59716" s="1" t="n">
        <v>59715</v>
      </c>
      <c r="B59716">
        <f>TEXT(59715, "[$-0E0000]yyyy-mm-dd")</f>
        <v/>
      </c>
      <c r="C59716" t="inlineStr">
        <is>
          <t>2063-06-04</t>
        </is>
      </c>
    </row>
    <row r="59717">
      <c r="A59717" s="1" t="n">
        <v>59716</v>
      </c>
      <c r="B59717">
        <f>TEXT(59716, "[$-0E0000]yyyy-mm-dd")</f>
        <v/>
      </c>
      <c r="C59717" t="inlineStr">
        <is>
          <t>2063-06-05</t>
        </is>
      </c>
    </row>
    <row r="59718">
      <c r="A59718" s="1" t="n">
        <v>59717</v>
      </c>
      <c r="B59718">
        <f>TEXT(59717, "[$-0E0000]yyyy-mm-dd")</f>
        <v/>
      </c>
      <c r="C59718" t="inlineStr">
        <is>
          <t>2063-06-06</t>
        </is>
      </c>
    </row>
    <row r="59719">
      <c r="A59719" s="1" t="n">
        <v>59718</v>
      </c>
      <c r="B59719">
        <f>TEXT(59718, "[$-0E0000]yyyy-mm-dd")</f>
        <v/>
      </c>
      <c r="C59719" t="inlineStr">
        <is>
          <t>2063-06-07</t>
        </is>
      </c>
    </row>
    <row r="59720">
      <c r="A59720" s="1" t="n">
        <v>59719</v>
      </c>
      <c r="B59720">
        <f>TEXT(59719, "[$-0E0000]yyyy-mm-dd")</f>
        <v/>
      </c>
      <c r="C59720" t="inlineStr">
        <is>
          <t>2063-06-08</t>
        </is>
      </c>
    </row>
    <row r="59721">
      <c r="A59721" s="1" t="n">
        <v>59720</v>
      </c>
      <c r="B59721">
        <f>TEXT(59720, "[$-0E0000]yyyy-mm-dd")</f>
        <v/>
      </c>
      <c r="C59721" t="inlineStr">
        <is>
          <t>2063-06-09</t>
        </is>
      </c>
    </row>
    <row r="59722">
      <c r="A59722" s="1" t="n">
        <v>59721</v>
      </c>
      <c r="B59722">
        <f>TEXT(59721, "[$-0E0000]yyyy-mm-dd")</f>
        <v/>
      </c>
      <c r="C59722" t="inlineStr">
        <is>
          <t>2063-06-10</t>
        </is>
      </c>
    </row>
    <row r="59723">
      <c r="A59723" s="1" t="n">
        <v>59722</v>
      </c>
      <c r="B59723">
        <f>TEXT(59722, "[$-0E0000]yyyy-mm-dd")</f>
        <v/>
      </c>
      <c r="C59723" t="inlineStr">
        <is>
          <t>2063-06-11</t>
        </is>
      </c>
    </row>
    <row r="59724">
      <c r="A59724" s="1" t="n">
        <v>59723</v>
      </c>
      <c r="B59724">
        <f>TEXT(59723, "[$-0E0000]yyyy-mm-dd")</f>
        <v/>
      </c>
      <c r="C59724" t="inlineStr">
        <is>
          <t>2063-06-12</t>
        </is>
      </c>
    </row>
    <row r="59725">
      <c r="A59725" s="1" t="n">
        <v>59724</v>
      </c>
      <c r="B59725">
        <f>TEXT(59724, "[$-0E0000]yyyy-mm-dd")</f>
        <v/>
      </c>
      <c r="C59725" t="inlineStr">
        <is>
          <t>2063-06-13</t>
        </is>
      </c>
    </row>
    <row r="59726">
      <c r="A59726" s="1" t="n">
        <v>59725</v>
      </c>
      <c r="B59726">
        <f>TEXT(59725, "[$-0E0000]yyyy-mm-dd")</f>
        <v/>
      </c>
      <c r="C59726" t="inlineStr">
        <is>
          <t>2063-06-14</t>
        </is>
      </c>
    </row>
    <row r="59727">
      <c r="A59727" s="1" t="n">
        <v>59726</v>
      </c>
      <c r="B59727">
        <f>TEXT(59726, "[$-0E0000]yyyy-mm-dd")</f>
        <v/>
      </c>
      <c r="C59727" t="inlineStr">
        <is>
          <t>2063-06-15</t>
        </is>
      </c>
    </row>
    <row r="59728">
      <c r="A59728" s="1" t="n">
        <v>59727</v>
      </c>
      <c r="B59728">
        <f>TEXT(59727, "[$-0E0000]yyyy-mm-dd")</f>
        <v/>
      </c>
      <c r="C59728" t="inlineStr">
        <is>
          <t>2063-06-16</t>
        </is>
      </c>
    </row>
    <row r="59729">
      <c r="A59729" s="1" t="n">
        <v>59728</v>
      </c>
      <c r="B59729">
        <f>TEXT(59728, "[$-0E0000]yyyy-mm-dd")</f>
        <v/>
      </c>
      <c r="C59729" t="inlineStr">
        <is>
          <t>2063-06-17</t>
        </is>
      </c>
    </row>
    <row r="59730">
      <c r="A59730" s="1" t="n">
        <v>59729</v>
      </c>
      <c r="B59730">
        <f>TEXT(59729, "[$-0E0000]yyyy-mm-dd")</f>
        <v/>
      </c>
      <c r="C59730" t="inlineStr">
        <is>
          <t>2063-06-18</t>
        </is>
      </c>
    </row>
    <row r="59731">
      <c r="A59731" s="1" t="n">
        <v>59730</v>
      </c>
      <c r="B59731">
        <f>TEXT(59730, "[$-0E0000]yyyy-mm-dd")</f>
        <v/>
      </c>
      <c r="C59731" t="inlineStr">
        <is>
          <t>2063-06-19</t>
        </is>
      </c>
    </row>
    <row r="59732">
      <c r="A59732" s="1" t="n">
        <v>59731</v>
      </c>
      <c r="B59732">
        <f>TEXT(59731, "[$-0E0000]yyyy-mm-dd")</f>
        <v/>
      </c>
      <c r="C59732" t="inlineStr">
        <is>
          <t>2063-06-20</t>
        </is>
      </c>
    </row>
    <row r="59733">
      <c r="A59733" s="1" t="n">
        <v>59732</v>
      </c>
      <c r="B59733">
        <f>TEXT(59732, "[$-0E0000]yyyy-mm-dd")</f>
        <v/>
      </c>
      <c r="C59733" t="inlineStr">
        <is>
          <t>2063-06-21</t>
        </is>
      </c>
    </row>
    <row r="59734">
      <c r="A59734" s="1" t="n">
        <v>59733</v>
      </c>
      <c r="B59734">
        <f>TEXT(59733, "[$-0E0000]yyyy-mm-dd")</f>
        <v/>
      </c>
      <c r="C59734" t="inlineStr">
        <is>
          <t>2063-06-22</t>
        </is>
      </c>
    </row>
    <row r="59735">
      <c r="A59735" s="1" t="n">
        <v>59734</v>
      </c>
      <c r="B59735">
        <f>TEXT(59734, "[$-0E0000]yyyy-mm-dd")</f>
        <v/>
      </c>
      <c r="C59735" t="inlineStr">
        <is>
          <t>2063-06-23</t>
        </is>
      </c>
    </row>
    <row r="59736">
      <c r="A59736" s="1" t="n">
        <v>59735</v>
      </c>
      <c r="B59736">
        <f>TEXT(59735, "[$-0E0000]yyyy-mm-dd")</f>
        <v/>
      </c>
      <c r="C59736" t="inlineStr">
        <is>
          <t>2063-06-24</t>
        </is>
      </c>
    </row>
    <row r="59737">
      <c r="A59737" s="1" t="n">
        <v>59736</v>
      </c>
      <c r="B59737">
        <f>TEXT(59736, "[$-0E0000]yyyy-mm-dd")</f>
        <v/>
      </c>
      <c r="C59737" t="inlineStr">
        <is>
          <t>2063-06-25</t>
        </is>
      </c>
    </row>
    <row r="59738">
      <c r="A59738" s="1" t="n">
        <v>59737</v>
      </c>
      <c r="B59738">
        <f>TEXT(59737, "[$-0E0000]yyyy-mm-dd")</f>
        <v/>
      </c>
      <c r="C59738" t="inlineStr">
        <is>
          <t>2063-06-26</t>
        </is>
      </c>
    </row>
    <row r="59739">
      <c r="A59739" s="1" t="n">
        <v>59738</v>
      </c>
      <c r="B59739">
        <f>TEXT(59738, "[$-0E0000]yyyy-mm-dd")</f>
        <v/>
      </c>
      <c r="C59739" t="inlineStr">
        <is>
          <t>2063-06-27</t>
        </is>
      </c>
    </row>
    <row r="59740">
      <c r="A59740" s="1" t="n">
        <v>59739</v>
      </c>
      <c r="B59740">
        <f>TEXT(59739, "[$-0E0000]yyyy-mm-dd")</f>
        <v/>
      </c>
      <c r="C59740" t="inlineStr">
        <is>
          <t>2063-06-28</t>
        </is>
      </c>
    </row>
    <row r="59741">
      <c r="A59741" s="1" t="n">
        <v>59740</v>
      </c>
      <c r="B59741">
        <f>TEXT(59740, "[$-0E0000]yyyy-mm-dd")</f>
        <v/>
      </c>
      <c r="C59741" t="inlineStr">
        <is>
          <t>2063-06-29</t>
        </is>
      </c>
    </row>
    <row r="59742">
      <c r="A59742" s="1" t="n">
        <v>59741</v>
      </c>
      <c r="B59742">
        <f>TEXT(59741, "[$-0E0000]yyyy-mm-dd")</f>
        <v/>
      </c>
      <c r="C59742" t="inlineStr">
        <is>
          <t>2063-06-30</t>
        </is>
      </c>
    </row>
    <row r="59743">
      <c r="A59743" s="1" t="n">
        <v>59742</v>
      </c>
      <c r="B59743">
        <f>TEXT(59742, "[$-0E0000]yyyy-mm-dd")</f>
        <v/>
      </c>
      <c r="C59743" t="inlineStr">
        <is>
          <t>2063-07-01</t>
        </is>
      </c>
    </row>
    <row r="59744">
      <c r="A59744" s="1" t="n">
        <v>59743</v>
      </c>
      <c r="B59744">
        <f>TEXT(59743, "[$-0E0000]yyyy-mm-dd")</f>
        <v/>
      </c>
      <c r="C59744" t="inlineStr">
        <is>
          <t>2063-07-02</t>
        </is>
      </c>
    </row>
    <row r="59745">
      <c r="A59745" s="1" t="n">
        <v>59744</v>
      </c>
      <c r="B59745">
        <f>TEXT(59744, "[$-0E0000]yyyy-mm-dd")</f>
        <v/>
      </c>
      <c r="C59745" t="inlineStr">
        <is>
          <t>2063-07-03</t>
        </is>
      </c>
    </row>
    <row r="59746">
      <c r="A59746" s="1" t="n">
        <v>59745</v>
      </c>
      <c r="B59746">
        <f>TEXT(59745, "[$-0E0000]yyyy-mm-dd")</f>
        <v/>
      </c>
      <c r="C59746" t="inlineStr">
        <is>
          <t>2063-07-04</t>
        </is>
      </c>
    </row>
    <row r="59747">
      <c r="A59747" s="1" t="n">
        <v>59746</v>
      </c>
      <c r="B59747">
        <f>TEXT(59746, "[$-0E0000]yyyy-mm-dd")</f>
        <v/>
      </c>
      <c r="C59747" t="inlineStr">
        <is>
          <t>2063-07-05</t>
        </is>
      </c>
    </row>
    <row r="59748">
      <c r="A59748" s="1" t="n">
        <v>59747</v>
      </c>
      <c r="B59748">
        <f>TEXT(59747, "[$-0E0000]yyyy-mm-dd")</f>
        <v/>
      </c>
      <c r="C59748" t="inlineStr">
        <is>
          <t>2063-07-06</t>
        </is>
      </c>
    </row>
    <row r="59749">
      <c r="A59749" s="1" t="n">
        <v>59748</v>
      </c>
      <c r="B59749">
        <f>TEXT(59748, "[$-0E0000]yyyy-mm-dd")</f>
        <v/>
      </c>
      <c r="C59749" t="inlineStr">
        <is>
          <t>2063-07-07</t>
        </is>
      </c>
    </row>
    <row r="59750">
      <c r="A59750" s="1" t="n">
        <v>59749</v>
      </c>
      <c r="B59750">
        <f>TEXT(59749, "[$-0E0000]yyyy-mm-dd")</f>
        <v/>
      </c>
      <c r="C59750" t="inlineStr">
        <is>
          <t>2063-07-08</t>
        </is>
      </c>
    </row>
    <row r="59751">
      <c r="A59751" s="1" t="n">
        <v>59750</v>
      </c>
      <c r="B59751">
        <f>TEXT(59750, "[$-0E0000]yyyy-mm-dd")</f>
        <v/>
      </c>
      <c r="C59751" t="inlineStr">
        <is>
          <t>2063-07-09</t>
        </is>
      </c>
    </row>
    <row r="59752">
      <c r="A59752" s="1" t="n">
        <v>59751</v>
      </c>
      <c r="B59752">
        <f>TEXT(59751, "[$-0E0000]yyyy-mm-dd")</f>
        <v/>
      </c>
      <c r="C59752" t="inlineStr">
        <is>
          <t>2063-07-10</t>
        </is>
      </c>
    </row>
    <row r="59753">
      <c r="A59753" s="1" t="n">
        <v>59752</v>
      </c>
      <c r="B59753">
        <f>TEXT(59752, "[$-0E0000]yyyy-mm-dd")</f>
        <v/>
      </c>
      <c r="C59753" t="inlineStr">
        <is>
          <t>2063-07-11</t>
        </is>
      </c>
    </row>
    <row r="59754">
      <c r="A59754" s="1" t="n">
        <v>59753</v>
      </c>
      <c r="B59754">
        <f>TEXT(59753, "[$-0E0000]yyyy-mm-dd")</f>
        <v/>
      </c>
      <c r="C59754" t="inlineStr">
        <is>
          <t>2063-07-12</t>
        </is>
      </c>
    </row>
    <row r="59755">
      <c r="A59755" s="1" t="n">
        <v>59754</v>
      </c>
      <c r="B59755">
        <f>TEXT(59754, "[$-0E0000]yyyy-mm-dd")</f>
        <v/>
      </c>
      <c r="C59755" t="inlineStr">
        <is>
          <t>2063-07-13</t>
        </is>
      </c>
    </row>
    <row r="59756">
      <c r="A59756" s="1" t="n">
        <v>59755</v>
      </c>
      <c r="B59756">
        <f>TEXT(59755, "[$-0E0000]yyyy-mm-dd")</f>
        <v/>
      </c>
      <c r="C59756" t="inlineStr">
        <is>
          <t>2063-07-14</t>
        </is>
      </c>
    </row>
    <row r="59757">
      <c r="A59757" s="1" t="n">
        <v>59756</v>
      </c>
      <c r="B59757">
        <f>TEXT(59756, "[$-0E0000]yyyy-mm-dd")</f>
        <v/>
      </c>
      <c r="C59757" t="inlineStr">
        <is>
          <t>2063-07-15</t>
        </is>
      </c>
    </row>
    <row r="59758">
      <c r="A59758" s="1" t="n">
        <v>59757</v>
      </c>
      <c r="B59758">
        <f>TEXT(59757, "[$-0E0000]yyyy-mm-dd")</f>
        <v/>
      </c>
      <c r="C59758" t="inlineStr">
        <is>
          <t>2063-07-16</t>
        </is>
      </c>
    </row>
    <row r="59759">
      <c r="A59759" s="1" t="n">
        <v>59758</v>
      </c>
      <c r="B59759">
        <f>TEXT(59758, "[$-0E0000]yyyy-mm-dd")</f>
        <v/>
      </c>
      <c r="C59759" t="inlineStr">
        <is>
          <t>2063-07-17</t>
        </is>
      </c>
    </row>
    <row r="59760">
      <c r="A59760" s="1" t="n">
        <v>59759</v>
      </c>
      <c r="B59760">
        <f>TEXT(59759, "[$-0E0000]yyyy-mm-dd")</f>
        <v/>
      </c>
      <c r="C59760" t="inlineStr">
        <is>
          <t>2063-07-18</t>
        </is>
      </c>
    </row>
    <row r="59761">
      <c r="A59761" s="1" t="n">
        <v>59760</v>
      </c>
      <c r="B59761">
        <f>TEXT(59760, "[$-0E0000]yyyy-mm-dd")</f>
        <v/>
      </c>
      <c r="C59761" t="inlineStr">
        <is>
          <t>2063-07-19</t>
        </is>
      </c>
    </row>
    <row r="59762">
      <c r="A59762" s="1" t="n">
        <v>59761</v>
      </c>
      <c r="B59762">
        <f>TEXT(59761, "[$-0E0000]yyyy-mm-dd")</f>
        <v/>
      </c>
      <c r="C59762" t="inlineStr">
        <is>
          <t>2063-07-20</t>
        </is>
      </c>
    </row>
    <row r="59763">
      <c r="A59763" s="1" t="n">
        <v>59762</v>
      </c>
      <c r="B59763">
        <f>TEXT(59762, "[$-0E0000]yyyy-mm-dd")</f>
        <v/>
      </c>
      <c r="C59763" t="inlineStr">
        <is>
          <t>2063-07-21</t>
        </is>
      </c>
    </row>
    <row r="59764">
      <c r="A59764" s="1" t="n">
        <v>59763</v>
      </c>
      <c r="B59764">
        <f>TEXT(59763, "[$-0E0000]yyyy-mm-dd")</f>
        <v/>
      </c>
      <c r="C59764" t="inlineStr">
        <is>
          <t>2063-07-22</t>
        </is>
      </c>
    </row>
    <row r="59765">
      <c r="A59765" s="1" t="n">
        <v>59764</v>
      </c>
      <c r="B59765">
        <f>TEXT(59764, "[$-0E0000]yyyy-mm-dd")</f>
        <v/>
      </c>
      <c r="C59765" t="inlineStr">
        <is>
          <t>2063-07-23</t>
        </is>
      </c>
    </row>
    <row r="59766">
      <c r="A59766" s="1" t="n">
        <v>59765</v>
      </c>
      <c r="B59766">
        <f>TEXT(59765, "[$-0E0000]yyyy-mm-dd")</f>
        <v/>
      </c>
      <c r="C59766" t="inlineStr">
        <is>
          <t>2063-07-24</t>
        </is>
      </c>
    </row>
    <row r="59767">
      <c r="A59767" s="1" t="n">
        <v>59766</v>
      </c>
      <c r="B59767">
        <f>TEXT(59766, "[$-0E0000]yyyy-mm-dd")</f>
        <v/>
      </c>
      <c r="C59767" t="inlineStr">
        <is>
          <t>2063-07-25</t>
        </is>
      </c>
    </row>
    <row r="59768">
      <c r="A59768" s="1" t="n">
        <v>59767</v>
      </c>
      <c r="B59768">
        <f>TEXT(59767, "[$-0E0000]yyyy-mm-dd")</f>
        <v/>
      </c>
      <c r="C59768" t="inlineStr">
        <is>
          <t>2063-07-26</t>
        </is>
      </c>
    </row>
    <row r="59769">
      <c r="A59769" s="1" t="n">
        <v>59768</v>
      </c>
      <c r="B59769">
        <f>TEXT(59768, "[$-0E0000]yyyy-mm-dd")</f>
        <v/>
      </c>
      <c r="C59769" t="inlineStr">
        <is>
          <t>2063-07-27</t>
        </is>
      </c>
    </row>
    <row r="59770">
      <c r="A59770" s="1" t="n">
        <v>59769</v>
      </c>
      <c r="B59770">
        <f>TEXT(59769, "[$-0E0000]yyyy-mm-dd")</f>
        <v/>
      </c>
      <c r="C59770" t="inlineStr">
        <is>
          <t>2063-07-28</t>
        </is>
      </c>
    </row>
    <row r="59771">
      <c r="A59771" s="1" t="n">
        <v>59770</v>
      </c>
      <c r="B59771">
        <f>TEXT(59770, "[$-0E0000]yyyy-mm-dd")</f>
        <v/>
      </c>
      <c r="C59771" t="inlineStr">
        <is>
          <t>2063-07-29</t>
        </is>
      </c>
    </row>
    <row r="59772">
      <c r="A59772" s="1" t="n">
        <v>59771</v>
      </c>
      <c r="B59772">
        <f>TEXT(59771, "[$-0E0000]yyyy-mm-dd")</f>
        <v/>
      </c>
      <c r="C59772" t="inlineStr">
        <is>
          <t>2063-07-01</t>
        </is>
      </c>
    </row>
    <row r="59773">
      <c r="A59773" s="1" t="n">
        <v>59772</v>
      </c>
      <c r="B59773">
        <f>TEXT(59772, "[$-0E0000]yyyy-mm-dd")</f>
        <v/>
      </c>
      <c r="C59773" t="inlineStr">
        <is>
          <t>2063-07-02</t>
        </is>
      </c>
    </row>
    <row r="59774">
      <c r="A59774" s="1" t="n">
        <v>59773</v>
      </c>
      <c r="B59774">
        <f>TEXT(59773, "[$-0E0000]yyyy-mm-dd")</f>
        <v/>
      </c>
      <c r="C59774" t="inlineStr">
        <is>
          <t>2063-07-03</t>
        </is>
      </c>
    </row>
    <row r="59775">
      <c r="A59775" s="1" t="n">
        <v>59774</v>
      </c>
      <c r="B59775">
        <f>TEXT(59774, "[$-0E0000]yyyy-mm-dd")</f>
        <v/>
      </c>
      <c r="C59775" t="inlineStr">
        <is>
          <t>2063-07-04</t>
        </is>
      </c>
    </row>
    <row r="59776">
      <c r="A59776" s="1" t="n">
        <v>59775</v>
      </c>
      <c r="B59776">
        <f>TEXT(59775, "[$-0E0000]yyyy-mm-dd")</f>
        <v/>
      </c>
      <c r="C59776" t="inlineStr">
        <is>
          <t>2063-07-05</t>
        </is>
      </c>
    </row>
    <row r="59777">
      <c r="A59777" s="1" t="n">
        <v>59776</v>
      </c>
      <c r="B59777">
        <f>TEXT(59776, "[$-0E0000]yyyy-mm-dd")</f>
        <v/>
      </c>
      <c r="C59777" t="inlineStr">
        <is>
          <t>2063-07-06</t>
        </is>
      </c>
    </row>
    <row r="59778">
      <c r="A59778" s="1" t="n">
        <v>59777</v>
      </c>
      <c r="B59778">
        <f>TEXT(59777, "[$-0E0000]yyyy-mm-dd")</f>
        <v/>
      </c>
      <c r="C59778" t="inlineStr">
        <is>
          <t>2063-07-07</t>
        </is>
      </c>
    </row>
    <row r="59779">
      <c r="A59779" s="1" t="n">
        <v>59778</v>
      </c>
      <c r="B59779">
        <f>TEXT(59778, "[$-0E0000]yyyy-mm-dd")</f>
        <v/>
      </c>
      <c r="C59779" t="inlineStr">
        <is>
          <t>2063-07-08</t>
        </is>
      </c>
    </row>
    <row r="59780">
      <c r="A59780" s="1" t="n">
        <v>59779</v>
      </c>
      <c r="B59780">
        <f>TEXT(59779, "[$-0E0000]yyyy-mm-dd")</f>
        <v/>
      </c>
      <c r="C59780" t="inlineStr">
        <is>
          <t>2063-07-09</t>
        </is>
      </c>
    </row>
    <row r="59781">
      <c r="A59781" s="1" t="n">
        <v>59780</v>
      </c>
      <c r="B59781">
        <f>TEXT(59780, "[$-0E0000]yyyy-mm-dd")</f>
        <v/>
      </c>
      <c r="C59781" t="inlineStr">
        <is>
          <t>2063-07-10</t>
        </is>
      </c>
    </row>
    <row r="59782">
      <c r="A59782" s="1" t="n">
        <v>59781</v>
      </c>
      <c r="B59782">
        <f>TEXT(59781, "[$-0E0000]yyyy-mm-dd")</f>
        <v/>
      </c>
      <c r="C59782" t="inlineStr">
        <is>
          <t>2063-07-11</t>
        </is>
      </c>
    </row>
    <row r="59783">
      <c r="A59783" s="1" t="n">
        <v>59782</v>
      </c>
      <c r="B59783">
        <f>TEXT(59782, "[$-0E0000]yyyy-mm-dd")</f>
        <v/>
      </c>
      <c r="C59783" t="inlineStr">
        <is>
          <t>2063-07-12</t>
        </is>
      </c>
    </row>
    <row r="59784">
      <c r="A59784" s="1" t="n">
        <v>59783</v>
      </c>
      <c r="B59784">
        <f>TEXT(59783, "[$-0E0000]yyyy-mm-dd")</f>
        <v/>
      </c>
      <c r="C59784" t="inlineStr">
        <is>
          <t>2063-07-13</t>
        </is>
      </c>
    </row>
    <row r="59785">
      <c r="A59785" s="1" t="n">
        <v>59784</v>
      </c>
      <c r="B59785">
        <f>TEXT(59784, "[$-0E0000]yyyy-mm-dd")</f>
        <v/>
      </c>
      <c r="C59785" t="inlineStr">
        <is>
          <t>2063-07-14</t>
        </is>
      </c>
    </row>
    <row r="59786">
      <c r="A59786" s="1" t="n">
        <v>59785</v>
      </c>
      <c r="B59786">
        <f>TEXT(59785, "[$-0E0000]yyyy-mm-dd")</f>
        <v/>
      </c>
      <c r="C59786" t="inlineStr">
        <is>
          <t>2063-07-15</t>
        </is>
      </c>
    </row>
    <row r="59787">
      <c r="A59787" s="1" t="n">
        <v>59786</v>
      </c>
      <c r="B59787">
        <f>TEXT(59786, "[$-0E0000]yyyy-mm-dd")</f>
        <v/>
      </c>
      <c r="C59787" t="inlineStr">
        <is>
          <t>2063-07-16</t>
        </is>
      </c>
    </row>
    <row r="59788">
      <c r="A59788" s="1" t="n">
        <v>59787</v>
      </c>
      <c r="B59788">
        <f>TEXT(59787, "[$-0E0000]yyyy-mm-dd")</f>
        <v/>
      </c>
      <c r="C59788" t="inlineStr">
        <is>
          <t>2063-07-17</t>
        </is>
      </c>
    </row>
    <row r="59789">
      <c r="A59789" s="1" t="n">
        <v>59788</v>
      </c>
      <c r="B59789">
        <f>TEXT(59788, "[$-0E0000]yyyy-mm-dd")</f>
        <v/>
      </c>
      <c r="C59789" t="inlineStr">
        <is>
          <t>2063-07-18</t>
        </is>
      </c>
    </row>
    <row r="59790">
      <c r="A59790" s="1" t="n">
        <v>59789</v>
      </c>
      <c r="B59790">
        <f>TEXT(59789, "[$-0E0000]yyyy-mm-dd")</f>
        <v/>
      </c>
      <c r="C59790" t="inlineStr">
        <is>
          <t>2063-07-19</t>
        </is>
      </c>
    </row>
    <row r="59791">
      <c r="A59791" s="1" t="n">
        <v>59790</v>
      </c>
      <c r="B59791">
        <f>TEXT(59790, "[$-0E0000]yyyy-mm-dd")</f>
        <v/>
      </c>
      <c r="C59791" t="inlineStr">
        <is>
          <t>2063-07-20</t>
        </is>
      </c>
    </row>
    <row r="59792">
      <c r="A59792" s="1" t="n">
        <v>59791</v>
      </c>
      <c r="B59792">
        <f>TEXT(59791, "[$-0E0000]yyyy-mm-dd")</f>
        <v/>
      </c>
      <c r="C59792" t="inlineStr">
        <is>
          <t>2063-07-21</t>
        </is>
      </c>
    </row>
    <row r="59793">
      <c r="A59793" s="1" t="n">
        <v>59792</v>
      </c>
      <c r="B59793">
        <f>TEXT(59792, "[$-0E0000]yyyy-mm-dd")</f>
        <v/>
      </c>
      <c r="C59793" t="inlineStr">
        <is>
          <t>2063-07-22</t>
        </is>
      </c>
    </row>
    <row r="59794">
      <c r="A59794" s="1" t="n">
        <v>59793</v>
      </c>
      <c r="B59794">
        <f>TEXT(59793, "[$-0E0000]yyyy-mm-dd")</f>
        <v/>
      </c>
      <c r="C59794" t="inlineStr">
        <is>
          <t>2063-07-23</t>
        </is>
      </c>
    </row>
    <row r="59795">
      <c r="A59795" s="1" t="n">
        <v>59794</v>
      </c>
      <c r="B59795">
        <f>TEXT(59794, "[$-0E0000]yyyy-mm-dd")</f>
        <v/>
      </c>
      <c r="C59795" t="inlineStr">
        <is>
          <t>2063-07-24</t>
        </is>
      </c>
    </row>
    <row r="59796">
      <c r="A59796" s="1" t="n">
        <v>59795</v>
      </c>
      <c r="B59796">
        <f>TEXT(59795, "[$-0E0000]yyyy-mm-dd")</f>
        <v/>
      </c>
      <c r="C59796" t="inlineStr">
        <is>
          <t>2063-07-25</t>
        </is>
      </c>
    </row>
    <row r="59797">
      <c r="A59797" s="1" t="n">
        <v>59796</v>
      </c>
      <c r="B59797">
        <f>TEXT(59796, "[$-0E0000]yyyy-mm-dd")</f>
        <v/>
      </c>
      <c r="C59797" t="inlineStr">
        <is>
          <t>2063-07-26</t>
        </is>
      </c>
    </row>
    <row r="59798">
      <c r="A59798" s="1" t="n">
        <v>59797</v>
      </c>
      <c r="B59798">
        <f>TEXT(59797, "[$-0E0000]yyyy-mm-dd")</f>
        <v/>
      </c>
      <c r="C59798" t="inlineStr">
        <is>
          <t>2063-07-27</t>
        </is>
      </c>
    </row>
    <row r="59799">
      <c r="A59799" s="1" t="n">
        <v>59798</v>
      </c>
      <c r="B59799">
        <f>TEXT(59798, "[$-0E0000]yyyy-mm-dd")</f>
        <v/>
      </c>
      <c r="C59799" t="inlineStr">
        <is>
          <t>2063-07-28</t>
        </is>
      </c>
    </row>
    <row r="59800">
      <c r="A59800" s="1" t="n">
        <v>59799</v>
      </c>
      <c r="B59800">
        <f>TEXT(59799, "[$-0E0000]yyyy-mm-dd")</f>
        <v/>
      </c>
      <c r="C59800" t="inlineStr">
        <is>
          <t>2063-07-29</t>
        </is>
      </c>
    </row>
    <row r="59801">
      <c r="A59801" s="1" t="n">
        <v>59800</v>
      </c>
      <c r="B59801">
        <f>TEXT(59800, "[$-0E0000]yyyy-mm-dd")</f>
        <v/>
      </c>
      <c r="C59801" t="inlineStr">
        <is>
          <t>2063-08-01</t>
        </is>
      </c>
    </row>
    <row r="59802">
      <c r="A59802" s="1" t="n">
        <v>59801</v>
      </c>
      <c r="B59802">
        <f>TEXT(59801, "[$-0E0000]yyyy-mm-dd")</f>
        <v/>
      </c>
      <c r="C59802" t="inlineStr">
        <is>
          <t>2063-08-02</t>
        </is>
      </c>
    </row>
    <row r="59803">
      <c r="A59803" s="1" t="n">
        <v>59802</v>
      </c>
      <c r="B59803">
        <f>TEXT(59802, "[$-0E0000]yyyy-mm-dd")</f>
        <v/>
      </c>
      <c r="C59803" t="inlineStr">
        <is>
          <t>2063-08-03</t>
        </is>
      </c>
    </row>
    <row r="59804">
      <c r="A59804" s="1" t="n">
        <v>59803</v>
      </c>
      <c r="B59804">
        <f>TEXT(59803, "[$-0E0000]yyyy-mm-dd")</f>
        <v/>
      </c>
      <c r="C59804" t="inlineStr">
        <is>
          <t>2063-08-04</t>
        </is>
      </c>
    </row>
    <row r="59805">
      <c r="A59805" s="1" t="n">
        <v>59804</v>
      </c>
      <c r="B59805">
        <f>TEXT(59804, "[$-0E0000]yyyy-mm-dd")</f>
        <v/>
      </c>
      <c r="C59805" t="inlineStr">
        <is>
          <t>2063-08-05</t>
        </is>
      </c>
    </row>
    <row r="59806">
      <c r="A59806" s="1" t="n">
        <v>59805</v>
      </c>
      <c r="B59806">
        <f>TEXT(59805, "[$-0E0000]yyyy-mm-dd")</f>
        <v/>
      </c>
      <c r="C59806" t="inlineStr">
        <is>
          <t>2063-08-06</t>
        </is>
      </c>
    </row>
    <row r="59807">
      <c r="A59807" s="1" t="n">
        <v>59806</v>
      </c>
      <c r="B59807">
        <f>TEXT(59806, "[$-0E0000]yyyy-mm-dd")</f>
        <v/>
      </c>
      <c r="C59807" t="inlineStr">
        <is>
          <t>2063-08-07</t>
        </is>
      </c>
    </row>
    <row r="59808">
      <c r="A59808" s="1" t="n">
        <v>59807</v>
      </c>
      <c r="B59808">
        <f>TEXT(59807, "[$-0E0000]yyyy-mm-dd")</f>
        <v/>
      </c>
      <c r="C59808" t="inlineStr">
        <is>
          <t>2063-08-08</t>
        </is>
      </c>
    </row>
    <row r="59809">
      <c r="A59809" s="1" t="n">
        <v>59808</v>
      </c>
      <c r="B59809">
        <f>TEXT(59808, "[$-0E0000]yyyy-mm-dd")</f>
        <v/>
      </c>
      <c r="C59809" t="inlineStr">
        <is>
          <t>2063-08-09</t>
        </is>
      </c>
    </row>
    <row r="59810">
      <c r="A59810" s="1" t="n">
        <v>59809</v>
      </c>
      <c r="B59810">
        <f>TEXT(59809, "[$-0E0000]yyyy-mm-dd")</f>
        <v/>
      </c>
      <c r="C59810" t="inlineStr">
        <is>
          <t>2063-08-10</t>
        </is>
      </c>
    </row>
    <row r="59811">
      <c r="A59811" s="1" t="n">
        <v>59810</v>
      </c>
      <c r="B59811">
        <f>TEXT(59810, "[$-0E0000]yyyy-mm-dd")</f>
        <v/>
      </c>
      <c r="C59811" t="inlineStr">
        <is>
          <t>2063-08-11</t>
        </is>
      </c>
    </row>
    <row r="59812">
      <c r="A59812" s="1" t="n">
        <v>59811</v>
      </c>
      <c r="B59812">
        <f>TEXT(59811, "[$-0E0000]yyyy-mm-dd")</f>
        <v/>
      </c>
      <c r="C59812" t="inlineStr">
        <is>
          <t>2063-08-12</t>
        </is>
      </c>
    </row>
    <row r="59813">
      <c r="A59813" s="1" t="n">
        <v>59812</v>
      </c>
      <c r="B59813">
        <f>TEXT(59812, "[$-0E0000]yyyy-mm-dd")</f>
        <v/>
      </c>
      <c r="C59813" t="inlineStr">
        <is>
          <t>2063-08-13</t>
        </is>
      </c>
    </row>
    <row r="59814">
      <c r="A59814" s="1" t="n">
        <v>59813</v>
      </c>
      <c r="B59814">
        <f>TEXT(59813, "[$-0E0000]yyyy-mm-dd")</f>
        <v/>
      </c>
      <c r="C59814" t="inlineStr">
        <is>
          <t>2063-08-14</t>
        </is>
      </c>
    </row>
    <row r="59815">
      <c r="A59815" s="1" t="n">
        <v>59814</v>
      </c>
      <c r="B59815">
        <f>TEXT(59814, "[$-0E0000]yyyy-mm-dd")</f>
        <v/>
      </c>
      <c r="C59815" t="inlineStr">
        <is>
          <t>2063-08-15</t>
        </is>
      </c>
    </row>
    <row r="59816">
      <c r="A59816" s="1" t="n">
        <v>59815</v>
      </c>
      <c r="B59816">
        <f>TEXT(59815, "[$-0E0000]yyyy-mm-dd")</f>
        <v/>
      </c>
      <c r="C59816" t="inlineStr">
        <is>
          <t>2063-08-16</t>
        </is>
      </c>
    </row>
    <row r="59817">
      <c r="A59817" s="1" t="n">
        <v>59816</v>
      </c>
      <c r="B59817">
        <f>TEXT(59816, "[$-0E0000]yyyy-mm-dd")</f>
        <v/>
      </c>
      <c r="C59817" t="inlineStr">
        <is>
          <t>2063-08-17</t>
        </is>
      </c>
    </row>
    <row r="59818">
      <c r="A59818" s="1" t="n">
        <v>59817</v>
      </c>
      <c r="B59818">
        <f>TEXT(59817, "[$-0E0000]yyyy-mm-dd")</f>
        <v/>
      </c>
      <c r="C59818" t="inlineStr">
        <is>
          <t>2063-08-18</t>
        </is>
      </c>
    </row>
    <row r="59819">
      <c r="A59819" s="1" t="n">
        <v>59818</v>
      </c>
      <c r="B59819">
        <f>TEXT(59818, "[$-0E0000]yyyy-mm-dd")</f>
        <v/>
      </c>
      <c r="C59819" t="inlineStr">
        <is>
          <t>2063-08-19</t>
        </is>
      </c>
    </row>
    <row r="59820">
      <c r="A59820" s="1" t="n">
        <v>59819</v>
      </c>
      <c r="B59820">
        <f>TEXT(59819, "[$-0E0000]yyyy-mm-dd")</f>
        <v/>
      </c>
      <c r="C59820" t="inlineStr">
        <is>
          <t>2063-08-20</t>
        </is>
      </c>
    </row>
    <row r="59821">
      <c r="A59821" s="1" t="n">
        <v>59820</v>
      </c>
      <c r="B59821">
        <f>TEXT(59820, "[$-0E0000]yyyy-mm-dd")</f>
        <v/>
      </c>
      <c r="C59821" t="inlineStr">
        <is>
          <t>2063-08-21</t>
        </is>
      </c>
    </row>
    <row r="59822">
      <c r="A59822" s="1" t="n">
        <v>59821</v>
      </c>
      <c r="B59822">
        <f>TEXT(59821, "[$-0E0000]yyyy-mm-dd")</f>
        <v/>
      </c>
      <c r="C59822" t="inlineStr">
        <is>
          <t>2063-08-22</t>
        </is>
      </c>
    </row>
    <row r="59823">
      <c r="A59823" s="1" t="n">
        <v>59822</v>
      </c>
      <c r="B59823">
        <f>TEXT(59822, "[$-0E0000]yyyy-mm-dd")</f>
        <v/>
      </c>
      <c r="C59823" t="inlineStr">
        <is>
          <t>2063-08-23</t>
        </is>
      </c>
    </row>
    <row r="59824">
      <c r="A59824" s="1" t="n">
        <v>59823</v>
      </c>
      <c r="B59824">
        <f>TEXT(59823, "[$-0E0000]yyyy-mm-dd")</f>
        <v/>
      </c>
      <c r="C59824" t="inlineStr">
        <is>
          <t>2063-08-24</t>
        </is>
      </c>
    </row>
    <row r="59825">
      <c r="A59825" s="1" t="n">
        <v>59824</v>
      </c>
      <c r="B59825">
        <f>TEXT(59824, "[$-0E0000]yyyy-mm-dd")</f>
        <v/>
      </c>
      <c r="C59825" t="inlineStr">
        <is>
          <t>2063-08-25</t>
        </is>
      </c>
    </row>
    <row r="59826">
      <c r="A59826" s="1" t="n">
        <v>59825</v>
      </c>
      <c r="B59826">
        <f>TEXT(59825, "[$-0E0000]yyyy-mm-dd")</f>
        <v/>
      </c>
      <c r="C59826" t="inlineStr">
        <is>
          <t>2063-08-26</t>
        </is>
      </c>
    </row>
    <row r="59827">
      <c r="A59827" s="1" t="n">
        <v>59826</v>
      </c>
      <c r="B59827">
        <f>TEXT(59826, "[$-0E0000]yyyy-mm-dd")</f>
        <v/>
      </c>
      <c r="C59827" t="inlineStr">
        <is>
          <t>2063-08-27</t>
        </is>
      </c>
    </row>
    <row r="59828">
      <c r="A59828" s="1" t="n">
        <v>59827</v>
      </c>
      <c r="B59828">
        <f>TEXT(59827, "[$-0E0000]yyyy-mm-dd")</f>
        <v/>
      </c>
      <c r="C59828" t="inlineStr">
        <is>
          <t>2063-08-28</t>
        </is>
      </c>
    </row>
    <row r="59829">
      <c r="A59829" s="1" t="n">
        <v>59828</v>
      </c>
      <c r="B59829">
        <f>TEXT(59828, "[$-0E0000]yyyy-mm-dd")</f>
        <v/>
      </c>
      <c r="C59829" t="inlineStr">
        <is>
          <t>2063-08-29</t>
        </is>
      </c>
    </row>
    <row r="59830">
      <c r="A59830" s="1" t="n">
        <v>59829</v>
      </c>
      <c r="B59830">
        <f>TEXT(59829, "[$-0E0000]yyyy-mm-dd")</f>
        <v/>
      </c>
      <c r="C59830" t="inlineStr">
        <is>
          <t>2063-08-30</t>
        </is>
      </c>
    </row>
    <row r="59831">
      <c r="A59831" s="1" t="n">
        <v>59830</v>
      </c>
      <c r="B59831">
        <f>TEXT(59830, "[$-0E0000]yyyy-mm-dd")</f>
        <v/>
      </c>
      <c r="C59831" t="inlineStr">
        <is>
          <t>2063-09-01</t>
        </is>
      </c>
    </row>
    <row r="59832">
      <c r="A59832" s="1" t="n">
        <v>59831</v>
      </c>
      <c r="B59832">
        <f>TEXT(59831, "[$-0E0000]yyyy-mm-dd")</f>
        <v/>
      </c>
      <c r="C59832" t="inlineStr">
        <is>
          <t>2063-09-02</t>
        </is>
      </c>
    </row>
    <row r="59833">
      <c r="A59833" s="1" t="n">
        <v>59832</v>
      </c>
      <c r="B59833">
        <f>TEXT(59832, "[$-0E0000]yyyy-mm-dd")</f>
        <v/>
      </c>
      <c r="C59833" t="inlineStr">
        <is>
          <t>2063-09-03</t>
        </is>
      </c>
    </row>
    <row r="59834">
      <c r="A59834" s="1" t="n">
        <v>59833</v>
      </c>
      <c r="B59834">
        <f>TEXT(59833, "[$-0E0000]yyyy-mm-dd")</f>
        <v/>
      </c>
      <c r="C59834" t="inlineStr">
        <is>
          <t>2063-09-04</t>
        </is>
      </c>
    </row>
    <row r="59835">
      <c r="A59835" s="1" t="n">
        <v>59834</v>
      </c>
      <c r="B59835">
        <f>TEXT(59834, "[$-0E0000]yyyy-mm-dd")</f>
        <v/>
      </c>
      <c r="C59835" t="inlineStr">
        <is>
          <t>2063-09-05</t>
        </is>
      </c>
    </row>
    <row r="59836">
      <c r="A59836" s="1" t="n">
        <v>59835</v>
      </c>
      <c r="B59836">
        <f>TEXT(59835, "[$-0E0000]yyyy-mm-dd")</f>
        <v/>
      </c>
      <c r="C59836" t="inlineStr">
        <is>
          <t>2063-09-06</t>
        </is>
      </c>
    </row>
    <row r="59837">
      <c r="A59837" s="1" t="n">
        <v>59836</v>
      </c>
      <c r="B59837">
        <f>TEXT(59836, "[$-0E0000]yyyy-mm-dd")</f>
        <v/>
      </c>
      <c r="C59837" t="inlineStr">
        <is>
          <t>2063-09-07</t>
        </is>
      </c>
    </row>
    <row r="59838">
      <c r="A59838" s="1" t="n">
        <v>59837</v>
      </c>
      <c r="B59838">
        <f>TEXT(59837, "[$-0E0000]yyyy-mm-dd")</f>
        <v/>
      </c>
      <c r="C59838" t="inlineStr">
        <is>
          <t>2063-09-08</t>
        </is>
      </c>
    </row>
    <row r="59839">
      <c r="A59839" s="1" t="n">
        <v>59838</v>
      </c>
      <c r="B59839">
        <f>TEXT(59838, "[$-0E0000]yyyy-mm-dd")</f>
        <v/>
      </c>
      <c r="C59839" t="inlineStr">
        <is>
          <t>2063-09-09</t>
        </is>
      </c>
    </row>
    <row r="59840">
      <c r="A59840" s="1" t="n">
        <v>59839</v>
      </c>
      <c r="B59840">
        <f>TEXT(59839, "[$-0E0000]yyyy-mm-dd")</f>
        <v/>
      </c>
      <c r="C59840" t="inlineStr">
        <is>
          <t>2063-09-10</t>
        </is>
      </c>
    </row>
    <row r="59841">
      <c r="A59841" s="1" t="n">
        <v>59840</v>
      </c>
      <c r="B59841">
        <f>TEXT(59840, "[$-0E0000]yyyy-mm-dd")</f>
        <v/>
      </c>
      <c r="C59841" t="inlineStr">
        <is>
          <t>2063-09-11</t>
        </is>
      </c>
    </row>
    <row r="59842">
      <c r="A59842" s="1" t="n">
        <v>59841</v>
      </c>
      <c r="B59842">
        <f>TEXT(59841, "[$-0E0000]yyyy-mm-dd")</f>
        <v/>
      </c>
      <c r="C59842" t="inlineStr">
        <is>
          <t>2063-09-12</t>
        </is>
      </c>
    </row>
    <row r="59843">
      <c r="A59843" s="1" t="n">
        <v>59842</v>
      </c>
      <c r="B59843">
        <f>TEXT(59842, "[$-0E0000]yyyy-mm-dd")</f>
        <v/>
      </c>
      <c r="C59843" t="inlineStr">
        <is>
          <t>2063-09-13</t>
        </is>
      </c>
    </row>
    <row r="59844">
      <c r="A59844" s="1" t="n">
        <v>59843</v>
      </c>
      <c r="B59844">
        <f>TEXT(59843, "[$-0E0000]yyyy-mm-dd")</f>
        <v/>
      </c>
      <c r="C59844" t="inlineStr">
        <is>
          <t>2063-09-14</t>
        </is>
      </c>
    </row>
    <row r="59845">
      <c r="A59845" s="1" t="n">
        <v>59844</v>
      </c>
      <c r="B59845">
        <f>TEXT(59844, "[$-0E0000]yyyy-mm-dd")</f>
        <v/>
      </c>
      <c r="C59845" t="inlineStr">
        <is>
          <t>2063-09-15</t>
        </is>
      </c>
    </row>
    <row r="59846">
      <c r="A59846" s="1" t="n">
        <v>59845</v>
      </c>
      <c r="B59846">
        <f>TEXT(59845, "[$-0E0000]yyyy-mm-dd")</f>
        <v/>
      </c>
      <c r="C59846" t="inlineStr">
        <is>
          <t>2063-09-16</t>
        </is>
      </c>
    </row>
    <row r="59847">
      <c r="A59847" s="1" t="n">
        <v>59846</v>
      </c>
      <c r="B59847">
        <f>TEXT(59846, "[$-0E0000]yyyy-mm-dd")</f>
        <v/>
      </c>
      <c r="C59847" t="inlineStr">
        <is>
          <t>2063-09-17</t>
        </is>
      </c>
    </row>
    <row r="59848">
      <c r="A59848" s="1" t="n">
        <v>59847</v>
      </c>
      <c r="B59848">
        <f>TEXT(59847, "[$-0E0000]yyyy-mm-dd")</f>
        <v/>
      </c>
      <c r="C59848" t="inlineStr">
        <is>
          <t>2063-09-18</t>
        </is>
      </c>
    </row>
    <row r="59849">
      <c r="A59849" s="1" t="n">
        <v>59848</v>
      </c>
      <c r="B59849">
        <f>TEXT(59848, "[$-0E0000]yyyy-mm-dd")</f>
        <v/>
      </c>
      <c r="C59849" t="inlineStr">
        <is>
          <t>2063-09-19</t>
        </is>
      </c>
    </row>
    <row r="59850">
      <c r="A59850" s="1" t="n">
        <v>59849</v>
      </c>
      <c r="B59850">
        <f>TEXT(59849, "[$-0E0000]yyyy-mm-dd")</f>
        <v/>
      </c>
      <c r="C59850" t="inlineStr">
        <is>
          <t>2063-09-20</t>
        </is>
      </c>
    </row>
    <row r="59851">
      <c r="A59851" s="1" t="n">
        <v>59850</v>
      </c>
      <c r="B59851">
        <f>TEXT(59850, "[$-0E0000]yyyy-mm-dd")</f>
        <v/>
      </c>
      <c r="C59851" t="inlineStr">
        <is>
          <t>2063-09-21</t>
        </is>
      </c>
    </row>
    <row r="59852">
      <c r="A59852" s="1" t="n">
        <v>59851</v>
      </c>
      <c r="B59852">
        <f>TEXT(59851, "[$-0E0000]yyyy-mm-dd")</f>
        <v/>
      </c>
      <c r="C59852" t="inlineStr">
        <is>
          <t>2063-09-22</t>
        </is>
      </c>
    </row>
    <row r="59853">
      <c r="A59853" s="1" t="n">
        <v>59852</v>
      </c>
      <c r="B59853">
        <f>TEXT(59852, "[$-0E0000]yyyy-mm-dd")</f>
        <v/>
      </c>
      <c r="C59853" t="inlineStr">
        <is>
          <t>2063-09-23</t>
        </is>
      </c>
    </row>
    <row r="59854">
      <c r="A59854" s="1" t="n">
        <v>59853</v>
      </c>
      <c r="B59854">
        <f>TEXT(59853, "[$-0E0000]yyyy-mm-dd")</f>
        <v/>
      </c>
      <c r="C59854" t="inlineStr">
        <is>
          <t>2063-09-24</t>
        </is>
      </c>
    </row>
    <row r="59855">
      <c r="A59855" s="1" t="n">
        <v>59854</v>
      </c>
      <c r="B59855">
        <f>TEXT(59854, "[$-0E0000]yyyy-mm-dd")</f>
        <v/>
      </c>
      <c r="C59855" t="inlineStr">
        <is>
          <t>2063-09-25</t>
        </is>
      </c>
    </row>
    <row r="59856">
      <c r="A59856" s="1" t="n">
        <v>59855</v>
      </c>
      <c r="B59856">
        <f>TEXT(59855, "[$-0E0000]yyyy-mm-dd")</f>
        <v/>
      </c>
      <c r="C59856" t="inlineStr">
        <is>
          <t>2063-09-26</t>
        </is>
      </c>
    </row>
    <row r="59857">
      <c r="A59857" s="1" t="n">
        <v>59856</v>
      </c>
      <c r="B59857">
        <f>TEXT(59856, "[$-0E0000]yyyy-mm-dd")</f>
        <v/>
      </c>
      <c r="C59857" t="inlineStr">
        <is>
          <t>2063-09-27</t>
        </is>
      </c>
    </row>
    <row r="59858">
      <c r="A59858" s="1" t="n">
        <v>59857</v>
      </c>
      <c r="B59858">
        <f>TEXT(59857, "[$-0E0000]yyyy-mm-dd")</f>
        <v/>
      </c>
      <c r="C59858" t="inlineStr">
        <is>
          <t>2063-09-28</t>
        </is>
      </c>
    </row>
    <row r="59859">
      <c r="A59859" s="1" t="n">
        <v>59858</v>
      </c>
      <c r="B59859">
        <f>TEXT(59858, "[$-0E0000]yyyy-mm-dd")</f>
        <v/>
      </c>
      <c r="C59859" t="inlineStr">
        <is>
          <t>2063-09-29</t>
        </is>
      </c>
    </row>
    <row r="59860">
      <c r="A59860" s="1" t="n">
        <v>59859</v>
      </c>
      <c r="B59860">
        <f>TEXT(59859, "[$-0E0000]yyyy-mm-dd")</f>
        <v/>
      </c>
      <c r="C59860" t="inlineStr">
        <is>
          <t>2063-10-01</t>
        </is>
      </c>
    </row>
    <row r="59861">
      <c r="A59861" s="1" t="n">
        <v>59860</v>
      </c>
      <c r="B59861">
        <f>TEXT(59860, "[$-0E0000]yyyy-mm-dd")</f>
        <v/>
      </c>
      <c r="C59861" t="inlineStr">
        <is>
          <t>2063-10-02</t>
        </is>
      </c>
    </row>
    <row r="59862">
      <c r="A59862" s="1" t="n">
        <v>59861</v>
      </c>
      <c r="B59862">
        <f>TEXT(59861, "[$-0E0000]yyyy-mm-dd")</f>
        <v/>
      </c>
      <c r="C59862" t="inlineStr">
        <is>
          <t>2063-10-03</t>
        </is>
      </c>
    </row>
    <row r="59863">
      <c r="A59863" s="1" t="n">
        <v>59862</v>
      </c>
      <c r="B59863">
        <f>TEXT(59862, "[$-0E0000]yyyy-mm-dd")</f>
        <v/>
      </c>
      <c r="C59863" t="inlineStr">
        <is>
          <t>2063-10-04</t>
        </is>
      </c>
    </row>
    <row r="59864">
      <c r="A59864" s="1" t="n">
        <v>59863</v>
      </c>
      <c r="B59864">
        <f>TEXT(59863, "[$-0E0000]yyyy-mm-dd")</f>
        <v/>
      </c>
      <c r="C59864" t="inlineStr">
        <is>
          <t>2063-10-05</t>
        </is>
      </c>
    </row>
    <row r="59865">
      <c r="A59865" s="1" t="n">
        <v>59864</v>
      </c>
      <c r="B59865">
        <f>TEXT(59864, "[$-0E0000]yyyy-mm-dd")</f>
        <v/>
      </c>
      <c r="C59865" t="inlineStr">
        <is>
          <t>2063-10-06</t>
        </is>
      </c>
    </row>
    <row r="59866">
      <c r="A59866" s="1" t="n">
        <v>59865</v>
      </c>
      <c r="B59866">
        <f>TEXT(59865, "[$-0E0000]yyyy-mm-dd")</f>
        <v/>
      </c>
      <c r="C59866" t="inlineStr">
        <is>
          <t>2063-10-07</t>
        </is>
      </c>
    </row>
    <row r="59867">
      <c r="A59867" s="1" t="n">
        <v>59866</v>
      </c>
      <c r="B59867">
        <f>TEXT(59866, "[$-0E0000]yyyy-mm-dd")</f>
        <v/>
      </c>
      <c r="C59867" t="inlineStr">
        <is>
          <t>2063-10-08</t>
        </is>
      </c>
    </row>
    <row r="59868">
      <c r="A59868" s="1" t="n">
        <v>59867</v>
      </c>
      <c r="B59868">
        <f>TEXT(59867, "[$-0E0000]yyyy-mm-dd")</f>
        <v/>
      </c>
      <c r="C59868" t="inlineStr">
        <is>
          <t>2063-10-09</t>
        </is>
      </c>
    </row>
    <row r="59869">
      <c r="A59869" s="1" t="n">
        <v>59868</v>
      </c>
      <c r="B59869">
        <f>TEXT(59868, "[$-0E0000]yyyy-mm-dd")</f>
        <v/>
      </c>
      <c r="C59869" t="inlineStr">
        <is>
          <t>2063-10-10</t>
        </is>
      </c>
    </row>
    <row r="59870">
      <c r="A59870" s="1" t="n">
        <v>59869</v>
      </c>
      <c r="B59870">
        <f>TEXT(59869, "[$-0E0000]yyyy-mm-dd")</f>
        <v/>
      </c>
      <c r="C59870" t="inlineStr">
        <is>
          <t>2063-10-11</t>
        </is>
      </c>
    </row>
    <row r="59871">
      <c r="A59871" s="1" t="n">
        <v>59870</v>
      </c>
      <c r="B59871">
        <f>TEXT(59870, "[$-0E0000]yyyy-mm-dd")</f>
        <v/>
      </c>
      <c r="C59871" t="inlineStr">
        <is>
          <t>2063-10-12</t>
        </is>
      </c>
    </row>
    <row r="59872">
      <c r="A59872" s="1" t="n">
        <v>59871</v>
      </c>
      <c r="B59872">
        <f>TEXT(59871, "[$-0E0000]yyyy-mm-dd")</f>
        <v/>
      </c>
      <c r="C59872" t="inlineStr">
        <is>
          <t>2063-10-13</t>
        </is>
      </c>
    </row>
    <row r="59873">
      <c r="A59873" s="1" t="n">
        <v>59872</v>
      </c>
      <c r="B59873">
        <f>TEXT(59872, "[$-0E0000]yyyy-mm-dd")</f>
        <v/>
      </c>
      <c r="C59873" t="inlineStr">
        <is>
          <t>2063-10-14</t>
        </is>
      </c>
    </row>
    <row r="59874">
      <c r="A59874" s="1" t="n">
        <v>59873</v>
      </c>
      <c r="B59874">
        <f>TEXT(59873, "[$-0E0000]yyyy-mm-dd")</f>
        <v/>
      </c>
      <c r="C59874" t="inlineStr">
        <is>
          <t>2063-10-15</t>
        </is>
      </c>
    </row>
    <row r="59875">
      <c r="A59875" s="1" t="n">
        <v>59874</v>
      </c>
      <c r="B59875">
        <f>TEXT(59874, "[$-0E0000]yyyy-mm-dd")</f>
        <v/>
      </c>
      <c r="C59875" t="inlineStr">
        <is>
          <t>2063-10-16</t>
        </is>
      </c>
    </row>
    <row r="59876">
      <c r="A59876" s="1" t="n">
        <v>59875</v>
      </c>
      <c r="B59876">
        <f>TEXT(59875, "[$-0E0000]yyyy-mm-dd")</f>
        <v/>
      </c>
      <c r="C59876" t="inlineStr">
        <is>
          <t>2063-10-17</t>
        </is>
      </c>
    </row>
    <row r="59877">
      <c r="A59877" s="1" t="n">
        <v>59876</v>
      </c>
      <c r="B59877">
        <f>TEXT(59876, "[$-0E0000]yyyy-mm-dd")</f>
        <v/>
      </c>
      <c r="C59877" t="inlineStr">
        <is>
          <t>2063-10-18</t>
        </is>
      </c>
    </row>
    <row r="59878">
      <c r="A59878" s="1" t="n">
        <v>59877</v>
      </c>
      <c r="B59878">
        <f>TEXT(59877, "[$-0E0000]yyyy-mm-dd")</f>
        <v/>
      </c>
      <c r="C59878" t="inlineStr">
        <is>
          <t>2063-10-19</t>
        </is>
      </c>
    </row>
    <row r="59879">
      <c r="A59879" s="1" t="n">
        <v>59878</v>
      </c>
      <c r="B59879">
        <f>TEXT(59878, "[$-0E0000]yyyy-mm-dd")</f>
        <v/>
      </c>
      <c r="C59879" t="inlineStr">
        <is>
          <t>2063-10-20</t>
        </is>
      </c>
    </row>
    <row r="59880">
      <c r="A59880" s="1" t="n">
        <v>59879</v>
      </c>
      <c r="B59880">
        <f>TEXT(59879, "[$-0E0000]yyyy-mm-dd")</f>
        <v/>
      </c>
      <c r="C59880" t="inlineStr">
        <is>
          <t>2063-10-21</t>
        </is>
      </c>
    </row>
    <row r="59881">
      <c r="A59881" s="1" t="n">
        <v>59880</v>
      </c>
      <c r="B59881">
        <f>TEXT(59880, "[$-0E0000]yyyy-mm-dd")</f>
        <v/>
      </c>
      <c r="C59881" t="inlineStr">
        <is>
          <t>2063-10-22</t>
        </is>
      </c>
    </row>
    <row r="59882">
      <c r="A59882" s="1" t="n">
        <v>59881</v>
      </c>
      <c r="B59882">
        <f>TEXT(59881, "[$-0E0000]yyyy-mm-dd")</f>
        <v/>
      </c>
      <c r="C59882" t="inlineStr">
        <is>
          <t>2063-10-23</t>
        </is>
      </c>
    </row>
    <row r="59883">
      <c r="A59883" s="1" t="n">
        <v>59882</v>
      </c>
      <c r="B59883">
        <f>TEXT(59882, "[$-0E0000]yyyy-mm-dd")</f>
        <v/>
      </c>
      <c r="C59883" t="inlineStr">
        <is>
          <t>2063-10-24</t>
        </is>
      </c>
    </row>
    <row r="59884">
      <c r="A59884" s="1" t="n">
        <v>59883</v>
      </c>
      <c r="B59884">
        <f>TEXT(59883, "[$-0E0000]yyyy-mm-dd")</f>
        <v/>
      </c>
      <c r="C59884" t="inlineStr">
        <is>
          <t>2063-10-25</t>
        </is>
      </c>
    </row>
    <row r="59885">
      <c r="A59885" s="1" t="n">
        <v>59884</v>
      </c>
      <c r="B59885">
        <f>TEXT(59884, "[$-0E0000]yyyy-mm-dd")</f>
        <v/>
      </c>
      <c r="C59885" t="inlineStr">
        <is>
          <t>2063-10-26</t>
        </is>
      </c>
    </row>
    <row r="59886">
      <c r="A59886" s="1" t="n">
        <v>59885</v>
      </c>
      <c r="B59886">
        <f>TEXT(59885, "[$-0E0000]yyyy-mm-dd")</f>
        <v/>
      </c>
      <c r="C59886" t="inlineStr">
        <is>
          <t>2063-10-27</t>
        </is>
      </c>
    </row>
    <row r="59887">
      <c r="A59887" s="1" t="n">
        <v>59886</v>
      </c>
      <c r="B59887">
        <f>TEXT(59886, "[$-0E0000]yyyy-mm-dd")</f>
        <v/>
      </c>
      <c r="C59887" t="inlineStr">
        <is>
          <t>2063-10-28</t>
        </is>
      </c>
    </row>
    <row r="59888">
      <c r="A59888" s="1" t="n">
        <v>59887</v>
      </c>
      <c r="B59888">
        <f>TEXT(59887, "[$-0E0000]yyyy-mm-dd")</f>
        <v/>
      </c>
      <c r="C59888" t="inlineStr">
        <is>
          <t>2063-10-29</t>
        </is>
      </c>
    </row>
    <row r="59889">
      <c r="A59889" s="1" t="n">
        <v>59888</v>
      </c>
      <c r="B59889">
        <f>TEXT(59888, "[$-0E0000]yyyy-mm-dd")</f>
        <v/>
      </c>
      <c r="C59889" t="inlineStr">
        <is>
          <t>2063-10-30</t>
        </is>
      </c>
    </row>
    <row r="59890">
      <c r="A59890" s="1" t="n">
        <v>59889</v>
      </c>
      <c r="B59890">
        <f>TEXT(59889, "[$-0E0000]yyyy-mm-dd")</f>
        <v/>
      </c>
      <c r="C59890" t="inlineStr">
        <is>
          <t>2063-11-01</t>
        </is>
      </c>
    </row>
    <row r="59891">
      <c r="A59891" s="1" t="n">
        <v>59890</v>
      </c>
      <c r="B59891">
        <f>TEXT(59890, "[$-0E0000]yyyy-mm-dd")</f>
        <v/>
      </c>
      <c r="C59891" t="inlineStr">
        <is>
          <t>2063-11-02</t>
        </is>
      </c>
    </row>
    <row r="59892">
      <c r="A59892" s="1" t="n">
        <v>59891</v>
      </c>
      <c r="B59892">
        <f>TEXT(59891, "[$-0E0000]yyyy-mm-dd")</f>
        <v/>
      </c>
      <c r="C59892" t="inlineStr">
        <is>
          <t>2063-11-03</t>
        </is>
      </c>
    </row>
    <row r="59893">
      <c r="A59893" s="1" t="n">
        <v>59892</v>
      </c>
      <c r="B59893">
        <f>TEXT(59892, "[$-0E0000]yyyy-mm-dd")</f>
        <v/>
      </c>
      <c r="C59893" t="inlineStr">
        <is>
          <t>2063-11-04</t>
        </is>
      </c>
    </row>
    <row r="59894">
      <c r="A59894" s="1" t="n">
        <v>59893</v>
      </c>
      <c r="B59894">
        <f>TEXT(59893, "[$-0E0000]yyyy-mm-dd")</f>
        <v/>
      </c>
      <c r="C59894" t="inlineStr">
        <is>
          <t>2063-11-05</t>
        </is>
      </c>
    </row>
    <row r="59895">
      <c r="A59895" s="1" t="n">
        <v>59894</v>
      </c>
      <c r="B59895">
        <f>TEXT(59894, "[$-0E0000]yyyy-mm-dd")</f>
        <v/>
      </c>
      <c r="C59895" t="inlineStr">
        <is>
          <t>2063-11-06</t>
        </is>
      </c>
    </row>
    <row r="59896">
      <c r="A59896" s="1" t="n">
        <v>59895</v>
      </c>
      <c r="B59896">
        <f>TEXT(59895, "[$-0E0000]yyyy-mm-dd")</f>
        <v/>
      </c>
      <c r="C59896" t="inlineStr">
        <is>
          <t>2063-11-07</t>
        </is>
      </c>
    </row>
    <row r="59897">
      <c r="A59897" s="1" t="n">
        <v>59896</v>
      </c>
      <c r="B59897">
        <f>TEXT(59896, "[$-0E0000]yyyy-mm-dd")</f>
        <v/>
      </c>
      <c r="C59897" t="inlineStr">
        <is>
          <t>2063-11-08</t>
        </is>
      </c>
    </row>
    <row r="59898">
      <c r="A59898" s="1" t="n">
        <v>59897</v>
      </c>
      <c r="B59898">
        <f>TEXT(59897, "[$-0E0000]yyyy-mm-dd")</f>
        <v/>
      </c>
      <c r="C59898" t="inlineStr">
        <is>
          <t>2063-11-09</t>
        </is>
      </c>
    </row>
    <row r="59899">
      <c r="A59899" s="1" t="n">
        <v>59898</v>
      </c>
      <c r="B59899">
        <f>TEXT(59898, "[$-0E0000]yyyy-mm-dd")</f>
        <v/>
      </c>
      <c r="C59899" t="inlineStr">
        <is>
          <t>2063-11-10</t>
        </is>
      </c>
    </row>
    <row r="59900">
      <c r="A59900" s="1" t="n">
        <v>59899</v>
      </c>
      <c r="B59900">
        <f>TEXT(59899, "[$-0E0000]yyyy-mm-dd")</f>
        <v/>
      </c>
      <c r="C59900" t="inlineStr">
        <is>
          <t>2063-11-11</t>
        </is>
      </c>
    </row>
    <row r="59901">
      <c r="A59901" s="1" t="n">
        <v>59900</v>
      </c>
      <c r="B59901">
        <f>TEXT(59900, "[$-0E0000]yyyy-mm-dd")</f>
        <v/>
      </c>
      <c r="C59901" t="inlineStr">
        <is>
          <t>2063-11-12</t>
        </is>
      </c>
    </row>
    <row r="59902">
      <c r="A59902" s="1" t="n">
        <v>59901</v>
      </c>
      <c r="B59902">
        <f>TEXT(59901, "[$-0E0000]yyyy-mm-dd")</f>
        <v/>
      </c>
      <c r="C59902" t="inlineStr">
        <is>
          <t>2063-11-13</t>
        </is>
      </c>
    </row>
    <row r="59903">
      <c r="A59903" s="1" t="n">
        <v>59902</v>
      </c>
      <c r="B59903">
        <f>TEXT(59902, "[$-0E0000]yyyy-mm-dd")</f>
        <v/>
      </c>
      <c r="C59903" t="inlineStr">
        <is>
          <t>2063-11-14</t>
        </is>
      </c>
    </row>
    <row r="59904">
      <c r="A59904" s="1" t="n">
        <v>59903</v>
      </c>
      <c r="B59904">
        <f>TEXT(59903, "[$-0E0000]yyyy-mm-dd")</f>
        <v/>
      </c>
      <c r="C59904" t="inlineStr">
        <is>
          <t>2063-11-15</t>
        </is>
      </c>
    </row>
    <row r="59905">
      <c r="A59905" s="1" t="n">
        <v>59904</v>
      </c>
      <c r="B59905">
        <f>TEXT(59904, "[$-0E0000]yyyy-mm-dd")</f>
        <v/>
      </c>
      <c r="C59905" t="inlineStr">
        <is>
          <t>2063-11-16</t>
        </is>
      </c>
    </row>
    <row r="59906">
      <c r="A59906" s="1" t="n">
        <v>59905</v>
      </c>
      <c r="B59906">
        <f>TEXT(59905, "[$-0E0000]yyyy-mm-dd")</f>
        <v/>
      </c>
      <c r="C59906" t="inlineStr">
        <is>
          <t>2063-11-17</t>
        </is>
      </c>
    </row>
    <row r="59907">
      <c r="A59907" s="1" t="n">
        <v>59906</v>
      </c>
      <c r="B59907">
        <f>TEXT(59906, "[$-0E0000]yyyy-mm-dd")</f>
        <v/>
      </c>
      <c r="C59907" t="inlineStr">
        <is>
          <t>2063-11-18</t>
        </is>
      </c>
    </row>
    <row r="59908">
      <c r="A59908" s="1" t="n">
        <v>59907</v>
      </c>
      <c r="B59908">
        <f>TEXT(59907, "[$-0E0000]yyyy-mm-dd")</f>
        <v/>
      </c>
      <c r="C59908" t="inlineStr">
        <is>
          <t>2063-11-19</t>
        </is>
      </c>
    </row>
    <row r="59909">
      <c r="A59909" s="1" t="n">
        <v>59908</v>
      </c>
      <c r="B59909">
        <f>TEXT(59908, "[$-0E0000]yyyy-mm-dd")</f>
        <v/>
      </c>
      <c r="C59909" t="inlineStr">
        <is>
          <t>2063-11-20</t>
        </is>
      </c>
    </row>
    <row r="59910">
      <c r="A59910" s="1" t="n">
        <v>59909</v>
      </c>
      <c r="B59910">
        <f>TEXT(59909, "[$-0E0000]yyyy-mm-dd")</f>
        <v/>
      </c>
      <c r="C59910" t="inlineStr">
        <is>
          <t>2063-11-21</t>
        </is>
      </c>
    </row>
    <row r="59911">
      <c r="A59911" s="1" t="n">
        <v>59910</v>
      </c>
      <c r="B59911">
        <f>TEXT(59910, "[$-0E0000]yyyy-mm-dd")</f>
        <v/>
      </c>
      <c r="C59911" t="inlineStr">
        <is>
          <t>2063-11-22</t>
        </is>
      </c>
    </row>
    <row r="59912">
      <c r="A59912" s="1" t="n">
        <v>59911</v>
      </c>
      <c r="B59912">
        <f>TEXT(59911, "[$-0E0000]yyyy-mm-dd")</f>
        <v/>
      </c>
      <c r="C59912" t="inlineStr">
        <is>
          <t>2063-11-23</t>
        </is>
      </c>
    </row>
    <row r="59913">
      <c r="A59913" s="1" t="n">
        <v>59912</v>
      </c>
      <c r="B59913">
        <f>TEXT(59912, "[$-0E0000]yyyy-mm-dd")</f>
        <v/>
      </c>
      <c r="C59913" t="inlineStr">
        <is>
          <t>2063-11-24</t>
        </is>
      </c>
    </row>
    <row r="59914">
      <c r="A59914" s="1" t="n">
        <v>59913</v>
      </c>
      <c r="B59914">
        <f>TEXT(59913, "[$-0E0000]yyyy-mm-dd")</f>
        <v/>
      </c>
      <c r="C59914" t="inlineStr">
        <is>
          <t>2063-11-25</t>
        </is>
      </c>
    </row>
    <row r="59915">
      <c r="A59915" s="1" t="n">
        <v>59914</v>
      </c>
      <c r="B59915">
        <f>TEXT(59914, "[$-0E0000]yyyy-mm-dd")</f>
        <v/>
      </c>
      <c r="C59915" t="inlineStr">
        <is>
          <t>2063-11-26</t>
        </is>
      </c>
    </row>
    <row r="59916">
      <c r="A59916" s="1" t="n">
        <v>59915</v>
      </c>
      <c r="B59916">
        <f>TEXT(59915, "[$-0E0000]yyyy-mm-dd")</f>
        <v/>
      </c>
      <c r="C59916" t="inlineStr">
        <is>
          <t>2063-11-27</t>
        </is>
      </c>
    </row>
    <row r="59917">
      <c r="A59917" s="1" t="n">
        <v>59916</v>
      </c>
      <c r="B59917">
        <f>TEXT(59916, "[$-0E0000]yyyy-mm-dd")</f>
        <v/>
      </c>
      <c r="C59917" t="inlineStr">
        <is>
          <t>2063-11-28</t>
        </is>
      </c>
    </row>
    <row r="59918">
      <c r="A59918" s="1" t="n">
        <v>59917</v>
      </c>
      <c r="B59918">
        <f>TEXT(59917, "[$-0E0000]yyyy-mm-dd")</f>
        <v/>
      </c>
      <c r="C59918" t="inlineStr">
        <is>
          <t>2063-11-29</t>
        </is>
      </c>
    </row>
    <row r="59919">
      <c r="A59919" s="1" t="n">
        <v>59918</v>
      </c>
      <c r="B59919">
        <f>TEXT(59918, "[$-0E0000]yyyy-mm-dd")</f>
        <v/>
      </c>
      <c r="C59919" t="inlineStr">
        <is>
          <t>2063-12-01</t>
        </is>
      </c>
    </row>
    <row r="59920">
      <c r="A59920" s="1" t="n">
        <v>59919</v>
      </c>
      <c r="B59920">
        <f>TEXT(59919, "[$-0E0000]yyyy-mm-dd")</f>
        <v/>
      </c>
      <c r="C59920" t="inlineStr">
        <is>
          <t>2063-12-02</t>
        </is>
      </c>
    </row>
    <row r="59921">
      <c r="A59921" s="1" t="n">
        <v>59920</v>
      </c>
      <c r="B59921">
        <f>TEXT(59920, "[$-0E0000]yyyy-mm-dd")</f>
        <v/>
      </c>
      <c r="C59921" t="inlineStr">
        <is>
          <t>2063-12-03</t>
        </is>
      </c>
    </row>
    <row r="59922">
      <c r="A59922" s="1" t="n">
        <v>59921</v>
      </c>
      <c r="B59922">
        <f>TEXT(59921, "[$-0E0000]yyyy-mm-dd")</f>
        <v/>
      </c>
      <c r="C59922" t="inlineStr">
        <is>
          <t>2063-12-04</t>
        </is>
      </c>
    </row>
    <row r="59923">
      <c r="A59923" s="1" t="n">
        <v>59922</v>
      </c>
      <c r="B59923">
        <f>TEXT(59922, "[$-0E0000]yyyy-mm-dd")</f>
        <v/>
      </c>
      <c r="C59923" t="inlineStr">
        <is>
          <t>2063-12-05</t>
        </is>
      </c>
    </row>
    <row r="59924">
      <c r="A59924" s="1" t="n">
        <v>59923</v>
      </c>
      <c r="B59924">
        <f>TEXT(59923, "[$-0E0000]yyyy-mm-dd")</f>
        <v/>
      </c>
      <c r="C59924" t="inlineStr">
        <is>
          <t>2063-12-06</t>
        </is>
      </c>
    </row>
    <row r="59925">
      <c r="A59925" s="1" t="n">
        <v>59924</v>
      </c>
      <c r="B59925">
        <f>TEXT(59924, "[$-0E0000]yyyy-mm-dd")</f>
        <v/>
      </c>
      <c r="C59925" t="inlineStr">
        <is>
          <t>2063-12-07</t>
        </is>
      </c>
    </row>
    <row r="59926">
      <c r="A59926" s="1" t="n">
        <v>59925</v>
      </c>
      <c r="B59926">
        <f>TEXT(59925, "[$-0E0000]yyyy-mm-dd")</f>
        <v/>
      </c>
      <c r="C59926" t="inlineStr">
        <is>
          <t>2063-12-08</t>
        </is>
      </c>
    </row>
    <row r="59927">
      <c r="A59927" s="1" t="n">
        <v>59926</v>
      </c>
      <c r="B59927">
        <f>TEXT(59926, "[$-0E0000]yyyy-mm-dd")</f>
        <v/>
      </c>
      <c r="C59927" t="inlineStr">
        <is>
          <t>2063-12-09</t>
        </is>
      </c>
    </row>
    <row r="59928">
      <c r="A59928" s="1" t="n">
        <v>59927</v>
      </c>
      <c r="B59928">
        <f>TEXT(59927, "[$-0E0000]yyyy-mm-dd")</f>
        <v/>
      </c>
      <c r="C59928" t="inlineStr">
        <is>
          <t>2063-12-10</t>
        </is>
      </c>
    </row>
    <row r="59929">
      <c r="A59929" s="1" t="n">
        <v>59928</v>
      </c>
      <c r="B59929">
        <f>TEXT(59928, "[$-0E0000]yyyy-mm-dd")</f>
        <v/>
      </c>
      <c r="C59929" t="inlineStr">
        <is>
          <t>2063-12-11</t>
        </is>
      </c>
    </row>
    <row r="59930">
      <c r="A59930" s="1" t="n">
        <v>59929</v>
      </c>
      <c r="B59930">
        <f>TEXT(59929, "[$-0E0000]yyyy-mm-dd")</f>
        <v/>
      </c>
      <c r="C59930" t="inlineStr">
        <is>
          <t>2063-12-12</t>
        </is>
      </c>
    </row>
    <row r="59931">
      <c r="A59931" s="1" t="n">
        <v>59930</v>
      </c>
      <c r="B59931">
        <f>TEXT(59930, "[$-0E0000]yyyy-mm-dd")</f>
        <v/>
      </c>
      <c r="C59931" t="inlineStr">
        <is>
          <t>2063-12-13</t>
        </is>
      </c>
    </row>
    <row r="59932">
      <c r="A59932" s="1" t="n">
        <v>59931</v>
      </c>
      <c r="B59932">
        <f>TEXT(59931, "[$-0E0000]yyyy-mm-dd")</f>
        <v/>
      </c>
      <c r="C59932" t="inlineStr">
        <is>
          <t>2063-12-14</t>
        </is>
      </c>
    </row>
    <row r="59933">
      <c r="A59933" s="1" t="n">
        <v>59932</v>
      </c>
      <c r="B59933">
        <f>TEXT(59932, "[$-0E0000]yyyy-mm-dd")</f>
        <v/>
      </c>
      <c r="C59933" t="inlineStr">
        <is>
          <t>2063-12-15</t>
        </is>
      </c>
    </row>
    <row r="59934">
      <c r="A59934" s="1" t="n">
        <v>59933</v>
      </c>
      <c r="B59934">
        <f>TEXT(59933, "[$-0E0000]yyyy-mm-dd")</f>
        <v/>
      </c>
      <c r="C59934" t="inlineStr">
        <is>
          <t>2063-12-16</t>
        </is>
      </c>
    </row>
    <row r="59935">
      <c r="A59935" s="1" t="n">
        <v>59934</v>
      </c>
      <c r="B59935">
        <f>TEXT(59934, "[$-0E0000]yyyy-mm-dd")</f>
        <v/>
      </c>
      <c r="C59935" t="inlineStr">
        <is>
          <t>2063-12-17</t>
        </is>
      </c>
    </row>
    <row r="59936">
      <c r="A59936" s="1" t="n">
        <v>59935</v>
      </c>
      <c r="B59936">
        <f>TEXT(59935, "[$-0E0000]yyyy-mm-dd")</f>
        <v/>
      </c>
      <c r="C59936" t="inlineStr">
        <is>
          <t>2063-12-18</t>
        </is>
      </c>
    </row>
    <row r="59937">
      <c r="A59937" s="1" t="n">
        <v>59936</v>
      </c>
      <c r="B59937">
        <f>TEXT(59936, "[$-0E0000]yyyy-mm-dd")</f>
        <v/>
      </c>
      <c r="C59937" t="inlineStr">
        <is>
          <t>2063-12-19</t>
        </is>
      </c>
    </row>
    <row r="59938">
      <c r="A59938" s="1" t="n">
        <v>59937</v>
      </c>
      <c r="B59938">
        <f>TEXT(59937, "[$-0E0000]yyyy-mm-dd")</f>
        <v/>
      </c>
      <c r="C59938" t="inlineStr">
        <is>
          <t>2063-12-20</t>
        </is>
      </c>
    </row>
    <row r="59939">
      <c r="A59939" s="1" t="n">
        <v>59938</v>
      </c>
      <c r="B59939">
        <f>TEXT(59938, "[$-0E0000]yyyy-mm-dd")</f>
        <v/>
      </c>
      <c r="C59939" t="inlineStr">
        <is>
          <t>2063-12-21</t>
        </is>
      </c>
    </row>
    <row r="59940">
      <c r="A59940" s="1" t="n">
        <v>59939</v>
      </c>
      <c r="B59940">
        <f>TEXT(59939, "[$-0E0000]yyyy-mm-dd")</f>
        <v/>
      </c>
      <c r="C59940" t="inlineStr">
        <is>
          <t>2063-12-22</t>
        </is>
      </c>
    </row>
    <row r="59941">
      <c r="A59941" s="1" t="n">
        <v>59940</v>
      </c>
      <c r="B59941">
        <f>TEXT(59940, "[$-0E0000]yyyy-mm-dd")</f>
        <v/>
      </c>
      <c r="C59941" t="inlineStr">
        <is>
          <t>2063-12-23</t>
        </is>
      </c>
    </row>
    <row r="59942">
      <c r="A59942" s="1" t="n">
        <v>59941</v>
      </c>
      <c r="B59942">
        <f>TEXT(59941, "[$-0E0000]yyyy-mm-dd")</f>
        <v/>
      </c>
      <c r="C59942" t="inlineStr">
        <is>
          <t>2063-12-24</t>
        </is>
      </c>
    </row>
    <row r="59943">
      <c r="A59943" s="1" t="n">
        <v>59942</v>
      </c>
      <c r="B59943">
        <f>TEXT(59942, "[$-0E0000]yyyy-mm-dd")</f>
        <v/>
      </c>
      <c r="C59943" t="inlineStr">
        <is>
          <t>2063-12-25</t>
        </is>
      </c>
    </row>
    <row r="59944">
      <c r="A59944" s="1" t="n">
        <v>59943</v>
      </c>
      <c r="B59944">
        <f>TEXT(59943, "[$-0E0000]yyyy-mm-dd")</f>
        <v/>
      </c>
      <c r="C59944" t="inlineStr">
        <is>
          <t>2063-12-26</t>
        </is>
      </c>
    </row>
    <row r="59945">
      <c r="A59945" s="1" t="n">
        <v>59944</v>
      </c>
      <c r="B59945">
        <f>TEXT(59944, "[$-0E0000]yyyy-mm-dd")</f>
        <v/>
      </c>
      <c r="C59945" t="inlineStr">
        <is>
          <t>2063-12-27</t>
        </is>
      </c>
    </row>
    <row r="59946">
      <c r="A59946" s="1" t="n">
        <v>59945</v>
      </c>
      <c r="B59946">
        <f>TEXT(59945, "[$-0E0000]yyyy-mm-dd")</f>
        <v/>
      </c>
      <c r="C59946" t="inlineStr">
        <is>
          <t>2063-12-28</t>
        </is>
      </c>
    </row>
    <row r="59947">
      <c r="A59947" s="1" t="n">
        <v>59946</v>
      </c>
      <c r="B59947">
        <f>TEXT(59946, "[$-0E0000]yyyy-mm-dd")</f>
        <v/>
      </c>
      <c r="C59947" t="inlineStr">
        <is>
          <t>2063-12-29</t>
        </is>
      </c>
    </row>
    <row r="59948">
      <c r="A59948" s="1" t="n">
        <v>59947</v>
      </c>
      <c r="B59948">
        <f>TEXT(59947, "[$-0E0000]yyyy-mm-dd")</f>
        <v/>
      </c>
      <c r="C59948" t="inlineStr">
        <is>
          <t>2063-12-30</t>
        </is>
      </c>
    </row>
    <row r="59949">
      <c r="A59949" s="1" t="n">
        <v>59948</v>
      </c>
      <c r="B59949">
        <f>TEXT(59948, "[$-0E0000]yyyy-mm-dd")</f>
        <v/>
      </c>
      <c r="C59949" t="inlineStr">
        <is>
          <t>2064-01-01</t>
        </is>
      </c>
    </row>
    <row r="59950">
      <c r="A59950" s="1" t="n">
        <v>59949</v>
      </c>
      <c r="B59950">
        <f>TEXT(59949, "[$-0E0000]yyyy-mm-dd")</f>
        <v/>
      </c>
      <c r="C59950" t="inlineStr">
        <is>
          <t>2064-01-02</t>
        </is>
      </c>
    </row>
    <row r="59951">
      <c r="A59951" s="1" t="n">
        <v>59950</v>
      </c>
      <c r="B59951">
        <f>TEXT(59950, "[$-0E0000]yyyy-mm-dd")</f>
        <v/>
      </c>
      <c r="C59951" t="inlineStr">
        <is>
          <t>2064-01-03</t>
        </is>
      </c>
    </row>
    <row r="59952">
      <c r="A59952" s="1" t="n">
        <v>59951</v>
      </c>
      <c r="B59952">
        <f>TEXT(59951, "[$-0E0000]yyyy-mm-dd")</f>
        <v/>
      </c>
      <c r="C59952" t="inlineStr">
        <is>
          <t>2064-01-04</t>
        </is>
      </c>
    </row>
    <row r="59953">
      <c r="A59953" s="1" t="n">
        <v>59952</v>
      </c>
      <c r="B59953">
        <f>TEXT(59952, "[$-0E0000]yyyy-mm-dd")</f>
        <v/>
      </c>
      <c r="C59953" t="inlineStr">
        <is>
          <t>2064-01-05</t>
        </is>
      </c>
    </row>
    <row r="59954">
      <c r="A59954" s="1" t="n">
        <v>59953</v>
      </c>
      <c r="B59954">
        <f>TEXT(59953, "[$-0E0000]yyyy-mm-dd")</f>
        <v/>
      </c>
      <c r="C59954" t="inlineStr">
        <is>
          <t>2064-01-06</t>
        </is>
      </c>
    </row>
    <row r="59955">
      <c r="A59955" s="1" t="n">
        <v>59954</v>
      </c>
      <c r="B59955">
        <f>TEXT(59954, "[$-0E0000]yyyy-mm-dd")</f>
        <v/>
      </c>
      <c r="C59955" t="inlineStr">
        <is>
          <t>2064-01-07</t>
        </is>
      </c>
    </row>
    <row r="59956">
      <c r="A59956" s="1" t="n">
        <v>59955</v>
      </c>
      <c r="B59956">
        <f>TEXT(59955, "[$-0E0000]yyyy-mm-dd")</f>
        <v/>
      </c>
      <c r="C59956" t="inlineStr">
        <is>
          <t>2064-01-08</t>
        </is>
      </c>
    </row>
    <row r="59957">
      <c r="A59957" s="1" t="n">
        <v>59956</v>
      </c>
      <c r="B59957">
        <f>TEXT(59956, "[$-0E0000]yyyy-mm-dd")</f>
        <v/>
      </c>
      <c r="C59957" t="inlineStr">
        <is>
          <t>2064-01-09</t>
        </is>
      </c>
    </row>
    <row r="59958">
      <c r="A59958" s="1" t="n">
        <v>59957</v>
      </c>
      <c r="B59958">
        <f>TEXT(59957, "[$-0E0000]yyyy-mm-dd")</f>
        <v/>
      </c>
      <c r="C59958" t="inlineStr">
        <is>
          <t>2064-01-10</t>
        </is>
      </c>
    </row>
    <row r="59959">
      <c r="A59959" s="1" t="n">
        <v>59958</v>
      </c>
      <c r="B59959">
        <f>TEXT(59958, "[$-0E0000]yyyy-mm-dd")</f>
        <v/>
      </c>
      <c r="C59959" t="inlineStr">
        <is>
          <t>2064-01-11</t>
        </is>
      </c>
    </row>
    <row r="59960">
      <c r="A59960" s="1" t="n">
        <v>59959</v>
      </c>
      <c r="B59960">
        <f>TEXT(59959, "[$-0E0000]yyyy-mm-dd")</f>
        <v/>
      </c>
      <c r="C59960" t="inlineStr">
        <is>
          <t>2064-01-12</t>
        </is>
      </c>
    </row>
    <row r="59961">
      <c r="A59961" s="1" t="n">
        <v>59960</v>
      </c>
      <c r="B59961">
        <f>TEXT(59960, "[$-0E0000]yyyy-mm-dd")</f>
        <v/>
      </c>
      <c r="C59961" t="inlineStr">
        <is>
          <t>2064-01-13</t>
        </is>
      </c>
    </row>
    <row r="59962">
      <c r="A59962" s="1" t="n">
        <v>59961</v>
      </c>
      <c r="B59962">
        <f>TEXT(59961, "[$-0E0000]yyyy-mm-dd")</f>
        <v/>
      </c>
      <c r="C59962" t="inlineStr">
        <is>
          <t>2064-01-14</t>
        </is>
      </c>
    </row>
    <row r="59963">
      <c r="A59963" s="1" t="n">
        <v>59962</v>
      </c>
      <c r="B59963">
        <f>TEXT(59962, "[$-0E0000]yyyy-mm-dd")</f>
        <v/>
      </c>
      <c r="C59963" t="inlineStr">
        <is>
          <t>2064-01-15</t>
        </is>
      </c>
    </row>
    <row r="59964">
      <c r="A59964" s="1" t="n">
        <v>59963</v>
      </c>
      <c r="B59964">
        <f>TEXT(59963, "[$-0E0000]yyyy-mm-dd")</f>
        <v/>
      </c>
      <c r="C59964" t="inlineStr">
        <is>
          <t>2064-01-16</t>
        </is>
      </c>
    </row>
    <row r="59965">
      <c r="A59965" s="1" t="n">
        <v>59964</v>
      </c>
      <c r="B59965">
        <f>TEXT(59964, "[$-0E0000]yyyy-mm-dd")</f>
        <v/>
      </c>
      <c r="C59965" t="inlineStr">
        <is>
          <t>2064-01-17</t>
        </is>
      </c>
    </row>
    <row r="59966">
      <c r="A59966" s="1" t="n">
        <v>59965</v>
      </c>
      <c r="B59966">
        <f>TEXT(59965, "[$-0E0000]yyyy-mm-dd")</f>
        <v/>
      </c>
      <c r="C59966" t="inlineStr">
        <is>
          <t>2064-01-18</t>
        </is>
      </c>
    </row>
    <row r="59967">
      <c r="A59967" s="1" t="n">
        <v>59966</v>
      </c>
      <c r="B59967">
        <f>TEXT(59966, "[$-0E0000]yyyy-mm-dd")</f>
        <v/>
      </c>
      <c r="C59967" t="inlineStr">
        <is>
          <t>2064-01-19</t>
        </is>
      </c>
    </row>
    <row r="59968">
      <c r="A59968" s="1" t="n">
        <v>59967</v>
      </c>
      <c r="B59968">
        <f>TEXT(59967, "[$-0E0000]yyyy-mm-dd")</f>
        <v/>
      </c>
      <c r="C59968" t="inlineStr">
        <is>
          <t>2064-01-20</t>
        </is>
      </c>
    </row>
    <row r="59969">
      <c r="A59969" s="1" t="n">
        <v>59968</v>
      </c>
      <c r="B59969">
        <f>TEXT(59968, "[$-0E0000]yyyy-mm-dd")</f>
        <v/>
      </c>
      <c r="C59969" t="inlineStr">
        <is>
          <t>2064-01-21</t>
        </is>
      </c>
    </row>
    <row r="59970">
      <c r="A59970" s="1" t="n">
        <v>59969</v>
      </c>
      <c r="B59970">
        <f>TEXT(59969, "[$-0E0000]yyyy-mm-dd")</f>
        <v/>
      </c>
      <c r="C59970" t="inlineStr">
        <is>
          <t>2064-01-22</t>
        </is>
      </c>
    </row>
    <row r="59971">
      <c r="A59971" s="1" t="n">
        <v>59970</v>
      </c>
      <c r="B59971">
        <f>TEXT(59970, "[$-0E0000]yyyy-mm-dd")</f>
        <v/>
      </c>
      <c r="C59971" t="inlineStr">
        <is>
          <t>2064-01-23</t>
        </is>
      </c>
    </row>
    <row r="59972">
      <c r="A59972" s="1" t="n">
        <v>59971</v>
      </c>
      <c r="B59972">
        <f>TEXT(59971, "[$-0E0000]yyyy-mm-dd")</f>
        <v/>
      </c>
      <c r="C59972" t="inlineStr">
        <is>
          <t>2064-01-24</t>
        </is>
      </c>
    </row>
    <row r="59973">
      <c r="A59973" s="1" t="n">
        <v>59972</v>
      </c>
      <c r="B59973">
        <f>TEXT(59972, "[$-0E0000]yyyy-mm-dd")</f>
        <v/>
      </c>
      <c r="C59973" t="inlineStr">
        <is>
          <t>2064-01-25</t>
        </is>
      </c>
    </row>
    <row r="59974">
      <c r="A59974" s="1" t="n">
        <v>59973</v>
      </c>
      <c r="B59974">
        <f>TEXT(59973, "[$-0E0000]yyyy-mm-dd")</f>
        <v/>
      </c>
      <c r="C59974" t="inlineStr">
        <is>
          <t>2064-01-26</t>
        </is>
      </c>
    </row>
    <row r="59975">
      <c r="A59975" s="1" t="n">
        <v>59974</v>
      </c>
      <c r="B59975">
        <f>TEXT(59974, "[$-0E0000]yyyy-mm-dd")</f>
        <v/>
      </c>
      <c r="C59975" t="inlineStr">
        <is>
          <t>2064-01-27</t>
        </is>
      </c>
    </row>
    <row r="59976">
      <c r="A59976" s="1" t="n">
        <v>59975</v>
      </c>
      <c r="B59976">
        <f>TEXT(59975, "[$-0E0000]yyyy-mm-dd")</f>
        <v/>
      </c>
      <c r="C59976" t="inlineStr">
        <is>
          <t>2064-01-28</t>
        </is>
      </c>
    </row>
    <row r="59977">
      <c r="A59977" s="1" t="n">
        <v>59976</v>
      </c>
      <c r="B59977">
        <f>TEXT(59976, "[$-0E0000]yyyy-mm-dd")</f>
        <v/>
      </c>
      <c r="C59977" t="inlineStr">
        <is>
          <t>2064-01-29</t>
        </is>
      </c>
    </row>
    <row r="59978">
      <c r="A59978" s="1" t="n">
        <v>59977</v>
      </c>
      <c r="B59978">
        <f>TEXT(59977, "[$-0E0000]yyyy-mm-dd")</f>
        <v/>
      </c>
      <c r="C59978" t="inlineStr">
        <is>
          <t>2064-01-30</t>
        </is>
      </c>
    </row>
    <row r="59979">
      <c r="A59979" s="1" t="n">
        <v>59978</v>
      </c>
      <c r="B59979">
        <f>TEXT(59978, "[$-0E0000]yyyy-mm-dd")</f>
        <v/>
      </c>
      <c r="C59979" t="inlineStr">
        <is>
          <t>2064-02-01</t>
        </is>
      </c>
    </row>
    <row r="59980">
      <c r="A59980" s="1" t="n">
        <v>59979</v>
      </c>
      <c r="B59980">
        <f>TEXT(59979, "[$-0E0000]yyyy-mm-dd")</f>
        <v/>
      </c>
      <c r="C59980" t="inlineStr">
        <is>
          <t>2064-02-02</t>
        </is>
      </c>
    </row>
    <row r="59981">
      <c r="A59981" s="1" t="n">
        <v>59980</v>
      </c>
      <c r="B59981">
        <f>TEXT(59980, "[$-0E0000]yyyy-mm-dd")</f>
        <v/>
      </c>
      <c r="C59981" t="inlineStr">
        <is>
          <t>2064-02-03</t>
        </is>
      </c>
    </row>
    <row r="59982">
      <c r="A59982" s="1" t="n">
        <v>59981</v>
      </c>
      <c r="B59982">
        <f>TEXT(59981, "[$-0E0000]yyyy-mm-dd")</f>
        <v/>
      </c>
      <c r="C59982" t="inlineStr">
        <is>
          <t>2064-02-04</t>
        </is>
      </c>
    </row>
    <row r="59983">
      <c r="A59983" s="1" t="n">
        <v>59982</v>
      </c>
      <c r="B59983">
        <f>TEXT(59982, "[$-0E0000]yyyy-mm-dd")</f>
        <v/>
      </c>
      <c r="C59983" t="inlineStr">
        <is>
          <t>2064-02-05</t>
        </is>
      </c>
    </row>
    <row r="59984">
      <c r="A59984" s="1" t="n">
        <v>59983</v>
      </c>
      <c r="B59984">
        <f>TEXT(59983, "[$-0E0000]yyyy-mm-dd")</f>
        <v/>
      </c>
      <c r="C59984" t="inlineStr">
        <is>
          <t>2064-02-06</t>
        </is>
      </c>
    </row>
    <row r="59985">
      <c r="A59985" s="1" t="n">
        <v>59984</v>
      </c>
      <c r="B59985">
        <f>TEXT(59984, "[$-0E0000]yyyy-mm-dd")</f>
        <v/>
      </c>
      <c r="C59985" t="inlineStr">
        <is>
          <t>2064-02-07</t>
        </is>
      </c>
    </row>
    <row r="59986">
      <c r="A59986" s="1" t="n">
        <v>59985</v>
      </c>
      <c r="B59986">
        <f>TEXT(59985, "[$-0E0000]yyyy-mm-dd")</f>
        <v/>
      </c>
      <c r="C59986" t="inlineStr">
        <is>
          <t>2064-02-08</t>
        </is>
      </c>
    </row>
    <row r="59987">
      <c r="A59987" s="1" t="n">
        <v>59986</v>
      </c>
      <c r="B59987">
        <f>TEXT(59986, "[$-0E0000]yyyy-mm-dd")</f>
        <v/>
      </c>
      <c r="C59987" t="inlineStr">
        <is>
          <t>2064-02-09</t>
        </is>
      </c>
    </row>
    <row r="59988">
      <c r="A59988" s="1" t="n">
        <v>59987</v>
      </c>
      <c r="B59988">
        <f>TEXT(59987, "[$-0E0000]yyyy-mm-dd")</f>
        <v/>
      </c>
      <c r="C59988" t="inlineStr">
        <is>
          <t>2064-02-10</t>
        </is>
      </c>
    </row>
    <row r="59989">
      <c r="A59989" s="1" t="n">
        <v>59988</v>
      </c>
      <c r="B59989">
        <f>TEXT(59988, "[$-0E0000]yyyy-mm-dd")</f>
        <v/>
      </c>
      <c r="C59989" t="inlineStr">
        <is>
          <t>2064-02-11</t>
        </is>
      </c>
    </row>
    <row r="59990">
      <c r="A59990" s="1" t="n">
        <v>59989</v>
      </c>
      <c r="B59990">
        <f>TEXT(59989, "[$-0E0000]yyyy-mm-dd")</f>
        <v/>
      </c>
      <c r="C59990" t="inlineStr">
        <is>
          <t>2064-02-12</t>
        </is>
      </c>
    </row>
    <row r="59991">
      <c r="A59991" s="1" t="n">
        <v>59990</v>
      </c>
      <c r="B59991">
        <f>TEXT(59990, "[$-0E0000]yyyy-mm-dd")</f>
        <v/>
      </c>
      <c r="C59991" t="inlineStr">
        <is>
          <t>2064-02-13</t>
        </is>
      </c>
    </row>
    <row r="59992">
      <c r="A59992" s="1" t="n">
        <v>59991</v>
      </c>
      <c r="B59992">
        <f>TEXT(59991, "[$-0E0000]yyyy-mm-dd")</f>
        <v/>
      </c>
      <c r="C59992" t="inlineStr">
        <is>
          <t>2064-02-14</t>
        </is>
      </c>
    </row>
    <row r="59993">
      <c r="A59993" s="1" t="n">
        <v>59992</v>
      </c>
      <c r="B59993">
        <f>TEXT(59992, "[$-0E0000]yyyy-mm-dd")</f>
        <v/>
      </c>
      <c r="C59993" t="inlineStr">
        <is>
          <t>2064-02-15</t>
        </is>
      </c>
    </row>
    <row r="59994">
      <c r="A59994" s="1" t="n">
        <v>59993</v>
      </c>
      <c r="B59994">
        <f>TEXT(59993, "[$-0E0000]yyyy-mm-dd")</f>
        <v/>
      </c>
      <c r="C59994" t="inlineStr">
        <is>
          <t>2064-02-16</t>
        </is>
      </c>
    </row>
    <row r="59995">
      <c r="A59995" s="1" t="n">
        <v>59994</v>
      </c>
      <c r="B59995">
        <f>TEXT(59994, "[$-0E0000]yyyy-mm-dd")</f>
        <v/>
      </c>
      <c r="C59995" t="inlineStr">
        <is>
          <t>2064-02-17</t>
        </is>
      </c>
    </row>
    <row r="59996">
      <c r="A59996" s="1" t="n">
        <v>59995</v>
      </c>
      <c r="B59996">
        <f>TEXT(59995, "[$-0E0000]yyyy-mm-dd")</f>
        <v/>
      </c>
      <c r="C59996" t="inlineStr">
        <is>
          <t>2064-02-18</t>
        </is>
      </c>
    </row>
    <row r="59997">
      <c r="A59997" s="1" t="n">
        <v>59996</v>
      </c>
      <c r="B59997">
        <f>TEXT(59996, "[$-0E0000]yyyy-mm-dd")</f>
        <v/>
      </c>
      <c r="C59997" t="inlineStr">
        <is>
          <t>2064-02-19</t>
        </is>
      </c>
    </row>
    <row r="59998">
      <c r="A59998" s="1" t="n">
        <v>59997</v>
      </c>
      <c r="B59998">
        <f>TEXT(59997, "[$-0E0000]yyyy-mm-dd")</f>
        <v/>
      </c>
      <c r="C59998" t="inlineStr">
        <is>
          <t>2064-02-20</t>
        </is>
      </c>
    </row>
    <row r="59999">
      <c r="A59999" s="1" t="n">
        <v>59998</v>
      </c>
      <c r="B59999">
        <f>TEXT(59998, "[$-0E0000]yyyy-mm-dd")</f>
        <v/>
      </c>
      <c r="C59999" t="inlineStr">
        <is>
          <t>2064-02-21</t>
        </is>
      </c>
    </row>
    <row r="60000">
      <c r="A60000" s="1" t="n">
        <v>59999</v>
      </c>
      <c r="B60000">
        <f>TEXT(59999, "[$-0E0000]yyyy-mm-dd")</f>
        <v/>
      </c>
      <c r="C60000" t="inlineStr">
        <is>
          <t>2064-02-22</t>
        </is>
      </c>
    </row>
    <row r="60001">
      <c r="A60001" s="1" t="n">
        <v>60000</v>
      </c>
      <c r="B60001">
        <f>TEXT(60000, "[$-0E0000]yyyy-mm-dd")</f>
        <v/>
      </c>
      <c r="C60001" t="inlineStr">
        <is>
          <t>2064-02-23</t>
        </is>
      </c>
    </row>
    <row r="60002">
      <c r="A60002" s="1" t="n">
        <v>60001</v>
      </c>
      <c r="B60002">
        <f>TEXT(60001, "[$-0E0000]yyyy-mm-dd")</f>
        <v/>
      </c>
      <c r="C60002" t="inlineStr">
        <is>
          <t>2064-02-24</t>
        </is>
      </c>
    </row>
    <row r="60003">
      <c r="A60003" s="1" t="n">
        <v>60002</v>
      </c>
      <c r="B60003">
        <f>TEXT(60002, "[$-0E0000]yyyy-mm-dd")</f>
        <v/>
      </c>
      <c r="C60003" t="inlineStr">
        <is>
          <t>2064-02-25</t>
        </is>
      </c>
    </row>
    <row r="60004">
      <c r="A60004" s="1" t="n">
        <v>60003</v>
      </c>
      <c r="B60004">
        <f>TEXT(60003, "[$-0E0000]yyyy-mm-dd")</f>
        <v/>
      </c>
      <c r="C60004" t="inlineStr">
        <is>
          <t>2064-02-26</t>
        </is>
      </c>
    </row>
    <row r="60005">
      <c r="A60005" s="1" t="n">
        <v>60004</v>
      </c>
      <c r="B60005">
        <f>TEXT(60004, "[$-0E0000]yyyy-mm-dd")</f>
        <v/>
      </c>
      <c r="C60005" t="inlineStr">
        <is>
          <t>2064-02-27</t>
        </is>
      </c>
    </row>
    <row r="60006">
      <c r="A60006" s="1" t="n">
        <v>60005</v>
      </c>
      <c r="B60006">
        <f>TEXT(60005, "[$-0E0000]yyyy-mm-dd")</f>
        <v/>
      </c>
      <c r="C60006" t="inlineStr">
        <is>
          <t>2064-02-28</t>
        </is>
      </c>
    </row>
    <row r="60007">
      <c r="A60007" s="1" t="n">
        <v>60006</v>
      </c>
      <c r="B60007">
        <f>TEXT(60006, "[$-0E0000]yyyy-mm-dd")</f>
        <v/>
      </c>
      <c r="C60007" t="inlineStr">
        <is>
          <t>2064-02-29</t>
        </is>
      </c>
    </row>
    <row r="60008">
      <c r="A60008" s="1" t="n">
        <v>60007</v>
      </c>
      <c r="B60008">
        <f>TEXT(60007, "[$-0E0000]yyyy-mm-dd")</f>
        <v/>
      </c>
      <c r="C60008" t="inlineStr">
        <is>
          <t>2064-02-30</t>
        </is>
      </c>
    </row>
    <row r="60009">
      <c r="A60009" s="1" t="n">
        <v>60008</v>
      </c>
      <c r="B60009">
        <f>TEXT(60008, "[$-0E0000]yyyy-mm-dd")</f>
        <v/>
      </c>
      <c r="C60009" t="inlineStr">
        <is>
          <t>2064-03-01</t>
        </is>
      </c>
    </row>
    <row r="60010">
      <c r="A60010" s="1" t="n">
        <v>60009</v>
      </c>
      <c r="B60010">
        <f>TEXT(60009, "[$-0E0000]yyyy-mm-dd")</f>
        <v/>
      </c>
      <c r="C60010" t="inlineStr">
        <is>
          <t>2064-03-02</t>
        </is>
      </c>
    </row>
    <row r="60011">
      <c r="A60011" s="1" t="n">
        <v>60010</v>
      </c>
      <c r="B60011">
        <f>TEXT(60010, "[$-0E0000]yyyy-mm-dd")</f>
        <v/>
      </c>
      <c r="C60011" t="inlineStr">
        <is>
          <t>2064-03-03</t>
        </is>
      </c>
    </row>
    <row r="60012">
      <c r="A60012" s="1" t="n">
        <v>60011</v>
      </c>
      <c r="B60012">
        <f>TEXT(60011, "[$-0E0000]yyyy-mm-dd")</f>
        <v/>
      </c>
      <c r="C60012" t="inlineStr">
        <is>
          <t>2064-03-04</t>
        </is>
      </c>
    </row>
    <row r="60013">
      <c r="A60013" s="1" t="n">
        <v>60012</v>
      </c>
      <c r="B60013">
        <f>TEXT(60012, "[$-0E0000]yyyy-mm-dd")</f>
        <v/>
      </c>
      <c r="C60013" t="inlineStr">
        <is>
          <t>2064-03-05</t>
        </is>
      </c>
    </row>
    <row r="60014">
      <c r="A60014" s="1" t="n">
        <v>60013</v>
      </c>
      <c r="B60014">
        <f>TEXT(60013, "[$-0E0000]yyyy-mm-dd")</f>
        <v/>
      </c>
      <c r="C60014" t="inlineStr">
        <is>
          <t>2064-03-06</t>
        </is>
      </c>
    </row>
    <row r="60015">
      <c r="A60015" s="1" t="n">
        <v>60014</v>
      </c>
      <c r="B60015">
        <f>TEXT(60014, "[$-0E0000]yyyy-mm-dd")</f>
        <v/>
      </c>
      <c r="C60015" t="inlineStr">
        <is>
          <t>2064-03-07</t>
        </is>
      </c>
    </row>
    <row r="60016">
      <c r="A60016" s="1" t="n">
        <v>60015</v>
      </c>
      <c r="B60016">
        <f>TEXT(60015, "[$-0E0000]yyyy-mm-dd")</f>
        <v/>
      </c>
      <c r="C60016" t="inlineStr">
        <is>
          <t>2064-03-08</t>
        </is>
      </c>
    </row>
    <row r="60017">
      <c r="A60017" s="1" t="n">
        <v>60016</v>
      </c>
      <c r="B60017">
        <f>TEXT(60016, "[$-0E0000]yyyy-mm-dd")</f>
        <v/>
      </c>
      <c r="C60017" t="inlineStr">
        <is>
          <t>2064-03-09</t>
        </is>
      </c>
    </row>
    <row r="60018">
      <c r="A60018" s="1" t="n">
        <v>60017</v>
      </c>
      <c r="B60018">
        <f>TEXT(60017, "[$-0E0000]yyyy-mm-dd")</f>
        <v/>
      </c>
      <c r="C60018" t="inlineStr">
        <is>
          <t>2064-03-10</t>
        </is>
      </c>
    </row>
    <row r="60019">
      <c r="A60019" s="1" t="n">
        <v>60018</v>
      </c>
      <c r="B60019">
        <f>TEXT(60018, "[$-0E0000]yyyy-mm-dd")</f>
        <v/>
      </c>
      <c r="C60019" t="inlineStr">
        <is>
          <t>2064-03-11</t>
        </is>
      </c>
    </row>
    <row r="60020">
      <c r="A60020" s="1" t="n">
        <v>60019</v>
      </c>
      <c r="B60020">
        <f>TEXT(60019, "[$-0E0000]yyyy-mm-dd")</f>
        <v/>
      </c>
      <c r="C60020" t="inlineStr">
        <is>
          <t>2064-03-12</t>
        </is>
      </c>
    </row>
    <row r="60021">
      <c r="A60021" s="1" t="n">
        <v>60020</v>
      </c>
      <c r="B60021">
        <f>TEXT(60020, "[$-0E0000]yyyy-mm-dd")</f>
        <v/>
      </c>
      <c r="C60021" t="inlineStr">
        <is>
          <t>2064-03-13</t>
        </is>
      </c>
    </row>
    <row r="60022">
      <c r="A60022" s="1" t="n">
        <v>60021</v>
      </c>
      <c r="B60022">
        <f>TEXT(60021, "[$-0E0000]yyyy-mm-dd")</f>
        <v/>
      </c>
      <c r="C60022" t="inlineStr">
        <is>
          <t>2064-03-14</t>
        </is>
      </c>
    </row>
    <row r="60023">
      <c r="A60023" s="1" t="n">
        <v>60022</v>
      </c>
      <c r="B60023">
        <f>TEXT(60022, "[$-0E0000]yyyy-mm-dd")</f>
        <v/>
      </c>
      <c r="C60023" t="inlineStr">
        <is>
          <t>2064-03-15</t>
        </is>
      </c>
    </row>
    <row r="60024">
      <c r="A60024" s="1" t="n">
        <v>60023</v>
      </c>
      <c r="B60024">
        <f>TEXT(60023, "[$-0E0000]yyyy-mm-dd")</f>
        <v/>
      </c>
      <c r="C60024" t="inlineStr">
        <is>
          <t>2064-03-16</t>
        </is>
      </c>
    </row>
    <row r="60025">
      <c r="A60025" s="1" t="n">
        <v>60024</v>
      </c>
      <c r="B60025">
        <f>TEXT(60024, "[$-0E0000]yyyy-mm-dd")</f>
        <v/>
      </c>
      <c r="C60025" t="inlineStr">
        <is>
          <t>2064-03-17</t>
        </is>
      </c>
    </row>
    <row r="60026">
      <c r="A60026" s="1" t="n">
        <v>60025</v>
      </c>
      <c r="B60026">
        <f>TEXT(60025, "[$-0E0000]yyyy-mm-dd")</f>
        <v/>
      </c>
      <c r="C60026" t="inlineStr">
        <is>
          <t>2064-03-18</t>
        </is>
      </c>
    </row>
    <row r="60027">
      <c r="A60027" s="1" t="n">
        <v>60026</v>
      </c>
      <c r="B60027">
        <f>TEXT(60026, "[$-0E0000]yyyy-mm-dd")</f>
        <v/>
      </c>
      <c r="C60027" t="inlineStr">
        <is>
          <t>2064-03-19</t>
        </is>
      </c>
    </row>
    <row r="60028">
      <c r="A60028" s="1" t="n">
        <v>60027</v>
      </c>
      <c r="B60028">
        <f>TEXT(60027, "[$-0E0000]yyyy-mm-dd")</f>
        <v/>
      </c>
      <c r="C60028" t="inlineStr">
        <is>
          <t>2064-03-20</t>
        </is>
      </c>
    </row>
    <row r="60029">
      <c r="A60029" s="1" t="n">
        <v>60028</v>
      </c>
      <c r="B60029">
        <f>TEXT(60028, "[$-0E0000]yyyy-mm-dd")</f>
        <v/>
      </c>
      <c r="C60029" t="inlineStr">
        <is>
          <t>2064-03-21</t>
        </is>
      </c>
    </row>
    <row r="60030">
      <c r="A60030" s="1" t="n">
        <v>60029</v>
      </c>
      <c r="B60030">
        <f>TEXT(60029, "[$-0E0000]yyyy-mm-dd")</f>
        <v/>
      </c>
      <c r="C60030" t="inlineStr">
        <is>
          <t>2064-03-22</t>
        </is>
      </c>
    </row>
    <row r="60031">
      <c r="A60031" s="1" t="n">
        <v>60030</v>
      </c>
      <c r="B60031">
        <f>TEXT(60030, "[$-0E0000]yyyy-mm-dd")</f>
        <v/>
      </c>
      <c r="C60031" t="inlineStr">
        <is>
          <t>2064-03-23</t>
        </is>
      </c>
    </row>
    <row r="60032">
      <c r="A60032" s="1" t="n">
        <v>60031</v>
      </c>
      <c r="B60032">
        <f>TEXT(60031, "[$-0E0000]yyyy-mm-dd")</f>
        <v/>
      </c>
      <c r="C60032" t="inlineStr">
        <is>
          <t>2064-03-24</t>
        </is>
      </c>
    </row>
    <row r="60033">
      <c r="A60033" s="1" t="n">
        <v>60032</v>
      </c>
      <c r="B60033">
        <f>TEXT(60032, "[$-0E0000]yyyy-mm-dd")</f>
        <v/>
      </c>
      <c r="C60033" t="inlineStr">
        <is>
          <t>2064-03-25</t>
        </is>
      </c>
    </row>
    <row r="60034">
      <c r="A60034" s="1" t="n">
        <v>60033</v>
      </c>
      <c r="B60034">
        <f>TEXT(60033, "[$-0E0000]yyyy-mm-dd")</f>
        <v/>
      </c>
      <c r="C60034" t="inlineStr">
        <is>
          <t>2064-03-26</t>
        </is>
      </c>
    </row>
    <row r="60035">
      <c r="A60035" s="1" t="n">
        <v>60034</v>
      </c>
      <c r="B60035">
        <f>TEXT(60034, "[$-0E0000]yyyy-mm-dd")</f>
        <v/>
      </c>
      <c r="C60035" t="inlineStr">
        <is>
          <t>2064-03-27</t>
        </is>
      </c>
    </row>
    <row r="60036">
      <c r="A60036" s="1" t="n">
        <v>60035</v>
      </c>
      <c r="B60036">
        <f>TEXT(60035, "[$-0E0000]yyyy-mm-dd")</f>
        <v/>
      </c>
      <c r="C60036" t="inlineStr">
        <is>
          <t>2064-03-28</t>
        </is>
      </c>
    </row>
    <row r="60037">
      <c r="A60037" s="1" t="n">
        <v>60036</v>
      </c>
      <c r="B60037">
        <f>TEXT(60036, "[$-0E0000]yyyy-mm-dd")</f>
        <v/>
      </c>
      <c r="C60037" t="inlineStr">
        <is>
          <t>2064-03-29</t>
        </is>
      </c>
    </row>
    <row r="60038">
      <c r="A60038" s="1" t="n">
        <v>60037</v>
      </c>
      <c r="B60038">
        <f>TEXT(60037, "[$-0E0000]yyyy-mm-dd")</f>
        <v/>
      </c>
      <c r="C60038" t="inlineStr">
        <is>
          <t>2064-04-01</t>
        </is>
      </c>
    </row>
    <row r="60039">
      <c r="A60039" s="1" t="n">
        <v>60038</v>
      </c>
      <c r="B60039">
        <f>TEXT(60038, "[$-0E0000]yyyy-mm-dd")</f>
        <v/>
      </c>
      <c r="C60039" t="inlineStr">
        <is>
          <t>2064-04-02</t>
        </is>
      </c>
    </row>
    <row r="60040">
      <c r="A60040" s="1" t="n">
        <v>60039</v>
      </c>
      <c r="B60040">
        <f>TEXT(60039, "[$-0E0000]yyyy-mm-dd")</f>
        <v/>
      </c>
      <c r="C60040" t="inlineStr">
        <is>
          <t>2064-04-03</t>
        </is>
      </c>
    </row>
    <row r="60041">
      <c r="A60041" s="1" t="n">
        <v>60040</v>
      </c>
      <c r="B60041">
        <f>TEXT(60040, "[$-0E0000]yyyy-mm-dd")</f>
        <v/>
      </c>
      <c r="C60041" t="inlineStr">
        <is>
          <t>2064-04-04</t>
        </is>
      </c>
    </row>
    <row r="60042">
      <c r="A60042" s="1" t="n">
        <v>60041</v>
      </c>
      <c r="B60042">
        <f>TEXT(60041, "[$-0E0000]yyyy-mm-dd")</f>
        <v/>
      </c>
      <c r="C60042" t="inlineStr">
        <is>
          <t>2064-04-05</t>
        </is>
      </c>
    </row>
    <row r="60043">
      <c r="A60043" s="1" t="n">
        <v>60042</v>
      </c>
      <c r="B60043">
        <f>TEXT(60042, "[$-0E0000]yyyy-mm-dd")</f>
        <v/>
      </c>
      <c r="C60043" t="inlineStr">
        <is>
          <t>2064-04-06</t>
        </is>
      </c>
    </row>
    <row r="60044">
      <c r="A60044" s="1" t="n">
        <v>60043</v>
      </c>
      <c r="B60044">
        <f>TEXT(60043, "[$-0E0000]yyyy-mm-dd")</f>
        <v/>
      </c>
      <c r="C60044" t="inlineStr">
        <is>
          <t>2064-04-07</t>
        </is>
      </c>
    </row>
    <row r="60045">
      <c r="A60045" s="1" t="n">
        <v>60044</v>
      </c>
      <c r="B60045">
        <f>TEXT(60044, "[$-0E0000]yyyy-mm-dd")</f>
        <v/>
      </c>
      <c r="C60045" t="inlineStr">
        <is>
          <t>2064-04-08</t>
        </is>
      </c>
    </row>
    <row r="60046">
      <c r="A60046" s="1" t="n">
        <v>60045</v>
      </c>
      <c r="B60046">
        <f>TEXT(60045, "[$-0E0000]yyyy-mm-dd")</f>
        <v/>
      </c>
      <c r="C60046" t="inlineStr">
        <is>
          <t>2064-04-09</t>
        </is>
      </c>
    </row>
    <row r="60047">
      <c r="A60047" s="1" t="n">
        <v>60046</v>
      </c>
      <c r="B60047">
        <f>TEXT(60046, "[$-0E0000]yyyy-mm-dd")</f>
        <v/>
      </c>
      <c r="C60047" t="inlineStr">
        <is>
          <t>2064-04-10</t>
        </is>
      </c>
    </row>
    <row r="60048">
      <c r="A60048" s="1" t="n">
        <v>60047</v>
      </c>
      <c r="B60048">
        <f>TEXT(60047, "[$-0E0000]yyyy-mm-dd")</f>
        <v/>
      </c>
      <c r="C60048" t="inlineStr">
        <is>
          <t>2064-04-11</t>
        </is>
      </c>
    </row>
    <row r="60049">
      <c r="A60049" s="1" t="n">
        <v>60048</v>
      </c>
      <c r="B60049">
        <f>TEXT(60048, "[$-0E0000]yyyy-mm-dd")</f>
        <v/>
      </c>
      <c r="C60049" t="inlineStr">
        <is>
          <t>2064-04-12</t>
        </is>
      </c>
    </row>
    <row r="60050">
      <c r="A60050" s="1" t="n">
        <v>60049</v>
      </c>
      <c r="B60050">
        <f>TEXT(60049, "[$-0E0000]yyyy-mm-dd")</f>
        <v/>
      </c>
      <c r="C60050" t="inlineStr">
        <is>
          <t>2064-04-13</t>
        </is>
      </c>
    </row>
    <row r="60051">
      <c r="A60051" s="1" t="n">
        <v>60050</v>
      </c>
      <c r="B60051">
        <f>TEXT(60050, "[$-0E0000]yyyy-mm-dd")</f>
        <v/>
      </c>
      <c r="C60051" t="inlineStr">
        <is>
          <t>2064-04-14</t>
        </is>
      </c>
    </row>
    <row r="60052">
      <c r="A60052" s="1" t="n">
        <v>60051</v>
      </c>
      <c r="B60052">
        <f>TEXT(60051, "[$-0E0000]yyyy-mm-dd")</f>
        <v/>
      </c>
      <c r="C60052" t="inlineStr">
        <is>
          <t>2064-04-15</t>
        </is>
      </c>
    </row>
    <row r="60053">
      <c r="A60053" s="1" t="n">
        <v>60052</v>
      </c>
      <c r="B60053">
        <f>TEXT(60052, "[$-0E0000]yyyy-mm-dd")</f>
        <v/>
      </c>
      <c r="C60053" t="inlineStr">
        <is>
          <t>2064-04-16</t>
        </is>
      </c>
    </row>
    <row r="60054">
      <c r="A60054" s="1" t="n">
        <v>60053</v>
      </c>
      <c r="B60054">
        <f>TEXT(60053, "[$-0E0000]yyyy-mm-dd")</f>
        <v/>
      </c>
      <c r="C60054" t="inlineStr">
        <is>
          <t>2064-04-17</t>
        </is>
      </c>
    </row>
    <row r="60055">
      <c r="A60055" s="1" t="n">
        <v>60054</v>
      </c>
      <c r="B60055">
        <f>TEXT(60054, "[$-0E0000]yyyy-mm-dd")</f>
        <v/>
      </c>
      <c r="C60055" t="inlineStr">
        <is>
          <t>2064-04-18</t>
        </is>
      </c>
    </row>
    <row r="60056">
      <c r="A60056" s="1" t="n">
        <v>60055</v>
      </c>
      <c r="B60056">
        <f>TEXT(60055, "[$-0E0000]yyyy-mm-dd")</f>
        <v/>
      </c>
      <c r="C60056" t="inlineStr">
        <is>
          <t>2064-04-19</t>
        </is>
      </c>
    </row>
    <row r="60057">
      <c r="A60057" s="1" t="n">
        <v>60056</v>
      </c>
      <c r="B60057">
        <f>TEXT(60056, "[$-0E0000]yyyy-mm-dd")</f>
        <v/>
      </c>
      <c r="C60057" t="inlineStr">
        <is>
          <t>2064-04-20</t>
        </is>
      </c>
    </row>
    <row r="60058">
      <c r="A60058" s="1" t="n">
        <v>60057</v>
      </c>
      <c r="B60058">
        <f>TEXT(60057, "[$-0E0000]yyyy-mm-dd")</f>
        <v/>
      </c>
      <c r="C60058" t="inlineStr">
        <is>
          <t>2064-04-21</t>
        </is>
      </c>
    </row>
    <row r="60059">
      <c r="A60059" s="1" t="n">
        <v>60058</v>
      </c>
      <c r="B60059">
        <f>TEXT(60058, "[$-0E0000]yyyy-mm-dd")</f>
        <v/>
      </c>
      <c r="C60059" t="inlineStr">
        <is>
          <t>2064-04-22</t>
        </is>
      </c>
    </row>
    <row r="60060">
      <c r="A60060" s="1" t="n">
        <v>60059</v>
      </c>
      <c r="B60060">
        <f>TEXT(60059, "[$-0E0000]yyyy-mm-dd")</f>
        <v/>
      </c>
      <c r="C60060" t="inlineStr">
        <is>
          <t>2064-04-23</t>
        </is>
      </c>
    </row>
    <row r="60061">
      <c r="A60061" s="1" t="n">
        <v>60060</v>
      </c>
      <c r="B60061">
        <f>TEXT(60060, "[$-0E0000]yyyy-mm-dd")</f>
        <v/>
      </c>
      <c r="C60061" t="inlineStr">
        <is>
          <t>2064-04-24</t>
        </is>
      </c>
    </row>
    <row r="60062">
      <c r="A60062" s="1" t="n">
        <v>60061</v>
      </c>
      <c r="B60062">
        <f>TEXT(60061, "[$-0E0000]yyyy-mm-dd")</f>
        <v/>
      </c>
      <c r="C60062" t="inlineStr">
        <is>
          <t>2064-04-25</t>
        </is>
      </c>
    </row>
    <row r="60063">
      <c r="A60063" s="1" t="n">
        <v>60062</v>
      </c>
      <c r="B60063">
        <f>TEXT(60062, "[$-0E0000]yyyy-mm-dd")</f>
        <v/>
      </c>
      <c r="C60063" t="inlineStr">
        <is>
          <t>2064-04-26</t>
        </is>
      </c>
    </row>
    <row r="60064">
      <c r="A60064" s="1" t="n">
        <v>60063</v>
      </c>
      <c r="B60064">
        <f>TEXT(60063, "[$-0E0000]yyyy-mm-dd")</f>
        <v/>
      </c>
      <c r="C60064" t="inlineStr">
        <is>
          <t>2064-04-27</t>
        </is>
      </c>
    </row>
    <row r="60065">
      <c r="A60065" s="1" t="n">
        <v>60064</v>
      </c>
      <c r="B60065">
        <f>TEXT(60064, "[$-0E0000]yyyy-mm-dd")</f>
        <v/>
      </c>
      <c r="C60065" t="inlineStr">
        <is>
          <t>2064-04-28</t>
        </is>
      </c>
    </row>
    <row r="60066">
      <c r="A60066" s="1" t="n">
        <v>60065</v>
      </c>
      <c r="B60066">
        <f>TEXT(60065, "[$-0E0000]yyyy-mm-dd")</f>
        <v/>
      </c>
      <c r="C60066" t="inlineStr">
        <is>
          <t>2064-04-29</t>
        </is>
      </c>
    </row>
    <row r="60067">
      <c r="A60067" s="1" t="n">
        <v>60066</v>
      </c>
      <c r="B60067">
        <f>TEXT(60066, "[$-0E0000]yyyy-mm-dd")</f>
        <v/>
      </c>
      <c r="C60067" t="inlineStr">
        <is>
          <t>2064-04-30</t>
        </is>
      </c>
    </row>
    <row r="60068">
      <c r="A60068" s="1" t="n">
        <v>60067</v>
      </c>
      <c r="B60068">
        <f>TEXT(60067, "[$-0E0000]yyyy-mm-dd")</f>
        <v/>
      </c>
      <c r="C60068" t="inlineStr">
        <is>
          <t>2064-05-01</t>
        </is>
      </c>
    </row>
    <row r="60069">
      <c r="A60069" s="1" t="n">
        <v>60068</v>
      </c>
      <c r="B60069">
        <f>TEXT(60068, "[$-0E0000]yyyy-mm-dd")</f>
        <v/>
      </c>
      <c r="C60069" t="inlineStr">
        <is>
          <t>2064-05-02</t>
        </is>
      </c>
    </row>
    <row r="60070">
      <c r="A60070" s="1" t="n">
        <v>60069</v>
      </c>
      <c r="B60070">
        <f>TEXT(60069, "[$-0E0000]yyyy-mm-dd")</f>
        <v/>
      </c>
      <c r="C60070" t="inlineStr">
        <is>
          <t>2064-05-03</t>
        </is>
      </c>
    </row>
    <row r="60071">
      <c r="A60071" s="1" t="n">
        <v>60070</v>
      </c>
      <c r="B60071">
        <f>TEXT(60070, "[$-0E0000]yyyy-mm-dd")</f>
        <v/>
      </c>
      <c r="C60071" t="inlineStr">
        <is>
          <t>2064-05-04</t>
        </is>
      </c>
    </row>
    <row r="60072">
      <c r="A60072" s="1" t="n">
        <v>60071</v>
      </c>
      <c r="B60072">
        <f>TEXT(60071, "[$-0E0000]yyyy-mm-dd")</f>
        <v/>
      </c>
      <c r="C60072" t="inlineStr">
        <is>
          <t>2064-05-05</t>
        </is>
      </c>
    </row>
    <row r="60073">
      <c r="A60073" s="1" t="n">
        <v>60072</v>
      </c>
      <c r="B60073">
        <f>TEXT(60072, "[$-0E0000]yyyy-mm-dd")</f>
        <v/>
      </c>
      <c r="C60073" t="inlineStr">
        <is>
          <t>2064-05-06</t>
        </is>
      </c>
    </row>
    <row r="60074">
      <c r="A60074" s="1" t="n">
        <v>60073</v>
      </c>
      <c r="B60074">
        <f>TEXT(60073, "[$-0E0000]yyyy-mm-dd")</f>
        <v/>
      </c>
      <c r="C60074" t="inlineStr">
        <is>
          <t>2064-05-07</t>
        </is>
      </c>
    </row>
    <row r="60075">
      <c r="A60075" s="1" t="n">
        <v>60074</v>
      </c>
      <c r="B60075">
        <f>TEXT(60074, "[$-0E0000]yyyy-mm-dd")</f>
        <v/>
      </c>
      <c r="C60075" t="inlineStr">
        <is>
          <t>2064-05-08</t>
        </is>
      </c>
    </row>
    <row r="60076">
      <c r="A60076" s="1" t="n">
        <v>60075</v>
      </c>
      <c r="B60076">
        <f>TEXT(60075, "[$-0E0000]yyyy-mm-dd")</f>
        <v/>
      </c>
      <c r="C60076" t="inlineStr">
        <is>
          <t>2064-05-09</t>
        </is>
      </c>
    </row>
    <row r="60077">
      <c r="A60077" s="1" t="n">
        <v>60076</v>
      </c>
      <c r="B60077">
        <f>TEXT(60076, "[$-0E0000]yyyy-mm-dd")</f>
        <v/>
      </c>
      <c r="C60077" t="inlineStr">
        <is>
          <t>2064-05-10</t>
        </is>
      </c>
    </row>
    <row r="60078">
      <c r="A60078" s="1" t="n">
        <v>60077</v>
      </c>
      <c r="B60078">
        <f>TEXT(60077, "[$-0E0000]yyyy-mm-dd")</f>
        <v/>
      </c>
      <c r="C60078" t="inlineStr">
        <is>
          <t>2064-05-11</t>
        </is>
      </c>
    </row>
    <row r="60079">
      <c r="A60079" s="1" t="n">
        <v>60078</v>
      </c>
      <c r="B60079">
        <f>TEXT(60078, "[$-0E0000]yyyy-mm-dd")</f>
        <v/>
      </c>
      <c r="C60079" t="inlineStr">
        <is>
          <t>2064-05-12</t>
        </is>
      </c>
    </row>
    <row r="60080">
      <c r="A60080" s="1" t="n">
        <v>60079</v>
      </c>
      <c r="B60080">
        <f>TEXT(60079, "[$-0E0000]yyyy-mm-dd")</f>
        <v/>
      </c>
      <c r="C60080" t="inlineStr">
        <is>
          <t>2064-05-13</t>
        </is>
      </c>
    </row>
    <row r="60081">
      <c r="A60081" s="1" t="n">
        <v>60080</v>
      </c>
      <c r="B60081">
        <f>TEXT(60080, "[$-0E0000]yyyy-mm-dd")</f>
        <v/>
      </c>
      <c r="C60081" t="inlineStr">
        <is>
          <t>2064-05-14</t>
        </is>
      </c>
    </row>
    <row r="60082">
      <c r="A60082" s="1" t="n">
        <v>60081</v>
      </c>
      <c r="B60082">
        <f>TEXT(60081, "[$-0E0000]yyyy-mm-dd")</f>
        <v/>
      </c>
      <c r="C60082" t="inlineStr">
        <is>
          <t>2064-05-15</t>
        </is>
      </c>
    </row>
    <row r="60083">
      <c r="A60083" s="1" t="n">
        <v>60082</v>
      </c>
      <c r="B60083">
        <f>TEXT(60082, "[$-0E0000]yyyy-mm-dd")</f>
        <v/>
      </c>
      <c r="C60083" t="inlineStr">
        <is>
          <t>2064-05-16</t>
        </is>
      </c>
    </row>
    <row r="60084">
      <c r="A60084" s="1" t="n">
        <v>60083</v>
      </c>
      <c r="B60084">
        <f>TEXT(60083, "[$-0E0000]yyyy-mm-dd")</f>
        <v/>
      </c>
      <c r="C60084" t="inlineStr">
        <is>
          <t>2064-05-17</t>
        </is>
      </c>
    </row>
    <row r="60085">
      <c r="A60085" s="1" t="n">
        <v>60084</v>
      </c>
      <c r="B60085">
        <f>TEXT(60084, "[$-0E0000]yyyy-mm-dd")</f>
        <v/>
      </c>
      <c r="C60085" t="inlineStr">
        <is>
          <t>2064-05-18</t>
        </is>
      </c>
    </row>
    <row r="60086">
      <c r="A60086" s="1" t="n">
        <v>60085</v>
      </c>
      <c r="B60086">
        <f>TEXT(60085, "[$-0E0000]yyyy-mm-dd")</f>
        <v/>
      </c>
      <c r="C60086" t="inlineStr">
        <is>
          <t>2064-05-19</t>
        </is>
      </c>
    </row>
    <row r="60087">
      <c r="A60087" s="1" t="n">
        <v>60086</v>
      </c>
      <c r="B60087">
        <f>TEXT(60086, "[$-0E0000]yyyy-mm-dd")</f>
        <v/>
      </c>
      <c r="C60087" t="inlineStr">
        <is>
          <t>2064-05-20</t>
        </is>
      </c>
    </row>
    <row r="60088">
      <c r="A60088" s="1" t="n">
        <v>60087</v>
      </c>
      <c r="B60088">
        <f>TEXT(60087, "[$-0E0000]yyyy-mm-dd")</f>
        <v/>
      </c>
      <c r="C60088" t="inlineStr">
        <is>
          <t>2064-05-21</t>
        </is>
      </c>
    </row>
    <row r="60089">
      <c r="A60089" s="1" t="n">
        <v>60088</v>
      </c>
      <c r="B60089">
        <f>TEXT(60088, "[$-0E0000]yyyy-mm-dd")</f>
        <v/>
      </c>
      <c r="C60089" t="inlineStr">
        <is>
          <t>2064-05-22</t>
        </is>
      </c>
    </row>
    <row r="60090">
      <c r="A60090" s="1" t="n">
        <v>60089</v>
      </c>
      <c r="B60090">
        <f>TEXT(60089, "[$-0E0000]yyyy-mm-dd")</f>
        <v/>
      </c>
      <c r="C60090" t="inlineStr">
        <is>
          <t>2064-05-23</t>
        </is>
      </c>
    </row>
    <row r="60091">
      <c r="A60091" s="1" t="n">
        <v>60090</v>
      </c>
      <c r="B60091">
        <f>TEXT(60090, "[$-0E0000]yyyy-mm-dd")</f>
        <v/>
      </c>
      <c r="C60091" t="inlineStr">
        <is>
          <t>2064-05-24</t>
        </is>
      </c>
    </row>
    <row r="60092">
      <c r="A60092" s="1" t="n">
        <v>60091</v>
      </c>
      <c r="B60092">
        <f>TEXT(60091, "[$-0E0000]yyyy-mm-dd")</f>
        <v/>
      </c>
      <c r="C60092" t="inlineStr">
        <is>
          <t>2064-05-25</t>
        </is>
      </c>
    </row>
    <row r="60093">
      <c r="A60093" s="1" t="n">
        <v>60092</v>
      </c>
      <c r="B60093">
        <f>TEXT(60092, "[$-0E0000]yyyy-mm-dd")</f>
        <v/>
      </c>
      <c r="C60093" t="inlineStr">
        <is>
          <t>2064-05-26</t>
        </is>
      </c>
    </row>
    <row r="60094">
      <c r="A60094" s="1" t="n">
        <v>60093</v>
      </c>
      <c r="B60094">
        <f>TEXT(60093, "[$-0E0000]yyyy-mm-dd")</f>
        <v/>
      </c>
      <c r="C60094" t="inlineStr">
        <is>
          <t>2064-05-27</t>
        </is>
      </c>
    </row>
    <row r="60095">
      <c r="A60095" s="1" t="n">
        <v>60094</v>
      </c>
      <c r="B60095">
        <f>TEXT(60094, "[$-0E0000]yyyy-mm-dd")</f>
        <v/>
      </c>
      <c r="C60095" t="inlineStr">
        <is>
          <t>2064-05-28</t>
        </is>
      </c>
    </row>
    <row r="60096">
      <c r="A60096" s="1" t="n">
        <v>60095</v>
      </c>
      <c r="B60096">
        <f>TEXT(60095, "[$-0E0000]yyyy-mm-dd")</f>
        <v/>
      </c>
      <c r="C60096" t="inlineStr">
        <is>
          <t>2064-05-29</t>
        </is>
      </c>
    </row>
    <row r="60097">
      <c r="A60097" s="1" t="n">
        <v>60096</v>
      </c>
      <c r="B60097">
        <f>TEXT(60096, "[$-0E0000]yyyy-mm-dd")</f>
        <v/>
      </c>
      <c r="C60097" t="inlineStr">
        <is>
          <t>2064-06-01</t>
        </is>
      </c>
    </row>
    <row r="60098">
      <c r="A60098" s="1" t="n">
        <v>60097</v>
      </c>
      <c r="B60098">
        <f>TEXT(60097, "[$-0E0000]yyyy-mm-dd")</f>
        <v/>
      </c>
      <c r="C60098" t="inlineStr">
        <is>
          <t>2064-06-02</t>
        </is>
      </c>
    </row>
    <row r="60099">
      <c r="A60099" s="1" t="n">
        <v>60098</v>
      </c>
      <c r="B60099">
        <f>TEXT(60098, "[$-0E0000]yyyy-mm-dd")</f>
        <v/>
      </c>
      <c r="C60099" t="inlineStr">
        <is>
          <t>2064-06-03</t>
        </is>
      </c>
    </row>
    <row r="60100">
      <c r="A60100" s="1" t="n">
        <v>60099</v>
      </c>
      <c r="B60100">
        <f>TEXT(60099, "[$-0E0000]yyyy-mm-dd")</f>
        <v/>
      </c>
      <c r="C60100" t="inlineStr">
        <is>
          <t>2064-06-04</t>
        </is>
      </c>
    </row>
    <row r="60101">
      <c r="A60101" s="1" t="n">
        <v>60100</v>
      </c>
      <c r="B60101">
        <f>TEXT(60100, "[$-0E0000]yyyy-mm-dd")</f>
        <v/>
      </c>
      <c r="C60101" t="inlineStr">
        <is>
          <t>2064-06-05</t>
        </is>
      </c>
    </row>
    <row r="60102">
      <c r="A60102" s="1" t="n">
        <v>60101</v>
      </c>
      <c r="B60102">
        <f>TEXT(60101, "[$-0E0000]yyyy-mm-dd")</f>
        <v/>
      </c>
      <c r="C60102" t="inlineStr">
        <is>
          <t>2064-06-06</t>
        </is>
      </c>
    </row>
    <row r="60103">
      <c r="A60103" s="1" t="n">
        <v>60102</v>
      </c>
      <c r="B60103">
        <f>TEXT(60102, "[$-0E0000]yyyy-mm-dd")</f>
        <v/>
      </c>
      <c r="C60103" t="inlineStr">
        <is>
          <t>2064-06-07</t>
        </is>
      </c>
    </row>
    <row r="60104">
      <c r="A60104" s="1" t="n">
        <v>60103</v>
      </c>
      <c r="B60104">
        <f>TEXT(60103, "[$-0E0000]yyyy-mm-dd")</f>
        <v/>
      </c>
      <c r="C60104" t="inlineStr">
        <is>
          <t>2064-06-08</t>
        </is>
      </c>
    </row>
    <row r="60105">
      <c r="A60105" s="1" t="n">
        <v>60104</v>
      </c>
      <c r="B60105">
        <f>TEXT(60104, "[$-0E0000]yyyy-mm-dd")</f>
        <v/>
      </c>
      <c r="C60105" t="inlineStr">
        <is>
          <t>2064-06-09</t>
        </is>
      </c>
    </row>
    <row r="60106">
      <c r="A60106" s="1" t="n">
        <v>60105</v>
      </c>
      <c r="B60106">
        <f>TEXT(60105, "[$-0E0000]yyyy-mm-dd")</f>
        <v/>
      </c>
      <c r="C60106" t="inlineStr">
        <is>
          <t>2064-06-10</t>
        </is>
      </c>
    </row>
    <row r="60107">
      <c r="A60107" s="1" t="n">
        <v>60106</v>
      </c>
      <c r="B60107">
        <f>TEXT(60106, "[$-0E0000]yyyy-mm-dd")</f>
        <v/>
      </c>
      <c r="C60107" t="inlineStr">
        <is>
          <t>2064-06-11</t>
        </is>
      </c>
    </row>
    <row r="60108">
      <c r="A60108" s="1" t="n">
        <v>60107</v>
      </c>
      <c r="B60108">
        <f>TEXT(60107, "[$-0E0000]yyyy-mm-dd")</f>
        <v/>
      </c>
      <c r="C60108" t="inlineStr">
        <is>
          <t>2064-06-12</t>
        </is>
      </c>
    </row>
    <row r="60109">
      <c r="A60109" s="1" t="n">
        <v>60108</v>
      </c>
      <c r="B60109">
        <f>TEXT(60108, "[$-0E0000]yyyy-mm-dd")</f>
        <v/>
      </c>
      <c r="C60109" t="inlineStr">
        <is>
          <t>2064-06-13</t>
        </is>
      </c>
    </row>
    <row r="60110">
      <c r="A60110" s="1" t="n">
        <v>60109</v>
      </c>
      <c r="B60110">
        <f>TEXT(60109, "[$-0E0000]yyyy-mm-dd")</f>
        <v/>
      </c>
      <c r="C60110" t="inlineStr">
        <is>
          <t>2064-06-14</t>
        </is>
      </c>
    </row>
    <row r="60111">
      <c r="A60111" s="1" t="n">
        <v>60110</v>
      </c>
      <c r="B60111">
        <f>TEXT(60110, "[$-0E0000]yyyy-mm-dd")</f>
        <v/>
      </c>
      <c r="C60111" t="inlineStr">
        <is>
          <t>2064-06-15</t>
        </is>
      </c>
    </row>
    <row r="60112">
      <c r="A60112" s="1" t="n">
        <v>60111</v>
      </c>
      <c r="B60112">
        <f>TEXT(60111, "[$-0E0000]yyyy-mm-dd")</f>
        <v/>
      </c>
      <c r="C60112" t="inlineStr">
        <is>
          <t>2064-06-16</t>
        </is>
      </c>
    </row>
    <row r="60113">
      <c r="A60113" s="1" t="n">
        <v>60112</v>
      </c>
      <c r="B60113">
        <f>TEXT(60112, "[$-0E0000]yyyy-mm-dd")</f>
        <v/>
      </c>
      <c r="C60113" t="inlineStr">
        <is>
          <t>2064-06-17</t>
        </is>
      </c>
    </row>
    <row r="60114">
      <c r="A60114" s="1" t="n">
        <v>60113</v>
      </c>
      <c r="B60114">
        <f>TEXT(60113, "[$-0E0000]yyyy-mm-dd")</f>
        <v/>
      </c>
      <c r="C60114" t="inlineStr">
        <is>
          <t>2064-06-18</t>
        </is>
      </c>
    </row>
    <row r="60115">
      <c r="A60115" s="1" t="n">
        <v>60114</v>
      </c>
      <c r="B60115">
        <f>TEXT(60114, "[$-0E0000]yyyy-mm-dd")</f>
        <v/>
      </c>
      <c r="C60115" t="inlineStr">
        <is>
          <t>2064-06-19</t>
        </is>
      </c>
    </row>
    <row r="60116">
      <c r="A60116" s="1" t="n">
        <v>60115</v>
      </c>
      <c r="B60116">
        <f>TEXT(60115, "[$-0E0000]yyyy-mm-dd")</f>
        <v/>
      </c>
      <c r="C60116" t="inlineStr">
        <is>
          <t>2064-06-20</t>
        </is>
      </c>
    </row>
    <row r="60117">
      <c r="A60117" s="1" t="n">
        <v>60116</v>
      </c>
      <c r="B60117">
        <f>TEXT(60116, "[$-0E0000]yyyy-mm-dd")</f>
        <v/>
      </c>
      <c r="C60117" t="inlineStr">
        <is>
          <t>2064-06-21</t>
        </is>
      </c>
    </row>
    <row r="60118">
      <c r="A60118" s="1" t="n">
        <v>60117</v>
      </c>
      <c r="B60118">
        <f>TEXT(60117, "[$-0E0000]yyyy-mm-dd")</f>
        <v/>
      </c>
      <c r="C60118" t="inlineStr">
        <is>
          <t>2064-06-22</t>
        </is>
      </c>
    </row>
    <row r="60119">
      <c r="A60119" s="1" t="n">
        <v>60118</v>
      </c>
      <c r="B60119">
        <f>TEXT(60118, "[$-0E0000]yyyy-mm-dd")</f>
        <v/>
      </c>
      <c r="C60119" t="inlineStr">
        <is>
          <t>2064-06-23</t>
        </is>
      </c>
    </row>
    <row r="60120">
      <c r="A60120" s="1" t="n">
        <v>60119</v>
      </c>
      <c r="B60120">
        <f>TEXT(60119, "[$-0E0000]yyyy-mm-dd")</f>
        <v/>
      </c>
      <c r="C60120" t="inlineStr">
        <is>
          <t>2064-06-24</t>
        </is>
      </c>
    </row>
    <row r="60121">
      <c r="A60121" s="1" t="n">
        <v>60120</v>
      </c>
      <c r="B60121">
        <f>TEXT(60120, "[$-0E0000]yyyy-mm-dd")</f>
        <v/>
      </c>
      <c r="C60121" t="inlineStr">
        <is>
          <t>2064-06-25</t>
        </is>
      </c>
    </row>
    <row r="60122">
      <c r="A60122" s="1" t="n">
        <v>60121</v>
      </c>
      <c r="B60122">
        <f>TEXT(60121, "[$-0E0000]yyyy-mm-dd")</f>
        <v/>
      </c>
      <c r="C60122" t="inlineStr">
        <is>
          <t>2064-06-26</t>
        </is>
      </c>
    </row>
    <row r="60123">
      <c r="A60123" s="1" t="n">
        <v>60122</v>
      </c>
      <c r="B60123">
        <f>TEXT(60122, "[$-0E0000]yyyy-mm-dd")</f>
        <v/>
      </c>
      <c r="C60123" t="inlineStr">
        <is>
          <t>2064-06-27</t>
        </is>
      </c>
    </row>
    <row r="60124">
      <c r="A60124" s="1" t="n">
        <v>60123</v>
      </c>
      <c r="B60124">
        <f>TEXT(60123, "[$-0E0000]yyyy-mm-dd")</f>
        <v/>
      </c>
      <c r="C60124" t="inlineStr">
        <is>
          <t>2064-06-28</t>
        </is>
      </c>
    </row>
    <row r="60125">
      <c r="A60125" s="1" t="n">
        <v>60124</v>
      </c>
      <c r="B60125">
        <f>TEXT(60124, "[$-0E0000]yyyy-mm-dd")</f>
        <v/>
      </c>
      <c r="C60125" t="inlineStr">
        <is>
          <t>2064-06-29</t>
        </is>
      </c>
    </row>
    <row r="60126">
      <c r="A60126" s="1" t="n">
        <v>60125</v>
      </c>
      <c r="B60126">
        <f>TEXT(60125, "[$-0E0000]yyyy-mm-dd")</f>
        <v/>
      </c>
      <c r="C60126" t="inlineStr">
        <is>
          <t>2064-06-30</t>
        </is>
      </c>
    </row>
    <row r="60127">
      <c r="A60127" s="1" t="n">
        <v>60126</v>
      </c>
      <c r="B60127">
        <f>TEXT(60126, "[$-0E0000]yyyy-mm-dd")</f>
        <v/>
      </c>
      <c r="C60127" t="inlineStr">
        <is>
          <t>2064-07-01</t>
        </is>
      </c>
    </row>
    <row r="60128">
      <c r="A60128" s="1" t="n">
        <v>60127</v>
      </c>
      <c r="B60128">
        <f>TEXT(60127, "[$-0E0000]yyyy-mm-dd")</f>
        <v/>
      </c>
      <c r="C60128" t="inlineStr">
        <is>
          <t>2064-07-02</t>
        </is>
      </c>
    </row>
    <row r="60129">
      <c r="A60129" s="1" t="n">
        <v>60128</v>
      </c>
      <c r="B60129">
        <f>TEXT(60128, "[$-0E0000]yyyy-mm-dd")</f>
        <v/>
      </c>
      <c r="C60129" t="inlineStr">
        <is>
          <t>2064-07-03</t>
        </is>
      </c>
    </row>
    <row r="60130">
      <c r="A60130" s="1" t="n">
        <v>60129</v>
      </c>
      <c r="B60130">
        <f>TEXT(60129, "[$-0E0000]yyyy-mm-dd")</f>
        <v/>
      </c>
      <c r="C60130" t="inlineStr">
        <is>
          <t>2064-07-04</t>
        </is>
      </c>
    </row>
    <row r="60131">
      <c r="A60131" s="1" t="n">
        <v>60130</v>
      </c>
      <c r="B60131">
        <f>TEXT(60130, "[$-0E0000]yyyy-mm-dd")</f>
        <v/>
      </c>
      <c r="C60131" t="inlineStr">
        <is>
          <t>2064-07-05</t>
        </is>
      </c>
    </row>
    <row r="60132">
      <c r="A60132" s="1" t="n">
        <v>60131</v>
      </c>
      <c r="B60132">
        <f>TEXT(60131, "[$-0E0000]yyyy-mm-dd")</f>
        <v/>
      </c>
      <c r="C60132" t="inlineStr">
        <is>
          <t>2064-07-06</t>
        </is>
      </c>
    </row>
    <row r="60133">
      <c r="A60133" s="1" t="n">
        <v>60132</v>
      </c>
      <c r="B60133">
        <f>TEXT(60132, "[$-0E0000]yyyy-mm-dd")</f>
        <v/>
      </c>
      <c r="C60133" t="inlineStr">
        <is>
          <t>2064-07-07</t>
        </is>
      </c>
    </row>
    <row r="60134">
      <c r="A60134" s="1" t="n">
        <v>60133</v>
      </c>
      <c r="B60134">
        <f>TEXT(60133, "[$-0E0000]yyyy-mm-dd")</f>
        <v/>
      </c>
      <c r="C60134" t="inlineStr">
        <is>
          <t>2064-07-08</t>
        </is>
      </c>
    </row>
    <row r="60135">
      <c r="A60135" s="1" t="n">
        <v>60134</v>
      </c>
      <c r="B60135">
        <f>TEXT(60134, "[$-0E0000]yyyy-mm-dd")</f>
        <v/>
      </c>
      <c r="C60135" t="inlineStr">
        <is>
          <t>2064-07-09</t>
        </is>
      </c>
    </row>
    <row r="60136">
      <c r="A60136" s="1" t="n">
        <v>60135</v>
      </c>
      <c r="B60136">
        <f>TEXT(60135, "[$-0E0000]yyyy-mm-dd")</f>
        <v/>
      </c>
      <c r="C60136" t="inlineStr">
        <is>
          <t>2064-07-10</t>
        </is>
      </c>
    </row>
    <row r="60137">
      <c r="A60137" s="1" t="n">
        <v>60136</v>
      </c>
      <c r="B60137">
        <f>TEXT(60136, "[$-0E0000]yyyy-mm-dd")</f>
        <v/>
      </c>
      <c r="C60137" t="inlineStr">
        <is>
          <t>2064-07-11</t>
        </is>
      </c>
    </row>
    <row r="60138">
      <c r="A60138" s="1" t="n">
        <v>60137</v>
      </c>
      <c r="B60138">
        <f>TEXT(60137, "[$-0E0000]yyyy-mm-dd")</f>
        <v/>
      </c>
      <c r="C60138" t="inlineStr">
        <is>
          <t>2064-07-12</t>
        </is>
      </c>
    </row>
    <row r="60139">
      <c r="A60139" s="1" t="n">
        <v>60138</v>
      </c>
      <c r="B60139">
        <f>TEXT(60138, "[$-0E0000]yyyy-mm-dd")</f>
        <v/>
      </c>
      <c r="C60139" t="inlineStr">
        <is>
          <t>2064-07-13</t>
        </is>
      </c>
    </row>
    <row r="60140">
      <c r="A60140" s="1" t="n">
        <v>60139</v>
      </c>
      <c r="B60140">
        <f>TEXT(60139, "[$-0E0000]yyyy-mm-dd")</f>
        <v/>
      </c>
      <c r="C60140" t="inlineStr">
        <is>
          <t>2064-07-14</t>
        </is>
      </c>
    </row>
    <row r="60141">
      <c r="A60141" s="1" t="n">
        <v>60140</v>
      </c>
      <c r="B60141">
        <f>TEXT(60140, "[$-0E0000]yyyy-mm-dd")</f>
        <v/>
      </c>
      <c r="C60141" t="inlineStr">
        <is>
          <t>2064-07-15</t>
        </is>
      </c>
    </row>
    <row r="60142">
      <c r="A60142" s="1" t="n">
        <v>60141</v>
      </c>
      <c r="B60142">
        <f>TEXT(60141, "[$-0E0000]yyyy-mm-dd")</f>
        <v/>
      </c>
      <c r="C60142" t="inlineStr">
        <is>
          <t>2064-07-16</t>
        </is>
      </c>
    </row>
    <row r="60143">
      <c r="A60143" s="1" t="n">
        <v>60142</v>
      </c>
      <c r="B60143">
        <f>TEXT(60142, "[$-0E0000]yyyy-mm-dd")</f>
        <v/>
      </c>
      <c r="C60143" t="inlineStr">
        <is>
          <t>2064-07-17</t>
        </is>
      </c>
    </row>
    <row r="60144">
      <c r="A60144" s="1" t="n">
        <v>60143</v>
      </c>
      <c r="B60144">
        <f>TEXT(60143, "[$-0E0000]yyyy-mm-dd")</f>
        <v/>
      </c>
      <c r="C60144" t="inlineStr">
        <is>
          <t>2064-07-18</t>
        </is>
      </c>
    </row>
    <row r="60145">
      <c r="A60145" s="1" t="n">
        <v>60144</v>
      </c>
      <c r="B60145">
        <f>TEXT(60144, "[$-0E0000]yyyy-mm-dd")</f>
        <v/>
      </c>
      <c r="C60145" t="inlineStr">
        <is>
          <t>2064-07-19</t>
        </is>
      </c>
    </row>
    <row r="60146">
      <c r="A60146" s="1" t="n">
        <v>60145</v>
      </c>
      <c r="B60146">
        <f>TEXT(60145, "[$-0E0000]yyyy-mm-dd")</f>
        <v/>
      </c>
      <c r="C60146" t="inlineStr">
        <is>
          <t>2064-07-20</t>
        </is>
      </c>
    </row>
    <row r="60147">
      <c r="A60147" s="1" t="n">
        <v>60146</v>
      </c>
      <c r="B60147">
        <f>TEXT(60146, "[$-0E0000]yyyy-mm-dd")</f>
        <v/>
      </c>
      <c r="C60147" t="inlineStr">
        <is>
          <t>2064-07-21</t>
        </is>
      </c>
    </row>
    <row r="60148">
      <c r="A60148" s="1" t="n">
        <v>60147</v>
      </c>
      <c r="B60148">
        <f>TEXT(60147, "[$-0E0000]yyyy-mm-dd")</f>
        <v/>
      </c>
      <c r="C60148" t="inlineStr">
        <is>
          <t>2064-07-22</t>
        </is>
      </c>
    </row>
    <row r="60149">
      <c r="A60149" s="1" t="n">
        <v>60148</v>
      </c>
      <c r="B60149">
        <f>TEXT(60148, "[$-0E0000]yyyy-mm-dd")</f>
        <v/>
      </c>
      <c r="C60149" t="inlineStr">
        <is>
          <t>2064-07-23</t>
        </is>
      </c>
    </row>
    <row r="60150">
      <c r="A60150" s="1" t="n">
        <v>60149</v>
      </c>
      <c r="B60150">
        <f>TEXT(60149, "[$-0E0000]yyyy-mm-dd")</f>
        <v/>
      </c>
      <c r="C60150" t="inlineStr">
        <is>
          <t>2064-07-24</t>
        </is>
      </c>
    </row>
    <row r="60151">
      <c r="A60151" s="1" t="n">
        <v>60150</v>
      </c>
      <c r="B60151">
        <f>TEXT(60150, "[$-0E0000]yyyy-mm-dd")</f>
        <v/>
      </c>
      <c r="C60151" t="inlineStr">
        <is>
          <t>2064-07-25</t>
        </is>
      </c>
    </row>
    <row r="60152">
      <c r="A60152" s="1" t="n">
        <v>60151</v>
      </c>
      <c r="B60152">
        <f>TEXT(60151, "[$-0E0000]yyyy-mm-dd")</f>
        <v/>
      </c>
      <c r="C60152" t="inlineStr">
        <is>
          <t>2064-07-26</t>
        </is>
      </c>
    </row>
    <row r="60153">
      <c r="A60153" s="1" t="n">
        <v>60152</v>
      </c>
      <c r="B60153">
        <f>TEXT(60152, "[$-0E0000]yyyy-mm-dd")</f>
        <v/>
      </c>
      <c r="C60153" t="inlineStr">
        <is>
          <t>2064-07-27</t>
        </is>
      </c>
    </row>
    <row r="60154">
      <c r="A60154" s="1" t="n">
        <v>60153</v>
      </c>
      <c r="B60154">
        <f>TEXT(60153, "[$-0E0000]yyyy-mm-dd")</f>
        <v/>
      </c>
      <c r="C60154" t="inlineStr">
        <is>
          <t>2064-07-28</t>
        </is>
      </c>
    </row>
    <row r="60155">
      <c r="A60155" s="1" t="n">
        <v>60154</v>
      </c>
      <c r="B60155">
        <f>TEXT(60154, "[$-0E0000]yyyy-mm-dd")</f>
        <v/>
      </c>
      <c r="C60155" t="inlineStr">
        <is>
          <t>2064-07-29</t>
        </is>
      </c>
    </row>
    <row r="60156">
      <c r="A60156" s="1" t="n">
        <v>60155</v>
      </c>
      <c r="B60156">
        <f>TEXT(60155, "[$-0E0000]yyyy-mm-dd")</f>
        <v/>
      </c>
      <c r="C60156" t="inlineStr">
        <is>
          <t>2064-08-01</t>
        </is>
      </c>
    </row>
    <row r="60157">
      <c r="A60157" s="1" t="n">
        <v>60156</v>
      </c>
      <c r="B60157">
        <f>TEXT(60156, "[$-0E0000]yyyy-mm-dd")</f>
        <v/>
      </c>
      <c r="C60157" t="inlineStr">
        <is>
          <t>2064-08-02</t>
        </is>
      </c>
    </row>
    <row r="60158">
      <c r="A60158" s="1" t="n">
        <v>60157</v>
      </c>
      <c r="B60158">
        <f>TEXT(60157, "[$-0E0000]yyyy-mm-dd")</f>
        <v/>
      </c>
      <c r="C60158" t="inlineStr">
        <is>
          <t>2064-08-03</t>
        </is>
      </c>
    </row>
    <row r="60159">
      <c r="A60159" s="1" t="n">
        <v>60158</v>
      </c>
      <c r="B60159">
        <f>TEXT(60158, "[$-0E0000]yyyy-mm-dd")</f>
        <v/>
      </c>
      <c r="C60159" t="inlineStr">
        <is>
          <t>2064-08-04</t>
        </is>
      </c>
    </row>
    <row r="60160">
      <c r="A60160" s="1" t="n">
        <v>60159</v>
      </c>
      <c r="B60160">
        <f>TEXT(60159, "[$-0E0000]yyyy-mm-dd")</f>
        <v/>
      </c>
      <c r="C60160" t="inlineStr">
        <is>
          <t>2064-08-05</t>
        </is>
      </c>
    </row>
    <row r="60161">
      <c r="A60161" s="1" t="n">
        <v>60160</v>
      </c>
      <c r="B60161">
        <f>TEXT(60160, "[$-0E0000]yyyy-mm-dd")</f>
        <v/>
      </c>
      <c r="C60161" t="inlineStr">
        <is>
          <t>2064-08-06</t>
        </is>
      </c>
    </row>
    <row r="60162">
      <c r="A60162" s="1" t="n">
        <v>60161</v>
      </c>
      <c r="B60162">
        <f>TEXT(60161, "[$-0E0000]yyyy-mm-dd")</f>
        <v/>
      </c>
      <c r="C60162" t="inlineStr">
        <is>
          <t>2064-08-07</t>
        </is>
      </c>
    </row>
    <row r="60163">
      <c r="A60163" s="1" t="n">
        <v>60162</v>
      </c>
      <c r="B60163">
        <f>TEXT(60162, "[$-0E0000]yyyy-mm-dd")</f>
        <v/>
      </c>
      <c r="C60163" t="inlineStr">
        <is>
          <t>2064-08-08</t>
        </is>
      </c>
    </row>
    <row r="60164">
      <c r="A60164" s="1" t="n">
        <v>60163</v>
      </c>
      <c r="B60164">
        <f>TEXT(60163, "[$-0E0000]yyyy-mm-dd")</f>
        <v/>
      </c>
      <c r="C60164" t="inlineStr">
        <is>
          <t>2064-08-09</t>
        </is>
      </c>
    </row>
    <row r="60165">
      <c r="A60165" s="1" t="n">
        <v>60164</v>
      </c>
      <c r="B60165">
        <f>TEXT(60164, "[$-0E0000]yyyy-mm-dd")</f>
        <v/>
      </c>
      <c r="C60165" t="inlineStr">
        <is>
          <t>2064-08-10</t>
        </is>
      </c>
    </row>
    <row r="60166">
      <c r="A60166" s="1" t="n">
        <v>60165</v>
      </c>
      <c r="B60166">
        <f>TEXT(60165, "[$-0E0000]yyyy-mm-dd")</f>
        <v/>
      </c>
      <c r="C60166" t="inlineStr">
        <is>
          <t>2064-08-11</t>
        </is>
      </c>
    </row>
    <row r="60167">
      <c r="A60167" s="1" t="n">
        <v>60166</v>
      </c>
      <c r="B60167">
        <f>TEXT(60166, "[$-0E0000]yyyy-mm-dd")</f>
        <v/>
      </c>
      <c r="C60167" t="inlineStr">
        <is>
          <t>2064-08-12</t>
        </is>
      </c>
    </row>
    <row r="60168">
      <c r="A60168" s="1" t="n">
        <v>60167</v>
      </c>
      <c r="B60168">
        <f>TEXT(60167, "[$-0E0000]yyyy-mm-dd")</f>
        <v/>
      </c>
      <c r="C60168" t="inlineStr">
        <is>
          <t>2064-08-13</t>
        </is>
      </c>
    </row>
    <row r="60169">
      <c r="A60169" s="1" t="n">
        <v>60168</v>
      </c>
      <c r="B60169">
        <f>TEXT(60168, "[$-0E0000]yyyy-mm-dd")</f>
        <v/>
      </c>
      <c r="C60169" t="inlineStr">
        <is>
          <t>2064-08-14</t>
        </is>
      </c>
    </row>
    <row r="60170">
      <c r="A60170" s="1" t="n">
        <v>60169</v>
      </c>
      <c r="B60170">
        <f>TEXT(60169, "[$-0E0000]yyyy-mm-dd")</f>
        <v/>
      </c>
      <c r="C60170" t="inlineStr">
        <is>
          <t>2064-08-15</t>
        </is>
      </c>
    </row>
    <row r="60171">
      <c r="A60171" s="1" t="n">
        <v>60170</v>
      </c>
      <c r="B60171">
        <f>TEXT(60170, "[$-0E0000]yyyy-mm-dd")</f>
        <v/>
      </c>
      <c r="C60171" t="inlineStr">
        <is>
          <t>2064-08-16</t>
        </is>
      </c>
    </row>
    <row r="60172">
      <c r="A60172" s="1" t="n">
        <v>60171</v>
      </c>
      <c r="B60172">
        <f>TEXT(60171, "[$-0E0000]yyyy-mm-dd")</f>
        <v/>
      </c>
      <c r="C60172" t="inlineStr">
        <is>
          <t>2064-08-17</t>
        </is>
      </c>
    </row>
    <row r="60173">
      <c r="A60173" s="1" t="n">
        <v>60172</v>
      </c>
      <c r="B60173">
        <f>TEXT(60172, "[$-0E0000]yyyy-mm-dd")</f>
        <v/>
      </c>
      <c r="C60173" t="inlineStr">
        <is>
          <t>2064-08-18</t>
        </is>
      </c>
    </row>
    <row r="60174">
      <c r="A60174" s="1" t="n">
        <v>60173</v>
      </c>
      <c r="B60174">
        <f>TEXT(60173, "[$-0E0000]yyyy-mm-dd")</f>
        <v/>
      </c>
      <c r="C60174" t="inlineStr">
        <is>
          <t>2064-08-19</t>
        </is>
      </c>
    </row>
    <row r="60175">
      <c r="A60175" s="1" t="n">
        <v>60174</v>
      </c>
      <c r="B60175">
        <f>TEXT(60174, "[$-0E0000]yyyy-mm-dd")</f>
        <v/>
      </c>
      <c r="C60175" t="inlineStr">
        <is>
          <t>2064-08-20</t>
        </is>
      </c>
    </row>
    <row r="60176">
      <c r="A60176" s="1" t="n">
        <v>60175</v>
      </c>
      <c r="B60176">
        <f>TEXT(60175, "[$-0E0000]yyyy-mm-dd")</f>
        <v/>
      </c>
      <c r="C60176" t="inlineStr">
        <is>
          <t>2064-08-21</t>
        </is>
      </c>
    </row>
    <row r="60177">
      <c r="A60177" s="1" t="n">
        <v>60176</v>
      </c>
      <c r="B60177">
        <f>TEXT(60176, "[$-0E0000]yyyy-mm-dd")</f>
        <v/>
      </c>
      <c r="C60177" t="inlineStr">
        <is>
          <t>2064-08-22</t>
        </is>
      </c>
    </row>
    <row r="60178">
      <c r="A60178" s="1" t="n">
        <v>60177</v>
      </c>
      <c r="B60178">
        <f>TEXT(60177, "[$-0E0000]yyyy-mm-dd")</f>
        <v/>
      </c>
      <c r="C60178" t="inlineStr">
        <is>
          <t>2064-08-23</t>
        </is>
      </c>
    </row>
    <row r="60179">
      <c r="A60179" s="1" t="n">
        <v>60178</v>
      </c>
      <c r="B60179">
        <f>TEXT(60178, "[$-0E0000]yyyy-mm-dd")</f>
        <v/>
      </c>
      <c r="C60179" t="inlineStr">
        <is>
          <t>2064-08-24</t>
        </is>
      </c>
    </row>
    <row r="60180">
      <c r="A60180" s="1" t="n">
        <v>60179</v>
      </c>
      <c r="B60180">
        <f>TEXT(60179, "[$-0E0000]yyyy-mm-dd")</f>
        <v/>
      </c>
      <c r="C60180" t="inlineStr">
        <is>
          <t>2064-08-25</t>
        </is>
      </c>
    </row>
    <row r="60181">
      <c r="A60181" s="1" t="n">
        <v>60180</v>
      </c>
      <c r="B60181">
        <f>TEXT(60180, "[$-0E0000]yyyy-mm-dd")</f>
        <v/>
      </c>
      <c r="C60181" t="inlineStr">
        <is>
          <t>2064-08-26</t>
        </is>
      </c>
    </row>
    <row r="60182">
      <c r="A60182" s="1" t="n">
        <v>60181</v>
      </c>
      <c r="B60182">
        <f>TEXT(60181, "[$-0E0000]yyyy-mm-dd")</f>
        <v/>
      </c>
      <c r="C60182" t="inlineStr">
        <is>
          <t>2064-08-27</t>
        </is>
      </c>
    </row>
    <row r="60183">
      <c r="A60183" s="1" t="n">
        <v>60182</v>
      </c>
      <c r="B60183">
        <f>TEXT(60182, "[$-0E0000]yyyy-mm-dd")</f>
        <v/>
      </c>
      <c r="C60183" t="inlineStr">
        <is>
          <t>2064-08-28</t>
        </is>
      </c>
    </row>
    <row r="60184">
      <c r="A60184" s="1" t="n">
        <v>60183</v>
      </c>
      <c r="B60184">
        <f>TEXT(60183, "[$-0E0000]yyyy-mm-dd")</f>
        <v/>
      </c>
      <c r="C60184" t="inlineStr">
        <is>
          <t>2064-08-29</t>
        </is>
      </c>
    </row>
    <row r="60185">
      <c r="A60185" s="1" t="n">
        <v>60184</v>
      </c>
      <c r="B60185">
        <f>TEXT(60184, "[$-0E0000]yyyy-mm-dd")</f>
        <v/>
      </c>
      <c r="C60185" t="inlineStr">
        <is>
          <t>2064-09-01</t>
        </is>
      </c>
    </row>
    <row r="60186">
      <c r="A60186" s="1" t="n">
        <v>60185</v>
      </c>
      <c r="B60186">
        <f>TEXT(60185, "[$-0E0000]yyyy-mm-dd")</f>
        <v/>
      </c>
      <c r="C60186" t="inlineStr">
        <is>
          <t>2064-09-02</t>
        </is>
      </c>
    </row>
    <row r="60187">
      <c r="A60187" s="1" t="n">
        <v>60186</v>
      </c>
      <c r="B60187">
        <f>TEXT(60186, "[$-0E0000]yyyy-mm-dd")</f>
        <v/>
      </c>
      <c r="C60187" t="inlineStr">
        <is>
          <t>2064-09-03</t>
        </is>
      </c>
    </row>
    <row r="60188">
      <c r="A60188" s="1" t="n">
        <v>60187</v>
      </c>
      <c r="B60188">
        <f>TEXT(60187, "[$-0E0000]yyyy-mm-dd")</f>
        <v/>
      </c>
      <c r="C60188" t="inlineStr">
        <is>
          <t>2064-09-04</t>
        </is>
      </c>
    </row>
    <row r="60189">
      <c r="A60189" s="1" t="n">
        <v>60188</v>
      </c>
      <c r="B60189">
        <f>TEXT(60188, "[$-0E0000]yyyy-mm-dd")</f>
        <v/>
      </c>
      <c r="C60189" t="inlineStr">
        <is>
          <t>2064-09-05</t>
        </is>
      </c>
    </row>
    <row r="60190">
      <c r="A60190" s="1" t="n">
        <v>60189</v>
      </c>
      <c r="B60190">
        <f>TEXT(60189, "[$-0E0000]yyyy-mm-dd")</f>
        <v/>
      </c>
      <c r="C60190" t="inlineStr">
        <is>
          <t>2064-09-06</t>
        </is>
      </c>
    </row>
    <row r="60191">
      <c r="A60191" s="1" t="n">
        <v>60190</v>
      </c>
      <c r="B60191">
        <f>TEXT(60190, "[$-0E0000]yyyy-mm-dd")</f>
        <v/>
      </c>
      <c r="C60191" t="inlineStr">
        <is>
          <t>2064-09-07</t>
        </is>
      </c>
    </row>
    <row r="60192">
      <c r="A60192" s="1" t="n">
        <v>60191</v>
      </c>
      <c r="B60192">
        <f>TEXT(60191, "[$-0E0000]yyyy-mm-dd")</f>
        <v/>
      </c>
      <c r="C60192" t="inlineStr">
        <is>
          <t>2064-09-08</t>
        </is>
      </c>
    </row>
    <row r="60193">
      <c r="A60193" s="1" t="n">
        <v>60192</v>
      </c>
      <c r="B60193">
        <f>TEXT(60192, "[$-0E0000]yyyy-mm-dd")</f>
        <v/>
      </c>
      <c r="C60193" t="inlineStr">
        <is>
          <t>2064-09-09</t>
        </is>
      </c>
    </row>
    <row r="60194">
      <c r="A60194" s="1" t="n">
        <v>60193</v>
      </c>
      <c r="B60194">
        <f>TEXT(60193, "[$-0E0000]yyyy-mm-dd")</f>
        <v/>
      </c>
      <c r="C60194" t="inlineStr">
        <is>
          <t>2064-09-10</t>
        </is>
      </c>
    </row>
    <row r="60195">
      <c r="A60195" s="1" t="n">
        <v>60194</v>
      </c>
      <c r="B60195">
        <f>TEXT(60194, "[$-0E0000]yyyy-mm-dd")</f>
        <v/>
      </c>
      <c r="C60195" t="inlineStr">
        <is>
          <t>2064-09-11</t>
        </is>
      </c>
    </row>
    <row r="60196">
      <c r="A60196" s="1" t="n">
        <v>60195</v>
      </c>
      <c r="B60196">
        <f>TEXT(60195, "[$-0E0000]yyyy-mm-dd")</f>
        <v/>
      </c>
      <c r="C60196" t="inlineStr">
        <is>
          <t>2064-09-12</t>
        </is>
      </c>
    </row>
    <row r="60197">
      <c r="A60197" s="1" t="n">
        <v>60196</v>
      </c>
      <c r="B60197">
        <f>TEXT(60196, "[$-0E0000]yyyy-mm-dd")</f>
        <v/>
      </c>
      <c r="C60197" t="inlineStr">
        <is>
          <t>2064-09-13</t>
        </is>
      </c>
    </row>
    <row r="60198">
      <c r="A60198" s="1" t="n">
        <v>60197</v>
      </c>
      <c r="B60198">
        <f>TEXT(60197, "[$-0E0000]yyyy-mm-dd")</f>
        <v/>
      </c>
      <c r="C60198" t="inlineStr">
        <is>
          <t>2064-09-14</t>
        </is>
      </c>
    </row>
    <row r="60199">
      <c r="A60199" s="1" t="n">
        <v>60198</v>
      </c>
      <c r="B60199">
        <f>TEXT(60198, "[$-0E0000]yyyy-mm-dd")</f>
        <v/>
      </c>
      <c r="C60199" t="inlineStr">
        <is>
          <t>2064-09-15</t>
        </is>
      </c>
    </row>
    <row r="60200">
      <c r="A60200" s="1" t="n">
        <v>60199</v>
      </c>
      <c r="B60200">
        <f>TEXT(60199, "[$-0E0000]yyyy-mm-dd")</f>
        <v/>
      </c>
      <c r="C60200" t="inlineStr">
        <is>
          <t>2064-09-16</t>
        </is>
      </c>
    </row>
    <row r="60201">
      <c r="A60201" s="1" t="n">
        <v>60200</v>
      </c>
      <c r="B60201">
        <f>TEXT(60200, "[$-0E0000]yyyy-mm-dd")</f>
        <v/>
      </c>
      <c r="C60201" t="inlineStr">
        <is>
          <t>2064-09-17</t>
        </is>
      </c>
    </row>
    <row r="60202">
      <c r="A60202" s="1" t="n">
        <v>60201</v>
      </c>
      <c r="B60202">
        <f>TEXT(60201, "[$-0E0000]yyyy-mm-dd")</f>
        <v/>
      </c>
      <c r="C60202" t="inlineStr">
        <is>
          <t>2064-09-18</t>
        </is>
      </c>
    </row>
    <row r="60203">
      <c r="A60203" s="1" t="n">
        <v>60202</v>
      </c>
      <c r="B60203">
        <f>TEXT(60202, "[$-0E0000]yyyy-mm-dd")</f>
        <v/>
      </c>
      <c r="C60203" t="inlineStr">
        <is>
          <t>2064-09-19</t>
        </is>
      </c>
    </row>
    <row r="60204">
      <c r="A60204" s="1" t="n">
        <v>60203</v>
      </c>
      <c r="B60204">
        <f>TEXT(60203, "[$-0E0000]yyyy-mm-dd")</f>
        <v/>
      </c>
      <c r="C60204" t="inlineStr">
        <is>
          <t>2064-09-20</t>
        </is>
      </c>
    </row>
    <row r="60205">
      <c r="A60205" s="1" t="n">
        <v>60204</v>
      </c>
      <c r="B60205">
        <f>TEXT(60204, "[$-0E0000]yyyy-mm-dd")</f>
        <v/>
      </c>
      <c r="C60205" t="inlineStr">
        <is>
          <t>2064-09-21</t>
        </is>
      </c>
    </row>
    <row r="60206">
      <c r="A60206" s="1" t="n">
        <v>60205</v>
      </c>
      <c r="B60206">
        <f>TEXT(60205, "[$-0E0000]yyyy-mm-dd")</f>
        <v/>
      </c>
      <c r="C60206" t="inlineStr">
        <is>
          <t>2064-09-22</t>
        </is>
      </c>
    </row>
    <row r="60207">
      <c r="A60207" s="1" t="n">
        <v>60206</v>
      </c>
      <c r="B60207">
        <f>TEXT(60206, "[$-0E0000]yyyy-mm-dd")</f>
        <v/>
      </c>
      <c r="C60207" t="inlineStr">
        <is>
          <t>2064-09-23</t>
        </is>
      </c>
    </row>
    <row r="60208">
      <c r="A60208" s="1" t="n">
        <v>60207</v>
      </c>
      <c r="B60208">
        <f>TEXT(60207, "[$-0E0000]yyyy-mm-dd")</f>
        <v/>
      </c>
      <c r="C60208" t="inlineStr">
        <is>
          <t>2064-09-24</t>
        </is>
      </c>
    </row>
    <row r="60209">
      <c r="A60209" s="1" t="n">
        <v>60208</v>
      </c>
      <c r="B60209">
        <f>TEXT(60208, "[$-0E0000]yyyy-mm-dd")</f>
        <v/>
      </c>
      <c r="C60209" t="inlineStr">
        <is>
          <t>2064-09-25</t>
        </is>
      </c>
    </row>
    <row r="60210">
      <c r="A60210" s="1" t="n">
        <v>60209</v>
      </c>
      <c r="B60210">
        <f>TEXT(60209, "[$-0E0000]yyyy-mm-dd")</f>
        <v/>
      </c>
      <c r="C60210" t="inlineStr">
        <is>
          <t>2064-09-26</t>
        </is>
      </c>
    </row>
    <row r="60211">
      <c r="A60211" s="1" t="n">
        <v>60210</v>
      </c>
      <c r="B60211">
        <f>TEXT(60210, "[$-0E0000]yyyy-mm-dd")</f>
        <v/>
      </c>
      <c r="C60211" t="inlineStr">
        <is>
          <t>2064-09-27</t>
        </is>
      </c>
    </row>
    <row r="60212">
      <c r="A60212" s="1" t="n">
        <v>60211</v>
      </c>
      <c r="B60212">
        <f>TEXT(60211, "[$-0E0000]yyyy-mm-dd")</f>
        <v/>
      </c>
      <c r="C60212" t="inlineStr">
        <is>
          <t>2064-09-28</t>
        </is>
      </c>
    </row>
    <row r="60213">
      <c r="A60213" s="1" t="n">
        <v>60212</v>
      </c>
      <c r="B60213">
        <f>TEXT(60212, "[$-0E0000]yyyy-mm-dd")</f>
        <v/>
      </c>
      <c r="C60213" t="inlineStr">
        <is>
          <t>2064-09-29</t>
        </is>
      </c>
    </row>
    <row r="60214">
      <c r="A60214" s="1" t="n">
        <v>60213</v>
      </c>
      <c r="B60214">
        <f>TEXT(60213, "[$-0E0000]yyyy-mm-dd")</f>
        <v/>
      </c>
      <c r="C60214" t="inlineStr">
        <is>
          <t>2064-09-30</t>
        </is>
      </c>
    </row>
    <row r="60215">
      <c r="A60215" s="1" t="n">
        <v>60214</v>
      </c>
      <c r="B60215">
        <f>TEXT(60214, "[$-0E0000]yyyy-mm-dd")</f>
        <v/>
      </c>
      <c r="C60215" t="inlineStr">
        <is>
          <t>2064-10-01</t>
        </is>
      </c>
    </row>
    <row r="60216">
      <c r="A60216" s="1" t="n">
        <v>60215</v>
      </c>
      <c r="B60216">
        <f>TEXT(60215, "[$-0E0000]yyyy-mm-dd")</f>
        <v/>
      </c>
      <c r="C60216" t="inlineStr">
        <is>
          <t>2064-10-02</t>
        </is>
      </c>
    </row>
    <row r="60217">
      <c r="A60217" s="1" t="n">
        <v>60216</v>
      </c>
      <c r="B60217">
        <f>TEXT(60216, "[$-0E0000]yyyy-mm-dd")</f>
        <v/>
      </c>
      <c r="C60217" t="inlineStr">
        <is>
          <t>2064-10-03</t>
        </is>
      </c>
    </row>
    <row r="60218">
      <c r="A60218" s="1" t="n">
        <v>60217</v>
      </c>
      <c r="B60218">
        <f>TEXT(60217, "[$-0E0000]yyyy-mm-dd")</f>
        <v/>
      </c>
      <c r="C60218" t="inlineStr">
        <is>
          <t>2064-10-04</t>
        </is>
      </c>
    </row>
    <row r="60219">
      <c r="A60219" s="1" t="n">
        <v>60218</v>
      </c>
      <c r="B60219">
        <f>TEXT(60218, "[$-0E0000]yyyy-mm-dd")</f>
        <v/>
      </c>
      <c r="C60219" t="inlineStr">
        <is>
          <t>2064-10-05</t>
        </is>
      </c>
    </row>
    <row r="60220">
      <c r="A60220" s="1" t="n">
        <v>60219</v>
      </c>
      <c r="B60220">
        <f>TEXT(60219, "[$-0E0000]yyyy-mm-dd")</f>
        <v/>
      </c>
      <c r="C60220" t="inlineStr">
        <is>
          <t>2064-10-06</t>
        </is>
      </c>
    </row>
    <row r="60221">
      <c r="A60221" s="1" t="n">
        <v>60220</v>
      </c>
      <c r="B60221">
        <f>TEXT(60220, "[$-0E0000]yyyy-mm-dd")</f>
        <v/>
      </c>
      <c r="C60221" t="inlineStr">
        <is>
          <t>2064-10-07</t>
        </is>
      </c>
    </row>
    <row r="60222">
      <c r="A60222" s="1" t="n">
        <v>60221</v>
      </c>
      <c r="B60222">
        <f>TEXT(60221, "[$-0E0000]yyyy-mm-dd")</f>
        <v/>
      </c>
      <c r="C60222" t="inlineStr">
        <is>
          <t>2064-10-08</t>
        </is>
      </c>
    </row>
    <row r="60223">
      <c r="A60223" s="1" t="n">
        <v>60222</v>
      </c>
      <c r="B60223">
        <f>TEXT(60222, "[$-0E0000]yyyy-mm-dd")</f>
        <v/>
      </c>
      <c r="C60223" t="inlineStr">
        <is>
          <t>2064-10-09</t>
        </is>
      </c>
    </row>
    <row r="60224">
      <c r="A60224" s="1" t="n">
        <v>60223</v>
      </c>
      <c r="B60224">
        <f>TEXT(60223, "[$-0E0000]yyyy-mm-dd")</f>
        <v/>
      </c>
      <c r="C60224" t="inlineStr">
        <is>
          <t>2064-10-10</t>
        </is>
      </c>
    </row>
    <row r="60225">
      <c r="A60225" s="1" t="n">
        <v>60224</v>
      </c>
      <c r="B60225">
        <f>TEXT(60224, "[$-0E0000]yyyy-mm-dd")</f>
        <v/>
      </c>
      <c r="C60225" t="inlineStr">
        <is>
          <t>2064-10-11</t>
        </is>
      </c>
    </row>
    <row r="60226">
      <c r="A60226" s="1" t="n">
        <v>60225</v>
      </c>
      <c r="B60226">
        <f>TEXT(60225, "[$-0E0000]yyyy-mm-dd")</f>
        <v/>
      </c>
      <c r="C60226" t="inlineStr">
        <is>
          <t>2064-10-12</t>
        </is>
      </c>
    </row>
    <row r="60227">
      <c r="A60227" s="1" t="n">
        <v>60226</v>
      </c>
      <c r="B60227">
        <f>TEXT(60226, "[$-0E0000]yyyy-mm-dd")</f>
        <v/>
      </c>
      <c r="C60227" t="inlineStr">
        <is>
          <t>2064-10-13</t>
        </is>
      </c>
    </row>
    <row r="60228">
      <c r="A60228" s="1" t="n">
        <v>60227</v>
      </c>
      <c r="B60228">
        <f>TEXT(60227, "[$-0E0000]yyyy-mm-dd")</f>
        <v/>
      </c>
      <c r="C60228" t="inlineStr">
        <is>
          <t>2064-10-14</t>
        </is>
      </c>
    </row>
    <row r="60229">
      <c r="A60229" s="1" t="n">
        <v>60228</v>
      </c>
      <c r="B60229">
        <f>TEXT(60228, "[$-0E0000]yyyy-mm-dd")</f>
        <v/>
      </c>
      <c r="C60229" t="inlineStr">
        <is>
          <t>2064-10-15</t>
        </is>
      </c>
    </row>
    <row r="60230">
      <c r="A60230" s="1" t="n">
        <v>60229</v>
      </c>
      <c r="B60230">
        <f>TEXT(60229, "[$-0E0000]yyyy-mm-dd")</f>
        <v/>
      </c>
      <c r="C60230" t="inlineStr">
        <is>
          <t>2064-10-16</t>
        </is>
      </c>
    </row>
    <row r="60231">
      <c r="A60231" s="1" t="n">
        <v>60230</v>
      </c>
      <c r="B60231">
        <f>TEXT(60230, "[$-0E0000]yyyy-mm-dd")</f>
        <v/>
      </c>
      <c r="C60231" t="inlineStr">
        <is>
          <t>2064-10-17</t>
        </is>
      </c>
    </row>
    <row r="60232">
      <c r="A60232" s="1" t="n">
        <v>60231</v>
      </c>
      <c r="B60232">
        <f>TEXT(60231, "[$-0E0000]yyyy-mm-dd")</f>
        <v/>
      </c>
      <c r="C60232" t="inlineStr">
        <is>
          <t>2064-10-18</t>
        </is>
      </c>
    </row>
    <row r="60233">
      <c r="A60233" s="1" t="n">
        <v>60232</v>
      </c>
      <c r="B60233">
        <f>TEXT(60232, "[$-0E0000]yyyy-mm-dd")</f>
        <v/>
      </c>
      <c r="C60233" t="inlineStr">
        <is>
          <t>2064-10-19</t>
        </is>
      </c>
    </row>
    <row r="60234">
      <c r="A60234" s="1" t="n">
        <v>60233</v>
      </c>
      <c r="B60234">
        <f>TEXT(60233, "[$-0E0000]yyyy-mm-dd")</f>
        <v/>
      </c>
      <c r="C60234" t="inlineStr">
        <is>
          <t>2064-10-20</t>
        </is>
      </c>
    </row>
    <row r="60235">
      <c r="A60235" s="1" t="n">
        <v>60234</v>
      </c>
      <c r="B60235">
        <f>TEXT(60234, "[$-0E0000]yyyy-mm-dd")</f>
        <v/>
      </c>
      <c r="C60235" t="inlineStr">
        <is>
          <t>2064-10-21</t>
        </is>
      </c>
    </row>
    <row r="60236">
      <c r="A60236" s="1" t="n">
        <v>60235</v>
      </c>
      <c r="B60236">
        <f>TEXT(60235, "[$-0E0000]yyyy-mm-dd")</f>
        <v/>
      </c>
      <c r="C60236" t="inlineStr">
        <is>
          <t>2064-10-22</t>
        </is>
      </c>
    </row>
    <row r="60237">
      <c r="A60237" s="1" t="n">
        <v>60236</v>
      </c>
      <c r="B60237">
        <f>TEXT(60236, "[$-0E0000]yyyy-mm-dd")</f>
        <v/>
      </c>
      <c r="C60237" t="inlineStr">
        <is>
          <t>2064-10-23</t>
        </is>
      </c>
    </row>
    <row r="60238">
      <c r="A60238" s="1" t="n">
        <v>60237</v>
      </c>
      <c r="B60238">
        <f>TEXT(60237, "[$-0E0000]yyyy-mm-dd")</f>
        <v/>
      </c>
      <c r="C60238" t="inlineStr">
        <is>
          <t>2064-10-24</t>
        </is>
      </c>
    </row>
    <row r="60239">
      <c r="A60239" s="1" t="n">
        <v>60238</v>
      </c>
      <c r="B60239">
        <f>TEXT(60238, "[$-0E0000]yyyy-mm-dd")</f>
        <v/>
      </c>
      <c r="C60239" t="inlineStr">
        <is>
          <t>2064-10-25</t>
        </is>
      </c>
    </row>
    <row r="60240">
      <c r="A60240" s="1" t="n">
        <v>60239</v>
      </c>
      <c r="B60240">
        <f>TEXT(60239, "[$-0E0000]yyyy-mm-dd")</f>
        <v/>
      </c>
      <c r="C60240" t="inlineStr">
        <is>
          <t>2064-10-26</t>
        </is>
      </c>
    </row>
    <row r="60241">
      <c r="A60241" s="1" t="n">
        <v>60240</v>
      </c>
      <c r="B60241">
        <f>TEXT(60240, "[$-0E0000]yyyy-mm-dd")</f>
        <v/>
      </c>
      <c r="C60241" t="inlineStr">
        <is>
          <t>2064-10-27</t>
        </is>
      </c>
    </row>
    <row r="60242">
      <c r="A60242" s="1" t="n">
        <v>60241</v>
      </c>
      <c r="B60242">
        <f>TEXT(60241, "[$-0E0000]yyyy-mm-dd")</f>
        <v/>
      </c>
      <c r="C60242" t="inlineStr">
        <is>
          <t>2064-10-28</t>
        </is>
      </c>
    </row>
    <row r="60243">
      <c r="A60243" s="1" t="n">
        <v>60242</v>
      </c>
      <c r="B60243">
        <f>TEXT(60242, "[$-0E0000]yyyy-mm-dd")</f>
        <v/>
      </c>
      <c r="C60243" t="inlineStr">
        <is>
          <t>2064-10-29</t>
        </is>
      </c>
    </row>
    <row r="60244">
      <c r="A60244" s="1" t="n">
        <v>60243</v>
      </c>
      <c r="B60244">
        <f>TEXT(60243, "[$-0E0000]yyyy-mm-dd")</f>
        <v/>
      </c>
      <c r="C60244" t="inlineStr">
        <is>
          <t>2064-11-01</t>
        </is>
      </c>
    </row>
    <row r="60245">
      <c r="A60245" s="1" t="n">
        <v>60244</v>
      </c>
      <c r="B60245">
        <f>TEXT(60244, "[$-0E0000]yyyy-mm-dd")</f>
        <v/>
      </c>
      <c r="C60245" t="inlineStr">
        <is>
          <t>2064-11-02</t>
        </is>
      </c>
    </row>
    <row r="60246">
      <c r="A60246" s="1" t="n">
        <v>60245</v>
      </c>
      <c r="B60246">
        <f>TEXT(60245, "[$-0E0000]yyyy-mm-dd")</f>
        <v/>
      </c>
      <c r="C60246" t="inlineStr">
        <is>
          <t>2064-11-03</t>
        </is>
      </c>
    </row>
    <row r="60247">
      <c r="A60247" s="1" t="n">
        <v>60246</v>
      </c>
      <c r="B60247">
        <f>TEXT(60246, "[$-0E0000]yyyy-mm-dd")</f>
        <v/>
      </c>
      <c r="C60247" t="inlineStr">
        <is>
          <t>2064-11-04</t>
        </is>
      </c>
    </row>
    <row r="60248">
      <c r="A60248" s="1" t="n">
        <v>60247</v>
      </c>
      <c r="B60248">
        <f>TEXT(60247, "[$-0E0000]yyyy-mm-dd")</f>
        <v/>
      </c>
      <c r="C60248" t="inlineStr">
        <is>
          <t>2064-11-05</t>
        </is>
      </c>
    </row>
    <row r="60249">
      <c r="A60249" s="1" t="n">
        <v>60248</v>
      </c>
      <c r="B60249">
        <f>TEXT(60248, "[$-0E0000]yyyy-mm-dd")</f>
        <v/>
      </c>
      <c r="C60249" t="inlineStr">
        <is>
          <t>2064-11-06</t>
        </is>
      </c>
    </row>
    <row r="60250">
      <c r="A60250" s="1" t="n">
        <v>60249</v>
      </c>
      <c r="B60250">
        <f>TEXT(60249, "[$-0E0000]yyyy-mm-dd")</f>
        <v/>
      </c>
      <c r="C60250" t="inlineStr">
        <is>
          <t>2064-11-07</t>
        </is>
      </c>
    </row>
    <row r="60251">
      <c r="A60251" s="1" t="n">
        <v>60250</v>
      </c>
      <c r="B60251">
        <f>TEXT(60250, "[$-0E0000]yyyy-mm-dd")</f>
        <v/>
      </c>
      <c r="C60251" t="inlineStr">
        <is>
          <t>2064-11-08</t>
        </is>
      </c>
    </row>
    <row r="60252">
      <c r="A60252" s="1" t="n">
        <v>60251</v>
      </c>
      <c r="B60252">
        <f>TEXT(60251, "[$-0E0000]yyyy-mm-dd")</f>
        <v/>
      </c>
      <c r="C60252" t="inlineStr">
        <is>
          <t>2064-11-09</t>
        </is>
      </c>
    </row>
    <row r="60253">
      <c r="A60253" s="1" t="n">
        <v>60252</v>
      </c>
      <c r="B60253">
        <f>TEXT(60252, "[$-0E0000]yyyy-mm-dd")</f>
        <v/>
      </c>
      <c r="C60253" t="inlineStr">
        <is>
          <t>2064-11-10</t>
        </is>
      </c>
    </row>
    <row r="60254">
      <c r="A60254" s="1" t="n">
        <v>60253</v>
      </c>
      <c r="B60254">
        <f>TEXT(60253, "[$-0E0000]yyyy-mm-dd")</f>
        <v/>
      </c>
      <c r="C60254" t="inlineStr">
        <is>
          <t>2064-11-11</t>
        </is>
      </c>
    </row>
    <row r="60255">
      <c r="A60255" s="1" t="n">
        <v>60254</v>
      </c>
      <c r="B60255">
        <f>TEXT(60254, "[$-0E0000]yyyy-mm-dd")</f>
        <v/>
      </c>
      <c r="C60255" t="inlineStr">
        <is>
          <t>2064-11-12</t>
        </is>
      </c>
    </row>
    <row r="60256">
      <c r="A60256" s="1" t="n">
        <v>60255</v>
      </c>
      <c r="B60256">
        <f>TEXT(60255, "[$-0E0000]yyyy-mm-dd")</f>
        <v/>
      </c>
      <c r="C60256" t="inlineStr">
        <is>
          <t>2064-11-13</t>
        </is>
      </c>
    </row>
    <row r="60257">
      <c r="A60257" s="1" t="n">
        <v>60256</v>
      </c>
      <c r="B60257">
        <f>TEXT(60256, "[$-0E0000]yyyy-mm-dd")</f>
        <v/>
      </c>
      <c r="C60257" t="inlineStr">
        <is>
          <t>2064-11-14</t>
        </is>
      </c>
    </row>
    <row r="60258">
      <c r="A60258" s="1" t="n">
        <v>60257</v>
      </c>
      <c r="B60258">
        <f>TEXT(60257, "[$-0E0000]yyyy-mm-dd")</f>
        <v/>
      </c>
      <c r="C60258" t="inlineStr">
        <is>
          <t>2064-11-15</t>
        </is>
      </c>
    </row>
    <row r="60259">
      <c r="A60259" s="1" t="n">
        <v>60258</v>
      </c>
      <c r="B60259">
        <f>TEXT(60258, "[$-0E0000]yyyy-mm-dd")</f>
        <v/>
      </c>
      <c r="C60259" t="inlineStr">
        <is>
          <t>2064-11-16</t>
        </is>
      </c>
    </row>
    <row r="60260">
      <c r="A60260" s="1" t="n">
        <v>60259</v>
      </c>
      <c r="B60260">
        <f>TEXT(60259, "[$-0E0000]yyyy-mm-dd")</f>
        <v/>
      </c>
      <c r="C60260" t="inlineStr">
        <is>
          <t>2064-11-17</t>
        </is>
      </c>
    </row>
    <row r="60261">
      <c r="A60261" s="1" t="n">
        <v>60260</v>
      </c>
      <c r="B60261">
        <f>TEXT(60260, "[$-0E0000]yyyy-mm-dd")</f>
        <v/>
      </c>
      <c r="C60261" t="inlineStr">
        <is>
          <t>2064-11-18</t>
        </is>
      </c>
    </row>
    <row r="60262">
      <c r="A60262" s="1" t="n">
        <v>60261</v>
      </c>
      <c r="B60262">
        <f>TEXT(60261, "[$-0E0000]yyyy-mm-dd")</f>
        <v/>
      </c>
      <c r="C60262" t="inlineStr">
        <is>
          <t>2064-11-19</t>
        </is>
      </c>
    </row>
    <row r="60263">
      <c r="A60263" s="1" t="n">
        <v>60262</v>
      </c>
      <c r="B60263">
        <f>TEXT(60262, "[$-0E0000]yyyy-mm-dd")</f>
        <v/>
      </c>
      <c r="C60263" t="inlineStr">
        <is>
          <t>2064-11-20</t>
        </is>
      </c>
    </row>
    <row r="60264">
      <c r="A60264" s="1" t="n">
        <v>60263</v>
      </c>
      <c r="B60264">
        <f>TEXT(60263, "[$-0E0000]yyyy-mm-dd")</f>
        <v/>
      </c>
      <c r="C60264" t="inlineStr">
        <is>
          <t>2064-11-21</t>
        </is>
      </c>
    </row>
    <row r="60265">
      <c r="A60265" s="1" t="n">
        <v>60264</v>
      </c>
      <c r="B60265">
        <f>TEXT(60264, "[$-0E0000]yyyy-mm-dd")</f>
        <v/>
      </c>
      <c r="C60265" t="inlineStr">
        <is>
          <t>2064-11-22</t>
        </is>
      </c>
    </row>
    <row r="60266">
      <c r="A60266" s="1" t="n">
        <v>60265</v>
      </c>
      <c r="B60266">
        <f>TEXT(60265, "[$-0E0000]yyyy-mm-dd")</f>
        <v/>
      </c>
      <c r="C60266" t="inlineStr">
        <is>
          <t>2064-11-23</t>
        </is>
      </c>
    </row>
    <row r="60267">
      <c r="A60267" s="1" t="n">
        <v>60266</v>
      </c>
      <c r="B60267">
        <f>TEXT(60266, "[$-0E0000]yyyy-mm-dd")</f>
        <v/>
      </c>
      <c r="C60267" t="inlineStr">
        <is>
          <t>2064-11-24</t>
        </is>
      </c>
    </row>
    <row r="60268">
      <c r="A60268" s="1" t="n">
        <v>60267</v>
      </c>
      <c r="B60268">
        <f>TEXT(60267, "[$-0E0000]yyyy-mm-dd")</f>
        <v/>
      </c>
      <c r="C60268" t="inlineStr">
        <is>
          <t>2064-11-25</t>
        </is>
      </c>
    </row>
    <row r="60269">
      <c r="A60269" s="1" t="n">
        <v>60268</v>
      </c>
      <c r="B60269">
        <f>TEXT(60268, "[$-0E0000]yyyy-mm-dd")</f>
        <v/>
      </c>
      <c r="C60269" t="inlineStr">
        <is>
          <t>2064-11-26</t>
        </is>
      </c>
    </row>
    <row r="60270">
      <c r="A60270" s="1" t="n">
        <v>60269</v>
      </c>
      <c r="B60270">
        <f>TEXT(60269, "[$-0E0000]yyyy-mm-dd")</f>
        <v/>
      </c>
      <c r="C60270" t="inlineStr">
        <is>
          <t>2064-11-27</t>
        </is>
      </c>
    </row>
    <row r="60271">
      <c r="A60271" s="1" t="n">
        <v>60270</v>
      </c>
      <c r="B60271">
        <f>TEXT(60270, "[$-0E0000]yyyy-mm-dd")</f>
        <v/>
      </c>
      <c r="C60271" t="inlineStr">
        <is>
          <t>2064-11-28</t>
        </is>
      </c>
    </row>
    <row r="60272">
      <c r="A60272" s="1" t="n">
        <v>60271</v>
      </c>
      <c r="B60272">
        <f>TEXT(60271, "[$-0E0000]yyyy-mm-dd")</f>
        <v/>
      </c>
      <c r="C60272" t="inlineStr">
        <is>
          <t>2064-11-29</t>
        </is>
      </c>
    </row>
    <row r="60273">
      <c r="A60273" s="1" t="n">
        <v>60272</v>
      </c>
      <c r="B60273">
        <f>TEXT(60272, "[$-0E0000]yyyy-mm-dd")</f>
        <v/>
      </c>
      <c r="C60273" t="inlineStr">
        <is>
          <t>2064-11-30</t>
        </is>
      </c>
    </row>
    <row r="60274">
      <c r="A60274" s="1" t="n">
        <v>60273</v>
      </c>
      <c r="B60274">
        <f>TEXT(60273, "[$-0E0000]yyyy-mm-dd")</f>
        <v/>
      </c>
      <c r="C60274" t="inlineStr">
        <is>
          <t>2064-12-01</t>
        </is>
      </c>
    </row>
    <row r="60275">
      <c r="A60275" s="1" t="n">
        <v>60274</v>
      </c>
      <c r="B60275">
        <f>TEXT(60274, "[$-0E0000]yyyy-mm-dd")</f>
        <v/>
      </c>
      <c r="C60275" t="inlineStr">
        <is>
          <t>2064-12-02</t>
        </is>
      </c>
    </row>
    <row r="60276">
      <c r="A60276" s="1" t="n">
        <v>60275</v>
      </c>
      <c r="B60276">
        <f>TEXT(60275, "[$-0E0000]yyyy-mm-dd")</f>
        <v/>
      </c>
      <c r="C60276" t="inlineStr">
        <is>
          <t>2064-12-03</t>
        </is>
      </c>
    </row>
    <row r="60277">
      <c r="A60277" s="1" t="n">
        <v>60276</v>
      </c>
      <c r="B60277">
        <f>TEXT(60276, "[$-0E0000]yyyy-mm-dd")</f>
        <v/>
      </c>
      <c r="C60277" t="inlineStr">
        <is>
          <t>2064-12-04</t>
        </is>
      </c>
    </row>
    <row r="60278">
      <c r="A60278" s="1" t="n">
        <v>60277</v>
      </c>
      <c r="B60278">
        <f>TEXT(60277, "[$-0E0000]yyyy-mm-dd")</f>
        <v/>
      </c>
      <c r="C60278" t="inlineStr">
        <is>
          <t>2064-12-05</t>
        </is>
      </c>
    </row>
    <row r="60279">
      <c r="A60279" s="1" t="n">
        <v>60278</v>
      </c>
      <c r="B60279">
        <f>TEXT(60278, "[$-0E0000]yyyy-mm-dd")</f>
        <v/>
      </c>
      <c r="C60279" t="inlineStr">
        <is>
          <t>2064-12-06</t>
        </is>
      </c>
    </row>
    <row r="60280">
      <c r="A60280" s="1" t="n">
        <v>60279</v>
      </c>
      <c r="B60280">
        <f>TEXT(60279, "[$-0E0000]yyyy-mm-dd")</f>
        <v/>
      </c>
      <c r="C60280" t="inlineStr">
        <is>
          <t>2064-12-07</t>
        </is>
      </c>
    </row>
    <row r="60281">
      <c r="A60281" s="1" t="n">
        <v>60280</v>
      </c>
      <c r="B60281">
        <f>TEXT(60280, "[$-0E0000]yyyy-mm-dd")</f>
        <v/>
      </c>
      <c r="C60281" t="inlineStr">
        <is>
          <t>2064-12-08</t>
        </is>
      </c>
    </row>
    <row r="60282">
      <c r="A60282" s="1" t="n">
        <v>60281</v>
      </c>
      <c r="B60282">
        <f>TEXT(60281, "[$-0E0000]yyyy-mm-dd")</f>
        <v/>
      </c>
      <c r="C60282" t="inlineStr">
        <is>
          <t>2064-12-09</t>
        </is>
      </c>
    </row>
    <row r="60283">
      <c r="A60283" s="1" t="n">
        <v>60282</v>
      </c>
      <c r="B60283">
        <f>TEXT(60282, "[$-0E0000]yyyy-mm-dd")</f>
        <v/>
      </c>
      <c r="C60283" t="inlineStr">
        <is>
          <t>2064-12-10</t>
        </is>
      </c>
    </row>
    <row r="60284">
      <c r="A60284" s="1" t="n">
        <v>60283</v>
      </c>
      <c r="B60284">
        <f>TEXT(60283, "[$-0E0000]yyyy-mm-dd")</f>
        <v/>
      </c>
      <c r="C60284" t="inlineStr">
        <is>
          <t>2064-12-11</t>
        </is>
      </c>
    </row>
    <row r="60285">
      <c r="A60285" s="1" t="n">
        <v>60284</v>
      </c>
      <c r="B60285">
        <f>TEXT(60284, "[$-0E0000]yyyy-mm-dd")</f>
        <v/>
      </c>
      <c r="C60285" t="inlineStr">
        <is>
          <t>2064-12-12</t>
        </is>
      </c>
    </row>
    <row r="60286">
      <c r="A60286" s="1" t="n">
        <v>60285</v>
      </c>
      <c r="B60286">
        <f>TEXT(60285, "[$-0E0000]yyyy-mm-dd")</f>
        <v/>
      </c>
      <c r="C60286" t="inlineStr">
        <is>
          <t>2064-12-13</t>
        </is>
      </c>
    </row>
    <row r="60287">
      <c r="A60287" s="1" t="n">
        <v>60286</v>
      </c>
      <c r="B60287">
        <f>TEXT(60286, "[$-0E0000]yyyy-mm-dd")</f>
        <v/>
      </c>
      <c r="C60287" t="inlineStr">
        <is>
          <t>2064-12-14</t>
        </is>
      </c>
    </row>
    <row r="60288">
      <c r="A60288" s="1" t="n">
        <v>60287</v>
      </c>
      <c r="B60288">
        <f>TEXT(60287, "[$-0E0000]yyyy-mm-dd")</f>
        <v/>
      </c>
      <c r="C60288" t="inlineStr">
        <is>
          <t>2064-12-15</t>
        </is>
      </c>
    </row>
    <row r="60289">
      <c r="A60289" s="1" t="n">
        <v>60288</v>
      </c>
      <c r="B60289">
        <f>TEXT(60288, "[$-0E0000]yyyy-mm-dd")</f>
        <v/>
      </c>
      <c r="C60289" t="inlineStr">
        <is>
          <t>2064-12-16</t>
        </is>
      </c>
    </row>
    <row r="60290">
      <c r="A60290" s="1" t="n">
        <v>60289</v>
      </c>
      <c r="B60290">
        <f>TEXT(60289, "[$-0E0000]yyyy-mm-dd")</f>
        <v/>
      </c>
      <c r="C60290" t="inlineStr">
        <is>
          <t>2064-12-17</t>
        </is>
      </c>
    </row>
    <row r="60291">
      <c r="A60291" s="1" t="n">
        <v>60290</v>
      </c>
      <c r="B60291">
        <f>TEXT(60290, "[$-0E0000]yyyy-mm-dd")</f>
        <v/>
      </c>
      <c r="C60291" t="inlineStr">
        <is>
          <t>2064-12-18</t>
        </is>
      </c>
    </row>
    <row r="60292">
      <c r="A60292" s="1" t="n">
        <v>60291</v>
      </c>
      <c r="B60292">
        <f>TEXT(60291, "[$-0E0000]yyyy-mm-dd")</f>
        <v/>
      </c>
      <c r="C60292" t="inlineStr">
        <is>
          <t>2064-12-19</t>
        </is>
      </c>
    </row>
    <row r="60293">
      <c r="A60293" s="1" t="n">
        <v>60292</v>
      </c>
      <c r="B60293">
        <f>TEXT(60292, "[$-0E0000]yyyy-mm-dd")</f>
        <v/>
      </c>
      <c r="C60293" t="inlineStr">
        <is>
          <t>2064-12-20</t>
        </is>
      </c>
    </row>
    <row r="60294">
      <c r="A60294" s="1" t="n">
        <v>60293</v>
      </c>
      <c r="B60294">
        <f>TEXT(60293, "[$-0E0000]yyyy-mm-dd")</f>
        <v/>
      </c>
      <c r="C60294" t="inlineStr">
        <is>
          <t>2064-12-21</t>
        </is>
      </c>
    </row>
    <row r="60295">
      <c r="A60295" s="1" t="n">
        <v>60294</v>
      </c>
      <c r="B60295">
        <f>TEXT(60294, "[$-0E0000]yyyy-mm-dd")</f>
        <v/>
      </c>
      <c r="C60295" t="inlineStr">
        <is>
          <t>2064-12-22</t>
        </is>
      </c>
    </row>
    <row r="60296">
      <c r="A60296" s="1" t="n">
        <v>60295</v>
      </c>
      <c r="B60296">
        <f>TEXT(60295, "[$-0E0000]yyyy-mm-dd")</f>
        <v/>
      </c>
      <c r="C60296" t="inlineStr">
        <is>
          <t>2064-12-23</t>
        </is>
      </c>
    </row>
    <row r="60297">
      <c r="A60297" s="1" t="n">
        <v>60296</v>
      </c>
      <c r="B60297">
        <f>TEXT(60296, "[$-0E0000]yyyy-mm-dd")</f>
        <v/>
      </c>
      <c r="C60297" t="inlineStr">
        <is>
          <t>2064-12-24</t>
        </is>
      </c>
    </row>
    <row r="60298">
      <c r="A60298" s="1" t="n">
        <v>60297</v>
      </c>
      <c r="B60298">
        <f>TEXT(60297, "[$-0E0000]yyyy-mm-dd")</f>
        <v/>
      </c>
      <c r="C60298" t="inlineStr">
        <is>
          <t>2064-12-25</t>
        </is>
      </c>
    </row>
    <row r="60299">
      <c r="A60299" s="1" t="n">
        <v>60298</v>
      </c>
      <c r="B60299">
        <f>TEXT(60298, "[$-0E0000]yyyy-mm-dd")</f>
        <v/>
      </c>
      <c r="C60299" t="inlineStr">
        <is>
          <t>2064-12-26</t>
        </is>
      </c>
    </row>
    <row r="60300">
      <c r="A60300" s="1" t="n">
        <v>60299</v>
      </c>
      <c r="B60300">
        <f>TEXT(60299, "[$-0E0000]yyyy-mm-dd")</f>
        <v/>
      </c>
      <c r="C60300" t="inlineStr">
        <is>
          <t>2064-12-27</t>
        </is>
      </c>
    </row>
    <row r="60301">
      <c r="A60301" s="1" t="n">
        <v>60300</v>
      </c>
      <c r="B60301">
        <f>TEXT(60300, "[$-0E0000]yyyy-mm-dd")</f>
        <v/>
      </c>
      <c r="C60301" t="inlineStr">
        <is>
          <t>2064-12-28</t>
        </is>
      </c>
    </row>
    <row r="60302">
      <c r="A60302" s="1" t="n">
        <v>60301</v>
      </c>
      <c r="B60302">
        <f>TEXT(60301, "[$-0E0000]yyyy-mm-dd")</f>
        <v/>
      </c>
      <c r="C60302" t="inlineStr">
        <is>
          <t>2064-12-29</t>
        </is>
      </c>
    </row>
    <row r="60303">
      <c r="A60303" s="1" t="n">
        <v>60302</v>
      </c>
      <c r="B60303">
        <f>TEXT(60302, "[$-0E0000]yyyy-mm-dd")</f>
        <v/>
      </c>
      <c r="C60303" t="inlineStr">
        <is>
          <t>2065-01-01</t>
        </is>
      </c>
    </row>
    <row r="60304">
      <c r="A60304" s="1" t="n">
        <v>60303</v>
      </c>
      <c r="B60304">
        <f>TEXT(60303, "[$-0E0000]yyyy-mm-dd")</f>
        <v/>
      </c>
      <c r="C60304" t="inlineStr">
        <is>
          <t>2065-01-02</t>
        </is>
      </c>
    </row>
    <row r="60305">
      <c r="A60305" s="1" t="n">
        <v>60304</v>
      </c>
      <c r="B60305">
        <f>TEXT(60304, "[$-0E0000]yyyy-mm-dd")</f>
        <v/>
      </c>
      <c r="C60305" t="inlineStr">
        <is>
          <t>2065-01-03</t>
        </is>
      </c>
    </row>
    <row r="60306">
      <c r="A60306" s="1" t="n">
        <v>60305</v>
      </c>
      <c r="B60306">
        <f>TEXT(60305, "[$-0E0000]yyyy-mm-dd")</f>
        <v/>
      </c>
      <c r="C60306" t="inlineStr">
        <is>
          <t>2065-01-04</t>
        </is>
      </c>
    </row>
    <row r="60307">
      <c r="A60307" s="1" t="n">
        <v>60306</v>
      </c>
      <c r="B60307">
        <f>TEXT(60306, "[$-0E0000]yyyy-mm-dd")</f>
        <v/>
      </c>
      <c r="C60307" t="inlineStr">
        <is>
          <t>2065-01-05</t>
        </is>
      </c>
    </row>
    <row r="60308">
      <c r="A60308" s="1" t="n">
        <v>60307</v>
      </c>
      <c r="B60308">
        <f>TEXT(60307, "[$-0E0000]yyyy-mm-dd")</f>
        <v/>
      </c>
      <c r="C60308" t="inlineStr">
        <is>
          <t>2065-01-06</t>
        </is>
      </c>
    </row>
    <row r="60309">
      <c r="A60309" s="1" t="n">
        <v>60308</v>
      </c>
      <c r="B60309">
        <f>TEXT(60308, "[$-0E0000]yyyy-mm-dd")</f>
        <v/>
      </c>
      <c r="C60309" t="inlineStr">
        <is>
          <t>2065-01-07</t>
        </is>
      </c>
    </row>
    <row r="60310">
      <c r="A60310" s="1" t="n">
        <v>60309</v>
      </c>
      <c r="B60310">
        <f>TEXT(60309, "[$-0E0000]yyyy-mm-dd")</f>
        <v/>
      </c>
      <c r="C60310" t="inlineStr">
        <is>
          <t>2065-01-08</t>
        </is>
      </c>
    </row>
    <row r="60311">
      <c r="A60311" s="1" t="n">
        <v>60310</v>
      </c>
      <c r="B60311">
        <f>TEXT(60310, "[$-0E0000]yyyy-mm-dd")</f>
        <v/>
      </c>
      <c r="C60311" t="inlineStr">
        <is>
          <t>2065-01-09</t>
        </is>
      </c>
    </row>
    <row r="60312">
      <c r="A60312" s="1" t="n">
        <v>60311</v>
      </c>
      <c r="B60312">
        <f>TEXT(60311, "[$-0E0000]yyyy-mm-dd")</f>
        <v/>
      </c>
      <c r="C60312" t="inlineStr">
        <is>
          <t>2065-01-10</t>
        </is>
      </c>
    </row>
    <row r="60313">
      <c r="A60313" s="1" t="n">
        <v>60312</v>
      </c>
      <c r="B60313">
        <f>TEXT(60312, "[$-0E0000]yyyy-mm-dd")</f>
        <v/>
      </c>
      <c r="C60313" t="inlineStr">
        <is>
          <t>2065-01-11</t>
        </is>
      </c>
    </row>
    <row r="60314">
      <c r="A60314" s="1" t="n">
        <v>60313</v>
      </c>
      <c r="B60314">
        <f>TEXT(60313, "[$-0E0000]yyyy-mm-dd")</f>
        <v/>
      </c>
      <c r="C60314" t="inlineStr">
        <is>
          <t>2065-01-12</t>
        </is>
      </c>
    </row>
    <row r="60315">
      <c r="A60315" s="1" t="n">
        <v>60314</v>
      </c>
      <c r="B60315">
        <f>TEXT(60314, "[$-0E0000]yyyy-mm-dd")</f>
        <v/>
      </c>
      <c r="C60315" t="inlineStr">
        <is>
          <t>2065-01-13</t>
        </is>
      </c>
    </row>
    <row r="60316">
      <c r="A60316" s="1" t="n">
        <v>60315</v>
      </c>
      <c r="B60316">
        <f>TEXT(60315, "[$-0E0000]yyyy-mm-dd")</f>
        <v/>
      </c>
      <c r="C60316" t="inlineStr">
        <is>
          <t>2065-01-14</t>
        </is>
      </c>
    </row>
    <row r="60317">
      <c r="A60317" s="1" t="n">
        <v>60316</v>
      </c>
      <c r="B60317">
        <f>TEXT(60316, "[$-0E0000]yyyy-mm-dd")</f>
        <v/>
      </c>
      <c r="C60317" t="inlineStr">
        <is>
          <t>2065-01-15</t>
        </is>
      </c>
    </row>
    <row r="60318">
      <c r="A60318" s="1" t="n">
        <v>60317</v>
      </c>
      <c r="B60318">
        <f>TEXT(60317, "[$-0E0000]yyyy-mm-dd")</f>
        <v/>
      </c>
      <c r="C60318" t="inlineStr">
        <is>
          <t>2065-01-16</t>
        </is>
      </c>
    </row>
    <row r="60319">
      <c r="A60319" s="1" t="n">
        <v>60318</v>
      </c>
      <c r="B60319">
        <f>TEXT(60318, "[$-0E0000]yyyy-mm-dd")</f>
        <v/>
      </c>
      <c r="C60319" t="inlineStr">
        <is>
          <t>2065-01-17</t>
        </is>
      </c>
    </row>
    <row r="60320">
      <c r="A60320" s="1" t="n">
        <v>60319</v>
      </c>
      <c r="B60320">
        <f>TEXT(60319, "[$-0E0000]yyyy-mm-dd")</f>
        <v/>
      </c>
      <c r="C60320" t="inlineStr">
        <is>
          <t>2065-01-18</t>
        </is>
      </c>
    </row>
    <row r="60321">
      <c r="A60321" s="1" t="n">
        <v>60320</v>
      </c>
      <c r="B60321">
        <f>TEXT(60320, "[$-0E0000]yyyy-mm-dd")</f>
        <v/>
      </c>
      <c r="C60321" t="inlineStr">
        <is>
          <t>2065-01-19</t>
        </is>
      </c>
    </row>
    <row r="60322">
      <c r="A60322" s="1" t="n">
        <v>60321</v>
      </c>
      <c r="B60322">
        <f>TEXT(60321, "[$-0E0000]yyyy-mm-dd")</f>
        <v/>
      </c>
      <c r="C60322" t="inlineStr">
        <is>
          <t>2065-01-20</t>
        </is>
      </c>
    </row>
    <row r="60323">
      <c r="A60323" s="1" t="n">
        <v>60322</v>
      </c>
      <c r="B60323">
        <f>TEXT(60322, "[$-0E0000]yyyy-mm-dd")</f>
        <v/>
      </c>
      <c r="C60323" t="inlineStr">
        <is>
          <t>2065-01-21</t>
        </is>
      </c>
    </row>
    <row r="60324">
      <c r="A60324" s="1" t="n">
        <v>60323</v>
      </c>
      <c r="B60324">
        <f>TEXT(60323, "[$-0E0000]yyyy-mm-dd")</f>
        <v/>
      </c>
      <c r="C60324" t="inlineStr">
        <is>
          <t>2065-01-22</t>
        </is>
      </c>
    </row>
    <row r="60325">
      <c r="A60325" s="1" t="n">
        <v>60324</v>
      </c>
      <c r="B60325">
        <f>TEXT(60324, "[$-0E0000]yyyy-mm-dd")</f>
        <v/>
      </c>
      <c r="C60325" t="inlineStr">
        <is>
          <t>2065-01-23</t>
        </is>
      </c>
    </row>
    <row r="60326">
      <c r="A60326" s="1" t="n">
        <v>60325</v>
      </c>
      <c r="B60326">
        <f>TEXT(60325, "[$-0E0000]yyyy-mm-dd")</f>
        <v/>
      </c>
      <c r="C60326" t="inlineStr">
        <is>
          <t>2065-01-24</t>
        </is>
      </c>
    </row>
    <row r="60327">
      <c r="A60327" s="1" t="n">
        <v>60326</v>
      </c>
      <c r="B60327">
        <f>TEXT(60326, "[$-0E0000]yyyy-mm-dd")</f>
        <v/>
      </c>
      <c r="C60327" t="inlineStr">
        <is>
          <t>2065-01-25</t>
        </is>
      </c>
    </row>
    <row r="60328">
      <c r="A60328" s="1" t="n">
        <v>60327</v>
      </c>
      <c r="B60328">
        <f>TEXT(60327, "[$-0E0000]yyyy-mm-dd")</f>
        <v/>
      </c>
      <c r="C60328" t="inlineStr">
        <is>
          <t>2065-01-26</t>
        </is>
      </c>
    </row>
    <row r="60329">
      <c r="A60329" s="1" t="n">
        <v>60328</v>
      </c>
      <c r="B60329">
        <f>TEXT(60328, "[$-0E0000]yyyy-mm-dd")</f>
        <v/>
      </c>
      <c r="C60329" t="inlineStr">
        <is>
          <t>2065-01-27</t>
        </is>
      </c>
    </row>
    <row r="60330">
      <c r="A60330" s="1" t="n">
        <v>60329</v>
      </c>
      <c r="B60330">
        <f>TEXT(60329, "[$-0E0000]yyyy-mm-dd")</f>
        <v/>
      </c>
      <c r="C60330" t="inlineStr">
        <is>
          <t>2065-01-28</t>
        </is>
      </c>
    </row>
    <row r="60331">
      <c r="A60331" s="1" t="n">
        <v>60330</v>
      </c>
      <c r="B60331">
        <f>TEXT(60330, "[$-0E0000]yyyy-mm-dd")</f>
        <v/>
      </c>
      <c r="C60331" t="inlineStr">
        <is>
          <t>2065-01-29</t>
        </is>
      </c>
    </row>
    <row r="60332">
      <c r="A60332" s="1" t="n">
        <v>60331</v>
      </c>
      <c r="B60332">
        <f>TEXT(60331, "[$-0E0000]yyyy-mm-dd")</f>
        <v/>
      </c>
      <c r="C60332" t="inlineStr">
        <is>
          <t>2065-01-30</t>
        </is>
      </c>
    </row>
    <row r="60333">
      <c r="A60333" s="1" t="n">
        <v>60332</v>
      </c>
      <c r="B60333">
        <f>TEXT(60332, "[$-0E0000]yyyy-mm-dd")</f>
        <v/>
      </c>
      <c r="C60333" t="inlineStr">
        <is>
          <t>2065-02-01</t>
        </is>
      </c>
    </row>
    <row r="60334">
      <c r="A60334" s="1" t="n">
        <v>60333</v>
      </c>
      <c r="B60334">
        <f>TEXT(60333, "[$-0E0000]yyyy-mm-dd")</f>
        <v/>
      </c>
      <c r="C60334" t="inlineStr">
        <is>
          <t>2065-02-02</t>
        </is>
      </c>
    </row>
    <row r="60335">
      <c r="A60335" s="1" t="n">
        <v>60334</v>
      </c>
      <c r="B60335">
        <f>TEXT(60334, "[$-0E0000]yyyy-mm-dd")</f>
        <v/>
      </c>
      <c r="C60335" t="inlineStr">
        <is>
          <t>2065-02-03</t>
        </is>
      </c>
    </row>
    <row r="60336">
      <c r="A60336" s="1" t="n">
        <v>60335</v>
      </c>
      <c r="B60336">
        <f>TEXT(60335, "[$-0E0000]yyyy-mm-dd")</f>
        <v/>
      </c>
      <c r="C60336" t="inlineStr">
        <is>
          <t>2065-02-04</t>
        </is>
      </c>
    </row>
    <row r="60337">
      <c r="A60337" s="1" t="n">
        <v>60336</v>
      </c>
      <c r="B60337">
        <f>TEXT(60336, "[$-0E0000]yyyy-mm-dd")</f>
        <v/>
      </c>
      <c r="C60337" t="inlineStr">
        <is>
          <t>2065-02-05</t>
        </is>
      </c>
    </row>
    <row r="60338">
      <c r="A60338" s="1" t="n">
        <v>60337</v>
      </c>
      <c r="B60338">
        <f>TEXT(60337, "[$-0E0000]yyyy-mm-dd")</f>
        <v/>
      </c>
      <c r="C60338" t="inlineStr">
        <is>
          <t>2065-02-06</t>
        </is>
      </c>
    </row>
    <row r="60339">
      <c r="A60339" s="1" t="n">
        <v>60338</v>
      </c>
      <c r="B60339">
        <f>TEXT(60338, "[$-0E0000]yyyy-mm-dd")</f>
        <v/>
      </c>
      <c r="C60339" t="inlineStr">
        <is>
          <t>2065-02-07</t>
        </is>
      </c>
    </row>
    <row r="60340">
      <c r="A60340" s="1" t="n">
        <v>60339</v>
      </c>
      <c r="B60340">
        <f>TEXT(60339, "[$-0E0000]yyyy-mm-dd")</f>
        <v/>
      </c>
      <c r="C60340" t="inlineStr">
        <is>
          <t>2065-02-08</t>
        </is>
      </c>
    </row>
    <row r="60341">
      <c r="A60341" s="1" t="n">
        <v>60340</v>
      </c>
      <c r="B60341">
        <f>TEXT(60340, "[$-0E0000]yyyy-mm-dd")</f>
        <v/>
      </c>
      <c r="C60341" t="inlineStr">
        <is>
          <t>2065-02-09</t>
        </is>
      </c>
    </row>
    <row r="60342">
      <c r="A60342" s="1" t="n">
        <v>60341</v>
      </c>
      <c r="B60342">
        <f>TEXT(60341, "[$-0E0000]yyyy-mm-dd")</f>
        <v/>
      </c>
      <c r="C60342" t="inlineStr">
        <is>
          <t>2065-02-10</t>
        </is>
      </c>
    </row>
    <row r="60343">
      <c r="A60343" s="1" t="n">
        <v>60342</v>
      </c>
      <c r="B60343">
        <f>TEXT(60342, "[$-0E0000]yyyy-mm-dd")</f>
        <v/>
      </c>
      <c r="C60343" t="inlineStr">
        <is>
          <t>2065-02-11</t>
        </is>
      </c>
    </row>
    <row r="60344">
      <c r="A60344" s="1" t="n">
        <v>60343</v>
      </c>
      <c r="B60344">
        <f>TEXT(60343, "[$-0E0000]yyyy-mm-dd")</f>
        <v/>
      </c>
      <c r="C60344" t="inlineStr">
        <is>
          <t>2065-02-12</t>
        </is>
      </c>
    </row>
    <row r="60345">
      <c r="A60345" s="1" t="n">
        <v>60344</v>
      </c>
      <c r="B60345">
        <f>TEXT(60344, "[$-0E0000]yyyy-mm-dd")</f>
        <v/>
      </c>
      <c r="C60345" t="inlineStr">
        <is>
          <t>2065-02-13</t>
        </is>
      </c>
    </row>
    <row r="60346">
      <c r="A60346" s="1" t="n">
        <v>60345</v>
      </c>
      <c r="B60346">
        <f>TEXT(60345, "[$-0E0000]yyyy-mm-dd")</f>
        <v/>
      </c>
      <c r="C60346" t="inlineStr">
        <is>
          <t>2065-02-14</t>
        </is>
      </c>
    </row>
    <row r="60347">
      <c r="A60347" s="1" t="n">
        <v>60346</v>
      </c>
      <c r="B60347">
        <f>TEXT(60346, "[$-0E0000]yyyy-mm-dd")</f>
        <v/>
      </c>
      <c r="C60347" t="inlineStr">
        <is>
          <t>2065-02-15</t>
        </is>
      </c>
    </row>
    <row r="60348">
      <c r="A60348" s="1" t="n">
        <v>60347</v>
      </c>
      <c r="B60348">
        <f>TEXT(60347, "[$-0E0000]yyyy-mm-dd")</f>
        <v/>
      </c>
      <c r="C60348" t="inlineStr">
        <is>
          <t>2065-02-16</t>
        </is>
      </c>
    </row>
    <row r="60349">
      <c r="A60349" s="1" t="n">
        <v>60348</v>
      </c>
      <c r="B60349">
        <f>TEXT(60348, "[$-0E0000]yyyy-mm-dd")</f>
        <v/>
      </c>
      <c r="C60349" t="inlineStr">
        <is>
          <t>2065-02-17</t>
        </is>
      </c>
    </row>
    <row r="60350">
      <c r="A60350" s="1" t="n">
        <v>60349</v>
      </c>
      <c r="B60350">
        <f>TEXT(60349, "[$-0E0000]yyyy-mm-dd")</f>
        <v/>
      </c>
      <c r="C60350" t="inlineStr">
        <is>
          <t>2065-02-18</t>
        </is>
      </c>
    </row>
    <row r="60351">
      <c r="A60351" s="1" t="n">
        <v>60350</v>
      </c>
      <c r="B60351">
        <f>TEXT(60350, "[$-0E0000]yyyy-mm-dd")</f>
        <v/>
      </c>
      <c r="C60351" t="inlineStr">
        <is>
          <t>2065-02-19</t>
        </is>
      </c>
    </row>
    <row r="60352">
      <c r="A60352" s="1" t="n">
        <v>60351</v>
      </c>
      <c r="B60352">
        <f>TEXT(60351, "[$-0E0000]yyyy-mm-dd")</f>
        <v/>
      </c>
      <c r="C60352" t="inlineStr">
        <is>
          <t>2065-02-20</t>
        </is>
      </c>
    </row>
    <row r="60353">
      <c r="A60353" s="1" t="n">
        <v>60352</v>
      </c>
      <c r="B60353">
        <f>TEXT(60352, "[$-0E0000]yyyy-mm-dd")</f>
        <v/>
      </c>
      <c r="C60353" t="inlineStr">
        <is>
          <t>2065-02-21</t>
        </is>
      </c>
    </row>
    <row r="60354">
      <c r="A60354" s="1" t="n">
        <v>60353</v>
      </c>
      <c r="B60354">
        <f>TEXT(60353, "[$-0E0000]yyyy-mm-dd")</f>
        <v/>
      </c>
      <c r="C60354" t="inlineStr">
        <is>
          <t>2065-02-22</t>
        </is>
      </c>
    </row>
    <row r="60355">
      <c r="A60355" s="1" t="n">
        <v>60354</v>
      </c>
      <c r="B60355">
        <f>TEXT(60354, "[$-0E0000]yyyy-mm-dd")</f>
        <v/>
      </c>
      <c r="C60355" t="inlineStr">
        <is>
          <t>2065-02-23</t>
        </is>
      </c>
    </row>
    <row r="60356">
      <c r="A60356" s="1" t="n">
        <v>60355</v>
      </c>
      <c r="B60356">
        <f>TEXT(60355, "[$-0E0000]yyyy-mm-dd")</f>
        <v/>
      </c>
      <c r="C60356" t="inlineStr">
        <is>
          <t>2065-02-24</t>
        </is>
      </c>
    </row>
    <row r="60357">
      <c r="A60357" s="1" t="n">
        <v>60356</v>
      </c>
      <c r="B60357">
        <f>TEXT(60356, "[$-0E0000]yyyy-mm-dd")</f>
        <v/>
      </c>
      <c r="C60357" t="inlineStr">
        <is>
          <t>2065-02-25</t>
        </is>
      </c>
    </row>
    <row r="60358">
      <c r="A60358" s="1" t="n">
        <v>60357</v>
      </c>
      <c r="B60358">
        <f>TEXT(60357, "[$-0E0000]yyyy-mm-dd")</f>
        <v/>
      </c>
      <c r="C60358" t="inlineStr">
        <is>
          <t>2065-02-26</t>
        </is>
      </c>
    </row>
    <row r="60359">
      <c r="A60359" s="1" t="n">
        <v>60358</v>
      </c>
      <c r="B60359">
        <f>TEXT(60358, "[$-0E0000]yyyy-mm-dd")</f>
        <v/>
      </c>
      <c r="C60359" t="inlineStr">
        <is>
          <t>2065-02-27</t>
        </is>
      </c>
    </row>
    <row r="60360">
      <c r="A60360" s="1" t="n">
        <v>60359</v>
      </c>
      <c r="B60360">
        <f>TEXT(60359, "[$-0E0000]yyyy-mm-dd")</f>
        <v/>
      </c>
      <c r="C60360" t="inlineStr">
        <is>
          <t>2065-02-28</t>
        </is>
      </c>
    </row>
    <row r="60361">
      <c r="A60361" s="1" t="n">
        <v>60360</v>
      </c>
      <c r="B60361">
        <f>TEXT(60360, "[$-0E0000]yyyy-mm-dd")</f>
        <v/>
      </c>
      <c r="C60361" t="inlineStr">
        <is>
          <t>2065-02-29</t>
        </is>
      </c>
    </row>
    <row r="60362">
      <c r="A60362" s="1" t="n">
        <v>60361</v>
      </c>
      <c r="B60362">
        <f>TEXT(60361, "[$-0E0000]yyyy-mm-dd")</f>
        <v/>
      </c>
      <c r="C60362" t="inlineStr">
        <is>
          <t>2065-02-30</t>
        </is>
      </c>
    </row>
    <row r="60363">
      <c r="A60363" s="1" t="n">
        <v>60362</v>
      </c>
      <c r="B60363">
        <f>TEXT(60362, "[$-0E0000]yyyy-mm-dd")</f>
        <v/>
      </c>
      <c r="C60363" t="inlineStr">
        <is>
          <t>2065-03-01</t>
        </is>
      </c>
    </row>
    <row r="60364">
      <c r="A60364" s="1" t="n">
        <v>60363</v>
      </c>
      <c r="B60364">
        <f>TEXT(60363, "[$-0E0000]yyyy-mm-dd")</f>
        <v/>
      </c>
      <c r="C60364" t="inlineStr">
        <is>
          <t>2065-03-02</t>
        </is>
      </c>
    </row>
    <row r="60365">
      <c r="A60365" s="1" t="n">
        <v>60364</v>
      </c>
      <c r="B60365">
        <f>TEXT(60364, "[$-0E0000]yyyy-mm-dd")</f>
        <v/>
      </c>
      <c r="C60365" t="inlineStr">
        <is>
          <t>2065-03-03</t>
        </is>
      </c>
    </row>
    <row r="60366">
      <c r="A60366" s="1" t="n">
        <v>60365</v>
      </c>
      <c r="B60366">
        <f>TEXT(60365, "[$-0E0000]yyyy-mm-dd")</f>
        <v/>
      </c>
      <c r="C60366" t="inlineStr">
        <is>
          <t>2065-03-04</t>
        </is>
      </c>
    </row>
    <row r="60367">
      <c r="A60367" s="1" t="n">
        <v>60366</v>
      </c>
      <c r="B60367">
        <f>TEXT(60366, "[$-0E0000]yyyy-mm-dd")</f>
        <v/>
      </c>
      <c r="C60367" t="inlineStr">
        <is>
          <t>2065-03-05</t>
        </is>
      </c>
    </row>
    <row r="60368">
      <c r="A60368" s="1" t="n">
        <v>60367</v>
      </c>
      <c r="B60368">
        <f>TEXT(60367, "[$-0E0000]yyyy-mm-dd")</f>
        <v/>
      </c>
      <c r="C60368" t="inlineStr">
        <is>
          <t>2065-03-06</t>
        </is>
      </c>
    </row>
    <row r="60369">
      <c r="A60369" s="1" t="n">
        <v>60368</v>
      </c>
      <c r="B60369">
        <f>TEXT(60368, "[$-0E0000]yyyy-mm-dd")</f>
        <v/>
      </c>
      <c r="C60369" t="inlineStr">
        <is>
          <t>2065-03-07</t>
        </is>
      </c>
    </row>
    <row r="60370">
      <c r="A60370" s="1" t="n">
        <v>60369</v>
      </c>
      <c r="B60370">
        <f>TEXT(60369, "[$-0E0000]yyyy-mm-dd")</f>
        <v/>
      </c>
      <c r="C60370" t="inlineStr">
        <is>
          <t>2065-03-08</t>
        </is>
      </c>
    </row>
    <row r="60371">
      <c r="A60371" s="1" t="n">
        <v>60370</v>
      </c>
      <c r="B60371">
        <f>TEXT(60370, "[$-0E0000]yyyy-mm-dd")</f>
        <v/>
      </c>
      <c r="C60371" t="inlineStr">
        <is>
          <t>2065-03-09</t>
        </is>
      </c>
    </row>
    <row r="60372">
      <c r="A60372" s="1" t="n">
        <v>60371</v>
      </c>
      <c r="B60372">
        <f>TEXT(60371, "[$-0E0000]yyyy-mm-dd")</f>
        <v/>
      </c>
      <c r="C60372" t="inlineStr">
        <is>
          <t>2065-03-10</t>
        </is>
      </c>
    </row>
    <row r="60373">
      <c r="A60373" s="1" t="n">
        <v>60372</v>
      </c>
      <c r="B60373">
        <f>TEXT(60372, "[$-0E0000]yyyy-mm-dd")</f>
        <v/>
      </c>
      <c r="C60373" t="inlineStr">
        <is>
          <t>2065-03-11</t>
        </is>
      </c>
    </row>
    <row r="60374">
      <c r="A60374" s="1" t="n">
        <v>60373</v>
      </c>
      <c r="B60374">
        <f>TEXT(60373, "[$-0E0000]yyyy-mm-dd")</f>
        <v/>
      </c>
      <c r="C60374" t="inlineStr">
        <is>
          <t>2065-03-12</t>
        </is>
      </c>
    </row>
    <row r="60375">
      <c r="A60375" s="1" t="n">
        <v>60374</v>
      </c>
      <c r="B60375">
        <f>TEXT(60374, "[$-0E0000]yyyy-mm-dd")</f>
        <v/>
      </c>
      <c r="C60375" t="inlineStr">
        <is>
          <t>2065-03-13</t>
        </is>
      </c>
    </row>
    <row r="60376">
      <c r="A60376" s="1" t="n">
        <v>60375</v>
      </c>
      <c r="B60376">
        <f>TEXT(60375, "[$-0E0000]yyyy-mm-dd")</f>
        <v/>
      </c>
      <c r="C60376" t="inlineStr">
        <is>
          <t>2065-03-14</t>
        </is>
      </c>
    </row>
    <row r="60377">
      <c r="A60377" s="1" t="n">
        <v>60376</v>
      </c>
      <c r="B60377">
        <f>TEXT(60376, "[$-0E0000]yyyy-mm-dd")</f>
        <v/>
      </c>
      <c r="C60377" t="inlineStr">
        <is>
          <t>2065-03-15</t>
        </is>
      </c>
    </row>
    <row r="60378">
      <c r="A60378" s="1" t="n">
        <v>60377</v>
      </c>
      <c r="B60378">
        <f>TEXT(60377, "[$-0E0000]yyyy-mm-dd")</f>
        <v/>
      </c>
      <c r="C60378" t="inlineStr">
        <is>
          <t>2065-03-16</t>
        </is>
      </c>
    </row>
    <row r="60379">
      <c r="A60379" s="1" t="n">
        <v>60378</v>
      </c>
      <c r="B60379">
        <f>TEXT(60378, "[$-0E0000]yyyy-mm-dd")</f>
        <v/>
      </c>
      <c r="C60379" t="inlineStr">
        <is>
          <t>2065-03-17</t>
        </is>
      </c>
    </row>
    <row r="60380">
      <c r="A60380" s="1" t="n">
        <v>60379</v>
      </c>
      <c r="B60380">
        <f>TEXT(60379, "[$-0E0000]yyyy-mm-dd")</f>
        <v/>
      </c>
      <c r="C60380" t="inlineStr">
        <is>
          <t>2065-03-18</t>
        </is>
      </c>
    </row>
    <row r="60381">
      <c r="A60381" s="1" t="n">
        <v>60380</v>
      </c>
      <c r="B60381">
        <f>TEXT(60380, "[$-0E0000]yyyy-mm-dd")</f>
        <v/>
      </c>
      <c r="C60381" t="inlineStr">
        <is>
          <t>2065-03-19</t>
        </is>
      </c>
    </row>
    <row r="60382">
      <c r="A60382" s="1" t="n">
        <v>60381</v>
      </c>
      <c r="B60382">
        <f>TEXT(60381, "[$-0E0000]yyyy-mm-dd")</f>
        <v/>
      </c>
      <c r="C60382" t="inlineStr">
        <is>
          <t>2065-03-20</t>
        </is>
      </c>
    </row>
    <row r="60383">
      <c r="A60383" s="1" t="n">
        <v>60382</v>
      </c>
      <c r="B60383">
        <f>TEXT(60382, "[$-0E0000]yyyy-mm-dd")</f>
        <v/>
      </c>
      <c r="C60383" t="inlineStr">
        <is>
          <t>2065-03-21</t>
        </is>
      </c>
    </row>
    <row r="60384">
      <c r="A60384" s="1" t="n">
        <v>60383</v>
      </c>
      <c r="B60384">
        <f>TEXT(60383, "[$-0E0000]yyyy-mm-dd")</f>
        <v/>
      </c>
      <c r="C60384" t="inlineStr">
        <is>
          <t>2065-03-22</t>
        </is>
      </c>
    </row>
    <row r="60385">
      <c r="A60385" s="1" t="n">
        <v>60384</v>
      </c>
      <c r="B60385">
        <f>TEXT(60384, "[$-0E0000]yyyy-mm-dd")</f>
        <v/>
      </c>
      <c r="C60385" t="inlineStr">
        <is>
          <t>2065-03-23</t>
        </is>
      </c>
    </row>
    <row r="60386">
      <c r="A60386" s="1" t="n">
        <v>60385</v>
      </c>
      <c r="B60386">
        <f>TEXT(60385, "[$-0E0000]yyyy-mm-dd")</f>
        <v/>
      </c>
      <c r="C60386" t="inlineStr">
        <is>
          <t>2065-03-24</t>
        </is>
      </c>
    </row>
    <row r="60387">
      <c r="A60387" s="1" t="n">
        <v>60386</v>
      </c>
      <c r="B60387">
        <f>TEXT(60386, "[$-0E0000]yyyy-mm-dd")</f>
        <v/>
      </c>
      <c r="C60387" t="inlineStr">
        <is>
          <t>2065-03-25</t>
        </is>
      </c>
    </row>
    <row r="60388">
      <c r="A60388" s="1" t="n">
        <v>60387</v>
      </c>
      <c r="B60388">
        <f>TEXT(60387, "[$-0E0000]yyyy-mm-dd")</f>
        <v/>
      </c>
      <c r="C60388" t="inlineStr">
        <is>
          <t>2065-03-26</t>
        </is>
      </c>
    </row>
    <row r="60389">
      <c r="A60389" s="1" t="n">
        <v>60388</v>
      </c>
      <c r="B60389">
        <f>TEXT(60388, "[$-0E0000]yyyy-mm-dd")</f>
        <v/>
      </c>
      <c r="C60389" t="inlineStr">
        <is>
          <t>2065-03-27</t>
        </is>
      </c>
    </row>
    <row r="60390">
      <c r="A60390" s="1" t="n">
        <v>60389</v>
      </c>
      <c r="B60390">
        <f>TEXT(60389, "[$-0E0000]yyyy-mm-dd")</f>
        <v/>
      </c>
      <c r="C60390" t="inlineStr">
        <is>
          <t>2065-03-28</t>
        </is>
      </c>
    </row>
    <row r="60391">
      <c r="A60391" s="1" t="n">
        <v>60390</v>
      </c>
      <c r="B60391">
        <f>TEXT(60390, "[$-0E0000]yyyy-mm-dd")</f>
        <v/>
      </c>
      <c r="C60391" t="inlineStr">
        <is>
          <t>2065-03-29</t>
        </is>
      </c>
    </row>
    <row r="60392">
      <c r="A60392" s="1" t="n">
        <v>60391</v>
      </c>
      <c r="B60392">
        <f>TEXT(60391, "[$-0E0000]yyyy-mm-dd")</f>
        <v/>
      </c>
      <c r="C60392" t="inlineStr">
        <is>
          <t>2065-04-01</t>
        </is>
      </c>
    </row>
    <row r="60393">
      <c r="A60393" s="1" t="n">
        <v>60392</v>
      </c>
      <c r="B60393">
        <f>TEXT(60392, "[$-0E0000]yyyy-mm-dd")</f>
        <v/>
      </c>
      <c r="C60393" t="inlineStr">
        <is>
          <t>2065-04-02</t>
        </is>
      </c>
    </row>
    <row r="60394">
      <c r="A60394" s="1" t="n">
        <v>60393</v>
      </c>
      <c r="B60394">
        <f>TEXT(60393, "[$-0E0000]yyyy-mm-dd")</f>
        <v/>
      </c>
      <c r="C60394" t="inlineStr">
        <is>
          <t>2065-04-03</t>
        </is>
      </c>
    </row>
    <row r="60395">
      <c r="A60395" s="1" t="n">
        <v>60394</v>
      </c>
      <c r="B60395">
        <f>TEXT(60394, "[$-0E0000]yyyy-mm-dd")</f>
        <v/>
      </c>
      <c r="C60395" t="inlineStr">
        <is>
          <t>2065-04-04</t>
        </is>
      </c>
    </row>
    <row r="60396">
      <c r="A60396" s="1" t="n">
        <v>60395</v>
      </c>
      <c r="B60396">
        <f>TEXT(60395, "[$-0E0000]yyyy-mm-dd")</f>
        <v/>
      </c>
      <c r="C60396" t="inlineStr">
        <is>
          <t>2065-04-05</t>
        </is>
      </c>
    </row>
    <row r="60397">
      <c r="A60397" s="1" t="n">
        <v>60396</v>
      </c>
      <c r="B60397">
        <f>TEXT(60396, "[$-0E0000]yyyy-mm-dd")</f>
        <v/>
      </c>
      <c r="C60397" t="inlineStr">
        <is>
          <t>2065-04-06</t>
        </is>
      </c>
    </row>
    <row r="60398">
      <c r="A60398" s="1" t="n">
        <v>60397</v>
      </c>
      <c r="B60398">
        <f>TEXT(60397, "[$-0E0000]yyyy-mm-dd")</f>
        <v/>
      </c>
      <c r="C60398" t="inlineStr">
        <is>
          <t>2065-04-07</t>
        </is>
      </c>
    </row>
    <row r="60399">
      <c r="A60399" s="1" t="n">
        <v>60398</v>
      </c>
      <c r="B60399">
        <f>TEXT(60398, "[$-0E0000]yyyy-mm-dd")</f>
        <v/>
      </c>
      <c r="C60399" t="inlineStr">
        <is>
          <t>2065-04-08</t>
        </is>
      </c>
    </row>
    <row r="60400">
      <c r="A60400" s="1" t="n">
        <v>60399</v>
      </c>
      <c r="B60400">
        <f>TEXT(60399, "[$-0E0000]yyyy-mm-dd")</f>
        <v/>
      </c>
      <c r="C60400" t="inlineStr">
        <is>
          <t>2065-04-09</t>
        </is>
      </c>
    </row>
    <row r="60401">
      <c r="A60401" s="1" t="n">
        <v>60400</v>
      </c>
      <c r="B60401">
        <f>TEXT(60400, "[$-0E0000]yyyy-mm-dd")</f>
        <v/>
      </c>
      <c r="C60401" t="inlineStr">
        <is>
          <t>2065-04-10</t>
        </is>
      </c>
    </row>
    <row r="60402">
      <c r="A60402" s="1" t="n">
        <v>60401</v>
      </c>
      <c r="B60402">
        <f>TEXT(60401, "[$-0E0000]yyyy-mm-dd")</f>
        <v/>
      </c>
      <c r="C60402" t="inlineStr">
        <is>
          <t>2065-04-11</t>
        </is>
      </c>
    </row>
    <row r="60403">
      <c r="A60403" s="1" t="n">
        <v>60402</v>
      </c>
      <c r="B60403">
        <f>TEXT(60402, "[$-0E0000]yyyy-mm-dd")</f>
        <v/>
      </c>
      <c r="C60403" t="inlineStr">
        <is>
          <t>2065-04-12</t>
        </is>
      </c>
    </row>
    <row r="60404">
      <c r="A60404" s="1" t="n">
        <v>60403</v>
      </c>
      <c r="B60404">
        <f>TEXT(60403, "[$-0E0000]yyyy-mm-dd")</f>
        <v/>
      </c>
      <c r="C60404" t="inlineStr">
        <is>
          <t>2065-04-13</t>
        </is>
      </c>
    </row>
    <row r="60405">
      <c r="A60405" s="1" t="n">
        <v>60404</v>
      </c>
      <c r="B60405">
        <f>TEXT(60404, "[$-0E0000]yyyy-mm-dd")</f>
        <v/>
      </c>
      <c r="C60405" t="inlineStr">
        <is>
          <t>2065-04-14</t>
        </is>
      </c>
    </row>
    <row r="60406">
      <c r="A60406" s="1" t="n">
        <v>60405</v>
      </c>
      <c r="B60406">
        <f>TEXT(60405, "[$-0E0000]yyyy-mm-dd")</f>
        <v/>
      </c>
      <c r="C60406" t="inlineStr">
        <is>
          <t>2065-04-15</t>
        </is>
      </c>
    </row>
    <row r="60407">
      <c r="A60407" s="1" t="n">
        <v>60406</v>
      </c>
      <c r="B60407">
        <f>TEXT(60406, "[$-0E0000]yyyy-mm-dd")</f>
        <v/>
      </c>
      <c r="C60407" t="inlineStr">
        <is>
          <t>2065-04-16</t>
        </is>
      </c>
    </row>
    <row r="60408">
      <c r="A60408" s="1" t="n">
        <v>60407</v>
      </c>
      <c r="B60408">
        <f>TEXT(60407, "[$-0E0000]yyyy-mm-dd")</f>
        <v/>
      </c>
      <c r="C60408" t="inlineStr">
        <is>
          <t>2065-04-17</t>
        </is>
      </c>
    </row>
    <row r="60409">
      <c r="A60409" s="1" t="n">
        <v>60408</v>
      </c>
      <c r="B60409">
        <f>TEXT(60408, "[$-0E0000]yyyy-mm-dd")</f>
        <v/>
      </c>
      <c r="C60409" t="inlineStr">
        <is>
          <t>2065-04-18</t>
        </is>
      </c>
    </row>
    <row r="60410">
      <c r="A60410" s="1" t="n">
        <v>60409</v>
      </c>
      <c r="B60410">
        <f>TEXT(60409, "[$-0E0000]yyyy-mm-dd")</f>
        <v/>
      </c>
      <c r="C60410" t="inlineStr">
        <is>
          <t>2065-04-19</t>
        </is>
      </c>
    </row>
    <row r="60411">
      <c r="A60411" s="1" t="n">
        <v>60410</v>
      </c>
      <c r="B60411">
        <f>TEXT(60410, "[$-0E0000]yyyy-mm-dd")</f>
        <v/>
      </c>
      <c r="C60411" t="inlineStr">
        <is>
          <t>2065-04-20</t>
        </is>
      </c>
    </row>
    <row r="60412">
      <c r="A60412" s="1" t="n">
        <v>60411</v>
      </c>
      <c r="B60412">
        <f>TEXT(60411, "[$-0E0000]yyyy-mm-dd")</f>
        <v/>
      </c>
      <c r="C60412" t="inlineStr">
        <is>
          <t>2065-04-21</t>
        </is>
      </c>
    </row>
    <row r="60413">
      <c r="A60413" s="1" t="n">
        <v>60412</v>
      </c>
      <c r="B60413">
        <f>TEXT(60412, "[$-0E0000]yyyy-mm-dd")</f>
        <v/>
      </c>
      <c r="C60413" t="inlineStr">
        <is>
          <t>2065-04-22</t>
        </is>
      </c>
    </row>
    <row r="60414">
      <c r="A60414" s="1" t="n">
        <v>60413</v>
      </c>
      <c r="B60414">
        <f>TEXT(60413, "[$-0E0000]yyyy-mm-dd")</f>
        <v/>
      </c>
      <c r="C60414" t="inlineStr">
        <is>
          <t>2065-04-23</t>
        </is>
      </c>
    </row>
    <row r="60415">
      <c r="A60415" s="1" t="n">
        <v>60414</v>
      </c>
      <c r="B60415">
        <f>TEXT(60414, "[$-0E0000]yyyy-mm-dd")</f>
        <v/>
      </c>
      <c r="C60415" t="inlineStr">
        <is>
          <t>2065-04-24</t>
        </is>
      </c>
    </row>
    <row r="60416">
      <c r="A60416" s="1" t="n">
        <v>60415</v>
      </c>
      <c r="B60416">
        <f>TEXT(60415, "[$-0E0000]yyyy-mm-dd")</f>
        <v/>
      </c>
      <c r="C60416" t="inlineStr">
        <is>
          <t>2065-04-25</t>
        </is>
      </c>
    </row>
    <row r="60417">
      <c r="A60417" s="1" t="n">
        <v>60416</v>
      </c>
      <c r="B60417">
        <f>TEXT(60416, "[$-0E0000]yyyy-mm-dd")</f>
        <v/>
      </c>
      <c r="C60417" t="inlineStr">
        <is>
          <t>2065-04-26</t>
        </is>
      </c>
    </row>
    <row r="60418">
      <c r="A60418" s="1" t="n">
        <v>60417</v>
      </c>
      <c r="B60418">
        <f>TEXT(60417, "[$-0E0000]yyyy-mm-dd")</f>
        <v/>
      </c>
      <c r="C60418" t="inlineStr">
        <is>
          <t>2065-04-27</t>
        </is>
      </c>
    </row>
    <row r="60419">
      <c r="A60419" s="1" t="n">
        <v>60418</v>
      </c>
      <c r="B60419">
        <f>TEXT(60418, "[$-0E0000]yyyy-mm-dd")</f>
        <v/>
      </c>
      <c r="C60419" t="inlineStr">
        <is>
          <t>2065-04-28</t>
        </is>
      </c>
    </row>
    <row r="60420">
      <c r="A60420" s="1" t="n">
        <v>60419</v>
      </c>
      <c r="B60420">
        <f>TEXT(60419, "[$-0E0000]yyyy-mm-dd")</f>
        <v/>
      </c>
      <c r="C60420" t="inlineStr">
        <is>
          <t>2065-04-29</t>
        </is>
      </c>
    </row>
    <row r="60421">
      <c r="A60421" s="1" t="n">
        <v>60420</v>
      </c>
      <c r="B60421">
        <f>TEXT(60420, "[$-0E0000]yyyy-mm-dd")</f>
        <v/>
      </c>
      <c r="C60421" t="inlineStr">
        <is>
          <t>2065-04-30</t>
        </is>
      </c>
    </row>
    <row r="60422">
      <c r="A60422" s="1" t="n">
        <v>60421</v>
      </c>
      <c r="B60422">
        <f>TEXT(60421, "[$-0E0000]yyyy-mm-dd")</f>
        <v/>
      </c>
      <c r="C60422" t="inlineStr">
        <is>
          <t>2065-05-01</t>
        </is>
      </c>
    </row>
    <row r="60423">
      <c r="A60423" s="1" t="n">
        <v>60422</v>
      </c>
      <c r="B60423">
        <f>TEXT(60422, "[$-0E0000]yyyy-mm-dd")</f>
        <v/>
      </c>
      <c r="C60423" t="inlineStr">
        <is>
          <t>2065-05-02</t>
        </is>
      </c>
    </row>
    <row r="60424">
      <c r="A60424" s="1" t="n">
        <v>60423</v>
      </c>
      <c r="B60424">
        <f>TEXT(60423, "[$-0E0000]yyyy-mm-dd")</f>
        <v/>
      </c>
      <c r="C60424" t="inlineStr">
        <is>
          <t>2065-05-03</t>
        </is>
      </c>
    </row>
    <row r="60425">
      <c r="A60425" s="1" t="n">
        <v>60424</v>
      </c>
      <c r="B60425">
        <f>TEXT(60424, "[$-0E0000]yyyy-mm-dd")</f>
        <v/>
      </c>
      <c r="C60425" t="inlineStr">
        <is>
          <t>2065-05-04</t>
        </is>
      </c>
    </row>
    <row r="60426">
      <c r="A60426" s="1" t="n">
        <v>60425</v>
      </c>
      <c r="B60426">
        <f>TEXT(60425, "[$-0E0000]yyyy-mm-dd")</f>
        <v/>
      </c>
      <c r="C60426" t="inlineStr">
        <is>
          <t>2065-05-05</t>
        </is>
      </c>
    </row>
    <row r="60427">
      <c r="A60427" s="1" t="n">
        <v>60426</v>
      </c>
      <c r="B60427">
        <f>TEXT(60426, "[$-0E0000]yyyy-mm-dd")</f>
        <v/>
      </c>
      <c r="C60427" t="inlineStr">
        <is>
          <t>2065-05-06</t>
        </is>
      </c>
    </row>
    <row r="60428">
      <c r="A60428" s="1" t="n">
        <v>60427</v>
      </c>
      <c r="B60428">
        <f>TEXT(60427, "[$-0E0000]yyyy-mm-dd")</f>
        <v/>
      </c>
      <c r="C60428" t="inlineStr">
        <is>
          <t>2065-05-07</t>
        </is>
      </c>
    </row>
    <row r="60429">
      <c r="A60429" s="1" t="n">
        <v>60428</v>
      </c>
      <c r="B60429">
        <f>TEXT(60428, "[$-0E0000]yyyy-mm-dd")</f>
        <v/>
      </c>
      <c r="C60429" t="inlineStr">
        <is>
          <t>2065-05-08</t>
        </is>
      </c>
    </row>
    <row r="60430">
      <c r="A60430" s="1" t="n">
        <v>60429</v>
      </c>
      <c r="B60430">
        <f>TEXT(60429, "[$-0E0000]yyyy-mm-dd")</f>
        <v/>
      </c>
      <c r="C60430" t="inlineStr">
        <is>
          <t>2065-05-09</t>
        </is>
      </c>
    </row>
    <row r="60431">
      <c r="A60431" s="1" t="n">
        <v>60430</v>
      </c>
      <c r="B60431">
        <f>TEXT(60430, "[$-0E0000]yyyy-mm-dd")</f>
        <v/>
      </c>
      <c r="C60431" t="inlineStr">
        <is>
          <t>2065-05-10</t>
        </is>
      </c>
    </row>
    <row r="60432">
      <c r="A60432" s="1" t="n">
        <v>60431</v>
      </c>
      <c r="B60432">
        <f>TEXT(60431, "[$-0E0000]yyyy-mm-dd")</f>
        <v/>
      </c>
      <c r="C60432" t="inlineStr">
        <is>
          <t>2065-05-11</t>
        </is>
      </c>
    </row>
    <row r="60433">
      <c r="A60433" s="1" t="n">
        <v>60432</v>
      </c>
      <c r="B60433">
        <f>TEXT(60432, "[$-0E0000]yyyy-mm-dd")</f>
        <v/>
      </c>
      <c r="C60433" t="inlineStr">
        <is>
          <t>2065-05-12</t>
        </is>
      </c>
    </row>
    <row r="60434">
      <c r="A60434" s="1" t="n">
        <v>60433</v>
      </c>
      <c r="B60434">
        <f>TEXT(60433, "[$-0E0000]yyyy-mm-dd")</f>
        <v/>
      </c>
      <c r="C60434" t="inlineStr">
        <is>
          <t>2065-05-13</t>
        </is>
      </c>
    </row>
    <row r="60435">
      <c r="A60435" s="1" t="n">
        <v>60434</v>
      </c>
      <c r="B60435">
        <f>TEXT(60434, "[$-0E0000]yyyy-mm-dd")</f>
        <v/>
      </c>
      <c r="C60435" t="inlineStr">
        <is>
          <t>2065-05-14</t>
        </is>
      </c>
    </row>
    <row r="60436">
      <c r="A60436" s="1" t="n">
        <v>60435</v>
      </c>
      <c r="B60436">
        <f>TEXT(60435, "[$-0E0000]yyyy-mm-dd")</f>
        <v/>
      </c>
      <c r="C60436" t="inlineStr">
        <is>
          <t>2065-05-15</t>
        </is>
      </c>
    </row>
    <row r="60437">
      <c r="A60437" s="1" t="n">
        <v>60436</v>
      </c>
      <c r="B60437">
        <f>TEXT(60436, "[$-0E0000]yyyy-mm-dd")</f>
        <v/>
      </c>
      <c r="C60437" t="inlineStr">
        <is>
          <t>2065-05-16</t>
        </is>
      </c>
    </row>
    <row r="60438">
      <c r="A60438" s="1" t="n">
        <v>60437</v>
      </c>
      <c r="B60438">
        <f>TEXT(60437, "[$-0E0000]yyyy-mm-dd")</f>
        <v/>
      </c>
      <c r="C60438" t="inlineStr">
        <is>
          <t>2065-05-17</t>
        </is>
      </c>
    </row>
    <row r="60439">
      <c r="A60439" s="1" t="n">
        <v>60438</v>
      </c>
      <c r="B60439">
        <f>TEXT(60438, "[$-0E0000]yyyy-mm-dd")</f>
        <v/>
      </c>
      <c r="C60439" t="inlineStr">
        <is>
          <t>2065-05-18</t>
        </is>
      </c>
    </row>
    <row r="60440">
      <c r="A60440" s="1" t="n">
        <v>60439</v>
      </c>
      <c r="B60440">
        <f>TEXT(60439, "[$-0E0000]yyyy-mm-dd")</f>
        <v/>
      </c>
      <c r="C60440" t="inlineStr">
        <is>
          <t>2065-05-19</t>
        </is>
      </c>
    </row>
    <row r="60441">
      <c r="A60441" s="1" t="n">
        <v>60440</v>
      </c>
      <c r="B60441">
        <f>TEXT(60440, "[$-0E0000]yyyy-mm-dd")</f>
        <v/>
      </c>
      <c r="C60441" t="inlineStr">
        <is>
          <t>2065-05-20</t>
        </is>
      </c>
    </row>
    <row r="60442">
      <c r="A60442" s="1" t="n">
        <v>60441</v>
      </c>
      <c r="B60442">
        <f>TEXT(60441, "[$-0E0000]yyyy-mm-dd")</f>
        <v/>
      </c>
      <c r="C60442" t="inlineStr">
        <is>
          <t>2065-05-21</t>
        </is>
      </c>
    </row>
    <row r="60443">
      <c r="A60443" s="1" t="n">
        <v>60442</v>
      </c>
      <c r="B60443">
        <f>TEXT(60442, "[$-0E0000]yyyy-mm-dd")</f>
        <v/>
      </c>
      <c r="C60443" t="inlineStr">
        <is>
          <t>2065-05-22</t>
        </is>
      </c>
    </row>
    <row r="60444">
      <c r="A60444" s="1" t="n">
        <v>60443</v>
      </c>
      <c r="B60444">
        <f>TEXT(60443, "[$-0E0000]yyyy-mm-dd")</f>
        <v/>
      </c>
      <c r="C60444" t="inlineStr">
        <is>
          <t>2065-05-23</t>
        </is>
      </c>
    </row>
    <row r="60445">
      <c r="A60445" s="1" t="n">
        <v>60444</v>
      </c>
      <c r="B60445">
        <f>TEXT(60444, "[$-0E0000]yyyy-mm-dd")</f>
        <v/>
      </c>
      <c r="C60445" t="inlineStr">
        <is>
          <t>2065-05-24</t>
        </is>
      </c>
    </row>
    <row r="60446">
      <c r="A60446" s="1" t="n">
        <v>60445</v>
      </c>
      <c r="B60446">
        <f>TEXT(60445, "[$-0E0000]yyyy-mm-dd")</f>
        <v/>
      </c>
      <c r="C60446" t="inlineStr">
        <is>
          <t>2065-05-25</t>
        </is>
      </c>
    </row>
    <row r="60447">
      <c r="A60447" s="1" t="n">
        <v>60446</v>
      </c>
      <c r="B60447">
        <f>TEXT(60446, "[$-0E0000]yyyy-mm-dd")</f>
        <v/>
      </c>
      <c r="C60447" t="inlineStr">
        <is>
          <t>2065-05-26</t>
        </is>
      </c>
    </row>
    <row r="60448">
      <c r="A60448" s="1" t="n">
        <v>60447</v>
      </c>
      <c r="B60448">
        <f>TEXT(60447, "[$-0E0000]yyyy-mm-dd")</f>
        <v/>
      </c>
      <c r="C60448" t="inlineStr">
        <is>
          <t>2065-05-27</t>
        </is>
      </c>
    </row>
    <row r="60449">
      <c r="A60449" s="1" t="n">
        <v>60448</v>
      </c>
      <c r="B60449">
        <f>TEXT(60448, "[$-0E0000]yyyy-mm-dd")</f>
        <v/>
      </c>
      <c r="C60449" t="inlineStr">
        <is>
          <t>2065-05-28</t>
        </is>
      </c>
    </row>
    <row r="60450">
      <c r="A60450" s="1" t="n">
        <v>60449</v>
      </c>
      <c r="B60450">
        <f>TEXT(60449, "[$-0E0000]yyyy-mm-dd")</f>
        <v/>
      </c>
      <c r="C60450" t="inlineStr">
        <is>
          <t>2065-05-29</t>
        </is>
      </c>
    </row>
    <row r="60451">
      <c r="A60451" s="1" t="n">
        <v>60450</v>
      </c>
      <c r="B60451">
        <f>TEXT(60450, "[$-0E0000]yyyy-mm-dd")</f>
        <v/>
      </c>
      <c r="C60451" t="inlineStr">
        <is>
          <t>2065-05-30</t>
        </is>
      </c>
    </row>
    <row r="60452">
      <c r="A60452" s="1" t="n">
        <v>60451</v>
      </c>
      <c r="B60452">
        <f>TEXT(60451, "[$-0E0000]yyyy-mm-dd")</f>
        <v/>
      </c>
      <c r="C60452" t="inlineStr">
        <is>
          <t>2065-06-01</t>
        </is>
      </c>
    </row>
    <row r="60453">
      <c r="A60453" s="1" t="n">
        <v>60452</v>
      </c>
      <c r="B60453">
        <f>TEXT(60452, "[$-0E0000]yyyy-mm-dd")</f>
        <v/>
      </c>
      <c r="C60453" t="inlineStr">
        <is>
          <t>2065-06-02</t>
        </is>
      </c>
    </row>
    <row r="60454">
      <c r="A60454" s="1" t="n">
        <v>60453</v>
      </c>
      <c r="B60454">
        <f>TEXT(60453, "[$-0E0000]yyyy-mm-dd")</f>
        <v/>
      </c>
      <c r="C60454" t="inlineStr">
        <is>
          <t>2065-06-03</t>
        </is>
      </c>
    </row>
    <row r="60455">
      <c r="A60455" s="1" t="n">
        <v>60454</v>
      </c>
      <c r="B60455">
        <f>TEXT(60454, "[$-0E0000]yyyy-mm-dd")</f>
        <v/>
      </c>
      <c r="C60455" t="inlineStr">
        <is>
          <t>2065-06-04</t>
        </is>
      </c>
    </row>
    <row r="60456">
      <c r="A60456" s="1" t="n">
        <v>60455</v>
      </c>
      <c r="B60456">
        <f>TEXT(60455, "[$-0E0000]yyyy-mm-dd")</f>
        <v/>
      </c>
      <c r="C60456" t="inlineStr">
        <is>
          <t>2065-06-05</t>
        </is>
      </c>
    </row>
    <row r="60457">
      <c r="A60457" s="1" t="n">
        <v>60456</v>
      </c>
      <c r="B60457">
        <f>TEXT(60456, "[$-0E0000]yyyy-mm-dd")</f>
        <v/>
      </c>
      <c r="C60457" t="inlineStr">
        <is>
          <t>2065-06-06</t>
        </is>
      </c>
    </row>
    <row r="60458">
      <c r="A60458" s="1" t="n">
        <v>60457</v>
      </c>
      <c r="B60458">
        <f>TEXT(60457, "[$-0E0000]yyyy-mm-dd")</f>
        <v/>
      </c>
      <c r="C60458" t="inlineStr">
        <is>
          <t>2065-06-07</t>
        </is>
      </c>
    </row>
    <row r="60459">
      <c r="A60459" s="1" t="n">
        <v>60458</v>
      </c>
      <c r="B60459">
        <f>TEXT(60458, "[$-0E0000]yyyy-mm-dd")</f>
        <v/>
      </c>
      <c r="C60459" t="inlineStr">
        <is>
          <t>2065-06-08</t>
        </is>
      </c>
    </row>
    <row r="60460">
      <c r="A60460" s="1" t="n">
        <v>60459</v>
      </c>
      <c r="B60460">
        <f>TEXT(60459, "[$-0E0000]yyyy-mm-dd")</f>
        <v/>
      </c>
      <c r="C60460" t="inlineStr">
        <is>
          <t>2065-06-09</t>
        </is>
      </c>
    </row>
    <row r="60461">
      <c r="A60461" s="1" t="n">
        <v>60460</v>
      </c>
      <c r="B60461">
        <f>TEXT(60460, "[$-0E0000]yyyy-mm-dd")</f>
        <v/>
      </c>
      <c r="C60461" t="inlineStr">
        <is>
          <t>2065-06-10</t>
        </is>
      </c>
    </row>
    <row r="60462">
      <c r="A60462" s="1" t="n">
        <v>60461</v>
      </c>
      <c r="B60462">
        <f>TEXT(60461, "[$-0E0000]yyyy-mm-dd")</f>
        <v/>
      </c>
      <c r="C60462" t="inlineStr">
        <is>
          <t>2065-06-11</t>
        </is>
      </c>
    </row>
    <row r="60463">
      <c r="A60463" s="1" t="n">
        <v>60462</v>
      </c>
      <c r="B60463">
        <f>TEXT(60462, "[$-0E0000]yyyy-mm-dd")</f>
        <v/>
      </c>
      <c r="C60463" t="inlineStr">
        <is>
          <t>2065-06-12</t>
        </is>
      </c>
    </row>
    <row r="60464">
      <c r="A60464" s="1" t="n">
        <v>60463</v>
      </c>
      <c r="B60464">
        <f>TEXT(60463, "[$-0E0000]yyyy-mm-dd")</f>
        <v/>
      </c>
      <c r="C60464" t="inlineStr">
        <is>
          <t>2065-06-13</t>
        </is>
      </c>
    </row>
    <row r="60465">
      <c r="A60465" s="1" t="n">
        <v>60464</v>
      </c>
      <c r="B60465">
        <f>TEXT(60464, "[$-0E0000]yyyy-mm-dd")</f>
        <v/>
      </c>
      <c r="C60465" t="inlineStr">
        <is>
          <t>2065-06-14</t>
        </is>
      </c>
    </row>
    <row r="60466">
      <c r="A60466" s="1" t="n">
        <v>60465</v>
      </c>
      <c r="B60466">
        <f>TEXT(60465, "[$-0E0000]yyyy-mm-dd")</f>
        <v/>
      </c>
      <c r="C60466" t="inlineStr">
        <is>
          <t>2065-06-15</t>
        </is>
      </c>
    </row>
    <row r="60467">
      <c r="A60467" s="1" t="n">
        <v>60466</v>
      </c>
      <c r="B60467">
        <f>TEXT(60466, "[$-0E0000]yyyy-mm-dd")</f>
        <v/>
      </c>
      <c r="C60467" t="inlineStr">
        <is>
          <t>2065-06-16</t>
        </is>
      </c>
    </row>
    <row r="60468">
      <c r="A60468" s="1" t="n">
        <v>60467</v>
      </c>
      <c r="B60468">
        <f>TEXT(60467, "[$-0E0000]yyyy-mm-dd")</f>
        <v/>
      </c>
      <c r="C60468" t="inlineStr">
        <is>
          <t>2065-06-17</t>
        </is>
      </c>
    </row>
    <row r="60469">
      <c r="A60469" s="1" t="n">
        <v>60468</v>
      </c>
      <c r="B60469">
        <f>TEXT(60468, "[$-0E0000]yyyy-mm-dd")</f>
        <v/>
      </c>
      <c r="C60469" t="inlineStr">
        <is>
          <t>2065-06-18</t>
        </is>
      </c>
    </row>
    <row r="60470">
      <c r="A60470" s="1" t="n">
        <v>60469</v>
      </c>
      <c r="B60470">
        <f>TEXT(60469, "[$-0E0000]yyyy-mm-dd")</f>
        <v/>
      </c>
      <c r="C60470" t="inlineStr">
        <is>
          <t>2065-06-19</t>
        </is>
      </c>
    </row>
    <row r="60471">
      <c r="A60471" s="1" t="n">
        <v>60470</v>
      </c>
      <c r="B60471">
        <f>TEXT(60470, "[$-0E0000]yyyy-mm-dd")</f>
        <v/>
      </c>
      <c r="C60471" t="inlineStr">
        <is>
          <t>2065-06-20</t>
        </is>
      </c>
    </row>
    <row r="60472">
      <c r="A60472" s="1" t="n">
        <v>60471</v>
      </c>
      <c r="B60472">
        <f>TEXT(60471, "[$-0E0000]yyyy-mm-dd")</f>
        <v/>
      </c>
      <c r="C60472" t="inlineStr">
        <is>
          <t>2065-06-21</t>
        </is>
      </c>
    </row>
    <row r="60473">
      <c r="A60473" s="1" t="n">
        <v>60472</v>
      </c>
      <c r="B60473">
        <f>TEXT(60472, "[$-0E0000]yyyy-mm-dd")</f>
        <v/>
      </c>
      <c r="C60473" t="inlineStr">
        <is>
          <t>2065-06-22</t>
        </is>
      </c>
    </row>
    <row r="60474">
      <c r="A60474" s="1" t="n">
        <v>60473</v>
      </c>
      <c r="B60474">
        <f>TEXT(60473, "[$-0E0000]yyyy-mm-dd")</f>
        <v/>
      </c>
      <c r="C60474" t="inlineStr">
        <is>
          <t>2065-06-23</t>
        </is>
      </c>
    </row>
    <row r="60475">
      <c r="A60475" s="1" t="n">
        <v>60474</v>
      </c>
      <c r="B60475">
        <f>TEXT(60474, "[$-0E0000]yyyy-mm-dd")</f>
        <v/>
      </c>
      <c r="C60475" t="inlineStr">
        <is>
          <t>2065-06-24</t>
        </is>
      </c>
    </row>
    <row r="60476">
      <c r="A60476" s="1" t="n">
        <v>60475</v>
      </c>
      <c r="B60476">
        <f>TEXT(60475, "[$-0E0000]yyyy-mm-dd")</f>
        <v/>
      </c>
      <c r="C60476" t="inlineStr">
        <is>
          <t>2065-06-25</t>
        </is>
      </c>
    </row>
    <row r="60477">
      <c r="A60477" s="1" t="n">
        <v>60476</v>
      </c>
      <c r="B60477">
        <f>TEXT(60476, "[$-0E0000]yyyy-mm-dd")</f>
        <v/>
      </c>
      <c r="C60477" t="inlineStr">
        <is>
          <t>2065-06-26</t>
        </is>
      </c>
    </row>
    <row r="60478">
      <c r="A60478" s="1" t="n">
        <v>60477</v>
      </c>
      <c r="B60478">
        <f>TEXT(60477, "[$-0E0000]yyyy-mm-dd")</f>
        <v/>
      </c>
      <c r="C60478" t="inlineStr">
        <is>
          <t>2065-06-27</t>
        </is>
      </c>
    </row>
    <row r="60479">
      <c r="A60479" s="1" t="n">
        <v>60478</v>
      </c>
      <c r="B60479">
        <f>TEXT(60478, "[$-0E0000]yyyy-mm-dd")</f>
        <v/>
      </c>
      <c r="C60479" t="inlineStr">
        <is>
          <t>2065-06-28</t>
        </is>
      </c>
    </row>
    <row r="60480">
      <c r="A60480" s="1" t="n">
        <v>60479</v>
      </c>
      <c r="B60480">
        <f>TEXT(60479, "[$-0E0000]yyyy-mm-dd")</f>
        <v/>
      </c>
      <c r="C60480" t="inlineStr">
        <is>
          <t>2065-06-29</t>
        </is>
      </c>
    </row>
    <row r="60481">
      <c r="A60481" s="1" t="n">
        <v>60480</v>
      </c>
      <c r="B60481">
        <f>TEXT(60480, "[$-0E0000]yyyy-mm-dd")</f>
        <v/>
      </c>
      <c r="C60481" t="inlineStr">
        <is>
          <t>2065-07-01</t>
        </is>
      </c>
    </row>
    <row r="60482">
      <c r="A60482" s="1" t="n">
        <v>60481</v>
      </c>
      <c r="B60482">
        <f>TEXT(60481, "[$-0E0000]yyyy-mm-dd")</f>
        <v/>
      </c>
      <c r="C60482" t="inlineStr">
        <is>
          <t>2065-07-02</t>
        </is>
      </c>
    </row>
    <row r="60483">
      <c r="A60483" s="1" t="n">
        <v>60482</v>
      </c>
      <c r="B60483">
        <f>TEXT(60482, "[$-0E0000]yyyy-mm-dd")</f>
        <v/>
      </c>
      <c r="C60483" t="inlineStr">
        <is>
          <t>2065-07-03</t>
        </is>
      </c>
    </row>
    <row r="60484">
      <c r="A60484" s="1" t="n">
        <v>60483</v>
      </c>
      <c r="B60484">
        <f>TEXT(60483, "[$-0E0000]yyyy-mm-dd")</f>
        <v/>
      </c>
      <c r="C60484" t="inlineStr">
        <is>
          <t>2065-07-04</t>
        </is>
      </c>
    </row>
    <row r="60485">
      <c r="A60485" s="1" t="n">
        <v>60484</v>
      </c>
      <c r="B60485">
        <f>TEXT(60484, "[$-0E0000]yyyy-mm-dd")</f>
        <v/>
      </c>
      <c r="C60485" t="inlineStr">
        <is>
          <t>2065-07-05</t>
        </is>
      </c>
    </row>
    <row r="60486">
      <c r="A60486" s="1" t="n">
        <v>60485</v>
      </c>
      <c r="B60486">
        <f>TEXT(60485, "[$-0E0000]yyyy-mm-dd")</f>
        <v/>
      </c>
      <c r="C60486" t="inlineStr">
        <is>
          <t>2065-07-06</t>
        </is>
      </c>
    </row>
    <row r="60487">
      <c r="A60487" s="1" t="n">
        <v>60486</v>
      </c>
      <c r="B60487">
        <f>TEXT(60486, "[$-0E0000]yyyy-mm-dd")</f>
        <v/>
      </c>
      <c r="C60487" t="inlineStr">
        <is>
          <t>2065-07-07</t>
        </is>
      </c>
    </row>
    <row r="60488">
      <c r="A60488" s="1" t="n">
        <v>60487</v>
      </c>
      <c r="B60488">
        <f>TEXT(60487, "[$-0E0000]yyyy-mm-dd")</f>
        <v/>
      </c>
      <c r="C60488" t="inlineStr">
        <is>
          <t>2065-07-08</t>
        </is>
      </c>
    </row>
    <row r="60489">
      <c r="A60489" s="1" t="n">
        <v>60488</v>
      </c>
      <c r="B60489">
        <f>TEXT(60488, "[$-0E0000]yyyy-mm-dd")</f>
        <v/>
      </c>
      <c r="C60489" t="inlineStr">
        <is>
          <t>2065-07-09</t>
        </is>
      </c>
    </row>
    <row r="60490">
      <c r="A60490" s="1" t="n">
        <v>60489</v>
      </c>
      <c r="B60490">
        <f>TEXT(60489, "[$-0E0000]yyyy-mm-dd")</f>
        <v/>
      </c>
      <c r="C60490" t="inlineStr">
        <is>
          <t>2065-07-10</t>
        </is>
      </c>
    </row>
    <row r="60491">
      <c r="A60491" s="1" t="n">
        <v>60490</v>
      </c>
      <c r="B60491">
        <f>TEXT(60490, "[$-0E0000]yyyy-mm-dd")</f>
        <v/>
      </c>
      <c r="C60491" t="inlineStr">
        <is>
          <t>2065-07-11</t>
        </is>
      </c>
    </row>
    <row r="60492">
      <c r="A60492" s="1" t="n">
        <v>60491</v>
      </c>
      <c r="B60492">
        <f>TEXT(60491, "[$-0E0000]yyyy-mm-dd")</f>
        <v/>
      </c>
      <c r="C60492" t="inlineStr">
        <is>
          <t>2065-07-12</t>
        </is>
      </c>
    </row>
    <row r="60493">
      <c r="A60493" s="1" t="n">
        <v>60492</v>
      </c>
      <c r="B60493">
        <f>TEXT(60492, "[$-0E0000]yyyy-mm-dd")</f>
        <v/>
      </c>
      <c r="C60493" t="inlineStr">
        <is>
          <t>2065-07-13</t>
        </is>
      </c>
    </row>
    <row r="60494">
      <c r="A60494" s="1" t="n">
        <v>60493</v>
      </c>
      <c r="B60494">
        <f>TEXT(60493, "[$-0E0000]yyyy-mm-dd")</f>
        <v/>
      </c>
      <c r="C60494" t="inlineStr">
        <is>
          <t>2065-07-14</t>
        </is>
      </c>
    </row>
    <row r="60495">
      <c r="A60495" s="1" t="n">
        <v>60494</v>
      </c>
      <c r="B60495">
        <f>TEXT(60494, "[$-0E0000]yyyy-mm-dd")</f>
        <v/>
      </c>
      <c r="C60495" t="inlineStr">
        <is>
          <t>2065-07-15</t>
        </is>
      </c>
    </row>
    <row r="60496">
      <c r="A60496" s="1" t="n">
        <v>60495</v>
      </c>
      <c r="B60496">
        <f>TEXT(60495, "[$-0E0000]yyyy-mm-dd")</f>
        <v/>
      </c>
      <c r="C60496" t="inlineStr">
        <is>
          <t>2065-07-16</t>
        </is>
      </c>
    </row>
    <row r="60497">
      <c r="A60497" s="1" t="n">
        <v>60496</v>
      </c>
      <c r="B60497">
        <f>TEXT(60496, "[$-0E0000]yyyy-mm-dd")</f>
        <v/>
      </c>
      <c r="C60497" t="inlineStr">
        <is>
          <t>2065-07-17</t>
        </is>
      </c>
    </row>
    <row r="60498">
      <c r="A60498" s="1" t="n">
        <v>60497</v>
      </c>
      <c r="B60498">
        <f>TEXT(60497, "[$-0E0000]yyyy-mm-dd")</f>
        <v/>
      </c>
      <c r="C60498" t="inlineStr">
        <is>
          <t>2065-07-18</t>
        </is>
      </c>
    </row>
    <row r="60499">
      <c r="A60499" s="1" t="n">
        <v>60498</v>
      </c>
      <c r="B60499">
        <f>TEXT(60498, "[$-0E0000]yyyy-mm-dd")</f>
        <v/>
      </c>
      <c r="C60499" t="inlineStr">
        <is>
          <t>2065-07-19</t>
        </is>
      </c>
    </row>
    <row r="60500">
      <c r="A60500" s="1" t="n">
        <v>60499</v>
      </c>
      <c r="B60500">
        <f>TEXT(60499, "[$-0E0000]yyyy-mm-dd")</f>
        <v/>
      </c>
      <c r="C60500" t="inlineStr">
        <is>
          <t>2065-07-20</t>
        </is>
      </c>
    </row>
    <row r="60501">
      <c r="A60501" s="1" t="n">
        <v>60500</v>
      </c>
      <c r="B60501">
        <f>TEXT(60500, "[$-0E0000]yyyy-mm-dd")</f>
        <v/>
      </c>
      <c r="C60501" t="inlineStr">
        <is>
          <t>2065-07-21</t>
        </is>
      </c>
    </row>
    <row r="60502">
      <c r="A60502" s="1" t="n">
        <v>60501</v>
      </c>
      <c r="B60502">
        <f>TEXT(60501, "[$-0E0000]yyyy-mm-dd")</f>
        <v/>
      </c>
      <c r="C60502" t="inlineStr">
        <is>
          <t>2065-07-22</t>
        </is>
      </c>
    </row>
    <row r="60503">
      <c r="A60503" s="1" t="n">
        <v>60502</v>
      </c>
      <c r="B60503">
        <f>TEXT(60502, "[$-0E0000]yyyy-mm-dd")</f>
        <v/>
      </c>
      <c r="C60503" t="inlineStr">
        <is>
          <t>2065-07-23</t>
        </is>
      </c>
    </row>
    <row r="60504">
      <c r="A60504" s="1" t="n">
        <v>60503</v>
      </c>
      <c r="B60504">
        <f>TEXT(60503, "[$-0E0000]yyyy-mm-dd")</f>
        <v/>
      </c>
      <c r="C60504" t="inlineStr">
        <is>
          <t>2065-07-24</t>
        </is>
      </c>
    </row>
    <row r="60505">
      <c r="A60505" s="1" t="n">
        <v>60504</v>
      </c>
      <c r="B60505">
        <f>TEXT(60504, "[$-0E0000]yyyy-mm-dd")</f>
        <v/>
      </c>
      <c r="C60505" t="inlineStr">
        <is>
          <t>2065-07-25</t>
        </is>
      </c>
    </row>
    <row r="60506">
      <c r="A60506" s="1" t="n">
        <v>60505</v>
      </c>
      <c r="B60506">
        <f>TEXT(60505, "[$-0E0000]yyyy-mm-dd")</f>
        <v/>
      </c>
      <c r="C60506" t="inlineStr">
        <is>
          <t>2065-07-26</t>
        </is>
      </c>
    </row>
    <row r="60507">
      <c r="A60507" s="1" t="n">
        <v>60506</v>
      </c>
      <c r="B60507">
        <f>TEXT(60506, "[$-0E0000]yyyy-mm-dd")</f>
        <v/>
      </c>
      <c r="C60507" t="inlineStr">
        <is>
          <t>2065-07-27</t>
        </is>
      </c>
    </row>
    <row r="60508">
      <c r="A60508" s="1" t="n">
        <v>60507</v>
      </c>
      <c r="B60508">
        <f>TEXT(60507, "[$-0E0000]yyyy-mm-dd")</f>
        <v/>
      </c>
      <c r="C60508" t="inlineStr">
        <is>
          <t>2065-07-28</t>
        </is>
      </c>
    </row>
    <row r="60509">
      <c r="A60509" s="1" t="n">
        <v>60508</v>
      </c>
      <c r="B60509">
        <f>TEXT(60508, "[$-0E0000]yyyy-mm-dd")</f>
        <v/>
      </c>
      <c r="C60509" t="inlineStr">
        <is>
          <t>2065-07-29</t>
        </is>
      </c>
    </row>
    <row r="60510">
      <c r="A60510" s="1" t="n">
        <v>60509</v>
      </c>
      <c r="B60510">
        <f>TEXT(60509, "[$-0E0000]yyyy-mm-dd")</f>
        <v/>
      </c>
      <c r="C60510" t="inlineStr">
        <is>
          <t>2065-07-30</t>
        </is>
      </c>
    </row>
    <row r="60511">
      <c r="A60511" s="1" t="n">
        <v>60510</v>
      </c>
      <c r="B60511">
        <f>TEXT(60510, "[$-0E0000]yyyy-mm-dd")</f>
        <v/>
      </c>
      <c r="C60511" t="inlineStr">
        <is>
          <t>2065-08-01</t>
        </is>
      </c>
    </row>
    <row r="60512">
      <c r="A60512" s="1" t="n">
        <v>60511</v>
      </c>
      <c r="B60512">
        <f>TEXT(60511, "[$-0E0000]yyyy-mm-dd")</f>
        <v/>
      </c>
      <c r="C60512" t="inlineStr">
        <is>
          <t>2065-08-02</t>
        </is>
      </c>
    </row>
    <row r="60513">
      <c r="A60513" s="1" t="n">
        <v>60512</v>
      </c>
      <c r="B60513">
        <f>TEXT(60512, "[$-0E0000]yyyy-mm-dd")</f>
        <v/>
      </c>
      <c r="C60513" t="inlineStr">
        <is>
          <t>2065-08-03</t>
        </is>
      </c>
    </row>
    <row r="60514">
      <c r="A60514" s="1" t="n">
        <v>60513</v>
      </c>
      <c r="B60514">
        <f>TEXT(60513, "[$-0E0000]yyyy-mm-dd")</f>
        <v/>
      </c>
      <c r="C60514" t="inlineStr">
        <is>
          <t>2065-08-04</t>
        </is>
      </c>
    </row>
    <row r="60515">
      <c r="A60515" s="1" t="n">
        <v>60514</v>
      </c>
      <c r="B60515">
        <f>TEXT(60514, "[$-0E0000]yyyy-mm-dd")</f>
        <v/>
      </c>
      <c r="C60515" t="inlineStr">
        <is>
          <t>2065-08-05</t>
        </is>
      </c>
    </row>
    <row r="60516">
      <c r="A60516" s="1" t="n">
        <v>60515</v>
      </c>
      <c r="B60516">
        <f>TEXT(60515, "[$-0E0000]yyyy-mm-dd")</f>
        <v/>
      </c>
      <c r="C60516" t="inlineStr">
        <is>
          <t>2065-08-06</t>
        </is>
      </c>
    </row>
    <row r="60517">
      <c r="A60517" s="1" t="n">
        <v>60516</v>
      </c>
      <c r="B60517">
        <f>TEXT(60516, "[$-0E0000]yyyy-mm-dd")</f>
        <v/>
      </c>
      <c r="C60517" t="inlineStr">
        <is>
          <t>2065-08-07</t>
        </is>
      </c>
    </row>
    <row r="60518">
      <c r="A60518" s="1" t="n">
        <v>60517</v>
      </c>
      <c r="B60518">
        <f>TEXT(60517, "[$-0E0000]yyyy-mm-dd")</f>
        <v/>
      </c>
      <c r="C60518" t="inlineStr">
        <is>
          <t>2065-08-08</t>
        </is>
      </c>
    </row>
    <row r="60519">
      <c r="A60519" s="1" t="n">
        <v>60518</v>
      </c>
      <c r="B60519">
        <f>TEXT(60518, "[$-0E0000]yyyy-mm-dd")</f>
        <v/>
      </c>
      <c r="C60519" t="inlineStr">
        <is>
          <t>2065-08-09</t>
        </is>
      </c>
    </row>
    <row r="60520">
      <c r="A60520" s="1" t="n">
        <v>60519</v>
      </c>
      <c r="B60520">
        <f>TEXT(60519, "[$-0E0000]yyyy-mm-dd")</f>
        <v/>
      </c>
      <c r="C60520" t="inlineStr">
        <is>
          <t>2065-08-10</t>
        </is>
      </c>
    </row>
    <row r="60521">
      <c r="A60521" s="1" t="n">
        <v>60520</v>
      </c>
      <c r="B60521">
        <f>TEXT(60520, "[$-0E0000]yyyy-mm-dd")</f>
        <v/>
      </c>
      <c r="C60521" t="inlineStr">
        <is>
          <t>2065-08-11</t>
        </is>
      </c>
    </row>
    <row r="60522">
      <c r="A60522" s="1" t="n">
        <v>60521</v>
      </c>
      <c r="B60522">
        <f>TEXT(60521, "[$-0E0000]yyyy-mm-dd")</f>
        <v/>
      </c>
      <c r="C60522" t="inlineStr">
        <is>
          <t>2065-08-12</t>
        </is>
      </c>
    </row>
    <row r="60523">
      <c r="A60523" s="1" t="n">
        <v>60522</v>
      </c>
      <c r="B60523">
        <f>TEXT(60522, "[$-0E0000]yyyy-mm-dd")</f>
        <v/>
      </c>
      <c r="C60523" t="inlineStr">
        <is>
          <t>2065-08-13</t>
        </is>
      </c>
    </row>
    <row r="60524">
      <c r="A60524" s="1" t="n">
        <v>60523</v>
      </c>
      <c r="B60524">
        <f>TEXT(60523, "[$-0E0000]yyyy-mm-dd")</f>
        <v/>
      </c>
      <c r="C60524" t="inlineStr">
        <is>
          <t>2065-08-14</t>
        </is>
      </c>
    </row>
    <row r="60525">
      <c r="A60525" s="1" t="n">
        <v>60524</v>
      </c>
      <c r="B60525">
        <f>TEXT(60524, "[$-0E0000]yyyy-mm-dd")</f>
        <v/>
      </c>
      <c r="C60525" t="inlineStr">
        <is>
          <t>2065-08-15</t>
        </is>
      </c>
    </row>
    <row r="60526">
      <c r="A60526" s="1" t="n">
        <v>60525</v>
      </c>
      <c r="B60526">
        <f>TEXT(60525, "[$-0E0000]yyyy-mm-dd")</f>
        <v/>
      </c>
      <c r="C60526" t="inlineStr">
        <is>
          <t>2065-08-16</t>
        </is>
      </c>
    </row>
    <row r="60527">
      <c r="A60527" s="1" t="n">
        <v>60526</v>
      </c>
      <c r="B60527">
        <f>TEXT(60526, "[$-0E0000]yyyy-mm-dd")</f>
        <v/>
      </c>
      <c r="C60527" t="inlineStr">
        <is>
          <t>2065-08-17</t>
        </is>
      </c>
    </row>
    <row r="60528">
      <c r="A60528" s="1" t="n">
        <v>60527</v>
      </c>
      <c r="B60528">
        <f>TEXT(60527, "[$-0E0000]yyyy-mm-dd")</f>
        <v/>
      </c>
      <c r="C60528" t="inlineStr">
        <is>
          <t>2065-08-18</t>
        </is>
      </c>
    </row>
    <row r="60529">
      <c r="A60529" s="1" t="n">
        <v>60528</v>
      </c>
      <c r="B60529">
        <f>TEXT(60528, "[$-0E0000]yyyy-mm-dd")</f>
        <v/>
      </c>
      <c r="C60529" t="inlineStr">
        <is>
          <t>2065-08-19</t>
        </is>
      </c>
    </row>
    <row r="60530">
      <c r="A60530" s="1" t="n">
        <v>60529</v>
      </c>
      <c r="B60530">
        <f>TEXT(60529, "[$-0E0000]yyyy-mm-dd")</f>
        <v/>
      </c>
      <c r="C60530" t="inlineStr">
        <is>
          <t>2065-08-20</t>
        </is>
      </c>
    </row>
    <row r="60531">
      <c r="A60531" s="1" t="n">
        <v>60530</v>
      </c>
      <c r="B60531">
        <f>TEXT(60530, "[$-0E0000]yyyy-mm-dd")</f>
        <v/>
      </c>
      <c r="C60531" t="inlineStr">
        <is>
          <t>2065-08-21</t>
        </is>
      </c>
    </row>
    <row r="60532">
      <c r="A60532" s="1" t="n">
        <v>60531</v>
      </c>
      <c r="B60532">
        <f>TEXT(60531, "[$-0E0000]yyyy-mm-dd")</f>
        <v/>
      </c>
      <c r="C60532" t="inlineStr">
        <is>
          <t>2065-08-22</t>
        </is>
      </c>
    </row>
    <row r="60533">
      <c r="A60533" s="1" t="n">
        <v>60532</v>
      </c>
      <c r="B60533">
        <f>TEXT(60532, "[$-0E0000]yyyy-mm-dd")</f>
        <v/>
      </c>
      <c r="C60533" t="inlineStr">
        <is>
          <t>2065-08-23</t>
        </is>
      </c>
    </row>
    <row r="60534">
      <c r="A60534" s="1" t="n">
        <v>60533</v>
      </c>
      <c r="B60534">
        <f>TEXT(60533, "[$-0E0000]yyyy-mm-dd")</f>
        <v/>
      </c>
      <c r="C60534" t="inlineStr">
        <is>
          <t>2065-08-24</t>
        </is>
      </c>
    </row>
    <row r="60535">
      <c r="A60535" s="1" t="n">
        <v>60534</v>
      </c>
      <c r="B60535">
        <f>TEXT(60534, "[$-0E0000]yyyy-mm-dd")</f>
        <v/>
      </c>
      <c r="C60535" t="inlineStr">
        <is>
          <t>2065-08-25</t>
        </is>
      </c>
    </row>
    <row r="60536">
      <c r="A60536" s="1" t="n">
        <v>60535</v>
      </c>
      <c r="B60536">
        <f>TEXT(60535, "[$-0E0000]yyyy-mm-dd")</f>
        <v/>
      </c>
      <c r="C60536" t="inlineStr">
        <is>
          <t>2065-08-26</t>
        </is>
      </c>
    </row>
    <row r="60537">
      <c r="A60537" s="1" t="n">
        <v>60536</v>
      </c>
      <c r="B60537">
        <f>TEXT(60536, "[$-0E0000]yyyy-mm-dd")</f>
        <v/>
      </c>
      <c r="C60537" t="inlineStr">
        <is>
          <t>2065-08-27</t>
        </is>
      </c>
    </row>
    <row r="60538">
      <c r="A60538" s="1" t="n">
        <v>60537</v>
      </c>
      <c r="B60538">
        <f>TEXT(60537, "[$-0E0000]yyyy-mm-dd")</f>
        <v/>
      </c>
      <c r="C60538" t="inlineStr">
        <is>
          <t>2065-08-28</t>
        </is>
      </c>
    </row>
    <row r="60539">
      <c r="A60539" s="1" t="n">
        <v>60538</v>
      </c>
      <c r="B60539">
        <f>TEXT(60538, "[$-0E0000]yyyy-mm-dd")</f>
        <v/>
      </c>
      <c r="C60539" t="inlineStr">
        <is>
          <t>2065-08-29</t>
        </is>
      </c>
    </row>
    <row r="60540">
      <c r="A60540" s="1" t="n">
        <v>60539</v>
      </c>
      <c r="B60540">
        <f>TEXT(60539, "[$-0E0000]yyyy-mm-dd")</f>
        <v/>
      </c>
      <c r="C60540" t="inlineStr">
        <is>
          <t>2065-09-01</t>
        </is>
      </c>
    </row>
    <row r="60541">
      <c r="A60541" s="1" t="n">
        <v>60540</v>
      </c>
      <c r="B60541">
        <f>TEXT(60540, "[$-0E0000]yyyy-mm-dd")</f>
        <v/>
      </c>
      <c r="C60541" t="inlineStr">
        <is>
          <t>2065-09-02</t>
        </is>
      </c>
    </row>
    <row r="60542">
      <c r="A60542" s="1" t="n">
        <v>60541</v>
      </c>
      <c r="B60542">
        <f>TEXT(60541, "[$-0E0000]yyyy-mm-dd")</f>
        <v/>
      </c>
      <c r="C60542" t="inlineStr">
        <is>
          <t>2065-09-03</t>
        </is>
      </c>
    </row>
    <row r="60543">
      <c r="A60543" s="1" t="n">
        <v>60542</v>
      </c>
      <c r="B60543">
        <f>TEXT(60542, "[$-0E0000]yyyy-mm-dd")</f>
        <v/>
      </c>
      <c r="C60543" t="inlineStr">
        <is>
          <t>2065-09-04</t>
        </is>
      </c>
    </row>
    <row r="60544">
      <c r="A60544" s="1" t="n">
        <v>60543</v>
      </c>
      <c r="B60544">
        <f>TEXT(60543, "[$-0E0000]yyyy-mm-dd")</f>
        <v/>
      </c>
      <c r="C60544" t="inlineStr">
        <is>
          <t>2065-09-05</t>
        </is>
      </c>
    </row>
    <row r="60545">
      <c r="A60545" s="1" t="n">
        <v>60544</v>
      </c>
      <c r="B60545">
        <f>TEXT(60544, "[$-0E0000]yyyy-mm-dd")</f>
        <v/>
      </c>
      <c r="C60545" t="inlineStr">
        <is>
          <t>2065-09-06</t>
        </is>
      </c>
    </row>
    <row r="60546">
      <c r="A60546" s="1" t="n">
        <v>60545</v>
      </c>
      <c r="B60546">
        <f>TEXT(60545, "[$-0E0000]yyyy-mm-dd")</f>
        <v/>
      </c>
      <c r="C60546" t="inlineStr">
        <is>
          <t>2065-09-07</t>
        </is>
      </c>
    </row>
    <row r="60547">
      <c r="A60547" s="1" t="n">
        <v>60546</v>
      </c>
      <c r="B60547">
        <f>TEXT(60546, "[$-0E0000]yyyy-mm-dd")</f>
        <v/>
      </c>
      <c r="C60547" t="inlineStr">
        <is>
          <t>2065-09-08</t>
        </is>
      </c>
    </row>
    <row r="60548">
      <c r="A60548" s="1" t="n">
        <v>60547</v>
      </c>
      <c r="B60548">
        <f>TEXT(60547, "[$-0E0000]yyyy-mm-dd")</f>
        <v/>
      </c>
      <c r="C60548" t="inlineStr">
        <is>
          <t>2065-09-09</t>
        </is>
      </c>
    </row>
    <row r="60549">
      <c r="A60549" s="1" t="n">
        <v>60548</v>
      </c>
      <c r="B60549">
        <f>TEXT(60548, "[$-0E0000]yyyy-mm-dd")</f>
        <v/>
      </c>
      <c r="C60549" t="inlineStr">
        <is>
          <t>2065-09-10</t>
        </is>
      </c>
    </row>
    <row r="60550">
      <c r="A60550" s="1" t="n">
        <v>60549</v>
      </c>
      <c r="B60550">
        <f>TEXT(60549, "[$-0E0000]yyyy-mm-dd")</f>
        <v/>
      </c>
      <c r="C60550" t="inlineStr">
        <is>
          <t>2065-09-11</t>
        </is>
      </c>
    </row>
    <row r="60551">
      <c r="A60551" s="1" t="n">
        <v>60550</v>
      </c>
      <c r="B60551">
        <f>TEXT(60550, "[$-0E0000]yyyy-mm-dd")</f>
        <v/>
      </c>
      <c r="C60551" t="inlineStr">
        <is>
          <t>2065-09-12</t>
        </is>
      </c>
    </row>
    <row r="60552">
      <c r="A60552" s="1" t="n">
        <v>60551</v>
      </c>
      <c r="B60552">
        <f>TEXT(60551, "[$-0E0000]yyyy-mm-dd")</f>
        <v/>
      </c>
      <c r="C60552" t="inlineStr">
        <is>
          <t>2065-09-13</t>
        </is>
      </c>
    </row>
    <row r="60553">
      <c r="A60553" s="1" t="n">
        <v>60552</v>
      </c>
      <c r="B60553">
        <f>TEXT(60552, "[$-0E0000]yyyy-mm-dd")</f>
        <v/>
      </c>
      <c r="C60553" t="inlineStr">
        <is>
          <t>2065-09-14</t>
        </is>
      </c>
    </row>
    <row r="60554">
      <c r="A60554" s="1" t="n">
        <v>60553</v>
      </c>
      <c r="B60554">
        <f>TEXT(60553, "[$-0E0000]yyyy-mm-dd")</f>
        <v/>
      </c>
      <c r="C60554" t="inlineStr">
        <is>
          <t>2065-09-15</t>
        </is>
      </c>
    </row>
    <row r="60555">
      <c r="A60555" s="1" t="n">
        <v>60554</v>
      </c>
      <c r="B60555">
        <f>TEXT(60554, "[$-0E0000]yyyy-mm-dd")</f>
        <v/>
      </c>
      <c r="C60555" t="inlineStr">
        <is>
          <t>2065-09-16</t>
        </is>
      </c>
    </row>
    <row r="60556">
      <c r="A60556" s="1" t="n">
        <v>60555</v>
      </c>
      <c r="B60556">
        <f>TEXT(60555, "[$-0E0000]yyyy-mm-dd")</f>
        <v/>
      </c>
      <c r="C60556" t="inlineStr">
        <is>
          <t>2065-09-17</t>
        </is>
      </c>
    </row>
    <row r="60557">
      <c r="A60557" s="1" t="n">
        <v>60556</v>
      </c>
      <c r="B60557">
        <f>TEXT(60556, "[$-0E0000]yyyy-mm-dd")</f>
        <v/>
      </c>
      <c r="C60557" t="inlineStr">
        <is>
          <t>2065-09-18</t>
        </is>
      </c>
    </row>
    <row r="60558">
      <c r="A60558" s="1" t="n">
        <v>60557</v>
      </c>
      <c r="B60558">
        <f>TEXT(60557, "[$-0E0000]yyyy-mm-dd")</f>
        <v/>
      </c>
      <c r="C60558" t="inlineStr">
        <is>
          <t>2065-09-19</t>
        </is>
      </c>
    </row>
    <row r="60559">
      <c r="A60559" s="1" t="n">
        <v>60558</v>
      </c>
      <c r="B60559">
        <f>TEXT(60558, "[$-0E0000]yyyy-mm-dd")</f>
        <v/>
      </c>
      <c r="C60559" t="inlineStr">
        <is>
          <t>2065-09-20</t>
        </is>
      </c>
    </row>
    <row r="60560">
      <c r="A60560" s="1" t="n">
        <v>60559</v>
      </c>
      <c r="B60560">
        <f>TEXT(60559, "[$-0E0000]yyyy-mm-dd")</f>
        <v/>
      </c>
      <c r="C60560" t="inlineStr">
        <is>
          <t>2065-09-21</t>
        </is>
      </c>
    </row>
    <row r="60561">
      <c r="A60561" s="1" t="n">
        <v>60560</v>
      </c>
      <c r="B60561">
        <f>TEXT(60560, "[$-0E0000]yyyy-mm-dd")</f>
        <v/>
      </c>
      <c r="C60561" t="inlineStr">
        <is>
          <t>2065-09-22</t>
        </is>
      </c>
    </row>
    <row r="60562">
      <c r="A60562" s="1" t="n">
        <v>60561</v>
      </c>
      <c r="B60562">
        <f>TEXT(60561, "[$-0E0000]yyyy-mm-dd")</f>
        <v/>
      </c>
      <c r="C60562" t="inlineStr">
        <is>
          <t>2065-09-23</t>
        </is>
      </c>
    </row>
    <row r="60563">
      <c r="A60563" s="1" t="n">
        <v>60562</v>
      </c>
      <c r="B60563">
        <f>TEXT(60562, "[$-0E0000]yyyy-mm-dd")</f>
        <v/>
      </c>
      <c r="C60563" t="inlineStr">
        <is>
          <t>2065-09-24</t>
        </is>
      </c>
    </row>
    <row r="60564">
      <c r="A60564" s="1" t="n">
        <v>60563</v>
      </c>
      <c r="B60564">
        <f>TEXT(60563, "[$-0E0000]yyyy-mm-dd")</f>
        <v/>
      </c>
      <c r="C60564" t="inlineStr">
        <is>
          <t>2065-09-25</t>
        </is>
      </c>
    </row>
    <row r="60565">
      <c r="A60565" s="1" t="n">
        <v>60564</v>
      </c>
      <c r="B60565">
        <f>TEXT(60564, "[$-0E0000]yyyy-mm-dd")</f>
        <v/>
      </c>
      <c r="C60565" t="inlineStr">
        <is>
          <t>2065-09-26</t>
        </is>
      </c>
    </row>
    <row r="60566">
      <c r="A60566" s="1" t="n">
        <v>60565</v>
      </c>
      <c r="B60566">
        <f>TEXT(60565, "[$-0E0000]yyyy-mm-dd")</f>
        <v/>
      </c>
      <c r="C60566" t="inlineStr">
        <is>
          <t>2065-09-27</t>
        </is>
      </c>
    </row>
    <row r="60567">
      <c r="A60567" s="1" t="n">
        <v>60566</v>
      </c>
      <c r="B60567">
        <f>TEXT(60566, "[$-0E0000]yyyy-mm-dd")</f>
        <v/>
      </c>
      <c r="C60567" t="inlineStr">
        <is>
          <t>2065-09-28</t>
        </is>
      </c>
    </row>
    <row r="60568">
      <c r="A60568" s="1" t="n">
        <v>60567</v>
      </c>
      <c r="B60568">
        <f>TEXT(60567, "[$-0E0000]yyyy-mm-dd")</f>
        <v/>
      </c>
      <c r="C60568" t="inlineStr">
        <is>
          <t>2065-09-29</t>
        </is>
      </c>
    </row>
    <row r="60569">
      <c r="A60569" s="1" t="n">
        <v>60568</v>
      </c>
      <c r="B60569">
        <f>TEXT(60568, "[$-0E0000]yyyy-mm-dd")</f>
        <v/>
      </c>
      <c r="C60569" t="inlineStr">
        <is>
          <t>2065-10-01</t>
        </is>
      </c>
    </row>
    <row r="60570">
      <c r="A60570" s="1" t="n">
        <v>60569</v>
      </c>
      <c r="B60570">
        <f>TEXT(60569, "[$-0E0000]yyyy-mm-dd")</f>
        <v/>
      </c>
      <c r="C60570" t="inlineStr">
        <is>
          <t>2065-10-02</t>
        </is>
      </c>
    </row>
    <row r="60571">
      <c r="A60571" s="1" t="n">
        <v>60570</v>
      </c>
      <c r="B60571">
        <f>TEXT(60570, "[$-0E0000]yyyy-mm-dd")</f>
        <v/>
      </c>
      <c r="C60571" t="inlineStr">
        <is>
          <t>2065-10-03</t>
        </is>
      </c>
    </row>
    <row r="60572">
      <c r="A60572" s="1" t="n">
        <v>60571</v>
      </c>
      <c r="B60572">
        <f>TEXT(60571, "[$-0E0000]yyyy-mm-dd")</f>
        <v/>
      </c>
      <c r="C60572" t="inlineStr">
        <is>
          <t>2065-10-04</t>
        </is>
      </c>
    </row>
    <row r="60573">
      <c r="A60573" s="1" t="n">
        <v>60572</v>
      </c>
      <c r="B60573">
        <f>TEXT(60572, "[$-0E0000]yyyy-mm-dd")</f>
        <v/>
      </c>
      <c r="C60573" t="inlineStr">
        <is>
          <t>2065-10-05</t>
        </is>
      </c>
    </row>
    <row r="60574">
      <c r="A60574" s="1" t="n">
        <v>60573</v>
      </c>
      <c r="B60574">
        <f>TEXT(60573, "[$-0E0000]yyyy-mm-dd")</f>
        <v/>
      </c>
      <c r="C60574" t="inlineStr">
        <is>
          <t>2065-10-06</t>
        </is>
      </c>
    </row>
    <row r="60575">
      <c r="A60575" s="1" t="n">
        <v>60574</v>
      </c>
      <c r="B60575">
        <f>TEXT(60574, "[$-0E0000]yyyy-mm-dd")</f>
        <v/>
      </c>
      <c r="C60575" t="inlineStr">
        <is>
          <t>2065-10-07</t>
        </is>
      </c>
    </row>
    <row r="60576">
      <c r="A60576" s="1" t="n">
        <v>60575</v>
      </c>
      <c r="B60576">
        <f>TEXT(60575, "[$-0E0000]yyyy-mm-dd")</f>
        <v/>
      </c>
      <c r="C60576" t="inlineStr">
        <is>
          <t>2065-10-08</t>
        </is>
      </c>
    </row>
    <row r="60577">
      <c r="A60577" s="1" t="n">
        <v>60576</v>
      </c>
      <c r="B60577">
        <f>TEXT(60576, "[$-0E0000]yyyy-mm-dd")</f>
        <v/>
      </c>
      <c r="C60577" t="inlineStr">
        <is>
          <t>2065-10-09</t>
        </is>
      </c>
    </row>
    <row r="60578">
      <c r="A60578" s="1" t="n">
        <v>60577</v>
      </c>
      <c r="B60578">
        <f>TEXT(60577, "[$-0E0000]yyyy-mm-dd")</f>
        <v/>
      </c>
      <c r="C60578" t="inlineStr">
        <is>
          <t>2065-10-10</t>
        </is>
      </c>
    </row>
    <row r="60579">
      <c r="A60579" s="1" t="n">
        <v>60578</v>
      </c>
      <c r="B60579">
        <f>TEXT(60578, "[$-0E0000]yyyy-mm-dd")</f>
        <v/>
      </c>
      <c r="C60579" t="inlineStr">
        <is>
          <t>2065-10-11</t>
        </is>
      </c>
    </row>
    <row r="60580">
      <c r="A60580" s="1" t="n">
        <v>60579</v>
      </c>
      <c r="B60580">
        <f>TEXT(60579, "[$-0E0000]yyyy-mm-dd")</f>
        <v/>
      </c>
      <c r="C60580" t="inlineStr">
        <is>
          <t>2065-10-12</t>
        </is>
      </c>
    </row>
    <row r="60581">
      <c r="A60581" s="1" t="n">
        <v>60580</v>
      </c>
      <c r="B60581">
        <f>TEXT(60580, "[$-0E0000]yyyy-mm-dd")</f>
        <v/>
      </c>
      <c r="C60581" t="inlineStr">
        <is>
          <t>2065-10-13</t>
        </is>
      </c>
    </row>
    <row r="60582">
      <c r="A60582" s="1" t="n">
        <v>60581</v>
      </c>
      <c r="B60582">
        <f>TEXT(60581, "[$-0E0000]yyyy-mm-dd")</f>
        <v/>
      </c>
      <c r="C60582" t="inlineStr">
        <is>
          <t>2065-10-14</t>
        </is>
      </c>
    </row>
    <row r="60583">
      <c r="A60583" s="1" t="n">
        <v>60582</v>
      </c>
      <c r="B60583">
        <f>TEXT(60582, "[$-0E0000]yyyy-mm-dd")</f>
        <v/>
      </c>
      <c r="C60583" t="inlineStr">
        <is>
          <t>2065-10-15</t>
        </is>
      </c>
    </row>
    <row r="60584">
      <c r="A60584" s="1" t="n">
        <v>60583</v>
      </c>
      <c r="B60584">
        <f>TEXT(60583, "[$-0E0000]yyyy-mm-dd")</f>
        <v/>
      </c>
      <c r="C60584" t="inlineStr">
        <is>
          <t>2065-10-16</t>
        </is>
      </c>
    </row>
    <row r="60585">
      <c r="A60585" s="1" t="n">
        <v>60584</v>
      </c>
      <c r="B60585">
        <f>TEXT(60584, "[$-0E0000]yyyy-mm-dd")</f>
        <v/>
      </c>
      <c r="C60585" t="inlineStr">
        <is>
          <t>2065-10-17</t>
        </is>
      </c>
    </row>
    <row r="60586">
      <c r="A60586" s="1" t="n">
        <v>60585</v>
      </c>
      <c r="B60586">
        <f>TEXT(60585, "[$-0E0000]yyyy-mm-dd")</f>
        <v/>
      </c>
      <c r="C60586" t="inlineStr">
        <is>
          <t>2065-10-18</t>
        </is>
      </c>
    </row>
    <row r="60587">
      <c r="A60587" s="1" t="n">
        <v>60586</v>
      </c>
      <c r="B60587">
        <f>TEXT(60586, "[$-0E0000]yyyy-mm-dd")</f>
        <v/>
      </c>
      <c r="C60587" t="inlineStr">
        <is>
          <t>2065-10-19</t>
        </is>
      </c>
    </row>
    <row r="60588">
      <c r="A60588" s="1" t="n">
        <v>60587</v>
      </c>
      <c r="B60588">
        <f>TEXT(60587, "[$-0E0000]yyyy-mm-dd")</f>
        <v/>
      </c>
      <c r="C60588" t="inlineStr">
        <is>
          <t>2065-10-20</t>
        </is>
      </c>
    </row>
    <row r="60589">
      <c r="A60589" s="1" t="n">
        <v>60588</v>
      </c>
      <c r="B60589">
        <f>TEXT(60588, "[$-0E0000]yyyy-mm-dd")</f>
        <v/>
      </c>
      <c r="C60589" t="inlineStr">
        <is>
          <t>2065-10-21</t>
        </is>
      </c>
    </row>
    <row r="60590">
      <c r="A60590" s="1" t="n">
        <v>60589</v>
      </c>
      <c r="B60590">
        <f>TEXT(60589, "[$-0E0000]yyyy-mm-dd")</f>
        <v/>
      </c>
      <c r="C60590" t="inlineStr">
        <is>
          <t>2065-10-22</t>
        </is>
      </c>
    </row>
    <row r="60591">
      <c r="A60591" s="1" t="n">
        <v>60590</v>
      </c>
      <c r="B60591">
        <f>TEXT(60590, "[$-0E0000]yyyy-mm-dd")</f>
        <v/>
      </c>
      <c r="C60591" t="inlineStr">
        <is>
          <t>2065-10-23</t>
        </is>
      </c>
    </row>
    <row r="60592">
      <c r="A60592" s="1" t="n">
        <v>60591</v>
      </c>
      <c r="B60592">
        <f>TEXT(60591, "[$-0E0000]yyyy-mm-dd")</f>
        <v/>
      </c>
      <c r="C60592" t="inlineStr">
        <is>
          <t>2065-10-24</t>
        </is>
      </c>
    </row>
    <row r="60593">
      <c r="A60593" s="1" t="n">
        <v>60592</v>
      </c>
      <c r="B60593">
        <f>TEXT(60592, "[$-0E0000]yyyy-mm-dd")</f>
        <v/>
      </c>
      <c r="C60593" t="inlineStr">
        <is>
          <t>2065-10-25</t>
        </is>
      </c>
    </row>
    <row r="60594">
      <c r="A60594" s="1" t="n">
        <v>60593</v>
      </c>
      <c r="B60594">
        <f>TEXT(60593, "[$-0E0000]yyyy-mm-dd")</f>
        <v/>
      </c>
      <c r="C60594" t="inlineStr">
        <is>
          <t>2065-10-26</t>
        </is>
      </c>
    </row>
    <row r="60595">
      <c r="A60595" s="1" t="n">
        <v>60594</v>
      </c>
      <c r="B60595">
        <f>TEXT(60594, "[$-0E0000]yyyy-mm-dd")</f>
        <v/>
      </c>
      <c r="C60595" t="inlineStr">
        <is>
          <t>2065-10-27</t>
        </is>
      </c>
    </row>
    <row r="60596">
      <c r="A60596" s="1" t="n">
        <v>60595</v>
      </c>
      <c r="B60596">
        <f>TEXT(60595, "[$-0E0000]yyyy-mm-dd")</f>
        <v/>
      </c>
      <c r="C60596" t="inlineStr">
        <is>
          <t>2065-10-28</t>
        </is>
      </c>
    </row>
    <row r="60597">
      <c r="A60597" s="1" t="n">
        <v>60596</v>
      </c>
      <c r="B60597">
        <f>TEXT(60596, "[$-0E0000]yyyy-mm-dd")</f>
        <v/>
      </c>
      <c r="C60597" t="inlineStr">
        <is>
          <t>2065-10-29</t>
        </is>
      </c>
    </row>
    <row r="60598">
      <c r="A60598" s="1" t="n">
        <v>60597</v>
      </c>
      <c r="B60598">
        <f>TEXT(60597, "[$-0E0000]yyyy-mm-dd")</f>
        <v/>
      </c>
      <c r="C60598" t="inlineStr">
        <is>
          <t>2065-10-30</t>
        </is>
      </c>
    </row>
    <row r="60599">
      <c r="A60599" s="1" t="n">
        <v>60598</v>
      </c>
      <c r="B60599">
        <f>TEXT(60598, "[$-0E0000]yyyy-mm-dd")</f>
        <v/>
      </c>
      <c r="C60599" t="inlineStr">
        <is>
          <t>2065-11-01</t>
        </is>
      </c>
    </row>
    <row r="60600">
      <c r="A60600" s="1" t="n">
        <v>60599</v>
      </c>
      <c r="B60600">
        <f>TEXT(60599, "[$-0E0000]yyyy-mm-dd")</f>
        <v/>
      </c>
      <c r="C60600" t="inlineStr">
        <is>
          <t>2065-11-02</t>
        </is>
      </c>
    </row>
    <row r="60601">
      <c r="A60601" s="1" t="n">
        <v>60600</v>
      </c>
      <c r="B60601">
        <f>TEXT(60600, "[$-0E0000]yyyy-mm-dd")</f>
        <v/>
      </c>
      <c r="C60601" t="inlineStr">
        <is>
          <t>2065-11-03</t>
        </is>
      </c>
    </row>
    <row r="60602">
      <c r="A60602" s="1" t="n">
        <v>60601</v>
      </c>
      <c r="B60602">
        <f>TEXT(60601, "[$-0E0000]yyyy-mm-dd")</f>
        <v/>
      </c>
      <c r="C60602" t="inlineStr">
        <is>
          <t>2065-11-04</t>
        </is>
      </c>
    </row>
    <row r="60603">
      <c r="A60603" s="1" t="n">
        <v>60602</v>
      </c>
      <c r="B60603">
        <f>TEXT(60602, "[$-0E0000]yyyy-mm-dd")</f>
        <v/>
      </c>
      <c r="C60603" t="inlineStr">
        <is>
          <t>2065-11-05</t>
        </is>
      </c>
    </row>
    <row r="60604">
      <c r="A60604" s="1" t="n">
        <v>60603</v>
      </c>
      <c r="B60604">
        <f>TEXT(60603, "[$-0E0000]yyyy-mm-dd")</f>
        <v/>
      </c>
      <c r="C60604" t="inlineStr">
        <is>
          <t>2065-11-06</t>
        </is>
      </c>
    </row>
    <row r="60605">
      <c r="A60605" s="1" t="n">
        <v>60604</v>
      </c>
      <c r="B60605">
        <f>TEXT(60604, "[$-0E0000]yyyy-mm-dd")</f>
        <v/>
      </c>
      <c r="C60605" t="inlineStr">
        <is>
          <t>2065-11-07</t>
        </is>
      </c>
    </row>
    <row r="60606">
      <c r="A60606" s="1" t="n">
        <v>60605</v>
      </c>
      <c r="B60606">
        <f>TEXT(60605, "[$-0E0000]yyyy-mm-dd")</f>
        <v/>
      </c>
      <c r="C60606" t="inlineStr">
        <is>
          <t>2065-11-08</t>
        </is>
      </c>
    </row>
    <row r="60607">
      <c r="A60607" s="1" t="n">
        <v>60606</v>
      </c>
      <c r="B60607">
        <f>TEXT(60606, "[$-0E0000]yyyy-mm-dd")</f>
        <v/>
      </c>
      <c r="C60607" t="inlineStr">
        <is>
          <t>2065-11-09</t>
        </is>
      </c>
    </row>
    <row r="60608">
      <c r="A60608" s="1" t="n">
        <v>60607</v>
      </c>
      <c r="B60608">
        <f>TEXT(60607, "[$-0E0000]yyyy-mm-dd")</f>
        <v/>
      </c>
      <c r="C60608" t="inlineStr">
        <is>
          <t>2065-11-10</t>
        </is>
      </c>
    </row>
    <row r="60609">
      <c r="A60609" s="1" t="n">
        <v>60608</v>
      </c>
      <c r="B60609">
        <f>TEXT(60608, "[$-0E0000]yyyy-mm-dd")</f>
        <v/>
      </c>
      <c r="C60609" t="inlineStr">
        <is>
          <t>2065-11-11</t>
        </is>
      </c>
    </row>
    <row r="60610">
      <c r="A60610" s="1" t="n">
        <v>60609</v>
      </c>
      <c r="B60610">
        <f>TEXT(60609, "[$-0E0000]yyyy-mm-dd")</f>
        <v/>
      </c>
      <c r="C60610" t="inlineStr">
        <is>
          <t>2065-11-12</t>
        </is>
      </c>
    </row>
    <row r="60611">
      <c r="A60611" s="1" t="n">
        <v>60610</v>
      </c>
      <c r="B60611">
        <f>TEXT(60610, "[$-0E0000]yyyy-mm-dd")</f>
        <v/>
      </c>
      <c r="C60611" t="inlineStr">
        <is>
          <t>2065-11-13</t>
        </is>
      </c>
    </row>
    <row r="60612">
      <c r="A60612" s="1" t="n">
        <v>60611</v>
      </c>
      <c r="B60612">
        <f>TEXT(60611, "[$-0E0000]yyyy-mm-dd")</f>
        <v/>
      </c>
      <c r="C60612" t="inlineStr">
        <is>
          <t>2065-11-14</t>
        </is>
      </c>
    </row>
    <row r="60613">
      <c r="A60613" s="1" t="n">
        <v>60612</v>
      </c>
      <c r="B60613">
        <f>TEXT(60612, "[$-0E0000]yyyy-mm-dd")</f>
        <v/>
      </c>
      <c r="C60613" t="inlineStr">
        <is>
          <t>2065-11-15</t>
        </is>
      </c>
    </row>
    <row r="60614">
      <c r="A60614" s="1" t="n">
        <v>60613</v>
      </c>
      <c r="B60614">
        <f>TEXT(60613, "[$-0E0000]yyyy-mm-dd")</f>
        <v/>
      </c>
      <c r="C60614" t="inlineStr">
        <is>
          <t>2065-11-16</t>
        </is>
      </c>
    </row>
    <row r="60615">
      <c r="A60615" s="1" t="n">
        <v>60614</v>
      </c>
      <c r="B60615">
        <f>TEXT(60614, "[$-0E0000]yyyy-mm-dd")</f>
        <v/>
      </c>
      <c r="C60615" t="inlineStr">
        <is>
          <t>2065-11-17</t>
        </is>
      </c>
    </row>
    <row r="60616">
      <c r="A60616" s="1" t="n">
        <v>60615</v>
      </c>
      <c r="B60616">
        <f>TEXT(60615, "[$-0E0000]yyyy-mm-dd")</f>
        <v/>
      </c>
      <c r="C60616" t="inlineStr">
        <is>
          <t>2065-11-18</t>
        </is>
      </c>
    </row>
    <row r="60617">
      <c r="A60617" s="1" t="n">
        <v>60616</v>
      </c>
      <c r="B60617">
        <f>TEXT(60616, "[$-0E0000]yyyy-mm-dd")</f>
        <v/>
      </c>
      <c r="C60617" t="inlineStr">
        <is>
          <t>2065-11-19</t>
        </is>
      </c>
    </row>
    <row r="60618">
      <c r="A60618" s="1" t="n">
        <v>60617</v>
      </c>
      <c r="B60618">
        <f>TEXT(60617, "[$-0E0000]yyyy-mm-dd")</f>
        <v/>
      </c>
      <c r="C60618" t="inlineStr">
        <is>
          <t>2065-11-20</t>
        </is>
      </c>
    </row>
    <row r="60619">
      <c r="A60619" s="1" t="n">
        <v>60618</v>
      </c>
      <c r="B60619">
        <f>TEXT(60618, "[$-0E0000]yyyy-mm-dd")</f>
        <v/>
      </c>
      <c r="C60619" t="inlineStr">
        <is>
          <t>2065-11-21</t>
        </is>
      </c>
    </row>
    <row r="60620">
      <c r="A60620" s="1" t="n">
        <v>60619</v>
      </c>
      <c r="B60620">
        <f>TEXT(60619, "[$-0E0000]yyyy-mm-dd")</f>
        <v/>
      </c>
      <c r="C60620" t="inlineStr">
        <is>
          <t>2065-11-22</t>
        </is>
      </c>
    </row>
    <row r="60621">
      <c r="A60621" s="1" t="n">
        <v>60620</v>
      </c>
      <c r="B60621">
        <f>TEXT(60620, "[$-0E0000]yyyy-mm-dd")</f>
        <v/>
      </c>
      <c r="C60621" t="inlineStr">
        <is>
          <t>2065-11-23</t>
        </is>
      </c>
    </row>
    <row r="60622">
      <c r="A60622" s="1" t="n">
        <v>60621</v>
      </c>
      <c r="B60622">
        <f>TEXT(60621, "[$-0E0000]yyyy-mm-dd")</f>
        <v/>
      </c>
      <c r="C60622" t="inlineStr">
        <is>
          <t>2065-11-24</t>
        </is>
      </c>
    </row>
    <row r="60623">
      <c r="A60623" s="1" t="n">
        <v>60622</v>
      </c>
      <c r="B60623">
        <f>TEXT(60622, "[$-0E0000]yyyy-mm-dd")</f>
        <v/>
      </c>
      <c r="C60623" t="inlineStr">
        <is>
          <t>2065-11-25</t>
        </is>
      </c>
    </row>
    <row r="60624">
      <c r="A60624" s="1" t="n">
        <v>60623</v>
      </c>
      <c r="B60624">
        <f>TEXT(60623, "[$-0E0000]yyyy-mm-dd")</f>
        <v/>
      </c>
      <c r="C60624" t="inlineStr">
        <is>
          <t>2065-11-26</t>
        </is>
      </c>
    </row>
    <row r="60625">
      <c r="A60625" s="1" t="n">
        <v>60624</v>
      </c>
      <c r="B60625">
        <f>TEXT(60624, "[$-0E0000]yyyy-mm-dd")</f>
        <v/>
      </c>
      <c r="C60625" t="inlineStr">
        <is>
          <t>2065-11-27</t>
        </is>
      </c>
    </row>
    <row r="60626">
      <c r="A60626" s="1" t="n">
        <v>60625</v>
      </c>
      <c r="B60626">
        <f>TEXT(60625, "[$-0E0000]yyyy-mm-dd")</f>
        <v/>
      </c>
      <c r="C60626" t="inlineStr">
        <is>
          <t>2065-11-28</t>
        </is>
      </c>
    </row>
    <row r="60627">
      <c r="A60627" s="1" t="n">
        <v>60626</v>
      </c>
      <c r="B60627">
        <f>TEXT(60626, "[$-0E0000]yyyy-mm-dd")</f>
        <v/>
      </c>
      <c r="C60627" t="inlineStr">
        <is>
          <t>2065-11-29</t>
        </is>
      </c>
    </row>
    <row r="60628">
      <c r="A60628" s="1" t="n">
        <v>60627</v>
      </c>
      <c r="B60628">
        <f>TEXT(60627, "[$-0E0000]yyyy-mm-dd")</f>
        <v/>
      </c>
      <c r="C60628" t="inlineStr">
        <is>
          <t>2065-12-01</t>
        </is>
      </c>
    </row>
    <row r="60629">
      <c r="A60629" s="1" t="n">
        <v>60628</v>
      </c>
      <c r="B60629">
        <f>TEXT(60628, "[$-0E0000]yyyy-mm-dd")</f>
        <v/>
      </c>
      <c r="C60629" t="inlineStr">
        <is>
          <t>2065-12-02</t>
        </is>
      </c>
    </row>
    <row r="60630">
      <c r="A60630" s="1" t="n">
        <v>60629</v>
      </c>
      <c r="B60630">
        <f>TEXT(60629, "[$-0E0000]yyyy-mm-dd")</f>
        <v/>
      </c>
      <c r="C60630" t="inlineStr">
        <is>
          <t>2065-12-03</t>
        </is>
      </c>
    </row>
    <row r="60631">
      <c r="A60631" s="1" t="n">
        <v>60630</v>
      </c>
      <c r="B60631">
        <f>TEXT(60630, "[$-0E0000]yyyy-mm-dd")</f>
        <v/>
      </c>
      <c r="C60631" t="inlineStr">
        <is>
          <t>2065-12-04</t>
        </is>
      </c>
    </row>
    <row r="60632">
      <c r="A60632" s="1" t="n">
        <v>60631</v>
      </c>
      <c r="B60632">
        <f>TEXT(60631, "[$-0E0000]yyyy-mm-dd")</f>
        <v/>
      </c>
      <c r="C60632" t="inlineStr">
        <is>
          <t>2065-12-05</t>
        </is>
      </c>
    </row>
    <row r="60633">
      <c r="A60633" s="1" t="n">
        <v>60632</v>
      </c>
      <c r="B60633">
        <f>TEXT(60632, "[$-0E0000]yyyy-mm-dd")</f>
        <v/>
      </c>
      <c r="C60633" t="inlineStr">
        <is>
          <t>2065-12-06</t>
        </is>
      </c>
    </row>
    <row r="60634">
      <c r="A60634" s="1" t="n">
        <v>60633</v>
      </c>
      <c r="B60634">
        <f>TEXT(60633, "[$-0E0000]yyyy-mm-dd")</f>
        <v/>
      </c>
      <c r="C60634" t="inlineStr">
        <is>
          <t>2065-12-07</t>
        </is>
      </c>
    </row>
    <row r="60635">
      <c r="A60635" s="1" t="n">
        <v>60634</v>
      </c>
      <c r="B60635">
        <f>TEXT(60634, "[$-0E0000]yyyy-mm-dd")</f>
        <v/>
      </c>
      <c r="C60635" t="inlineStr">
        <is>
          <t>2065-12-08</t>
        </is>
      </c>
    </row>
    <row r="60636">
      <c r="A60636" s="1" t="n">
        <v>60635</v>
      </c>
      <c r="B60636">
        <f>TEXT(60635, "[$-0E0000]yyyy-mm-dd")</f>
        <v/>
      </c>
      <c r="C60636" t="inlineStr">
        <is>
          <t>2065-12-09</t>
        </is>
      </c>
    </row>
    <row r="60637">
      <c r="A60637" s="1" t="n">
        <v>60636</v>
      </c>
      <c r="B60637">
        <f>TEXT(60636, "[$-0E0000]yyyy-mm-dd")</f>
        <v/>
      </c>
      <c r="C60637" t="inlineStr">
        <is>
          <t>2065-12-10</t>
        </is>
      </c>
    </row>
    <row r="60638">
      <c r="A60638" s="1" t="n">
        <v>60637</v>
      </c>
      <c r="B60638">
        <f>TEXT(60637, "[$-0E0000]yyyy-mm-dd")</f>
        <v/>
      </c>
      <c r="C60638" t="inlineStr">
        <is>
          <t>2065-12-11</t>
        </is>
      </c>
    </row>
    <row r="60639">
      <c r="A60639" s="1" t="n">
        <v>60638</v>
      </c>
      <c r="B60639">
        <f>TEXT(60638, "[$-0E0000]yyyy-mm-dd")</f>
        <v/>
      </c>
      <c r="C60639" t="inlineStr">
        <is>
          <t>2065-12-12</t>
        </is>
      </c>
    </row>
    <row r="60640">
      <c r="A60640" s="1" t="n">
        <v>60639</v>
      </c>
      <c r="B60640">
        <f>TEXT(60639, "[$-0E0000]yyyy-mm-dd")</f>
        <v/>
      </c>
      <c r="C60640" t="inlineStr">
        <is>
          <t>2065-12-13</t>
        </is>
      </c>
    </row>
    <row r="60641">
      <c r="A60641" s="1" t="n">
        <v>60640</v>
      </c>
      <c r="B60641">
        <f>TEXT(60640, "[$-0E0000]yyyy-mm-dd")</f>
        <v/>
      </c>
      <c r="C60641" t="inlineStr">
        <is>
          <t>2065-12-14</t>
        </is>
      </c>
    </row>
    <row r="60642">
      <c r="A60642" s="1" t="n">
        <v>60641</v>
      </c>
      <c r="B60642">
        <f>TEXT(60641, "[$-0E0000]yyyy-mm-dd")</f>
        <v/>
      </c>
      <c r="C60642" t="inlineStr">
        <is>
          <t>2065-12-15</t>
        </is>
      </c>
    </row>
    <row r="60643">
      <c r="A60643" s="1" t="n">
        <v>60642</v>
      </c>
      <c r="B60643">
        <f>TEXT(60642, "[$-0E0000]yyyy-mm-dd")</f>
        <v/>
      </c>
      <c r="C60643" t="inlineStr">
        <is>
          <t>2065-12-16</t>
        </is>
      </c>
    </row>
    <row r="60644">
      <c r="A60644" s="1" t="n">
        <v>60643</v>
      </c>
      <c r="B60644">
        <f>TEXT(60643, "[$-0E0000]yyyy-mm-dd")</f>
        <v/>
      </c>
      <c r="C60644" t="inlineStr">
        <is>
          <t>2065-12-17</t>
        </is>
      </c>
    </row>
    <row r="60645">
      <c r="A60645" s="1" t="n">
        <v>60644</v>
      </c>
      <c r="B60645">
        <f>TEXT(60644, "[$-0E0000]yyyy-mm-dd")</f>
        <v/>
      </c>
      <c r="C60645" t="inlineStr">
        <is>
          <t>2065-12-18</t>
        </is>
      </c>
    </row>
    <row r="60646">
      <c r="A60646" s="1" t="n">
        <v>60645</v>
      </c>
      <c r="B60646">
        <f>TEXT(60645, "[$-0E0000]yyyy-mm-dd")</f>
        <v/>
      </c>
      <c r="C60646" t="inlineStr">
        <is>
          <t>2065-12-19</t>
        </is>
      </c>
    </row>
    <row r="60647">
      <c r="A60647" s="1" t="n">
        <v>60646</v>
      </c>
      <c r="B60647">
        <f>TEXT(60646, "[$-0E0000]yyyy-mm-dd")</f>
        <v/>
      </c>
      <c r="C60647" t="inlineStr">
        <is>
          <t>2065-12-20</t>
        </is>
      </c>
    </row>
    <row r="60648">
      <c r="A60648" s="1" t="n">
        <v>60647</v>
      </c>
      <c r="B60648">
        <f>TEXT(60647, "[$-0E0000]yyyy-mm-dd")</f>
        <v/>
      </c>
      <c r="C60648" t="inlineStr">
        <is>
          <t>2065-12-21</t>
        </is>
      </c>
    </row>
    <row r="60649">
      <c r="A60649" s="1" t="n">
        <v>60648</v>
      </c>
      <c r="B60649">
        <f>TEXT(60648, "[$-0E0000]yyyy-mm-dd")</f>
        <v/>
      </c>
      <c r="C60649" t="inlineStr">
        <is>
          <t>2065-12-22</t>
        </is>
      </c>
    </row>
    <row r="60650">
      <c r="A60650" s="1" t="n">
        <v>60649</v>
      </c>
      <c r="B60650">
        <f>TEXT(60649, "[$-0E0000]yyyy-mm-dd")</f>
        <v/>
      </c>
      <c r="C60650" t="inlineStr">
        <is>
          <t>2065-12-23</t>
        </is>
      </c>
    </row>
    <row r="60651">
      <c r="A60651" s="1" t="n">
        <v>60650</v>
      </c>
      <c r="B60651">
        <f>TEXT(60650, "[$-0E0000]yyyy-mm-dd")</f>
        <v/>
      </c>
      <c r="C60651" t="inlineStr">
        <is>
          <t>2065-12-24</t>
        </is>
      </c>
    </row>
    <row r="60652">
      <c r="A60652" s="1" t="n">
        <v>60651</v>
      </c>
      <c r="B60652">
        <f>TEXT(60651, "[$-0E0000]yyyy-mm-dd")</f>
        <v/>
      </c>
      <c r="C60652" t="inlineStr">
        <is>
          <t>2065-12-25</t>
        </is>
      </c>
    </row>
    <row r="60653">
      <c r="A60653" s="1" t="n">
        <v>60652</v>
      </c>
      <c r="B60653">
        <f>TEXT(60652, "[$-0E0000]yyyy-mm-dd")</f>
        <v/>
      </c>
      <c r="C60653" t="inlineStr">
        <is>
          <t>2065-12-26</t>
        </is>
      </c>
    </row>
    <row r="60654">
      <c r="A60654" s="1" t="n">
        <v>60653</v>
      </c>
      <c r="B60654">
        <f>TEXT(60653, "[$-0E0000]yyyy-mm-dd")</f>
        <v/>
      </c>
      <c r="C60654" t="inlineStr">
        <is>
          <t>2065-12-27</t>
        </is>
      </c>
    </row>
    <row r="60655">
      <c r="A60655" s="1" t="n">
        <v>60654</v>
      </c>
      <c r="B60655">
        <f>TEXT(60654, "[$-0E0000]yyyy-mm-dd")</f>
        <v/>
      </c>
      <c r="C60655" t="inlineStr">
        <is>
          <t>2065-12-28</t>
        </is>
      </c>
    </row>
    <row r="60656">
      <c r="A60656" s="1" t="n">
        <v>60655</v>
      </c>
      <c r="B60656">
        <f>TEXT(60655, "[$-0E0000]yyyy-mm-dd")</f>
        <v/>
      </c>
      <c r="C60656" t="inlineStr">
        <is>
          <t>2065-12-29</t>
        </is>
      </c>
    </row>
    <row r="60657">
      <c r="A60657" s="1" t="n">
        <v>60656</v>
      </c>
      <c r="B60657">
        <f>TEXT(60656, "[$-0E0000]yyyy-mm-dd")</f>
        <v/>
      </c>
      <c r="C60657" t="inlineStr">
        <is>
          <t>2065-12-30</t>
        </is>
      </c>
    </row>
    <row r="60658">
      <c r="A60658" s="1" t="n">
        <v>60657</v>
      </c>
      <c r="B60658">
        <f>TEXT(60657, "[$-0E0000]yyyy-mm-dd")</f>
        <v/>
      </c>
      <c r="C60658" t="inlineStr">
        <is>
          <t>2066-01-01</t>
        </is>
      </c>
    </row>
    <row r="60659">
      <c r="A60659" s="1" t="n">
        <v>60658</v>
      </c>
      <c r="B60659">
        <f>TEXT(60658, "[$-0E0000]yyyy-mm-dd")</f>
        <v/>
      </c>
      <c r="C60659" t="inlineStr">
        <is>
          <t>2066-01-02</t>
        </is>
      </c>
    </row>
    <row r="60660">
      <c r="A60660" s="1" t="n">
        <v>60659</v>
      </c>
      <c r="B60660">
        <f>TEXT(60659, "[$-0E0000]yyyy-mm-dd")</f>
        <v/>
      </c>
      <c r="C60660" t="inlineStr">
        <is>
          <t>2066-01-03</t>
        </is>
      </c>
    </row>
    <row r="60661">
      <c r="A60661" s="1" t="n">
        <v>60660</v>
      </c>
      <c r="B60661">
        <f>TEXT(60660, "[$-0E0000]yyyy-mm-dd")</f>
        <v/>
      </c>
      <c r="C60661" t="inlineStr">
        <is>
          <t>2066-01-04</t>
        </is>
      </c>
    </row>
    <row r="60662">
      <c r="A60662" s="1" t="n">
        <v>60661</v>
      </c>
      <c r="B60662">
        <f>TEXT(60661, "[$-0E0000]yyyy-mm-dd")</f>
        <v/>
      </c>
      <c r="C60662" t="inlineStr">
        <is>
          <t>2066-01-05</t>
        </is>
      </c>
    </row>
    <row r="60663">
      <c r="A60663" s="1" t="n">
        <v>60662</v>
      </c>
      <c r="B60663">
        <f>TEXT(60662, "[$-0E0000]yyyy-mm-dd")</f>
        <v/>
      </c>
      <c r="C60663" t="inlineStr">
        <is>
          <t>2066-01-06</t>
        </is>
      </c>
    </row>
    <row r="60664">
      <c r="A60664" s="1" t="n">
        <v>60663</v>
      </c>
      <c r="B60664">
        <f>TEXT(60663, "[$-0E0000]yyyy-mm-dd")</f>
        <v/>
      </c>
      <c r="C60664" t="inlineStr">
        <is>
          <t>2066-01-07</t>
        </is>
      </c>
    </row>
    <row r="60665">
      <c r="A60665" s="1" t="n">
        <v>60664</v>
      </c>
      <c r="B60665">
        <f>TEXT(60664, "[$-0E0000]yyyy-mm-dd")</f>
        <v/>
      </c>
      <c r="C60665" t="inlineStr">
        <is>
          <t>2066-01-08</t>
        </is>
      </c>
    </row>
    <row r="60666">
      <c r="A60666" s="1" t="n">
        <v>60665</v>
      </c>
      <c r="B60666">
        <f>TEXT(60665, "[$-0E0000]yyyy-mm-dd")</f>
        <v/>
      </c>
      <c r="C60666" t="inlineStr">
        <is>
          <t>2066-01-09</t>
        </is>
      </c>
    </row>
    <row r="60667">
      <c r="A60667" s="1" t="n">
        <v>60666</v>
      </c>
      <c r="B60667">
        <f>TEXT(60666, "[$-0E0000]yyyy-mm-dd")</f>
        <v/>
      </c>
      <c r="C60667" t="inlineStr">
        <is>
          <t>2066-01-10</t>
        </is>
      </c>
    </row>
    <row r="60668">
      <c r="A60668" s="1" t="n">
        <v>60667</v>
      </c>
      <c r="B60668">
        <f>TEXT(60667, "[$-0E0000]yyyy-mm-dd")</f>
        <v/>
      </c>
      <c r="C60668" t="inlineStr">
        <is>
          <t>2066-01-11</t>
        </is>
      </c>
    </row>
    <row r="60669">
      <c r="A60669" s="1" t="n">
        <v>60668</v>
      </c>
      <c r="B60669">
        <f>TEXT(60668, "[$-0E0000]yyyy-mm-dd")</f>
        <v/>
      </c>
      <c r="C60669" t="inlineStr">
        <is>
          <t>2066-01-12</t>
        </is>
      </c>
    </row>
    <row r="60670">
      <c r="A60670" s="1" t="n">
        <v>60669</v>
      </c>
      <c r="B60670">
        <f>TEXT(60669, "[$-0E0000]yyyy-mm-dd")</f>
        <v/>
      </c>
      <c r="C60670" t="inlineStr">
        <is>
          <t>2066-01-13</t>
        </is>
      </c>
    </row>
    <row r="60671">
      <c r="A60671" s="1" t="n">
        <v>60670</v>
      </c>
      <c r="B60671">
        <f>TEXT(60670, "[$-0E0000]yyyy-mm-dd")</f>
        <v/>
      </c>
      <c r="C60671" t="inlineStr">
        <is>
          <t>2066-01-14</t>
        </is>
      </c>
    </row>
    <row r="60672">
      <c r="A60672" s="1" t="n">
        <v>60671</v>
      </c>
      <c r="B60672">
        <f>TEXT(60671, "[$-0E0000]yyyy-mm-dd")</f>
        <v/>
      </c>
      <c r="C60672" t="inlineStr">
        <is>
          <t>2066-01-15</t>
        </is>
      </c>
    </row>
    <row r="60673">
      <c r="A60673" s="1" t="n">
        <v>60672</v>
      </c>
      <c r="B60673">
        <f>TEXT(60672, "[$-0E0000]yyyy-mm-dd")</f>
        <v/>
      </c>
      <c r="C60673" t="inlineStr">
        <is>
          <t>2066-01-16</t>
        </is>
      </c>
    </row>
    <row r="60674">
      <c r="A60674" s="1" t="n">
        <v>60673</v>
      </c>
      <c r="B60674">
        <f>TEXT(60673, "[$-0E0000]yyyy-mm-dd")</f>
        <v/>
      </c>
      <c r="C60674" t="inlineStr">
        <is>
          <t>2066-01-17</t>
        </is>
      </c>
    </row>
    <row r="60675">
      <c r="A60675" s="1" t="n">
        <v>60674</v>
      </c>
      <c r="B60675">
        <f>TEXT(60674, "[$-0E0000]yyyy-mm-dd")</f>
        <v/>
      </c>
      <c r="C60675" t="inlineStr">
        <is>
          <t>2066-01-18</t>
        </is>
      </c>
    </row>
    <row r="60676">
      <c r="A60676" s="1" t="n">
        <v>60675</v>
      </c>
      <c r="B60676">
        <f>TEXT(60675, "[$-0E0000]yyyy-mm-dd")</f>
        <v/>
      </c>
      <c r="C60676" t="inlineStr">
        <is>
          <t>2066-01-19</t>
        </is>
      </c>
    </row>
    <row r="60677">
      <c r="A60677" s="1" t="n">
        <v>60676</v>
      </c>
      <c r="B60677">
        <f>TEXT(60676, "[$-0E0000]yyyy-mm-dd")</f>
        <v/>
      </c>
      <c r="C60677" t="inlineStr">
        <is>
          <t>2066-01-20</t>
        </is>
      </c>
    </row>
    <row r="60678">
      <c r="A60678" s="1" t="n">
        <v>60677</v>
      </c>
      <c r="B60678">
        <f>TEXT(60677, "[$-0E0000]yyyy-mm-dd")</f>
        <v/>
      </c>
      <c r="C60678" t="inlineStr">
        <is>
          <t>2066-01-21</t>
        </is>
      </c>
    </row>
    <row r="60679">
      <c r="A60679" s="1" t="n">
        <v>60678</v>
      </c>
      <c r="B60679">
        <f>TEXT(60678, "[$-0E0000]yyyy-mm-dd")</f>
        <v/>
      </c>
      <c r="C60679" t="inlineStr">
        <is>
          <t>2066-01-22</t>
        </is>
      </c>
    </row>
    <row r="60680">
      <c r="A60680" s="1" t="n">
        <v>60679</v>
      </c>
      <c r="B60680">
        <f>TEXT(60679, "[$-0E0000]yyyy-mm-dd")</f>
        <v/>
      </c>
      <c r="C60680" t="inlineStr">
        <is>
          <t>2066-01-23</t>
        </is>
      </c>
    </row>
    <row r="60681">
      <c r="A60681" s="1" t="n">
        <v>60680</v>
      </c>
      <c r="B60681">
        <f>TEXT(60680, "[$-0E0000]yyyy-mm-dd")</f>
        <v/>
      </c>
      <c r="C60681" t="inlineStr">
        <is>
          <t>2066-01-24</t>
        </is>
      </c>
    </row>
    <row r="60682">
      <c r="A60682" s="1" t="n">
        <v>60681</v>
      </c>
      <c r="B60682">
        <f>TEXT(60681, "[$-0E0000]yyyy-mm-dd")</f>
        <v/>
      </c>
      <c r="C60682" t="inlineStr">
        <is>
          <t>2066-01-25</t>
        </is>
      </c>
    </row>
    <row r="60683">
      <c r="A60683" s="1" t="n">
        <v>60682</v>
      </c>
      <c r="B60683">
        <f>TEXT(60682, "[$-0E0000]yyyy-mm-dd")</f>
        <v/>
      </c>
      <c r="C60683" t="inlineStr">
        <is>
          <t>2066-01-26</t>
        </is>
      </c>
    </row>
    <row r="60684">
      <c r="A60684" s="1" t="n">
        <v>60683</v>
      </c>
      <c r="B60684">
        <f>TEXT(60683, "[$-0E0000]yyyy-mm-dd")</f>
        <v/>
      </c>
      <c r="C60684" t="inlineStr">
        <is>
          <t>2066-01-27</t>
        </is>
      </c>
    </row>
    <row r="60685">
      <c r="A60685" s="1" t="n">
        <v>60684</v>
      </c>
      <c r="B60685">
        <f>TEXT(60684, "[$-0E0000]yyyy-mm-dd")</f>
        <v/>
      </c>
      <c r="C60685" t="inlineStr">
        <is>
          <t>2066-01-28</t>
        </is>
      </c>
    </row>
    <row r="60686">
      <c r="A60686" s="1" t="n">
        <v>60685</v>
      </c>
      <c r="B60686">
        <f>TEXT(60685, "[$-0E0000]yyyy-mm-dd")</f>
        <v/>
      </c>
      <c r="C60686" t="inlineStr">
        <is>
          <t>2066-01-29</t>
        </is>
      </c>
    </row>
    <row r="60687">
      <c r="A60687" s="1" t="n">
        <v>60686</v>
      </c>
      <c r="B60687">
        <f>TEXT(60686, "[$-0E0000]yyyy-mm-dd")</f>
        <v/>
      </c>
      <c r="C60687" t="inlineStr">
        <is>
          <t>2066-02-01</t>
        </is>
      </c>
    </row>
    <row r="60688">
      <c r="A60688" s="1" t="n">
        <v>60687</v>
      </c>
      <c r="B60688">
        <f>TEXT(60687, "[$-0E0000]yyyy-mm-dd")</f>
        <v/>
      </c>
      <c r="C60688" t="inlineStr">
        <is>
          <t>2066-02-02</t>
        </is>
      </c>
    </row>
    <row r="60689">
      <c r="A60689" s="1" t="n">
        <v>60688</v>
      </c>
      <c r="B60689">
        <f>TEXT(60688, "[$-0E0000]yyyy-mm-dd")</f>
        <v/>
      </c>
      <c r="C60689" t="inlineStr">
        <is>
          <t>2066-02-03</t>
        </is>
      </c>
    </row>
    <row r="60690">
      <c r="A60690" s="1" t="n">
        <v>60689</v>
      </c>
      <c r="B60690">
        <f>TEXT(60689, "[$-0E0000]yyyy-mm-dd")</f>
        <v/>
      </c>
      <c r="C60690" t="inlineStr">
        <is>
          <t>2066-02-04</t>
        </is>
      </c>
    </row>
    <row r="60691">
      <c r="A60691" s="1" t="n">
        <v>60690</v>
      </c>
      <c r="B60691">
        <f>TEXT(60690, "[$-0E0000]yyyy-mm-dd")</f>
        <v/>
      </c>
      <c r="C60691" t="inlineStr">
        <is>
          <t>2066-02-05</t>
        </is>
      </c>
    </row>
    <row r="60692">
      <c r="A60692" s="1" t="n">
        <v>60691</v>
      </c>
      <c r="B60692">
        <f>TEXT(60691, "[$-0E0000]yyyy-mm-dd")</f>
        <v/>
      </c>
      <c r="C60692" t="inlineStr">
        <is>
          <t>2066-02-06</t>
        </is>
      </c>
    </row>
    <row r="60693">
      <c r="A60693" s="1" t="n">
        <v>60692</v>
      </c>
      <c r="B60693">
        <f>TEXT(60692, "[$-0E0000]yyyy-mm-dd")</f>
        <v/>
      </c>
      <c r="C60693" t="inlineStr">
        <is>
          <t>2066-02-07</t>
        </is>
      </c>
    </row>
    <row r="60694">
      <c r="A60694" s="1" t="n">
        <v>60693</v>
      </c>
      <c r="B60694">
        <f>TEXT(60693, "[$-0E0000]yyyy-mm-dd")</f>
        <v/>
      </c>
      <c r="C60694" t="inlineStr">
        <is>
          <t>2066-02-08</t>
        </is>
      </c>
    </row>
    <row r="60695">
      <c r="A60695" s="1" t="n">
        <v>60694</v>
      </c>
      <c r="B60695">
        <f>TEXT(60694, "[$-0E0000]yyyy-mm-dd")</f>
        <v/>
      </c>
      <c r="C60695" t="inlineStr">
        <is>
          <t>2066-02-09</t>
        </is>
      </c>
    </row>
    <row r="60696">
      <c r="A60696" s="1" t="n">
        <v>60695</v>
      </c>
      <c r="B60696">
        <f>TEXT(60695, "[$-0E0000]yyyy-mm-dd")</f>
        <v/>
      </c>
      <c r="C60696" t="inlineStr">
        <is>
          <t>2066-02-10</t>
        </is>
      </c>
    </row>
    <row r="60697">
      <c r="A60697" s="1" t="n">
        <v>60696</v>
      </c>
      <c r="B60697">
        <f>TEXT(60696, "[$-0E0000]yyyy-mm-dd")</f>
        <v/>
      </c>
      <c r="C60697" t="inlineStr">
        <is>
          <t>2066-02-11</t>
        </is>
      </c>
    </row>
    <row r="60698">
      <c r="A60698" s="1" t="n">
        <v>60697</v>
      </c>
      <c r="B60698">
        <f>TEXT(60697, "[$-0E0000]yyyy-mm-dd")</f>
        <v/>
      </c>
      <c r="C60698" t="inlineStr">
        <is>
          <t>2066-02-12</t>
        </is>
      </c>
    </row>
    <row r="60699">
      <c r="A60699" s="1" t="n">
        <v>60698</v>
      </c>
      <c r="B60699">
        <f>TEXT(60698, "[$-0E0000]yyyy-mm-dd")</f>
        <v/>
      </c>
      <c r="C60699" t="inlineStr">
        <is>
          <t>2066-02-13</t>
        </is>
      </c>
    </row>
    <row r="60700">
      <c r="A60700" s="1" t="n">
        <v>60699</v>
      </c>
      <c r="B60700">
        <f>TEXT(60699, "[$-0E0000]yyyy-mm-dd")</f>
        <v/>
      </c>
      <c r="C60700" t="inlineStr">
        <is>
          <t>2066-02-14</t>
        </is>
      </c>
    </row>
    <row r="60701">
      <c r="A60701" s="1" t="n">
        <v>60700</v>
      </c>
      <c r="B60701">
        <f>TEXT(60700, "[$-0E0000]yyyy-mm-dd")</f>
        <v/>
      </c>
      <c r="C60701" t="inlineStr">
        <is>
          <t>2066-02-15</t>
        </is>
      </c>
    </row>
    <row r="60702">
      <c r="A60702" s="1" t="n">
        <v>60701</v>
      </c>
      <c r="B60702">
        <f>TEXT(60701, "[$-0E0000]yyyy-mm-dd")</f>
        <v/>
      </c>
      <c r="C60702" t="inlineStr">
        <is>
          <t>2066-02-16</t>
        </is>
      </c>
    </row>
    <row r="60703">
      <c r="A60703" s="1" t="n">
        <v>60702</v>
      </c>
      <c r="B60703">
        <f>TEXT(60702, "[$-0E0000]yyyy-mm-dd")</f>
        <v/>
      </c>
      <c r="C60703" t="inlineStr">
        <is>
          <t>2066-02-17</t>
        </is>
      </c>
    </row>
    <row r="60704">
      <c r="A60704" s="1" t="n">
        <v>60703</v>
      </c>
      <c r="B60704">
        <f>TEXT(60703, "[$-0E0000]yyyy-mm-dd")</f>
        <v/>
      </c>
      <c r="C60704" t="inlineStr">
        <is>
          <t>2066-02-18</t>
        </is>
      </c>
    </row>
    <row r="60705">
      <c r="A60705" s="1" t="n">
        <v>60704</v>
      </c>
      <c r="B60705">
        <f>TEXT(60704, "[$-0E0000]yyyy-mm-dd")</f>
        <v/>
      </c>
      <c r="C60705" t="inlineStr">
        <is>
          <t>2066-02-19</t>
        </is>
      </c>
    </row>
    <row r="60706">
      <c r="A60706" s="1" t="n">
        <v>60705</v>
      </c>
      <c r="B60706">
        <f>TEXT(60705, "[$-0E0000]yyyy-mm-dd")</f>
        <v/>
      </c>
      <c r="C60706" t="inlineStr">
        <is>
          <t>2066-02-20</t>
        </is>
      </c>
    </row>
    <row r="60707">
      <c r="A60707" s="1" t="n">
        <v>60706</v>
      </c>
      <c r="B60707">
        <f>TEXT(60706, "[$-0E0000]yyyy-mm-dd")</f>
        <v/>
      </c>
      <c r="C60707" t="inlineStr">
        <is>
          <t>2066-02-21</t>
        </is>
      </c>
    </row>
    <row r="60708">
      <c r="A60708" s="1" t="n">
        <v>60707</v>
      </c>
      <c r="B60708">
        <f>TEXT(60707, "[$-0E0000]yyyy-mm-dd")</f>
        <v/>
      </c>
      <c r="C60708" t="inlineStr">
        <is>
          <t>2066-02-22</t>
        </is>
      </c>
    </row>
    <row r="60709">
      <c r="A60709" s="1" t="n">
        <v>60708</v>
      </c>
      <c r="B60709">
        <f>TEXT(60708, "[$-0E0000]yyyy-mm-dd")</f>
        <v/>
      </c>
      <c r="C60709" t="inlineStr">
        <is>
          <t>2066-02-23</t>
        </is>
      </c>
    </row>
    <row r="60710">
      <c r="A60710" s="1" t="n">
        <v>60709</v>
      </c>
      <c r="B60710">
        <f>TEXT(60709, "[$-0E0000]yyyy-mm-dd")</f>
        <v/>
      </c>
      <c r="C60710" t="inlineStr">
        <is>
          <t>2066-02-24</t>
        </is>
      </c>
    </row>
    <row r="60711">
      <c r="A60711" s="1" t="n">
        <v>60710</v>
      </c>
      <c r="B60711">
        <f>TEXT(60710, "[$-0E0000]yyyy-mm-dd")</f>
        <v/>
      </c>
      <c r="C60711" t="inlineStr">
        <is>
          <t>2066-02-25</t>
        </is>
      </c>
    </row>
    <row r="60712">
      <c r="A60712" s="1" t="n">
        <v>60711</v>
      </c>
      <c r="B60712">
        <f>TEXT(60711, "[$-0E0000]yyyy-mm-dd")</f>
        <v/>
      </c>
      <c r="C60712" t="inlineStr">
        <is>
          <t>2066-02-26</t>
        </is>
      </c>
    </row>
    <row r="60713">
      <c r="A60713" s="1" t="n">
        <v>60712</v>
      </c>
      <c r="B60713">
        <f>TEXT(60712, "[$-0E0000]yyyy-mm-dd")</f>
        <v/>
      </c>
      <c r="C60713" t="inlineStr">
        <is>
          <t>2066-02-27</t>
        </is>
      </c>
    </row>
    <row r="60714">
      <c r="A60714" s="1" t="n">
        <v>60713</v>
      </c>
      <c r="B60714">
        <f>TEXT(60713, "[$-0E0000]yyyy-mm-dd")</f>
        <v/>
      </c>
      <c r="C60714" t="inlineStr">
        <is>
          <t>2066-02-28</t>
        </is>
      </c>
    </row>
    <row r="60715">
      <c r="A60715" s="1" t="n">
        <v>60714</v>
      </c>
      <c r="B60715">
        <f>TEXT(60714, "[$-0E0000]yyyy-mm-dd")</f>
        <v/>
      </c>
      <c r="C60715" t="inlineStr">
        <is>
          <t>2066-02-29</t>
        </is>
      </c>
    </row>
    <row r="60716">
      <c r="A60716" s="1" t="n">
        <v>60715</v>
      </c>
      <c r="B60716">
        <f>TEXT(60715, "[$-0E0000]yyyy-mm-dd")</f>
        <v/>
      </c>
      <c r="C60716" t="inlineStr">
        <is>
          <t>2066-02-30</t>
        </is>
      </c>
    </row>
    <row r="60717">
      <c r="A60717" s="1" t="n">
        <v>60716</v>
      </c>
      <c r="B60717">
        <f>TEXT(60716, "[$-0E0000]yyyy-mm-dd")</f>
        <v/>
      </c>
      <c r="C60717" t="inlineStr">
        <is>
          <t>2066-03-01</t>
        </is>
      </c>
    </row>
    <row r="60718">
      <c r="A60718" s="1" t="n">
        <v>60717</v>
      </c>
      <c r="B60718">
        <f>TEXT(60717, "[$-0E0000]yyyy-mm-dd")</f>
        <v/>
      </c>
      <c r="C60718" t="inlineStr">
        <is>
          <t>2066-03-02</t>
        </is>
      </c>
    </row>
    <row r="60719">
      <c r="A60719" s="1" t="n">
        <v>60718</v>
      </c>
      <c r="B60719">
        <f>TEXT(60718, "[$-0E0000]yyyy-mm-dd")</f>
        <v/>
      </c>
      <c r="C60719" t="inlineStr">
        <is>
          <t>2066-03-03</t>
        </is>
      </c>
    </row>
    <row r="60720">
      <c r="A60720" s="1" t="n">
        <v>60719</v>
      </c>
      <c r="B60720">
        <f>TEXT(60719, "[$-0E0000]yyyy-mm-dd")</f>
        <v/>
      </c>
      <c r="C60720" t="inlineStr">
        <is>
          <t>2066-03-04</t>
        </is>
      </c>
    </row>
    <row r="60721">
      <c r="A60721" s="1" t="n">
        <v>60720</v>
      </c>
      <c r="B60721">
        <f>TEXT(60720, "[$-0E0000]yyyy-mm-dd")</f>
        <v/>
      </c>
      <c r="C60721" t="inlineStr">
        <is>
          <t>2066-03-05</t>
        </is>
      </c>
    </row>
    <row r="60722">
      <c r="A60722" s="1" t="n">
        <v>60721</v>
      </c>
      <c r="B60722">
        <f>TEXT(60721, "[$-0E0000]yyyy-mm-dd")</f>
        <v/>
      </c>
      <c r="C60722" t="inlineStr">
        <is>
          <t>2066-03-06</t>
        </is>
      </c>
    </row>
    <row r="60723">
      <c r="A60723" s="1" t="n">
        <v>60722</v>
      </c>
      <c r="B60723">
        <f>TEXT(60722, "[$-0E0000]yyyy-mm-dd")</f>
        <v/>
      </c>
      <c r="C60723" t="inlineStr">
        <is>
          <t>2066-03-07</t>
        </is>
      </c>
    </row>
    <row r="60724">
      <c r="A60724" s="1" t="n">
        <v>60723</v>
      </c>
      <c r="B60724">
        <f>TEXT(60723, "[$-0E0000]yyyy-mm-dd")</f>
        <v/>
      </c>
      <c r="C60724" t="inlineStr">
        <is>
          <t>2066-03-08</t>
        </is>
      </c>
    </row>
    <row r="60725">
      <c r="A60725" s="1" t="n">
        <v>60724</v>
      </c>
      <c r="B60725">
        <f>TEXT(60724, "[$-0E0000]yyyy-mm-dd")</f>
        <v/>
      </c>
      <c r="C60725" t="inlineStr">
        <is>
          <t>2066-03-09</t>
        </is>
      </c>
    </row>
    <row r="60726">
      <c r="A60726" s="1" t="n">
        <v>60725</v>
      </c>
      <c r="B60726">
        <f>TEXT(60725, "[$-0E0000]yyyy-mm-dd")</f>
        <v/>
      </c>
      <c r="C60726" t="inlineStr">
        <is>
          <t>2066-03-10</t>
        </is>
      </c>
    </row>
    <row r="60727">
      <c r="A60727" s="1" t="n">
        <v>60726</v>
      </c>
      <c r="B60727">
        <f>TEXT(60726, "[$-0E0000]yyyy-mm-dd")</f>
        <v/>
      </c>
      <c r="C60727" t="inlineStr">
        <is>
          <t>2066-03-11</t>
        </is>
      </c>
    </row>
    <row r="60728">
      <c r="A60728" s="1" t="n">
        <v>60727</v>
      </c>
      <c r="B60728">
        <f>TEXT(60727, "[$-0E0000]yyyy-mm-dd")</f>
        <v/>
      </c>
      <c r="C60728" t="inlineStr">
        <is>
          <t>2066-03-12</t>
        </is>
      </c>
    </row>
    <row r="60729">
      <c r="A60729" s="1" t="n">
        <v>60728</v>
      </c>
      <c r="B60729">
        <f>TEXT(60728, "[$-0E0000]yyyy-mm-dd")</f>
        <v/>
      </c>
      <c r="C60729" t="inlineStr">
        <is>
          <t>2066-03-13</t>
        </is>
      </c>
    </row>
    <row r="60730">
      <c r="A60730" s="1" t="n">
        <v>60729</v>
      </c>
      <c r="B60730">
        <f>TEXT(60729, "[$-0E0000]yyyy-mm-dd")</f>
        <v/>
      </c>
      <c r="C60730" t="inlineStr">
        <is>
          <t>2066-03-14</t>
        </is>
      </c>
    </row>
    <row r="60731">
      <c r="A60731" s="1" t="n">
        <v>60730</v>
      </c>
      <c r="B60731">
        <f>TEXT(60730, "[$-0E0000]yyyy-mm-dd")</f>
        <v/>
      </c>
      <c r="C60731" t="inlineStr">
        <is>
          <t>2066-03-15</t>
        </is>
      </c>
    </row>
    <row r="60732">
      <c r="A60732" s="1" t="n">
        <v>60731</v>
      </c>
      <c r="B60732">
        <f>TEXT(60731, "[$-0E0000]yyyy-mm-dd")</f>
        <v/>
      </c>
      <c r="C60732" t="inlineStr">
        <is>
          <t>2066-03-16</t>
        </is>
      </c>
    </row>
    <row r="60733">
      <c r="A60733" s="1" t="n">
        <v>60732</v>
      </c>
      <c r="B60733">
        <f>TEXT(60732, "[$-0E0000]yyyy-mm-dd")</f>
        <v/>
      </c>
      <c r="C60733" t="inlineStr">
        <is>
          <t>2066-03-17</t>
        </is>
      </c>
    </row>
    <row r="60734">
      <c r="A60734" s="1" t="n">
        <v>60733</v>
      </c>
      <c r="B60734">
        <f>TEXT(60733, "[$-0E0000]yyyy-mm-dd")</f>
        <v/>
      </c>
      <c r="C60734" t="inlineStr">
        <is>
          <t>2066-03-18</t>
        </is>
      </c>
    </row>
    <row r="60735">
      <c r="A60735" s="1" t="n">
        <v>60734</v>
      </c>
      <c r="B60735">
        <f>TEXT(60734, "[$-0E0000]yyyy-mm-dd")</f>
        <v/>
      </c>
      <c r="C60735" t="inlineStr">
        <is>
          <t>2066-03-19</t>
        </is>
      </c>
    </row>
    <row r="60736">
      <c r="A60736" s="1" t="n">
        <v>60735</v>
      </c>
      <c r="B60736">
        <f>TEXT(60735, "[$-0E0000]yyyy-mm-dd")</f>
        <v/>
      </c>
      <c r="C60736" t="inlineStr">
        <is>
          <t>2066-03-20</t>
        </is>
      </c>
    </row>
    <row r="60737">
      <c r="A60737" s="1" t="n">
        <v>60736</v>
      </c>
      <c r="B60737">
        <f>TEXT(60736, "[$-0E0000]yyyy-mm-dd")</f>
        <v/>
      </c>
      <c r="C60737" t="inlineStr">
        <is>
          <t>2066-03-21</t>
        </is>
      </c>
    </row>
    <row r="60738">
      <c r="A60738" s="1" t="n">
        <v>60737</v>
      </c>
      <c r="B60738">
        <f>TEXT(60737, "[$-0E0000]yyyy-mm-dd")</f>
        <v/>
      </c>
      <c r="C60738" t="inlineStr">
        <is>
          <t>2066-03-22</t>
        </is>
      </c>
    </row>
    <row r="60739">
      <c r="A60739" s="1" t="n">
        <v>60738</v>
      </c>
      <c r="B60739">
        <f>TEXT(60738, "[$-0E0000]yyyy-mm-dd")</f>
        <v/>
      </c>
      <c r="C60739" t="inlineStr">
        <is>
          <t>2066-03-23</t>
        </is>
      </c>
    </row>
    <row r="60740">
      <c r="A60740" s="1" t="n">
        <v>60739</v>
      </c>
      <c r="B60740">
        <f>TEXT(60739, "[$-0E0000]yyyy-mm-dd")</f>
        <v/>
      </c>
      <c r="C60740" t="inlineStr">
        <is>
          <t>2066-03-24</t>
        </is>
      </c>
    </row>
    <row r="60741">
      <c r="A60741" s="1" t="n">
        <v>60740</v>
      </c>
      <c r="B60741">
        <f>TEXT(60740, "[$-0E0000]yyyy-mm-dd")</f>
        <v/>
      </c>
      <c r="C60741" t="inlineStr">
        <is>
          <t>2066-03-25</t>
        </is>
      </c>
    </row>
    <row r="60742">
      <c r="A60742" s="1" t="n">
        <v>60741</v>
      </c>
      <c r="B60742">
        <f>TEXT(60741, "[$-0E0000]yyyy-mm-dd")</f>
        <v/>
      </c>
      <c r="C60742" t="inlineStr">
        <is>
          <t>2066-03-26</t>
        </is>
      </c>
    </row>
    <row r="60743">
      <c r="A60743" s="1" t="n">
        <v>60742</v>
      </c>
      <c r="B60743">
        <f>TEXT(60742, "[$-0E0000]yyyy-mm-dd")</f>
        <v/>
      </c>
      <c r="C60743" t="inlineStr">
        <is>
          <t>2066-03-27</t>
        </is>
      </c>
    </row>
    <row r="60744">
      <c r="A60744" s="1" t="n">
        <v>60743</v>
      </c>
      <c r="B60744">
        <f>TEXT(60743, "[$-0E0000]yyyy-mm-dd")</f>
        <v/>
      </c>
      <c r="C60744" t="inlineStr">
        <is>
          <t>2066-03-28</t>
        </is>
      </c>
    </row>
    <row r="60745">
      <c r="A60745" s="1" t="n">
        <v>60744</v>
      </c>
      <c r="B60745">
        <f>TEXT(60744, "[$-0E0000]yyyy-mm-dd")</f>
        <v/>
      </c>
      <c r="C60745" t="inlineStr">
        <is>
          <t>2066-03-29</t>
        </is>
      </c>
    </row>
    <row r="60746">
      <c r="A60746" s="1" t="n">
        <v>60745</v>
      </c>
      <c r="B60746">
        <f>TEXT(60745, "[$-0E0000]yyyy-mm-dd")</f>
        <v/>
      </c>
      <c r="C60746" t="inlineStr">
        <is>
          <t>2066-04-01</t>
        </is>
      </c>
    </row>
    <row r="60747">
      <c r="A60747" s="1" t="n">
        <v>60746</v>
      </c>
      <c r="B60747">
        <f>TEXT(60746, "[$-0E0000]yyyy-mm-dd")</f>
        <v/>
      </c>
      <c r="C60747" t="inlineStr">
        <is>
          <t>2066-04-02</t>
        </is>
      </c>
    </row>
    <row r="60748">
      <c r="A60748" s="1" t="n">
        <v>60747</v>
      </c>
      <c r="B60748">
        <f>TEXT(60747, "[$-0E0000]yyyy-mm-dd")</f>
        <v/>
      </c>
      <c r="C60748" t="inlineStr">
        <is>
          <t>2066-04-03</t>
        </is>
      </c>
    </row>
    <row r="60749">
      <c r="A60749" s="1" t="n">
        <v>60748</v>
      </c>
      <c r="B60749">
        <f>TEXT(60748, "[$-0E0000]yyyy-mm-dd")</f>
        <v/>
      </c>
      <c r="C60749" t="inlineStr">
        <is>
          <t>2066-04-04</t>
        </is>
      </c>
    </row>
    <row r="60750">
      <c r="A60750" s="1" t="n">
        <v>60749</v>
      </c>
      <c r="B60750">
        <f>TEXT(60749, "[$-0E0000]yyyy-mm-dd")</f>
        <v/>
      </c>
      <c r="C60750" t="inlineStr">
        <is>
          <t>2066-04-05</t>
        </is>
      </c>
    </row>
    <row r="60751">
      <c r="A60751" s="1" t="n">
        <v>60750</v>
      </c>
      <c r="B60751">
        <f>TEXT(60750, "[$-0E0000]yyyy-mm-dd")</f>
        <v/>
      </c>
      <c r="C60751" t="inlineStr">
        <is>
          <t>2066-04-06</t>
        </is>
      </c>
    </row>
    <row r="60752">
      <c r="A60752" s="1" t="n">
        <v>60751</v>
      </c>
      <c r="B60752">
        <f>TEXT(60751, "[$-0E0000]yyyy-mm-dd")</f>
        <v/>
      </c>
      <c r="C60752" t="inlineStr">
        <is>
          <t>2066-04-07</t>
        </is>
      </c>
    </row>
    <row r="60753">
      <c r="A60753" s="1" t="n">
        <v>60752</v>
      </c>
      <c r="B60753">
        <f>TEXT(60752, "[$-0E0000]yyyy-mm-dd")</f>
        <v/>
      </c>
      <c r="C60753" t="inlineStr">
        <is>
          <t>2066-04-08</t>
        </is>
      </c>
    </row>
    <row r="60754">
      <c r="A60754" s="1" t="n">
        <v>60753</v>
      </c>
      <c r="B60754">
        <f>TEXT(60753, "[$-0E0000]yyyy-mm-dd")</f>
        <v/>
      </c>
      <c r="C60754" t="inlineStr">
        <is>
          <t>2066-04-09</t>
        </is>
      </c>
    </row>
    <row r="60755">
      <c r="A60755" s="1" t="n">
        <v>60754</v>
      </c>
      <c r="B60755">
        <f>TEXT(60754, "[$-0E0000]yyyy-mm-dd")</f>
        <v/>
      </c>
      <c r="C60755" t="inlineStr">
        <is>
          <t>2066-04-10</t>
        </is>
      </c>
    </row>
    <row r="60756">
      <c r="A60756" s="1" t="n">
        <v>60755</v>
      </c>
      <c r="B60756">
        <f>TEXT(60755, "[$-0E0000]yyyy-mm-dd")</f>
        <v/>
      </c>
      <c r="C60756" t="inlineStr">
        <is>
          <t>2066-04-11</t>
        </is>
      </c>
    </row>
    <row r="60757">
      <c r="A60757" s="1" t="n">
        <v>60756</v>
      </c>
      <c r="B60757">
        <f>TEXT(60756, "[$-0E0000]yyyy-mm-dd")</f>
        <v/>
      </c>
      <c r="C60757" t="inlineStr">
        <is>
          <t>2066-04-12</t>
        </is>
      </c>
    </row>
    <row r="60758">
      <c r="A60758" s="1" t="n">
        <v>60757</v>
      </c>
      <c r="B60758">
        <f>TEXT(60757, "[$-0E0000]yyyy-mm-dd")</f>
        <v/>
      </c>
      <c r="C60758" t="inlineStr">
        <is>
          <t>2066-04-13</t>
        </is>
      </c>
    </row>
    <row r="60759">
      <c r="A60759" s="1" t="n">
        <v>60758</v>
      </c>
      <c r="B60759">
        <f>TEXT(60758, "[$-0E0000]yyyy-mm-dd")</f>
        <v/>
      </c>
      <c r="C60759" t="inlineStr">
        <is>
          <t>2066-04-14</t>
        </is>
      </c>
    </row>
    <row r="60760">
      <c r="A60760" s="1" t="n">
        <v>60759</v>
      </c>
      <c r="B60760">
        <f>TEXT(60759, "[$-0E0000]yyyy-mm-dd")</f>
        <v/>
      </c>
      <c r="C60760" t="inlineStr">
        <is>
          <t>2066-04-15</t>
        </is>
      </c>
    </row>
    <row r="60761">
      <c r="A60761" s="1" t="n">
        <v>60760</v>
      </c>
      <c r="B60761">
        <f>TEXT(60760, "[$-0E0000]yyyy-mm-dd")</f>
        <v/>
      </c>
      <c r="C60761" t="inlineStr">
        <is>
          <t>2066-04-16</t>
        </is>
      </c>
    </row>
    <row r="60762">
      <c r="A60762" s="1" t="n">
        <v>60761</v>
      </c>
      <c r="B60762">
        <f>TEXT(60761, "[$-0E0000]yyyy-mm-dd")</f>
        <v/>
      </c>
      <c r="C60762" t="inlineStr">
        <is>
          <t>2066-04-17</t>
        </is>
      </c>
    </row>
    <row r="60763">
      <c r="A60763" s="1" t="n">
        <v>60762</v>
      </c>
      <c r="B60763">
        <f>TEXT(60762, "[$-0E0000]yyyy-mm-dd")</f>
        <v/>
      </c>
      <c r="C60763" t="inlineStr">
        <is>
          <t>2066-04-18</t>
        </is>
      </c>
    </row>
    <row r="60764">
      <c r="A60764" s="1" t="n">
        <v>60763</v>
      </c>
      <c r="B60764">
        <f>TEXT(60763, "[$-0E0000]yyyy-mm-dd")</f>
        <v/>
      </c>
      <c r="C60764" t="inlineStr">
        <is>
          <t>2066-04-19</t>
        </is>
      </c>
    </row>
    <row r="60765">
      <c r="A60765" s="1" t="n">
        <v>60764</v>
      </c>
      <c r="B60765">
        <f>TEXT(60764, "[$-0E0000]yyyy-mm-dd")</f>
        <v/>
      </c>
      <c r="C60765" t="inlineStr">
        <is>
          <t>2066-04-20</t>
        </is>
      </c>
    </row>
    <row r="60766">
      <c r="A60766" s="1" t="n">
        <v>60765</v>
      </c>
      <c r="B60766">
        <f>TEXT(60765, "[$-0E0000]yyyy-mm-dd")</f>
        <v/>
      </c>
      <c r="C60766" t="inlineStr">
        <is>
          <t>2066-04-21</t>
        </is>
      </c>
    </row>
    <row r="60767">
      <c r="A60767" s="1" t="n">
        <v>60766</v>
      </c>
      <c r="B60767">
        <f>TEXT(60766, "[$-0E0000]yyyy-mm-dd")</f>
        <v/>
      </c>
      <c r="C60767" t="inlineStr">
        <is>
          <t>2066-04-22</t>
        </is>
      </c>
    </row>
    <row r="60768">
      <c r="A60768" s="1" t="n">
        <v>60767</v>
      </c>
      <c r="B60768">
        <f>TEXT(60767, "[$-0E0000]yyyy-mm-dd")</f>
        <v/>
      </c>
      <c r="C60768" t="inlineStr">
        <is>
          <t>2066-04-23</t>
        </is>
      </c>
    </row>
    <row r="60769">
      <c r="A60769" s="1" t="n">
        <v>60768</v>
      </c>
      <c r="B60769">
        <f>TEXT(60768, "[$-0E0000]yyyy-mm-dd")</f>
        <v/>
      </c>
      <c r="C60769" t="inlineStr">
        <is>
          <t>2066-04-24</t>
        </is>
      </c>
    </row>
    <row r="60770">
      <c r="A60770" s="1" t="n">
        <v>60769</v>
      </c>
      <c r="B60770">
        <f>TEXT(60769, "[$-0E0000]yyyy-mm-dd")</f>
        <v/>
      </c>
      <c r="C60770" t="inlineStr">
        <is>
          <t>2066-04-25</t>
        </is>
      </c>
    </row>
    <row r="60771">
      <c r="A60771" s="1" t="n">
        <v>60770</v>
      </c>
      <c r="B60771">
        <f>TEXT(60770, "[$-0E0000]yyyy-mm-dd")</f>
        <v/>
      </c>
      <c r="C60771" t="inlineStr">
        <is>
          <t>2066-04-26</t>
        </is>
      </c>
    </row>
    <row r="60772">
      <c r="A60772" s="1" t="n">
        <v>60771</v>
      </c>
      <c r="B60772">
        <f>TEXT(60771, "[$-0E0000]yyyy-mm-dd")</f>
        <v/>
      </c>
      <c r="C60772" t="inlineStr">
        <is>
          <t>2066-04-27</t>
        </is>
      </c>
    </row>
    <row r="60773">
      <c r="A60773" s="1" t="n">
        <v>60772</v>
      </c>
      <c r="B60773">
        <f>TEXT(60772, "[$-0E0000]yyyy-mm-dd")</f>
        <v/>
      </c>
      <c r="C60773" t="inlineStr">
        <is>
          <t>2066-04-28</t>
        </is>
      </c>
    </row>
    <row r="60774">
      <c r="A60774" s="1" t="n">
        <v>60773</v>
      </c>
      <c r="B60774">
        <f>TEXT(60773, "[$-0E0000]yyyy-mm-dd")</f>
        <v/>
      </c>
      <c r="C60774" t="inlineStr">
        <is>
          <t>2066-04-29</t>
        </is>
      </c>
    </row>
    <row r="60775">
      <c r="A60775" s="1" t="n">
        <v>60774</v>
      </c>
      <c r="B60775">
        <f>TEXT(60774, "[$-0E0000]yyyy-mm-dd")</f>
        <v/>
      </c>
      <c r="C60775" t="inlineStr">
        <is>
          <t>2066-04-30</t>
        </is>
      </c>
    </row>
    <row r="60776">
      <c r="A60776" s="1" t="n">
        <v>60775</v>
      </c>
      <c r="B60776">
        <f>TEXT(60775, "[$-0E0000]yyyy-mm-dd")</f>
        <v/>
      </c>
      <c r="C60776" t="inlineStr">
        <is>
          <t>2066-05-01</t>
        </is>
      </c>
    </row>
    <row r="60777">
      <c r="A60777" s="1" t="n">
        <v>60776</v>
      </c>
      <c r="B60777">
        <f>TEXT(60776, "[$-0E0000]yyyy-mm-dd")</f>
        <v/>
      </c>
      <c r="C60777" t="inlineStr">
        <is>
          <t>2066-05-02</t>
        </is>
      </c>
    </row>
    <row r="60778">
      <c r="A60778" s="1" t="n">
        <v>60777</v>
      </c>
      <c r="B60778">
        <f>TEXT(60777, "[$-0E0000]yyyy-mm-dd")</f>
        <v/>
      </c>
      <c r="C60778" t="inlineStr">
        <is>
          <t>2066-05-03</t>
        </is>
      </c>
    </row>
    <row r="60779">
      <c r="A60779" s="1" t="n">
        <v>60778</v>
      </c>
      <c r="B60779">
        <f>TEXT(60778, "[$-0E0000]yyyy-mm-dd")</f>
        <v/>
      </c>
      <c r="C60779" t="inlineStr">
        <is>
          <t>2066-05-04</t>
        </is>
      </c>
    </row>
    <row r="60780">
      <c r="A60780" s="1" t="n">
        <v>60779</v>
      </c>
      <c r="B60780">
        <f>TEXT(60779, "[$-0E0000]yyyy-mm-dd")</f>
        <v/>
      </c>
      <c r="C60780" t="inlineStr">
        <is>
          <t>2066-05-05</t>
        </is>
      </c>
    </row>
    <row r="60781">
      <c r="A60781" s="1" t="n">
        <v>60780</v>
      </c>
      <c r="B60781">
        <f>TEXT(60780, "[$-0E0000]yyyy-mm-dd")</f>
        <v/>
      </c>
      <c r="C60781" t="inlineStr">
        <is>
          <t>2066-05-06</t>
        </is>
      </c>
    </row>
    <row r="60782">
      <c r="A60782" s="1" t="n">
        <v>60781</v>
      </c>
      <c r="B60782">
        <f>TEXT(60781, "[$-0E0000]yyyy-mm-dd")</f>
        <v/>
      </c>
      <c r="C60782" t="inlineStr">
        <is>
          <t>2066-05-07</t>
        </is>
      </c>
    </row>
    <row r="60783">
      <c r="A60783" s="1" t="n">
        <v>60782</v>
      </c>
      <c r="B60783">
        <f>TEXT(60782, "[$-0E0000]yyyy-mm-dd")</f>
        <v/>
      </c>
      <c r="C60783" t="inlineStr">
        <is>
          <t>2066-05-08</t>
        </is>
      </c>
    </row>
    <row r="60784">
      <c r="A60784" s="1" t="n">
        <v>60783</v>
      </c>
      <c r="B60784">
        <f>TEXT(60783, "[$-0E0000]yyyy-mm-dd")</f>
        <v/>
      </c>
      <c r="C60784" t="inlineStr">
        <is>
          <t>2066-05-09</t>
        </is>
      </c>
    </row>
    <row r="60785">
      <c r="A60785" s="1" t="n">
        <v>60784</v>
      </c>
      <c r="B60785">
        <f>TEXT(60784, "[$-0E0000]yyyy-mm-dd")</f>
        <v/>
      </c>
      <c r="C60785" t="inlineStr">
        <is>
          <t>2066-05-10</t>
        </is>
      </c>
    </row>
    <row r="60786">
      <c r="A60786" s="1" t="n">
        <v>60785</v>
      </c>
      <c r="B60786">
        <f>TEXT(60785, "[$-0E0000]yyyy-mm-dd")</f>
        <v/>
      </c>
      <c r="C60786" t="inlineStr">
        <is>
          <t>2066-05-11</t>
        </is>
      </c>
    </row>
    <row r="60787">
      <c r="A60787" s="1" t="n">
        <v>60786</v>
      </c>
      <c r="B60787">
        <f>TEXT(60786, "[$-0E0000]yyyy-mm-dd")</f>
        <v/>
      </c>
      <c r="C60787" t="inlineStr">
        <is>
          <t>2066-05-12</t>
        </is>
      </c>
    </row>
    <row r="60788">
      <c r="A60788" s="1" t="n">
        <v>60787</v>
      </c>
      <c r="B60788">
        <f>TEXT(60787, "[$-0E0000]yyyy-mm-dd")</f>
        <v/>
      </c>
      <c r="C60788" t="inlineStr">
        <is>
          <t>2066-05-13</t>
        </is>
      </c>
    </row>
    <row r="60789">
      <c r="A60789" s="1" t="n">
        <v>60788</v>
      </c>
      <c r="B60789">
        <f>TEXT(60788, "[$-0E0000]yyyy-mm-dd")</f>
        <v/>
      </c>
      <c r="C60789" t="inlineStr">
        <is>
          <t>2066-05-14</t>
        </is>
      </c>
    </row>
    <row r="60790">
      <c r="A60790" s="1" t="n">
        <v>60789</v>
      </c>
      <c r="B60790">
        <f>TEXT(60789, "[$-0E0000]yyyy-mm-dd")</f>
        <v/>
      </c>
      <c r="C60790" t="inlineStr">
        <is>
          <t>2066-05-15</t>
        </is>
      </c>
    </row>
    <row r="60791">
      <c r="A60791" s="1" t="n">
        <v>60790</v>
      </c>
      <c r="B60791">
        <f>TEXT(60790, "[$-0E0000]yyyy-mm-dd")</f>
        <v/>
      </c>
      <c r="C60791" t="inlineStr">
        <is>
          <t>2066-05-16</t>
        </is>
      </c>
    </row>
    <row r="60792">
      <c r="A60792" s="1" t="n">
        <v>60791</v>
      </c>
      <c r="B60792">
        <f>TEXT(60791, "[$-0E0000]yyyy-mm-dd")</f>
        <v/>
      </c>
      <c r="C60792" t="inlineStr">
        <is>
          <t>2066-05-17</t>
        </is>
      </c>
    </row>
    <row r="60793">
      <c r="A60793" s="1" t="n">
        <v>60792</v>
      </c>
      <c r="B60793">
        <f>TEXT(60792, "[$-0E0000]yyyy-mm-dd")</f>
        <v/>
      </c>
      <c r="C60793" t="inlineStr">
        <is>
          <t>2066-05-18</t>
        </is>
      </c>
    </row>
    <row r="60794">
      <c r="A60794" s="1" t="n">
        <v>60793</v>
      </c>
      <c r="B60794">
        <f>TEXT(60793, "[$-0E0000]yyyy-mm-dd")</f>
        <v/>
      </c>
      <c r="C60794" t="inlineStr">
        <is>
          <t>2066-05-19</t>
        </is>
      </c>
    </row>
    <row r="60795">
      <c r="A60795" s="1" t="n">
        <v>60794</v>
      </c>
      <c r="B60795">
        <f>TEXT(60794, "[$-0E0000]yyyy-mm-dd")</f>
        <v/>
      </c>
      <c r="C60795" t="inlineStr">
        <is>
          <t>2066-05-20</t>
        </is>
      </c>
    </row>
    <row r="60796">
      <c r="A60796" s="1" t="n">
        <v>60795</v>
      </c>
      <c r="B60796">
        <f>TEXT(60795, "[$-0E0000]yyyy-mm-dd")</f>
        <v/>
      </c>
      <c r="C60796" t="inlineStr">
        <is>
          <t>2066-05-21</t>
        </is>
      </c>
    </row>
    <row r="60797">
      <c r="A60797" s="1" t="n">
        <v>60796</v>
      </c>
      <c r="B60797">
        <f>TEXT(60796, "[$-0E0000]yyyy-mm-dd")</f>
        <v/>
      </c>
      <c r="C60797" t="inlineStr">
        <is>
          <t>2066-05-22</t>
        </is>
      </c>
    </row>
    <row r="60798">
      <c r="A60798" s="1" t="n">
        <v>60797</v>
      </c>
      <c r="B60798">
        <f>TEXT(60797, "[$-0E0000]yyyy-mm-dd")</f>
        <v/>
      </c>
      <c r="C60798" t="inlineStr">
        <is>
          <t>2066-05-23</t>
        </is>
      </c>
    </row>
    <row r="60799">
      <c r="A60799" s="1" t="n">
        <v>60798</v>
      </c>
      <c r="B60799">
        <f>TEXT(60798, "[$-0E0000]yyyy-mm-dd")</f>
        <v/>
      </c>
      <c r="C60799" t="inlineStr">
        <is>
          <t>2066-05-24</t>
        </is>
      </c>
    </row>
    <row r="60800">
      <c r="A60800" s="1" t="n">
        <v>60799</v>
      </c>
      <c r="B60800">
        <f>TEXT(60799, "[$-0E0000]yyyy-mm-dd")</f>
        <v/>
      </c>
      <c r="C60800" t="inlineStr">
        <is>
          <t>2066-05-25</t>
        </is>
      </c>
    </row>
    <row r="60801">
      <c r="A60801" s="1" t="n">
        <v>60800</v>
      </c>
      <c r="B60801">
        <f>TEXT(60800, "[$-0E0000]yyyy-mm-dd")</f>
        <v/>
      </c>
      <c r="C60801" t="inlineStr">
        <is>
          <t>2066-05-26</t>
        </is>
      </c>
    </row>
    <row r="60802">
      <c r="A60802" s="1" t="n">
        <v>60801</v>
      </c>
      <c r="B60802">
        <f>TEXT(60801, "[$-0E0000]yyyy-mm-dd")</f>
        <v/>
      </c>
      <c r="C60802" t="inlineStr">
        <is>
          <t>2066-05-27</t>
        </is>
      </c>
    </row>
    <row r="60803">
      <c r="A60803" s="1" t="n">
        <v>60802</v>
      </c>
      <c r="B60803">
        <f>TEXT(60802, "[$-0E0000]yyyy-mm-dd")</f>
        <v/>
      </c>
      <c r="C60803" t="inlineStr">
        <is>
          <t>2066-05-28</t>
        </is>
      </c>
    </row>
    <row r="60804">
      <c r="A60804" s="1" t="n">
        <v>60803</v>
      </c>
      <c r="B60804">
        <f>TEXT(60803, "[$-0E0000]yyyy-mm-dd")</f>
        <v/>
      </c>
      <c r="C60804" t="inlineStr">
        <is>
          <t>2066-05-29</t>
        </is>
      </c>
    </row>
    <row r="60805">
      <c r="A60805" s="1" t="n">
        <v>60804</v>
      </c>
      <c r="B60805">
        <f>TEXT(60804, "[$-0E0000]yyyy-mm-dd")</f>
        <v/>
      </c>
      <c r="C60805" t="inlineStr">
        <is>
          <t>2066-05-30</t>
        </is>
      </c>
    </row>
    <row r="60806">
      <c r="A60806" s="1" t="n">
        <v>60805</v>
      </c>
      <c r="B60806">
        <f>TEXT(60805, "[$-0E0000]yyyy-mm-dd")</f>
        <v/>
      </c>
      <c r="C60806" t="inlineStr">
        <is>
          <t>2066-05-01</t>
        </is>
      </c>
    </row>
    <row r="60807">
      <c r="A60807" s="1" t="n">
        <v>60806</v>
      </c>
      <c r="B60807">
        <f>TEXT(60806, "[$-0E0000]yyyy-mm-dd")</f>
        <v/>
      </c>
      <c r="C60807" t="inlineStr">
        <is>
          <t>2066-05-02</t>
        </is>
      </c>
    </row>
    <row r="60808">
      <c r="A60808" s="1" t="n">
        <v>60807</v>
      </c>
      <c r="B60808">
        <f>TEXT(60807, "[$-0E0000]yyyy-mm-dd")</f>
        <v/>
      </c>
      <c r="C60808" t="inlineStr">
        <is>
          <t>2066-05-03</t>
        </is>
      </c>
    </row>
    <row r="60809">
      <c r="A60809" s="1" t="n">
        <v>60808</v>
      </c>
      <c r="B60809">
        <f>TEXT(60808, "[$-0E0000]yyyy-mm-dd")</f>
        <v/>
      </c>
      <c r="C60809" t="inlineStr">
        <is>
          <t>2066-05-04</t>
        </is>
      </c>
    </row>
    <row r="60810">
      <c r="A60810" s="1" t="n">
        <v>60809</v>
      </c>
      <c r="B60810">
        <f>TEXT(60809, "[$-0E0000]yyyy-mm-dd")</f>
        <v/>
      </c>
      <c r="C60810" t="inlineStr">
        <is>
          <t>2066-05-05</t>
        </is>
      </c>
    </row>
    <row r="60811">
      <c r="A60811" s="1" t="n">
        <v>60810</v>
      </c>
      <c r="B60811">
        <f>TEXT(60810, "[$-0E0000]yyyy-mm-dd")</f>
        <v/>
      </c>
      <c r="C60811" t="inlineStr">
        <is>
          <t>2066-05-06</t>
        </is>
      </c>
    </row>
    <row r="60812">
      <c r="A60812" s="1" t="n">
        <v>60811</v>
      </c>
      <c r="B60812">
        <f>TEXT(60811, "[$-0E0000]yyyy-mm-dd")</f>
        <v/>
      </c>
      <c r="C60812" t="inlineStr">
        <is>
          <t>2066-05-07</t>
        </is>
      </c>
    </row>
    <row r="60813">
      <c r="A60813" s="1" t="n">
        <v>60812</v>
      </c>
      <c r="B60813">
        <f>TEXT(60812, "[$-0E0000]yyyy-mm-dd")</f>
        <v/>
      </c>
      <c r="C60813" t="inlineStr">
        <is>
          <t>2066-05-08</t>
        </is>
      </c>
    </row>
    <row r="60814">
      <c r="A60814" s="1" t="n">
        <v>60813</v>
      </c>
      <c r="B60814">
        <f>TEXT(60813, "[$-0E0000]yyyy-mm-dd")</f>
        <v/>
      </c>
      <c r="C60814" t="inlineStr">
        <is>
          <t>2066-05-09</t>
        </is>
      </c>
    </row>
    <row r="60815">
      <c r="A60815" s="1" t="n">
        <v>60814</v>
      </c>
      <c r="B60815">
        <f>TEXT(60814, "[$-0E0000]yyyy-mm-dd")</f>
        <v/>
      </c>
      <c r="C60815" t="inlineStr">
        <is>
          <t>2066-05-10</t>
        </is>
      </c>
    </row>
    <row r="60816">
      <c r="A60816" s="1" t="n">
        <v>60815</v>
      </c>
      <c r="B60816">
        <f>TEXT(60815, "[$-0E0000]yyyy-mm-dd")</f>
        <v/>
      </c>
      <c r="C60816" t="inlineStr">
        <is>
          <t>2066-05-11</t>
        </is>
      </c>
    </row>
    <row r="60817">
      <c r="A60817" s="1" t="n">
        <v>60816</v>
      </c>
      <c r="B60817">
        <f>TEXT(60816, "[$-0E0000]yyyy-mm-dd")</f>
        <v/>
      </c>
      <c r="C60817" t="inlineStr">
        <is>
          <t>2066-05-12</t>
        </is>
      </c>
    </row>
    <row r="60818">
      <c r="A60818" s="1" t="n">
        <v>60817</v>
      </c>
      <c r="B60818">
        <f>TEXT(60817, "[$-0E0000]yyyy-mm-dd")</f>
        <v/>
      </c>
      <c r="C60818" t="inlineStr">
        <is>
          <t>2066-05-13</t>
        </is>
      </c>
    </row>
    <row r="60819">
      <c r="A60819" s="1" t="n">
        <v>60818</v>
      </c>
      <c r="B60819">
        <f>TEXT(60818, "[$-0E0000]yyyy-mm-dd")</f>
        <v/>
      </c>
      <c r="C60819" t="inlineStr">
        <is>
          <t>2066-05-14</t>
        </is>
      </c>
    </row>
    <row r="60820">
      <c r="A60820" s="1" t="n">
        <v>60819</v>
      </c>
      <c r="B60820">
        <f>TEXT(60819, "[$-0E0000]yyyy-mm-dd")</f>
        <v/>
      </c>
      <c r="C60820" t="inlineStr">
        <is>
          <t>2066-05-15</t>
        </is>
      </c>
    </row>
    <row r="60821">
      <c r="A60821" s="1" t="n">
        <v>60820</v>
      </c>
      <c r="B60821">
        <f>TEXT(60820, "[$-0E0000]yyyy-mm-dd")</f>
        <v/>
      </c>
      <c r="C60821" t="inlineStr">
        <is>
          <t>2066-05-16</t>
        </is>
      </c>
    </row>
    <row r="60822">
      <c r="A60822" s="1" t="n">
        <v>60821</v>
      </c>
      <c r="B60822">
        <f>TEXT(60821, "[$-0E0000]yyyy-mm-dd")</f>
        <v/>
      </c>
      <c r="C60822" t="inlineStr">
        <is>
          <t>2066-05-17</t>
        </is>
      </c>
    </row>
    <row r="60823">
      <c r="A60823" s="1" t="n">
        <v>60822</v>
      </c>
      <c r="B60823">
        <f>TEXT(60822, "[$-0E0000]yyyy-mm-dd")</f>
        <v/>
      </c>
      <c r="C60823" t="inlineStr">
        <is>
          <t>2066-05-18</t>
        </is>
      </c>
    </row>
    <row r="60824">
      <c r="A60824" s="1" t="n">
        <v>60823</v>
      </c>
      <c r="B60824">
        <f>TEXT(60823, "[$-0E0000]yyyy-mm-dd")</f>
        <v/>
      </c>
      <c r="C60824" t="inlineStr">
        <is>
          <t>2066-05-19</t>
        </is>
      </c>
    </row>
    <row r="60825">
      <c r="A60825" s="1" t="n">
        <v>60824</v>
      </c>
      <c r="B60825">
        <f>TEXT(60824, "[$-0E0000]yyyy-mm-dd")</f>
        <v/>
      </c>
      <c r="C60825" t="inlineStr">
        <is>
          <t>2066-05-20</t>
        </is>
      </c>
    </row>
    <row r="60826">
      <c r="A60826" s="1" t="n">
        <v>60825</v>
      </c>
      <c r="B60826">
        <f>TEXT(60825, "[$-0E0000]yyyy-mm-dd")</f>
        <v/>
      </c>
      <c r="C60826" t="inlineStr">
        <is>
          <t>2066-05-21</t>
        </is>
      </c>
    </row>
    <row r="60827">
      <c r="A60827" s="1" t="n">
        <v>60826</v>
      </c>
      <c r="B60827">
        <f>TEXT(60826, "[$-0E0000]yyyy-mm-dd")</f>
        <v/>
      </c>
      <c r="C60827" t="inlineStr">
        <is>
          <t>2066-05-22</t>
        </is>
      </c>
    </row>
    <row r="60828">
      <c r="A60828" s="1" t="n">
        <v>60827</v>
      </c>
      <c r="B60828">
        <f>TEXT(60827, "[$-0E0000]yyyy-mm-dd")</f>
        <v/>
      </c>
      <c r="C60828" t="inlineStr">
        <is>
          <t>2066-05-23</t>
        </is>
      </c>
    </row>
    <row r="60829">
      <c r="A60829" s="1" t="n">
        <v>60828</v>
      </c>
      <c r="B60829">
        <f>TEXT(60828, "[$-0E0000]yyyy-mm-dd")</f>
        <v/>
      </c>
      <c r="C60829" t="inlineStr">
        <is>
          <t>2066-05-24</t>
        </is>
      </c>
    </row>
    <row r="60830">
      <c r="A60830" s="1" t="n">
        <v>60829</v>
      </c>
      <c r="B60830">
        <f>TEXT(60829, "[$-0E0000]yyyy-mm-dd")</f>
        <v/>
      </c>
      <c r="C60830" t="inlineStr">
        <is>
          <t>2066-05-25</t>
        </is>
      </c>
    </row>
    <row r="60831">
      <c r="A60831" s="1" t="n">
        <v>60830</v>
      </c>
      <c r="B60831">
        <f>TEXT(60830, "[$-0E0000]yyyy-mm-dd")</f>
        <v/>
      </c>
      <c r="C60831" t="inlineStr">
        <is>
          <t>2066-05-26</t>
        </is>
      </c>
    </row>
    <row r="60832">
      <c r="A60832" s="1" t="n">
        <v>60831</v>
      </c>
      <c r="B60832">
        <f>TEXT(60831, "[$-0E0000]yyyy-mm-dd")</f>
        <v/>
      </c>
      <c r="C60832" t="inlineStr">
        <is>
          <t>2066-05-27</t>
        </is>
      </c>
    </row>
    <row r="60833">
      <c r="A60833" s="1" t="n">
        <v>60832</v>
      </c>
      <c r="B60833">
        <f>TEXT(60832, "[$-0E0000]yyyy-mm-dd")</f>
        <v/>
      </c>
      <c r="C60833" t="inlineStr">
        <is>
          <t>2066-05-28</t>
        </is>
      </c>
    </row>
    <row r="60834">
      <c r="A60834" s="1" t="n">
        <v>60833</v>
      </c>
      <c r="B60834">
        <f>TEXT(60833, "[$-0E0000]yyyy-mm-dd")</f>
        <v/>
      </c>
      <c r="C60834" t="inlineStr">
        <is>
          <t>2066-05-29</t>
        </is>
      </c>
    </row>
    <row r="60835">
      <c r="A60835" s="1" t="n">
        <v>60834</v>
      </c>
      <c r="B60835">
        <f>TEXT(60834, "[$-0E0000]yyyy-mm-dd")</f>
        <v/>
      </c>
      <c r="C60835" t="inlineStr">
        <is>
          <t>2066-06-01</t>
        </is>
      </c>
    </row>
    <row r="60836">
      <c r="A60836" s="1" t="n">
        <v>60835</v>
      </c>
      <c r="B60836">
        <f>TEXT(60835, "[$-0E0000]yyyy-mm-dd")</f>
        <v/>
      </c>
      <c r="C60836" t="inlineStr">
        <is>
          <t>2066-06-02</t>
        </is>
      </c>
    </row>
    <row r="60837">
      <c r="A60837" s="1" t="n">
        <v>60836</v>
      </c>
      <c r="B60837">
        <f>TEXT(60836, "[$-0E0000]yyyy-mm-dd")</f>
        <v/>
      </c>
      <c r="C60837" t="inlineStr">
        <is>
          <t>2066-06-03</t>
        </is>
      </c>
    </row>
    <row r="60838">
      <c r="A60838" s="1" t="n">
        <v>60837</v>
      </c>
      <c r="B60838">
        <f>TEXT(60837, "[$-0E0000]yyyy-mm-dd")</f>
        <v/>
      </c>
      <c r="C60838" t="inlineStr">
        <is>
          <t>2066-06-04</t>
        </is>
      </c>
    </row>
    <row r="60839">
      <c r="A60839" s="1" t="n">
        <v>60838</v>
      </c>
      <c r="B60839">
        <f>TEXT(60838, "[$-0E0000]yyyy-mm-dd")</f>
        <v/>
      </c>
      <c r="C60839" t="inlineStr">
        <is>
          <t>2066-06-05</t>
        </is>
      </c>
    </row>
    <row r="60840">
      <c r="A60840" s="1" t="n">
        <v>60839</v>
      </c>
      <c r="B60840">
        <f>TEXT(60839, "[$-0E0000]yyyy-mm-dd")</f>
        <v/>
      </c>
      <c r="C60840" t="inlineStr">
        <is>
          <t>2066-06-06</t>
        </is>
      </c>
    </row>
    <row r="60841">
      <c r="A60841" s="1" t="n">
        <v>60840</v>
      </c>
      <c r="B60841">
        <f>TEXT(60840, "[$-0E0000]yyyy-mm-dd")</f>
        <v/>
      </c>
      <c r="C60841" t="inlineStr">
        <is>
          <t>2066-06-07</t>
        </is>
      </c>
    </row>
    <row r="60842">
      <c r="A60842" s="1" t="n">
        <v>60841</v>
      </c>
      <c r="B60842">
        <f>TEXT(60841, "[$-0E0000]yyyy-mm-dd")</f>
        <v/>
      </c>
      <c r="C60842" t="inlineStr">
        <is>
          <t>2066-06-08</t>
        </is>
      </c>
    </row>
    <row r="60843">
      <c r="A60843" s="1" t="n">
        <v>60842</v>
      </c>
      <c r="B60843">
        <f>TEXT(60842, "[$-0E0000]yyyy-mm-dd")</f>
        <v/>
      </c>
      <c r="C60843" t="inlineStr">
        <is>
          <t>2066-06-09</t>
        </is>
      </c>
    </row>
    <row r="60844">
      <c r="A60844" s="1" t="n">
        <v>60843</v>
      </c>
      <c r="B60844">
        <f>TEXT(60843, "[$-0E0000]yyyy-mm-dd")</f>
        <v/>
      </c>
      <c r="C60844" t="inlineStr">
        <is>
          <t>2066-06-10</t>
        </is>
      </c>
    </row>
    <row r="60845">
      <c r="A60845" s="1" t="n">
        <v>60844</v>
      </c>
      <c r="B60845">
        <f>TEXT(60844, "[$-0E0000]yyyy-mm-dd")</f>
        <v/>
      </c>
      <c r="C60845" t="inlineStr">
        <is>
          <t>2066-06-11</t>
        </is>
      </c>
    </row>
    <row r="60846">
      <c r="A60846" s="1" t="n">
        <v>60845</v>
      </c>
      <c r="B60846">
        <f>TEXT(60845, "[$-0E0000]yyyy-mm-dd")</f>
        <v/>
      </c>
      <c r="C60846" t="inlineStr">
        <is>
          <t>2066-06-12</t>
        </is>
      </c>
    </row>
    <row r="60847">
      <c r="A60847" s="1" t="n">
        <v>60846</v>
      </c>
      <c r="B60847">
        <f>TEXT(60846, "[$-0E0000]yyyy-mm-dd")</f>
        <v/>
      </c>
      <c r="C60847" t="inlineStr">
        <is>
          <t>2066-06-13</t>
        </is>
      </c>
    </row>
    <row r="60848">
      <c r="A60848" s="1" t="n">
        <v>60847</v>
      </c>
      <c r="B60848">
        <f>TEXT(60847, "[$-0E0000]yyyy-mm-dd")</f>
        <v/>
      </c>
      <c r="C60848" t="inlineStr">
        <is>
          <t>2066-06-14</t>
        </is>
      </c>
    </row>
    <row r="60849">
      <c r="A60849" s="1" t="n">
        <v>60848</v>
      </c>
      <c r="B60849">
        <f>TEXT(60848, "[$-0E0000]yyyy-mm-dd")</f>
        <v/>
      </c>
      <c r="C60849" t="inlineStr">
        <is>
          <t>2066-06-15</t>
        </is>
      </c>
    </row>
    <row r="60850">
      <c r="A60850" s="1" t="n">
        <v>60849</v>
      </c>
      <c r="B60850">
        <f>TEXT(60849, "[$-0E0000]yyyy-mm-dd")</f>
        <v/>
      </c>
      <c r="C60850" t="inlineStr">
        <is>
          <t>2066-06-16</t>
        </is>
      </c>
    </row>
    <row r="60851">
      <c r="A60851" s="1" t="n">
        <v>60850</v>
      </c>
      <c r="B60851">
        <f>TEXT(60850, "[$-0E0000]yyyy-mm-dd")</f>
        <v/>
      </c>
      <c r="C60851" t="inlineStr">
        <is>
          <t>2066-06-17</t>
        </is>
      </c>
    </row>
    <row r="60852">
      <c r="A60852" s="1" t="n">
        <v>60851</v>
      </c>
      <c r="B60852">
        <f>TEXT(60851, "[$-0E0000]yyyy-mm-dd")</f>
        <v/>
      </c>
      <c r="C60852" t="inlineStr">
        <is>
          <t>2066-06-18</t>
        </is>
      </c>
    </row>
    <row r="60853">
      <c r="A60853" s="1" t="n">
        <v>60852</v>
      </c>
      <c r="B60853">
        <f>TEXT(60852, "[$-0E0000]yyyy-mm-dd")</f>
        <v/>
      </c>
      <c r="C60853" t="inlineStr">
        <is>
          <t>2066-06-19</t>
        </is>
      </c>
    </row>
    <row r="60854">
      <c r="A60854" s="1" t="n">
        <v>60853</v>
      </c>
      <c r="B60854">
        <f>TEXT(60853, "[$-0E0000]yyyy-mm-dd")</f>
        <v/>
      </c>
      <c r="C60854" t="inlineStr">
        <is>
          <t>2066-06-20</t>
        </is>
      </c>
    </row>
    <row r="60855">
      <c r="A60855" s="1" t="n">
        <v>60854</v>
      </c>
      <c r="B60855">
        <f>TEXT(60854, "[$-0E0000]yyyy-mm-dd")</f>
        <v/>
      </c>
      <c r="C60855" t="inlineStr">
        <is>
          <t>2066-06-21</t>
        </is>
      </c>
    </row>
    <row r="60856">
      <c r="A60856" s="1" t="n">
        <v>60855</v>
      </c>
      <c r="B60856">
        <f>TEXT(60855, "[$-0E0000]yyyy-mm-dd")</f>
        <v/>
      </c>
      <c r="C60856" t="inlineStr">
        <is>
          <t>2066-06-22</t>
        </is>
      </c>
    </row>
    <row r="60857">
      <c r="A60857" s="1" t="n">
        <v>60856</v>
      </c>
      <c r="B60857">
        <f>TEXT(60856, "[$-0E0000]yyyy-mm-dd")</f>
        <v/>
      </c>
      <c r="C60857" t="inlineStr">
        <is>
          <t>2066-06-23</t>
        </is>
      </c>
    </row>
    <row r="60858">
      <c r="A60858" s="1" t="n">
        <v>60857</v>
      </c>
      <c r="B60858">
        <f>TEXT(60857, "[$-0E0000]yyyy-mm-dd")</f>
        <v/>
      </c>
      <c r="C60858" t="inlineStr">
        <is>
          <t>2066-06-24</t>
        </is>
      </c>
    </row>
    <row r="60859">
      <c r="A60859" s="1" t="n">
        <v>60858</v>
      </c>
      <c r="B60859">
        <f>TEXT(60858, "[$-0E0000]yyyy-mm-dd")</f>
        <v/>
      </c>
      <c r="C60859" t="inlineStr">
        <is>
          <t>2066-06-25</t>
        </is>
      </c>
    </row>
    <row r="60860">
      <c r="A60860" s="1" t="n">
        <v>60859</v>
      </c>
      <c r="B60860">
        <f>TEXT(60859, "[$-0E0000]yyyy-mm-dd")</f>
        <v/>
      </c>
      <c r="C60860" t="inlineStr">
        <is>
          <t>2066-06-26</t>
        </is>
      </c>
    </row>
    <row r="60861">
      <c r="A60861" s="1" t="n">
        <v>60860</v>
      </c>
      <c r="B60861">
        <f>TEXT(60860, "[$-0E0000]yyyy-mm-dd")</f>
        <v/>
      </c>
      <c r="C60861" t="inlineStr">
        <is>
          <t>2066-06-27</t>
        </is>
      </c>
    </row>
    <row r="60862">
      <c r="A60862" s="1" t="n">
        <v>60861</v>
      </c>
      <c r="B60862">
        <f>TEXT(60861, "[$-0E0000]yyyy-mm-dd")</f>
        <v/>
      </c>
      <c r="C60862" t="inlineStr">
        <is>
          <t>2066-06-28</t>
        </is>
      </c>
    </row>
    <row r="60863">
      <c r="A60863" s="1" t="n">
        <v>60862</v>
      </c>
      <c r="B60863">
        <f>TEXT(60862, "[$-0E0000]yyyy-mm-dd")</f>
        <v/>
      </c>
      <c r="C60863" t="inlineStr">
        <is>
          <t>2066-06-29</t>
        </is>
      </c>
    </row>
    <row r="60864">
      <c r="A60864" s="1" t="n">
        <v>60863</v>
      </c>
      <c r="B60864">
        <f>TEXT(60863, "[$-0E0000]yyyy-mm-dd")</f>
        <v/>
      </c>
      <c r="C60864" t="inlineStr">
        <is>
          <t>2066-06-30</t>
        </is>
      </c>
    </row>
    <row r="60865">
      <c r="A60865" s="1" t="n">
        <v>60864</v>
      </c>
      <c r="B60865">
        <f>TEXT(60864, "[$-0E0000]yyyy-mm-dd")</f>
        <v/>
      </c>
      <c r="C60865" t="inlineStr">
        <is>
          <t>2066-07-01</t>
        </is>
      </c>
    </row>
    <row r="60866">
      <c r="A60866" s="1" t="n">
        <v>60865</v>
      </c>
      <c r="B60866">
        <f>TEXT(60865, "[$-0E0000]yyyy-mm-dd")</f>
        <v/>
      </c>
      <c r="C60866" t="inlineStr">
        <is>
          <t>2066-07-02</t>
        </is>
      </c>
    </row>
    <row r="60867">
      <c r="A60867" s="1" t="n">
        <v>60866</v>
      </c>
      <c r="B60867">
        <f>TEXT(60866, "[$-0E0000]yyyy-mm-dd")</f>
        <v/>
      </c>
      <c r="C60867" t="inlineStr">
        <is>
          <t>2066-07-03</t>
        </is>
      </c>
    </row>
    <row r="60868">
      <c r="A60868" s="1" t="n">
        <v>60867</v>
      </c>
      <c r="B60868">
        <f>TEXT(60867, "[$-0E0000]yyyy-mm-dd")</f>
        <v/>
      </c>
      <c r="C60868" t="inlineStr">
        <is>
          <t>2066-07-04</t>
        </is>
      </c>
    </row>
    <row r="60869">
      <c r="A60869" s="1" t="n">
        <v>60868</v>
      </c>
      <c r="B60869">
        <f>TEXT(60868, "[$-0E0000]yyyy-mm-dd")</f>
        <v/>
      </c>
      <c r="C60869" t="inlineStr">
        <is>
          <t>2066-07-05</t>
        </is>
      </c>
    </row>
    <row r="60870">
      <c r="A60870" s="1" t="n">
        <v>60869</v>
      </c>
      <c r="B60870">
        <f>TEXT(60869, "[$-0E0000]yyyy-mm-dd")</f>
        <v/>
      </c>
      <c r="C60870" t="inlineStr">
        <is>
          <t>2066-07-06</t>
        </is>
      </c>
    </row>
    <row r="60871">
      <c r="A60871" s="1" t="n">
        <v>60870</v>
      </c>
      <c r="B60871">
        <f>TEXT(60870, "[$-0E0000]yyyy-mm-dd")</f>
        <v/>
      </c>
      <c r="C60871" t="inlineStr">
        <is>
          <t>2066-07-07</t>
        </is>
      </c>
    </row>
    <row r="60872">
      <c r="A60872" s="1" t="n">
        <v>60871</v>
      </c>
      <c r="B60872">
        <f>TEXT(60871, "[$-0E0000]yyyy-mm-dd")</f>
        <v/>
      </c>
      <c r="C60872" t="inlineStr">
        <is>
          <t>2066-07-08</t>
        </is>
      </c>
    </row>
    <row r="60873">
      <c r="A60873" s="1" t="n">
        <v>60872</v>
      </c>
      <c r="B60873">
        <f>TEXT(60872, "[$-0E0000]yyyy-mm-dd")</f>
        <v/>
      </c>
      <c r="C60873" t="inlineStr">
        <is>
          <t>2066-07-09</t>
        </is>
      </c>
    </row>
    <row r="60874">
      <c r="A60874" s="1" t="n">
        <v>60873</v>
      </c>
      <c r="B60874">
        <f>TEXT(60873, "[$-0E0000]yyyy-mm-dd")</f>
        <v/>
      </c>
      <c r="C60874" t="inlineStr">
        <is>
          <t>2066-07-10</t>
        </is>
      </c>
    </row>
    <row r="60875">
      <c r="A60875" s="1" t="n">
        <v>60874</v>
      </c>
      <c r="B60875">
        <f>TEXT(60874, "[$-0E0000]yyyy-mm-dd")</f>
        <v/>
      </c>
      <c r="C60875" t="inlineStr">
        <is>
          <t>2066-07-11</t>
        </is>
      </c>
    </row>
    <row r="60876">
      <c r="A60876" s="1" t="n">
        <v>60875</v>
      </c>
      <c r="B60876">
        <f>TEXT(60875, "[$-0E0000]yyyy-mm-dd")</f>
        <v/>
      </c>
      <c r="C60876" t="inlineStr">
        <is>
          <t>2066-07-12</t>
        </is>
      </c>
    </row>
    <row r="60877">
      <c r="A60877" s="1" t="n">
        <v>60876</v>
      </c>
      <c r="B60877">
        <f>TEXT(60876, "[$-0E0000]yyyy-mm-dd")</f>
        <v/>
      </c>
      <c r="C60877" t="inlineStr">
        <is>
          <t>2066-07-13</t>
        </is>
      </c>
    </row>
    <row r="60878">
      <c r="A60878" s="1" t="n">
        <v>60877</v>
      </c>
      <c r="B60878">
        <f>TEXT(60877, "[$-0E0000]yyyy-mm-dd")</f>
        <v/>
      </c>
      <c r="C60878" t="inlineStr">
        <is>
          <t>2066-07-14</t>
        </is>
      </c>
    </row>
    <row r="60879">
      <c r="A60879" s="1" t="n">
        <v>60878</v>
      </c>
      <c r="B60879">
        <f>TEXT(60878, "[$-0E0000]yyyy-mm-dd")</f>
        <v/>
      </c>
      <c r="C60879" t="inlineStr">
        <is>
          <t>2066-07-15</t>
        </is>
      </c>
    </row>
    <row r="60880">
      <c r="A60880" s="1" t="n">
        <v>60879</v>
      </c>
      <c r="B60880">
        <f>TEXT(60879, "[$-0E0000]yyyy-mm-dd")</f>
        <v/>
      </c>
      <c r="C60880" t="inlineStr">
        <is>
          <t>2066-07-16</t>
        </is>
      </c>
    </row>
    <row r="60881">
      <c r="A60881" s="1" t="n">
        <v>60880</v>
      </c>
      <c r="B60881">
        <f>TEXT(60880, "[$-0E0000]yyyy-mm-dd")</f>
        <v/>
      </c>
      <c r="C60881" t="inlineStr">
        <is>
          <t>2066-07-17</t>
        </is>
      </c>
    </row>
    <row r="60882">
      <c r="A60882" s="1" t="n">
        <v>60881</v>
      </c>
      <c r="B60882">
        <f>TEXT(60881, "[$-0E0000]yyyy-mm-dd")</f>
        <v/>
      </c>
      <c r="C60882" t="inlineStr">
        <is>
          <t>2066-07-18</t>
        </is>
      </c>
    </row>
    <row r="60883">
      <c r="A60883" s="1" t="n">
        <v>60882</v>
      </c>
      <c r="B60883">
        <f>TEXT(60882, "[$-0E0000]yyyy-mm-dd")</f>
        <v/>
      </c>
      <c r="C60883" t="inlineStr">
        <is>
          <t>2066-07-19</t>
        </is>
      </c>
    </row>
    <row r="60884">
      <c r="A60884" s="1" t="n">
        <v>60883</v>
      </c>
      <c r="B60884">
        <f>TEXT(60883, "[$-0E0000]yyyy-mm-dd")</f>
        <v/>
      </c>
      <c r="C60884" t="inlineStr">
        <is>
          <t>2066-07-20</t>
        </is>
      </c>
    </row>
    <row r="60885">
      <c r="A60885" s="1" t="n">
        <v>60884</v>
      </c>
      <c r="B60885">
        <f>TEXT(60884, "[$-0E0000]yyyy-mm-dd")</f>
        <v/>
      </c>
      <c r="C60885" t="inlineStr">
        <is>
          <t>2066-07-21</t>
        </is>
      </c>
    </row>
    <row r="60886">
      <c r="A60886" s="1" t="n">
        <v>60885</v>
      </c>
      <c r="B60886">
        <f>TEXT(60885, "[$-0E0000]yyyy-mm-dd")</f>
        <v/>
      </c>
      <c r="C60886" t="inlineStr">
        <is>
          <t>2066-07-22</t>
        </is>
      </c>
    </row>
    <row r="60887">
      <c r="A60887" s="1" t="n">
        <v>60886</v>
      </c>
      <c r="B60887">
        <f>TEXT(60886, "[$-0E0000]yyyy-mm-dd")</f>
        <v/>
      </c>
      <c r="C60887" t="inlineStr">
        <is>
          <t>2066-07-23</t>
        </is>
      </c>
    </row>
    <row r="60888">
      <c r="A60888" s="1" t="n">
        <v>60887</v>
      </c>
      <c r="B60888">
        <f>TEXT(60887, "[$-0E0000]yyyy-mm-dd")</f>
        <v/>
      </c>
      <c r="C60888" t="inlineStr">
        <is>
          <t>2066-07-24</t>
        </is>
      </c>
    </row>
    <row r="60889">
      <c r="A60889" s="1" t="n">
        <v>60888</v>
      </c>
      <c r="B60889">
        <f>TEXT(60888, "[$-0E0000]yyyy-mm-dd")</f>
        <v/>
      </c>
      <c r="C60889" t="inlineStr">
        <is>
          <t>2066-07-25</t>
        </is>
      </c>
    </row>
    <row r="60890">
      <c r="A60890" s="1" t="n">
        <v>60889</v>
      </c>
      <c r="B60890">
        <f>TEXT(60889, "[$-0E0000]yyyy-mm-dd")</f>
        <v/>
      </c>
      <c r="C60890" t="inlineStr">
        <is>
          <t>2066-07-26</t>
        </is>
      </c>
    </row>
    <row r="60891">
      <c r="A60891" s="1" t="n">
        <v>60890</v>
      </c>
      <c r="B60891">
        <f>TEXT(60890, "[$-0E0000]yyyy-mm-dd")</f>
        <v/>
      </c>
      <c r="C60891" t="inlineStr">
        <is>
          <t>2066-07-27</t>
        </is>
      </c>
    </row>
    <row r="60892">
      <c r="A60892" s="1" t="n">
        <v>60891</v>
      </c>
      <c r="B60892">
        <f>TEXT(60891, "[$-0E0000]yyyy-mm-dd")</f>
        <v/>
      </c>
      <c r="C60892" t="inlineStr">
        <is>
          <t>2066-07-28</t>
        </is>
      </c>
    </row>
    <row r="60893">
      <c r="A60893" s="1" t="n">
        <v>60892</v>
      </c>
      <c r="B60893">
        <f>TEXT(60892, "[$-0E0000]yyyy-mm-dd")</f>
        <v/>
      </c>
      <c r="C60893" t="inlineStr">
        <is>
          <t>2066-07-29</t>
        </is>
      </c>
    </row>
    <row r="60894">
      <c r="A60894" s="1" t="n">
        <v>60893</v>
      </c>
      <c r="B60894">
        <f>TEXT(60893, "[$-0E0000]yyyy-mm-dd")</f>
        <v/>
      </c>
      <c r="C60894" t="inlineStr">
        <is>
          <t>2066-08-01</t>
        </is>
      </c>
    </row>
    <row r="60895">
      <c r="A60895" s="1" t="n">
        <v>60894</v>
      </c>
      <c r="B60895">
        <f>TEXT(60894, "[$-0E0000]yyyy-mm-dd")</f>
        <v/>
      </c>
      <c r="C60895" t="inlineStr">
        <is>
          <t>2066-08-02</t>
        </is>
      </c>
    </row>
    <row r="60896">
      <c r="A60896" s="1" t="n">
        <v>60895</v>
      </c>
      <c r="B60896">
        <f>TEXT(60895, "[$-0E0000]yyyy-mm-dd")</f>
        <v/>
      </c>
      <c r="C60896" t="inlineStr">
        <is>
          <t>2066-08-03</t>
        </is>
      </c>
    </row>
    <row r="60897">
      <c r="A60897" s="1" t="n">
        <v>60896</v>
      </c>
      <c r="B60897">
        <f>TEXT(60896, "[$-0E0000]yyyy-mm-dd")</f>
        <v/>
      </c>
      <c r="C60897" t="inlineStr">
        <is>
          <t>2066-08-04</t>
        </is>
      </c>
    </row>
    <row r="60898">
      <c r="A60898" s="1" t="n">
        <v>60897</v>
      </c>
      <c r="B60898">
        <f>TEXT(60897, "[$-0E0000]yyyy-mm-dd")</f>
        <v/>
      </c>
      <c r="C60898" t="inlineStr">
        <is>
          <t>2066-08-05</t>
        </is>
      </c>
    </row>
    <row r="60899">
      <c r="A60899" s="1" t="n">
        <v>60898</v>
      </c>
      <c r="B60899">
        <f>TEXT(60898, "[$-0E0000]yyyy-mm-dd")</f>
        <v/>
      </c>
      <c r="C60899" t="inlineStr">
        <is>
          <t>2066-08-06</t>
        </is>
      </c>
    </row>
    <row r="60900">
      <c r="A60900" s="1" t="n">
        <v>60899</v>
      </c>
      <c r="B60900">
        <f>TEXT(60899, "[$-0E0000]yyyy-mm-dd")</f>
        <v/>
      </c>
      <c r="C60900" t="inlineStr">
        <is>
          <t>2066-08-07</t>
        </is>
      </c>
    </row>
    <row r="60901">
      <c r="A60901" s="1" t="n">
        <v>60900</v>
      </c>
      <c r="B60901">
        <f>TEXT(60900, "[$-0E0000]yyyy-mm-dd")</f>
        <v/>
      </c>
      <c r="C60901" t="inlineStr">
        <is>
          <t>2066-08-08</t>
        </is>
      </c>
    </row>
    <row r="60902">
      <c r="A60902" s="1" t="n">
        <v>60901</v>
      </c>
      <c r="B60902">
        <f>TEXT(60901, "[$-0E0000]yyyy-mm-dd")</f>
        <v/>
      </c>
      <c r="C60902" t="inlineStr">
        <is>
          <t>2066-08-09</t>
        </is>
      </c>
    </row>
    <row r="60903">
      <c r="A60903" s="1" t="n">
        <v>60902</v>
      </c>
      <c r="B60903">
        <f>TEXT(60902, "[$-0E0000]yyyy-mm-dd")</f>
        <v/>
      </c>
      <c r="C60903" t="inlineStr">
        <is>
          <t>2066-08-10</t>
        </is>
      </c>
    </row>
    <row r="60904">
      <c r="A60904" s="1" t="n">
        <v>60903</v>
      </c>
      <c r="B60904">
        <f>TEXT(60903, "[$-0E0000]yyyy-mm-dd")</f>
        <v/>
      </c>
      <c r="C60904" t="inlineStr">
        <is>
          <t>2066-08-11</t>
        </is>
      </c>
    </row>
    <row r="60905">
      <c r="A60905" s="1" t="n">
        <v>60904</v>
      </c>
      <c r="B60905">
        <f>TEXT(60904, "[$-0E0000]yyyy-mm-dd")</f>
        <v/>
      </c>
      <c r="C60905" t="inlineStr">
        <is>
          <t>2066-08-12</t>
        </is>
      </c>
    </row>
    <row r="60906">
      <c r="A60906" s="1" t="n">
        <v>60905</v>
      </c>
      <c r="B60906">
        <f>TEXT(60905, "[$-0E0000]yyyy-mm-dd")</f>
        <v/>
      </c>
      <c r="C60906" t="inlineStr">
        <is>
          <t>2066-08-13</t>
        </is>
      </c>
    </row>
    <row r="60907">
      <c r="A60907" s="1" t="n">
        <v>60906</v>
      </c>
      <c r="B60907">
        <f>TEXT(60906, "[$-0E0000]yyyy-mm-dd")</f>
        <v/>
      </c>
      <c r="C60907" t="inlineStr">
        <is>
          <t>2066-08-14</t>
        </is>
      </c>
    </row>
    <row r="60908">
      <c r="A60908" s="1" t="n">
        <v>60907</v>
      </c>
      <c r="B60908">
        <f>TEXT(60907, "[$-0E0000]yyyy-mm-dd")</f>
        <v/>
      </c>
      <c r="C60908" t="inlineStr">
        <is>
          <t>2066-08-15</t>
        </is>
      </c>
    </row>
    <row r="60909">
      <c r="A60909" s="1" t="n">
        <v>60908</v>
      </c>
      <c r="B60909">
        <f>TEXT(60908, "[$-0E0000]yyyy-mm-dd")</f>
        <v/>
      </c>
      <c r="C60909" t="inlineStr">
        <is>
          <t>2066-08-16</t>
        </is>
      </c>
    </row>
    <row r="60910">
      <c r="A60910" s="1" t="n">
        <v>60909</v>
      </c>
      <c r="B60910">
        <f>TEXT(60909, "[$-0E0000]yyyy-mm-dd")</f>
        <v/>
      </c>
      <c r="C60910" t="inlineStr">
        <is>
          <t>2066-08-17</t>
        </is>
      </c>
    </row>
    <row r="60911">
      <c r="A60911" s="1" t="n">
        <v>60910</v>
      </c>
      <c r="B60911">
        <f>TEXT(60910, "[$-0E0000]yyyy-mm-dd")</f>
        <v/>
      </c>
      <c r="C60911" t="inlineStr">
        <is>
          <t>2066-08-18</t>
        </is>
      </c>
    </row>
    <row r="60912">
      <c r="A60912" s="1" t="n">
        <v>60911</v>
      </c>
      <c r="B60912">
        <f>TEXT(60911, "[$-0E0000]yyyy-mm-dd")</f>
        <v/>
      </c>
      <c r="C60912" t="inlineStr">
        <is>
          <t>2066-08-19</t>
        </is>
      </c>
    </row>
    <row r="60913">
      <c r="A60913" s="1" t="n">
        <v>60912</v>
      </c>
      <c r="B60913">
        <f>TEXT(60912, "[$-0E0000]yyyy-mm-dd")</f>
        <v/>
      </c>
      <c r="C60913" t="inlineStr">
        <is>
          <t>2066-08-20</t>
        </is>
      </c>
    </row>
    <row r="60914">
      <c r="A60914" s="1" t="n">
        <v>60913</v>
      </c>
      <c r="B60914">
        <f>TEXT(60913, "[$-0E0000]yyyy-mm-dd")</f>
        <v/>
      </c>
      <c r="C60914" t="inlineStr">
        <is>
          <t>2066-08-21</t>
        </is>
      </c>
    </row>
    <row r="60915">
      <c r="A60915" s="1" t="n">
        <v>60914</v>
      </c>
      <c r="B60915">
        <f>TEXT(60914, "[$-0E0000]yyyy-mm-dd")</f>
        <v/>
      </c>
      <c r="C60915" t="inlineStr">
        <is>
          <t>2066-08-22</t>
        </is>
      </c>
    </row>
    <row r="60916">
      <c r="A60916" s="1" t="n">
        <v>60915</v>
      </c>
      <c r="B60916">
        <f>TEXT(60915, "[$-0E0000]yyyy-mm-dd")</f>
        <v/>
      </c>
      <c r="C60916" t="inlineStr">
        <is>
          <t>2066-08-23</t>
        </is>
      </c>
    </row>
    <row r="60917">
      <c r="A60917" s="1" t="n">
        <v>60916</v>
      </c>
      <c r="B60917">
        <f>TEXT(60916, "[$-0E0000]yyyy-mm-dd")</f>
        <v/>
      </c>
      <c r="C60917" t="inlineStr">
        <is>
          <t>2066-08-24</t>
        </is>
      </c>
    </row>
    <row r="60918">
      <c r="A60918" s="1" t="n">
        <v>60917</v>
      </c>
      <c r="B60918">
        <f>TEXT(60917, "[$-0E0000]yyyy-mm-dd")</f>
        <v/>
      </c>
      <c r="C60918" t="inlineStr">
        <is>
          <t>2066-08-25</t>
        </is>
      </c>
    </row>
    <row r="60919">
      <c r="A60919" s="1" t="n">
        <v>60918</v>
      </c>
      <c r="B60919">
        <f>TEXT(60918, "[$-0E0000]yyyy-mm-dd")</f>
        <v/>
      </c>
      <c r="C60919" t="inlineStr">
        <is>
          <t>2066-08-26</t>
        </is>
      </c>
    </row>
    <row r="60920">
      <c r="A60920" s="1" t="n">
        <v>60919</v>
      </c>
      <c r="B60920">
        <f>TEXT(60919, "[$-0E0000]yyyy-mm-dd")</f>
        <v/>
      </c>
      <c r="C60920" t="inlineStr">
        <is>
          <t>2066-08-27</t>
        </is>
      </c>
    </row>
    <row r="60921">
      <c r="A60921" s="1" t="n">
        <v>60920</v>
      </c>
      <c r="B60921">
        <f>TEXT(60920, "[$-0E0000]yyyy-mm-dd")</f>
        <v/>
      </c>
      <c r="C60921" t="inlineStr">
        <is>
          <t>2066-08-28</t>
        </is>
      </c>
    </row>
    <row r="60922">
      <c r="A60922" s="1" t="n">
        <v>60921</v>
      </c>
      <c r="B60922">
        <f>TEXT(60921, "[$-0E0000]yyyy-mm-dd")</f>
        <v/>
      </c>
      <c r="C60922" t="inlineStr">
        <is>
          <t>2066-08-29</t>
        </is>
      </c>
    </row>
    <row r="60923">
      <c r="A60923" s="1" t="n">
        <v>60922</v>
      </c>
      <c r="B60923">
        <f>TEXT(60922, "[$-0E0000]yyyy-mm-dd")</f>
        <v/>
      </c>
      <c r="C60923" t="inlineStr">
        <is>
          <t>2066-08-30</t>
        </is>
      </c>
    </row>
    <row r="60924">
      <c r="A60924" s="1" t="n">
        <v>60923</v>
      </c>
      <c r="B60924">
        <f>TEXT(60923, "[$-0E0000]yyyy-mm-dd")</f>
        <v/>
      </c>
      <c r="C60924" t="inlineStr">
        <is>
          <t>2066-09-01</t>
        </is>
      </c>
    </row>
    <row r="60925">
      <c r="A60925" s="1" t="n">
        <v>60924</v>
      </c>
      <c r="B60925">
        <f>TEXT(60924, "[$-0E0000]yyyy-mm-dd")</f>
        <v/>
      </c>
      <c r="C60925" t="inlineStr">
        <is>
          <t>2066-09-02</t>
        </is>
      </c>
    </row>
    <row r="60926">
      <c r="A60926" s="1" t="n">
        <v>60925</v>
      </c>
      <c r="B60926">
        <f>TEXT(60925, "[$-0E0000]yyyy-mm-dd")</f>
        <v/>
      </c>
      <c r="C60926" t="inlineStr">
        <is>
          <t>2066-09-03</t>
        </is>
      </c>
    </row>
    <row r="60927">
      <c r="A60927" s="1" t="n">
        <v>60926</v>
      </c>
      <c r="B60927">
        <f>TEXT(60926, "[$-0E0000]yyyy-mm-dd")</f>
        <v/>
      </c>
      <c r="C60927" t="inlineStr">
        <is>
          <t>2066-09-04</t>
        </is>
      </c>
    </row>
    <row r="60928">
      <c r="A60928" s="1" t="n">
        <v>60927</v>
      </c>
      <c r="B60928">
        <f>TEXT(60927, "[$-0E0000]yyyy-mm-dd")</f>
        <v/>
      </c>
      <c r="C60928" t="inlineStr">
        <is>
          <t>2066-09-05</t>
        </is>
      </c>
    </row>
    <row r="60929">
      <c r="A60929" s="1" t="n">
        <v>60928</v>
      </c>
      <c r="B60929">
        <f>TEXT(60928, "[$-0E0000]yyyy-mm-dd")</f>
        <v/>
      </c>
      <c r="C60929" t="inlineStr">
        <is>
          <t>2066-09-06</t>
        </is>
      </c>
    </row>
    <row r="60930">
      <c r="A60930" s="1" t="n">
        <v>60929</v>
      </c>
      <c r="B60930">
        <f>TEXT(60929, "[$-0E0000]yyyy-mm-dd")</f>
        <v/>
      </c>
      <c r="C60930" t="inlineStr">
        <is>
          <t>2066-09-07</t>
        </is>
      </c>
    </row>
    <row r="60931">
      <c r="A60931" s="1" t="n">
        <v>60930</v>
      </c>
      <c r="B60931">
        <f>TEXT(60930, "[$-0E0000]yyyy-mm-dd")</f>
        <v/>
      </c>
      <c r="C60931" t="inlineStr">
        <is>
          <t>2066-09-08</t>
        </is>
      </c>
    </row>
    <row r="60932">
      <c r="A60932" s="1" t="n">
        <v>60931</v>
      </c>
      <c r="B60932">
        <f>TEXT(60931, "[$-0E0000]yyyy-mm-dd")</f>
        <v/>
      </c>
      <c r="C60932" t="inlineStr">
        <is>
          <t>2066-09-09</t>
        </is>
      </c>
    </row>
    <row r="60933">
      <c r="A60933" s="1" t="n">
        <v>60932</v>
      </c>
      <c r="B60933">
        <f>TEXT(60932, "[$-0E0000]yyyy-mm-dd")</f>
        <v/>
      </c>
      <c r="C60933" t="inlineStr">
        <is>
          <t>2066-09-10</t>
        </is>
      </c>
    </row>
    <row r="60934">
      <c r="A60934" s="1" t="n">
        <v>60933</v>
      </c>
      <c r="B60934">
        <f>TEXT(60933, "[$-0E0000]yyyy-mm-dd")</f>
        <v/>
      </c>
      <c r="C60934" t="inlineStr">
        <is>
          <t>2066-09-11</t>
        </is>
      </c>
    </row>
    <row r="60935">
      <c r="A60935" s="1" t="n">
        <v>60934</v>
      </c>
      <c r="B60935">
        <f>TEXT(60934, "[$-0E0000]yyyy-mm-dd")</f>
        <v/>
      </c>
      <c r="C60935" t="inlineStr">
        <is>
          <t>2066-09-12</t>
        </is>
      </c>
    </row>
    <row r="60936">
      <c r="A60936" s="1" t="n">
        <v>60935</v>
      </c>
      <c r="B60936">
        <f>TEXT(60935, "[$-0E0000]yyyy-mm-dd")</f>
        <v/>
      </c>
      <c r="C60936" t="inlineStr">
        <is>
          <t>2066-09-13</t>
        </is>
      </c>
    </row>
    <row r="60937">
      <c r="A60937" s="1" t="n">
        <v>60936</v>
      </c>
      <c r="B60937">
        <f>TEXT(60936, "[$-0E0000]yyyy-mm-dd")</f>
        <v/>
      </c>
      <c r="C60937" t="inlineStr">
        <is>
          <t>2066-09-14</t>
        </is>
      </c>
    </row>
    <row r="60938">
      <c r="A60938" s="1" t="n">
        <v>60937</v>
      </c>
      <c r="B60938">
        <f>TEXT(60937, "[$-0E0000]yyyy-mm-dd")</f>
        <v/>
      </c>
      <c r="C60938" t="inlineStr">
        <is>
          <t>2066-09-15</t>
        </is>
      </c>
    </row>
    <row r="60939">
      <c r="A60939" s="1" t="n">
        <v>60938</v>
      </c>
      <c r="B60939">
        <f>TEXT(60938, "[$-0E0000]yyyy-mm-dd")</f>
        <v/>
      </c>
      <c r="C60939" t="inlineStr">
        <is>
          <t>2066-09-16</t>
        </is>
      </c>
    </row>
    <row r="60940">
      <c r="A60940" s="1" t="n">
        <v>60939</v>
      </c>
      <c r="B60940">
        <f>TEXT(60939, "[$-0E0000]yyyy-mm-dd")</f>
        <v/>
      </c>
      <c r="C60940" t="inlineStr">
        <is>
          <t>2066-09-17</t>
        </is>
      </c>
    </row>
    <row r="60941">
      <c r="A60941" s="1" t="n">
        <v>60940</v>
      </c>
      <c r="B60941">
        <f>TEXT(60940, "[$-0E0000]yyyy-mm-dd")</f>
        <v/>
      </c>
      <c r="C60941" t="inlineStr">
        <is>
          <t>2066-09-18</t>
        </is>
      </c>
    </row>
    <row r="60942">
      <c r="A60942" s="1" t="n">
        <v>60941</v>
      </c>
      <c r="B60942">
        <f>TEXT(60941, "[$-0E0000]yyyy-mm-dd")</f>
        <v/>
      </c>
      <c r="C60942" t="inlineStr">
        <is>
          <t>2066-09-19</t>
        </is>
      </c>
    </row>
    <row r="60943">
      <c r="A60943" s="1" t="n">
        <v>60942</v>
      </c>
      <c r="B60943">
        <f>TEXT(60942, "[$-0E0000]yyyy-mm-dd")</f>
        <v/>
      </c>
      <c r="C60943" t="inlineStr">
        <is>
          <t>2066-09-20</t>
        </is>
      </c>
    </row>
    <row r="60944">
      <c r="A60944" s="1" t="n">
        <v>60943</v>
      </c>
      <c r="B60944">
        <f>TEXT(60943, "[$-0E0000]yyyy-mm-dd")</f>
        <v/>
      </c>
      <c r="C60944" t="inlineStr">
        <is>
          <t>2066-09-21</t>
        </is>
      </c>
    </row>
    <row r="60945">
      <c r="A60945" s="1" t="n">
        <v>60944</v>
      </c>
      <c r="B60945">
        <f>TEXT(60944, "[$-0E0000]yyyy-mm-dd")</f>
        <v/>
      </c>
      <c r="C60945" t="inlineStr">
        <is>
          <t>2066-09-22</t>
        </is>
      </c>
    </row>
    <row r="60946">
      <c r="A60946" s="1" t="n">
        <v>60945</v>
      </c>
      <c r="B60946">
        <f>TEXT(60945, "[$-0E0000]yyyy-mm-dd")</f>
        <v/>
      </c>
      <c r="C60946" t="inlineStr">
        <is>
          <t>2066-09-23</t>
        </is>
      </c>
    </row>
    <row r="60947">
      <c r="A60947" s="1" t="n">
        <v>60946</v>
      </c>
      <c r="B60947">
        <f>TEXT(60946, "[$-0E0000]yyyy-mm-dd")</f>
        <v/>
      </c>
      <c r="C60947" t="inlineStr">
        <is>
          <t>2066-09-24</t>
        </is>
      </c>
    </row>
    <row r="60948">
      <c r="A60948" s="1" t="n">
        <v>60947</v>
      </c>
      <c r="B60948">
        <f>TEXT(60947, "[$-0E0000]yyyy-mm-dd")</f>
        <v/>
      </c>
      <c r="C60948" t="inlineStr">
        <is>
          <t>2066-09-25</t>
        </is>
      </c>
    </row>
    <row r="60949">
      <c r="A60949" s="1" t="n">
        <v>60948</v>
      </c>
      <c r="B60949">
        <f>TEXT(60948, "[$-0E0000]yyyy-mm-dd")</f>
        <v/>
      </c>
      <c r="C60949" t="inlineStr">
        <is>
          <t>2066-09-26</t>
        </is>
      </c>
    </row>
    <row r="60950">
      <c r="A60950" s="1" t="n">
        <v>60949</v>
      </c>
      <c r="B60950">
        <f>TEXT(60949, "[$-0E0000]yyyy-mm-dd")</f>
        <v/>
      </c>
      <c r="C60950" t="inlineStr">
        <is>
          <t>2066-09-27</t>
        </is>
      </c>
    </row>
    <row r="60951">
      <c r="A60951" s="1" t="n">
        <v>60950</v>
      </c>
      <c r="B60951">
        <f>TEXT(60950, "[$-0E0000]yyyy-mm-dd")</f>
        <v/>
      </c>
      <c r="C60951" t="inlineStr">
        <is>
          <t>2066-09-28</t>
        </is>
      </c>
    </row>
    <row r="60952">
      <c r="A60952" s="1" t="n">
        <v>60951</v>
      </c>
      <c r="B60952">
        <f>TEXT(60951, "[$-0E0000]yyyy-mm-dd")</f>
        <v/>
      </c>
      <c r="C60952" t="inlineStr">
        <is>
          <t>2066-09-29</t>
        </is>
      </c>
    </row>
    <row r="60953">
      <c r="A60953" s="1" t="n">
        <v>60952</v>
      </c>
      <c r="B60953">
        <f>TEXT(60952, "[$-0E0000]yyyy-mm-dd")</f>
        <v/>
      </c>
      <c r="C60953" t="inlineStr">
        <is>
          <t>2066-10-01</t>
        </is>
      </c>
    </row>
    <row r="60954">
      <c r="A60954" s="1" t="n">
        <v>60953</v>
      </c>
      <c r="B60954">
        <f>TEXT(60953, "[$-0E0000]yyyy-mm-dd")</f>
        <v/>
      </c>
      <c r="C60954" t="inlineStr">
        <is>
          <t>2066-10-02</t>
        </is>
      </c>
    </row>
    <row r="60955">
      <c r="A60955" s="1" t="n">
        <v>60954</v>
      </c>
      <c r="B60955">
        <f>TEXT(60954, "[$-0E0000]yyyy-mm-dd")</f>
        <v/>
      </c>
      <c r="C60955" t="inlineStr">
        <is>
          <t>2066-10-03</t>
        </is>
      </c>
    </row>
    <row r="60956">
      <c r="A60956" s="1" t="n">
        <v>60955</v>
      </c>
      <c r="B60956">
        <f>TEXT(60955, "[$-0E0000]yyyy-mm-dd")</f>
        <v/>
      </c>
      <c r="C60956" t="inlineStr">
        <is>
          <t>2066-10-04</t>
        </is>
      </c>
    </row>
    <row r="60957">
      <c r="A60957" s="1" t="n">
        <v>60956</v>
      </c>
      <c r="B60957">
        <f>TEXT(60956, "[$-0E0000]yyyy-mm-dd")</f>
        <v/>
      </c>
      <c r="C60957" t="inlineStr">
        <is>
          <t>2066-10-05</t>
        </is>
      </c>
    </row>
    <row r="60958">
      <c r="A60958" s="1" t="n">
        <v>60957</v>
      </c>
      <c r="B60958">
        <f>TEXT(60957, "[$-0E0000]yyyy-mm-dd")</f>
        <v/>
      </c>
      <c r="C60958" t="inlineStr">
        <is>
          <t>2066-10-06</t>
        </is>
      </c>
    </row>
    <row r="60959">
      <c r="A60959" s="1" t="n">
        <v>60958</v>
      </c>
      <c r="B60959">
        <f>TEXT(60958, "[$-0E0000]yyyy-mm-dd")</f>
        <v/>
      </c>
      <c r="C60959" t="inlineStr">
        <is>
          <t>2066-10-07</t>
        </is>
      </c>
    </row>
    <row r="60960">
      <c r="A60960" s="1" t="n">
        <v>60959</v>
      </c>
      <c r="B60960">
        <f>TEXT(60959, "[$-0E0000]yyyy-mm-dd")</f>
        <v/>
      </c>
      <c r="C60960" t="inlineStr">
        <is>
          <t>2066-10-08</t>
        </is>
      </c>
    </row>
    <row r="60961">
      <c r="A60961" s="1" t="n">
        <v>60960</v>
      </c>
      <c r="B60961">
        <f>TEXT(60960, "[$-0E0000]yyyy-mm-dd")</f>
        <v/>
      </c>
      <c r="C60961" t="inlineStr">
        <is>
          <t>2066-10-09</t>
        </is>
      </c>
    </row>
    <row r="60962">
      <c r="A60962" s="1" t="n">
        <v>60961</v>
      </c>
      <c r="B60962">
        <f>TEXT(60961, "[$-0E0000]yyyy-mm-dd")</f>
        <v/>
      </c>
      <c r="C60962" t="inlineStr">
        <is>
          <t>2066-10-10</t>
        </is>
      </c>
    </row>
    <row r="60963">
      <c r="A60963" s="1" t="n">
        <v>60962</v>
      </c>
      <c r="B60963">
        <f>TEXT(60962, "[$-0E0000]yyyy-mm-dd")</f>
        <v/>
      </c>
      <c r="C60963" t="inlineStr">
        <is>
          <t>2066-10-11</t>
        </is>
      </c>
    </row>
    <row r="60964">
      <c r="A60964" s="1" t="n">
        <v>60963</v>
      </c>
      <c r="B60964">
        <f>TEXT(60963, "[$-0E0000]yyyy-mm-dd")</f>
        <v/>
      </c>
      <c r="C60964" t="inlineStr">
        <is>
          <t>2066-10-12</t>
        </is>
      </c>
    </row>
    <row r="60965">
      <c r="A60965" s="1" t="n">
        <v>60964</v>
      </c>
      <c r="B60965">
        <f>TEXT(60964, "[$-0E0000]yyyy-mm-dd")</f>
        <v/>
      </c>
      <c r="C60965" t="inlineStr">
        <is>
          <t>2066-10-13</t>
        </is>
      </c>
    </row>
    <row r="60966">
      <c r="A60966" s="1" t="n">
        <v>60965</v>
      </c>
      <c r="B60966">
        <f>TEXT(60965, "[$-0E0000]yyyy-mm-dd")</f>
        <v/>
      </c>
      <c r="C60966" t="inlineStr">
        <is>
          <t>2066-10-14</t>
        </is>
      </c>
    </row>
    <row r="60967">
      <c r="A60967" s="1" t="n">
        <v>60966</v>
      </c>
      <c r="B60967">
        <f>TEXT(60966, "[$-0E0000]yyyy-mm-dd")</f>
        <v/>
      </c>
      <c r="C60967" t="inlineStr">
        <is>
          <t>2066-10-15</t>
        </is>
      </c>
    </row>
    <row r="60968">
      <c r="A60968" s="1" t="n">
        <v>60967</v>
      </c>
      <c r="B60968">
        <f>TEXT(60967, "[$-0E0000]yyyy-mm-dd")</f>
        <v/>
      </c>
      <c r="C60968" t="inlineStr">
        <is>
          <t>2066-10-16</t>
        </is>
      </c>
    </row>
    <row r="60969">
      <c r="A60969" s="1" t="n">
        <v>60968</v>
      </c>
      <c r="B60969">
        <f>TEXT(60968, "[$-0E0000]yyyy-mm-dd")</f>
        <v/>
      </c>
      <c r="C60969" t="inlineStr">
        <is>
          <t>2066-10-17</t>
        </is>
      </c>
    </row>
    <row r="60970">
      <c r="A60970" s="1" t="n">
        <v>60969</v>
      </c>
      <c r="B60970">
        <f>TEXT(60969, "[$-0E0000]yyyy-mm-dd")</f>
        <v/>
      </c>
      <c r="C60970" t="inlineStr">
        <is>
          <t>2066-10-18</t>
        </is>
      </c>
    </row>
    <row r="60971">
      <c r="A60971" s="1" t="n">
        <v>60970</v>
      </c>
      <c r="B60971">
        <f>TEXT(60970, "[$-0E0000]yyyy-mm-dd")</f>
        <v/>
      </c>
      <c r="C60971" t="inlineStr">
        <is>
          <t>2066-10-19</t>
        </is>
      </c>
    </row>
    <row r="60972">
      <c r="A60972" s="1" t="n">
        <v>60971</v>
      </c>
      <c r="B60972">
        <f>TEXT(60971, "[$-0E0000]yyyy-mm-dd")</f>
        <v/>
      </c>
      <c r="C60972" t="inlineStr">
        <is>
          <t>2066-10-20</t>
        </is>
      </c>
    </row>
    <row r="60973">
      <c r="A60973" s="1" t="n">
        <v>60972</v>
      </c>
      <c r="B60973">
        <f>TEXT(60972, "[$-0E0000]yyyy-mm-dd")</f>
        <v/>
      </c>
      <c r="C60973" t="inlineStr">
        <is>
          <t>2066-10-21</t>
        </is>
      </c>
    </row>
    <row r="60974">
      <c r="A60974" s="1" t="n">
        <v>60973</v>
      </c>
      <c r="B60974">
        <f>TEXT(60973, "[$-0E0000]yyyy-mm-dd")</f>
        <v/>
      </c>
      <c r="C60974" t="inlineStr">
        <is>
          <t>2066-10-22</t>
        </is>
      </c>
    </row>
    <row r="60975">
      <c r="A60975" s="1" t="n">
        <v>60974</v>
      </c>
      <c r="B60975">
        <f>TEXT(60974, "[$-0E0000]yyyy-mm-dd")</f>
        <v/>
      </c>
      <c r="C60975" t="inlineStr">
        <is>
          <t>2066-10-23</t>
        </is>
      </c>
    </row>
    <row r="60976">
      <c r="A60976" s="1" t="n">
        <v>60975</v>
      </c>
      <c r="B60976">
        <f>TEXT(60975, "[$-0E0000]yyyy-mm-dd")</f>
        <v/>
      </c>
      <c r="C60976" t="inlineStr">
        <is>
          <t>2066-10-24</t>
        </is>
      </c>
    </row>
    <row r="60977">
      <c r="A60977" s="1" t="n">
        <v>60976</v>
      </c>
      <c r="B60977">
        <f>TEXT(60976, "[$-0E0000]yyyy-mm-dd")</f>
        <v/>
      </c>
      <c r="C60977" t="inlineStr">
        <is>
          <t>2066-10-25</t>
        </is>
      </c>
    </row>
    <row r="60978">
      <c r="A60978" s="1" t="n">
        <v>60977</v>
      </c>
      <c r="B60978">
        <f>TEXT(60977, "[$-0E0000]yyyy-mm-dd")</f>
        <v/>
      </c>
      <c r="C60978" t="inlineStr">
        <is>
          <t>2066-10-26</t>
        </is>
      </c>
    </row>
    <row r="60979">
      <c r="A60979" s="1" t="n">
        <v>60978</v>
      </c>
      <c r="B60979">
        <f>TEXT(60978, "[$-0E0000]yyyy-mm-dd")</f>
        <v/>
      </c>
      <c r="C60979" t="inlineStr">
        <is>
          <t>2066-10-27</t>
        </is>
      </c>
    </row>
    <row r="60980">
      <c r="A60980" s="1" t="n">
        <v>60979</v>
      </c>
      <c r="B60980">
        <f>TEXT(60979, "[$-0E0000]yyyy-mm-dd")</f>
        <v/>
      </c>
      <c r="C60980" t="inlineStr">
        <is>
          <t>2066-10-28</t>
        </is>
      </c>
    </row>
    <row r="60981">
      <c r="A60981" s="1" t="n">
        <v>60980</v>
      </c>
      <c r="B60981">
        <f>TEXT(60980, "[$-0E0000]yyyy-mm-dd")</f>
        <v/>
      </c>
      <c r="C60981" t="inlineStr">
        <is>
          <t>2066-10-29</t>
        </is>
      </c>
    </row>
    <row r="60982">
      <c r="A60982" s="1" t="n">
        <v>60981</v>
      </c>
      <c r="B60982">
        <f>TEXT(60981, "[$-0E0000]yyyy-mm-dd")</f>
        <v/>
      </c>
      <c r="C60982" t="inlineStr">
        <is>
          <t>2066-10-30</t>
        </is>
      </c>
    </row>
    <row r="60983">
      <c r="A60983" s="1" t="n">
        <v>60982</v>
      </c>
      <c r="B60983">
        <f>TEXT(60982, "[$-0E0000]yyyy-mm-dd")</f>
        <v/>
      </c>
      <c r="C60983" t="inlineStr">
        <is>
          <t>2066-11-01</t>
        </is>
      </c>
    </row>
    <row r="60984">
      <c r="A60984" s="1" t="n">
        <v>60983</v>
      </c>
      <c r="B60984">
        <f>TEXT(60983, "[$-0E0000]yyyy-mm-dd")</f>
        <v/>
      </c>
      <c r="C60984" t="inlineStr">
        <is>
          <t>2066-11-02</t>
        </is>
      </c>
    </row>
    <row r="60985">
      <c r="A60985" s="1" t="n">
        <v>60984</v>
      </c>
      <c r="B60985">
        <f>TEXT(60984, "[$-0E0000]yyyy-mm-dd")</f>
        <v/>
      </c>
      <c r="C60985" t="inlineStr">
        <is>
          <t>2066-11-03</t>
        </is>
      </c>
    </row>
    <row r="60986">
      <c r="A60986" s="1" t="n">
        <v>60985</v>
      </c>
      <c r="B60986">
        <f>TEXT(60985, "[$-0E0000]yyyy-mm-dd")</f>
        <v/>
      </c>
      <c r="C60986" t="inlineStr">
        <is>
          <t>2066-11-04</t>
        </is>
      </c>
    </row>
    <row r="60987">
      <c r="A60987" s="1" t="n">
        <v>60986</v>
      </c>
      <c r="B60987">
        <f>TEXT(60986, "[$-0E0000]yyyy-mm-dd")</f>
        <v/>
      </c>
      <c r="C60987" t="inlineStr">
        <is>
          <t>2066-11-05</t>
        </is>
      </c>
    </row>
    <row r="60988">
      <c r="A60988" s="1" t="n">
        <v>60987</v>
      </c>
      <c r="B60988">
        <f>TEXT(60987, "[$-0E0000]yyyy-mm-dd")</f>
        <v/>
      </c>
      <c r="C60988" t="inlineStr">
        <is>
          <t>2066-11-06</t>
        </is>
      </c>
    </row>
    <row r="60989">
      <c r="A60989" s="1" t="n">
        <v>60988</v>
      </c>
      <c r="B60989">
        <f>TEXT(60988, "[$-0E0000]yyyy-mm-dd")</f>
        <v/>
      </c>
      <c r="C60989" t="inlineStr">
        <is>
          <t>2066-11-07</t>
        </is>
      </c>
    </row>
    <row r="60990">
      <c r="A60990" s="1" t="n">
        <v>60989</v>
      </c>
      <c r="B60990">
        <f>TEXT(60989, "[$-0E0000]yyyy-mm-dd")</f>
        <v/>
      </c>
      <c r="C60990" t="inlineStr">
        <is>
          <t>2066-11-08</t>
        </is>
      </c>
    </row>
    <row r="60991">
      <c r="A60991" s="1" t="n">
        <v>60990</v>
      </c>
      <c r="B60991">
        <f>TEXT(60990, "[$-0E0000]yyyy-mm-dd")</f>
        <v/>
      </c>
      <c r="C60991" t="inlineStr">
        <is>
          <t>2066-11-09</t>
        </is>
      </c>
    </row>
    <row r="60992">
      <c r="A60992" s="1" t="n">
        <v>60991</v>
      </c>
      <c r="B60992">
        <f>TEXT(60991, "[$-0E0000]yyyy-mm-dd")</f>
        <v/>
      </c>
      <c r="C60992" t="inlineStr">
        <is>
          <t>2066-11-10</t>
        </is>
      </c>
    </row>
    <row r="60993">
      <c r="A60993" s="1" t="n">
        <v>60992</v>
      </c>
      <c r="B60993">
        <f>TEXT(60992, "[$-0E0000]yyyy-mm-dd")</f>
        <v/>
      </c>
      <c r="C60993" t="inlineStr">
        <is>
          <t>2066-11-11</t>
        </is>
      </c>
    </row>
    <row r="60994">
      <c r="A60994" s="1" t="n">
        <v>60993</v>
      </c>
      <c r="B60994">
        <f>TEXT(60993, "[$-0E0000]yyyy-mm-dd")</f>
        <v/>
      </c>
      <c r="C60994" t="inlineStr">
        <is>
          <t>2066-11-12</t>
        </is>
      </c>
    </row>
    <row r="60995">
      <c r="A60995" s="1" t="n">
        <v>60994</v>
      </c>
      <c r="B60995">
        <f>TEXT(60994, "[$-0E0000]yyyy-mm-dd")</f>
        <v/>
      </c>
      <c r="C60995" t="inlineStr">
        <is>
          <t>2066-11-13</t>
        </is>
      </c>
    </row>
    <row r="60996">
      <c r="A60996" s="1" t="n">
        <v>60995</v>
      </c>
      <c r="B60996">
        <f>TEXT(60995, "[$-0E0000]yyyy-mm-dd")</f>
        <v/>
      </c>
      <c r="C60996" t="inlineStr">
        <is>
          <t>2066-11-14</t>
        </is>
      </c>
    </row>
    <row r="60997">
      <c r="A60997" s="1" t="n">
        <v>60996</v>
      </c>
      <c r="B60997">
        <f>TEXT(60996, "[$-0E0000]yyyy-mm-dd")</f>
        <v/>
      </c>
      <c r="C60997" t="inlineStr">
        <is>
          <t>2066-11-15</t>
        </is>
      </c>
    </row>
    <row r="60998">
      <c r="A60998" s="1" t="n">
        <v>60997</v>
      </c>
      <c r="B60998">
        <f>TEXT(60997, "[$-0E0000]yyyy-mm-dd")</f>
        <v/>
      </c>
      <c r="C60998" t="inlineStr">
        <is>
          <t>2066-11-16</t>
        </is>
      </c>
    </row>
    <row r="60999">
      <c r="A60999" s="1" t="n">
        <v>60998</v>
      </c>
      <c r="B60999">
        <f>TEXT(60998, "[$-0E0000]yyyy-mm-dd")</f>
        <v/>
      </c>
      <c r="C60999" t="inlineStr">
        <is>
          <t>2066-11-17</t>
        </is>
      </c>
    </row>
    <row r="61000">
      <c r="A61000" s="1" t="n">
        <v>60999</v>
      </c>
      <c r="B61000">
        <f>TEXT(60999, "[$-0E0000]yyyy-mm-dd")</f>
        <v/>
      </c>
      <c r="C61000" t="inlineStr">
        <is>
          <t>2066-11-18</t>
        </is>
      </c>
    </row>
    <row r="61001">
      <c r="A61001" s="1" t="n">
        <v>61000</v>
      </c>
      <c r="B61001">
        <f>TEXT(61000, "[$-0E0000]yyyy-mm-dd")</f>
        <v/>
      </c>
      <c r="C61001" t="inlineStr">
        <is>
          <t>2066-11-19</t>
        </is>
      </c>
    </row>
    <row r="61002">
      <c r="A61002" s="1" t="n">
        <v>61001</v>
      </c>
      <c r="B61002">
        <f>TEXT(61001, "[$-0E0000]yyyy-mm-dd")</f>
        <v/>
      </c>
      <c r="C61002" t="inlineStr">
        <is>
          <t>2066-11-20</t>
        </is>
      </c>
    </row>
    <row r="61003">
      <c r="A61003" s="1" t="n">
        <v>61002</v>
      </c>
      <c r="B61003">
        <f>TEXT(61002, "[$-0E0000]yyyy-mm-dd")</f>
        <v/>
      </c>
      <c r="C61003" t="inlineStr">
        <is>
          <t>2066-11-21</t>
        </is>
      </c>
    </row>
    <row r="61004">
      <c r="A61004" s="1" t="n">
        <v>61003</v>
      </c>
      <c r="B61004">
        <f>TEXT(61003, "[$-0E0000]yyyy-mm-dd")</f>
        <v/>
      </c>
      <c r="C61004" t="inlineStr">
        <is>
          <t>2066-11-22</t>
        </is>
      </c>
    </row>
    <row r="61005">
      <c r="A61005" s="1" t="n">
        <v>61004</v>
      </c>
      <c r="B61005">
        <f>TEXT(61004, "[$-0E0000]yyyy-mm-dd")</f>
        <v/>
      </c>
      <c r="C61005" t="inlineStr">
        <is>
          <t>2066-11-23</t>
        </is>
      </c>
    </row>
    <row r="61006">
      <c r="A61006" s="1" t="n">
        <v>61005</v>
      </c>
      <c r="B61006">
        <f>TEXT(61005, "[$-0E0000]yyyy-mm-dd")</f>
        <v/>
      </c>
      <c r="C61006" t="inlineStr">
        <is>
          <t>2066-11-24</t>
        </is>
      </c>
    </row>
    <row r="61007">
      <c r="A61007" s="1" t="n">
        <v>61006</v>
      </c>
      <c r="B61007">
        <f>TEXT(61006, "[$-0E0000]yyyy-mm-dd")</f>
        <v/>
      </c>
      <c r="C61007" t="inlineStr">
        <is>
          <t>2066-11-25</t>
        </is>
      </c>
    </row>
    <row r="61008">
      <c r="A61008" s="1" t="n">
        <v>61007</v>
      </c>
      <c r="B61008">
        <f>TEXT(61007, "[$-0E0000]yyyy-mm-dd")</f>
        <v/>
      </c>
      <c r="C61008" t="inlineStr">
        <is>
          <t>2066-11-26</t>
        </is>
      </c>
    </row>
    <row r="61009">
      <c r="A61009" s="1" t="n">
        <v>61008</v>
      </c>
      <c r="B61009">
        <f>TEXT(61008, "[$-0E0000]yyyy-mm-dd")</f>
        <v/>
      </c>
      <c r="C61009" t="inlineStr">
        <is>
          <t>2066-11-27</t>
        </is>
      </c>
    </row>
    <row r="61010">
      <c r="A61010" s="1" t="n">
        <v>61009</v>
      </c>
      <c r="B61010">
        <f>TEXT(61009, "[$-0E0000]yyyy-mm-dd")</f>
        <v/>
      </c>
      <c r="C61010" t="inlineStr">
        <is>
          <t>2066-11-28</t>
        </is>
      </c>
    </row>
    <row r="61011">
      <c r="A61011" s="1" t="n">
        <v>61010</v>
      </c>
      <c r="B61011">
        <f>TEXT(61010, "[$-0E0000]yyyy-mm-dd")</f>
        <v/>
      </c>
      <c r="C61011" t="inlineStr">
        <is>
          <t>2066-11-29</t>
        </is>
      </c>
    </row>
    <row r="61012">
      <c r="A61012" s="1" t="n">
        <v>61011</v>
      </c>
      <c r="B61012">
        <f>TEXT(61011, "[$-0E0000]yyyy-mm-dd")</f>
        <v/>
      </c>
      <c r="C61012" t="inlineStr">
        <is>
          <t>2066-12-01</t>
        </is>
      </c>
    </row>
    <row r="61013">
      <c r="A61013" s="1" t="n">
        <v>61012</v>
      </c>
      <c r="B61013">
        <f>TEXT(61012, "[$-0E0000]yyyy-mm-dd")</f>
        <v/>
      </c>
      <c r="C61013" t="inlineStr">
        <is>
          <t>2066-12-02</t>
        </is>
      </c>
    </row>
    <row r="61014">
      <c r="A61014" s="1" t="n">
        <v>61013</v>
      </c>
      <c r="B61014">
        <f>TEXT(61013, "[$-0E0000]yyyy-mm-dd")</f>
        <v/>
      </c>
      <c r="C61014" t="inlineStr">
        <is>
          <t>2066-12-03</t>
        </is>
      </c>
    </row>
    <row r="61015">
      <c r="A61015" s="1" t="n">
        <v>61014</v>
      </c>
      <c r="B61015">
        <f>TEXT(61014, "[$-0E0000]yyyy-mm-dd")</f>
        <v/>
      </c>
      <c r="C61015" t="inlineStr">
        <is>
          <t>2066-12-04</t>
        </is>
      </c>
    </row>
    <row r="61016">
      <c r="A61016" s="1" t="n">
        <v>61015</v>
      </c>
      <c r="B61016">
        <f>TEXT(61015, "[$-0E0000]yyyy-mm-dd")</f>
        <v/>
      </c>
      <c r="C61016" t="inlineStr">
        <is>
          <t>2066-12-05</t>
        </is>
      </c>
    </row>
    <row r="61017">
      <c r="A61017" s="1" t="n">
        <v>61016</v>
      </c>
      <c r="B61017">
        <f>TEXT(61016, "[$-0E0000]yyyy-mm-dd")</f>
        <v/>
      </c>
      <c r="C61017" t="inlineStr">
        <is>
          <t>2066-12-06</t>
        </is>
      </c>
    </row>
    <row r="61018">
      <c r="A61018" s="1" t="n">
        <v>61017</v>
      </c>
      <c r="B61018">
        <f>TEXT(61017, "[$-0E0000]yyyy-mm-dd")</f>
        <v/>
      </c>
      <c r="C61018" t="inlineStr">
        <is>
          <t>2066-12-07</t>
        </is>
      </c>
    </row>
    <row r="61019">
      <c r="A61019" s="1" t="n">
        <v>61018</v>
      </c>
      <c r="B61019">
        <f>TEXT(61018, "[$-0E0000]yyyy-mm-dd")</f>
        <v/>
      </c>
      <c r="C61019" t="inlineStr">
        <is>
          <t>2066-12-08</t>
        </is>
      </c>
    </row>
    <row r="61020">
      <c r="A61020" s="1" t="n">
        <v>61019</v>
      </c>
      <c r="B61020">
        <f>TEXT(61019, "[$-0E0000]yyyy-mm-dd")</f>
        <v/>
      </c>
      <c r="C61020" t="inlineStr">
        <is>
          <t>2066-12-09</t>
        </is>
      </c>
    </row>
    <row r="61021">
      <c r="A61021" s="1" t="n">
        <v>61020</v>
      </c>
      <c r="B61021">
        <f>TEXT(61020, "[$-0E0000]yyyy-mm-dd")</f>
        <v/>
      </c>
      <c r="C61021" t="inlineStr">
        <is>
          <t>2066-12-10</t>
        </is>
      </c>
    </row>
    <row r="61022">
      <c r="A61022" s="1" t="n">
        <v>61021</v>
      </c>
      <c r="B61022">
        <f>TEXT(61021, "[$-0E0000]yyyy-mm-dd")</f>
        <v/>
      </c>
      <c r="C61022" t="inlineStr">
        <is>
          <t>2066-12-11</t>
        </is>
      </c>
    </row>
    <row r="61023">
      <c r="A61023" s="1" t="n">
        <v>61022</v>
      </c>
      <c r="B61023">
        <f>TEXT(61022, "[$-0E0000]yyyy-mm-dd")</f>
        <v/>
      </c>
      <c r="C61023" t="inlineStr">
        <is>
          <t>2066-12-12</t>
        </is>
      </c>
    </row>
    <row r="61024">
      <c r="A61024" s="1" t="n">
        <v>61023</v>
      </c>
      <c r="B61024">
        <f>TEXT(61023, "[$-0E0000]yyyy-mm-dd")</f>
        <v/>
      </c>
      <c r="C61024" t="inlineStr">
        <is>
          <t>2066-12-13</t>
        </is>
      </c>
    </row>
    <row r="61025">
      <c r="A61025" s="1" t="n">
        <v>61024</v>
      </c>
      <c r="B61025">
        <f>TEXT(61024, "[$-0E0000]yyyy-mm-dd")</f>
        <v/>
      </c>
      <c r="C61025" t="inlineStr">
        <is>
          <t>2066-12-14</t>
        </is>
      </c>
    </row>
    <row r="61026">
      <c r="A61026" s="1" t="n">
        <v>61025</v>
      </c>
      <c r="B61026">
        <f>TEXT(61025, "[$-0E0000]yyyy-mm-dd")</f>
        <v/>
      </c>
      <c r="C61026" t="inlineStr">
        <is>
          <t>2066-12-15</t>
        </is>
      </c>
    </row>
    <row r="61027">
      <c r="A61027" s="1" t="n">
        <v>61026</v>
      </c>
      <c r="B61027">
        <f>TEXT(61026, "[$-0E0000]yyyy-mm-dd")</f>
        <v/>
      </c>
      <c r="C61027" t="inlineStr">
        <is>
          <t>2066-12-16</t>
        </is>
      </c>
    </row>
    <row r="61028">
      <c r="A61028" s="1" t="n">
        <v>61027</v>
      </c>
      <c r="B61028">
        <f>TEXT(61027, "[$-0E0000]yyyy-mm-dd")</f>
        <v/>
      </c>
      <c r="C61028" t="inlineStr">
        <is>
          <t>2066-12-17</t>
        </is>
      </c>
    </row>
    <row r="61029">
      <c r="A61029" s="1" t="n">
        <v>61028</v>
      </c>
      <c r="B61029">
        <f>TEXT(61028, "[$-0E0000]yyyy-mm-dd")</f>
        <v/>
      </c>
      <c r="C61029" t="inlineStr">
        <is>
          <t>2066-12-18</t>
        </is>
      </c>
    </row>
    <row r="61030">
      <c r="A61030" s="1" t="n">
        <v>61029</v>
      </c>
      <c r="B61030">
        <f>TEXT(61029, "[$-0E0000]yyyy-mm-dd")</f>
        <v/>
      </c>
      <c r="C61030" t="inlineStr">
        <is>
          <t>2066-12-19</t>
        </is>
      </c>
    </row>
    <row r="61031">
      <c r="A61031" s="1" t="n">
        <v>61030</v>
      </c>
      <c r="B61031">
        <f>TEXT(61030, "[$-0E0000]yyyy-mm-dd")</f>
        <v/>
      </c>
      <c r="C61031" t="inlineStr">
        <is>
          <t>2066-12-20</t>
        </is>
      </c>
    </row>
    <row r="61032">
      <c r="A61032" s="1" t="n">
        <v>61031</v>
      </c>
      <c r="B61032">
        <f>TEXT(61031, "[$-0E0000]yyyy-mm-dd")</f>
        <v/>
      </c>
      <c r="C61032" t="inlineStr">
        <is>
          <t>2066-12-21</t>
        </is>
      </c>
    </row>
    <row r="61033">
      <c r="A61033" s="1" t="n">
        <v>61032</v>
      </c>
      <c r="B61033">
        <f>TEXT(61032, "[$-0E0000]yyyy-mm-dd")</f>
        <v/>
      </c>
      <c r="C61033" t="inlineStr">
        <is>
          <t>2066-12-22</t>
        </is>
      </c>
    </row>
    <row r="61034">
      <c r="A61034" s="1" t="n">
        <v>61033</v>
      </c>
      <c r="B61034">
        <f>TEXT(61033, "[$-0E0000]yyyy-mm-dd")</f>
        <v/>
      </c>
      <c r="C61034" t="inlineStr">
        <is>
          <t>2066-12-23</t>
        </is>
      </c>
    </row>
    <row r="61035">
      <c r="A61035" s="1" t="n">
        <v>61034</v>
      </c>
      <c r="B61035">
        <f>TEXT(61034, "[$-0E0000]yyyy-mm-dd")</f>
        <v/>
      </c>
      <c r="C61035" t="inlineStr">
        <is>
          <t>2066-12-24</t>
        </is>
      </c>
    </row>
    <row r="61036">
      <c r="A61036" s="1" t="n">
        <v>61035</v>
      </c>
      <c r="B61036">
        <f>TEXT(61035, "[$-0E0000]yyyy-mm-dd")</f>
        <v/>
      </c>
      <c r="C61036" t="inlineStr">
        <is>
          <t>2066-12-25</t>
        </is>
      </c>
    </row>
    <row r="61037">
      <c r="A61037" s="1" t="n">
        <v>61036</v>
      </c>
      <c r="B61037">
        <f>TEXT(61036, "[$-0E0000]yyyy-mm-dd")</f>
        <v/>
      </c>
      <c r="C61037" t="inlineStr">
        <is>
          <t>2066-12-26</t>
        </is>
      </c>
    </row>
    <row r="61038">
      <c r="A61038" s="1" t="n">
        <v>61037</v>
      </c>
      <c r="B61038">
        <f>TEXT(61037, "[$-0E0000]yyyy-mm-dd")</f>
        <v/>
      </c>
      <c r="C61038" t="inlineStr">
        <is>
          <t>2066-12-27</t>
        </is>
      </c>
    </row>
    <row r="61039">
      <c r="A61039" s="1" t="n">
        <v>61038</v>
      </c>
      <c r="B61039">
        <f>TEXT(61038, "[$-0E0000]yyyy-mm-dd")</f>
        <v/>
      </c>
      <c r="C61039" t="inlineStr">
        <is>
          <t>2066-12-28</t>
        </is>
      </c>
    </row>
    <row r="61040">
      <c r="A61040" s="1" t="n">
        <v>61039</v>
      </c>
      <c r="B61040">
        <f>TEXT(61039, "[$-0E0000]yyyy-mm-dd")</f>
        <v/>
      </c>
      <c r="C61040" t="inlineStr">
        <is>
          <t>2066-12-29</t>
        </is>
      </c>
    </row>
    <row r="61041">
      <c r="A61041" s="1" t="n">
        <v>61040</v>
      </c>
      <c r="B61041">
        <f>TEXT(61040, "[$-0E0000]yyyy-mm-dd")</f>
        <v/>
      </c>
      <c r="C61041" t="inlineStr">
        <is>
          <t>2066-12-30</t>
        </is>
      </c>
    </row>
    <row r="61042">
      <c r="A61042" s="1" t="n">
        <v>61041</v>
      </c>
      <c r="B61042">
        <f>TEXT(61041, "[$-0E0000]yyyy-mm-dd")</f>
        <v/>
      </c>
      <c r="C61042" t="inlineStr">
        <is>
          <t>2067-01-01</t>
        </is>
      </c>
    </row>
    <row r="61043">
      <c r="A61043" s="1" t="n">
        <v>61042</v>
      </c>
      <c r="B61043">
        <f>TEXT(61042, "[$-0E0000]yyyy-mm-dd")</f>
        <v/>
      </c>
      <c r="C61043" t="inlineStr">
        <is>
          <t>2067-01-02</t>
        </is>
      </c>
    </row>
    <row r="61044">
      <c r="A61044" s="1" t="n">
        <v>61043</v>
      </c>
      <c r="B61044">
        <f>TEXT(61043, "[$-0E0000]yyyy-mm-dd")</f>
        <v/>
      </c>
      <c r="C61044" t="inlineStr">
        <is>
          <t>2067-01-03</t>
        </is>
      </c>
    </row>
    <row r="61045">
      <c r="A61045" s="1" t="n">
        <v>61044</v>
      </c>
      <c r="B61045">
        <f>TEXT(61044, "[$-0E0000]yyyy-mm-dd")</f>
        <v/>
      </c>
      <c r="C61045" t="inlineStr">
        <is>
          <t>2067-01-04</t>
        </is>
      </c>
    </row>
    <row r="61046">
      <c r="A61046" s="1" t="n">
        <v>61045</v>
      </c>
      <c r="B61046">
        <f>TEXT(61045, "[$-0E0000]yyyy-mm-dd")</f>
        <v/>
      </c>
      <c r="C61046" t="inlineStr">
        <is>
          <t>2067-01-05</t>
        </is>
      </c>
    </row>
    <row r="61047">
      <c r="A61047" s="1" t="n">
        <v>61046</v>
      </c>
      <c r="B61047">
        <f>TEXT(61046, "[$-0E0000]yyyy-mm-dd")</f>
        <v/>
      </c>
      <c r="C61047" t="inlineStr">
        <is>
          <t>2067-01-06</t>
        </is>
      </c>
    </row>
    <row r="61048">
      <c r="A61048" s="1" t="n">
        <v>61047</v>
      </c>
      <c r="B61048">
        <f>TEXT(61047, "[$-0E0000]yyyy-mm-dd")</f>
        <v/>
      </c>
      <c r="C61048" t="inlineStr">
        <is>
          <t>2067-01-07</t>
        </is>
      </c>
    </row>
    <row r="61049">
      <c r="A61049" s="1" t="n">
        <v>61048</v>
      </c>
      <c r="B61049">
        <f>TEXT(61048, "[$-0E0000]yyyy-mm-dd")</f>
        <v/>
      </c>
      <c r="C61049" t="inlineStr">
        <is>
          <t>2067-01-08</t>
        </is>
      </c>
    </row>
    <row r="61050">
      <c r="A61050" s="1" t="n">
        <v>61049</v>
      </c>
      <c r="B61050">
        <f>TEXT(61049, "[$-0E0000]yyyy-mm-dd")</f>
        <v/>
      </c>
      <c r="C61050" t="inlineStr">
        <is>
          <t>2067-01-09</t>
        </is>
      </c>
    </row>
    <row r="61051">
      <c r="A61051" s="1" t="n">
        <v>61050</v>
      </c>
      <c r="B61051">
        <f>TEXT(61050, "[$-0E0000]yyyy-mm-dd")</f>
        <v/>
      </c>
      <c r="C61051" t="inlineStr">
        <is>
          <t>2067-01-10</t>
        </is>
      </c>
    </row>
    <row r="61052">
      <c r="A61052" s="1" t="n">
        <v>61051</v>
      </c>
      <c r="B61052">
        <f>TEXT(61051, "[$-0E0000]yyyy-mm-dd")</f>
        <v/>
      </c>
      <c r="C61052" t="inlineStr">
        <is>
          <t>2067-01-11</t>
        </is>
      </c>
    </row>
    <row r="61053">
      <c r="A61053" s="1" t="n">
        <v>61052</v>
      </c>
      <c r="B61053">
        <f>TEXT(61052, "[$-0E0000]yyyy-mm-dd")</f>
        <v/>
      </c>
      <c r="C61053" t="inlineStr">
        <is>
          <t>2067-01-12</t>
        </is>
      </c>
    </row>
    <row r="61054">
      <c r="A61054" s="1" t="n">
        <v>61053</v>
      </c>
      <c r="B61054">
        <f>TEXT(61053, "[$-0E0000]yyyy-mm-dd")</f>
        <v/>
      </c>
      <c r="C61054" t="inlineStr">
        <is>
          <t>2067-01-13</t>
        </is>
      </c>
    </row>
    <row r="61055">
      <c r="A61055" s="1" t="n">
        <v>61054</v>
      </c>
      <c r="B61055">
        <f>TEXT(61054, "[$-0E0000]yyyy-mm-dd")</f>
        <v/>
      </c>
      <c r="C61055" t="inlineStr">
        <is>
          <t>2067-01-14</t>
        </is>
      </c>
    </row>
    <row r="61056">
      <c r="A61056" s="1" t="n">
        <v>61055</v>
      </c>
      <c r="B61056">
        <f>TEXT(61055, "[$-0E0000]yyyy-mm-dd")</f>
        <v/>
      </c>
      <c r="C61056" t="inlineStr">
        <is>
          <t>2067-01-15</t>
        </is>
      </c>
    </row>
    <row r="61057">
      <c r="A61057" s="1" t="n">
        <v>61056</v>
      </c>
      <c r="B61057">
        <f>TEXT(61056, "[$-0E0000]yyyy-mm-dd")</f>
        <v/>
      </c>
      <c r="C61057" t="inlineStr">
        <is>
          <t>2067-01-16</t>
        </is>
      </c>
    </row>
    <row r="61058">
      <c r="A61058" s="1" t="n">
        <v>61057</v>
      </c>
      <c r="B61058">
        <f>TEXT(61057, "[$-0E0000]yyyy-mm-dd")</f>
        <v/>
      </c>
      <c r="C61058" t="inlineStr">
        <is>
          <t>2067-01-17</t>
        </is>
      </c>
    </row>
    <row r="61059">
      <c r="A61059" s="1" t="n">
        <v>61058</v>
      </c>
      <c r="B61059">
        <f>TEXT(61058, "[$-0E0000]yyyy-mm-dd")</f>
        <v/>
      </c>
      <c r="C61059" t="inlineStr">
        <is>
          <t>2067-01-18</t>
        </is>
      </c>
    </row>
    <row r="61060">
      <c r="A61060" s="1" t="n">
        <v>61059</v>
      </c>
      <c r="B61060">
        <f>TEXT(61059, "[$-0E0000]yyyy-mm-dd")</f>
        <v/>
      </c>
      <c r="C61060" t="inlineStr">
        <is>
          <t>2067-01-19</t>
        </is>
      </c>
    </row>
    <row r="61061">
      <c r="A61061" s="1" t="n">
        <v>61060</v>
      </c>
      <c r="B61061">
        <f>TEXT(61060, "[$-0E0000]yyyy-mm-dd")</f>
        <v/>
      </c>
      <c r="C61061" t="inlineStr">
        <is>
          <t>2067-01-20</t>
        </is>
      </c>
    </row>
    <row r="61062">
      <c r="A61062" s="1" t="n">
        <v>61061</v>
      </c>
      <c r="B61062">
        <f>TEXT(61061, "[$-0E0000]yyyy-mm-dd")</f>
        <v/>
      </c>
      <c r="C61062" t="inlineStr">
        <is>
          <t>2067-01-21</t>
        </is>
      </c>
    </row>
    <row r="61063">
      <c r="A61063" s="1" t="n">
        <v>61062</v>
      </c>
      <c r="B61063">
        <f>TEXT(61062, "[$-0E0000]yyyy-mm-dd")</f>
        <v/>
      </c>
      <c r="C61063" t="inlineStr">
        <is>
          <t>2067-01-22</t>
        </is>
      </c>
    </row>
    <row r="61064">
      <c r="A61064" s="1" t="n">
        <v>61063</v>
      </c>
      <c r="B61064">
        <f>TEXT(61063, "[$-0E0000]yyyy-mm-dd")</f>
        <v/>
      </c>
      <c r="C61064" t="inlineStr">
        <is>
          <t>2067-01-23</t>
        </is>
      </c>
    </row>
    <row r="61065">
      <c r="A61065" s="1" t="n">
        <v>61064</v>
      </c>
      <c r="B61065">
        <f>TEXT(61064, "[$-0E0000]yyyy-mm-dd")</f>
        <v/>
      </c>
      <c r="C61065" t="inlineStr">
        <is>
          <t>2067-01-24</t>
        </is>
      </c>
    </row>
    <row r="61066">
      <c r="A61066" s="1" t="n">
        <v>61065</v>
      </c>
      <c r="B61066">
        <f>TEXT(61065, "[$-0E0000]yyyy-mm-dd")</f>
        <v/>
      </c>
      <c r="C61066" t="inlineStr">
        <is>
          <t>2067-01-25</t>
        </is>
      </c>
    </row>
    <row r="61067">
      <c r="A61067" s="1" t="n">
        <v>61066</v>
      </c>
      <c r="B61067">
        <f>TEXT(61066, "[$-0E0000]yyyy-mm-dd")</f>
        <v/>
      </c>
      <c r="C61067" t="inlineStr">
        <is>
          <t>2067-01-26</t>
        </is>
      </c>
    </row>
    <row r="61068">
      <c r="A61068" s="1" t="n">
        <v>61067</v>
      </c>
      <c r="B61068">
        <f>TEXT(61067, "[$-0E0000]yyyy-mm-dd")</f>
        <v/>
      </c>
      <c r="C61068" t="inlineStr">
        <is>
          <t>2067-01-27</t>
        </is>
      </c>
    </row>
    <row r="61069">
      <c r="A61069" s="1" t="n">
        <v>61068</v>
      </c>
      <c r="B61069">
        <f>TEXT(61068, "[$-0E0000]yyyy-mm-dd")</f>
        <v/>
      </c>
      <c r="C61069" t="inlineStr">
        <is>
          <t>2067-01-28</t>
        </is>
      </c>
    </row>
    <row r="61070">
      <c r="A61070" s="1" t="n">
        <v>61069</v>
      </c>
      <c r="B61070">
        <f>TEXT(61069, "[$-0E0000]yyyy-mm-dd")</f>
        <v/>
      </c>
      <c r="C61070" t="inlineStr">
        <is>
          <t>2067-01-29</t>
        </is>
      </c>
    </row>
    <row r="61071">
      <c r="A61071" s="1" t="n">
        <v>61070</v>
      </c>
      <c r="B61071">
        <f>TEXT(61070, "[$-0E0000]yyyy-mm-dd")</f>
        <v/>
      </c>
      <c r="C61071" t="inlineStr">
        <is>
          <t>2067-02-01</t>
        </is>
      </c>
    </row>
    <row r="61072">
      <c r="A61072" s="1" t="n">
        <v>61071</v>
      </c>
      <c r="B61072">
        <f>TEXT(61071, "[$-0E0000]yyyy-mm-dd")</f>
        <v/>
      </c>
      <c r="C61072" t="inlineStr">
        <is>
          <t>2067-02-02</t>
        </is>
      </c>
    </row>
    <row r="61073">
      <c r="A61073" s="1" t="n">
        <v>61072</v>
      </c>
      <c r="B61073">
        <f>TEXT(61072, "[$-0E0000]yyyy-mm-dd")</f>
        <v/>
      </c>
      <c r="C61073" t="inlineStr">
        <is>
          <t>2067-02-03</t>
        </is>
      </c>
    </row>
    <row r="61074">
      <c r="A61074" s="1" t="n">
        <v>61073</v>
      </c>
      <c r="B61074">
        <f>TEXT(61073, "[$-0E0000]yyyy-mm-dd")</f>
        <v/>
      </c>
      <c r="C61074" t="inlineStr">
        <is>
          <t>2067-02-04</t>
        </is>
      </c>
    </row>
    <row r="61075">
      <c r="A61075" s="1" t="n">
        <v>61074</v>
      </c>
      <c r="B61075">
        <f>TEXT(61074, "[$-0E0000]yyyy-mm-dd")</f>
        <v/>
      </c>
      <c r="C61075" t="inlineStr">
        <is>
          <t>2067-02-05</t>
        </is>
      </c>
    </row>
    <row r="61076">
      <c r="A61076" s="1" t="n">
        <v>61075</v>
      </c>
      <c r="B61076">
        <f>TEXT(61075, "[$-0E0000]yyyy-mm-dd")</f>
        <v/>
      </c>
      <c r="C61076" t="inlineStr">
        <is>
          <t>2067-02-06</t>
        </is>
      </c>
    </row>
    <row r="61077">
      <c r="A61077" s="1" t="n">
        <v>61076</v>
      </c>
      <c r="B61077">
        <f>TEXT(61076, "[$-0E0000]yyyy-mm-dd")</f>
        <v/>
      </c>
      <c r="C61077" t="inlineStr">
        <is>
          <t>2067-02-07</t>
        </is>
      </c>
    </row>
    <row r="61078">
      <c r="A61078" s="1" t="n">
        <v>61077</v>
      </c>
      <c r="B61078">
        <f>TEXT(61077, "[$-0E0000]yyyy-mm-dd")</f>
        <v/>
      </c>
      <c r="C61078" t="inlineStr">
        <is>
          <t>2067-02-08</t>
        </is>
      </c>
    </row>
    <row r="61079">
      <c r="A61079" s="1" t="n">
        <v>61078</v>
      </c>
      <c r="B61079">
        <f>TEXT(61078, "[$-0E0000]yyyy-mm-dd")</f>
        <v/>
      </c>
      <c r="C61079" t="inlineStr">
        <is>
          <t>2067-02-09</t>
        </is>
      </c>
    </row>
    <row r="61080">
      <c r="A61080" s="1" t="n">
        <v>61079</v>
      </c>
      <c r="B61080">
        <f>TEXT(61079, "[$-0E0000]yyyy-mm-dd")</f>
        <v/>
      </c>
      <c r="C61080" t="inlineStr">
        <is>
          <t>2067-02-10</t>
        </is>
      </c>
    </row>
    <row r="61081">
      <c r="A61081" s="1" t="n">
        <v>61080</v>
      </c>
      <c r="B61081">
        <f>TEXT(61080, "[$-0E0000]yyyy-mm-dd")</f>
        <v/>
      </c>
      <c r="C61081" t="inlineStr">
        <is>
          <t>2067-02-11</t>
        </is>
      </c>
    </row>
    <row r="61082">
      <c r="A61082" s="1" t="n">
        <v>61081</v>
      </c>
      <c r="B61082">
        <f>TEXT(61081, "[$-0E0000]yyyy-mm-dd")</f>
        <v/>
      </c>
      <c r="C61082" t="inlineStr">
        <is>
          <t>2067-02-12</t>
        </is>
      </c>
    </row>
    <row r="61083">
      <c r="A61083" s="1" t="n">
        <v>61082</v>
      </c>
      <c r="B61083">
        <f>TEXT(61082, "[$-0E0000]yyyy-mm-dd")</f>
        <v/>
      </c>
      <c r="C61083" t="inlineStr">
        <is>
          <t>2067-02-13</t>
        </is>
      </c>
    </row>
    <row r="61084">
      <c r="A61084" s="1" t="n">
        <v>61083</v>
      </c>
      <c r="B61084">
        <f>TEXT(61083, "[$-0E0000]yyyy-mm-dd")</f>
        <v/>
      </c>
      <c r="C61084" t="inlineStr">
        <is>
          <t>2067-02-14</t>
        </is>
      </c>
    </row>
    <row r="61085">
      <c r="A61085" s="1" t="n">
        <v>61084</v>
      </c>
      <c r="B61085">
        <f>TEXT(61084, "[$-0E0000]yyyy-mm-dd")</f>
        <v/>
      </c>
      <c r="C61085" t="inlineStr">
        <is>
          <t>2067-02-15</t>
        </is>
      </c>
    </row>
    <row r="61086">
      <c r="A61086" s="1" t="n">
        <v>61085</v>
      </c>
      <c r="B61086">
        <f>TEXT(61085, "[$-0E0000]yyyy-mm-dd")</f>
        <v/>
      </c>
      <c r="C61086" t="inlineStr">
        <is>
          <t>2067-02-16</t>
        </is>
      </c>
    </row>
    <row r="61087">
      <c r="A61087" s="1" t="n">
        <v>61086</v>
      </c>
      <c r="B61087">
        <f>TEXT(61086, "[$-0E0000]yyyy-mm-dd")</f>
        <v/>
      </c>
      <c r="C61087" t="inlineStr">
        <is>
          <t>2067-02-17</t>
        </is>
      </c>
    </row>
    <row r="61088">
      <c r="A61088" s="1" t="n">
        <v>61087</v>
      </c>
      <c r="B61088">
        <f>TEXT(61087, "[$-0E0000]yyyy-mm-dd")</f>
        <v/>
      </c>
      <c r="C61088" t="inlineStr">
        <is>
          <t>2067-02-18</t>
        </is>
      </c>
    </row>
    <row r="61089">
      <c r="A61089" s="1" t="n">
        <v>61088</v>
      </c>
      <c r="B61089">
        <f>TEXT(61088, "[$-0E0000]yyyy-mm-dd")</f>
        <v/>
      </c>
      <c r="C61089" t="inlineStr">
        <is>
          <t>2067-02-19</t>
        </is>
      </c>
    </row>
    <row r="61090">
      <c r="A61090" s="1" t="n">
        <v>61089</v>
      </c>
      <c r="B61090">
        <f>TEXT(61089, "[$-0E0000]yyyy-mm-dd")</f>
        <v/>
      </c>
      <c r="C61090" t="inlineStr">
        <is>
          <t>2067-02-20</t>
        </is>
      </c>
    </row>
    <row r="61091">
      <c r="A61091" s="1" t="n">
        <v>61090</v>
      </c>
      <c r="B61091">
        <f>TEXT(61090, "[$-0E0000]yyyy-mm-dd")</f>
        <v/>
      </c>
      <c r="C61091" t="inlineStr">
        <is>
          <t>2067-02-21</t>
        </is>
      </c>
    </row>
    <row r="61092">
      <c r="A61092" s="1" t="n">
        <v>61091</v>
      </c>
      <c r="B61092">
        <f>TEXT(61091, "[$-0E0000]yyyy-mm-dd")</f>
        <v/>
      </c>
      <c r="C61092" t="inlineStr">
        <is>
          <t>2067-02-22</t>
        </is>
      </c>
    </row>
    <row r="61093">
      <c r="A61093" s="1" t="n">
        <v>61092</v>
      </c>
      <c r="B61093">
        <f>TEXT(61092, "[$-0E0000]yyyy-mm-dd")</f>
        <v/>
      </c>
      <c r="C61093" t="inlineStr">
        <is>
          <t>2067-02-23</t>
        </is>
      </c>
    </row>
    <row r="61094">
      <c r="A61094" s="1" t="n">
        <v>61093</v>
      </c>
      <c r="B61094">
        <f>TEXT(61093, "[$-0E0000]yyyy-mm-dd")</f>
        <v/>
      </c>
      <c r="C61094" t="inlineStr">
        <is>
          <t>2067-02-24</t>
        </is>
      </c>
    </row>
    <row r="61095">
      <c r="A61095" s="1" t="n">
        <v>61094</v>
      </c>
      <c r="B61095">
        <f>TEXT(61094, "[$-0E0000]yyyy-mm-dd")</f>
        <v/>
      </c>
      <c r="C61095" t="inlineStr">
        <is>
          <t>2067-02-25</t>
        </is>
      </c>
    </row>
    <row r="61096">
      <c r="A61096" s="1" t="n">
        <v>61095</v>
      </c>
      <c r="B61096">
        <f>TEXT(61095, "[$-0E0000]yyyy-mm-dd")</f>
        <v/>
      </c>
      <c r="C61096" t="inlineStr">
        <is>
          <t>2067-02-26</t>
        </is>
      </c>
    </row>
    <row r="61097">
      <c r="A61097" s="1" t="n">
        <v>61096</v>
      </c>
      <c r="B61097">
        <f>TEXT(61096, "[$-0E0000]yyyy-mm-dd")</f>
        <v/>
      </c>
      <c r="C61097" t="inlineStr">
        <is>
          <t>2067-02-27</t>
        </is>
      </c>
    </row>
    <row r="61098">
      <c r="A61098" s="1" t="n">
        <v>61097</v>
      </c>
      <c r="B61098">
        <f>TEXT(61097, "[$-0E0000]yyyy-mm-dd")</f>
        <v/>
      </c>
      <c r="C61098" t="inlineStr">
        <is>
          <t>2067-02-28</t>
        </is>
      </c>
    </row>
    <row r="61099">
      <c r="A61099" s="1" t="n">
        <v>61098</v>
      </c>
      <c r="B61099">
        <f>TEXT(61098, "[$-0E0000]yyyy-mm-dd")</f>
        <v/>
      </c>
      <c r="C61099" t="inlineStr">
        <is>
          <t>2067-02-29</t>
        </is>
      </c>
    </row>
    <row r="61100">
      <c r="A61100" s="1" t="n">
        <v>61099</v>
      </c>
      <c r="B61100">
        <f>TEXT(61099, "[$-0E0000]yyyy-mm-dd")</f>
        <v/>
      </c>
      <c r="C61100" t="inlineStr">
        <is>
          <t>2067-02-30</t>
        </is>
      </c>
    </row>
    <row r="61101">
      <c r="A61101" s="1" t="n">
        <v>61100</v>
      </c>
      <c r="B61101">
        <f>TEXT(61100, "[$-0E0000]yyyy-mm-dd")</f>
        <v/>
      </c>
      <c r="C61101" t="inlineStr">
        <is>
          <t>2067-03-01</t>
        </is>
      </c>
    </row>
    <row r="61102">
      <c r="A61102" s="1" t="n">
        <v>61101</v>
      </c>
      <c r="B61102">
        <f>TEXT(61101, "[$-0E0000]yyyy-mm-dd")</f>
        <v/>
      </c>
      <c r="C61102" t="inlineStr">
        <is>
          <t>2067-03-02</t>
        </is>
      </c>
    </row>
    <row r="61103">
      <c r="A61103" s="1" t="n">
        <v>61102</v>
      </c>
      <c r="B61103">
        <f>TEXT(61102, "[$-0E0000]yyyy-mm-dd")</f>
        <v/>
      </c>
      <c r="C61103" t="inlineStr">
        <is>
          <t>2067-03-03</t>
        </is>
      </c>
    </row>
    <row r="61104">
      <c r="A61104" s="1" t="n">
        <v>61103</v>
      </c>
      <c r="B61104">
        <f>TEXT(61103, "[$-0E0000]yyyy-mm-dd")</f>
        <v/>
      </c>
      <c r="C61104" t="inlineStr">
        <is>
          <t>2067-03-04</t>
        </is>
      </c>
    </row>
    <row r="61105">
      <c r="A61105" s="1" t="n">
        <v>61104</v>
      </c>
      <c r="B61105">
        <f>TEXT(61104, "[$-0E0000]yyyy-mm-dd")</f>
        <v/>
      </c>
      <c r="C61105" t="inlineStr">
        <is>
          <t>2067-03-05</t>
        </is>
      </c>
    </row>
    <row r="61106">
      <c r="A61106" s="1" t="n">
        <v>61105</v>
      </c>
      <c r="B61106">
        <f>TEXT(61105, "[$-0E0000]yyyy-mm-dd")</f>
        <v/>
      </c>
      <c r="C61106" t="inlineStr">
        <is>
          <t>2067-03-06</t>
        </is>
      </c>
    </row>
    <row r="61107">
      <c r="A61107" s="1" t="n">
        <v>61106</v>
      </c>
      <c r="B61107">
        <f>TEXT(61106, "[$-0E0000]yyyy-mm-dd")</f>
        <v/>
      </c>
      <c r="C61107" t="inlineStr">
        <is>
          <t>2067-03-07</t>
        </is>
      </c>
    </row>
    <row r="61108">
      <c r="A61108" s="1" t="n">
        <v>61107</v>
      </c>
      <c r="B61108">
        <f>TEXT(61107, "[$-0E0000]yyyy-mm-dd")</f>
        <v/>
      </c>
      <c r="C61108" t="inlineStr">
        <is>
          <t>2067-03-08</t>
        </is>
      </c>
    </row>
    <row r="61109">
      <c r="A61109" s="1" t="n">
        <v>61108</v>
      </c>
      <c r="B61109">
        <f>TEXT(61108, "[$-0E0000]yyyy-mm-dd")</f>
        <v/>
      </c>
      <c r="C61109" t="inlineStr">
        <is>
          <t>2067-03-09</t>
        </is>
      </c>
    </row>
    <row r="61110">
      <c r="A61110" s="1" t="n">
        <v>61109</v>
      </c>
      <c r="B61110">
        <f>TEXT(61109, "[$-0E0000]yyyy-mm-dd")</f>
        <v/>
      </c>
      <c r="C61110" t="inlineStr">
        <is>
          <t>2067-03-10</t>
        </is>
      </c>
    </row>
    <row r="61111">
      <c r="A61111" s="1" t="n">
        <v>61110</v>
      </c>
      <c r="B61111">
        <f>TEXT(61110, "[$-0E0000]yyyy-mm-dd")</f>
        <v/>
      </c>
      <c r="C61111" t="inlineStr">
        <is>
          <t>2067-03-11</t>
        </is>
      </c>
    </row>
    <row r="61112">
      <c r="A61112" s="1" t="n">
        <v>61111</v>
      </c>
      <c r="B61112">
        <f>TEXT(61111, "[$-0E0000]yyyy-mm-dd")</f>
        <v/>
      </c>
      <c r="C61112" t="inlineStr">
        <is>
          <t>2067-03-12</t>
        </is>
      </c>
    </row>
    <row r="61113">
      <c r="A61113" s="1" t="n">
        <v>61112</v>
      </c>
      <c r="B61113">
        <f>TEXT(61112, "[$-0E0000]yyyy-mm-dd")</f>
        <v/>
      </c>
      <c r="C61113" t="inlineStr">
        <is>
          <t>2067-03-13</t>
        </is>
      </c>
    </row>
    <row r="61114">
      <c r="A61114" s="1" t="n">
        <v>61113</v>
      </c>
      <c r="B61114">
        <f>TEXT(61113, "[$-0E0000]yyyy-mm-dd")</f>
        <v/>
      </c>
      <c r="C61114" t="inlineStr">
        <is>
          <t>2067-03-14</t>
        </is>
      </c>
    </row>
    <row r="61115">
      <c r="A61115" s="1" t="n">
        <v>61114</v>
      </c>
      <c r="B61115">
        <f>TEXT(61114, "[$-0E0000]yyyy-mm-dd")</f>
        <v/>
      </c>
      <c r="C61115" t="inlineStr">
        <is>
          <t>2067-03-15</t>
        </is>
      </c>
    </row>
    <row r="61116">
      <c r="A61116" s="1" t="n">
        <v>61115</v>
      </c>
      <c r="B61116">
        <f>TEXT(61115, "[$-0E0000]yyyy-mm-dd")</f>
        <v/>
      </c>
      <c r="C61116" t="inlineStr">
        <is>
          <t>2067-03-16</t>
        </is>
      </c>
    </row>
    <row r="61117">
      <c r="A61117" s="1" t="n">
        <v>61116</v>
      </c>
      <c r="B61117">
        <f>TEXT(61116, "[$-0E0000]yyyy-mm-dd")</f>
        <v/>
      </c>
      <c r="C61117" t="inlineStr">
        <is>
          <t>2067-03-17</t>
        </is>
      </c>
    </row>
    <row r="61118">
      <c r="A61118" s="1" t="n">
        <v>61117</v>
      </c>
      <c r="B61118">
        <f>TEXT(61117, "[$-0E0000]yyyy-mm-dd")</f>
        <v/>
      </c>
      <c r="C61118" t="inlineStr">
        <is>
          <t>2067-03-18</t>
        </is>
      </c>
    </row>
    <row r="61119">
      <c r="A61119" s="1" t="n">
        <v>61118</v>
      </c>
      <c r="B61119">
        <f>TEXT(61118, "[$-0E0000]yyyy-mm-dd")</f>
        <v/>
      </c>
      <c r="C61119" t="inlineStr">
        <is>
          <t>2067-03-19</t>
        </is>
      </c>
    </row>
    <row r="61120">
      <c r="A61120" s="1" t="n">
        <v>61119</v>
      </c>
      <c r="B61120">
        <f>TEXT(61119, "[$-0E0000]yyyy-mm-dd")</f>
        <v/>
      </c>
      <c r="C61120" t="inlineStr">
        <is>
          <t>2067-03-20</t>
        </is>
      </c>
    </row>
    <row r="61121">
      <c r="A61121" s="1" t="n">
        <v>61120</v>
      </c>
      <c r="B61121">
        <f>TEXT(61120, "[$-0E0000]yyyy-mm-dd")</f>
        <v/>
      </c>
      <c r="C61121" t="inlineStr">
        <is>
          <t>2067-03-21</t>
        </is>
      </c>
    </row>
    <row r="61122">
      <c r="A61122" s="1" t="n">
        <v>61121</v>
      </c>
      <c r="B61122">
        <f>TEXT(61121, "[$-0E0000]yyyy-mm-dd")</f>
        <v/>
      </c>
      <c r="C61122" t="inlineStr">
        <is>
          <t>2067-03-22</t>
        </is>
      </c>
    </row>
    <row r="61123">
      <c r="A61123" s="1" t="n">
        <v>61122</v>
      </c>
      <c r="B61123">
        <f>TEXT(61122, "[$-0E0000]yyyy-mm-dd")</f>
        <v/>
      </c>
      <c r="C61123" t="inlineStr">
        <is>
          <t>2067-03-23</t>
        </is>
      </c>
    </row>
    <row r="61124">
      <c r="A61124" s="1" t="n">
        <v>61123</v>
      </c>
      <c r="B61124">
        <f>TEXT(61123, "[$-0E0000]yyyy-mm-dd")</f>
        <v/>
      </c>
      <c r="C61124" t="inlineStr">
        <is>
          <t>2067-03-24</t>
        </is>
      </c>
    </row>
    <row r="61125">
      <c r="A61125" s="1" t="n">
        <v>61124</v>
      </c>
      <c r="B61125">
        <f>TEXT(61124, "[$-0E0000]yyyy-mm-dd")</f>
        <v/>
      </c>
      <c r="C61125" t="inlineStr">
        <is>
          <t>2067-03-25</t>
        </is>
      </c>
    </row>
    <row r="61126">
      <c r="A61126" s="1" t="n">
        <v>61125</v>
      </c>
      <c r="B61126">
        <f>TEXT(61125, "[$-0E0000]yyyy-mm-dd")</f>
        <v/>
      </c>
      <c r="C61126" t="inlineStr">
        <is>
          <t>2067-03-26</t>
        </is>
      </c>
    </row>
    <row r="61127">
      <c r="A61127" s="1" t="n">
        <v>61126</v>
      </c>
      <c r="B61127">
        <f>TEXT(61126, "[$-0E0000]yyyy-mm-dd")</f>
        <v/>
      </c>
      <c r="C61127" t="inlineStr">
        <is>
          <t>2067-03-27</t>
        </is>
      </c>
    </row>
    <row r="61128">
      <c r="A61128" s="1" t="n">
        <v>61127</v>
      </c>
      <c r="B61128">
        <f>TEXT(61127, "[$-0E0000]yyyy-mm-dd")</f>
        <v/>
      </c>
      <c r="C61128" t="inlineStr">
        <is>
          <t>2067-03-28</t>
        </is>
      </c>
    </row>
    <row r="61129">
      <c r="A61129" s="1" t="n">
        <v>61128</v>
      </c>
      <c r="B61129">
        <f>TEXT(61128, "[$-0E0000]yyyy-mm-dd")</f>
        <v/>
      </c>
      <c r="C61129" t="inlineStr">
        <is>
          <t>2067-03-29</t>
        </is>
      </c>
    </row>
    <row r="61130">
      <c r="A61130" s="1" t="n">
        <v>61129</v>
      </c>
      <c r="B61130">
        <f>TEXT(61129, "[$-0E0000]yyyy-mm-dd")</f>
        <v/>
      </c>
      <c r="C61130" t="inlineStr">
        <is>
          <t>2067-04-01</t>
        </is>
      </c>
    </row>
    <row r="61131">
      <c r="A61131" s="1" t="n">
        <v>61130</v>
      </c>
      <c r="B61131">
        <f>TEXT(61130, "[$-0E0000]yyyy-mm-dd")</f>
        <v/>
      </c>
      <c r="C61131" t="inlineStr">
        <is>
          <t>2067-04-02</t>
        </is>
      </c>
    </row>
    <row r="61132">
      <c r="A61132" s="1" t="n">
        <v>61131</v>
      </c>
      <c r="B61132">
        <f>TEXT(61131, "[$-0E0000]yyyy-mm-dd")</f>
        <v/>
      </c>
      <c r="C61132" t="inlineStr">
        <is>
          <t>2067-04-03</t>
        </is>
      </c>
    </row>
    <row r="61133">
      <c r="A61133" s="1" t="n">
        <v>61132</v>
      </c>
      <c r="B61133">
        <f>TEXT(61132, "[$-0E0000]yyyy-mm-dd")</f>
        <v/>
      </c>
      <c r="C61133" t="inlineStr">
        <is>
          <t>2067-04-04</t>
        </is>
      </c>
    </row>
    <row r="61134">
      <c r="A61134" s="1" t="n">
        <v>61133</v>
      </c>
      <c r="B61134">
        <f>TEXT(61133, "[$-0E0000]yyyy-mm-dd")</f>
        <v/>
      </c>
      <c r="C61134" t="inlineStr">
        <is>
          <t>2067-04-05</t>
        </is>
      </c>
    </row>
    <row r="61135">
      <c r="A61135" s="1" t="n">
        <v>61134</v>
      </c>
      <c r="B61135">
        <f>TEXT(61134, "[$-0E0000]yyyy-mm-dd")</f>
        <v/>
      </c>
      <c r="C61135" t="inlineStr">
        <is>
          <t>2067-04-06</t>
        </is>
      </c>
    </row>
    <row r="61136">
      <c r="A61136" s="1" t="n">
        <v>61135</v>
      </c>
      <c r="B61136">
        <f>TEXT(61135, "[$-0E0000]yyyy-mm-dd")</f>
        <v/>
      </c>
      <c r="C61136" t="inlineStr">
        <is>
          <t>2067-04-07</t>
        </is>
      </c>
    </row>
    <row r="61137">
      <c r="A61137" s="1" t="n">
        <v>61136</v>
      </c>
      <c r="B61137">
        <f>TEXT(61136, "[$-0E0000]yyyy-mm-dd")</f>
        <v/>
      </c>
      <c r="C61137" t="inlineStr">
        <is>
          <t>2067-04-08</t>
        </is>
      </c>
    </row>
    <row r="61138">
      <c r="A61138" s="1" t="n">
        <v>61137</v>
      </c>
      <c r="B61138">
        <f>TEXT(61137, "[$-0E0000]yyyy-mm-dd")</f>
        <v/>
      </c>
      <c r="C61138" t="inlineStr">
        <is>
          <t>2067-04-09</t>
        </is>
      </c>
    </row>
    <row r="61139">
      <c r="A61139" s="1" t="n">
        <v>61138</v>
      </c>
      <c r="B61139">
        <f>TEXT(61138, "[$-0E0000]yyyy-mm-dd")</f>
        <v/>
      </c>
      <c r="C61139" t="inlineStr">
        <is>
          <t>2067-04-10</t>
        </is>
      </c>
    </row>
    <row r="61140">
      <c r="A61140" s="1" t="n">
        <v>61139</v>
      </c>
      <c r="B61140">
        <f>TEXT(61139, "[$-0E0000]yyyy-mm-dd")</f>
        <v/>
      </c>
      <c r="C61140" t="inlineStr">
        <is>
          <t>2067-04-11</t>
        </is>
      </c>
    </row>
    <row r="61141">
      <c r="A61141" s="1" t="n">
        <v>61140</v>
      </c>
      <c r="B61141">
        <f>TEXT(61140, "[$-0E0000]yyyy-mm-dd")</f>
        <v/>
      </c>
      <c r="C61141" t="inlineStr">
        <is>
          <t>2067-04-12</t>
        </is>
      </c>
    </row>
    <row r="61142">
      <c r="A61142" s="1" t="n">
        <v>61141</v>
      </c>
      <c r="B61142">
        <f>TEXT(61141, "[$-0E0000]yyyy-mm-dd")</f>
        <v/>
      </c>
      <c r="C61142" t="inlineStr">
        <is>
          <t>2067-04-13</t>
        </is>
      </c>
    </row>
    <row r="61143">
      <c r="A61143" s="1" t="n">
        <v>61142</v>
      </c>
      <c r="B61143">
        <f>TEXT(61142, "[$-0E0000]yyyy-mm-dd")</f>
        <v/>
      </c>
      <c r="C61143" t="inlineStr">
        <is>
          <t>2067-04-14</t>
        </is>
      </c>
    </row>
    <row r="61144">
      <c r="A61144" s="1" t="n">
        <v>61143</v>
      </c>
      <c r="B61144">
        <f>TEXT(61143, "[$-0E0000]yyyy-mm-dd")</f>
        <v/>
      </c>
      <c r="C61144" t="inlineStr">
        <is>
          <t>2067-04-15</t>
        </is>
      </c>
    </row>
    <row r="61145">
      <c r="A61145" s="1" t="n">
        <v>61144</v>
      </c>
      <c r="B61145">
        <f>TEXT(61144, "[$-0E0000]yyyy-mm-dd")</f>
        <v/>
      </c>
      <c r="C61145" t="inlineStr">
        <is>
          <t>2067-04-16</t>
        </is>
      </c>
    </row>
    <row r="61146">
      <c r="A61146" s="1" t="n">
        <v>61145</v>
      </c>
      <c r="B61146">
        <f>TEXT(61145, "[$-0E0000]yyyy-mm-dd")</f>
        <v/>
      </c>
      <c r="C61146" t="inlineStr">
        <is>
          <t>2067-04-17</t>
        </is>
      </c>
    </row>
    <row r="61147">
      <c r="A61147" s="1" t="n">
        <v>61146</v>
      </c>
      <c r="B61147">
        <f>TEXT(61146, "[$-0E0000]yyyy-mm-dd")</f>
        <v/>
      </c>
      <c r="C61147" t="inlineStr">
        <is>
          <t>2067-04-18</t>
        </is>
      </c>
    </row>
    <row r="61148">
      <c r="A61148" s="1" t="n">
        <v>61147</v>
      </c>
      <c r="B61148">
        <f>TEXT(61147, "[$-0E0000]yyyy-mm-dd")</f>
        <v/>
      </c>
      <c r="C61148" t="inlineStr">
        <is>
          <t>2067-04-19</t>
        </is>
      </c>
    </row>
    <row r="61149">
      <c r="A61149" s="1" t="n">
        <v>61148</v>
      </c>
      <c r="B61149">
        <f>TEXT(61148, "[$-0E0000]yyyy-mm-dd")</f>
        <v/>
      </c>
      <c r="C61149" t="inlineStr">
        <is>
          <t>2067-04-20</t>
        </is>
      </c>
    </row>
    <row r="61150">
      <c r="A61150" s="1" t="n">
        <v>61149</v>
      </c>
      <c r="B61150">
        <f>TEXT(61149, "[$-0E0000]yyyy-mm-dd")</f>
        <v/>
      </c>
      <c r="C61150" t="inlineStr">
        <is>
          <t>2067-04-21</t>
        </is>
      </c>
    </row>
    <row r="61151">
      <c r="A61151" s="1" t="n">
        <v>61150</v>
      </c>
      <c r="B61151">
        <f>TEXT(61150, "[$-0E0000]yyyy-mm-dd")</f>
        <v/>
      </c>
      <c r="C61151" t="inlineStr">
        <is>
          <t>2067-04-22</t>
        </is>
      </c>
    </row>
    <row r="61152">
      <c r="A61152" s="1" t="n">
        <v>61151</v>
      </c>
      <c r="B61152">
        <f>TEXT(61151, "[$-0E0000]yyyy-mm-dd")</f>
        <v/>
      </c>
      <c r="C61152" t="inlineStr">
        <is>
          <t>2067-04-23</t>
        </is>
      </c>
    </row>
    <row r="61153">
      <c r="A61153" s="1" t="n">
        <v>61152</v>
      </c>
      <c r="B61153">
        <f>TEXT(61152, "[$-0E0000]yyyy-mm-dd")</f>
        <v/>
      </c>
      <c r="C61153" t="inlineStr">
        <is>
          <t>2067-04-24</t>
        </is>
      </c>
    </row>
    <row r="61154">
      <c r="A61154" s="1" t="n">
        <v>61153</v>
      </c>
      <c r="B61154">
        <f>TEXT(61153, "[$-0E0000]yyyy-mm-dd")</f>
        <v/>
      </c>
      <c r="C61154" t="inlineStr">
        <is>
          <t>2067-04-25</t>
        </is>
      </c>
    </row>
    <row r="61155">
      <c r="A61155" s="1" t="n">
        <v>61154</v>
      </c>
      <c r="B61155">
        <f>TEXT(61154, "[$-0E0000]yyyy-mm-dd")</f>
        <v/>
      </c>
      <c r="C61155" t="inlineStr">
        <is>
          <t>2067-04-26</t>
        </is>
      </c>
    </row>
    <row r="61156">
      <c r="A61156" s="1" t="n">
        <v>61155</v>
      </c>
      <c r="B61156">
        <f>TEXT(61155, "[$-0E0000]yyyy-mm-dd")</f>
        <v/>
      </c>
      <c r="C61156" t="inlineStr">
        <is>
          <t>2067-04-27</t>
        </is>
      </c>
    </row>
    <row r="61157">
      <c r="A61157" s="1" t="n">
        <v>61156</v>
      </c>
      <c r="B61157">
        <f>TEXT(61156, "[$-0E0000]yyyy-mm-dd")</f>
        <v/>
      </c>
      <c r="C61157" t="inlineStr">
        <is>
          <t>2067-04-28</t>
        </is>
      </c>
    </row>
    <row r="61158">
      <c r="A61158" s="1" t="n">
        <v>61157</v>
      </c>
      <c r="B61158">
        <f>TEXT(61157, "[$-0E0000]yyyy-mm-dd")</f>
        <v/>
      </c>
      <c r="C61158" t="inlineStr">
        <is>
          <t>2067-04-29</t>
        </is>
      </c>
    </row>
    <row r="61159">
      <c r="A61159" s="1" t="n">
        <v>61158</v>
      </c>
      <c r="B61159">
        <f>TEXT(61158, "[$-0E0000]yyyy-mm-dd")</f>
        <v/>
      </c>
      <c r="C61159" t="inlineStr">
        <is>
          <t>2067-04-30</t>
        </is>
      </c>
    </row>
    <row r="61160">
      <c r="A61160" s="1" t="n">
        <v>61159</v>
      </c>
      <c r="B61160">
        <f>TEXT(61159, "[$-0E0000]yyyy-mm-dd")</f>
        <v/>
      </c>
      <c r="C61160" t="inlineStr">
        <is>
          <t>2067-05-01</t>
        </is>
      </c>
    </row>
    <row r="61161">
      <c r="A61161" s="1" t="n">
        <v>61160</v>
      </c>
      <c r="B61161">
        <f>TEXT(61160, "[$-0E0000]yyyy-mm-dd")</f>
        <v/>
      </c>
      <c r="C61161" t="inlineStr">
        <is>
          <t>2067-05-02</t>
        </is>
      </c>
    </row>
    <row r="61162">
      <c r="A61162" s="1" t="n">
        <v>61161</v>
      </c>
      <c r="B61162">
        <f>TEXT(61161, "[$-0E0000]yyyy-mm-dd")</f>
        <v/>
      </c>
      <c r="C61162" t="inlineStr">
        <is>
          <t>2067-05-03</t>
        </is>
      </c>
    </row>
    <row r="61163">
      <c r="A61163" s="1" t="n">
        <v>61162</v>
      </c>
      <c r="B61163">
        <f>TEXT(61162, "[$-0E0000]yyyy-mm-dd")</f>
        <v/>
      </c>
      <c r="C61163" t="inlineStr">
        <is>
          <t>2067-05-04</t>
        </is>
      </c>
    </row>
    <row r="61164">
      <c r="A61164" s="1" t="n">
        <v>61163</v>
      </c>
      <c r="B61164">
        <f>TEXT(61163, "[$-0E0000]yyyy-mm-dd")</f>
        <v/>
      </c>
      <c r="C61164" t="inlineStr">
        <is>
          <t>2067-05-05</t>
        </is>
      </c>
    </row>
    <row r="61165">
      <c r="A61165" s="1" t="n">
        <v>61164</v>
      </c>
      <c r="B61165">
        <f>TEXT(61164, "[$-0E0000]yyyy-mm-dd")</f>
        <v/>
      </c>
      <c r="C61165" t="inlineStr">
        <is>
          <t>2067-05-06</t>
        </is>
      </c>
    </row>
    <row r="61166">
      <c r="A61166" s="1" t="n">
        <v>61165</v>
      </c>
      <c r="B61166">
        <f>TEXT(61165, "[$-0E0000]yyyy-mm-dd")</f>
        <v/>
      </c>
      <c r="C61166" t="inlineStr">
        <is>
          <t>2067-05-07</t>
        </is>
      </c>
    </row>
    <row r="61167">
      <c r="A61167" s="1" t="n">
        <v>61166</v>
      </c>
      <c r="B61167">
        <f>TEXT(61166, "[$-0E0000]yyyy-mm-dd")</f>
        <v/>
      </c>
      <c r="C61167" t="inlineStr">
        <is>
          <t>2067-05-08</t>
        </is>
      </c>
    </row>
    <row r="61168">
      <c r="A61168" s="1" t="n">
        <v>61167</v>
      </c>
      <c r="B61168">
        <f>TEXT(61167, "[$-0E0000]yyyy-mm-dd")</f>
        <v/>
      </c>
      <c r="C61168" t="inlineStr">
        <is>
          <t>2067-05-09</t>
        </is>
      </c>
    </row>
    <row r="61169">
      <c r="A61169" s="1" t="n">
        <v>61168</v>
      </c>
      <c r="B61169">
        <f>TEXT(61168, "[$-0E0000]yyyy-mm-dd")</f>
        <v/>
      </c>
      <c r="C61169" t="inlineStr">
        <is>
          <t>2067-05-10</t>
        </is>
      </c>
    </row>
    <row r="61170">
      <c r="A61170" s="1" t="n">
        <v>61169</v>
      </c>
      <c r="B61170">
        <f>TEXT(61169, "[$-0E0000]yyyy-mm-dd")</f>
        <v/>
      </c>
      <c r="C61170" t="inlineStr">
        <is>
          <t>2067-05-11</t>
        </is>
      </c>
    </row>
    <row r="61171">
      <c r="A61171" s="1" t="n">
        <v>61170</v>
      </c>
      <c r="B61171">
        <f>TEXT(61170, "[$-0E0000]yyyy-mm-dd")</f>
        <v/>
      </c>
      <c r="C61171" t="inlineStr">
        <is>
          <t>2067-05-12</t>
        </is>
      </c>
    </row>
    <row r="61172">
      <c r="A61172" s="1" t="n">
        <v>61171</v>
      </c>
      <c r="B61172">
        <f>TEXT(61171, "[$-0E0000]yyyy-mm-dd")</f>
        <v/>
      </c>
      <c r="C61172" t="inlineStr">
        <is>
          <t>2067-05-13</t>
        </is>
      </c>
    </row>
    <row r="61173">
      <c r="A61173" s="1" t="n">
        <v>61172</v>
      </c>
      <c r="B61173">
        <f>TEXT(61172, "[$-0E0000]yyyy-mm-dd")</f>
        <v/>
      </c>
      <c r="C61173" t="inlineStr">
        <is>
          <t>2067-05-14</t>
        </is>
      </c>
    </row>
    <row r="61174">
      <c r="A61174" s="1" t="n">
        <v>61173</v>
      </c>
      <c r="B61174">
        <f>TEXT(61173, "[$-0E0000]yyyy-mm-dd")</f>
        <v/>
      </c>
      <c r="C61174" t="inlineStr">
        <is>
          <t>2067-05-15</t>
        </is>
      </c>
    </row>
    <row r="61175">
      <c r="A61175" s="1" t="n">
        <v>61174</v>
      </c>
      <c r="B61175">
        <f>TEXT(61174, "[$-0E0000]yyyy-mm-dd")</f>
        <v/>
      </c>
      <c r="C61175" t="inlineStr">
        <is>
          <t>2067-05-16</t>
        </is>
      </c>
    </row>
    <row r="61176">
      <c r="A61176" s="1" t="n">
        <v>61175</v>
      </c>
      <c r="B61176">
        <f>TEXT(61175, "[$-0E0000]yyyy-mm-dd")</f>
        <v/>
      </c>
      <c r="C61176" t="inlineStr">
        <is>
          <t>2067-05-17</t>
        </is>
      </c>
    </row>
    <row r="61177">
      <c r="A61177" s="1" t="n">
        <v>61176</v>
      </c>
      <c r="B61177">
        <f>TEXT(61176, "[$-0E0000]yyyy-mm-dd")</f>
        <v/>
      </c>
      <c r="C61177" t="inlineStr">
        <is>
          <t>2067-05-18</t>
        </is>
      </c>
    </row>
    <row r="61178">
      <c r="A61178" s="1" t="n">
        <v>61177</v>
      </c>
      <c r="B61178">
        <f>TEXT(61177, "[$-0E0000]yyyy-mm-dd")</f>
        <v/>
      </c>
      <c r="C61178" t="inlineStr">
        <is>
          <t>2067-05-19</t>
        </is>
      </c>
    </row>
    <row r="61179">
      <c r="A61179" s="1" t="n">
        <v>61178</v>
      </c>
      <c r="B61179">
        <f>TEXT(61178, "[$-0E0000]yyyy-mm-dd")</f>
        <v/>
      </c>
      <c r="C61179" t="inlineStr">
        <is>
          <t>2067-05-20</t>
        </is>
      </c>
    </row>
    <row r="61180">
      <c r="A61180" s="1" t="n">
        <v>61179</v>
      </c>
      <c r="B61180">
        <f>TEXT(61179, "[$-0E0000]yyyy-mm-dd")</f>
        <v/>
      </c>
      <c r="C61180" t="inlineStr">
        <is>
          <t>2067-05-21</t>
        </is>
      </c>
    </row>
    <row r="61181">
      <c r="A61181" s="1" t="n">
        <v>61180</v>
      </c>
      <c r="B61181">
        <f>TEXT(61180, "[$-0E0000]yyyy-mm-dd")</f>
        <v/>
      </c>
      <c r="C61181" t="inlineStr">
        <is>
          <t>2067-05-22</t>
        </is>
      </c>
    </row>
    <row r="61182">
      <c r="A61182" s="1" t="n">
        <v>61181</v>
      </c>
      <c r="B61182">
        <f>TEXT(61181, "[$-0E0000]yyyy-mm-dd")</f>
        <v/>
      </c>
      <c r="C61182" t="inlineStr">
        <is>
          <t>2067-05-23</t>
        </is>
      </c>
    </row>
    <row r="61183">
      <c r="A61183" s="1" t="n">
        <v>61182</v>
      </c>
      <c r="B61183">
        <f>TEXT(61182, "[$-0E0000]yyyy-mm-dd")</f>
        <v/>
      </c>
      <c r="C61183" t="inlineStr">
        <is>
          <t>2067-05-24</t>
        </is>
      </c>
    </row>
    <row r="61184">
      <c r="A61184" s="1" t="n">
        <v>61183</v>
      </c>
      <c r="B61184">
        <f>TEXT(61183, "[$-0E0000]yyyy-mm-dd")</f>
        <v/>
      </c>
      <c r="C61184" t="inlineStr">
        <is>
          <t>2067-05-25</t>
        </is>
      </c>
    </row>
    <row r="61185">
      <c r="A61185" s="1" t="n">
        <v>61184</v>
      </c>
      <c r="B61185">
        <f>TEXT(61184, "[$-0E0000]yyyy-mm-dd")</f>
        <v/>
      </c>
      <c r="C61185" t="inlineStr">
        <is>
          <t>2067-05-26</t>
        </is>
      </c>
    </row>
    <row r="61186">
      <c r="A61186" s="1" t="n">
        <v>61185</v>
      </c>
      <c r="B61186">
        <f>TEXT(61185, "[$-0E0000]yyyy-mm-dd")</f>
        <v/>
      </c>
      <c r="C61186" t="inlineStr">
        <is>
          <t>2067-05-27</t>
        </is>
      </c>
    </row>
    <row r="61187">
      <c r="A61187" s="1" t="n">
        <v>61186</v>
      </c>
      <c r="B61187">
        <f>TEXT(61186, "[$-0E0000]yyyy-mm-dd")</f>
        <v/>
      </c>
      <c r="C61187" t="inlineStr">
        <is>
          <t>2067-05-28</t>
        </is>
      </c>
    </row>
    <row r="61188">
      <c r="A61188" s="1" t="n">
        <v>61187</v>
      </c>
      <c r="B61188">
        <f>TEXT(61187, "[$-0E0000]yyyy-mm-dd")</f>
        <v/>
      </c>
      <c r="C61188" t="inlineStr">
        <is>
          <t>2067-05-29</t>
        </is>
      </c>
    </row>
    <row r="61189">
      <c r="A61189" s="1" t="n">
        <v>61188</v>
      </c>
      <c r="B61189">
        <f>TEXT(61188, "[$-0E0000]yyyy-mm-dd")</f>
        <v/>
      </c>
      <c r="C61189" t="inlineStr">
        <is>
          <t>2067-06-01</t>
        </is>
      </c>
    </row>
    <row r="61190">
      <c r="A61190" s="1" t="n">
        <v>61189</v>
      </c>
      <c r="B61190">
        <f>TEXT(61189, "[$-0E0000]yyyy-mm-dd")</f>
        <v/>
      </c>
      <c r="C61190" t="inlineStr">
        <is>
          <t>2067-06-02</t>
        </is>
      </c>
    </row>
    <row r="61191">
      <c r="A61191" s="1" t="n">
        <v>61190</v>
      </c>
      <c r="B61191">
        <f>TEXT(61190, "[$-0E0000]yyyy-mm-dd")</f>
        <v/>
      </c>
      <c r="C61191" t="inlineStr">
        <is>
          <t>2067-06-03</t>
        </is>
      </c>
    </row>
    <row r="61192">
      <c r="A61192" s="1" t="n">
        <v>61191</v>
      </c>
      <c r="B61192">
        <f>TEXT(61191, "[$-0E0000]yyyy-mm-dd")</f>
        <v/>
      </c>
      <c r="C61192" t="inlineStr">
        <is>
          <t>2067-06-04</t>
        </is>
      </c>
    </row>
    <row r="61193">
      <c r="A61193" s="1" t="n">
        <v>61192</v>
      </c>
      <c r="B61193">
        <f>TEXT(61192, "[$-0E0000]yyyy-mm-dd")</f>
        <v/>
      </c>
      <c r="C61193" t="inlineStr">
        <is>
          <t>2067-06-05</t>
        </is>
      </c>
    </row>
    <row r="61194">
      <c r="A61194" s="1" t="n">
        <v>61193</v>
      </c>
      <c r="B61194">
        <f>TEXT(61193, "[$-0E0000]yyyy-mm-dd")</f>
        <v/>
      </c>
      <c r="C61194" t="inlineStr">
        <is>
          <t>2067-06-06</t>
        </is>
      </c>
    </row>
    <row r="61195">
      <c r="A61195" s="1" t="n">
        <v>61194</v>
      </c>
      <c r="B61195">
        <f>TEXT(61194, "[$-0E0000]yyyy-mm-dd")</f>
        <v/>
      </c>
      <c r="C61195" t="inlineStr">
        <is>
          <t>2067-06-07</t>
        </is>
      </c>
    </row>
    <row r="61196">
      <c r="A61196" s="1" t="n">
        <v>61195</v>
      </c>
      <c r="B61196">
        <f>TEXT(61195, "[$-0E0000]yyyy-mm-dd")</f>
        <v/>
      </c>
      <c r="C61196" t="inlineStr">
        <is>
          <t>2067-06-08</t>
        </is>
      </c>
    </row>
    <row r="61197">
      <c r="A61197" s="1" t="n">
        <v>61196</v>
      </c>
      <c r="B61197">
        <f>TEXT(61196, "[$-0E0000]yyyy-mm-dd")</f>
        <v/>
      </c>
      <c r="C61197" t="inlineStr">
        <is>
          <t>2067-06-09</t>
        </is>
      </c>
    </row>
    <row r="61198">
      <c r="A61198" s="1" t="n">
        <v>61197</v>
      </c>
      <c r="B61198">
        <f>TEXT(61197, "[$-0E0000]yyyy-mm-dd")</f>
        <v/>
      </c>
      <c r="C61198" t="inlineStr">
        <is>
          <t>2067-06-10</t>
        </is>
      </c>
    </row>
    <row r="61199">
      <c r="A61199" s="1" t="n">
        <v>61198</v>
      </c>
      <c r="B61199">
        <f>TEXT(61198, "[$-0E0000]yyyy-mm-dd")</f>
        <v/>
      </c>
      <c r="C61199" t="inlineStr">
        <is>
          <t>2067-06-11</t>
        </is>
      </c>
    </row>
    <row r="61200">
      <c r="A61200" s="1" t="n">
        <v>61199</v>
      </c>
      <c r="B61200">
        <f>TEXT(61199, "[$-0E0000]yyyy-mm-dd")</f>
        <v/>
      </c>
      <c r="C61200" t="inlineStr">
        <is>
          <t>2067-06-12</t>
        </is>
      </c>
    </row>
    <row r="61201">
      <c r="A61201" s="1" t="n">
        <v>61200</v>
      </c>
      <c r="B61201">
        <f>TEXT(61200, "[$-0E0000]yyyy-mm-dd")</f>
        <v/>
      </c>
      <c r="C61201" t="inlineStr">
        <is>
          <t>2067-06-13</t>
        </is>
      </c>
    </row>
    <row r="61202">
      <c r="A61202" s="1" t="n">
        <v>61201</v>
      </c>
      <c r="B61202">
        <f>TEXT(61201, "[$-0E0000]yyyy-mm-dd")</f>
        <v/>
      </c>
      <c r="C61202" t="inlineStr">
        <is>
          <t>2067-06-14</t>
        </is>
      </c>
    </row>
    <row r="61203">
      <c r="A61203" s="1" t="n">
        <v>61202</v>
      </c>
      <c r="B61203">
        <f>TEXT(61202, "[$-0E0000]yyyy-mm-dd")</f>
        <v/>
      </c>
      <c r="C61203" t="inlineStr">
        <is>
          <t>2067-06-15</t>
        </is>
      </c>
    </row>
    <row r="61204">
      <c r="A61204" s="1" t="n">
        <v>61203</v>
      </c>
      <c r="B61204">
        <f>TEXT(61203, "[$-0E0000]yyyy-mm-dd")</f>
        <v/>
      </c>
      <c r="C61204" t="inlineStr">
        <is>
          <t>2067-06-16</t>
        </is>
      </c>
    </row>
    <row r="61205">
      <c r="A61205" s="1" t="n">
        <v>61204</v>
      </c>
      <c r="B61205">
        <f>TEXT(61204, "[$-0E0000]yyyy-mm-dd")</f>
        <v/>
      </c>
      <c r="C61205" t="inlineStr">
        <is>
          <t>2067-06-17</t>
        </is>
      </c>
    </row>
    <row r="61206">
      <c r="A61206" s="1" t="n">
        <v>61205</v>
      </c>
      <c r="B61206">
        <f>TEXT(61205, "[$-0E0000]yyyy-mm-dd")</f>
        <v/>
      </c>
      <c r="C61206" t="inlineStr">
        <is>
          <t>2067-06-18</t>
        </is>
      </c>
    </row>
    <row r="61207">
      <c r="A61207" s="1" t="n">
        <v>61206</v>
      </c>
      <c r="B61207">
        <f>TEXT(61206, "[$-0E0000]yyyy-mm-dd")</f>
        <v/>
      </c>
      <c r="C61207" t="inlineStr">
        <is>
          <t>2067-06-19</t>
        </is>
      </c>
    </row>
    <row r="61208">
      <c r="A61208" s="1" t="n">
        <v>61207</v>
      </c>
      <c r="B61208">
        <f>TEXT(61207, "[$-0E0000]yyyy-mm-dd")</f>
        <v/>
      </c>
      <c r="C61208" t="inlineStr">
        <is>
          <t>2067-06-20</t>
        </is>
      </c>
    </row>
    <row r="61209">
      <c r="A61209" s="1" t="n">
        <v>61208</v>
      </c>
      <c r="B61209">
        <f>TEXT(61208, "[$-0E0000]yyyy-mm-dd")</f>
        <v/>
      </c>
      <c r="C61209" t="inlineStr">
        <is>
          <t>2067-06-21</t>
        </is>
      </c>
    </row>
    <row r="61210">
      <c r="A61210" s="1" t="n">
        <v>61209</v>
      </c>
      <c r="B61210">
        <f>TEXT(61209, "[$-0E0000]yyyy-mm-dd")</f>
        <v/>
      </c>
      <c r="C61210" t="inlineStr">
        <is>
          <t>2067-06-22</t>
        </is>
      </c>
    </row>
    <row r="61211">
      <c r="A61211" s="1" t="n">
        <v>61210</v>
      </c>
      <c r="B61211">
        <f>TEXT(61210, "[$-0E0000]yyyy-mm-dd")</f>
        <v/>
      </c>
      <c r="C61211" t="inlineStr">
        <is>
          <t>2067-06-23</t>
        </is>
      </c>
    </row>
    <row r="61212">
      <c r="A61212" s="1" t="n">
        <v>61211</v>
      </c>
      <c r="B61212">
        <f>TEXT(61211, "[$-0E0000]yyyy-mm-dd")</f>
        <v/>
      </c>
      <c r="C61212" t="inlineStr">
        <is>
          <t>2067-06-24</t>
        </is>
      </c>
    </row>
    <row r="61213">
      <c r="A61213" s="1" t="n">
        <v>61212</v>
      </c>
      <c r="B61213">
        <f>TEXT(61212, "[$-0E0000]yyyy-mm-dd")</f>
        <v/>
      </c>
      <c r="C61213" t="inlineStr">
        <is>
          <t>2067-06-25</t>
        </is>
      </c>
    </row>
    <row r="61214">
      <c r="A61214" s="1" t="n">
        <v>61213</v>
      </c>
      <c r="B61214">
        <f>TEXT(61213, "[$-0E0000]yyyy-mm-dd")</f>
        <v/>
      </c>
      <c r="C61214" t="inlineStr">
        <is>
          <t>2067-06-26</t>
        </is>
      </c>
    </row>
    <row r="61215">
      <c r="A61215" s="1" t="n">
        <v>61214</v>
      </c>
      <c r="B61215">
        <f>TEXT(61214, "[$-0E0000]yyyy-mm-dd")</f>
        <v/>
      </c>
      <c r="C61215" t="inlineStr">
        <is>
          <t>2067-06-27</t>
        </is>
      </c>
    </row>
    <row r="61216">
      <c r="A61216" s="1" t="n">
        <v>61215</v>
      </c>
      <c r="B61216">
        <f>TEXT(61215, "[$-0E0000]yyyy-mm-dd")</f>
        <v/>
      </c>
      <c r="C61216" t="inlineStr">
        <is>
          <t>2067-06-28</t>
        </is>
      </c>
    </row>
    <row r="61217">
      <c r="A61217" s="1" t="n">
        <v>61216</v>
      </c>
      <c r="B61217">
        <f>TEXT(61216, "[$-0E0000]yyyy-mm-dd")</f>
        <v/>
      </c>
      <c r="C61217" t="inlineStr">
        <is>
          <t>2067-06-29</t>
        </is>
      </c>
    </row>
    <row r="61218">
      <c r="A61218" s="1" t="n">
        <v>61217</v>
      </c>
      <c r="B61218">
        <f>TEXT(61217, "[$-0E0000]yyyy-mm-dd")</f>
        <v/>
      </c>
      <c r="C61218" t="inlineStr">
        <is>
          <t>2067-06-30</t>
        </is>
      </c>
    </row>
    <row r="61219">
      <c r="A61219" s="1" t="n">
        <v>61218</v>
      </c>
      <c r="B61219">
        <f>TEXT(61218, "[$-0E0000]yyyy-mm-dd")</f>
        <v/>
      </c>
      <c r="C61219" t="inlineStr">
        <is>
          <t>2067-07-01</t>
        </is>
      </c>
    </row>
    <row r="61220">
      <c r="A61220" s="1" t="n">
        <v>61219</v>
      </c>
      <c r="B61220">
        <f>TEXT(61219, "[$-0E0000]yyyy-mm-dd")</f>
        <v/>
      </c>
      <c r="C61220" t="inlineStr">
        <is>
          <t>2067-07-02</t>
        </is>
      </c>
    </row>
    <row r="61221">
      <c r="A61221" s="1" t="n">
        <v>61220</v>
      </c>
      <c r="B61221">
        <f>TEXT(61220, "[$-0E0000]yyyy-mm-dd")</f>
        <v/>
      </c>
      <c r="C61221" t="inlineStr">
        <is>
          <t>2067-07-03</t>
        </is>
      </c>
    </row>
    <row r="61222">
      <c r="A61222" s="1" t="n">
        <v>61221</v>
      </c>
      <c r="B61222">
        <f>TEXT(61221, "[$-0E0000]yyyy-mm-dd")</f>
        <v/>
      </c>
      <c r="C61222" t="inlineStr">
        <is>
          <t>2067-07-04</t>
        </is>
      </c>
    </row>
    <row r="61223">
      <c r="A61223" s="1" t="n">
        <v>61222</v>
      </c>
      <c r="B61223">
        <f>TEXT(61222, "[$-0E0000]yyyy-mm-dd")</f>
        <v/>
      </c>
      <c r="C61223" t="inlineStr">
        <is>
          <t>2067-07-05</t>
        </is>
      </c>
    </row>
    <row r="61224">
      <c r="A61224" s="1" t="n">
        <v>61223</v>
      </c>
      <c r="B61224">
        <f>TEXT(61223, "[$-0E0000]yyyy-mm-dd")</f>
        <v/>
      </c>
      <c r="C61224" t="inlineStr">
        <is>
          <t>2067-07-06</t>
        </is>
      </c>
    </row>
    <row r="61225">
      <c r="A61225" s="1" t="n">
        <v>61224</v>
      </c>
      <c r="B61225">
        <f>TEXT(61224, "[$-0E0000]yyyy-mm-dd")</f>
        <v/>
      </c>
      <c r="C61225" t="inlineStr">
        <is>
          <t>2067-07-07</t>
        </is>
      </c>
    </row>
    <row r="61226">
      <c r="A61226" s="1" t="n">
        <v>61225</v>
      </c>
      <c r="B61226">
        <f>TEXT(61225, "[$-0E0000]yyyy-mm-dd")</f>
        <v/>
      </c>
      <c r="C61226" t="inlineStr">
        <is>
          <t>2067-07-08</t>
        </is>
      </c>
    </row>
    <row r="61227">
      <c r="A61227" s="1" t="n">
        <v>61226</v>
      </c>
      <c r="B61227">
        <f>TEXT(61226, "[$-0E0000]yyyy-mm-dd")</f>
        <v/>
      </c>
      <c r="C61227" t="inlineStr">
        <is>
          <t>2067-07-09</t>
        </is>
      </c>
    </row>
    <row r="61228">
      <c r="A61228" s="1" t="n">
        <v>61227</v>
      </c>
      <c r="B61228">
        <f>TEXT(61227, "[$-0E0000]yyyy-mm-dd")</f>
        <v/>
      </c>
      <c r="C61228" t="inlineStr">
        <is>
          <t>2067-07-10</t>
        </is>
      </c>
    </row>
    <row r="61229">
      <c r="A61229" s="1" t="n">
        <v>61228</v>
      </c>
      <c r="B61229">
        <f>TEXT(61228, "[$-0E0000]yyyy-mm-dd")</f>
        <v/>
      </c>
      <c r="C61229" t="inlineStr">
        <is>
          <t>2067-07-11</t>
        </is>
      </c>
    </row>
    <row r="61230">
      <c r="A61230" s="1" t="n">
        <v>61229</v>
      </c>
      <c r="B61230">
        <f>TEXT(61229, "[$-0E0000]yyyy-mm-dd")</f>
        <v/>
      </c>
      <c r="C61230" t="inlineStr">
        <is>
          <t>2067-07-12</t>
        </is>
      </c>
    </row>
    <row r="61231">
      <c r="A61231" s="1" t="n">
        <v>61230</v>
      </c>
      <c r="B61231">
        <f>TEXT(61230, "[$-0E0000]yyyy-mm-dd")</f>
        <v/>
      </c>
      <c r="C61231" t="inlineStr">
        <is>
          <t>2067-07-13</t>
        </is>
      </c>
    </row>
    <row r="61232">
      <c r="A61232" s="1" t="n">
        <v>61231</v>
      </c>
      <c r="B61232">
        <f>TEXT(61231, "[$-0E0000]yyyy-mm-dd")</f>
        <v/>
      </c>
      <c r="C61232" t="inlineStr">
        <is>
          <t>2067-07-14</t>
        </is>
      </c>
    </row>
    <row r="61233">
      <c r="A61233" s="1" t="n">
        <v>61232</v>
      </c>
      <c r="B61233">
        <f>TEXT(61232, "[$-0E0000]yyyy-mm-dd")</f>
        <v/>
      </c>
      <c r="C61233" t="inlineStr">
        <is>
          <t>2067-07-15</t>
        </is>
      </c>
    </row>
    <row r="61234">
      <c r="A61234" s="1" t="n">
        <v>61233</v>
      </c>
      <c r="B61234">
        <f>TEXT(61233, "[$-0E0000]yyyy-mm-dd")</f>
        <v/>
      </c>
      <c r="C61234" t="inlineStr">
        <is>
          <t>2067-07-16</t>
        </is>
      </c>
    </row>
    <row r="61235">
      <c r="A61235" s="1" t="n">
        <v>61234</v>
      </c>
      <c r="B61235">
        <f>TEXT(61234, "[$-0E0000]yyyy-mm-dd")</f>
        <v/>
      </c>
      <c r="C61235" t="inlineStr">
        <is>
          <t>2067-07-17</t>
        </is>
      </c>
    </row>
    <row r="61236">
      <c r="A61236" s="1" t="n">
        <v>61235</v>
      </c>
      <c r="B61236">
        <f>TEXT(61235, "[$-0E0000]yyyy-mm-dd")</f>
        <v/>
      </c>
      <c r="C61236" t="inlineStr">
        <is>
          <t>2067-07-18</t>
        </is>
      </c>
    </row>
    <row r="61237">
      <c r="A61237" s="1" t="n">
        <v>61236</v>
      </c>
      <c r="B61237">
        <f>TEXT(61236, "[$-0E0000]yyyy-mm-dd")</f>
        <v/>
      </c>
      <c r="C61237" t="inlineStr">
        <is>
          <t>2067-07-19</t>
        </is>
      </c>
    </row>
    <row r="61238">
      <c r="A61238" s="1" t="n">
        <v>61237</v>
      </c>
      <c r="B61238">
        <f>TEXT(61237, "[$-0E0000]yyyy-mm-dd")</f>
        <v/>
      </c>
      <c r="C61238" t="inlineStr">
        <is>
          <t>2067-07-20</t>
        </is>
      </c>
    </row>
    <row r="61239">
      <c r="A61239" s="1" t="n">
        <v>61238</v>
      </c>
      <c r="B61239">
        <f>TEXT(61238, "[$-0E0000]yyyy-mm-dd")</f>
        <v/>
      </c>
      <c r="C61239" t="inlineStr">
        <is>
          <t>2067-07-21</t>
        </is>
      </c>
    </row>
    <row r="61240">
      <c r="A61240" s="1" t="n">
        <v>61239</v>
      </c>
      <c r="B61240">
        <f>TEXT(61239, "[$-0E0000]yyyy-mm-dd")</f>
        <v/>
      </c>
      <c r="C61240" t="inlineStr">
        <is>
          <t>2067-07-22</t>
        </is>
      </c>
    </row>
    <row r="61241">
      <c r="A61241" s="1" t="n">
        <v>61240</v>
      </c>
      <c r="B61241">
        <f>TEXT(61240, "[$-0E0000]yyyy-mm-dd")</f>
        <v/>
      </c>
      <c r="C61241" t="inlineStr">
        <is>
          <t>2067-07-23</t>
        </is>
      </c>
    </row>
    <row r="61242">
      <c r="A61242" s="1" t="n">
        <v>61241</v>
      </c>
      <c r="B61242">
        <f>TEXT(61241, "[$-0E0000]yyyy-mm-dd")</f>
        <v/>
      </c>
      <c r="C61242" t="inlineStr">
        <is>
          <t>2067-07-24</t>
        </is>
      </c>
    </row>
    <row r="61243">
      <c r="A61243" s="1" t="n">
        <v>61242</v>
      </c>
      <c r="B61243">
        <f>TEXT(61242, "[$-0E0000]yyyy-mm-dd")</f>
        <v/>
      </c>
      <c r="C61243" t="inlineStr">
        <is>
          <t>2067-07-25</t>
        </is>
      </c>
    </row>
    <row r="61244">
      <c r="A61244" s="1" t="n">
        <v>61243</v>
      </c>
      <c r="B61244">
        <f>TEXT(61243, "[$-0E0000]yyyy-mm-dd")</f>
        <v/>
      </c>
      <c r="C61244" t="inlineStr">
        <is>
          <t>2067-07-26</t>
        </is>
      </c>
    </row>
    <row r="61245">
      <c r="A61245" s="1" t="n">
        <v>61244</v>
      </c>
      <c r="B61245">
        <f>TEXT(61244, "[$-0E0000]yyyy-mm-dd")</f>
        <v/>
      </c>
      <c r="C61245" t="inlineStr">
        <is>
          <t>2067-07-27</t>
        </is>
      </c>
    </row>
    <row r="61246">
      <c r="A61246" s="1" t="n">
        <v>61245</v>
      </c>
      <c r="B61246">
        <f>TEXT(61245, "[$-0E0000]yyyy-mm-dd")</f>
        <v/>
      </c>
      <c r="C61246" t="inlineStr">
        <is>
          <t>2067-07-28</t>
        </is>
      </c>
    </row>
    <row r="61247">
      <c r="A61247" s="1" t="n">
        <v>61246</v>
      </c>
      <c r="B61247">
        <f>TEXT(61246, "[$-0E0000]yyyy-mm-dd")</f>
        <v/>
      </c>
      <c r="C61247" t="inlineStr">
        <is>
          <t>2067-07-29</t>
        </is>
      </c>
    </row>
    <row r="61248">
      <c r="A61248" s="1" t="n">
        <v>61247</v>
      </c>
      <c r="B61248">
        <f>TEXT(61247, "[$-0E0000]yyyy-mm-dd")</f>
        <v/>
      </c>
      <c r="C61248" t="inlineStr">
        <is>
          <t>2067-07-30</t>
        </is>
      </c>
    </row>
    <row r="61249">
      <c r="A61249" s="1" t="n">
        <v>61248</v>
      </c>
      <c r="B61249">
        <f>TEXT(61248, "[$-0E0000]yyyy-mm-dd")</f>
        <v/>
      </c>
      <c r="C61249" t="inlineStr">
        <is>
          <t>2067-08-01</t>
        </is>
      </c>
    </row>
    <row r="61250">
      <c r="A61250" s="1" t="n">
        <v>61249</v>
      </c>
      <c r="B61250">
        <f>TEXT(61249, "[$-0E0000]yyyy-mm-dd")</f>
        <v/>
      </c>
      <c r="C61250" t="inlineStr">
        <is>
          <t>2067-08-02</t>
        </is>
      </c>
    </row>
    <row r="61251">
      <c r="A61251" s="1" t="n">
        <v>61250</v>
      </c>
      <c r="B61251">
        <f>TEXT(61250, "[$-0E0000]yyyy-mm-dd")</f>
        <v/>
      </c>
      <c r="C61251" t="inlineStr">
        <is>
          <t>2067-08-03</t>
        </is>
      </c>
    </row>
    <row r="61252">
      <c r="A61252" s="1" t="n">
        <v>61251</v>
      </c>
      <c r="B61252">
        <f>TEXT(61251, "[$-0E0000]yyyy-mm-dd")</f>
        <v/>
      </c>
      <c r="C61252" t="inlineStr">
        <is>
          <t>2067-08-04</t>
        </is>
      </c>
    </row>
    <row r="61253">
      <c r="A61253" s="1" t="n">
        <v>61252</v>
      </c>
      <c r="B61253">
        <f>TEXT(61252, "[$-0E0000]yyyy-mm-dd")</f>
        <v/>
      </c>
      <c r="C61253" t="inlineStr">
        <is>
          <t>2067-08-05</t>
        </is>
      </c>
    </row>
    <row r="61254">
      <c r="A61254" s="1" t="n">
        <v>61253</v>
      </c>
      <c r="B61254">
        <f>TEXT(61253, "[$-0E0000]yyyy-mm-dd")</f>
        <v/>
      </c>
      <c r="C61254" t="inlineStr">
        <is>
          <t>2067-08-06</t>
        </is>
      </c>
    </row>
    <row r="61255">
      <c r="A61255" s="1" t="n">
        <v>61254</v>
      </c>
      <c r="B61255">
        <f>TEXT(61254, "[$-0E0000]yyyy-mm-dd")</f>
        <v/>
      </c>
      <c r="C61255" t="inlineStr">
        <is>
          <t>2067-08-07</t>
        </is>
      </c>
    </row>
    <row r="61256">
      <c r="A61256" s="1" t="n">
        <v>61255</v>
      </c>
      <c r="B61256">
        <f>TEXT(61255, "[$-0E0000]yyyy-mm-dd")</f>
        <v/>
      </c>
      <c r="C61256" t="inlineStr">
        <is>
          <t>2067-08-08</t>
        </is>
      </c>
    </row>
    <row r="61257">
      <c r="A61257" s="1" t="n">
        <v>61256</v>
      </c>
      <c r="B61257">
        <f>TEXT(61256, "[$-0E0000]yyyy-mm-dd")</f>
        <v/>
      </c>
      <c r="C61257" t="inlineStr">
        <is>
          <t>2067-08-09</t>
        </is>
      </c>
    </row>
    <row r="61258">
      <c r="A61258" s="1" t="n">
        <v>61257</v>
      </c>
      <c r="B61258">
        <f>TEXT(61257, "[$-0E0000]yyyy-mm-dd")</f>
        <v/>
      </c>
      <c r="C61258" t="inlineStr">
        <is>
          <t>2067-08-10</t>
        </is>
      </c>
    </row>
    <row r="61259">
      <c r="A61259" s="1" t="n">
        <v>61258</v>
      </c>
      <c r="B61259">
        <f>TEXT(61258, "[$-0E0000]yyyy-mm-dd")</f>
        <v/>
      </c>
      <c r="C61259" t="inlineStr">
        <is>
          <t>2067-08-11</t>
        </is>
      </c>
    </row>
    <row r="61260">
      <c r="A61260" s="1" t="n">
        <v>61259</v>
      </c>
      <c r="B61260">
        <f>TEXT(61259, "[$-0E0000]yyyy-mm-dd")</f>
        <v/>
      </c>
      <c r="C61260" t="inlineStr">
        <is>
          <t>2067-08-12</t>
        </is>
      </c>
    </row>
    <row r="61261">
      <c r="A61261" s="1" t="n">
        <v>61260</v>
      </c>
      <c r="B61261">
        <f>TEXT(61260, "[$-0E0000]yyyy-mm-dd")</f>
        <v/>
      </c>
      <c r="C61261" t="inlineStr">
        <is>
          <t>2067-08-13</t>
        </is>
      </c>
    </row>
    <row r="61262">
      <c r="A61262" s="1" t="n">
        <v>61261</v>
      </c>
      <c r="B61262">
        <f>TEXT(61261, "[$-0E0000]yyyy-mm-dd")</f>
        <v/>
      </c>
      <c r="C61262" t="inlineStr">
        <is>
          <t>2067-08-14</t>
        </is>
      </c>
    </row>
    <row r="61263">
      <c r="A61263" s="1" t="n">
        <v>61262</v>
      </c>
      <c r="B61263">
        <f>TEXT(61262, "[$-0E0000]yyyy-mm-dd")</f>
        <v/>
      </c>
      <c r="C61263" t="inlineStr">
        <is>
          <t>2067-08-15</t>
        </is>
      </c>
    </row>
    <row r="61264">
      <c r="A61264" s="1" t="n">
        <v>61263</v>
      </c>
      <c r="B61264">
        <f>TEXT(61263, "[$-0E0000]yyyy-mm-dd")</f>
        <v/>
      </c>
      <c r="C61264" t="inlineStr">
        <is>
          <t>2067-08-16</t>
        </is>
      </c>
    </row>
    <row r="61265">
      <c r="A61265" s="1" t="n">
        <v>61264</v>
      </c>
      <c r="B61265">
        <f>TEXT(61264, "[$-0E0000]yyyy-mm-dd")</f>
        <v/>
      </c>
      <c r="C61265" t="inlineStr">
        <is>
          <t>2067-08-17</t>
        </is>
      </c>
    </row>
    <row r="61266">
      <c r="A61266" s="1" t="n">
        <v>61265</v>
      </c>
      <c r="B61266">
        <f>TEXT(61265, "[$-0E0000]yyyy-mm-dd")</f>
        <v/>
      </c>
      <c r="C61266" t="inlineStr">
        <is>
          <t>2067-08-18</t>
        </is>
      </c>
    </row>
    <row r="61267">
      <c r="A61267" s="1" t="n">
        <v>61266</v>
      </c>
      <c r="B61267">
        <f>TEXT(61266, "[$-0E0000]yyyy-mm-dd")</f>
        <v/>
      </c>
      <c r="C61267" t="inlineStr">
        <is>
          <t>2067-08-19</t>
        </is>
      </c>
    </row>
    <row r="61268">
      <c r="A61268" s="1" t="n">
        <v>61267</v>
      </c>
      <c r="B61268">
        <f>TEXT(61267, "[$-0E0000]yyyy-mm-dd")</f>
        <v/>
      </c>
      <c r="C61268" t="inlineStr">
        <is>
          <t>2067-08-20</t>
        </is>
      </c>
    </row>
    <row r="61269">
      <c r="A61269" s="1" t="n">
        <v>61268</v>
      </c>
      <c r="B61269">
        <f>TEXT(61268, "[$-0E0000]yyyy-mm-dd")</f>
        <v/>
      </c>
      <c r="C61269" t="inlineStr">
        <is>
          <t>2067-08-21</t>
        </is>
      </c>
    </row>
    <row r="61270">
      <c r="A61270" s="1" t="n">
        <v>61269</v>
      </c>
      <c r="B61270">
        <f>TEXT(61269, "[$-0E0000]yyyy-mm-dd")</f>
        <v/>
      </c>
      <c r="C61270" t="inlineStr">
        <is>
          <t>2067-08-22</t>
        </is>
      </c>
    </row>
    <row r="61271">
      <c r="A61271" s="1" t="n">
        <v>61270</v>
      </c>
      <c r="B61271">
        <f>TEXT(61270, "[$-0E0000]yyyy-mm-dd")</f>
        <v/>
      </c>
      <c r="C61271" t="inlineStr">
        <is>
          <t>2067-08-23</t>
        </is>
      </c>
    </row>
    <row r="61272">
      <c r="A61272" s="1" t="n">
        <v>61271</v>
      </c>
      <c r="B61272">
        <f>TEXT(61271, "[$-0E0000]yyyy-mm-dd")</f>
        <v/>
      </c>
      <c r="C61272" t="inlineStr">
        <is>
          <t>2067-08-24</t>
        </is>
      </c>
    </row>
    <row r="61273">
      <c r="A61273" s="1" t="n">
        <v>61272</v>
      </c>
      <c r="B61273">
        <f>TEXT(61272, "[$-0E0000]yyyy-mm-dd")</f>
        <v/>
      </c>
      <c r="C61273" t="inlineStr">
        <is>
          <t>2067-08-25</t>
        </is>
      </c>
    </row>
    <row r="61274">
      <c r="A61274" s="1" t="n">
        <v>61273</v>
      </c>
      <c r="B61274">
        <f>TEXT(61273, "[$-0E0000]yyyy-mm-dd")</f>
        <v/>
      </c>
      <c r="C61274" t="inlineStr">
        <is>
          <t>2067-08-26</t>
        </is>
      </c>
    </row>
    <row r="61275">
      <c r="A61275" s="1" t="n">
        <v>61274</v>
      </c>
      <c r="B61275">
        <f>TEXT(61274, "[$-0E0000]yyyy-mm-dd")</f>
        <v/>
      </c>
      <c r="C61275" t="inlineStr">
        <is>
          <t>2067-08-27</t>
        </is>
      </c>
    </row>
    <row r="61276">
      <c r="A61276" s="1" t="n">
        <v>61275</v>
      </c>
      <c r="B61276">
        <f>TEXT(61275, "[$-0E0000]yyyy-mm-dd")</f>
        <v/>
      </c>
      <c r="C61276" t="inlineStr">
        <is>
          <t>2067-08-28</t>
        </is>
      </c>
    </row>
    <row r="61277">
      <c r="A61277" s="1" t="n">
        <v>61276</v>
      </c>
      <c r="B61277">
        <f>TEXT(61276, "[$-0E0000]yyyy-mm-dd")</f>
        <v/>
      </c>
      <c r="C61277" t="inlineStr">
        <is>
          <t>2067-08-29</t>
        </is>
      </c>
    </row>
    <row r="61278">
      <c r="A61278" s="1" t="n">
        <v>61277</v>
      </c>
      <c r="B61278">
        <f>TEXT(61277, "[$-0E0000]yyyy-mm-dd")</f>
        <v/>
      </c>
      <c r="C61278" t="inlineStr">
        <is>
          <t>2067-09-01</t>
        </is>
      </c>
    </row>
    <row r="61279">
      <c r="A61279" s="1" t="n">
        <v>61278</v>
      </c>
      <c r="B61279">
        <f>TEXT(61278, "[$-0E0000]yyyy-mm-dd")</f>
        <v/>
      </c>
      <c r="C61279" t="inlineStr">
        <is>
          <t>2067-09-02</t>
        </is>
      </c>
    </row>
    <row r="61280">
      <c r="A61280" s="1" t="n">
        <v>61279</v>
      </c>
      <c r="B61280">
        <f>TEXT(61279, "[$-0E0000]yyyy-mm-dd")</f>
        <v/>
      </c>
      <c r="C61280" t="inlineStr">
        <is>
          <t>2067-09-03</t>
        </is>
      </c>
    </row>
    <row r="61281">
      <c r="A61281" s="1" t="n">
        <v>61280</v>
      </c>
      <c r="B61281">
        <f>TEXT(61280, "[$-0E0000]yyyy-mm-dd")</f>
        <v/>
      </c>
      <c r="C61281" t="inlineStr">
        <is>
          <t>2067-09-04</t>
        </is>
      </c>
    </row>
    <row r="61282">
      <c r="A61282" s="1" t="n">
        <v>61281</v>
      </c>
      <c r="B61282">
        <f>TEXT(61281, "[$-0E0000]yyyy-mm-dd")</f>
        <v/>
      </c>
      <c r="C61282" t="inlineStr">
        <is>
          <t>2067-09-05</t>
        </is>
      </c>
    </row>
    <row r="61283">
      <c r="A61283" s="1" t="n">
        <v>61282</v>
      </c>
      <c r="B61283">
        <f>TEXT(61282, "[$-0E0000]yyyy-mm-dd")</f>
        <v/>
      </c>
      <c r="C61283" t="inlineStr">
        <is>
          <t>2067-09-06</t>
        </is>
      </c>
    </row>
    <row r="61284">
      <c r="A61284" s="1" t="n">
        <v>61283</v>
      </c>
      <c r="B61284">
        <f>TEXT(61283, "[$-0E0000]yyyy-mm-dd")</f>
        <v/>
      </c>
      <c r="C61284" t="inlineStr">
        <is>
          <t>2067-09-07</t>
        </is>
      </c>
    </row>
    <row r="61285">
      <c r="A61285" s="1" t="n">
        <v>61284</v>
      </c>
      <c r="B61285">
        <f>TEXT(61284, "[$-0E0000]yyyy-mm-dd")</f>
        <v/>
      </c>
      <c r="C61285" t="inlineStr">
        <is>
          <t>2067-09-08</t>
        </is>
      </c>
    </row>
    <row r="61286">
      <c r="A61286" s="1" t="n">
        <v>61285</v>
      </c>
      <c r="B61286">
        <f>TEXT(61285, "[$-0E0000]yyyy-mm-dd")</f>
        <v/>
      </c>
      <c r="C61286" t="inlineStr">
        <is>
          <t>2067-09-09</t>
        </is>
      </c>
    </row>
    <row r="61287">
      <c r="A61287" s="1" t="n">
        <v>61286</v>
      </c>
      <c r="B61287">
        <f>TEXT(61286, "[$-0E0000]yyyy-mm-dd")</f>
        <v/>
      </c>
      <c r="C61287" t="inlineStr">
        <is>
          <t>2067-09-10</t>
        </is>
      </c>
    </row>
    <row r="61288">
      <c r="A61288" s="1" t="n">
        <v>61287</v>
      </c>
      <c r="B61288">
        <f>TEXT(61287, "[$-0E0000]yyyy-mm-dd")</f>
        <v/>
      </c>
      <c r="C61288" t="inlineStr">
        <is>
          <t>2067-09-11</t>
        </is>
      </c>
    </row>
    <row r="61289">
      <c r="A61289" s="1" t="n">
        <v>61288</v>
      </c>
      <c r="B61289">
        <f>TEXT(61288, "[$-0E0000]yyyy-mm-dd")</f>
        <v/>
      </c>
      <c r="C61289" t="inlineStr">
        <is>
          <t>2067-09-12</t>
        </is>
      </c>
    </row>
    <row r="61290">
      <c r="A61290" s="1" t="n">
        <v>61289</v>
      </c>
      <c r="B61290">
        <f>TEXT(61289, "[$-0E0000]yyyy-mm-dd")</f>
        <v/>
      </c>
      <c r="C61290" t="inlineStr">
        <is>
          <t>2067-09-13</t>
        </is>
      </c>
    </row>
    <row r="61291">
      <c r="A61291" s="1" t="n">
        <v>61290</v>
      </c>
      <c r="B61291">
        <f>TEXT(61290, "[$-0E0000]yyyy-mm-dd")</f>
        <v/>
      </c>
      <c r="C61291" t="inlineStr">
        <is>
          <t>2067-09-14</t>
        </is>
      </c>
    </row>
    <row r="61292">
      <c r="A61292" s="1" t="n">
        <v>61291</v>
      </c>
      <c r="B61292">
        <f>TEXT(61291, "[$-0E0000]yyyy-mm-dd")</f>
        <v/>
      </c>
      <c r="C61292" t="inlineStr">
        <is>
          <t>2067-09-15</t>
        </is>
      </c>
    </row>
    <row r="61293">
      <c r="A61293" s="1" t="n">
        <v>61292</v>
      </c>
      <c r="B61293">
        <f>TEXT(61292, "[$-0E0000]yyyy-mm-dd")</f>
        <v/>
      </c>
      <c r="C61293" t="inlineStr">
        <is>
          <t>2067-09-16</t>
        </is>
      </c>
    </row>
    <row r="61294">
      <c r="A61294" s="1" t="n">
        <v>61293</v>
      </c>
      <c r="B61294">
        <f>TEXT(61293, "[$-0E0000]yyyy-mm-dd")</f>
        <v/>
      </c>
      <c r="C61294" t="inlineStr">
        <is>
          <t>2067-09-17</t>
        </is>
      </c>
    </row>
    <row r="61295">
      <c r="A61295" s="1" t="n">
        <v>61294</v>
      </c>
      <c r="B61295">
        <f>TEXT(61294, "[$-0E0000]yyyy-mm-dd")</f>
        <v/>
      </c>
      <c r="C61295" t="inlineStr">
        <is>
          <t>2067-09-18</t>
        </is>
      </c>
    </row>
    <row r="61296">
      <c r="A61296" s="1" t="n">
        <v>61295</v>
      </c>
      <c r="B61296">
        <f>TEXT(61295, "[$-0E0000]yyyy-mm-dd")</f>
        <v/>
      </c>
      <c r="C61296" t="inlineStr">
        <is>
          <t>2067-09-19</t>
        </is>
      </c>
    </row>
    <row r="61297">
      <c r="A61297" s="1" t="n">
        <v>61296</v>
      </c>
      <c r="B61297">
        <f>TEXT(61296, "[$-0E0000]yyyy-mm-dd")</f>
        <v/>
      </c>
      <c r="C61297" t="inlineStr">
        <is>
          <t>2067-09-20</t>
        </is>
      </c>
    </row>
    <row r="61298">
      <c r="A61298" s="1" t="n">
        <v>61297</v>
      </c>
      <c r="B61298">
        <f>TEXT(61297, "[$-0E0000]yyyy-mm-dd")</f>
        <v/>
      </c>
      <c r="C61298" t="inlineStr">
        <is>
          <t>2067-09-21</t>
        </is>
      </c>
    </row>
    <row r="61299">
      <c r="A61299" s="1" t="n">
        <v>61298</v>
      </c>
      <c r="B61299">
        <f>TEXT(61298, "[$-0E0000]yyyy-mm-dd")</f>
        <v/>
      </c>
      <c r="C61299" t="inlineStr">
        <is>
          <t>2067-09-22</t>
        </is>
      </c>
    </row>
    <row r="61300">
      <c r="A61300" s="1" t="n">
        <v>61299</v>
      </c>
      <c r="B61300">
        <f>TEXT(61299, "[$-0E0000]yyyy-mm-dd")</f>
        <v/>
      </c>
      <c r="C61300" t="inlineStr">
        <is>
          <t>2067-09-23</t>
        </is>
      </c>
    </row>
    <row r="61301">
      <c r="A61301" s="1" t="n">
        <v>61300</v>
      </c>
      <c r="B61301">
        <f>TEXT(61300, "[$-0E0000]yyyy-mm-dd")</f>
        <v/>
      </c>
      <c r="C61301" t="inlineStr">
        <is>
          <t>2067-09-24</t>
        </is>
      </c>
    </row>
    <row r="61302">
      <c r="A61302" s="1" t="n">
        <v>61301</v>
      </c>
      <c r="B61302">
        <f>TEXT(61301, "[$-0E0000]yyyy-mm-dd")</f>
        <v/>
      </c>
      <c r="C61302" t="inlineStr">
        <is>
          <t>2067-09-25</t>
        </is>
      </c>
    </row>
    <row r="61303">
      <c r="A61303" s="1" t="n">
        <v>61302</v>
      </c>
      <c r="B61303">
        <f>TEXT(61302, "[$-0E0000]yyyy-mm-dd")</f>
        <v/>
      </c>
      <c r="C61303" t="inlineStr">
        <is>
          <t>2067-09-26</t>
        </is>
      </c>
    </row>
    <row r="61304">
      <c r="A61304" s="1" t="n">
        <v>61303</v>
      </c>
      <c r="B61304">
        <f>TEXT(61303, "[$-0E0000]yyyy-mm-dd")</f>
        <v/>
      </c>
      <c r="C61304" t="inlineStr">
        <is>
          <t>2067-09-27</t>
        </is>
      </c>
    </row>
    <row r="61305">
      <c r="A61305" s="1" t="n">
        <v>61304</v>
      </c>
      <c r="B61305">
        <f>TEXT(61304, "[$-0E0000]yyyy-mm-dd")</f>
        <v/>
      </c>
      <c r="C61305" t="inlineStr">
        <is>
          <t>2067-09-28</t>
        </is>
      </c>
    </row>
    <row r="61306">
      <c r="A61306" s="1" t="n">
        <v>61305</v>
      </c>
      <c r="B61306">
        <f>TEXT(61305, "[$-0E0000]yyyy-mm-dd")</f>
        <v/>
      </c>
      <c r="C61306" t="inlineStr">
        <is>
          <t>2067-09-29</t>
        </is>
      </c>
    </row>
    <row r="61307">
      <c r="A61307" s="1" t="n">
        <v>61306</v>
      </c>
      <c r="B61307">
        <f>TEXT(61306, "[$-0E0000]yyyy-mm-dd")</f>
        <v/>
      </c>
      <c r="C61307" t="inlineStr">
        <is>
          <t>2067-09-30</t>
        </is>
      </c>
    </row>
    <row r="61308">
      <c r="A61308" s="1" t="n">
        <v>61307</v>
      </c>
      <c r="B61308">
        <f>TEXT(61307, "[$-0E0000]yyyy-mm-dd")</f>
        <v/>
      </c>
      <c r="C61308" t="inlineStr">
        <is>
          <t>2067-10-01</t>
        </is>
      </c>
    </row>
    <row r="61309">
      <c r="A61309" s="1" t="n">
        <v>61308</v>
      </c>
      <c r="B61309">
        <f>TEXT(61308, "[$-0E0000]yyyy-mm-dd")</f>
        <v/>
      </c>
      <c r="C61309" t="inlineStr">
        <is>
          <t>2067-10-02</t>
        </is>
      </c>
    </row>
    <row r="61310">
      <c r="A61310" s="1" t="n">
        <v>61309</v>
      </c>
      <c r="B61310">
        <f>TEXT(61309, "[$-0E0000]yyyy-mm-dd")</f>
        <v/>
      </c>
      <c r="C61310" t="inlineStr">
        <is>
          <t>2067-10-03</t>
        </is>
      </c>
    </row>
    <row r="61311">
      <c r="A61311" s="1" t="n">
        <v>61310</v>
      </c>
      <c r="B61311">
        <f>TEXT(61310, "[$-0E0000]yyyy-mm-dd")</f>
        <v/>
      </c>
      <c r="C61311" t="inlineStr">
        <is>
          <t>2067-10-04</t>
        </is>
      </c>
    </row>
    <row r="61312">
      <c r="A61312" s="1" t="n">
        <v>61311</v>
      </c>
      <c r="B61312">
        <f>TEXT(61311, "[$-0E0000]yyyy-mm-dd")</f>
        <v/>
      </c>
      <c r="C61312" t="inlineStr">
        <is>
          <t>2067-10-05</t>
        </is>
      </c>
    </row>
    <row r="61313">
      <c r="A61313" s="1" t="n">
        <v>61312</v>
      </c>
      <c r="B61313">
        <f>TEXT(61312, "[$-0E0000]yyyy-mm-dd")</f>
        <v/>
      </c>
      <c r="C61313" t="inlineStr">
        <is>
          <t>2067-10-06</t>
        </is>
      </c>
    </row>
    <row r="61314">
      <c r="A61314" s="1" t="n">
        <v>61313</v>
      </c>
      <c r="B61314">
        <f>TEXT(61313, "[$-0E0000]yyyy-mm-dd")</f>
        <v/>
      </c>
      <c r="C61314" t="inlineStr">
        <is>
          <t>2067-10-07</t>
        </is>
      </c>
    </row>
    <row r="61315">
      <c r="A61315" s="1" t="n">
        <v>61314</v>
      </c>
      <c r="B61315">
        <f>TEXT(61314, "[$-0E0000]yyyy-mm-dd")</f>
        <v/>
      </c>
      <c r="C61315" t="inlineStr">
        <is>
          <t>2067-10-08</t>
        </is>
      </c>
    </row>
    <row r="61316">
      <c r="A61316" s="1" t="n">
        <v>61315</v>
      </c>
      <c r="B61316">
        <f>TEXT(61315, "[$-0E0000]yyyy-mm-dd")</f>
        <v/>
      </c>
      <c r="C61316" t="inlineStr">
        <is>
          <t>2067-10-09</t>
        </is>
      </c>
    </row>
    <row r="61317">
      <c r="A61317" s="1" t="n">
        <v>61316</v>
      </c>
      <c r="B61317">
        <f>TEXT(61316, "[$-0E0000]yyyy-mm-dd")</f>
        <v/>
      </c>
      <c r="C61317" t="inlineStr">
        <is>
          <t>2067-10-10</t>
        </is>
      </c>
    </row>
    <row r="61318">
      <c r="A61318" s="1" t="n">
        <v>61317</v>
      </c>
      <c r="B61318">
        <f>TEXT(61317, "[$-0E0000]yyyy-mm-dd")</f>
        <v/>
      </c>
      <c r="C61318" t="inlineStr">
        <is>
          <t>2067-10-11</t>
        </is>
      </c>
    </row>
    <row r="61319">
      <c r="A61319" s="1" t="n">
        <v>61318</v>
      </c>
      <c r="B61319">
        <f>TEXT(61318, "[$-0E0000]yyyy-mm-dd")</f>
        <v/>
      </c>
      <c r="C61319" t="inlineStr">
        <is>
          <t>2067-10-12</t>
        </is>
      </c>
    </row>
    <row r="61320">
      <c r="A61320" s="1" t="n">
        <v>61319</v>
      </c>
      <c r="B61320">
        <f>TEXT(61319, "[$-0E0000]yyyy-mm-dd")</f>
        <v/>
      </c>
      <c r="C61320" t="inlineStr">
        <is>
          <t>2067-10-13</t>
        </is>
      </c>
    </row>
    <row r="61321">
      <c r="A61321" s="1" t="n">
        <v>61320</v>
      </c>
      <c r="B61321">
        <f>TEXT(61320, "[$-0E0000]yyyy-mm-dd")</f>
        <v/>
      </c>
      <c r="C61321" t="inlineStr">
        <is>
          <t>2067-10-14</t>
        </is>
      </c>
    </row>
    <row r="61322">
      <c r="A61322" s="1" t="n">
        <v>61321</v>
      </c>
      <c r="B61322">
        <f>TEXT(61321, "[$-0E0000]yyyy-mm-dd")</f>
        <v/>
      </c>
      <c r="C61322" t="inlineStr">
        <is>
          <t>2067-10-15</t>
        </is>
      </c>
    </row>
    <row r="61323">
      <c r="A61323" s="1" t="n">
        <v>61322</v>
      </c>
      <c r="B61323">
        <f>TEXT(61322, "[$-0E0000]yyyy-mm-dd")</f>
        <v/>
      </c>
      <c r="C61323" t="inlineStr">
        <is>
          <t>2067-10-16</t>
        </is>
      </c>
    </row>
    <row r="61324">
      <c r="A61324" s="1" t="n">
        <v>61323</v>
      </c>
      <c r="B61324">
        <f>TEXT(61323, "[$-0E0000]yyyy-mm-dd")</f>
        <v/>
      </c>
      <c r="C61324" t="inlineStr">
        <is>
          <t>2067-10-17</t>
        </is>
      </c>
    </row>
    <row r="61325">
      <c r="A61325" s="1" t="n">
        <v>61324</v>
      </c>
      <c r="B61325">
        <f>TEXT(61324, "[$-0E0000]yyyy-mm-dd")</f>
        <v/>
      </c>
      <c r="C61325" t="inlineStr">
        <is>
          <t>2067-10-18</t>
        </is>
      </c>
    </row>
    <row r="61326">
      <c r="A61326" s="1" t="n">
        <v>61325</v>
      </c>
      <c r="B61326">
        <f>TEXT(61325, "[$-0E0000]yyyy-mm-dd")</f>
        <v/>
      </c>
      <c r="C61326" t="inlineStr">
        <is>
          <t>2067-10-19</t>
        </is>
      </c>
    </row>
    <row r="61327">
      <c r="A61327" s="1" t="n">
        <v>61326</v>
      </c>
      <c r="B61327">
        <f>TEXT(61326, "[$-0E0000]yyyy-mm-dd")</f>
        <v/>
      </c>
      <c r="C61327" t="inlineStr">
        <is>
          <t>2067-10-20</t>
        </is>
      </c>
    </row>
    <row r="61328">
      <c r="A61328" s="1" t="n">
        <v>61327</v>
      </c>
      <c r="B61328">
        <f>TEXT(61327, "[$-0E0000]yyyy-mm-dd")</f>
        <v/>
      </c>
      <c r="C61328" t="inlineStr">
        <is>
          <t>2067-10-21</t>
        </is>
      </c>
    </row>
    <row r="61329">
      <c r="A61329" s="1" t="n">
        <v>61328</v>
      </c>
      <c r="B61329">
        <f>TEXT(61328, "[$-0E0000]yyyy-mm-dd")</f>
        <v/>
      </c>
      <c r="C61329" t="inlineStr">
        <is>
          <t>2067-10-22</t>
        </is>
      </c>
    </row>
    <row r="61330">
      <c r="A61330" s="1" t="n">
        <v>61329</v>
      </c>
      <c r="B61330">
        <f>TEXT(61329, "[$-0E0000]yyyy-mm-dd")</f>
        <v/>
      </c>
      <c r="C61330" t="inlineStr">
        <is>
          <t>2067-10-23</t>
        </is>
      </c>
    </row>
    <row r="61331">
      <c r="A61331" s="1" t="n">
        <v>61330</v>
      </c>
      <c r="B61331">
        <f>TEXT(61330, "[$-0E0000]yyyy-mm-dd")</f>
        <v/>
      </c>
      <c r="C61331" t="inlineStr">
        <is>
          <t>2067-10-24</t>
        </is>
      </c>
    </row>
    <row r="61332">
      <c r="A61332" s="1" t="n">
        <v>61331</v>
      </c>
      <c r="B61332">
        <f>TEXT(61331, "[$-0E0000]yyyy-mm-dd")</f>
        <v/>
      </c>
      <c r="C61332" t="inlineStr">
        <is>
          <t>2067-10-25</t>
        </is>
      </c>
    </row>
    <row r="61333">
      <c r="A61333" s="1" t="n">
        <v>61332</v>
      </c>
      <c r="B61333">
        <f>TEXT(61332, "[$-0E0000]yyyy-mm-dd")</f>
        <v/>
      </c>
      <c r="C61333" t="inlineStr">
        <is>
          <t>2067-10-26</t>
        </is>
      </c>
    </row>
    <row r="61334">
      <c r="A61334" s="1" t="n">
        <v>61333</v>
      </c>
      <c r="B61334">
        <f>TEXT(61333, "[$-0E0000]yyyy-mm-dd")</f>
        <v/>
      </c>
      <c r="C61334" t="inlineStr">
        <is>
          <t>2067-10-27</t>
        </is>
      </c>
    </row>
    <row r="61335">
      <c r="A61335" s="1" t="n">
        <v>61334</v>
      </c>
      <c r="B61335">
        <f>TEXT(61334, "[$-0E0000]yyyy-mm-dd")</f>
        <v/>
      </c>
      <c r="C61335" t="inlineStr">
        <is>
          <t>2067-10-28</t>
        </is>
      </c>
    </row>
    <row r="61336">
      <c r="A61336" s="1" t="n">
        <v>61335</v>
      </c>
      <c r="B61336">
        <f>TEXT(61335, "[$-0E0000]yyyy-mm-dd")</f>
        <v/>
      </c>
      <c r="C61336" t="inlineStr">
        <is>
          <t>2067-10-29</t>
        </is>
      </c>
    </row>
    <row r="61337">
      <c r="A61337" s="1" t="n">
        <v>61336</v>
      </c>
      <c r="B61337">
        <f>TEXT(61336, "[$-0E0000]yyyy-mm-dd")</f>
        <v/>
      </c>
      <c r="C61337" t="inlineStr">
        <is>
          <t>2067-11-01</t>
        </is>
      </c>
    </row>
    <row r="61338">
      <c r="A61338" s="1" t="n">
        <v>61337</v>
      </c>
      <c r="B61338">
        <f>TEXT(61337, "[$-0E0000]yyyy-mm-dd")</f>
        <v/>
      </c>
      <c r="C61338" t="inlineStr">
        <is>
          <t>2067-11-02</t>
        </is>
      </c>
    </row>
    <row r="61339">
      <c r="A61339" s="1" t="n">
        <v>61338</v>
      </c>
      <c r="B61339">
        <f>TEXT(61338, "[$-0E0000]yyyy-mm-dd")</f>
        <v/>
      </c>
      <c r="C61339" t="inlineStr">
        <is>
          <t>2067-11-03</t>
        </is>
      </c>
    </row>
    <row r="61340">
      <c r="A61340" s="1" t="n">
        <v>61339</v>
      </c>
      <c r="B61340">
        <f>TEXT(61339, "[$-0E0000]yyyy-mm-dd")</f>
        <v/>
      </c>
      <c r="C61340" t="inlineStr">
        <is>
          <t>2067-11-04</t>
        </is>
      </c>
    </row>
    <row r="61341">
      <c r="A61341" s="1" t="n">
        <v>61340</v>
      </c>
      <c r="B61341">
        <f>TEXT(61340, "[$-0E0000]yyyy-mm-dd")</f>
        <v/>
      </c>
      <c r="C61341" t="inlineStr">
        <is>
          <t>2067-11-05</t>
        </is>
      </c>
    </row>
    <row r="61342">
      <c r="A61342" s="1" t="n">
        <v>61341</v>
      </c>
      <c r="B61342">
        <f>TEXT(61341, "[$-0E0000]yyyy-mm-dd")</f>
        <v/>
      </c>
      <c r="C61342" t="inlineStr">
        <is>
          <t>2067-11-06</t>
        </is>
      </c>
    </row>
    <row r="61343">
      <c r="A61343" s="1" t="n">
        <v>61342</v>
      </c>
      <c r="B61343">
        <f>TEXT(61342, "[$-0E0000]yyyy-mm-dd")</f>
        <v/>
      </c>
      <c r="C61343" t="inlineStr">
        <is>
          <t>2067-11-07</t>
        </is>
      </c>
    </row>
    <row r="61344">
      <c r="A61344" s="1" t="n">
        <v>61343</v>
      </c>
      <c r="B61344">
        <f>TEXT(61343, "[$-0E0000]yyyy-mm-dd")</f>
        <v/>
      </c>
      <c r="C61344" t="inlineStr">
        <is>
          <t>2067-11-08</t>
        </is>
      </c>
    </row>
    <row r="61345">
      <c r="A61345" s="1" t="n">
        <v>61344</v>
      </c>
      <c r="B61345">
        <f>TEXT(61344, "[$-0E0000]yyyy-mm-dd")</f>
        <v/>
      </c>
      <c r="C61345" t="inlineStr">
        <is>
          <t>2067-11-09</t>
        </is>
      </c>
    </row>
    <row r="61346">
      <c r="A61346" s="1" t="n">
        <v>61345</v>
      </c>
      <c r="B61346">
        <f>TEXT(61345, "[$-0E0000]yyyy-mm-dd")</f>
        <v/>
      </c>
      <c r="C61346" t="inlineStr">
        <is>
          <t>2067-11-10</t>
        </is>
      </c>
    </row>
    <row r="61347">
      <c r="A61347" s="1" t="n">
        <v>61346</v>
      </c>
      <c r="B61347">
        <f>TEXT(61346, "[$-0E0000]yyyy-mm-dd")</f>
        <v/>
      </c>
      <c r="C61347" t="inlineStr">
        <is>
          <t>2067-11-11</t>
        </is>
      </c>
    </row>
    <row r="61348">
      <c r="A61348" s="1" t="n">
        <v>61347</v>
      </c>
      <c r="B61348">
        <f>TEXT(61347, "[$-0E0000]yyyy-mm-dd")</f>
        <v/>
      </c>
      <c r="C61348" t="inlineStr">
        <is>
          <t>2067-11-12</t>
        </is>
      </c>
    </row>
    <row r="61349">
      <c r="A61349" s="1" t="n">
        <v>61348</v>
      </c>
      <c r="B61349">
        <f>TEXT(61348, "[$-0E0000]yyyy-mm-dd")</f>
        <v/>
      </c>
      <c r="C61349" t="inlineStr">
        <is>
          <t>2067-11-13</t>
        </is>
      </c>
    </row>
    <row r="61350">
      <c r="A61350" s="1" t="n">
        <v>61349</v>
      </c>
      <c r="B61350">
        <f>TEXT(61349, "[$-0E0000]yyyy-mm-dd")</f>
        <v/>
      </c>
      <c r="C61350" t="inlineStr">
        <is>
          <t>2067-11-14</t>
        </is>
      </c>
    </row>
    <row r="61351">
      <c r="A61351" s="1" t="n">
        <v>61350</v>
      </c>
      <c r="B61351">
        <f>TEXT(61350, "[$-0E0000]yyyy-mm-dd")</f>
        <v/>
      </c>
      <c r="C61351" t="inlineStr">
        <is>
          <t>2067-11-15</t>
        </is>
      </c>
    </row>
    <row r="61352">
      <c r="A61352" s="1" t="n">
        <v>61351</v>
      </c>
      <c r="B61352">
        <f>TEXT(61351, "[$-0E0000]yyyy-mm-dd")</f>
        <v/>
      </c>
      <c r="C61352" t="inlineStr">
        <is>
          <t>2067-11-16</t>
        </is>
      </c>
    </row>
    <row r="61353">
      <c r="A61353" s="1" t="n">
        <v>61352</v>
      </c>
      <c r="B61353">
        <f>TEXT(61352, "[$-0E0000]yyyy-mm-dd")</f>
        <v/>
      </c>
      <c r="C61353" t="inlineStr">
        <is>
          <t>2067-11-17</t>
        </is>
      </c>
    </row>
    <row r="61354">
      <c r="A61354" s="1" t="n">
        <v>61353</v>
      </c>
      <c r="B61354">
        <f>TEXT(61353, "[$-0E0000]yyyy-mm-dd")</f>
        <v/>
      </c>
      <c r="C61354" t="inlineStr">
        <is>
          <t>2067-11-18</t>
        </is>
      </c>
    </row>
    <row r="61355">
      <c r="A61355" s="1" t="n">
        <v>61354</v>
      </c>
      <c r="B61355">
        <f>TEXT(61354, "[$-0E0000]yyyy-mm-dd")</f>
        <v/>
      </c>
      <c r="C61355" t="inlineStr">
        <is>
          <t>2067-11-19</t>
        </is>
      </c>
    </row>
    <row r="61356">
      <c r="A61356" s="1" t="n">
        <v>61355</v>
      </c>
      <c r="B61356">
        <f>TEXT(61355, "[$-0E0000]yyyy-mm-dd")</f>
        <v/>
      </c>
      <c r="C61356" t="inlineStr">
        <is>
          <t>2067-11-20</t>
        </is>
      </c>
    </row>
    <row r="61357">
      <c r="A61357" s="1" t="n">
        <v>61356</v>
      </c>
      <c r="B61357">
        <f>TEXT(61356, "[$-0E0000]yyyy-mm-dd")</f>
        <v/>
      </c>
      <c r="C61357" t="inlineStr">
        <is>
          <t>2067-11-21</t>
        </is>
      </c>
    </row>
    <row r="61358">
      <c r="A61358" s="1" t="n">
        <v>61357</v>
      </c>
      <c r="B61358">
        <f>TEXT(61357, "[$-0E0000]yyyy-mm-dd")</f>
        <v/>
      </c>
      <c r="C61358" t="inlineStr">
        <is>
          <t>2067-11-22</t>
        </is>
      </c>
    </row>
    <row r="61359">
      <c r="A61359" s="1" t="n">
        <v>61358</v>
      </c>
      <c r="B61359">
        <f>TEXT(61358, "[$-0E0000]yyyy-mm-dd")</f>
        <v/>
      </c>
      <c r="C61359" t="inlineStr">
        <is>
          <t>2067-11-23</t>
        </is>
      </c>
    </row>
    <row r="61360">
      <c r="A61360" s="1" t="n">
        <v>61359</v>
      </c>
      <c r="B61360">
        <f>TEXT(61359, "[$-0E0000]yyyy-mm-dd")</f>
        <v/>
      </c>
      <c r="C61360" t="inlineStr">
        <is>
          <t>2067-11-24</t>
        </is>
      </c>
    </row>
    <row r="61361">
      <c r="A61361" s="1" t="n">
        <v>61360</v>
      </c>
      <c r="B61361">
        <f>TEXT(61360, "[$-0E0000]yyyy-mm-dd")</f>
        <v/>
      </c>
      <c r="C61361" t="inlineStr">
        <is>
          <t>2067-11-25</t>
        </is>
      </c>
    </row>
    <row r="61362">
      <c r="A61362" s="1" t="n">
        <v>61361</v>
      </c>
      <c r="B61362">
        <f>TEXT(61361, "[$-0E0000]yyyy-mm-dd")</f>
        <v/>
      </c>
      <c r="C61362" t="inlineStr">
        <is>
          <t>2067-11-26</t>
        </is>
      </c>
    </row>
    <row r="61363">
      <c r="A61363" s="1" t="n">
        <v>61362</v>
      </c>
      <c r="B61363">
        <f>TEXT(61362, "[$-0E0000]yyyy-mm-dd")</f>
        <v/>
      </c>
      <c r="C61363" t="inlineStr">
        <is>
          <t>2067-11-27</t>
        </is>
      </c>
    </row>
    <row r="61364">
      <c r="A61364" s="1" t="n">
        <v>61363</v>
      </c>
      <c r="B61364">
        <f>TEXT(61363, "[$-0E0000]yyyy-mm-dd")</f>
        <v/>
      </c>
      <c r="C61364" t="inlineStr">
        <is>
          <t>2067-11-28</t>
        </is>
      </c>
    </row>
    <row r="61365">
      <c r="A61365" s="1" t="n">
        <v>61364</v>
      </c>
      <c r="B61365">
        <f>TEXT(61364, "[$-0E0000]yyyy-mm-dd")</f>
        <v/>
      </c>
      <c r="C61365" t="inlineStr">
        <is>
          <t>2067-11-29</t>
        </is>
      </c>
    </row>
    <row r="61366">
      <c r="A61366" s="1" t="n">
        <v>61365</v>
      </c>
      <c r="B61366">
        <f>TEXT(61365, "[$-0E0000]yyyy-mm-dd")</f>
        <v/>
      </c>
      <c r="C61366" t="inlineStr">
        <is>
          <t>2067-11-30</t>
        </is>
      </c>
    </row>
    <row r="61367">
      <c r="A61367" s="1" t="n">
        <v>61366</v>
      </c>
      <c r="B61367">
        <f>TEXT(61366, "[$-0E0000]yyyy-mm-dd")</f>
        <v/>
      </c>
      <c r="C61367" t="inlineStr">
        <is>
          <t>2067-12-01</t>
        </is>
      </c>
    </row>
    <row r="61368">
      <c r="A61368" s="1" t="n">
        <v>61367</v>
      </c>
      <c r="B61368">
        <f>TEXT(61367, "[$-0E0000]yyyy-mm-dd")</f>
        <v/>
      </c>
      <c r="C61368" t="inlineStr">
        <is>
          <t>2067-12-02</t>
        </is>
      </c>
    </row>
    <row r="61369">
      <c r="A61369" s="1" t="n">
        <v>61368</v>
      </c>
      <c r="B61369">
        <f>TEXT(61368, "[$-0E0000]yyyy-mm-dd")</f>
        <v/>
      </c>
      <c r="C61369" t="inlineStr">
        <is>
          <t>2067-12-03</t>
        </is>
      </c>
    </row>
    <row r="61370">
      <c r="A61370" s="1" t="n">
        <v>61369</v>
      </c>
      <c r="B61370">
        <f>TEXT(61369, "[$-0E0000]yyyy-mm-dd")</f>
        <v/>
      </c>
      <c r="C61370" t="inlineStr">
        <is>
          <t>2067-12-04</t>
        </is>
      </c>
    </row>
    <row r="61371">
      <c r="A61371" s="1" t="n">
        <v>61370</v>
      </c>
      <c r="B61371">
        <f>TEXT(61370, "[$-0E0000]yyyy-mm-dd")</f>
        <v/>
      </c>
      <c r="C61371" t="inlineStr">
        <is>
          <t>2067-12-05</t>
        </is>
      </c>
    </row>
    <row r="61372">
      <c r="A61372" s="1" t="n">
        <v>61371</v>
      </c>
      <c r="B61372">
        <f>TEXT(61371, "[$-0E0000]yyyy-mm-dd")</f>
        <v/>
      </c>
      <c r="C61372" t="inlineStr">
        <is>
          <t>2067-12-06</t>
        </is>
      </c>
    </row>
    <row r="61373">
      <c r="A61373" s="1" t="n">
        <v>61372</v>
      </c>
      <c r="B61373">
        <f>TEXT(61372, "[$-0E0000]yyyy-mm-dd")</f>
        <v/>
      </c>
      <c r="C61373" t="inlineStr">
        <is>
          <t>2067-12-07</t>
        </is>
      </c>
    </row>
    <row r="61374">
      <c r="A61374" s="1" t="n">
        <v>61373</v>
      </c>
      <c r="B61374">
        <f>TEXT(61373, "[$-0E0000]yyyy-mm-dd")</f>
        <v/>
      </c>
      <c r="C61374" t="inlineStr">
        <is>
          <t>2067-12-08</t>
        </is>
      </c>
    </row>
    <row r="61375">
      <c r="A61375" s="1" t="n">
        <v>61374</v>
      </c>
      <c r="B61375">
        <f>TEXT(61374, "[$-0E0000]yyyy-mm-dd")</f>
        <v/>
      </c>
      <c r="C61375" t="inlineStr">
        <is>
          <t>2067-12-09</t>
        </is>
      </c>
    </row>
    <row r="61376">
      <c r="A61376" s="1" t="n">
        <v>61375</v>
      </c>
      <c r="B61376">
        <f>TEXT(61375, "[$-0E0000]yyyy-mm-dd")</f>
        <v/>
      </c>
      <c r="C61376" t="inlineStr">
        <is>
          <t>2067-12-10</t>
        </is>
      </c>
    </row>
    <row r="61377">
      <c r="A61377" s="1" t="n">
        <v>61376</v>
      </c>
      <c r="B61377">
        <f>TEXT(61376, "[$-0E0000]yyyy-mm-dd")</f>
        <v/>
      </c>
      <c r="C61377" t="inlineStr">
        <is>
          <t>2067-12-11</t>
        </is>
      </c>
    </row>
    <row r="61378">
      <c r="A61378" s="1" t="n">
        <v>61377</v>
      </c>
      <c r="B61378">
        <f>TEXT(61377, "[$-0E0000]yyyy-mm-dd")</f>
        <v/>
      </c>
      <c r="C61378" t="inlineStr">
        <is>
          <t>2067-12-12</t>
        </is>
      </c>
    </row>
    <row r="61379">
      <c r="A61379" s="1" t="n">
        <v>61378</v>
      </c>
      <c r="B61379">
        <f>TEXT(61378, "[$-0E0000]yyyy-mm-dd")</f>
        <v/>
      </c>
      <c r="C61379" t="inlineStr">
        <is>
          <t>2067-12-13</t>
        </is>
      </c>
    </row>
    <row r="61380">
      <c r="A61380" s="1" t="n">
        <v>61379</v>
      </c>
      <c r="B61380">
        <f>TEXT(61379, "[$-0E0000]yyyy-mm-dd")</f>
        <v/>
      </c>
      <c r="C61380" t="inlineStr">
        <is>
          <t>2067-12-14</t>
        </is>
      </c>
    </row>
    <row r="61381">
      <c r="A61381" s="1" t="n">
        <v>61380</v>
      </c>
      <c r="B61381">
        <f>TEXT(61380, "[$-0E0000]yyyy-mm-dd")</f>
        <v/>
      </c>
      <c r="C61381" t="inlineStr">
        <is>
          <t>2067-12-15</t>
        </is>
      </c>
    </row>
    <row r="61382">
      <c r="A61382" s="1" t="n">
        <v>61381</v>
      </c>
      <c r="B61382">
        <f>TEXT(61381, "[$-0E0000]yyyy-mm-dd")</f>
        <v/>
      </c>
      <c r="C61382" t="inlineStr">
        <is>
          <t>2067-12-16</t>
        </is>
      </c>
    </row>
    <row r="61383">
      <c r="A61383" s="1" t="n">
        <v>61382</v>
      </c>
      <c r="B61383">
        <f>TEXT(61382, "[$-0E0000]yyyy-mm-dd")</f>
        <v/>
      </c>
      <c r="C61383" t="inlineStr">
        <is>
          <t>2067-12-17</t>
        </is>
      </c>
    </row>
    <row r="61384">
      <c r="A61384" s="1" t="n">
        <v>61383</v>
      </c>
      <c r="B61384">
        <f>TEXT(61383, "[$-0E0000]yyyy-mm-dd")</f>
        <v/>
      </c>
      <c r="C61384" t="inlineStr">
        <is>
          <t>2067-12-18</t>
        </is>
      </c>
    </row>
    <row r="61385">
      <c r="A61385" s="1" t="n">
        <v>61384</v>
      </c>
      <c r="B61385">
        <f>TEXT(61384, "[$-0E0000]yyyy-mm-dd")</f>
        <v/>
      </c>
      <c r="C61385" t="inlineStr">
        <is>
          <t>2067-12-19</t>
        </is>
      </c>
    </row>
    <row r="61386">
      <c r="A61386" s="1" t="n">
        <v>61385</v>
      </c>
      <c r="B61386">
        <f>TEXT(61385, "[$-0E0000]yyyy-mm-dd")</f>
        <v/>
      </c>
      <c r="C61386" t="inlineStr">
        <is>
          <t>2067-12-20</t>
        </is>
      </c>
    </row>
    <row r="61387">
      <c r="A61387" s="1" t="n">
        <v>61386</v>
      </c>
      <c r="B61387">
        <f>TEXT(61386, "[$-0E0000]yyyy-mm-dd")</f>
        <v/>
      </c>
      <c r="C61387" t="inlineStr">
        <is>
          <t>2067-12-21</t>
        </is>
      </c>
    </row>
    <row r="61388">
      <c r="A61388" s="1" t="n">
        <v>61387</v>
      </c>
      <c r="B61388">
        <f>TEXT(61387, "[$-0E0000]yyyy-mm-dd")</f>
        <v/>
      </c>
      <c r="C61388" t="inlineStr">
        <is>
          <t>2067-12-22</t>
        </is>
      </c>
    </row>
    <row r="61389">
      <c r="A61389" s="1" t="n">
        <v>61388</v>
      </c>
      <c r="B61389">
        <f>TEXT(61388, "[$-0E0000]yyyy-mm-dd")</f>
        <v/>
      </c>
      <c r="C61389" t="inlineStr">
        <is>
          <t>2067-12-23</t>
        </is>
      </c>
    </row>
    <row r="61390">
      <c r="A61390" s="1" t="n">
        <v>61389</v>
      </c>
      <c r="B61390">
        <f>TEXT(61389, "[$-0E0000]yyyy-mm-dd")</f>
        <v/>
      </c>
      <c r="C61390" t="inlineStr">
        <is>
          <t>2067-12-24</t>
        </is>
      </c>
    </row>
    <row r="61391">
      <c r="A61391" s="1" t="n">
        <v>61390</v>
      </c>
      <c r="B61391">
        <f>TEXT(61390, "[$-0E0000]yyyy-mm-dd")</f>
        <v/>
      </c>
      <c r="C61391" t="inlineStr">
        <is>
          <t>2067-12-25</t>
        </is>
      </c>
    </row>
    <row r="61392">
      <c r="A61392" s="1" t="n">
        <v>61391</v>
      </c>
      <c r="B61392">
        <f>TEXT(61391, "[$-0E0000]yyyy-mm-dd")</f>
        <v/>
      </c>
      <c r="C61392" t="inlineStr">
        <is>
          <t>2067-12-26</t>
        </is>
      </c>
    </row>
    <row r="61393">
      <c r="A61393" s="1" t="n">
        <v>61392</v>
      </c>
      <c r="B61393">
        <f>TEXT(61392, "[$-0E0000]yyyy-mm-dd")</f>
        <v/>
      </c>
      <c r="C61393" t="inlineStr">
        <is>
          <t>2067-12-27</t>
        </is>
      </c>
    </row>
    <row r="61394">
      <c r="A61394" s="1" t="n">
        <v>61393</v>
      </c>
      <c r="B61394">
        <f>TEXT(61393, "[$-0E0000]yyyy-mm-dd")</f>
        <v/>
      </c>
      <c r="C61394" t="inlineStr">
        <is>
          <t>2067-12-28</t>
        </is>
      </c>
    </row>
    <row r="61395">
      <c r="A61395" s="1" t="n">
        <v>61394</v>
      </c>
      <c r="B61395">
        <f>TEXT(61394, "[$-0E0000]yyyy-mm-dd")</f>
        <v/>
      </c>
      <c r="C61395" t="inlineStr">
        <is>
          <t>2067-12-29</t>
        </is>
      </c>
    </row>
    <row r="61396">
      <c r="A61396" s="1" t="n">
        <v>61395</v>
      </c>
      <c r="B61396">
        <f>TEXT(61395, "[$-0E0000]yyyy-mm-dd")</f>
        <v/>
      </c>
      <c r="C61396" t="inlineStr">
        <is>
          <t>2068-01-01</t>
        </is>
      </c>
    </row>
    <row r="61397">
      <c r="A61397" s="1" t="n">
        <v>61396</v>
      </c>
      <c r="B61397">
        <f>TEXT(61396, "[$-0E0000]yyyy-mm-dd")</f>
        <v/>
      </c>
      <c r="C61397" t="inlineStr">
        <is>
          <t>2068-01-02</t>
        </is>
      </c>
    </row>
    <row r="61398">
      <c r="A61398" s="1" t="n">
        <v>61397</v>
      </c>
      <c r="B61398">
        <f>TEXT(61397, "[$-0E0000]yyyy-mm-dd")</f>
        <v/>
      </c>
      <c r="C61398" t="inlineStr">
        <is>
          <t>2068-01-03</t>
        </is>
      </c>
    </row>
    <row r="61399">
      <c r="A61399" s="1" t="n">
        <v>61398</v>
      </c>
      <c r="B61399">
        <f>TEXT(61398, "[$-0E0000]yyyy-mm-dd")</f>
        <v/>
      </c>
      <c r="C61399" t="inlineStr">
        <is>
          <t>2068-01-04</t>
        </is>
      </c>
    </row>
    <row r="61400">
      <c r="A61400" s="1" t="n">
        <v>61399</v>
      </c>
      <c r="B61400">
        <f>TEXT(61399, "[$-0E0000]yyyy-mm-dd")</f>
        <v/>
      </c>
      <c r="C61400" t="inlineStr">
        <is>
          <t>2068-01-05</t>
        </is>
      </c>
    </row>
    <row r="61401">
      <c r="A61401" s="1" t="n">
        <v>61400</v>
      </c>
      <c r="B61401">
        <f>TEXT(61400, "[$-0E0000]yyyy-mm-dd")</f>
        <v/>
      </c>
      <c r="C61401" t="inlineStr">
        <is>
          <t>2068-01-06</t>
        </is>
      </c>
    </row>
    <row r="61402">
      <c r="A61402" s="1" t="n">
        <v>61401</v>
      </c>
      <c r="B61402">
        <f>TEXT(61401, "[$-0E0000]yyyy-mm-dd")</f>
        <v/>
      </c>
      <c r="C61402" t="inlineStr">
        <is>
          <t>2068-01-07</t>
        </is>
      </c>
    </row>
    <row r="61403">
      <c r="A61403" s="1" t="n">
        <v>61402</v>
      </c>
      <c r="B61403">
        <f>TEXT(61402, "[$-0E0000]yyyy-mm-dd")</f>
        <v/>
      </c>
      <c r="C61403" t="inlineStr">
        <is>
          <t>2068-01-08</t>
        </is>
      </c>
    </row>
    <row r="61404">
      <c r="A61404" s="1" t="n">
        <v>61403</v>
      </c>
      <c r="B61404">
        <f>TEXT(61403, "[$-0E0000]yyyy-mm-dd")</f>
        <v/>
      </c>
      <c r="C61404" t="inlineStr">
        <is>
          <t>2068-01-09</t>
        </is>
      </c>
    </row>
    <row r="61405">
      <c r="A61405" s="1" t="n">
        <v>61404</v>
      </c>
      <c r="B61405">
        <f>TEXT(61404, "[$-0E0000]yyyy-mm-dd")</f>
        <v/>
      </c>
      <c r="C61405" t="inlineStr">
        <is>
          <t>2068-01-10</t>
        </is>
      </c>
    </row>
    <row r="61406">
      <c r="A61406" s="1" t="n">
        <v>61405</v>
      </c>
      <c r="B61406">
        <f>TEXT(61405, "[$-0E0000]yyyy-mm-dd")</f>
        <v/>
      </c>
      <c r="C61406" t="inlineStr">
        <is>
          <t>2068-01-11</t>
        </is>
      </c>
    </row>
    <row r="61407">
      <c r="A61407" s="1" t="n">
        <v>61406</v>
      </c>
      <c r="B61407">
        <f>TEXT(61406, "[$-0E0000]yyyy-mm-dd")</f>
        <v/>
      </c>
      <c r="C61407" t="inlineStr">
        <is>
          <t>2068-01-12</t>
        </is>
      </c>
    </row>
    <row r="61408">
      <c r="A61408" s="1" t="n">
        <v>61407</v>
      </c>
      <c r="B61408">
        <f>TEXT(61407, "[$-0E0000]yyyy-mm-dd")</f>
        <v/>
      </c>
      <c r="C61408" t="inlineStr">
        <is>
          <t>2068-01-13</t>
        </is>
      </c>
    </row>
    <row r="61409">
      <c r="A61409" s="1" t="n">
        <v>61408</v>
      </c>
      <c r="B61409">
        <f>TEXT(61408, "[$-0E0000]yyyy-mm-dd")</f>
        <v/>
      </c>
      <c r="C61409" t="inlineStr">
        <is>
          <t>2068-01-14</t>
        </is>
      </c>
    </row>
    <row r="61410">
      <c r="A61410" s="1" t="n">
        <v>61409</v>
      </c>
      <c r="B61410">
        <f>TEXT(61409, "[$-0E0000]yyyy-mm-dd")</f>
        <v/>
      </c>
      <c r="C61410" t="inlineStr">
        <is>
          <t>2068-01-15</t>
        </is>
      </c>
    </row>
    <row r="61411">
      <c r="A61411" s="1" t="n">
        <v>61410</v>
      </c>
      <c r="B61411">
        <f>TEXT(61410, "[$-0E0000]yyyy-mm-dd")</f>
        <v/>
      </c>
      <c r="C61411" t="inlineStr">
        <is>
          <t>2068-01-16</t>
        </is>
      </c>
    </row>
    <row r="61412">
      <c r="A61412" s="1" t="n">
        <v>61411</v>
      </c>
      <c r="B61412">
        <f>TEXT(61411, "[$-0E0000]yyyy-mm-dd")</f>
        <v/>
      </c>
      <c r="C61412" t="inlineStr">
        <is>
          <t>2068-01-17</t>
        </is>
      </c>
    </row>
    <row r="61413">
      <c r="A61413" s="1" t="n">
        <v>61412</v>
      </c>
      <c r="B61413">
        <f>TEXT(61412, "[$-0E0000]yyyy-mm-dd")</f>
        <v/>
      </c>
      <c r="C61413" t="inlineStr">
        <is>
          <t>2068-01-18</t>
        </is>
      </c>
    </row>
    <row r="61414">
      <c r="A61414" s="1" t="n">
        <v>61413</v>
      </c>
      <c r="B61414">
        <f>TEXT(61413, "[$-0E0000]yyyy-mm-dd")</f>
        <v/>
      </c>
      <c r="C61414" t="inlineStr">
        <is>
          <t>2068-01-19</t>
        </is>
      </c>
    </row>
    <row r="61415">
      <c r="A61415" s="1" t="n">
        <v>61414</v>
      </c>
      <c r="B61415">
        <f>TEXT(61414, "[$-0E0000]yyyy-mm-dd")</f>
        <v/>
      </c>
      <c r="C61415" t="inlineStr">
        <is>
          <t>2068-01-20</t>
        </is>
      </c>
    </row>
    <row r="61416">
      <c r="A61416" s="1" t="n">
        <v>61415</v>
      </c>
      <c r="B61416">
        <f>TEXT(61415, "[$-0E0000]yyyy-mm-dd")</f>
        <v/>
      </c>
      <c r="C61416" t="inlineStr">
        <is>
          <t>2068-01-21</t>
        </is>
      </c>
    </row>
    <row r="61417">
      <c r="A61417" s="1" t="n">
        <v>61416</v>
      </c>
      <c r="B61417">
        <f>TEXT(61416, "[$-0E0000]yyyy-mm-dd")</f>
        <v/>
      </c>
      <c r="C61417" t="inlineStr">
        <is>
          <t>2068-01-22</t>
        </is>
      </c>
    </row>
    <row r="61418">
      <c r="A61418" s="1" t="n">
        <v>61417</v>
      </c>
      <c r="B61418">
        <f>TEXT(61417, "[$-0E0000]yyyy-mm-dd")</f>
        <v/>
      </c>
      <c r="C61418" t="inlineStr">
        <is>
          <t>2068-01-23</t>
        </is>
      </c>
    </row>
    <row r="61419">
      <c r="A61419" s="1" t="n">
        <v>61418</v>
      </c>
      <c r="B61419">
        <f>TEXT(61418, "[$-0E0000]yyyy-mm-dd")</f>
        <v/>
      </c>
      <c r="C61419" t="inlineStr">
        <is>
          <t>2068-01-24</t>
        </is>
      </c>
    </row>
    <row r="61420">
      <c r="A61420" s="1" t="n">
        <v>61419</v>
      </c>
      <c r="B61420">
        <f>TEXT(61419, "[$-0E0000]yyyy-mm-dd")</f>
        <v/>
      </c>
      <c r="C61420" t="inlineStr">
        <is>
          <t>2068-01-25</t>
        </is>
      </c>
    </row>
    <row r="61421">
      <c r="A61421" s="1" t="n">
        <v>61420</v>
      </c>
      <c r="B61421">
        <f>TEXT(61420, "[$-0E0000]yyyy-mm-dd")</f>
        <v/>
      </c>
      <c r="C61421" t="inlineStr">
        <is>
          <t>2068-01-26</t>
        </is>
      </c>
    </row>
    <row r="61422">
      <c r="A61422" s="1" t="n">
        <v>61421</v>
      </c>
      <c r="B61422">
        <f>TEXT(61421, "[$-0E0000]yyyy-mm-dd")</f>
        <v/>
      </c>
      <c r="C61422" t="inlineStr">
        <is>
          <t>2068-01-27</t>
        </is>
      </c>
    </row>
    <row r="61423">
      <c r="A61423" s="1" t="n">
        <v>61422</v>
      </c>
      <c r="B61423">
        <f>TEXT(61422, "[$-0E0000]yyyy-mm-dd")</f>
        <v/>
      </c>
      <c r="C61423" t="inlineStr">
        <is>
          <t>2068-01-28</t>
        </is>
      </c>
    </row>
    <row r="61424">
      <c r="A61424" s="1" t="n">
        <v>61423</v>
      </c>
      <c r="B61424">
        <f>TEXT(61423, "[$-0E0000]yyyy-mm-dd")</f>
        <v/>
      </c>
      <c r="C61424" t="inlineStr">
        <is>
          <t>2068-01-29</t>
        </is>
      </c>
    </row>
    <row r="61425">
      <c r="A61425" s="1" t="n">
        <v>61424</v>
      </c>
      <c r="B61425">
        <f>TEXT(61424, "[$-0E0000]yyyy-mm-dd")</f>
        <v/>
      </c>
      <c r="C61425" t="inlineStr">
        <is>
          <t>2068-01-30</t>
        </is>
      </c>
    </row>
    <row r="61426">
      <c r="A61426" s="1" t="n">
        <v>61425</v>
      </c>
      <c r="B61426">
        <f>TEXT(61425, "[$-0E0000]yyyy-mm-dd")</f>
        <v/>
      </c>
      <c r="C61426" t="inlineStr">
        <is>
          <t>2068-02-01</t>
        </is>
      </c>
    </row>
    <row r="61427">
      <c r="A61427" s="1" t="n">
        <v>61426</v>
      </c>
      <c r="B61427">
        <f>TEXT(61426, "[$-0E0000]yyyy-mm-dd")</f>
        <v/>
      </c>
      <c r="C61427" t="inlineStr">
        <is>
          <t>2068-02-02</t>
        </is>
      </c>
    </row>
    <row r="61428">
      <c r="A61428" s="1" t="n">
        <v>61427</v>
      </c>
      <c r="B61428">
        <f>TEXT(61427, "[$-0E0000]yyyy-mm-dd")</f>
        <v/>
      </c>
      <c r="C61428" t="inlineStr">
        <is>
          <t>2068-02-03</t>
        </is>
      </c>
    </row>
    <row r="61429">
      <c r="A61429" s="1" t="n">
        <v>61428</v>
      </c>
      <c r="B61429">
        <f>TEXT(61428, "[$-0E0000]yyyy-mm-dd")</f>
        <v/>
      </c>
      <c r="C61429" t="inlineStr">
        <is>
          <t>2068-02-04</t>
        </is>
      </c>
    </row>
    <row r="61430">
      <c r="A61430" s="1" t="n">
        <v>61429</v>
      </c>
      <c r="B61430">
        <f>TEXT(61429, "[$-0E0000]yyyy-mm-dd")</f>
        <v/>
      </c>
      <c r="C61430" t="inlineStr">
        <is>
          <t>2068-02-05</t>
        </is>
      </c>
    </row>
    <row r="61431">
      <c r="A61431" s="1" t="n">
        <v>61430</v>
      </c>
      <c r="B61431">
        <f>TEXT(61430, "[$-0E0000]yyyy-mm-dd")</f>
        <v/>
      </c>
      <c r="C61431" t="inlineStr">
        <is>
          <t>2068-02-06</t>
        </is>
      </c>
    </row>
    <row r="61432">
      <c r="A61432" s="1" t="n">
        <v>61431</v>
      </c>
      <c r="B61432">
        <f>TEXT(61431, "[$-0E0000]yyyy-mm-dd")</f>
        <v/>
      </c>
      <c r="C61432" t="inlineStr">
        <is>
          <t>2068-02-07</t>
        </is>
      </c>
    </row>
    <row r="61433">
      <c r="A61433" s="1" t="n">
        <v>61432</v>
      </c>
      <c r="B61433">
        <f>TEXT(61432, "[$-0E0000]yyyy-mm-dd")</f>
        <v/>
      </c>
      <c r="C61433" t="inlineStr">
        <is>
          <t>2068-02-08</t>
        </is>
      </c>
    </row>
    <row r="61434">
      <c r="A61434" s="1" t="n">
        <v>61433</v>
      </c>
      <c r="B61434">
        <f>TEXT(61433, "[$-0E0000]yyyy-mm-dd")</f>
        <v/>
      </c>
      <c r="C61434" t="inlineStr">
        <is>
          <t>2068-02-09</t>
        </is>
      </c>
    </row>
    <row r="61435">
      <c r="A61435" s="1" t="n">
        <v>61434</v>
      </c>
      <c r="B61435">
        <f>TEXT(61434, "[$-0E0000]yyyy-mm-dd")</f>
        <v/>
      </c>
      <c r="C61435" t="inlineStr">
        <is>
          <t>2068-02-10</t>
        </is>
      </c>
    </row>
    <row r="61436">
      <c r="A61436" s="1" t="n">
        <v>61435</v>
      </c>
      <c r="B61436">
        <f>TEXT(61435, "[$-0E0000]yyyy-mm-dd")</f>
        <v/>
      </c>
      <c r="C61436" t="inlineStr">
        <is>
          <t>2068-02-11</t>
        </is>
      </c>
    </row>
    <row r="61437">
      <c r="A61437" s="1" t="n">
        <v>61436</v>
      </c>
      <c r="B61437">
        <f>TEXT(61436, "[$-0E0000]yyyy-mm-dd")</f>
        <v/>
      </c>
      <c r="C61437" t="inlineStr">
        <is>
          <t>2068-02-12</t>
        </is>
      </c>
    </row>
    <row r="61438">
      <c r="A61438" s="1" t="n">
        <v>61437</v>
      </c>
      <c r="B61438">
        <f>TEXT(61437, "[$-0E0000]yyyy-mm-dd")</f>
        <v/>
      </c>
      <c r="C61438" t="inlineStr">
        <is>
          <t>2068-02-13</t>
        </is>
      </c>
    </row>
    <row r="61439">
      <c r="A61439" s="1" t="n">
        <v>61438</v>
      </c>
      <c r="B61439">
        <f>TEXT(61438, "[$-0E0000]yyyy-mm-dd")</f>
        <v/>
      </c>
      <c r="C61439" t="inlineStr">
        <is>
          <t>2068-02-14</t>
        </is>
      </c>
    </row>
    <row r="61440">
      <c r="A61440" s="1" t="n">
        <v>61439</v>
      </c>
      <c r="B61440">
        <f>TEXT(61439, "[$-0E0000]yyyy-mm-dd")</f>
        <v/>
      </c>
      <c r="C61440" t="inlineStr">
        <is>
          <t>2068-02-15</t>
        </is>
      </c>
    </row>
    <row r="61441">
      <c r="A61441" s="1" t="n">
        <v>61440</v>
      </c>
      <c r="B61441">
        <f>TEXT(61440, "[$-0E0000]yyyy-mm-dd")</f>
        <v/>
      </c>
      <c r="C61441" t="inlineStr">
        <is>
          <t>2068-02-16</t>
        </is>
      </c>
    </row>
    <row r="61442">
      <c r="A61442" s="1" t="n">
        <v>61441</v>
      </c>
      <c r="B61442">
        <f>TEXT(61441, "[$-0E0000]yyyy-mm-dd")</f>
        <v/>
      </c>
      <c r="C61442" t="inlineStr">
        <is>
          <t>2068-02-17</t>
        </is>
      </c>
    </row>
    <row r="61443">
      <c r="A61443" s="1" t="n">
        <v>61442</v>
      </c>
      <c r="B61443">
        <f>TEXT(61442, "[$-0E0000]yyyy-mm-dd")</f>
        <v/>
      </c>
      <c r="C61443" t="inlineStr">
        <is>
          <t>2068-02-18</t>
        </is>
      </c>
    </row>
    <row r="61444">
      <c r="A61444" s="1" t="n">
        <v>61443</v>
      </c>
      <c r="B61444">
        <f>TEXT(61443, "[$-0E0000]yyyy-mm-dd")</f>
        <v/>
      </c>
      <c r="C61444" t="inlineStr">
        <is>
          <t>2068-02-19</t>
        </is>
      </c>
    </row>
    <row r="61445">
      <c r="A61445" s="1" t="n">
        <v>61444</v>
      </c>
      <c r="B61445">
        <f>TEXT(61444, "[$-0E0000]yyyy-mm-dd")</f>
        <v/>
      </c>
      <c r="C61445" t="inlineStr">
        <is>
          <t>2068-02-20</t>
        </is>
      </c>
    </row>
    <row r="61446">
      <c r="A61446" s="1" t="n">
        <v>61445</v>
      </c>
      <c r="B61446">
        <f>TEXT(61445, "[$-0E0000]yyyy-mm-dd")</f>
        <v/>
      </c>
      <c r="C61446" t="inlineStr">
        <is>
          <t>2068-02-21</t>
        </is>
      </c>
    </row>
    <row r="61447">
      <c r="A61447" s="1" t="n">
        <v>61446</v>
      </c>
      <c r="B61447">
        <f>TEXT(61446, "[$-0E0000]yyyy-mm-dd")</f>
        <v/>
      </c>
      <c r="C61447" t="inlineStr">
        <is>
          <t>2068-02-22</t>
        </is>
      </c>
    </row>
    <row r="61448">
      <c r="A61448" s="1" t="n">
        <v>61447</v>
      </c>
      <c r="B61448">
        <f>TEXT(61447, "[$-0E0000]yyyy-mm-dd")</f>
        <v/>
      </c>
      <c r="C61448" t="inlineStr">
        <is>
          <t>2068-02-23</t>
        </is>
      </c>
    </row>
    <row r="61449">
      <c r="A61449" s="1" t="n">
        <v>61448</v>
      </c>
      <c r="B61449">
        <f>TEXT(61448, "[$-0E0000]yyyy-mm-dd")</f>
        <v/>
      </c>
      <c r="C61449" t="inlineStr">
        <is>
          <t>2068-02-24</t>
        </is>
      </c>
    </row>
    <row r="61450">
      <c r="A61450" s="1" t="n">
        <v>61449</v>
      </c>
      <c r="B61450">
        <f>TEXT(61449, "[$-0E0000]yyyy-mm-dd")</f>
        <v/>
      </c>
      <c r="C61450" t="inlineStr">
        <is>
          <t>2068-02-25</t>
        </is>
      </c>
    </row>
    <row r="61451">
      <c r="A61451" s="1" t="n">
        <v>61450</v>
      </c>
      <c r="B61451">
        <f>TEXT(61450, "[$-0E0000]yyyy-mm-dd")</f>
        <v/>
      </c>
      <c r="C61451" t="inlineStr">
        <is>
          <t>2068-02-26</t>
        </is>
      </c>
    </row>
    <row r="61452">
      <c r="A61452" s="1" t="n">
        <v>61451</v>
      </c>
      <c r="B61452">
        <f>TEXT(61451, "[$-0E0000]yyyy-mm-dd")</f>
        <v/>
      </c>
      <c r="C61452" t="inlineStr">
        <is>
          <t>2068-02-27</t>
        </is>
      </c>
    </row>
    <row r="61453">
      <c r="A61453" s="1" t="n">
        <v>61452</v>
      </c>
      <c r="B61453">
        <f>TEXT(61452, "[$-0E0000]yyyy-mm-dd")</f>
        <v/>
      </c>
      <c r="C61453" t="inlineStr">
        <is>
          <t>2068-02-28</t>
        </is>
      </c>
    </row>
    <row r="61454">
      <c r="A61454" s="1" t="n">
        <v>61453</v>
      </c>
      <c r="B61454">
        <f>TEXT(61453, "[$-0E0000]yyyy-mm-dd")</f>
        <v/>
      </c>
      <c r="C61454" t="inlineStr">
        <is>
          <t>2068-02-29</t>
        </is>
      </c>
    </row>
    <row r="61455">
      <c r="A61455" s="1" t="n">
        <v>61454</v>
      </c>
      <c r="B61455">
        <f>TEXT(61454, "[$-0E0000]yyyy-mm-dd")</f>
        <v/>
      </c>
      <c r="C61455" t="inlineStr">
        <is>
          <t>2068-03-01</t>
        </is>
      </c>
    </row>
    <row r="61456">
      <c r="A61456" s="1" t="n">
        <v>61455</v>
      </c>
      <c r="B61456">
        <f>TEXT(61455, "[$-0E0000]yyyy-mm-dd")</f>
        <v/>
      </c>
      <c r="C61456" t="inlineStr">
        <is>
          <t>2068-03-02</t>
        </is>
      </c>
    </row>
    <row r="61457">
      <c r="A61457" s="1" t="n">
        <v>61456</v>
      </c>
      <c r="B61457">
        <f>TEXT(61456, "[$-0E0000]yyyy-mm-dd")</f>
        <v/>
      </c>
      <c r="C61457" t="inlineStr">
        <is>
          <t>2068-03-03</t>
        </is>
      </c>
    </row>
    <row r="61458">
      <c r="A61458" s="1" t="n">
        <v>61457</v>
      </c>
      <c r="B61458">
        <f>TEXT(61457, "[$-0E0000]yyyy-mm-dd")</f>
        <v/>
      </c>
      <c r="C61458" t="inlineStr">
        <is>
          <t>2068-03-04</t>
        </is>
      </c>
    </row>
    <row r="61459">
      <c r="A61459" s="1" t="n">
        <v>61458</v>
      </c>
      <c r="B61459">
        <f>TEXT(61458, "[$-0E0000]yyyy-mm-dd")</f>
        <v/>
      </c>
      <c r="C61459" t="inlineStr">
        <is>
          <t>2068-03-05</t>
        </is>
      </c>
    </row>
    <row r="61460">
      <c r="A61460" s="1" t="n">
        <v>61459</v>
      </c>
      <c r="B61460">
        <f>TEXT(61459, "[$-0E0000]yyyy-mm-dd")</f>
        <v/>
      </c>
      <c r="C61460" t="inlineStr">
        <is>
          <t>2068-03-06</t>
        </is>
      </c>
    </row>
    <row r="61461">
      <c r="A61461" s="1" t="n">
        <v>61460</v>
      </c>
      <c r="B61461">
        <f>TEXT(61460, "[$-0E0000]yyyy-mm-dd")</f>
        <v/>
      </c>
      <c r="C61461" t="inlineStr">
        <is>
          <t>2068-03-07</t>
        </is>
      </c>
    </row>
    <row r="61462">
      <c r="A61462" s="1" t="n">
        <v>61461</v>
      </c>
      <c r="B61462">
        <f>TEXT(61461, "[$-0E0000]yyyy-mm-dd")</f>
        <v/>
      </c>
      <c r="C61462" t="inlineStr">
        <is>
          <t>2068-03-08</t>
        </is>
      </c>
    </row>
    <row r="61463">
      <c r="A61463" s="1" t="n">
        <v>61462</v>
      </c>
      <c r="B61463">
        <f>TEXT(61462, "[$-0E0000]yyyy-mm-dd")</f>
        <v/>
      </c>
      <c r="C61463" t="inlineStr">
        <is>
          <t>2068-03-09</t>
        </is>
      </c>
    </row>
    <row r="61464">
      <c r="A61464" s="1" t="n">
        <v>61463</v>
      </c>
      <c r="B61464">
        <f>TEXT(61463, "[$-0E0000]yyyy-mm-dd")</f>
        <v/>
      </c>
      <c r="C61464" t="inlineStr">
        <is>
          <t>2068-03-10</t>
        </is>
      </c>
    </row>
    <row r="61465">
      <c r="A61465" s="1" t="n">
        <v>61464</v>
      </c>
      <c r="B61465">
        <f>TEXT(61464, "[$-0E0000]yyyy-mm-dd")</f>
        <v/>
      </c>
      <c r="C61465" t="inlineStr">
        <is>
          <t>2068-03-11</t>
        </is>
      </c>
    </row>
    <row r="61466">
      <c r="A61466" s="1" t="n">
        <v>61465</v>
      </c>
      <c r="B61466">
        <f>TEXT(61465, "[$-0E0000]yyyy-mm-dd")</f>
        <v/>
      </c>
      <c r="C61466" t="inlineStr">
        <is>
          <t>2068-03-12</t>
        </is>
      </c>
    </row>
    <row r="61467">
      <c r="A61467" s="1" t="n">
        <v>61466</v>
      </c>
      <c r="B61467">
        <f>TEXT(61466, "[$-0E0000]yyyy-mm-dd")</f>
        <v/>
      </c>
      <c r="C61467" t="inlineStr">
        <is>
          <t>2068-03-13</t>
        </is>
      </c>
    </row>
    <row r="61468">
      <c r="A61468" s="1" t="n">
        <v>61467</v>
      </c>
      <c r="B61468">
        <f>TEXT(61467, "[$-0E0000]yyyy-mm-dd")</f>
        <v/>
      </c>
      <c r="C61468" t="inlineStr">
        <is>
          <t>2068-03-14</t>
        </is>
      </c>
    </row>
    <row r="61469">
      <c r="A61469" s="1" t="n">
        <v>61468</v>
      </c>
      <c r="B61469">
        <f>TEXT(61468, "[$-0E0000]yyyy-mm-dd")</f>
        <v/>
      </c>
      <c r="C61469" t="inlineStr">
        <is>
          <t>2068-03-15</t>
        </is>
      </c>
    </row>
    <row r="61470">
      <c r="A61470" s="1" t="n">
        <v>61469</v>
      </c>
      <c r="B61470">
        <f>TEXT(61469, "[$-0E0000]yyyy-mm-dd")</f>
        <v/>
      </c>
      <c r="C61470" t="inlineStr">
        <is>
          <t>2068-03-16</t>
        </is>
      </c>
    </row>
    <row r="61471">
      <c r="A61471" s="1" t="n">
        <v>61470</v>
      </c>
      <c r="B61471">
        <f>TEXT(61470, "[$-0E0000]yyyy-mm-dd")</f>
        <v/>
      </c>
      <c r="C61471" t="inlineStr">
        <is>
          <t>2068-03-17</t>
        </is>
      </c>
    </row>
    <row r="61472">
      <c r="A61472" s="1" t="n">
        <v>61471</v>
      </c>
      <c r="B61472">
        <f>TEXT(61471, "[$-0E0000]yyyy-mm-dd")</f>
        <v/>
      </c>
      <c r="C61472" t="inlineStr">
        <is>
          <t>2068-03-18</t>
        </is>
      </c>
    </row>
    <row r="61473">
      <c r="A61473" s="1" t="n">
        <v>61472</v>
      </c>
      <c r="B61473">
        <f>TEXT(61472, "[$-0E0000]yyyy-mm-dd")</f>
        <v/>
      </c>
      <c r="C61473" t="inlineStr">
        <is>
          <t>2068-03-19</t>
        </is>
      </c>
    </row>
    <row r="61474">
      <c r="A61474" s="1" t="n">
        <v>61473</v>
      </c>
      <c r="B61474">
        <f>TEXT(61473, "[$-0E0000]yyyy-mm-dd")</f>
        <v/>
      </c>
      <c r="C61474" t="inlineStr">
        <is>
          <t>2068-03-20</t>
        </is>
      </c>
    </row>
    <row r="61475">
      <c r="A61475" s="1" t="n">
        <v>61474</v>
      </c>
      <c r="B61475">
        <f>TEXT(61474, "[$-0E0000]yyyy-mm-dd")</f>
        <v/>
      </c>
      <c r="C61475" t="inlineStr">
        <is>
          <t>2068-03-21</t>
        </is>
      </c>
    </row>
    <row r="61476">
      <c r="A61476" s="1" t="n">
        <v>61475</v>
      </c>
      <c r="B61476">
        <f>TEXT(61475, "[$-0E0000]yyyy-mm-dd")</f>
        <v/>
      </c>
      <c r="C61476" t="inlineStr">
        <is>
          <t>2068-03-22</t>
        </is>
      </c>
    </row>
    <row r="61477">
      <c r="A61477" s="1" t="n">
        <v>61476</v>
      </c>
      <c r="B61477">
        <f>TEXT(61476, "[$-0E0000]yyyy-mm-dd")</f>
        <v/>
      </c>
      <c r="C61477" t="inlineStr">
        <is>
          <t>2068-03-23</t>
        </is>
      </c>
    </row>
    <row r="61478">
      <c r="A61478" s="1" t="n">
        <v>61477</v>
      </c>
      <c r="B61478">
        <f>TEXT(61477, "[$-0E0000]yyyy-mm-dd")</f>
        <v/>
      </c>
      <c r="C61478" t="inlineStr">
        <is>
          <t>2068-03-24</t>
        </is>
      </c>
    </row>
    <row r="61479">
      <c r="A61479" s="1" t="n">
        <v>61478</v>
      </c>
      <c r="B61479">
        <f>TEXT(61478, "[$-0E0000]yyyy-mm-dd")</f>
        <v/>
      </c>
      <c r="C61479" t="inlineStr">
        <is>
          <t>2068-03-25</t>
        </is>
      </c>
    </row>
    <row r="61480">
      <c r="A61480" s="1" t="n">
        <v>61479</v>
      </c>
      <c r="B61480">
        <f>TEXT(61479, "[$-0E0000]yyyy-mm-dd")</f>
        <v/>
      </c>
      <c r="C61480" t="inlineStr">
        <is>
          <t>2068-03-26</t>
        </is>
      </c>
    </row>
    <row r="61481">
      <c r="A61481" s="1" t="n">
        <v>61480</v>
      </c>
      <c r="B61481">
        <f>TEXT(61480, "[$-0E0000]yyyy-mm-dd")</f>
        <v/>
      </c>
      <c r="C61481" t="inlineStr">
        <is>
          <t>2068-03-27</t>
        </is>
      </c>
    </row>
    <row r="61482">
      <c r="A61482" s="1" t="n">
        <v>61481</v>
      </c>
      <c r="B61482">
        <f>TEXT(61481, "[$-0E0000]yyyy-mm-dd")</f>
        <v/>
      </c>
      <c r="C61482" t="inlineStr">
        <is>
          <t>2068-03-28</t>
        </is>
      </c>
    </row>
    <row r="61483">
      <c r="A61483" s="1" t="n">
        <v>61482</v>
      </c>
      <c r="B61483">
        <f>TEXT(61482, "[$-0E0000]yyyy-mm-dd")</f>
        <v/>
      </c>
      <c r="C61483" t="inlineStr">
        <is>
          <t>2068-03-29</t>
        </is>
      </c>
    </row>
    <row r="61484">
      <c r="A61484" s="1" t="n">
        <v>61483</v>
      </c>
      <c r="B61484">
        <f>TEXT(61483, "[$-0E0000]yyyy-mm-dd")</f>
        <v/>
      </c>
      <c r="C61484" t="inlineStr">
        <is>
          <t>2068-03-30</t>
        </is>
      </c>
    </row>
    <row r="61485">
      <c r="A61485" s="1" t="n">
        <v>61484</v>
      </c>
      <c r="B61485">
        <f>TEXT(61484, "[$-0E0000]yyyy-mm-dd")</f>
        <v/>
      </c>
      <c r="C61485" t="inlineStr">
        <is>
          <t>2068-04-01</t>
        </is>
      </c>
    </row>
    <row r="61486">
      <c r="A61486" s="1" t="n">
        <v>61485</v>
      </c>
      <c r="B61486">
        <f>TEXT(61485, "[$-0E0000]yyyy-mm-dd")</f>
        <v/>
      </c>
      <c r="C61486" t="inlineStr">
        <is>
          <t>2068-04-02</t>
        </is>
      </c>
    </row>
    <row r="61487">
      <c r="A61487" s="1" t="n">
        <v>61486</v>
      </c>
      <c r="B61487">
        <f>TEXT(61486, "[$-0E0000]yyyy-mm-dd")</f>
        <v/>
      </c>
      <c r="C61487" t="inlineStr">
        <is>
          <t>2068-04-03</t>
        </is>
      </c>
    </row>
    <row r="61488">
      <c r="A61488" s="1" t="n">
        <v>61487</v>
      </c>
      <c r="B61488">
        <f>TEXT(61487, "[$-0E0000]yyyy-mm-dd")</f>
        <v/>
      </c>
      <c r="C61488" t="inlineStr">
        <is>
          <t>2068-04-04</t>
        </is>
      </c>
    </row>
    <row r="61489">
      <c r="A61489" s="1" t="n">
        <v>61488</v>
      </c>
      <c r="B61489">
        <f>TEXT(61488, "[$-0E0000]yyyy-mm-dd")</f>
        <v/>
      </c>
      <c r="C61489" t="inlineStr">
        <is>
          <t>2068-04-05</t>
        </is>
      </c>
    </row>
    <row r="61490">
      <c r="A61490" s="1" t="n">
        <v>61489</v>
      </c>
      <c r="B61490">
        <f>TEXT(61489, "[$-0E0000]yyyy-mm-dd")</f>
        <v/>
      </c>
      <c r="C61490" t="inlineStr">
        <is>
          <t>2068-04-06</t>
        </is>
      </c>
    </row>
    <row r="61491">
      <c r="A61491" s="1" t="n">
        <v>61490</v>
      </c>
      <c r="B61491">
        <f>TEXT(61490, "[$-0E0000]yyyy-mm-dd")</f>
        <v/>
      </c>
      <c r="C61491" t="inlineStr">
        <is>
          <t>2068-04-07</t>
        </is>
      </c>
    </row>
    <row r="61492">
      <c r="A61492" s="1" t="n">
        <v>61491</v>
      </c>
      <c r="B61492">
        <f>TEXT(61491, "[$-0E0000]yyyy-mm-dd")</f>
        <v/>
      </c>
      <c r="C61492" t="inlineStr">
        <is>
          <t>2068-04-08</t>
        </is>
      </c>
    </row>
    <row r="61493">
      <c r="A61493" s="1" t="n">
        <v>61492</v>
      </c>
      <c r="B61493">
        <f>TEXT(61492, "[$-0E0000]yyyy-mm-dd")</f>
        <v/>
      </c>
      <c r="C61493" t="inlineStr">
        <is>
          <t>2068-04-09</t>
        </is>
      </c>
    </row>
    <row r="61494">
      <c r="A61494" s="1" t="n">
        <v>61493</v>
      </c>
      <c r="B61494">
        <f>TEXT(61493, "[$-0E0000]yyyy-mm-dd")</f>
        <v/>
      </c>
      <c r="C61494" t="inlineStr">
        <is>
          <t>2068-04-10</t>
        </is>
      </c>
    </row>
    <row r="61495">
      <c r="A61495" s="1" t="n">
        <v>61494</v>
      </c>
      <c r="B61495">
        <f>TEXT(61494, "[$-0E0000]yyyy-mm-dd")</f>
        <v/>
      </c>
      <c r="C61495" t="inlineStr">
        <is>
          <t>2068-04-11</t>
        </is>
      </c>
    </row>
    <row r="61496">
      <c r="A61496" s="1" t="n">
        <v>61495</v>
      </c>
      <c r="B61496">
        <f>TEXT(61495, "[$-0E0000]yyyy-mm-dd")</f>
        <v/>
      </c>
      <c r="C61496" t="inlineStr">
        <is>
          <t>2068-04-12</t>
        </is>
      </c>
    </row>
    <row r="61497">
      <c r="A61497" s="1" t="n">
        <v>61496</v>
      </c>
      <c r="B61497">
        <f>TEXT(61496, "[$-0E0000]yyyy-mm-dd")</f>
        <v/>
      </c>
      <c r="C61497" t="inlineStr">
        <is>
          <t>2068-04-13</t>
        </is>
      </c>
    </row>
    <row r="61498">
      <c r="A61498" s="1" t="n">
        <v>61497</v>
      </c>
      <c r="B61498">
        <f>TEXT(61497, "[$-0E0000]yyyy-mm-dd")</f>
        <v/>
      </c>
      <c r="C61498" t="inlineStr">
        <is>
          <t>2068-04-14</t>
        </is>
      </c>
    </row>
    <row r="61499">
      <c r="A61499" s="1" t="n">
        <v>61498</v>
      </c>
      <c r="B61499">
        <f>TEXT(61498, "[$-0E0000]yyyy-mm-dd")</f>
        <v/>
      </c>
      <c r="C61499" t="inlineStr">
        <is>
          <t>2068-04-15</t>
        </is>
      </c>
    </row>
    <row r="61500">
      <c r="A61500" s="1" t="n">
        <v>61499</v>
      </c>
      <c r="B61500">
        <f>TEXT(61499, "[$-0E0000]yyyy-mm-dd")</f>
        <v/>
      </c>
      <c r="C61500" t="inlineStr">
        <is>
          <t>2068-04-16</t>
        </is>
      </c>
    </row>
    <row r="61501">
      <c r="A61501" s="1" t="n">
        <v>61500</v>
      </c>
      <c r="B61501">
        <f>TEXT(61500, "[$-0E0000]yyyy-mm-dd")</f>
        <v/>
      </c>
      <c r="C61501" t="inlineStr">
        <is>
          <t>2068-04-17</t>
        </is>
      </c>
    </row>
    <row r="61502">
      <c r="A61502" s="1" t="n">
        <v>61501</v>
      </c>
      <c r="B61502">
        <f>TEXT(61501, "[$-0E0000]yyyy-mm-dd")</f>
        <v/>
      </c>
      <c r="C61502" t="inlineStr">
        <is>
          <t>2068-04-18</t>
        </is>
      </c>
    </row>
    <row r="61503">
      <c r="A61503" s="1" t="n">
        <v>61502</v>
      </c>
      <c r="B61503">
        <f>TEXT(61502, "[$-0E0000]yyyy-mm-dd")</f>
        <v/>
      </c>
      <c r="C61503" t="inlineStr">
        <is>
          <t>2068-04-19</t>
        </is>
      </c>
    </row>
    <row r="61504">
      <c r="A61504" s="1" t="n">
        <v>61503</v>
      </c>
      <c r="B61504">
        <f>TEXT(61503, "[$-0E0000]yyyy-mm-dd")</f>
        <v/>
      </c>
      <c r="C61504" t="inlineStr">
        <is>
          <t>2068-04-20</t>
        </is>
      </c>
    </row>
    <row r="61505">
      <c r="A61505" s="1" t="n">
        <v>61504</v>
      </c>
      <c r="B61505">
        <f>TEXT(61504, "[$-0E0000]yyyy-mm-dd")</f>
        <v/>
      </c>
      <c r="C61505" t="inlineStr">
        <is>
          <t>2068-04-21</t>
        </is>
      </c>
    </row>
    <row r="61506">
      <c r="A61506" s="1" t="n">
        <v>61505</v>
      </c>
      <c r="B61506">
        <f>TEXT(61505, "[$-0E0000]yyyy-mm-dd")</f>
        <v/>
      </c>
      <c r="C61506" t="inlineStr">
        <is>
          <t>2068-04-22</t>
        </is>
      </c>
    </row>
    <row r="61507">
      <c r="A61507" s="1" t="n">
        <v>61506</v>
      </c>
      <c r="B61507">
        <f>TEXT(61506, "[$-0E0000]yyyy-mm-dd")</f>
        <v/>
      </c>
      <c r="C61507" t="inlineStr">
        <is>
          <t>2068-04-23</t>
        </is>
      </c>
    </row>
    <row r="61508">
      <c r="A61508" s="1" t="n">
        <v>61507</v>
      </c>
      <c r="B61508">
        <f>TEXT(61507, "[$-0E0000]yyyy-mm-dd")</f>
        <v/>
      </c>
      <c r="C61508" t="inlineStr">
        <is>
          <t>2068-04-24</t>
        </is>
      </c>
    </row>
    <row r="61509">
      <c r="A61509" s="1" t="n">
        <v>61508</v>
      </c>
      <c r="B61509">
        <f>TEXT(61508, "[$-0E0000]yyyy-mm-dd")</f>
        <v/>
      </c>
      <c r="C61509" t="inlineStr">
        <is>
          <t>2068-04-25</t>
        </is>
      </c>
    </row>
    <row r="61510">
      <c r="A61510" s="1" t="n">
        <v>61509</v>
      </c>
      <c r="B61510">
        <f>TEXT(61509, "[$-0E0000]yyyy-mm-dd")</f>
        <v/>
      </c>
      <c r="C61510" t="inlineStr">
        <is>
          <t>2068-04-26</t>
        </is>
      </c>
    </row>
    <row r="61511">
      <c r="A61511" s="1" t="n">
        <v>61510</v>
      </c>
      <c r="B61511">
        <f>TEXT(61510, "[$-0E0000]yyyy-mm-dd")</f>
        <v/>
      </c>
      <c r="C61511" t="inlineStr">
        <is>
          <t>2068-04-27</t>
        </is>
      </c>
    </row>
    <row r="61512">
      <c r="A61512" s="1" t="n">
        <v>61511</v>
      </c>
      <c r="B61512">
        <f>TEXT(61511, "[$-0E0000]yyyy-mm-dd")</f>
        <v/>
      </c>
      <c r="C61512" t="inlineStr">
        <is>
          <t>2068-04-28</t>
        </is>
      </c>
    </row>
    <row r="61513">
      <c r="A61513" s="1" t="n">
        <v>61512</v>
      </c>
      <c r="B61513">
        <f>TEXT(61512, "[$-0E0000]yyyy-mm-dd")</f>
        <v/>
      </c>
      <c r="C61513" t="inlineStr">
        <is>
          <t>2068-04-29</t>
        </is>
      </c>
    </row>
    <row r="61514">
      <c r="A61514" s="1" t="n">
        <v>61513</v>
      </c>
      <c r="B61514">
        <f>TEXT(61513, "[$-0E0000]yyyy-mm-dd")</f>
        <v/>
      </c>
      <c r="C61514" t="inlineStr">
        <is>
          <t>2068-05-01</t>
        </is>
      </c>
    </row>
    <row r="61515">
      <c r="A61515" s="1" t="n">
        <v>61514</v>
      </c>
      <c r="B61515">
        <f>TEXT(61514, "[$-0E0000]yyyy-mm-dd")</f>
        <v/>
      </c>
      <c r="C61515" t="inlineStr">
        <is>
          <t>2068-05-02</t>
        </is>
      </c>
    </row>
    <row r="61516">
      <c r="A61516" s="1" t="n">
        <v>61515</v>
      </c>
      <c r="B61516">
        <f>TEXT(61515, "[$-0E0000]yyyy-mm-dd")</f>
        <v/>
      </c>
      <c r="C61516" t="inlineStr">
        <is>
          <t>2068-05-03</t>
        </is>
      </c>
    </row>
    <row r="61517">
      <c r="A61517" s="1" t="n">
        <v>61516</v>
      </c>
      <c r="B61517">
        <f>TEXT(61516, "[$-0E0000]yyyy-mm-dd")</f>
        <v/>
      </c>
      <c r="C61517" t="inlineStr">
        <is>
          <t>2068-05-04</t>
        </is>
      </c>
    </row>
    <row r="61518">
      <c r="A61518" s="1" t="n">
        <v>61517</v>
      </c>
      <c r="B61518">
        <f>TEXT(61517, "[$-0E0000]yyyy-mm-dd")</f>
        <v/>
      </c>
      <c r="C61518" t="inlineStr">
        <is>
          <t>2068-05-05</t>
        </is>
      </c>
    </row>
    <row r="61519">
      <c r="A61519" s="1" t="n">
        <v>61518</v>
      </c>
      <c r="B61519">
        <f>TEXT(61518, "[$-0E0000]yyyy-mm-dd")</f>
        <v/>
      </c>
      <c r="C61519" t="inlineStr">
        <is>
          <t>2068-05-06</t>
        </is>
      </c>
    </row>
    <row r="61520">
      <c r="A61520" s="1" t="n">
        <v>61519</v>
      </c>
      <c r="B61520">
        <f>TEXT(61519, "[$-0E0000]yyyy-mm-dd")</f>
        <v/>
      </c>
      <c r="C61520" t="inlineStr">
        <is>
          <t>2068-05-07</t>
        </is>
      </c>
    </row>
    <row r="61521">
      <c r="A61521" s="1" t="n">
        <v>61520</v>
      </c>
      <c r="B61521">
        <f>TEXT(61520, "[$-0E0000]yyyy-mm-dd")</f>
        <v/>
      </c>
      <c r="C61521" t="inlineStr">
        <is>
          <t>2068-05-08</t>
        </is>
      </c>
    </row>
    <row r="61522">
      <c r="A61522" s="1" t="n">
        <v>61521</v>
      </c>
      <c r="B61522">
        <f>TEXT(61521, "[$-0E0000]yyyy-mm-dd")</f>
        <v/>
      </c>
      <c r="C61522" t="inlineStr">
        <is>
          <t>2068-05-09</t>
        </is>
      </c>
    </row>
    <row r="61523">
      <c r="A61523" s="1" t="n">
        <v>61522</v>
      </c>
      <c r="B61523">
        <f>TEXT(61522, "[$-0E0000]yyyy-mm-dd")</f>
        <v/>
      </c>
      <c r="C61523" t="inlineStr">
        <is>
          <t>2068-05-10</t>
        </is>
      </c>
    </row>
    <row r="61524">
      <c r="A61524" s="1" t="n">
        <v>61523</v>
      </c>
      <c r="B61524">
        <f>TEXT(61523, "[$-0E0000]yyyy-mm-dd")</f>
        <v/>
      </c>
      <c r="C61524" t="inlineStr">
        <is>
          <t>2068-05-11</t>
        </is>
      </c>
    </row>
    <row r="61525">
      <c r="A61525" s="1" t="n">
        <v>61524</v>
      </c>
      <c r="B61525">
        <f>TEXT(61524, "[$-0E0000]yyyy-mm-dd")</f>
        <v/>
      </c>
      <c r="C61525" t="inlineStr">
        <is>
          <t>2068-05-12</t>
        </is>
      </c>
    </row>
    <row r="61526">
      <c r="A61526" s="1" t="n">
        <v>61525</v>
      </c>
      <c r="B61526">
        <f>TEXT(61525, "[$-0E0000]yyyy-mm-dd")</f>
        <v/>
      </c>
      <c r="C61526" t="inlineStr">
        <is>
          <t>2068-05-13</t>
        </is>
      </c>
    </row>
    <row r="61527">
      <c r="A61527" s="1" t="n">
        <v>61526</v>
      </c>
      <c r="B61527">
        <f>TEXT(61526, "[$-0E0000]yyyy-mm-dd")</f>
        <v/>
      </c>
      <c r="C61527" t="inlineStr">
        <is>
          <t>2068-05-14</t>
        </is>
      </c>
    </row>
    <row r="61528">
      <c r="A61528" s="1" t="n">
        <v>61527</v>
      </c>
      <c r="B61528">
        <f>TEXT(61527, "[$-0E0000]yyyy-mm-dd")</f>
        <v/>
      </c>
      <c r="C61528" t="inlineStr">
        <is>
          <t>2068-05-15</t>
        </is>
      </c>
    </row>
    <row r="61529">
      <c r="A61529" s="1" t="n">
        <v>61528</v>
      </c>
      <c r="B61529">
        <f>TEXT(61528, "[$-0E0000]yyyy-mm-dd")</f>
        <v/>
      </c>
      <c r="C61529" t="inlineStr">
        <is>
          <t>2068-05-16</t>
        </is>
      </c>
    </row>
    <row r="61530">
      <c r="A61530" s="1" t="n">
        <v>61529</v>
      </c>
      <c r="B61530">
        <f>TEXT(61529, "[$-0E0000]yyyy-mm-dd")</f>
        <v/>
      </c>
      <c r="C61530" t="inlineStr">
        <is>
          <t>2068-05-17</t>
        </is>
      </c>
    </row>
    <row r="61531">
      <c r="A61531" s="1" t="n">
        <v>61530</v>
      </c>
      <c r="B61531">
        <f>TEXT(61530, "[$-0E0000]yyyy-mm-dd")</f>
        <v/>
      </c>
      <c r="C61531" t="inlineStr">
        <is>
          <t>2068-05-18</t>
        </is>
      </c>
    </row>
    <row r="61532">
      <c r="A61532" s="1" t="n">
        <v>61531</v>
      </c>
      <c r="B61532">
        <f>TEXT(61531, "[$-0E0000]yyyy-mm-dd")</f>
        <v/>
      </c>
      <c r="C61532" t="inlineStr">
        <is>
          <t>2068-05-19</t>
        </is>
      </c>
    </row>
    <row r="61533">
      <c r="A61533" s="1" t="n">
        <v>61532</v>
      </c>
      <c r="B61533">
        <f>TEXT(61532, "[$-0E0000]yyyy-mm-dd")</f>
        <v/>
      </c>
      <c r="C61533" t="inlineStr">
        <is>
          <t>2068-05-20</t>
        </is>
      </c>
    </row>
    <row r="61534">
      <c r="A61534" s="1" t="n">
        <v>61533</v>
      </c>
      <c r="B61534">
        <f>TEXT(61533, "[$-0E0000]yyyy-mm-dd")</f>
        <v/>
      </c>
      <c r="C61534" t="inlineStr">
        <is>
          <t>2068-05-21</t>
        </is>
      </c>
    </row>
    <row r="61535">
      <c r="A61535" s="1" t="n">
        <v>61534</v>
      </c>
      <c r="B61535">
        <f>TEXT(61534, "[$-0E0000]yyyy-mm-dd")</f>
        <v/>
      </c>
      <c r="C61535" t="inlineStr">
        <is>
          <t>2068-05-22</t>
        </is>
      </c>
    </row>
    <row r="61536">
      <c r="A61536" s="1" t="n">
        <v>61535</v>
      </c>
      <c r="B61536">
        <f>TEXT(61535, "[$-0E0000]yyyy-mm-dd")</f>
        <v/>
      </c>
      <c r="C61536" t="inlineStr">
        <is>
          <t>2068-05-23</t>
        </is>
      </c>
    </row>
    <row r="61537">
      <c r="A61537" s="1" t="n">
        <v>61536</v>
      </c>
      <c r="B61537">
        <f>TEXT(61536, "[$-0E0000]yyyy-mm-dd")</f>
        <v/>
      </c>
      <c r="C61537" t="inlineStr">
        <is>
          <t>2068-05-24</t>
        </is>
      </c>
    </row>
    <row r="61538">
      <c r="A61538" s="1" t="n">
        <v>61537</v>
      </c>
      <c r="B61538">
        <f>TEXT(61537, "[$-0E0000]yyyy-mm-dd")</f>
        <v/>
      </c>
      <c r="C61538" t="inlineStr">
        <is>
          <t>2068-05-25</t>
        </is>
      </c>
    </row>
    <row r="61539">
      <c r="A61539" s="1" t="n">
        <v>61538</v>
      </c>
      <c r="B61539">
        <f>TEXT(61538, "[$-0E0000]yyyy-mm-dd")</f>
        <v/>
      </c>
      <c r="C61539" t="inlineStr">
        <is>
          <t>2068-05-26</t>
        </is>
      </c>
    </row>
    <row r="61540">
      <c r="A61540" s="1" t="n">
        <v>61539</v>
      </c>
      <c r="B61540">
        <f>TEXT(61539, "[$-0E0000]yyyy-mm-dd")</f>
        <v/>
      </c>
      <c r="C61540" t="inlineStr">
        <is>
          <t>2068-05-27</t>
        </is>
      </c>
    </row>
    <row r="61541">
      <c r="A61541" s="1" t="n">
        <v>61540</v>
      </c>
      <c r="B61541">
        <f>TEXT(61540, "[$-0E0000]yyyy-mm-dd")</f>
        <v/>
      </c>
      <c r="C61541" t="inlineStr">
        <is>
          <t>2068-05-28</t>
        </is>
      </c>
    </row>
    <row r="61542">
      <c r="A61542" s="1" t="n">
        <v>61541</v>
      </c>
      <c r="B61542">
        <f>TEXT(61541, "[$-0E0000]yyyy-mm-dd")</f>
        <v/>
      </c>
      <c r="C61542" t="inlineStr">
        <is>
          <t>2068-05-29</t>
        </is>
      </c>
    </row>
    <row r="61543">
      <c r="A61543" s="1" t="n">
        <v>61542</v>
      </c>
      <c r="B61543">
        <f>TEXT(61542, "[$-0E0000]yyyy-mm-dd")</f>
        <v/>
      </c>
      <c r="C61543" t="inlineStr">
        <is>
          <t>2068-06-01</t>
        </is>
      </c>
    </row>
    <row r="61544">
      <c r="A61544" s="1" t="n">
        <v>61543</v>
      </c>
      <c r="B61544">
        <f>TEXT(61543, "[$-0E0000]yyyy-mm-dd")</f>
        <v/>
      </c>
      <c r="C61544" t="inlineStr">
        <is>
          <t>2068-06-02</t>
        </is>
      </c>
    </row>
    <row r="61545">
      <c r="A61545" s="1" t="n">
        <v>61544</v>
      </c>
      <c r="B61545">
        <f>TEXT(61544, "[$-0E0000]yyyy-mm-dd")</f>
        <v/>
      </c>
      <c r="C61545" t="inlineStr">
        <is>
          <t>2068-06-03</t>
        </is>
      </c>
    </row>
    <row r="61546">
      <c r="A61546" s="1" t="n">
        <v>61545</v>
      </c>
      <c r="B61546">
        <f>TEXT(61545, "[$-0E0000]yyyy-mm-dd")</f>
        <v/>
      </c>
      <c r="C61546" t="inlineStr">
        <is>
          <t>2068-06-04</t>
        </is>
      </c>
    </row>
    <row r="61547">
      <c r="A61547" s="1" t="n">
        <v>61546</v>
      </c>
      <c r="B61547">
        <f>TEXT(61546, "[$-0E0000]yyyy-mm-dd")</f>
        <v/>
      </c>
      <c r="C61547" t="inlineStr">
        <is>
          <t>2068-06-05</t>
        </is>
      </c>
    </row>
    <row r="61548">
      <c r="A61548" s="1" t="n">
        <v>61547</v>
      </c>
      <c r="B61548">
        <f>TEXT(61547, "[$-0E0000]yyyy-mm-dd")</f>
        <v/>
      </c>
      <c r="C61548" t="inlineStr">
        <is>
          <t>2068-06-06</t>
        </is>
      </c>
    </row>
    <row r="61549">
      <c r="A61549" s="1" t="n">
        <v>61548</v>
      </c>
      <c r="B61549">
        <f>TEXT(61548, "[$-0E0000]yyyy-mm-dd")</f>
        <v/>
      </c>
      <c r="C61549" t="inlineStr">
        <is>
          <t>2068-06-07</t>
        </is>
      </c>
    </row>
    <row r="61550">
      <c r="A61550" s="1" t="n">
        <v>61549</v>
      </c>
      <c r="B61550">
        <f>TEXT(61549, "[$-0E0000]yyyy-mm-dd")</f>
        <v/>
      </c>
      <c r="C61550" t="inlineStr">
        <is>
          <t>2068-06-08</t>
        </is>
      </c>
    </row>
    <row r="61551">
      <c r="A61551" s="1" t="n">
        <v>61550</v>
      </c>
      <c r="B61551">
        <f>TEXT(61550, "[$-0E0000]yyyy-mm-dd")</f>
        <v/>
      </c>
      <c r="C61551" t="inlineStr">
        <is>
          <t>2068-06-09</t>
        </is>
      </c>
    </row>
    <row r="61552">
      <c r="A61552" s="1" t="n">
        <v>61551</v>
      </c>
      <c r="B61552">
        <f>TEXT(61551, "[$-0E0000]yyyy-mm-dd")</f>
        <v/>
      </c>
      <c r="C61552" t="inlineStr">
        <is>
          <t>2068-06-10</t>
        </is>
      </c>
    </row>
    <row r="61553">
      <c r="A61553" s="1" t="n">
        <v>61552</v>
      </c>
      <c r="B61553">
        <f>TEXT(61552, "[$-0E0000]yyyy-mm-dd")</f>
        <v/>
      </c>
      <c r="C61553" t="inlineStr">
        <is>
          <t>2068-06-11</t>
        </is>
      </c>
    </row>
    <row r="61554">
      <c r="A61554" s="1" t="n">
        <v>61553</v>
      </c>
      <c r="B61554">
        <f>TEXT(61553, "[$-0E0000]yyyy-mm-dd")</f>
        <v/>
      </c>
      <c r="C61554" t="inlineStr">
        <is>
          <t>2068-06-12</t>
        </is>
      </c>
    </row>
    <row r="61555">
      <c r="A61555" s="1" t="n">
        <v>61554</v>
      </c>
      <c r="B61555">
        <f>TEXT(61554, "[$-0E0000]yyyy-mm-dd")</f>
        <v/>
      </c>
      <c r="C61555" t="inlineStr">
        <is>
          <t>2068-06-13</t>
        </is>
      </c>
    </row>
    <row r="61556">
      <c r="A61556" s="1" t="n">
        <v>61555</v>
      </c>
      <c r="B61556">
        <f>TEXT(61555, "[$-0E0000]yyyy-mm-dd")</f>
        <v/>
      </c>
      <c r="C61556" t="inlineStr">
        <is>
          <t>2068-06-14</t>
        </is>
      </c>
    </row>
    <row r="61557">
      <c r="A61557" s="1" t="n">
        <v>61556</v>
      </c>
      <c r="B61557">
        <f>TEXT(61556, "[$-0E0000]yyyy-mm-dd")</f>
        <v/>
      </c>
      <c r="C61557" t="inlineStr">
        <is>
          <t>2068-06-15</t>
        </is>
      </c>
    </row>
    <row r="61558">
      <c r="A61558" s="1" t="n">
        <v>61557</v>
      </c>
      <c r="B61558">
        <f>TEXT(61557, "[$-0E0000]yyyy-mm-dd")</f>
        <v/>
      </c>
      <c r="C61558" t="inlineStr">
        <is>
          <t>2068-06-16</t>
        </is>
      </c>
    </row>
    <row r="61559">
      <c r="A61559" s="1" t="n">
        <v>61558</v>
      </c>
      <c r="B61559">
        <f>TEXT(61558, "[$-0E0000]yyyy-mm-dd")</f>
        <v/>
      </c>
      <c r="C61559" t="inlineStr">
        <is>
          <t>2068-06-17</t>
        </is>
      </c>
    </row>
    <row r="61560">
      <c r="A61560" s="1" t="n">
        <v>61559</v>
      </c>
      <c r="B61560">
        <f>TEXT(61559, "[$-0E0000]yyyy-mm-dd")</f>
        <v/>
      </c>
      <c r="C61560" t="inlineStr">
        <is>
          <t>2068-06-18</t>
        </is>
      </c>
    </row>
    <row r="61561">
      <c r="A61561" s="1" t="n">
        <v>61560</v>
      </c>
      <c r="B61561">
        <f>TEXT(61560, "[$-0E0000]yyyy-mm-dd")</f>
        <v/>
      </c>
      <c r="C61561" t="inlineStr">
        <is>
          <t>2068-06-19</t>
        </is>
      </c>
    </row>
    <row r="61562">
      <c r="A61562" s="1" t="n">
        <v>61561</v>
      </c>
      <c r="B61562">
        <f>TEXT(61561, "[$-0E0000]yyyy-mm-dd")</f>
        <v/>
      </c>
      <c r="C61562" t="inlineStr">
        <is>
          <t>2068-06-20</t>
        </is>
      </c>
    </row>
    <row r="61563">
      <c r="A61563" s="1" t="n">
        <v>61562</v>
      </c>
      <c r="B61563">
        <f>TEXT(61562, "[$-0E0000]yyyy-mm-dd")</f>
        <v/>
      </c>
      <c r="C61563" t="inlineStr">
        <is>
          <t>2068-06-21</t>
        </is>
      </c>
    </row>
    <row r="61564">
      <c r="A61564" s="1" t="n">
        <v>61563</v>
      </c>
      <c r="B61564">
        <f>TEXT(61563, "[$-0E0000]yyyy-mm-dd")</f>
        <v/>
      </c>
      <c r="C61564" t="inlineStr">
        <is>
          <t>2068-06-22</t>
        </is>
      </c>
    </row>
    <row r="61565">
      <c r="A61565" s="1" t="n">
        <v>61564</v>
      </c>
      <c r="B61565">
        <f>TEXT(61564, "[$-0E0000]yyyy-mm-dd")</f>
        <v/>
      </c>
      <c r="C61565" t="inlineStr">
        <is>
          <t>2068-06-23</t>
        </is>
      </c>
    </row>
    <row r="61566">
      <c r="A61566" s="1" t="n">
        <v>61565</v>
      </c>
      <c r="B61566">
        <f>TEXT(61565, "[$-0E0000]yyyy-mm-dd")</f>
        <v/>
      </c>
      <c r="C61566" t="inlineStr">
        <is>
          <t>2068-06-24</t>
        </is>
      </c>
    </row>
    <row r="61567">
      <c r="A61567" s="1" t="n">
        <v>61566</v>
      </c>
      <c r="B61567">
        <f>TEXT(61566, "[$-0E0000]yyyy-mm-dd")</f>
        <v/>
      </c>
      <c r="C61567" t="inlineStr">
        <is>
          <t>2068-06-25</t>
        </is>
      </c>
    </row>
    <row r="61568">
      <c r="A61568" s="1" t="n">
        <v>61567</v>
      </c>
      <c r="B61568">
        <f>TEXT(61567, "[$-0E0000]yyyy-mm-dd")</f>
        <v/>
      </c>
      <c r="C61568" t="inlineStr">
        <is>
          <t>2068-06-26</t>
        </is>
      </c>
    </row>
    <row r="61569">
      <c r="A61569" s="1" t="n">
        <v>61568</v>
      </c>
      <c r="B61569">
        <f>TEXT(61568, "[$-0E0000]yyyy-mm-dd")</f>
        <v/>
      </c>
      <c r="C61569" t="inlineStr">
        <is>
          <t>2068-06-27</t>
        </is>
      </c>
    </row>
    <row r="61570">
      <c r="A61570" s="1" t="n">
        <v>61569</v>
      </c>
      <c r="B61570">
        <f>TEXT(61569, "[$-0E0000]yyyy-mm-dd")</f>
        <v/>
      </c>
      <c r="C61570" t="inlineStr">
        <is>
          <t>2068-06-28</t>
        </is>
      </c>
    </row>
    <row r="61571">
      <c r="A61571" s="1" t="n">
        <v>61570</v>
      </c>
      <c r="B61571">
        <f>TEXT(61570, "[$-0E0000]yyyy-mm-dd")</f>
        <v/>
      </c>
      <c r="C61571" t="inlineStr">
        <is>
          <t>2068-06-29</t>
        </is>
      </c>
    </row>
    <row r="61572">
      <c r="A61572" s="1" t="n">
        <v>61571</v>
      </c>
      <c r="B61572">
        <f>TEXT(61571, "[$-0E0000]yyyy-mm-dd")</f>
        <v/>
      </c>
      <c r="C61572" t="inlineStr">
        <is>
          <t>2068-06-30</t>
        </is>
      </c>
    </row>
    <row r="61573">
      <c r="A61573" s="1" t="n">
        <v>61572</v>
      </c>
      <c r="B61573">
        <f>TEXT(61572, "[$-0E0000]yyyy-mm-dd")</f>
        <v/>
      </c>
      <c r="C61573" t="inlineStr">
        <is>
          <t>2068-07-01</t>
        </is>
      </c>
    </row>
    <row r="61574">
      <c r="A61574" s="1" t="n">
        <v>61573</v>
      </c>
      <c r="B61574">
        <f>TEXT(61573, "[$-0E0000]yyyy-mm-dd")</f>
        <v/>
      </c>
      <c r="C61574" t="inlineStr">
        <is>
          <t>2068-07-02</t>
        </is>
      </c>
    </row>
    <row r="61575">
      <c r="A61575" s="1" t="n">
        <v>61574</v>
      </c>
      <c r="B61575">
        <f>TEXT(61574, "[$-0E0000]yyyy-mm-dd")</f>
        <v/>
      </c>
      <c r="C61575" t="inlineStr">
        <is>
          <t>2068-07-03</t>
        </is>
      </c>
    </row>
    <row r="61576">
      <c r="A61576" s="1" t="n">
        <v>61575</v>
      </c>
      <c r="B61576">
        <f>TEXT(61575, "[$-0E0000]yyyy-mm-dd")</f>
        <v/>
      </c>
      <c r="C61576" t="inlineStr">
        <is>
          <t>2068-07-04</t>
        </is>
      </c>
    </row>
    <row r="61577">
      <c r="A61577" s="1" t="n">
        <v>61576</v>
      </c>
      <c r="B61577">
        <f>TEXT(61576, "[$-0E0000]yyyy-mm-dd")</f>
        <v/>
      </c>
      <c r="C61577" t="inlineStr">
        <is>
          <t>2068-07-05</t>
        </is>
      </c>
    </row>
    <row r="61578">
      <c r="A61578" s="1" t="n">
        <v>61577</v>
      </c>
      <c r="B61578">
        <f>TEXT(61577, "[$-0E0000]yyyy-mm-dd")</f>
        <v/>
      </c>
      <c r="C61578" t="inlineStr">
        <is>
          <t>2068-07-06</t>
        </is>
      </c>
    </row>
    <row r="61579">
      <c r="A61579" s="1" t="n">
        <v>61578</v>
      </c>
      <c r="B61579">
        <f>TEXT(61578, "[$-0E0000]yyyy-mm-dd")</f>
        <v/>
      </c>
      <c r="C61579" t="inlineStr">
        <is>
          <t>2068-07-07</t>
        </is>
      </c>
    </row>
    <row r="61580">
      <c r="A61580" s="1" t="n">
        <v>61579</v>
      </c>
      <c r="B61580">
        <f>TEXT(61579, "[$-0E0000]yyyy-mm-dd")</f>
        <v/>
      </c>
      <c r="C61580" t="inlineStr">
        <is>
          <t>2068-07-08</t>
        </is>
      </c>
    </row>
    <row r="61581">
      <c r="A61581" s="1" t="n">
        <v>61580</v>
      </c>
      <c r="B61581">
        <f>TEXT(61580, "[$-0E0000]yyyy-mm-dd")</f>
        <v/>
      </c>
      <c r="C61581" t="inlineStr">
        <is>
          <t>2068-07-09</t>
        </is>
      </c>
    </row>
    <row r="61582">
      <c r="A61582" s="1" t="n">
        <v>61581</v>
      </c>
      <c r="B61582">
        <f>TEXT(61581, "[$-0E0000]yyyy-mm-dd")</f>
        <v/>
      </c>
      <c r="C61582" t="inlineStr">
        <is>
          <t>2068-07-10</t>
        </is>
      </c>
    </row>
    <row r="61583">
      <c r="A61583" s="1" t="n">
        <v>61582</v>
      </c>
      <c r="B61583">
        <f>TEXT(61582, "[$-0E0000]yyyy-mm-dd")</f>
        <v/>
      </c>
      <c r="C61583" t="inlineStr">
        <is>
          <t>2068-07-11</t>
        </is>
      </c>
    </row>
    <row r="61584">
      <c r="A61584" s="1" t="n">
        <v>61583</v>
      </c>
      <c r="B61584">
        <f>TEXT(61583, "[$-0E0000]yyyy-mm-dd")</f>
        <v/>
      </c>
      <c r="C61584" t="inlineStr">
        <is>
          <t>2068-07-12</t>
        </is>
      </c>
    </row>
    <row r="61585">
      <c r="A61585" s="1" t="n">
        <v>61584</v>
      </c>
      <c r="B61585">
        <f>TEXT(61584, "[$-0E0000]yyyy-mm-dd")</f>
        <v/>
      </c>
      <c r="C61585" t="inlineStr">
        <is>
          <t>2068-07-13</t>
        </is>
      </c>
    </row>
    <row r="61586">
      <c r="A61586" s="1" t="n">
        <v>61585</v>
      </c>
      <c r="B61586">
        <f>TEXT(61585, "[$-0E0000]yyyy-mm-dd")</f>
        <v/>
      </c>
      <c r="C61586" t="inlineStr">
        <is>
          <t>2068-07-14</t>
        </is>
      </c>
    </row>
    <row r="61587">
      <c r="A61587" s="1" t="n">
        <v>61586</v>
      </c>
      <c r="B61587">
        <f>TEXT(61586, "[$-0E0000]yyyy-mm-dd")</f>
        <v/>
      </c>
      <c r="C61587" t="inlineStr">
        <is>
          <t>2068-07-15</t>
        </is>
      </c>
    </row>
    <row r="61588">
      <c r="A61588" s="1" t="n">
        <v>61587</v>
      </c>
      <c r="B61588">
        <f>TEXT(61587, "[$-0E0000]yyyy-mm-dd")</f>
        <v/>
      </c>
      <c r="C61588" t="inlineStr">
        <is>
          <t>2068-07-16</t>
        </is>
      </c>
    </row>
    <row r="61589">
      <c r="A61589" s="1" t="n">
        <v>61588</v>
      </c>
      <c r="B61589">
        <f>TEXT(61588, "[$-0E0000]yyyy-mm-dd")</f>
        <v/>
      </c>
      <c r="C61589" t="inlineStr">
        <is>
          <t>2068-07-17</t>
        </is>
      </c>
    </row>
    <row r="61590">
      <c r="A61590" s="1" t="n">
        <v>61589</v>
      </c>
      <c r="B61590">
        <f>TEXT(61589, "[$-0E0000]yyyy-mm-dd")</f>
        <v/>
      </c>
      <c r="C61590" t="inlineStr">
        <is>
          <t>2068-07-18</t>
        </is>
      </c>
    </row>
    <row r="61591">
      <c r="A61591" s="1" t="n">
        <v>61590</v>
      </c>
      <c r="B61591">
        <f>TEXT(61590, "[$-0E0000]yyyy-mm-dd")</f>
        <v/>
      </c>
      <c r="C61591" t="inlineStr">
        <is>
          <t>2068-07-19</t>
        </is>
      </c>
    </row>
    <row r="61592">
      <c r="A61592" s="1" t="n">
        <v>61591</v>
      </c>
      <c r="B61592">
        <f>TEXT(61591, "[$-0E0000]yyyy-mm-dd")</f>
        <v/>
      </c>
      <c r="C61592" t="inlineStr">
        <is>
          <t>2068-07-20</t>
        </is>
      </c>
    </row>
    <row r="61593">
      <c r="A61593" s="1" t="n">
        <v>61592</v>
      </c>
      <c r="B61593">
        <f>TEXT(61592, "[$-0E0000]yyyy-mm-dd")</f>
        <v/>
      </c>
      <c r="C61593" t="inlineStr">
        <is>
          <t>2068-07-21</t>
        </is>
      </c>
    </row>
    <row r="61594">
      <c r="A61594" s="1" t="n">
        <v>61593</v>
      </c>
      <c r="B61594">
        <f>TEXT(61593, "[$-0E0000]yyyy-mm-dd")</f>
        <v/>
      </c>
      <c r="C61594" t="inlineStr">
        <is>
          <t>2068-07-22</t>
        </is>
      </c>
    </row>
    <row r="61595">
      <c r="A61595" s="1" t="n">
        <v>61594</v>
      </c>
      <c r="B61595">
        <f>TEXT(61594, "[$-0E0000]yyyy-mm-dd")</f>
        <v/>
      </c>
      <c r="C61595" t="inlineStr">
        <is>
          <t>2068-07-23</t>
        </is>
      </c>
    </row>
    <row r="61596">
      <c r="A61596" s="1" t="n">
        <v>61595</v>
      </c>
      <c r="B61596">
        <f>TEXT(61595, "[$-0E0000]yyyy-mm-dd")</f>
        <v/>
      </c>
      <c r="C61596" t="inlineStr">
        <is>
          <t>2068-07-24</t>
        </is>
      </c>
    </row>
    <row r="61597">
      <c r="A61597" s="1" t="n">
        <v>61596</v>
      </c>
      <c r="B61597">
        <f>TEXT(61596, "[$-0E0000]yyyy-mm-dd")</f>
        <v/>
      </c>
      <c r="C61597" t="inlineStr">
        <is>
          <t>2068-07-25</t>
        </is>
      </c>
    </row>
    <row r="61598">
      <c r="A61598" s="1" t="n">
        <v>61597</v>
      </c>
      <c r="B61598">
        <f>TEXT(61597, "[$-0E0000]yyyy-mm-dd")</f>
        <v/>
      </c>
      <c r="C61598" t="inlineStr">
        <is>
          <t>2068-07-26</t>
        </is>
      </c>
    </row>
    <row r="61599">
      <c r="A61599" s="1" t="n">
        <v>61598</v>
      </c>
      <c r="B61599">
        <f>TEXT(61598, "[$-0E0000]yyyy-mm-dd")</f>
        <v/>
      </c>
      <c r="C61599" t="inlineStr">
        <is>
          <t>2068-07-27</t>
        </is>
      </c>
    </row>
    <row r="61600">
      <c r="A61600" s="1" t="n">
        <v>61599</v>
      </c>
      <c r="B61600">
        <f>TEXT(61599, "[$-0E0000]yyyy-mm-dd")</f>
        <v/>
      </c>
      <c r="C61600" t="inlineStr">
        <is>
          <t>2068-07-28</t>
        </is>
      </c>
    </row>
    <row r="61601">
      <c r="A61601" s="1" t="n">
        <v>61600</v>
      </c>
      <c r="B61601">
        <f>TEXT(61600, "[$-0E0000]yyyy-mm-dd")</f>
        <v/>
      </c>
      <c r="C61601" t="inlineStr">
        <is>
          <t>2068-07-29</t>
        </is>
      </c>
    </row>
    <row r="61602">
      <c r="A61602" s="1" t="n">
        <v>61601</v>
      </c>
      <c r="B61602">
        <f>TEXT(61601, "[$-0E0000]yyyy-mm-dd")</f>
        <v/>
      </c>
      <c r="C61602" t="inlineStr">
        <is>
          <t>2068-07-30</t>
        </is>
      </c>
    </row>
    <row r="61603">
      <c r="A61603" s="1" t="n">
        <v>61602</v>
      </c>
      <c r="B61603">
        <f>TEXT(61602, "[$-0E0000]yyyy-mm-dd")</f>
        <v/>
      </c>
      <c r="C61603" t="inlineStr">
        <is>
          <t>2068-08-01</t>
        </is>
      </c>
    </row>
    <row r="61604">
      <c r="A61604" s="1" t="n">
        <v>61603</v>
      </c>
      <c r="B61604">
        <f>TEXT(61603, "[$-0E0000]yyyy-mm-dd")</f>
        <v/>
      </c>
      <c r="C61604" t="inlineStr">
        <is>
          <t>2068-08-02</t>
        </is>
      </c>
    </row>
    <row r="61605">
      <c r="A61605" s="1" t="n">
        <v>61604</v>
      </c>
      <c r="B61605">
        <f>TEXT(61604, "[$-0E0000]yyyy-mm-dd")</f>
        <v/>
      </c>
      <c r="C61605" t="inlineStr">
        <is>
          <t>2068-08-03</t>
        </is>
      </c>
    </row>
    <row r="61606">
      <c r="A61606" s="1" t="n">
        <v>61605</v>
      </c>
      <c r="B61606">
        <f>TEXT(61605, "[$-0E0000]yyyy-mm-dd")</f>
        <v/>
      </c>
      <c r="C61606" t="inlineStr">
        <is>
          <t>2068-08-04</t>
        </is>
      </c>
    </row>
    <row r="61607">
      <c r="A61607" s="1" t="n">
        <v>61606</v>
      </c>
      <c r="B61607">
        <f>TEXT(61606, "[$-0E0000]yyyy-mm-dd")</f>
        <v/>
      </c>
      <c r="C61607" t="inlineStr">
        <is>
          <t>2068-08-05</t>
        </is>
      </c>
    </row>
    <row r="61608">
      <c r="A61608" s="1" t="n">
        <v>61607</v>
      </c>
      <c r="B61608">
        <f>TEXT(61607, "[$-0E0000]yyyy-mm-dd")</f>
        <v/>
      </c>
      <c r="C61608" t="inlineStr">
        <is>
          <t>2068-08-06</t>
        </is>
      </c>
    </row>
    <row r="61609">
      <c r="A61609" s="1" t="n">
        <v>61608</v>
      </c>
      <c r="B61609">
        <f>TEXT(61608, "[$-0E0000]yyyy-mm-dd")</f>
        <v/>
      </c>
      <c r="C61609" t="inlineStr">
        <is>
          <t>2068-08-07</t>
        </is>
      </c>
    </row>
    <row r="61610">
      <c r="A61610" s="1" t="n">
        <v>61609</v>
      </c>
      <c r="B61610">
        <f>TEXT(61609, "[$-0E0000]yyyy-mm-dd")</f>
        <v/>
      </c>
      <c r="C61610" t="inlineStr">
        <is>
          <t>2068-08-08</t>
        </is>
      </c>
    </row>
    <row r="61611">
      <c r="A61611" s="1" t="n">
        <v>61610</v>
      </c>
      <c r="B61611">
        <f>TEXT(61610, "[$-0E0000]yyyy-mm-dd")</f>
        <v/>
      </c>
      <c r="C61611" t="inlineStr">
        <is>
          <t>2068-08-09</t>
        </is>
      </c>
    </row>
    <row r="61612">
      <c r="A61612" s="1" t="n">
        <v>61611</v>
      </c>
      <c r="B61612">
        <f>TEXT(61611, "[$-0E0000]yyyy-mm-dd")</f>
        <v/>
      </c>
      <c r="C61612" t="inlineStr">
        <is>
          <t>2068-08-10</t>
        </is>
      </c>
    </row>
    <row r="61613">
      <c r="A61613" s="1" t="n">
        <v>61612</v>
      </c>
      <c r="B61613">
        <f>TEXT(61612, "[$-0E0000]yyyy-mm-dd")</f>
        <v/>
      </c>
      <c r="C61613" t="inlineStr">
        <is>
          <t>2068-08-11</t>
        </is>
      </c>
    </row>
    <row r="61614">
      <c r="A61614" s="1" t="n">
        <v>61613</v>
      </c>
      <c r="B61614">
        <f>TEXT(61613, "[$-0E0000]yyyy-mm-dd")</f>
        <v/>
      </c>
      <c r="C61614" t="inlineStr">
        <is>
          <t>2068-08-12</t>
        </is>
      </c>
    </row>
    <row r="61615">
      <c r="A61615" s="1" t="n">
        <v>61614</v>
      </c>
      <c r="B61615">
        <f>TEXT(61614, "[$-0E0000]yyyy-mm-dd")</f>
        <v/>
      </c>
      <c r="C61615" t="inlineStr">
        <is>
          <t>2068-08-13</t>
        </is>
      </c>
    </row>
    <row r="61616">
      <c r="A61616" s="1" t="n">
        <v>61615</v>
      </c>
      <c r="B61616">
        <f>TEXT(61615, "[$-0E0000]yyyy-mm-dd")</f>
        <v/>
      </c>
      <c r="C61616" t="inlineStr">
        <is>
          <t>2068-08-14</t>
        </is>
      </c>
    </row>
    <row r="61617">
      <c r="A61617" s="1" t="n">
        <v>61616</v>
      </c>
      <c r="B61617">
        <f>TEXT(61616, "[$-0E0000]yyyy-mm-dd")</f>
        <v/>
      </c>
      <c r="C61617" t="inlineStr">
        <is>
          <t>2068-08-15</t>
        </is>
      </c>
    </row>
    <row r="61618">
      <c r="A61618" s="1" t="n">
        <v>61617</v>
      </c>
      <c r="B61618">
        <f>TEXT(61617, "[$-0E0000]yyyy-mm-dd")</f>
        <v/>
      </c>
      <c r="C61618" t="inlineStr">
        <is>
          <t>2068-08-16</t>
        </is>
      </c>
    </row>
    <row r="61619">
      <c r="A61619" s="1" t="n">
        <v>61618</v>
      </c>
      <c r="B61619">
        <f>TEXT(61618, "[$-0E0000]yyyy-mm-dd")</f>
        <v/>
      </c>
      <c r="C61619" t="inlineStr">
        <is>
          <t>2068-08-17</t>
        </is>
      </c>
    </row>
    <row r="61620">
      <c r="A61620" s="1" t="n">
        <v>61619</v>
      </c>
      <c r="B61620">
        <f>TEXT(61619, "[$-0E0000]yyyy-mm-dd")</f>
        <v/>
      </c>
      <c r="C61620" t="inlineStr">
        <is>
          <t>2068-08-18</t>
        </is>
      </c>
    </row>
    <row r="61621">
      <c r="A61621" s="1" t="n">
        <v>61620</v>
      </c>
      <c r="B61621">
        <f>TEXT(61620, "[$-0E0000]yyyy-mm-dd")</f>
        <v/>
      </c>
      <c r="C61621" t="inlineStr">
        <is>
          <t>2068-08-19</t>
        </is>
      </c>
    </row>
    <row r="61622">
      <c r="A61622" s="1" t="n">
        <v>61621</v>
      </c>
      <c r="B61622">
        <f>TEXT(61621, "[$-0E0000]yyyy-mm-dd")</f>
        <v/>
      </c>
      <c r="C61622" t="inlineStr">
        <is>
          <t>2068-08-20</t>
        </is>
      </c>
    </row>
    <row r="61623">
      <c r="A61623" s="1" t="n">
        <v>61622</v>
      </c>
      <c r="B61623">
        <f>TEXT(61622, "[$-0E0000]yyyy-mm-dd")</f>
        <v/>
      </c>
      <c r="C61623" t="inlineStr">
        <is>
          <t>2068-08-21</t>
        </is>
      </c>
    </row>
    <row r="61624">
      <c r="A61624" s="1" t="n">
        <v>61623</v>
      </c>
      <c r="B61624">
        <f>TEXT(61623, "[$-0E0000]yyyy-mm-dd")</f>
        <v/>
      </c>
      <c r="C61624" t="inlineStr">
        <is>
          <t>2068-08-22</t>
        </is>
      </c>
    </row>
    <row r="61625">
      <c r="A61625" s="1" t="n">
        <v>61624</v>
      </c>
      <c r="B61625">
        <f>TEXT(61624, "[$-0E0000]yyyy-mm-dd")</f>
        <v/>
      </c>
      <c r="C61625" t="inlineStr">
        <is>
          <t>2068-08-23</t>
        </is>
      </c>
    </row>
    <row r="61626">
      <c r="A61626" s="1" t="n">
        <v>61625</v>
      </c>
      <c r="B61626">
        <f>TEXT(61625, "[$-0E0000]yyyy-mm-dd")</f>
        <v/>
      </c>
      <c r="C61626" t="inlineStr">
        <is>
          <t>2068-08-24</t>
        </is>
      </c>
    </row>
    <row r="61627">
      <c r="A61627" s="1" t="n">
        <v>61626</v>
      </c>
      <c r="B61627">
        <f>TEXT(61626, "[$-0E0000]yyyy-mm-dd")</f>
        <v/>
      </c>
      <c r="C61627" t="inlineStr">
        <is>
          <t>2068-08-25</t>
        </is>
      </c>
    </row>
    <row r="61628">
      <c r="A61628" s="1" t="n">
        <v>61627</v>
      </c>
      <c r="B61628">
        <f>TEXT(61627, "[$-0E0000]yyyy-mm-dd")</f>
        <v/>
      </c>
      <c r="C61628" t="inlineStr">
        <is>
          <t>2068-08-26</t>
        </is>
      </c>
    </row>
    <row r="61629">
      <c r="A61629" s="1" t="n">
        <v>61628</v>
      </c>
      <c r="B61629">
        <f>TEXT(61628, "[$-0E0000]yyyy-mm-dd")</f>
        <v/>
      </c>
      <c r="C61629" t="inlineStr">
        <is>
          <t>2068-08-27</t>
        </is>
      </c>
    </row>
    <row r="61630">
      <c r="A61630" s="1" t="n">
        <v>61629</v>
      </c>
      <c r="B61630">
        <f>TEXT(61629, "[$-0E0000]yyyy-mm-dd")</f>
        <v/>
      </c>
      <c r="C61630" t="inlineStr">
        <is>
          <t>2068-08-28</t>
        </is>
      </c>
    </row>
    <row r="61631">
      <c r="A61631" s="1" t="n">
        <v>61630</v>
      </c>
      <c r="B61631">
        <f>TEXT(61630, "[$-0E0000]yyyy-mm-dd")</f>
        <v/>
      </c>
      <c r="C61631" t="inlineStr">
        <is>
          <t>2068-08-29</t>
        </is>
      </c>
    </row>
    <row r="61632">
      <c r="A61632" s="1" t="n">
        <v>61631</v>
      </c>
      <c r="B61632">
        <f>TEXT(61631, "[$-0E0000]yyyy-mm-dd")</f>
        <v/>
      </c>
      <c r="C61632" t="inlineStr">
        <is>
          <t>2068-09-01</t>
        </is>
      </c>
    </row>
    <row r="61633">
      <c r="A61633" s="1" t="n">
        <v>61632</v>
      </c>
      <c r="B61633">
        <f>TEXT(61632, "[$-0E0000]yyyy-mm-dd")</f>
        <v/>
      </c>
      <c r="C61633" t="inlineStr">
        <is>
          <t>2068-09-02</t>
        </is>
      </c>
    </row>
    <row r="61634">
      <c r="A61634" s="1" t="n">
        <v>61633</v>
      </c>
      <c r="B61634">
        <f>TEXT(61633, "[$-0E0000]yyyy-mm-dd")</f>
        <v/>
      </c>
      <c r="C61634" t="inlineStr">
        <is>
          <t>2068-09-03</t>
        </is>
      </c>
    </row>
    <row r="61635">
      <c r="A61635" s="1" t="n">
        <v>61634</v>
      </c>
      <c r="B61635">
        <f>TEXT(61634, "[$-0E0000]yyyy-mm-dd")</f>
        <v/>
      </c>
      <c r="C61635" t="inlineStr">
        <is>
          <t>2068-09-04</t>
        </is>
      </c>
    </row>
    <row r="61636">
      <c r="A61636" s="1" t="n">
        <v>61635</v>
      </c>
      <c r="B61636">
        <f>TEXT(61635, "[$-0E0000]yyyy-mm-dd")</f>
        <v/>
      </c>
      <c r="C61636" t="inlineStr">
        <is>
          <t>2068-09-05</t>
        </is>
      </c>
    </row>
    <row r="61637">
      <c r="A61637" s="1" t="n">
        <v>61636</v>
      </c>
      <c r="B61637">
        <f>TEXT(61636, "[$-0E0000]yyyy-mm-dd")</f>
        <v/>
      </c>
      <c r="C61637" t="inlineStr">
        <is>
          <t>2068-09-06</t>
        </is>
      </c>
    </row>
    <row r="61638">
      <c r="A61638" s="1" t="n">
        <v>61637</v>
      </c>
      <c r="B61638">
        <f>TEXT(61637, "[$-0E0000]yyyy-mm-dd")</f>
        <v/>
      </c>
      <c r="C61638" t="inlineStr">
        <is>
          <t>2068-09-07</t>
        </is>
      </c>
    </row>
    <row r="61639">
      <c r="A61639" s="1" t="n">
        <v>61638</v>
      </c>
      <c r="B61639">
        <f>TEXT(61638, "[$-0E0000]yyyy-mm-dd")</f>
        <v/>
      </c>
      <c r="C61639" t="inlineStr">
        <is>
          <t>2068-09-08</t>
        </is>
      </c>
    </row>
    <row r="61640">
      <c r="A61640" s="1" t="n">
        <v>61639</v>
      </c>
      <c r="B61640">
        <f>TEXT(61639, "[$-0E0000]yyyy-mm-dd")</f>
        <v/>
      </c>
      <c r="C61640" t="inlineStr">
        <is>
          <t>2068-09-09</t>
        </is>
      </c>
    </row>
    <row r="61641">
      <c r="A61641" s="1" t="n">
        <v>61640</v>
      </c>
      <c r="B61641">
        <f>TEXT(61640, "[$-0E0000]yyyy-mm-dd")</f>
        <v/>
      </c>
      <c r="C61641" t="inlineStr">
        <is>
          <t>2068-09-10</t>
        </is>
      </c>
    </row>
    <row r="61642">
      <c r="A61642" s="1" t="n">
        <v>61641</v>
      </c>
      <c r="B61642">
        <f>TEXT(61641, "[$-0E0000]yyyy-mm-dd")</f>
        <v/>
      </c>
      <c r="C61642" t="inlineStr">
        <is>
          <t>2068-09-11</t>
        </is>
      </c>
    </row>
    <row r="61643">
      <c r="A61643" s="1" t="n">
        <v>61642</v>
      </c>
      <c r="B61643">
        <f>TEXT(61642, "[$-0E0000]yyyy-mm-dd")</f>
        <v/>
      </c>
      <c r="C61643" t="inlineStr">
        <is>
          <t>2068-09-12</t>
        </is>
      </c>
    </row>
    <row r="61644">
      <c r="A61644" s="1" t="n">
        <v>61643</v>
      </c>
      <c r="B61644">
        <f>TEXT(61643, "[$-0E0000]yyyy-mm-dd")</f>
        <v/>
      </c>
      <c r="C61644" t="inlineStr">
        <is>
          <t>2068-09-13</t>
        </is>
      </c>
    </row>
    <row r="61645">
      <c r="A61645" s="1" t="n">
        <v>61644</v>
      </c>
      <c r="B61645">
        <f>TEXT(61644, "[$-0E0000]yyyy-mm-dd")</f>
        <v/>
      </c>
      <c r="C61645" t="inlineStr">
        <is>
          <t>2068-09-14</t>
        </is>
      </c>
    </row>
    <row r="61646">
      <c r="A61646" s="1" t="n">
        <v>61645</v>
      </c>
      <c r="B61646">
        <f>TEXT(61645, "[$-0E0000]yyyy-mm-dd")</f>
        <v/>
      </c>
      <c r="C61646" t="inlineStr">
        <is>
          <t>2068-09-15</t>
        </is>
      </c>
    </row>
    <row r="61647">
      <c r="A61647" s="1" t="n">
        <v>61646</v>
      </c>
      <c r="B61647">
        <f>TEXT(61646, "[$-0E0000]yyyy-mm-dd")</f>
        <v/>
      </c>
      <c r="C61647" t="inlineStr">
        <is>
          <t>2068-09-16</t>
        </is>
      </c>
    </row>
    <row r="61648">
      <c r="A61648" s="1" t="n">
        <v>61647</v>
      </c>
      <c r="B61648">
        <f>TEXT(61647, "[$-0E0000]yyyy-mm-dd")</f>
        <v/>
      </c>
      <c r="C61648" t="inlineStr">
        <is>
          <t>2068-09-17</t>
        </is>
      </c>
    </row>
    <row r="61649">
      <c r="A61649" s="1" t="n">
        <v>61648</v>
      </c>
      <c r="B61649">
        <f>TEXT(61648, "[$-0E0000]yyyy-mm-dd")</f>
        <v/>
      </c>
      <c r="C61649" t="inlineStr">
        <is>
          <t>2068-09-18</t>
        </is>
      </c>
    </row>
    <row r="61650">
      <c r="A61650" s="1" t="n">
        <v>61649</v>
      </c>
      <c r="B61650">
        <f>TEXT(61649, "[$-0E0000]yyyy-mm-dd")</f>
        <v/>
      </c>
      <c r="C61650" t="inlineStr">
        <is>
          <t>2068-09-19</t>
        </is>
      </c>
    </row>
    <row r="61651">
      <c r="A61651" s="1" t="n">
        <v>61650</v>
      </c>
      <c r="B61651">
        <f>TEXT(61650, "[$-0E0000]yyyy-mm-dd")</f>
        <v/>
      </c>
      <c r="C61651" t="inlineStr">
        <is>
          <t>2068-09-20</t>
        </is>
      </c>
    </row>
    <row r="61652">
      <c r="A61652" s="1" t="n">
        <v>61651</v>
      </c>
      <c r="B61652">
        <f>TEXT(61651, "[$-0E0000]yyyy-mm-dd")</f>
        <v/>
      </c>
      <c r="C61652" t="inlineStr">
        <is>
          <t>2068-09-21</t>
        </is>
      </c>
    </row>
    <row r="61653">
      <c r="A61653" s="1" t="n">
        <v>61652</v>
      </c>
      <c r="B61653">
        <f>TEXT(61652, "[$-0E0000]yyyy-mm-dd")</f>
        <v/>
      </c>
      <c r="C61653" t="inlineStr">
        <is>
          <t>2068-09-22</t>
        </is>
      </c>
    </row>
    <row r="61654">
      <c r="A61654" s="1" t="n">
        <v>61653</v>
      </c>
      <c r="B61654">
        <f>TEXT(61653, "[$-0E0000]yyyy-mm-dd")</f>
        <v/>
      </c>
      <c r="C61654" t="inlineStr">
        <is>
          <t>2068-09-23</t>
        </is>
      </c>
    </row>
    <row r="61655">
      <c r="A61655" s="1" t="n">
        <v>61654</v>
      </c>
      <c r="B61655">
        <f>TEXT(61654, "[$-0E0000]yyyy-mm-dd")</f>
        <v/>
      </c>
      <c r="C61655" t="inlineStr">
        <is>
          <t>2068-09-24</t>
        </is>
      </c>
    </row>
    <row r="61656">
      <c r="A61656" s="1" t="n">
        <v>61655</v>
      </c>
      <c r="B61656">
        <f>TEXT(61655, "[$-0E0000]yyyy-mm-dd")</f>
        <v/>
      </c>
      <c r="C61656" t="inlineStr">
        <is>
          <t>2068-09-25</t>
        </is>
      </c>
    </row>
    <row r="61657">
      <c r="A61657" s="1" t="n">
        <v>61656</v>
      </c>
      <c r="B61657">
        <f>TEXT(61656, "[$-0E0000]yyyy-mm-dd")</f>
        <v/>
      </c>
      <c r="C61657" t="inlineStr">
        <is>
          <t>2068-09-26</t>
        </is>
      </c>
    </row>
    <row r="61658">
      <c r="A61658" s="1" t="n">
        <v>61657</v>
      </c>
      <c r="B61658">
        <f>TEXT(61657, "[$-0E0000]yyyy-mm-dd")</f>
        <v/>
      </c>
      <c r="C61658" t="inlineStr">
        <is>
          <t>2068-09-27</t>
        </is>
      </c>
    </row>
    <row r="61659">
      <c r="A61659" s="1" t="n">
        <v>61658</v>
      </c>
      <c r="B61659">
        <f>TEXT(61658, "[$-0E0000]yyyy-mm-dd")</f>
        <v/>
      </c>
      <c r="C61659" t="inlineStr">
        <is>
          <t>2068-09-28</t>
        </is>
      </c>
    </row>
    <row r="61660">
      <c r="A61660" s="1" t="n">
        <v>61659</v>
      </c>
      <c r="B61660">
        <f>TEXT(61659, "[$-0E0000]yyyy-mm-dd")</f>
        <v/>
      </c>
      <c r="C61660" t="inlineStr">
        <is>
          <t>2068-09-29</t>
        </is>
      </c>
    </row>
    <row r="61661">
      <c r="A61661" s="1" t="n">
        <v>61660</v>
      </c>
      <c r="B61661">
        <f>TEXT(61660, "[$-0E0000]yyyy-mm-dd")</f>
        <v/>
      </c>
      <c r="C61661" t="inlineStr">
        <is>
          <t>2068-09-30</t>
        </is>
      </c>
    </row>
    <row r="61662">
      <c r="A61662" s="1" t="n">
        <v>61661</v>
      </c>
      <c r="B61662">
        <f>TEXT(61661, "[$-0E0000]yyyy-mm-dd")</f>
        <v/>
      </c>
      <c r="C61662" t="inlineStr">
        <is>
          <t>2068-10-01</t>
        </is>
      </c>
    </row>
    <row r="61663">
      <c r="A61663" s="1" t="n">
        <v>61662</v>
      </c>
      <c r="B61663">
        <f>TEXT(61662, "[$-0E0000]yyyy-mm-dd")</f>
        <v/>
      </c>
      <c r="C61663" t="inlineStr">
        <is>
          <t>2068-10-02</t>
        </is>
      </c>
    </row>
    <row r="61664">
      <c r="A61664" s="1" t="n">
        <v>61663</v>
      </c>
      <c r="B61664">
        <f>TEXT(61663, "[$-0E0000]yyyy-mm-dd")</f>
        <v/>
      </c>
      <c r="C61664" t="inlineStr">
        <is>
          <t>2068-10-03</t>
        </is>
      </c>
    </row>
    <row r="61665">
      <c r="A61665" s="1" t="n">
        <v>61664</v>
      </c>
      <c r="B61665">
        <f>TEXT(61664, "[$-0E0000]yyyy-mm-dd")</f>
        <v/>
      </c>
      <c r="C61665" t="inlineStr">
        <is>
          <t>2068-10-04</t>
        </is>
      </c>
    </row>
    <row r="61666">
      <c r="A61666" s="1" t="n">
        <v>61665</v>
      </c>
      <c r="B61666">
        <f>TEXT(61665, "[$-0E0000]yyyy-mm-dd")</f>
        <v/>
      </c>
      <c r="C61666" t="inlineStr">
        <is>
          <t>2068-10-05</t>
        </is>
      </c>
    </row>
    <row r="61667">
      <c r="A61667" s="1" t="n">
        <v>61666</v>
      </c>
      <c r="B61667">
        <f>TEXT(61666, "[$-0E0000]yyyy-mm-dd")</f>
        <v/>
      </c>
      <c r="C61667" t="inlineStr">
        <is>
          <t>2068-10-06</t>
        </is>
      </c>
    </row>
    <row r="61668">
      <c r="A61668" s="1" t="n">
        <v>61667</v>
      </c>
      <c r="B61668">
        <f>TEXT(61667, "[$-0E0000]yyyy-mm-dd")</f>
        <v/>
      </c>
      <c r="C61668" t="inlineStr">
        <is>
          <t>2068-10-07</t>
        </is>
      </c>
    </row>
    <row r="61669">
      <c r="A61669" s="1" t="n">
        <v>61668</v>
      </c>
      <c r="B61669">
        <f>TEXT(61668, "[$-0E0000]yyyy-mm-dd")</f>
        <v/>
      </c>
      <c r="C61669" t="inlineStr">
        <is>
          <t>2068-10-08</t>
        </is>
      </c>
    </row>
    <row r="61670">
      <c r="A61670" s="1" t="n">
        <v>61669</v>
      </c>
      <c r="B61670">
        <f>TEXT(61669, "[$-0E0000]yyyy-mm-dd")</f>
        <v/>
      </c>
      <c r="C61670" t="inlineStr">
        <is>
          <t>2068-10-09</t>
        </is>
      </c>
    </row>
    <row r="61671">
      <c r="A61671" s="1" t="n">
        <v>61670</v>
      </c>
      <c r="B61671">
        <f>TEXT(61670, "[$-0E0000]yyyy-mm-dd")</f>
        <v/>
      </c>
      <c r="C61671" t="inlineStr">
        <is>
          <t>2068-10-10</t>
        </is>
      </c>
    </row>
    <row r="61672">
      <c r="A61672" s="1" t="n">
        <v>61671</v>
      </c>
      <c r="B61672">
        <f>TEXT(61671, "[$-0E0000]yyyy-mm-dd")</f>
        <v/>
      </c>
      <c r="C61672" t="inlineStr">
        <is>
          <t>2068-10-11</t>
        </is>
      </c>
    </row>
    <row r="61673">
      <c r="A61673" s="1" t="n">
        <v>61672</v>
      </c>
      <c r="B61673">
        <f>TEXT(61672, "[$-0E0000]yyyy-mm-dd")</f>
        <v/>
      </c>
      <c r="C61673" t="inlineStr">
        <is>
          <t>2068-10-12</t>
        </is>
      </c>
    </row>
    <row r="61674">
      <c r="A61674" s="1" t="n">
        <v>61673</v>
      </c>
      <c r="B61674">
        <f>TEXT(61673, "[$-0E0000]yyyy-mm-dd")</f>
        <v/>
      </c>
      <c r="C61674" t="inlineStr">
        <is>
          <t>2068-10-13</t>
        </is>
      </c>
    </row>
    <row r="61675">
      <c r="A61675" s="1" t="n">
        <v>61674</v>
      </c>
      <c r="B61675">
        <f>TEXT(61674, "[$-0E0000]yyyy-mm-dd")</f>
        <v/>
      </c>
      <c r="C61675" t="inlineStr">
        <is>
          <t>2068-10-14</t>
        </is>
      </c>
    </row>
    <row r="61676">
      <c r="A61676" s="1" t="n">
        <v>61675</v>
      </c>
      <c r="B61676">
        <f>TEXT(61675, "[$-0E0000]yyyy-mm-dd")</f>
        <v/>
      </c>
      <c r="C61676" t="inlineStr">
        <is>
          <t>2068-10-15</t>
        </is>
      </c>
    </row>
    <row r="61677">
      <c r="A61677" s="1" t="n">
        <v>61676</v>
      </c>
      <c r="B61677">
        <f>TEXT(61676, "[$-0E0000]yyyy-mm-dd")</f>
        <v/>
      </c>
      <c r="C61677" t="inlineStr">
        <is>
          <t>2068-10-16</t>
        </is>
      </c>
    </row>
    <row r="61678">
      <c r="A61678" s="1" t="n">
        <v>61677</v>
      </c>
      <c r="B61678">
        <f>TEXT(61677, "[$-0E0000]yyyy-mm-dd")</f>
        <v/>
      </c>
      <c r="C61678" t="inlineStr">
        <is>
          <t>2068-10-17</t>
        </is>
      </c>
    </row>
    <row r="61679">
      <c r="A61679" s="1" t="n">
        <v>61678</v>
      </c>
      <c r="B61679">
        <f>TEXT(61678, "[$-0E0000]yyyy-mm-dd")</f>
        <v/>
      </c>
      <c r="C61679" t="inlineStr">
        <is>
          <t>2068-10-18</t>
        </is>
      </c>
    </row>
    <row r="61680">
      <c r="A61680" s="1" t="n">
        <v>61679</v>
      </c>
      <c r="B61680">
        <f>TEXT(61679, "[$-0E0000]yyyy-mm-dd")</f>
        <v/>
      </c>
      <c r="C61680" t="inlineStr">
        <is>
          <t>2068-10-19</t>
        </is>
      </c>
    </row>
    <row r="61681">
      <c r="A61681" s="1" t="n">
        <v>61680</v>
      </c>
      <c r="B61681">
        <f>TEXT(61680, "[$-0E0000]yyyy-mm-dd")</f>
        <v/>
      </c>
      <c r="C61681" t="inlineStr">
        <is>
          <t>2068-10-20</t>
        </is>
      </c>
    </row>
    <row r="61682">
      <c r="A61682" s="1" t="n">
        <v>61681</v>
      </c>
      <c r="B61682">
        <f>TEXT(61681, "[$-0E0000]yyyy-mm-dd")</f>
        <v/>
      </c>
      <c r="C61682" t="inlineStr">
        <is>
          <t>2068-10-21</t>
        </is>
      </c>
    </row>
    <row r="61683">
      <c r="A61683" s="1" t="n">
        <v>61682</v>
      </c>
      <c r="B61683">
        <f>TEXT(61682, "[$-0E0000]yyyy-mm-dd")</f>
        <v/>
      </c>
      <c r="C61683" t="inlineStr">
        <is>
          <t>2068-10-22</t>
        </is>
      </c>
    </row>
    <row r="61684">
      <c r="A61684" s="1" t="n">
        <v>61683</v>
      </c>
      <c r="B61684">
        <f>TEXT(61683, "[$-0E0000]yyyy-mm-dd")</f>
        <v/>
      </c>
      <c r="C61684" t="inlineStr">
        <is>
          <t>2068-10-23</t>
        </is>
      </c>
    </row>
    <row r="61685">
      <c r="A61685" s="1" t="n">
        <v>61684</v>
      </c>
      <c r="B61685">
        <f>TEXT(61684, "[$-0E0000]yyyy-mm-dd")</f>
        <v/>
      </c>
      <c r="C61685" t="inlineStr">
        <is>
          <t>2068-10-24</t>
        </is>
      </c>
    </row>
    <row r="61686">
      <c r="A61686" s="1" t="n">
        <v>61685</v>
      </c>
      <c r="B61686">
        <f>TEXT(61685, "[$-0E0000]yyyy-mm-dd")</f>
        <v/>
      </c>
      <c r="C61686" t="inlineStr">
        <is>
          <t>2068-10-25</t>
        </is>
      </c>
    </row>
    <row r="61687">
      <c r="A61687" s="1" t="n">
        <v>61686</v>
      </c>
      <c r="B61687">
        <f>TEXT(61686, "[$-0E0000]yyyy-mm-dd")</f>
        <v/>
      </c>
      <c r="C61687" t="inlineStr">
        <is>
          <t>2068-10-26</t>
        </is>
      </c>
    </row>
    <row r="61688">
      <c r="A61688" s="1" t="n">
        <v>61687</v>
      </c>
      <c r="B61688">
        <f>TEXT(61687, "[$-0E0000]yyyy-mm-dd")</f>
        <v/>
      </c>
      <c r="C61688" t="inlineStr">
        <is>
          <t>2068-10-27</t>
        </is>
      </c>
    </row>
    <row r="61689">
      <c r="A61689" s="1" t="n">
        <v>61688</v>
      </c>
      <c r="B61689">
        <f>TEXT(61688, "[$-0E0000]yyyy-mm-dd")</f>
        <v/>
      </c>
      <c r="C61689" t="inlineStr">
        <is>
          <t>2068-10-28</t>
        </is>
      </c>
    </row>
    <row r="61690">
      <c r="A61690" s="1" t="n">
        <v>61689</v>
      </c>
      <c r="B61690">
        <f>TEXT(61689, "[$-0E0000]yyyy-mm-dd")</f>
        <v/>
      </c>
      <c r="C61690" t="inlineStr">
        <is>
          <t>2068-10-29</t>
        </is>
      </c>
    </row>
    <row r="61691">
      <c r="A61691" s="1" t="n">
        <v>61690</v>
      </c>
      <c r="B61691">
        <f>TEXT(61690, "[$-0E0000]yyyy-mm-dd")</f>
        <v/>
      </c>
      <c r="C61691" t="inlineStr">
        <is>
          <t>2068-10-30</t>
        </is>
      </c>
    </row>
    <row r="61692">
      <c r="A61692" s="1" t="n">
        <v>61691</v>
      </c>
      <c r="B61692">
        <f>TEXT(61691, "[$-0E0000]yyyy-mm-dd")</f>
        <v/>
      </c>
      <c r="C61692" t="inlineStr">
        <is>
          <t>2068-11-01</t>
        </is>
      </c>
    </row>
    <row r="61693">
      <c r="A61693" s="1" t="n">
        <v>61692</v>
      </c>
      <c r="B61693">
        <f>TEXT(61692, "[$-0E0000]yyyy-mm-dd")</f>
        <v/>
      </c>
      <c r="C61693" t="inlineStr">
        <is>
          <t>2068-11-02</t>
        </is>
      </c>
    </row>
    <row r="61694">
      <c r="A61694" s="1" t="n">
        <v>61693</v>
      </c>
      <c r="B61694">
        <f>TEXT(61693, "[$-0E0000]yyyy-mm-dd")</f>
        <v/>
      </c>
      <c r="C61694" t="inlineStr">
        <is>
          <t>2068-11-03</t>
        </is>
      </c>
    </row>
    <row r="61695">
      <c r="A61695" s="1" t="n">
        <v>61694</v>
      </c>
      <c r="B61695">
        <f>TEXT(61694, "[$-0E0000]yyyy-mm-dd")</f>
        <v/>
      </c>
      <c r="C61695" t="inlineStr">
        <is>
          <t>2068-11-04</t>
        </is>
      </c>
    </row>
    <row r="61696">
      <c r="A61696" s="1" t="n">
        <v>61695</v>
      </c>
      <c r="B61696">
        <f>TEXT(61695, "[$-0E0000]yyyy-mm-dd")</f>
        <v/>
      </c>
      <c r="C61696" t="inlineStr">
        <is>
          <t>2068-11-05</t>
        </is>
      </c>
    </row>
    <row r="61697">
      <c r="A61697" s="1" t="n">
        <v>61696</v>
      </c>
      <c r="B61697">
        <f>TEXT(61696, "[$-0E0000]yyyy-mm-dd")</f>
        <v/>
      </c>
      <c r="C61697" t="inlineStr">
        <is>
          <t>2068-11-06</t>
        </is>
      </c>
    </row>
    <row r="61698">
      <c r="A61698" s="1" t="n">
        <v>61697</v>
      </c>
      <c r="B61698">
        <f>TEXT(61697, "[$-0E0000]yyyy-mm-dd")</f>
        <v/>
      </c>
      <c r="C61698" t="inlineStr">
        <is>
          <t>2068-11-07</t>
        </is>
      </c>
    </row>
    <row r="61699">
      <c r="A61699" s="1" t="n">
        <v>61698</v>
      </c>
      <c r="B61699">
        <f>TEXT(61698, "[$-0E0000]yyyy-mm-dd")</f>
        <v/>
      </c>
      <c r="C61699" t="inlineStr">
        <is>
          <t>2068-11-08</t>
        </is>
      </c>
    </row>
    <row r="61700">
      <c r="A61700" s="1" t="n">
        <v>61699</v>
      </c>
      <c r="B61700">
        <f>TEXT(61699, "[$-0E0000]yyyy-mm-dd")</f>
        <v/>
      </c>
      <c r="C61700" t="inlineStr">
        <is>
          <t>2068-11-09</t>
        </is>
      </c>
    </row>
    <row r="61701">
      <c r="A61701" s="1" t="n">
        <v>61700</v>
      </c>
      <c r="B61701">
        <f>TEXT(61700, "[$-0E0000]yyyy-mm-dd")</f>
        <v/>
      </c>
      <c r="C61701" t="inlineStr">
        <is>
          <t>2068-11-10</t>
        </is>
      </c>
    </row>
    <row r="61702">
      <c r="A61702" s="1" t="n">
        <v>61701</v>
      </c>
      <c r="B61702">
        <f>TEXT(61701, "[$-0E0000]yyyy-mm-dd")</f>
        <v/>
      </c>
      <c r="C61702" t="inlineStr">
        <is>
          <t>2068-11-11</t>
        </is>
      </c>
    </row>
    <row r="61703">
      <c r="A61703" s="1" t="n">
        <v>61702</v>
      </c>
      <c r="B61703">
        <f>TEXT(61702, "[$-0E0000]yyyy-mm-dd")</f>
        <v/>
      </c>
      <c r="C61703" t="inlineStr">
        <is>
          <t>2068-11-12</t>
        </is>
      </c>
    </row>
    <row r="61704">
      <c r="A61704" s="1" t="n">
        <v>61703</v>
      </c>
      <c r="B61704">
        <f>TEXT(61703, "[$-0E0000]yyyy-mm-dd")</f>
        <v/>
      </c>
      <c r="C61704" t="inlineStr">
        <is>
          <t>2068-11-13</t>
        </is>
      </c>
    </row>
    <row r="61705">
      <c r="A61705" s="1" t="n">
        <v>61704</v>
      </c>
      <c r="B61705">
        <f>TEXT(61704, "[$-0E0000]yyyy-mm-dd")</f>
        <v/>
      </c>
      <c r="C61705" t="inlineStr">
        <is>
          <t>2068-11-14</t>
        </is>
      </c>
    </row>
    <row r="61706">
      <c r="A61706" s="1" t="n">
        <v>61705</v>
      </c>
      <c r="B61706">
        <f>TEXT(61705, "[$-0E0000]yyyy-mm-dd")</f>
        <v/>
      </c>
      <c r="C61706" t="inlineStr">
        <is>
          <t>2068-11-15</t>
        </is>
      </c>
    </row>
    <row r="61707">
      <c r="A61707" s="1" t="n">
        <v>61706</v>
      </c>
      <c r="B61707">
        <f>TEXT(61706, "[$-0E0000]yyyy-mm-dd")</f>
        <v/>
      </c>
      <c r="C61707" t="inlineStr">
        <is>
          <t>2068-11-16</t>
        </is>
      </c>
    </row>
    <row r="61708">
      <c r="A61708" s="1" t="n">
        <v>61707</v>
      </c>
      <c r="B61708">
        <f>TEXT(61707, "[$-0E0000]yyyy-mm-dd")</f>
        <v/>
      </c>
      <c r="C61708" t="inlineStr">
        <is>
          <t>2068-11-17</t>
        </is>
      </c>
    </row>
    <row r="61709">
      <c r="A61709" s="1" t="n">
        <v>61708</v>
      </c>
      <c r="B61709">
        <f>TEXT(61708, "[$-0E0000]yyyy-mm-dd")</f>
        <v/>
      </c>
      <c r="C61709" t="inlineStr">
        <is>
          <t>2068-11-18</t>
        </is>
      </c>
    </row>
    <row r="61710">
      <c r="A61710" s="1" t="n">
        <v>61709</v>
      </c>
      <c r="B61710">
        <f>TEXT(61709, "[$-0E0000]yyyy-mm-dd")</f>
        <v/>
      </c>
      <c r="C61710" t="inlineStr">
        <is>
          <t>2068-11-19</t>
        </is>
      </c>
    </row>
    <row r="61711">
      <c r="A61711" s="1" t="n">
        <v>61710</v>
      </c>
      <c r="B61711">
        <f>TEXT(61710, "[$-0E0000]yyyy-mm-dd")</f>
        <v/>
      </c>
      <c r="C61711" t="inlineStr">
        <is>
          <t>2068-11-20</t>
        </is>
      </c>
    </row>
    <row r="61712">
      <c r="A61712" s="1" t="n">
        <v>61711</v>
      </c>
      <c r="B61712">
        <f>TEXT(61711, "[$-0E0000]yyyy-mm-dd")</f>
        <v/>
      </c>
      <c r="C61712" t="inlineStr">
        <is>
          <t>2068-11-21</t>
        </is>
      </c>
    </row>
    <row r="61713">
      <c r="A61713" s="1" t="n">
        <v>61712</v>
      </c>
      <c r="B61713">
        <f>TEXT(61712, "[$-0E0000]yyyy-mm-dd")</f>
        <v/>
      </c>
      <c r="C61713" t="inlineStr">
        <is>
          <t>2068-11-22</t>
        </is>
      </c>
    </row>
    <row r="61714">
      <c r="A61714" s="1" t="n">
        <v>61713</v>
      </c>
      <c r="B61714">
        <f>TEXT(61713, "[$-0E0000]yyyy-mm-dd")</f>
        <v/>
      </c>
      <c r="C61714" t="inlineStr">
        <is>
          <t>2068-11-23</t>
        </is>
      </c>
    </row>
    <row r="61715">
      <c r="A61715" s="1" t="n">
        <v>61714</v>
      </c>
      <c r="B61715">
        <f>TEXT(61714, "[$-0E0000]yyyy-mm-dd")</f>
        <v/>
      </c>
      <c r="C61715" t="inlineStr">
        <is>
          <t>2068-11-24</t>
        </is>
      </c>
    </row>
    <row r="61716">
      <c r="A61716" s="1" t="n">
        <v>61715</v>
      </c>
      <c r="B61716">
        <f>TEXT(61715, "[$-0E0000]yyyy-mm-dd")</f>
        <v/>
      </c>
      <c r="C61716" t="inlineStr">
        <is>
          <t>2068-11-25</t>
        </is>
      </c>
    </row>
    <row r="61717">
      <c r="A61717" s="1" t="n">
        <v>61716</v>
      </c>
      <c r="B61717">
        <f>TEXT(61716, "[$-0E0000]yyyy-mm-dd")</f>
        <v/>
      </c>
      <c r="C61717" t="inlineStr">
        <is>
          <t>2068-11-26</t>
        </is>
      </c>
    </row>
    <row r="61718">
      <c r="A61718" s="1" t="n">
        <v>61717</v>
      </c>
      <c r="B61718">
        <f>TEXT(61717, "[$-0E0000]yyyy-mm-dd")</f>
        <v/>
      </c>
      <c r="C61718" t="inlineStr">
        <is>
          <t>2068-11-27</t>
        </is>
      </c>
    </row>
    <row r="61719">
      <c r="A61719" s="1" t="n">
        <v>61718</v>
      </c>
      <c r="B61719">
        <f>TEXT(61718, "[$-0E0000]yyyy-mm-dd")</f>
        <v/>
      </c>
      <c r="C61719" t="inlineStr">
        <is>
          <t>2068-11-28</t>
        </is>
      </c>
    </row>
    <row r="61720">
      <c r="A61720" s="1" t="n">
        <v>61719</v>
      </c>
      <c r="B61720">
        <f>TEXT(61719, "[$-0E0000]yyyy-mm-dd")</f>
        <v/>
      </c>
      <c r="C61720" t="inlineStr">
        <is>
          <t>2068-11-29</t>
        </is>
      </c>
    </row>
    <row r="61721">
      <c r="A61721" s="1" t="n">
        <v>61720</v>
      </c>
      <c r="B61721">
        <f>TEXT(61720, "[$-0E0000]yyyy-mm-dd")</f>
        <v/>
      </c>
      <c r="C61721" t="inlineStr">
        <is>
          <t>2068-12-01</t>
        </is>
      </c>
    </row>
    <row r="61722">
      <c r="A61722" s="1" t="n">
        <v>61721</v>
      </c>
      <c r="B61722">
        <f>TEXT(61721, "[$-0E0000]yyyy-mm-dd")</f>
        <v/>
      </c>
      <c r="C61722" t="inlineStr">
        <is>
          <t>2068-12-02</t>
        </is>
      </c>
    </row>
    <row r="61723">
      <c r="A61723" s="1" t="n">
        <v>61722</v>
      </c>
      <c r="B61723">
        <f>TEXT(61722, "[$-0E0000]yyyy-mm-dd")</f>
        <v/>
      </c>
      <c r="C61723" t="inlineStr">
        <is>
          <t>2068-12-03</t>
        </is>
      </c>
    </row>
    <row r="61724">
      <c r="A61724" s="1" t="n">
        <v>61723</v>
      </c>
      <c r="B61724">
        <f>TEXT(61723, "[$-0E0000]yyyy-mm-dd")</f>
        <v/>
      </c>
      <c r="C61724" t="inlineStr">
        <is>
          <t>2068-12-04</t>
        </is>
      </c>
    </row>
    <row r="61725">
      <c r="A61725" s="1" t="n">
        <v>61724</v>
      </c>
      <c r="B61725">
        <f>TEXT(61724, "[$-0E0000]yyyy-mm-dd")</f>
        <v/>
      </c>
      <c r="C61725" t="inlineStr">
        <is>
          <t>2068-12-05</t>
        </is>
      </c>
    </row>
    <row r="61726">
      <c r="A61726" s="1" t="n">
        <v>61725</v>
      </c>
      <c r="B61726">
        <f>TEXT(61725, "[$-0E0000]yyyy-mm-dd")</f>
        <v/>
      </c>
      <c r="C61726" t="inlineStr">
        <is>
          <t>2068-12-06</t>
        </is>
      </c>
    </row>
    <row r="61727">
      <c r="A61727" s="1" t="n">
        <v>61726</v>
      </c>
      <c r="B61727">
        <f>TEXT(61726, "[$-0E0000]yyyy-mm-dd")</f>
        <v/>
      </c>
      <c r="C61727" t="inlineStr">
        <is>
          <t>2068-12-07</t>
        </is>
      </c>
    </row>
    <row r="61728">
      <c r="A61728" s="1" t="n">
        <v>61727</v>
      </c>
      <c r="B61728">
        <f>TEXT(61727, "[$-0E0000]yyyy-mm-dd")</f>
        <v/>
      </c>
      <c r="C61728" t="inlineStr">
        <is>
          <t>2068-12-08</t>
        </is>
      </c>
    </row>
    <row r="61729">
      <c r="A61729" s="1" t="n">
        <v>61728</v>
      </c>
      <c r="B61729">
        <f>TEXT(61728, "[$-0E0000]yyyy-mm-dd")</f>
        <v/>
      </c>
      <c r="C61729" t="inlineStr">
        <is>
          <t>2068-12-09</t>
        </is>
      </c>
    </row>
    <row r="61730">
      <c r="A61730" s="1" t="n">
        <v>61729</v>
      </c>
      <c r="B61730">
        <f>TEXT(61729, "[$-0E0000]yyyy-mm-dd")</f>
        <v/>
      </c>
      <c r="C61730" t="inlineStr">
        <is>
          <t>2068-12-10</t>
        </is>
      </c>
    </row>
    <row r="61731">
      <c r="A61731" s="1" t="n">
        <v>61730</v>
      </c>
      <c r="B61731">
        <f>TEXT(61730, "[$-0E0000]yyyy-mm-dd")</f>
        <v/>
      </c>
      <c r="C61731" t="inlineStr">
        <is>
          <t>2068-12-11</t>
        </is>
      </c>
    </row>
    <row r="61732">
      <c r="A61732" s="1" t="n">
        <v>61731</v>
      </c>
      <c r="B61732">
        <f>TEXT(61731, "[$-0E0000]yyyy-mm-dd")</f>
        <v/>
      </c>
      <c r="C61732" t="inlineStr">
        <is>
          <t>2068-12-12</t>
        </is>
      </c>
    </row>
    <row r="61733">
      <c r="A61733" s="1" t="n">
        <v>61732</v>
      </c>
      <c r="B61733">
        <f>TEXT(61732, "[$-0E0000]yyyy-mm-dd")</f>
        <v/>
      </c>
      <c r="C61733" t="inlineStr">
        <is>
          <t>2068-12-13</t>
        </is>
      </c>
    </row>
    <row r="61734">
      <c r="A61734" s="1" t="n">
        <v>61733</v>
      </c>
      <c r="B61734">
        <f>TEXT(61733, "[$-0E0000]yyyy-mm-dd")</f>
        <v/>
      </c>
      <c r="C61734" t="inlineStr">
        <is>
          <t>2068-12-14</t>
        </is>
      </c>
    </row>
    <row r="61735">
      <c r="A61735" s="1" t="n">
        <v>61734</v>
      </c>
      <c r="B61735">
        <f>TEXT(61734, "[$-0E0000]yyyy-mm-dd")</f>
        <v/>
      </c>
      <c r="C61735" t="inlineStr">
        <is>
          <t>2068-12-15</t>
        </is>
      </c>
    </row>
    <row r="61736">
      <c r="A61736" s="1" t="n">
        <v>61735</v>
      </c>
      <c r="B61736">
        <f>TEXT(61735, "[$-0E0000]yyyy-mm-dd")</f>
        <v/>
      </c>
      <c r="C61736" t="inlineStr">
        <is>
          <t>2068-12-16</t>
        </is>
      </c>
    </row>
    <row r="61737">
      <c r="A61737" s="1" t="n">
        <v>61736</v>
      </c>
      <c r="B61737">
        <f>TEXT(61736, "[$-0E0000]yyyy-mm-dd")</f>
        <v/>
      </c>
      <c r="C61737" t="inlineStr">
        <is>
          <t>2068-12-17</t>
        </is>
      </c>
    </row>
    <row r="61738">
      <c r="A61738" s="1" t="n">
        <v>61737</v>
      </c>
      <c r="B61738">
        <f>TEXT(61737, "[$-0E0000]yyyy-mm-dd")</f>
        <v/>
      </c>
      <c r="C61738" t="inlineStr">
        <is>
          <t>2068-12-18</t>
        </is>
      </c>
    </row>
    <row r="61739">
      <c r="A61739" s="1" t="n">
        <v>61738</v>
      </c>
      <c r="B61739">
        <f>TEXT(61738, "[$-0E0000]yyyy-mm-dd")</f>
        <v/>
      </c>
      <c r="C61739" t="inlineStr">
        <is>
          <t>2068-12-19</t>
        </is>
      </c>
    </row>
    <row r="61740">
      <c r="A61740" s="1" t="n">
        <v>61739</v>
      </c>
      <c r="B61740">
        <f>TEXT(61739, "[$-0E0000]yyyy-mm-dd")</f>
        <v/>
      </c>
      <c r="C61740" t="inlineStr">
        <is>
          <t>2068-12-20</t>
        </is>
      </c>
    </row>
    <row r="61741">
      <c r="A61741" s="1" t="n">
        <v>61740</v>
      </c>
      <c r="B61741">
        <f>TEXT(61740, "[$-0E0000]yyyy-mm-dd")</f>
        <v/>
      </c>
      <c r="C61741" t="inlineStr">
        <is>
          <t>2068-12-21</t>
        </is>
      </c>
    </row>
    <row r="61742">
      <c r="A61742" s="1" t="n">
        <v>61741</v>
      </c>
      <c r="B61742">
        <f>TEXT(61741, "[$-0E0000]yyyy-mm-dd")</f>
        <v/>
      </c>
      <c r="C61742" t="inlineStr">
        <is>
          <t>2068-12-22</t>
        </is>
      </c>
    </row>
    <row r="61743">
      <c r="A61743" s="1" t="n">
        <v>61742</v>
      </c>
      <c r="B61743">
        <f>TEXT(61742, "[$-0E0000]yyyy-mm-dd")</f>
        <v/>
      </c>
      <c r="C61743" t="inlineStr">
        <is>
          <t>2068-12-23</t>
        </is>
      </c>
    </row>
    <row r="61744">
      <c r="A61744" s="1" t="n">
        <v>61743</v>
      </c>
      <c r="B61744">
        <f>TEXT(61743, "[$-0E0000]yyyy-mm-dd")</f>
        <v/>
      </c>
      <c r="C61744" t="inlineStr">
        <is>
          <t>2068-12-24</t>
        </is>
      </c>
    </row>
    <row r="61745">
      <c r="A61745" s="1" t="n">
        <v>61744</v>
      </c>
      <c r="B61745">
        <f>TEXT(61744, "[$-0E0000]yyyy-mm-dd")</f>
        <v/>
      </c>
      <c r="C61745" t="inlineStr">
        <is>
          <t>2068-12-25</t>
        </is>
      </c>
    </row>
    <row r="61746">
      <c r="A61746" s="1" t="n">
        <v>61745</v>
      </c>
      <c r="B61746">
        <f>TEXT(61745, "[$-0E0000]yyyy-mm-dd")</f>
        <v/>
      </c>
      <c r="C61746" t="inlineStr">
        <is>
          <t>2068-12-26</t>
        </is>
      </c>
    </row>
    <row r="61747">
      <c r="A61747" s="1" t="n">
        <v>61746</v>
      </c>
      <c r="B61747">
        <f>TEXT(61746, "[$-0E0000]yyyy-mm-dd")</f>
        <v/>
      </c>
      <c r="C61747" t="inlineStr">
        <is>
          <t>2068-12-27</t>
        </is>
      </c>
    </row>
    <row r="61748">
      <c r="A61748" s="1" t="n">
        <v>61747</v>
      </c>
      <c r="B61748">
        <f>TEXT(61747, "[$-0E0000]yyyy-mm-dd")</f>
        <v/>
      </c>
      <c r="C61748" t="inlineStr">
        <is>
          <t>2068-12-28</t>
        </is>
      </c>
    </row>
    <row r="61749">
      <c r="A61749" s="1" t="n">
        <v>61748</v>
      </c>
      <c r="B61749">
        <f>TEXT(61748, "[$-0E0000]yyyy-mm-dd")</f>
        <v/>
      </c>
      <c r="C61749" t="inlineStr">
        <is>
          <t>2068-12-29</t>
        </is>
      </c>
    </row>
    <row r="61750">
      <c r="A61750" s="1" t="n">
        <v>61749</v>
      </c>
      <c r="B61750">
        <f>TEXT(61749, "[$-0E0000]yyyy-mm-dd")</f>
        <v/>
      </c>
      <c r="C61750" t="inlineStr">
        <is>
          <t>2068-12-30</t>
        </is>
      </c>
    </row>
    <row r="61751">
      <c r="A61751" s="1" t="n">
        <v>61750</v>
      </c>
      <c r="B61751">
        <f>TEXT(61750, "[$-0E0000]yyyy-mm-dd")</f>
        <v/>
      </c>
      <c r="C61751" t="inlineStr">
        <is>
          <t>2069-01-01</t>
        </is>
      </c>
    </row>
    <row r="61752">
      <c r="A61752" s="1" t="n">
        <v>61751</v>
      </c>
      <c r="B61752">
        <f>TEXT(61751, "[$-0E0000]yyyy-mm-dd")</f>
        <v/>
      </c>
      <c r="C61752" t="inlineStr">
        <is>
          <t>2069-01-02</t>
        </is>
      </c>
    </row>
    <row r="61753">
      <c r="A61753" s="1" t="n">
        <v>61752</v>
      </c>
      <c r="B61753">
        <f>TEXT(61752, "[$-0E0000]yyyy-mm-dd")</f>
        <v/>
      </c>
      <c r="C61753" t="inlineStr">
        <is>
          <t>2069-01-03</t>
        </is>
      </c>
    </row>
    <row r="61754">
      <c r="A61754" s="1" t="n">
        <v>61753</v>
      </c>
      <c r="B61754">
        <f>TEXT(61753, "[$-0E0000]yyyy-mm-dd")</f>
        <v/>
      </c>
      <c r="C61754" t="inlineStr">
        <is>
          <t>2069-01-04</t>
        </is>
      </c>
    </row>
    <row r="61755">
      <c r="A61755" s="1" t="n">
        <v>61754</v>
      </c>
      <c r="B61755">
        <f>TEXT(61754, "[$-0E0000]yyyy-mm-dd")</f>
        <v/>
      </c>
      <c r="C61755" t="inlineStr">
        <is>
          <t>2069-01-05</t>
        </is>
      </c>
    </row>
    <row r="61756">
      <c r="A61756" s="1" t="n">
        <v>61755</v>
      </c>
      <c r="B61756">
        <f>TEXT(61755, "[$-0E0000]yyyy-mm-dd")</f>
        <v/>
      </c>
      <c r="C61756" t="inlineStr">
        <is>
          <t>2069-01-06</t>
        </is>
      </c>
    </row>
    <row r="61757">
      <c r="A61757" s="1" t="n">
        <v>61756</v>
      </c>
      <c r="B61757">
        <f>TEXT(61756, "[$-0E0000]yyyy-mm-dd")</f>
        <v/>
      </c>
      <c r="C61757" t="inlineStr">
        <is>
          <t>2069-01-07</t>
        </is>
      </c>
    </row>
    <row r="61758">
      <c r="A61758" s="1" t="n">
        <v>61757</v>
      </c>
      <c r="B61758">
        <f>TEXT(61757, "[$-0E0000]yyyy-mm-dd")</f>
        <v/>
      </c>
      <c r="C61758" t="inlineStr">
        <is>
          <t>2069-01-08</t>
        </is>
      </c>
    </row>
    <row r="61759">
      <c r="A61759" s="1" t="n">
        <v>61758</v>
      </c>
      <c r="B61759">
        <f>TEXT(61758, "[$-0E0000]yyyy-mm-dd")</f>
        <v/>
      </c>
      <c r="C61759" t="inlineStr">
        <is>
          <t>2069-01-09</t>
        </is>
      </c>
    </row>
    <row r="61760">
      <c r="A61760" s="1" t="n">
        <v>61759</v>
      </c>
      <c r="B61760">
        <f>TEXT(61759, "[$-0E0000]yyyy-mm-dd")</f>
        <v/>
      </c>
      <c r="C61760" t="inlineStr">
        <is>
          <t>2069-01-10</t>
        </is>
      </c>
    </row>
    <row r="61761">
      <c r="A61761" s="1" t="n">
        <v>61760</v>
      </c>
      <c r="B61761">
        <f>TEXT(61760, "[$-0E0000]yyyy-mm-dd")</f>
        <v/>
      </c>
      <c r="C61761" t="inlineStr">
        <is>
          <t>2069-01-11</t>
        </is>
      </c>
    </row>
    <row r="61762">
      <c r="A61762" s="1" t="n">
        <v>61761</v>
      </c>
      <c r="B61762">
        <f>TEXT(61761, "[$-0E0000]yyyy-mm-dd")</f>
        <v/>
      </c>
      <c r="C61762" t="inlineStr">
        <is>
          <t>2069-01-12</t>
        </is>
      </c>
    </row>
    <row r="61763">
      <c r="A61763" s="1" t="n">
        <v>61762</v>
      </c>
      <c r="B61763">
        <f>TEXT(61762, "[$-0E0000]yyyy-mm-dd")</f>
        <v/>
      </c>
      <c r="C61763" t="inlineStr">
        <is>
          <t>2069-01-13</t>
        </is>
      </c>
    </row>
    <row r="61764">
      <c r="A61764" s="1" t="n">
        <v>61763</v>
      </c>
      <c r="B61764">
        <f>TEXT(61763, "[$-0E0000]yyyy-mm-dd")</f>
        <v/>
      </c>
      <c r="C61764" t="inlineStr">
        <is>
          <t>2069-01-14</t>
        </is>
      </c>
    </row>
    <row r="61765">
      <c r="A61765" s="1" t="n">
        <v>61764</v>
      </c>
      <c r="B61765">
        <f>TEXT(61764, "[$-0E0000]yyyy-mm-dd")</f>
        <v/>
      </c>
      <c r="C61765" t="inlineStr">
        <is>
          <t>2069-01-15</t>
        </is>
      </c>
    </row>
    <row r="61766">
      <c r="A61766" s="1" t="n">
        <v>61765</v>
      </c>
      <c r="B61766">
        <f>TEXT(61765, "[$-0E0000]yyyy-mm-dd")</f>
        <v/>
      </c>
      <c r="C61766" t="inlineStr">
        <is>
          <t>2069-01-16</t>
        </is>
      </c>
    </row>
    <row r="61767">
      <c r="A61767" s="1" t="n">
        <v>61766</v>
      </c>
      <c r="B61767">
        <f>TEXT(61766, "[$-0E0000]yyyy-mm-dd")</f>
        <v/>
      </c>
      <c r="C61767" t="inlineStr">
        <is>
          <t>2069-01-17</t>
        </is>
      </c>
    </row>
    <row r="61768">
      <c r="A61768" s="1" t="n">
        <v>61767</v>
      </c>
      <c r="B61768">
        <f>TEXT(61767, "[$-0E0000]yyyy-mm-dd")</f>
        <v/>
      </c>
      <c r="C61768" t="inlineStr">
        <is>
          <t>2069-01-18</t>
        </is>
      </c>
    </row>
    <row r="61769">
      <c r="A61769" s="1" t="n">
        <v>61768</v>
      </c>
      <c r="B61769">
        <f>TEXT(61768, "[$-0E0000]yyyy-mm-dd")</f>
        <v/>
      </c>
      <c r="C61769" t="inlineStr">
        <is>
          <t>2069-01-19</t>
        </is>
      </c>
    </row>
    <row r="61770">
      <c r="A61770" s="1" t="n">
        <v>61769</v>
      </c>
      <c r="B61770">
        <f>TEXT(61769, "[$-0E0000]yyyy-mm-dd")</f>
        <v/>
      </c>
      <c r="C61770" t="inlineStr">
        <is>
          <t>2069-01-20</t>
        </is>
      </c>
    </row>
    <row r="61771">
      <c r="A61771" s="1" t="n">
        <v>61770</v>
      </c>
      <c r="B61771">
        <f>TEXT(61770, "[$-0E0000]yyyy-mm-dd")</f>
        <v/>
      </c>
      <c r="C61771" t="inlineStr">
        <is>
          <t>2069-01-21</t>
        </is>
      </c>
    </row>
    <row r="61772">
      <c r="A61772" s="1" t="n">
        <v>61771</v>
      </c>
      <c r="B61772">
        <f>TEXT(61771, "[$-0E0000]yyyy-mm-dd")</f>
        <v/>
      </c>
      <c r="C61772" t="inlineStr">
        <is>
          <t>2069-01-22</t>
        </is>
      </c>
    </row>
    <row r="61773">
      <c r="A61773" s="1" t="n">
        <v>61772</v>
      </c>
      <c r="B61773">
        <f>TEXT(61772, "[$-0E0000]yyyy-mm-dd")</f>
        <v/>
      </c>
      <c r="C61773" t="inlineStr">
        <is>
          <t>2069-01-23</t>
        </is>
      </c>
    </row>
    <row r="61774">
      <c r="A61774" s="1" t="n">
        <v>61773</v>
      </c>
      <c r="B61774">
        <f>TEXT(61773, "[$-0E0000]yyyy-mm-dd")</f>
        <v/>
      </c>
      <c r="C61774" t="inlineStr">
        <is>
          <t>2069-01-24</t>
        </is>
      </c>
    </row>
    <row r="61775">
      <c r="A61775" s="1" t="n">
        <v>61774</v>
      </c>
      <c r="B61775">
        <f>TEXT(61774, "[$-0E0000]yyyy-mm-dd")</f>
        <v/>
      </c>
      <c r="C61775" t="inlineStr">
        <is>
          <t>2069-01-25</t>
        </is>
      </c>
    </row>
    <row r="61776">
      <c r="A61776" s="1" t="n">
        <v>61775</v>
      </c>
      <c r="B61776">
        <f>TEXT(61775, "[$-0E0000]yyyy-mm-dd")</f>
        <v/>
      </c>
      <c r="C61776" t="inlineStr">
        <is>
          <t>2069-01-26</t>
        </is>
      </c>
    </row>
    <row r="61777">
      <c r="A61777" s="1" t="n">
        <v>61776</v>
      </c>
      <c r="B61777">
        <f>TEXT(61776, "[$-0E0000]yyyy-mm-dd")</f>
        <v/>
      </c>
      <c r="C61777" t="inlineStr">
        <is>
          <t>2069-01-27</t>
        </is>
      </c>
    </row>
    <row r="61778">
      <c r="A61778" s="1" t="n">
        <v>61777</v>
      </c>
      <c r="B61778">
        <f>TEXT(61777, "[$-0E0000]yyyy-mm-dd")</f>
        <v/>
      </c>
      <c r="C61778" t="inlineStr">
        <is>
          <t>2069-01-28</t>
        </is>
      </c>
    </row>
    <row r="61779">
      <c r="A61779" s="1" t="n">
        <v>61778</v>
      </c>
      <c r="B61779">
        <f>TEXT(61778, "[$-0E0000]yyyy-mm-dd")</f>
        <v/>
      </c>
      <c r="C61779" t="inlineStr">
        <is>
          <t>2069-01-29</t>
        </is>
      </c>
    </row>
    <row r="61780">
      <c r="A61780" s="1" t="n">
        <v>61779</v>
      </c>
      <c r="B61780">
        <f>TEXT(61779, "[$-0E0000]yyyy-mm-dd")</f>
        <v/>
      </c>
      <c r="C61780" t="inlineStr">
        <is>
          <t>2069-02-01</t>
        </is>
      </c>
    </row>
    <row r="61781">
      <c r="A61781" s="1" t="n">
        <v>61780</v>
      </c>
      <c r="B61781">
        <f>TEXT(61780, "[$-0E0000]yyyy-mm-dd")</f>
        <v/>
      </c>
      <c r="C61781" t="inlineStr">
        <is>
          <t>2069-02-02</t>
        </is>
      </c>
    </row>
    <row r="61782">
      <c r="A61782" s="1" t="n">
        <v>61781</v>
      </c>
      <c r="B61782">
        <f>TEXT(61781, "[$-0E0000]yyyy-mm-dd")</f>
        <v/>
      </c>
      <c r="C61782" t="inlineStr">
        <is>
          <t>2069-02-03</t>
        </is>
      </c>
    </row>
    <row r="61783">
      <c r="A61783" s="1" t="n">
        <v>61782</v>
      </c>
      <c r="B61783">
        <f>TEXT(61782, "[$-0E0000]yyyy-mm-dd")</f>
        <v/>
      </c>
      <c r="C61783" t="inlineStr">
        <is>
          <t>2069-02-04</t>
        </is>
      </c>
    </row>
    <row r="61784">
      <c r="A61784" s="1" t="n">
        <v>61783</v>
      </c>
      <c r="B61784">
        <f>TEXT(61783, "[$-0E0000]yyyy-mm-dd")</f>
        <v/>
      </c>
      <c r="C61784" t="inlineStr">
        <is>
          <t>2069-02-05</t>
        </is>
      </c>
    </row>
    <row r="61785">
      <c r="A61785" s="1" t="n">
        <v>61784</v>
      </c>
      <c r="B61785">
        <f>TEXT(61784, "[$-0E0000]yyyy-mm-dd")</f>
        <v/>
      </c>
      <c r="C61785" t="inlineStr">
        <is>
          <t>2069-02-06</t>
        </is>
      </c>
    </row>
    <row r="61786">
      <c r="A61786" s="1" t="n">
        <v>61785</v>
      </c>
      <c r="B61786">
        <f>TEXT(61785, "[$-0E0000]yyyy-mm-dd")</f>
        <v/>
      </c>
      <c r="C61786" t="inlineStr">
        <is>
          <t>2069-02-07</t>
        </is>
      </c>
    </row>
    <row r="61787">
      <c r="A61787" s="1" t="n">
        <v>61786</v>
      </c>
      <c r="B61787">
        <f>TEXT(61786, "[$-0E0000]yyyy-mm-dd")</f>
        <v/>
      </c>
      <c r="C61787" t="inlineStr">
        <is>
          <t>2069-02-08</t>
        </is>
      </c>
    </row>
    <row r="61788">
      <c r="A61788" s="1" t="n">
        <v>61787</v>
      </c>
      <c r="B61788">
        <f>TEXT(61787, "[$-0E0000]yyyy-mm-dd")</f>
        <v/>
      </c>
      <c r="C61788" t="inlineStr">
        <is>
          <t>2069-02-09</t>
        </is>
      </c>
    </row>
    <row r="61789">
      <c r="A61789" s="1" t="n">
        <v>61788</v>
      </c>
      <c r="B61789">
        <f>TEXT(61788, "[$-0E0000]yyyy-mm-dd")</f>
        <v/>
      </c>
      <c r="C61789" t="inlineStr">
        <is>
          <t>2069-02-10</t>
        </is>
      </c>
    </row>
    <row r="61790">
      <c r="A61790" s="1" t="n">
        <v>61789</v>
      </c>
      <c r="B61790">
        <f>TEXT(61789, "[$-0E0000]yyyy-mm-dd")</f>
        <v/>
      </c>
      <c r="C61790" t="inlineStr">
        <is>
          <t>2069-02-11</t>
        </is>
      </c>
    </row>
    <row r="61791">
      <c r="A61791" s="1" t="n">
        <v>61790</v>
      </c>
      <c r="B61791">
        <f>TEXT(61790, "[$-0E0000]yyyy-mm-dd")</f>
        <v/>
      </c>
      <c r="C61791" t="inlineStr">
        <is>
          <t>2069-02-12</t>
        </is>
      </c>
    </row>
    <row r="61792">
      <c r="A61792" s="1" t="n">
        <v>61791</v>
      </c>
      <c r="B61792">
        <f>TEXT(61791, "[$-0E0000]yyyy-mm-dd")</f>
        <v/>
      </c>
      <c r="C61792" t="inlineStr">
        <is>
          <t>2069-02-13</t>
        </is>
      </c>
    </row>
    <row r="61793">
      <c r="A61793" s="1" t="n">
        <v>61792</v>
      </c>
      <c r="B61793">
        <f>TEXT(61792, "[$-0E0000]yyyy-mm-dd")</f>
        <v/>
      </c>
      <c r="C61793" t="inlineStr">
        <is>
          <t>2069-02-14</t>
        </is>
      </c>
    </row>
    <row r="61794">
      <c r="A61794" s="1" t="n">
        <v>61793</v>
      </c>
      <c r="B61794">
        <f>TEXT(61793, "[$-0E0000]yyyy-mm-dd")</f>
        <v/>
      </c>
      <c r="C61794" t="inlineStr">
        <is>
          <t>2069-02-15</t>
        </is>
      </c>
    </row>
    <row r="61795">
      <c r="A61795" s="1" t="n">
        <v>61794</v>
      </c>
      <c r="B61795">
        <f>TEXT(61794, "[$-0E0000]yyyy-mm-dd")</f>
        <v/>
      </c>
      <c r="C61795" t="inlineStr">
        <is>
          <t>2069-02-16</t>
        </is>
      </c>
    </row>
    <row r="61796">
      <c r="A61796" s="1" t="n">
        <v>61795</v>
      </c>
      <c r="B61796">
        <f>TEXT(61795, "[$-0E0000]yyyy-mm-dd")</f>
        <v/>
      </c>
      <c r="C61796" t="inlineStr">
        <is>
          <t>2069-02-17</t>
        </is>
      </c>
    </row>
    <row r="61797">
      <c r="A61797" s="1" t="n">
        <v>61796</v>
      </c>
      <c r="B61797">
        <f>TEXT(61796, "[$-0E0000]yyyy-mm-dd")</f>
        <v/>
      </c>
      <c r="C61797" t="inlineStr">
        <is>
          <t>2069-02-18</t>
        </is>
      </c>
    </row>
    <row r="61798">
      <c r="A61798" s="1" t="n">
        <v>61797</v>
      </c>
      <c r="B61798">
        <f>TEXT(61797, "[$-0E0000]yyyy-mm-dd")</f>
        <v/>
      </c>
      <c r="C61798" t="inlineStr">
        <is>
          <t>2069-02-19</t>
        </is>
      </c>
    </row>
    <row r="61799">
      <c r="A61799" s="1" t="n">
        <v>61798</v>
      </c>
      <c r="B61799">
        <f>TEXT(61798, "[$-0E0000]yyyy-mm-dd")</f>
        <v/>
      </c>
      <c r="C61799" t="inlineStr">
        <is>
          <t>2069-02-20</t>
        </is>
      </c>
    </row>
    <row r="61800">
      <c r="A61800" s="1" t="n">
        <v>61799</v>
      </c>
      <c r="B61800">
        <f>TEXT(61799, "[$-0E0000]yyyy-mm-dd")</f>
        <v/>
      </c>
      <c r="C61800" t="inlineStr">
        <is>
          <t>2069-02-21</t>
        </is>
      </c>
    </row>
    <row r="61801">
      <c r="A61801" s="1" t="n">
        <v>61800</v>
      </c>
      <c r="B61801">
        <f>TEXT(61800, "[$-0E0000]yyyy-mm-dd")</f>
        <v/>
      </c>
      <c r="C61801" t="inlineStr">
        <is>
          <t>2069-02-22</t>
        </is>
      </c>
    </row>
    <row r="61802">
      <c r="A61802" s="1" t="n">
        <v>61801</v>
      </c>
      <c r="B61802">
        <f>TEXT(61801, "[$-0E0000]yyyy-mm-dd")</f>
        <v/>
      </c>
      <c r="C61802" t="inlineStr">
        <is>
          <t>2069-02-23</t>
        </is>
      </c>
    </row>
    <row r="61803">
      <c r="A61803" s="1" t="n">
        <v>61802</v>
      </c>
      <c r="B61803">
        <f>TEXT(61802, "[$-0E0000]yyyy-mm-dd")</f>
        <v/>
      </c>
      <c r="C61803" t="inlineStr">
        <is>
          <t>2069-02-24</t>
        </is>
      </c>
    </row>
    <row r="61804">
      <c r="A61804" s="1" t="n">
        <v>61803</v>
      </c>
      <c r="B61804">
        <f>TEXT(61803, "[$-0E0000]yyyy-mm-dd")</f>
        <v/>
      </c>
      <c r="C61804" t="inlineStr">
        <is>
          <t>2069-02-25</t>
        </is>
      </c>
    </row>
    <row r="61805">
      <c r="A61805" s="1" t="n">
        <v>61804</v>
      </c>
      <c r="B61805">
        <f>TEXT(61804, "[$-0E0000]yyyy-mm-dd")</f>
        <v/>
      </c>
      <c r="C61805" t="inlineStr">
        <is>
          <t>2069-02-26</t>
        </is>
      </c>
    </row>
    <row r="61806">
      <c r="A61806" s="1" t="n">
        <v>61805</v>
      </c>
      <c r="B61806">
        <f>TEXT(61805, "[$-0E0000]yyyy-mm-dd")</f>
        <v/>
      </c>
      <c r="C61806" t="inlineStr">
        <is>
          <t>2069-02-27</t>
        </is>
      </c>
    </row>
    <row r="61807">
      <c r="A61807" s="1" t="n">
        <v>61806</v>
      </c>
      <c r="B61807">
        <f>TEXT(61806, "[$-0E0000]yyyy-mm-dd")</f>
        <v/>
      </c>
      <c r="C61807" t="inlineStr">
        <is>
          <t>2069-02-28</t>
        </is>
      </c>
    </row>
    <row r="61808">
      <c r="A61808" s="1" t="n">
        <v>61807</v>
      </c>
      <c r="B61808">
        <f>TEXT(61807, "[$-0E0000]yyyy-mm-dd")</f>
        <v/>
      </c>
      <c r="C61808" t="inlineStr">
        <is>
          <t>2069-02-29</t>
        </is>
      </c>
    </row>
    <row r="61809">
      <c r="A61809" s="1" t="n">
        <v>61808</v>
      </c>
      <c r="B61809">
        <f>TEXT(61808, "[$-0E0000]yyyy-mm-dd")</f>
        <v/>
      </c>
      <c r="C61809" t="inlineStr">
        <is>
          <t>2069-02-30</t>
        </is>
      </c>
    </row>
    <row r="61810">
      <c r="A61810" s="1" t="n">
        <v>61809</v>
      </c>
      <c r="B61810">
        <f>TEXT(61809, "[$-0E0000]yyyy-mm-dd")</f>
        <v/>
      </c>
      <c r="C61810" t="inlineStr">
        <is>
          <t>2069-03-01</t>
        </is>
      </c>
    </row>
    <row r="61811">
      <c r="A61811" s="1" t="n">
        <v>61810</v>
      </c>
      <c r="B61811">
        <f>TEXT(61810, "[$-0E0000]yyyy-mm-dd")</f>
        <v/>
      </c>
      <c r="C61811" t="inlineStr">
        <is>
          <t>2069-03-02</t>
        </is>
      </c>
    </row>
    <row r="61812">
      <c r="A61812" s="1" t="n">
        <v>61811</v>
      </c>
      <c r="B61812">
        <f>TEXT(61811, "[$-0E0000]yyyy-mm-dd")</f>
        <v/>
      </c>
      <c r="C61812" t="inlineStr">
        <is>
          <t>2069-03-03</t>
        </is>
      </c>
    </row>
    <row r="61813">
      <c r="A61813" s="1" t="n">
        <v>61812</v>
      </c>
      <c r="B61813">
        <f>TEXT(61812, "[$-0E0000]yyyy-mm-dd")</f>
        <v/>
      </c>
      <c r="C61813" t="inlineStr">
        <is>
          <t>2069-03-04</t>
        </is>
      </c>
    </row>
    <row r="61814">
      <c r="A61814" s="1" t="n">
        <v>61813</v>
      </c>
      <c r="B61814">
        <f>TEXT(61813, "[$-0E0000]yyyy-mm-dd")</f>
        <v/>
      </c>
      <c r="C61814" t="inlineStr">
        <is>
          <t>2069-03-05</t>
        </is>
      </c>
    </row>
    <row r="61815">
      <c r="A61815" s="1" t="n">
        <v>61814</v>
      </c>
      <c r="B61815">
        <f>TEXT(61814, "[$-0E0000]yyyy-mm-dd")</f>
        <v/>
      </c>
      <c r="C61815" t="inlineStr">
        <is>
          <t>2069-03-06</t>
        </is>
      </c>
    </row>
    <row r="61816">
      <c r="A61816" s="1" t="n">
        <v>61815</v>
      </c>
      <c r="B61816">
        <f>TEXT(61815, "[$-0E0000]yyyy-mm-dd")</f>
        <v/>
      </c>
      <c r="C61816" t="inlineStr">
        <is>
          <t>2069-03-07</t>
        </is>
      </c>
    </row>
    <row r="61817">
      <c r="A61817" s="1" t="n">
        <v>61816</v>
      </c>
      <c r="B61817">
        <f>TEXT(61816, "[$-0E0000]yyyy-mm-dd")</f>
        <v/>
      </c>
      <c r="C61817" t="inlineStr">
        <is>
          <t>2069-03-08</t>
        </is>
      </c>
    </row>
    <row r="61818">
      <c r="A61818" s="1" t="n">
        <v>61817</v>
      </c>
      <c r="B61818">
        <f>TEXT(61817, "[$-0E0000]yyyy-mm-dd")</f>
        <v/>
      </c>
      <c r="C61818" t="inlineStr">
        <is>
          <t>2069-03-09</t>
        </is>
      </c>
    </row>
    <row r="61819">
      <c r="A61819" s="1" t="n">
        <v>61818</v>
      </c>
      <c r="B61819">
        <f>TEXT(61818, "[$-0E0000]yyyy-mm-dd")</f>
        <v/>
      </c>
      <c r="C61819" t="inlineStr">
        <is>
          <t>2069-03-10</t>
        </is>
      </c>
    </row>
    <row r="61820">
      <c r="A61820" s="1" t="n">
        <v>61819</v>
      </c>
      <c r="B61820">
        <f>TEXT(61819, "[$-0E0000]yyyy-mm-dd")</f>
        <v/>
      </c>
      <c r="C61820" t="inlineStr">
        <is>
          <t>2069-03-11</t>
        </is>
      </c>
    </row>
    <row r="61821">
      <c r="A61821" s="1" t="n">
        <v>61820</v>
      </c>
      <c r="B61821">
        <f>TEXT(61820, "[$-0E0000]yyyy-mm-dd")</f>
        <v/>
      </c>
      <c r="C61821" t="inlineStr">
        <is>
          <t>2069-03-12</t>
        </is>
      </c>
    </row>
    <row r="61822">
      <c r="A61822" s="1" t="n">
        <v>61821</v>
      </c>
      <c r="B61822">
        <f>TEXT(61821, "[$-0E0000]yyyy-mm-dd")</f>
        <v/>
      </c>
      <c r="C61822" t="inlineStr">
        <is>
          <t>2069-03-13</t>
        </is>
      </c>
    </row>
    <row r="61823">
      <c r="A61823" s="1" t="n">
        <v>61822</v>
      </c>
      <c r="B61823">
        <f>TEXT(61822, "[$-0E0000]yyyy-mm-dd")</f>
        <v/>
      </c>
      <c r="C61823" t="inlineStr">
        <is>
          <t>2069-03-14</t>
        </is>
      </c>
    </row>
    <row r="61824">
      <c r="A61824" s="1" t="n">
        <v>61823</v>
      </c>
      <c r="B61824">
        <f>TEXT(61823, "[$-0E0000]yyyy-mm-dd")</f>
        <v/>
      </c>
      <c r="C61824" t="inlineStr">
        <is>
          <t>2069-03-15</t>
        </is>
      </c>
    </row>
    <row r="61825">
      <c r="A61825" s="1" t="n">
        <v>61824</v>
      </c>
      <c r="B61825">
        <f>TEXT(61824, "[$-0E0000]yyyy-mm-dd")</f>
        <v/>
      </c>
      <c r="C61825" t="inlineStr">
        <is>
          <t>2069-03-16</t>
        </is>
      </c>
    </row>
    <row r="61826">
      <c r="A61826" s="1" t="n">
        <v>61825</v>
      </c>
      <c r="B61826">
        <f>TEXT(61825, "[$-0E0000]yyyy-mm-dd")</f>
        <v/>
      </c>
      <c r="C61826" t="inlineStr">
        <is>
          <t>2069-03-17</t>
        </is>
      </c>
    </row>
    <row r="61827">
      <c r="A61827" s="1" t="n">
        <v>61826</v>
      </c>
      <c r="B61827">
        <f>TEXT(61826, "[$-0E0000]yyyy-mm-dd")</f>
        <v/>
      </c>
      <c r="C61827" t="inlineStr">
        <is>
          <t>2069-03-18</t>
        </is>
      </c>
    </row>
    <row r="61828">
      <c r="A61828" s="1" t="n">
        <v>61827</v>
      </c>
      <c r="B61828">
        <f>TEXT(61827, "[$-0E0000]yyyy-mm-dd")</f>
        <v/>
      </c>
      <c r="C61828" t="inlineStr">
        <is>
          <t>2069-03-19</t>
        </is>
      </c>
    </row>
    <row r="61829">
      <c r="A61829" s="1" t="n">
        <v>61828</v>
      </c>
      <c r="B61829">
        <f>TEXT(61828, "[$-0E0000]yyyy-mm-dd")</f>
        <v/>
      </c>
      <c r="C61829" t="inlineStr">
        <is>
          <t>2069-03-20</t>
        </is>
      </c>
    </row>
    <row r="61830">
      <c r="A61830" s="1" t="n">
        <v>61829</v>
      </c>
      <c r="B61830">
        <f>TEXT(61829, "[$-0E0000]yyyy-mm-dd")</f>
        <v/>
      </c>
      <c r="C61830" t="inlineStr">
        <is>
          <t>2069-03-21</t>
        </is>
      </c>
    </row>
    <row r="61831">
      <c r="A61831" s="1" t="n">
        <v>61830</v>
      </c>
      <c r="B61831">
        <f>TEXT(61830, "[$-0E0000]yyyy-mm-dd")</f>
        <v/>
      </c>
      <c r="C61831" t="inlineStr">
        <is>
          <t>2069-03-22</t>
        </is>
      </c>
    </row>
    <row r="61832">
      <c r="A61832" s="1" t="n">
        <v>61831</v>
      </c>
      <c r="B61832">
        <f>TEXT(61831, "[$-0E0000]yyyy-mm-dd")</f>
        <v/>
      </c>
      <c r="C61832" t="inlineStr">
        <is>
          <t>2069-03-23</t>
        </is>
      </c>
    </row>
    <row r="61833">
      <c r="A61833" s="1" t="n">
        <v>61832</v>
      </c>
      <c r="B61833">
        <f>TEXT(61832, "[$-0E0000]yyyy-mm-dd")</f>
        <v/>
      </c>
      <c r="C61833" t="inlineStr">
        <is>
          <t>2069-03-24</t>
        </is>
      </c>
    </row>
    <row r="61834">
      <c r="A61834" s="1" t="n">
        <v>61833</v>
      </c>
      <c r="B61834">
        <f>TEXT(61833, "[$-0E0000]yyyy-mm-dd")</f>
        <v/>
      </c>
      <c r="C61834" t="inlineStr">
        <is>
          <t>2069-03-25</t>
        </is>
      </c>
    </row>
    <row r="61835">
      <c r="A61835" s="1" t="n">
        <v>61834</v>
      </c>
      <c r="B61835">
        <f>TEXT(61834, "[$-0E0000]yyyy-mm-dd")</f>
        <v/>
      </c>
      <c r="C61835" t="inlineStr">
        <is>
          <t>2069-03-26</t>
        </is>
      </c>
    </row>
    <row r="61836">
      <c r="A61836" s="1" t="n">
        <v>61835</v>
      </c>
      <c r="B61836">
        <f>TEXT(61835, "[$-0E0000]yyyy-mm-dd")</f>
        <v/>
      </c>
      <c r="C61836" t="inlineStr">
        <is>
          <t>2069-03-27</t>
        </is>
      </c>
    </row>
    <row r="61837">
      <c r="A61837" s="1" t="n">
        <v>61836</v>
      </c>
      <c r="B61837">
        <f>TEXT(61836, "[$-0E0000]yyyy-mm-dd")</f>
        <v/>
      </c>
      <c r="C61837" t="inlineStr">
        <is>
          <t>2069-03-28</t>
        </is>
      </c>
    </row>
    <row r="61838">
      <c r="A61838" s="1" t="n">
        <v>61837</v>
      </c>
      <c r="B61838">
        <f>TEXT(61837, "[$-0E0000]yyyy-mm-dd")</f>
        <v/>
      </c>
      <c r="C61838" t="inlineStr">
        <is>
          <t>2069-03-29</t>
        </is>
      </c>
    </row>
    <row r="61839">
      <c r="A61839" s="1" t="n">
        <v>61838</v>
      </c>
      <c r="B61839">
        <f>TEXT(61838, "[$-0E0000]yyyy-mm-dd")</f>
        <v/>
      </c>
      <c r="C61839" t="inlineStr">
        <is>
          <t>2069-04-01</t>
        </is>
      </c>
    </row>
    <row r="61840">
      <c r="A61840" s="1" t="n">
        <v>61839</v>
      </c>
      <c r="B61840">
        <f>TEXT(61839, "[$-0E0000]yyyy-mm-dd")</f>
        <v/>
      </c>
      <c r="C61840" t="inlineStr">
        <is>
          <t>2069-04-02</t>
        </is>
      </c>
    </row>
    <row r="61841">
      <c r="A61841" s="1" t="n">
        <v>61840</v>
      </c>
      <c r="B61841">
        <f>TEXT(61840, "[$-0E0000]yyyy-mm-dd")</f>
        <v/>
      </c>
      <c r="C61841" t="inlineStr">
        <is>
          <t>2069-04-03</t>
        </is>
      </c>
    </row>
    <row r="61842">
      <c r="A61842" s="1" t="n">
        <v>61841</v>
      </c>
      <c r="B61842">
        <f>TEXT(61841, "[$-0E0000]yyyy-mm-dd")</f>
        <v/>
      </c>
      <c r="C61842" t="inlineStr">
        <is>
          <t>2069-04-04</t>
        </is>
      </c>
    </row>
    <row r="61843">
      <c r="A61843" s="1" t="n">
        <v>61842</v>
      </c>
      <c r="B61843">
        <f>TEXT(61842, "[$-0E0000]yyyy-mm-dd")</f>
        <v/>
      </c>
      <c r="C61843" t="inlineStr">
        <is>
          <t>2069-04-05</t>
        </is>
      </c>
    </row>
    <row r="61844">
      <c r="A61844" s="1" t="n">
        <v>61843</v>
      </c>
      <c r="B61844">
        <f>TEXT(61843, "[$-0E0000]yyyy-mm-dd")</f>
        <v/>
      </c>
      <c r="C61844" t="inlineStr">
        <is>
          <t>2069-04-06</t>
        </is>
      </c>
    </row>
    <row r="61845">
      <c r="A61845" s="1" t="n">
        <v>61844</v>
      </c>
      <c r="B61845">
        <f>TEXT(61844, "[$-0E0000]yyyy-mm-dd")</f>
        <v/>
      </c>
      <c r="C61845" t="inlineStr">
        <is>
          <t>2069-04-07</t>
        </is>
      </c>
    </row>
    <row r="61846">
      <c r="A61846" s="1" t="n">
        <v>61845</v>
      </c>
      <c r="B61846">
        <f>TEXT(61845, "[$-0E0000]yyyy-mm-dd")</f>
        <v/>
      </c>
      <c r="C61846" t="inlineStr">
        <is>
          <t>2069-04-08</t>
        </is>
      </c>
    </row>
    <row r="61847">
      <c r="A61847" s="1" t="n">
        <v>61846</v>
      </c>
      <c r="B61847">
        <f>TEXT(61846, "[$-0E0000]yyyy-mm-dd")</f>
        <v/>
      </c>
      <c r="C61847" t="inlineStr">
        <is>
          <t>2069-04-09</t>
        </is>
      </c>
    </row>
    <row r="61848">
      <c r="A61848" s="1" t="n">
        <v>61847</v>
      </c>
      <c r="B61848">
        <f>TEXT(61847, "[$-0E0000]yyyy-mm-dd")</f>
        <v/>
      </c>
      <c r="C61848" t="inlineStr">
        <is>
          <t>2069-04-10</t>
        </is>
      </c>
    </row>
    <row r="61849">
      <c r="A61849" s="1" t="n">
        <v>61848</v>
      </c>
      <c r="B61849">
        <f>TEXT(61848, "[$-0E0000]yyyy-mm-dd")</f>
        <v/>
      </c>
      <c r="C61849" t="inlineStr">
        <is>
          <t>2069-04-11</t>
        </is>
      </c>
    </row>
    <row r="61850">
      <c r="A61850" s="1" t="n">
        <v>61849</v>
      </c>
      <c r="B61850">
        <f>TEXT(61849, "[$-0E0000]yyyy-mm-dd")</f>
        <v/>
      </c>
      <c r="C61850" t="inlineStr">
        <is>
          <t>2069-04-12</t>
        </is>
      </c>
    </row>
    <row r="61851">
      <c r="A61851" s="1" t="n">
        <v>61850</v>
      </c>
      <c r="B61851">
        <f>TEXT(61850, "[$-0E0000]yyyy-mm-dd")</f>
        <v/>
      </c>
      <c r="C61851" t="inlineStr">
        <is>
          <t>2069-04-13</t>
        </is>
      </c>
    </row>
    <row r="61852">
      <c r="A61852" s="1" t="n">
        <v>61851</v>
      </c>
      <c r="B61852">
        <f>TEXT(61851, "[$-0E0000]yyyy-mm-dd")</f>
        <v/>
      </c>
      <c r="C61852" t="inlineStr">
        <is>
          <t>2069-04-14</t>
        </is>
      </c>
    </row>
    <row r="61853">
      <c r="A61853" s="1" t="n">
        <v>61852</v>
      </c>
      <c r="B61853">
        <f>TEXT(61852, "[$-0E0000]yyyy-mm-dd")</f>
        <v/>
      </c>
      <c r="C61853" t="inlineStr">
        <is>
          <t>2069-04-15</t>
        </is>
      </c>
    </row>
    <row r="61854">
      <c r="A61854" s="1" t="n">
        <v>61853</v>
      </c>
      <c r="B61854">
        <f>TEXT(61853, "[$-0E0000]yyyy-mm-dd")</f>
        <v/>
      </c>
      <c r="C61854" t="inlineStr">
        <is>
          <t>2069-04-16</t>
        </is>
      </c>
    </row>
    <row r="61855">
      <c r="A61855" s="1" t="n">
        <v>61854</v>
      </c>
      <c r="B61855">
        <f>TEXT(61854, "[$-0E0000]yyyy-mm-dd")</f>
        <v/>
      </c>
      <c r="C61855" t="inlineStr">
        <is>
          <t>2069-04-17</t>
        </is>
      </c>
    </row>
    <row r="61856">
      <c r="A61856" s="1" t="n">
        <v>61855</v>
      </c>
      <c r="B61856">
        <f>TEXT(61855, "[$-0E0000]yyyy-mm-dd")</f>
        <v/>
      </c>
      <c r="C61856" t="inlineStr">
        <is>
          <t>2069-04-18</t>
        </is>
      </c>
    </row>
    <row r="61857">
      <c r="A61857" s="1" t="n">
        <v>61856</v>
      </c>
      <c r="B61857">
        <f>TEXT(61856, "[$-0E0000]yyyy-mm-dd")</f>
        <v/>
      </c>
      <c r="C61857" t="inlineStr">
        <is>
          <t>2069-04-19</t>
        </is>
      </c>
    </row>
    <row r="61858">
      <c r="A61858" s="1" t="n">
        <v>61857</v>
      </c>
      <c r="B61858">
        <f>TEXT(61857, "[$-0E0000]yyyy-mm-dd")</f>
        <v/>
      </c>
      <c r="C61858" t="inlineStr">
        <is>
          <t>2069-04-20</t>
        </is>
      </c>
    </row>
    <row r="61859">
      <c r="A61859" s="1" t="n">
        <v>61858</v>
      </c>
      <c r="B61859">
        <f>TEXT(61858, "[$-0E0000]yyyy-mm-dd")</f>
        <v/>
      </c>
      <c r="C61859" t="inlineStr">
        <is>
          <t>2069-04-21</t>
        </is>
      </c>
    </row>
    <row r="61860">
      <c r="A61860" s="1" t="n">
        <v>61859</v>
      </c>
      <c r="B61860">
        <f>TEXT(61859, "[$-0E0000]yyyy-mm-dd")</f>
        <v/>
      </c>
      <c r="C61860" t="inlineStr">
        <is>
          <t>2069-04-22</t>
        </is>
      </c>
    </row>
    <row r="61861">
      <c r="A61861" s="1" t="n">
        <v>61860</v>
      </c>
      <c r="B61861">
        <f>TEXT(61860, "[$-0E0000]yyyy-mm-dd")</f>
        <v/>
      </c>
      <c r="C61861" t="inlineStr">
        <is>
          <t>2069-04-23</t>
        </is>
      </c>
    </row>
    <row r="61862">
      <c r="A61862" s="1" t="n">
        <v>61861</v>
      </c>
      <c r="B61862">
        <f>TEXT(61861, "[$-0E0000]yyyy-mm-dd")</f>
        <v/>
      </c>
      <c r="C61862" t="inlineStr">
        <is>
          <t>2069-04-24</t>
        </is>
      </c>
    </row>
    <row r="61863">
      <c r="A61863" s="1" t="n">
        <v>61862</v>
      </c>
      <c r="B61863">
        <f>TEXT(61862, "[$-0E0000]yyyy-mm-dd")</f>
        <v/>
      </c>
      <c r="C61863" t="inlineStr">
        <is>
          <t>2069-04-25</t>
        </is>
      </c>
    </row>
    <row r="61864">
      <c r="A61864" s="1" t="n">
        <v>61863</v>
      </c>
      <c r="B61864">
        <f>TEXT(61863, "[$-0E0000]yyyy-mm-dd")</f>
        <v/>
      </c>
      <c r="C61864" t="inlineStr">
        <is>
          <t>2069-04-26</t>
        </is>
      </c>
    </row>
    <row r="61865">
      <c r="A61865" s="1" t="n">
        <v>61864</v>
      </c>
      <c r="B61865">
        <f>TEXT(61864, "[$-0E0000]yyyy-mm-dd")</f>
        <v/>
      </c>
      <c r="C61865" t="inlineStr">
        <is>
          <t>2069-04-27</t>
        </is>
      </c>
    </row>
    <row r="61866">
      <c r="A61866" s="1" t="n">
        <v>61865</v>
      </c>
      <c r="B61866">
        <f>TEXT(61865, "[$-0E0000]yyyy-mm-dd")</f>
        <v/>
      </c>
      <c r="C61866" t="inlineStr">
        <is>
          <t>2069-04-28</t>
        </is>
      </c>
    </row>
    <row r="61867">
      <c r="A61867" s="1" t="n">
        <v>61866</v>
      </c>
      <c r="B61867">
        <f>TEXT(61866, "[$-0E0000]yyyy-mm-dd")</f>
        <v/>
      </c>
      <c r="C61867" t="inlineStr">
        <is>
          <t>2069-04-29</t>
        </is>
      </c>
    </row>
    <row r="61868">
      <c r="A61868" s="1" t="n">
        <v>61867</v>
      </c>
      <c r="B61868">
        <f>TEXT(61867, "[$-0E0000]yyyy-mm-dd")</f>
        <v/>
      </c>
      <c r="C61868" t="inlineStr">
        <is>
          <t>2069-04-30</t>
        </is>
      </c>
    </row>
    <row r="61869">
      <c r="A61869" s="1" t="n">
        <v>61868</v>
      </c>
      <c r="B61869">
        <f>TEXT(61868, "[$-0E0000]yyyy-mm-dd")</f>
        <v/>
      </c>
      <c r="C61869" t="inlineStr">
        <is>
          <t>2069-04-01</t>
        </is>
      </c>
    </row>
    <row r="61870">
      <c r="A61870" s="1" t="n">
        <v>61869</v>
      </c>
      <c r="B61870">
        <f>TEXT(61869, "[$-0E0000]yyyy-mm-dd")</f>
        <v/>
      </c>
      <c r="C61870" t="inlineStr">
        <is>
          <t>2069-04-02</t>
        </is>
      </c>
    </row>
    <row r="61871">
      <c r="A61871" s="1" t="n">
        <v>61870</v>
      </c>
      <c r="B61871">
        <f>TEXT(61870, "[$-0E0000]yyyy-mm-dd")</f>
        <v/>
      </c>
      <c r="C61871" t="inlineStr">
        <is>
          <t>2069-04-03</t>
        </is>
      </c>
    </row>
    <row r="61872">
      <c r="A61872" s="1" t="n">
        <v>61871</v>
      </c>
      <c r="B61872">
        <f>TEXT(61871, "[$-0E0000]yyyy-mm-dd")</f>
        <v/>
      </c>
      <c r="C61872" t="inlineStr">
        <is>
          <t>2069-04-04</t>
        </is>
      </c>
    </row>
    <row r="61873">
      <c r="A61873" s="1" t="n">
        <v>61872</v>
      </c>
      <c r="B61873">
        <f>TEXT(61872, "[$-0E0000]yyyy-mm-dd")</f>
        <v/>
      </c>
      <c r="C61873" t="inlineStr">
        <is>
          <t>2069-04-05</t>
        </is>
      </c>
    </row>
    <row r="61874">
      <c r="A61874" s="1" t="n">
        <v>61873</v>
      </c>
      <c r="B61874">
        <f>TEXT(61873, "[$-0E0000]yyyy-mm-dd")</f>
        <v/>
      </c>
      <c r="C61874" t="inlineStr">
        <is>
          <t>2069-04-06</t>
        </is>
      </c>
    </row>
    <row r="61875">
      <c r="A61875" s="1" t="n">
        <v>61874</v>
      </c>
      <c r="B61875">
        <f>TEXT(61874, "[$-0E0000]yyyy-mm-dd")</f>
        <v/>
      </c>
      <c r="C61875" t="inlineStr">
        <is>
          <t>2069-04-07</t>
        </is>
      </c>
    </row>
    <row r="61876">
      <c r="A61876" s="1" t="n">
        <v>61875</v>
      </c>
      <c r="B61876">
        <f>TEXT(61875, "[$-0E0000]yyyy-mm-dd")</f>
        <v/>
      </c>
      <c r="C61876" t="inlineStr">
        <is>
          <t>2069-04-08</t>
        </is>
      </c>
    </row>
    <row r="61877">
      <c r="A61877" s="1" t="n">
        <v>61876</v>
      </c>
      <c r="B61877">
        <f>TEXT(61876, "[$-0E0000]yyyy-mm-dd")</f>
        <v/>
      </c>
      <c r="C61877" t="inlineStr">
        <is>
          <t>2069-04-09</t>
        </is>
      </c>
    </row>
    <row r="61878">
      <c r="A61878" s="1" t="n">
        <v>61877</v>
      </c>
      <c r="B61878">
        <f>TEXT(61877, "[$-0E0000]yyyy-mm-dd")</f>
        <v/>
      </c>
      <c r="C61878" t="inlineStr">
        <is>
          <t>2069-04-10</t>
        </is>
      </c>
    </row>
    <row r="61879">
      <c r="A61879" s="1" t="n">
        <v>61878</v>
      </c>
      <c r="B61879">
        <f>TEXT(61878, "[$-0E0000]yyyy-mm-dd")</f>
        <v/>
      </c>
      <c r="C61879" t="inlineStr">
        <is>
          <t>2069-04-11</t>
        </is>
      </c>
    </row>
    <row r="61880">
      <c r="A61880" s="1" t="n">
        <v>61879</v>
      </c>
      <c r="B61880">
        <f>TEXT(61879, "[$-0E0000]yyyy-mm-dd")</f>
        <v/>
      </c>
      <c r="C61880" t="inlineStr">
        <is>
          <t>2069-04-12</t>
        </is>
      </c>
    </row>
    <row r="61881">
      <c r="A61881" s="1" t="n">
        <v>61880</v>
      </c>
      <c r="B61881">
        <f>TEXT(61880, "[$-0E0000]yyyy-mm-dd")</f>
        <v/>
      </c>
      <c r="C61881" t="inlineStr">
        <is>
          <t>2069-04-13</t>
        </is>
      </c>
    </row>
    <row r="61882">
      <c r="A61882" s="1" t="n">
        <v>61881</v>
      </c>
      <c r="B61882">
        <f>TEXT(61881, "[$-0E0000]yyyy-mm-dd")</f>
        <v/>
      </c>
      <c r="C61882" t="inlineStr">
        <is>
          <t>2069-04-14</t>
        </is>
      </c>
    </row>
    <row r="61883">
      <c r="A61883" s="1" t="n">
        <v>61882</v>
      </c>
      <c r="B61883">
        <f>TEXT(61882, "[$-0E0000]yyyy-mm-dd")</f>
        <v/>
      </c>
      <c r="C61883" t="inlineStr">
        <is>
          <t>2069-04-15</t>
        </is>
      </c>
    </row>
    <row r="61884">
      <c r="A61884" s="1" t="n">
        <v>61883</v>
      </c>
      <c r="B61884">
        <f>TEXT(61883, "[$-0E0000]yyyy-mm-dd")</f>
        <v/>
      </c>
      <c r="C61884" t="inlineStr">
        <is>
          <t>2069-04-16</t>
        </is>
      </c>
    </row>
    <row r="61885">
      <c r="A61885" s="1" t="n">
        <v>61884</v>
      </c>
      <c r="B61885">
        <f>TEXT(61884, "[$-0E0000]yyyy-mm-dd")</f>
        <v/>
      </c>
      <c r="C61885" t="inlineStr">
        <is>
          <t>2069-04-17</t>
        </is>
      </c>
    </row>
    <row r="61886">
      <c r="A61886" s="1" t="n">
        <v>61885</v>
      </c>
      <c r="B61886">
        <f>TEXT(61885, "[$-0E0000]yyyy-mm-dd")</f>
        <v/>
      </c>
      <c r="C61886" t="inlineStr">
        <is>
          <t>2069-04-18</t>
        </is>
      </c>
    </row>
    <row r="61887">
      <c r="A61887" s="1" t="n">
        <v>61886</v>
      </c>
      <c r="B61887">
        <f>TEXT(61886, "[$-0E0000]yyyy-mm-dd")</f>
        <v/>
      </c>
      <c r="C61887" t="inlineStr">
        <is>
          <t>2069-04-19</t>
        </is>
      </c>
    </row>
    <row r="61888">
      <c r="A61888" s="1" t="n">
        <v>61887</v>
      </c>
      <c r="B61888">
        <f>TEXT(61887, "[$-0E0000]yyyy-mm-dd")</f>
        <v/>
      </c>
      <c r="C61888" t="inlineStr">
        <is>
          <t>2069-04-20</t>
        </is>
      </c>
    </row>
    <row r="61889">
      <c r="A61889" s="1" t="n">
        <v>61888</v>
      </c>
      <c r="B61889">
        <f>TEXT(61888, "[$-0E0000]yyyy-mm-dd")</f>
        <v/>
      </c>
      <c r="C61889" t="inlineStr">
        <is>
          <t>2069-04-21</t>
        </is>
      </c>
    </row>
    <row r="61890">
      <c r="A61890" s="1" t="n">
        <v>61889</v>
      </c>
      <c r="B61890">
        <f>TEXT(61889, "[$-0E0000]yyyy-mm-dd")</f>
        <v/>
      </c>
      <c r="C61890" t="inlineStr">
        <is>
          <t>2069-04-22</t>
        </is>
      </c>
    </row>
    <row r="61891">
      <c r="A61891" s="1" t="n">
        <v>61890</v>
      </c>
      <c r="B61891">
        <f>TEXT(61890, "[$-0E0000]yyyy-mm-dd")</f>
        <v/>
      </c>
      <c r="C61891" t="inlineStr">
        <is>
          <t>2069-04-23</t>
        </is>
      </c>
    </row>
    <row r="61892">
      <c r="A61892" s="1" t="n">
        <v>61891</v>
      </c>
      <c r="B61892">
        <f>TEXT(61891, "[$-0E0000]yyyy-mm-dd")</f>
        <v/>
      </c>
      <c r="C61892" t="inlineStr">
        <is>
          <t>2069-04-24</t>
        </is>
      </c>
    </row>
    <row r="61893">
      <c r="A61893" s="1" t="n">
        <v>61892</v>
      </c>
      <c r="B61893">
        <f>TEXT(61892, "[$-0E0000]yyyy-mm-dd")</f>
        <v/>
      </c>
      <c r="C61893" t="inlineStr">
        <is>
          <t>2069-04-25</t>
        </is>
      </c>
    </row>
    <row r="61894">
      <c r="A61894" s="1" t="n">
        <v>61893</v>
      </c>
      <c r="B61894">
        <f>TEXT(61893, "[$-0E0000]yyyy-mm-dd")</f>
        <v/>
      </c>
      <c r="C61894" t="inlineStr">
        <is>
          <t>2069-04-26</t>
        </is>
      </c>
    </row>
    <row r="61895">
      <c r="A61895" s="1" t="n">
        <v>61894</v>
      </c>
      <c r="B61895">
        <f>TEXT(61894, "[$-0E0000]yyyy-mm-dd")</f>
        <v/>
      </c>
      <c r="C61895" t="inlineStr">
        <is>
          <t>2069-04-27</t>
        </is>
      </c>
    </row>
    <row r="61896">
      <c r="A61896" s="1" t="n">
        <v>61895</v>
      </c>
      <c r="B61896">
        <f>TEXT(61895, "[$-0E0000]yyyy-mm-dd")</f>
        <v/>
      </c>
      <c r="C61896" t="inlineStr">
        <is>
          <t>2069-04-28</t>
        </is>
      </c>
    </row>
    <row r="61897">
      <c r="A61897" s="1" t="n">
        <v>61896</v>
      </c>
      <c r="B61897">
        <f>TEXT(61896, "[$-0E0000]yyyy-mm-dd")</f>
        <v/>
      </c>
      <c r="C61897" t="inlineStr">
        <is>
          <t>2069-04-29</t>
        </is>
      </c>
    </row>
    <row r="61898">
      <c r="A61898" s="1" t="n">
        <v>61897</v>
      </c>
      <c r="B61898">
        <f>TEXT(61897, "[$-0E0000]yyyy-mm-dd")</f>
        <v/>
      </c>
      <c r="C61898" t="inlineStr">
        <is>
          <t>2069-05-01</t>
        </is>
      </c>
    </row>
    <row r="61899">
      <c r="A61899" s="1" t="n">
        <v>61898</v>
      </c>
      <c r="B61899">
        <f>TEXT(61898, "[$-0E0000]yyyy-mm-dd")</f>
        <v/>
      </c>
      <c r="C61899" t="inlineStr">
        <is>
          <t>2069-05-02</t>
        </is>
      </c>
    </row>
    <row r="61900">
      <c r="A61900" s="1" t="n">
        <v>61899</v>
      </c>
      <c r="B61900">
        <f>TEXT(61899, "[$-0E0000]yyyy-mm-dd")</f>
        <v/>
      </c>
      <c r="C61900" t="inlineStr">
        <is>
          <t>2069-05-03</t>
        </is>
      </c>
    </row>
    <row r="61901">
      <c r="A61901" s="1" t="n">
        <v>61900</v>
      </c>
      <c r="B61901">
        <f>TEXT(61900, "[$-0E0000]yyyy-mm-dd")</f>
        <v/>
      </c>
      <c r="C61901" t="inlineStr">
        <is>
          <t>2069-05-04</t>
        </is>
      </c>
    </row>
    <row r="61902">
      <c r="A61902" s="1" t="n">
        <v>61901</v>
      </c>
      <c r="B61902">
        <f>TEXT(61901, "[$-0E0000]yyyy-mm-dd")</f>
        <v/>
      </c>
      <c r="C61902" t="inlineStr">
        <is>
          <t>2069-05-05</t>
        </is>
      </c>
    </row>
    <row r="61903">
      <c r="A61903" s="1" t="n">
        <v>61902</v>
      </c>
      <c r="B61903">
        <f>TEXT(61902, "[$-0E0000]yyyy-mm-dd")</f>
        <v/>
      </c>
      <c r="C61903" t="inlineStr">
        <is>
          <t>2069-05-06</t>
        </is>
      </c>
    </row>
    <row r="61904">
      <c r="A61904" s="1" t="n">
        <v>61903</v>
      </c>
      <c r="B61904">
        <f>TEXT(61903, "[$-0E0000]yyyy-mm-dd")</f>
        <v/>
      </c>
      <c r="C61904" t="inlineStr">
        <is>
          <t>2069-05-07</t>
        </is>
      </c>
    </row>
    <row r="61905">
      <c r="A61905" s="1" t="n">
        <v>61904</v>
      </c>
      <c r="B61905">
        <f>TEXT(61904, "[$-0E0000]yyyy-mm-dd")</f>
        <v/>
      </c>
      <c r="C61905" t="inlineStr">
        <is>
          <t>2069-05-08</t>
        </is>
      </c>
    </row>
    <row r="61906">
      <c r="A61906" s="1" t="n">
        <v>61905</v>
      </c>
      <c r="B61906">
        <f>TEXT(61905, "[$-0E0000]yyyy-mm-dd")</f>
        <v/>
      </c>
      <c r="C61906" t="inlineStr">
        <is>
          <t>2069-05-09</t>
        </is>
      </c>
    </row>
    <row r="61907">
      <c r="A61907" s="1" t="n">
        <v>61906</v>
      </c>
      <c r="B61907">
        <f>TEXT(61906, "[$-0E0000]yyyy-mm-dd")</f>
        <v/>
      </c>
      <c r="C61907" t="inlineStr">
        <is>
          <t>2069-05-10</t>
        </is>
      </c>
    </row>
    <row r="61908">
      <c r="A61908" s="1" t="n">
        <v>61907</v>
      </c>
      <c r="B61908">
        <f>TEXT(61907, "[$-0E0000]yyyy-mm-dd")</f>
        <v/>
      </c>
      <c r="C61908" t="inlineStr">
        <is>
          <t>2069-05-11</t>
        </is>
      </c>
    </row>
    <row r="61909">
      <c r="A61909" s="1" t="n">
        <v>61908</v>
      </c>
      <c r="B61909">
        <f>TEXT(61908, "[$-0E0000]yyyy-mm-dd")</f>
        <v/>
      </c>
      <c r="C61909" t="inlineStr">
        <is>
          <t>2069-05-12</t>
        </is>
      </c>
    </row>
    <row r="61910">
      <c r="A61910" s="1" t="n">
        <v>61909</v>
      </c>
      <c r="B61910">
        <f>TEXT(61909, "[$-0E0000]yyyy-mm-dd")</f>
        <v/>
      </c>
      <c r="C61910" t="inlineStr">
        <is>
          <t>2069-05-13</t>
        </is>
      </c>
    </row>
    <row r="61911">
      <c r="A61911" s="1" t="n">
        <v>61910</v>
      </c>
      <c r="B61911">
        <f>TEXT(61910, "[$-0E0000]yyyy-mm-dd")</f>
        <v/>
      </c>
      <c r="C61911" t="inlineStr">
        <is>
          <t>2069-05-14</t>
        </is>
      </c>
    </row>
    <row r="61912">
      <c r="A61912" s="1" t="n">
        <v>61911</v>
      </c>
      <c r="B61912">
        <f>TEXT(61911, "[$-0E0000]yyyy-mm-dd")</f>
        <v/>
      </c>
      <c r="C61912" t="inlineStr">
        <is>
          <t>2069-05-15</t>
        </is>
      </c>
    </row>
    <row r="61913">
      <c r="A61913" s="1" t="n">
        <v>61912</v>
      </c>
      <c r="B61913">
        <f>TEXT(61912, "[$-0E0000]yyyy-mm-dd")</f>
        <v/>
      </c>
      <c r="C61913" t="inlineStr">
        <is>
          <t>2069-05-16</t>
        </is>
      </c>
    </row>
    <row r="61914">
      <c r="A61914" s="1" t="n">
        <v>61913</v>
      </c>
      <c r="B61914">
        <f>TEXT(61913, "[$-0E0000]yyyy-mm-dd")</f>
        <v/>
      </c>
      <c r="C61914" t="inlineStr">
        <is>
          <t>2069-05-17</t>
        </is>
      </c>
    </row>
    <row r="61915">
      <c r="A61915" s="1" t="n">
        <v>61914</v>
      </c>
      <c r="B61915">
        <f>TEXT(61914, "[$-0E0000]yyyy-mm-dd")</f>
        <v/>
      </c>
      <c r="C61915" t="inlineStr">
        <is>
          <t>2069-05-18</t>
        </is>
      </c>
    </row>
    <row r="61916">
      <c r="A61916" s="1" t="n">
        <v>61915</v>
      </c>
      <c r="B61916">
        <f>TEXT(61915, "[$-0E0000]yyyy-mm-dd")</f>
        <v/>
      </c>
      <c r="C61916" t="inlineStr">
        <is>
          <t>2069-05-19</t>
        </is>
      </c>
    </row>
    <row r="61917">
      <c r="A61917" s="1" t="n">
        <v>61916</v>
      </c>
      <c r="B61917">
        <f>TEXT(61916, "[$-0E0000]yyyy-mm-dd")</f>
        <v/>
      </c>
      <c r="C61917" t="inlineStr">
        <is>
          <t>2069-05-20</t>
        </is>
      </c>
    </row>
    <row r="61918">
      <c r="A61918" s="1" t="n">
        <v>61917</v>
      </c>
      <c r="B61918">
        <f>TEXT(61917, "[$-0E0000]yyyy-mm-dd")</f>
        <v/>
      </c>
      <c r="C61918" t="inlineStr">
        <is>
          <t>2069-05-21</t>
        </is>
      </c>
    </row>
    <row r="61919">
      <c r="A61919" s="1" t="n">
        <v>61918</v>
      </c>
      <c r="B61919">
        <f>TEXT(61918, "[$-0E0000]yyyy-mm-dd")</f>
        <v/>
      </c>
      <c r="C61919" t="inlineStr">
        <is>
          <t>2069-05-22</t>
        </is>
      </c>
    </row>
    <row r="61920">
      <c r="A61920" s="1" t="n">
        <v>61919</v>
      </c>
      <c r="B61920">
        <f>TEXT(61919, "[$-0E0000]yyyy-mm-dd")</f>
        <v/>
      </c>
      <c r="C61920" t="inlineStr">
        <is>
          <t>2069-05-23</t>
        </is>
      </c>
    </row>
    <row r="61921">
      <c r="A61921" s="1" t="n">
        <v>61920</v>
      </c>
      <c r="B61921">
        <f>TEXT(61920, "[$-0E0000]yyyy-mm-dd")</f>
        <v/>
      </c>
      <c r="C61921" t="inlineStr">
        <is>
          <t>2069-05-24</t>
        </is>
      </c>
    </row>
    <row r="61922">
      <c r="A61922" s="1" t="n">
        <v>61921</v>
      </c>
      <c r="B61922">
        <f>TEXT(61921, "[$-0E0000]yyyy-mm-dd")</f>
        <v/>
      </c>
      <c r="C61922" t="inlineStr">
        <is>
          <t>2069-05-25</t>
        </is>
      </c>
    </row>
    <row r="61923">
      <c r="A61923" s="1" t="n">
        <v>61922</v>
      </c>
      <c r="B61923">
        <f>TEXT(61922, "[$-0E0000]yyyy-mm-dd")</f>
        <v/>
      </c>
      <c r="C61923" t="inlineStr">
        <is>
          <t>2069-05-26</t>
        </is>
      </c>
    </row>
    <row r="61924">
      <c r="A61924" s="1" t="n">
        <v>61923</v>
      </c>
      <c r="B61924">
        <f>TEXT(61923, "[$-0E0000]yyyy-mm-dd")</f>
        <v/>
      </c>
      <c r="C61924" t="inlineStr">
        <is>
          <t>2069-05-27</t>
        </is>
      </c>
    </row>
    <row r="61925">
      <c r="A61925" s="1" t="n">
        <v>61924</v>
      </c>
      <c r="B61925">
        <f>TEXT(61924, "[$-0E0000]yyyy-mm-dd")</f>
        <v/>
      </c>
      <c r="C61925" t="inlineStr">
        <is>
          <t>2069-05-28</t>
        </is>
      </c>
    </row>
    <row r="61926">
      <c r="A61926" s="1" t="n">
        <v>61925</v>
      </c>
      <c r="B61926">
        <f>TEXT(61925, "[$-0E0000]yyyy-mm-dd")</f>
        <v/>
      </c>
      <c r="C61926" t="inlineStr">
        <is>
          <t>2069-05-29</t>
        </is>
      </c>
    </row>
    <row r="61927">
      <c r="A61927" s="1" t="n">
        <v>61926</v>
      </c>
      <c r="B61927">
        <f>TEXT(61926, "[$-0E0000]yyyy-mm-dd")</f>
        <v/>
      </c>
      <c r="C61927" t="inlineStr">
        <is>
          <t>2069-06-01</t>
        </is>
      </c>
    </row>
    <row r="61928">
      <c r="A61928" s="1" t="n">
        <v>61927</v>
      </c>
      <c r="B61928">
        <f>TEXT(61927, "[$-0E0000]yyyy-mm-dd")</f>
        <v/>
      </c>
      <c r="C61928" t="inlineStr">
        <is>
          <t>2069-06-02</t>
        </is>
      </c>
    </row>
    <row r="61929">
      <c r="A61929" s="1" t="n">
        <v>61928</v>
      </c>
      <c r="B61929">
        <f>TEXT(61928, "[$-0E0000]yyyy-mm-dd")</f>
        <v/>
      </c>
      <c r="C61929" t="inlineStr">
        <is>
          <t>2069-06-03</t>
        </is>
      </c>
    </row>
    <row r="61930">
      <c r="A61930" s="1" t="n">
        <v>61929</v>
      </c>
      <c r="B61930">
        <f>TEXT(61929, "[$-0E0000]yyyy-mm-dd")</f>
        <v/>
      </c>
      <c r="C61930" t="inlineStr">
        <is>
          <t>2069-06-04</t>
        </is>
      </c>
    </row>
    <row r="61931">
      <c r="A61931" s="1" t="n">
        <v>61930</v>
      </c>
      <c r="B61931">
        <f>TEXT(61930, "[$-0E0000]yyyy-mm-dd")</f>
        <v/>
      </c>
      <c r="C61931" t="inlineStr">
        <is>
          <t>2069-06-05</t>
        </is>
      </c>
    </row>
    <row r="61932">
      <c r="A61932" s="1" t="n">
        <v>61931</v>
      </c>
      <c r="B61932">
        <f>TEXT(61931, "[$-0E0000]yyyy-mm-dd")</f>
        <v/>
      </c>
      <c r="C61932" t="inlineStr">
        <is>
          <t>2069-06-06</t>
        </is>
      </c>
    </row>
    <row r="61933">
      <c r="A61933" s="1" t="n">
        <v>61932</v>
      </c>
      <c r="B61933">
        <f>TEXT(61932, "[$-0E0000]yyyy-mm-dd")</f>
        <v/>
      </c>
      <c r="C61933" t="inlineStr">
        <is>
          <t>2069-06-07</t>
        </is>
      </c>
    </row>
    <row r="61934">
      <c r="A61934" s="1" t="n">
        <v>61933</v>
      </c>
      <c r="B61934">
        <f>TEXT(61933, "[$-0E0000]yyyy-mm-dd")</f>
        <v/>
      </c>
      <c r="C61934" t="inlineStr">
        <is>
          <t>2069-06-08</t>
        </is>
      </c>
    </row>
    <row r="61935">
      <c r="A61935" s="1" t="n">
        <v>61934</v>
      </c>
      <c r="B61935">
        <f>TEXT(61934, "[$-0E0000]yyyy-mm-dd")</f>
        <v/>
      </c>
      <c r="C61935" t="inlineStr">
        <is>
          <t>2069-06-09</t>
        </is>
      </c>
    </row>
    <row r="61936">
      <c r="A61936" s="1" t="n">
        <v>61935</v>
      </c>
      <c r="B61936">
        <f>TEXT(61935, "[$-0E0000]yyyy-mm-dd")</f>
        <v/>
      </c>
      <c r="C61936" t="inlineStr">
        <is>
          <t>2069-06-10</t>
        </is>
      </c>
    </row>
    <row r="61937">
      <c r="A61937" s="1" t="n">
        <v>61936</v>
      </c>
      <c r="B61937">
        <f>TEXT(61936, "[$-0E0000]yyyy-mm-dd")</f>
        <v/>
      </c>
      <c r="C61937" t="inlineStr">
        <is>
          <t>2069-06-11</t>
        </is>
      </c>
    </row>
    <row r="61938">
      <c r="A61938" s="1" t="n">
        <v>61937</v>
      </c>
      <c r="B61938">
        <f>TEXT(61937, "[$-0E0000]yyyy-mm-dd")</f>
        <v/>
      </c>
      <c r="C61938" t="inlineStr">
        <is>
          <t>2069-06-12</t>
        </is>
      </c>
    </row>
    <row r="61939">
      <c r="A61939" s="1" t="n">
        <v>61938</v>
      </c>
      <c r="B61939">
        <f>TEXT(61938, "[$-0E0000]yyyy-mm-dd")</f>
        <v/>
      </c>
      <c r="C61939" t="inlineStr">
        <is>
          <t>2069-06-13</t>
        </is>
      </c>
    </row>
    <row r="61940">
      <c r="A61940" s="1" t="n">
        <v>61939</v>
      </c>
      <c r="B61940">
        <f>TEXT(61939, "[$-0E0000]yyyy-mm-dd")</f>
        <v/>
      </c>
      <c r="C61940" t="inlineStr">
        <is>
          <t>2069-06-14</t>
        </is>
      </c>
    </row>
    <row r="61941">
      <c r="A61941" s="1" t="n">
        <v>61940</v>
      </c>
      <c r="B61941">
        <f>TEXT(61940, "[$-0E0000]yyyy-mm-dd")</f>
        <v/>
      </c>
      <c r="C61941" t="inlineStr">
        <is>
          <t>2069-06-15</t>
        </is>
      </c>
    </row>
    <row r="61942">
      <c r="A61942" s="1" t="n">
        <v>61941</v>
      </c>
      <c r="B61942">
        <f>TEXT(61941, "[$-0E0000]yyyy-mm-dd")</f>
        <v/>
      </c>
      <c r="C61942" t="inlineStr">
        <is>
          <t>2069-06-16</t>
        </is>
      </c>
    </row>
    <row r="61943">
      <c r="A61943" s="1" t="n">
        <v>61942</v>
      </c>
      <c r="B61943">
        <f>TEXT(61942, "[$-0E0000]yyyy-mm-dd")</f>
        <v/>
      </c>
      <c r="C61943" t="inlineStr">
        <is>
          <t>2069-06-17</t>
        </is>
      </c>
    </row>
    <row r="61944">
      <c r="A61944" s="1" t="n">
        <v>61943</v>
      </c>
      <c r="B61944">
        <f>TEXT(61943, "[$-0E0000]yyyy-mm-dd")</f>
        <v/>
      </c>
      <c r="C61944" t="inlineStr">
        <is>
          <t>2069-06-18</t>
        </is>
      </c>
    </row>
    <row r="61945">
      <c r="A61945" s="1" t="n">
        <v>61944</v>
      </c>
      <c r="B61945">
        <f>TEXT(61944, "[$-0E0000]yyyy-mm-dd")</f>
        <v/>
      </c>
      <c r="C61945" t="inlineStr">
        <is>
          <t>2069-06-19</t>
        </is>
      </c>
    </row>
    <row r="61946">
      <c r="A61946" s="1" t="n">
        <v>61945</v>
      </c>
      <c r="B61946">
        <f>TEXT(61945, "[$-0E0000]yyyy-mm-dd")</f>
        <v/>
      </c>
      <c r="C61946" t="inlineStr">
        <is>
          <t>2069-06-20</t>
        </is>
      </c>
    </row>
    <row r="61947">
      <c r="A61947" s="1" t="n">
        <v>61946</v>
      </c>
      <c r="B61947">
        <f>TEXT(61946, "[$-0E0000]yyyy-mm-dd")</f>
        <v/>
      </c>
      <c r="C61947" t="inlineStr">
        <is>
          <t>2069-06-21</t>
        </is>
      </c>
    </row>
    <row r="61948">
      <c r="A61948" s="1" t="n">
        <v>61947</v>
      </c>
      <c r="B61948">
        <f>TEXT(61947, "[$-0E0000]yyyy-mm-dd")</f>
        <v/>
      </c>
      <c r="C61948" t="inlineStr">
        <is>
          <t>2069-06-22</t>
        </is>
      </c>
    </row>
    <row r="61949">
      <c r="A61949" s="1" t="n">
        <v>61948</v>
      </c>
      <c r="B61949">
        <f>TEXT(61948, "[$-0E0000]yyyy-mm-dd")</f>
        <v/>
      </c>
      <c r="C61949" t="inlineStr">
        <is>
          <t>2069-06-23</t>
        </is>
      </c>
    </row>
    <row r="61950">
      <c r="A61950" s="1" t="n">
        <v>61949</v>
      </c>
      <c r="B61950">
        <f>TEXT(61949, "[$-0E0000]yyyy-mm-dd")</f>
        <v/>
      </c>
      <c r="C61950" t="inlineStr">
        <is>
          <t>2069-06-24</t>
        </is>
      </c>
    </row>
    <row r="61951">
      <c r="A61951" s="1" t="n">
        <v>61950</v>
      </c>
      <c r="B61951">
        <f>TEXT(61950, "[$-0E0000]yyyy-mm-dd")</f>
        <v/>
      </c>
      <c r="C61951" t="inlineStr">
        <is>
          <t>2069-06-25</t>
        </is>
      </c>
    </row>
    <row r="61952">
      <c r="A61952" s="1" t="n">
        <v>61951</v>
      </c>
      <c r="B61952">
        <f>TEXT(61951, "[$-0E0000]yyyy-mm-dd")</f>
        <v/>
      </c>
      <c r="C61952" t="inlineStr">
        <is>
          <t>2069-06-26</t>
        </is>
      </c>
    </row>
    <row r="61953">
      <c r="A61953" s="1" t="n">
        <v>61952</v>
      </c>
      <c r="B61953">
        <f>TEXT(61952, "[$-0E0000]yyyy-mm-dd")</f>
        <v/>
      </c>
      <c r="C61953" t="inlineStr">
        <is>
          <t>2069-06-27</t>
        </is>
      </c>
    </row>
    <row r="61954">
      <c r="A61954" s="1" t="n">
        <v>61953</v>
      </c>
      <c r="B61954">
        <f>TEXT(61953, "[$-0E0000]yyyy-mm-dd")</f>
        <v/>
      </c>
      <c r="C61954" t="inlineStr">
        <is>
          <t>2069-06-28</t>
        </is>
      </c>
    </row>
    <row r="61955">
      <c r="A61955" s="1" t="n">
        <v>61954</v>
      </c>
      <c r="B61955">
        <f>TEXT(61954, "[$-0E0000]yyyy-mm-dd")</f>
        <v/>
      </c>
      <c r="C61955" t="inlineStr">
        <is>
          <t>2069-06-29</t>
        </is>
      </c>
    </row>
    <row r="61956">
      <c r="A61956" s="1" t="n">
        <v>61955</v>
      </c>
      <c r="B61956">
        <f>TEXT(61955, "[$-0E0000]yyyy-mm-dd")</f>
        <v/>
      </c>
      <c r="C61956" t="inlineStr">
        <is>
          <t>2069-06-30</t>
        </is>
      </c>
    </row>
    <row r="61957">
      <c r="A61957" s="1" t="n">
        <v>61956</v>
      </c>
      <c r="B61957">
        <f>TEXT(61956, "[$-0E0000]yyyy-mm-dd")</f>
        <v/>
      </c>
      <c r="C61957" t="inlineStr">
        <is>
          <t>2069-07-01</t>
        </is>
      </c>
    </row>
    <row r="61958">
      <c r="A61958" s="1" t="n">
        <v>61957</v>
      </c>
      <c r="B61958">
        <f>TEXT(61957, "[$-0E0000]yyyy-mm-dd")</f>
        <v/>
      </c>
      <c r="C61958" t="inlineStr">
        <is>
          <t>2069-07-02</t>
        </is>
      </c>
    </row>
    <row r="61959">
      <c r="A61959" s="1" t="n">
        <v>61958</v>
      </c>
      <c r="B61959">
        <f>TEXT(61958, "[$-0E0000]yyyy-mm-dd")</f>
        <v/>
      </c>
      <c r="C61959" t="inlineStr">
        <is>
          <t>2069-07-03</t>
        </is>
      </c>
    </row>
    <row r="61960">
      <c r="A61960" s="1" t="n">
        <v>61959</v>
      </c>
      <c r="B61960">
        <f>TEXT(61959, "[$-0E0000]yyyy-mm-dd")</f>
        <v/>
      </c>
      <c r="C61960" t="inlineStr">
        <is>
          <t>2069-07-04</t>
        </is>
      </c>
    </row>
    <row r="61961">
      <c r="A61961" s="1" t="n">
        <v>61960</v>
      </c>
      <c r="B61961">
        <f>TEXT(61960, "[$-0E0000]yyyy-mm-dd")</f>
        <v/>
      </c>
      <c r="C61961" t="inlineStr">
        <is>
          <t>2069-07-05</t>
        </is>
      </c>
    </row>
    <row r="61962">
      <c r="A61962" s="1" t="n">
        <v>61961</v>
      </c>
      <c r="B61962">
        <f>TEXT(61961, "[$-0E0000]yyyy-mm-dd")</f>
        <v/>
      </c>
      <c r="C61962" t="inlineStr">
        <is>
          <t>2069-07-06</t>
        </is>
      </c>
    </row>
    <row r="61963">
      <c r="A61963" s="1" t="n">
        <v>61962</v>
      </c>
      <c r="B61963">
        <f>TEXT(61962, "[$-0E0000]yyyy-mm-dd")</f>
        <v/>
      </c>
      <c r="C61963" t="inlineStr">
        <is>
          <t>2069-07-07</t>
        </is>
      </c>
    </row>
    <row r="61964">
      <c r="A61964" s="1" t="n">
        <v>61963</v>
      </c>
      <c r="B61964">
        <f>TEXT(61963, "[$-0E0000]yyyy-mm-dd")</f>
        <v/>
      </c>
      <c r="C61964" t="inlineStr">
        <is>
          <t>2069-07-08</t>
        </is>
      </c>
    </row>
    <row r="61965">
      <c r="A61965" s="1" t="n">
        <v>61964</v>
      </c>
      <c r="B61965">
        <f>TEXT(61964, "[$-0E0000]yyyy-mm-dd")</f>
        <v/>
      </c>
      <c r="C61965" t="inlineStr">
        <is>
          <t>2069-07-09</t>
        </is>
      </c>
    </row>
    <row r="61966">
      <c r="A61966" s="1" t="n">
        <v>61965</v>
      </c>
      <c r="B61966">
        <f>TEXT(61965, "[$-0E0000]yyyy-mm-dd")</f>
        <v/>
      </c>
      <c r="C61966" t="inlineStr">
        <is>
          <t>2069-07-10</t>
        </is>
      </c>
    </row>
    <row r="61967">
      <c r="A61967" s="1" t="n">
        <v>61966</v>
      </c>
      <c r="B61967">
        <f>TEXT(61966, "[$-0E0000]yyyy-mm-dd")</f>
        <v/>
      </c>
      <c r="C61967" t="inlineStr">
        <is>
          <t>2069-07-11</t>
        </is>
      </c>
    </row>
    <row r="61968">
      <c r="A61968" s="1" t="n">
        <v>61967</v>
      </c>
      <c r="B61968">
        <f>TEXT(61967, "[$-0E0000]yyyy-mm-dd")</f>
        <v/>
      </c>
      <c r="C61968" t="inlineStr">
        <is>
          <t>2069-07-12</t>
        </is>
      </c>
    </row>
    <row r="61969">
      <c r="A61969" s="1" t="n">
        <v>61968</v>
      </c>
      <c r="B61969">
        <f>TEXT(61968, "[$-0E0000]yyyy-mm-dd")</f>
        <v/>
      </c>
      <c r="C61969" t="inlineStr">
        <is>
          <t>2069-07-13</t>
        </is>
      </c>
    </row>
    <row r="61970">
      <c r="A61970" s="1" t="n">
        <v>61969</v>
      </c>
      <c r="B61970">
        <f>TEXT(61969, "[$-0E0000]yyyy-mm-dd")</f>
        <v/>
      </c>
      <c r="C61970" t="inlineStr">
        <is>
          <t>2069-07-14</t>
        </is>
      </c>
    </row>
    <row r="61971">
      <c r="A61971" s="1" t="n">
        <v>61970</v>
      </c>
      <c r="B61971">
        <f>TEXT(61970, "[$-0E0000]yyyy-mm-dd")</f>
        <v/>
      </c>
      <c r="C61971" t="inlineStr">
        <is>
          <t>2069-07-15</t>
        </is>
      </c>
    </row>
    <row r="61972">
      <c r="A61972" s="1" t="n">
        <v>61971</v>
      </c>
      <c r="B61972">
        <f>TEXT(61971, "[$-0E0000]yyyy-mm-dd")</f>
        <v/>
      </c>
      <c r="C61972" t="inlineStr">
        <is>
          <t>2069-07-16</t>
        </is>
      </c>
    </row>
    <row r="61973">
      <c r="A61973" s="1" t="n">
        <v>61972</v>
      </c>
      <c r="B61973">
        <f>TEXT(61972, "[$-0E0000]yyyy-mm-dd")</f>
        <v/>
      </c>
      <c r="C61973" t="inlineStr">
        <is>
          <t>2069-07-17</t>
        </is>
      </c>
    </row>
    <row r="61974">
      <c r="A61974" s="1" t="n">
        <v>61973</v>
      </c>
      <c r="B61974">
        <f>TEXT(61973, "[$-0E0000]yyyy-mm-dd")</f>
        <v/>
      </c>
      <c r="C61974" t="inlineStr">
        <is>
          <t>2069-07-18</t>
        </is>
      </c>
    </row>
    <row r="61975">
      <c r="A61975" s="1" t="n">
        <v>61974</v>
      </c>
      <c r="B61975">
        <f>TEXT(61974, "[$-0E0000]yyyy-mm-dd")</f>
        <v/>
      </c>
      <c r="C61975" t="inlineStr">
        <is>
          <t>2069-07-19</t>
        </is>
      </c>
    </row>
    <row r="61976">
      <c r="A61976" s="1" t="n">
        <v>61975</v>
      </c>
      <c r="B61976">
        <f>TEXT(61975, "[$-0E0000]yyyy-mm-dd")</f>
        <v/>
      </c>
      <c r="C61976" t="inlineStr">
        <is>
          <t>2069-07-20</t>
        </is>
      </c>
    </row>
    <row r="61977">
      <c r="A61977" s="1" t="n">
        <v>61976</v>
      </c>
      <c r="B61977">
        <f>TEXT(61976, "[$-0E0000]yyyy-mm-dd")</f>
        <v/>
      </c>
      <c r="C61977" t="inlineStr">
        <is>
          <t>2069-07-21</t>
        </is>
      </c>
    </row>
    <row r="61978">
      <c r="A61978" s="1" t="n">
        <v>61977</v>
      </c>
      <c r="B61978">
        <f>TEXT(61977, "[$-0E0000]yyyy-mm-dd")</f>
        <v/>
      </c>
      <c r="C61978" t="inlineStr">
        <is>
          <t>2069-07-22</t>
        </is>
      </c>
    </row>
    <row r="61979">
      <c r="A61979" s="1" t="n">
        <v>61978</v>
      </c>
      <c r="B61979">
        <f>TEXT(61978, "[$-0E0000]yyyy-mm-dd")</f>
        <v/>
      </c>
      <c r="C61979" t="inlineStr">
        <is>
          <t>2069-07-23</t>
        </is>
      </c>
    </row>
    <row r="61980">
      <c r="A61980" s="1" t="n">
        <v>61979</v>
      </c>
      <c r="B61980">
        <f>TEXT(61979, "[$-0E0000]yyyy-mm-dd")</f>
        <v/>
      </c>
      <c r="C61980" t="inlineStr">
        <is>
          <t>2069-07-24</t>
        </is>
      </c>
    </row>
    <row r="61981">
      <c r="A61981" s="1" t="n">
        <v>61980</v>
      </c>
      <c r="B61981">
        <f>TEXT(61980, "[$-0E0000]yyyy-mm-dd")</f>
        <v/>
      </c>
      <c r="C61981" t="inlineStr">
        <is>
          <t>2069-07-25</t>
        </is>
      </c>
    </row>
    <row r="61982">
      <c r="A61982" s="1" t="n">
        <v>61981</v>
      </c>
      <c r="B61982">
        <f>TEXT(61981, "[$-0E0000]yyyy-mm-dd")</f>
        <v/>
      </c>
      <c r="C61982" t="inlineStr">
        <is>
          <t>2069-07-26</t>
        </is>
      </c>
    </row>
    <row r="61983">
      <c r="A61983" s="1" t="n">
        <v>61982</v>
      </c>
      <c r="B61983">
        <f>TEXT(61982, "[$-0E0000]yyyy-mm-dd")</f>
        <v/>
      </c>
      <c r="C61983" t="inlineStr">
        <is>
          <t>2069-07-27</t>
        </is>
      </c>
    </row>
    <row r="61984">
      <c r="A61984" s="1" t="n">
        <v>61983</v>
      </c>
      <c r="B61984">
        <f>TEXT(61983, "[$-0E0000]yyyy-mm-dd")</f>
        <v/>
      </c>
      <c r="C61984" t="inlineStr">
        <is>
          <t>2069-07-28</t>
        </is>
      </c>
    </row>
    <row r="61985">
      <c r="A61985" s="1" t="n">
        <v>61984</v>
      </c>
      <c r="B61985">
        <f>TEXT(61984, "[$-0E0000]yyyy-mm-dd")</f>
        <v/>
      </c>
      <c r="C61985" t="inlineStr">
        <is>
          <t>2069-07-29</t>
        </is>
      </c>
    </row>
    <row r="61986">
      <c r="A61986" s="1" t="n">
        <v>61985</v>
      </c>
      <c r="B61986">
        <f>TEXT(61985, "[$-0E0000]yyyy-mm-dd")</f>
        <v/>
      </c>
      <c r="C61986" t="inlineStr">
        <is>
          <t>2069-08-01</t>
        </is>
      </c>
    </row>
    <row r="61987">
      <c r="A61987" s="1" t="n">
        <v>61986</v>
      </c>
      <c r="B61987">
        <f>TEXT(61986, "[$-0E0000]yyyy-mm-dd")</f>
        <v/>
      </c>
      <c r="C61987" t="inlineStr">
        <is>
          <t>2069-08-02</t>
        </is>
      </c>
    </row>
    <row r="61988">
      <c r="A61988" s="1" t="n">
        <v>61987</v>
      </c>
      <c r="B61988">
        <f>TEXT(61987, "[$-0E0000]yyyy-mm-dd")</f>
        <v/>
      </c>
      <c r="C61988" t="inlineStr">
        <is>
          <t>2069-08-03</t>
        </is>
      </c>
    </row>
    <row r="61989">
      <c r="A61989" s="1" t="n">
        <v>61988</v>
      </c>
      <c r="B61989">
        <f>TEXT(61988, "[$-0E0000]yyyy-mm-dd")</f>
        <v/>
      </c>
      <c r="C61989" t="inlineStr">
        <is>
          <t>2069-08-04</t>
        </is>
      </c>
    </row>
    <row r="61990">
      <c r="A61990" s="1" t="n">
        <v>61989</v>
      </c>
      <c r="B61990">
        <f>TEXT(61989, "[$-0E0000]yyyy-mm-dd")</f>
        <v/>
      </c>
      <c r="C61990" t="inlineStr">
        <is>
          <t>2069-08-05</t>
        </is>
      </c>
    </row>
    <row r="61991">
      <c r="A61991" s="1" t="n">
        <v>61990</v>
      </c>
      <c r="B61991">
        <f>TEXT(61990, "[$-0E0000]yyyy-mm-dd")</f>
        <v/>
      </c>
      <c r="C61991" t="inlineStr">
        <is>
          <t>2069-08-06</t>
        </is>
      </c>
    </row>
    <row r="61992">
      <c r="A61992" s="1" t="n">
        <v>61991</v>
      </c>
      <c r="B61992">
        <f>TEXT(61991, "[$-0E0000]yyyy-mm-dd")</f>
        <v/>
      </c>
      <c r="C61992" t="inlineStr">
        <is>
          <t>2069-08-07</t>
        </is>
      </c>
    </row>
    <row r="61993">
      <c r="A61993" s="1" t="n">
        <v>61992</v>
      </c>
      <c r="B61993">
        <f>TEXT(61992, "[$-0E0000]yyyy-mm-dd")</f>
        <v/>
      </c>
      <c r="C61993" t="inlineStr">
        <is>
          <t>2069-08-08</t>
        </is>
      </c>
    </row>
    <row r="61994">
      <c r="A61994" s="1" t="n">
        <v>61993</v>
      </c>
      <c r="B61994">
        <f>TEXT(61993, "[$-0E0000]yyyy-mm-dd")</f>
        <v/>
      </c>
      <c r="C61994" t="inlineStr">
        <is>
          <t>2069-08-09</t>
        </is>
      </c>
    </row>
    <row r="61995">
      <c r="A61995" s="1" t="n">
        <v>61994</v>
      </c>
      <c r="B61995">
        <f>TEXT(61994, "[$-0E0000]yyyy-mm-dd")</f>
        <v/>
      </c>
      <c r="C61995" t="inlineStr">
        <is>
          <t>2069-08-10</t>
        </is>
      </c>
    </row>
    <row r="61996">
      <c r="A61996" s="1" t="n">
        <v>61995</v>
      </c>
      <c r="B61996">
        <f>TEXT(61995, "[$-0E0000]yyyy-mm-dd")</f>
        <v/>
      </c>
      <c r="C61996" t="inlineStr">
        <is>
          <t>2069-08-11</t>
        </is>
      </c>
    </row>
    <row r="61997">
      <c r="A61997" s="1" t="n">
        <v>61996</v>
      </c>
      <c r="B61997">
        <f>TEXT(61996, "[$-0E0000]yyyy-mm-dd")</f>
        <v/>
      </c>
      <c r="C61997" t="inlineStr">
        <is>
          <t>2069-08-12</t>
        </is>
      </c>
    </row>
    <row r="61998">
      <c r="A61998" s="1" t="n">
        <v>61997</v>
      </c>
      <c r="B61998">
        <f>TEXT(61997, "[$-0E0000]yyyy-mm-dd")</f>
        <v/>
      </c>
      <c r="C61998" t="inlineStr">
        <is>
          <t>2069-08-13</t>
        </is>
      </c>
    </row>
    <row r="61999">
      <c r="A61999" s="1" t="n">
        <v>61998</v>
      </c>
      <c r="B61999">
        <f>TEXT(61998, "[$-0E0000]yyyy-mm-dd")</f>
        <v/>
      </c>
      <c r="C61999" t="inlineStr">
        <is>
          <t>2069-08-14</t>
        </is>
      </c>
    </row>
    <row r="62000">
      <c r="A62000" s="1" t="n">
        <v>61999</v>
      </c>
      <c r="B62000">
        <f>TEXT(61999, "[$-0E0000]yyyy-mm-dd")</f>
        <v/>
      </c>
      <c r="C62000" t="inlineStr">
        <is>
          <t>2069-08-15</t>
        </is>
      </c>
    </row>
    <row r="62001">
      <c r="A62001" s="1" t="n">
        <v>62000</v>
      </c>
      <c r="B62001">
        <f>TEXT(62000, "[$-0E0000]yyyy-mm-dd")</f>
        <v/>
      </c>
      <c r="C62001" t="inlineStr">
        <is>
          <t>2069-08-16</t>
        </is>
      </c>
    </row>
    <row r="62002">
      <c r="A62002" s="1" t="n">
        <v>62001</v>
      </c>
      <c r="B62002">
        <f>TEXT(62001, "[$-0E0000]yyyy-mm-dd")</f>
        <v/>
      </c>
      <c r="C62002" t="inlineStr">
        <is>
          <t>2069-08-17</t>
        </is>
      </c>
    </row>
    <row r="62003">
      <c r="A62003" s="1" t="n">
        <v>62002</v>
      </c>
      <c r="B62003">
        <f>TEXT(62002, "[$-0E0000]yyyy-mm-dd")</f>
        <v/>
      </c>
      <c r="C62003" t="inlineStr">
        <is>
          <t>2069-08-18</t>
        </is>
      </c>
    </row>
    <row r="62004">
      <c r="A62004" s="1" t="n">
        <v>62003</v>
      </c>
      <c r="B62004">
        <f>TEXT(62003, "[$-0E0000]yyyy-mm-dd")</f>
        <v/>
      </c>
      <c r="C62004" t="inlineStr">
        <is>
          <t>2069-08-19</t>
        </is>
      </c>
    </row>
    <row r="62005">
      <c r="A62005" s="1" t="n">
        <v>62004</v>
      </c>
      <c r="B62005">
        <f>TEXT(62004, "[$-0E0000]yyyy-mm-dd")</f>
        <v/>
      </c>
      <c r="C62005" t="inlineStr">
        <is>
          <t>2069-08-20</t>
        </is>
      </c>
    </row>
    <row r="62006">
      <c r="A62006" s="1" t="n">
        <v>62005</v>
      </c>
      <c r="B62006">
        <f>TEXT(62005, "[$-0E0000]yyyy-mm-dd")</f>
        <v/>
      </c>
      <c r="C62006" t="inlineStr">
        <is>
          <t>2069-08-21</t>
        </is>
      </c>
    </row>
    <row r="62007">
      <c r="A62007" s="1" t="n">
        <v>62006</v>
      </c>
      <c r="B62007">
        <f>TEXT(62006, "[$-0E0000]yyyy-mm-dd")</f>
        <v/>
      </c>
      <c r="C62007" t="inlineStr">
        <is>
          <t>2069-08-22</t>
        </is>
      </c>
    </row>
    <row r="62008">
      <c r="A62008" s="1" t="n">
        <v>62007</v>
      </c>
      <c r="B62008">
        <f>TEXT(62007, "[$-0E0000]yyyy-mm-dd")</f>
        <v/>
      </c>
      <c r="C62008" t="inlineStr">
        <is>
          <t>2069-08-23</t>
        </is>
      </c>
    </row>
    <row r="62009">
      <c r="A62009" s="1" t="n">
        <v>62008</v>
      </c>
      <c r="B62009">
        <f>TEXT(62008, "[$-0E0000]yyyy-mm-dd")</f>
        <v/>
      </c>
      <c r="C62009" t="inlineStr">
        <is>
          <t>2069-08-24</t>
        </is>
      </c>
    </row>
    <row r="62010">
      <c r="A62010" s="1" t="n">
        <v>62009</v>
      </c>
      <c r="B62010">
        <f>TEXT(62009, "[$-0E0000]yyyy-mm-dd")</f>
        <v/>
      </c>
      <c r="C62010" t="inlineStr">
        <is>
          <t>2069-08-25</t>
        </is>
      </c>
    </row>
    <row r="62011">
      <c r="A62011" s="1" t="n">
        <v>62010</v>
      </c>
      <c r="B62011">
        <f>TEXT(62010, "[$-0E0000]yyyy-mm-dd")</f>
        <v/>
      </c>
      <c r="C62011" t="inlineStr">
        <is>
          <t>2069-08-26</t>
        </is>
      </c>
    </row>
    <row r="62012">
      <c r="A62012" s="1" t="n">
        <v>62011</v>
      </c>
      <c r="B62012">
        <f>TEXT(62011, "[$-0E0000]yyyy-mm-dd")</f>
        <v/>
      </c>
      <c r="C62012" t="inlineStr">
        <is>
          <t>2069-08-27</t>
        </is>
      </c>
    </row>
    <row r="62013">
      <c r="A62013" s="1" t="n">
        <v>62012</v>
      </c>
      <c r="B62013">
        <f>TEXT(62012, "[$-0E0000]yyyy-mm-dd")</f>
        <v/>
      </c>
      <c r="C62013" t="inlineStr">
        <is>
          <t>2069-08-28</t>
        </is>
      </c>
    </row>
    <row r="62014">
      <c r="A62014" s="1" t="n">
        <v>62013</v>
      </c>
      <c r="B62014">
        <f>TEXT(62013, "[$-0E0000]yyyy-mm-dd")</f>
        <v/>
      </c>
      <c r="C62014" t="inlineStr">
        <is>
          <t>2069-08-29</t>
        </is>
      </c>
    </row>
    <row r="62015">
      <c r="A62015" s="1" t="n">
        <v>62014</v>
      </c>
      <c r="B62015">
        <f>TEXT(62014, "[$-0E0000]yyyy-mm-dd")</f>
        <v/>
      </c>
      <c r="C62015" t="inlineStr">
        <is>
          <t>2069-08-30</t>
        </is>
      </c>
    </row>
    <row r="62016">
      <c r="A62016" s="1" t="n">
        <v>62015</v>
      </c>
      <c r="B62016">
        <f>TEXT(62015, "[$-0E0000]yyyy-mm-dd")</f>
        <v/>
      </c>
      <c r="C62016" t="inlineStr">
        <is>
          <t>2069-09-01</t>
        </is>
      </c>
    </row>
    <row r="62017">
      <c r="A62017" s="1" t="n">
        <v>62016</v>
      </c>
      <c r="B62017">
        <f>TEXT(62016, "[$-0E0000]yyyy-mm-dd")</f>
        <v/>
      </c>
      <c r="C62017" t="inlineStr">
        <is>
          <t>2069-09-02</t>
        </is>
      </c>
    </row>
    <row r="62018">
      <c r="A62018" s="1" t="n">
        <v>62017</v>
      </c>
      <c r="B62018">
        <f>TEXT(62017, "[$-0E0000]yyyy-mm-dd")</f>
        <v/>
      </c>
      <c r="C62018" t="inlineStr">
        <is>
          <t>2069-09-03</t>
        </is>
      </c>
    </row>
    <row r="62019">
      <c r="A62019" s="1" t="n">
        <v>62018</v>
      </c>
      <c r="B62019">
        <f>TEXT(62018, "[$-0E0000]yyyy-mm-dd")</f>
        <v/>
      </c>
      <c r="C62019" t="inlineStr">
        <is>
          <t>2069-09-04</t>
        </is>
      </c>
    </row>
    <row r="62020">
      <c r="A62020" s="1" t="n">
        <v>62019</v>
      </c>
      <c r="B62020">
        <f>TEXT(62019, "[$-0E0000]yyyy-mm-dd")</f>
        <v/>
      </c>
      <c r="C62020" t="inlineStr">
        <is>
          <t>2069-09-05</t>
        </is>
      </c>
    </row>
    <row r="62021">
      <c r="A62021" s="1" t="n">
        <v>62020</v>
      </c>
      <c r="B62021">
        <f>TEXT(62020, "[$-0E0000]yyyy-mm-dd")</f>
        <v/>
      </c>
      <c r="C62021" t="inlineStr">
        <is>
          <t>2069-09-06</t>
        </is>
      </c>
    </row>
    <row r="62022">
      <c r="A62022" s="1" t="n">
        <v>62021</v>
      </c>
      <c r="B62022">
        <f>TEXT(62021, "[$-0E0000]yyyy-mm-dd")</f>
        <v/>
      </c>
      <c r="C62022" t="inlineStr">
        <is>
          <t>2069-09-07</t>
        </is>
      </c>
    </row>
    <row r="62023">
      <c r="A62023" s="1" t="n">
        <v>62022</v>
      </c>
      <c r="B62023">
        <f>TEXT(62022, "[$-0E0000]yyyy-mm-dd")</f>
        <v/>
      </c>
      <c r="C62023" t="inlineStr">
        <is>
          <t>2069-09-08</t>
        </is>
      </c>
    </row>
    <row r="62024">
      <c r="A62024" s="1" t="n">
        <v>62023</v>
      </c>
      <c r="B62024">
        <f>TEXT(62023, "[$-0E0000]yyyy-mm-dd")</f>
        <v/>
      </c>
      <c r="C62024" t="inlineStr">
        <is>
          <t>2069-09-09</t>
        </is>
      </c>
    </row>
    <row r="62025">
      <c r="A62025" s="1" t="n">
        <v>62024</v>
      </c>
      <c r="B62025">
        <f>TEXT(62024, "[$-0E0000]yyyy-mm-dd")</f>
        <v/>
      </c>
      <c r="C62025" t="inlineStr">
        <is>
          <t>2069-09-10</t>
        </is>
      </c>
    </row>
    <row r="62026">
      <c r="A62026" s="1" t="n">
        <v>62025</v>
      </c>
      <c r="B62026">
        <f>TEXT(62025, "[$-0E0000]yyyy-mm-dd")</f>
        <v/>
      </c>
      <c r="C62026" t="inlineStr">
        <is>
          <t>2069-09-11</t>
        </is>
      </c>
    </row>
    <row r="62027">
      <c r="A62027" s="1" t="n">
        <v>62026</v>
      </c>
      <c r="B62027">
        <f>TEXT(62026, "[$-0E0000]yyyy-mm-dd")</f>
        <v/>
      </c>
      <c r="C62027" t="inlineStr">
        <is>
          <t>2069-09-12</t>
        </is>
      </c>
    </row>
    <row r="62028">
      <c r="A62028" s="1" t="n">
        <v>62027</v>
      </c>
      <c r="B62028">
        <f>TEXT(62027, "[$-0E0000]yyyy-mm-dd")</f>
        <v/>
      </c>
      <c r="C62028" t="inlineStr">
        <is>
          <t>2069-09-13</t>
        </is>
      </c>
    </row>
    <row r="62029">
      <c r="A62029" s="1" t="n">
        <v>62028</v>
      </c>
      <c r="B62029">
        <f>TEXT(62028, "[$-0E0000]yyyy-mm-dd")</f>
        <v/>
      </c>
      <c r="C62029" t="inlineStr">
        <is>
          <t>2069-09-14</t>
        </is>
      </c>
    </row>
    <row r="62030">
      <c r="A62030" s="1" t="n">
        <v>62029</v>
      </c>
      <c r="B62030">
        <f>TEXT(62029, "[$-0E0000]yyyy-mm-dd")</f>
        <v/>
      </c>
      <c r="C62030" t="inlineStr">
        <is>
          <t>2069-09-15</t>
        </is>
      </c>
    </row>
    <row r="62031">
      <c r="A62031" s="1" t="n">
        <v>62030</v>
      </c>
      <c r="B62031">
        <f>TEXT(62030, "[$-0E0000]yyyy-mm-dd")</f>
        <v/>
      </c>
      <c r="C62031" t="inlineStr">
        <is>
          <t>2069-09-16</t>
        </is>
      </c>
    </row>
    <row r="62032">
      <c r="A62032" s="1" t="n">
        <v>62031</v>
      </c>
      <c r="B62032">
        <f>TEXT(62031, "[$-0E0000]yyyy-mm-dd")</f>
        <v/>
      </c>
      <c r="C62032" t="inlineStr">
        <is>
          <t>2069-09-17</t>
        </is>
      </c>
    </row>
    <row r="62033">
      <c r="A62033" s="1" t="n">
        <v>62032</v>
      </c>
      <c r="B62033">
        <f>TEXT(62032, "[$-0E0000]yyyy-mm-dd")</f>
        <v/>
      </c>
      <c r="C62033" t="inlineStr">
        <is>
          <t>2069-09-18</t>
        </is>
      </c>
    </row>
    <row r="62034">
      <c r="A62034" s="1" t="n">
        <v>62033</v>
      </c>
      <c r="B62034">
        <f>TEXT(62033, "[$-0E0000]yyyy-mm-dd")</f>
        <v/>
      </c>
      <c r="C62034" t="inlineStr">
        <is>
          <t>2069-09-19</t>
        </is>
      </c>
    </row>
    <row r="62035">
      <c r="A62035" s="1" t="n">
        <v>62034</v>
      </c>
      <c r="B62035">
        <f>TEXT(62034, "[$-0E0000]yyyy-mm-dd")</f>
        <v/>
      </c>
      <c r="C62035" t="inlineStr">
        <is>
          <t>2069-09-20</t>
        </is>
      </c>
    </row>
    <row r="62036">
      <c r="A62036" s="1" t="n">
        <v>62035</v>
      </c>
      <c r="B62036">
        <f>TEXT(62035, "[$-0E0000]yyyy-mm-dd")</f>
        <v/>
      </c>
      <c r="C62036" t="inlineStr">
        <is>
          <t>2069-09-21</t>
        </is>
      </c>
    </row>
    <row r="62037">
      <c r="A62037" s="1" t="n">
        <v>62036</v>
      </c>
      <c r="B62037">
        <f>TEXT(62036, "[$-0E0000]yyyy-mm-dd")</f>
        <v/>
      </c>
      <c r="C62037" t="inlineStr">
        <is>
          <t>2069-09-22</t>
        </is>
      </c>
    </row>
    <row r="62038">
      <c r="A62038" s="1" t="n">
        <v>62037</v>
      </c>
      <c r="B62038">
        <f>TEXT(62037, "[$-0E0000]yyyy-mm-dd")</f>
        <v/>
      </c>
      <c r="C62038" t="inlineStr">
        <is>
          <t>2069-09-23</t>
        </is>
      </c>
    </row>
    <row r="62039">
      <c r="A62039" s="1" t="n">
        <v>62038</v>
      </c>
      <c r="B62039">
        <f>TEXT(62038, "[$-0E0000]yyyy-mm-dd")</f>
        <v/>
      </c>
      <c r="C62039" t="inlineStr">
        <is>
          <t>2069-09-24</t>
        </is>
      </c>
    </row>
    <row r="62040">
      <c r="A62040" s="1" t="n">
        <v>62039</v>
      </c>
      <c r="B62040">
        <f>TEXT(62039, "[$-0E0000]yyyy-mm-dd")</f>
        <v/>
      </c>
      <c r="C62040" t="inlineStr">
        <is>
          <t>2069-09-25</t>
        </is>
      </c>
    </row>
    <row r="62041">
      <c r="A62041" s="1" t="n">
        <v>62040</v>
      </c>
      <c r="B62041">
        <f>TEXT(62040, "[$-0E0000]yyyy-mm-dd")</f>
        <v/>
      </c>
      <c r="C62041" t="inlineStr">
        <is>
          <t>2069-09-26</t>
        </is>
      </c>
    </row>
    <row r="62042">
      <c r="A62042" s="1" t="n">
        <v>62041</v>
      </c>
      <c r="B62042">
        <f>TEXT(62041, "[$-0E0000]yyyy-mm-dd")</f>
        <v/>
      </c>
      <c r="C62042" t="inlineStr">
        <is>
          <t>2069-09-27</t>
        </is>
      </c>
    </row>
    <row r="62043">
      <c r="A62043" s="1" t="n">
        <v>62042</v>
      </c>
      <c r="B62043">
        <f>TEXT(62042, "[$-0E0000]yyyy-mm-dd")</f>
        <v/>
      </c>
      <c r="C62043" t="inlineStr">
        <is>
          <t>2069-09-28</t>
        </is>
      </c>
    </row>
    <row r="62044">
      <c r="A62044" s="1" t="n">
        <v>62043</v>
      </c>
      <c r="B62044">
        <f>TEXT(62043, "[$-0E0000]yyyy-mm-dd")</f>
        <v/>
      </c>
      <c r="C62044" t="inlineStr">
        <is>
          <t>2069-09-29</t>
        </is>
      </c>
    </row>
    <row r="62045">
      <c r="A62045" s="1" t="n">
        <v>62044</v>
      </c>
      <c r="B62045">
        <f>TEXT(62044, "[$-0E0000]yyyy-mm-dd")</f>
        <v/>
      </c>
      <c r="C62045" t="inlineStr">
        <is>
          <t>2069-09-30</t>
        </is>
      </c>
    </row>
    <row r="62046">
      <c r="A62046" s="1" t="n">
        <v>62045</v>
      </c>
      <c r="B62046">
        <f>TEXT(62045, "[$-0E0000]yyyy-mm-dd")</f>
        <v/>
      </c>
      <c r="C62046" t="inlineStr">
        <is>
          <t>2069-10-01</t>
        </is>
      </c>
    </row>
    <row r="62047">
      <c r="A62047" s="1" t="n">
        <v>62046</v>
      </c>
      <c r="B62047">
        <f>TEXT(62046, "[$-0E0000]yyyy-mm-dd")</f>
        <v/>
      </c>
      <c r="C62047" t="inlineStr">
        <is>
          <t>2069-10-02</t>
        </is>
      </c>
    </row>
    <row r="62048">
      <c r="A62048" s="1" t="n">
        <v>62047</v>
      </c>
      <c r="B62048">
        <f>TEXT(62047, "[$-0E0000]yyyy-mm-dd")</f>
        <v/>
      </c>
      <c r="C62048" t="inlineStr">
        <is>
          <t>2069-10-03</t>
        </is>
      </c>
    </row>
    <row r="62049">
      <c r="A62049" s="1" t="n">
        <v>62048</v>
      </c>
      <c r="B62049">
        <f>TEXT(62048, "[$-0E0000]yyyy-mm-dd")</f>
        <v/>
      </c>
      <c r="C62049" t="inlineStr">
        <is>
          <t>2069-10-04</t>
        </is>
      </c>
    </row>
    <row r="62050">
      <c r="A62050" s="1" t="n">
        <v>62049</v>
      </c>
      <c r="B62050">
        <f>TEXT(62049, "[$-0E0000]yyyy-mm-dd")</f>
        <v/>
      </c>
      <c r="C62050" t="inlineStr">
        <is>
          <t>2069-10-05</t>
        </is>
      </c>
    </row>
    <row r="62051">
      <c r="A62051" s="1" t="n">
        <v>62050</v>
      </c>
      <c r="B62051">
        <f>TEXT(62050, "[$-0E0000]yyyy-mm-dd")</f>
        <v/>
      </c>
      <c r="C62051" t="inlineStr">
        <is>
          <t>2069-10-06</t>
        </is>
      </c>
    </row>
    <row r="62052">
      <c r="A62052" s="1" t="n">
        <v>62051</v>
      </c>
      <c r="B62052">
        <f>TEXT(62051, "[$-0E0000]yyyy-mm-dd")</f>
        <v/>
      </c>
      <c r="C62052" t="inlineStr">
        <is>
          <t>2069-10-07</t>
        </is>
      </c>
    </row>
    <row r="62053">
      <c r="A62053" s="1" t="n">
        <v>62052</v>
      </c>
      <c r="B62053">
        <f>TEXT(62052, "[$-0E0000]yyyy-mm-dd")</f>
        <v/>
      </c>
      <c r="C62053" t="inlineStr">
        <is>
          <t>2069-10-08</t>
        </is>
      </c>
    </row>
    <row r="62054">
      <c r="A62054" s="1" t="n">
        <v>62053</v>
      </c>
      <c r="B62054">
        <f>TEXT(62053, "[$-0E0000]yyyy-mm-dd")</f>
        <v/>
      </c>
      <c r="C62054" t="inlineStr">
        <is>
          <t>2069-10-09</t>
        </is>
      </c>
    </row>
    <row r="62055">
      <c r="A62055" s="1" t="n">
        <v>62054</v>
      </c>
      <c r="B62055">
        <f>TEXT(62054, "[$-0E0000]yyyy-mm-dd")</f>
        <v/>
      </c>
      <c r="C62055" t="inlineStr">
        <is>
          <t>2069-10-10</t>
        </is>
      </c>
    </row>
    <row r="62056">
      <c r="A62056" s="1" t="n">
        <v>62055</v>
      </c>
      <c r="B62056">
        <f>TEXT(62055, "[$-0E0000]yyyy-mm-dd")</f>
        <v/>
      </c>
      <c r="C62056" t="inlineStr">
        <is>
          <t>2069-10-11</t>
        </is>
      </c>
    </row>
    <row r="62057">
      <c r="A62057" s="1" t="n">
        <v>62056</v>
      </c>
      <c r="B62057">
        <f>TEXT(62056, "[$-0E0000]yyyy-mm-dd")</f>
        <v/>
      </c>
      <c r="C62057" t="inlineStr">
        <is>
          <t>2069-10-12</t>
        </is>
      </c>
    </row>
    <row r="62058">
      <c r="A62058" s="1" t="n">
        <v>62057</v>
      </c>
      <c r="B62058">
        <f>TEXT(62057, "[$-0E0000]yyyy-mm-dd")</f>
        <v/>
      </c>
      <c r="C62058" t="inlineStr">
        <is>
          <t>2069-10-13</t>
        </is>
      </c>
    </row>
    <row r="62059">
      <c r="A62059" s="1" t="n">
        <v>62058</v>
      </c>
      <c r="B62059">
        <f>TEXT(62058, "[$-0E0000]yyyy-mm-dd")</f>
        <v/>
      </c>
      <c r="C62059" t="inlineStr">
        <is>
          <t>2069-10-14</t>
        </is>
      </c>
    </row>
    <row r="62060">
      <c r="A62060" s="1" t="n">
        <v>62059</v>
      </c>
      <c r="B62060">
        <f>TEXT(62059, "[$-0E0000]yyyy-mm-dd")</f>
        <v/>
      </c>
      <c r="C62060" t="inlineStr">
        <is>
          <t>2069-10-15</t>
        </is>
      </c>
    </row>
    <row r="62061">
      <c r="A62061" s="1" t="n">
        <v>62060</v>
      </c>
      <c r="B62061">
        <f>TEXT(62060, "[$-0E0000]yyyy-mm-dd")</f>
        <v/>
      </c>
      <c r="C62061" t="inlineStr">
        <is>
          <t>2069-10-16</t>
        </is>
      </c>
    </row>
    <row r="62062">
      <c r="A62062" s="1" t="n">
        <v>62061</v>
      </c>
      <c r="B62062">
        <f>TEXT(62061, "[$-0E0000]yyyy-mm-dd")</f>
        <v/>
      </c>
      <c r="C62062" t="inlineStr">
        <is>
          <t>2069-10-17</t>
        </is>
      </c>
    </row>
    <row r="62063">
      <c r="A62063" s="1" t="n">
        <v>62062</v>
      </c>
      <c r="B62063">
        <f>TEXT(62062, "[$-0E0000]yyyy-mm-dd")</f>
        <v/>
      </c>
      <c r="C62063" t="inlineStr">
        <is>
          <t>2069-10-18</t>
        </is>
      </c>
    </row>
    <row r="62064">
      <c r="A62064" s="1" t="n">
        <v>62063</v>
      </c>
      <c r="B62064">
        <f>TEXT(62063, "[$-0E0000]yyyy-mm-dd")</f>
        <v/>
      </c>
      <c r="C62064" t="inlineStr">
        <is>
          <t>2069-10-19</t>
        </is>
      </c>
    </row>
    <row r="62065">
      <c r="A62065" s="1" t="n">
        <v>62064</v>
      </c>
      <c r="B62065">
        <f>TEXT(62064, "[$-0E0000]yyyy-mm-dd")</f>
        <v/>
      </c>
      <c r="C62065" t="inlineStr">
        <is>
          <t>2069-10-20</t>
        </is>
      </c>
    </row>
    <row r="62066">
      <c r="A62066" s="1" t="n">
        <v>62065</v>
      </c>
      <c r="B62066">
        <f>TEXT(62065, "[$-0E0000]yyyy-mm-dd")</f>
        <v/>
      </c>
      <c r="C62066" t="inlineStr">
        <is>
          <t>2069-10-21</t>
        </is>
      </c>
    </row>
    <row r="62067">
      <c r="A62067" s="1" t="n">
        <v>62066</v>
      </c>
      <c r="B62067">
        <f>TEXT(62066, "[$-0E0000]yyyy-mm-dd")</f>
        <v/>
      </c>
      <c r="C62067" t="inlineStr">
        <is>
          <t>2069-10-22</t>
        </is>
      </c>
    </row>
    <row r="62068">
      <c r="A62068" s="1" t="n">
        <v>62067</v>
      </c>
      <c r="B62068">
        <f>TEXT(62067, "[$-0E0000]yyyy-mm-dd")</f>
        <v/>
      </c>
      <c r="C62068" t="inlineStr">
        <is>
          <t>2069-10-23</t>
        </is>
      </c>
    </row>
    <row r="62069">
      <c r="A62069" s="1" t="n">
        <v>62068</v>
      </c>
      <c r="B62069">
        <f>TEXT(62068, "[$-0E0000]yyyy-mm-dd")</f>
        <v/>
      </c>
      <c r="C62069" t="inlineStr">
        <is>
          <t>2069-10-24</t>
        </is>
      </c>
    </row>
    <row r="62070">
      <c r="A62070" s="1" t="n">
        <v>62069</v>
      </c>
      <c r="B62070">
        <f>TEXT(62069, "[$-0E0000]yyyy-mm-dd")</f>
        <v/>
      </c>
      <c r="C62070" t="inlineStr">
        <is>
          <t>2069-10-25</t>
        </is>
      </c>
    </row>
    <row r="62071">
      <c r="A62071" s="1" t="n">
        <v>62070</v>
      </c>
      <c r="B62071">
        <f>TEXT(62070, "[$-0E0000]yyyy-mm-dd")</f>
        <v/>
      </c>
      <c r="C62071" t="inlineStr">
        <is>
          <t>2069-10-26</t>
        </is>
      </c>
    </row>
    <row r="62072">
      <c r="A62072" s="1" t="n">
        <v>62071</v>
      </c>
      <c r="B62072">
        <f>TEXT(62071, "[$-0E0000]yyyy-mm-dd")</f>
        <v/>
      </c>
      <c r="C62072" t="inlineStr">
        <is>
          <t>2069-10-27</t>
        </is>
      </c>
    </row>
    <row r="62073">
      <c r="A62073" s="1" t="n">
        <v>62072</v>
      </c>
      <c r="B62073">
        <f>TEXT(62072, "[$-0E0000]yyyy-mm-dd")</f>
        <v/>
      </c>
      <c r="C62073" t="inlineStr">
        <is>
          <t>2069-10-28</t>
        </is>
      </c>
    </row>
    <row r="62074">
      <c r="A62074" s="1" t="n">
        <v>62073</v>
      </c>
      <c r="B62074">
        <f>TEXT(62073, "[$-0E0000]yyyy-mm-dd")</f>
        <v/>
      </c>
      <c r="C62074" t="inlineStr">
        <is>
          <t>2069-10-29</t>
        </is>
      </c>
    </row>
    <row r="62075">
      <c r="A62075" s="1" t="n">
        <v>62074</v>
      </c>
      <c r="B62075">
        <f>TEXT(62074, "[$-0E0000]yyyy-mm-dd")</f>
        <v/>
      </c>
      <c r="C62075" t="inlineStr">
        <is>
          <t>2069-10-30</t>
        </is>
      </c>
    </row>
    <row r="62076">
      <c r="A62076" s="1" t="n">
        <v>62075</v>
      </c>
      <c r="B62076">
        <f>TEXT(62075, "[$-0E0000]yyyy-mm-dd")</f>
        <v/>
      </c>
      <c r="C62076" t="inlineStr">
        <is>
          <t>2069-11-01</t>
        </is>
      </c>
    </row>
    <row r="62077">
      <c r="A62077" s="1" t="n">
        <v>62076</v>
      </c>
      <c r="B62077">
        <f>TEXT(62076, "[$-0E0000]yyyy-mm-dd")</f>
        <v/>
      </c>
      <c r="C62077" t="inlineStr">
        <is>
          <t>2069-11-02</t>
        </is>
      </c>
    </row>
    <row r="62078">
      <c r="A62078" s="1" t="n">
        <v>62077</v>
      </c>
      <c r="B62078">
        <f>TEXT(62077, "[$-0E0000]yyyy-mm-dd")</f>
        <v/>
      </c>
      <c r="C62078" t="inlineStr">
        <is>
          <t>2069-11-03</t>
        </is>
      </c>
    </row>
    <row r="62079">
      <c r="A62079" s="1" t="n">
        <v>62078</v>
      </c>
      <c r="B62079">
        <f>TEXT(62078, "[$-0E0000]yyyy-mm-dd")</f>
        <v/>
      </c>
      <c r="C62079" t="inlineStr">
        <is>
          <t>2069-11-04</t>
        </is>
      </c>
    </row>
    <row r="62080">
      <c r="A62080" s="1" t="n">
        <v>62079</v>
      </c>
      <c r="B62080">
        <f>TEXT(62079, "[$-0E0000]yyyy-mm-dd")</f>
        <v/>
      </c>
      <c r="C62080" t="inlineStr">
        <is>
          <t>2069-11-05</t>
        </is>
      </c>
    </row>
    <row r="62081">
      <c r="A62081" s="1" t="n">
        <v>62080</v>
      </c>
      <c r="B62081">
        <f>TEXT(62080, "[$-0E0000]yyyy-mm-dd")</f>
        <v/>
      </c>
      <c r="C62081" t="inlineStr">
        <is>
          <t>2069-11-06</t>
        </is>
      </c>
    </row>
    <row r="62082">
      <c r="A62082" s="1" t="n">
        <v>62081</v>
      </c>
      <c r="B62082">
        <f>TEXT(62081, "[$-0E0000]yyyy-mm-dd")</f>
        <v/>
      </c>
      <c r="C62082" t="inlineStr">
        <is>
          <t>2069-11-07</t>
        </is>
      </c>
    </row>
    <row r="62083">
      <c r="A62083" s="1" t="n">
        <v>62082</v>
      </c>
      <c r="B62083">
        <f>TEXT(62082, "[$-0E0000]yyyy-mm-dd")</f>
        <v/>
      </c>
      <c r="C62083" t="inlineStr">
        <is>
          <t>2069-11-08</t>
        </is>
      </c>
    </row>
    <row r="62084">
      <c r="A62084" s="1" t="n">
        <v>62083</v>
      </c>
      <c r="B62084">
        <f>TEXT(62083, "[$-0E0000]yyyy-mm-dd")</f>
        <v/>
      </c>
      <c r="C62084" t="inlineStr">
        <is>
          <t>2069-11-09</t>
        </is>
      </c>
    </row>
    <row r="62085">
      <c r="A62085" s="1" t="n">
        <v>62084</v>
      </c>
      <c r="B62085">
        <f>TEXT(62084, "[$-0E0000]yyyy-mm-dd")</f>
        <v/>
      </c>
      <c r="C62085" t="inlineStr">
        <is>
          <t>2069-11-10</t>
        </is>
      </c>
    </row>
    <row r="62086">
      <c r="A62086" s="1" t="n">
        <v>62085</v>
      </c>
      <c r="B62086">
        <f>TEXT(62085, "[$-0E0000]yyyy-mm-dd")</f>
        <v/>
      </c>
      <c r="C62086" t="inlineStr">
        <is>
          <t>2069-11-11</t>
        </is>
      </c>
    </row>
    <row r="62087">
      <c r="A62087" s="1" t="n">
        <v>62086</v>
      </c>
      <c r="B62087">
        <f>TEXT(62086, "[$-0E0000]yyyy-mm-dd")</f>
        <v/>
      </c>
      <c r="C62087" t="inlineStr">
        <is>
          <t>2069-11-12</t>
        </is>
      </c>
    </row>
    <row r="62088">
      <c r="A62088" s="1" t="n">
        <v>62087</v>
      </c>
      <c r="B62088">
        <f>TEXT(62087, "[$-0E0000]yyyy-mm-dd")</f>
        <v/>
      </c>
      <c r="C62088" t="inlineStr">
        <is>
          <t>2069-11-13</t>
        </is>
      </c>
    </row>
    <row r="62089">
      <c r="A62089" s="1" t="n">
        <v>62088</v>
      </c>
      <c r="B62089">
        <f>TEXT(62088, "[$-0E0000]yyyy-mm-dd")</f>
        <v/>
      </c>
      <c r="C62089" t="inlineStr">
        <is>
          <t>2069-11-14</t>
        </is>
      </c>
    </row>
    <row r="62090">
      <c r="A62090" s="1" t="n">
        <v>62089</v>
      </c>
      <c r="B62090">
        <f>TEXT(62089, "[$-0E0000]yyyy-mm-dd")</f>
        <v/>
      </c>
      <c r="C62090" t="inlineStr">
        <is>
          <t>2069-11-15</t>
        </is>
      </c>
    </row>
    <row r="62091">
      <c r="A62091" s="1" t="n">
        <v>62090</v>
      </c>
      <c r="B62091">
        <f>TEXT(62090, "[$-0E0000]yyyy-mm-dd")</f>
        <v/>
      </c>
      <c r="C62091" t="inlineStr">
        <is>
          <t>2069-11-16</t>
        </is>
      </c>
    </row>
    <row r="62092">
      <c r="A62092" s="1" t="n">
        <v>62091</v>
      </c>
      <c r="B62092">
        <f>TEXT(62091, "[$-0E0000]yyyy-mm-dd")</f>
        <v/>
      </c>
      <c r="C62092" t="inlineStr">
        <is>
          <t>2069-11-17</t>
        </is>
      </c>
    </row>
    <row r="62093">
      <c r="A62093" s="1" t="n">
        <v>62092</v>
      </c>
      <c r="B62093">
        <f>TEXT(62092, "[$-0E0000]yyyy-mm-dd")</f>
        <v/>
      </c>
      <c r="C62093" t="inlineStr">
        <is>
          <t>2069-11-18</t>
        </is>
      </c>
    </row>
    <row r="62094">
      <c r="A62094" s="1" t="n">
        <v>62093</v>
      </c>
      <c r="B62094">
        <f>TEXT(62093, "[$-0E0000]yyyy-mm-dd")</f>
        <v/>
      </c>
      <c r="C62094" t="inlineStr">
        <is>
          <t>2069-11-19</t>
        </is>
      </c>
    </row>
    <row r="62095">
      <c r="A62095" s="1" t="n">
        <v>62094</v>
      </c>
      <c r="B62095">
        <f>TEXT(62094, "[$-0E0000]yyyy-mm-dd")</f>
        <v/>
      </c>
      <c r="C62095" t="inlineStr">
        <is>
          <t>2069-11-20</t>
        </is>
      </c>
    </row>
    <row r="62096">
      <c r="A62096" s="1" t="n">
        <v>62095</v>
      </c>
      <c r="B62096">
        <f>TEXT(62095, "[$-0E0000]yyyy-mm-dd")</f>
        <v/>
      </c>
      <c r="C62096" t="inlineStr">
        <is>
          <t>2069-11-21</t>
        </is>
      </c>
    </row>
    <row r="62097">
      <c r="A62097" s="1" t="n">
        <v>62096</v>
      </c>
      <c r="B62097">
        <f>TEXT(62096, "[$-0E0000]yyyy-mm-dd")</f>
        <v/>
      </c>
      <c r="C62097" t="inlineStr">
        <is>
          <t>2069-11-22</t>
        </is>
      </c>
    </row>
    <row r="62098">
      <c r="A62098" s="1" t="n">
        <v>62097</v>
      </c>
      <c r="B62098">
        <f>TEXT(62097, "[$-0E0000]yyyy-mm-dd")</f>
        <v/>
      </c>
      <c r="C62098" t="inlineStr">
        <is>
          <t>2069-11-23</t>
        </is>
      </c>
    </row>
    <row r="62099">
      <c r="A62099" s="1" t="n">
        <v>62098</v>
      </c>
      <c r="B62099">
        <f>TEXT(62098, "[$-0E0000]yyyy-mm-dd")</f>
        <v/>
      </c>
      <c r="C62099" t="inlineStr">
        <is>
          <t>2069-11-24</t>
        </is>
      </c>
    </row>
    <row r="62100">
      <c r="A62100" s="1" t="n">
        <v>62099</v>
      </c>
      <c r="B62100">
        <f>TEXT(62099, "[$-0E0000]yyyy-mm-dd")</f>
        <v/>
      </c>
      <c r="C62100" t="inlineStr">
        <is>
          <t>2069-11-25</t>
        </is>
      </c>
    </row>
    <row r="62101">
      <c r="A62101" s="1" t="n">
        <v>62100</v>
      </c>
      <c r="B62101">
        <f>TEXT(62100, "[$-0E0000]yyyy-mm-dd")</f>
        <v/>
      </c>
      <c r="C62101" t="inlineStr">
        <is>
          <t>2069-11-26</t>
        </is>
      </c>
    </row>
    <row r="62102">
      <c r="A62102" s="1" t="n">
        <v>62101</v>
      </c>
      <c r="B62102">
        <f>TEXT(62101, "[$-0E0000]yyyy-mm-dd")</f>
        <v/>
      </c>
      <c r="C62102" t="inlineStr">
        <is>
          <t>2069-11-27</t>
        </is>
      </c>
    </row>
    <row r="62103">
      <c r="A62103" s="1" t="n">
        <v>62102</v>
      </c>
      <c r="B62103">
        <f>TEXT(62102, "[$-0E0000]yyyy-mm-dd")</f>
        <v/>
      </c>
      <c r="C62103" t="inlineStr">
        <is>
          <t>2069-11-28</t>
        </is>
      </c>
    </row>
    <row r="62104">
      <c r="A62104" s="1" t="n">
        <v>62103</v>
      </c>
      <c r="B62104">
        <f>TEXT(62103, "[$-0E0000]yyyy-mm-dd")</f>
        <v/>
      </c>
      <c r="C62104" t="inlineStr">
        <is>
          <t>2069-11-29</t>
        </is>
      </c>
    </row>
    <row r="62105">
      <c r="A62105" s="1" t="n">
        <v>62104</v>
      </c>
      <c r="B62105">
        <f>TEXT(62104, "[$-0E0000]yyyy-mm-dd")</f>
        <v/>
      </c>
      <c r="C62105" t="inlineStr">
        <is>
          <t>2069-12-01</t>
        </is>
      </c>
    </row>
    <row r="62106">
      <c r="A62106" s="1" t="n">
        <v>62105</v>
      </c>
      <c r="B62106">
        <f>TEXT(62105, "[$-0E0000]yyyy-mm-dd")</f>
        <v/>
      </c>
      <c r="C62106" t="inlineStr">
        <is>
          <t>2069-12-02</t>
        </is>
      </c>
    </row>
    <row r="62107">
      <c r="A62107" s="1" t="n">
        <v>62106</v>
      </c>
      <c r="B62107">
        <f>TEXT(62106, "[$-0E0000]yyyy-mm-dd")</f>
        <v/>
      </c>
      <c r="C62107" t="inlineStr">
        <is>
          <t>2069-12-03</t>
        </is>
      </c>
    </row>
    <row r="62108">
      <c r="A62108" s="1" t="n">
        <v>62107</v>
      </c>
      <c r="B62108">
        <f>TEXT(62107, "[$-0E0000]yyyy-mm-dd")</f>
        <v/>
      </c>
      <c r="C62108" t="inlineStr">
        <is>
          <t>2069-12-04</t>
        </is>
      </c>
    </row>
    <row r="62109">
      <c r="A62109" s="1" t="n">
        <v>62108</v>
      </c>
      <c r="B62109">
        <f>TEXT(62108, "[$-0E0000]yyyy-mm-dd")</f>
        <v/>
      </c>
      <c r="C62109" t="inlineStr">
        <is>
          <t>2069-12-05</t>
        </is>
      </c>
    </row>
    <row r="62110">
      <c r="A62110" s="1" t="n">
        <v>62109</v>
      </c>
      <c r="B62110">
        <f>TEXT(62109, "[$-0E0000]yyyy-mm-dd")</f>
        <v/>
      </c>
      <c r="C62110" t="inlineStr">
        <is>
          <t>2069-12-06</t>
        </is>
      </c>
    </row>
    <row r="62111">
      <c r="A62111" s="1" t="n">
        <v>62110</v>
      </c>
      <c r="B62111">
        <f>TEXT(62110, "[$-0E0000]yyyy-mm-dd")</f>
        <v/>
      </c>
      <c r="C62111" t="inlineStr">
        <is>
          <t>2069-12-07</t>
        </is>
      </c>
    </row>
    <row r="62112">
      <c r="A62112" s="1" t="n">
        <v>62111</v>
      </c>
      <c r="B62112">
        <f>TEXT(62111, "[$-0E0000]yyyy-mm-dd")</f>
        <v/>
      </c>
      <c r="C62112" t="inlineStr">
        <is>
          <t>2069-12-08</t>
        </is>
      </c>
    </row>
    <row r="62113">
      <c r="A62113" s="1" t="n">
        <v>62112</v>
      </c>
      <c r="B62113">
        <f>TEXT(62112, "[$-0E0000]yyyy-mm-dd")</f>
        <v/>
      </c>
      <c r="C62113" t="inlineStr">
        <is>
          <t>2069-12-09</t>
        </is>
      </c>
    </row>
    <row r="62114">
      <c r="A62114" s="1" t="n">
        <v>62113</v>
      </c>
      <c r="B62114">
        <f>TEXT(62113, "[$-0E0000]yyyy-mm-dd")</f>
        <v/>
      </c>
      <c r="C62114" t="inlineStr">
        <is>
          <t>2069-12-10</t>
        </is>
      </c>
    </row>
    <row r="62115">
      <c r="A62115" s="1" t="n">
        <v>62114</v>
      </c>
      <c r="B62115">
        <f>TEXT(62114, "[$-0E0000]yyyy-mm-dd")</f>
        <v/>
      </c>
      <c r="C62115" t="inlineStr">
        <is>
          <t>2069-12-11</t>
        </is>
      </c>
    </row>
    <row r="62116">
      <c r="A62116" s="1" t="n">
        <v>62115</v>
      </c>
      <c r="B62116">
        <f>TEXT(62115, "[$-0E0000]yyyy-mm-dd")</f>
        <v/>
      </c>
      <c r="C62116" t="inlineStr">
        <is>
          <t>2069-12-12</t>
        </is>
      </c>
    </row>
    <row r="62117">
      <c r="A62117" s="1" t="n">
        <v>62116</v>
      </c>
      <c r="B62117">
        <f>TEXT(62116, "[$-0E0000]yyyy-mm-dd")</f>
        <v/>
      </c>
      <c r="C62117" t="inlineStr">
        <is>
          <t>2069-12-13</t>
        </is>
      </c>
    </row>
    <row r="62118">
      <c r="A62118" s="1" t="n">
        <v>62117</v>
      </c>
      <c r="B62118">
        <f>TEXT(62117, "[$-0E0000]yyyy-mm-dd")</f>
        <v/>
      </c>
      <c r="C62118" t="inlineStr">
        <is>
          <t>2069-12-14</t>
        </is>
      </c>
    </row>
    <row r="62119">
      <c r="A62119" s="1" t="n">
        <v>62118</v>
      </c>
      <c r="B62119">
        <f>TEXT(62118, "[$-0E0000]yyyy-mm-dd")</f>
        <v/>
      </c>
      <c r="C62119" t="inlineStr">
        <is>
          <t>2069-12-15</t>
        </is>
      </c>
    </row>
    <row r="62120">
      <c r="A62120" s="1" t="n">
        <v>62119</v>
      </c>
      <c r="B62120">
        <f>TEXT(62119, "[$-0E0000]yyyy-mm-dd")</f>
        <v/>
      </c>
      <c r="C62120" t="inlineStr">
        <is>
          <t>2069-12-16</t>
        </is>
      </c>
    </row>
    <row r="62121">
      <c r="A62121" s="1" t="n">
        <v>62120</v>
      </c>
      <c r="B62121">
        <f>TEXT(62120, "[$-0E0000]yyyy-mm-dd")</f>
        <v/>
      </c>
      <c r="C62121" t="inlineStr">
        <is>
          <t>2069-12-17</t>
        </is>
      </c>
    </row>
    <row r="62122">
      <c r="A62122" s="1" t="n">
        <v>62121</v>
      </c>
      <c r="B62122">
        <f>TEXT(62121, "[$-0E0000]yyyy-mm-dd")</f>
        <v/>
      </c>
      <c r="C62122" t="inlineStr">
        <is>
          <t>2069-12-18</t>
        </is>
      </c>
    </row>
    <row r="62123">
      <c r="A62123" s="1" t="n">
        <v>62122</v>
      </c>
      <c r="B62123">
        <f>TEXT(62122, "[$-0E0000]yyyy-mm-dd")</f>
        <v/>
      </c>
      <c r="C62123" t="inlineStr">
        <is>
          <t>2069-12-19</t>
        </is>
      </c>
    </row>
    <row r="62124">
      <c r="A62124" s="1" t="n">
        <v>62123</v>
      </c>
      <c r="B62124">
        <f>TEXT(62123, "[$-0E0000]yyyy-mm-dd")</f>
        <v/>
      </c>
      <c r="C62124" t="inlineStr">
        <is>
          <t>2069-12-20</t>
        </is>
      </c>
    </row>
    <row r="62125">
      <c r="A62125" s="1" t="n">
        <v>62124</v>
      </c>
      <c r="B62125">
        <f>TEXT(62124, "[$-0E0000]yyyy-mm-dd")</f>
        <v/>
      </c>
      <c r="C62125" t="inlineStr">
        <is>
          <t>2069-12-21</t>
        </is>
      </c>
    </row>
    <row r="62126">
      <c r="A62126" s="1" t="n">
        <v>62125</v>
      </c>
      <c r="B62126">
        <f>TEXT(62125, "[$-0E0000]yyyy-mm-dd")</f>
        <v/>
      </c>
      <c r="C62126" t="inlineStr">
        <is>
          <t>2069-12-22</t>
        </is>
      </c>
    </row>
    <row r="62127">
      <c r="A62127" s="1" t="n">
        <v>62126</v>
      </c>
      <c r="B62127">
        <f>TEXT(62126, "[$-0E0000]yyyy-mm-dd")</f>
        <v/>
      </c>
      <c r="C62127" t="inlineStr">
        <is>
          <t>2069-12-23</t>
        </is>
      </c>
    </row>
    <row r="62128">
      <c r="A62128" s="1" t="n">
        <v>62127</v>
      </c>
      <c r="B62128">
        <f>TEXT(62127, "[$-0E0000]yyyy-mm-dd")</f>
        <v/>
      </c>
      <c r="C62128" t="inlineStr">
        <is>
          <t>2069-12-24</t>
        </is>
      </c>
    </row>
    <row r="62129">
      <c r="A62129" s="1" t="n">
        <v>62128</v>
      </c>
      <c r="B62129">
        <f>TEXT(62128, "[$-0E0000]yyyy-mm-dd")</f>
        <v/>
      </c>
      <c r="C62129" t="inlineStr">
        <is>
          <t>2069-12-25</t>
        </is>
      </c>
    </row>
    <row r="62130">
      <c r="A62130" s="1" t="n">
        <v>62129</v>
      </c>
      <c r="B62130">
        <f>TEXT(62129, "[$-0E0000]yyyy-mm-dd")</f>
        <v/>
      </c>
      <c r="C62130" t="inlineStr">
        <is>
          <t>2069-12-26</t>
        </is>
      </c>
    </row>
    <row r="62131">
      <c r="A62131" s="1" t="n">
        <v>62130</v>
      </c>
      <c r="B62131">
        <f>TEXT(62130, "[$-0E0000]yyyy-mm-dd")</f>
        <v/>
      </c>
      <c r="C62131" t="inlineStr">
        <is>
          <t>2069-12-27</t>
        </is>
      </c>
    </row>
    <row r="62132">
      <c r="A62132" s="1" t="n">
        <v>62131</v>
      </c>
      <c r="B62132">
        <f>TEXT(62131, "[$-0E0000]yyyy-mm-dd")</f>
        <v/>
      </c>
      <c r="C62132" t="inlineStr">
        <is>
          <t>2069-12-28</t>
        </is>
      </c>
    </row>
    <row r="62133">
      <c r="A62133" s="1" t="n">
        <v>62132</v>
      </c>
      <c r="B62133">
        <f>TEXT(62132, "[$-0E0000]yyyy-mm-dd")</f>
        <v/>
      </c>
      <c r="C62133" t="inlineStr">
        <is>
          <t>2069-12-29</t>
        </is>
      </c>
    </row>
    <row r="62134">
      <c r="A62134" s="1" t="n">
        <v>62133</v>
      </c>
      <c r="B62134">
        <f>TEXT(62133, "[$-0E0000]yyyy-mm-dd")</f>
        <v/>
      </c>
      <c r="C62134" t="inlineStr">
        <is>
          <t>2069-12-30</t>
        </is>
      </c>
    </row>
    <row r="62135">
      <c r="A62135" s="1" t="n">
        <v>62134</v>
      </c>
      <c r="B62135">
        <f>TEXT(62134, "[$-0E0000]yyyy-mm-dd")</f>
        <v/>
      </c>
      <c r="C62135" t="inlineStr">
        <is>
          <t>2070-01-01</t>
        </is>
      </c>
    </row>
    <row r="62136">
      <c r="A62136" s="1" t="n">
        <v>62135</v>
      </c>
      <c r="B62136">
        <f>TEXT(62135, "[$-0E0000]yyyy-mm-dd")</f>
        <v/>
      </c>
      <c r="C62136" t="inlineStr">
        <is>
          <t>2070-01-02</t>
        </is>
      </c>
    </row>
    <row r="62137">
      <c r="A62137" s="1" t="n">
        <v>62136</v>
      </c>
      <c r="B62137">
        <f>TEXT(62136, "[$-0E0000]yyyy-mm-dd")</f>
        <v/>
      </c>
      <c r="C62137" t="inlineStr">
        <is>
          <t>2070-01-03</t>
        </is>
      </c>
    </row>
    <row r="62138">
      <c r="A62138" s="1" t="n">
        <v>62137</v>
      </c>
      <c r="B62138">
        <f>TEXT(62137, "[$-0E0000]yyyy-mm-dd")</f>
        <v/>
      </c>
      <c r="C62138" t="inlineStr">
        <is>
          <t>2070-01-04</t>
        </is>
      </c>
    </row>
    <row r="62139">
      <c r="A62139" s="1" t="n">
        <v>62138</v>
      </c>
      <c r="B62139">
        <f>TEXT(62138, "[$-0E0000]yyyy-mm-dd")</f>
        <v/>
      </c>
      <c r="C62139" t="inlineStr">
        <is>
          <t>2070-01-05</t>
        </is>
      </c>
    </row>
    <row r="62140">
      <c r="A62140" s="1" t="n">
        <v>62139</v>
      </c>
      <c r="B62140">
        <f>TEXT(62139, "[$-0E0000]yyyy-mm-dd")</f>
        <v/>
      </c>
      <c r="C62140" t="inlineStr">
        <is>
          <t>2070-01-06</t>
        </is>
      </c>
    </row>
    <row r="62141">
      <c r="A62141" s="1" t="n">
        <v>62140</v>
      </c>
      <c r="B62141">
        <f>TEXT(62140, "[$-0E0000]yyyy-mm-dd")</f>
        <v/>
      </c>
      <c r="C62141" t="inlineStr">
        <is>
          <t>2070-01-07</t>
        </is>
      </c>
    </row>
    <row r="62142">
      <c r="A62142" s="1" t="n">
        <v>62141</v>
      </c>
      <c r="B62142">
        <f>TEXT(62141, "[$-0E0000]yyyy-mm-dd")</f>
        <v/>
      </c>
      <c r="C62142" t="inlineStr">
        <is>
          <t>2070-01-08</t>
        </is>
      </c>
    </row>
    <row r="62143">
      <c r="A62143" s="1" t="n">
        <v>62142</v>
      </c>
      <c r="B62143">
        <f>TEXT(62142, "[$-0E0000]yyyy-mm-dd")</f>
        <v/>
      </c>
      <c r="C62143" t="inlineStr">
        <is>
          <t>2070-01-09</t>
        </is>
      </c>
    </row>
    <row r="62144">
      <c r="A62144" s="1" t="n">
        <v>62143</v>
      </c>
      <c r="B62144">
        <f>TEXT(62143, "[$-0E0000]yyyy-mm-dd")</f>
        <v/>
      </c>
      <c r="C62144" t="inlineStr">
        <is>
          <t>2070-01-10</t>
        </is>
      </c>
    </row>
    <row r="62145">
      <c r="A62145" s="1" t="n">
        <v>62144</v>
      </c>
      <c r="B62145">
        <f>TEXT(62144, "[$-0E0000]yyyy-mm-dd")</f>
        <v/>
      </c>
      <c r="C62145" t="inlineStr">
        <is>
          <t>2070-01-11</t>
        </is>
      </c>
    </row>
    <row r="62146">
      <c r="A62146" s="1" t="n">
        <v>62145</v>
      </c>
      <c r="B62146">
        <f>TEXT(62145, "[$-0E0000]yyyy-mm-dd")</f>
        <v/>
      </c>
      <c r="C62146" t="inlineStr">
        <is>
          <t>2070-01-12</t>
        </is>
      </c>
    </row>
    <row r="62147">
      <c r="A62147" s="1" t="n">
        <v>62146</v>
      </c>
      <c r="B62147">
        <f>TEXT(62146, "[$-0E0000]yyyy-mm-dd")</f>
        <v/>
      </c>
      <c r="C62147" t="inlineStr">
        <is>
          <t>2070-01-13</t>
        </is>
      </c>
    </row>
    <row r="62148">
      <c r="A62148" s="1" t="n">
        <v>62147</v>
      </c>
      <c r="B62148">
        <f>TEXT(62147, "[$-0E0000]yyyy-mm-dd")</f>
        <v/>
      </c>
      <c r="C62148" t="inlineStr">
        <is>
          <t>2070-01-14</t>
        </is>
      </c>
    </row>
    <row r="62149">
      <c r="A62149" s="1" t="n">
        <v>62148</v>
      </c>
      <c r="B62149">
        <f>TEXT(62148, "[$-0E0000]yyyy-mm-dd")</f>
        <v/>
      </c>
      <c r="C62149" t="inlineStr">
        <is>
          <t>2070-01-15</t>
        </is>
      </c>
    </row>
    <row r="62150">
      <c r="A62150" s="1" t="n">
        <v>62149</v>
      </c>
      <c r="B62150">
        <f>TEXT(62149, "[$-0E0000]yyyy-mm-dd")</f>
        <v/>
      </c>
      <c r="C62150" t="inlineStr">
        <is>
          <t>2070-01-16</t>
        </is>
      </c>
    </row>
    <row r="62151">
      <c r="A62151" s="1" t="n">
        <v>62150</v>
      </c>
      <c r="B62151">
        <f>TEXT(62150, "[$-0E0000]yyyy-mm-dd")</f>
        <v/>
      </c>
      <c r="C62151" t="inlineStr">
        <is>
          <t>2070-01-17</t>
        </is>
      </c>
    </row>
    <row r="62152">
      <c r="A62152" s="1" t="n">
        <v>62151</v>
      </c>
      <c r="B62152">
        <f>TEXT(62151, "[$-0E0000]yyyy-mm-dd")</f>
        <v/>
      </c>
      <c r="C62152" t="inlineStr">
        <is>
          <t>2070-01-18</t>
        </is>
      </c>
    </row>
    <row r="62153">
      <c r="A62153" s="1" t="n">
        <v>62152</v>
      </c>
      <c r="B62153">
        <f>TEXT(62152, "[$-0E0000]yyyy-mm-dd")</f>
        <v/>
      </c>
      <c r="C62153" t="inlineStr">
        <is>
          <t>2070-01-19</t>
        </is>
      </c>
    </row>
    <row r="62154">
      <c r="A62154" s="1" t="n">
        <v>62153</v>
      </c>
      <c r="B62154">
        <f>TEXT(62153, "[$-0E0000]yyyy-mm-dd")</f>
        <v/>
      </c>
      <c r="C62154" t="inlineStr">
        <is>
          <t>2070-01-20</t>
        </is>
      </c>
    </row>
    <row r="62155">
      <c r="A62155" s="1" t="n">
        <v>62154</v>
      </c>
      <c r="B62155">
        <f>TEXT(62154, "[$-0E0000]yyyy-mm-dd")</f>
        <v/>
      </c>
      <c r="C62155" t="inlineStr">
        <is>
          <t>2070-01-21</t>
        </is>
      </c>
    </row>
    <row r="62156">
      <c r="A62156" s="1" t="n">
        <v>62155</v>
      </c>
      <c r="B62156">
        <f>TEXT(62155, "[$-0E0000]yyyy-mm-dd")</f>
        <v/>
      </c>
      <c r="C62156" t="inlineStr">
        <is>
          <t>2070-01-22</t>
        </is>
      </c>
    </row>
    <row r="62157">
      <c r="A62157" s="1" t="n">
        <v>62156</v>
      </c>
      <c r="B62157">
        <f>TEXT(62156, "[$-0E0000]yyyy-mm-dd")</f>
        <v/>
      </c>
      <c r="C62157" t="inlineStr">
        <is>
          <t>2070-01-23</t>
        </is>
      </c>
    </row>
    <row r="62158">
      <c r="A62158" s="1" t="n">
        <v>62157</v>
      </c>
      <c r="B62158">
        <f>TEXT(62157, "[$-0E0000]yyyy-mm-dd")</f>
        <v/>
      </c>
      <c r="C62158" t="inlineStr">
        <is>
          <t>2070-01-24</t>
        </is>
      </c>
    </row>
    <row r="62159">
      <c r="A62159" s="1" t="n">
        <v>62158</v>
      </c>
      <c r="B62159">
        <f>TEXT(62158, "[$-0E0000]yyyy-mm-dd")</f>
        <v/>
      </c>
      <c r="C62159" t="inlineStr">
        <is>
          <t>2070-01-25</t>
        </is>
      </c>
    </row>
    <row r="62160">
      <c r="A62160" s="1" t="n">
        <v>62159</v>
      </c>
      <c r="B62160">
        <f>TEXT(62159, "[$-0E0000]yyyy-mm-dd")</f>
        <v/>
      </c>
      <c r="C62160" t="inlineStr">
        <is>
          <t>2070-01-26</t>
        </is>
      </c>
    </row>
    <row r="62161">
      <c r="A62161" s="1" t="n">
        <v>62160</v>
      </c>
      <c r="B62161">
        <f>TEXT(62160, "[$-0E0000]yyyy-mm-dd")</f>
        <v/>
      </c>
      <c r="C62161" t="inlineStr">
        <is>
          <t>2070-01-27</t>
        </is>
      </c>
    </row>
    <row r="62162">
      <c r="A62162" s="1" t="n">
        <v>62161</v>
      </c>
      <c r="B62162">
        <f>TEXT(62161, "[$-0E0000]yyyy-mm-dd")</f>
        <v/>
      </c>
      <c r="C62162" t="inlineStr">
        <is>
          <t>2070-01-28</t>
        </is>
      </c>
    </row>
    <row r="62163">
      <c r="A62163" s="1" t="n">
        <v>62162</v>
      </c>
      <c r="B62163">
        <f>TEXT(62162, "[$-0E0000]yyyy-mm-dd")</f>
        <v/>
      </c>
      <c r="C62163" t="inlineStr">
        <is>
          <t>2070-01-29</t>
        </is>
      </c>
    </row>
    <row r="62164">
      <c r="A62164" s="1" t="n">
        <v>62163</v>
      </c>
      <c r="B62164">
        <f>TEXT(62163, "[$-0E0000]yyyy-mm-dd")</f>
        <v/>
      </c>
      <c r="C62164" t="inlineStr">
        <is>
          <t>2070-02-01</t>
        </is>
      </c>
    </row>
    <row r="62165">
      <c r="A62165" s="1" t="n">
        <v>62164</v>
      </c>
      <c r="B62165">
        <f>TEXT(62164, "[$-0E0000]yyyy-mm-dd")</f>
        <v/>
      </c>
      <c r="C62165" t="inlineStr">
        <is>
          <t>2070-02-02</t>
        </is>
      </c>
    </row>
    <row r="62166">
      <c r="A62166" s="1" t="n">
        <v>62165</v>
      </c>
      <c r="B62166">
        <f>TEXT(62165, "[$-0E0000]yyyy-mm-dd")</f>
        <v/>
      </c>
      <c r="C62166" t="inlineStr">
        <is>
          <t>2070-02-03</t>
        </is>
      </c>
    </row>
    <row r="62167">
      <c r="A62167" s="1" t="n">
        <v>62166</v>
      </c>
      <c r="B62167">
        <f>TEXT(62166, "[$-0E0000]yyyy-mm-dd")</f>
        <v/>
      </c>
      <c r="C62167" t="inlineStr">
        <is>
          <t>2070-02-04</t>
        </is>
      </c>
    </row>
    <row r="62168">
      <c r="A62168" s="1" t="n">
        <v>62167</v>
      </c>
      <c r="B62168">
        <f>TEXT(62167, "[$-0E0000]yyyy-mm-dd")</f>
        <v/>
      </c>
      <c r="C62168" t="inlineStr">
        <is>
          <t>2070-02-05</t>
        </is>
      </c>
    </row>
    <row r="62169">
      <c r="A62169" s="1" t="n">
        <v>62168</v>
      </c>
      <c r="B62169">
        <f>TEXT(62168, "[$-0E0000]yyyy-mm-dd")</f>
        <v/>
      </c>
      <c r="C62169" t="inlineStr">
        <is>
          <t>2070-02-06</t>
        </is>
      </c>
    </row>
    <row r="62170">
      <c r="A62170" s="1" t="n">
        <v>62169</v>
      </c>
      <c r="B62170">
        <f>TEXT(62169, "[$-0E0000]yyyy-mm-dd")</f>
        <v/>
      </c>
      <c r="C62170" t="inlineStr">
        <is>
          <t>2070-02-07</t>
        </is>
      </c>
    </row>
    <row r="62171">
      <c r="A62171" s="1" t="n">
        <v>62170</v>
      </c>
      <c r="B62171">
        <f>TEXT(62170, "[$-0E0000]yyyy-mm-dd")</f>
        <v/>
      </c>
      <c r="C62171" t="inlineStr">
        <is>
          <t>2070-02-08</t>
        </is>
      </c>
    </row>
    <row r="62172">
      <c r="A62172" s="1" t="n">
        <v>62171</v>
      </c>
      <c r="B62172">
        <f>TEXT(62171, "[$-0E0000]yyyy-mm-dd")</f>
        <v/>
      </c>
      <c r="C62172" t="inlineStr">
        <is>
          <t>2070-02-09</t>
        </is>
      </c>
    </row>
    <row r="62173">
      <c r="A62173" s="1" t="n">
        <v>62172</v>
      </c>
      <c r="B62173">
        <f>TEXT(62172, "[$-0E0000]yyyy-mm-dd")</f>
        <v/>
      </c>
      <c r="C62173" t="inlineStr">
        <is>
          <t>2070-02-10</t>
        </is>
      </c>
    </row>
    <row r="62174">
      <c r="A62174" s="1" t="n">
        <v>62173</v>
      </c>
      <c r="B62174">
        <f>TEXT(62173, "[$-0E0000]yyyy-mm-dd")</f>
        <v/>
      </c>
      <c r="C62174" t="inlineStr">
        <is>
          <t>2070-02-11</t>
        </is>
      </c>
    </row>
    <row r="62175">
      <c r="A62175" s="1" t="n">
        <v>62174</v>
      </c>
      <c r="B62175">
        <f>TEXT(62174, "[$-0E0000]yyyy-mm-dd")</f>
        <v/>
      </c>
      <c r="C62175" t="inlineStr">
        <is>
          <t>2070-02-12</t>
        </is>
      </c>
    </row>
    <row r="62176">
      <c r="A62176" s="1" t="n">
        <v>62175</v>
      </c>
      <c r="B62176">
        <f>TEXT(62175, "[$-0E0000]yyyy-mm-dd")</f>
        <v/>
      </c>
      <c r="C62176" t="inlineStr">
        <is>
          <t>2070-02-13</t>
        </is>
      </c>
    </row>
    <row r="62177">
      <c r="A62177" s="1" t="n">
        <v>62176</v>
      </c>
      <c r="B62177">
        <f>TEXT(62176, "[$-0E0000]yyyy-mm-dd")</f>
        <v/>
      </c>
      <c r="C62177" t="inlineStr">
        <is>
          <t>2070-02-14</t>
        </is>
      </c>
    </row>
    <row r="62178">
      <c r="A62178" s="1" t="n">
        <v>62177</v>
      </c>
      <c r="B62178">
        <f>TEXT(62177, "[$-0E0000]yyyy-mm-dd")</f>
        <v/>
      </c>
      <c r="C62178" t="inlineStr">
        <is>
          <t>2070-02-15</t>
        </is>
      </c>
    </row>
    <row r="62179">
      <c r="A62179" s="1" t="n">
        <v>62178</v>
      </c>
      <c r="B62179">
        <f>TEXT(62178, "[$-0E0000]yyyy-mm-dd")</f>
        <v/>
      </c>
      <c r="C62179" t="inlineStr">
        <is>
          <t>2070-02-16</t>
        </is>
      </c>
    </row>
    <row r="62180">
      <c r="A62180" s="1" t="n">
        <v>62179</v>
      </c>
      <c r="B62180">
        <f>TEXT(62179, "[$-0E0000]yyyy-mm-dd")</f>
        <v/>
      </c>
      <c r="C62180" t="inlineStr">
        <is>
          <t>2070-02-17</t>
        </is>
      </c>
    </row>
    <row r="62181">
      <c r="A62181" s="1" t="n">
        <v>62180</v>
      </c>
      <c r="B62181">
        <f>TEXT(62180, "[$-0E0000]yyyy-mm-dd")</f>
        <v/>
      </c>
      <c r="C62181" t="inlineStr">
        <is>
          <t>2070-02-18</t>
        </is>
      </c>
    </row>
    <row r="62182">
      <c r="A62182" s="1" t="n">
        <v>62181</v>
      </c>
      <c r="B62182">
        <f>TEXT(62181, "[$-0E0000]yyyy-mm-dd")</f>
        <v/>
      </c>
      <c r="C62182" t="inlineStr">
        <is>
          <t>2070-02-19</t>
        </is>
      </c>
    </row>
    <row r="62183">
      <c r="A62183" s="1" t="n">
        <v>62182</v>
      </c>
      <c r="B62183">
        <f>TEXT(62182, "[$-0E0000]yyyy-mm-dd")</f>
        <v/>
      </c>
      <c r="C62183" t="inlineStr">
        <is>
          <t>2070-02-20</t>
        </is>
      </c>
    </row>
    <row r="62184">
      <c r="A62184" s="1" t="n">
        <v>62183</v>
      </c>
      <c r="B62184">
        <f>TEXT(62183, "[$-0E0000]yyyy-mm-dd")</f>
        <v/>
      </c>
      <c r="C62184" t="inlineStr">
        <is>
          <t>2070-02-21</t>
        </is>
      </c>
    </row>
    <row r="62185">
      <c r="A62185" s="1" t="n">
        <v>62184</v>
      </c>
      <c r="B62185">
        <f>TEXT(62184, "[$-0E0000]yyyy-mm-dd")</f>
        <v/>
      </c>
      <c r="C62185" t="inlineStr">
        <is>
          <t>2070-02-22</t>
        </is>
      </c>
    </row>
    <row r="62186">
      <c r="A62186" s="1" t="n">
        <v>62185</v>
      </c>
      <c r="B62186">
        <f>TEXT(62185, "[$-0E0000]yyyy-mm-dd")</f>
        <v/>
      </c>
      <c r="C62186" t="inlineStr">
        <is>
          <t>2070-02-23</t>
        </is>
      </c>
    </row>
    <row r="62187">
      <c r="A62187" s="1" t="n">
        <v>62186</v>
      </c>
      <c r="B62187">
        <f>TEXT(62186, "[$-0E0000]yyyy-mm-dd")</f>
        <v/>
      </c>
      <c r="C62187" t="inlineStr">
        <is>
          <t>2070-02-24</t>
        </is>
      </c>
    </row>
    <row r="62188">
      <c r="A62188" s="1" t="n">
        <v>62187</v>
      </c>
      <c r="B62188">
        <f>TEXT(62187, "[$-0E0000]yyyy-mm-dd")</f>
        <v/>
      </c>
      <c r="C62188" t="inlineStr">
        <is>
          <t>2070-02-25</t>
        </is>
      </c>
    </row>
    <row r="62189">
      <c r="A62189" s="1" t="n">
        <v>62188</v>
      </c>
      <c r="B62189">
        <f>TEXT(62188, "[$-0E0000]yyyy-mm-dd")</f>
        <v/>
      </c>
      <c r="C62189" t="inlineStr">
        <is>
          <t>2070-02-26</t>
        </is>
      </c>
    </row>
    <row r="62190">
      <c r="A62190" s="1" t="n">
        <v>62189</v>
      </c>
      <c r="B62190">
        <f>TEXT(62189, "[$-0E0000]yyyy-mm-dd")</f>
        <v/>
      </c>
      <c r="C62190" t="inlineStr">
        <is>
          <t>2070-02-27</t>
        </is>
      </c>
    </row>
    <row r="62191">
      <c r="A62191" s="1" t="n">
        <v>62190</v>
      </c>
      <c r="B62191">
        <f>TEXT(62190, "[$-0E0000]yyyy-mm-dd")</f>
        <v/>
      </c>
      <c r="C62191" t="inlineStr">
        <is>
          <t>2070-02-28</t>
        </is>
      </c>
    </row>
    <row r="62192">
      <c r="A62192" s="1" t="n">
        <v>62191</v>
      </c>
      <c r="B62192">
        <f>TEXT(62191, "[$-0E0000]yyyy-mm-dd")</f>
        <v/>
      </c>
      <c r="C62192" t="inlineStr">
        <is>
          <t>2070-02-29</t>
        </is>
      </c>
    </row>
    <row r="62193">
      <c r="A62193" s="1" t="n">
        <v>62192</v>
      </c>
      <c r="B62193">
        <f>TEXT(62192, "[$-0E0000]yyyy-mm-dd")</f>
        <v/>
      </c>
      <c r="C62193" t="inlineStr">
        <is>
          <t>2070-02-30</t>
        </is>
      </c>
    </row>
    <row r="62194">
      <c r="A62194" s="1" t="n">
        <v>62193</v>
      </c>
      <c r="B62194">
        <f>TEXT(62193, "[$-0E0000]yyyy-mm-dd")</f>
        <v/>
      </c>
      <c r="C62194" t="inlineStr">
        <is>
          <t>2070-03-01</t>
        </is>
      </c>
    </row>
    <row r="62195">
      <c r="A62195" s="1" t="n">
        <v>62194</v>
      </c>
      <c r="B62195">
        <f>TEXT(62194, "[$-0E0000]yyyy-mm-dd")</f>
        <v/>
      </c>
      <c r="C62195" t="inlineStr">
        <is>
          <t>2070-03-02</t>
        </is>
      </c>
    </row>
    <row r="62196">
      <c r="A62196" s="1" t="n">
        <v>62195</v>
      </c>
      <c r="B62196">
        <f>TEXT(62195, "[$-0E0000]yyyy-mm-dd")</f>
        <v/>
      </c>
      <c r="C62196" t="inlineStr">
        <is>
          <t>2070-03-03</t>
        </is>
      </c>
    </row>
    <row r="62197">
      <c r="A62197" s="1" t="n">
        <v>62196</v>
      </c>
      <c r="B62197">
        <f>TEXT(62196, "[$-0E0000]yyyy-mm-dd")</f>
        <v/>
      </c>
      <c r="C62197" t="inlineStr">
        <is>
          <t>2070-03-04</t>
        </is>
      </c>
    </row>
    <row r="62198">
      <c r="A62198" s="1" t="n">
        <v>62197</v>
      </c>
      <c r="B62198">
        <f>TEXT(62197, "[$-0E0000]yyyy-mm-dd")</f>
        <v/>
      </c>
      <c r="C62198" t="inlineStr">
        <is>
          <t>2070-03-05</t>
        </is>
      </c>
    </row>
    <row r="62199">
      <c r="A62199" s="1" t="n">
        <v>62198</v>
      </c>
      <c r="B62199">
        <f>TEXT(62198, "[$-0E0000]yyyy-mm-dd")</f>
        <v/>
      </c>
      <c r="C62199" t="inlineStr">
        <is>
          <t>2070-03-06</t>
        </is>
      </c>
    </row>
    <row r="62200">
      <c r="A62200" s="1" t="n">
        <v>62199</v>
      </c>
      <c r="B62200">
        <f>TEXT(62199, "[$-0E0000]yyyy-mm-dd")</f>
        <v/>
      </c>
      <c r="C62200" t="inlineStr">
        <is>
          <t>2070-03-07</t>
        </is>
      </c>
    </row>
    <row r="62201">
      <c r="A62201" s="1" t="n">
        <v>62200</v>
      </c>
      <c r="B62201">
        <f>TEXT(62200, "[$-0E0000]yyyy-mm-dd")</f>
        <v/>
      </c>
      <c r="C62201" t="inlineStr">
        <is>
          <t>2070-03-08</t>
        </is>
      </c>
    </row>
    <row r="62202">
      <c r="A62202" s="1" t="n">
        <v>62201</v>
      </c>
      <c r="B62202">
        <f>TEXT(62201, "[$-0E0000]yyyy-mm-dd")</f>
        <v/>
      </c>
      <c r="C62202" t="inlineStr">
        <is>
          <t>2070-03-09</t>
        </is>
      </c>
    </row>
    <row r="62203">
      <c r="A62203" s="1" t="n">
        <v>62202</v>
      </c>
      <c r="B62203">
        <f>TEXT(62202, "[$-0E0000]yyyy-mm-dd")</f>
        <v/>
      </c>
      <c r="C62203" t="inlineStr">
        <is>
          <t>2070-03-10</t>
        </is>
      </c>
    </row>
    <row r="62204">
      <c r="A62204" s="1" t="n">
        <v>62203</v>
      </c>
      <c r="B62204">
        <f>TEXT(62203, "[$-0E0000]yyyy-mm-dd")</f>
        <v/>
      </c>
      <c r="C62204" t="inlineStr">
        <is>
          <t>2070-03-11</t>
        </is>
      </c>
    </row>
    <row r="62205">
      <c r="A62205" s="1" t="n">
        <v>62204</v>
      </c>
      <c r="B62205">
        <f>TEXT(62204, "[$-0E0000]yyyy-mm-dd")</f>
        <v/>
      </c>
      <c r="C62205" t="inlineStr">
        <is>
          <t>2070-03-12</t>
        </is>
      </c>
    </row>
    <row r="62206">
      <c r="A62206" s="1" t="n">
        <v>62205</v>
      </c>
      <c r="B62206">
        <f>TEXT(62205, "[$-0E0000]yyyy-mm-dd")</f>
        <v/>
      </c>
      <c r="C62206" t="inlineStr">
        <is>
          <t>2070-03-13</t>
        </is>
      </c>
    </row>
    <row r="62207">
      <c r="A62207" s="1" t="n">
        <v>62206</v>
      </c>
      <c r="B62207">
        <f>TEXT(62206, "[$-0E0000]yyyy-mm-dd")</f>
        <v/>
      </c>
      <c r="C62207" t="inlineStr">
        <is>
          <t>2070-03-14</t>
        </is>
      </c>
    </row>
    <row r="62208">
      <c r="A62208" s="1" t="n">
        <v>62207</v>
      </c>
      <c r="B62208">
        <f>TEXT(62207, "[$-0E0000]yyyy-mm-dd")</f>
        <v/>
      </c>
      <c r="C62208" t="inlineStr">
        <is>
          <t>2070-03-15</t>
        </is>
      </c>
    </row>
    <row r="62209">
      <c r="A62209" s="1" t="n">
        <v>62208</v>
      </c>
      <c r="B62209">
        <f>TEXT(62208, "[$-0E0000]yyyy-mm-dd")</f>
        <v/>
      </c>
      <c r="C62209" t="inlineStr">
        <is>
          <t>2070-03-16</t>
        </is>
      </c>
    </row>
    <row r="62210">
      <c r="A62210" s="1" t="n">
        <v>62209</v>
      </c>
      <c r="B62210">
        <f>TEXT(62209, "[$-0E0000]yyyy-mm-dd")</f>
        <v/>
      </c>
      <c r="C62210" t="inlineStr">
        <is>
          <t>2070-03-17</t>
        </is>
      </c>
    </row>
    <row r="62211">
      <c r="A62211" s="1" t="n">
        <v>62210</v>
      </c>
      <c r="B62211">
        <f>TEXT(62210, "[$-0E0000]yyyy-mm-dd")</f>
        <v/>
      </c>
      <c r="C62211" t="inlineStr">
        <is>
          <t>2070-03-18</t>
        </is>
      </c>
    </row>
    <row r="62212">
      <c r="A62212" s="1" t="n">
        <v>62211</v>
      </c>
      <c r="B62212">
        <f>TEXT(62211, "[$-0E0000]yyyy-mm-dd")</f>
        <v/>
      </c>
      <c r="C62212" t="inlineStr">
        <is>
          <t>2070-03-19</t>
        </is>
      </c>
    </row>
    <row r="62213">
      <c r="A62213" s="1" t="n">
        <v>62212</v>
      </c>
      <c r="B62213">
        <f>TEXT(62212, "[$-0E0000]yyyy-mm-dd")</f>
        <v/>
      </c>
      <c r="C62213" t="inlineStr">
        <is>
          <t>2070-03-20</t>
        </is>
      </c>
    </row>
    <row r="62214">
      <c r="A62214" s="1" t="n">
        <v>62213</v>
      </c>
      <c r="B62214">
        <f>TEXT(62213, "[$-0E0000]yyyy-mm-dd")</f>
        <v/>
      </c>
      <c r="C62214" t="inlineStr">
        <is>
          <t>2070-03-21</t>
        </is>
      </c>
    </row>
    <row r="62215">
      <c r="A62215" s="1" t="n">
        <v>62214</v>
      </c>
      <c r="B62215">
        <f>TEXT(62214, "[$-0E0000]yyyy-mm-dd")</f>
        <v/>
      </c>
      <c r="C62215" t="inlineStr">
        <is>
          <t>2070-03-22</t>
        </is>
      </c>
    </row>
    <row r="62216">
      <c r="A62216" s="1" t="n">
        <v>62215</v>
      </c>
      <c r="B62216">
        <f>TEXT(62215, "[$-0E0000]yyyy-mm-dd")</f>
        <v/>
      </c>
      <c r="C62216" t="inlineStr">
        <is>
          <t>2070-03-23</t>
        </is>
      </c>
    </row>
    <row r="62217">
      <c r="A62217" s="1" t="n">
        <v>62216</v>
      </c>
      <c r="B62217">
        <f>TEXT(62216, "[$-0E0000]yyyy-mm-dd")</f>
        <v/>
      </c>
      <c r="C62217" t="inlineStr">
        <is>
          <t>2070-03-24</t>
        </is>
      </c>
    </row>
    <row r="62218">
      <c r="A62218" s="1" t="n">
        <v>62217</v>
      </c>
      <c r="B62218">
        <f>TEXT(62217, "[$-0E0000]yyyy-mm-dd")</f>
        <v/>
      </c>
      <c r="C62218" t="inlineStr">
        <is>
          <t>2070-03-25</t>
        </is>
      </c>
    </row>
    <row r="62219">
      <c r="A62219" s="1" t="n">
        <v>62218</v>
      </c>
      <c r="B62219">
        <f>TEXT(62218, "[$-0E0000]yyyy-mm-dd")</f>
        <v/>
      </c>
      <c r="C62219" t="inlineStr">
        <is>
          <t>2070-03-26</t>
        </is>
      </c>
    </row>
    <row r="62220">
      <c r="A62220" s="1" t="n">
        <v>62219</v>
      </c>
      <c r="B62220">
        <f>TEXT(62219, "[$-0E0000]yyyy-mm-dd")</f>
        <v/>
      </c>
      <c r="C62220" t="inlineStr">
        <is>
          <t>2070-03-27</t>
        </is>
      </c>
    </row>
    <row r="62221">
      <c r="A62221" s="1" t="n">
        <v>62220</v>
      </c>
      <c r="B62221">
        <f>TEXT(62220, "[$-0E0000]yyyy-mm-dd")</f>
        <v/>
      </c>
      <c r="C62221" t="inlineStr">
        <is>
          <t>2070-03-28</t>
        </is>
      </c>
    </row>
    <row r="62222">
      <c r="A62222" s="1" t="n">
        <v>62221</v>
      </c>
      <c r="B62222">
        <f>TEXT(62221, "[$-0E0000]yyyy-mm-dd")</f>
        <v/>
      </c>
      <c r="C62222" t="inlineStr">
        <is>
          <t>2070-03-29</t>
        </is>
      </c>
    </row>
    <row r="62223">
      <c r="A62223" s="1" t="n">
        <v>62222</v>
      </c>
      <c r="B62223">
        <f>TEXT(62222, "[$-0E0000]yyyy-mm-dd")</f>
        <v/>
      </c>
      <c r="C62223" t="inlineStr">
        <is>
          <t>2070-04-01</t>
        </is>
      </c>
    </row>
    <row r="62224">
      <c r="A62224" s="1" t="n">
        <v>62223</v>
      </c>
      <c r="B62224">
        <f>TEXT(62223, "[$-0E0000]yyyy-mm-dd")</f>
        <v/>
      </c>
      <c r="C62224" t="inlineStr">
        <is>
          <t>2070-04-02</t>
        </is>
      </c>
    </row>
    <row r="62225">
      <c r="A62225" s="1" t="n">
        <v>62224</v>
      </c>
      <c r="B62225">
        <f>TEXT(62224, "[$-0E0000]yyyy-mm-dd")</f>
        <v/>
      </c>
      <c r="C62225" t="inlineStr">
        <is>
          <t>2070-04-03</t>
        </is>
      </c>
    </row>
    <row r="62226">
      <c r="A62226" s="1" t="n">
        <v>62225</v>
      </c>
      <c r="B62226">
        <f>TEXT(62225, "[$-0E0000]yyyy-mm-dd")</f>
        <v/>
      </c>
      <c r="C62226" t="inlineStr">
        <is>
          <t>2070-04-04</t>
        </is>
      </c>
    </row>
    <row r="62227">
      <c r="A62227" s="1" t="n">
        <v>62226</v>
      </c>
      <c r="B62227">
        <f>TEXT(62226, "[$-0E0000]yyyy-mm-dd")</f>
        <v/>
      </c>
      <c r="C62227" t="inlineStr">
        <is>
          <t>2070-04-05</t>
        </is>
      </c>
    </row>
    <row r="62228">
      <c r="A62228" s="1" t="n">
        <v>62227</v>
      </c>
      <c r="B62228">
        <f>TEXT(62227, "[$-0E0000]yyyy-mm-dd")</f>
        <v/>
      </c>
      <c r="C62228" t="inlineStr">
        <is>
          <t>2070-04-06</t>
        </is>
      </c>
    </row>
    <row r="62229">
      <c r="A62229" s="1" t="n">
        <v>62228</v>
      </c>
      <c r="B62229">
        <f>TEXT(62228, "[$-0E0000]yyyy-mm-dd")</f>
        <v/>
      </c>
      <c r="C62229" t="inlineStr">
        <is>
          <t>2070-04-07</t>
        </is>
      </c>
    </row>
    <row r="62230">
      <c r="A62230" s="1" t="n">
        <v>62229</v>
      </c>
      <c r="B62230">
        <f>TEXT(62229, "[$-0E0000]yyyy-mm-dd")</f>
        <v/>
      </c>
      <c r="C62230" t="inlineStr">
        <is>
          <t>2070-04-08</t>
        </is>
      </c>
    </row>
    <row r="62231">
      <c r="A62231" s="1" t="n">
        <v>62230</v>
      </c>
      <c r="B62231">
        <f>TEXT(62230, "[$-0E0000]yyyy-mm-dd")</f>
        <v/>
      </c>
      <c r="C62231" t="inlineStr">
        <is>
          <t>2070-04-09</t>
        </is>
      </c>
    </row>
    <row r="62232">
      <c r="A62232" s="1" t="n">
        <v>62231</v>
      </c>
      <c r="B62232">
        <f>TEXT(62231, "[$-0E0000]yyyy-mm-dd")</f>
        <v/>
      </c>
      <c r="C62232" t="inlineStr">
        <is>
          <t>2070-04-10</t>
        </is>
      </c>
    </row>
    <row r="62233">
      <c r="A62233" s="1" t="n">
        <v>62232</v>
      </c>
      <c r="B62233">
        <f>TEXT(62232, "[$-0E0000]yyyy-mm-dd")</f>
        <v/>
      </c>
      <c r="C62233" t="inlineStr">
        <is>
          <t>2070-04-11</t>
        </is>
      </c>
    </row>
    <row r="62234">
      <c r="A62234" s="1" t="n">
        <v>62233</v>
      </c>
      <c r="B62234">
        <f>TEXT(62233, "[$-0E0000]yyyy-mm-dd")</f>
        <v/>
      </c>
      <c r="C62234" t="inlineStr">
        <is>
          <t>2070-04-12</t>
        </is>
      </c>
    </row>
    <row r="62235">
      <c r="A62235" s="1" t="n">
        <v>62234</v>
      </c>
      <c r="B62235">
        <f>TEXT(62234, "[$-0E0000]yyyy-mm-dd")</f>
        <v/>
      </c>
      <c r="C62235" t="inlineStr">
        <is>
          <t>2070-04-13</t>
        </is>
      </c>
    </row>
    <row r="62236">
      <c r="A62236" s="1" t="n">
        <v>62235</v>
      </c>
      <c r="B62236">
        <f>TEXT(62235, "[$-0E0000]yyyy-mm-dd")</f>
        <v/>
      </c>
      <c r="C62236" t="inlineStr">
        <is>
          <t>2070-04-14</t>
        </is>
      </c>
    </row>
    <row r="62237">
      <c r="A62237" s="1" t="n">
        <v>62236</v>
      </c>
      <c r="B62237">
        <f>TEXT(62236, "[$-0E0000]yyyy-mm-dd")</f>
        <v/>
      </c>
      <c r="C62237" t="inlineStr">
        <is>
          <t>2070-04-15</t>
        </is>
      </c>
    </row>
    <row r="62238">
      <c r="A62238" s="1" t="n">
        <v>62237</v>
      </c>
      <c r="B62238">
        <f>TEXT(62237, "[$-0E0000]yyyy-mm-dd")</f>
        <v/>
      </c>
      <c r="C62238" t="inlineStr">
        <is>
          <t>2070-04-16</t>
        </is>
      </c>
    </row>
    <row r="62239">
      <c r="A62239" s="1" t="n">
        <v>62238</v>
      </c>
      <c r="B62239">
        <f>TEXT(62238, "[$-0E0000]yyyy-mm-dd")</f>
        <v/>
      </c>
      <c r="C62239" t="inlineStr">
        <is>
          <t>2070-04-17</t>
        </is>
      </c>
    </row>
    <row r="62240">
      <c r="A62240" s="1" t="n">
        <v>62239</v>
      </c>
      <c r="B62240">
        <f>TEXT(62239, "[$-0E0000]yyyy-mm-dd")</f>
        <v/>
      </c>
      <c r="C62240" t="inlineStr">
        <is>
          <t>2070-04-18</t>
        </is>
      </c>
    </row>
    <row r="62241">
      <c r="A62241" s="1" t="n">
        <v>62240</v>
      </c>
      <c r="B62241">
        <f>TEXT(62240, "[$-0E0000]yyyy-mm-dd")</f>
        <v/>
      </c>
      <c r="C62241" t="inlineStr">
        <is>
          <t>2070-04-19</t>
        </is>
      </c>
    </row>
    <row r="62242">
      <c r="A62242" s="1" t="n">
        <v>62241</v>
      </c>
      <c r="B62242">
        <f>TEXT(62241, "[$-0E0000]yyyy-mm-dd")</f>
        <v/>
      </c>
      <c r="C62242" t="inlineStr">
        <is>
          <t>2070-04-20</t>
        </is>
      </c>
    </row>
    <row r="62243">
      <c r="A62243" s="1" t="n">
        <v>62242</v>
      </c>
      <c r="B62243">
        <f>TEXT(62242, "[$-0E0000]yyyy-mm-dd")</f>
        <v/>
      </c>
      <c r="C62243" t="inlineStr">
        <is>
          <t>2070-04-21</t>
        </is>
      </c>
    </row>
    <row r="62244">
      <c r="A62244" s="1" t="n">
        <v>62243</v>
      </c>
      <c r="B62244">
        <f>TEXT(62243, "[$-0E0000]yyyy-mm-dd")</f>
        <v/>
      </c>
      <c r="C62244" t="inlineStr">
        <is>
          <t>2070-04-22</t>
        </is>
      </c>
    </row>
    <row r="62245">
      <c r="A62245" s="1" t="n">
        <v>62244</v>
      </c>
      <c r="B62245">
        <f>TEXT(62244, "[$-0E0000]yyyy-mm-dd")</f>
        <v/>
      </c>
      <c r="C62245" t="inlineStr">
        <is>
          <t>2070-04-23</t>
        </is>
      </c>
    </row>
    <row r="62246">
      <c r="A62246" s="1" t="n">
        <v>62245</v>
      </c>
      <c r="B62246">
        <f>TEXT(62245, "[$-0E0000]yyyy-mm-dd")</f>
        <v/>
      </c>
      <c r="C62246" t="inlineStr">
        <is>
          <t>2070-04-24</t>
        </is>
      </c>
    </row>
    <row r="62247">
      <c r="A62247" s="1" t="n">
        <v>62246</v>
      </c>
      <c r="B62247">
        <f>TEXT(62246, "[$-0E0000]yyyy-mm-dd")</f>
        <v/>
      </c>
      <c r="C62247" t="inlineStr">
        <is>
          <t>2070-04-25</t>
        </is>
      </c>
    </row>
    <row r="62248">
      <c r="A62248" s="1" t="n">
        <v>62247</v>
      </c>
      <c r="B62248">
        <f>TEXT(62247, "[$-0E0000]yyyy-mm-dd")</f>
        <v/>
      </c>
      <c r="C62248" t="inlineStr">
        <is>
          <t>2070-04-26</t>
        </is>
      </c>
    </row>
    <row r="62249">
      <c r="A62249" s="1" t="n">
        <v>62248</v>
      </c>
      <c r="B62249">
        <f>TEXT(62248, "[$-0E0000]yyyy-mm-dd")</f>
        <v/>
      </c>
      <c r="C62249" t="inlineStr">
        <is>
          <t>2070-04-27</t>
        </is>
      </c>
    </row>
    <row r="62250">
      <c r="A62250" s="1" t="n">
        <v>62249</v>
      </c>
      <c r="B62250">
        <f>TEXT(62249, "[$-0E0000]yyyy-mm-dd")</f>
        <v/>
      </c>
      <c r="C62250" t="inlineStr">
        <is>
          <t>2070-04-28</t>
        </is>
      </c>
    </row>
    <row r="62251">
      <c r="A62251" s="1" t="n">
        <v>62250</v>
      </c>
      <c r="B62251">
        <f>TEXT(62250, "[$-0E0000]yyyy-mm-dd")</f>
        <v/>
      </c>
      <c r="C62251" t="inlineStr">
        <is>
          <t>2070-04-29</t>
        </is>
      </c>
    </row>
    <row r="62252">
      <c r="A62252" s="1" t="n">
        <v>62251</v>
      </c>
      <c r="B62252">
        <f>TEXT(62251, "[$-0E0000]yyyy-mm-dd")</f>
        <v/>
      </c>
      <c r="C62252" t="inlineStr">
        <is>
          <t>2070-04-30</t>
        </is>
      </c>
    </row>
    <row r="62253">
      <c r="A62253" s="1" t="n">
        <v>62252</v>
      </c>
      <c r="B62253">
        <f>TEXT(62252, "[$-0E0000]yyyy-mm-dd")</f>
        <v/>
      </c>
      <c r="C62253" t="inlineStr">
        <is>
          <t>2070-05-01</t>
        </is>
      </c>
    </row>
    <row r="62254">
      <c r="A62254" s="1" t="n">
        <v>62253</v>
      </c>
      <c r="B62254">
        <f>TEXT(62253, "[$-0E0000]yyyy-mm-dd")</f>
        <v/>
      </c>
      <c r="C62254" t="inlineStr">
        <is>
          <t>2070-05-02</t>
        </is>
      </c>
    </row>
    <row r="62255">
      <c r="A62255" s="1" t="n">
        <v>62254</v>
      </c>
      <c r="B62255">
        <f>TEXT(62254, "[$-0E0000]yyyy-mm-dd")</f>
        <v/>
      </c>
      <c r="C62255" t="inlineStr">
        <is>
          <t>2070-05-03</t>
        </is>
      </c>
    </row>
    <row r="62256">
      <c r="A62256" s="1" t="n">
        <v>62255</v>
      </c>
      <c r="B62256">
        <f>TEXT(62255, "[$-0E0000]yyyy-mm-dd")</f>
        <v/>
      </c>
      <c r="C62256" t="inlineStr">
        <is>
          <t>2070-05-04</t>
        </is>
      </c>
    </row>
    <row r="62257">
      <c r="A62257" s="1" t="n">
        <v>62256</v>
      </c>
      <c r="B62257">
        <f>TEXT(62256, "[$-0E0000]yyyy-mm-dd")</f>
        <v/>
      </c>
      <c r="C62257" t="inlineStr">
        <is>
          <t>2070-05-05</t>
        </is>
      </c>
    </row>
    <row r="62258">
      <c r="A62258" s="1" t="n">
        <v>62257</v>
      </c>
      <c r="B62258">
        <f>TEXT(62257, "[$-0E0000]yyyy-mm-dd")</f>
        <v/>
      </c>
      <c r="C62258" t="inlineStr">
        <is>
          <t>2070-05-06</t>
        </is>
      </c>
    </row>
    <row r="62259">
      <c r="A62259" s="1" t="n">
        <v>62258</v>
      </c>
      <c r="B62259">
        <f>TEXT(62258, "[$-0E0000]yyyy-mm-dd")</f>
        <v/>
      </c>
      <c r="C62259" t="inlineStr">
        <is>
          <t>2070-05-07</t>
        </is>
      </c>
    </row>
    <row r="62260">
      <c r="A62260" s="1" t="n">
        <v>62259</v>
      </c>
      <c r="B62260">
        <f>TEXT(62259, "[$-0E0000]yyyy-mm-dd")</f>
        <v/>
      </c>
      <c r="C62260" t="inlineStr">
        <is>
          <t>2070-05-08</t>
        </is>
      </c>
    </row>
    <row r="62261">
      <c r="A62261" s="1" t="n">
        <v>62260</v>
      </c>
      <c r="B62261">
        <f>TEXT(62260, "[$-0E0000]yyyy-mm-dd")</f>
        <v/>
      </c>
      <c r="C62261" t="inlineStr">
        <is>
          <t>2070-05-09</t>
        </is>
      </c>
    </row>
    <row r="62262">
      <c r="A62262" s="1" t="n">
        <v>62261</v>
      </c>
      <c r="B62262">
        <f>TEXT(62261, "[$-0E0000]yyyy-mm-dd")</f>
        <v/>
      </c>
      <c r="C62262" t="inlineStr">
        <is>
          <t>2070-05-10</t>
        </is>
      </c>
    </row>
    <row r="62263">
      <c r="A62263" s="1" t="n">
        <v>62262</v>
      </c>
      <c r="B62263">
        <f>TEXT(62262, "[$-0E0000]yyyy-mm-dd")</f>
        <v/>
      </c>
      <c r="C62263" t="inlineStr">
        <is>
          <t>2070-05-11</t>
        </is>
      </c>
    </row>
    <row r="62264">
      <c r="A62264" s="1" t="n">
        <v>62263</v>
      </c>
      <c r="B62264">
        <f>TEXT(62263, "[$-0E0000]yyyy-mm-dd")</f>
        <v/>
      </c>
      <c r="C62264" t="inlineStr">
        <is>
          <t>2070-05-12</t>
        </is>
      </c>
    </row>
    <row r="62265">
      <c r="A62265" s="1" t="n">
        <v>62264</v>
      </c>
      <c r="B62265">
        <f>TEXT(62264, "[$-0E0000]yyyy-mm-dd")</f>
        <v/>
      </c>
      <c r="C62265" t="inlineStr">
        <is>
          <t>2070-05-13</t>
        </is>
      </c>
    </row>
    <row r="62266">
      <c r="A62266" s="1" t="n">
        <v>62265</v>
      </c>
      <c r="B62266">
        <f>TEXT(62265, "[$-0E0000]yyyy-mm-dd")</f>
        <v/>
      </c>
      <c r="C62266" t="inlineStr">
        <is>
          <t>2070-05-14</t>
        </is>
      </c>
    </row>
    <row r="62267">
      <c r="A62267" s="1" t="n">
        <v>62266</v>
      </c>
      <c r="B62267">
        <f>TEXT(62266, "[$-0E0000]yyyy-mm-dd")</f>
        <v/>
      </c>
      <c r="C62267" t="inlineStr">
        <is>
          <t>2070-05-15</t>
        </is>
      </c>
    </row>
    <row r="62268">
      <c r="A62268" s="1" t="n">
        <v>62267</v>
      </c>
      <c r="B62268">
        <f>TEXT(62267, "[$-0E0000]yyyy-mm-dd")</f>
        <v/>
      </c>
      <c r="C62268" t="inlineStr">
        <is>
          <t>2070-05-16</t>
        </is>
      </c>
    </row>
    <row r="62269">
      <c r="A62269" s="1" t="n">
        <v>62268</v>
      </c>
      <c r="B62269">
        <f>TEXT(62268, "[$-0E0000]yyyy-mm-dd")</f>
        <v/>
      </c>
      <c r="C62269" t="inlineStr">
        <is>
          <t>2070-05-17</t>
        </is>
      </c>
    </row>
    <row r="62270">
      <c r="A62270" s="1" t="n">
        <v>62269</v>
      </c>
      <c r="B62270">
        <f>TEXT(62269, "[$-0E0000]yyyy-mm-dd")</f>
        <v/>
      </c>
      <c r="C62270" t="inlineStr">
        <is>
          <t>2070-05-18</t>
        </is>
      </c>
    </row>
    <row r="62271">
      <c r="A62271" s="1" t="n">
        <v>62270</v>
      </c>
      <c r="B62271">
        <f>TEXT(62270, "[$-0E0000]yyyy-mm-dd")</f>
        <v/>
      </c>
      <c r="C62271" t="inlineStr">
        <is>
          <t>2070-05-19</t>
        </is>
      </c>
    </row>
    <row r="62272">
      <c r="A62272" s="1" t="n">
        <v>62271</v>
      </c>
      <c r="B62272">
        <f>TEXT(62271, "[$-0E0000]yyyy-mm-dd")</f>
        <v/>
      </c>
      <c r="C62272" t="inlineStr">
        <is>
          <t>2070-05-20</t>
        </is>
      </c>
    </row>
    <row r="62273">
      <c r="A62273" s="1" t="n">
        <v>62272</v>
      </c>
      <c r="B62273">
        <f>TEXT(62272, "[$-0E0000]yyyy-mm-dd")</f>
        <v/>
      </c>
      <c r="C62273" t="inlineStr">
        <is>
          <t>2070-05-21</t>
        </is>
      </c>
    </row>
    <row r="62274">
      <c r="A62274" s="1" t="n">
        <v>62273</v>
      </c>
      <c r="B62274">
        <f>TEXT(62273, "[$-0E0000]yyyy-mm-dd")</f>
        <v/>
      </c>
      <c r="C62274" t="inlineStr">
        <is>
          <t>2070-05-22</t>
        </is>
      </c>
    </row>
    <row r="62275">
      <c r="A62275" s="1" t="n">
        <v>62274</v>
      </c>
      <c r="B62275">
        <f>TEXT(62274, "[$-0E0000]yyyy-mm-dd")</f>
        <v/>
      </c>
      <c r="C62275" t="inlineStr">
        <is>
          <t>2070-05-23</t>
        </is>
      </c>
    </row>
    <row r="62276">
      <c r="A62276" s="1" t="n">
        <v>62275</v>
      </c>
      <c r="B62276">
        <f>TEXT(62275, "[$-0E0000]yyyy-mm-dd")</f>
        <v/>
      </c>
      <c r="C62276" t="inlineStr">
        <is>
          <t>2070-05-24</t>
        </is>
      </c>
    </row>
    <row r="62277">
      <c r="A62277" s="1" t="n">
        <v>62276</v>
      </c>
      <c r="B62277">
        <f>TEXT(62276, "[$-0E0000]yyyy-mm-dd")</f>
        <v/>
      </c>
      <c r="C62277" t="inlineStr">
        <is>
          <t>2070-05-25</t>
        </is>
      </c>
    </row>
    <row r="62278">
      <c r="A62278" s="1" t="n">
        <v>62277</v>
      </c>
      <c r="B62278">
        <f>TEXT(62277, "[$-0E0000]yyyy-mm-dd")</f>
        <v/>
      </c>
      <c r="C62278" t="inlineStr">
        <is>
          <t>2070-05-26</t>
        </is>
      </c>
    </row>
    <row r="62279">
      <c r="A62279" s="1" t="n">
        <v>62278</v>
      </c>
      <c r="B62279">
        <f>TEXT(62278, "[$-0E0000]yyyy-mm-dd")</f>
        <v/>
      </c>
      <c r="C62279" t="inlineStr">
        <is>
          <t>2070-05-27</t>
        </is>
      </c>
    </row>
    <row r="62280">
      <c r="A62280" s="1" t="n">
        <v>62279</v>
      </c>
      <c r="B62280">
        <f>TEXT(62279, "[$-0E0000]yyyy-mm-dd")</f>
        <v/>
      </c>
      <c r="C62280" t="inlineStr">
        <is>
          <t>2070-05-28</t>
        </is>
      </c>
    </row>
    <row r="62281">
      <c r="A62281" s="1" t="n">
        <v>62280</v>
      </c>
      <c r="B62281">
        <f>TEXT(62280, "[$-0E0000]yyyy-mm-dd")</f>
        <v/>
      </c>
      <c r="C62281" t="inlineStr">
        <is>
          <t>2070-05-29</t>
        </is>
      </c>
    </row>
    <row r="62282">
      <c r="A62282" s="1" t="n">
        <v>62281</v>
      </c>
      <c r="B62282">
        <f>TEXT(62281, "[$-0E0000]yyyy-mm-dd")</f>
        <v/>
      </c>
      <c r="C62282" t="inlineStr">
        <is>
          <t>2070-06-01</t>
        </is>
      </c>
    </row>
    <row r="62283">
      <c r="A62283" s="1" t="n">
        <v>62282</v>
      </c>
      <c r="B62283">
        <f>TEXT(62282, "[$-0E0000]yyyy-mm-dd")</f>
        <v/>
      </c>
      <c r="C62283" t="inlineStr">
        <is>
          <t>2070-06-02</t>
        </is>
      </c>
    </row>
    <row r="62284">
      <c r="A62284" s="1" t="n">
        <v>62283</v>
      </c>
      <c r="B62284">
        <f>TEXT(62283, "[$-0E0000]yyyy-mm-dd")</f>
        <v/>
      </c>
      <c r="C62284" t="inlineStr">
        <is>
          <t>2070-06-03</t>
        </is>
      </c>
    </row>
    <row r="62285">
      <c r="A62285" s="1" t="n">
        <v>62284</v>
      </c>
      <c r="B62285">
        <f>TEXT(62284, "[$-0E0000]yyyy-mm-dd")</f>
        <v/>
      </c>
      <c r="C62285" t="inlineStr">
        <is>
          <t>2070-06-04</t>
        </is>
      </c>
    </row>
    <row r="62286">
      <c r="A62286" s="1" t="n">
        <v>62285</v>
      </c>
      <c r="B62286">
        <f>TEXT(62285, "[$-0E0000]yyyy-mm-dd")</f>
        <v/>
      </c>
      <c r="C62286" t="inlineStr">
        <is>
          <t>2070-06-05</t>
        </is>
      </c>
    </row>
    <row r="62287">
      <c r="A62287" s="1" t="n">
        <v>62286</v>
      </c>
      <c r="B62287">
        <f>TEXT(62286, "[$-0E0000]yyyy-mm-dd")</f>
        <v/>
      </c>
      <c r="C62287" t="inlineStr">
        <is>
          <t>2070-06-06</t>
        </is>
      </c>
    </row>
    <row r="62288">
      <c r="A62288" s="1" t="n">
        <v>62287</v>
      </c>
      <c r="B62288">
        <f>TEXT(62287, "[$-0E0000]yyyy-mm-dd")</f>
        <v/>
      </c>
      <c r="C62288" t="inlineStr">
        <is>
          <t>2070-06-07</t>
        </is>
      </c>
    </row>
    <row r="62289">
      <c r="A62289" s="1" t="n">
        <v>62288</v>
      </c>
      <c r="B62289">
        <f>TEXT(62288, "[$-0E0000]yyyy-mm-dd")</f>
        <v/>
      </c>
      <c r="C62289" t="inlineStr">
        <is>
          <t>2070-06-08</t>
        </is>
      </c>
    </row>
    <row r="62290">
      <c r="A62290" s="1" t="n">
        <v>62289</v>
      </c>
      <c r="B62290">
        <f>TEXT(62289, "[$-0E0000]yyyy-mm-dd")</f>
        <v/>
      </c>
      <c r="C62290" t="inlineStr">
        <is>
          <t>2070-06-09</t>
        </is>
      </c>
    </row>
    <row r="62291">
      <c r="A62291" s="1" t="n">
        <v>62290</v>
      </c>
      <c r="B62291">
        <f>TEXT(62290, "[$-0E0000]yyyy-mm-dd")</f>
        <v/>
      </c>
      <c r="C62291" t="inlineStr">
        <is>
          <t>2070-06-10</t>
        </is>
      </c>
    </row>
    <row r="62292">
      <c r="A62292" s="1" t="n">
        <v>62291</v>
      </c>
      <c r="B62292">
        <f>TEXT(62291, "[$-0E0000]yyyy-mm-dd")</f>
        <v/>
      </c>
      <c r="C62292" t="inlineStr">
        <is>
          <t>2070-06-11</t>
        </is>
      </c>
    </row>
    <row r="62293">
      <c r="A62293" s="1" t="n">
        <v>62292</v>
      </c>
      <c r="B62293">
        <f>TEXT(62292, "[$-0E0000]yyyy-mm-dd")</f>
        <v/>
      </c>
      <c r="C62293" t="inlineStr">
        <is>
          <t>2070-06-12</t>
        </is>
      </c>
    </row>
    <row r="62294">
      <c r="A62294" s="1" t="n">
        <v>62293</v>
      </c>
      <c r="B62294">
        <f>TEXT(62293, "[$-0E0000]yyyy-mm-dd")</f>
        <v/>
      </c>
      <c r="C62294" t="inlineStr">
        <is>
          <t>2070-06-13</t>
        </is>
      </c>
    </row>
    <row r="62295">
      <c r="A62295" s="1" t="n">
        <v>62294</v>
      </c>
      <c r="B62295">
        <f>TEXT(62294, "[$-0E0000]yyyy-mm-dd")</f>
        <v/>
      </c>
      <c r="C62295" t="inlineStr">
        <is>
          <t>2070-06-14</t>
        </is>
      </c>
    </row>
    <row r="62296">
      <c r="A62296" s="1" t="n">
        <v>62295</v>
      </c>
      <c r="B62296">
        <f>TEXT(62295, "[$-0E0000]yyyy-mm-dd")</f>
        <v/>
      </c>
      <c r="C62296" t="inlineStr">
        <is>
          <t>2070-06-15</t>
        </is>
      </c>
    </row>
    <row r="62297">
      <c r="A62297" s="1" t="n">
        <v>62296</v>
      </c>
      <c r="B62297">
        <f>TEXT(62296, "[$-0E0000]yyyy-mm-dd")</f>
        <v/>
      </c>
      <c r="C62297" t="inlineStr">
        <is>
          <t>2070-06-16</t>
        </is>
      </c>
    </row>
    <row r="62298">
      <c r="A62298" s="1" t="n">
        <v>62297</v>
      </c>
      <c r="B62298">
        <f>TEXT(62297, "[$-0E0000]yyyy-mm-dd")</f>
        <v/>
      </c>
      <c r="C62298" t="inlineStr">
        <is>
          <t>2070-06-17</t>
        </is>
      </c>
    </row>
    <row r="62299">
      <c r="A62299" s="1" t="n">
        <v>62298</v>
      </c>
      <c r="B62299">
        <f>TEXT(62298, "[$-0E0000]yyyy-mm-dd")</f>
        <v/>
      </c>
      <c r="C62299" t="inlineStr">
        <is>
          <t>2070-06-18</t>
        </is>
      </c>
    </row>
    <row r="62300">
      <c r="A62300" s="1" t="n">
        <v>62299</v>
      </c>
      <c r="B62300">
        <f>TEXT(62299, "[$-0E0000]yyyy-mm-dd")</f>
        <v/>
      </c>
      <c r="C62300" t="inlineStr">
        <is>
          <t>2070-06-19</t>
        </is>
      </c>
    </row>
    <row r="62301">
      <c r="A62301" s="1" t="n">
        <v>62300</v>
      </c>
      <c r="B62301">
        <f>TEXT(62300, "[$-0E0000]yyyy-mm-dd")</f>
        <v/>
      </c>
      <c r="C62301" t="inlineStr">
        <is>
          <t>2070-06-20</t>
        </is>
      </c>
    </row>
    <row r="62302">
      <c r="A62302" s="1" t="n">
        <v>62301</v>
      </c>
      <c r="B62302">
        <f>TEXT(62301, "[$-0E0000]yyyy-mm-dd")</f>
        <v/>
      </c>
      <c r="C62302" t="inlineStr">
        <is>
          <t>2070-06-21</t>
        </is>
      </c>
    </row>
    <row r="62303">
      <c r="A62303" s="1" t="n">
        <v>62302</v>
      </c>
      <c r="B62303">
        <f>TEXT(62302, "[$-0E0000]yyyy-mm-dd")</f>
        <v/>
      </c>
      <c r="C62303" t="inlineStr">
        <is>
          <t>2070-06-22</t>
        </is>
      </c>
    </row>
    <row r="62304">
      <c r="A62304" s="1" t="n">
        <v>62303</v>
      </c>
      <c r="B62304">
        <f>TEXT(62303, "[$-0E0000]yyyy-mm-dd")</f>
        <v/>
      </c>
      <c r="C62304" t="inlineStr">
        <is>
          <t>2070-06-23</t>
        </is>
      </c>
    </row>
    <row r="62305">
      <c r="A62305" s="1" t="n">
        <v>62304</v>
      </c>
      <c r="B62305">
        <f>TEXT(62304, "[$-0E0000]yyyy-mm-dd")</f>
        <v/>
      </c>
      <c r="C62305" t="inlineStr">
        <is>
          <t>2070-06-24</t>
        </is>
      </c>
    </row>
    <row r="62306">
      <c r="A62306" s="1" t="n">
        <v>62305</v>
      </c>
      <c r="B62306">
        <f>TEXT(62305, "[$-0E0000]yyyy-mm-dd")</f>
        <v/>
      </c>
      <c r="C62306" t="inlineStr">
        <is>
          <t>2070-06-25</t>
        </is>
      </c>
    </row>
    <row r="62307">
      <c r="A62307" s="1" t="n">
        <v>62306</v>
      </c>
      <c r="B62307">
        <f>TEXT(62306, "[$-0E0000]yyyy-mm-dd")</f>
        <v/>
      </c>
      <c r="C62307" t="inlineStr">
        <is>
          <t>2070-06-26</t>
        </is>
      </c>
    </row>
    <row r="62308">
      <c r="A62308" s="1" t="n">
        <v>62307</v>
      </c>
      <c r="B62308">
        <f>TEXT(62307, "[$-0E0000]yyyy-mm-dd")</f>
        <v/>
      </c>
      <c r="C62308" t="inlineStr">
        <is>
          <t>2070-06-27</t>
        </is>
      </c>
    </row>
    <row r="62309">
      <c r="A62309" s="1" t="n">
        <v>62308</v>
      </c>
      <c r="B62309">
        <f>TEXT(62308, "[$-0E0000]yyyy-mm-dd")</f>
        <v/>
      </c>
      <c r="C62309" t="inlineStr">
        <is>
          <t>2070-06-28</t>
        </is>
      </c>
    </row>
    <row r="62310">
      <c r="A62310" s="1" t="n">
        <v>62309</v>
      </c>
      <c r="B62310">
        <f>TEXT(62309, "[$-0E0000]yyyy-mm-dd")</f>
        <v/>
      </c>
      <c r="C62310" t="inlineStr">
        <is>
          <t>2070-06-29</t>
        </is>
      </c>
    </row>
    <row r="62311">
      <c r="A62311" s="1" t="n">
        <v>62310</v>
      </c>
      <c r="B62311">
        <f>TEXT(62310, "[$-0E0000]yyyy-mm-dd")</f>
        <v/>
      </c>
      <c r="C62311" t="inlineStr">
        <is>
          <t>2070-07-01</t>
        </is>
      </c>
    </row>
    <row r="62312">
      <c r="A62312" s="1" t="n">
        <v>62311</v>
      </c>
      <c r="B62312">
        <f>TEXT(62311, "[$-0E0000]yyyy-mm-dd")</f>
        <v/>
      </c>
      <c r="C62312" t="inlineStr">
        <is>
          <t>2070-07-02</t>
        </is>
      </c>
    </row>
    <row r="62313">
      <c r="A62313" s="1" t="n">
        <v>62312</v>
      </c>
      <c r="B62313">
        <f>TEXT(62312, "[$-0E0000]yyyy-mm-dd")</f>
        <v/>
      </c>
      <c r="C62313" t="inlineStr">
        <is>
          <t>2070-07-03</t>
        </is>
      </c>
    </row>
    <row r="62314">
      <c r="A62314" s="1" t="n">
        <v>62313</v>
      </c>
      <c r="B62314">
        <f>TEXT(62313, "[$-0E0000]yyyy-mm-dd")</f>
        <v/>
      </c>
      <c r="C62314" t="inlineStr">
        <is>
          <t>2070-07-04</t>
        </is>
      </c>
    </row>
    <row r="62315">
      <c r="A62315" s="1" t="n">
        <v>62314</v>
      </c>
      <c r="B62315">
        <f>TEXT(62314, "[$-0E0000]yyyy-mm-dd")</f>
        <v/>
      </c>
      <c r="C62315" t="inlineStr">
        <is>
          <t>2070-07-05</t>
        </is>
      </c>
    </row>
    <row r="62316">
      <c r="A62316" s="1" t="n">
        <v>62315</v>
      </c>
      <c r="B62316">
        <f>TEXT(62315, "[$-0E0000]yyyy-mm-dd")</f>
        <v/>
      </c>
      <c r="C62316" t="inlineStr">
        <is>
          <t>2070-07-06</t>
        </is>
      </c>
    </row>
    <row r="62317">
      <c r="A62317" s="1" t="n">
        <v>62316</v>
      </c>
      <c r="B62317">
        <f>TEXT(62316, "[$-0E0000]yyyy-mm-dd")</f>
        <v/>
      </c>
      <c r="C62317" t="inlineStr">
        <is>
          <t>2070-07-07</t>
        </is>
      </c>
    </row>
    <row r="62318">
      <c r="A62318" s="1" t="n">
        <v>62317</v>
      </c>
      <c r="B62318">
        <f>TEXT(62317, "[$-0E0000]yyyy-mm-dd")</f>
        <v/>
      </c>
      <c r="C62318" t="inlineStr">
        <is>
          <t>2070-07-08</t>
        </is>
      </c>
    </row>
    <row r="62319">
      <c r="A62319" s="1" t="n">
        <v>62318</v>
      </c>
      <c r="B62319">
        <f>TEXT(62318, "[$-0E0000]yyyy-mm-dd")</f>
        <v/>
      </c>
      <c r="C62319" t="inlineStr">
        <is>
          <t>2070-07-09</t>
        </is>
      </c>
    </row>
    <row r="62320">
      <c r="A62320" s="1" t="n">
        <v>62319</v>
      </c>
      <c r="B62320">
        <f>TEXT(62319, "[$-0E0000]yyyy-mm-dd")</f>
        <v/>
      </c>
      <c r="C62320" t="inlineStr">
        <is>
          <t>2070-07-10</t>
        </is>
      </c>
    </row>
    <row r="62321">
      <c r="A62321" s="1" t="n">
        <v>62320</v>
      </c>
      <c r="B62321">
        <f>TEXT(62320, "[$-0E0000]yyyy-mm-dd")</f>
        <v/>
      </c>
      <c r="C62321" t="inlineStr">
        <is>
          <t>2070-07-11</t>
        </is>
      </c>
    </row>
    <row r="62322">
      <c r="A62322" s="1" t="n">
        <v>62321</v>
      </c>
      <c r="B62322">
        <f>TEXT(62321, "[$-0E0000]yyyy-mm-dd")</f>
        <v/>
      </c>
      <c r="C62322" t="inlineStr">
        <is>
          <t>2070-07-12</t>
        </is>
      </c>
    </row>
    <row r="62323">
      <c r="A62323" s="1" t="n">
        <v>62322</v>
      </c>
      <c r="B62323">
        <f>TEXT(62322, "[$-0E0000]yyyy-mm-dd")</f>
        <v/>
      </c>
      <c r="C62323" t="inlineStr">
        <is>
          <t>2070-07-13</t>
        </is>
      </c>
    </row>
    <row r="62324">
      <c r="A62324" s="1" t="n">
        <v>62323</v>
      </c>
      <c r="B62324">
        <f>TEXT(62323, "[$-0E0000]yyyy-mm-dd")</f>
        <v/>
      </c>
      <c r="C62324" t="inlineStr">
        <is>
          <t>2070-07-14</t>
        </is>
      </c>
    </row>
    <row r="62325">
      <c r="A62325" s="1" t="n">
        <v>62324</v>
      </c>
      <c r="B62325">
        <f>TEXT(62324, "[$-0E0000]yyyy-mm-dd")</f>
        <v/>
      </c>
      <c r="C62325" t="inlineStr">
        <is>
          <t>2070-07-15</t>
        </is>
      </c>
    </row>
    <row r="62326">
      <c r="A62326" s="1" t="n">
        <v>62325</v>
      </c>
      <c r="B62326">
        <f>TEXT(62325, "[$-0E0000]yyyy-mm-dd")</f>
        <v/>
      </c>
      <c r="C62326" t="inlineStr">
        <is>
          <t>2070-07-16</t>
        </is>
      </c>
    </row>
    <row r="62327">
      <c r="A62327" s="1" t="n">
        <v>62326</v>
      </c>
      <c r="B62327">
        <f>TEXT(62326, "[$-0E0000]yyyy-mm-dd")</f>
        <v/>
      </c>
      <c r="C62327" t="inlineStr">
        <is>
          <t>2070-07-17</t>
        </is>
      </c>
    </row>
    <row r="62328">
      <c r="A62328" s="1" t="n">
        <v>62327</v>
      </c>
      <c r="B62328">
        <f>TEXT(62327, "[$-0E0000]yyyy-mm-dd")</f>
        <v/>
      </c>
      <c r="C62328" t="inlineStr">
        <is>
          <t>2070-07-18</t>
        </is>
      </c>
    </row>
    <row r="62329">
      <c r="A62329" s="1" t="n">
        <v>62328</v>
      </c>
      <c r="B62329">
        <f>TEXT(62328, "[$-0E0000]yyyy-mm-dd")</f>
        <v/>
      </c>
      <c r="C62329" t="inlineStr">
        <is>
          <t>2070-07-19</t>
        </is>
      </c>
    </row>
    <row r="62330">
      <c r="A62330" s="1" t="n">
        <v>62329</v>
      </c>
      <c r="B62330">
        <f>TEXT(62329, "[$-0E0000]yyyy-mm-dd")</f>
        <v/>
      </c>
      <c r="C62330" t="inlineStr">
        <is>
          <t>2070-07-20</t>
        </is>
      </c>
    </row>
    <row r="62331">
      <c r="A62331" s="1" t="n">
        <v>62330</v>
      </c>
      <c r="B62331">
        <f>TEXT(62330, "[$-0E0000]yyyy-mm-dd")</f>
        <v/>
      </c>
      <c r="C62331" t="inlineStr">
        <is>
          <t>2070-07-21</t>
        </is>
      </c>
    </row>
    <row r="62332">
      <c r="A62332" s="1" t="n">
        <v>62331</v>
      </c>
      <c r="B62332">
        <f>TEXT(62331, "[$-0E0000]yyyy-mm-dd")</f>
        <v/>
      </c>
      <c r="C62332" t="inlineStr">
        <is>
          <t>2070-07-22</t>
        </is>
      </c>
    </row>
    <row r="62333">
      <c r="A62333" s="1" t="n">
        <v>62332</v>
      </c>
      <c r="B62333">
        <f>TEXT(62332, "[$-0E0000]yyyy-mm-dd")</f>
        <v/>
      </c>
      <c r="C62333" t="inlineStr">
        <is>
          <t>2070-07-23</t>
        </is>
      </c>
    </row>
    <row r="62334">
      <c r="A62334" s="1" t="n">
        <v>62333</v>
      </c>
      <c r="B62334">
        <f>TEXT(62333, "[$-0E0000]yyyy-mm-dd")</f>
        <v/>
      </c>
      <c r="C62334" t="inlineStr">
        <is>
          <t>2070-07-24</t>
        </is>
      </c>
    </row>
    <row r="62335">
      <c r="A62335" s="1" t="n">
        <v>62334</v>
      </c>
      <c r="B62335">
        <f>TEXT(62334, "[$-0E0000]yyyy-mm-dd")</f>
        <v/>
      </c>
      <c r="C62335" t="inlineStr">
        <is>
          <t>2070-07-25</t>
        </is>
      </c>
    </row>
    <row r="62336">
      <c r="A62336" s="1" t="n">
        <v>62335</v>
      </c>
      <c r="B62336">
        <f>TEXT(62335, "[$-0E0000]yyyy-mm-dd")</f>
        <v/>
      </c>
      <c r="C62336" t="inlineStr">
        <is>
          <t>2070-07-26</t>
        </is>
      </c>
    </row>
    <row r="62337">
      <c r="A62337" s="1" t="n">
        <v>62336</v>
      </c>
      <c r="B62337">
        <f>TEXT(62336, "[$-0E0000]yyyy-mm-dd")</f>
        <v/>
      </c>
      <c r="C62337" t="inlineStr">
        <is>
          <t>2070-07-27</t>
        </is>
      </c>
    </row>
    <row r="62338">
      <c r="A62338" s="1" t="n">
        <v>62337</v>
      </c>
      <c r="B62338">
        <f>TEXT(62337, "[$-0E0000]yyyy-mm-dd")</f>
        <v/>
      </c>
      <c r="C62338" t="inlineStr">
        <is>
          <t>2070-07-28</t>
        </is>
      </c>
    </row>
    <row r="62339">
      <c r="A62339" s="1" t="n">
        <v>62338</v>
      </c>
      <c r="B62339">
        <f>TEXT(62338, "[$-0E0000]yyyy-mm-dd")</f>
        <v/>
      </c>
      <c r="C62339" t="inlineStr">
        <is>
          <t>2070-07-29</t>
        </is>
      </c>
    </row>
    <row r="62340">
      <c r="A62340" s="1" t="n">
        <v>62339</v>
      </c>
      <c r="B62340">
        <f>TEXT(62339, "[$-0E0000]yyyy-mm-dd")</f>
        <v/>
      </c>
      <c r="C62340" t="inlineStr">
        <is>
          <t>2070-07-30</t>
        </is>
      </c>
    </row>
    <row r="62341">
      <c r="A62341" s="1" t="n">
        <v>62340</v>
      </c>
      <c r="B62341">
        <f>TEXT(62340, "[$-0E0000]yyyy-mm-dd")</f>
        <v/>
      </c>
      <c r="C62341" t="inlineStr">
        <is>
          <t>2070-08-01</t>
        </is>
      </c>
    </row>
    <row r="62342">
      <c r="A62342" s="1" t="n">
        <v>62341</v>
      </c>
      <c r="B62342">
        <f>TEXT(62341, "[$-0E0000]yyyy-mm-dd")</f>
        <v/>
      </c>
      <c r="C62342" t="inlineStr">
        <is>
          <t>2070-08-02</t>
        </is>
      </c>
    </row>
    <row r="62343">
      <c r="A62343" s="1" t="n">
        <v>62342</v>
      </c>
      <c r="B62343">
        <f>TEXT(62342, "[$-0E0000]yyyy-mm-dd")</f>
        <v/>
      </c>
      <c r="C62343" t="inlineStr">
        <is>
          <t>2070-08-03</t>
        </is>
      </c>
    </row>
    <row r="62344">
      <c r="A62344" s="1" t="n">
        <v>62343</v>
      </c>
      <c r="B62344">
        <f>TEXT(62343, "[$-0E0000]yyyy-mm-dd")</f>
        <v/>
      </c>
      <c r="C62344" t="inlineStr">
        <is>
          <t>2070-08-04</t>
        </is>
      </c>
    </row>
    <row r="62345">
      <c r="A62345" s="1" t="n">
        <v>62344</v>
      </c>
      <c r="B62345">
        <f>TEXT(62344, "[$-0E0000]yyyy-mm-dd")</f>
        <v/>
      </c>
      <c r="C62345" t="inlineStr">
        <is>
          <t>2070-08-05</t>
        </is>
      </c>
    </row>
    <row r="62346">
      <c r="A62346" s="1" t="n">
        <v>62345</v>
      </c>
      <c r="B62346">
        <f>TEXT(62345, "[$-0E0000]yyyy-mm-dd")</f>
        <v/>
      </c>
      <c r="C62346" t="inlineStr">
        <is>
          <t>2070-08-06</t>
        </is>
      </c>
    </row>
    <row r="62347">
      <c r="A62347" s="1" t="n">
        <v>62346</v>
      </c>
      <c r="B62347">
        <f>TEXT(62346, "[$-0E0000]yyyy-mm-dd")</f>
        <v/>
      </c>
      <c r="C62347" t="inlineStr">
        <is>
          <t>2070-08-07</t>
        </is>
      </c>
    </row>
    <row r="62348">
      <c r="A62348" s="1" t="n">
        <v>62347</v>
      </c>
      <c r="B62348">
        <f>TEXT(62347, "[$-0E0000]yyyy-mm-dd")</f>
        <v/>
      </c>
      <c r="C62348" t="inlineStr">
        <is>
          <t>2070-08-08</t>
        </is>
      </c>
    </row>
    <row r="62349">
      <c r="A62349" s="1" t="n">
        <v>62348</v>
      </c>
      <c r="B62349">
        <f>TEXT(62348, "[$-0E0000]yyyy-mm-dd")</f>
        <v/>
      </c>
      <c r="C62349" t="inlineStr">
        <is>
          <t>2070-08-09</t>
        </is>
      </c>
    </row>
    <row r="62350">
      <c r="A62350" s="1" t="n">
        <v>62349</v>
      </c>
      <c r="B62350">
        <f>TEXT(62349, "[$-0E0000]yyyy-mm-dd")</f>
        <v/>
      </c>
      <c r="C62350" t="inlineStr">
        <is>
          <t>2070-08-10</t>
        </is>
      </c>
    </row>
    <row r="62351">
      <c r="A62351" s="1" t="n">
        <v>62350</v>
      </c>
      <c r="B62351">
        <f>TEXT(62350, "[$-0E0000]yyyy-mm-dd")</f>
        <v/>
      </c>
      <c r="C62351" t="inlineStr">
        <is>
          <t>2070-08-11</t>
        </is>
      </c>
    </row>
    <row r="62352">
      <c r="A62352" s="1" t="n">
        <v>62351</v>
      </c>
      <c r="B62352">
        <f>TEXT(62351, "[$-0E0000]yyyy-mm-dd")</f>
        <v/>
      </c>
      <c r="C62352" t="inlineStr">
        <is>
          <t>2070-08-12</t>
        </is>
      </c>
    </row>
    <row r="62353">
      <c r="A62353" s="1" t="n">
        <v>62352</v>
      </c>
      <c r="B62353">
        <f>TEXT(62352, "[$-0E0000]yyyy-mm-dd")</f>
        <v/>
      </c>
      <c r="C62353" t="inlineStr">
        <is>
          <t>2070-08-13</t>
        </is>
      </c>
    </row>
    <row r="62354">
      <c r="A62354" s="1" t="n">
        <v>62353</v>
      </c>
      <c r="B62354">
        <f>TEXT(62353, "[$-0E0000]yyyy-mm-dd")</f>
        <v/>
      </c>
      <c r="C62354" t="inlineStr">
        <is>
          <t>2070-08-14</t>
        </is>
      </c>
    </row>
    <row r="62355">
      <c r="A62355" s="1" t="n">
        <v>62354</v>
      </c>
      <c r="B62355">
        <f>TEXT(62354, "[$-0E0000]yyyy-mm-dd")</f>
        <v/>
      </c>
      <c r="C62355" t="inlineStr">
        <is>
          <t>2070-08-15</t>
        </is>
      </c>
    </row>
    <row r="62356">
      <c r="A62356" s="1" t="n">
        <v>62355</v>
      </c>
      <c r="B62356">
        <f>TEXT(62355, "[$-0E0000]yyyy-mm-dd")</f>
        <v/>
      </c>
      <c r="C62356" t="inlineStr">
        <is>
          <t>2070-08-16</t>
        </is>
      </c>
    </row>
    <row r="62357">
      <c r="A62357" s="1" t="n">
        <v>62356</v>
      </c>
      <c r="B62357">
        <f>TEXT(62356, "[$-0E0000]yyyy-mm-dd")</f>
        <v/>
      </c>
      <c r="C62357" t="inlineStr">
        <is>
          <t>2070-08-17</t>
        </is>
      </c>
    </row>
    <row r="62358">
      <c r="A62358" s="1" t="n">
        <v>62357</v>
      </c>
      <c r="B62358">
        <f>TEXT(62357, "[$-0E0000]yyyy-mm-dd")</f>
        <v/>
      </c>
      <c r="C62358" t="inlineStr">
        <is>
          <t>2070-08-18</t>
        </is>
      </c>
    </row>
    <row r="62359">
      <c r="A62359" s="1" t="n">
        <v>62358</v>
      </c>
      <c r="B62359">
        <f>TEXT(62358, "[$-0E0000]yyyy-mm-dd")</f>
        <v/>
      </c>
      <c r="C62359" t="inlineStr">
        <is>
          <t>2070-08-19</t>
        </is>
      </c>
    </row>
    <row r="62360">
      <c r="A62360" s="1" t="n">
        <v>62359</v>
      </c>
      <c r="B62360">
        <f>TEXT(62359, "[$-0E0000]yyyy-mm-dd")</f>
        <v/>
      </c>
      <c r="C62360" t="inlineStr">
        <is>
          <t>2070-08-20</t>
        </is>
      </c>
    </row>
    <row r="62361">
      <c r="A62361" s="1" t="n">
        <v>62360</v>
      </c>
      <c r="B62361">
        <f>TEXT(62360, "[$-0E0000]yyyy-mm-dd")</f>
        <v/>
      </c>
      <c r="C62361" t="inlineStr">
        <is>
          <t>2070-08-21</t>
        </is>
      </c>
    </row>
    <row r="62362">
      <c r="A62362" s="1" t="n">
        <v>62361</v>
      </c>
      <c r="B62362">
        <f>TEXT(62361, "[$-0E0000]yyyy-mm-dd")</f>
        <v/>
      </c>
      <c r="C62362" t="inlineStr">
        <is>
          <t>2070-08-22</t>
        </is>
      </c>
    </row>
    <row r="62363">
      <c r="A62363" s="1" t="n">
        <v>62362</v>
      </c>
      <c r="B62363">
        <f>TEXT(62362, "[$-0E0000]yyyy-mm-dd")</f>
        <v/>
      </c>
      <c r="C62363" t="inlineStr">
        <is>
          <t>2070-08-23</t>
        </is>
      </c>
    </row>
    <row r="62364">
      <c r="A62364" s="1" t="n">
        <v>62363</v>
      </c>
      <c r="B62364">
        <f>TEXT(62363, "[$-0E0000]yyyy-mm-dd")</f>
        <v/>
      </c>
      <c r="C62364" t="inlineStr">
        <is>
          <t>2070-08-24</t>
        </is>
      </c>
    </row>
    <row r="62365">
      <c r="A62365" s="1" t="n">
        <v>62364</v>
      </c>
      <c r="B62365">
        <f>TEXT(62364, "[$-0E0000]yyyy-mm-dd")</f>
        <v/>
      </c>
      <c r="C62365" t="inlineStr">
        <is>
          <t>2070-08-25</t>
        </is>
      </c>
    </row>
    <row r="62366">
      <c r="A62366" s="1" t="n">
        <v>62365</v>
      </c>
      <c r="B62366">
        <f>TEXT(62365, "[$-0E0000]yyyy-mm-dd")</f>
        <v/>
      </c>
      <c r="C62366" t="inlineStr">
        <is>
          <t>2070-08-26</t>
        </is>
      </c>
    </row>
    <row r="62367">
      <c r="A62367" s="1" t="n">
        <v>62366</v>
      </c>
      <c r="B62367">
        <f>TEXT(62366, "[$-0E0000]yyyy-mm-dd")</f>
        <v/>
      </c>
      <c r="C62367" t="inlineStr">
        <is>
          <t>2070-08-27</t>
        </is>
      </c>
    </row>
    <row r="62368">
      <c r="A62368" s="1" t="n">
        <v>62367</v>
      </c>
      <c r="B62368">
        <f>TEXT(62367, "[$-0E0000]yyyy-mm-dd")</f>
        <v/>
      </c>
      <c r="C62368" t="inlineStr">
        <is>
          <t>2070-08-28</t>
        </is>
      </c>
    </row>
    <row r="62369">
      <c r="A62369" s="1" t="n">
        <v>62368</v>
      </c>
      <c r="B62369">
        <f>TEXT(62368, "[$-0E0000]yyyy-mm-dd")</f>
        <v/>
      </c>
      <c r="C62369" t="inlineStr">
        <is>
          <t>2070-08-29</t>
        </is>
      </c>
    </row>
    <row r="62370">
      <c r="A62370" s="1" t="n">
        <v>62369</v>
      </c>
      <c r="B62370">
        <f>TEXT(62369, "[$-0E0000]yyyy-mm-dd")</f>
        <v/>
      </c>
      <c r="C62370" t="inlineStr">
        <is>
          <t>2070-09-01</t>
        </is>
      </c>
    </row>
    <row r="62371">
      <c r="A62371" s="1" t="n">
        <v>62370</v>
      </c>
      <c r="B62371">
        <f>TEXT(62370, "[$-0E0000]yyyy-mm-dd")</f>
        <v/>
      </c>
      <c r="C62371" t="inlineStr">
        <is>
          <t>2070-09-02</t>
        </is>
      </c>
    </row>
    <row r="62372">
      <c r="A62372" s="1" t="n">
        <v>62371</v>
      </c>
      <c r="B62372">
        <f>TEXT(62371, "[$-0E0000]yyyy-mm-dd")</f>
        <v/>
      </c>
      <c r="C62372" t="inlineStr">
        <is>
          <t>2070-09-03</t>
        </is>
      </c>
    </row>
    <row r="62373">
      <c r="A62373" s="1" t="n">
        <v>62372</v>
      </c>
      <c r="B62373">
        <f>TEXT(62372, "[$-0E0000]yyyy-mm-dd")</f>
        <v/>
      </c>
      <c r="C62373" t="inlineStr">
        <is>
          <t>2070-09-04</t>
        </is>
      </c>
    </row>
    <row r="62374">
      <c r="A62374" s="1" t="n">
        <v>62373</v>
      </c>
      <c r="B62374">
        <f>TEXT(62373, "[$-0E0000]yyyy-mm-dd")</f>
        <v/>
      </c>
      <c r="C62374" t="inlineStr">
        <is>
          <t>2070-09-05</t>
        </is>
      </c>
    </row>
    <row r="62375">
      <c r="A62375" s="1" t="n">
        <v>62374</v>
      </c>
      <c r="B62375">
        <f>TEXT(62374, "[$-0E0000]yyyy-mm-dd")</f>
        <v/>
      </c>
      <c r="C62375" t="inlineStr">
        <is>
          <t>2070-09-06</t>
        </is>
      </c>
    </row>
    <row r="62376">
      <c r="A62376" s="1" t="n">
        <v>62375</v>
      </c>
      <c r="B62376">
        <f>TEXT(62375, "[$-0E0000]yyyy-mm-dd")</f>
        <v/>
      </c>
      <c r="C62376" t="inlineStr">
        <is>
          <t>2070-09-07</t>
        </is>
      </c>
    </row>
    <row r="62377">
      <c r="A62377" s="1" t="n">
        <v>62376</v>
      </c>
      <c r="B62377">
        <f>TEXT(62376, "[$-0E0000]yyyy-mm-dd")</f>
        <v/>
      </c>
      <c r="C62377" t="inlineStr">
        <is>
          <t>2070-09-08</t>
        </is>
      </c>
    </row>
    <row r="62378">
      <c r="A62378" s="1" t="n">
        <v>62377</v>
      </c>
      <c r="B62378">
        <f>TEXT(62377, "[$-0E0000]yyyy-mm-dd")</f>
        <v/>
      </c>
      <c r="C62378" t="inlineStr">
        <is>
          <t>2070-09-09</t>
        </is>
      </c>
    </row>
    <row r="62379">
      <c r="A62379" s="1" t="n">
        <v>62378</v>
      </c>
      <c r="B62379">
        <f>TEXT(62378, "[$-0E0000]yyyy-mm-dd")</f>
        <v/>
      </c>
      <c r="C62379" t="inlineStr">
        <is>
          <t>2070-09-10</t>
        </is>
      </c>
    </row>
    <row r="62380">
      <c r="A62380" s="1" t="n">
        <v>62379</v>
      </c>
      <c r="B62380">
        <f>TEXT(62379, "[$-0E0000]yyyy-mm-dd")</f>
        <v/>
      </c>
      <c r="C62380" t="inlineStr">
        <is>
          <t>2070-09-11</t>
        </is>
      </c>
    </row>
    <row r="62381">
      <c r="A62381" s="1" t="n">
        <v>62380</v>
      </c>
      <c r="B62381">
        <f>TEXT(62380, "[$-0E0000]yyyy-mm-dd")</f>
        <v/>
      </c>
      <c r="C62381" t="inlineStr">
        <is>
          <t>2070-09-12</t>
        </is>
      </c>
    </row>
    <row r="62382">
      <c r="A62382" s="1" t="n">
        <v>62381</v>
      </c>
      <c r="B62382">
        <f>TEXT(62381, "[$-0E0000]yyyy-mm-dd")</f>
        <v/>
      </c>
      <c r="C62382" t="inlineStr">
        <is>
          <t>2070-09-13</t>
        </is>
      </c>
    </row>
    <row r="62383">
      <c r="A62383" s="1" t="n">
        <v>62382</v>
      </c>
      <c r="B62383">
        <f>TEXT(62382, "[$-0E0000]yyyy-mm-dd")</f>
        <v/>
      </c>
      <c r="C62383" t="inlineStr">
        <is>
          <t>2070-09-14</t>
        </is>
      </c>
    </row>
    <row r="62384">
      <c r="A62384" s="1" t="n">
        <v>62383</v>
      </c>
      <c r="B62384">
        <f>TEXT(62383, "[$-0E0000]yyyy-mm-dd")</f>
        <v/>
      </c>
      <c r="C62384" t="inlineStr">
        <is>
          <t>2070-09-15</t>
        </is>
      </c>
    </row>
    <row r="62385">
      <c r="A62385" s="1" t="n">
        <v>62384</v>
      </c>
      <c r="B62385">
        <f>TEXT(62384, "[$-0E0000]yyyy-mm-dd")</f>
        <v/>
      </c>
      <c r="C62385" t="inlineStr">
        <is>
          <t>2070-09-16</t>
        </is>
      </c>
    </row>
    <row r="62386">
      <c r="A62386" s="1" t="n">
        <v>62385</v>
      </c>
      <c r="B62386">
        <f>TEXT(62385, "[$-0E0000]yyyy-mm-dd")</f>
        <v/>
      </c>
      <c r="C62386" t="inlineStr">
        <is>
          <t>2070-09-17</t>
        </is>
      </c>
    </row>
    <row r="62387">
      <c r="A62387" s="1" t="n">
        <v>62386</v>
      </c>
      <c r="B62387">
        <f>TEXT(62386, "[$-0E0000]yyyy-mm-dd")</f>
        <v/>
      </c>
      <c r="C62387" t="inlineStr">
        <is>
          <t>2070-09-18</t>
        </is>
      </c>
    </row>
    <row r="62388">
      <c r="A62388" s="1" t="n">
        <v>62387</v>
      </c>
      <c r="B62388">
        <f>TEXT(62387, "[$-0E0000]yyyy-mm-dd")</f>
        <v/>
      </c>
      <c r="C62388" t="inlineStr">
        <is>
          <t>2070-09-19</t>
        </is>
      </c>
    </row>
    <row r="62389">
      <c r="A62389" s="1" t="n">
        <v>62388</v>
      </c>
      <c r="B62389">
        <f>TEXT(62388, "[$-0E0000]yyyy-mm-dd")</f>
        <v/>
      </c>
      <c r="C62389" t="inlineStr">
        <is>
          <t>2070-09-20</t>
        </is>
      </c>
    </row>
    <row r="62390">
      <c r="A62390" s="1" t="n">
        <v>62389</v>
      </c>
      <c r="B62390">
        <f>TEXT(62389, "[$-0E0000]yyyy-mm-dd")</f>
        <v/>
      </c>
      <c r="C62390" t="inlineStr">
        <is>
          <t>2070-09-21</t>
        </is>
      </c>
    </row>
    <row r="62391">
      <c r="A62391" s="1" t="n">
        <v>62390</v>
      </c>
      <c r="B62391">
        <f>TEXT(62390, "[$-0E0000]yyyy-mm-dd")</f>
        <v/>
      </c>
      <c r="C62391" t="inlineStr">
        <is>
          <t>2070-09-22</t>
        </is>
      </c>
    </row>
    <row r="62392">
      <c r="A62392" s="1" t="n">
        <v>62391</v>
      </c>
      <c r="B62392">
        <f>TEXT(62391, "[$-0E0000]yyyy-mm-dd")</f>
        <v/>
      </c>
      <c r="C62392" t="inlineStr">
        <is>
          <t>2070-09-23</t>
        </is>
      </c>
    </row>
    <row r="62393">
      <c r="A62393" s="1" t="n">
        <v>62392</v>
      </c>
      <c r="B62393">
        <f>TEXT(62392, "[$-0E0000]yyyy-mm-dd")</f>
        <v/>
      </c>
      <c r="C62393" t="inlineStr">
        <is>
          <t>2070-09-24</t>
        </is>
      </c>
    </row>
    <row r="62394">
      <c r="A62394" s="1" t="n">
        <v>62393</v>
      </c>
      <c r="B62394">
        <f>TEXT(62393, "[$-0E0000]yyyy-mm-dd")</f>
        <v/>
      </c>
      <c r="C62394" t="inlineStr">
        <is>
          <t>2070-09-25</t>
        </is>
      </c>
    </row>
    <row r="62395">
      <c r="A62395" s="1" t="n">
        <v>62394</v>
      </c>
      <c r="B62395">
        <f>TEXT(62394, "[$-0E0000]yyyy-mm-dd")</f>
        <v/>
      </c>
      <c r="C62395" t="inlineStr">
        <is>
          <t>2070-09-26</t>
        </is>
      </c>
    </row>
    <row r="62396">
      <c r="A62396" s="1" t="n">
        <v>62395</v>
      </c>
      <c r="B62396">
        <f>TEXT(62395, "[$-0E0000]yyyy-mm-dd")</f>
        <v/>
      </c>
      <c r="C62396" t="inlineStr">
        <is>
          <t>2070-09-27</t>
        </is>
      </c>
    </row>
    <row r="62397">
      <c r="A62397" s="1" t="n">
        <v>62396</v>
      </c>
      <c r="B62397">
        <f>TEXT(62396, "[$-0E0000]yyyy-mm-dd")</f>
        <v/>
      </c>
      <c r="C62397" t="inlineStr">
        <is>
          <t>2070-09-28</t>
        </is>
      </c>
    </row>
    <row r="62398">
      <c r="A62398" s="1" t="n">
        <v>62397</v>
      </c>
      <c r="B62398">
        <f>TEXT(62397, "[$-0E0000]yyyy-mm-dd")</f>
        <v/>
      </c>
      <c r="C62398" t="inlineStr">
        <is>
          <t>2070-09-29</t>
        </is>
      </c>
    </row>
    <row r="62399">
      <c r="A62399" s="1" t="n">
        <v>62398</v>
      </c>
      <c r="B62399">
        <f>TEXT(62398, "[$-0E0000]yyyy-mm-dd")</f>
        <v/>
      </c>
      <c r="C62399" t="inlineStr">
        <is>
          <t>2070-09-30</t>
        </is>
      </c>
    </row>
    <row r="62400">
      <c r="A62400" s="1" t="n">
        <v>62399</v>
      </c>
      <c r="B62400">
        <f>TEXT(62399, "[$-0E0000]yyyy-mm-dd")</f>
        <v/>
      </c>
      <c r="C62400" t="inlineStr">
        <is>
          <t>2070-10-01</t>
        </is>
      </c>
    </row>
    <row r="62401">
      <c r="A62401" s="1" t="n">
        <v>62400</v>
      </c>
      <c r="B62401">
        <f>TEXT(62400, "[$-0E0000]yyyy-mm-dd")</f>
        <v/>
      </c>
      <c r="C62401" t="inlineStr">
        <is>
          <t>2070-10-02</t>
        </is>
      </c>
    </row>
    <row r="62402">
      <c r="A62402" s="1" t="n">
        <v>62401</v>
      </c>
      <c r="B62402">
        <f>TEXT(62401, "[$-0E0000]yyyy-mm-dd")</f>
        <v/>
      </c>
      <c r="C62402" t="inlineStr">
        <is>
          <t>2070-10-03</t>
        </is>
      </c>
    </row>
    <row r="62403">
      <c r="A62403" s="1" t="n">
        <v>62402</v>
      </c>
      <c r="B62403">
        <f>TEXT(62402, "[$-0E0000]yyyy-mm-dd")</f>
        <v/>
      </c>
      <c r="C62403" t="inlineStr">
        <is>
          <t>2070-10-04</t>
        </is>
      </c>
    </row>
    <row r="62404">
      <c r="A62404" s="1" t="n">
        <v>62403</v>
      </c>
      <c r="B62404">
        <f>TEXT(62403, "[$-0E0000]yyyy-mm-dd")</f>
        <v/>
      </c>
      <c r="C62404" t="inlineStr">
        <is>
          <t>2070-10-05</t>
        </is>
      </c>
    </row>
    <row r="62405">
      <c r="A62405" s="1" t="n">
        <v>62404</v>
      </c>
      <c r="B62405">
        <f>TEXT(62404, "[$-0E0000]yyyy-mm-dd")</f>
        <v/>
      </c>
      <c r="C62405" t="inlineStr">
        <is>
          <t>2070-10-06</t>
        </is>
      </c>
    </row>
    <row r="62406">
      <c r="A62406" s="1" t="n">
        <v>62405</v>
      </c>
      <c r="B62406">
        <f>TEXT(62405, "[$-0E0000]yyyy-mm-dd")</f>
        <v/>
      </c>
      <c r="C62406" t="inlineStr">
        <is>
          <t>2070-10-07</t>
        </is>
      </c>
    </row>
    <row r="62407">
      <c r="A62407" s="1" t="n">
        <v>62406</v>
      </c>
      <c r="B62407">
        <f>TEXT(62406, "[$-0E0000]yyyy-mm-dd")</f>
        <v/>
      </c>
      <c r="C62407" t="inlineStr">
        <is>
          <t>2070-10-08</t>
        </is>
      </c>
    </row>
    <row r="62408">
      <c r="A62408" s="1" t="n">
        <v>62407</v>
      </c>
      <c r="B62408">
        <f>TEXT(62407, "[$-0E0000]yyyy-mm-dd")</f>
        <v/>
      </c>
      <c r="C62408" t="inlineStr">
        <is>
          <t>2070-10-09</t>
        </is>
      </c>
    </row>
    <row r="62409">
      <c r="A62409" s="1" t="n">
        <v>62408</v>
      </c>
      <c r="B62409">
        <f>TEXT(62408, "[$-0E0000]yyyy-mm-dd")</f>
        <v/>
      </c>
      <c r="C62409" t="inlineStr">
        <is>
          <t>2070-10-10</t>
        </is>
      </c>
    </row>
    <row r="62410">
      <c r="A62410" s="1" t="n">
        <v>62409</v>
      </c>
      <c r="B62410">
        <f>TEXT(62409, "[$-0E0000]yyyy-mm-dd")</f>
        <v/>
      </c>
      <c r="C62410" t="inlineStr">
        <is>
          <t>2070-10-11</t>
        </is>
      </c>
    </row>
    <row r="62411">
      <c r="A62411" s="1" t="n">
        <v>62410</v>
      </c>
      <c r="B62411">
        <f>TEXT(62410, "[$-0E0000]yyyy-mm-dd")</f>
        <v/>
      </c>
      <c r="C62411" t="inlineStr">
        <is>
          <t>2070-10-12</t>
        </is>
      </c>
    </row>
    <row r="62412">
      <c r="A62412" s="1" t="n">
        <v>62411</v>
      </c>
      <c r="B62412">
        <f>TEXT(62411, "[$-0E0000]yyyy-mm-dd")</f>
        <v/>
      </c>
      <c r="C62412" t="inlineStr">
        <is>
          <t>2070-10-13</t>
        </is>
      </c>
    </row>
    <row r="62413">
      <c r="A62413" s="1" t="n">
        <v>62412</v>
      </c>
      <c r="B62413">
        <f>TEXT(62412, "[$-0E0000]yyyy-mm-dd")</f>
        <v/>
      </c>
      <c r="C62413" t="inlineStr">
        <is>
          <t>2070-10-14</t>
        </is>
      </c>
    </row>
    <row r="62414">
      <c r="A62414" s="1" t="n">
        <v>62413</v>
      </c>
      <c r="B62414">
        <f>TEXT(62413, "[$-0E0000]yyyy-mm-dd")</f>
        <v/>
      </c>
      <c r="C62414" t="inlineStr">
        <is>
          <t>2070-10-15</t>
        </is>
      </c>
    </row>
    <row r="62415">
      <c r="A62415" s="1" t="n">
        <v>62414</v>
      </c>
      <c r="B62415">
        <f>TEXT(62414, "[$-0E0000]yyyy-mm-dd")</f>
        <v/>
      </c>
      <c r="C62415" t="inlineStr">
        <is>
          <t>2070-10-16</t>
        </is>
      </c>
    </row>
    <row r="62416">
      <c r="A62416" s="1" t="n">
        <v>62415</v>
      </c>
      <c r="B62416">
        <f>TEXT(62415, "[$-0E0000]yyyy-mm-dd")</f>
        <v/>
      </c>
      <c r="C62416" t="inlineStr">
        <is>
          <t>2070-10-17</t>
        </is>
      </c>
    </row>
    <row r="62417">
      <c r="A62417" s="1" t="n">
        <v>62416</v>
      </c>
      <c r="B62417">
        <f>TEXT(62416, "[$-0E0000]yyyy-mm-dd")</f>
        <v/>
      </c>
      <c r="C62417" t="inlineStr">
        <is>
          <t>2070-10-18</t>
        </is>
      </c>
    </row>
    <row r="62418">
      <c r="A62418" s="1" t="n">
        <v>62417</v>
      </c>
      <c r="B62418">
        <f>TEXT(62417, "[$-0E0000]yyyy-mm-dd")</f>
        <v/>
      </c>
      <c r="C62418" t="inlineStr">
        <is>
          <t>2070-10-19</t>
        </is>
      </c>
    </row>
    <row r="62419">
      <c r="A62419" s="1" t="n">
        <v>62418</v>
      </c>
      <c r="B62419">
        <f>TEXT(62418, "[$-0E0000]yyyy-mm-dd")</f>
        <v/>
      </c>
      <c r="C62419" t="inlineStr">
        <is>
          <t>2070-10-20</t>
        </is>
      </c>
    </row>
    <row r="62420">
      <c r="A62420" s="1" t="n">
        <v>62419</v>
      </c>
      <c r="B62420">
        <f>TEXT(62419, "[$-0E0000]yyyy-mm-dd")</f>
        <v/>
      </c>
      <c r="C62420" t="inlineStr">
        <is>
          <t>2070-10-21</t>
        </is>
      </c>
    </row>
    <row r="62421">
      <c r="A62421" s="1" t="n">
        <v>62420</v>
      </c>
      <c r="B62421">
        <f>TEXT(62420, "[$-0E0000]yyyy-mm-dd")</f>
        <v/>
      </c>
      <c r="C62421" t="inlineStr">
        <is>
          <t>2070-10-22</t>
        </is>
      </c>
    </row>
    <row r="62422">
      <c r="A62422" s="1" t="n">
        <v>62421</v>
      </c>
      <c r="B62422">
        <f>TEXT(62421, "[$-0E0000]yyyy-mm-dd")</f>
        <v/>
      </c>
      <c r="C62422" t="inlineStr">
        <is>
          <t>2070-10-23</t>
        </is>
      </c>
    </row>
    <row r="62423">
      <c r="A62423" s="1" t="n">
        <v>62422</v>
      </c>
      <c r="B62423">
        <f>TEXT(62422, "[$-0E0000]yyyy-mm-dd")</f>
        <v/>
      </c>
      <c r="C62423" t="inlineStr">
        <is>
          <t>2070-10-24</t>
        </is>
      </c>
    </row>
    <row r="62424">
      <c r="A62424" s="1" t="n">
        <v>62423</v>
      </c>
      <c r="B62424">
        <f>TEXT(62423, "[$-0E0000]yyyy-mm-dd")</f>
        <v/>
      </c>
      <c r="C62424" t="inlineStr">
        <is>
          <t>2070-10-25</t>
        </is>
      </c>
    </row>
    <row r="62425">
      <c r="A62425" s="1" t="n">
        <v>62424</v>
      </c>
      <c r="B62425">
        <f>TEXT(62424, "[$-0E0000]yyyy-mm-dd")</f>
        <v/>
      </c>
      <c r="C62425" t="inlineStr">
        <is>
          <t>2070-10-26</t>
        </is>
      </c>
    </row>
    <row r="62426">
      <c r="A62426" s="1" t="n">
        <v>62425</v>
      </c>
      <c r="B62426">
        <f>TEXT(62425, "[$-0E0000]yyyy-mm-dd")</f>
        <v/>
      </c>
      <c r="C62426" t="inlineStr">
        <is>
          <t>2070-10-27</t>
        </is>
      </c>
    </row>
    <row r="62427">
      <c r="A62427" s="1" t="n">
        <v>62426</v>
      </c>
      <c r="B62427">
        <f>TEXT(62426, "[$-0E0000]yyyy-mm-dd")</f>
        <v/>
      </c>
      <c r="C62427" t="inlineStr">
        <is>
          <t>2070-10-28</t>
        </is>
      </c>
    </row>
    <row r="62428">
      <c r="A62428" s="1" t="n">
        <v>62427</v>
      </c>
      <c r="B62428">
        <f>TEXT(62427, "[$-0E0000]yyyy-mm-dd")</f>
        <v/>
      </c>
      <c r="C62428" t="inlineStr">
        <is>
          <t>2070-10-29</t>
        </is>
      </c>
    </row>
    <row r="62429">
      <c r="A62429" s="1" t="n">
        <v>62428</v>
      </c>
      <c r="B62429">
        <f>TEXT(62428, "[$-0E0000]yyyy-mm-dd")</f>
        <v/>
      </c>
      <c r="C62429" t="inlineStr">
        <is>
          <t>2070-10-30</t>
        </is>
      </c>
    </row>
    <row r="62430">
      <c r="A62430" s="1" t="n">
        <v>62429</v>
      </c>
      <c r="B62430">
        <f>TEXT(62429, "[$-0E0000]yyyy-mm-dd")</f>
        <v/>
      </c>
      <c r="C62430" t="inlineStr">
        <is>
          <t>2070-11-01</t>
        </is>
      </c>
    </row>
    <row r="62431">
      <c r="A62431" s="1" t="n">
        <v>62430</v>
      </c>
      <c r="B62431">
        <f>TEXT(62430, "[$-0E0000]yyyy-mm-dd")</f>
        <v/>
      </c>
      <c r="C62431" t="inlineStr">
        <is>
          <t>2070-11-02</t>
        </is>
      </c>
    </row>
    <row r="62432">
      <c r="A62432" s="1" t="n">
        <v>62431</v>
      </c>
      <c r="B62432">
        <f>TEXT(62431, "[$-0E0000]yyyy-mm-dd")</f>
        <v/>
      </c>
      <c r="C62432" t="inlineStr">
        <is>
          <t>2070-11-03</t>
        </is>
      </c>
    </row>
    <row r="62433">
      <c r="A62433" s="1" t="n">
        <v>62432</v>
      </c>
      <c r="B62433">
        <f>TEXT(62432, "[$-0E0000]yyyy-mm-dd")</f>
        <v/>
      </c>
      <c r="C62433" t="inlineStr">
        <is>
          <t>2070-11-04</t>
        </is>
      </c>
    </row>
    <row r="62434">
      <c r="A62434" s="1" t="n">
        <v>62433</v>
      </c>
      <c r="B62434">
        <f>TEXT(62433, "[$-0E0000]yyyy-mm-dd")</f>
        <v/>
      </c>
      <c r="C62434" t="inlineStr">
        <is>
          <t>2070-11-05</t>
        </is>
      </c>
    </row>
    <row r="62435">
      <c r="A62435" s="1" t="n">
        <v>62434</v>
      </c>
      <c r="B62435">
        <f>TEXT(62434, "[$-0E0000]yyyy-mm-dd")</f>
        <v/>
      </c>
      <c r="C62435" t="inlineStr">
        <is>
          <t>2070-11-06</t>
        </is>
      </c>
    </row>
    <row r="62436">
      <c r="A62436" s="1" t="n">
        <v>62435</v>
      </c>
      <c r="B62436">
        <f>TEXT(62435, "[$-0E0000]yyyy-mm-dd")</f>
        <v/>
      </c>
      <c r="C62436" t="inlineStr">
        <is>
          <t>2070-11-07</t>
        </is>
      </c>
    </row>
    <row r="62437">
      <c r="A62437" s="1" t="n">
        <v>62436</v>
      </c>
      <c r="B62437">
        <f>TEXT(62436, "[$-0E0000]yyyy-mm-dd")</f>
        <v/>
      </c>
      <c r="C62437" t="inlineStr">
        <is>
          <t>2070-11-08</t>
        </is>
      </c>
    </row>
    <row r="62438">
      <c r="A62438" s="1" t="n">
        <v>62437</v>
      </c>
      <c r="B62438">
        <f>TEXT(62437, "[$-0E0000]yyyy-mm-dd")</f>
        <v/>
      </c>
      <c r="C62438" t="inlineStr">
        <is>
          <t>2070-11-09</t>
        </is>
      </c>
    </row>
    <row r="62439">
      <c r="A62439" s="1" t="n">
        <v>62438</v>
      </c>
      <c r="B62439">
        <f>TEXT(62438, "[$-0E0000]yyyy-mm-dd")</f>
        <v/>
      </c>
      <c r="C62439" t="inlineStr">
        <is>
          <t>2070-11-10</t>
        </is>
      </c>
    </row>
    <row r="62440">
      <c r="A62440" s="1" t="n">
        <v>62439</v>
      </c>
      <c r="B62440">
        <f>TEXT(62439, "[$-0E0000]yyyy-mm-dd")</f>
        <v/>
      </c>
      <c r="C62440" t="inlineStr">
        <is>
          <t>2070-11-11</t>
        </is>
      </c>
    </row>
    <row r="62441">
      <c r="A62441" s="1" t="n">
        <v>62440</v>
      </c>
      <c r="B62441">
        <f>TEXT(62440, "[$-0E0000]yyyy-mm-dd")</f>
        <v/>
      </c>
      <c r="C62441" t="inlineStr">
        <is>
          <t>2070-11-12</t>
        </is>
      </c>
    </row>
    <row r="62442">
      <c r="A62442" s="1" t="n">
        <v>62441</v>
      </c>
      <c r="B62442">
        <f>TEXT(62441, "[$-0E0000]yyyy-mm-dd")</f>
        <v/>
      </c>
      <c r="C62442" t="inlineStr">
        <is>
          <t>2070-11-13</t>
        </is>
      </c>
    </row>
    <row r="62443">
      <c r="A62443" s="1" t="n">
        <v>62442</v>
      </c>
      <c r="B62443">
        <f>TEXT(62442, "[$-0E0000]yyyy-mm-dd")</f>
        <v/>
      </c>
      <c r="C62443" t="inlineStr">
        <is>
          <t>2070-11-14</t>
        </is>
      </c>
    </row>
    <row r="62444">
      <c r="A62444" s="1" t="n">
        <v>62443</v>
      </c>
      <c r="B62444">
        <f>TEXT(62443, "[$-0E0000]yyyy-mm-dd")</f>
        <v/>
      </c>
      <c r="C62444" t="inlineStr">
        <is>
          <t>2070-11-15</t>
        </is>
      </c>
    </row>
    <row r="62445">
      <c r="A62445" s="1" t="n">
        <v>62444</v>
      </c>
      <c r="B62445">
        <f>TEXT(62444, "[$-0E0000]yyyy-mm-dd")</f>
        <v/>
      </c>
      <c r="C62445" t="inlineStr">
        <is>
          <t>2070-11-16</t>
        </is>
      </c>
    </row>
    <row r="62446">
      <c r="A62446" s="1" t="n">
        <v>62445</v>
      </c>
      <c r="B62446">
        <f>TEXT(62445, "[$-0E0000]yyyy-mm-dd")</f>
        <v/>
      </c>
      <c r="C62446" t="inlineStr">
        <is>
          <t>2070-11-17</t>
        </is>
      </c>
    </row>
    <row r="62447">
      <c r="A62447" s="1" t="n">
        <v>62446</v>
      </c>
      <c r="B62447">
        <f>TEXT(62446, "[$-0E0000]yyyy-mm-dd")</f>
        <v/>
      </c>
      <c r="C62447" t="inlineStr">
        <is>
          <t>2070-11-18</t>
        </is>
      </c>
    </row>
    <row r="62448">
      <c r="A62448" s="1" t="n">
        <v>62447</v>
      </c>
      <c r="B62448">
        <f>TEXT(62447, "[$-0E0000]yyyy-mm-dd")</f>
        <v/>
      </c>
      <c r="C62448" t="inlineStr">
        <is>
          <t>2070-11-19</t>
        </is>
      </c>
    </row>
    <row r="62449">
      <c r="A62449" s="1" t="n">
        <v>62448</v>
      </c>
      <c r="B62449">
        <f>TEXT(62448, "[$-0E0000]yyyy-mm-dd")</f>
        <v/>
      </c>
      <c r="C62449" t="inlineStr">
        <is>
          <t>2070-11-20</t>
        </is>
      </c>
    </row>
    <row r="62450">
      <c r="A62450" s="1" t="n">
        <v>62449</v>
      </c>
      <c r="B62450">
        <f>TEXT(62449, "[$-0E0000]yyyy-mm-dd")</f>
        <v/>
      </c>
      <c r="C62450" t="inlineStr">
        <is>
          <t>2070-11-21</t>
        </is>
      </c>
    </row>
    <row r="62451">
      <c r="A62451" s="1" t="n">
        <v>62450</v>
      </c>
      <c r="B62451">
        <f>TEXT(62450, "[$-0E0000]yyyy-mm-dd")</f>
        <v/>
      </c>
      <c r="C62451" t="inlineStr">
        <is>
          <t>2070-11-22</t>
        </is>
      </c>
    </row>
    <row r="62452">
      <c r="A62452" s="1" t="n">
        <v>62451</v>
      </c>
      <c r="B62452">
        <f>TEXT(62451, "[$-0E0000]yyyy-mm-dd")</f>
        <v/>
      </c>
      <c r="C62452" t="inlineStr">
        <is>
          <t>2070-11-23</t>
        </is>
      </c>
    </row>
    <row r="62453">
      <c r="A62453" s="1" t="n">
        <v>62452</v>
      </c>
      <c r="B62453">
        <f>TEXT(62452, "[$-0E0000]yyyy-mm-dd")</f>
        <v/>
      </c>
      <c r="C62453" t="inlineStr">
        <is>
          <t>2070-11-24</t>
        </is>
      </c>
    </row>
    <row r="62454">
      <c r="A62454" s="1" t="n">
        <v>62453</v>
      </c>
      <c r="B62454">
        <f>TEXT(62453, "[$-0E0000]yyyy-mm-dd")</f>
        <v/>
      </c>
      <c r="C62454" t="inlineStr">
        <is>
          <t>2070-11-25</t>
        </is>
      </c>
    </row>
    <row r="62455">
      <c r="A62455" s="1" t="n">
        <v>62454</v>
      </c>
      <c r="B62455">
        <f>TEXT(62454, "[$-0E0000]yyyy-mm-dd")</f>
        <v/>
      </c>
      <c r="C62455" t="inlineStr">
        <is>
          <t>2070-11-26</t>
        </is>
      </c>
    </row>
    <row r="62456">
      <c r="A62456" s="1" t="n">
        <v>62455</v>
      </c>
      <c r="B62456">
        <f>TEXT(62455, "[$-0E0000]yyyy-mm-dd")</f>
        <v/>
      </c>
      <c r="C62456" t="inlineStr">
        <is>
          <t>2070-11-27</t>
        </is>
      </c>
    </row>
    <row r="62457">
      <c r="A62457" s="1" t="n">
        <v>62456</v>
      </c>
      <c r="B62457">
        <f>TEXT(62456, "[$-0E0000]yyyy-mm-dd")</f>
        <v/>
      </c>
      <c r="C62457" t="inlineStr">
        <is>
          <t>2070-11-28</t>
        </is>
      </c>
    </row>
    <row r="62458">
      <c r="A62458" s="1" t="n">
        <v>62457</v>
      </c>
      <c r="B62458">
        <f>TEXT(62457, "[$-0E0000]yyyy-mm-dd")</f>
        <v/>
      </c>
      <c r="C62458" t="inlineStr">
        <is>
          <t>2070-11-29</t>
        </is>
      </c>
    </row>
    <row r="62459">
      <c r="A62459" s="1" t="n">
        <v>62458</v>
      </c>
      <c r="B62459">
        <f>TEXT(62458, "[$-0E0000]yyyy-mm-dd")</f>
        <v/>
      </c>
      <c r="C62459" t="inlineStr">
        <is>
          <t>2070-12-01</t>
        </is>
      </c>
    </row>
    <row r="62460">
      <c r="A62460" s="1" t="n">
        <v>62459</v>
      </c>
      <c r="B62460">
        <f>TEXT(62459, "[$-0E0000]yyyy-mm-dd")</f>
        <v/>
      </c>
      <c r="C62460" t="inlineStr">
        <is>
          <t>2070-12-02</t>
        </is>
      </c>
    </row>
    <row r="62461">
      <c r="A62461" s="1" t="n">
        <v>62460</v>
      </c>
      <c r="B62461">
        <f>TEXT(62460, "[$-0E0000]yyyy-mm-dd")</f>
        <v/>
      </c>
      <c r="C62461" t="inlineStr">
        <is>
          <t>2070-12-03</t>
        </is>
      </c>
    </row>
    <row r="62462">
      <c r="A62462" s="1" t="n">
        <v>62461</v>
      </c>
      <c r="B62462">
        <f>TEXT(62461, "[$-0E0000]yyyy-mm-dd")</f>
        <v/>
      </c>
      <c r="C62462" t="inlineStr">
        <is>
          <t>2070-12-04</t>
        </is>
      </c>
    </row>
    <row r="62463">
      <c r="A62463" s="1" t="n">
        <v>62462</v>
      </c>
      <c r="B62463">
        <f>TEXT(62462, "[$-0E0000]yyyy-mm-dd")</f>
        <v/>
      </c>
      <c r="C62463" t="inlineStr">
        <is>
          <t>2070-12-05</t>
        </is>
      </c>
    </row>
    <row r="62464">
      <c r="A62464" s="1" t="n">
        <v>62463</v>
      </c>
      <c r="B62464">
        <f>TEXT(62463, "[$-0E0000]yyyy-mm-dd")</f>
        <v/>
      </c>
      <c r="C62464" t="inlineStr">
        <is>
          <t>2070-12-06</t>
        </is>
      </c>
    </row>
    <row r="62465">
      <c r="A62465" s="1" t="n">
        <v>62464</v>
      </c>
      <c r="B62465">
        <f>TEXT(62464, "[$-0E0000]yyyy-mm-dd")</f>
        <v/>
      </c>
      <c r="C62465" t="inlineStr">
        <is>
          <t>2070-12-07</t>
        </is>
      </c>
    </row>
    <row r="62466">
      <c r="A62466" s="1" t="n">
        <v>62465</v>
      </c>
      <c r="B62466">
        <f>TEXT(62465, "[$-0E0000]yyyy-mm-dd")</f>
        <v/>
      </c>
      <c r="C62466" t="inlineStr">
        <is>
          <t>2070-12-08</t>
        </is>
      </c>
    </row>
    <row r="62467">
      <c r="A62467" s="1" t="n">
        <v>62466</v>
      </c>
      <c r="B62467">
        <f>TEXT(62466, "[$-0E0000]yyyy-mm-dd")</f>
        <v/>
      </c>
      <c r="C62467" t="inlineStr">
        <is>
          <t>2070-12-09</t>
        </is>
      </c>
    </row>
    <row r="62468">
      <c r="A62468" s="1" t="n">
        <v>62467</v>
      </c>
      <c r="B62468">
        <f>TEXT(62467, "[$-0E0000]yyyy-mm-dd")</f>
        <v/>
      </c>
      <c r="C62468" t="inlineStr">
        <is>
          <t>2070-12-10</t>
        </is>
      </c>
    </row>
    <row r="62469">
      <c r="A62469" s="1" t="n">
        <v>62468</v>
      </c>
      <c r="B62469">
        <f>TEXT(62468, "[$-0E0000]yyyy-mm-dd")</f>
        <v/>
      </c>
      <c r="C62469" t="inlineStr">
        <is>
          <t>2070-12-11</t>
        </is>
      </c>
    </row>
    <row r="62470">
      <c r="A62470" s="1" t="n">
        <v>62469</v>
      </c>
      <c r="B62470">
        <f>TEXT(62469, "[$-0E0000]yyyy-mm-dd")</f>
        <v/>
      </c>
      <c r="C62470" t="inlineStr">
        <is>
          <t>2070-12-12</t>
        </is>
      </c>
    </row>
    <row r="62471">
      <c r="A62471" s="1" t="n">
        <v>62470</v>
      </c>
      <c r="B62471">
        <f>TEXT(62470, "[$-0E0000]yyyy-mm-dd")</f>
        <v/>
      </c>
      <c r="C62471" t="inlineStr">
        <is>
          <t>2070-12-13</t>
        </is>
      </c>
    </row>
    <row r="62472">
      <c r="A62472" s="1" t="n">
        <v>62471</v>
      </c>
      <c r="B62472">
        <f>TEXT(62471, "[$-0E0000]yyyy-mm-dd")</f>
        <v/>
      </c>
      <c r="C62472" t="inlineStr">
        <is>
          <t>2070-12-14</t>
        </is>
      </c>
    </row>
    <row r="62473">
      <c r="A62473" s="1" t="n">
        <v>62472</v>
      </c>
      <c r="B62473">
        <f>TEXT(62472, "[$-0E0000]yyyy-mm-dd")</f>
        <v/>
      </c>
      <c r="C62473" t="inlineStr">
        <is>
          <t>2070-12-15</t>
        </is>
      </c>
    </row>
    <row r="62474">
      <c r="A62474" s="1" t="n">
        <v>62473</v>
      </c>
      <c r="B62474">
        <f>TEXT(62473, "[$-0E0000]yyyy-mm-dd")</f>
        <v/>
      </c>
      <c r="C62474" t="inlineStr">
        <is>
          <t>2070-12-16</t>
        </is>
      </c>
    </row>
    <row r="62475">
      <c r="A62475" s="1" t="n">
        <v>62474</v>
      </c>
      <c r="B62475">
        <f>TEXT(62474, "[$-0E0000]yyyy-mm-dd")</f>
        <v/>
      </c>
      <c r="C62475" t="inlineStr">
        <is>
          <t>2070-12-17</t>
        </is>
      </c>
    </row>
    <row r="62476">
      <c r="A62476" s="1" t="n">
        <v>62475</v>
      </c>
      <c r="B62476">
        <f>TEXT(62475, "[$-0E0000]yyyy-mm-dd")</f>
        <v/>
      </c>
      <c r="C62476" t="inlineStr">
        <is>
          <t>2070-12-18</t>
        </is>
      </c>
    </row>
    <row r="62477">
      <c r="A62477" s="1" t="n">
        <v>62476</v>
      </c>
      <c r="B62477">
        <f>TEXT(62476, "[$-0E0000]yyyy-mm-dd")</f>
        <v/>
      </c>
      <c r="C62477" t="inlineStr">
        <is>
          <t>2070-12-19</t>
        </is>
      </c>
    </row>
    <row r="62478">
      <c r="A62478" s="1" t="n">
        <v>62477</v>
      </c>
      <c r="B62478">
        <f>TEXT(62477, "[$-0E0000]yyyy-mm-dd")</f>
        <v/>
      </c>
      <c r="C62478" t="inlineStr">
        <is>
          <t>2070-12-20</t>
        </is>
      </c>
    </row>
    <row r="62479">
      <c r="A62479" s="1" t="n">
        <v>62478</v>
      </c>
      <c r="B62479">
        <f>TEXT(62478, "[$-0E0000]yyyy-mm-dd")</f>
        <v/>
      </c>
      <c r="C62479" t="inlineStr">
        <is>
          <t>2070-12-21</t>
        </is>
      </c>
    </row>
    <row r="62480">
      <c r="A62480" s="1" t="n">
        <v>62479</v>
      </c>
      <c r="B62480">
        <f>TEXT(62479, "[$-0E0000]yyyy-mm-dd")</f>
        <v/>
      </c>
      <c r="C62480" t="inlineStr">
        <is>
          <t>2070-12-22</t>
        </is>
      </c>
    </row>
    <row r="62481">
      <c r="A62481" s="1" t="n">
        <v>62480</v>
      </c>
      <c r="B62481">
        <f>TEXT(62480, "[$-0E0000]yyyy-mm-dd")</f>
        <v/>
      </c>
      <c r="C62481" t="inlineStr">
        <is>
          <t>2070-12-23</t>
        </is>
      </c>
    </row>
    <row r="62482">
      <c r="A62482" s="1" t="n">
        <v>62481</v>
      </c>
      <c r="B62482">
        <f>TEXT(62481, "[$-0E0000]yyyy-mm-dd")</f>
        <v/>
      </c>
      <c r="C62482" t="inlineStr">
        <is>
          <t>2070-12-24</t>
        </is>
      </c>
    </row>
    <row r="62483">
      <c r="A62483" s="1" t="n">
        <v>62482</v>
      </c>
      <c r="B62483">
        <f>TEXT(62482, "[$-0E0000]yyyy-mm-dd")</f>
        <v/>
      </c>
      <c r="C62483" t="inlineStr">
        <is>
          <t>2070-12-25</t>
        </is>
      </c>
    </row>
    <row r="62484">
      <c r="A62484" s="1" t="n">
        <v>62483</v>
      </c>
      <c r="B62484">
        <f>TEXT(62483, "[$-0E0000]yyyy-mm-dd")</f>
        <v/>
      </c>
      <c r="C62484" t="inlineStr">
        <is>
          <t>2070-12-26</t>
        </is>
      </c>
    </row>
    <row r="62485">
      <c r="A62485" s="1" t="n">
        <v>62484</v>
      </c>
      <c r="B62485">
        <f>TEXT(62484, "[$-0E0000]yyyy-mm-dd")</f>
        <v/>
      </c>
      <c r="C62485" t="inlineStr">
        <is>
          <t>2070-12-27</t>
        </is>
      </c>
    </row>
    <row r="62486">
      <c r="A62486" s="1" t="n">
        <v>62485</v>
      </c>
      <c r="B62486">
        <f>TEXT(62485, "[$-0E0000]yyyy-mm-dd")</f>
        <v/>
      </c>
      <c r="C62486" t="inlineStr">
        <is>
          <t>2070-12-28</t>
        </is>
      </c>
    </row>
    <row r="62487">
      <c r="A62487" s="1" t="n">
        <v>62486</v>
      </c>
      <c r="B62487">
        <f>TEXT(62486, "[$-0E0000]yyyy-mm-dd")</f>
        <v/>
      </c>
      <c r="C62487" t="inlineStr">
        <is>
          <t>2070-12-29</t>
        </is>
      </c>
    </row>
    <row r="62488">
      <c r="A62488" s="1" t="n">
        <v>62487</v>
      </c>
      <c r="B62488">
        <f>TEXT(62487, "[$-0E0000]yyyy-mm-dd")</f>
        <v/>
      </c>
      <c r="C62488" t="inlineStr">
        <is>
          <t>2070-12-30</t>
        </is>
      </c>
    </row>
    <row r="62489">
      <c r="A62489" s="1" t="n">
        <v>62488</v>
      </c>
      <c r="B62489">
        <f>TEXT(62488, "[$-0E0000]yyyy-mm-dd")</f>
        <v/>
      </c>
      <c r="C62489" t="inlineStr">
        <is>
          <t>2071-01-01</t>
        </is>
      </c>
    </row>
    <row r="62490">
      <c r="A62490" s="1" t="n">
        <v>62489</v>
      </c>
      <c r="B62490">
        <f>TEXT(62489, "[$-0E0000]yyyy-mm-dd")</f>
        <v/>
      </c>
      <c r="C62490" t="inlineStr">
        <is>
          <t>2071-01-02</t>
        </is>
      </c>
    </row>
    <row r="62491">
      <c r="A62491" s="1" t="n">
        <v>62490</v>
      </c>
      <c r="B62491">
        <f>TEXT(62490, "[$-0E0000]yyyy-mm-dd")</f>
        <v/>
      </c>
      <c r="C62491" t="inlineStr">
        <is>
          <t>2071-01-03</t>
        </is>
      </c>
    </row>
    <row r="62492">
      <c r="A62492" s="1" t="n">
        <v>62491</v>
      </c>
      <c r="B62492">
        <f>TEXT(62491, "[$-0E0000]yyyy-mm-dd")</f>
        <v/>
      </c>
      <c r="C62492" t="inlineStr">
        <is>
          <t>2071-01-04</t>
        </is>
      </c>
    </row>
    <row r="62493">
      <c r="A62493" s="1" t="n">
        <v>62492</v>
      </c>
      <c r="B62493">
        <f>TEXT(62492, "[$-0E0000]yyyy-mm-dd")</f>
        <v/>
      </c>
      <c r="C62493" t="inlineStr">
        <is>
          <t>2071-01-05</t>
        </is>
      </c>
    </row>
    <row r="62494">
      <c r="A62494" s="1" t="n">
        <v>62493</v>
      </c>
      <c r="B62494">
        <f>TEXT(62493, "[$-0E0000]yyyy-mm-dd")</f>
        <v/>
      </c>
      <c r="C62494" t="inlineStr">
        <is>
          <t>2071-01-06</t>
        </is>
      </c>
    </row>
    <row r="62495">
      <c r="A62495" s="1" t="n">
        <v>62494</v>
      </c>
      <c r="B62495">
        <f>TEXT(62494, "[$-0E0000]yyyy-mm-dd")</f>
        <v/>
      </c>
      <c r="C62495" t="inlineStr">
        <is>
          <t>2071-01-07</t>
        </is>
      </c>
    </row>
    <row r="62496">
      <c r="A62496" s="1" t="n">
        <v>62495</v>
      </c>
      <c r="B62496">
        <f>TEXT(62495, "[$-0E0000]yyyy-mm-dd")</f>
        <v/>
      </c>
      <c r="C62496" t="inlineStr">
        <is>
          <t>2071-01-08</t>
        </is>
      </c>
    </row>
    <row r="62497">
      <c r="A62497" s="1" t="n">
        <v>62496</v>
      </c>
      <c r="B62497">
        <f>TEXT(62496, "[$-0E0000]yyyy-mm-dd")</f>
        <v/>
      </c>
      <c r="C62497" t="inlineStr">
        <is>
          <t>2071-01-09</t>
        </is>
      </c>
    </row>
    <row r="62498">
      <c r="A62498" s="1" t="n">
        <v>62497</v>
      </c>
      <c r="B62498">
        <f>TEXT(62497, "[$-0E0000]yyyy-mm-dd")</f>
        <v/>
      </c>
      <c r="C62498" t="inlineStr">
        <is>
          <t>2071-01-10</t>
        </is>
      </c>
    </row>
    <row r="62499">
      <c r="A62499" s="1" t="n">
        <v>62498</v>
      </c>
      <c r="B62499">
        <f>TEXT(62498, "[$-0E0000]yyyy-mm-dd")</f>
        <v/>
      </c>
      <c r="C62499" t="inlineStr">
        <is>
          <t>2071-01-11</t>
        </is>
      </c>
    </row>
    <row r="62500">
      <c r="A62500" s="1" t="n">
        <v>62499</v>
      </c>
      <c r="B62500">
        <f>TEXT(62499, "[$-0E0000]yyyy-mm-dd")</f>
        <v/>
      </c>
      <c r="C62500" t="inlineStr">
        <is>
          <t>2071-01-12</t>
        </is>
      </c>
    </row>
    <row r="62501">
      <c r="A62501" s="1" t="n">
        <v>62500</v>
      </c>
      <c r="B62501">
        <f>TEXT(62500, "[$-0E0000]yyyy-mm-dd")</f>
        <v/>
      </c>
      <c r="C62501" t="inlineStr">
        <is>
          <t>2071-01-13</t>
        </is>
      </c>
    </row>
    <row r="62502">
      <c r="A62502" s="1" t="n">
        <v>62501</v>
      </c>
      <c r="B62502">
        <f>TEXT(62501, "[$-0E0000]yyyy-mm-dd")</f>
        <v/>
      </c>
      <c r="C62502" t="inlineStr">
        <is>
          <t>2071-01-14</t>
        </is>
      </c>
    </row>
    <row r="62503">
      <c r="A62503" s="1" t="n">
        <v>62502</v>
      </c>
      <c r="B62503">
        <f>TEXT(62502, "[$-0E0000]yyyy-mm-dd")</f>
        <v/>
      </c>
      <c r="C62503" t="inlineStr">
        <is>
          <t>2071-01-15</t>
        </is>
      </c>
    </row>
    <row r="62504">
      <c r="A62504" s="1" t="n">
        <v>62503</v>
      </c>
      <c r="B62504">
        <f>TEXT(62503, "[$-0E0000]yyyy-mm-dd")</f>
        <v/>
      </c>
      <c r="C62504" t="inlineStr">
        <is>
          <t>2071-01-16</t>
        </is>
      </c>
    </row>
    <row r="62505">
      <c r="A62505" s="1" t="n">
        <v>62504</v>
      </c>
      <c r="B62505">
        <f>TEXT(62504, "[$-0E0000]yyyy-mm-dd")</f>
        <v/>
      </c>
      <c r="C62505" t="inlineStr">
        <is>
          <t>2071-01-17</t>
        </is>
      </c>
    </row>
    <row r="62506">
      <c r="A62506" s="1" t="n">
        <v>62505</v>
      </c>
      <c r="B62506">
        <f>TEXT(62505, "[$-0E0000]yyyy-mm-dd")</f>
        <v/>
      </c>
      <c r="C62506" t="inlineStr">
        <is>
          <t>2071-01-18</t>
        </is>
      </c>
    </row>
    <row r="62507">
      <c r="A62507" s="1" t="n">
        <v>62506</v>
      </c>
      <c r="B62507">
        <f>TEXT(62506, "[$-0E0000]yyyy-mm-dd")</f>
        <v/>
      </c>
      <c r="C62507" t="inlineStr">
        <is>
          <t>2071-01-19</t>
        </is>
      </c>
    </row>
    <row r="62508">
      <c r="A62508" s="1" t="n">
        <v>62507</v>
      </c>
      <c r="B62508">
        <f>TEXT(62507, "[$-0E0000]yyyy-mm-dd")</f>
        <v/>
      </c>
      <c r="C62508" t="inlineStr">
        <is>
          <t>2071-01-20</t>
        </is>
      </c>
    </row>
    <row r="62509">
      <c r="A62509" s="1" t="n">
        <v>62508</v>
      </c>
      <c r="B62509">
        <f>TEXT(62508, "[$-0E0000]yyyy-mm-dd")</f>
        <v/>
      </c>
      <c r="C62509" t="inlineStr">
        <is>
          <t>2071-01-21</t>
        </is>
      </c>
    </row>
    <row r="62510">
      <c r="A62510" s="1" t="n">
        <v>62509</v>
      </c>
      <c r="B62510">
        <f>TEXT(62509, "[$-0E0000]yyyy-mm-dd")</f>
        <v/>
      </c>
      <c r="C62510" t="inlineStr">
        <is>
          <t>2071-01-22</t>
        </is>
      </c>
    </row>
    <row r="62511">
      <c r="A62511" s="1" t="n">
        <v>62510</v>
      </c>
      <c r="B62511">
        <f>TEXT(62510, "[$-0E0000]yyyy-mm-dd")</f>
        <v/>
      </c>
      <c r="C62511" t="inlineStr">
        <is>
          <t>2071-01-23</t>
        </is>
      </c>
    </row>
    <row r="62512">
      <c r="A62512" s="1" t="n">
        <v>62511</v>
      </c>
      <c r="B62512">
        <f>TEXT(62511, "[$-0E0000]yyyy-mm-dd")</f>
        <v/>
      </c>
      <c r="C62512" t="inlineStr">
        <is>
          <t>2071-01-24</t>
        </is>
      </c>
    </row>
    <row r="62513">
      <c r="A62513" s="1" t="n">
        <v>62512</v>
      </c>
      <c r="B62513">
        <f>TEXT(62512, "[$-0E0000]yyyy-mm-dd")</f>
        <v/>
      </c>
      <c r="C62513" t="inlineStr">
        <is>
          <t>2071-01-25</t>
        </is>
      </c>
    </row>
    <row r="62514">
      <c r="A62514" s="1" t="n">
        <v>62513</v>
      </c>
      <c r="B62514">
        <f>TEXT(62513, "[$-0E0000]yyyy-mm-dd")</f>
        <v/>
      </c>
      <c r="C62514" t="inlineStr">
        <is>
          <t>2071-01-26</t>
        </is>
      </c>
    </row>
    <row r="62515">
      <c r="A62515" s="1" t="n">
        <v>62514</v>
      </c>
      <c r="B62515">
        <f>TEXT(62514, "[$-0E0000]yyyy-mm-dd")</f>
        <v/>
      </c>
      <c r="C62515" t="inlineStr">
        <is>
          <t>2071-01-27</t>
        </is>
      </c>
    </row>
    <row r="62516">
      <c r="A62516" s="1" t="n">
        <v>62515</v>
      </c>
      <c r="B62516">
        <f>TEXT(62515, "[$-0E0000]yyyy-mm-dd")</f>
        <v/>
      </c>
      <c r="C62516" t="inlineStr">
        <is>
          <t>2071-01-28</t>
        </is>
      </c>
    </row>
    <row r="62517">
      <c r="A62517" s="1" t="n">
        <v>62516</v>
      </c>
      <c r="B62517">
        <f>TEXT(62516, "[$-0E0000]yyyy-mm-dd")</f>
        <v/>
      </c>
      <c r="C62517" t="inlineStr">
        <is>
          <t>2071-01-29</t>
        </is>
      </c>
    </row>
    <row r="62518">
      <c r="A62518" s="1" t="n">
        <v>62517</v>
      </c>
      <c r="B62518">
        <f>TEXT(62517, "[$-0E0000]yyyy-mm-dd")</f>
        <v/>
      </c>
      <c r="C62518" t="inlineStr">
        <is>
          <t>2071-01-30</t>
        </is>
      </c>
    </row>
    <row r="62519">
      <c r="A62519" s="1" t="n">
        <v>62518</v>
      </c>
      <c r="B62519">
        <f>TEXT(62518, "[$-0E0000]yyyy-mm-dd")</f>
        <v/>
      </c>
      <c r="C62519" t="inlineStr">
        <is>
          <t>2071-02-01</t>
        </is>
      </c>
    </row>
    <row r="62520">
      <c r="A62520" s="1" t="n">
        <v>62519</v>
      </c>
      <c r="B62520">
        <f>TEXT(62519, "[$-0E0000]yyyy-mm-dd")</f>
        <v/>
      </c>
      <c r="C62520" t="inlineStr">
        <is>
          <t>2071-02-02</t>
        </is>
      </c>
    </row>
    <row r="62521">
      <c r="A62521" s="1" t="n">
        <v>62520</v>
      </c>
      <c r="B62521">
        <f>TEXT(62520, "[$-0E0000]yyyy-mm-dd")</f>
        <v/>
      </c>
      <c r="C62521" t="inlineStr">
        <is>
          <t>2071-02-03</t>
        </is>
      </c>
    </row>
    <row r="62522">
      <c r="A62522" s="1" t="n">
        <v>62521</v>
      </c>
      <c r="B62522">
        <f>TEXT(62521, "[$-0E0000]yyyy-mm-dd")</f>
        <v/>
      </c>
      <c r="C62522" t="inlineStr">
        <is>
          <t>2071-02-04</t>
        </is>
      </c>
    </row>
    <row r="62523">
      <c r="A62523" s="1" t="n">
        <v>62522</v>
      </c>
      <c r="B62523">
        <f>TEXT(62522, "[$-0E0000]yyyy-mm-dd")</f>
        <v/>
      </c>
      <c r="C62523" t="inlineStr">
        <is>
          <t>2071-02-05</t>
        </is>
      </c>
    </row>
    <row r="62524">
      <c r="A62524" s="1" t="n">
        <v>62523</v>
      </c>
      <c r="B62524">
        <f>TEXT(62523, "[$-0E0000]yyyy-mm-dd")</f>
        <v/>
      </c>
      <c r="C62524" t="inlineStr">
        <is>
          <t>2071-02-06</t>
        </is>
      </c>
    </row>
    <row r="62525">
      <c r="A62525" s="1" t="n">
        <v>62524</v>
      </c>
      <c r="B62525">
        <f>TEXT(62524, "[$-0E0000]yyyy-mm-dd")</f>
        <v/>
      </c>
      <c r="C62525" t="inlineStr">
        <is>
          <t>2071-02-07</t>
        </is>
      </c>
    </row>
    <row r="62526">
      <c r="A62526" s="1" t="n">
        <v>62525</v>
      </c>
      <c r="B62526">
        <f>TEXT(62525, "[$-0E0000]yyyy-mm-dd")</f>
        <v/>
      </c>
      <c r="C62526" t="inlineStr">
        <is>
          <t>2071-02-08</t>
        </is>
      </c>
    </row>
    <row r="62527">
      <c r="A62527" s="1" t="n">
        <v>62526</v>
      </c>
      <c r="B62527">
        <f>TEXT(62526, "[$-0E0000]yyyy-mm-dd")</f>
        <v/>
      </c>
      <c r="C62527" t="inlineStr">
        <is>
          <t>2071-02-09</t>
        </is>
      </c>
    </row>
    <row r="62528">
      <c r="A62528" s="1" t="n">
        <v>62527</v>
      </c>
      <c r="B62528">
        <f>TEXT(62527, "[$-0E0000]yyyy-mm-dd")</f>
        <v/>
      </c>
      <c r="C62528" t="inlineStr">
        <is>
          <t>2071-02-10</t>
        </is>
      </c>
    </row>
    <row r="62529">
      <c r="A62529" s="1" t="n">
        <v>62528</v>
      </c>
      <c r="B62529">
        <f>TEXT(62528, "[$-0E0000]yyyy-mm-dd")</f>
        <v/>
      </c>
      <c r="C62529" t="inlineStr">
        <is>
          <t>2071-02-11</t>
        </is>
      </c>
    </row>
    <row r="62530">
      <c r="A62530" s="1" t="n">
        <v>62529</v>
      </c>
      <c r="B62530">
        <f>TEXT(62529, "[$-0E0000]yyyy-mm-dd")</f>
        <v/>
      </c>
      <c r="C62530" t="inlineStr">
        <is>
          <t>2071-02-12</t>
        </is>
      </c>
    </row>
    <row r="62531">
      <c r="A62531" s="1" t="n">
        <v>62530</v>
      </c>
      <c r="B62531">
        <f>TEXT(62530, "[$-0E0000]yyyy-mm-dd")</f>
        <v/>
      </c>
      <c r="C62531" t="inlineStr">
        <is>
          <t>2071-02-13</t>
        </is>
      </c>
    </row>
    <row r="62532">
      <c r="A62532" s="1" t="n">
        <v>62531</v>
      </c>
      <c r="B62532">
        <f>TEXT(62531, "[$-0E0000]yyyy-mm-dd")</f>
        <v/>
      </c>
      <c r="C62532" t="inlineStr">
        <is>
          <t>2071-02-14</t>
        </is>
      </c>
    </row>
    <row r="62533">
      <c r="A62533" s="1" t="n">
        <v>62532</v>
      </c>
      <c r="B62533">
        <f>TEXT(62532, "[$-0E0000]yyyy-mm-dd")</f>
        <v/>
      </c>
      <c r="C62533" t="inlineStr">
        <is>
          <t>2071-02-15</t>
        </is>
      </c>
    </row>
    <row r="62534">
      <c r="A62534" s="1" t="n">
        <v>62533</v>
      </c>
      <c r="B62534">
        <f>TEXT(62533, "[$-0E0000]yyyy-mm-dd")</f>
        <v/>
      </c>
      <c r="C62534" t="inlineStr">
        <is>
          <t>2071-02-16</t>
        </is>
      </c>
    </row>
    <row r="62535">
      <c r="A62535" s="1" t="n">
        <v>62534</v>
      </c>
      <c r="B62535">
        <f>TEXT(62534, "[$-0E0000]yyyy-mm-dd")</f>
        <v/>
      </c>
      <c r="C62535" t="inlineStr">
        <is>
          <t>2071-02-17</t>
        </is>
      </c>
    </row>
    <row r="62536">
      <c r="A62536" s="1" t="n">
        <v>62535</v>
      </c>
      <c r="B62536">
        <f>TEXT(62535, "[$-0E0000]yyyy-mm-dd")</f>
        <v/>
      </c>
      <c r="C62536" t="inlineStr">
        <is>
          <t>2071-02-18</t>
        </is>
      </c>
    </row>
    <row r="62537">
      <c r="A62537" s="1" t="n">
        <v>62536</v>
      </c>
      <c r="B62537">
        <f>TEXT(62536, "[$-0E0000]yyyy-mm-dd")</f>
        <v/>
      </c>
      <c r="C62537" t="inlineStr">
        <is>
          <t>2071-02-19</t>
        </is>
      </c>
    </row>
    <row r="62538">
      <c r="A62538" s="1" t="n">
        <v>62537</v>
      </c>
      <c r="B62538">
        <f>TEXT(62537, "[$-0E0000]yyyy-mm-dd")</f>
        <v/>
      </c>
      <c r="C62538" t="inlineStr">
        <is>
          <t>2071-02-20</t>
        </is>
      </c>
    </row>
    <row r="62539">
      <c r="A62539" s="1" t="n">
        <v>62538</v>
      </c>
      <c r="B62539">
        <f>TEXT(62538, "[$-0E0000]yyyy-mm-dd")</f>
        <v/>
      </c>
      <c r="C62539" t="inlineStr">
        <is>
          <t>2071-02-21</t>
        </is>
      </c>
    </row>
    <row r="62540">
      <c r="A62540" s="1" t="n">
        <v>62539</v>
      </c>
      <c r="B62540">
        <f>TEXT(62539, "[$-0E0000]yyyy-mm-dd")</f>
        <v/>
      </c>
      <c r="C62540" t="inlineStr">
        <is>
          <t>2071-02-22</t>
        </is>
      </c>
    </row>
    <row r="62541">
      <c r="A62541" s="1" t="n">
        <v>62540</v>
      </c>
      <c r="B62541">
        <f>TEXT(62540, "[$-0E0000]yyyy-mm-dd")</f>
        <v/>
      </c>
      <c r="C62541" t="inlineStr">
        <is>
          <t>2071-02-23</t>
        </is>
      </c>
    </row>
    <row r="62542">
      <c r="A62542" s="1" t="n">
        <v>62541</v>
      </c>
      <c r="B62542">
        <f>TEXT(62541, "[$-0E0000]yyyy-mm-dd")</f>
        <v/>
      </c>
      <c r="C62542" t="inlineStr">
        <is>
          <t>2071-02-24</t>
        </is>
      </c>
    </row>
    <row r="62543">
      <c r="A62543" s="1" t="n">
        <v>62542</v>
      </c>
      <c r="B62543">
        <f>TEXT(62542, "[$-0E0000]yyyy-mm-dd")</f>
        <v/>
      </c>
      <c r="C62543" t="inlineStr">
        <is>
          <t>2071-02-25</t>
        </is>
      </c>
    </row>
    <row r="62544">
      <c r="A62544" s="1" t="n">
        <v>62543</v>
      </c>
      <c r="B62544">
        <f>TEXT(62543, "[$-0E0000]yyyy-mm-dd")</f>
        <v/>
      </c>
      <c r="C62544" t="inlineStr">
        <is>
          <t>2071-02-26</t>
        </is>
      </c>
    </row>
    <row r="62545">
      <c r="A62545" s="1" t="n">
        <v>62544</v>
      </c>
      <c r="B62545">
        <f>TEXT(62544, "[$-0E0000]yyyy-mm-dd")</f>
        <v/>
      </c>
      <c r="C62545" t="inlineStr">
        <is>
          <t>2071-02-27</t>
        </is>
      </c>
    </row>
    <row r="62546">
      <c r="A62546" s="1" t="n">
        <v>62545</v>
      </c>
      <c r="B62546">
        <f>TEXT(62545, "[$-0E0000]yyyy-mm-dd")</f>
        <v/>
      </c>
      <c r="C62546" t="inlineStr">
        <is>
          <t>2071-02-28</t>
        </is>
      </c>
    </row>
    <row r="62547">
      <c r="A62547" s="1" t="n">
        <v>62546</v>
      </c>
      <c r="B62547">
        <f>TEXT(62546, "[$-0E0000]yyyy-mm-dd")</f>
        <v/>
      </c>
      <c r="C62547" t="inlineStr">
        <is>
          <t>2071-02-29</t>
        </is>
      </c>
    </row>
    <row r="62548">
      <c r="A62548" s="1" t="n">
        <v>62547</v>
      </c>
      <c r="B62548">
        <f>TEXT(62547, "[$-0E0000]yyyy-mm-dd")</f>
        <v/>
      </c>
      <c r="C62548" t="inlineStr">
        <is>
          <t>2071-03-01</t>
        </is>
      </c>
    </row>
    <row r="62549">
      <c r="A62549" s="1" t="n">
        <v>62548</v>
      </c>
      <c r="B62549">
        <f>TEXT(62548, "[$-0E0000]yyyy-mm-dd")</f>
        <v/>
      </c>
      <c r="C62549" t="inlineStr">
        <is>
          <t>2071-03-02</t>
        </is>
      </c>
    </row>
    <row r="62550">
      <c r="A62550" s="1" t="n">
        <v>62549</v>
      </c>
      <c r="B62550">
        <f>TEXT(62549, "[$-0E0000]yyyy-mm-dd")</f>
        <v/>
      </c>
      <c r="C62550" t="inlineStr">
        <is>
          <t>2071-03-03</t>
        </is>
      </c>
    </row>
    <row r="62551">
      <c r="A62551" s="1" t="n">
        <v>62550</v>
      </c>
      <c r="B62551">
        <f>TEXT(62550, "[$-0E0000]yyyy-mm-dd")</f>
        <v/>
      </c>
      <c r="C62551" t="inlineStr">
        <is>
          <t>2071-03-04</t>
        </is>
      </c>
    </row>
    <row r="62552">
      <c r="A62552" s="1" t="n">
        <v>62551</v>
      </c>
      <c r="B62552">
        <f>TEXT(62551, "[$-0E0000]yyyy-mm-dd")</f>
        <v/>
      </c>
      <c r="C62552" t="inlineStr">
        <is>
          <t>2071-03-05</t>
        </is>
      </c>
    </row>
    <row r="62553">
      <c r="A62553" s="1" t="n">
        <v>62552</v>
      </c>
      <c r="B62553">
        <f>TEXT(62552, "[$-0E0000]yyyy-mm-dd")</f>
        <v/>
      </c>
      <c r="C62553" t="inlineStr">
        <is>
          <t>2071-03-06</t>
        </is>
      </c>
    </row>
    <row r="62554">
      <c r="A62554" s="1" t="n">
        <v>62553</v>
      </c>
      <c r="B62554">
        <f>TEXT(62553, "[$-0E0000]yyyy-mm-dd")</f>
        <v/>
      </c>
      <c r="C62554" t="inlineStr">
        <is>
          <t>2071-03-07</t>
        </is>
      </c>
    </row>
    <row r="62555">
      <c r="A62555" s="1" t="n">
        <v>62554</v>
      </c>
      <c r="B62555">
        <f>TEXT(62554, "[$-0E0000]yyyy-mm-dd")</f>
        <v/>
      </c>
      <c r="C62555" t="inlineStr">
        <is>
          <t>2071-03-08</t>
        </is>
      </c>
    </row>
    <row r="62556">
      <c r="A62556" s="1" t="n">
        <v>62555</v>
      </c>
      <c r="B62556">
        <f>TEXT(62555, "[$-0E0000]yyyy-mm-dd")</f>
        <v/>
      </c>
      <c r="C62556" t="inlineStr">
        <is>
          <t>2071-03-09</t>
        </is>
      </c>
    </row>
    <row r="62557">
      <c r="A62557" s="1" t="n">
        <v>62556</v>
      </c>
      <c r="B62557">
        <f>TEXT(62556, "[$-0E0000]yyyy-mm-dd")</f>
        <v/>
      </c>
      <c r="C62557" t="inlineStr">
        <is>
          <t>2071-03-10</t>
        </is>
      </c>
    </row>
    <row r="62558">
      <c r="A62558" s="1" t="n">
        <v>62557</v>
      </c>
      <c r="B62558">
        <f>TEXT(62557, "[$-0E0000]yyyy-mm-dd")</f>
        <v/>
      </c>
      <c r="C62558" t="inlineStr">
        <is>
          <t>2071-03-11</t>
        </is>
      </c>
    </row>
    <row r="62559">
      <c r="A62559" s="1" t="n">
        <v>62558</v>
      </c>
      <c r="B62559">
        <f>TEXT(62558, "[$-0E0000]yyyy-mm-dd")</f>
        <v/>
      </c>
      <c r="C62559" t="inlineStr">
        <is>
          <t>2071-03-12</t>
        </is>
      </c>
    </row>
    <row r="62560">
      <c r="A62560" s="1" t="n">
        <v>62559</v>
      </c>
      <c r="B62560">
        <f>TEXT(62559, "[$-0E0000]yyyy-mm-dd")</f>
        <v/>
      </c>
      <c r="C62560" t="inlineStr">
        <is>
          <t>2071-03-13</t>
        </is>
      </c>
    </row>
    <row r="62561">
      <c r="A62561" s="1" t="n">
        <v>62560</v>
      </c>
      <c r="B62561">
        <f>TEXT(62560, "[$-0E0000]yyyy-mm-dd")</f>
        <v/>
      </c>
      <c r="C62561" t="inlineStr">
        <is>
          <t>2071-03-14</t>
        </is>
      </c>
    </row>
    <row r="62562">
      <c r="A62562" s="1" t="n">
        <v>62561</v>
      </c>
      <c r="B62562">
        <f>TEXT(62561, "[$-0E0000]yyyy-mm-dd")</f>
        <v/>
      </c>
      <c r="C62562" t="inlineStr">
        <is>
          <t>2071-03-15</t>
        </is>
      </c>
    </row>
    <row r="62563">
      <c r="A62563" s="1" t="n">
        <v>62562</v>
      </c>
      <c r="B62563">
        <f>TEXT(62562, "[$-0E0000]yyyy-mm-dd")</f>
        <v/>
      </c>
      <c r="C62563" t="inlineStr">
        <is>
          <t>2071-03-16</t>
        </is>
      </c>
    </row>
    <row r="62564">
      <c r="A62564" s="1" t="n">
        <v>62563</v>
      </c>
      <c r="B62564">
        <f>TEXT(62563, "[$-0E0000]yyyy-mm-dd")</f>
        <v/>
      </c>
      <c r="C62564" t="inlineStr">
        <is>
          <t>2071-03-17</t>
        </is>
      </c>
    </row>
    <row r="62565">
      <c r="A62565" s="1" t="n">
        <v>62564</v>
      </c>
      <c r="B62565">
        <f>TEXT(62564, "[$-0E0000]yyyy-mm-dd")</f>
        <v/>
      </c>
      <c r="C62565" t="inlineStr">
        <is>
          <t>2071-03-18</t>
        </is>
      </c>
    </row>
    <row r="62566">
      <c r="A62566" s="1" t="n">
        <v>62565</v>
      </c>
      <c r="B62566">
        <f>TEXT(62565, "[$-0E0000]yyyy-mm-dd")</f>
        <v/>
      </c>
      <c r="C62566" t="inlineStr">
        <is>
          <t>2071-03-19</t>
        </is>
      </c>
    </row>
    <row r="62567">
      <c r="A62567" s="1" t="n">
        <v>62566</v>
      </c>
      <c r="B62567">
        <f>TEXT(62566, "[$-0E0000]yyyy-mm-dd")</f>
        <v/>
      </c>
      <c r="C62567" t="inlineStr">
        <is>
          <t>2071-03-20</t>
        </is>
      </c>
    </row>
    <row r="62568">
      <c r="A62568" s="1" t="n">
        <v>62567</v>
      </c>
      <c r="B62568">
        <f>TEXT(62567, "[$-0E0000]yyyy-mm-dd")</f>
        <v/>
      </c>
      <c r="C62568" t="inlineStr">
        <is>
          <t>2071-03-21</t>
        </is>
      </c>
    </row>
    <row r="62569">
      <c r="A62569" s="1" t="n">
        <v>62568</v>
      </c>
      <c r="B62569">
        <f>TEXT(62568, "[$-0E0000]yyyy-mm-dd")</f>
        <v/>
      </c>
      <c r="C62569" t="inlineStr">
        <is>
          <t>2071-03-22</t>
        </is>
      </c>
    </row>
    <row r="62570">
      <c r="A62570" s="1" t="n">
        <v>62569</v>
      </c>
      <c r="B62570">
        <f>TEXT(62569, "[$-0E0000]yyyy-mm-dd")</f>
        <v/>
      </c>
      <c r="C62570" t="inlineStr">
        <is>
          <t>2071-03-23</t>
        </is>
      </c>
    </row>
    <row r="62571">
      <c r="A62571" s="1" t="n">
        <v>62570</v>
      </c>
      <c r="B62571">
        <f>TEXT(62570, "[$-0E0000]yyyy-mm-dd")</f>
        <v/>
      </c>
      <c r="C62571" t="inlineStr">
        <is>
          <t>2071-03-24</t>
        </is>
      </c>
    </row>
    <row r="62572">
      <c r="A62572" s="1" t="n">
        <v>62571</v>
      </c>
      <c r="B62572">
        <f>TEXT(62571, "[$-0E0000]yyyy-mm-dd")</f>
        <v/>
      </c>
      <c r="C62572" t="inlineStr">
        <is>
          <t>2071-03-25</t>
        </is>
      </c>
    </row>
    <row r="62573">
      <c r="A62573" s="1" t="n">
        <v>62572</v>
      </c>
      <c r="B62573">
        <f>TEXT(62572, "[$-0E0000]yyyy-mm-dd")</f>
        <v/>
      </c>
      <c r="C62573" t="inlineStr">
        <is>
          <t>2071-03-26</t>
        </is>
      </c>
    </row>
    <row r="62574">
      <c r="A62574" s="1" t="n">
        <v>62573</v>
      </c>
      <c r="B62574">
        <f>TEXT(62573, "[$-0E0000]yyyy-mm-dd")</f>
        <v/>
      </c>
      <c r="C62574" t="inlineStr">
        <is>
          <t>2071-03-27</t>
        </is>
      </c>
    </row>
    <row r="62575">
      <c r="A62575" s="1" t="n">
        <v>62574</v>
      </c>
      <c r="B62575">
        <f>TEXT(62574, "[$-0E0000]yyyy-mm-dd")</f>
        <v/>
      </c>
      <c r="C62575" t="inlineStr">
        <is>
          <t>2071-03-28</t>
        </is>
      </c>
    </row>
    <row r="62576">
      <c r="A62576" s="1" t="n">
        <v>62575</v>
      </c>
      <c r="B62576">
        <f>TEXT(62575, "[$-0E0000]yyyy-mm-dd")</f>
        <v/>
      </c>
      <c r="C62576" t="inlineStr">
        <is>
          <t>2071-03-29</t>
        </is>
      </c>
    </row>
    <row r="62577">
      <c r="A62577" s="1" t="n">
        <v>62576</v>
      </c>
      <c r="B62577">
        <f>TEXT(62576, "[$-0E0000]yyyy-mm-dd")</f>
        <v/>
      </c>
      <c r="C62577" t="inlineStr">
        <is>
          <t>2071-03-30</t>
        </is>
      </c>
    </row>
    <row r="62578">
      <c r="A62578" s="1" t="n">
        <v>62577</v>
      </c>
      <c r="B62578">
        <f>TEXT(62577, "[$-0E0000]yyyy-mm-dd")</f>
        <v/>
      </c>
      <c r="C62578" t="inlineStr">
        <is>
          <t>2071-04-01</t>
        </is>
      </c>
    </row>
    <row r="62579">
      <c r="A62579" s="1" t="n">
        <v>62578</v>
      </c>
      <c r="B62579">
        <f>TEXT(62578, "[$-0E0000]yyyy-mm-dd")</f>
        <v/>
      </c>
      <c r="C62579" t="inlineStr">
        <is>
          <t>2071-04-02</t>
        </is>
      </c>
    </row>
    <row r="62580">
      <c r="A62580" s="1" t="n">
        <v>62579</v>
      </c>
      <c r="B62580">
        <f>TEXT(62579, "[$-0E0000]yyyy-mm-dd")</f>
        <v/>
      </c>
      <c r="C62580" t="inlineStr">
        <is>
          <t>2071-04-03</t>
        </is>
      </c>
    </row>
    <row r="62581">
      <c r="A62581" s="1" t="n">
        <v>62580</v>
      </c>
      <c r="B62581">
        <f>TEXT(62580, "[$-0E0000]yyyy-mm-dd")</f>
        <v/>
      </c>
      <c r="C62581" t="inlineStr">
        <is>
          <t>2071-04-04</t>
        </is>
      </c>
    </row>
    <row r="62582">
      <c r="A62582" s="1" t="n">
        <v>62581</v>
      </c>
      <c r="B62582">
        <f>TEXT(62581, "[$-0E0000]yyyy-mm-dd")</f>
        <v/>
      </c>
      <c r="C62582" t="inlineStr">
        <is>
          <t>2071-04-05</t>
        </is>
      </c>
    </row>
    <row r="62583">
      <c r="A62583" s="1" t="n">
        <v>62582</v>
      </c>
      <c r="B62583">
        <f>TEXT(62582, "[$-0E0000]yyyy-mm-dd")</f>
        <v/>
      </c>
      <c r="C62583" t="inlineStr">
        <is>
          <t>2071-04-06</t>
        </is>
      </c>
    </row>
    <row r="62584">
      <c r="A62584" s="1" t="n">
        <v>62583</v>
      </c>
      <c r="B62584">
        <f>TEXT(62583, "[$-0E0000]yyyy-mm-dd")</f>
        <v/>
      </c>
      <c r="C62584" t="inlineStr">
        <is>
          <t>2071-04-07</t>
        </is>
      </c>
    </row>
    <row r="62585">
      <c r="A62585" s="1" t="n">
        <v>62584</v>
      </c>
      <c r="B62585">
        <f>TEXT(62584, "[$-0E0000]yyyy-mm-dd")</f>
        <v/>
      </c>
      <c r="C62585" t="inlineStr">
        <is>
          <t>2071-04-08</t>
        </is>
      </c>
    </row>
    <row r="62586">
      <c r="A62586" s="1" t="n">
        <v>62585</v>
      </c>
      <c r="B62586">
        <f>TEXT(62585, "[$-0E0000]yyyy-mm-dd")</f>
        <v/>
      </c>
      <c r="C62586" t="inlineStr">
        <is>
          <t>2071-04-09</t>
        </is>
      </c>
    </row>
    <row r="62587">
      <c r="A62587" s="1" t="n">
        <v>62586</v>
      </c>
      <c r="B62587">
        <f>TEXT(62586, "[$-0E0000]yyyy-mm-dd")</f>
        <v/>
      </c>
      <c r="C62587" t="inlineStr">
        <is>
          <t>2071-04-10</t>
        </is>
      </c>
    </row>
    <row r="62588">
      <c r="A62588" s="1" t="n">
        <v>62587</v>
      </c>
      <c r="B62588">
        <f>TEXT(62587, "[$-0E0000]yyyy-mm-dd")</f>
        <v/>
      </c>
      <c r="C62588" t="inlineStr">
        <is>
          <t>2071-04-11</t>
        </is>
      </c>
    </row>
    <row r="62589">
      <c r="A62589" s="1" t="n">
        <v>62588</v>
      </c>
      <c r="B62589">
        <f>TEXT(62588, "[$-0E0000]yyyy-mm-dd")</f>
        <v/>
      </c>
      <c r="C62589" t="inlineStr">
        <is>
          <t>2071-04-12</t>
        </is>
      </c>
    </row>
    <row r="62590">
      <c r="A62590" s="1" t="n">
        <v>62589</v>
      </c>
      <c r="B62590">
        <f>TEXT(62589, "[$-0E0000]yyyy-mm-dd")</f>
        <v/>
      </c>
      <c r="C62590" t="inlineStr">
        <is>
          <t>2071-04-13</t>
        </is>
      </c>
    </row>
    <row r="62591">
      <c r="A62591" s="1" t="n">
        <v>62590</v>
      </c>
      <c r="B62591">
        <f>TEXT(62590, "[$-0E0000]yyyy-mm-dd")</f>
        <v/>
      </c>
      <c r="C62591" t="inlineStr">
        <is>
          <t>2071-04-14</t>
        </is>
      </c>
    </row>
    <row r="62592">
      <c r="A62592" s="1" t="n">
        <v>62591</v>
      </c>
      <c r="B62592">
        <f>TEXT(62591, "[$-0E0000]yyyy-mm-dd")</f>
        <v/>
      </c>
      <c r="C62592" t="inlineStr">
        <is>
          <t>2071-04-15</t>
        </is>
      </c>
    </row>
    <row r="62593">
      <c r="A62593" s="1" t="n">
        <v>62592</v>
      </c>
      <c r="B62593">
        <f>TEXT(62592, "[$-0E0000]yyyy-mm-dd")</f>
        <v/>
      </c>
      <c r="C62593" t="inlineStr">
        <is>
          <t>2071-04-16</t>
        </is>
      </c>
    </row>
    <row r="62594">
      <c r="A62594" s="1" t="n">
        <v>62593</v>
      </c>
      <c r="B62594">
        <f>TEXT(62593, "[$-0E0000]yyyy-mm-dd")</f>
        <v/>
      </c>
      <c r="C62594" t="inlineStr">
        <is>
          <t>2071-04-17</t>
        </is>
      </c>
    </row>
    <row r="62595">
      <c r="A62595" s="1" t="n">
        <v>62594</v>
      </c>
      <c r="B62595">
        <f>TEXT(62594, "[$-0E0000]yyyy-mm-dd")</f>
        <v/>
      </c>
      <c r="C62595" t="inlineStr">
        <is>
          <t>2071-04-18</t>
        </is>
      </c>
    </row>
    <row r="62596">
      <c r="A62596" s="1" t="n">
        <v>62595</v>
      </c>
      <c r="B62596">
        <f>TEXT(62595, "[$-0E0000]yyyy-mm-dd")</f>
        <v/>
      </c>
      <c r="C62596" t="inlineStr">
        <is>
          <t>2071-04-19</t>
        </is>
      </c>
    </row>
    <row r="62597">
      <c r="A62597" s="1" t="n">
        <v>62596</v>
      </c>
      <c r="B62597">
        <f>TEXT(62596, "[$-0E0000]yyyy-mm-dd")</f>
        <v/>
      </c>
      <c r="C62597" t="inlineStr">
        <is>
          <t>2071-04-20</t>
        </is>
      </c>
    </row>
    <row r="62598">
      <c r="A62598" s="1" t="n">
        <v>62597</v>
      </c>
      <c r="B62598">
        <f>TEXT(62597, "[$-0E0000]yyyy-mm-dd")</f>
        <v/>
      </c>
      <c r="C62598" t="inlineStr">
        <is>
          <t>2071-04-21</t>
        </is>
      </c>
    </row>
    <row r="62599">
      <c r="A62599" s="1" t="n">
        <v>62598</v>
      </c>
      <c r="B62599">
        <f>TEXT(62598, "[$-0E0000]yyyy-mm-dd")</f>
        <v/>
      </c>
      <c r="C62599" t="inlineStr">
        <is>
          <t>2071-04-22</t>
        </is>
      </c>
    </row>
    <row r="62600">
      <c r="A62600" s="1" t="n">
        <v>62599</v>
      </c>
      <c r="B62600">
        <f>TEXT(62599, "[$-0E0000]yyyy-mm-dd")</f>
        <v/>
      </c>
      <c r="C62600" t="inlineStr">
        <is>
          <t>2071-04-23</t>
        </is>
      </c>
    </row>
    <row r="62601">
      <c r="A62601" s="1" t="n">
        <v>62600</v>
      </c>
      <c r="B62601">
        <f>TEXT(62600, "[$-0E0000]yyyy-mm-dd")</f>
        <v/>
      </c>
      <c r="C62601" t="inlineStr">
        <is>
          <t>2071-04-24</t>
        </is>
      </c>
    </row>
    <row r="62602">
      <c r="A62602" s="1" t="n">
        <v>62601</v>
      </c>
      <c r="B62602">
        <f>TEXT(62601, "[$-0E0000]yyyy-mm-dd")</f>
        <v/>
      </c>
      <c r="C62602" t="inlineStr">
        <is>
          <t>2071-04-25</t>
        </is>
      </c>
    </row>
    <row r="62603">
      <c r="A62603" s="1" t="n">
        <v>62602</v>
      </c>
      <c r="B62603">
        <f>TEXT(62602, "[$-0E0000]yyyy-mm-dd")</f>
        <v/>
      </c>
      <c r="C62603" t="inlineStr">
        <is>
          <t>2071-04-26</t>
        </is>
      </c>
    </row>
    <row r="62604">
      <c r="A62604" s="1" t="n">
        <v>62603</v>
      </c>
      <c r="B62604">
        <f>TEXT(62603, "[$-0E0000]yyyy-mm-dd")</f>
        <v/>
      </c>
      <c r="C62604" t="inlineStr">
        <is>
          <t>2071-04-27</t>
        </is>
      </c>
    </row>
    <row r="62605">
      <c r="A62605" s="1" t="n">
        <v>62604</v>
      </c>
      <c r="B62605">
        <f>TEXT(62604, "[$-0E0000]yyyy-mm-dd")</f>
        <v/>
      </c>
      <c r="C62605" t="inlineStr">
        <is>
          <t>2071-04-28</t>
        </is>
      </c>
    </row>
    <row r="62606">
      <c r="A62606" s="1" t="n">
        <v>62605</v>
      </c>
      <c r="B62606">
        <f>TEXT(62605, "[$-0E0000]yyyy-mm-dd")</f>
        <v/>
      </c>
      <c r="C62606" t="inlineStr">
        <is>
          <t>2071-04-29</t>
        </is>
      </c>
    </row>
    <row r="62607">
      <c r="A62607" s="1" t="n">
        <v>62606</v>
      </c>
      <c r="B62607">
        <f>TEXT(62606, "[$-0E0000]yyyy-mm-dd")</f>
        <v/>
      </c>
      <c r="C62607" t="inlineStr">
        <is>
          <t>2071-05-01</t>
        </is>
      </c>
    </row>
    <row r="62608">
      <c r="A62608" s="1" t="n">
        <v>62607</v>
      </c>
      <c r="B62608">
        <f>TEXT(62607, "[$-0E0000]yyyy-mm-dd")</f>
        <v/>
      </c>
      <c r="C62608" t="inlineStr">
        <is>
          <t>2071-05-02</t>
        </is>
      </c>
    </row>
    <row r="62609">
      <c r="A62609" s="1" t="n">
        <v>62608</v>
      </c>
      <c r="B62609">
        <f>TEXT(62608, "[$-0E0000]yyyy-mm-dd")</f>
        <v/>
      </c>
      <c r="C62609" t="inlineStr">
        <is>
          <t>2071-05-03</t>
        </is>
      </c>
    </row>
    <row r="62610">
      <c r="A62610" s="1" t="n">
        <v>62609</v>
      </c>
      <c r="B62610">
        <f>TEXT(62609, "[$-0E0000]yyyy-mm-dd")</f>
        <v/>
      </c>
      <c r="C62610" t="inlineStr">
        <is>
          <t>2071-05-04</t>
        </is>
      </c>
    </row>
    <row r="62611">
      <c r="A62611" s="1" t="n">
        <v>62610</v>
      </c>
      <c r="B62611">
        <f>TEXT(62610, "[$-0E0000]yyyy-mm-dd")</f>
        <v/>
      </c>
      <c r="C62611" t="inlineStr">
        <is>
          <t>2071-05-05</t>
        </is>
      </c>
    </row>
    <row r="62612">
      <c r="A62612" s="1" t="n">
        <v>62611</v>
      </c>
      <c r="B62612">
        <f>TEXT(62611, "[$-0E0000]yyyy-mm-dd")</f>
        <v/>
      </c>
      <c r="C62612" t="inlineStr">
        <is>
          <t>2071-05-06</t>
        </is>
      </c>
    </row>
    <row r="62613">
      <c r="A62613" s="1" t="n">
        <v>62612</v>
      </c>
      <c r="B62613">
        <f>TEXT(62612, "[$-0E0000]yyyy-mm-dd")</f>
        <v/>
      </c>
      <c r="C62613" t="inlineStr">
        <is>
          <t>2071-05-07</t>
        </is>
      </c>
    </row>
    <row r="62614">
      <c r="A62614" s="1" t="n">
        <v>62613</v>
      </c>
      <c r="B62614">
        <f>TEXT(62613, "[$-0E0000]yyyy-mm-dd")</f>
        <v/>
      </c>
      <c r="C62614" t="inlineStr">
        <is>
          <t>2071-05-08</t>
        </is>
      </c>
    </row>
    <row r="62615">
      <c r="A62615" s="1" t="n">
        <v>62614</v>
      </c>
      <c r="B62615">
        <f>TEXT(62614, "[$-0E0000]yyyy-mm-dd")</f>
        <v/>
      </c>
      <c r="C62615" t="inlineStr">
        <is>
          <t>2071-05-09</t>
        </is>
      </c>
    </row>
    <row r="62616">
      <c r="A62616" s="1" t="n">
        <v>62615</v>
      </c>
      <c r="B62616">
        <f>TEXT(62615, "[$-0E0000]yyyy-mm-dd")</f>
        <v/>
      </c>
      <c r="C62616" t="inlineStr">
        <is>
          <t>2071-05-10</t>
        </is>
      </c>
    </row>
    <row r="62617">
      <c r="A62617" s="1" t="n">
        <v>62616</v>
      </c>
      <c r="B62617">
        <f>TEXT(62616, "[$-0E0000]yyyy-mm-dd")</f>
        <v/>
      </c>
      <c r="C62617" t="inlineStr">
        <is>
          <t>2071-05-11</t>
        </is>
      </c>
    </row>
    <row r="62618">
      <c r="A62618" s="1" t="n">
        <v>62617</v>
      </c>
      <c r="B62618">
        <f>TEXT(62617, "[$-0E0000]yyyy-mm-dd")</f>
        <v/>
      </c>
      <c r="C62618" t="inlineStr">
        <is>
          <t>2071-05-12</t>
        </is>
      </c>
    </row>
    <row r="62619">
      <c r="A62619" s="1" t="n">
        <v>62618</v>
      </c>
      <c r="B62619">
        <f>TEXT(62618, "[$-0E0000]yyyy-mm-dd")</f>
        <v/>
      </c>
      <c r="C62619" t="inlineStr">
        <is>
          <t>2071-05-13</t>
        </is>
      </c>
    </row>
    <row r="62620">
      <c r="A62620" s="1" t="n">
        <v>62619</v>
      </c>
      <c r="B62620">
        <f>TEXT(62619, "[$-0E0000]yyyy-mm-dd")</f>
        <v/>
      </c>
      <c r="C62620" t="inlineStr">
        <is>
          <t>2071-05-14</t>
        </is>
      </c>
    </row>
    <row r="62621">
      <c r="A62621" s="1" t="n">
        <v>62620</v>
      </c>
      <c r="B62621">
        <f>TEXT(62620, "[$-0E0000]yyyy-mm-dd")</f>
        <v/>
      </c>
      <c r="C62621" t="inlineStr">
        <is>
          <t>2071-05-15</t>
        </is>
      </c>
    </row>
    <row r="62622">
      <c r="A62622" s="1" t="n">
        <v>62621</v>
      </c>
      <c r="B62622">
        <f>TEXT(62621, "[$-0E0000]yyyy-mm-dd")</f>
        <v/>
      </c>
      <c r="C62622" t="inlineStr">
        <is>
          <t>2071-05-16</t>
        </is>
      </c>
    </row>
    <row r="62623">
      <c r="A62623" s="1" t="n">
        <v>62622</v>
      </c>
      <c r="B62623">
        <f>TEXT(62622, "[$-0E0000]yyyy-mm-dd")</f>
        <v/>
      </c>
      <c r="C62623" t="inlineStr">
        <is>
          <t>2071-05-17</t>
        </is>
      </c>
    </row>
    <row r="62624">
      <c r="A62624" s="1" t="n">
        <v>62623</v>
      </c>
      <c r="B62624">
        <f>TEXT(62623, "[$-0E0000]yyyy-mm-dd")</f>
        <v/>
      </c>
      <c r="C62624" t="inlineStr">
        <is>
          <t>2071-05-18</t>
        </is>
      </c>
    </row>
    <row r="62625">
      <c r="A62625" s="1" t="n">
        <v>62624</v>
      </c>
      <c r="B62625">
        <f>TEXT(62624, "[$-0E0000]yyyy-mm-dd")</f>
        <v/>
      </c>
      <c r="C62625" t="inlineStr">
        <is>
          <t>2071-05-19</t>
        </is>
      </c>
    </row>
    <row r="62626">
      <c r="A62626" s="1" t="n">
        <v>62625</v>
      </c>
      <c r="B62626">
        <f>TEXT(62625, "[$-0E0000]yyyy-mm-dd")</f>
        <v/>
      </c>
      <c r="C62626" t="inlineStr">
        <is>
          <t>2071-05-20</t>
        </is>
      </c>
    </row>
    <row r="62627">
      <c r="A62627" s="1" t="n">
        <v>62626</v>
      </c>
      <c r="B62627">
        <f>TEXT(62626, "[$-0E0000]yyyy-mm-dd")</f>
        <v/>
      </c>
      <c r="C62627" t="inlineStr">
        <is>
          <t>2071-05-21</t>
        </is>
      </c>
    </row>
    <row r="62628">
      <c r="A62628" s="1" t="n">
        <v>62627</v>
      </c>
      <c r="B62628">
        <f>TEXT(62627, "[$-0E0000]yyyy-mm-dd")</f>
        <v/>
      </c>
      <c r="C62628" t="inlineStr">
        <is>
          <t>2071-05-22</t>
        </is>
      </c>
    </row>
    <row r="62629">
      <c r="A62629" s="1" t="n">
        <v>62628</v>
      </c>
      <c r="B62629">
        <f>TEXT(62628, "[$-0E0000]yyyy-mm-dd")</f>
        <v/>
      </c>
      <c r="C62629" t="inlineStr">
        <is>
          <t>2071-05-23</t>
        </is>
      </c>
    </row>
    <row r="62630">
      <c r="A62630" s="1" t="n">
        <v>62629</v>
      </c>
      <c r="B62630">
        <f>TEXT(62629, "[$-0E0000]yyyy-mm-dd")</f>
        <v/>
      </c>
      <c r="C62630" t="inlineStr">
        <is>
          <t>2071-05-24</t>
        </is>
      </c>
    </row>
    <row r="62631">
      <c r="A62631" s="1" t="n">
        <v>62630</v>
      </c>
      <c r="B62631">
        <f>TEXT(62630, "[$-0E0000]yyyy-mm-dd")</f>
        <v/>
      </c>
      <c r="C62631" t="inlineStr">
        <is>
          <t>2071-05-25</t>
        </is>
      </c>
    </row>
    <row r="62632">
      <c r="A62632" s="1" t="n">
        <v>62631</v>
      </c>
      <c r="B62632">
        <f>TEXT(62631, "[$-0E0000]yyyy-mm-dd")</f>
        <v/>
      </c>
      <c r="C62632" t="inlineStr">
        <is>
          <t>2071-05-26</t>
        </is>
      </c>
    </row>
    <row r="62633">
      <c r="A62633" s="1" t="n">
        <v>62632</v>
      </c>
      <c r="B62633">
        <f>TEXT(62632, "[$-0E0000]yyyy-mm-dd")</f>
        <v/>
      </c>
      <c r="C62633" t="inlineStr">
        <is>
          <t>2071-05-27</t>
        </is>
      </c>
    </row>
    <row r="62634">
      <c r="A62634" s="1" t="n">
        <v>62633</v>
      </c>
      <c r="B62634">
        <f>TEXT(62633, "[$-0E0000]yyyy-mm-dd")</f>
        <v/>
      </c>
      <c r="C62634" t="inlineStr">
        <is>
          <t>2071-05-28</t>
        </is>
      </c>
    </row>
    <row r="62635">
      <c r="A62635" s="1" t="n">
        <v>62634</v>
      </c>
      <c r="B62635">
        <f>TEXT(62634, "[$-0E0000]yyyy-mm-dd")</f>
        <v/>
      </c>
      <c r="C62635" t="inlineStr">
        <is>
          <t>2071-05-29</t>
        </is>
      </c>
    </row>
    <row r="62636">
      <c r="A62636" s="1" t="n">
        <v>62635</v>
      </c>
      <c r="B62636">
        <f>TEXT(62635, "[$-0E0000]yyyy-mm-dd")</f>
        <v/>
      </c>
      <c r="C62636" t="inlineStr">
        <is>
          <t>2071-05-30</t>
        </is>
      </c>
    </row>
    <row r="62637">
      <c r="A62637" s="1" t="n">
        <v>62636</v>
      </c>
      <c r="B62637">
        <f>TEXT(62636, "[$-0E0000]yyyy-mm-dd")</f>
        <v/>
      </c>
      <c r="C62637" t="inlineStr">
        <is>
          <t>2071-06-01</t>
        </is>
      </c>
    </row>
    <row r="62638">
      <c r="A62638" s="1" t="n">
        <v>62637</v>
      </c>
      <c r="B62638">
        <f>TEXT(62637, "[$-0E0000]yyyy-mm-dd")</f>
        <v/>
      </c>
      <c r="C62638" t="inlineStr">
        <is>
          <t>2071-06-02</t>
        </is>
      </c>
    </row>
    <row r="62639">
      <c r="A62639" s="1" t="n">
        <v>62638</v>
      </c>
      <c r="B62639">
        <f>TEXT(62638, "[$-0E0000]yyyy-mm-dd")</f>
        <v/>
      </c>
      <c r="C62639" t="inlineStr">
        <is>
          <t>2071-06-03</t>
        </is>
      </c>
    </row>
    <row r="62640">
      <c r="A62640" s="1" t="n">
        <v>62639</v>
      </c>
      <c r="B62640">
        <f>TEXT(62639, "[$-0E0000]yyyy-mm-dd")</f>
        <v/>
      </c>
      <c r="C62640" t="inlineStr">
        <is>
          <t>2071-06-04</t>
        </is>
      </c>
    </row>
    <row r="62641">
      <c r="A62641" s="1" t="n">
        <v>62640</v>
      </c>
      <c r="B62641">
        <f>TEXT(62640, "[$-0E0000]yyyy-mm-dd")</f>
        <v/>
      </c>
      <c r="C62641" t="inlineStr">
        <is>
          <t>2071-06-05</t>
        </is>
      </c>
    </row>
    <row r="62642">
      <c r="A62642" s="1" t="n">
        <v>62641</v>
      </c>
      <c r="B62642">
        <f>TEXT(62641, "[$-0E0000]yyyy-mm-dd")</f>
        <v/>
      </c>
      <c r="C62642" t="inlineStr">
        <is>
          <t>2071-06-06</t>
        </is>
      </c>
    </row>
    <row r="62643">
      <c r="A62643" s="1" t="n">
        <v>62642</v>
      </c>
      <c r="B62643">
        <f>TEXT(62642, "[$-0E0000]yyyy-mm-dd")</f>
        <v/>
      </c>
      <c r="C62643" t="inlineStr">
        <is>
          <t>2071-06-07</t>
        </is>
      </c>
    </row>
    <row r="62644">
      <c r="A62644" s="1" t="n">
        <v>62643</v>
      </c>
      <c r="B62644">
        <f>TEXT(62643, "[$-0E0000]yyyy-mm-dd")</f>
        <v/>
      </c>
      <c r="C62644" t="inlineStr">
        <is>
          <t>2071-06-08</t>
        </is>
      </c>
    </row>
    <row r="62645">
      <c r="A62645" s="1" t="n">
        <v>62644</v>
      </c>
      <c r="B62645">
        <f>TEXT(62644, "[$-0E0000]yyyy-mm-dd")</f>
        <v/>
      </c>
      <c r="C62645" t="inlineStr">
        <is>
          <t>2071-06-09</t>
        </is>
      </c>
    </row>
    <row r="62646">
      <c r="A62646" s="1" t="n">
        <v>62645</v>
      </c>
      <c r="B62646">
        <f>TEXT(62645, "[$-0E0000]yyyy-mm-dd")</f>
        <v/>
      </c>
      <c r="C62646" t="inlineStr">
        <is>
          <t>2071-06-10</t>
        </is>
      </c>
    </row>
    <row r="62647">
      <c r="A62647" s="1" t="n">
        <v>62646</v>
      </c>
      <c r="B62647">
        <f>TEXT(62646, "[$-0E0000]yyyy-mm-dd")</f>
        <v/>
      </c>
      <c r="C62647" t="inlineStr">
        <is>
          <t>2071-06-11</t>
        </is>
      </c>
    </row>
    <row r="62648">
      <c r="A62648" s="1" t="n">
        <v>62647</v>
      </c>
      <c r="B62648">
        <f>TEXT(62647, "[$-0E0000]yyyy-mm-dd")</f>
        <v/>
      </c>
      <c r="C62648" t="inlineStr">
        <is>
          <t>2071-06-12</t>
        </is>
      </c>
    </row>
    <row r="62649">
      <c r="A62649" s="1" t="n">
        <v>62648</v>
      </c>
      <c r="B62649">
        <f>TEXT(62648, "[$-0E0000]yyyy-mm-dd")</f>
        <v/>
      </c>
      <c r="C62649" t="inlineStr">
        <is>
          <t>2071-06-13</t>
        </is>
      </c>
    </row>
    <row r="62650">
      <c r="A62650" s="1" t="n">
        <v>62649</v>
      </c>
      <c r="B62650">
        <f>TEXT(62649, "[$-0E0000]yyyy-mm-dd")</f>
        <v/>
      </c>
      <c r="C62650" t="inlineStr">
        <is>
          <t>2071-06-14</t>
        </is>
      </c>
    </row>
    <row r="62651">
      <c r="A62651" s="1" t="n">
        <v>62650</v>
      </c>
      <c r="B62651">
        <f>TEXT(62650, "[$-0E0000]yyyy-mm-dd")</f>
        <v/>
      </c>
      <c r="C62651" t="inlineStr">
        <is>
          <t>2071-06-15</t>
        </is>
      </c>
    </row>
    <row r="62652">
      <c r="A62652" s="1" t="n">
        <v>62651</v>
      </c>
      <c r="B62652">
        <f>TEXT(62651, "[$-0E0000]yyyy-mm-dd")</f>
        <v/>
      </c>
      <c r="C62652" t="inlineStr">
        <is>
          <t>2071-06-16</t>
        </is>
      </c>
    </row>
    <row r="62653">
      <c r="A62653" s="1" t="n">
        <v>62652</v>
      </c>
      <c r="B62653">
        <f>TEXT(62652, "[$-0E0000]yyyy-mm-dd")</f>
        <v/>
      </c>
      <c r="C62653" t="inlineStr">
        <is>
          <t>2071-06-17</t>
        </is>
      </c>
    </row>
    <row r="62654">
      <c r="A62654" s="1" t="n">
        <v>62653</v>
      </c>
      <c r="B62654">
        <f>TEXT(62653, "[$-0E0000]yyyy-mm-dd")</f>
        <v/>
      </c>
      <c r="C62654" t="inlineStr">
        <is>
          <t>2071-06-18</t>
        </is>
      </c>
    </row>
    <row r="62655">
      <c r="A62655" s="1" t="n">
        <v>62654</v>
      </c>
      <c r="B62655">
        <f>TEXT(62654, "[$-0E0000]yyyy-mm-dd")</f>
        <v/>
      </c>
      <c r="C62655" t="inlineStr">
        <is>
          <t>2071-06-19</t>
        </is>
      </c>
    </row>
    <row r="62656">
      <c r="A62656" s="1" t="n">
        <v>62655</v>
      </c>
      <c r="B62656">
        <f>TEXT(62655, "[$-0E0000]yyyy-mm-dd")</f>
        <v/>
      </c>
      <c r="C62656" t="inlineStr">
        <is>
          <t>2071-06-20</t>
        </is>
      </c>
    </row>
    <row r="62657">
      <c r="A62657" s="1" t="n">
        <v>62656</v>
      </c>
      <c r="B62657">
        <f>TEXT(62656, "[$-0E0000]yyyy-mm-dd")</f>
        <v/>
      </c>
      <c r="C62657" t="inlineStr">
        <is>
          <t>2071-06-21</t>
        </is>
      </c>
    </row>
    <row r="62658">
      <c r="A62658" s="1" t="n">
        <v>62657</v>
      </c>
      <c r="B62658">
        <f>TEXT(62657, "[$-0E0000]yyyy-mm-dd")</f>
        <v/>
      </c>
      <c r="C62658" t="inlineStr">
        <is>
          <t>2071-06-22</t>
        </is>
      </c>
    </row>
    <row r="62659">
      <c r="A62659" s="1" t="n">
        <v>62658</v>
      </c>
      <c r="B62659">
        <f>TEXT(62658, "[$-0E0000]yyyy-mm-dd")</f>
        <v/>
      </c>
      <c r="C62659" t="inlineStr">
        <is>
          <t>2071-06-23</t>
        </is>
      </c>
    </row>
    <row r="62660">
      <c r="A62660" s="1" t="n">
        <v>62659</v>
      </c>
      <c r="B62660">
        <f>TEXT(62659, "[$-0E0000]yyyy-mm-dd")</f>
        <v/>
      </c>
      <c r="C62660" t="inlineStr">
        <is>
          <t>2071-06-24</t>
        </is>
      </c>
    </row>
    <row r="62661">
      <c r="A62661" s="1" t="n">
        <v>62660</v>
      </c>
      <c r="B62661">
        <f>TEXT(62660, "[$-0E0000]yyyy-mm-dd")</f>
        <v/>
      </c>
      <c r="C62661" t="inlineStr">
        <is>
          <t>2071-06-25</t>
        </is>
      </c>
    </row>
    <row r="62662">
      <c r="A62662" s="1" t="n">
        <v>62661</v>
      </c>
      <c r="B62662">
        <f>TEXT(62661, "[$-0E0000]yyyy-mm-dd")</f>
        <v/>
      </c>
      <c r="C62662" t="inlineStr">
        <is>
          <t>2071-06-26</t>
        </is>
      </c>
    </row>
    <row r="62663">
      <c r="A62663" s="1" t="n">
        <v>62662</v>
      </c>
      <c r="B62663">
        <f>TEXT(62662, "[$-0E0000]yyyy-mm-dd")</f>
        <v/>
      </c>
      <c r="C62663" t="inlineStr">
        <is>
          <t>2071-06-27</t>
        </is>
      </c>
    </row>
    <row r="62664">
      <c r="A62664" s="1" t="n">
        <v>62663</v>
      </c>
      <c r="B62664">
        <f>TEXT(62663, "[$-0E0000]yyyy-mm-dd")</f>
        <v/>
      </c>
      <c r="C62664" t="inlineStr">
        <is>
          <t>2071-06-28</t>
        </is>
      </c>
    </row>
    <row r="62665">
      <c r="A62665" s="1" t="n">
        <v>62664</v>
      </c>
      <c r="B62665">
        <f>TEXT(62664, "[$-0E0000]yyyy-mm-dd")</f>
        <v/>
      </c>
      <c r="C62665" t="inlineStr">
        <is>
          <t>2071-06-29</t>
        </is>
      </c>
    </row>
    <row r="62666">
      <c r="A62666" s="1" t="n">
        <v>62665</v>
      </c>
      <c r="B62666">
        <f>TEXT(62665, "[$-0E0000]yyyy-mm-dd")</f>
        <v/>
      </c>
      <c r="C62666" t="inlineStr">
        <is>
          <t>2071-07-01</t>
        </is>
      </c>
    </row>
    <row r="62667">
      <c r="A62667" s="1" t="n">
        <v>62666</v>
      </c>
      <c r="B62667">
        <f>TEXT(62666, "[$-0E0000]yyyy-mm-dd")</f>
        <v/>
      </c>
      <c r="C62667" t="inlineStr">
        <is>
          <t>2071-07-02</t>
        </is>
      </c>
    </row>
    <row r="62668">
      <c r="A62668" s="1" t="n">
        <v>62667</v>
      </c>
      <c r="B62668">
        <f>TEXT(62667, "[$-0E0000]yyyy-mm-dd")</f>
        <v/>
      </c>
      <c r="C62668" t="inlineStr">
        <is>
          <t>2071-07-03</t>
        </is>
      </c>
    </row>
    <row r="62669">
      <c r="A62669" s="1" t="n">
        <v>62668</v>
      </c>
      <c r="B62669">
        <f>TEXT(62668, "[$-0E0000]yyyy-mm-dd")</f>
        <v/>
      </c>
      <c r="C62669" t="inlineStr">
        <is>
          <t>2071-07-04</t>
        </is>
      </c>
    </row>
    <row r="62670">
      <c r="A62670" s="1" t="n">
        <v>62669</v>
      </c>
      <c r="B62670">
        <f>TEXT(62669, "[$-0E0000]yyyy-mm-dd")</f>
        <v/>
      </c>
      <c r="C62670" t="inlineStr">
        <is>
          <t>2071-07-05</t>
        </is>
      </c>
    </row>
    <row r="62671">
      <c r="A62671" s="1" t="n">
        <v>62670</v>
      </c>
      <c r="B62671">
        <f>TEXT(62670, "[$-0E0000]yyyy-mm-dd")</f>
        <v/>
      </c>
      <c r="C62671" t="inlineStr">
        <is>
          <t>2071-07-06</t>
        </is>
      </c>
    </row>
    <row r="62672">
      <c r="A62672" s="1" t="n">
        <v>62671</v>
      </c>
      <c r="B62672">
        <f>TEXT(62671, "[$-0E0000]yyyy-mm-dd")</f>
        <v/>
      </c>
      <c r="C62672" t="inlineStr">
        <is>
          <t>2071-07-07</t>
        </is>
      </c>
    </row>
    <row r="62673">
      <c r="A62673" s="1" t="n">
        <v>62672</v>
      </c>
      <c r="B62673">
        <f>TEXT(62672, "[$-0E0000]yyyy-mm-dd")</f>
        <v/>
      </c>
      <c r="C62673" t="inlineStr">
        <is>
          <t>2071-07-08</t>
        </is>
      </c>
    </row>
    <row r="62674">
      <c r="A62674" s="1" t="n">
        <v>62673</v>
      </c>
      <c r="B62674">
        <f>TEXT(62673, "[$-0E0000]yyyy-mm-dd")</f>
        <v/>
      </c>
      <c r="C62674" t="inlineStr">
        <is>
          <t>2071-07-09</t>
        </is>
      </c>
    </row>
    <row r="62675">
      <c r="A62675" s="1" t="n">
        <v>62674</v>
      </c>
      <c r="B62675">
        <f>TEXT(62674, "[$-0E0000]yyyy-mm-dd")</f>
        <v/>
      </c>
      <c r="C62675" t="inlineStr">
        <is>
          <t>2071-07-10</t>
        </is>
      </c>
    </row>
    <row r="62676">
      <c r="A62676" s="1" t="n">
        <v>62675</v>
      </c>
      <c r="B62676">
        <f>TEXT(62675, "[$-0E0000]yyyy-mm-dd")</f>
        <v/>
      </c>
      <c r="C62676" t="inlineStr">
        <is>
          <t>2071-07-11</t>
        </is>
      </c>
    </row>
    <row r="62677">
      <c r="A62677" s="1" t="n">
        <v>62676</v>
      </c>
      <c r="B62677">
        <f>TEXT(62676, "[$-0E0000]yyyy-mm-dd")</f>
        <v/>
      </c>
      <c r="C62677" t="inlineStr">
        <is>
          <t>2071-07-12</t>
        </is>
      </c>
    </row>
    <row r="62678">
      <c r="A62678" s="1" t="n">
        <v>62677</v>
      </c>
      <c r="B62678">
        <f>TEXT(62677, "[$-0E0000]yyyy-mm-dd")</f>
        <v/>
      </c>
      <c r="C62678" t="inlineStr">
        <is>
          <t>2071-07-13</t>
        </is>
      </c>
    </row>
    <row r="62679">
      <c r="A62679" s="1" t="n">
        <v>62678</v>
      </c>
      <c r="B62679">
        <f>TEXT(62678, "[$-0E0000]yyyy-mm-dd")</f>
        <v/>
      </c>
      <c r="C62679" t="inlineStr">
        <is>
          <t>2071-07-14</t>
        </is>
      </c>
    </row>
    <row r="62680">
      <c r="A62680" s="1" t="n">
        <v>62679</v>
      </c>
      <c r="B62680">
        <f>TEXT(62679, "[$-0E0000]yyyy-mm-dd")</f>
        <v/>
      </c>
      <c r="C62680" t="inlineStr">
        <is>
          <t>2071-07-15</t>
        </is>
      </c>
    </row>
    <row r="62681">
      <c r="A62681" s="1" t="n">
        <v>62680</v>
      </c>
      <c r="B62681">
        <f>TEXT(62680, "[$-0E0000]yyyy-mm-dd")</f>
        <v/>
      </c>
      <c r="C62681" t="inlineStr">
        <is>
          <t>2071-07-16</t>
        </is>
      </c>
    </row>
    <row r="62682">
      <c r="A62682" s="1" t="n">
        <v>62681</v>
      </c>
      <c r="B62682">
        <f>TEXT(62681, "[$-0E0000]yyyy-mm-dd")</f>
        <v/>
      </c>
      <c r="C62682" t="inlineStr">
        <is>
          <t>2071-07-17</t>
        </is>
      </c>
    </row>
    <row r="62683">
      <c r="A62683" s="1" t="n">
        <v>62682</v>
      </c>
      <c r="B62683">
        <f>TEXT(62682, "[$-0E0000]yyyy-mm-dd")</f>
        <v/>
      </c>
      <c r="C62683" t="inlineStr">
        <is>
          <t>2071-07-18</t>
        </is>
      </c>
    </row>
    <row r="62684">
      <c r="A62684" s="1" t="n">
        <v>62683</v>
      </c>
      <c r="B62684">
        <f>TEXT(62683, "[$-0E0000]yyyy-mm-dd")</f>
        <v/>
      </c>
      <c r="C62684" t="inlineStr">
        <is>
          <t>2071-07-19</t>
        </is>
      </c>
    </row>
    <row r="62685">
      <c r="A62685" s="1" t="n">
        <v>62684</v>
      </c>
      <c r="B62685">
        <f>TEXT(62684, "[$-0E0000]yyyy-mm-dd")</f>
        <v/>
      </c>
      <c r="C62685" t="inlineStr">
        <is>
          <t>2071-07-20</t>
        </is>
      </c>
    </row>
    <row r="62686">
      <c r="A62686" s="1" t="n">
        <v>62685</v>
      </c>
      <c r="B62686">
        <f>TEXT(62685, "[$-0E0000]yyyy-mm-dd")</f>
        <v/>
      </c>
      <c r="C62686" t="inlineStr">
        <is>
          <t>2071-07-21</t>
        </is>
      </c>
    </row>
    <row r="62687">
      <c r="A62687" s="1" t="n">
        <v>62686</v>
      </c>
      <c r="B62687">
        <f>TEXT(62686, "[$-0E0000]yyyy-mm-dd")</f>
        <v/>
      </c>
      <c r="C62687" t="inlineStr">
        <is>
          <t>2071-07-22</t>
        </is>
      </c>
    </row>
    <row r="62688">
      <c r="A62688" s="1" t="n">
        <v>62687</v>
      </c>
      <c r="B62688">
        <f>TEXT(62687, "[$-0E0000]yyyy-mm-dd")</f>
        <v/>
      </c>
      <c r="C62688" t="inlineStr">
        <is>
          <t>2071-07-23</t>
        </is>
      </c>
    </row>
    <row r="62689">
      <c r="A62689" s="1" t="n">
        <v>62688</v>
      </c>
      <c r="B62689">
        <f>TEXT(62688, "[$-0E0000]yyyy-mm-dd")</f>
        <v/>
      </c>
      <c r="C62689" t="inlineStr">
        <is>
          <t>2071-07-24</t>
        </is>
      </c>
    </row>
    <row r="62690">
      <c r="A62690" s="1" t="n">
        <v>62689</v>
      </c>
      <c r="B62690">
        <f>TEXT(62689, "[$-0E0000]yyyy-mm-dd")</f>
        <v/>
      </c>
      <c r="C62690" t="inlineStr">
        <is>
          <t>2071-07-25</t>
        </is>
      </c>
    </row>
    <row r="62691">
      <c r="A62691" s="1" t="n">
        <v>62690</v>
      </c>
      <c r="B62691">
        <f>TEXT(62690, "[$-0E0000]yyyy-mm-dd")</f>
        <v/>
      </c>
      <c r="C62691" t="inlineStr">
        <is>
          <t>2071-07-26</t>
        </is>
      </c>
    </row>
    <row r="62692">
      <c r="A62692" s="1" t="n">
        <v>62691</v>
      </c>
      <c r="B62692">
        <f>TEXT(62691, "[$-0E0000]yyyy-mm-dd")</f>
        <v/>
      </c>
      <c r="C62692" t="inlineStr">
        <is>
          <t>2071-07-27</t>
        </is>
      </c>
    </row>
    <row r="62693">
      <c r="A62693" s="1" t="n">
        <v>62692</v>
      </c>
      <c r="B62693">
        <f>TEXT(62692, "[$-0E0000]yyyy-mm-dd")</f>
        <v/>
      </c>
      <c r="C62693" t="inlineStr">
        <is>
          <t>2071-07-28</t>
        </is>
      </c>
    </row>
    <row r="62694">
      <c r="A62694" s="1" t="n">
        <v>62693</v>
      </c>
      <c r="B62694">
        <f>TEXT(62693, "[$-0E0000]yyyy-mm-dd")</f>
        <v/>
      </c>
      <c r="C62694" t="inlineStr">
        <is>
          <t>2071-07-29</t>
        </is>
      </c>
    </row>
    <row r="62695">
      <c r="A62695" s="1" t="n">
        <v>62694</v>
      </c>
      <c r="B62695">
        <f>TEXT(62694, "[$-0E0000]yyyy-mm-dd")</f>
        <v/>
      </c>
      <c r="C62695" t="inlineStr">
        <is>
          <t>2071-08-01</t>
        </is>
      </c>
    </row>
    <row r="62696">
      <c r="A62696" s="1" t="n">
        <v>62695</v>
      </c>
      <c r="B62696">
        <f>TEXT(62695, "[$-0E0000]yyyy-mm-dd")</f>
        <v/>
      </c>
      <c r="C62696" t="inlineStr">
        <is>
          <t>2071-08-02</t>
        </is>
      </c>
    </row>
    <row r="62697">
      <c r="A62697" s="1" t="n">
        <v>62696</v>
      </c>
      <c r="B62697">
        <f>TEXT(62696, "[$-0E0000]yyyy-mm-dd")</f>
        <v/>
      </c>
      <c r="C62697" t="inlineStr">
        <is>
          <t>2071-08-03</t>
        </is>
      </c>
    </row>
    <row r="62698">
      <c r="A62698" s="1" t="n">
        <v>62697</v>
      </c>
      <c r="B62698">
        <f>TEXT(62697, "[$-0E0000]yyyy-mm-dd")</f>
        <v/>
      </c>
      <c r="C62698" t="inlineStr">
        <is>
          <t>2071-08-04</t>
        </is>
      </c>
    </row>
    <row r="62699">
      <c r="A62699" s="1" t="n">
        <v>62698</v>
      </c>
      <c r="B62699">
        <f>TEXT(62698, "[$-0E0000]yyyy-mm-dd")</f>
        <v/>
      </c>
      <c r="C62699" t="inlineStr">
        <is>
          <t>2071-08-05</t>
        </is>
      </c>
    </row>
    <row r="62700">
      <c r="A62700" s="1" t="n">
        <v>62699</v>
      </c>
      <c r="B62700">
        <f>TEXT(62699, "[$-0E0000]yyyy-mm-dd")</f>
        <v/>
      </c>
      <c r="C62700" t="inlineStr">
        <is>
          <t>2071-08-06</t>
        </is>
      </c>
    </row>
    <row r="62701">
      <c r="A62701" s="1" t="n">
        <v>62700</v>
      </c>
      <c r="B62701">
        <f>TEXT(62700, "[$-0E0000]yyyy-mm-dd")</f>
        <v/>
      </c>
      <c r="C62701" t="inlineStr">
        <is>
          <t>2071-08-07</t>
        </is>
      </c>
    </row>
    <row r="62702">
      <c r="A62702" s="1" t="n">
        <v>62701</v>
      </c>
      <c r="B62702">
        <f>TEXT(62701, "[$-0E0000]yyyy-mm-dd")</f>
        <v/>
      </c>
      <c r="C62702" t="inlineStr">
        <is>
          <t>2071-08-08</t>
        </is>
      </c>
    </row>
    <row r="62703">
      <c r="A62703" s="1" t="n">
        <v>62702</v>
      </c>
      <c r="B62703">
        <f>TEXT(62702, "[$-0E0000]yyyy-mm-dd")</f>
        <v/>
      </c>
      <c r="C62703" t="inlineStr">
        <is>
          <t>2071-08-09</t>
        </is>
      </c>
    </row>
    <row r="62704">
      <c r="A62704" s="1" t="n">
        <v>62703</v>
      </c>
      <c r="B62704">
        <f>TEXT(62703, "[$-0E0000]yyyy-mm-dd")</f>
        <v/>
      </c>
      <c r="C62704" t="inlineStr">
        <is>
          <t>2071-08-10</t>
        </is>
      </c>
    </row>
    <row r="62705">
      <c r="A62705" s="1" t="n">
        <v>62704</v>
      </c>
      <c r="B62705">
        <f>TEXT(62704, "[$-0E0000]yyyy-mm-dd")</f>
        <v/>
      </c>
      <c r="C62705" t="inlineStr">
        <is>
          <t>2071-08-11</t>
        </is>
      </c>
    </row>
    <row r="62706">
      <c r="A62706" s="1" t="n">
        <v>62705</v>
      </c>
      <c r="B62706">
        <f>TEXT(62705, "[$-0E0000]yyyy-mm-dd")</f>
        <v/>
      </c>
      <c r="C62706" t="inlineStr">
        <is>
          <t>2071-08-12</t>
        </is>
      </c>
    </row>
    <row r="62707">
      <c r="A62707" s="1" t="n">
        <v>62706</v>
      </c>
      <c r="B62707">
        <f>TEXT(62706, "[$-0E0000]yyyy-mm-dd")</f>
        <v/>
      </c>
      <c r="C62707" t="inlineStr">
        <is>
          <t>2071-08-13</t>
        </is>
      </c>
    </row>
    <row r="62708">
      <c r="A62708" s="1" t="n">
        <v>62707</v>
      </c>
      <c r="B62708">
        <f>TEXT(62707, "[$-0E0000]yyyy-mm-dd")</f>
        <v/>
      </c>
      <c r="C62708" t="inlineStr">
        <is>
          <t>2071-08-14</t>
        </is>
      </c>
    </row>
    <row r="62709">
      <c r="A62709" s="1" t="n">
        <v>62708</v>
      </c>
      <c r="B62709">
        <f>TEXT(62708, "[$-0E0000]yyyy-mm-dd")</f>
        <v/>
      </c>
      <c r="C62709" t="inlineStr">
        <is>
          <t>2071-08-15</t>
        </is>
      </c>
    </row>
    <row r="62710">
      <c r="A62710" s="1" t="n">
        <v>62709</v>
      </c>
      <c r="B62710">
        <f>TEXT(62709, "[$-0E0000]yyyy-mm-dd")</f>
        <v/>
      </c>
      <c r="C62710" t="inlineStr">
        <is>
          <t>2071-08-16</t>
        </is>
      </c>
    </row>
    <row r="62711">
      <c r="A62711" s="1" t="n">
        <v>62710</v>
      </c>
      <c r="B62711">
        <f>TEXT(62710, "[$-0E0000]yyyy-mm-dd")</f>
        <v/>
      </c>
      <c r="C62711" t="inlineStr">
        <is>
          <t>2071-08-17</t>
        </is>
      </c>
    </row>
    <row r="62712">
      <c r="A62712" s="1" t="n">
        <v>62711</v>
      </c>
      <c r="B62712">
        <f>TEXT(62711, "[$-0E0000]yyyy-mm-dd")</f>
        <v/>
      </c>
      <c r="C62712" t="inlineStr">
        <is>
          <t>2071-08-18</t>
        </is>
      </c>
    </row>
    <row r="62713">
      <c r="A62713" s="1" t="n">
        <v>62712</v>
      </c>
      <c r="B62713">
        <f>TEXT(62712, "[$-0E0000]yyyy-mm-dd")</f>
        <v/>
      </c>
      <c r="C62713" t="inlineStr">
        <is>
          <t>2071-08-19</t>
        </is>
      </c>
    </row>
    <row r="62714">
      <c r="A62714" s="1" t="n">
        <v>62713</v>
      </c>
      <c r="B62714">
        <f>TEXT(62713, "[$-0E0000]yyyy-mm-dd")</f>
        <v/>
      </c>
      <c r="C62714" t="inlineStr">
        <is>
          <t>2071-08-20</t>
        </is>
      </c>
    </row>
    <row r="62715">
      <c r="A62715" s="1" t="n">
        <v>62714</v>
      </c>
      <c r="B62715">
        <f>TEXT(62714, "[$-0E0000]yyyy-mm-dd")</f>
        <v/>
      </c>
      <c r="C62715" t="inlineStr">
        <is>
          <t>2071-08-21</t>
        </is>
      </c>
    </row>
    <row r="62716">
      <c r="A62716" s="1" t="n">
        <v>62715</v>
      </c>
      <c r="B62716">
        <f>TEXT(62715, "[$-0E0000]yyyy-mm-dd")</f>
        <v/>
      </c>
      <c r="C62716" t="inlineStr">
        <is>
          <t>2071-08-22</t>
        </is>
      </c>
    </row>
    <row r="62717">
      <c r="A62717" s="1" t="n">
        <v>62716</v>
      </c>
      <c r="B62717">
        <f>TEXT(62716, "[$-0E0000]yyyy-mm-dd")</f>
        <v/>
      </c>
      <c r="C62717" t="inlineStr">
        <is>
          <t>2071-08-23</t>
        </is>
      </c>
    </row>
    <row r="62718">
      <c r="A62718" s="1" t="n">
        <v>62717</v>
      </c>
      <c r="B62718">
        <f>TEXT(62717, "[$-0E0000]yyyy-mm-dd")</f>
        <v/>
      </c>
      <c r="C62718" t="inlineStr">
        <is>
          <t>2071-08-24</t>
        </is>
      </c>
    </row>
    <row r="62719">
      <c r="A62719" s="1" t="n">
        <v>62718</v>
      </c>
      <c r="B62719">
        <f>TEXT(62718, "[$-0E0000]yyyy-mm-dd")</f>
        <v/>
      </c>
      <c r="C62719" t="inlineStr">
        <is>
          <t>2071-08-25</t>
        </is>
      </c>
    </row>
    <row r="62720">
      <c r="A62720" s="1" t="n">
        <v>62719</v>
      </c>
      <c r="B62720">
        <f>TEXT(62719, "[$-0E0000]yyyy-mm-dd")</f>
        <v/>
      </c>
      <c r="C62720" t="inlineStr">
        <is>
          <t>2071-08-26</t>
        </is>
      </c>
    </row>
    <row r="62721">
      <c r="A62721" s="1" t="n">
        <v>62720</v>
      </c>
      <c r="B62721">
        <f>TEXT(62720, "[$-0E0000]yyyy-mm-dd")</f>
        <v/>
      </c>
      <c r="C62721" t="inlineStr">
        <is>
          <t>2071-08-27</t>
        </is>
      </c>
    </row>
    <row r="62722">
      <c r="A62722" s="1" t="n">
        <v>62721</v>
      </c>
      <c r="B62722">
        <f>TEXT(62721, "[$-0E0000]yyyy-mm-dd")</f>
        <v/>
      </c>
      <c r="C62722" t="inlineStr">
        <is>
          <t>2071-08-28</t>
        </is>
      </c>
    </row>
    <row r="62723">
      <c r="A62723" s="1" t="n">
        <v>62722</v>
      </c>
      <c r="B62723">
        <f>TEXT(62722, "[$-0E0000]yyyy-mm-dd")</f>
        <v/>
      </c>
      <c r="C62723" t="inlineStr">
        <is>
          <t>2071-08-29</t>
        </is>
      </c>
    </row>
    <row r="62724">
      <c r="A62724" s="1" t="n">
        <v>62723</v>
      </c>
      <c r="B62724">
        <f>TEXT(62723, "[$-0E0000]yyyy-mm-dd")</f>
        <v/>
      </c>
      <c r="C62724" t="inlineStr">
        <is>
          <t>2071-08-30</t>
        </is>
      </c>
    </row>
    <row r="62725">
      <c r="A62725" s="1" t="n">
        <v>62724</v>
      </c>
      <c r="B62725">
        <f>TEXT(62724, "[$-0E0000]yyyy-mm-dd")</f>
        <v/>
      </c>
      <c r="C62725" t="inlineStr">
        <is>
          <t>2071-08-01</t>
        </is>
      </c>
    </row>
    <row r="62726">
      <c r="A62726" s="1" t="n">
        <v>62725</v>
      </c>
      <c r="B62726">
        <f>TEXT(62725, "[$-0E0000]yyyy-mm-dd")</f>
        <v/>
      </c>
      <c r="C62726" t="inlineStr">
        <is>
          <t>2071-08-02</t>
        </is>
      </c>
    </row>
    <row r="62727">
      <c r="A62727" s="1" t="n">
        <v>62726</v>
      </c>
      <c r="B62727">
        <f>TEXT(62726, "[$-0E0000]yyyy-mm-dd")</f>
        <v/>
      </c>
      <c r="C62727" t="inlineStr">
        <is>
          <t>2071-08-03</t>
        </is>
      </c>
    </row>
    <row r="62728">
      <c r="A62728" s="1" t="n">
        <v>62727</v>
      </c>
      <c r="B62728">
        <f>TEXT(62727, "[$-0E0000]yyyy-mm-dd")</f>
        <v/>
      </c>
      <c r="C62728" t="inlineStr">
        <is>
          <t>2071-08-04</t>
        </is>
      </c>
    </row>
    <row r="62729">
      <c r="A62729" s="1" t="n">
        <v>62728</v>
      </c>
      <c r="B62729">
        <f>TEXT(62728, "[$-0E0000]yyyy-mm-dd")</f>
        <v/>
      </c>
      <c r="C62729" t="inlineStr">
        <is>
          <t>2071-08-05</t>
        </is>
      </c>
    </row>
    <row r="62730">
      <c r="A62730" s="1" t="n">
        <v>62729</v>
      </c>
      <c r="B62730">
        <f>TEXT(62729, "[$-0E0000]yyyy-mm-dd")</f>
        <v/>
      </c>
      <c r="C62730" t="inlineStr">
        <is>
          <t>2071-08-06</t>
        </is>
      </c>
    </row>
    <row r="62731">
      <c r="A62731" s="1" t="n">
        <v>62730</v>
      </c>
      <c r="B62731">
        <f>TEXT(62730, "[$-0E0000]yyyy-mm-dd")</f>
        <v/>
      </c>
      <c r="C62731" t="inlineStr">
        <is>
          <t>2071-08-07</t>
        </is>
      </c>
    </row>
    <row r="62732">
      <c r="A62732" s="1" t="n">
        <v>62731</v>
      </c>
      <c r="B62732">
        <f>TEXT(62731, "[$-0E0000]yyyy-mm-dd")</f>
        <v/>
      </c>
      <c r="C62732" t="inlineStr">
        <is>
          <t>2071-08-08</t>
        </is>
      </c>
    </row>
    <row r="62733">
      <c r="A62733" s="1" t="n">
        <v>62732</v>
      </c>
      <c r="B62733">
        <f>TEXT(62732, "[$-0E0000]yyyy-mm-dd")</f>
        <v/>
      </c>
      <c r="C62733" t="inlineStr">
        <is>
          <t>2071-08-09</t>
        </is>
      </c>
    </row>
    <row r="62734">
      <c r="A62734" s="1" t="n">
        <v>62733</v>
      </c>
      <c r="B62734">
        <f>TEXT(62733, "[$-0E0000]yyyy-mm-dd")</f>
        <v/>
      </c>
      <c r="C62734" t="inlineStr">
        <is>
          <t>2071-08-10</t>
        </is>
      </c>
    </row>
    <row r="62735">
      <c r="A62735" s="1" t="n">
        <v>62734</v>
      </c>
      <c r="B62735">
        <f>TEXT(62734, "[$-0E0000]yyyy-mm-dd")</f>
        <v/>
      </c>
      <c r="C62735" t="inlineStr">
        <is>
          <t>2071-08-11</t>
        </is>
      </c>
    </row>
    <row r="62736">
      <c r="A62736" s="1" t="n">
        <v>62735</v>
      </c>
      <c r="B62736">
        <f>TEXT(62735, "[$-0E0000]yyyy-mm-dd")</f>
        <v/>
      </c>
      <c r="C62736" t="inlineStr">
        <is>
          <t>2071-08-12</t>
        </is>
      </c>
    </row>
    <row r="62737">
      <c r="A62737" s="1" t="n">
        <v>62736</v>
      </c>
      <c r="B62737">
        <f>TEXT(62736, "[$-0E0000]yyyy-mm-dd")</f>
        <v/>
      </c>
      <c r="C62737" t="inlineStr">
        <is>
          <t>2071-08-13</t>
        </is>
      </c>
    </row>
    <row r="62738">
      <c r="A62738" s="1" t="n">
        <v>62737</v>
      </c>
      <c r="B62738">
        <f>TEXT(62737, "[$-0E0000]yyyy-mm-dd")</f>
        <v/>
      </c>
      <c r="C62738" t="inlineStr">
        <is>
          <t>2071-08-14</t>
        </is>
      </c>
    </row>
    <row r="62739">
      <c r="A62739" s="1" t="n">
        <v>62738</v>
      </c>
      <c r="B62739">
        <f>TEXT(62738, "[$-0E0000]yyyy-mm-dd")</f>
        <v/>
      </c>
      <c r="C62739" t="inlineStr">
        <is>
          <t>2071-08-15</t>
        </is>
      </c>
    </row>
    <row r="62740">
      <c r="A62740" s="1" t="n">
        <v>62739</v>
      </c>
      <c r="B62740">
        <f>TEXT(62739, "[$-0E0000]yyyy-mm-dd")</f>
        <v/>
      </c>
      <c r="C62740" t="inlineStr">
        <is>
          <t>2071-08-16</t>
        </is>
      </c>
    </row>
    <row r="62741">
      <c r="A62741" s="1" t="n">
        <v>62740</v>
      </c>
      <c r="B62741">
        <f>TEXT(62740, "[$-0E0000]yyyy-mm-dd")</f>
        <v/>
      </c>
      <c r="C62741" t="inlineStr">
        <is>
          <t>2071-08-17</t>
        </is>
      </c>
    </row>
    <row r="62742">
      <c r="A62742" s="1" t="n">
        <v>62741</v>
      </c>
      <c r="B62742">
        <f>TEXT(62741, "[$-0E0000]yyyy-mm-dd")</f>
        <v/>
      </c>
      <c r="C62742" t="inlineStr">
        <is>
          <t>2071-08-18</t>
        </is>
      </c>
    </row>
    <row r="62743">
      <c r="A62743" s="1" t="n">
        <v>62742</v>
      </c>
      <c r="B62743">
        <f>TEXT(62742, "[$-0E0000]yyyy-mm-dd")</f>
        <v/>
      </c>
      <c r="C62743" t="inlineStr">
        <is>
          <t>2071-08-19</t>
        </is>
      </c>
    </row>
    <row r="62744">
      <c r="A62744" s="1" t="n">
        <v>62743</v>
      </c>
      <c r="B62744">
        <f>TEXT(62743, "[$-0E0000]yyyy-mm-dd")</f>
        <v/>
      </c>
      <c r="C62744" t="inlineStr">
        <is>
          <t>2071-08-20</t>
        </is>
      </c>
    </row>
    <row r="62745">
      <c r="A62745" s="1" t="n">
        <v>62744</v>
      </c>
      <c r="B62745">
        <f>TEXT(62744, "[$-0E0000]yyyy-mm-dd")</f>
        <v/>
      </c>
      <c r="C62745" t="inlineStr">
        <is>
          <t>2071-08-21</t>
        </is>
      </c>
    </row>
    <row r="62746">
      <c r="A62746" s="1" t="n">
        <v>62745</v>
      </c>
      <c r="B62746">
        <f>TEXT(62745, "[$-0E0000]yyyy-mm-dd")</f>
        <v/>
      </c>
      <c r="C62746" t="inlineStr">
        <is>
          <t>2071-08-22</t>
        </is>
      </c>
    </row>
    <row r="62747">
      <c r="A62747" s="1" t="n">
        <v>62746</v>
      </c>
      <c r="B62747">
        <f>TEXT(62746, "[$-0E0000]yyyy-mm-dd")</f>
        <v/>
      </c>
      <c r="C62747" t="inlineStr">
        <is>
          <t>2071-08-23</t>
        </is>
      </c>
    </row>
    <row r="62748">
      <c r="A62748" s="1" t="n">
        <v>62747</v>
      </c>
      <c r="B62748">
        <f>TEXT(62747, "[$-0E0000]yyyy-mm-dd")</f>
        <v/>
      </c>
      <c r="C62748" t="inlineStr">
        <is>
          <t>2071-08-24</t>
        </is>
      </c>
    </row>
    <row r="62749">
      <c r="A62749" s="1" t="n">
        <v>62748</v>
      </c>
      <c r="B62749">
        <f>TEXT(62748, "[$-0E0000]yyyy-mm-dd")</f>
        <v/>
      </c>
      <c r="C62749" t="inlineStr">
        <is>
          <t>2071-08-25</t>
        </is>
      </c>
    </row>
    <row r="62750">
      <c r="A62750" s="1" t="n">
        <v>62749</v>
      </c>
      <c r="B62750">
        <f>TEXT(62749, "[$-0E0000]yyyy-mm-dd")</f>
        <v/>
      </c>
      <c r="C62750" t="inlineStr">
        <is>
          <t>2071-08-26</t>
        </is>
      </c>
    </row>
    <row r="62751">
      <c r="A62751" s="1" t="n">
        <v>62750</v>
      </c>
      <c r="B62751">
        <f>TEXT(62750, "[$-0E0000]yyyy-mm-dd")</f>
        <v/>
      </c>
      <c r="C62751" t="inlineStr">
        <is>
          <t>2071-08-27</t>
        </is>
      </c>
    </row>
    <row r="62752">
      <c r="A62752" s="1" t="n">
        <v>62751</v>
      </c>
      <c r="B62752">
        <f>TEXT(62751, "[$-0E0000]yyyy-mm-dd")</f>
        <v/>
      </c>
      <c r="C62752" t="inlineStr">
        <is>
          <t>2071-08-28</t>
        </is>
      </c>
    </row>
    <row r="62753">
      <c r="A62753" s="1" t="n">
        <v>62752</v>
      </c>
      <c r="B62753">
        <f>TEXT(62752, "[$-0E0000]yyyy-mm-dd")</f>
        <v/>
      </c>
      <c r="C62753" t="inlineStr">
        <is>
          <t>2071-08-29</t>
        </is>
      </c>
    </row>
    <row r="62754">
      <c r="A62754" s="1" t="n">
        <v>62753</v>
      </c>
      <c r="B62754">
        <f>TEXT(62753, "[$-0E0000]yyyy-mm-dd")</f>
        <v/>
      </c>
      <c r="C62754" t="inlineStr">
        <is>
          <t>2071-09-01</t>
        </is>
      </c>
    </row>
    <row r="62755">
      <c r="A62755" s="1" t="n">
        <v>62754</v>
      </c>
      <c r="B62755">
        <f>TEXT(62754, "[$-0E0000]yyyy-mm-dd")</f>
        <v/>
      </c>
      <c r="C62755" t="inlineStr">
        <is>
          <t>2071-09-02</t>
        </is>
      </c>
    </row>
    <row r="62756">
      <c r="A62756" s="1" t="n">
        <v>62755</v>
      </c>
      <c r="B62756">
        <f>TEXT(62755, "[$-0E0000]yyyy-mm-dd")</f>
        <v/>
      </c>
      <c r="C62756" t="inlineStr">
        <is>
          <t>2071-09-03</t>
        </is>
      </c>
    </row>
    <row r="62757">
      <c r="A62757" s="1" t="n">
        <v>62756</v>
      </c>
      <c r="B62757">
        <f>TEXT(62756, "[$-0E0000]yyyy-mm-dd")</f>
        <v/>
      </c>
      <c r="C62757" t="inlineStr">
        <is>
          <t>2071-09-04</t>
        </is>
      </c>
    </row>
    <row r="62758">
      <c r="A62758" s="1" t="n">
        <v>62757</v>
      </c>
      <c r="B62758">
        <f>TEXT(62757, "[$-0E0000]yyyy-mm-dd")</f>
        <v/>
      </c>
      <c r="C62758" t="inlineStr">
        <is>
          <t>2071-09-05</t>
        </is>
      </c>
    </row>
    <row r="62759">
      <c r="A62759" s="1" t="n">
        <v>62758</v>
      </c>
      <c r="B62759">
        <f>TEXT(62758, "[$-0E0000]yyyy-mm-dd")</f>
        <v/>
      </c>
      <c r="C62759" t="inlineStr">
        <is>
          <t>2071-09-06</t>
        </is>
      </c>
    </row>
    <row r="62760">
      <c r="A62760" s="1" t="n">
        <v>62759</v>
      </c>
      <c r="B62760">
        <f>TEXT(62759, "[$-0E0000]yyyy-mm-dd")</f>
        <v/>
      </c>
      <c r="C62760" t="inlineStr">
        <is>
          <t>2071-09-07</t>
        </is>
      </c>
    </row>
    <row r="62761">
      <c r="A62761" s="1" t="n">
        <v>62760</v>
      </c>
      <c r="B62761">
        <f>TEXT(62760, "[$-0E0000]yyyy-mm-dd")</f>
        <v/>
      </c>
      <c r="C62761" t="inlineStr">
        <is>
          <t>2071-09-08</t>
        </is>
      </c>
    </row>
    <row r="62762">
      <c r="A62762" s="1" t="n">
        <v>62761</v>
      </c>
      <c r="B62762">
        <f>TEXT(62761, "[$-0E0000]yyyy-mm-dd")</f>
        <v/>
      </c>
      <c r="C62762" t="inlineStr">
        <is>
          <t>2071-09-09</t>
        </is>
      </c>
    </row>
    <row r="62763">
      <c r="A62763" s="1" t="n">
        <v>62762</v>
      </c>
      <c r="B62763">
        <f>TEXT(62762, "[$-0E0000]yyyy-mm-dd")</f>
        <v/>
      </c>
      <c r="C62763" t="inlineStr">
        <is>
          <t>2071-09-10</t>
        </is>
      </c>
    </row>
    <row r="62764">
      <c r="A62764" s="1" t="n">
        <v>62763</v>
      </c>
      <c r="B62764">
        <f>TEXT(62763, "[$-0E0000]yyyy-mm-dd")</f>
        <v/>
      </c>
      <c r="C62764" t="inlineStr">
        <is>
          <t>2071-09-11</t>
        </is>
      </c>
    </row>
    <row r="62765">
      <c r="A62765" s="1" t="n">
        <v>62764</v>
      </c>
      <c r="B62765">
        <f>TEXT(62764, "[$-0E0000]yyyy-mm-dd")</f>
        <v/>
      </c>
      <c r="C62765" t="inlineStr">
        <is>
          <t>2071-09-12</t>
        </is>
      </c>
    </row>
    <row r="62766">
      <c r="A62766" s="1" t="n">
        <v>62765</v>
      </c>
      <c r="B62766">
        <f>TEXT(62765, "[$-0E0000]yyyy-mm-dd")</f>
        <v/>
      </c>
      <c r="C62766" t="inlineStr">
        <is>
          <t>2071-09-13</t>
        </is>
      </c>
    </row>
    <row r="62767">
      <c r="A62767" s="1" t="n">
        <v>62766</v>
      </c>
      <c r="B62767">
        <f>TEXT(62766, "[$-0E0000]yyyy-mm-dd")</f>
        <v/>
      </c>
      <c r="C62767" t="inlineStr">
        <is>
          <t>2071-09-14</t>
        </is>
      </c>
    </row>
    <row r="62768">
      <c r="A62768" s="1" t="n">
        <v>62767</v>
      </c>
      <c r="B62768">
        <f>TEXT(62767, "[$-0E0000]yyyy-mm-dd")</f>
        <v/>
      </c>
      <c r="C62768" t="inlineStr">
        <is>
          <t>2071-09-15</t>
        </is>
      </c>
    </row>
    <row r="62769">
      <c r="A62769" s="1" t="n">
        <v>62768</v>
      </c>
      <c r="B62769">
        <f>TEXT(62768, "[$-0E0000]yyyy-mm-dd")</f>
        <v/>
      </c>
      <c r="C62769" t="inlineStr">
        <is>
          <t>2071-09-16</t>
        </is>
      </c>
    </row>
    <row r="62770">
      <c r="A62770" s="1" t="n">
        <v>62769</v>
      </c>
      <c r="B62770">
        <f>TEXT(62769, "[$-0E0000]yyyy-mm-dd")</f>
        <v/>
      </c>
      <c r="C62770" t="inlineStr">
        <is>
          <t>2071-09-17</t>
        </is>
      </c>
    </row>
    <row r="62771">
      <c r="A62771" s="1" t="n">
        <v>62770</v>
      </c>
      <c r="B62771">
        <f>TEXT(62770, "[$-0E0000]yyyy-mm-dd")</f>
        <v/>
      </c>
      <c r="C62771" t="inlineStr">
        <is>
          <t>2071-09-18</t>
        </is>
      </c>
    </row>
    <row r="62772">
      <c r="A62772" s="1" t="n">
        <v>62771</v>
      </c>
      <c r="B62772">
        <f>TEXT(62771, "[$-0E0000]yyyy-mm-dd")</f>
        <v/>
      </c>
      <c r="C62772" t="inlineStr">
        <is>
          <t>2071-09-19</t>
        </is>
      </c>
    </row>
    <row r="62773">
      <c r="A62773" s="1" t="n">
        <v>62772</v>
      </c>
      <c r="B62773">
        <f>TEXT(62772, "[$-0E0000]yyyy-mm-dd")</f>
        <v/>
      </c>
      <c r="C62773" t="inlineStr">
        <is>
          <t>2071-09-20</t>
        </is>
      </c>
    </row>
    <row r="62774">
      <c r="A62774" s="1" t="n">
        <v>62773</v>
      </c>
      <c r="B62774">
        <f>TEXT(62773, "[$-0E0000]yyyy-mm-dd")</f>
        <v/>
      </c>
      <c r="C62774" t="inlineStr">
        <is>
          <t>2071-09-21</t>
        </is>
      </c>
    </row>
    <row r="62775">
      <c r="A62775" s="1" t="n">
        <v>62774</v>
      </c>
      <c r="B62775">
        <f>TEXT(62774, "[$-0E0000]yyyy-mm-dd")</f>
        <v/>
      </c>
      <c r="C62775" t="inlineStr">
        <is>
          <t>2071-09-22</t>
        </is>
      </c>
    </row>
    <row r="62776">
      <c r="A62776" s="1" t="n">
        <v>62775</v>
      </c>
      <c r="B62776">
        <f>TEXT(62775, "[$-0E0000]yyyy-mm-dd")</f>
        <v/>
      </c>
      <c r="C62776" t="inlineStr">
        <is>
          <t>2071-09-23</t>
        </is>
      </c>
    </row>
    <row r="62777">
      <c r="A62777" s="1" t="n">
        <v>62776</v>
      </c>
      <c r="B62777">
        <f>TEXT(62776, "[$-0E0000]yyyy-mm-dd")</f>
        <v/>
      </c>
      <c r="C62777" t="inlineStr">
        <is>
          <t>2071-09-24</t>
        </is>
      </c>
    </row>
    <row r="62778">
      <c r="A62778" s="1" t="n">
        <v>62777</v>
      </c>
      <c r="B62778">
        <f>TEXT(62777, "[$-0E0000]yyyy-mm-dd")</f>
        <v/>
      </c>
      <c r="C62778" t="inlineStr">
        <is>
          <t>2071-09-25</t>
        </is>
      </c>
    </row>
    <row r="62779">
      <c r="A62779" s="1" t="n">
        <v>62778</v>
      </c>
      <c r="B62779">
        <f>TEXT(62778, "[$-0E0000]yyyy-mm-dd")</f>
        <v/>
      </c>
      <c r="C62779" t="inlineStr">
        <is>
          <t>2071-09-26</t>
        </is>
      </c>
    </row>
    <row r="62780">
      <c r="A62780" s="1" t="n">
        <v>62779</v>
      </c>
      <c r="B62780">
        <f>TEXT(62779, "[$-0E0000]yyyy-mm-dd")</f>
        <v/>
      </c>
      <c r="C62780" t="inlineStr">
        <is>
          <t>2071-09-27</t>
        </is>
      </c>
    </row>
    <row r="62781">
      <c r="A62781" s="1" t="n">
        <v>62780</v>
      </c>
      <c r="B62781">
        <f>TEXT(62780, "[$-0E0000]yyyy-mm-dd")</f>
        <v/>
      </c>
      <c r="C62781" t="inlineStr">
        <is>
          <t>2071-09-28</t>
        </is>
      </c>
    </row>
    <row r="62782">
      <c r="A62782" s="1" t="n">
        <v>62781</v>
      </c>
      <c r="B62782">
        <f>TEXT(62781, "[$-0E0000]yyyy-mm-dd")</f>
        <v/>
      </c>
      <c r="C62782" t="inlineStr">
        <is>
          <t>2071-09-29</t>
        </is>
      </c>
    </row>
    <row r="62783">
      <c r="A62783" s="1" t="n">
        <v>62782</v>
      </c>
      <c r="B62783">
        <f>TEXT(62782, "[$-0E0000]yyyy-mm-dd")</f>
        <v/>
      </c>
      <c r="C62783" t="inlineStr">
        <is>
          <t>2071-09-30</t>
        </is>
      </c>
    </row>
    <row r="62784">
      <c r="A62784" s="1" t="n">
        <v>62783</v>
      </c>
      <c r="B62784">
        <f>TEXT(62783, "[$-0E0000]yyyy-mm-dd")</f>
        <v/>
      </c>
      <c r="C62784" t="inlineStr">
        <is>
          <t>2071-10-01</t>
        </is>
      </c>
    </row>
    <row r="62785">
      <c r="A62785" s="1" t="n">
        <v>62784</v>
      </c>
      <c r="B62785">
        <f>TEXT(62784, "[$-0E0000]yyyy-mm-dd")</f>
        <v/>
      </c>
      <c r="C62785" t="inlineStr">
        <is>
          <t>2071-10-02</t>
        </is>
      </c>
    </row>
    <row r="62786">
      <c r="A62786" s="1" t="n">
        <v>62785</v>
      </c>
      <c r="B62786">
        <f>TEXT(62785, "[$-0E0000]yyyy-mm-dd")</f>
        <v/>
      </c>
      <c r="C62786" t="inlineStr">
        <is>
          <t>2071-10-03</t>
        </is>
      </c>
    </row>
    <row r="62787">
      <c r="A62787" s="1" t="n">
        <v>62786</v>
      </c>
      <c r="B62787">
        <f>TEXT(62786, "[$-0E0000]yyyy-mm-dd")</f>
        <v/>
      </c>
      <c r="C62787" t="inlineStr">
        <is>
          <t>2071-10-04</t>
        </is>
      </c>
    </row>
    <row r="62788">
      <c r="A62788" s="1" t="n">
        <v>62787</v>
      </c>
      <c r="B62788">
        <f>TEXT(62787, "[$-0E0000]yyyy-mm-dd")</f>
        <v/>
      </c>
      <c r="C62788" t="inlineStr">
        <is>
          <t>2071-10-05</t>
        </is>
      </c>
    </row>
    <row r="62789">
      <c r="A62789" s="1" t="n">
        <v>62788</v>
      </c>
      <c r="B62789">
        <f>TEXT(62788, "[$-0E0000]yyyy-mm-dd")</f>
        <v/>
      </c>
      <c r="C62789" t="inlineStr">
        <is>
          <t>2071-10-06</t>
        </is>
      </c>
    </row>
    <row r="62790">
      <c r="A62790" s="1" t="n">
        <v>62789</v>
      </c>
      <c r="B62790">
        <f>TEXT(62789, "[$-0E0000]yyyy-mm-dd")</f>
        <v/>
      </c>
      <c r="C62790" t="inlineStr">
        <is>
          <t>2071-10-07</t>
        </is>
      </c>
    </row>
    <row r="62791">
      <c r="A62791" s="1" t="n">
        <v>62790</v>
      </c>
      <c r="B62791">
        <f>TEXT(62790, "[$-0E0000]yyyy-mm-dd")</f>
        <v/>
      </c>
      <c r="C62791" t="inlineStr">
        <is>
          <t>2071-10-08</t>
        </is>
      </c>
    </row>
    <row r="62792">
      <c r="A62792" s="1" t="n">
        <v>62791</v>
      </c>
      <c r="B62792">
        <f>TEXT(62791, "[$-0E0000]yyyy-mm-dd")</f>
        <v/>
      </c>
      <c r="C62792" t="inlineStr">
        <is>
          <t>2071-10-09</t>
        </is>
      </c>
    </row>
    <row r="62793">
      <c r="A62793" s="1" t="n">
        <v>62792</v>
      </c>
      <c r="B62793">
        <f>TEXT(62792, "[$-0E0000]yyyy-mm-dd")</f>
        <v/>
      </c>
      <c r="C62793" t="inlineStr">
        <is>
          <t>2071-10-10</t>
        </is>
      </c>
    </row>
    <row r="62794">
      <c r="A62794" s="1" t="n">
        <v>62793</v>
      </c>
      <c r="B62794">
        <f>TEXT(62793, "[$-0E0000]yyyy-mm-dd")</f>
        <v/>
      </c>
      <c r="C62794" t="inlineStr">
        <is>
          <t>2071-10-11</t>
        </is>
      </c>
    </row>
    <row r="62795">
      <c r="A62795" s="1" t="n">
        <v>62794</v>
      </c>
      <c r="B62795">
        <f>TEXT(62794, "[$-0E0000]yyyy-mm-dd")</f>
        <v/>
      </c>
      <c r="C62795" t="inlineStr">
        <is>
          <t>2071-10-12</t>
        </is>
      </c>
    </row>
    <row r="62796">
      <c r="A62796" s="1" t="n">
        <v>62795</v>
      </c>
      <c r="B62796">
        <f>TEXT(62795, "[$-0E0000]yyyy-mm-dd")</f>
        <v/>
      </c>
      <c r="C62796" t="inlineStr">
        <is>
          <t>2071-10-13</t>
        </is>
      </c>
    </row>
    <row r="62797">
      <c r="A62797" s="1" t="n">
        <v>62796</v>
      </c>
      <c r="B62797">
        <f>TEXT(62796, "[$-0E0000]yyyy-mm-dd")</f>
        <v/>
      </c>
      <c r="C62797" t="inlineStr">
        <is>
          <t>2071-10-14</t>
        </is>
      </c>
    </row>
    <row r="62798">
      <c r="A62798" s="1" t="n">
        <v>62797</v>
      </c>
      <c r="B62798">
        <f>TEXT(62797, "[$-0E0000]yyyy-mm-dd")</f>
        <v/>
      </c>
      <c r="C62798" t="inlineStr">
        <is>
          <t>2071-10-15</t>
        </is>
      </c>
    </row>
    <row r="62799">
      <c r="A62799" s="1" t="n">
        <v>62798</v>
      </c>
      <c r="B62799">
        <f>TEXT(62798, "[$-0E0000]yyyy-mm-dd")</f>
        <v/>
      </c>
      <c r="C62799" t="inlineStr">
        <is>
          <t>2071-10-16</t>
        </is>
      </c>
    </row>
    <row r="62800">
      <c r="A62800" s="1" t="n">
        <v>62799</v>
      </c>
      <c r="B62800">
        <f>TEXT(62799, "[$-0E0000]yyyy-mm-dd")</f>
        <v/>
      </c>
      <c r="C62800" t="inlineStr">
        <is>
          <t>2071-10-17</t>
        </is>
      </c>
    </row>
    <row r="62801">
      <c r="A62801" s="1" t="n">
        <v>62800</v>
      </c>
      <c r="B62801">
        <f>TEXT(62800, "[$-0E0000]yyyy-mm-dd")</f>
        <v/>
      </c>
      <c r="C62801" t="inlineStr">
        <is>
          <t>2071-10-18</t>
        </is>
      </c>
    </row>
    <row r="62802">
      <c r="A62802" s="1" t="n">
        <v>62801</v>
      </c>
      <c r="B62802">
        <f>TEXT(62801, "[$-0E0000]yyyy-mm-dd")</f>
        <v/>
      </c>
      <c r="C62802" t="inlineStr">
        <is>
          <t>2071-10-19</t>
        </is>
      </c>
    </row>
    <row r="62803">
      <c r="A62803" s="1" t="n">
        <v>62802</v>
      </c>
      <c r="B62803">
        <f>TEXT(62802, "[$-0E0000]yyyy-mm-dd")</f>
        <v/>
      </c>
      <c r="C62803" t="inlineStr">
        <is>
          <t>2071-10-20</t>
        </is>
      </c>
    </row>
    <row r="62804">
      <c r="A62804" s="1" t="n">
        <v>62803</v>
      </c>
      <c r="B62804">
        <f>TEXT(62803, "[$-0E0000]yyyy-mm-dd")</f>
        <v/>
      </c>
      <c r="C62804" t="inlineStr">
        <is>
          <t>2071-10-21</t>
        </is>
      </c>
    </row>
    <row r="62805">
      <c r="A62805" s="1" t="n">
        <v>62804</v>
      </c>
      <c r="B62805">
        <f>TEXT(62804, "[$-0E0000]yyyy-mm-dd")</f>
        <v/>
      </c>
      <c r="C62805" t="inlineStr">
        <is>
          <t>2071-10-22</t>
        </is>
      </c>
    </row>
    <row r="62806">
      <c r="A62806" s="1" t="n">
        <v>62805</v>
      </c>
      <c r="B62806">
        <f>TEXT(62805, "[$-0E0000]yyyy-mm-dd")</f>
        <v/>
      </c>
      <c r="C62806" t="inlineStr">
        <is>
          <t>2071-10-23</t>
        </is>
      </c>
    </row>
    <row r="62807">
      <c r="A62807" s="1" t="n">
        <v>62806</v>
      </c>
      <c r="B62807">
        <f>TEXT(62806, "[$-0E0000]yyyy-mm-dd")</f>
        <v/>
      </c>
      <c r="C62807" t="inlineStr">
        <is>
          <t>2071-10-24</t>
        </is>
      </c>
    </row>
    <row r="62808">
      <c r="A62808" s="1" t="n">
        <v>62807</v>
      </c>
      <c r="B62808">
        <f>TEXT(62807, "[$-0E0000]yyyy-mm-dd")</f>
        <v/>
      </c>
      <c r="C62808" t="inlineStr">
        <is>
          <t>2071-10-25</t>
        </is>
      </c>
    </row>
    <row r="62809">
      <c r="A62809" s="1" t="n">
        <v>62808</v>
      </c>
      <c r="B62809">
        <f>TEXT(62808, "[$-0E0000]yyyy-mm-dd")</f>
        <v/>
      </c>
      <c r="C62809" t="inlineStr">
        <is>
          <t>2071-10-26</t>
        </is>
      </c>
    </row>
    <row r="62810">
      <c r="A62810" s="1" t="n">
        <v>62809</v>
      </c>
      <c r="B62810">
        <f>TEXT(62809, "[$-0E0000]yyyy-mm-dd")</f>
        <v/>
      </c>
      <c r="C62810" t="inlineStr">
        <is>
          <t>2071-10-27</t>
        </is>
      </c>
    </row>
    <row r="62811">
      <c r="A62811" s="1" t="n">
        <v>62810</v>
      </c>
      <c r="B62811">
        <f>TEXT(62810, "[$-0E0000]yyyy-mm-dd")</f>
        <v/>
      </c>
      <c r="C62811" t="inlineStr">
        <is>
          <t>2071-10-28</t>
        </is>
      </c>
    </row>
    <row r="62812">
      <c r="A62812" s="1" t="n">
        <v>62811</v>
      </c>
      <c r="B62812">
        <f>TEXT(62811, "[$-0E0000]yyyy-mm-dd")</f>
        <v/>
      </c>
      <c r="C62812" t="inlineStr">
        <is>
          <t>2071-10-29</t>
        </is>
      </c>
    </row>
    <row r="62813">
      <c r="A62813" s="1" t="n">
        <v>62812</v>
      </c>
      <c r="B62813">
        <f>TEXT(62812, "[$-0E0000]yyyy-mm-dd")</f>
        <v/>
      </c>
      <c r="C62813" t="inlineStr">
        <is>
          <t>2071-11-01</t>
        </is>
      </c>
    </row>
    <row r="62814">
      <c r="A62814" s="1" t="n">
        <v>62813</v>
      </c>
      <c r="B62814">
        <f>TEXT(62813, "[$-0E0000]yyyy-mm-dd")</f>
        <v/>
      </c>
      <c r="C62814" t="inlineStr">
        <is>
          <t>2071-11-02</t>
        </is>
      </c>
    </row>
    <row r="62815">
      <c r="A62815" s="1" t="n">
        <v>62814</v>
      </c>
      <c r="B62815">
        <f>TEXT(62814, "[$-0E0000]yyyy-mm-dd")</f>
        <v/>
      </c>
      <c r="C62815" t="inlineStr">
        <is>
          <t>2071-11-03</t>
        </is>
      </c>
    </row>
    <row r="62816">
      <c r="A62816" s="1" t="n">
        <v>62815</v>
      </c>
      <c r="B62816">
        <f>TEXT(62815, "[$-0E0000]yyyy-mm-dd")</f>
        <v/>
      </c>
      <c r="C62816" t="inlineStr">
        <is>
          <t>2071-11-04</t>
        </is>
      </c>
    </row>
    <row r="62817">
      <c r="A62817" s="1" t="n">
        <v>62816</v>
      </c>
      <c r="B62817">
        <f>TEXT(62816, "[$-0E0000]yyyy-mm-dd")</f>
        <v/>
      </c>
      <c r="C62817" t="inlineStr">
        <is>
          <t>2071-11-05</t>
        </is>
      </c>
    </row>
    <row r="62818">
      <c r="A62818" s="1" t="n">
        <v>62817</v>
      </c>
      <c r="B62818">
        <f>TEXT(62817, "[$-0E0000]yyyy-mm-dd")</f>
        <v/>
      </c>
      <c r="C62818" t="inlineStr">
        <is>
          <t>2071-11-06</t>
        </is>
      </c>
    </row>
    <row r="62819">
      <c r="A62819" s="1" t="n">
        <v>62818</v>
      </c>
      <c r="B62819">
        <f>TEXT(62818, "[$-0E0000]yyyy-mm-dd")</f>
        <v/>
      </c>
      <c r="C62819" t="inlineStr">
        <is>
          <t>2071-11-07</t>
        </is>
      </c>
    </row>
    <row r="62820">
      <c r="A62820" s="1" t="n">
        <v>62819</v>
      </c>
      <c r="B62820">
        <f>TEXT(62819, "[$-0E0000]yyyy-mm-dd")</f>
        <v/>
      </c>
      <c r="C62820" t="inlineStr">
        <is>
          <t>2071-11-08</t>
        </is>
      </c>
    </row>
    <row r="62821">
      <c r="A62821" s="1" t="n">
        <v>62820</v>
      </c>
      <c r="B62821">
        <f>TEXT(62820, "[$-0E0000]yyyy-mm-dd")</f>
        <v/>
      </c>
      <c r="C62821" t="inlineStr">
        <is>
          <t>2071-11-09</t>
        </is>
      </c>
    </row>
    <row r="62822">
      <c r="A62822" s="1" t="n">
        <v>62821</v>
      </c>
      <c r="B62822">
        <f>TEXT(62821, "[$-0E0000]yyyy-mm-dd")</f>
        <v/>
      </c>
      <c r="C62822" t="inlineStr">
        <is>
          <t>2071-11-10</t>
        </is>
      </c>
    </row>
    <row r="62823">
      <c r="A62823" s="1" t="n">
        <v>62822</v>
      </c>
      <c r="B62823">
        <f>TEXT(62822, "[$-0E0000]yyyy-mm-dd")</f>
        <v/>
      </c>
      <c r="C62823" t="inlineStr">
        <is>
          <t>2071-11-11</t>
        </is>
      </c>
    </row>
    <row r="62824">
      <c r="A62824" s="1" t="n">
        <v>62823</v>
      </c>
      <c r="B62824">
        <f>TEXT(62823, "[$-0E0000]yyyy-mm-dd")</f>
        <v/>
      </c>
      <c r="C62824" t="inlineStr">
        <is>
          <t>2071-11-12</t>
        </is>
      </c>
    </row>
    <row r="62825">
      <c r="A62825" s="1" t="n">
        <v>62824</v>
      </c>
      <c r="B62825">
        <f>TEXT(62824, "[$-0E0000]yyyy-mm-dd")</f>
        <v/>
      </c>
      <c r="C62825" t="inlineStr">
        <is>
          <t>2071-11-13</t>
        </is>
      </c>
    </row>
    <row r="62826">
      <c r="A62826" s="1" t="n">
        <v>62825</v>
      </c>
      <c r="B62826">
        <f>TEXT(62825, "[$-0E0000]yyyy-mm-dd")</f>
        <v/>
      </c>
      <c r="C62826" t="inlineStr">
        <is>
          <t>2071-11-14</t>
        </is>
      </c>
    </row>
    <row r="62827">
      <c r="A62827" s="1" t="n">
        <v>62826</v>
      </c>
      <c r="B62827">
        <f>TEXT(62826, "[$-0E0000]yyyy-mm-dd")</f>
        <v/>
      </c>
      <c r="C62827" t="inlineStr">
        <is>
          <t>2071-11-15</t>
        </is>
      </c>
    </row>
    <row r="62828">
      <c r="A62828" s="1" t="n">
        <v>62827</v>
      </c>
      <c r="B62828">
        <f>TEXT(62827, "[$-0E0000]yyyy-mm-dd")</f>
        <v/>
      </c>
      <c r="C62828" t="inlineStr">
        <is>
          <t>2071-11-16</t>
        </is>
      </c>
    </row>
    <row r="62829">
      <c r="A62829" s="1" t="n">
        <v>62828</v>
      </c>
      <c r="B62829">
        <f>TEXT(62828, "[$-0E0000]yyyy-mm-dd")</f>
        <v/>
      </c>
      <c r="C62829" t="inlineStr">
        <is>
          <t>2071-11-17</t>
        </is>
      </c>
    </row>
    <row r="62830">
      <c r="A62830" s="1" t="n">
        <v>62829</v>
      </c>
      <c r="B62830">
        <f>TEXT(62829, "[$-0E0000]yyyy-mm-dd")</f>
        <v/>
      </c>
      <c r="C62830" t="inlineStr">
        <is>
          <t>2071-11-18</t>
        </is>
      </c>
    </row>
    <row r="62831">
      <c r="A62831" s="1" t="n">
        <v>62830</v>
      </c>
      <c r="B62831">
        <f>TEXT(62830, "[$-0E0000]yyyy-mm-dd")</f>
        <v/>
      </c>
      <c r="C62831" t="inlineStr">
        <is>
          <t>2071-11-19</t>
        </is>
      </c>
    </row>
    <row r="62832">
      <c r="A62832" s="1" t="n">
        <v>62831</v>
      </c>
      <c r="B62832">
        <f>TEXT(62831, "[$-0E0000]yyyy-mm-dd")</f>
        <v/>
      </c>
      <c r="C62832" t="inlineStr">
        <is>
          <t>2071-11-20</t>
        </is>
      </c>
    </row>
    <row r="62833">
      <c r="A62833" s="1" t="n">
        <v>62832</v>
      </c>
      <c r="B62833">
        <f>TEXT(62832, "[$-0E0000]yyyy-mm-dd")</f>
        <v/>
      </c>
      <c r="C62833" t="inlineStr">
        <is>
          <t>2071-11-21</t>
        </is>
      </c>
    </row>
    <row r="62834">
      <c r="A62834" s="1" t="n">
        <v>62833</v>
      </c>
      <c r="B62834">
        <f>TEXT(62833, "[$-0E0000]yyyy-mm-dd")</f>
        <v/>
      </c>
      <c r="C62834" t="inlineStr">
        <is>
          <t>2071-11-22</t>
        </is>
      </c>
    </row>
    <row r="62835">
      <c r="A62835" s="1" t="n">
        <v>62834</v>
      </c>
      <c r="B62835">
        <f>TEXT(62834, "[$-0E0000]yyyy-mm-dd")</f>
        <v/>
      </c>
      <c r="C62835" t="inlineStr">
        <is>
          <t>2071-11-23</t>
        </is>
      </c>
    </row>
    <row r="62836">
      <c r="A62836" s="1" t="n">
        <v>62835</v>
      </c>
      <c r="B62836">
        <f>TEXT(62835, "[$-0E0000]yyyy-mm-dd")</f>
        <v/>
      </c>
      <c r="C62836" t="inlineStr">
        <is>
          <t>2071-11-24</t>
        </is>
      </c>
    </row>
    <row r="62837">
      <c r="A62837" s="1" t="n">
        <v>62836</v>
      </c>
      <c r="B62837">
        <f>TEXT(62836, "[$-0E0000]yyyy-mm-dd")</f>
        <v/>
      </c>
      <c r="C62837" t="inlineStr">
        <is>
          <t>2071-11-25</t>
        </is>
      </c>
    </row>
    <row r="62838">
      <c r="A62838" s="1" t="n">
        <v>62837</v>
      </c>
      <c r="B62838">
        <f>TEXT(62837, "[$-0E0000]yyyy-mm-dd")</f>
        <v/>
      </c>
      <c r="C62838" t="inlineStr">
        <is>
          <t>2071-11-26</t>
        </is>
      </c>
    </row>
    <row r="62839">
      <c r="A62839" s="1" t="n">
        <v>62838</v>
      </c>
      <c r="B62839">
        <f>TEXT(62838, "[$-0E0000]yyyy-mm-dd")</f>
        <v/>
      </c>
      <c r="C62839" t="inlineStr">
        <is>
          <t>2071-11-27</t>
        </is>
      </c>
    </row>
    <row r="62840">
      <c r="A62840" s="1" t="n">
        <v>62839</v>
      </c>
      <c r="B62840">
        <f>TEXT(62839, "[$-0E0000]yyyy-mm-dd")</f>
        <v/>
      </c>
      <c r="C62840" t="inlineStr">
        <is>
          <t>2071-11-28</t>
        </is>
      </c>
    </row>
    <row r="62841">
      <c r="A62841" s="1" t="n">
        <v>62840</v>
      </c>
      <c r="B62841">
        <f>TEXT(62840, "[$-0E0000]yyyy-mm-dd")</f>
        <v/>
      </c>
      <c r="C62841" t="inlineStr">
        <is>
          <t>2071-11-29</t>
        </is>
      </c>
    </row>
    <row r="62842">
      <c r="A62842" s="1" t="n">
        <v>62841</v>
      </c>
      <c r="B62842">
        <f>TEXT(62841, "[$-0E0000]yyyy-mm-dd")</f>
        <v/>
      </c>
      <c r="C62842" t="inlineStr">
        <is>
          <t>2071-11-30</t>
        </is>
      </c>
    </row>
    <row r="62843">
      <c r="A62843" s="1" t="n">
        <v>62842</v>
      </c>
      <c r="B62843">
        <f>TEXT(62842, "[$-0E0000]yyyy-mm-dd")</f>
        <v/>
      </c>
      <c r="C62843" t="inlineStr">
        <is>
          <t>2071-12-01</t>
        </is>
      </c>
    </row>
    <row r="62844">
      <c r="A62844" s="1" t="n">
        <v>62843</v>
      </c>
      <c r="B62844">
        <f>TEXT(62843, "[$-0E0000]yyyy-mm-dd")</f>
        <v/>
      </c>
      <c r="C62844" t="inlineStr">
        <is>
          <t>2071-12-02</t>
        </is>
      </c>
    </row>
    <row r="62845">
      <c r="A62845" s="1" t="n">
        <v>62844</v>
      </c>
      <c r="B62845">
        <f>TEXT(62844, "[$-0E0000]yyyy-mm-dd")</f>
        <v/>
      </c>
      <c r="C62845" t="inlineStr">
        <is>
          <t>2071-12-03</t>
        </is>
      </c>
    </row>
    <row r="62846">
      <c r="A62846" s="1" t="n">
        <v>62845</v>
      </c>
      <c r="B62846">
        <f>TEXT(62845, "[$-0E0000]yyyy-mm-dd")</f>
        <v/>
      </c>
      <c r="C62846" t="inlineStr">
        <is>
          <t>2071-12-04</t>
        </is>
      </c>
    </row>
    <row r="62847">
      <c r="A62847" s="1" t="n">
        <v>62846</v>
      </c>
      <c r="B62847">
        <f>TEXT(62846, "[$-0E0000]yyyy-mm-dd")</f>
        <v/>
      </c>
      <c r="C62847" t="inlineStr">
        <is>
          <t>2071-12-05</t>
        </is>
      </c>
    </row>
    <row r="62848">
      <c r="A62848" s="1" t="n">
        <v>62847</v>
      </c>
      <c r="B62848">
        <f>TEXT(62847, "[$-0E0000]yyyy-mm-dd")</f>
        <v/>
      </c>
      <c r="C62848" t="inlineStr">
        <is>
          <t>2071-12-06</t>
        </is>
      </c>
    </row>
    <row r="62849">
      <c r="A62849" s="1" t="n">
        <v>62848</v>
      </c>
      <c r="B62849">
        <f>TEXT(62848, "[$-0E0000]yyyy-mm-dd")</f>
        <v/>
      </c>
      <c r="C62849" t="inlineStr">
        <is>
          <t>2071-12-07</t>
        </is>
      </c>
    </row>
    <row r="62850">
      <c r="A62850" s="1" t="n">
        <v>62849</v>
      </c>
      <c r="B62850">
        <f>TEXT(62849, "[$-0E0000]yyyy-mm-dd")</f>
        <v/>
      </c>
      <c r="C62850" t="inlineStr">
        <is>
          <t>2071-12-08</t>
        </is>
      </c>
    </row>
    <row r="62851">
      <c r="A62851" s="1" t="n">
        <v>62850</v>
      </c>
      <c r="B62851">
        <f>TEXT(62850, "[$-0E0000]yyyy-mm-dd")</f>
        <v/>
      </c>
      <c r="C62851" t="inlineStr">
        <is>
          <t>2071-12-09</t>
        </is>
      </c>
    </row>
    <row r="62852">
      <c r="A62852" s="1" t="n">
        <v>62851</v>
      </c>
      <c r="B62852">
        <f>TEXT(62851, "[$-0E0000]yyyy-mm-dd")</f>
        <v/>
      </c>
      <c r="C62852" t="inlineStr">
        <is>
          <t>2071-12-10</t>
        </is>
      </c>
    </row>
    <row r="62853">
      <c r="A62853" s="1" t="n">
        <v>62852</v>
      </c>
      <c r="B62853">
        <f>TEXT(62852, "[$-0E0000]yyyy-mm-dd")</f>
        <v/>
      </c>
      <c r="C62853" t="inlineStr">
        <is>
          <t>2071-12-11</t>
        </is>
      </c>
    </row>
    <row r="62854">
      <c r="A62854" s="1" t="n">
        <v>62853</v>
      </c>
      <c r="B62854">
        <f>TEXT(62853, "[$-0E0000]yyyy-mm-dd")</f>
        <v/>
      </c>
      <c r="C62854" t="inlineStr">
        <is>
          <t>2071-12-12</t>
        </is>
      </c>
    </row>
    <row r="62855">
      <c r="A62855" s="1" t="n">
        <v>62854</v>
      </c>
      <c r="B62855">
        <f>TEXT(62854, "[$-0E0000]yyyy-mm-dd")</f>
        <v/>
      </c>
      <c r="C62855" t="inlineStr">
        <is>
          <t>2071-12-13</t>
        </is>
      </c>
    </row>
    <row r="62856">
      <c r="A62856" s="1" t="n">
        <v>62855</v>
      </c>
      <c r="B62856">
        <f>TEXT(62855, "[$-0E0000]yyyy-mm-dd")</f>
        <v/>
      </c>
      <c r="C62856" t="inlineStr">
        <is>
          <t>2071-12-14</t>
        </is>
      </c>
    </row>
    <row r="62857">
      <c r="A62857" s="1" t="n">
        <v>62856</v>
      </c>
      <c r="B62857">
        <f>TEXT(62856, "[$-0E0000]yyyy-mm-dd")</f>
        <v/>
      </c>
      <c r="C62857" t="inlineStr">
        <is>
          <t>2071-12-15</t>
        </is>
      </c>
    </row>
    <row r="62858">
      <c r="A62858" s="1" t="n">
        <v>62857</v>
      </c>
      <c r="B62858">
        <f>TEXT(62857, "[$-0E0000]yyyy-mm-dd")</f>
        <v/>
      </c>
      <c r="C62858" t="inlineStr">
        <is>
          <t>2071-12-16</t>
        </is>
      </c>
    </row>
    <row r="62859">
      <c r="A62859" s="1" t="n">
        <v>62858</v>
      </c>
      <c r="B62859">
        <f>TEXT(62858, "[$-0E0000]yyyy-mm-dd")</f>
        <v/>
      </c>
      <c r="C62859" t="inlineStr">
        <is>
          <t>2071-12-17</t>
        </is>
      </c>
    </row>
    <row r="62860">
      <c r="A62860" s="1" t="n">
        <v>62859</v>
      </c>
      <c r="B62860">
        <f>TEXT(62859, "[$-0E0000]yyyy-mm-dd")</f>
        <v/>
      </c>
      <c r="C62860" t="inlineStr">
        <is>
          <t>2071-12-18</t>
        </is>
      </c>
    </row>
    <row r="62861">
      <c r="A62861" s="1" t="n">
        <v>62860</v>
      </c>
      <c r="B62861">
        <f>TEXT(62860, "[$-0E0000]yyyy-mm-dd")</f>
        <v/>
      </c>
      <c r="C62861" t="inlineStr">
        <is>
          <t>2071-12-19</t>
        </is>
      </c>
    </row>
    <row r="62862">
      <c r="A62862" s="1" t="n">
        <v>62861</v>
      </c>
      <c r="B62862">
        <f>TEXT(62861, "[$-0E0000]yyyy-mm-dd")</f>
        <v/>
      </c>
      <c r="C62862" t="inlineStr">
        <is>
          <t>2071-12-20</t>
        </is>
      </c>
    </row>
    <row r="62863">
      <c r="A62863" s="1" t="n">
        <v>62862</v>
      </c>
      <c r="B62863">
        <f>TEXT(62862, "[$-0E0000]yyyy-mm-dd")</f>
        <v/>
      </c>
      <c r="C62863" t="inlineStr">
        <is>
          <t>2071-12-21</t>
        </is>
      </c>
    </row>
    <row r="62864">
      <c r="A62864" s="1" t="n">
        <v>62863</v>
      </c>
      <c r="B62864">
        <f>TEXT(62863, "[$-0E0000]yyyy-mm-dd")</f>
        <v/>
      </c>
      <c r="C62864" t="inlineStr">
        <is>
          <t>2071-12-22</t>
        </is>
      </c>
    </row>
    <row r="62865">
      <c r="A62865" s="1" t="n">
        <v>62864</v>
      </c>
      <c r="B62865">
        <f>TEXT(62864, "[$-0E0000]yyyy-mm-dd")</f>
        <v/>
      </c>
      <c r="C62865" t="inlineStr">
        <is>
          <t>2071-12-23</t>
        </is>
      </c>
    </row>
    <row r="62866">
      <c r="A62866" s="1" t="n">
        <v>62865</v>
      </c>
      <c r="B62866">
        <f>TEXT(62865, "[$-0E0000]yyyy-mm-dd")</f>
        <v/>
      </c>
      <c r="C62866" t="inlineStr">
        <is>
          <t>2071-12-24</t>
        </is>
      </c>
    </row>
    <row r="62867">
      <c r="A62867" s="1" t="n">
        <v>62866</v>
      </c>
      <c r="B62867">
        <f>TEXT(62866, "[$-0E0000]yyyy-mm-dd")</f>
        <v/>
      </c>
      <c r="C62867" t="inlineStr">
        <is>
          <t>2071-12-25</t>
        </is>
      </c>
    </row>
    <row r="62868">
      <c r="A62868" s="1" t="n">
        <v>62867</v>
      </c>
      <c r="B62868">
        <f>TEXT(62867, "[$-0E0000]yyyy-mm-dd")</f>
        <v/>
      </c>
      <c r="C62868" t="inlineStr">
        <is>
          <t>2071-12-26</t>
        </is>
      </c>
    </row>
    <row r="62869">
      <c r="A62869" s="1" t="n">
        <v>62868</v>
      </c>
      <c r="B62869">
        <f>TEXT(62868, "[$-0E0000]yyyy-mm-dd")</f>
        <v/>
      </c>
      <c r="C62869" t="inlineStr">
        <is>
          <t>2071-12-27</t>
        </is>
      </c>
    </row>
    <row r="62870">
      <c r="A62870" s="1" t="n">
        <v>62869</v>
      </c>
      <c r="B62870">
        <f>TEXT(62869, "[$-0E0000]yyyy-mm-dd")</f>
        <v/>
      </c>
      <c r="C62870" t="inlineStr">
        <is>
          <t>2071-12-28</t>
        </is>
      </c>
    </row>
    <row r="62871">
      <c r="A62871" s="1" t="n">
        <v>62870</v>
      </c>
      <c r="B62871">
        <f>TEXT(62870, "[$-0E0000]yyyy-mm-dd")</f>
        <v/>
      </c>
      <c r="C62871" t="inlineStr">
        <is>
          <t>2071-12-29</t>
        </is>
      </c>
    </row>
    <row r="62872">
      <c r="A62872" s="1" t="n">
        <v>62871</v>
      </c>
      <c r="B62872">
        <f>TEXT(62871, "[$-0E0000]yyyy-mm-dd")</f>
        <v/>
      </c>
      <c r="C62872" t="inlineStr">
        <is>
          <t>2071-12-30</t>
        </is>
      </c>
    </row>
    <row r="62873">
      <c r="A62873" s="1" t="n">
        <v>62872</v>
      </c>
      <c r="B62873">
        <f>TEXT(62872, "[$-0E0000]yyyy-mm-dd")</f>
        <v/>
      </c>
      <c r="C62873" t="inlineStr">
        <is>
          <t>2072-01-01</t>
        </is>
      </c>
    </row>
    <row r="62874">
      <c r="A62874" s="1" t="n">
        <v>62873</v>
      </c>
      <c r="B62874">
        <f>TEXT(62873, "[$-0E0000]yyyy-mm-dd")</f>
        <v/>
      </c>
      <c r="C62874" t="inlineStr">
        <is>
          <t>2072-01-02</t>
        </is>
      </c>
    </row>
    <row r="62875">
      <c r="A62875" s="1" t="n">
        <v>62874</v>
      </c>
      <c r="B62875">
        <f>TEXT(62874, "[$-0E0000]yyyy-mm-dd")</f>
        <v/>
      </c>
      <c r="C62875" t="inlineStr">
        <is>
          <t>2072-01-03</t>
        </is>
      </c>
    </row>
    <row r="62876">
      <c r="A62876" s="1" t="n">
        <v>62875</v>
      </c>
      <c r="B62876">
        <f>TEXT(62875, "[$-0E0000]yyyy-mm-dd")</f>
        <v/>
      </c>
      <c r="C62876" t="inlineStr">
        <is>
          <t>2072-01-04</t>
        </is>
      </c>
    </row>
    <row r="62877">
      <c r="A62877" s="1" t="n">
        <v>62876</v>
      </c>
      <c r="B62877">
        <f>TEXT(62876, "[$-0E0000]yyyy-mm-dd")</f>
        <v/>
      </c>
      <c r="C62877" t="inlineStr">
        <is>
          <t>2072-01-05</t>
        </is>
      </c>
    </row>
    <row r="62878">
      <c r="A62878" s="1" t="n">
        <v>62877</v>
      </c>
      <c r="B62878">
        <f>TEXT(62877, "[$-0E0000]yyyy-mm-dd")</f>
        <v/>
      </c>
      <c r="C62878" t="inlineStr">
        <is>
          <t>2072-01-06</t>
        </is>
      </c>
    </row>
    <row r="62879">
      <c r="A62879" s="1" t="n">
        <v>62878</v>
      </c>
      <c r="B62879">
        <f>TEXT(62878, "[$-0E0000]yyyy-mm-dd")</f>
        <v/>
      </c>
      <c r="C62879" t="inlineStr">
        <is>
          <t>2072-01-07</t>
        </is>
      </c>
    </row>
    <row r="62880">
      <c r="A62880" s="1" t="n">
        <v>62879</v>
      </c>
      <c r="B62880">
        <f>TEXT(62879, "[$-0E0000]yyyy-mm-dd")</f>
        <v/>
      </c>
      <c r="C62880" t="inlineStr">
        <is>
          <t>2072-01-08</t>
        </is>
      </c>
    </row>
    <row r="62881">
      <c r="A62881" s="1" t="n">
        <v>62880</v>
      </c>
      <c r="B62881">
        <f>TEXT(62880, "[$-0E0000]yyyy-mm-dd")</f>
        <v/>
      </c>
      <c r="C62881" t="inlineStr">
        <is>
          <t>2072-01-09</t>
        </is>
      </c>
    </row>
    <row r="62882">
      <c r="A62882" s="1" t="n">
        <v>62881</v>
      </c>
      <c r="B62882">
        <f>TEXT(62881, "[$-0E0000]yyyy-mm-dd")</f>
        <v/>
      </c>
      <c r="C62882" t="inlineStr">
        <is>
          <t>2072-01-10</t>
        </is>
      </c>
    </row>
    <row r="62883">
      <c r="A62883" s="1" t="n">
        <v>62882</v>
      </c>
      <c r="B62883">
        <f>TEXT(62882, "[$-0E0000]yyyy-mm-dd")</f>
        <v/>
      </c>
      <c r="C62883" t="inlineStr">
        <is>
          <t>2072-01-11</t>
        </is>
      </c>
    </row>
    <row r="62884">
      <c r="A62884" s="1" t="n">
        <v>62883</v>
      </c>
      <c r="B62884">
        <f>TEXT(62883, "[$-0E0000]yyyy-mm-dd")</f>
        <v/>
      </c>
      <c r="C62884" t="inlineStr">
        <is>
          <t>2072-01-12</t>
        </is>
      </c>
    </row>
    <row r="62885">
      <c r="A62885" s="1" t="n">
        <v>62884</v>
      </c>
      <c r="B62885">
        <f>TEXT(62884, "[$-0E0000]yyyy-mm-dd")</f>
        <v/>
      </c>
      <c r="C62885" t="inlineStr">
        <is>
          <t>2072-01-13</t>
        </is>
      </c>
    </row>
    <row r="62886">
      <c r="A62886" s="1" t="n">
        <v>62885</v>
      </c>
      <c r="B62886">
        <f>TEXT(62885, "[$-0E0000]yyyy-mm-dd")</f>
        <v/>
      </c>
      <c r="C62886" t="inlineStr">
        <is>
          <t>2072-01-14</t>
        </is>
      </c>
    </row>
    <row r="62887">
      <c r="A62887" s="1" t="n">
        <v>62886</v>
      </c>
      <c r="B62887">
        <f>TEXT(62886, "[$-0E0000]yyyy-mm-dd")</f>
        <v/>
      </c>
      <c r="C62887" t="inlineStr">
        <is>
          <t>2072-01-15</t>
        </is>
      </c>
    </row>
    <row r="62888">
      <c r="A62888" s="1" t="n">
        <v>62887</v>
      </c>
      <c r="B62888">
        <f>TEXT(62887, "[$-0E0000]yyyy-mm-dd")</f>
        <v/>
      </c>
      <c r="C62888" t="inlineStr">
        <is>
          <t>2072-01-16</t>
        </is>
      </c>
    </row>
    <row r="62889">
      <c r="A62889" s="1" t="n">
        <v>62888</v>
      </c>
      <c r="B62889">
        <f>TEXT(62888, "[$-0E0000]yyyy-mm-dd")</f>
        <v/>
      </c>
      <c r="C62889" t="inlineStr">
        <is>
          <t>2072-01-17</t>
        </is>
      </c>
    </row>
    <row r="62890">
      <c r="A62890" s="1" t="n">
        <v>62889</v>
      </c>
      <c r="B62890">
        <f>TEXT(62889, "[$-0E0000]yyyy-mm-dd")</f>
        <v/>
      </c>
      <c r="C62890" t="inlineStr">
        <is>
          <t>2072-01-18</t>
        </is>
      </c>
    </row>
    <row r="62891">
      <c r="A62891" s="1" t="n">
        <v>62890</v>
      </c>
      <c r="B62891">
        <f>TEXT(62890, "[$-0E0000]yyyy-mm-dd")</f>
        <v/>
      </c>
      <c r="C62891" t="inlineStr">
        <is>
          <t>2072-01-19</t>
        </is>
      </c>
    </row>
    <row r="62892">
      <c r="A62892" s="1" t="n">
        <v>62891</v>
      </c>
      <c r="B62892">
        <f>TEXT(62891, "[$-0E0000]yyyy-mm-dd")</f>
        <v/>
      </c>
      <c r="C62892" t="inlineStr">
        <is>
          <t>2072-01-20</t>
        </is>
      </c>
    </row>
    <row r="62893">
      <c r="A62893" s="1" t="n">
        <v>62892</v>
      </c>
      <c r="B62893">
        <f>TEXT(62892, "[$-0E0000]yyyy-mm-dd")</f>
        <v/>
      </c>
      <c r="C62893" t="inlineStr">
        <is>
          <t>2072-01-21</t>
        </is>
      </c>
    </row>
    <row r="62894">
      <c r="A62894" s="1" t="n">
        <v>62893</v>
      </c>
      <c r="B62894">
        <f>TEXT(62893, "[$-0E0000]yyyy-mm-dd")</f>
        <v/>
      </c>
      <c r="C62894" t="inlineStr">
        <is>
          <t>2072-01-22</t>
        </is>
      </c>
    </row>
    <row r="62895">
      <c r="A62895" s="1" t="n">
        <v>62894</v>
      </c>
      <c r="B62895">
        <f>TEXT(62894, "[$-0E0000]yyyy-mm-dd")</f>
        <v/>
      </c>
      <c r="C62895" t="inlineStr">
        <is>
          <t>2072-01-23</t>
        </is>
      </c>
    </row>
    <row r="62896">
      <c r="A62896" s="1" t="n">
        <v>62895</v>
      </c>
      <c r="B62896">
        <f>TEXT(62895, "[$-0E0000]yyyy-mm-dd")</f>
        <v/>
      </c>
      <c r="C62896" t="inlineStr">
        <is>
          <t>2072-01-24</t>
        </is>
      </c>
    </row>
    <row r="62897">
      <c r="A62897" s="1" t="n">
        <v>62896</v>
      </c>
      <c r="B62897">
        <f>TEXT(62896, "[$-0E0000]yyyy-mm-dd")</f>
        <v/>
      </c>
      <c r="C62897" t="inlineStr">
        <is>
          <t>2072-01-25</t>
        </is>
      </c>
    </row>
    <row r="62898">
      <c r="A62898" s="1" t="n">
        <v>62897</v>
      </c>
      <c r="B62898">
        <f>TEXT(62897, "[$-0E0000]yyyy-mm-dd")</f>
        <v/>
      </c>
      <c r="C62898" t="inlineStr">
        <is>
          <t>2072-01-26</t>
        </is>
      </c>
    </row>
    <row r="62899">
      <c r="A62899" s="1" t="n">
        <v>62898</v>
      </c>
      <c r="B62899">
        <f>TEXT(62898, "[$-0E0000]yyyy-mm-dd")</f>
        <v/>
      </c>
      <c r="C62899" t="inlineStr">
        <is>
          <t>2072-01-27</t>
        </is>
      </c>
    </row>
    <row r="62900">
      <c r="A62900" s="1" t="n">
        <v>62899</v>
      </c>
      <c r="B62900">
        <f>TEXT(62899, "[$-0E0000]yyyy-mm-dd")</f>
        <v/>
      </c>
      <c r="C62900" t="inlineStr">
        <is>
          <t>2072-01-28</t>
        </is>
      </c>
    </row>
    <row r="62901">
      <c r="A62901" s="1" t="n">
        <v>62900</v>
      </c>
      <c r="B62901">
        <f>TEXT(62900, "[$-0E0000]yyyy-mm-dd")</f>
        <v/>
      </c>
      <c r="C62901" t="inlineStr">
        <is>
          <t>2072-01-29</t>
        </is>
      </c>
    </row>
    <row r="62902">
      <c r="A62902" s="1" t="n">
        <v>62901</v>
      </c>
      <c r="B62902">
        <f>TEXT(62901, "[$-0E0000]yyyy-mm-dd")</f>
        <v/>
      </c>
      <c r="C62902" t="inlineStr">
        <is>
          <t>2072-01-30</t>
        </is>
      </c>
    </row>
    <row r="62903">
      <c r="A62903" s="1" t="n">
        <v>62902</v>
      </c>
      <c r="B62903">
        <f>TEXT(62902, "[$-0E0000]yyyy-mm-dd")</f>
        <v/>
      </c>
      <c r="C62903" t="inlineStr">
        <is>
          <t>2072-02-01</t>
        </is>
      </c>
    </row>
    <row r="62904">
      <c r="A62904" s="1" t="n">
        <v>62903</v>
      </c>
      <c r="B62904">
        <f>TEXT(62903, "[$-0E0000]yyyy-mm-dd")</f>
        <v/>
      </c>
      <c r="C62904" t="inlineStr">
        <is>
          <t>2072-02-02</t>
        </is>
      </c>
    </row>
    <row r="62905">
      <c r="A62905" s="1" t="n">
        <v>62904</v>
      </c>
      <c r="B62905">
        <f>TEXT(62904, "[$-0E0000]yyyy-mm-dd")</f>
        <v/>
      </c>
      <c r="C62905" t="inlineStr">
        <is>
          <t>2072-02-03</t>
        </is>
      </c>
    </row>
    <row r="62906">
      <c r="A62906" s="1" t="n">
        <v>62905</v>
      </c>
      <c r="B62906">
        <f>TEXT(62905, "[$-0E0000]yyyy-mm-dd")</f>
        <v/>
      </c>
      <c r="C62906" t="inlineStr">
        <is>
          <t>2072-02-04</t>
        </is>
      </c>
    </row>
    <row r="62907">
      <c r="A62907" s="1" t="n">
        <v>62906</v>
      </c>
      <c r="B62907">
        <f>TEXT(62906, "[$-0E0000]yyyy-mm-dd")</f>
        <v/>
      </c>
      <c r="C62907" t="inlineStr">
        <is>
          <t>2072-02-05</t>
        </is>
      </c>
    </row>
    <row r="62908">
      <c r="A62908" s="1" t="n">
        <v>62907</v>
      </c>
      <c r="B62908">
        <f>TEXT(62907, "[$-0E0000]yyyy-mm-dd")</f>
        <v/>
      </c>
      <c r="C62908" t="inlineStr">
        <is>
          <t>2072-02-06</t>
        </is>
      </c>
    </row>
    <row r="62909">
      <c r="A62909" s="1" t="n">
        <v>62908</v>
      </c>
      <c r="B62909">
        <f>TEXT(62908, "[$-0E0000]yyyy-mm-dd")</f>
        <v/>
      </c>
      <c r="C62909" t="inlineStr">
        <is>
          <t>2072-02-07</t>
        </is>
      </c>
    </row>
    <row r="62910">
      <c r="A62910" s="1" t="n">
        <v>62909</v>
      </c>
      <c r="B62910">
        <f>TEXT(62909, "[$-0E0000]yyyy-mm-dd")</f>
        <v/>
      </c>
      <c r="C62910" t="inlineStr">
        <is>
          <t>2072-02-08</t>
        </is>
      </c>
    </row>
    <row r="62911">
      <c r="A62911" s="1" t="n">
        <v>62910</v>
      </c>
      <c r="B62911">
        <f>TEXT(62910, "[$-0E0000]yyyy-mm-dd")</f>
        <v/>
      </c>
      <c r="C62911" t="inlineStr">
        <is>
          <t>2072-02-09</t>
        </is>
      </c>
    </row>
    <row r="62912">
      <c r="A62912" s="1" t="n">
        <v>62911</v>
      </c>
      <c r="B62912">
        <f>TEXT(62911, "[$-0E0000]yyyy-mm-dd")</f>
        <v/>
      </c>
      <c r="C62912" t="inlineStr">
        <is>
          <t>2072-02-10</t>
        </is>
      </c>
    </row>
    <row r="62913">
      <c r="A62913" s="1" t="n">
        <v>62912</v>
      </c>
      <c r="B62913">
        <f>TEXT(62912, "[$-0E0000]yyyy-mm-dd")</f>
        <v/>
      </c>
      <c r="C62913" t="inlineStr">
        <is>
          <t>2072-02-11</t>
        </is>
      </c>
    </row>
    <row r="62914">
      <c r="A62914" s="1" t="n">
        <v>62913</v>
      </c>
      <c r="B62914">
        <f>TEXT(62913, "[$-0E0000]yyyy-mm-dd")</f>
        <v/>
      </c>
      <c r="C62914" t="inlineStr">
        <is>
          <t>2072-02-12</t>
        </is>
      </c>
    </row>
    <row r="62915">
      <c r="A62915" s="1" t="n">
        <v>62914</v>
      </c>
      <c r="B62915">
        <f>TEXT(62914, "[$-0E0000]yyyy-mm-dd")</f>
        <v/>
      </c>
      <c r="C62915" t="inlineStr">
        <is>
          <t>2072-02-13</t>
        </is>
      </c>
    </row>
    <row r="62916">
      <c r="A62916" s="1" t="n">
        <v>62915</v>
      </c>
      <c r="B62916">
        <f>TEXT(62915, "[$-0E0000]yyyy-mm-dd")</f>
        <v/>
      </c>
      <c r="C62916" t="inlineStr">
        <is>
          <t>2072-02-14</t>
        </is>
      </c>
    </row>
    <row r="62917">
      <c r="A62917" s="1" t="n">
        <v>62916</v>
      </c>
      <c r="B62917">
        <f>TEXT(62916, "[$-0E0000]yyyy-mm-dd")</f>
        <v/>
      </c>
      <c r="C62917" t="inlineStr">
        <is>
          <t>2072-02-15</t>
        </is>
      </c>
    </row>
    <row r="62918">
      <c r="A62918" s="1" t="n">
        <v>62917</v>
      </c>
      <c r="B62918">
        <f>TEXT(62917, "[$-0E0000]yyyy-mm-dd")</f>
        <v/>
      </c>
      <c r="C62918" t="inlineStr">
        <is>
          <t>2072-02-16</t>
        </is>
      </c>
    </row>
    <row r="62919">
      <c r="A62919" s="1" t="n">
        <v>62918</v>
      </c>
      <c r="B62919">
        <f>TEXT(62918, "[$-0E0000]yyyy-mm-dd")</f>
        <v/>
      </c>
      <c r="C62919" t="inlineStr">
        <is>
          <t>2072-02-17</t>
        </is>
      </c>
    </row>
    <row r="62920">
      <c r="A62920" s="1" t="n">
        <v>62919</v>
      </c>
      <c r="B62920">
        <f>TEXT(62919, "[$-0E0000]yyyy-mm-dd")</f>
        <v/>
      </c>
      <c r="C62920" t="inlineStr">
        <is>
          <t>2072-02-18</t>
        </is>
      </c>
    </row>
    <row r="62921">
      <c r="A62921" s="1" t="n">
        <v>62920</v>
      </c>
      <c r="B62921">
        <f>TEXT(62920, "[$-0E0000]yyyy-mm-dd")</f>
        <v/>
      </c>
      <c r="C62921" t="inlineStr">
        <is>
          <t>2072-02-19</t>
        </is>
      </c>
    </row>
    <row r="62922">
      <c r="A62922" s="1" t="n">
        <v>62921</v>
      </c>
      <c r="B62922">
        <f>TEXT(62921, "[$-0E0000]yyyy-mm-dd")</f>
        <v/>
      </c>
      <c r="C62922" t="inlineStr">
        <is>
          <t>2072-02-20</t>
        </is>
      </c>
    </row>
    <row r="62923">
      <c r="A62923" s="1" t="n">
        <v>62922</v>
      </c>
      <c r="B62923">
        <f>TEXT(62922, "[$-0E0000]yyyy-mm-dd")</f>
        <v/>
      </c>
      <c r="C62923" t="inlineStr">
        <is>
          <t>2072-02-21</t>
        </is>
      </c>
    </row>
    <row r="62924">
      <c r="A62924" s="1" t="n">
        <v>62923</v>
      </c>
      <c r="B62924">
        <f>TEXT(62923, "[$-0E0000]yyyy-mm-dd")</f>
        <v/>
      </c>
      <c r="C62924" t="inlineStr">
        <is>
          <t>2072-02-22</t>
        </is>
      </c>
    </row>
    <row r="62925">
      <c r="A62925" s="1" t="n">
        <v>62924</v>
      </c>
      <c r="B62925">
        <f>TEXT(62924, "[$-0E0000]yyyy-mm-dd")</f>
        <v/>
      </c>
      <c r="C62925" t="inlineStr">
        <is>
          <t>2072-02-23</t>
        </is>
      </c>
    </row>
    <row r="62926">
      <c r="A62926" s="1" t="n">
        <v>62925</v>
      </c>
      <c r="B62926">
        <f>TEXT(62925, "[$-0E0000]yyyy-mm-dd")</f>
        <v/>
      </c>
      <c r="C62926" t="inlineStr">
        <is>
          <t>2072-02-24</t>
        </is>
      </c>
    </row>
    <row r="62927">
      <c r="A62927" s="1" t="n">
        <v>62926</v>
      </c>
      <c r="B62927">
        <f>TEXT(62926, "[$-0E0000]yyyy-mm-dd")</f>
        <v/>
      </c>
      <c r="C62927" t="inlineStr">
        <is>
          <t>2072-02-25</t>
        </is>
      </c>
    </row>
    <row r="62928">
      <c r="A62928" s="1" t="n">
        <v>62927</v>
      </c>
      <c r="B62928">
        <f>TEXT(62927, "[$-0E0000]yyyy-mm-dd")</f>
        <v/>
      </c>
      <c r="C62928" t="inlineStr">
        <is>
          <t>2072-02-26</t>
        </is>
      </c>
    </row>
    <row r="62929">
      <c r="A62929" s="1" t="n">
        <v>62928</v>
      </c>
      <c r="B62929">
        <f>TEXT(62928, "[$-0E0000]yyyy-mm-dd")</f>
        <v/>
      </c>
      <c r="C62929" t="inlineStr">
        <is>
          <t>2072-02-27</t>
        </is>
      </c>
    </row>
    <row r="62930">
      <c r="A62930" s="1" t="n">
        <v>62929</v>
      </c>
      <c r="B62930">
        <f>TEXT(62929, "[$-0E0000]yyyy-mm-dd")</f>
        <v/>
      </c>
      <c r="C62930" t="inlineStr">
        <is>
          <t>2072-02-28</t>
        </is>
      </c>
    </row>
    <row r="62931">
      <c r="A62931" s="1" t="n">
        <v>62930</v>
      </c>
      <c r="B62931">
        <f>TEXT(62930, "[$-0E0000]yyyy-mm-dd")</f>
        <v/>
      </c>
      <c r="C62931" t="inlineStr">
        <is>
          <t>2072-02-29</t>
        </is>
      </c>
    </row>
    <row r="62932">
      <c r="A62932" s="1" t="n">
        <v>62931</v>
      </c>
      <c r="B62932">
        <f>TEXT(62931, "[$-0E0000]yyyy-mm-dd")</f>
        <v/>
      </c>
      <c r="C62932" t="inlineStr">
        <is>
          <t>2072-03-01</t>
        </is>
      </c>
    </row>
    <row r="62933">
      <c r="A62933" s="1" t="n">
        <v>62932</v>
      </c>
      <c r="B62933">
        <f>TEXT(62932, "[$-0E0000]yyyy-mm-dd")</f>
        <v/>
      </c>
      <c r="C62933" t="inlineStr">
        <is>
          <t>2072-03-02</t>
        </is>
      </c>
    </row>
    <row r="62934">
      <c r="A62934" s="1" t="n">
        <v>62933</v>
      </c>
      <c r="B62934">
        <f>TEXT(62933, "[$-0E0000]yyyy-mm-dd")</f>
        <v/>
      </c>
      <c r="C62934" t="inlineStr">
        <is>
          <t>2072-03-03</t>
        </is>
      </c>
    </row>
    <row r="62935">
      <c r="A62935" s="1" t="n">
        <v>62934</v>
      </c>
      <c r="B62935">
        <f>TEXT(62934, "[$-0E0000]yyyy-mm-dd")</f>
        <v/>
      </c>
      <c r="C62935" t="inlineStr">
        <is>
          <t>2072-03-04</t>
        </is>
      </c>
    </row>
    <row r="62936">
      <c r="A62936" s="1" t="n">
        <v>62935</v>
      </c>
      <c r="B62936">
        <f>TEXT(62935, "[$-0E0000]yyyy-mm-dd")</f>
        <v/>
      </c>
      <c r="C62936" t="inlineStr">
        <is>
          <t>2072-03-05</t>
        </is>
      </c>
    </row>
    <row r="62937">
      <c r="A62937" s="1" t="n">
        <v>62936</v>
      </c>
      <c r="B62937">
        <f>TEXT(62936, "[$-0E0000]yyyy-mm-dd")</f>
        <v/>
      </c>
      <c r="C62937" t="inlineStr">
        <is>
          <t>2072-03-06</t>
        </is>
      </c>
    </row>
    <row r="62938">
      <c r="A62938" s="1" t="n">
        <v>62937</v>
      </c>
      <c r="B62938">
        <f>TEXT(62937, "[$-0E0000]yyyy-mm-dd")</f>
        <v/>
      </c>
      <c r="C62938" t="inlineStr">
        <is>
          <t>2072-03-07</t>
        </is>
      </c>
    </row>
    <row r="62939">
      <c r="A62939" s="1" t="n">
        <v>62938</v>
      </c>
      <c r="B62939">
        <f>TEXT(62938, "[$-0E0000]yyyy-mm-dd")</f>
        <v/>
      </c>
      <c r="C62939" t="inlineStr">
        <is>
          <t>2072-03-08</t>
        </is>
      </c>
    </row>
    <row r="62940">
      <c r="A62940" s="1" t="n">
        <v>62939</v>
      </c>
      <c r="B62940">
        <f>TEXT(62939, "[$-0E0000]yyyy-mm-dd")</f>
        <v/>
      </c>
      <c r="C62940" t="inlineStr">
        <is>
          <t>2072-03-09</t>
        </is>
      </c>
    </row>
    <row r="62941">
      <c r="A62941" s="1" t="n">
        <v>62940</v>
      </c>
      <c r="B62941">
        <f>TEXT(62940, "[$-0E0000]yyyy-mm-dd")</f>
        <v/>
      </c>
      <c r="C62941" t="inlineStr">
        <is>
          <t>2072-03-10</t>
        </is>
      </c>
    </row>
    <row r="62942">
      <c r="A62942" s="1" t="n">
        <v>62941</v>
      </c>
      <c r="B62942">
        <f>TEXT(62941, "[$-0E0000]yyyy-mm-dd")</f>
        <v/>
      </c>
      <c r="C62942" t="inlineStr">
        <is>
          <t>2072-03-11</t>
        </is>
      </c>
    </row>
    <row r="62943">
      <c r="A62943" s="1" t="n">
        <v>62942</v>
      </c>
      <c r="B62943">
        <f>TEXT(62942, "[$-0E0000]yyyy-mm-dd")</f>
        <v/>
      </c>
      <c r="C62943" t="inlineStr">
        <is>
          <t>2072-03-12</t>
        </is>
      </c>
    </row>
    <row r="62944">
      <c r="A62944" s="1" t="n">
        <v>62943</v>
      </c>
      <c r="B62944">
        <f>TEXT(62943, "[$-0E0000]yyyy-mm-dd")</f>
        <v/>
      </c>
      <c r="C62944" t="inlineStr">
        <is>
          <t>2072-03-13</t>
        </is>
      </c>
    </row>
    <row r="62945">
      <c r="A62945" s="1" t="n">
        <v>62944</v>
      </c>
      <c r="B62945">
        <f>TEXT(62944, "[$-0E0000]yyyy-mm-dd")</f>
        <v/>
      </c>
      <c r="C62945" t="inlineStr">
        <is>
          <t>2072-03-14</t>
        </is>
      </c>
    </row>
    <row r="62946">
      <c r="A62946" s="1" t="n">
        <v>62945</v>
      </c>
      <c r="B62946">
        <f>TEXT(62945, "[$-0E0000]yyyy-mm-dd")</f>
        <v/>
      </c>
      <c r="C62946" t="inlineStr">
        <is>
          <t>2072-03-15</t>
        </is>
      </c>
    </row>
    <row r="62947">
      <c r="A62947" s="1" t="n">
        <v>62946</v>
      </c>
      <c r="B62947">
        <f>TEXT(62946, "[$-0E0000]yyyy-mm-dd")</f>
        <v/>
      </c>
      <c r="C62947" t="inlineStr">
        <is>
          <t>2072-03-16</t>
        </is>
      </c>
    </row>
    <row r="62948">
      <c r="A62948" s="1" t="n">
        <v>62947</v>
      </c>
      <c r="B62948">
        <f>TEXT(62947, "[$-0E0000]yyyy-mm-dd")</f>
        <v/>
      </c>
      <c r="C62948" t="inlineStr">
        <is>
          <t>2072-03-17</t>
        </is>
      </c>
    </row>
    <row r="62949">
      <c r="A62949" s="1" t="n">
        <v>62948</v>
      </c>
      <c r="B62949">
        <f>TEXT(62948, "[$-0E0000]yyyy-mm-dd")</f>
        <v/>
      </c>
      <c r="C62949" t="inlineStr">
        <is>
          <t>2072-03-18</t>
        </is>
      </c>
    </row>
    <row r="62950">
      <c r="A62950" s="1" t="n">
        <v>62949</v>
      </c>
      <c r="B62950">
        <f>TEXT(62949, "[$-0E0000]yyyy-mm-dd")</f>
        <v/>
      </c>
      <c r="C62950" t="inlineStr">
        <is>
          <t>2072-03-19</t>
        </is>
      </c>
    </row>
    <row r="62951">
      <c r="A62951" s="1" t="n">
        <v>62950</v>
      </c>
      <c r="B62951">
        <f>TEXT(62950, "[$-0E0000]yyyy-mm-dd")</f>
        <v/>
      </c>
      <c r="C62951" t="inlineStr">
        <is>
          <t>2072-03-20</t>
        </is>
      </c>
    </row>
    <row r="62952">
      <c r="A62952" s="1" t="n">
        <v>62951</v>
      </c>
      <c r="B62952">
        <f>TEXT(62951, "[$-0E0000]yyyy-mm-dd")</f>
        <v/>
      </c>
      <c r="C62952" t="inlineStr">
        <is>
          <t>2072-03-21</t>
        </is>
      </c>
    </row>
    <row r="62953">
      <c r="A62953" s="1" t="n">
        <v>62952</v>
      </c>
      <c r="B62953">
        <f>TEXT(62952, "[$-0E0000]yyyy-mm-dd")</f>
        <v/>
      </c>
      <c r="C62953" t="inlineStr">
        <is>
          <t>2072-03-22</t>
        </is>
      </c>
    </row>
    <row r="62954">
      <c r="A62954" s="1" t="n">
        <v>62953</v>
      </c>
      <c r="B62954">
        <f>TEXT(62953, "[$-0E0000]yyyy-mm-dd")</f>
        <v/>
      </c>
      <c r="C62954" t="inlineStr">
        <is>
          <t>2072-03-23</t>
        </is>
      </c>
    </row>
    <row r="62955">
      <c r="A62955" s="1" t="n">
        <v>62954</v>
      </c>
      <c r="B62955">
        <f>TEXT(62954, "[$-0E0000]yyyy-mm-dd")</f>
        <v/>
      </c>
      <c r="C62955" t="inlineStr">
        <is>
          <t>2072-03-24</t>
        </is>
      </c>
    </row>
    <row r="62956">
      <c r="A62956" s="1" t="n">
        <v>62955</v>
      </c>
      <c r="B62956">
        <f>TEXT(62955, "[$-0E0000]yyyy-mm-dd")</f>
        <v/>
      </c>
      <c r="C62956" t="inlineStr">
        <is>
          <t>2072-03-25</t>
        </is>
      </c>
    </row>
    <row r="62957">
      <c r="A62957" s="1" t="n">
        <v>62956</v>
      </c>
      <c r="B62957">
        <f>TEXT(62956, "[$-0E0000]yyyy-mm-dd")</f>
        <v/>
      </c>
      <c r="C62957" t="inlineStr">
        <is>
          <t>2072-03-26</t>
        </is>
      </c>
    </row>
    <row r="62958">
      <c r="A62958" s="1" t="n">
        <v>62957</v>
      </c>
      <c r="B62958">
        <f>TEXT(62957, "[$-0E0000]yyyy-mm-dd")</f>
        <v/>
      </c>
      <c r="C62958" t="inlineStr">
        <is>
          <t>2072-03-27</t>
        </is>
      </c>
    </row>
    <row r="62959">
      <c r="A62959" s="1" t="n">
        <v>62958</v>
      </c>
      <c r="B62959">
        <f>TEXT(62958, "[$-0E0000]yyyy-mm-dd")</f>
        <v/>
      </c>
      <c r="C62959" t="inlineStr">
        <is>
          <t>2072-03-28</t>
        </is>
      </c>
    </row>
    <row r="62960">
      <c r="A62960" s="1" t="n">
        <v>62959</v>
      </c>
      <c r="B62960">
        <f>TEXT(62959, "[$-0E0000]yyyy-mm-dd")</f>
        <v/>
      </c>
      <c r="C62960" t="inlineStr">
        <is>
          <t>2072-03-29</t>
        </is>
      </c>
    </row>
    <row r="62961">
      <c r="A62961" s="1" t="n">
        <v>62960</v>
      </c>
      <c r="B62961">
        <f>TEXT(62960, "[$-0E0000]yyyy-mm-dd")</f>
        <v/>
      </c>
      <c r="C62961" t="inlineStr">
        <is>
          <t>2072-03-30</t>
        </is>
      </c>
    </row>
    <row r="62962">
      <c r="A62962" s="1" t="n">
        <v>62961</v>
      </c>
      <c r="B62962">
        <f>TEXT(62961, "[$-0E0000]yyyy-mm-dd")</f>
        <v/>
      </c>
      <c r="C62962" t="inlineStr">
        <is>
          <t>2072-04-01</t>
        </is>
      </c>
    </row>
    <row r="62963">
      <c r="A62963" s="1" t="n">
        <v>62962</v>
      </c>
      <c r="B62963">
        <f>TEXT(62962, "[$-0E0000]yyyy-mm-dd")</f>
        <v/>
      </c>
      <c r="C62963" t="inlineStr">
        <is>
          <t>2072-04-02</t>
        </is>
      </c>
    </row>
    <row r="62964">
      <c r="A62964" s="1" t="n">
        <v>62963</v>
      </c>
      <c r="B62964">
        <f>TEXT(62963, "[$-0E0000]yyyy-mm-dd")</f>
        <v/>
      </c>
      <c r="C62964" t="inlineStr">
        <is>
          <t>2072-04-03</t>
        </is>
      </c>
    </row>
    <row r="62965">
      <c r="A62965" s="1" t="n">
        <v>62964</v>
      </c>
      <c r="B62965">
        <f>TEXT(62964, "[$-0E0000]yyyy-mm-dd")</f>
        <v/>
      </c>
      <c r="C62965" t="inlineStr">
        <is>
          <t>2072-04-04</t>
        </is>
      </c>
    </row>
    <row r="62966">
      <c r="A62966" s="1" t="n">
        <v>62965</v>
      </c>
      <c r="B62966">
        <f>TEXT(62965, "[$-0E0000]yyyy-mm-dd")</f>
        <v/>
      </c>
      <c r="C62966" t="inlineStr">
        <is>
          <t>2072-04-05</t>
        </is>
      </c>
    </row>
    <row r="62967">
      <c r="A62967" s="1" t="n">
        <v>62966</v>
      </c>
      <c r="B62967">
        <f>TEXT(62966, "[$-0E0000]yyyy-mm-dd")</f>
        <v/>
      </c>
      <c r="C62967" t="inlineStr">
        <is>
          <t>2072-04-06</t>
        </is>
      </c>
    </row>
    <row r="62968">
      <c r="A62968" s="1" t="n">
        <v>62967</v>
      </c>
      <c r="B62968">
        <f>TEXT(62967, "[$-0E0000]yyyy-mm-dd")</f>
        <v/>
      </c>
      <c r="C62968" t="inlineStr">
        <is>
          <t>2072-04-07</t>
        </is>
      </c>
    </row>
    <row r="62969">
      <c r="A62969" s="1" t="n">
        <v>62968</v>
      </c>
      <c r="B62969">
        <f>TEXT(62968, "[$-0E0000]yyyy-mm-dd")</f>
        <v/>
      </c>
      <c r="C62969" t="inlineStr">
        <is>
          <t>2072-04-08</t>
        </is>
      </c>
    </row>
    <row r="62970">
      <c r="A62970" s="1" t="n">
        <v>62969</v>
      </c>
      <c r="B62970">
        <f>TEXT(62969, "[$-0E0000]yyyy-mm-dd")</f>
        <v/>
      </c>
      <c r="C62970" t="inlineStr">
        <is>
          <t>2072-04-09</t>
        </is>
      </c>
    </row>
    <row r="62971">
      <c r="A62971" s="1" t="n">
        <v>62970</v>
      </c>
      <c r="B62971">
        <f>TEXT(62970, "[$-0E0000]yyyy-mm-dd")</f>
        <v/>
      </c>
      <c r="C62971" t="inlineStr">
        <is>
          <t>2072-04-10</t>
        </is>
      </c>
    </row>
    <row r="62972">
      <c r="A62972" s="1" t="n">
        <v>62971</v>
      </c>
      <c r="B62972">
        <f>TEXT(62971, "[$-0E0000]yyyy-mm-dd")</f>
        <v/>
      </c>
      <c r="C62972" t="inlineStr">
        <is>
          <t>2072-04-11</t>
        </is>
      </c>
    </row>
    <row r="62973">
      <c r="A62973" s="1" t="n">
        <v>62972</v>
      </c>
      <c r="B62973">
        <f>TEXT(62972, "[$-0E0000]yyyy-mm-dd")</f>
        <v/>
      </c>
      <c r="C62973" t="inlineStr">
        <is>
          <t>2072-04-12</t>
        </is>
      </c>
    </row>
    <row r="62974">
      <c r="A62974" s="1" t="n">
        <v>62973</v>
      </c>
      <c r="B62974">
        <f>TEXT(62973, "[$-0E0000]yyyy-mm-dd")</f>
        <v/>
      </c>
      <c r="C62974" t="inlineStr">
        <is>
          <t>2072-04-13</t>
        </is>
      </c>
    </row>
    <row r="62975">
      <c r="A62975" s="1" t="n">
        <v>62974</v>
      </c>
      <c r="B62975">
        <f>TEXT(62974, "[$-0E0000]yyyy-mm-dd")</f>
        <v/>
      </c>
      <c r="C62975" t="inlineStr">
        <is>
          <t>2072-04-14</t>
        </is>
      </c>
    </row>
    <row r="62976">
      <c r="A62976" s="1" t="n">
        <v>62975</v>
      </c>
      <c r="B62976">
        <f>TEXT(62975, "[$-0E0000]yyyy-mm-dd")</f>
        <v/>
      </c>
      <c r="C62976" t="inlineStr">
        <is>
          <t>2072-04-15</t>
        </is>
      </c>
    </row>
    <row r="62977">
      <c r="A62977" s="1" t="n">
        <v>62976</v>
      </c>
      <c r="B62977">
        <f>TEXT(62976, "[$-0E0000]yyyy-mm-dd")</f>
        <v/>
      </c>
      <c r="C62977" t="inlineStr">
        <is>
          <t>2072-04-16</t>
        </is>
      </c>
    </row>
    <row r="62978">
      <c r="A62978" s="1" t="n">
        <v>62977</v>
      </c>
      <c r="B62978">
        <f>TEXT(62977, "[$-0E0000]yyyy-mm-dd")</f>
        <v/>
      </c>
      <c r="C62978" t="inlineStr">
        <is>
          <t>2072-04-17</t>
        </is>
      </c>
    </row>
    <row r="62979">
      <c r="A62979" s="1" t="n">
        <v>62978</v>
      </c>
      <c r="B62979">
        <f>TEXT(62978, "[$-0E0000]yyyy-mm-dd")</f>
        <v/>
      </c>
      <c r="C62979" t="inlineStr">
        <is>
          <t>2072-04-18</t>
        </is>
      </c>
    </row>
    <row r="62980">
      <c r="A62980" s="1" t="n">
        <v>62979</v>
      </c>
      <c r="B62980">
        <f>TEXT(62979, "[$-0E0000]yyyy-mm-dd")</f>
        <v/>
      </c>
      <c r="C62980" t="inlineStr">
        <is>
          <t>2072-04-19</t>
        </is>
      </c>
    </row>
    <row r="62981">
      <c r="A62981" s="1" t="n">
        <v>62980</v>
      </c>
      <c r="B62981">
        <f>TEXT(62980, "[$-0E0000]yyyy-mm-dd")</f>
        <v/>
      </c>
      <c r="C62981" t="inlineStr">
        <is>
          <t>2072-04-20</t>
        </is>
      </c>
    </row>
    <row r="62982">
      <c r="A62982" s="1" t="n">
        <v>62981</v>
      </c>
      <c r="B62982">
        <f>TEXT(62981, "[$-0E0000]yyyy-mm-dd")</f>
        <v/>
      </c>
      <c r="C62982" t="inlineStr">
        <is>
          <t>2072-04-21</t>
        </is>
      </c>
    </row>
    <row r="62983">
      <c r="A62983" s="1" t="n">
        <v>62982</v>
      </c>
      <c r="B62983">
        <f>TEXT(62982, "[$-0E0000]yyyy-mm-dd")</f>
        <v/>
      </c>
      <c r="C62983" t="inlineStr">
        <is>
          <t>2072-04-22</t>
        </is>
      </c>
    </row>
    <row r="62984">
      <c r="A62984" s="1" t="n">
        <v>62983</v>
      </c>
      <c r="B62984">
        <f>TEXT(62983, "[$-0E0000]yyyy-mm-dd")</f>
        <v/>
      </c>
      <c r="C62984" t="inlineStr">
        <is>
          <t>2072-04-23</t>
        </is>
      </c>
    </row>
    <row r="62985">
      <c r="A62985" s="1" t="n">
        <v>62984</v>
      </c>
      <c r="B62985">
        <f>TEXT(62984, "[$-0E0000]yyyy-mm-dd")</f>
        <v/>
      </c>
      <c r="C62985" t="inlineStr">
        <is>
          <t>2072-04-24</t>
        </is>
      </c>
    </row>
    <row r="62986">
      <c r="A62986" s="1" t="n">
        <v>62985</v>
      </c>
      <c r="B62986">
        <f>TEXT(62985, "[$-0E0000]yyyy-mm-dd")</f>
        <v/>
      </c>
      <c r="C62986" t="inlineStr">
        <is>
          <t>2072-04-25</t>
        </is>
      </c>
    </row>
    <row r="62987">
      <c r="A62987" s="1" t="n">
        <v>62986</v>
      </c>
      <c r="B62987">
        <f>TEXT(62986, "[$-0E0000]yyyy-mm-dd")</f>
        <v/>
      </c>
      <c r="C62987" t="inlineStr">
        <is>
          <t>2072-04-26</t>
        </is>
      </c>
    </row>
    <row r="62988">
      <c r="A62988" s="1" t="n">
        <v>62987</v>
      </c>
      <c r="B62988">
        <f>TEXT(62987, "[$-0E0000]yyyy-mm-dd")</f>
        <v/>
      </c>
      <c r="C62988" t="inlineStr">
        <is>
          <t>2072-04-27</t>
        </is>
      </c>
    </row>
    <row r="62989">
      <c r="A62989" s="1" t="n">
        <v>62988</v>
      </c>
      <c r="B62989">
        <f>TEXT(62988, "[$-0E0000]yyyy-mm-dd")</f>
        <v/>
      </c>
      <c r="C62989" t="inlineStr">
        <is>
          <t>2072-04-28</t>
        </is>
      </c>
    </row>
    <row r="62990">
      <c r="A62990" s="1" t="n">
        <v>62989</v>
      </c>
      <c r="B62990">
        <f>TEXT(62989, "[$-0E0000]yyyy-mm-dd")</f>
        <v/>
      </c>
      <c r="C62990" t="inlineStr">
        <is>
          <t>2072-04-29</t>
        </is>
      </c>
    </row>
    <row r="62991">
      <c r="A62991" s="1" t="n">
        <v>62990</v>
      </c>
      <c r="B62991">
        <f>TEXT(62990, "[$-0E0000]yyyy-mm-dd")</f>
        <v/>
      </c>
      <c r="C62991" t="inlineStr">
        <is>
          <t>2072-05-01</t>
        </is>
      </c>
    </row>
    <row r="62992">
      <c r="A62992" s="1" t="n">
        <v>62991</v>
      </c>
      <c r="B62992">
        <f>TEXT(62991, "[$-0E0000]yyyy-mm-dd")</f>
        <v/>
      </c>
      <c r="C62992" t="inlineStr">
        <is>
          <t>2072-05-02</t>
        </is>
      </c>
    </row>
    <row r="62993">
      <c r="A62993" s="1" t="n">
        <v>62992</v>
      </c>
      <c r="B62993">
        <f>TEXT(62992, "[$-0E0000]yyyy-mm-dd")</f>
        <v/>
      </c>
      <c r="C62993" t="inlineStr">
        <is>
          <t>2072-05-03</t>
        </is>
      </c>
    </row>
    <row r="62994">
      <c r="A62994" s="1" t="n">
        <v>62993</v>
      </c>
      <c r="B62994">
        <f>TEXT(62993, "[$-0E0000]yyyy-mm-dd")</f>
        <v/>
      </c>
      <c r="C62994" t="inlineStr">
        <is>
          <t>2072-05-04</t>
        </is>
      </c>
    </row>
    <row r="62995">
      <c r="A62995" s="1" t="n">
        <v>62994</v>
      </c>
      <c r="B62995">
        <f>TEXT(62994, "[$-0E0000]yyyy-mm-dd")</f>
        <v/>
      </c>
      <c r="C62995" t="inlineStr">
        <is>
          <t>2072-05-05</t>
        </is>
      </c>
    </row>
    <row r="62996">
      <c r="A62996" s="1" t="n">
        <v>62995</v>
      </c>
      <c r="B62996">
        <f>TEXT(62995, "[$-0E0000]yyyy-mm-dd")</f>
        <v/>
      </c>
      <c r="C62996" t="inlineStr">
        <is>
          <t>2072-05-06</t>
        </is>
      </c>
    </row>
    <row r="62997">
      <c r="A62997" s="1" t="n">
        <v>62996</v>
      </c>
      <c r="B62997">
        <f>TEXT(62996, "[$-0E0000]yyyy-mm-dd")</f>
        <v/>
      </c>
      <c r="C62997" t="inlineStr">
        <is>
          <t>2072-05-07</t>
        </is>
      </c>
    </row>
    <row r="62998">
      <c r="A62998" s="1" t="n">
        <v>62997</v>
      </c>
      <c r="B62998">
        <f>TEXT(62997, "[$-0E0000]yyyy-mm-dd")</f>
        <v/>
      </c>
      <c r="C62998" t="inlineStr">
        <is>
          <t>2072-05-08</t>
        </is>
      </c>
    </row>
    <row r="62999">
      <c r="A62999" s="1" t="n">
        <v>62998</v>
      </c>
      <c r="B62999">
        <f>TEXT(62998, "[$-0E0000]yyyy-mm-dd")</f>
        <v/>
      </c>
      <c r="C62999" t="inlineStr">
        <is>
          <t>2072-05-09</t>
        </is>
      </c>
    </row>
    <row r="63000">
      <c r="A63000" s="1" t="n">
        <v>62999</v>
      </c>
      <c r="B63000">
        <f>TEXT(62999, "[$-0E0000]yyyy-mm-dd")</f>
        <v/>
      </c>
      <c r="C63000" t="inlineStr">
        <is>
          <t>2072-05-10</t>
        </is>
      </c>
    </row>
    <row r="63001">
      <c r="A63001" s="1" t="n">
        <v>63000</v>
      </c>
      <c r="B63001">
        <f>TEXT(63000, "[$-0E0000]yyyy-mm-dd")</f>
        <v/>
      </c>
      <c r="C63001" t="inlineStr">
        <is>
          <t>2072-05-11</t>
        </is>
      </c>
    </row>
    <row r="63002">
      <c r="A63002" s="1" t="n">
        <v>63001</v>
      </c>
      <c r="B63002">
        <f>TEXT(63001, "[$-0E0000]yyyy-mm-dd")</f>
        <v/>
      </c>
      <c r="C63002" t="inlineStr">
        <is>
          <t>2072-05-12</t>
        </is>
      </c>
    </row>
    <row r="63003">
      <c r="A63003" s="1" t="n">
        <v>63002</v>
      </c>
      <c r="B63003">
        <f>TEXT(63002, "[$-0E0000]yyyy-mm-dd")</f>
        <v/>
      </c>
      <c r="C63003" t="inlineStr">
        <is>
          <t>2072-05-13</t>
        </is>
      </c>
    </row>
    <row r="63004">
      <c r="A63004" s="1" t="n">
        <v>63003</v>
      </c>
      <c r="B63004">
        <f>TEXT(63003, "[$-0E0000]yyyy-mm-dd")</f>
        <v/>
      </c>
      <c r="C63004" t="inlineStr">
        <is>
          <t>2072-05-14</t>
        </is>
      </c>
    </row>
    <row r="63005">
      <c r="A63005" s="1" t="n">
        <v>63004</v>
      </c>
      <c r="B63005">
        <f>TEXT(63004, "[$-0E0000]yyyy-mm-dd")</f>
        <v/>
      </c>
      <c r="C63005" t="inlineStr">
        <is>
          <t>2072-05-15</t>
        </is>
      </c>
    </row>
    <row r="63006">
      <c r="A63006" s="1" t="n">
        <v>63005</v>
      </c>
      <c r="B63006">
        <f>TEXT(63005, "[$-0E0000]yyyy-mm-dd")</f>
        <v/>
      </c>
      <c r="C63006" t="inlineStr">
        <is>
          <t>2072-05-16</t>
        </is>
      </c>
    </row>
    <row r="63007">
      <c r="A63007" s="1" t="n">
        <v>63006</v>
      </c>
      <c r="B63007">
        <f>TEXT(63006, "[$-0E0000]yyyy-mm-dd")</f>
        <v/>
      </c>
      <c r="C63007" t="inlineStr">
        <is>
          <t>2072-05-17</t>
        </is>
      </c>
    </row>
    <row r="63008">
      <c r="A63008" s="1" t="n">
        <v>63007</v>
      </c>
      <c r="B63008">
        <f>TEXT(63007, "[$-0E0000]yyyy-mm-dd")</f>
        <v/>
      </c>
      <c r="C63008" t="inlineStr">
        <is>
          <t>2072-05-18</t>
        </is>
      </c>
    </row>
    <row r="63009">
      <c r="A63009" s="1" t="n">
        <v>63008</v>
      </c>
      <c r="B63009">
        <f>TEXT(63008, "[$-0E0000]yyyy-mm-dd")</f>
        <v/>
      </c>
      <c r="C63009" t="inlineStr">
        <is>
          <t>2072-05-19</t>
        </is>
      </c>
    </row>
    <row r="63010">
      <c r="A63010" s="1" t="n">
        <v>63009</v>
      </c>
      <c r="B63010">
        <f>TEXT(63009, "[$-0E0000]yyyy-mm-dd")</f>
        <v/>
      </c>
      <c r="C63010" t="inlineStr">
        <is>
          <t>2072-05-20</t>
        </is>
      </c>
    </row>
    <row r="63011">
      <c r="A63011" s="1" t="n">
        <v>63010</v>
      </c>
      <c r="B63011">
        <f>TEXT(63010, "[$-0E0000]yyyy-mm-dd")</f>
        <v/>
      </c>
      <c r="C63011" t="inlineStr">
        <is>
          <t>2072-05-21</t>
        </is>
      </c>
    </row>
    <row r="63012">
      <c r="A63012" s="1" t="n">
        <v>63011</v>
      </c>
      <c r="B63012">
        <f>TEXT(63011, "[$-0E0000]yyyy-mm-dd")</f>
        <v/>
      </c>
      <c r="C63012" t="inlineStr">
        <is>
          <t>2072-05-22</t>
        </is>
      </c>
    </row>
    <row r="63013">
      <c r="A63013" s="1" t="n">
        <v>63012</v>
      </c>
      <c r="B63013">
        <f>TEXT(63012, "[$-0E0000]yyyy-mm-dd")</f>
        <v/>
      </c>
      <c r="C63013" t="inlineStr">
        <is>
          <t>2072-05-23</t>
        </is>
      </c>
    </row>
    <row r="63014">
      <c r="A63014" s="1" t="n">
        <v>63013</v>
      </c>
      <c r="B63014">
        <f>TEXT(63013, "[$-0E0000]yyyy-mm-dd")</f>
        <v/>
      </c>
      <c r="C63014" t="inlineStr">
        <is>
          <t>2072-05-24</t>
        </is>
      </c>
    </row>
    <row r="63015">
      <c r="A63015" s="1" t="n">
        <v>63014</v>
      </c>
      <c r="B63015">
        <f>TEXT(63014, "[$-0E0000]yyyy-mm-dd")</f>
        <v/>
      </c>
      <c r="C63015" t="inlineStr">
        <is>
          <t>2072-05-25</t>
        </is>
      </c>
    </row>
    <row r="63016">
      <c r="A63016" s="1" t="n">
        <v>63015</v>
      </c>
      <c r="B63016">
        <f>TEXT(63015, "[$-0E0000]yyyy-mm-dd")</f>
        <v/>
      </c>
      <c r="C63016" t="inlineStr">
        <is>
          <t>2072-05-26</t>
        </is>
      </c>
    </row>
    <row r="63017">
      <c r="A63017" s="1" t="n">
        <v>63016</v>
      </c>
      <c r="B63017">
        <f>TEXT(63016, "[$-0E0000]yyyy-mm-dd")</f>
        <v/>
      </c>
      <c r="C63017" t="inlineStr">
        <is>
          <t>2072-05-27</t>
        </is>
      </c>
    </row>
    <row r="63018">
      <c r="A63018" s="1" t="n">
        <v>63017</v>
      </c>
      <c r="B63018">
        <f>TEXT(63017, "[$-0E0000]yyyy-mm-dd")</f>
        <v/>
      </c>
      <c r="C63018" t="inlineStr">
        <is>
          <t>2072-05-28</t>
        </is>
      </c>
    </row>
    <row r="63019">
      <c r="A63019" s="1" t="n">
        <v>63018</v>
      </c>
      <c r="B63019">
        <f>TEXT(63018, "[$-0E0000]yyyy-mm-dd")</f>
        <v/>
      </c>
      <c r="C63019" t="inlineStr">
        <is>
          <t>2072-05-29</t>
        </is>
      </c>
    </row>
    <row r="63020">
      <c r="A63020" s="1" t="n">
        <v>63019</v>
      </c>
      <c r="B63020">
        <f>TEXT(63019, "[$-0E0000]yyyy-mm-dd")</f>
        <v/>
      </c>
      <c r="C63020" t="inlineStr">
        <is>
          <t>2072-05-30</t>
        </is>
      </c>
    </row>
    <row r="63021">
      <c r="A63021" s="1" t="n">
        <v>63020</v>
      </c>
      <c r="B63021">
        <f>TEXT(63020, "[$-0E0000]yyyy-mm-dd")</f>
        <v/>
      </c>
      <c r="C63021" t="inlineStr">
        <is>
          <t>2072-06-01</t>
        </is>
      </c>
    </row>
    <row r="63022">
      <c r="A63022" s="1" t="n">
        <v>63021</v>
      </c>
      <c r="B63022">
        <f>TEXT(63021, "[$-0E0000]yyyy-mm-dd")</f>
        <v/>
      </c>
      <c r="C63022" t="inlineStr">
        <is>
          <t>2072-06-02</t>
        </is>
      </c>
    </row>
    <row r="63023">
      <c r="A63023" s="1" t="n">
        <v>63022</v>
      </c>
      <c r="B63023">
        <f>TEXT(63022, "[$-0E0000]yyyy-mm-dd")</f>
        <v/>
      </c>
      <c r="C63023" t="inlineStr">
        <is>
          <t>2072-06-03</t>
        </is>
      </c>
    </row>
    <row r="63024">
      <c r="A63024" s="1" t="n">
        <v>63023</v>
      </c>
      <c r="B63024">
        <f>TEXT(63023, "[$-0E0000]yyyy-mm-dd")</f>
        <v/>
      </c>
      <c r="C63024" t="inlineStr">
        <is>
          <t>2072-06-04</t>
        </is>
      </c>
    </row>
    <row r="63025">
      <c r="A63025" s="1" t="n">
        <v>63024</v>
      </c>
      <c r="B63025">
        <f>TEXT(63024, "[$-0E0000]yyyy-mm-dd")</f>
        <v/>
      </c>
      <c r="C63025" t="inlineStr">
        <is>
          <t>2072-06-05</t>
        </is>
      </c>
    </row>
    <row r="63026">
      <c r="A63026" s="1" t="n">
        <v>63025</v>
      </c>
      <c r="B63026">
        <f>TEXT(63025, "[$-0E0000]yyyy-mm-dd")</f>
        <v/>
      </c>
      <c r="C63026" t="inlineStr">
        <is>
          <t>2072-06-06</t>
        </is>
      </c>
    </row>
    <row r="63027">
      <c r="A63027" s="1" t="n">
        <v>63026</v>
      </c>
      <c r="B63027">
        <f>TEXT(63026, "[$-0E0000]yyyy-mm-dd")</f>
        <v/>
      </c>
      <c r="C63027" t="inlineStr">
        <is>
          <t>2072-06-07</t>
        </is>
      </c>
    </row>
    <row r="63028">
      <c r="A63028" s="1" t="n">
        <v>63027</v>
      </c>
      <c r="B63028">
        <f>TEXT(63027, "[$-0E0000]yyyy-mm-dd")</f>
        <v/>
      </c>
      <c r="C63028" t="inlineStr">
        <is>
          <t>2072-06-08</t>
        </is>
      </c>
    </row>
    <row r="63029">
      <c r="A63029" s="1" t="n">
        <v>63028</v>
      </c>
      <c r="B63029">
        <f>TEXT(63028, "[$-0E0000]yyyy-mm-dd")</f>
        <v/>
      </c>
      <c r="C63029" t="inlineStr">
        <is>
          <t>2072-06-09</t>
        </is>
      </c>
    </row>
    <row r="63030">
      <c r="A63030" s="1" t="n">
        <v>63029</v>
      </c>
      <c r="B63030">
        <f>TEXT(63029, "[$-0E0000]yyyy-mm-dd")</f>
        <v/>
      </c>
      <c r="C63030" t="inlineStr">
        <is>
          <t>2072-06-10</t>
        </is>
      </c>
    </row>
    <row r="63031">
      <c r="A63031" s="1" t="n">
        <v>63030</v>
      </c>
      <c r="B63031">
        <f>TEXT(63030, "[$-0E0000]yyyy-mm-dd")</f>
        <v/>
      </c>
      <c r="C63031" t="inlineStr">
        <is>
          <t>2072-06-11</t>
        </is>
      </c>
    </row>
    <row r="63032">
      <c r="A63032" s="1" t="n">
        <v>63031</v>
      </c>
      <c r="B63032">
        <f>TEXT(63031, "[$-0E0000]yyyy-mm-dd")</f>
        <v/>
      </c>
      <c r="C63032" t="inlineStr">
        <is>
          <t>2072-06-12</t>
        </is>
      </c>
    </row>
    <row r="63033">
      <c r="A63033" s="1" t="n">
        <v>63032</v>
      </c>
      <c r="B63033">
        <f>TEXT(63032, "[$-0E0000]yyyy-mm-dd")</f>
        <v/>
      </c>
      <c r="C63033" t="inlineStr">
        <is>
          <t>2072-06-13</t>
        </is>
      </c>
    </row>
    <row r="63034">
      <c r="A63034" s="1" t="n">
        <v>63033</v>
      </c>
      <c r="B63034">
        <f>TEXT(63033, "[$-0E0000]yyyy-mm-dd")</f>
        <v/>
      </c>
      <c r="C63034" t="inlineStr">
        <is>
          <t>2072-06-14</t>
        </is>
      </c>
    </row>
    <row r="63035">
      <c r="A63035" s="1" t="n">
        <v>63034</v>
      </c>
      <c r="B63035">
        <f>TEXT(63034, "[$-0E0000]yyyy-mm-dd")</f>
        <v/>
      </c>
      <c r="C63035" t="inlineStr">
        <is>
          <t>2072-06-15</t>
        </is>
      </c>
    </row>
    <row r="63036">
      <c r="A63036" s="1" t="n">
        <v>63035</v>
      </c>
      <c r="B63036">
        <f>TEXT(63035, "[$-0E0000]yyyy-mm-dd")</f>
        <v/>
      </c>
      <c r="C63036" t="inlineStr">
        <is>
          <t>2072-06-16</t>
        </is>
      </c>
    </row>
    <row r="63037">
      <c r="A63037" s="1" t="n">
        <v>63036</v>
      </c>
      <c r="B63037">
        <f>TEXT(63036, "[$-0E0000]yyyy-mm-dd")</f>
        <v/>
      </c>
      <c r="C63037" t="inlineStr">
        <is>
          <t>2072-06-17</t>
        </is>
      </c>
    </row>
    <row r="63038">
      <c r="A63038" s="1" t="n">
        <v>63037</v>
      </c>
      <c r="B63038">
        <f>TEXT(63037, "[$-0E0000]yyyy-mm-dd")</f>
        <v/>
      </c>
      <c r="C63038" t="inlineStr">
        <is>
          <t>2072-06-18</t>
        </is>
      </c>
    </row>
    <row r="63039">
      <c r="A63039" s="1" t="n">
        <v>63038</v>
      </c>
      <c r="B63039">
        <f>TEXT(63038, "[$-0E0000]yyyy-mm-dd")</f>
        <v/>
      </c>
      <c r="C63039" t="inlineStr">
        <is>
          <t>2072-06-19</t>
        </is>
      </c>
    </row>
    <row r="63040">
      <c r="A63040" s="1" t="n">
        <v>63039</v>
      </c>
      <c r="B63040">
        <f>TEXT(63039, "[$-0E0000]yyyy-mm-dd")</f>
        <v/>
      </c>
      <c r="C63040" t="inlineStr">
        <is>
          <t>2072-06-20</t>
        </is>
      </c>
    </row>
    <row r="63041">
      <c r="A63041" s="1" t="n">
        <v>63040</v>
      </c>
      <c r="B63041">
        <f>TEXT(63040, "[$-0E0000]yyyy-mm-dd")</f>
        <v/>
      </c>
      <c r="C63041" t="inlineStr">
        <is>
          <t>2072-06-21</t>
        </is>
      </c>
    </row>
    <row r="63042">
      <c r="A63042" s="1" t="n">
        <v>63041</v>
      </c>
      <c r="B63042">
        <f>TEXT(63041, "[$-0E0000]yyyy-mm-dd")</f>
        <v/>
      </c>
      <c r="C63042" t="inlineStr">
        <is>
          <t>2072-06-22</t>
        </is>
      </c>
    </row>
    <row r="63043">
      <c r="A63043" s="1" t="n">
        <v>63042</v>
      </c>
      <c r="B63043">
        <f>TEXT(63042, "[$-0E0000]yyyy-mm-dd")</f>
        <v/>
      </c>
      <c r="C63043" t="inlineStr">
        <is>
          <t>2072-06-23</t>
        </is>
      </c>
    </row>
    <row r="63044">
      <c r="A63044" s="1" t="n">
        <v>63043</v>
      </c>
      <c r="B63044">
        <f>TEXT(63043, "[$-0E0000]yyyy-mm-dd")</f>
        <v/>
      </c>
      <c r="C63044" t="inlineStr">
        <is>
          <t>2072-06-24</t>
        </is>
      </c>
    </row>
    <row r="63045">
      <c r="A63045" s="1" t="n">
        <v>63044</v>
      </c>
      <c r="B63045">
        <f>TEXT(63044, "[$-0E0000]yyyy-mm-dd")</f>
        <v/>
      </c>
      <c r="C63045" t="inlineStr">
        <is>
          <t>2072-06-25</t>
        </is>
      </c>
    </row>
    <row r="63046">
      <c r="A63046" s="1" t="n">
        <v>63045</v>
      </c>
      <c r="B63046">
        <f>TEXT(63045, "[$-0E0000]yyyy-mm-dd")</f>
        <v/>
      </c>
      <c r="C63046" t="inlineStr">
        <is>
          <t>2072-06-26</t>
        </is>
      </c>
    </row>
    <row r="63047">
      <c r="A63047" s="1" t="n">
        <v>63046</v>
      </c>
      <c r="B63047">
        <f>TEXT(63046, "[$-0E0000]yyyy-mm-dd")</f>
        <v/>
      </c>
      <c r="C63047" t="inlineStr">
        <is>
          <t>2072-06-27</t>
        </is>
      </c>
    </row>
    <row r="63048">
      <c r="A63048" s="1" t="n">
        <v>63047</v>
      </c>
      <c r="B63048">
        <f>TEXT(63047, "[$-0E0000]yyyy-mm-dd")</f>
        <v/>
      </c>
      <c r="C63048" t="inlineStr">
        <is>
          <t>2072-06-28</t>
        </is>
      </c>
    </row>
    <row r="63049">
      <c r="A63049" s="1" t="n">
        <v>63048</v>
      </c>
      <c r="B63049">
        <f>TEXT(63048, "[$-0E0000]yyyy-mm-dd")</f>
        <v/>
      </c>
      <c r="C63049" t="inlineStr">
        <is>
          <t>2072-06-29</t>
        </is>
      </c>
    </row>
    <row r="63050">
      <c r="A63050" s="1" t="n">
        <v>63049</v>
      </c>
      <c r="B63050">
        <f>TEXT(63049, "[$-0E0000]yyyy-mm-dd")</f>
        <v/>
      </c>
      <c r="C63050" t="inlineStr">
        <is>
          <t>2072-07-01</t>
        </is>
      </c>
    </row>
    <row r="63051">
      <c r="A63051" s="1" t="n">
        <v>63050</v>
      </c>
      <c r="B63051">
        <f>TEXT(63050, "[$-0E0000]yyyy-mm-dd")</f>
        <v/>
      </c>
      <c r="C63051" t="inlineStr">
        <is>
          <t>2072-07-02</t>
        </is>
      </c>
    </row>
    <row r="63052">
      <c r="A63052" s="1" t="n">
        <v>63051</v>
      </c>
      <c r="B63052">
        <f>TEXT(63051, "[$-0E0000]yyyy-mm-dd")</f>
        <v/>
      </c>
      <c r="C63052" t="inlineStr">
        <is>
          <t>2072-07-03</t>
        </is>
      </c>
    </row>
    <row r="63053">
      <c r="A63053" s="1" t="n">
        <v>63052</v>
      </c>
      <c r="B63053">
        <f>TEXT(63052, "[$-0E0000]yyyy-mm-dd")</f>
        <v/>
      </c>
      <c r="C63053" t="inlineStr">
        <is>
          <t>2072-07-04</t>
        </is>
      </c>
    </row>
    <row r="63054">
      <c r="A63054" s="1" t="n">
        <v>63053</v>
      </c>
      <c r="B63054">
        <f>TEXT(63053, "[$-0E0000]yyyy-mm-dd")</f>
        <v/>
      </c>
      <c r="C63054" t="inlineStr">
        <is>
          <t>2072-07-05</t>
        </is>
      </c>
    </row>
    <row r="63055">
      <c r="A63055" s="1" t="n">
        <v>63054</v>
      </c>
      <c r="B63055">
        <f>TEXT(63054, "[$-0E0000]yyyy-mm-dd")</f>
        <v/>
      </c>
      <c r="C63055" t="inlineStr">
        <is>
          <t>2072-07-06</t>
        </is>
      </c>
    </row>
    <row r="63056">
      <c r="A63056" s="1" t="n">
        <v>63055</v>
      </c>
      <c r="B63056">
        <f>TEXT(63055, "[$-0E0000]yyyy-mm-dd")</f>
        <v/>
      </c>
      <c r="C63056" t="inlineStr">
        <is>
          <t>2072-07-07</t>
        </is>
      </c>
    </row>
    <row r="63057">
      <c r="A63057" s="1" t="n">
        <v>63056</v>
      </c>
      <c r="B63057">
        <f>TEXT(63056, "[$-0E0000]yyyy-mm-dd")</f>
        <v/>
      </c>
      <c r="C63057" t="inlineStr">
        <is>
          <t>2072-07-08</t>
        </is>
      </c>
    </row>
    <row r="63058">
      <c r="A63058" s="1" t="n">
        <v>63057</v>
      </c>
      <c r="B63058">
        <f>TEXT(63057, "[$-0E0000]yyyy-mm-dd")</f>
        <v/>
      </c>
      <c r="C63058" t="inlineStr">
        <is>
          <t>2072-07-09</t>
        </is>
      </c>
    </row>
    <row r="63059">
      <c r="A63059" s="1" t="n">
        <v>63058</v>
      </c>
      <c r="B63059">
        <f>TEXT(63058, "[$-0E0000]yyyy-mm-dd")</f>
        <v/>
      </c>
      <c r="C63059" t="inlineStr">
        <is>
          <t>2072-07-10</t>
        </is>
      </c>
    </row>
    <row r="63060">
      <c r="A63060" s="1" t="n">
        <v>63059</v>
      </c>
      <c r="B63060">
        <f>TEXT(63059, "[$-0E0000]yyyy-mm-dd")</f>
        <v/>
      </c>
      <c r="C63060" t="inlineStr">
        <is>
          <t>2072-07-11</t>
        </is>
      </c>
    </row>
    <row r="63061">
      <c r="A63061" s="1" t="n">
        <v>63060</v>
      </c>
      <c r="B63061">
        <f>TEXT(63060, "[$-0E0000]yyyy-mm-dd")</f>
        <v/>
      </c>
      <c r="C63061" t="inlineStr">
        <is>
          <t>2072-07-12</t>
        </is>
      </c>
    </row>
    <row r="63062">
      <c r="A63062" s="1" t="n">
        <v>63061</v>
      </c>
      <c r="B63062">
        <f>TEXT(63061, "[$-0E0000]yyyy-mm-dd")</f>
        <v/>
      </c>
      <c r="C63062" t="inlineStr">
        <is>
          <t>2072-07-13</t>
        </is>
      </c>
    </row>
    <row r="63063">
      <c r="A63063" s="1" t="n">
        <v>63062</v>
      </c>
      <c r="B63063">
        <f>TEXT(63062, "[$-0E0000]yyyy-mm-dd")</f>
        <v/>
      </c>
      <c r="C63063" t="inlineStr">
        <is>
          <t>2072-07-14</t>
        </is>
      </c>
    </row>
    <row r="63064">
      <c r="A63064" s="1" t="n">
        <v>63063</v>
      </c>
      <c r="B63064">
        <f>TEXT(63063, "[$-0E0000]yyyy-mm-dd")</f>
        <v/>
      </c>
      <c r="C63064" t="inlineStr">
        <is>
          <t>2072-07-15</t>
        </is>
      </c>
    </row>
    <row r="63065">
      <c r="A63065" s="1" t="n">
        <v>63064</v>
      </c>
      <c r="B63065">
        <f>TEXT(63064, "[$-0E0000]yyyy-mm-dd")</f>
        <v/>
      </c>
      <c r="C63065" t="inlineStr">
        <is>
          <t>2072-07-16</t>
        </is>
      </c>
    </row>
    <row r="63066">
      <c r="A63066" s="1" t="n">
        <v>63065</v>
      </c>
      <c r="B63066">
        <f>TEXT(63065, "[$-0E0000]yyyy-mm-dd")</f>
        <v/>
      </c>
      <c r="C63066" t="inlineStr">
        <is>
          <t>2072-07-17</t>
        </is>
      </c>
    </row>
    <row r="63067">
      <c r="A63067" s="1" t="n">
        <v>63066</v>
      </c>
      <c r="B63067">
        <f>TEXT(63066, "[$-0E0000]yyyy-mm-dd")</f>
        <v/>
      </c>
      <c r="C63067" t="inlineStr">
        <is>
          <t>2072-07-18</t>
        </is>
      </c>
    </row>
    <row r="63068">
      <c r="A63068" s="1" t="n">
        <v>63067</v>
      </c>
      <c r="B63068">
        <f>TEXT(63067, "[$-0E0000]yyyy-mm-dd")</f>
        <v/>
      </c>
      <c r="C63068" t="inlineStr">
        <is>
          <t>2072-07-19</t>
        </is>
      </c>
    </row>
    <row r="63069">
      <c r="A63069" s="1" t="n">
        <v>63068</v>
      </c>
      <c r="B63069">
        <f>TEXT(63068, "[$-0E0000]yyyy-mm-dd")</f>
        <v/>
      </c>
      <c r="C63069" t="inlineStr">
        <is>
          <t>2072-07-20</t>
        </is>
      </c>
    </row>
    <row r="63070">
      <c r="A63070" s="1" t="n">
        <v>63069</v>
      </c>
      <c r="B63070">
        <f>TEXT(63069, "[$-0E0000]yyyy-mm-dd")</f>
        <v/>
      </c>
      <c r="C63070" t="inlineStr">
        <is>
          <t>2072-07-21</t>
        </is>
      </c>
    </row>
    <row r="63071">
      <c r="A63071" s="1" t="n">
        <v>63070</v>
      </c>
      <c r="B63071">
        <f>TEXT(63070, "[$-0E0000]yyyy-mm-dd")</f>
        <v/>
      </c>
      <c r="C63071" t="inlineStr">
        <is>
          <t>2072-07-22</t>
        </is>
      </c>
    </row>
    <row r="63072">
      <c r="A63072" s="1" t="n">
        <v>63071</v>
      </c>
      <c r="B63072">
        <f>TEXT(63071, "[$-0E0000]yyyy-mm-dd")</f>
        <v/>
      </c>
      <c r="C63072" t="inlineStr">
        <is>
          <t>2072-07-23</t>
        </is>
      </c>
    </row>
    <row r="63073">
      <c r="A63073" s="1" t="n">
        <v>63072</v>
      </c>
      <c r="B63073">
        <f>TEXT(63072, "[$-0E0000]yyyy-mm-dd")</f>
        <v/>
      </c>
      <c r="C63073" t="inlineStr">
        <is>
          <t>2072-07-24</t>
        </is>
      </c>
    </row>
    <row r="63074">
      <c r="A63074" s="1" t="n">
        <v>63073</v>
      </c>
      <c r="B63074">
        <f>TEXT(63073, "[$-0E0000]yyyy-mm-dd")</f>
        <v/>
      </c>
      <c r="C63074" t="inlineStr">
        <is>
          <t>2072-07-25</t>
        </is>
      </c>
    </row>
    <row r="63075">
      <c r="A63075" s="1" t="n">
        <v>63074</v>
      </c>
      <c r="B63075">
        <f>TEXT(63074, "[$-0E0000]yyyy-mm-dd")</f>
        <v/>
      </c>
      <c r="C63075" t="inlineStr">
        <is>
          <t>2072-07-26</t>
        </is>
      </c>
    </row>
    <row r="63076">
      <c r="A63076" s="1" t="n">
        <v>63075</v>
      </c>
      <c r="B63076">
        <f>TEXT(63075, "[$-0E0000]yyyy-mm-dd")</f>
        <v/>
      </c>
      <c r="C63076" t="inlineStr">
        <is>
          <t>2072-07-27</t>
        </is>
      </c>
    </row>
    <row r="63077">
      <c r="A63077" s="1" t="n">
        <v>63076</v>
      </c>
      <c r="B63077">
        <f>TEXT(63076, "[$-0E0000]yyyy-mm-dd")</f>
        <v/>
      </c>
      <c r="C63077" t="inlineStr">
        <is>
          <t>2072-07-28</t>
        </is>
      </c>
    </row>
    <row r="63078">
      <c r="A63078" s="1" t="n">
        <v>63077</v>
      </c>
      <c r="B63078">
        <f>TEXT(63077, "[$-0E0000]yyyy-mm-dd")</f>
        <v/>
      </c>
      <c r="C63078" t="inlineStr">
        <is>
          <t>2072-07-29</t>
        </is>
      </c>
    </row>
    <row r="63079">
      <c r="A63079" s="1" t="n">
        <v>63078</v>
      </c>
      <c r="B63079">
        <f>TEXT(63078, "[$-0E0000]yyyy-mm-dd")</f>
        <v/>
      </c>
      <c r="C63079" t="inlineStr">
        <is>
          <t>2072-08-01</t>
        </is>
      </c>
    </row>
    <row r="63080">
      <c r="A63080" s="1" t="n">
        <v>63079</v>
      </c>
      <c r="B63080">
        <f>TEXT(63079, "[$-0E0000]yyyy-mm-dd")</f>
        <v/>
      </c>
      <c r="C63080" t="inlineStr">
        <is>
          <t>2072-08-02</t>
        </is>
      </c>
    </row>
    <row r="63081">
      <c r="A63081" s="1" t="n">
        <v>63080</v>
      </c>
      <c r="B63081">
        <f>TEXT(63080, "[$-0E0000]yyyy-mm-dd")</f>
        <v/>
      </c>
      <c r="C63081" t="inlineStr">
        <is>
          <t>2072-08-03</t>
        </is>
      </c>
    </row>
    <row r="63082">
      <c r="A63082" s="1" t="n">
        <v>63081</v>
      </c>
      <c r="B63082">
        <f>TEXT(63081, "[$-0E0000]yyyy-mm-dd")</f>
        <v/>
      </c>
      <c r="C63082" t="inlineStr">
        <is>
          <t>2072-08-04</t>
        </is>
      </c>
    </row>
    <row r="63083">
      <c r="A63083" s="1" t="n">
        <v>63082</v>
      </c>
      <c r="B63083">
        <f>TEXT(63082, "[$-0E0000]yyyy-mm-dd")</f>
        <v/>
      </c>
      <c r="C63083" t="inlineStr">
        <is>
          <t>2072-08-05</t>
        </is>
      </c>
    </row>
    <row r="63084">
      <c r="A63084" s="1" t="n">
        <v>63083</v>
      </c>
      <c r="B63084">
        <f>TEXT(63083, "[$-0E0000]yyyy-mm-dd")</f>
        <v/>
      </c>
      <c r="C63084" t="inlineStr">
        <is>
          <t>2072-08-06</t>
        </is>
      </c>
    </row>
    <row r="63085">
      <c r="A63085" s="1" t="n">
        <v>63084</v>
      </c>
      <c r="B63085">
        <f>TEXT(63084, "[$-0E0000]yyyy-mm-dd")</f>
        <v/>
      </c>
      <c r="C63085" t="inlineStr">
        <is>
          <t>2072-08-07</t>
        </is>
      </c>
    </row>
    <row r="63086">
      <c r="A63086" s="1" t="n">
        <v>63085</v>
      </c>
      <c r="B63086">
        <f>TEXT(63085, "[$-0E0000]yyyy-mm-dd")</f>
        <v/>
      </c>
      <c r="C63086" t="inlineStr">
        <is>
          <t>2072-08-08</t>
        </is>
      </c>
    </row>
    <row r="63087">
      <c r="A63087" s="1" t="n">
        <v>63086</v>
      </c>
      <c r="B63087">
        <f>TEXT(63086, "[$-0E0000]yyyy-mm-dd")</f>
        <v/>
      </c>
      <c r="C63087" t="inlineStr">
        <is>
          <t>2072-08-09</t>
        </is>
      </c>
    </row>
    <row r="63088">
      <c r="A63088" s="1" t="n">
        <v>63087</v>
      </c>
      <c r="B63088">
        <f>TEXT(63087, "[$-0E0000]yyyy-mm-dd")</f>
        <v/>
      </c>
      <c r="C63088" t="inlineStr">
        <is>
          <t>2072-08-10</t>
        </is>
      </c>
    </row>
    <row r="63089">
      <c r="A63089" s="1" t="n">
        <v>63088</v>
      </c>
      <c r="B63089">
        <f>TEXT(63088, "[$-0E0000]yyyy-mm-dd")</f>
        <v/>
      </c>
      <c r="C63089" t="inlineStr">
        <is>
          <t>2072-08-11</t>
        </is>
      </c>
    </row>
    <row r="63090">
      <c r="A63090" s="1" t="n">
        <v>63089</v>
      </c>
      <c r="B63090">
        <f>TEXT(63089, "[$-0E0000]yyyy-mm-dd")</f>
        <v/>
      </c>
      <c r="C63090" t="inlineStr">
        <is>
          <t>2072-08-12</t>
        </is>
      </c>
    </row>
    <row r="63091">
      <c r="A63091" s="1" t="n">
        <v>63090</v>
      </c>
      <c r="B63091">
        <f>TEXT(63090, "[$-0E0000]yyyy-mm-dd")</f>
        <v/>
      </c>
      <c r="C63091" t="inlineStr">
        <is>
          <t>2072-08-13</t>
        </is>
      </c>
    </row>
    <row r="63092">
      <c r="A63092" s="1" t="n">
        <v>63091</v>
      </c>
      <c r="B63092">
        <f>TEXT(63091, "[$-0E0000]yyyy-mm-dd")</f>
        <v/>
      </c>
      <c r="C63092" t="inlineStr">
        <is>
          <t>2072-08-14</t>
        </is>
      </c>
    </row>
    <row r="63093">
      <c r="A63093" s="1" t="n">
        <v>63092</v>
      </c>
      <c r="B63093">
        <f>TEXT(63092, "[$-0E0000]yyyy-mm-dd")</f>
        <v/>
      </c>
      <c r="C63093" t="inlineStr">
        <is>
          <t>2072-08-15</t>
        </is>
      </c>
    </row>
    <row r="63094">
      <c r="A63094" s="1" t="n">
        <v>63093</v>
      </c>
      <c r="B63094">
        <f>TEXT(63093, "[$-0E0000]yyyy-mm-dd")</f>
        <v/>
      </c>
      <c r="C63094" t="inlineStr">
        <is>
          <t>2072-08-16</t>
        </is>
      </c>
    </row>
    <row r="63095">
      <c r="A63095" s="1" t="n">
        <v>63094</v>
      </c>
      <c r="B63095">
        <f>TEXT(63094, "[$-0E0000]yyyy-mm-dd")</f>
        <v/>
      </c>
      <c r="C63095" t="inlineStr">
        <is>
          <t>2072-08-17</t>
        </is>
      </c>
    </row>
    <row r="63096">
      <c r="A63096" s="1" t="n">
        <v>63095</v>
      </c>
      <c r="B63096">
        <f>TEXT(63095, "[$-0E0000]yyyy-mm-dd")</f>
        <v/>
      </c>
      <c r="C63096" t="inlineStr">
        <is>
          <t>2072-08-18</t>
        </is>
      </c>
    </row>
    <row r="63097">
      <c r="A63097" s="1" t="n">
        <v>63096</v>
      </c>
      <c r="B63097">
        <f>TEXT(63096, "[$-0E0000]yyyy-mm-dd")</f>
        <v/>
      </c>
      <c r="C63097" t="inlineStr">
        <is>
          <t>2072-08-19</t>
        </is>
      </c>
    </row>
    <row r="63098">
      <c r="A63098" s="1" t="n">
        <v>63097</v>
      </c>
      <c r="B63098">
        <f>TEXT(63097, "[$-0E0000]yyyy-mm-dd")</f>
        <v/>
      </c>
      <c r="C63098" t="inlineStr">
        <is>
          <t>2072-08-20</t>
        </is>
      </c>
    </row>
    <row r="63099">
      <c r="A63099" s="1" t="n">
        <v>63098</v>
      </c>
      <c r="B63099">
        <f>TEXT(63098, "[$-0E0000]yyyy-mm-dd")</f>
        <v/>
      </c>
      <c r="C63099" t="inlineStr">
        <is>
          <t>2072-08-21</t>
        </is>
      </c>
    </row>
    <row r="63100">
      <c r="A63100" s="1" t="n">
        <v>63099</v>
      </c>
      <c r="B63100">
        <f>TEXT(63099, "[$-0E0000]yyyy-mm-dd")</f>
        <v/>
      </c>
      <c r="C63100" t="inlineStr">
        <is>
          <t>2072-08-22</t>
        </is>
      </c>
    </row>
    <row r="63101">
      <c r="A63101" s="1" t="n">
        <v>63100</v>
      </c>
      <c r="B63101">
        <f>TEXT(63100, "[$-0E0000]yyyy-mm-dd")</f>
        <v/>
      </c>
      <c r="C63101" t="inlineStr">
        <is>
          <t>2072-08-23</t>
        </is>
      </c>
    </row>
    <row r="63102">
      <c r="A63102" s="1" t="n">
        <v>63101</v>
      </c>
      <c r="B63102">
        <f>TEXT(63101, "[$-0E0000]yyyy-mm-dd")</f>
        <v/>
      </c>
      <c r="C63102" t="inlineStr">
        <is>
          <t>2072-08-24</t>
        </is>
      </c>
    </row>
    <row r="63103">
      <c r="A63103" s="1" t="n">
        <v>63102</v>
      </c>
      <c r="B63103">
        <f>TEXT(63102, "[$-0E0000]yyyy-mm-dd")</f>
        <v/>
      </c>
      <c r="C63103" t="inlineStr">
        <is>
          <t>2072-08-25</t>
        </is>
      </c>
    </row>
    <row r="63104">
      <c r="A63104" s="1" t="n">
        <v>63103</v>
      </c>
      <c r="B63104">
        <f>TEXT(63103, "[$-0E0000]yyyy-mm-dd")</f>
        <v/>
      </c>
      <c r="C63104" t="inlineStr">
        <is>
          <t>2072-08-26</t>
        </is>
      </c>
    </row>
    <row r="63105">
      <c r="A63105" s="1" t="n">
        <v>63104</v>
      </c>
      <c r="B63105">
        <f>TEXT(63104, "[$-0E0000]yyyy-mm-dd")</f>
        <v/>
      </c>
      <c r="C63105" t="inlineStr">
        <is>
          <t>2072-08-27</t>
        </is>
      </c>
    </row>
    <row r="63106">
      <c r="A63106" s="1" t="n">
        <v>63105</v>
      </c>
      <c r="B63106">
        <f>TEXT(63105, "[$-0E0000]yyyy-mm-dd")</f>
        <v/>
      </c>
      <c r="C63106" t="inlineStr">
        <is>
          <t>2072-08-28</t>
        </is>
      </c>
    </row>
    <row r="63107">
      <c r="A63107" s="1" t="n">
        <v>63106</v>
      </c>
      <c r="B63107">
        <f>TEXT(63106, "[$-0E0000]yyyy-mm-dd")</f>
        <v/>
      </c>
      <c r="C63107" t="inlineStr">
        <is>
          <t>2072-08-29</t>
        </is>
      </c>
    </row>
    <row r="63108">
      <c r="A63108" s="1" t="n">
        <v>63107</v>
      </c>
      <c r="B63108">
        <f>TEXT(63107, "[$-0E0000]yyyy-mm-dd")</f>
        <v/>
      </c>
      <c r="C63108" t="inlineStr">
        <is>
          <t>2072-08-30</t>
        </is>
      </c>
    </row>
    <row r="63109">
      <c r="A63109" s="1" t="n">
        <v>63108</v>
      </c>
      <c r="B63109">
        <f>TEXT(63108, "[$-0E0000]yyyy-mm-dd")</f>
        <v/>
      </c>
      <c r="C63109" t="inlineStr">
        <is>
          <t>2072-09-01</t>
        </is>
      </c>
    </row>
    <row r="63110">
      <c r="A63110" s="1" t="n">
        <v>63109</v>
      </c>
      <c r="B63110">
        <f>TEXT(63109, "[$-0E0000]yyyy-mm-dd")</f>
        <v/>
      </c>
      <c r="C63110" t="inlineStr">
        <is>
          <t>2072-09-02</t>
        </is>
      </c>
    </row>
    <row r="63111">
      <c r="A63111" s="1" t="n">
        <v>63110</v>
      </c>
      <c r="B63111">
        <f>TEXT(63110, "[$-0E0000]yyyy-mm-dd")</f>
        <v/>
      </c>
      <c r="C63111" t="inlineStr">
        <is>
          <t>2072-09-03</t>
        </is>
      </c>
    </row>
    <row r="63112">
      <c r="A63112" s="1" t="n">
        <v>63111</v>
      </c>
      <c r="B63112">
        <f>TEXT(63111, "[$-0E0000]yyyy-mm-dd")</f>
        <v/>
      </c>
      <c r="C63112" t="inlineStr">
        <is>
          <t>2072-09-04</t>
        </is>
      </c>
    </row>
    <row r="63113">
      <c r="A63113" s="1" t="n">
        <v>63112</v>
      </c>
      <c r="B63113">
        <f>TEXT(63112, "[$-0E0000]yyyy-mm-dd")</f>
        <v/>
      </c>
      <c r="C63113" t="inlineStr">
        <is>
          <t>2072-09-05</t>
        </is>
      </c>
    </row>
    <row r="63114">
      <c r="A63114" s="1" t="n">
        <v>63113</v>
      </c>
      <c r="B63114">
        <f>TEXT(63113, "[$-0E0000]yyyy-mm-dd")</f>
        <v/>
      </c>
      <c r="C63114" t="inlineStr">
        <is>
          <t>2072-09-06</t>
        </is>
      </c>
    </row>
    <row r="63115">
      <c r="A63115" s="1" t="n">
        <v>63114</v>
      </c>
      <c r="B63115">
        <f>TEXT(63114, "[$-0E0000]yyyy-mm-dd")</f>
        <v/>
      </c>
      <c r="C63115" t="inlineStr">
        <is>
          <t>2072-09-07</t>
        </is>
      </c>
    </row>
    <row r="63116">
      <c r="A63116" s="1" t="n">
        <v>63115</v>
      </c>
      <c r="B63116">
        <f>TEXT(63115, "[$-0E0000]yyyy-mm-dd")</f>
        <v/>
      </c>
      <c r="C63116" t="inlineStr">
        <is>
          <t>2072-09-08</t>
        </is>
      </c>
    </row>
    <row r="63117">
      <c r="A63117" s="1" t="n">
        <v>63116</v>
      </c>
      <c r="B63117">
        <f>TEXT(63116, "[$-0E0000]yyyy-mm-dd")</f>
        <v/>
      </c>
      <c r="C63117" t="inlineStr">
        <is>
          <t>2072-09-09</t>
        </is>
      </c>
    </row>
    <row r="63118">
      <c r="A63118" s="1" t="n">
        <v>63117</v>
      </c>
      <c r="B63118">
        <f>TEXT(63117, "[$-0E0000]yyyy-mm-dd")</f>
        <v/>
      </c>
      <c r="C63118" t="inlineStr">
        <is>
          <t>2072-09-10</t>
        </is>
      </c>
    </row>
    <row r="63119">
      <c r="A63119" s="1" t="n">
        <v>63118</v>
      </c>
      <c r="B63119">
        <f>TEXT(63118, "[$-0E0000]yyyy-mm-dd")</f>
        <v/>
      </c>
      <c r="C63119" t="inlineStr">
        <is>
          <t>2072-09-11</t>
        </is>
      </c>
    </row>
    <row r="63120">
      <c r="A63120" s="1" t="n">
        <v>63119</v>
      </c>
      <c r="B63120">
        <f>TEXT(63119, "[$-0E0000]yyyy-mm-dd")</f>
        <v/>
      </c>
      <c r="C63120" t="inlineStr">
        <is>
          <t>2072-09-12</t>
        </is>
      </c>
    </row>
    <row r="63121">
      <c r="A63121" s="1" t="n">
        <v>63120</v>
      </c>
      <c r="B63121">
        <f>TEXT(63120, "[$-0E0000]yyyy-mm-dd")</f>
        <v/>
      </c>
      <c r="C63121" t="inlineStr">
        <is>
          <t>2072-09-13</t>
        </is>
      </c>
    </row>
    <row r="63122">
      <c r="A63122" s="1" t="n">
        <v>63121</v>
      </c>
      <c r="B63122">
        <f>TEXT(63121, "[$-0E0000]yyyy-mm-dd")</f>
        <v/>
      </c>
      <c r="C63122" t="inlineStr">
        <is>
          <t>2072-09-14</t>
        </is>
      </c>
    </row>
    <row r="63123">
      <c r="A63123" s="1" t="n">
        <v>63122</v>
      </c>
      <c r="B63123">
        <f>TEXT(63122, "[$-0E0000]yyyy-mm-dd")</f>
        <v/>
      </c>
      <c r="C63123" t="inlineStr">
        <is>
          <t>2072-09-15</t>
        </is>
      </c>
    </row>
    <row r="63124">
      <c r="A63124" s="1" t="n">
        <v>63123</v>
      </c>
      <c r="B63124">
        <f>TEXT(63123, "[$-0E0000]yyyy-mm-dd")</f>
        <v/>
      </c>
      <c r="C63124" t="inlineStr">
        <is>
          <t>2072-09-16</t>
        </is>
      </c>
    </row>
    <row r="63125">
      <c r="A63125" s="1" t="n">
        <v>63124</v>
      </c>
      <c r="B63125">
        <f>TEXT(63124, "[$-0E0000]yyyy-mm-dd")</f>
        <v/>
      </c>
      <c r="C63125" t="inlineStr">
        <is>
          <t>2072-09-17</t>
        </is>
      </c>
    </row>
    <row r="63126">
      <c r="A63126" s="1" t="n">
        <v>63125</v>
      </c>
      <c r="B63126">
        <f>TEXT(63125, "[$-0E0000]yyyy-mm-dd")</f>
        <v/>
      </c>
      <c r="C63126" t="inlineStr">
        <is>
          <t>2072-09-18</t>
        </is>
      </c>
    </row>
    <row r="63127">
      <c r="A63127" s="1" t="n">
        <v>63126</v>
      </c>
      <c r="B63127">
        <f>TEXT(63126, "[$-0E0000]yyyy-mm-dd")</f>
        <v/>
      </c>
      <c r="C63127" t="inlineStr">
        <is>
          <t>2072-09-19</t>
        </is>
      </c>
    </row>
    <row r="63128">
      <c r="A63128" s="1" t="n">
        <v>63127</v>
      </c>
      <c r="B63128">
        <f>TEXT(63127, "[$-0E0000]yyyy-mm-dd")</f>
        <v/>
      </c>
      <c r="C63128" t="inlineStr">
        <is>
          <t>2072-09-20</t>
        </is>
      </c>
    </row>
    <row r="63129">
      <c r="A63129" s="1" t="n">
        <v>63128</v>
      </c>
      <c r="B63129">
        <f>TEXT(63128, "[$-0E0000]yyyy-mm-dd")</f>
        <v/>
      </c>
      <c r="C63129" t="inlineStr">
        <is>
          <t>2072-09-21</t>
        </is>
      </c>
    </row>
    <row r="63130">
      <c r="A63130" s="1" t="n">
        <v>63129</v>
      </c>
      <c r="B63130">
        <f>TEXT(63129, "[$-0E0000]yyyy-mm-dd")</f>
        <v/>
      </c>
      <c r="C63130" t="inlineStr">
        <is>
          <t>2072-09-22</t>
        </is>
      </c>
    </row>
    <row r="63131">
      <c r="A63131" s="1" t="n">
        <v>63130</v>
      </c>
      <c r="B63131">
        <f>TEXT(63130, "[$-0E0000]yyyy-mm-dd")</f>
        <v/>
      </c>
      <c r="C63131" t="inlineStr">
        <is>
          <t>2072-09-23</t>
        </is>
      </c>
    </row>
    <row r="63132">
      <c r="A63132" s="1" t="n">
        <v>63131</v>
      </c>
      <c r="B63132">
        <f>TEXT(63131, "[$-0E0000]yyyy-mm-dd")</f>
        <v/>
      </c>
      <c r="C63132" t="inlineStr">
        <is>
          <t>2072-09-24</t>
        </is>
      </c>
    </row>
    <row r="63133">
      <c r="A63133" s="1" t="n">
        <v>63132</v>
      </c>
      <c r="B63133">
        <f>TEXT(63132, "[$-0E0000]yyyy-mm-dd")</f>
        <v/>
      </c>
      <c r="C63133" t="inlineStr">
        <is>
          <t>2072-09-25</t>
        </is>
      </c>
    </row>
    <row r="63134">
      <c r="A63134" s="1" t="n">
        <v>63133</v>
      </c>
      <c r="B63134">
        <f>TEXT(63133, "[$-0E0000]yyyy-mm-dd")</f>
        <v/>
      </c>
      <c r="C63134" t="inlineStr">
        <is>
          <t>2072-09-26</t>
        </is>
      </c>
    </row>
    <row r="63135">
      <c r="A63135" s="1" t="n">
        <v>63134</v>
      </c>
      <c r="B63135">
        <f>TEXT(63134, "[$-0E0000]yyyy-mm-dd")</f>
        <v/>
      </c>
      <c r="C63135" t="inlineStr">
        <is>
          <t>2072-09-27</t>
        </is>
      </c>
    </row>
    <row r="63136">
      <c r="A63136" s="1" t="n">
        <v>63135</v>
      </c>
      <c r="B63136">
        <f>TEXT(63135, "[$-0E0000]yyyy-mm-dd")</f>
        <v/>
      </c>
      <c r="C63136" t="inlineStr">
        <is>
          <t>2072-09-28</t>
        </is>
      </c>
    </row>
    <row r="63137">
      <c r="A63137" s="1" t="n">
        <v>63136</v>
      </c>
      <c r="B63137">
        <f>TEXT(63136, "[$-0E0000]yyyy-mm-dd")</f>
        <v/>
      </c>
      <c r="C63137" t="inlineStr">
        <is>
          <t>2072-09-29</t>
        </is>
      </c>
    </row>
    <row r="63138">
      <c r="A63138" s="1" t="n">
        <v>63137</v>
      </c>
      <c r="B63138">
        <f>TEXT(63137, "[$-0E0000]yyyy-mm-dd")</f>
        <v/>
      </c>
      <c r="C63138" t="inlineStr">
        <is>
          <t>2072-10-01</t>
        </is>
      </c>
    </row>
    <row r="63139">
      <c r="A63139" s="1" t="n">
        <v>63138</v>
      </c>
      <c r="B63139">
        <f>TEXT(63138, "[$-0E0000]yyyy-mm-dd")</f>
        <v/>
      </c>
      <c r="C63139" t="inlineStr">
        <is>
          <t>2072-10-02</t>
        </is>
      </c>
    </row>
    <row r="63140">
      <c r="A63140" s="1" t="n">
        <v>63139</v>
      </c>
      <c r="B63140">
        <f>TEXT(63139, "[$-0E0000]yyyy-mm-dd")</f>
        <v/>
      </c>
      <c r="C63140" t="inlineStr">
        <is>
          <t>2072-10-03</t>
        </is>
      </c>
    </row>
    <row r="63141">
      <c r="A63141" s="1" t="n">
        <v>63140</v>
      </c>
      <c r="B63141">
        <f>TEXT(63140, "[$-0E0000]yyyy-mm-dd")</f>
        <v/>
      </c>
      <c r="C63141" t="inlineStr">
        <is>
          <t>2072-10-04</t>
        </is>
      </c>
    </row>
    <row r="63142">
      <c r="A63142" s="1" t="n">
        <v>63141</v>
      </c>
      <c r="B63142">
        <f>TEXT(63141, "[$-0E0000]yyyy-mm-dd")</f>
        <v/>
      </c>
      <c r="C63142" t="inlineStr">
        <is>
          <t>2072-10-05</t>
        </is>
      </c>
    </row>
    <row r="63143">
      <c r="A63143" s="1" t="n">
        <v>63142</v>
      </c>
      <c r="B63143">
        <f>TEXT(63142, "[$-0E0000]yyyy-mm-dd")</f>
        <v/>
      </c>
      <c r="C63143" t="inlineStr">
        <is>
          <t>2072-10-06</t>
        </is>
      </c>
    </row>
    <row r="63144">
      <c r="A63144" s="1" t="n">
        <v>63143</v>
      </c>
      <c r="B63144">
        <f>TEXT(63143, "[$-0E0000]yyyy-mm-dd")</f>
        <v/>
      </c>
      <c r="C63144" t="inlineStr">
        <is>
          <t>2072-10-07</t>
        </is>
      </c>
    </row>
    <row r="63145">
      <c r="A63145" s="1" t="n">
        <v>63144</v>
      </c>
      <c r="B63145">
        <f>TEXT(63144, "[$-0E0000]yyyy-mm-dd")</f>
        <v/>
      </c>
      <c r="C63145" t="inlineStr">
        <is>
          <t>2072-10-08</t>
        </is>
      </c>
    </row>
    <row r="63146">
      <c r="A63146" s="1" t="n">
        <v>63145</v>
      </c>
      <c r="B63146">
        <f>TEXT(63145, "[$-0E0000]yyyy-mm-dd")</f>
        <v/>
      </c>
      <c r="C63146" t="inlineStr">
        <is>
          <t>2072-10-09</t>
        </is>
      </c>
    </row>
    <row r="63147">
      <c r="A63147" s="1" t="n">
        <v>63146</v>
      </c>
      <c r="B63147">
        <f>TEXT(63146, "[$-0E0000]yyyy-mm-dd")</f>
        <v/>
      </c>
      <c r="C63147" t="inlineStr">
        <is>
          <t>2072-10-10</t>
        </is>
      </c>
    </row>
    <row r="63148">
      <c r="A63148" s="1" t="n">
        <v>63147</v>
      </c>
      <c r="B63148">
        <f>TEXT(63147, "[$-0E0000]yyyy-mm-dd")</f>
        <v/>
      </c>
      <c r="C63148" t="inlineStr">
        <is>
          <t>2072-10-11</t>
        </is>
      </c>
    </row>
    <row r="63149">
      <c r="A63149" s="1" t="n">
        <v>63148</v>
      </c>
      <c r="B63149">
        <f>TEXT(63148, "[$-0E0000]yyyy-mm-dd")</f>
        <v/>
      </c>
      <c r="C63149" t="inlineStr">
        <is>
          <t>2072-10-12</t>
        </is>
      </c>
    </row>
    <row r="63150">
      <c r="A63150" s="1" t="n">
        <v>63149</v>
      </c>
      <c r="B63150">
        <f>TEXT(63149, "[$-0E0000]yyyy-mm-dd")</f>
        <v/>
      </c>
      <c r="C63150" t="inlineStr">
        <is>
          <t>2072-10-13</t>
        </is>
      </c>
    </row>
    <row r="63151">
      <c r="A63151" s="1" t="n">
        <v>63150</v>
      </c>
      <c r="B63151">
        <f>TEXT(63150, "[$-0E0000]yyyy-mm-dd")</f>
        <v/>
      </c>
      <c r="C63151" t="inlineStr">
        <is>
          <t>2072-10-14</t>
        </is>
      </c>
    </row>
    <row r="63152">
      <c r="A63152" s="1" t="n">
        <v>63151</v>
      </c>
      <c r="B63152">
        <f>TEXT(63151, "[$-0E0000]yyyy-mm-dd")</f>
        <v/>
      </c>
      <c r="C63152" t="inlineStr">
        <is>
          <t>2072-10-15</t>
        </is>
      </c>
    </row>
    <row r="63153">
      <c r="A63153" s="1" t="n">
        <v>63152</v>
      </c>
      <c r="B63153">
        <f>TEXT(63152, "[$-0E0000]yyyy-mm-dd")</f>
        <v/>
      </c>
      <c r="C63153" t="inlineStr">
        <is>
          <t>2072-10-16</t>
        </is>
      </c>
    </row>
    <row r="63154">
      <c r="A63154" s="1" t="n">
        <v>63153</v>
      </c>
      <c r="B63154">
        <f>TEXT(63153, "[$-0E0000]yyyy-mm-dd")</f>
        <v/>
      </c>
      <c r="C63154" t="inlineStr">
        <is>
          <t>2072-10-17</t>
        </is>
      </c>
    </row>
    <row r="63155">
      <c r="A63155" s="1" t="n">
        <v>63154</v>
      </c>
      <c r="B63155">
        <f>TEXT(63154, "[$-0E0000]yyyy-mm-dd")</f>
        <v/>
      </c>
      <c r="C63155" t="inlineStr">
        <is>
          <t>2072-10-18</t>
        </is>
      </c>
    </row>
    <row r="63156">
      <c r="A63156" s="1" t="n">
        <v>63155</v>
      </c>
      <c r="B63156">
        <f>TEXT(63155, "[$-0E0000]yyyy-mm-dd")</f>
        <v/>
      </c>
      <c r="C63156" t="inlineStr">
        <is>
          <t>2072-10-19</t>
        </is>
      </c>
    </row>
    <row r="63157">
      <c r="A63157" s="1" t="n">
        <v>63156</v>
      </c>
      <c r="B63157">
        <f>TEXT(63156, "[$-0E0000]yyyy-mm-dd")</f>
        <v/>
      </c>
      <c r="C63157" t="inlineStr">
        <is>
          <t>2072-10-20</t>
        </is>
      </c>
    </row>
    <row r="63158">
      <c r="A63158" s="1" t="n">
        <v>63157</v>
      </c>
      <c r="B63158">
        <f>TEXT(63157, "[$-0E0000]yyyy-mm-dd")</f>
        <v/>
      </c>
      <c r="C63158" t="inlineStr">
        <is>
          <t>2072-10-21</t>
        </is>
      </c>
    </row>
    <row r="63159">
      <c r="A63159" s="1" t="n">
        <v>63158</v>
      </c>
      <c r="B63159">
        <f>TEXT(63158, "[$-0E0000]yyyy-mm-dd")</f>
        <v/>
      </c>
      <c r="C63159" t="inlineStr">
        <is>
          <t>2072-10-22</t>
        </is>
      </c>
    </row>
    <row r="63160">
      <c r="A63160" s="1" t="n">
        <v>63159</v>
      </c>
      <c r="B63160">
        <f>TEXT(63159, "[$-0E0000]yyyy-mm-dd")</f>
        <v/>
      </c>
      <c r="C63160" t="inlineStr">
        <is>
          <t>2072-10-23</t>
        </is>
      </c>
    </row>
    <row r="63161">
      <c r="A63161" s="1" t="n">
        <v>63160</v>
      </c>
      <c r="B63161">
        <f>TEXT(63160, "[$-0E0000]yyyy-mm-dd")</f>
        <v/>
      </c>
      <c r="C63161" t="inlineStr">
        <is>
          <t>2072-10-24</t>
        </is>
      </c>
    </row>
    <row r="63162">
      <c r="A63162" s="1" t="n">
        <v>63161</v>
      </c>
      <c r="B63162">
        <f>TEXT(63161, "[$-0E0000]yyyy-mm-dd")</f>
        <v/>
      </c>
      <c r="C63162" t="inlineStr">
        <is>
          <t>2072-10-25</t>
        </is>
      </c>
    </row>
    <row r="63163">
      <c r="A63163" s="1" t="n">
        <v>63162</v>
      </c>
      <c r="B63163">
        <f>TEXT(63162, "[$-0E0000]yyyy-mm-dd")</f>
        <v/>
      </c>
      <c r="C63163" t="inlineStr">
        <is>
          <t>2072-10-26</t>
        </is>
      </c>
    </row>
    <row r="63164">
      <c r="A63164" s="1" t="n">
        <v>63163</v>
      </c>
      <c r="B63164">
        <f>TEXT(63163, "[$-0E0000]yyyy-mm-dd")</f>
        <v/>
      </c>
      <c r="C63164" t="inlineStr">
        <is>
          <t>2072-10-27</t>
        </is>
      </c>
    </row>
    <row r="63165">
      <c r="A63165" s="1" t="n">
        <v>63164</v>
      </c>
      <c r="B63165">
        <f>TEXT(63164, "[$-0E0000]yyyy-mm-dd")</f>
        <v/>
      </c>
      <c r="C63165" t="inlineStr">
        <is>
          <t>2072-10-28</t>
        </is>
      </c>
    </row>
    <row r="63166">
      <c r="A63166" s="1" t="n">
        <v>63165</v>
      </c>
      <c r="B63166">
        <f>TEXT(63165, "[$-0E0000]yyyy-mm-dd")</f>
        <v/>
      </c>
      <c r="C63166" t="inlineStr">
        <is>
          <t>2072-10-29</t>
        </is>
      </c>
    </row>
    <row r="63167">
      <c r="A63167" s="1" t="n">
        <v>63166</v>
      </c>
      <c r="B63167">
        <f>TEXT(63166, "[$-0E0000]yyyy-mm-dd")</f>
        <v/>
      </c>
      <c r="C63167" t="inlineStr">
        <is>
          <t>2072-10-30</t>
        </is>
      </c>
    </row>
    <row r="63168">
      <c r="A63168" s="1" t="n">
        <v>63167</v>
      </c>
      <c r="B63168">
        <f>TEXT(63167, "[$-0E0000]yyyy-mm-dd")</f>
        <v/>
      </c>
      <c r="C63168" t="inlineStr">
        <is>
          <t>2072-11-01</t>
        </is>
      </c>
    </row>
    <row r="63169">
      <c r="A63169" s="1" t="n">
        <v>63168</v>
      </c>
      <c r="B63169">
        <f>TEXT(63168, "[$-0E0000]yyyy-mm-dd")</f>
        <v/>
      </c>
      <c r="C63169" t="inlineStr">
        <is>
          <t>2072-11-02</t>
        </is>
      </c>
    </row>
    <row r="63170">
      <c r="A63170" s="1" t="n">
        <v>63169</v>
      </c>
      <c r="B63170">
        <f>TEXT(63169, "[$-0E0000]yyyy-mm-dd")</f>
        <v/>
      </c>
      <c r="C63170" t="inlineStr">
        <is>
          <t>2072-11-03</t>
        </is>
      </c>
    </row>
    <row r="63171">
      <c r="A63171" s="1" t="n">
        <v>63170</v>
      </c>
      <c r="B63171">
        <f>TEXT(63170, "[$-0E0000]yyyy-mm-dd")</f>
        <v/>
      </c>
      <c r="C63171" t="inlineStr">
        <is>
          <t>2072-11-04</t>
        </is>
      </c>
    </row>
    <row r="63172">
      <c r="A63172" s="1" t="n">
        <v>63171</v>
      </c>
      <c r="B63172">
        <f>TEXT(63171, "[$-0E0000]yyyy-mm-dd")</f>
        <v/>
      </c>
      <c r="C63172" t="inlineStr">
        <is>
          <t>2072-11-05</t>
        </is>
      </c>
    </row>
    <row r="63173">
      <c r="A63173" s="1" t="n">
        <v>63172</v>
      </c>
      <c r="B63173">
        <f>TEXT(63172, "[$-0E0000]yyyy-mm-dd")</f>
        <v/>
      </c>
      <c r="C63173" t="inlineStr">
        <is>
          <t>2072-11-06</t>
        </is>
      </c>
    </row>
    <row r="63174">
      <c r="A63174" s="1" t="n">
        <v>63173</v>
      </c>
      <c r="B63174">
        <f>TEXT(63173, "[$-0E0000]yyyy-mm-dd")</f>
        <v/>
      </c>
      <c r="C63174" t="inlineStr">
        <is>
          <t>2072-11-07</t>
        </is>
      </c>
    </row>
    <row r="63175">
      <c r="A63175" s="1" t="n">
        <v>63174</v>
      </c>
      <c r="B63175">
        <f>TEXT(63174, "[$-0E0000]yyyy-mm-dd")</f>
        <v/>
      </c>
      <c r="C63175" t="inlineStr">
        <is>
          <t>2072-11-08</t>
        </is>
      </c>
    </row>
    <row r="63176">
      <c r="A63176" s="1" t="n">
        <v>63175</v>
      </c>
      <c r="B63176">
        <f>TEXT(63175, "[$-0E0000]yyyy-mm-dd")</f>
        <v/>
      </c>
      <c r="C63176" t="inlineStr">
        <is>
          <t>2072-11-09</t>
        </is>
      </c>
    </row>
    <row r="63177">
      <c r="A63177" s="1" t="n">
        <v>63176</v>
      </c>
      <c r="B63177">
        <f>TEXT(63176, "[$-0E0000]yyyy-mm-dd")</f>
        <v/>
      </c>
      <c r="C63177" t="inlineStr">
        <is>
          <t>2072-11-10</t>
        </is>
      </c>
    </row>
    <row r="63178">
      <c r="A63178" s="1" t="n">
        <v>63177</v>
      </c>
      <c r="B63178">
        <f>TEXT(63177, "[$-0E0000]yyyy-mm-dd")</f>
        <v/>
      </c>
      <c r="C63178" t="inlineStr">
        <is>
          <t>2072-11-11</t>
        </is>
      </c>
    </row>
    <row r="63179">
      <c r="A63179" s="1" t="n">
        <v>63178</v>
      </c>
      <c r="B63179">
        <f>TEXT(63178, "[$-0E0000]yyyy-mm-dd")</f>
        <v/>
      </c>
      <c r="C63179" t="inlineStr">
        <is>
          <t>2072-11-12</t>
        </is>
      </c>
    </row>
    <row r="63180">
      <c r="A63180" s="1" t="n">
        <v>63179</v>
      </c>
      <c r="B63180">
        <f>TEXT(63179, "[$-0E0000]yyyy-mm-dd")</f>
        <v/>
      </c>
      <c r="C63180" t="inlineStr">
        <is>
          <t>2072-11-13</t>
        </is>
      </c>
    </row>
    <row r="63181">
      <c r="A63181" s="1" t="n">
        <v>63180</v>
      </c>
      <c r="B63181">
        <f>TEXT(63180, "[$-0E0000]yyyy-mm-dd")</f>
        <v/>
      </c>
      <c r="C63181" t="inlineStr">
        <is>
          <t>2072-11-14</t>
        </is>
      </c>
    </row>
    <row r="63182">
      <c r="A63182" s="1" t="n">
        <v>63181</v>
      </c>
      <c r="B63182">
        <f>TEXT(63181, "[$-0E0000]yyyy-mm-dd")</f>
        <v/>
      </c>
      <c r="C63182" t="inlineStr">
        <is>
          <t>2072-11-15</t>
        </is>
      </c>
    </row>
    <row r="63183">
      <c r="A63183" s="1" t="n">
        <v>63182</v>
      </c>
      <c r="B63183">
        <f>TEXT(63182, "[$-0E0000]yyyy-mm-dd")</f>
        <v/>
      </c>
      <c r="C63183" t="inlineStr">
        <is>
          <t>2072-11-16</t>
        </is>
      </c>
    </row>
    <row r="63184">
      <c r="A63184" s="1" t="n">
        <v>63183</v>
      </c>
      <c r="B63184">
        <f>TEXT(63183, "[$-0E0000]yyyy-mm-dd")</f>
        <v/>
      </c>
      <c r="C63184" t="inlineStr">
        <is>
          <t>2072-11-17</t>
        </is>
      </c>
    </row>
    <row r="63185">
      <c r="A63185" s="1" t="n">
        <v>63184</v>
      </c>
      <c r="B63185">
        <f>TEXT(63184, "[$-0E0000]yyyy-mm-dd")</f>
        <v/>
      </c>
      <c r="C63185" t="inlineStr">
        <is>
          <t>2072-11-18</t>
        </is>
      </c>
    </row>
    <row r="63186">
      <c r="A63186" s="1" t="n">
        <v>63185</v>
      </c>
      <c r="B63186">
        <f>TEXT(63185, "[$-0E0000]yyyy-mm-dd")</f>
        <v/>
      </c>
      <c r="C63186" t="inlineStr">
        <is>
          <t>2072-11-19</t>
        </is>
      </c>
    </row>
    <row r="63187">
      <c r="A63187" s="1" t="n">
        <v>63186</v>
      </c>
      <c r="B63187">
        <f>TEXT(63186, "[$-0E0000]yyyy-mm-dd")</f>
        <v/>
      </c>
      <c r="C63187" t="inlineStr">
        <is>
          <t>2072-11-20</t>
        </is>
      </c>
    </row>
    <row r="63188">
      <c r="A63188" s="1" t="n">
        <v>63187</v>
      </c>
      <c r="B63188">
        <f>TEXT(63187, "[$-0E0000]yyyy-mm-dd")</f>
        <v/>
      </c>
      <c r="C63188" t="inlineStr">
        <is>
          <t>2072-11-21</t>
        </is>
      </c>
    </row>
    <row r="63189">
      <c r="A63189" s="1" t="n">
        <v>63188</v>
      </c>
      <c r="B63189">
        <f>TEXT(63188, "[$-0E0000]yyyy-mm-dd")</f>
        <v/>
      </c>
      <c r="C63189" t="inlineStr">
        <is>
          <t>2072-11-22</t>
        </is>
      </c>
    </row>
    <row r="63190">
      <c r="A63190" s="1" t="n">
        <v>63189</v>
      </c>
      <c r="B63190">
        <f>TEXT(63189, "[$-0E0000]yyyy-mm-dd")</f>
        <v/>
      </c>
      <c r="C63190" t="inlineStr">
        <is>
          <t>2072-11-23</t>
        </is>
      </c>
    </row>
    <row r="63191">
      <c r="A63191" s="1" t="n">
        <v>63190</v>
      </c>
      <c r="B63191">
        <f>TEXT(63190, "[$-0E0000]yyyy-mm-dd")</f>
        <v/>
      </c>
      <c r="C63191" t="inlineStr">
        <is>
          <t>2072-11-24</t>
        </is>
      </c>
    </row>
    <row r="63192">
      <c r="A63192" s="1" t="n">
        <v>63191</v>
      </c>
      <c r="B63192">
        <f>TEXT(63191, "[$-0E0000]yyyy-mm-dd")</f>
        <v/>
      </c>
      <c r="C63192" t="inlineStr">
        <is>
          <t>2072-11-25</t>
        </is>
      </c>
    </row>
    <row r="63193">
      <c r="A63193" s="1" t="n">
        <v>63192</v>
      </c>
      <c r="B63193">
        <f>TEXT(63192, "[$-0E0000]yyyy-mm-dd")</f>
        <v/>
      </c>
      <c r="C63193" t="inlineStr">
        <is>
          <t>2072-11-26</t>
        </is>
      </c>
    </row>
    <row r="63194">
      <c r="A63194" s="1" t="n">
        <v>63193</v>
      </c>
      <c r="B63194">
        <f>TEXT(63193, "[$-0E0000]yyyy-mm-dd")</f>
        <v/>
      </c>
      <c r="C63194" t="inlineStr">
        <is>
          <t>2072-11-27</t>
        </is>
      </c>
    </row>
    <row r="63195">
      <c r="A63195" s="1" t="n">
        <v>63194</v>
      </c>
      <c r="B63195">
        <f>TEXT(63194, "[$-0E0000]yyyy-mm-dd")</f>
        <v/>
      </c>
      <c r="C63195" t="inlineStr">
        <is>
          <t>2072-11-28</t>
        </is>
      </c>
    </row>
    <row r="63196">
      <c r="A63196" s="1" t="n">
        <v>63195</v>
      </c>
      <c r="B63196">
        <f>TEXT(63195, "[$-0E0000]yyyy-mm-dd")</f>
        <v/>
      </c>
      <c r="C63196" t="inlineStr">
        <is>
          <t>2072-11-29</t>
        </is>
      </c>
    </row>
    <row r="63197">
      <c r="A63197" s="1" t="n">
        <v>63196</v>
      </c>
      <c r="B63197">
        <f>TEXT(63196, "[$-0E0000]yyyy-mm-dd")</f>
        <v/>
      </c>
      <c r="C63197" t="inlineStr">
        <is>
          <t>2072-12-01</t>
        </is>
      </c>
    </row>
    <row r="63198">
      <c r="A63198" s="1" t="n">
        <v>63197</v>
      </c>
      <c r="B63198">
        <f>TEXT(63197, "[$-0E0000]yyyy-mm-dd")</f>
        <v/>
      </c>
      <c r="C63198" t="inlineStr">
        <is>
          <t>2072-12-02</t>
        </is>
      </c>
    </row>
    <row r="63199">
      <c r="A63199" s="1" t="n">
        <v>63198</v>
      </c>
      <c r="B63199">
        <f>TEXT(63198, "[$-0E0000]yyyy-mm-dd")</f>
        <v/>
      </c>
      <c r="C63199" t="inlineStr">
        <is>
          <t>2072-12-03</t>
        </is>
      </c>
    </row>
    <row r="63200">
      <c r="A63200" s="1" t="n">
        <v>63199</v>
      </c>
      <c r="B63200">
        <f>TEXT(63199, "[$-0E0000]yyyy-mm-dd")</f>
        <v/>
      </c>
      <c r="C63200" t="inlineStr">
        <is>
          <t>2072-12-04</t>
        </is>
      </c>
    </row>
    <row r="63201">
      <c r="A63201" s="1" t="n">
        <v>63200</v>
      </c>
      <c r="B63201">
        <f>TEXT(63200, "[$-0E0000]yyyy-mm-dd")</f>
        <v/>
      </c>
      <c r="C63201" t="inlineStr">
        <is>
          <t>2072-12-05</t>
        </is>
      </c>
    </row>
    <row r="63202">
      <c r="A63202" s="1" t="n">
        <v>63201</v>
      </c>
      <c r="B63202">
        <f>TEXT(63201, "[$-0E0000]yyyy-mm-dd")</f>
        <v/>
      </c>
      <c r="C63202" t="inlineStr">
        <is>
          <t>2072-12-06</t>
        </is>
      </c>
    </row>
    <row r="63203">
      <c r="A63203" s="1" t="n">
        <v>63202</v>
      </c>
      <c r="B63203">
        <f>TEXT(63202, "[$-0E0000]yyyy-mm-dd")</f>
        <v/>
      </c>
      <c r="C63203" t="inlineStr">
        <is>
          <t>2072-12-07</t>
        </is>
      </c>
    </row>
    <row r="63204">
      <c r="A63204" s="1" t="n">
        <v>63203</v>
      </c>
      <c r="B63204">
        <f>TEXT(63203, "[$-0E0000]yyyy-mm-dd")</f>
        <v/>
      </c>
      <c r="C63204" t="inlineStr">
        <is>
          <t>2072-12-08</t>
        </is>
      </c>
    </row>
    <row r="63205">
      <c r="A63205" s="1" t="n">
        <v>63204</v>
      </c>
      <c r="B63205">
        <f>TEXT(63204, "[$-0E0000]yyyy-mm-dd")</f>
        <v/>
      </c>
      <c r="C63205" t="inlineStr">
        <is>
          <t>2072-12-09</t>
        </is>
      </c>
    </row>
    <row r="63206">
      <c r="A63206" s="1" t="n">
        <v>63205</v>
      </c>
      <c r="B63206">
        <f>TEXT(63205, "[$-0E0000]yyyy-mm-dd")</f>
        <v/>
      </c>
      <c r="C63206" t="inlineStr">
        <is>
          <t>2072-12-10</t>
        </is>
      </c>
    </row>
    <row r="63207">
      <c r="A63207" s="1" t="n">
        <v>63206</v>
      </c>
      <c r="B63207">
        <f>TEXT(63206, "[$-0E0000]yyyy-mm-dd")</f>
        <v/>
      </c>
      <c r="C63207" t="inlineStr">
        <is>
          <t>2072-12-11</t>
        </is>
      </c>
    </row>
    <row r="63208">
      <c r="A63208" s="1" t="n">
        <v>63207</v>
      </c>
      <c r="B63208">
        <f>TEXT(63207, "[$-0E0000]yyyy-mm-dd")</f>
        <v/>
      </c>
      <c r="C63208" t="inlineStr">
        <is>
          <t>2072-12-12</t>
        </is>
      </c>
    </row>
    <row r="63209">
      <c r="A63209" s="1" t="n">
        <v>63208</v>
      </c>
      <c r="B63209">
        <f>TEXT(63208, "[$-0E0000]yyyy-mm-dd")</f>
        <v/>
      </c>
      <c r="C63209" t="inlineStr">
        <is>
          <t>2072-12-13</t>
        </is>
      </c>
    </row>
    <row r="63210">
      <c r="A63210" s="1" t="n">
        <v>63209</v>
      </c>
      <c r="B63210">
        <f>TEXT(63209, "[$-0E0000]yyyy-mm-dd")</f>
        <v/>
      </c>
      <c r="C63210" t="inlineStr">
        <is>
          <t>2072-12-14</t>
        </is>
      </c>
    </row>
    <row r="63211">
      <c r="A63211" s="1" t="n">
        <v>63210</v>
      </c>
      <c r="B63211">
        <f>TEXT(63210, "[$-0E0000]yyyy-mm-dd")</f>
        <v/>
      </c>
      <c r="C63211" t="inlineStr">
        <is>
          <t>2072-12-15</t>
        </is>
      </c>
    </row>
    <row r="63212">
      <c r="A63212" s="1" t="n">
        <v>63211</v>
      </c>
      <c r="B63212">
        <f>TEXT(63211, "[$-0E0000]yyyy-mm-dd")</f>
        <v/>
      </c>
      <c r="C63212" t="inlineStr">
        <is>
          <t>2072-12-16</t>
        </is>
      </c>
    </row>
    <row r="63213">
      <c r="A63213" s="1" t="n">
        <v>63212</v>
      </c>
      <c r="B63213">
        <f>TEXT(63212, "[$-0E0000]yyyy-mm-dd")</f>
        <v/>
      </c>
      <c r="C63213" t="inlineStr">
        <is>
          <t>2072-12-17</t>
        </is>
      </c>
    </row>
    <row r="63214">
      <c r="A63214" s="1" t="n">
        <v>63213</v>
      </c>
      <c r="B63214">
        <f>TEXT(63213, "[$-0E0000]yyyy-mm-dd")</f>
        <v/>
      </c>
      <c r="C63214" t="inlineStr">
        <is>
          <t>2072-12-18</t>
        </is>
      </c>
    </row>
    <row r="63215">
      <c r="A63215" s="1" t="n">
        <v>63214</v>
      </c>
      <c r="B63215">
        <f>TEXT(63214, "[$-0E0000]yyyy-mm-dd")</f>
        <v/>
      </c>
      <c r="C63215" t="inlineStr">
        <is>
          <t>2072-12-19</t>
        </is>
      </c>
    </row>
    <row r="63216">
      <c r="A63216" s="1" t="n">
        <v>63215</v>
      </c>
      <c r="B63216">
        <f>TEXT(63215, "[$-0E0000]yyyy-mm-dd")</f>
        <v/>
      </c>
      <c r="C63216" t="inlineStr">
        <is>
          <t>2072-12-20</t>
        </is>
      </c>
    </row>
    <row r="63217">
      <c r="A63217" s="1" t="n">
        <v>63216</v>
      </c>
      <c r="B63217">
        <f>TEXT(63216, "[$-0E0000]yyyy-mm-dd")</f>
        <v/>
      </c>
      <c r="C63217" t="inlineStr">
        <is>
          <t>2072-12-21</t>
        </is>
      </c>
    </row>
    <row r="63218">
      <c r="A63218" s="1" t="n">
        <v>63217</v>
      </c>
      <c r="B63218">
        <f>TEXT(63217, "[$-0E0000]yyyy-mm-dd")</f>
        <v/>
      </c>
      <c r="C63218" t="inlineStr">
        <is>
          <t>2072-12-22</t>
        </is>
      </c>
    </row>
    <row r="63219">
      <c r="A63219" s="1" t="n">
        <v>63218</v>
      </c>
      <c r="B63219">
        <f>TEXT(63218, "[$-0E0000]yyyy-mm-dd")</f>
        <v/>
      </c>
      <c r="C63219" t="inlineStr">
        <is>
          <t>2072-12-23</t>
        </is>
      </c>
    </row>
    <row r="63220">
      <c r="A63220" s="1" t="n">
        <v>63219</v>
      </c>
      <c r="B63220">
        <f>TEXT(63219, "[$-0E0000]yyyy-mm-dd")</f>
        <v/>
      </c>
      <c r="C63220" t="inlineStr">
        <is>
          <t>2072-12-24</t>
        </is>
      </c>
    </row>
    <row r="63221">
      <c r="A63221" s="1" t="n">
        <v>63220</v>
      </c>
      <c r="B63221">
        <f>TEXT(63220, "[$-0E0000]yyyy-mm-dd")</f>
        <v/>
      </c>
      <c r="C63221" t="inlineStr">
        <is>
          <t>2072-12-25</t>
        </is>
      </c>
    </row>
    <row r="63222">
      <c r="A63222" s="1" t="n">
        <v>63221</v>
      </c>
      <c r="B63222">
        <f>TEXT(63221, "[$-0E0000]yyyy-mm-dd")</f>
        <v/>
      </c>
      <c r="C63222" t="inlineStr">
        <is>
          <t>2072-12-26</t>
        </is>
      </c>
    </row>
    <row r="63223">
      <c r="A63223" s="1" t="n">
        <v>63222</v>
      </c>
      <c r="B63223">
        <f>TEXT(63222, "[$-0E0000]yyyy-mm-dd")</f>
        <v/>
      </c>
      <c r="C63223" t="inlineStr">
        <is>
          <t>2072-12-27</t>
        </is>
      </c>
    </row>
    <row r="63224">
      <c r="A63224" s="1" t="n">
        <v>63223</v>
      </c>
      <c r="B63224">
        <f>TEXT(63223, "[$-0E0000]yyyy-mm-dd")</f>
        <v/>
      </c>
      <c r="C63224" t="inlineStr">
        <is>
          <t>2072-12-28</t>
        </is>
      </c>
    </row>
    <row r="63225">
      <c r="A63225" s="1" t="n">
        <v>63224</v>
      </c>
      <c r="B63225">
        <f>TEXT(63224, "[$-0E0000]yyyy-mm-dd")</f>
        <v/>
      </c>
      <c r="C63225" t="inlineStr">
        <is>
          <t>2072-12-29</t>
        </is>
      </c>
    </row>
    <row r="63226">
      <c r="A63226" s="1" t="n">
        <v>63225</v>
      </c>
      <c r="B63226">
        <f>TEXT(63225, "[$-0E0000]yyyy-mm-dd")</f>
        <v/>
      </c>
      <c r="C63226" t="inlineStr">
        <is>
          <t>2072-12-30</t>
        </is>
      </c>
    </row>
    <row r="63227">
      <c r="A63227" s="1" t="n">
        <v>63226</v>
      </c>
      <c r="B63227">
        <f>TEXT(63226, "[$-0E0000]yyyy-mm-dd")</f>
        <v/>
      </c>
      <c r="C63227" t="inlineStr">
        <is>
          <t>2073-01-01</t>
        </is>
      </c>
    </row>
    <row r="63228">
      <c r="A63228" s="1" t="n">
        <v>63227</v>
      </c>
      <c r="B63228">
        <f>TEXT(63227, "[$-0E0000]yyyy-mm-dd")</f>
        <v/>
      </c>
      <c r="C63228" t="inlineStr">
        <is>
          <t>2073-01-02</t>
        </is>
      </c>
    </row>
    <row r="63229">
      <c r="A63229" s="1" t="n">
        <v>63228</v>
      </c>
      <c r="B63229">
        <f>TEXT(63228, "[$-0E0000]yyyy-mm-dd")</f>
        <v/>
      </c>
      <c r="C63229" t="inlineStr">
        <is>
          <t>2073-01-03</t>
        </is>
      </c>
    </row>
    <row r="63230">
      <c r="A63230" s="1" t="n">
        <v>63229</v>
      </c>
      <c r="B63230">
        <f>TEXT(63229, "[$-0E0000]yyyy-mm-dd")</f>
        <v/>
      </c>
      <c r="C63230" t="inlineStr">
        <is>
          <t>2073-01-04</t>
        </is>
      </c>
    </row>
    <row r="63231">
      <c r="A63231" s="1" t="n">
        <v>63230</v>
      </c>
      <c r="B63231">
        <f>TEXT(63230, "[$-0E0000]yyyy-mm-dd")</f>
        <v/>
      </c>
      <c r="C63231" t="inlineStr">
        <is>
          <t>2073-01-05</t>
        </is>
      </c>
    </row>
    <row r="63232">
      <c r="A63232" s="1" t="n">
        <v>63231</v>
      </c>
      <c r="B63232">
        <f>TEXT(63231, "[$-0E0000]yyyy-mm-dd")</f>
        <v/>
      </c>
      <c r="C63232" t="inlineStr">
        <is>
          <t>2073-01-06</t>
        </is>
      </c>
    </row>
    <row r="63233">
      <c r="A63233" s="1" t="n">
        <v>63232</v>
      </c>
      <c r="B63233">
        <f>TEXT(63232, "[$-0E0000]yyyy-mm-dd")</f>
        <v/>
      </c>
      <c r="C63233" t="inlineStr">
        <is>
          <t>2073-01-07</t>
        </is>
      </c>
    </row>
    <row r="63234">
      <c r="A63234" s="1" t="n">
        <v>63233</v>
      </c>
      <c r="B63234">
        <f>TEXT(63233, "[$-0E0000]yyyy-mm-dd")</f>
        <v/>
      </c>
      <c r="C63234" t="inlineStr">
        <is>
          <t>2073-01-08</t>
        </is>
      </c>
    </row>
    <row r="63235">
      <c r="A63235" s="1" t="n">
        <v>63234</v>
      </c>
      <c r="B63235">
        <f>TEXT(63234, "[$-0E0000]yyyy-mm-dd")</f>
        <v/>
      </c>
      <c r="C63235" t="inlineStr">
        <is>
          <t>2073-01-09</t>
        </is>
      </c>
    </row>
    <row r="63236">
      <c r="A63236" s="1" t="n">
        <v>63235</v>
      </c>
      <c r="B63236">
        <f>TEXT(63235, "[$-0E0000]yyyy-mm-dd")</f>
        <v/>
      </c>
      <c r="C63236" t="inlineStr">
        <is>
          <t>2073-01-10</t>
        </is>
      </c>
    </row>
    <row r="63237">
      <c r="A63237" s="1" t="n">
        <v>63236</v>
      </c>
      <c r="B63237">
        <f>TEXT(63236, "[$-0E0000]yyyy-mm-dd")</f>
        <v/>
      </c>
      <c r="C63237" t="inlineStr">
        <is>
          <t>2073-01-11</t>
        </is>
      </c>
    </row>
    <row r="63238">
      <c r="A63238" s="1" t="n">
        <v>63237</v>
      </c>
      <c r="B63238">
        <f>TEXT(63237, "[$-0E0000]yyyy-mm-dd")</f>
        <v/>
      </c>
      <c r="C63238" t="inlineStr">
        <is>
          <t>2073-01-12</t>
        </is>
      </c>
    </row>
    <row r="63239">
      <c r="A63239" s="1" t="n">
        <v>63238</v>
      </c>
      <c r="B63239">
        <f>TEXT(63238, "[$-0E0000]yyyy-mm-dd")</f>
        <v/>
      </c>
      <c r="C63239" t="inlineStr">
        <is>
          <t>2073-01-13</t>
        </is>
      </c>
    </row>
    <row r="63240">
      <c r="A63240" s="1" t="n">
        <v>63239</v>
      </c>
      <c r="B63240">
        <f>TEXT(63239, "[$-0E0000]yyyy-mm-dd")</f>
        <v/>
      </c>
      <c r="C63240" t="inlineStr">
        <is>
          <t>2073-01-14</t>
        </is>
      </c>
    </row>
    <row r="63241">
      <c r="A63241" s="1" t="n">
        <v>63240</v>
      </c>
      <c r="B63241">
        <f>TEXT(63240, "[$-0E0000]yyyy-mm-dd")</f>
        <v/>
      </c>
      <c r="C63241" t="inlineStr">
        <is>
          <t>2073-01-15</t>
        </is>
      </c>
    </row>
    <row r="63242">
      <c r="A63242" s="1" t="n">
        <v>63241</v>
      </c>
      <c r="B63242">
        <f>TEXT(63241, "[$-0E0000]yyyy-mm-dd")</f>
        <v/>
      </c>
      <c r="C63242" t="inlineStr">
        <is>
          <t>2073-01-16</t>
        </is>
      </c>
    </row>
    <row r="63243">
      <c r="A63243" s="1" t="n">
        <v>63242</v>
      </c>
      <c r="B63243">
        <f>TEXT(63242, "[$-0E0000]yyyy-mm-dd")</f>
        <v/>
      </c>
      <c r="C63243" t="inlineStr">
        <is>
          <t>2073-01-17</t>
        </is>
      </c>
    </row>
    <row r="63244">
      <c r="A63244" s="1" t="n">
        <v>63243</v>
      </c>
      <c r="B63244">
        <f>TEXT(63243, "[$-0E0000]yyyy-mm-dd")</f>
        <v/>
      </c>
      <c r="C63244" t="inlineStr">
        <is>
          <t>2073-01-18</t>
        </is>
      </c>
    </row>
    <row r="63245">
      <c r="A63245" s="1" t="n">
        <v>63244</v>
      </c>
      <c r="B63245">
        <f>TEXT(63244, "[$-0E0000]yyyy-mm-dd")</f>
        <v/>
      </c>
      <c r="C63245" t="inlineStr">
        <is>
          <t>2073-01-19</t>
        </is>
      </c>
    </row>
    <row r="63246">
      <c r="A63246" s="1" t="n">
        <v>63245</v>
      </c>
      <c r="B63246">
        <f>TEXT(63245, "[$-0E0000]yyyy-mm-dd")</f>
        <v/>
      </c>
      <c r="C63246" t="inlineStr">
        <is>
          <t>2073-01-20</t>
        </is>
      </c>
    </row>
    <row r="63247">
      <c r="A63247" s="1" t="n">
        <v>63246</v>
      </c>
      <c r="B63247">
        <f>TEXT(63246, "[$-0E0000]yyyy-mm-dd")</f>
        <v/>
      </c>
      <c r="C63247" t="inlineStr">
        <is>
          <t>2073-01-21</t>
        </is>
      </c>
    </row>
    <row r="63248">
      <c r="A63248" s="1" t="n">
        <v>63247</v>
      </c>
      <c r="B63248">
        <f>TEXT(63247, "[$-0E0000]yyyy-mm-dd")</f>
        <v/>
      </c>
      <c r="C63248" t="inlineStr">
        <is>
          <t>2073-01-22</t>
        </is>
      </c>
    </row>
    <row r="63249">
      <c r="A63249" s="1" t="n">
        <v>63248</v>
      </c>
      <c r="B63249">
        <f>TEXT(63248, "[$-0E0000]yyyy-mm-dd")</f>
        <v/>
      </c>
      <c r="C63249" t="inlineStr">
        <is>
          <t>2073-01-23</t>
        </is>
      </c>
    </row>
    <row r="63250">
      <c r="A63250" s="1" t="n">
        <v>63249</v>
      </c>
      <c r="B63250">
        <f>TEXT(63249, "[$-0E0000]yyyy-mm-dd")</f>
        <v/>
      </c>
      <c r="C63250" t="inlineStr">
        <is>
          <t>2073-01-24</t>
        </is>
      </c>
    </row>
    <row r="63251">
      <c r="A63251" s="1" t="n">
        <v>63250</v>
      </c>
      <c r="B63251">
        <f>TEXT(63250, "[$-0E0000]yyyy-mm-dd")</f>
        <v/>
      </c>
      <c r="C63251" t="inlineStr">
        <is>
          <t>2073-01-25</t>
        </is>
      </c>
    </row>
    <row r="63252">
      <c r="A63252" s="1" t="n">
        <v>63251</v>
      </c>
      <c r="B63252">
        <f>TEXT(63251, "[$-0E0000]yyyy-mm-dd")</f>
        <v/>
      </c>
      <c r="C63252" t="inlineStr">
        <is>
          <t>2073-01-26</t>
        </is>
      </c>
    </row>
    <row r="63253">
      <c r="A63253" s="1" t="n">
        <v>63252</v>
      </c>
      <c r="B63253">
        <f>TEXT(63252, "[$-0E0000]yyyy-mm-dd")</f>
        <v/>
      </c>
      <c r="C63253" t="inlineStr">
        <is>
          <t>2073-01-27</t>
        </is>
      </c>
    </row>
    <row r="63254">
      <c r="A63254" s="1" t="n">
        <v>63253</v>
      </c>
      <c r="B63254">
        <f>TEXT(63253, "[$-0E0000]yyyy-mm-dd")</f>
        <v/>
      </c>
      <c r="C63254" t="inlineStr">
        <is>
          <t>2073-01-28</t>
        </is>
      </c>
    </row>
    <row r="63255">
      <c r="A63255" s="1" t="n">
        <v>63254</v>
      </c>
      <c r="B63255">
        <f>TEXT(63254, "[$-0E0000]yyyy-mm-dd")</f>
        <v/>
      </c>
      <c r="C63255" t="inlineStr">
        <is>
          <t>2073-01-29</t>
        </is>
      </c>
    </row>
    <row r="63256">
      <c r="A63256" s="1" t="n">
        <v>63255</v>
      </c>
      <c r="B63256">
        <f>TEXT(63255, "[$-0E0000]yyyy-mm-dd")</f>
        <v/>
      </c>
      <c r="C63256" t="inlineStr">
        <is>
          <t>2073-01-30</t>
        </is>
      </c>
    </row>
    <row r="63257">
      <c r="A63257" s="1" t="n">
        <v>63256</v>
      </c>
      <c r="B63257">
        <f>TEXT(63256, "[$-0E0000]yyyy-mm-dd")</f>
        <v/>
      </c>
      <c r="C63257" t="inlineStr">
        <is>
          <t>2073-02-01</t>
        </is>
      </c>
    </row>
    <row r="63258">
      <c r="A63258" s="1" t="n">
        <v>63257</v>
      </c>
      <c r="B63258">
        <f>TEXT(63257, "[$-0E0000]yyyy-mm-dd")</f>
        <v/>
      </c>
      <c r="C63258" t="inlineStr">
        <is>
          <t>2073-02-02</t>
        </is>
      </c>
    </row>
    <row r="63259">
      <c r="A63259" s="1" t="n">
        <v>63258</v>
      </c>
      <c r="B63259">
        <f>TEXT(63258, "[$-0E0000]yyyy-mm-dd")</f>
        <v/>
      </c>
      <c r="C63259" t="inlineStr">
        <is>
          <t>2073-02-03</t>
        </is>
      </c>
    </row>
    <row r="63260">
      <c r="A63260" s="1" t="n">
        <v>63259</v>
      </c>
      <c r="B63260">
        <f>TEXT(63259, "[$-0E0000]yyyy-mm-dd")</f>
        <v/>
      </c>
      <c r="C63260" t="inlineStr">
        <is>
          <t>2073-02-04</t>
        </is>
      </c>
    </row>
    <row r="63261">
      <c r="A63261" s="1" t="n">
        <v>63260</v>
      </c>
      <c r="B63261">
        <f>TEXT(63260, "[$-0E0000]yyyy-mm-dd")</f>
        <v/>
      </c>
      <c r="C63261" t="inlineStr">
        <is>
          <t>2073-02-05</t>
        </is>
      </c>
    </row>
    <row r="63262">
      <c r="A63262" s="1" t="n">
        <v>63261</v>
      </c>
      <c r="B63262">
        <f>TEXT(63261, "[$-0E0000]yyyy-mm-dd")</f>
        <v/>
      </c>
      <c r="C63262" t="inlineStr">
        <is>
          <t>2073-02-06</t>
        </is>
      </c>
    </row>
    <row r="63263">
      <c r="A63263" s="1" t="n">
        <v>63262</v>
      </c>
      <c r="B63263">
        <f>TEXT(63262, "[$-0E0000]yyyy-mm-dd")</f>
        <v/>
      </c>
      <c r="C63263" t="inlineStr">
        <is>
          <t>2073-02-07</t>
        </is>
      </c>
    </row>
    <row r="63264">
      <c r="A63264" s="1" t="n">
        <v>63263</v>
      </c>
      <c r="B63264">
        <f>TEXT(63263, "[$-0E0000]yyyy-mm-dd")</f>
        <v/>
      </c>
      <c r="C63264" t="inlineStr">
        <is>
          <t>2073-02-08</t>
        </is>
      </c>
    </row>
    <row r="63265">
      <c r="A63265" s="1" t="n">
        <v>63264</v>
      </c>
      <c r="B63265">
        <f>TEXT(63264, "[$-0E0000]yyyy-mm-dd")</f>
        <v/>
      </c>
      <c r="C63265" t="inlineStr">
        <is>
          <t>2073-02-09</t>
        </is>
      </c>
    </row>
    <row r="63266">
      <c r="A63266" s="1" t="n">
        <v>63265</v>
      </c>
      <c r="B63266">
        <f>TEXT(63265, "[$-0E0000]yyyy-mm-dd")</f>
        <v/>
      </c>
      <c r="C63266" t="inlineStr">
        <is>
          <t>2073-02-10</t>
        </is>
      </c>
    </row>
    <row r="63267">
      <c r="A63267" s="1" t="n">
        <v>63266</v>
      </c>
      <c r="B63267">
        <f>TEXT(63266, "[$-0E0000]yyyy-mm-dd")</f>
        <v/>
      </c>
      <c r="C63267" t="inlineStr">
        <is>
          <t>2073-02-11</t>
        </is>
      </c>
    </row>
    <row r="63268">
      <c r="A63268" s="1" t="n">
        <v>63267</v>
      </c>
      <c r="B63268">
        <f>TEXT(63267, "[$-0E0000]yyyy-mm-dd")</f>
        <v/>
      </c>
      <c r="C63268" t="inlineStr">
        <is>
          <t>2073-02-12</t>
        </is>
      </c>
    </row>
    <row r="63269">
      <c r="A63269" s="1" t="n">
        <v>63268</v>
      </c>
      <c r="B63269">
        <f>TEXT(63268, "[$-0E0000]yyyy-mm-dd")</f>
        <v/>
      </c>
      <c r="C63269" t="inlineStr">
        <is>
          <t>2073-02-13</t>
        </is>
      </c>
    </row>
    <row r="63270">
      <c r="A63270" s="1" t="n">
        <v>63269</v>
      </c>
      <c r="B63270">
        <f>TEXT(63269, "[$-0E0000]yyyy-mm-dd")</f>
        <v/>
      </c>
      <c r="C63270" t="inlineStr">
        <is>
          <t>2073-02-14</t>
        </is>
      </c>
    </row>
    <row r="63271">
      <c r="A63271" s="1" t="n">
        <v>63270</v>
      </c>
      <c r="B63271">
        <f>TEXT(63270, "[$-0E0000]yyyy-mm-dd")</f>
        <v/>
      </c>
      <c r="C63271" t="inlineStr">
        <is>
          <t>2073-02-15</t>
        </is>
      </c>
    </row>
    <row r="63272">
      <c r="A63272" s="1" t="n">
        <v>63271</v>
      </c>
      <c r="B63272">
        <f>TEXT(63271, "[$-0E0000]yyyy-mm-dd")</f>
        <v/>
      </c>
      <c r="C63272" t="inlineStr">
        <is>
          <t>2073-02-16</t>
        </is>
      </c>
    </row>
    <row r="63273">
      <c r="A63273" s="1" t="n">
        <v>63272</v>
      </c>
      <c r="B63273">
        <f>TEXT(63272, "[$-0E0000]yyyy-mm-dd")</f>
        <v/>
      </c>
      <c r="C63273" t="inlineStr">
        <is>
          <t>2073-02-17</t>
        </is>
      </c>
    </row>
    <row r="63274">
      <c r="A63274" s="1" t="n">
        <v>63273</v>
      </c>
      <c r="B63274">
        <f>TEXT(63273, "[$-0E0000]yyyy-mm-dd")</f>
        <v/>
      </c>
      <c r="C63274" t="inlineStr">
        <is>
          <t>2073-02-18</t>
        </is>
      </c>
    </row>
    <row r="63275">
      <c r="A63275" s="1" t="n">
        <v>63274</v>
      </c>
      <c r="B63275">
        <f>TEXT(63274, "[$-0E0000]yyyy-mm-dd")</f>
        <v/>
      </c>
      <c r="C63275" t="inlineStr">
        <is>
          <t>2073-02-19</t>
        </is>
      </c>
    </row>
    <row r="63276">
      <c r="A63276" s="1" t="n">
        <v>63275</v>
      </c>
      <c r="B63276">
        <f>TEXT(63275, "[$-0E0000]yyyy-mm-dd")</f>
        <v/>
      </c>
      <c r="C63276" t="inlineStr">
        <is>
          <t>2073-02-20</t>
        </is>
      </c>
    </row>
    <row r="63277">
      <c r="A63277" s="1" t="n">
        <v>63276</v>
      </c>
      <c r="B63277">
        <f>TEXT(63276, "[$-0E0000]yyyy-mm-dd")</f>
        <v/>
      </c>
      <c r="C63277" t="inlineStr">
        <is>
          <t>2073-02-21</t>
        </is>
      </c>
    </row>
    <row r="63278">
      <c r="A63278" s="1" t="n">
        <v>63277</v>
      </c>
      <c r="B63278">
        <f>TEXT(63277, "[$-0E0000]yyyy-mm-dd")</f>
        <v/>
      </c>
      <c r="C63278" t="inlineStr">
        <is>
          <t>2073-02-22</t>
        </is>
      </c>
    </row>
    <row r="63279">
      <c r="A63279" s="1" t="n">
        <v>63278</v>
      </c>
      <c r="B63279">
        <f>TEXT(63278, "[$-0E0000]yyyy-mm-dd")</f>
        <v/>
      </c>
      <c r="C63279" t="inlineStr">
        <is>
          <t>2073-02-23</t>
        </is>
      </c>
    </row>
    <row r="63280">
      <c r="A63280" s="1" t="n">
        <v>63279</v>
      </c>
      <c r="B63280">
        <f>TEXT(63279, "[$-0E0000]yyyy-mm-dd")</f>
        <v/>
      </c>
      <c r="C63280" t="inlineStr">
        <is>
          <t>2073-02-24</t>
        </is>
      </c>
    </row>
    <row r="63281">
      <c r="A63281" s="1" t="n">
        <v>63280</v>
      </c>
      <c r="B63281">
        <f>TEXT(63280, "[$-0E0000]yyyy-mm-dd")</f>
        <v/>
      </c>
      <c r="C63281" t="inlineStr">
        <is>
          <t>2073-02-25</t>
        </is>
      </c>
    </row>
    <row r="63282">
      <c r="A63282" s="1" t="n">
        <v>63281</v>
      </c>
      <c r="B63282">
        <f>TEXT(63281, "[$-0E0000]yyyy-mm-dd")</f>
        <v/>
      </c>
      <c r="C63282" t="inlineStr">
        <is>
          <t>2073-02-26</t>
        </is>
      </c>
    </row>
    <row r="63283">
      <c r="A63283" s="1" t="n">
        <v>63282</v>
      </c>
      <c r="B63283">
        <f>TEXT(63282, "[$-0E0000]yyyy-mm-dd")</f>
        <v/>
      </c>
      <c r="C63283" t="inlineStr">
        <is>
          <t>2073-02-27</t>
        </is>
      </c>
    </row>
    <row r="63284">
      <c r="A63284" s="1" t="n">
        <v>63283</v>
      </c>
      <c r="B63284">
        <f>TEXT(63283, "[$-0E0000]yyyy-mm-dd")</f>
        <v/>
      </c>
      <c r="C63284" t="inlineStr">
        <is>
          <t>2073-02-28</t>
        </is>
      </c>
    </row>
    <row r="63285">
      <c r="A63285" s="1" t="n">
        <v>63284</v>
      </c>
      <c r="B63285">
        <f>TEXT(63284, "[$-0E0000]yyyy-mm-dd")</f>
        <v/>
      </c>
      <c r="C63285" t="inlineStr">
        <is>
          <t>2073-02-29</t>
        </is>
      </c>
    </row>
    <row r="63286">
      <c r="A63286" s="1" t="n">
        <v>63285</v>
      </c>
      <c r="B63286">
        <f>TEXT(63285, "[$-0E0000]yyyy-mm-dd")</f>
        <v/>
      </c>
      <c r="C63286" t="inlineStr">
        <is>
          <t>2073-03-01</t>
        </is>
      </c>
    </row>
    <row r="63287">
      <c r="A63287" s="1" t="n">
        <v>63286</v>
      </c>
      <c r="B63287">
        <f>TEXT(63286, "[$-0E0000]yyyy-mm-dd")</f>
        <v/>
      </c>
      <c r="C63287" t="inlineStr">
        <is>
          <t>2073-03-02</t>
        </is>
      </c>
    </row>
    <row r="63288">
      <c r="A63288" s="1" t="n">
        <v>63287</v>
      </c>
      <c r="B63288">
        <f>TEXT(63287, "[$-0E0000]yyyy-mm-dd")</f>
        <v/>
      </c>
      <c r="C63288" t="inlineStr">
        <is>
          <t>2073-03-03</t>
        </is>
      </c>
    </row>
    <row r="63289">
      <c r="A63289" s="1" t="n">
        <v>63288</v>
      </c>
      <c r="B63289">
        <f>TEXT(63288, "[$-0E0000]yyyy-mm-dd")</f>
        <v/>
      </c>
      <c r="C63289" t="inlineStr">
        <is>
          <t>2073-03-04</t>
        </is>
      </c>
    </row>
    <row r="63290">
      <c r="A63290" s="1" t="n">
        <v>63289</v>
      </c>
      <c r="B63290">
        <f>TEXT(63289, "[$-0E0000]yyyy-mm-dd")</f>
        <v/>
      </c>
      <c r="C63290" t="inlineStr">
        <is>
          <t>2073-03-05</t>
        </is>
      </c>
    </row>
    <row r="63291">
      <c r="A63291" s="1" t="n">
        <v>63290</v>
      </c>
      <c r="B63291">
        <f>TEXT(63290, "[$-0E0000]yyyy-mm-dd")</f>
        <v/>
      </c>
      <c r="C63291" t="inlineStr">
        <is>
          <t>2073-03-06</t>
        </is>
      </c>
    </row>
    <row r="63292">
      <c r="A63292" s="1" t="n">
        <v>63291</v>
      </c>
      <c r="B63292">
        <f>TEXT(63291, "[$-0E0000]yyyy-mm-dd")</f>
        <v/>
      </c>
      <c r="C63292" t="inlineStr">
        <is>
          <t>2073-03-07</t>
        </is>
      </c>
    </row>
    <row r="63293">
      <c r="A63293" s="1" t="n">
        <v>63292</v>
      </c>
      <c r="B63293">
        <f>TEXT(63292, "[$-0E0000]yyyy-mm-dd")</f>
        <v/>
      </c>
      <c r="C63293" t="inlineStr">
        <is>
          <t>2073-03-08</t>
        </is>
      </c>
    </row>
    <row r="63294">
      <c r="A63294" s="1" t="n">
        <v>63293</v>
      </c>
      <c r="B63294">
        <f>TEXT(63293, "[$-0E0000]yyyy-mm-dd")</f>
        <v/>
      </c>
      <c r="C63294" t="inlineStr">
        <is>
          <t>2073-03-09</t>
        </is>
      </c>
    </row>
    <row r="63295">
      <c r="A63295" s="1" t="n">
        <v>63294</v>
      </c>
      <c r="B63295">
        <f>TEXT(63294, "[$-0E0000]yyyy-mm-dd")</f>
        <v/>
      </c>
      <c r="C63295" t="inlineStr">
        <is>
          <t>2073-03-10</t>
        </is>
      </c>
    </row>
    <row r="63296">
      <c r="A63296" s="1" t="n">
        <v>63295</v>
      </c>
      <c r="B63296">
        <f>TEXT(63295, "[$-0E0000]yyyy-mm-dd")</f>
        <v/>
      </c>
      <c r="C63296" t="inlineStr">
        <is>
          <t>2073-03-11</t>
        </is>
      </c>
    </row>
    <row r="63297">
      <c r="A63297" s="1" t="n">
        <v>63296</v>
      </c>
      <c r="B63297">
        <f>TEXT(63296, "[$-0E0000]yyyy-mm-dd")</f>
        <v/>
      </c>
      <c r="C63297" t="inlineStr">
        <is>
          <t>2073-03-12</t>
        </is>
      </c>
    </row>
    <row r="63298">
      <c r="A63298" s="1" t="n">
        <v>63297</v>
      </c>
      <c r="B63298">
        <f>TEXT(63297, "[$-0E0000]yyyy-mm-dd")</f>
        <v/>
      </c>
      <c r="C63298" t="inlineStr">
        <is>
          <t>2073-03-13</t>
        </is>
      </c>
    </row>
    <row r="63299">
      <c r="A63299" s="1" t="n">
        <v>63298</v>
      </c>
      <c r="B63299">
        <f>TEXT(63298, "[$-0E0000]yyyy-mm-dd")</f>
        <v/>
      </c>
      <c r="C63299" t="inlineStr">
        <is>
          <t>2073-03-14</t>
        </is>
      </c>
    </row>
    <row r="63300">
      <c r="A63300" s="1" t="n">
        <v>63299</v>
      </c>
      <c r="B63300">
        <f>TEXT(63299, "[$-0E0000]yyyy-mm-dd")</f>
        <v/>
      </c>
      <c r="C63300" t="inlineStr">
        <is>
          <t>2073-03-15</t>
        </is>
      </c>
    </row>
    <row r="63301">
      <c r="A63301" s="1" t="n">
        <v>63300</v>
      </c>
      <c r="B63301">
        <f>TEXT(63300, "[$-0E0000]yyyy-mm-dd")</f>
        <v/>
      </c>
      <c r="C63301" t="inlineStr">
        <is>
          <t>2073-03-16</t>
        </is>
      </c>
    </row>
    <row r="63302">
      <c r="A63302" s="1" t="n">
        <v>63301</v>
      </c>
      <c r="B63302">
        <f>TEXT(63301, "[$-0E0000]yyyy-mm-dd")</f>
        <v/>
      </c>
      <c r="C63302" t="inlineStr">
        <is>
          <t>2073-03-17</t>
        </is>
      </c>
    </row>
    <row r="63303">
      <c r="A63303" s="1" t="n">
        <v>63302</v>
      </c>
      <c r="B63303">
        <f>TEXT(63302, "[$-0E0000]yyyy-mm-dd")</f>
        <v/>
      </c>
      <c r="C63303" t="inlineStr">
        <is>
          <t>2073-03-18</t>
        </is>
      </c>
    </row>
    <row r="63304">
      <c r="A63304" s="1" t="n">
        <v>63303</v>
      </c>
      <c r="B63304">
        <f>TEXT(63303, "[$-0E0000]yyyy-mm-dd")</f>
        <v/>
      </c>
      <c r="C63304" t="inlineStr">
        <is>
          <t>2073-03-19</t>
        </is>
      </c>
    </row>
    <row r="63305">
      <c r="A63305" s="1" t="n">
        <v>63304</v>
      </c>
      <c r="B63305">
        <f>TEXT(63304, "[$-0E0000]yyyy-mm-dd")</f>
        <v/>
      </c>
      <c r="C63305" t="inlineStr">
        <is>
          <t>2073-03-20</t>
        </is>
      </c>
    </row>
    <row r="63306">
      <c r="A63306" s="1" t="n">
        <v>63305</v>
      </c>
      <c r="B63306">
        <f>TEXT(63305, "[$-0E0000]yyyy-mm-dd")</f>
        <v/>
      </c>
      <c r="C63306" t="inlineStr">
        <is>
          <t>2073-03-21</t>
        </is>
      </c>
    </row>
    <row r="63307">
      <c r="A63307" s="1" t="n">
        <v>63306</v>
      </c>
      <c r="B63307">
        <f>TEXT(63306, "[$-0E0000]yyyy-mm-dd")</f>
        <v/>
      </c>
      <c r="C63307" t="inlineStr">
        <is>
          <t>2073-03-22</t>
        </is>
      </c>
    </row>
    <row r="63308">
      <c r="A63308" s="1" t="n">
        <v>63307</v>
      </c>
      <c r="B63308">
        <f>TEXT(63307, "[$-0E0000]yyyy-mm-dd")</f>
        <v/>
      </c>
      <c r="C63308" t="inlineStr">
        <is>
          <t>2073-03-23</t>
        </is>
      </c>
    </row>
    <row r="63309">
      <c r="A63309" s="1" t="n">
        <v>63308</v>
      </c>
      <c r="B63309">
        <f>TEXT(63308, "[$-0E0000]yyyy-mm-dd")</f>
        <v/>
      </c>
      <c r="C63309" t="inlineStr">
        <is>
          <t>2073-03-24</t>
        </is>
      </c>
    </row>
    <row r="63310">
      <c r="A63310" s="1" t="n">
        <v>63309</v>
      </c>
      <c r="B63310">
        <f>TEXT(63309, "[$-0E0000]yyyy-mm-dd")</f>
        <v/>
      </c>
      <c r="C63310" t="inlineStr">
        <is>
          <t>2073-03-25</t>
        </is>
      </c>
    </row>
    <row r="63311">
      <c r="A63311" s="1" t="n">
        <v>63310</v>
      </c>
      <c r="B63311">
        <f>TEXT(63310, "[$-0E0000]yyyy-mm-dd")</f>
        <v/>
      </c>
      <c r="C63311" t="inlineStr">
        <is>
          <t>2073-03-26</t>
        </is>
      </c>
    </row>
    <row r="63312">
      <c r="A63312" s="1" t="n">
        <v>63311</v>
      </c>
      <c r="B63312">
        <f>TEXT(63311, "[$-0E0000]yyyy-mm-dd")</f>
        <v/>
      </c>
      <c r="C63312" t="inlineStr">
        <is>
          <t>2073-03-27</t>
        </is>
      </c>
    </row>
    <row r="63313">
      <c r="A63313" s="1" t="n">
        <v>63312</v>
      </c>
      <c r="B63313">
        <f>TEXT(63312, "[$-0E0000]yyyy-mm-dd")</f>
        <v/>
      </c>
      <c r="C63313" t="inlineStr">
        <is>
          <t>2073-03-28</t>
        </is>
      </c>
    </row>
    <row r="63314">
      <c r="A63314" s="1" t="n">
        <v>63313</v>
      </c>
      <c r="B63314">
        <f>TEXT(63313, "[$-0E0000]yyyy-mm-dd")</f>
        <v/>
      </c>
      <c r="C63314" t="inlineStr">
        <is>
          <t>2073-03-29</t>
        </is>
      </c>
    </row>
    <row r="63315">
      <c r="A63315" s="1" t="n">
        <v>63314</v>
      </c>
      <c r="B63315">
        <f>TEXT(63314, "[$-0E0000]yyyy-mm-dd")</f>
        <v/>
      </c>
      <c r="C63315" t="inlineStr">
        <is>
          <t>2073-03-30</t>
        </is>
      </c>
    </row>
    <row r="63316">
      <c r="A63316" s="1" t="n">
        <v>63315</v>
      </c>
      <c r="B63316">
        <f>TEXT(63315, "[$-0E0000]yyyy-mm-dd")</f>
        <v/>
      </c>
      <c r="C63316" t="inlineStr">
        <is>
          <t>2073-04-01</t>
        </is>
      </c>
    </row>
    <row r="63317">
      <c r="A63317" s="1" t="n">
        <v>63316</v>
      </c>
      <c r="B63317">
        <f>TEXT(63316, "[$-0E0000]yyyy-mm-dd")</f>
        <v/>
      </c>
      <c r="C63317" t="inlineStr">
        <is>
          <t>2073-04-02</t>
        </is>
      </c>
    </row>
    <row r="63318">
      <c r="A63318" s="1" t="n">
        <v>63317</v>
      </c>
      <c r="B63318">
        <f>TEXT(63317, "[$-0E0000]yyyy-mm-dd")</f>
        <v/>
      </c>
      <c r="C63318" t="inlineStr">
        <is>
          <t>2073-04-03</t>
        </is>
      </c>
    </row>
    <row r="63319">
      <c r="A63319" s="1" t="n">
        <v>63318</v>
      </c>
      <c r="B63319">
        <f>TEXT(63318, "[$-0E0000]yyyy-mm-dd")</f>
        <v/>
      </c>
      <c r="C63319" t="inlineStr">
        <is>
          <t>2073-04-04</t>
        </is>
      </c>
    </row>
    <row r="63320">
      <c r="A63320" s="1" t="n">
        <v>63319</v>
      </c>
      <c r="B63320">
        <f>TEXT(63319, "[$-0E0000]yyyy-mm-dd")</f>
        <v/>
      </c>
      <c r="C63320" t="inlineStr">
        <is>
          <t>2073-04-05</t>
        </is>
      </c>
    </row>
    <row r="63321">
      <c r="A63321" s="1" t="n">
        <v>63320</v>
      </c>
      <c r="B63321">
        <f>TEXT(63320, "[$-0E0000]yyyy-mm-dd")</f>
        <v/>
      </c>
      <c r="C63321" t="inlineStr">
        <is>
          <t>2073-04-06</t>
        </is>
      </c>
    </row>
    <row r="63322">
      <c r="A63322" s="1" t="n">
        <v>63321</v>
      </c>
      <c r="B63322">
        <f>TEXT(63321, "[$-0E0000]yyyy-mm-dd")</f>
        <v/>
      </c>
      <c r="C63322" t="inlineStr">
        <is>
          <t>2073-04-07</t>
        </is>
      </c>
    </row>
    <row r="63323">
      <c r="A63323" s="1" t="n">
        <v>63322</v>
      </c>
      <c r="B63323">
        <f>TEXT(63322, "[$-0E0000]yyyy-mm-dd")</f>
        <v/>
      </c>
      <c r="C63323" t="inlineStr">
        <is>
          <t>2073-04-08</t>
        </is>
      </c>
    </row>
    <row r="63324">
      <c r="A63324" s="1" t="n">
        <v>63323</v>
      </c>
      <c r="B63324">
        <f>TEXT(63323, "[$-0E0000]yyyy-mm-dd")</f>
        <v/>
      </c>
      <c r="C63324" t="inlineStr">
        <is>
          <t>2073-04-09</t>
        </is>
      </c>
    </row>
    <row r="63325">
      <c r="A63325" s="1" t="n">
        <v>63324</v>
      </c>
      <c r="B63325">
        <f>TEXT(63324, "[$-0E0000]yyyy-mm-dd")</f>
        <v/>
      </c>
      <c r="C63325" t="inlineStr">
        <is>
          <t>2073-04-10</t>
        </is>
      </c>
    </row>
    <row r="63326">
      <c r="A63326" s="1" t="n">
        <v>63325</v>
      </c>
      <c r="B63326">
        <f>TEXT(63325, "[$-0E0000]yyyy-mm-dd")</f>
        <v/>
      </c>
      <c r="C63326" t="inlineStr">
        <is>
          <t>2073-04-11</t>
        </is>
      </c>
    </row>
    <row r="63327">
      <c r="A63327" s="1" t="n">
        <v>63326</v>
      </c>
      <c r="B63327">
        <f>TEXT(63326, "[$-0E0000]yyyy-mm-dd")</f>
        <v/>
      </c>
      <c r="C63327" t="inlineStr">
        <is>
          <t>2073-04-12</t>
        </is>
      </c>
    </row>
    <row r="63328">
      <c r="A63328" s="1" t="n">
        <v>63327</v>
      </c>
      <c r="B63328">
        <f>TEXT(63327, "[$-0E0000]yyyy-mm-dd")</f>
        <v/>
      </c>
      <c r="C63328" t="inlineStr">
        <is>
          <t>2073-04-13</t>
        </is>
      </c>
    </row>
    <row r="63329">
      <c r="A63329" s="1" t="n">
        <v>63328</v>
      </c>
      <c r="B63329">
        <f>TEXT(63328, "[$-0E0000]yyyy-mm-dd")</f>
        <v/>
      </c>
      <c r="C63329" t="inlineStr">
        <is>
          <t>2073-04-14</t>
        </is>
      </c>
    </row>
    <row r="63330">
      <c r="A63330" s="1" t="n">
        <v>63329</v>
      </c>
      <c r="B63330">
        <f>TEXT(63329, "[$-0E0000]yyyy-mm-dd")</f>
        <v/>
      </c>
      <c r="C63330" t="inlineStr">
        <is>
          <t>2073-04-15</t>
        </is>
      </c>
    </row>
    <row r="63331">
      <c r="A63331" s="1" t="n">
        <v>63330</v>
      </c>
      <c r="B63331">
        <f>TEXT(63330, "[$-0E0000]yyyy-mm-dd")</f>
        <v/>
      </c>
      <c r="C63331" t="inlineStr">
        <is>
          <t>2073-04-16</t>
        </is>
      </c>
    </row>
    <row r="63332">
      <c r="A63332" s="1" t="n">
        <v>63331</v>
      </c>
      <c r="B63332">
        <f>TEXT(63331, "[$-0E0000]yyyy-mm-dd")</f>
        <v/>
      </c>
      <c r="C63332" t="inlineStr">
        <is>
          <t>2073-04-17</t>
        </is>
      </c>
    </row>
    <row r="63333">
      <c r="A63333" s="1" t="n">
        <v>63332</v>
      </c>
      <c r="B63333">
        <f>TEXT(63332, "[$-0E0000]yyyy-mm-dd")</f>
        <v/>
      </c>
      <c r="C63333" t="inlineStr">
        <is>
          <t>2073-04-18</t>
        </is>
      </c>
    </row>
    <row r="63334">
      <c r="A63334" s="1" t="n">
        <v>63333</v>
      </c>
      <c r="B63334">
        <f>TEXT(63333, "[$-0E0000]yyyy-mm-dd")</f>
        <v/>
      </c>
      <c r="C63334" t="inlineStr">
        <is>
          <t>2073-04-19</t>
        </is>
      </c>
    </row>
    <row r="63335">
      <c r="A63335" s="1" t="n">
        <v>63334</v>
      </c>
      <c r="B63335">
        <f>TEXT(63334, "[$-0E0000]yyyy-mm-dd")</f>
        <v/>
      </c>
      <c r="C63335" t="inlineStr">
        <is>
          <t>2073-04-20</t>
        </is>
      </c>
    </row>
    <row r="63336">
      <c r="A63336" s="1" t="n">
        <v>63335</v>
      </c>
      <c r="B63336">
        <f>TEXT(63335, "[$-0E0000]yyyy-mm-dd")</f>
        <v/>
      </c>
      <c r="C63336" t="inlineStr">
        <is>
          <t>2073-04-21</t>
        </is>
      </c>
    </row>
    <row r="63337">
      <c r="A63337" s="1" t="n">
        <v>63336</v>
      </c>
      <c r="B63337">
        <f>TEXT(63336, "[$-0E0000]yyyy-mm-dd")</f>
        <v/>
      </c>
      <c r="C63337" t="inlineStr">
        <is>
          <t>2073-04-22</t>
        </is>
      </c>
    </row>
    <row r="63338">
      <c r="A63338" s="1" t="n">
        <v>63337</v>
      </c>
      <c r="B63338">
        <f>TEXT(63337, "[$-0E0000]yyyy-mm-dd")</f>
        <v/>
      </c>
      <c r="C63338" t="inlineStr">
        <is>
          <t>2073-04-23</t>
        </is>
      </c>
    </row>
    <row r="63339">
      <c r="A63339" s="1" t="n">
        <v>63338</v>
      </c>
      <c r="B63339">
        <f>TEXT(63338, "[$-0E0000]yyyy-mm-dd")</f>
        <v/>
      </c>
      <c r="C63339" t="inlineStr">
        <is>
          <t>2073-04-24</t>
        </is>
      </c>
    </row>
    <row r="63340">
      <c r="A63340" s="1" t="n">
        <v>63339</v>
      </c>
      <c r="B63340">
        <f>TEXT(63339, "[$-0E0000]yyyy-mm-dd")</f>
        <v/>
      </c>
      <c r="C63340" t="inlineStr">
        <is>
          <t>2073-04-25</t>
        </is>
      </c>
    </row>
    <row r="63341">
      <c r="A63341" s="1" t="n">
        <v>63340</v>
      </c>
      <c r="B63341">
        <f>TEXT(63340, "[$-0E0000]yyyy-mm-dd")</f>
        <v/>
      </c>
      <c r="C63341" t="inlineStr">
        <is>
          <t>2073-04-26</t>
        </is>
      </c>
    </row>
    <row r="63342">
      <c r="A63342" s="1" t="n">
        <v>63341</v>
      </c>
      <c r="B63342">
        <f>TEXT(63341, "[$-0E0000]yyyy-mm-dd")</f>
        <v/>
      </c>
      <c r="C63342" t="inlineStr">
        <is>
          <t>2073-04-27</t>
        </is>
      </c>
    </row>
    <row r="63343">
      <c r="A63343" s="1" t="n">
        <v>63342</v>
      </c>
      <c r="B63343">
        <f>TEXT(63342, "[$-0E0000]yyyy-mm-dd")</f>
        <v/>
      </c>
      <c r="C63343" t="inlineStr">
        <is>
          <t>2073-04-28</t>
        </is>
      </c>
    </row>
    <row r="63344">
      <c r="A63344" s="1" t="n">
        <v>63343</v>
      </c>
      <c r="B63344">
        <f>TEXT(63343, "[$-0E0000]yyyy-mm-dd")</f>
        <v/>
      </c>
      <c r="C63344" t="inlineStr">
        <is>
          <t>2073-04-29</t>
        </is>
      </c>
    </row>
    <row r="63345">
      <c r="A63345" s="1" t="n">
        <v>63344</v>
      </c>
      <c r="B63345">
        <f>TEXT(63344, "[$-0E0000]yyyy-mm-dd")</f>
        <v/>
      </c>
      <c r="C63345" t="inlineStr">
        <is>
          <t>2073-04-30</t>
        </is>
      </c>
    </row>
    <row r="63346">
      <c r="A63346" s="1" t="n">
        <v>63345</v>
      </c>
      <c r="B63346">
        <f>TEXT(63345, "[$-0E0000]yyyy-mm-dd")</f>
        <v/>
      </c>
      <c r="C63346" t="inlineStr">
        <is>
          <t>2073-05-01</t>
        </is>
      </c>
    </row>
    <row r="63347">
      <c r="A63347" s="1" t="n">
        <v>63346</v>
      </c>
      <c r="B63347">
        <f>TEXT(63346, "[$-0E0000]yyyy-mm-dd")</f>
        <v/>
      </c>
      <c r="C63347" t="inlineStr">
        <is>
          <t>2073-05-02</t>
        </is>
      </c>
    </row>
    <row r="63348">
      <c r="A63348" s="1" t="n">
        <v>63347</v>
      </c>
      <c r="B63348">
        <f>TEXT(63347, "[$-0E0000]yyyy-mm-dd")</f>
        <v/>
      </c>
      <c r="C63348" t="inlineStr">
        <is>
          <t>2073-05-03</t>
        </is>
      </c>
    </row>
    <row r="63349">
      <c r="A63349" s="1" t="n">
        <v>63348</v>
      </c>
      <c r="B63349">
        <f>TEXT(63348, "[$-0E0000]yyyy-mm-dd")</f>
        <v/>
      </c>
      <c r="C63349" t="inlineStr">
        <is>
          <t>2073-05-04</t>
        </is>
      </c>
    </row>
    <row r="63350">
      <c r="A63350" s="1" t="n">
        <v>63349</v>
      </c>
      <c r="B63350">
        <f>TEXT(63349, "[$-0E0000]yyyy-mm-dd")</f>
        <v/>
      </c>
      <c r="C63350" t="inlineStr">
        <is>
          <t>2073-05-05</t>
        </is>
      </c>
    </row>
    <row r="63351">
      <c r="A63351" s="1" t="n">
        <v>63350</v>
      </c>
      <c r="B63351">
        <f>TEXT(63350, "[$-0E0000]yyyy-mm-dd")</f>
        <v/>
      </c>
      <c r="C63351" t="inlineStr">
        <is>
          <t>2073-05-06</t>
        </is>
      </c>
    </row>
    <row r="63352">
      <c r="A63352" s="1" t="n">
        <v>63351</v>
      </c>
      <c r="B63352">
        <f>TEXT(63351, "[$-0E0000]yyyy-mm-dd")</f>
        <v/>
      </c>
      <c r="C63352" t="inlineStr">
        <is>
          <t>2073-05-07</t>
        </is>
      </c>
    </row>
    <row r="63353">
      <c r="A63353" s="1" t="n">
        <v>63352</v>
      </c>
      <c r="B63353">
        <f>TEXT(63352, "[$-0E0000]yyyy-mm-dd")</f>
        <v/>
      </c>
      <c r="C63353" t="inlineStr">
        <is>
          <t>2073-05-08</t>
        </is>
      </c>
    </row>
    <row r="63354">
      <c r="A63354" s="1" t="n">
        <v>63353</v>
      </c>
      <c r="B63354">
        <f>TEXT(63353, "[$-0E0000]yyyy-mm-dd")</f>
        <v/>
      </c>
      <c r="C63354" t="inlineStr">
        <is>
          <t>2073-05-09</t>
        </is>
      </c>
    </row>
    <row r="63355">
      <c r="A63355" s="1" t="n">
        <v>63354</v>
      </c>
      <c r="B63355">
        <f>TEXT(63354, "[$-0E0000]yyyy-mm-dd")</f>
        <v/>
      </c>
      <c r="C63355" t="inlineStr">
        <is>
          <t>2073-05-10</t>
        </is>
      </c>
    </row>
    <row r="63356">
      <c r="A63356" s="1" t="n">
        <v>63355</v>
      </c>
      <c r="B63356">
        <f>TEXT(63355, "[$-0E0000]yyyy-mm-dd")</f>
        <v/>
      </c>
      <c r="C63356" t="inlineStr">
        <is>
          <t>2073-05-11</t>
        </is>
      </c>
    </row>
    <row r="63357">
      <c r="A63357" s="1" t="n">
        <v>63356</v>
      </c>
      <c r="B63357">
        <f>TEXT(63356, "[$-0E0000]yyyy-mm-dd")</f>
        <v/>
      </c>
      <c r="C63357" t="inlineStr">
        <is>
          <t>2073-05-12</t>
        </is>
      </c>
    </row>
    <row r="63358">
      <c r="A63358" s="1" t="n">
        <v>63357</v>
      </c>
      <c r="B63358">
        <f>TEXT(63357, "[$-0E0000]yyyy-mm-dd")</f>
        <v/>
      </c>
      <c r="C63358" t="inlineStr">
        <is>
          <t>2073-05-13</t>
        </is>
      </c>
    </row>
    <row r="63359">
      <c r="A63359" s="1" t="n">
        <v>63358</v>
      </c>
      <c r="B63359">
        <f>TEXT(63358, "[$-0E0000]yyyy-mm-dd")</f>
        <v/>
      </c>
      <c r="C63359" t="inlineStr">
        <is>
          <t>2073-05-14</t>
        </is>
      </c>
    </row>
    <row r="63360">
      <c r="A63360" s="1" t="n">
        <v>63359</v>
      </c>
      <c r="B63360">
        <f>TEXT(63359, "[$-0E0000]yyyy-mm-dd")</f>
        <v/>
      </c>
      <c r="C63360" t="inlineStr">
        <is>
          <t>2073-05-15</t>
        </is>
      </c>
    </row>
    <row r="63361">
      <c r="A63361" s="1" t="n">
        <v>63360</v>
      </c>
      <c r="B63361">
        <f>TEXT(63360, "[$-0E0000]yyyy-mm-dd")</f>
        <v/>
      </c>
      <c r="C63361" t="inlineStr">
        <is>
          <t>2073-05-16</t>
        </is>
      </c>
    </row>
    <row r="63362">
      <c r="A63362" s="1" t="n">
        <v>63361</v>
      </c>
      <c r="B63362">
        <f>TEXT(63361, "[$-0E0000]yyyy-mm-dd")</f>
        <v/>
      </c>
      <c r="C63362" t="inlineStr">
        <is>
          <t>2073-05-17</t>
        </is>
      </c>
    </row>
    <row r="63363">
      <c r="A63363" s="1" t="n">
        <v>63362</v>
      </c>
      <c r="B63363">
        <f>TEXT(63362, "[$-0E0000]yyyy-mm-dd")</f>
        <v/>
      </c>
      <c r="C63363" t="inlineStr">
        <is>
          <t>2073-05-18</t>
        </is>
      </c>
    </row>
    <row r="63364">
      <c r="A63364" s="1" t="n">
        <v>63363</v>
      </c>
      <c r="B63364">
        <f>TEXT(63363, "[$-0E0000]yyyy-mm-dd")</f>
        <v/>
      </c>
      <c r="C63364" t="inlineStr">
        <is>
          <t>2073-05-19</t>
        </is>
      </c>
    </row>
    <row r="63365">
      <c r="A63365" s="1" t="n">
        <v>63364</v>
      </c>
      <c r="B63365">
        <f>TEXT(63364, "[$-0E0000]yyyy-mm-dd")</f>
        <v/>
      </c>
      <c r="C63365" t="inlineStr">
        <is>
          <t>2073-05-20</t>
        </is>
      </c>
    </row>
    <row r="63366">
      <c r="A63366" s="1" t="n">
        <v>63365</v>
      </c>
      <c r="B63366">
        <f>TEXT(63365, "[$-0E0000]yyyy-mm-dd")</f>
        <v/>
      </c>
      <c r="C63366" t="inlineStr">
        <is>
          <t>2073-05-21</t>
        </is>
      </c>
    </row>
    <row r="63367">
      <c r="A63367" s="1" t="n">
        <v>63366</v>
      </c>
      <c r="B63367">
        <f>TEXT(63366, "[$-0E0000]yyyy-mm-dd")</f>
        <v/>
      </c>
      <c r="C63367" t="inlineStr">
        <is>
          <t>2073-05-22</t>
        </is>
      </c>
    </row>
    <row r="63368">
      <c r="A63368" s="1" t="n">
        <v>63367</v>
      </c>
      <c r="B63368">
        <f>TEXT(63367, "[$-0E0000]yyyy-mm-dd")</f>
        <v/>
      </c>
      <c r="C63368" t="inlineStr">
        <is>
          <t>2073-05-23</t>
        </is>
      </c>
    </row>
    <row r="63369">
      <c r="A63369" s="1" t="n">
        <v>63368</v>
      </c>
      <c r="B63369">
        <f>TEXT(63368, "[$-0E0000]yyyy-mm-dd")</f>
        <v/>
      </c>
      <c r="C63369" t="inlineStr">
        <is>
          <t>2073-05-24</t>
        </is>
      </c>
    </row>
    <row r="63370">
      <c r="A63370" s="1" t="n">
        <v>63369</v>
      </c>
      <c r="B63370">
        <f>TEXT(63369, "[$-0E0000]yyyy-mm-dd")</f>
        <v/>
      </c>
      <c r="C63370" t="inlineStr">
        <is>
          <t>2073-05-25</t>
        </is>
      </c>
    </row>
    <row r="63371">
      <c r="A63371" s="1" t="n">
        <v>63370</v>
      </c>
      <c r="B63371">
        <f>TEXT(63370, "[$-0E0000]yyyy-mm-dd")</f>
        <v/>
      </c>
      <c r="C63371" t="inlineStr">
        <is>
          <t>2073-05-26</t>
        </is>
      </c>
    </row>
    <row r="63372">
      <c r="A63372" s="1" t="n">
        <v>63371</v>
      </c>
      <c r="B63372">
        <f>TEXT(63371, "[$-0E0000]yyyy-mm-dd")</f>
        <v/>
      </c>
      <c r="C63372" t="inlineStr">
        <is>
          <t>2073-05-27</t>
        </is>
      </c>
    </row>
    <row r="63373">
      <c r="A63373" s="1" t="n">
        <v>63372</v>
      </c>
      <c r="B63373">
        <f>TEXT(63372, "[$-0E0000]yyyy-mm-dd")</f>
        <v/>
      </c>
      <c r="C63373" t="inlineStr">
        <is>
          <t>2073-05-28</t>
        </is>
      </c>
    </row>
    <row r="63374">
      <c r="A63374" s="1" t="n">
        <v>63373</v>
      </c>
      <c r="B63374">
        <f>TEXT(63373, "[$-0E0000]yyyy-mm-dd")</f>
        <v/>
      </c>
      <c r="C63374" t="inlineStr">
        <is>
          <t>2073-05-29</t>
        </is>
      </c>
    </row>
    <row r="63375">
      <c r="A63375" s="1" t="n">
        <v>63374</v>
      </c>
      <c r="B63375">
        <f>TEXT(63374, "[$-0E0000]yyyy-mm-dd")</f>
        <v/>
      </c>
      <c r="C63375" t="inlineStr">
        <is>
          <t>2073-06-01</t>
        </is>
      </c>
    </row>
    <row r="63376">
      <c r="A63376" s="1" t="n">
        <v>63375</v>
      </c>
      <c r="B63376">
        <f>TEXT(63375, "[$-0E0000]yyyy-mm-dd")</f>
        <v/>
      </c>
      <c r="C63376" t="inlineStr">
        <is>
          <t>2073-06-02</t>
        </is>
      </c>
    </row>
    <row r="63377">
      <c r="A63377" s="1" t="n">
        <v>63376</v>
      </c>
      <c r="B63377">
        <f>TEXT(63376, "[$-0E0000]yyyy-mm-dd")</f>
        <v/>
      </c>
      <c r="C63377" t="inlineStr">
        <is>
          <t>2073-06-03</t>
        </is>
      </c>
    </row>
    <row r="63378">
      <c r="A63378" s="1" t="n">
        <v>63377</v>
      </c>
      <c r="B63378">
        <f>TEXT(63377, "[$-0E0000]yyyy-mm-dd")</f>
        <v/>
      </c>
      <c r="C63378" t="inlineStr">
        <is>
          <t>2073-06-04</t>
        </is>
      </c>
    </row>
    <row r="63379">
      <c r="A63379" s="1" t="n">
        <v>63378</v>
      </c>
      <c r="B63379">
        <f>TEXT(63378, "[$-0E0000]yyyy-mm-dd")</f>
        <v/>
      </c>
      <c r="C63379" t="inlineStr">
        <is>
          <t>2073-06-05</t>
        </is>
      </c>
    </row>
    <row r="63380">
      <c r="A63380" s="1" t="n">
        <v>63379</v>
      </c>
      <c r="B63380">
        <f>TEXT(63379, "[$-0E0000]yyyy-mm-dd")</f>
        <v/>
      </c>
      <c r="C63380" t="inlineStr">
        <is>
          <t>2073-06-06</t>
        </is>
      </c>
    </row>
    <row r="63381">
      <c r="A63381" s="1" t="n">
        <v>63380</v>
      </c>
      <c r="B63381">
        <f>TEXT(63380, "[$-0E0000]yyyy-mm-dd")</f>
        <v/>
      </c>
      <c r="C63381" t="inlineStr">
        <is>
          <t>2073-06-07</t>
        </is>
      </c>
    </row>
    <row r="63382">
      <c r="A63382" s="1" t="n">
        <v>63381</v>
      </c>
      <c r="B63382">
        <f>TEXT(63381, "[$-0E0000]yyyy-mm-dd")</f>
        <v/>
      </c>
      <c r="C63382" t="inlineStr">
        <is>
          <t>2073-06-08</t>
        </is>
      </c>
    </row>
    <row r="63383">
      <c r="A63383" s="1" t="n">
        <v>63382</v>
      </c>
      <c r="B63383">
        <f>TEXT(63382, "[$-0E0000]yyyy-mm-dd")</f>
        <v/>
      </c>
      <c r="C63383" t="inlineStr">
        <is>
          <t>2073-06-09</t>
        </is>
      </c>
    </row>
    <row r="63384">
      <c r="A63384" s="1" t="n">
        <v>63383</v>
      </c>
      <c r="B63384">
        <f>TEXT(63383, "[$-0E0000]yyyy-mm-dd")</f>
        <v/>
      </c>
      <c r="C63384" t="inlineStr">
        <is>
          <t>2073-06-10</t>
        </is>
      </c>
    </row>
    <row r="63385">
      <c r="A63385" s="1" t="n">
        <v>63384</v>
      </c>
      <c r="B63385">
        <f>TEXT(63384, "[$-0E0000]yyyy-mm-dd")</f>
        <v/>
      </c>
      <c r="C63385" t="inlineStr">
        <is>
          <t>2073-06-11</t>
        </is>
      </c>
    </row>
    <row r="63386">
      <c r="A63386" s="1" t="n">
        <v>63385</v>
      </c>
      <c r="B63386">
        <f>TEXT(63385, "[$-0E0000]yyyy-mm-dd")</f>
        <v/>
      </c>
      <c r="C63386" t="inlineStr">
        <is>
          <t>2073-06-12</t>
        </is>
      </c>
    </row>
    <row r="63387">
      <c r="A63387" s="1" t="n">
        <v>63386</v>
      </c>
      <c r="B63387">
        <f>TEXT(63386, "[$-0E0000]yyyy-mm-dd")</f>
        <v/>
      </c>
      <c r="C63387" t="inlineStr">
        <is>
          <t>2073-06-13</t>
        </is>
      </c>
    </row>
    <row r="63388">
      <c r="A63388" s="1" t="n">
        <v>63387</v>
      </c>
      <c r="B63388">
        <f>TEXT(63387, "[$-0E0000]yyyy-mm-dd")</f>
        <v/>
      </c>
      <c r="C63388" t="inlineStr">
        <is>
          <t>2073-06-14</t>
        </is>
      </c>
    </row>
    <row r="63389">
      <c r="A63389" s="1" t="n">
        <v>63388</v>
      </c>
      <c r="B63389">
        <f>TEXT(63388, "[$-0E0000]yyyy-mm-dd")</f>
        <v/>
      </c>
      <c r="C63389" t="inlineStr">
        <is>
          <t>2073-06-15</t>
        </is>
      </c>
    </row>
    <row r="63390">
      <c r="A63390" s="1" t="n">
        <v>63389</v>
      </c>
      <c r="B63390">
        <f>TEXT(63389, "[$-0E0000]yyyy-mm-dd")</f>
        <v/>
      </c>
      <c r="C63390" t="inlineStr">
        <is>
          <t>2073-06-16</t>
        </is>
      </c>
    </row>
    <row r="63391">
      <c r="A63391" s="1" t="n">
        <v>63390</v>
      </c>
      <c r="B63391">
        <f>TEXT(63390, "[$-0E0000]yyyy-mm-dd")</f>
        <v/>
      </c>
      <c r="C63391" t="inlineStr">
        <is>
          <t>2073-06-17</t>
        </is>
      </c>
    </row>
    <row r="63392">
      <c r="A63392" s="1" t="n">
        <v>63391</v>
      </c>
      <c r="B63392">
        <f>TEXT(63391, "[$-0E0000]yyyy-mm-dd")</f>
        <v/>
      </c>
      <c r="C63392" t="inlineStr">
        <is>
          <t>2073-06-18</t>
        </is>
      </c>
    </row>
    <row r="63393">
      <c r="A63393" s="1" t="n">
        <v>63392</v>
      </c>
      <c r="B63393">
        <f>TEXT(63392, "[$-0E0000]yyyy-mm-dd")</f>
        <v/>
      </c>
      <c r="C63393" t="inlineStr">
        <is>
          <t>2073-06-19</t>
        </is>
      </c>
    </row>
    <row r="63394">
      <c r="A63394" s="1" t="n">
        <v>63393</v>
      </c>
      <c r="B63394">
        <f>TEXT(63393, "[$-0E0000]yyyy-mm-dd")</f>
        <v/>
      </c>
      <c r="C63394" t="inlineStr">
        <is>
          <t>2073-06-20</t>
        </is>
      </c>
    </row>
    <row r="63395">
      <c r="A63395" s="1" t="n">
        <v>63394</v>
      </c>
      <c r="B63395">
        <f>TEXT(63394, "[$-0E0000]yyyy-mm-dd")</f>
        <v/>
      </c>
      <c r="C63395" t="inlineStr">
        <is>
          <t>2073-06-21</t>
        </is>
      </c>
    </row>
    <row r="63396">
      <c r="A63396" s="1" t="n">
        <v>63395</v>
      </c>
      <c r="B63396">
        <f>TEXT(63395, "[$-0E0000]yyyy-mm-dd")</f>
        <v/>
      </c>
      <c r="C63396" t="inlineStr">
        <is>
          <t>2073-06-22</t>
        </is>
      </c>
    </row>
    <row r="63397">
      <c r="A63397" s="1" t="n">
        <v>63396</v>
      </c>
      <c r="B63397">
        <f>TEXT(63396, "[$-0E0000]yyyy-mm-dd")</f>
        <v/>
      </c>
      <c r="C63397" t="inlineStr">
        <is>
          <t>2073-06-23</t>
        </is>
      </c>
    </row>
    <row r="63398">
      <c r="A63398" s="1" t="n">
        <v>63397</v>
      </c>
      <c r="B63398">
        <f>TEXT(63397, "[$-0E0000]yyyy-mm-dd")</f>
        <v/>
      </c>
      <c r="C63398" t="inlineStr">
        <is>
          <t>2073-06-24</t>
        </is>
      </c>
    </row>
    <row r="63399">
      <c r="A63399" s="1" t="n">
        <v>63398</v>
      </c>
      <c r="B63399">
        <f>TEXT(63398, "[$-0E0000]yyyy-mm-dd")</f>
        <v/>
      </c>
      <c r="C63399" t="inlineStr">
        <is>
          <t>2073-06-25</t>
        </is>
      </c>
    </row>
    <row r="63400">
      <c r="A63400" s="1" t="n">
        <v>63399</v>
      </c>
      <c r="B63400">
        <f>TEXT(63399, "[$-0E0000]yyyy-mm-dd")</f>
        <v/>
      </c>
      <c r="C63400" t="inlineStr">
        <is>
          <t>2073-06-26</t>
        </is>
      </c>
    </row>
    <row r="63401">
      <c r="A63401" s="1" t="n">
        <v>63400</v>
      </c>
      <c r="B63401">
        <f>TEXT(63400, "[$-0E0000]yyyy-mm-dd")</f>
        <v/>
      </c>
      <c r="C63401" t="inlineStr">
        <is>
          <t>2073-06-27</t>
        </is>
      </c>
    </row>
    <row r="63402">
      <c r="A63402" s="1" t="n">
        <v>63401</v>
      </c>
      <c r="B63402">
        <f>TEXT(63401, "[$-0E0000]yyyy-mm-dd")</f>
        <v/>
      </c>
      <c r="C63402" t="inlineStr">
        <is>
          <t>2073-06-28</t>
        </is>
      </c>
    </row>
    <row r="63403">
      <c r="A63403" s="1" t="n">
        <v>63402</v>
      </c>
      <c r="B63403">
        <f>TEXT(63402, "[$-0E0000]yyyy-mm-dd")</f>
        <v/>
      </c>
      <c r="C63403" t="inlineStr">
        <is>
          <t>2073-06-29</t>
        </is>
      </c>
    </row>
    <row r="63404">
      <c r="A63404" s="1" t="n">
        <v>63403</v>
      </c>
      <c r="B63404">
        <f>TEXT(63403, "[$-0E0000]yyyy-mm-dd")</f>
        <v/>
      </c>
      <c r="C63404" t="inlineStr">
        <is>
          <t>2073-06-30</t>
        </is>
      </c>
    </row>
    <row r="63405">
      <c r="A63405" s="1" t="n">
        <v>63404</v>
      </c>
      <c r="B63405">
        <f>TEXT(63404, "[$-0E0000]yyyy-mm-dd")</f>
        <v/>
      </c>
      <c r="C63405" t="inlineStr">
        <is>
          <t>2073-07-01</t>
        </is>
      </c>
    </row>
    <row r="63406">
      <c r="A63406" s="1" t="n">
        <v>63405</v>
      </c>
      <c r="B63406">
        <f>TEXT(63405, "[$-0E0000]yyyy-mm-dd")</f>
        <v/>
      </c>
      <c r="C63406" t="inlineStr">
        <is>
          <t>2073-07-02</t>
        </is>
      </c>
    </row>
    <row r="63407">
      <c r="A63407" s="1" t="n">
        <v>63406</v>
      </c>
      <c r="B63407">
        <f>TEXT(63406, "[$-0E0000]yyyy-mm-dd")</f>
        <v/>
      </c>
      <c r="C63407" t="inlineStr">
        <is>
          <t>2073-07-03</t>
        </is>
      </c>
    </row>
    <row r="63408">
      <c r="A63408" s="1" t="n">
        <v>63407</v>
      </c>
      <c r="B63408">
        <f>TEXT(63407, "[$-0E0000]yyyy-mm-dd")</f>
        <v/>
      </c>
      <c r="C63408" t="inlineStr">
        <is>
          <t>2073-07-04</t>
        </is>
      </c>
    </row>
    <row r="63409">
      <c r="A63409" s="1" t="n">
        <v>63408</v>
      </c>
      <c r="B63409">
        <f>TEXT(63408, "[$-0E0000]yyyy-mm-dd")</f>
        <v/>
      </c>
      <c r="C63409" t="inlineStr">
        <is>
          <t>2073-07-05</t>
        </is>
      </c>
    </row>
    <row r="63410">
      <c r="A63410" s="1" t="n">
        <v>63409</v>
      </c>
      <c r="B63410">
        <f>TEXT(63409, "[$-0E0000]yyyy-mm-dd")</f>
        <v/>
      </c>
      <c r="C63410" t="inlineStr">
        <is>
          <t>2073-07-06</t>
        </is>
      </c>
    </row>
    <row r="63411">
      <c r="A63411" s="1" t="n">
        <v>63410</v>
      </c>
      <c r="B63411">
        <f>TEXT(63410, "[$-0E0000]yyyy-mm-dd")</f>
        <v/>
      </c>
      <c r="C63411" t="inlineStr">
        <is>
          <t>2073-07-07</t>
        </is>
      </c>
    </row>
    <row r="63412">
      <c r="A63412" s="1" t="n">
        <v>63411</v>
      </c>
      <c r="B63412">
        <f>TEXT(63411, "[$-0E0000]yyyy-mm-dd")</f>
        <v/>
      </c>
      <c r="C63412" t="inlineStr">
        <is>
          <t>2073-07-08</t>
        </is>
      </c>
    </row>
    <row r="63413">
      <c r="A63413" s="1" t="n">
        <v>63412</v>
      </c>
      <c r="B63413">
        <f>TEXT(63412, "[$-0E0000]yyyy-mm-dd")</f>
        <v/>
      </c>
      <c r="C63413" t="inlineStr">
        <is>
          <t>2073-07-09</t>
        </is>
      </c>
    </row>
    <row r="63414">
      <c r="A63414" s="1" t="n">
        <v>63413</v>
      </c>
      <c r="B63414">
        <f>TEXT(63413, "[$-0E0000]yyyy-mm-dd")</f>
        <v/>
      </c>
      <c r="C63414" t="inlineStr">
        <is>
          <t>2073-07-10</t>
        </is>
      </c>
    </row>
    <row r="63415">
      <c r="A63415" s="1" t="n">
        <v>63414</v>
      </c>
      <c r="B63415">
        <f>TEXT(63414, "[$-0E0000]yyyy-mm-dd")</f>
        <v/>
      </c>
      <c r="C63415" t="inlineStr">
        <is>
          <t>2073-07-11</t>
        </is>
      </c>
    </row>
    <row r="63416">
      <c r="A63416" s="1" t="n">
        <v>63415</v>
      </c>
      <c r="B63416">
        <f>TEXT(63415, "[$-0E0000]yyyy-mm-dd")</f>
        <v/>
      </c>
      <c r="C63416" t="inlineStr">
        <is>
          <t>2073-07-12</t>
        </is>
      </c>
    </row>
    <row r="63417">
      <c r="A63417" s="1" t="n">
        <v>63416</v>
      </c>
      <c r="B63417">
        <f>TEXT(63416, "[$-0E0000]yyyy-mm-dd")</f>
        <v/>
      </c>
      <c r="C63417" t="inlineStr">
        <is>
          <t>2073-07-13</t>
        </is>
      </c>
    </row>
    <row r="63418">
      <c r="A63418" s="1" t="n">
        <v>63417</v>
      </c>
      <c r="B63418">
        <f>TEXT(63417, "[$-0E0000]yyyy-mm-dd")</f>
        <v/>
      </c>
      <c r="C63418" t="inlineStr">
        <is>
          <t>2073-07-14</t>
        </is>
      </c>
    </row>
    <row r="63419">
      <c r="A63419" s="1" t="n">
        <v>63418</v>
      </c>
      <c r="B63419">
        <f>TEXT(63418, "[$-0E0000]yyyy-mm-dd")</f>
        <v/>
      </c>
      <c r="C63419" t="inlineStr">
        <is>
          <t>2073-07-15</t>
        </is>
      </c>
    </row>
    <row r="63420">
      <c r="A63420" s="1" t="n">
        <v>63419</v>
      </c>
      <c r="B63420">
        <f>TEXT(63419, "[$-0E0000]yyyy-mm-dd")</f>
        <v/>
      </c>
      <c r="C63420" t="inlineStr">
        <is>
          <t>2073-07-16</t>
        </is>
      </c>
    </row>
    <row r="63421">
      <c r="A63421" s="1" t="n">
        <v>63420</v>
      </c>
      <c r="B63421">
        <f>TEXT(63420, "[$-0E0000]yyyy-mm-dd")</f>
        <v/>
      </c>
      <c r="C63421" t="inlineStr">
        <is>
          <t>2073-07-17</t>
        </is>
      </c>
    </row>
    <row r="63422">
      <c r="A63422" s="1" t="n">
        <v>63421</v>
      </c>
      <c r="B63422">
        <f>TEXT(63421, "[$-0E0000]yyyy-mm-dd")</f>
        <v/>
      </c>
      <c r="C63422" t="inlineStr">
        <is>
          <t>2073-07-18</t>
        </is>
      </c>
    </row>
    <row r="63423">
      <c r="A63423" s="1" t="n">
        <v>63422</v>
      </c>
      <c r="B63423">
        <f>TEXT(63422, "[$-0E0000]yyyy-mm-dd")</f>
        <v/>
      </c>
      <c r="C63423" t="inlineStr">
        <is>
          <t>2073-07-19</t>
        </is>
      </c>
    </row>
    <row r="63424">
      <c r="A63424" s="1" t="n">
        <v>63423</v>
      </c>
      <c r="B63424">
        <f>TEXT(63423, "[$-0E0000]yyyy-mm-dd")</f>
        <v/>
      </c>
      <c r="C63424" t="inlineStr">
        <is>
          <t>2073-07-20</t>
        </is>
      </c>
    </row>
    <row r="63425">
      <c r="A63425" s="1" t="n">
        <v>63424</v>
      </c>
      <c r="B63425">
        <f>TEXT(63424, "[$-0E0000]yyyy-mm-dd")</f>
        <v/>
      </c>
      <c r="C63425" t="inlineStr">
        <is>
          <t>2073-07-21</t>
        </is>
      </c>
    </row>
    <row r="63426">
      <c r="A63426" s="1" t="n">
        <v>63425</v>
      </c>
      <c r="B63426">
        <f>TEXT(63425, "[$-0E0000]yyyy-mm-dd")</f>
        <v/>
      </c>
      <c r="C63426" t="inlineStr">
        <is>
          <t>2073-07-22</t>
        </is>
      </c>
    </row>
    <row r="63427">
      <c r="A63427" s="1" t="n">
        <v>63426</v>
      </c>
      <c r="B63427">
        <f>TEXT(63426, "[$-0E0000]yyyy-mm-dd")</f>
        <v/>
      </c>
      <c r="C63427" t="inlineStr">
        <is>
          <t>2073-07-23</t>
        </is>
      </c>
    </row>
    <row r="63428">
      <c r="A63428" s="1" t="n">
        <v>63427</v>
      </c>
      <c r="B63428">
        <f>TEXT(63427, "[$-0E0000]yyyy-mm-dd")</f>
        <v/>
      </c>
      <c r="C63428" t="inlineStr">
        <is>
          <t>2073-07-24</t>
        </is>
      </c>
    </row>
    <row r="63429">
      <c r="A63429" s="1" t="n">
        <v>63428</v>
      </c>
      <c r="B63429">
        <f>TEXT(63428, "[$-0E0000]yyyy-mm-dd")</f>
        <v/>
      </c>
      <c r="C63429" t="inlineStr">
        <is>
          <t>2073-07-25</t>
        </is>
      </c>
    </row>
    <row r="63430">
      <c r="A63430" s="1" t="n">
        <v>63429</v>
      </c>
      <c r="B63430">
        <f>TEXT(63429, "[$-0E0000]yyyy-mm-dd")</f>
        <v/>
      </c>
      <c r="C63430" t="inlineStr">
        <is>
          <t>2073-07-26</t>
        </is>
      </c>
    </row>
    <row r="63431">
      <c r="A63431" s="1" t="n">
        <v>63430</v>
      </c>
      <c r="B63431">
        <f>TEXT(63430, "[$-0E0000]yyyy-mm-dd")</f>
        <v/>
      </c>
      <c r="C63431" t="inlineStr">
        <is>
          <t>2073-07-27</t>
        </is>
      </c>
    </row>
    <row r="63432">
      <c r="A63432" s="1" t="n">
        <v>63431</v>
      </c>
      <c r="B63432">
        <f>TEXT(63431, "[$-0E0000]yyyy-mm-dd")</f>
        <v/>
      </c>
      <c r="C63432" t="inlineStr">
        <is>
          <t>2073-07-28</t>
        </is>
      </c>
    </row>
    <row r="63433">
      <c r="A63433" s="1" t="n">
        <v>63432</v>
      </c>
      <c r="B63433">
        <f>TEXT(63432, "[$-0E0000]yyyy-mm-dd")</f>
        <v/>
      </c>
      <c r="C63433" t="inlineStr">
        <is>
          <t>2073-07-29</t>
        </is>
      </c>
    </row>
    <row r="63434">
      <c r="A63434" s="1" t="n">
        <v>63433</v>
      </c>
      <c r="B63434">
        <f>TEXT(63433, "[$-0E0000]yyyy-mm-dd")</f>
        <v/>
      </c>
      <c r="C63434" t="inlineStr">
        <is>
          <t>2073-08-01</t>
        </is>
      </c>
    </row>
    <row r="63435">
      <c r="A63435" s="1" t="n">
        <v>63434</v>
      </c>
      <c r="B63435">
        <f>TEXT(63434, "[$-0E0000]yyyy-mm-dd")</f>
        <v/>
      </c>
      <c r="C63435" t="inlineStr">
        <is>
          <t>2073-08-02</t>
        </is>
      </c>
    </row>
    <row r="63436">
      <c r="A63436" s="1" t="n">
        <v>63435</v>
      </c>
      <c r="B63436">
        <f>TEXT(63435, "[$-0E0000]yyyy-mm-dd")</f>
        <v/>
      </c>
      <c r="C63436" t="inlineStr">
        <is>
          <t>2073-08-03</t>
        </is>
      </c>
    </row>
    <row r="63437">
      <c r="A63437" s="1" t="n">
        <v>63436</v>
      </c>
      <c r="B63437">
        <f>TEXT(63436, "[$-0E0000]yyyy-mm-dd")</f>
        <v/>
      </c>
      <c r="C63437" t="inlineStr">
        <is>
          <t>2073-08-04</t>
        </is>
      </c>
    </row>
    <row r="63438">
      <c r="A63438" s="1" t="n">
        <v>63437</v>
      </c>
      <c r="B63438">
        <f>TEXT(63437, "[$-0E0000]yyyy-mm-dd")</f>
        <v/>
      </c>
      <c r="C63438" t="inlineStr">
        <is>
          <t>2073-08-05</t>
        </is>
      </c>
    </row>
    <row r="63439">
      <c r="A63439" s="1" t="n">
        <v>63438</v>
      </c>
      <c r="B63439">
        <f>TEXT(63438, "[$-0E0000]yyyy-mm-dd")</f>
        <v/>
      </c>
      <c r="C63439" t="inlineStr">
        <is>
          <t>2073-08-06</t>
        </is>
      </c>
    </row>
    <row r="63440">
      <c r="A63440" s="1" t="n">
        <v>63439</v>
      </c>
      <c r="B63440">
        <f>TEXT(63439, "[$-0E0000]yyyy-mm-dd")</f>
        <v/>
      </c>
      <c r="C63440" t="inlineStr">
        <is>
          <t>2073-08-07</t>
        </is>
      </c>
    </row>
    <row r="63441">
      <c r="A63441" s="1" t="n">
        <v>63440</v>
      </c>
      <c r="B63441">
        <f>TEXT(63440, "[$-0E0000]yyyy-mm-dd")</f>
        <v/>
      </c>
      <c r="C63441" t="inlineStr">
        <is>
          <t>2073-08-08</t>
        </is>
      </c>
    </row>
    <row r="63442">
      <c r="A63442" s="1" t="n">
        <v>63441</v>
      </c>
      <c r="B63442">
        <f>TEXT(63441, "[$-0E0000]yyyy-mm-dd")</f>
        <v/>
      </c>
      <c r="C63442" t="inlineStr">
        <is>
          <t>2073-08-09</t>
        </is>
      </c>
    </row>
    <row r="63443">
      <c r="A63443" s="1" t="n">
        <v>63442</v>
      </c>
      <c r="B63443">
        <f>TEXT(63442, "[$-0E0000]yyyy-mm-dd")</f>
        <v/>
      </c>
      <c r="C63443" t="inlineStr">
        <is>
          <t>2073-08-10</t>
        </is>
      </c>
    </row>
    <row r="63444">
      <c r="A63444" s="1" t="n">
        <v>63443</v>
      </c>
      <c r="B63444">
        <f>TEXT(63443, "[$-0E0000]yyyy-mm-dd")</f>
        <v/>
      </c>
      <c r="C63444" t="inlineStr">
        <is>
          <t>2073-08-11</t>
        </is>
      </c>
    </row>
    <row r="63445">
      <c r="A63445" s="1" t="n">
        <v>63444</v>
      </c>
      <c r="B63445">
        <f>TEXT(63444, "[$-0E0000]yyyy-mm-dd")</f>
        <v/>
      </c>
      <c r="C63445" t="inlineStr">
        <is>
          <t>2073-08-12</t>
        </is>
      </c>
    </row>
    <row r="63446">
      <c r="A63446" s="1" t="n">
        <v>63445</v>
      </c>
      <c r="B63446">
        <f>TEXT(63445, "[$-0E0000]yyyy-mm-dd")</f>
        <v/>
      </c>
      <c r="C63446" t="inlineStr">
        <is>
          <t>2073-08-13</t>
        </is>
      </c>
    </row>
    <row r="63447">
      <c r="A63447" s="1" t="n">
        <v>63446</v>
      </c>
      <c r="B63447">
        <f>TEXT(63446, "[$-0E0000]yyyy-mm-dd")</f>
        <v/>
      </c>
      <c r="C63447" t="inlineStr">
        <is>
          <t>2073-08-14</t>
        </is>
      </c>
    </row>
    <row r="63448">
      <c r="A63448" s="1" t="n">
        <v>63447</v>
      </c>
      <c r="B63448">
        <f>TEXT(63447, "[$-0E0000]yyyy-mm-dd")</f>
        <v/>
      </c>
      <c r="C63448" t="inlineStr">
        <is>
          <t>2073-08-15</t>
        </is>
      </c>
    </row>
    <row r="63449">
      <c r="A63449" s="1" t="n">
        <v>63448</v>
      </c>
      <c r="B63449">
        <f>TEXT(63448, "[$-0E0000]yyyy-mm-dd")</f>
        <v/>
      </c>
      <c r="C63449" t="inlineStr">
        <is>
          <t>2073-08-16</t>
        </is>
      </c>
    </row>
    <row r="63450">
      <c r="A63450" s="1" t="n">
        <v>63449</v>
      </c>
      <c r="B63450">
        <f>TEXT(63449, "[$-0E0000]yyyy-mm-dd")</f>
        <v/>
      </c>
      <c r="C63450" t="inlineStr">
        <is>
          <t>2073-08-17</t>
        </is>
      </c>
    </row>
    <row r="63451">
      <c r="A63451" s="1" t="n">
        <v>63450</v>
      </c>
      <c r="B63451">
        <f>TEXT(63450, "[$-0E0000]yyyy-mm-dd")</f>
        <v/>
      </c>
      <c r="C63451" t="inlineStr">
        <is>
          <t>2073-08-18</t>
        </is>
      </c>
    </row>
    <row r="63452">
      <c r="A63452" s="1" t="n">
        <v>63451</v>
      </c>
      <c r="B63452">
        <f>TEXT(63451, "[$-0E0000]yyyy-mm-dd")</f>
        <v/>
      </c>
      <c r="C63452" t="inlineStr">
        <is>
          <t>2073-08-19</t>
        </is>
      </c>
    </row>
    <row r="63453">
      <c r="A63453" s="1" t="n">
        <v>63452</v>
      </c>
      <c r="B63453">
        <f>TEXT(63452, "[$-0E0000]yyyy-mm-dd")</f>
        <v/>
      </c>
      <c r="C63453" t="inlineStr">
        <is>
          <t>2073-08-20</t>
        </is>
      </c>
    </row>
    <row r="63454">
      <c r="A63454" s="1" t="n">
        <v>63453</v>
      </c>
      <c r="B63454">
        <f>TEXT(63453, "[$-0E0000]yyyy-mm-dd")</f>
        <v/>
      </c>
      <c r="C63454" t="inlineStr">
        <is>
          <t>2073-08-21</t>
        </is>
      </c>
    </row>
    <row r="63455">
      <c r="A63455" s="1" t="n">
        <v>63454</v>
      </c>
      <c r="B63455">
        <f>TEXT(63454, "[$-0E0000]yyyy-mm-dd")</f>
        <v/>
      </c>
      <c r="C63455" t="inlineStr">
        <is>
          <t>2073-08-22</t>
        </is>
      </c>
    </row>
    <row r="63456">
      <c r="A63456" s="1" t="n">
        <v>63455</v>
      </c>
      <c r="B63456">
        <f>TEXT(63455, "[$-0E0000]yyyy-mm-dd")</f>
        <v/>
      </c>
      <c r="C63456" t="inlineStr">
        <is>
          <t>2073-08-23</t>
        </is>
      </c>
    </row>
    <row r="63457">
      <c r="A63457" s="1" t="n">
        <v>63456</v>
      </c>
      <c r="B63457">
        <f>TEXT(63456, "[$-0E0000]yyyy-mm-dd")</f>
        <v/>
      </c>
      <c r="C63457" t="inlineStr">
        <is>
          <t>2073-08-24</t>
        </is>
      </c>
    </row>
    <row r="63458">
      <c r="A63458" s="1" t="n">
        <v>63457</v>
      </c>
      <c r="B63458">
        <f>TEXT(63457, "[$-0E0000]yyyy-mm-dd")</f>
        <v/>
      </c>
      <c r="C63458" t="inlineStr">
        <is>
          <t>2073-08-25</t>
        </is>
      </c>
    </row>
    <row r="63459">
      <c r="A63459" s="1" t="n">
        <v>63458</v>
      </c>
      <c r="B63459">
        <f>TEXT(63458, "[$-0E0000]yyyy-mm-dd")</f>
        <v/>
      </c>
      <c r="C63459" t="inlineStr">
        <is>
          <t>2073-08-26</t>
        </is>
      </c>
    </row>
    <row r="63460">
      <c r="A63460" s="1" t="n">
        <v>63459</v>
      </c>
      <c r="B63460">
        <f>TEXT(63459, "[$-0E0000]yyyy-mm-dd")</f>
        <v/>
      </c>
      <c r="C63460" t="inlineStr">
        <is>
          <t>2073-08-27</t>
        </is>
      </c>
    </row>
    <row r="63461">
      <c r="A63461" s="1" t="n">
        <v>63460</v>
      </c>
      <c r="B63461">
        <f>TEXT(63460, "[$-0E0000]yyyy-mm-dd")</f>
        <v/>
      </c>
      <c r="C63461" t="inlineStr">
        <is>
          <t>2073-08-28</t>
        </is>
      </c>
    </row>
    <row r="63462">
      <c r="A63462" s="1" t="n">
        <v>63461</v>
      </c>
      <c r="B63462">
        <f>TEXT(63461, "[$-0E0000]yyyy-mm-dd")</f>
        <v/>
      </c>
      <c r="C63462" t="inlineStr">
        <is>
          <t>2073-08-29</t>
        </is>
      </c>
    </row>
    <row r="63463">
      <c r="A63463" s="1" t="n">
        <v>63462</v>
      </c>
      <c r="B63463">
        <f>TEXT(63462, "[$-0E0000]yyyy-mm-dd")</f>
        <v/>
      </c>
      <c r="C63463" t="inlineStr">
        <is>
          <t>2073-09-01</t>
        </is>
      </c>
    </row>
    <row r="63464">
      <c r="A63464" s="1" t="n">
        <v>63463</v>
      </c>
      <c r="B63464">
        <f>TEXT(63463, "[$-0E0000]yyyy-mm-dd")</f>
        <v/>
      </c>
      <c r="C63464" t="inlineStr">
        <is>
          <t>2073-09-02</t>
        </is>
      </c>
    </row>
    <row r="63465">
      <c r="A63465" s="1" t="n">
        <v>63464</v>
      </c>
      <c r="B63465">
        <f>TEXT(63464, "[$-0E0000]yyyy-mm-dd")</f>
        <v/>
      </c>
      <c r="C63465" t="inlineStr">
        <is>
          <t>2073-09-03</t>
        </is>
      </c>
    </row>
    <row r="63466">
      <c r="A63466" s="1" t="n">
        <v>63465</v>
      </c>
      <c r="B63466">
        <f>TEXT(63465, "[$-0E0000]yyyy-mm-dd")</f>
        <v/>
      </c>
      <c r="C63466" t="inlineStr">
        <is>
          <t>2073-09-04</t>
        </is>
      </c>
    </row>
    <row r="63467">
      <c r="A63467" s="1" t="n">
        <v>63466</v>
      </c>
      <c r="B63467">
        <f>TEXT(63466, "[$-0E0000]yyyy-mm-dd")</f>
        <v/>
      </c>
      <c r="C63467" t="inlineStr">
        <is>
          <t>2073-09-05</t>
        </is>
      </c>
    </row>
    <row r="63468">
      <c r="A63468" s="1" t="n">
        <v>63467</v>
      </c>
      <c r="B63468">
        <f>TEXT(63467, "[$-0E0000]yyyy-mm-dd")</f>
        <v/>
      </c>
      <c r="C63468" t="inlineStr">
        <is>
          <t>2073-09-06</t>
        </is>
      </c>
    </row>
    <row r="63469">
      <c r="A63469" s="1" t="n">
        <v>63468</v>
      </c>
      <c r="B63469">
        <f>TEXT(63468, "[$-0E0000]yyyy-mm-dd")</f>
        <v/>
      </c>
      <c r="C63469" t="inlineStr">
        <is>
          <t>2073-09-07</t>
        </is>
      </c>
    </row>
    <row r="63470">
      <c r="A63470" s="1" t="n">
        <v>63469</v>
      </c>
      <c r="B63470">
        <f>TEXT(63469, "[$-0E0000]yyyy-mm-dd")</f>
        <v/>
      </c>
      <c r="C63470" t="inlineStr">
        <is>
          <t>2073-09-08</t>
        </is>
      </c>
    </row>
    <row r="63471">
      <c r="A63471" s="1" t="n">
        <v>63470</v>
      </c>
      <c r="B63471">
        <f>TEXT(63470, "[$-0E0000]yyyy-mm-dd")</f>
        <v/>
      </c>
      <c r="C63471" t="inlineStr">
        <is>
          <t>2073-09-09</t>
        </is>
      </c>
    </row>
    <row r="63472">
      <c r="A63472" s="1" t="n">
        <v>63471</v>
      </c>
      <c r="B63472">
        <f>TEXT(63471, "[$-0E0000]yyyy-mm-dd")</f>
        <v/>
      </c>
      <c r="C63472" t="inlineStr">
        <is>
          <t>2073-09-10</t>
        </is>
      </c>
    </row>
    <row r="63473">
      <c r="A63473" s="1" t="n">
        <v>63472</v>
      </c>
      <c r="B63473">
        <f>TEXT(63472, "[$-0E0000]yyyy-mm-dd")</f>
        <v/>
      </c>
      <c r="C63473" t="inlineStr">
        <is>
          <t>2073-09-11</t>
        </is>
      </c>
    </row>
    <row r="63474">
      <c r="A63474" s="1" t="n">
        <v>63473</v>
      </c>
      <c r="B63474">
        <f>TEXT(63473, "[$-0E0000]yyyy-mm-dd")</f>
        <v/>
      </c>
      <c r="C63474" t="inlineStr">
        <is>
          <t>2073-09-12</t>
        </is>
      </c>
    </row>
    <row r="63475">
      <c r="A63475" s="1" t="n">
        <v>63474</v>
      </c>
      <c r="B63475">
        <f>TEXT(63474, "[$-0E0000]yyyy-mm-dd")</f>
        <v/>
      </c>
      <c r="C63475" t="inlineStr">
        <is>
          <t>2073-09-13</t>
        </is>
      </c>
    </row>
    <row r="63476">
      <c r="A63476" s="1" t="n">
        <v>63475</v>
      </c>
      <c r="B63476">
        <f>TEXT(63475, "[$-0E0000]yyyy-mm-dd")</f>
        <v/>
      </c>
      <c r="C63476" t="inlineStr">
        <is>
          <t>2073-09-14</t>
        </is>
      </c>
    </row>
    <row r="63477">
      <c r="A63477" s="1" t="n">
        <v>63476</v>
      </c>
      <c r="B63477">
        <f>TEXT(63476, "[$-0E0000]yyyy-mm-dd")</f>
        <v/>
      </c>
      <c r="C63477" t="inlineStr">
        <is>
          <t>2073-09-15</t>
        </is>
      </c>
    </row>
    <row r="63478">
      <c r="A63478" s="1" t="n">
        <v>63477</v>
      </c>
      <c r="B63478">
        <f>TEXT(63477, "[$-0E0000]yyyy-mm-dd")</f>
        <v/>
      </c>
      <c r="C63478" t="inlineStr">
        <is>
          <t>2073-09-16</t>
        </is>
      </c>
    </row>
    <row r="63479">
      <c r="A63479" s="1" t="n">
        <v>63478</v>
      </c>
      <c r="B63479">
        <f>TEXT(63478, "[$-0E0000]yyyy-mm-dd")</f>
        <v/>
      </c>
      <c r="C63479" t="inlineStr">
        <is>
          <t>2073-09-17</t>
        </is>
      </c>
    </row>
    <row r="63480">
      <c r="A63480" s="1" t="n">
        <v>63479</v>
      </c>
      <c r="B63480">
        <f>TEXT(63479, "[$-0E0000]yyyy-mm-dd")</f>
        <v/>
      </c>
      <c r="C63480" t="inlineStr">
        <is>
          <t>2073-09-18</t>
        </is>
      </c>
    </row>
    <row r="63481">
      <c r="A63481" s="1" t="n">
        <v>63480</v>
      </c>
      <c r="B63481">
        <f>TEXT(63480, "[$-0E0000]yyyy-mm-dd")</f>
        <v/>
      </c>
      <c r="C63481" t="inlineStr">
        <is>
          <t>2073-09-19</t>
        </is>
      </c>
    </row>
    <row r="63482">
      <c r="A63482" s="1" t="n">
        <v>63481</v>
      </c>
      <c r="B63482">
        <f>TEXT(63481, "[$-0E0000]yyyy-mm-dd")</f>
        <v/>
      </c>
      <c r="C63482" t="inlineStr">
        <is>
          <t>2073-09-20</t>
        </is>
      </c>
    </row>
    <row r="63483">
      <c r="A63483" s="1" t="n">
        <v>63482</v>
      </c>
      <c r="B63483">
        <f>TEXT(63482, "[$-0E0000]yyyy-mm-dd")</f>
        <v/>
      </c>
      <c r="C63483" t="inlineStr">
        <is>
          <t>2073-09-21</t>
        </is>
      </c>
    </row>
    <row r="63484">
      <c r="A63484" s="1" t="n">
        <v>63483</v>
      </c>
      <c r="B63484">
        <f>TEXT(63483, "[$-0E0000]yyyy-mm-dd")</f>
        <v/>
      </c>
      <c r="C63484" t="inlineStr">
        <is>
          <t>2073-09-22</t>
        </is>
      </c>
    </row>
    <row r="63485">
      <c r="A63485" s="1" t="n">
        <v>63484</v>
      </c>
      <c r="B63485">
        <f>TEXT(63484, "[$-0E0000]yyyy-mm-dd")</f>
        <v/>
      </c>
      <c r="C63485" t="inlineStr">
        <is>
          <t>2073-09-23</t>
        </is>
      </c>
    </row>
    <row r="63486">
      <c r="A63486" s="1" t="n">
        <v>63485</v>
      </c>
      <c r="B63486">
        <f>TEXT(63485, "[$-0E0000]yyyy-mm-dd")</f>
        <v/>
      </c>
      <c r="C63486" t="inlineStr">
        <is>
          <t>2073-09-24</t>
        </is>
      </c>
    </row>
    <row r="63487">
      <c r="A63487" s="1" t="n">
        <v>63486</v>
      </c>
      <c r="B63487">
        <f>TEXT(63486, "[$-0E0000]yyyy-mm-dd")</f>
        <v/>
      </c>
      <c r="C63487" t="inlineStr">
        <is>
          <t>2073-09-25</t>
        </is>
      </c>
    </row>
    <row r="63488">
      <c r="A63488" s="1" t="n">
        <v>63487</v>
      </c>
      <c r="B63488">
        <f>TEXT(63487, "[$-0E0000]yyyy-mm-dd")</f>
        <v/>
      </c>
      <c r="C63488" t="inlineStr">
        <is>
          <t>2073-09-26</t>
        </is>
      </c>
    </row>
    <row r="63489">
      <c r="A63489" s="1" t="n">
        <v>63488</v>
      </c>
      <c r="B63489">
        <f>TEXT(63488, "[$-0E0000]yyyy-mm-dd")</f>
        <v/>
      </c>
      <c r="C63489" t="inlineStr">
        <is>
          <t>2073-09-27</t>
        </is>
      </c>
    </row>
    <row r="63490">
      <c r="A63490" s="1" t="n">
        <v>63489</v>
      </c>
      <c r="B63490">
        <f>TEXT(63489, "[$-0E0000]yyyy-mm-dd")</f>
        <v/>
      </c>
      <c r="C63490" t="inlineStr">
        <is>
          <t>2073-09-28</t>
        </is>
      </c>
    </row>
    <row r="63491">
      <c r="A63491" s="1" t="n">
        <v>63490</v>
      </c>
      <c r="B63491">
        <f>TEXT(63490, "[$-0E0000]yyyy-mm-dd")</f>
        <v/>
      </c>
      <c r="C63491" t="inlineStr">
        <is>
          <t>2073-09-29</t>
        </is>
      </c>
    </row>
    <row r="63492">
      <c r="A63492" s="1" t="n">
        <v>63491</v>
      </c>
      <c r="B63492">
        <f>TEXT(63491, "[$-0E0000]yyyy-mm-dd")</f>
        <v/>
      </c>
      <c r="C63492" t="inlineStr">
        <is>
          <t>2073-09-30</t>
        </is>
      </c>
    </row>
    <row r="63493">
      <c r="A63493" s="1" t="n">
        <v>63492</v>
      </c>
      <c r="B63493">
        <f>TEXT(63492, "[$-0E0000]yyyy-mm-dd")</f>
        <v/>
      </c>
      <c r="C63493" t="inlineStr">
        <is>
          <t>2073-10-01</t>
        </is>
      </c>
    </row>
    <row r="63494">
      <c r="A63494" s="1" t="n">
        <v>63493</v>
      </c>
      <c r="B63494">
        <f>TEXT(63493, "[$-0E0000]yyyy-mm-dd")</f>
        <v/>
      </c>
      <c r="C63494" t="inlineStr">
        <is>
          <t>2073-10-02</t>
        </is>
      </c>
    </row>
    <row r="63495">
      <c r="A63495" s="1" t="n">
        <v>63494</v>
      </c>
      <c r="B63495">
        <f>TEXT(63494, "[$-0E0000]yyyy-mm-dd")</f>
        <v/>
      </c>
      <c r="C63495" t="inlineStr">
        <is>
          <t>2073-10-03</t>
        </is>
      </c>
    </row>
    <row r="63496">
      <c r="A63496" s="1" t="n">
        <v>63495</v>
      </c>
      <c r="B63496">
        <f>TEXT(63495, "[$-0E0000]yyyy-mm-dd")</f>
        <v/>
      </c>
      <c r="C63496" t="inlineStr">
        <is>
          <t>2073-10-04</t>
        </is>
      </c>
    </row>
    <row r="63497">
      <c r="A63497" s="1" t="n">
        <v>63496</v>
      </c>
      <c r="B63497">
        <f>TEXT(63496, "[$-0E0000]yyyy-mm-dd")</f>
        <v/>
      </c>
      <c r="C63497" t="inlineStr">
        <is>
          <t>2073-10-05</t>
        </is>
      </c>
    </row>
    <row r="63498">
      <c r="A63498" s="1" t="n">
        <v>63497</v>
      </c>
      <c r="B63498">
        <f>TEXT(63497, "[$-0E0000]yyyy-mm-dd")</f>
        <v/>
      </c>
      <c r="C63498" t="inlineStr">
        <is>
          <t>2073-10-06</t>
        </is>
      </c>
    </row>
    <row r="63499">
      <c r="A63499" s="1" t="n">
        <v>63498</v>
      </c>
      <c r="B63499">
        <f>TEXT(63498, "[$-0E0000]yyyy-mm-dd")</f>
        <v/>
      </c>
      <c r="C63499" t="inlineStr">
        <is>
          <t>2073-10-07</t>
        </is>
      </c>
    </row>
    <row r="63500">
      <c r="A63500" s="1" t="n">
        <v>63499</v>
      </c>
      <c r="B63500">
        <f>TEXT(63499, "[$-0E0000]yyyy-mm-dd")</f>
        <v/>
      </c>
      <c r="C63500" t="inlineStr">
        <is>
          <t>2073-10-08</t>
        </is>
      </c>
    </row>
    <row r="63501">
      <c r="A63501" s="1" t="n">
        <v>63500</v>
      </c>
      <c r="B63501">
        <f>TEXT(63500, "[$-0E0000]yyyy-mm-dd")</f>
        <v/>
      </c>
      <c r="C63501" t="inlineStr">
        <is>
          <t>2073-10-09</t>
        </is>
      </c>
    </row>
    <row r="63502">
      <c r="A63502" s="1" t="n">
        <v>63501</v>
      </c>
      <c r="B63502">
        <f>TEXT(63501, "[$-0E0000]yyyy-mm-dd")</f>
        <v/>
      </c>
      <c r="C63502" t="inlineStr">
        <is>
          <t>2073-10-10</t>
        </is>
      </c>
    </row>
    <row r="63503">
      <c r="A63503" s="1" t="n">
        <v>63502</v>
      </c>
      <c r="B63503">
        <f>TEXT(63502, "[$-0E0000]yyyy-mm-dd")</f>
        <v/>
      </c>
      <c r="C63503" t="inlineStr">
        <is>
          <t>2073-10-11</t>
        </is>
      </c>
    </row>
    <row r="63504">
      <c r="A63504" s="1" t="n">
        <v>63503</v>
      </c>
      <c r="B63504">
        <f>TEXT(63503, "[$-0E0000]yyyy-mm-dd")</f>
        <v/>
      </c>
      <c r="C63504" t="inlineStr">
        <is>
          <t>2073-10-12</t>
        </is>
      </c>
    </row>
    <row r="63505">
      <c r="A63505" s="1" t="n">
        <v>63504</v>
      </c>
      <c r="B63505">
        <f>TEXT(63504, "[$-0E0000]yyyy-mm-dd")</f>
        <v/>
      </c>
      <c r="C63505" t="inlineStr">
        <is>
          <t>2073-10-13</t>
        </is>
      </c>
    </row>
    <row r="63506">
      <c r="A63506" s="1" t="n">
        <v>63505</v>
      </c>
      <c r="B63506">
        <f>TEXT(63505, "[$-0E0000]yyyy-mm-dd")</f>
        <v/>
      </c>
      <c r="C63506" t="inlineStr">
        <is>
          <t>2073-10-14</t>
        </is>
      </c>
    </row>
    <row r="63507">
      <c r="A63507" s="1" t="n">
        <v>63506</v>
      </c>
      <c r="B63507">
        <f>TEXT(63506, "[$-0E0000]yyyy-mm-dd")</f>
        <v/>
      </c>
      <c r="C63507" t="inlineStr">
        <is>
          <t>2073-10-15</t>
        </is>
      </c>
    </row>
    <row r="63508">
      <c r="A63508" s="1" t="n">
        <v>63507</v>
      </c>
      <c r="B63508">
        <f>TEXT(63507, "[$-0E0000]yyyy-mm-dd")</f>
        <v/>
      </c>
      <c r="C63508" t="inlineStr">
        <is>
          <t>2073-10-16</t>
        </is>
      </c>
    </row>
    <row r="63509">
      <c r="A63509" s="1" t="n">
        <v>63508</v>
      </c>
      <c r="B63509">
        <f>TEXT(63508, "[$-0E0000]yyyy-mm-dd")</f>
        <v/>
      </c>
      <c r="C63509" t="inlineStr">
        <is>
          <t>2073-10-17</t>
        </is>
      </c>
    </row>
    <row r="63510">
      <c r="A63510" s="1" t="n">
        <v>63509</v>
      </c>
      <c r="B63510">
        <f>TEXT(63509, "[$-0E0000]yyyy-mm-dd")</f>
        <v/>
      </c>
      <c r="C63510" t="inlineStr">
        <is>
          <t>2073-10-18</t>
        </is>
      </c>
    </row>
    <row r="63511">
      <c r="A63511" s="1" t="n">
        <v>63510</v>
      </c>
      <c r="B63511">
        <f>TEXT(63510, "[$-0E0000]yyyy-mm-dd")</f>
        <v/>
      </c>
      <c r="C63511" t="inlineStr">
        <is>
          <t>2073-10-19</t>
        </is>
      </c>
    </row>
    <row r="63512">
      <c r="A63512" s="1" t="n">
        <v>63511</v>
      </c>
      <c r="B63512">
        <f>TEXT(63511, "[$-0E0000]yyyy-mm-dd")</f>
        <v/>
      </c>
      <c r="C63512" t="inlineStr">
        <is>
          <t>2073-10-20</t>
        </is>
      </c>
    </row>
    <row r="63513">
      <c r="A63513" s="1" t="n">
        <v>63512</v>
      </c>
      <c r="B63513">
        <f>TEXT(63512, "[$-0E0000]yyyy-mm-dd")</f>
        <v/>
      </c>
      <c r="C63513" t="inlineStr">
        <is>
          <t>2073-10-21</t>
        </is>
      </c>
    </row>
    <row r="63514">
      <c r="A63514" s="1" t="n">
        <v>63513</v>
      </c>
      <c r="B63514">
        <f>TEXT(63513, "[$-0E0000]yyyy-mm-dd")</f>
        <v/>
      </c>
      <c r="C63514" t="inlineStr">
        <is>
          <t>2073-10-22</t>
        </is>
      </c>
    </row>
    <row r="63515">
      <c r="A63515" s="1" t="n">
        <v>63514</v>
      </c>
      <c r="B63515">
        <f>TEXT(63514, "[$-0E0000]yyyy-mm-dd")</f>
        <v/>
      </c>
      <c r="C63515" t="inlineStr">
        <is>
          <t>2073-10-23</t>
        </is>
      </c>
    </row>
    <row r="63516">
      <c r="A63516" s="1" t="n">
        <v>63515</v>
      </c>
      <c r="B63516">
        <f>TEXT(63515, "[$-0E0000]yyyy-mm-dd")</f>
        <v/>
      </c>
      <c r="C63516" t="inlineStr">
        <is>
          <t>2073-10-24</t>
        </is>
      </c>
    </row>
    <row r="63517">
      <c r="A63517" s="1" t="n">
        <v>63516</v>
      </c>
      <c r="B63517">
        <f>TEXT(63516, "[$-0E0000]yyyy-mm-dd")</f>
        <v/>
      </c>
      <c r="C63517" t="inlineStr">
        <is>
          <t>2073-10-25</t>
        </is>
      </c>
    </row>
    <row r="63518">
      <c r="A63518" s="1" t="n">
        <v>63517</v>
      </c>
      <c r="B63518">
        <f>TEXT(63517, "[$-0E0000]yyyy-mm-dd")</f>
        <v/>
      </c>
      <c r="C63518" t="inlineStr">
        <is>
          <t>2073-10-26</t>
        </is>
      </c>
    </row>
    <row r="63519">
      <c r="A63519" s="1" t="n">
        <v>63518</v>
      </c>
      <c r="B63519">
        <f>TEXT(63518, "[$-0E0000]yyyy-mm-dd")</f>
        <v/>
      </c>
      <c r="C63519" t="inlineStr">
        <is>
          <t>2073-10-27</t>
        </is>
      </c>
    </row>
    <row r="63520">
      <c r="A63520" s="1" t="n">
        <v>63519</v>
      </c>
      <c r="B63520">
        <f>TEXT(63519, "[$-0E0000]yyyy-mm-dd")</f>
        <v/>
      </c>
      <c r="C63520" t="inlineStr">
        <is>
          <t>2073-10-28</t>
        </is>
      </c>
    </row>
    <row r="63521">
      <c r="A63521" s="1" t="n">
        <v>63520</v>
      </c>
      <c r="B63521">
        <f>TEXT(63520, "[$-0E0000]yyyy-mm-dd")</f>
        <v/>
      </c>
      <c r="C63521" t="inlineStr">
        <is>
          <t>2073-10-29</t>
        </is>
      </c>
    </row>
    <row r="63522">
      <c r="A63522" s="1" t="n">
        <v>63521</v>
      </c>
      <c r="B63522">
        <f>TEXT(63521, "[$-0E0000]yyyy-mm-dd")</f>
        <v/>
      </c>
      <c r="C63522" t="inlineStr">
        <is>
          <t>2073-11-01</t>
        </is>
      </c>
    </row>
    <row r="63523">
      <c r="A63523" s="1" t="n">
        <v>63522</v>
      </c>
      <c r="B63523">
        <f>TEXT(63522, "[$-0E0000]yyyy-mm-dd")</f>
        <v/>
      </c>
      <c r="C63523" t="inlineStr">
        <is>
          <t>2073-11-02</t>
        </is>
      </c>
    </row>
    <row r="63524">
      <c r="A63524" s="1" t="n">
        <v>63523</v>
      </c>
      <c r="B63524">
        <f>TEXT(63523, "[$-0E0000]yyyy-mm-dd")</f>
        <v/>
      </c>
      <c r="C63524" t="inlineStr">
        <is>
          <t>2073-11-03</t>
        </is>
      </c>
    </row>
    <row r="63525">
      <c r="A63525" s="1" t="n">
        <v>63524</v>
      </c>
      <c r="B63525">
        <f>TEXT(63524, "[$-0E0000]yyyy-mm-dd")</f>
        <v/>
      </c>
      <c r="C63525" t="inlineStr">
        <is>
          <t>2073-11-04</t>
        </is>
      </c>
    </row>
    <row r="63526">
      <c r="A63526" s="1" t="n">
        <v>63525</v>
      </c>
      <c r="B63526">
        <f>TEXT(63525, "[$-0E0000]yyyy-mm-dd")</f>
        <v/>
      </c>
      <c r="C63526" t="inlineStr">
        <is>
          <t>2073-11-05</t>
        </is>
      </c>
    </row>
    <row r="63527">
      <c r="A63527" s="1" t="n">
        <v>63526</v>
      </c>
      <c r="B63527">
        <f>TEXT(63526, "[$-0E0000]yyyy-mm-dd")</f>
        <v/>
      </c>
      <c r="C63527" t="inlineStr">
        <is>
          <t>2073-11-06</t>
        </is>
      </c>
    </row>
    <row r="63528">
      <c r="A63528" s="1" t="n">
        <v>63527</v>
      </c>
      <c r="B63528">
        <f>TEXT(63527, "[$-0E0000]yyyy-mm-dd")</f>
        <v/>
      </c>
      <c r="C63528" t="inlineStr">
        <is>
          <t>2073-11-07</t>
        </is>
      </c>
    </row>
    <row r="63529">
      <c r="A63529" s="1" t="n">
        <v>63528</v>
      </c>
      <c r="B63529">
        <f>TEXT(63528, "[$-0E0000]yyyy-mm-dd")</f>
        <v/>
      </c>
      <c r="C63529" t="inlineStr">
        <is>
          <t>2073-11-08</t>
        </is>
      </c>
    </row>
    <row r="63530">
      <c r="A63530" s="1" t="n">
        <v>63529</v>
      </c>
      <c r="B63530">
        <f>TEXT(63529, "[$-0E0000]yyyy-mm-dd")</f>
        <v/>
      </c>
      <c r="C63530" t="inlineStr">
        <is>
          <t>2073-11-09</t>
        </is>
      </c>
    </row>
    <row r="63531">
      <c r="A63531" s="1" t="n">
        <v>63530</v>
      </c>
      <c r="B63531">
        <f>TEXT(63530, "[$-0E0000]yyyy-mm-dd")</f>
        <v/>
      </c>
      <c r="C63531" t="inlineStr">
        <is>
          <t>2073-11-10</t>
        </is>
      </c>
    </row>
    <row r="63532">
      <c r="A63532" s="1" t="n">
        <v>63531</v>
      </c>
      <c r="B63532">
        <f>TEXT(63531, "[$-0E0000]yyyy-mm-dd")</f>
        <v/>
      </c>
      <c r="C63532" t="inlineStr">
        <is>
          <t>2073-11-11</t>
        </is>
      </c>
    </row>
    <row r="63533">
      <c r="A63533" s="1" t="n">
        <v>63532</v>
      </c>
      <c r="B63533">
        <f>TEXT(63532, "[$-0E0000]yyyy-mm-dd")</f>
        <v/>
      </c>
      <c r="C63533" t="inlineStr">
        <is>
          <t>2073-11-12</t>
        </is>
      </c>
    </row>
    <row r="63534">
      <c r="A63534" s="1" t="n">
        <v>63533</v>
      </c>
      <c r="B63534">
        <f>TEXT(63533, "[$-0E0000]yyyy-mm-dd")</f>
        <v/>
      </c>
      <c r="C63534" t="inlineStr">
        <is>
          <t>2073-11-13</t>
        </is>
      </c>
    </row>
    <row r="63535">
      <c r="A63535" s="1" t="n">
        <v>63534</v>
      </c>
      <c r="B63535">
        <f>TEXT(63534, "[$-0E0000]yyyy-mm-dd")</f>
        <v/>
      </c>
      <c r="C63535" t="inlineStr">
        <is>
          <t>2073-11-14</t>
        </is>
      </c>
    </row>
    <row r="63536">
      <c r="A63536" s="1" t="n">
        <v>63535</v>
      </c>
      <c r="B63536">
        <f>TEXT(63535, "[$-0E0000]yyyy-mm-dd")</f>
        <v/>
      </c>
      <c r="C63536" t="inlineStr">
        <is>
          <t>2073-11-15</t>
        </is>
      </c>
    </row>
    <row r="63537">
      <c r="A63537" s="1" t="n">
        <v>63536</v>
      </c>
      <c r="B63537">
        <f>TEXT(63536, "[$-0E0000]yyyy-mm-dd")</f>
        <v/>
      </c>
      <c r="C63537" t="inlineStr">
        <is>
          <t>2073-11-16</t>
        </is>
      </c>
    </row>
    <row r="63538">
      <c r="A63538" s="1" t="n">
        <v>63537</v>
      </c>
      <c r="B63538">
        <f>TEXT(63537, "[$-0E0000]yyyy-mm-dd")</f>
        <v/>
      </c>
      <c r="C63538" t="inlineStr">
        <is>
          <t>2073-11-17</t>
        </is>
      </c>
    </row>
    <row r="63539">
      <c r="A63539" s="1" t="n">
        <v>63538</v>
      </c>
      <c r="B63539">
        <f>TEXT(63538, "[$-0E0000]yyyy-mm-dd")</f>
        <v/>
      </c>
      <c r="C63539" t="inlineStr">
        <is>
          <t>2073-11-18</t>
        </is>
      </c>
    </row>
    <row r="63540">
      <c r="A63540" s="1" t="n">
        <v>63539</v>
      </c>
      <c r="B63540">
        <f>TEXT(63539, "[$-0E0000]yyyy-mm-dd")</f>
        <v/>
      </c>
      <c r="C63540" t="inlineStr">
        <is>
          <t>2073-11-19</t>
        </is>
      </c>
    </row>
    <row r="63541">
      <c r="A63541" s="1" t="n">
        <v>63540</v>
      </c>
      <c r="B63541">
        <f>TEXT(63540, "[$-0E0000]yyyy-mm-dd")</f>
        <v/>
      </c>
      <c r="C63541" t="inlineStr">
        <is>
          <t>2073-11-20</t>
        </is>
      </c>
    </row>
    <row r="63542">
      <c r="A63542" s="1" t="n">
        <v>63541</v>
      </c>
      <c r="B63542">
        <f>TEXT(63541, "[$-0E0000]yyyy-mm-dd")</f>
        <v/>
      </c>
      <c r="C63542" t="inlineStr">
        <is>
          <t>2073-11-21</t>
        </is>
      </c>
    </row>
    <row r="63543">
      <c r="A63543" s="1" t="n">
        <v>63542</v>
      </c>
      <c r="B63543">
        <f>TEXT(63542, "[$-0E0000]yyyy-mm-dd")</f>
        <v/>
      </c>
      <c r="C63543" t="inlineStr">
        <is>
          <t>2073-11-22</t>
        </is>
      </c>
    </row>
    <row r="63544">
      <c r="A63544" s="1" t="n">
        <v>63543</v>
      </c>
      <c r="B63544">
        <f>TEXT(63543, "[$-0E0000]yyyy-mm-dd")</f>
        <v/>
      </c>
      <c r="C63544" t="inlineStr">
        <is>
          <t>2073-11-23</t>
        </is>
      </c>
    </row>
    <row r="63545">
      <c r="A63545" s="1" t="n">
        <v>63544</v>
      </c>
      <c r="B63545">
        <f>TEXT(63544, "[$-0E0000]yyyy-mm-dd")</f>
        <v/>
      </c>
      <c r="C63545" t="inlineStr">
        <is>
          <t>2073-11-24</t>
        </is>
      </c>
    </row>
    <row r="63546">
      <c r="A63546" s="1" t="n">
        <v>63545</v>
      </c>
      <c r="B63546">
        <f>TEXT(63545, "[$-0E0000]yyyy-mm-dd")</f>
        <v/>
      </c>
      <c r="C63546" t="inlineStr">
        <is>
          <t>2073-11-25</t>
        </is>
      </c>
    </row>
    <row r="63547">
      <c r="A63547" s="1" t="n">
        <v>63546</v>
      </c>
      <c r="B63547">
        <f>TEXT(63546, "[$-0E0000]yyyy-mm-dd")</f>
        <v/>
      </c>
      <c r="C63547" t="inlineStr">
        <is>
          <t>2073-11-26</t>
        </is>
      </c>
    </row>
    <row r="63548">
      <c r="A63548" s="1" t="n">
        <v>63547</v>
      </c>
      <c r="B63548">
        <f>TEXT(63547, "[$-0E0000]yyyy-mm-dd")</f>
        <v/>
      </c>
      <c r="C63548" t="inlineStr">
        <is>
          <t>2073-11-27</t>
        </is>
      </c>
    </row>
    <row r="63549">
      <c r="A63549" s="1" t="n">
        <v>63548</v>
      </c>
      <c r="B63549">
        <f>TEXT(63548, "[$-0E0000]yyyy-mm-dd")</f>
        <v/>
      </c>
      <c r="C63549" t="inlineStr">
        <is>
          <t>2073-11-28</t>
        </is>
      </c>
    </row>
    <row r="63550">
      <c r="A63550" s="1" t="n">
        <v>63549</v>
      </c>
      <c r="B63550">
        <f>TEXT(63549, "[$-0E0000]yyyy-mm-dd")</f>
        <v/>
      </c>
      <c r="C63550" t="inlineStr">
        <is>
          <t>2073-11-29</t>
        </is>
      </c>
    </row>
    <row r="63551">
      <c r="A63551" s="1" t="n">
        <v>63550</v>
      </c>
      <c r="B63551">
        <f>TEXT(63550, "[$-0E0000]yyyy-mm-dd")</f>
        <v/>
      </c>
      <c r="C63551" t="inlineStr">
        <is>
          <t>2073-11-30</t>
        </is>
      </c>
    </row>
    <row r="63552">
      <c r="A63552" s="1" t="n">
        <v>63551</v>
      </c>
      <c r="B63552">
        <f>TEXT(63551, "[$-0E0000]yyyy-mm-dd")</f>
        <v/>
      </c>
      <c r="C63552" t="inlineStr">
        <is>
          <t>2073-12-01</t>
        </is>
      </c>
    </row>
    <row r="63553">
      <c r="A63553" s="1" t="n">
        <v>63552</v>
      </c>
      <c r="B63553">
        <f>TEXT(63552, "[$-0E0000]yyyy-mm-dd")</f>
        <v/>
      </c>
      <c r="C63553" t="inlineStr">
        <is>
          <t>2073-12-02</t>
        </is>
      </c>
    </row>
    <row r="63554">
      <c r="A63554" s="1" t="n">
        <v>63553</v>
      </c>
      <c r="B63554">
        <f>TEXT(63553, "[$-0E0000]yyyy-mm-dd")</f>
        <v/>
      </c>
      <c r="C63554" t="inlineStr">
        <is>
          <t>2073-12-03</t>
        </is>
      </c>
    </row>
    <row r="63555">
      <c r="A63555" s="1" t="n">
        <v>63554</v>
      </c>
      <c r="B63555">
        <f>TEXT(63554, "[$-0E0000]yyyy-mm-dd")</f>
        <v/>
      </c>
      <c r="C63555" t="inlineStr">
        <is>
          <t>2073-12-04</t>
        </is>
      </c>
    </row>
    <row r="63556">
      <c r="A63556" s="1" t="n">
        <v>63555</v>
      </c>
      <c r="B63556">
        <f>TEXT(63555, "[$-0E0000]yyyy-mm-dd")</f>
        <v/>
      </c>
      <c r="C63556" t="inlineStr">
        <is>
          <t>2073-12-05</t>
        </is>
      </c>
    </row>
    <row r="63557">
      <c r="A63557" s="1" t="n">
        <v>63556</v>
      </c>
      <c r="B63557">
        <f>TEXT(63556, "[$-0E0000]yyyy-mm-dd")</f>
        <v/>
      </c>
      <c r="C63557" t="inlineStr">
        <is>
          <t>2073-12-06</t>
        </is>
      </c>
    </row>
    <row r="63558">
      <c r="A63558" s="1" t="n">
        <v>63557</v>
      </c>
      <c r="B63558">
        <f>TEXT(63557, "[$-0E0000]yyyy-mm-dd")</f>
        <v/>
      </c>
      <c r="C63558" t="inlineStr">
        <is>
          <t>2073-12-07</t>
        </is>
      </c>
    </row>
    <row r="63559">
      <c r="A63559" s="1" t="n">
        <v>63558</v>
      </c>
      <c r="B63559">
        <f>TEXT(63558, "[$-0E0000]yyyy-mm-dd")</f>
        <v/>
      </c>
      <c r="C63559" t="inlineStr">
        <is>
          <t>2073-12-08</t>
        </is>
      </c>
    </row>
    <row r="63560">
      <c r="A63560" s="1" t="n">
        <v>63559</v>
      </c>
      <c r="B63560">
        <f>TEXT(63559, "[$-0E0000]yyyy-mm-dd")</f>
        <v/>
      </c>
      <c r="C63560" t="inlineStr">
        <is>
          <t>2073-12-09</t>
        </is>
      </c>
    </row>
    <row r="63561">
      <c r="A63561" s="1" t="n">
        <v>63560</v>
      </c>
      <c r="B63561">
        <f>TEXT(63560, "[$-0E0000]yyyy-mm-dd")</f>
        <v/>
      </c>
      <c r="C63561" t="inlineStr">
        <is>
          <t>2073-12-10</t>
        </is>
      </c>
    </row>
    <row r="63562">
      <c r="A63562" s="1" t="n">
        <v>63561</v>
      </c>
      <c r="B63562">
        <f>TEXT(63561, "[$-0E0000]yyyy-mm-dd")</f>
        <v/>
      </c>
      <c r="C63562" t="inlineStr">
        <is>
          <t>2073-12-11</t>
        </is>
      </c>
    </row>
    <row r="63563">
      <c r="A63563" s="1" t="n">
        <v>63562</v>
      </c>
      <c r="B63563">
        <f>TEXT(63562, "[$-0E0000]yyyy-mm-dd")</f>
        <v/>
      </c>
      <c r="C63563" t="inlineStr">
        <is>
          <t>2073-12-12</t>
        </is>
      </c>
    </row>
    <row r="63564">
      <c r="A63564" s="1" t="n">
        <v>63563</v>
      </c>
      <c r="B63564">
        <f>TEXT(63563, "[$-0E0000]yyyy-mm-dd")</f>
        <v/>
      </c>
      <c r="C63564" t="inlineStr">
        <is>
          <t>2073-12-13</t>
        </is>
      </c>
    </row>
    <row r="63565">
      <c r="A63565" s="1" t="n">
        <v>63564</v>
      </c>
      <c r="B63565">
        <f>TEXT(63564, "[$-0E0000]yyyy-mm-dd")</f>
        <v/>
      </c>
      <c r="C63565" t="inlineStr">
        <is>
          <t>2073-12-14</t>
        </is>
      </c>
    </row>
    <row r="63566">
      <c r="A63566" s="1" t="n">
        <v>63565</v>
      </c>
      <c r="B63566">
        <f>TEXT(63565, "[$-0E0000]yyyy-mm-dd")</f>
        <v/>
      </c>
      <c r="C63566" t="inlineStr">
        <is>
          <t>2073-12-15</t>
        </is>
      </c>
    </row>
    <row r="63567">
      <c r="A63567" s="1" t="n">
        <v>63566</v>
      </c>
      <c r="B63567">
        <f>TEXT(63566, "[$-0E0000]yyyy-mm-dd")</f>
        <v/>
      </c>
      <c r="C63567" t="inlineStr">
        <is>
          <t>2073-12-16</t>
        </is>
      </c>
    </row>
    <row r="63568">
      <c r="A63568" s="1" t="n">
        <v>63567</v>
      </c>
      <c r="B63568">
        <f>TEXT(63567, "[$-0E0000]yyyy-mm-dd")</f>
        <v/>
      </c>
      <c r="C63568" t="inlineStr">
        <is>
          <t>2073-12-17</t>
        </is>
      </c>
    </row>
    <row r="63569">
      <c r="A63569" s="1" t="n">
        <v>63568</v>
      </c>
      <c r="B63569">
        <f>TEXT(63568, "[$-0E0000]yyyy-mm-dd")</f>
        <v/>
      </c>
      <c r="C63569" t="inlineStr">
        <is>
          <t>2073-12-18</t>
        </is>
      </c>
    </row>
    <row r="63570">
      <c r="A63570" s="1" t="n">
        <v>63569</v>
      </c>
      <c r="B63570">
        <f>TEXT(63569, "[$-0E0000]yyyy-mm-dd")</f>
        <v/>
      </c>
      <c r="C63570" t="inlineStr">
        <is>
          <t>2073-12-19</t>
        </is>
      </c>
    </row>
    <row r="63571">
      <c r="A63571" s="1" t="n">
        <v>63570</v>
      </c>
      <c r="B63571">
        <f>TEXT(63570, "[$-0E0000]yyyy-mm-dd")</f>
        <v/>
      </c>
      <c r="C63571" t="inlineStr">
        <is>
          <t>2073-12-20</t>
        </is>
      </c>
    </row>
    <row r="63572">
      <c r="A63572" s="1" t="n">
        <v>63571</v>
      </c>
      <c r="B63572">
        <f>TEXT(63571, "[$-0E0000]yyyy-mm-dd")</f>
        <v/>
      </c>
      <c r="C63572" t="inlineStr">
        <is>
          <t>2073-12-21</t>
        </is>
      </c>
    </row>
    <row r="63573">
      <c r="A63573" s="1" t="n">
        <v>63572</v>
      </c>
      <c r="B63573">
        <f>TEXT(63572, "[$-0E0000]yyyy-mm-dd")</f>
        <v/>
      </c>
      <c r="C63573" t="inlineStr">
        <is>
          <t>2073-12-22</t>
        </is>
      </c>
    </row>
    <row r="63574">
      <c r="A63574" s="1" t="n">
        <v>63573</v>
      </c>
      <c r="B63574">
        <f>TEXT(63573, "[$-0E0000]yyyy-mm-dd")</f>
        <v/>
      </c>
      <c r="C63574" t="inlineStr">
        <is>
          <t>2073-12-23</t>
        </is>
      </c>
    </row>
    <row r="63575">
      <c r="A63575" s="1" t="n">
        <v>63574</v>
      </c>
      <c r="B63575">
        <f>TEXT(63574, "[$-0E0000]yyyy-mm-dd")</f>
        <v/>
      </c>
      <c r="C63575" t="inlineStr">
        <is>
          <t>2073-12-24</t>
        </is>
      </c>
    </row>
    <row r="63576">
      <c r="A63576" s="1" t="n">
        <v>63575</v>
      </c>
      <c r="B63576">
        <f>TEXT(63575, "[$-0E0000]yyyy-mm-dd")</f>
        <v/>
      </c>
      <c r="C63576" t="inlineStr">
        <is>
          <t>2073-12-25</t>
        </is>
      </c>
    </row>
    <row r="63577">
      <c r="A63577" s="1" t="n">
        <v>63576</v>
      </c>
      <c r="B63577">
        <f>TEXT(63576, "[$-0E0000]yyyy-mm-dd")</f>
        <v/>
      </c>
      <c r="C63577" t="inlineStr">
        <is>
          <t>2073-12-26</t>
        </is>
      </c>
    </row>
    <row r="63578">
      <c r="A63578" s="1" t="n">
        <v>63577</v>
      </c>
      <c r="B63578">
        <f>TEXT(63577, "[$-0E0000]yyyy-mm-dd")</f>
        <v/>
      </c>
      <c r="C63578" t="inlineStr">
        <is>
          <t>2073-12-27</t>
        </is>
      </c>
    </row>
    <row r="63579">
      <c r="A63579" s="1" t="n">
        <v>63578</v>
      </c>
      <c r="B63579">
        <f>TEXT(63578, "[$-0E0000]yyyy-mm-dd")</f>
        <v/>
      </c>
      <c r="C63579" t="inlineStr">
        <is>
          <t>2073-12-28</t>
        </is>
      </c>
    </row>
    <row r="63580">
      <c r="A63580" s="1" t="n">
        <v>63579</v>
      </c>
      <c r="B63580">
        <f>TEXT(63579, "[$-0E0000]yyyy-mm-dd")</f>
        <v/>
      </c>
      <c r="C63580" t="inlineStr">
        <is>
          <t>2073-12-29</t>
        </is>
      </c>
    </row>
    <row r="63581">
      <c r="A63581" s="1" t="n">
        <v>63580</v>
      </c>
      <c r="B63581">
        <f>TEXT(63580, "[$-0E0000]yyyy-mm-dd")</f>
        <v/>
      </c>
      <c r="C63581" t="inlineStr">
        <is>
          <t>2074-01-01</t>
        </is>
      </c>
    </row>
    <row r="63582">
      <c r="A63582" s="1" t="n">
        <v>63581</v>
      </c>
      <c r="B63582">
        <f>TEXT(63581, "[$-0E0000]yyyy-mm-dd")</f>
        <v/>
      </c>
      <c r="C63582" t="inlineStr">
        <is>
          <t>2074-01-02</t>
        </is>
      </c>
    </row>
    <row r="63583">
      <c r="A63583" s="1" t="n">
        <v>63582</v>
      </c>
      <c r="B63583">
        <f>TEXT(63582, "[$-0E0000]yyyy-mm-dd")</f>
        <v/>
      </c>
      <c r="C63583" t="inlineStr">
        <is>
          <t>2074-01-03</t>
        </is>
      </c>
    </row>
    <row r="63584">
      <c r="A63584" s="1" t="n">
        <v>63583</v>
      </c>
      <c r="B63584">
        <f>TEXT(63583, "[$-0E0000]yyyy-mm-dd")</f>
        <v/>
      </c>
      <c r="C63584" t="inlineStr">
        <is>
          <t>2074-01-04</t>
        </is>
      </c>
    </row>
    <row r="63585">
      <c r="A63585" s="1" t="n">
        <v>63584</v>
      </c>
      <c r="B63585">
        <f>TEXT(63584, "[$-0E0000]yyyy-mm-dd")</f>
        <v/>
      </c>
      <c r="C63585" t="inlineStr">
        <is>
          <t>2074-01-05</t>
        </is>
      </c>
    </row>
    <row r="63586">
      <c r="A63586" s="1" t="n">
        <v>63585</v>
      </c>
      <c r="B63586">
        <f>TEXT(63585, "[$-0E0000]yyyy-mm-dd")</f>
        <v/>
      </c>
      <c r="C63586" t="inlineStr">
        <is>
          <t>2074-01-06</t>
        </is>
      </c>
    </row>
    <row r="63587">
      <c r="A63587" s="1" t="n">
        <v>63586</v>
      </c>
      <c r="B63587">
        <f>TEXT(63586, "[$-0E0000]yyyy-mm-dd")</f>
        <v/>
      </c>
      <c r="C63587" t="inlineStr">
        <is>
          <t>2074-01-07</t>
        </is>
      </c>
    </row>
    <row r="63588">
      <c r="A63588" s="1" t="n">
        <v>63587</v>
      </c>
      <c r="B63588">
        <f>TEXT(63587, "[$-0E0000]yyyy-mm-dd")</f>
        <v/>
      </c>
      <c r="C63588" t="inlineStr">
        <is>
          <t>2074-01-08</t>
        </is>
      </c>
    </row>
    <row r="63589">
      <c r="A63589" s="1" t="n">
        <v>63588</v>
      </c>
      <c r="B63589">
        <f>TEXT(63588, "[$-0E0000]yyyy-mm-dd")</f>
        <v/>
      </c>
      <c r="C63589" t="inlineStr">
        <is>
          <t>2074-01-09</t>
        </is>
      </c>
    </row>
    <row r="63590">
      <c r="A63590" s="1" t="n">
        <v>63589</v>
      </c>
      <c r="B63590">
        <f>TEXT(63589, "[$-0E0000]yyyy-mm-dd")</f>
        <v/>
      </c>
      <c r="C63590" t="inlineStr">
        <is>
          <t>2074-01-10</t>
        </is>
      </c>
    </row>
    <row r="63591">
      <c r="A63591" s="1" t="n">
        <v>63590</v>
      </c>
      <c r="B63591">
        <f>TEXT(63590, "[$-0E0000]yyyy-mm-dd")</f>
        <v/>
      </c>
      <c r="C63591" t="inlineStr">
        <is>
          <t>2074-01-11</t>
        </is>
      </c>
    </row>
    <row r="63592">
      <c r="A63592" s="1" t="n">
        <v>63591</v>
      </c>
      <c r="B63592">
        <f>TEXT(63591, "[$-0E0000]yyyy-mm-dd")</f>
        <v/>
      </c>
      <c r="C63592" t="inlineStr">
        <is>
          <t>2074-01-12</t>
        </is>
      </c>
    </row>
    <row r="63593">
      <c r="A63593" s="1" t="n">
        <v>63592</v>
      </c>
      <c r="B63593">
        <f>TEXT(63592, "[$-0E0000]yyyy-mm-dd")</f>
        <v/>
      </c>
      <c r="C63593" t="inlineStr">
        <is>
          <t>2074-01-13</t>
        </is>
      </c>
    </row>
    <row r="63594">
      <c r="A63594" s="1" t="n">
        <v>63593</v>
      </c>
      <c r="B63594">
        <f>TEXT(63593, "[$-0E0000]yyyy-mm-dd")</f>
        <v/>
      </c>
      <c r="C63594" t="inlineStr">
        <is>
          <t>2074-01-14</t>
        </is>
      </c>
    </row>
    <row r="63595">
      <c r="A63595" s="1" t="n">
        <v>63594</v>
      </c>
      <c r="B63595">
        <f>TEXT(63594, "[$-0E0000]yyyy-mm-dd")</f>
        <v/>
      </c>
      <c r="C63595" t="inlineStr">
        <is>
          <t>2074-01-15</t>
        </is>
      </c>
    </row>
    <row r="63596">
      <c r="A63596" s="1" t="n">
        <v>63595</v>
      </c>
      <c r="B63596">
        <f>TEXT(63595, "[$-0E0000]yyyy-mm-dd")</f>
        <v/>
      </c>
      <c r="C63596" t="inlineStr">
        <is>
          <t>2074-01-16</t>
        </is>
      </c>
    </row>
    <row r="63597">
      <c r="A63597" s="1" t="n">
        <v>63596</v>
      </c>
      <c r="B63597">
        <f>TEXT(63596, "[$-0E0000]yyyy-mm-dd")</f>
        <v/>
      </c>
      <c r="C63597" t="inlineStr">
        <is>
          <t>2074-01-17</t>
        </is>
      </c>
    </row>
    <row r="63598">
      <c r="A63598" s="1" t="n">
        <v>63597</v>
      </c>
      <c r="B63598">
        <f>TEXT(63597, "[$-0E0000]yyyy-mm-dd")</f>
        <v/>
      </c>
      <c r="C63598" t="inlineStr">
        <is>
          <t>2074-01-18</t>
        </is>
      </c>
    </row>
    <row r="63599">
      <c r="A63599" s="1" t="n">
        <v>63598</v>
      </c>
      <c r="B63599">
        <f>TEXT(63598, "[$-0E0000]yyyy-mm-dd")</f>
        <v/>
      </c>
      <c r="C63599" t="inlineStr">
        <is>
          <t>2074-01-19</t>
        </is>
      </c>
    </row>
    <row r="63600">
      <c r="A63600" s="1" t="n">
        <v>63599</v>
      </c>
      <c r="B63600">
        <f>TEXT(63599, "[$-0E0000]yyyy-mm-dd")</f>
        <v/>
      </c>
      <c r="C63600" t="inlineStr">
        <is>
          <t>2074-01-20</t>
        </is>
      </c>
    </row>
    <row r="63601">
      <c r="A63601" s="1" t="n">
        <v>63600</v>
      </c>
      <c r="B63601">
        <f>TEXT(63600, "[$-0E0000]yyyy-mm-dd")</f>
        <v/>
      </c>
      <c r="C63601" t="inlineStr">
        <is>
          <t>2074-01-21</t>
        </is>
      </c>
    </row>
    <row r="63602">
      <c r="A63602" s="1" t="n">
        <v>63601</v>
      </c>
      <c r="B63602">
        <f>TEXT(63601, "[$-0E0000]yyyy-mm-dd")</f>
        <v/>
      </c>
      <c r="C63602" t="inlineStr">
        <is>
          <t>2074-01-22</t>
        </is>
      </c>
    </row>
    <row r="63603">
      <c r="A63603" s="1" t="n">
        <v>63602</v>
      </c>
      <c r="B63603">
        <f>TEXT(63602, "[$-0E0000]yyyy-mm-dd")</f>
        <v/>
      </c>
      <c r="C63603" t="inlineStr">
        <is>
          <t>2074-01-23</t>
        </is>
      </c>
    </row>
    <row r="63604">
      <c r="A63604" s="1" t="n">
        <v>63603</v>
      </c>
      <c r="B63604">
        <f>TEXT(63603, "[$-0E0000]yyyy-mm-dd")</f>
        <v/>
      </c>
      <c r="C63604" t="inlineStr">
        <is>
          <t>2074-01-24</t>
        </is>
      </c>
    </row>
    <row r="63605">
      <c r="A63605" s="1" t="n">
        <v>63604</v>
      </c>
      <c r="B63605">
        <f>TEXT(63604, "[$-0E0000]yyyy-mm-dd")</f>
        <v/>
      </c>
      <c r="C63605" t="inlineStr">
        <is>
          <t>2074-01-25</t>
        </is>
      </c>
    </row>
    <row r="63606">
      <c r="A63606" s="1" t="n">
        <v>63605</v>
      </c>
      <c r="B63606">
        <f>TEXT(63605, "[$-0E0000]yyyy-mm-dd")</f>
        <v/>
      </c>
      <c r="C63606" t="inlineStr">
        <is>
          <t>2074-01-26</t>
        </is>
      </c>
    </row>
    <row r="63607">
      <c r="A63607" s="1" t="n">
        <v>63606</v>
      </c>
      <c r="B63607">
        <f>TEXT(63606, "[$-0E0000]yyyy-mm-dd")</f>
        <v/>
      </c>
      <c r="C63607" t="inlineStr">
        <is>
          <t>2074-01-27</t>
        </is>
      </c>
    </row>
    <row r="63608">
      <c r="A63608" s="1" t="n">
        <v>63607</v>
      </c>
      <c r="B63608">
        <f>TEXT(63607, "[$-0E0000]yyyy-mm-dd")</f>
        <v/>
      </c>
      <c r="C63608" t="inlineStr">
        <is>
          <t>2074-01-28</t>
        </is>
      </c>
    </row>
    <row r="63609">
      <c r="A63609" s="1" t="n">
        <v>63608</v>
      </c>
      <c r="B63609">
        <f>TEXT(63608, "[$-0E0000]yyyy-mm-dd")</f>
        <v/>
      </c>
      <c r="C63609" t="inlineStr">
        <is>
          <t>2074-01-29</t>
        </is>
      </c>
    </row>
    <row r="63610">
      <c r="A63610" s="1" t="n">
        <v>63609</v>
      </c>
      <c r="B63610">
        <f>TEXT(63609, "[$-0E0000]yyyy-mm-dd")</f>
        <v/>
      </c>
      <c r="C63610" t="inlineStr">
        <is>
          <t>2074-01-30</t>
        </is>
      </c>
    </row>
    <row r="63611">
      <c r="A63611" s="1" t="n">
        <v>63610</v>
      </c>
      <c r="B63611">
        <f>TEXT(63610, "[$-0E0000]yyyy-mm-dd")</f>
        <v/>
      </c>
      <c r="C63611" t="inlineStr">
        <is>
          <t>2074-02-01</t>
        </is>
      </c>
    </row>
    <row r="63612">
      <c r="A63612" s="1" t="n">
        <v>63611</v>
      </c>
      <c r="B63612">
        <f>TEXT(63611, "[$-0E0000]yyyy-mm-dd")</f>
        <v/>
      </c>
      <c r="C63612" t="inlineStr">
        <is>
          <t>2074-02-02</t>
        </is>
      </c>
    </row>
    <row r="63613">
      <c r="A63613" s="1" t="n">
        <v>63612</v>
      </c>
      <c r="B63613">
        <f>TEXT(63612, "[$-0E0000]yyyy-mm-dd")</f>
        <v/>
      </c>
      <c r="C63613" t="inlineStr">
        <is>
          <t>2074-02-03</t>
        </is>
      </c>
    </row>
    <row r="63614">
      <c r="A63614" s="1" t="n">
        <v>63613</v>
      </c>
      <c r="B63614">
        <f>TEXT(63613, "[$-0E0000]yyyy-mm-dd")</f>
        <v/>
      </c>
      <c r="C63614" t="inlineStr">
        <is>
          <t>2074-02-04</t>
        </is>
      </c>
    </row>
    <row r="63615">
      <c r="A63615" s="1" t="n">
        <v>63614</v>
      </c>
      <c r="B63615">
        <f>TEXT(63614, "[$-0E0000]yyyy-mm-dd")</f>
        <v/>
      </c>
      <c r="C63615" t="inlineStr">
        <is>
          <t>2074-02-05</t>
        </is>
      </c>
    </row>
    <row r="63616">
      <c r="A63616" s="1" t="n">
        <v>63615</v>
      </c>
      <c r="B63616">
        <f>TEXT(63615, "[$-0E0000]yyyy-mm-dd")</f>
        <v/>
      </c>
      <c r="C63616" t="inlineStr">
        <is>
          <t>2074-02-06</t>
        </is>
      </c>
    </row>
    <row r="63617">
      <c r="A63617" s="1" t="n">
        <v>63616</v>
      </c>
      <c r="B63617">
        <f>TEXT(63616, "[$-0E0000]yyyy-mm-dd")</f>
        <v/>
      </c>
      <c r="C63617" t="inlineStr">
        <is>
          <t>2074-02-07</t>
        </is>
      </c>
    </row>
    <row r="63618">
      <c r="A63618" s="1" t="n">
        <v>63617</v>
      </c>
      <c r="B63618">
        <f>TEXT(63617, "[$-0E0000]yyyy-mm-dd")</f>
        <v/>
      </c>
      <c r="C63618" t="inlineStr">
        <is>
          <t>2074-02-08</t>
        </is>
      </c>
    </row>
    <row r="63619">
      <c r="A63619" s="1" t="n">
        <v>63618</v>
      </c>
      <c r="B63619">
        <f>TEXT(63618, "[$-0E0000]yyyy-mm-dd")</f>
        <v/>
      </c>
      <c r="C63619" t="inlineStr">
        <is>
          <t>2074-02-09</t>
        </is>
      </c>
    </row>
    <row r="63620">
      <c r="A63620" s="1" t="n">
        <v>63619</v>
      </c>
      <c r="B63620">
        <f>TEXT(63619, "[$-0E0000]yyyy-mm-dd")</f>
        <v/>
      </c>
      <c r="C63620" t="inlineStr">
        <is>
          <t>2074-02-10</t>
        </is>
      </c>
    </row>
    <row r="63621">
      <c r="A63621" s="1" t="n">
        <v>63620</v>
      </c>
      <c r="B63621">
        <f>TEXT(63620, "[$-0E0000]yyyy-mm-dd")</f>
        <v/>
      </c>
      <c r="C63621" t="inlineStr">
        <is>
          <t>2074-02-11</t>
        </is>
      </c>
    </row>
    <row r="63622">
      <c r="A63622" s="1" t="n">
        <v>63621</v>
      </c>
      <c r="B63622">
        <f>TEXT(63621, "[$-0E0000]yyyy-mm-dd")</f>
        <v/>
      </c>
      <c r="C63622" t="inlineStr">
        <is>
          <t>2074-02-12</t>
        </is>
      </c>
    </row>
    <row r="63623">
      <c r="A63623" s="1" t="n">
        <v>63622</v>
      </c>
      <c r="B63623">
        <f>TEXT(63622, "[$-0E0000]yyyy-mm-dd")</f>
        <v/>
      </c>
      <c r="C63623" t="inlineStr">
        <is>
          <t>2074-02-13</t>
        </is>
      </c>
    </row>
    <row r="63624">
      <c r="A63624" s="1" t="n">
        <v>63623</v>
      </c>
      <c r="B63624">
        <f>TEXT(63623, "[$-0E0000]yyyy-mm-dd")</f>
        <v/>
      </c>
      <c r="C63624" t="inlineStr">
        <is>
          <t>2074-02-14</t>
        </is>
      </c>
    </row>
    <row r="63625">
      <c r="A63625" s="1" t="n">
        <v>63624</v>
      </c>
      <c r="B63625">
        <f>TEXT(63624, "[$-0E0000]yyyy-mm-dd")</f>
        <v/>
      </c>
      <c r="C63625" t="inlineStr">
        <is>
          <t>2074-02-15</t>
        </is>
      </c>
    </row>
    <row r="63626">
      <c r="A63626" s="1" t="n">
        <v>63625</v>
      </c>
      <c r="B63626">
        <f>TEXT(63625, "[$-0E0000]yyyy-mm-dd")</f>
        <v/>
      </c>
      <c r="C63626" t="inlineStr">
        <is>
          <t>2074-02-16</t>
        </is>
      </c>
    </row>
    <row r="63627">
      <c r="A63627" s="1" t="n">
        <v>63626</v>
      </c>
      <c r="B63627">
        <f>TEXT(63626, "[$-0E0000]yyyy-mm-dd")</f>
        <v/>
      </c>
      <c r="C63627" t="inlineStr">
        <is>
          <t>2074-02-17</t>
        </is>
      </c>
    </row>
    <row r="63628">
      <c r="A63628" s="1" t="n">
        <v>63627</v>
      </c>
      <c r="B63628">
        <f>TEXT(63627, "[$-0E0000]yyyy-mm-dd")</f>
        <v/>
      </c>
      <c r="C63628" t="inlineStr">
        <is>
          <t>2074-02-18</t>
        </is>
      </c>
    </row>
    <row r="63629">
      <c r="A63629" s="1" t="n">
        <v>63628</v>
      </c>
      <c r="B63629">
        <f>TEXT(63628, "[$-0E0000]yyyy-mm-dd")</f>
        <v/>
      </c>
      <c r="C63629" t="inlineStr">
        <is>
          <t>2074-02-19</t>
        </is>
      </c>
    </row>
    <row r="63630">
      <c r="A63630" s="1" t="n">
        <v>63629</v>
      </c>
      <c r="B63630">
        <f>TEXT(63629, "[$-0E0000]yyyy-mm-dd")</f>
        <v/>
      </c>
      <c r="C63630" t="inlineStr">
        <is>
          <t>2074-02-20</t>
        </is>
      </c>
    </row>
    <row r="63631">
      <c r="A63631" s="1" t="n">
        <v>63630</v>
      </c>
      <c r="B63631">
        <f>TEXT(63630, "[$-0E0000]yyyy-mm-dd")</f>
        <v/>
      </c>
      <c r="C63631" t="inlineStr">
        <is>
          <t>2074-02-21</t>
        </is>
      </c>
    </row>
    <row r="63632">
      <c r="A63632" s="1" t="n">
        <v>63631</v>
      </c>
      <c r="B63632">
        <f>TEXT(63631, "[$-0E0000]yyyy-mm-dd")</f>
        <v/>
      </c>
      <c r="C63632" t="inlineStr">
        <is>
          <t>2074-02-22</t>
        </is>
      </c>
    </row>
    <row r="63633">
      <c r="A63633" s="1" t="n">
        <v>63632</v>
      </c>
      <c r="B63633">
        <f>TEXT(63632, "[$-0E0000]yyyy-mm-dd")</f>
        <v/>
      </c>
      <c r="C63633" t="inlineStr">
        <is>
          <t>2074-02-23</t>
        </is>
      </c>
    </row>
    <row r="63634">
      <c r="A63634" s="1" t="n">
        <v>63633</v>
      </c>
      <c r="B63634">
        <f>TEXT(63633, "[$-0E0000]yyyy-mm-dd")</f>
        <v/>
      </c>
      <c r="C63634" t="inlineStr">
        <is>
          <t>2074-02-24</t>
        </is>
      </c>
    </row>
    <row r="63635">
      <c r="A63635" s="1" t="n">
        <v>63634</v>
      </c>
      <c r="B63635">
        <f>TEXT(63634, "[$-0E0000]yyyy-mm-dd")</f>
        <v/>
      </c>
      <c r="C63635" t="inlineStr">
        <is>
          <t>2074-02-25</t>
        </is>
      </c>
    </row>
    <row r="63636">
      <c r="A63636" s="1" t="n">
        <v>63635</v>
      </c>
      <c r="B63636">
        <f>TEXT(63635, "[$-0E0000]yyyy-mm-dd")</f>
        <v/>
      </c>
      <c r="C63636" t="inlineStr">
        <is>
          <t>2074-02-26</t>
        </is>
      </c>
    </row>
    <row r="63637">
      <c r="A63637" s="1" t="n">
        <v>63636</v>
      </c>
      <c r="B63637">
        <f>TEXT(63636, "[$-0E0000]yyyy-mm-dd")</f>
        <v/>
      </c>
      <c r="C63637" t="inlineStr">
        <is>
          <t>2074-02-27</t>
        </is>
      </c>
    </row>
    <row r="63638">
      <c r="A63638" s="1" t="n">
        <v>63637</v>
      </c>
      <c r="B63638">
        <f>TEXT(63637, "[$-0E0000]yyyy-mm-dd")</f>
        <v/>
      </c>
      <c r="C63638" t="inlineStr">
        <is>
          <t>2074-02-28</t>
        </is>
      </c>
    </row>
    <row r="63639">
      <c r="A63639" s="1" t="n">
        <v>63638</v>
      </c>
      <c r="B63639">
        <f>TEXT(63638, "[$-0E0000]yyyy-mm-dd")</f>
        <v/>
      </c>
      <c r="C63639" t="inlineStr">
        <is>
          <t>2074-02-29</t>
        </is>
      </c>
    </row>
    <row r="63640">
      <c r="A63640" s="1" t="n">
        <v>63639</v>
      </c>
      <c r="B63640">
        <f>TEXT(63639, "[$-0E0000]yyyy-mm-dd")</f>
        <v/>
      </c>
      <c r="C63640" t="inlineStr">
        <is>
          <t>2074-03-01</t>
        </is>
      </c>
    </row>
    <row r="63641">
      <c r="A63641" s="1" t="n">
        <v>63640</v>
      </c>
      <c r="B63641">
        <f>TEXT(63640, "[$-0E0000]yyyy-mm-dd")</f>
        <v/>
      </c>
      <c r="C63641" t="inlineStr">
        <is>
          <t>2074-03-02</t>
        </is>
      </c>
    </row>
    <row r="63642">
      <c r="A63642" s="1" t="n">
        <v>63641</v>
      </c>
      <c r="B63642">
        <f>TEXT(63641, "[$-0E0000]yyyy-mm-dd")</f>
        <v/>
      </c>
      <c r="C63642" t="inlineStr">
        <is>
          <t>2074-03-03</t>
        </is>
      </c>
    </row>
    <row r="63643">
      <c r="A63643" s="1" t="n">
        <v>63642</v>
      </c>
      <c r="B63643">
        <f>TEXT(63642, "[$-0E0000]yyyy-mm-dd")</f>
        <v/>
      </c>
      <c r="C63643" t="inlineStr">
        <is>
          <t>2074-03-04</t>
        </is>
      </c>
    </row>
    <row r="63644">
      <c r="A63644" s="1" t="n">
        <v>63643</v>
      </c>
      <c r="B63644">
        <f>TEXT(63643, "[$-0E0000]yyyy-mm-dd")</f>
        <v/>
      </c>
      <c r="C63644" t="inlineStr">
        <is>
          <t>2074-03-05</t>
        </is>
      </c>
    </row>
    <row r="63645">
      <c r="A63645" s="1" t="n">
        <v>63644</v>
      </c>
      <c r="B63645">
        <f>TEXT(63644, "[$-0E0000]yyyy-mm-dd")</f>
        <v/>
      </c>
      <c r="C63645" t="inlineStr">
        <is>
          <t>2074-03-06</t>
        </is>
      </c>
    </row>
    <row r="63646">
      <c r="A63646" s="1" t="n">
        <v>63645</v>
      </c>
      <c r="B63646">
        <f>TEXT(63645, "[$-0E0000]yyyy-mm-dd")</f>
        <v/>
      </c>
      <c r="C63646" t="inlineStr">
        <is>
          <t>2074-03-07</t>
        </is>
      </c>
    </row>
    <row r="63647">
      <c r="A63647" s="1" t="n">
        <v>63646</v>
      </c>
      <c r="B63647">
        <f>TEXT(63646, "[$-0E0000]yyyy-mm-dd")</f>
        <v/>
      </c>
      <c r="C63647" t="inlineStr">
        <is>
          <t>2074-03-08</t>
        </is>
      </c>
    </row>
    <row r="63648">
      <c r="A63648" s="1" t="n">
        <v>63647</v>
      </c>
      <c r="B63648">
        <f>TEXT(63647, "[$-0E0000]yyyy-mm-dd")</f>
        <v/>
      </c>
      <c r="C63648" t="inlineStr">
        <is>
          <t>2074-03-09</t>
        </is>
      </c>
    </row>
    <row r="63649">
      <c r="A63649" s="1" t="n">
        <v>63648</v>
      </c>
      <c r="B63649">
        <f>TEXT(63648, "[$-0E0000]yyyy-mm-dd")</f>
        <v/>
      </c>
      <c r="C63649" t="inlineStr">
        <is>
          <t>2074-03-10</t>
        </is>
      </c>
    </row>
    <row r="63650">
      <c r="A63650" s="1" t="n">
        <v>63649</v>
      </c>
      <c r="B63650">
        <f>TEXT(63649, "[$-0E0000]yyyy-mm-dd")</f>
        <v/>
      </c>
      <c r="C63650" t="inlineStr">
        <is>
          <t>2074-03-11</t>
        </is>
      </c>
    </row>
    <row r="63651">
      <c r="A63651" s="1" t="n">
        <v>63650</v>
      </c>
      <c r="B63651">
        <f>TEXT(63650, "[$-0E0000]yyyy-mm-dd")</f>
        <v/>
      </c>
      <c r="C63651" t="inlineStr">
        <is>
          <t>2074-03-12</t>
        </is>
      </c>
    </row>
    <row r="63652">
      <c r="A63652" s="1" t="n">
        <v>63651</v>
      </c>
      <c r="B63652">
        <f>TEXT(63651, "[$-0E0000]yyyy-mm-dd")</f>
        <v/>
      </c>
      <c r="C63652" t="inlineStr">
        <is>
          <t>2074-03-13</t>
        </is>
      </c>
    </row>
    <row r="63653">
      <c r="A63653" s="1" t="n">
        <v>63652</v>
      </c>
      <c r="B63653">
        <f>TEXT(63652, "[$-0E0000]yyyy-mm-dd")</f>
        <v/>
      </c>
      <c r="C63653" t="inlineStr">
        <is>
          <t>2074-03-14</t>
        </is>
      </c>
    </row>
    <row r="63654">
      <c r="A63654" s="1" t="n">
        <v>63653</v>
      </c>
      <c r="B63654">
        <f>TEXT(63653, "[$-0E0000]yyyy-mm-dd")</f>
        <v/>
      </c>
      <c r="C63654" t="inlineStr">
        <is>
          <t>2074-03-15</t>
        </is>
      </c>
    </row>
    <row r="63655">
      <c r="A63655" s="1" t="n">
        <v>63654</v>
      </c>
      <c r="B63655">
        <f>TEXT(63654, "[$-0E0000]yyyy-mm-dd")</f>
        <v/>
      </c>
      <c r="C63655" t="inlineStr">
        <is>
          <t>2074-03-16</t>
        </is>
      </c>
    </row>
    <row r="63656">
      <c r="A63656" s="1" t="n">
        <v>63655</v>
      </c>
      <c r="B63656">
        <f>TEXT(63655, "[$-0E0000]yyyy-mm-dd")</f>
        <v/>
      </c>
      <c r="C63656" t="inlineStr">
        <is>
          <t>2074-03-17</t>
        </is>
      </c>
    </row>
    <row r="63657">
      <c r="A63657" s="1" t="n">
        <v>63656</v>
      </c>
      <c r="B63657">
        <f>TEXT(63656, "[$-0E0000]yyyy-mm-dd")</f>
        <v/>
      </c>
      <c r="C63657" t="inlineStr">
        <is>
          <t>2074-03-18</t>
        </is>
      </c>
    </row>
    <row r="63658">
      <c r="A63658" s="1" t="n">
        <v>63657</v>
      </c>
      <c r="B63658">
        <f>TEXT(63657, "[$-0E0000]yyyy-mm-dd")</f>
        <v/>
      </c>
      <c r="C63658" t="inlineStr">
        <is>
          <t>2074-03-19</t>
        </is>
      </c>
    </row>
    <row r="63659">
      <c r="A63659" s="1" t="n">
        <v>63658</v>
      </c>
      <c r="B63659">
        <f>TEXT(63658, "[$-0E0000]yyyy-mm-dd")</f>
        <v/>
      </c>
      <c r="C63659" t="inlineStr">
        <is>
          <t>2074-03-20</t>
        </is>
      </c>
    </row>
    <row r="63660">
      <c r="A63660" s="1" t="n">
        <v>63659</v>
      </c>
      <c r="B63660">
        <f>TEXT(63659, "[$-0E0000]yyyy-mm-dd")</f>
        <v/>
      </c>
      <c r="C63660" t="inlineStr">
        <is>
          <t>2074-03-21</t>
        </is>
      </c>
    </row>
    <row r="63661">
      <c r="A63661" s="1" t="n">
        <v>63660</v>
      </c>
      <c r="B63661">
        <f>TEXT(63660, "[$-0E0000]yyyy-mm-dd")</f>
        <v/>
      </c>
      <c r="C63661" t="inlineStr">
        <is>
          <t>2074-03-22</t>
        </is>
      </c>
    </row>
    <row r="63662">
      <c r="A63662" s="1" t="n">
        <v>63661</v>
      </c>
      <c r="B63662">
        <f>TEXT(63661, "[$-0E0000]yyyy-mm-dd")</f>
        <v/>
      </c>
      <c r="C63662" t="inlineStr">
        <is>
          <t>2074-03-23</t>
        </is>
      </c>
    </row>
    <row r="63663">
      <c r="A63663" s="1" t="n">
        <v>63662</v>
      </c>
      <c r="B63663">
        <f>TEXT(63662, "[$-0E0000]yyyy-mm-dd")</f>
        <v/>
      </c>
      <c r="C63663" t="inlineStr">
        <is>
          <t>2074-03-24</t>
        </is>
      </c>
    </row>
    <row r="63664">
      <c r="A63664" s="1" t="n">
        <v>63663</v>
      </c>
      <c r="B63664">
        <f>TEXT(63663, "[$-0E0000]yyyy-mm-dd")</f>
        <v/>
      </c>
      <c r="C63664" t="inlineStr">
        <is>
          <t>2074-03-25</t>
        </is>
      </c>
    </row>
    <row r="63665">
      <c r="A63665" s="1" t="n">
        <v>63664</v>
      </c>
      <c r="B63665">
        <f>TEXT(63664, "[$-0E0000]yyyy-mm-dd")</f>
        <v/>
      </c>
      <c r="C63665" t="inlineStr">
        <is>
          <t>2074-03-26</t>
        </is>
      </c>
    </row>
    <row r="63666">
      <c r="A63666" s="1" t="n">
        <v>63665</v>
      </c>
      <c r="B63666">
        <f>TEXT(63665, "[$-0E0000]yyyy-mm-dd")</f>
        <v/>
      </c>
      <c r="C63666" t="inlineStr">
        <is>
          <t>2074-03-27</t>
        </is>
      </c>
    </row>
    <row r="63667">
      <c r="A63667" s="1" t="n">
        <v>63666</v>
      </c>
      <c r="B63667">
        <f>TEXT(63666, "[$-0E0000]yyyy-mm-dd")</f>
        <v/>
      </c>
      <c r="C63667" t="inlineStr">
        <is>
          <t>2074-03-28</t>
        </is>
      </c>
    </row>
    <row r="63668">
      <c r="A63668" s="1" t="n">
        <v>63667</v>
      </c>
      <c r="B63668">
        <f>TEXT(63667, "[$-0E0000]yyyy-mm-dd")</f>
        <v/>
      </c>
      <c r="C63668" t="inlineStr">
        <is>
          <t>2074-03-29</t>
        </is>
      </c>
    </row>
    <row r="63669">
      <c r="A63669" s="1" t="n">
        <v>63668</v>
      </c>
      <c r="B63669">
        <f>TEXT(63668, "[$-0E0000]yyyy-mm-dd")</f>
        <v/>
      </c>
      <c r="C63669" t="inlineStr">
        <is>
          <t>2074-03-30</t>
        </is>
      </c>
    </row>
    <row r="63670">
      <c r="A63670" s="1" t="n">
        <v>63669</v>
      </c>
      <c r="B63670">
        <f>TEXT(63669, "[$-0E0000]yyyy-mm-dd")</f>
        <v/>
      </c>
      <c r="C63670" t="inlineStr">
        <is>
          <t>2074-04-01</t>
        </is>
      </c>
    </row>
    <row r="63671">
      <c r="A63671" s="1" t="n">
        <v>63670</v>
      </c>
      <c r="B63671">
        <f>TEXT(63670, "[$-0E0000]yyyy-mm-dd")</f>
        <v/>
      </c>
      <c r="C63671" t="inlineStr">
        <is>
          <t>2074-04-02</t>
        </is>
      </c>
    </row>
    <row r="63672">
      <c r="A63672" s="1" t="n">
        <v>63671</v>
      </c>
      <c r="B63672">
        <f>TEXT(63671, "[$-0E0000]yyyy-mm-dd")</f>
        <v/>
      </c>
      <c r="C63672" t="inlineStr">
        <is>
          <t>2074-04-03</t>
        </is>
      </c>
    </row>
    <row r="63673">
      <c r="A63673" s="1" t="n">
        <v>63672</v>
      </c>
      <c r="B63673">
        <f>TEXT(63672, "[$-0E0000]yyyy-mm-dd")</f>
        <v/>
      </c>
      <c r="C63673" t="inlineStr">
        <is>
          <t>2074-04-04</t>
        </is>
      </c>
    </row>
    <row r="63674">
      <c r="A63674" s="1" t="n">
        <v>63673</v>
      </c>
      <c r="B63674">
        <f>TEXT(63673, "[$-0E0000]yyyy-mm-dd")</f>
        <v/>
      </c>
      <c r="C63674" t="inlineStr">
        <is>
          <t>2074-04-05</t>
        </is>
      </c>
    </row>
    <row r="63675">
      <c r="A63675" s="1" t="n">
        <v>63674</v>
      </c>
      <c r="B63675">
        <f>TEXT(63674, "[$-0E0000]yyyy-mm-dd")</f>
        <v/>
      </c>
      <c r="C63675" t="inlineStr">
        <is>
          <t>2074-04-06</t>
        </is>
      </c>
    </row>
    <row r="63676">
      <c r="A63676" s="1" t="n">
        <v>63675</v>
      </c>
      <c r="B63676">
        <f>TEXT(63675, "[$-0E0000]yyyy-mm-dd")</f>
        <v/>
      </c>
      <c r="C63676" t="inlineStr">
        <is>
          <t>2074-04-07</t>
        </is>
      </c>
    </row>
    <row r="63677">
      <c r="A63677" s="1" t="n">
        <v>63676</v>
      </c>
      <c r="B63677">
        <f>TEXT(63676, "[$-0E0000]yyyy-mm-dd")</f>
        <v/>
      </c>
      <c r="C63677" t="inlineStr">
        <is>
          <t>2074-04-08</t>
        </is>
      </c>
    </row>
    <row r="63678">
      <c r="A63678" s="1" t="n">
        <v>63677</v>
      </c>
      <c r="B63678">
        <f>TEXT(63677, "[$-0E0000]yyyy-mm-dd")</f>
        <v/>
      </c>
      <c r="C63678" t="inlineStr">
        <is>
          <t>2074-04-09</t>
        </is>
      </c>
    </row>
    <row r="63679">
      <c r="A63679" s="1" t="n">
        <v>63678</v>
      </c>
      <c r="B63679">
        <f>TEXT(63678, "[$-0E0000]yyyy-mm-dd")</f>
        <v/>
      </c>
      <c r="C63679" t="inlineStr">
        <is>
          <t>2074-04-10</t>
        </is>
      </c>
    </row>
    <row r="63680">
      <c r="A63680" s="1" t="n">
        <v>63679</v>
      </c>
      <c r="B63680">
        <f>TEXT(63679, "[$-0E0000]yyyy-mm-dd")</f>
        <v/>
      </c>
      <c r="C63680" t="inlineStr">
        <is>
          <t>2074-04-11</t>
        </is>
      </c>
    </row>
    <row r="63681">
      <c r="A63681" s="1" t="n">
        <v>63680</v>
      </c>
      <c r="B63681">
        <f>TEXT(63680, "[$-0E0000]yyyy-mm-dd")</f>
        <v/>
      </c>
      <c r="C63681" t="inlineStr">
        <is>
          <t>2074-04-12</t>
        </is>
      </c>
    </row>
    <row r="63682">
      <c r="A63682" s="1" t="n">
        <v>63681</v>
      </c>
      <c r="B63682">
        <f>TEXT(63681, "[$-0E0000]yyyy-mm-dd")</f>
        <v/>
      </c>
      <c r="C63682" t="inlineStr">
        <is>
          <t>2074-04-13</t>
        </is>
      </c>
    </row>
    <row r="63683">
      <c r="A63683" s="1" t="n">
        <v>63682</v>
      </c>
      <c r="B63683">
        <f>TEXT(63682, "[$-0E0000]yyyy-mm-dd")</f>
        <v/>
      </c>
      <c r="C63683" t="inlineStr">
        <is>
          <t>2074-04-14</t>
        </is>
      </c>
    </row>
    <row r="63684">
      <c r="A63684" s="1" t="n">
        <v>63683</v>
      </c>
      <c r="B63684">
        <f>TEXT(63683, "[$-0E0000]yyyy-mm-dd")</f>
        <v/>
      </c>
      <c r="C63684" t="inlineStr">
        <is>
          <t>2074-04-15</t>
        </is>
      </c>
    </row>
    <row r="63685">
      <c r="A63685" s="1" t="n">
        <v>63684</v>
      </c>
      <c r="B63685">
        <f>TEXT(63684, "[$-0E0000]yyyy-mm-dd")</f>
        <v/>
      </c>
      <c r="C63685" t="inlineStr">
        <is>
          <t>2074-04-16</t>
        </is>
      </c>
    </row>
    <row r="63686">
      <c r="A63686" s="1" t="n">
        <v>63685</v>
      </c>
      <c r="B63686">
        <f>TEXT(63685, "[$-0E0000]yyyy-mm-dd")</f>
        <v/>
      </c>
      <c r="C63686" t="inlineStr">
        <is>
          <t>2074-04-17</t>
        </is>
      </c>
    </row>
    <row r="63687">
      <c r="A63687" s="1" t="n">
        <v>63686</v>
      </c>
      <c r="B63687">
        <f>TEXT(63686, "[$-0E0000]yyyy-mm-dd")</f>
        <v/>
      </c>
      <c r="C63687" t="inlineStr">
        <is>
          <t>2074-04-18</t>
        </is>
      </c>
    </row>
    <row r="63688">
      <c r="A63688" s="1" t="n">
        <v>63687</v>
      </c>
      <c r="B63688">
        <f>TEXT(63687, "[$-0E0000]yyyy-mm-dd")</f>
        <v/>
      </c>
      <c r="C63688" t="inlineStr">
        <is>
          <t>2074-04-19</t>
        </is>
      </c>
    </row>
    <row r="63689">
      <c r="A63689" s="1" t="n">
        <v>63688</v>
      </c>
      <c r="B63689">
        <f>TEXT(63688, "[$-0E0000]yyyy-mm-dd")</f>
        <v/>
      </c>
      <c r="C63689" t="inlineStr">
        <is>
          <t>2074-04-20</t>
        </is>
      </c>
    </row>
    <row r="63690">
      <c r="A63690" s="1" t="n">
        <v>63689</v>
      </c>
      <c r="B63690">
        <f>TEXT(63689, "[$-0E0000]yyyy-mm-dd")</f>
        <v/>
      </c>
      <c r="C63690" t="inlineStr">
        <is>
          <t>2074-04-21</t>
        </is>
      </c>
    </row>
    <row r="63691">
      <c r="A63691" s="1" t="n">
        <v>63690</v>
      </c>
      <c r="B63691">
        <f>TEXT(63690, "[$-0E0000]yyyy-mm-dd")</f>
        <v/>
      </c>
      <c r="C63691" t="inlineStr">
        <is>
          <t>2074-04-22</t>
        </is>
      </c>
    </row>
    <row r="63692">
      <c r="A63692" s="1" t="n">
        <v>63691</v>
      </c>
      <c r="B63692">
        <f>TEXT(63691, "[$-0E0000]yyyy-mm-dd")</f>
        <v/>
      </c>
      <c r="C63692" t="inlineStr">
        <is>
          <t>2074-04-23</t>
        </is>
      </c>
    </row>
    <row r="63693">
      <c r="A63693" s="1" t="n">
        <v>63692</v>
      </c>
      <c r="B63693">
        <f>TEXT(63692, "[$-0E0000]yyyy-mm-dd")</f>
        <v/>
      </c>
      <c r="C63693" t="inlineStr">
        <is>
          <t>2074-04-24</t>
        </is>
      </c>
    </row>
    <row r="63694">
      <c r="A63694" s="1" t="n">
        <v>63693</v>
      </c>
      <c r="B63694">
        <f>TEXT(63693, "[$-0E0000]yyyy-mm-dd")</f>
        <v/>
      </c>
      <c r="C63694" t="inlineStr">
        <is>
          <t>2074-04-25</t>
        </is>
      </c>
    </row>
    <row r="63695">
      <c r="A63695" s="1" t="n">
        <v>63694</v>
      </c>
      <c r="B63695">
        <f>TEXT(63694, "[$-0E0000]yyyy-mm-dd")</f>
        <v/>
      </c>
      <c r="C63695" t="inlineStr">
        <is>
          <t>2074-04-26</t>
        </is>
      </c>
    </row>
    <row r="63696">
      <c r="A63696" s="1" t="n">
        <v>63695</v>
      </c>
      <c r="B63696">
        <f>TEXT(63695, "[$-0E0000]yyyy-mm-dd")</f>
        <v/>
      </c>
      <c r="C63696" t="inlineStr">
        <is>
          <t>2074-04-27</t>
        </is>
      </c>
    </row>
    <row r="63697">
      <c r="A63697" s="1" t="n">
        <v>63696</v>
      </c>
      <c r="B63697">
        <f>TEXT(63696, "[$-0E0000]yyyy-mm-dd")</f>
        <v/>
      </c>
      <c r="C63697" t="inlineStr">
        <is>
          <t>2074-04-28</t>
        </is>
      </c>
    </row>
    <row r="63698">
      <c r="A63698" s="1" t="n">
        <v>63697</v>
      </c>
      <c r="B63698">
        <f>TEXT(63697, "[$-0E0000]yyyy-mm-dd")</f>
        <v/>
      </c>
      <c r="C63698" t="inlineStr">
        <is>
          <t>2074-04-29</t>
        </is>
      </c>
    </row>
    <row r="63699">
      <c r="A63699" s="1" t="n">
        <v>63698</v>
      </c>
      <c r="B63699">
        <f>TEXT(63698, "[$-0E0000]yyyy-mm-dd")</f>
        <v/>
      </c>
      <c r="C63699" t="inlineStr">
        <is>
          <t>2074-04-30</t>
        </is>
      </c>
    </row>
    <row r="63700">
      <c r="A63700" s="1" t="n">
        <v>63699</v>
      </c>
      <c r="B63700">
        <f>TEXT(63699, "[$-0E0000]yyyy-mm-dd")</f>
        <v/>
      </c>
      <c r="C63700" t="inlineStr">
        <is>
          <t>2074-05-01</t>
        </is>
      </c>
    </row>
    <row r="63701">
      <c r="A63701" s="1" t="n">
        <v>63700</v>
      </c>
      <c r="B63701">
        <f>TEXT(63700, "[$-0E0000]yyyy-mm-dd")</f>
        <v/>
      </c>
      <c r="C63701" t="inlineStr">
        <is>
          <t>2074-05-02</t>
        </is>
      </c>
    </row>
    <row r="63702">
      <c r="A63702" s="1" t="n">
        <v>63701</v>
      </c>
      <c r="B63702">
        <f>TEXT(63701, "[$-0E0000]yyyy-mm-dd")</f>
        <v/>
      </c>
      <c r="C63702" t="inlineStr">
        <is>
          <t>2074-05-03</t>
        </is>
      </c>
    </row>
    <row r="63703">
      <c r="A63703" s="1" t="n">
        <v>63702</v>
      </c>
      <c r="B63703">
        <f>TEXT(63702, "[$-0E0000]yyyy-mm-dd")</f>
        <v/>
      </c>
      <c r="C63703" t="inlineStr">
        <is>
          <t>2074-05-04</t>
        </is>
      </c>
    </row>
    <row r="63704">
      <c r="A63704" s="1" t="n">
        <v>63703</v>
      </c>
      <c r="B63704">
        <f>TEXT(63703, "[$-0E0000]yyyy-mm-dd")</f>
        <v/>
      </c>
      <c r="C63704" t="inlineStr">
        <is>
          <t>2074-05-05</t>
        </is>
      </c>
    </row>
    <row r="63705">
      <c r="A63705" s="1" t="n">
        <v>63704</v>
      </c>
      <c r="B63705">
        <f>TEXT(63704, "[$-0E0000]yyyy-mm-dd")</f>
        <v/>
      </c>
      <c r="C63705" t="inlineStr">
        <is>
          <t>2074-05-06</t>
        </is>
      </c>
    </row>
    <row r="63706">
      <c r="A63706" s="1" t="n">
        <v>63705</v>
      </c>
      <c r="B63706">
        <f>TEXT(63705, "[$-0E0000]yyyy-mm-dd")</f>
        <v/>
      </c>
      <c r="C63706" t="inlineStr">
        <is>
          <t>2074-05-07</t>
        </is>
      </c>
    </row>
    <row r="63707">
      <c r="A63707" s="1" t="n">
        <v>63706</v>
      </c>
      <c r="B63707">
        <f>TEXT(63706, "[$-0E0000]yyyy-mm-dd")</f>
        <v/>
      </c>
      <c r="C63707" t="inlineStr">
        <is>
          <t>2074-05-08</t>
        </is>
      </c>
    </row>
    <row r="63708">
      <c r="A63708" s="1" t="n">
        <v>63707</v>
      </c>
      <c r="B63708">
        <f>TEXT(63707, "[$-0E0000]yyyy-mm-dd")</f>
        <v/>
      </c>
      <c r="C63708" t="inlineStr">
        <is>
          <t>2074-05-09</t>
        </is>
      </c>
    </row>
    <row r="63709">
      <c r="A63709" s="1" t="n">
        <v>63708</v>
      </c>
      <c r="B63709">
        <f>TEXT(63708, "[$-0E0000]yyyy-mm-dd")</f>
        <v/>
      </c>
      <c r="C63709" t="inlineStr">
        <is>
          <t>2074-05-10</t>
        </is>
      </c>
    </row>
    <row r="63710">
      <c r="A63710" s="1" t="n">
        <v>63709</v>
      </c>
      <c r="B63710">
        <f>TEXT(63709, "[$-0E0000]yyyy-mm-dd")</f>
        <v/>
      </c>
      <c r="C63710" t="inlineStr">
        <is>
          <t>2074-05-11</t>
        </is>
      </c>
    </row>
    <row r="63711">
      <c r="A63711" s="1" t="n">
        <v>63710</v>
      </c>
      <c r="B63711">
        <f>TEXT(63710, "[$-0E0000]yyyy-mm-dd")</f>
        <v/>
      </c>
      <c r="C63711" t="inlineStr">
        <is>
          <t>2074-05-12</t>
        </is>
      </c>
    </row>
    <row r="63712">
      <c r="A63712" s="1" t="n">
        <v>63711</v>
      </c>
      <c r="B63712">
        <f>TEXT(63711, "[$-0E0000]yyyy-mm-dd")</f>
        <v/>
      </c>
      <c r="C63712" t="inlineStr">
        <is>
          <t>2074-05-13</t>
        </is>
      </c>
    </row>
    <row r="63713">
      <c r="A63713" s="1" t="n">
        <v>63712</v>
      </c>
      <c r="B63713">
        <f>TEXT(63712, "[$-0E0000]yyyy-mm-dd")</f>
        <v/>
      </c>
      <c r="C63713" t="inlineStr">
        <is>
          <t>2074-05-14</t>
        </is>
      </c>
    </row>
    <row r="63714">
      <c r="A63714" s="1" t="n">
        <v>63713</v>
      </c>
      <c r="B63714">
        <f>TEXT(63713, "[$-0E0000]yyyy-mm-dd")</f>
        <v/>
      </c>
      <c r="C63714" t="inlineStr">
        <is>
          <t>2074-05-15</t>
        </is>
      </c>
    </row>
    <row r="63715">
      <c r="A63715" s="1" t="n">
        <v>63714</v>
      </c>
      <c r="B63715">
        <f>TEXT(63714, "[$-0E0000]yyyy-mm-dd")</f>
        <v/>
      </c>
      <c r="C63715" t="inlineStr">
        <is>
          <t>2074-05-16</t>
        </is>
      </c>
    </row>
    <row r="63716">
      <c r="A63716" s="1" t="n">
        <v>63715</v>
      </c>
      <c r="B63716">
        <f>TEXT(63715, "[$-0E0000]yyyy-mm-dd")</f>
        <v/>
      </c>
      <c r="C63716" t="inlineStr">
        <is>
          <t>2074-05-17</t>
        </is>
      </c>
    </row>
    <row r="63717">
      <c r="A63717" s="1" t="n">
        <v>63716</v>
      </c>
      <c r="B63717">
        <f>TEXT(63716, "[$-0E0000]yyyy-mm-dd")</f>
        <v/>
      </c>
      <c r="C63717" t="inlineStr">
        <is>
          <t>2074-05-18</t>
        </is>
      </c>
    </row>
    <row r="63718">
      <c r="A63718" s="1" t="n">
        <v>63717</v>
      </c>
      <c r="B63718">
        <f>TEXT(63717, "[$-0E0000]yyyy-mm-dd")</f>
        <v/>
      </c>
      <c r="C63718" t="inlineStr">
        <is>
          <t>2074-05-19</t>
        </is>
      </c>
    </row>
    <row r="63719">
      <c r="A63719" s="1" t="n">
        <v>63718</v>
      </c>
      <c r="B63719">
        <f>TEXT(63718, "[$-0E0000]yyyy-mm-dd")</f>
        <v/>
      </c>
      <c r="C63719" t="inlineStr">
        <is>
          <t>2074-05-20</t>
        </is>
      </c>
    </row>
    <row r="63720">
      <c r="A63720" s="1" t="n">
        <v>63719</v>
      </c>
      <c r="B63720">
        <f>TEXT(63719, "[$-0E0000]yyyy-mm-dd")</f>
        <v/>
      </c>
      <c r="C63720" t="inlineStr">
        <is>
          <t>2074-05-21</t>
        </is>
      </c>
    </row>
    <row r="63721">
      <c r="A63721" s="1" t="n">
        <v>63720</v>
      </c>
      <c r="B63721">
        <f>TEXT(63720, "[$-0E0000]yyyy-mm-dd")</f>
        <v/>
      </c>
      <c r="C63721" t="inlineStr">
        <is>
          <t>2074-05-22</t>
        </is>
      </c>
    </row>
    <row r="63722">
      <c r="A63722" s="1" t="n">
        <v>63721</v>
      </c>
      <c r="B63722">
        <f>TEXT(63721, "[$-0E0000]yyyy-mm-dd")</f>
        <v/>
      </c>
      <c r="C63722" t="inlineStr">
        <is>
          <t>2074-05-23</t>
        </is>
      </c>
    </row>
    <row r="63723">
      <c r="A63723" s="1" t="n">
        <v>63722</v>
      </c>
      <c r="B63723">
        <f>TEXT(63722, "[$-0E0000]yyyy-mm-dd")</f>
        <v/>
      </c>
      <c r="C63723" t="inlineStr">
        <is>
          <t>2074-05-24</t>
        </is>
      </c>
    </row>
    <row r="63724">
      <c r="A63724" s="1" t="n">
        <v>63723</v>
      </c>
      <c r="B63724">
        <f>TEXT(63723, "[$-0E0000]yyyy-mm-dd")</f>
        <v/>
      </c>
      <c r="C63724" t="inlineStr">
        <is>
          <t>2074-05-25</t>
        </is>
      </c>
    </row>
    <row r="63725">
      <c r="A63725" s="1" t="n">
        <v>63724</v>
      </c>
      <c r="B63725">
        <f>TEXT(63724, "[$-0E0000]yyyy-mm-dd")</f>
        <v/>
      </c>
      <c r="C63725" t="inlineStr">
        <is>
          <t>2074-05-26</t>
        </is>
      </c>
    </row>
    <row r="63726">
      <c r="A63726" s="1" t="n">
        <v>63725</v>
      </c>
      <c r="B63726">
        <f>TEXT(63725, "[$-0E0000]yyyy-mm-dd")</f>
        <v/>
      </c>
      <c r="C63726" t="inlineStr">
        <is>
          <t>2074-05-27</t>
        </is>
      </c>
    </row>
    <row r="63727">
      <c r="A63727" s="1" t="n">
        <v>63726</v>
      </c>
      <c r="B63727">
        <f>TEXT(63726, "[$-0E0000]yyyy-mm-dd")</f>
        <v/>
      </c>
      <c r="C63727" t="inlineStr">
        <is>
          <t>2074-05-28</t>
        </is>
      </c>
    </row>
    <row r="63728">
      <c r="A63728" s="1" t="n">
        <v>63727</v>
      </c>
      <c r="B63728">
        <f>TEXT(63727, "[$-0E0000]yyyy-mm-dd")</f>
        <v/>
      </c>
      <c r="C63728" t="inlineStr">
        <is>
          <t>2074-05-29</t>
        </is>
      </c>
    </row>
    <row r="63729">
      <c r="A63729" s="1" t="n">
        <v>63728</v>
      </c>
      <c r="B63729">
        <f>TEXT(63728, "[$-0E0000]yyyy-mm-dd")</f>
        <v/>
      </c>
      <c r="C63729" t="inlineStr">
        <is>
          <t>2074-06-01</t>
        </is>
      </c>
    </row>
    <row r="63730">
      <c r="A63730" s="1" t="n">
        <v>63729</v>
      </c>
      <c r="B63730">
        <f>TEXT(63729, "[$-0E0000]yyyy-mm-dd")</f>
        <v/>
      </c>
      <c r="C63730" t="inlineStr">
        <is>
          <t>2074-06-02</t>
        </is>
      </c>
    </row>
    <row r="63731">
      <c r="A63731" s="1" t="n">
        <v>63730</v>
      </c>
      <c r="B63731">
        <f>TEXT(63730, "[$-0E0000]yyyy-mm-dd")</f>
        <v/>
      </c>
      <c r="C63731" t="inlineStr">
        <is>
          <t>2074-06-03</t>
        </is>
      </c>
    </row>
    <row r="63732">
      <c r="A63732" s="1" t="n">
        <v>63731</v>
      </c>
      <c r="B63732">
        <f>TEXT(63731, "[$-0E0000]yyyy-mm-dd")</f>
        <v/>
      </c>
      <c r="C63732" t="inlineStr">
        <is>
          <t>2074-06-04</t>
        </is>
      </c>
    </row>
    <row r="63733">
      <c r="A63733" s="1" t="n">
        <v>63732</v>
      </c>
      <c r="B63733">
        <f>TEXT(63732, "[$-0E0000]yyyy-mm-dd")</f>
        <v/>
      </c>
      <c r="C63733" t="inlineStr">
        <is>
          <t>2074-06-05</t>
        </is>
      </c>
    </row>
    <row r="63734">
      <c r="A63734" s="1" t="n">
        <v>63733</v>
      </c>
      <c r="B63734">
        <f>TEXT(63733, "[$-0E0000]yyyy-mm-dd")</f>
        <v/>
      </c>
      <c r="C63734" t="inlineStr">
        <is>
          <t>2074-06-06</t>
        </is>
      </c>
    </row>
    <row r="63735">
      <c r="A63735" s="1" t="n">
        <v>63734</v>
      </c>
      <c r="B63735">
        <f>TEXT(63734, "[$-0E0000]yyyy-mm-dd")</f>
        <v/>
      </c>
      <c r="C63735" t="inlineStr">
        <is>
          <t>2074-06-07</t>
        </is>
      </c>
    </row>
    <row r="63736">
      <c r="A63736" s="1" t="n">
        <v>63735</v>
      </c>
      <c r="B63736">
        <f>TEXT(63735, "[$-0E0000]yyyy-mm-dd")</f>
        <v/>
      </c>
      <c r="C63736" t="inlineStr">
        <is>
          <t>2074-06-08</t>
        </is>
      </c>
    </row>
    <row r="63737">
      <c r="A63737" s="1" t="n">
        <v>63736</v>
      </c>
      <c r="B63737">
        <f>TEXT(63736, "[$-0E0000]yyyy-mm-dd")</f>
        <v/>
      </c>
      <c r="C63737" t="inlineStr">
        <is>
          <t>2074-06-09</t>
        </is>
      </c>
    </row>
    <row r="63738">
      <c r="A63738" s="1" t="n">
        <v>63737</v>
      </c>
      <c r="B63738">
        <f>TEXT(63737, "[$-0E0000]yyyy-mm-dd")</f>
        <v/>
      </c>
      <c r="C63738" t="inlineStr">
        <is>
          <t>2074-06-10</t>
        </is>
      </c>
    </row>
    <row r="63739">
      <c r="A63739" s="1" t="n">
        <v>63738</v>
      </c>
      <c r="B63739">
        <f>TEXT(63738, "[$-0E0000]yyyy-mm-dd")</f>
        <v/>
      </c>
      <c r="C63739" t="inlineStr">
        <is>
          <t>2074-06-11</t>
        </is>
      </c>
    </row>
    <row r="63740">
      <c r="A63740" s="1" t="n">
        <v>63739</v>
      </c>
      <c r="B63740">
        <f>TEXT(63739, "[$-0E0000]yyyy-mm-dd")</f>
        <v/>
      </c>
      <c r="C63740" t="inlineStr">
        <is>
          <t>2074-06-12</t>
        </is>
      </c>
    </row>
    <row r="63741">
      <c r="A63741" s="1" t="n">
        <v>63740</v>
      </c>
      <c r="B63741">
        <f>TEXT(63740, "[$-0E0000]yyyy-mm-dd")</f>
        <v/>
      </c>
      <c r="C63741" t="inlineStr">
        <is>
          <t>2074-06-13</t>
        </is>
      </c>
    </row>
    <row r="63742">
      <c r="A63742" s="1" t="n">
        <v>63741</v>
      </c>
      <c r="B63742">
        <f>TEXT(63741, "[$-0E0000]yyyy-mm-dd")</f>
        <v/>
      </c>
      <c r="C63742" t="inlineStr">
        <is>
          <t>2074-06-14</t>
        </is>
      </c>
    </row>
    <row r="63743">
      <c r="A63743" s="1" t="n">
        <v>63742</v>
      </c>
      <c r="B63743">
        <f>TEXT(63742, "[$-0E0000]yyyy-mm-dd")</f>
        <v/>
      </c>
      <c r="C63743" t="inlineStr">
        <is>
          <t>2074-06-15</t>
        </is>
      </c>
    </row>
    <row r="63744">
      <c r="A63744" s="1" t="n">
        <v>63743</v>
      </c>
      <c r="B63744">
        <f>TEXT(63743, "[$-0E0000]yyyy-mm-dd")</f>
        <v/>
      </c>
      <c r="C63744" t="inlineStr">
        <is>
          <t>2074-06-16</t>
        </is>
      </c>
    </row>
    <row r="63745">
      <c r="A63745" s="1" t="n">
        <v>63744</v>
      </c>
      <c r="B63745">
        <f>TEXT(63744, "[$-0E0000]yyyy-mm-dd")</f>
        <v/>
      </c>
      <c r="C63745" t="inlineStr">
        <is>
          <t>2074-06-17</t>
        </is>
      </c>
    </row>
    <row r="63746">
      <c r="A63746" s="1" t="n">
        <v>63745</v>
      </c>
      <c r="B63746">
        <f>TEXT(63745, "[$-0E0000]yyyy-mm-dd")</f>
        <v/>
      </c>
      <c r="C63746" t="inlineStr">
        <is>
          <t>2074-06-18</t>
        </is>
      </c>
    </row>
    <row r="63747">
      <c r="A63747" s="1" t="n">
        <v>63746</v>
      </c>
      <c r="B63747">
        <f>TEXT(63746, "[$-0E0000]yyyy-mm-dd")</f>
        <v/>
      </c>
      <c r="C63747" t="inlineStr">
        <is>
          <t>2074-06-19</t>
        </is>
      </c>
    </row>
    <row r="63748">
      <c r="A63748" s="1" t="n">
        <v>63747</v>
      </c>
      <c r="B63748">
        <f>TEXT(63747, "[$-0E0000]yyyy-mm-dd")</f>
        <v/>
      </c>
      <c r="C63748" t="inlineStr">
        <is>
          <t>2074-06-20</t>
        </is>
      </c>
    </row>
    <row r="63749">
      <c r="A63749" s="1" t="n">
        <v>63748</v>
      </c>
      <c r="B63749">
        <f>TEXT(63748, "[$-0E0000]yyyy-mm-dd")</f>
        <v/>
      </c>
      <c r="C63749" t="inlineStr">
        <is>
          <t>2074-06-21</t>
        </is>
      </c>
    </row>
    <row r="63750">
      <c r="A63750" s="1" t="n">
        <v>63749</v>
      </c>
      <c r="B63750">
        <f>TEXT(63749, "[$-0E0000]yyyy-mm-dd")</f>
        <v/>
      </c>
      <c r="C63750" t="inlineStr">
        <is>
          <t>2074-06-22</t>
        </is>
      </c>
    </row>
    <row r="63751">
      <c r="A63751" s="1" t="n">
        <v>63750</v>
      </c>
      <c r="B63751">
        <f>TEXT(63750, "[$-0E0000]yyyy-mm-dd")</f>
        <v/>
      </c>
      <c r="C63751" t="inlineStr">
        <is>
          <t>2074-06-23</t>
        </is>
      </c>
    </row>
    <row r="63752">
      <c r="A63752" s="1" t="n">
        <v>63751</v>
      </c>
      <c r="B63752">
        <f>TEXT(63751, "[$-0E0000]yyyy-mm-dd")</f>
        <v/>
      </c>
      <c r="C63752" t="inlineStr">
        <is>
          <t>2074-06-24</t>
        </is>
      </c>
    </row>
    <row r="63753">
      <c r="A63753" s="1" t="n">
        <v>63752</v>
      </c>
      <c r="B63753">
        <f>TEXT(63752, "[$-0E0000]yyyy-mm-dd")</f>
        <v/>
      </c>
      <c r="C63753" t="inlineStr">
        <is>
          <t>2074-06-25</t>
        </is>
      </c>
    </row>
    <row r="63754">
      <c r="A63754" s="1" t="n">
        <v>63753</v>
      </c>
      <c r="B63754">
        <f>TEXT(63753, "[$-0E0000]yyyy-mm-dd")</f>
        <v/>
      </c>
      <c r="C63754" t="inlineStr">
        <is>
          <t>2074-06-26</t>
        </is>
      </c>
    </row>
    <row r="63755">
      <c r="A63755" s="1" t="n">
        <v>63754</v>
      </c>
      <c r="B63755">
        <f>TEXT(63754, "[$-0E0000]yyyy-mm-dd")</f>
        <v/>
      </c>
      <c r="C63755" t="inlineStr">
        <is>
          <t>2074-06-27</t>
        </is>
      </c>
    </row>
    <row r="63756">
      <c r="A63756" s="1" t="n">
        <v>63755</v>
      </c>
      <c r="B63756">
        <f>TEXT(63755, "[$-0E0000]yyyy-mm-dd")</f>
        <v/>
      </c>
      <c r="C63756" t="inlineStr">
        <is>
          <t>2074-06-28</t>
        </is>
      </c>
    </row>
    <row r="63757">
      <c r="A63757" s="1" t="n">
        <v>63756</v>
      </c>
      <c r="B63757">
        <f>TEXT(63756, "[$-0E0000]yyyy-mm-dd")</f>
        <v/>
      </c>
      <c r="C63757" t="inlineStr">
        <is>
          <t>2074-06-29</t>
        </is>
      </c>
    </row>
    <row r="63758">
      <c r="A63758" s="1" t="n">
        <v>63757</v>
      </c>
      <c r="B63758">
        <f>TEXT(63757, "[$-0E0000]yyyy-mm-dd")</f>
        <v/>
      </c>
      <c r="C63758" t="inlineStr">
        <is>
          <t>2074-06-30</t>
        </is>
      </c>
    </row>
    <row r="63759">
      <c r="A63759" s="1" t="n">
        <v>63758</v>
      </c>
      <c r="B63759">
        <f>TEXT(63758, "[$-0E0000]yyyy-mm-dd")</f>
        <v/>
      </c>
      <c r="C63759" t="inlineStr">
        <is>
          <t>2074-06-01</t>
        </is>
      </c>
    </row>
    <row r="63760">
      <c r="A63760" s="1" t="n">
        <v>63759</v>
      </c>
      <c r="B63760">
        <f>TEXT(63759, "[$-0E0000]yyyy-mm-dd")</f>
        <v/>
      </c>
      <c r="C63760" t="inlineStr">
        <is>
          <t>2074-06-02</t>
        </is>
      </c>
    </row>
    <row r="63761">
      <c r="A63761" s="1" t="n">
        <v>63760</v>
      </c>
      <c r="B63761">
        <f>TEXT(63760, "[$-0E0000]yyyy-mm-dd")</f>
        <v/>
      </c>
      <c r="C63761" t="inlineStr">
        <is>
          <t>2074-06-03</t>
        </is>
      </c>
    </row>
    <row r="63762">
      <c r="A63762" s="1" t="n">
        <v>63761</v>
      </c>
      <c r="B63762">
        <f>TEXT(63761, "[$-0E0000]yyyy-mm-dd")</f>
        <v/>
      </c>
      <c r="C63762" t="inlineStr">
        <is>
          <t>2074-06-04</t>
        </is>
      </c>
    </row>
    <row r="63763">
      <c r="A63763" s="1" t="n">
        <v>63762</v>
      </c>
      <c r="B63763">
        <f>TEXT(63762, "[$-0E0000]yyyy-mm-dd")</f>
        <v/>
      </c>
      <c r="C63763" t="inlineStr">
        <is>
          <t>2074-06-05</t>
        </is>
      </c>
    </row>
    <row r="63764">
      <c r="A63764" s="1" t="n">
        <v>63763</v>
      </c>
      <c r="B63764">
        <f>TEXT(63763, "[$-0E0000]yyyy-mm-dd")</f>
        <v/>
      </c>
      <c r="C63764" t="inlineStr">
        <is>
          <t>2074-06-06</t>
        </is>
      </c>
    </row>
    <row r="63765">
      <c r="A63765" s="1" t="n">
        <v>63764</v>
      </c>
      <c r="B63765">
        <f>TEXT(63764, "[$-0E0000]yyyy-mm-dd")</f>
        <v/>
      </c>
      <c r="C63765" t="inlineStr">
        <is>
          <t>2074-06-07</t>
        </is>
      </c>
    </row>
    <row r="63766">
      <c r="A63766" s="1" t="n">
        <v>63765</v>
      </c>
      <c r="B63766">
        <f>TEXT(63765, "[$-0E0000]yyyy-mm-dd")</f>
        <v/>
      </c>
      <c r="C63766" t="inlineStr">
        <is>
          <t>2074-06-08</t>
        </is>
      </c>
    </row>
    <row r="63767">
      <c r="A63767" s="1" t="n">
        <v>63766</v>
      </c>
      <c r="B63767">
        <f>TEXT(63766, "[$-0E0000]yyyy-mm-dd")</f>
        <v/>
      </c>
      <c r="C63767" t="inlineStr">
        <is>
          <t>2074-06-09</t>
        </is>
      </c>
    </row>
    <row r="63768">
      <c r="A63768" s="1" t="n">
        <v>63767</v>
      </c>
      <c r="B63768">
        <f>TEXT(63767, "[$-0E0000]yyyy-mm-dd")</f>
        <v/>
      </c>
      <c r="C63768" t="inlineStr">
        <is>
          <t>2074-06-10</t>
        </is>
      </c>
    </row>
    <row r="63769">
      <c r="A63769" s="1" t="n">
        <v>63768</v>
      </c>
      <c r="B63769">
        <f>TEXT(63768, "[$-0E0000]yyyy-mm-dd")</f>
        <v/>
      </c>
      <c r="C63769" t="inlineStr">
        <is>
          <t>2074-06-11</t>
        </is>
      </c>
    </row>
    <row r="63770">
      <c r="A63770" s="1" t="n">
        <v>63769</v>
      </c>
      <c r="B63770">
        <f>TEXT(63769, "[$-0E0000]yyyy-mm-dd")</f>
        <v/>
      </c>
      <c r="C63770" t="inlineStr">
        <is>
          <t>2074-06-12</t>
        </is>
      </c>
    </row>
    <row r="63771">
      <c r="A63771" s="1" t="n">
        <v>63770</v>
      </c>
      <c r="B63771">
        <f>TEXT(63770, "[$-0E0000]yyyy-mm-dd")</f>
        <v/>
      </c>
      <c r="C63771" t="inlineStr">
        <is>
          <t>2074-06-13</t>
        </is>
      </c>
    </row>
    <row r="63772">
      <c r="A63772" s="1" t="n">
        <v>63771</v>
      </c>
      <c r="B63772">
        <f>TEXT(63771, "[$-0E0000]yyyy-mm-dd")</f>
        <v/>
      </c>
      <c r="C63772" t="inlineStr">
        <is>
          <t>2074-06-14</t>
        </is>
      </c>
    </row>
    <row r="63773">
      <c r="A63773" s="1" t="n">
        <v>63772</v>
      </c>
      <c r="B63773">
        <f>TEXT(63772, "[$-0E0000]yyyy-mm-dd")</f>
        <v/>
      </c>
      <c r="C63773" t="inlineStr">
        <is>
          <t>2074-06-15</t>
        </is>
      </c>
    </row>
    <row r="63774">
      <c r="A63774" s="1" t="n">
        <v>63773</v>
      </c>
      <c r="B63774">
        <f>TEXT(63773, "[$-0E0000]yyyy-mm-dd")</f>
        <v/>
      </c>
      <c r="C63774" t="inlineStr">
        <is>
          <t>2074-06-16</t>
        </is>
      </c>
    </row>
    <row r="63775">
      <c r="A63775" s="1" t="n">
        <v>63774</v>
      </c>
      <c r="B63775">
        <f>TEXT(63774, "[$-0E0000]yyyy-mm-dd")</f>
        <v/>
      </c>
      <c r="C63775" t="inlineStr">
        <is>
          <t>2074-06-17</t>
        </is>
      </c>
    </row>
    <row r="63776">
      <c r="A63776" s="1" t="n">
        <v>63775</v>
      </c>
      <c r="B63776">
        <f>TEXT(63775, "[$-0E0000]yyyy-mm-dd")</f>
        <v/>
      </c>
      <c r="C63776" t="inlineStr">
        <is>
          <t>2074-06-18</t>
        </is>
      </c>
    </row>
    <row r="63777">
      <c r="A63777" s="1" t="n">
        <v>63776</v>
      </c>
      <c r="B63777">
        <f>TEXT(63776, "[$-0E0000]yyyy-mm-dd")</f>
        <v/>
      </c>
      <c r="C63777" t="inlineStr">
        <is>
          <t>2074-06-19</t>
        </is>
      </c>
    </row>
    <row r="63778">
      <c r="A63778" s="1" t="n">
        <v>63777</v>
      </c>
      <c r="B63778">
        <f>TEXT(63777, "[$-0E0000]yyyy-mm-dd")</f>
        <v/>
      </c>
      <c r="C63778" t="inlineStr">
        <is>
          <t>2074-06-20</t>
        </is>
      </c>
    </row>
    <row r="63779">
      <c r="A63779" s="1" t="n">
        <v>63778</v>
      </c>
      <c r="B63779">
        <f>TEXT(63778, "[$-0E0000]yyyy-mm-dd")</f>
        <v/>
      </c>
      <c r="C63779" t="inlineStr">
        <is>
          <t>2074-06-21</t>
        </is>
      </c>
    </row>
    <row r="63780">
      <c r="A63780" s="1" t="n">
        <v>63779</v>
      </c>
      <c r="B63780">
        <f>TEXT(63779, "[$-0E0000]yyyy-mm-dd")</f>
        <v/>
      </c>
      <c r="C63780" t="inlineStr">
        <is>
          <t>2074-06-22</t>
        </is>
      </c>
    </row>
    <row r="63781">
      <c r="A63781" s="1" t="n">
        <v>63780</v>
      </c>
      <c r="B63781">
        <f>TEXT(63780, "[$-0E0000]yyyy-mm-dd")</f>
        <v/>
      </c>
      <c r="C63781" t="inlineStr">
        <is>
          <t>2074-06-23</t>
        </is>
      </c>
    </row>
    <row r="63782">
      <c r="A63782" s="1" t="n">
        <v>63781</v>
      </c>
      <c r="B63782">
        <f>TEXT(63781, "[$-0E0000]yyyy-mm-dd")</f>
        <v/>
      </c>
      <c r="C63782" t="inlineStr">
        <is>
          <t>2074-06-24</t>
        </is>
      </c>
    </row>
    <row r="63783">
      <c r="A63783" s="1" t="n">
        <v>63782</v>
      </c>
      <c r="B63783">
        <f>TEXT(63782, "[$-0E0000]yyyy-mm-dd")</f>
        <v/>
      </c>
      <c r="C63783" t="inlineStr">
        <is>
          <t>2074-06-25</t>
        </is>
      </c>
    </row>
    <row r="63784">
      <c r="A63784" s="1" t="n">
        <v>63783</v>
      </c>
      <c r="B63784">
        <f>TEXT(63783, "[$-0E0000]yyyy-mm-dd")</f>
        <v/>
      </c>
      <c r="C63784" t="inlineStr">
        <is>
          <t>2074-06-26</t>
        </is>
      </c>
    </row>
    <row r="63785">
      <c r="A63785" s="1" t="n">
        <v>63784</v>
      </c>
      <c r="B63785">
        <f>TEXT(63784, "[$-0E0000]yyyy-mm-dd")</f>
        <v/>
      </c>
      <c r="C63785" t="inlineStr">
        <is>
          <t>2074-06-27</t>
        </is>
      </c>
    </row>
    <row r="63786">
      <c r="A63786" s="1" t="n">
        <v>63785</v>
      </c>
      <c r="B63786">
        <f>TEXT(63785, "[$-0E0000]yyyy-mm-dd")</f>
        <v/>
      </c>
      <c r="C63786" t="inlineStr">
        <is>
          <t>2074-06-28</t>
        </is>
      </c>
    </row>
    <row r="63787">
      <c r="A63787" s="1" t="n">
        <v>63786</v>
      </c>
      <c r="B63787">
        <f>TEXT(63786, "[$-0E0000]yyyy-mm-dd")</f>
        <v/>
      </c>
      <c r="C63787" t="inlineStr">
        <is>
          <t>2074-06-29</t>
        </is>
      </c>
    </row>
    <row r="63788">
      <c r="A63788" s="1" t="n">
        <v>63787</v>
      </c>
      <c r="B63788">
        <f>TEXT(63787, "[$-0E0000]yyyy-mm-dd")</f>
        <v/>
      </c>
      <c r="C63788" t="inlineStr">
        <is>
          <t>2074-07-01</t>
        </is>
      </c>
    </row>
    <row r="63789">
      <c r="A63789" s="1" t="n">
        <v>63788</v>
      </c>
      <c r="B63789">
        <f>TEXT(63788, "[$-0E0000]yyyy-mm-dd")</f>
        <v/>
      </c>
      <c r="C63789" t="inlineStr">
        <is>
          <t>2074-07-02</t>
        </is>
      </c>
    </row>
    <row r="63790">
      <c r="A63790" s="1" t="n">
        <v>63789</v>
      </c>
      <c r="B63790">
        <f>TEXT(63789, "[$-0E0000]yyyy-mm-dd")</f>
        <v/>
      </c>
      <c r="C63790" t="inlineStr">
        <is>
          <t>2074-07-03</t>
        </is>
      </c>
    </row>
    <row r="63791">
      <c r="A63791" s="1" t="n">
        <v>63790</v>
      </c>
      <c r="B63791">
        <f>TEXT(63790, "[$-0E0000]yyyy-mm-dd")</f>
        <v/>
      </c>
      <c r="C63791" t="inlineStr">
        <is>
          <t>2074-07-04</t>
        </is>
      </c>
    </row>
    <row r="63792">
      <c r="A63792" s="1" t="n">
        <v>63791</v>
      </c>
      <c r="B63792">
        <f>TEXT(63791, "[$-0E0000]yyyy-mm-dd")</f>
        <v/>
      </c>
      <c r="C63792" t="inlineStr">
        <is>
          <t>2074-07-05</t>
        </is>
      </c>
    </row>
    <row r="63793">
      <c r="A63793" s="1" t="n">
        <v>63792</v>
      </c>
      <c r="B63793">
        <f>TEXT(63792, "[$-0E0000]yyyy-mm-dd")</f>
        <v/>
      </c>
      <c r="C63793" t="inlineStr">
        <is>
          <t>2074-07-06</t>
        </is>
      </c>
    </row>
    <row r="63794">
      <c r="A63794" s="1" t="n">
        <v>63793</v>
      </c>
      <c r="B63794">
        <f>TEXT(63793, "[$-0E0000]yyyy-mm-dd")</f>
        <v/>
      </c>
      <c r="C63794" t="inlineStr">
        <is>
          <t>2074-07-07</t>
        </is>
      </c>
    </row>
    <row r="63795">
      <c r="A63795" s="1" t="n">
        <v>63794</v>
      </c>
      <c r="B63795">
        <f>TEXT(63794, "[$-0E0000]yyyy-mm-dd")</f>
        <v/>
      </c>
      <c r="C63795" t="inlineStr">
        <is>
          <t>2074-07-08</t>
        </is>
      </c>
    </row>
    <row r="63796">
      <c r="A63796" s="1" t="n">
        <v>63795</v>
      </c>
      <c r="B63796">
        <f>TEXT(63795, "[$-0E0000]yyyy-mm-dd")</f>
        <v/>
      </c>
      <c r="C63796" t="inlineStr">
        <is>
          <t>2074-07-09</t>
        </is>
      </c>
    </row>
    <row r="63797">
      <c r="A63797" s="1" t="n">
        <v>63796</v>
      </c>
      <c r="B63797">
        <f>TEXT(63796, "[$-0E0000]yyyy-mm-dd")</f>
        <v/>
      </c>
      <c r="C63797" t="inlineStr">
        <is>
          <t>2074-07-10</t>
        </is>
      </c>
    </row>
    <row r="63798">
      <c r="A63798" s="1" t="n">
        <v>63797</v>
      </c>
      <c r="B63798">
        <f>TEXT(63797, "[$-0E0000]yyyy-mm-dd")</f>
        <v/>
      </c>
      <c r="C63798" t="inlineStr">
        <is>
          <t>2074-07-11</t>
        </is>
      </c>
    </row>
    <row r="63799">
      <c r="A63799" s="1" t="n">
        <v>63798</v>
      </c>
      <c r="B63799">
        <f>TEXT(63798, "[$-0E0000]yyyy-mm-dd")</f>
        <v/>
      </c>
      <c r="C63799" t="inlineStr">
        <is>
          <t>2074-07-12</t>
        </is>
      </c>
    </row>
    <row r="63800">
      <c r="A63800" s="1" t="n">
        <v>63799</v>
      </c>
      <c r="B63800">
        <f>TEXT(63799, "[$-0E0000]yyyy-mm-dd")</f>
        <v/>
      </c>
      <c r="C63800" t="inlineStr">
        <is>
          <t>2074-07-13</t>
        </is>
      </c>
    </row>
    <row r="63801">
      <c r="A63801" s="1" t="n">
        <v>63800</v>
      </c>
      <c r="B63801">
        <f>TEXT(63800, "[$-0E0000]yyyy-mm-dd")</f>
        <v/>
      </c>
      <c r="C63801" t="inlineStr">
        <is>
          <t>2074-07-14</t>
        </is>
      </c>
    </row>
    <row r="63802">
      <c r="A63802" s="1" t="n">
        <v>63801</v>
      </c>
      <c r="B63802">
        <f>TEXT(63801, "[$-0E0000]yyyy-mm-dd")</f>
        <v/>
      </c>
      <c r="C63802" t="inlineStr">
        <is>
          <t>2074-07-15</t>
        </is>
      </c>
    </row>
    <row r="63803">
      <c r="A63803" s="1" t="n">
        <v>63802</v>
      </c>
      <c r="B63803">
        <f>TEXT(63802, "[$-0E0000]yyyy-mm-dd")</f>
        <v/>
      </c>
      <c r="C63803" t="inlineStr">
        <is>
          <t>2074-07-16</t>
        </is>
      </c>
    </row>
    <row r="63804">
      <c r="A63804" s="1" t="n">
        <v>63803</v>
      </c>
      <c r="B63804">
        <f>TEXT(63803, "[$-0E0000]yyyy-mm-dd")</f>
        <v/>
      </c>
      <c r="C63804" t="inlineStr">
        <is>
          <t>2074-07-17</t>
        </is>
      </c>
    </row>
    <row r="63805">
      <c r="A63805" s="1" t="n">
        <v>63804</v>
      </c>
      <c r="B63805">
        <f>TEXT(63804, "[$-0E0000]yyyy-mm-dd")</f>
        <v/>
      </c>
      <c r="C63805" t="inlineStr">
        <is>
          <t>2074-07-18</t>
        </is>
      </c>
    </row>
    <row r="63806">
      <c r="A63806" s="1" t="n">
        <v>63805</v>
      </c>
      <c r="B63806">
        <f>TEXT(63805, "[$-0E0000]yyyy-mm-dd")</f>
        <v/>
      </c>
      <c r="C63806" t="inlineStr">
        <is>
          <t>2074-07-19</t>
        </is>
      </c>
    </row>
    <row r="63807">
      <c r="A63807" s="1" t="n">
        <v>63806</v>
      </c>
      <c r="B63807">
        <f>TEXT(63806, "[$-0E0000]yyyy-mm-dd")</f>
        <v/>
      </c>
      <c r="C63807" t="inlineStr">
        <is>
          <t>2074-07-20</t>
        </is>
      </c>
    </row>
    <row r="63808">
      <c r="A63808" s="1" t="n">
        <v>63807</v>
      </c>
      <c r="B63808">
        <f>TEXT(63807, "[$-0E0000]yyyy-mm-dd")</f>
        <v/>
      </c>
      <c r="C63808" t="inlineStr">
        <is>
          <t>2074-07-21</t>
        </is>
      </c>
    </row>
    <row r="63809">
      <c r="A63809" s="1" t="n">
        <v>63808</v>
      </c>
      <c r="B63809">
        <f>TEXT(63808, "[$-0E0000]yyyy-mm-dd")</f>
        <v/>
      </c>
      <c r="C63809" t="inlineStr">
        <is>
          <t>2074-07-22</t>
        </is>
      </c>
    </row>
    <row r="63810">
      <c r="A63810" s="1" t="n">
        <v>63809</v>
      </c>
      <c r="B63810">
        <f>TEXT(63809, "[$-0E0000]yyyy-mm-dd")</f>
        <v/>
      </c>
      <c r="C63810" t="inlineStr">
        <is>
          <t>2074-07-23</t>
        </is>
      </c>
    </row>
    <row r="63811">
      <c r="A63811" s="1" t="n">
        <v>63810</v>
      </c>
      <c r="B63811">
        <f>TEXT(63810, "[$-0E0000]yyyy-mm-dd")</f>
        <v/>
      </c>
      <c r="C63811" t="inlineStr">
        <is>
          <t>2074-07-24</t>
        </is>
      </c>
    </row>
    <row r="63812">
      <c r="A63812" s="1" t="n">
        <v>63811</v>
      </c>
      <c r="B63812">
        <f>TEXT(63811, "[$-0E0000]yyyy-mm-dd")</f>
        <v/>
      </c>
      <c r="C63812" t="inlineStr">
        <is>
          <t>2074-07-25</t>
        </is>
      </c>
    </row>
    <row r="63813">
      <c r="A63813" s="1" t="n">
        <v>63812</v>
      </c>
      <c r="B63813">
        <f>TEXT(63812, "[$-0E0000]yyyy-mm-dd")</f>
        <v/>
      </c>
      <c r="C63813" t="inlineStr">
        <is>
          <t>2074-07-26</t>
        </is>
      </c>
    </row>
    <row r="63814">
      <c r="A63814" s="1" t="n">
        <v>63813</v>
      </c>
      <c r="B63814">
        <f>TEXT(63813, "[$-0E0000]yyyy-mm-dd")</f>
        <v/>
      </c>
      <c r="C63814" t="inlineStr">
        <is>
          <t>2074-07-27</t>
        </is>
      </c>
    </row>
    <row r="63815">
      <c r="A63815" s="1" t="n">
        <v>63814</v>
      </c>
      <c r="B63815">
        <f>TEXT(63814, "[$-0E0000]yyyy-mm-dd")</f>
        <v/>
      </c>
      <c r="C63815" t="inlineStr">
        <is>
          <t>2074-07-28</t>
        </is>
      </c>
    </row>
    <row r="63816">
      <c r="A63816" s="1" t="n">
        <v>63815</v>
      </c>
      <c r="B63816">
        <f>TEXT(63815, "[$-0E0000]yyyy-mm-dd")</f>
        <v/>
      </c>
      <c r="C63816" t="inlineStr">
        <is>
          <t>2074-07-29</t>
        </is>
      </c>
    </row>
    <row r="63817">
      <c r="A63817" s="1" t="n">
        <v>63816</v>
      </c>
      <c r="B63817">
        <f>TEXT(63816, "[$-0E0000]yyyy-mm-dd")</f>
        <v/>
      </c>
      <c r="C63817" t="inlineStr">
        <is>
          <t>2074-07-30</t>
        </is>
      </c>
    </row>
    <row r="63818">
      <c r="A63818" s="1" t="n">
        <v>63817</v>
      </c>
      <c r="B63818">
        <f>TEXT(63817, "[$-0E0000]yyyy-mm-dd")</f>
        <v/>
      </c>
      <c r="C63818" t="inlineStr">
        <is>
          <t>2074-08-01</t>
        </is>
      </c>
    </row>
    <row r="63819">
      <c r="A63819" s="1" t="n">
        <v>63818</v>
      </c>
      <c r="B63819">
        <f>TEXT(63818, "[$-0E0000]yyyy-mm-dd")</f>
        <v/>
      </c>
      <c r="C63819" t="inlineStr">
        <is>
          <t>2074-08-02</t>
        </is>
      </c>
    </row>
    <row r="63820">
      <c r="A63820" s="1" t="n">
        <v>63819</v>
      </c>
      <c r="B63820">
        <f>TEXT(63819, "[$-0E0000]yyyy-mm-dd")</f>
        <v/>
      </c>
      <c r="C63820" t="inlineStr">
        <is>
          <t>2074-08-03</t>
        </is>
      </c>
    </row>
    <row r="63821">
      <c r="A63821" s="1" t="n">
        <v>63820</v>
      </c>
      <c r="B63821">
        <f>TEXT(63820, "[$-0E0000]yyyy-mm-dd")</f>
        <v/>
      </c>
      <c r="C63821" t="inlineStr">
        <is>
          <t>2074-08-04</t>
        </is>
      </c>
    </row>
    <row r="63822">
      <c r="A63822" s="1" t="n">
        <v>63821</v>
      </c>
      <c r="B63822">
        <f>TEXT(63821, "[$-0E0000]yyyy-mm-dd")</f>
        <v/>
      </c>
      <c r="C63822" t="inlineStr">
        <is>
          <t>2074-08-05</t>
        </is>
      </c>
    </row>
    <row r="63823">
      <c r="A63823" s="1" t="n">
        <v>63822</v>
      </c>
      <c r="B63823">
        <f>TEXT(63822, "[$-0E0000]yyyy-mm-dd")</f>
        <v/>
      </c>
      <c r="C63823" t="inlineStr">
        <is>
          <t>2074-08-06</t>
        </is>
      </c>
    </row>
    <row r="63824">
      <c r="A63824" s="1" t="n">
        <v>63823</v>
      </c>
      <c r="B63824">
        <f>TEXT(63823, "[$-0E0000]yyyy-mm-dd")</f>
        <v/>
      </c>
      <c r="C63824" t="inlineStr">
        <is>
          <t>2074-08-07</t>
        </is>
      </c>
    </row>
    <row r="63825">
      <c r="A63825" s="1" t="n">
        <v>63824</v>
      </c>
      <c r="B63825">
        <f>TEXT(63824, "[$-0E0000]yyyy-mm-dd")</f>
        <v/>
      </c>
      <c r="C63825" t="inlineStr">
        <is>
          <t>2074-08-08</t>
        </is>
      </c>
    </row>
    <row r="63826">
      <c r="A63826" s="1" t="n">
        <v>63825</v>
      </c>
      <c r="B63826">
        <f>TEXT(63825, "[$-0E0000]yyyy-mm-dd")</f>
        <v/>
      </c>
      <c r="C63826" t="inlineStr">
        <is>
          <t>2074-08-09</t>
        </is>
      </c>
    </row>
    <row r="63827">
      <c r="A63827" s="1" t="n">
        <v>63826</v>
      </c>
      <c r="B63827">
        <f>TEXT(63826, "[$-0E0000]yyyy-mm-dd")</f>
        <v/>
      </c>
      <c r="C63827" t="inlineStr">
        <is>
          <t>2074-08-10</t>
        </is>
      </c>
    </row>
    <row r="63828">
      <c r="A63828" s="1" t="n">
        <v>63827</v>
      </c>
      <c r="B63828">
        <f>TEXT(63827, "[$-0E0000]yyyy-mm-dd")</f>
        <v/>
      </c>
      <c r="C63828" t="inlineStr">
        <is>
          <t>2074-08-11</t>
        </is>
      </c>
    </row>
    <row r="63829">
      <c r="A63829" s="1" t="n">
        <v>63828</v>
      </c>
      <c r="B63829">
        <f>TEXT(63828, "[$-0E0000]yyyy-mm-dd")</f>
        <v/>
      </c>
      <c r="C63829" t="inlineStr">
        <is>
          <t>2074-08-12</t>
        </is>
      </c>
    </row>
    <row r="63830">
      <c r="A63830" s="1" t="n">
        <v>63829</v>
      </c>
      <c r="B63830">
        <f>TEXT(63829, "[$-0E0000]yyyy-mm-dd")</f>
        <v/>
      </c>
      <c r="C63830" t="inlineStr">
        <is>
          <t>2074-08-13</t>
        </is>
      </c>
    </row>
    <row r="63831">
      <c r="A63831" s="1" t="n">
        <v>63830</v>
      </c>
      <c r="B63831">
        <f>TEXT(63830, "[$-0E0000]yyyy-mm-dd")</f>
        <v/>
      </c>
      <c r="C63831" t="inlineStr">
        <is>
          <t>2074-08-14</t>
        </is>
      </c>
    </row>
    <row r="63832">
      <c r="A63832" s="1" t="n">
        <v>63831</v>
      </c>
      <c r="B63832">
        <f>TEXT(63831, "[$-0E0000]yyyy-mm-dd")</f>
        <v/>
      </c>
      <c r="C63832" t="inlineStr">
        <is>
          <t>2074-08-15</t>
        </is>
      </c>
    </row>
    <row r="63833">
      <c r="A63833" s="1" t="n">
        <v>63832</v>
      </c>
      <c r="B63833">
        <f>TEXT(63832, "[$-0E0000]yyyy-mm-dd")</f>
        <v/>
      </c>
      <c r="C63833" t="inlineStr">
        <is>
          <t>2074-08-16</t>
        </is>
      </c>
    </row>
    <row r="63834">
      <c r="A63834" s="1" t="n">
        <v>63833</v>
      </c>
      <c r="B63834">
        <f>TEXT(63833, "[$-0E0000]yyyy-mm-dd")</f>
        <v/>
      </c>
      <c r="C63834" t="inlineStr">
        <is>
          <t>2074-08-17</t>
        </is>
      </c>
    </row>
    <row r="63835">
      <c r="A63835" s="1" t="n">
        <v>63834</v>
      </c>
      <c r="B63835">
        <f>TEXT(63834, "[$-0E0000]yyyy-mm-dd")</f>
        <v/>
      </c>
      <c r="C63835" t="inlineStr">
        <is>
          <t>2074-08-18</t>
        </is>
      </c>
    </row>
    <row r="63836">
      <c r="A63836" s="1" t="n">
        <v>63835</v>
      </c>
      <c r="B63836">
        <f>TEXT(63835, "[$-0E0000]yyyy-mm-dd")</f>
        <v/>
      </c>
      <c r="C63836" t="inlineStr">
        <is>
          <t>2074-08-19</t>
        </is>
      </c>
    </row>
    <row r="63837">
      <c r="A63837" s="1" t="n">
        <v>63836</v>
      </c>
      <c r="B63837">
        <f>TEXT(63836, "[$-0E0000]yyyy-mm-dd")</f>
        <v/>
      </c>
      <c r="C63837" t="inlineStr">
        <is>
          <t>2074-08-20</t>
        </is>
      </c>
    </row>
    <row r="63838">
      <c r="A63838" s="1" t="n">
        <v>63837</v>
      </c>
      <c r="B63838">
        <f>TEXT(63837, "[$-0E0000]yyyy-mm-dd")</f>
        <v/>
      </c>
      <c r="C63838" t="inlineStr">
        <is>
          <t>2074-08-21</t>
        </is>
      </c>
    </row>
    <row r="63839">
      <c r="A63839" s="1" t="n">
        <v>63838</v>
      </c>
      <c r="B63839">
        <f>TEXT(63838, "[$-0E0000]yyyy-mm-dd")</f>
        <v/>
      </c>
      <c r="C63839" t="inlineStr">
        <is>
          <t>2074-08-22</t>
        </is>
      </c>
    </row>
    <row r="63840">
      <c r="A63840" s="1" t="n">
        <v>63839</v>
      </c>
      <c r="B63840">
        <f>TEXT(63839, "[$-0E0000]yyyy-mm-dd")</f>
        <v/>
      </c>
      <c r="C63840" t="inlineStr">
        <is>
          <t>2074-08-23</t>
        </is>
      </c>
    </row>
    <row r="63841">
      <c r="A63841" s="1" t="n">
        <v>63840</v>
      </c>
      <c r="B63841">
        <f>TEXT(63840, "[$-0E0000]yyyy-mm-dd")</f>
        <v/>
      </c>
      <c r="C63841" t="inlineStr">
        <is>
          <t>2074-08-24</t>
        </is>
      </c>
    </row>
    <row r="63842">
      <c r="A63842" s="1" t="n">
        <v>63841</v>
      </c>
      <c r="B63842">
        <f>TEXT(63841, "[$-0E0000]yyyy-mm-dd")</f>
        <v/>
      </c>
      <c r="C63842" t="inlineStr">
        <is>
          <t>2074-08-25</t>
        </is>
      </c>
    </row>
    <row r="63843">
      <c r="A63843" s="1" t="n">
        <v>63842</v>
      </c>
      <c r="B63843">
        <f>TEXT(63842, "[$-0E0000]yyyy-mm-dd")</f>
        <v/>
      </c>
      <c r="C63843" t="inlineStr">
        <is>
          <t>2074-08-26</t>
        </is>
      </c>
    </row>
    <row r="63844">
      <c r="A63844" s="1" t="n">
        <v>63843</v>
      </c>
      <c r="B63844">
        <f>TEXT(63843, "[$-0E0000]yyyy-mm-dd")</f>
        <v/>
      </c>
      <c r="C63844" t="inlineStr">
        <is>
          <t>2074-08-27</t>
        </is>
      </c>
    </row>
    <row r="63845">
      <c r="A63845" s="1" t="n">
        <v>63844</v>
      </c>
      <c r="B63845">
        <f>TEXT(63844, "[$-0E0000]yyyy-mm-dd")</f>
        <v/>
      </c>
      <c r="C63845" t="inlineStr">
        <is>
          <t>2074-08-28</t>
        </is>
      </c>
    </row>
    <row r="63846">
      <c r="A63846" s="1" t="n">
        <v>63845</v>
      </c>
      <c r="B63846">
        <f>TEXT(63845, "[$-0E0000]yyyy-mm-dd")</f>
        <v/>
      </c>
      <c r="C63846" t="inlineStr">
        <is>
          <t>2074-08-29</t>
        </is>
      </c>
    </row>
    <row r="63847">
      <c r="A63847" s="1" t="n">
        <v>63846</v>
      </c>
      <c r="B63847">
        <f>TEXT(63846, "[$-0E0000]yyyy-mm-dd")</f>
        <v/>
      </c>
      <c r="C63847" t="inlineStr">
        <is>
          <t>2074-09-01</t>
        </is>
      </c>
    </row>
    <row r="63848">
      <c r="A63848" s="1" t="n">
        <v>63847</v>
      </c>
      <c r="B63848">
        <f>TEXT(63847, "[$-0E0000]yyyy-mm-dd")</f>
        <v/>
      </c>
      <c r="C63848" t="inlineStr">
        <is>
          <t>2074-09-02</t>
        </is>
      </c>
    </row>
    <row r="63849">
      <c r="A63849" s="1" t="n">
        <v>63848</v>
      </c>
      <c r="B63849">
        <f>TEXT(63848, "[$-0E0000]yyyy-mm-dd")</f>
        <v/>
      </c>
      <c r="C63849" t="inlineStr">
        <is>
          <t>2074-09-03</t>
        </is>
      </c>
    </row>
    <row r="63850">
      <c r="A63850" s="1" t="n">
        <v>63849</v>
      </c>
      <c r="B63850">
        <f>TEXT(63849, "[$-0E0000]yyyy-mm-dd")</f>
        <v/>
      </c>
      <c r="C63850" t="inlineStr">
        <is>
          <t>2074-09-04</t>
        </is>
      </c>
    </row>
    <row r="63851">
      <c r="A63851" s="1" t="n">
        <v>63850</v>
      </c>
      <c r="B63851">
        <f>TEXT(63850, "[$-0E0000]yyyy-mm-dd")</f>
        <v/>
      </c>
      <c r="C63851" t="inlineStr">
        <is>
          <t>2074-09-05</t>
        </is>
      </c>
    </row>
    <row r="63852">
      <c r="A63852" s="1" t="n">
        <v>63851</v>
      </c>
      <c r="B63852">
        <f>TEXT(63851, "[$-0E0000]yyyy-mm-dd")</f>
        <v/>
      </c>
      <c r="C63852" t="inlineStr">
        <is>
          <t>2074-09-06</t>
        </is>
      </c>
    </row>
    <row r="63853">
      <c r="A63853" s="1" t="n">
        <v>63852</v>
      </c>
      <c r="B63853">
        <f>TEXT(63852, "[$-0E0000]yyyy-mm-dd")</f>
        <v/>
      </c>
      <c r="C63853" t="inlineStr">
        <is>
          <t>2074-09-07</t>
        </is>
      </c>
    </row>
    <row r="63854">
      <c r="A63854" s="1" t="n">
        <v>63853</v>
      </c>
      <c r="B63854">
        <f>TEXT(63853, "[$-0E0000]yyyy-mm-dd")</f>
        <v/>
      </c>
      <c r="C63854" t="inlineStr">
        <is>
          <t>2074-09-08</t>
        </is>
      </c>
    </row>
    <row r="63855">
      <c r="A63855" s="1" t="n">
        <v>63854</v>
      </c>
      <c r="B63855">
        <f>TEXT(63854, "[$-0E0000]yyyy-mm-dd")</f>
        <v/>
      </c>
      <c r="C63855" t="inlineStr">
        <is>
          <t>2074-09-09</t>
        </is>
      </c>
    </row>
    <row r="63856">
      <c r="A63856" s="1" t="n">
        <v>63855</v>
      </c>
      <c r="B63856">
        <f>TEXT(63855, "[$-0E0000]yyyy-mm-dd")</f>
        <v/>
      </c>
      <c r="C63856" t="inlineStr">
        <is>
          <t>2074-09-10</t>
        </is>
      </c>
    </row>
    <row r="63857">
      <c r="A63857" s="1" t="n">
        <v>63856</v>
      </c>
      <c r="B63857">
        <f>TEXT(63856, "[$-0E0000]yyyy-mm-dd")</f>
        <v/>
      </c>
      <c r="C63857" t="inlineStr">
        <is>
          <t>2074-09-11</t>
        </is>
      </c>
    </row>
    <row r="63858">
      <c r="A63858" s="1" t="n">
        <v>63857</v>
      </c>
      <c r="B63858">
        <f>TEXT(63857, "[$-0E0000]yyyy-mm-dd")</f>
        <v/>
      </c>
      <c r="C63858" t="inlineStr">
        <is>
          <t>2074-09-12</t>
        </is>
      </c>
    </row>
    <row r="63859">
      <c r="A63859" s="1" t="n">
        <v>63858</v>
      </c>
      <c r="B63859">
        <f>TEXT(63858, "[$-0E0000]yyyy-mm-dd")</f>
        <v/>
      </c>
      <c r="C63859" t="inlineStr">
        <is>
          <t>2074-09-13</t>
        </is>
      </c>
    </row>
    <row r="63860">
      <c r="A63860" s="1" t="n">
        <v>63859</v>
      </c>
      <c r="B63860">
        <f>TEXT(63859, "[$-0E0000]yyyy-mm-dd")</f>
        <v/>
      </c>
      <c r="C63860" t="inlineStr">
        <is>
          <t>2074-09-14</t>
        </is>
      </c>
    </row>
    <row r="63861">
      <c r="A63861" s="1" t="n">
        <v>63860</v>
      </c>
      <c r="B63861">
        <f>TEXT(63860, "[$-0E0000]yyyy-mm-dd")</f>
        <v/>
      </c>
      <c r="C63861" t="inlineStr">
        <is>
          <t>2074-09-15</t>
        </is>
      </c>
    </row>
    <row r="63862">
      <c r="A63862" s="1" t="n">
        <v>63861</v>
      </c>
      <c r="B63862">
        <f>TEXT(63861, "[$-0E0000]yyyy-mm-dd")</f>
        <v/>
      </c>
      <c r="C63862" t="inlineStr">
        <is>
          <t>2074-09-16</t>
        </is>
      </c>
    </row>
    <row r="63863">
      <c r="A63863" s="1" t="n">
        <v>63862</v>
      </c>
      <c r="B63863">
        <f>TEXT(63862, "[$-0E0000]yyyy-mm-dd")</f>
        <v/>
      </c>
      <c r="C63863" t="inlineStr">
        <is>
          <t>2074-09-17</t>
        </is>
      </c>
    </row>
    <row r="63864">
      <c r="A63864" s="1" t="n">
        <v>63863</v>
      </c>
      <c r="B63864">
        <f>TEXT(63863, "[$-0E0000]yyyy-mm-dd")</f>
        <v/>
      </c>
      <c r="C63864" t="inlineStr">
        <is>
          <t>2074-09-18</t>
        </is>
      </c>
    </row>
    <row r="63865">
      <c r="A63865" s="1" t="n">
        <v>63864</v>
      </c>
      <c r="B63865">
        <f>TEXT(63864, "[$-0E0000]yyyy-mm-dd")</f>
        <v/>
      </c>
      <c r="C63865" t="inlineStr">
        <is>
          <t>2074-09-19</t>
        </is>
      </c>
    </row>
    <row r="63866">
      <c r="A63866" s="1" t="n">
        <v>63865</v>
      </c>
      <c r="B63866">
        <f>TEXT(63865, "[$-0E0000]yyyy-mm-dd")</f>
        <v/>
      </c>
      <c r="C63866" t="inlineStr">
        <is>
          <t>2074-09-20</t>
        </is>
      </c>
    </row>
    <row r="63867">
      <c r="A63867" s="1" t="n">
        <v>63866</v>
      </c>
      <c r="B63867">
        <f>TEXT(63866, "[$-0E0000]yyyy-mm-dd")</f>
        <v/>
      </c>
      <c r="C63867" t="inlineStr">
        <is>
          <t>2074-09-21</t>
        </is>
      </c>
    </row>
    <row r="63868">
      <c r="A63868" s="1" t="n">
        <v>63867</v>
      </c>
      <c r="B63868">
        <f>TEXT(63867, "[$-0E0000]yyyy-mm-dd")</f>
        <v/>
      </c>
      <c r="C63868" t="inlineStr">
        <is>
          <t>2074-09-22</t>
        </is>
      </c>
    </row>
    <row r="63869">
      <c r="A63869" s="1" t="n">
        <v>63868</v>
      </c>
      <c r="B63869">
        <f>TEXT(63868, "[$-0E0000]yyyy-mm-dd")</f>
        <v/>
      </c>
      <c r="C63869" t="inlineStr">
        <is>
          <t>2074-09-23</t>
        </is>
      </c>
    </row>
    <row r="63870">
      <c r="A63870" s="1" t="n">
        <v>63869</v>
      </c>
      <c r="B63870">
        <f>TEXT(63869, "[$-0E0000]yyyy-mm-dd")</f>
        <v/>
      </c>
      <c r="C63870" t="inlineStr">
        <is>
          <t>2074-09-24</t>
        </is>
      </c>
    </row>
    <row r="63871">
      <c r="A63871" s="1" t="n">
        <v>63870</v>
      </c>
      <c r="B63871">
        <f>TEXT(63870, "[$-0E0000]yyyy-mm-dd")</f>
        <v/>
      </c>
      <c r="C63871" t="inlineStr">
        <is>
          <t>2074-09-25</t>
        </is>
      </c>
    </row>
    <row r="63872">
      <c r="A63872" s="1" t="n">
        <v>63871</v>
      </c>
      <c r="B63872">
        <f>TEXT(63871, "[$-0E0000]yyyy-mm-dd")</f>
        <v/>
      </c>
      <c r="C63872" t="inlineStr">
        <is>
          <t>2074-09-26</t>
        </is>
      </c>
    </row>
    <row r="63873">
      <c r="A63873" s="1" t="n">
        <v>63872</v>
      </c>
      <c r="B63873">
        <f>TEXT(63872, "[$-0E0000]yyyy-mm-dd")</f>
        <v/>
      </c>
      <c r="C63873" t="inlineStr">
        <is>
          <t>2074-09-27</t>
        </is>
      </c>
    </row>
    <row r="63874">
      <c r="A63874" s="1" t="n">
        <v>63873</v>
      </c>
      <c r="B63874">
        <f>TEXT(63873, "[$-0E0000]yyyy-mm-dd")</f>
        <v/>
      </c>
      <c r="C63874" t="inlineStr">
        <is>
          <t>2074-09-28</t>
        </is>
      </c>
    </row>
    <row r="63875">
      <c r="A63875" s="1" t="n">
        <v>63874</v>
      </c>
      <c r="B63875">
        <f>TEXT(63874, "[$-0E0000]yyyy-mm-dd")</f>
        <v/>
      </c>
      <c r="C63875" t="inlineStr">
        <is>
          <t>2074-09-29</t>
        </is>
      </c>
    </row>
    <row r="63876">
      <c r="A63876" s="1" t="n">
        <v>63875</v>
      </c>
      <c r="B63876">
        <f>TEXT(63875, "[$-0E0000]yyyy-mm-dd")</f>
        <v/>
      </c>
      <c r="C63876" t="inlineStr">
        <is>
          <t>2074-09-30</t>
        </is>
      </c>
    </row>
    <row r="63877">
      <c r="A63877" s="1" t="n">
        <v>63876</v>
      </c>
      <c r="B63877">
        <f>TEXT(63876, "[$-0E0000]yyyy-mm-dd")</f>
        <v/>
      </c>
      <c r="C63877" t="inlineStr">
        <is>
          <t>2074-10-01</t>
        </is>
      </c>
    </row>
    <row r="63878">
      <c r="A63878" s="1" t="n">
        <v>63877</v>
      </c>
      <c r="B63878">
        <f>TEXT(63877, "[$-0E0000]yyyy-mm-dd")</f>
        <v/>
      </c>
      <c r="C63878" t="inlineStr">
        <is>
          <t>2074-10-02</t>
        </is>
      </c>
    </row>
    <row r="63879">
      <c r="A63879" s="1" t="n">
        <v>63878</v>
      </c>
      <c r="B63879">
        <f>TEXT(63878, "[$-0E0000]yyyy-mm-dd")</f>
        <v/>
      </c>
      <c r="C63879" t="inlineStr">
        <is>
          <t>2074-10-03</t>
        </is>
      </c>
    </row>
    <row r="63880">
      <c r="A63880" s="1" t="n">
        <v>63879</v>
      </c>
      <c r="B63880">
        <f>TEXT(63879, "[$-0E0000]yyyy-mm-dd")</f>
        <v/>
      </c>
      <c r="C63880" t="inlineStr">
        <is>
          <t>2074-10-04</t>
        </is>
      </c>
    </row>
    <row r="63881">
      <c r="A63881" s="1" t="n">
        <v>63880</v>
      </c>
      <c r="B63881">
        <f>TEXT(63880, "[$-0E0000]yyyy-mm-dd")</f>
        <v/>
      </c>
      <c r="C63881" t="inlineStr">
        <is>
          <t>2074-10-05</t>
        </is>
      </c>
    </row>
    <row r="63882">
      <c r="A63882" s="1" t="n">
        <v>63881</v>
      </c>
      <c r="B63882">
        <f>TEXT(63881, "[$-0E0000]yyyy-mm-dd")</f>
        <v/>
      </c>
      <c r="C63882" t="inlineStr">
        <is>
          <t>2074-10-06</t>
        </is>
      </c>
    </row>
    <row r="63883">
      <c r="A63883" s="1" t="n">
        <v>63882</v>
      </c>
      <c r="B63883">
        <f>TEXT(63882, "[$-0E0000]yyyy-mm-dd")</f>
        <v/>
      </c>
      <c r="C63883" t="inlineStr">
        <is>
          <t>2074-10-07</t>
        </is>
      </c>
    </row>
    <row r="63884">
      <c r="A63884" s="1" t="n">
        <v>63883</v>
      </c>
      <c r="B63884">
        <f>TEXT(63883, "[$-0E0000]yyyy-mm-dd")</f>
        <v/>
      </c>
      <c r="C63884" t="inlineStr">
        <is>
          <t>2074-10-08</t>
        </is>
      </c>
    </row>
    <row r="63885">
      <c r="A63885" s="1" t="n">
        <v>63884</v>
      </c>
      <c r="B63885">
        <f>TEXT(63884, "[$-0E0000]yyyy-mm-dd")</f>
        <v/>
      </c>
      <c r="C63885" t="inlineStr">
        <is>
          <t>2074-10-09</t>
        </is>
      </c>
    </row>
    <row r="63886">
      <c r="A63886" s="1" t="n">
        <v>63885</v>
      </c>
      <c r="B63886">
        <f>TEXT(63885, "[$-0E0000]yyyy-mm-dd")</f>
        <v/>
      </c>
      <c r="C63886" t="inlineStr">
        <is>
          <t>2074-10-10</t>
        </is>
      </c>
    </row>
    <row r="63887">
      <c r="A63887" s="1" t="n">
        <v>63886</v>
      </c>
      <c r="B63887">
        <f>TEXT(63886, "[$-0E0000]yyyy-mm-dd")</f>
        <v/>
      </c>
      <c r="C63887" t="inlineStr">
        <is>
          <t>2074-10-11</t>
        </is>
      </c>
    </row>
    <row r="63888">
      <c r="A63888" s="1" t="n">
        <v>63887</v>
      </c>
      <c r="B63888">
        <f>TEXT(63887, "[$-0E0000]yyyy-mm-dd")</f>
        <v/>
      </c>
      <c r="C63888" t="inlineStr">
        <is>
          <t>2074-10-12</t>
        </is>
      </c>
    </row>
    <row r="63889">
      <c r="A63889" s="1" t="n">
        <v>63888</v>
      </c>
      <c r="B63889">
        <f>TEXT(63888, "[$-0E0000]yyyy-mm-dd")</f>
        <v/>
      </c>
      <c r="C63889" t="inlineStr">
        <is>
          <t>2074-10-13</t>
        </is>
      </c>
    </row>
    <row r="63890">
      <c r="A63890" s="1" t="n">
        <v>63889</v>
      </c>
      <c r="B63890">
        <f>TEXT(63889, "[$-0E0000]yyyy-mm-dd")</f>
        <v/>
      </c>
      <c r="C63890" t="inlineStr">
        <is>
          <t>2074-10-14</t>
        </is>
      </c>
    </row>
    <row r="63891">
      <c r="A63891" s="1" t="n">
        <v>63890</v>
      </c>
      <c r="B63891">
        <f>TEXT(63890, "[$-0E0000]yyyy-mm-dd")</f>
        <v/>
      </c>
      <c r="C63891" t="inlineStr">
        <is>
          <t>2074-10-15</t>
        </is>
      </c>
    </row>
    <row r="63892">
      <c r="A63892" s="1" t="n">
        <v>63891</v>
      </c>
      <c r="B63892">
        <f>TEXT(63891, "[$-0E0000]yyyy-mm-dd")</f>
        <v/>
      </c>
      <c r="C63892" t="inlineStr">
        <is>
          <t>2074-10-16</t>
        </is>
      </c>
    </row>
    <row r="63893">
      <c r="A63893" s="1" t="n">
        <v>63892</v>
      </c>
      <c r="B63893">
        <f>TEXT(63892, "[$-0E0000]yyyy-mm-dd")</f>
        <v/>
      </c>
      <c r="C63893" t="inlineStr">
        <is>
          <t>2074-10-17</t>
        </is>
      </c>
    </row>
    <row r="63894">
      <c r="A63894" s="1" t="n">
        <v>63893</v>
      </c>
      <c r="B63894">
        <f>TEXT(63893, "[$-0E0000]yyyy-mm-dd")</f>
        <v/>
      </c>
      <c r="C63894" t="inlineStr">
        <is>
          <t>2074-10-18</t>
        </is>
      </c>
    </row>
    <row r="63895">
      <c r="A63895" s="1" t="n">
        <v>63894</v>
      </c>
      <c r="B63895">
        <f>TEXT(63894, "[$-0E0000]yyyy-mm-dd")</f>
        <v/>
      </c>
      <c r="C63895" t="inlineStr">
        <is>
          <t>2074-10-19</t>
        </is>
      </c>
    </row>
    <row r="63896">
      <c r="A63896" s="1" t="n">
        <v>63895</v>
      </c>
      <c r="B63896">
        <f>TEXT(63895, "[$-0E0000]yyyy-mm-dd")</f>
        <v/>
      </c>
      <c r="C63896" t="inlineStr">
        <is>
          <t>2074-10-20</t>
        </is>
      </c>
    </row>
    <row r="63897">
      <c r="A63897" s="1" t="n">
        <v>63896</v>
      </c>
      <c r="B63897">
        <f>TEXT(63896, "[$-0E0000]yyyy-mm-dd")</f>
        <v/>
      </c>
      <c r="C63897" t="inlineStr">
        <is>
          <t>2074-10-21</t>
        </is>
      </c>
    </row>
    <row r="63898">
      <c r="A63898" s="1" t="n">
        <v>63897</v>
      </c>
      <c r="B63898">
        <f>TEXT(63897, "[$-0E0000]yyyy-mm-dd")</f>
        <v/>
      </c>
      <c r="C63898" t="inlineStr">
        <is>
          <t>2074-10-22</t>
        </is>
      </c>
    </row>
    <row r="63899">
      <c r="A63899" s="1" t="n">
        <v>63898</v>
      </c>
      <c r="B63899">
        <f>TEXT(63898, "[$-0E0000]yyyy-mm-dd")</f>
        <v/>
      </c>
      <c r="C63899" t="inlineStr">
        <is>
          <t>2074-10-23</t>
        </is>
      </c>
    </row>
    <row r="63900">
      <c r="A63900" s="1" t="n">
        <v>63899</v>
      </c>
      <c r="B63900">
        <f>TEXT(63899, "[$-0E0000]yyyy-mm-dd")</f>
        <v/>
      </c>
      <c r="C63900" t="inlineStr">
        <is>
          <t>2074-10-24</t>
        </is>
      </c>
    </row>
    <row r="63901">
      <c r="A63901" s="1" t="n">
        <v>63900</v>
      </c>
      <c r="B63901">
        <f>TEXT(63900, "[$-0E0000]yyyy-mm-dd")</f>
        <v/>
      </c>
      <c r="C63901" t="inlineStr">
        <is>
          <t>2074-10-25</t>
        </is>
      </c>
    </row>
    <row r="63902">
      <c r="A63902" s="1" t="n">
        <v>63901</v>
      </c>
      <c r="B63902">
        <f>TEXT(63901, "[$-0E0000]yyyy-mm-dd")</f>
        <v/>
      </c>
      <c r="C63902" t="inlineStr">
        <is>
          <t>2074-10-26</t>
        </is>
      </c>
    </row>
    <row r="63903">
      <c r="A63903" s="1" t="n">
        <v>63902</v>
      </c>
      <c r="B63903">
        <f>TEXT(63902, "[$-0E0000]yyyy-mm-dd")</f>
        <v/>
      </c>
      <c r="C63903" t="inlineStr">
        <is>
          <t>2074-10-27</t>
        </is>
      </c>
    </row>
    <row r="63904">
      <c r="A63904" s="1" t="n">
        <v>63903</v>
      </c>
      <c r="B63904">
        <f>TEXT(63903, "[$-0E0000]yyyy-mm-dd")</f>
        <v/>
      </c>
      <c r="C63904" t="inlineStr">
        <is>
          <t>2074-10-28</t>
        </is>
      </c>
    </row>
    <row r="63905">
      <c r="A63905" s="1" t="n">
        <v>63904</v>
      </c>
      <c r="B63905">
        <f>TEXT(63904, "[$-0E0000]yyyy-mm-dd")</f>
        <v/>
      </c>
      <c r="C63905" t="inlineStr">
        <is>
          <t>2074-10-29</t>
        </is>
      </c>
    </row>
    <row r="63906">
      <c r="A63906" s="1" t="n">
        <v>63905</v>
      </c>
      <c r="B63906">
        <f>TEXT(63905, "[$-0E0000]yyyy-mm-dd")</f>
        <v/>
      </c>
      <c r="C63906" t="inlineStr">
        <is>
          <t>2074-11-01</t>
        </is>
      </c>
    </row>
    <row r="63907">
      <c r="A63907" s="1" t="n">
        <v>63906</v>
      </c>
      <c r="B63907">
        <f>TEXT(63906, "[$-0E0000]yyyy-mm-dd")</f>
        <v/>
      </c>
      <c r="C63907" t="inlineStr">
        <is>
          <t>2074-11-02</t>
        </is>
      </c>
    </row>
    <row r="63908">
      <c r="A63908" s="1" t="n">
        <v>63907</v>
      </c>
      <c r="B63908">
        <f>TEXT(63907, "[$-0E0000]yyyy-mm-dd")</f>
        <v/>
      </c>
      <c r="C63908" t="inlineStr">
        <is>
          <t>2074-11-03</t>
        </is>
      </c>
    </row>
    <row r="63909">
      <c r="A63909" s="1" t="n">
        <v>63908</v>
      </c>
      <c r="B63909">
        <f>TEXT(63908, "[$-0E0000]yyyy-mm-dd")</f>
        <v/>
      </c>
      <c r="C63909" t="inlineStr">
        <is>
          <t>2074-11-04</t>
        </is>
      </c>
    </row>
    <row r="63910">
      <c r="A63910" s="1" t="n">
        <v>63909</v>
      </c>
      <c r="B63910">
        <f>TEXT(63909, "[$-0E0000]yyyy-mm-dd")</f>
        <v/>
      </c>
      <c r="C63910" t="inlineStr">
        <is>
          <t>2074-11-05</t>
        </is>
      </c>
    </row>
    <row r="63911">
      <c r="A63911" s="1" t="n">
        <v>63910</v>
      </c>
      <c r="B63911">
        <f>TEXT(63910, "[$-0E0000]yyyy-mm-dd")</f>
        <v/>
      </c>
      <c r="C63911" t="inlineStr">
        <is>
          <t>2074-11-06</t>
        </is>
      </c>
    </row>
    <row r="63912">
      <c r="A63912" s="1" t="n">
        <v>63911</v>
      </c>
      <c r="B63912">
        <f>TEXT(63911, "[$-0E0000]yyyy-mm-dd")</f>
        <v/>
      </c>
      <c r="C63912" t="inlineStr">
        <is>
          <t>2074-11-07</t>
        </is>
      </c>
    </row>
    <row r="63913">
      <c r="A63913" s="1" t="n">
        <v>63912</v>
      </c>
      <c r="B63913">
        <f>TEXT(63912, "[$-0E0000]yyyy-mm-dd")</f>
        <v/>
      </c>
      <c r="C63913" t="inlineStr">
        <is>
          <t>2074-11-08</t>
        </is>
      </c>
    </row>
    <row r="63914">
      <c r="A63914" s="1" t="n">
        <v>63913</v>
      </c>
      <c r="B63914">
        <f>TEXT(63913, "[$-0E0000]yyyy-mm-dd")</f>
        <v/>
      </c>
      <c r="C63914" t="inlineStr">
        <is>
          <t>2074-11-09</t>
        </is>
      </c>
    </row>
    <row r="63915">
      <c r="A63915" s="1" t="n">
        <v>63914</v>
      </c>
      <c r="B63915">
        <f>TEXT(63914, "[$-0E0000]yyyy-mm-dd")</f>
        <v/>
      </c>
      <c r="C63915" t="inlineStr">
        <is>
          <t>2074-11-10</t>
        </is>
      </c>
    </row>
    <row r="63916">
      <c r="A63916" s="1" t="n">
        <v>63915</v>
      </c>
      <c r="B63916">
        <f>TEXT(63915, "[$-0E0000]yyyy-mm-dd")</f>
        <v/>
      </c>
      <c r="C63916" t="inlineStr">
        <is>
          <t>2074-11-11</t>
        </is>
      </c>
    </row>
    <row r="63917">
      <c r="A63917" s="1" t="n">
        <v>63916</v>
      </c>
      <c r="B63917">
        <f>TEXT(63916, "[$-0E0000]yyyy-mm-dd")</f>
        <v/>
      </c>
      <c r="C63917" t="inlineStr">
        <is>
          <t>2074-11-12</t>
        </is>
      </c>
    </row>
    <row r="63918">
      <c r="A63918" s="1" t="n">
        <v>63917</v>
      </c>
      <c r="B63918">
        <f>TEXT(63917, "[$-0E0000]yyyy-mm-dd")</f>
        <v/>
      </c>
      <c r="C63918" t="inlineStr">
        <is>
          <t>2074-11-13</t>
        </is>
      </c>
    </row>
    <row r="63919">
      <c r="A63919" s="1" t="n">
        <v>63918</v>
      </c>
      <c r="B63919">
        <f>TEXT(63918, "[$-0E0000]yyyy-mm-dd")</f>
        <v/>
      </c>
      <c r="C63919" t="inlineStr">
        <is>
          <t>2074-11-14</t>
        </is>
      </c>
    </row>
    <row r="63920">
      <c r="A63920" s="1" t="n">
        <v>63919</v>
      </c>
      <c r="B63920">
        <f>TEXT(63919, "[$-0E0000]yyyy-mm-dd")</f>
        <v/>
      </c>
      <c r="C63920" t="inlineStr">
        <is>
          <t>2074-11-15</t>
        </is>
      </c>
    </row>
    <row r="63921">
      <c r="A63921" s="1" t="n">
        <v>63920</v>
      </c>
      <c r="B63921">
        <f>TEXT(63920, "[$-0E0000]yyyy-mm-dd")</f>
        <v/>
      </c>
      <c r="C63921" t="inlineStr">
        <is>
          <t>2074-11-16</t>
        </is>
      </c>
    </row>
    <row r="63922">
      <c r="A63922" s="1" t="n">
        <v>63921</v>
      </c>
      <c r="B63922">
        <f>TEXT(63921, "[$-0E0000]yyyy-mm-dd")</f>
        <v/>
      </c>
      <c r="C63922" t="inlineStr">
        <is>
          <t>2074-11-17</t>
        </is>
      </c>
    </row>
    <row r="63923">
      <c r="A63923" s="1" t="n">
        <v>63922</v>
      </c>
      <c r="B63923">
        <f>TEXT(63922, "[$-0E0000]yyyy-mm-dd")</f>
        <v/>
      </c>
      <c r="C63923" t="inlineStr">
        <is>
          <t>2074-11-18</t>
        </is>
      </c>
    </row>
    <row r="63924">
      <c r="A63924" s="1" t="n">
        <v>63923</v>
      </c>
      <c r="B63924">
        <f>TEXT(63923, "[$-0E0000]yyyy-mm-dd")</f>
        <v/>
      </c>
      <c r="C63924" t="inlineStr">
        <is>
          <t>2074-11-19</t>
        </is>
      </c>
    </row>
    <row r="63925">
      <c r="A63925" s="1" t="n">
        <v>63924</v>
      </c>
      <c r="B63925">
        <f>TEXT(63924, "[$-0E0000]yyyy-mm-dd")</f>
        <v/>
      </c>
      <c r="C63925" t="inlineStr">
        <is>
          <t>2074-11-20</t>
        </is>
      </c>
    </row>
    <row r="63926">
      <c r="A63926" s="1" t="n">
        <v>63925</v>
      </c>
      <c r="B63926">
        <f>TEXT(63925, "[$-0E0000]yyyy-mm-dd")</f>
        <v/>
      </c>
      <c r="C63926" t="inlineStr">
        <is>
          <t>2074-11-21</t>
        </is>
      </c>
    </row>
    <row r="63927">
      <c r="A63927" s="1" t="n">
        <v>63926</v>
      </c>
      <c r="B63927">
        <f>TEXT(63926, "[$-0E0000]yyyy-mm-dd")</f>
        <v/>
      </c>
      <c r="C63927" t="inlineStr">
        <is>
          <t>2074-11-22</t>
        </is>
      </c>
    </row>
    <row r="63928">
      <c r="A63928" s="1" t="n">
        <v>63927</v>
      </c>
      <c r="B63928">
        <f>TEXT(63927, "[$-0E0000]yyyy-mm-dd")</f>
        <v/>
      </c>
      <c r="C63928" t="inlineStr">
        <is>
          <t>2074-11-23</t>
        </is>
      </c>
    </row>
    <row r="63929">
      <c r="A63929" s="1" t="n">
        <v>63928</v>
      </c>
      <c r="B63929">
        <f>TEXT(63928, "[$-0E0000]yyyy-mm-dd")</f>
        <v/>
      </c>
      <c r="C63929" t="inlineStr">
        <is>
          <t>2074-11-24</t>
        </is>
      </c>
    </row>
    <row r="63930">
      <c r="A63930" s="1" t="n">
        <v>63929</v>
      </c>
      <c r="B63930">
        <f>TEXT(63929, "[$-0E0000]yyyy-mm-dd")</f>
        <v/>
      </c>
      <c r="C63930" t="inlineStr">
        <is>
          <t>2074-11-25</t>
        </is>
      </c>
    </row>
    <row r="63931">
      <c r="A63931" s="1" t="n">
        <v>63930</v>
      </c>
      <c r="B63931">
        <f>TEXT(63930, "[$-0E0000]yyyy-mm-dd")</f>
        <v/>
      </c>
      <c r="C63931" t="inlineStr">
        <is>
          <t>2074-11-26</t>
        </is>
      </c>
    </row>
    <row r="63932">
      <c r="A63932" s="1" t="n">
        <v>63931</v>
      </c>
      <c r="B63932">
        <f>TEXT(63931, "[$-0E0000]yyyy-mm-dd")</f>
        <v/>
      </c>
      <c r="C63932" t="inlineStr">
        <is>
          <t>2074-11-27</t>
        </is>
      </c>
    </row>
    <row r="63933">
      <c r="A63933" s="1" t="n">
        <v>63932</v>
      </c>
      <c r="B63933">
        <f>TEXT(63932, "[$-0E0000]yyyy-mm-dd")</f>
        <v/>
      </c>
      <c r="C63933" t="inlineStr">
        <is>
          <t>2074-11-28</t>
        </is>
      </c>
    </row>
    <row r="63934">
      <c r="A63934" s="1" t="n">
        <v>63933</v>
      </c>
      <c r="B63934">
        <f>TEXT(63933, "[$-0E0000]yyyy-mm-dd")</f>
        <v/>
      </c>
      <c r="C63934" t="inlineStr">
        <is>
          <t>2074-11-29</t>
        </is>
      </c>
    </row>
    <row r="63935">
      <c r="A63935" s="1" t="n">
        <v>63934</v>
      </c>
      <c r="B63935">
        <f>TEXT(63934, "[$-0E0000]yyyy-mm-dd")</f>
        <v/>
      </c>
      <c r="C63935" t="inlineStr">
        <is>
          <t>2074-11-30</t>
        </is>
      </c>
    </row>
    <row r="63936">
      <c r="A63936" s="1" t="n">
        <v>63935</v>
      </c>
      <c r="B63936">
        <f>TEXT(63935, "[$-0E0000]yyyy-mm-dd")</f>
        <v/>
      </c>
      <c r="C63936" t="inlineStr">
        <is>
          <t>2074-12-01</t>
        </is>
      </c>
    </row>
    <row r="63937">
      <c r="A63937" s="1" t="n">
        <v>63936</v>
      </c>
      <c r="B63937">
        <f>TEXT(63936, "[$-0E0000]yyyy-mm-dd")</f>
        <v/>
      </c>
      <c r="C63937" t="inlineStr">
        <is>
          <t>2074-12-02</t>
        </is>
      </c>
    </row>
    <row r="63938">
      <c r="A63938" s="1" t="n">
        <v>63937</v>
      </c>
      <c r="B63938">
        <f>TEXT(63937, "[$-0E0000]yyyy-mm-dd")</f>
        <v/>
      </c>
      <c r="C63938" t="inlineStr">
        <is>
          <t>2074-12-03</t>
        </is>
      </c>
    </row>
    <row r="63939">
      <c r="A63939" s="1" t="n">
        <v>63938</v>
      </c>
      <c r="B63939">
        <f>TEXT(63938, "[$-0E0000]yyyy-mm-dd")</f>
        <v/>
      </c>
      <c r="C63939" t="inlineStr">
        <is>
          <t>2074-12-04</t>
        </is>
      </c>
    </row>
    <row r="63940">
      <c r="A63940" s="1" t="n">
        <v>63939</v>
      </c>
      <c r="B63940">
        <f>TEXT(63939, "[$-0E0000]yyyy-mm-dd")</f>
        <v/>
      </c>
      <c r="C63940" t="inlineStr">
        <is>
          <t>2074-12-05</t>
        </is>
      </c>
    </row>
    <row r="63941">
      <c r="A63941" s="1" t="n">
        <v>63940</v>
      </c>
      <c r="B63941">
        <f>TEXT(63940, "[$-0E0000]yyyy-mm-dd")</f>
        <v/>
      </c>
      <c r="C63941" t="inlineStr">
        <is>
          <t>2074-12-06</t>
        </is>
      </c>
    </row>
    <row r="63942">
      <c r="A63942" s="1" t="n">
        <v>63941</v>
      </c>
      <c r="B63942">
        <f>TEXT(63941, "[$-0E0000]yyyy-mm-dd")</f>
        <v/>
      </c>
      <c r="C63942" t="inlineStr">
        <is>
          <t>2074-12-07</t>
        </is>
      </c>
    </row>
    <row r="63943">
      <c r="A63943" s="1" t="n">
        <v>63942</v>
      </c>
      <c r="B63943">
        <f>TEXT(63942, "[$-0E0000]yyyy-mm-dd")</f>
        <v/>
      </c>
      <c r="C63943" t="inlineStr">
        <is>
          <t>2074-12-08</t>
        </is>
      </c>
    </row>
    <row r="63944">
      <c r="A63944" s="1" t="n">
        <v>63943</v>
      </c>
      <c r="B63944">
        <f>TEXT(63943, "[$-0E0000]yyyy-mm-dd")</f>
        <v/>
      </c>
      <c r="C63944" t="inlineStr">
        <is>
          <t>2074-12-09</t>
        </is>
      </c>
    </row>
    <row r="63945">
      <c r="A63945" s="1" t="n">
        <v>63944</v>
      </c>
      <c r="B63945">
        <f>TEXT(63944, "[$-0E0000]yyyy-mm-dd")</f>
        <v/>
      </c>
      <c r="C63945" t="inlineStr">
        <is>
          <t>2074-12-10</t>
        </is>
      </c>
    </row>
    <row r="63946">
      <c r="A63946" s="1" t="n">
        <v>63945</v>
      </c>
      <c r="B63946">
        <f>TEXT(63945, "[$-0E0000]yyyy-mm-dd")</f>
        <v/>
      </c>
      <c r="C63946" t="inlineStr">
        <is>
          <t>2074-12-11</t>
        </is>
      </c>
    </row>
    <row r="63947">
      <c r="A63947" s="1" t="n">
        <v>63946</v>
      </c>
      <c r="B63947">
        <f>TEXT(63946, "[$-0E0000]yyyy-mm-dd")</f>
        <v/>
      </c>
      <c r="C63947" t="inlineStr">
        <is>
          <t>2074-12-12</t>
        </is>
      </c>
    </row>
    <row r="63948">
      <c r="A63948" s="1" t="n">
        <v>63947</v>
      </c>
      <c r="B63948">
        <f>TEXT(63947, "[$-0E0000]yyyy-mm-dd")</f>
        <v/>
      </c>
      <c r="C63948" t="inlineStr">
        <is>
          <t>2074-12-13</t>
        </is>
      </c>
    </row>
    <row r="63949">
      <c r="A63949" s="1" t="n">
        <v>63948</v>
      </c>
      <c r="B63949">
        <f>TEXT(63948, "[$-0E0000]yyyy-mm-dd")</f>
        <v/>
      </c>
      <c r="C63949" t="inlineStr">
        <is>
          <t>2074-12-14</t>
        </is>
      </c>
    </row>
    <row r="63950">
      <c r="A63950" s="1" t="n">
        <v>63949</v>
      </c>
      <c r="B63950">
        <f>TEXT(63949, "[$-0E0000]yyyy-mm-dd")</f>
        <v/>
      </c>
      <c r="C63950" t="inlineStr">
        <is>
          <t>2074-12-15</t>
        </is>
      </c>
    </row>
    <row r="63951">
      <c r="A63951" s="1" t="n">
        <v>63950</v>
      </c>
      <c r="B63951">
        <f>TEXT(63950, "[$-0E0000]yyyy-mm-dd")</f>
        <v/>
      </c>
      <c r="C63951" t="inlineStr">
        <is>
          <t>2074-12-16</t>
        </is>
      </c>
    </row>
    <row r="63952">
      <c r="A63952" s="1" t="n">
        <v>63951</v>
      </c>
      <c r="B63952">
        <f>TEXT(63951, "[$-0E0000]yyyy-mm-dd")</f>
        <v/>
      </c>
      <c r="C63952" t="inlineStr">
        <is>
          <t>2074-12-17</t>
        </is>
      </c>
    </row>
    <row r="63953">
      <c r="A63953" s="1" t="n">
        <v>63952</v>
      </c>
      <c r="B63953">
        <f>TEXT(63952, "[$-0E0000]yyyy-mm-dd")</f>
        <v/>
      </c>
      <c r="C63953" t="inlineStr">
        <is>
          <t>2074-12-18</t>
        </is>
      </c>
    </row>
    <row r="63954">
      <c r="A63954" s="1" t="n">
        <v>63953</v>
      </c>
      <c r="B63954">
        <f>TEXT(63953, "[$-0E0000]yyyy-mm-dd")</f>
        <v/>
      </c>
      <c r="C63954" t="inlineStr">
        <is>
          <t>2074-12-19</t>
        </is>
      </c>
    </row>
    <row r="63955">
      <c r="A63955" s="1" t="n">
        <v>63954</v>
      </c>
      <c r="B63955">
        <f>TEXT(63954, "[$-0E0000]yyyy-mm-dd")</f>
        <v/>
      </c>
      <c r="C63955" t="inlineStr">
        <is>
          <t>2074-12-20</t>
        </is>
      </c>
    </row>
    <row r="63956">
      <c r="A63956" s="1" t="n">
        <v>63955</v>
      </c>
      <c r="B63956">
        <f>TEXT(63955, "[$-0E0000]yyyy-mm-dd")</f>
        <v/>
      </c>
      <c r="C63956" t="inlineStr">
        <is>
          <t>2074-12-21</t>
        </is>
      </c>
    </row>
    <row r="63957">
      <c r="A63957" s="1" t="n">
        <v>63956</v>
      </c>
      <c r="B63957">
        <f>TEXT(63956, "[$-0E0000]yyyy-mm-dd")</f>
        <v/>
      </c>
      <c r="C63957" t="inlineStr">
        <is>
          <t>2074-12-22</t>
        </is>
      </c>
    </row>
    <row r="63958">
      <c r="A63958" s="1" t="n">
        <v>63957</v>
      </c>
      <c r="B63958">
        <f>TEXT(63957, "[$-0E0000]yyyy-mm-dd")</f>
        <v/>
      </c>
      <c r="C63958" t="inlineStr">
        <is>
          <t>2074-12-23</t>
        </is>
      </c>
    </row>
    <row r="63959">
      <c r="A63959" s="1" t="n">
        <v>63958</v>
      </c>
      <c r="B63959">
        <f>TEXT(63958, "[$-0E0000]yyyy-mm-dd")</f>
        <v/>
      </c>
      <c r="C63959" t="inlineStr">
        <is>
          <t>2074-12-24</t>
        </is>
      </c>
    </row>
    <row r="63960">
      <c r="A63960" s="1" t="n">
        <v>63959</v>
      </c>
      <c r="B63960">
        <f>TEXT(63959, "[$-0E0000]yyyy-mm-dd")</f>
        <v/>
      </c>
      <c r="C63960" t="inlineStr">
        <is>
          <t>2074-12-25</t>
        </is>
      </c>
    </row>
    <row r="63961">
      <c r="A63961" s="1" t="n">
        <v>63960</v>
      </c>
      <c r="B63961">
        <f>TEXT(63960, "[$-0E0000]yyyy-mm-dd")</f>
        <v/>
      </c>
      <c r="C63961" t="inlineStr">
        <is>
          <t>2074-12-26</t>
        </is>
      </c>
    </row>
    <row r="63962">
      <c r="A63962" s="1" t="n">
        <v>63961</v>
      </c>
      <c r="B63962">
        <f>TEXT(63961, "[$-0E0000]yyyy-mm-dd")</f>
        <v/>
      </c>
      <c r="C63962" t="inlineStr">
        <is>
          <t>2074-12-27</t>
        </is>
      </c>
    </row>
    <row r="63963">
      <c r="A63963" s="1" t="n">
        <v>63962</v>
      </c>
      <c r="B63963">
        <f>TEXT(63962, "[$-0E0000]yyyy-mm-dd")</f>
        <v/>
      </c>
      <c r="C63963" t="inlineStr">
        <is>
          <t>2074-12-28</t>
        </is>
      </c>
    </row>
    <row r="63964">
      <c r="A63964" s="1" t="n">
        <v>63963</v>
      </c>
      <c r="B63964">
        <f>TEXT(63963, "[$-0E0000]yyyy-mm-dd")</f>
        <v/>
      </c>
      <c r="C63964" t="inlineStr">
        <is>
          <t>2074-12-29</t>
        </is>
      </c>
    </row>
    <row r="63965">
      <c r="A63965" s="1" t="n">
        <v>63964</v>
      </c>
      <c r="B63965">
        <f>TEXT(63964, "[$-0E0000]yyyy-mm-dd")</f>
        <v/>
      </c>
      <c r="C63965" t="inlineStr">
        <is>
          <t>2075-01-01</t>
        </is>
      </c>
    </row>
    <row r="63966">
      <c r="A63966" s="1" t="n">
        <v>63965</v>
      </c>
      <c r="B63966">
        <f>TEXT(63965, "[$-0E0000]yyyy-mm-dd")</f>
        <v/>
      </c>
      <c r="C63966" t="inlineStr">
        <is>
          <t>2075-01-02</t>
        </is>
      </c>
    </row>
    <row r="63967">
      <c r="A63967" s="1" t="n">
        <v>63966</v>
      </c>
      <c r="B63967">
        <f>TEXT(63966, "[$-0E0000]yyyy-mm-dd")</f>
        <v/>
      </c>
      <c r="C63967" t="inlineStr">
        <is>
          <t>2075-01-03</t>
        </is>
      </c>
    </row>
    <row r="63968">
      <c r="A63968" s="1" t="n">
        <v>63967</v>
      </c>
      <c r="B63968">
        <f>TEXT(63967, "[$-0E0000]yyyy-mm-dd")</f>
        <v/>
      </c>
      <c r="C63968" t="inlineStr">
        <is>
          <t>2075-01-04</t>
        </is>
      </c>
    </row>
    <row r="63969">
      <c r="A63969" s="1" t="n">
        <v>63968</v>
      </c>
      <c r="B63969">
        <f>TEXT(63968, "[$-0E0000]yyyy-mm-dd")</f>
        <v/>
      </c>
      <c r="C63969" t="inlineStr">
        <is>
          <t>2075-01-05</t>
        </is>
      </c>
    </row>
    <row r="63970">
      <c r="A63970" s="1" t="n">
        <v>63969</v>
      </c>
      <c r="B63970">
        <f>TEXT(63969, "[$-0E0000]yyyy-mm-dd")</f>
        <v/>
      </c>
      <c r="C63970" t="inlineStr">
        <is>
          <t>2075-01-06</t>
        </is>
      </c>
    </row>
    <row r="63971">
      <c r="A63971" s="1" t="n">
        <v>63970</v>
      </c>
      <c r="B63971">
        <f>TEXT(63970, "[$-0E0000]yyyy-mm-dd")</f>
        <v/>
      </c>
      <c r="C63971" t="inlineStr">
        <is>
          <t>2075-01-07</t>
        </is>
      </c>
    </row>
    <row r="63972">
      <c r="A63972" s="1" t="n">
        <v>63971</v>
      </c>
      <c r="B63972">
        <f>TEXT(63971, "[$-0E0000]yyyy-mm-dd")</f>
        <v/>
      </c>
      <c r="C63972" t="inlineStr">
        <is>
          <t>2075-01-08</t>
        </is>
      </c>
    </row>
    <row r="63973">
      <c r="A63973" s="1" t="n">
        <v>63972</v>
      </c>
      <c r="B63973">
        <f>TEXT(63972, "[$-0E0000]yyyy-mm-dd")</f>
        <v/>
      </c>
      <c r="C63973" t="inlineStr">
        <is>
          <t>2075-01-09</t>
        </is>
      </c>
    </row>
    <row r="63974">
      <c r="A63974" s="1" t="n">
        <v>63973</v>
      </c>
      <c r="B63974">
        <f>TEXT(63973, "[$-0E0000]yyyy-mm-dd")</f>
        <v/>
      </c>
      <c r="C63974" t="inlineStr">
        <is>
          <t>2075-01-10</t>
        </is>
      </c>
    </row>
    <row r="63975">
      <c r="A63975" s="1" t="n">
        <v>63974</v>
      </c>
      <c r="B63975">
        <f>TEXT(63974, "[$-0E0000]yyyy-mm-dd")</f>
        <v/>
      </c>
      <c r="C63975" t="inlineStr">
        <is>
          <t>2075-01-11</t>
        </is>
      </c>
    </row>
    <row r="63976">
      <c r="A63976" s="1" t="n">
        <v>63975</v>
      </c>
      <c r="B63976">
        <f>TEXT(63975, "[$-0E0000]yyyy-mm-dd")</f>
        <v/>
      </c>
      <c r="C63976" t="inlineStr">
        <is>
          <t>2075-01-12</t>
        </is>
      </c>
    </row>
    <row r="63977">
      <c r="A63977" s="1" t="n">
        <v>63976</v>
      </c>
      <c r="B63977">
        <f>TEXT(63976, "[$-0E0000]yyyy-mm-dd")</f>
        <v/>
      </c>
      <c r="C63977" t="inlineStr">
        <is>
          <t>2075-01-13</t>
        </is>
      </c>
    </row>
    <row r="63978">
      <c r="A63978" s="1" t="n">
        <v>63977</v>
      </c>
      <c r="B63978">
        <f>TEXT(63977, "[$-0E0000]yyyy-mm-dd")</f>
        <v/>
      </c>
      <c r="C63978" t="inlineStr">
        <is>
          <t>2075-01-14</t>
        </is>
      </c>
    </row>
    <row r="63979">
      <c r="A63979" s="1" t="n">
        <v>63978</v>
      </c>
      <c r="B63979">
        <f>TEXT(63978, "[$-0E0000]yyyy-mm-dd")</f>
        <v/>
      </c>
      <c r="C63979" t="inlineStr">
        <is>
          <t>2075-01-15</t>
        </is>
      </c>
    </row>
    <row r="63980">
      <c r="A63980" s="1" t="n">
        <v>63979</v>
      </c>
      <c r="B63980">
        <f>TEXT(63979, "[$-0E0000]yyyy-mm-dd")</f>
        <v/>
      </c>
      <c r="C63980" t="inlineStr">
        <is>
          <t>2075-01-16</t>
        </is>
      </c>
    </row>
    <row r="63981">
      <c r="A63981" s="1" t="n">
        <v>63980</v>
      </c>
      <c r="B63981">
        <f>TEXT(63980, "[$-0E0000]yyyy-mm-dd")</f>
        <v/>
      </c>
      <c r="C63981" t="inlineStr">
        <is>
          <t>2075-01-17</t>
        </is>
      </c>
    </row>
    <row r="63982">
      <c r="A63982" s="1" t="n">
        <v>63981</v>
      </c>
      <c r="B63982">
        <f>TEXT(63981, "[$-0E0000]yyyy-mm-dd")</f>
        <v/>
      </c>
      <c r="C63982" t="inlineStr">
        <is>
          <t>2075-01-18</t>
        </is>
      </c>
    </row>
    <row r="63983">
      <c r="A63983" s="1" t="n">
        <v>63982</v>
      </c>
      <c r="B63983">
        <f>TEXT(63982, "[$-0E0000]yyyy-mm-dd")</f>
        <v/>
      </c>
      <c r="C63983" t="inlineStr">
        <is>
          <t>2075-01-19</t>
        </is>
      </c>
    </row>
    <row r="63984">
      <c r="A63984" s="1" t="n">
        <v>63983</v>
      </c>
      <c r="B63984">
        <f>TEXT(63983, "[$-0E0000]yyyy-mm-dd")</f>
        <v/>
      </c>
      <c r="C63984" t="inlineStr">
        <is>
          <t>2075-01-20</t>
        </is>
      </c>
    </row>
    <row r="63985">
      <c r="A63985" s="1" t="n">
        <v>63984</v>
      </c>
      <c r="B63985">
        <f>TEXT(63984, "[$-0E0000]yyyy-mm-dd")</f>
        <v/>
      </c>
      <c r="C63985" t="inlineStr">
        <is>
          <t>2075-01-21</t>
        </is>
      </c>
    </row>
    <row r="63986">
      <c r="A63986" s="1" t="n">
        <v>63985</v>
      </c>
      <c r="B63986">
        <f>TEXT(63985, "[$-0E0000]yyyy-mm-dd")</f>
        <v/>
      </c>
      <c r="C63986" t="inlineStr">
        <is>
          <t>2075-01-22</t>
        </is>
      </c>
    </row>
    <row r="63987">
      <c r="A63987" s="1" t="n">
        <v>63986</v>
      </c>
      <c r="B63987">
        <f>TEXT(63986, "[$-0E0000]yyyy-mm-dd")</f>
        <v/>
      </c>
      <c r="C63987" t="inlineStr">
        <is>
          <t>2075-01-23</t>
        </is>
      </c>
    </row>
    <row r="63988">
      <c r="A63988" s="1" t="n">
        <v>63987</v>
      </c>
      <c r="B63988">
        <f>TEXT(63987, "[$-0E0000]yyyy-mm-dd")</f>
        <v/>
      </c>
      <c r="C63988" t="inlineStr">
        <is>
          <t>2075-01-24</t>
        </is>
      </c>
    </row>
    <row r="63989">
      <c r="A63989" s="1" t="n">
        <v>63988</v>
      </c>
      <c r="B63989">
        <f>TEXT(63988, "[$-0E0000]yyyy-mm-dd")</f>
        <v/>
      </c>
      <c r="C63989" t="inlineStr">
        <is>
          <t>2075-01-25</t>
        </is>
      </c>
    </row>
    <row r="63990">
      <c r="A63990" s="1" t="n">
        <v>63989</v>
      </c>
      <c r="B63990">
        <f>TEXT(63989, "[$-0E0000]yyyy-mm-dd")</f>
        <v/>
      </c>
      <c r="C63990" t="inlineStr">
        <is>
          <t>2075-01-26</t>
        </is>
      </c>
    </row>
    <row r="63991">
      <c r="A63991" s="1" t="n">
        <v>63990</v>
      </c>
      <c r="B63991">
        <f>TEXT(63990, "[$-0E0000]yyyy-mm-dd")</f>
        <v/>
      </c>
      <c r="C63991" t="inlineStr">
        <is>
          <t>2075-01-27</t>
        </is>
      </c>
    </row>
    <row r="63992">
      <c r="A63992" s="1" t="n">
        <v>63991</v>
      </c>
      <c r="B63992">
        <f>TEXT(63991, "[$-0E0000]yyyy-mm-dd")</f>
        <v/>
      </c>
      <c r="C63992" t="inlineStr">
        <is>
          <t>2075-01-28</t>
        </is>
      </c>
    </row>
    <row r="63993">
      <c r="A63993" s="1" t="n">
        <v>63992</v>
      </c>
      <c r="B63993">
        <f>TEXT(63992, "[$-0E0000]yyyy-mm-dd")</f>
        <v/>
      </c>
      <c r="C63993" t="inlineStr">
        <is>
          <t>2075-01-29</t>
        </is>
      </c>
    </row>
    <row r="63994">
      <c r="A63994" s="1" t="n">
        <v>63993</v>
      </c>
      <c r="B63994">
        <f>TEXT(63993, "[$-0E0000]yyyy-mm-dd")</f>
        <v/>
      </c>
      <c r="C63994" t="inlineStr">
        <is>
          <t>2075-01-30</t>
        </is>
      </c>
    </row>
    <row r="63995">
      <c r="A63995" s="1" t="n">
        <v>63994</v>
      </c>
      <c r="B63995">
        <f>TEXT(63994, "[$-0E0000]yyyy-mm-dd")</f>
        <v/>
      </c>
      <c r="C63995" t="inlineStr">
        <is>
          <t>2075-02-01</t>
        </is>
      </c>
    </row>
    <row r="63996">
      <c r="A63996" s="1" t="n">
        <v>63995</v>
      </c>
      <c r="B63996">
        <f>TEXT(63995, "[$-0E0000]yyyy-mm-dd")</f>
        <v/>
      </c>
      <c r="C63996" t="inlineStr">
        <is>
          <t>2075-02-02</t>
        </is>
      </c>
    </row>
    <row r="63997">
      <c r="A63997" s="1" t="n">
        <v>63996</v>
      </c>
      <c r="B63997">
        <f>TEXT(63996, "[$-0E0000]yyyy-mm-dd")</f>
        <v/>
      </c>
      <c r="C63997" t="inlineStr">
        <is>
          <t>2075-02-03</t>
        </is>
      </c>
    </row>
    <row r="63998">
      <c r="A63998" s="1" t="n">
        <v>63997</v>
      </c>
      <c r="B63998">
        <f>TEXT(63997, "[$-0E0000]yyyy-mm-dd")</f>
        <v/>
      </c>
      <c r="C63998" t="inlineStr">
        <is>
          <t>2075-02-04</t>
        </is>
      </c>
    </row>
    <row r="63999">
      <c r="A63999" s="1" t="n">
        <v>63998</v>
      </c>
      <c r="B63999">
        <f>TEXT(63998, "[$-0E0000]yyyy-mm-dd")</f>
        <v/>
      </c>
      <c r="C63999" t="inlineStr">
        <is>
          <t>2075-02-05</t>
        </is>
      </c>
    </row>
    <row r="64000">
      <c r="A64000" s="1" t="n">
        <v>63999</v>
      </c>
      <c r="B64000">
        <f>TEXT(63999, "[$-0E0000]yyyy-mm-dd")</f>
        <v/>
      </c>
      <c r="C64000" t="inlineStr">
        <is>
          <t>2075-02-06</t>
        </is>
      </c>
    </row>
    <row r="64001">
      <c r="A64001" s="1" t="n">
        <v>64000</v>
      </c>
      <c r="B64001">
        <f>TEXT(64000, "[$-0E0000]yyyy-mm-dd")</f>
        <v/>
      </c>
      <c r="C64001" t="inlineStr">
        <is>
          <t>2075-02-07</t>
        </is>
      </c>
    </row>
    <row r="64002">
      <c r="A64002" s="1" t="n">
        <v>64001</v>
      </c>
      <c r="B64002">
        <f>TEXT(64001, "[$-0E0000]yyyy-mm-dd")</f>
        <v/>
      </c>
      <c r="C64002" t="inlineStr">
        <is>
          <t>2075-02-08</t>
        </is>
      </c>
    </row>
    <row r="64003">
      <c r="A64003" s="1" t="n">
        <v>64002</v>
      </c>
      <c r="B64003">
        <f>TEXT(64002, "[$-0E0000]yyyy-mm-dd")</f>
        <v/>
      </c>
      <c r="C64003" t="inlineStr">
        <is>
          <t>2075-02-09</t>
        </is>
      </c>
    </row>
    <row r="64004">
      <c r="A64004" s="1" t="n">
        <v>64003</v>
      </c>
      <c r="B64004">
        <f>TEXT(64003, "[$-0E0000]yyyy-mm-dd")</f>
        <v/>
      </c>
      <c r="C64004" t="inlineStr">
        <is>
          <t>2075-02-10</t>
        </is>
      </c>
    </row>
    <row r="64005">
      <c r="A64005" s="1" t="n">
        <v>64004</v>
      </c>
      <c r="B64005">
        <f>TEXT(64004, "[$-0E0000]yyyy-mm-dd")</f>
        <v/>
      </c>
      <c r="C64005" t="inlineStr">
        <is>
          <t>2075-02-11</t>
        </is>
      </c>
    </row>
    <row r="64006">
      <c r="A64006" s="1" t="n">
        <v>64005</v>
      </c>
      <c r="B64006">
        <f>TEXT(64005, "[$-0E0000]yyyy-mm-dd")</f>
        <v/>
      </c>
      <c r="C64006" t="inlineStr">
        <is>
          <t>2075-02-12</t>
        </is>
      </c>
    </row>
    <row r="64007">
      <c r="A64007" s="1" t="n">
        <v>64006</v>
      </c>
      <c r="B64007">
        <f>TEXT(64006, "[$-0E0000]yyyy-mm-dd")</f>
        <v/>
      </c>
      <c r="C64007" t="inlineStr">
        <is>
          <t>2075-02-13</t>
        </is>
      </c>
    </row>
    <row r="64008">
      <c r="A64008" s="1" t="n">
        <v>64007</v>
      </c>
      <c r="B64008">
        <f>TEXT(64007, "[$-0E0000]yyyy-mm-dd")</f>
        <v/>
      </c>
      <c r="C64008" t="inlineStr">
        <is>
          <t>2075-02-14</t>
        </is>
      </c>
    </row>
    <row r="64009">
      <c r="A64009" s="1" t="n">
        <v>64008</v>
      </c>
      <c r="B64009">
        <f>TEXT(64008, "[$-0E0000]yyyy-mm-dd")</f>
        <v/>
      </c>
      <c r="C64009" t="inlineStr">
        <is>
          <t>2075-02-15</t>
        </is>
      </c>
    </row>
    <row r="64010">
      <c r="A64010" s="1" t="n">
        <v>64009</v>
      </c>
      <c r="B64010">
        <f>TEXT(64009, "[$-0E0000]yyyy-mm-dd")</f>
        <v/>
      </c>
      <c r="C64010" t="inlineStr">
        <is>
          <t>2075-02-16</t>
        </is>
      </c>
    </row>
    <row r="64011">
      <c r="A64011" s="1" t="n">
        <v>64010</v>
      </c>
      <c r="B64011">
        <f>TEXT(64010, "[$-0E0000]yyyy-mm-dd")</f>
        <v/>
      </c>
      <c r="C64011" t="inlineStr">
        <is>
          <t>2075-02-17</t>
        </is>
      </c>
    </row>
    <row r="64012">
      <c r="A64012" s="1" t="n">
        <v>64011</v>
      </c>
      <c r="B64012">
        <f>TEXT(64011, "[$-0E0000]yyyy-mm-dd")</f>
        <v/>
      </c>
      <c r="C64012" t="inlineStr">
        <is>
          <t>2075-02-18</t>
        </is>
      </c>
    </row>
    <row r="64013">
      <c r="A64013" s="1" t="n">
        <v>64012</v>
      </c>
      <c r="B64013">
        <f>TEXT(64012, "[$-0E0000]yyyy-mm-dd")</f>
        <v/>
      </c>
      <c r="C64013" t="inlineStr">
        <is>
          <t>2075-02-19</t>
        </is>
      </c>
    </row>
    <row r="64014">
      <c r="A64014" s="1" t="n">
        <v>64013</v>
      </c>
      <c r="B64014">
        <f>TEXT(64013, "[$-0E0000]yyyy-mm-dd")</f>
        <v/>
      </c>
      <c r="C64014" t="inlineStr">
        <is>
          <t>2075-02-20</t>
        </is>
      </c>
    </row>
    <row r="64015">
      <c r="A64015" s="1" t="n">
        <v>64014</v>
      </c>
      <c r="B64015">
        <f>TEXT(64014, "[$-0E0000]yyyy-mm-dd")</f>
        <v/>
      </c>
      <c r="C64015" t="inlineStr">
        <is>
          <t>2075-02-21</t>
        </is>
      </c>
    </row>
    <row r="64016">
      <c r="A64016" s="1" t="n">
        <v>64015</v>
      </c>
      <c r="B64016">
        <f>TEXT(64015, "[$-0E0000]yyyy-mm-dd")</f>
        <v/>
      </c>
      <c r="C64016" t="inlineStr">
        <is>
          <t>2075-02-22</t>
        </is>
      </c>
    </row>
    <row r="64017">
      <c r="A64017" s="1" t="n">
        <v>64016</v>
      </c>
      <c r="B64017">
        <f>TEXT(64016, "[$-0E0000]yyyy-mm-dd")</f>
        <v/>
      </c>
      <c r="C64017" t="inlineStr">
        <is>
          <t>2075-02-23</t>
        </is>
      </c>
    </row>
    <row r="64018">
      <c r="A64018" s="1" t="n">
        <v>64017</v>
      </c>
      <c r="B64018">
        <f>TEXT(64017, "[$-0E0000]yyyy-mm-dd")</f>
        <v/>
      </c>
      <c r="C64018" t="inlineStr">
        <is>
          <t>2075-02-24</t>
        </is>
      </c>
    </row>
    <row r="64019">
      <c r="A64019" s="1" t="n">
        <v>64018</v>
      </c>
      <c r="B64019">
        <f>TEXT(64018, "[$-0E0000]yyyy-mm-dd")</f>
        <v/>
      </c>
      <c r="C64019" t="inlineStr">
        <is>
          <t>2075-02-25</t>
        </is>
      </c>
    </row>
    <row r="64020">
      <c r="A64020" s="1" t="n">
        <v>64019</v>
      </c>
      <c r="B64020">
        <f>TEXT(64019, "[$-0E0000]yyyy-mm-dd")</f>
        <v/>
      </c>
      <c r="C64020" t="inlineStr">
        <is>
          <t>2075-02-26</t>
        </is>
      </c>
    </row>
    <row r="64021">
      <c r="A64021" s="1" t="n">
        <v>64020</v>
      </c>
      <c r="B64021">
        <f>TEXT(64020, "[$-0E0000]yyyy-mm-dd")</f>
        <v/>
      </c>
      <c r="C64021" t="inlineStr">
        <is>
          <t>2075-02-27</t>
        </is>
      </c>
    </row>
    <row r="64022">
      <c r="A64022" s="1" t="n">
        <v>64021</v>
      </c>
      <c r="B64022">
        <f>TEXT(64021, "[$-0E0000]yyyy-mm-dd")</f>
        <v/>
      </c>
      <c r="C64022" t="inlineStr">
        <is>
          <t>2075-02-28</t>
        </is>
      </c>
    </row>
    <row r="64023">
      <c r="A64023" s="1" t="n">
        <v>64022</v>
      </c>
      <c r="B64023">
        <f>TEXT(64022, "[$-0E0000]yyyy-mm-dd")</f>
        <v/>
      </c>
      <c r="C64023" t="inlineStr">
        <is>
          <t>2075-02-29</t>
        </is>
      </c>
    </row>
    <row r="64024">
      <c r="A64024" s="1" t="n">
        <v>64023</v>
      </c>
      <c r="B64024">
        <f>TEXT(64023, "[$-0E0000]yyyy-mm-dd")</f>
        <v/>
      </c>
      <c r="C64024" t="inlineStr">
        <is>
          <t>2075-03-01</t>
        </is>
      </c>
    </row>
    <row r="64025">
      <c r="A64025" s="1" t="n">
        <v>64024</v>
      </c>
      <c r="B64025">
        <f>TEXT(64024, "[$-0E0000]yyyy-mm-dd")</f>
        <v/>
      </c>
      <c r="C64025" t="inlineStr">
        <is>
          <t>2075-03-02</t>
        </is>
      </c>
    </row>
    <row r="64026">
      <c r="A64026" s="1" t="n">
        <v>64025</v>
      </c>
      <c r="B64026">
        <f>TEXT(64025, "[$-0E0000]yyyy-mm-dd")</f>
        <v/>
      </c>
      <c r="C64026" t="inlineStr">
        <is>
          <t>2075-03-03</t>
        </is>
      </c>
    </row>
    <row r="64027">
      <c r="A64027" s="1" t="n">
        <v>64026</v>
      </c>
      <c r="B64027">
        <f>TEXT(64026, "[$-0E0000]yyyy-mm-dd")</f>
        <v/>
      </c>
      <c r="C64027" t="inlineStr">
        <is>
          <t>2075-03-04</t>
        </is>
      </c>
    </row>
    <row r="64028">
      <c r="A64028" s="1" t="n">
        <v>64027</v>
      </c>
      <c r="B64028">
        <f>TEXT(64027, "[$-0E0000]yyyy-mm-dd")</f>
        <v/>
      </c>
      <c r="C64028" t="inlineStr">
        <is>
          <t>2075-03-05</t>
        </is>
      </c>
    </row>
    <row r="64029">
      <c r="A64029" s="1" t="n">
        <v>64028</v>
      </c>
      <c r="B64029">
        <f>TEXT(64028, "[$-0E0000]yyyy-mm-dd")</f>
        <v/>
      </c>
      <c r="C64029" t="inlineStr">
        <is>
          <t>2075-03-06</t>
        </is>
      </c>
    </row>
    <row r="64030">
      <c r="A64030" s="1" t="n">
        <v>64029</v>
      </c>
      <c r="B64030">
        <f>TEXT(64029, "[$-0E0000]yyyy-mm-dd")</f>
        <v/>
      </c>
      <c r="C64030" t="inlineStr">
        <is>
          <t>2075-03-07</t>
        </is>
      </c>
    </row>
    <row r="64031">
      <c r="A64031" s="1" t="n">
        <v>64030</v>
      </c>
      <c r="B64031">
        <f>TEXT(64030, "[$-0E0000]yyyy-mm-dd")</f>
        <v/>
      </c>
      <c r="C64031" t="inlineStr">
        <is>
          <t>2075-03-08</t>
        </is>
      </c>
    </row>
    <row r="64032">
      <c r="A64032" s="1" t="n">
        <v>64031</v>
      </c>
      <c r="B64032">
        <f>TEXT(64031, "[$-0E0000]yyyy-mm-dd")</f>
        <v/>
      </c>
      <c r="C64032" t="inlineStr">
        <is>
          <t>2075-03-09</t>
        </is>
      </c>
    </row>
    <row r="64033">
      <c r="A64033" s="1" t="n">
        <v>64032</v>
      </c>
      <c r="B64033">
        <f>TEXT(64032, "[$-0E0000]yyyy-mm-dd")</f>
        <v/>
      </c>
      <c r="C64033" t="inlineStr">
        <is>
          <t>2075-03-10</t>
        </is>
      </c>
    </row>
    <row r="64034">
      <c r="A64034" s="1" t="n">
        <v>64033</v>
      </c>
      <c r="B64034">
        <f>TEXT(64033, "[$-0E0000]yyyy-mm-dd")</f>
        <v/>
      </c>
      <c r="C64034" t="inlineStr">
        <is>
          <t>2075-03-11</t>
        </is>
      </c>
    </row>
    <row r="64035">
      <c r="A64035" s="1" t="n">
        <v>64034</v>
      </c>
      <c r="B64035">
        <f>TEXT(64034, "[$-0E0000]yyyy-mm-dd")</f>
        <v/>
      </c>
      <c r="C64035" t="inlineStr">
        <is>
          <t>2075-03-12</t>
        </is>
      </c>
    </row>
    <row r="64036">
      <c r="A64036" s="1" t="n">
        <v>64035</v>
      </c>
      <c r="B64036">
        <f>TEXT(64035, "[$-0E0000]yyyy-mm-dd")</f>
        <v/>
      </c>
      <c r="C64036" t="inlineStr">
        <is>
          <t>2075-03-13</t>
        </is>
      </c>
    </row>
    <row r="64037">
      <c r="A64037" s="1" t="n">
        <v>64036</v>
      </c>
      <c r="B64037">
        <f>TEXT(64036, "[$-0E0000]yyyy-mm-dd")</f>
        <v/>
      </c>
      <c r="C64037" t="inlineStr">
        <is>
          <t>2075-03-14</t>
        </is>
      </c>
    </row>
    <row r="64038">
      <c r="A64038" s="1" t="n">
        <v>64037</v>
      </c>
      <c r="B64038">
        <f>TEXT(64037, "[$-0E0000]yyyy-mm-dd")</f>
        <v/>
      </c>
      <c r="C64038" t="inlineStr">
        <is>
          <t>2075-03-15</t>
        </is>
      </c>
    </row>
    <row r="64039">
      <c r="A64039" s="1" t="n">
        <v>64038</v>
      </c>
      <c r="B64039">
        <f>TEXT(64038, "[$-0E0000]yyyy-mm-dd")</f>
        <v/>
      </c>
      <c r="C64039" t="inlineStr">
        <is>
          <t>2075-03-16</t>
        </is>
      </c>
    </row>
    <row r="64040">
      <c r="A64040" s="1" t="n">
        <v>64039</v>
      </c>
      <c r="B64040">
        <f>TEXT(64039, "[$-0E0000]yyyy-mm-dd")</f>
        <v/>
      </c>
      <c r="C64040" t="inlineStr">
        <is>
          <t>2075-03-17</t>
        </is>
      </c>
    </row>
    <row r="64041">
      <c r="A64041" s="1" t="n">
        <v>64040</v>
      </c>
      <c r="B64041">
        <f>TEXT(64040, "[$-0E0000]yyyy-mm-dd")</f>
        <v/>
      </c>
      <c r="C64041" t="inlineStr">
        <is>
          <t>2075-03-18</t>
        </is>
      </c>
    </row>
    <row r="64042">
      <c r="A64042" s="1" t="n">
        <v>64041</v>
      </c>
      <c r="B64042">
        <f>TEXT(64041, "[$-0E0000]yyyy-mm-dd")</f>
        <v/>
      </c>
      <c r="C64042" t="inlineStr">
        <is>
          <t>2075-03-19</t>
        </is>
      </c>
    </row>
    <row r="64043">
      <c r="A64043" s="1" t="n">
        <v>64042</v>
      </c>
      <c r="B64043">
        <f>TEXT(64042, "[$-0E0000]yyyy-mm-dd")</f>
        <v/>
      </c>
      <c r="C64043" t="inlineStr">
        <is>
          <t>2075-03-20</t>
        </is>
      </c>
    </row>
    <row r="64044">
      <c r="A64044" s="1" t="n">
        <v>64043</v>
      </c>
      <c r="B64044">
        <f>TEXT(64043, "[$-0E0000]yyyy-mm-dd")</f>
        <v/>
      </c>
      <c r="C64044" t="inlineStr">
        <is>
          <t>2075-03-21</t>
        </is>
      </c>
    </row>
    <row r="64045">
      <c r="A64045" s="1" t="n">
        <v>64044</v>
      </c>
      <c r="B64045">
        <f>TEXT(64044, "[$-0E0000]yyyy-mm-dd")</f>
        <v/>
      </c>
      <c r="C64045" t="inlineStr">
        <is>
          <t>2075-03-22</t>
        </is>
      </c>
    </row>
    <row r="64046">
      <c r="A64046" s="1" t="n">
        <v>64045</v>
      </c>
      <c r="B64046">
        <f>TEXT(64045, "[$-0E0000]yyyy-mm-dd")</f>
        <v/>
      </c>
      <c r="C64046" t="inlineStr">
        <is>
          <t>2075-03-23</t>
        </is>
      </c>
    </row>
    <row r="64047">
      <c r="A64047" s="1" t="n">
        <v>64046</v>
      </c>
      <c r="B64047">
        <f>TEXT(64046, "[$-0E0000]yyyy-mm-dd")</f>
        <v/>
      </c>
      <c r="C64047" t="inlineStr">
        <is>
          <t>2075-03-24</t>
        </is>
      </c>
    </row>
    <row r="64048">
      <c r="A64048" s="1" t="n">
        <v>64047</v>
      </c>
      <c r="B64048">
        <f>TEXT(64047, "[$-0E0000]yyyy-mm-dd")</f>
        <v/>
      </c>
      <c r="C64048" t="inlineStr">
        <is>
          <t>2075-03-25</t>
        </is>
      </c>
    </row>
    <row r="64049">
      <c r="A64049" s="1" t="n">
        <v>64048</v>
      </c>
      <c r="B64049">
        <f>TEXT(64048, "[$-0E0000]yyyy-mm-dd")</f>
        <v/>
      </c>
      <c r="C64049" t="inlineStr">
        <is>
          <t>2075-03-26</t>
        </is>
      </c>
    </row>
    <row r="64050">
      <c r="A64050" s="1" t="n">
        <v>64049</v>
      </c>
      <c r="B64050">
        <f>TEXT(64049, "[$-0E0000]yyyy-mm-dd")</f>
        <v/>
      </c>
      <c r="C64050" t="inlineStr">
        <is>
          <t>2075-03-27</t>
        </is>
      </c>
    </row>
    <row r="64051">
      <c r="A64051" s="1" t="n">
        <v>64050</v>
      </c>
      <c r="B64051">
        <f>TEXT(64050, "[$-0E0000]yyyy-mm-dd")</f>
        <v/>
      </c>
      <c r="C64051" t="inlineStr">
        <is>
          <t>2075-03-28</t>
        </is>
      </c>
    </row>
    <row r="64052">
      <c r="A64052" s="1" t="n">
        <v>64051</v>
      </c>
      <c r="B64052">
        <f>TEXT(64051, "[$-0E0000]yyyy-mm-dd")</f>
        <v/>
      </c>
      <c r="C64052" t="inlineStr">
        <is>
          <t>2075-03-29</t>
        </is>
      </c>
    </row>
    <row r="64053">
      <c r="A64053" s="1" t="n">
        <v>64052</v>
      </c>
      <c r="B64053">
        <f>TEXT(64052, "[$-0E0000]yyyy-mm-dd")</f>
        <v/>
      </c>
      <c r="C64053" t="inlineStr">
        <is>
          <t>2075-03-30</t>
        </is>
      </c>
    </row>
    <row r="64054">
      <c r="A64054" s="1" t="n">
        <v>64053</v>
      </c>
      <c r="B64054">
        <f>TEXT(64053, "[$-0E0000]yyyy-mm-dd")</f>
        <v/>
      </c>
      <c r="C64054" t="inlineStr">
        <is>
          <t>2075-04-01</t>
        </is>
      </c>
    </row>
    <row r="64055">
      <c r="A64055" s="1" t="n">
        <v>64054</v>
      </c>
      <c r="B64055">
        <f>TEXT(64054, "[$-0E0000]yyyy-mm-dd")</f>
        <v/>
      </c>
      <c r="C64055" t="inlineStr">
        <is>
          <t>2075-04-02</t>
        </is>
      </c>
    </row>
    <row r="64056">
      <c r="A64056" s="1" t="n">
        <v>64055</v>
      </c>
      <c r="B64056">
        <f>TEXT(64055, "[$-0E0000]yyyy-mm-dd")</f>
        <v/>
      </c>
      <c r="C64056" t="inlineStr">
        <is>
          <t>2075-04-03</t>
        </is>
      </c>
    </row>
    <row r="64057">
      <c r="A64057" s="1" t="n">
        <v>64056</v>
      </c>
      <c r="B64057">
        <f>TEXT(64056, "[$-0E0000]yyyy-mm-dd")</f>
        <v/>
      </c>
      <c r="C64057" t="inlineStr">
        <is>
          <t>2075-04-04</t>
        </is>
      </c>
    </row>
    <row r="64058">
      <c r="A64058" s="1" t="n">
        <v>64057</v>
      </c>
      <c r="B64058">
        <f>TEXT(64057, "[$-0E0000]yyyy-mm-dd")</f>
        <v/>
      </c>
      <c r="C64058" t="inlineStr">
        <is>
          <t>2075-04-05</t>
        </is>
      </c>
    </row>
    <row r="64059">
      <c r="A64059" s="1" t="n">
        <v>64058</v>
      </c>
      <c r="B64059">
        <f>TEXT(64058, "[$-0E0000]yyyy-mm-dd")</f>
        <v/>
      </c>
      <c r="C64059" t="inlineStr">
        <is>
          <t>2075-04-06</t>
        </is>
      </c>
    </row>
    <row r="64060">
      <c r="A64060" s="1" t="n">
        <v>64059</v>
      </c>
      <c r="B64060">
        <f>TEXT(64059, "[$-0E0000]yyyy-mm-dd")</f>
        <v/>
      </c>
      <c r="C64060" t="inlineStr">
        <is>
          <t>2075-04-07</t>
        </is>
      </c>
    </row>
    <row r="64061">
      <c r="A64061" s="1" t="n">
        <v>64060</v>
      </c>
      <c r="B64061">
        <f>TEXT(64060, "[$-0E0000]yyyy-mm-dd")</f>
        <v/>
      </c>
      <c r="C64061" t="inlineStr">
        <is>
          <t>2075-04-08</t>
        </is>
      </c>
    </row>
    <row r="64062">
      <c r="A64062" s="1" t="n">
        <v>64061</v>
      </c>
      <c r="B64062">
        <f>TEXT(64061, "[$-0E0000]yyyy-mm-dd")</f>
        <v/>
      </c>
      <c r="C64062" t="inlineStr">
        <is>
          <t>2075-04-09</t>
        </is>
      </c>
    </row>
    <row r="64063">
      <c r="A64063" s="1" t="n">
        <v>64062</v>
      </c>
      <c r="B64063">
        <f>TEXT(64062, "[$-0E0000]yyyy-mm-dd")</f>
        <v/>
      </c>
      <c r="C64063" t="inlineStr">
        <is>
          <t>2075-04-10</t>
        </is>
      </c>
    </row>
    <row r="64064">
      <c r="A64064" s="1" t="n">
        <v>64063</v>
      </c>
      <c r="B64064">
        <f>TEXT(64063, "[$-0E0000]yyyy-mm-dd")</f>
        <v/>
      </c>
      <c r="C64064" t="inlineStr">
        <is>
          <t>2075-04-11</t>
        </is>
      </c>
    </row>
    <row r="64065">
      <c r="A64065" s="1" t="n">
        <v>64064</v>
      </c>
      <c r="B64065">
        <f>TEXT(64064, "[$-0E0000]yyyy-mm-dd")</f>
        <v/>
      </c>
      <c r="C64065" t="inlineStr">
        <is>
          <t>2075-04-12</t>
        </is>
      </c>
    </row>
    <row r="64066">
      <c r="A64066" s="1" t="n">
        <v>64065</v>
      </c>
      <c r="B64066">
        <f>TEXT(64065, "[$-0E0000]yyyy-mm-dd")</f>
        <v/>
      </c>
      <c r="C64066" t="inlineStr">
        <is>
          <t>2075-04-13</t>
        </is>
      </c>
    </row>
    <row r="64067">
      <c r="A64067" s="1" t="n">
        <v>64066</v>
      </c>
      <c r="B64067">
        <f>TEXT(64066, "[$-0E0000]yyyy-mm-dd")</f>
        <v/>
      </c>
      <c r="C64067" t="inlineStr">
        <is>
          <t>2075-04-14</t>
        </is>
      </c>
    </row>
    <row r="64068">
      <c r="A64068" s="1" t="n">
        <v>64067</v>
      </c>
      <c r="B64068">
        <f>TEXT(64067, "[$-0E0000]yyyy-mm-dd")</f>
        <v/>
      </c>
      <c r="C64068" t="inlineStr">
        <is>
          <t>2075-04-15</t>
        </is>
      </c>
    </row>
    <row r="64069">
      <c r="A64069" s="1" t="n">
        <v>64068</v>
      </c>
      <c r="B64069">
        <f>TEXT(64068, "[$-0E0000]yyyy-mm-dd")</f>
        <v/>
      </c>
      <c r="C64069" t="inlineStr">
        <is>
          <t>2075-04-16</t>
        </is>
      </c>
    </row>
    <row r="64070">
      <c r="A64070" s="1" t="n">
        <v>64069</v>
      </c>
      <c r="B64070">
        <f>TEXT(64069, "[$-0E0000]yyyy-mm-dd")</f>
        <v/>
      </c>
      <c r="C64070" t="inlineStr">
        <is>
          <t>2075-04-17</t>
        </is>
      </c>
    </row>
    <row r="64071">
      <c r="A64071" s="1" t="n">
        <v>64070</v>
      </c>
      <c r="B64071">
        <f>TEXT(64070, "[$-0E0000]yyyy-mm-dd")</f>
        <v/>
      </c>
      <c r="C64071" t="inlineStr">
        <is>
          <t>2075-04-18</t>
        </is>
      </c>
    </row>
    <row r="64072">
      <c r="A64072" s="1" t="n">
        <v>64071</v>
      </c>
      <c r="B64072">
        <f>TEXT(64071, "[$-0E0000]yyyy-mm-dd")</f>
        <v/>
      </c>
      <c r="C64072" t="inlineStr">
        <is>
          <t>2075-04-19</t>
        </is>
      </c>
    </row>
    <row r="64073">
      <c r="A64073" s="1" t="n">
        <v>64072</v>
      </c>
      <c r="B64073">
        <f>TEXT(64072, "[$-0E0000]yyyy-mm-dd")</f>
        <v/>
      </c>
      <c r="C64073" t="inlineStr">
        <is>
          <t>2075-04-20</t>
        </is>
      </c>
    </row>
    <row r="64074">
      <c r="A64074" s="1" t="n">
        <v>64073</v>
      </c>
      <c r="B64074">
        <f>TEXT(64073, "[$-0E0000]yyyy-mm-dd")</f>
        <v/>
      </c>
      <c r="C64074" t="inlineStr">
        <is>
          <t>2075-04-21</t>
        </is>
      </c>
    </row>
    <row r="64075">
      <c r="A64075" s="1" t="n">
        <v>64074</v>
      </c>
      <c r="B64075">
        <f>TEXT(64074, "[$-0E0000]yyyy-mm-dd")</f>
        <v/>
      </c>
      <c r="C64075" t="inlineStr">
        <is>
          <t>2075-04-22</t>
        </is>
      </c>
    </row>
    <row r="64076">
      <c r="A64076" s="1" t="n">
        <v>64075</v>
      </c>
      <c r="B64076">
        <f>TEXT(64075, "[$-0E0000]yyyy-mm-dd")</f>
        <v/>
      </c>
      <c r="C64076" t="inlineStr">
        <is>
          <t>2075-04-23</t>
        </is>
      </c>
    </row>
    <row r="64077">
      <c r="A64077" s="1" t="n">
        <v>64076</v>
      </c>
      <c r="B64077">
        <f>TEXT(64076, "[$-0E0000]yyyy-mm-dd")</f>
        <v/>
      </c>
      <c r="C64077" t="inlineStr">
        <is>
          <t>2075-04-24</t>
        </is>
      </c>
    </row>
    <row r="64078">
      <c r="A64078" s="1" t="n">
        <v>64077</v>
      </c>
      <c r="B64078">
        <f>TEXT(64077, "[$-0E0000]yyyy-mm-dd")</f>
        <v/>
      </c>
      <c r="C64078" t="inlineStr">
        <is>
          <t>2075-04-25</t>
        </is>
      </c>
    </row>
    <row r="64079">
      <c r="A64079" s="1" t="n">
        <v>64078</v>
      </c>
      <c r="B64079">
        <f>TEXT(64078, "[$-0E0000]yyyy-mm-dd")</f>
        <v/>
      </c>
      <c r="C64079" t="inlineStr">
        <is>
          <t>2075-04-26</t>
        </is>
      </c>
    </row>
    <row r="64080">
      <c r="A64080" s="1" t="n">
        <v>64079</v>
      </c>
      <c r="B64080">
        <f>TEXT(64079, "[$-0E0000]yyyy-mm-dd")</f>
        <v/>
      </c>
      <c r="C64080" t="inlineStr">
        <is>
          <t>2075-04-27</t>
        </is>
      </c>
    </row>
    <row r="64081">
      <c r="A64081" s="1" t="n">
        <v>64080</v>
      </c>
      <c r="B64081">
        <f>TEXT(64080, "[$-0E0000]yyyy-mm-dd")</f>
        <v/>
      </c>
      <c r="C64081" t="inlineStr">
        <is>
          <t>2075-04-28</t>
        </is>
      </c>
    </row>
    <row r="64082">
      <c r="A64082" s="1" t="n">
        <v>64081</v>
      </c>
      <c r="B64082">
        <f>TEXT(64081, "[$-0E0000]yyyy-mm-dd")</f>
        <v/>
      </c>
      <c r="C64082" t="inlineStr">
        <is>
          <t>2075-04-29</t>
        </is>
      </c>
    </row>
    <row r="64083">
      <c r="A64083" s="1" t="n">
        <v>64082</v>
      </c>
      <c r="B64083">
        <f>TEXT(64082, "[$-0E0000]yyyy-mm-dd")</f>
        <v/>
      </c>
      <c r="C64083" t="inlineStr">
        <is>
          <t>2075-05-01</t>
        </is>
      </c>
    </row>
    <row r="64084">
      <c r="A64084" s="1" t="n">
        <v>64083</v>
      </c>
      <c r="B64084">
        <f>TEXT(64083, "[$-0E0000]yyyy-mm-dd")</f>
        <v/>
      </c>
      <c r="C64084" t="inlineStr">
        <is>
          <t>2075-05-02</t>
        </is>
      </c>
    </row>
    <row r="64085">
      <c r="A64085" s="1" t="n">
        <v>64084</v>
      </c>
      <c r="B64085">
        <f>TEXT(64084, "[$-0E0000]yyyy-mm-dd")</f>
        <v/>
      </c>
      <c r="C64085" t="inlineStr">
        <is>
          <t>2075-05-03</t>
        </is>
      </c>
    </row>
    <row r="64086">
      <c r="A64086" s="1" t="n">
        <v>64085</v>
      </c>
      <c r="B64086">
        <f>TEXT(64085, "[$-0E0000]yyyy-mm-dd")</f>
        <v/>
      </c>
      <c r="C64086" t="inlineStr">
        <is>
          <t>2075-05-04</t>
        </is>
      </c>
    </row>
    <row r="64087">
      <c r="A64087" s="1" t="n">
        <v>64086</v>
      </c>
      <c r="B64087">
        <f>TEXT(64086, "[$-0E0000]yyyy-mm-dd")</f>
        <v/>
      </c>
      <c r="C64087" t="inlineStr">
        <is>
          <t>2075-05-05</t>
        </is>
      </c>
    </row>
    <row r="64088">
      <c r="A64088" s="1" t="n">
        <v>64087</v>
      </c>
      <c r="B64088">
        <f>TEXT(64087, "[$-0E0000]yyyy-mm-dd")</f>
        <v/>
      </c>
      <c r="C64088" t="inlineStr">
        <is>
          <t>2075-05-06</t>
        </is>
      </c>
    </row>
    <row r="64089">
      <c r="A64089" s="1" t="n">
        <v>64088</v>
      </c>
      <c r="B64089">
        <f>TEXT(64088, "[$-0E0000]yyyy-mm-dd")</f>
        <v/>
      </c>
      <c r="C64089" t="inlineStr">
        <is>
          <t>2075-05-07</t>
        </is>
      </c>
    </row>
    <row r="64090">
      <c r="A64090" s="1" t="n">
        <v>64089</v>
      </c>
      <c r="B64090">
        <f>TEXT(64089, "[$-0E0000]yyyy-mm-dd")</f>
        <v/>
      </c>
      <c r="C64090" t="inlineStr">
        <is>
          <t>2075-05-08</t>
        </is>
      </c>
    </row>
    <row r="64091">
      <c r="A64091" s="1" t="n">
        <v>64090</v>
      </c>
      <c r="B64091">
        <f>TEXT(64090, "[$-0E0000]yyyy-mm-dd")</f>
        <v/>
      </c>
      <c r="C64091" t="inlineStr">
        <is>
          <t>2075-05-09</t>
        </is>
      </c>
    </row>
    <row r="64092">
      <c r="A64092" s="1" t="n">
        <v>64091</v>
      </c>
      <c r="B64092">
        <f>TEXT(64091, "[$-0E0000]yyyy-mm-dd")</f>
        <v/>
      </c>
      <c r="C64092" t="inlineStr">
        <is>
          <t>2075-05-10</t>
        </is>
      </c>
    </row>
    <row r="64093">
      <c r="A64093" s="1" t="n">
        <v>64092</v>
      </c>
      <c r="B64093">
        <f>TEXT(64092, "[$-0E0000]yyyy-mm-dd")</f>
        <v/>
      </c>
      <c r="C64093" t="inlineStr">
        <is>
          <t>2075-05-11</t>
        </is>
      </c>
    </row>
    <row r="64094">
      <c r="A64094" s="1" t="n">
        <v>64093</v>
      </c>
      <c r="B64094">
        <f>TEXT(64093, "[$-0E0000]yyyy-mm-dd")</f>
        <v/>
      </c>
      <c r="C64094" t="inlineStr">
        <is>
          <t>2075-05-12</t>
        </is>
      </c>
    </row>
    <row r="64095">
      <c r="A64095" s="1" t="n">
        <v>64094</v>
      </c>
      <c r="B64095">
        <f>TEXT(64094, "[$-0E0000]yyyy-mm-dd")</f>
        <v/>
      </c>
      <c r="C64095" t="inlineStr">
        <is>
          <t>2075-05-13</t>
        </is>
      </c>
    </row>
    <row r="64096">
      <c r="A64096" s="1" t="n">
        <v>64095</v>
      </c>
      <c r="B64096">
        <f>TEXT(64095, "[$-0E0000]yyyy-mm-dd")</f>
        <v/>
      </c>
      <c r="C64096" t="inlineStr">
        <is>
          <t>2075-05-14</t>
        </is>
      </c>
    </row>
    <row r="64097">
      <c r="A64097" s="1" t="n">
        <v>64096</v>
      </c>
      <c r="B64097">
        <f>TEXT(64096, "[$-0E0000]yyyy-mm-dd")</f>
        <v/>
      </c>
      <c r="C64097" t="inlineStr">
        <is>
          <t>2075-05-15</t>
        </is>
      </c>
    </row>
    <row r="64098">
      <c r="A64098" s="1" t="n">
        <v>64097</v>
      </c>
      <c r="B64098">
        <f>TEXT(64097, "[$-0E0000]yyyy-mm-dd")</f>
        <v/>
      </c>
      <c r="C64098" t="inlineStr">
        <is>
          <t>2075-05-16</t>
        </is>
      </c>
    </row>
    <row r="64099">
      <c r="A64099" s="1" t="n">
        <v>64098</v>
      </c>
      <c r="B64099">
        <f>TEXT(64098, "[$-0E0000]yyyy-mm-dd")</f>
        <v/>
      </c>
      <c r="C64099" t="inlineStr">
        <is>
          <t>2075-05-17</t>
        </is>
      </c>
    </row>
    <row r="64100">
      <c r="A64100" s="1" t="n">
        <v>64099</v>
      </c>
      <c r="B64100">
        <f>TEXT(64099, "[$-0E0000]yyyy-mm-dd")</f>
        <v/>
      </c>
      <c r="C64100" t="inlineStr">
        <is>
          <t>2075-05-18</t>
        </is>
      </c>
    </row>
    <row r="64101">
      <c r="A64101" s="1" t="n">
        <v>64100</v>
      </c>
      <c r="B64101">
        <f>TEXT(64100, "[$-0E0000]yyyy-mm-dd")</f>
        <v/>
      </c>
      <c r="C64101" t="inlineStr">
        <is>
          <t>2075-05-19</t>
        </is>
      </c>
    </row>
    <row r="64102">
      <c r="A64102" s="1" t="n">
        <v>64101</v>
      </c>
      <c r="B64102">
        <f>TEXT(64101, "[$-0E0000]yyyy-mm-dd")</f>
        <v/>
      </c>
      <c r="C64102" t="inlineStr">
        <is>
          <t>2075-05-20</t>
        </is>
      </c>
    </row>
    <row r="64103">
      <c r="A64103" s="1" t="n">
        <v>64102</v>
      </c>
      <c r="B64103">
        <f>TEXT(64102, "[$-0E0000]yyyy-mm-dd")</f>
        <v/>
      </c>
      <c r="C64103" t="inlineStr">
        <is>
          <t>2075-05-21</t>
        </is>
      </c>
    </row>
    <row r="64104">
      <c r="A64104" s="1" t="n">
        <v>64103</v>
      </c>
      <c r="B64104">
        <f>TEXT(64103, "[$-0E0000]yyyy-mm-dd")</f>
        <v/>
      </c>
      <c r="C64104" t="inlineStr">
        <is>
          <t>2075-05-22</t>
        </is>
      </c>
    </row>
    <row r="64105">
      <c r="A64105" s="1" t="n">
        <v>64104</v>
      </c>
      <c r="B64105">
        <f>TEXT(64104, "[$-0E0000]yyyy-mm-dd")</f>
        <v/>
      </c>
      <c r="C64105" t="inlineStr">
        <is>
          <t>2075-05-23</t>
        </is>
      </c>
    </row>
    <row r="64106">
      <c r="A64106" s="1" t="n">
        <v>64105</v>
      </c>
      <c r="B64106">
        <f>TEXT(64105, "[$-0E0000]yyyy-mm-dd")</f>
        <v/>
      </c>
      <c r="C64106" t="inlineStr">
        <is>
          <t>2075-05-24</t>
        </is>
      </c>
    </row>
    <row r="64107">
      <c r="A64107" s="1" t="n">
        <v>64106</v>
      </c>
      <c r="B64107">
        <f>TEXT(64106, "[$-0E0000]yyyy-mm-dd")</f>
        <v/>
      </c>
      <c r="C64107" t="inlineStr">
        <is>
          <t>2075-05-25</t>
        </is>
      </c>
    </row>
    <row r="64108">
      <c r="A64108" s="1" t="n">
        <v>64107</v>
      </c>
      <c r="B64108">
        <f>TEXT(64107, "[$-0E0000]yyyy-mm-dd")</f>
        <v/>
      </c>
      <c r="C64108" t="inlineStr">
        <is>
          <t>2075-05-26</t>
        </is>
      </c>
    </row>
    <row r="64109">
      <c r="A64109" s="1" t="n">
        <v>64108</v>
      </c>
      <c r="B64109">
        <f>TEXT(64108, "[$-0E0000]yyyy-mm-dd")</f>
        <v/>
      </c>
      <c r="C64109" t="inlineStr">
        <is>
          <t>2075-05-27</t>
        </is>
      </c>
    </row>
    <row r="64110">
      <c r="A64110" s="1" t="n">
        <v>64109</v>
      </c>
      <c r="B64110">
        <f>TEXT(64109, "[$-0E0000]yyyy-mm-dd")</f>
        <v/>
      </c>
      <c r="C64110" t="inlineStr">
        <is>
          <t>2075-05-28</t>
        </is>
      </c>
    </row>
    <row r="64111">
      <c r="A64111" s="1" t="n">
        <v>64110</v>
      </c>
      <c r="B64111">
        <f>TEXT(64110, "[$-0E0000]yyyy-mm-dd")</f>
        <v/>
      </c>
      <c r="C64111" t="inlineStr">
        <is>
          <t>2075-05-29</t>
        </is>
      </c>
    </row>
    <row r="64112">
      <c r="A64112" s="1" t="n">
        <v>64111</v>
      </c>
      <c r="B64112">
        <f>TEXT(64111, "[$-0E0000]yyyy-mm-dd")</f>
        <v/>
      </c>
      <c r="C64112" t="inlineStr">
        <is>
          <t>2075-05-30</t>
        </is>
      </c>
    </row>
    <row r="64113">
      <c r="A64113" s="1" t="n">
        <v>64112</v>
      </c>
      <c r="B64113">
        <f>TEXT(64112, "[$-0E0000]yyyy-mm-dd")</f>
        <v/>
      </c>
      <c r="C64113" t="inlineStr">
        <is>
          <t>2075-06-01</t>
        </is>
      </c>
    </row>
    <row r="64114">
      <c r="A64114" s="1" t="n">
        <v>64113</v>
      </c>
      <c r="B64114">
        <f>TEXT(64113, "[$-0E0000]yyyy-mm-dd")</f>
        <v/>
      </c>
      <c r="C64114" t="inlineStr">
        <is>
          <t>2075-06-02</t>
        </is>
      </c>
    </row>
    <row r="64115">
      <c r="A64115" s="1" t="n">
        <v>64114</v>
      </c>
      <c r="B64115">
        <f>TEXT(64114, "[$-0E0000]yyyy-mm-dd")</f>
        <v/>
      </c>
      <c r="C64115" t="inlineStr">
        <is>
          <t>2075-06-03</t>
        </is>
      </c>
    </row>
    <row r="64116">
      <c r="A64116" s="1" t="n">
        <v>64115</v>
      </c>
      <c r="B64116">
        <f>TEXT(64115, "[$-0E0000]yyyy-mm-dd")</f>
        <v/>
      </c>
      <c r="C64116" t="inlineStr">
        <is>
          <t>2075-06-04</t>
        </is>
      </c>
    </row>
    <row r="64117">
      <c r="A64117" s="1" t="n">
        <v>64116</v>
      </c>
      <c r="B64117">
        <f>TEXT(64116, "[$-0E0000]yyyy-mm-dd")</f>
        <v/>
      </c>
      <c r="C64117" t="inlineStr">
        <is>
          <t>2075-06-05</t>
        </is>
      </c>
    </row>
    <row r="64118">
      <c r="A64118" s="1" t="n">
        <v>64117</v>
      </c>
      <c r="B64118">
        <f>TEXT(64117, "[$-0E0000]yyyy-mm-dd")</f>
        <v/>
      </c>
      <c r="C64118" t="inlineStr">
        <is>
          <t>2075-06-06</t>
        </is>
      </c>
    </row>
    <row r="64119">
      <c r="A64119" s="1" t="n">
        <v>64118</v>
      </c>
      <c r="B64119">
        <f>TEXT(64118, "[$-0E0000]yyyy-mm-dd")</f>
        <v/>
      </c>
      <c r="C64119" t="inlineStr">
        <is>
          <t>2075-06-07</t>
        </is>
      </c>
    </row>
    <row r="64120">
      <c r="A64120" s="1" t="n">
        <v>64119</v>
      </c>
      <c r="B64120">
        <f>TEXT(64119, "[$-0E0000]yyyy-mm-dd")</f>
        <v/>
      </c>
      <c r="C64120" t="inlineStr">
        <is>
          <t>2075-06-08</t>
        </is>
      </c>
    </row>
    <row r="64121">
      <c r="A64121" s="1" t="n">
        <v>64120</v>
      </c>
      <c r="B64121">
        <f>TEXT(64120, "[$-0E0000]yyyy-mm-dd")</f>
        <v/>
      </c>
      <c r="C64121" t="inlineStr">
        <is>
          <t>2075-06-09</t>
        </is>
      </c>
    </row>
    <row r="64122">
      <c r="A64122" s="1" t="n">
        <v>64121</v>
      </c>
      <c r="B64122">
        <f>TEXT(64121, "[$-0E0000]yyyy-mm-dd")</f>
        <v/>
      </c>
      <c r="C64122" t="inlineStr">
        <is>
          <t>2075-06-10</t>
        </is>
      </c>
    </row>
    <row r="64123">
      <c r="A64123" s="1" t="n">
        <v>64122</v>
      </c>
      <c r="B64123">
        <f>TEXT(64122, "[$-0E0000]yyyy-mm-dd")</f>
        <v/>
      </c>
      <c r="C64123" t="inlineStr">
        <is>
          <t>2075-06-11</t>
        </is>
      </c>
    </row>
    <row r="64124">
      <c r="A64124" s="1" t="n">
        <v>64123</v>
      </c>
      <c r="B64124">
        <f>TEXT(64123, "[$-0E0000]yyyy-mm-dd")</f>
        <v/>
      </c>
      <c r="C64124" t="inlineStr">
        <is>
          <t>2075-06-12</t>
        </is>
      </c>
    </row>
    <row r="64125">
      <c r="A64125" s="1" t="n">
        <v>64124</v>
      </c>
      <c r="B64125">
        <f>TEXT(64124, "[$-0E0000]yyyy-mm-dd")</f>
        <v/>
      </c>
      <c r="C64125" t="inlineStr">
        <is>
          <t>2075-06-13</t>
        </is>
      </c>
    </row>
    <row r="64126">
      <c r="A64126" s="1" t="n">
        <v>64125</v>
      </c>
      <c r="B64126">
        <f>TEXT(64125, "[$-0E0000]yyyy-mm-dd")</f>
        <v/>
      </c>
      <c r="C64126" t="inlineStr">
        <is>
          <t>2075-06-14</t>
        </is>
      </c>
    </row>
    <row r="64127">
      <c r="A64127" s="1" t="n">
        <v>64126</v>
      </c>
      <c r="B64127">
        <f>TEXT(64126, "[$-0E0000]yyyy-mm-dd")</f>
        <v/>
      </c>
      <c r="C64127" t="inlineStr">
        <is>
          <t>2075-06-15</t>
        </is>
      </c>
    </row>
    <row r="64128">
      <c r="A64128" s="1" t="n">
        <v>64127</v>
      </c>
      <c r="B64128">
        <f>TEXT(64127, "[$-0E0000]yyyy-mm-dd")</f>
        <v/>
      </c>
      <c r="C64128" t="inlineStr">
        <is>
          <t>2075-06-16</t>
        </is>
      </c>
    </row>
    <row r="64129">
      <c r="A64129" s="1" t="n">
        <v>64128</v>
      </c>
      <c r="B64129">
        <f>TEXT(64128, "[$-0E0000]yyyy-mm-dd")</f>
        <v/>
      </c>
      <c r="C64129" t="inlineStr">
        <is>
          <t>2075-06-17</t>
        </is>
      </c>
    </row>
    <row r="64130">
      <c r="A64130" s="1" t="n">
        <v>64129</v>
      </c>
      <c r="B64130">
        <f>TEXT(64129, "[$-0E0000]yyyy-mm-dd")</f>
        <v/>
      </c>
      <c r="C64130" t="inlineStr">
        <is>
          <t>2075-06-18</t>
        </is>
      </c>
    </row>
    <row r="64131">
      <c r="A64131" s="1" t="n">
        <v>64130</v>
      </c>
      <c r="B64131">
        <f>TEXT(64130, "[$-0E0000]yyyy-mm-dd")</f>
        <v/>
      </c>
      <c r="C64131" t="inlineStr">
        <is>
          <t>2075-06-19</t>
        </is>
      </c>
    </row>
    <row r="64132">
      <c r="A64132" s="1" t="n">
        <v>64131</v>
      </c>
      <c r="B64132">
        <f>TEXT(64131, "[$-0E0000]yyyy-mm-dd")</f>
        <v/>
      </c>
      <c r="C64132" t="inlineStr">
        <is>
          <t>2075-06-20</t>
        </is>
      </c>
    </row>
    <row r="64133">
      <c r="A64133" s="1" t="n">
        <v>64132</v>
      </c>
      <c r="B64133">
        <f>TEXT(64132, "[$-0E0000]yyyy-mm-dd")</f>
        <v/>
      </c>
      <c r="C64133" t="inlineStr">
        <is>
          <t>2075-06-21</t>
        </is>
      </c>
    </row>
    <row r="64134">
      <c r="A64134" s="1" t="n">
        <v>64133</v>
      </c>
      <c r="B64134">
        <f>TEXT(64133, "[$-0E0000]yyyy-mm-dd")</f>
        <v/>
      </c>
      <c r="C64134" t="inlineStr">
        <is>
          <t>2075-06-22</t>
        </is>
      </c>
    </row>
    <row r="64135">
      <c r="A64135" s="1" t="n">
        <v>64134</v>
      </c>
      <c r="B64135">
        <f>TEXT(64134, "[$-0E0000]yyyy-mm-dd")</f>
        <v/>
      </c>
      <c r="C64135" t="inlineStr">
        <is>
          <t>2075-06-23</t>
        </is>
      </c>
    </row>
    <row r="64136">
      <c r="A64136" s="1" t="n">
        <v>64135</v>
      </c>
      <c r="B64136">
        <f>TEXT(64135, "[$-0E0000]yyyy-mm-dd")</f>
        <v/>
      </c>
      <c r="C64136" t="inlineStr">
        <is>
          <t>2075-06-24</t>
        </is>
      </c>
    </row>
    <row r="64137">
      <c r="A64137" s="1" t="n">
        <v>64136</v>
      </c>
      <c r="B64137">
        <f>TEXT(64136, "[$-0E0000]yyyy-mm-dd")</f>
        <v/>
      </c>
      <c r="C64137" t="inlineStr">
        <is>
          <t>2075-06-25</t>
        </is>
      </c>
    </row>
    <row r="64138">
      <c r="A64138" s="1" t="n">
        <v>64137</v>
      </c>
      <c r="B64138">
        <f>TEXT(64137, "[$-0E0000]yyyy-mm-dd")</f>
        <v/>
      </c>
      <c r="C64138" t="inlineStr">
        <is>
          <t>2075-06-26</t>
        </is>
      </c>
    </row>
    <row r="64139">
      <c r="A64139" s="1" t="n">
        <v>64138</v>
      </c>
      <c r="B64139">
        <f>TEXT(64138, "[$-0E0000]yyyy-mm-dd")</f>
        <v/>
      </c>
      <c r="C64139" t="inlineStr">
        <is>
          <t>2075-06-27</t>
        </is>
      </c>
    </row>
    <row r="64140">
      <c r="A64140" s="1" t="n">
        <v>64139</v>
      </c>
      <c r="B64140">
        <f>TEXT(64139, "[$-0E0000]yyyy-mm-dd")</f>
        <v/>
      </c>
      <c r="C64140" t="inlineStr">
        <is>
          <t>2075-06-28</t>
        </is>
      </c>
    </row>
    <row r="64141">
      <c r="A64141" s="1" t="n">
        <v>64140</v>
      </c>
      <c r="B64141">
        <f>TEXT(64140, "[$-0E0000]yyyy-mm-dd")</f>
        <v/>
      </c>
      <c r="C64141" t="inlineStr">
        <is>
          <t>2075-06-29</t>
        </is>
      </c>
    </row>
    <row r="64142">
      <c r="A64142" s="1" t="n">
        <v>64141</v>
      </c>
      <c r="B64142">
        <f>TEXT(64141, "[$-0E0000]yyyy-mm-dd")</f>
        <v/>
      </c>
      <c r="C64142" t="inlineStr">
        <is>
          <t>2075-06-30</t>
        </is>
      </c>
    </row>
    <row r="64143">
      <c r="A64143" s="1" t="n">
        <v>64142</v>
      </c>
      <c r="B64143">
        <f>TEXT(64142, "[$-0E0000]yyyy-mm-dd")</f>
        <v/>
      </c>
      <c r="C64143" t="inlineStr">
        <is>
          <t>2075-07-01</t>
        </is>
      </c>
    </row>
    <row r="64144">
      <c r="A64144" s="1" t="n">
        <v>64143</v>
      </c>
      <c r="B64144">
        <f>TEXT(64143, "[$-0E0000]yyyy-mm-dd")</f>
        <v/>
      </c>
      <c r="C64144" t="inlineStr">
        <is>
          <t>2075-07-02</t>
        </is>
      </c>
    </row>
    <row r="64145">
      <c r="A64145" s="1" t="n">
        <v>64144</v>
      </c>
      <c r="B64145">
        <f>TEXT(64144, "[$-0E0000]yyyy-mm-dd")</f>
        <v/>
      </c>
      <c r="C64145" t="inlineStr">
        <is>
          <t>2075-07-03</t>
        </is>
      </c>
    </row>
    <row r="64146">
      <c r="A64146" s="1" t="n">
        <v>64145</v>
      </c>
      <c r="B64146">
        <f>TEXT(64145, "[$-0E0000]yyyy-mm-dd")</f>
        <v/>
      </c>
      <c r="C64146" t="inlineStr">
        <is>
          <t>2075-07-04</t>
        </is>
      </c>
    </row>
    <row r="64147">
      <c r="A64147" s="1" t="n">
        <v>64146</v>
      </c>
      <c r="B64147">
        <f>TEXT(64146, "[$-0E0000]yyyy-mm-dd")</f>
        <v/>
      </c>
      <c r="C64147" t="inlineStr">
        <is>
          <t>2075-07-05</t>
        </is>
      </c>
    </row>
    <row r="64148">
      <c r="A64148" s="1" t="n">
        <v>64147</v>
      </c>
      <c r="B64148">
        <f>TEXT(64147, "[$-0E0000]yyyy-mm-dd")</f>
        <v/>
      </c>
      <c r="C64148" t="inlineStr">
        <is>
          <t>2075-07-06</t>
        </is>
      </c>
    </row>
    <row r="64149">
      <c r="A64149" s="1" t="n">
        <v>64148</v>
      </c>
      <c r="B64149">
        <f>TEXT(64148, "[$-0E0000]yyyy-mm-dd")</f>
        <v/>
      </c>
      <c r="C64149" t="inlineStr">
        <is>
          <t>2075-07-07</t>
        </is>
      </c>
    </row>
    <row r="64150">
      <c r="A64150" s="1" t="n">
        <v>64149</v>
      </c>
      <c r="B64150">
        <f>TEXT(64149, "[$-0E0000]yyyy-mm-dd")</f>
        <v/>
      </c>
      <c r="C64150" t="inlineStr">
        <is>
          <t>2075-07-08</t>
        </is>
      </c>
    </row>
    <row r="64151">
      <c r="A64151" s="1" t="n">
        <v>64150</v>
      </c>
      <c r="B64151">
        <f>TEXT(64150, "[$-0E0000]yyyy-mm-dd")</f>
        <v/>
      </c>
      <c r="C64151" t="inlineStr">
        <is>
          <t>2075-07-09</t>
        </is>
      </c>
    </row>
    <row r="64152">
      <c r="A64152" s="1" t="n">
        <v>64151</v>
      </c>
      <c r="B64152">
        <f>TEXT(64151, "[$-0E0000]yyyy-mm-dd")</f>
        <v/>
      </c>
      <c r="C64152" t="inlineStr">
        <is>
          <t>2075-07-10</t>
        </is>
      </c>
    </row>
    <row r="64153">
      <c r="A64153" s="1" t="n">
        <v>64152</v>
      </c>
      <c r="B64153">
        <f>TEXT(64152, "[$-0E0000]yyyy-mm-dd")</f>
        <v/>
      </c>
      <c r="C64153" t="inlineStr">
        <is>
          <t>2075-07-11</t>
        </is>
      </c>
    </row>
    <row r="64154">
      <c r="A64154" s="1" t="n">
        <v>64153</v>
      </c>
      <c r="B64154">
        <f>TEXT(64153, "[$-0E0000]yyyy-mm-dd")</f>
        <v/>
      </c>
      <c r="C64154" t="inlineStr">
        <is>
          <t>2075-07-12</t>
        </is>
      </c>
    </row>
    <row r="64155">
      <c r="A64155" s="1" t="n">
        <v>64154</v>
      </c>
      <c r="B64155">
        <f>TEXT(64154, "[$-0E0000]yyyy-mm-dd")</f>
        <v/>
      </c>
      <c r="C64155" t="inlineStr">
        <is>
          <t>2075-07-13</t>
        </is>
      </c>
    </row>
    <row r="64156">
      <c r="A64156" s="1" t="n">
        <v>64155</v>
      </c>
      <c r="B64156">
        <f>TEXT(64155, "[$-0E0000]yyyy-mm-dd")</f>
        <v/>
      </c>
      <c r="C64156" t="inlineStr">
        <is>
          <t>2075-07-14</t>
        </is>
      </c>
    </row>
    <row r="64157">
      <c r="A64157" s="1" t="n">
        <v>64156</v>
      </c>
      <c r="B64157">
        <f>TEXT(64156, "[$-0E0000]yyyy-mm-dd")</f>
        <v/>
      </c>
      <c r="C64157" t="inlineStr">
        <is>
          <t>2075-07-15</t>
        </is>
      </c>
    </row>
    <row r="64158">
      <c r="A64158" s="1" t="n">
        <v>64157</v>
      </c>
      <c r="B64158">
        <f>TEXT(64157, "[$-0E0000]yyyy-mm-dd")</f>
        <v/>
      </c>
      <c r="C64158" t="inlineStr">
        <is>
          <t>2075-07-16</t>
        </is>
      </c>
    </row>
    <row r="64159">
      <c r="A64159" s="1" t="n">
        <v>64158</v>
      </c>
      <c r="B64159">
        <f>TEXT(64158, "[$-0E0000]yyyy-mm-dd")</f>
        <v/>
      </c>
      <c r="C64159" t="inlineStr">
        <is>
          <t>2075-07-17</t>
        </is>
      </c>
    </row>
    <row r="64160">
      <c r="A64160" s="1" t="n">
        <v>64159</v>
      </c>
      <c r="B64160">
        <f>TEXT(64159, "[$-0E0000]yyyy-mm-dd")</f>
        <v/>
      </c>
      <c r="C64160" t="inlineStr">
        <is>
          <t>2075-07-18</t>
        </is>
      </c>
    </row>
    <row r="64161">
      <c r="A64161" s="1" t="n">
        <v>64160</v>
      </c>
      <c r="B64161">
        <f>TEXT(64160, "[$-0E0000]yyyy-mm-dd")</f>
        <v/>
      </c>
      <c r="C64161" t="inlineStr">
        <is>
          <t>2075-07-19</t>
        </is>
      </c>
    </row>
    <row r="64162">
      <c r="A64162" s="1" t="n">
        <v>64161</v>
      </c>
      <c r="B64162">
        <f>TEXT(64161, "[$-0E0000]yyyy-mm-dd")</f>
        <v/>
      </c>
      <c r="C64162" t="inlineStr">
        <is>
          <t>2075-07-20</t>
        </is>
      </c>
    </row>
    <row r="64163">
      <c r="A64163" s="1" t="n">
        <v>64162</v>
      </c>
      <c r="B64163">
        <f>TEXT(64162, "[$-0E0000]yyyy-mm-dd")</f>
        <v/>
      </c>
      <c r="C64163" t="inlineStr">
        <is>
          <t>2075-07-21</t>
        </is>
      </c>
    </row>
    <row r="64164">
      <c r="A64164" s="1" t="n">
        <v>64163</v>
      </c>
      <c r="B64164">
        <f>TEXT(64163, "[$-0E0000]yyyy-mm-dd")</f>
        <v/>
      </c>
      <c r="C64164" t="inlineStr">
        <is>
          <t>2075-07-22</t>
        </is>
      </c>
    </row>
    <row r="64165">
      <c r="A64165" s="1" t="n">
        <v>64164</v>
      </c>
      <c r="B64165">
        <f>TEXT(64164, "[$-0E0000]yyyy-mm-dd")</f>
        <v/>
      </c>
      <c r="C64165" t="inlineStr">
        <is>
          <t>2075-07-23</t>
        </is>
      </c>
    </row>
    <row r="64166">
      <c r="A64166" s="1" t="n">
        <v>64165</v>
      </c>
      <c r="B64166">
        <f>TEXT(64165, "[$-0E0000]yyyy-mm-dd")</f>
        <v/>
      </c>
      <c r="C64166" t="inlineStr">
        <is>
          <t>2075-07-24</t>
        </is>
      </c>
    </row>
    <row r="64167">
      <c r="A64167" s="1" t="n">
        <v>64166</v>
      </c>
      <c r="B64167">
        <f>TEXT(64166, "[$-0E0000]yyyy-mm-dd")</f>
        <v/>
      </c>
      <c r="C64167" t="inlineStr">
        <is>
          <t>2075-07-25</t>
        </is>
      </c>
    </row>
    <row r="64168">
      <c r="A64168" s="1" t="n">
        <v>64167</v>
      </c>
      <c r="B64168">
        <f>TEXT(64167, "[$-0E0000]yyyy-mm-dd")</f>
        <v/>
      </c>
      <c r="C64168" t="inlineStr">
        <is>
          <t>2075-07-26</t>
        </is>
      </c>
    </row>
    <row r="64169">
      <c r="A64169" s="1" t="n">
        <v>64168</v>
      </c>
      <c r="B64169">
        <f>TEXT(64168, "[$-0E0000]yyyy-mm-dd")</f>
        <v/>
      </c>
      <c r="C64169" t="inlineStr">
        <is>
          <t>2075-07-27</t>
        </is>
      </c>
    </row>
    <row r="64170">
      <c r="A64170" s="1" t="n">
        <v>64169</v>
      </c>
      <c r="B64170">
        <f>TEXT(64169, "[$-0E0000]yyyy-mm-dd")</f>
        <v/>
      </c>
      <c r="C64170" t="inlineStr">
        <is>
          <t>2075-07-28</t>
        </is>
      </c>
    </row>
    <row r="64171">
      <c r="A64171" s="1" t="n">
        <v>64170</v>
      </c>
      <c r="B64171">
        <f>TEXT(64170, "[$-0E0000]yyyy-mm-dd")</f>
        <v/>
      </c>
      <c r="C64171" t="inlineStr">
        <is>
          <t>2075-07-29</t>
        </is>
      </c>
    </row>
    <row r="64172">
      <c r="A64172" s="1" t="n">
        <v>64171</v>
      </c>
      <c r="B64172">
        <f>TEXT(64171, "[$-0E0000]yyyy-mm-dd")</f>
        <v/>
      </c>
      <c r="C64172" t="inlineStr">
        <is>
          <t>2075-08-01</t>
        </is>
      </c>
    </row>
    <row r="64173">
      <c r="A64173" s="1" t="n">
        <v>64172</v>
      </c>
      <c r="B64173">
        <f>TEXT(64172, "[$-0E0000]yyyy-mm-dd")</f>
        <v/>
      </c>
      <c r="C64173" t="inlineStr">
        <is>
          <t>2075-08-02</t>
        </is>
      </c>
    </row>
    <row r="64174">
      <c r="A64174" s="1" t="n">
        <v>64173</v>
      </c>
      <c r="B64174">
        <f>TEXT(64173, "[$-0E0000]yyyy-mm-dd")</f>
        <v/>
      </c>
      <c r="C64174" t="inlineStr">
        <is>
          <t>2075-08-03</t>
        </is>
      </c>
    </row>
    <row r="64175">
      <c r="A64175" s="1" t="n">
        <v>64174</v>
      </c>
      <c r="B64175">
        <f>TEXT(64174, "[$-0E0000]yyyy-mm-dd")</f>
        <v/>
      </c>
      <c r="C64175" t="inlineStr">
        <is>
          <t>2075-08-04</t>
        </is>
      </c>
    </row>
    <row r="64176">
      <c r="A64176" s="1" t="n">
        <v>64175</v>
      </c>
      <c r="B64176">
        <f>TEXT(64175, "[$-0E0000]yyyy-mm-dd")</f>
        <v/>
      </c>
      <c r="C64176" t="inlineStr">
        <is>
          <t>2075-08-05</t>
        </is>
      </c>
    </row>
    <row r="64177">
      <c r="A64177" s="1" t="n">
        <v>64176</v>
      </c>
      <c r="B64177">
        <f>TEXT(64176, "[$-0E0000]yyyy-mm-dd")</f>
        <v/>
      </c>
      <c r="C64177" t="inlineStr">
        <is>
          <t>2075-08-06</t>
        </is>
      </c>
    </row>
    <row r="64178">
      <c r="A64178" s="1" t="n">
        <v>64177</v>
      </c>
      <c r="B64178">
        <f>TEXT(64177, "[$-0E0000]yyyy-mm-dd")</f>
        <v/>
      </c>
      <c r="C64178" t="inlineStr">
        <is>
          <t>2075-08-07</t>
        </is>
      </c>
    </row>
    <row r="64179">
      <c r="A64179" s="1" t="n">
        <v>64178</v>
      </c>
      <c r="B64179">
        <f>TEXT(64178, "[$-0E0000]yyyy-mm-dd")</f>
        <v/>
      </c>
      <c r="C64179" t="inlineStr">
        <is>
          <t>2075-08-08</t>
        </is>
      </c>
    </row>
    <row r="64180">
      <c r="A64180" s="1" t="n">
        <v>64179</v>
      </c>
      <c r="B64180">
        <f>TEXT(64179, "[$-0E0000]yyyy-mm-dd")</f>
        <v/>
      </c>
      <c r="C64180" t="inlineStr">
        <is>
          <t>2075-08-09</t>
        </is>
      </c>
    </row>
    <row r="64181">
      <c r="A64181" s="1" t="n">
        <v>64180</v>
      </c>
      <c r="B64181">
        <f>TEXT(64180, "[$-0E0000]yyyy-mm-dd")</f>
        <v/>
      </c>
      <c r="C64181" t="inlineStr">
        <is>
          <t>2075-08-10</t>
        </is>
      </c>
    </row>
    <row r="64182">
      <c r="A64182" s="1" t="n">
        <v>64181</v>
      </c>
      <c r="B64182">
        <f>TEXT(64181, "[$-0E0000]yyyy-mm-dd")</f>
        <v/>
      </c>
      <c r="C64182" t="inlineStr">
        <is>
          <t>2075-08-11</t>
        </is>
      </c>
    </row>
    <row r="64183">
      <c r="A64183" s="1" t="n">
        <v>64182</v>
      </c>
      <c r="B64183">
        <f>TEXT(64182, "[$-0E0000]yyyy-mm-dd")</f>
        <v/>
      </c>
      <c r="C64183" t="inlineStr">
        <is>
          <t>2075-08-12</t>
        </is>
      </c>
    </row>
    <row r="64184">
      <c r="A64184" s="1" t="n">
        <v>64183</v>
      </c>
      <c r="B64184">
        <f>TEXT(64183, "[$-0E0000]yyyy-mm-dd")</f>
        <v/>
      </c>
      <c r="C64184" t="inlineStr">
        <is>
          <t>2075-08-13</t>
        </is>
      </c>
    </row>
    <row r="64185">
      <c r="A64185" s="1" t="n">
        <v>64184</v>
      </c>
      <c r="B64185">
        <f>TEXT(64184, "[$-0E0000]yyyy-mm-dd")</f>
        <v/>
      </c>
      <c r="C64185" t="inlineStr">
        <is>
          <t>2075-08-14</t>
        </is>
      </c>
    </row>
    <row r="64186">
      <c r="A64186" s="1" t="n">
        <v>64185</v>
      </c>
      <c r="B64186">
        <f>TEXT(64185, "[$-0E0000]yyyy-mm-dd")</f>
        <v/>
      </c>
      <c r="C64186" t="inlineStr">
        <is>
          <t>2075-08-15</t>
        </is>
      </c>
    </row>
    <row r="64187">
      <c r="A64187" s="1" t="n">
        <v>64186</v>
      </c>
      <c r="B64187">
        <f>TEXT(64186, "[$-0E0000]yyyy-mm-dd")</f>
        <v/>
      </c>
      <c r="C64187" t="inlineStr">
        <is>
          <t>2075-08-16</t>
        </is>
      </c>
    </row>
    <row r="64188">
      <c r="A64188" s="1" t="n">
        <v>64187</v>
      </c>
      <c r="B64188">
        <f>TEXT(64187, "[$-0E0000]yyyy-mm-dd")</f>
        <v/>
      </c>
      <c r="C64188" t="inlineStr">
        <is>
          <t>2075-08-17</t>
        </is>
      </c>
    </row>
    <row r="64189">
      <c r="A64189" s="1" t="n">
        <v>64188</v>
      </c>
      <c r="B64189">
        <f>TEXT(64188, "[$-0E0000]yyyy-mm-dd")</f>
        <v/>
      </c>
      <c r="C64189" t="inlineStr">
        <is>
          <t>2075-08-18</t>
        </is>
      </c>
    </row>
    <row r="64190">
      <c r="A64190" s="1" t="n">
        <v>64189</v>
      </c>
      <c r="B64190">
        <f>TEXT(64189, "[$-0E0000]yyyy-mm-dd")</f>
        <v/>
      </c>
      <c r="C64190" t="inlineStr">
        <is>
          <t>2075-08-19</t>
        </is>
      </c>
    </row>
    <row r="64191">
      <c r="A64191" s="1" t="n">
        <v>64190</v>
      </c>
      <c r="B64191">
        <f>TEXT(64190, "[$-0E0000]yyyy-mm-dd")</f>
        <v/>
      </c>
      <c r="C64191" t="inlineStr">
        <is>
          <t>2075-08-20</t>
        </is>
      </c>
    </row>
    <row r="64192">
      <c r="A64192" s="1" t="n">
        <v>64191</v>
      </c>
      <c r="B64192">
        <f>TEXT(64191, "[$-0E0000]yyyy-mm-dd")</f>
        <v/>
      </c>
      <c r="C64192" t="inlineStr">
        <is>
          <t>2075-08-21</t>
        </is>
      </c>
    </row>
    <row r="64193">
      <c r="A64193" s="1" t="n">
        <v>64192</v>
      </c>
      <c r="B64193">
        <f>TEXT(64192, "[$-0E0000]yyyy-mm-dd")</f>
        <v/>
      </c>
      <c r="C64193" t="inlineStr">
        <is>
          <t>2075-08-22</t>
        </is>
      </c>
    </row>
    <row r="64194">
      <c r="A64194" s="1" t="n">
        <v>64193</v>
      </c>
      <c r="B64194">
        <f>TEXT(64193, "[$-0E0000]yyyy-mm-dd")</f>
        <v/>
      </c>
      <c r="C64194" t="inlineStr">
        <is>
          <t>2075-08-23</t>
        </is>
      </c>
    </row>
    <row r="64195">
      <c r="A64195" s="1" t="n">
        <v>64194</v>
      </c>
      <c r="B64195">
        <f>TEXT(64194, "[$-0E0000]yyyy-mm-dd")</f>
        <v/>
      </c>
      <c r="C64195" t="inlineStr">
        <is>
          <t>2075-08-24</t>
        </is>
      </c>
    </row>
    <row r="64196">
      <c r="A64196" s="1" t="n">
        <v>64195</v>
      </c>
      <c r="B64196">
        <f>TEXT(64195, "[$-0E0000]yyyy-mm-dd")</f>
        <v/>
      </c>
      <c r="C64196" t="inlineStr">
        <is>
          <t>2075-08-25</t>
        </is>
      </c>
    </row>
    <row r="64197">
      <c r="A64197" s="1" t="n">
        <v>64196</v>
      </c>
      <c r="B64197">
        <f>TEXT(64196, "[$-0E0000]yyyy-mm-dd")</f>
        <v/>
      </c>
      <c r="C64197" t="inlineStr">
        <is>
          <t>2075-08-26</t>
        </is>
      </c>
    </row>
    <row r="64198">
      <c r="A64198" s="1" t="n">
        <v>64197</v>
      </c>
      <c r="B64198">
        <f>TEXT(64197, "[$-0E0000]yyyy-mm-dd")</f>
        <v/>
      </c>
      <c r="C64198" t="inlineStr">
        <is>
          <t>2075-08-27</t>
        </is>
      </c>
    </row>
    <row r="64199">
      <c r="A64199" s="1" t="n">
        <v>64198</v>
      </c>
      <c r="B64199">
        <f>TEXT(64198, "[$-0E0000]yyyy-mm-dd")</f>
        <v/>
      </c>
      <c r="C64199" t="inlineStr">
        <is>
          <t>2075-08-28</t>
        </is>
      </c>
    </row>
    <row r="64200">
      <c r="A64200" s="1" t="n">
        <v>64199</v>
      </c>
      <c r="B64200">
        <f>TEXT(64199, "[$-0E0000]yyyy-mm-dd")</f>
        <v/>
      </c>
      <c r="C64200" t="inlineStr">
        <is>
          <t>2075-08-29</t>
        </is>
      </c>
    </row>
    <row r="64201">
      <c r="A64201" s="1" t="n">
        <v>64200</v>
      </c>
      <c r="B64201">
        <f>TEXT(64200, "[$-0E0000]yyyy-mm-dd")</f>
        <v/>
      </c>
      <c r="C64201" t="inlineStr">
        <is>
          <t>2075-08-30</t>
        </is>
      </c>
    </row>
    <row r="64202">
      <c r="A64202" s="1" t="n">
        <v>64201</v>
      </c>
      <c r="B64202">
        <f>TEXT(64201, "[$-0E0000]yyyy-mm-dd")</f>
        <v/>
      </c>
      <c r="C64202" t="inlineStr">
        <is>
          <t>2075-09-01</t>
        </is>
      </c>
    </row>
    <row r="64203">
      <c r="A64203" s="1" t="n">
        <v>64202</v>
      </c>
      <c r="B64203">
        <f>TEXT(64202, "[$-0E0000]yyyy-mm-dd")</f>
        <v/>
      </c>
      <c r="C64203" t="inlineStr">
        <is>
          <t>2075-09-02</t>
        </is>
      </c>
    </row>
    <row r="64204">
      <c r="A64204" s="1" t="n">
        <v>64203</v>
      </c>
      <c r="B64204">
        <f>TEXT(64203, "[$-0E0000]yyyy-mm-dd")</f>
        <v/>
      </c>
      <c r="C64204" t="inlineStr">
        <is>
          <t>2075-09-03</t>
        </is>
      </c>
    </row>
    <row r="64205">
      <c r="A64205" s="1" t="n">
        <v>64204</v>
      </c>
      <c r="B64205">
        <f>TEXT(64204, "[$-0E0000]yyyy-mm-dd")</f>
        <v/>
      </c>
      <c r="C64205" t="inlineStr">
        <is>
          <t>2075-09-04</t>
        </is>
      </c>
    </row>
    <row r="64206">
      <c r="A64206" s="1" t="n">
        <v>64205</v>
      </c>
      <c r="B64206">
        <f>TEXT(64205, "[$-0E0000]yyyy-mm-dd")</f>
        <v/>
      </c>
      <c r="C64206" t="inlineStr">
        <is>
          <t>2075-09-05</t>
        </is>
      </c>
    </row>
    <row r="64207">
      <c r="A64207" s="1" t="n">
        <v>64206</v>
      </c>
      <c r="B64207">
        <f>TEXT(64206, "[$-0E0000]yyyy-mm-dd")</f>
        <v/>
      </c>
      <c r="C64207" t="inlineStr">
        <is>
          <t>2075-09-06</t>
        </is>
      </c>
    </row>
    <row r="64208">
      <c r="A64208" s="1" t="n">
        <v>64207</v>
      </c>
      <c r="B64208">
        <f>TEXT(64207, "[$-0E0000]yyyy-mm-dd")</f>
        <v/>
      </c>
      <c r="C64208" t="inlineStr">
        <is>
          <t>2075-09-07</t>
        </is>
      </c>
    </row>
    <row r="64209">
      <c r="A64209" s="1" t="n">
        <v>64208</v>
      </c>
      <c r="B64209">
        <f>TEXT(64208, "[$-0E0000]yyyy-mm-dd")</f>
        <v/>
      </c>
      <c r="C64209" t="inlineStr">
        <is>
          <t>2075-09-08</t>
        </is>
      </c>
    </row>
    <row r="64210">
      <c r="A64210" s="1" t="n">
        <v>64209</v>
      </c>
      <c r="B64210">
        <f>TEXT(64209, "[$-0E0000]yyyy-mm-dd")</f>
        <v/>
      </c>
      <c r="C64210" t="inlineStr">
        <is>
          <t>2075-09-09</t>
        </is>
      </c>
    </row>
    <row r="64211">
      <c r="A64211" s="1" t="n">
        <v>64210</v>
      </c>
      <c r="B64211">
        <f>TEXT(64210, "[$-0E0000]yyyy-mm-dd")</f>
        <v/>
      </c>
      <c r="C64211" t="inlineStr">
        <is>
          <t>2075-09-10</t>
        </is>
      </c>
    </row>
    <row r="64212">
      <c r="A64212" s="1" t="n">
        <v>64211</v>
      </c>
      <c r="B64212">
        <f>TEXT(64211, "[$-0E0000]yyyy-mm-dd")</f>
        <v/>
      </c>
      <c r="C64212" t="inlineStr">
        <is>
          <t>2075-09-11</t>
        </is>
      </c>
    </row>
    <row r="64213">
      <c r="A64213" s="1" t="n">
        <v>64212</v>
      </c>
      <c r="B64213">
        <f>TEXT(64212, "[$-0E0000]yyyy-mm-dd")</f>
        <v/>
      </c>
      <c r="C64213" t="inlineStr">
        <is>
          <t>2075-09-12</t>
        </is>
      </c>
    </row>
    <row r="64214">
      <c r="A64214" s="1" t="n">
        <v>64213</v>
      </c>
      <c r="B64214">
        <f>TEXT(64213, "[$-0E0000]yyyy-mm-dd")</f>
        <v/>
      </c>
      <c r="C64214" t="inlineStr">
        <is>
          <t>2075-09-13</t>
        </is>
      </c>
    </row>
    <row r="64215">
      <c r="A64215" s="1" t="n">
        <v>64214</v>
      </c>
      <c r="B64215">
        <f>TEXT(64214, "[$-0E0000]yyyy-mm-dd")</f>
        <v/>
      </c>
      <c r="C64215" t="inlineStr">
        <is>
          <t>2075-09-14</t>
        </is>
      </c>
    </row>
    <row r="64216">
      <c r="A64216" s="1" t="n">
        <v>64215</v>
      </c>
      <c r="B64216">
        <f>TEXT(64215, "[$-0E0000]yyyy-mm-dd")</f>
        <v/>
      </c>
      <c r="C64216" t="inlineStr">
        <is>
          <t>2075-09-15</t>
        </is>
      </c>
    </row>
    <row r="64217">
      <c r="A64217" s="1" t="n">
        <v>64216</v>
      </c>
      <c r="B64217">
        <f>TEXT(64216, "[$-0E0000]yyyy-mm-dd")</f>
        <v/>
      </c>
      <c r="C64217" t="inlineStr">
        <is>
          <t>2075-09-16</t>
        </is>
      </c>
    </row>
    <row r="64218">
      <c r="A64218" s="1" t="n">
        <v>64217</v>
      </c>
      <c r="B64218">
        <f>TEXT(64217, "[$-0E0000]yyyy-mm-dd")</f>
        <v/>
      </c>
      <c r="C64218" t="inlineStr">
        <is>
          <t>2075-09-17</t>
        </is>
      </c>
    </row>
    <row r="64219">
      <c r="A64219" s="1" t="n">
        <v>64218</v>
      </c>
      <c r="B64219">
        <f>TEXT(64218, "[$-0E0000]yyyy-mm-dd")</f>
        <v/>
      </c>
      <c r="C64219" t="inlineStr">
        <is>
          <t>2075-09-18</t>
        </is>
      </c>
    </row>
    <row r="64220">
      <c r="A64220" s="1" t="n">
        <v>64219</v>
      </c>
      <c r="B64220">
        <f>TEXT(64219, "[$-0E0000]yyyy-mm-dd")</f>
        <v/>
      </c>
      <c r="C64220" t="inlineStr">
        <is>
          <t>2075-09-19</t>
        </is>
      </c>
    </row>
    <row r="64221">
      <c r="A64221" s="1" t="n">
        <v>64220</v>
      </c>
      <c r="B64221">
        <f>TEXT(64220, "[$-0E0000]yyyy-mm-dd")</f>
        <v/>
      </c>
      <c r="C64221" t="inlineStr">
        <is>
          <t>2075-09-20</t>
        </is>
      </c>
    </row>
    <row r="64222">
      <c r="A64222" s="1" t="n">
        <v>64221</v>
      </c>
      <c r="B64222">
        <f>TEXT(64221, "[$-0E0000]yyyy-mm-dd")</f>
        <v/>
      </c>
      <c r="C64222" t="inlineStr">
        <is>
          <t>2075-09-21</t>
        </is>
      </c>
    </row>
    <row r="64223">
      <c r="A64223" s="1" t="n">
        <v>64222</v>
      </c>
      <c r="B64223">
        <f>TEXT(64222, "[$-0E0000]yyyy-mm-dd")</f>
        <v/>
      </c>
      <c r="C64223" t="inlineStr">
        <is>
          <t>2075-09-22</t>
        </is>
      </c>
    </row>
    <row r="64224">
      <c r="A64224" s="1" t="n">
        <v>64223</v>
      </c>
      <c r="B64224">
        <f>TEXT(64223, "[$-0E0000]yyyy-mm-dd")</f>
        <v/>
      </c>
      <c r="C64224" t="inlineStr">
        <is>
          <t>2075-09-23</t>
        </is>
      </c>
    </row>
    <row r="64225">
      <c r="A64225" s="1" t="n">
        <v>64224</v>
      </c>
      <c r="B64225">
        <f>TEXT(64224, "[$-0E0000]yyyy-mm-dd")</f>
        <v/>
      </c>
      <c r="C64225" t="inlineStr">
        <is>
          <t>2075-09-24</t>
        </is>
      </c>
    </row>
    <row r="64226">
      <c r="A64226" s="1" t="n">
        <v>64225</v>
      </c>
      <c r="B64226">
        <f>TEXT(64225, "[$-0E0000]yyyy-mm-dd")</f>
        <v/>
      </c>
      <c r="C64226" t="inlineStr">
        <is>
          <t>2075-09-25</t>
        </is>
      </c>
    </row>
    <row r="64227">
      <c r="A64227" s="1" t="n">
        <v>64226</v>
      </c>
      <c r="B64227">
        <f>TEXT(64226, "[$-0E0000]yyyy-mm-dd")</f>
        <v/>
      </c>
      <c r="C64227" t="inlineStr">
        <is>
          <t>2075-09-26</t>
        </is>
      </c>
    </row>
    <row r="64228">
      <c r="A64228" s="1" t="n">
        <v>64227</v>
      </c>
      <c r="B64228">
        <f>TEXT(64227, "[$-0E0000]yyyy-mm-dd")</f>
        <v/>
      </c>
      <c r="C64228" t="inlineStr">
        <is>
          <t>2075-09-27</t>
        </is>
      </c>
    </row>
    <row r="64229">
      <c r="A64229" s="1" t="n">
        <v>64228</v>
      </c>
      <c r="B64229">
        <f>TEXT(64228, "[$-0E0000]yyyy-mm-dd")</f>
        <v/>
      </c>
      <c r="C64229" t="inlineStr">
        <is>
          <t>2075-09-28</t>
        </is>
      </c>
    </row>
    <row r="64230">
      <c r="A64230" s="1" t="n">
        <v>64229</v>
      </c>
      <c r="B64230">
        <f>TEXT(64229, "[$-0E0000]yyyy-mm-dd")</f>
        <v/>
      </c>
      <c r="C64230" t="inlineStr">
        <is>
          <t>2075-09-29</t>
        </is>
      </c>
    </row>
    <row r="64231">
      <c r="A64231" s="1" t="n">
        <v>64230</v>
      </c>
      <c r="B64231">
        <f>TEXT(64230, "[$-0E0000]yyyy-mm-dd")</f>
        <v/>
      </c>
      <c r="C64231" t="inlineStr">
        <is>
          <t>2075-10-01</t>
        </is>
      </c>
    </row>
    <row r="64232">
      <c r="A64232" s="1" t="n">
        <v>64231</v>
      </c>
      <c r="B64232">
        <f>TEXT(64231, "[$-0E0000]yyyy-mm-dd")</f>
        <v/>
      </c>
      <c r="C64232" t="inlineStr">
        <is>
          <t>2075-10-02</t>
        </is>
      </c>
    </row>
    <row r="64233">
      <c r="A64233" s="1" t="n">
        <v>64232</v>
      </c>
      <c r="B64233">
        <f>TEXT(64232, "[$-0E0000]yyyy-mm-dd")</f>
        <v/>
      </c>
      <c r="C64233" t="inlineStr">
        <is>
          <t>2075-10-03</t>
        </is>
      </c>
    </row>
    <row r="64234">
      <c r="A64234" s="1" t="n">
        <v>64233</v>
      </c>
      <c r="B64234">
        <f>TEXT(64233, "[$-0E0000]yyyy-mm-dd")</f>
        <v/>
      </c>
      <c r="C64234" t="inlineStr">
        <is>
          <t>2075-10-04</t>
        </is>
      </c>
    </row>
    <row r="64235">
      <c r="A64235" s="1" t="n">
        <v>64234</v>
      </c>
      <c r="B64235">
        <f>TEXT(64234, "[$-0E0000]yyyy-mm-dd")</f>
        <v/>
      </c>
      <c r="C64235" t="inlineStr">
        <is>
          <t>2075-10-05</t>
        </is>
      </c>
    </row>
    <row r="64236">
      <c r="A64236" s="1" t="n">
        <v>64235</v>
      </c>
      <c r="B64236">
        <f>TEXT(64235, "[$-0E0000]yyyy-mm-dd")</f>
        <v/>
      </c>
      <c r="C64236" t="inlineStr">
        <is>
          <t>2075-10-06</t>
        </is>
      </c>
    </row>
    <row r="64237">
      <c r="A64237" s="1" t="n">
        <v>64236</v>
      </c>
      <c r="B64237">
        <f>TEXT(64236, "[$-0E0000]yyyy-mm-dd")</f>
        <v/>
      </c>
      <c r="C64237" t="inlineStr">
        <is>
          <t>2075-10-07</t>
        </is>
      </c>
    </row>
    <row r="64238">
      <c r="A64238" s="1" t="n">
        <v>64237</v>
      </c>
      <c r="B64238">
        <f>TEXT(64237, "[$-0E0000]yyyy-mm-dd")</f>
        <v/>
      </c>
      <c r="C64238" t="inlineStr">
        <is>
          <t>2075-10-08</t>
        </is>
      </c>
    </row>
    <row r="64239">
      <c r="A64239" s="1" t="n">
        <v>64238</v>
      </c>
      <c r="B64239">
        <f>TEXT(64238, "[$-0E0000]yyyy-mm-dd")</f>
        <v/>
      </c>
      <c r="C64239" t="inlineStr">
        <is>
          <t>2075-10-09</t>
        </is>
      </c>
    </row>
    <row r="64240">
      <c r="A64240" s="1" t="n">
        <v>64239</v>
      </c>
      <c r="B64240">
        <f>TEXT(64239, "[$-0E0000]yyyy-mm-dd")</f>
        <v/>
      </c>
      <c r="C64240" t="inlineStr">
        <is>
          <t>2075-10-10</t>
        </is>
      </c>
    </row>
    <row r="64241">
      <c r="A64241" s="1" t="n">
        <v>64240</v>
      </c>
      <c r="B64241">
        <f>TEXT(64240, "[$-0E0000]yyyy-mm-dd")</f>
        <v/>
      </c>
      <c r="C64241" t="inlineStr">
        <is>
          <t>2075-10-11</t>
        </is>
      </c>
    </row>
    <row r="64242">
      <c r="A64242" s="1" t="n">
        <v>64241</v>
      </c>
      <c r="B64242">
        <f>TEXT(64241, "[$-0E0000]yyyy-mm-dd")</f>
        <v/>
      </c>
      <c r="C64242" t="inlineStr">
        <is>
          <t>2075-10-12</t>
        </is>
      </c>
    </row>
    <row r="64243">
      <c r="A64243" s="1" t="n">
        <v>64242</v>
      </c>
      <c r="B64243">
        <f>TEXT(64242, "[$-0E0000]yyyy-mm-dd")</f>
        <v/>
      </c>
      <c r="C64243" t="inlineStr">
        <is>
          <t>2075-10-13</t>
        </is>
      </c>
    </row>
    <row r="64244">
      <c r="A64244" s="1" t="n">
        <v>64243</v>
      </c>
      <c r="B64244">
        <f>TEXT(64243, "[$-0E0000]yyyy-mm-dd")</f>
        <v/>
      </c>
      <c r="C64244" t="inlineStr">
        <is>
          <t>2075-10-14</t>
        </is>
      </c>
    </row>
    <row r="64245">
      <c r="A64245" s="1" t="n">
        <v>64244</v>
      </c>
      <c r="B64245">
        <f>TEXT(64244, "[$-0E0000]yyyy-mm-dd")</f>
        <v/>
      </c>
      <c r="C64245" t="inlineStr">
        <is>
          <t>2075-10-15</t>
        </is>
      </c>
    </row>
    <row r="64246">
      <c r="A64246" s="1" t="n">
        <v>64245</v>
      </c>
      <c r="B64246">
        <f>TEXT(64245, "[$-0E0000]yyyy-mm-dd")</f>
        <v/>
      </c>
      <c r="C64246" t="inlineStr">
        <is>
          <t>2075-10-16</t>
        </is>
      </c>
    </row>
    <row r="64247">
      <c r="A64247" s="1" t="n">
        <v>64246</v>
      </c>
      <c r="B64247">
        <f>TEXT(64246, "[$-0E0000]yyyy-mm-dd")</f>
        <v/>
      </c>
      <c r="C64247" t="inlineStr">
        <is>
          <t>2075-10-17</t>
        </is>
      </c>
    </row>
    <row r="64248">
      <c r="A64248" s="1" t="n">
        <v>64247</v>
      </c>
      <c r="B64248">
        <f>TEXT(64247, "[$-0E0000]yyyy-mm-dd")</f>
        <v/>
      </c>
      <c r="C64248" t="inlineStr">
        <is>
          <t>2075-10-18</t>
        </is>
      </c>
    </row>
    <row r="64249">
      <c r="A64249" s="1" t="n">
        <v>64248</v>
      </c>
      <c r="B64249">
        <f>TEXT(64248, "[$-0E0000]yyyy-mm-dd")</f>
        <v/>
      </c>
      <c r="C64249" t="inlineStr">
        <is>
          <t>2075-10-19</t>
        </is>
      </c>
    </row>
    <row r="64250">
      <c r="A64250" s="1" t="n">
        <v>64249</v>
      </c>
      <c r="B64250">
        <f>TEXT(64249, "[$-0E0000]yyyy-mm-dd")</f>
        <v/>
      </c>
      <c r="C64250" t="inlineStr">
        <is>
          <t>2075-10-20</t>
        </is>
      </c>
    </row>
    <row r="64251">
      <c r="A64251" s="1" t="n">
        <v>64250</v>
      </c>
      <c r="B64251">
        <f>TEXT(64250, "[$-0E0000]yyyy-mm-dd")</f>
        <v/>
      </c>
      <c r="C64251" t="inlineStr">
        <is>
          <t>2075-10-21</t>
        </is>
      </c>
    </row>
    <row r="64252">
      <c r="A64252" s="1" t="n">
        <v>64251</v>
      </c>
      <c r="B64252">
        <f>TEXT(64251, "[$-0E0000]yyyy-mm-dd")</f>
        <v/>
      </c>
      <c r="C64252" t="inlineStr">
        <is>
          <t>2075-10-22</t>
        </is>
      </c>
    </row>
    <row r="64253">
      <c r="A64253" s="1" t="n">
        <v>64252</v>
      </c>
      <c r="B64253">
        <f>TEXT(64252, "[$-0E0000]yyyy-mm-dd")</f>
        <v/>
      </c>
      <c r="C64253" t="inlineStr">
        <is>
          <t>2075-10-23</t>
        </is>
      </c>
    </row>
    <row r="64254">
      <c r="A64254" s="1" t="n">
        <v>64253</v>
      </c>
      <c r="B64254">
        <f>TEXT(64253, "[$-0E0000]yyyy-mm-dd")</f>
        <v/>
      </c>
      <c r="C64254" t="inlineStr">
        <is>
          <t>2075-10-24</t>
        </is>
      </c>
    </row>
    <row r="64255">
      <c r="A64255" s="1" t="n">
        <v>64254</v>
      </c>
      <c r="B64255">
        <f>TEXT(64254, "[$-0E0000]yyyy-mm-dd")</f>
        <v/>
      </c>
      <c r="C64255" t="inlineStr">
        <is>
          <t>2075-10-25</t>
        </is>
      </c>
    </row>
    <row r="64256">
      <c r="A64256" s="1" t="n">
        <v>64255</v>
      </c>
      <c r="B64256">
        <f>TEXT(64255, "[$-0E0000]yyyy-mm-dd")</f>
        <v/>
      </c>
      <c r="C64256" t="inlineStr">
        <is>
          <t>2075-10-26</t>
        </is>
      </c>
    </row>
    <row r="64257">
      <c r="A64257" s="1" t="n">
        <v>64256</v>
      </c>
      <c r="B64257">
        <f>TEXT(64256, "[$-0E0000]yyyy-mm-dd")</f>
        <v/>
      </c>
      <c r="C64257" t="inlineStr">
        <is>
          <t>2075-10-27</t>
        </is>
      </c>
    </row>
    <row r="64258">
      <c r="A64258" s="1" t="n">
        <v>64257</v>
      </c>
      <c r="B64258">
        <f>TEXT(64257, "[$-0E0000]yyyy-mm-dd")</f>
        <v/>
      </c>
      <c r="C64258" t="inlineStr">
        <is>
          <t>2075-10-28</t>
        </is>
      </c>
    </row>
    <row r="64259">
      <c r="A64259" s="1" t="n">
        <v>64258</v>
      </c>
      <c r="B64259">
        <f>TEXT(64258, "[$-0E0000]yyyy-mm-dd")</f>
        <v/>
      </c>
      <c r="C64259" t="inlineStr">
        <is>
          <t>2075-10-29</t>
        </is>
      </c>
    </row>
    <row r="64260">
      <c r="A64260" s="1" t="n">
        <v>64259</v>
      </c>
      <c r="B64260">
        <f>TEXT(64259, "[$-0E0000]yyyy-mm-dd")</f>
        <v/>
      </c>
      <c r="C64260" t="inlineStr">
        <is>
          <t>2075-10-30</t>
        </is>
      </c>
    </row>
    <row r="64261">
      <c r="A64261" s="1" t="n">
        <v>64260</v>
      </c>
      <c r="B64261">
        <f>TEXT(64260, "[$-0E0000]yyyy-mm-dd")</f>
        <v/>
      </c>
      <c r="C64261" t="inlineStr">
        <is>
          <t>2075-11-01</t>
        </is>
      </c>
    </row>
    <row r="64262">
      <c r="A64262" s="1" t="n">
        <v>64261</v>
      </c>
      <c r="B64262">
        <f>TEXT(64261, "[$-0E0000]yyyy-mm-dd")</f>
        <v/>
      </c>
      <c r="C64262" t="inlineStr">
        <is>
          <t>2075-11-02</t>
        </is>
      </c>
    </row>
    <row r="64263">
      <c r="A64263" s="1" t="n">
        <v>64262</v>
      </c>
      <c r="B64263">
        <f>TEXT(64262, "[$-0E0000]yyyy-mm-dd")</f>
        <v/>
      </c>
      <c r="C64263" t="inlineStr">
        <is>
          <t>2075-11-03</t>
        </is>
      </c>
    </row>
    <row r="64264">
      <c r="A64264" s="1" t="n">
        <v>64263</v>
      </c>
      <c r="B64264">
        <f>TEXT(64263, "[$-0E0000]yyyy-mm-dd")</f>
        <v/>
      </c>
      <c r="C64264" t="inlineStr">
        <is>
          <t>2075-11-04</t>
        </is>
      </c>
    </row>
    <row r="64265">
      <c r="A64265" s="1" t="n">
        <v>64264</v>
      </c>
      <c r="B64265">
        <f>TEXT(64264, "[$-0E0000]yyyy-mm-dd")</f>
        <v/>
      </c>
      <c r="C64265" t="inlineStr">
        <is>
          <t>2075-11-05</t>
        </is>
      </c>
    </row>
    <row r="64266">
      <c r="A64266" s="1" t="n">
        <v>64265</v>
      </c>
      <c r="B64266">
        <f>TEXT(64265, "[$-0E0000]yyyy-mm-dd")</f>
        <v/>
      </c>
      <c r="C64266" t="inlineStr">
        <is>
          <t>2075-11-06</t>
        </is>
      </c>
    </row>
    <row r="64267">
      <c r="A64267" s="1" t="n">
        <v>64266</v>
      </c>
      <c r="B64267">
        <f>TEXT(64266, "[$-0E0000]yyyy-mm-dd")</f>
        <v/>
      </c>
      <c r="C64267" t="inlineStr">
        <is>
          <t>2075-11-07</t>
        </is>
      </c>
    </row>
    <row r="64268">
      <c r="A64268" s="1" t="n">
        <v>64267</v>
      </c>
      <c r="B64268">
        <f>TEXT(64267, "[$-0E0000]yyyy-mm-dd")</f>
        <v/>
      </c>
      <c r="C64268" t="inlineStr">
        <is>
          <t>2075-11-08</t>
        </is>
      </c>
    </row>
    <row r="64269">
      <c r="A64269" s="1" t="n">
        <v>64268</v>
      </c>
      <c r="B64269">
        <f>TEXT(64268, "[$-0E0000]yyyy-mm-dd")</f>
        <v/>
      </c>
      <c r="C64269" t="inlineStr">
        <is>
          <t>2075-11-09</t>
        </is>
      </c>
    </row>
    <row r="64270">
      <c r="A64270" s="1" t="n">
        <v>64269</v>
      </c>
      <c r="B64270">
        <f>TEXT(64269, "[$-0E0000]yyyy-mm-dd")</f>
        <v/>
      </c>
      <c r="C64270" t="inlineStr">
        <is>
          <t>2075-11-10</t>
        </is>
      </c>
    </row>
    <row r="64271">
      <c r="A64271" s="1" t="n">
        <v>64270</v>
      </c>
      <c r="B64271">
        <f>TEXT(64270, "[$-0E0000]yyyy-mm-dd")</f>
        <v/>
      </c>
      <c r="C64271" t="inlineStr">
        <is>
          <t>2075-11-11</t>
        </is>
      </c>
    </row>
    <row r="64272">
      <c r="A64272" s="1" t="n">
        <v>64271</v>
      </c>
      <c r="B64272">
        <f>TEXT(64271, "[$-0E0000]yyyy-mm-dd")</f>
        <v/>
      </c>
      <c r="C64272" t="inlineStr">
        <is>
          <t>2075-11-12</t>
        </is>
      </c>
    </row>
    <row r="64273">
      <c r="A64273" s="1" t="n">
        <v>64272</v>
      </c>
      <c r="B64273">
        <f>TEXT(64272, "[$-0E0000]yyyy-mm-dd")</f>
        <v/>
      </c>
      <c r="C64273" t="inlineStr">
        <is>
          <t>2075-11-13</t>
        </is>
      </c>
    </row>
    <row r="64274">
      <c r="A64274" s="1" t="n">
        <v>64273</v>
      </c>
      <c r="B64274">
        <f>TEXT(64273, "[$-0E0000]yyyy-mm-dd")</f>
        <v/>
      </c>
      <c r="C64274" t="inlineStr">
        <is>
          <t>2075-11-14</t>
        </is>
      </c>
    </row>
    <row r="64275">
      <c r="A64275" s="1" t="n">
        <v>64274</v>
      </c>
      <c r="B64275">
        <f>TEXT(64274, "[$-0E0000]yyyy-mm-dd")</f>
        <v/>
      </c>
      <c r="C64275" t="inlineStr">
        <is>
          <t>2075-11-15</t>
        </is>
      </c>
    </row>
    <row r="64276">
      <c r="A64276" s="1" t="n">
        <v>64275</v>
      </c>
      <c r="B64276">
        <f>TEXT(64275, "[$-0E0000]yyyy-mm-dd")</f>
        <v/>
      </c>
      <c r="C64276" t="inlineStr">
        <is>
          <t>2075-11-16</t>
        </is>
      </c>
    </row>
    <row r="64277">
      <c r="A64277" s="1" t="n">
        <v>64276</v>
      </c>
      <c r="B64277">
        <f>TEXT(64276, "[$-0E0000]yyyy-mm-dd")</f>
        <v/>
      </c>
      <c r="C64277" t="inlineStr">
        <is>
          <t>2075-11-17</t>
        </is>
      </c>
    </row>
    <row r="64278">
      <c r="A64278" s="1" t="n">
        <v>64277</v>
      </c>
      <c r="B64278">
        <f>TEXT(64277, "[$-0E0000]yyyy-mm-dd")</f>
        <v/>
      </c>
      <c r="C64278" t="inlineStr">
        <is>
          <t>2075-11-18</t>
        </is>
      </c>
    </row>
    <row r="64279">
      <c r="A64279" s="1" t="n">
        <v>64278</v>
      </c>
      <c r="B64279">
        <f>TEXT(64278, "[$-0E0000]yyyy-mm-dd")</f>
        <v/>
      </c>
      <c r="C64279" t="inlineStr">
        <is>
          <t>2075-11-19</t>
        </is>
      </c>
    </row>
    <row r="64280">
      <c r="A64280" s="1" t="n">
        <v>64279</v>
      </c>
      <c r="B64280">
        <f>TEXT(64279, "[$-0E0000]yyyy-mm-dd")</f>
        <v/>
      </c>
      <c r="C64280" t="inlineStr">
        <is>
          <t>2075-11-20</t>
        </is>
      </c>
    </row>
    <row r="64281">
      <c r="A64281" s="1" t="n">
        <v>64280</v>
      </c>
      <c r="B64281">
        <f>TEXT(64280, "[$-0E0000]yyyy-mm-dd")</f>
        <v/>
      </c>
      <c r="C64281" t="inlineStr">
        <is>
          <t>2075-11-21</t>
        </is>
      </c>
    </row>
    <row r="64282">
      <c r="A64282" s="1" t="n">
        <v>64281</v>
      </c>
      <c r="B64282">
        <f>TEXT(64281, "[$-0E0000]yyyy-mm-dd")</f>
        <v/>
      </c>
      <c r="C64282" t="inlineStr">
        <is>
          <t>2075-11-22</t>
        </is>
      </c>
    </row>
    <row r="64283">
      <c r="A64283" s="1" t="n">
        <v>64282</v>
      </c>
      <c r="B64283">
        <f>TEXT(64282, "[$-0E0000]yyyy-mm-dd")</f>
        <v/>
      </c>
      <c r="C64283" t="inlineStr">
        <is>
          <t>2075-11-23</t>
        </is>
      </c>
    </row>
    <row r="64284">
      <c r="A64284" s="1" t="n">
        <v>64283</v>
      </c>
      <c r="B64284">
        <f>TEXT(64283, "[$-0E0000]yyyy-mm-dd")</f>
        <v/>
      </c>
      <c r="C64284" t="inlineStr">
        <is>
          <t>2075-11-24</t>
        </is>
      </c>
    </row>
    <row r="64285">
      <c r="A64285" s="1" t="n">
        <v>64284</v>
      </c>
      <c r="B64285">
        <f>TEXT(64284, "[$-0E0000]yyyy-mm-dd")</f>
        <v/>
      </c>
      <c r="C64285" t="inlineStr">
        <is>
          <t>2075-11-25</t>
        </is>
      </c>
    </row>
    <row r="64286">
      <c r="A64286" s="1" t="n">
        <v>64285</v>
      </c>
      <c r="B64286">
        <f>TEXT(64285, "[$-0E0000]yyyy-mm-dd")</f>
        <v/>
      </c>
      <c r="C64286" t="inlineStr">
        <is>
          <t>2075-11-26</t>
        </is>
      </c>
    </row>
    <row r="64287">
      <c r="A64287" s="1" t="n">
        <v>64286</v>
      </c>
      <c r="B64287">
        <f>TEXT(64286, "[$-0E0000]yyyy-mm-dd")</f>
        <v/>
      </c>
      <c r="C64287" t="inlineStr">
        <is>
          <t>2075-11-27</t>
        </is>
      </c>
    </row>
    <row r="64288">
      <c r="A64288" s="1" t="n">
        <v>64287</v>
      </c>
      <c r="B64288">
        <f>TEXT(64287, "[$-0E0000]yyyy-mm-dd")</f>
        <v/>
      </c>
      <c r="C64288" t="inlineStr">
        <is>
          <t>2075-11-28</t>
        </is>
      </c>
    </row>
    <row r="64289">
      <c r="A64289" s="1" t="n">
        <v>64288</v>
      </c>
      <c r="B64289">
        <f>TEXT(64288, "[$-0E0000]yyyy-mm-dd")</f>
        <v/>
      </c>
      <c r="C64289" t="inlineStr">
        <is>
          <t>2075-11-29</t>
        </is>
      </c>
    </row>
    <row r="64290">
      <c r="A64290" s="1" t="n">
        <v>64289</v>
      </c>
      <c r="B64290">
        <f>TEXT(64289, "[$-0E0000]yyyy-mm-dd")</f>
        <v/>
      </c>
      <c r="C64290" t="inlineStr">
        <is>
          <t>2075-12-01</t>
        </is>
      </c>
    </row>
    <row r="64291">
      <c r="A64291" s="1" t="n">
        <v>64290</v>
      </c>
      <c r="B64291">
        <f>TEXT(64290, "[$-0E0000]yyyy-mm-dd")</f>
        <v/>
      </c>
      <c r="C64291" t="inlineStr">
        <is>
          <t>2075-12-02</t>
        </is>
      </c>
    </row>
    <row r="64292">
      <c r="A64292" s="1" t="n">
        <v>64291</v>
      </c>
      <c r="B64292">
        <f>TEXT(64291, "[$-0E0000]yyyy-mm-dd")</f>
        <v/>
      </c>
      <c r="C64292" t="inlineStr">
        <is>
          <t>2075-12-03</t>
        </is>
      </c>
    </row>
    <row r="64293">
      <c r="A64293" s="1" t="n">
        <v>64292</v>
      </c>
      <c r="B64293">
        <f>TEXT(64292, "[$-0E0000]yyyy-mm-dd")</f>
        <v/>
      </c>
      <c r="C64293" t="inlineStr">
        <is>
          <t>2075-12-04</t>
        </is>
      </c>
    </row>
    <row r="64294">
      <c r="A64294" s="1" t="n">
        <v>64293</v>
      </c>
      <c r="B64294">
        <f>TEXT(64293, "[$-0E0000]yyyy-mm-dd")</f>
        <v/>
      </c>
      <c r="C64294" t="inlineStr">
        <is>
          <t>2075-12-05</t>
        </is>
      </c>
    </row>
    <row r="64295">
      <c r="A64295" s="1" t="n">
        <v>64294</v>
      </c>
      <c r="B64295">
        <f>TEXT(64294, "[$-0E0000]yyyy-mm-dd")</f>
        <v/>
      </c>
      <c r="C64295" t="inlineStr">
        <is>
          <t>2075-12-06</t>
        </is>
      </c>
    </row>
    <row r="64296">
      <c r="A64296" s="1" t="n">
        <v>64295</v>
      </c>
      <c r="B64296">
        <f>TEXT(64295, "[$-0E0000]yyyy-mm-dd")</f>
        <v/>
      </c>
      <c r="C64296" t="inlineStr">
        <is>
          <t>2075-12-07</t>
        </is>
      </c>
    </row>
    <row r="64297">
      <c r="A64297" s="1" t="n">
        <v>64296</v>
      </c>
      <c r="B64297">
        <f>TEXT(64296, "[$-0E0000]yyyy-mm-dd")</f>
        <v/>
      </c>
      <c r="C64297" t="inlineStr">
        <is>
          <t>2075-12-08</t>
        </is>
      </c>
    </row>
    <row r="64298">
      <c r="A64298" s="1" t="n">
        <v>64297</v>
      </c>
      <c r="B64298">
        <f>TEXT(64297, "[$-0E0000]yyyy-mm-dd")</f>
        <v/>
      </c>
      <c r="C64298" t="inlineStr">
        <is>
          <t>2075-12-09</t>
        </is>
      </c>
    </row>
    <row r="64299">
      <c r="A64299" s="1" t="n">
        <v>64298</v>
      </c>
      <c r="B64299">
        <f>TEXT(64298, "[$-0E0000]yyyy-mm-dd")</f>
        <v/>
      </c>
      <c r="C64299" t="inlineStr">
        <is>
          <t>2075-12-10</t>
        </is>
      </c>
    </row>
    <row r="64300">
      <c r="A64300" s="1" t="n">
        <v>64299</v>
      </c>
      <c r="B64300">
        <f>TEXT(64299, "[$-0E0000]yyyy-mm-dd")</f>
        <v/>
      </c>
      <c r="C64300" t="inlineStr">
        <is>
          <t>2075-12-11</t>
        </is>
      </c>
    </row>
    <row r="64301">
      <c r="A64301" s="1" t="n">
        <v>64300</v>
      </c>
      <c r="B64301">
        <f>TEXT(64300, "[$-0E0000]yyyy-mm-dd")</f>
        <v/>
      </c>
      <c r="C64301" t="inlineStr">
        <is>
          <t>2075-12-12</t>
        </is>
      </c>
    </row>
    <row r="64302">
      <c r="A64302" s="1" t="n">
        <v>64301</v>
      </c>
      <c r="B64302">
        <f>TEXT(64301, "[$-0E0000]yyyy-mm-dd")</f>
        <v/>
      </c>
      <c r="C64302" t="inlineStr">
        <is>
          <t>2075-12-13</t>
        </is>
      </c>
    </row>
    <row r="64303">
      <c r="A64303" s="1" t="n">
        <v>64302</v>
      </c>
      <c r="B64303">
        <f>TEXT(64302, "[$-0E0000]yyyy-mm-dd")</f>
        <v/>
      </c>
      <c r="C64303" t="inlineStr">
        <is>
          <t>2075-12-14</t>
        </is>
      </c>
    </row>
    <row r="64304">
      <c r="A64304" s="1" t="n">
        <v>64303</v>
      </c>
      <c r="B64304">
        <f>TEXT(64303, "[$-0E0000]yyyy-mm-dd")</f>
        <v/>
      </c>
      <c r="C64304" t="inlineStr">
        <is>
          <t>2075-12-15</t>
        </is>
      </c>
    </row>
    <row r="64305">
      <c r="A64305" s="1" t="n">
        <v>64304</v>
      </c>
      <c r="B64305">
        <f>TEXT(64304, "[$-0E0000]yyyy-mm-dd")</f>
        <v/>
      </c>
      <c r="C64305" t="inlineStr">
        <is>
          <t>2075-12-16</t>
        </is>
      </c>
    </row>
    <row r="64306">
      <c r="A64306" s="1" t="n">
        <v>64305</v>
      </c>
      <c r="B64306">
        <f>TEXT(64305, "[$-0E0000]yyyy-mm-dd")</f>
        <v/>
      </c>
      <c r="C64306" t="inlineStr">
        <is>
          <t>2075-12-17</t>
        </is>
      </c>
    </row>
    <row r="64307">
      <c r="A64307" s="1" t="n">
        <v>64306</v>
      </c>
      <c r="B64307">
        <f>TEXT(64306, "[$-0E0000]yyyy-mm-dd")</f>
        <v/>
      </c>
      <c r="C64307" t="inlineStr">
        <is>
          <t>2075-12-18</t>
        </is>
      </c>
    </row>
    <row r="64308">
      <c r="A64308" s="1" t="n">
        <v>64307</v>
      </c>
      <c r="B64308">
        <f>TEXT(64307, "[$-0E0000]yyyy-mm-dd")</f>
        <v/>
      </c>
      <c r="C64308" t="inlineStr">
        <is>
          <t>2075-12-19</t>
        </is>
      </c>
    </row>
    <row r="64309">
      <c r="A64309" s="1" t="n">
        <v>64308</v>
      </c>
      <c r="B64309">
        <f>TEXT(64308, "[$-0E0000]yyyy-mm-dd")</f>
        <v/>
      </c>
      <c r="C64309" t="inlineStr">
        <is>
          <t>2075-12-20</t>
        </is>
      </c>
    </row>
    <row r="64310">
      <c r="A64310" s="1" t="n">
        <v>64309</v>
      </c>
      <c r="B64310">
        <f>TEXT(64309, "[$-0E0000]yyyy-mm-dd")</f>
        <v/>
      </c>
      <c r="C64310" t="inlineStr">
        <is>
          <t>2075-12-21</t>
        </is>
      </c>
    </row>
    <row r="64311">
      <c r="A64311" s="1" t="n">
        <v>64310</v>
      </c>
      <c r="B64311">
        <f>TEXT(64310, "[$-0E0000]yyyy-mm-dd")</f>
        <v/>
      </c>
      <c r="C64311" t="inlineStr">
        <is>
          <t>2075-12-22</t>
        </is>
      </c>
    </row>
    <row r="64312">
      <c r="A64312" s="1" t="n">
        <v>64311</v>
      </c>
      <c r="B64312">
        <f>TEXT(64311, "[$-0E0000]yyyy-mm-dd")</f>
        <v/>
      </c>
      <c r="C64312" t="inlineStr">
        <is>
          <t>2075-12-23</t>
        </is>
      </c>
    </row>
    <row r="64313">
      <c r="A64313" s="1" t="n">
        <v>64312</v>
      </c>
      <c r="B64313">
        <f>TEXT(64312, "[$-0E0000]yyyy-mm-dd")</f>
        <v/>
      </c>
      <c r="C64313" t="inlineStr">
        <is>
          <t>2075-12-24</t>
        </is>
      </c>
    </row>
    <row r="64314">
      <c r="A64314" s="1" t="n">
        <v>64313</v>
      </c>
      <c r="B64314">
        <f>TEXT(64313, "[$-0E0000]yyyy-mm-dd")</f>
        <v/>
      </c>
      <c r="C64314" t="inlineStr">
        <is>
          <t>2075-12-25</t>
        </is>
      </c>
    </row>
    <row r="64315">
      <c r="A64315" s="1" t="n">
        <v>64314</v>
      </c>
      <c r="B64315">
        <f>TEXT(64314, "[$-0E0000]yyyy-mm-dd")</f>
        <v/>
      </c>
      <c r="C64315" t="inlineStr">
        <is>
          <t>2075-12-26</t>
        </is>
      </c>
    </row>
    <row r="64316">
      <c r="A64316" s="1" t="n">
        <v>64315</v>
      </c>
      <c r="B64316">
        <f>TEXT(64315, "[$-0E0000]yyyy-mm-dd")</f>
        <v/>
      </c>
      <c r="C64316" t="inlineStr">
        <is>
          <t>2075-12-27</t>
        </is>
      </c>
    </row>
    <row r="64317">
      <c r="A64317" s="1" t="n">
        <v>64316</v>
      </c>
      <c r="B64317">
        <f>TEXT(64316, "[$-0E0000]yyyy-mm-dd")</f>
        <v/>
      </c>
      <c r="C64317" t="inlineStr">
        <is>
          <t>2075-12-28</t>
        </is>
      </c>
    </row>
    <row r="64318">
      <c r="A64318" s="1" t="n">
        <v>64317</v>
      </c>
      <c r="B64318">
        <f>TEXT(64317, "[$-0E0000]yyyy-mm-dd")</f>
        <v/>
      </c>
      <c r="C64318" t="inlineStr">
        <is>
          <t>2075-12-29</t>
        </is>
      </c>
    </row>
    <row r="64319">
      <c r="A64319" s="1" t="n">
        <v>64318</v>
      </c>
      <c r="B64319">
        <f>TEXT(64318, "[$-0E0000]yyyy-mm-dd")</f>
        <v/>
      </c>
      <c r="C64319" t="inlineStr">
        <is>
          <t>2075-12-30</t>
        </is>
      </c>
    </row>
    <row r="64320">
      <c r="A64320" s="1" t="n">
        <v>64319</v>
      </c>
      <c r="B64320">
        <f>TEXT(64319, "[$-0E0000]yyyy-mm-dd")</f>
        <v/>
      </c>
      <c r="C64320" t="inlineStr">
        <is>
          <t>2076-01-01</t>
        </is>
      </c>
    </row>
    <row r="64321">
      <c r="A64321" s="1" t="n">
        <v>64320</v>
      </c>
      <c r="B64321">
        <f>TEXT(64320, "[$-0E0000]yyyy-mm-dd")</f>
        <v/>
      </c>
      <c r="C64321" t="inlineStr">
        <is>
          <t>2076-01-02</t>
        </is>
      </c>
    </row>
    <row r="64322">
      <c r="A64322" s="1" t="n">
        <v>64321</v>
      </c>
      <c r="B64322">
        <f>TEXT(64321, "[$-0E0000]yyyy-mm-dd")</f>
        <v/>
      </c>
      <c r="C64322" t="inlineStr">
        <is>
          <t>2076-01-03</t>
        </is>
      </c>
    </row>
    <row r="64323">
      <c r="A64323" s="1" t="n">
        <v>64322</v>
      </c>
      <c r="B64323">
        <f>TEXT(64322, "[$-0E0000]yyyy-mm-dd")</f>
        <v/>
      </c>
      <c r="C64323" t="inlineStr">
        <is>
          <t>2076-01-04</t>
        </is>
      </c>
    </row>
    <row r="64324">
      <c r="A64324" s="1" t="n">
        <v>64323</v>
      </c>
      <c r="B64324">
        <f>TEXT(64323, "[$-0E0000]yyyy-mm-dd")</f>
        <v/>
      </c>
      <c r="C64324" t="inlineStr">
        <is>
          <t>2076-01-05</t>
        </is>
      </c>
    </row>
    <row r="64325">
      <c r="A64325" s="1" t="n">
        <v>64324</v>
      </c>
      <c r="B64325">
        <f>TEXT(64324, "[$-0E0000]yyyy-mm-dd")</f>
        <v/>
      </c>
      <c r="C64325" t="inlineStr">
        <is>
          <t>2076-01-06</t>
        </is>
      </c>
    </row>
    <row r="64326">
      <c r="A64326" s="1" t="n">
        <v>64325</v>
      </c>
      <c r="B64326">
        <f>TEXT(64325, "[$-0E0000]yyyy-mm-dd")</f>
        <v/>
      </c>
      <c r="C64326" t="inlineStr">
        <is>
          <t>2076-01-07</t>
        </is>
      </c>
    </row>
    <row r="64327">
      <c r="A64327" s="1" t="n">
        <v>64326</v>
      </c>
      <c r="B64327">
        <f>TEXT(64326, "[$-0E0000]yyyy-mm-dd")</f>
        <v/>
      </c>
      <c r="C64327" t="inlineStr">
        <is>
          <t>2076-01-08</t>
        </is>
      </c>
    </row>
    <row r="64328">
      <c r="A64328" s="1" t="n">
        <v>64327</v>
      </c>
      <c r="B64328">
        <f>TEXT(64327, "[$-0E0000]yyyy-mm-dd")</f>
        <v/>
      </c>
      <c r="C64328" t="inlineStr">
        <is>
          <t>2076-01-09</t>
        </is>
      </c>
    </row>
    <row r="64329">
      <c r="A64329" s="1" t="n">
        <v>64328</v>
      </c>
      <c r="B64329">
        <f>TEXT(64328, "[$-0E0000]yyyy-mm-dd")</f>
        <v/>
      </c>
      <c r="C64329" t="inlineStr">
        <is>
          <t>2076-01-10</t>
        </is>
      </c>
    </row>
    <row r="64330">
      <c r="A64330" s="1" t="n">
        <v>64329</v>
      </c>
      <c r="B64330">
        <f>TEXT(64329, "[$-0E0000]yyyy-mm-dd")</f>
        <v/>
      </c>
      <c r="C64330" t="inlineStr">
        <is>
          <t>2076-01-11</t>
        </is>
      </c>
    </row>
    <row r="64331">
      <c r="A64331" s="1" t="n">
        <v>64330</v>
      </c>
      <c r="B64331">
        <f>TEXT(64330, "[$-0E0000]yyyy-mm-dd")</f>
        <v/>
      </c>
      <c r="C64331" t="inlineStr">
        <is>
          <t>2076-01-12</t>
        </is>
      </c>
    </row>
    <row r="64332">
      <c r="A64332" s="1" t="n">
        <v>64331</v>
      </c>
      <c r="B64332">
        <f>TEXT(64331, "[$-0E0000]yyyy-mm-dd")</f>
        <v/>
      </c>
      <c r="C64332" t="inlineStr">
        <is>
          <t>2076-01-13</t>
        </is>
      </c>
    </row>
    <row r="64333">
      <c r="A64333" s="1" t="n">
        <v>64332</v>
      </c>
      <c r="B64333">
        <f>TEXT(64332, "[$-0E0000]yyyy-mm-dd")</f>
        <v/>
      </c>
      <c r="C64333" t="inlineStr">
        <is>
          <t>2076-01-14</t>
        </is>
      </c>
    </row>
    <row r="64334">
      <c r="A64334" s="1" t="n">
        <v>64333</v>
      </c>
      <c r="B64334">
        <f>TEXT(64333, "[$-0E0000]yyyy-mm-dd")</f>
        <v/>
      </c>
      <c r="C64334" t="inlineStr">
        <is>
          <t>2076-01-15</t>
        </is>
      </c>
    </row>
    <row r="64335">
      <c r="A64335" s="1" t="n">
        <v>64334</v>
      </c>
      <c r="B64335">
        <f>TEXT(64334, "[$-0E0000]yyyy-mm-dd")</f>
        <v/>
      </c>
      <c r="C64335" t="inlineStr">
        <is>
          <t>2076-01-16</t>
        </is>
      </c>
    </row>
    <row r="64336">
      <c r="A64336" s="1" t="n">
        <v>64335</v>
      </c>
      <c r="B64336">
        <f>TEXT(64335, "[$-0E0000]yyyy-mm-dd")</f>
        <v/>
      </c>
      <c r="C64336" t="inlineStr">
        <is>
          <t>2076-01-17</t>
        </is>
      </c>
    </row>
    <row r="64337">
      <c r="A64337" s="1" t="n">
        <v>64336</v>
      </c>
      <c r="B64337">
        <f>TEXT(64336, "[$-0E0000]yyyy-mm-dd")</f>
        <v/>
      </c>
      <c r="C64337" t="inlineStr">
        <is>
          <t>2076-01-18</t>
        </is>
      </c>
    </row>
    <row r="64338">
      <c r="A64338" s="1" t="n">
        <v>64337</v>
      </c>
      <c r="B64338">
        <f>TEXT(64337, "[$-0E0000]yyyy-mm-dd")</f>
        <v/>
      </c>
      <c r="C64338" t="inlineStr">
        <is>
          <t>2076-01-19</t>
        </is>
      </c>
    </row>
    <row r="64339">
      <c r="A64339" s="1" t="n">
        <v>64338</v>
      </c>
      <c r="B64339">
        <f>TEXT(64338, "[$-0E0000]yyyy-mm-dd")</f>
        <v/>
      </c>
      <c r="C64339" t="inlineStr">
        <is>
          <t>2076-01-20</t>
        </is>
      </c>
    </row>
    <row r="64340">
      <c r="A64340" s="1" t="n">
        <v>64339</v>
      </c>
      <c r="B64340">
        <f>TEXT(64339, "[$-0E0000]yyyy-mm-dd")</f>
        <v/>
      </c>
      <c r="C64340" t="inlineStr">
        <is>
          <t>2076-01-21</t>
        </is>
      </c>
    </row>
    <row r="64341">
      <c r="A64341" s="1" t="n">
        <v>64340</v>
      </c>
      <c r="B64341">
        <f>TEXT(64340, "[$-0E0000]yyyy-mm-dd")</f>
        <v/>
      </c>
      <c r="C64341" t="inlineStr">
        <is>
          <t>2076-01-22</t>
        </is>
      </c>
    </row>
    <row r="64342">
      <c r="A64342" s="1" t="n">
        <v>64341</v>
      </c>
      <c r="B64342">
        <f>TEXT(64341, "[$-0E0000]yyyy-mm-dd")</f>
        <v/>
      </c>
      <c r="C64342" t="inlineStr">
        <is>
          <t>2076-01-23</t>
        </is>
      </c>
    </row>
    <row r="64343">
      <c r="A64343" s="1" t="n">
        <v>64342</v>
      </c>
      <c r="B64343">
        <f>TEXT(64342, "[$-0E0000]yyyy-mm-dd")</f>
        <v/>
      </c>
      <c r="C64343" t="inlineStr">
        <is>
          <t>2076-01-24</t>
        </is>
      </c>
    </row>
    <row r="64344">
      <c r="A64344" s="1" t="n">
        <v>64343</v>
      </c>
      <c r="B64344">
        <f>TEXT(64343, "[$-0E0000]yyyy-mm-dd")</f>
        <v/>
      </c>
      <c r="C64344" t="inlineStr">
        <is>
          <t>2076-01-25</t>
        </is>
      </c>
    </row>
    <row r="64345">
      <c r="A64345" s="1" t="n">
        <v>64344</v>
      </c>
      <c r="B64345">
        <f>TEXT(64344, "[$-0E0000]yyyy-mm-dd")</f>
        <v/>
      </c>
      <c r="C64345" t="inlineStr">
        <is>
          <t>2076-01-26</t>
        </is>
      </c>
    </row>
    <row r="64346">
      <c r="A64346" s="1" t="n">
        <v>64345</v>
      </c>
      <c r="B64346">
        <f>TEXT(64345, "[$-0E0000]yyyy-mm-dd")</f>
        <v/>
      </c>
      <c r="C64346" t="inlineStr">
        <is>
          <t>2076-01-27</t>
        </is>
      </c>
    </row>
    <row r="64347">
      <c r="A64347" s="1" t="n">
        <v>64346</v>
      </c>
      <c r="B64347">
        <f>TEXT(64346, "[$-0E0000]yyyy-mm-dd")</f>
        <v/>
      </c>
      <c r="C64347" t="inlineStr">
        <is>
          <t>2076-01-28</t>
        </is>
      </c>
    </row>
    <row r="64348">
      <c r="A64348" s="1" t="n">
        <v>64347</v>
      </c>
      <c r="B64348">
        <f>TEXT(64347, "[$-0E0000]yyyy-mm-dd")</f>
        <v/>
      </c>
      <c r="C64348" t="inlineStr">
        <is>
          <t>2076-01-29</t>
        </is>
      </c>
    </row>
    <row r="64349">
      <c r="A64349" s="1" t="n">
        <v>64348</v>
      </c>
      <c r="B64349">
        <f>TEXT(64348, "[$-0E0000]yyyy-mm-dd")</f>
        <v/>
      </c>
      <c r="C64349" t="inlineStr">
        <is>
          <t>2076-02-01</t>
        </is>
      </c>
    </row>
    <row r="64350">
      <c r="A64350" s="1" t="n">
        <v>64349</v>
      </c>
      <c r="B64350">
        <f>TEXT(64349, "[$-0E0000]yyyy-mm-dd")</f>
        <v/>
      </c>
      <c r="C64350" t="inlineStr">
        <is>
          <t>2076-02-02</t>
        </is>
      </c>
    </row>
    <row r="64351">
      <c r="A64351" s="1" t="n">
        <v>64350</v>
      </c>
      <c r="B64351">
        <f>TEXT(64350, "[$-0E0000]yyyy-mm-dd")</f>
        <v/>
      </c>
      <c r="C64351" t="inlineStr">
        <is>
          <t>2076-02-03</t>
        </is>
      </c>
    </row>
    <row r="64352">
      <c r="A64352" s="1" t="n">
        <v>64351</v>
      </c>
      <c r="B64352">
        <f>TEXT(64351, "[$-0E0000]yyyy-mm-dd")</f>
        <v/>
      </c>
      <c r="C64352" t="inlineStr">
        <is>
          <t>2076-02-04</t>
        </is>
      </c>
    </row>
    <row r="64353">
      <c r="A64353" s="1" t="n">
        <v>64352</v>
      </c>
      <c r="B64353">
        <f>TEXT(64352, "[$-0E0000]yyyy-mm-dd")</f>
        <v/>
      </c>
      <c r="C64353" t="inlineStr">
        <is>
          <t>2076-02-05</t>
        </is>
      </c>
    </row>
    <row r="64354">
      <c r="A64354" s="1" t="n">
        <v>64353</v>
      </c>
      <c r="B64354">
        <f>TEXT(64353, "[$-0E0000]yyyy-mm-dd")</f>
        <v/>
      </c>
      <c r="C64354" t="inlineStr">
        <is>
          <t>2076-02-06</t>
        </is>
      </c>
    </row>
    <row r="64355">
      <c r="A64355" s="1" t="n">
        <v>64354</v>
      </c>
      <c r="B64355">
        <f>TEXT(64354, "[$-0E0000]yyyy-mm-dd")</f>
        <v/>
      </c>
      <c r="C64355" t="inlineStr">
        <is>
          <t>2076-02-07</t>
        </is>
      </c>
    </row>
    <row r="64356">
      <c r="A64356" s="1" t="n">
        <v>64355</v>
      </c>
      <c r="B64356">
        <f>TEXT(64355, "[$-0E0000]yyyy-mm-dd")</f>
        <v/>
      </c>
      <c r="C64356" t="inlineStr">
        <is>
          <t>2076-02-08</t>
        </is>
      </c>
    </row>
    <row r="64357">
      <c r="A64357" s="1" t="n">
        <v>64356</v>
      </c>
      <c r="B64357">
        <f>TEXT(64356, "[$-0E0000]yyyy-mm-dd")</f>
        <v/>
      </c>
      <c r="C64357" t="inlineStr">
        <is>
          <t>2076-02-09</t>
        </is>
      </c>
    </row>
    <row r="64358">
      <c r="A64358" s="1" t="n">
        <v>64357</v>
      </c>
      <c r="B64358">
        <f>TEXT(64357, "[$-0E0000]yyyy-mm-dd")</f>
        <v/>
      </c>
      <c r="C64358" t="inlineStr">
        <is>
          <t>2076-02-10</t>
        </is>
      </c>
    </row>
    <row r="64359">
      <c r="A64359" s="1" t="n">
        <v>64358</v>
      </c>
      <c r="B64359">
        <f>TEXT(64358, "[$-0E0000]yyyy-mm-dd")</f>
        <v/>
      </c>
      <c r="C64359" t="inlineStr">
        <is>
          <t>2076-02-11</t>
        </is>
      </c>
    </row>
    <row r="64360">
      <c r="A64360" s="1" t="n">
        <v>64359</v>
      </c>
      <c r="B64360">
        <f>TEXT(64359, "[$-0E0000]yyyy-mm-dd")</f>
        <v/>
      </c>
      <c r="C64360" t="inlineStr">
        <is>
          <t>2076-02-12</t>
        </is>
      </c>
    </row>
    <row r="64361">
      <c r="A64361" s="1" t="n">
        <v>64360</v>
      </c>
      <c r="B64361">
        <f>TEXT(64360, "[$-0E0000]yyyy-mm-dd")</f>
        <v/>
      </c>
      <c r="C64361" t="inlineStr">
        <is>
          <t>2076-02-13</t>
        </is>
      </c>
    </row>
    <row r="64362">
      <c r="A64362" s="1" t="n">
        <v>64361</v>
      </c>
      <c r="B64362">
        <f>TEXT(64361, "[$-0E0000]yyyy-mm-dd")</f>
        <v/>
      </c>
      <c r="C64362" t="inlineStr">
        <is>
          <t>2076-02-14</t>
        </is>
      </c>
    </row>
    <row r="64363">
      <c r="A64363" s="1" t="n">
        <v>64362</v>
      </c>
      <c r="B64363">
        <f>TEXT(64362, "[$-0E0000]yyyy-mm-dd")</f>
        <v/>
      </c>
      <c r="C64363" t="inlineStr">
        <is>
          <t>2076-02-15</t>
        </is>
      </c>
    </row>
    <row r="64364">
      <c r="A64364" s="1" t="n">
        <v>64363</v>
      </c>
      <c r="B64364">
        <f>TEXT(64363, "[$-0E0000]yyyy-mm-dd")</f>
        <v/>
      </c>
      <c r="C64364" t="inlineStr">
        <is>
          <t>2076-02-16</t>
        </is>
      </c>
    </row>
    <row r="64365">
      <c r="A64365" s="1" t="n">
        <v>64364</v>
      </c>
      <c r="B64365">
        <f>TEXT(64364, "[$-0E0000]yyyy-mm-dd")</f>
        <v/>
      </c>
      <c r="C64365" t="inlineStr">
        <is>
          <t>2076-02-17</t>
        </is>
      </c>
    </row>
    <row r="64366">
      <c r="A64366" s="1" t="n">
        <v>64365</v>
      </c>
      <c r="B64366">
        <f>TEXT(64365, "[$-0E0000]yyyy-mm-dd")</f>
        <v/>
      </c>
      <c r="C64366" t="inlineStr">
        <is>
          <t>2076-02-18</t>
        </is>
      </c>
    </row>
    <row r="64367">
      <c r="A64367" s="1" t="n">
        <v>64366</v>
      </c>
      <c r="B64367">
        <f>TEXT(64366, "[$-0E0000]yyyy-mm-dd")</f>
        <v/>
      </c>
      <c r="C64367" t="inlineStr">
        <is>
          <t>2076-02-19</t>
        </is>
      </c>
    </row>
    <row r="64368">
      <c r="A64368" s="1" t="n">
        <v>64367</v>
      </c>
      <c r="B64368">
        <f>TEXT(64367, "[$-0E0000]yyyy-mm-dd")</f>
        <v/>
      </c>
      <c r="C64368" t="inlineStr">
        <is>
          <t>2076-02-20</t>
        </is>
      </c>
    </row>
    <row r="64369">
      <c r="A64369" s="1" t="n">
        <v>64368</v>
      </c>
      <c r="B64369">
        <f>TEXT(64368, "[$-0E0000]yyyy-mm-dd")</f>
        <v/>
      </c>
      <c r="C64369" t="inlineStr">
        <is>
          <t>2076-02-21</t>
        </is>
      </c>
    </row>
    <row r="64370">
      <c r="A64370" s="1" t="n">
        <v>64369</v>
      </c>
      <c r="B64370">
        <f>TEXT(64369, "[$-0E0000]yyyy-mm-dd")</f>
        <v/>
      </c>
      <c r="C64370" t="inlineStr">
        <is>
          <t>2076-02-22</t>
        </is>
      </c>
    </row>
    <row r="64371">
      <c r="A64371" s="1" t="n">
        <v>64370</v>
      </c>
      <c r="B64371">
        <f>TEXT(64370, "[$-0E0000]yyyy-mm-dd")</f>
        <v/>
      </c>
      <c r="C64371" t="inlineStr">
        <is>
          <t>2076-02-23</t>
        </is>
      </c>
    </row>
    <row r="64372">
      <c r="A64372" s="1" t="n">
        <v>64371</v>
      </c>
      <c r="B64372">
        <f>TEXT(64371, "[$-0E0000]yyyy-mm-dd")</f>
        <v/>
      </c>
      <c r="C64372" t="inlineStr">
        <is>
          <t>2076-02-24</t>
        </is>
      </c>
    </row>
    <row r="64373">
      <c r="A64373" s="1" t="n">
        <v>64372</v>
      </c>
      <c r="B64373">
        <f>TEXT(64372, "[$-0E0000]yyyy-mm-dd")</f>
        <v/>
      </c>
      <c r="C64373" t="inlineStr">
        <is>
          <t>2076-02-25</t>
        </is>
      </c>
    </row>
    <row r="64374">
      <c r="A64374" s="1" t="n">
        <v>64373</v>
      </c>
      <c r="B64374">
        <f>TEXT(64373, "[$-0E0000]yyyy-mm-dd")</f>
        <v/>
      </c>
      <c r="C64374" t="inlineStr">
        <is>
          <t>2076-02-26</t>
        </is>
      </c>
    </row>
    <row r="64375">
      <c r="A64375" s="1" t="n">
        <v>64374</v>
      </c>
      <c r="B64375">
        <f>TEXT(64374, "[$-0E0000]yyyy-mm-dd")</f>
        <v/>
      </c>
      <c r="C64375" t="inlineStr">
        <is>
          <t>2076-02-27</t>
        </is>
      </c>
    </row>
    <row r="64376">
      <c r="A64376" s="1" t="n">
        <v>64375</v>
      </c>
      <c r="B64376">
        <f>TEXT(64375, "[$-0E0000]yyyy-mm-dd")</f>
        <v/>
      </c>
      <c r="C64376" t="inlineStr">
        <is>
          <t>2076-02-28</t>
        </is>
      </c>
    </row>
    <row r="64377">
      <c r="A64377" s="1" t="n">
        <v>64376</v>
      </c>
      <c r="B64377">
        <f>TEXT(64376, "[$-0E0000]yyyy-mm-dd")</f>
        <v/>
      </c>
      <c r="C64377" t="inlineStr">
        <is>
          <t>2076-02-29</t>
        </is>
      </c>
    </row>
    <row r="64378">
      <c r="A64378" s="1" t="n">
        <v>64377</v>
      </c>
      <c r="B64378">
        <f>TEXT(64377, "[$-0E0000]yyyy-mm-dd")</f>
        <v/>
      </c>
      <c r="C64378" t="inlineStr">
        <is>
          <t>2076-02-30</t>
        </is>
      </c>
    </row>
    <row r="64379">
      <c r="A64379" s="1" t="n">
        <v>64378</v>
      </c>
      <c r="B64379">
        <f>TEXT(64378, "[$-0E0000]yyyy-mm-dd")</f>
        <v/>
      </c>
      <c r="C64379" t="inlineStr">
        <is>
          <t>2076-03-01</t>
        </is>
      </c>
    </row>
    <row r="64380">
      <c r="A64380" s="1" t="n">
        <v>64379</v>
      </c>
      <c r="B64380">
        <f>TEXT(64379, "[$-0E0000]yyyy-mm-dd")</f>
        <v/>
      </c>
      <c r="C64380" t="inlineStr">
        <is>
          <t>2076-03-02</t>
        </is>
      </c>
    </row>
    <row r="64381">
      <c r="A64381" s="1" t="n">
        <v>64380</v>
      </c>
      <c r="B64381">
        <f>TEXT(64380, "[$-0E0000]yyyy-mm-dd")</f>
        <v/>
      </c>
      <c r="C64381" t="inlineStr">
        <is>
          <t>2076-03-03</t>
        </is>
      </c>
    </row>
    <row r="64382">
      <c r="A64382" s="1" t="n">
        <v>64381</v>
      </c>
      <c r="B64382">
        <f>TEXT(64381, "[$-0E0000]yyyy-mm-dd")</f>
        <v/>
      </c>
      <c r="C64382" t="inlineStr">
        <is>
          <t>2076-03-04</t>
        </is>
      </c>
    </row>
    <row r="64383">
      <c r="A64383" s="1" t="n">
        <v>64382</v>
      </c>
      <c r="B64383">
        <f>TEXT(64382, "[$-0E0000]yyyy-mm-dd")</f>
        <v/>
      </c>
      <c r="C64383" t="inlineStr">
        <is>
          <t>2076-03-05</t>
        </is>
      </c>
    </row>
    <row r="64384">
      <c r="A64384" s="1" t="n">
        <v>64383</v>
      </c>
      <c r="B64384">
        <f>TEXT(64383, "[$-0E0000]yyyy-mm-dd")</f>
        <v/>
      </c>
      <c r="C64384" t="inlineStr">
        <is>
          <t>2076-03-06</t>
        </is>
      </c>
    </row>
    <row r="64385">
      <c r="A64385" s="1" t="n">
        <v>64384</v>
      </c>
      <c r="B64385">
        <f>TEXT(64384, "[$-0E0000]yyyy-mm-dd")</f>
        <v/>
      </c>
      <c r="C64385" t="inlineStr">
        <is>
          <t>2076-03-07</t>
        </is>
      </c>
    </row>
    <row r="64386">
      <c r="A64386" s="1" t="n">
        <v>64385</v>
      </c>
      <c r="B64386">
        <f>TEXT(64385, "[$-0E0000]yyyy-mm-dd")</f>
        <v/>
      </c>
      <c r="C64386" t="inlineStr">
        <is>
          <t>2076-03-08</t>
        </is>
      </c>
    </row>
    <row r="64387">
      <c r="A64387" s="1" t="n">
        <v>64386</v>
      </c>
      <c r="B64387">
        <f>TEXT(64386, "[$-0E0000]yyyy-mm-dd")</f>
        <v/>
      </c>
      <c r="C64387" t="inlineStr">
        <is>
          <t>2076-03-09</t>
        </is>
      </c>
    </row>
    <row r="64388">
      <c r="A64388" s="1" t="n">
        <v>64387</v>
      </c>
      <c r="B64388">
        <f>TEXT(64387, "[$-0E0000]yyyy-mm-dd")</f>
        <v/>
      </c>
      <c r="C64388" t="inlineStr">
        <is>
          <t>2076-03-10</t>
        </is>
      </c>
    </row>
    <row r="64389">
      <c r="A64389" s="1" t="n">
        <v>64388</v>
      </c>
      <c r="B64389">
        <f>TEXT(64388, "[$-0E0000]yyyy-mm-dd")</f>
        <v/>
      </c>
      <c r="C64389" t="inlineStr">
        <is>
          <t>2076-03-11</t>
        </is>
      </c>
    </row>
    <row r="64390">
      <c r="A64390" s="1" t="n">
        <v>64389</v>
      </c>
      <c r="B64390">
        <f>TEXT(64389, "[$-0E0000]yyyy-mm-dd")</f>
        <v/>
      </c>
      <c r="C64390" t="inlineStr">
        <is>
          <t>2076-03-12</t>
        </is>
      </c>
    </row>
    <row r="64391">
      <c r="A64391" s="1" t="n">
        <v>64390</v>
      </c>
      <c r="B64391">
        <f>TEXT(64390, "[$-0E0000]yyyy-mm-dd")</f>
        <v/>
      </c>
      <c r="C64391" t="inlineStr">
        <is>
          <t>2076-03-13</t>
        </is>
      </c>
    </row>
    <row r="64392">
      <c r="A64392" s="1" t="n">
        <v>64391</v>
      </c>
      <c r="B64392">
        <f>TEXT(64391, "[$-0E0000]yyyy-mm-dd")</f>
        <v/>
      </c>
      <c r="C64392" t="inlineStr">
        <is>
          <t>2076-03-14</t>
        </is>
      </c>
    </row>
    <row r="64393">
      <c r="A64393" s="1" t="n">
        <v>64392</v>
      </c>
      <c r="B64393">
        <f>TEXT(64392, "[$-0E0000]yyyy-mm-dd")</f>
        <v/>
      </c>
      <c r="C64393" t="inlineStr">
        <is>
          <t>2076-03-15</t>
        </is>
      </c>
    </row>
    <row r="64394">
      <c r="A64394" s="1" t="n">
        <v>64393</v>
      </c>
      <c r="B64394">
        <f>TEXT(64393, "[$-0E0000]yyyy-mm-dd")</f>
        <v/>
      </c>
      <c r="C64394" t="inlineStr">
        <is>
          <t>2076-03-16</t>
        </is>
      </c>
    </row>
    <row r="64395">
      <c r="A64395" s="1" t="n">
        <v>64394</v>
      </c>
      <c r="B64395">
        <f>TEXT(64394, "[$-0E0000]yyyy-mm-dd")</f>
        <v/>
      </c>
      <c r="C64395" t="inlineStr">
        <is>
          <t>2076-03-17</t>
        </is>
      </c>
    </row>
    <row r="64396">
      <c r="A64396" s="1" t="n">
        <v>64395</v>
      </c>
      <c r="B64396">
        <f>TEXT(64395, "[$-0E0000]yyyy-mm-dd")</f>
        <v/>
      </c>
      <c r="C64396" t="inlineStr">
        <is>
          <t>2076-03-18</t>
        </is>
      </c>
    </row>
    <row r="64397">
      <c r="A64397" s="1" t="n">
        <v>64396</v>
      </c>
      <c r="B64397">
        <f>TEXT(64396, "[$-0E0000]yyyy-mm-dd")</f>
        <v/>
      </c>
      <c r="C64397" t="inlineStr">
        <is>
          <t>2076-03-19</t>
        </is>
      </c>
    </row>
    <row r="64398">
      <c r="A64398" s="1" t="n">
        <v>64397</v>
      </c>
      <c r="B64398">
        <f>TEXT(64397, "[$-0E0000]yyyy-mm-dd")</f>
        <v/>
      </c>
      <c r="C64398" t="inlineStr">
        <is>
          <t>2076-03-20</t>
        </is>
      </c>
    </row>
    <row r="64399">
      <c r="A64399" s="1" t="n">
        <v>64398</v>
      </c>
      <c r="B64399">
        <f>TEXT(64398, "[$-0E0000]yyyy-mm-dd")</f>
        <v/>
      </c>
      <c r="C64399" t="inlineStr">
        <is>
          <t>2076-03-21</t>
        </is>
      </c>
    </row>
    <row r="64400">
      <c r="A64400" s="1" t="n">
        <v>64399</v>
      </c>
      <c r="B64400">
        <f>TEXT(64399, "[$-0E0000]yyyy-mm-dd")</f>
        <v/>
      </c>
      <c r="C64400" t="inlineStr">
        <is>
          <t>2076-03-22</t>
        </is>
      </c>
    </row>
    <row r="64401">
      <c r="A64401" s="1" t="n">
        <v>64400</v>
      </c>
      <c r="B64401">
        <f>TEXT(64400, "[$-0E0000]yyyy-mm-dd")</f>
        <v/>
      </c>
      <c r="C64401" t="inlineStr">
        <is>
          <t>2076-03-23</t>
        </is>
      </c>
    </row>
    <row r="64402">
      <c r="A64402" s="1" t="n">
        <v>64401</v>
      </c>
      <c r="B64402">
        <f>TEXT(64401, "[$-0E0000]yyyy-mm-dd")</f>
        <v/>
      </c>
      <c r="C64402" t="inlineStr">
        <is>
          <t>2076-03-24</t>
        </is>
      </c>
    </row>
    <row r="64403">
      <c r="A64403" s="1" t="n">
        <v>64402</v>
      </c>
      <c r="B64403">
        <f>TEXT(64402, "[$-0E0000]yyyy-mm-dd")</f>
        <v/>
      </c>
      <c r="C64403" t="inlineStr">
        <is>
          <t>2076-03-25</t>
        </is>
      </c>
    </row>
    <row r="64404">
      <c r="A64404" s="1" t="n">
        <v>64403</v>
      </c>
      <c r="B64404">
        <f>TEXT(64403, "[$-0E0000]yyyy-mm-dd")</f>
        <v/>
      </c>
      <c r="C64404" t="inlineStr">
        <is>
          <t>2076-03-26</t>
        </is>
      </c>
    </row>
    <row r="64405">
      <c r="A64405" s="1" t="n">
        <v>64404</v>
      </c>
      <c r="B64405">
        <f>TEXT(64404, "[$-0E0000]yyyy-mm-dd")</f>
        <v/>
      </c>
      <c r="C64405" t="inlineStr">
        <is>
          <t>2076-03-27</t>
        </is>
      </c>
    </row>
    <row r="64406">
      <c r="A64406" s="1" t="n">
        <v>64405</v>
      </c>
      <c r="B64406">
        <f>TEXT(64405, "[$-0E0000]yyyy-mm-dd")</f>
        <v/>
      </c>
      <c r="C64406" t="inlineStr">
        <is>
          <t>2076-03-28</t>
        </is>
      </c>
    </row>
    <row r="64407">
      <c r="A64407" s="1" t="n">
        <v>64406</v>
      </c>
      <c r="B64407">
        <f>TEXT(64406, "[$-0E0000]yyyy-mm-dd")</f>
        <v/>
      </c>
      <c r="C64407" t="inlineStr">
        <is>
          <t>2076-03-29</t>
        </is>
      </c>
    </row>
    <row r="64408">
      <c r="A64408" s="1" t="n">
        <v>64407</v>
      </c>
      <c r="B64408">
        <f>TEXT(64407, "[$-0E0000]yyyy-mm-dd")</f>
        <v/>
      </c>
      <c r="C64408" t="inlineStr">
        <is>
          <t>2076-04-01</t>
        </is>
      </c>
    </row>
    <row r="64409">
      <c r="A64409" s="1" t="n">
        <v>64408</v>
      </c>
      <c r="B64409">
        <f>TEXT(64408, "[$-0E0000]yyyy-mm-dd")</f>
        <v/>
      </c>
      <c r="C64409" t="inlineStr">
        <is>
          <t>2076-04-02</t>
        </is>
      </c>
    </row>
    <row r="64410">
      <c r="A64410" s="1" t="n">
        <v>64409</v>
      </c>
      <c r="B64410">
        <f>TEXT(64409, "[$-0E0000]yyyy-mm-dd")</f>
        <v/>
      </c>
      <c r="C64410" t="inlineStr">
        <is>
          <t>2076-04-03</t>
        </is>
      </c>
    </row>
    <row r="64411">
      <c r="A64411" s="1" t="n">
        <v>64410</v>
      </c>
      <c r="B64411">
        <f>TEXT(64410, "[$-0E0000]yyyy-mm-dd")</f>
        <v/>
      </c>
      <c r="C64411" t="inlineStr">
        <is>
          <t>2076-04-04</t>
        </is>
      </c>
    </row>
    <row r="64412">
      <c r="A64412" s="1" t="n">
        <v>64411</v>
      </c>
      <c r="B64412">
        <f>TEXT(64411, "[$-0E0000]yyyy-mm-dd")</f>
        <v/>
      </c>
      <c r="C64412" t="inlineStr">
        <is>
          <t>2076-04-05</t>
        </is>
      </c>
    </row>
    <row r="64413">
      <c r="A64413" s="1" t="n">
        <v>64412</v>
      </c>
      <c r="B64413">
        <f>TEXT(64412, "[$-0E0000]yyyy-mm-dd")</f>
        <v/>
      </c>
      <c r="C64413" t="inlineStr">
        <is>
          <t>2076-04-06</t>
        </is>
      </c>
    </row>
    <row r="64414">
      <c r="A64414" s="1" t="n">
        <v>64413</v>
      </c>
      <c r="B64414">
        <f>TEXT(64413, "[$-0E0000]yyyy-mm-dd")</f>
        <v/>
      </c>
      <c r="C64414" t="inlineStr">
        <is>
          <t>2076-04-07</t>
        </is>
      </c>
    </row>
    <row r="64415">
      <c r="A64415" s="1" t="n">
        <v>64414</v>
      </c>
      <c r="B64415">
        <f>TEXT(64414, "[$-0E0000]yyyy-mm-dd")</f>
        <v/>
      </c>
      <c r="C64415" t="inlineStr">
        <is>
          <t>2076-04-08</t>
        </is>
      </c>
    </row>
    <row r="64416">
      <c r="A64416" s="1" t="n">
        <v>64415</v>
      </c>
      <c r="B64416">
        <f>TEXT(64415, "[$-0E0000]yyyy-mm-dd")</f>
        <v/>
      </c>
      <c r="C64416" t="inlineStr">
        <is>
          <t>2076-04-09</t>
        </is>
      </c>
    </row>
    <row r="64417">
      <c r="A64417" s="1" t="n">
        <v>64416</v>
      </c>
      <c r="B64417">
        <f>TEXT(64416, "[$-0E0000]yyyy-mm-dd")</f>
        <v/>
      </c>
      <c r="C64417" t="inlineStr">
        <is>
          <t>2076-04-10</t>
        </is>
      </c>
    </row>
    <row r="64418">
      <c r="A64418" s="1" t="n">
        <v>64417</v>
      </c>
      <c r="B64418">
        <f>TEXT(64417, "[$-0E0000]yyyy-mm-dd")</f>
        <v/>
      </c>
      <c r="C64418" t="inlineStr">
        <is>
          <t>2076-04-11</t>
        </is>
      </c>
    </row>
    <row r="64419">
      <c r="A64419" s="1" t="n">
        <v>64418</v>
      </c>
      <c r="B64419">
        <f>TEXT(64418, "[$-0E0000]yyyy-mm-dd")</f>
        <v/>
      </c>
      <c r="C64419" t="inlineStr">
        <is>
          <t>2076-04-12</t>
        </is>
      </c>
    </row>
    <row r="64420">
      <c r="A64420" s="1" t="n">
        <v>64419</v>
      </c>
      <c r="B64420">
        <f>TEXT(64419, "[$-0E0000]yyyy-mm-dd")</f>
        <v/>
      </c>
      <c r="C64420" t="inlineStr">
        <is>
          <t>2076-04-13</t>
        </is>
      </c>
    </row>
    <row r="64421">
      <c r="A64421" s="1" t="n">
        <v>64420</v>
      </c>
      <c r="B64421">
        <f>TEXT(64420, "[$-0E0000]yyyy-mm-dd")</f>
        <v/>
      </c>
      <c r="C64421" t="inlineStr">
        <is>
          <t>2076-04-14</t>
        </is>
      </c>
    </row>
    <row r="64422">
      <c r="A64422" s="1" t="n">
        <v>64421</v>
      </c>
      <c r="B64422">
        <f>TEXT(64421, "[$-0E0000]yyyy-mm-dd")</f>
        <v/>
      </c>
      <c r="C64422" t="inlineStr">
        <is>
          <t>2076-04-15</t>
        </is>
      </c>
    </row>
    <row r="64423">
      <c r="A64423" s="1" t="n">
        <v>64422</v>
      </c>
      <c r="B64423">
        <f>TEXT(64422, "[$-0E0000]yyyy-mm-dd")</f>
        <v/>
      </c>
      <c r="C64423" t="inlineStr">
        <is>
          <t>2076-04-16</t>
        </is>
      </c>
    </row>
    <row r="64424">
      <c r="A64424" s="1" t="n">
        <v>64423</v>
      </c>
      <c r="B64424">
        <f>TEXT(64423, "[$-0E0000]yyyy-mm-dd")</f>
        <v/>
      </c>
      <c r="C64424" t="inlineStr">
        <is>
          <t>2076-04-17</t>
        </is>
      </c>
    </row>
    <row r="64425">
      <c r="A64425" s="1" t="n">
        <v>64424</v>
      </c>
      <c r="B64425">
        <f>TEXT(64424, "[$-0E0000]yyyy-mm-dd")</f>
        <v/>
      </c>
      <c r="C64425" t="inlineStr">
        <is>
          <t>2076-04-18</t>
        </is>
      </c>
    </row>
    <row r="64426">
      <c r="A64426" s="1" t="n">
        <v>64425</v>
      </c>
      <c r="B64426">
        <f>TEXT(64425, "[$-0E0000]yyyy-mm-dd")</f>
        <v/>
      </c>
      <c r="C64426" t="inlineStr">
        <is>
          <t>2076-04-19</t>
        </is>
      </c>
    </row>
    <row r="64427">
      <c r="A64427" s="1" t="n">
        <v>64426</v>
      </c>
      <c r="B64427">
        <f>TEXT(64426, "[$-0E0000]yyyy-mm-dd")</f>
        <v/>
      </c>
      <c r="C64427" t="inlineStr">
        <is>
          <t>2076-04-20</t>
        </is>
      </c>
    </row>
    <row r="64428">
      <c r="A64428" s="1" t="n">
        <v>64427</v>
      </c>
      <c r="B64428">
        <f>TEXT(64427, "[$-0E0000]yyyy-mm-dd")</f>
        <v/>
      </c>
      <c r="C64428" t="inlineStr">
        <is>
          <t>2076-04-21</t>
        </is>
      </c>
    </row>
    <row r="64429">
      <c r="A64429" s="1" t="n">
        <v>64428</v>
      </c>
      <c r="B64429">
        <f>TEXT(64428, "[$-0E0000]yyyy-mm-dd")</f>
        <v/>
      </c>
      <c r="C64429" t="inlineStr">
        <is>
          <t>2076-04-22</t>
        </is>
      </c>
    </row>
    <row r="64430">
      <c r="A64430" s="1" t="n">
        <v>64429</v>
      </c>
      <c r="B64430">
        <f>TEXT(64429, "[$-0E0000]yyyy-mm-dd")</f>
        <v/>
      </c>
      <c r="C64430" t="inlineStr">
        <is>
          <t>2076-04-23</t>
        </is>
      </c>
    </row>
    <row r="64431">
      <c r="A64431" s="1" t="n">
        <v>64430</v>
      </c>
      <c r="B64431">
        <f>TEXT(64430, "[$-0E0000]yyyy-mm-dd")</f>
        <v/>
      </c>
      <c r="C64431" t="inlineStr">
        <is>
          <t>2076-04-24</t>
        </is>
      </c>
    </row>
    <row r="64432">
      <c r="A64432" s="1" t="n">
        <v>64431</v>
      </c>
      <c r="B64432">
        <f>TEXT(64431, "[$-0E0000]yyyy-mm-dd")</f>
        <v/>
      </c>
      <c r="C64432" t="inlineStr">
        <is>
          <t>2076-04-25</t>
        </is>
      </c>
    </row>
    <row r="64433">
      <c r="A64433" s="1" t="n">
        <v>64432</v>
      </c>
      <c r="B64433">
        <f>TEXT(64432, "[$-0E0000]yyyy-mm-dd")</f>
        <v/>
      </c>
      <c r="C64433" t="inlineStr">
        <is>
          <t>2076-04-26</t>
        </is>
      </c>
    </row>
    <row r="64434">
      <c r="A64434" s="1" t="n">
        <v>64433</v>
      </c>
      <c r="B64434">
        <f>TEXT(64433, "[$-0E0000]yyyy-mm-dd")</f>
        <v/>
      </c>
      <c r="C64434" t="inlineStr">
        <is>
          <t>2076-04-27</t>
        </is>
      </c>
    </row>
    <row r="64435">
      <c r="A64435" s="1" t="n">
        <v>64434</v>
      </c>
      <c r="B64435">
        <f>TEXT(64434, "[$-0E0000]yyyy-mm-dd")</f>
        <v/>
      </c>
      <c r="C64435" t="inlineStr">
        <is>
          <t>2076-04-28</t>
        </is>
      </c>
    </row>
    <row r="64436">
      <c r="A64436" s="1" t="n">
        <v>64435</v>
      </c>
      <c r="B64436">
        <f>TEXT(64435, "[$-0E0000]yyyy-mm-dd")</f>
        <v/>
      </c>
      <c r="C64436" t="inlineStr">
        <is>
          <t>2076-04-29</t>
        </is>
      </c>
    </row>
    <row r="64437">
      <c r="A64437" s="1" t="n">
        <v>64436</v>
      </c>
      <c r="B64437">
        <f>TEXT(64436, "[$-0E0000]yyyy-mm-dd")</f>
        <v/>
      </c>
      <c r="C64437" t="inlineStr">
        <is>
          <t>2076-04-30</t>
        </is>
      </c>
    </row>
    <row r="64438">
      <c r="A64438" s="1" t="n">
        <v>64437</v>
      </c>
      <c r="B64438">
        <f>TEXT(64437, "[$-0E0000]yyyy-mm-dd")</f>
        <v/>
      </c>
      <c r="C64438" t="inlineStr">
        <is>
          <t>2076-05-01</t>
        </is>
      </c>
    </row>
    <row r="64439">
      <c r="A64439" s="1" t="n">
        <v>64438</v>
      </c>
      <c r="B64439">
        <f>TEXT(64438, "[$-0E0000]yyyy-mm-dd")</f>
        <v/>
      </c>
      <c r="C64439" t="inlineStr">
        <is>
          <t>2076-05-02</t>
        </is>
      </c>
    </row>
    <row r="64440">
      <c r="A64440" s="1" t="n">
        <v>64439</v>
      </c>
      <c r="B64440">
        <f>TEXT(64439, "[$-0E0000]yyyy-mm-dd")</f>
        <v/>
      </c>
      <c r="C64440" t="inlineStr">
        <is>
          <t>2076-05-03</t>
        </is>
      </c>
    </row>
    <row r="64441">
      <c r="A64441" s="1" t="n">
        <v>64440</v>
      </c>
      <c r="B64441">
        <f>TEXT(64440, "[$-0E0000]yyyy-mm-dd")</f>
        <v/>
      </c>
      <c r="C64441" t="inlineStr">
        <is>
          <t>2076-05-04</t>
        </is>
      </c>
    </row>
    <row r="64442">
      <c r="A64442" s="1" t="n">
        <v>64441</v>
      </c>
      <c r="B64442">
        <f>TEXT(64441, "[$-0E0000]yyyy-mm-dd")</f>
        <v/>
      </c>
      <c r="C64442" t="inlineStr">
        <is>
          <t>2076-05-05</t>
        </is>
      </c>
    </row>
    <row r="64443">
      <c r="A64443" s="1" t="n">
        <v>64442</v>
      </c>
      <c r="B64443">
        <f>TEXT(64442, "[$-0E0000]yyyy-mm-dd")</f>
        <v/>
      </c>
      <c r="C64443" t="inlineStr">
        <is>
          <t>2076-05-06</t>
        </is>
      </c>
    </row>
    <row r="64444">
      <c r="A64444" s="1" t="n">
        <v>64443</v>
      </c>
      <c r="B64444">
        <f>TEXT(64443, "[$-0E0000]yyyy-mm-dd")</f>
        <v/>
      </c>
      <c r="C64444" t="inlineStr">
        <is>
          <t>2076-05-07</t>
        </is>
      </c>
    </row>
    <row r="64445">
      <c r="A64445" s="1" t="n">
        <v>64444</v>
      </c>
      <c r="B64445">
        <f>TEXT(64444, "[$-0E0000]yyyy-mm-dd")</f>
        <v/>
      </c>
      <c r="C64445" t="inlineStr">
        <is>
          <t>2076-05-08</t>
        </is>
      </c>
    </row>
    <row r="64446">
      <c r="A64446" s="1" t="n">
        <v>64445</v>
      </c>
      <c r="B64446">
        <f>TEXT(64445, "[$-0E0000]yyyy-mm-dd")</f>
        <v/>
      </c>
      <c r="C64446" t="inlineStr">
        <is>
          <t>2076-05-09</t>
        </is>
      </c>
    </row>
    <row r="64447">
      <c r="A64447" s="1" t="n">
        <v>64446</v>
      </c>
      <c r="B64447">
        <f>TEXT(64446, "[$-0E0000]yyyy-mm-dd")</f>
        <v/>
      </c>
      <c r="C64447" t="inlineStr">
        <is>
          <t>2076-05-10</t>
        </is>
      </c>
    </row>
    <row r="64448">
      <c r="A64448" s="1" t="n">
        <v>64447</v>
      </c>
      <c r="B64448">
        <f>TEXT(64447, "[$-0E0000]yyyy-mm-dd")</f>
        <v/>
      </c>
      <c r="C64448" t="inlineStr">
        <is>
          <t>2076-05-11</t>
        </is>
      </c>
    </row>
    <row r="64449">
      <c r="A64449" s="1" t="n">
        <v>64448</v>
      </c>
      <c r="B64449">
        <f>TEXT(64448, "[$-0E0000]yyyy-mm-dd")</f>
        <v/>
      </c>
      <c r="C64449" t="inlineStr">
        <is>
          <t>2076-05-12</t>
        </is>
      </c>
    </row>
    <row r="64450">
      <c r="A64450" s="1" t="n">
        <v>64449</v>
      </c>
      <c r="B64450">
        <f>TEXT(64449, "[$-0E0000]yyyy-mm-dd")</f>
        <v/>
      </c>
      <c r="C64450" t="inlineStr">
        <is>
          <t>2076-05-13</t>
        </is>
      </c>
    </row>
    <row r="64451">
      <c r="A64451" s="1" t="n">
        <v>64450</v>
      </c>
      <c r="B64451">
        <f>TEXT(64450, "[$-0E0000]yyyy-mm-dd")</f>
        <v/>
      </c>
      <c r="C64451" t="inlineStr">
        <is>
          <t>2076-05-14</t>
        </is>
      </c>
    </row>
    <row r="64452">
      <c r="A64452" s="1" t="n">
        <v>64451</v>
      </c>
      <c r="B64452">
        <f>TEXT(64451, "[$-0E0000]yyyy-mm-dd")</f>
        <v/>
      </c>
      <c r="C64452" t="inlineStr">
        <is>
          <t>2076-05-15</t>
        </is>
      </c>
    </row>
    <row r="64453">
      <c r="A64453" s="1" t="n">
        <v>64452</v>
      </c>
      <c r="B64453">
        <f>TEXT(64452, "[$-0E0000]yyyy-mm-dd")</f>
        <v/>
      </c>
      <c r="C64453" t="inlineStr">
        <is>
          <t>2076-05-16</t>
        </is>
      </c>
    </row>
    <row r="64454">
      <c r="A64454" s="1" t="n">
        <v>64453</v>
      </c>
      <c r="B64454">
        <f>TEXT(64453, "[$-0E0000]yyyy-mm-dd")</f>
        <v/>
      </c>
      <c r="C64454" t="inlineStr">
        <is>
          <t>2076-05-17</t>
        </is>
      </c>
    </row>
    <row r="64455">
      <c r="A64455" s="1" t="n">
        <v>64454</v>
      </c>
      <c r="B64455">
        <f>TEXT(64454, "[$-0E0000]yyyy-mm-dd")</f>
        <v/>
      </c>
      <c r="C64455" t="inlineStr">
        <is>
          <t>2076-05-18</t>
        </is>
      </c>
    </row>
    <row r="64456">
      <c r="A64456" s="1" t="n">
        <v>64455</v>
      </c>
      <c r="B64456">
        <f>TEXT(64455, "[$-0E0000]yyyy-mm-dd")</f>
        <v/>
      </c>
      <c r="C64456" t="inlineStr">
        <is>
          <t>2076-05-19</t>
        </is>
      </c>
    </row>
    <row r="64457">
      <c r="A64457" s="1" t="n">
        <v>64456</v>
      </c>
      <c r="B64457">
        <f>TEXT(64456, "[$-0E0000]yyyy-mm-dd")</f>
        <v/>
      </c>
      <c r="C64457" t="inlineStr">
        <is>
          <t>2076-05-20</t>
        </is>
      </c>
    </row>
    <row r="64458">
      <c r="A64458" s="1" t="n">
        <v>64457</v>
      </c>
      <c r="B64458">
        <f>TEXT(64457, "[$-0E0000]yyyy-mm-dd")</f>
        <v/>
      </c>
      <c r="C64458" t="inlineStr">
        <is>
          <t>2076-05-21</t>
        </is>
      </c>
    </row>
    <row r="64459">
      <c r="A64459" s="1" t="n">
        <v>64458</v>
      </c>
      <c r="B64459">
        <f>TEXT(64458, "[$-0E0000]yyyy-mm-dd")</f>
        <v/>
      </c>
      <c r="C64459" t="inlineStr">
        <is>
          <t>2076-05-22</t>
        </is>
      </c>
    </row>
    <row r="64460">
      <c r="A64460" s="1" t="n">
        <v>64459</v>
      </c>
      <c r="B64460">
        <f>TEXT(64459, "[$-0E0000]yyyy-mm-dd")</f>
        <v/>
      </c>
      <c r="C64460" t="inlineStr">
        <is>
          <t>2076-05-23</t>
        </is>
      </c>
    </row>
    <row r="64461">
      <c r="A64461" s="1" t="n">
        <v>64460</v>
      </c>
      <c r="B64461">
        <f>TEXT(64460, "[$-0E0000]yyyy-mm-dd")</f>
        <v/>
      </c>
      <c r="C64461" t="inlineStr">
        <is>
          <t>2076-05-24</t>
        </is>
      </c>
    </row>
    <row r="64462">
      <c r="A64462" s="1" t="n">
        <v>64461</v>
      </c>
      <c r="B64462">
        <f>TEXT(64461, "[$-0E0000]yyyy-mm-dd")</f>
        <v/>
      </c>
      <c r="C64462" t="inlineStr">
        <is>
          <t>2076-05-25</t>
        </is>
      </c>
    </row>
    <row r="64463">
      <c r="A64463" s="1" t="n">
        <v>64462</v>
      </c>
      <c r="B64463">
        <f>TEXT(64462, "[$-0E0000]yyyy-mm-dd")</f>
        <v/>
      </c>
      <c r="C64463" t="inlineStr">
        <is>
          <t>2076-05-26</t>
        </is>
      </c>
    </row>
    <row r="64464">
      <c r="A64464" s="1" t="n">
        <v>64463</v>
      </c>
      <c r="B64464">
        <f>TEXT(64463, "[$-0E0000]yyyy-mm-dd")</f>
        <v/>
      </c>
      <c r="C64464" t="inlineStr">
        <is>
          <t>2076-05-27</t>
        </is>
      </c>
    </row>
    <row r="64465">
      <c r="A64465" s="1" t="n">
        <v>64464</v>
      </c>
      <c r="B64465">
        <f>TEXT(64464, "[$-0E0000]yyyy-mm-dd")</f>
        <v/>
      </c>
      <c r="C64465" t="inlineStr">
        <is>
          <t>2076-05-28</t>
        </is>
      </c>
    </row>
    <row r="64466">
      <c r="A64466" s="1" t="n">
        <v>64465</v>
      </c>
      <c r="B64466">
        <f>TEXT(64465, "[$-0E0000]yyyy-mm-dd")</f>
        <v/>
      </c>
      <c r="C64466" t="inlineStr">
        <is>
          <t>2076-05-29</t>
        </is>
      </c>
    </row>
    <row r="64467">
      <c r="A64467" s="1" t="n">
        <v>64466</v>
      </c>
      <c r="B64467">
        <f>TEXT(64466, "[$-0E0000]yyyy-mm-dd")</f>
        <v/>
      </c>
      <c r="C64467" t="inlineStr">
        <is>
          <t>2076-06-01</t>
        </is>
      </c>
    </row>
    <row r="64468">
      <c r="A64468" s="1" t="n">
        <v>64467</v>
      </c>
      <c r="B64468">
        <f>TEXT(64467, "[$-0E0000]yyyy-mm-dd")</f>
        <v/>
      </c>
      <c r="C64468" t="inlineStr">
        <is>
          <t>2076-06-02</t>
        </is>
      </c>
    </row>
    <row r="64469">
      <c r="A64469" s="1" t="n">
        <v>64468</v>
      </c>
      <c r="B64469">
        <f>TEXT(64468, "[$-0E0000]yyyy-mm-dd")</f>
        <v/>
      </c>
      <c r="C64469" t="inlineStr">
        <is>
          <t>2076-06-03</t>
        </is>
      </c>
    </row>
    <row r="64470">
      <c r="A64470" s="1" t="n">
        <v>64469</v>
      </c>
      <c r="B64470">
        <f>TEXT(64469, "[$-0E0000]yyyy-mm-dd")</f>
        <v/>
      </c>
      <c r="C64470" t="inlineStr">
        <is>
          <t>2076-06-04</t>
        </is>
      </c>
    </row>
    <row r="64471">
      <c r="A64471" s="1" t="n">
        <v>64470</v>
      </c>
      <c r="B64471">
        <f>TEXT(64470, "[$-0E0000]yyyy-mm-dd")</f>
        <v/>
      </c>
      <c r="C64471" t="inlineStr">
        <is>
          <t>2076-06-05</t>
        </is>
      </c>
    </row>
    <row r="64472">
      <c r="A64472" s="1" t="n">
        <v>64471</v>
      </c>
      <c r="B64472">
        <f>TEXT(64471, "[$-0E0000]yyyy-mm-dd")</f>
        <v/>
      </c>
      <c r="C64472" t="inlineStr">
        <is>
          <t>2076-06-06</t>
        </is>
      </c>
    </row>
    <row r="64473">
      <c r="A64473" s="1" t="n">
        <v>64472</v>
      </c>
      <c r="B64473">
        <f>TEXT(64472, "[$-0E0000]yyyy-mm-dd")</f>
        <v/>
      </c>
      <c r="C64473" t="inlineStr">
        <is>
          <t>2076-06-07</t>
        </is>
      </c>
    </row>
    <row r="64474">
      <c r="A64474" s="1" t="n">
        <v>64473</v>
      </c>
      <c r="B64474">
        <f>TEXT(64473, "[$-0E0000]yyyy-mm-dd")</f>
        <v/>
      </c>
      <c r="C64474" t="inlineStr">
        <is>
          <t>2076-06-08</t>
        </is>
      </c>
    </row>
    <row r="64475">
      <c r="A64475" s="1" t="n">
        <v>64474</v>
      </c>
      <c r="B64475">
        <f>TEXT(64474, "[$-0E0000]yyyy-mm-dd")</f>
        <v/>
      </c>
      <c r="C64475" t="inlineStr">
        <is>
          <t>2076-06-09</t>
        </is>
      </c>
    </row>
    <row r="64476">
      <c r="A64476" s="1" t="n">
        <v>64475</v>
      </c>
      <c r="B64476">
        <f>TEXT(64475, "[$-0E0000]yyyy-mm-dd")</f>
        <v/>
      </c>
      <c r="C64476" t="inlineStr">
        <is>
          <t>2076-06-10</t>
        </is>
      </c>
    </row>
    <row r="64477">
      <c r="A64477" s="1" t="n">
        <v>64476</v>
      </c>
      <c r="B64477">
        <f>TEXT(64476, "[$-0E0000]yyyy-mm-dd")</f>
        <v/>
      </c>
      <c r="C64477" t="inlineStr">
        <is>
          <t>2076-06-11</t>
        </is>
      </c>
    </row>
    <row r="64478">
      <c r="A64478" s="1" t="n">
        <v>64477</v>
      </c>
      <c r="B64478">
        <f>TEXT(64477, "[$-0E0000]yyyy-mm-dd")</f>
        <v/>
      </c>
      <c r="C64478" t="inlineStr">
        <is>
          <t>2076-06-12</t>
        </is>
      </c>
    </row>
    <row r="64479">
      <c r="A64479" s="1" t="n">
        <v>64478</v>
      </c>
      <c r="B64479">
        <f>TEXT(64478, "[$-0E0000]yyyy-mm-dd")</f>
        <v/>
      </c>
      <c r="C64479" t="inlineStr">
        <is>
          <t>2076-06-13</t>
        </is>
      </c>
    </row>
    <row r="64480">
      <c r="A64480" s="1" t="n">
        <v>64479</v>
      </c>
      <c r="B64480">
        <f>TEXT(64479, "[$-0E0000]yyyy-mm-dd")</f>
        <v/>
      </c>
      <c r="C64480" t="inlineStr">
        <is>
          <t>2076-06-14</t>
        </is>
      </c>
    </row>
    <row r="64481">
      <c r="A64481" s="1" t="n">
        <v>64480</v>
      </c>
      <c r="B64481">
        <f>TEXT(64480, "[$-0E0000]yyyy-mm-dd")</f>
        <v/>
      </c>
      <c r="C64481" t="inlineStr">
        <is>
          <t>2076-06-15</t>
        </is>
      </c>
    </row>
    <row r="64482">
      <c r="A64482" s="1" t="n">
        <v>64481</v>
      </c>
      <c r="B64482">
        <f>TEXT(64481, "[$-0E0000]yyyy-mm-dd")</f>
        <v/>
      </c>
      <c r="C64482" t="inlineStr">
        <is>
          <t>2076-06-16</t>
        </is>
      </c>
    </row>
    <row r="64483">
      <c r="A64483" s="1" t="n">
        <v>64482</v>
      </c>
      <c r="B64483">
        <f>TEXT(64482, "[$-0E0000]yyyy-mm-dd")</f>
        <v/>
      </c>
      <c r="C64483" t="inlineStr">
        <is>
          <t>2076-06-17</t>
        </is>
      </c>
    </row>
    <row r="64484">
      <c r="A64484" s="1" t="n">
        <v>64483</v>
      </c>
      <c r="B64484">
        <f>TEXT(64483, "[$-0E0000]yyyy-mm-dd")</f>
        <v/>
      </c>
      <c r="C64484" t="inlineStr">
        <is>
          <t>2076-06-18</t>
        </is>
      </c>
    </row>
    <row r="64485">
      <c r="A64485" s="1" t="n">
        <v>64484</v>
      </c>
      <c r="B64485">
        <f>TEXT(64484, "[$-0E0000]yyyy-mm-dd")</f>
        <v/>
      </c>
      <c r="C64485" t="inlineStr">
        <is>
          <t>2076-06-19</t>
        </is>
      </c>
    </row>
    <row r="64486">
      <c r="A64486" s="1" t="n">
        <v>64485</v>
      </c>
      <c r="B64486">
        <f>TEXT(64485, "[$-0E0000]yyyy-mm-dd")</f>
        <v/>
      </c>
      <c r="C64486" t="inlineStr">
        <is>
          <t>2076-06-20</t>
        </is>
      </c>
    </row>
    <row r="64487">
      <c r="A64487" s="1" t="n">
        <v>64486</v>
      </c>
      <c r="B64487">
        <f>TEXT(64486, "[$-0E0000]yyyy-mm-dd")</f>
        <v/>
      </c>
      <c r="C64487" t="inlineStr">
        <is>
          <t>2076-06-21</t>
        </is>
      </c>
    </row>
    <row r="64488">
      <c r="A64488" s="1" t="n">
        <v>64487</v>
      </c>
      <c r="B64488">
        <f>TEXT(64487, "[$-0E0000]yyyy-mm-dd")</f>
        <v/>
      </c>
      <c r="C64488" t="inlineStr">
        <is>
          <t>2076-06-22</t>
        </is>
      </c>
    </row>
    <row r="64489">
      <c r="A64489" s="1" t="n">
        <v>64488</v>
      </c>
      <c r="B64489">
        <f>TEXT(64488, "[$-0E0000]yyyy-mm-dd")</f>
        <v/>
      </c>
      <c r="C64489" t="inlineStr">
        <is>
          <t>2076-06-23</t>
        </is>
      </c>
    </row>
    <row r="64490">
      <c r="A64490" s="1" t="n">
        <v>64489</v>
      </c>
      <c r="B64490">
        <f>TEXT(64489, "[$-0E0000]yyyy-mm-dd")</f>
        <v/>
      </c>
      <c r="C64490" t="inlineStr">
        <is>
          <t>2076-06-24</t>
        </is>
      </c>
    </row>
    <row r="64491">
      <c r="A64491" s="1" t="n">
        <v>64490</v>
      </c>
      <c r="B64491">
        <f>TEXT(64490, "[$-0E0000]yyyy-mm-dd")</f>
        <v/>
      </c>
      <c r="C64491" t="inlineStr">
        <is>
          <t>2076-06-25</t>
        </is>
      </c>
    </row>
    <row r="64492">
      <c r="A64492" s="1" t="n">
        <v>64491</v>
      </c>
      <c r="B64492">
        <f>TEXT(64491, "[$-0E0000]yyyy-mm-dd")</f>
        <v/>
      </c>
      <c r="C64492" t="inlineStr">
        <is>
          <t>2076-06-26</t>
        </is>
      </c>
    </row>
    <row r="64493">
      <c r="A64493" s="1" t="n">
        <v>64492</v>
      </c>
      <c r="B64493">
        <f>TEXT(64492, "[$-0E0000]yyyy-mm-dd")</f>
        <v/>
      </c>
      <c r="C64493" t="inlineStr">
        <is>
          <t>2076-06-27</t>
        </is>
      </c>
    </row>
    <row r="64494">
      <c r="A64494" s="1" t="n">
        <v>64493</v>
      </c>
      <c r="B64494">
        <f>TEXT(64493, "[$-0E0000]yyyy-mm-dd")</f>
        <v/>
      </c>
      <c r="C64494" t="inlineStr">
        <is>
          <t>2076-06-28</t>
        </is>
      </c>
    </row>
    <row r="64495">
      <c r="A64495" s="1" t="n">
        <v>64494</v>
      </c>
      <c r="B64495">
        <f>TEXT(64494, "[$-0E0000]yyyy-mm-dd")</f>
        <v/>
      </c>
      <c r="C64495" t="inlineStr">
        <is>
          <t>2076-06-29</t>
        </is>
      </c>
    </row>
    <row r="64496">
      <c r="A64496" s="1" t="n">
        <v>64495</v>
      </c>
      <c r="B64496">
        <f>TEXT(64495, "[$-0E0000]yyyy-mm-dd")</f>
        <v/>
      </c>
      <c r="C64496" t="inlineStr">
        <is>
          <t>2076-06-30</t>
        </is>
      </c>
    </row>
    <row r="64497">
      <c r="A64497" s="1" t="n">
        <v>64496</v>
      </c>
      <c r="B64497">
        <f>TEXT(64496, "[$-0E0000]yyyy-mm-dd")</f>
        <v/>
      </c>
      <c r="C64497" t="inlineStr">
        <is>
          <t>2076-07-01</t>
        </is>
      </c>
    </row>
    <row r="64498">
      <c r="A64498" s="1" t="n">
        <v>64497</v>
      </c>
      <c r="B64498">
        <f>TEXT(64497, "[$-0E0000]yyyy-mm-dd")</f>
        <v/>
      </c>
      <c r="C64498" t="inlineStr">
        <is>
          <t>2076-07-02</t>
        </is>
      </c>
    </row>
    <row r="64499">
      <c r="A64499" s="1" t="n">
        <v>64498</v>
      </c>
      <c r="B64499">
        <f>TEXT(64498, "[$-0E0000]yyyy-mm-dd")</f>
        <v/>
      </c>
      <c r="C64499" t="inlineStr">
        <is>
          <t>2076-07-03</t>
        </is>
      </c>
    </row>
    <row r="64500">
      <c r="A64500" s="1" t="n">
        <v>64499</v>
      </c>
      <c r="B64500">
        <f>TEXT(64499, "[$-0E0000]yyyy-mm-dd")</f>
        <v/>
      </c>
      <c r="C64500" t="inlineStr">
        <is>
          <t>2076-07-04</t>
        </is>
      </c>
    </row>
    <row r="64501">
      <c r="A64501" s="1" t="n">
        <v>64500</v>
      </c>
      <c r="B64501">
        <f>TEXT(64500, "[$-0E0000]yyyy-mm-dd")</f>
        <v/>
      </c>
      <c r="C64501" t="inlineStr">
        <is>
          <t>2076-07-05</t>
        </is>
      </c>
    </row>
    <row r="64502">
      <c r="A64502" s="1" t="n">
        <v>64501</v>
      </c>
      <c r="B64502">
        <f>TEXT(64501, "[$-0E0000]yyyy-mm-dd")</f>
        <v/>
      </c>
      <c r="C64502" t="inlineStr">
        <is>
          <t>2076-07-06</t>
        </is>
      </c>
    </row>
    <row r="64503">
      <c r="A64503" s="1" t="n">
        <v>64502</v>
      </c>
      <c r="B64503">
        <f>TEXT(64502, "[$-0E0000]yyyy-mm-dd")</f>
        <v/>
      </c>
      <c r="C64503" t="inlineStr">
        <is>
          <t>2076-07-07</t>
        </is>
      </c>
    </row>
    <row r="64504">
      <c r="A64504" s="1" t="n">
        <v>64503</v>
      </c>
      <c r="B64504">
        <f>TEXT(64503, "[$-0E0000]yyyy-mm-dd")</f>
        <v/>
      </c>
      <c r="C64504" t="inlineStr">
        <is>
          <t>2076-07-08</t>
        </is>
      </c>
    </row>
    <row r="64505">
      <c r="A64505" s="1" t="n">
        <v>64504</v>
      </c>
      <c r="B64505">
        <f>TEXT(64504, "[$-0E0000]yyyy-mm-dd")</f>
        <v/>
      </c>
      <c r="C64505" t="inlineStr">
        <is>
          <t>2076-07-09</t>
        </is>
      </c>
    </row>
    <row r="64506">
      <c r="A64506" s="1" t="n">
        <v>64505</v>
      </c>
      <c r="B64506">
        <f>TEXT(64505, "[$-0E0000]yyyy-mm-dd")</f>
        <v/>
      </c>
      <c r="C64506" t="inlineStr">
        <is>
          <t>2076-07-10</t>
        </is>
      </c>
    </row>
    <row r="64507">
      <c r="A64507" s="1" t="n">
        <v>64506</v>
      </c>
      <c r="B64507">
        <f>TEXT(64506, "[$-0E0000]yyyy-mm-dd")</f>
        <v/>
      </c>
      <c r="C64507" t="inlineStr">
        <is>
          <t>2076-07-11</t>
        </is>
      </c>
    </row>
    <row r="64508">
      <c r="A64508" s="1" t="n">
        <v>64507</v>
      </c>
      <c r="B64508">
        <f>TEXT(64507, "[$-0E0000]yyyy-mm-dd")</f>
        <v/>
      </c>
      <c r="C64508" t="inlineStr">
        <is>
          <t>2076-07-12</t>
        </is>
      </c>
    </row>
    <row r="64509">
      <c r="A64509" s="1" t="n">
        <v>64508</v>
      </c>
      <c r="B64509">
        <f>TEXT(64508, "[$-0E0000]yyyy-mm-dd")</f>
        <v/>
      </c>
      <c r="C64509" t="inlineStr">
        <is>
          <t>2076-07-13</t>
        </is>
      </c>
    </row>
    <row r="64510">
      <c r="A64510" s="1" t="n">
        <v>64509</v>
      </c>
      <c r="B64510">
        <f>TEXT(64509, "[$-0E0000]yyyy-mm-dd")</f>
        <v/>
      </c>
      <c r="C64510" t="inlineStr">
        <is>
          <t>2076-07-14</t>
        </is>
      </c>
    </row>
    <row r="64511">
      <c r="A64511" s="1" t="n">
        <v>64510</v>
      </c>
      <c r="B64511">
        <f>TEXT(64510, "[$-0E0000]yyyy-mm-dd")</f>
        <v/>
      </c>
      <c r="C64511" t="inlineStr">
        <is>
          <t>2076-07-15</t>
        </is>
      </c>
    </row>
    <row r="64512">
      <c r="A64512" s="1" t="n">
        <v>64511</v>
      </c>
      <c r="B64512">
        <f>TEXT(64511, "[$-0E0000]yyyy-mm-dd")</f>
        <v/>
      </c>
      <c r="C64512" t="inlineStr">
        <is>
          <t>2076-07-16</t>
        </is>
      </c>
    </row>
    <row r="64513">
      <c r="A64513" s="1" t="n">
        <v>64512</v>
      </c>
      <c r="B64513">
        <f>TEXT(64512, "[$-0E0000]yyyy-mm-dd")</f>
        <v/>
      </c>
      <c r="C64513" t="inlineStr">
        <is>
          <t>2076-07-17</t>
        </is>
      </c>
    </row>
    <row r="64514">
      <c r="A64514" s="1" t="n">
        <v>64513</v>
      </c>
      <c r="B64514">
        <f>TEXT(64513, "[$-0E0000]yyyy-mm-dd")</f>
        <v/>
      </c>
      <c r="C64514" t="inlineStr">
        <is>
          <t>2076-07-18</t>
        </is>
      </c>
    </row>
    <row r="64515">
      <c r="A64515" s="1" t="n">
        <v>64514</v>
      </c>
      <c r="B64515">
        <f>TEXT(64514, "[$-0E0000]yyyy-mm-dd")</f>
        <v/>
      </c>
      <c r="C64515" t="inlineStr">
        <is>
          <t>2076-07-19</t>
        </is>
      </c>
    </row>
    <row r="64516">
      <c r="A64516" s="1" t="n">
        <v>64515</v>
      </c>
      <c r="B64516">
        <f>TEXT(64515, "[$-0E0000]yyyy-mm-dd")</f>
        <v/>
      </c>
      <c r="C64516" t="inlineStr">
        <is>
          <t>2076-07-20</t>
        </is>
      </c>
    </row>
    <row r="64517">
      <c r="A64517" s="1" t="n">
        <v>64516</v>
      </c>
      <c r="B64517">
        <f>TEXT(64516, "[$-0E0000]yyyy-mm-dd")</f>
        <v/>
      </c>
      <c r="C64517" t="inlineStr">
        <is>
          <t>2076-07-21</t>
        </is>
      </c>
    </row>
    <row r="64518">
      <c r="A64518" s="1" t="n">
        <v>64517</v>
      </c>
      <c r="B64518">
        <f>TEXT(64517, "[$-0E0000]yyyy-mm-dd")</f>
        <v/>
      </c>
      <c r="C64518" t="inlineStr">
        <is>
          <t>2076-07-22</t>
        </is>
      </c>
    </row>
    <row r="64519">
      <c r="A64519" s="1" t="n">
        <v>64518</v>
      </c>
      <c r="B64519">
        <f>TEXT(64518, "[$-0E0000]yyyy-mm-dd")</f>
        <v/>
      </c>
      <c r="C64519" t="inlineStr">
        <is>
          <t>2076-07-23</t>
        </is>
      </c>
    </row>
    <row r="64520">
      <c r="A64520" s="1" t="n">
        <v>64519</v>
      </c>
      <c r="B64520">
        <f>TEXT(64519, "[$-0E0000]yyyy-mm-dd")</f>
        <v/>
      </c>
      <c r="C64520" t="inlineStr">
        <is>
          <t>2076-07-24</t>
        </is>
      </c>
    </row>
    <row r="64521">
      <c r="A64521" s="1" t="n">
        <v>64520</v>
      </c>
      <c r="B64521">
        <f>TEXT(64520, "[$-0E0000]yyyy-mm-dd")</f>
        <v/>
      </c>
      <c r="C64521" t="inlineStr">
        <is>
          <t>2076-07-25</t>
        </is>
      </c>
    </row>
    <row r="64522">
      <c r="A64522" s="1" t="n">
        <v>64521</v>
      </c>
      <c r="B64522">
        <f>TEXT(64521, "[$-0E0000]yyyy-mm-dd")</f>
        <v/>
      </c>
      <c r="C64522" t="inlineStr">
        <is>
          <t>2076-07-26</t>
        </is>
      </c>
    </row>
    <row r="64523">
      <c r="A64523" s="1" t="n">
        <v>64522</v>
      </c>
      <c r="B64523">
        <f>TEXT(64522, "[$-0E0000]yyyy-mm-dd")</f>
        <v/>
      </c>
      <c r="C64523" t="inlineStr">
        <is>
          <t>2076-07-27</t>
        </is>
      </c>
    </row>
    <row r="64524">
      <c r="A64524" s="1" t="n">
        <v>64523</v>
      </c>
      <c r="B64524">
        <f>TEXT(64523, "[$-0E0000]yyyy-mm-dd")</f>
        <v/>
      </c>
      <c r="C64524" t="inlineStr">
        <is>
          <t>2076-07-28</t>
        </is>
      </c>
    </row>
    <row r="64525">
      <c r="A64525" s="1" t="n">
        <v>64524</v>
      </c>
      <c r="B64525">
        <f>TEXT(64524, "[$-0E0000]yyyy-mm-dd")</f>
        <v/>
      </c>
      <c r="C64525" t="inlineStr">
        <is>
          <t>2076-07-29</t>
        </is>
      </c>
    </row>
    <row r="64526">
      <c r="A64526" s="1" t="n">
        <v>64525</v>
      </c>
      <c r="B64526">
        <f>TEXT(64525, "[$-0E0000]yyyy-mm-dd")</f>
        <v/>
      </c>
      <c r="C64526" t="inlineStr">
        <is>
          <t>2076-08-01</t>
        </is>
      </c>
    </row>
    <row r="64527">
      <c r="A64527" s="1" t="n">
        <v>64526</v>
      </c>
      <c r="B64527">
        <f>TEXT(64526, "[$-0E0000]yyyy-mm-dd")</f>
        <v/>
      </c>
      <c r="C64527" t="inlineStr">
        <is>
          <t>2076-08-02</t>
        </is>
      </c>
    </row>
    <row r="64528">
      <c r="A64528" s="1" t="n">
        <v>64527</v>
      </c>
      <c r="B64528">
        <f>TEXT(64527, "[$-0E0000]yyyy-mm-dd")</f>
        <v/>
      </c>
      <c r="C64528" t="inlineStr">
        <is>
          <t>2076-08-03</t>
        </is>
      </c>
    </row>
    <row r="64529">
      <c r="A64529" s="1" t="n">
        <v>64528</v>
      </c>
      <c r="B64529">
        <f>TEXT(64528, "[$-0E0000]yyyy-mm-dd")</f>
        <v/>
      </c>
      <c r="C64529" t="inlineStr">
        <is>
          <t>2076-08-04</t>
        </is>
      </c>
    </row>
    <row r="64530">
      <c r="A64530" s="1" t="n">
        <v>64529</v>
      </c>
      <c r="B64530">
        <f>TEXT(64529, "[$-0E0000]yyyy-mm-dd")</f>
        <v/>
      </c>
      <c r="C64530" t="inlineStr">
        <is>
          <t>2076-08-05</t>
        </is>
      </c>
    </row>
    <row r="64531">
      <c r="A64531" s="1" t="n">
        <v>64530</v>
      </c>
      <c r="B64531">
        <f>TEXT(64530, "[$-0E0000]yyyy-mm-dd")</f>
        <v/>
      </c>
      <c r="C64531" t="inlineStr">
        <is>
          <t>2076-08-06</t>
        </is>
      </c>
    </row>
    <row r="64532">
      <c r="A64532" s="1" t="n">
        <v>64531</v>
      </c>
      <c r="B64532">
        <f>TEXT(64531, "[$-0E0000]yyyy-mm-dd")</f>
        <v/>
      </c>
      <c r="C64532" t="inlineStr">
        <is>
          <t>2076-08-07</t>
        </is>
      </c>
    </row>
    <row r="64533">
      <c r="A64533" s="1" t="n">
        <v>64532</v>
      </c>
      <c r="B64533">
        <f>TEXT(64532, "[$-0E0000]yyyy-mm-dd")</f>
        <v/>
      </c>
      <c r="C64533" t="inlineStr">
        <is>
          <t>2076-08-08</t>
        </is>
      </c>
    </row>
    <row r="64534">
      <c r="A64534" s="1" t="n">
        <v>64533</v>
      </c>
      <c r="B64534">
        <f>TEXT(64533, "[$-0E0000]yyyy-mm-dd")</f>
        <v/>
      </c>
      <c r="C64534" t="inlineStr">
        <is>
          <t>2076-08-09</t>
        </is>
      </c>
    </row>
    <row r="64535">
      <c r="A64535" s="1" t="n">
        <v>64534</v>
      </c>
      <c r="B64535">
        <f>TEXT(64534, "[$-0E0000]yyyy-mm-dd")</f>
        <v/>
      </c>
      <c r="C64535" t="inlineStr">
        <is>
          <t>2076-08-10</t>
        </is>
      </c>
    </row>
    <row r="64536">
      <c r="A64536" s="1" t="n">
        <v>64535</v>
      </c>
      <c r="B64536">
        <f>TEXT(64535, "[$-0E0000]yyyy-mm-dd")</f>
        <v/>
      </c>
      <c r="C64536" t="inlineStr">
        <is>
          <t>2076-08-11</t>
        </is>
      </c>
    </row>
    <row r="64537">
      <c r="A64537" s="1" t="n">
        <v>64536</v>
      </c>
      <c r="B64537">
        <f>TEXT(64536, "[$-0E0000]yyyy-mm-dd")</f>
        <v/>
      </c>
      <c r="C64537" t="inlineStr">
        <is>
          <t>2076-08-12</t>
        </is>
      </c>
    </row>
    <row r="64538">
      <c r="A64538" s="1" t="n">
        <v>64537</v>
      </c>
      <c r="B64538">
        <f>TEXT(64537, "[$-0E0000]yyyy-mm-dd")</f>
        <v/>
      </c>
      <c r="C64538" t="inlineStr">
        <is>
          <t>2076-08-13</t>
        </is>
      </c>
    </row>
    <row r="64539">
      <c r="A64539" s="1" t="n">
        <v>64538</v>
      </c>
      <c r="B64539">
        <f>TEXT(64538, "[$-0E0000]yyyy-mm-dd")</f>
        <v/>
      </c>
      <c r="C64539" t="inlineStr">
        <is>
          <t>2076-08-14</t>
        </is>
      </c>
    </row>
    <row r="64540">
      <c r="A64540" s="1" t="n">
        <v>64539</v>
      </c>
      <c r="B64540">
        <f>TEXT(64539, "[$-0E0000]yyyy-mm-dd")</f>
        <v/>
      </c>
      <c r="C64540" t="inlineStr">
        <is>
          <t>2076-08-15</t>
        </is>
      </c>
    </row>
    <row r="64541">
      <c r="A64541" s="1" t="n">
        <v>64540</v>
      </c>
      <c r="B64541">
        <f>TEXT(64540, "[$-0E0000]yyyy-mm-dd")</f>
        <v/>
      </c>
      <c r="C64541" t="inlineStr">
        <is>
          <t>2076-08-16</t>
        </is>
      </c>
    </row>
    <row r="64542">
      <c r="A64542" s="1" t="n">
        <v>64541</v>
      </c>
      <c r="B64542">
        <f>TEXT(64541, "[$-0E0000]yyyy-mm-dd")</f>
        <v/>
      </c>
      <c r="C64542" t="inlineStr">
        <is>
          <t>2076-08-17</t>
        </is>
      </c>
    </row>
    <row r="64543">
      <c r="A64543" s="1" t="n">
        <v>64542</v>
      </c>
      <c r="B64543">
        <f>TEXT(64542, "[$-0E0000]yyyy-mm-dd")</f>
        <v/>
      </c>
      <c r="C64543" t="inlineStr">
        <is>
          <t>2076-08-18</t>
        </is>
      </c>
    </row>
    <row r="64544">
      <c r="A64544" s="1" t="n">
        <v>64543</v>
      </c>
      <c r="B64544">
        <f>TEXT(64543, "[$-0E0000]yyyy-mm-dd")</f>
        <v/>
      </c>
      <c r="C64544" t="inlineStr">
        <is>
          <t>2076-08-19</t>
        </is>
      </c>
    </row>
    <row r="64545">
      <c r="A64545" s="1" t="n">
        <v>64544</v>
      </c>
      <c r="B64545">
        <f>TEXT(64544, "[$-0E0000]yyyy-mm-dd")</f>
        <v/>
      </c>
      <c r="C64545" t="inlineStr">
        <is>
          <t>2076-08-20</t>
        </is>
      </c>
    </row>
    <row r="64546">
      <c r="A64546" s="1" t="n">
        <v>64545</v>
      </c>
      <c r="B64546">
        <f>TEXT(64545, "[$-0E0000]yyyy-mm-dd")</f>
        <v/>
      </c>
      <c r="C64546" t="inlineStr">
        <is>
          <t>2076-08-21</t>
        </is>
      </c>
    </row>
    <row r="64547">
      <c r="A64547" s="1" t="n">
        <v>64546</v>
      </c>
      <c r="B64547">
        <f>TEXT(64546, "[$-0E0000]yyyy-mm-dd")</f>
        <v/>
      </c>
      <c r="C64547" t="inlineStr">
        <is>
          <t>2076-08-22</t>
        </is>
      </c>
    </row>
    <row r="64548">
      <c r="A64548" s="1" t="n">
        <v>64547</v>
      </c>
      <c r="B64548">
        <f>TEXT(64547, "[$-0E0000]yyyy-mm-dd")</f>
        <v/>
      </c>
      <c r="C64548" t="inlineStr">
        <is>
          <t>2076-08-23</t>
        </is>
      </c>
    </row>
    <row r="64549">
      <c r="A64549" s="1" t="n">
        <v>64548</v>
      </c>
      <c r="B64549">
        <f>TEXT(64548, "[$-0E0000]yyyy-mm-dd")</f>
        <v/>
      </c>
      <c r="C64549" t="inlineStr">
        <is>
          <t>2076-08-24</t>
        </is>
      </c>
    </row>
    <row r="64550">
      <c r="A64550" s="1" t="n">
        <v>64549</v>
      </c>
      <c r="B64550">
        <f>TEXT(64549, "[$-0E0000]yyyy-mm-dd")</f>
        <v/>
      </c>
      <c r="C64550" t="inlineStr">
        <is>
          <t>2076-08-25</t>
        </is>
      </c>
    </row>
    <row r="64551">
      <c r="A64551" s="1" t="n">
        <v>64550</v>
      </c>
      <c r="B64551">
        <f>TEXT(64550, "[$-0E0000]yyyy-mm-dd")</f>
        <v/>
      </c>
      <c r="C64551" t="inlineStr">
        <is>
          <t>2076-08-26</t>
        </is>
      </c>
    </row>
    <row r="64552">
      <c r="A64552" s="1" t="n">
        <v>64551</v>
      </c>
      <c r="B64552">
        <f>TEXT(64551, "[$-0E0000]yyyy-mm-dd")</f>
        <v/>
      </c>
      <c r="C64552" t="inlineStr">
        <is>
          <t>2076-08-27</t>
        </is>
      </c>
    </row>
    <row r="64553">
      <c r="A64553" s="1" t="n">
        <v>64552</v>
      </c>
      <c r="B64553">
        <f>TEXT(64552, "[$-0E0000]yyyy-mm-dd")</f>
        <v/>
      </c>
      <c r="C64553" t="inlineStr">
        <is>
          <t>2076-08-28</t>
        </is>
      </c>
    </row>
    <row r="64554">
      <c r="A64554" s="1" t="n">
        <v>64553</v>
      </c>
      <c r="B64554">
        <f>TEXT(64553, "[$-0E0000]yyyy-mm-dd")</f>
        <v/>
      </c>
      <c r="C64554" t="inlineStr">
        <is>
          <t>2076-08-29</t>
        </is>
      </c>
    </row>
    <row r="64555">
      <c r="A64555" s="1" t="n">
        <v>64554</v>
      </c>
      <c r="B64555">
        <f>TEXT(64554, "[$-0E0000]yyyy-mm-dd")</f>
        <v/>
      </c>
      <c r="C64555" t="inlineStr">
        <is>
          <t>2076-08-30</t>
        </is>
      </c>
    </row>
    <row r="64556">
      <c r="A64556" s="1" t="n">
        <v>64555</v>
      </c>
      <c r="B64556">
        <f>TEXT(64555, "[$-0E0000]yyyy-mm-dd")</f>
        <v/>
      </c>
      <c r="C64556" t="inlineStr">
        <is>
          <t>2076-09-01</t>
        </is>
      </c>
    </row>
    <row r="64557">
      <c r="A64557" s="1" t="n">
        <v>64556</v>
      </c>
      <c r="B64557">
        <f>TEXT(64556, "[$-0E0000]yyyy-mm-dd")</f>
        <v/>
      </c>
      <c r="C64557" t="inlineStr">
        <is>
          <t>2076-09-02</t>
        </is>
      </c>
    </row>
    <row r="64558">
      <c r="A64558" s="1" t="n">
        <v>64557</v>
      </c>
      <c r="B64558">
        <f>TEXT(64557, "[$-0E0000]yyyy-mm-dd")</f>
        <v/>
      </c>
      <c r="C64558" t="inlineStr">
        <is>
          <t>2076-09-03</t>
        </is>
      </c>
    </row>
    <row r="64559">
      <c r="A64559" s="1" t="n">
        <v>64558</v>
      </c>
      <c r="B64559">
        <f>TEXT(64558, "[$-0E0000]yyyy-mm-dd")</f>
        <v/>
      </c>
      <c r="C64559" t="inlineStr">
        <is>
          <t>2076-09-04</t>
        </is>
      </c>
    </row>
    <row r="64560">
      <c r="A64560" s="1" t="n">
        <v>64559</v>
      </c>
      <c r="B64560">
        <f>TEXT(64559, "[$-0E0000]yyyy-mm-dd")</f>
        <v/>
      </c>
      <c r="C64560" t="inlineStr">
        <is>
          <t>2076-09-05</t>
        </is>
      </c>
    </row>
    <row r="64561">
      <c r="A64561" s="1" t="n">
        <v>64560</v>
      </c>
      <c r="B64561">
        <f>TEXT(64560, "[$-0E0000]yyyy-mm-dd")</f>
        <v/>
      </c>
      <c r="C64561" t="inlineStr">
        <is>
          <t>2076-09-06</t>
        </is>
      </c>
    </row>
    <row r="64562">
      <c r="A64562" s="1" t="n">
        <v>64561</v>
      </c>
      <c r="B64562">
        <f>TEXT(64561, "[$-0E0000]yyyy-mm-dd")</f>
        <v/>
      </c>
      <c r="C64562" t="inlineStr">
        <is>
          <t>2076-09-07</t>
        </is>
      </c>
    </row>
    <row r="64563">
      <c r="A64563" s="1" t="n">
        <v>64562</v>
      </c>
      <c r="B64563">
        <f>TEXT(64562, "[$-0E0000]yyyy-mm-dd")</f>
        <v/>
      </c>
      <c r="C64563" t="inlineStr">
        <is>
          <t>2076-09-08</t>
        </is>
      </c>
    </row>
    <row r="64564">
      <c r="A64564" s="1" t="n">
        <v>64563</v>
      </c>
      <c r="B64564">
        <f>TEXT(64563, "[$-0E0000]yyyy-mm-dd")</f>
        <v/>
      </c>
      <c r="C64564" t="inlineStr">
        <is>
          <t>2076-09-09</t>
        </is>
      </c>
    </row>
    <row r="64565">
      <c r="A64565" s="1" t="n">
        <v>64564</v>
      </c>
      <c r="B64565">
        <f>TEXT(64564, "[$-0E0000]yyyy-mm-dd")</f>
        <v/>
      </c>
      <c r="C64565" t="inlineStr">
        <is>
          <t>2076-09-10</t>
        </is>
      </c>
    </row>
    <row r="64566">
      <c r="A64566" s="1" t="n">
        <v>64565</v>
      </c>
      <c r="B64566">
        <f>TEXT(64565, "[$-0E0000]yyyy-mm-dd")</f>
        <v/>
      </c>
      <c r="C64566" t="inlineStr">
        <is>
          <t>2076-09-11</t>
        </is>
      </c>
    </row>
    <row r="64567">
      <c r="A64567" s="1" t="n">
        <v>64566</v>
      </c>
      <c r="B64567">
        <f>TEXT(64566, "[$-0E0000]yyyy-mm-dd")</f>
        <v/>
      </c>
      <c r="C64567" t="inlineStr">
        <is>
          <t>2076-09-12</t>
        </is>
      </c>
    </row>
    <row r="64568">
      <c r="A64568" s="1" t="n">
        <v>64567</v>
      </c>
      <c r="B64568">
        <f>TEXT(64567, "[$-0E0000]yyyy-mm-dd")</f>
        <v/>
      </c>
      <c r="C64568" t="inlineStr">
        <is>
          <t>2076-09-13</t>
        </is>
      </c>
    </row>
    <row r="64569">
      <c r="A64569" s="1" t="n">
        <v>64568</v>
      </c>
      <c r="B64569">
        <f>TEXT(64568, "[$-0E0000]yyyy-mm-dd")</f>
        <v/>
      </c>
      <c r="C64569" t="inlineStr">
        <is>
          <t>2076-09-14</t>
        </is>
      </c>
    </row>
    <row r="64570">
      <c r="A64570" s="1" t="n">
        <v>64569</v>
      </c>
      <c r="B64570">
        <f>TEXT(64569, "[$-0E0000]yyyy-mm-dd")</f>
        <v/>
      </c>
      <c r="C64570" t="inlineStr">
        <is>
          <t>2076-09-15</t>
        </is>
      </c>
    </row>
    <row r="64571">
      <c r="A64571" s="1" t="n">
        <v>64570</v>
      </c>
      <c r="B64571">
        <f>TEXT(64570, "[$-0E0000]yyyy-mm-dd")</f>
        <v/>
      </c>
      <c r="C64571" t="inlineStr">
        <is>
          <t>2076-09-16</t>
        </is>
      </c>
    </row>
    <row r="64572">
      <c r="A64572" s="1" t="n">
        <v>64571</v>
      </c>
      <c r="B64572">
        <f>TEXT(64571, "[$-0E0000]yyyy-mm-dd")</f>
        <v/>
      </c>
      <c r="C64572" t="inlineStr">
        <is>
          <t>2076-09-17</t>
        </is>
      </c>
    </row>
    <row r="64573">
      <c r="A64573" s="1" t="n">
        <v>64572</v>
      </c>
      <c r="B64573">
        <f>TEXT(64572, "[$-0E0000]yyyy-mm-dd")</f>
        <v/>
      </c>
      <c r="C64573" t="inlineStr">
        <is>
          <t>2076-09-18</t>
        </is>
      </c>
    </row>
    <row r="64574">
      <c r="A64574" s="1" t="n">
        <v>64573</v>
      </c>
      <c r="B64574">
        <f>TEXT(64573, "[$-0E0000]yyyy-mm-dd")</f>
        <v/>
      </c>
      <c r="C64574" t="inlineStr">
        <is>
          <t>2076-09-19</t>
        </is>
      </c>
    </row>
    <row r="64575">
      <c r="A64575" s="1" t="n">
        <v>64574</v>
      </c>
      <c r="B64575">
        <f>TEXT(64574, "[$-0E0000]yyyy-mm-dd")</f>
        <v/>
      </c>
      <c r="C64575" t="inlineStr">
        <is>
          <t>2076-09-20</t>
        </is>
      </c>
    </row>
    <row r="64576">
      <c r="A64576" s="1" t="n">
        <v>64575</v>
      </c>
      <c r="B64576">
        <f>TEXT(64575, "[$-0E0000]yyyy-mm-dd")</f>
        <v/>
      </c>
      <c r="C64576" t="inlineStr">
        <is>
          <t>2076-09-21</t>
        </is>
      </c>
    </row>
    <row r="64577">
      <c r="A64577" s="1" t="n">
        <v>64576</v>
      </c>
      <c r="B64577">
        <f>TEXT(64576, "[$-0E0000]yyyy-mm-dd")</f>
        <v/>
      </c>
      <c r="C64577" t="inlineStr">
        <is>
          <t>2076-09-22</t>
        </is>
      </c>
    </row>
    <row r="64578">
      <c r="A64578" s="1" t="n">
        <v>64577</v>
      </c>
      <c r="B64578">
        <f>TEXT(64577, "[$-0E0000]yyyy-mm-dd")</f>
        <v/>
      </c>
      <c r="C64578" t="inlineStr">
        <is>
          <t>2076-09-23</t>
        </is>
      </c>
    </row>
    <row r="64579">
      <c r="A64579" s="1" t="n">
        <v>64578</v>
      </c>
      <c r="B64579">
        <f>TEXT(64578, "[$-0E0000]yyyy-mm-dd")</f>
        <v/>
      </c>
      <c r="C64579" t="inlineStr">
        <is>
          <t>2076-09-24</t>
        </is>
      </c>
    </row>
    <row r="64580">
      <c r="A64580" s="1" t="n">
        <v>64579</v>
      </c>
      <c r="B64580">
        <f>TEXT(64579, "[$-0E0000]yyyy-mm-dd")</f>
        <v/>
      </c>
      <c r="C64580" t="inlineStr">
        <is>
          <t>2076-09-25</t>
        </is>
      </c>
    </row>
    <row r="64581">
      <c r="A64581" s="1" t="n">
        <v>64580</v>
      </c>
      <c r="B64581">
        <f>TEXT(64580, "[$-0E0000]yyyy-mm-dd")</f>
        <v/>
      </c>
      <c r="C64581" t="inlineStr">
        <is>
          <t>2076-09-26</t>
        </is>
      </c>
    </row>
    <row r="64582">
      <c r="A64582" s="1" t="n">
        <v>64581</v>
      </c>
      <c r="B64582">
        <f>TEXT(64581, "[$-0E0000]yyyy-mm-dd")</f>
        <v/>
      </c>
      <c r="C64582" t="inlineStr">
        <is>
          <t>2076-09-27</t>
        </is>
      </c>
    </row>
    <row r="64583">
      <c r="A64583" s="1" t="n">
        <v>64582</v>
      </c>
      <c r="B64583">
        <f>TEXT(64582, "[$-0E0000]yyyy-mm-dd")</f>
        <v/>
      </c>
      <c r="C64583" t="inlineStr">
        <is>
          <t>2076-09-28</t>
        </is>
      </c>
    </row>
    <row r="64584">
      <c r="A64584" s="1" t="n">
        <v>64583</v>
      </c>
      <c r="B64584">
        <f>TEXT(64583, "[$-0E0000]yyyy-mm-dd")</f>
        <v/>
      </c>
      <c r="C64584" t="inlineStr">
        <is>
          <t>2076-09-29</t>
        </is>
      </c>
    </row>
    <row r="64585">
      <c r="A64585" s="1" t="n">
        <v>64584</v>
      </c>
      <c r="B64585">
        <f>TEXT(64584, "[$-0E0000]yyyy-mm-dd")</f>
        <v/>
      </c>
      <c r="C64585" t="inlineStr">
        <is>
          <t>2076-09-30</t>
        </is>
      </c>
    </row>
    <row r="64586">
      <c r="A64586" s="1" t="n">
        <v>64585</v>
      </c>
      <c r="B64586">
        <f>TEXT(64585, "[$-0E0000]yyyy-mm-dd")</f>
        <v/>
      </c>
      <c r="C64586" t="inlineStr">
        <is>
          <t>2076-10-01</t>
        </is>
      </c>
    </row>
    <row r="64587">
      <c r="A64587" s="1" t="n">
        <v>64586</v>
      </c>
      <c r="B64587">
        <f>TEXT(64586, "[$-0E0000]yyyy-mm-dd")</f>
        <v/>
      </c>
      <c r="C64587" t="inlineStr">
        <is>
          <t>2076-10-02</t>
        </is>
      </c>
    </row>
    <row r="64588">
      <c r="A64588" s="1" t="n">
        <v>64587</v>
      </c>
      <c r="B64588">
        <f>TEXT(64587, "[$-0E0000]yyyy-mm-dd")</f>
        <v/>
      </c>
      <c r="C64588" t="inlineStr">
        <is>
          <t>2076-10-03</t>
        </is>
      </c>
    </row>
    <row r="64589">
      <c r="A64589" s="1" t="n">
        <v>64588</v>
      </c>
      <c r="B64589">
        <f>TEXT(64588, "[$-0E0000]yyyy-mm-dd")</f>
        <v/>
      </c>
      <c r="C64589" t="inlineStr">
        <is>
          <t>2076-10-04</t>
        </is>
      </c>
    </row>
    <row r="64590">
      <c r="A64590" s="1" t="n">
        <v>64589</v>
      </c>
      <c r="B64590">
        <f>TEXT(64589, "[$-0E0000]yyyy-mm-dd")</f>
        <v/>
      </c>
      <c r="C64590" t="inlineStr">
        <is>
          <t>2076-10-05</t>
        </is>
      </c>
    </row>
    <row r="64591">
      <c r="A64591" s="1" t="n">
        <v>64590</v>
      </c>
      <c r="B64591">
        <f>TEXT(64590, "[$-0E0000]yyyy-mm-dd")</f>
        <v/>
      </c>
      <c r="C64591" t="inlineStr">
        <is>
          <t>2076-10-06</t>
        </is>
      </c>
    </row>
    <row r="64592">
      <c r="A64592" s="1" t="n">
        <v>64591</v>
      </c>
      <c r="B64592">
        <f>TEXT(64591, "[$-0E0000]yyyy-mm-dd")</f>
        <v/>
      </c>
      <c r="C64592" t="inlineStr">
        <is>
          <t>2076-10-07</t>
        </is>
      </c>
    </row>
    <row r="64593">
      <c r="A64593" s="1" t="n">
        <v>64592</v>
      </c>
      <c r="B64593">
        <f>TEXT(64592, "[$-0E0000]yyyy-mm-dd")</f>
        <v/>
      </c>
      <c r="C64593" t="inlineStr">
        <is>
          <t>2076-10-08</t>
        </is>
      </c>
    </row>
    <row r="64594">
      <c r="A64594" s="1" t="n">
        <v>64593</v>
      </c>
      <c r="B64594">
        <f>TEXT(64593, "[$-0E0000]yyyy-mm-dd")</f>
        <v/>
      </c>
      <c r="C64594" t="inlineStr">
        <is>
          <t>2076-10-09</t>
        </is>
      </c>
    </row>
    <row r="64595">
      <c r="A64595" s="1" t="n">
        <v>64594</v>
      </c>
      <c r="B64595">
        <f>TEXT(64594, "[$-0E0000]yyyy-mm-dd")</f>
        <v/>
      </c>
      <c r="C64595" t="inlineStr">
        <is>
          <t>2076-10-10</t>
        </is>
      </c>
    </row>
    <row r="64596">
      <c r="A64596" s="1" t="n">
        <v>64595</v>
      </c>
      <c r="B64596">
        <f>TEXT(64595, "[$-0E0000]yyyy-mm-dd")</f>
        <v/>
      </c>
      <c r="C64596" t="inlineStr">
        <is>
          <t>2076-10-11</t>
        </is>
      </c>
    </row>
    <row r="64597">
      <c r="A64597" s="1" t="n">
        <v>64596</v>
      </c>
      <c r="B64597">
        <f>TEXT(64596, "[$-0E0000]yyyy-mm-dd")</f>
        <v/>
      </c>
      <c r="C64597" t="inlineStr">
        <is>
          <t>2076-10-12</t>
        </is>
      </c>
    </row>
    <row r="64598">
      <c r="A64598" s="1" t="n">
        <v>64597</v>
      </c>
      <c r="B64598">
        <f>TEXT(64597, "[$-0E0000]yyyy-mm-dd")</f>
        <v/>
      </c>
      <c r="C64598" t="inlineStr">
        <is>
          <t>2076-10-13</t>
        </is>
      </c>
    </row>
    <row r="64599">
      <c r="A64599" s="1" t="n">
        <v>64598</v>
      </c>
      <c r="B64599">
        <f>TEXT(64598, "[$-0E0000]yyyy-mm-dd")</f>
        <v/>
      </c>
      <c r="C64599" t="inlineStr">
        <is>
          <t>2076-10-14</t>
        </is>
      </c>
    </row>
    <row r="64600">
      <c r="A64600" s="1" t="n">
        <v>64599</v>
      </c>
      <c r="B64600">
        <f>TEXT(64599, "[$-0E0000]yyyy-mm-dd")</f>
        <v/>
      </c>
      <c r="C64600" t="inlineStr">
        <is>
          <t>2076-10-15</t>
        </is>
      </c>
    </row>
    <row r="64601">
      <c r="A64601" s="1" t="n">
        <v>64600</v>
      </c>
      <c r="B64601">
        <f>TEXT(64600, "[$-0E0000]yyyy-mm-dd")</f>
        <v/>
      </c>
      <c r="C64601" t="inlineStr">
        <is>
          <t>2076-10-16</t>
        </is>
      </c>
    </row>
    <row r="64602">
      <c r="A64602" s="1" t="n">
        <v>64601</v>
      </c>
      <c r="B64602">
        <f>TEXT(64601, "[$-0E0000]yyyy-mm-dd")</f>
        <v/>
      </c>
      <c r="C64602" t="inlineStr">
        <is>
          <t>2076-10-17</t>
        </is>
      </c>
    </row>
    <row r="64603">
      <c r="A64603" s="1" t="n">
        <v>64602</v>
      </c>
      <c r="B64603">
        <f>TEXT(64602, "[$-0E0000]yyyy-mm-dd")</f>
        <v/>
      </c>
      <c r="C64603" t="inlineStr">
        <is>
          <t>2076-10-18</t>
        </is>
      </c>
    </row>
    <row r="64604">
      <c r="A64604" s="1" t="n">
        <v>64603</v>
      </c>
      <c r="B64604">
        <f>TEXT(64603, "[$-0E0000]yyyy-mm-dd")</f>
        <v/>
      </c>
      <c r="C64604" t="inlineStr">
        <is>
          <t>2076-10-19</t>
        </is>
      </c>
    </row>
    <row r="64605">
      <c r="A64605" s="1" t="n">
        <v>64604</v>
      </c>
      <c r="B64605">
        <f>TEXT(64604, "[$-0E0000]yyyy-mm-dd")</f>
        <v/>
      </c>
      <c r="C64605" t="inlineStr">
        <is>
          <t>2076-10-20</t>
        </is>
      </c>
    </row>
    <row r="64606">
      <c r="A64606" s="1" t="n">
        <v>64605</v>
      </c>
      <c r="B64606">
        <f>TEXT(64605, "[$-0E0000]yyyy-mm-dd")</f>
        <v/>
      </c>
      <c r="C64606" t="inlineStr">
        <is>
          <t>2076-10-21</t>
        </is>
      </c>
    </row>
    <row r="64607">
      <c r="A64607" s="1" t="n">
        <v>64606</v>
      </c>
      <c r="B64607">
        <f>TEXT(64606, "[$-0E0000]yyyy-mm-dd")</f>
        <v/>
      </c>
      <c r="C64607" t="inlineStr">
        <is>
          <t>2076-10-22</t>
        </is>
      </c>
    </row>
    <row r="64608">
      <c r="A64608" s="1" t="n">
        <v>64607</v>
      </c>
      <c r="B64608">
        <f>TEXT(64607, "[$-0E0000]yyyy-mm-dd")</f>
        <v/>
      </c>
      <c r="C64608" t="inlineStr">
        <is>
          <t>2076-10-23</t>
        </is>
      </c>
    </row>
    <row r="64609">
      <c r="A64609" s="1" t="n">
        <v>64608</v>
      </c>
      <c r="B64609">
        <f>TEXT(64608, "[$-0E0000]yyyy-mm-dd")</f>
        <v/>
      </c>
      <c r="C64609" t="inlineStr">
        <is>
          <t>2076-10-24</t>
        </is>
      </c>
    </row>
    <row r="64610">
      <c r="A64610" s="1" t="n">
        <v>64609</v>
      </c>
      <c r="B64610">
        <f>TEXT(64609, "[$-0E0000]yyyy-mm-dd")</f>
        <v/>
      </c>
      <c r="C64610" t="inlineStr">
        <is>
          <t>2076-10-25</t>
        </is>
      </c>
    </row>
    <row r="64611">
      <c r="A64611" s="1" t="n">
        <v>64610</v>
      </c>
      <c r="B64611">
        <f>TEXT(64610, "[$-0E0000]yyyy-mm-dd")</f>
        <v/>
      </c>
      <c r="C64611" t="inlineStr">
        <is>
          <t>2076-10-26</t>
        </is>
      </c>
    </row>
    <row r="64612">
      <c r="A64612" s="1" t="n">
        <v>64611</v>
      </c>
      <c r="B64612">
        <f>TEXT(64611, "[$-0E0000]yyyy-mm-dd")</f>
        <v/>
      </c>
      <c r="C64612" t="inlineStr">
        <is>
          <t>2076-10-27</t>
        </is>
      </c>
    </row>
    <row r="64613">
      <c r="A64613" s="1" t="n">
        <v>64612</v>
      </c>
      <c r="B64613">
        <f>TEXT(64612, "[$-0E0000]yyyy-mm-dd")</f>
        <v/>
      </c>
      <c r="C64613" t="inlineStr">
        <is>
          <t>2076-10-28</t>
        </is>
      </c>
    </row>
    <row r="64614">
      <c r="A64614" s="1" t="n">
        <v>64613</v>
      </c>
      <c r="B64614">
        <f>TEXT(64613, "[$-0E0000]yyyy-mm-dd")</f>
        <v/>
      </c>
      <c r="C64614" t="inlineStr">
        <is>
          <t>2076-10-29</t>
        </is>
      </c>
    </row>
    <row r="64615">
      <c r="A64615" s="1" t="n">
        <v>64614</v>
      </c>
      <c r="B64615">
        <f>TEXT(64614, "[$-0E0000]yyyy-mm-dd")</f>
        <v/>
      </c>
      <c r="C64615" t="inlineStr">
        <is>
          <t>2076-11-01</t>
        </is>
      </c>
    </row>
    <row r="64616">
      <c r="A64616" s="1" t="n">
        <v>64615</v>
      </c>
      <c r="B64616">
        <f>TEXT(64615, "[$-0E0000]yyyy-mm-dd")</f>
        <v/>
      </c>
      <c r="C64616" t="inlineStr">
        <is>
          <t>2076-11-02</t>
        </is>
      </c>
    </row>
    <row r="64617">
      <c r="A64617" s="1" t="n">
        <v>64616</v>
      </c>
      <c r="B64617">
        <f>TEXT(64616, "[$-0E0000]yyyy-mm-dd")</f>
        <v/>
      </c>
      <c r="C64617" t="inlineStr">
        <is>
          <t>2076-11-03</t>
        </is>
      </c>
    </row>
    <row r="64618">
      <c r="A64618" s="1" t="n">
        <v>64617</v>
      </c>
      <c r="B64618">
        <f>TEXT(64617, "[$-0E0000]yyyy-mm-dd")</f>
        <v/>
      </c>
      <c r="C64618" t="inlineStr">
        <is>
          <t>2076-11-04</t>
        </is>
      </c>
    </row>
    <row r="64619">
      <c r="A64619" s="1" t="n">
        <v>64618</v>
      </c>
      <c r="B64619">
        <f>TEXT(64618, "[$-0E0000]yyyy-mm-dd")</f>
        <v/>
      </c>
      <c r="C64619" t="inlineStr">
        <is>
          <t>2076-11-05</t>
        </is>
      </c>
    </row>
    <row r="64620">
      <c r="A64620" s="1" t="n">
        <v>64619</v>
      </c>
      <c r="B64620">
        <f>TEXT(64619, "[$-0E0000]yyyy-mm-dd")</f>
        <v/>
      </c>
      <c r="C64620" t="inlineStr">
        <is>
          <t>2076-11-06</t>
        </is>
      </c>
    </row>
    <row r="64621">
      <c r="A64621" s="1" t="n">
        <v>64620</v>
      </c>
      <c r="B64621">
        <f>TEXT(64620, "[$-0E0000]yyyy-mm-dd")</f>
        <v/>
      </c>
      <c r="C64621" t="inlineStr">
        <is>
          <t>2076-11-07</t>
        </is>
      </c>
    </row>
    <row r="64622">
      <c r="A64622" s="1" t="n">
        <v>64621</v>
      </c>
      <c r="B64622">
        <f>TEXT(64621, "[$-0E0000]yyyy-mm-dd")</f>
        <v/>
      </c>
      <c r="C64622" t="inlineStr">
        <is>
          <t>2076-11-08</t>
        </is>
      </c>
    </row>
    <row r="64623">
      <c r="A64623" s="1" t="n">
        <v>64622</v>
      </c>
      <c r="B64623">
        <f>TEXT(64622, "[$-0E0000]yyyy-mm-dd")</f>
        <v/>
      </c>
      <c r="C64623" t="inlineStr">
        <is>
          <t>2076-11-09</t>
        </is>
      </c>
    </row>
    <row r="64624">
      <c r="A64624" s="1" t="n">
        <v>64623</v>
      </c>
      <c r="B64624">
        <f>TEXT(64623, "[$-0E0000]yyyy-mm-dd")</f>
        <v/>
      </c>
      <c r="C64624" t="inlineStr">
        <is>
          <t>2076-11-10</t>
        </is>
      </c>
    </row>
    <row r="64625">
      <c r="A64625" s="1" t="n">
        <v>64624</v>
      </c>
      <c r="B64625">
        <f>TEXT(64624, "[$-0E0000]yyyy-mm-dd")</f>
        <v/>
      </c>
      <c r="C64625" t="inlineStr">
        <is>
          <t>2076-11-11</t>
        </is>
      </c>
    </row>
    <row r="64626">
      <c r="A64626" s="1" t="n">
        <v>64625</v>
      </c>
      <c r="B64626">
        <f>TEXT(64625, "[$-0E0000]yyyy-mm-dd")</f>
        <v/>
      </c>
      <c r="C64626" t="inlineStr">
        <is>
          <t>2076-11-12</t>
        </is>
      </c>
    </row>
    <row r="64627">
      <c r="A64627" s="1" t="n">
        <v>64626</v>
      </c>
      <c r="B64627">
        <f>TEXT(64626, "[$-0E0000]yyyy-mm-dd")</f>
        <v/>
      </c>
      <c r="C64627" t="inlineStr">
        <is>
          <t>2076-11-13</t>
        </is>
      </c>
    </row>
    <row r="64628">
      <c r="A64628" s="1" t="n">
        <v>64627</v>
      </c>
      <c r="B64628">
        <f>TEXT(64627, "[$-0E0000]yyyy-mm-dd")</f>
        <v/>
      </c>
      <c r="C64628" t="inlineStr">
        <is>
          <t>2076-11-14</t>
        </is>
      </c>
    </row>
    <row r="64629">
      <c r="A64629" s="1" t="n">
        <v>64628</v>
      </c>
      <c r="B64629">
        <f>TEXT(64628, "[$-0E0000]yyyy-mm-dd")</f>
        <v/>
      </c>
      <c r="C64629" t="inlineStr">
        <is>
          <t>2076-11-15</t>
        </is>
      </c>
    </row>
    <row r="64630">
      <c r="A64630" s="1" t="n">
        <v>64629</v>
      </c>
      <c r="B64630">
        <f>TEXT(64629, "[$-0E0000]yyyy-mm-dd")</f>
        <v/>
      </c>
      <c r="C64630" t="inlineStr">
        <is>
          <t>2076-11-16</t>
        </is>
      </c>
    </row>
    <row r="64631">
      <c r="A64631" s="1" t="n">
        <v>64630</v>
      </c>
      <c r="B64631">
        <f>TEXT(64630, "[$-0E0000]yyyy-mm-dd")</f>
        <v/>
      </c>
      <c r="C64631" t="inlineStr">
        <is>
          <t>2076-11-17</t>
        </is>
      </c>
    </row>
    <row r="64632">
      <c r="A64632" s="1" t="n">
        <v>64631</v>
      </c>
      <c r="B64632">
        <f>TEXT(64631, "[$-0E0000]yyyy-mm-dd")</f>
        <v/>
      </c>
      <c r="C64632" t="inlineStr">
        <is>
          <t>2076-11-18</t>
        </is>
      </c>
    </row>
    <row r="64633">
      <c r="A64633" s="1" t="n">
        <v>64632</v>
      </c>
      <c r="B64633">
        <f>TEXT(64632, "[$-0E0000]yyyy-mm-dd")</f>
        <v/>
      </c>
      <c r="C64633" t="inlineStr">
        <is>
          <t>2076-11-19</t>
        </is>
      </c>
    </row>
    <row r="64634">
      <c r="A64634" s="1" t="n">
        <v>64633</v>
      </c>
      <c r="B64634">
        <f>TEXT(64633, "[$-0E0000]yyyy-mm-dd")</f>
        <v/>
      </c>
      <c r="C64634" t="inlineStr">
        <is>
          <t>2076-11-20</t>
        </is>
      </c>
    </row>
    <row r="64635">
      <c r="A64635" s="1" t="n">
        <v>64634</v>
      </c>
      <c r="B64635">
        <f>TEXT(64634, "[$-0E0000]yyyy-mm-dd")</f>
        <v/>
      </c>
      <c r="C64635" t="inlineStr">
        <is>
          <t>2076-11-21</t>
        </is>
      </c>
    </row>
    <row r="64636">
      <c r="A64636" s="1" t="n">
        <v>64635</v>
      </c>
      <c r="B64636">
        <f>TEXT(64635, "[$-0E0000]yyyy-mm-dd")</f>
        <v/>
      </c>
      <c r="C64636" t="inlineStr">
        <is>
          <t>2076-11-22</t>
        </is>
      </c>
    </row>
    <row r="64637">
      <c r="A64637" s="1" t="n">
        <v>64636</v>
      </c>
      <c r="B64637">
        <f>TEXT(64636, "[$-0E0000]yyyy-mm-dd")</f>
        <v/>
      </c>
      <c r="C64637" t="inlineStr">
        <is>
          <t>2076-11-23</t>
        </is>
      </c>
    </row>
    <row r="64638">
      <c r="A64638" s="1" t="n">
        <v>64637</v>
      </c>
      <c r="B64638">
        <f>TEXT(64637, "[$-0E0000]yyyy-mm-dd")</f>
        <v/>
      </c>
      <c r="C64638" t="inlineStr">
        <is>
          <t>2076-11-24</t>
        </is>
      </c>
    </row>
    <row r="64639">
      <c r="A64639" s="1" t="n">
        <v>64638</v>
      </c>
      <c r="B64639">
        <f>TEXT(64638, "[$-0E0000]yyyy-mm-dd")</f>
        <v/>
      </c>
      <c r="C64639" t="inlineStr">
        <is>
          <t>2076-11-25</t>
        </is>
      </c>
    </row>
    <row r="64640">
      <c r="A64640" s="1" t="n">
        <v>64639</v>
      </c>
      <c r="B64640">
        <f>TEXT(64639, "[$-0E0000]yyyy-mm-dd")</f>
        <v/>
      </c>
      <c r="C64640" t="inlineStr">
        <is>
          <t>2076-11-26</t>
        </is>
      </c>
    </row>
    <row r="64641">
      <c r="A64641" s="1" t="n">
        <v>64640</v>
      </c>
      <c r="B64641">
        <f>TEXT(64640, "[$-0E0000]yyyy-mm-dd")</f>
        <v/>
      </c>
      <c r="C64641" t="inlineStr">
        <is>
          <t>2076-11-27</t>
        </is>
      </c>
    </row>
    <row r="64642">
      <c r="A64642" s="1" t="n">
        <v>64641</v>
      </c>
      <c r="B64642">
        <f>TEXT(64641, "[$-0E0000]yyyy-mm-dd")</f>
        <v/>
      </c>
      <c r="C64642" t="inlineStr">
        <is>
          <t>2076-11-28</t>
        </is>
      </c>
    </row>
    <row r="64643">
      <c r="A64643" s="1" t="n">
        <v>64642</v>
      </c>
      <c r="B64643">
        <f>TEXT(64642, "[$-0E0000]yyyy-mm-dd")</f>
        <v/>
      </c>
      <c r="C64643" t="inlineStr">
        <is>
          <t>2076-11-29</t>
        </is>
      </c>
    </row>
    <row r="64644">
      <c r="A64644" s="1" t="n">
        <v>64643</v>
      </c>
      <c r="B64644">
        <f>TEXT(64643, "[$-0E0000]yyyy-mm-dd")</f>
        <v/>
      </c>
      <c r="C64644" t="inlineStr">
        <is>
          <t>2076-11-30</t>
        </is>
      </c>
    </row>
    <row r="64645">
      <c r="A64645" s="1" t="n">
        <v>64644</v>
      </c>
      <c r="B64645">
        <f>TEXT(64644, "[$-0E0000]yyyy-mm-dd")</f>
        <v/>
      </c>
      <c r="C64645" t="inlineStr">
        <is>
          <t>2076-12-01</t>
        </is>
      </c>
    </row>
    <row r="64646">
      <c r="A64646" s="1" t="n">
        <v>64645</v>
      </c>
      <c r="B64646">
        <f>TEXT(64645, "[$-0E0000]yyyy-mm-dd")</f>
        <v/>
      </c>
      <c r="C64646" t="inlineStr">
        <is>
          <t>2076-12-02</t>
        </is>
      </c>
    </row>
    <row r="64647">
      <c r="A64647" s="1" t="n">
        <v>64646</v>
      </c>
      <c r="B64647">
        <f>TEXT(64646, "[$-0E0000]yyyy-mm-dd")</f>
        <v/>
      </c>
      <c r="C64647" t="inlineStr">
        <is>
          <t>2076-12-03</t>
        </is>
      </c>
    </row>
    <row r="64648">
      <c r="A64648" s="1" t="n">
        <v>64647</v>
      </c>
      <c r="B64648">
        <f>TEXT(64647, "[$-0E0000]yyyy-mm-dd")</f>
        <v/>
      </c>
      <c r="C64648" t="inlineStr">
        <is>
          <t>2076-12-04</t>
        </is>
      </c>
    </row>
    <row r="64649">
      <c r="A64649" s="1" t="n">
        <v>64648</v>
      </c>
      <c r="B64649">
        <f>TEXT(64648, "[$-0E0000]yyyy-mm-dd")</f>
        <v/>
      </c>
      <c r="C64649" t="inlineStr">
        <is>
          <t>2076-12-05</t>
        </is>
      </c>
    </row>
    <row r="64650">
      <c r="A64650" s="1" t="n">
        <v>64649</v>
      </c>
      <c r="B64650">
        <f>TEXT(64649, "[$-0E0000]yyyy-mm-dd")</f>
        <v/>
      </c>
      <c r="C64650" t="inlineStr">
        <is>
          <t>2076-12-06</t>
        </is>
      </c>
    </row>
    <row r="64651">
      <c r="A64651" s="1" t="n">
        <v>64650</v>
      </c>
      <c r="B64651">
        <f>TEXT(64650, "[$-0E0000]yyyy-mm-dd")</f>
        <v/>
      </c>
      <c r="C64651" t="inlineStr">
        <is>
          <t>2076-12-07</t>
        </is>
      </c>
    </row>
    <row r="64652">
      <c r="A64652" s="1" t="n">
        <v>64651</v>
      </c>
      <c r="B64652">
        <f>TEXT(64651, "[$-0E0000]yyyy-mm-dd")</f>
        <v/>
      </c>
      <c r="C64652" t="inlineStr">
        <is>
          <t>2076-12-08</t>
        </is>
      </c>
    </row>
    <row r="64653">
      <c r="A64653" s="1" t="n">
        <v>64652</v>
      </c>
      <c r="B64653">
        <f>TEXT(64652, "[$-0E0000]yyyy-mm-dd")</f>
        <v/>
      </c>
      <c r="C64653" t="inlineStr">
        <is>
          <t>2076-12-09</t>
        </is>
      </c>
    </row>
    <row r="64654">
      <c r="A64654" s="1" t="n">
        <v>64653</v>
      </c>
      <c r="B64654">
        <f>TEXT(64653, "[$-0E0000]yyyy-mm-dd")</f>
        <v/>
      </c>
      <c r="C64654" t="inlineStr">
        <is>
          <t>2076-12-10</t>
        </is>
      </c>
    </row>
    <row r="64655">
      <c r="A64655" s="1" t="n">
        <v>64654</v>
      </c>
      <c r="B64655">
        <f>TEXT(64654, "[$-0E0000]yyyy-mm-dd")</f>
        <v/>
      </c>
      <c r="C64655" t="inlineStr">
        <is>
          <t>2076-12-11</t>
        </is>
      </c>
    </row>
    <row r="64656">
      <c r="A64656" s="1" t="n">
        <v>64655</v>
      </c>
      <c r="B64656">
        <f>TEXT(64655, "[$-0E0000]yyyy-mm-dd")</f>
        <v/>
      </c>
      <c r="C64656" t="inlineStr">
        <is>
          <t>2076-12-12</t>
        </is>
      </c>
    </row>
    <row r="64657">
      <c r="A64657" s="1" t="n">
        <v>64656</v>
      </c>
      <c r="B64657">
        <f>TEXT(64656, "[$-0E0000]yyyy-mm-dd")</f>
        <v/>
      </c>
      <c r="C64657" t="inlineStr">
        <is>
          <t>2076-12-13</t>
        </is>
      </c>
    </row>
    <row r="64658">
      <c r="A64658" s="1" t="n">
        <v>64657</v>
      </c>
      <c r="B64658">
        <f>TEXT(64657, "[$-0E0000]yyyy-mm-dd")</f>
        <v/>
      </c>
      <c r="C64658" t="inlineStr">
        <is>
          <t>2076-12-14</t>
        </is>
      </c>
    </row>
    <row r="64659">
      <c r="A64659" s="1" t="n">
        <v>64658</v>
      </c>
      <c r="B64659">
        <f>TEXT(64658, "[$-0E0000]yyyy-mm-dd")</f>
        <v/>
      </c>
      <c r="C64659" t="inlineStr">
        <is>
          <t>2076-12-15</t>
        </is>
      </c>
    </row>
    <row r="64660">
      <c r="A64660" s="1" t="n">
        <v>64659</v>
      </c>
      <c r="B64660">
        <f>TEXT(64659, "[$-0E0000]yyyy-mm-dd")</f>
        <v/>
      </c>
      <c r="C64660" t="inlineStr">
        <is>
          <t>2076-12-16</t>
        </is>
      </c>
    </row>
    <row r="64661">
      <c r="A64661" s="1" t="n">
        <v>64660</v>
      </c>
      <c r="B64661">
        <f>TEXT(64660, "[$-0E0000]yyyy-mm-dd")</f>
        <v/>
      </c>
      <c r="C64661" t="inlineStr">
        <is>
          <t>2076-12-17</t>
        </is>
      </c>
    </row>
    <row r="64662">
      <c r="A64662" s="1" t="n">
        <v>64661</v>
      </c>
      <c r="B64662">
        <f>TEXT(64661, "[$-0E0000]yyyy-mm-dd")</f>
        <v/>
      </c>
      <c r="C64662" t="inlineStr">
        <is>
          <t>2076-12-18</t>
        </is>
      </c>
    </row>
    <row r="64663">
      <c r="A64663" s="1" t="n">
        <v>64662</v>
      </c>
      <c r="B64663">
        <f>TEXT(64662, "[$-0E0000]yyyy-mm-dd")</f>
        <v/>
      </c>
      <c r="C64663" t="inlineStr">
        <is>
          <t>2076-12-19</t>
        </is>
      </c>
    </row>
    <row r="64664">
      <c r="A64664" s="1" t="n">
        <v>64663</v>
      </c>
      <c r="B64664">
        <f>TEXT(64663, "[$-0E0000]yyyy-mm-dd")</f>
        <v/>
      </c>
      <c r="C64664" t="inlineStr">
        <is>
          <t>2076-12-20</t>
        </is>
      </c>
    </row>
    <row r="64665">
      <c r="A64665" s="1" t="n">
        <v>64664</v>
      </c>
      <c r="B64665">
        <f>TEXT(64664, "[$-0E0000]yyyy-mm-dd")</f>
        <v/>
      </c>
      <c r="C64665" t="inlineStr">
        <is>
          <t>2076-12-21</t>
        </is>
      </c>
    </row>
    <row r="64666">
      <c r="A64666" s="1" t="n">
        <v>64665</v>
      </c>
      <c r="B64666">
        <f>TEXT(64665, "[$-0E0000]yyyy-mm-dd")</f>
        <v/>
      </c>
      <c r="C64666" t="inlineStr">
        <is>
          <t>2076-12-22</t>
        </is>
      </c>
    </row>
    <row r="64667">
      <c r="A64667" s="1" t="n">
        <v>64666</v>
      </c>
      <c r="B64667">
        <f>TEXT(64666, "[$-0E0000]yyyy-mm-dd")</f>
        <v/>
      </c>
      <c r="C64667" t="inlineStr">
        <is>
          <t>2076-12-23</t>
        </is>
      </c>
    </row>
    <row r="64668">
      <c r="A64668" s="1" t="n">
        <v>64667</v>
      </c>
      <c r="B64668">
        <f>TEXT(64667, "[$-0E0000]yyyy-mm-dd")</f>
        <v/>
      </c>
      <c r="C64668" t="inlineStr">
        <is>
          <t>2076-12-24</t>
        </is>
      </c>
    </row>
    <row r="64669">
      <c r="A64669" s="1" t="n">
        <v>64668</v>
      </c>
      <c r="B64669">
        <f>TEXT(64668, "[$-0E0000]yyyy-mm-dd")</f>
        <v/>
      </c>
      <c r="C64669" t="inlineStr">
        <is>
          <t>2076-12-25</t>
        </is>
      </c>
    </row>
    <row r="64670">
      <c r="A64670" s="1" t="n">
        <v>64669</v>
      </c>
      <c r="B64670">
        <f>TEXT(64669, "[$-0E0000]yyyy-mm-dd")</f>
        <v/>
      </c>
      <c r="C64670" t="inlineStr">
        <is>
          <t>2076-12-26</t>
        </is>
      </c>
    </row>
    <row r="64671">
      <c r="A64671" s="1" t="n">
        <v>64670</v>
      </c>
      <c r="B64671">
        <f>TEXT(64670, "[$-0E0000]yyyy-mm-dd")</f>
        <v/>
      </c>
      <c r="C64671" t="inlineStr">
        <is>
          <t>2076-12-27</t>
        </is>
      </c>
    </row>
    <row r="64672">
      <c r="A64672" s="1" t="n">
        <v>64671</v>
      </c>
      <c r="B64672">
        <f>TEXT(64671, "[$-0E0000]yyyy-mm-dd")</f>
        <v/>
      </c>
      <c r="C64672" t="inlineStr">
        <is>
          <t>2076-12-28</t>
        </is>
      </c>
    </row>
    <row r="64673">
      <c r="A64673" s="1" t="n">
        <v>64672</v>
      </c>
      <c r="B64673">
        <f>TEXT(64672, "[$-0E0000]yyyy-mm-dd")</f>
        <v/>
      </c>
      <c r="C64673" t="inlineStr">
        <is>
          <t>2076-12-29</t>
        </is>
      </c>
    </row>
    <row r="64674">
      <c r="A64674" s="1" t="n">
        <v>64673</v>
      </c>
      <c r="B64674">
        <f>TEXT(64673, "[$-0E0000]yyyy-mm-dd")</f>
        <v/>
      </c>
      <c r="C64674" t="inlineStr">
        <is>
          <t>2077-01-01</t>
        </is>
      </c>
    </row>
    <row r="64675">
      <c r="A64675" s="1" t="n">
        <v>64674</v>
      </c>
      <c r="B64675">
        <f>TEXT(64674, "[$-0E0000]yyyy-mm-dd")</f>
        <v/>
      </c>
      <c r="C64675" t="inlineStr">
        <is>
          <t>2077-01-02</t>
        </is>
      </c>
    </row>
    <row r="64676">
      <c r="A64676" s="1" t="n">
        <v>64675</v>
      </c>
      <c r="B64676">
        <f>TEXT(64675, "[$-0E0000]yyyy-mm-dd")</f>
        <v/>
      </c>
      <c r="C64676" t="inlineStr">
        <is>
          <t>2077-01-03</t>
        </is>
      </c>
    </row>
    <row r="64677">
      <c r="A64677" s="1" t="n">
        <v>64676</v>
      </c>
      <c r="B64677">
        <f>TEXT(64676, "[$-0E0000]yyyy-mm-dd")</f>
        <v/>
      </c>
      <c r="C64677" t="inlineStr">
        <is>
          <t>2077-01-04</t>
        </is>
      </c>
    </row>
    <row r="64678">
      <c r="A64678" s="1" t="n">
        <v>64677</v>
      </c>
      <c r="B64678">
        <f>TEXT(64677, "[$-0E0000]yyyy-mm-dd")</f>
        <v/>
      </c>
      <c r="C64678" t="inlineStr">
        <is>
          <t>2077-01-05</t>
        </is>
      </c>
    </row>
    <row r="64679">
      <c r="A64679" s="1" t="n">
        <v>64678</v>
      </c>
      <c r="B64679">
        <f>TEXT(64678, "[$-0E0000]yyyy-mm-dd")</f>
        <v/>
      </c>
      <c r="C64679" t="inlineStr">
        <is>
          <t>2077-01-06</t>
        </is>
      </c>
    </row>
    <row r="64680">
      <c r="A64680" s="1" t="n">
        <v>64679</v>
      </c>
      <c r="B64680">
        <f>TEXT(64679, "[$-0E0000]yyyy-mm-dd")</f>
        <v/>
      </c>
      <c r="C64680" t="inlineStr">
        <is>
          <t>2077-01-07</t>
        </is>
      </c>
    </row>
    <row r="64681">
      <c r="A64681" s="1" t="n">
        <v>64680</v>
      </c>
      <c r="B64681">
        <f>TEXT(64680, "[$-0E0000]yyyy-mm-dd")</f>
        <v/>
      </c>
      <c r="C64681" t="inlineStr">
        <is>
          <t>2077-01-08</t>
        </is>
      </c>
    </row>
    <row r="64682">
      <c r="A64682" s="1" t="n">
        <v>64681</v>
      </c>
      <c r="B64682">
        <f>TEXT(64681, "[$-0E0000]yyyy-mm-dd")</f>
        <v/>
      </c>
      <c r="C64682" t="inlineStr">
        <is>
          <t>2077-01-09</t>
        </is>
      </c>
    </row>
    <row r="64683">
      <c r="A64683" s="1" t="n">
        <v>64682</v>
      </c>
      <c r="B64683">
        <f>TEXT(64682, "[$-0E0000]yyyy-mm-dd")</f>
        <v/>
      </c>
      <c r="C64683" t="inlineStr">
        <is>
          <t>2077-01-10</t>
        </is>
      </c>
    </row>
    <row r="64684">
      <c r="A64684" s="1" t="n">
        <v>64683</v>
      </c>
      <c r="B64684">
        <f>TEXT(64683, "[$-0E0000]yyyy-mm-dd")</f>
        <v/>
      </c>
      <c r="C64684" t="inlineStr">
        <is>
          <t>2077-01-11</t>
        </is>
      </c>
    </row>
    <row r="64685">
      <c r="A64685" s="1" t="n">
        <v>64684</v>
      </c>
      <c r="B64685">
        <f>TEXT(64684, "[$-0E0000]yyyy-mm-dd")</f>
        <v/>
      </c>
      <c r="C64685" t="inlineStr">
        <is>
          <t>2077-01-12</t>
        </is>
      </c>
    </row>
    <row r="64686">
      <c r="A64686" s="1" t="n">
        <v>64685</v>
      </c>
      <c r="B64686">
        <f>TEXT(64685, "[$-0E0000]yyyy-mm-dd")</f>
        <v/>
      </c>
      <c r="C64686" t="inlineStr">
        <is>
          <t>2077-01-13</t>
        </is>
      </c>
    </row>
    <row r="64687">
      <c r="A64687" s="1" t="n">
        <v>64686</v>
      </c>
      <c r="B64687">
        <f>TEXT(64686, "[$-0E0000]yyyy-mm-dd")</f>
        <v/>
      </c>
      <c r="C64687" t="inlineStr">
        <is>
          <t>2077-01-14</t>
        </is>
      </c>
    </row>
    <row r="64688">
      <c r="A64688" s="1" t="n">
        <v>64687</v>
      </c>
      <c r="B64688">
        <f>TEXT(64687, "[$-0E0000]yyyy-mm-dd")</f>
        <v/>
      </c>
      <c r="C64688" t="inlineStr">
        <is>
          <t>2077-01-15</t>
        </is>
      </c>
    </row>
    <row r="64689">
      <c r="A64689" s="1" t="n">
        <v>64688</v>
      </c>
      <c r="B64689">
        <f>TEXT(64688, "[$-0E0000]yyyy-mm-dd")</f>
        <v/>
      </c>
      <c r="C64689" t="inlineStr">
        <is>
          <t>2077-01-16</t>
        </is>
      </c>
    </row>
    <row r="64690">
      <c r="A64690" s="1" t="n">
        <v>64689</v>
      </c>
      <c r="B64690">
        <f>TEXT(64689, "[$-0E0000]yyyy-mm-dd")</f>
        <v/>
      </c>
      <c r="C64690" t="inlineStr">
        <is>
          <t>2077-01-17</t>
        </is>
      </c>
    </row>
    <row r="64691">
      <c r="A64691" s="1" t="n">
        <v>64690</v>
      </c>
      <c r="B64691">
        <f>TEXT(64690, "[$-0E0000]yyyy-mm-dd")</f>
        <v/>
      </c>
      <c r="C64691" t="inlineStr">
        <is>
          <t>2077-01-18</t>
        </is>
      </c>
    </row>
    <row r="64692">
      <c r="A64692" s="1" t="n">
        <v>64691</v>
      </c>
      <c r="B64692">
        <f>TEXT(64691, "[$-0E0000]yyyy-mm-dd")</f>
        <v/>
      </c>
      <c r="C64692" t="inlineStr">
        <is>
          <t>2077-01-19</t>
        </is>
      </c>
    </row>
    <row r="64693">
      <c r="A64693" s="1" t="n">
        <v>64692</v>
      </c>
      <c r="B64693">
        <f>TEXT(64692, "[$-0E0000]yyyy-mm-dd")</f>
        <v/>
      </c>
      <c r="C64693" t="inlineStr">
        <is>
          <t>2077-01-20</t>
        </is>
      </c>
    </row>
    <row r="64694">
      <c r="A64694" s="1" t="n">
        <v>64693</v>
      </c>
      <c r="B64694">
        <f>TEXT(64693, "[$-0E0000]yyyy-mm-dd")</f>
        <v/>
      </c>
      <c r="C64694" t="inlineStr">
        <is>
          <t>2077-01-21</t>
        </is>
      </c>
    </row>
    <row r="64695">
      <c r="A64695" s="1" t="n">
        <v>64694</v>
      </c>
      <c r="B64695">
        <f>TEXT(64694, "[$-0E0000]yyyy-mm-dd")</f>
        <v/>
      </c>
      <c r="C64695" t="inlineStr">
        <is>
          <t>2077-01-22</t>
        </is>
      </c>
    </row>
    <row r="64696">
      <c r="A64696" s="1" t="n">
        <v>64695</v>
      </c>
      <c r="B64696">
        <f>TEXT(64695, "[$-0E0000]yyyy-mm-dd")</f>
        <v/>
      </c>
      <c r="C64696" t="inlineStr">
        <is>
          <t>2077-01-23</t>
        </is>
      </c>
    </row>
    <row r="64697">
      <c r="A64697" s="1" t="n">
        <v>64696</v>
      </c>
      <c r="B64697">
        <f>TEXT(64696, "[$-0E0000]yyyy-mm-dd")</f>
        <v/>
      </c>
      <c r="C64697" t="inlineStr">
        <is>
          <t>2077-01-24</t>
        </is>
      </c>
    </row>
    <row r="64698">
      <c r="A64698" s="1" t="n">
        <v>64697</v>
      </c>
      <c r="B64698">
        <f>TEXT(64697, "[$-0E0000]yyyy-mm-dd")</f>
        <v/>
      </c>
      <c r="C64698" t="inlineStr">
        <is>
          <t>2077-01-25</t>
        </is>
      </c>
    </row>
    <row r="64699">
      <c r="A64699" s="1" t="n">
        <v>64698</v>
      </c>
      <c r="B64699">
        <f>TEXT(64698, "[$-0E0000]yyyy-mm-dd")</f>
        <v/>
      </c>
      <c r="C64699" t="inlineStr">
        <is>
          <t>2077-01-26</t>
        </is>
      </c>
    </row>
    <row r="64700">
      <c r="A64700" s="1" t="n">
        <v>64699</v>
      </c>
      <c r="B64700">
        <f>TEXT(64699, "[$-0E0000]yyyy-mm-dd")</f>
        <v/>
      </c>
      <c r="C64700" t="inlineStr">
        <is>
          <t>2077-01-27</t>
        </is>
      </c>
    </row>
    <row r="64701">
      <c r="A64701" s="1" t="n">
        <v>64700</v>
      </c>
      <c r="B64701">
        <f>TEXT(64700, "[$-0E0000]yyyy-mm-dd")</f>
        <v/>
      </c>
      <c r="C64701" t="inlineStr">
        <is>
          <t>2077-01-28</t>
        </is>
      </c>
    </row>
    <row r="64702">
      <c r="A64702" s="1" t="n">
        <v>64701</v>
      </c>
      <c r="B64702">
        <f>TEXT(64701, "[$-0E0000]yyyy-mm-dd")</f>
        <v/>
      </c>
      <c r="C64702" t="inlineStr">
        <is>
          <t>2077-01-29</t>
        </is>
      </c>
    </row>
    <row r="64703">
      <c r="A64703" s="1" t="n">
        <v>64702</v>
      </c>
      <c r="B64703">
        <f>TEXT(64702, "[$-0E0000]yyyy-mm-dd")</f>
        <v/>
      </c>
      <c r="C64703" t="inlineStr">
        <is>
          <t>2077-01-30</t>
        </is>
      </c>
    </row>
    <row r="64704">
      <c r="A64704" s="1" t="n">
        <v>64703</v>
      </c>
      <c r="B64704">
        <f>TEXT(64703, "[$-0E0000]yyyy-mm-dd")</f>
        <v/>
      </c>
      <c r="C64704" t="inlineStr">
        <is>
          <t>2077-02-01</t>
        </is>
      </c>
    </row>
    <row r="64705">
      <c r="A64705" s="1" t="n">
        <v>64704</v>
      </c>
      <c r="B64705">
        <f>TEXT(64704, "[$-0E0000]yyyy-mm-dd")</f>
        <v/>
      </c>
      <c r="C64705" t="inlineStr">
        <is>
          <t>2077-02-02</t>
        </is>
      </c>
    </row>
    <row r="64706">
      <c r="A64706" s="1" t="n">
        <v>64705</v>
      </c>
      <c r="B64706">
        <f>TEXT(64705, "[$-0E0000]yyyy-mm-dd")</f>
        <v/>
      </c>
      <c r="C64706" t="inlineStr">
        <is>
          <t>2077-02-03</t>
        </is>
      </c>
    </row>
    <row r="64707">
      <c r="A64707" s="1" t="n">
        <v>64706</v>
      </c>
      <c r="B64707">
        <f>TEXT(64706, "[$-0E0000]yyyy-mm-dd")</f>
        <v/>
      </c>
      <c r="C64707" t="inlineStr">
        <is>
          <t>2077-02-04</t>
        </is>
      </c>
    </row>
    <row r="64708">
      <c r="A64708" s="1" t="n">
        <v>64707</v>
      </c>
      <c r="B64708">
        <f>TEXT(64707, "[$-0E0000]yyyy-mm-dd")</f>
        <v/>
      </c>
      <c r="C64708" t="inlineStr">
        <is>
          <t>2077-02-05</t>
        </is>
      </c>
    </row>
    <row r="64709">
      <c r="A64709" s="1" t="n">
        <v>64708</v>
      </c>
      <c r="B64709">
        <f>TEXT(64708, "[$-0E0000]yyyy-mm-dd")</f>
        <v/>
      </c>
      <c r="C64709" t="inlineStr">
        <is>
          <t>2077-02-06</t>
        </is>
      </c>
    </row>
    <row r="64710">
      <c r="A64710" s="1" t="n">
        <v>64709</v>
      </c>
      <c r="B64710">
        <f>TEXT(64709, "[$-0E0000]yyyy-mm-dd")</f>
        <v/>
      </c>
      <c r="C64710" t="inlineStr">
        <is>
          <t>2077-02-07</t>
        </is>
      </c>
    </row>
    <row r="64711">
      <c r="A64711" s="1" t="n">
        <v>64710</v>
      </c>
      <c r="B64711">
        <f>TEXT(64710, "[$-0E0000]yyyy-mm-dd")</f>
        <v/>
      </c>
      <c r="C64711" t="inlineStr">
        <is>
          <t>2077-02-08</t>
        </is>
      </c>
    </row>
    <row r="64712">
      <c r="A64712" s="1" t="n">
        <v>64711</v>
      </c>
      <c r="B64712">
        <f>TEXT(64711, "[$-0E0000]yyyy-mm-dd")</f>
        <v/>
      </c>
      <c r="C64712" t="inlineStr">
        <is>
          <t>2077-02-09</t>
        </is>
      </c>
    </row>
    <row r="64713">
      <c r="A64713" s="1" t="n">
        <v>64712</v>
      </c>
      <c r="B64713">
        <f>TEXT(64712, "[$-0E0000]yyyy-mm-dd")</f>
        <v/>
      </c>
      <c r="C64713" t="inlineStr">
        <is>
          <t>2077-02-10</t>
        </is>
      </c>
    </row>
    <row r="64714">
      <c r="A64714" s="1" t="n">
        <v>64713</v>
      </c>
      <c r="B64714">
        <f>TEXT(64713, "[$-0E0000]yyyy-mm-dd")</f>
        <v/>
      </c>
      <c r="C64714" t="inlineStr">
        <is>
          <t>2077-02-11</t>
        </is>
      </c>
    </row>
    <row r="64715">
      <c r="A64715" s="1" t="n">
        <v>64714</v>
      </c>
      <c r="B64715">
        <f>TEXT(64714, "[$-0E0000]yyyy-mm-dd")</f>
        <v/>
      </c>
      <c r="C64715" t="inlineStr">
        <is>
          <t>2077-02-12</t>
        </is>
      </c>
    </row>
    <row r="64716">
      <c r="A64716" s="1" t="n">
        <v>64715</v>
      </c>
      <c r="B64716">
        <f>TEXT(64715, "[$-0E0000]yyyy-mm-dd")</f>
        <v/>
      </c>
      <c r="C64716" t="inlineStr">
        <is>
          <t>2077-02-13</t>
        </is>
      </c>
    </row>
    <row r="64717">
      <c r="A64717" s="1" t="n">
        <v>64716</v>
      </c>
      <c r="B64717">
        <f>TEXT(64716, "[$-0E0000]yyyy-mm-dd")</f>
        <v/>
      </c>
      <c r="C64717" t="inlineStr">
        <is>
          <t>2077-02-14</t>
        </is>
      </c>
    </row>
    <row r="64718">
      <c r="A64718" s="1" t="n">
        <v>64717</v>
      </c>
      <c r="B64718">
        <f>TEXT(64717, "[$-0E0000]yyyy-mm-dd")</f>
        <v/>
      </c>
      <c r="C64718" t="inlineStr">
        <is>
          <t>2077-02-15</t>
        </is>
      </c>
    </row>
    <row r="64719">
      <c r="A64719" s="1" t="n">
        <v>64718</v>
      </c>
      <c r="B64719">
        <f>TEXT(64718, "[$-0E0000]yyyy-mm-dd")</f>
        <v/>
      </c>
      <c r="C64719" t="inlineStr">
        <is>
          <t>2077-02-16</t>
        </is>
      </c>
    </row>
    <row r="64720">
      <c r="A64720" s="1" t="n">
        <v>64719</v>
      </c>
      <c r="B64720">
        <f>TEXT(64719, "[$-0E0000]yyyy-mm-dd")</f>
        <v/>
      </c>
      <c r="C64720" t="inlineStr">
        <is>
          <t>2077-02-17</t>
        </is>
      </c>
    </row>
    <row r="64721">
      <c r="A64721" s="1" t="n">
        <v>64720</v>
      </c>
      <c r="B64721">
        <f>TEXT(64720, "[$-0E0000]yyyy-mm-dd")</f>
        <v/>
      </c>
      <c r="C64721" t="inlineStr">
        <is>
          <t>2077-02-18</t>
        </is>
      </c>
    </row>
    <row r="64722">
      <c r="A64722" s="1" t="n">
        <v>64721</v>
      </c>
      <c r="B64722">
        <f>TEXT(64721, "[$-0E0000]yyyy-mm-dd")</f>
        <v/>
      </c>
      <c r="C64722" t="inlineStr">
        <is>
          <t>2077-02-19</t>
        </is>
      </c>
    </row>
    <row r="64723">
      <c r="A64723" s="1" t="n">
        <v>64722</v>
      </c>
      <c r="B64723">
        <f>TEXT(64722, "[$-0E0000]yyyy-mm-dd")</f>
        <v/>
      </c>
      <c r="C64723" t="inlineStr">
        <is>
          <t>2077-02-20</t>
        </is>
      </c>
    </row>
    <row r="64724">
      <c r="A64724" s="1" t="n">
        <v>64723</v>
      </c>
      <c r="B64724">
        <f>TEXT(64723, "[$-0E0000]yyyy-mm-dd")</f>
        <v/>
      </c>
      <c r="C64724" t="inlineStr">
        <is>
          <t>2077-02-21</t>
        </is>
      </c>
    </row>
    <row r="64725">
      <c r="A64725" s="1" t="n">
        <v>64724</v>
      </c>
      <c r="B64725">
        <f>TEXT(64724, "[$-0E0000]yyyy-mm-dd")</f>
        <v/>
      </c>
      <c r="C64725" t="inlineStr">
        <is>
          <t>2077-02-22</t>
        </is>
      </c>
    </row>
    <row r="64726">
      <c r="A64726" s="1" t="n">
        <v>64725</v>
      </c>
      <c r="B64726">
        <f>TEXT(64725, "[$-0E0000]yyyy-mm-dd")</f>
        <v/>
      </c>
      <c r="C64726" t="inlineStr">
        <is>
          <t>2077-02-23</t>
        </is>
      </c>
    </row>
    <row r="64727">
      <c r="A64727" s="1" t="n">
        <v>64726</v>
      </c>
      <c r="B64727">
        <f>TEXT(64726, "[$-0E0000]yyyy-mm-dd")</f>
        <v/>
      </c>
      <c r="C64727" t="inlineStr">
        <is>
          <t>2077-02-24</t>
        </is>
      </c>
    </row>
    <row r="64728">
      <c r="A64728" s="1" t="n">
        <v>64727</v>
      </c>
      <c r="B64728">
        <f>TEXT(64727, "[$-0E0000]yyyy-mm-dd")</f>
        <v/>
      </c>
      <c r="C64728" t="inlineStr">
        <is>
          <t>2077-02-25</t>
        </is>
      </c>
    </row>
    <row r="64729">
      <c r="A64729" s="1" t="n">
        <v>64728</v>
      </c>
      <c r="B64729">
        <f>TEXT(64728, "[$-0E0000]yyyy-mm-dd")</f>
        <v/>
      </c>
      <c r="C64729" t="inlineStr">
        <is>
          <t>2077-02-26</t>
        </is>
      </c>
    </row>
    <row r="64730">
      <c r="A64730" s="1" t="n">
        <v>64729</v>
      </c>
      <c r="B64730">
        <f>TEXT(64729, "[$-0E0000]yyyy-mm-dd")</f>
        <v/>
      </c>
      <c r="C64730" t="inlineStr">
        <is>
          <t>2077-02-27</t>
        </is>
      </c>
    </row>
    <row r="64731">
      <c r="A64731" s="1" t="n">
        <v>64730</v>
      </c>
      <c r="B64731">
        <f>TEXT(64730, "[$-0E0000]yyyy-mm-dd")</f>
        <v/>
      </c>
      <c r="C64731" t="inlineStr">
        <is>
          <t>2077-02-28</t>
        </is>
      </c>
    </row>
    <row r="64732">
      <c r="A64732" s="1" t="n">
        <v>64731</v>
      </c>
      <c r="B64732">
        <f>TEXT(64731, "[$-0E0000]yyyy-mm-dd")</f>
        <v/>
      </c>
      <c r="C64732" t="inlineStr">
        <is>
          <t>2077-02-29</t>
        </is>
      </c>
    </row>
    <row r="64733">
      <c r="A64733" s="1" t="n">
        <v>64732</v>
      </c>
      <c r="B64733">
        <f>TEXT(64732, "[$-0E0000]yyyy-mm-dd")</f>
        <v/>
      </c>
      <c r="C64733" t="inlineStr">
        <is>
          <t>2077-03-01</t>
        </is>
      </c>
    </row>
    <row r="64734">
      <c r="A64734" s="1" t="n">
        <v>64733</v>
      </c>
      <c r="B64734">
        <f>TEXT(64733, "[$-0E0000]yyyy-mm-dd")</f>
        <v/>
      </c>
      <c r="C64734" t="inlineStr">
        <is>
          <t>2077-03-02</t>
        </is>
      </c>
    </row>
    <row r="64735">
      <c r="A64735" s="1" t="n">
        <v>64734</v>
      </c>
      <c r="B64735">
        <f>TEXT(64734, "[$-0E0000]yyyy-mm-dd")</f>
        <v/>
      </c>
      <c r="C64735" t="inlineStr">
        <is>
          <t>2077-03-03</t>
        </is>
      </c>
    </row>
    <row r="64736">
      <c r="A64736" s="1" t="n">
        <v>64735</v>
      </c>
      <c r="B64736">
        <f>TEXT(64735, "[$-0E0000]yyyy-mm-dd")</f>
        <v/>
      </c>
      <c r="C64736" t="inlineStr">
        <is>
          <t>2077-03-04</t>
        </is>
      </c>
    </row>
    <row r="64737">
      <c r="A64737" s="1" t="n">
        <v>64736</v>
      </c>
      <c r="B64737">
        <f>TEXT(64736, "[$-0E0000]yyyy-mm-dd")</f>
        <v/>
      </c>
      <c r="C64737" t="inlineStr">
        <is>
          <t>2077-03-05</t>
        </is>
      </c>
    </row>
    <row r="64738">
      <c r="A64738" s="1" t="n">
        <v>64737</v>
      </c>
      <c r="B64738">
        <f>TEXT(64737, "[$-0E0000]yyyy-mm-dd")</f>
        <v/>
      </c>
      <c r="C64738" t="inlineStr">
        <is>
          <t>2077-03-06</t>
        </is>
      </c>
    </row>
    <row r="64739">
      <c r="A64739" s="1" t="n">
        <v>64738</v>
      </c>
      <c r="B64739">
        <f>TEXT(64738, "[$-0E0000]yyyy-mm-dd")</f>
        <v/>
      </c>
      <c r="C64739" t="inlineStr">
        <is>
          <t>2077-03-07</t>
        </is>
      </c>
    </row>
    <row r="64740">
      <c r="A64740" s="1" t="n">
        <v>64739</v>
      </c>
      <c r="B64740">
        <f>TEXT(64739, "[$-0E0000]yyyy-mm-dd")</f>
        <v/>
      </c>
      <c r="C64740" t="inlineStr">
        <is>
          <t>2077-03-08</t>
        </is>
      </c>
    </row>
    <row r="64741">
      <c r="A64741" s="1" t="n">
        <v>64740</v>
      </c>
      <c r="B64741">
        <f>TEXT(64740, "[$-0E0000]yyyy-mm-dd")</f>
        <v/>
      </c>
      <c r="C64741" t="inlineStr">
        <is>
          <t>2077-03-09</t>
        </is>
      </c>
    </row>
    <row r="64742">
      <c r="A64742" s="1" t="n">
        <v>64741</v>
      </c>
      <c r="B64742">
        <f>TEXT(64741, "[$-0E0000]yyyy-mm-dd")</f>
        <v/>
      </c>
      <c r="C64742" t="inlineStr">
        <is>
          <t>2077-03-10</t>
        </is>
      </c>
    </row>
    <row r="64743">
      <c r="A64743" s="1" t="n">
        <v>64742</v>
      </c>
      <c r="B64743">
        <f>TEXT(64742, "[$-0E0000]yyyy-mm-dd")</f>
        <v/>
      </c>
      <c r="C64743" t="inlineStr">
        <is>
          <t>2077-03-11</t>
        </is>
      </c>
    </row>
    <row r="64744">
      <c r="A64744" s="1" t="n">
        <v>64743</v>
      </c>
      <c r="B64744">
        <f>TEXT(64743, "[$-0E0000]yyyy-mm-dd")</f>
        <v/>
      </c>
      <c r="C64744" t="inlineStr">
        <is>
          <t>2077-03-12</t>
        </is>
      </c>
    </row>
    <row r="64745">
      <c r="A64745" s="1" t="n">
        <v>64744</v>
      </c>
      <c r="B64745">
        <f>TEXT(64744, "[$-0E0000]yyyy-mm-dd")</f>
        <v/>
      </c>
      <c r="C64745" t="inlineStr">
        <is>
          <t>2077-03-13</t>
        </is>
      </c>
    </row>
    <row r="64746">
      <c r="A64746" s="1" t="n">
        <v>64745</v>
      </c>
      <c r="B64746">
        <f>TEXT(64745, "[$-0E0000]yyyy-mm-dd")</f>
        <v/>
      </c>
      <c r="C64746" t="inlineStr">
        <is>
          <t>2077-03-14</t>
        </is>
      </c>
    </row>
    <row r="64747">
      <c r="A64747" s="1" t="n">
        <v>64746</v>
      </c>
      <c r="B64747">
        <f>TEXT(64746, "[$-0E0000]yyyy-mm-dd")</f>
        <v/>
      </c>
      <c r="C64747" t="inlineStr">
        <is>
          <t>2077-03-15</t>
        </is>
      </c>
    </row>
    <row r="64748">
      <c r="A64748" s="1" t="n">
        <v>64747</v>
      </c>
      <c r="B64748">
        <f>TEXT(64747, "[$-0E0000]yyyy-mm-dd")</f>
        <v/>
      </c>
      <c r="C64748" t="inlineStr">
        <is>
          <t>2077-03-16</t>
        </is>
      </c>
    </row>
    <row r="64749">
      <c r="A64749" s="1" t="n">
        <v>64748</v>
      </c>
      <c r="B64749">
        <f>TEXT(64748, "[$-0E0000]yyyy-mm-dd")</f>
        <v/>
      </c>
      <c r="C64749" t="inlineStr">
        <is>
          <t>2077-03-17</t>
        </is>
      </c>
    </row>
    <row r="64750">
      <c r="A64750" s="1" t="n">
        <v>64749</v>
      </c>
      <c r="B64750">
        <f>TEXT(64749, "[$-0E0000]yyyy-mm-dd")</f>
        <v/>
      </c>
      <c r="C64750" t="inlineStr">
        <is>
          <t>2077-03-18</t>
        </is>
      </c>
    </row>
    <row r="64751">
      <c r="A64751" s="1" t="n">
        <v>64750</v>
      </c>
      <c r="B64751">
        <f>TEXT(64750, "[$-0E0000]yyyy-mm-dd")</f>
        <v/>
      </c>
      <c r="C64751" t="inlineStr">
        <is>
          <t>2077-03-19</t>
        </is>
      </c>
    </row>
    <row r="64752">
      <c r="A64752" s="1" t="n">
        <v>64751</v>
      </c>
      <c r="B64752">
        <f>TEXT(64751, "[$-0E0000]yyyy-mm-dd")</f>
        <v/>
      </c>
      <c r="C64752" t="inlineStr">
        <is>
          <t>2077-03-20</t>
        </is>
      </c>
    </row>
    <row r="64753">
      <c r="A64753" s="1" t="n">
        <v>64752</v>
      </c>
      <c r="B64753">
        <f>TEXT(64752, "[$-0E0000]yyyy-mm-dd")</f>
        <v/>
      </c>
      <c r="C64753" t="inlineStr">
        <is>
          <t>2077-03-21</t>
        </is>
      </c>
    </row>
    <row r="64754">
      <c r="A64754" s="1" t="n">
        <v>64753</v>
      </c>
      <c r="B64754">
        <f>TEXT(64753, "[$-0E0000]yyyy-mm-dd")</f>
        <v/>
      </c>
      <c r="C64754" t="inlineStr">
        <is>
          <t>2077-03-22</t>
        </is>
      </c>
    </row>
    <row r="64755">
      <c r="A64755" s="1" t="n">
        <v>64754</v>
      </c>
      <c r="B64755">
        <f>TEXT(64754, "[$-0E0000]yyyy-mm-dd")</f>
        <v/>
      </c>
      <c r="C64755" t="inlineStr">
        <is>
          <t>2077-03-23</t>
        </is>
      </c>
    </row>
    <row r="64756">
      <c r="A64756" s="1" t="n">
        <v>64755</v>
      </c>
      <c r="B64756">
        <f>TEXT(64755, "[$-0E0000]yyyy-mm-dd")</f>
        <v/>
      </c>
      <c r="C64756" t="inlineStr">
        <is>
          <t>2077-03-24</t>
        </is>
      </c>
    </row>
    <row r="64757">
      <c r="A64757" s="1" t="n">
        <v>64756</v>
      </c>
      <c r="B64757">
        <f>TEXT(64756, "[$-0E0000]yyyy-mm-dd")</f>
        <v/>
      </c>
      <c r="C64757" t="inlineStr">
        <is>
          <t>2077-03-25</t>
        </is>
      </c>
    </row>
    <row r="64758">
      <c r="A64758" s="1" t="n">
        <v>64757</v>
      </c>
      <c r="B64758">
        <f>TEXT(64757, "[$-0E0000]yyyy-mm-dd")</f>
        <v/>
      </c>
      <c r="C64758" t="inlineStr">
        <is>
          <t>2077-03-26</t>
        </is>
      </c>
    </row>
    <row r="64759">
      <c r="A64759" s="1" t="n">
        <v>64758</v>
      </c>
      <c r="B64759">
        <f>TEXT(64758, "[$-0E0000]yyyy-mm-dd")</f>
        <v/>
      </c>
      <c r="C64759" t="inlineStr">
        <is>
          <t>2077-03-27</t>
        </is>
      </c>
    </row>
    <row r="64760">
      <c r="A64760" s="1" t="n">
        <v>64759</v>
      </c>
      <c r="B64760">
        <f>TEXT(64759, "[$-0E0000]yyyy-mm-dd")</f>
        <v/>
      </c>
      <c r="C64760" t="inlineStr">
        <is>
          <t>2077-03-28</t>
        </is>
      </c>
    </row>
    <row r="64761">
      <c r="A64761" s="1" t="n">
        <v>64760</v>
      </c>
      <c r="B64761">
        <f>TEXT(64760, "[$-0E0000]yyyy-mm-dd")</f>
        <v/>
      </c>
      <c r="C64761" t="inlineStr">
        <is>
          <t>2077-03-29</t>
        </is>
      </c>
    </row>
    <row r="64762">
      <c r="A64762" s="1" t="n">
        <v>64761</v>
      </c>
      <c r="B64762">
        <f>TEXT(64761, "[$-0E0000]yyyy-mm-dd")</f>
        <v/>
      </c>
      <c r="C64762" t="inlineStr">
        <is>
          <t>2077-03-30</t>
        </is>
      </c>
    </row>
    <row r="64763">
      <c r="A64763" s="1" t="n">
        <v>64762</v>
      </c>
      <c r="B64763">
        <f>TEXT(64762, "[$-0E0000]yyyy-mm-dd")</f>
        <v/>
      </c>
      <c r="C64763" t="inlineStr">
        <is>
          <t>2077-04-01</t>
        </is>
      </c>
    </row>
    <row r="64764">
      <c r="A64764" s="1" t="n">
        <v>64763</v>
      </c>
      <c r="B64764">
        <f>TEXT(64763, "[$-0E0000]yyyy-mm-dd")</f>
        <v/>
      </c>
      <c r="C64764" t="inlineStr">
        <is>
          <t>2077-04-02</t>
        </is>
      </c>
    </row>
    <row r="64765">
      <c r="A64765" s="1" t="n">
        <v>64764</v>
      </c>
      <c r="B64765">
        <f>TEXT(64764, "[$-0E0000]yyyy-mm-dd")</f>
        <v/>
      </c>
      <c r="C64765" t="inlineStr">
        <is>
          <t>2077-04-03</t>
        </is>
      </c>
    </row>
    <row r="64766">
      <c r="A64766" s="1" t="n">
        <v>64765</v>
      </c>
      <c r="B64766">
        <f>TEXT(64765, "[$-0E0000]yyyy-mm-dd")</f>
        <v/>
      </c>
      <c r="C64766" t="inlineStr">
        <is>
          <t>2077-04-04</t>
        </is>
      </c>
    </row>
    <row r="64767">
      <c r="A64767" s="1" t="n">
        <v>64766</v>
      </c>
      <c r="B64767">
        <f>TEXT(64766, "[$-0E0000]yyyy-mm-dd")</f>
        <v/>
      </c>
      <c r="C64767" t="inlineStr">
        <is>
          <t>2077-04-05</t>
        </is>
      </c>
    </row>
    <row r="64768">
      <c r="A64768" s="1" t="n">
        <v>64767</v>
      </c>
      <c r="B64768">
        <f>TEXT(64767, "[$-0E0000]yyyy-mm-dd")</f>
        <v/>
      </c>
      <c r="C64768" t="inlineStr">
        <is>
          <t>2077-04-06</t>
        </is>
      </c>
    </row>
    <row r="64769">
      <c r="A64769" s="1" t="n">
        <v>64768</v>
      </c>
      <c r="B64769">
        <f>TEXT(64768, "[$-0E0000]yyyy-mm-dd")</f>
        <v/>
      </c>
      <c r="C64769" t="inlineStr">
        <is>
          <t>2077-04-07</t>
        </is>
      </c>
    </row>
    <row r="64770">
      <c r="A64770" s="1" t="n">
        <v>64769</v>
      </c>
      <c r="B64770">
        <f>TEXT(64769, "[$-0E0000]yyyy-mm-dd")</f>
        <v/>
      </c>
      <c r="C64770" t="inlineStr">
        <is>
          <t>2077-04-08</t>
        </is>
      </c>
    </row>
    <row r="64771">
      <c r="A64771" s="1" t="n">
        <v>64770</v>
      </c>
      <c r="B64771">
        <f>TEXT(64770, "[$-0E0000]yyyy-mm-dd")</f>
        <v/>
      </c>
      <c r="C64771" t="inlineStr">
        <is>
          <t>2077-04-09</t>
        </is>
      </c>
    </row>
    <row r="64772">
      <c r="A64772" s="1" t="n">
        <v>64771</v>
      </c>
      <c r="B64772">
        <f>TEXT(64771, "[$-0E0000]yyyy-mm-dd")</f>
        <v/>
      </c>
      <c r="C64772" t="inlineStr">
        <is>
          <t>2077-04-10</t>
        </is>
      </c>
    </row>
    <row r="64773">
      <c r="A64773" s="1" t="n">
        <v>64772</v>
      </c>
      <c r="B64773">
        <f>TEXT(64772, "[$-0E0000]yyyy-mm-dd")</f>
        <v/>
      </c>
      <c r="C64773" t="inlineStr">
        <is>
          <t>2077-04-11</t>
        </is>
      </c>
    </row>
    <row r="64774">
      <c r="A64774" s="1" t="n">
        <v>64773</v>
      </c>
      <c r="B64774">
        <f>TEXT(64773, "[$-0E0000]yyyy-mm-dd")</f>
        <v/>
      </c>
      <c r="C64774" t="inlineStr">
        <is>
          <t>2077-04-12</t>
        </is>
      </c>
    </row>
    <row r="64775">
      <c r="A64775" s="1" t="n">
        <v>64774</v>
      </c>
      <c r="B64775">
        <f>TEXT(64774, "[$-0E0000]yyyy-mm-dd")</f>
        <v/>
      </c>
      <c r="C64775" t="inlineStr">
        <is>
          <t>2077-04-13</t>
        </is>
      </c>
    </row>
    <row r="64776">
      <c r="A64776" s="1" t="n">
        <v>64775</v>
      </c>
      <c r="B64776">
        <f>TEXT(64775, "[$-0E0000]yyyy-mm-dd")</f>
        <v/>
      </c>
      <c r="C64776" t="inlineStr">
        <is>
          <t>2077-04-14</t>
        </is>
      </c>
    </row>
    <row r="64777">
      <c r="A64777" s="1" t="n">
        <v>64776</v>
      </c>
      <c r="B64777">
        <f>TEXT(64776, "[$-0E0000]yyyy-mm-dd")</f>
        <v/>
      </c>
      <c r="C64777" t="inlineStr">
        <is>
          <t>2077-04-15</t>
        </is>
      </c>
    </row>
    <row r="64778">
      <c r="A64778" s="1" t="n">
        <v>64777</v>
      </c>
      <c r="B64778">
        <f>TEXT(64777, "[$-0E0000]yyyy-mm-dd")</f>
        <v/>
      </c>
      <c r="C64778" t="inlineStr">
        <is>
          <t>2077-04-16</t>
        </is>
      </c>
    </row>
    <row r="64779">
      <c r="A64779" s="1" t="n">
        <v>64778</v>
      </c>
      <c r="B64779">
        <f>TEXT(64778, "[$-0E0000]yyyy-mm-dd")</f>
        <v/>
      </c>
      <c r="C64779" t="inlineStr">
        <is>
          <t>2077-04-17</t>
        </is>
      </c>
    </row>
    <row r="64780">
      <c r="A64780" s="1" t="n">
        <v>64779</v>
      </c>
      <c r="B64780">
        <f>TEXT(64779, "[$-0E0000]yyyy-mm-dd")</f>
        <v/>
      </c>
      <c r="C64780" t="inlineStr">
        <is>
          <t>2077-04-18</t>
        </is>
      </c>
    </row>
    <row r="64781">
      <c r="A64781" s="1" t="n">
        <v>64780</v>
      </c>
      <c r="B64781">
        <f>TEXT(64780, "[$-0E0000]yyyy-mm-dd")</f>
        <v/>
      </c>
      <c r="C64781" t="inlineStr">
        <is>
          <t>2077-04-19</t>
        </is>
      </c>
    </row>
    <row r="64782">
      <c r="A64782" s="1" t="n">
        <v>64781</v>
      </c>
      <c r="B64782">
        <f>TEXT(64781, "[$-0E0000]yyyy-mm-dd")</f>
        <v/>
      </c>
      <c r="C64782" t="inlineStr">
        <is>
          <t>2077-04-20</t>
        </is>
      </c>
    </row>
    <row r="64783">
      <c r="A64783" s="1" t="n">
        <v>64782</v>
      </c>
      <c r="B64783">
        <f>TEXT(64782, "[$-0E0000]yyyy-mm-dd")</f>
        <v/>
      </c>
      <c r="C64783" t="inlineStr">
        <is>
          <t>2077-04-21</t>
        </is>
      </c>
    </row>
    <row r="64784">
      <c r="A64784" s="1" t="n">
        <v>64783</v>
      </c>
      <c r="B64784">
        <f>TEXT(64783, "[$-0E0000]yyyy-mm-dd")</f>
        <v/>
      </c>
      <c r="C64784" t="inlineStr">
        <is>
          <t>2077-04-22</t>
        </is>
      </c>
    </row>
    <row r="64785">
      <c r="A64785" s="1" t="n">
        <v>64784</v>
      </c>
      <c r="B64785">
        <f>TEXT(64784, "[$-0E0000]yyyy-mm-dd")</f>
        <v/>
      </c>
      <c r="C64785" t="inlineStr">
        <is>
          <t>2077-04-23</t>
        </is>
      </c>
    </row>
    <row r="64786">
      <c r="A64786" s="1" t="n">
        <v>64785</v>
      </c>
      <c r="B64786">
        <f>TEXT(64785, "[$-0E0000]yyyy-mm-dd")</f>
        <v/>
      </c>
      <c r="C64786" t="inlineStr">
        <is>
          <t>2077-04-24</t>
        </is>
      </c>
    </row>
    <row r="64787">
      <c r="A64787" s="1" t="n">
        <v>64786</v>
      </c>
      <c r="B64787">
        <f>TEXT(64786, "[$-0E0000]yyyy-mm-dd")</f>
        <v/>
      </c>
      <c r="C64787" t="inlineStr">
        <is>
          <t>2077-04-25</t>
        </is>
      </c>
    </row>
    <row r="64788">
      <c r="A64788" s="1" t="n">
        <v>64787</v>
      </c>
      <c r="B64788">
        <f>TEXT(64787, "[$-0E0000]yyyy-mm-dd")</f>
        <v/>
      </c>
      <c r="C64788" t="inlineStr">
        <is>
          <t>2077-04-26</t>
        </is>
      </c>
    </row>
    <row r="64789">
      <c r="A64789" s="1" t="n">
        <v>64788</v>
      </c>
      <c r="B64789">
        <f>TEXT(64788, "[$-0E0000]yyyy-mm-dd")</f>
        <v/>
      </c>
      <c r="C64789" t="inlineStr">
        <is>
          <t>2077-04-27</t>
        </is>
      </c>
    </row>
    <row r="64790">
      <c r="A64790" s="1" t="n">
        <v>64789</v>
      </c>
      <c r="B64790">
        <f>TEXT(64789, "[$-0E0000]yyyy-mm-dd")</f>
        <v/>
      </c>
      <c r="C64790" t="inlineStr">
        <is>
          <t>2077-04-28</t>
        </is>
      </c>
    </row>
    <row r="64791">
      <c r="A64791" s="1" t="n">
        <v>64790</v>
      </c>
      <c r="B64791">
        <f>TEXT(64790, "[$-0E0000]yyyy-mm-dd")</f>
        <v/>
      </c>
      <c r="C64791" t="inlineStr">
        <is>
          <t>2077-04-29</t>
        </is>
      </c>
    </row>
    <row r="64792">
      <c r="A64792" s="1" t="n">
        <v>64791</v>
      </c>
      <c r="B64792">
        <f>TEXT(64791, "[$-0E0000]yyyy-mm-dd")</f>
        <v/>
      </c>
      <c r="C64792" t="inlineStr">
        <is>
          <t>2077-04-01</t>
        </is>
      </c>
    </row>
    <row r="64793">
      <c r="A64793" s="1" t="n">
        <v>64792</v>
      </c>
      <c r="B64793">
        <f>TEXT(64792, "[$-0E0000]yyyy-mm-dd")</f>
        <v/>
      </c>
      <c r="C64793" t="inlineStr">
        <is>
          <t>2077-04-02</t>
        </is>
      </c>
    </row>
    <row r="64794">
      <c r="A64794" s="1" t="n">
        <v>64793</v>
      </c>
      <c r="B64794">
        <f>TEXT(64793, "[$-0E0000]yyyy-mm-dd")</f>
        <v/>
      </c>
      <c r="C64794" t="inlineStr">
        <is>
          <t>2077-04-03</t>
        </is>
      </c>
    </row>
    <row r="64795">
      <c r="A64795" s="1" t="n">
        <v>64794</v>
      </c>
      <c r="B64795">
        <f>TEXT(64794, "[$-0E0000]yyyy-mm-dd")</f>
        <v/>
      </c>
      <c r="C64795" t="inlineStr">
        <is>
          <t>2077-04-04</t>
        </is>
      </c>
    </row>
    <row r="64796">
      <c r="A64796" s="1" t="n">
        <v>64795</v>
      </c>
      <c r="B64796">
        <f>TEXT(64795, "[$-0E0000]yyyy-mm-dd")</f>
        <v/>
      </c>
      <c r="C64796" t="inlineStr">
        <is>
          <t>2077-04-05</t>
        </is>
      </c>
    </row>
    <row r="64797">
      <c r="A64797" s="1" t="n">
        <v>64796</v>
      </c>
      <c r="B64797">
        <f>TEXT(64796, "[$-0E0000]yyyy-mm-dd")</f>
        <v/>
      </c>
      <c r="C64797" t="inlineStr">
        <is>
          <t>2077-04-06</t>
        </is>
      </c>
    </row>
    <row r="64798">
      <c r="A64798" s="1" t="n">
        <v>64797</v>
      </c>
      <c r="B64798">
        <f>TEXT(64797, "[$-0E0000]yyyy-mm-dd")</f>
        <v/>
      </c>
      <c r="C64798" t="inlineStr">
        <is>
          <t>2077-04-07</t>
        </is>
      </c>
    </row>
    <row r="64799">
      <c r="A64799" s="1" t="n">
        <v>64798</v>
      </c>
      <c r="B64799">
        <f>TEXT(64798, "[$-0E0000]yyyy-mm-dd")</f>
        <v/>
      </c>
      <c r="C64799" t="inlineStr">
        <is>
          <t>2077-04-08</t>
        </is>
      </c>
    </row>
    <row r="64800">
      <c r="A64800" s="1" t="n">
        <v>64799</v>
      </c>
      <c r="B64800">
        <f>TEXT(64799, "[$-0E0000]yyyy-mm-dd")</f>
        <v/>
      </c>
      <c r="C64800" t="inlineStr">
        <is>
          <t>2077-04-09</t>
        </is>
      </c>
    </row>
    <row r="64801">
      <c r="A64801" s="1" t="n">
        <v>64800</v>
      </c>
      <c r="B64801">
        <f>TEXT(64800, "[$-0E0000]yyyy-mm-dd")</f>
        <v/>
      </c>
      <c r="C64801" t="inlineStr">
        <is>
          <t>2077-04-10</t>
        </is>
      </c>
    </row>
    <row r="64802">
      <c r="A64802" s="1" t="n">
        <v>64801</v>
      </c>
      <c r="B64802">
        <f>TEXT(64801, "[$-0E0000]yyyy-mm-dd")</f>
        <v/>
      </c>
      <c r="C64802" t="inlineStr">
        <is>
          <t>2077-04-11</t>
        </is>
      </c>
    </row>
    <row r="64803">
      <c r="A64803" s="1" t="n">
        <v>64802</v>
      </c>
      <c r="B64803">
        <f>TEXT(64802, "[$-0E0000]yyyy-mm-dd")</f>
        <v/>
      </c>
      <c r="C64803" t="inlineStr">
        <is>
          <t>2077-04-12</t>
        </is>
      </c>
    </row>
    <row r="64804">
      <c r="A64804" s="1" t="n">
        <v>64803</v>
      </c>
      <c r="B64804">
        <f>TEXT(64803, "[$-0E0000]yyyy-mm-dd")</f>
        <v/>
      </c>
      <c r="C64804" t="inlineStr">
        <is>
          <t>2077-04-13</t>
        </is>
      </c>
    </row>
    <row r="64805">
      <c r="A64805" s="1" t="n">
        <v>64804</v>
      </c>
      <c r="B64805">
        <f>TEXT(64804, "[$-0E0000]yyyy-mm-dd")</f>
        <v/>
      </c>
      <c r="C64805" t="inlineStr">
        <is>
          <t>2077-04-14</t>
        </is>
      </c>
    </row>
    <row r="64806">
      <c r="A64806" s="1" t="n">
        <v>64805</v>
      </c>
      <c r="B64806">
        <f>TEXT(64805, "[$-0E0000]yyyy-mm-dd")</f>
        <v/>
      </c>
      <c r="C64806" t="inlineStr">
        <is>
          <t>2077-04-15</t>
        </is>
      </c>
    </row>
    <row r="64807">
      <c r="A64807" s="1" t="n">
        <v>64806</v>
      </c>
      <c r="B64807">
        <f>TEXT(64806, "[$-0E0000]yyyy-mm-dd")</f>
        <v/>
      </c>
      <c r="C64807" t="inlineStr">
        <is>
          <t>2077-04-16</t>
        </is>
      </c>
    </row>
    <row r="64808">
      <c r="A64808" s="1" t="n">
        <v>64807</v>
      </c>
      <c r="B64808">
        <f>TEXT(64807, "[$-0E0000]yyyy-mm-dd")</f>
        <v/>
      </c>
      <c r="C64808" t="inlineStr">
        <is>
          <t>2077-04-17</t>
        </is>
      </c>
    </row>
    <row r="64809">
      <c r="A64809" s="1" t="n">
        <v>64808</v>
      </c>
      <c r="B64809">
        <f>TEXT(64808, "[$-0E0000]yyyy-mm-dd")</f>
        <v/>
      </c>
      <c r="C64809" t="inlineStr">
        <is>
          <t>2077-04-18</t>
        </is>
      </c>
    </row>
    <row r="64810">
      <c r="A64810" s="1" t="n">
        <v>64809</v>
      </c>
      <c r="B64810">
        <f>TEXT(64809, "[$-0E0000]yyyy-mm-dd")</f>
        <v/>
      </c>
      <c r="C64810" t="inlineStr">
        <is>
          <t>2077-04-19</t>
        </is>
      </c>
    </row>
    <row r="64811">
      <c r="A64811" s="1" t="n">
        <v>64810</v>
      </c>
      <c r="B64811">
        <f>TEXT(64810, "[$-0E0000]yyyy-mm-dd")</f>
        <v/>
      </c>
      <c r="C64811" t="inlineStr">
        <is>
          <t>2077-04-20</t>
        </is>
      </c>
    </row>
    <row r="64812">
      <c r="A64812" s="1" t="n">
        <v>64811</v>
      </c>
      <c r="B64812">
        <f>TEXT(64811, "[$-0E0000]yyyy-mm-dd")</f>
        <v/>
      </c>
      <c r="C64812" t="inlineStr">
        <is>
          <t>2077-04-21</t>
        </is>
      </c>
    </row>
    <row r="64813">
      <c r="A64813" s="1" t="n">
        <v>64812</v>
      </c>
      <c r="B64813">
        <f>TEXT(64812, "[$-0E0000]yyyy-mm-dd")</f>
        <v/>
      </c>
      <c r="C64813" t="inlineStr">
        <is>
          <t>2077-04-22</t>
        </is>
      </c>
    </row>
    <row r="64814">
      <c r="A64814" s="1" t="n">
        <v>64813</v>
      </c>
      <c r="B64814">
        <f>TEXT(64813, "[$-0E0000]yyyy-mm-dd")</f>
        <v/>
      </c>
      <c r="C64814" t="inlineStr">
        <is>
          <t>2077-04-23</t>
        </is>
      </c>
    </row>
    <row r="64815">
      <c r="A64815" s="1" t="n">
        <v>64814</v>
      </c>
      <c r="B64815">
        <f>TEXT(64814, "[$-0E0000]yyyy-mm-dd")</f>
        <v/>
      </c>
      <c r="C64815" t="inlineStr">
        <is>
          <t>2077-04-24</t>
        </is>
      </c>
    </row>
    <row r="64816">
      <c r="A64816" s="1" t="n">
        <v>64815</v>
      </c>
      <c r="B64816">
        <f>TEXT(64815, "[$-0E0000]yyyy-mm-dd")</f>
        <v/>
      </c>
      <c r="C64816" t="inlineStr">
        <is>
          <t>2077-04-25</t>
        </is>
      </c>
    </row>
    <row r="64817">
      <c r="A64817" s="1" t="n">
        <v>64816</v>
      </c>
      <c r="B64817">
        <f>TEXT(64816, "[$-0E0000]yyyy-mm-dd")</f>
        <v/>
      </c>
      <c r="C64817" t="inlineStr">
        <is>
          <t>2077-04-26</t>
        </is>
      </c>
    </row>
    <row r="64818">
      <c r="A64818" s="1" t="n">
        <v>64817</v>
      </c>
      <c r="B64818">
        <f>TEXT(64817, "[$-0E0000]yyyy-mm-dd")</f>
        <v/>
      </c>
      <c r="C64818" t="inlineStr">
        <is>
          <t>2077-04-27</t>
        </is>
      </c>
    </row>
    <row r="64819">
      <c r="A64819" s="1" t="n">
        <v>64818</v>
      </c>
      <c r="B64819">
        <f>TEXT(64818, "[$-0E0000]yyyy-mm-dd")</f>
        <v/>
      </c>
      <c r="C64819" t="inlineStr">
        <is>
          <t>2077-04-28</t>
        </is>
      </c>
    </row>
    <row r="64820">
      <c r="A64820" s="1" t="n">
        <v>64819</v>
      </c>
      <c r="B64820">
        <f>TEXT(64819, "[$-0E0000]yyyy-mm-dd")</f>
        <v/>
      </c>
      <c r="C64820" t="inlineStr">
        <is>
          <t>2077-04-29</t>
        </is>
      </c>
    </row>
    <row r="64821">
      <c r="A64821" s="1" t="n">
        <v>64820</v>
      </c>
      <c r="B64821">
        <f>TEXT(64820, "[$-0E0000]yyyy-mm-dd")</f>
        <v/>
      </c>
      <c r="C64821" t="inlineStr">
        <is>
          <t>2077-05-01</t>
        </is>
      </c>
    </row>
    <row r="64822">
      <c r="A64822" s="1" t="n">
        <v>64821</v>
      </c>
      <c r="B64822">
        <f>TEXT(64821, "[$-0E0000]yyyy-mm-dd")</f>
        <v/>
      </c>
      <c r="C64822" t="inlineStr">
        <is>
          <t>2077-05-02</t>
        </is>
      </c>
    </row>
    <row r="64823">
      <c r="A64823" s="1" t="n">
        <v>64822</v>
      </c>
      <c r="B64823">
        <f>TEXT(64822, "[$-0E0000]yyyy-mm-dd")</f>
        <v/>
      </c>
      <c r="C64823" t="inlineStr">
        <is>
          <t>2077-05-03</t>
        </is>
      </c>
    </row>
    <row r="64824">
      <c r="A64824" s="1" t="n">
        <v>64823</v>
      </c>
      <c r="B64824">
        <f>TEXT(64823, "[$-0E0000]yyyy-mm-dd")</f>
        <v/>
      </c>
      <c r="C64824" t="inlineStr">
        <is>
          <t>2077-05-04</t>
        </is>
      </c>
    </row>
    <row r="64825">
      <c r="A64825" s="1" t="n">
        <v>64824</v>
      </c>
      <c r="B64825">
        <f>TEXT(64824, "[$-0E0000]yyyy-mm-dd")</f>
        <v/>
      </c>
      <c r="C64825" t="inlineStr">
        <is>
          <t>2077-05-05</t>
        </is>
      </c>
    </row>
    <row r="64826">
      <c r="A64826" s="1" t="n">
        <v>64825</v>
      </c>
      <c r="B64826">
        <f>TEXT(64825, "[$-0E0000]yyyy-mm-dd")</f>
        <v/>
      </c>
      <c r="C64826" t="inlineStr">
        <is>
          <t>2077-05-06</t>
        </is>
      </c>
    </row>
    <row r="64827">
      <c r="A64827" s="1" t="n">
        <v>64826</v>
      </c>
      <c r="B64827">
        <f>TEXT(64826, "[$-0E0000]yyyy-mm-dd")</f>
        <v/>
      </c>
      <c r="C64827" t="inlineStr">
        <is>
          <t>2077-05-07</t>
        </is>
      </c>
    </row>
    <row r="64828">
      <c r="A64828" s="1" t="n">
        <v>64827</v>
      </c>
      <c r="B64828">
        <f>TEXT(64827, "[$-0E0000]yyyy-mm-dd")</f>
        <v/>
      </c>
      <c r="C64828" t="inlineStr">
        <is>
          <t>2077-05-08</t>
        </is>
      </c>
    </row>
    <row r="64829">
      <c r="A64829" s="1" t="n">
        <v>64828</v>
      </c>
      <c r="B64829">
        <f>TEXT(64828, "[$-0E0000]yyyy-mm-dd")</f>
        <v/>
      </c>
      <c r="C64829" t="inlineStr">
        <is>
          <t>2077-05-09</t>
        </is>
      </c>
    </row>
    <row r="64830">
      <c r="A64830" s="1" t="n">
        <v>64829</v>
      </c>
      <c r="B64830">
        <f>TEXT(64829, "[$-0E0000]yyyy-mm-dd")</f>
        <v/>
      </c>
      <c r="C64830" t="inlineStr">
        <is>
          <t>2077-05-10</t>
        </is>
      </c>
    </row>
    <row r="64831">
      <c r="A64831" s="1" t="n">
        <v>64830</v>
      </c>
      <c r="B64831">
        <f>TEXT(64830, "[$-0E0000]yyyy-mm-dd")</f>
        <v/>
      </c>
      <c r="C64831" t="inlineStr">
        <is>
          <t>2077-05-11</t>
        </is>
      </c>
    </row>
    <row r="64832">
      <c r="A64832" s="1" t="n">
        <v>64831</v>
      </c>
      <c r="B64832">
        <f>TEXT(64831, "[$-0E0000]yyyy-mm-dd")</f>
        <v/>
      </c>
      <c r="C64832" t="inlineStr">
        <is>
          <t>2077-05-12</t>
        </is>
      </c>
    </row>
    <row r="64833">
      <c r="A64833" s="1" t="n">
        <v>64832</v>
      </c>
      <c r="B64833">
        <f>TEXT(64832, "[$-0E0000]yyyy-mm-dd")</f>
        <v/>
      </c>
      <c r="C64833" t="inlineStr">
        <is>
          <t>2077-05-13</t>
        </is>
      </c>
    </row>
    <row r="64834">
      <c r="A64834" s="1" t="n">
        <v>64833</v>
      </c>
      <c r="B64834">
        <f>TEXT(64833, "[$-0E0000]yyyy-mm-dd")</f>
        <v/>
      </c>
      <c r="C64834" t="inlineStr">
        <is>
          <t>2077-05-14</t>
        </is>
      </c>
    </row>
    <row r="64835">
      <c r="A64835" s="1" t="n">
        <v>64834</v>
      </c>
      <c r="B64835">
        <f>TEXT(64834, "[$-0E0000]yyyy-mm-dd")</f>
        <v/>
      </c>
      <c r="C64835" t="inlineStr">
        <is>
          <t>2077-05-15</t>
        </is>
      </c>
    </row>
    <row r="64836">
      <c r="A64836" s="1" t="n">
        <v>64835</v>
      </c>
      <c r="B64836">
        <f>TEXT(64835, "[$-0E0000]yyyy-mm-dd")</f>
        <v/>
      </c>
      <c r="C64836" t="inlineStr">
        <is>
          <t>2077-05-16</t>
        </is>
      </c>
    </row>
    <row r="64837">
      <c r="A64837" s="1" t="n">
        <v>64836</v>
      </c>
      <c r="B64837">
        <f>TEXT(64836, "[$-0E0000]yyyy-mm-dd")</f>
        <v/>
      </c>
      <c r="C64837" t="inlineStr">
        <is>
          <t>2077-05-17</t>
        </is>
      </c>
    </row>
    <row r="64838">
      <c r="A64838" s="1" t="n">
        <v>64837</v>
      </c>
      <c r="B64838">
        <f>TEXT(64837, "[$-0E0000]yyyy-mm-dd")</f>
        <v/>
      </c>
      <c r="C64838" t="inlineStr">
        <is>
          <t>2077-05-18</t>
        </is>
      </c>
    </row>
    <row r="64839">
      <c r="A64839" s="1" t="n">
        <v>64838</v>
      </c>
      <c r="B64839">
        <f>TEXT(64838, "[$-0E0000]yyyy-mm-dd")</f>
        <v/>
      </c>
      <c r="C64839" t="inlineStr">
        <is>
          <t>2077-05-19</t>
        </is>
      </c>
    </row>
    <row r="64840">
      <c r="A64840" s="1" t="n">
        <v>64839</v>
      </c>
      <c r="B64840">
        <f>TEXT(64839, "[$-0E0000]yyyy-mm-dd")</f>
        <v/>
      </c>
      <c r="C64840" t="inlineStr">
        <is>
          <t>2077-05-20</t>
        </is>
      </c>
    </row>
    <row r="64841">
      <c r="A64841" s="1" t="n">
        <v>64840</v>
      </c>
      <c r="B64841">
        <f>TEXT(64840, "[$-0E0000]yyyy-mm-dd")</f>
        <v/>
      </c>
      <c r="C64841" t="inlineStr">
        <is>
          <t>2077-05-21</t>
        </is>
      </c>
    </row>
    <row r="64842">
      <c r="A64842" s="1" t="n">
        <v>64841</v>
      </c>
      <c r="B64842">
        <f>TEXT(64841, "[$-0E0000]yyyy-mm-dd")</f>
        <v/>
      </c>
      <c r="C64842" t="inlineStr">
        <is>
          <t>2077-05-22</t>
        </is>
      </c>
    </row>
    <row r="64843">
      <c r="A64843" s="1" t="n">
        <v>64842</v>
      </c>
      <c r="B64843">
        <f>TEXT(64842, "[$-0E0000]yyyy-mm-dd")</f>
        <v/>
      </c>
      <c r="C64843" t="inlineStr">
        <is>
          <t>2077-05-23</t>
        </is>
      </c>
    </row>
    <row r="64844">
      <c r="A64844" s="1" t="n">
        <v>64843</v>
      </c>
      <c r="B64844">
        <f>TEXT(64843, "[$-0E0000]yyyy-mm-dd")</f>
        <v/>
      </c>
      <c r="C64844" t="inlineStr">
        <is>
          <t>2077-05-24</t>
        </is>
      </c>
    </row>
    <row r="64845">
      <c r="A64845" s="1" t="n">
        <v>64844</v>
      </c>
      <c r="B64845">
        <f>TEXT(64844, "[$-0E0000]yyyy-mm-dd")</f>
        <v/>
      </c>
      <c r="C64845" t="inlineStr">
        <is>
          <t>2077-05-25</t>
        </is>
      </c>
    </row>
    <row r="64846">
      <c r="A64846" s="1" t="n">
        <v>64845</v>
      </c>
      <c r="B64846">
        <f>TEXT(64845, "[$-0E0000]yyyy-mm-dd")</f>
        <v/>
      </c>
      <c r="C64846" t="inlineStr">
        <is>
          <t>2077-05-26</t>
        </is>
      </c>
    </row>
    <row r="64847">
      <c r="A64847" s="1" t="n">
        <v>64846</v>
      </c>
      <c r="B64847">
        <f>TEXT(64846, "[$-0E0000]yyyy-mm-dd")</f>
        <v/>
      </c>
      <c r="C64847" t="inlineStr">
        <is>
          <t>2077-05-27</t>
        </is>
      </c>
    </row>
    <row r="64848">
      <c r="A64848" s="1" t="n">
        <v>64847</v>
      </c>
      <c r="B64848">
        <f>TEXT(64847, "[$-0E0000]yyyy-mm-dd")</f>
        <v/>
      </c>
      <c r="C64848" t="inlineStr">
        <is>
          <t>2077-05-28</t>
        </is>
      </c>
    </row>
    <row r="64849">
      <c r="A64849" s="1" t="n">
        <v>64848</v>
      </c>
      <c r="B64849">
        <f>TEXT(64848, "[$-0E0000]yyyy-mm-dd")</f>
        <v/>
      </c>
      <c r="C64849" t="inlineStr">
        <is>
          <t>2077-05-29</t>
        </is>
      </c>
    </row>
    <row r="64850">
      <c r="A64850" s="1" t="n">
        <v>64849</v>
      </c>
      <c r="B64850">
        <f>TEXT(64849, "[$-0E0000]yyyy-mm-dd")</f>
        <v/>
      </c>
      <c r="C64850" t="inlineStr">
        <is>
          <t>2077-05-30</t>
        </is>
      </c>
    </row>
    <row r="64851">
      <c r="A64851" s="1" t="n">
        <v>64850</v>
      </c>
      <c r="B64851">
        <f>TEXT(64850, "[$-0E0000]yyyy-mm-dd")</f>
        <v/>
      </c>
      <c r="C64851" t="inlineStr">
        <is>
          <t>2077-06-01</t>
        </is>
      </c>
    </row>
    <row r="64852">
      <c r="A64852" s="1" t="n">
        <v>64851</v>
      </c>
      <c r="B64852">
        <f>TEXT(64851, "[$-0E0000]yyyy-mm-dd")</f>
        <v/>
      </c>
      <c r="C64852" t="inlineStr">
        <is>
          <t>2077-06-02</t>
        </is>
      </c>
    </row>
    <row r="64853">
      <c r="A64853" s="1" t="n">
        <v>64852</v>
      </c>
      <c r="B64853">
        <f>TEXT(64852, "[$-0E0000]yyyy-mm-dd")</f>
        <v/>
      </c>
      <c r="C64853" t="inlineStr">
        <is>
          <t>2077-06-03</t>
        </is>
      </c>
    </row>
    <row r="64854">
      <c r="A64854" s="1" t="n">
        <v>64853</v>
      </c>
      <c r="B64854">
        <f>TEXT(64853, "[$-0E0000]yyyy-mm-dd")</f>
        <v/>
      </c>
      <c r="C64854" t="inlineStr">
        <is>
          <t>2077-06-04</t>
        </is>
      </c>
    </row>
    <row r="64855">
      <c r="A64855" s="1" t="n">
        <v>64854</v>
      </c>
      <c r="B64855">
        <f>TEXT(64854, "[$-0E0000]yyyy-mm-dd")</f>
        <v/>
      </c>
      <c r="C64855" t="inlineStr">
        <is>
          <t>2077-06-05</t>
        </is>
      </c>
    </row>
    <row r="64856">
      <c r="A64856" s="1" t="n">
        <v>64855</v>
      </c>
      <c r="B64856">
        <f>TEXT(64855, "[$-0E0000]yyyy-mm-dd")</f>
        <v/>
      </c>
      <c r="C64856" t="inlineStr">
        <is>
          <t>2077-06-06</t>
        </is>
      </c>
    </row>
    <row r="64857">
      <c r="A64857" s="1" t="n">
        <v>64856</v>
      </c>
      <c r="B64857">
        <f>TEXT(64856, "[$-0E0000]yyyy-mm-dd")</f>
        <v/>
      </c>
      <c r="C64857" t="inlineStr">
        <is>
          <t>2077-06-07</t>
        </is>
      </c>
    </row>
    <row r="64858">
      <c r="A64858" s="1" t="n">
        <v>64857</v>
      </c>
      <c r="B64858">
        <f>TEXT(64857, "[$-0E0000]yyyy-mm-dd")</f>
        <v/>
      </c>
      <c r="C64858" t="inlineStr">
        <is>
          <t>2077-06-08</t>
        </is>
      </c>
    </row>
    <row r="64859">
      <c r="A64859" s="1" t="n">
        <v>64858</v>
      </c>
      <c r="B64859">
        <f>TEXT(64858, "[$-0E0000]yyyy-mm-dd")</f>
        <v/>
      </c>
      <c r="C64859" t="inlineStr">
        <is>
          <t>2077-06-09</t>
        </is>
      </c>
    </row>
    <row r="64860">
      <c r="A64860" s="1" t="n">
        <v>64859</v>
      </c>
      <c r="B64860">
        <f>TEXT(64859, "[$-0E0000]yyyy-mm-dd")</f>
        <v/>
      </c>
      <c r="C64860" t="inlineStr">
        <is>
          <t>2077-06-10</t>
        </is>
      </c>
    </row>
    <row r="64861">
      <c r="A64861" s="1" t="n">
        <v>64860</v>
      </c>
      <c r="B64861">
        <f>TEXT(64860, "[$-0E0000]yyyy-mm-dd")</f>
        <v/>
      </c>
      <c r="C64861" t="inlineStr">
        <is>
          <t>2077-06-11</t>
        </is>
      </c>
    </row>
    <row r="64862">
      <c r="A64862" s="1" t="n">
        <v>64861</v>
      </c>
      <c r="B64862">
        <f>TEXT(64861, "[$-0E0000]yyyy-mm-dd")</f>
        <v/>
      </c>
      <c r="C64862" t="inlineStr">
        <is>
          <t>2077-06-12</t>
        </is>
      </c>
    </row>
    <row r="64863">
      <c r="A64863" s="1" t="n">
        <v>64862</v>
      </c>
      <c r="B64863">
        <f>TEXT(64862, "[$-0E0000]yyyy-mm-dd")</f>
        <v/>
      </c>
      <c r="C64863" t="inlineStr">
        <is>
          <t>2077-06-13</t>
        </is>
      </c>
    </row>
    <row r="64864">
      <c r="A64864" s="1" t="n">
        <v>64863</v>
      </c>
      <c r="B64864">
        <f>TEXT(64863, "[$-0E0000]yyyy-mm-dd")</f>
        <v/>
      </c>
      <c r="C64864" t="inlineStr">
        <is>
          <t>2077-06-14</t>
        </is>
      </c>
    </row>
    <row r="64865">
      <c r="A64865" s="1" t="n">
        <v>64864</v>
      </c>
      <c r="B64865">
        <f>TEXT(64864, "[$-0E0000]yyyy-mm-dd")</f>
        <v/>
      </c>
      <c r="C64865" t="inlineStr">
        <is>
          <t>2077-06-15</t>
        </is>
      </c>
    </row>
    <row r="64866">
      <c r="A64866" s="1" t="n">
        <v>64865</v>
      </c>
      <c r="B64866">
        <f>TEXT(64865, "[$-0E0000]yyyy-mm-dd")</f>
        <v/>
      </c>
      <c r="C64866" t="inlineStr">
        <is>
          <t>2077-06-16</t>
        </is>
      </c>
    </row>
    <row r="64867">
      <c r="A64867" s="1" t="n">
        <v>64866</v>
      </c>
      <c r="B64867">
        <f>TEXT(64866, "[$-0E0000]yyyy-mm-dd")</f>
        <v/>
      </c>
      <c r="C64867" t="inlineStr">
        <is>
          <t>2077-06-17</t>
        </is>
      </c>
    </row>
    <row r="64868">
      <c r="A64868" s="1" t="n">
        <v>64867</v>
      </c>
      <c r="B64868">
        <f>TEXT(64867, "[$-0E0000]yyyy-mm-dd")</f>
        <v/>
      </c>
      <c r="C64868" t="inlineStr">
        <is>
          <t>2077-06-18</t>
        </is>
      </c>
    </row>
    <row r="64869">
      <c r="A64869" s="1" t="n">
        <v>64868</v>
      </c>
      <c r="B64869">
        <f>TEXT(64868, "[$-0E0000]yyyy-mm-dd")</f>
        <v/>
      </c>
      <c r="C64869" t="inlineStr">
        <is>
          <t>2077-06-19</t>
        </is>
      </c>
    </row>
    <row r="64870">
      <c r="A64870" s="1" t="n">
        <v>64869</v>
      </c>
      <c r="B64870">
        <f>TEXT(64869, "[$-0E0000]yyyy-mm-dd")</f>
        <v/>
      </c>
      <c r="C64870" t="inlineStr">
        <is>
          <t>2077-06-20</t>
        </is>
      </c>
    </row>
    <row r="64871">
      <c r="A64871" s="1" t="n">
        <v>64870</v>
      </c>
      <c r="B64871">
        <f>TEXT(64870, "[$-0E0000]yyyy-mm-dd")</f>
        <v/>
      </c>
      <c r="C64871" t="inlineStr">
        <is>
          <t>2077-06-21</t>
        </is>
      </c>
    </row>
    <row r="64872">
      <c r="A64872" s="1" t="n">
        <v>64871</v>
      </c>
      <c r="B64872">
        <f>TEXT(64871, "[$-0E0000]yyyy-mm-dd")</f>
        <v/>
      </c>
      <c r="C64872" t="inlineStr">
        <is>
          <t>2077-06-22</t>
        </is>
      </c>
    </row>
    <row r="64873">
      <c r="A64873" s="1" t="n">
        <v>64872</v>
      </c>
      <c r="B64873">
        <f>TEXT(64872, "[$-0E0000]yyyy-mm-dd")</f>
        <v/>
      </c>
      <c r="C64873" t="inlineStr">
        <is>
          <t>2077-06-23</t>
        </is>
      </c>
    </row>
    <row r="64874">
      <c r="A64874" s="1" t="n">
        <v>64873</v>
      </c>
      <c r="B64874">
        <f>TEXT(64873, "[$-0E0000]yyyy-mm-dd")</f>
        <v/>
      </c>
      <c r="C64874" t="inlineStr">
        <is>
          <t>2077-06-24</t>
        </is>
      </c>
    </row>
    <row r="64875">
      <c r="A64875" s="1" t="n">
        <v>64874</v>
      </c>
      <c r="B64875">
        <f>TEXT(64874, "[$-0E0000]yyyy-mm-dd")</f>
        <v/>
      </c>
      <c r="C64875" t="inlineStr">
        <is>
          <t>2077-06-25</t>
        </is>
      </c>
    </row>
    <row r="64876">
      <c r="A64876" s="1" t="n">
        <v>64875</v>
      </c>
      <c r="B64876">
        <f>TEXT(64875, "[$-0E0000]yyyy-mm-dd")</f>
        <v/>
      </c>
      <c r="C64876" t="inlineStr">
        <is>
          <t>2077-06-26</t>
        </is>
      </c>
    </row>
    <row r="64877">
      <c r="A64877" s="1" t="n">
        <v>64876</v>
      </c>
      <c r="B64877">
        <f>TEXT(64876, "[$-0E0000]yyyy-mm-dd")</f>
        <v/>
      </c>
      <c r="C64877" t="inlineStr">
        <is>
          <t>2077-06-27</t>
        </is>
      </c>
    </row>
    <row r="64878">
      <c r="A64878" s="1" t="n">
        <v>64877</v>
      </c>
      <c r="B64878">
        <f>TEXT(64877, "[$-0E0000]yyyy-mm-dd")</f>
        <v/>
      </c>
      <c r="C64878" t="inlineStr">
        <is>
          <t>2077-06-28</t>
        </is>
      </c>
    </row>
    <row r="64879">
      <c r="A64879" s="1" t="n">
        <v>64878</v>
      </c>
      <c r="B64879">
        <f>TEXT(64878, "[$-0E0000]yyyy-mm-dd")</f>
        <v/>
      </c>
      <c r="C64879" t="inlineStr">
        <is>
          <t>2077-06-29</t>
        </is>
      </c>
    </row>
    <row r="64880">
      <c r="A64880" s="1" t="n">
        <v>64879</v>
      </c>
      <c r="B64880">
        <f>TEXT(64879, "[$-0E0000]yyyy-mm-dd")</f>
        <v/>
      </c>
      <c r="C64880" t="inlineStr">
        <is>
          <t>2077-07-01</t>
        </is>
      </c>
    </row>
    <row r="64881">
      <c r="A64881" s="1" t="n">
        <v>64880</v>
      </c>
      <c r="B64881">
        <f>TEXT(64880, "[$-0E0000]yyyy-mm-dd")</f>
        <v/>
      </c>
      <c r="C64881" t="inlineStr">
        <is>
          <t>2077-07-02</t>
        </is>
      </c>
    </row>
    <row r="64882">
      <c r="A64882" s="1" t="n">
        <v>64881</v>
      </c>
      <c r="B64882">
        <f>TEXT(64881, "[$-0E0000]yyyy-mm-dd")</f>
        <v/>
      </c>
      <c r="C64882" t="inlineStr">
        <is>
          <t>2077-07-03</t>
        </is>
      </c>
    </row>
    <row r="64883">
      <c r="A64883" s="1" t="n">
        <v>64882</v>
      </c>
      <c r="B64883">
        <f>TEXT(64882, "[$-0E0000]yyyy-mm-dd")</f>
        <v/>
      </c>
      <c r="C64883" t="inlineStr">
        <is>
          <t>2077-07-04</t>
        </is>
      </c>
    </row>
    <row r="64884">
      <c r="A64884" s="1" t="n">
        <v>64883</v>
      </c>
      <c r="B64884">
        <f>TEXT(64883, "[$-0E0000]yyyy-mm-dd")</f>
        <v/>
      </c>
      <c r="C64884" t="inlineStr">
        <is>
          <t>2077-07-05</t>
        </is>
      </c>
    </row>
    <row r="64885">
      <c r="A64885" s="1" t="n">
        <v>64884</v>
      </c>
      <c r="B64885">
        <f>TEXT(64884, "[$-0E0000]yyyy-mm-dd")</f>
        <v/>
      </c>
      <c r="C64885" t="inlineStr">
        <is>
          <t>2077-07-06</t>
        </is>
      </c>
    </row>
    <row r="64886">
      <c r="A64886" s="1" t="n">
        <v>64885</v>
      </c>
      <c r="B64886">
        <f>TEXT(64885, "[$-0E0000]yyyy-mm-dd")</f>
        <v/>
      </c>
      <c r="C64886" t="inlineStr">
        <is>
          <t>2077-07-07</t>
        </is>
      </c>
    </row>
    <row r="64887">
      <c r="A64887" s="1" t="n">
        <v>64886</v>
      </c>
      <c r="B64887">
        <f>TEXT(64886, "[$-0E0000]yyyy-mm-dd")</f>
        <v/>
      </c>
      <c r="C64887" t="inlineStr">
        <is>
          <t>2077-07-08</t>
        </is>
      </c>
    </row>
    <row r="64888">
      <c r="A64888" s="1" t="n">
        <v>64887</v>
      </c>
      <c r="B64888">
        <f>TEXT(64887, "[$-0E0000]yyyy-mm-dd")</f>
        <v/>
      </c>
      <c r="C64888" t="inlineStr">
        <is>
          <t>2077-07-09</t>
        </is>
      </c>
    </row>
    <row r="64889">
      <c r="A64889" s="1" t="n">
        <v>64888</v>
      </c>
      <c r="B64889">
        <f>TEXT(64888, "[$-0E0000]yyyy-mm-dd")</f>
        <v/>
      </c>
      <c r="C64889" t="inlineStr">
        <is>
          <t>2077-07-10</t>
        </is>
      </c>
    </row>
    <row r="64890">
      <c r="A64890" s="1" t="n">
        <v>64889</v>
      </c>
      <c r="B64890">
        <f>TEXT(64889, "[$-0E0000]yyyy-mm-dd")</f>
        <v/>
      </c>
      <c r="C64890" t="inlineStr">
        <is>
          <t>2077-07-11</t>
        </is>
      </c>
    </row>
    <row r="64891">
      <c r="A64891" s="1" t="n">
        <v>64890</v>
      </c>
      <c r="B64891">
        <f>TEXT(64890, "[$-0E0000]yyyy-mm-dd")</f>
        <v/>
      </c>
      <c r="C64891" t="inlineStr">
        <is>
          <t>2077-07-12</t>
        </is>
      </c>
    </row>
    <row r="64892">
      <c r="A64892" s="1" t="n">
        <v>64891</v>
      </c>
      <c r="B64892">
        <f>TEXT(64891, "[$-0E0000]yyyy-mm-dd")</f>
        <v/>
      </c>
      <c r="C64892" t="inlineStr">
        <is>
          <t>2077-07-13</t>
        </is>
      </c>
    </row>
    <row r="64893">
      <c r="A64893" s="1" t="n">
        <v>64892</v>
      </c>
      <c r="B64893">
        <f>TEXT(64892, "[$-0E0000]yyyy-mm-dd")</f>
        <v/>
      </c>
      <c r="C64893" t="inlineStr">
        <is>
          <t>2077-07-14</t>
        </is>
      </c>
    </row>
    <row r="64894">
      <c r="A64894" s="1" t="n">
        <v>64893</v>
      </c>
      <c r="B64894">
        <f>TEXT(64893, "[$-0E0000]yyyy-mm-dd")</f>
        <v/>
      </c>
      <c r="C64894" t="inlineStr">
        <is>
          <t>2077-07-15</t>
        </is>
      </c>
    </row>
    <row r="64895">
      <c r="A64895" s="1" t="n">
        <v>64894</v>
      </c>
      <c r="B64895">
        <f>TEXT(64894, "[$-0E0000]yyyy-mm-dd")</f>
        <v/>
      </c>
      <c r="C64895" t="inlineStr">
        <is>
          <t>2077-07-16</t>
        </is>
      </c>
    </row>
    <row r="64896">
      <c r="A64896" s="1" t="n">
        <v>64895</v>
      </c>
      <c r="B64896">
        <f>TEXT(64895, "[$-0E0000]yyyy-mm-dd")</f>
        <v/>
      </c>
      <c r="C64896" t="inlineStr">
        <is>
          <t>2077-07-17</t>
        </is>
      </c>
    </row>
    <row r="64897">
      <c r="A64897" s="1" t="n">
        <v>64896</v>
      </c>
      <c r="B64897">
        <f>TEXT(64896, "[$-0E0000]yyyy-mm-dd")</f>
        <v/>
      </c>
      <c r="C64897" t="inlineStr">
        <is>
          <t>2077-07-18</t>
        </is>
      </c>
    </row>
    <row r="64898">
      <c r="A64898" s="1" t="n">
        <v>64897</v>
      </c>
      <c r="B64898">
        <f>TEXT(64897, "[$-0E0000]yyyy-mm-dd")</f>
        <v/>
      </c>
      <c r="C64898" t="inlineStr">
        <is>
          <t>2077-07-19</t>
        </is>
      </c>
    </row>
    <row r="64899">
      <c r="A64899" s="1" t="n">
        <v>64898</v>
      </c>
      <c r="B64899">
        <f>TEXT(64898, "[$-0E0000]yyyy-mm-dd")</f>
        <v/>
      </c>
      <c r="C64899" t="inlineStr">
        <is>
          <t>2077-07-20</t>
        </is>
      </c>
    </row>
    <row r="64900">
      <c r="A64900" s="1" t="n">
        <v>64899</v>
      </c>
      <c r="B64900">
        <f>TEXT(64899, "[$-0E0000]yyyy-mm-dd")</f>
        <v/>
      </c>
      <c r="C64900" t="inlineStr">
        <is>
          <t>2077-07-21</t>
        </is>
      </c>
    </row>
    <row r="64901">
      <c r="A64901" s="1" t="n">
        <v>64900</v>
      </c>
      <c r="B64901">
        <f>TEXT(64900, "[$-0E0000]yyyy-mm-dd")</f>
        <v/>
      </c>
      <c r="C64901" t="inlineStr">
        <is>
          <t>2077-07-22</t>
        </is>
      </c>
    </row>
    <row r="64902">
      <c r="A64902" s="1" t="n">
        <v>64901</v>
      </c>
      <c r="B64902">
        <f>TEXT(64901, "[$-0E0000]yyyy-mm-dd")</f>
        <v/>
      </c>
      <c r="C64902" t="inlineStr">
        <is>
          <t>2077-07-23</t>
        </is>
      </c>
    </row>
    <row r="64903">
      <c r="A64903" s="1" t="n">
        <v>64902</v>
      </c>
      <c r="B64903">
        <f>TEXT(64902, "[$-0E0000]yyyy-mm-dd")</f>
        <v/>
      </c>
      <c r="C64903" t="inlineStr">
        <is>
          <t>2077-07-24</t>
        </is>
      </c>
    </row>
    <row r="64904">
      <c r="A64904" s="1" t="n">
        <v>64903</v>
      </c>
      <c r="B64904">
        <f>TEXT(64903, "[$-0E0000]yyyy-mm-dd")</f>
        <v/>
      </c>
      <c r="C64904" t="inlineStr">
        <is>
          <t>2077-07-25</t>
        </is>
      </c>
    </row>
    <row r="64905">
      <c r="A64905" s="1" t="n">
        <v>64904</v>
      </c>
      <c r="B64905">
        <f>TEXT(64904, "[$-0E0000]yyyy-mm-dd")</f>
        <v/>
      </c>
      <c r="C64905" t="inlineStr">
        <is>
          <t>2077-07-26</t>
        </is>
      </c>
    </row>
    <row r="64906">
      <c r="A64906" s="1" t="n">
        <v>64905</v>
      </c>
      <c r="B64906">
        <f>TEXT(64905, "[$-0E0000]yyyy-mm-dd")</f>
        <v/>
      </c>
      <c r="C64906" t="inlineStr">
        <is>
          <t>2077-07-27</t>
        </is>
      </c>
    </row>
    <row r="64907">
      <c r="A64907" s="1" t="n">
        <v>64906</v>
      </c>
      <c r="B64907">
        <f>TEXT(64906, "[$-0E0000]yyyy-mm-dd")</f>
        <v/>
      </c>
      <c r="C64907" t="inlineStr">
        <is>
          <t>2077-07-28</t>
        </is>
      </c>
    </row>
    <row r="64908">
      <c r="A64908" s="1" t="n">
        <v>64907</v>
      </c>
      <c r="B64908">
        <f>TEXT(64907, "[$-0E0000]yyyy-mm-dd")</f>
        <v/>
      </c>
      <c r="C64908" t="inlineStr">
        <is>
          <t>2077-07-29</t>
        </is>
      </c>
    </row>
    <row r="64909">
      <c r="A64909" s="1" t="n">
        <v>64908</v>
      </c>
      <c r="B64909">
        <f>TEXT(64908, "[$-0E0000]yyyy-mm-dd")</f>
        <v/>
      </c>
      <c r="C64909" t="inlineStr">
        <is>
          <t>2077-07-30</t>
        </is>
      </c>
    </row>
    <row r="64910">
      <c r="A64910" s="1" t="n">
        <v>64909</v>
      </c>
      <c r="B64910">
        <f>TEXT(64909, "[$-0E0000]yyyy-mm-dd")</f>
        <v/>
      </c>
      <c r="C64910" t="inlineStr">
        <is>
          <t>2077-08-01</t>
        </is>
      </c>
    </row>
    <row r="64911">
      <c r="A64911" s="1" t="n">
        <v>64910</v>
      </c>
      <c r="B64911">
        <f>TEXT(64910, "[$-0E0000]yyyy-mm-dd")</f>
        <v/>
      </c>
      <c r="C64911" t="inlineStr">
        <is>
          <t>2077-08-02</t>
        </is>
      </c>
    </row>
    <row r="64912">
      <c r="A64912" s="1" t="n">
        <v>64911</v>
      </c>
      <c r="B64912">
        <f>TEXT(64911, "[$-0E0000]yyyy-mm-dd")</f>
        <v/>
      </c>
      <c r="C64912" t="inlineStr">
        <is>
          <t>2077-08-03</t>
        </is>
      </c>
    </row>
    <row r="64913">
      <c r="A64913" s="1" t="n">
        <v>64912</v>
      </c>
      <c r="B64913">
        <f>TEXT(64912, "[$-0E0000]yyyy-mm-dd")</f>
        <v/>
      </c>
      <c r="C64913" t="inlineStr">
        <is>
          <t>2077-08-04</t>
        </is>
      </c>
    </row>
    <row r="64914">
      <c r="A64914" s="1" t="n">
        <v>64913</v>
      </c>
      <c r="B64914">
        <f>TEXT(64913, "[$-0E0000]yyyy-mm-dd")</f>
        <v/>
      </c>
      <c r="C64914" t="inlineStr">
        <is>
          <t>2077-08-05</t>
        </is>
      </c>
    </row>
    <row r="64915">
      <c r="A64915" s="1" t="n">
        <v>64914</v>
      </c>
      <c r="B64915">
        <f>TEXT(64914, "[$-0E0000]yyyy-mm-dd")</f>
        <v/>
      </c>
      <c r="C64915" t="inlineStr">
        <is>
          <t>2077-08-06</t>
        </is>
      </c>
    </row>
    <row r="64916">
      <c r="A64916" s="1" t="n">
        <v>64915</v>
      </c>
      <c r="B64916">
        <f>TEXT(64915, "[$-0E0000]yyyy-mm-dd")</f>
        <v/>
      </c>
      <c r="C64916" t="inlineStr">
        <is>
          <t>2077-08-07</t>
        </is>
      </c>
    </row>
    <row r="64917">
      <c r="A64917" s="1" t="n">
        <v>64916</v>
      </c>
      <c r="B64917">
        <f>TEXT(64916, "[$-0E0000]yyyy-mm-dd")</f>
        <v/>
      </c>
      <c r="C64917" t="inlineStr">
        <is>
          <t>2077-08-08</t>
        </is>
      </c>
    </row>
    <row r="64918">
      <c r="A64918" s="1" t="n">
        <v>64917</v>
      </c>
      <c r="B64918">
        <f>TEXT(64917, "[$-0E0000]yyyy-mm-dd")</f>
        <v/>
      </c>
      <c r="C64918" t="inlineStr">
        <is>
          <t>2077-08-09</t>
        </is>
      </c>
    </row>
    <row r="64919">
      <c r="A64919" s="1" t="n">
        <v>64918</v>
      </c>
      <c r="B64919">
        <f>TEXT(64918, "[$-0E0000]yyyy-mm-dd")</f>
        <v/>
      </c>
      <c r="C64919" t="inlineStr">
        <is>
          <t>2077-08-10</t>
        </is>
      </c>
    </row>
    <row r="64920">
      <c r="A64920" s="1" t="n">
        <v>64919</v>
      </c>
      <c r="B64920">
        <f>TEXT(64919, "[$-0E0000]yyyy-mm-dd")</f>
        <v/>
      </c>
      <c r="C64920" t="inlineStr">
        <is>
          <t>2077-08-11</t>
        </is>
      </c>
    </row>
    <row r="64921">
      <c r="A64921" s="1" t="n">
        <v>64920</v>
      </c>
      <c r="B64921">
        <f>TEXT(64920, "[$-0E0000]yyyy-mm-dd")</f>
        <v/>
      </c>
      <c r="C64921" t="inlineStr">
        <is>
          <t>2077-08-12</t>
        </is>
      </c>
    </row>
    <row r="64922">
      <c r="A64922" s="1" t="n">
        <v>64921</v>
      </c>
      <c r="B64922">
        <f>TEXT(64921, "[$-0E0000]yyyy-mm-dd")</f>
        <v/>
      </c>
      <c r="C64922" t="inlineStr">
        <is>
          <t>2077-08-13</t>
        </is>
      </c>
    </row>
    <row r="64923">
      <c r="A64923" s="1" t="n">
        <v>64922</v>
      </c>
      <c r="B64923">
        <f>TEXT(64922, "[$-0E0000]yyyy-mm-dd")</f>
        <v/>
      </c>
      <c r="C64923" t="inlineStr">
        <is>
          <t>2077-08-14</t>
        </is>
      </c>
    </row>
    <row r="64924">
      <c r="A64924" s="1" t="n">
        <v>64923</v>
      </c>
      <c r="B64924">
        <f>TEXT(64923, "[$-0E0000]yyyy-mm-dd")</f>
        <v/>
      </c>
      <c r="C64924" t="inlineStr">
        <is>
          <t>2077-08-15</t>
        </is>
      </c>
    </row>
    <row r="64925">
      <c r="A64925" s="1" t="n">
        <v>64924</v>
      </c>
      <c r="B64925">
        <f>TEXT(64924, "[$-0E0000]yyyy-mm-dd")</f>
        <v/>
      </c>
      <c r="C64925" t="inlineStr">
        <is>
          <t>2077-08-16</t>
        </is>
      </c>
    </row>
    <row r="64926">
      <c r="A64926" s="1" t="n">
        <v>64925</v>
      </c>
      <c r="B64926">
        <f>TEXT(64925, "[$-0E0000]yyyy-mm-dd")</f>
        <v/>
      </c>
      <c r="C64926" t="inlineStr">
        <is>
          <t>2077-08-17</t>
        </is>
      </c>
    </row>
    <row r="64927">
      <c r="A64927" s="1" t="n">
        <v>64926</v>
      </c>
      <c r="B64927">
        <f>TEXT(64926, "[$-0E0000]yyyy-mm-dd")</f>
        <v/>
      </c>
      <c r="C64927" t="inlineStr">
        <is>
          <t>2077-08-18</t>
        </is>
      </c>
    </row>
    <row r="64928">
      <c r="A64928" s="1" t="n">
        <v>64927</v>
      </c>
      <c r="B64928">
        <f>TEXT(64927, "[$-0E0000]yyyy-mm-dd")</f>
        <v/>
      </c>
      <c r="C64928" t="inlineStr">
        <is>
          <t>2077-08-19</t>
        </is>
      </c>
    </row>
    <row r="64929">
      <c r="A64929" s="1" t="n">
        <v>64928</v>
      </c>
      <c r="B64929">
        <f>TEXT(64928, "[$-0E0000]yyyy-mm-dd")</f>
        <v/>
      </c>
      <c r="C64929" t="inlineStr">
        <is>
          <t>2077-08-20</t>
        </is>
      </c>
    </row>
    <row r="64930">
      <c r="A64930" s="1" t="n">
        <v>64929</v>
      </c>
      <c r="B64930">
        <f>TEXT(64929, "[$-0E0000]yyyy-mm-dd")</f>
        <v/>
      </c>
      <c r="C64930" t="inlineStr">
        <is>
          <t>2077-08-21</t>
        </is>
      </c>
    </row>
    <row r="64931">
      <c r="A64931" s="1" t="n">
        <v>64930</v>
      </c>
      <c r="B64931">
        <f>TEXT(64930, "[$-0E0000]yyyy-mm-dd")</f>
        <v/>
      </c>
      <c r="C64931" t="inlineStr">
        <is>
          <t>2077-08-22</t>
        </is>
      </c>
    </row>
    <row r="64932">
      <c r="A64932" s="1" t="n">
        <v>64931</v>
      </c>
      <c r="B64932">
        <f>TEXT(64931, "[$-0E0000]yyyy-mm-dd")</f>
        <v/>
      </c>
      <c r="C64932" t="inlineStr">
        <is>
          <t>2077-08-23</t>
        </is>
      </c>
    </row>
    <row r="64933">
      <c r="A64933" s="1" t="n">
        <v>64932</v>
      </c>
      <c r="B64933">
        <f>TEXT(64932, "[$-0E0000]yyyy-mm-dd")</f>
        <v/>
      </c>
      <c r="C64933" t="inlineStr">
        <is>
          <t>2077-08-24</t>
        </is>
      </c>
    </row>
    <row r="64934">
      <c r="A64934" s="1" t="n">
        <v>64933</v>
      </c>
      <c r="B64934">
        <f>TEXT(64933, "[$-0E0000]yyyy-mm-dd")</f>
        <v/>
      </c>
      <c r="C64934" t="inlineStr">
        <is>
          <t>2077-08-25</t>
        </is>
      </c>
    </row>
    <row r="64935">
      <c r="A64935" s="1" t="n">
        <v>64934</v>
      </c>
      <c r="B64935">
        <f>TEXT(64934, "[$-0E0000]yyyy-mm-dd")</f>
        <v/>
      </c>
      <c r="C64935" t="inlineStr">
        <is>
          <t>2077-08-26</t>
        </is>
      </c>
    </row>
    <row r="64936">
      <c r="A64936" s="1" t="n">
        <v>64935</v>
      </c>
      <c r="B64936">
        <f>TEXT(64935, "[$-0E0000]yyyy-mm-dd")</f>
        <v/>
      </c>
      <c r="C64936" t="inlineStr">
        <is>
          <t>2077-08-27</t>
        </is>
      </c>
    </row>
    <row r="64937">
      <c r="A64937" s="1" t="n">
        <v>64936</v>
      </c>
      <c r="B64937">
        <f>TEXT(64936, "[$-0E0000]yyyy-mm-dd")</f>
        <v/>
      </c>
      <c r="C64937" t="inlineStr">
        <is>
          <t>2077-08-28</t>
        </is>
      </c>
    </row>
    <row r="64938">
      <c r="A64938" s="1" t="n">
        <v>64937</v>
      </c>
      <c r="B64938">
        <f>TEXT(64937, "[$-0E0000]yyyy-mm-dd")</f>
        <v/>
      </c>
      <c r="C64938" t="inlineStr">
        <is>
          <t>2077-08-29</t>
        </is>
      </c>
    </row>
    <row r="64939">
      <c r="A64939" s="1" t="n">
        <v>64938</v>
      </c>
      <c r="B64939">
        <f>TEXT(64938, "[$-0E0000]yyyy-mm-dd")</f>
        <v/>
      </c>
      <c r="C64939" t="inlineStr">
        <is>
          <t>2077-08-30</t>
        </is>
      </c>
    </row>
    <row r="64940">
      <c r="A64940" s="1" t="n">
        <v>64939</v>
      </c>
      <c r="B64940">
        <f>TEXT(64939, "[$-0E0000]yyyy-mm-dd")</f>
        <v/>
      </c>
      <c r="C64940" t="inlineStr">
        <is>
          <t>2077-09-01</t>
        </is>
      </c>
    </row>
    <row r="64941">
      <c r="A64941" s="1" t="n">
        <v>64940</v>
      </c>
      <c r="B64941">
        <f>TEXT(64940, "[$-0E0000]yyyy-mm-dd")</f>
        <v/>
      </c>
      <c r="C64941" t="inlineStr">
        <is>
          <t>2077-09-02</t>
        </is>
      </c>
    </row>
    <row r="64942">
      <c r="A64942" s="1" t="n">
        <v>64941</v>
      </c>
      <c r="B64942">
        <f>TEXT(64941, "[$-0E0000]yyyy-mm-dd")</f>
        <v/>
      </c>
      <c r="C64942" t="inlineStr">
        <is>
          <t>2077-09-03</t>
        </is>
      </c>
    </row>
    <row r="64943">
      <c r="A64943" s="1" t="n">
        <v>64942</v>
      </c>
      <c r="B64943">
        <f>TEXT(64942, "[$-0E0000]yyyy-mm-dd")</f>
        <v/>
      </c>
      <c r="C64943" t="inlineStr">
        <is>
          <t>2077-09-04</t>
        </is>
      </c>
    </row>
    <row r="64944">
      <c r="A64944" s="1" t="n">
        <v>64943</v>
      </c>
      <c r="B64944">
        <f>TEXT(64943, "[$-0E0000]yyyy-mm-dd")</f>
        <v/>
      </c>
      <c r="C64944" t="inlineStr">
        <is>
          <t>2077-09-05</t>
        </is>
      </c>
    </row>
    <row r="64945">
      <c r="A64945" s="1" t="n">
        <v>64944</v>
      </c>
      <c r="B64945">
        <f>TEXT(64944, "[$-0E0000]yyyy-mm-dd")</f>
        <v/>
      </c>
      <c r="C64945" t="inlineStr">
        <is>
          <t>2077-09-06</t>
        </is>
      </c>
    </row>
    <row r="64946">
      <c r="A64946" s="1" t="n">
        <v>64945</v>
      </c>
      <c r="B64946">
        <f>TEXT(64945, "[$-0E0000]yyyy-mm-dd")</f>
        <v/>
      </c>
      <c r="C64946" t="inlineStr">
        <is>
          <t>2077-09-07</t>
        </is>
      </c>
    </row>
    <row r="64947">
      <c r="A64947" s="1" t="n">
        <v>64946</v>
      </c>
      <c r="B64947">
        <f>TEXT(64946, "[$-0E0000]yyyy-mm-dd")</f>
        <v/>
      </c>
      <c r="C64947" t="inlineStr">
        <is>
          <t>2077-09-08</t>
        </is>
      </c>
    </row>
    <row r="64948">
      <c r="A64948" s="1" t="n">
        <v>64947</v>
      </c>
      <c r="B64948">
        <f>TEXT(64947, "[$-0E0000]yyyy-mm-dd")</f>
        <v/>
      </c>
      <c r="C64948" t="inlineStr">
        <is>
          <t>2077-09-09</t>
        </is>
      </c>
    </row>
    <row r="64949">
      <c r="A64949" s="1" t="n">
        <v>64948</v>
      </c>
      <c r="B64949">
        <f>TEXT(64948, "[$-0E0000]yyyy-mm-dd")</f>
        <v/>
      </c>
      <c r="C64949" t="inlineStr">
        <is>
          <t>2077-09-10</t>
        </is>
      </c>
    </row>
    <row r="64950">
      <c r="A64950" s="1" t="n">
        <v>64949</v>
      </c>
      <c r="B64950">
        <f>TEXT(64949, "[$-0E0000]yyyy-mm-dd")</f>
        <v/>
      </c>
      <c r="C64950" t="inlineStr">
        <is>
          <t>2077-09-11</t>
        </is>
      </c>
    </row>
    <row r="64951">
      <c r="A64951" s="1" t="n">
        <v>64950</v>
      </c>
      <c r="B64951">
        <f>TEXT(64950, "[$-0E0000]yyyy-mm-dd")</f>
        <v/>
      </c>
      <c r="C64951" t="inlineStr">
        <is>
          <t>2077-09-12</t>
        </is>
      </c>
    </row>
    <row r="64952">
      <c r="A64952" s="1" t="n">
        <v>64951</v>
      </c>
      <c r="B64952">
        <f>TEXT(64951, "[$-0E0000]yyyy-mm-dd")</f>
        <v/>
      </c>
      <c r="C64952" t="inlineStr">
        <is>
          <t>2077-09-13</t>
        </is>
      </c>
    </row>
    <row r="64953">
      <c r="A64953" s="1" t="n">
        <v>64952</v>
      </c>
      <c r="B64953">
        <f>TEXT(64952, "[$-0E0000]yyyy-mm-dd")</f>
        <v/>
      </c>
      <c r="C64953" t="inlineStr">
        <is>
          <t>2077-09-14</t>
        </is>
      </c>
    </row>
    <row r="64954">
      <c r="A64954" s="1" t="n">
        <v>64953</v>
      </c>
      <c r="B64954">
        <f>TEXT(64953, "[$-0E0000]yyyy-mm-dd")</f>
        <v/>
      </c>
      <c r="C64954" t="inlineStr">
        <is>
          <t>2077-09-15</t>
        </is>
      </c>
    </row>
    <row r="64955">
      <c r="A64955" s="1" t="n">
        <v>64954</v>
      </c>
      <c r="B64955">
        <f>TEXT(64954, "[$-0E0000]yyyy-mm-dd")</f>
        <v/>
      </c>
      <c r="C64955" t="inlineStr">
        <is>
          <t>2077-09-16</t>
        </is>
      </c>
    </row>
    <row r="64956">
      <c r="A64956" s="1" t="n">
        <v>64955</v>
      </c>
      <c r="B64956">
        <f>TEXT(64955, "[$-0E0000]yyyy-mm-dd")</f>
        <v/>
      </c>
      <c r="C64956" t="inlineStr">
        <is>
          <t>2077-09-17</t>
        </is>
      </c>
    </row>
    <row r="64957">
      <c r="A64957" s="1" t="n">
        <v>64956</v>
      </c>
      <c r="B64957">
        <f>TEXT(64956, "[$-0E0000]yyyy-mm-dd")</f>
        <v/>
      </c>
      <c r="C64957" t="inlineStr">
        <is>
          <t>2077-09-18</t>
        </is>
      </c>
    </row>
    <row r="64958">
      <c r="A64958" s="1" t="n">
        <v>64957</v>
      </c>
      <c r="B64958">
        <f>TEXT(64957, "[$-0E0000]yyyy-mm-dd")</f>
        <v/>
      </c>
      <c r="C64958" t="inlineStr">
        <is>
          <t>2077-09-19</t>
        </is>
      </c>
    </row>
    <row r="64959">
      <c r="A64959" s="1" t="n">
        <v>64958</v>
      </c>
      <c r="B64959">
        <f>TEXT(64958, "[$-0E0000]yyyy-mm-dd")</f>
        <v/>
      </c>
      <c r="C64959" t="inlineStr">
        <is>
          <t>2077-09-20</t>
        </is>
      </c>
    </row>
    <row r="64960">
      <c r="A64960" s="1" t="n">
        <v>64959</v>
      </c>
      <c r="B64960">
        <f>TEXT(64959, "[$-0E0000]yyyy-mm-dd")</f>
        <v/>
      </c>
      <c r="C64960" t="inlineStr">
        <is>
          <t>2077-09-21</t>
        </is>
      </c>
    </row>
    <row r="64961">
      <c r="A64961" s="1" t="n">
        <v>64960</v>
      </c>
      <c r="B64961">
        <f>TEXT(64960, "[$-0E0000]yyyy-mm-dd")</f>
        <v/>
      </c>
      <c r="C64961" t="inlineStr">
        <is>
          <t>2077-09-22</t>
        </is>
      </c>
    </row>
    <row r="64962">
      <c r="A64962" s="1" t="n">
        <v>64961</v>
      </c>
      <c r="B64962">
        <f>TEXT(64961, "[$-0E0000]yyyy-mm-dd")</f>
        <v/>
      </c>
      <c r="C64962" t="inlineStr">
        <is>
          <t>2077-09-23</t>
        </is>
      </c>
    </row>
    <row r="64963">
      <c r="A64963" s="1" t="n">
        <v>64962</v>
      </c>
      <c r="B64963">
        <f>TEXT(64962, "[$-0E0000]yyyy-mm-dd")</f>
        <v/>
      </c>
      <c r="C64963" t="inlineStr">
        <is>
          <t>2077-09-24</t>
        </is>
      </c>
    </row>
    <row r="64964">
      <c r="A64964" s="1" t="n">
        <v>64963</v>
      </c>
      <c r="B64964">
        <f>TEXT(64963, "[$-0E0000]yyyy-mm-dd")</f>
        <v/>
      </c>
      <c r="C64964" t="inlineStr">
        <is>
          <t>2077-09-25</t>
        </is>
      </c>
    </row>
    <row r="64965">
      <c r="A64965" s="1" t="n">
        <v>64964</v>
      </c>
      <c r="B64965">
        <f>TEXT(64964, "[$-0E0000]yyyy-mm-dd")</f>
        <v/>
      </c>
      <c r="C64965" t="inlineStr">
        <is>
          <t>2077-09-26</t>
        </is>
      </c>
    </row>
    <row r="64966">
      <c r="A64966" s="1" t="n">
        <v>64965</v>
      </c>
      <c r="B64966">
        <f>TEXT(64965, "[$-0E0000]yyyy-mm-dd")</f>
        <v/>
      </c>
      <c r="C64966" t="inlineStr">
        <is>
          <t>2077-09-27</t>
        </is>
      </c>
    </row>
    <row r="64967">
      <c r="A64967" s="1" t="n">
        <v>64966</v>
      </c>
      <c r="B64967">
        <f>TEXT(64966, "[$-0E0000]yyyy-mm-dd")</f>
        <v/>
      </c>
      <c r="C64967" t="inlineStr">
        <is>
          <t>2077-09-28</t>
        </is>
      </c>
    </row>
    <row r="64968">
      <c r="A64968" s="1" t="n">
        <v>64967</v>
      </c>
      <c r="B64968">
        <f>TEXT(64967, "[$-0E0000]yyyy-mm-dd")</f>
        <v/>
      </c>
      <c r="C64968" t="inlineStr">
        <is>
          <t>2077-09-29</t>
        </is>
      </c>
    </row>
    <row r="64969">
      <c r="A64969" s="1" t="n">
        <v>64968</v>
      </c>
      <c r="B64969">
        <f>TEXT(64968, "[$-0E0000]yyyy-mm-dd")</f>
        <v/>
      </c>
      <c r="C64969" t="inlineStr">
        <is>
          <t>2077-09-30</t>
        </is>
      </c>
    </row>
    <row r="64970">
      <c r="A64970" s="1" t="n">
        <v>64969</v>
      </c>
      <c r="B64970">
        <f>TEXT(64969, "[$-0E0000]yyyy-mm-dd")</f>
        <v/>
      </c>
      <c r="C64970" t="inlineStr">
        <is>
          <t>2077-10-01</t>
        </is>
      </c>
    </row>
    <row r="64971">
      <c r="A64971" s="1" t="n">
        <v>64970</v>
      </c>
      <c r="B64971">
        <f>TEXT(64970, "[$-0E0000]yyyy-mm-dd")</f>
        <v/>
      </c>
      <c r="C64971" t="inlineStr">
        <is>
          <t>2077-10-02</t>
        </is>
      </c>
    </row>
    <row r="64972">
      <c r="A64972" s="1" t="n">
        <v>64971</v>
      </c>
      <c r="B64972">
        <f>TEXT(64971, "[$-0E0000]yyyy-mm-dd")</f>
        <v/>
      </c>
      <c r="C64972" t="inlineStr">
        <is>
          <t>2077-10-03</t>
        </is>
      </c>
    </row>
    <row r="64973">
      <c r="A64973" s="1" t="n">
        <v>64972</v>
      </c>
      <c r="B64973">
        <f>TEXT(64972, "[$-0E0000]yyyy-mm-dd")</f>
        <v/>
      </c>
      <c r="C64973" t="inlineStr">
        <is>
          <t>2077-10-04</t>
        </is>
      </c>
    </row>
    <row r="64974">
      <c r="A64974" s="1" t="n">
        <v>64973</v>
      </c>
      <c r="B64974">
        <f>TEXT(64973, "[$-0E0000]yyyy-mm-dd")</f>
        <v/>
      </c>
      <c r="C64974" t="inlineStr">
        <is>
          <t>2077-10-05</t>
        </is>
      </c>
    </row>
    <row r="64975">
      <c r="A64975" s="1" t="n">
        <v>64974</v>
      </c>
      <c r="B64975">
        <f>TEXT(64974, "[$-0E0000]yyyy-mm-dd")</f>
        <v/>
      </c>
      <c r="C64975" t="inlineStr">
        <is>
          <t>2077-10-06</t>
        </is>
      </c>
    </row>
    <row r="64976">
      <c r="A64976" s="1" t="n">
        <v>64975</v>
      </c>
      <c r="B64976">
        <f>TEXT(64975, "[$-0E0000]yyyy-mm-dd")</f>
        <v/>
      </c>
      <c r="C64976" t="inlineStr">
        <is>
          <t>2077-10-07</t>
        </is>
      </c>
    </row>
    <row r="64977">
      <c r="A64977" s="1" t="n">
        <v>64976</v>
      </c>
      <c r="B64977">
        <f>TEXT(64976, "[$-0E0000]yyyy-mm-dd")</f>
        <v/>
      </c>
      <c r="C64977" t="inlineStr">
        <is>
          <t>2077-10-08</t>
        </is>
      </c>
    </row>
    <row r="64978">
      <c r="A64978" s="1" t="n">
        <v>64977</v>
      </c>
      <c r="B64978">
        <f>TEXT(64977, "[$-0E0000]yyyy-mm-dd")</f>
        <v/>
      </c>
      <c r="C64978" t="inlineStr">
        <is>
          <t>2077-10-09</t>
        </is>
      </c>
    </row>
    <row r="64979">
      <c r="A64979" s="1" t="n">
        <v>64978</v>
      </c>
      <c r="B64979">
        <f>TEXT(64978, "[$-0E0000]yyyy-mm-dd")</f>
        <v/>
      </c>
      <c r="C64979" t="inlineStr">
        <is>
          <t>2077-10-10</t>
        </is>
      </c>
    </row>
    <row r="64980">
      <c r="A64980" s="1" t="n">
        <v>64979</v>
      </c>
      <c r="B64980">
        <f>TEXT(64979, "[$-0E0000]yyyy-mm-dd")</f>
        <v/>
      </c>
      <c r="C64980" t="inlineStr">
        <is>
          <t>2077-10-11</t>
        </is>
      </c>
    </row>
    <row r="64981">
      <c r="A64981" s="1" t="n">
        <v>64980</v>
      </c>
      <c r="B64981">
        <f>TEXT(64980, "[$-0E0000]yyyy-mm-dd")</f>
        <v/>
      </c>
      <c r="C64981" t="inlineStr">
        <is>
          <t>2077-10-12</t>
        </is>
      </c>
    </row>
    <row r="64982">
      <c r="A64982" s="1" t="n">
        <v>64981</v>
      </c>
      <c r="B64982">
        <f>TEXT(64981, "[$-0E0000]yyyy-mm-dd")</f>
        <v/>
      </c>
      <c r="C64982" t="inlineStr">
        <is>
          <t>2077-10-13</t>
        </is>
      </c>
    </row>
    <row r="64983">
      <c r="A64983" s="1" t="n">
        <v>64982</v>
      </c>
      <c r="B64983">
        <f>TEXT(64982, "[$-0E0000]yyyy-mm-dd")</f>
        <v/>
      </c>
      <c r="C64983" t="inlineStr">
        <is>
          <t>2077-10-14</t>
        </is>
      </c>
    </row>
    <row r="64984">
      <c r="A64984" s="1" t="n">
        <v>64983</v>
      </c>
      <c r="B64984">
        <f>TEXT(64983, "[$-0E0000]yyyy-mm-dd")</f>
        <v/>
      </c>
      <c r="C64984" t="inlineStr">
        <is>
          <t>2077-10-15</t>
        </is>
      </c>
    </row>
    <row r="64985">
      <c r="A64985" s="1" t="n">
        <v>64984</v>
      </c>
      <c r="B64985">
        <f>TEXT(64984, "[$-0E0000]yyyy-mm-dd")</f>
        <v/>
      </c>
      <c r="C64985" t="inlineStr">
        <is>
          <t>2077-10-16</t>
        </is>
      </c>
    </row>
    <row r="64986">
      <c r="A64986" s="1" t="n">
        <v>64985</v>
      </c>
      <c r="B64986">
        <f>TEXT(64985, "[$-0E0000]yyyy-mm-dd")</f>
        <v/>
      </c>
      <c r="C64986" t="inlineStr">
        <is>
          <t>2077-10-17</t>
        </is>
      </c>
    </row>
    <row r="64987">
      <c r="A64987" s="1" t="n">
        <v>64986</v>
      </c>
      <c r="B64987">
        <f>TEXT(64986, "[$-0E0000]yyyy-mm-dd")</f>
        <v/>
      </c>
      <c r="C64987" t="inlineStr">
        <is>
          <t>2077-10-18</t>
        </is>
      </c>
    </row>
    <row r="64988">
      <c r="A64988" s="1" t="n">
        <v>64987</v>
      </c>
      <c r="B64988">
        <f>TEXT(64987, "[$-0E0000]yyyy-mm-dd")</f>
        <v/>
      </c>
      <c r="C64988" t="inlineStr">
        <is>
          <t>2077-10-19</t>
        </is>
      </c>
    </row>
    <row r="64989">
      <c r="A64989" s="1" t="n">
        <v>64988</v>
      </c>
      <c r="B64989">
        <f>TEXT(64988, "[$-0E0000]yyyy-mm-dd")</f>
        <v/>
      </c>
      <c r="C64989" t="inlineStr">
        <is>
          <t>2077-10-20</t>
        </is>
      </c>
    </row>
    <row r="64990">
      <c r="A64990" s="1" t="n">
        <v>64989</v>
      </c>
      <c r="B64990">
        <f>TEXT(64989, "[$-0E0000]yyyy-mm-dd")</f>
        <v/>
      </c>
      <c r="C64990" t="inlineStr">
        <is>
          <t>2077-10-21</t>
        </is>
      </c>
    </row>
    <row r="64991">
      <c r="A64991" s="1" t="n">
        <v>64990</v>
      </c>
      <c r="B64991">
        <f>TEXT(64990, "[$-0E0000]yyyy-mm-dd")</f>
        <v/>
      </c>
      <c r="C64991" t="inlineStr">
        <is>
          <t>2077-10-22</t>
        </is>
      </c>
    </row>
    <row r="64992">
      <c r="A64992" s="1" t="n">
        <v>64991</v>
      </c>
      <c r="B64992">
        <f>TEXT(64991, "[$-0E0000]yyyy-mm-dd")</f>
        <v/>
      </c>
      <c r="C64992" t="inlineStr">
        <is>
          <t>2077-10-23</t>
        </is>
      </c>
    </row>
    <row r="64993">
      <c r="A64993" s="1" t="n">
        <v>64992</v>
      </c>
      <c r="B64993">
        <f>TEXT(64992, "[$-0E0000]yyyy-mm-dd")</f>
        <v/>
      </c>
      <c r="C64993" t="inlineStr">
        <is>
          <t>2077-10-24</t>
        </is>
      </c>
    </row>
    <row r="64994">
      <c r="A64994" s="1" t="n">
        <v>64993</v>
      </c>
      <c r="B64994">
        <f>TEXT(64993, "[$-0E0000]yyyy-mm-dd")</f>
        <v/>
      </c>
      <c r="C64994" t="inlineStr">
        <is>
          <t>2077-10-25</t>
        </is>
      </c>
    </row>
    <row r="64995">
      <c r="A64995" s="1" t="n">
        <v>64994</v>
      </c>
      <c r="B64995">
        <f>TEXT(64994, "[$-0E0000]yyyy-mm-dd")</f>
        <v/>
      </c>
      <c r="C64995" t="inlineStr">
        <is>
          <t>2077-10-26</t>
        </is>
      </c>
    </row>
    <row r="64996">
      <c r="A64996" s="1" t="n">
        <v>64995</v>
      </c>
      <c r="B64996">
        <f>TEXT(64995, "[$-0E0000]yyyy-mm-dd")</f>
        <v/>
      </c>
      <c r="C64996" t="inlineStr">
        <is>
          <t>2077-10-27</t>
        </is>
      </c>
    </row>
    <row r="64997">
      <c r="A64997" s="1" t="n">
        <v>64996</v>
      </c>
      <c r="B64997">
        <f>TEXT(64996, "[$-0E0000]yyyy-mm-dd")</f>
        <v/>
      </c>
      <c r="C64997" t="inlineStr">
        <is>
          <t>2077-10-28</t>
        </is>
      </c>
    </row>
    <row r="64998">
      <c r="A64998" s="1" t="n">
        <v>64997</v>
      </c>
      <c r="B64998">
        <f>TEXT(64997, "[$-0E0000]yyyy-mm-dd")</f>
        <v/>
      </c>
      <c r="C64998" t="inlineStr">
        <is>
          <t>2077-10-29</t>
        </is>
      </c>
    </row>
    <row r="64999">
      <c r="A64999" s="1" t="n">
        <v>64998</v>
      </c>
      <c r="B64999">
        <f>TEXT(64998, "[$-0E0000]yyyy-mm-dd")</f>
        <v/>
      </c>
      <c r="C64999" t="inlineStr">
        <is>
          <t>2077-11-01</t>
        </is>
      </c>
    </row>
    <row r="65000">
      <c r="A65000" s="1" t="n">
        <v>64999</v>
      </c>
      <c r="B65000">
        <f>TEXT(64999, "[$-0E0000]yyyy-mm-dd")</f>
        <v/>
      </c>
      <c r="C65000" t="inlineStr">
        <is>
          <t>2077-11-02</t>
        </is>
      </c>
    </row>
    <row r="65001">
      <c r="A65001" s="1" t="n">
        <v>65000</v>
      </c>
      <c r="B65001">
        <f>TEXT(65000, "[$-0E0000]yyyy-mm-dd")</f>
        <v/>
      </c>
      <c r="C65001" t="inlineStr">
        <is>
          <t>2077-11-03</t>
        </is>
      </c>
    </row>
    <row r="65002">
      <c r="A65002" s="1" t="n">
        <v>65001</v>
      </c>
      <c r="B65002">
        <f>TEXT(65001, "[$-0E0000]yyyy-mm-dd")</f>
        <v/>
      </c>
      <c r="C65002" t="inlineStr">
        <is>
          <t>2077-11-04</t>
        </is>
      </c>
    </row>
    <row r="65003">
      <c r="A65003" s="1" t="n">
        <v>65002</v>
      </c>
      <c r="B65003">
        <f>TEXT(65002, "[$-0E0000]yyyy-mm-dd")</f>
        <v/>
      </c>
      <c r="C65003" t="inlineStr">
        <is>
          <t>2077-11-05</t>
        </is>
      </c>
    </row>
    <row r="65004">
      <c r="A65004" s="1" t="n">
        <v>65003</v>
      </c>
      <c r="B65004">
        <f>TEXT(65003, "[$-0E0000]yyyy-mm-dd")</f>
        <v/>
      </c>
      <c r="C65004" t="inlineStr">
        <is>
          <t>2077-11-06</t>
        </is>
      </c>
    </row>
    <row r="65005">
      <c r="A65005" s="1" t="n">
        <v>65004</v>
      </c>
      <c r="B65005">
        <f>TEXT(65004, "[$-0E0000]yyyy-mm-dd")</f>
        <v/>
      </c>
      <c r="C65005" t="inlineStr">
        <is>
          <t>2077-11-07</t>
        </is>
      </c>
    </row>
    <row r="65006">
      <c r="A65006" s="1" t="n">
        <v>65005</v>
      </c>
      <c r="B65006">
        <f>TEXT(65005, "[$-0E0000]yyyy-mm-dd")</f>
        <v/>
      </c>
      <c r="C65006" t="inlineStr">
        <is>
          <t>2077-11-08</t>
        </is>
      </c>
    </row>
    <row r="65007">
      <c r="A65007" s="1" t="n">
        <v>65006</v>
      </c>
      <c r="B65007">
        <f>TEXT(65006, "[$-0E0000]yyyy-mm-dd")</f>
        <v/>
      </c>
      <c r="C65007" t="inlineStr">
        <is>
          <t>2077-11-09</t>
        </is>
      </c>
    </row>
    <row r="65008">
      <c r="A65008" s="1" t="n">
        <v>65007</v>
      </c>
      <c r="B65008">
        <f>TEXT(65007, "[$-0E0000]yyyy-mm-dd")</f>
        <v/>
      </c>
      <c r="C65008" t="inlineStr">
        <is>
          <t>2077-11-10</t>
        </is>
      </c>
    </row>
    <row r="65009">
      <c r="A65009" s="1" t="n">
        <v>65008</v>
      </c>
      <c r="B65009">
        <f>TEXT(65008, "[$-0E0000]yyyy-mm-dd")</f>
        <v/>
      </c>
      <c r="C65009" t="inlineStr">
        <is>
          <t>2077-11-11</t>
        </is>
      </c>
    </row>
    <row r="65010">
      <c r="A65010" s="1" t="n">
        <v>65009</v>
      </c>
      <c r="B65010">
        <f>TEXT(65009, "[$-0E0000]yyyy-mm-dd")</f>
        <v/>
      </c>
      <c r="C65010" t="inlineStr">
        <is>
          <t>2077-11-12</t>
        </is>
      </c>
    </row>
    <row r="65011">
      <c r="A65011" s="1" t="n">
        <v>65010</v>
      </c>
      <c r="B65011">
        <f>TEXT(65010, "[$-0E0000]yyyy-mm-dd")</f>
        <v/>
      </c>
      <c r="C65011" t="inlineStr">
        <is>
          <t>2077-11-13</t>
        </is>
      </c>
    </row>
    <row r="65012">
      <c r="A65012" s="1" t="n">
        <v>65011</v>
      </c>
      <c r="B65012">
        <f>TEXT(65011, "[$-0E0000]yyyy-mm-dd")</f>
        <v/>
      </c>
      <c r="C65012" t="inlineStr">
        <is>
          <t>2077-11-14</t>
        </is>
      </c>
    </row>
    <row r="65013">
      <c r="A65013" s="1" t="n">
        <v>65012</v>
      </c>
      <c r="B65013">
        <f>TEXT(65012, "[$-0E0000]yyyy-mm-dd")</f>
        <v/>
      </c>
      <c r="C65013" t="inlineStr">
        <is>
          <t>2077-11-15</t>
        </is>
      </c>
    </row>
    <row r="65014">
      <c r="A65014" s="1" t="n">
        <v>65013</v>
      </c>
      <c r="B65014">
        <f>TEXT(65013, "[$-0E0000]yyyy-mm-dd")</f>
        <v/>
      </c>
      <c r="C65014" t="inlineStr">
        <is>
          <t>2077-11-16</t>
        </is>
      </c>
    </row>
    <row r="65015">
      <c r="A65015" s="1" t="n">
        <v>65014</v>
      </c>
      <c r="B65015">
        <f>TEXT(65014, "[$-0E0000]yyyy-mm-dd")</f>
        <v/>
      </c>
      <c r="C65015" t="inlineStr">
        <is>
          <t>2077-11-17</t>
        </is>
      </c>
    </row>
    <row r="65016">
      <c r="A65016" s="1" t="n">
        <v>65015</v>
      </c>
      <c r="B65016">
        <f>TEXT(65015, "[$-0E0000]yyyy-mm-dd")</f>
        <v/>
      </c>
      <c r="C65016" t="inlineStr">
        <is>
          <t>2077-11-18</t>
        </is>
      </c>
    </row>
    <row r="65017">
      <c r="A65017" s="1" t="n">
        <v>65016</v>
      </c>
      <c r="B65017">
        <f>TEXT(65016, "[$-0E0000]yyyy-mm-dd")</f>
        <v/>
      </c>
      <c r="C65017" t="inlineStr">
        <is>
          <t>2077-11-19</t>
        </is>
      </c>
    </row>
    <row r="65018">
      <c r="A65018" s="1" t="n">
        <v>65017</v>
      </c>
      <c r="B65018">
        <f>TEXT(65017, "[$-0E0000]yyyy-mm-dd")</f>
        <v/>
      </c>
      <c r="C65018" t="inlineStr">
        <is>
          <t>2077-11-20</t>
        </is>
      </c>
    </row>
    <row r="65019">
      <c r="A65019" s="1" t="n">
        <v>65018</v>
      </c>
      <c r="B65019">
        <f>TEXT(65018, "[$-0E0000]yyyy-mm-dd")</f>
        <v/>
      </c>
      <c r="C65019" t="inlineStr">
        <is>
          <t>2077-11-21</t>
        </is>
      </c>
    </row>
    <row r="65020">
      <c r="A65020" s="1" t="n">
        <v>65019</v>
      </c>
      <c r="B65020">
        <f>TEXT(65019, "[$-0E0000]yyyy-mm-dd")</f>
        <v/>
      </c>
      <c r="C65020" t="inlineStr">
        <is>
          <t>2077-11-22</t>
        </is>
      </c>
    </row>
    <row r="65021">
      <c r="A65021" s="1" t="n">
        <v>65020</v>
      </c>
      <c r="B65021">
        <f>TEXT(65020, "[$-0E0000]yyyy-mm-dd")</f>
        <v/>
      </c>
      <c r="C65021" t="inlineStr">
        <is>
          <t>2077-11-23</t>
        </is>
      </c>
    </row>
    <row r="65022">
      <c r="A65022" s="1" t="n">
        <v>65021</v>
      </c>
      <c r="B65022">
        <f>TEXT(65021, "[$-0E0000]yyyy-mm-dd")</f>
        <v/>
      </c>
      <c r="C65022" t="inlineStr">
        <is>
          <t>2077-11-24</t>
        </is>
      </c>
    </row>
    <row r="65023">
      <c r="A65023" s="1" t="n">
        <v>65022</v>
      </c>
      <c r="B65023">
        <f>TEXT(65022, "[$-0E0000]yyyy-mm-dd")</f>
        <v/>
      </c>
      <c r="C65023" t="inlineStr">
        <is>
          <t>2077-11-25</t>
        </is>
      </c>
    </row>
    <row r="65024">
      <c r="A65024" s="1" t="n">
        <v>65023</v>
      </c>
      <c r="B65024">
        <f>TEXT(65023, "[$-0E0000]yyyy-mm-dd")</f>
        <v/>
      </c>
      <c r="C65024" t="inlineStr">
        <is>
          <t>2077-11-26</t>
        </is>
      </c>
    </row>
    <row r="65025">
      <c r="A65025" s="1" t="n">
        <v>65024</v>
      </c>
      <c r="B65025">
        <f>TEXT(65024, "[$-0E0000]yyyy-mm-dd")</f>
        <v/>
      </c>
      <c r="C65025" t="inlineStr">
        <is>
          <t>2077-11-27</t>
        </is>
      </c>
    </row>
    <row r="65026">
      <c r="A65026" s="1" t="n">
        <v>65025</v>
      </c>
      <c r="B65026">
        <f>TEXT(65025, "[$-0E0000]yyyy-mm-dd")</f>
        <v/>
      </c>
      <c r="C65026" t="inlineStr">
        <is>
          <t>2077-11-28</t>
        </is>
      </c>
    </row>
    <row r="65027">
      <c r="A65027" s="1" t="n">
        <v>65026</v>
      </c>
      <c r="B65027">
        <f>TEXT(65026, "[$-0E0000]yyyy-mm-dd")</f>
        <v/>
      </c>
      <c r="C65027" t="inlineStr">
        <is>
          <t>2077-11-29</t>
        </is>
      </c>
    </row>
    <row r="65028">
      <c r="A65028" s="1" t="n">
        <v>65027</v>
      </c>
      <c r="B65028">
        <f>TEXT(65027, "[$-0E0000]yyyy-mm-dd")</f>
        <v/>
      </c>
      <c r="C65028" t="inlineStr">
        <is>
          <t>2077-11-30</t>
        </is>
      </c>
    </row>
    <row r="65029">
      <c r="A65029" s="1" t="n">
        <v>65028</v>
      </c>
      <c r="B65029">
        <f>TEXT(65028, "[$-0E0000]yyyy-mm-dd")</f>
        <v/>
      </c>
      <c r="C65029" t="inlineStr">
        <is>
          <t>2077-12-01</t>
        </is>
      </c>
    </row>
    <row r="65030">
      <c r="A65030" s="1" t="n">
        <v>65029</v>
      </c>
      <c r="B65030">
        <f>TEXT(65029, "[$-0E0000]yyyy-mm-dd")</f>
        <v/>
      </c>
      <c r="C65030" t="inlineStr">
        <is>
          <t>2077-12-02</t>
        </is>
      </c>
    </row>
    <row r="65031">
      <c r="A65031" s="1" t="n">
        <v>65030</v>
      </c>
      <c r="B65031">
        <f>TEXT(65030, "[$-0E0000]yyyy-mm-dd")</f>
        <v/>
      </c>
      <c r="C65031" t="inlineStr">
        <is>
          <t>2077-12-03</t>
        </is>
      </c>
    </row>
    <row r="65032">
      <c r="A65032" s="1" t="n">
        <v>65031</v>
      </c>
      <c r="B65032">
        <f>TEXT(65031, "[$-0E0000]yyyy-mm-dd")</f>
        <v/>
      </c>
      <c r="C65032" t="inlineStr">
        <is>
          <t>2077-12-04</t>
        </is>
      </c>
    </row>
    <row r="65033">
      <c r="A65033" s="1" t="n">
        <v>65032</v>
      </c>
      <c r="B65033">
        <f>TEXT(65032, "[$-0E0000]yyyy-mm-dd")</f>
        <v/>
      </c>
      <c r="C65033" t="inlineStr">
        <is>
          <t>2077-12-05</t>
        </is>
      </c>
    </row>
    <row r="65034">
      <c r="A65034" s="1" t="n">
        <v>65033</v>
      </c>
      <c r="B65034">
        <f>TEXT(65033, "[$-0E0000]yyyy-mm-dd")</f>
        <v/>
      </c>
      <c r="C65034" t="inlineStr">
        <is>
          <t>2077-12-06</t>
        </is>
      </c>
    </row>
    <row r="65035">
      <c r="A65035" s="1" t="n">
        <v>65034</v>
      </c>
      <c r="B65035">
        <f>TEXT(65034, "[$-0E0000]yyyy-mm-dd")</f>
        <v/>
      </c>
      <c r="C65035" t="inlineStr">
        <is>
          <t>2077-12-07</t>
        </is>
      </c>
    </row>
    <row r="65036">
      <c r="A65036" s="1" t="n">
        <v>65035</v>
      </c>
      <c r="B65036">
        <f>TEXT(65035, "[$-0E0000]yyyy-mm-dd")</f>
        <v/>
      </c>
      <c r="C65036" t="inlineStr">
        <is>
          <t>2077-12-08</t>
        </is>
      </c>
    </row>
    <row r="65037">
      <c r="A65037" s="1" t="n">
        <v>65036</v>
      </c>
      <c r="B65037">
        <f>TEXT(65036, "[$-0E0000]yyyy-mm-dd")</f>
        <v/>
      </c>
      <c r="C65037" t="inlineStr">
        <is>
          <t>2077-12-09</t>
        </is>
      </c>
    </row>
    <row r="65038">
      <c r="A65038" s="1" t="n">
        <v>65037</v>
      </c>
      <c r="B65038">
        <f>TEXT(65037, "[$-0E0000]yyyy-mm-dd")</f>
        <v/>
      </c>
      <c r="C65038" t="inlineStr">
        <is>
          <t>2077-12-10</t>
        </is>
      </c>
    </row>
    <row r="65039">
      <c r="A65039" s="1" t="n">
        <v>65038</v>
      </c>
      <c r="B65039">
        <f>TEXT(65038, "[$-0E0000]yyyy-mm-dd")</f>
        <v/>
      </c>
      <c r="C65039" t="inlineStr">
        <is>
          <t>2077-12-11</t>
        </is>
      </c>
    </row>
    <row r="65040">
      <c r="A65040" s="1" t="n">
        <v>65039</v>
      </c>
      <c r="B65040">
        <f>TEXT(65039, "[$-0E0000]yyyy-mm-dd")</f>
        <v/>
      </c>
      <c r="C65040" t="inlineStr">
        <is>
          <t>2077-12-12</t>
        </is>
      </c>
    </row>
    <row r="65041">
      <c r="A65041" s="1" t="n">
        <v>65040</v>
      </c>
      <c r="B65041">
        <f>TEXT(65040, "[$-0E0000]yyyy-mm-dd")</f>
        <v/>
      </c>
      <c r="C65041" t="inlineStr">
        <is>
          <t>2077-12-13</t>
        </is>
      </c>
    </row>
    <row r="65042">
      <c r="A65042" s="1" t="n">
        <v>65041</v>
      </c>
      <c r="B65042">
        <f>TEXT(65041, "[$-0E0000]yyyy-mm-dd")</f>
        <v/>
      </c>
      <c r="C65042" t="inlineStr">
        <is>
          <t>2077-12-14</t>
        </is>
      </c>
    </row>
    <row r="65043">
      <c r="A65043" s="1" t="n">
        <v>65042</v>
      </c>
      <c r="B65043">
        <f>TEXT(65042, "[$-0E0000]yyyy-mm-dd")</f>
        <v/>
      </c>
      <c r="C65043" t="inlineStr">
        <is>
          <t>2077-12-15</t>
        </is>
      </c>
    </row>
    <row r="65044">
      <c r="A65044" s="1" t="n">
        <v>65043</v>
      </c>
      <c r="B65044">
        <f>TEXT(65043, "[$-0E0000]yyyy-mm-dd")</f>
        <v/>
      </c>
      <c r="C65044" t="inlineStr">
        <is>
          <t>2077-12-16</t>
        </is>
      </c>
    </row>
    <row r="65045">
      <c r="A65045" s="1" t="n">
        <v>65044</v>
      </c>
      <c r="B65045">
        <f>TEXT(65044, "[$-0E0000]yyyy-mm-dd")</f>
        <v/>
      </c>
      <c r="C65045" t="inlineStr">
        <is>
          <t>2077-12-17</t>
        </is>
      </c>
    </row>
    <row r="65046">
      <c r="A65046" s="1" t="n">
        <v>65045</v>
      </c>
      <c r="B65046">
        <f>TEXT(65045, "[$-0E0000]yyyy-mm-dd")</f>
        <v/>
      </c>
      <c r="C65046" t="inlineStr">
        <is>
          <t>2077-12-18</t>
        </is>
      </c>
    </row>
    <row r="65047">
      <c r="A65047" s="1" t="n">
        <v>65046</v>
      </c>
      <c r="B65047">
        <f>TEXT(65046, "[$-0E0000]yyyy-mm-dd")</f>
        <v/>
      </c>
      <c r="C65047" t="inlineStr">
        <is>
          <t>2077-12-19</t>
        </is>
      </c>
    </row>
    <row r="65048">
      <c r="A65048" s="1" t="n">
        <v>65047</v>
      </c>
      <c r="B65048">
        <f>TEXT(65047, "[$-0E0000]yyyy-mm-dd")</f>
        <v/>
      </c>
      <c r="C65048" t="inlineStr">
        <is>
          <t>2077-12-20</t>
        </is>
      </c>
    </row>
    <row r="65049">
      <c r="A65049" s="1" t="n">
        <v>65048</v>
      </c>
      <c r="B65049">
        <f>TEXT(65048, "[$-0E0000]yyyy-mm-dd")</f>
        <v/>
      </c>
      <c r="C65049" t="inlineStr">
        <is>
          <t>2077-12-21</t>
        </is>
      </c>
    </row>
    <row r="65050">
      <c r="A65050" s="1" t="n">
        <v>65049</v>
      </c>
      <c r="B65050">
        <f>TEXT(65049, "[$-0E0000]yyyy-mm-dd")</f>
        <v/>
      </c>
      <c r="C65050" t="inlineStr">
        <is>
          <t>2077-12-22</t>
        </is>
      </c>
    </row>
    <row r="65051">
      <c r="A65051" s="1" t="n">
        <v>65050</v>
      </c>
      <c r="B65051">
        <f>TEXT(65050, "[$-0E0000]yyyy-mm-dd")</f>
        <v/>
      </c>
      <c r="C65051" t="inlineStr">
        <is>
          <t>2077-12-23</t>
        </is>
      </c>
    </row>
    <row r="65052">
      <c r="A65052" s="1" t="n">
        <v>65051</v>
      </c>
      <c r="B65052">
        <f>TEXT(65051, "[$-0E0000]yyyy-mm-dd")</f>
        <v/>
      </c>
      <c r="C65052" t="inlineStr">
        <is>
          <t>2077-12-24</t>
        </is>
      </c>
    </row>
    <row r="65053">
      <c r="A65053" s="1" t="n">
        <v>65052</v>
      </c>
      <c r="B65053">
        <f>TEXT(65052, "[$-0E0000]yyyy-mm-dd")</f>
        <v/>
      </c>
      <c r="C65053" t="inlineStr">
        <is>
          <t>2077-12-25</t>
        </is>
      </c>
    </row>
    <row r="65054">
      <c r="A65054" s="1" t="n">
        <v>65053</v>
      </c>
      <c r="B65054">
        <f>TEXT(65053, "[$-0E0000]yyyy-mm-dd")</f>
        <v/>
      </c>
      <c r="C65054" t="inlineStr">
        <is>
          <t>2077-12-26</t>
        </is>
      </c>
    </row>
    <row r="65055">
      <c r="A65055" s="1" t="n">
        <v>65054</v>
      </c>
      <c r="B65055">
        <f>TEXT(65054, "[$-0E0000]yyyy-mm-dd")</f>
        <v/>
      </c>
      <c r="C65055" t="inlineStr">
        <is>
          <t>2077-12-27</t>
        </is>
      </c>
    </row>
    <row r="65056">
      <c r="A65056" s="1" t="n">
        <v>65055</v>
      </c>
      <c r="B65056">
        <f>TEXT(65055, "[$-0E0000]yyyy-mm-dd")</f>
        <v/>
      </c>
      <c r="C65056" t="inlineStr">
        <is>
          <t>2077-12-28</t>
        </is>
      </c>
    </row>
    <row r="65057">
      <c r="A65057" s="1" t="n">
        <v>65056</v>
      </c>
      <c r="B65057">
        <f>TEXT(65056, "[$-0E0000]yyyy-mm-dd")</f>
        <v/>
      </c>
      <c r="C65057" t="inlineStr">
        <is>
          <t>2077-12-29</t>
        </is>
      </c>
    </row>
    <row r="65058">
      <c r="A65058" s="1" t="n">
        <v>65057</v>
      </c>
      <c r="B65058">
        <f>TEXT(65057, "[$-0E0000]yyyy-mm-dd")</f>
        <v/>
      </c>
      <c r="C65058" t="inlineStr">
        <is>
          <t>2078-01-01</t>
        </is>
      </c>
    </row>
    <row r="65059">
      <c r="A65059" s="1" t="n">
        <v>65058</v>
      </c>
      <c r="B65059">
        <f>TEXT(65058, "[$-0E0000]yyyy-mm-dd")</f>
        <v/>
      </c>
      <c r="C65059" t="inlineStr">
        <is>
          <t>2078-01-02</t>
        </is>
      </c>
    </row>
    <row r="65060">
      <c r="A65060" s="1" t="n">
        <v>65059</v>
      </c>
      <c r="B65060">
        <f>TEXT(65059, "[$-0E0000]yyyy-mm-dd")</f>
        <v/>
      </c>
      <c r="C65060" t="inlineStr">
        <is>
          <t>2078-01-03</t>
        </is>
      </c>
    </row>
    <row r="65061">
      <c r="A65061" s="1" t="n">
        <v>65060</v>
      </c>
      <c r="B65061">
        <f>TEXT(65060, "[$-0E0000]yyyy-mm-dd")</f>
        <v/>
      </c>
      <c r="C65061" t="inlineStr">
        <is>
          <t>2078-01-04</t>
        </is>
      </c>
    </row>
    <row r="65062">
      <c r="A65062" s="1" t="n">
        <v>65061</v>
      </c>
      <c r="B65062">
        <f>TEXT(65061, "[$-0E0000]yyyy-mm-dd")</f>
        <v/>
      </c>
      <c r="C65062" t="inlineStr">
        <is>
          <t>2078-01-05</t>
        </is>
      </c>
    </row>
    <row r="65063">
      <c r="A65063" s="1" t="n">
        <v>65062</v>
      </c>
      <c r="B65063">
        <f>TEXT(65062, "[$-0E0000]yyyy-mm-dd")</f>
        <v/>
      </c>
      <c r="C65063" t="inlineStr">
        <is>
          <t>2078-01-06</t>
        </is>
      </c>
    </row>
    <row r="65064">
      <c r="A65064" s="1" t="n">
        <v>65063</v>
      </c>
      <c r="B65064">
        <f>TEXT(65063, "[$-0E0000]yyyy-mm-dd")</f>
        <v/>
      </c>
      <c r="C65064" t="inlineStr">
        <is>
          <t>2078-01-07</t>
        </is>
      </c>
    </row>
    <row r="65065">
      <c r="A65065" s="1" t="n">
        <v>65064</v>
      </c>
      <c r="B65065">
        <f>TEXT(65064, "[$-0E0000]yyyy-mm-dd")</f>
        <v/>
      </c>
      <c r="C65065" t="inlineStr">
        <is>
          <t>2078-01-08</t>
        </is>
      </c>
    </row>
    <row r="65066">
      <c r="A65066" s="1" t="n">
        <v>65065</v>
      </c>
      <c r="B65066">
        <f>TEXT(65065, "[$-0E0000]yyyy-mm-dd")</f>
        <v/>
      </c>
      <c r="C65066" t="inlineStr">
        <is>
          <t>2078-01-09</t>
        </is>
      </c>
    </row>
    <row r="65067">
      <c r="A65067" s="1" t="n">
        <v>65066</v>
      </c>
      <c r="B65067">
        <f>TEXT(65066, "[$-0E0000]yyyy-mm-dd")</f>
        <v/>
      </c>
      <c r="C65067" t="inlineStr">
        <is>
          <t>2078-01-10</t>
        </is>
      </c>
    </row>
    <row r="65068">
      <c r="A65068" s="1" t="n">
        <v>65067</v>
      </c>
      <c r="B65068">
        <f>TEXT(65067, "[$-0E0000]yyyy-mm-dd")</f>
        <v/>
      </c>
      <c r="C65068" t="inlineStr">
        <is>
          <t>2078-01-11</t>
        </is>
      </c>
    </row>
    <row r="65069">
      <c r="A65069" s="1" t="n">
        <v>65068</v>
      </c>
      <c r="B65069">
        <f>TEXT(65068, "[$-0E0000]yyyy-mm-dd")</f>
        <v/>
      </c>
      <c r="C65069" t="inlineStr">
        <is>
          <t>2078-01-12</t>
        </is>
      </c>
    </row>
    <row r="65070">
      <c r="A65070" s="1" t="n">
        <v>65069</v>
      </c>
      <c r="B65070">
        <f>TEXT(65069, "[$-0E0000]yyyy-mm-dd")</f>
        <v/>
      </c>
      <c r="C65070" t="inlineStr">
        <is>
          <t>2078-01-13</t>
        </is>
      </c>
    </row>
    <row r="65071">
      <c r="A65071" s="1" t="n">
        <v>65070</v>
      </c>
      <c r="B65071">
        <f>TEXT(65070, "[$-0E0000]yyyy-mm-dd")</f>
        <v/>
      </c>
      <c r="C65071" t="inlineStr">
        <is>
          <t>2078-01-14</t>
        </is>
      </c>
    </row>
    <row r="65072">
      <c r="A65072" s="1" t="n">
        <v>65071</v>
      </c>
      <c r="B65072">
        <f>TEXT(65071, "[$-0E0000]yyyy-mm-dd")</f>
        <v/>
      </c>
      <c r="C65072" t="inlineStr">
        <is>
          <t>2078-01-15</t>
        </is>
      </c>
    </row>
    <row r="65073">
      <c r="A65073" s="1" t="n">
        <v>65072</v>
      </c>
      <c r="B65073">
        <f>TEXT(65072, "[$-0E0000]yyyy-mm-dd")</f>
        <v/>
      </c>
      <c r="C65073" t="inlineStr">
        <is>
          <t>2078-01-16</t>
        </is>
      </c>
    </row>
    <row r="65074">
      <c r="A65074" s="1" t="n">
        <v>65073</v>
      </c>
      <c r="B65074">
        <f>TEXT(65073, "[$-0E0000]yyyy-mm-dd")</f>
        <v/>
      </c>
      <c r="C65074" t="inlineStr">
        <is>
          <t>2078-01-17</t>
        </is>
      </c>
    </row>
    <row r="65075">
      <c r="A65075" s="1" t="n">
        <v>65074</v>
      </c>
      <c r="B65075">
        <f>TEXT(65074, "[$-0E0000]yyyy-mm-dd")</f>
        <v/>
      </c>
      <c r="C65075" t="inlineStr">
        <is>
          <t>2078-01-18</t>
        </is>
      </c>
    </row>
    <row r="65076">
      <c r="A65076" s="1" t="n">
        <v>65075</v>
      </c>
      <c r="B65076">
        <f>TEXT(65075, "[$-0E0000]yyyy-mm-dd")</f>
        <v/>
      </c>
      <c r="C65076" t="inlineStr">
        <is>
          <t>2078-01-19</t>
        </is>
      </c>
    </row>
    <row r="65077">
      <c r="A65077" s="1" t="n">
        <v>65076</v>
      </c>
      <c r="B65077">
        <f>TEXT(65076, "[$-0E0000]yyyy-mm-dd")</f>
        <v/>
      </c>
      <c r="C65077" t="inlineStr">
        <is>
          <t>2078-01-20</t>
        </is>
      </c>
    </row>
    <row r="65078">
      <c r="A65078" s="1" t="n">
        <v>65077</v>
      </c>
      <c r="B65078">
        <f>TEXT(65077, "[$-0E0000]yyyy-mm-dd")</f>
        <v/>
      </c>
      <c r="C65078" t="inlineStr">
        <is>
          <t>2078-01-21</t>
        </is>
      </c>
    </row>
    <row r="65079">
      <c r="A65079" s="1" t="n">
        <v>65078</v>
      </c>
      <c r="B65079">
        <f>TEXT(65078, "[$-0E0000]yyyy-mm-dd")</f>
        <v/>
      </c>
      <c r="C65079" t="inlineStr">
        <is>
          <t>2078-01-22</t>
        </is>
      </c>
    </row>
    <row r="65080">
      <c r="A65080" s="1" t="n">
        <v>65079</v>
      </c>
      <c r="B65080">
        <f>TEXT(65079, "[$-0E0000]yyyy-mm-dd")</f>
        <v/>
      </c>
      <c r="C65080" t="inlineStr">
        <is>
          <t>2078-01-23</t>
        </is>
      </c>
    </row>
    <row r="65081">
      <c r="A65081" s="1" t="n">
        <v>65080</v>
      </c>
      <c r="B65081">
        <f>TEXT(65080, "[$-0E0000]yyyy-mm-dd")</f>
        <v/>
      </c>
      <c r="C65081" t="inlineStr">
        <is>
          <t>2078-01-24</t>
        </is>
      </c>
    </row>
    <row r="65082">
      <c r="A65082" s="1" t="n">
        <v>65081</v>
      </c>
      <c r="B65082">
        <f>TEXT(65081, "[$-0E0000]yyyy-mm-dd")</f>
        <v/>
      </c>
      <c r="C65082" t="inlineStr">
        <is>
          <t>2078-01-25</t>
        </is>
      </c>
    </row>
    <row r="65083">
      <c r="A65083" s="1" t="n">
        <v>65082</v>
      </c>
      <c r="B65083">
        <f>TEXT(65082, "[$-0E0000]yyyy-mm-dd")</f>
        <v/>
      </c>
      <c r="C65083" t="inlineStr">
        <is>
          <t>2078-01-26</t>
        </is>
      </c>
    </row>
    <row r="65084">
      <c r="A65084" s="1" t="n">
        <v>65083</v>
      </c>
      <c r="B65084">
        <f>TEXT(65083, "[$-0E0000]yyyy-mm-dd")</f>
        <v/>
      </c>
      <c r="C65084" t="inlineStr">
        <is>
          <t>2078-01-27</t>
        </is>
      </c>
    </row>
    <row r="65085">
      <c r="A65085" s="1" t="n">
        <v>65084</v>
      </c>
      <c r="B65085">
        <f>TEXT(65084, "[$-0E0000]yyyy-mm-dd")</f>
        <v/>
      </c>
      <c r="C65085" t="inlineStr">
        <is>
          <t>2078-01-28</t>
        </is>
      </c>
    </row>
    <row r="65086">
      <c r="A65086" s="1" t="n">
        <v>65085</v>
      </c>
      <c r="B65086">
        <f>TEXT(65085, "[$-0E0000]yyyy-mm-dd")</f>
        <v/>
      </c>
      <c r="C65086" t="inlineStr">
        <is>
          <t>2078-01-29</t>
        </is>
      </c>
    </row>
    <row r="65087">
      <c r="A65087" s="1" t="n">
        <v>65086</v>
      </c>
      <c r="B65087">
        <f>TEXT(65086, "[$-0E0000]yyyy-mm-dd")</f>
        <v/>
      </c>
      <c r="C65087" t="inlineStr">
        <is>
          <t>2078-01-30</t>
        </is>
      </c>
    </row>
    <row r="65088">
      <c r="A65088" s="1" t="n">
        <v>65087</v>
      </c>
      <c r="B65088">
        <f>TEXT(65087, "[$-0E0000]yyyy-mm-dd")</f>
        <v/>
      </c>
      <c r="C65088" t="inlineStr">
        <is>
          <t>2078-02-01</t>
        </is>
      </c>
    </row>
    <row r="65089">
      <c r="A65089" s="1" t="n">
        <v>65088</v>
      </c>
      <c r="B65089">
        <f>TEXT(65088, "[$-0E0000]yyyy-mm-dd")</f>
        <v/>
      </c>
      <c r="C65089" t="inlineStr">
        <is>
          <t>2078-02-02</t>
        </is>
      </c>
    </row>
    <row r="65090">
      <c r="A65090" s="1" t="n">
        <v>65089</v>
      </c>
      <c r="B65090">
        <f>TEXT(65089, "[$-0E0000]yyyy-mm-dd")</f>
        <v/>
      </c>
      <c r="C65090" t="inlineStr">
        <is>
          <t>2078-02-03</t>
        </is>
      </c>
    </row>
    <row r="65091">
      <c r="A65091" s="1" t="n">
        <v>65090</v>
      </c>
      <c r="B65091">
        <f>TEXT(65090, "[$-0E0000]yyyy-mm-dd")</f>
        <v/>
      </c>
      <c r="C65091" t="inlineStr">
        <is>
          <t>2078-02-04</t>
        </is>
      </c>
    </row>
    <row r="65092">
      <c r="A65092" s="1" t="n">
        <v>65091</v>
      </c>
      <c r="B65092">
        <f>TEXT(65091, "[$-0E0000]yyyy-mm-dd")</f>
        <v/>
      </c>
      <c r="C65092" t="inlineStr">
        <is>
          <t>2078-02-05</t>
        </is>
      </c>
    </row>
    <row r="65093">
      <c r="A65093" s="1" t="n">
        <v>65092</v>
      </c>
      <c r="B65093">
        <f>TEXT(65092, "[$-0E0000]yyyy-mm-dd")</f>
        <v/>
      </c>
      <c r="C65093" t="inlineStr">
        <is>
          <t>2078-02-06</t>
        </is>
      </c>
    </row>
    <row r="65094">
      <c r="A65094" s="1" t="n">
        <v>65093</v>
      </c>
      <c r="B65094">
        <f>TEXT(65093, "[$-0E0000]yyyy-mm-dd")</f>
        <v/>
      </c>
      <c r="C65094" t="inlineStr">
        <is>
          <t>2078-02-07</t>
        </is>
      </c>
    </row>
    <row r="65095">
      <c r="A65095" s="1" t="n">
        <v>65094</v>
      </c>
      <c r="B65095">
        <f>TEXT(65094, "[$-0E0000]yyyy-mm-dd")</f>
        <v/>
      </c>
      <c r="C65095" t="inlineStr">
        <is>
          <t>2078-02-08</t>
        </is>
      </c>
    </row>
    <row r="65096">
      <c r="A65096" s="1" t="n">
        <v>65095</v>
      </c>
      <c r="B65096">
        <f>TEXT(65095, "[$-0E0000]yyyy-mm-dd")</f>
        <v/>
      </c>
      <c r="C65096" t="inlineStr">
        <is>
          <t>2078-02-09</t>
        </is>
      </c>
    </row>
    <row r="65097">
      <c r="A65097" s="1" t="n">
        <v>65096</v>
      </c>
      <c r="B65097">
        <f>TEXT(65096, "[$-0E0000]yyyy-mm-dd")</f>
        <v/>
      </c>
      <c r="C65097" t="inlineStr">
        <is>
          <t>2078-02-10</t>
        </is>
      </c>
    </row>
    <row r="65098">
      <c r="A65098" s="1" t="n">
        <v>65097</v>
      </c>
      <c r="B65098">
        <f>TEXT(65097, "[$-0E0000]yyyy-mm-dd")</f>
        <v/>
      </c>
      <c r="C65098" t="inlineStr">
        <is>
          <t>2078-02-11</t>
        </is>
      </c>
    </row>
    <row r="65099">
      <c r="A65099" s="1" t="n">
        <v>65098</v>
      </c>
      <c r="B65099">
        <f>TEXT(65098, "[$-0E0000]yyyy-mm-dd")</f>
        <v/>
      </c>
      <c r="C65099" t="inlineStr">
        <is>
          <t>2078-02-12</t>
        </is>
      </c>
    </row>
    <row r="65100">
      <c r="A65100" s="1" t="n">
        <v>65099</v>
      </c>
      <c r="B65100">
        <f>TEXT(65099, "[$-0E0000]yyyy-mm-dd")</f>
        <v/>
      </c>
      <c r="C65100" t="inlineStr">
        <is>
          <t>2078-02-13</t>
        </is>
      </c>
    </row>
    <row r="65101">
      <c r="A65101" s="1" t="n">
        <v>65100</v>
      </c>
      <c r="B65101">
        <f>TEXT(65100, "[$-0E0000]yyyy-mm-dd")</f>
        <v/>
      </c>
      <c r="C65101" t="inlineStr">
        <is>
          <t>2078-02-14</t>
        </is>
      </c>
    </row>
    <row r="65102">
      <c r="A65102" s="1" t="n">
        <v>65101</v>
      </c>
      <c r="B65102">
        <f>TEXT(65101, "[$-0E0000]yyyy-mm-dd")</f>
        <v/>
      </c>
      <c r="C65102" t="inlineStr">
        <is>
          <t>2078-02-15</t>
        </is>
      </c>
    </row>
    <row r="65103">
      <c r="A65103" s="1" t="n">
        <v>65102</v>
      </c>
      <c r="B65103">
        <f>TEXT(65102, "[$-0E0000]yyyy-mm-dd")</f>
        <v/>
      </c>
      <c r="C65103" t="inlineStr">
        <is>
          <t>2078-02-16</t>
        </is>
      </c>
    </row>
    <row r="65104">
      <c r="A65104" s="1" t="n">
        <v>65103</v>
      </c>
      <c r="B65104">
        <f>TEXT(65103, "[$-0E0000]yyyy-mm-dd")</f>
        <v/>
      </c>
      <c r="C65104" t="inlineStr">
        <is>
          <t>2078-02-17</t>
        </is>
      </c>
    </row>
    <row r="65105">
      <c r="A65105" s="1" t="n">
        <v>65104</v>
      </c>
      <c r="B65105">
        <f>TEXT(65104, "[$-0E0000]yyyy-mm-dd")</f>
        <v/>
      </c>
      <c r="C65105" t="inlineStr">
        <is>
          <t>2078-02-18</t>
        </is>
      </c>
    </row>
    <row r="65106">
      <c r="A65106" s="1" t="n">
        <v>65105</v>
      </c>
      <c r="B65106">
        <f>TEXT(65105, "[$-0E0000]yyyy-mm-dd")</f>
        <v/>
      </c>
      <c r="C65106" t="inlineStr">
        <is>
          <t>2078-02-19</t>
        </is>
      </c>
    </row>
    <row r="65107">
      <c r="A65107" s="1" t="n">
        <v>65106</v>
      </c>
      <c r="B65107">
        <f>TEXT(65106, "[$-0E0000]yyyy-mm-dd")</f>
        <v/>
      </c>
      <c r="C65107" t="inlineStr">
        <is>
          <t>2078-02-20</t>
        </is>
      </c>
    </row>
    <row r="65108">
      <c r="A65108" s="1" t="n">
        <v>65107</v>
      </c>
      <c r="B65108">
        <f>TEXT(65107, "[$-0E0000]yyyy-mm-dd")</f>
        <v/>
      </c>
      <c r="C65108" t="inlineStr">
        <is>
          <t>2078-02-21</t>
        </is>
      </c>
    </row>
    <row r="65109">
      <c r="A65109" s="1" t="n">
        <v>65108</v>
      </c>
      <c r="B65109">
        <f>TEXT(65108, "[$-0E0000]yyyy-mm-dd")</f>
        <v/>
      </c>
      <c r="C65109" t="inlineStr">
        <is>
          <t>2078-02-22</t>
        </is>
      </c>
    </row>
    <row r="65110">
      <c r="A65110" s="1" t="n">
        <v>65109</v>
      </c>
      <c r="B65110">
        <f>TEXT(65109, "[$-0E0000]yyyy-mm-dd")</f>
        <v/>
      </c>
      <c r="C65110" t="inlineStr">
        <is>
          <t>2078-02-23</t>
        </is>
      </c>
    </row>
    <row r="65111">
      <c r="A65111" s="1" t="n">
        <v>65110</v>
      </c>
      <c r="B65111">
        <f>TEXT(65110, "[$-0E0000]yyyy-mm-dd")</f>
        <v/>
      </c>
      <c r="C65111" t="inlineStr">
        <is>
          <t>2078-02-24</t>
        </is>
      </c>
    </row>
    <row r="65112">
      <c r="A65112" s="1" t="n">
        <v>65111</v>
      </c>
      <c r="B65112">
        <f>TEXT(65111, "[$-0E0000]yyyy-mm-dd")</f>
        <v/>
      </c>
      <c r="C65112" t="inlineStr">
        <is>
          <t>2078-02-25</t>
        </is>
      </c>
    </row>
    <row r="65113">
      <c r="A65113" s="1" t="n">
        <v>65112</v>
      </c>
      <c r="B65113">
        <f>TEXT(65112, "[$-0E0000]yyyy-mm-dd")</f>
        <v/>
      </c>
      <c r="C65113" t="inlineStr">
        <is>
          <t>2078-02-26</t>
        </is>
      </c>
    </row>
    <row r="65114">
      <c r="A65114" s="1" t="n">
        <v>65113</v>
      </c>
      <c r="B65114">
        <f>TEXT(65113, "[$-0E0000]yyyy-mm-dd")</f>
        <v/>
      </c>
      <c r="C65114" t="inlineStr">
        <is>
          <t>2078-02-27</t>
        </is>
      </c>
    </row>
    <row r="65115">
      <c r="A65115" s="1" t="n">
        <v>65114</v>
      </c>
      <c r="B65115">
        <f>TEXT(65114, "[$-0E0000]yyyy-mm-dd")</f>
        <v/>
      </c>
      <c r="C65115" t="inlineStr">
        <is>
          <t>2078-02-28</t>
        </is>
      </c>
    </row>
    <row r="65116">
      <c r="A65116" s="1" t="n">
        <v>65115</v>
      </c>
      <c r="B65116">
        <f>TEXT(65115, "[$-0E0000]yyyy-mm-dd")</f>
        <v/>
      </c>
      <c r="C65116" t="inlineStr">
        <is>
          <t>2078-02-29</t>
        </is>
      </c>
    </row>
    <row r="65117">
      <c r="A65117" s="1" t="n">
        <v>65116</v>
      </c>
      <c r="B65117">
        <f>TEXT(65116, "[$-0E0000]yyyy-mm-dd")</f>
        <v/>
      </c>
      <c r="C65117" t="inlineStr">
        <is>
          <t>2078-03-01</t>
        </is>
      </c>
    </row>
    <row r="65118">
      <c r="A65118" s="1" t="n">
        <v>65117</v>
      </c>
      <c r="B65118">
        <f>TEXT(65117, "[$-0E0000]yyyy-mm-dd")</f>
        <v/>
      </c>
      <c r="C65118" t="inlineStr">
        <is>
          <t>2078-03-02</t>
        </is>
      </c>
    </row>
    <row r="65119">
      <c r="A65119" s="1" t="n">
        <v>65118</v>
      </c>
      <c r="B65119">
        <f>TEXT(65118, "[$-0E0000]yyyy-mm-dd")</f>
        <v/>
      </c>
      <c r="C65119" t="inlineStr">
        <is>
          <t>2078-03-03</t>
        </is>
      </c>
    </row>
    <row r="65120">
      <c r="A65120" s="1" t="n">
        <v>65119</v>
      </c>
      <c r="B65120">
        <f>TEXT(65119, "[$-0E0000]yyyy-mm-dd")</f>
        <v/>
      </c>
      <c r="C65120" t="inlineStr">
        <is>
          <t>2078-03-04</t>
        </is>
      </c>
    </row>
    <row r="65121">
      <c r="A65121" s="1" t="n">
        <v>65120</v>
      </c>
      <c r="B65121">
        <f>TEXT(65120, "[$-0E0000]yyyy-mm-dd")</f>
        <v/>
      </c>
      <c r="C65121" t="inlineStr">
        <is>
          <t>2078-03-05</t>
        </is>
      </c>
    </row>
    <row r="65122">
      <c r="A65122" s="1" t="n">
        <v>65121</v>
      </c>
      <c r="B65122">
        <f>TEXT(65121, "[$-0E0000]yyyy-mm-dd")</f>
        <v/>
      </c>
      <c r="C65122" t="inlineStr">
        <is>
          <t>2078-03-06</t>
        </is>
      </c>
    </row>
    <row r="65123">
      <c r="A65123" s="1" t="n">
        <v>65122</v>
      </c>
      <c r="B65123">
        <f>TEXT(65122, "[$-0E0000]yyyy-mm-dd")</f>
        <v/>
      </c>
      <c r="C65123" t="inlineStr">
        <is>
          <t>2078-03-07</t>
        </is>
      </c>
    </row>
    <row r="65124">
      <c r="A65124" s="1" t="n">
        <v>65123</v>
      </c>
      <c r="B65124">
        <f>TEXT(65123, "[$-0E0000]yyyy-mm-dd")</f>
        <v/>
      </c>
      <c r="C65124" t="inlineStr">
        <is>
          <t>2078-03-08</t>
        </is>
      </c>
    </row>
    <row r="65125">
      <c r="A65125" s="1" t="n">
        <v>65124</v>
      </c>
      <c r="B65125">
        <f>TEXT(65124, "[$-0E0000]yyyy-mm-dd")</f>
        <v/>
      </c>
      <c r="C65125" t="inlineStr">
        <is>
          <t>2078-03-09</t>
        </is>
      </c>
    </row>
    <row r="65126">
      <c r="A65126" s="1" t="n">
        <v>65125</v>
      </c>
      <c r="B65126">
        <f>TEXT(65125, "[$-0E0000]yyyy-mm-dd")</f>
        <v/>
      </c>
      <c r="C65126" t="inlineStr">
        <is>
          <t>2078-03-10</t>
        </is>
      </c>
    </row>
    <row r="65127">
      <c r="A65127" s="1" t="n">
        <v>65126</v>
      </c>
      <c r="B65127">
        <f>TEXT(65126, "[$-0E0000]yyyy-mm-dd")</f>
        <v/>
      </c>
      <c r="C65127" t="inlineStr">
        <is>
          <t>2078-03-11</t>
        </is>
      </c>
    </row>
    <row r="65128">
      <c r="A65128" s="1" t="n">
        <v>65127</v>
      </c>
      <c r="B65128">
        <f>TEXT(65127, "[$-0E0000]yyyy-mm-dd")</f>
        <v/>
      </c>
      <c r="C65128" t="inlineStr">
        <is>
          <t>2078-03-12</t>
        </is>
      </c>
    </row>
    <row r="65129">
      <c r="A65129" s="1" t="n">
        <v>65128</v>
      </c>
      <c r="B65129">
        <f>TEXT(65128, "[$-0E0000]yyyy-mm-dd")</f>
        <v/>
      </c>
      <c r="C65129" t="inlineStr">
        <is>
          <t>2078-03-13</t>
        </is>
      </c>
    </row>
    <row r="65130">
      <c r="A65130" s="1" t="n">
        <v>65129</v>
      </c>
      <c r="B65130">
        <f>TEXT(65129, "[$-0E0000]yyyy-mm-dd")</f>
        <v/>
      </c>
      <c r="C65130" t="inlineStr">
        <is>
          <t>2078-03-14</t>
        </is>
      </c>
    </row>
    <row r="65131">
      <c r="A65131" s="1" t="n">
        <v>65130</v>
      </c>
      <c r="B65131">
        <f>TEXT(65130, "[$-0E0000]yyyy-mm-dd")</f>
        <v/>
      </c>
      <c r="C65131" t="inlineStr">
        <is>
          <t>2078-03-15</t>
        </is>
      </c>
    </row>
    <row r="65132">
      <c r="A65132" s="1" t="n">
        <v>65131</v>
      </c>
      <c r="B65132">
        <f>TEXT(65131, "[$-0E0000]yyyy-mm-dd")</f>
        <v/>
      </c>
      <c r="C65132" t="inlineStr">
        <is>
          <t>2078-03-16</t>
        </is>
      </c>
    </row>
    <row r="65133">
      <c r="A65133" s="1" t="n">
        <v>65132</v>
      </c>
      <c r="B65133">
        <f>TEXT(65132, "[$-0E0000]yyyy-mm-dd")</f>
        <v/>
      </c>
      <c r="C65133" t="inlineStr">
        <is>
          <t>2078-03-17</t>
        </is>
      </c>
    </row>
    <row r="65134">
      <c r="A65134" s="1" t="n">
        <v>65133</v>
      </c>
      <c r="B65134">
        <f>TEXT(65133, "[$-0E0000]yyyy-mm-dd")</f>
        <v/>
      </c>
      <c r="C65134" t="inlineStr">
        <is>
          <t>2078-03-18</t>
        </is>
      </c>
    </row>
    <row r="65135">
      <c r="A65135" s="1" t="n">
        <v>65134</v>
      </c>
      <c r="B65135">
        <f>TEXT(65134, "[$-0E0000]yyyy-mm-dd")</f>
        <v/>
      </c>
      <c r="C65135" t="inlineStr">
        <is>
          <t>2078-03-19</t>
        </is>
      </c>
    </row>
    <row r="65136">
      <c r="A65136" s="1" t="n">
        <v>65135</v>
      </c>
      <c r="B65136">
        <f>TEXT(65135, "[$-0E0000]yyyy-mm-dd")</f>
        <v/>
      </c>
      <c r="C65136" t="inlineStr">
        <is>
          <t>2078-03-20</t>
        </is>
      </c>
    </row>
    <row r="65137">
      <c r="A65137" s="1" t="n">
        <v>65136</v>
      </c>
      <c r="B65137">
        <f>TEXT(65136, "[$-0E0000]yyyy-mm-dd")</f>
        <v/>
      </c>
      <c r="C65137" t="inlineStr">
        <is>
          <t>2078-03-21</t>
        </is>
      </c>
    </row>
    <row r="65138">
      <c r="A65138" s="1" t="n">
        <v>65137</v>
      </c>
      <c r="B65138">
        <f>TEXT(65137, "[$-0E0000]yyyy-mm-dd")</f>
        <v/>
      </c>
      <c r="C65138" t="inlineStr">
        <is>
          <t>2078-03-22</t>
        </is>
      </c>
    </row>
    <row r="65139">
      <c r="A65139" s="1" t="n">
        <v>65138</v>
      </c>
      <c r="B65139">
        <f>TEXT(65138, "[$-0E0000]yyyy-mm-dd")</f>
        <v/>
      </c>
      <c r="C65139" t="inlineStr">
        <is>
          <t>2078-03-23</t>
        </is>
      </c>
    </row>
    <row r="65140">
      <c r="A65140" s="1" t="n">
        <v>65139</v>
      </c>
      <c r="B65140">
        <f>TEXT(65139, "[$-0E0000]yyyy-mm-dd")</f>
        <v/>
      </c>
      <c r="C65140" t="inlineStr">
        <is>
          <t>2078-03-24</t>
        </is>
      </c>
    </row>
    <row r="65141">
      <c r="A65141" s="1" t="n">
        <v>65140</v>
      </c>
      <c r="B65141">
        <f>TEXT(65140, "[$-0E0000]yyyy-mm-dd")</f>
        <v/>
      </c>
      <c r="C65141" t="inlineStr">
        <is>
          <t>2078-03-25</t>
        </is>
      </c>
    </row>
    <row r="65142">
      <c r="A65142" s="1" t="n">
        <v>65141</v>
      </c>
      <c r="B65142">
        <f>TEXT(65141, "[$-0E0000]yyyy-mm-dd")</f>
        <v/>
      </c>
      <c r="C65142" t="inlineStr">
        <is>
          <t>2078-03-26</t>
        </is>
      </c>
    </row>
    <row r="65143">
      <c r="A65143" s="1" t="n">
        <v>65142</v>
      </c>
      <c r="B65143">
        <f>TEXT(65142, "[$-0E0000]yyyy-mm-dd")</f>
        <v/>
      </c>
      <c r="C65143" t="inlineStr">
        <is>
          <t>2078-03-27</t>
        </is>
      </c>
    </row>
    <row r="65144">
      <c r="A65144" s="1" t="n">
        <v>65143</v>
      </c>
      <c r="B65144">
        <f>TEXT(65143, "[$-0E0000]yyyy-mm-dd")</f>
        <v/>
      </c>
      <c r="C65144" t="inlineStr">
        <is>
          <t>2078-03-28</t>
        </is>
      </c>
    </row>
    <row r="65145">
      <c r="A65145" s="1" t="n">
        <v>65144</v>
      </c>
      <c r="B65145">
        <f>TEXT(65144, "[$-0E0000]yyyy-mm-dd")</f>
        <v/>
      </c>
      <c r="C65145" t="inlineStr">
        <is>
          <t>2078-03-29</t>
        </is>
      </c>
    </row>
    <row r="65146">
      <c r="A65146" s="1" t="n">
        <v>65145</v>
      </c>
      <c r="B65146">
        <f>TEXT(65145, "[$-0E0000]yyyy-mm-dd")</f>
        <v/>
      </c>
      <c r="C65146" t="inlineStr">
        <is>
          <t>2078-03-30</t>
        </is>
      </c>
    </row>
    <row r="65147">
      <c r="A65147" s="1" t="n">
        <v>65146</v>
      </c>
      <c r="B65147">
        <f>TEXT(65146, "[$-0E0000]yyyy-mm-dd")</f>
        <v/>
      </c>
      <c r="C65147" t="inlineStr">
        <is>
          <t>2078-04-01</t>
        </is>
      </c>
    </row>
    <row r="65148">
      <c r="A65148" s="1" t="n">
        <v>65147</v>
      </c>
      <c r="B65148">
        <f>TEXT(65147, "[$-0E0000]yyyy-mm-dd")</f>
        <v/>
      </c>
      <c r="C65148" t="inlineStr">
        <is>
          <t>2078-04-02</t>
        </is>
      </c>
    </row>
    <row r="65149">
      <c r="A65149" s="1" t="n">
        <v>65148</v>
      </c>
      <c r="B65149">
        <f>TEXT(65148, "[$-0E0000]yyyy-mm-dd")</f>
        <v/>
      </c>
      <c r="C65149" t="inlineStr">
        <is>
          <t>2078-04-03</t>
        </is>
      </c>
    </row>
    <row r="65150">
      <c r="A65150" s="1" t="n">
        <v>65149</v>
      </c>
      <c r="B65150">
        <f>TEXT(65149, "[$-0E0000]yyyy-mm-dd")</f>
        <v/>
      </c>
      <c r="C65150" t="inlineStr">
        <is>
          <t>2078-04-04</t>
        </is>
      </c>
    </row>
    <row r="65151">
      <c r="A65151" s="1" t="n">
        <v>65150</v>
      </c>
      <c r="B65151">
        <f>TEXT(65150, "[$-0E0000]yyyy-mm-dd")</f>
        <v/>
      </c>
      <c r="C65151" t="inlineStr">
        <is>
          <t>2078-04-05</t>
        </is>
      </c>
    </row>
    <row r="65152">
      <c r="A65152" s="1" t="n">
        <v>65151</v>
      </c>
      <c r="B65152">
        <f>TEXT(65151, "[$-0E0000]yyyy-mm-dd")</f>
        <v/>
      </c>
      <c r="C65152" t="inlineStr">
        <is>
          <t>2078-04-06</t>
        </is>
      </c>
    </row>
    <row r="65153">
      <c r="A65153" s="1" t="n">
        <v>65152</v>
      </c>
      <c r="B65153">
        <f>TEXT(65152, "[$-0E0000]yyyy-mm-dd")</f>
        <v/>
      </c>
      <c r="C65153" t="inlineStr">
        <is>
          <t>2078-04-07</t>
        </is>
      </c>
    </row>
    <row r="65154">
      <c r="A65154" s="1" t="n">
        <v>65153</v>
      </c>
      <c r="B65154">
        <f>TEXT(65153, "[$-0E0000]yyyy-mm-dd")</f>
        <v/>
      </c>
      <c r="C65154" t="inlineStr">
        <is>
          <t>2078-04-08</t>
        </is>
      </c>
    </row>
    <row r="65155">
      <c r="A65155" s="1" t="n">
        <v>65154</v>
      </c>
      <c r="B65155">
        <f>TEXT(65154, "[$-0E0000]yyyy-mm-dd")</f>
        <v/>
      </c>
      <c r="C65155" t="inlineStr">
        <is>
          <t>2078-04-09</t>
        </is>
      </c>
    </row>
    <row r="65156">
      <c r="A65156" s="1" t="n">
        <v>65155</v>
      </c>
      <c r="B65156">
        <f>TEXT(65155, "[$-0E0000]yyyy-mm-dd")</f>
        <v/>
      </c>
      <c r="C65156" t="inlineStr">
        <is>
          <t>2078-04-10</t>
        </is>
      </c>
    </row>
    <row r="65157">
      <c r="A65157" s="1" t="n">
        <v>65156</v>
      </c>
      <c r="B65157">
        <f>TEXT(65156, "[$-0E0000]yyyy-mm-dd")</f>
        <v/>
      </c>
      <c r="C65157" t="inlineStr">
        <is>
          <t>2078-04-11</t>
        </is>
      </c>
    </row>
    <row r="65158">
      <c r="A65158" s="1" t="n">
        <v>65157</v>
      </c>
      <c r="B65158">
        <f>TEXT(65157, "[$-0E0000]yyyy-mm-dd")</f>
        <v/>
      </c>
      <c r="C65158" t="inlineStr">
        <is>
          <t>2078-04-12</t>
        </is>
      </c>
    </row>
    <row r="65159">
      <c r="A65159" s="1" t="n">
        <v>65158</v>
      </c>
      <c r="B65159">
        <f>TEXT(65158, "[$-0E0000]yyyy-mm-dd")</f>
        <v/>
      </c>
      <c r="C65159" t="inlineStr">
        <is>
          <t>2078-04-13</t>
        </is>
      </c>
    </row>
    <row r="65160">
      <c r="A65160" s="1" t="n">
        <v>65159</v>
      </c>
      <c r="B65160">
        <f>TEXT(65159, "[$-0E0000]yyyy-mm-dd")</f>
        <v/>
      </c>
      <c r="C65160" t="inlineStr">
        <is>
          <t>2078-04-14</t>
        </is>
      </c>
    </row>
    <row r="65161">
      <c r="A65161" s="1" t="n">
        <v>65160</v>
      </c>
      <c r="B65161">
        <f>TEXT(65160, "[$-0E0000]yyyy-mm-dd")</f>
        <v/>
      </c>
      <c r="C65161" t="inlineStr">
        <is>
          <t>2078-04-15</t>
        </is>
      </c>
    </row>
    <row r="65162">
      <c r="A65162" s="1" t="n">
        <v>65161</v>
      </c>
      <c r="B65162">
        <f>TEXT(65161, "[$-0E0000]yyyy-mm-dd")</f>
        <v/>
      </c>
      <c r="C65162" t="inlineStr">
        <is>
          <t>2078-04-16</t>
        </is>
      </c>
    </row>
    <row r="65163">
      <c r="A65163" s="1" t="n">
        <v>65162</v>
      </c>
      <c r="B65163">
        <f>TEXT(65162, "[$-0E0000]yyyy-mm-dd")</f>
        <v/>
      </c>
      <c r="C65163" t="inlineStr">
        <is>
          <t>2078-04-17</t>
        </is>
      </c>
    </row>
    <row r="65164">
      <c r="A65164" s="1" t="n">
        <v>65163</v>
      </c>
      <c r="B65164">
        <f>TEXT(65163, "[$-0E0000]yyyy-mm-dd")</f>
        <v/>
      </c>
      <c r="C65164" t="inlineStr">
        <is>
          <t>2078-04-18</t>
        </is>
      </c>
    </row>
    <row r="65165">
      <c r="A65165" s="1" t="n">
        <v>65164</v>
      </c>
      <c r="B65165">
        <f>TEXT(65164, "[$-0E0000]yyyy-mm-dd")</f>
        <v/>
      </c>
      <c r="C65165" t="inlineStr">
        <is>
          <t>2078-04-19</t>
        </is>
      </c>
    </row>
    <row r="65166">
      <c r="A65166" s="1" t="n">
        <v>65165</v>
      </c>
      <c r="B65166">
        <f>TEXT(65165, "[$-0E0000]yyyy-mm-dd")</f>
        <v/>
      </c>
      <c r="C65166" t="inlineStr">
        <is>
          <t>2078-04-20</t>
        </is>
      </c>
    </row>
    <row r="65167">
      <c r="A65167" s="1" t="n">
        <v>65166</v>
      </c>
      <c r="B65167">
        <f>TEXT(65166, "[$-0E0000]yyyy-mm-dd")</f>
        <v/>
      </c>
      <c r="C65167" t="inlineStr">
        <is>
          <t>2078-04-21</t>
        </is>
      </c>
    </row>
    <row r="65168">
      <c r="A65168" s="1" t="n">
        <v>65167</v>
      </c>
      <c r="B65168">
        <f>TEXT(65167, "[$-0E0000]yyyy-mm-dd")</f>
        <v/>
      </c>
      <c r="C65168" t="inlineStr">
        <is>
          <t>2078-04-22</t>
        </is>
      </c>
    </row>
    <row r="65169">
      <c r="A65169" s="1" t="n">
        <v>65168</v>
      </c>
      <c r="B65169">
        <f>TEXT(65168, "[$-0E0000]yyyy-mm-dd")</f>
        <v/>
      </c>
      <c r="C65169" t="inlineStr">
        <is>
          <t>2078-04-23</t>
        </is>
      </c>
    </row>
    <row r="65170">
      <c r="A65170" s="1" t="n">
        <v>65169</v>
      </c>
      <c r="B65170">
        <f>TEXT(65169, "[$-0E0000]yyyy-mm-dd")</f>
        <v/>
      </c>
      <c r="C65170" t="inlineStr">
        <is>
          <t>2078-04-24</t>
        </is>
      </c>
    </row>
    <row r="65171">
      <c r="A65171" s="1" t="n">
        <v>65170</v>
      </c>
      <c r="B65171">
        <f>TEXT(65170, "[$-0E0000]yyyy-mm-dd")</f>
        <v/>
      </c>
      <c r="C65171" t="inlineStr">
        <is>
          <t>2078-04-25</t>
        </is>
      </c>
    </row>
    <row r="65172">
      <c r="A65172" s="1" t="n">
        <v>65171</v>
      </c>
      <c r="B65172">
        <f>TEXT(65171, "[$-0E0000]yyyy-mm-dd")</f>
        <v/>
      </c>
      <c r="C65172" t="inlineStr">
        <is>
          <t>2078-04-26</t>
        </is>
      </c>
    </row>
    <row r="65173">
      <c r="A65173" s="1" t="n">
        <v>65172</v>
      </c>
      <c r="B65173">
        <f>TEXT(65172, "[$-0E0000]yyyy-mm-dd")</f>
        <v/>
      </c>
      <c r="C65173" t="inlineStr">
        <is>
          <t>2078-04-27</t>
        </is>
      </c>
    </row>
    <row r="65174">
      <c r="A65174" s="1" t="n">
        <v>65173</v>
      </c>
      <c r="B65174">
        <f>TEXT(65173, "[$-0E0000]yyyy-mm-dd")</f>
        <v/>
      </c>
      <c r="C65174" t="inlineStr">
        <is>
          <t>2078-04-28</t>
        </is>
      </c>
    </row>
    <row r="65175">
      <c r="A65175" s="1" t="n">
        <v>65174</v>
      </c>
      <c r="B65175">
        <f>TEXT(65174, "[$-0E0000]yyyy-mm-dd")</f>
        <v/>
      </c>
      <c r="C65175" t="inlineStr">
        <is>
          <t>2078-04-29</t>
        </is>
      </c>
    </row>
    <row r="65176">
      <c r="A65176" s="1" t="n">
        <v>65175</v>
      </c>
      <c r="B65176">
        <f>TEXT(65175, "[$-0E0000]yyyy-mm-dd")</f>
        <v/>
      </c>
      <c r="C65176" t="inlineStr">
        <is>
          <t>2078-05-01</t>
        </is>
      </c>
    </row>
    <row r="65177">
      <c r="A65177" s="1" t="n">
        <v>65176</v>
      </c>
      <c r="B65177">
        <f>TEXT(65176, "[$-0E0000]yyyy-mm-dd")</f>
        <v/>
      </c>
      <c r="C65177" t="inlineStr">
        <is>
          <t>2078-05-02</t>
        </is>
      </c>
    </row>
    <row r="65178">
      <c r="A65178" s="1" t="n">
        <v>65177</v>
      </c>
      <c r="B65178">
        <f>TEXT(65177, "[$-0E0000]yyyy-mm-dd")</f>
        <v/>
      </c>
      <c r="C65178" t="inlineStr">
        <is>
          <t>2078-05-03</t>
        </is>
      </c>
    </row>
    <row r="65179">
      <c r="A65179" s="1" t="n">
        <v>65178</v>
      </c>
      <c r="B65179">
        <f>TEXT(65178, "[$-0E0000]yyyy-mm-dd")</f>
        <v/>
      </c>
      <c r="C65179" t="inlineStr">
        <is>
          <t>2078-05-04</t>
        </is>
      </c>
    </row>
    <row r="65180">
      <c r="A65180" s="1" t="n">
        <v>65179</v>
      </c>
      <c r="B65180">
        <f>TEXT(65179, "[$-0E0000]yyyy-mm-dd")</f>
        <v/>
      </c>
      <c r="C65180" t="inlineStr">
        <is>
          <t>2078-05-05</t>
        </is>
      </c>
    </row>
    <row r="65181">
      <c r="A65181" s="1" t="n">
        <v>65180</v>
      </c>
      <c r="B65181">
        <f>TEXT(65180, "[$-0E0000]yyyy-mm-dd")</f>
        <v/>
      </c>
      <c r="C65181" t="inlineStr">
        <is>
          <t>2078-05-06</t>
        </is>
      </c>
    </row>
    <row r="65182">
      <c r="A65182" s="1" t="n">
        <v>65181</v>
      </c>
      <c r="B65182">
        <f>TEXT(65181, "[$-0E0000]yyyy-mm-dd")</f>
        <v/>
      </c>
      <c r="C65182" t="inlineStr">
        <is>
          <t>2078-05-07</t>
        </is>
      </c>
    </row>
    <row r="65183">
      <c r="A65183" s="1" t="n">
        <v>65182</v>
      </c>
      <c r="B65183">
        <f>TEXT(65182, "[$-0E0000]yyyy-mm-dd")</f>
        <v/>
      </c>
      <c r="C65183" t="inlineStr">
        <is>
          <t>2078-05-08</t>
        </is>
      </c>
    </row>
    <row r="65184">
      <c r="A65184" s="1" t="n">
        <v>65183</v>
      </c>
      <c r="B65184">
        <f>TEXT(65183, "[$-0E0000]yyyy-mm-dd")</f>
        <v/>
      </c>
      <c r="C65184" t="inlineStr">
        <is>
          <t>2078-05-09</t>
        </is>
      </c>
    </row>
    <row r="65185">
      <c r="A65185" s="1" t="n">
        <v>65184</v>
      </c>
      <c r="B65185">
        <f>TEXT(65184, "[$-0E0000]yyyy-mm-dd")</f>
        <v/>
      </c>
      <c r="C65185" t="inlineStr">
        <is>
          <t>2078-05-10</t>
        </is>
      </c>
    </row>
    <row r="65186">
      <c r="A65186" s="1" t="n">
        <v>65185</v>
      </c>
      <c r="B65186">
        <f>TEXT(65185, "[$-0E0000]yyyy-mm-dd")</f>
        <v/>
      </c>
      <c r="C65186" t="inlineStr">
        <is>
          <t>2078-05-11</t>
        </is>
      </c>
    </row>
    <row r="65187">
      <c r="A65187" s="1" t="n">
        <v>65186</v>
      </c>
      <c r="B65187">
        <f>TEXT(65186, "[$-0E0000]yyyy-mm-dd")</f>
        <v/>
      </c>
      <c r="C65187" t="inlineStr">
        <is>
          <t>2078-05-12</t>
        </is>
      </c>
    </row>
    <row r="65188">
      <c r="A65188" s="1" t="n">
        <v>65187</v>
      </c>
      <c r="B65188">
        <f>TEXT(65187, "[$-0E0000]yyyy-mm-dd")</f>
        <v/>
      </c>
      <c r="C65188" t="inlineStr">
        <is>
          <t>2078-05-13</t>
        </is>
      </c>
    </row>
    <row r="65189">
      <c r="A65189" s="1" t="n">
        <v>65188</v>
      </c>
      <c r="B65189">
        <f>TEXT(65188, "[$-0E0000]yyyy-mm-dd")</f>
        <v/>
      </c>
      <c r="C65189" t="inlineStr">
        <is>
          <t>2078-05-14</t>
        </is>
      </c>
    </row>
    <row r="65190">
      <c r="A65190" s="1" t="n">
        <v>65189</v>
      </c>
      <c r="B65190">
        <f>TEXT(65189, "[$-0E0000]yyyy-mm-dd")</f>
        <v/>
      </c>
      <c r="C65190" t="inlineStr">
        <is>
          <t>2078-05-15</t>
        </is>
      </c>
    </row>
    <row r="65191">
      <c r="A65191" s="1" t="n">
        <v>65190</v>
      </c>
      <c r="B65191">
        <f>TEXT(65190, "[$-0E0000]yyyy-mm-dd")</f>
        <v/>
      </c>
      <c r="C65191" t="inlineStr">
        <is>
          <t>2078-05-16</t>
        </is>
      </c>
    </row>
    <row r="65192">
      <c r="A65192" s="1" t="n">
        <v>65191</v>
      </c>
      <c r="B65192">
        <f>TEXT(65191, "[$-0E0000]yyyy-mm-dd")</f>
        <v/>
      </c>
      <c r="C65192" t="inlineStr">
        <is>
          <t>2078-05-17</t>
        </is>
      </c>
    </row>
    <row r="65193">
      <c r="A65193" s="1" t="n">
        <v>65192</v>
      </c>
      <c r="B65193">
        <f>TEXT(65192, "[$-0E0000]yyyy-mm-dd")</f>
        <v/>
      </c>
      <c r="C65193" t="inlineStr">
        <is>
          <t>2078-05-18</t>
        </is>
      </c>
    </row>
    <row r="65194">
      <c r="A65194" s="1" t="n">
        <v>65193</v>
      </c>
      <c r="B65194">
        <f>TEXT(65193, "[$-0E0000]yyyy-mm-dd")</f>
        <v/>
      </c>
      <c r="C65194" t="inlineStr">
        <is>
          <t>2078-05-19</t>
        </is>
      </c>
    </row>
    <row r="65195">
      <c r="A65195" s="1" t="n">
        <v>65194</v>
      </c>
      <c r="B65195">
        <f>TEXT(65194, "[$-0E0000]yyyy-mm-dd")</f>
        <v/>
      </c>
      <c r="C65195" t="inlineStr">
        <is>
          <t>2078-05-20</t>
        </is>
      </c>
    </row>
    <row r="65196">
      <c r="A65196" s="1" t="n">
        <v>65195</v>
      </c>
      <c r="B65196">
        <f>TEXT(65195, "[$-0E0000]yyyy-mm-dd")</f>
        <v/>
      </c>
      <c r="C65196" t="inlineStr">
        <is>
          <t>2078-05-21</t>
        </is>
      </c>
    </row>
    <row r="65197">
      <c r="A65197" s="1" t="n">
        <v>65196</v>
      </c>
      <c r="B65197">
        <f>TEXT(65196, "[$-0E0000]yyyy-mm-dd")</f>
        <v/>
      </c>
      <c r="C65197" t="inlineStr">
        <is>
          <t>2078-05-22</t>
        </is>
      </c>
    </row>
    <row r="65198">
      <c r="A65198" s="1" t="n">
        <v>65197</v>
      </c>
      <c r="B65198">
        <f>TEXT(65197, "[$-0E0000]yyyy-mm-dd")</f>
        <v/>
      </c>
      <c r="C65198" t="inlineStr">
        <is>
          <t>2078-05-23</t>
        </is>
      </c>
    </row>
    <row r="65199">
      <c r="A65199" s="1" t="n">
        <v>65198</v>
      </c>
      <c r="B65199">
        <f>TEXT(65198, "[$-0E0000]yyyy-mm-dd")</f>
        <v/>
      </c>
      <c r="C65199" t="inlineStr">
        <is>
          <t>2078-05-24</t>
        </is>
      </c>
    </row>
    <row r="65200">
      <c r="A65200" s="1" t="n">
        <v>65199</v>
      </c>
      <c r="B65200">
        <f>TEXT(65199, "[$-0E0000]yyyy-mm-dd")</f>
        <v/>
      </c>
      <c r="C65200" t="inlineStr">
        <is>
          <t>2078-05-25</t>
        </is>
      </c>
    </row>
    <row r="65201">
      <c r="A65201" s="1" t="n">
        <v>65200</v>
      </c>
      <c r="B65201">
        <f>TEXT(65200, "[$-0E0000]yyyy-mm-dd")</f>
        <v/>
      </c>
      <c r="C65201" t="inlineStr">
        <is>
          <t>2078-05-26</t>
        </is>
      </c>
    </row>
    <row r="65202">
      <c r="A65202" s="1" t="n">
        <v>65201</v>
      </c>
      <c r="B65202">
        <f>TEXT(65201, "[$-0E0000]yyyy-mm-dd")</f>
        <v/>
      </c>
      <c r="C65202" t="inlineStr">
        <is>
          <t>2078-05-27</t>
        </is>
      </c>
    </row>
    <row r="65203">
      <c r="A65203" s="1" t="n">
        <v>65202</v>
      </c>
      <c r="B65203">
        <f>TEXT(65202, "[$-0E0000]yyyy-mm-dd")</f>
        <v/>
      </c>
      <c r="C65203" t="inlineStr">
        <is>
          <t>2078-05-28</t>
        </is>
      </c>
    </row>
    <row r="65204">
      <c r="A65204" s="1" t="n">
        <v>65203</v>
      </c>
      <c r="B65204">
        <f>TEXT(65203, "[$-0E0000]yyyy-mm-dd")</f>
        <v/>
      </c>
      <c r="C65204" t="inlineStr">
        <is>
          <t>2078-05-29</t>
        </is>
      </c>
    </row>
    <row r="65205">
      <c r="A65205" s="1" t="n">
        <v>65204</v>
      </c>
      <c r="B65205">
        <f>TEXT(65204, "[$-0E0000]yyyy-mm-dd")</f>
        <v/>
      </c>
      <c r="C65205" t="inlineStr">
        <is>
          <t>2078-06-01</t>
        </is>
      </c>
    </row>
    <row r="65206">
      <c r="A65206" s="1" t="n">
        <v>65205</v>
      </c>
      <c r="B65206">
        <f>TEXT(65205, "[$-0E0000]yyyy-mm-dd")</f>
        <v/>
      </c>
      <c r="C65206" t="inlineStr">
        <is>
          <t>2078-06-02</t>
        </is>
      </c>
    </row>
    <row r="65207">
      <c r="A65207" s="1" t="n">
        <v>65206</v>
      </c>
      <c r="B65207">
        <f>TEXT(65206, "[$-0E0000]yyyy-mm-dd")</f>
        <v/>
      </c>
      <c r="C65207" t="inlineStr">
        <is>
          <t>2078-06-03</t>
        </is>
      </c>
    </row>
    <row r="65208">
      <c r="A65208" s="1" t="n">
        <v>65207</v>
      </c>
      <c r="B65208">
        <f>TEXT(65207, "[$-0E0000]yyyy-mm-dd")</f>
        <v/>
      </c>
      <c r="C65208" t="inlineStr">
        <is>
          <t>2078-06-04</t>
        </is>
      </c>
    </row>
    <row r="65209">
      <c r="A65209" s="1" t="n">
        <v>65208</v>
      </c>
      <c r="B65209">
        <f>TEXT(65208, "[$-0E0000]yyyy-mm-dd")</f>
        <v/>
      </c>
      <c r="C65209" t="inlineStr">
        <is>
          <t>2078-06-05</t>
        </is>
      </c>
    </row>
    <row r="65210">
      <c r="A65210" s="1" t="n">
        <v>65209</v>
      </c>
      <c r="B65210">
        <f>TEXT(65209, "[$-0E0000]yyyy-mm-dd")</f>
        <v/>
      </c>
      <c r="C65210" t="inlineStr">
        <is>
          <t>2078-06-06</t>
        </is>
      </c>
    </row>
    <row r="65211">
      <c r="A65211" s="1" t="n">
        <v>65210</v>
      </c>
      <c r="B65211">
        <f>TEXT(65210, "[$-0E0000]yyyy-mm-dd")</f>
        <v/>
      </c>
      <c r="C65211" t="inlineStr">
        <is>
          <t>2078-06-07</t>
        </is>
      </c>
    </row>
    <row r="65212">
      <c r="A65212" s="1" t="n">
        <v>65211</v>
      </c>
      <c r="B65212">
        <f>TEXT(65211, "[$-0E0000]yyyy-mm-dd")</f>
        <v/>
      </c>
      <c r="C65212" t="inlineStr">
        <is>
          <t>2078-06-08</t>
        </is>
      </c>
    </row>
    <row r="65213">
      <c r="A65213" s="1" t="n">
        <v>65212</v>
      </c>
      <c r="B65213">
        <f>TEXT(65212, "[$-0E0000]yyyy-mm-dd")</f>
        <v/>
      </c>
      <c r="C65213" t="inlineStr">
        <is>
          <t>2078-06-09</t>
        </is>
      </c>
    </row>
    <row r="65214">
      <c r="A65214" s="1" t="n">
        <v>65213</v>
      </c>
      <c r="B65214">
        <f>TEXT(65213, "[$-0E0000]yyyy-mm-dd")</f>
        <v/>
      </c>
      <c r="C65214" t="inlineStr">
        <is>
          <t>2078-06-10</t>
        </is>
      </c>
    </row>
    <row r="65215">
      <c r="A65215" s="1" t="n">
        <v>65214</v>
      </c>
      <c r="B65215">
        <f>TEXT(65214, "[$-0E0000]yyyy-mm-dd")</f>
        <v/>
      </c>
      <c r="C65215" t="inlineStr">
        <is>
          <t>2078-06-11</t>
        </is>
      </c>
    </row>
    <row r="65216">
      <c r="A65216" s="1" t="n">
        <v>65215</v>
      </c>
      <c r="B65216">
        <f>TEXT(65215, "[$-0E0000]yyyy-mm-dd")</f>
        <v/>
      </c>
      <c r="C65216" t="inlineStr">
        <is>
          <t>2078-06-12</t>
        </is>
      </c>
    </row>
    <row r="65217">
      <c r="A65217" s="1" t="n">
        <v>65216</v>
      </c>
      <c r="B65217">
        <f>TEXT(65216, "[$-0E0000]yyyy-mm-dd")</f>
        <v/>
      </c>
      <c r="C65217" t="inlineStr">
        <is>
          <t>2078-06-13</t>
        </is>
      </c>
    </row>
    <row r="65218">
      <c r="A65218" s="1" t="n">
        <v>65217</v>
      </c>
      <c r="B65218">
        <f>TEXT(65217, "[$-0E0000]yyyy-mm-dd")</f>
        <v/>
      </c>
      <c r="C65218" t="inlineStr">
        <is>
          <t>2078-06-14</t>
        </is>
      </c>
    </row>
    <row r="65219">
      <c r="A65219" s="1" t="n">
        <v>65218</v>
      </c>
      <c r="B65219">
        <f>TEXT(65218, "[$-0E0000]yyyy-mm-dd")</f>
        <v/>
      </c>
      <c r="C65219" t="inlineStr">
        <is>
          <t>2078-06-15</t>
        </is>
      </c>
    </row>
    <row r="65220">
      <c r="A65220" s="1" t="n">
        <v>65219</v>
      </c>
      <c r="B65220">
        <f>TEXT(65219, "[$-0E0000]yyyy-mm-dd")</f>
        <v/>
      </c>
      <c r="C65220" t="inlineStr">
        <is>
          <t>2078-06-16</t>
        </is>
      </c>
    </row>
    <row r="65221">
      <c r="A65221" s="1" t="n">
        <v>65220</v>
      </c>
      <c r="B65221">
        <f>TEXT(65220, "[$-0E0000]yyyy-mm-dd")</f>
        <v/>
      </c>
      <c r="C65221" t="inlineStr">
        <is>
          <t>2078-06-17</t>
        </is>
      </c>
    </row>
    <row r="65222">
      <c r="A65222" s="1" t="n">
        <v>65221</v>
      </c>
      <c r="B65222">
        <f>TEXT(65221, "[$-0E0000]yyyy-mm-dd")</f>
        <v/>
      </c>
      <c r="C65222" t="inlineStr">
        <is>
          <t>2078-06-18</t>
        </is>
      </c>
    </row>
    <row r="65223">
      <c r="A65223" s="1" t="n">
        <v>65222</v>
      </c>
      <c r="B65223">
        <f>TEXT(65222, "[$-0E0000]yyyy-mm-dd")</f>
        <v/>
      </c>
      <c r="C65223" t="inlineStr">
        <is>
          <t>2078-06-19</t>
        </is>
      </c>
    </row>
    <row r="65224">
      <c r="A65224" s="1" t="n">
        <v>65223</v>
      </c>
      <c r="B65224">
        <f>TEXT(65223, "[$-0E0000]yyyy-mm-dd")</f>
        <v/>
      </c>
      <c r="C65224" t="inlineStr">
        <is>
          <t>2078-06-20</t>
        </is>
      </c>
    </row>
    <row r="65225">
      <c r="A65225" s="1" t="n">
        <v>65224</v>
      </c>
      <c r="B65225">
        <f>TEXT(65224, "[$-0E0000]yyyy-mm-dd")</f>
        <v/>
      </c>
      <c r="C65225" t="inlineStr">
        <is>
          <t>2078-06-21</t>
        </is>
      </c>
    </row>
    <row r="65226">
      <c r="A65226" s="1" t="n">
        <v>65225</v>
      </c>
      <c r="B65226">
        <f>TEXT(65225, "[$-0E0000]yyyy-mm-dd")</f>
        <v/>
      </c>
      <c r="C65226" t="inlineStr">
        <is>
          <t>2078-06-22</t>
        </is>
      </c>
    </row>
    <row r="65227">
      <c r="A65227" s="1" t="n">
        <v>65226</v>
      </c>
      <c r="B65227">
        <f>TEXT(65226, "[$-0E0000]yyyy-mm-dd")</f>
        <v/>
      </c>
      <c r="C65227" t="inlineStr">
        <is>
          <t>2078-06-23</t>
        </is>
      </c>
    </row>
    <row r="65228">
      <c r="A65228" s="1" t="n">
        <v>65227</v>
      </c>
      <c r="B65228">
        <f>TEXT(65227, "[$-0E0000]yyyy-mm-dd")</f>
        <v/>
      </c>
      <c r="C65228" t="inlineStr">
        <is>
          <t>2078-06-24</t>
        </is>
      </c>
    </row>
    <row r="65229">
      <c r="A65229" s="1" t="n">
        <v>65228</v>
      </c>
      <c r="B65229">
        <f>TEXT(65228, "[$-0E0000]yyyy-mm-dd")</f>
        <v/>
      </c>
      <c r="C65229" t="inlineStr">
        <is>
          <t>2078-06-25</t>
        </is>
      </c>
    </row>
    <row r="65230">
      <c r="A65230" s="1" t="n">
        <v>65229</v>
      </c>
      <c r="B65230">
        <f>TEXT(65229, "[$-0E0000]yyyy-mm-dd")</f>
        <v/>
      </c>
      <c r="C65230" t="inlineStr">
        <is>
          <t>2078-06-26</t>
        </is>
      </c>
    </row>
    <row r="65231">
      <c r="A65231" s="1" t="n">
        <v>65230</v>
      </c>
      <c r="B65231">
        <f>TEXT(65230, "[$-0E0000]yyyy-mm-dd")</f>
        <v/>
      </c>
      <c r="C65231" t="inlineStr">
        <is>
          <t>2078-06-27</t>
        </is>
      </c>
    </row>
    <row r="65232">
      <c r="A65232" s="1" t="n">
        <v>65231</v>
      </c>
      <c r="B65232">
        <f>TEXT(65231, "[$-0E0000]yyyy-mm-dd")</f>
        <v/>
      </c>
      <c r="C65232" t="inlineStr">
        <is>
          <t>2078-06-28</t>
        </is>
      </c>
    </row>
    <row r="65233">
      <c r="A65233" s="1" t="n">
        <v>65232</v>
      </c>
      <c r="B65233">
        <f>TEXT(65232, "[$-0E0000]yyyy-mm-dd")</f>
        <v/>
      </c>
      <c r="C65233" t="inlineStr">
        <is>
          <t>2078-06-29</t>
        </is>
      </c>
    </row>
    <row r="65234">
      <c r="A65234" s="1" t="n">
        <v>65233</v>
      </c>
      <c r="B65234">
        <f>TEXT(65233, "[$-0E0000]yyyy-mm-dd")</f>
        <v/>
      </c>
      <c r="C65234" t="inlineStr">
        <is>
          <t>2078-06-30</t>
        </is>
      </c>
    </row>
    <row r="65235">
      <c r="A65235" s="1" t="n">
        <v>65234</v>
      </c>
      <c r="B65235">
        <f>TEXT(65234, "[$-0E0000]yyyy-mm-dd")</f>
        <v/>
      </c>
      <c r="C65235" t="inlineStr">
        <is>
          <t>2078-07-01</t>
        </is>
      </c>
    </row>
    <row r="65236">
      <c r="A65236" s="1" t="n">
        <v>65235</v>
      </c>
      <c r="B65236">
        <f>TEXT(65235, "[$-0E0000]yyyy-mm-dd")</f>
        <v/>
      </c>
      <c r="C65236" t="inlineStr">
        <is>
          <t>2078-07-02</t>
        </is>
      </c>
    </row>
    <row r="65237">
      <c r="A65237" s="1" t="n">
        <v>65236</v>
      </c>
      <c r="B65237">
        <f>TEXT(65236, "[$-0E0000]yyyy-mm-dd")</f>
        <v/>
      </c>
      <c r="C65237" t="inlineStr">
        <is>
          <t>2078-07-03</t>
        </is>
      </c>
    </row>
    <row r="65238">
      <c r="A65238" s="1" t="n">
        <v>65237</v>
      </c>
      <c r="B65238">
        <f>TEXT(65237, "[$-0E0000]yyyy-mm-dd")</f>
        <v/>
      </c>
      <c r="C65238" t="inlineStr">
        <is>
          <t>2078-07-04</t>
        </is>
      </c>
    </row>
    <row r="65239">
      <c r="A65239" s="1" t="n">
        <v>65238</v>
      </c>
      <c r="B65239">
        <f>TEXT(65238, "[$-0E0000]yyyy-mm-dd")</f>
        <v/>
      </c>
      <c r="C65239" t="inlineStr">
        <is>
          <t>2078-07-05</t>
        </is>
      </c>
    </row>
    <row r="65240">
      <c r="A65240" s="1" t="n">
        <v>65239</v>
      </c>
      <c r="B65240">
        <f>TEXT(65239, "[$-0E0000]yyyy-mm-dd")</f>
        <v/>
      </c>
      <c r="C65240" t="inlineStr">
        <is>
          <t>2078-07-06</t>
        </is>
      </c>
    </row>
    <row r="65241">
      <c r="A65241" s="1" t="n">
        <v>65240</v>
      </c>
      <c r="B65241">
        <f>TEXT(65240, "[$-0E0000]yyyy-mm-dd")</f>
        <v/>
      </c>
      <c r="C65241" t="inlineStr">
        <is>
          <t>2078-07-07</t>
        </is>
      </c>
    </row>
    <row r="65242">
      <c r="A65242" s="1" t="n">
        <v>65241</v>
      </c>
      <c r="B65242">
        <f>TEXT(65241, "[$-0E0000]yyyy-mm-dd")</f>
        <v/>
      </c>
      <c r="C65242" t="inlineStr">
        <is>
          <t>2078-07-08</t>
        </is>
      </c>
    </row>
    <row r="65243">
      <c r="A65243" s="1" t="n">
        <v>65242</v>
      </c>
      <c r="B65243">
        <f>TEXT(65242, "[$-0E0000]yyyy-mm-dd")</f>
        <v/>
      </c>
      <c r="C65243" t="inlineStr">
        <is>
          <t>2078-07-09</t>
        </is>
      </c>
    </row>
    <row r="65244">
      <c r="A65244" s="1" t="n">
        <v>65243</v>
      </c>
      <c r="B65244">
        <f>TEXT(65243, "[$-0E0000]yyyy-mm-dd")</f>
        <v/>
      </c>
      <c r="C65244" t="inlineStr">
        <is>
          <t>2078-07-10</t>
        </is>
      </c>
    </row>
    <row r="65245">
      <c r="A65245" s="1" t="n">
        <v>65244</v>
      </c>
      <c r="B65245">
        <f>TEXT(65244, "[$-0E0000]yyyy-mm-dd")</f>
        <v/>
      </c>
      <c r="C65245" t="inlineStr">
        <is>
          <t>2078-07-11</t>
        </is>
      </c>
    </row>
    <row r="65246">
      <c r="A65246" s="1" t="n">
        <v>65245</v>
      </c>
      <c r="B65246">
        <f>TEXT(65245, "[$-0E0000]yyyy-mm-dd")</f>
        <v/>
      </c>
      <c r="C65246" t="inlineStr">
        <is>
          <t>2078-07-12</t>
        </is>
      </c>
    </row>
    <row r="65247">
      <c r="A65247" s="1" t="n">
        <v>65246</v>
      </c>
      <c r="B65247">
        <f>TEXT(65246, "[$-0E0000]yyyy-mm-dd")</f>
        <v/>
      </c>
      <c r="C65247" t="inlineStr">
        <is>
          <t>2078-07-13</t>
        </is>
      </c>
    </row>
    <row r="65248">
      <c r="A65248" s="1" t="n">
        <v>65247</v>
      </c>
      <c r="B65248">
        <f>TEXT(65247, "[$-0E0000]yyyy-mm-dd")</f>
        <v/>
      </c>
      <c r="C65248" t="inlineStr">
        <is>
          <t>2078-07-14</t>
        </is>
      </c>
    </row>
    <row r="65249">
      <c r="A65249" s="1" t="n">
        <v>65248</v>
      </c>
      <c r="B65249">
        <f>TEXT(65248, "[$-0E0000]yyyy-mm-dd")</f>
        <v/>
      </c>
      <c r="C65249" t="inlineStr">
        <is>
          <t>2078-07-15</t>
        </is>
      </c>
    </row>
    <row r="65250">
      <c r="A65250" s="1" t="n">
        <v>65249</v>
      </c>
      <c r="B65250">
        <f>TEXT(65249, "[$-0E0000]yyyy-mm-dd")</f>
        <v/>
      </c>
      <c r="C65250" t="inlineStr">
        <is>
          <t>2078-07-16</t>
        </is>
      </c>
    </row>
    <row r="65251">
      <c r="A65251" s="1" t="n">
        <v>65250</v>
      </c>
      <c r="B65251">
        <f>TEXT(65250, "[$-0E0000]yyyy-mm-dd")</f>
        <v/>
      </c>
      <c r="C65251" t="inlineStr">
        <is>
          <t>2078-07-17</t>
        </is>
      </c>
    </row>
    <row r="65252">
      <c r="A65252" s="1" t="n">
        <v>65251</v>
      </c>
      <c r="B65252">
        <f>TEXT(65251, "[$-0E0000]yyyy-mm-dd")</f>
        <v/>
      </c>
      <c r="C65252" t="inlineStr">
        <is>
          <t>2078-07-18</t>
        </is>
      </c>
    </row>
    <row r="65253">
      <c r="A65253" s="1" t="n">
        <v>65252</v>
      </c>
      <c r="B65253">
        <f>TEXT(65252, "[$-0E0000]yyyy-mm-dd")</f>
        <v/>
      </c>
      <c r="C65253" t="inlineStr">
        <is>
          <t>2078-07-19</t>
        </is>
      </c>
    </row>
    <row r="65254">
      <c r="A65254" s="1" t="n">
        <v>65253</v>
      </c>
      <c r="B65254">
        <f>TEXT(65253, "[$-0E0000]yyyy-mm-dd")</f>
        <v/>
      </c>
      <c r="C65254" t="inlineStr">
        <is>
          <t>2078-07-20</t>
        </is>
      </c>
    </row>
    <row r="65255">
      <c r="A65255" s="1" t="n">
        <v>65254</v>
      </c>
      <c r="B65255">
        <f>TEXT(65254, "[$-0E0000]yyyy-mm-dd")</f>
        <v/>
      </c>
      <c r="C65255" t="inlineStr">
        <is>
          <t>2078-07-21</t>
        </is>
      </c>
    </row>
    <row r="65256">
      <c r="A65256" s="1" t="n">
        <v>65255</v>
      </c>
      <c r="B65256">
        <f>TEXT(65255, "[$-0E0000]yyyy-mm-dd")</f>
        <v/>
      </c>
      <c r="C65256" t="inlineStr">
        <is>
          <t>2078-07-22</t>
        </is>
      </c>
    </row>
    <row r="65257">
      <c r="A65257" s="1" t="n">
        <v>65256</v>
      </c>
      <c r="B65257">
        <f>TEXT(65256, "[$-0E0000]yyyy-mm-dd")</f>
        <v/>
      </c>
      <c r="C65257" t="inlineStr">
        <is>
          <t>2078-07-23</t>
        </is>
      </c>
    </row>
    <row r="65258">
      <c r="A65258" s="1" t="n">
        <v>65257</v>
      </c>
      <c r="B65258">
        <f>TEXT(65257, "[$-0E0000]yyyy-mm-dd")</f>
        <v/>
      </c>
      <c r="C65258" t="inlineStr">
        <is>
          <t>2078-07-24</t>
        </is>
      </c>
    </row>
    <row r="65259">
      <c r="A65259" s="1" t="n">
        <v>65258</v>
      </c>
      <c r="B65259">
        <f>TEXT(65258, "[$-0E0000]yyyy-mm-dd")</f>
        <v/>
      </c>
      <c r="C65259" t="inlineStr">
        <is>
          <t>2078-07-25</t>
        </is>
      </c>
    </row>
    <row r="65260">
      <c r="A65260" s="1" t="n">
        <v>65259</v>
      </c>
      <c r="B65260">
        <f>TEXT(65259, "[$-0E0000]yyyy-mm-dd")</f>
        <v/>
      </c>
      <c r="C65260" t="inlineStr">
        <is>
          <t>2078-07-26</t>
        </is>
      </c>
    </row>
    <row r="65261">
      <c r="A65261" s="1" t="n">
        <v>65260</v>
      </c>
      <c r="B65261">
        <f>TEXT(65260, "[$-0E0000]yyyy-mm-dd")</f>
        <v/>
      </c>
      <c r="C65261" t="inlineStr">
        <is>
          <t>2078-07-27</t>
        </is>
      </c>
    </row>
    <row r="65262">
      <c r="A65262" s="1" t="n">
        <v>65261</v>
      </c>
      <c r="B65262">
        <f>TEXT(65261, "[$-0E0000]yyyy-mm-dd")</f>
        <v/>
      </c>
      <c r="C65262" t="inlineStr">
        <is>
          <t>2078-07-28</t>
        </is>
      </c>
    </row>
    <row r="65263">
      <c r="A65263" s="1" t="n">
        <v>65262</v>
      </c>
      <c r="B65263">
        <f>TEXT(65262, "[$-0E0000]yyyy-mm-dd")</f>
        <v/>
      </c>
      <c r="C65263" t="inlineStr">
        <is>
          <t>2078-07-29</t>
        </is>
      </c>
    </row>
    <row r="65264">
      <c r="A65264" s="1" t="n">
        <v>65263</v>
      </c>
      <c r="B65264">
        <f>TEXT(65263, "[$-0E0000]yyyy-mm-dd")</f>
        <v/>
      </c>
      <c r="C65264" t="inlineStr">
        <is>
          <t>2078-08-01</t>
        </is>
      </c>
    </row>
    <row r="65265">
      <c r="A65265" s="1" t="n">
        <v>65264</v>
      </c>
      <c r="B65265">
        <f>TEXT(65264, "[$-0E0000]yyyy-mm-dd")</f>
        <v/>
      </c>
      <c r="C65265" t="inlineStr">
        <is>
          <t>2078-08-02</t>
        </is>
      </c>
    </row>
    <row r="65266">
      <c r="A65266" s="1" t="n">
        <v>65265</v>
      </c>
      <c r="B65266">
        <f>TEXT(65265, "[$-0E0000]yyyy-mm-dd")</f>
        <v/>
      </c>
      <c r="C65266" t="inlineStr">
        <is>
          <t>2078-08-03</t>
        </is>
      </c>
    </row>
    <row r="65267">
      <c r="A65267" s="1" t="n">
        <v>65266</v>
      </c>
      <c r="B65267">
        <f>TEXT(65266, "[$-0E0000]yyyy-mm-dd")</f>
        <v/>
      </c>
      <c r="C65267" t="inlineStr">
        <is>
          <t>2078-08-04</t>
        </is>
      </c>
    </row>
    <row r="65268">
      <c r="A65268" s="1" t="n">
        <v>65267</v>
      </c>
      <c r="B65268">
        <f>TEXT(65267, "[$-0E0000]yyyy-mm-dd")</f>
        <v/>
      </c>
      <c r="C65268" t="inlineStr">
        <is>
          <t>2078-08-05</t>
        </is>
      </c>
    </row>
    <row r="65269">
      <c r="A65269" s="1" t="n">
        <v>65268</v>
      </c>
      <c r="B65269">
        <f>TEXT(65268, "[$-0E0000]yyyy-mm-dd")</f>
        <v/>
      </c>
      <c r="C65269" t="inlineStr">
        <is>
          <t>2078-08-06</t>
        </is>
      </c>
    </row>
    <row r="65270">
      <c r="A65270" s="1" t="n">
        <v>65269</v>
      </c>
      <c r="B65270">
        <f>TEXT(65269, "[$-0E0000]yyyy-mm-dd")</f>
        <v/>
      </c>
      <c r="C65270" t="inlineStr">
        <is>
          <t>2078-08-07</t>
        </is>
      </c>
    </row>
    <row r="65271">
      <c r="A65271" s="1" t="n">
        <v>65270</v>
      </c>
      <c r="B65271">
        <f>TEXT(65270, "[$-0E0000]yyyy-mm-dd")</f>
        <v/>
      </c>
      <c r="C65271" t="inlineStr">
        <is>
          <t>2078-08-08</t>
        </is>
      </c>
    </row>
    <row r="65272">
      <c r="A65272" s="1" t="n">
        <v>65271</v>
      </c>
      <c r="B65272">
        <f>TEXT(65271, "[$-0E0000]yyyy-mm-dd")</f>
        <v/>
      </c>
      <c r="C65272" t="inlineStr">
        <is>
          <t>2078-08-09</t>
        </is>
      </c>
    </row>
    <row r="65273">
      <c r="A65273" s="1" t="n">
        <v>65272</v>
      </c>
      <c r="B65273">
        <f>TEXT(65272, "[$-0E0000]yyyy-mm-dd")</f>
        <v/>
      </c>
      <c r="C65273" t="inlineStr">
        <is>
          <t>2078-08-10</t>
        </is>
      </c>
    </row>
    <row r="65274">
      <c r="A65274" s="1" t="n">
        <v>65273</v>
      </c>
      <c r="B65274">
        <f>TEXT(65273, "[$-0E0000]yyyy-mm-dd")</f>
        <v/>
      </c>
      <c r="C65274" t="inlineStr">
        <is>
          <t>2078-08-11</t>
        </is>
      </c>
    </row>
    <row r="65275">
      <c r="A65275" s="1" t="n">
        <v>65274</v>
      </c>
      <c r="B65275">
        <f>TEXT(65274, "[$-0E0000]yyyy-mm-dd")</f>
        <v/>
      </c>
      <c r="C65275" t="inlineStr">
        <is>
          <t>2078-08-12</t>
        </is>
      </c>
    </row>
    <row r="65276">
      <c r="A65276" s="1" t="n">
        <v>65275</v>
      </c>
      <c r="B65276">
        <f>TEXT(65275, "[$-0E0000]yyyy-mm-dd")</f>
        <v/>
      </c>
      <c r="C65276" t="inlineStr">
        <is>
          <t>2078-08-13</t>
        </is>
      </c>
    </row>
    <row r="65277">
      <c r="A65277" s="1" t="n">
        <v>65276</v>
      </c>
      <c r="B65277">
        <f>TEXT(65276, "[$-0E0000]yyyy-mm-dd")</f>
        <v/>
      </c>
      <c r="C65277" t="inlineStr">
        <is>
          <t>2078-08-14</t>
        </is>
      </c>
    </row>
    <row r="65278">
      <c r="A65278" s="1" t="n">
        <v>65277</v>
      </c>
      <c r="B65278">
        <f>TEXT(65277, "[$-0E0000]yyyy-mm-dd")</f>
        <v/>
      </c>
      <c r="C65278" t="inlineStr">
        <is>
          <t>2078-08-15</t>
        </is>
      </c>
    </row>
    <row r="65279">
      <c r="A65279" s="1" t="n">
        <v>65278</v>
      </c>
      <c r="B65279">
        <f>TEXT(65278, "[$-0E0000]yyyy-mm-dd")</f>
        <v/>
      </c>
      <c r="C65279" t="inlineStr">
        <is>
          <t>2078-08-16</t>
        </is>
      </c>
    </row>
    <row r="65280">
      <c r="A65280" s="1" t="n">
        <v>65279</v>
      </c>
      <c r="B65280">
        <f>TEXT(65279, "[$-0E0000]yyyy-mm-dd")</f>
        <v/>
      </c>
      <c r="C65280" t="inlineStr">
        <is>
          <t>2078-08-17</t>
        </is>
      </c>
    </row>
    <row r="65281">
      <c r="A65281" s="1" t="n">
        <v>65280</v>
      </c>
      <c r="B65281">
        <f>TEXT(65280, "[$-0E0000]yyyy-mm-dd")</f>
        <v/>
      </c>
      <c r="C65281" t="inlineStr">
        <is>
          <t>2078-08-18</t>
        </is>
      </c>
    </row>
    <row r="65282">
      <c r="A65282" s="1" t="n">
        <v>65281</v>
      </c>
      <c r="B65282">
        <f>TEXT(65281, "[$-0E0000]yyyy-mm-dd")</f>
        <v/>
      </c>
      <c r="C65282" t="inlineStr">
        <is>
          <t>2078-08-19</t>
        </is>
      </c>
    </row>
    <row r="65283">
      <c r="A65283" s="1" t="n">
        <v>65282</v>
      </c>
      <c r="B65283">
        <f>TEXT(65282, "[$-0E0000]yyyy-mm-dd")</f>
        <v/>
      </c>
      <c r="C65283" t="inlineStr">
        <is>
          <t>2078-08-20</t>
        </is>
      </c>
    </row>
    <row r="65284">
      <c r="A65284" s="1" t="n">
        <v>65283</v>
      </c>
      <c r="B65284">
        <f>TEXT(65283, "[$-0E0000]yyyy-mm-dd")</f>
        <v/>
      </c>
      <c r="C65284" t="inlineStr">
        <is>
          <t>2078-08-21</t>
        </is>
      </c>
    </row>
    <row r="65285">
      <c r="A65285" s="1" t="n">
        <v>65284</v>
      </c>
      <c r="B65285">
        <f>TEXT(65284, "[$-0E0000]yyyy-mm-dd")</f>
        <v/>
      </c>
      <c r="C65285" t="inlineStr">
        <is>
          <t>2078-08-22</t>
        </is>
      </c>
    </row>
    <row r="65286">
      <c r="A65286" s="1" t="n">
        <v>65285</v>
      </c>
      <c r="B65286">
        <f>TEXT(65285, "[$-0E0000]yyyy-mm-dd")</f>
        <v/>
      </c>
      <c r="C65286" t="inlineStr">
        <is>
          <t>2078-08-23</t>
        </is>
      </c>
    </row>
    <row r="65287">
      <c r="A65287" s="1" t="n">
        <v>65286</v>
      </c>
      <c r="B65287">
        <f>TEXT(65286, "[$-0E0000]yyyy-mm-dd")</f>
        <v/>
      </c>
      <c r="C65287" t="inlineStr">
        <is>
          <t>2078-08-24</t>
        </is>
      </c>
    </row>
    <row r="65288">
      <c r="A65288" s="1" t="n">
        <v>65287</v>
      </c>
      <c r="B65288">
        <f>TEXT(65287, "[$-0E0000]yyyy-mm-dd")</f>
        <v/>
      </c>
      <c r="C65288" t="inlineStr">
        <is>
          <t>2078-08-25</t>
        </is>
      </c>
    </row>
    <row r="65289">
      <c r="A65289" s="1" t="n">
        <v>65288</v>
      </c>
      <c r="B65289">
        <f>TEXT(65288, "[$-0E0000]yyyy-mm-dd")</f>
        <v/>
      </c>
      <c r="C65289" t="inlineStr">
        <is>
          <t>2078-08-26</t>
        </is>
      </c>
    </row>
    <row r="65290">
      <c r="A65290" s="1" t="n">
        <v>65289</v>
      </c>
      <c r="B65290">
        <f>TEXT(65289, "[$-0E0000]yyyy-mm-dd")</f>
        <v/>
      </c>
      <c r="C65290" t="inlineStr">
        <is>
          <t>2078-08-27</t>
        </is>
      </c>
    </row>
    <row r="65291">
      <c r="A65291" s="1" t="n">
        <v>65290</v>
      </c>
      <c r="B65291">
        <f>TEXT(65290, "[$-0E0000]yyyy-mm-dd")</f>
        <v/>
      </c>
      <c r="C65291" t="inlineStr">
        <is>
          <t>2078-08-28</t>
        </is>
      </c>
    </row>
    <row r="65292">
      <c r="A65292" s="1" t="n">
        <v>65291</v>
      </c>
      <c r="B65292">
        <f>TEXT(65291, "[$-0E0000]yyyy-mm-dd")</f>
        <v/>
      </c>
      <c r="C65292" t="inlineStr">
        <is>
          <t>2078-08-29</t>
        </is>
      </c>
    </row>
    <row r="65293">
      <c r="A65293" s="1" t="n">
        <v>65292</v>
      </c>
      <c r="B65293">
        <f>TEXT(65292, "[$-0E0000]yyyy-mm-dd")</f>
        <v/>
      </c>
      <c r="C65293" t="inlineStr">
        <is>
          <t>2078-08-30</t>
        </is>
      </c>
    </row>
    <row r="65294">
      <c r="A65294" s="1" t="n">
        <v>65293</v>
      </c>
      <c r="B65294">
        <f>TEXT(65293, "[$-0E0000]yyyy-mm-dd")</f>
        <v/>
      </c>
      <c r="C65294" t="inlineStr">
        <is>
          <t>2078-09-01</t>
        </is>
      </c>
    </row>
    <row r="65295">
      <c r="A65295" s="1" t="n">
        <v>65294</v>
      </c>
      <c r="B65295">
        <f>TEXT(65294, "[$-0E0000]yyyy-mm-dd")</f>
        <v/>
      </c>
      <c r="C65295" t="inlineStr">
        <is>
          <t>2078-09-02</t>
        </is>
      </c>
    </row>
    <row r="65296">
      <c r="A65296" s="1" t="n">
        <v>65295</v>
      </c>
      <c r="B65296">
        <f>TEXT(65295, "[$-0E0000]yyyy-mm-dd")</f>
        <v/>
      </c>
      <c r="C65296" t="inlineStr">
        <is>
          <t>2078-09-03</t>
        </is>
      </c>
    </row>
    <row r="65297">
      <c r="A65297" s="1" t="n">
        <v>65296</v>
      </c>
      <c r="B65297">
        <f>TEXT(65296, "[$-0E0000]yyyy-mm-dd")</f>
        <v/>
      </c>
      <c r="C65297" t="inlineStr">
        <is>
          <t>2078-09-04</t>
        </is>
      </c>
    </row>
    <row r="65298">
      <c r="A65298" s="1" t="n">
        <v>65297</v>
      </c>
      <c r="B65298">
        <f>TEXT(65297, "[$-0E0000]yyyy-mm-dd")</f>
        <v/>
      </c>
      <c r="C65298" t="inlineStr">
        <is>
          <t>2078-09-05</t>
        </is>
      </c>
    </row>
    <row r="65299">
      <c r="A65299" s="1" t="n">
        <v>65298</v>
      </c>
      <c r="B65299">
        <f>TEXT(65298, "[$-0E0000]yyyy-mm-dd")</f>
        <v/>
      </c>
      <c r="C65299" t="inlineStr">
        <is>
          <t>2078-09-06</t>
        </is>
      </c>
    </row>
    <row r="65300">
      <c r="A65300" s="1" t="n">
        <v>65299</v>
      </c>
      <c r="B65300">
        <f>TEXT(65299, "[$-0E0000]yyyy-mm-dd")</f>
        <v/>
      </c>
      <c r="C65300" t="inlineStr">
        <is>
          <t>2078-09-07</t>
        </is>
      </c>
    </row>
    <row r="65301">
      <c r="A65301" s="1" t="n">
        <v>65300</v>
      </c>
      <c r="B65301">
        <f>TEXT(65300, "[$-0E0000]yyyy-mm-dd")</f>
        <v/>
      </c>
      <c r="C65301" t="inlineStr">
        <is>
          <t>2078-09-08</t>
        </is>
      </c>
    </row>
    <row r="65302">
      <c r="A65302" s="1" t="n">
        <v>65301</v>
      </c>
      <c r="B65302">
        <f>TEXT(65301, "[$-0E0000]yyyy-mm-dd")</f>
        <v/>
      </c>
      <c r="C65302" t="inlineStr">
        <is>
          <t>2078-09-09</t>
        </is>
      </c>
    </row>
    <row r="65303">
      <c r="A65303" s="1" t="n">
        <v>65302</v>
      </c>
      <c r="B65303">
        <f>TEXT(65302, "[$-0E0000]yyyy-mm-dd")</f>
        <v/>
      </c>
      <c r="C65303" t="inlineStr">
        <is>
          <t>2078-09-10</t>
        </is>
      </c>
    </row>
    <row r="65304">
      <c r="A65304" s="1" t="n">
        <v>65303</v>
      </c>
      <c r="B65304">
        <f>TEXT(65303, "[$-0E0000]yyyy-mm-dd")</f>
        <v/>
      </c>
      <c r="C65304" t="inlineStr">
        <is>
          <t>2078-09-11</t>
        </is>
      </c>
    </row>
    <row r="65305">
      <c r="A65305" s="1" t="n">
        <v>65304</v>
      </c>
      <c r="B65305">
        <f>TEXT(65304, "[$-0E0000]yyyy-mm-dd")</f>
        <v/>
      </c>
      <c r="C65305" t="inlineStr">
        <is>
          <t>2078-09-12</t>
        </is>
      </c>
    </row>
    <row r="65306">
      <c r="A65306" s="1" t="n">
        <v>65305</v>
      </c>
      <c r="B65306">
        <f>TEXT(65305, "[$-0E0000]yyyy-mm-dd")</f>
        <v/>
      </c>
      <c r="C65306" t="inlineStr">
        <is>
          <t>2078-09-13</t>
        </is>
      </c>
    </row>
    <row r="65307">
      <c r="A65307" s="1" t="n">
        <v>65306</v>
      </c>
      <c r="B65307">
        <f>TEXT(65306, "[$-0E0000]yyyy-mm-dd")</f>
        <v/>
      </c>
      <c r="C65307" t="inlineStr">
        <is>
          <t>2078-09-14</t>
        </is>
      </c>
    </row>
    <row r="65308">
      <c r="A65308" s="1" t="n">
        <v>65307</v>
      </c>
      <c r="B65308">
        <f>TEXT(65307, "[$-0E0000]yyyy-mm-dd")</f>
        <v/>
      </c>
      <c r="C65308" t="inlineStr">
        <is>
          <t>2078-09-15</t>
        </is>
      </c>
    </row>
    <row r="65309">
      <c r="A65309" s="1" t="n">
        <v>65308</v>
      </c>
      <c r="B65309">
        <f>TEXT(65308, "[$-0E0000]yyyy-mm-dd")</f>
        <v/>
      </c>
      <c r="C65309" t="inlineStr">
        <is>
          <t>2078-09-16</t>
        </is>
      </c>
    </row>
    <row r="65310">
      <c r="A65310" s="1" t="n">
        <v>65309</v>
      </c>
      <c r="B65310">
        <f>TEXT(65309, "[$-0E0000]yyyy-mm-dd")</f>
        <v/>
      </c>
      <c r="C65310" t="inlineStr">
        <is>
          <t>2078-09-17</t>
        </is>
      </c>
    </row>
    <row r="65311">
      <c r="A65311" s="1" t="n">
        <v>65310</v>
      </c>
      <c r="B65311">
        <f>TEXT(65310, "[$-0E0000]yyyy-mm-dd")</f>
        <v/>
      </c>
      <c r="C65311" t="inlineStr">
        <is>
          <t>2078-09-18</t>
        </is>
      </c>
    </row>
    <row r="65312">
      <c r="A65312" s="1" t="n">
        <v>65311</v>
      </c>
      <c r="B65312">
        <f>TEXT(65311, "[$-0E0000]yyyy-mm-dd")</f>
        <v/>
      </c>
      <c r="C65312" t="inlineStr">
        <is>
          <t>2078-09-19</t>
        </is>
      </c>
    </row>
    <row r="65313">
      <c r="A65313" s="1" t="n">
        <v>65312</v>
      </c>
      <c r="B65313">
        <f>TEXT(65312, "[$-0E0000]yyyy-mm-dd")</f>
        <v/>
      </c>
      <c r="C65313" t="inlineStr">
        <is>
          <t>2078-09-20</t>
        </is>
      </c>
    </row>
    <row r="65314">
      <c r="A65314" s="1" t="n">
        <v>65313</v>
      </c>
      <c r="B65314">
        <f>TEXT(65313, "[$-0E0000]yyyy-mm-dd")</f>
        <v/>
      </c>
      <c r="C65314" t="inlineStr">
        <is>
          <t>2078-09-21</t>
        </is>
      </c>
    </row>
    <row r="65315">
      <c r="A65315" s="1" t="n">
        <v>65314</v>
      </c>
      <c r="B65315">
        <f>TEXT(65314, "[$-0E0000]yyyy-mm-dd")</f>
        <v/>
      </c>
      <c r="C65315" t="inlineStr">
        <is>
          <t>2078-09-22</t>
        </is>
      </c>
    </row>
    <row r="65316">
      <c r="A65316" s="1" t="n">
        <v>65315</v>
      </c>
      <c r="B65316">
        <f>TEXT(65315, "[$-0E0000]yyyy-mm-dd")</f>
        <v/>
      </c>
      <c r="C65316" t="inlineStr">
        <is>
          <t>2078-09-23</t>
        </is>
      </c>
    </row>
    <row r="65317">
      <c r="A65317" s="1" t="n">
        <v>65316</v>
      </c>
      <c r="B65317">
        <f>TEXT(65316, "[$-0E0000]yyyy-mm-dd")</f>
        <v/>
      </c>
      <c r="C65317" t="inlineStr">
        <is>
          <t>2078-09-24</t>
        </is>
      </c>
    </row>
    <row r="65318">
      <c r="A65318" s="1" t="n">
        <v>65317</v>
      </c>
      <c r="B65318">
        <f>TEXT(65317, "[$-0E0000]yyyy-mm-dd")</f>
        <v/>
      </c>
      <c r="C65318" t="inlineStr">
        <is>
          <t>2078-09-25</t>
        </is>
      </c>
    </row>
    <row r="65319">
      <c r="A65319" s="1" t="n">
        <v>65318</v>
      </c>
      <c r="B65319">
        <f>TEXT(65318, "[$-0E0000]yyyy-mm-dd")</f>
        <v/>
      </c>
      <c r="C65319" t="inlineStr">
        <is>
          <t>2078-09-26</t>
        </is>
      </c>
    </row>
    <row r="65320">
      <c r="A65320" s="1" t="n">
        <v>65319</v>
      </c>
      <c r="B65320">
        <f>TEXT(65319, "[$-0E0000]yyyy-mm-dd")</f>
        <v/>
      </c>
      <c r="C65320" t="inlineStr">
        <is>
          <t>2078-09-27</t>
        </is>
      </c>
    </row>
    <row r="65321">
      <c r="A65321" s="1" t="n">
        <v>65320</v>
      </c>
      <c r="B65321">
        <f>TEXT(65320, "[$-0E0000]yyyy-mm-dd")</f>
        <v/>
      </c>
      <c r="C65321" t="inlineStr">
        <is>
          <t>2078-09-28</t>
        </is>
      </c>
    </row>
    <row r="65322">
      <c r="A65322" s="1" t="n">
        <v>65321</v>
      </c>
      <c r="B65322">
        <f>TEXT(65321, "[$-0E0000]yyyy-mm-dd")</f>
        <v/>
      </c>
      <c r="C65322" t="inlineStr">
        <is>
          <t>2078-09-29</t>
        </is>
      </c>
    </row>
    <row r="65323">
      <c r="A65323" s="1" t="n">
        <v>65322</v>
      </c>
      <c r="B65323">
        <f>TEXT(65322, "[$-0E0000]yyyy-mm-dd")</f>
        <v/>
      </c>
      <c r="C65323" t="inlineStr">
        <is>
          <t>2078-09-30</t>
        </is>
      </c>
    </row>
    <row r="65324">
      <c r="A65324" s="1" t="n">
        <v>65323</v>
      </c>
      <c r="B65324">
        <f>TEXT(65323, "[$-0E0000]yyyy-mm-dd")</f>
        <v/>
      </c>
      <c r="C65324" t="inlineStr">
        <is>
          <t>2078-10-01</t>
        </is>
      </c>
    </row>
    <row r="65325">
      <c r="A65325" s="1" t="n">
        <v>65324</v>
      </c>
      <c r="B65325">
        <f>TEXT(65324, "[$-0E0000]yyyy-mm-dd")</f>
        <v/>
      </c>
      <c r="C65325" t="inlineStr">
        <is>
          <t>2078-10-02</t>
        </is>
      </c>
    </row>
    <row r="65326">
      <c r="A65326" s="1" t="n">
        <v>65325</v>
      </c>
      <c r="B65326">
        <f>TEXT(65325, "[$-0E0000]yyyy-mm-dd")</f>
        <v/>
      </c>
      <c r="C65326" t="inlineStr">
        <is>
          <t>2078-10-03</t>
        </is>
      </c>
    </row>
    <row r="65327">
      <c r="A65327" s="1" t="n">
        <v>65326</v>
      </c>
      <c r="B65327">
        <f>TEXT(65326, "[$-0E0000]yyyy-mm-dd")</f>
        <v/>
      </c>
      <c r="C65327" t="inlineStr">
        <is>
          <t>2078-10-04</t>
        </is>
      </c>
    </row>
    <row r="65328">
      <c r="A65328" s="1" t="n">
        <v>65327</v>
      </c>
      <c r="B65328">
        <f>TEXT(65327, "[$-0E0000]yyyy-mm-dd")</f>
        <v/>
      </c>
      <c r="C65328" t="inlineStr">
        <is>
          <t>2078-10-05</t>
        </is>
      </c>
    </row>
    <row r="65329">
      <c r="A65329" s="1" t="n">
        <v>65328</v>
      </c>
      <c r="B65329">
        <f>TEXT(65328, "[$-0E0000]yyyy-mm-dd")</f>
        <v/>
      </c>
      <c r="C65329" t="inlineStr">
        <is>
          <t>2078-10-06</t>
        </is>
      </c>
    </row>
    <row r="65330">
      <c r="A65330" s="1" t="n">
        <v>65329</v>
      </c>
      <c r="B65330">
        <f>TEXT(65329, "[$-0E0000]yyyy-mm-dd")</f>
        <v/>
      </c>
      <c r="C65330" t="inlineStr">
        <is>
          <t>2078-10-07</t>
        </is>
      </c>
    </row>
    <row r="65331">
      <c r="A65331" s="1" t="n">
        <v>65330</v>
      </c>
      <c r="B65331">
        <f>TEXT(65330, "[$-0E0000]yyyy-mm-dd")</f>
        <v/>
      </c>
      <c r="C65331" t="inlineStr">
        <is>
          <t>2078-10-08</t>
        </is>
      </c>
    </row>
    <row r="65332">
      <c r="A65332" s="1" t="n">
        <v>65331</v>
      </c>
      <c r="B65332">
        <f>TEXT(65331, "[$-0E0000]yyyy-mm-dd")</f>
        <v/>
      </c>
      <c r="C65332" t="inlineStr">
        <is>
          <t>2078-10-09</t>
        </is>
      </c>
    </row>
    <row r="65333">
      <c r="A65333" s="1" t="n">
        <v>65332</v>
      </c>
      <c r="B65333">
        <f>TEXT(65332, "[$-0E0000]yyyy-mm-dd")</f>
        <v/>
      </c>
      <c r="C65333" t="inlineStr">
        <is>
          <t>2078-10-10</t>
        </is>
      </c>
    </row>
    <row r="65334">
      <c r="A65334" s="1" t="n">
        <v>65333</v>
      </c>
      <c r="B65334">
        <f>TEXT(65333, "[$-0E0000]yyyy-mm-dd")</f>
        <v/>
      </c>
      <c r="C65334" t="inlineStr">
        <is>
          <t>2078-10-11</t>
        </is>
      </c>
    </row>
    <row r="65335">
      <c r="A65335" s="1" t="n">
        <v>65334</v>
      </c>
      <c r="B65335">
        <f>TEXT(65334, "[$-0E0000]yyyy-mm-dd")</f>
        <v/>
      </c>
      <c r="C65335" t="inlineStr">
        <is>
          <t>2078-10-12</t>
        </is>
      </c>
    </row>
    <row r="65336">
      <c r="A65336" s="1" t="n">
        <v>65335</v>
      </c>
      <c r="B65336">
        <f>TEXT(65335, "[$-0E0000]yyyy-mm-dd")</f>
        <v/>
      </c>
      <c r="C65336" t="inlineStr">
        <is>
          <t>2078-10-13</t>
        </is>
      </c>
    </row>
    <row r="65337">
      <c r="A65337" s="1" t="n">
        <v>65336</v>
      </c>
      <c r="B65337">
        <f>TEXT(65336, "[$-0E0000]yyyy-mm-dd")</f>
        <v/>
      </c>
      <c r="C65337" t="inlineStr">
        <is>
          <t>2078-10-14</t>
        </is>
      </c>
    </row>
    <row r="65338">
      <c r="A65338" s="1" t="n">
        <v>65337</v>
      </c>
      <c r="B65338">
        <f>TEXT(65337, "[$-0E0000]yyyy-mm-dd")</f>
        <v/>
      </c>
      <c r="C65338" t="inlineStr">
        <is>
          <t>2078-10-15</t>
        </is>
      </c>
    </row>
    <row r="65339">
      <c r="A65339" s="1" t="n">
        <v>65338</v>
      </c>
      <c r="B65339">
        <f>TEXT(65338, "[$-0E0000]yyyy-mm-dd")</f>
        <v/>
      </c>
      <c r="C65339" t="inlineStr">
        <is>
          <t>2078-10-16</t>
        </is>
      </c>
    </row>
    <row r="65340">
      <c r="A65340" s="1" t="n">
        <v>65339</v>
      </c>
      <c r="B65340">
        <f>TEXT(65339, "[$-0E0000]yyyy-mm-dd")</f>
        <v/>
      </c>
      <c r="C65340" t="inlineStr">
        <is>
          <t>2078-10-17</t>
        </is>
      </c>
    </row>
    <row r="65341">
      <c r="A65341" s="1" t="n">
        <v>65340</v>
      </c>
      <c r="B65341">
        <f>TEXT(65340, "[$-0E0000]yyyy-mm-dd")</f>
        <v/>
      </c>
      <c r="C65341" t="inlineStr">
        <is>
          <t>2078-10-18</t>
        </is>
      </c>
    </row>
    <row r="65342">
      <c r="A65342" s="1" t="n">
        <v>65341</v>
      </c>
      <c r="B65342">
        <f>TEXT(65341, "[$-0E0000]yyyy-mm-dd")</f>
        <v/>
      </c>
      <c r="C65342" t="inlineStr">
        <is>
          <t>2078-10-19</t>
        </is>
      </c>
    </row>
    <row r="65343">
      <c r="A65343" s="1" t="n">
        <v>65342</v>
      </c>
      <c r="B65343">
        <f>TEXT(65342, "[$-0E0000]yyyy-mm-dd")</f>
        <v/>
      </c>
      <c r="C65343" t="inlineStr">
        <is>
          <t>2078-10-20</t>
        </is>
      </c>
    </row>
    <row r="65344">
      <c r="A65344" s="1" t="n">
        <v>65343</v>
      </c>
      <c r="B65344">
        <f>TEXT(65343, "[$-0E0000]yyyy-mm-dd")</f>
        <v/>
      </c>
      <c r="C65344" t="inlineStr">
        <is>
          <t>2078-10-21</t>
        </is>
      </c>
    </row>
    <row r="65345">
      <c r="A65345" s="1" t="n">
        <v>65344</v>
      </c>
      <c r="B65345">
        <f>TEXT(65344, "[$-0E0000]yyyy-mm-dd")</f>
        <v/>
      </c>
      <c r="C65345" t="inlineStr">
        <is>
          <t>2078-10-22</t>
        </is>
      </c>
    </row>
    <row r="65346">
      <c r="A65346" s="1" t="n">
        <v>65345</v>
      </c>
      <c r="B65346">
        <f>TEXT(65345, "[$-0E0000]yyyy-mm-dd")</f>
        <v/>
      </c>
      <c r="C65346" t="inlineStr">
        <is>
          <t>2078-10-23</t>
        </is>
      </c>
    </row>
    <row r="65347">
      <c r="A65347" s="1" t="n">
        <v>65346</v>
      </c>
      <c r="B65347">
        <f>TEXT(65346, "[$-0E0000]yyyy-mm-dd")</f>
        <v/>
      </c>
      <c r="C65347" t="inlineStr">
        <is>
          <t>2078-10-24</t>
        </is>
      </c>
    </row>
    <row r="65348">
      <c r="A65348" s="1" t="n">
        <v>65347</v>
      </c>
      <c r="B65348">
        <f>TEXT(65347, "[$-0E0000]yyyy-mm-dd")</f>
        <v/>
      </c>
      <c r="C65348" t="inlineStr">
        <is>
          <t>2078-10-25</t>
        </is>
      </c>
    </row>
    <row r="65349">
      <c r="A65349" s="1" t="n">
        <v>65348</v>
      </c>
      <c r="B65349">
        <f>TEXT(65348, "[$-0E0000]yyyy-mm-dd")</f>
        <v/>
      </c>
      <c r="C65349" t="inlineStr">
        <is>
          <t>2078-10-26</t>
        </is>
      </c>
    </row>
    <row r="65350">
      <c r="A65350" s="1" t="n">
        <v>65349</v>
      </c>
      <c r="B65350">
        <f>TEXT(65349, "[$-0E0000]yyyy-mm-dd")</f>
        <v/>
      </c>
      <c r="C65350" t="inlineStr">
        <is>
          <t>2078-10-27</t>
        </is>
      </c>
    </row>
    <row r="65351">
      <c r="A65351" s="1" t="n">
        <v>65350</v>
      </c>
      <c r="B65351">
        <f>TEXT(65350, "[$-0E0000]yyyy-mm-dd")</f>
        <v/>
      </c>
      <c r="C65351" t="inlineStr">
        <is>
          <t>2078-10-28</t>
        </is>
      </c>
    </row>
    <row r="65352">
      <c r="A65352" s="1" t="n">
        <v>65351</v>
      </c>
      <c r="B65352">
        <f>TEXT(65351, "[$-0E0000]yyyy-mm-dd")</f>
        <v/>
      </c>
      <c r="C65352" t="inlineStr">
        <is>
          <t>2078-10-29</t>
        </is>
      </c>
    </row>
    <row r="65353">
      <c r="A65353" s="1" t="n">
        <v>65352</v>
      </c>
      <c r="B65353">
        <f>TEXT(65352, "[$-0E0000]yyyy-mm-dd")</f>
        <v/>
      </c>
      <c r="C65353" t="inlineStr">
        <is>
          <t>2078-11-01</t>
        </is>
      </c>
    </row>
    <row r="65354">
      <c r="A65354" s="1" t="n">
        <v>65353</v>
      </c>
      <c r="B65354">
        <f>TEXT(65353, "[$-0E0000]yyyy-mm-dd")</f>
        <v/>
      </c>
      <c r="C65354" t="inlineStr">
        <is>
          <t>2078-11-02</t>
        </is>
      </c>
    </row>
    <row r="65355">
      <c r="A65355" s="1" t="n">
        <v>65354</v>
      </c>
      <c r="B65355">
        <f>TEXT(65354, "[$-0E0000]yyyy-mm-dd")</f>
        <v/>
      </c>
      <c r="C65355" t="inlineStr">
        <is>
          <t>2078-11-03</t>
        </is>
      </c>
    </row>
    <row r="65356">
      <c r="A65356" s="1" t="n">
        <v>65355</v>
      </c>
      <c r="B65356">
        <f>TEXT(65355, "[$-0E0000]yyyy-mm-dd")</f>
        <v/>
      </c>
      <c r="C65356" t="inlineStr">
        <is>
          <t>2078-11-04</t>
        </is>
      </c>
    </row>
    <row r="65357">
      <c r="A65357" s="1" t="n">
        <v>65356</v>
      </c>
      <c r="B65357">
        <f>TEXT(65356, "[$-0E0000]yyyy-mm-dd")</f>
        <v/>
      </c>
      <c r="C65357" t="inlineStr">
        <is>
          <t>2078-11-05</t>
        </is>
      </c>
    </row>
    <row r="65358">
      <c r="A65358" s="1" t="n">
        <v>65357</v>
      </c>
      <c r="B65358">
        <f>TEXT(65357, "[$-0E0000]yyyy-mm-dd")</f>
        <v/>
      </c>
      <c r="C65358" t="inlineStr">
        <is>
          <t>2078-11-06</t>
        </is>
      </c>
    </row>
    <row r="65359">
      <c r="A65359" s="1" t="n">
        <v>65358</v>
      </c>
      <c r="B65359">
        <f>TEXT(65358, "[$-0E0000]yyyy-mm-dd")</f>
        <v/>
      </c>
      <c r="C65359" t="inlineStr">
        <is>
          <t>2078-11-07</t>
        </is>
      </c>
    </row>
    <row r="65360">
      <c r="A65360" s="1" t="n">
        <v>65359</v>
      </c>
      <c r="B65360">
        <f>TEXT(65359, "[$-0E0000]yyyy-mm-dd")</f>
        <v/>
      </c>
      <c r="C65360" t="inlineStr">
        <is>
          <t>2078-11-08</t>
        </is>
      </c>
    </row>
    <row r="65361">
      <c r="A65361" s="1" t="n">
        <v>65360</v>
      </c>
      <c r="B65361">
        <f>TEXT(65360, "[$-0E0000]yyyy-mm-dd")</f>
        <v/>
      </c>
      <c r="C65361" t="inlineStr">
        <is>
          <t>2078-11-09</t>
        </is>
      </c>
    </row>
    <row r="65362">
      <c r="A65362" s="1" t="n">
        <v>65361</v>
      </c>
      <c r="B65362">
        <f>TEXT(65361, "[$-0E0000]yyyy-mm-dd")</f>
        <v/>
      </c>
      <c r="C65362" t="inlineStr">
        <is>
          <t>2078-11-10</t>
        </is>
      </c>
    </row>
    <row r="65363">
      <c r="A65363" s="1" t="n">
        <v>65362</v>
      </c>
      <c r="B65363">
        <f>TEXT(65362, "[$-0E0000]yyyy-mm-dd")</f>
        <v/>
      </c>
      <c r="C65363" t="inlineStr">
        <is>
          <t>2078-11-11</t>
        </is>
      </c>
    </row>
    <row r="65364">
      <c r="A65364" s="1" t="n">
        <v>65363</v>
      </c>
      <c r="B65364">
        <f>TEXT(65363, "[$-0E0000]yyyy-mm-dd")</f>
        <v/>
      </c>
      <c r="C65364" t="inlineStr">
        <is>
          <t>2078-11-12</t>
        </is>
      </c>
    </row>
    <row r="65365">
      <c r="A65365" s="1" t="n">
        <v>65364</v>
      </c>
      <c r="B65365">
        <f>TEXT(65364, "[$-0E0000]yyyy-mm-dd")</f>
        <v/>
      </c>
      <c r="C65365" t="inlineStr">
        <is>
          <t>2078-11-13</t>
        </is>
      </c>
    </row>
    <row r="65366">
      <c r="A65366" s="1" t="n">
        <v>65365</v>
      </c>
      <c r="B65366">
        <f>TEXT(65365, "[$-0E0000]yyyy-mm-dd")</f>
        <v/>
      </c>
      <c r="C65366" t="inlineStr">
        <is>
          <t>2078-11-14</t>
        </is>
      </c>
    </row>
    <row r="65367">
      <c r="A65367" s="1" t="n">
        <v>65366</v>
      </c>
      <c r="B65367">
        <f>TEXT(65366, "[$-0E0000]yyyy-mm-dd")</f>
        <v/>
      </c>
      <c r="C65367" t="inlineStr">
        <is>
          <t>2078-11-15</t>
        </is>
      </c>
    </row>
    <row r="65368">
      <c r="A65368" s="1" t="n">
        <v>65367</v>
      </c>
      <c r="B65368">
        <f>TEXT(65367, "[$-0E0000]yyyy-mm-dd")</f>
        <v/>
      </c>
      <c r="C65368" t="inlineStr">
        <is>
          <t>2078-11-16</t>
        </is>
      </c>
    </row>
    <row r="65369">
      <c r="A65369" s="1" t="n">
        <v>65368</v>
      </c>
      <c r="B65369">
        <f>TEXT(65368, "[$-0E0000]yyyy-mm-dd")</f>
        <v/>
      </c>
      <c r="C65369" t="inlineStr">
        <is>
          <t>2078-11-17</t>
        </is>
      </c>
    </row>
    <row r="65370">
      <c r="A65370" s="1" t="n">
        <v>65369</v>
      </c>
      <c r="B65370">
        <f>TEXT(65369, "[$-0E0000]yyyy-mm-dd")</f>
        <v/>
      </c>
      <c r="C65370" t="inlineStr">
        <is>
          <t>2078-11-18</t>
        </is>
      </c>
    </row>
    <row r="65371">
      <c r="A65371" s="1" t="n">
        <v>65370</v>
      </c>
      <c r="B65371">
        <f>TEXT(65370, "[$-0E0000]yyyy-mm-dd")</f>
        <v/>
      </c>
      <c r="C65371" t="inlineStr">
        <is>
          <t>2078-11-19</t>
        </is>
      </c>
    </row>
    <row r="65372">
      <c r="A65372" s="1" t="n">
        <v>65371</v>
      </c>
      <c r="B65372">
        <f>TEXT(65371, "[$-0E0000]yyyy-mm-dd")</f>
        <v/>
      </c>
      <c r="C65372" t="inlineStr">
        <is>
          <t>2078-11-20</t>
        </is>
      </c>
    </row>
    <row r="65373">
      <c r="A65373" s="1" t="n">
        <v>65372</v>
      </c>
      <c r="B65373">
        <f>TEXT(65372, "[$-0E0000]yyyy-mm-dd")</f>
        <v/>
      </c>
      <c r="C65373" t="inlineStr">
        <is>
          <t>2078-11-21</t>
        </is>
      </c>
    </row>
    <row r="65374">
      <c r="A65374" s="1" t="n">
        <v>65373</v>
      </c>
      <c r="B65374">
        <f>TEXT(65373, "[$-0E0000]yyyy-mm-dd")</f>
        <v/>
      </c>
      <c r="C65374" t="inlineStr">
        <is>
          <t>2078-11-22</t>
        </is>
      </c>
    </row>
    <row r="65375">
      <c r="A65375" s="1" t="n">
        <v>65374</v>
      </c>
      <c r="B65375">
        <f>TEXT(65374, "[$-0E0000]yyyy-mm-dd")</f>
        <v/>
      </c>
      <c r="C65375" t="inlineStr">
        <is>
          <t>2078-11-23</t>
        </is>
      </c>
    </row>
    <row r="65376">
      <c r="A65376" s="1" t="n">
        <v>65375</v>
      </c>
      <c r="B65376">
        <f>TEXT(65375, "[$-0E0000]yyyy-mm-dd")</f>
        <v/>
      </c>
      <c r="C65376" t="inlineStr">
        <is>
          <t>2078-11-24</t>
        </is>
      </c>
    </row>
    <row r="65377">
      <c r="A65377" s="1" t="n">
        <v>65376</v>
      </c>
      <c r="B65377">
        <f>TEXT(65376, "[$-0E0000]yyyy-mm-dd")</f>
        <v/>
      </c>
      <c r="C65377" t="inlineStr">
        <is>
          <t>2078-11-25</t>
        </is>
      </c>
    </row>
    <row r="65378">
      <c r="A65378" s="1" t="n">
        <v>65377</v>
      </c>
      <c r="B65378">
        <f>TEXT(65377, "[$-0E0000]yyyy-mm-dd")</f>
        <v/>
      </c>
      <c r="C65378" t="inlineStr">
        <is>
          <t>2078-11-26</t>
        </is>
      </c>
    </row>
    <row r="65379">
      <c r="A65379" s="1" t="n">
        <v>65378</v>
      </c>
      <c r="B65379">
        <f>TEXT(65378, "[$-0E0000]yyyy-mm-dd")</f>
        <v/>
      </c>
      <c r="C65379" t="inlineStr">
        <is>
          <t>2078-11-27</t>
        </is>
      </c>
    </row>
    <row r="65380">
      <c r="A65380" s="1" t="n">
        <v>65379</v>
      </c>
      <c r="B65380">
        <f>TEXT(65379, "[$-0E0000]yyyy-mm-dd")</f>
        <v/>
      </c>
      <c r="C65380" t="inlineStr">
        <is>
          <t>2078-11-28</t>
        </is>
      </c>
    </row>
    <row r="65381">
      <c r="A65381" s="1" t="n">
        <v>65380</v>
      </c>
      <c r="B65381">
        <f>TEXT(65380, "[$-0E0000]yyyy-mm-dd")</f>
        <v/>
      </c>
      <c r="C65381" t="inlineStr">
        <is>
          <t>2078-11-29</t>
        </is>
      </c>
    </row>
    <row r="65382">
      <c r="A65382" s="1" t="n">
        <v>65381</v>
      </c>
      <c r="B65382">
        <f>TEXT(65381, "[$-0E0000]yyyy-mm-dd")</f>
        <v/>
      </c>
      <c r="C65382" t="inlineStr">
        <is>
          <t>2078-11-30</t>
        </is>
      </c>
    </row>
    <row r="65383">
      <c r="A65383" s="1" t="n">
        <v>65382</v>
      </c>
      <c r="B65383">
        <f>TEXT(65382, "[$-0E0000]yyyy-mm-dd")</f>
        <v/>
      </c>
      <c r="C65383" t="inlineStr">
        <is>
          <t>2078-12-01</t>
        </is>
      </c>
    </row>
    <row r="65384">
      <c r="A65384" s="1" t="n">
        <v>65383</v>
      </c>
      <c r="B65384">
        <f>TEXT(65383, "[$-0E0000]yyyy-mm-dd")</f>
        <v/>
      </c>
      <c r="C65384" t="inlineStr">
        <is>
          <t>2078-12-02</t>
        </is>
      </c>
    </row>
    <row r="65385">
      <c r="A65385" s="1" t="n">
        <v>65384</v>
      </c>
      <c r="B65385">
        <f>TEXT(65384, "[$-0E0000]yyyy-mm-dd")</f>
        <v/>
      </c>
      <c r="C65385" t="inlineStr">
        <is>
          <t>2078-12-03</t>
        </is>
      </c>
    </row>
    <row r="65386">
      <c r="A65386" s="1" t="n">
        <v>65385</v>
      </c>
      <c r="B65386">
        <f>TEXT(65385, "[$-0E0000]yyyy-mm-dd")</f>
        <v/>
      </c>
      <c r="C65386" t="inlineStr">
        <is>
          <t>2078-12-04</t>
        </is>
      </c>
    </row>
    <row r="65387">
      <c r="A65387" s="1" t="n">
        <v>65386</v>
      </c>
      <c r="B65387">
        <f>TEXT(65386, "[$-0E0000]yyyy-mm-dd")</f>
        <v/>
      </c>
      <c r="C65387" t="inlineStr">
        <is>
          <t>2078-12-05</t>
        </is>
      </c>
    </row>
    <row r="65388">
      <c r="A65388" s="1" t="n">
        <v>65387</v>
      </c>
      <c r="B65388">
        <f>TEXT(65387, "[$-0E0000]yyyy-mm-dd")</f>
        <v/>
      </c>
      <c r="C65388" t="inlineStr">
        <is>
          <t>2078-12-06</t>
        </is>
      </c>
    </row>
    <row r="65389">
      <c r="A65389" s="1" t="n">
        <v>65388</v>
      </c>
      <c r="B65389">
        <f>TEXT(65388, "[$-0E0000]yyyy-mm-dd")</f>
        <v/>
      </c>
      <c r="C65389" t="inlineStr">
        <is>
          <t>2078-12-07</t>
        </is>
      </c>
    </row>
    <row r="65390">
      <c r="A65390" s="1" t="n">
        <v>65389</v>
      </c>
      <c r="B65390">
        <f>TEXT(65389, "[$-0E0000]yyyy-mm-dd")</f>
        <v/>
      </c>
      <c r="C65390" t="inlineStr">
        <is>
          <t>2078-12-08</t>
        </is>
      </c>
    </row>
    <row r="65391">
      <c r="A65391" s="1" t="n">
        <v>65390</v>
      </c>
      <c r="B65391">
        <f>TEXT(65390, "[$-0E0000]yyyy-mm-dd")</f>
        <v/>
      </c>
      <c r="C65391" t="inlineStr">
        <is>
          <t>2078-12-09</t>
        </is>
      </c>
    </row>
    <row r="65392">
      <c r="A65392" s="1" t="n">
        <v>65391</v>
      </c>
      <c r="B65392">
        <f>TEXT(65391, "[$-0E0000]yyyy-mm-dd")</f>
        <v/>
      </c>
      <c r="C65392" t="inlineStr">
        <is>
          <t>2078-12-10</t>
        </is>
      </c>
    </row>
    <row r="65393">
      <c r="A65393" s="1" t="n">
        <v>65392</v>
      </c>
      <c r="B65393">
        <f>TEXT(65392, "[$-0E0000]yyyy-mm-dd")</f>
        <v/>
      </c>
      <c r="C65393" t="inlineStr">
        <is>
          <t>2078-12-11</t>
        </is>
      </c>
    </row>
    <row r="65394">
      <c r="A65394" s="1" t="n">
        <v>65393</v>
      </c>
      <c r="B65394">
        <f>TEXT(65393, "[$-0E0000]yyyy-mm-dd")</f>
        <v/>
      </c>
      <c r="C65394" t="inlineStr">
        <is>
          <t>2078-12-12</t>
        </is>
      </c>
    </row>
    <row r="65395">
      <c r="A65395" s="1" t="n">
        <v>65394</v>
      </c>
      <c r="B65395">
        <f>TEXT(65394, "[$-0E0000]yyyy-mm-dd")</f>
        <v/>
      </c>
      <c r="C65395" t="inlineStr">
        <is>
          <t>2078-12-13</t>
        </is>
      </c>
    </row>
    <row r="65396">
      <c r="A65396" s="1" t="n">
        <v>65395</v>
      </c>
      <c r="B65396">
        <f>TEXT(65395, "[$-0E0000]yyyy-mm-dd")</f>
        <v/>
      </c>
      <c r="C65396" t="inlineStr">
        <is>
          <t>2078-12-14</t>
        </is>
      </c>
    </row>
    <row r="65397">
      <c r="A65397" s="1" t="n">
        <v>65396</v>
      </c>
      <c r="B65397">
        <f>TEXT(65396, "[$-0E0000]yyyy-mm-dd")</f>
        <v/>
      </c>
      <c r="C65397" t="inlineStr">
        <is>
          <t>2078-12-15</t>
        </is>
      </c>
    </row>
    <row r="65398">
      <c r="A65398" s="1" t="n">
        <v>65397</v>
      </c>
      <c r="B65398">
        <f>TEXT(65397, "[$-0E0000]yyyy-mm-dd")</f>
        <v/>
      </c>
      <c r="C65398" t="inlineStr">
        <is>
          <t>2078-12-16</t>
        </is>
      </c>
    </row>
    <row r="65399">
      <c r="A65399" s="1" t="n">
        <v>65398</v>
      </c>
      <c r="B65399">
        <f>TEXT(65398, "[$-0E0000]yyyy-mm-dd")</f>
        <v/>
      </c>
      <c r="C65399" t="inlineStr">
        <is>
          <t>2078-12-17</t>
        </is>
      </c>
    </row>
    <row r="65400">
      <c r="A65400" s="1" t="n">
        <v>65399</v>
      </c>
      <c r="B65400">
        <f>TEXT(65399, "[$-0E0000]yyyy-mm-dd")</f>
        <v/>
      </c>
      <c r="C65400" t="inlineStr">
        <is>
          <t>2078-12-18</t>
        </is>
      </c>
    </row>
    <row r="65401">
      <c r="A65401" s="1" t="n">
        <v>65400</v>
      </c>
      <c r="B65401">
        <f>TEXT(65400, "[$-0E0000]yyyy-mm-dd")</f>
        <v/>
      </c>
      <c r="C65401" t="inlineStr">
        <is>
          <t>2078-12-19</t>
        </is>
      </c>
    </row>
    <row r="65402">
      <c r="A65402" s="1" t="n">
        <v>65401</v>
      </c>
      <c r="B65402">
        <f>TEXT(65401, "[$-0E0000]yyyy-mm-dd")</f>
        <v/>
      </c>
      <c r="C65402" t="inlineStr">
        <is>
          <t>2078-12-20</t>
        </is>
      </c>
    </row>
    <row r="65403">
      <c r="A65403" s="1" t="n">
        <v>65402</v>
      </c>
      <c r="B65403">
        <f>TEXT(65402, "[$-0E0000]yyyy-mm-dd")</f>
        <v/>
      </c>
      <c r="C65403" t="inlineStr">
        <is>
          <t>2078-12-21</t>
        </is>
      </c>
    </row>
    <row r="65404">
      <c r="A65404" s="1" t="n">
        <v>65403</v>
      </c>
      <c r="B65404">
        <f>TEXT(65403, "[$-0E0000]yyyy-mm-dd")</f>
        <v/>
      </c>
      <c r="C65404" t="inlineStr">
        <is>
          <t>2078-12-22</t>
        </is>
      </c>
    </row>
    <row r="65405">
      <c r="A65405" s="1" t="n">
        <v>65404</v>
      </c>
      <c r="B65405">
        <f>TEXT(65404, "[$-0E0000]yyyy-mm-dd")</f>
        <v/>
      </c>
      <c r="C65405" t="inlineStr">
        <is>
          <t>2078-12-23</t>
        </is>
      </c>
    </row>
    <row r="65406">
      <c r="A65406" s="1" t="n">
        <v>65405</v>
      </c>
      <c r="B65406">
        <f>TEXT(65405, "[$-0E0000]yyyy-mm-dd")</f>
        <v/>
      </c>
      <c r="C65406" t="inlineStr">
        <is>
          <t>2078-12-24</t>
        </is>
      </c>
    </row>
    <row r="65407">
      <c r="A65407" s="1" t="n">
        <v>65406</v>
      </c>
      <c r="B65407">
        <f>TEXT(65406, "[$-0E0000]yyyy-mm-dd")</f>
        <v/>
      </c>
      <c r="C65407" t="inlineStr">
        <is>
          <t>2078-12-25</t>
        </is>
      </c>
    </row>
    <row r="65408">
      <c r="A65408" s="1" t="n">
        <v>65407</v>
      </c>
      <c r="B65408">
        <f>TEXT(65407, "[$-0E0000]yyyy-mm-dd")</f>
        <v/>
      </c>
      <c r="C65408" t="inlineStr">
        <is>
          <t>2078-12-26</t>
        </is>
      </c>
    </row>
    <row r="65409">
      <c r="A65409" s="1" t="n">
        <v>65408</v>
      </c>
      <c r="B65409">
        <f>TEXT(65408, "[$-0E0000]yyyy-mm-dd")</f>
        <v/>
      </c>
      <c r="C65409" t="inlineStr">
        <is>
          <t>2078-12-27</t>
        </is>
      </c>
    </row>
    <row r="65410">
      <c r="A65410" s="1" t="n">
        <v>65409</v>
      </c>
      <c r="B65410">
        <f>TEXT(65409, "[$-0E0000]yyyy-mm-dd")</f>
        <v/>
      </c>
      <c r="C65410" t="inlineStr">
        <is>
          <t>2078-12-28</t>
        </is>
      </c>
    </row>
    <row r="65411">
      <c r="A65411" s="1" t="n">
        <v>65410</v>
      </c>
      <c r="B65411">
        <f>TEXT(65410, "[$-0E0000]yyyy-mm-dd")</f>
        <v/>
      </c>
      <c r="C65411" t="inlineStr">
        <is>
          <t>2078-12-29</t>
        </is>
      </c>
    </row>
    <row r="65412">
      <c r="A65412" s="1" t="n">
        <v>65411</v>
      </c>
      <c r="B65412">
        <f>TEXT(65411, "[$-0E0000]yyyy-mm-dd")</f>
        <v/>
      </c>
      <c r="C65412" t="inlineStr">
        <is>
          <t>2078-12-30</t>
        </is>
      </c>
    </row>
    <row r="65413">
      <c r="A65413" s="1" t="n">
        <v>65412</v>
      </c>
      <c r="B65413">
        <f>TEXT(65412, "[$-0E0000]yyyy-mm-dd")</f>
        <v/>
      </c>
      <c r="C65413" t="inlineStr">
        <is>
          <t>2079-01-01</t>
        </is>
      </c>
    </row>
    <row r="65414">
      <c r="A65414" s="1" t="n">
        <v>65413</v>
      </c>
      <c r="B65414">
        <f>TEXT(65413, "[$-0E0000]yyyy-mm-dd")</f>
        <v/>
      </c>
      <c r="C65414" t="inlineStr">
        <is>
          <t>2079-01-02</t>
        </is>
      </c>
    </row>
    <row r="65415">
      <c r="A65415" s="1" t="n">
        <v>65414</v>
      </c>
      <c r="B65415">
        <f>TEXT(65414, "[$-0E0000]yyyy-mm-dd")</f>
        <v/>
      </c>
      <c r="C65415" t="inlineStr">
        <is>
          <t>2079-01-03</t>
        </is>
      </c>
    </row>
    <row r="65416">
      <c r="A65416" s="1" t="n">
        <v>65415</v>
      </c>
      <c r="B65416">
        <f>TEXT(65415, "[$-0E0000]yyyy-mm-dd")</f>
        <v/>
      </c>
      <c r="C65416" t="inlineStr">
        <is>
          <t>2079-01-04</t>
        </is>
      </c>
    </row>
    <row r="65417">
      <c r="A65417" s="1" t="n">
        <v>65416</v>
      </c>
      <c r="B65417">
        <f>TEXT(65416, "[$-0E0000]yyyy-mm-dd")</f>
        <v/>
      </c>
      <c r="C65417" t="inlineStr">
        <is>
          <t>2079-01-05</t>
        </is>
      </c>
    </row>
    <row r="65418">
      <c r="A65418" s="1" t="n">
        <v>65417</v>
      </c>
      <c r="B65418">
        <f>TEXT(65417, "[$-0E0000]yyyy-mm-dd")</f>
        <v/>
      </c>
      <c r="C65418" t="inlineStr">
        <is>
          <t>2079-01-06</t>
        </is>
      </c>
    </row>
    <row r="65419">
      <c r="A65419" s="1" t="n">
        <v>65418</v>
      </c>
      <c r="B65419">
        <f>TEXT(65418, "[$-0E0000]yyyy-mm-dd")</f>
        <v/>
      </c>
      <c r="C65419" t="inlineStr">
        <is>
          <t>2079-01-07</t>
        </is>
      </c>
    </row>
    <row r="65420">
      <c r="A65420" s="1" t="n">
        <v>65419</v>
      </c>
      <c r="B65420">
        <f>TEXT(65419, "[$-0E0000]yyyy-mm-dd")</f>
        <v/>
      </c>
      <c r="C65420" t="inlineStr">
        <is>
          <t>2079-01-08</t>
        </is>
      </c>
    </row>
    <row r="65421">
      <c r="A65421" s="1" t="n">
        <v>65420</v>
      </c>
      <c r="B65421">
        <f>TEXT(65420, "[$-0E0000]yyyy-mm-dd")</f>
        <v/>
      </c>
      <c r="C65421" t="inlineStr">
        <is>
          <t>2079-01-09</t>
        </is>
      </c>
    </row>
    <row r="65422">
      <c r="A65422" s="1" t="n">
        <v>65421</v>
      </c>
      <c r="B65422">
        <f>TEXT(65421, "[$-0E0000]yyyy-mm-dd")</f>
        <v/>
      </c>
      <c r="C65422" t="inlineStr">
        <is>
          <t>2079-01-10</t>
        </is>
      </c>
    </row>
    <row r="65423">
      <c r="A65423" s="1" t="n">
        <v>65422</v>
      </c>
      <c r="B65423">
        <f>TEXT(65422, "[$-0E0000]yyyy-mm-dd")</f>
        <v/>
      </c>
      <c r="C65423" t="inlineStr">
        <is>
          <t>2079-01-11</t>
        </is>
      </c>
    </row>
    <row r="65424">
      <c r="A65424" s="1" t="n">
        <v>65423</v>
      </c>
      <c r="B65424">
        <f>TEXT(65423, "[$-0E0000]yyyy-mm-dd")</f>
        <v/>
      </c>
      <c r="C65424" t="inlineStr">
        <is>
          <t>2079-01-12</t>
        </is>
      </c>
    </row>
    <row r="65425">
      <c r="A65425" s="1" t="n">
        <v>65424</v>
      </c>
      <c r="B65425">
        <f>TEXT(65424, "[$-0E0000]yyyy-mm-dd")</f>
        <v/>
      </c>
      <c r="C65425" t="inlineStr">
        <is>
          <t>2079-01-13</t>
        </is>
      </c>
    </row>
    <row r="65426">
      <c r="A65426" s="1" t="n">
        <v>65425</v>
      </c>
      <c r="B65426">
        <f>TEXT(65425, "[$-0E0000]yyyy-mm-dd")</f>
        <v/>
      </c>
      <c r="C65426" t="inlineStr">
        <is>
          <t>2079-01-14</t>
        </is>
      </c>
    </row>
    <row r="65427">
      <c r="A65427" s="1" t="n">
        <v>65426</v>
      </c>
      <c r="B65427">
        <f>TEXT(65426, "[$-0E0000]yyyy-mm-dd")</f>
        <v/>
      </c>
      <c r="C65427" t="inlineStr">
        <is>
          <t>2079-01-15</t>
        </is>
      </c>
    </row>
    <row r="65428">
      <c r="A65428" s="1" t="n">
        <v>65427</v>
      </c>
      <c r="B65428">
        <f>TEXT(65427, "[$-0E0000]yyyy-mm-dd")</f>
        <v/>
      </c>
      <c r="C65428" t="inlineStr">
        <is>
          <t>2079-01-16</t>
        </is>
      </c>
    </row>
    <row r="65429">
      <c r="A65429" s="1" t="n">
        <v>65428</v>
      </c>
      <c r="B65429">
        <f>TEXT(65428, "[$-0E0000]yyyy-mm-dd")</f>
        <v/>
      </c>
      <c r="C65429" t="inlineStr">
        <is>
          <t>2079-01-17</t>
        </is>
      </c>
    </row>
    <row r="65430">
      <c r="A65430" s="1" t="n">
        <v>65429</v>
      </c>
      <c r="B65430">
        <f>TEXT(65429, "[$-0E0000]yyyy-mm-dd")</f>
        <v/>
      </c>
      <c r="C65430" t="inlineStr">
        <is>
          <t>2079-01-18</t>
        </is>
      </c>
    </row>
    <row r="65431">
      <c r="A65431" s="1" t="n">
        <v>65430</v>
      </c>
      <c r="B65431">
        <f>TEXT(65430, "[$-0E0000]yyyy-mm-dd")</f>
        <v/>
      </c>
      <c r="C65431" t="inlineStr">
        <is>
          <t>2079-01-19</t>
        </is>
      </c>
    </row>
    <row r="65432">
      <c r="A65432" s="1" t="n">
        <v>65431</v>
      </c>
      <c r="B65432">
        <f>TEXT(65431, "[$-0E0000]yyyy-mm-dd")</f>
        <v/>
      </c>
      <c r="C65432" t="inlineStr">
        <is>
          <t>2079-01-20</t>
        </is>
      </c>
    </row>
    <row r="65433">
      <c r="A65433" s="1" t="n">
        <v>65432</v>
      </c>
      <c r="B65433">
        <f>TEXT(65432, "[$-0E0000]yyyy-mm-dd")</f>
        <v/>
      </c>
      <c r="C65433" t="inlineStr">
        <is>
          <t>2079-01-21</t>
        </is>
      </c>
    </row>
    <row r="65434">
      <c r="A65434" s="1" t="n">
        <v>65433</v>
      </c>
      <c r="B65434">
        <f>TEXT(65433, "[$-0E0000]yyyy-mm-dd")</f>
        <v/>
      </c>
      <c r="C65434" t="inlineStr">
        <is>
          <t>2079-01-22</t>
        </is>
      </c>
    </row>
    <row r="65435">
      <c r="A65435" s="1" t="n">
        <v>65434</v>
      </c>
      <c r="B65435">
        <f>TEXT(65434, "[$-0E0000]yyyy-mm-dd")</f>
        <v/>
      </c>
      <c r="C65435" t="inlineStr">
        <is>
          <t>2079-01-23</t>
        </is>
      </c>
    </row>
    <row r="65436">
      <c r="A65436" s="1" t="n">
        <v>65435</v>
      </c>
      <c r="B65436">
        <f>TEXT(65435, "[$-0E0000]yyyy-mm-dd")</f>
        <v/>
      </c>
      <c r="C65436" t="inlineStr">
        <is>
          <t>2079-01-24</t>
        </is>
      </c>
    </row>
    <row r="65437">
      <c r="A65437" s="1" t="n">
        <v>65436</v>
      </c>
      <c r="B65437">
        <f>TEXT(65436, "[$-0E0000]yyyy-mm-dd")</f>
        <v/>
      </c>
      <c r="C65437" t="inlineStr">
        <is>
          <t>2079-01-25</t>
        </is>
      </c>
    </row>
    <row r="65438">
      <c r="A65438" s="1" t="n">
        <v>65437</v>
      </c>
      <c r="B65438">
        <f>TEXT(65437, "[$-0E0000]yyyy-mm-dd")</f>
        <v/>
      </c>
      <c r="C65438" t="inlineStr">
        <is>
          <t>2079-01-26</t>
        </is>
      </c>
    </row>
    <row r="65439">
      <c r="A65439" s="1" t="n">
        <v>65438</v>
      </c>
      <c r="B65439">
        <f>TEXT(65438, "[$-0E0000]yyyy-mm-dd")</f>
        <v/>
      </c>
      <c r="C65439" t="inlineStr">
        <is>
          <t>2079-01-27</t>
        </is>
      </c>
    </row>
    <row r="65440">
      <c r="A65440" s="1" t="n">
        <v>65439</v>
      </c>
      <c r="B65440">
        <f>TEXT(65439, "[$-0E0000]yyyy-mm-dd")</f>
        <v/>
      </c>
      <c r="C65440" t="inlineStr">
        <is>
          <t>2079-01-28</t>
        </is>
      </c>
    </row>
    <row r="65441">
      <c r="A65441" s="1" t="n">
        <v>65440</v>
      </c>
      <c r="B65441">
        <f>TEXT(65440, "[$-0E0000]yyyy-mm-dd")</f>
        <v/>
      </c>
      <c r="C65441" t="inlineStr">
        <is>
          <t>2079-01-29</t>
        </is>
      </c>
    </row>
    <row r="65442">
      <c r="A65442" s="1" t="n">
        <v>65441</v>
      </c>
      <c r="B65442">
        <f>TEXT(65441, "[$-0E0000]yyyy-mm-dd")</f>
        <v/>
      </c>
      <c r="C65442" t="inlineStr">
        <is>
          <t>2079-02-01</t>
        </is>
      </c>
    </row>
    <row r="65443">
      <c r="A65443" s="1" t="n">
        <v>65442</v>
      </c>
      <c r="B65443">
        <f>TEXT(65442, "[$-0E0000]yyyy-mm-dd")</f>
        <v/>
      </c>
      <c r="C65443" t="inlineStr">
        <is>
          <t>2079-02-02</t>
        </is>
      </c>
    </row>
    <row r="65444">
      <c r="A65444" s="1" t="n">
        <v>65443</v>
      </c>
      <c r="B65444">
        <f>TEXT(65443, "[$-0E0000]yyyy-mm-dd")</f>
        <v/>
      </c>
      <c r="C65444" t="inlineStr">
        <is>
          <t>2079-02-03</t>
        </is>
      </c>
    </row>
    <row r="65445">
      <c r="A65445" s="1" t="n">
        <v>65444</v>
      </c>
      <c r="B65445">
        <f>TEXT(65444, "[$-0E0000]yyyy-mm-dd")</f>
        <v/>
      </c>
      <c r="C65445" t="inlineStr">
        <is>
          <t>2079-02-04</t>
        </is>
      </c>
    </row>
    <row r="65446">
      <c r="A65446" s="1" t="n">
        <v>65445</v>
      </c>
      <c r="B65446">
        <f>TEXT(65445, "[$-0E0000]yyyy-mm-dd")</f>
        <v/>
      </c>
      <c r="C65446" t="inlineStr">
        <is>
          <t>2079-02-05</t>
        </is>
      </c>
    </row>
    <row r="65447">
      <c r="A65447" s="1" t="n">
        <v>65446</v>
      </c>
      <c r="B65447">
        <f>TEXT(65446, "[$-0E0000]yyyy-mm-dd")</f>
        <v/>
      </c>
      <c r="C65447" t="inlineStr">
        <is>
          <t>2079-02-06</t>
        </is>
      </c>
    </row>
    <row r="65448">
      <c r="A65448" s="1" t="n">
        <v>65447</v>
      </c>
      <c r="B65448">
        <f>TEXT(65447, "[$-0E0000]yyyy-mm-dd")</f>
        <v/>
      </c>
      <c r="C65448" t="inlineStr">
        <is>
          <t>2079-02-07</t>
        </is>
      </c>
    </row>
    <row r="65449">
      <c r="A65449" s="1" t="n">
        <v>65448</v>
      </c>
      <c r="B65449">
        <f>TEXT(65448, "[$-0E0000]yyyy-mm-dd")</f>
        <v/>
      </c>
      <c r="C65449" t="inlineStr">
        <is>
          <t>2079-02-08</t>
        </is>
      </c>
    </row>
    <row r="65450">
      <c r="A65450" s="1" t="n">
        <v>65449</v>
      </c>
      <c r="B65450">
        <f>TEXT(65449, "[$-0E0000]yyyy-mm-dd")</f>
        <v/>
      </c>
      <c r="C65450" t="inlineStr">
        <is>
          <t>2079-02-09</t>
        </is>
      </c>
    </row>
    <row r="65451">
      <c r="A65451" s="1" t="n">
        <v>65450</v>
      </c>
      <c r="B65451">
        <f>TEXT(65450, "[$-0E0000]yyyy-mm-dd")</f>
        <v/>
      </c>
      <c r="C65451" t="inlineStr">
        <is>
          <t>2079-02-10</t>
        </is>
      </c>
    </row>
    <row r="65452">
      <c r="A65452" s="1" t="n">
        <v>65451</v>
      </c>
      <c r="B65452">
        <f>TEXT(65451, "[$-0E0000]yyyy-mm-dd")</f>
        <v/>
      </c>
      <c r="C65452" t="inlineStr">
        <is>
          <t>2079-02-11</t>
        </is>
      </c>
    </row>
    <row r="65453">
      <c r="A65453" s="1" t="n">
        <v>65452</v>
      </c>
      <c r="B65453">
        <f>TEXT(65452, "[$-0E0000]yyyy-mm-dd")</f>
        <v/>
      </c>
      <c r="C65453" t="inlineStr">
        <is>
          <t>2079-02-12</t>
        </is>
      </c>
    </row>
    <row r="65454">
      <c r="A65454" s="1" t="n">
        <v>65453</v>
      </c>
      <c r="B65454">
        <f>TEXT(65453, "[$-0E0000]yyyy-mm-dd")</f>
        <v/>
      </c>
      <c r="C65454" t="inlineStr">
        <is>
          <t>2079-02-13</t>
        </is>
      </c>
    </row>
    <row r="65455">
      <c r="A65455" s="1" t="n">
        <v>65454</v>
      </c>
      <c r="B65455">
        <f>TEXT(65454, "[$-0E0000]yyyy-mm-dd")</f>
        <v/>
      </c>
      <c r="C65455" t="inlineStr">
        <is>
          <t>2079-02-14</t>
        </is>
      </c>
    </row>
    <row r="65456">
      <c r="A65456" s="1" t="n">
        <v>65455</v>
      </c>
      <c r="B65456">
        <f>TEXT(65455, "[$-0E0000]yyyy-mm-dd")</f>
        <v/>
      </c>
      <c r="C65456" t="inlineStr">
        <is>
          <t>2079-02-15</t>
        </is>
      </c>
    </row>
    <row r="65457">
      <c r="A65457" s="1" t="n">
        <v>65456</v>
      </c>
      <c r="B65457">
        <f>TEXT(65456, "[$-0E0000]yyyy-mm-dd")</f>
        <v/>
      </c>
      <c r="C65457" t="inlineStr">
        <is>
          <t>2079-02-16</t>
        </is>
      </c>
    </row>
    <row r="65458">
      <c r="A65458" s="1" t="n">
        <v>65457</v>
      </c>
      <c r="B65458">
        <f>TEXT(65457, "[$-0E0000]yyyy-mm-dd")</f>
        <v/>
      </c>
      <c r="C65458" t="inlineStr">
        <is>
          <t>2079-02-17</t>
        </is>
      </c>
    </row>
    <row r="65459">
      <c r="A65459" s="1" t="n">
        <v>65458</v>
      </c>
      <c r="B65459">
        <f>TEXT(65458, "[$-0E0000]yyyy-mm-dd")</f>
        <v/>
      </c>
      <c r="C65459" t="inlineStr">
        <is>
          <t>2079-02-18</t>
        </is>
      </c>
    </row>
    <row r="65460">
      <c r="A65460" s="1" t="n">
        <v>65459</v>
      </c>
      <c r="B65460">
        <f>TEXT(65459, "[$-0E0000]yyyy-mm-dd")</f>
        <v/>
      </c>
      <c r="C65460" t="inlineStr">
        <is>
          <t>2079-02-19</t>
        </is>
      </c>
    </row>
    <row r="65461">
      <c r="A65461" s="1" t="n">
        <v>65460</v>
      </c>
      <c r="B65461">
        <f>TEXT(65460, "[$-0E0000]yyyy-mm-dd")</f>
        <v/>
      </c>
      <c r="C65461" t="inlineStr">
        <is>
          <t>2079-02-20</t>
        </is>
      </c>
    </row>
    <row r="65462">
      <c r="A65462" s="1" t="n">
        <v>65461</v>
      </c>
      <c r="B65462">
        <f>TEXT(65461, "[$-0E0000]yyyy-mm-dd")</f>
        <v/>
      </c>
      <c r="C65462" t="inlineStr">
        <is>
          <t>2079-02-21</t>
        </is>
      </c>
    </row>
    <row r="65463">
      <c r="A65463" s="1" t="n">
        <v>65462</v>
      </c>
      <c r="B65463">
        <f>TEXT(65462, "[$-0E0000]yyyy-mm-dd")</f>
        <v/>
      </c>
      <c r="C65463" t="inlineStr">
        <is>
          <t>2079-02-22</t>
        </is>
      </c>
    </row>
    <row r="65464">
      <c r="A65464" s="1" t="n">
        <v>65463</v>
      </c>
      <c r="B65464">
        <f>TEXT(65463, "[$-0E0000]yyyy-mm-dd")</f>
        <v/>
      </c>
      <c r="C65464" t="inlineStr">
        <is>
          <t>2079-02-23</t>
        </is>
      </c>
    </row>
    <row r="65465">
      <c r="A65465" s="1" t="n">
        <v>65464</v>
      </c>
      <c r="B65465">
        <f>TEXT(65464, "[$-0E0000]yyyy-mm-dd")</f>
        <v/>
      </c>
      <c r="C65465" t="inlineStr">
        <is>
          <t>2079-02-24</t>
        </is>
      </c>
    </row>
    <row r="65466">
      <c r="A65466" s="1" t="n">
        <v>65465</v>
      </c>
      <c r="B65466">
        <f>TEXT(65465, "[$-0E0000]yyyy-mm-dd")</f>
        <v/>
      </c>
      <c r="C65466" t="inlineStr">
        <is>
          <t>2079-02-25</t>
        </is>
      </c>
    </row>
    <row r="65467">
      <c r="A65467" s="1" t="n">
        <v>65466</v>
      </c>
      <c r="B65467">
        <f>TEXT(65466, "[$-0E0000]yyyy-mm-dd")</f>
        <v/>
      </c>
      <c r="C65467" t="inlineStr">
        <is>
          <t>2079-02-26</t>
        </is>
      </c>
    </row>
    <row r="65468">
      <c r="A65468" s="1" t="n">
        <v>65467</v>
      </c>
      <c r="B65468">
        <f>TEXT(65467, "[$-0E0000]yyyy-mm-dd")</f>
        <v/>
      </c>
      <c r="C65468" t="inlineStr">
        <is>
          <t>2079-02-27</t>
        </is>
      </c>
    </row>
    <row r="65469">
      <c r="A65469" s="1" t="n">
        <v>65468</v>
      </c>
      <c r="B65469">
        <f>TEXT(65468, "[$-0E0000]yyyy-mm-dd")</f>
        <v/>
      </c>
      <c r="C65469" t="inlineStr">
        <is>
          <t>2079-02-28</t>
        </is>
      </c>
    </row>
    <row r="65470">
      <c r="A65470" s="1" t="n">
        <v>65469</v>
      </c>
      <c r="B65470">
        <f>TEXT(65469, "[$-0E0000]yyyy-mm-dd")</f>
        <v/>
      </c>
      <c r="C65470" t="inlineStr">
        <is>
          <t>2079-02-29</t>
        </is>
      </c>
    </row>
    <row r="65471">
      <c r="A65471" s="1" t="n">
        <v>65470</v>
      </c>
      <c r="B65471">
        <f>TEXT(65470, "[$-0E0000]yyyy-mm-dd")</f>
        <v/>
      </c>
      <c r="C65471" t="inlineStr">
        <is>
          <t>2079-02-30</t>
        </is>
      </c>
    </row>
    <row r="65472">
      <c r="A65472" s="1" t="n">
        <v>65471</v>
      </c>
      <c r="B65472">
        <f>TEXT(65471, "[$-0E0000]yyyy-mm-dd")</f>
        <v/>
      </c>
      <c r="C65472" t="inlineStr">
        <is>
          <t>2079-03-01</t>
        </is>
      </c>
    </row>
    <row r="65473">
      <c r="A65473" s="1" t="n">
        <v>65472</v>
      </c>
      <c r="B65473">
        <f>TEXT(65472, "[$-0E0000]yyyy-mm-dd")</f>
        <v/>
      </c>
      <c r="C65473" t="inlineStr">
        <is>
          <t>2079-03-02</t>
        </is>
      </c>
    </row>
    <row r="65474">
      <c r="A65474" s="1" t="n">
        <v>65473</v>
      </c>
      <c r="B65474">
        <f>TEXT(65473, "[$-0E0000]yyyy-mm-dd")</f>
        <v/>
      </c>
      <c r="C65474" t="inlineStr">
        <is>
          <t>2079-03-03</t>
        </is>
      </c>
    </row>
    <row r="65475">
      <c r="A65475" s="1" t="n">
        <v>65474</v>
      </c>
      <c r="B65475">
        <f>TEXT(65474, "[$-0E0000]yyyy-mm-dd")</f>
        <v/>
      </c>
      <c r="C65475" t="inlineStr">
        <is>
          <t>2079-03-04</t>
        </is>
      </c>
    </row>
    <row r="65476">
      <c r="A65476" s="1" t="n">
        <v>65475</v>
      </c>
      <c r="B65476">
        <f>TEXT(65475, "[$-0E0000]yyyy-mm-dd")</f>
        <v/>
      </c>
      <c r="C65476" t="inlineStr">
        <is>
          <t>2079-03-05</t>
        </is>
      </c>
    </row>
    <row r="65477">
      <c r="A65477" s="1" t="n">
        <v>65476</v>
      </c>
      <c r="B65477">
        <f>TEXT(65476, "[$-0E0000]yyyy-mm-dd")</f>
        <v/>
      </c>
      <c r="C65477" t="inlineStr">
        <is>
          <t>2079-03-06</t>
        </is>
      </c>
    </row>
    <row r="65478">
      <c r="A65478" s="1" t="n">
        <v>65477</v>
      </c>
      <c r="B65478">
        <f>TEXT(65477, "[$-0E0000]yyyy-mm-dd")</f>
        <v/>
      </c>
      <c r="C65478" t="inlineStr">
        <is>
          <t>2079-03-07</t>
        </is>
      </c>
    </row>
    <row r="65479">
      <c r="A65479" s="1" t="n">
        <v>65478</v>
      </c>
      <c r="B65479">
        <f>TEXT(65478, "[$-0E0000]yyyy-mm-dd")</f>
        <v/>
      </c>
      <c r="C65479" t="inlineStr">
        <is>
          <t>2079-03-08</t>
        </is>
      </c>
    </row>
    <row r="65480">
      <c r="A65480" s="1" t="n">
        <v>65479</v>
      </c>
      <c r="B65480">
        <f>TEXT(65479, "[$-0E0000]yyyy-mm-dd")</f>
        <v/>
      </c>
      <c r="C65480" t="inlineStr">
        <is>
          <t>2079-03-09</t>
        </is>
      </c>
    </row>
    <row r="65481">
      <c r="A65481" s="1" t="n">
        <v>65480</v>
      </c>
      <c r="B65481">
        <f>TEXT(65480, "[$-0E0000]yyyy-mm-dd")</f>
        <v/>
      </c>
      <c r="C65481" t="inlineStr">
        <is>
          <t>2079-03-10</t>
        </is>
      </c>
    </row>
    <row r="65482">
      <c r="A65482" s="1" t="n">
        <v>65481</v>
      </c>
      <c r="B65482">
        <f>TEXT(65481, "[$-0E0000]yyyy-mm-dd")</f>
        <v/>
      </c>
      <c r="C65482" t="inlineStr">
        <is>
          <t>2079-03-11</t>
        </is>
      </c>
    </row>
    <row r="65483">
      <c r="A65483" s="1" t="n">
        <v>65482</v>
      </c>
      <c r="B65483">
        <f>TEXT(65482, "[$-0E0000]yyyy-mm-dd")</f>
        <v/>
      </c>
      <c r="C65483" t="inlineStr">
        <is>
          <t>2079-03-12</t>
        </is>
      </c>
    </row>
    <row r="65484">
      <c r="A65484" s="1" t="n">
        <v>65483</v>
      </c>
      <c r="B65484">
        <f>TEXT(65483, "[$-0E0000]yyyy-mm-dd")</f>
        <v/>
      </c>
      <c r="C65484" t="inlineStr">
        <is>
          <t>2079-03-13</t>
        </is>
      </c>
    </row>
    <row r="65485">
      <c r="A65485" s="1" t="n">
        <v>65484</v>
      </c>
      <c r="B65485">
        <f>TEXT(65484, "[$-0E0000]yyyy-mm-dd")</f>
        <v/>
      </c>
      <c r="C65485" t="inlineStr">
        <is>
          <t>2079-03-14</t>
        </is>
      </c>
    </row>
    <row r="65486">
      <c r="A65486" s="1" t="n">
        <v>65485</v>
      </c>
      <c r="B65486">
        <f>TEXT(65485, "[$-0E0000]yyyy-mm-dd")</f>
        <v/>
      </c>
      <c r="C65486" t="inlineStr">
        <is>
          <t>2079-03-15</t>
        </is>
      </c>
    </row>
    <row r="65487">
      <c r="A65487" s="1" t="n">
        <v>65486</v>
      </c>
      <c r="B65487">
        <f>TEXT(65486, "[$-0E0000]yyyy-mm-dd")</f>
        <v/>
      </c>
      <c r="C65487" t="inlineStr">
        <is>
          <t>2079-03-16</t>
        </is>
      </c>
    </row>
    <row r="65488">
      <c r="A65488" s="1" t="n">
        <v>65487</v>
      </c>
      <c r="B65488">
        <f>TEXT(65487, "[$-0E0000]yyyy-mm-dd")</f>
        <v/>
      </c>
      <c r="C65488" t="inlineStr">
        <is>
          <t>2079-03-17</t>
        </is>
      </c>
    </row>
    <row r="65489">
      <c r="A65489" s="1" t="n">
        <v>65488</v>
      </c>
      <c r="B65489">
        <f>TEXT(65488, "[$-0E0000]yyyy-mm-dd")</f>
        <v/>
      </c>
      <c r="C65489" t="inlineStr">
        <is>
          <t>2079-03-18</t>
        </is>
      </c>
    </row>
    <row r="65490">
      <c r="A65490" s="1" t="n">
        <v>65489</v>
      </c>
      <c r="B65490">
        <f>TEXT(65489, "[$-0E0000]yyyy-mm-dd")</f>
        <v/>
      </c>
      <c r="C65490" t="inlineStr">
        <is>
          <t>2079-03-19</t>
        </is>
      </c>
    </row>
    <row r="65491">
      <c r="A65491" s="1" t="n">
        <v>65490</v>
      </c>
      <c r="B65491">
        <f>TEXT(65490, "[$-0E0000]yyyy-mm-dd")</f>
        <v/>
      </c>
      <c r="C65491" t="inlineStr">
        <is>
          <t>2079-03-20</t>
        </is>
      </c>
    </row>
    <row r="65492">
      <c r="A65492" s="1" t="n">
        <v>65491</v>
      </c>
      <c r="B65492">
        <f>TEXT(65491, "[$-0E0000]yyyy-mm-dd")</f>
        <v/>
      </c>
      <c r="C65492" t="inlineStr">
        <is>
          <t>2079-03-21</t>
        </is>
      </c>
    </row>
    <row r="65493">
      <c r="A65493" s="1" t="n">
        <v>65492</v>
      </c>
      <c r="B65493">
        <f>TEXT(65492, "[$-0E0000]yyyy-mm-dd")</f>
        <v/>
      </c>
      <c r="C65493" t="inlineStr">
        <is>
          <t>2079-03-22</t>
        </is>
      </c>
    </row>
    <row r="65494">
      <c r="A65494" s="1" t="n">
        <v>65493</v>
      </c>
      <c r="B65494">
        <f>TEXT(65493, "[$-0E0000]yyyy-mm-dd")</f>
        <v/>
      </c>
      <c r="C65494" t="inlineStr">
        <is>
          <t>2079-03-23</t>
        </is>
      </c>
    </row>
    <row r="65495">
      <c r="A65495" s="1" t="n">
        <v>65494</v>
      </c>
      <c r="B65495">
        <f>TEXT(65494, "[$-0E0000]yyyy-mm-dd")</f>
        <v/>
      </c>
      <c r="C65495" t="inlineStr">
        <is>
          <t>2079-03-24</t>
        </is>
      </c>
    </row>
    <row r="65496">
      <c r="A65496" s="1" t="n">
        <v>65495</v>
      </c>
      <c r="B65496">
        <f>TEXT(65495, "[$-0E0000]yyyy-mm-dd")</f>
        <v/>
      </c>
      <c r="C65496" t="inlineStr">
        <is>
          <t>2079-03-25</t>
        </is>
      </c>
    </row>
    <row r="65497">
      <c r="A65497" s="1" t="n">
        <v>65496</v>
      </c>
      <c r="B65497">
        <f>TEXT(65496, "[$-0E0000]yyyy-mm-dd")</f>
        <v/>
      </c>
      <c r="C65497" t="inlineStr">
        <is>
          <t>2079-03-26</t>
        </is>
      </c>
    </row>
    <row r="65498">
      <c r="A65498" s="1" t="n">
        <v>65497</v>
      </c>
      <c r="B65498">
        <f>TEXT(65497, "[$-0E0000]yyyy-mm-dd")</f>
        <v/>
      </c>
      <c r="C65498" t="inlineStr">
        <is>
          <t>2079-03-27</t>
        </is>
      </c>
    </row>
    <row r="65499">
      <c r="A65499" s="1" t="n">
        <v>65498</v>
      </c>
      <c r="B65499">
        <f>TEXT(65498, "[$-0E0000]yyyy-mm-dd")</f>
        <v/>
      </c>
      <c r="C65499" t="inlineStr">
        <is>
          <t>2079-03-28</t>
        </is>
      </c>
    </row>
    <row r="65500">
      <c r="A65500" s="1" t="n">
        <v>65499</v>
      </c>
      <c r="B65500">
        <f>TEXT(65499, "[$-0E0000]yyyy-mm-dd")</f>
        <v/>
      </c>
      <c r="C65500" t="inlineStr">
        <is>
          <t>2079-03-29</t>
        </is>
      </c>
    </row>
    <row r="65501">
      <c r="A65501" s="1" t="n">
        <v>65500</v>
      </c>
      <c r="B65501">
        <f>TEXT(65500, "[$-0E0000]yyyy-mm-dd")</f>
        <v/>
      </c>
      <c r="C65501" t="inlineStr">
        <is>
          <t>2079-04-01</t>
        </is>
      </c>
    </row>
    <row r="65502">
      <c r="A65502" s="1" t="n">
        <v>65501</v>
      </c>
      <c r="B65502">
        <f>TEXT(65501, "[$-0E0000]yyyy-mm-dd")</f>
        <v/>
      </c>
      <c r="C65502" t="inlineStr">
        <is>
          <t>2079-04-02</t>
        </is>
      </c>
    </row>
    <row r="65503">
      <c r="A65503" s="1" t="n">
        <v>65502</v>
      </c>
      <c r="B65503">
        <f>TEXT(65502, "[$-0E0000]yyyy-mm-dd")</f>
        <v/>
      </c>
      <c r="C65503" t="inlineStr">
        <is>
          <t>2079-04-03</t>
        </is>
      </c>
    </row>
    <row r="65504">
      <c r="A65504" s="1" t="n">
        <v>65503</v>
      </c>
      <c r="B65504">
        <f>TEXT(65503, "[$-0E0000]yyyy-mm-dd")</f>
        <v/>
      </c>
      <c r="C65504" t="inlineStr">
        <is>
          <t>2079-04-04</t>
        </is>
      </c>
    </row>
    <row r="65505">
      <c r="A65505" s="1" t="n">
        <v>65504</v>
      </c>
      <c r="B65505">
        <f>TEXT(65504, "[$-0E0000]yyyy-mm-dd")</f>
        <v/>
      </c>
      <c r="C65505" t="inlineStr">
        <is>
          <t>2079-04-05</t>
        </is>
      </c>
    </row>
    <row r="65506">
      <c r="A65506" s="1" t="n">
        <v>65505</v>
      </c>
      <c r="B65506">
        <f>TEXT(65505, "[$-0E0000]yyyy-mm-dd")</f>
        <v/>
      </c>
      <c r="C65506" t="inlineStr">
        <is>
          <t>2079-04-06</t>
        </is>
      </c>
    </row>
    <row r="65507">
      <c r="A65507" s="1" t="n">
        <v>65506</v>
      </c>
      <c r="B65507">
        <f>TEXT(65506, "[$-0E0000]yyyy-mm-dd")</f>
        <v/>
      </c>
      <c r="C65507" t="inlineStr">
        <is>
          <t>2079-04-07</t>
        </is>
      </c>
    </row>
    <row r="65508">
      <c r="A65508" s="1" t="n">
        <v>65507</v>
      </c>
      <c r="B65508">
        <f>TEXT(65507, "[$-0E0000]yyyy-mm-dd")</f>
        <v/>
      </c>
      <c r="C65508" t="inlineStr">
        <is>
          <t>2079-04-08</t>
        </is>
      </c>
    </row>
    <row r="65509">
      <c r="A65509" s="1" t="n">
        <v>65508</v>
      </c>
      <c r="B65509">
        <f>TEXT(65508, "[$-0E0000]yyyy-mm-dd")</f>
        <v/>
      </c>
      <c r="C65509" t="inlineStr">
        <is>
          <t>2079-04-09</t>
        </is>
      </c>
    </row>
    <row r="65510">
      <c r="A65510" s="1" t="n">
        <v>65509</v>
      </c>
      <c r="B65510">
        <f>TEXT(65509, "[$-0E0000]yyyy-mm-dd")</f>
        <v/>
      </c>
      <c r="C65510" t="inlineStr">
        <is>
          <t>2079-04-10</t>
        </is>
      </c>
    </row>
    <row r="65511">
      <c r="A65511" s="1" t="n">
        <v>65510</v>
      </c>
      <c r="B65511">
        <f>TEXT(65510, "[$-0E0000]yyyy-mm-dd")</f>
        <v/>
      </c>
      <c r="C65511" t="inlineStr">
        <is>
          <t>2079-04-11</t>
        </is>
      </c>
    </row>
    <row r="65512">
      <c r="A65512" s="1" t="n">
        <v>65511</v>
      </c>
      <c r="B65512">
        <f>TEXT(65511, "[$-0E0000]yyyy-mm-dd")</f>
        <v/>
      </c>
      <c r="C65512" t="inlineStr">
        <is>
          <t>2079-04-12</t>
        </is>
      </c>
    </row>
    <row r="65513">
      <c r="A65513" s="1" t="n">
        <v>65512</v>
      </c>
      <c r="B65513">
        <f>TEXT(65512, "[$-0E0000]yyyy-mm-dd")</f>
        <v/>
      </c>
      <c r="C65513" t="inlineStr">
        <is>
          <t>2079-04-13</t>
        </is>
      </c>
    </row>
    <row r="65514">
      <c r="A65514" s="1" t="n">
        <v>65513</v>
      </c>
      <c r="B65514">
        <f>TEXT(65513, "[$-0E0000]yyyy-mm-dd")</f>
        <v/>
      </c>
      <c r="C65514" t="inlineStr">
        <is>
          <t>2079-04-14</t>
        </is>
      </c>
    </row>
    <row r="65515">
      <c r="A65515" s="1" t="n">
        <v>65514</v>
      </c>
      <c r="B65515">
        <f>TEXT(65514, "[$-0E0000]yyyy-mm-dd")</f>
        <v/>
      </c>
      <c r="C65515" t="inlineStr">
        <is>
          <t>2079-04-15</t>
        </is>
      </c>
    </row>
    <row r="65516">
      <c r="A65516" s="1" t="n">
        <v>65515</v>
      </c>
      <c r="B65516">
        <f>TEXT(65515, "[$-0E0000]yyyy-mm-dd")</f>
        <v/>
      </c>
      <c r="C65516" t="inlineStr">
        <is>
          <t>2079-04-16</t>
        </is>
      </c>
    </row>
    <row r="65517">
      <c r="A65517" s="1" t="n">
        <v>65516</v>
      </c>
      <c r="B65517">
        <f>TEXT(65516, "[$-0E0000]yyyy-mm-dd")</f>
        <v/>
      </c>
      <c r="C65517" t="inlineStr">
        <is>
          <t>2079-04-17</t>
        </is>
      </c>
    </row>
    <row r="65518">
      <c r="A65518" s="1" t="n">
        <v>65517</v>
      </c>
      <c r="B65518">
        <f>TEXT(65517, "[$-0E0000]yyyy-mm-dd")</f>
        <v/>
      </c>
      <c r="C65518" t="inlineStr">
        <is>
          <t>2079-04-18</t>
        </is>
      </c>
    </row>
    <row r="65519">
      <c r="A65519" s="1" t="n">
        <v>65518</v>
      </c>
      <c r="B65519">
        <f>TEXT(65518, "[$-0E0000]yyyy-mm-dd")</f>
        <v/>
      </c>
      <c r="C65519" t="inlineStr">
        <is>
          <t>2079-04-19</t>
        </is>
      </c>
    </row>
    <row r="65520">
      <c r="A65520" s="1" t="n">
        <v>65519</v>
      </c>
      <c r="B65520">
        <f>TEXT(65519, "[$-0E0000]yyyy-mm-dd")</f>
        <v/>
      </c>
      <c r="C65520" t="inlineStr">
        <is>
          <t>2079-04-20</t>
        </is>
      </c>
    </row>
    <row r="65521">
      <c r="A65521" s="1" t="n">
        <v>65520</v>
      </c>
      <c r="B65521">
        <f>TEXT(65520, "[$-0E0000]yyyy-mm-dd")</f>
        <v/>
      </c>
      <c r="C65521" t="inlineStr">
        <is>
          <t>2079-04-21</t>
        </is>
      </c>
    </row>
    <row r="65522">
      <c r="A65522" s="1" t="n">
        <v>65521</v>
      </c>
      <c r="B65522">
        <f>TEXT(65521, "[$-0E0000]yyyy-mm-dd")</f>
        <v/>
      </c>
      <c r="C65522" t="inlineStr">
        <is>
          <t>2079-04-22</t>
        </is>
      </c>
    </row>
    <row r="65523">
      <c r="A65523" s="1" t="n">
        <v>65522</v>
      </c>
      <c r="B65523">
        <f>TEXT(65522, "[$-0E0000]yyyy-mm-dd")</f>
        <v/>
      </c>
      <c r="C65523" t="inlineStr">
        <is>
          <t>2079-04-23</t>
        </is>
      </c>
    </row>
    <row r="65524">
      <c r="A65524" s="1" t="n">
        <v>65523</v>
      </c>
      <c r="B65524">
        <f>TEXT(65523, "[$-0E0000]yyyy-mm-dd")</f>
        <v/>
      </c>
      <c r="C65524" t="inlineStr">
        <is>
          <t>2079-04-24</t>
        </is>
      </c>
    </row>
    <row r="65525">
      <c r="A65525" s="1" t="n">
        <v>65524</v>
      </c>
      <c r="B65525">
        <f>TEXT(65524, "[$-0E0000]yyyy-mm-dd")</f>
        <v/>
      </c>
      <c r="C65525" t="inlineStr">
        <is>
          <t>2079-04-25</t>
        </is>
      </c>
    </row>
    <row r="65526">
      <c r="A65526" s="1" t="n">
        <v>65525</v>
      </c>
      <c r="B65526">
        <f>TEXT(65525, "[$-0E0000]yyyy-mm-dd")</f>
        <v/>
      </c>
      <c r="C65526" t="inlineStr">
        <is>
          <t>2079-04-26</t>
        </is>
      </c>
    </row>
    <row r="65527">
      <c r="A65527" s="1" t="n">
        <v>65526</v>
      </c>
      <c r="B65527">
        <f>TEXT(65526, "[$-0E0000]yyyy-mm-dd")</f>
        <v/>
      </c>
      <c r="C65527" t="inlineStr">
        <is>
          <t>2079-04-27</t>
        </is>
      </c>
    </row>
    <row r="65528">
      <c r="A65528" s="1" t="n">
        <v>65527</v>
      </c>
      <c r="B65528">
        <f>TEXT(65527, "[$-0E0000]yyyy-mm-dd")</f>
        <v/>
      </c>
      <c r="C65528" t="inlineStr">
        <is>
          <t>2079-04-28</t>
        </is>
      </c>
    </row>
    <row r="65529">
      <c r="A65529" s="1" t="n">
        <v>65528</v>
      </c>
      <c r="B65529">
        <f>TEXT(65528, "[$-0E0000]yyyy-mm-dd")</f>
        <v/>
      </c>
      <c r="C65529" t="inlineStr">
        <is>
          <t>2079-04-29</t>
        </is>
      </c>
    </row>
    <row r="65530">
      <c r="A65530" s="1" t="n">
        <v>65529</v>
      </c>
      <c r="B65530">
        <f>TEXT(65529, "[$-0E0000]yyyy-mm-dd")</f>
        <v/>
      </c>
      <c r="C65530" t="inlineStr">
        <is>
          <t>2079-04-30</t>
        </is>
      </c>
    </row>
    <row r="65531">
      <c r="A65531" s="1" t="n">
        <v>65530</v>
      </c>
      <c r="B65531">
        <f>TEXT(65530, "[$-0E0000]yyyy-mm-dd")</f>
        <v/>
      </c>
      <c r="C65531" t="inlineStr">
        <is>
          <t>2079-05-01</t>
        </is>
      </c>
    </row>
    <row r="65532">
      <c r="A65532" s="1" t="n">
        <v>65531</v>
      </c>
      <c r="B65532">
        <f>TEXT(65531, "[$-0E0000]yyyy-mm-dd")</f>
        <v/>
      </c>
      <c r="C65532" t="inlineStr">
        <is>
          <t>2079-05-02</t>
        </is>
      </c>
    </row>
    <row r="65533">
      <c r="A65533" s="1" t="n">
        <v>65532</v>
      </c>
      <c r="B65533">
        <f>TEXT(65532, "[$-0E0000]yyyy-mm-dd")</f>
        <v/>
      </c>
      <c r="C65533" t="inlineStr">
        <is>
          <t>2079-05-03</t>
        </is>
      </c>
    </row>
    <row r="65534">
      <c r="A65534" s="1" t="n">
        <v>65533</v>
      </c>
      <c r="B65534">
        <f>TEXT(65533, "[$-0E0000]yyyy-mm-dd")</f>
        <v/>
      </c>
      <c r="C65534" t="inlineStr">
        <is>
          <t>2079-05-04</t>
        </is>
      </c>
    </row>
    <row r="65535">
      <c r="A65535" s="1" t="n">
        <v>65534</v>
      </c>
      <c r="B65535">
        <f>TEXT(65534, "[$-0E0000]yyyy-mm-dd")</f>
        <v/>
      </c>
      <c r="C65535" t="inlineStr">
        <is>
          <t>2079-05-05</t>
        </is>
      </c>
    </row>
    <row r="65536">
      <c r="A65536" s="1" t="n">
        <v>65535</v>
      </c>
      <c r="B65536">
        <f>TEXT(65535, "[$-0E0000]yyyy-mm-dd")</f>
        <v/>
      </c>
      <c r="C65536" t="inlineStr">
        <is>
          <t>2079-05-06</t>
        </is>
      </c>
    </row>
    <row r="65537">
      <c r="A65537" s="1" t="n">
        <v>65536</v>
      </c>
      <c r="B65537">
        <f>TEXT(65536, "[$-0E0000]yyyy-mm-dd")</f>
        <v/>
      </c>
      <c r="C65537" t="inlineStr">
        <is>
          <t>2079-05-07</t>
        </is>
      </c>
    </row>
    <row r="65538">
      <c r="A65538" s="1" t="n">
        <v>65537</v>
      </c>
      <c r="B65538">
        <f>TEXT(65537, "[$-0E0000]yyyy-mm-dd")</f>
        <v/>
      </c>
      <c r="C65538" t="inlineStr">
        <is>
          <t>2079-05-08</t>
        </is>
      </c>
    </row>
    <row r="65539">
      <c r="A65539" s="1" t="n">
        <v>65538</v>
      </c>
      <c r="B65539">
        <f>TEXT(65538, "[$-0E0000]yyyy-mm-dd")</f>
        <v/>
      </c>
      <c r="C65539" t="inlineStr">
        <is>
          <t>2079-05-09</t>
        </is>
      </c>
    </row>
    <row r="65540">
      <c r="A65540" s="1" t="n">
        <v>65539</v>
      </c>
      <c r="B65540">
        <f>TEXT(65539, "[$-0E0000]yyyy-mm-dd")</f>
        <v/>
      </c>
      <c r="C65540" t="inlineStr">
        <is>
          <t>2079-05-10</t>
        </is>
      </c>
    </row>
    <row r="65541">
      <c r="A65541" s="1" t="n">
        <v>65540</v>
      </c>
      <c r="B65541">
        <f>TEXT(65540, "[$-0E0000]yyyy-mm-dd")</f>
        <v/>
      </c>
      <c r="C65541" t="inlineStr">
        <is>
          <t>2079-05-11</t>
        </is>
      </c>
    </row>
    <row r="65542">
      <c r="A65542" s="1" t="n">
        <v>65541</v>
      </c>
      <c r="B65542">
        <f>TEXT(65541, "[$-0E0000]yyyy-mm-dd")</f>
        <v/>
      </c>
      <c r="C65542" t="inlineStr">
        <is>
          <t>2079-05-12</t>
        </is>
      </c>
    </row>
    <row r="65543">
      <c r="A65543" s="1" t="n">
        <v>65542</v>
      </c>
      <c r="B65543">
        <f>TEXT(65542, "[$-0E0000]yyyy-mm-dd")</f>
        <v/>
      </c>
      <c r="C65543" t="inlineStr">
        <is>
          <t>2079-05-13</t>
        </is>
      </c>
    </row>
    <row r="65544">
      <c r="A65544" s="1" t="n">
        <v>65543</v>
      </c>
      <c r="B65544">
        <f>TEXT(65543, "[$-0E0000]yyyy-mm-dd")</f>
        <v/>
      </c>
      <c r="C65544" t="inlineStr">
        <is>
          <t>2079-05-14</t>
        </is>
      </c>
    </row>
    <row r="65545">
      <c r="A65545" s="1" t="n">
        <v>65544</v>
      </c>
      <c r="B65545">
        <f>TEXT(65544, "[$-0E0000]yyyy-mm-dd")</f>
        <v/>
      </c>
      <c r="C65545" t="inlineStr">
        <is>
          <t>2079-05-15</t>
        </is>
      </c>
    </row>
    <row r="65546">
      <c r="A65546" s="1" t="n">
        <v>65545</v>
      </c>
      <c r="B65546">
        <f>TEXT(65545, "[$-0E0000]yyyy-mm-dd")</f>
        <v/>
      </c>
      <c r="C65546" t="inlineStr">
        <is>
          <t>2079-05-16</t>
        </is>
      </c>
    </row>
    <row r="65547">
      <c r="A65547" s="1" t="n">
        <v>65546</v>
      </c>
      <c r="B65547">
        <f>TEXT(65546, "[$-0E0000]yyyy-mm-dd")</f>
        <v/>
      </c>
      <c r="C65547" t="inlineStr">
        <is>
          <t>2079-05-17</t>
        </is>
      </c>
    </row>
    <row r="65548">
      <c r="A65548" s="1" t="n">
        <v>65547</v>
      </c>
      <c r="B65548">
        <f>TEXT(65547, "[$-0E0000]yyyy-mm-dd")</f>
        <v/>
      </c>
      <c r="C65548" t="inlineStr">
        <is>
          <t>2079-05-18</t>
        </is>
      </c>
    </row>
    <row r="65549">
      <c r="A65549" s="1" t="n">
        <v>65548</v>
      </c>
      <c r="B65549">
        <f>TEXT(65548, "[$-0E0000]yyyy-mm-dd")</f>
        <v/>
      </c>
      <c r="C65549" t="inlineStr">
        <is>
          <t>2079-05-19</t>
        </is>
      </c>
    </row>
    <row r="65550">
      <c r="A65550" s="1" t="n">
        <v>65549</v>
      </c>
      <c r="B65550">
        <f>TEXT(65549, "[$-0E0000]yyyy-mm-dd")</f>
        <v/>
      </c>
      <c r="C65550" t="inlineStr">
        <is>
          <t>2079-05-20</t>
        </is>
      </c>
    </row>
    <row r="65551">
      <c r="A65551" s="1" t="n">
        <v>65550</v>
      </c>
      <c r="B65551">
        <f>TEXT(65550, "[$-0E0000]yyyy-mm-dd")</f>
        <v/>
      </c>
      <c r="C65551" t="inlineStr">
        <is>
          <t>2079-05-21</t>
        </is>
      </c>
    </row>
    <row r="65552">
      <c r="A65552" s="1" t="n">
        <v>65551</v>
      </c>
      <c r="B65552">
        <f>TEXT(65551, "[$-0E0000]yyyy-mm-dd")</f>
        <v/>
      </c>
      <c r="C65552" t="inlineStr">
        <is>
          <t>2079-05-22</t>
        </is>
      </c>
    </row>
    <row r="65553">
      <c r="A65553" s="1" t="n">
        <v>65552</v>
      </c>
      <c r="B65553">
        <f>TEXT(65552, "[$-0E0000]yyyy-mm-dd")</f>
        <v/>
      </c>
      <c r="C65553" t="inlineStr">
        <is>
          <t>2079-05-23</t>
        </is>
      </c>
    </row>
    <row r="65554">
      <c r="A65554" s="1" t="n">
        <v>65553</v>
      </c>
      <c r="B65554">
        <f>TEXT(65553, "[$-0E0000]yyyy-mm-dd")</f>
        <v/>
      </c>
      <c r="C65554" t="inlineStr">
        <is>
          <t>2079-05-24</t>
        </is>
      </c>
    </row>
    <row r="65555">
      <c r="A65555" s="1" t="n">
        <v>65554</v>
      </c>
      <c r="B65555">
        <f>TEXT(65554, "[$-0E0000]yyyy-mm-dd")</f>
        <v/>
      </c>
      <c r="C65555" t="inlineStr">
        <is>
          <t>2079-05-25</t>
        </is>
      </c>
    </row>
    <row r="65556">
      <c r="A65556" s="1" t="n">
        <v>65555</v>
      </c>
      <c r="B65556">
        <f>TEXT(65555, "[$-0E0000]yyyy-mm-dd")</f>
        <v/>
      </c>
      <c r="C65556" t="inlineStr">
        <is>
          <t>2079-05-26</t>
        </is>
      </c>
    </row>
    <row r="65557">
      <c r="A65557" s="1" t="n">
        <v>65556</v>
      </c>
      <c r="B65557">
        <f>TEXT(65556, "[$-0E0000]yyyy-mm-dd")</f>
        <v/>
      </c>
      <c r="C65557" t="inlineStr">
        <is>
          <t>2079-05-27</t>
        </is>
      </c>
    </row>
    <row r="65558">
      <c r="A65558" s="1" t="n">
        <v>65557</v>
      </c>
      <c r="B65558">
        <f>TEXT(65557, "[$-0E0000]yyyy-mm-dd")</f>
        <v/>
      </c>
      <c r="C65558" t="inlineStr">
        <is>
          <t>2079-05-28</t>
        </is>
      </c>
    </row>
    <row r="65559">
      <c r="A65559" s="1" t="n">
        <v>65558</v>
      </c>
      <c r="B65559">
        <f>TEXT(65558, "[$-0E0000]yyyy-mm-dd")</f>
        <v/>
      </c>
      <c r="C65559" t="inlineStr">
        <is>
          <t>2079-05-29</t>
        </is>
      </c>
    </row>
    <row r="65560">
      <c r="A65560" s="1" t="n">
        <v>65559</v>
      </c>
      <c r="B65560">
        <f>TEXT(65559, "[$-0E0000]yyyy-mm-dd")</f>
        <v/>
      </c>
      <c r="C65560" t="inlineStr">
        <is>
          <t>2079-06-01</t>
        </is>
      </c>
    </row>
    <row r="65561">
      <c r="A65561" s="1" t="n">
        <v>65560</v>
      </c>
      <c r="B65561">
        <f>TEXT(65560, "[$-0E0000]yyyy-mm-dd")</f>
        <v/>
      </c>
      <c r="C65561" t="inlineStr">
        <is>
          <t>2079-06-02</t>
        </is>
      </c>
    </row>
    <row r="65562">
      <c r="A65562" s="1" t="n">
        <v>65561</v>
      </c>
      <c r="B65562">
        <f>TEXT(65561, "[$-0E0000]yyyy-mm-dd")</f>
        <v/>
      </c>
      <c r="C65562" t="inlineStr">
        <is>
          <t>2079-06-03</t>
        </is>
      </c>
    </row>
    <row r="65563">
      <c r="A65563" s="1" t="n">
        <v>65562</v>
      </c>
      <c r="B65563">
        <f>TEXT(65562, "[$-0E0000]yyyy-mm-dd")</f>
        <v/>
      </c>
      <c r="C65563" t="inlineStr">
        <is>
          <t>2079-06-04</t>
        </is>
      </c>
    </row>
    <row r="65564">
      <c r="A65564" s="1" t="n">
        <v>65563</v>
      </c>
      <c r="B65564">
        <f>TEXT(65563, "[$-0E0000]yyyy-mm-dd")</f>
        <v/>
      </c>
      <c r="C65564" t="inlineStr">
        <is>
          <t>2079-06-05</t>
        </is>
      </c>
    </row>
    <row r="65565">
      <c r="A65565" s="1" t="n">
        <v>65564</v>
      </c>
      <c r="B65565">
        <f>TEXT(65564, "[$-0E0000]yyyy-mm-dd")</f>
        <v/>
      </c>
      <c r="C65565" t="inlineStr">
        <is>
          <t>2079-06-06</t>
        </is>
      </c>
    </row>
    <row r="65566">
      <c r="A65566" s="1" t="n">
        <v>65565</v>
      </c>
      <c r="B65566">
        <f>TEXT(65565, "[$-0E0000]yyyy-mm-dd")</f>
        <v/>
      </c>
      <c r="C65566" t="inlineStr">
        <is>
          <t>2079-06-07</t>
        </is>
      </c>
    </row>
    <row r="65567">
      <c r="A65567" s="1" t="n">
        <v>65566</v>
      </c>
      <c r="B65567">
        <f>TEXT(65566, "[$-0E0000]yyyy-mm-dd")</f>
        <v/>
      </c>
      <c r="C65567" t="inlineStr">
        <is>
          <t>2079-06-08</t>
        </is>
      </c>
    </row>
    <row r="65568">
      <c r="A65568" s="1" t="n">
        <v>65567</v>
      </c>
      <c r="B65568">
        <f>TEXT(65567, "[$-0E0000]yyyy-mm-dd")</f>
        <v/>
      </c>
      <c r="C65568" t="inlineStr">
        <is>
          <t>2079-06-09</t>
        </is>
      </c>
    </row>
    <row r="65569">
      <c r="A65569" s="1" t="n">
        <v>65568</v>
      </c>
      <c r="B65569">
        <f>TEXT(65568, "[$-0E0000]yyyy-mm-dd")</f>
        <v/>
      </c>
      <c r="C65569" t="inlineStr">
        <is>
          <t>2079-06-10</t>
        </is>
      </c>
    </row>
    <row r="65570">
      <c r="A65570" s="1" t="n">
        <v>65569</v>
      </c>
      <c r="B65570">
        <f>TEXT(65569, "[$-0E0000]yyyy-mm-dd")</f>
        <v/>
      </c>
      <c r="C65570" t="inlineStr">
        <is>
          <t>2079-06-11</t>
        </is>
      </c>
    </row>
    <row r="65571">
      <c r="A65571" s="1" t="n">
        <v>65570</v>
      </c>
      <c r="B65571">
        <f>TEXT(65570, "[$-0E0000]yyyy-mm-dd")</f>
        <v/>
      </c>
      <c r="C65571" t="inlineStr">
        <is>
          <t>2079-06-12</t>
        </is>
      </c>
    </row>
    <row r="65572">
      <c r="A65572" s="1" t="n">
        <v>65571</v>
      </c>
      <c r="B65572">
        <f>TEXT(65571, "[$-0E0000]yyyy-mm-dd")</f>
        <v/>
      </c>
      <c r="C65572" t="inlineStr">
        <is>
          <t>2079-06-13</t>
        </is>
      </c>
    </row>
    <row r="65573">
      <c r="A65573" s="1" t="n">
        <v>65572</v>
      </c>
      <c r="B65573">
        <f>TEXT(65572, "[$-0E0000]yyyy-mm-dd")</f>
        <v/>
      </c>
      <c r="C65573" t="inlineStr">
        <is>
          <t>2079-06-14</t>
        </is>
      </c>
    </row>
    <row r="65574">
      <c r="A65574" s="1" t="n">
        <v>65573</v>
      </c>
      <c r="B65574">
        <f>TEXT(65573, "[$-0E0000]yyyy-mm-dd")</f>
        <v/>
      </c>
      <c r="C65574" t="inlineStr">
        <is>
          <t>2079-06-15</t>
        </is>
      </c>
    </row>
    <row r="65575">
      <c r="A65575" s="1" t="n">
        <v>65574</v>
      </c>
      <c r="B65575">
        <f>TEXT(65574, "[$-0E0000]yyyy-mm-dd")</f>
        <v/>
      </c>
      <c r="C65575" t="inlineStr">
        <is>
          <t>2079-06-16</t>
        </is>
      </c>
    </row>
    <row r="65576">
      <c r="A65576" s="1" t="n">
        <v>65575</v>
      </c>
      <c r="B65576">
        <f>TEXT(65575, "[$-0E0000]yyyy-mm-dd")</f>
        <v/>
      </c>
      <c r="C65576" t="inlineStr">
        <is>
          <t>2079-06-17</t>
        </is>
      </c>
    </row>
    <row r="65577">
      <c r="A65577" s="1" t="n">
        <v>65576</v>
      </c>
      <c r="B65577">
        <f>TEXT(65576, "[$-0E0000]yyyy-mm-dd")</f>
        <v/>
      </c>
      <c r="C65577" t="inlineStr">
        <is>
          <t>2079-06-18</t>
        </is>
      </c>
    </row>
    <row r="65578">
      <c r="A65578" s="1" t="n">
        <v>65577</v>
      </c>
      <c r="B65578">
        <f>TEXT(65577, "[$-0E0000]yyyy-mm-dd")</f>
        <v/>
      </c>
      <c r="C65578" t="inlineStr">
        <is>
          <t>2079-06-19</t>
        </is>
      </c>
    </row>
    <row r="65579">
      <c r="A65579" s="1" t="n">
        <v>65578</v>
      </c>
      <c r="B65579">
        <f>TEXT(65578, "[$-0E0000]yyyy-mm-dd")</f>
        <v/>
      </c>
      <c r="C65579" t="inlineStr">
        <is>
          <t>2079-06-20</t>
        </is>
      </c>
    </row>
    <row r="65580">
      <c r="A65580" s="1" t="n">
        <v>65579</v>
      </c>
      <c r="B65580">
        <f>TEXT(65579, "[$-0E0000]yyyy-mm-dd")</f>
        <v/>
      </c>
      <c r="C65580" t="inlineStr">
        <is>
          <t>2079-06-21</t>
        </is>
      </c>
    </row>
    <row r="65581">
      <c r="A65581" s="1" t="n">
        <v>65580</v>
      </c>
      <c r="B65581">
        <f>TEXT(65580, "[$-0E0000]yyyy-mm-dd")</f>
        <v/>
      </c>
      <c r="C65581" t="inlineStr">
        <is>
          <t>2079-06-22</t>
        </is>
      </c>
    </row>
    <row r="65582">
      <c r="A65582" s="1" t="n">
        <v>65581</v>
      </c>
      <c r="B65582">
        <f>TEXT(65581, "[$-0E0000]yyyy-mm-dd")</f>
        <v/>
      </c>
      <c r="C65582" t="inlineStr">
        <is>
          <t>2079-06-23</t>
        </is>
      </c>
    </row>
    <row r="65583">
      <c r="A65583" s="1" t="n">
        <v>65582</v>
      </c>
      <c r="B65583">
        <f>TEXT(65582, "[$-0E0000]yyyy-mm-dd")</f>
        <v/>
      </c>
      <c r="C65583" t="inlineStr">
        <is>
          <t>2079-06-24</t>
        </is>
      </c>
    </row>
    <row r="65584">
      <c r="A65584" s="1" t="n">
        <v>65583</v>
      </c>
      <c r="B65584">
        <f>TEXT(65583, "[$-0E0000]yyyy-mm-dd")</f>
        <v/>
      </c>
      <c r="C65584" t="inlineStr">
        <is>
          <t>2079-06-25</t>
        </is>
      </c>
    </row>
    <row r="65585">
      <c r="A65585" s="1" t="n">
        <v>65584</v>
      </c>
      <c r="B65585">
        <f>TEXT(65584, "[$-0E0000]yyyy-mm-dd")</f>
        <v/>
      </c>
      <c r="C65585" t="inlineStr">
        <is>
          <t>2079-06-26</t>
        </is>
      </c>
    </row>
    <row r="65586">
      <c r="A65586" s="1" t="n">
        <v>65585</v>
      </c>
      <c r="B65586">
        <f>TEXT(65585, "[$-0E0000]yyyy-mm-dd")</f>
        <v/>
      </c>
      <c r="C65586" t="inlineStr">
        <is>
          <t>2079-06-27</t>
        </is>
      </c>
    </row>
    <row r="65587">
      <c r="A65587" s="1" t="n">
        <v>65586</v>
      </c>
      <c r="B65587">
        <f>TEXT(65586, "[$-0E0000]yyyy-mm-dd")</f>
        <v/>
      </c>
      <c r="C65587" t="inlineStr">
        <is>
          <t>2079-06-28</t>
        </is>
      </c>
    </row>
    <row r="65588">
      <c r="A65588" s="1" t="n">
        <v>65587</v>
      </c>
      <c r="B65588">
        <f>TEXT(65587, "[$-0E0000]yyyy-mm-dd")</f>
        <v/>
      </c>
      <c r="C65588" t="inlineStr">
        <is>
          <t>2079-06-29</t>
        </is>
      </c>
    </row>
    <row r="65589">
      <c r="A65589" s="1" t="n">
        <v>65588</v>
      </c>
      <c r="B65589">
        <f>TEXT(65588, "[$-0E0000]yyyy-mm-dd")</f>
        <v/>
      </c>
      <c r="C65589" t="inlineStr">
        <is>
          <t>2079-07-01</t>
        </is>
      </c>
    </row>
    <row r="65590">
      <c r="A65590" s="1" t="n">
        <v>65589</v>
      </c>
      <c r="B65590">
        <f>TEXT(65589, "[$-0E0000]yyyy-mm-dd")</f>
        <v/>
      </c>
      <c r="C65590" t="inlineStr">
        <is>
          <t>2079-07-02</t>
        </is>
      </c>
    </row>
    <row r="65591">
      <c r="A65591" s="1" t="n">
        <v>65590</v>
      </c>
      <c r="B65591">
        <f>TEXT(65590, "[$-0E0000]yyyy-mm-dd")</f>
        <v/>
      </c>
      <c r="C65591" t="inlineStr">
        <is>
          <t>2079-07-03</t>
        </is>
      </c>
    </row>
    <row r="65592">
      <c r="A65592" s="1" t="n">
        <v>65591</v>
      </c>
      <c r="B65592">
        <f>TEXT(65591, "[$-0E0000]yyyy-mm-dd")</f>
        <v/>
      </c>
      <c r="C65592" t="inlineStr">
        <is>
          <t>2079-07-04</t>
        </is>
      </c>
    </row>
    <row r="65593">
      <c r="A65593" s="1" t="n">
        <v>65592</v>
      </c>
      <c r="B65593">
        <f>TEXT(65592, "[$-0E0000]yyyy-mm-dd")</f>
        <v/>
      </c>
      <c r="C65593" t="inlineStr">
        <is>
          <t>2079-07-05</t>
        </is>
      </c>
    </row>
    <row r="65594">
      <c r="A65594" s="1" t="n">
        <v>65593</v>
      </c>
      <c r="B65594">
        <f>TEXT(65593, "[$-0E0000]yyyy-mm-dd")</f>
        <v/>
      </c>
      <c r="C65594" t="inlineStr">
        <is>
          <t>2079-07-06</t>
        </is>
      </c>
    </row>
    <row r="65595">
      <c r="A65595" s="1" t="n">
        <v>65594</v>
      </c>
      <c r="B65595">
        <f>TEXT(65594, "[$-0E0000]yyyy-mm-dd")</f>
        <v/>
      </c>
      <c r="C65595" t="inlineStr">
        <is>
          <t>2079-07-07</t>
        </is>
      </c>
    </row>
    <row r="65596">
      <c r="A65596" s="1" t="n">
        <v>65595</v>
      </c>
      <c r="B65596">
        <f>TEXT(65595, "[$-0E0000]yyyy-mm-dd")</f>
        <v/>
      </c>
      <c r="C65596" t="inlineStr">
        <is>
          <t>2079-07-08</t>
        </is>
      </c>
    </row>
    <row r="65597">
      <c r="A65597" s="1" t="n">
        <v>65596</v>
      </c>
      <c r="B65597">
        <f>TEXT(65596, "[$-0E0000]yyyy-mm-dd")</f>
        <v/>
      </c>
      <c r="C65597" t="inlineStr">
        <is>
          <t>2079-07-09</t>
        </is>
      </c>
    </row>
    <row r="65598">
      <c r="A65598" s="1" t="n">
        <v>65597</v>
      </c>
      <c r="B65598">
        <f>TEXT(65597, "[$-0E0000]yyyy-mm-dd")</f>
        <v/>
      </c>
      <c r="C65598" t="inlineStr">
        <is>
          <t>2079-07-10</t>
        </is>
      </c>
    </row>
    <row r="65599">
      <c r="A65599" s="1" t="n">
        <v>65598</v>
      </c>
      <c r="B65599">
        <f>TEXT(65598, "[$-0E0000]yyyy-mm-dd")</f>
        <v/>
      </c>
      <c r="C65599" t="inlineStr">
        <is>
          <t>2079-07-11</t>
        </is>
      </c>
    </row>
    <row r="65600">
      <c r="A65600" s="1" t="n">
        <v>65599</v>
      </c>
      <c r="B65600">
        <f>TEXT(65599, "[$-0E0000]yyyy-mm-dd")</f>
        <v/>
      </c>
      <c r="C65600" t="inlineStr">
        <is>
          <t>2079-07-12</t>
        </is>
      </c>
    </row>
    <row r="65601">
      <c r="A65601" s="1" t="n">
        <v>65600</v>
      </c>
      <c r="B65601">
        <f>TEXT(65600, "[$-0E0000]yyyy-mm-dd")</f>
        <v/>
      </c>
      <c r="C65601" t="inlineStr">
        <is>
          <t>2079-07-13</t>
        </is>
      </c>
    </row>
    <row r="65602">
      <c r="A65602" s="1" t="n">
        <v>65601</v>
      </c>
      <c r="B65602">
        <f>TEXT(65601, "[$-0E0000]yyyy-mm-dd")</f>
        <v/>
      </c>
      <c r="C65602" t="inlineStr">
        <is>
          <t>2079-07-14</t>
        </is>
      </c>
    </row>
    <row r="65603">
      <c r="A65603" s="1" t="n">
        <v>65602</v>
      </c>
      <c r="B65603">
        <f>TEXT(65602, "[$-0E0000]yyyy-mm-dd")</f>
        <v/>
      </c>
      <c r="C65603" t="inlineStr">
        <is>
          <t>2079-07-15</t>
        </is>
      </c>
    </row>
    <row r="65604">
      <c r="A65604" s="1" t="n">
        <v>65603</v>
      </c>
      <c r="B65604">
        <f>TEXT(65603, "[$-0E0000]yyyy-mm-dd")</f>
        <v/>
      </c>
      <c r="C65604" t="inlineStr">
        <is>
          <t>2079-07-16</t>
        </is>
      </c>
    </row>
    <row r="65605">
      <c r="A65605" s="1" t="n">
        <v>65604</v>
      </c>
      <c r="B65605">
        <f>TEXT(65604, "[$-0E0000]yyyy-mm-dd")</f>
        <v/>
      </c>
      <c r="C65605" t="inlineStr">
        <is>
          <t>2079-07-17</t>
        </is>
      </c>
    </row>
    <row r="65606">
      <c r="A65606" s="1" t="n">
        <v>65605</v>
      </c>
      <c r="B65606">
        <f>TEXT(65605, "[$-0E0000]yyyy-mm-dd")</f>
        <v/>
      </c>
      <c r="C65606" t="inlineStr">
        <is>
          <t>2079-07-18</t>
        </is>
      </c>
    </row>
    <row r="65607">
      <c r="A65607" s="1" t="n">
        <v>65606</v>
      </c>
      <c r="B65607">
        <f>TEXT(65606, "[$-0E0000]yyyy-mm-dd")</f>
        <v/>
      </c>
      <c r="C65607" t="inlineStr">
        <is>
          <t>2079-07-19</t>
        </is>
      </c>
    </row>
    <row r="65608">
      <c r="A65608" s="1" t="n">
        <v>65607</v>
      </c>
      <c r="B65608">
        <f>TEXT(65607, "[$-0E0000]yyyy-mm-dd")</f>
        <v/>
      </c>
      <c r="C65608" t="inlineStr">
        <is>
          <t>2079-07-20</t>
        </is>
      </c>
    </row>
    <row r="65609">
      <c r="A65609" s="1" t="n">
        <v>65608</v>
      </c>
      <c r="B65609">
        <f>TEXT(65608, "[$-0E0000]yyyy-mm-dd")</f>
        <v/>
      </c>
      <c r="C65609" t="inlineStr">
        <is>
          <t>2079-07-21</t>
        </is>
      </c>
    </row>
    <row r="65610">
      <c r="A65610" s="1" t="n">
        <v>65609</v>
      </c>
      <c r="B65610">
        <f>TEXT(65609, "[$-0E0000]yyyy-mm-dd")</f>
        <v/>
      </c>
      <c r="C65610" t="inlineStr">
        <is>
          <t>2079-07-22</t>
        </is>
      </c>
    </row>
    <row r="65611">
      <c r="A65611" s="1" t="n">
        <v>65610</v>
      </c>
      <c r="B65611">
        <f>TEXT(65610, "[$-0E0000]yyyy-mm-dd")</f>
        <v/>
      </c>
      <c r="C65611" t="inlineStr">
        <is>
          <t>2079-07-23</t>
        </is>
      </c>
    </row>
    <row r="65612">
      <c r="A65612" s="1" t="n">
        <v>65611</v>
      </c>
      <c r="B65612">
        <f>TEXT(65611, "[$-0E0000]yyyy-mm-dd")</f>
        <v/>
      </c>
      <c r="C65612" t="inlineStr">
        <is>
          <t>2079-07-24</t>
        </is>
      </c>
    </row>
    <row r="65613">
      <c r="A65613" s="1" t="n">
        <v>65612</v>
      </c>
      <c r="B65613">
        <f>TEXT(65612, "[$-0E0000]yyyy-mm-dd")</f>
        <v/>
      </c>
      <c r="C65613" t="inlineStr">
        <is>
          <t>2079-07-25</t>
        </is>
      </c>
    </row>
    <row r="65614">
      <c r="A65614" s="1" t="n">
        <v>65613</v>
      </c>
      <c r="B65614">
        <f>TEXT(65613, "[$-0E0000]yyyy-mm-dd")</f>
        <v/>
      </c>
      <c r="C65614" t="inlineStr">
        <is>
          <t>2079-07-26</t>
        </is>
      </c>
    </row>
    <row r="65615">
      <c r="A65615" s="1" t="n">
        <v>65614</v>
      </c>
      <c r="B65615">
        <f>TEXT(65614, "[$-0E0000]yyyy-mm-dd")</f>
        <v/>
      </c>
      <c r="C65615" t="inlineStr">
        <is>
          <t>2079-07-27</t>
        </is>
      </c>
    </row>
    <row r="65616">
      <c r="A65616" s="1" t="n">
        <v>65615</v>
      </c>
      <c r="B65616">
        <f>TEXT(65615, "[$-0E0000]yyyy-mm-dd")</f>
        <v/>
      </c>
      <c r="C65616" t="inlineStr">
        <is>
          <t>2079-07-28</t>
        </is>
      </c>
    </row>
    <row r="65617">
      <c r="A65617" s="1" t="n">
        <v>65616</v>
      </c>
      <c r="B65617">
        <f>TEXT(65616, "[$-0E0000]yyyy-mm-dd")</f>
        <v/>
      </c>
      <c r="C65617" t="inlineStr">
        <is>
          <t>2079-07-29</t>
        </is>
      </c>
    </row>
    <row r="65618">
      <c r="A65618" s="1" t="n">
        <v>65617</v>
      </c>
      <c r="B65618">
        <f>TEXT(65617, "[$-0E0000]yyyy-mm-dd")</f>
        <v/>
      </c>
      <c r="C65618" t="inlineStr">
        <is>
          <t>2079-07-30</t>
        </is>
      </c>
    </row>
    <row r="65619">
      <c r="A65619" s="1" t="n">
        <v>65618</v>
      </c>
      <c r="B65619">
        <f>TEXT(65618, "[$-0E0000]yyyy-mm-dd")</f>
        <v/>
      </c>
      <c r="C65619" t="inlineStr">
        <is>
          <t>2079-08-01</t>
        </is>
      </c>
    </row>
    <row r="65620">
      <c r="A65620" s="1" t="n">
        <v>65619</v>
      </c>
      <c r="B65620">
        <f>TEXT(65619, "[$-0E0000]yyyy-mm-dd")</f>
        <v/>
      </c>
      <c r="C65620" t="inlineStr">
        <is>
          <t>2079-08-02</t>
        </is>
      </c>
    </row>
    <row r="65621">
      <c r="A65621" s="1" t="n">
        <v>65620</v>
      </c>
      <c r="B65621">
        <f>TEXT(65620, "[$-0E0000]yyyy-mm-dd")</f>
        <v/>
      </c>
      <c r="C65621" t="inlineStr">
        <is>
          <t>2079-08-03</t>
        </is>
      </c>
    </row>
    <row r="65622">
      <c r="A65622" s="1" t="n">
        <v>65621</v>
      </c>
      <c r="B65622">
        <f>TEXT(65621, "[$-0E0000]yyyy-mm-dd")</f>
        <v/>
      </c>
      <c r="C65622" t="inlineStr">
        <is>
          <t>2079-08-04</t>
        </is>
      </c>
    </row>
    <row r="65623">
      <c r="A65623" s="1" t="n">
        <v>65622</v>
      </c>
      <c r="B65623">
        <f>TEXT(65622, "[$-0E0000]yyyy-mm-dd")</f>
        <v/>
      </c>
      <c r="C65623" t="inlineStr">
        <is>
          <t>2079-08-05</t>
        </is>
      </c>
    </row>
    <row r="65624">
      <c r="A65624" s="1" t="n">
        <v>65623</v>
      </c>
      <c r="B65624">
        <f>TEXT(65623, "[$-0E0000]yyyy-mm-dd")</f>
        <v/>
      </c>
      <c r="C65624" t="inlineStr">
        <is>
          <t>2079-08-06</t>
        </is>
      </c>
    </row>
    <row r="65625">
      <c r="A65625" s="1" t="n">
        <v>65624</v>
      </c>
      <c r="B65625">
        <f>TEXT(65624, "[$-0E0000]yyyy-mm-dd")</f>
        <v/>
      </c>
      <c r="C65625" t="inlineStr">
        <is>
          <t>2079-08-07</t>
        </is>
      </c>
    </row>
    <row r="65626">
      <c r="A65626" s="1" t="n">
        <v>65625</v>
      </c>
      <c r="B65626">
        <f>TEXT(65625, "[$-0E0000]yyyy-mm-dd")</f>
        <v/>
      </c>
      <c r="C65626" t="inlineStr">
        <is>
          <t>2079-08-08</t>
        </is>
      </c>
    </row>
    <row r="65627">
      <c r="A65627" s="1" t="n">
        <v>65626</v>
      </c>
      <c r="B65627">
        <f>TEXT(65626, "[$-0E0000]yyyy-mm-dd")</f>
        <v/>
      </c>
      <c r="C65627" t="inlineStr">
        <is>
          <t>2079-08-09</t>
        </is>
      </c>
    </row>
    <row r="65628">
      <c r="A65628" s="1" t="n">
        <v>65627</v>
      </c>
      <c r="B65628">
        <f>TEXT(65627, "[$-0E0000]yyyy-mm-dd")</f>
        <v/>
      </c>
      <c r="C65628" t="inlineStr">
        <is>
          <t>2079-08-10</t>
        </is>
      </c>
    </row>
    <row r="65629">
      <c r="A65629" s="1" t="n">
        <v>65628</v>
      </c>
      <c r="B65629">
        <f>TEXT(65628, "[$-0E0000]yyyy-mm-dd")</f>
        <v/>
      </c>
      <c r="C65629" t="inlineStr">
        <is>
          <t>2079-08-11</t>
        </is>
      </c>
    </row>
    <row r="65630">
      <c r="A65630" s="1" t="n">
        <v>65629</v>
      </c>
      <c r="B65630">
        <f>TEXT(65629, "[$-0E0000]yyyy-mm-dd")</f>
        <v/>
      </c>
      <c r="C65630" t="inlineStr">
        <is>
          <t>2079-08-12</t>
        </is>
      </c>
    </row>
    <row r="65631">
      <c r="A65631" s="1" t="n">
        <v>65630</v>
      </c>
      <c r="B65631">
        <f>TEXT(65630, "[$-0E0000]yyyy-mm-dd")</f>
        <v/>
      </c>
      <c r="C65631" t="inlineStr">
        <is>
          <t>2079-08-13</t>
        </is>
      </c>
    </row>
    <row r="65632">
      <c r="A65632" s="1" t="n">
        <v>65631</v>
      </c>
      <c r="B65632">
        <f>TEXT(65631, "[$-0E0000]yyyy-mm-dd")</f>
        <v/>
      </c>
      <c r="C65632" t="inlineStr">
        <is>
          <t>2079-08-14</t>
        </is>
      </c>
    </row>
    <row r="65633">
      <c r="A65633" s="1" t="n">
        <v>65632</v>
      </c>
      <c r="B65633">
        <f>TEXT(65632, "[$-0E0000]yyyy-mm-dd")</f>
        <v/>
      </c>
      <c r="C65633" t="inlineStr">
        <is>
          <t>2079-08-15</t>
        </is>
      </c>
    </row>
    <row r="65634">
      <c r="A65634" s="1" t="n">
        <v>65633</v>
      </c>
      <c r="B65634">
        <f>TEXT(65633, "[$-0E0000]yyyy-mm-dd")</f>
        <v/>
      </c>
      <c r="C65634" t="inlineStr">
        <is>
          <t>2079-08-16</t>
        </is>
      </c>
    </row>
    <row r="65635">
      <c r="A65635" s="1" t="n">
        <v>65634</v>
      </c>
      <c r="B65635">
        <f>TEXT(65634, "[$-0E0000]yyyy-mm-dd")</f>
        <v/>
      </c>
      <c r="C65635" t="inlineStr">
        <is>
          <t>2079-08-17</t>
        </is>
      </c>
    </row>
    <row r="65636">
      <c r="A65636" s="1" t="n">
        <v>65635</v>
      </c>
      <c r="B65636">
        <f>TEXT(65635, "[$-0E0000]yyyy-mm-dd")</f>
        <v/>
      </c>
      <c r="C65636" t="inlineStr">
        <is>
          <t>2079-08-18</t>
        </is>
      </c>
    </row>
    <row r="65637">
      <c r="A65637" s="1" t="n">
        <v>65636</v>
      </c>
      <c r="B65637">
        <f>TEXT(65636, "[$-0E0000]yyyy-mm-dd")</f>
        <v/>
      </c>
      <c r="C65637" t="inlineStr">
        <is>
          <t>2079-08-19</t>
        </is>
      </c>
    </row>
    <row r="65638">
      <c r="A65638" s="1" t="n">
        <v>65637</v>
      </c>
      <c r="B65638">
        <f>TEXT(65637, "[$-0E0000]yyyy-mm-dd")</f>
        <v/>
      </c>
      <c r="C65638" t="inlineStr">
        <is>
          <t>2079-08-20</t>
        </is>
      </c>
    </row>
    <row r="65639">
      <c r="A65639" s="1" t="n">
        <v>65638</v>
      </c>
      <c r="B65639">
        <f>TEXT(65638, "[$-0E0000]yyyy-mm-dd")</f>
        <v/>
      </c>
      <c r="C65639" t="inlineStr">
        <is>
          <t>2079-08-21</t>
        </is>
      </c>
    </row>
    <row r="65640">
      <c r="A65640" s="1" t="n">
        <v>65639</v>
      </c>
      <c r="B65640">
        <f>TEXT(65639, "[$-0E0000]yyyy-mm-dd")</f>
        <v/>
      </c>
      <c r="C65640" t="inlineStr">
        <is>
          <t>2079-08-22</t>
        </is>
      </c>
    </row>
    <row r="65641">
      <c r="A65641" s="1" t="n">
        <v>65640</v>
      </c>
      <c r="B65641">
        <f>TEXT(65640, "[$-0E0000]yyyy-mm-dd")</f>
        <v/>
      </c>
      <c r="C65641" t="inlineStr">
        <is>
          <t>2079-08-23</t>
        </is>
      </c>
    </row>
    <row r="65642">
      <c r="A65642" s="1" t="n">
        <v>65641</v>
      </c>
      <c r="B65642">
        <f>TEXT(65641, "[$-0E0000]yyyy-mm-dd")</f>
        <v/>
      </c>
      <c r="C65642" t="inlineStr">
        <is>
          <t>2079-08-24</t>
        </is>
      </c>
    </row>
    <row r="65643">
      <c r="A65643" s="1" t="n">
        <v>65642</v>
      </c>
      <c r="B65643">
        <f>TEXT(65642, "[$-0E0000]yyyy-mm-dd")</f>
        <v/>
      </c>
      <c r="C65643" t="inlineStr">
        <is>
          <t>2079-08-25</t>
        </is>
      </c>
    </row>
    <row r="65644">
      <c r="A65644" s="1" t="n">
        <v>65643</v>
      </c>
      <c r="B65644">
        <f>TEXT(65643, "[$-0E0000]yyyy-mm-dd")</f>
        <v/>
      </c>
      <c r="C65644" t="inlineStr">
        <is>
          <t>2079-08-26</t>
        </is>
      </c>
    </row>
    <row r="65645">
      <c r="A65645" s="1" t="n">
        <v>65644</v>
      </c>
      <c r="B65645">
        <f>TEXT(65644, "[$-0E0000]yyyy-mm-dd")</f>
        <v/>
      </c>
      <c r="C65645" t="inlineStr">
        <is>
          <t>2079-08-27</t>
        </is>
      </c>
    </row>
    <row r="65646">
      <c r="A65646" s="1" t="n">
        <v>65645</v>
      </c>
      <c r="B65646">
        <f>TEXT(65645, "[$-0E0000]yyyy-mm-dd")</f>
        <v/>
      </c>
      <c r="C65646" t="inlineStr">
        <is>
          <t>2079-08-28</t>
        </is>
      </c>
    </row>
    <row r="65647">
      <c r="A65647" s="1" t="n">
        <v>65646</v>
      </c>
      <c r="B65647">
        <f>TEXT(65646, "[$-0E0000]yyyy-mm-dd")</f>
        <v/>
      </c>
      <c r="C65647" t="inlineStr">
        <is>
          <t>2079-08-29</t>
        </is>
      </c>
    </row>
    <row r="65648">
      <c r="A65648" s="1" t="n">
        <v>65647</v>
      </c>
      <c r="B65648">
        <f>TEXT(65647, "[$-0E0000]yyyy-mm-dd")</f>
        <v/>
      </c>
      <c r="C65648" t="inlineStr">
        <is>
          <t>2079-09-01</t>
        </is>
      </c>
    </row>
    <row r="65649">
      <c r="A65649" s="1" t="n">
        <v>65648</v>
      </c>
      <c r="B65649">
        <f>TEXT(65648, "[$-0E0000]yyyy-mm-dd")</f>
        <v/>
      </c>
      <c r="C65649" t="inlineStr">
        <is>
          <t>2079-09-02</t>
        </is>
      </c>
    </row>
    <row r="65650">
      <c r="A65650" s="1" t="n">
        <v>65649</v>
      </c>
      <c r="B65650">
        <f>TEXT(65649, "[$-0E0000]yyyy-mm-dd")</f>
        <v/>
      </c>
      <c r="C65650" t="inlineStr">
        <is>
          <t>2079-09-03</t>
        </is>
      </c>
    </row>
    <row r="65651">
      <c r="A65651" s="1" t="n">
        <v>65650</v>
      </c>
      <c r="B65651">
        <f>TEXT(65650, "[$-0E0000]yyyy-mm-dd")</f>
        <v/>
      </c>
      <c r="C65651" t="inlineStr">
        <is>
          <t>2079-09-04</t>
        </is>
      </c>
    </row>
    <row r="65652">
      <c r="A65652" s="1" t="n">
        <v>65651</v>
      </c>
      <c r="B65652">
        <f>TEXT(65651, "[$-0E0000]yyyy-mm-dd")</f>
        <v/>
      </c>
      <c r="C65652" t="inlineStr">
        <is>
          <t>2079-09-05</t>
        </is>
      </c>
    </row>
    <row r="65653">
      <c r="A65653" s="1" t="n">
        <v>65652</v>
      </c>
      <c r="B65653">
        <f>TEXT(65652, "[$-0E0000]yyyy-mm-dd")</f>
        <v/>
      </c>
      <c r="C65653" t="inlineStr">
        <is>
          <t>2079-09-06</t>
        </is>
      </c>
    </row>
    <row r="65654">
      <c r="A65654" s="1" t="n">
        <v>65653</v>
      </c>
      <c r="B65654">
        <f>TEXT(65653, "[$-0E0000]yyyy-mm-dd")</f>
        <v/>
      </c>
      <c r="C65654" t="inlineStr">
        <is>
          <t>2079-09-07</t>
        </is>
      </c>
    </row>
    <row r="65655">
      <c r="A65655" s="1" t="n">
        <v>65654</v>
      </c>
      <c r="B65655">
        <f>TEXT(65654, "[$-0E0000]yyyy-mm-dd")</f>
        <v/>
      </c>
      <c r="C65655" t="inlineStr">
        <is>
          <t>2079-09-08</t>
        </is>
      </c>
    </row>
    <row r="65656">
      <c r="A65656" s="1" t="n">
        <v>65655</v>
      </c>
      <c r="B65656">
        <f>TEXT(65655, "[$-0E0000]yyyy-mm-dd")</f>
        <v/>
      </c>
      <c r="C65656" t="inlineStr">
        <is>
          <t>2079-09-09</t>
        </is>
      </c>
    </row>
    <row r="65657">
      <c r="A65657" s="1" t="n">
        <v>65656</v>
      </c>
      <c r="B65657">
        <f>TEXT(65656, "[$-0E0000]yyyy-mm-dd")</f>
        <v/>
      </c>
      <c r="C65657" t="inlineStr">
        <is>
          <t>2079-09-10</t>
        </is>
      </c>
    </row>
    <row r="65658">
      <c r="A65658" s="1" t="n">
        <v>65657</v>
      </c>
      <c r="B65658">
        <f>TEXT(65657, "[$-0E0000]yyyy-mm-dd")</f>
        <v/>
      </c>
      <c r="C65658" t="inlineStr">
        <is>
          <t>2079-09-11</t>
        </is>
      </c>
    </row>
    <row r="65659">
      <c r="A65659" s="1" t="n">
        <v>65658</v>
      </c>
      <c r="B65659">
        <f>TEXT(65658, "[$-0E0000]yyyy-mm-dd")</f>
        <v/>
      </c>
      <c r="C65659" t="inlineStr">
        <is>
          <t>2079-09-12</t>
        </is>
      </c>
    </row>
    <row r="65660">
      <c r="A65660" s="1" t="n">
        <v>65659</v>
      </c>
      <c r="B65660">
        <f>TEXT(65659, "[$-0E0000]yyyy-mm-dd")</f>
        <v/>
      </c>
      <c r="C65660" t="inlineStr">
        <is>
          <t>2079-09-13</t>
        </is>
      </c>
    </row>
    <row r="65661">
      <c r="A65661" s="1" t="n">
        <v>65660</v>
      </c>
      <c r="B65661">
        <f>TEXT(65660, "[$-0E0000]yyyy-mm-dd")</f>
        <v/>
      </c>
      <c r="C65661" t="inlineStr">
        <is>
          <t>2079-09-14</t>
        </is>
      </c>
    </row>
    <row r="65662">
      <c r="A65662" s="1" t="n">
        <v>65661</v>
      </c>
      <c r="B65662">
        <f>TEXT(65661, "[$-0E0000]yyyy-mm-dd")</f>
        <v/>
      </c>
      <c r="C65662" t="inlineStr">
        <is>
          <t>2079-09-15</t>
        </is>
      </c>
    </row>
    <row r="65663">
      <c r="A65663" s="1" t="n">
        <v>65662</v>
      </c>
      <c r="B65663">
        <f>TEXT(65662, "[$-0E0000]yyyy-mm-dd")</f>
        <v/>
      </c>
      <c r="C65663" t="inlineStr">
        <is>
          <t>2079-09-16</t>
        </is>
      </c>
    </row>
    <row r="65664">
      <c r="A65664" s="1" t="n">
        <v>65663</v>
      </c>
      <c r="B65664">
        <f>TEXT(65663, "[$-0E0000]yyyy-mm-dd")</f>
        <v/>
      </c>
      <c r="C65664" t="inlineStr">
        <is>
          <t>2079-09-17</t>
        </is>
      </c>
    </row>
    <row r="65665">
      <c r="A65665" s="1" t="n">
        <v>65664</v>
      </c>
      <c r="B65665">
        <f>TEXT(65664, "[$-0E0000]yyyy-mm-dd")</f>
        <v/>
      </c>
      <c r="C65665" t="inlineStr">
        <is>
          <t>2079-09-18</t>
        </is>
      </c>
    </row>
    <row r="65666">
      <c r="A65666" s="1" t="n">
        <v>65665</v>
      </c>
      <c r="B65666">
        <f>TEXT(65665, "[$-0E0000]yyyy-mm-dd")</f>
        <v/>
      </c>
      <c r="C65666" t="inlineStr">
        <is>
          <t>2079-09-19</t>
        </is>
      </c>
    </row>
    <row r="65667">
      <c r="A65667" s="1" t="n">
        <v>65666</v>
      </c>
      <c r="B65667">
        <f>TEXT(65666, "[$-0E0000]yyyy-mm-dd")</f>
        <v/>
      </c>
      <c r="C65667" t="inlineStr">
        <is>
          <t>2079-09-20</t>
        </is>
      </c>
    </row>
    <row r="65668">
      <c r="A65668" s="1" t="n">
        <v>65667</v>
      </c>
      <c r="B65668">
        <f>TEXT(65667, "[$-0E0000]yyyy-mm-dd")</f>
        <v/>
      </c>
      <c r="C65668" t="inlineStr">
        <is>
          <t>2079-09-21</t>
        </is>
      </c>
    </row>
    <row r="65669">
      <c r="A65669" s="1" t="n">
        <v>65668</v>
      </c>
      <c r="B65669">
        <f>TEXT(65668, "[$-0E0000]yyyy-mm-dd")</f>
        <v/>
      </c>
      <c r="C65669" t="inlineStr">
        <is>
          <t>2079-09-22</t>
        </is>
      </c>
    </row>
    <row r="65670">
      <c r="A65670" s="1" t="n">
        <v>65669</v>
      </c>
      <c r="B65670">
        <f>TEXT(65669, "[$-0E0000]yyyy-mm-dd")</f>
        <v/>
      </c>
      <c r="C65670" t="inlineStr">
        <is>
          <t>2079-09-23</t>
        </is>
      </c>
    </row>
    <row r="65671">
      <c r="A65671" s="1" t="n">
        <v>65670</v>
      </c>
      <c r="B65671">
        <f>TEXT(65670, "[$-0E0000]yyyy-mm-dd")</f>
        <v/>
      </c>
      <c r="C65671" t="inlineStr">
        <is>
          <t>2079-09-24</t>
        </is>
      </c>
    </row>
    <row r="65672">
      <c r="A65672" s="1" t="n">
        <v>65671</v>
      </c>
      <c r="B65672">
        <f>TEXT(65671, "[$-0E0000]yyyy-mm-dd")</f>
        <v/>
      </c>
      <c r="C65672" t="inlineStr">
        <is>
          <t>2079-09-25</t>
        </is>
      </c>
    </row>
    <row r="65673">
      <c r="A65673" s="1" t="n">
        <v>65672</v>
      </c>
      <c r="B65673">
        <f>TEXT(65672, "[$-0E0000]yyyy-mm-dd")</f>
        <v/>
      </c>
      <c r="C65673" t="inlineStr">
        <is>
          <t>2079-09-26</t>
        </is>
      </c>
    </row>
    <row r="65674">
      <c r="A65674" s="1" t="n">
        <v>65673</v>
      </c>
      <c r="B65674">
        <f>TEXT(65673, "[$-0E0000]yyyy-mm-dd")</f>
        <v/>
      </c>
      <c r="C65674" t="inlineStr">
        <is>
          <t>2079-09-27</t>
        </is>
      </c>
    </row>
    <row r="65675">
      <c r="A65675" s="1" t="n">
        <v>65674</v>
      </c>
      <c r="B65675">
        <f>TEXT(65674, "[$-0E0000]yyyy-mm-dd")</f>
        <v/>
      </c>
      <c r="C65675" t="inlineStr">
        <is>
          <t>2079-09-28</t>
        </is>
      </c>
    </row>
    <row r="65676">
      <c r="A65676" s="1" t="n">
        <v>65675</v>
      </c>
      <c r="B65676">
        <f>TEXT(65675, "[$-0E0000]yyyy-mm-dd")</f>
        <v/>
      </c>
      <c r="C65676" t="inlineStr">
        <is>
          <t>2079-09-29</t>
        </is>
      </c>
    </row>
    <row r="65677">
      <c r="A65677" s="1" t="n">
        <v>65676</v>
      </c>
      <c r="B65677">
        <f>TEXT(65676, "[$-0E0000]yyyy-mm-dd")</f>
        <v/>
      </c>
      <c r="C65677" t="inlineStr">
        <is>
          <t>2079-09-30</t>
        </is>
      </c>
    </row>
    <row r="65678">
      <c r="A65678" s="1" t="n">
        <v>65677</v>
      </c>
      <c r="B65678">
        <f>TEXT(65677, "[$-0E0000]yyyy-mm-dd")</f>
        <v/>
      </c>
      <c r="C65678" t="inlineStr">
        <is>
          <t>2079-10-01</t>
        </is>
      </c>
    </row>
    <row r="65679">
      <c r="A65679" s="1" t="n">
        <v>65678</v>
      </c>
      <c r="B65679">
        <f>TEXT(65678, "[$-0E0000]yyyy-mm-dd")</f>
        <v/>
      </c>
      <c r="C65679" t="inlineStr">
        <is>
          <t>2079-10-02</t>
        </is>
      </c>
    </row>
    <row r="65680">
      <c r="A65680" s="1" t="n">
        <v>65679</v>
      </c>
      <c r="B65680">
        <f>TEXT(65679, "[$-0E0000]yyyy-mm-dd")</f>
        <v/>
      </c>
      <c r="C65680" t="inlineStr">
        <is>
          <t>2079-10-03</t>
        </is>
      </c>
    </row>
    <row r="65681">
      <c r="A65681" s="1" t="n">
        <v>65680</v>
      </c>
      <c r="B65681">
        <f>TEXT(65680, "[$-0E0000]yyyy-mm-dd")</f>
        <v/>
      </c>
      <c r="C65681" t="inlineStr">
        <is>
          <t>2079-10-04</t>
        </is>
      </c>
    </row>
    <row r="65682">
      <c r="A65682" s="1" t="n">
        <v>65681</v>
      </c>
      <c r="B65682">
        <f>TEXT(65681, "[$-0E0000]yyyy-mm-dd")</f>
        <v/>
      </c>
      <c r="C65682" t="inlineStr">
        <is>
          <t>2079-10-05</t>
        </is>
      </c>
    </row>
    <row r="65683">
      <c r="A65683" s="1" t="n">
        <v>65682</v>
      </c>
      <c r="B65683">
        <f>TEXT(65682, "[$-0E0000]yyyy-mm-dd")</f>
        <v/>
      </c>
      <c r="C65683" t="inlineStr">
        <is>
          <t>2079-10-06</t>
        </is>
      </c>
    </row>
    <row r="65684">
      <c r="A65684" s="1" t="n">
        <v>65683</v>
      </c>
      <c r="B65684">
        <f>TEXT(65683, "[$-0E0000]yyyy-mm-dd")</f>
        <v/>
      </c>
      <c r="C65684" t="inlineStr">
        <is>
          <t>2079-10-07</t>
        </is>
      </c>
    </row>
    <row r="65685">
      <c r="A65685" s="1" t="n">
        <v>65684</v>
      </c>
      <c r="B65685">
        <f>TEXT(65684, "[$-0E0000]yyyy-mm-dd")</f>
        <v/>
      </c>
      <c r="C65685" t="inlineStr">
        <is>
          <t>2079-10-08</t>
        </is>
      </c>
    </row>
    <row r="65686">
      <c r="A65686" s="1" t="n">
        <v>65685</v>
      </c>
      <c r="B65686">
        <f>TEXT(65685, "[$-0E0000]yyyy-mm-dd")</f>
        <v/>
      </c>
      <c r="C65686" t="inlineStr">
        <is>
          <t>2079-10-09</t>
        </is>
      </c>
    </row>
    <row r="65687">
      <c r="A65687" s="1" t="n">
        <v>65686</v>
      </c>
      <c r="B65687">
        <f>TEXT(65686, "[$-0E0000]yyyy-mm-dd")</f>
        <v/>
      </c>
      <c r="C65687" t="inlineStr">
        <is>
          <t>2079-10-10</t>
        </is>
      </c>
    </row>
    <row r="65688">
      <c r="A65688" s="1" t="n">
        <v>65687</v>
      </c>
      <c r="B65688">
        <f>TEXT(65687, "[$-0E0000]yyyy-mm-dd")</f>
        <v/>
      </c>
      <c r="C65688" t="inlineStr">
        <is>
          <t>2079-10-11</t>
        </is>
      </c>
    </row>
    <row r="65689">
      <c r="A65689" s="1" t="n">
        <v>65688</v>
      </c>
      <c r="B65689">
        <f>TEXT(65688, "[$-0E0000]yyyy-mm-dd")</f>
        <v/>
      </c>
      <c r="C65689" t="inlineStr">
        <is>
          <t>2079-10-12</t>
        </is>
      </c>
    </row>
    <row r="65690">
      <c r="A65690" s="1" t="n">
        <v>65689</v>
      </c>
      <c r="B65690">
        <f>TEXT(65689, "[$-0E0000]yyyy-mm-dd")</f>
        <v/>
      </c>
      <c r="C65690" t="inlineStr">
        <is>
          <t>2079-10-13</t>
        </is>
      </c>
    </row>
    <row r="65691">
      <c r="A65691" s="1" t="n">
        <v>65690</v>
      </c>
      <c r="B65691">
        <f>TEXT(65690, "[$-0E0000]yyyy-mm-dd")</f>
        <v/>
      </c>
      <c r="C65691" t="inlineStr">
        <is>
          <t>2079-10-14</t>
        </is>
      </c>
    </row>
    <row r="65692">
      <c r="A65692" s="1" t="n">
        <v>65691</v>
      </c>
      <c r="B65692">
        <f>TEXT(65691, "[$-0E0000]yyyy-mm-dd")</f>
        <v/>
      </c>
      <c r="C65692" t="inlineStr">
        <is>
          <t>2079-10-15</t>
        </is>
      </c>
    </row>
    <row r="65693">
      <c r="A65693" s="1" t="n">
        <v>65692</v>
      </c>
      <c r="B65693">
        <f>TEXT(65692, "[$-0E0000]yyyy-mm-dd")</f>
        <v/>
      </c>
      <c r="C65693" t="inlineStr">
        <is>
          <t>2079-10-16</t>
        </is>
      </c>
    </row>
    <row r="65694">
      <c r="A65694" s="1" t="n">
        <v>65693</v>
      </c>
      <c r="B65694">
        <f>TEXT(65693, "[$-0E0000]yyyy-mm-dd")</f>
        <v/>
      </c>
      <c r="C65694" t="inlineStr">
        <is>
          <t>2079-10-17</t>
        </is>
      </c>
    </row>
    <row r="65695">
      <c r="A65695" s="1" t="n">
        <v>65694</v>
      </c>
      <c r="B65695">
        <f>TEXT(65694, "[$-0E0000]yyyy-mm-dd")</f>
        <v/>
      </c>
      <c r="C65695" t="inlineStr">
        <is>
          <t>2079-10-18</t>
        </is>
      </c>
    </row>
    <row r="65696">
      <c r="A65696" s="1" t="n">
        <v>65695</v>
      </c>
      <c r="B65696">
        <f>TEXT(65695, "[$-0E0000]yyyy-mm-dd")</f>
        <v/>
      </c>
      <c r="C65696" t="inlineStr">
        <is>
          <t>2079-10-19</t>
        </is>
      </c>
    </row>
    <row r="65697">
      <c r="A65697" s="1" t="n">
        <v>65696</v>
      </c>
      <c r="B65697">
        <f>TEXT(65696, "[$-0E0000]yyyy-mm-dd")</f>
        <v/>
      </c>
      <c r="C65697" t="inlineStr">
        <is>
          <t>2079-10-20</t>
        </is>
      </c>
    </row>
    <row r="65698">
      <c r="A65698" s="1" t="n">
        <v>65697</v>
      </c>
      <c r="B65698">
        <f>TEXT(65697, "[$-0E0000]yyyy-mm-dd")</f>
        <v/>
      </c>
      <c r="C65698" t="inlineStr">
        <is>
          <t>2079-10-21</t>
        </is>
      </c>
    </row>
    <row r="65699">
      <c r="A65699" s="1" t="n">
        <v>65698</v>
      </c>
      <c r="B65699">
        <f>TEXT(65698, "[$-0E0000]yyyy-mm-dd")</f>
        <v/>
      </c>
      <c r="C65699" t="inlineStr">
        <is>
          <t>2079-10-22</t>
        </is>
      </c>
    </row>
    <row r="65700">
      <c r="A65700" s="1" t="n">
        <v>65699</v>
      </c>
      <c r="B65700">
        <f>TEXT(65699, "[$-0E0000]yyyy-mm-dd")</f>
        <v/>
      </c>
      <c r="C65700" t="inlineStr">
        <is>
          <t>2079-10-23</t>
        </is>
      </c>
    </row>
    <row r="65701">
      <c r="A65701" s="1" t="n">
        <v>65700</v>
      </c>
      <c r="B65701">
        <f>TEXT(65700, "[$-0E0000]yyyy-mm-dd")</f>
        <v/>
      </c>
      <c r="C65701" t="inlineStr">
        <is>
          <t>2079-10-24</t>
        </is>
      </c>
    </row>
    <row r="65702">
      <c r="A65702" s="1" t="n">
        <v>65701</v>
      </c>
      <c r="B65702">
        <f>TEXT(65701, "[$-0E0000]yyyy-mm-dd")</f>
        <v/>
      </c>
      <c r="C65702" t="inlineStr">
        <is>
          <t>2079-10-25</t>
        </is>
      </c>
    </row>
    <row r="65703">
      <c r="A65703" s="1" t="n">
        <v>65702</v>
      </c>
      <c r="B65703">
        <f>TEXT(65702, "[$-0E0000]yyyy-mm-dd")</f>
        <v/>
      </c>
      <c r="C65703" t="inlineStr">
        <is>
          <t>2079-10-26</t>
        </is>
      </c>
    </row>
    <row r="65704">
      <c r="A65704" s="1" t="n">
        <v>65703</v>
      </c>
      <c r="B65704">
        <f>TEXT(65703, "[$-0E0000]yyyy-mm-dd")</f>
        <v/>
      </c>
      <c r="C65704" t="inlineStr">
        <is>
          <t>2079-10-27</t>
        </is>
      </c>
    </row>
    <row r="65705">
      <c r="A65705" s="1" t="n">
        <v>65704</v>
      </c>
      <c r="B65705">
        <f>TEXT(65704, "[$-0E0000]yyyy-mm-dd")</f>
        <v/>
      </c>
      <c r="C65705" t="inlineStr">
        <is>
          <t>2079-10-28</t>
        </is>
      </c>
    </row>
    <row r="65706">
      <c r="A65706" s="1" t="n">
        <v>65705</v>
      </c>
      <c r="B65706">
        <f>TEXT(65705, "[$-0E0000]yyyy-mm-dd")</f>
        <v/>
      </c>
      <c r="C65706" t="inlineStr">
        <is>
          <t>2079-10-29</t>
        </is>
      </c>
    </row>
    <row r="65707">
      <c r="A65707" s="1" t="n">
        <v>65706</v>
      </c>
      <c r="B65707">
        <f>TEXT(65706, "[$-0E0000]yyyy-mm-dd")</f>
        <v/>
      </c>
      <c r="C65707" t="inlineStr">
        <is>
          <t>2079-11-01</t>
        </is>
      </c>
    </row>
    <row r="65708">
      <c r="A65708" s="1" t="n">
        <v>65707</v>
      </c>
      <c r="B65708">
        <f>TEXT(65707, "[$-0E0000]yyyy-mm-dd")</f>
        <v/>
      </c>
      <c r="C65708" t="inlineStr">
        <is>
          <t>2079-11-02</t>
        </is>
      </c>
    </row>
    <row r="65709">
      <c r="A65709" s="1" t="n">
        <v>65708</v>
      </c>
      <c r="B65709">
        <f>TEXT(65708, "[$-0E0000]yyyy-mm-dd")</f>
        <v/>
      </c>
      <c r="C65709" t="inlineStr">
        <is>
          <t>2079-11-03</t>
        </is>
      </c>
    </row>
    <row r="65710">
      <c r="A65710" s="1" t="n">
        <v>65709</v>
      </c>
      <c r="B65710">
        <f>TEXT(65709, "[$-0E0000]yyyy-mm-dd")</f>
        <v/>
      </c>
      <c r="C65710" t="inlineStr">
        <is>
          <t>2079-11-04</t>
        </is>
      </c>
    </row>
    <row r="65711">
      <c r="A65711" s="1" t="n">
        <v>65710</v>
      </c>
      <c r="B65711">
        <f>TEXT(65710, "[$-0E0000]yyyy-mm-dd")</f>
        <v/>
      </c>
      <c r="C65711" t="inlineStr">
        <is>
          <t>2079-11-05</t>
        </is>
      </c>
    </row>
    <row r="65712">
      <c r="A65712" s="1" t="n">
        <v>65711</v>
      </c>
      <c r="B65712">
        <f>TEXT(65711, "[$-0E0000]yyyy-mm-dd")</f>
        <v/>
      </c>
      <c r="C65712" t="inlineStr">
        <is>
          <t>2079-11-06</t>
        </is>
      </c>
    </row>
    <row r="65713">
      <c r="A65713" s="1" t="n">
        <v>65712</v>
      </c>
      <c r="B65713">
        <f>TEXT(65712, "[$-0E0000]yyyy-mm-dd")</f>
        <v/>
      </c>
      <c r="C65713" t="inlineStr">
        <is>
          <t>2079-11-07</t>
        </is>
      </c>
    </row>
    <row r="65714">
      <c r="A65714" s="1" t="n">
        <v>65713</v>
      </c>
      <c r="B65714">
        <f>TEXT(65713, "[$-0E0000]yyyy-mm-dd")</f>
        <v/>
      </c>
      <c r="C65714" t="inlineStr">
        <is>
          <t>2079-11-08</t>
        </is>
      </c>
    </row>
    <row r="65715">
      <c r="A65715" s="1" t="n">
        <v>65714</v>
      </c>
      <c r="B65715">
        <f>TEXT(65714, "[$-0E0000]yyyy-mm-dd")</f>
        <v/>
      </c>
      <c r="C65715" t="inlineStr">
        <is>
          <t>2079-11-09</t>
        </is>
      </c>
    </row>
    <row r="65716">
      <c r="A65716" s="1" t="n">
        <v>65715</v>
      </c>
      <c r="B65716">
        <f>TEXT(65715, "[$-0E0000]yyyy-mm-dd")</f>
        <v/>
      </c>
      <c r="C65716" t="inlineStr">
        <is>
          <t>2079-11-10</t>
        </is>
      </c>
    </row>
    <row r="65717">
      <c r="A65717" s="1" t="n">
        <v>65716</v>
      </c>
      <c r="B65717">
        <f>TEXT(65716, "[$-0E0000]yyyy-mm-dd")</f>
        <v/>
      </c>
      <c r="C65717" t="inlineStr">
        <is>
          <t>2079-11-11</t>
        </is>
      </c>
    </row>
    <row r="65718">
      <c r="A65718" s="1" t="n">
        <v>65717</v>
      </c>
      <c r="B65718">
        <f>TEXT(65717, "[$-0E0000]yyyy-mm-dd")</f>
        <v/>
      </c>
      <c r="C65718" t="inlineStr">
        <is>
          <t>2079-11-12</t>
        </is>
      </c>
    </row>
    <row r="65719">
      <c r="A65719" s="1" t="n">
        <v>65718</v>
      </c>
      <c r="B65719">
        <f>TEXT(65718, "[$-0E0000]yyyy-mm-dd")</f>
        <v/>
      </c>
      <c r="C65719" t="inlineStr">
        <is>
          <t>2079-11-13</t>
        </is>
      </c>
    </row>
    <row r="65720">
      <c r="A65720" s="1" t="n">
        <v>65719</v>
      </c>
      <c r="B65720">
        <f>TEXT(65719, "[$-0E0000]yyyy-mm-dd")</f>
        <v/>
      </c>
      <c r="C65720" t="inlineStr">
        <is>
          <t>2079-11-14</t>
        </is>
      </c>
    </row>
    <row r="65721">
      <c r="A65721" s="1" t="n">
        <v>65720</v>
      </c>
      <c r="B65721">
        <f>TEXT(65720, "[$-0E0000]yyyy-mm-dd")</f>
        <v/>
      </c>
      <c r="C65721" t="inlineStr">
        <is>
          <t>2079-11-15</t>
        </is>
      </c>
    </row>
    <row r="65722">
      <c r="A65722" s="1" t="n">
        <v>65721</v>
      </c>
      <c r="B65722">
        <f>TEXT(65721, "[$-0E0000]yyyy-mm-dd")</f>
        <v/>
      </c>
      <c r="C65722" t="inlineStr">
        <is>
          <t>2079-11-16</t>
        </is>
      </c>
    </row>
    <row r="65723">
      <c r="A65723" s="1" t="n">
        <v>65722</v>
      </c>
      <c r="B65723">
        <f>TEXT(65722, "[$-0E0000]yyyy-mm-dd")</f>
        <v/>
      </c>
      <c r="C65723" t="inlineStr">
        <is>
          <t>2079-11-17</t>
        </is>
      </c>
    </row>
    <row r="65724">
      <c r="A65724" s="1" t="n">
        <v>65723</v>
      </c>
      <c r="B65724">
        <f>TEXT(65723, "[$-0E0000]yyyy-mm-dd")</f>
        <v/>
      </c>
      <c r="C65724" t="inlineStr">
        <is>
          <t>2079-11-18</t>
        </is>
      </c>
    </row>
    <row r="65725">
      <c r="A65725" s="1" t="n">
        <v>65724</v>
      </c>
      <c r="B65725">
        <f>TEXT(65724, "[$-0E0000]yyyy-mm-dd")</f>
        <v/>
      </c>
      <c r="C65725" t="inlineStr">
        <is>
          <t>2079-11-19</t>
        </is>
      </c>
    </row>
    <row r="65726">
      <c r="A65726" s="1" t="n">
        <v>65725</v>
      </c>
      <c r="B65726">
        <f>TEXT(65725, "[$-0E0000]yyyy-mm-dd")</f>
        <v/>
      </c>
      <c r="C65726" t="inlineStr">
        <is>
          <t>2079-11-20</t>
        </is>
      </c>
    </row>
    <row r="65727">
      <c r="A65727" s="1" t="n">
        <v>65726</v>
      </c>
      <c r="B65727">
        <f>TEXT(65726, "[$-0E0000]yyyy-mm-dd")</f>
        <v/>
      </c>
      <c r="C65727" t="inlineStr">
        <is>
          <t>2079-11-21</t>
        </is>
      </c>
    </row>
    <row r="65728">
      <c r="A65728" s="1" t="n">
        <v>65727</v>
      </c>
      <c r="B65728">
        <f>TEXT(65727, "[$-0E0000]yyyy-mm-dd")</f>
        <v/>
      </c>
      <c r="C65728" t="inlineStr">
        <is>
          <t>2079-11-22</t>
        </is>
      </c>
    </row>
    <row r="65729">
      <c r="A65729" s="1" t="n">
        <v>65728</v>
      </c>
      <c r="B65729">
        <f>TEXT(65728, "[$-0E0000]yyyy-mm-dd")</f>
        <v/>
      </c>
      <c r="C65729" t="inlineStr">
        <is>
          <t>2079-11-23</t>
        </is>
      </c>
    </row>
    <row r="65730">
      <c r="A65730" s="1" t="n">
        <v>65729</v>
      </c>
      <c r="B65730">
        <f>TEXT(65729, "[$-0E0000]yyyy-mm-dd")</f>
        <v/>
      </c>
      <c r="C65730" t="inlineStr">
        <is>
          <t>2079-11-24</t>
        </is>
      </c>
    </row>
    <row r="65731">
      <c r="A65731" s="1" t="n">
        <v>65730</v>
      </c>
      <c r="B65731">
        <f>TEXT(65730, "[$-0E0000]yyyy-mm-dd")</f>
        <v/>
      </c>
      <c r="C65731" t="inlineStr">
        <is>
          <t>2079-11-25</t>
        </is>
      </c>
    </row>
    <row r="65732">
      <c r="A65732" s="1" t="n">
        <v>65731</v>
      </c>
      <c r="B65732">
        <f>TEXT(65731, "[$-0E0000]yyyy-mm-dd")</f>
        <v/>
      </c>
      <c r="C65732" t="inlineStr">
        <is>
          <t>2079-11-26</t>
        </is>
      </c>
    </row>
    <row r="65733">
      <c r="A65733" s="1" t="n">
        <v>65732</v>
      </c>
      <c r="B65733">
        <f>TEXT(65732, "[$-0E0000]yyyy-mm-dd")</f>
        <v/>
      </c>
      <c r="C65733" t="inlineStr">
        <is>
          <t>2079-11-27</t>
        </is>
      </c>
    </row>
    <row r="65734">
      <c r="A65734" s="1" t="n">
        <v>65733</v>
      </c>
      <c r="B65734">
        <f>TEXT(65733, "[$-0E0000]yyyy-mm-dd")</f>
        <v/>
      </c>
      <c r="C65734" t="inlineStr">
        <is>
          <t>2079-11-28</t>
        </is>
      </c>
    </row>
    <row r="65735">
      <c r="A65735" s="1" t="n">
        <v>65734</v>
      </c>
      <c r="B65735">
        <f>TEXT(65734, "[$-0E0000]yyyy-mm-dd")</f>
        <v/>
      </c>
      <c r="C65735" t="inlineStr">
        <is>
          <t>2079-11-29</t>
        </is>
      </c>
    </row>
    <row r="65736">
      <c r="A65736" s="1" t="n">
        <v>65735</v>
      </c>
      <c r="B65736">
        <f>TEXT(65735, "[$-0E0000]yyyy-mm-dd")</f>
        <v/>
      </c>
      <c r="C65736" t="inlineStr">
        <is>
          <t>2079-11-30</t>
        </is>
      </c>
    </row>
    <row r="65737">
      <c r="A65737" s="1" t="n">
        <v>65736</v>
      </c>
      <c r="B65737">
        <f>TEXT(65736, "[$-0E0000]yyyy-mm-dd")</f>
        <v/>
      </c>
      <c r="C65737" t="inlineStr">
        <is>
          <t>2079-12-01</t>
        </is>
      </c>
    </row>
    <row r="65738">
      <c r="A65738" s="1" t="n">
        <v>65737</v>
      </c>
      <c r="B65738">
        <f>TEXT(65737, "[$-0E0000]yyyy-mm-dd")</f>
        <v/>
      </c>
      <c r="C65738" t="inlineStr">
        <is>
          <t>2079-12-02</t>
        </is>
      </c>
    </row>
    <row r="65739">
      <c r="A65739" s="1" t="n">
        <v>65738</v>
      </c>
      <c r="B65739">
        <f>TEXT(65738, "[$-0E0000]yyyy-mm-dd")</f>
        <v/>
      </c>
      <c r="C65739" t="inlineStr">
        <is>
          <t>2079-12-03</t>
        </is>
      </c>
    </row>
    <row r="65740">
      <c r="A65740" s="1" t="n">
        <v>65739</v>
      </c>
      <c r="B65740">
        <f>TEXT(65739, "[$-0E0000]yyyy-mm-dd")</f>
        <v/>
      </c>
      <c r="C65740" t="inlineStr">
        <is>
          <t>2079-12-04</t>
        </is>
      </c>
    </row>
    <row r="65741">
      <c r="A65741" s="1" t="n">
        <v>65740</v>
      </c>
      <c r="B65741">
        <f>TEXT(65740, "[$-0E0000]yyyy-mm-dd")</f>
        <v/>
      </c>
      <c r="C65741" t="inlineStr">
        <is>
          <t>2079-12-05</t>
        </is>
      </c>
    </row>
    <row r="65742">
      <c r="A65742" s="1" t="n">
        <v>65741</v>
      </c>
      <c r="B65742">
        <f>TEXT(65741, "[$-0E0000]yyyy-mm-dd")</f>
        <v/>
      </c>
      <c r="C65742" t="inlineStr">
        <is>
          <t>2079-12-06</t>
        </is>
      </c>
    </row>
    <row r="65743">
      <c r="A65743" s="1" t="n">
        <v>65742</v>
      </c>
      <c r="B65743">
        <f>TEXT(65742, "[$-0E0000]yyyy-mm-dd")</f>
        <v/>
      </c>
      <c r="C65743" t="inlineStr">
        <is>
          <t>2079-12-07</t>
        </is>
      </c>
    </row>
    <row r="65744">
      <c r="A65744" s="1" t="n">
        <v>65743</v>
      </c>
      <c r="B65744">
        <f>TEXT(65743, "[$-0E0000]yyyy-mm-dd")</f>
        <v/>
      </c>
      <c r="C65744" t="inlineStr">
        <is>
          <t>2079-12-08</t>
        </is>
      </c>
    </row>
    <row r="65745">
      <c r="A65745" s="1" t="n">
        <v>65744</v>
      </c>
      <c r="B65745">
        <f>TEXT(65744, "[$-0E0000]yyyy-mm-dd")</f>
        <v/>
      </c>
      <c r="C65745" t="inlineStr">
        <is>
          <t>2079-12-09</t>
        </is>
      </c>
    </row>
    <row r="65746">
      <c r="A65746" s="1" t="n">
        <v>65745</v>
      </c>
      <c r="B65746">
        <f>TEXT(65745, "[$-0E0000]yyyy-mm-dd")</f>
        <v/>
      </c>
      <c r="C65746" t="inlineStr">
        <is>
          <t>2079-12-10</t>
        </is>
      </c>
    </row>
    <row r="65747">
      <c r="A65747" s="1" t="n">
        <v>65746</v>
      </c>
      <c r="B65747">
        <f>TEXT(65746, "[$-0E0000]yyyy-mm-dd")</f>
        <v/>
      </c>
      <c r="C65747" t="inlineStr">
        <is>
          <t>2079-12-11</t>
        </is>
      </c>
    </row>
    <row r="65748">
      <c r="A65748" s="1" t="n">
        <v>65747</v>
      </c>
      <c r="B65748">
        <f>TEXT(65747, "[$-0E0000]yyyy-mm-dd")</f>
        <v/>
      </c>
      <c r="C65748" t="inlineStr">
        <is>
          <t>2079-12-12</t>
        </is>
      </c>
    </row>
    <row r="65749">
      <c r="A65749" s="1" t="n">
        <v>65748</v>
      </c>
      <c r="B65749">
        <f>TEXT(65748, "[$-0E0000]yyyy-mm-dd")</f>
        <v/>
      </c>
      <c r="C65749" t="inlineStr">
        <is>
          <t>2079-12-13</t>
        </is>
      </c>
    </row>
    <row r="65750">
      <c r="A65750" s="1" t="n">
        <v>65749</v>
      </c>
      <c r="B65750">
        <f>TEXT(65749, "[$-0E0000]yyyy-mm-dd")</f>
        <v/>
      </c>
      <c r="C65750" t="inlineStr">
        <is>
          <t>2079-12-14</t>
        </is>
      </c>
    </row>
    <row r="65751">
      <c r="A65751" s="1" t="n">
        <v>65750</v>
      </c>
      <c r="B65751">
        <f>TEXT(65750, "[$-0E0000]yyyy-mm-dd")</f>
        <v/>
      </c>
      <c r="C65751" t="inlineStr">
        <is>
          <t>2079-12-15</t>
        </is>
      </c>
    </row>
    <row r="65752">
      <c r="A65752" s="1" t="n">
        <v>65751</v>
      </c>
      <c r="B65752">
        <f>TEXT(65751, "[$-0E0000]yyyy-mm-dd")</f>
        <v/>
      </c>
      <c r="C65752" t="inlineStr">
        <is>
          <t>2079-12-16</t>
        </is>
      </c>
    </row>
    <row r="65753">
      <c r="A65753" s="1" t="n">
        <v>65752</v>
      </c>
      <c r="B65753">
        <f>TEXT(65752, "[$-0E0000]yyyy-mm-dd")</f>
        <v/>
      </c>
      <c r="C65753" t="inlineStr">
        <is>
          <t>2079-12-17</t>
        </is>
      </c>
    </row>
    <row r="65754">
      <c r="A65754" s="1" t="n">
        <v>65753</v>
      </c>
      <c r="B65754">
        <f>TEXT(65753, "[$-0E0000]yyyy-mm-dd")</f>
        <v/>
      </c>
      <c r="C65754" t="inlineStr">
        <is>
          <t>2079-12-18</t>
        </is>
      </c>
    </row>
    <row r="65755">
      <c r="A65755" s="1" t="n">
        <v>65754</v>
      </c>
      <c r="B65755">
        <f>TEXT(65754, "[$-0E0000]yyyy-mm-dd")</f>
        <v/>
      </c>
      <c r="C65755" t="inlineStr">
        <is>
          <t>2079-12-19</t>
        </is>
      </c>
    </row>
    <row r="65756">
      <c r="A65756" s="1" t="n">
        <v>65755</v>
      </c>
      <c r="B65756">
        <f>TEXT(65755, "[$-0E0000]yyyy-mm-dd")</f>
        <v/>
      </c>
      <c r="C65756" t="inlineStr">
        <is>
          <t>2079-12-20</t>
        </is>
      </c>
    </row>
    <row r="65757">
      <c r="A65757" s="1" t="n">
        <v>65756</v>
      </c>
      <c r="B65757">
        <f>TEXT(65756, "[$-0E0000]yyyy-mm-dd")</f>
        <v/>
      </c>
      <c r="C65757" t="inlineStr">
        <is>
          <t>2079-12-21</t>
        </is>
      </c>
    </row>
    <row r="65758">
      <c r="A65758" s="1" t="n">
        <v>65757</v>
      </c>
      <c r="B65758">
        <f>TEXT(65757, "[$-0E0000]yyyy-mm-dd")</f>
        <v/>
      </c>
      <c r="C65758" t="inlineStr">
        <is>
          <t>2079-12-22</t>
        </is>
      </c>
    </row>
    <row r="65759">
      <c r="A65759" s="1" t="n">
        <v>65758</v>
      </c>
      <c r="B65759">
        <f>TEXT(65758, "[$-0E0000]yyyy-mm-dd")</f>
        <v/>
      </c>
      <c r="C65759" t="inlineStr">
        <is>
          <t>2079-12-23</t>
        </is>
      </c>
    </row>
    <row r="65760">
      <c r="A65760" s="1" t="n">
        <v>65759</v>
      </c>
      <c r="B65760">
        <f>TEXT(65759, "[$-0E0000]yyyy-mm-dd")</f>
        <v/>
      </c>
      <c r="C65760" t="inlineStr">
        <is>
          <t>2079-12-24</t>
        </is>
      </c>
    </row>
    <row r="65761">
      <c r="A65761" s="1" t="n">
        <v>65760</v>
      </c>
      <c r="B65761">
        <f>TEXT(65760, "[$-0E0000]yyyy-mm-dd")</f>
        <v/>
      </c>
      <c r="C65761" t="inlineStr">
        <is>
          <t>2079-12-25</t>
        </is>
      </c>
    </row>
    <row r="65762">
      <c r="A65762" s="1" t="n">
        <v>65761</v>
      </c>
      <c r="B65762">
        <f>TEXT(65761, "[$-0E0000]yyyy-mm-dd")</f>
        <v/>
      </c>
      <c r="C65762" t="inlineStr">
        <is>
          <t>2079-12-26</t>
        </is>
      </c>
    </row>
    <row r="65763">
      <c r="A65763" s="1" t="n">
        <v>65762</v>
      </c>
      <c r="B65763">
        <f>TEXT(65762, "[$-0E0000]yyyy-mm-dd")</f>
        <v/>
      </c>
      <c r="C65763" t="inlineStr">
        <is>
          <t>2079-12-27</t>
        </is>
      </c>
    </row>
    <row r="65764">
      <c r="A65764" s="1" t="n">
        <v>65763</v>
      </c>
      <c r="B65764">
        <f>TEXT(65763, "[$-0E0000]yyyy-mm-dd")</f>
        <v/>
      </c>
      <c r="C65764" t="inlineStr">
        <is>
          <t>2079-12-28</t>
        </is>
      </c>
    </row>
    <row r="65765">
      <c r="A65765" s="1" t="n">
        <v>65764</v>
      </c>
      <c r="B65765">
        <f>TEXT(65764, "[$-0E0000]yyyy-mm-dd")</f>
        <v/>
      </c>
      <c r="C65765" t="inlineStr">
        <is>
          <t>2079-12-29</t>
        </is>
      </c>
    </row>
    <row r="65766">
      <c r="A65766" s="1" t="n">
        <v>65765</v>
      </c>
      <c r="B65766">
        <f>TEXT(65765, "[$-0E0000]yyyy-mm-dd")</f>
        <v/>
      </c>
      <c r="C65766" t="inlineStr">
        <is>
          <t>2079-12-30</t>
        </is>
      </c>
    </row>
    <row r="65767">
      <c r="A65767" s="1" t="n">
        <v>65766</v>
      </c>
      <c r="B65767">
        <f>TEXT(65766, "[$-0E0000]yyyy-mm-dd")</f>
        <v/>
      </c>
      <c r="C65767" t="inlineStr">
        <is>
          <t>2080-01-01</t>
        </is>
      </c>
    </row>
    <row r="65768">
      <c r="A65768" s="1" t="n">
        <v>65767</v>
      </c>
      <c r="B65768">
        <f>TEXT(65767, "[$-0E0000]yyyy-mm-dd")</f>
        <v/>
      </c>
      <c r="C65768" t="inlineStr">
        <is>
          <t>2080-01-02</t>
        </is>
      </c>
    </row>
    <row r="65769">
      <c r="A65769" s="1" t="n">
        <v>65768</v>
      </c>
      <c r="B65769">
        <f>TEXT(65768, "[$-0E0000]yyyy-mm-dd")</f>
        <v/>
      </c>
      <c r="C65769" t="inlineStr">
        <is>
          <t>2080-01-03</t>
        </is>
      </c>
    </row>
    <row r="65770">
      <c r="A65770" s="1" t="n">
        <v>65769</v>
      </c>
      <c r="B65770">
        <f>TEXT(65769, "[$-0E0000]yyyy-mm-dd")</f>
        <v/>
      </c>
      <c r="C65770" t="inlineStr">
        <is>
          <t>2080-01-04</t>
        </is>
      </c>
    </row>
    <row r="65771">
      <c r="A65771" s="1" t="n">
        <v>65770</v>
      </c>
      <c r="B65771">
        <f>TEXT(65770, "[$-0E0000]yyyy-mm-dd")</f>
        <v/>
      </c>
      <c r="C65771" t="inlineStr">
        <is>
          <t>2080-01-05</t>
        </is>
      </c>
    </row>
    <row r="65772">
      <c r="A65772" s="1" t="n">
        <v>65771</v>
      </c>
      <c r="B65772">
        <f>TEXT(65771, "[$-0E0000]yyyy-mm-dd")</f>
        <v/>
      </c>
      <c r="C65772" t="inlineStr">
        <is>
          <t>2080-01-06</t>
        </is>
      </c>
    </row>
    <row r="65773">
      <c r="A65773" s="1" t="n">
        <v>65772</v>
      </c>
      <c r="B65773">
        <f>TEXT(65772, "[$-0E0000]yyyy-mm-dd")</f>
        <v/>
      </c>
      <c r="C65773" t="inlineStr">
        <is>
          <t>2080-01-07</t>
        </is>
      </c>
    </row>
    <row r="65774">
      <c r="A65774" s="1" t="n">
        <v>65773</v>
      </c>
      <c r="B65774">
        <f>TEXT(65773, "[$-0E0000]yyyy-mm-dd")</f>
        <v/>
      </c>
      <c r="C65774" t="inlineStr">
        <is>
          <t>2080-01-08</t>
        </is>
      </c>
    </row>
    <row r="65775">
      <c r="A65775" s="1" t="n">
        <v>65774</v>
      </c>
      <c r="B65775">
        <f>TEXT(65774, "[$-0E0000]yyyy-mm-dd")</f>
        <v/>
      </c>
      <c r="C65775" t="inlineStr">
        <is>
          <t>2080-01-09</t>
        </is>
      </c>
    </row>
    <row r="65776">
      <c r="A65776" s="1" t="n">
        <v>65775</v>
      </c>
      <c r="B65776">
        <f>TEXT(65775, "[$-0E0000]yyyy-mm-dd")</f>
        <v/>
      </c>
      <c r="C65776" t="inlineStr">
        <is>
          <t>2080-01-10</t>
        </is>
      </c>
    </row>
    <row r="65777">
      <c r="A65777" s="1" t="n">
        <v>65776</v>
      </c>
      <c r="B65777">
        <f>TEXT(65776, "[$-0E0000]yyyy-mm-dd")</f>
        <v/>
      </c>
      <c r="C65777" t="inlineStr">
        <is>
          <t>2080-01-11</t>
        </is>
      </c>
    </row>
    <row r="65778">
      <c r="A65778" s="1" t="n">
        <v>65777</v>
      </c>
      <c r="B65778">
        <f>TEXT(65777, "[$-0E0000]yyyy-mm-dd")</f>
        <v/>
      </c>
      <c r="C65778" t="inlineStr">
        <is>
          <t>2080-01-12</t>
        </is>
      </c>
    </row>
    <row r="65779">
      <c r="A65779" s="1" t="n">
        <v>65778</v>
      </c>
      <c r="B65779">
        <f>TEXT(65778, "[$-0E0000]yyyy-mm-dd")</f>
        <v/>
      </c>
      <c r="C65779" t="inlineStr">
        <is>
          <t>2080-01-13</t>
        </is>
      </c>
    </row>
    <row r="65780">
      <c r="A65780" s="1" t="n">
        <v>65779</v>
      </c>
      <c r="B65780">
        <f>TEXT(65779, "[$-0E0000]yyyy-mm-dd")</f>
        <v/>
      </c>
      <c r="C65780" t="inlineStr">
        <is>
          <t>2080-01-14</t>
        </is>
      </c>
    </row>
    <row r="65781">
      <c r="A65781" s="1" t="n">
        <v>65780</v>
      </c>
      <c r="B65781">
        <f>TEXT(65780, "[$-0E0000]yyyy-mm-dd")</f>
        <v/>
      </c>
      <c r="C65781" t="inlineStr">
        <is>
          <t>2080-01-15</t>
        </is>
      </c>
    </row>
    <row r="65782">
      <c r="A65782" s="1" t="n">
        <v>65781</v>
      </c>
      <c r="B65782">
        <f>TEXT(65781, "[$-0E0000]yyyy-mm-dd")</f>
        <v/>
      </c>
      <c r="C65782" t="inlineStr">
        <is>
          <t>2080-01-16</t>
        </is>
      </c>
    </row>
    <row r="65783">
      <c r="A65783" s="1" t="n">
        <v>65782</v>
      </c>
      <c r="B65783">
        <f>TEXT(65782, "[$-0E0000]yyyy-mm-dd")</f>
        <v/>
      </c>
      <c r="C65783" t="inlineStr">
        <is>
          <t>2080-01-17</t>
        </is>
      </c>
    </row>
    <row r="65784">
      <c r="A65784" s="1" t="n">
        <v>65783</v>
      </c>
      <c r="B65784">
        <f>TEXT(65783, "[$-0E0000]yyyy-mm-dd")</f>
        <v/>
      </c>
      <c r="C65784" t="inlineStr">
        <is>
          <t>2080-01-18</t>
        </is>
      </c>
    </row>
    <row r="65785">
      <c r="A65785" s="1" t="n">
        <v>65784</v>
      </c>
      <c r="B65785">
        <f>TEXT(65784, "[$-0E0000]yyyy-mm-dd")</f>
        <v/>
      </c>
      <c r="C65785" t="inlineStr">
        <is>
          <t>2080-01-19</t>
        </is>
      </c>
    </row>
    <row r="65786">
      <c r="A65786" s="1" t="n">
        <v>65785</v>
      </c>
      <c r="B65786">
        <f>TEXT(65785, "[$-0E0000]yyyy-mm-dd")</f>
        <v/>
      </c>
      <c r="C65786" t="inlineStr">
        <is>
          <t>2080-01-20</t>
        </is>
      </c>
    </row>
    <row r="65787">
      <c r="A65787" s="1" t="n">
        <v>65786</v>
      </c>
      <c r="B65787">
        <f>TEXT(65786, "[$-0E0000]yyyy-mm-dd")</f>
        <v/>
      </c>
      <c r="C65787" t="inlineStr">
        <is>
          <t>2080-01-21</t>
        </is>
      </c>
    </row>
    <row r="65788">
      <c r="A65788" s="1" t="n">
        <v>65787</v>
      </c>
      <c r="B65788">
        <f>TEXT(65787, "[$-0E0000]yyyy-mm-dd")</f>
        <v/>
      </c>
      <c r="C65788" t="inlineStr">
        <is>
          <t>2080-01-22</t>
        </is>
      </c>
    </row>
    <row r="65789">
      <c r="A65789" s="1" t="n">
        <v>65788</v>
      </c>
      <c r="B65789">
        <f>TEXT(65788, "[$-0E0000]yyyy-mm-dd")</f>
        <v/>
      </c>
      <c r="C65789" t="inlineStr">
        <is>
          <t>2080-01-23</t>
        </is>
      </c>
    </row>
    <row r="65790">
      <c r="A65790" s="1" t="n">
        <v>65789</v>
      </c>
      <c r="B65790">
        <f>TEXT(65789, "[$-0E0000]yyyy-mm-dd")</f>
        <v/>
      </c>
      <c r="C65790" t="inlineStr">
        <is>
          <t>2080-01-24</t>
        </is>
      </c>
    </row>
    <row r="65791">
      <c r="A65791" s="1" t="n">
        <v>65790</v>
      </c>
      <c r="B65791">
        <f>TEXT(65790, "[$-0E0000]yyyy-mm-dd")</f>
        <v/>
      </c>
      <c r="C65791" t="inlineStr">
        <is>
          <t>2080-01-25</t>
        </is>
      </c>
    </row>
    <row r="65792">
      <c r="A65792" s="1" t="n">
        <v>65791</v>
      </c>
      <c r="B65792">
        <f>TEXT(65791, "[$-0E0000]yyyy-mm-dd")</f>
        <v/>
      </c>
      <c r="C65792" t="inlineStr">
        <is>
          <t>2080-01-26</t>
        </is>
      </c>
    </row>
    <row r="65793">
      <c r="A65793" s="1" t="n">
        <v>65792</v>
      </c>
      <c r="B65793">
        <f>TEXT(65792, "[$-0E0000]yyyy-mm-dd")</f>
        <v/>
      </c>
      <c r="C65793" t="inlineStr">
        <is>
          <t>2080-01-27</t>
        </is>
      </c>
    </row>
    <row r="65794">
      <c r="A65794" s="1" t="n">
        <v>65793</v>
      </c>
      <c r="B65794">
        <f>TEXT(65793, "[$-0E0000]yyyy-mm-dd")</f>
        <v/>
      </c>
      <c r="C65794" t="inlineStr">
        <is>
          <t>2080-01-28</t>
        </is>
      </c>
    </row>
    <row r="65795">
      <c r="A65795" s="1" t="n">
        <v>65794</v>
      </c>
      <c r="B65795">
        <f>TEXT(65794, "[$-0E0000]yyyy-mm-dd")</f>
        <v/>
      </c>
      <c r="C65795" t="inlineStr">
        <is>
          <t>2080-01-29</t>
        </is>
      </c>
    </row>
    <row r="65796">
      <c r="A65796" s="1" t="n">
        <v>65795</v>
      </c>
      <c r="B65796">
        <f>TEXT(65795, "[$-0E0000]yyyy-mm-dd")</f>
        <v/>
      </c>
      <c r="C65796" t="inlineStr">
        <is>
          <t>2080-01-30</t>
        </is>
      </c>
    </row>
    <row r="65797">
      <c r="A65797" s="1" t="n">
        <v>65796</v>
      </c>
      <c r="B65797">
        <f>TEXT(65796, "[$-0E0000]yyyy-mm-dd")</f>
        <v/>
      </c>
      <c r="C65797" t="inlineStr">
        <is>
          <t>2080-02-01</t>
        </is>
      </c>
    </row>
    <row r="65798">
      <c r="A65798" s="1" t="n">
        <v>65797</v>
      </c>
      <c r="B65798">
        <f>TEXT(65797, "[$-0E0000]yyyy-mm-dd")</f>
        <v/>
      </c>
      <c r="C65798" t="inlineStr">
        <is>
          <t>2080-02-02</t>
        </is>
      </c>
    </row>
    <row r="65799">
      <c r="A65799" s="1" t="n">
        <v>65798</v>
      </c>
      <c r="B65799">
        <f>TEXT(65798, "[$-0E0000]yyyy-mm-dd")</f>
        <v/>
      </c>
      <c r="C65799" t="inlineStr">
        <is>
          <t>2080-02-03</t>
        </is>
      </c>
    </row>
    <row r="65800">
      <c r="A65800" s="1" t="n">
        <v>65799</v>
      </c>
      <c r="B65800">
        <f>TEXT(65799, "[$-0E0000]yyyy-mm-dd")</f>
        <v/>
      </c>
      <c r="C65800" t="inlineStr">
        <is>
          <t>2080-02-04</t>
        </is>
      </c>
    </row>
    <row r="65801">
      <c r="A65801" s="1" t="n">
        <v>65800</v>
      </c>
      <c r="B65801">
        <f>TEXT(65800, "[$-0E0000]yyyy-mm-dd")</f>
        <v/>
      </c>
      <c r="C65801" t="inlineStr">
        <is>
          <t>2080-02-05</t>
        </is>
      </c>
    </row>
    <row r="65802">
      <c r="A65802" s="1" t="n">
        <v>65801</v>
      </c>
      <c r="B65802">
        <f>TEXT(65801, "[$-0E0000]yyyy-mm-dd")</f>
        <v/>
      </c>
      <c r="C65802" t="inlineStr">
        <is>
          <t>2080-02-06</t>
        </is>
      </c>
    </row>
    <row r="65803">
      <c r="A65803" s="1" t="n">
        <v>65802</v>
      </c>
      <c r="B65803">
        <f>TEXT(65802, "[$-0E0000]yyyy-mm-dd")</f>
        <v/>
      </c>
      <c r="C65803" t="inlineStr">
        <is>
          <t>2080-02-07</t>
        </is>
      </c>
    </row>
    <row r="65804">
      <c r="A65804" s="1" t="n">
        <v>65803</v>
      </c>
      <c r="B65804">
        <f>TEXT(65803, "[$-0E0000]yyyy-mm-dd")</f>
        <v/>
      </c>
      <c r="C65804" t="inlineStr">
        <is>
          <t>2080-02-08</t>
        </is>
      </c>
    </row>
    <row r="65805">
      <c r="A65805" s="1" t="n">
        <v>65804</v>
      </c>
      <c r="B65805">
        <f>TEXT(65804, "[$-0E0000]yyyy-mm-dd")</f>
        <v/>
      </c>
      <c r="C65805" t="inlineStr">
        <is>
          <t>2080-02-09</t>
        </is>
      </c>
    </row>
    <row r="65806">
      <c r="A65806" s="1" t="n">
        <v>65805</v>
      </c>
      <c r="B65806">
        <f>TEXT(65805, "[$-0E0000]yyyy-mm-dd")</f>
        <v/>
      </c>
      <c r="C65806" t="inlineStr">
        <is>
          <t>2080-02-10</t>
        </is>
      </c>
    </row>
    <row r="65807">
      <c r="A65807" s="1" t="n">
        <v>65806</v>
      </c>
      <c r="B65807">
        <f>TEXT(65806, "[$-0E0000]yyyy-mm-dd")</f>
        <v/>
      </c>
      <c r="C65807" t="inlineStr">
        <is>
          <t>2080-02-11</t>
        </is>
      </c>
    </row>
    <row r="65808">
      <c r="A65808" s="1" t="n">
        <v>65807</v>
      </c>
      <c r="B65808">
        <f>TEXT(65807, "[$-0E0000]yyyy-mm-dd")</f>
        <v/>
      </c>
      <c r="C65808" t="inlineStr">
        <is>
          <t>2080-02-12</t>
        </is>
      </c>
    </row>
    <row r="65809">
      <c r="A65809" s="1" t="n">
        <v>65808</v>
      </c>
      <c r="B65809">
        <f>TEXT(65808, "[$-0E0000]yyyy-mm-dd")</f>
        <v/>
      </c>
      <c r="C65809" t="inlineStr">
        <is>
          <t>2080-02-13</t>
        </is>
      </c>
    </row>
    <row r="65810">
      <c r="A65810" s="1" t="n">
        <v>65809</v>
      </c>
      <c r="B65810">
        <f>TEXT(65809, "[$-0E0000]yyyy-mm-dd")</f>
        <v/>
      </c>
      <c r="C65810" t="inlineStr">
        <is>
          <t>2080-02-14</t>
        </is>
      </c>
    </row>
    <row r="65811">
      <c r="A65811" s="1" t="n">
        <v>65810</v>
      </c>
      <c r="B65811">
        <f>TEXT(65810, "[$-0E0000]yyyy-mm-dd")</f>
        <v/>
      </c>
      <c r="C65811" t="inlineStr">
        <is>
          <t>2080-02-15</t>
        </is>
      </c>
    </row>
    <row r="65812">
      <c r="A65812" s="1" t="n">
        <v>65811</v>
      </c>
      <c r="B65812">
        <f>TEXT(65811, "[$-0E0000]yyyy-mm-dd")</f>
        <v/>
      </c>
      <c r="C65812" t="inlineStr">
        <is>
          <t>2080-02-16</t>
        </is>
      </c>
    </row>
    <row r="65813">
      <c r="A65813" s="1" t="n">
        <v>65812</v>
      </c>
      <c r="B65813">
        <f>TEXT(65812, "[$-0E0000]yyyy-mm-dd")</f>
        <v/>
      </c>
      <c r="C65813" t="inlineStr">
        <is>
          <t>2080-02-17</t>
        </is>
      </c>
    </row>
    <row r="65814">
      <c r="A65814" s="1" t="n">
        <v>65813</v>
      </c>
      <c r="B65814">
        <f>TEXT(65813, "[$-0E0000]yyyy-mm-dd")</f>
        <v/>
      </c>
      <c r="C65814" t="inlineStr">
        <is>
          <t>2080-02-18</t>
        </is>
      </c>
    </row>
    <row r="65815">
      <c r="A65815" s="1" t="n">
        <v>65814</v>
      </c>
      <c r="B65815">
        <f>TEXT(65814, "[$-0E0000]yyyy-mm-dd")</f>
        <v/>
      </c>
      <c r="C65815" t="inlineStr">
        <is>
          <t>2080-02-19</t>
        </is>
      </c>
    </row>
    <row r="65816">
      <c r="A65816" s="1" t="n">
        <v>65815</v>
      </c>
      <c r="B65816">
        <f>TEXT(65815, "[$-0E0000]yyyy-mm-dd")</f>
        <v/>
      </c>
      <c r="C65816" t="inlineStr">
        <is>
          <t>2080-02-20</t>
        </is>
      </c>
    </row>
    <row r="65817">
      <c r="A65817" s="1" t="n">
        <v>65816</v>
      </c>
      <c r="B65817">
        <f>TEXT(65816, "[$-0E0000]yyyy-mm-dd")</f>
        <v/>
      </c>
      <c r="C65817" t="inlineStr">
        <is>
          <t>2080-02-21</t>
        </is>
      </c>
    </row>
    <row r="65818">
      <c r="A65818" s="1" t="n">
        <v>65817</v>
      </c>
      <c r="B65818">
        <f>TEXT(65817, "[$-0E0000]yyyy-mm-dd")</f>
        <v/>
      </c>
      <c r="C65818" t="inlineStr">
        <is>
          <t>2080-02-22</t>
        </is>
      </c>
    </row>
    <row r="65819">
      <c r="A65819" s="1" t="n">
        <v>65818</v>
      </c>
      <c r="B65819">
        <f>TEXT(65818, "[$-0E0000]yyyy-mm-dd")</f>
        <v/>
      </c>
      <c r="C65819" t="inlineStr">
        <is>
          <t>2080-02-23</t>
        </is>
      </c>
    </row>
    <row r="65820">
      <c r="A65820" s="1" t="n">
        <v>65819</v>
      </c>
      <c r="B65820">
        <f>TEXT(65819, "[$-0E0000]yyyy-mm-dd")</f>
        <v/>
      </c>
      <c r="C65820" t="inlineStr">
        <is>
          <t>2080-02-24</t>
        </is>
      </c>
    </row>
    <row r="65821">
      <c r="A65821" s="1" t="n">
        <v>65820</v>
      </c>
      <c r="B65821">
        <f>TEXT(65820, "[$-0E0000]yyyy-mm-dd")</f>
        <v/>
      </c>
      <c r="C65821" t="inlineStr">
        <is>
          <t>2080-02-25</t>
        </is>
      </c>
    </row>
    <row r="65822">
      <c r="A65822" s="1" t="n">
        <v>65821</v>
      </c>
      <c r="B65822">
        <f>TEXT(65821, "[$-0E0000]yyyy-mm-dd")</f>
        <v/>
      </c>
      <c r="C65822" t="inlineStr">
        <is>
          <t>2080-02-26</t>
        </is>
      </c>
    </row>
    <row r="65823">
      <c r="A65823" s="1" t="n">
        <v>65822</v>
      </c>
      <c r="B65823">
        <f>TEXT(65822, "[$-0E0000]yyyy-mm-dd")</f>
        <v/>
      </c>
      <c r="C65823" t="inlineStr">
        <is>
          <t>2080-02-27</t>
        </is>
      </c>
    </row>
    <row r="65824">
      <c r="A65824" s="1" t="n">
        <v>65823</v>
      </c>
      <c r="B65824">
        <f>TEXT(65823, "[$-0E0000]yyyy-mm-dd")</f>
        <v/>
      </c>
      <c r="C65824" t="inlineStr">
        <is>
          <t>2080-02-28</t>
        </is>
      </c>
    </row>
    <row r="65825">
      <c r="A65825" s="1" t="n">
        <v>65824</v>
      </c>
      <c r="B65825">
        <f>TEXT(65824, "[$-0E0000]yyyy-mm-dd")</f>
        <v/>
      </c>
      <c r="C65825" t="inlineStr">
        <is>
          <t>2080-02-29</t>
        </is>
      </c>
    </row>
    <row r="65826">
      <c r="A65826" s="1" t="n">
        <v>65825</v>
      </c>
      <c r="B65826">
        <f>TEXT(65825, "[$-0E0000]yyyy-mm-dd")</f>
        <v/>
      </c>
      <c r="C65826" t="inlineStr">
        <is>
          <t>2080-03-01</t>
        </is>
      </c>
    </row>
    <row r="65827">
      <c r="A65827" s="1" t="n">
        <v>65826</v>
      </c>
      <c r="B65827">
        <f>TEXT(65826, "[$-0E0000]yyyy-mm-dd")</f>
        <v/>
      </c>
      <c r="C65827" t="inlineStr">
        <is>
          <t>2080-03-02</t>
        </is>
      </c>
    </row>
    <row r="65828">
      <c r="A65828" s="1" t="n">
        <v>65827</v>
      </c>
      <c r="B65828">
        <f>TEXT(65827, "[$-0E0000]yyyy-mm-dd")</f>
        <v/>
      </c>
      <c r="C65828" t="inlineStr">
        <is>
          <t>2080-03-03</t>
        </is>
      </c>
    </row>
    <row r="65829">
      <c r="A65829" s="1" t="n">
        <v>65828</v>
      </c>
      <c r="B65829">
        <f>TEXT(65828, "[$-0E0000]yyyy-mm-dd")</f>
        <v/>
      </c>
      <c r="C65829" t="inlineStr">
        <is>
          <t>2080-03-04</t>
        </is>
      </c>
    </row>
    <row r="65830">
      <c r="A65830" s="1" t="n">
        <v>65829</v>
      </c>
      <c r="B65830">
        <f>TEXT(65829, "[$-0E0000]yyyy-mm-dd")</f>
        <v/>
      </c>
      <c r="C65830" t="inlineStr">
        <is>
          <t>2080-03-05</t>
        </is>
      </c>
    </row>
    <row r="65831">
      <c r="A65831" s="1" t="n">
        <v>65830</v>
      </c>
      <c r="B65831">
        <f>TEXT(65830, "[$-0E0000]yyyy-mm-dd")</f>
        <v/>
      </c>
      <c r="C65831" t="inlineStr">
        <is>
          <t>2080-03-06</t>
        </is>
      </c>
    </row>
    <row r="65832">
      <c r="A65832" s="1" t="n">
        <v>65831</v>
      </c>
      <c r="B65832">
        <f>TEXT(65831, "[$-0E0000]yyyy-mm-dd")</f>
        <v/>
      </c>
      <c r="C65832" t="inlineStr">
        <is>
          <t>2080-03-07</t>
        </is>
      </c>
    </row>
    <row r="65833">
      <c r="A65833" s="1" t="n">
        <v>65832</v>
      </c>
      <c r="B65833">
        <f>TEXT(65832, "[$-0E0000]yyyy-mm-dd")</f>
        <v/>
      </c>
      <c r="C65833" t="inlineStr">
        <is>
          <t>2080-03-08</t>
        </is>
      </c>
    </row>
    <row r="65834">
      <c r="A65834" s="1" t="n">
        <v>65833</v>
      </c>
      <c r="B65834">
        <f>TEXT(65833, "[$-0E0000]yyyy-mm-dd")</f>
        <v/>
      </c>
      <c r="C65834" t="inlineStr">
        <is>
          <t>2080-03-09</t>
        </is>
      </c>
    </row>
    <row r="65835">
      <c r="A65835" s="1" t="n">
        <v>65834</v>
      </c>
      <c r="B65835">
        <f>TEXT(65834, "[$-0E0000]yyyy-mm-dd")</f>
        <v/>
      </c>
      <c r="C65835" t="inlineStr">
        <is>
          <t>2080-03-10</t>
        </is>
      </c>
    </row>
    <row r="65836">
      <c r="A65836" s="1" t="n">
        <v>65835</v>
      </c>
      <c r="B65836">
        <f>TEXT(65835, "[$-0E0000]yyyy-mm-dd")</f>
        <v/>
      </c>
      <c r="C65836" t="inlineStr">
        <is>
          <t>2080-03-11</t>
        </is>
      </c>
    </row>
    <row r="65837">
      <c r="A65837" s="1" t="n">
        <v>65836</v>
      </c>
      <c r="B65837">
        <f>TEXT(65836, "[$-0E0000]yyyy-mm-dd")</f>
        <v/>
      </c>
      <c r="C65837" t="inlineStr">
        <is>
          <t>2080-03-12</t>
        </is>
      </c>
    </row>
    <row r="65838">
      <c r="A65838" s="1" t="n">
        <v>65837</v>
      </c>
      <c r="B65838">
        <f>TEXT(65837, "[$-0E0000]yyyy-mm-dd")</f>
        <v/>
      </c>
      <c r="C65838" t="inlineStr">
        <is>
          <t>2080-03-13</t>
        </is>
      </c>
    </row>
    <row r="65839">
      <c r="A65839" s="1" t="n">
        <v>65838</v>
      </c>
      <c r="B65839">
        <f>TEXT(65838, "[$-0E0000]yyyy-mm-dd")</f>
        <v/>
      </c>
      <c r="C65839" t="inlineStr">
        <is>
          <t>2080-03-14</t>
        </is>
      </c>
    </row>
    <row r="65840">
      <c r="A65840" s="1" t="n">
        <v>65839</v>
      </c>
      <c r="B65840">
        <f>TEXT(65839, "[$-0E0000]yyyy-mm-dd")</f>
        <v/>
      </c>
      <c r="C65840" t="inlineStr">
        <is>
          <t>2080-03-15</t>
        </is>
      </c>
    </row>
    <row r="65841">
      <c r="A65841" s="1" t="n">
        <v>65840</v>
      </c>
      <c r="B65841">
        <f>TEXT(65840, "[$-0E0000]yyyy-mm-dd")</f>
        <v/>
      </c>
      <c r="C65841" t="inlineStr">
        <is>
          <t>2080-03-16</t>
        </is>
      </c>
    </row>
    <row r="65842">
      <c r="A65842" s="1" t="n">
        <v>65841</v>
      </c>
      <c r="B65842">
        <f>TEXT(65841, "[$-0E0000]yyyy-mm-dd")</f>
        <v/>
      </c>
      <c r="C65842" t="inlineStr">
        <is>
          <t>2080-03-17</t>
        </is>
      </c>
    </row>
    <row r="65843">
      <c r="A65843" s="1" t="n">
        <v>65842</v>
      </c>
      <c r="B65843">
        <f>TEXT(65842, "[$-0E0000]yyyy-mm-dd")</f>
        <v/>
      </c>
      <c r="C65843" t="inlineStr">
        <is>
          <t>2080-03-18</t>
        </is>
      </c>
    </row>
    <row r="65844">
      <c r="A65844" s="1" t="n">
        <v>65843</v>
      </c>
      <c r="B65844">
        <f>TEXT(65843, "[$-0E0000]yyyy-mm-dd")</f>
        <v/>
      </c>
      <c r="C65844" t="inlineStr">
        <is>
          <t>2080-03-19</t>
        </is>
      </c>
    </row>
    <row r="65845">
      <c r="A65845" s="1" t="n">
        <v>65844</v>
      </c>
      <c r="B65845">
        <f>TEXT(65844, "[$-0E0000]yyyy-mm-dd")</f>
        <v/>
      </c>
      <c r="C65845" t="inlineStr">
        <is>
          <t>2080-03-20</t>
        </is>
      </c>
    </row>
    <row r="65846">
      <c r="A65846" s="1" t="n">
        <v>65845</v>
      </c>
      <c r="B65846">
        <f>TEXT(65845, "[$-0E0000]yyyy-mm-dd")</f>
        <v/>
      </c>
      <c r="C65846" t="inlineStr">
        <is>
          <t>2080-03-21</t>
        </is>
      </c>
    </row>
    <row r="65847">
      <c r="A65847" s="1" t="n">
        <v>65846</v>
      </c>
      <c r="B65847">
        <f>TEXT(65846, "[$-0E0000]yyyy-mm-dd")</f>
        <v/>
      </c>
      <c r="C65847" t="inlineStr">
        <is>
          <t>2080-03-22</t>
        </is>
      </c>
    </row>
    <row r="65848">
      <c r="A65848" s="1" t="n">
        <v>65847</v>
      </c>
      <c r="B65848">
        <f>TEXT(65847, "[$-0E0000]yyyy-mm-dd")</f>
        <v/>
      </c>
      <c r="C65848" t="inlineStr">
        <is>
          <t>2080-03-23</t>
        </is>
      </c>
    </row>
    <row r="65849">
      <c r="A65849" s="1" t="n">
        <v>65848</v>
      </c>
      <c r="B65849">
        <f>TEXT(65848, "[$-0E0000]yyyy-mm-dd")</f>
        <v/>
      </c>
      <c r="C65849" t="inlineStr">
        <is>
          <t>2080-03-24</t>
        </is>
      </c>
    </row>
    <row r="65850">
      <c r="A65850" s="1" t="n">
        <v>65849</v>
      </c>
      <c r="B65850">
        <f>TEXT(65849, "[$-0E0000]yyyy-mm-dd")</f>
        <v/>
      </c>
      <c r="C65850" t="inlineStr">
        <is>
          <t>2080-03-25</t>
        </is>
      </c>
    </row>
    <row r="65851">
      <c r="A65851" s="1" t="n">
        <v>65850</v>
      </c>
      <c r="B65851">
        <f>TEXT(65850, "[$-0E0000]yyyy-mm-dd")</f>
        <v/>
      </c>
      <c r="C65851" t="inlineStr">
        <is>
          <t>2080-03-26</t>
        </is>
      </c>
    </row>
    <row r="65852">
      <c r="A65852" s="1" t="n">
        <v>65851</v>
      </c>
      <c r="B65852">
        <f>TEXT(65851, "[$-0E0000]yyyy-mm-dd")</f>
        <v/>
      </c>
      <c r="C65852" t="inlineStr">
        <is>
          <t>2080-03-27</t>
        </is>
      </c>
    </row>
    <row r="65853">
      <c r="A65853" s="1" t="n">
        <v>65852</v>
      </c>
      <c r="B65853">
        <f>TEXT(65852, "[$-0E0000]yyyy-mm-dd")</f>
        <v/>
      </c>
      <c r="C65853" t="inlineStr">
        <is>
          <t>2080-03-28</t>
        </is>
      </c>
    </row>
    <row r="65854">
      <c r="A65854" s="1" t="n">
        <v>65853</v>
      </c>
      <c r="B65854">
        <f>TEXT(65853, "[$-0E0000]yyyy-mm-dd")</f>
        <v/>
      </c>
      <c r="C65854" t="inlineStr">
        <is>
          <t>2080-03-29</t>
        </is>
      </c>
    </row>
    <row r="65855">
      <c r="A65855" s="1" t="n">
        <v>65854</v>
      </c>
      <c r="B65855">
        <f>TEXT(65854, "[$-0E0000]yyyy-mm-dd")</f>
        <v/>
      </c>
      <c r="C65855" t="inlineStr">
        <is>
          <t>2080-03-30</t>
        </is>
      </c>
    </row>
    <row r="65856">
      <c r="A65856" s="1" t="n">
        <v>65855</v>
      </c>
      <c r="B65856">
        <f>TEXT(65855, "[$-0E0000]yyyy-mm-dd")</f>
        <v/>
      </c>
      <c r="C65856" t="inlineStr">
        <is>
          <t>2080-03-01</t>
        </is>
      </c>
    </row>
    <row r="65857">
      <c r="A65857" s="1" t="n">
        <v>65856</v>
      </c>
      <c r="B65857">
        <f>TEXT(65856, "[$-0E0000]yyyy-mm-dd")</f>
        <v/>
      </c>
      <c r="C65857" t="inlineStr">
        <is>
          <t>2080-03-02</t>
        </is>
      </c>
    </row>
    <row r="65858">
      <c r="A65858" s="1" t="n">
        <v>65857</v>
      </c>
      <c r="B65858">
        <f>TEXT(65857, "[$-0E0000]yyyy-mm-dd")</f>
        <v/>
      </c>
      <c r="C65858" t="inlineStr">
        <is>
          <t>2080-03-03</t>
        </is>
      </c>
    </row>
    <row r="65859">
      <c r="A65859" s="1" t="n">
        <v>65858</v>
      </c>
      <c r="B65859">
        <f>TEXT(65858, "[$-0E0000]yyyy-mm-dd")</f>
        <v/>
      </c>
      <c r="C65859" t="inlineStr">
        <is>
          <t>2080-03-04</t>
        </is>
      </c>
    </row>
    <row r="65860">
      <c r="A65860" s="1" t="n">
        <v>65859</v>
      </c>
      <c r="B65860">
        <f>TEXT(65859, "[$-0E0000]yyyy-mm-dd")</f>
        <v/>
      </c>
      <c r="C65860" t="inlineStr">
        <is>
          <t>2080-03-05</t>
        </is>
      </c>
    </row>
    <row r="65861">
      <c r="A65861" s="1" t="n">
        <v>65860</v>
      </c>
      <c r="B65861">
        <f>TEXT(65860, "[$-0E0000]yyyy-mm-dd")</f>
        <v/>
      </c>
      <c r="C65861" t="inlineStr">
        <is>
          <t>2080-03-06</t>
        </is>
      </c>
    </row>
    <row r="65862">
      <c r="A65862" s="1" t="n">
        <v>65861</v>
      </c>
      <c r="B65862">
        <f>TEXT(65861, "[$-0E0000]yyyy-mm-dd")</f>
        <v/>
      </c>
      <c r="C65862" t="inlineStr">
        <is>
          <t>2080-03-07</t>
        </is>
      </c>
    </row>
    <row r="65863">
      <c r="A65863" s="1" t="n">
        <v>65862</v>
      </c>
      <c r="B65863">
        <f>TEXT(65862, "[$-0E0000]yyyy-mm-dd")</f>
        <v/>
      </c>
      <c r="C65863" t="inlineStr">
        <is>
          <t>2080-03-08</t>
        </is>
      </c>
    </row>
    <row r="65864">
      <c r="A65864" s="1" t="n">
        <v>65863</v>
      </c>
      <c r="B65864">
        <f>TEXT(65863, "[$-0E0000]yyyy-mm-dd")</f>
        <v/>
      </c>
      <c r="C65864" t="inlineStr">
        <is>
          <t>2080-03-09</t>
        </is>
      </c>
    </row>
    <row r="65865">
      <c r="A65865" s="1" t="n">
        <v>65864</v>
      </c>
      <c r="B65865">
        <f>TEXT(65864, "[$-0E0000]yyyy-mm-dd")</f>
        <v/>
      </c>
      <c r="C65865" t="inlineStr">
        <is>
          <t>2080-03-10</t>
        </is>
      </c>
    </row>
    <row r="65866">
      <c r="A65866" s="1" t="n">
        <v>65865</v>
      </c>
      <c r="B65866">
        <f>TEXT(65865, "[$-0E0000]yyyy-mm-dd")</f>
        <v/>
      </c>
      <c r="C65866" t="inlineStr">
        <is>
          <t>2080-03-11</t>
        </is>
      </c>
    </row>
    <row r="65867">
      <c r="A65867" s="1" t="n">
        <v>65866</v>
      </c>
      <c r="B65867">
        <f>TEXT(65866, "[$-0E0000]yyyy-mm-dd")</f>
        <v/>
      </c>
      <c r="C65867" t="inlineStr">
        <is>
          <t>2080-03-12</t>
        </is>
      </c>
    </row>
    <row r="65868">
      <c r="A65868" s="1" t="n">
        <v>65867</v>
      </c>
      <c r="B65868">
        <f>TEXT(65867, "[$-0E0000]yyyy-mm-dd")</f>
        <v/>
      </c>
      <c r="C65868" t="inlineStr">
        <is>
          <t>2080-03-13</t>
        </is>
      </c>
    </row>
    <row r="65869">
      <c r="A65869" s="1" t="n">
        <v>65868</v>
      </c>
      <c r="B65869">
        <f>TEXT(65868, "[$-0E0000]yyyy-mm-dd")</f>
        <v/>
      </c>
      <c r="C65869" t="inlineStr">
        <is>
          <t>2080-03-14</t>
        </is>
      </c>
    </row>
    <row r="65870">
      <c r="A65870" s="1" t="n">
        <v>65869</v>
      </c>
      <c r="B65870">
        <f>TEXT(65869, "[$-0E0000]yyyy-mm-dd")</f>
        <v/>
      </c>
      <c r="C65870" t="inlineStr">
        <is>
          <t>2080-03-15</t>
        </is>
      </c>
    </row>
    <row r="65871">
      <c r="A65871" s="1" t="n">
        <v>65870</v>
      </c>
      <c r="B65871">
        <f>TEXT(65870, "[$-0E0000]yyyy-mm-dd")</f>
        <v/>
      </c>
      <c r="C65871" t="inlineStr">
        <is>
          <t>2080-03-16</t>
        </is>
      </c>
    </row>
    <row r="65872">
      <c r="A65872" s="1" t="n">
        <v>65871</v>
      </c>
      <c r="B65872">
        <f>TEXT(65871, "[$-0E0000]yyyy-mm-dd")</f>
        <v/>
      </c>
      <c r="C65872" t="inlineStr">
        <is>
          <t>2080-03-17</t>
        </is>
      </c>
    </row>
    <row r="65873">
      <c r="A65873" s="1" t="n">
        <v>65872</v>
      </c>
      <c r="B65873">
        <f>TEXT(65872, "[$-0E0000]yyyy-mm-dd")</f>
        <v/>
      </c>
      <c r="C65873" t="inlineStr">
        <is>
          <t>2080-03-18</t>
        </is>
      </c>
    </row>
    <row r="65874">
      <c r="A65874" s="1" t="n">
        <v>65873</v>
      </c>
      <c r="B65874">
        <f>TEXT(65873, "[$-0E0000]yyyy-mm-dd")</f>
        <v/>
      </c>
      <c r="C65874" t="inlineStr">
        <is>
          <t>2080-03-19</t>
        </is>
      </c>
    </row>
    <row r="65875">
      <c r="A65875" s="1" t="n">
        <v>65874</v>
      </c>
      <c r="B65875">
        <f>TEXT(65874, "[$-0E0000]yyyy-mm-dd")</f>
        <v/>
      </c>
      <c r="C65875" t="inlineStr">
        <is>
          <t>2080-03-20</t>
        </is>
      </c>
    </row>
    <row r="65876">
      <c r="A65876" s="1" t="n">
        <v>65875</v>
      </c>
      <c r="B65876">
        <f>TEXT(65875, "[$-0E0000]yyyy-mm-dd")</f>
        <v/>
      </c>
      <c r="C65876" t="inlineStr">
        <is>
          <t>2080-03-21</t>
        </is>
      </c>
    </row>
    <row r="65877">
      <c r="A65877" s="1" t="n">
        <v>65876</v>
      </c>
      <c r="B65877">
        <f>TEXT(65876, "[$-0E0000]yyyy-mm-dd")</f>
        <v/>
      </c>
      <c r="C65877" t="inlineStr">
        <is>
          <t>2080-03-22</t>
        </is>
      </c>
    </row>
    <row r="65878">
      <c r="A65878" s="1" t="n">
        <v>65877</v>
      </c>
      <c r="B65878">
        <f>TEXT(65877, "[$-0E0000]yyyy-mm-dd")</f>
        <v/>
      </c>
      <c r="C65878" t="inlineStr">
        <is>
          <t>2080-03-23</t>
        </is>
      </c>
    </row>
    <row r="65879">
      <c r="A65879" s="1" t="n">
        <v>65878</v>
      </c>
      <c r="B65879">
        <f>TEXT(65878, "[$-0E0000]yyyy-mm-dd")</f>
        <v/>
      </c>
      <c r="C65879" t="inlineStr">
        <is>
          <t>2080-03-24</t>
        </is>
      </c>
    </row>
    <row r="65880">
      <c r="A65880" s="1" t="n">
        <v>65879</v>
      </c>
      <c r="B65880">
        <f>TEXT(65879, "[$-0E0000]yyyy-mm-dd")</f>
        <v/>
      </c>
      <c r="C65880" t="inlineStr">
        <is>
          <t>2080-03-25</t>
        </is>
      </c>
    </row>
    <row r="65881">
      <c r="A65881" s="1" t="n">
        <v>65880</v>
      </c>
      <c r="B65881">
        <f>TEXT(65880, "[$-0E0000]yyyy-mm-dd")</f>
        <v/>
      </c>
      <c r="C65881" t="inlineStr">
        <is>
          <t>2080-03-26</t>
        </is>
      </c>
    </row>
    <row r="65882">
      <c r="A65882" s="1" t="n">
        <v>65881</v>
      </c>
      <c r="B65882">
        <f>TEXT(65881, "[$-0E0000]yyyy-mm-dd")</f>
        <v/>
      </c>
      <c r="C65882" t="inlineStr">
        <is>
          <t>2080-03-27</t>
        </is>
      </c>
    </row>
    <row r="65883">
      <c r="A65883" s="1" t="n">
        <v>65882</v>
      </c>
      <c r="B65883">
        <f>TEXT(65882, "[$-0E0000]yyyy-mm-dd")</f>
        <v/>
      </c>
      <c r="C65883" t="inlineStr">
        <is>
          <t>2080-03-28</t>
        </is>
      </c>
    </row>
    <row r="65884">
      <c r="A65884" s="1" t="n">
        <v>65883</v>
      </c>
      <c r="B65884">
        <f>TEXT(65883, "[$-0E0000]yyyy-mm-dd")</f>
        <v/>
      </c>
      <c r="C65884" t="inlineStr">
        <is>
          <t>2080-03-29</t>
        </is>
      </c>
    </row>
    <row r="65885">
      <c r="A65885" s="1" t="n">
        <v>65884</v>
      </c>
      <c r="B65885">
        <f>TEXT(65884, "[$-0E0000]yyyy-mm-dd")</f>
        <v/>
      </c>
      <c r="C65885" t="inlineStr">
        <is>
          <t>2080-04-01</t>
        </is>
      </c>
    </row>
    <row r="65886">
      <c r="A65886" s="1" t="n">
        <v>65885</v>
      </c>
      <c r="B65886">
        <f>TEXT(65885, "[$-0E0000]yyyy-mm-dd")</f>
        <v/>
      </c>
      <c r="C65886" t="inlineStr">
        <is>
          <t>2080-04-02</t>
        </is>
      </c>
    </row>
    <row r="65887">
      <c r="A65887" s="1" t="n">
        <v>65886</v>
      </c>
      <c r="B65887">
        <f>TEXT(65886, "[$-0E0000]yyyy-mm-dd")</f>
        <v/>
      </c>
      <c r="C65887" t="inlineStr">
        <is>
          <t>2080-04-03</t>
        </is>
      </c>
    </row>
    <row r="65888">
      <c r="A65888" s="1" t="n">
        <v>65887</v>
      </c>
      <c r="B65888">
        <f>TEXT(65887, "[$-0E0000]yyyy-mm-dd")</f>
        <v/>
      </c>
      <c r="C65888" t="inlineStr">
        <is>
          <t>2080-04-04</t>
        </is>
      </c>
    </row>
    <row r="65889">
      <c r="A65889" s="1" t="n">
        <v>65888</v>
      </c>
      <c r="B65889">
        <f>TEXT(65888, "[$-0E0000]yyyy-mm-dd")</f>
        <v/>
      </c>
      <c r="C65889" t="inlineStr">
        <is>
          <t>2080-04-05</t>
        </is>
      </c>
    </row>
    <row r="65890">
      <c r="A65890" s="1" t="n">
        <v>65889</v>
      </c>
      <c r="B65890">
        <f>TEXT(65889, "[$-0E0000]yyyy-mm-dd")</f>
        <v/>
      </c>
      <c r="C65890" t="inlineStr">
        <is>
          <t>2080-04-06</t>
        </is>
      </c>
    </row>
    <row r="65891">
      <c r="A65891" s="1" t="n">
        <v>65890</v>
      </c>
      <c r="B65891">
        <f>TEXT(65890, "[$-0E0000]yyyy-mm-dd")</f>
        <v/>
      </c>
      <c r="C65891" t="inlineStr">
        <is>
          <t>2080-04-07</t>
        </is>
      </c>
    </row>
    <row r="65892">
      <c r="A65892" s="1" t="n">
        <v>65891</v>
      </c>
      <c r="B65892">
        <f>TEXT(65891, "[$-0E0000]yyyy-mm-dd")</f>
        <v/>
      </c>
      <c r="C65892" t="inlineStr">
        <is>
          <t>2080-04-08</t>
        </is>
      </c>
    </row>
    <row r="65893">
      <c r="A65893" s="1" t="n">
        <v>65892</v>
      </c>
      <c r="B65893">
        <f>TEXT(65892, "[$-0E0000]yyyy-mm-dd")</f>
        <v/>
      </c>
      <c r="C65893" t="inlineStr">
        <is>
          <t>2080-04-09</t>
        </is>
      </c>
    </row>
    <row r="65894">
      <c r="A65894" s="1" t="n">
        <v>65893</v>
      </c>
      <c r="B65894">
        <f>TEXT(65893, "[$-0E0000]yyyy-mm-dd")</f>
        <v/>
      </c>
      <c r="C65894" t="inlineStr">
        <is>
          <t>2080-04-10</t>
        </is>
      </c>
    </row>
    <row r="65895">
      <c r="A65895" s="1" t="n">
        <v>65894</v>
      </c>
      <c r="B65895">
        <f>TEXT(65894, "[$-0E0000]yyyy-mm-dd")</f>
        <v/>
      </c>
      <c r="C65895" t="inlineStr">
        <is>
          <t>2080-04-11</t>
        </is>
      </c>
    </row>
    <row r="65896">
      <c r="A65896" s="1" t="n">
        <v>65895</v>
      </c>
      <c r="B65896">
        <f>TEXT(65895, "[$-0E0000]yyyy-mm-dd")</f>
        <v/>
      </c>
      <c r="C65896" t="inlineStr">
        <is>
          <t>2080-04-12</t>
        </is>
      </c>
    </row>
    <row r="65897">
      <c r="A65897" s="1" t="n">
        <v>65896</v>
      </c>
      <c r="B65897">
        <f>TEXT(65896, "[$-0E0000]yyyy-mm-dd")</f>
        <v/>
      </c>
      <c r="C65897" t="inlineStr">
        <is>
          <t>2080-04-13</t>
        </is>
      </c>
    </row>
    <row r="65898">
      <c r="A65898" s="1" t="n">
        <v>65897</v>
      </c>
      <c r="B65898">
        <f>TEXT(65897, "[$-0E0000]yyyy-mm-dd")</f>
        <v/>
      </c>
      <c r="C65898" t="inlineStr">
        <is>
          <t>2080-04-14</t>
        </is>
      </c>
    </row>
    <row r="65899">
      <c r="A65899" s="1" t="n">
        <v>65898</v>
      </c>
      <c r="B65899">
        <f>TEXT(65898, "[$-0E0000]yyyy-mm-dd")</f>
        <v/>
      </c>
      <c r="C65899" t="inlineStr">
        <is>
          <t>2080-04-15</t>
        </is>
      </c>
    </row>
    <row r="65900">
      <c r="A65900" s="1" t="n">
        <v>65899</v>
      </c>
      <c r="B65900">
        <f>TEXT(65899, "[$-0E0000]yyyy-mm-dd")</f>
        <v/>
      </c>
      <c r="C65900" t="inlineStr">
        <is>
          <t>2080-04-16</t>
        </is>
      </c>
    </row>
    <row r="65901">
      <c r="A65901" s="1" t="n">
        <v>65900</v>
      </c>
      <c r="B65901">
        <f>TEXT(65900, "[$-0E0000]yyyy-mm-dd")</f>
        <v/>
      </c>
      <c r="C65901" t="inlineStr">
        <is>
          <t>2080-04-17</t>
        </is>
      </c>
    </row>
    <row r="65902">
      <c r="A65902" s="1" t="n">
        <v>65901</v>
      </c>
      <c r="B65902">
        <f>TEXT(65901, "[$-0E0000]yyyy-mm-dd")</f>
        <v/>
      </c>
      <c r="C65902" t="inlineStr">
        <is>
          <t>2080-04-18</t>
        </is>
      </c>
    </row>
    <row r="65903">
      <c r="A65903" s="1" t="n">
        <v>65902</v>
      </c>
      <c r="B65903">
        <f>TEXT(65902, "[$-0E0000]yyyy-mm-dd")</f>
        <v/>
      </c>
      <c r="C65903" t="inlineStr">
        <is>
          <t>2080-04-19</t>
        </is>
      </c>
    </row>
    <row r="65904">
      <c r="A65904" s="1" t="n">
        <v>65903</v>
      </c>
      <c r="B65904">
        <f>TEXT(65903, "[$-0E0000]yyyy-mm-dd")</f>
        <v/>
      </c>
      <c r="C65904" t="inlineStr">
        <is>
          <t>2080-04-20</t>
        </is>
      </c>
    </row>
    <row r="65905">
      <c r="A65905" s="1" t="n">
        <v>65904</v>
      </c>
      <c r="B65905">
        <f>TEXT(65904, "[$-0E0000]yyyy-mm-dd")</f>
        <v/>
      </c>
      <c r="C65905" t="inlineStr">
        <is>
          <t>2080-04-21</t>
        </is>
      </c>
    </row>
    <row r="65906">
      <c r="A65906" s="1" t="n">
        <v>65905</v>
      </c>
      <c r="B65906">
        <f>TEXT(65905, "[$-0E0000]yyyy-mm-dd")</f>
        <v/>
      </c>
      <c r="C65906" t="inlineStr">
        <is>
          <t>2080-04-22</t>
        </is>
      </c>
    </row>
    <row r="65907">
      <c r="A65907" s="1" t="n">
        <v>65906</v>
      </c>
      <c r="B65907">
        <f>TEXT(65906, "[$-0E0000]yyyy-mm-dd")</f>
        <v/>
      </c>
      <c r="C65907" t="inlineStr">
        <is>
          <t>2080-04-23</t>
        </is>
      </c>
    </row>
    <row r="65908">
      <c r="A65908" s="1" t="n">
        <v>65907</v>
      </c>
      <c r="B65908">
        <f>TEXT(65907, "[$-0E0000]yyyy-mm-dd")</f>
        <v/>
      </c>
      <c r="C65908" t="inlineStr">
        <is>
          <t>2080-04-24</t>
        </is>
      </c>
    </row>
    <row r="65909">
      <c r="A65909" s="1" t="n">
        <v>65908</v>
      </c>
      <c r="B65909">
        <f>TEXT(65908, "[$-0E0000]yyyy-mm-dd")</f>
        <v/>
      </c>
      <c r="C65909" t="inlineStr">
        <is>
          <t>2080-04-25</t>
        </is>
      </c>
    </row>
    <row r="65910">
      <c r="A65910" s="1" t="n">
        <v>65909</v>
      </c>
      <c r="B65910">
        <f>TEXT(65909, "[$-0E0000]yyyy-mm-dd")</f>
        <v/>
      </c>
      <c r="C65910" t="inlineStr">
        <is>
          <t>2080-04-26</t>
        </is>
      </c>
    </row>
    <row r="65911">
      <c r="A65911" s="1" t="n">
        <v>65910</v>
      </c>
      <c r="B65911">
        <f>TEXT(65910, "[$-0E0000]yyyy-mm-dd")</f>
        <v/>
      </c>
      <c r="C65911" t="inlineStr">
        <is>
          <t>2080-04-27</t>
        </is>
      </c>
    </row>
    <row r="65912">
      <c r="A65912" s="1" t="n">
        <v>65911</v>
      </c>
      <c r="B65912">
        <f>TEXT(65911, "[$-0E0000]yyyy-mm-dd")</f>
        <v/>
      </c>
      <c r="C65912" t="inlineStr">
        <is>
          <t>2080-04-28</t>
        </is>
      </c>
    </row>
    <row r="65913">
      <c r="A65913" s="1" t="n">
        <v>65912</v>
      </c>
      <c r="B65913">
        <f>TEXT(65912, "[$-0E0000]yyyy-mm-dd")</f>
        <v/>
      </c>
      <c r="C65913" t="inlineStr">
        <is>
          <t>2080-04-29</t>
        </is>
      </c>
    </row>
    <row r="65914">
      <c r="A65914" s="1" t="n">
        <v>65913</v>
      </c>
      <c r="B65914">
        <f>TEXT(65913, "[$-0E0000]yyyy-mm-dd")</f>
        <v/>
      </c>
      <c r="C65914" t="inlineStr">
        <is>
          <t>2080-04-30</t>
        </is>
      </c>
    </row>
    <row r="65915">
      <c r="A65915" s="1" t="n">
        <v>65914</v>
      </c>
      <c r="B65915">
        <f>TEXT(65914, "[$-0E0000]yyyy-mm-dd")</f>
        <v/>
      </c>
      <c r="C65915" t="inlineStr">
        <is>
          <t>2080-05-01</t>
        </is>
      </c>
    </row>
    <row r="65916">
      <c r="A65916" s="1" t="n">
        <v>65915</v>
      </c>
      <c r="B65916">
        <f>TEXT(65915, "[$-0E0000]yyyy-mm-dd")</f>
        <v/>
      </c>
      <c r="C65916" t="inlineStr">
        <is>
          <t>2080-05-02</t>
        </is>
      </c>
    </row>
    <row r="65917">
      <c r="A65917" s="1" t="n">
        <v>65916</v>
      </c>
      <c r="B65917">
        <f>TEXT(65916, "[$-0E0000]yyyy-mm-dd")</f>
        <v/>
      </c>
      <c r="C65917" t="inlineStr">
        <is>
          <t>2080-05-03</t>
        </is>
      </c>
    </row>
    <row r="65918">
      <c r="A65918" s="1" t="n">
        <v>65917</v>
      </c>
      <c r="B65918">
        <f>TEXT(65917, "[$-0E0000]yyyy-mm-dd")</f>
        <v/>
      </c>
      <c r="C65918" t="inlineStr">
        <is>
          <t>2080-05-04</t>
        </is>
      </c>
    </row>
    <row r="65919">
      <c r="A65919" s="1" t="n">
        <v>65918</v>
      </c>
      <c r="B65919">
        <f>TEXT(65918, "[$-0E0000]yyyy-mm-dd")</f>
        <v/>
      </c>
      <c r="C65919" t="inlineStr">
        <is>
          <t>2080-05-05</t>
        </is>
      </c>
    </row>
    <row r="65920">
      <c r="A65920" s="1" t="n">
        <v>65919</v>
      </c>
      <c r="B65920">
        <f>TEXT(65919, "[$-0E0000]yyyy-mm-dd")</f>
        <v/>
      </c>
      <c r="C65920" t="inlineStr">
        <is>
          <t>2080-05-06</t>
        </is>
      </c>
    </row>
    <row r="65921">
      <c r="A65921" s="1" t="n">
        <v>65920</v>
      </c>
      <c r="B65921">
        <f>TEXT(65920, "[$-0E0000]yyyy-mm-dd")</f>
        <v/>
      </c>
      <c r="C65921" t="inlineStr">
        <is>
          <t>2080-05-07</t>
        </is>
      </c>
    </row>
    <row r="65922">
      <c r="A65922" s="1" t="n">
        <v>65921</v>
      </c>
      <c r="B65922">
        <f>TEXT(65921, "[$-0E0000]yyyy-mm-dd")</f>
        <v/>
      </c>
      <c r="C65922" t="inlineStr">
        <is>
          <t>2080-05-08</t>
        </is>
      </c>
    </row>
    <row r="65923">
      <c r="A65923" s="1" t="n">
        <v>65922</v>
      </c>
      <c r="B65923">
        <f>TEXT(65922, "[$-0E0000]yyyy-mm-dd")</f>
        <v/>
      </c>
      <c r="C65923" t="inlineStr">
        <is>
          <t>2080-05-09</t>
        </is>
      </c>
    </row>
    <row r="65924">
      <c r="A65924" s="1" t="n">
        <v>65923</v>
      </c>
      <c r="B65924">
        <f>TEXT(65923, "[$-0E0000]yyyy-mm-dd")</f>
        <v/>
      </c>
      <c r="C65924" t="inlineStr">
        <is>
          <t>2080-05-10</t>
        </is>
      </c>
    </row>
    <row r="65925">
      <c r="A65925" s="1" t="n">
        <v>65924</v>
      </c>
      <c r="B65925">
        <f>TEXT(65924, "[$-0E0000]yyyy-mm-dd")</f>
        <v/>
      </c>
      <c r="C65925" t="inlineStr">
        <is>
          <t>2080-05-11</t>
        </is>
      </c>
    </row>
    <row r="65926">
      <c r="A65926" s="1" t="n">
        <v>65925</v>
      </c>
      <c r="B65926">
        <f>TEXT(65925, "[$-0E0000]yyyy-mm-dd")</f>
        <v/>
      </c>
      <c r="C65926" t="inlineStr">
        <is>
          <t>2080-05-12</t>
        </is>
      </c>
    </row>
    <row r="65927">
      <c r="A65927" s="1" t="n">
        <v>65926</v>
      </c>
      <c r="B65927">
        <f>TEXT(65926, "[$-0E0000]yyyy-mm-dd")</f>
        <v/>
      </c>
      <c r="C65927" t="inlineStr">
        <is>
          <t>2080-05-13</t>
        </is>
      </c>
    </row>
    <row r="65928">
      <c r="A65928" s="1" t="n">
        <v>65927</v>
      </c>
      <c r="B65928">
        <f>TEXT(65927, "[$-0E0000]yyyy-mm-dd")</f>
        <v/>
      </c>
      <c r="C65928" t="inlineStr">
        <is>
          <t>2080-05-14</t>
        </is>
      </c>
    </row>
    <row r="65929">
      <c r="A65929" s="1" t="n">
        <v>65928</v>
      </c>
      <c r="B65929">
        <f>TEXT(65928, "[$-0E0000]yyyy-mm-dd")</f>
        <v/>
      </c>
      <c r="C65929" t="inlineStr">
        <is>
          <t>2080-05-15</t>
        </is>
      </c>
    </row>
    <row r="65930">
      <c r="A65930" s="1" t="n">
        <v>65929</v>
      </c>
      <c r="B65930">
        <f>TEXT(65929, "[$-0E0000]yyyy-mm-dd")</f>
        <v/>
      </c>
      <c r="C65930" t="inlineStr">
        <is>
          <t>2080-05-16</t>
        </is>
      </c>
    </row>
    <row r="65931">
      <c r="A65931" s="1" t="n">
        <v>65930</v>
      </c>
      <c r="B65931">
        <f>TEXT(65930, "[$-0E0000]yyyy-mm-dd")</f>
        <v/>
      </c>
      <c r="C65931" t="inlineStr">
        <is>
          <t>2080-05-17</t>
        </is>
      </c>
    </row>
    <row r="65932">
      <c r="A65932" s="1" t="n">
        <v>65931</v>
      </c>
      <c r="B65932">
        <f>TEXT(65931, "[$-0E0000]yyyy-mm-dd")</f>
        <v/>
      </c>
      <c r="C65932" t="inlineStr">
        <is>
          <t>2080-05-18</t>
        </is>
      </c>
    </row>
    <row r="65933">
      <c r="A65933" s="1" t="n">
        <v>65932</v>
      </c>
      <c r="B65933">
        <f>TEXT(65932, "[$-0E0000]yyyy-mm-dd")</f>
        <v/>
      </c>
      <c r="C65933" t="inlineStr">
        <is>
          <t>2080-05-19</t>
        </is>
      </c>
    </row>
    <row r="65934">
      <c r="A65934" s="1" t="n">
        <v>65933</v>
      </c>
      <c r="B65934">
        <f>TEXT(65933, "[$-0E0000]yyyy-mm-dd")</f>
        <v/>
      </c>
      <c r="C65934" t="inlineStr">
        <is>
          <t>2080-05-20</t>
        </is>
      </c>
    </row>
    <row r="65935">
      <c r="A65935" s="1" t="n">
        <v>65934</v>
      </c>
      <c r="B65935">
        <f>TEXT(65934, "[$-0E0000]yyyy-mm-dd")</f>
        <v/>
      </c>
      <c r="C65935" t="inlineStr">
        <is>
          <t>2080-05-21</t>
        </is>
      </c>
    </row>
    <row r="65936">
      <c r="A65936" s="1" t="n">
        <v>65935</v>
      </c>
      <c r="B65936">
        <f>TEXT(65935, "[$-0E0000]yyyy-mm-dd")</f>
        <v/>
      </c>
      <c r="C65936" t="inlineStr">
        <is>
          <t>2080-05-22</t>
        </is>
      </c>
    </row>
    <row r="65937">
      <c r="A65937" s="1" t="n">
        <v>65936</v>
      </c>
      <c r="B65937">
        <f>TEXT(65936, "[$-0E0000]yyyy-mm-dd")</f>
        <v/>
      </c>
      <c r="C65937" t="inlineStr">
        <is>
          <t>2080-05-23</t>
        </is>
      </c>
    </row>
    <row r="65938">
      <c r="A65938" s="1" t="n">
        <v>65937</v>
      </c>
      <c r="B65938">
        <f>TEXT(65937, "[$-0E0000]yyyy-mm-dd")</f>
        <v/>
      </c>
      <c r="C65938" t="inlineStr">
        <is>
          <t>2080-05-24</t>
        </is>
      </c>
    </row>
    <row r="65939">
      <c r="A65939" s="1" t="n">
        <v>65938</v>
      </c>
      <c r="B65939">
        <f>TEXT(65938, "[$-0E0000]yyyy-mm-dd")</f>
        <v/>
      </c>
      <c r="C65939" t="inlineStr">
        <is>
          <t>2080-05-25</t>
        </is>
      </c>
    </row>
    <row r="65940">
      <c r="A65940" s="1" t="n">
        <v>65939</v>
      </c>
      <c r="B65940">
        <f>TEXT(65939, "[$-0E0000]yyyy-mm-dd")</f>
        <v/>
      </c>
      <c r="C65940" t="inlineStr">
        <is>
          <t>2080-05-26</t>
        </is>
      </c>
    </row>
    <row r="65941">
      <c r="A65941" s="1" t="n">
        <v>65940</v>
      </c>
      <c r="B65941">
        <f>TEXT(65940, "[$-0E0000]yyyy-mm-dd")</f>
        <v/>
      </c>
      <c r="C65941" t="inlineStr">
        <is>
          <t>2080-05-27</t>
        </is>
      </c>
    </row>
    <row r="65942">
      <c r="A65942" s="1" t="n">
        <v>65941</v>
      </c>
      <c r="B65942">
        <f>TEXT(65941, "[$-0E0000]yyyy-mm-dd")</f>
        <v/>
      </c>
      <c r="C65942" t="inlineStr">
        <is>
          <t>2080-05-28</t>
        </is>
      </c>
    </row>
    <row r="65943">
      <c r="A65943" s="1" t="n">
        <v>65942</v>
      </c>
      <c r="B65943">
        <f>TEXT(65942, "[$-0E0000]yyyy-mm-dd")</f>
        <v/>
      </c>
      <c r="C65943" t="inlineStr">
        <is>
          <t>2080-05-29</t>
        </is>
      </c>
    </row>
    <row r="65944">
      <c r="A65944" s="1" t="n">
        <v>65943</v>
      </c>
      <c r="B65944">
        <f>TEXT(65943, "[$-0E0000]yyyy-mm-dd")</f>
        <v/>
      </c>
      <c r="C65944" t="inlineStr">
        <is>
          <t>2080-06-01</t>
        </is>
      </c>
    </row>
    <row r="65945">
      <c r="A65945" s="1" t="n">
        <v>65944</v>
      </c>
      <c r="B65945">
        <f>TEXT(65944, "[$-0E0000]yyyy-mm-dd")</f>
        <v/>
      </c>
      <c r="C65945" t="inlineStr">
        <is>
          <t>2080-06-02</t>
        </is>
      </c>
    </row>
    <row r="65946">
      <c r="A65946" s="1" t="n">
        <v>65945</v>
      </c>
      <c r="B65946">
        <f>TEXT(65945, "[$-0E0000]yyyy-mm-dd")</f>
        <v/>
      </c>
      <c r="C65946" t="inlineStr">
        <is>
          <t>2080-06-03</t>
        </is>
      </c>
    </row>
    <row r="65947">
      <c r="A65947" s="1" t="n">
        <v>65946</v>
      </c>
      <c r="B65947">
        <f>TEXT(65946, "[$-0E0000]yyyy-mm-dd")</f>
        <v/>
      </c>
      <c r="C65947" t="inlineStr">
        <is>
          <t>2080-06-04</t>
        </is>
      </c>
    </row>
    <row r="65948">
      <c r="A65948" s="1" t="n">
        <v>65947</v>
      </c>
      <c r="B65948">
        <f>TEXT(65947, "[$-0E0000]yyyy-mm-dd")</f>
        <v/>
      </c>
      <c r="C65948" t="inlineStr">
        <is>
          <t>2080-06-05</t>
        </is>
      </c>
    </row>
    <row r="65949">
      <c r="A65949" s="1" t="n">
        <v>65948</v>
      </c>
      <c r="B65949">
        <f>TEXT(65948, "[$-0E0000]yyyy-mm-dd")</f>
        <v/>
      </c>
      <c r="C65949" t="inlineStr">
        <is>
          <t>2080-06-06</t>
        </is>
      </c>
    </row>
    <row r="65950">
      <c r="A65950" s="1" t="n">
        <v>65949</v>
      </c>
      <c r="B65950">
        <f>TEXT(65949, "[$-0E0000]yyyy-mm-dd")</f>
        <v/>
      </c>
      <c r="C65950" t="inlineStr">
        <is>
          <t>2080-06-07</t>
        </is>
      </c>
    </row>
    <row r="65951">
      <c r="A65951" s="1" t="n">
        <v>65950</v>
      </c>
      <c r="B65951">
        <f>TEXT(65950, "[$-0E0000]yyyy-mm-dd")</f>
        <v/>
      </c>
      <c r="C65951" t="inlineStr">
        <is>
          <t>2080-06-08</t>
        </is>
      </c>
    </row>
    <row r="65952">
      <c r="A65952" s="1" t="n">
        <v>65951</v>
      </c>
      <c r="B65952">
        <f>TEXT(65951, "[$-0E0000]yyyy-mm-dd")</f>
        <v/>
      </c>
      <c r="C65952" t="inlineStr">
        <is>
          <t>2080-06-09</t>
        </is>
      </c>
    </row>
    <row r="65953">
      <c r="A65953" s="1" t="n">
        <v>65952</v>
      </c>
      <c r="B65953">
        <f>TEXT(65952, "[$-0E0000]yyyy-mm-dd")</f>
        <v/>
      </c>
      <c r="C65953" t="inlineStr">
        <is>
          <t>2080-06-10</t>
        </is>
      </c>
    </row>
    <row r="65954">
      <c r="A65954" s="1" t="n">
        <v>65953</v>
      </c>
      <c r="B65954">
        <f>TEXT(65953, "[$-0E0000]yyyy-mm-dd")</f>
        <v/>
      </c>
      <c r="C65954" t="inlineStr">
        <is>
          <t>2080-06-11</t>
        </is>
      </c>
    </row>
    <row r="65955">
      <c r="A65955" s="1" t="n">
        <v>65954</v>
      </c>
      <c r="B65955">
        <f>TEXT(65954, "[$-0E0000]yyyy-mm-dd")</f>
        <v/>
      </c>
      <c r="C65955" t="inlineStr">
        <is>
          <t>2080-06-12</t>
        </is>
      </c>
    </row>
    <row r="65956">
      <c r="A65956" s="1" t="n">
        <v>65955</v>
      </c>
      <c r="B65956">
        <f>TEXT(65955, "[$-0E0000]yyyy-mm-dd")</f>
        <v/>
      </c>
      <c r="C65956" t="inlineStr">
        <is>
          <t>2080-06-13</t>
        </is>
      </c>
    </row>
    <row r="65957">
      <c r="A65957" s="1" t="n">
        <v>65956</v>
      </c>
      <c r="B65957">
        <f>TEXT(65956, "[$-0E0000]yyyy-mm-dd")</f>
        <v/>
      </c>
      <c r="C65957" t="inlineStr">
        <is>
          <t>2080-06-14</t>
        </is>
      </c>
    </row>
    <row r="65958">
      <c r="A65958" s="1" t="n">
        <v>65957</v>
      </c>
      <c r="B65958">
        <f>TEXT(65957, "[$-0E0000]yyyy-mm-dd")</f>
        <v/>
      </c>
      <c r="C65958" t="inlineStr">
        <is>
          <t>2080-06-15</t>
        </is>
      </c>
    </row>
    <row r="65959">
      <c r="A65959" s="1" t="n">
        <v>65958</v>
      </c>
      <c r="B65959">
        <f>TEXT(65958, "[$-0E0000]yyyy-mm-dd")</f>
        <v/>
      </c>
      <c r="C65959" t="inlineStr">
        <is>
          <t>2080-06-16</t>
        </is>
      </c>
    </row>
    <row r="65960">
      <c r="A65960" s="1" t="n">
        <v>65959</v>
      </c>
      <c r="B65960">
        <f>TEXT(65959, "[$-0E0000]yyyy-mm-dd")</f>
        <v/>
      </c>
      <c r="C65960" t="inlineStr">
        <is>
          <t>2080-06-17</t>
        </is>
      </c>
    </row>
    <row r="65961">
      <c r="A65961" s="1" t="n">
        <v>65960</v>
      </c>
      <c r="B65961">
        <f>TEXT(65960, "[$-0E0000]yyyy-mm-dd")</f>
        <v/>
      </c>
      <c r="C65961" t="inlineStr">
        <is>
          <t>2080-06-18</t>
        </is>
      </c>
    </row>
    <row r="65962">
      <c r="A65962" s="1" t="n">
        <v>65961</v>
      </c>
      <c r="B65962">
        <f>TEXT(65961, "[$-0E0000]yyyy-mm-dd")</f>
        <v/>
      </c>
      <c r="C65962" t="inlineStr">
        <is>
          <t>2080-06-19</t>
        </is>
      </c>
    </row>
    <row r="65963">
      <c r="A65963" s="1" t="n">
        <v>65962</v>
      </c>
      <c r="B65963">
        <f>TEXT(65962, "[$-0E0000]yyyy-mm-dd")</f>
        <v/>
      </c>
      <c r="C65963" t="inlineStr">
        <is>
          <t>2080-06-20</t>
        </is>
      </c>
    </row>
    <row r="65964">
      <c r="A65964" s="1" t="n">
        <v>65963</v>
      </c>
      <c r="B65964">
        <f>TEXT(65963, "[$-0E0000]yyyy-mm-dd")</f>
        <v/>
      </c>
      <c r="C65964" t="inlineStr">
        <is>
          <t>2080-06-21</t>
        </is>
      </c>
    </row>
    <row r="65965">
      <c r="A65965" s="1" t="n">
        <v>65964</v>
      </c>
      <c r="B65965">
        <f>TEXT(65964, "[$-0E0000]yyyy-mm-dd")</f>
        <v/>
      </c>
      <c r="C65965" t="inlineStr">
        <is>
          <t>2080-06-22</t>
        </is>
      </c>
    </row>
    <row r="65966">
      <c r="A65966" s="1" t="n">
        <v>65965</v>
      </c>
      <c r="B65966">
        <f>TEXT(65965, "[$-0E0000]yyyy-mm-dd")</f>
        <v/>
      </c>
      <c r="C65966" t="inlineStr">
        <is>
          <t>2080-06-23</t>
        </is>
      </c>
    </row>
    <row r="65967">
      <c r="A65967" s="1" t="n">
        <v>65966</v>
      </c>
      <c r="B65967">
        <f>TEXT(65966, "[$-0E0000]yyyy-mm-dd")</f>
        <v/>
      </c>
      <c r="C65967" t="inlineStr">
        <is>
          <t>2080-06-24</t>
        </is>
      </c>
    </row>
    <row r="65968">
      <c r="A65968" s="1" t="n">
        <v>65967</v>
      </c>
      <c r="B65968">
        <f>TEXT(65967, "[$-0E0000]yyyy-mm-dd")</f>
        <v/>
      </c>
      <c r="C65968" t="inlineStr">
        <is>
          <t>2080-06-25</t>
        </is>
      </c>
    </row>
    <row r="65969">
      <c r="A65969" s="1" t="n">
        <v>65968</v>
      </c>
      <c r="B65969">
        <f>TEXT(65968, "[$-0E0000]yyyy-mm-dd")</f>
        <v/>
      </c>
      <c r="C65969" t="inlineStr">
        <is>
          <t>2080-06-26</t>
        </is>
      </c>
    </row>
    <row r="65970">
      <c r="A65970" s="1" t="n">
        <v>65969</v>
      </c>
      <c r="B65970">
        <f>TEXT(65969, "[$-0E0000]yyyy-mm-dd")</f>
        <v/>
      </c>
      <c r="C65970" t="inlineStr">
        <is>
          <t>2080-06-27</t>
        </is>
      </c>
    </row>
    <row r="65971">
      <c r="A65971" s="1" t="n">
        <v>65970</v>
      </c>
      <c r="B65971">
        <f>TEXT(65970, "[$-0E0000]yyyy-mm-dd")</f>
        <v/>
      </c>
      <c r="C65971" t="inlineStr">
        <is>
          <t>2080-06-28</t>
        </is>
      </c>
    </row>
    <row r="65972">
      <c r="A65972" s="1" t="n">
        <v>65971</v>
      </c>
      <c r="B65972">
        <f>TEXT(65971, "[$-0E0000]yyyy-mm-dd")</f>
        <v/>
      </c>
      <c r="C65972" t="inlineStr">
        <is>
          <t>2080-06-29</t>
        </is>
      </c>
    </row>
    <row r="65973">
      <c r="A65973" s="1" t="n">
        <v>65972</v>
      </c>
      <c r="B65973">
        <f>TEXT(65972, "[$-0E0000]yyyy-mm-dd")</f>
        <v/>
      </c>
      <c r="C65973" t="inlineStr">
        <is>
          <t>2080-07-01</t>
        </is>
      </c>
    </row>
    <row r="65974">
      <c r="A65974" s="1" t="n">
        <v>65973</v>
      </c>
      <c r="B65974">
        <f>TEXT(65973, "[$-0E0000]yyyy-mm-dd")</f>
        <v/>
      </c>
      <c r="C65974" t="inlineStr">
        <is>
          <t>2080-07-02</t>
        </is>
      </c>
    </row>
    <row r="65975">
      <c r="A65975" s="1" t="n">
        <v>65974</v>
      </c>
      <c r="B65975">
        <f>TEXT(65974, "[$-0E0000]yyyy-mm-dd")</f>
        <v/>
      </c>
      <c r="C65975" t="inlineStr">
        <is>
          <t>2080-07-03</t>
        </is>
      </c>
    </row>
    <row r="65976">
      <c r="A65976" s="1" t="n">
        <v>65975</v>
      </c>
      <c r="B65976">
        <f>TEXT(65975, "[$-0E0000]yyyy-mm-dd")</f>
        <v/>
      </c>
      <c r="C65976" t="inlineStr">
        <is>
          <t>2080-07-04</t>
        </is>
      </c>
    </row>
    <row r="65977">
      <c r="A65977" s="1" t="n">
        <v>65976</v>
      </c>
      <c r="B65977">
        <f>TEXT(65976, "[$-0E0000]yyyy-mm-dd")</f>
        <v/>
      </c>
      <c r="C65977" t="inlineStr">
        <is>
          <t>2080-07-05</t>
        </is>
      </c>
    </row>
    <row r="65978">
      <c r="A65978" s="1" t="n">
        <v>65977</v>
      </c>
      <c r="B65978">
        <f>TEXT(65977, "[$-0E0000]yyyy-mm-dd")</f>
        <v/>
      </c>
      <c r="C65978" t="inlineStr">
        <is>
          <t>2080-07-06</t>
        </is>
      </c>
    </row>
    <row r="65979">
      <c r="A65979" s="1" t="n">
        <v>65978</v>
      </c>
      <c r="B65979">
        <f>TEXT(65978, "[$-0E0000]yyyy-mm-dd")</f>
        <v/>
      </c>
      <c r="C65979" t="inlineStr">
        <is>
          <t>2080-07-07</t>
        </is>
      </c>
    </row>
    <row r="65980">
      <c r="A65980" s="1" t="n">
        <v>65979</v>
      </c>
      <c r="B65980">
        <f>TEXT(65979, "[$-0E0000]yyyy-mm-dd")</f>
        <v/>
      </c>
      <c r="C65980" t="inlineStr">
        <is>
          <t>2080-07-08</t>
        </is>
      </c>
    </row>
    <row r="65981">
      <c r="A65981" s="1" t="n">
        <v>65980</v>
      </c>
      <c r="B65981">
        <f>TEXT(65980, "[$-0E0000]yyyy-mm-dd")</f>
        <v/>
      </c>
      <c r="C65981" t="inlineStr">
        <is>
          <t>2080-07-09</t>
        </is>
      </c>
    </row>
    <row r="65982">
      <c r="A65982" s="1" t="n">
        <v>65981</v>
      </c>
      <c r="B65982">
        <f>TEXT(65981, "[$-0E0000]yyyy-mm-dd")</f>
        <v/>
      </c>
      <c r="C65982" t="inlineStr">
        <is>
          <t>2080-07-10</t>
        </is>
      </c>
    </row>
    <row r="65983">
      <c r="A65983" s="1" t="n">
        <v>65982</v>
      </c>
      <c r="B65983">
        <f>TEXT(65982, "[$-0E0000]yyyy-mm-dd")</f>
        <v/>
      </c>
      <c r="C65983" t="inlineStr">
        <is>
          <t>2080-07-11</t>
        </is>
      </c>
    </row>
    <row r="65984">
      <c r="A65984" s="1" t="n">
        <v>65983</v>
      </c>
      <c r="B65984">
        <f>TEXT(65983, "[$-0E0000]yyyy-mm-dd")</f>
        <v/>
      </c>
      <c r="C65984" t="inlineStr">
        <is>
          <t>2080-07-12</t>
        </is>
      </c>
    </row>
    <row r="65985">
      <c r="A65985" s="1" t="n">
        <v>65984</v>
      </c>
      <c r="B65985">
        <f>TEXT(65984, "[$-0E0000]yyyy-mm-dd")</f>
        <v/>
      </c>
      <c r="C65985" t="inlineStr">
        <is>
          <t>2080-07-13</t>
        </is>
      </c>
    </row>
    <row r="65986">
      <c r="A65986" s="1" t="n">
        <v>65985</v>
      </c>
      <c r="B65986">
        <f>TEXT(65985, "[$-0E0000]yyyy-mm-dd")</f>
        <v/>
      </c>
      <c r="C65986" t="inlineStr">
        <is>
          <t>2080-07-14</t>
        </is>
      </c>
    </row>
    <row r="65987">
      <c r="A65987" s="1" t="n">
        <v>65986</v>
      </c>
      <c r="B65987">
        <f>TEXT(65986, "[$-0E0000]yyyy-mm-dd")</f>
        <v/>
      </c>
      <c r="C65987" t="inlineStr">
        <is>
          <t>2080-07-15</t>
        </is>
      </c>
    </row>
    <row r="65988">
      <c r="A65988" s="1" t="n">
        <v>65987</v>
      </c>
      <c r="B65988">
        <f>TEXT(65987, "[$-0E0000]yyyy-mm-dd")</f>
        <v/>
      </c>
      <c r="C65988" t="inlineStr">
        <is>
          <t>2080-07-16</t>
        </is>
      </c>
    </row>
    <row r="65989">
      <c r="A65989" s="1" t="n">
        <v>65988</v>
      </c>
      <c r="B65989">
        <f>TEXT(65988, "[$-0E0000]yyyy-mm-dd")</f>
        <v/>
      </c>
      <c r="C65989" t="inlineStr">
        <is>
          <t>2080-07-17</t>
        </is>
      </c>
    </row>
    <row r="65990">
      <c r="A65990" s="1" t="n">
        <v>65989</v>
      </c>
      <c r="B65990">
        <f>TEXT(65989, "[$-0E0000]yyyy-mm-dd")</f>
        <v/>
      </c>
      <c r="C65990" t="inlineStr">
        <is>
          <t>2080-07-18</t>
        </is>
      </c>
    </row>
    <row r="65991">
      <c r="A65991" s="1" t="n">
        <v>65990</v>
      </c>
      <c r="B65991">
        <f>TEXT(65990, "[$-0E0000]yyyy-mm-dd")</f>
        <v/>
      </c>
      <c r="C65991" t="inlineStr">
        <is>
          <t>2080-07-19</t>
        </is>
      </c>
    </row>
    <row r="65992">
      <c r="A65992" s="1" t="n">
        <v>65991</v>
      </c>
      <c r="B65992">
        <f>TEXT(65991, "[$-0E0000]yyyy-mm-dd")</f>
        <v/>
      </c>
      <c r="C65992" t="inlineStr">
        <is>
          <t>2080-07-20</t>
        </is>
      </c>
    </row>
    <row r="65993">
      <c r="A65993" s="1" t="n">
        <v>65992</v>
      </c>
      <c r="B65993">
        <f>TEXT(65992, "[$-0E0000]yyyy-mm-dd")</f>
        <v/>
      </c>
      <c r="C65993" t="inlineStr">
        <is>
          <t>2080-07-21</t>
        </is>
      </c>
    </row>
    <row r="65994">
      <c r="A65994" s="1" t="n">
        <v>65993</v>
      </c>
      <c r="B65994">
        <f>TEXT(65993, "[$-0E0000]yyyy-mm-dd")</f>
        <v/>
      </c>
      <c r="C65994" t="inlineStr">
        <is>
          <t>2080-07-22</t>
        </is>
      </c>
    </row>
    <row r="65995">
      <c r="A65995" s="1" t="n">
        <v>65994</v>
      </c>
      <c r="B65995">
        <f>TEXT(65994, "[$-0E0000]yyyy-mm-dd")</f>
        <v/>
      </c>
      <c r="C65995" t="inlineStr">
        <is>
          <t>2080-07-23</t>
        </is>
      </c>
    </row>
    <row r="65996">
      <c r="A65996" s="1" t="n">
        <v>65995</v>
      </c>
      <c r="B65996">
        <f>TEXT(65995, "[$-0E0000]yyyy-mm-dd")</f>
        <v/>
      </c>
      <c r="C65996" t="inlineStr">
        <is>
          <t>2080-07-24</t>
        </is>
      </c>
    </row>
    <row r="65997">
      <c r="A65997" s="1" t="n">
        <v>65996</v>
      </c>
      <c r="B65997">
        <f>TEXT(65996, "[$-0E0000]yyyy-mm-dd")</f>
        <v/>
      </c>
      <c r="C65997" t="inlineStr">
        <is>
          <t>2080-07-25</t>
        </is>
      </c>
    </row>
    <row r="65998">
      <c r="A65998" s="1" t="n">
        <v>65997</v>
      </c>
      <c r="B65998">
        <f>TEXT(65997, "[$-0E0000]yyyy-mm-dd")</f>
        <v/>
      </c>
      <c r="C65998" t="inlineStr">
        <is>
          <t>2080-07-26</t>
        </is>
      </c>
    </row>
    <row r="65999">
      <c r="A65999" s="1" t="n">
        <v>65998</v>
      </c>
      <c r="B65999">
        <f>TEXT(65998, "[$-0E0000]yyyy-mm-dd")</f>
        <v/>
      </c>
      <c r="C65999" t="inlineStr">
        <is>
          <t>2080-07-27</t>
        </is>
      </c>
    </row>
    <row r="66000">
      <c r="A66000" s="1" t="n">
        <v>65999</v>
      </c>
      <c r="B66000">
        <f>TEXT(65999, "[$-0E0000]yyyy-mm-dd")</f>
        <v/>
      </c>
      <c r="C66000" t="inlineStr">
        <is>
          <t>2080-07-28</t>
        </is>
      </c>
    </row>
    <row r="66001">
      <c r="A66001" s="1" t="n">
        <v>66000</v>
      </c>
      <c r="B66001">
        <f>TEXT(66000, "[$-0E0000]yyyy-mm-dd")</f>
        <v/>
      </c>
      <c r="C66001" t="inlineStr">
        <is>
          <t>2080-07-29</t>
        </is>
      </c>
    </row>
    <row r="66002">
      <c r="A66002" s="1" t="n">
        <v>66001</v>
      </c>
      <c r="B66002">
        <f>TEXT(66001, "[$-0E0000]yyyy-mm-dd")</f>
        <v/>
      </c>
      <c r="C66002" t="inlineStr">
        <is>
          <t>2080-07-30</t>
        </is>
      </c>
    </row>
    <row r="66003">
      <c r="A66003" s="1" t="n">
        <v>66002</v>
      </c>
      <c r="B66003">
        <f>TEXT(66002, "[$-0E0000]yyyy-mm-dd")</f>
        <v/>
      </c>
      <c r="C66003" t="inlineStr">
        <is>
          <t>2080-08-01</t>
        </is>
      </c>
    </row>
    <row r="66004">
      <c r="A66004" s="1" t="n">
        <v>66003</v>
      </c>
      <c r="B66004">
        <f>TEXT(66003, "[$-0E0000]yyyy-mm-dd")</f>
        <v/>
      </c>
      <c r="C66004" t="inlineStr">
        <is>
          <t>2080-08-02</t>
        </is>
      </c>
    </row>
    <row r="66005">
      <c r="A66005" s="1" t="n">
        <v>66004</v>
      </c>
      <c r="B66005">
        <f>TEXT(66004, "[$-0E0000]yyyy-mm-dd")</f>
        <v/>
      </c>
      <c r="C66005" t="inlineStr">
        <is>
          <t>2080-08-03</t>
        </is>
      </c>
    </row>
    <row r="66006">
      <c r="A66006" s="1" t="n">
        <v>66005</v>
      </c>
      <c r="B66006">
        <f>TEXT(66005, "[$-0E0000]yyyy-mm-dd")</f>
        <v/>
      </c>
      <c r="C66006" t="inlineStr">
        <is>
          <t>2080-08-04</t>
        </is>
      </c>
    </row>
    <row r="66007">
      <c r="A66007" s="1" t="n">
        <v>66006</v>
      </c>
      <c r="B66007">
        <f>TEXT(66006, "[$-0E0000]yyyy-mm-dd")</f>
        <v/>
      </c>
      <c r="C66007" t="inlineStr">
        <is>
          <t>2080-08-05</t>
        </is>
      </c>
    </row>
    <row r="66008">
      <c r="A66008" s="1" t="n">
        <v>66007</v>
      </c>
      <c r="B66008">
        <f>TEXT(66007, "[$-0E0000]yyyy-mm-dd")</f>
        <v/>
      </c>
      <c r="C66008" t="inlineStr">
        <is>
          <t>2080-08-06</t>
        </is>
      </c>
    </row>
    <row r="66009">
      <c r="A66009" s="1" t="n">
        <v>66008</v>
      </c>
      <c r="B66009">
        <f>TEXT(66008, "[$-0E0000]yyyy-mm-dd")</f>
        <v/>
      </c>
      <c r="C66009" t="inlineStr">
        <is>
          <t>2080-08-07</t>
        </is>
      </c>
    </row>
    <row r="66010">
      <c r="A66010" s="1" t="n">
        <v>66009</v>
      </c>
      <c r="B66010">
        <f>TEXT(66009, "[$-0E0000]yyyy-mm-dd")</f>
        <v/>
      </c>
      <c r="C66010" t="inlineStr">
        <is>
          <t>2080-08-08</t>
        </is>
      </c>
    </row>
    <row r="66011">
      <c r="A66011" s="1" t="n">
        <v>66010</v>
      </c>
      <c r="B66011">
        <f>TEXT(66010, "[$-0E0000]yyyy-mm-dd")</f>
        <v/>
      </c>
      <c r="C66011" t="inlineStr">
        <is>
          <t>2080-08-09</t>
        </is>
      </c>
    </row>
    <row r="66012">
      <c r="A66012" s="1" t="n">
        <v>66011</v>
      </c>
      <c r="B66012">
        <f>TEXT(66011, "[$-0E0000]yyyy-mm-dd")</f>
        <v/>
      </c>
      <c r="C66012" t="inlineStr">
        <is>
          <t>2080-08-10</t>
        </is>
      </c>
    </row>
    <row r="66013">
      <c r="A66013" s="1" t="n">
        <v>66012</v>
      </c>
      <c r="B66013">
        <f>TEXT(66012, "[$-0E0000]yyyy-mm-dd")</f>
        <v/>
      </c>
      <c r="C66013" t="inlineStr">
        <is>
          <t>2080-08-11</t>
        </is>
      </c>
    </row>
    <row r="66014">
      <c r="A66014" s="1" t="n">
        <v>66013</v>
      </c>
      <c r="B66014">
        <f>TEXT(66013, "[$-0E0000]yyyy-mm-dd")</f>
        <v/>
      </c>
      <c r="C66014" t="inlineStr">
        <is>
          <t>2080-08-12</t>
        </is>
      </c>
    </row>
    <row r="66015">
      <c r="A66015" s="1" t="n">
        <v>66014</v>
      </c>
      <c r="B66015">
        <f>TEXT(66014, "[$-0E0000]yyyy-mm-dd")</f>
        <v/>
      </c>
      <c r="C66015" t="inlineStr">
        <is>
          <t>2080-08-13</t>
        </is>
      </c>
    </row>
    <row r="66016">
      <c r="A66016" s="1" t="n">
        <v>66015</v>
      </c>
      <c r="B66016">
        <f>TEXT(66015, "[$-0E0000]yyyy-mm-dd")</f>
        <v/>
      </c>
      <c r="C66016" t="inlineStr">
        <is>
          <t>2080-08-14</t>
        </is>
      </c>
    </row>
    <row r="66017">
      <c r="A66017" s="1" t="n">
        <v>66016</v>
      </c>
      <c r="B66017">
        <f>TEXT(66016, "[$-0E0000]yyyy-mm-dd")</f>
        <v/>
      </c>
      <c r="C66017" t="inlineStr">
        <is>
          <t>2080-08-15</t>
        </is>
      </c>
    </row>
    <row r="66018">
      <c r="A66018" s="1" t="n">
        <v>66017</v>
      </c>
      <c r="B66018">
        <f>TEXT(66017, "[$-0E0000]yyyy-mm-dd")</f>
        <v/>
      </c>
      <c r="C66018" t="inlineStr">
        <is>
          <t>2080-08-16</t>
        </is>
      </c>
    </row>
    <row r="66019">
      <c r="A66019" s="1" t="n">
        <v>66018</v>
      </c>
      <c r="B66019">
        <f>TEXT(66018, "[$-0E0000]yyyy-mm-dd")</f>
        <v/>
      </c>
      <c r="C66019" t="inlineStr">
        <is>
          <t>2080-08-17</t>
        </is>
      </c>
    </row>
    <row r="66020">
      <c r="A66020" s="1" t="n">
        <v>66019</v>
      </c>
      <c r="B66020">
        <f>TEXT(66019, "[$-0E0000]yyyy-mm-dd")</f>
        <v/>
      </c>
      <c r="C66020" t="inlineStr">
        <is>
          <t>2080-08-18</t>
        </is>
      </c>
    </row>
    <row r="66021">
      <c r="A66021" s="1" t="n">
        <v>66020</v>
      </c>
      <c r="B66021">
        <f>TEXT(66020, "[$-0E0000]yyyy-mm-dd")</f>
        <v/>
      </c>
      <c r="C66021" t="inlineStr">
        <is>
          <t>2080-08-19</t>
        </is>
      </c>
    </row>
    <row r="66022">
      <c r="A66022" s="1" t="n">
        <v>66021</v>
      </c>
      <c r="B66022">
        <f>TEXT(66021, "[$-0E0000]yyyy-mm-dd")</f>
        <v/>
      </c>
      <c r="C66022" t="inlineStr">
        <is>
          <t>2080-08-20</t>
        </is>
      </c>
    </row>
    <row r="66023">
      <c r="A66023" s="1" t="n">
        <v>66022</v>
      </c>
      <c r="B66023">
        <f>TEXT(66022, "[$-0E0000]yyyy-mm-dd")</f>
        <v/>
      </c>
      <c r="C66023" t="inlineStr">
        <is>
          <t>2080-08-21</t>
        </is>
      </c>
    </row>
    <row r="66024">
      <c r="A66024" s="1" t="n">
        <v>66023</v>
      </c>
      <c r="B66024">
        <f>TEXT(66023, "[$-0E0000]yyyy-mm-dd")</f>
        <v/>
      </c>
      <c r="C66024" t="inlineStr">
        <is>
          <t>2080-08-22</t>
        </is>
      </c>
    </row>
    <row r="66025">
      <c r="A66025" s="1" t="n">
        <v>66024</v>
      </c>
      <c r="B66025">
        <f>TEXT(66024, "[$-0E0000]yyyy-mm-dd")</f>
        <v/>
      </c>
      <c r="C66025" t="inlineStr">
        <is>
          <t>2080-08-23</t>
        </is>
      </c>
    </row>
    <row r="66026">
      <c r="A66026" s="1" t="n">
        <v>66025</v>
      </c>
      <c r="B66026">
        <f>TEXT(66025, "[$-0E0000]yyyy-mm-dd")</f>
        <v/>
      </c>
      <c r="C66026" t="inlineStr">
        <is>
          <t>2080-08-24</t>
        </is>
      </c>
    </row>
    <row r="66027">
      <c r="A66027" s="1" t="n">
        <v>66026</v>
      </c>
      <c r="B66027">
        <f>TEXT(66026, "[$-0E0000]yyyy-mm-dd")</f>
        <v/>
      </c>
      <c r="C66027" t="inlineStr">
        <is>
          <t>2080-08-25</t>
        </is>
      </c>
    </row>
    <row r="66028">
      <c r="A66028" s="1" t="n">
        <v>66027</v>
      </c>
      <c r="B66028">
        <f>TEXT(66027, "[$-0E0000]yyyy-mm-dd")</f>
        <v/>
      </c>
      <c r="C66028" t="inlineStr">
        <is>
          <t>2080-08-26</t>
        </is>
      </c>
    </row>
    <row r="66029">
      <c r="A66029" s="1" t="n">
        <v>66028</v>
      </c>
      <c r="B66029">
        <f>TEXT(66028, "[$-0E0000]yyyy-mm-dd")</f>
        <v/>
      </c>
      <c r="C66029" t="inlineStr">
        <is>
          <t>2080-08-27</t>
        </is>
      </c>
    </row>
    <row r="66030">
      <c r="A66030" s="1" t="n">
        <v>66029</v>
      </c>
      <c r="B66030">
        <f>TEXT(66029, "[$-0E0000]yyyy-mm-dd")</f>
        <v/>
      </c>
      <c r="C66030" t="inlineStr">
        <is>
          <t>2080-08-28</t>
        </is>
      </c>
    </row>
    <row r="66031">
      <c r="A66031" s="1" t="n">
        <v>66030</v>
      </c>
      <c r="B66031">
        <f>TEXT(66030, "[$-0E0000]yyyy-mm-dd")</f>
        <v/>
      </c>
      <c r="C66031" t="inlineStr">
        <is>
          <t>2080-08-29</t>
        </is>
      </c>
    </row>
    <row r="66032">
      <c r="A66032" s="1" t="n">
        <v>66031</v>
      </c>
      <c r="B66032">
        <f>TEXT(66031, "[$-0E0000]yyyy-mm-dd")</f>
        <v/>
      </c>
      <c r="C66032" t="inlineStr">
        <is>
          <t>2080-09-01</t>
        </is>
      </c>
    </row>
    <row r="66033">
      <c r="A66033" s="1" t="n">
        <v>66032</v>
      </c>
      <c r="B66033">
        <f>TEXT(66032, "[$-0E0000]yyyy-mm-dd")</f>
        <v/>
      </c>
      <c r="C66033" t="inlineStr">
        <is>
          <t>2080-09-02</t>
        </is>
      </c>
    </row>
    <row r="66034">
      <c r="A66034" s="1" t="n">
        <v>66033</v>
      </c>
      <c r="B66034">
        <f>TEXT(66033, "[$-0E0000]yyyy-mm-dd")</f>
        <v/>
      </c>
      <c r="C66034" t="inlineStr">
        <is>
          <t>2080-09-03</t>
        </is>
      </c>
    </row>
    <row r="66035">
      <c r="A66035" s="1" t="n">
        <v>66034</v>
      </c>
      <c r="B66035">
        <f>TEXT(66034, "[$-0E0000]yyyy-mm-dd")</f>
        <v/>
      </c>
      <c r="C66035" t="inlineStr">
        <is>
          <t>2080-09-04</t>
        </is>
      </c>
    </row>
    <row r="66036">
      <c r="A66036" s="1" t="n">
        <v>66035</v>
      </c>
      <c r="B66036">
        <f>TEXT(66035, "[$-0E0000]yyyy-mm-dd")</f>
        <v/>
      </c>
      <c r="C66036" t="inlineStr">
        <is>
          <t>2080-09-05</t>
        </is>
      </c>
    </row>
    <row r="66037">
      <c r="A66037" s="1" t="n">
        <v>66036</v>
      </c>
      <c r="B66037">
        <f>TEXT(66036, "[$-0E0000]yyyy-mm-dd")</f>
        <v/>
      </c>
      <c r="C66037" t="inlineStr">
        <is>
          <t>2080-09-06</t>
        </is>
      </c>
    </row>
    <row r="66038">
      <c r="A66038" s="1" t="n">
        <v>66037</v>
      </c>
      <c r="B66038">
        <f>TEXT(66037, "[$-0E0000]yyyy-mm-dd")</f>
        <v/>
      </c>
      <c r="C66038" t="inlineStr">
        <is>
          <t>2080-09-07</t>
        </is>
      </c>
    </row>
    <row r="66039">
      <c r="A66039" s="1" t="n">
        <v>66038</v>
      </c>
      <c r="B66039">
        <f>TEXT(66038, "[$-0E0000]yyyy-mm-dd")</f>
        <v/>
      </c>
      <c r="C66039" t="inlineStr">
        <is>
          <t>2080-09-08</t>
        </is>
      </c>
    </row>
    <row r="66040">
      <c r="A66040" s="1" t="n">
        <v>66039</v>
      </c>
      <c r="B66040">
        <f>TEXT(66039, "[$-0E0000]yyyy-mm-dd")</f>
        <v/>
      </c>
      <c r="C66040" t="inlineStr">
        <is>
          <t>2080-09-09</t>
        </is>
      </c>
    </row>
    <row r="66041">
      <c r="A66041" s="1" t="n">
        <v>66040</v>
      </c>
      <c r="B66041">
        <f>TEXT(66040, "[$-0E0000]yyyy-mm-dd")</f>
        <v/>
      </c>
      <c r="C66041" t="inlineStr">
        <is>
          <t>2080-09-10</t>
        </is>
      </c>
    </row>
    <row r="66042">
      <c r="A66042" s="1" t="n">
        <v>66041</v>
      </c>
      <c r="B66042">
        <f>TEXT(66041, "[$-0E0000]yyyy-mm-dd")</f>
        <v/>
      </c>
      <c r="C66042" t="inlineStr">
        <is>
          <t>2080-09-11</t>
        </is>
      </c>
    </row>
    <row r="66043">
      <c r="A66043" s="1" t="n">
        <v>66042</v>
      </c>
      <c r="B66043">
        <f>TEXT(66042, "[$-0E0000]yyyy-mm-dd")</f>
        <v/>
      </c>
      <c r="C66043" t="inlineStr">
        <is>
          <t>2080-09-12</t>
        </is>
      </c>
    </row>
    <row r="66044">
      <c r="A66044" s="1" t="n">
        <v>66043</v>
      </c>
      <c r="B66044">
        <f>TEXT(66043, "[$-0E0000]yyyy-mm-dd")</f>
        <v/>
      </c>
      <c r="C66044" t="inlineStr">
        <is>
          <t>2080-09-13</t>
        </is>
      </c>
    </row>
    <row r="66045">
      <c r="A66045" s="1" t="n">
        <v>66044</v>
      </c>
      <c r="B66045">
        <f>TEXT(66044, "[$-0E0000]yyyy-mm-dd")</f>
        <v/>
      </c>
      <c r="C66045" t="inlineStr">
        <is>
          <t>2080-09-14</t>
        </is>
      </c>
    </row>
    <row r="66046">
      <c r="A66046" s="1" t="n">
        <v>66045</v>
      </c>
      <c r="B66046">
        <f>TEXT(66045, "[$-0E0000]yyyy-mm-dd")</f>
        <v/>
      </c>
      <c r="C66046" t="inlineStr">
        <is>
          <t>2080-09-15</t>
        </is>
      </c>
    </row>
    <row r="66047">
      <c r="A66047" s="1" t="n">
        <v>66046</v>
      </c>
      <c r="B66047">
        <f>TEXT(66046, "[$-0E0000]yyyy-mm-dd")</f>
        <v/>
      </c>
      <c r="C66047" t="inlineStr">
        <is>
          <t>2080-09-16</t>
        </is>
      </c>
    </row>
    <row r="66048">
      <c r="A66048" s="1" t="n">
        <v>66047</v>
      </c>
      <c r="B66048">
        <f>TEXT(66047, "[$-0E0000]yyyy-mm-dd")</f>
        <v/>
      </c>
      <c r="C66048" t="inlineStr">
        <is>
          <t>2080-09-17</t>
        </is>
      </c>
    </row>
    <row r="66049">
      <c r="A66049" s="1" t="n">
        <v>66048</v>
      </c>
      <c r="B66049">
        <f>TEXT(66048, "[$-0E0000]yyyy-mm-dd")</f>
        <v/>
      </c>
      <c r="C66049" t="inlineStr">
        <is>
          <t>2080-09-18</t>
        </is>
      </c>
    </row>
    <row r="66050">
      <c r="A66050" s="1" t="n">
        <v>66049</v>
      </c>
      <c r="B66050">
        <f>TEXT(66049, "[$-0E0000]yyyy-mm-dd")</f>
        <v/>
      </c>
      <c r="C66050" t="inlineStr">
        <is>
          <t>2080-09-19</t>
        </is>
      </c>
    </row>
    <row r="66051">
      <c r="A66051" s="1" t="n">
        <v>66050</v>
      </c>
      <c r="B66051">
        <f>TEXT(66050, "[$-0E0000]yyyy-mm-dd")</f>
        <v/>
      </c>
      <c r="C66051" t="inlineStr">
        <is>
          <t>2080-09-20</t>
        </is>
      </c>
    </row>
    <row r="66052">
      <c r="A66052" s="1" t="n">
        <v>66051</v>
      </c>
      <c r="B66052">
        <f>TEXT(66051, "[$-0E0000]yyyy-mm-dd")</f>
        <v/>
      </c>
      <c r="C66052" t="inlineStr">
        <is>
          <t>2080-09-21</t>
        </is>
      </c>
    </row>
    <row r="66053">
      <c r="A66053" s="1" t="n">
        <v>66052</v>
      </c>
      <c r="B66053">
        <f>TEXT(66052, "[$-0E0000]yyyy-mm-dd")</f>
        <v/>
      </c>
      <c r="C66053" t="inlineStr">
        <is>
          <t>2080-09-22</t>
        </is>
      </c>
    </row>
    <row r="66054">
      <c r="A66054" s="1" t="n">
        <v>66053</v>
      </c>
      <c r="B66054">
        <f>TEXT(66053, "[$-0E0000]yyyy-mm-dd")</f>
        <v/>
      </c>
      <c r="C66054" t="inlineStr">
        <is>
          <t>2080-09-23</t>
        </is>
      </c>
    </row>
    <row r="66055">
      <c r="A66055" s="1" t="n">
        <v>66054</v>
      </c>
      <c r="B66055">
        <f>TEXT(66054, "[$-0E0000]yyyy-mm-dd")</f>
        <v/>
      </c>
      <c r="C66055" t="inlineStr">
        <is>
          <t>2080-09-24</t>
        </is>
      </c>
    </row>
    <row r="66056">
      <c r="A66056" s="1" t="n">
        <v>66055</v>
      </c>
      <c r="B66056">
        <f>TEXT(66055, "[$-0E0000]yyyy-mm-dd")</f>
        <v/>
      </c>
      <c r="C66056" t="inlineStr">
        <is>
          <t>2080-09-25</t>
        </is>
      </c>
    </row>
    <row r="66057">
      <c r="A66057" s="1" t="n">
        <v>66056</v>
      </c>
      <c r="B66057">
        <f>TEXT(66056, "[$-0E0000]yyyy-mm-dd")</f>
        <v/>
      </c>
      <c r="C66057" t="inlineStr">
        <is>
          <t>2080-09-26</t>
        </is>
      </c>
    </row>
    <row r="66058">
      <c r="A66058" s="1" t="n">
        <v>66057</v>
      </c>
      <c r="B66058">
        <f>TEXT(66057, "[$-0E0000]yyyy-mm-dd")</f>
        <v/>
      </c>
      <c r="C66058" t="inlineStr">
        <is>
          <t>2080-09-27</t>
        </is>
      </c>
    </row>
    <row r="66059">
      <c r="A66059" s="1" t="n">
        <v>66058</v>
      </c>
      <c r="B66059">
        <f>TEXT(66058, "[$-0E0000]yyyy-mm-dd")</f>
        <v/>
      </c>
      <c r="C66059" t="inlineStr">
        <is>
          <t>2080-09-28</t>
        </is>
      </c>
    </row>
    <row r="66060">
      <c r="A66060" s="1" t="n">
        <v>66059</v>
      </c>
      <c r="B66060">
        <f>TEXT(66059, "[$-0E0000]yyyy-mm-dd")</f>
        <v/>
      </c>
      <c r="C66060" t="inlineStr">
        <is>
          <t>2080-09-29</t>
        </is>
      </c>
    </row>
    <row r="66061">
      <c r="A66061" s="1" t="n">
        <v>66060</v>
      </c>
      <c r="B66061">
        <f>TEXT(66060, "[$-0E0000]yyyy-mm-dd")</f>
        <v/>
      </c>
      <c r="C66061" t="inlineStr">
        <is>
          <t>2080-10-01</t>
        </is>
      </c>
    </row>
    <row r="66062">
      <c r="A66062" s="1" t="n">
        <v>66061</v>
      </c>
      <c r="B66062">
        <f>TEXT(66061, "[$-0E0000]yyyy-mm-dd")</f>
        <v/>
      </c>
      <c r="C66062" t="inlineStr">
        <is>
          <t>2080-10-02</t>
        </is>
      </c>
    </row>
    <row r="66063">
      <c r="A66063" s="1" t="n">
        <v>66062</v>
      </c>
      <c r="B66063">
        <f>TEXT(66062, "[$-0E0000]yyyy-mm-dd")</f>
        <v/>
      </c>
      <c r="C66063" t="inlineStr">
        <is>
          <t>2080-10-03</t>
        </is>
      </c>
    </row>
    <row r="66064">
      <c r="A66064" s="1" t="n">
        <v>66063</v>
      </c>
      <c r="B66064">
        <f>TEXT(66063, "[$-0E0000]yyyy-mm-dd")</f>
        <v/>
      </c>
      <c r="C66064" t="inlineStr">
        <is>
          <t>2080-10-04</t>
        </is>
      </c>
    </row>
    <row r="66065">
      <c r="A66065" s="1" t="n">
        <v>66064</v>
      </c>
      <c r="B66065">
        <f>TEXT(66064, "[$-0E0000]yyyy-mm-dd")</f>
        <v/>
      </c>
      <c r="C66065" t="inlineStr">
        <is>
          <t>2080-10-05</t>
        </is>
      </c>
    </row>
    <row r="66066">
      <c r="A66066" s="1" t="n">
        <v>66065</v>
      </c>
      <c r="B66066">
        <f>TEXT(66065, "[$-0E0000]yyyy-mm-dd")</f>
        <v/>
      </c>
      <c r="C66066" t="inlineStr">
        <is>
          <t>2080-10-06</t>
        </is>
      </c>
    </row>
    <row r="66067">
      <c r="A66067" s="1" t="n">
        <v>66066</v>
      </c>
      <c r="B66067">
        <f>TEXT(66066, "[$-0E0000]yyyy-mm-dd")</f>
        <v/>
      </c>
      <c r="C66067" t="inlineStr">
        <is>
          <t>2080-10-07</t>
        </is>
      </c>
    </row>
    <row r="66068">
      <c r="A66068" s="1" t="n">
        <v>66067</v>
      </c>
      <c r="B66068">
        <f>TEXT(66067, "[$-0E0000]yyyy-mm-dd")</f>
        <v/>
      </c>
      <c r="C66068" t="inlineStr">
        <is>
          <t>2080-10-08</t>
        </is>
      </c>
    </row>
    <row r="66069">
      <c r="A66069" s="1" t="n">
        <v>66068</v>
      </c>
      <c r="B66069">
        <f>TEXT(66068, "[$-0E0000]yyyy-mm-dd")</f>
        <v/>
      </c>
      <c r="C66069" t="inlineStr">
        <is>
          <t>2080-10-09</t>
        </is>
      </c>
    </row>
    <row r="66070">
      <c r="A66070" s="1" t="n">
        <v>66069</v>
      </c>
      <c r="B66070">
        <f>TEXT(66069, "[$-0E0000]yyyy-mm-dd")</f>
        <v/>
      </c>
      <c r="C66070" t="inlineStr">
        <is>
          <t>2080-10-10</t>
        </is>
      </c>
    </row>
    <row r="66071">
      <c r="A66071" s="1" t="n">
        <v>66070</v>
      </c>
      <c r="B66071">
        <f>TEXT(66070, "[$-0E0000]yyyy-mm-dd")</f>
        <v/>
      </c>
      <c r="C66071" t="inlineStr">
        <is>
          <t>2080-10-11</t>
        </is>
      </c>
    </row>
    <row r="66072">
      <c r="A66072" s="1" t="n">
        <v>66071</v>
      </c>
      <c r="B66072">
        <f>TEXT(66071, "[$-0E0000]yyyy-mm-dd")</f>
        <v/>
      </c>
      <c r="C66072" t="inlineStr">
        <is>
          <t>2080-10-12</t>
        </is>
      </c>
    </row>
    <row r="66073">
      <c r="A66073" s="1" t="n">
        <v>66072</v>
      </c>
      <c r="B66073">
        <f>TEXT(66072, "[$-0E0000]yyyy-mm-dd")</f>
        <v/>
      </c>
      <c r="C66073" t="inlineStr">
        <is>
          <t>2080-10-13</t>
        </is>
      </c>
    </row>
    <row r="66074">
      <c r="A66074" s="1" t="n">
        <v>66073</v>
      </c>
      <c r="B66074">
        <f>TEXT(66073, "[$-0E0000]yyyy-mm-dd")</f>
        <v/>
      </c>
      <c r="C66074" t="inlineStr">
        <is>
          <t>2080-10-14</t>
        </is>
      </c>
    </row>
    <row r="66075">
      <c r="A66075" s="1" t="n">
        <v>66074</v>
      </c>
      <c r="B66075">
        <f>TEXT(66074, "[$-0E0000]yyyy-mm-dd")</f>
        <v/>
      </c>
      <c r="C66075" t="inlineStr">
        <is>
          <t>2080-10-15</t>
        </is>
      </c>
    </row>
    <row r="66076">
      <c r="A66076" s="1" t="n">
        <v>66075</v>
      </c>
      <c r="B66076">
        <f>TEXT(66075, "[$-0E0000]yyyy-mm-dd")</f>
        <v/>
      </c>
      <c r="C66076" t="inlineStr">
        <is>
          <t>2080-10-16</t>
        </is>
      </c>
    </row>
    <row r="66077">
      <c r="A66077" s="1" t="n">
        <v>66076</v>
      </c>
      <c r="B66077">
        <f>TEXT(66076, "[$-0E0000]yyyy-mm-dd")</f>
        <v/>
      </c>
      <c r="C66077" t="inlineStr">
        <is>
          <t>2080-10-17</t>
        </is>
      </c>
    </row>
    <row r="66078">
      <c r="A66078" s="1" t="n">
        <v>66077</v>
      </c>
      <c r="B66078">
        <f>TEXT(66077, "[$-0E0000]yyyy-mm-dd")</f>
        <v/>
      </c>
      <c r="C66078" t="inlineStr">
        <is>
          <t>2080-10-18</t>
        </is>
      </c>
    </row>
    <row r="66079">
      <c r="A66079" s="1" t="n">
        <v>66078</v>
      </c>
      <c r="B66079">
        <f>TEXT(66078, "[$-0E0000]yyyy-mm-dd")</f>
        <v/>
      </c>
      <c r="C66079" t="inlineStr">
        <is>
          <t>2080-10-19</t>
        </is>
      </c>
    </row>
    <row r="66080">
      <c r="A66080" s="1" t="n">
        <v>66079</v>
      </c>
      <c r="B66080">
        <f>TEXT(66079, "[$-0E0000]yyyy-mm-dd")</f>
        <v/>
      </c>
      <c r="C66080" t="inlineStr">
        <is>
          <t>2080-10-20</t>
        </is>
      </c>
    </row>
    <row r="66081">
      <c r="A66081" s="1" t="n">
        <v>66080</v>
      </c>
      <c r="B66081">
        <f>TEXT(66080, "[$-0E0000]yyyy-mm-dd")</f>
        <v/>
      </c>
      <c r="C66081" t="inlineStr">
        <is>
          <t>2080-10-21</t>
        </is>
      </c>
    </row>
    <row r="66082">
      <c r="A66082" s="1" t="n">
        <v>66081</v>
      </c>
      <c r="B66082">
        <f>TEXT(66081, "[$-0E0000]yyyy-mm-dd")</f>
        <v/>
      </c>
      <c r="C66082" t="inlineStr">
        <is>
          <t>2080-10-22</t>
        </is>
      </c>
    </row>
    <row r="66083">
      <c r="A66083" s="1" t="n">
        <v>66082</v>
      </c>
      <c r="B66083">
        <f>TEXT(66082, "[$-0E0000]yyyy-mm-dd")</f>
        <v/>
      </c>
      <c r="C66083" t="inlineStr">
        <is>
          <t>2080-10-23</t>
        </is>
      </c>
    </row>
    <row r="66084">
      <c r="A66084" s="1" t="n">
        <v>66083</v>
      </c>
      <c r="B66084">
        <f>TEXT(66083, "[$-0E0000]yyyy-mm-dd")</f>
        <v/>
      </c>
      <c r="C66084" t="inlineStr">
        <is>
          <t>2080-10-24</t>
        </is>
      </c>
    </row>
    <row r="66085">
      <c r="A66085" s="1" t="n">
        <v>66084</v>
      </c>
      <c r="B66085">
        <f>TEXT(66084, "[$-0E0000]yyyy-mm-dd")</f>
        <v/>
      </c>
      <c r="C66085" t="inlineStr">
        <is>
          <t>2080-10-25</t>
        </is>
      </c>
    </row>
    <row r="66086">
      <c r="A66086" s="1" t="n">
        <v>66085</v>
      </c>
      <c r="B66086">
        <f>TEXT(66085, "[$-0E0000]yyyy-mm-dd")</f>
        <v/>
      </c>
      <c r="C66086" t="inlineStr">
        <is>
          <t>2080-10-26</t>
        </is>
      </c>
    </row>
    <row r="66087">
      <c r="A66087" s="1" t="n">
        <v>66086</v>
      </c>
      <c r="B66087">
        <f>TEXT(66086, "[$-0E0000]yyyy-mm-dd")</f>
        <v/>
      </c>
      <c r="C66087" t="inlineStr">
        <is>
          <t>2080-10-27</t>
        </is>
      </c>
    </row>
    <row r="66088">
      <c r="A66088" s="1" t="n">
        <v>66087</v>
      </c>
      <c r="B66088">
        <f>TEXT(66087, "[$-0E0000]yyyy-mm-dd")</f>
        <v/>
      </c>
      <c r="C66088" t="inlineStr">
        <is>
          <t>2080-10-28</t>
        </is>
      </c>
    </row>
    <row r="66089">
      <c r="A66089" s="1" t="n">
        <v>66088</v>
      </c>
      <c r="B66089">
        <f>TEXT(66088, "[$-0E0000]yyyy-mm-dd")</f>
        <v/>
      </c>
      <c r="C66089" t="inlineStr">
        <is>
          <t>2080-10-29</t>
        </is>
      </c>
    </row>
    <row r="66090">
      <c r="A66090" s="1" t="n">
        <v>66089</v>
      </c>
      <c r="B66090">
        <f>TEXT(66089, "[$-0E0000]yyyy-mm-dd")</f>
        <v/>
      </c>
      <c r="C66090" t="inlineStr">
        <is>
          <t>2080-10-30</t>
        </is>
      </c>
    </row>
    <row r="66091">
      <c r="A66091" s="1" t="n">
        <v>66090</v>
      </c>
      <c r="B66091">
        <f>TEXT(66090, "[$-0E0000]yyyy-mm-dd")</f>
        <v/>
      </c>
      <c r="C66091" t="inlineStr">
        <is>
          <t>2080-11-01</t>
        </is>
      </c>
    </row>
    <row r="66092">
      <c r="A66092" s="1" t="n">
        <v>66091</v>
      </c>
      <c r="B66092">
        <f>TEXT(66091, "[$-0E0000]yyyy-mm-dd")</f>
        <v/>
      </c>
      <c r="C66092" t="inlineStr">
        <is>
          <t>2080-11-02</t>
        </is>
      </c>
    </row>
    <row r="66093">
      <c r="A66093" s="1" t="n">
        <v>66092</v>
      </c>
      <c r="B66093">
        <f>TEXT(66092, "[$-0E0000]yyyy-mm-dd")</f>
        <v/>
      </c>
      <c r="C66093" t="inlineStr">
        <is>
          <t>2080-11-03</t>
        </is>
      </c>
    </row>
    <row r="66094">
      <c r="A66094" s="1" t="n">
        <v>66093</v>
      </c>
      <c r="B66094">
        <f>TEXT(66093, "[$-0E0000]yyyy-mm-dd")</f>
        <v/>
      </c>
      <c r="C66094" t="inlineStr">
        <is>
          <t>2080-11-04</t>
        </is>
      </c>
    </row>
    <row r="66095">
      <c r="A66095" s="1" t="n">
        <v>66094</v>
      </c>
      <c r="B66095">
        <f>TEXT(66094, "[$-0E0000]yyyy-mm-dd")</f>
        <v/>
      </c>
      <c r="C66095" t="inlineStr">
        <is>
          <t>2080-11-05</t>
        </is>
      </c>
    </row>
    <row r="66096">
      <c r="A66096" s="1" t="n">
        <v>66095</v>
      </c>
      <c r="B66096">
        <f>TEXT(66095, "[$-0E0000]yyyy-mm-dd")</f>
        <v/>
      </c>
      <c r="C66096" t="inlineStr">
        <is>
          <t>2080-11-06</t>
        </is>
      </c>
    </row>
    <row r="66097">
      <c r="A66097" s="1" t="n">
        <v>66096</v>
      </c>
      <c r="B66097">
        <f>TEXT(66096, "[$-0E0000]yyyy-mm-dd")</f>
        <v/>
      </c>
      <c r="C66097" t="inlineStr">
        <is>
          <t>2080-11-07</t>
        </is>
      </c>
    </row>
    <row r="66098">
      <c r="A66098" s="1" t="n">
        <v>66097</v>
      </c>
      <c r="B66098">
        <f>TEXT(66097, "[$-0E0000]yyyy-mm-dd")</f>
        <v/>
      </c>
      <c r="C66098" t="inlineStr">
        <is>
          <t>2080-11-08</t>
        </is>
      </c>
    </row>
    <row r="66099">
      <c r="A66099" s="1" t="n">
        <v>66098</v>
      </c>
      <c r="B66099">
        <f>TEXT(66098, "[$-0E0000]yyyy-mm-dd")</f>
        <v/>
      </c>
      <c r="C66099" t="inlineStr">
        <is>
          <t>2080-11-09</t>
        </is>
      </c>
    </row>
    <row r="66100">
      <c r="A66100" s="1" t="n">
        <v>66099</v>
      </c>
      <c r="B66100">
        <f>TEXT(66099, "[$-0E0000]yyyy-mm-dd")</f>
        <v/>
      </c>
      <c r="C66100" t="inlineStr">
        <is>
          <t>2080-11-10</t>
        </is>
      </c>
    </row>
    <row r="66101">
      <c r="A66101" s="1" t="n">
        <v>66100</v>
      </c>
      <c r="B66101">
        <f>TEXT(66100, "[$-0E0000]yyyy-mm-dd")</f>
        <v/>
      </c>
      <c r="C66101" t="inlineStr">
        <is>
          <t>2080-11-11</t>
        </is>
      </c>
    </row>
    <row r="66102">
      <c r="A66102" s="1" t="n">
        <v>66101</v>
      </c>
      <c r="B66102">
        <f>TEXT(66101, "[$-0E0000]yyyy-mm-dd")</f>
        <v/>
      </c>
      <c r="C66102" t="inlineStr">
        <is>
          <t>2080-11-12</t>
        </is>
      </c>
    </row>
    <row r="66103">
      <c r="A66103" s="1" t="n">
        <v>66102</v>
      </c>
      <c r="B66103">
        <f>TEXT(66102, "[$-0E0000]yyyy-mm-dd")</f>
        <v/>
      </c>
      <c r="C66103" t="inlineStr">
        <is>
          <t>2080-11-13</t>
        </is>
      </c>
    </row>
    <row r="66104">
      <c r="A66104" s="1" t="n">
        <v>66103</v>
      </c>
      <c r="B66104">
        <f>TEXT(66103, "[$-0E0000]yyyy-mm-dd")</f>
        <v/>
      </c>
      <c r="C66104" t="inlineStr">
        <is>
          <t>2080-11-14</t>
        </is>
      </c>
    </row>
    <row r="66105">
      <c r="A66105" s="1" t="n">
        <v>66104</v>
      </c>
      <c r="B66105">
        <f>TEXT(66104, "[$-0E0000]yyyy-mm-dd")</f>
        <v/>
      </c>
      <c r="C66105" t="inlineStr">
        <is>
          <t>2080-11-15</t>
        </is>
      </c>
    </row>
    <row r="66106">
      <c r="A66106" s="1" t="n">
        <v>66105</v>
      </c>
      <c r="B66106">
        <f>TEXT(66105, "[$-0E0000]yyyy-mm-dd")</f>
        <v/>
      </c>
      <c r="C66106" t="inlineStr">
        <is>
          <t>2080-11-16</t>
        </is>
      </c>
    </row>
    <row r="66107">
      <c r="A66107" s="1" t="n">
        <v>66106</v>
      </c>
      <c r="B66107">
        <f>TEXT(66106, "[$-0E0000]yyyy-mm-dd")</f>
        <v/>
      </c>
      <c r="C66107" t="inlineStr">
        <is>
          <t>2080-11-17</t>
        </is>
      </c>
    </row>
    <row r="66108">
      <c r="A66108" s="1" t="n">
        <v>66107</v>
      </c>
      <c r="B66108">
        <f>TEXT(66107, "[$-0E0000]yyyy-mm-dd")</f>
        <v/>
      </c>
      <c r="C66108" t="inlineStr">
        <is>
          <t>2080-11-18</t>
        </is>
      </c>
    </row>
    <row r="66109">
      <c r="A66109" s="1" t="n">
        <v>66108</v>
      </c>
      <c r="B66109">
        <f>TEXT(66108, "[$-0E0000]yyyy-mm-dd")</f>
        <v/>
      </c>
      <c r="C66109" t="inlineStr">
        <is>
          <t>2080-11-19</t>
        </is>
      </c>
    </row>
    <row r="66110">
      <c r="A66110" s="1" t="n">
        <v>66109</v>
      </c>
      <c r="B66110">
        <f>TEXT(66109, "[$-0E0000]yyyy-mm-dd")</f>
        <v/>
      </c>
      <c r="C66110" t="inlineStr">
        <is>
          <t>2080-11-20</t>
        </is>
      </c>
    </row>
    <row r="66111">
      <c r="A66111" s="1" t="n">
        <v>66110</v>
      </c>
      <c r="B66111">
        <f>TEXT(66110, "[$-0E0000]yyyy-mm-dd")</f>
        <v/>
      </c>
      <c r="C66111" t="inlineStr">
        <is>
          <t>2080-11-21</t>
        </is>
      </c>
    </row>
    <row r="66112">
      <c r="A66112" s="1" t="n">
        <v>66111</v>
      </c>
      <c r="B66112">
        <f>TEXT(66111, "[$-0E0000]yyyy-mm-dd")</f>
        <v/>
      </c>
      <c r="C66112" t="inlineStr">
        <is>
          <t>2080-11-22</t>
        </is>
      </c>
    </row>
    <row r="66113">
      <c r="A66113" s="1" t="n">
        <v>66112</v>
      </c>
      <c r="B66113">
        <f>TEXT(66112, "[$-0E0000]yyyy-mm-dd")</f>
        <v/>
      </c>
      <c r="C66113" t="inlineStr">
        <is>
          <t>2080-11-23</t>
        </is>
      </c>
    </row>
    <row r="66114">
      <c r="A66114" s="1" t="n">
        <v>66113</v>
      </c>
      <c r="B66114">
        <f>TEXT(66113, "[$-0E0000]yyyy-mm-dd")</f>
        <v/>
      </c>
      <c r="C66114" t="inlineStr">
        <is>
          <t>2080-11-24</t>
        </is>
      </c>
    </row>
    <row r="66115">
      <c r="A66115" s="1" t="n">
        <v>66114</v>
      </c>
      <c r="B66115">
        <f>TEXT(66114, "[$-0E0000]yyyy-mm-dd")</f>
        <v/>
      </c>
      <c r="C66115" t="inlineStr">
        <is>
          <t>2080-11-25</t>
        </is>
      </c>
    </row>
    <row r="66116">
      <c r="A66116" s="1" t="n">
        <v>66115</v>
      </c>
      <c r="B66116">
        <f>TEXT(66115, "[$-0E0000]yyyy-mm-dd")</f>
        <v/>
      </c>
      <c r="C66116" t="inlineStr">
        <is>
          <t>2080-11-26</t>
        </is>
      </c>
    </row>
    <row r="66117">
      <c r="A66117" s="1" t="n">
        <v>66116</v>
      </c>
      <c r="B66117">
        <f>TEXT(66116, "[$-0E0000]yyyy-mm-dd")</f>
        <v/>
      </c>
      <c r="C66117" t="inlineStr">
        <is>
          <t>2080-11-27</t>
        </is>
      </c>
    </row>
    <row r="66118">
      <c r="A66118" s="1" t="n">
        <v>66117</v>
      </c>
      <c r="B66118">
        <f>TEXT(66117, "[$-0E0000]yyyy-mm-dd")</f>
        <v/>
      </c>
      <c r="C66118" t="inlineStr">
        <is>
          <t>2080-11-28</t>
        </is>
      </c>
    </row>
    <row r="66119">
      <c r="A66119" s="1" t="n">
        <v>66118</v>
      </c>
      <c r="B66119">
        <f>TEXT(66118, "[$-0E0000]yyyy-mm-dd")</f>
        <v/>
      </c>
      <c r="C66119" t="inlineStr">
        <is>
          <t>2080-11-29</t>
        </is>
      </c>
    </row>
    <row r="66120">
      <c r="A66120" s="1" t="n">
        <v>66119</v>
      </c>
      <c r="B66120">
        <f>TEXT(66119, "[$-0E0000]yyyy-mm-dd")</f>
        <v/>
      </c>
      <c r="C66120" t="inlineStr">
        <is>
          <t>2080-11-30</t>
        </is>
      </c>
    </row>
    <row r="66121">
      <c r="A66121" s="1" t="n">
        <v>66120</v>
      </c>
      <c r="B66121">
        <f>TEXT(66120, "[$-0E0000]yyyy-mm-dd")</f>
        <v/>
      </c>
      <c r="C66121" t="inlineStr">
        <is>
          <t>2080-12-01</t>
        </is>
      </c>
    </row>
    <row r="66122">
      <c r="A66122" s="1" t="n">
        <v>66121</v>
      </c>
      <c r="B66122">
        <f>TEXT(66121, "[$-0E0000]yyyy-mm-dd")</f>
        <v/>
      </c>
      <c r="C66122" t="inlineStr">
        <is>
          <t>2080-12-02</t>
        </is>
      </c>
    </row>
    <row r="66123">
      <c r="A66123" s="1" t="n">
        <v>66122</v>
      </c>
      <c r="B66123">
        <f>TEXT(66122, "[$-0E0000]yyyy-mm-dd")</f>
        <v/>
      </c>
      <c r="C66123" t="inlineStr">
        <is>
          <t>2080-12-03</t>
        </is>
      </c>
    </row>
    <row r="66124">
      <c r="A66124" s="1" t="n">
        <v>66123</v>
      </c>
      <c r="B66124">
        <f>TEXT(66123, "[$-0E0000]yyyy-mm-dd")</f>
        <v/>
      </c>
      <c r="C66124" t="inlineStr">
        <is>
          <t>2080-12-04</t>
        </is>
      </c>
    </row>
    <row r="66125">
      <c r="A66125" s="1" t="n">
        <v>66124</v>
      </c>
      <c r="B66125">
        <f>TEXT(66124, "[$-0E0000]yyyy-mm-dd")</f>
        <v/>
      </c>
      <c r="C66125" t="inlineStr">
        <is>
          <t>2080-12-05</t>
        </is>
      </c>
    </row>
    <row r="66126">
      <c r="A66126" s="1" t="n">
        <v>66125</v>
      </c>
      <c r="B66126">
        <f>TEXT(66125, "[$-0E0000]yyyy-mm-dd")</f>
        <v/>
      </c>
      <c r="C66126" t="inlineStr">
        <is>
          <t>2080-12-06</t>
        </is>
      </c>
    </row>
    <row r="66127">
      <c r="A66127" s="1" t="n">
        <v>66126</v>
      </c>
      <c r="B66127">
        <f>TEXT(66126, "[$-0E0000]yyyy-mm-dd")</f>
        <v/>
      </c>
      <c r="C66127" t="inlineStr">
        <is>
          <t>2080-12-07</t>
        </is>
      </c>
    </row>
    <row r="66128">
      <c r="A66128" s="1" t="n">
        <v>66127</v>
      </c>
      <c r="B66128">
        <f>TEXT(66127, "[$-0E0000]yyyy-mm-dd")</f>
        <v/>
      </c>
      <c r="C66128" t="inlineStr">
        <is>
          <t>2080-12-08</t>
        </is>
      </c>
    </row>
    <row r="66129">
      <c r="A66129" s="1" t="n">
        <v>66128</v>
      </c>
      <c r="B66129">
        <f>TEXT(66128, "[$-0E0000]yyyy-mm-dd")</f>
        <v/>
      </c>
      <c r="C66129" t="inlineStr">
        <is>
          <t>2080-12-09</t>
        </is>
      </c>
    </row>
    <row r="66130">
      <c r="A66130" s="1" t="n">
        <v>66129</v>
      </c>
      <c r="B66130">
        <f>TEXT(66129, "[$-0E0000]yyyy-mm-dd")</f>
        <v/>
      </c>
      <c r="C66130" t="inlineStr">
        <is>
          <t>2080-12-10</t>
        </is>
      </c>
    </row>
    <row r="66131">
      <c r="A66131" s="1" t="n">
        <v>66130</v>
      </c>
      <c r="B66131">
        <f>TEXT(66130, "[$-0E0000]yyyy-mm-dd")</f>
        <v/>
      </c>
      <c r="C66131" t="inlineStr">
        <is>
          <t>2080-12-11</t>
        </is>
      </c>
    </row>
    <row r="66132">
      <c r="A66132" s="1" t="n">
        <v>66131</v>
      </c>
      <c r="B66132">
        <f>TEXT(66131, "[$-0E0000]yyyy-mm-dd")</f>
        <v/>
      </c>
      <c r="C66132" t="inlineStr">
        <is>
          <t>2080-12-12</t>
        </is>
      </c>
    </row>
    <row r="66133">
      <c r="A66133" s="1" t="n">
        <v>66132</v>
      </c>
      <c r="B66133">
        <f>TEXT(66132, "[$-0E0000]yyyy-mm-dd")</f>
        <v/>
      </c>
      <c r="C66133" t="inlineStr">
        <is>
          <t>2080-12-13</t>
        </is>
      </c>
    </row>
    <row r="66134">
      <c r="A66134" s="1" t="n">
        <v>66133</v>
      </c>
      <c r="B66134">
        <f>TEXT(66133, "[$-0E0000]yyyy-mm-dd")</f>
        <v/>
      </c>
      <c r="C66134" t="inlineStr">
        <is>
          <t>2080-12-14</t>
        </is>
      </c>
    </row>
    <row r="66135">
      <c r="A66135" s="1" t="n">
        <v>66134</v>
      </c>
      <c r="B66135">
        <f>TEXT(66134, "[$-0E0000]yyyy-mm-dd")</f>
        <v/>
      </c>
      <c r="C66135" t="inlineStr">
        <is>
          <t>2080-12-15</t>
        </is>
      </c>
    </row>
    <row r="66136">
      <c r="A66136" s="1" t="n">
        <v>66135</v>
      </c>
      <c r="B66136">
        <f>TEXT(66135, "[$-0E0000]yyyy-mm-dd")</f>
        <v/>
      </c>
      <c r="C66136" t="inlineStr">
        <is>
          <t>2080-12-16</t>
        </is>
      </c>
    </row>
    <row r="66137">
      <c r="A66137" s="1" t="n">
        <v>66136</v>
      </c>
      <c r="B66137">
        <f>TEXT(66136, "[$-0E0000]yyyy-mm-dd")</f>
        <v/>
      </c>
      <c r="C66137" t="inlineStr">
        <is>
          <t>2080-12-17</t>
        </is>
      </c>
    </row>
    <row r="66138">
      <c r="A66138" s="1" t="n">
        <v>66137</v>
      </c>
      <c r="B66138">
        <f>TEXT(66137, "[$-0E0000]yyyy-mm-dd")</f>
        <v/>
      </c>
      <c r="C66138" t="inlineStr">
        <is>
          <t>2080-12-18</t>
        </is>
      </c>
    </row>
    <row r="66139">
      <c r="A66139" s="1" t="n">
        <v>66138</v>
      </c>
      <c r="B66139">
        <f>TEXT(66138, "[$-0E0000]yyyy-mm-dd")</f>
        <v/>
      </c>
      <c r="C66139" t="inlineStr">
        <is>
          <t>2080-12-19</t>
        </is>
      </c>
    </row>
    <row r="66140">
      <c r="A66140" s="1" t="n">
        <v>66139</v>
      </c>
      <c r="B66140">
        <f>TEXT(66139, "[$-0E0000]yyyy-mm-dd")</f>
        <v/>
      </c>
      <c r="C66140" t="inlineStr">
        <is>
          <t>2080-12-20</t>
        </is>
      </c>
    </row>
    <row r="66141">
      <c r="A66141" s="1" t="n">
        <v>66140</v>
      </c>
      <c r="B66141">
        <f>TEXT(66140, "[$-0E0000]yyyy-mm-dd")</f>
        <v/>
      </c>
      <c r="C66141" t="inlineStr">
        <is>
          <t>2080-12-21</t>
        </is>
      </c>
    </row>
    <row r="66142">
      <c r="A66142" s="1" t="n">
        <v>66141</v>
      </c>
      <c r="B66142">
        <f>TEXT(66141, "[$-0E0000]yyyy-mm-dd")</f>
        <v/>
      </c>
      <c r="C66142" t="inlineStr">
        <is>
          <t>2080-12-22</t>
        </is>
      </c>
    </row>
    <row r="66143">
      <c r="A66143" s="1" t="n">
        <v>66142</v>
      </c>
      <c r="B66143">
        <f>TEXT(66142, "[$-0E0000]yyyy-mm-dd")</f>
        <v/>
      </c>
      <c r="C66143" t="inlineStr">
        <is>
          <t>2080-12-23</t>
        </is>
      </c>
    </row>
    <row r="66144">
      <c r="A66144" s="1" t="n">
        <v>66143</v>
      </c>
      <c r="B66144">
        <f>TEXT(66143, "[$-0E0000]yyyy-mm-dd")</f>
        <v/>
      </c>
      <c r="C66144" t="inlineStr">
        <is>
          <t>2080-12-24</t>
        </is>
      </c>
    </row>
    <row r="66145">
      <c r="A66145" s="1" t="n">
        <v>66144</v>
      </c>
      <c r="B66145">
        <f>TEXT(66144, "[$-0E0000]yyyy-mm-dd")</f>
        <v/>
      </c>
      <c r="C66145" t="inlineStr">
        <is>
          <t>2080-12-25</t>
        </is>
      </c>
    </row>
    <row r="66146">
      <c r="A66146" s="1" t="n">
        <v>66145</v>
      </c>
      <c r="B66146">
        <f>TEXT(66145, "[$-0E0000]yyyy-mm-dd")</f>
        <v/>
      </c>
      <c r="C66146" t="inlineStr">
        <is>
          <t>2080-12-26</t>
        </is>
      </c>
    </row>
    <row r="66147">
      <c r="A66147" s="1" t="n">
        <v>66146</v>
      </c>
      <c r="B66147">
        <f>TEXT(66146, "[$-0E0000]yyyy-mm-dd")</f>
        <v/>
      </c>
      <c r="C66147" t="inlineStr">
        <is>
          <t>2080-12-27</t>
        </is>
      </c>
    </row>
    <row r="66148">
      <c r="A66148" s="1" t="n">
        <v>66147</v>
      </c>
      <c r="B66148">
        <f>TEXT(66147, "[$-0E0000]yyyy-mm-dd")</f>
        <v/>
      </c>
      <c r="C66148" t="inlineStr">
        <is>
          <t>2080-12-28</t>
        </is>
      </c>
    </row>
    <row r="66149">
      <c r="A66149" s="1" t="n">
        <v>66148</v>
      </c>
      <c r="B66149">
        <f>TEXT(66148, "[$-0E0000]yyyy-mm-dd")</f>
        <v/>
      </c>
      <c r="C66149" t="inlineStr">
        <is>
          <t>2080-12-29</t>
        </is>
      </c>
    </row>
    <row r="66150">
      <c r="A66150" s="1" t="n">
        <v>66149</v>
      </c>
      <c r="B66150">
        <f>TEXT(66149, "[$-0E0000]yyyy-mm-dd")</f>
        <v/>
      </c>
      <c r="C66150" t="inlineStr">
        <is>
          <t>2080-12-30</t>
        </is>
      </c>
    </row>
    <row r="66151">
      <c r="A66151" s="1" t="n">
        <v>66150</v>
      </c>
      <c r="B66151">
        <f>TEXT(66150, "[$-0E0000]yyyy-mm-dd")</f>
        <v/>
      </c>
      <c r="C66151" t="inlineStr">
        <is>
          <t>2081-01-01</t>
        </is>
      </c>
    </row>
    <row r="66152">
      <c r="A66152" s="1" t="n">
        <v>66151</v>
      </c>
      <c r="B66152">
        <f>TEXT(66151, "[$-0E0000]yyyy-mm-dd")</f>
        <v/>
      </c>
      <c r="C66152" t="inlineStr">
        <is>
          <t>2081-01-02</t>
        </is>
      </c>
    </row>
    <row r="66153">
      <c r="A66153" s="1" t="n">
        <v>66152</v>
      </c>
      <c r="B66153">
        <f>TEXT(66152, "[$-0E0000]yyyy-mm-dd")</f>
        <v/>
      </c>
      <c r="C66153" t="inlineStr">
        <is>
          <t>2081-01-03</t>
        </is>
      </c>
    </row>
    <row r="66154">
      <c r="A66154" s="1" t="n">
        <v>66153</v>
      </c>
      <c r="B66154">
        <f>TEXT(66153, "[$-0E0000]yyyy-mm-dd")</f>
        <v/>
      </c>
      <c r="C66154" t="inlineStr">
        <is>
          <t>2081-01-04</t>
        </is>
      </c>
    </row>
    <row r="66155">
      <c r="A66155" s="1" t="n">
        <v>66154</v>
      </c>
      <c r="B66155">
        <f>TEXT(66154, "[$-0E0000]yyyy-mm-dd")</f>
        <v/>
      </c>
      <c r="C66155" t="inlineStr">
        <is>
          <t>2081-01-05</t>
        </is>
      </c>
    </row>
    <row r="66156">
      <c r="A66156" s="1" t="n">
        <v>66155</v>
      </c>
      <c r="B66156">
        <f>TEXT(66155, "[$-0E0000]yyyy-mm-dd")</f>
        <v/>
      </c>
      <c r="C66156" t="inlineStr">
        <is>
          <t>2081-01-06</t>
        </is>
      </c>
    </row>
    <row r="66157">
      <c r="A66157" s="1" t="n">
        <v>66156</v>
      </c>
      <c r="B66157">
        <f>TEXT(66156, "[$-0E0000]yyyy-mm-dd")</f>
        <v/>
      </c>
      <c r="C66157" t="inlineStr">
        <is>
          <t>2081-01-07</t>
        </is>
      </c>
    </row>
    <row r="66158">
      <c r="A66158" s="1" t="n">
        <v>66157</v>
      </c>
      <c r="B66158">
        <f>TEXT(66157, "[$-0E0000]yyyy-mm-dd")</f>
        <v/>
      </c>
      <c r="C66158" t="inlineStr">
        <is>
          <t>2081-01-08</t>
        </is>
      </c>
    </row>
    <row r="66159">
      <c r="A66159" s="1" t="n">
        <v>66158</v>
      </c>
      <c r="B66159">
        <f>TEXT(66158, "[$-0E0000]yyyy-mm-dd")</f>
        <v/>
      </c>
      <c r="C66159" t="inlineStr">
        <is>
          <t>2081-01-09</t>
        </is>
      </c>
    </row>
    <row r="66160">
      <c r="A66160" s="1" t="n">
        <v>66159</v>
      </c>
      <c r="B66160">
        <f>TEXT(66159, "[$-0E0000]yyyy-mm-dd")</f>
        <v/>
      </c>
      <c r="C66160" t="inlineStr">
        <is>
          <t>2081-01-10</t>
        </is>
      </c>
    </row>
    <row r="66161">
      <c r="A66161" s="1" t="n">
        <v>66160</v>
      </c>
      <c r="B66161">
        <f>TEXT(66160, "[$-0E0000]yyyy-mm-dd")</f>
        <v/>
      </c>
      <c r="C66161" t="inlineStr">
        <is>
          <t>2081-01-11</t>
        </is>
      </c>
    </row>
    <row r="66162">
      <c r="A66162" s="1" t="n">
        <v>66161</v>
      </c>
      <c r="B66162">
        <f>TEXT(66161, "[$-0E0000]yyyy-mm-dd")</f>
        <v/>
      </c>
      <c r="C66162" t="inlineStr">
        <is>
          <t>2081-01-12</t>
        </is>
      </c>
    </row>
    <row r="66163">
      <c r="A66163" s="1" t="n">
        <v>66162</v>
      </c>
      <c r="B66163">
        <f>TEXT(66162, "[$-0E0000]yyyy-mm-dd")</f>
        <v/>
      </c>
      <c r="C66163" t="inlineStr">
        <is>
          <t>2081-01-13</t>
        </is>
      </c>
    </row>
    <row r="66164">
      <c r="A66164" s="1" t="n">
        <v>66163</v>
      </c>
      <c r="B66164">
        <f>TEXT(66163, "[$-0E0000]yyyy-mm-dd")</f>
        <v/>
      </c>
      <c r="C66164" t="inlineStr">
        <is>
          <t>2081-01-14</t>
        </is>
      </c>
    </row>
    <row r="66165">
      <c r="A66165" s="1" t="n">
        <v>66164</v>
      </c>
      <c r="B66165">
        <f>TEXT(66164, "[$-0E0000]yyyy-mm-dd")</f>
        <v/>
      </c>
      <c r="C66165" t="inlineStr">
        <is>
          <t>2081-01-15</t>
        </is>
      </c>
    </row>
    <row r="66166">
      <c r="A66166" s="1" t="n">
        <v>66165</v>
      </c>
      <c r="B66166">
        <f>TEXT(66165, "[$-0E0000]yyyy-mm-dd")</f>
        <v/>
      </c>
      <c r="C66166" t="inlineStr">
        <is>
          <t>2081-01-16</t>
        </is>
      </c>
    </row>
    <row r="66167">
      <c r="A66167" s="1" t="n">
        <v>66166</v>
      </c>
      <c r="B66167">
        <f>TEXT(66166, "[$-0E0000]yyyy-mm-dd")</f>
        <v/>
      </c>
      <c r="C66167" t="inlineStr">
        <is>
          <t>2081-01-17</t>
        </is>
      </c>
    </row>
    <row r="66168">
      <c r="A66168" s="1" t="n">
        <v>66167</v>
      </c>
      <c r="B66168">
        <f>TEXT(66167, "[$-0E0000]yyyy-mm-dd")</f>
        <v/>
      </c>
      <c r="C66168" t="inlineStr">
        <is>
          <t>2081-01-18</t>
        </is>
      </c>
    </row>
    <row r="66169">
      <c r="A66169" s="1" t="n">
        <v>66168</v>
      </c>
      <c r="B66169">
        <f>TEXT(66168, "[$-0E0000]yyyy-mm-dd")</f>
        <v/>
      </c>
      <c r="C66169" t="inlineStr">
        <is>
          <t>2081-01-19</t>
        </is>
      </c>
    </row>
    <row r="66170">
      <c r="A66170" s="1" t="n">
        <v>66169</v>
      </c>
      <c r="B66170">
        <f>TEXT(66169, "[$-0E0000]yyyy-mm-dd")</f>
        <v/>
      </c>
      <c r="C66170" t="inlineStr">
        <is>
          <t>2081-01-20</t>
        </is>
      </c>
    </row>
    <row r="66171">
      <c r="A66171" s="1" t="n">
        <v>66170</v>
      </c>
      <c r="B66171">
        <f>TEXT(66170, "[$-0E0000]yyyy-mm-dd")</f>
        <v/>
      </c>
      <c r="C66171" t="inlineStr">
        <is>
          <t>2081-01-21</t>
        </is>
      </c>
    </row>
    <row r="66172">
      <c r="A66172" s="1" t="n">
        <v>66171</v>
      </c>
      <c r="B66172">
        <f>TEXT(66171, "[$-0E0000]yyyy-mm-dd")</f>
        <v/>
      </c>
      <c r="C66172" t="inlineStr">
        <is>
          <t>2081-01-22</t>
        </is>
      </c>
    </row>
    <row r="66173">
      <c r="A66173" s="1" t="n">
        <v>66172</v>
      </c>
      <c r="B66173">
        <f>TEXT(66172, "[$-0E0000]yyyy-mm-dd")</f>
        <v/>
      </c>
      <c r="C66173" t="inlineStr">
        <is>
          <t>2081-01-23</t>
        </is>
      </c>
    </row>
    <row r="66174">
      <c r="A66174" s="1" t="n">
        <v>66173</v>
      </c>
      <c r="B66174">
        <f>TEXT(66173, "[$-0E0000]yyyy-mm-dd")</f>
        <v/>
      </c>
      <c r="C66174" t="inlineStr">
        <is>
          <t>2081-01-24</t>
        </is>
      </c>
    </row>
    <row r="66175">
      <c r="A66175" s="1" t="n">
        <v>66174</v>
      </c>
      <c r="B66175">
        <f>TEXT(66174, "[$-0E0000]yyyy-mm-dd")</f>
        <v/>
      </c>
      <c r="C66175" t="inlineStr">
        <is>
          <t>2081-01-25</t>
        </is>
      </c>
    </row>
    <row r="66176">
      <c r="A66176" s="1" t="n">
        <v>66175</v>
      </c>
      <c r="B66176">
        <f>TEXT(66175, "[$-0E0000]yyyy-mm-dd")</f>
        <v/>
      </c>
      <c r="C66176" t="inlineStr">
        <is>
          <t>2081-01-26</t>
        </is>
      </c>
    </row>
    <row r="66177">
      <c r="A66177" s="1" t="n">
        <v>66176</v>
      </c>
      <c r="B66177">
        <f>TEXT(66176, "[$-0E0000]yyyy-mm-dd")</f>
        <v/>
      </c>
      <c r="C66177" t="inlineStr">
        <is>
          <t>2081-01-27</t>
        </is>
      </c>
    </row>
    <row r="66178">
      <c r="A66178" s="1" t="n">
        <v>66177</v>
      </c>
      <c r="B66178">
        <f>TEXT(66177, "[$-0E0000]yyyy-mm-dd")</f>
        <v/>
      </c>
      <c r="C66178" t="inlineStr">
        <is>
          <t>2081-01-28</t>
        </is>
      </c>
    </row>
    <row r="66179">
      <c r="A66179" s="1" t="n">
        <v>66178</v>
      </c>
      <c r="B66179">
        <f>TEXT(66178, "[$-0E0000]yyyy-mm-dd")</f>
        <v/>
      </c>
      <c r="C66179" t="inlineStr">
        <is>
          <t>2081-01-29</t>
        </is>
      </c>
    </row>
    <row r="66180">
      <c r="A66180" s="1" t="n">
        <v>66179</v>
      </c>
      <c r="B66180">
        <f>TEXT(66179, "[$-0E0000]yyyy-mm-dd")</f>
        <v/>
      </c>
      <c r="C66180" t="inlineStr">
        <is>
          <t>2081-02-01</t>
        </is>
      </c>
    </row>
    <row r="66181">
      <c r="A66181" s="1" t="n">
        <v>66180</v>
      </c>
      <c r="B66181">
        <f>TEXT(66180, "[$-0E0000]yyyy-mm-dd")</f>
        <v/>
      </c>
      <c r="C66181" t="inlineStr">
        <is>
          <t>2081-02-02</t>
        </is>
      </c>
    </row>
    <row r="66182">
      <c r="A66182" s="1" t="n">
        <v>66181</v>
      </c>
      <c r="B66182">
        <f>TEXT(66181, "[$-0E0000]yyyy-mm-dd")</f>
        <v/>
      </c>
      <c r="C66182" t="inlineStr">
        <is>
          <t>2081-02-03</t>
        </is>
      </c>
    </row>
    <row r="66183">
      <c r="A66183" s="1" t="n">
        <v>66182</v>
      </c>
      <c r="B66183">
        <f>TEXT(66182, "[$-0E0000]yyyy-mm-dd")</f>
        <v/>
      </c>
      <c r="C66183" t="inlineStr">
        <is>
          <t>2081-02-04</t>
        </is>
      </c>
    </row>
    <row r="66184">
      <c r="A66184" s="1" t="n">
        <v>66183</v>
      </c>
      <c r="B66184">
        <f>TEXT(66183, "[$-0E0000]yyyy-mm-dd")</f>
        <v/>
      </c>
      <c r="C66184" t="inlineStr">
        <is>
          <t>2081-02-05</t>
        </is>
      </c>
    </row>
    <row r="66185">
      <c r="A66185" s="1" t="n">
        <v>66184</v>
      </c>
      <c r="B66185">
        <f>TEXT(66184, "[$-0E0000]yyyy-mm-dd")</f>
        <v/>
      </c>
      <c r="C66185" t="inlineStr">
        <is>
          <t>2081-02-06</t>
        </is>
      </c>
    </row>
    <row r="66186">
      <c r="A66186" s="1" t="n">
        <v>66185</v>
      </c>
      <c r="B66186">
        <f>TEXT(66185, "[$-0E0000]yyyy-mm-dd")</f>
        <v/>
      </c>
      <c r="C66186" t="inlineStr">
        <is>
          <t>2081-02-07</t>
        </is>
      </c>
    </row>
    <row r="66187">
      <c r="A66187" s="1" t="n">
        <v>66186</v>
      </c>
      <c r="B66187">
        <f>TEXT(66186, "[$-0E0000]yyyy-mm-dd")</f>
        <v/>
      </c>
      <c r="C66187" t="inlineStr">
        <is>
          <t>2081-02-08</t>
        </is>
      </c>
    </row>
    <row r="66188">
      <c r="A66188" s="1" t="n">
        <v>66187</v>
      </c>
      <c r="B66188">
        <f>TEXT(66187, "[$-0E0000]yyyy-mm-dd")</f>
        <v/>
      </c>
      <c r="C66188" t="inlineStr">
        <is>
          <t>2081-02-09</t>
        </is>
      </c>
    </row>
    <row r="66189">
      <c r="A66189" s="1" t="n">
        <v>66188</v>
      </c>
      <c r="B66189">
        <f>TEXT(66188, "[$-0E0000]yyyy-mm-dd")</f>
        <v/>
      </c>
      <c r="C66189" t="inlineStr">
        <is>
          <t>2081-02-10</t>
        </is>
      </c>
    </row>
    <row r="66190">
      <c r="A66190" s="1" t="n">
        <v>66189</v>
      </c>
      <c r="B66190">
        <f>TEXT(66189, "[$-0E0000]yyyy-mm-dd")</f>
        <v/>
      </c>
      <c r="C66190" t="inlineStr">
        <is>
          <t>2081-02-11</t>
        </is>
      </c>
    </row>
    <row r="66191">
      <c r="A66191" s="1" t="n">
        <v>66190</v>
      </c>
      <c r="B66191">
        <f>TEXT(66190, "[$-0E0000]yyyy-mm-dd")</f>
        <v/>
      </c>
      <c r="C66191" t="inlineStr">
        <is>
          <t>2081-02-12</t>
        </is>
      </c>
    </row>
    <row r="66192">
      <c r="A66192" s="1" t="n">
        <v>66191</v>
      </c>
      <c r="B66192">
        <f>TEXT(66191, "[$-0E0000]yyyy-mm-dd")</f>
        <v/>
      </c>
      <c r="C66192" t="inlineStr">
        <is>
          <t>2081-02-13</t>
        </is>
      </c>
    </row>
    <row r="66193">
      <c r="A66193" s="1" t="n">
        <v>66192</v>
      </c>
      <c r="B66193">
        <f>TEXT(66192, "[$-0E0000]yyyy-mm-dd")</f>
        <v/>
      </c>
      <c r="C66193" t="inlineStr">
        <is>
          <t>2081-02-14</t>
        </is>
      </c>
    </row>
    <row r="66194">
      <c r="A66194" s="1" t="n">
        <v>66193</v>
      </c>
      <c r="B66194">
        <f>TEXT(66193, "[$-0E0000]yyyy-mm-dd")</f>
        <v/>
      </c>
      <c r="C66194" t="inlineStr">
        <is>
          <t>2081-02-15</t>
        </is>
      </c>
    </row>
    <row r="66195">
      <c r="A66195" s="1" t="n">
        <v>66194</v>
      </c>
      <c r="B66195">
        <f>TEXT(66194, "[$-0E0000]yyyy-mm-dd")</f>
        <v/>
      </c>
      <c r="C66195" t="inlineStr">
        <is>
          <t>2081-02-16</t>
        </is>
      </c>
    </row>
    <row r="66196">
      <c r="A66196" s="1" t="n">
        <v>66195</v>
      </c>
      <c r="B66196">
        <f>TEXT(66195, "[$-0E0000]yyyy-mm-dd")</f>
        <v/>
      </c>
      <c r="C66196" t="inlineStr">
        <is>
          <t>2081-02-17</t>
        </is>
      </c>
    </row>
    <row r="66197">
      <c r="A66197" s="1" t="n">
        <v>66196</v>
      </c>
      <c r="B66197">
        <f>TEXT(66196, "[$-0E0000]yyyy-mm-dd")</f>
        <v/>
      </c>
      <c r="C66197" t="inlineStr">
        <is>
          <t>2081-02-18</t>
        </is>
      </c>
    </row>
    <row r="66198">
      <c r="A66198" s="1" t="n">
        <v>66197</v>
      </c>
      <c r="B66198">
        <f>TEXT(66197, "[$-0E0000]yyyy-mm-dd")</f>
        <v/>
      </c>
      <c r="C66198" t="inlineStr">
        <is>
          <t>2081-02-19</t>
        </is>
      </c>
    </row>
    <row r="66199">
      <c r="A66199" s="1" t="n">
        <v>66198</v>
      </c>
      <c r="B66199">
        <f>TEXT(66198, "[$-0E0000]yyyy-mm-dd")</f>
        <v/>
      </c>
      <c r="C66199" t="inlineStr">
        <is>
          <t>2081-02-20</t>
        </is>
      </c>
    </row>
    <row r="66200">
      <c r="A66200" s="1" t="n">
        <v>66199</v>
      </c>
      <c r="B66200">
        <f>TEXT(66199, "[$-0E0000]yyyy-mm-dd")</f>
        <v/>
      </c>
      <c r="C66200" t="inlineStr">
        <is>
          <t>2081-02-21</t>
        </is>
      </c>
    </row>
    <row r="66201">
      <c r="A66201" s="1" t="n">
        <v>66200</v>
      </c>
      <c r="B66201">
        <f>TEXT(66200, "[$-0E0000]yyyy-mm-dd")</f>
        <v/>
      </c>
      <c r="C66201" t="inlineStr">
        <is>
          <t>2081-02-22</t>
        </is>
      </c>
    </row>
    <row r="66202">
      <c r="A66202" s="1" t="n">
        <v>66201</v>
      </c>
      <c r="B66202">
        <f>TEXT(66201, "[$-0E0000]yyyy-mm-dd")</f>
        <v/>
      </c>
      <c r="C66202" t="inlineStr">
        <is>
          <t>2081-02-23</t>
        </is>
      </c>
    </row>
    <row r="66203">
      <c r="A66203" s="1" t="n">
        <v>66202</v>
      </c>
      <c r="B66203">
        <f>TEXT(66202, "[$-0E0000]yyyy-mm-dd")</f>
        <v/>
      </c>
      <c r="C66203" t="inlineStr">
        <is>
          <t>2081-02-24</t>
        </is>
      </c>
    </row>
    <row r="66204">
      <c r="A66204" s="1" t="n">
        <v>66203</v>
      </c>
      <c r="B66204">
        <f>TEXT(66203, "[$-0E0000]yyyy-mm-dd")</f>
        <v/>
      </c>
      <c r="C66204" t="inlineStr">
        <is>
          <t>2081-02-25</t>
        </is>
      </c>
    </row>
    <row r="66205">
      <c r="A66205" s="1" t="n">
        <v>66204</v>
      </c>
      <c r="B66205">
        <f>TEXT(66204, "[$-0E0000]yyyy-mm-dd")</f>
        <v/>
      </c>
      <c r="C66205" t="inlineStr">
        <is>
          <t>2081-02-26</t>
        </is>
      </c>
    </row>
    <row r="66206">
      <c r="A66206" s="1" t="n">
        <v>66205</v>
      </c>
      <c r="B66206">
        <f>TEXT(66205, "[$-0E0000]yyyy-mm-dd")</f>
        <v/>
      </c>
      <c r="C66206" t="inlineStr">
        <is>
          <t>2081-02-27</t>
        </is>
      </c>
    </row>
    <row r="66207">
      <c r="A66207" s="1" t="n">
        <v>66206</v>
      </c>
      <c r="B66207">
        <f>TEXT(66206, "[$-0E0000]yyyy-mm-dd")</f>
        <v/>
      </c>
      <c r="C66207" t="inlineStr">
        <is>
          <t>2081-02-28</t>
        </is>
      </c>
    </row>
    <row r="66208">
      <c r="A66208" s="1" t="n">
        <v>66207</v>
      </c>
      <c r="B66208">
        <f>TEXT(66207, "[$-0E0000]yyyy-mm-dd")</f>
        <v/>
      </c>
      <c r="C66208" t="inlineStr">
        <is>
          <t>2081-02-29</t>
        </is>
      </c>
    </row>
    <row r="66209">
      <c r="A66209" s="1" t="n">
        <v>66208</v>
      </c>
      <c r="B66209">
        <f>TEXT(66208, "[$-0E0000]yyyy-mm-dd")</f>
        <v/>
      </c>
      <c r="C66209" t="inlineStr">
        <is>
          <t>2081-02-30</t>
        </is>
      </c>
    </row>
    <row r="66210">
      <c r="A66210" s="1" t="n">
        <v>66209</v>
      </c>
      <c r="B66210">
        <f>TEXT(66209, "[$-0E0000]yyyy-mm-dd")</f>
        <v/>
      </c>
      <c r="C66210" t="inlineStr">
        <is>
          <t>2081-03-01</t>
        </is>
      </c>
    </row>
    <row r="66211">
      <c r="A66211" s="1" t="n">
        <v>66210</v>
      </c>
      <c r="B66211">
        <f>TEXT(66210, "[$-0E0000]yyyy-mm-dd")</f>
        <v/>
      </c>
      <c r="C66211" t="inlineStr">
        <is>
          <t>2081-03-02</t>
        </is>
      </c>
    </row>
    <row r="66212">
      <c r="A66212" s="1" t="n">
        <v>66211</v>
      </c>
      <c r="B66212">
        <f>TEXT(66211, "[$-0E0000]yyyy-mm-dd")</f>
        <v/>
      </c>
      <c r="C66212" t="inlineStr">
        <is>
          <t>2081-03-03</t>
        </is>
      </c>
    </row>
    <row r="66213">
      <c r="A66213" s="1" t="n">
        <v>66212</v>
      </c>
      <c r="B66213">
        <f>TEXT(66212, "[$-0E0000]yyyy-mm-dd")</f>
        <v/>
      </c>
      <c r="C66213" t="inlineStr">
        <is>
          <t>2081-03-04</t>
        </is>
      </c>
    </row>
    <row r="66214">
      <c r="A66214" s="1" t="n">
        <v>66213</v>
      </c>
      <c r="B66214">
        <f>TEXT(66213, "[$-0E0000]yyyy-mm-dd")</f>
        <v/>
      </c>
      <c r="C66214" t="inlineStr">
        <is>
          <t>2081-03-05</t>
        </is>
      </c>
    </row>
    <row r="66215">
      <c r="A66215" s="1" t="n">
        <v>66214</v>
      </c>
      <c r="B66215">
        <f>TEXT(66214, "[$-0E0000]yyyy-mm-dd")</f>
        <v/>
      </c>
      <c r="C66215" t="inlineStr">
        <is>
          <t>2081-03-06</t>
        </is>
      </c>
    </row>
    <row r="66216">
      <c r="A66216" s="1" t="n">
        <v>66215</v>
      </c>
      <c r="B66216">
        <f>TEXT(66215, "[$-0E0000]yyyy-mm-dd")</f>
        <v/>
      </c>
      <c r="C66216" t="inlineStr">
        <is>
          <t>2081-03-07</t>
        </is>
      </c>
    </row>
    <row r="66217">
      <c r="A66217" s="1" t="n">
        <v>66216</v>
      </c>
      <c r="B66217">
        <f>TEXT(66216, "[$-0E0000]yyyy-mm-dd")</f>
        <v/>
      </c>
      <c r="C66217" t="inlineStr">
        <is>
          <t>2081-03-08</t>
        </is>
      </c>
    </row>
    <row r="66218">
      <c r="A66218" s="1" t="n">
        <v>66217</v>
      </c>
      <c r="B66218">
        <f>TEXT(66217, "[$-0E0000]yyyy-mm-dd")</f>
        <v/>
      </c>
      <c r="C66218" t="inlineStr">
        <is>
          <t>2081-03-09</t>
        </is>
      </c>
    </row>
    <row r="66219">
      <c r="A66219" s="1" t="n">
        <v>66218</v>
      </c>
      <c r="B66219">
        <f>TEXT(66218, "[$-0E0000]yyyy-mm-dd")</f>
        <v/>
      </c>
      <c r="C66219" t="inlineStr">
        <is>
          <t>2081-03-10</t>
        </is>
      </c>
    </row>
    <row r="66220">
      <c r="A66220" s="1" t="n">
        <v>66219</v>
      </c>
      <c r="B66220">
        <f>TEXT(66219, "[$-0E0000]yyyy-mm-dd")</f>
        <v/>
      </c>
      <c r="C66220" t="inlineStr">
        <is>
          <t>2081-03-11</t>
        </is>
      </c>
    </row>
    <row r="66221">
      <c r="A66221" s="1" t="n">
        <v>66220</v>
      </c>
      <c r="B66221">
        <f>TEXT(66220, "[$-0E0000]yyyy-mm-dd")</f>
        <v/>
      </c>
      <c r="C66221" t="inlineStr">
        <is>
          <t>2081-03-12</t>
        </is>
      </c>
    </row>
    <row r="66222">
      <c r="A66222" s="1" t="n">
        <v>66221</v>
      </c>
      <c r="B66222">
        <f>TEXT(66221, "[$-0E0000]yyyy-mm-dd")</f>
        <v/>
      </c>
      <c r="C66222" t="inlineStr">
        <is>
          <t>2081-03-13</t>
        </is>
      </c>
    </row>
    <row r="66223">
      <c r="A66223" s="1" t="n">
        <v>66222</v>
      </c>
      <c r="B66223">
        <f>TEXT(66222, "[$-0E0000]yyyy-mm-dd")</f>
        <v/>
      </c>
      <c r="C66223" t="inlineStr">
        <is>
          <t>2081-03-14</t>
        </is>
      </c>
    </row>
    <row r="66224">
      <c r="A66224" s="1" t="n">
        <v>66223</v>
      </c>
      <c r="B66224">
        <f>TEXT(66223, "[$-0E0000]yyyy-mm-dd")</f>
        <v/>
      </c>
      <c r="C66224" t="inlineStr">
        <is>
          <t>2081-03-15</t>
        </is>
      </c>
    </row>
    <row r="66225">
      <c r="A66225" s="1" t="n">
        <v>66224</v>
      </c>
      <c r="B66225">
        <f>TEXT(66224, "[$-0E0000]yyyy-mm-dd")</f>
        <v/>
      </c>
      <c r="C66225" t="inlineStr">
        <is>
          <t>2081-03-16</t>
        </is>
      </c>
    </row>
    <row r="66226">
      <c r="A66226" s="1" t="n">
        <v>66225</v>
      </c>
      <c r="B66226">
        <f>TEXT(66225, "[$-0E0000]yyyy-mm-dd")</f>
        <v/>
      </c>
      <c r="C66226" t="inlineStr">
        <is>
          <t>2081-03-17</t>
        </is>
      </c>
    </row>
    <row r="66227">
      <c r="A66227" s="1" t="n">
        <v>66226</v>
      </c>
      <c r="B66227">
        <f>TEXT(66226, "[$-0E0000]yyyy-mm-dd")</f>
        <v/>
      </c>
      <c r="C66227" t="inlineStr">
        <is>
          <t>2081-03-18</t>
        </is>
      </c>
    </row>
    <row r="66228">
      <c r="A66228" s="1" t="n">
        <v>66227</v>
      </c>
      <c r="B66228">
        <f>TEXT(66227, "[$-0E0000]yyyy-mm-dd")</f>
        <v/>
      </c>
      <c r="C66228" t="inlineStr">
        <is>
          <t>2081-03-19</t>
        </is>
      </c>
    </row>
    <row r="66229">
      <c r="A66229" s="1" t="n">
        <v>66228</v>
      </c>
      <c r="B66229">
        <f>TEXT(66228, "[$-0E0000]yyyy-mm-dd")</f>
        <v/>
      </c>
      <c r="C66229" t="inlineStr">
        <is>
          <t>2081-03-20</t>
        </is>
      </c>
    </row>
    <row r="66230">
      <c r="A66230" s="1" t="n">
        <v>66229</v>
      </c>
      <c r="B66230">
        <f>TEXT(66229, "[$-0E0000]yyyy-mm-dd")</f>
        <v/>
      </c>
      <c r="C66230" t="inlineStr">
        <is>
          <t>2081-03-21</t>
        </is>
      </c>
    </row>
    <row r="66231">
      <c r="A66231" s="1" t="n">
        <v>66230</v>
      </c>
      <c r="B66231">
        <f>TEXT(66230, "[$-0E0000]yyyy-mm-dd")</f>
        <v/>
      </c>
      <c r="C66231" t="inlineStr">
        <is>
          <t>2081-03-22</t>
        </is>
      </c>
    </row>
    <row r="66232">
      <c r="A66232" s="1" t="n">
        <v>66231</v>
      </c>
      <c r="B66232">
        <f>TEXT(66231, "[$-0E0000]yyyy-mm-dd")</f>
        <v/>
      </c>
      <c r="C66232" t="inlineStr">
        <is>
          <t>2081-03-23</t>
        </is>
      </c>
    </row>
    <row r="66233">
      <c r="A66233" s="1" t="n">
        <v>66232</v>
      </c>
      <c r="B66233">
        <f>TEXT(66232, "[$-0E0000]yyyy-mm-dd")</f>
        <v/>
      </c>
      <c r="C66233" t="inlineStr">
        <is>
          <t>2081-03-24</t>
        </is>
      </c>
    </row>
    <row r="66234">
      <c r="A66234" s="1" t="n">
        <v>66233</v>
      </c>
      <c r="B66234">
        <f>TEXT(66233, "[$-0E0000]yyyy-mm-dd")</f>
        <v/>
      </c>
      <c r="C66234" t="inlineStr">
        <is>
          <t>2081-03-25</t>
        </is>
      </c>
    </row>
    <row r="66235">
      <c r="A66235" s="1" t="n">
        <v>66234</v>
      </c>
      <c r="B66235">
        <f>TEXT(66234, "[$-0E0000]yyyy-mm-dd")</f>
        <v/>
      </c>
      <c r="C66235" t="inlineStr">
        <is>
          <t>2081-03-26</t>
        </is>
      </c>
    </row>
    <row r="66236">
      <c r="A66236" s="1" t="n">
        <v>66235</v>
      </c>
      <c r="B66236">
        <f>TEXT(66235, "[$-0E0000]yyyy-mm-dd")</f>
        <v/>
      </c>
      <c r="C66236" t="inlineStr">
        <is>
          <t>2081-03-27</t>
        </is>
      </c>
    </row>
    <row r="66237">
      <c r="A66237" s="1" t="n">
        <v>66236</v>
      </c>
      <c r="B66237">
        <f>TEXT(66236, "[$-0E0000]yyyy-mm-dd")</f>
        <v/>
      </c>
      <c r="C66237" t="inlineStr">
        <is>
          <t>2081-03-28</t>
        </is>
      </c>
    </row>
    <row r="66238">
      <c r="A66238" s="1" t="n">
        <v>66237</v>
      </c>
      <c r="B66238">
        <f>TEXT(66237, "[$-0E0000]yyyy-mm-dd")</f>
        <v/>
      </c>
      <c r="C66238" t="inlineStr">
        <is>
          <t>2081-03-29</t>
        </is>
      </c>
    </row>
    <row r="66239">
      <c r="A66239" s="1" t="n">
        <v>66238</v>
      </c>
      <c r="B66239">
        <f>TEXT(66238, "[$-0E0000]yyyy-mm-dd")</f>
        <v/>
      </c>
      <c r="C66239" t="inlineStr">
        <is>
          <t>2081-03-30</t>
        </is>
      </c>
    </row>
    <row r="66240">
      <c r="A66240" s="1" t="n">
        <v>66239</v>
      </c>
      <c r="B66240">
        <f>TEXT(66239, "[$-0E0000]yyyy-mm-dd")</f>
        <v/>
      </c>
      <c r="C66240" t="inlineStr">
        <is>
          <t>2081-04-01</t>
        </is>
      </c>
    </row>
    <row r="66241">
      <c r="A66241" s="1" t="n">
        <v>66240</v>
      </c>
      <c r="B66241">
        <f>TEXT(66240, "[$-0E0000]yyyy-mm-dd")</f>
        <v/>
      </c>
      <c r="C66241" t="inlineStr">
        <is>
          <t>2081-04-02</t>
        </is>
      </c>
    </row>
    <row r="66242">
      <c r="A66242" s="1" t="n">
        <v>66241</v>
      </c>
      <c r="B66242">
        <f>TEXT(66241, "[$-0E0000]yyyy-mm-dd")</f>
        <v/>
      </c>
      <c r="C66242" t="inlineStr">
        <is>
          <t>2081-04-03</t>
        </is>
      </c>
    </row>
    <row r="66243">
      <c r="A66243" s="1" t="n">
        <v>66242</v>
      </c>
      <c r="B66243">
        <f>TEXT(66242, "[$-0E0000]yyyy-mm-dd")</f>
        <v/>
      </c>
      <c r="C66243" t="inlineStr">
        <is>
          <t>2081-04-04</t>
        </is>
      </c>
    </row>
    <row r="66244">
      <c r="A66244" s="1" t="n">
        <v>66243</v>
      </c>
      <c r="B66244">
        <f>TEXT(66243, "[$-0E0000]yyyy-mm-dd")</f>
        <v/>
      </c>
      <c r="C66244" t="inlineStr">
        <is>
          <t>2081-04-05</t>
        </is>
      </c>
    </row>
    <row r="66245">
      <c r="A66245" s="1" t="n">
        <v>66244</v>
      </c>
      <c r="B66245">
        <f>TEXT(66244, "[$-0E0000]yyyy-mm-dd")</f>
        <v/>
      </c>
      <c r="C66245" t="inlineStr">
        <is>
          <t>2081-04-06</t>
        </is>
      </c>
    </row>
    <row r="66246">
      <c r="A66246" s="1" t="n">
        <v>66245</v>
      </c>
      <c r="B66246">
        <f>TEXT(66245, "[$-0E0000]yyyy-mm-dd")</f>
        <v/>
      </c>
      <c r="C66246" t="inlineStr">
        <is>
          <t>2081-04-07</t>
        </is>
      </c>
    </row>
    <row r="66247">
      <c r="A66247" s="1" t="n">
        <v>66246</v>
      </c>
      <c r="B66247">
        <f>TEXT(66246, "[$-0E0000]yyyy-mm-dd")</f>
        <v/>
      </c>
      <c r="C66247" t="inlineStr">
        <is>
          <t>2081-04-08</t>
        </is>
      </c>
    </row>
    <row r="66248">
      <c r="A66248" s="1" t="n">
        <v>66247</v>
      </c>
      <c r="B66248">
        <f>TEXT(66247, "[$-0E0000]yyyy-mm-dd")</f>
        <v/>
      </c>
      <c r="C66248" t="inlineStr">
        <is>
          <t>2081-04-09</t>
        </is>
      </c>
    </row>
    <row r="66249">
      <c r="A66249" s="1" t="n">
        <v>66248</v>
      </c>
      <c r="B66249">
        <f>TEXT(66248, "[$-0E0000]yyyy-mm-dd")</f>
        <v/>
      </c>
      <c r="C66249" t="inlineStr">
        <is>
          <t>2081-04-10</t>
        </is>
      </c>
    </row>
    <row r="66250">
      <c r="A66250" s="1" t="n">
        <v>66249</v>
      </c>
      <c r="B66250">
        <f>TEXT(66249, "[$-0E0000]yyyy-mm-dd")</f>
        <v/>
      </c>
      <c r="C66250" t="inlineStr">
        <is>
          <t>2081-04-11</t>
        </is>
      </c>
    </row>
    <row r="66251">
      <c r="A66251" s="1" t="n">
        <v>66250</v>
      </c>
      <c r="B66251">
        <f>TEXT(66250, "[$-0E0000]yyyy-mm-dd")</f>
        <v/>
      </c>
      <c r="C66251" t="inlineStr">
        <is>
          <t>2081-04-12</t>
        </is>
      </c>
    </row>
    <row r="66252">
      <c r="A66252" s="1" t="n">
        <v>66251</v>
      </c>
      <c r="B66252">
        <f>TEXT(66251, "[$-0E0000]yyyy-mm-dd")</f>
        <v/>
      </c>
      <c r="C66252" t="inlineStr">
        <is>
          <t>2081-04-13</t>
        </is>
      </c>
    </row>
    <row r="66253">
      <c r="A66253" s="1" t="n">
        <v>66252</v>
      </c>
      <c r="B66253">
        <f>TEXT(66252, "[$-0E0000]yyyy-mm-dd")</f>
        <v/>
      </c>
      <c r="C66253" t="inlineStr">
        <is>
          <t>2081-04-14</t>
        </is>
      </c>
    </row>
    <row r="66254">
      <c r="A66254" s="1" t="n">
        <v>66253</v>
      </c>
      <c r="B66254">
        <f>TEXT(66253, "[$-0E0000]yyyy-mm-dd")</f>
        <v/>
      </c>
      <c r="C66254" t="inlineStr">
        <is>
          <t>2081-04-15</t>
        </is>
      </c>
    </row>
    <row r="66255">
      <c r="A66255" s="1" t="n">
        <v>66254</v>
      </c>
      <c r="B66255">
        <f>TEXT(66254, "[$-0E0000]yyyy-mm-dd")</f>
        <v/>
      </c>
      <c r="C66255" t="inlineStr">
        <is>
          <t>2081-04-16</t>
        </is>
      </c>
    </row>
    <row r="66256">
      <c r="A66256" s="1" t="n">
        <v>66255</v>
      </c>
      <c r="B66256">
        <f>TEXT(66255, "[$-0E0000]yyyy-mm-dd")</f>
        <v/>
      </c>
      <c r="C66256" t="inlineStr">
        <is>
          <t>2081-04-17</t>
        </is>
      </c>
    </row>
    <row r="66257">
      <c r="A66257" s="1" t="n">
        <v>66256</v>
      </c>
      <c r="B66257">
        <f>TEXT(66256, "[$-0E0000]yyyy-mm-dd")</f>
        <v/>
      </c>
      <c r="C66257" t="inlineStr">
        <is>
          <t>2081-04-18</t>
        </is>
      </c>
    </row>
    <row r="66258">
      <c r="A66258" s="1" t="n">
        <v>66257</v>
      </c>
      <c r="B66258">
        <f>TEXT(66257, "[$-0E0000]yyyy-mm-dd")</f>
        <v/>
      </c>
      <c r="C66258" t="inlineStr">
        <is>
          <t>2081-04-19</t>
        </is>
      </c>
    </row>
    <row r="66259">
      <c r="A66259" s="1" t="n">
        <v>66258</v>
      </c>
      <c r="B66259">
        <f>TEXT(66258, "[$-0E0000]yyyy-mm-dd")</f>
        <v/>
      </c>
      <c r="C66259" t="inlineStr">
        <is>
          <t>2081-04-20</t>
        </is>
      </c>
    </row>
    <row r="66260">
      <c r="A66260" s="1" t="n">
        <v>66259</v>
      </c>
      <c r="B66260">
        <f>TEXT(66259, "[$-0E0000]yyyy-mm-dd")</f>
        <v/>
      </c>
      <c r="C66260" t="inlineStr">
        <is>
          <t>2081-04-21</t>
        </is>
      </c>
    </row>
    <row r="66261">
      <c r="A66261" s="1" t="n">
        <v>66260</v>
      </c>
      <c r="B66261">
        <f>TEXT(66260, "[$-0E0000]yyyy-mm-dd")</f>
        <v/>
      </c>
      <c r="C66261" t="inlineStr">
        <is>
          <t>2081-04-22</t>
        </is>
      </c>
    </row>
    <row r="66262">
      <c r="A66262" s="1" t="n">
        <v>66261</v>
      </c>
      <c r="B66262">
        <f>TEXT(66261, "[$-0E0000]yyyy-mm-dd")</f>
        <v/>
      </c>
      <c r="C66262" t="inlineStr">
        <is>
          <t>2081-04-23</t>
        </is>
      </c>
    </row>
    <row r="66263">
      <c r="A66263" s="1" t="n">
        <v>66262</v>
      </c>
      <c r="B66263">
        <f>TEXT(66262, "[$-0E0000]yyyy-mm-dd")</f>
        <v/>
      </c>
      <c r="C66263" t="inlineStr">
        <is>
          <t>2081-04-24</t>
        </is>
      </c>
    </row>
    <row r="66264">
      <c r="A66264" s="1" t="n">
        <v>66263</v>
      </c>
      <c r="B66264">
        <f>TEXT(66263, "[$-0E0000]yyyy-mm-dd")</f>
        <v/>
      </c>
      <c r="C66264" t="inlineStr">
        <is>
          <t>2081-04-25</t>
        </is>
      </c>
    </row>
    <row r="66265">
      <c r="A66265" s="1" t="n">
        <v>66264</v>
      </c>
      <c r="B66265">
        <f>TEXT(66264, "[$-0E0000]yyyy-mm-dd")</f>
        <v/>
      </c>
      <c r="C66265" t="inlineStr">
        <is>
          <t>2081-04-26</t>
        </is>
      </c>
    </row>
    <row r="66266">
      <c r="A66266" s="1" t="n">
        <v>66265</v>
      </c>
      <c r="B66266">
        <f>TEXT(66265, "[$-0E0000]yyyy-mm-dd")</f>
        <v/>
      </c>
      <c r="C66266" t="inlineStr">
        <is>
          <t>2081-04-27</t>
        </is>
      </c>
    </row>
    <row r="66267">
      <c r="A66267" s="1" t="n">
        <v>66266</v>
      </c>
      <c r="B66267">
        <f>TEXT(66266, "[$-0E0000]yyyy-mm-dd")</f>
        <v/>
      </c>
      <c r="C66267" t="inlineStr">
        <is>
          <t>2081-04-28</t>
        </is>
      </c>
    </row>
    <row r="66268">
      <c r="A66268" s="1" t="n">
        <v>66267</v>
      </c>
      <c r="B66268">
        <f>TEXT(66267, "[$-0E0000]yyyy-mm-dd")</f>
        <v/>
      </c>
      <c r="C66268" t="inlineStr">
        <is>
          <t>2081-04-29</t>
        </is>
      </c>
    </row>
    <row r="66269">
      <c r="A66269" s="1" t="n">
        <v>66268</v>
      </c>
      <c r="B66269">
        <f>TEXT(66268, "[$-0E0000]yyyy-mm-dd")</f>
        <v/>
      </c>
      <c r="C66269" t="inlineStr">
        <is>
          <t>2081-05-01</t>
        </is>
      </c>
    </row>
    <row r="66270">
      <c r="A66270" s="1" t="n">
        <v>66269</v>
      </c>
      <c r="B66270">
        <f>TEXT(66269, "[$-0E0000]yyyy-mm-dd")</f>
        <v/>
      </c>
      <c r="C66270" t="inlineStr">
        <is>
          <t>2081-05-02</t>
        </is>
      </c>
    </row>
    <row r="66271">
      <c r="A66271" s="1" t="n">
        <v>66270</v>
      </c>
      <c r="B66271">
        <f>TEXT(66270, "[$-0E0000]yyyy-mm-dd")</f>
        <v/>
      </c>
      <c r="C66271" t="inlineStr">
        <is>
          <t>2081-05-03</t>
        </is>
      </c>
    </row>
    <row r="66272">
      <c r="A66272" s="1" t="n">
        <v>66271</v>
      </c>
      <c r="B66272">
        <f>TEXT(66271, "[$-0E0000]yyyy-mm-dd")</f>
        <v/>
      </c>
      <c r="C66272" t="inlineStr">
        <is>
          <t>2081-05-04</t>
        </is>
      </c>
    </row>
    <row r="66273">
      <c r="A66273" s="1" t="n">
        <v>66272</v>
      </c>
      <c r="B66273">
        <f>TEXT(66272, "[$-0E0000]yyyy-mm-dd")</f>
        <v/>
      </c>
      <c r="C66273" t="inlineStr">
        <is>
          <t>2081-05-05</t>
        </is>
      </c>
    </row>
    <row r="66274">
      <c r="A66274" s="1" t="n">
        <v>66273</v>
      </c>
      <c r="B66274">
        <f>TEXT(66273, "[$-0E0000]yyyy-mm-dd")</f>
        <v/>
      </c>
      <c r="C66274" t="inlineStr">
        <is>
          <t>2081-05-06</t>
        </is>
      </c>
    </row>
    <row r="66275">
      <c r="A66275" s="1" t="n">
        <v>66274</v>
      </c>
      <c r="B66275">
        <f>TEXT(66274, "[$-0E0000]yyyy-mm-dd")</f>
        <v/>
      </c>
      <c r="C66275" t="inlineStr">
        <is>
          <t>2081-05-07</t>
        </is>
      </c>
    </row>
    <row r="66276">
      <c r="A66276" s="1" t="n">
        <v>66275</v>
      </c>
      <c r="B66276">
        <f>TEXT(66275, "[$-0E0000]yyyy-mm-dd")</f>
        <v/>
      </c>
      <c r="C66276" t="inlineStr">
        <is>
          <t>2081-05-08</t>
        </is>
      </c>
    </row>
    <row r="66277">
      <c r="A66277" s="1" t="n">
        <v>66276</v>
      </c>
      <c r="B66277">
        <f>TEXT(66276, "[$-0E0000]yyyy-mm-dd")</f>
        <v/>
      </c>
      <c r="C66277" t="inlineStr">
        <is>
          <t>2081-05-09</t>
        </is>
      </c>
    </row>
    <row r="66278">
      <c r="A66278" s="1" t="n">
        <v>66277</v>
      </c>
      <c r="B66278">
        <f>TEXT(66277, "[$-0E0000]yyyy-mm-dd")</f>
        <v/>
      </c>
      <c r="C66278" t="inlineStr">
        <is>
          <t>2081-05-10</t>
        </is>
      </c>
    </row>
    <row r="66279">
      <c r="A66279" s="1" t="n">
        <v>66278</v>
      </c>
      <c r="B66279">
        <f>TEXT(66278, "[$-0E0000]yyyy-mm-dd")</f>
        <v/>
      </c>
      <c r="C66279" t="inlineStr">
        <is>
          <t>2081-05-11</t>
        </is>
      </c>
    </row>
    <row r="66280">
      <c r="A66280" s="1" t="n">
        <v>66279</v>
      </c>
      <c r="B66280">
        <f>TEXT(66279, "[$-0E0000]yyyy-mm-dd")</f>
        <v/>
      </c>
      <c r="C66280" t="inlineStr">
        <is>
          <t>2081-05-12</t>
        </is>
      </c>
    </row>
    <row r="66281">
      <c r="A66281" s="1" t="n">
        <v>66280</v>
      </c>
      <c r="B66281">
        <f>TEXT(66280, "[$-0E0000]yyyy-mm-dd")</f>
        <v/>
      </c>
      <c r="C66281" t="inlineStr">
        <is>
          <t>2081-05-13</t>
        </is>
      </c>
    </row>
    <row r="66282">
      <c r="A66282" s="1" t="n">
        <v>66281</v>
      </c>
      <c r="B66282">
        <f>TEXT(66281, "[$-0E0000]yyyy-mm-dd")</f>
        <v/>
      </c>
      <c r="C66282" t="inlineStr">
        <is>
          <t>2081-05-14</t>
        </is>
      </c>
    </row>
    <row r="66283">
      <c r="A66283" s="1" t="n">
        <v>66282</v>
      </c>
      <c r="B66283">
        <f>TEXT(66282, "[$-0E0000]yyyy-mm-dd")</f>
        <v/>
      </c>
      <c r="C66283" t="inlineStr">
        <is>
          <t>2081-05-15</t>
        </is>
      </c>
    </row>
    <row r="66284">
      <c r="A66284" s="1" t="n">
        <v>66283</v>
      </c>
      <c r="B66284">
        <f>TEXT(66283, "[$-0E0000]yyyy-mm-dd")</f>
        <v/>
      </c>
      <c r="C66284" t="inlineStr">
        <is>
          <t>2081-05-16</t>
        </is>
      </c>
    </row>
    <row r="66285">
      <c r="A66285" s="1" t="n">
        <v>66284</v>
      </c>
      <c r="B66285">
        <f>TEXT(66284, "[$-0E0000]yyyy-mm-dd")</f>
        <v/>
      </c>
      <c r="C66285" t="inlineStr">
        <is>
          <t>2081-05-17</t>
        </is>
      </c>
    </row>
    <row r="66286">
      <c r="A66286" s="1" t="n">
        <v>66285</v>
      </c>
      <c r="B66286">
        <f>TEXT(66285, "[$-0E0000]yyyy-mm-dd")</f>
        <v/>
      </c>
      <c r="C66286" t="inlineStr">
        <is>
          <t>2081-05-18</t>
        </is>
      </c>
    </row>
    <row r="66287">
      <c r="A66287" s="1" t="n">
        <v>66286</v>
      </c>
      <c r="B66287">
        <f>TEXT(66286, "[$-0E0000]yyyy-mm-dd")</f>
        <v/>
      </c>
      <c r="C66287" t="inlineStr">
        <is>
          <t>2081-05-19</t>
        </is>
      </c>
    </row>
    <row r="66288">
      <c r="A66288" s="1" t="n">
        <v>66287</v>
      </c>
      <c r="B66288">
        <f>TEXT(66287, "[$-0E0000]yyyy-mm-dd")</f>
        <v/>
      </c>
      <c r="C66288" t="inlineStr">
        <is>
          <t>2081-05-20</t>
        </is>
      </c>
    </row>
    <row r="66289">
      <c r="A66289" s="1" t="n">
        <v>66288</v>
      </c>
      <c r="B66289">
        <f>TEXT(66288, "[$-0E0000]yyyy-mm-dd")</f>
        <v/>
      </c>
      <c r="C66289" t="inlineStr">
        <is>
          <t>2081-05-21</t>
        </is>
      </c>
    </row>
    <row r="66290">
      <c r="A66290" s="1" t="n">
        <v>66289</v>
      </c>
      <c r="B66290">
        <f>TEXT(66289, "[$-0E0000]yyyy-mm-dd")</f>
        <v/>
      </c>
      <c r="C66290" t="inlineStr">
        <is>
          <t>2081-05-22</t>
        </is>
      </c>
    </row>
    <row r="66291">
      <c r="A66291" s="1" t="n">
        <v>66290</v>
      </c>
      <c r="B66291">
        <f>TEXT(66290, "[$-0E0000]yyyy-mm-dd")</f>
        <v/>
      </c>
      <c r="C66291" t="inlineStr">
        <is>
          <t>2081-05-23</t>
        </is>
      </c>
    </row>
    <row r="66292">
      <c r="A66292" s="1" t="n">
        <v>66291</v>
      </c>
      <c r="B66292">
        <f>TEXT(66291, "[$-0E0000]yyyy-mm-dd")</f>
        <v/>
      </c>
      <c r="C66292" t="inlineStr">
        <is>
          <t>2081-05-24</t>
        </is>
      </c>
    </row>
    <row r="66293">
      <c r="A66293" s="1" t="n">
        <v>66292</v>
      </c>
      <c r="B66293">
        <f>TEXT(66292, "[$-0E0000]yyyy-mm-dd")</f>
        <v/>
      </c>
      <c r="C66293" t="inlineStr">
        <is>
          <t>2081-05-25</t>
        </is>
      </c>
    </row>
    <row r="66294">
      <c r="A66294" s="1" t="n">
        <v>66293</v>
      </c>
      <c r="B66294">
        <f>TEXT(66293, "[$-0E0000]yyyy-mm-dd")</f>
        <v/>
      </c>
      <c r="C66294" t="inlineStr">
        <is>
          <t>2081-05-26</t>
        </is>
      </c>
    </row>
    <row r="66295">
      <c r="A66295" s="1" t="n">
        <v>66294</v>
      </c>
      <c r="B66295">
        <f>TEXT(66294, "[$-0E0000]yyyy-mm-dd")</f>
        <v/>
      </c>
      <c r="C66295" t="inlineStr">
        <is>
          <t>2081-05-27</t>
        </is>
      </c>
    </row>
    <row r="66296">
      <c r="A66296" s="1" t="n">
        <v>66295</v>
      </c>
      <c r="B66296">
        <f>TEXT(66295, "[$-0E0000]yyyy-mm-dd")</f>
        <v/>
      </c>
      <c r="C66296" t="inlineStr">
        <is>
          <t>2081-05-28</t>
        </is>
      </c>
    </row>
    <row r="66297">
      <c r="A66297" s="1" t="n">
        <v>66296</v>
      </c>
      <c r="B66297">
        <f>TEXT(66296, "[$-0E0000]yyyy-mm-dd")</f>
        <v/>
      </c>
      <c r="C66297" t="inlineStr">
        <is>
          <t>2081-05-29</t>
        </is>
      </c>
    </row>
    <row r="66298">
      <c r="A66298" s="1" t="n">
        <v>66297</v>
      </c>
      <c r="B66298">
        <f>TEXT(66297, "[$-0E0000]yyyy-mm-dd")</f>
        <v/>
      </c>
      <c r="C66298" t="inlineStr">
        <is>
          <t>2081-05-30</t>
        </is>
      </c>
    </row>
    <row r="66299">
      <c r="A66299" s="1" t="n">
        <v>66298</v>
      </c>
      <c r="B66299">
        <f>TEXT(66298, "[$-0E0000]yyyy-mm-dd")</f>
        <v/>
      </c>
      <c r="C66299" t="inlineStr">
        <is>
          <t>2081-06-01</t>
        </is>
      </c>
    </row>
    <row r="66300">
      <c r="A66300" s="1" t="n">
        <v>66299</v>
      </c>
      <c r="B66300">
        <f>TEXT(66299, "[$-0E0000]yyyy-mm-dd")</f>
        <v/>
      </c>
      <c r="C66300" t="inlineStr">
        <is>
          <t>2081-06-02</t>
        </is>
      </c>
    </row>
    <row r="66301">
      <c r="A66301" s="1" t="n">
        <v>66300</v>
      </c>
      <c r="B66301">
        <f>TEXT(66300, "[$-0E0000]yyyy-mm-dd")</f>
        <v/>
      </c>
      <c r="C66301" t="inlineStr">
        <is>
          <t>2081-06-03</t>
        </is>
      </c>
    </row>
    <row r="66302">
      <c r="A66302" s="1" t="n">
        <v>66301</v>
      </c>
      <c r="B66302">
        <f>TEXT(66301, "[$-0E0000]yyyy-mm-dd")</f>
        <v/>
      </c>
      <c r="C66302" t="inlineStr">
        <is>
          <t>2081-06-04</t>
        </is>
      </c>
    </row>
    <row r="66303">
      <c r="A66303" s="1" t="n">
        <v>66302</v>
      </c>
      <c r="B66303">
        <f>TEXT(66302, "[$-0E0000]yyyy-mm-dd")</f>
        <v/>
      </c>
      <c r="C66303" t="inlineStr">
        <is>
          <t>2081-06-05</t>
        </is>
      </c>
    </row>
    <row r="66304">
      <c r="A66304" s="1" t="n">
        <v>66303</v>
      </c>
      <c r="B66304">
        <f>TEXT(66303, "[$-0E0000]yyyy-mm-dd")</f>
        <v/>
      </c>
      <c r="C66304" t="inlineStr">
        <is>
          <t>2081-06-06</t>
        </is>
      </c>
    </row>
    <row r="66305">
      <c r="A66305" s="1" t="n">
        <v>66304</v>
      </c>
      <c r="B66305">
        <f>TEXT(66304, "[$-0E0000]yyyy-mm-dd")</f>
        <v/>
      </c>
      <c r="C66305" t="inlineStr">
        <is>
          <t>2081-06-07</t>
        </is>
      </c>
    </row>
    <row r="66306">
      <c r="A66306" s="1" t="n">
        <v>66305</v>
      </c>
      <c r="B66306">
        <f>TEXT(66305, "[$-0E0000]yyyy-mm-dd")</f>
        <v/>
      </c>
      <c r="C66306" t="inlineStr">
        <is>
          <t>2081-06-08</t>
        </is>
      </c>
    </row>
    <row r="66307">
      <c r="A66307" s="1" t="n">
        <v>66306</v>
      </c>
      <c r="B66307">
        <f>TEXT(66306, "[$-0E0000]yyyy-mm-dd")</f>
        <v/>
      </c>
      <c r="C66307" t="inlineStr">
        <is>
          <t>2081-06-09</t>
        </is>
      </c>
    </row>
    <row r="66308">
      <c r="A66308" s="1" t="n">
        <v>66307</v>
      </c>
      <c r="B66308">
        <f>TEXT(66307, "[$-0E0000]yyyy-mm-dd")</f>
        <v/>
      </c>
      <c r="C66308" t="inlineStr">
        <is>
          <t>2081-06-10</t>
        </is>
      </c>
    </row>
    <row r="66309">
      <c r="A66309" s="1" t="n">
        <v>66308</v>
      </c>
      <c r="B66309">
        <f>TEXT(66308, "[$-0E0000]yyyy-mm-dd")</f>
        <v/>
      </c>
      <c r="C66309" t="inlineStr">
        <is>
          <t>2081-06-11</t>
        </is>
      </c>
    </row>
    <row r="66310">
      <c r="A66310" s="1" t="n">
        <v>66309</v>
      </c>
      <c r="B66310">
        <f>TEXT(66309, "[$-0E0000]yyyy-mm-dd")</f>
        <v/>
      </c>
      <c r="C66310" t="inlineStr">
        <is>
          <t>2081-06-12</t>
        </is>
      </c>
    </row>
    <row r="66311">
      <c r="A66311" s="1" t="n">
        <v>66310</v>
      </c>
      <c r="B66311">
        <f>TEXT(66310, "[$-0E0000]yyyy-mm-dd")</f>
        <v/>
      </c>
      <c r="C66311" t="inlineStr">
        <is>
          <t>2081-06-13</t>
        </is>
      </c>
    </row>
    <row r="66312">
      <c r="A66312" s="1" t="n">
        <v>66311</v>
      </c>
      <c r="B66312">
        <f>TEXT(66311, "[$-0E0000]yyyy-mm-dd")</f>
        <v/>
      </c>
      <c r="C66312" t="inlineStr">
        <is>
          <t>2081-06-14</t>
        </is>
      </c>
    </row>
    <row r="66313">
      <c r="A66313" s="1" t="n">
        <v>66312</v>
      </c>
      <c r="B66313">
        <f>TEXT(66312, "[$-0E0000]yyyy-mm-dd")</f>
        <v/>
      </c>
      <c r="C66313" t="inlineStr">
        <is>
          <t>2081-06-15</t>
        </is>
      </c>
    </row>
    <row r="66314">
      <c r="A66314" s="1" t="n">
        <v>66313</v>
      </c>
      <c r="B66314">
        <f>TEXT(66313, "[$-0E0000]yyyy-mm-dd")</f>
        <v/>
      </c>
      <c r="C66314" t="inlineStr">
        <is>
          <t>2081-06-16</t>
        </is>
      </c>
    </row>
    <row r="66315">
      <c r="A66315" s="1" t="n">
        <v>66314</v>
      </c>
      <c r="B66315">
        <f>TEXT(66314, "[$-0E0000]yyyy-mm-dd")</f>
        <v/>
      </c>
      <c r="C66315" t="inlineStr">
        <is>
          <t>2081-06-17</t>
        </is>
      </c>
    </row>
    <row r="66316">
      <c r="A66316" s="1" t="n">
        <v>66315</v>
      </c>
      <c r="B66316">
        <f>TEXT(66315, "[$-0E0000]yyyy-mm-dd")</f>
        <v/>
      </c>
      <c r="C66316" t="inlineStr">
        <is>
          <t>2081-06-18</t>
        </is>
      </c>
    </row>
    <row r="66317">
      <c r="A66317" s="1" t="n">
        <v>66316</v>
      </c>
      <c r="B66317">
        <f>TEXT(66316, "[$-0E0000]yyyy-mm-dd")</f>
        <v/>
      </c>
      <c r="C66317" t="inlineStr">
        <is>
          <t>2081-06-19</t>
        </is>
      </c>
    </row>
    <row r="66318">
      <c r="A66318" s="1" t="n">
        <v>66317</v>
      </c>
      <c r="B66318">
        <f>TEXT(66317, "[$-0E0000]yyyy-mm-dd")</f>
        <v/>
      </c>
      <c r="C66318" t="inlineStr">
        <is>
          <t>2081-06-20</t>
        </is>
      </c>
    </row>
    <row r="66319">
      <c r="A66319" s="1" t="n">
        <v>66318</v>
      </c>
      <c r="B66319">
        <f>TEXT(66318, "[$-0E0000]yyyy-mm-dd")</f>
        <v/>
      </c>
      <c r="C66319" t="inlineStr">
        <is>
          <t>2081-06-21</t>
        </is>
      </c>
    </row>
    <row r="66320">
      <c r="A66320" s="1" t="n">
        <v>66319</v>
      </c>
      <c r="B66320">
        <f>TEXT(66319, "[$-0E0000]yyyy-mm-dd")</f>
        <v/>
      </c>
      <c r="C66320" t="inlineStr">
        <is>
          <t>2081-06-22</t>
        </is>
      </c>
    </row>
    <row r="66321">
      <c r="A66321" s="1" t="n">
        <v>66320</v>
      </c>
      <c r="B66321">
        <f>TEXT(66320, "[$-0E0000]yyyy-mm-dd")</f>
        <v/>
      </c>
      <c r="C66321" t="inlineStr">
        <is>
          <t>2081-06-23</t>
        </is>
      </c>
    </row>
    <row r="66322">
      <c r="A66322" s="1" t="n">
        <v>66321</v>
      </c>
      <c r="B66322">
        <f>TEXT(66321, "[$-0E0000]yyyy-mm-dd")</f>
        <v/>
      </c>
      <c r="C66322" t="inlineStr">
        <is>
          <t>2081-06-24</t>
        </is>
      </c>
    </row>
    <row r="66323">
      <c r="A66323" s="1" t="n">
        <v>66322</v>
      </c>
      <c r="B66323">
        <f>TEXT(66322, "[$-0E0000]yyyy-mm-dd")</f>
        <v/>
      </c>
      <c r="C66323" t="inlineStr">
        <is>
          <t>2081-06-25</t>
        </is>
      </c>
    </row>
    <row r="66324">
      <c r="A66324" s="1" t="n">
        <v>66323</v>
      </c>
      <c r="B66324">
        <f>TEXT(66323, "[$-0E0000]yyyy-mm-dd")</f>
        <v/>
      </c>
      <c r="C66324" t="inlineStr">
        <is>
          <t>2081-06-26</t>
        </is>
      </c>
    </row>
    <row r="66325">
      <c r="A66325" s="1" t="n">
        <v>66324</v>
      </c>
      <c r="B66325">
        <f>TEXT(66324, "[$-0E0000]yyyy-mm-dd")</f>
        <v/>
      </c>
      <c r="C66325" t="inlineStr">
        <is>
          <t>2081-06-27</t>
        </is>
      </c>
    </row>
    <row r="66326">
      <c r="A66326" s="1" t="n">
        <v>66325</v>
      </c>
      <c r="B66326">
        <f>TEXT(66325, "[$-0E0000]yyyy-mm-dd")</f>
        <v/>
      </c>
      <c r="C66326" t="inlineStr">
        <is>
          <t>2081-06-28</t>
        </is>
      </c>
    </row>
    <row r="66327">
      <c r="A66327" s="1" t="n">
        <v>66326</v>
      </c>
      <c r="B66327">
        <f>TEXT(66326, "[$-0E0000]yyyy-mm-dd")</f>
        <v/>
      </c>
      <c r="C66327" t="inlineStr">
        <is>
          <t>2081-06-29</t>
        </is>
      </c>
    </row>
    <row r="66328">
      <c r="A66328" s="1" t="n">
        <v>66327</v>
      </c>
      <c r="B66328">
        <f>TEXT(66327, "[$-0E0000]yyyy-mm-dd")</f>
        <v/>
      </c>
      <c r="C66328" t="inlineStr">
        <is>
          <t>2081-07-01</t>
        </is>
      </c>
    </row>
    <row r="66329">
      <c r="A66329" s="1" t="n">
        <v>66328</v>
      </c>
      <c r="B66329">
        <f>TEXT(66328, "[$-0E0000]yyyy-mm-dd")</f>
        <v/>
      </c>
      <c r="C66329" t="inlineStr">
        <is>
          <t>2081-07-02</t>
        </is>
      </c>
    </row>
    <row r="66330">
      <c r="A66330" s="1" t="n">
        <v>66329</v>
      </c>
      <c r="B66330">
        <f>TEXT(66329, "[$-0E0000]yyyy-mm-dd")</f>
        <v/>
      </c>
      <c r="C66330" t="inlineStr">
        <is>
          <t>2081-07-03</t>
        </is>
      </c>
    </row>
    <row r="66331">
      <c r="A66331" s="1" t="n">
        <v>66330</v>
      </c>
      <c r="B66331">
        <f>TEXT(66330, "[$-0E0000]yyyy-mm-dd")</f>
        <v/>
      </c>
      <c r="C66331" t="inlineStr">
        <is>
          <t>2081-07-04</t>
        </is>
      </c>
    </row>
    <row r="66332">
      <c r="A66332" s="1" t="n">
        <v>66331</v>
      </c>
      <c r="B66332">
        <f>TEXT(66331, "[$-0E0000]yyyy-mm-dd")</f>
        <v/>
      </c>
      <c r="C66332" t="inlineStr">
        <is>
          <t>2081-07-05</t>
        </is>
      </c>
    </row>
    <row r="66333">
      <c r="A66333" s="1" t="n">
        <v>66332</v>
      </c>
      <c r="B66333">
        <f>TEXT(66332, "[$-0E0000]yyyy-mm-dd")</f>
        <v/>
      </c>
      <c r="C66333" t="inlineStr">
        <is>
          <t>2081-07-06</t>
        </is>
      </c>
    </row>
    <row r="66334">
      <c r="A66334" s="1" t="n">
        <v>66333</v>
      </c>
      <c r="B66334">
        <f>TEXT(66333, "[$-0E0000]yyyy-mm-dd")</f>
        <v/>
      </c>
      <c r="C66334" t="inlineStr">
        <is>
          <t>2081-07-07</t>
        </is>
      </c>
    </row>
    <row r="66335">
      <c r="A66335" s="1" t="n">
        <v>66334</v>
      </c>
      <c r="B66335">
        <f>TEXT(66334, "[$-0E0000]yyyy-mm-dd")</f>
        <v/>
      </c>
      <c r="C66335" t="inlineStr">
        <is>
          <t>2081-07-08</t>
        </is>
      </c>
    </row>
    <row r="66336">
      <c r="A66336" s="1" t="n">
        <v>66335</v>
      </c>
      <c r="B66336">
        <f>TEXT(66335, "[$-0E0000]yyyy-mm-dd")</f>
        <v/>
      </c>
      <c r="C66336" t="inlineStr">
        <is>
          <t>2081-07-09</t>
        </is>
      </c>
    </row>
    <row r="66337">
      <c r="A66337" s="1" t="n">
        <v>66336</v>
      </c>
      <c r="B66337">
        <f>TEXT(66336, "[$-0E0000]yyyy-mm-dd")</f>
        <v/>
      </c>
      <c r="C66337" t="inlineStr">
        <is>
          <t>2081-07-10</t>
        </is>
      </c>
    </row>
    <row r="66338">
      <c r="A66338" s="1" t="n">
        <v>66337</v>
      </c>
      <c r="B66338">
        <f>TEXT(66337, "[$-0E0000]yyyy-mm-dd")</f>
        <v/>
      </c>
      <c r="C66338" t="inlineStr">
        <is>
          <t>2081-07-11</t>
        </is>
      </c>
    </row>
    <row r="66339">
      <c r="A66339" s="1" t="n">
        <v>66338</v>
      </c>
      <c r="B66339">
        <f>TEXT(66338, "[$-0E0000]yyyy-mm-dd")</f>
        <v/>
      </c>
      <c r="C66339" t="inlineStr">
        <is>
          <t>2081-07-12</t>
        </is>
      </c>
    </row>
    <row r="66340">
      <c r="A66340" s="1" t="n">
        <v>66339</v>
      </c>
      <c r="B66340">
        <f>TEXT(66339, "[$-0E0000]yyyy-mm-dd")</f>
        <v/>
      </c>
      <c r="C66340" t="inlineStr">
        <is>
          <t>2081-07-13</t>
        </is>
      </c>
    </row>
    <row r="66341">
      <c r="A66341" s="1" t="n">
        <v>66340</v>
      </c>
      <c r="B66341">
        <f>TEXT(66340, "[$-0E0000]yyyy-mm-dd")</f>
        <v/>
      </c>
      <c r="C66341" t="inlineStr">
        <is>
          <t>2081-07-14</t>
        </is>
      </c>
    </row>
    <row r="66342">
      <c r="A66342" s="1" t="n">
        <v>66341</v>
      </c>
      <c r="B66342">
        <f>TEXT(66341, "[$-0E0000]yyyy-mm-dd")</f>
        <v/>
      </c>
      <c r="C66342" t="inlineStr">
        <is>
          <t>2081-07-15</t>
        </is>
      </c>
    </row>
    <row r="66343">
      <c r="A66343" s="1" t="n">
        <v>66342</v>
      </c>
      <c r="B66343">
        <f>TEXT(66342, "[$-0E0000]yyyy-mm-dd")</f>
        <v/>
      </c>
      <c r="C66343" t="inlineStr">
        <is>
          <t>2081-07-16</t>
        </is>
      </c>
    </row>
    <row r="66344">
      <c r="A66344" s="1" t="n">
        <v>66343</v>
      </c>
      <c r="B66344">
        <f>TEXT(66343, "[$-0E0000]yyyy-mm-dd")</f>
        <v/>
      </c>
      <c r="C66344" t="inlineStr">
        <is>
          <t>2081-07-17</t>
        </is>
      </c>
    </row>
    <row r="66345">
      <c r="A66345" s="1" t="n">
        <v>66344</v>
      </c>
      <c r="B66345">
        <f>TEXT(66344, "[$-0E0000]yyyy-mm-dd")</f>
        <v/>
      </c>
      <c r="C66345" t="inlineStr">
        <is>
          <t>2081-07-18</t>
        </is>
      </c>
    </row>
    <row r="66346">
      <c r="A66346" s="1" t="n">
        <v>66345</v>
      </c>
      <c r="B66346">
        <f>TEXT(66345, "[$-0E0000]yyyy-mm-dd")</f>
        <v/>
      </c>
      <c r="C66346" t="inlineStr">
        <is>
          <t>2081-07-19</t>
        </is>
      </c>
    </row>
    <row r="66347">
      <c r="A66347" s="1" t="n">
        <v>66346</v>
      </c>
      <c r="B66347">
        <f>TEXT(66346, "[$-0E0000]yyyy-mm-dd")</f>
        <v/>
      </c>
      <c r="C66347" t="inlineStr">
        <is>
          <t>2081-07-20</t>
        </is>
      </c>
    </row>
    <row r="66348">
      <c r="A66348" s="1" t="n">
        <v>66347</v>
      </c>
      <c r="B66348">
        <f>TEXT(66347, "[$-0E0000]yyyy-mm-dd")</f>
        <v/>
      </c>
      <c r="C66348" t="inlineStr">
        <is>
          <t>2081-07-21</t>
        </is>
      </c>
    </row>
    <row r="66349">
      <c r="A66349" s="1" t="n">
        <v>66348</v>
      </c>
      <c r="B66349">
        <f>TEXT(66348, "[$-0E0000]yyyy-mm-dd")</f>
        <v/>
      </c>
      <c r="C66349" t="inlineStr">
        <is>
          <t>2081-07-22</t>
        </is>
      </c>
    </row>
    <row r="66350">
      <c r="A66350" s="1" t="n">
        <v>66349</v>
      </c>
      <c r="B66350">
        <f>TEXT(66349, "[$-0E0000]yyyy-mm-dd")</f>
        <v/>
      </c>
      <c r="C66350" t="inlineStr">
        <is>
          <t>2081-07-23</t>
        </is>
      </c>
    </row>
    <row r="66351">
      <c r="A66351" s="1" t="n">
        <v>66350</v>
      </c>
      <c r="B66351">
        <f>TEXT(66350, "[$-0E0000]yyyy-mm-dd")</f>
        <v/>
      </c>
      <c r="C66351" t="inlineStr">
        <is>
          <t>2081-07-24</t>
        </is>
      </c>
    </row>
    <row r="66352">
      <c r="A66352" s="1" t="n">
        <v>66351</v>
      </c>
      <c r="B66352">
        <f>TEXT(66351, "[$-0E0000]yyyy-mm-dd")</f>
        <v/>
      </c>
      <c r="C66352" t="inlineStr">
        <is>
          <t>2081-07-25</t>
        </is>
      </c>
    </row>
    <row r="66353">
      <c r="A66353" s="1" t="n">
        <v>66352</v>
      </c>
      <c r="B66353">
        <f>TEXT(66352, "[$-0E0000]yyyy-mm-dd")</f>
        <v/>
      </c>
      <c r="C66353" t="inlineStr">
        <is>
          <t>2081-07-26</t>
        </is>
      </c>
    </row>
    <row r="66354">
      <c r="A66354" s="1" t="n">
        <v>66353</v>
      </c>
      <c r="B66354">
        <f>TEXT(66353, "[$-0E0000]yyyy-mm-dd")</f>
        <v/>
      </c>
      <c r="C66354" t="inlineStr">
        <is>
          <t>2081-07-27</t>
        </is>
      </c>
    </row>
    <row r="66355">
      <c r="A66355" s="1" t="n">
        <v>66354</v>
      </c>
      <c r="B66355">
        <f>TEXT(66354, "[$-0E0000]yyyy-mm-dd")</f>
        <v/>
      </c>
      <c r="C66355" t="inlineStr">
        <is>
          <t>2081-07-28</t>
        </is>
      </c>
    </row>
    <row r="66356">
      <c r="A66356" s="1" t="n">
        <v>66355</v>
      </c>
      <c r="B66356">
        <f>TEXT(66355, "[$-0E0000]yyyy-mm-dd")</f>
        <v/>
      </c>
      <c r="C66356" t="inlineStr">
        <is>
          <t>2081-07-29</t>
        </is>
      </c>
    </row>
    <row r="66357">
      <c r="A66357" s="1" t="n">
        <v>66356</v>
      </c>
      <c r="B66357">
        <f>TEXT(66356, "[$-0E0000]yyyy-mm-dd")</f>
        <v/>
      </c>
      <c r="C66357" t="inlineStr">
        <is>
          <t>2081-08-01</t>
        </is>
      </c>
    </row>
    <row r="66358">
      <c r="A66358" s="1" t="n">
        <v>66357</v>
      </c>
      <c r="B66358">
        <f>TEXT(66357, "[$-0E0000]yyyy-mm-dd")</f>
        <v/>
      </c>
      <c r="C66358" t="inlineStr">
        <is>
          <t>2081-08-02</t>
        </is>
      </c>
    </row>
    <row r="66359">
      <c r="A66359" s="1" t="n">
        <v>66358</v>
      </c>
      <c r="B66359">
        <f>TEXT(66358, "[$-0E0000]yyyy-mm-dd")</f>
        <v/>
      </c>
      <c r="C66359" t="inlineStr">
        <is>
          <t>2081-08-03</t>
        </is>
      </c>
    </row>
    <row r="66360">
      <c r="A66360" s="1" t="n">
        <v>66359</v>
      </c>
      <c r="B66360">
        <f>TEXT(66359, "[$-0E0000]yyyy-mm-dd")</f>
        <v/>
      </c>
      <c r="C66360" t="inlineStr">
        <is>
          <t>2081-08-04</t>
        </is>
      </c>
    </row>
    <row r="66361">
      <c r="A66361" s="1" t="n">
        <v>66360</v>
      </c>
      <c r="B66361">
        <f>TEXT(66360, "[$-0E0000]yyyy-mm-dd")</f>
        <v/>
      </c>
      <c r="C66361" t="inlineStr">
        <is>
          <t>2081-08-05</t>
        </is>
      </c>
    </row>
    <row r="66362">
      <c r="A66362" s="1" t="n">
        <v>66361</v>
      </c>
      <c r="B66362">
        <f>TEXT(66361, "[$-0E0000]yyyy-mm-dd")</f>
        <v/>
      </c>
      <c r="C66362" t="inlineStr">
        <is>
          <t>2081-08-06</t>
        </is>
      </c>
    </row>
    <row r="66363">
      <c r="A66363" s="1" t="n">
        <v>66362</v>
      </c>
      <c r="B66363">
        <f>TEXT(66362, "[$-0E0000]yyyy-mm-dd")</f>
        <v/>
      </c>
      <c r="C66363" t="inlineStr">
        <is>
          <t>2081-08-07</t>
        </is>
      </c>
    </row>
    <row r="66364">
      <c r="A66364" s="1" t="n">
        <v>66363</v>
      </c>
      <c r="B66364">
        <f>TEXT(66363, "[$-0E0000]yyyy-mm-dd")</f>
        <v/>
      </c>
      <c r="C66364" t="inlineStr">
        <is>
          <t>2081-08-08</t>
        </is>
      </c>
    </row>
    <row r="66365">
      <c r="A66365" s="1" t="n">
        <v>66364</v>
      </c>
      <c r="B66365">
        <f>TEXT(66364, "[$-0E0000]yyyy-mm-dd")</f>
        <v/>
      </c>
      <c r="C66365" t="inlineStr">
        <is>
          <t>2081-08-09</t>
        </is>
      </c>
    </row>
    <row r="66366">
      <c r="A66366" s="1" t="n">
        <v>66365</v>
      </c>
      <c r="B66366">
        <f>TEXT(66365, "[$-0E0000]yyyy-mm-dd")</f>
        <v/>
      </c>
      <c r="C66366" t="inlineStr">
        <is>
          <t>2081-08-10</t>
        </is>
      </c>
    </row>
    <row r="66367">
      <c r="A66367" s="1" t="n">
        <v>66366</v>
      </c>
      <c r="B66367">
        <f>TEXT(66366, "[$-0E0000]yyyy-mm-dd")</f>
        <v/>
      </c>
      <c r="C66367" t="inlineStr">
        <is>
          <t>2081-08-11</t>
        </is>
      </c>
    </row>
    <row r="66368">
      <c r="A66368" s="1" t="n">
        <v>66367</v>
      </c>
      <c r="B66368">
        <f>TEXT(66367, "[$-0E0000]yyyy-mm-dd")</f>
        <v/>
      </c>
      <c r="C66368" t="inlineStr">
        <is>
          <t>2081-08-12</t>
        </is>
      </c>
    </row>
    <row r="66369">
      <c r="A66369" s="1" t="n">
        <v>66368</v>
      </c>
      <c r="B66369">
        <f>TEXT(66368, "[$-0E0000]yyyy-mm-dd")</f>
        <v/>
      </c>
      <c r="C66369" t="inlineStr">
        <is>
          <t>2081-08-13</t>
        </is>
      </c>
    </row>
    <row r="66370">
      <c r="A66370" s="1" t="n">
        <v>66369</v>
      </c>
      <c r="B66370">
        <f>TEXT(66369, "[$-0E0000]yyyy-mm-dd")</f>
        <v/>
      </c>
      <c r="C66370" t="inlineStr">
        <is>
          <t>2081-08-14</t>
        </is>
      </c>
    </row>
    <row r="66371">
      <c r="A66371" s="1" t="n">
        <v>66370</v>
      </c>
      <c r="B66371">
        <f>TEXT(66370, "[$-0E0000]yyyy-mm-dd")</f>
        <v/>
      </c>
      <c r="C66371" t="inlineStr">
        <is>
          <t>2081-08-15</t>
        </is>
      </c>
    </row>
    <row r="66372">
      <c r="A66372" s="1" t="n">
        <v>66371</v>
      </c>
      <c r="B66372">
        <f>TEXT(66371, "[$-0E0000]yyyy-mm-dd")</f>
        <v/>
      </c>
      <c r="C66372" t="inlineStr">
        <is>
          <t>2081-08-16</t>
        </is>
      </c>
    </row>
    <row r="66373">
      <c r="A66373" s="1" t="n">
        <v>66372</v>
      </c>
      <c r="B66373">
        <f>TEXT(66372, "[$-0E0000]yyyy-mm-dd")</f>
        <v/>
      </c>
      <c r="C66373" t="inlineStr">
        <is>
          <t>2081-08-17</t>
        </is>
      </c>
    </row>
    <row r="66374">
      <c r="A66374" s="1" t="n">
        <v>66373</v>
      </c>
      <c r="B66374">
        <f>TEXT(66373, "[$-0E0000]yyyy-mm-dd")</f>
        <v/>
      </c>
      <c r="C66374" t="inlineStr">
        <is>
          <t>2081-08-18</t>
        </is>
      </c>
    </row>
    <row r="66375">
      <c r="A66375" s="1" t="n">
        <v>66374</v>
      </c>
      <c r="B66375">
        <f>TEXT(66374, "[$-0E0000]yyyy-mm-dd")</f>
        <v/>
      </c>
      <c r="C66375" t="inlineStr">
        <is>
          <t>2081-08-19</t>
        </is>
      </c>
    </row>
    <row r="66376">
      <c r="A66376" s="1" t="n">
        <v>66375</v>
      </c>
      <c r="B66376">
        <f>TEXT(66375, "[$-0E0000]yyyy-mm-dd")</f>
        <v/>
      </c>
      <c r="C66376" t="inlineStr">
        <is>
          <t>2081-08-20</t>
        </is>
      </c>
    </row>
    <row r="66377">
      <c r="A66377" s="1" t="n">
        <v>66376</v>
      </c>
      <c r="B66377">
        <f>TEXT(66376, "[$-0E0000]yyyy-mm-dd")</f>
        <v/>
      </c>
      <c r="C66377" t="inlineStr">
        <is>
          <t>2081-08-21</t>
        </is>
      </c>
    </row>
    <row r="66378">
      <c r="A66378" s="1" t="n">
        <v>66377</v>
      </c>
      <c r="B66378">
        <f>TEXT(66377, "[$-0E0000]yyyy-mm-dd")</f>
        <v/>
      </c>
      <c r="C66378" t="inlineStr">
        <is>
          <t>2081-08-22</t>
        </is>
      </c>
    </row>
    <row r="66379">
      <c r="A66379" s="1" t="n">
        <v>66378</v>
      </c>
      <c r="B66379">
        <f>TEXT(66378, "[$-0E0000]yyyy-mm-dd")</f>
        <v/>
      </c>
      <c r="C66379" t="inlineStr">
        <is>
          <t>2081-08-23</t>
        </is>
      </c>
    </row>
    <row r="66380">
      <c r="A66380" s="1" t="n">
        <v>66379</v>
      </c>
      <c r="B66380">
        <f>TEXT(66379, "[$-0E0000]yyyy-mm-dd")</f>
        <v/>
      </c>
      <c r="C66380" t="inlineStr">
        <is>
          <t>2081-08-24</t>
        </is>
      </c>
    </row>
    <row r="66381">
      <c r="A66381" s="1" t="n">
        <v>66380</v>
      </c>
      <c r="B66381">
        <f>TEXT(66380, "[$-0E0000]yyyy-mm-dd")</f>
        <v/>
      </c>
      <c r="C66381" t="inlineStr">
        <is>
          <t>2081-08-25</t>
        </is>
      </c>
    </row>
    <row r="66382">
      <c r="A66382" s="1" t="n">
        <v>66381</v>
      </c>
      <c r="B66382">
        <f>TEXT(66381, "[$-0E0000]yyyy-mm-dd")</f>
        <v/>
      </c>
      <c r="C66382" t="inlineStr">
        <is>
          <t>2081-08-26</t>
        </is>
      </c>
    </row>
    <row r="66383">
      <c r="A66383" s="1" t="n">
        <v>66382</v>
      </c>
      <c r="B66383">
        <f>TEXT(66382, "[$-0E0000]yyyy-mm-dd")</f>
        <v/>
      </c>
      <c r="C66383" t="inlineStr">
        <is>
          <t>2081-08-27</t>
        </is>
      </c>
    </row>
    <row r="66384">
      <c r="A66384" s="1" t="n">
        <v>66383</v>
      </c>
      <c r="B66384">
        <f>TEXT(66383, "[$-0E0000]yyyy-mm-dd")</f>
        <v/>
      </c>
      <c r="C66384" t="inlineStr">
        <is>
          <t>2081-08-28</t>
        </is>
      </c>
    </row>
    <row r="66385">
      <c r="A66385" s="1" t="n">
        <v>66384</v>
      </c>
      <c r="B66385">
        <f>TEXT(66384, "[$-0E0000]yyyy-mm-dd")</f>
        <v/>
      </c>
      <c r="C66385" t="inlineStr">
        <is>
          <t>2081-08-29</t>
        </is>
      </c>
    </row>
    <row r="66386">
      <c r="A66386" s="1" t="n">
        <v>66385</v>
      </c>
      <c r="B66386">
        <f>TEXT(66385, "[$-0E0000]yyyy-mm-dd")</f>
        <v/>
      </c>
      <c r="C66386" t="inlineStr">
        <is>
          <t>2081-08-30</t>
        </is>
      </c>
    </row>
    <row r="66387">
      <c r="A66387" s="1" t="n">
        <v>66386</v>
      </c>
      <c r="B66387">
        <f>TEXT(66386, "[$-0E0000]yyyy-mm-dd")</f>
        <v/>
      </c>
      <c r="C66387" t="inlineStr">
        <is>
          <t>2081-09-01</t>
        </is>
      </c>
    </row>
    <row r="66388">
      <c r="A66388" s="1" t="n">
        <v>66387</v>
      </c>
      <c r="B66388">
        <f>TEXT(66387, "[$-0E0000]yyyy-mm-dd")</f>
        <v/>
      </c>
      <c r="C66388" t="inlineStr">
        <is>
          <t>2081-09-02</t>
        </is>
      </c>
    </row>
    <row r="66389">
      <c r="A66389" s="1" t="n">
        <v>66388</v>
      </c>
      <c r="B66389">
        <f>TEXT(66388, "[$-0E0000]yyyy-mm-dd")</f>
        <v/>
      </c>
      <c r="C66389" t="inlineStr">
        <is>
          <t>2081-09-03</t>
        </is>
      </c>
    </row>
    <row r="66390">
      <c r="A66390" s="1" t="n">
        <v>66389</v>
      </c>
      <c r="B66390">
        <f>TEXT(66389, "[$-0E0000]yyyy-mm-dd")</f>
        <v/>
      </c>
      <c r="C66390" t="inlineStr">
        <is>
          <t>2081-09-04</t>
        </is>
      </c>
    </row>
    <row r="66391">
      <c r="A66391" s="1" t="n">
        <v>66390</v>
      </c>
      <c r="B66391">
        <f>TEXT(66390, "[$-0E0000]yyyy-mm-dd")</f>
        <v/>
      </c>
      <c r="C66391" t="inlineStr">
        <is>
          <t>2081-09-05</t>
        </is>
      </c>
    </row>
    <row r="66392">
      <c r="A66392" s="1" t="n">
        <v>66391</v>
      </c>
      <c r="B66392">
        <f>TEXT(66391, "[$-0E0000]yyyy-mm-dd")</f>
        <v/>
      </c>
      <c r="C66392" t="inlineStr">
        <is>
          <t>2081-09-06</t>
        </is>
      </c>
    </row>
    <row r="66393">
      <c r="A66393" s="1" t="n">
        <v>66392</v>
      </c>
      <c r="B66393">
        <f>TEXT(66392, "[$-0E0000]yyyy-mm-dd")</f>
        <v/>
      </c>
      <c r="C66393" t="inlineStr">
        <is>
          <t>2081-09-07</t>
        </is>
      </c>
    </row>
    <row r="66394">
      <c r="A66394" s="1" t="n">
        <v>66393</v>
      </c>
      <c r="B66394">
        <f>TEXT(66393, "[$-0E0000]yyyy-mm-dd")</f>
        <v/>
      </c>
      <c r="C66394" t="inlineStr">
        <is>
          <t>2081-09-08</t>
        </is>
      </c>
    </row>
    <row r="66395">
      <c r="A66395" s="1" t="n">
        <v>66394</v>
      </c>
      <c r="B66395">
        <f>TEXT(66394, "[$-0E0000]yyyy-mm-dd")</f>
        <v/>
      </c>
      <c r="C66395" t="inlineStr">
        <is>
          <t>2081-09-09</t>
        </is>
      </c>
    </row>
    <row r="66396">
      <c r="A66396" s="1" t="n">
        <v>66395</v>
      </c>
      <c r="B66396">
        <f>TEXT(66395, "[$-0E0000]yyyy-mm-dd")</f>
        <v/>
      </c>
      <c r="C66396" t="inlineStr">
        <is>
          <t>2081-09-10</t>
        </is>
      </c>
    </row>
    <row r="66397">
      <c r="A66397" s="1" t="n">
        <v>66396</v>
      </c>
      <c r="B66397">
        <f>TEXT(66396, "[$-0E0000]yyyy-mm-dd")</f>
        <v/>
      </c>
      <c r="C66397" t="inlineStr">
        <is>
          <t>2081-09-11</t>
        </is>
      </c>
    </row>
    <row r="66398">
      <c r="A66398" s="1" t="n">
        <v>66397</v>
      </c>
      <c r="B66398">
        <f>TEXT(66397, "[$-0E0000]yyyy-mm-dd")</f>
        <v/>
      </c>
      <c r="C66398" t="inlineStr">
        <is>
          <t>2081-09-12</t>
        </is>
      </c>
    </row>
    <row r="66399">
      <c r="A66399" s="1" t="n">
        <v>66398</v>
      </c>
      <c r="B66399">
        <f>TEXT(66398, "[$-0E0000]yyyy-mm-dd")</f>
        <v/>
      </c>
      <c r="C66399" t="inlineStr">
        <is>
          <t>2081-09-13</t>
        </is>
      </c>
    </row>
    <row r="66400">
      <c r="A66400" s="1" t="n">
        <v>66399</v>
      </c>
      <c r="B66400">
        <f>TEXT(66399, "[$-0E0000]yyyy-mm-dd")</f>
        <v/>
      </c>
      <c r="C66400" t="inlineStr">
        <is>
          <t>2081-09-14</t>
        </is>
      </c>
    </row>
    <row r="66401">
      <c r="A66401" s="1" t="n">
        <v>66400</v>
      </c>
      <c r="B66401">
        <f>TEXT(66400, "[$-0E0000]yyyy-mm-dd")</f>
        <v/>
      </c>
      <c r="C66401" t="inlineStr">
        <is>
          <t>2081-09-15</t>
        </is>
      </c>
    </row>
    <row r="66402">
      <c r="A66402" s="1" t="n">
        <v>66401</v>
      </c>
      <c r="B66402">
        <f>TEXT(66401, "[$-0E0000]yyyy-mm-dd")</f>
        <v/>
      </c>
      <c r="C66402" t="inlineStr">
        <is>
          <t>2081-09-16</t>
        </is>
      </c>
    </row>
    <row r="66403">
      <c r="A66403" s="1" t="n">
        <v>66402</v>
      </c>
      <c r="B66403">
        <f>TEXT(66402, "[$-0E0000]yyyy-mm-dd")</f>
        <v/>
      </c>
      <c r="C66403" t="inlineStr">
        <is>
          <t>2081-09-17</t>
        </is>
      </c>
    </row>
    <row r="66404">
      <c r="A66404" s="1" t="n">
        <v>66403</v>
      </c>
      <c r="B66404">
        <f>TEXT(66403, "[$-0E0000]yyyy-mm-dd")</f>
        <v/>
      </c>
      <c r="C66404" t="inlineStr">
        <is>
          <t>2081-09-18</t>
        </is>
      </c>
    </row>
    <row r="66405">
      <c r="A66405" s="1" t="n">
        <v>66404</v>
      </c>
      <c r="B66405">
        <f>TEXT(66404, "[$-0E0000]yyyy-mm-dd")</f>
        <v/>
      </c>
      <c r="C66405" t="inlineStr">
        <is>
          <t>2081-09-19</t>
        </is>
      </c>
    </row>
    <row r="66406">
      <c r="A66406" s="1" t="n">
        <v>66405</v>
      </c>
      <c r="B66406">
        <f>TEXT(66405, "[$-0E0000]yyyy-mm-dd")</f>
        <v/>
      </c>
      <c r="C66406" t="inlineStr">
        <is>
          <t>2081-09-20</t>
        </is>
      </c>
    </row>
    <row r="66407">
      <c r="A66407" s="1" t="n">
        <v>66406</v>
      </c>
      <c r="B66407">
        <f>TEXT(66406, "[$-0E0000]yyyy-mm-dd")</f>
        <v/>
      </c>
      <c r="C66407" t="inlineStr">
        <is>
          <t>2081-09-21</t>
        </is>
      </c>
    </row>
    <row r="66408">
      <c r="A66408" s="1" t="n">
        <v>66407</v>
      </c>
      <c r="B66408">
        <f>TEXT(66407, "[$-0E0000]yyyy-mm-dd")</f>
        <v/>
      </c>
      <c r="C66408" t="inlineStr">
        <is>
          <t>2081-09-22</t>
        </is>
      </c>
    </row>
    <row r="66409">
      <c r="A66409" s="1" t="n">
        <v>66408</v>
      </c>
      <c r="B66409">
        <f>TEXT(66408, "[$-0E0000]yyyy-mm-dd")</f>
        <v/>
      </c>
      <c r="C66409" t="inlineStr">
        <is>
          <t>2081-09-23</t>
        </is>
      </c>
    </row>
    <row r="66410">
      <c r="A66410" s="1" t="n">
        <v>66409</v>
      </c>
      <c r="B66410">
        <f>TEXT(66409, "[$-0E0000]yyyy-mm-dd")</f>
        <v/>
      </c>
      <c r="C66410" t="inlineStr">
        <is>
          <t>2081-09-24</t>
        </is>
      </c>
    </row>
    <row r="66411">
      <c r="A66411" s="1" t="n">
        <v>66410</v>
      </c>
      <c r="B66411">
        <f>TEXT(66410, "[$-0E0000]yyyy-mm-dd")</f>
        <v/>
      </c>
      <c r="C66411" t="inlineStr">
        <is>
          <t>2081-09-25</t>
        </is>
      </c>
    </row>
    <row r="66412">
      <c r="A66412" s="1" t="n">
        <v>66411</v>
      </c>
      <c r="B66412">
        <f>TEXT(66411, "[$-0E0000]yyyy-mm-dd")</f>
        <v/>
      </c>
      <c r="C66412" t="inlineStr">
        <is>
          <t>2081-09-26</t>
        </is>
      </c>
    </row>
    <row r="66413">
      <c r="A66413" s="1" t="n">
        <v>66412</v>
      </c>
      <c r="B66413">
        <f>TEXT(66412, "[$-0E0000]yyyy-mm-dd")</f>
        <v/>
      </c>
      <c r="C66413" t="inlineStr">
        <is>
          <t>2081-09-27</t>
        </is>
      </c>
    </row>
    <row r="66414">
      <c r="A66414" s="1" t="n">
        <v>66413</v>
      </c>
      <c r="B66414">
        <f>TEXT(66413, "[$-0E0000]yyyy-mm-dd")</f>
        <v/>
      </c>
      <c r="C66414" t="inlineStr">
        <is>
          <t>2081-09-28</t>
        </is>
      </c>
    </row>
    <row r="66415">
      <c r="A66415" s="1" t="n">
        <v>66414</v>
      </c>
      <c r="B66415">
        <f>TEXT(66414, "[$-0E0000]yyyy-mm-dd")</f>
        <v/>
      </c>
      <c r="C66415" t="inlineStr">
        <is>
          <t>2081-09-29</t>
        </is>
      </c>
    </row>
    <row r="66416">
      <c r="A66416" s="1" t="n">
        <v>66415</v>
      </c>
      <c r="B66416">
        <f>TEXT(66415, "[$-0E0000]yyyy-mm-dd")</f>
        <v/>
      </c>
      <c r="C66416" t="inlineStr">
        <is>
          <t>2081-10-01</t>
        </is>
      </c>
    </row>
    <row r="66417">
      <c r="A66417" s="1" t="n">
        <v>66416</v>
      </c>
      <c r="B66417">
        <f>TEXT(66416, "[$-0E0000]yyyy-mm-dd")</f>
        <v/>
      </c>
      <c r="C66417" t="inlineStr">
        <is>
          <t>2081-10-02</t>
        </is>
      </c>
    </row>
    <row r="66418">
      <c r="A66418" s="1" t="n">
        <v>66417</v>
      </c>
      <c r="B66418">
        <f>TEXT(66417, "[$-0E0000]yyyy-mm-dd")</f>
        <v/>
      </c>
      <c r="C66418" t="inlineStr">
        <is>
          <t>2081-10-03</t>
        </is>
      </c>
    </row>
    <row r="66419">
      <c r="A66419" s="1" t="n">
        <v>66418</v>
      </c>
      <c r="B66419">
        <f>TEXT(66418, "[$-0E0000]yyyy-mm-dd")</f>
        <v/>
      </c>
      <c r="C66419" t="inlineStr">
        <is>
          <t>2081-10-04</t>
        </is>
      </c>
    </row>
    <row r="66420">
      <c r="A66420" s="1" t="n">
        <v>66419</v>
      </c>
      <c r="B66420">
        <f>TEXT(66419, "[$-0E0000]yyyy-mm-dd")</f>
        <v/>
      </c>
      <c r="C66420" t="inlineStr">
        <is>
          <t>2081-10-05</t>
        </is>
      </c>
    </row>
    <row r="66421">
      <c r="A66421" s="1" t="n">
        <v>66420</v>
      </c>
      <c r="B66421">
        <f>TEXT(66420, "[$-0E0000]yyyy-mm-dd")</f>
        <v/>
      </c>
      <c r="C66421" t="inlineStr">
        <is>
          <t>2081-10-06</t>
        </is>
      </c>
    </row>
    <row r="66422">
      <c r="A66422" s="1" t="n">
        <v>66421</v>
      </c>
      <c r="B66422">
        <f>TEXT(66421, "[$-0E0000]yyyy-mm-dd")</f>
        <v/>
      </c>
      <c r="C66422" t="inlineStr">
        <is>
          <t>2081-10-07</t>
        </is>
      </c>
    </row>
    <row r="66423">
      <c r="A66423" s="1" t="n">
        <v>66422</v>
      </c>
      <c r="B66423">
        <f>TEXT(66422, "[$-0E0000]yyyy-mm-dd")</f>
        <v/>
      </c>
      <c r="C66423" t="inlineStr">
        <is>
          <t>2081-10-08</t>
        </is>
      </c>
    </row>
    <row r="66424">
      <c r="A66424" s="1" t="n">
        <v>66423</v>
      </c>
      <c r="B66424">
        <f>TEXT(66423, "[$-0E0000]yyyy-mm-dd")</f>
        <v/>
      </c>
      <c r="C66424" t="inlineStr">
        <is>
          <t>2081-10-09</t>
        </is>
      </c>
    </row>
    <row r="66425">
      <c r="A66425" s="1" t="n">
        <v>66424</v>
      </c>
      <c r="B66425">
        <f>TEXT(66424, "[$-0E0000]yyyy-mm-dd")</f>
        <v/>
      </c>
      <c r="C66425" t="inlineStr">
        <is>
          <t>2081-10-10</t>
        </is>
      </c>
    </row>
    <row r="66426">
      <c r="A66426" s="1" t="n">
        <v>66425</v>
      </c>
      <c r="B66426">
        <f>TEXT(66425, "[$-0E0000]yyyy-mm-dd")</f>
        <v/>
      </c>
      <c r="C66426" t="inlineStr">
        <is>
          <t>2081-10-11</t>
        </is>
      </c>
    </row>
    <row r="66427">
      <c r="A66427" s="1" t="n">
        <v>66426</v>
      </c>
      <c r="B66427">
        <f>TEXT(66426, "[$-0E0000]yyyy-mm-dd")</f>
        <v/>
      </c>
      <c r="C66427" t="inlineStr">
        <is>
          <t>2081-10-12</t>
        </is>
      </c>
    </row>
    <row r="66428">
      <c r="A66428" s="1" t="n">
        <v>66427</v>
      </c>
      <c r="B66428">
        <f>TEXT(66427, "[$-0E0000]yyyy-mm-dd")</f>
        <v/>
      </c>
      <c r="C66428" t="inlineStr">
        <is>
          <t>2081-10-13</t>
        </is>
      </c>
    </row>
    <row r="66429">
      <c r="A66429" s="1" t="n">
        <v>66428</v>
      </c>
      <c r="B66429">
        <f>TEXT(66428, "[$-0E0000]yyyy-mm-dd")</f>
        <v/>
      </c>
      <c r="C66429" t="inlineStr">
        <is>
          <t>2081-10-14</t>
        </is>
      </c>
    </row>
    <row r="66430">
      <c r="A66430" s="1" t="n">
        <v>66429</v>
      </c>
      <c r="B66430">
        <f>TEXT(66429, "[$-0E0000]yyyy-mm-dd")</f>
        <v/>
      </c>
      <c r="C66430" t="inlineStr">
        <is>
          <t>2081-10-15</t>
        </is>
      </c>
    </row>
    <row r="66431">
      <c r="A66431" s="1" t="n">
        <v>66430</v>
      </c>
      <c r="B66431">
        <f>TEXT(66430, "[$-0E0000]yyyy-mm-dd")</f>
        <v/>
      </c>
      <c r="C66431" t="inlineStr">
        <is>
          <t>2081-10-16</t>
        </is>
      </c>
    </row>
    <row r="66432">
      <c r="A66432" s="1" t="n">
        <v>66431</v>
      </c>
      <c r="B66432">
        <f>TEXT(66431, "[$-0E0000]yyyy-mm-dd")</f>
        <v/>
      </c>
      <c r="C66432" t="inlineStr">
        <is>
          <t>2081-10-17</t>
        </is>
      </c>
    </row>
    <row r="66433">
      <c r="A66433" s="1" t="n">
        <v>66432</v>
      </c>
      <c r="B66433">
        <f>TEXT(66432, "[$-0E0000]yyyy-mm-dd")</f>
        <v/>
      </c>
      <c r="C66433" t="inlineStr">
        <is>
          <t>2081-10-18</t>
        </is>
      </c>
    </row>
    <row r="66434">
      <c r="A66434" s="1" t="n">
        <v>66433</v>
      </c>
      <c r="B66434">
        <f>TEXT(66433, "[$-0E0000]yyyy-mm-dd")</f>
        <v/>
      </c>
      <c r="C66434" t="inlineStr">
        <is>
          <t>2081-10-19</t>
        </is>
      </c>
    </row>
    <row r="66435">
      <c r="A66435" s="1" t="n">
        <v>66434</v>
      </c>
      <c r="B66435">
        <f>TEXT(66434, "[$-0E0000]yyyy-mm-dd")</f>
        <v/>
      </c>
      <c r="C66435" t="inlineStr">
        <is>
          <t>2081-10-20</t>
        </is>
      </c>
    </row>
    <row r="66436">
      <c r="A66436" s="1" t="n">
        <v>66435</v>
      </c>
      <c r="B66436">
        <f>TEXT(66435, "[$-0E0000]yyyy-mm-dd")</f>
        <v/>
      </c>
      <c r="C66436" t="inlineStr">
        <is>
          <t>2081-10-21</t>
        </is>
      </c>
    </row>
    <row r="66437">
      <c r="A66437" s="1" t="n">
        <v>66436</v>
      </c>
      <c r="B66437">
        <f>TEXT(66436, "[$-0E0000]yyyy-mm-dd")</f>
        <v/>
      </c>
      <c r="C66437" t="inlineStr">
        <is>
          <t>2081-10-22</t>
        </is>
      </c>
    </row>
    <row r="66438">
      <c r="A66438" s="1" t="n">
        <v>66437</v>
      </c>
      <c r="B66438">
        <f>TEXT(66437, "[$-0E0000]yyyy-mm-dd")</f>
        <v/>
      </c>
      <c r="C66438" t="inlineStr">
        <is>
          <t>2081-10-23</t>
        </is>
      </c>
    </row>
    <row r="66439">
      <c r="A66439" s="1" t="n">
        <v>66438</v>
      </c>
      <c r="B66439">
        <f>TEXT(66438, "[$-0E0000]yyyy-mm-dd")</f>
        <v/>
      </c>
      <c r="C66439" t="inlineStr">
        <is>
          <t>2081-10-24</t>
        </is>
      </c>
    </row>
    <row r="66440">
      <c r="A66440" s="1" t="n">
        <v>66439</v>
      </c>
      <c r="B66440">
        <f>TEXT(66439, "[$-0E0000]yyyy-mm-dd")</f>
        <v/>
      </c>
      <c r="C66440" t="inlineStr">
        <is>
          <t>2081-10-25</t>
        </is>
      </c>
    </row>
    <row r="66441">
      <c r="A66441" s="1" t="n">
        <v>66440</v>
      </c>
      <c r="B66441">
        <f>TEXT(66440, "[$-0E0000]yyyy-mm-dd")</f>
        <v/>
      </c>
      <c r="C66441" t="inlineStr">
        <is>
          <t>2081-10-26</t>
        </is>
      </c>
    </row>
    <row r="66442">
      <c r="A66442" s="1" t="n">
        <v>66441</v>
      </c>
      <c r="B66442">
        <f>TEXT(66441, "[$-0E0000]yyyy-mm-dd")</f>
        <v/>
      </c>
      <c r="C66442" t="inlineStr">
        <is>
          <t>2081-10-27</t>
        </is>
      </c>
    </row>
    <row r="66443">
      <c r="A66443" s="1" t="n">
        <v>66442</v>
      </c>
      <c r="B66443">
        <f>TEXT(66442, "[$-0E0000]yyyy-mm-dd")</f>
        <v/>
      </c>
      <c r="C66443" t="inlineStr">
        <is>
          <t>2081-10-28</t>
        </is>
      </c>
    </row>
    <row r="66444">
      <c r="A66444" s="1" t="n">
        <v>66443</v>
      </c>
      <c r="B66444">
        <f>TEXT(66443, "[$-0E0000]yyyy-mm-dd")</f>
        <v/>
      </c>
      <c r="C66444" t="inlineStr">
        <is>
          <t>2081-10-29</t>
        </is>
      </c>
    </row>
    <row r="66445">
      <c r="A66445" s="1" t="n">
        <v>66444</v>
      </c>
      <c r="B66445">
        <f>TEXT(66444, "[$-0E0000]yyyy-mm-dd")</f>
        <v/>
      </c>
      <c r="C66445" t="inlineStr">
        <is>
          <t>2081-11-01</t>
        </is>
      </c>
    </row>
    <row r="66446">
      <c r="A66446" s="1" t="n">
        <v>66445</v>
      </c>
      <c r="B66446">
        <f>TEXT(66445, "[$-0E0000]yyyy-mm-dd")</f>
        <v/>
      </c>
      <c r="C66446" t="inlineStr">
        <is>
          <t>2081-11-02</t>
        </is>
      </c>
    </row>
    <row r="66447">
      <c r="A66447" s="1" t="n">
        <v>66446</v>
      </c>
      <c r="B66447">
        <f>TEXT(66446, "[$-0E0000]yyyy-mm-dd")</f>
        <v/>
      </c>
      <c r="C66447" t="inlineStr">
        <is>
          <t>2081-11-03</t>
        </is>
      </c>
    </row>
    <row r="66448">
      <c r="A66448" s="1" t="n">
        <v>66447</v>
      </c>
      <c r="B66448">
        <f>TEXT(66447, "[$-0E0000]yyyy-mm-dd")</f>
        <v/>
      </c>
      <c r="C66448" t="inlineStr">
        <is>
          <t>2081-11-04</t>
        </is>
      </c>
    </row>
    <row r="66449">
      <c r="A66449" s="1" t="n">
        <v>66448</v>
      </c>
      <c r="B66449">
        <f>TEXT(66448, "[$-0E0000]yyyy-mm-dd")</f>
        <v/>
      </c>
      <c r="C66449" t="inlineStr">
        <is>
          <t>2081-11-05</t>
        </is>
      </c>
    </row>
    <row r="66450">
      <c r="A66450" s="1" t="n">
        <v>66449</v>
      </c>
      <c r="B66450">
        <f>TEXT(66449, "[$-0E0000]yyyy-mm-dd")</f>
        <v/>
      </c>
      <c r="C66450" t="inlineStr">
        <is>
          <t>2081-11-06</t>
        </is>
      </c>
    </row>
    <row r="66451">
      <c r="A66451" s="1" t="n">
        <v>66450</v>
      </c>
      <c r="B66451">
        <f>TEXT(66450, "[$-0E0000]yyyy-mm-dd")</f>
        <v/>
      </c>
      <c r="C66451" t="inlineStr">
        <is>
          <t>2081-11-07</t>
        </is>
      </c>
    </row>
    <row r="66452">
      <c r="A66452" s="1" t="n">
        <v>66451</v>
      </c>
      <c r="B66452">
        <f>TEXT(66451, "[$-0E0000]yyyy-mm-dd")</f>
        <v/>
      </c>
      <c r="C66452" t="inlineStr">
        <is>
          <t>2081-11-08</t>
        </is>
      </c>
    </row>
    <row r="66453">
      <c r="A66453" s="1" t="n">
        <v>66452</v>
      </c>
      <c r="B66453">
        <f>TEXT(66452, "[$-0E0000]yyyy-mm-dd")</f>
        <v/>
      </c>
      <c r="C66453" t="inlineStr">
        <is>
          <t>2081-11-09</t>
        </is>
      </c>
    </row>
    <row r="66454">
      <c r="A66454" s="1" t="n">
        <v>66453</v>
      </c>
      <c r="B66454">
        <f>TEXT(66453, "[$-0E0000]yyyy-mm-dd")</f>
        <v/>
      </c>
      <c r="C66454" t="inlineStr">
        <is>
          <t>2081-11-10</t>
        </is>
      </c>
    </row>
    <row r="66455">
      <c r="A66455" s="1" t="n">
        <v>66454</v>
      </c>
      <c r="B66455">
        <f>TEXT(66454, "[$-0E0000]yyyy-mm-dd")</f>
        <v/>
      </c>
      <c r="C66455" t="inlineStr">
        <is>
          <t>2081-11-11</t>
        </is>
      </c>
    </row>
    <row r="66456">
      <c r="A66456" s="1" t="n">
        <v>66455</v>
      </c>
      <c r="B66456">
        <f>TEXT(66455, "[$-0E0000]yyyy-mm-dd")</f>
        <v/>
      </c>
      <c r="C66456" t="inlineStr">
        <is>
          <t>2081-11-12</t>
        </is>
      </c>
    </row>
    <row r="66457">
      <c r="A66457" s="1" t="n">
        <v>66456</v>
      </c>
      <c r="B66457">
        <f>TEXT(66456, "[$-0E0000]yyyy-mm-dd")</f>
        <v/>
      </c>
      <c r="C66457" t="inlineStr">
        <is>
          <t>2081-11-13</t>
        </is>
      </c>
    </row>
    <row r="66458">
      <c r="A66458" s="1" t="n">
        <v>66457</v>
      </c>
      <c r="B66458">
        <f>TEXT(66457, "[$-0E0000]yyyy-mm-dd")</f>
        <v/>
      </c>
      <c r="C66458" t="inlineStr">
        <is>
          <t>2081-11-14</t>
        </is>
      </c>
    </row>
    <row r="66459">
      <c r="A66459" s="1" t="n">
        <v>66458</v>
      </c>
      <c r="B66459">
        <f>TEXT(66458, "[$-0E0000]yyyy-mm-dd")</f>
        <v/>
      </c>
      <c r="C66459" t="inlineStr">
        <is>
          <t>2081-11-15</t>
        </is>
      </c>
    </row>
    <row r="66460">
      <c r="A66460" s="1" t="n">
        <v>66459</v>
      </c>
      <c r="B66460">
        <f>TEXT(66459, "[$-0E0000]yyyy-mm-dd")</f>
        <v/>
      </c>
      <c r="C66460" t="inlineStr">
        <is>
          <t>2081-11-16</t>
        </is>
      </c>
    </row>
    <row r="66461">
      <c r="A66461" s="1" t="n">
        <v>66460</v>
      </c>
      <c r="B66461">
        <f>TEXT(66460, "[$-0E0000]yyyy-mm-dd")</f>
        <v/>
      </c>
      <c r="C66461" t="inlineStr">
        <is>
          <t>2081-11-17</t>
        </is>
      </c>
    </row>
    <row r="66462">
      <c r="A66462" s="1" t="n">
        <v>66461</v>
      </c>
      <c r="B66462">
        <f>TEXT(66461, "[$-0E0000]yyyy-mm-dd")</f>
        <v/>
      </c>
      <c r="C66462" t="inlineStr">
        <is>
          <t>2081-11-18</t>
        </is>
      </c>
    </row>
    <row r="66463">
      <c r="A66463" s="1" t="n">
        <v>66462</v>
      </c>
      <c r="B66463">
        <f>TEXT(66462, "[$-0E0000]yyyy-mm-dd")</f>
        <v/>
      </c>
      <c r="C66463" t="inlineStr">
        <is>
          <t>2081-11-19</t>
        </is>
      </c>
    </row>
    <row r="66464">
      <c r="A66464" s="1" t="n">
        <v>66463</v>
      </c>
      <c r="B66464">
        <f>TEXT(66463, "[$-0E0000]yyyy-mm-dd")</f>
        <v/>
      </c>
      <c r="C66464" t="inlineStr">
        <is>
          <t>2081-11-20</t>
        </is>
      </c>
    </row>
    <row r="66465">
      <c r="A66465" s="1" t="n">
        <v>66464</v>
      </c>
      <c r="B66465">
        <f>TEXT(66464, "[$-0E0000]yyyy-mm-dd")</f>
        <v/>
      </c>
      <c r="C66465" t="inlineStr">
        <is>
          <t>2081-11-21</t>
        </is>
      </c>
    </row>
    <row r="66466">
      <c r="A66466" s="1" t="n">
        <v>66465</v>
      </c>
      <c r="B66466">
        <f>TEXT(66465, "[$-0E0000]yyyy-mm-dd")</f>
        <v/>
      </c>
      <c r="C66466" t="inlineStr">
        <is>
          <t>2081-11-22</t>
        </is>
      </c>
    </row>
    <row r="66467">
      <c r="A66467" s="1" t="n">
        <v>66466</v>
      </c>
      <c r="B66467">
        <f>TEXT(66466, "[$-0E0000]yyyy-mm-dd")</f>
        <v/>
      </c>
      <c r="C66467" t="inlineStr">
        <is>
          <t>2081-11-23</t>
        </is>
      </c>
    </row>
    <row r="66468">
      <c r="A66468" s="1" t="n">
        <v>66467</v>
      </c>
      <c r="B66468">
        <f>TEXT(66467, "[$-0E0000]yyyy-mm-dd")</f>
        <v/>
      </c>
      <c r="C66468" t="inlineStr">
        <is>
          <t>2081-11-24</t>
        </is>
      </c>
    </row>
    <row r="66469">
      <c r="A66469" s="1" t="n">
        <v>66468</v>
      </c>
      <c r="B66469">
        <f>TEXT(66468, "[$-0E0000]yyyy-mm-dd")</f>
        <v/>
      </c>
      <c r="C66469" t="inlineStr">
        <is>
          <t>2081-11-25</t>
        </is>
      </c>
    </row>
    <row r="66470">
      <c r="A66470" s="1" t="n">
        <v>66469</v>
      </c>
      <c r="B66470">
        <f>TEXT(66469, "[$-0E0000]yyyy-mm-dd")</f>
        <v/>
      </c>
      <c r="C66470" t="inlineStr">
        <is>
          <t>2081-11-26</t>
        </is>
      </c>
    </row>
    <row r="66471">
      <c r="A66471" s="1" t="n">
        <v>66470</v>
      </c>
      <c r="B66471">
        <f>TEXT(66470, "[$-0E0000]yyyy-mm-dd")</f>
        <v/>
      </c>
      <c r="C66471" t="inlineStr">
        <is>
          <t>2081-11-27</t>
        </is>
      </c>
    </row>
    <row r="66472">
      <c r="A66472" s="1" t="n">
        <v>66471</v>
      </c>
      <c r="B66472">
        <f>TEXT(66471, "[$-0E0000]yyyy-mm-dd")</f>
        <v/>
      </c>
      <c r="C66472" t="inlineStr">
        <is>
          <t>2081-11-28</t>
        </is>
      </c>
    </row>
    <row r="66473">
      <c r="A66473" s="1" t="n">
        <v>66472</v>
      </c>
      <c r="B66473">
        <f>TEXT(66472, "[$-0E0000]yyyy-mm-dd")</f>
        <v/>
      </c>
      <c r="C66473" t="inlineStr">
        <is>
          <t>2081-11-29</t>
        </is>
      </c>
    </row>
    <row r="66474">
      <c r="A66474" s="1" t="n">
        <v>66473</v>
      </c>
      <c r="B66474">
        <f>TEXT(66473, "[$-0E0000]yyyy-mm-dd")</f>
        <v/>
      </c>
      <c r="C66474" t="inlineStr">
        <is>
          <t>2081-11-30</t>
        </is>
      </c>
    </row>
    <row r="66475">
      <c r="A66475" s="1" t="n">
        <v>66474</v>
      </c>
      <c r="B66475">
        <f>TEXT(66474, "[$-0E0000]yyyy-mm-dd")</f>
        <v/>
      </c>
      <c r="C66475" t="inlineStr">
        <is>
          <t>2081-12-01</t>
        </is>
      </c>
    </row>
    <row r="66476">
      <c r="A66476" s="1" t="n">
        <v>66475</v>
      </c>
      <c r="B66476">
        <f>TEXT(66475, "[$-0E0000]yyyy-mm-dd")</f>
        <v/>
      </c>
      <c r="C66476" t="inlineStr">
        <is>
          <t>2081-12-02</t>
        </is>
      </c>
    </row>
    <row r="66477">
      <c r="A66477" s="1" t="n">
        <v>66476</v>
      </c>
      <c r="B66477">
        <f>TEXT(66476, "[$-0E0000]yyyy-mm-dd")</f>
        <v/>
      </c>
      <c r="C66477" t="inlineStr">
        <is>
          <t>2081-12-03</t>
        </is>
      </c>
    </row>
    <row r="66478">
      <c r="A66478" s="1" t="n">
        <v>66477</v>
      </c>
      <c r="B66478">
        <f>TEXT(66477, "[$-0E0000]yyyy-mm-dd")</f>
        <v/>
      </c>
      <c r="C66478" t="inlineStr">
        <is>
          <t>2081-12-04</t>
        </is>
      </c>
    </row>
    <row r="66479">
      <c r="A66479" s="1" t="n">
        <v>66478</v>
      </c>
      <c r="B66479">
        <f>TEXT(66478, "[$-0E0000]yyyy-mm-dd")</f>
        <v/>
      </c>
      <c r="C66479" t="inlineStr">
        <is>
          <t>2081-12-05</t>
        </is>
      </c>
    </row>
    <row r="66480">
      <c r="A66480" s="1" t="n">
        <v>66479</v>
      </c>
      <c r="B66480">
        <f>TEXT(66479, "[$-0E0000]yyyy-mm-dd")</f>
        <v/>
      </c>
      <c r="C66480" t="inlineStr">
        <is>
          <t>2081-12-06</t>
        </is>
      </c>
    </row>
    <row r="66481">
      <c r="A66481" s="1" t="n">
        <v>66480</v>
      </c>
      <c r="B66481">
        <f>TEXT(66480, "[$-0E0000]yyyy-mm-dd")</f>
        <v/>
      </c>
      <c r="C66481" t="inlineStr">
        <is>
          <t>2081-12-07</t>
        </is>
      </c>
    </row>
    <row r="66482">
      <c r="A66482" s="1" t="n">
        <v>66481</v>
      </c>
      <c r="B66482">
        <f>TEXT(66481, "[$-0E0000]yyyy-mm-dd")</f>
        <v/>
      </c>
      <c r="C66482" t="inlineStr">
        <is>
          <t>2081-12-08</t>
        </is>
      </c>
    </row>
    <row r="66483">
      <c r="A66483" s="1" t="n">
        <v>66482</v>
      </c>
      <c r="B66483">
        <f>TEXT(66482, "[$-0E0000]yyyy-mm-dd")</f>
        <v/>
      </c>
      <c r="C66483" t="inlineStr">
        <is>
          <t>2081-12-09</t>
        </is>
      </c>
    </row>
    <row r="66484">
      <c r="A66484" s="1" t="n">
        <v>66483</v>
      </c>
      <c r="B66484">
        <f>TEXT(66483, "[$-0E0000]yyyy-mm-dd")</f>
        <v/>
      </c>
      <c r="C66484" t="inlineStr">
        <is>
          <t>2081-12-10</t>
        </is>
      </c>
    </row>
    <row r="66485">
      <c r="A66485" s="1" t="n">
        <v>66484</v>
      </c>
      <c r="B66485">
        <f>TEXT(66484, "[$-0E0000]yyyy-mm-dd")</f>
        <v/>
      </c>
      <c r="C66485" t="inlineStr">
        <is>
          <t>2081-12-11</t>
        </is>
      </c>
    </row>
    <row r="66486">
      <c r="A66486" s="1" t="n">
        <v>66485</v>
      </c>
      <c r="B66486">
        <f>TEXT(66485, "[$-0E0000]yyyy-mm-dd")</f>
        <v/>
      </c>
      <c r="C66486" t="inlineStr">
        <is>
          <t>2081-12-12</t>
        </is>
      </c>
    </row>
    <row r="66487">
      <c r="A66487" s="1" t="n">
        <v>66486</v>
      </c>
      <c r="B66487">
        <f>TEXT(66486, "[$-0E0000]yyyy-mm-dd")</f>
        <v/>
      </c>
      <c r="C66487" t="inlineStr">
        <is>
          <t>2081-12-13</t>
        </is>
      </c>
    </row>
    <row r="66488">
      <c r="A66488" s="1" t="n">
        <v>66487</v>
      </c>
      <c r="B66488">
        <f>TEXT(66487, "[$-0E0000]yyyy-mm-dd")</f>
        <v/>
      </c>
      <c r="C66488" t="inlineStr">
        <is>
          <t>2081-12-14</t>
        </is>
      </c>
    </row>
    <row r="66489">
      <c r="A66489" s="1" t="n">
        <v>66488</v>
      </c>
      <c r="B66489">
        <f>TEXT(66488, "[$-0E0000]yyyy-mm-dd")</f>
        <v/>
      </c>
      <c r="C66489" t="inlineStr">
        <is>
          <t>2081-12-15</t>
        </is>
      </c>
    </row>
    <row r="66490">
      <c r="A66490" s="1" t="n">
        <v>66489</v>
      </c>
      <c r="B66490">
        <f>TEXT(66489, "[$-0E0000]yyyy-mm-dd")</f>
        <v/>
      </c>
      <c r="C66490" t="inlineStr">
        <is>
          <t>2081-12-16</t>
        </is>
      </c>
    </row>
    <row r="66491">
      <c r="A66491" s="1" t="n">
        <v>66490</v>
      </c>
      <c r="B66491">
        <f>TEXT(66490, "[$-0E0000]yyyy-mm-dd")</f>
        <v/>
      </c>
      <c r="C66491" t="inlineStr">
        <is>
          <t>2081-12-17</t>
        </is>
      </c>
    </row>
    <row r="66492">
      <c r="A66492" s="1" t="n">
        <v>66491</v>
      </c>
      <c r="B66492">
        <f>TEXT(66491, "[$-0E0000]yyyy-mm-dd")</f>
        <v/>
      </c>
      <c r="C66492" t="inlineStr">
        <is>
          <t>2081-12-18</t>
        </is>
      </c>
    </row>
    <row r="66493">
      <c r="A66493" s="1" t="n">
        <v>66492</v>
      </c>
      <c r="B66493">
        <f>TEXT(66492, "[$-0E0000]yyyy-mm-dd")</f>
        <v/>
      </c>
      <c r="C66493" t="inlineStr">
        <is>
          <t>2081-12-19</t>
        </is>
      </c>
    </row>
    <row r="66494">
      <c r="A66494" s="1" t="n">
        <v>66493</v>
      </c>
      <c r="B66494">
        <f>TEXT(66493, "[$-0E0000]yyyy-mm-dd")</f>
        <v/>
      </c>
      <c r="C66494" t="inlineStr">
        <is>
          <t>2081-12-20</t>
        </is>
      </c>
    </row>
    <row r="66495">
      <c r="A66495" s="1" t="n">
        <v>66494</v>
      </c>
      <c r="B66495">
        <f>TEXT(66494, "[$-0E0000]yyyy-mm-dd")</f>
        <v/>
      </c>
      <c r="C66495" t="inlineStr">
        <is>
          <t>2081-12-21</t>
        </is>
      </c>
    </row>
    <row r="66496">
      <c r="A66496" s="1" t="n">
        <v>66495</v>
      </c>
      <c r="B66496">
        <f>TEXT(66495, "[$-0E0000]yyyy-mm-dd")</f>
        <v/>
      </c>
      <c r="C66496" t="inlineStr">
        <is>
          <t>2081-12-22</t>
        </is>
      </c>
    </row>
    <row r="66497">
      <c r="A66497" s="1" t="n">
        <v>66496</v>
      </c>
      <c r="B66497">
        <f>TEXT(66496, "[$-0E0000]yyyy-mm-dd")</f>
        <v/>
      </c>
      <c r="C66497" t="inlineStr">
        <is>
          <t>2081-12-23</t>
        </is>
      </c>
    </row>
    <row r="66498">
      <c r="A66498" s="1" t="n">
        <v>66497</v>
      </c>
      <c r="B66498">
        <f>TEXT(66497, "[$-0E0000]yyyy-mm-dd")</f>
        <v/>
      </c>
      <c r="C66498" t="inlineStr">
        <is>
          <t>2081-12-24</t>
        </is>
      </c>
    </row>
    <row r="66499">
      <c r="A66499" s="1" t="n">
        <v>66498</v>
      </c>
      <c r="B66499">
        <f>TEXT(66498, "[$-0E0000]yyyy-mm-dd")</f>
        <v/>
      </c>
      <c r="C66499" t="inlineStr">
        <is>
          <t>2081-12-25</t>
        </is>
      </c>
    </row>
    <row r="66500">
      <c r="A66500" s="1" t="n">
        <v>66499</v>
      </c>
      <c r="B66500">
        <f>TEXT(66499, "[$-0E0000]yyyy-mm-dd")</f>
        <v/>
      </c>
      <c r="C66500" t="inlineStr">
        <is>
          <t>2081-12-26</t>
        </is>
      </c>
    </row>
    <row r="66501">
      <c r="A66501" s="1" t="n">
        <v>66500</v>
      </c>
      <c r="B66501">
        <f>TEXT(66500, "[$-0E0000]yyyy-mm-dd")</f>
        <v/>
      </c>
      <c r="C66501" t="inlineStr">
        <is>
          <t>2081-12-27</t>
        </is>
      </c>
    </row>
    <row r="66502">
      <c r="A66502" s="1" t="n">
        <v>66501</v>
      </c>
      <c r="B66502">
        <f>TEXT(66501, "[$-0E0000]yyyy-mm-dd")</f>
        <v/>
      </c>
      <c r="C66502" t="inlineStr">
        <is>
          <t>2081-12-28</t>
        </is>
      </c>
    </row>
    <row r="66503">
      <c r="A66503" s="1" t="n">
        <v>66502</v>
      </c>
      <c r="B66503">
        <f>TEXT(66502, "[$-0E0000]yyyy-mm-dd")</f>
        <v/>
      </c>
      <c r="C66503" t="inlineStr">
        <is>
          <t>2081-12-29</t>
        </is>
      </c>
    </row>
    <row r="66504">
      <c r="A66504" s="1" t="n">
        <v>66503</v>
      </c>
      <c r="B66504">
        <f>TEXT(66503, "[$-0E0000]yyyy-mm-dd")</f>
        <v/>
      </c>
      <c r="C66504" t="inlineStr">
        <is>
          <t>2081-12-30</t>
        </is>
      </c>
    </row>
    <row r="66505">
      <c r="A66505" s="1" t="n">
        <v>66504</v>
      </c>
      <c r="B66505">
        <f>TEXT(66504, "[$-0E0000]yyyy-mm-dd")</f>
        <v/>
      </c>
      <c r="C66505" t="inlineStr">
        <is>
          <t>2082-01-01</t>
        </is>
      </c>
    </row>
    <row r="66506">
      <c r="A66506" s="1" t="n">
        <v>66505</v>
      </c>
      <c r="B66506">
        <f>TEXT(66505, "[$-0E0000]yyyy-mm-dd")</f>
        <v/>
      </c>
      <c r="C66506" t="inlineStr">
        <is>
          <t>2082-01-02</t>
        </is>
      </c>
    </row>
    <row r="66507">
      <c r="A66507" s="1" t="n">
        <v>66506</v>
      </c>
      <c r="B66507">
        <f>TEXT(66506, "[$-0E0000]yyyy-mm-dd")</f>
        <v/>
      </c>
      <c r="C66507" t="inlineStr">
        <is>
          <t>2082-01-03</t>
        </is>
      </c>
    </row>
    <row r="66508">
      <c r="A66508" s="1" t="n">
        <v>66507</v>
      </c>
      <c r="B66508">
        <f>TEXT(66507, "[$-0E0000]yyyy-mm-dd")</f>
        <v/>
      </c>
      <c r="C66508" t="inlineStr">
        <is>
          <t>2082-01-04</t>
        </is>
      </c>
    </row>
    <row r="66509">
      <c r="A66509" s="1" t="n">
        <v>66508</v>
      </c>
      <c r="B66509">
        <f>TEXT(66508, "[$-0E0000]yyyy-mm-dd")</f>
        <v/>
      </c>
      <c r="C66509" t="inlineStr">
        <is>
          <t>2082-01-05</t>
        </is>
      </c>
    </row>
    <row r="66510">
      <c r="A66510" s="1" t="n">
        <v>66509</v>
      </c>
      <c r="B66510">
        <f>TEXT(66509, "[$-0E0000]yyyy-mm-dd")</f>
        <v/>
      </c>
      <c r="C66510" t="inlineStr">
        <is>
          <t>2082-01-06</t>
        </is>
      </c>
    </row>
    <row r="66511">
      <c r="A66511" s="1" t="n">
        <v>66510</v>
      </c>
      <c r="B66511">
        <f>TEXT(66510, "[$-0E0000]yyyy-mm-dd")</f>
        <v/>
      </c>
      <c r="C66511" t="inlineStr">
        <is>
          <t>2082-01-07</t>
        </is>
      </c>
    </row>
    <row r="66512">
      <c r="A66512" s="1" t="n">
        <v>66511</v>
      </c>
      <c r="B66512">
        <f>TEXT(66511, "[$-0E0000]yyyy-mm-dd")</f>
        <v/>
      </c>
      <c r="C66512" t="inlineStr">
        <is>
          <t>2082-01-08</t>
        </is>
      </c>
    </row>
    <row r="66513">
      <c r="A66513" s="1" t="n">
        <v>66512</v>
      </c>
      <c r="B66513">
        <f>TEXT(66512, "[$-0E0000]yyyy-mm-dd")</f>
        <v/>
      </c>
      <c r="C66513" t="inlineStr">
        <is>
          <t>2082-01-09</t>
        </is>
      </c>
    </row>
    <row r="66514">
      <c r="A66514" s="1" t="n">
        <v>66513</v>
      </c>
      <c r="B66514">
        <f>TEXT(66513, "[$-0E0000]yyyy-mm-dd")</f>
        <v/>
      </c>
      <c r="C66514" t="inlineStr">
        <is>
          <t>2082-01-10</t>
        </is>
      </c>
    </row>
    <row r="66515">
      <c r="A66515" s="1" t="n">
        <v>66514</v>
      </c>
      <c r="B66515">
        <f>TEXT(66514, "[$-0E0000]yyyy-mm-dd")</f>
        <v/>
      </c>
      <c r="C66515" t="inlineStr">
        <is>
          <t>2082-01-11</t>
        </is>
      </c>
    </row>
    <row r="66516">
      <c r="A66516" s="1" t="n">
        <v>66515</v>
      </c>
      <c r="B66516">
        <f>TEXT(66515, "[$-0E0000]yyyy-mm-dd")</f>
        <v/>
      </c>
      <c r="C66516" t="inlineStr">
        <is>
          <t>2082-01-12</t>
        </is>
      </c>
    </row>
    <row r="66517">
      <c r="A66517" s="1" t="n">
        <v>66516</v>
      </c>
      <c r="B66517">
        <f>TEXT(66516, "[$-0E0000]yyyy-mm-dd")</f>
        <v/>
      </c>
      <c r="C66517" t="inlineStr">
        <is>
          <t>2082-01-13</t>
        </is>
      </c>
    </row>
    <row r="66518">
      <c r="A66518" s="1" t="n">
        <v>66517</v>
      </c>
      <c r="B66518">
        <f>TEXT(66517, "[$-0E0000]yyyy-mm-dd")</f>
        <v/>
      </c>
      <c r="C66518" t="inlineStr">
        <is>
          <t>2082-01-14</t>
        </is>
      </c>
    </row>
    <row r="66519">
      <c r="A66519" s="1" t="n">
        <v>66518</v>
      </c>
      <c r="B66519">
        <f>TEXT(66518, "[$-0E0000]yyyy-mm-dd")</f>
        <v/>
      </c>
      <c r="C66519" t="inlineStr">
        <is>
          <t>2082-01-15</t>
        </is>
      </c>
    </row>
    <row r="66520">
      <c r="A66520" s="1" t="n">
        <v>66519</v>
      </c>
      <c r="B66520">
        <f>TEXT(66519, "[$-0E0000]yyyy-mm-dd")</f>
        <v/>
      </c>
      <c r="C66520" t="inlineStr">
        <is>
          <t>2082-01-16</t>
        </is>
      </c>
    </row>
    <row r="66521">
      <c r="A66521" s="1" t="n">
        <v>66520</v>
      </c>
      <c r="B66521">
        <f>TEXT(66520, "[$-0E0000]yyyy-mm-dd")</f>
        <v/>
      </c>
      <c r="C66521" t="inlineStr">
        <is>
          <t>2082-01-17</t>
        </is>
      </c>
    </row>
    <row r="66522">
      <c r="A66522" s="1" t="n">
        <v>66521</v>
      </c>
      <c r="B66522">
        <f>TEXT(66521, "[$-0E0000]yyyy-mm-dd")</f>
        <v/>
      </c>
      <c r="C66522" t="inlineStr">
        <is>
          <t>2082-01-18</t>
        </is>
      </c>
    </row>
    <row r="66523">
      <c r="A66523" s="1" t="n">
        <v>66522</v>
      </c>
      <c r="B66523">
        <f>TEXT(66522, "[$-0E0000]yyyy-mm-dd")</f>
        <v/>
      </c>
      <c r="C66523" t="inlineStr">
        <is>
          <t>2082-01-19</t>
        </is>
      </c>
    </row>
    <row r="66524">
      <c r="A66524" s="1" t="n">
        <v>66523</v>
      </c>
      <c r="B66524">
        <f>TEXT(66523, "[$-0E0000]yyyy-mm-dd")</f>
        <v/>
      </c>
      <c r="C66524" t="inlineStr">
        <is>
          <t>2082-01-20</t>
        </is>
      </c>
    </row>
    <row r="66525">
      <c r="A66525" s="1" t="n">
        <v>66524</v>
      </c>
      <c r="B66525">
        <f>TEXT(66524, "[$-0E0000]yyyy-mm-dd")</f>
        <v/>
      </c>
      <c r="C66525" t="inlineStr">
        <is>
          <t>2082-01-21</t>
        </is>
      </c>
    </row>
    <row r="66526">
      <c r="A66526" s="1" t="n">
        <v>66525</v>
      </c>
      <c r="B66526">
        <f>TEXT(66525, "[$-0E0000]yyyy-mm-dd")</f>
        <v/>
      </c>
      <c r="C66526" t="inlineStr">
        <is>
          <t>2082-01-22</t>
        </is>
      </c>
    </row>
    <row r="66527">
      <c r="A66527" s="1" t="n">
        <v>66526</v>
      </c>
      <c r="B66527">
        <f>TEXT(66526, "[$-0E0000]yyyy-mm-dd")</f>
        <v/>
      </c>
      <c r="C66527" t="inlineStr">
        <is>
          <t>2082-01-23</t>
        </is>
      </c>
    </row>
    <row r="66528">
      <c r="A66528" s="1" t="n">
        <v>66527</v>
      </c>
      <c r="B66528">
        <f>TEXT(66527, "[$-0E0000]yyyy-mm-dd")</f>
        <v/>
      </c>
      <c r="C66528" t="inlineStr">
        <is>
          <t>2082-01-24</t>
        </is>
      </c>
    </row>
    <row r="66529">
      <c r="A66529" s="1" t="n">
        <v>66528</v>
      </c>
      <c r="B66529">
        <f>TEXT(66528, "[$-0E0000]yyyy-mm-dd")</f>
        <v/>
      </c>
      <c r="C66529" t="inlineStr">
        <is>
          <t>2082-01-25</t>
        </is>
      </c>
    </row>
    <row r="66530">
      <c r="A66530" s="1" t="n">
        <v>66529</v>
      </c>
      <c r="B66530">
        <f>TEXT(66529, "[$-0E0000]yyyy-mm-dd")</f>
        <v/>
      </c>
      <c r="C66530" t="inlineStr">
        <is>
          <t>2082-01-26</t>
        </is>
      </c>
    </row>
    <row r="66531">
      <c r="A66531" s="1" t="n">
        <v>66530</v>
      </c>
      <c r="B66531">
        <f>TEXT(66530, "[$-0E0000]yyyy-mm-dd")</f>
        <v/>
      </c>
      <c r="C66531" t="inlineStr">
        <is>
          <t>2082-01-27</t>
        </is>
      </c>
    </row>
    <row r="66532">
      <c r="A66532" s="1" t="n">
        <v>66531</v>
      </c>
      <c r="B66532">
        <f>TEXT(66531, "[$-0E0000]yyyy-mm-dd")</f>
        <v/>
      </c>
      <c r="C66532" t="inlineStr">
        <is>
          <t>2082-01-28</t>
        </is>
      </c>
    </row>
    <row r="66533">
      <c r="A66533" s="1" t="n">
        <v>66532</v>
      </c>
      <c r="B66533">
        <f>TEXT(66532, "[$-0E0000]yyyy-mm-dd")</f>
        <v/>
      </c>
      <c r="C66533" t="inlineStr">
        <is>
          <t>2082-01-29</t>
        </is>
      </c>
    </row>
    <row r="66534">
      <c r="A66534" s="1" t="n">
        <v>66533</v>
      </c>
      <c r="B66534">
        <f>TEXT(66533, "[$-0E0000]yyyy-mm-dd")</f>
        <v/>
      </c>
      <c r="C66534" t="inlineStr">
        <is>
          <t>2082-02-01</t>
        </is>
      </c>
    </row>
    <row r="66535">
      <c r="A66535" s="1" t="n">
        <v>66534</v>
      </c>
      <c r="B66535">
        <f>TEXT(66534, "[$-0E0000]yyyy-mm-dd")</f>
        <v/>
      </c>
      <c r="C66535" t="inlineStr">
        <is>
          <t>2082-02-02</t>
        </is>
      </c>
    </row>
    <row r="66536">
      <c r="A66536" s="1" t="n">
        <v>66535</v>
      </c>
      <c r="B66536">
        <f>TEXT(66535, "[$-0E0000]yyyy-mm-dd")</f>
        <v/>
      </c>
      <c r="C66536" t="inlineStr">
        <is>
          <t>2082-02-03</t>
        </is>
      </c>
    </row>
    <row r="66537">
      <c r="A66537" s="1" t="n">
        <v>66536</v>
      </c>
      <c r="B66537">
        <f>TEXT(66536, "[$-0E0000]yyyy-mm-dd")</f>
        <v/>
      </c>
      <c r="C66537" t="inlineStr">
        <is>
          <t>2082-02-04</t>
        </is>
      </c>
    </row>
    <row r="66538">
      <c r="A66538" s="1" t="n">
        <v>66537</v>
      </c>
      <c r="B66538">
        <f>TEXT(66537, "[$-0E0000]yyyy-mm-dd")</f>
        <v/>
      </c>
      <c r="C66538" t="inlineStr">
        <is>
          <t>2082-02-05</t>
        </is>
      </c>
    </row>
    <row r="66539">
      <c r="A66539" s="1" t="n">
        <v>66538</v>
      </c>
      <c r="B66539">
        <f>TEXT(66538, "[$-0E0000]yyyy-mm-dd")</f>
        <v/>
      </c>
      <c r="C66539" t="inlineStr">
        <is>
          <t>2082-02-06</t>
        </is>
      </c>
    </row>
    <row r="66540">
      <c r="A66540" s="1" t="n">
        <v>66539</v>
      </c>
      <c r="B66540">
        <f>TEXT(66539, "[$-0E0000]yyyy-mm-dd")</f>
        <v/>
      </c>
      <c r="C66540" t="inlineStr">
        <is>
          <t>2082-02-07</t>
        </is>
      </c>
    </row>
    <row r="66541">
      <c r="A66541" s="1" t="n">
        <v>66540</v>
      </c>
      <c r="B66541">
        <f>TEXT(66540, "[$-0E0000]yyyy-mm-dd")</f>
        <v/>
      </c>
      <c r="C66541" t="inlineStr">
        <is>
          <t>2082-02-08</t>
        </is>
      </c>
    </row>
    <row r="66542">
      <c r="A66542" s="1" t="n">
        <v>66541</v>
      </c>
      <c r="B66542">
        <f>TEXT(66541, "[$-0E0000]yyyy-mm-dd")</f>
        <v/>
      </c>
      <c r="C66542" t="inlineStr">
        <is>
          <t>2082-02-09</t>
        </is>
      </c>
    </row>
    <row r="66543">
      <c r="A66543" s="1" t="n">
        <v>66542</v>
      </c>
      <c r="B66543">
        <f>TEXT(66542, "[$-0E0000]yyyy-mm-dd")</f>
        <v/>
      </c>
      <c r="C66543" t="inlineStr">
        <is>
          <t>2082-02-10</t>
        </is>
      </c>
    </row>
    <row r="66544">
      <c r="A66544" s="1" t="n">
        <v>66543</v>
      </c>
      <c r="B66544">
        <f>TEXT(66543, "[$-0E0000]yyyy-mm-dd")</f>
        <v/>
      </c>
      <c r="C66544" t="inlineStr">
        <is>
          <t>2082-02-11</t>
        </is>
      </c>
    </row>
    <row r="66545">
      <c r="A66545" s="1" t="n">
        <v>66544</v>
      </c>
      <c r="B66545">
        <f>TEXT(66544, "[$-0E0000]yyyy-mm-dd")</f>
        <v/>
      </c>
      <c r="C66545" t="inlineStr">
        <is>
          <t>2082-02-12</t>
        </is>
      </c>
    </row>
    <row r="66546">
      <c r="A66546" s="1" t="n">
        <v>66545</v>
      </c>
      <c r="B66546">
        <f>TEXT(66545, "[$-0E0000]yyyy-mm-dd")</f>
        <v/>
      </c>
      <c r="C66546" t="inlineStr">
        <is>
          <t>2082-02-13</t>
        </is>
      </c>
    </row>
    <row r="66547">
      <c r="A66547" s="1" t="n">
        <v>66546</v>
      </c>
      <c r="B66547">
        <f>TEXT(66546, "[$-0E0000]yyyy-mm-dd")</f>
        <v/>
      </c>
      <c r="C66547" t="inlineStr">
        <is>
          <t>2082-02-14</t>
        </is>
      </c>
    </row>
    <row r="66548">
      <c r="A66548" s="1" t="n">
        <v>66547</v>
      </c>
      <c r="B66548">
        <f>TEXT(66547, "[$-0E0000]yyyy-mm-dd")</f>
        <v/>
      </c>
      <c r="C66548" t="inlineStr">
        <is>
          <t>2082-02-15</t>
        </is>
      </c>
    </row>
    <row r="66549">
      <c r="A66549" s="1" t="n">
        <v>66548</v>
      </c>
      <c r="B66549">
        <f>TEXT(66548, "[$-0E0000]yyyy-mm-dd")</f>
        <v/>
      </c>
      <c r="C66549" t="inlineStr">
        <is>
          <t>2082-02-16</t>
        </is>
      </c>
    </row>
    <row r="66550">
      <c r="A66550" s="1" t="n">
        <v>66549</v>
      </c>
      <c r="B66550">
        <f>TEXT(66549, "[$-0E0000]yyyy-mm-dd")</f>
        <v/>
      </c>
      <c r="C66550" t="inlineStr">
        <is>
          <t>2082-02-17</t>
        </is>
      </c>
    </row>
    <row r="66551">
      <c r="A66551" s="1" t="n">
        <v>66550</v>
      </c>
      <c r="B66551">
        <f>TEXT(66550, "[$-0E0000]yyyy-mm-dd")</f>
        <v/>
      </c>
      <c r="C66551" t="inlineStr">
        <is>
          <t>2082-02-18</t>
        </is>
      </c>
    </row>
    <row r="66552">
      <c r="A66552" s="1" t="n">
        <v>66551</v>
      </c>
      <c r="B66552">
        <f>TEXT(66551, "[$-0E0000]yyyy-mm-dd")</f>
        <v/>
      </c>
      <c r="C66552" t="inlineStr">
        <is>
          <t>2082-02-19</t>
        </is>
      </c>
    </row>
    <row r="66553">
      <c r="A66553" s="1" t="n">
        <v>66552</v>
      </c>
      <c r="B66553">
        <f>TEXT(66552, "[$-0E0000]yyyy-mm-dd")</f>
        <v/>
      </c>
      <c r="C66553" t="inlineStr">
        <is>
          <t>2082-02-20</t>
        </is>
      </c>
    </row>
    <row r="66554">
      <c r="A66554" s="1" t="n">
        <v>66553</v>
      </c>
      <c r="B66554">
        <f>TEXT(66553, "[$-0E0000]yyyy-mm-dd")</f>
        <v/>
      </c>
      <c r="C66554" t="inlineStr">
        <is>
          <t>2082-02-21</t>
        </is>
      </c>
    </row>
    <row r="66555">
      <c r="A66555" s="1" t="n">
        <v>66554</v>
      </c>
      <c r="B66555">
        <f>TEXT(66554, "[$-0E0000]yyyy-mm-dd")</f>
        <v/>
      </c>
      <c r="C66555" t="inlineStr">
        <is>
          <t>2082-02-22</t>
        </is>
      </c>
    </row>
    <row r="66556">
      <c r="A66556" s="1" t="n">
        <v>66555</v>
      </c>
      <c r="B66556">
        <f>TEXT(66555, "[$-0E0000]yyyy-mm-dd")</f>
        <v/>
      </c>
      <c r="C66556" t="inlineStr">
        <is>
          <t>2082-02-23</t>
        </is>
      </c>
    </row>
    <row r="66557">
      <c r="A66557" s="1" t="n">
        <v>66556</v>
      </c>
      <c r="B66557">
        <f>TEXT(66556, "[$-0E0000]yyyy-mm-dd")</f>
        <v/>
      </c>
      <c r="C66557" t="inlineStr">
        <is>
          <t>2082-02-24</t>
        </is>
      </c>
    </row>
    <row r="66558">
      <c r="A66558" s="1" t="n">
        <v>66557</v>
      </c>
      <c r="B66558">
        <f>TEXT(66557, "[$-0E0000]yyyy-mm-dd")</f>
        <v/>
      </c>
      <c r="C66558" t="inlineStr">
        <is>
          <t>2082-02-25</t>
        </is>
      </c>
    </row>
    <row r="66559">
      <c r="A66559" s="1" t="n">
        <v>66558</v>
      </c>
      <c r="B66559">
        <f>TEXT(66558, "[$-0E0000]yyyy-mm-dd")</f>
        <v/>
      </c>
      <c r="C66559" t="inlineStr">
        <is>
          <t>2082-02-26</t>
        </is>
      </c>
    </row>
    <row r="66560">
      <c r="A66560" s="1" t="n">
        <v>66559</v>
      </c>
      <c r="B66560">
        <f>TEXT(66559, "[$-0E0000]yyyy-mm-dd")</f>
        <v/>
      </c>
      <c r="C66560" t="inlineStr">
        <is>
          <t>2082-02-27</t>
        </is>
      </c>
    </row>
    <row r="66561">
      <c r="A66561" s="1" t="n">
        <v>66560</v>
      </c>
      <c r="B66561">
        <f>TEXT(66560, "[$-0E0000]yyyy-mm-dd")</f>
        <v/>
      </c>
      <c r="C66561" t="inlineStr">
        <is>
          <t>2082-02-28</t>
        </is>
      </c>
    </row>
    <row r="66562">
      <c r="A66562" s="1" t="n">
        <v>66561</v>
      </c>
      <c r="B66562">
        <f>TEXT(66561, "[$-0E0000]yyyy-mm-dd")</f>
        <v/>
      </c>
      <c r="C66562" t="inlineStr">
        <is>
          <t>2082-02-29</t>
        </is>
      </c>
    </row>
    <row r="66563">
      <c r="A66563" s="1" t="n">
        <v>66562</v>
      </c>
      <c r="B66563">
        <f>TEXT(66562, "[$-0E0000]yyyy-mm-dd")</f>
        <v/>
      </c>
      <c r="C66563" t="inlineStr">
        <is>
          <t>2082-02-30</t>
        </is>
      </c>
    </row>
    <row r="66564">
      <c r="A66564" s="1" t="n">
        <v>66563</v>
      </c>
      <c r="B66564">
        <f>TEXT(66563, "[$-0E0000]yyyy-mm-dd")</f>
        <v/>
      </c>
      <c r="C66564" t="inlineStr">
        <is>
          <t>2082-03-01</t>
        </is>
      </c>
    </row>
    <row r="66565">
      <c r="A66565" s="1" t="n">
        <v>66564</v>
      </c>
      <c r="B66565">
        <f>TEXT(66564, "[$-0E0000]yyyy-mm-dd")</f>
        <v/>
      </c>
      <c r="C66565" t="inlineStr">
        <is>
          <t>2082-03-02</t>
        </is>
      </c>
    </row>
    <row r="66566">
      <c r="A66566" s="1" t="n">
        <v>66565</v>
      </c>
      <c r="B66566">
        <f>TEXT(66565, "[$-0E0000]yyyy-mm-dd")</f>
        <v/>
      </c>
      <c r="C66566" t="inlineStr">
        <is>
          <t>2082-03-03</t>
        </is>
      </c>
    </row>
    <row r="66567">
      <c r="A66567" s="1" t="n">
        <v>66566</v>
      </c>
      <c r="B66567">
        <f>TEXT(66566, "[$-0E0000]yyyy-mm-dd")</f>
        <v/>
      </c>
      <c r="C66567" t="inlineStr">
        <is>
          <t>2082-03-04</t>
        </is>
      </c>
    </row>
    <row r="66568">
      <c r="A66568" s="1" t="n">
        <v>66567</v>
      </c>
      <c r="B66568">
        <f>TEXT(66567, "[$-0E0000]yyyy-mm-dd")</f>
        <v/>
      </c>
      <c r="C66568" t="inlineStr">
        <is>
          <t>2082-03-05</t>
        </is>
      </c>
    </row>
    <row r="66569">
      <c r="A66569" s="1" t="n">
        <v>66568</v>
      </c>
      <c r="B66569">
        <f>TEXT(66568, "[$-0E0000]yyyy-mm-dd")</f>
        <v/>
      </c>
      <c r="C66569" t="inlineStr">
        <is>
          <t>2082-03-06</t>
        </is>
      </c>
    </row>
    <row r="66570">
      <c r="A66570" s="1" t="n">
        <v>66569</v>
      </c>
      <c r="B66570">
        <f>TEXT(66569, "[$-0E0000]yyyy-mm-dd")</f>
        <v/>
      </c>
      <c r="C66570" t="inlineStr">
        <is>
          <t>2082-03-07</t>
        </is>
      </c>
    </row>
    <row r="66571">
      <c r="A66571" s="1" t="n">
        <v>66570</v>
      </c>
      <c r="B66571">
        <f>TEXT(66570, "[$-0E0000]yyyy-mm-dd")</f>
        <v/>
      </c>
      <c r="C66571" t="inlineStr">
        <is>
          <t>2082-03-08</t>
        </is>
      </c>
    </row>
    <row r="66572">
      <c r="A66572" s="1" t="n">
        <v>66571</v>
      </c>
      <c r="B66572">
        <f>TEXT(66571, "[$-0E0000]yyyy-mm-dd")</f>
        <v/>
      </c>
      <c r="C66572" t="inlineStr">
        <is>
          <t>2082-03-09</t>
        </is>
      </c>
    </row>
    <row r="66573">
      <c r="A66573" s="1" t="n">
        <v>66572</v>
      </c>
      <c r="B66573">
        <f>TEXT(66572, "[$-0E0000]yyyy-mm-dd")</f>
        <v/>
      </c>
      <c r="C66573" t="inlineStr">
        <is>
          <t>2082-03-10</t>
        </is>
      </c>
    </row>
    <row r="66574">
      <c r="A66574" s="1" t="n">
        <v>66573</v>
      </c>
      <c r="B66574">
        <f>TEXT(66573, "[$-0E0000]yyyy-mm-dd")</f>
        <v/>
      </c>
      <c r="C66574" t="inlineStr">
        <is>
          <t>2082-03-11</t>
        </is>
      </c>
    </row>
    <row r="66575">
      <c r="A66575" s="1" t="n">
        <v>66574</v>
      </c>
      <c r="B66575">
        <f>TEXT(66574, "[$-0E0000]yyyy-mm-dd")</f>
        <v/>
      </c>
      <c r="C66575" t="inlineStr">
        <is>
          <t>2082-03-12</t>
        </is>
      </c>
    </row>
    <row r="66576">
      <c r="A66576" s="1" t="n">
        <v>66575</v>
      </c>
      <c r="B66576">
        <f>TEXT(66575, "[$-0E0000]yyyy-mm-dd")</f>
        <v/>
      </c>
      <c r="C66576" t="inlineStr">
        <is>
          <t>2082-03-13</t>
        </is>
      </c>
    </row>
    <row r="66577">
      <c r="A66577" s="1" t="n">
        <v>66576</v>
      </c>
      <c r="B66577">
        <f>TEXT(66576, "[$-0E0000]yyyy-mm-dd")</f>
        <v/>
      </c>
      <c r="C66577" t="inlineStr">
        <is>
          <t>2082-03-14</t>
        </is>
      </c>
    </row>
    <row r="66578">
      <c r="A66578" s="1" t="n">
        <v>66577</v>
      </c>
      <c r="B66578">
        <f>TEXT(66577, "[$-0E0000]yyyy-mm-dd")</f>
        <v/>
      </c>
      <c r="C66578" t="inlineStr">
        <is>
          <t>2082-03-15</t>
        </is>
      </c>
    </row>
    <row r="66579">
      <c r="A66579" s="1" t="n">
        <v>66578</v>
      </c>
      <c r="B66579">
        <f>TEXT(66578, "[$-0E0000]yyyy-mm-dd")</f>
        <v/>
      </c>
      <c r="C66579" t="inlineStr">
        <is>
          <t>2082-03-16</t>
        </is>
      </c>
    </row>
    <row r="66580">
      <c r="A66580" s="1" t="n">
        <v>66579</v>
      </c>
      <c r="B66580">
        <f>TEXT(66579, "[$-0E0000]yyyy-mm-dd")</f>
        <v/>
      </c>
      <c r="C66580" t="inlineStr">
        <is>
          <t>2082-03-17</t>
        </is>
      </c>
    </row>
    <row r="66581">
      <c r="A66581" s="1" t="n">
        <v>66580</v>
      </c>
      <c r="B66581">
        <f>TEXT(66580, "[$-0E0000]yyyy-mm-dd")</f>
        <v/>
      </c>
      <c r="C66581" t="inlineStr">
        <is>
          <t>2082-03-18</t>
        </is>
      </c>
    </row>
    <row r="66582">
      <c r="A66582" s="1" t="n">
        <v>66581</v>
      </c>
      <c r="B66582">
        <f>TEXT(66581, "[$-0E0000]yyyy-mm-dd")</f>
        <v/>
      </c>
      <c r="C66582" t="inlineStr">
        <is>
          <t>2082-03-19</t>
        </is>
      </c>
    </row>
    <row r="66583">
      <c r="A66583" s="1" t="n">
        <v>66582</v>
      </c>
      <c r="B66583">
        <f>TEXT(66582, "[$-0E0000]yyyy-mm-dd")</f>
        <v/>
      </c>
      <c r="C66583" t="inlineStr">
        <is>
          <t>2082-03-20</t>
        </is>
      </c>
    </row>
    <row r="66584">
      <c r="A66584" s="1" t="n">
        <v>66583</v>
      </c>
      <c r="B66584">
        <f>TEXT(66583, "[$-0E0000]yyyy-mm-dd")</f>
        <v/>
      </c>
      <c r="C66584" t="inlineStr">
        <is>
          <t>2082-03-21</t>
        </is>
      </c>
    </row>
    <row r="66585">
      <c r="A66585" s="1" t="n">
        <v>66584</v>
      </c>
      <c r="B66585">
        <f>TEXT(66584, "[$-0E0000]yyyy-mm-dd")</f>
        <v/>
      </c>
      <c r="C66585" t="inlineStr">
        <is>
          <t>2082-03-22</t>
        </is>
      </c>
    </row>
    <row r="66586">
      <c r="A66586" s="1" t="n">
        <v>66585</v>
      </c>
      <c r="B66586">
        <f>TEXT(66585, "[$-0E0000]yyyy-mm-dd")</f>
        <v/>
      </c>
      <c r="C66586" t="inlineStr">
        <is>
          <t>2082-03-23</t>
        </is>
      </c>
    </row>
    <row r="66587">
      <c r="A66587" s="1" t="n">
        <v>66586</v>
      </c>
      <c r="B66587">
        <f>TEXT(66586, "[$-0E0000]yyyy-mm-dd")</f>
        <v/>
      </c>
      <c r="C66587" t="inlineStr">
        <is>
          <t>2082-03-24</t>
        </is>
      </c>
    </row>
    <row r="66588">
      <c r="A66588" s="1" t="n">
        <v>66587</v>
      </c>
      <c r="B66588">
        <f>TEXT(66587, "[$-0E0000]yyyy-mm-dd")</f>
        <v/>
      </c>
      <c r="C66588" t="inlineStr">
        <is>
          <t>2082-03-25</t>
        </is>
      </c>
    </row>
    <row r="66589">
      <c r="A66589" s="1" t="n">
        <v>66588</v>
      </c>
      <c r="B66589">
        <f>TEXT(66588, "[$-0E0000]yyyy-mm-dd")</f>
        <v/>
      </c>
      <c r="C66589" t="inlineStr">
        <is>
          <t>2082-03-26</t>
        </is>
      </c>
    </row>
    <row r="66590">
      <c r="A66590" s="1" t="n">
        <v>66589</v>
      </c>
      <c r="B66590">
        <f>TEXT(66589, "[$-0E0000]yyyy-mm-dd")</f>
        <v/>
      </c>
      <c r="C66590" t="inlineStr">
        <is>
          <t>2082-03-27</t>
        </is>
      </c>
    </row>
    <row r="66591">
      <c r="A66591" s="1" t="n">
        <v>66590</v>
      </c>
      <c r="B66591">
        <f>TEXT(66590, "[$-0E0000]yyyy-mm-dd")</f>
        <v/>
      </c>
      <c r="C66591" t="inlineStr">
        <is>
          <t>2082-03-28</t>
        </is>
      </c>
    </row>
    <row r="66592">
      <c r="A66592" s="1" t="n">
        <v>66591</v>
      </c>
      <c r="B66592">
        <f>TEXT(66591, "[$-0E0000]yyyy-mm-dd")</f>
        <v/>
      </c>
      <c r="C66592" t="inlineStr">
        <is>
          <t>2082-03-29</t>
        </is>
      </c>
    </row>
    <row r="66593">
      <c r="A66593" s="1" t="n">
        <v>66592</v>
      </c>
      <c r="B66593">
        <f>TEXT(66592, "[$-0E0000]yyyy-mm-dd")</f>
        <v/>
      </c>
      <c r="C66593" t="inlineStr">
        <is>
          <t>2082-03-30</t>
        </is>
      </c>
    </row>
    <row r="66594">
      <c r="A66594" s="1" t="n">
        <v>66593</v>
      </c>
      <c r="B66594">
        <f>TEXT(66593, "[$-0E0000]yyyy-mm-dd")</f>
        <v/>
      </c>
      <c r="C66594" t="inlineStr">
        <is>
          <t>2082-04-01</t>
        </is>
      </c>
    </row>
    <row r="66595">
      <c r="A66595" s="1" t="n">
        <v>66594</v>
      </c>
      <c r="B66595">
        <f>TEXT(66594, "[$-0E0000]yyyy-mm-dd")</f>
        <v/>
      </c>
      <c r="C66595" t="inlineStr">
        <is>
          <t>2082-04-02</t>
        </is>
      </c>
    </row>
    <row r="66596">
      <c r="A66596" s="1" t="n">
        <v>66595</v>
      </c>
      <c r="B66596">
        <f>TEXT(66595, "[$-0E0000]yyyy-mm-dd")</f>
        <v/>
      </c>
      <c r="C66596" t="inlineStr">
        <is>
          <t>2082-04-03</t>
        </is>
      </c>
    </row>
    <row r="66597">
      <c r="A66597" s="1" t="n">
        <v>66596</v>
      </c>
      <c r="B66597">
        <f>TEXT(66596, "[$-0E0000]yyyy-mm-dd")</f>
        <v/>
      </c>
      <c r="C66597" t="inlineStr">
        <is>
          <t>2082-04-04</t>
        </is>
      </c>
    </row>
    <row r="66598">
      <c r="A66598" s="1" t="n">
        <v>66597</v>
      </c>
      <c r="B66598">
        <f>TEXT(66597, "[$-0E0000]yyyy-mm-dd")</f>
        <v/>
      </c>
      <c r="C66598" t="inlineStr">
        <is>
          <t>2082-04-05</t>
        </is>
      </c>
    </row>
    <row r="66599">
      <c r="A66599" s="1" t="n">
        <v>66598</v>
      </c>
      <c r="B66599">
        <f>TEXT(66598, "[$-0E0000]yyyy-mm-dd")</f>
        <v/>
      </c>
      <c r="C66599" t="inlineStr">
        <is>
          <t>2082-04-06</t>
        </is>
      </c>
    </row>
    <row r="66600">
      <c r="A66600" s="1" t="n">
        <v>66599</v>
      </c>
      <c r="B66600">
        <f>TEXT(66599, "[$-0E0000]yyyy-mm-dd")</f>
        <v/>
      </c>
      <c r="C66600" t="inlineStr">
        <is>
          <t>2082-04-07</t>
        </is>
      </c>
    </row>
    <row r="66601">
      <c r="A66601" s="1" t="n">
        <v>66600</v>
      </c>
      <c r="B66601">
        <f>TEXT(66600, "[$-0E0000]yyyy-mm-dd")</f>
        <v/>
      </c>
      <c r="C66601" t="inlineStr">
        <is>
          <t>2082-04-08</t>
        </is>
      </c>
    </row>
    <row r="66602">
      <c r="A66602" s="1" t="n">
        <v>66601</v>
      </c>
      <c r="B66602">
        <f>TEXT(66601, "[$-0E0000]yyyy-mm-dd")</f>
        <v/>
      </c>
      <c r="C66602" t="inlineStr">
        <is>
          <t>2082-04-09</t>
        </is>
      </c>
    </row>
    <row r="66603">
      <c r="A66603" s="1" t="n">
        <v>66602</v>
      </c>
      <c r="B66603">
        <f>TEXT(66602, "[$-0E0000]yyyy-mm-dd")</f>
        <v/>
      </c>
      <c r="C66603" t="inlineStr">
        <is>
          <t>2082-04-10</t>
        </is>
      </c>
    </row>
    <row r="66604">
      <c r="A66604" s="1" t="n">
        <v>66603</v>
      </c>
      <c r="B66604">
        <f>TEXT(66603, "[$-0E0000]yyyy-mm-dd")</f>
        <v/>
      </c>
      <c r="C66604" t="inlineStr">
        <is>
          <t>2082-04-11</t>
        </is>
      </c>
    </row>
    <row r="66605">
      <c r="A66605" s="1" t="n">
        <v>66604</v>
      </c>
      <c r="B66605">
        <f>TEXT(66604, "[$-0E0000]yyyy-mm-dd")</f>
        <v/>
      </c>
      <c r="C66605" t="inlineStr">
        <is>
          <t>2082-04-12</t>
        </is>
      </c>
    </row>
    <row r="66606">
      <c r="A66606" s="1" t="n">
        <v>66605</v>
      </c>
      <c r="B66606">
        <f>TEXT(66605, "[$-0E0000]yyyy-mm-dd")</f>
        <v/>
      </c>
      <c r="C66606" t="inlineStr">
        <is>
          <t>2082-04-13</t>
        </is>
      </c>
    </row>
    <row r="66607">
      <c r="A66607" s="1" t="n">
        <v>66606</v>
      </c>
      <c r="B66607">
        <f>TEXT(66606, "[$-0E0000]yyyy-mm-dd")</f>
        <v/>
      </c>
      <c r="C66607" t="inlineStr">
        <is>
          <t>2082-04-14</t>
        </is>
      </c>
    </row>
    <row r="66608">
      <c r="A66608" s="1" t="n">
        <v>66607</v>
      </c>
      <c r="B66608">
        <f>TEXT(66607, "[$-0E0000]yyyy-mm-dd")</f>
        <v/>
      </c>
      <c r="C66608" t="inlineStr">
        <is>
          <t>2082-04-15</t>
        </is>
      </c>
    </row>
    <row r="66609">
      <c r="A66609" s="1" t="n">
        <v>66608</v>
      </c>
      <c r="B66609">
        <f>TEXT(66608, "[$-0E0000]yyyy-mm-dd")</f>
        <v/>
      </c>
      <c r="C66609" t="inlineStr">
        <is>
          <t>2082-04-16</t>
        </is>
      </c>
    </row>
    <row r="66610">
      <c r="A66610" s="1" t="n">
        <v>66609</v>
      </c>
      <c r="B66610">
        <f>TEXT(66609, "[$-0E0000]yyyy-mm-dd")</f>
        <v/>
      </c>
      <c r="C66610" t="inlineStr">
        <is>
          <t>2082-04-17</t>
        </is>
      </c>
    </row>
    <row r="66611">
      <c r="A66611" s="1" t="n">
        <v>66610</v>
      </c>
      <c r="B66611">
        <f>TEXT(66610, "[$-0E0000]yyyy-mm-dd")</f>
        <v/>
      </c>
      <c r="C66611" t="inlineStr">
        <is>
          <t>2082-04-18</t>
        </is>
      </c>
    </row>
    <row r="66612">
      <c r="A66612" s="1" t="n">
        <v>66611</v>
      </c>
      <c r="B66612">
        <f>TEXT(66611, "[$-0E0000]yyyy-mm-dd")</f>
        <v/>
      </c>
      <c r="C66612" t="inlineStr">
        <is>
          <t>2082-04-19</t>
        </is>
      </c>
    </row>
    <row r="66613">
      <c r="A66613" s="1" t="n">
        <v>66612</v>
      </c>
      <c r="B66613">
        <f>TEXT(66612, "[$-0E0000]yyyy-mm-dd")</f>
        <v/>
      </c>
      <c r="C66613" t="inlineStr">
        <is>
          <t>2082-04-20</t>
        </is>
      </c>
    </row>
    <row r="66614">
      <c r="A66614" s="1" t="n">
        <v>66613</v>
      </c>
      <c r="B66614">
        <f>TEXT(66613, "[$-0E0000]yyyy-mm-dd")</f>
        <v/>
      </c>
      <c r="C66614" t="inlineStr">
        <is>
          <t>2082-04-21</t>
        </is>
      </c>
    </row>
    <row r="66615">
      <c r="A66615" s="1" t="n">
        <v>66614</v>
      </c>
      <c r="B66615">
        <f>TEXT(66614, "[$-0E0000]yyyy-mm-dd")</f>
        <v/>
      </c>
      <c r="C66615" t="inlineStr">
        <is>
          <t>2082-04-22</t>
        </is>
      </c>
    </row>
    <row r="66616">
      <c r="A66616" s="1" t="n">
        <v>66615</v>
      </c>
      <c r="B66616">
        <f>TEXT(66615, "[$-0E0000]yyyy-mm-dd")</f>
        <v/>
      </c>
      <c r="C66616" t="inlineStr">
        <is>
          <t>2082-04-23</t>
        </is>
      </c>
    </row>
    <row r="66617">
      <c r="A66617" s="1" t="n">
        <v>66616</v>
      </c>
      <c r="B66617">
        <f>TEXT(66616, "[$-0E0000]yyyy-mm-dd")</f>
        <v/>
      </c>
      <c r="C66617" t="inlineStr">
        <is>
          <t>2082-04-24</t>
        </is>
      </c>
    </row>
    <row r="66618">
      <c r="A66618" s="1" t="n">
        <v>66617</v>
      </c>
      <c r="B66618">
        <f>TEXT(66617, "[$-0E0000]yyyy-mm-dd")</f>
        <v/>
      </c>
      <c r="C66618" t="inlineStr">
        <is>
          <t>2082-04-25</t>
        </is>
      </c>
    </row>
    <row r="66619">
      <c r="A66619" s="1" t="n">
        <v>66618</v>
      </c>
      <c r="B66619">
        <f>TEXT(66618, "[$-0E0000]yyyy-mm-dd")</f>
        <v/>
      </c>
      <c r="C66619" t="inlineStr">
        <is>
          <t>2082-04-26</t>
        </is>
      </c>
    </row>
    <row r="66620">
      <c r="A66620" s="1" t="n">
        <v>66619</v>
      </c>
      <c r="B66620">
        <f>TEXT(66619, "[$-0E0000]yyyy-mm-dd")</f>
        <v/>
      </c>
      <c r="C66620" t="inlineStr">
        <is>
          <t>2082-04-27</t>
        </is>
      </c>
    </row>
    <row r="66621">
      <c r="A66621" s="1" t="n">
        <v>66620</v>
      </c>
      <c r="B66621">
        <f>TEXT(66620, "[$-0E0000]yyyy-mm-dd")</f>
        <v/>
      </c>
      <c r="C66621" t="inlineStr">
        <is>
          <t>2082-04-28</t>
        </is>
      </c>
    </row>
    <row r="66622">
      <c r="A66622" s="1" t="n">
        <v>66621</v>
      </c>
      <c r="B66622">
        <f>TEXT(66621, "[$-0E0000]yyyy-mm-dd")</f>
        <v/>
      </c>
      <c r="C66622" t="inlineStr">
        <is>
          <t>2082-04-29</t>
        </is>
      </c>
    </row>
    <row r="66623">
      <c r="A66623" s="1" t="n">
        <v>66622</v>
      </c>
      <c r="B66623">
        <f>TEXT(66622, "[$-0E0000]yyyy-mm-dd")</f>
        <v/>
      </c>
      <c r="C66623" t="inlineStr">
        <is>
          <t>2082-04-30</t>
        </is>
      </c>
    </row>
    <row r="66624">
      <c r="A66624" s="1" t="n">
        <v>66623</v>
      </c>
      <c r="B66624">
        <f>TEXT(66623, "[$-0E0000]yyyy-mm-dd")</f>
        <v/>
      </c>
      <c r="C66624" t="inlineStr">
        <is>
          <t>2082-05-01</t>
        </is>
      </c>
    </row>
    <row r="66625">
      <c r="A66625" s="1" t="n">
        <v>66624</v>
      </c>
      <c r="B66625">
        <f>TEXT(66624, "[$-0E0000]yyyy-mm-dd")</f>
        <v/>
      </c>
      <c r="C66625" t="inlineStr">
        <is>
          <t>2082-05-02</t>
        </is>
      </c>
    </row>
    <row r="66626">
      <c r="A66626" s="1" t="n">
        <v>66625</v>
      </c>
      <c r="B66626">
        <f>TEXT(66625, "[$-0E0000]yyyy-mm-dd")</f>
        <v/>
      </c>
      <c r="C66626" t="inlineStr">
        <is>
          <t>2082-05-03</t>
        </is>
      </c>
    </row>
    <row r="66627">
      <c r="A66627" s="1" t="n">
        <v>66626</v>
      </c>
      <c r="B66627">
        <f>TEXT(66626, "[$-0E0000]yyyy-mm-dd")</f>
        <v/>
      </c>
      <c r="C66627" t="inlineStr">
        <is>
          <t>2082-05-04</t>
        </is>
      </c>
    </row>
    <row r="66628">
      <c r="A66628" s="1" t="n">
        <v>66627</v>
      </c>
      <c r="B66628">
        <f>TEXT(66627, "[$-0E0000]yyyy-mm-dd")</f>
        <v/>
      </c>
      <c r="C66628" t="inlineStr">
        <is>
          <t>2082-05-05</t>
        </is>
      </c>
    </row>
    <row r="66629">
      <c r="A66629" s="1" t="n">
        <v>66628</v>
      </c>
      <c r="B66629">
        <f>TEXT(66628, "[$-0E0000]yyyy-mm-dd")</f>
        <v/>
      </c>
      <c r="C66629" t="inlineStr">
        <is>
          <t>2082-05-06</t>
        </is>
      </c>
    </row>
    <row r="66630">
      <c r="A66630" s="1" t="n">
        <v>66629</v>
      </c>
      <c r="B66630">
        <f>TEXT(66629, "[$-0E0000]yyyy-mm-dd")</f>
        <v/>
      </c>
      <c r="C66630" t="inlineStr">
        <is>
          <t>2082-05-07</t>
        </is>
      </c>
    </row>
    <row r="66631">
      <c r="A66631" s="1" t="n">
        <v>66630</v>
      </c>
      <c r="B66631">
        <f>TEXT(66630, "[$-0E0000]yyyy-mm-dd")</f>
        <v/>
      </c>
      <c r="C66631" t="inlineStr">
        <is>
          <t>2082-05-08</t>
        </is>
      </c>
    </row>
    <row r="66632">
      <c r="A66632" s="1" t="n">
        <v>66631</v>
      </c>
      <c r="B66632">
        <f>TEXT(66631, "[$-0E0000]yyyy-mm-dd")</f>
        <v/>
      </c>
      <c r="C66632" t="inlineStr">
        <is>
          <t>2082-05-09</t>
        </is>
      </c>
    </row>
    <row r="66633">
      <c r="A66633" s="1" t="n">
        <v>66632</v>
      </c>
      <c r="B66633">
        <f>TEXT(66632, "[$-0E0000]yyyy-mm-dd")</f>
        <v/>
      </c>
      <c r="C66633" t="inlineStr">
        <is>
          <t>2082-05-10</t>
        </is>
      </c>
    </row>
    <row r="66634">
      <c r="A66634" s="1" t="n">
        <v>66633</v>
      </c>
      <c r="B66634">
        <f>TEXT(66633, "[$-0E0000]yyyy-mm-dd")</f>
        <v/>
      </c>
      <c r="C66634" t="inlineStr">
        <is>
          <t>2082-05-11</t>
        </is>
      </c>
    </row>
    <row r="66635">
      <c r="A66635" s="1" t="n">
        <v>66634</v>
      </c>
      <c r="B66635">
        <f>TEXT(66634, "[$-0E0000]yyyy-mm-dd")</f>
        <v/>
      </c>
      <c r="C66635" t="inlineStr">
        <is>
          <t>2082-05-12</t>
        </is>
      </c>
    </row>
    <row r="66636">
      <c r="A66636" s="1" t="n">
        <v>66635</v>
      </c>
      <c r="B66636">
        <f>TEXT(66635, "[$-0E0000]yyyy-mm-dd")</f>
        <v/>
      </c>
      <c r="C66636" t="inlineStr">
        <is>
          <t>2082-05-13</t>
        </is>
      </c>
    </row>
    <row r="66637">
      <c r="A66637" s="1" t="n">
        <v>66636</v>
      </c>
      <c r="B66637">
        <f>TEXT(66636, "[$-0E0000]yyyy-mm-dd")</f>
        <v/>
      </c>
      <c r="C66637" t="inlineStr">
        <is>
          <t>2082-05-14</t>
        </is>
      </c>
    </row>
    <row r="66638">
      <c r="A66638" s="1" t="n">
        <v>66637</v>
      </c>
      <c r="B66638">
        <f>TEXT(66637, "[$-0E0000]yyyy-mm-dd")</f>
        <v/>
      </c>
      <c r="C66638" t="inlineStr">
        <is>
          <t>2082-05-15</t>
        </is>
      </c>
    </row>
    <row r="66639">
      <c r="A66639" s="1" t="n">
        <v>66638</v>
      </c>
      <c r="B66639">
        <f>TEXT(66638, "[$-0E0000]yyyy-mm-dd")</f>
        <v/>
      </c>
      <c r="C66639" t="inlineStr">
        <is>
          <t>2082-05-16</t>
        </is>
      </c>
    </row>
    <row r="66640">
      <c r="A66640" s="1" t="n">
        <v>66639</v>
      </c>
      <c r="B66640">
        <f>TEXT(66639, "[$-0E0000]yyyy-mm-dd")</f>
        <v/>
      </c>
      <c r="C66640" t="inlineStr">
        <is>
          <t>2082-05-17</t>
        </is>
      </c>
    </row>
    <row r="66641">
      <c r="A66641" s="1" t="n">
        <v>66640</v>
      </c>
      <c r="B66641">
        <f>TEXT(66640, "[$-0E0000]yyyy-mm-dd")</f>
        <v/>
      </c>
      <c r="C66641" t="inlineStr">
        <is>
          <t>2082-05-18</t>
        </is>
      </c>
    </row>
    <row r="66642">
      <c r="A66642" s="1" t="n">
        <v>66641</v>
      </c>
      <c r="B66642">
        <f>TEXT(66641, "[$-0E0000]yyyy-mm-dd")</f>
        <v/>
      </c>
      <c r="C66642" t="inlineStr">
        <is>
          <t>2082-05-19</t>
        </is>
      </c>
    </row>
    <row r="66643">
      <c r="A66643" s="1" t="n">
        <v>66642</v>
      </c>
      <c r="B66643">
        <f>TEXT(66642, "[$-0E0000]yyyy-mm-dd")</f>
        <v/>
      </c>
      <c r="C66643" t="inlineStr">
        <is>
          <t>2082-05-20</t>
        </is>
      </c>
    </row>
    <row r="66644">
      <c r="A66644" s="1" t="n">
        <v>66643</v>
      </c>
      <c r="B66644">
        <f>TEXT(66643, "[$-0E0000]yyyy-mm-dd")</f>
        <v/>
      </c>
      <c r="C66644" t="inlineStr">
        <is>
          <t>2082-05-21</t>
        </is>
      </c>
    </row>
    <row r="66645">
      <c r="A66645" s="1" t="n">
        <v>66644</v>
      </c>
      <c r="B66645">
        <f>TEXT(66644, "[$-0E0000]yyyy-mm-dd")</f>
        <v/>
      </c>
      <c r="C66645" t="inlineStr">
        <is>
          <t>2082-05-22</t>
        </is>
      </c>
    </row>
    <row r="66646">
      <c r="A66646" s="1" t="n">
        <v>66645</v>
      </c>
      <c r="B66646">
        <f>TEXT(66645, "[$-0E0000]yyyy-mm-dd")</f>
        <v/>
      </c>
      <c r="C66646" t="inlineStr">
        <is>
          <t>2082-05-23</t>
        </is>
      </c>
    </row>
    <row r="66647">
      <c r="A66647" s="1" t="n">
        <v>66646</v>
      </c>
      <c r="B66647">
        <f>TEXT(66646, "[$-0E0000]yyyy-mm-dd")</f>
        <v/>
      </c>
      <c r="C66647" t="inlineStr">
        <is>
          <t>2082-05-24</t>
        </is>
      </c>
    </row>
    <row r="66648">
      <c r="A66648" s="1" t="n">
        <v>66647</v>
      </c>
      <c r="B66648">
        <f>TEXT(66647, "[$-0E0000]yyyy-mm-dd")</f>
        <v/>
      </c>
      <c r="C66648" t="inlineStr">
        <is>
          <t>2082-05-25</t>
        </is>
      </c>
    </row>
    <row r="66649">
      <c r="A66649" s="1" t="n">
        <v>66648</v>
      </c>
      <c r="B66649">
        <f>TEXT(66648, "[$-0E0000]yyyy-mm-dd")</f>
        <v/>
      </c>
      <c r="C66649" t="inlineStr">
        <is>
          <t>2082-05-26</t>
        </is>
      </c>
    </row>
    <row r="66650">
      <c r="A66650" s="1" t="n">
        <v>66649</v>
      </c>
      <c r="B66650">
        <f>TEXT(66649, "[$-0E0000]yyyy-mm-dd")</f>
        <v/>
      </c>
      <c r="C66650" t="inlineStr">
        <is>
          <t>2082-05-27</t>
        </is>
      </c>
    </row>
    <row r="66651">
      <c r="A66651" s="1" t="n">
        <v>66650</v>
      </c>
      <c r="B66651">
        <f>TEXT(66650, "[$-0E0000]yyyy-mm-dd")</f>
        <v/>
      </c>
      <c r="C66651" t="inlineStr">
        <is>
          <t>2082-05-28</t>
        </is>
      </c>
    </row>
    <row r="66652">
      <c r="A66652" s="1" t="n">
        <v>66651</v>
      </c>
      <c r="B66652">
        <f>TEXT(66651, "[$-0E0000]yyyy-mm-dd")</f>
        <v/>
      </c>
      <c r="C66652" t="inlineStr">
        <is>
          <t>2082-05-29</t>
        </is>
      </c>
    </row>
    <row r="66653">
      <c r="A66653" s="1" t="n">
        <v>66652</v>
      </c>
      <c r="B66653">
        <f>TEXT(66652, "[$-0E0000]yyyy-mm-dd")</f>
        <v/>
      </c>
      <c r="C66653" t="inlineStr">
        <is>
          <t>2082-06-01</t>
        </is>
      </c>
    </row>
    <row r="66654">
      <c r="A66654" s="1" t="n">
        <v>66653</v>
      </c>
      <c r="B66654">
        <f>TEXT(66653, "[$-0E0000]yyyy-mm-dd")</f>
        <v/>
      </c>
      <c r="C66654" t="inlineStr">
        <is>
          <t>2082-06-02</t>
        </is>
      </c>
    </row>
    <row r="66655">
      <c r="A66655" s="1" t="n">
        <v>66654</v>
      </c>
      <c r="B66655">
        <f>TEXT(66654, "[$-0E0000]yyyy-mm-dd")</f>
        <v/>
      </c>
      <c r="C66655" t="inlineStr">
        <is>
          <t>2082-06-03</t>
        </is>
      </c>
    </row>
    <row r="66656">
      <c r="A66656" s="1" t="n">
        <v>66655</v>
      </c>
      <c r="B66656">
        <f>TEXT(66655, "[$-0E0000]yyyy-mm-dd")</f>
        <v/>
      </c>
      <c r="C66656" t="inlineStr">
        <is>
          <t>2082-06-04</t>
        </is>
      </c>
    </row>
    <row r="66657">
      <c r="A66657" s="1" t="n">
        <v>66656</v>
      </c>
      <c r="B66657">
        <f>TEXT(66656, "[$-0E0000]yyyy-mm-dd")</f>
        <v/>
      </c>
      <c r="C66657" t="inlineStr">
        <is>
          <t>2082-06-05</t>
        </is>
      </c>
    </row>
    <row r="66658">
      <c r="A66658" s="1" t="n">
        <v>66657</v>
      </c>
      <c r="B66658">
        <f>TEXT(66657, "[$-0E0000]yyyy-mm-dd")</f>
        <v/>
      </c>
      <c r="C66658" t="inlineStr">
        <is>
          <t>2082-06-06</t>
        </is>
      </c>
    </row>
    <row r="66659">
      <c r="A66659" s="1" t="n">
        <v>66658</v>
      </c>
      <c r="B66659">
        <f>TEXT(66658, "[$-0E0000]yyyy-mm-dd")</f>
        <v/>
      </c>
      <c r="C66659" t="inlineStr">
        <is>
          <t>2082-06-07</t>
        </is>
      </c>
    </row>
    <row r="66660">
      <c r="A66660" s="1" t="n">
        <v>66659</v>
      </c>
      <c r="B66660">
        <f>TEXT(66659, "[$-0E0000]yyyy-mm-dd")</f>
        <v/>
      </c>
      <c r="C66660" t="inlineStr">
        <is>
          <t>2082-06-08</t>
        </is>
      </c>
    </row>
    <row r="66661">
      <c r="A66661" s="1" t="n">
        <v>66660</v>
      </c>
      <c r="B66661">
        <f>TEXT(66660, "[$-0E0000]yyyy-mm-dd")</f>
        <v/>
      </c>
      <c r="C66661" t="inlineStr">
        <is>
          <t>2082-06-09</t>
        </is>
      </c>
    </row>
    <row r="66662">
      <c r="A66662" s="1" t="n">
        <v>66661</v>
      </c>
      <c r="B66662">
        <f>TEXT(66661, "[$-0E0000]yyyy-mm-dd")</f>
        <v/>
      </c>
      <c r="C66662" t="inlineStr">
        <is>
          <t>2082-06-10</t>
        </is>
      </c>
    </row>
    <row r="66663">
      <c r="A66663" s="1" t="n">
        <v>66662</v>
      </c>
      <c r="B66663">
        <f>TEXT(66662, "[$-0E0000]yyyy-mm-dd")</f>
        <v/>
      </c>
      <c r="C66663" t="inlineStr">
        <is>
          <t>2082-06-11</t>
        </is>
      </c>
    </row>
    <row r="66664">
      <c r="A66664" s="1" t="n">
        <v>66663</v>
      </c>
      <c r="B66664">
        <f>TEXT(66663, "[$-0E0000]yyyy-mm-dd")</f>
        <v/>
      </c>
      <c r="C66664" t="inlineStr">
        <is>
          <t>2082-06-12</t>
        </is>
      </c>
    </row>
    <row r="66665">
      <c r="A66665" s="1" t="n">
        <v>66664</v>
      </c>
      <c r="B66665">
        <f>TEXT(66664, "[$-0E0000]yyyy-mm-dd")</f>
        <v/>
      </c>
      <c r="C66665" t="inlineStr">
        <is>
          <t>2082-06-13</t>
        </is>
      </c>
    </row>
    <row r="66666">
      <c r="A66666" s="1" t="n">
        <v>66665</v>
      </c>
      <c r="B66666">
        <f>TEXT(66665, "[$-0E0000]yyyy-mm-dd")</f>
        <v/>
      </c>
      <c r="C66666" t="inlineStr">
        <is>
          <t>2082-06-14</t>
        </is>
      </c>
    </row>
    <row r="66667">
      <c r="A66667" s="1" t="n">
        <v>66666</v>
      </c>
      <c r="B66667">
        <f>TEXT(66666, "[$-0E0000]yyyy-mm-dd")</f>
        <v/>
      </c>
      <c r="C66667" t="inlineStr">
        <is>
          <t>2082-06-15</t>
        </is>
      </c>
    </row>
    <row r="66668">
      <c r="A66668" s="1" t="n">
        <v>66667</v>
      </c>
      <c r="B66668">
        <f>TEXT(66667, "[$-0E0000]yyyy-mm-dd")</f>
        <v/>
      </c>
      <c r="C66668" t="inlineStr">
        <is>
          <t>2082-06-16</t>
        </is>
      </c>
    </row>
    <row r="66669">
      <c r="A66669" s="1" t="n">
        <v>66668</v>
      </c>
      <c r="B66669">
        <f>TEXT(66668, "[$-0E0000]yyyy-mm-dd")</f>
        <v/>
      </c>
      <c r="C66669" t="inlineStr">
        <is>
          <t>2082-06-17</t>
        </is>
      </c>
    </row>
    <row r="66670">
      <c r="A66670" s="1" t="n">
        <v>66669</v>
      </c>
      <c r="B66670">
        <f>TEXT(66669, "[$-0E0000]yyyy-mm-dd")</f>
        <v/>
      </c>
      <c r="C66670" t="inlineStr">
        <is>
          <t>2082-06-18</t>
        </is>
      </c>
    </row>
    <row r="66671">
      <c r="A66671" s="1" t="n">
        <v>66670</v>
      </c>
      <c r="B66671">
        <f>TEXT(66670, "[$-0E0000]yyyy-mm-dd")</f>
        <v/>
      </c>
      <c r="C66671" t="inlineStr">
        <is>
          <t>2082-06-19</t>
        </is>
      </c>
    </row>
    <row r="66672">
      <c r="A66672" s="1" t="n">
        <v>66671</v>
      </c>
      <c r="B66672">
        <f>TEXT(66671, "[$-0E0000]yyyy-mm-dd")</f>
        <v/>
      </c>
      <c r="C66672" t="inlineStr">
        <is>
          <t>2082-06-20</t>
        </is>
      </c>
    </row>
    <row r="66673">
      <c r="A66673" s="1" t="n">
        <v>66672</v>
      </c>
      <c r="B66673">
        <f>TEXT(66672, "[$-0E0000]yyyy-mm-dd")</f>
        <v/>
      </c>
      <c r="C66673" t="inlineStr">
        <is>
          <t>2082-06-21</t>
        </is>
      </c>
    </row>
    <row r="66674">
      <c r="A66674" s="1" t="n">
        <v>66673</v>
      </c>
      <c r="B66674">
        <f>TEXT(66673, "[$-0E0000]yyyy-mm-dd")</f>
        <v/>
      </c>
      <c r="C66674" t="inlineStr">
        <is>
          <t>2082-06-22</t>
        </is>
      </c>
    </row>
    <row r="66675">
      <c r="A66675" s="1" t="n">
        <v>66674</v>
      </c>
      <c r="B66675">
        <f>TEXT(66674, "[$-0E0000]yyyy-mm-dd")</f>
        <v/>
      </c>
      <c r="C66675" t="inlineStr">
        <is>
          <t>2082-06-23</t>
        </is>
      </c>
    </row>
    <row r="66676">
      <c r="A66676" s="1" t="n">
        <v>66675</v>
      </c>
      <c r="B66676">
        <f>TEXT(66675, "[$-0E0000]yyyy-mm-dd")</f>
        <v/>
      </c>
      <c r="C66676" t="inlineStr">
        <is>
          <t>2082-06-24</t>
        </is>
      </c>
    </row>
    <row r="66677">
      <c r="A66677" s="1" t="n">
        <v>66676</v>
      </c>
      <c r="B66677">
        <f>TEXT(66676, "[$-0E0000]yyyy-mm-dd")</f>
        <v/>
      </c>
      <c r="C66677" t="inlineStr">
        <is>
          <t>2082-06-25</t>
        </is>
      </c>
    </row>
    <row r="66678">
      <c r="A66678" s="1" t="n">
        <v>66677</v>
      </c>
      <c r="B66678">
        <f>TEXT(66677, "[$-0E0000]yyyy-mm-dd")</f>
        <v/>
      </c>
      <c r="C66678" t="inlineStr">
        <is>
          <t>2082-06-26</t>
        </is>
      </c>
    </row>
    <row r="66679">
      <c r="A66679" s="1" t="n">
        <v>66678</v>
      </c>
      <c r="B66679">
        <f>TEXT(66678, "[$-0E0000]yyyy-mm-dd")</f>
        <v/>
      </c>
      <c r="C66679" t="inlineStr">
        <is>
          <t>2082-06-27</t>
        </is>
      </c>
    </row>
    <row r="66680">
      <c r="A66680" s="1" t="n">
        <v>66679</v>
      </c>
      <c r="B66680">
        <f>TEXT(66679, "[$-0E0000]yyyy-mm-dd")</f>
        <v/>
      </c>
      <c r="C66680" t="inlineStr">
        <is>
          <t>2082-06-28</t>
        </is>
      </c>
    </row>
    <row r="66681">
      <c r="A66681" s="1" t="n">
        <v>66680</v>
      </c>
      <c r="B66681">
        <f>TEXT(66680, "[$-0E0000]yyyy-mm-dd")</f>
        <v/>
      </c>
      <c r="C66681" t="inlineStr">
        <is>
          <t>2082-06-29</t>
        </is>
      </c>
    </row>
    <row r="66682">
      <c r="A66682" s="1" t="n">
        <v>66681</v>
      </c>
      <c r="B66682">
        <f>TEXT(66681, "[$-0E0000]yyyy-mm-dd")</f>
        <v/>
      </c>
      <c r="C66682" t="inlineStr">
        <is>
          <t>2082-07-01</t>
        </is>
      </c>
    </row>
    <row r="66683">
      <c r="A66683" s="1" t="n">
        <v>66682</v>
      </c>
      <c r="B66683">
        <f>TEXT(66682, "[$-0E0000]yyyy-mm-dd")</f>
        <v/>
      </c>
      <c r="C66683" t="inlineStr">
        <is>
          <t>2082-07-02</t>
        </is>
      </c>
    </row>
    <row r="66684">
      <c r="A66684" s="1" t="n">
        <v>66683</v>
      </c>
      <c r="B66684">
        <f>TEXT(66683, "[$-0E0000]yyyy-mm-dd")</f>
        <v/>
      </c>
      <c r="C66684" t="inlineStr">
        <is>
          <t>2082-07-03</t>
        </is>
      </c>
    </row>
    <row r="66685">
      <c r="A66685" s="1" t="n">
        <v>66684</v>
      </c>
      <c r="B66685">
        <f>TEXT(66684, "[$-0E0000]yyyy-mm-dd")</f>
        <v/>
      </c>
      <c r="C66685" t="inlineStr">
        <is>
          <t>2082-07-04</t>
        </is>
      </c>
    </row>
    <row r="66686">
      <c r="A66686" s="1" t="n">
        <v>66685</v>
      </c>
      <c r="B66686">
        <f>TEXT(66685, "[$-0E0000]yyyy-mm-dd")</f>
        <v/>
      </c>
      <c r="C66686" t="inlineStr">
        <is>
          <t>2082-07-05</t>
        </is>
      </c>
    </row>
    <row r="66687">
      <c r="A66687" s="1" t="n">
        <v>66686</v>
      </c>
      <c r="B66687">
        <f>TEXT(66686, "[$-0E0000]yyyy-mm-dd")</f>
        <v/>
      </c>
      <c r="C66687" t="inlineStr">
        <is>
          <t>2082-07-06</t>
        </is>
      </c>
    </row>
    <row r="66688">
      <c r="A66688" s="1" t="n">
        <v>66687</v>
      </c>
      <c r="B66688">
        <f>TEXT(66687, "[$-0E0000]yyyy-mm-dd")</f>
        <v/>
      </c>
      <c r="C66688" t="inlineStr">
        <is>
          <t>2082-07-07</t>
        </is>
      </c>
    </row>
    <row r="66689">
      <c r="A66689" s="1" t="n">
        <v>66688</v>
      </c>
      <c r="B66689">
        <f>TEXT(66688, "[$-0E0000]yyyy-mm-dd")</f>
        <v/>
      </c>
      <c r="C66689" t="inlineStr">
        <is>
          <t>2082-07-08</t>
        </is>
      </c>
    </row>
    <row r="66690">
      <c r="A66690" s="1" t="n">
        <v>66689</v>
      </c>
      <c r="B66690">
        <f>TEXT(66689, "[$-0E0000]yyyy-mm-dd")</f>
        <v/>
      </c>
      <c r="C66690" t="inlineStr">
        <is>
          <t>2082-07-09</t>
        </is>
      </c>
    </row>
    <row r="66691">
      <c r="A66691" s="1" t="n">
        <v>66690</v>
      </c>
      <c r="B66691">
        <f>TEXT(66690, "[$-0E0000]yyyy-mm-dd")</f>
        <v/>
      </c>
      <c r="C66691" t="inlineStr">
        <is>
          <t>2082-07-10</t>
        </is>
      </c>
    </row>
    <row r="66692">
      <c r="A66692" s="1" t="n">
        <v>66691</v>
      </c>
      <c r="B66692">
        <f>TEXT(66691, "[$-0E0000]yyyy-mm-dd")</f>
        <v/>
      </c>
      <c r="C66692" t="inlineStr">
        <is>
          <t>2082-07-11</t>
        </is>
      </c>
    </row>
    <row r="66693">
      <c r="A66693" s="1" t="n">
        <v>66692</v>
      </c>
      <c r="B66693">
        <f>TEXT(66692, "[$-0E0000]yyyy-mm-dd")</f>
        <v/>
      </c>
      <c r="C66693" t="inlineStr">
        <is>
          <t>2082-07-12</t>
        </is>
      </c>
    </row>
    <row r="66694">
      <c r="A66694" s="1" t="n">
        <v>66693</v>
      </c>
      <c r="B66694">
        <f>TEXT(66693, "[$-0E0000]yyyy-mm-dd")</f>
        <v/>
      </c>
      <c r="C66694" t="inlineStr">
        <is>
          <t>2082-07-13</t>
        </is>
      </c>
    </row>
    <row r="66695">
      <c r="A66695" s="1" t="n">
        <v>66694</v>
      </c>
      <c r="B66695">
        <f>TEXT(66694, "[$-0E0000]yyyy-mm-dd")</f>
        <v/>
      </c>
      <c r="C66695" t="inlineStr">
        <is>
          <t>2082-07-14</t>
        </is>
      </c>
    </row>
    <row r="66696">
      <c r="A66696" s="1" t="n">
        <v>66695</v>
      </c>
      <c r="B66696">
        <f>TEXT(66695, "[$-0E0000]yyyy-mm-dd")</f>
        <v/>
      </c>
      <c r="C66696" t="inlineStr">
        <is>
          <t>2082-07-15</t>
        </is>
      </c>
    </row>
    <row r="66697">
      <c r="A66697" s="1" t="n">
        <v>66696</v>
      </c>
      <c r="B66697">
        <f>TEXT(66696, "[$-0E0000]yyyy-mm-dd")</f>
        <v/>
      </c>
      <c r="C66697" t="inlineStr">
        <is>
          <t>2082-07-16</t>
        </is>
      </c>
    </row>
    <row r="66698">
      <c r="A66698" s="1" t="n">
        <v>66697</v>
      </c>
      <c r="B66698">
        <f>TEXT(66697, "[$-0E0000]yyyy-mm-dd")</f>
        <v/>
      </c>
      <c r="C66698" t="inlineStr">
        <is>
          <t>2082-07-17</t>
        </is>
      </c>
    </row>
    <row r="66699">
      <c r="A66699" s="1" t="n">
        <v>66698</v>
      </c>
      <c r="B66699">
        <f>TEXT(66698, "[$-0E0000]yyyy-mm-dd")</f>
        <v/>
      </c>
      <c r="C66699" t="inlineStr">
        <is>
          <t>2082-07-18</t>
        </is>
      </c>
    </row>
    <row r="66700">
      <c r="A66700" s="1" t="n">
        <v>66699</v>
      </c>
      <c r="B66700">
        <f>TEXT(66699, "[$-0E0000]yyyy-mm-dd")</f>
        <v/>
      </c>
      <c r="C66700" t="inlineStr">
        <is>
          <t>2082-07-19</t>
        </is>
      </c>
    </row>
    <row r="66701">
      <c r="A66701" s="1" t="n">
        <v>66700</v>
      </c>
      <c r="B66701">
        <f>TEXT(66700, "[$-0E0000]yyyy-mm-dd")</f>
        <v/>
      </c>
      <c r="C66701" t="inlineStr">
        <is>
          <t>2082-07-20</t>
        </is>
      </c>
    </row>
    <row r="66702">
      <c r="A66702" s="1" t="n">
        <v>66701</v>
      </c>
      <c r="B66702">
        <f>TEXT(66701, "[$-0E0000]yyyy-mm-dd")</f>
        <v/>
      </c>
      <c r="C66702" t="inlineStr">
        <is>
          <t>2082-07-21</t>
        </is>
      </c>
    </row>
    <row r="66703">
      <c r="A66703" s="1" t="n">
        <v>66702</v>
      </c>
      <c r="B66703">
        <f>TEXT(66702, "[$-0E0000]yyyy-mm-dd")</f>
        <v/>
      </c>
      <c r="C66703" t="inlineStr">
        <is>
          <t>2082-07-22</t>
        </is>
      </c>
    </row>
    <row r="66704">
      <c r="A66704" s="1" t="n">
        <v>66703</v>
      </c>
      <c r="B66704">
        <f>TEXT(66703, "[$-0E0000]yyyy-mm-dd")</f>
        <v/>
      </c>
      <c r="C66704" t="inlineStr">
        <is>
          <t>2082-07-23</t>
        </is>
      </c>
    </row>
    <row r="66705">
      <c r="A66705" s="1" t="n">
        <v>66704</v>
      </c>
      <c r="B66705">
        <f>TEXT(66704, "[$-0E0000]yyyy-mm-dd")</f>
        <v/>
      </c>
      <c r="C66705" t="inlineStr">
        <is>
          <t>2082-07-24</t>
        </is>
      </c>
    </row>
    <row r="66706">
      <c r="A66706" s="1" t="n">
        <v>66705</v>
      </c>
      <c r="B66706">
        <f>TEXT(66705, "[$-0E0000]yyyy-mm-dd")</f>
        <v/>
      </c>
      <c r="C66706" t="inlineStr">
        <is>
          <t>2082-07-25</t>
        </is>
      </c>
    </row>
    <row r="66707">
      <c r="A66707" s="1" t="n">
        <v>66706</v>
      </c>
      <c r="B66707">
        <f>TEXT(66706, "[$-0E0000]yyyy-mm-dd")</f>
        <v/>
      </c>
      <c r="C66707" t="inlineStr">
        <is>
          <t>2082-07-26</t>
        </is>
      </c>
    </row>
    <row r="66708">
      <c r="A66708" s="1" t="n">
        <v>66707</v>
      </c>
      <c r="B66708">
        <f>TEXT(66707, "[$-0E0000]yyyy-mm-dd")</f>
        <v/>
      </c>
      <c r="C66708" t="inlineStr">
        <is>
          <t>2082-07-27</t>
        </is>
      </c>
    </row>
    <row r="66709">
      <c r="A66709" s="1" t="n">
        <v>66708</v>
      </c>
      <c r="B66709">
        <f>TEXT(66708, "[$-0E0000]yyyy-mm-dd")</f>
        <v/>
      </c>
      <c r="C66709" t="inlineStr">
        <is>
          <t>2082-07-28</t>
        </is>
      </c>
    </row>
    <row r="66710">
      <c r="A66710" s="1" t="n">
        <v>66709</v>
      </c>
      <c r="B66710">
        <f>TEXT(66709, "[$-0E0000]yyyy-mm-dd")</f>
        <v/>
      </c>
      <c r="C66710" t="inlineStr">
        <is>
          <t>2082-07-29</t>
        </is>
      </c>
    </row>
    <row r="66711">
      <c r="A66711" s="1" t="n">
        <v>66710</v>
      </c>
      <c r="B66711">
        <f>TEXT(66710, "[$-0E0000]yyyy-mm-dd")</f>
        <v/>
      </c>
      <c r="C66711" t="inlineStr">
        <is>
          <t>2082-07-30</t>
        </is>
      </c>
    </row>
    <row r="66712">
      <c r="A66712" s="1" t="n">
        <v>66711</v>
      </c>
      <c r="B66712">
        <f>TEXT(66711, "[$-0E0000]yyyy-mm-dd")</f>
        <v/>
      </c>
      <c r="C66712" t="inlineStr">
        <is>
          <t>2082-07-01</t>
        </is>
      </c>
    </row>
    <row r="66713">
      <c r="A66713" s="1" t="n">
        <v>66712</v>
      </c>
      <c r="B66713">
        <f>TEXT(66712, "[$-0E0000]yyyy-mm-dd")</f>
        <v/>
      </c>
      <c r="C66713" t="inlineStr">
        <is>
          <t>2082-07-02</t>
        </is>
      </c>
    </row>
    <row r="66714">
      <c r="A66714" s="1" t="n">
        <v>66713</v>
      </c>
      <c r="B66714">
        <f>TEXT(66713, "[$-0E0000]yyyy-mm-dd")</f>
        <v/>
      </c>
      <c r="C66714" t="inlineStr">
        <is>
          <t>2082-07-03</t>
        </is>
      </c>
    </row>
    <row r="66715">
      <c r="A66715" s="1" t="n">
        <v>66714</v>
      </c>
      <c r="B66715">
        <f>TEXT(66714, "[$-0E0000]yyyy-mm-dd")</f>
        <v/>
      </c>
      <c r="C66715" t="inlineStr">
        <is>
          <t>2082-07-04</t>
        </is>
      </c>
    </row>
    <row r="66716">
      <c r="A66716" s="1" t="n">
        <v>66715</v>
      </c>
      <c r="B66716">
        <f>TEXT(66715, "[$-0E0000]yyyy-mm-dd")</f>
        <v/>
      </c>
      <c r="C66716" t="inlineStr">
        <is>
          <t>2082-07-05</t>
        </is>
      </c>
    </row>
    <row r="66717">
      <c r="A66717" s="1" t="n">
        <v>66716</v>
      </c>
      <c r="B66717">
        <f>TEXT(66716, "[$-0E0000]yyyy-mm-dd")</f>
        <v/>
      </c>
      <c r="C66717" t="inlineStr">
        <is>
          <t>2082-07-06</t>
        </is>
      </c>
    </row>
    <row r="66718">
      <c r="A66718" s="1" t="n">
        <v>66717</v>
      </c>
      <c r="B66718">
        <f>TEXT(66717, "[$-0E0000]yyyy-mm-dd")</f>
        <v/>
      </c>
      <c r="C66718" t="inlineStr">
        <is>
          <t>2082-07-07</t>
        </is>
      </c>
    </row>
    <row r="66719">
      <c r="A66719" s="1" t="n">
        <v>66718</v>
      </c>
      <c r="B66719">
        <f>TEXT(66718, "[$-0E0000]yyyy-mm-dd")</f>
        <v/>
      </c>
      <c r="C66719" t="inlineStr">
        <is>
          <t>2082-07-08</t>
        </is>
      </c>
    </row>
    <row r="66720">
      <c r="A66720" s="1" t="n">
        <v>66719</v>
      </c>
      <c r="B66720">
        <f>TEXT(66719, "[$-0E0000]yyyy-mm-dd")</f>
        <v/>
      </c>
      <c r="C66720" t="inlineStr">
        <is>
          <t>2082-07-09</t>
        </is>
      </c>
    </row>
    <row r="66721">
      <c r="A66721" s="1" t="n">
        <v>66720</v>
      </c>
      <c r="B66721">
        <f>TEXT(66720, "[$-0E0000]yyyy-mm-dd")</f>
        <v/>
      </c>
      <c r="C66721" t="inlineStr">
        <is>
          <t>2082-07-10</t>
        </is>
      </c>
    </row>
    <row r="66722">
      <c r="A66722" s="1" t="n">
        <v>66721</v>
      </c>
      <c r="B66722">
        <f>TEXT(66721, "[$-0E0000]yyyy-mm-dd")</f>
        <v/>
      </c>
      <c r="C66722" t="inlineStr">
        <is>
          <t>2082-07-11</t>
        </is>
      </c>
    </row>
    <row r="66723">
      <c r="A66723" s="1" t="n">
        <v>66722</v>
      </c>
      <c r="B66723">
        <f>TEXT(66722, "[$-0E0000]yyyy-mm-dd")</f>
        <v/>
      </c>
      <c r="C66723" t="inlineStr">
        <is>
          <t>2082-07-12</t>
        </is>
      </c>
    </row>
    <row r="66724">
      <c r="A66724" s="1" t="n">
        <v>66723</v>
      </c>
      <c r="B66724">
        <f>TEXT(66723, "[$-0E0000]yyyy-mm-dd")</f>
        <v/>
      </c>
      <c r="C66724" t="inlineStr">
        <is>
          <t>2082-07-13</t>
        </is>
      </c>
    </row>
    <row r="66725">
      <c r="A66725" s="1" t="n">
        <v>66724</v>
      </c>
      <c r="B66725">
        <f>TEXT(66724, "[$-0E0000]yyyy-mm-dd")</f>
        <v/>
      </c>
      <c r="C66725" t="inlineStr">
        <is>
          <t>2082-07-14</t>
        </is>
      </c>
    </row>
    <row r="66726">
      <c r="A66726" s="1" t="n">
        <v>66725</v>
      </c>
      <c r="B66726">
        <f>TEXT(66725, "[$-0E0000]yyyy-mm-dd")</f>
        <v/>
      </c>
      <c r="C66726" t="inlineStr">
        <is>
          <t>2082-07-15</t>
        </is>
      </c>
    </row>
    <row r="66727">
      <c r="A66727" s="1" t="n">
        <v>66726</v>
      </c>
      <c r="B66727">
        <f>TEXT(66726, "[$-0E0000]yyyy-mm-dd")</f>
        <v/>
      </c>
      <c r="C66727" t="inlineStr">
        <is>
          <t>2082-07-16</t>
        </is>
      </c>
    </row>
    <row r="66728">
      <c r="A66728" s="1" t="n">
        <v>66727</v>
      </c>
      <c r="B66728">
        <f>TEXT(66727, "[$-0E0000]yyyy-mm-dd")</f>
        <v/>
      </c>
      <c r="C66728" t="inlineStr">
        <is>
          <t>2082-07-17</t>
        </is>
      </c>
    </row>
    <row r="66729">
      <c r="A66729" s="1" t="n">
        <v>66728</v>
      </c>
      <c r="B66729">
        <f>TEXT(66728, "[$-0E0000]yyyy-mm-dd")</f>
        <v/>
      </c>
      <c r="C66729" t="inlineStr">
        <is>
          <t>2082-07-18</t>
        </is>
      </c>
    </row>
    <row r="66730">
      <c r="A66730" s="1" t="n">
        <v>66729</v>
      </c>
      <c r="B66730">
        <f>TEXT(66729, "[$-0E0000]yyyy-mm-dd")</f>
        <v/>
      </c>
      <c r="C66730" t="inlineStr">
        <is>
          <t>2082-07-19</t>
        </is>
      </c>
    </row>
    <row r="66731">
      <c r="A66731" s="1" t="n">
        <v>66730</v>
      </c>
      <c r="B66731">
        <f>TEXT(66730, "[$-0E0000]yyyy-mm-dd")</f>
        <v/>
      </c>
      <c r="C66731" t="inlineStr">
        <is>
          <t>2082-07-20</t>
        </is>
      </c>
    </row>
    <row r="66732">
      <c r="A66732" s="1" t="n">
        <v>66731</v>
      </c>
      <c r="B66732">
        <f>TEXT(66731, "[$-0E0000]yyyy-mm-dd")</f>
        <v/>
      </c>
      <c r="C66732" t="inlineStr">
        <is>
          <t>2082-07-21</t>
        </is>
      </c>
    </row>
    <row r="66733">
      <c r="A66733" s="1" t="n">
        <v>66732</v>
      </c>
      <c r="B66733">
        <f>TEXT(66732, "[$-0E0000]yyyy-mm-dd")</f>
        <v/>
      </c>
      <c r="C66733" t="inlineStr">
        <is>
          <t>2082-07-22</t>
        </is>
      </c>
    </row>
    <row r="66734">
      <c r="A66734" s="1" t="n">
        <v>66733</v>
      </c>
      <c r="B66734">
        <f>TEXT(66733, "[$-0E0000]yyyy-mm-dd")</f>
        <v/>
      </c>
      <c r="C66734" t="inlineStr">
        <is>
          <t>2082-07-23</t>
        </is>
      </c>
    </row>
    <row r="66735">
      <c r="A66735" s="1" t="n">
        <v>66734</v>
      </c>
      <c r="B66735">
        <f>TEXT(66734, "[$-0E0000]yyyy-mm-dd")</f>
        <v/>
      </c>
      <c r="C66735" t="inlineStr">
        <is>
          <t>2082-07-24</t>
        </is>
      </c>
    </row>
    <row r="66736">
      <c r="A66736" s="1" t="n">
        <v>66735</v>
      </c>
      <c r="B66736">
        <f>TEXT(66735, "[$-0E0000]yyyy-mm-dd")</f>
        <v/>
      </c>
      <c r="C66736" t="inlineStr">
        <is>
          <t>2082-07-25</t>
        </is>
      </c>
    </row>
    <row r="66737">
      <c r="A66737" s="1" t="n">
        <v>66736</v>
      </c>
      <c r="B66737">
        <f>TEXT(66736, "[$-0E0000]yyyy-mm-dd")</f>
        <v/>
      </c>
      <c r="C66737" t="inlineStr">
        <is>
          <t>2082-07-26</t>
        </is>
      </c>
    </row>
    <row r="66738">
      <c r="A66738" s="1" t="n">
        <v>66737</v>
      </c>
      <c r="B66738">
        <f>TEXT(66737, "[$-0E0000]yyyy-mm-dd")</f>
        <v/>
      </c>
      <c r="C66738" t="inlineStr">
        <is>
          <t>2082-07-27</t>
        </is>
      </c>
    </row>
    <row r="66739">
      <c r="A66739" s="1" t="n">
        <v>66738</v>
      </c>
      <c r="B66739">
        <f>TEXT(66738, "[$-0E0000]yyyy-mm-dd")</f>
        <v/>
      </c>
      <c r="C66739" t="inlineStr">
        <is>
          <t>2082-07-28</t>
        </is>
      </c>
    </row>
    <row r="66740">
      <c r="A66740" s="1" t="n">
        <v>66739</v>
      </c>
      <c r="B66740">
        <f>TEXT(66739, "[$-0E0000]yyyy-mm-dd")</f>
        <v/>
      </c>
      <c r="C66740" t="inlineStr">
        <is>
          <t>2082-07-29</t>
        </is>
      </c>
    </row>
    <row r="66741">
      <c r="A66741" s="1" t="n">
        <v>66740</v>
      </c>
      <c r="B66741">
        <f>TEXT(66740, "[$-0E0000]yyyy-mm-dd")</f>
        <v/>
      </c>
      <c r="C66741" t="inlineStr">
        <is>
          <t>2082-08-01</t>
        </is>
      </c>
    </row>
    <row r="66742">
      <c r="A66742" s="1" t="n">
        <v>66741</v>
      </c>
      <c r="B66742">
        <f>TEXT(66741, "[$-0E0000]yyyy-mm-dd")</f>
        <v/>
      </c>
      <c r="C66742" t="inlineStr">
        <is>
          <t>2082-08-02</t>
        </is>
      </c>
    </row>
    <row r="66743">
      <c r="A66743" s="1" t="n">
        <v>66742</v>
      </c>
      <c r="B66743">
        <f>TEXT(66742, "[$-0E0000]yyyy-mm-dd")</f>
        <v/>
      </c>
      <c r="C66743" t="inlineStr">
        <is>
          <t>2082-08-03</t>
        </is>
      </c>
    </row>
    <row r="66744">
      <c r="A66744" s="1" t="n">
        <v>66743</v>
      </c>
      <c r="B66744">
        <f>TEXT(66743, "[$-0E0000]yyyy-mm-dd")</f>
        <v/>
      </c>
      <c r="C66744" t="inlineStr">
        <is>
          <t>2082-08-04</t>
        </is>
      </c>
    </row>
    <row r="66745">
      <c r="A66745" s="1" t="n">
        <v>66744</v>
      </c>
      <c r="B66745">
        <f>TEXT(66744, "[$-0E0000]yyyy-mm-dd")</f>
        <v/>
      </c>
      <c r="C66745" t="inlineStr">
        <is>
          <t>2082-08-05</t>
        </is>
      </c>
    </row>
    <row r="66746">
      <c r="A66746" s="1" t="n">
        <v>66745</v>
      </c>
      <c r="B66746">
        <f>TEXT(66745, "[$-0E0000]yyyy-mm-dd")</f>
        <v/>
      </c>
      <c r="C66746" t="inlineStr">
        <is>
          <t>2082-08-06</t>
        </is>
      </c>
    </row>
    <row r="66747">
      <c r="A66747" s="1" t="n">
        <v>66746</v>
      </c>
      <c r="B66747">
        <f>TEXT(66746, "[$-0E0000]yyyy-mm-dd")</f>
        <v/>
      </c>
      <c r="C66747" t="inlineStr">
        <is>
          <t>2082-08-07</t>
        </is>
      </c>
    </row>
    <row r="66748">
      <c r="A66748" s="1" t="n">
        <v>66747</v>
      </c>
      <c r="B66748">
        <f>TEXT(66747, "[$-0E0000]yyyy-mm-dd")</f>
        <v/>
      </c>
      <c r="C66748" t="inlineStr">
        <is>
          <t>2082-08-08</t>
        </is>
      </c>
    </row>
    <row r="66749">
      <c r="A66749" s="1" t="n">
        <v>66748</v>
      </c>
      <c r="B66749">
        <f>TEXT(66748, "[$-0E0000]yyyy-mm-dd")</f>
        <v/>
      </c>
      <c r="C66749" t="inlineStr">
        <is>
          <t>2082-08-09</t>
        </is>
      </c>
    </row>
    <row r="66750">
      <c r="A66750" s="1" t="n">
        <v>66749</v>
      </c>
      <c r="B66750">
        <f>TEXT(66749, "[$-0E0000]yyyy-mm-dd")</f>
        <v/>
      </c>
      <c r="C66750" t="inlineStr">
        <is>
          <t>2082-08-10</t>
        </is>
      </c>
    </row>
    <row r="66751">
      <c r="A66751" s="1" t="n">
        <v>66750</v>
      </c>
      <c r="B66751">
        <f>TEXT(66750, "[$-0E0000]yyyy-mm-dd")</f>
        <v/>
      </c>
      <c r="C66751" t="inlineStr">
        <is>
          <t>2082-08-11</t>
        </is>
      </c>
    </row>
    <row r="66752">
      <c r="A66752" s="1" t="n">
        <v>66751</v>
      </c>
      <c r="B66752">
        <f>TEXT(66751, "[$-0E0000]yyyy-mm-dd")</f>
        <v/>
      </c>
      <c r="C66752" t="inlineStr">
        <is>
          <t>2082-08-12</t>
        </is>
      </c>
    </row>
    <row r="66753">
      <c r="A66753" s="1" t="n">
        <v>66752</v>
      </c>
      <c r="B66753">
        <f>TEXT(66752, "[$-0E0000]yyyy-mm-dd")</f>
        <v/>
      </c>
      <c r="C66753" t="inlineStr">
        <is>
          <t>2082-08-13</t>
        </is>
      </c>
    </row>
    <row r="66754">
      <c r="A66754" s="1" t="n">
        <v>66753</v>
      </c>
      <c r="B66754">
        <f>TEXT(66753, "[$-0E0000]yyyy-mm-dd")</f>
        <v/>
      </c>
      <c r="C66754" t="inlineStr">
        <is>
          <t>2082-08-14</t>
        </is>
      </c>
    </row>
    <row r="66755">
      <c r="A66755" s="1" t="n">
        <v>66754</v>
      </c>
      <c r="B66755">
        <f>TEXT(66754, "[$-0E0000]yyyy-mm-dd")</f>
        <v/>
      </c>
      <c r="C66755" t="inlineStr">
        <is>
          <t>2082-08-15</t>
        </is>
      </c>
    </row>
    <row r="66756">
      <c r="A66756" s="1" t="n">
        <v>66755</v>
      </c>
      <c r="B66756">
        <f>TEXT(66755, "[$-0E0000]yyyy-mm-dd")</f>
        <v/>
      </c>
      <c r="C66756" t="inlineStr">
        <is>
          <t>2082-08-16</t>
        </is>
      </c>
    </row>
    <row r="66757">
      <c r="A66757" s="1" t="n">
        <v>66756</v>
      </c>
      <c r="B66757">
        <f>TEXT(66756, "[$-0E0000]yyyy-mm-dd")</f>
        <v/>
      </c>
      <c r="C66757" t="inlineStr">
        <is>
          <t>2082-08-17</t>
        </is>
      </c>
    </row>
    <row r="66758">
      <c r="A66758" s="1" t="n">
        <v>66757</v>
      </c>
      <c r="B66758">
        <f>TEXT(66757, "[$-0E0000]yyyy-mm-dd")</f>
        <v/>
      </c>
      <c r="C66758" t="inlineStr">
        <is>
          <t>2082-08-18</t>
        </is>
      </c>
    </row>
    <row r="66759">
      <c r="A66759" s="1" t="n">
        <v>66758</v>
      </c>
      <c r="B66759">
        <f>TEXT(66758, "[$-0E0000]yyyy-mm-dd")</f>
        <v/>
      </c>
      <c r="C66759" t="inlineStr">
        <is>
          <t>2082-08-19</t>
        </is>
      </c>
    </row>
    <row r="66760">
      <c r="A66760" s="1" t="n">
        <v>66759</v>
      </c>
      <c r="B66760">
        <f>TEXT(66759, "[$-0E0000]yyyy-mm-dd")</f>
        <v/>
      </c>
      <c r="C66760" t="inlineStr">
        <is>
          <t>2082-08-20</t>
        </is>
      </c>
    </row>
    <row r="66761">
      <c r="A66761" s="1" t="n">
        <v>66760</v>
      </c>
      <c r="B66761">
        <f>TEXT(66760, "[$-0E0000]yyyy-mm-dd")</f>
        <v/>
      </c>
      <c r="C66761" t="inlineStr">
        <is>
          <t>2082-08-21</t>
        </is>
      </c>
    </row>
    <row r="66762">
      <c r="A66762" s="1" t="n">
        <v>66761</v>
      </c>
      <c r="B66762">
        <f>TEXT(66761, "[$-0E0000]yyyy-mm-dd")</f>
        <v/>
      </c>
      <c r="C66762" t="inlineStr">
        <is>
          <t>2082-08-22</t>
        </is>
      </c>
    </row>
    <row r="66763">
      <c r="A66763" s="1" t="n">
        <v>66762</v>
      </c>
      <c r="B66763">
        <f>TEXT(66762, "[$-0E0000]yyyy-mm-dd")</f>
        <v/>
      </c>
      <c r="C66763" t="inlineStr">
        <is>
          <t>2082-08-23</t>
        </is>
      </c>
    </row>
    <row r="66764">
      <c r="A66764" s="1" t="n">
        <v>66763</v>
      </c>
      <c r="B66764">
        <f>TEXT(66763, "[$-0E0000]yyyy-mm-dd")</f>
        <v/>
      </c>
      <c r="C66764" t="inlineStr">
        <is>
          <t>2082-08-24</t>
        </is>
      </c>
    </row>
    <row r="66765">
      <c r="A66765" s="1" t="n">
        <v>66764</v>
      </c>
      <c r="B66765">
        <f>TEXT(66764, "[$-0E0000]yyyy-mm-dd")</f>
        <v/>
      </c>
      <c r="C66765" t="inlineStr">
        <is>
          <t>2082-08-25</t>
        </is>
      </c>
    </row>
    <row r="66766">
      <c r="A66766" s="1" t="n">
        <v>66765</v>
      </c>
      <c r="B66766">
        <f>TEXT(66765, "[$-0E0000]yyyy-mm-dd")</f>
        <v/>
      </c>
      <c r="C66766" t="inlineStr">
        <is>
          <t>2082-08-26</t>
        </is>
      </c>
    </row>
    <row r="66767">
      <c r="A66767" s="1" t="n">
        <v>66766</v>
      </c>
      <c r="B66767">
        <f>TEXT(66766, "[$-0E0000]yyyy-mm-dd")</f>
        <v/>
      </c>
      <c r="C66767" t="inlineStr">
        <is>
          <t>2082-08-27</t>
        </is>
      </c>
    </row>
    <row r="66768">
      <c r="A66768" s="1" t="n">
        <v>66767</v>
      </c>
      <c r="B66768">
        <f>TEXT(66767, "[$-0E0000]yyyy-mm-dd")</f>
        <v/>
      </c>
      <c r="C66768" t="inlineStr">
        <is>
          <t>2082-08-28</t>
        </is>
      </c>
    </row>
    <row r="66769">
      <c r="A66769" s="1" t="n">
        <v>66768</v>
      </c>
      <c r="B66769">
        <f>TEXT(66768, "[$-0E0000]yyyy-mm-dd")</f>
        <v/>
      </c>
      <c r="C66769" t="inlineStr">
        <is>
          <t>2082-08-29</t>
        </is>
      </c>
    </row>
    <row r="66770">
      <c r="A66770" s="1" t="n">
        <v>66769</v>
      </c>
      <c r="B66770">
        <f>TEXT(66769, "[$-0E0000]yyyy-mm-dd")</f>
        <v/>
      </c>
      <c r="C66770" t="inlineStr">
        <is>
          <t>2082-08-30</t>
        </is>
      </c>
    </row>
    <row r="66771">
      <c r="A66771" s="1" t="n">
        <v>66770</v>
      </c>
      <c r="B66771">
        <f>TEXT(66770, "[$-0E0000]yyyy-mm-dd")</f>
        <v/>
      </c>
      <c r="C66771" t="inlineStr">
        <is>
          <t>2082-09-01</t>
        </is>
      </c>
    </row>
    <row r="66772">
      <c r="A66772" s="1" t="n">
        <v>66771</v>
      </c>
      <c r="B66772">
        <f>TEXT(66771, "[$-0E0000]yyyy-mm-dd")</f>
        <v/>
      </c>
      <c r="C66772" t="inlineStr">
        <is>
          <t>2082-09-02</t>
        </is>
      </c>
    </row>
    <row r="66773">
      <c r="A66773" s="1" t="n">
        <v>66772</v>
      </c>
      <c r="B66773">
        <f>TEXT(66772, "[$-0E0000]yyyy-mm-dd")</f>
        <v/>
      </c>
      <c r="C66773" t="inlineStr">
        <is>
          <t>2082-09-03</t>
        </is>
      </c>
    </row>
    <row r="66774">
      <c r="A66774" s="1" t="n">
        <v>66773</v>
      </c>
      <c r="B66774">
        <f>TEXT(66773, "[$-0E0000]yyyy-mm-dd")</f>
        <v/>
      </c>
      <c r="C66774" t="inlineStr">
        <is>
          <t>2082-09-04</t>
        </is>
      </c>
    </row>
    <row r="66775">
      <c r="A66775" s="1" t="n">
        <v>66774</v>
      </c>
      <c r="B66775">
        <f>TEXT(66774, "[$-0E0000]yyyy-mm-dd")</f>
        <v/>
      </c>
      <c r="C66775" t="inlineStr">
        <is>
          <t>2082-09-05</t>
        </is>
      </c>
    </row>
    <row r="66776">
      <c r="A66776" s="1" t="n">
        <v>66775</v>
      </c>
      <c r="B66776">
        <f>TEXT(66775, "[$-0E0000]yyyy-mm-dd")</f>
        <v/>
      </c>
      <c r="C66776" t="inlineStr">
        <is>
          <t>2082-09-06</t>
        </is>
      </c>
    </row>
    <row r="66777">
      <c r="A66777" s="1" t="n">
        <v>66776</v>
      </c>
      <c r="B66777">
        <f>TEXT(66776, "[$-0E0000]yyyy-mm-dd")</f>
        <v/>
      </c>
      <c r="C66777" t="inlineStr">
        <is>
          <t>2082-09-07</t>
        </is>
      </c>
    </row>
    <row r="66778">
      <c r="A66778" s="1" t="n">
        <v>66777</v>
      </c>
      <c r="B66778">
        <f>TEXT(66777, "[$-0E0000]yyyy-mm-dd")</f>
        <v/>
      </c>
      <c r="C66778" t="inlineStr">
        <is>
          <t>2082-09-08</t>
        </is>
      </c>
    </row>
    <row r="66779">
      <c r="A66779" s="1" t="n">
        <v>66778</v>
      </c>
      <c r="B66779">
        <f>TEXT(66778, "[$-0E0000]yyyy-mm-dd")</f>
        <v/>
      </c>
      <c r="C66779" t="inlineStr">
        <is>
          <t>2082-09-09</t>
        </is>
      </c>
    </row>
    <row r="66780">
      <c r="A66780" s="1" t="n">
        <v>66779</v>
      </c>
      <c r="B66780">
        <f>TEXT(66779, "[$-0E0000]yyyy-mm-dd")</f>
        <v/>
      </c>
      <c r="C66780" t="inlineStr">
        <is>
          <t>2082-09-10</t>
        </is>
      </c>
    </row>
    <row r="66781">
      <c r="A66781" s="1" t="n">
        <v>66780</v>
      </c>
      <c r="B66781">
        <f>TEXT(66780, "[$-0E0000]yyyy-mm-dd")</f>
        <v/>
      </c>
      <c r="C66781" t="inlineStr">
        <is>
          <t>2082-09-11</t>
        </is>
      </c>
    </row>
    <row r="66782">
      <c r="A66782" s="1" t="n">
        <v>66781</v>
      </c>
      <c r="B66782">
        <f>TEXT(66781, "[$-0E0000]yyyy-mm-dd")</f>
        <v/>
      </c>
      <c r="C66782" t="inlineStr">
        <is>
          <t>2082-09-12</t>
        </is>
      </c>
    </row>
    <row r="66783">
      <c r="A66783" s="1" t="n">
        <v>66782</v>
      </c>
      <c r="B66783">
        <f>TEXT(66782, "[$-0E0000]yyyy-mm-dd")</f>
        <v/>
      </c>
      <c r="C66783" t="inlineStr">
        <is>
          <t>2082-09-13</t>
        </is>
      </c>
    </row>
    <row r="66784">
      <c r="A66784" s="1" t="n">
        <v>66783</v>
      </c>
      <c r="B66784">
        <f>TEXT(66783, "[$-0E0000]yyyy-mm-dd")</f>
        <v/>
      </c>
      <c r="C66784" t="inlineStr">
        <is>
          <t>2082-09-14</t>
        </is>
      </c>
    </row>
    <row r="66785">
      <c r="A66785" s="1" t="n">
        <v>66784</v>
      </c>
      <c r="B66785">
        <f>TEXT(66784, "[$-0E0000]yyyy-mm-dd")</f>
        <v/>
      </c>
      <c r="C66785" t="inlineStr">
        <is>
          <t>2082-09-15</t>
        </is>
      </c>
    </row>
    <row r="66786">
      <c r="A66786" s="1" t="n">
        <v>66785</v>
      </c>
      <c r="B66786">
        <f>TEXT(66785, "[$-0E0000]yyyy-mm-dd")</f>
        <v/>
      </c>
      <c r="C66786" t="inlineStr">
        <is>
          <t>2082-09-16</t>
        </is>
      </c>
    </row>
    <row r="66787">
      <c r="A66787" s="1" t="n">
        <v>66786</v>
      </c>
      <c r="B66787">
        <f>TEXT(66786, "[$-0E0000]yyyy-mm-dd")</f>
        <v/>
      </c>
      <c r="C66787" t="inlineStr">
        <is>
          <t>2082-09-17</t>
        </is>
      </c>
    </row>
    <row r="66788">
      <c r="A66788" s="1" t="n">
        <v>66787</v>
      </c>
      <c r="B66788">
        <f>TEXT(66787, "[$-0E0000]yyyy-mm-dd")</f>
        <v/>
      </c>
      <c r="C66788" t="inlineStr">
        <is>
          <t>2082-09-18</t>
        </is>
      </c>
    </row>
    <row r="66789">
      <c r="A66789" s="1" t="n">
        <v>66788</v>
      </c>
      <c r="B66789">
        <f>TEXT(66788, "[$-0E0000]yyyy-mm-dd")</f>
        <v/>
      </c>
      <c r="C66789" t="inlineStr">
        <is>
          <t>2082-09-19</t>
        </is>
      </c>
    </row>
    <row r="66790">
      <c r="A66790" s="1" t="n">
        <v>66789</v>
      </c>
      <c r="B66790">
        <f>TEXT(66789, "[$-0E0000]yyyy-mm-dd")</f>
        <v/>
      </c>
      <c r="C66790" t="inlineStr">
        <is>
          <t>2082-09-20</t>
        </is>
      </c>
    </row>
    <row r="66791">
      <c r="A66791" s="1" t="n">
        <v>66790</v>
      </c>
      <c r="B66791">
        <f>TEXT(66790, "[$-0E0000]yyyy-mm-dd")</f>
        <v/>
      </c>
      <c r="C66791" t="inlineStr">
        <is>
          <t>2082-09-21</t>
        </is>
      </c>
    </row>
    <row r="66792">
      <c r="A66792" s="1" t="n">
        <v>66791</v>
      </c>
      <c r="B66792">
        <f>TEXT(66791, "[$-0E0000]yyyy-mm-dd")</f>
        <v/>
      </c>
      <c r="C66792" t="inlineStr">
        <is>
          <t>2082-09-22</t>
        </is>
      </c>
    </row>
    <row r="66793">
      <c r="A66793" s="1" t="n">
        <v>66792</v>
      </c>
      <c r="B66793">
        <f>TEXT(66792, "[$-0E0000]yyyy-mm-dd")</f>
        <v/>
      </c>
      <c r="C66793" t="inlineStr">
        <is>
          <t>2082-09-23</t>
        </is>
      </c>
    </row>
    <row r="66794">
      <c r="A66794" s="1" t="n">
        <v>66793</v>
      </c>
      <c r="B66794">
        <f>TEXT(66793, "[$-0E0000]yyyy-mm-dd")</f>
        <v/>
      </c>
      <c r="C66794" t="inlineStr">
        <is>
          <t>2082-09-24</t>
        </is>
      </c>
    </row>
    <row r="66795">
      <c r="A66795" s="1" t="n">
        <v>66794</v>
      </c>
      <c r="B66795">
        <f>TEXT(66794, "[$-0E0000]yyyy-mm-dd")</f>
        <v/>
      </c>
      <c r="C66795" t="inlineStr">
        <is>
          <t>2082-09-25</t>
        </is>
      </c>
    </row>
    <row r="66796">
      <c r="A66796" s="1" t="n">
        <v>66795</v>
      </c>
      <c r="B66796">
        <f>TEXT(66795, "[$-0E0000]yyyy-mm-dd")</f>
        <v/>
      </c>
      <c r="C66796" t="inlineStr">
        <is>
          <t>2082-09-26</t>
        </is>
      </c>
    </row>
    <row r="66797">
      <c r="A66797" s="1" t="n">
        <v>66796</v>
      </c>
      <c r="B66797">
        <f>TEXT(66796, "[$-0E0000]yyyy-mm-dd")</f>
        <v/>
      </c>
      <c r="C66797" t="inlineStr">
        <is>
          <t>2082-09-27</t>
        </is>
      </c>
    </row>
    <row r="66798">
      <c r="A66798" s="1" t="n">
        <v>66797</v>
      </c>
      <c r="B66798">
        <f>TEXT(66797, "[$-0E0000]yyyy-mm-dd")</f>
        <v/>
      </c>
      <c r="C66798" t="inlineStr">
        <is>
          <t>2082-09-28</t>
        </is>
      </c>
    </row>
    <row r="66799">
      <c r="A66799" s="1" t="n">
        <v>66798</v>
      </c>
      <c r="B66799">
        <f>TEXT(66798, "[$-0E0000]yyyy-mm-dd")</f>
        <v/>
      </c>
      <c r="C66799" t="inlineStr">
        <is>
          <t>2082-09-29</t>
        </is>
      </c>
    </row>
    <row r="66800">
      <c r="A66800" s="1" t="n">
        <v>66799</v>
      </c>
      <c r="B66800">
        <f>TEXT(66799, "[$-0E0000]yyyy-mm-dd")</f>
        <v/>
      </c>
      <c r="C66800" t="inlineStr">
        <is>
          <t>2082-10-01</t>
        </is>
      </c>
    </row>
    <row r="66801">
      <c r="A66801" s="1" t="n">
        <v>66800</v>
      </c>
      <c r="B66801">
        <f>TEXT(66800, "[$-0E0000]yyyy-mm-dd")</f>
        <v/>
      </c>
      <c r="C66801" t="inlineStr">
        <is>
          <t>2082-10-02</t>
        </is>
      </c>
    </row>
    <row r="66802">
      <c r="A66802" s="1" t="n">
        <v>66801</v>
      </c>
      <c r="B66802">
        <f>TEXT(66801, "[$-0E0000]yyyy-mm-dd")</f>
        <v/>
      </c>
      <c r="C66802" t="inlineStr">
        <is>
          <t>2082-10-03</t>
        </is>
      </c>
    </row>
    <row r="66803">
      <c r="A66803" s="1" t="n">
        <v>66802</v>
      </c>
      <c r="B66803">
        <f>TEXT(66802, "[$-0E0000]yyyy-mm-dd")</f>
        <v/>
      </c>
      <c r="C66803" t="inlineStr">
        <is>
          <t>2082-10-04</t>
        </is>
      </c>
    </row>
    <row r="66804">
      <c r="A66804" s="1" t="n">
        <v>66803</v>
      </c>
      <c r="B66804">
        <f>TEXT(66803, "[$-0E0000]yyyy-mm-dd")</f>
        <v/>
      </c>
      <c r="C66804" t="inlineStr">
        <is>
          <t>2082-10-05</t>
        </is>
      </c>
    </row>
    <row r="66805">
      <c r="A66805" s="1" t="n">
        <v>66804</v>
      </c>
      <c r="B66805">
        <f>TEXT(66804, "[$-0E0000]yyyy-mm-dd")</f>
        <v/>
      </c>
      <c r="C66805" t="inlineStr">
        <is>
          <t>2082-10-06</t>
        </is>
      </c>
    </row>
    <row r="66806">
      <c r="A66806" s="1" t="n">
        <v>66805</v>
      </c>
      <c r="B66806">
        <f>TEXT(66805, "[$-0E0000]yyyy-mm-dd")</f>
        <v/>
      </c>
      <c r="C66806" t="inlineStr">
        <is>
          <t>2082-10-07</t>
        </is>
      </c>
    </row>
    <row r="66807">
      <c r="A66807" s="1" t="n">
        <v>66806</v>
      </c>
      <c r="B66807">
        <f>TEXT(66806, "[$-0E0000]yyyy-mm-dd")</f>
        <v/>
      </c>
      <c r="C66807" t="inlineStr">
        <is>
          <t>2082-10-08</t>
        </is>
      </c>
    </row>
    <row r="66808">
      <c r="A66808" s="1" t="n">
        <v>66807</v>
      </c>
      <c r="B66808">
        <f>TEXT(66807, "[$-0E0000]yyyy-mm-dd")</f>
        <v/>
      </c>
      <c r="C66808" t="inlineStr">
        <is>
          <t>2082-10-09</t>
        </is>
      </c>
    </row>
    <row r="66809">
      <c r="A66809" s="1" t="n">
        <v>66808</v>
      </c>
      <c r="B66809">
        <f>TEXT(66808, "[$-0E0000]yyyy-mm-dd")</f>
        <v/>
      </c>
      <c r="C66809" t="inlineStr">
        <is>
          <t>2082-10-10</t>
        </is>
      </c>
    </row>
    <row r="66810">
      <c r="A66810" s="1" t="n">
        <v>66809</v>
      </c>
      <c r="B66810">
        <f>TEXT(66809, "[$-0E0000]yyyy-mm-dd")</f>
        <v/>
      </c>
      <c r="C66810" t="inlineStr">
        <is>
          <t>2082-10-11</t>
        </is>
      </c>
    </row>
    <row r="66811">
      <c r="A66811" s="1" t="n">
        <v>66810</v>
      </c>
      <c r="B66811">
        <f>TEXT(66810, "[$-0E0000]yyyy-mm-dd")</f>
        <v/>
      </c>
      <c r="C66811" t="inlineStr">
        <is>
          <t>2082-10-12</t>
        </is>
      </c>
    </row>
    <row r="66812">
      <c r="A66812" s="1" t="n">
        <v>66811</v>
      </c>
      <c r="B66812">
        <f>TEXT(66811, "[$-0E0000]yyyy-mm-dd")</f>
        <v/>
      </c>
      <c r="C66812" t="inlineStr">
        <is>
          <t>2082-10-13</t>
        </is>
      </c>
    </row>
    <row r="66813">
      <c r="A66813" s="1" t="n">
        <v>66812</v>
      </c>
      <c r="B66813">
        <f>TEXT(66812, "[$-0E0000]yyyy-mm-dd")</f>
        <v/>
      </c>
      <c r="C66813" t="inlineStr">
        <is>
          <t>2082-10-14</t>
        </is>
      </c>
    </row>
    <row r="66814">
      <c r="A66814" s="1" t="n">
        <v>66813</v>
      </c>
      <c r="B66814">
        <f>TEXT(66813, "[$-0E0000]yyyy-mm-dd")</f>
        <v/>
      </c>
      <c r="C66814" t="inlineStr">
        <is>
          <t>2082-10-15</t>
        </is>
      </c>
    </row>
    <row r="66815">
      <c r="A66815" s="1" t="n">
        <v>66814</v>
      </c>
      <c r="B66815">
        <f>TEXT(66814, "[$-0E0000]yyyy-mm-dd")</f>
        <v/>
      </c>
      <c r="C66815" t="inlineStr">
        <is>
          <t>2082-10-16</t>
        </is>
      </c>
    </row>
    <row r="66816">
      <c r="A66816" s="1" t="n">
        <v>66815</v>
      </c>
      <c r="B66816">
        <f>TEXT(66815, "[$-0E0000]yyyy-mm-dd")</f>
        <v/>
      </c>
      <c r="C66816" t="inlineStr">
        <is>
          <t>2082-10-17</t>
        </is>
      </c>
    </row>
    <row r="66817">
      <c r="A66817" s="1" t="n">
        <v>66816</v>
      </c>
      <c r="B66817">
        <f>TEXT(66816, "[$-0E0000]yyyy-mm-dd")</f>
        <v/>
      </c>
      <c r="C66817" t="inlineStr">
        <is>
          <t>2082-10-18</t>
        </is>
      </c>
    </row>
    <row r="66818">
      <c r="A66818" s="1" t="n">
        <v>66817</v>
      </c>
      <c r="B66818">
        <f>TEXT(66817, "[$-0E0000]yyyy-mm-dd")</f>
        <v/>
      </c>
      <c r="C66818" t="inlineStr">
        <is>
          <t>2082-10-19</t>
        </is>
      </c>
    </row>
    <row r="66819">
      <c r="A66819" s="1" t="n">
        <v>66818</v>
      </c>
      <c r="B66819">
        <f>TEXT(66818, "[$-0E0000]yyyy-mm-dd")</f>
        <v/>
      </c>
      <c r="C66819" t="inlineStr">
        <is>
          <t>2082-10-20</t>
        </is>
      </c>
    </row>
    <row r="66820">
      <c r="A66820" s="1" t="n">
        <v>66819</v>
      </c>
      <c r="B66820">
        <f>TEXT(66819, "[$-0E0000]yyyy-mm-dd")</f>
        <v/>
      </c>
      <c r="C66820" t="inlineStr">
        <is>
          <t>2082-10-21</t>
        </is>
      </c>
    </row>
    <row r="66821">
      <c r="A66821" s="1" t="n">
        <v>66820</v>
      </c>
      <c r="B66821">
        <f>TEXT(66820, "[$-0E0000]yyyy-mm-dd")</f>
        <v/>
      </c>
      <c r="C66821" t="inlineStr">
        <is>
          <t>2082-10-22</t>
        </is>
      </c>
    </row>
    <row r="66822">
      <c r="A66822" s="1" t="n">
        <v>66821</v>
      </c>
      <c r="B66822">
        <f>TEXT(66821, "[$-0E0000]yyyy-mm-dd")</f>
        <v/>
      </c>
      <c r="C66822" t="inlineStr">
        <is>
          <t>2082-10-23</t>
        </is>
      </c>
    </row>
    <row r="66823">
      <c r="A66823" s="1" t="n">
        <v>66822</v>
      </c>
      <c r="B66823">
        <f>TEXT(66822, "[$-0E0000]yyyy-mm-dd")</f>
        <v/>
      </c>
      <c r="C66823" t="inlineStr">
        <is>
          <t>2082-10-24</t>
        </is>
      </c>
    </row>
    <row r="66824">
      <c r="A66824" s="1" t="n">
        <v>66823</v>
      </c>
      <c r="B66824">
        <f>TEXT(66823, "[$-0E0000]yyyy-mm-dd")</f>
        <v/>
      </c>
      <c r="C66824" t="inlineStr">
        <is>
          <t>2082-10-25</t>
        </is>
      </c>
    </row>
    <row r="66825">
      <c r="A66825" s="1" t="n">
        <v>66824</v>
      </c>
      <c r="B66825">
        <f>TEXT(66824, "[$-0E0000]yyyy-mm-dd")</f>
        <v/>
      </c>
      <c r="C66825" t="inlineStr">
        <is>
          <t>2082-10-26</t>
        </is>
      </c>
    </row>
    <row r="66826">
      <c r="A66826" s="1" t="n">
        <v>66825</v>
      </c>
      <c r="B66826">
        <f>TEXT(66825, "[$-0E0000]yyyy-mm-dd")</f>
        <v/>
      </c>
      <c r="C66826" t="inlineStr">
        <is>
          <t>2082-10-27</t>
        </is>
      </c>
    </row>
    <row r="66827">
      <c r="A66827" s="1" t="n">
        <v>66826</v>
      </c>
      <c r="B66827">
        <f>TEXT(66826, "[$-0E0000]yyyy-mm-dd")</f>
        <v/>
      </c>
      <c r="C66827" t="inlineStr">
        <is>
          <t>2082-10-28</t>
        </is>
      </c>
    </row>
    <row r="66828">
      <c r="A66828" s="1" t="n">
        <v>66827</v>
      </c>
      <c r="B66828">
        <f>TEXT(66827, "[$-0E0000]yyyy-mm-dd")</f>
        <v/>
      </c>
      <c r="C66828" t="inlineStr">
        <is>
          <t>2082-10-29</t>
        </is>
      </c>
    </row>
    <row r="66829">
      <c r="A66829" s="1" t="n">
        <v>66828</v>
      </c>
      <c r="B66829">
        <f>TEXT(66828, "[$-0E0000]yyyy-mm-dd")</f>
        <v/>
      </c>
      <c r="C66829" t="inlineStr">
        <is>
          <t>2082-11-01</t>
        </is>
      </c>
    </row>
    <row r="66830">
      <c r="A66830" s="1" t="n">
        <v>66829</v>
      </c>
      <c r="B66830">
        <f>TEXT(66829, "[$-0E0000]yyyy-mm-dd")</f>
        <v/>
      </c>
      <c r="C66830" t="inlineStr">
        <is>
          <t>2082-11-02</t>
        </is>
      </c>
    </row>
    <row r="66831">
      <c r="A66831" s="1" t="n">
        <v>66830</v>
      </c>
      <c r="B66831">
        <f>TEXT(66830, "[$-0E0000]yyyy-mm-dd")</f>
        <v/>
      </c>
      <c r="C66831" t="inlineStr">
        <is>
          <t>2082-11-03</t>
        </is>
      </c>
    </row>
    <row r="66832">
      <c r="A66832" s="1" t="n">
        <v>66831</v>
      </c>
      <c r="B66832">
        <f>TEXT(66831, "[$-0E0000]yyyy-mm-dd")</f>
        <v/>
      </c>
      <c r="C66832" t="inlineStr">
        <is>
          <t>2082-11-04</t>
        </is>
      </c>
    </row>
    <row r="66833">
      <c r="A66833" s="1" t="n">
        <v>66832</v>
      </c>
      <c r="B66833">
        <f>TEXT(66832, "[$-0E0000]yyyy-mm-dd")</f>
        <v/>
      </c>
      <c r="C66833" t="inlineStr">
        <is>
          <t>2082-11-05</t>
        </is>
      </c>
    </row>
    <row r="66834">
      <c r="A66834" s="1" t="n">
        <v>66833</v>
      </c>
      <c r="B66834">
        <f>TEXT(66833, "[$-0E0000]yyyy-mm-dd")</f>
        <v/>
      </c>
      <c r="C66834" t="inlineStr">
        <is>
          <t>2082-11-06</t>
        </is>
      </c>
    </row>
    <row r="66835">
      <c r="A66835" s="1" t="n">
        <v>66834</v>
      </c>
      <c r="B66835">
        <f>TEXT(66834, "[$-0E0000]yyyy-mm-dd")</f>
        <v/>
      </c>
      <c r="C66835" t="inlineStr">
        <is>
          <t>2082-11-07</t>
        </is>
      </c>
    </row>
    <row r="66836">
      <c r="A66836" s="1" t="n">
        <v>66835</v>
      </c>
      <c r="B66836">
        <f>TEXT(66835, "[$-0E0000]yyyy-mm-dd")</f>
        <v/>
      </c>
      <c r="C66836" t="inlineStr">
        <is>
          <t>2082-11-08</t>
        </is>
      </c>
    </row>
    <row r="66837">
      <c r="A66837" s="1" t="n">
        <v>66836</v>
      </c>
      <c r="B66837">
        <f>TEXT(66836, "[$-0E0000]yyyy-mm-dd")</f>
        <v/>
      </c>
      <c r="C66837" t="inlineStr">
        <is>
          <t>2082-11-09</t>
        </is>
      </c>
    </row>
    <row r="66838">
      <c r="A66838" s="1" t="n">
        <v>66837</v>
      </c>
      <c r="B66838">
        <f>TEXT(66837, "[$-0E0000]yyyy-mm-dd")</f>
        <v/>
      </c>
      <c r="C66838" t="inlineStr">
        <is>
          <t>2082-11-10</t>
        </is>
      </c>
    </row>
    <row r="66839">
      <c r="A66839" s="1" t="n">
        <v>66838</v>
      </c>
      <c r="B66839">
        <f>TEXT(66838, "[$-0E0000]yyyy-mm-dd")</f>
        <v/>
      </c>
      <c r="C66839" t="inlineStr">
        <is>
          <t>2082-11-11</t>
        </is>
      </c>
    </row>
    <row r="66840">
      <c r="A66840" s="1" t="n">
        <v>66839</v>
      </c>
      <c r="B66840">
        <f>TEXT(66839, "[$-0E0000]yyyy-mm-dd")</f>
        <v/>
      </c>
      <c r="C66840" t="inlineStr">
        <is>
          <t>2082-11-12</t>
        </is>
      </c>
    </row>
    <row r="66841">
      <c r="A66841" s="1" t="n">
        <v>66840</v>
      </c>
      <c r="B66841">
        <f>TEXT(66840, "[$-0E0000]yyyy-mm-dd")</f>
        <v/>
      </c>
      <c r="C66841" t="inlineStr">
        <is>
          <t>2082-11-13</t>
        </is>
      </c>
    </row>
    <row r="66842">
      <c r="A66842" s="1" t="n">
        <v>66841</v>
      </c>
      <c r="B66842">
        <f>TEXT(66841, "[$-0E0000]yyyy-mm-dd")</f>
        <v/>
      </c>
      <c r="C66842" t="inlineStr">
        <is>
          <t>2082-11-14</t>
        </is>
      </c>
    </row>
    <row r="66843">
      <c r="A66843" s="1" t="n">
        <v>66842</v>
      </c>
      <c r="B66843">
        <f>TEXT(66842, "[$-0E0000]yyyy-mm-dd")</f>
        <v/>
      </c>
      <c r="C66843" t="inlineStr">
        <is>
          <t>2082-11-15</t>
        </is>
      </c>
    </row>
    <row r="66844">
      <c r="A66844" s="1" t="n">
        <v>66843</v>
      </c>
      <c r="B66844">
        <f>TEXT(66843, "[$-0E0000]yyyy-mm-dd")</f>
        <v/>
      </c>
      <c r="C66844" t="inlineStr">
        <is>
          <t>2082-11-16</t>
        </is>
      </c>
    </row>
    <row r="66845">
      <c r="A66845" s="1" t="n">
        <v>66844</v>
      </c>
      <c r="B66845">
        <f>TEXT(66844, "[$-0E0000]yyyy-mm-dd")</f>
        <v/>
      </c>
      <c r="C66845" t="inlineStr">
        <is>
          <t>2082-11-17</t>
        </is>
      </c>
    </row>
    <row r="66846">
      <c r="A66846" s="1" t="n">
        <v>66845</v>
      </c>
      <c r="B66846">
        <f>TEXT(66845, "[$-0E0000]yyyy-mm-dd")</f>
        <v/>
      </c>
      <c r="C66846" t="inlineStr">
        <is>
          <t>2082-11-18</t>
        </is>
      </c>
    </row>
    <row r="66847">
      <c r="A66847" s="1" t="n">
        <v>66846</v>
      </c>
      <c r="B66847">
        <f>TEXT(66846, "[$-0E0000]yyyy-mm-dd")</f>
        <v/>
      </c>
      <c r="C66847" t="inlineStr">
        <is>
          <t>2082-11-19</t>
        </is>
      </c>
    </row>
    <row r="66848">
      <c r="A66848" s="1" t="n">
        <v>66847</v>
      </c>
      <c r="B66848">
        <f>TEXT(66847, "[$-0E0000]yyyy-mm-dd")</f>
        <v/>
      </c>
      <c r="C66848" t="inlineStr">
        <is>
          <t>2082-11-20</t>
        </is>
      </c>
    </row>
    <row r="66849">
      <c r="A66849" s="1" t="n">
        <v>66848</v>
      </c>
      <c r="B66849">
        <f>TEXT(66848, "[$-0E0000]yyyy-mm-dd")</f>
        <v/>
      </c>
      <c r="C66849" t="inlineStr">
        <is>
          <t>2082-11-21</t>
        </is>
      </c>
    </row>
    <row r="66850">
      <c r="A66850" s="1" t="n">
        <v>66849</v>
      </c>
      <c r="B66850">
        <f>TEXT(66849, "[$-0E0000]yyyy-mm-dd")</f>
        <v/>
      </c>
      <c r="C66850" t="inlineStr">
        <is>
          <t>2082-11-22</t>
        </is>
      </c>
    </row>
    <row r="66851">
      <c r="A66851" s="1" t="n">
        <v>66850</v>
      </c>
      <c r="B66851">
        <f>TEXT(66850, "[$-0E0000]yyyy-mm-dd")</f>
        <v/>
      </c>
      <c r="C66851" t="inlineStr">
        <is>
          <t>2082-11-23</t>
        </is>
      </c>
    </row>
    <row r="66852">
      <c r="A66852" s="1" t="n">
        <v>66851</v>
      </c>
      <c r="B66852">
        <f>TEXT(66851, "[$-0E0000]yyyy-mm-dd")</f>
        <v/>
      </c>
      <c r="C66852" t="inlineStr">
        <is>
          <t>2082-11-24</t>
        </is>
      </c>
    </row>
    <row r="66853">
      <c r="A66853" s="1" t="n">
        <v>66852</v>
      </c>
      <c r="B66853">
        <f>TEXT(66852, "[$-0E0000]yyyy-mm-dd")</f>
        <v/>
      </c>
      <c r="C66853" t="inlineStr">
        <is>
          <t>2082-11-25</t>
        </is>
      </c>
    </row>
    <row r="66854">
      <c r="A66854" s="1" t="n">
        <v>66853</v>
      </c>
      <c r="B66854">
        <f>TEXT(66853, "[$-0E0000]yyyy-mm-dd")</f>
        <v/>
      </c>
      <c r="C66854" t="inlineStr">
        <is>
          <t>2082-11-26</t>
        </is>
      </c>
    </row>
    <row r="66855">
      <c r="A66855" s="1" t="n">
        <v>66854</v>
      </c>
      <c r="B66855">
        <f>TEXT(66854, "[$-0E0000]yyyy-mm-dd")</f>
        <v/>
      </c>
      <c r="C66855" t="inlineStr">
        <is>
          <t>2082-11-27</t>
        </is>
      </c>
    </row>
    <row r="66856">
      <c r="A66856" s="1" t="n">
        <v>66855</v>
      </c>
      <c r="B66856">
        <f>TEXT(66855, "[$-0E0000]yyyy-mm-dd")</f>
        <v/>
      </c>
      <c r="C66856" t="inlineStr">
        <is>
          <t>2082-11-28</t>
        </is>
      </c>
    </row>
    <row r="66857">
      <c r="A66857" s="1" t="n">
        <v>66856</v>
      </c>
      <c r="B66857">
        <f>TEXT(66856, "[$-0E0000]yyyy-mm-dd")</f>
        <v/>
      </c>
      <c r="C66857" t="inlineStr">
        <is>
          <t>2082-11-29</t>
        </is>
      </c>
    </row>
    <row r="66858">
      <c r="A66858" s="1" t="n">
        <v>66857</v>
      </c>
      <c r="B66858">
        <f>TEXT(66857, "[$-0E0000]yyyy-mm-dd")</f>
        <v/>
      </c>
      <c r="C66858" t="inlineStr">
        <is>
          <t>2082-11-30</t>
        </is>
      </c>
    </row>
    <row r="66859">
      <c r="A66859" s="1" t="n">
        <v>66858</v>
      </c>
      <c r="B66859">
        <f>TEXT(66858, "[$-0E0000]yyyy-mm-dd")</f>
        <v/>
      </c>
      <c r="C66859" t="inlineStr">
        <is>
          <t>2082-12-01</t>
        </is>
      </c>
    </row>
    <row r="66860">
      <c r="A66860" s="1" t="n">
        <v>66859</v>
      </c>
      <c r="B66860">
        <f>TEXT(66859, "[$-0E0000]yyyy-mm-dd")</f>
        <v/>
      </c>
      <c r="C66860" t="inlineStr">
        <is>
          <t>2082-12-02</t>
        </is>
      </c>
    </row>
    <row r="66861">
      <c r="A66861" s="1" t="n">
        <v>66860</v>
      </c>
      <c r="B66861">
        <f>TEXT(66860, "[$-0E0000]yyyy-mm-dd")</f>
        <v/>
      </c>
      <c r="C66861" t="inlineStr">
        <is>
          <t>2082-12-03</t>
        </is>
      </c>
    </row>
    <row r="66862">
      <c r="A66862" s="1" t="n">
        <v>66861</v>
      </c>
      <c r="B66862">
        <f>TEXT(66861, "[$-0E0000]yyyy-mm-dd")</f>
        <v/>
      </c>
      <c r="C66862" t="inlineStr">
        <is>
          <t>2082-12-04</t>
        </is>
      </c>
    </row>
    <row r="66863">
      <c r="A66863" s="1" t="n">
        <v>66862</v>
      </c>
      <c r="B66863">
        <f>TEXT(66862, "[$-0E0000]yyyy-mm-dd")</f>
        <v/>
      </c>
      <c r="C66863" t="inlineStr">
        <is>
          <t>2082-12-05</t>
        </is>
      </c>
    </row>
    <row r="66864">
      <c r="A66864" s="1" t="n">
        <v>66863</v>
      </c>
      <c r="B66864">
        <f>TEXT(66863, "[$-0E0000]yyyy-mm-dd")</f>
        <v/>
      </c>
      <c r="C66864" t="inlineStr">
        <is>
          <t>2082-12-06</t>
        </is>
      </c>
    </row>
    <row r="66865">
      <c r="A66865" s="1" t="n">
        <v>66864</v>
      </c>
      <c r="B66865">
        <f>TEXT(66864, "[$-0E0000]yyyy-mm-dd")</f>
        <v/>
      </c>
      <c r="C66865" t="inlineStr">
        <is>
          <t>2082-12-07</t>
        </is>
      </c>
    </row>
    <row r="66866">
      <c r="A66866" s="1" t="n">
        <v>66865</v>
      </c>
      <c r="B66866">
        <f>TEXT(66865, "[$-0E0000]yyyy-mm-dd")</f>
        <v/>
      </c>
      <c r="C66866" t="inlineStr">
        <is>
          <t>2082-12-08</t>
        </is>
      </c>
    </row>
    <row r="66867">
      <c r="A66867" s="1" t="n">
        <v>66866</v>
      </c>
      <c r="B66867">
        <f>TEXT(66866, "[$-0E0000]yyyy-mm-dd")</f>
        <v/>
      </c>
      <c r="C66867" t="inlineStr">
        <is>
          <t>2082-12-09</t>
        </is>
      </c>
    </row>
    <row r="66868">
      <c r="A66868" s="1" t="n">
        <v>66867</v>
      </c>
      <c r="B66868">
        <f>TEXT(66867, "[$-0E0000]yyyy-mm-dd")</f>
        <v/>
      </c>
      <c r="C66868" t="inlineStr">
        <is>
          <t>2082-12-10</t>
        </is>
      </c>
    </row>
    <row r="66869">
      <c r="A66869" s="1" t="n">
        <v>66868</v>
      </c>
      <c r="B66869">
        <f>TEXT(66868, "[$-0E0000]yyyy-mm-dd")</f>
        <v/>
      </c>
      <c r="C66869" t="inlineStr">
        <is>
          <t>2082-12-11</t>
        </is>
      </c>
    </row>
    <row r="66870">
      <c r="A66870" s="1" t="n">
        <v>66869</v>
      </c>
      <c r="B66870">
        <f>TEXT(66869, "[$-0E0000]yyyy-mm-dd")</f>
        <v/>
      </c>
      <c r="C66870" t="inlineStr">
        <is>
          <t>2082-12-12</t>
        </is>
      </c>
    </row>
    <row r="66871">
      <c r="A66871" s="1" t="n">
        <v>66870</v>
      </c>
      <c r="B66871">
        <f>TEXT(66870, "[$-0E0000]yyyy-mm-dd")</f>
        <v/>
      </c>
      <c r="C66871" t="inlineStr">
        <is>
          <t>2082-12-13</t>
        </is>
      </c>
    </row>
    <row r="66872">
      <c r="A66872" s="1" t="n">
        <v>66871</v>
      </c>
      <c r="B66872">
        <f>TEXT(66871, "[$-0E0000]yyyy-mm-dd")</f>
        <v/>
      </c>
      <c r="C66872" t="inlineStr">
        <is>
          <t>2082-12-14</t>
        </is>
      </c>
    </row>
    <row r="66873">
      <c r="A66873" s="1" t="n">
        <v>66872</v>
      </c>
      <c r="B66873">
        <f>TEXT(66872, "[$-0E0000]yyyy-mm-dd")</f>
        <v/>
      </c>
      <c r="C66873" t="inlineStr">
        <is>
          <t>2082-12-15</t>
        </is>
      </c>
    </row>
    <row r="66874">
      <c r="A66874" s="1" t="n">
        <v>66873</v>
      </c>
      <c r="B66874">
        <f>TEXT(66873, "[$-0E0000]yyyy-mm-dd")</f>
        <v/>
      </c>
      <c r="C66874" t="inlineStr">
        <is>
          <t>2082-12-16</t>
        </is>
      </c>
    </row>
    <row r="66875">
      <c r="A66875" s="1" t="n">
        <v>66874</v>
      </c>
      <c r="B66875">
        <f>TEXT(66874, "[$-0E0000]yyyy-mm-dd")</f>
        <v/>
      </c>
      <c r="C66875" t="inlineStr">
        <is>
          <t>2082-12-17</t>
        </is>
      </c>
    </row>
    <row r="66876">
      <c r="A66876" s="1" t="n">
        <v>66875</v>
      </c>
      <c r="B66876">
        <f>TEXT(66875, "[$-0E0000]yyyy-mm-dd")</f>
        <v/>
      </c>
      <c r="C66876" t="inlineStr">
        <is>
          <t>2082-12-18</t>
        </is>
      </c>
    </row>
    <row r="66877">
      <c r="A66877" s="1" t="n">
        <v>66876</v>
      </c>
      <c r="B66877">
        <f>TEXT(66876, "[$-0E0000]yyyy-mm-dd")</f>
        <v/>
      </c>
      <c r="C66877" t="inlineStr">
        <is>
          <t>2082-12-19</t>
        </is>
      </c>
    </row>
    <row r="66878">
      <c r="A66878" s="1" t="n">
        <v>66877</v>
      </c>
      <c r="B66878">
        <f>TEXT(66877, "[$-0E0000]yyyy-mm-dd")</f>
        <v/>
      </c>
      <c r="C66878" t="inlineStr">
        <is>
          <t>2082-12-20</t>
        </is>
      </c>
    </row>
    <row r="66879">
      <c r="A66879" s="1" t="n">
        <v>66878</v>
      </c>
      <c r="B66879">
        <f>TEXT(66878, "[$-0E0000]yyyy-mm-dd")</f>
        <v/>
      </c>
      <c r="C66879" t="inlineStr">
        <is>
          <t>2082-12-21</t>
        </is>
      </c>
    </row>
    <row r="66880">
      <c r="A66880" s="1" t="n">
        <v>66879</v>
      </c>
      <c r="B66880">
        <f>TEXT(66879, "[$-0E0000]yyyy-mm-dd")</f>
        <v/>
      </c>
      <c r="C66880" t="inlineStr">
        <is>
          <t>2082-12-22</t>
        </is>
      </c>
    </row>
    <row r="66881">
      <c r="A66881" s="1" t="n">
        <v>66880</v>
      </c>
      <c r="B66881">
        <f>TEXT(66880, "[$-0E0000]yyyy-mm-dd")</f>
        <v/>
      </c>
      <c r="C66881" t="inlineStr">
        <is>
          <t>2082-12-23</t>
        </is>
      </c>
    </row>
    <row r="66882">
      <c r="A66882" s="1" t="n">
        <v>66881</v>
      </c>
      <c r="B66882">
        <f>TEXT(66881, "[$-0E0000]yyyy-mm-dd")</f>
        <v/>
      </c>
      <c r="C66882" t="inlineStr">
        <is>
          <t>2082-12-24</t>
        </is>
      </c>
    </row>
    <row r="66883">
      <c r="A66883" s="1" t="n">
        <v>66882</v>
      </c>
      <c r="B66883">
        <f>TEXT(66882, "[$-0E0000]yyyy-mm-dd")</f>
        <v/>
      </c>
      <c r="C66883" t="inlineStr">
        <is>
          <t>2082-12-25</t>
        </is>
      </c>
    </row>
    <row r="66884">
      <c r="A66884" s="1" t="n">
        <v>66883</v>
      </c>
      <c r="B66884">
        <f>TEXT(66883, "[$-0E0000]yyyy-mm-dd")</f>
        <v/>
      </c>
      <c r="C66884" t="inlineStr">
        <is>
          <t>2082-12-26</t>
        </is>
      </c>
    </row>
    <row r="66885">
      <c r="A66885" s="1" t="n">
        <v>66884</v>
      </c>
      <c r="B66885">
        <f>TEXT(66884, "[$-0E0000]yyyy-mm-dd")</f>
        <v/>
      </c>
      <c r="C66885" t="inlineStr">
        <is>
          <t>2082-12-27</t>
        </is>
      </c>
    </row>
    <row r="66886">
      <c r="A66886" s="1" t="n">
        <v>66885</v>
      </c>
      <c r="B66886">
        <f>TEXT(66885, "[$-0E0000]yyyy-mm-dd")</f>
        <v/>
      </c>
      <c r="C66886" t="inlineStr">
        <is>
          <t>2082-12-28</t>
        </is>
      </c>
    </row>
    <row r="66887">
      <c r="A66887" s="1" t="n">
        <v>66886</v>
      </c>
      <c r="B66887">
        <f>TEXT(66886, "[$-0E0000]yyyy-mm-dd")</f>
        <v/>
      </c>
      <c r="C66887" t="inlineStr">
        <is>
          <t>2082-12-29</t>
        </is>
      </c>
    </row>
    <row r="66888">
      <c r="A66888" s="1" t="n">
        <v>66887</v>
      </c>
      <c r="B66888">
        <f>TEXT(66887, "[$-0E0000]yyyy-mm-dd")</f>
        <v/>
      </c>
      <c r="C66888" t="inlineStr">
        <is>
          <t>2082-12-30</t>
        </is>
      </c>
    </row>
    <row r="66889">
      <c r="A66889" s="1" t="n">
        <v>66888</v>
      </c>
      <c r="B66889">
        <f>TEXT(66888, "[$-0E0000]yyyy-mm-dd")</f>
        <v/>
      </c>
      <c r="C66889" t="inlineStr">
        <is>
          <t>2083-01-01</t>
        </is>
      </c>
    </row>
    <row r="66890">
      <c r="A66890" s="1" t="n">
        <v>66889</v>
      </c>
      <c r="B66890">
        <f>TEXT(66889, "[$-0E0000]yyyy-mm-dd")</f>
        <v/>
      </c>
      <c r="C66890" t="inlineStr">
        <is>
          <t>2083-01-02</t>
        </is>
      </c>
    </row>
    <row r="66891">
      <c r="A66891" s="1" t="n">
        <v>66890</v>
      </c>
      <c r="B66891">
        <f>TEXT(66890, "[$-0E0000]yyyy-mm-dd")</f>
        <v/>
      </c>
      <c r="C66891" t="inlineStr">
        <is>
          <t>2083-01-03</t>
        </is>
      </c>
    </row>
    <row r="66892">
      <c r="A66892" s="1" t="n">
        <v>66891</v>
      </c>
      <c r="B66892">
        <f>TEXT(66891, "[$-0E0000]yyyy-mm-dd")</f>
        <v/>
      </c>
      <c r="C66892" t="inlineStr">
        <is>
          <t>2083-01-04</t>
        </is>
      </c>
    </row>
    <row r="66893">
      <c r="A66893" s="1" t="n">
        <v>66892</v>
      </c>
      <c r="B66893">
        <f>TEXT(66892, "[$-0E0000]yyyy-mm-dd")</f>
        <v/>
      </c>
      <c r="C66893" t="inlineStr">
        <is>
          <t>2083-01-05</t>
        </is>
      </c>
    </row>
    <row r="66894">
      <c r="A66894" s="1" t="n">
        <v>66893</v>
      </c>
      <c r="B66894">
        <f>TEXT(66893, "[$-0E0000]yyyy-mm-dd")</f>
        <v/>
      </c>
      <c r="C66894" t="inlineStr">
        <is>
          <t>2083-01-06</t>
        </is>
      </c>
    </row>
    <row r="66895">
      <c r="A66895" s="1" t="n">
        <v>66894</v>
      </c>
      <c r="B66895">
        <f>TEXT(66894, "[$-0E0000]yyyy-mm-dd")</f>
        <v/>
      </c>
      <c r="C66895" t="inlineStr">
        <is>
          <t>2083-01-07</t>
        </is>
      </c>
    </row>
    <row r="66896">
      <c r="A66896" s="1" t="n">
        <v>66895</v>
      </c>
      <c r="B66896">
        <f>TEXT(66895, "[$-0E0000]yyyy-mm-dd")</f>
        <v/>
      </c>
      <c r="C66896" t="inlineStr">
        <is>
          <t>2083-01-08</t>
        </is>
      </c>
    </row>
    <row r="66897">
      <c r="A66897" s="1" t="n">
        <v>66896</v>
      </c>
      <c r="B66897">
        <f>TEXT(66896, "[$-0E0000]yyyy-mm-dd")</f>
        <v/>
      </c>
      <c r="C66897" t="inlineStr">
        <is>
          <t>2083-01-09</t>
        </is>
      </c>
    </row>
    <row r="66898">
      <c r="A66898" s="1" t="n">
        <v>66897</v>
      </c>
      <c r="B66898">
        <f>TEXT(66897, "[$-0E0000]yyyy-mm-dd")</f>
        <v/>
      </c>
      <c r="C66898" t="inlineStr">
        <is>
          <t>2083-01-10</t>
        </is>
      </c>
    </row>
    <row r="66899">
      <c r="A66899" s="1" t="n">
        <v>66898</v>
      </c>
      <c r="B66899">
        <f>TEXT(66898, "[$-0E0000]yyyy-mm-dd")</f>
        <v/>
      </c>
      <c r="C66899" t="inlineStr">
        <is>
          <t>2083-01-11</t>
        </is>
      </c>
    </row>
    <row r="66900">
      <c r="A66900" s="1" t="n">
        <v>66899</v>
      </c>
      <c r="B66900">
        <f>TEXT(66899, "[$-0E0000]yyyy-mm-dd")</f>
        <v/>
      </c>
      <c r="C66900" t="inlineStr">
        <is>
          <t>2083-01-12</t>
        </is>
      </c>
    </row>
    <row r="66901">
      <c r="A66901" s="1" t="n">
        <v>66900</v>
      </c>
      <c r="B66901">
        <f>TEXT(66900, "[$-0E0000]yyyy-mm-dd")</f>
        <v/>
      </c>
      <c r="C66901" t="inlineStr">
        <is>
          <t>2083-01-13</t>
        </is>
      </c>
    </row>
    <row r="66902">
      <c r="A66902" s="1" t="n">
        <v>66901</v>
      </c>
      <c r="B66902">
        <f>TEXT(66901, "[$-0E0000]yyyy-mm-dd")</f>
        <v/>
      </c>
      <c r="C66902" t="inlineStr">
        <is>
          <t>2083-01-14</t>
        </is>
      </c>
    </row>
    <row r="66903">
      <c r="A66903" s="1" t="n">
        <v>66902</v>
      </c>
      <c r="B66903">
        <f>TEXT(66902, "[$-0E0000]yyyy-mm-dd")</f>
        <v/>
      </c>
      <c r="C66903" t="inlineStr">
        <is>
          <t>2083-01-15</t>
        </is>
      </c>
    </row>
    <row r="66904">
      <c r="A66904" s="1" t="n">
        <v>66903</v>
      </c>
      <c r="B66904">
        <f>TEXT(66903, "[$-0E0000]yyyy-mm-dd")</f>
        <v/>
      </c>
      <c r="C66904" t="inlineStr">
        <is>
          <t>2083-01-16</t>
        </is>
      </c>
    </row>
    <row r="66905">
      <c r="A66905" s="1" t="n">
        <v>66904</v>
      </c>
      <c r="B66905">
        <f>TEXT(66904, "[$-0E0000]yyyy-mm-dd")</f>
        <v/>
      </c>
      <c r="C66905" t="inlineStr">
        <is>
          <t>2083-01-17</t>
        </is>
      </c>
    </row>
    <row r="66906">
      <c r="A66906" s="1" t="n">
        <v>66905</v>
      </c>
      <c r="B66906">
        <f>TEXT(66905, "[$-0E0000]yyyy-mm-dd")</f>
        <v/>
      </c>
      <c r="C66906" t="inlineStr">
        <is>
          <t>2083-01-18</t>
        </is>
      </c>
    </row>
    <row r="66907">
      <c r="A66907" s="1" t="n">
        <v>66906</v>
      </c>
      <c r="B66907">
        <f>TEXT(66906, "[$-0E0000]yyyy-mm-dd")</f>
        <v/>
      </c>
      <c r="C66907" t="inlineStr">
        <is>
          <t>2083-01-19</t>
        </is>
      </c>
    </row>
    <row r="66908">
      <c r="A66908" s="1" t="n">
        <v>66907</v>
      </c>
      <c r="B66908">
        <f>TEXT(66907, "[$-0E0000]yyyy-mm-dd")</f>
        <v/>
      </c>
      <c r="C66908" t="inlineStr">
        <is>
          <t>2083-01-20</t>
        </is>
      </c>
    </row>
    <row r="66909">
      <c r="A66909" s="1" t="n">
        <v>66908</v>
      </c>
      <c r="B66909">
        <f>TEXT(66908, "[$-0E0000]yyyy-mm-dd")</f>
        <v/>
      </c>
      <c r="C66909" t="inlineStr">
        <is>
          <t>2083-01-21</t>
        </is>
      </c>
    </row>
    <row r="66910">
      <c r="A66910" s="1" t="n">
        <v>66909</v>
      </c>
      <c r="B66910">
        <f>TEXT(66909, "[$-0E0000]yyyy-mm-dd")</f>
        <v/>
      </c>
      <c r="C66910" t="inlineStr">
        <is>
          <t>2083-01-22</t>
        </is>
      </c>
    </row>
    <row r="66911">
      <c r="A66911" s="1" t="n">
        <v>66910</v>
      </c>
      <c r="B66911">
        <f>TEXT(66910, "[$-0E0000]yyyy-mm-dd")</f>
        <v/>
      </c>
      <c r="C66911" t="inlineStr">
        <is>
          <t>2083-01-23</t>
        </is>
      </c>
    </row>
    <row r="66912">
      <c r="A66912" s="1" t="n">
        <v>66911</v>
      </c>
      <c r="B66912">
        <f>TEXT(66911, "[$-0E0000]yyyy-mm-dd")</f>
        <v/>
      </c>
      <c r="C66912" t="inlineStr">
        <is>
          <t>2083-01-24</t>
        </is>
      </c>
    </row>
    <row r="66913">
      <c r="A66913" s="1" t="n">
        <v>66912</v>
      </c>
      <c r="B66913">
        <f>TEXT(66912, "[$-0E0000]yyyy-mm-dd")</f>
        <v/>
      </c>
      <c r="C66913" t="inlineStr">
        <is>
          <t>2083-01-25</t>
        </is>
      </c>
    </row>
    <row r="66914">
      <c r="A66914" s="1" t="n">
        <v>66913</v>
      </c>
      <c r="B66914">
        <f>TEXT(66913, "[$-0E0000]yyyy-mm-dd")</f>
        <v/>
      </c>
      <c r="C66914" t="inlineStr">
        <is>
          <t>2083-01-26</t>
        </is>
      </c>
    </row>
    <row r="66915">
      <c r="A66915" s="1" t="n">
        <v>66914</v>
      </c>
      <c r="B66915">
        <f>TEXT(66914, "[$-0E0000]yyyy-mm-dd")</f>
        <v/>
      </c>
      <c r="C66915" t="inlineStr">
        <is>
          <t>2083-01-27</t>
        </is>
      </c>
    </row>
    <row r="66916">
      <c r="A66916" s="1" t="n">
        <v>66915</v>
      </c>
      <c r="B66916">
        <f>TEXT(66915, "[$-0E0000]yyyy-mm-dd")</f>
        <v/>
      </c>
      <c r="C66916" t="inlineStr">
        <is>
          <t>2083-01-28</t>
        </is>
      </c>
    </row>
    <row r="66917">
      <c r="A66917" s="1" t="n">
        <v>66916</v>
      </c>
      <c r="B66917">
        <f>TEXT(66916, "[$-0E0000]yyyy-mm-dd")</f>
        <v/>
      </c>
      <c r="C66917" t="inlineStr">
        <is>
          <t>2083-01-29</t>
        </is>
      </c>
    </row>
    <row r="66918">
      <c r="A66918" s="1" t="n">
        <v>66917</v>
      </c>
      <c r="B66918">
        <f>TEXT(66917, "[$-0E0000]yyyy-mm-dd")</f>
        <v/>
      </c>
      <c r="C66918" t="inlineStr">
        <is>
          <t>2083-02-01</t>
        </is>
      </c>
    </row>
    <row r="66919">
      <c r="A66919" s="1" t="n">
        <v>66918</v>
      </c>
      <c r="B66919">
        <f>TEXT(66918, "[$-0E0000]yyyy-mm-dd")</f>
        <v/>
      </c>
      <c r="C66919" t="inlineStr">
        <is>
          <t>2083-02-02</t>
        </is>
      </c>
    </row>
    <row r="66920">
      <c r="A66920" s="1" t="n">
        <v>66919</v>
      </c>
      <c r="B66920">
        <f>TEXT(66919, "[$-0E0000]yyyy-mm-dd")</f>
        <v/>
      </c>
      <c r="C66920" t="inlineStr">
        <is>
          <t>2083-02-03</t>
        </is>
      </c>
    </row>
    <row r="66921">
      <c r="A66921" s="1" t="n">
        <v>66920</v>
      </c>
      <c r="B66921">
        <f>TEXT(66920, "[$-0E0000]yyyy-mm-dd")</f>
        <v/>
      </c>
      <c r="C66921" t="inlineStr">
        <is>
          <t>2083-02-04</t>
        </is>
      </c>
    </row>
    <row r="66922">
      <c r="A66922" s="1" t="n">
        <v>66921</v>
      </c>
      <c r="B66922">
        <f>TEXT(66921, "[$-0E0000]yyyy-mm-dd")</f>
        <v/>
      </c>
      <c r="C66922" t="inlineStr">
        <is>
          <t>2083-02-05</t>
        </is>
      </c>
    </row>
    <row r="66923">
      <c r="A66923" s="1" t="n">
        <v>66922</v>
      </c>
      <c r="B66923">
        <f>TEXT(66922, "[$-0E0000]yyyy-mm-dd")</f>
        <v/>
      </c>
      <c r="C66923" t="inlineStr">
        <is>
          <t>2083-02-06</t>
        </is>
      </c>
    </row>
    <row r="66924">
      <c r="A66924" s="1" t="n">
        <v>66923</v>
      </c>
      <c r="B66924">
        <f>TEXT(66923, "[$-0E0000]yyyy-mm-dd")</f>
        <v/>
      </c>
      <c r="C66924" t="inlineStr">
        <is>
          <t>2083-02-07</t>
        </is>
      </c>
    </row>
    <row r="66925">
      <c r="A66925" s="1" t="n">
        <v>66924</v>
      </c>
      <c r="B66925">
        <f>TEXT(66924, "[$-0E0000]yyyy-mm-dd")</f>
        <v/>
      </c>
      <c r="C66925" t="inlineStr">
        <is>
          <t>2083-02-08</t>
        </is>
      </c>
    </row>
    <row r="66926">
      <c r="A66926" s="1" t="n">
        <v>66925</v>
      </c>
      <c r="B66926">
        <f>TEXT(66925, "[$-0E0000]yyyy-mm-dd")</f>
        <v/>
      </c>
      <c r="C66926" t="inlineStr">
        <is>
          <t>2083-02-09</t>
        </is>
      </c>
    </row>
    <row r="66927">
      <c r="A66927" s="1" t="n">
        <v>66926</v>
      </c>
      <c r="B66927">
        <f>TEXT(66926, "[$-0E0000]yyyy-mm-dd")</f>
        <v/>
      </c>
      <c r="C66927" t="inlineStr">
        <is>
          <t>2083-02-10</t>
        </is>
      </c>
    </row>
    <row r="66928">
      <c r="A66928" s="1" t="n">
        <v>66927</v>
      </c>
      <c r="B66928">
        <f>TEXT(66927, "[$-0E0000]yyyy-mm-dd")</f>
        <v/>
      </c>
      <c r="C66928" t="inlineStr">
        <is>
          <t>2083-02-11</t>
        </is>
      </c>
    </row>
    <row r="66929">
      <c r="A66929" s="1" t="n">
        <v>66928</v>
      </c>
      <c r="B66929">
        <f>TEXT(66928, "[$-0E0000]yyyy-mm-dd")</f>
        <v/>
      </c>
      <c r="C66929" t="inlineStr">
        <is>
          <t>2083-02-12</t>
        </is>
      </c>
    </row>
    <row r="66930">
      <c r="A66930" s="1" t="n">
        <v>66929</v>
      </c>
      <c r="B66930">
        <f>TEXT(66929, "[$-0E0000]yyyy-mm-dd")</f>
        <v/>
      </c>
      <c r="C66930" t="inlineStr">
        <is>
          <t>2083-02-13</t>
        </is>
      </c>
    </row>
    <row r="66931">
      <c r="A66931" s="1" t="n">
        <v>66930</v>
      </c>
      <c r="B66931">
        <f>TEXT(66930, "[$-0E0000]yyyy-mm-dd")</f>
        <v/>
      </c>
      <c r="C66931" t="inlineStr">
        <is>
          <t>2083-02-14</t>
        </is>
      </c>
    </row>
    <row r="66932">
      <c r="A66932" s="1" t="n">
        <v>66931</v>
      </c>
      <c r="B66932">
        <f>TEXT(66931, "[$-0E0000]yyyy-mm-dd")</f>
        <v/>
      </c>
      <c r="C66932" t="inlineStr">
        <is>
          <t>2083-02-15</t>
        </is>
      </c>
    </row>
    <row r="66933">
      <c r="A66933" s="1" t="n">
        <v>66932</v>
      </c>
      <c r="B66933">
        <f>TEXT(66932, "[$-0E0000]yyyy-mm-dd")</f>
        <v/>
      </c>
      <c r="C66933" t="inlineStr">
        <is>
          <t>2083-02-16</t>
        </is>
      </c>
    </row>
    <row r="66934">
      <c r="A66934" s="1" t="n">
        <v>66933</v>
      </c>
      <c r="B66934">
        <f>TEXT(66933, "[$-0E0000]yyyy-mm-dd")</f>
        <v/>
      </c>
      <c r="C66934" t="inlineStr">
        <is>
          <t>2083-02-17</t>
        </is>
      </c>
    </row>
    <row r="66935">
      <c r="A66935" s="1" t="n">
        <v>66934</v>
      </c>
      <c r="B66935">
        <f>TEXT(66934, "[$-0E0000]yyyy-mm-dd")</f>
        <v/>
      </c>
      <c r="C66935" t="inlineStr">
        <is>
          <t>2083-02-18</t>
        </is>
      </c>
    </row>
    <row r="66936">
      <c r="A66936" s="1" t="n">
        <v>66935</v>
      </c>
      <c r="B66936">
        <f>TEXT(66935, "[$-0E0000]yyyy-mm-dd")</f>
        <v/>
      </c>
      <c r="C66936" t="inlineStr">
        <is>
          <t>2083-02-19</t>
        </is>
      </c>
    </row>
    <row r="66937">
      <c r="A66937" s="1" t="n">
        <v>66936</v>
      </c>
      <c r="B66937">
        <f>TEXT(66936, "[$-0E0000]yyyy-mm-dd")</f>
        <v/>
      </c>
      <c r="C66937" t="inlineStr">
        <is>
          <t>2083-02-20</t>
        </is>
      </c>
    </row>
    <row r="66938">
      <c r="A66938" s="1" t="n">
        <v>66937</v>
      </c>
      <c r="B66938">
        <f>TEXT(66937, "[$-0E0000]yyyy-mm-dd")</f>
        <v/>
      </c>
      <c r="C66938" t="inlineStr">
        <is>
          <t>2083-02-21</t>
        </is>
      </c>
    </row>
    <row r="66939">
      <c r="A66939" s="1" t="n">
        <v>66938</v>
      </c>
      <c r="B66939">
        <f>TEXT(66938, "[$-0E0000]yyyy-mm-dd")</f>
        <v/>
      </c>
      <c r="C66939" t="inlineStr">
        <is>
          <t>2083-02-22</t>
        </is>
      </c>
    </row>
    <row r="66940">
      <c r="A66940" s="1" t="n">
        <v>66939</v>
      </c>
      <c r="B66940">
        <f>TEXT(66939, "[$-0E0000]yyyy-mm-dd")</f>
        <v/>
      </c>
      <c r="C66940" t="inlineStr">
        <is>
          <t>2083-02-23</t>
        </is>
      </c>
    </row>
    <row r="66941">
      <c r="A66941" s="1" t="n">
        <v>66940</v>
      </c>
      <c r="B66941">
        <f>TEXT(66940, "[$-0E0000]yyyy-mm-dd")</f>
        <v/>
      </c>
      <c r="C66941" t="inlineStr">
        <is>
          <t>2083-02-24</t>
        </is>
      </c>
    </row>
    <row r="66942">
      <c r="A66942" s="1" t="n">
        <v>66941</v>
      </c>
      <c r="B66942">
        <f>TEXT(66941, "[$-0E0000]yyyy-mm-dd")</f>
        <v/>
      </c>
      <c r="C66942" t="inlineStr">
        <is>
          <t>2083-02-25</t>
        </is>
      </c>
    </row>
    <row r="66943">
      <c r="A66943" s="1" t="n">
        <v>66942</v>
      </c>
      <c r="B66943">
        <f>TEXT(66942, "[$-0E0000]yyyy-mm-dd")</f>
        <v/>
      </c>
      <c r="C66943" t="inlineStr">
        <is>
          <t>2083-02-26</t>
        </is>
      </c>
    </row>
    <row r="66944">
      <c r="A66944" s="1" t="n">
        <v>66943</v>
      </c>
      <c r="B66944">
        <f>TEXT(66943, "[$-0E0000]yyyy-mm-dd")</f>
        <v/>
      </c>
      <c r="C66944" t="inlineStr">
        <is>
          <t>2083-02-27</t>
        </is>
      </c>
    </row>
    <row r="66945">
      <c r="A66945" s="1" t="n">
        <v>66944</v>
      </c>
      <c r="B66945">
        <f>TEXT(66944, "[$-0E0000]yyyy-mm-dd")</f>
        <v/>
      </c>
      <c r="C66945" t="inlineStr">
        <is>
          <t>2083-02-28</t>
        </is>
      </c>
    </row>
    <row r="66946">
      <c r="A66946" s="1" t="n">
        <v>66945</v>
      </c>
      <c r="B66946">
        <f>TEXT(66945, "[$-0E0000]yyyy-mm-dd")</f>
        <v/>
      </c>
      <c r="C66946" t="inlineStr">
        <is>
          <t>2083-02-29</t>
        </is>
      </c>
    </row>
    <row r="66947">
      <c r="A66947" s="1" t="n">
        <v>66946</v>
      </c>
      <c r="B66947">
        <f>TEXT(66946, "[$-0E0000]yyyy-mm-dd")</f>
        <v/>
      </c>
      <c r="C66947" t="inlineStr">
        <is>
          <t>2083-02-30</t>
        </is>
      </c>
    </row>
    <row r="66948">
      <c r="A66948" s="1" t="n">
        <v>66947</v>
      </c>
      <c r="B66948">
        <f>TEXT(66947, "[$-0E0000]yyyy-mm-dd")</f>
        <v/>
      </c>
      <c r="C66948" t="inlineStr">
        <is>
          <t>2083-03-01</t>
        </is>
      </c>
    </row>
    <row r="66949">
      <c r="A66949" s="1" t="n">
        <v>66948</v>
      </c>
      <c r="B66949">
        <f>TEXT(66948, "[$-0E0000]yyyy-mm-dd")</f>
        <v/>
      </c>
      <c r="C66949" t="inlineStr">
        <is>
          <t>2083-03-02</t>
        </is>
      </c>
    </row>
    <row r="66950">
      <c r="A66950" s="1" t="n">
        <v>66949</v>
      </c>
      <c r="B66950">
        <f>TEXT(66949, "[$-0E0000]yyyy-mm-dd")</f>
        <v/>
      </c>
      <c r="C66950" t="inlineStr">
        <is>
          <t>2083-03-03</t>
        </is>
      </c>
    </row>
    <row r="66951">
      <c r="A66951" s="1" t="n">
        <v>66950</v>
      </c>
      <c r="B66951">
        <f>TEXT(66950, "[$-0E0000]yyyy-mm-dd")</f>
        <v/>
      </c>
      <c r="C66951" t="inlineStr">
        <is>
          <t>2083-03-04</t>
        </is>
      </c>
    </row>
    <row r="66952">
      <c r="A66952" s="1" t="n">
        <v>66951</v>
      </c>
      <c r="B66952">
        <f>TEXT(66951, "[$-0E0000]yyyy-mm-dd")</f>
        <v/>
      </c>
      <c r="C66952" t="inlineStr">
        <is>
          <t>2083-03-05</t>
        </is>
      </c>
    </row>
    <row r="66953">
      <c r="A66953" s="1" t="n">
        <v>66952</v>
      </c>
      <c r="B66953">
        <f>TEXT(66952, "[$-0E0000]yyyy-mm-dd")</f>
        <v/>
      </c>
      <c r="C66953" t="inlineStr">
        <is>
          <t>2083-03-06</t>
        </is>
      </c>
    </row>
    <row r="66954">
      <c r="A66954" s="1" t="n">
        <v>66953</v>
      </c>
      <c r="B66954">
        <f>TEXT(66953, "[$-0E0000]yyyy-mm-dd")</f>
        <v/>
      </c>
      <c r="C66954" t="inlineStr">
        <is>
          <t>2083-03-07</t>
        </is>
      </c>
    </row>
    <row r="66955">
      <c r="A66955" s="1" t="n">
        <v>66954</v>
      </c>
      <c r="B66955">
        <f>TEXT(66954, "[$-0E0000]yyyy-mm-dd")</f>
        <v/>
      </c>
      <c r="C66955" t="inlineStr">
        <is>
          <t>2083-03-08</t>
        </is>
      </c>
    </row>
    <row r="66956">
      <c r="A66956" s="1" t="n">
        <v>66955</v>
      </c>
      <c r="B66956">
        <f>TEXT(66955, "[$-0E0000]yyyy-mm-dd")</f>
        <v/>
      </c>
      <c r="C66956" t="inlineStr">
        <is>
          <t>2083-03-09</t>
        </is>
      </c>
    </row>
    <row r="66957">
      <c r="A66957" s="1" t="n">
        <v>66956</v>
      </c>
      <c r="B66957">
        <f>TEXT(66956, "[$-0E0000]yyyy-mm-dd")</f>
        <v/>
      </c>
      <c r="C66957" t="inlineStr">
        <is>
          <t>2083-03-10</t>
        </is>
      </c>
    </row>
    <row r="66958">
      <c r="A66958" s="1" t="n">
        <v>66957</v>
      </c>
      <c r="B66958">
        <f>TEXT(66957, "[$-0E0000]yyyy-mm-dd")</f>
        <v/>
      </c>
      <c r="C66958" t="inlineStr">
        <is>
          <t>2083-03-11</t>
        </is>
      </c>
    </row>
    <row r="66959">
      <c r="A66959" s="1" t="n">
        <v>66958</v>
      </c>
      <c r="B66959">
        <f>TEXT(66958, "[$-0E0000]yyyy-mm-dd")</f>
        <v/>
      </c>
      <c r="C66959" t="inlineStr">
        <is>
          <t>2083-03-12</t>
        </is>
      </c>
    </row>
    <row r="66960">
      <c r="A66960" s="1" t="n">
        <v>66959</v>
      </c>
      <c r="B66960">
        <f>TEXT(66959, "[$-0E0000]yyyy-mm-dd")</f>
        <v/>
      </c>
      <c r="C66960" t="inlineStr">
        <is>
          <t>2083-03-13</t>
        </is>
      </c>
    </row>
    <row r="66961">
      <c r="A66961" s="1" t="n">
        <v>66960</v>
      </c>
      <c r="B66961">
        <f>TEXT(66960, "[$-0E0000]yyyy-mm-dd")</f>
        <v/>
      </c>
      <c r="C66961" t="inlineStr">
        <is>
          <t>2083-03-14</t>
        </is>
      </c>
    </row>
    <row r="66962">
      <c r="A66962" s="1" t="n">
        <v>66961</v>
      </c>
      <c r="B66962">
        <f>TEXT(66961, "[$-0E0000]yyyy-mm-dd")</f>
        <v/>
      </c>
      <c r="C66962" t="inlineStr">
        <is>
          <t>2083-03-15</t>
        </is>
      </c>
    </row>
    <row r="66963">
      <c r="A66963" s="1" t="n">
        <v>66962</v>
      </c>
      <c r="B66963">
        <f>TEXT(66962, "[$-0E0000]yyyy-mm-dd")</f>
        <v/>
      </c>
      <c r="C66963" t="inlineStr">
        <is>
          <t>2083-03-16</t>
        </is>
      </c>
    </row>
    <row r="66964">
      <c r="A66964" s="1" t="n">
        <v>66963</v>
      </c>
      <c r="B66964">
        <f>TEXT(66963, "[$-0E0000]yyyy-mm-dd")</f>
        <v/>
      </c>
      <c r="C66964" t="inlineStr">
        <is>
          <t>2083-03-17</t>
        </is>
      </c>
    </row>
    <row r="66965">
      <c r="A66965" s="1" t="n">
        <v>66964</v>
      </c>
      <c r="B66965">
        <f>TEXT(66964, "[$-0E0000]yyyy-mm-dd")</f>
        <v/>
      </c>
      <c r="C66965" t="inlineStr">
        <is>
          <t>2083-03-18</t>
        </is>
      </c>
    </row>
    <row r="66966">
      <c r="A66966" s="1" t="n">
        <v>66965</v>
      </c>
      <c r="B66966">
        <f>TEXT(66965, "[$-0E0000]yyyy-mm-dd")</f>
        <v/>
      </c>
      <c r="C66966" t="inlineStr">
        <is>
          <t>2083-03-19</t>
        </is>
      </c>
    </row>
    <row r="66967">
      <c r="A66967" s="1" t="n">
        <v>66966</v>
      </c>
      <c r="B66967">
        <f>TEXT(66966, "[$-0E0000]yyyy-mm-dd")</f>
        <v/>
      </c>
      <c r="C66967" t="inlineStr">
        <is>
          <t>2083-03-20</t>
        </is>
      </c>
    </row>
    <row r="66968">
      <c r="A66968" s="1" t="n">
        <v>66967</v>
      </c>
      <c r="B66968">
        <f>TEXT(66967, "[$-0E0000]yyyy-mm-dd")</f>
        <v/>
      </c>
      <c r="C66968" t="inlineStr">
        <is>
          <t>2083-03-21</t>
        </is>
      </c>
    </row>
    <row r="66969">
      <c r="A66969" s="1" t="n">
        <v>66968</v>
      </c>
      <c r="B66969">
        <f>TEXT(66968, "[$-0E0000]yyyy-mm-dd")</f>
        <v/>
      </c>
      <c r="C66969" t="inlineStr">
        <is>
          <t>2083-03-22</t>
        </is>
      </c>
    </row>
    <row r="66970">
      <c r="A66970" s="1" t="n">
        <v>66969</v>
      </c>
      <c r="B66970">
        <f>TEXT(66969, "[$-0E0000]yyyy-mm-dd")</f>
        <v/>
      </c>
      <c r="C66970" t="inlineStr">
        <is>
          <t>2083-03-23</t>
        </is>
      </c>
    </row>
    <row r="66971">
      <c r="A66971" s="1" t="n">
        <v>66970</v>
      </c>
      <c r="B66971">
        <f>TEXT(66970, "[$-0E0000]yyyy-mm-dd")</f>
        <v/>
      </c>
      <c r="C66971" t="inlineStr">
        <is>
          <t>2083-03-24</t>
        </is>
      </c>
    </row>
    <row r="66972">
      <c r="A66972" s="1" t="n">
        <v>66971</v>
      </c>
      <c r="B66972">
        <f>TEXT(66971, "[$-0E0000]yyyy-mm-dd")</f>
        <v/>
      </c>
      <c r="C66972" t="inlineStr">
        <is>
          <t>2083-03-25</t>
        </is>
      </c>
    </row>
    <row r="66973">
      <c r="A66973" s="1" t="n">
        <v>66972</v>
      </c>
      <c r="B66973">
        <f>TEXT(66972, "[$-0E0000]yyyy-mm-dd")</f>
        <v/>
      </c>
      <c r="C66973" t="inlineStr">
        <is>
          <t>2083-03-26</t>
        </is>
      </c>
    </row>
    <row r="66974">
      <c r="A66974" s="1" t="n">
        <v>66973</v>
      </c>
      <c r="B66974">
        <f>TEXT(66973, "[$-0E0000]yyyy-mm-dd")</f>
        <v/>
      </c>
      <c r="C66974" t="inlineStr">
        <is>
          <t>2083-03-27</t>
        </is>
      </c>
    </row>
    <row r="66975">
      <c r="A66975" s="1" t="n">
        <v>66974</v>
      </c>
      <c r="B66975">
        <f>TEXT(66974, "[$-0E0000]yyyy-mm-dd")</f>
        <v/>
      </c>
      <c r="C66975" t="inlineStr">
        <is>
          <t>2083-03-28</t>
        </is>
      </c>
    </row>
    <row r="66976">
      <c r="A66976" s="1" t="n">
        <v>66975</v>
      </c>
      <c r="B66976">
        <f>TEXT(66975, "[$-0E0000]yyyy-mm-dd")</f>
        <v/>
      </c>
      <c r="C66976" t="inlineStr">
        <is>
          <t>2083-03-29</t>
        </is>
      </c>
    </row>
    <row r="66977">
      <c r="A66977" s="1" t="n">
        <v>66976</v>
      </c>
      <c r="B66977">
        <f>TEXT(66976, "[$-0E0000]yyyy-mm-dd")</f>
        <v/>
      </c>
      <c r="C66977" t="inlineStr">
        <is>
          <t>2083-03-30</t>
        </is>
      </c>
    </row>
    <row r="66978">
      <c r="A66978" s="1" t="n">
        <v>66977</v>
      </c>
      <c r="B66978">
        <f>TEXT(66977, "[$-0E0000]yyyy-mm-dd")</f>
        <v/>
      </c>
      <c r="C66978" t="inlineStr">
        <is>
          <t>2083-04-01</t>
        </is>
      </c>
    </row>
    <row r="66979">
      <c r="A66979" s="1" t="n">
        <v>66978</v>
      </c>
      <c r="B66979">
        <f>TEXT(66978, "[$-0E0000]yyyy-mm-dd")</f>
        <v/>
      </c>
      <c r="C66979" t="inlineStr">
        <is>
          <t>2083-04-02</t>
        </is>
      </c>
    </row>
    <row r="66980">
      <c r="A66980" s="1" t="n">
        <v>66979</v>
      </c>
      <c r="B66980">
        <f>TEXT(66979, "[$-0E0000]yyyy-mm-dd")</f>
        <v/>
      </c>
      <c r="C66980" t="inlineStr">
        <is>
          <t>2083-04-03</t>
        </is>
      </c>
    </row>
    <row r="66981">
      <c r="A66981" s="1" t="n">
        <v>66980</v>
      </c>
      <c r="B66981">
        <f>TEXT(66980, "[$-0E0000]yyyy-mm-dd")</f>
        <v/>
      </c>
      <c r="C66981" t="inlineStr">
        <is>
          <t>2083-04-04</t>
        </is>
      </c>
    </row>
    <row r="66982">
      <c r="A66982" s="1" t="n">
        <v>66981</v>
      </c>
      <c r="B66982">
        <f>TEXT(66981, "[$-0E0000]yyyy-mm-dd")</f>
        <v/>
      </c>
      <c r="C66982" t="inlineStr">
        <is>
          <t>2083-04-05</t>
        </is>
      </c>
    </row>
    <row r="66983">
      <c r="A66983" s="1" t="n">
        <v>66982</v>
      </c>
      <c r="B66983">
        <f>TEXT(66982, "[$-0E0000]yyyy-mm-dd")</f>
        <v/>
      </c>
      <c r="C66983" t="inlineStr">
        <is>
          <t>2083-04-06</t>
        </is>
      </c>
    </row>
    <row r="66984">
      <c r="A66984" s="1" t="n">
        <v>66983</v>
      </c>
      <c r="B66984">
        <f>TEXT(66983, "[$-0E0000]yyyy-mm-dd")</f>
        <v/>
      </c>
      <c r="C66984" t="inlineStr">
        <is>
          <t>2083-04-07</t>
        </is>
      </c>
    </row>
    <row r="66985">
      <c r="A66985" s="1" t="n">
        <v>66984</v>
      </c>
      <c r="B66985">
        <f>TEXT(66984, "[$-0E0000]yyyy-mm-dd")</f>
        <v/>
      </c>
      <c r="C66985" t="inlineStr">
        <is>
          <t>2083-04-08</t>
        </is>
      </c>
    </row>
    <row r="66986">
      <c r="A66986" s="1" t="n">
        <v>66985</v>
      </c>
      <c r="B66986">
        <f>TEXT(66985, "[$-0E0000]yyyy-mm-dd")</f>
        <v/>
      </c>
      <c r="C66986" t="inlineStr">
        <is>
          <t>2083-04-09</t>
        </is>
      </c>
    </row>
    <row r="66987">
      <c r="A66987" s="1" t="n">
        <v>66986</v>
      </c>
      <c r="B66987">
        <f>TEXT(66986, "[$-0E0000]yyyy-mm-dd")</f>
        <v/>
      </c>
      <c r="C66987" t="inlineStr">
        <is>
          <t>2083-04-10</t>
        </is>
      </c>
    </row>
    <row r="66988">
      <c r="A66988" s="1" t="n">
        <v>66987</v>
      </c>
      <c r="B66988">
        <f>TEXT(66987, "[$-0E0000]yyyy-mm-dd")</f>
        <v/>
      </c>
      <c r="C66988" t="inlineStr">
        <is>
          <t>2083-04-11</t>
        </is>
      </c>
    </row>
    <row r="66989">
      <c r="A66989" s="1" t="n">
        <v>66988</v>
      </c>
      <c r="B66989">
        <f>TEXT(66988, "[$-0E0000]yyyy-mm-dd")</f>
        <v/>
      </c>
      <c r="C66989" t="inlineStr">
        <is>
          <t>2083-04-12</t>
        </is>
      </c>
    </row>
    <row r="66990">
      <c r="A66990" s="1" t="n">
        <v>66989</v>
      </c>
      <c r="B66990">
        <f>TEXT(66989, "[$-0E0000]yyyy-mm-dd")</f>
        <v/>
      </c>
      <c r="C66990" t="inlineStr">
        <is>
          <t>2083-04-13</t>
        </is>
      </c>
    </row>
    <row r="66991">
      <c r="A66991" s="1" t="n">
        <v>66990</v>
      </c>
      <c r="B66991">
        <f>TEXT(66990, "[$-0E0000]yyyy-mm-dd")</f>
        <v/>
      </c>
      <c r="C66991" t="inlineStr">
        <is>
          <t>2083-04-14</t>
        </is>
      </c>
    </row>
    <row r="66992">
      <c r="A66992" s="1" t="n">
        <v>66991</v>
      </c>
      <c r="B66992">
        <f>TEXT(66991, "[$-0E0000]yyyy-mm-dd")</f>
        <v/>
      </c>
      <c r="C66992" t="inlineStr">
        <is>
          <t>2083-04-15</t>
        </is>
      </c>
    </row>
    <row r="66993">
      <c r="A66993" s="1" t="n">
        <v>66992</v>
      </c>
      <c r="B66993">
        <f>TEXT(66992, "[$-0E0000]yyyy-mm-dd")</f>
        <v/>
      </c>
      <c r="C66993" t="inlineStr">
        <is>
          <t>2083-04-16</t>
        </is>
      </c>
    </row>
    <row r="66994">
      <c r="A66994" s="1" t="n">
        <v>66993</v>
      </c>
      <c r="B66994">
        <f>TEXT(66993, "[$-0E0000]yyyy-mm-dd")</f>
        <v/>
      </c>
      <c r="C66994" t="inlineStr">
        <is>
          <t>2083-04-17</t>
        </is>
      </c>
    </row>
    <row r="66995">
      <c r="A66995" s="1" t="n">
        <v>66994</v>
      </c>
      <c r="B66995">
        <f>TEXT(66994, "[$-0E0000]yyyy-mm-dd")</f>
        <v/>
      </c>
      <c r="C66995" t="inlineStr">
        <is>
          <t>2083-04-18</t>
        </is>
      </c>
    </row>
    <row r="66996">
      <c r="A66996" s="1" t="n">
        <v>66995</v>
      </c>
      <c r="B66996">
        <f>TEXT(66995, "[$-0E0000]yyyy-mm-dd")</f>
        <v/>
      </c>
      <c r="C66996" t="inlineStr">
        <is>
          <t>2083-04-19</t>
        </is>
      </c>
    </row>
    <row r="66997">
      <c r="A66997" s="1" t="n">
        <v>66996</v>
      </c>
      <c r="B66997">
        <f>TEXT(66996, "[$-0E0000]yyyy-mm-dd")</f>
        <v/>
      </c>
      <c r="C66997" t="inlineStr">
        <is>
          <t>2083-04-20</t>
        </is>
      </c>
    </row>
    <row r="66998">
      <c r="A66998" s="1" t="n">
        <v>66997</v>
      </c>
      <c r="B66998">
        <f>TEXT(66997, "[$-0E0000]yyyy-mm-dd")</f>
        <v/>
      </c>
      <c r="C66998" t="inlineStr">
        <is>
          <t>2083-04-21</t>
        </is>
      </c>
    </row>
    <row r="66999">
      <c r="A66999" s="1" t="n">
        <v>66998</v>
      </c>
      <c r="B66999">
        <f>TEXT(66998, "[$-0E0000]yyyy-mm-dd")</f>
        <v/>
      </c>
      <c r="C66999" t="inlineStr">
        <is>
          <t>2083-04-22</t>
        </is>
      </c>
    </row>
    <row r="67000">
      <c r="A67000" s="1" t="n">
        <v>66999</v>
      </c>
      <c r="B67000">
        <f>TEXT(66999, "[$-0E0000]yyyy-mm-dd")</f>
        <v/>
      </c>
      <c r="C67000" t="inlineStr">
        <is>
          <t>2083-04-23</t>
        </is>
      </c>
    </row>
    <row r="67001">
      <c r="A67001" s="1" t="n">
        <v>67000</v>
      </c>
      <c r="B67001">
        <f>TEXT(67000, "[$-0E0000]yyyy-mm-dd")</f>
        <v/>
      </c>
      <c r="C67001" t="inlineStr">
        <is>
          <t>2083-04-24</t>
        </is>
      </c>
    </row>
    <row r="67002">
      <c r="A67002" s="1" t="n">
        <v>67001</v>
      </c>
      <c r="B67002">
        <f>TEXT(67001, "[$-0E0000]yyyy-mm-dd")</f>
        <v/>
      </c>
      <c r="C67002" t="inlineStr">
        <is>
          <t>2083-04-25</t>
        </is>
      </c>
    </row>
    <row r="67003">
      <c r="A67003" s="1" t="n">
        <v>67002</v>
      </c>
      <c r="B67003">
        <f>TEXT(67002, "[$-0E0000]yyyy-mm-dd")</f>
        <v/>
      </c>
      <c r="C67003" t="inlineStr">
        <is>
          <t>2083-04-26</t>
        </is>
      </c>
    </row>
    <row r="67004">
      <c r="A67004" s="1" t="n">
        <v>67003</v>
      </c>
      <c r="B67004">
        <f>TEXT(67003, "[$-0E0000]yyyy-mm-dd")</f>
        <v/>
      </c>
      <c r="C67004" t="inlineStr">
        <is>
          <t>2083-04-27</t>
        </is>
      </c>
    </row>
    <row r="67005">
      <c r="A67005" s="1" t="n">
        <v>67004</v>
      </c>
      <c r="B67005">
        <f>TEXT(67004, "[$-0E0000]yyyy-mm-dd")</f>
        <v/>
      </c>
      <c r="C67005" t="inlineStr">
        <is>
          <t>2083-04-28</t>
        </is>
      </c>
    </row>
    <row r="67006">
      <c r="A67006" s="1" t="n">
        <v>67005</v>
      </c>
      <c r="B67006">
        <f>TEXT(67005, "[$-0E0000]yyyy-mm-dd")</f>
        <v/>
      </c>
      <c r="C67006" t="inlineStr">
        <is>
          <t>2083-04-29</t>
        </is>
      </c>
    </row>
    <row r="67007">
      <c r="A67007" s="1" t="n">
        <v>67006</v>
      </c>
      <c r="B67007">
        <f>TEXT(67006, "[$-0E0000]yyyy-mm-dd")</f>
        <v/>
      </c>
      <c r="C67007" t="inlineStr">
        <is>
          <t>2083-05-01</t>
        </is>
      </c>
    </row>
    <row r="67008">
      <c r="A67008" s="1" t="n">
        <v>67007</v>
      </c>
      <c r="B67008">
        <f>TEXT(67007, "[$-0E0000]yyyy-mm-dd")</f>
        <v/>
      </c>
      <c r="C67008" t="inlineStr">
        <is>
          <t>2083-05-02</t>
        </is>
      </c>
    </row>
    <row r="67009">
      <c r="A67009" s="1" t="n">
        <v>67008</v>
      </c>
      <c r="B67009">
        <f>TEXT(67008, "[$-0E0000]yyyy-mm-dd")</f>
        <v/>
      </c>
      <c r="C67009" t="inlineStr">
        <is>
          <t>2083-05-03</t>
        </is>
      </c>
    </row>
    <row r="67010">
      <c r="A67010" s="1" t="n">
        <v>67009</v>
      </c>
      <c r="B67010">
        <f>TEXT(67009, "[$-0E0000]yyyy-mm-dd")</f>
        <v/>
      </c>
      <c r="C67010" t="inlineStr">
        <is>
          <t>2083-05-04</t>
        </is>
      </c>
    </row>
    <row r="67011">
      <c r="A67011" s="1" t="n">
        <v>67010</v>
      </c>
      <c r="B67011">
        <f>TEXT(67010, "[$-0E0000]yyyy-mm-dd")</f>
        <v/>
      </c>
      <c r="C67011" t="inlineStr">
        <is>
          <t>2083-05-05</t>
        </is>
      </c>
    </row>
    <row r="67012">
      <c r="A67012" s="1" t="n">
        <v>67011</v>
      </c>
      <c r="B67012">
        <f>TEXT(67011, "[$-0E0000]yyyy-mm-dd")</f>
        <v/>
      </c>
      <c r="C67012" t="inlineStr">
        <is>
          <t>2083-05-06</t>
        </is>
      </c>
    </row>
    <row r="67013">
      <c r="A67013" s="1" t="n">
        <v>67012</v>
      </c>
      <c r="B67013">
        <f>TEXT(67012, "[$-0E0000]yyyy-mm-dd")</f>
        <v/>
      </c>
      <c r="C67013" t="inlineStr">
        <is>
          <t>2083-05-07</t>
        </is>
      </c>
    </row>
    <row r="67014">
      <c r="A67014" s="1" t="n">
        <v>67013</v>
      </c>
      <c r="B67014">
        <f>TEXT(67013, "[$-0E0000]yyyy-mm-dd")</f>
        <v/>
      </c>
      <c r="C67014" t="inlineStr">
        <is>
          <t>2083-05-08</t>
        </is>
      </c>
    </row>
    <row r="67015">
      <c r="A67015" s="1" t="n">
        <v>67014</v>
      </c>
      <c r="B67015">
        <f>TEXT(67014, "[$-0E0000]yyyy-mm-dd")</f>
        <v/>
      </c>
      <c r="C67015" t="inlineStr">
        <is>
          <t>2083-05-09</t>
        </is>
      </c>
    </row>
    <row r="67016">
      <c r="A67016" s="1" t="n">
        <v>67015</v>
      </c>
      <c r="B67016">
        <f>TEXT(67015, "[$-0E0000]yyyy-mm-dd")</f>
        <v/>
      </c>
      <c r="C67016" t="inlineStr">
        <is>
          <t>2083-05-10</t>
        </is>
      </c>
    </row>
    <row r="67017">
      <c r="A67017" s="1" t="n">
        <v>67016</v>
      </c>
      <c r="B67017">
        <f>TEXT(67016, "[$-0E0000]yyyy-mm-dd")</f>
        <v/>
      </c>
      <c r="C67017" t="inlineStr">
        <is>
          <t>2083-05-11</t>
        </is>
      </c>
    </row>
    <row r="67018">
      <c r="A67018" s="1" t="n">
        <v>67017</v>
      </c>
      <c r="B67018">
        <f>TEXT(67017, "[$-0E0000]yyyy-mm-dd")</f>
        <v/>
      </c>
      <c r="C67018" t="inlineStr">
        <is>
          <t>2083-05-12</t>
        </is>
      </c>
    </row>
    <row r="67019">
      <c r="A67019" s="1" t="n">
        <v>67018</v>
      </c>
      <c r="B67019">
        <f>TEXT(67018, "[$-0E0000]yyyy-mm-dd")</f>
        <v/>
      </c>
      <c r="C67019" t="inlineStr">
        <is>
          <t>2083-05-13</t>
        </is>
      </c>
    </row>
    <row r="67020">
      <c r="A67020" s="1" t="n">
        <v>67019</v>
      </c>
      <c r="B67020">
        <f>TEXT(67019, "[$-0E0000]yyyy-mm-dd")</f>
        <v/>
      </c>
      <c r="C67020" t="inlineStr">
        <is>
          <t>2083-05-14</t>
        </is>
      </c>
    </row>
    <row r="67021">
      <c r="A67021" s="1" t="n">
        <v>67020</v>
      </c>
      <c r="B67021">
        <f>TEXT(67020, "[$-0E0000]yyyy-mm-dd")</f>
        <v/>
      </c>
      <c r="C67021" t="inlineStr">
        <is>
          <t>2083-05-15</t>
        </is>
      </c>
    </row>
    <row r="67022">
      <c r="A67022" s="1" t="n">
        <v>67021</v>
      </c>
      <c r="B67022">
        <f>TEXT(67021, "[$-0E0000]yyyy-mm-dd")</f>
        <v/>
      </c>
      <c r="C67022" t="inlineStr">
        <is>
          <t>2083-05-16</t>
        </is>
      </c>
    </row>
    <row r="67023">
      <c r="A67023" s="1" t="n">
        <v>67022</v>
      </c>
      <c r="B67023">
        <f>TEXT(67022, "[$-0E0000]yyyy-mm-dd")</f>
        <v/>
      </c>
      <c r="C67023" t="inlineStr">
        <is>
          <t>2083-05-17</t>
        </is>
      </c>
    </row>
    <row r="67024">
      <c r="A67024" s="1" t="n">
        <v>67023</v>
      </c>
      <c r="B67024">
        <f>TEXT(67023, "[$-0E0000]yyyy-mm-dd")</f>
        <v/>
      </c>
      <c r="C67024" t="inlineStr">
        <is>
          <t>2083-05-18</t>
        </is>
      </c>
    </row>
    <row r="67025">
      <c r="A67025" s="1" t="n">
        <v>67024</v>
      </c>
      <c r="B67025">
        <f>TEXT(67024, "[$-0E0000]yyyy-mm-dd")</f>
        <v/>
      </c>
      <c r="C67025" t="inlineStr">
        <is>
          <t>2083-05-19</t>
        </is>
      </c>
    </row>
    <row r="67026">
      <c r="A67026" s="1" t="n">
        <v>67025</v>
      </c>
      <c r="B67026">
        <f>TEXT(67025, "[$-0E0000]yyyy-mm-dd")</f>
        <v/>
      </c>
      <c r="C67026" t="inlineStr">
        <is>
          <t>2083-05-20</t>
        </is>
      </c>
    </row>
    <row r="67027">
      <c r="A67027" s="1" t="n">
        <v>67026</v>
      </c>
      <c r="B67027">
        <f>TEXT(67026, "[$-0E0000]yyyy-mm-dd")</f>
        <v/>
      </c>
      <c r="C67027" t="inlineStr">
        <is>
          <t>2083-05-21</t>
        </is>
      </c>
    </row>
    <row r="67028">
      <c r="A67028" s="1" t="n">
        <v>67027</v>
      </c>
      <c r="B67028">
        <f>TEXT(67027, "[$-0E0000]yyyy-mm-dd")</f>
        <v/>
      </c>
      <c r="C67028" t="inlineStr">
        <is>
          <t>2083-05-22</t>
        </is>
      </c>
    </row>
    <row r="67029">
      <c r="A67029" s="1" t="n">
        <v>67028</v>
      </c>
      <c r="B67029">
        <f>TEXT(67028, "[$-0E0000]yyyy-mm-dd")</f>
        <v/>
      </c>
      <c r="C67029" t="inlineStr">
        <is>
          <t>2083-05-23</t>
        </is>
      </c>
    </row>
    <row r="67030">
      <c r="A67030" s="1" t="n">
        <v>67029</v>
      </c>
      <c r="B67030">
        <f>TEXT(67029, "[$-0E0000]yyyy-mm-dd")</f>
        <v/>
      </c>
      <c r="C67030" t="inlineStr">
        <is>
          <t>2083-05-24</t>
        </is>
      </c>
    </row>
    <row r="67031">
      <c r="A67031" s="1" t="n">
        <v>67030</v>
      </c>
      <c r="B67031">
        <f>TEXT(67030, "[$-0E0000]yyyy-mm-dd")</f>
        <v/>
      </c>
      <c r="C67031" t="inlineStr">
        <is>
          <t>2083-05-25</t>
        </is>
      </c>
    </row>
    <row r="67032">
      <c r="A67032" s="1" t="n">
        <v>67031</v>
      </c>
      <c r="B67032">
        <f>TEXT(67031, "[$-0E0000]yyyy-mm-dd")</f>
        <v/>
      </c>
      <c r="C67032" t="inlineStr">
        <is>
          <t>2083-05-26</t>
        </is>
      </c>
    </row>
    <row r="67033">
      <c r="A67033" s="1" t="n">
        <v>67032</v>
      </c>
      <c r="B67033">
        <f>TEXT(67032, "[$-0E0000]yyyy-mm-dd")</f>
        <v/>
      </c>
      <c r="C67033" t="inlineStr">
        <is>
          <t>2083-05-27</t>
        </is>
      </c>
    </row>
    <row r="67034">
      <c r="A67034" s="1" t="n">
        <v>67033</v>
      </c>
      <c r="B67034">
        <f>TEXT(67033, "[$-0E0000]yyyy-mm-dd")</f>
        <v/>
      </c>
      <c r="C67034" t="inlineStr">
        <is>
          <t>2083-05-28</t>
        </is>
      </c>
    </row>
    <row r="67035">
      <c r="A67035" s="1" t="n">
        <v>67034</v>
      </c>
      <c r="B67035">
        <f>TEXT(67034, "[$-0E0000]yyyy-mm-dd")</f>
        <v/>
      </c>
      <c r="C67035" t="inlineStr">
        <is>
          <t>2083-05-29</t>
        </is>
      </c>
    </row>
    <row r="67036">
      <c r="A67036" s="1" t="n">
        <v>67035</v>
      </c>
      <c r="B67036">
        <f>TEXT(67035, "[$-0E0000]yyyy-mm-dd")</f>
        <v/>
      </c>
      <c r="C67036" t="inlineStr">
        <is>
          <t>2083-05-30</t>
        </is>
      </c>
    </row>
    <row r="67037">
      <c r="A67037" s="1" t="n">
        <v>67036</v>
      </c>
      <c r="B67037">
        <f>TEXT(67036, "[$-0E0000]yyyy-mm-dd")</f>
        <v/>
      </c>
      <c r="C67037" t="inlineStr">
        <is>
          <t>2083-06-01</t>
        </is>
      </c>
    </row>
    <row r="67038">
      <c r="A67038" s="1" t="n">
        <v>67037</v>
      </c>
      <c r="B67038">
        <f>TEXT(67037, "[$-0E0000]yyyy-mm-dd")</f>
        <v/>
      </c>
      <c r="C67038" t="inlineStr">
        <is>
          <t>2083-06-02</t>
        </is>
      </c>
    </row>
    <row r="67039">
      <c r="A67039" s="1" t="n">
        <v>67038</v>
      </c>
      <c r="B67039">
        <f>TEXT(67038, "[$-0E0000]yyyy-mm-dd")</f>
        <v/>
      </c>
      <c r="C67039" t="inlineStr">
        <is>
          <t>2083-06-03</t>
        </is>
      </c>
    </row>
    <row r="67040">
      <c r="A67040" s="1" t="n">
        <v>67039</v>
      </c>
      <c r="B67040">
        <f>TEXT(67039, "[$-0E0000]yyyy-mm-dd")</f>
        <v/>
      </c>
      <c r="C67040" t="inlineStr">
        <is>
          <t>2083-06-04</t>
        </is>
      </c>
    </row>
    <row r="67041">
      <c r="A67041" s="1" t="n">
        <v>67040</v>
      </c>
      <c r="B67041">
        <f>TEXT(67040, "[$-0E0000]yyyy-mm-dd")</f>
        <v/>
      </c>
      <c r="C67041" t="inlineStr">
        <is>
          <t>2083-06-05</t>
        </is>
      </c>
    </row>
    <row r="67042">
      <c r="A67042" s="1" t="n">
        <v>67041</v>
      </c>
      <c r="B67042">
        <f>TEXT(67041, "[$-0E0000]yyyy-mm-dd")</f>
        <v/>
      </c>
      <c r="C67042" t="inlineStr">
        <is>
          <t>2083-06-06</t>
        </is>
      </c>
    </row>
    <row r="67043">
      <c r="A67043" s="1" t="n">
        <v>67042</v>
      </c>
      <c r="B67043">
        <f>TEXT(67042, "[$-0E0000]yyyy-mm-dd")</f>
        <v/>
      </c>
      <c r="C67043" t="inlineStr">
        <is>
          <t>2083-06-07</t>
        </is>
      </c>
    </row>
    <row r="67044">
      <c r="A67044" s="1" t="n">
        <v>67043</v>
      </c>
      <c r="B67044">
        <f>TEXT(67043, "[$-0E0000]yyyy-mm-dd")</f>
        <v/>
      </c>
      <c r="C67044" t="inlineStr">
        <is>
          <t>2083-06-08</t>
        </is>
      </c>
    </row>
    <row r="67045">
      <c r="A67045" s="1" t="n">
        <v>67044</v>
      </c>
      <c r="B67045">
        <f>TEXT(67044, "[$-0E0000]yyyy-mm-dd")</f>
        <v/>
      </c>
      <c r="C67045" t="inlineStr">
        <is>
          <t>2083-06-09</t>
        </is>
      </c>
    </row>
    <row r="67046">
      <c r="A67046" s="1" t="n">
        <v>67045</v>
      </c>
      <c r="B67046">
        <f>TEXT(67045, "[$-0E0000]yyyy-mm-dd")</f>
        <v/>
      </c>
      <c r="C67046" t="inlineStr">
        <is>
          <t>2083-06-10</t>
        </is>
      </c>
    </row>
    <row r="67047">
      <c r="A67047" s="1" t="n">
        <v>67046</v>
      </c>
      <c r="B67047">
        <f>TEXT(67046, "[$-0E0000]yyyy-mm-dd")</f>
        <v/>
      </c>
      <c r="C67047" t="inlineStr">
        <is>
          <t>2083-06-11</t>
        </is>
      </c>
    </row>
    <row r="67048">
      <c r="A67048" s="1" t="n">
        <v>67047</v>
      </c>
      <c r="B67048">
        <f>TEXT(67047, "[$-0E0000]yyyy-mm-dd")</f>
        <v/>
      </c>
      <c r="C67048" t="inlineStr">
        <is>
          <t>2083-06-12</t>
        </is>
      </c>
    </row>
    <row r="67049">
      <c r="A67049" s="1" t="n">
        <v>67048</v>
      </c>
      <c r="B67049">
        <f>TEXT(67048, "[$-0E0000]yyyy-mm-dd")</f>
        <v/>
      </c>
      <c r="C67049" t="inlineStr">
        <is>
          <t>2083-06-13</t>
        </is>
      </c>
    </row>
    <row r="67050">
      <c r="A67050" s="1" t="n">
        <v>67049</v>
      </c>
      <c r="B67050">
        <f>TEXT(67049, "[$-0E0000]yyyy-mm-dd")</f>
        <v/>
      </c>
      <c r="C67050" t="inlineStr">
        <is>
          <t>2083-06-14</t>
        </is>
      </c>
    </row>
    <row r="67051">
      <c r="A67051" s="1" t="n">
        <v>67050</v>
      </c>
      <c r="B67051">
        <f>TEXT(67050, "[$-0E0000]yyyy-mm-dd")</f>
        <v/>
      </c>
      <c r="C67051" t="inlineStr">
        <is>
          <t>2083-06-15</t>
        </is>
      </c>
    </row>
    <row r="67052">
      <c r="A67052" s="1" t="n">
        <v>67051</v>
      </c>
      <c r="B67052">
        <f>TEXT(67051, "[$-0E0000]yyyy-mm-dd")</f>
        <v/>
      </c>
      <c r="C67052" t="inlineStr">
        <is>
          <t>2083-06-16</t>
        </is>
      </c>
    </row>
    <row r="67053">
      <c r="A67053" s="1" t="n">
        <v>67052</v>
      </c>
      <c r="B67053">
        <f>TEXT(67052, "[$-0E0000]yyyy-mm-dd")</f>
        <v/>
      </c>
      <c r="C67053" t="inlineStr">
        <is>
          <t>2083-06-17</t>
        </is>
      </c>
    </row>
    <row r="67054">
      <c r="A67054" s="1" t="n">
        <v>67053</v>
      </c>
      <c r="B67054">
        <f>TEXT(67053, "[$-0E0000]yyyy-mm-dd")</f>
        <v/>
      </c>
      <c r="C67054" t="inlineStr">
        <is>
          <t>2083-06-18</t>
        </is>
      </c>
    </row>
    <row r="67055">
      <c r="A67055" s="1" t="n">
        <v>67054</v>
      </c>
      <c r="B67055">
        <f>TEXT(67054, "[$-0E0000]yyyy-mm-dd")</f>
        <v/>
      </c>
      <c r="C67055" t="inlineStr">
        <is>
          <t>2083-06-19</t>
        </is>
      </c>
    </row>
    <row r="67056">
      <c r="A67056" s="1" t="n">
        <v>67055</v>
      </c>
      <c r="B67056">
        <f>TEXT(67055, "[$-0E0000]yyyy-mm-dd")</f>
        <v/>
      </c>
      <c r="C67056" t="inlineStr">
        <is>
          <t>2083-06-20</t>
        </is>
      </c>
    </row>
    <row r="67057">
      <c r="A67057" s="1" t="n">
        <v>67056</v>
      </c>
      <c r="B67057">
        <f>TEXT(67056, "[$-0E0000]yyyy-mm-dd")</f>
        <v/>
      </c>
      <c r="C67057" t="inlineStr">
        <is>
          <t>2083-06-21</t>
        </is>
      </c>
    </row>
    <row r="67058">
      <c r="A67058" s="1" t="n">
        <v>67057</v>
      </c>
      <c r="B67058">
        <f>TEXT(67057, "[$-0E0000]yyyy-mm-dd")</f>
        <v/>
      </c>
      <c r="C67058" t="inlineStr">
        <is>
          <t>2083-06-22</t>
        </is>
      </c>
    </row>
    <row r="67059">
      <c r="A67059" s="1" t="n">
        <v>67058</v>
      </c>
      <c r="B67059">
        <f>TEXT(67058, "[$-0E0000]yyyy-mm-dd")</f>
        <v/>
      </c>
      <c r="C67059" t="inlineStr">
        <is>
          <t>2083-06-23</t>
        </is>
      </c>
    </row>
    <row r="67060">
      <c r="A67060" s="1" t="n">
        <v>67059</v>
      </c>
      <c r="B67060">
        <f>TEXT(67059, "[$-0E0000]yyyy-mm-dd")</f>
        <v/>
      </c>
      <c r="C67060" t="inlineStr">
        <is>
          <t>2083-06-24</t>
        </is>
      </c>
    </row>
    <row r="67061">
      <c r="A67061" s="1" t="n">
        <v>67060</v>
      </c>
      <c r="B67061">
        <f>TEXT(67060, "[$-0E0000]yyyy-mm-dd")</f>
        <v/>
      </c>
      <c r="C67061" t="inlineStr">
        <is>
          <t>2083-06-25</t>
        </is>
      </c>
    </row>
    <row r="67062">
      <c r="A67062" s="1" t="n">
        <v>67061</v>
      </c>
      <c r="B67062">
        <f>TEXT(67061, "[$-0E0000]yyyy-mm-dd")</f>
        <v/>
      </c>
      <c r="C67062" t="inlineStr">
        <is>
          <t>2083-06-26</t>
        </is>
      </c>
    </row>
    <row r="67063">
      <c r="A67063" s="1" t="n">
        <v>67062</v>
      </c>
      <c r="B67063">
        <f>TEXT(67062, "[$-0E0000]yyyy-mm-dd")</f>
        <v/>
      </c>
      <c r="C67063" t="inlineStr">
        <is>
          <t>2083-06-27</t>
        </is>
      </c>
    </row>
    <row r="67064">
      <c r="A67064" s="1" t="n">
        <v>67063</v>
      </c>
      <c r="B67064">
        <f>TEXT(67063, "[$-0E0000]yyyy-mm-dd")</f>
        <v/>
      </c>
      <c r="C67064" t="inlineStr">
        <is>
          <t>2083-06-28</t>
        </is>
      </c>
    </row>
    <row r="67065">
      <c r="A67065" s="1" t="n">
        <v>67064</v>
      </c>
      <c r="B67065">
        <f>TEXT(67064, "[$-0E0000]yyyy-mm-dd")</f>
        <v/>
      </c>
      <c r="C67065" t="inlineStr">
        <is>
          <t>2083-06-29</t>
        </is>
      </c>
    </row>
    <row r="67066">
      <c r="A67066" s="1" t="n">
        <v>67065</v>
      </c>
      <c r="B67066">
        <f>TEXT(67065, "[$-0E0000]yyyy-mm-dd")</f>
        <v/>
      </c>
      <c r="C67066" t="inlineStr">
        <is>
          <t>2083-07-01</t>
        </is>
      </c>
    </row>
    <row r="67067">
      <c r="A67067" s="1" t="n">
        <v>67066</v>
      </c>
      <c r="B67067">
        <f>TEXT(67066, "[$-0E0000]yyyy-mm-dd")</f>
        <v/>
      </c>
      <c r="C67067" t="inlineStr">
        <is>
          <t>2083-07-02</t>
        </is>
      </c>
    </row>
    <row r="67068">
      <c r="A67068" s="1" t="n">
        <v>67067</v>
      </c>
      <c r="B67068">
        <f>TEXT(67067, "[$-0E0000]yyyy-mm-dd")</f>
        <v/>
      </c>
      <c r="C67068" t="inlineStr">
        <is>
          <t>2083-07-03</t>
        </is>
      </c>
    </row>
    <row r="67069">
      <c r="A67069" s="1" t="n">
        <v>67068</v>
      </c>
      <c r="B67069">
        <f>TEXT(67068, "[$-0E0000]yyyy-mm-dd")</f>
        <v/>
      </c>
      <c r="C67069" t="inlineStr">
        <is>
          <t>2083-07-04</t>
        </is>
      </c>
    </row>
    <row r="67070">
      <c r="A67070" s="1" t="n">
        <v>67069</v>
      </c>
      <c r="B67070">
        <f>TEXT(67069, "[$-0E0000]yyyy-mm-dd")</f>
        <v/>
      </c>
      <c r="C67070" t="inlineStr">
        <is>
          <t>2083-07-05</t>
        </is>
      </c>
    </row>
    <row r="67071">
      <c r="A67071" s="1" t="n">
        <v>67070</v>
      </c>
      <c r="B67071">
        <f>TEXT(67070, "[$-0E0000]yyyy-mm-dd")</f>
        <v/>
      </c>
      <c r="C67071" t="inlineStr">
        <is>
          <t>2083-07-06</t>
        </is>
      </c>
    </row>
    <row r="67072">
      <c r="A67072" s="1" t="n">
        <v>67071</v>
      </c>
      <c r="B67072">
        <f>TEXT(67071, "[$-0E0000]yyyy-mm-dd")</f>
        <v/>
      </c>
      <c r="C67072" t="inlineStr">
        <is>
          <t>2083-07-07</t>
        </is>
      </c>
    </row>
    <row r="67073">
      <c r="A67073" s="1" t="n">
        <v>67072</v>
      </c>
      <c r="B67073">
        <f>TEXT(67072, "[$-0E0000]yyyy-mm-dd")</f>
        <v/>
      </c>
      <c r="C67073" t="inlineStr">
        <is>
          <t>2083-07-08</t>
        </is>
      </c>
    </row>
    <row r="67074">
      <c r="A67074" s="1" t="n">
        <v>67073</v>
      </c>
      <c r="B67074">
        <f>TEXT(67073, "[$-0E0000]yyyy-mm-dd")</f>
        <v/>
      </c>
      <c r="C67074" t="inlineStr">
        <is>
          <t>2083-07-09</t>
        </is>
      </c>
    </row>
    <row r="67075">
      <c r="A67075" s="1" t="n">
        <v>67074</v>
      </c>
      <c r="B67075">
        <f>TEXT(67074, "[$-0E0000]yyyy-mm-dd")</f>
        <v/>
      </c>
      <c r="C67075" t="inlineStr">
        <is>
          <t>2083-07-10</t>
        </is>
      </c>
    </row>
    <row r="67076">
      <c r="A67076" s="1" t="n">
        <v>67075</v>
      </c>
      <c r="B67076">
        <f>TEXT(67075, "[$-0E0000]yyyy-mm-dd")</f>
        <v/>
      </c>
      <c r="C67076" t="inlineStr">
        <is>
          <t>2083-07-11</t>
        </is>
      </c>
    </row>
    <row r="67077">
      <c r="A67077" s="1" t="n">
        <v>67076</v>
      </c>
      <c r="B67077">
        <f>TEXT(67076, "[$-0E0000]yyyy-mm-dd")</f>
        <v/>
      </c>
      <c r="C67077" t="inlineStr">
        <is>
          <t>2083-07-12</t>
        </is>
      </c>
    </row>
    <row r="67078">
      <c r="A67078" s="1" t="n">
        <v>67077</v>
      </c>
      <c r="B67078">
        <f>TEXT(67077, "[$-0E0000]yyyy-mm-dd")</f>
        <v/>
      </c>
      <c r="C67078" t="inlineStr">
        <is>
          <t>2083-07-13</t>
        </is>
      </c>
    </row>
    <row r="67079">
      <c r="A67079" s="1" t="n">
        <v>67078</v>
      </c>
      <c r="B67079">
        <f>TEXT(67078, "[$-0E0000]yyyy-mm-dd")</f>
        <v/>
      </c>
      <c r="C67079" t="inlineStr">
        <is>
          <t>2083-07-14</t>
        </is>
      </c>
    </row>
    <row r="67080">
      <c r="A67080" s="1" t="n">
        <v>67079</v>
      </c>
      <c r="B67080">
        <f>TEXT(67079, "[$-0E0000]yyyy-mm-dd")</f>
        <v/>
      </c>
      <c r="C67080" t="inlineStr">
        <is>
          <t>2083-07-15</t>
        </is>
      </c>
    </row>
    <row r="67081">
      <c r="A67081" s="1" t="n">
        <v>67080</v>
      </c>
      <c r="B67081">
        <f>TEXT(67080, "[$-0E0000]yyyy-mm-dd")</f>
        <v/>
      </c>
      <c r="C67081" t="inlineStr">
        <is>
          <t>2083-07-16</t>
        </is>
      </c>
    </row>
    <row r="67082">
      <c r="A67082" s="1" t="n">
        <v>67081</v>
      </c>
      <c r="B67082">
        <f>TEXT(67081, "[$-0E0000]yyyy-mm-dd")</f>
        <v/>
      </c>
      <c r="C67082" t="inlineStr">
        <is>
          <t>2083-07-17</t>
        </is>
      </c>
    </row>
    <row r="67083">
      <c r="A67083" s="1" t="n">
        <v>67082</v>
      </c>
      <c r="B67083">
        <f>TEXT(67082, "[$-0E0000]yyyy-mm-dd")</f>
        <v/>
      </c>
      <c r="C67083" t="inlineStr">
        <is>
          <t>2083-07-18</t>
        </is>
      </c>
    </row>
    <row r="67084">
      <c r="A67084" s="1" t="n">
        <v>67083</v>
      </c>
      <c r="B67084">
        <f>TEXT(67083, "[$-0E0000]yyyy-mm-dd")</f>
        <v/>
      </c>
      <c r="C67084" t="inlineStr">
        <is>
          <t>2083-07-19</t>
        </is>
      </c>
    </row>
    <row r="67085">
      <c r="A67085" s="1" t="n">
        <v>67084</v>
      </c>
      <c r="B67085">
        <f>TEXT(67084, "[$-0E0000]yyyy-mm-dd")</f>
        <v/>
      </c>
      <c r="C67085" t="inlineStr">
        <is>
          <t>2083-07-20</t>
        </is>
      </c>
    </row>
    <row r="67086">
      <c r="A67086" s="1" t="n">
        <v>67085</v>
      </c>
      <c r="B67086">
        <f>TEXT(67085, "[$-0E0000]yyyy-mm-dd")</f>
        <v/>
      </c>
      <c r="C67086" t="inlineStr">
        <is>
          <t>2083-07-21</t>
        </is>
      </c>
    </row>
    <row r="67087">
      <c r="A67087" s="1" t="n">
        <v>67086</v>
      </c>
      <c r="B67087">
        <f>TEXT(67086, "[$-0E0000]yyyy-mm-dd")</f>
        <v/>
      </c>
      <c r="C67087" t="inlineStr">
        <is>
          <t>2083-07-22</t>
        </is>
      </c>
    </row>
    <row r="67088">
      <c r="A67088" s="1" t="n">
        <v>67087</v>
      </c>
      <c r="B67088">
        <f>TEXT(67087, "[$-0E0000]yyyy-mm-dd")</f>
        <v/>
      </c>
      <c r="C67088" t="inlineStr">
        <is>
          <t>2083-07-23</t>
        </is>
      </c>
    </row>
    <row r="67089">
      <c r="A67089" s="1" t="n">
        <v>67088</v>
      </c>
      <c r="B67089">
        <f>TEXT(67088, "[$-0E0000]yyyy-mm-dd")</f>
        <v/>
      </c>
      <c r="C67089" t="inlineStr">
        <is>
          <t>2083-07-24</t>
        </is>
      </c>
    </row>
    <row r="67090">
      <c r="A67090" s="1" t="n">
        <v>67089</v>
      </c>
      <c r="B67090">
        <f>TEXT(67089, "[$-0E0000]yyyy-mm-dd")</f>
        <v/>
      </c>
      <c r="C67090" t="inlineStr">
        <is>
          <t>2083-07-25</t>
        </is>
      </c>
    </row>
    <row r="67091">
      <c r="A67091" s="1" t="n">
        <v>67090</v>
      </c>
      <c r="B67091">
        <f>TEXT(67090, "[$-0E0000]yyyy-mm-dd")</f>
        <v/>
      </c>
      <c r="C67091" t="inlineStr">
        <is>
          <t>2083-07-26</t>
        </is>
      </c>
    </row>
    <row r="67092">
      <c r="A67092" s="1" t="n">
        <v>67091</v>
      </c>
      <c r="B67092">
        <f>TEXT(67091, "[$-0E0000]yyyy-mm-dd")</f>
        <v/>
      </c>
      <c r="C67092" t="inlineStr">
        <is>
          <t>2083-07-27</t>
        </is>
      </c>
    </row>
    <row r="67093">
      <c r="A67093" s="1" t="n">
        <v>67092</v>
      </c>
      <c r="B67093">
        <f>TEXT(67092, "[$-0E0000]yyyy-mm-dd")</f>
        <v/>
      </c>
      <c r="C67093" t="inlineStr">
        <is>
          <t>2083-07-28</t>
        </is>
      </c>
    </row>
    <row r="67094">
      <c r="A67094" s="1" t="n">
        <v>67093</v>
      </c>
      <c r="B67094">
        <f>TEXT(67093, "[$-0E0000]yyyy-mm-dd")</f>
        <v/>
      </c>
      <c r="C67094" t="inlineStr">
        <is>
          <t>2083-07-29</t>
        </is>
      </c>
    </row>
    <row r="67095">
      <c r="A67095" s="1" t="n">
        <v>67094</v>
      </c>
      <c r="B67095">
        <f>TEXT(67094, "[$-0E0000]yyyy-mm-dd")</f>
        <v/>
      </c>
      <c r="C67095" t="inlineStr">
        <is>
          <t>2083-07-30</t>
        </is>
      </c>
    </row>
    <row r="67096">
      <c r="A67096" s="1" t="n">
        <v>67095</v>
      </c>
      <c r="B67096">
        <f>TEXT(67095, "[$-0E0000]yyyy-mm-dd")</f>
        <v/>
      </c>
      <c r="C67096" t="inlineStr">
        <is>
          <t>2083-08-01</t>
        </is>
      </c>
    </row>
    <row r="67097">
      <c r="A67097" s="1" t="n">
        <v>67096</v>
      </c>
      <c r="B67097">
        <f>TEXT(67096, "[$-0E0000]yyyy-mm-dd")</f>
        <v/>
      </c>
      <c r="C67097" t="inlineStr">
        <is>
          <t>2083-08-02</t>
        </is>
      </c>
    </row>
    <row r="67098">
      <c r="A67098" s="1" t="n">
        <v>67097</v>
      </c>
      <c r="B67098">
        <f>TEXT(67097, "[$-0E0000]yyyy-mm-dd")</f>
        <v/>
      </c>
      <c r="C67098" t="inlineStr">
        <is>
          <t>2083-08-03</t>
        </is>
      </c>
    </row>
    <row r="67099">
      <c r="A67099" s="1" t="n">
        <v>67098</v>
      </c>
      <c r="B67099">
        <f>TEXT(67098, "[$-0E0000]yyyy-mm-dd")</f>
        <v/>
      </c>
      <c r="C67099" t="inlineStr">
        <is>
          <t>2083-08-04</t>
        </is>
      </c>
    </row>
    <row r="67100">
      <c r="A67100" s="1" t="n">
        <v>67099</v>
      </c>
      <c r="B67100">
        <f>TEXT(67099, "[$-0E0000]yyyy-mm-dd")</f>
        <v/>
      </c>
      <c r="C67100" t="inlineStr">
        <is>
          <t>2083-08-05</t>
        </is>
      </c>
    </row>
    <row r="67101">
      <c r="A67101" s="1" t="n">
        <v>67100</v>
      </c>
      <c r="B67101">
        <f>TEXT(67100, "[$-0E0000]yyyy-mm-dd")</f>
        <v/>
      </c>
      <c r="C67101" t="inlineStr">
        <is>
          <t>2083-08-06</t>
        </is>
      </c>
    </row>
    <row r="67102">
      <c r="A67102" s="1" t="n">
        <v>67101</v>
      </c>
      <c r="B67102">
        <f>TEXT(67101, "[$-0E0000]yyyy-mm-dd")</f>
        <v/>
      </c>
      <c r="C67102" t="inlineStr">
        <is>
          <t>2083-08-07</t>
        </is>
      </c>
    </row>
    <row r="67103">
      <c r="A67103" s="1" t="n">
        <v>67102</v>
      </c>
      <c r="B67103">
        <f>TEXT(67102, "[$-0E0000]yyyy-mm-dd")</f>
        <v/>
      </c>
      <c r="C67103" t="inlineStr">
        <is>
          <t>2083-08-08</t>
        </is>
      </c>
    </row>
    <row r="67104">
      <c r="A67104" s="1" t="n">
        <v>67103</v>
      </c>
      <c r="B67104">
        <f>TEXT(67103, "[$-0E0000]yyyy-mm-dd")</f>
        <v/>
      </c>
      <c r="C67104" t="inlineStr">
        <is>
          <t>2083-08-09</t>
        </is>
      </c>
    </row>
    <row r="67105">
      <c r="A67105" s="1" t="n">
        <v>67104</v>
      </c>
      <c r="B67105">
        <f>TEXT(67104, "[$-0E0000]yyyy-mm-dd")</f>
        <v/>
      </c>
      <c r="C67105" t="inlineStr">
        <is>
          <t>2083-08-10</t>
        </is>
      </c>
    </row>
    <row r="67106">
      <c r="A67106" s="1" t="n">
        <v>67105</v>
      </c>
      <c r="B67106">
        <f>TEXT(67105, "[$-0E0000]yyyy-mm-dd")</f>
        <v/>
      </c>
      <c r="C67106" t="inlineStr">
        <is>
          <t>2083-08-11</t>
        </is>
      </c>
    </row>
    <row r="67107">
      <c r="A67107" s="1" t="n">
        <v>67106</v>
      </c>
      <c r="B67107">
        <f>TEXT(67106, "[$-0E0000]yyyy-mm-dd")</f>
        <v/>
      </c>
      <c r="C67107" t="inlineStr">
        <is>
          <t>2083-08-12</t>
        </is>
      </c>
    </row>
    <row r="67108">
      <c r="A67108" s="1" t="n">
        <v>67107</v>
      </c>
      <c r="B67108">
        <f>TEXT(67107, "[$-0E0000]yyyy-mm-dd")</f>
        <v/>
      </c>
      <c r="C67108" t="inlineStr">
        <is>
          <t>2083-08-13</t>
        </is>
      </c>
    </row>
    <row r="67109">
      <c r="A67109" s="1" t="n">
        <v>67108</v>
      </c>
      <c r="B67109">
        <f>TEXT(67108, "[$-0E0000]yyyy-mm-dd")</f>
        <v/>
      </c>
      <c r="C67109" t="inlineStr">
        <is>
          <t>2083-08-14</t>
        </is>
      </c>
    </row>
    <row r="67110">
      <c r="A67110" s="1" t="n">
        <v>67109</v>
      </c>
      <c r="B67110">
        <f>TEXT(67109, "[$-0E0000]yyyy-mm-dd")</f>
        <v/>
      </c>
      <c r="C67110" t="inlineStr">
        <is>
          <t>2083-08-15</t>
        </is>
      </c>
    </row>
    <row r="67111">
      <c r="A67111" s="1" t="n">
        <v>67110</v>
      </c>
      <c r="B67111">
        <f>TEXT(67110, "[$-0E0000]yyyy-mm-dd")</f>
        <v/>
      </c>
      <c r="C67111" t="inlineStr">
        <is>
          <t>2083-08-16</t>
        </is>
      </c>
    </row>
    <row r="67112">
      <c r="A67112" s="1" t="n">
        <v>67111</v>
      </c>
      <c r="B67112">
        <f>TEXT(67111, "[$-0E0000]yyyy-mm-dd")</f>
        <v/>
      </c>
      <c r="C67112" t="inlineStr">
        <is>
          <t>2083-08-17</t>
        </is>
      </c>
    </row>
    <row r="67113">
      <c r="A67113" s="1" t="n">
        <v>67112</v>
      </c>
      <c r="B67113">
        <f>TEXT(67112, "[$-0E0000]yyyy-mm-dd")</f>
        <v/>
      </c>
      <c r="C67113" t="inlineStr">
        <is>
          <t>2083-08-18</t>
        </is>
      </c>
    </row>
    <row r="67114">
      <c r="A67114" s="1" t="n">
        <v>67113</v>
      </c>
      <c r="B67114">
        <f>TEXT(67113, "[$-0E0000]yyyy-mm-dd")</f>
        <v/>
      </c>
      <c r="C67114" t="inlineStr">
        <is>
          <t>2083-08-19</t>
        </is>
      </c>
    </row>
    <row r="67115">
      <c r="A67115" s="1" t="n">
        <v>67114</v>
      </c>
      <c r="B67115">
        <f>TEXT(67114, "[$-0E0000]yyyy-mm-dd")</f>
        <v/>
      </c>
      <c r="C67115" t="inlineStr">
        <is>
          <t>2083-08-20</t>
        </is>
      </c>
    </row>
    <row r="67116">
      <c r="A67116" s="1" t="n">
        <v>67115</v>
      </c>
      <c r="B67116">
        <f>TEXT(67115, "[$-0E0000]yyyy-mm-dd")</f>
        <v/>
      </c>
      <c r="C67116" t="inlineStr">
        <is>
          <t>2083-08-21</t>
        </is>
      </c>
    </row>
    <row r="67117">
      <c r="A67117" s="1" t="n">
        <v>67116</v>
      </c>
      <c r="B67117">
        <f>TEXT(67116, "[$-0E0000]yyyy-mm-dd")</f>
        <v/>
      </c>
      <c r="C67117" t="inlineStr">
        <is>
          <t>2083-08-22</t>
        </is>
      </c>
    </row>
    <row r="67118">
      <c r="A67118" s="1" t="n">
        <v>67117</v>
      </c>
      <c r="B67118">
        <f>TEXT(67117, "[$-0E0000]yyyy-mm-dd")</f>
        <v/>
      </c>
      <c r="C67118" t="inlineStr">
        <is>
          <t>2083-08-23</t>
        </is>
      </c>
    </row>
    <row r="67119">
      <c r="A67119" s="1" t="n">
        <v>67118</v>
      </c>
      <c r="B67119">
        <f>TEXT(67118, "[$-0E0000]yyyy-mm-dd")</f>
        <v/>
      </c>
      <c r="C67119" t="inlineStr">
        <is>
          <t>2083-08-24</t>
        </is>
      </c>
    </row>
    <row r="67120">
      <c r="A67120" s="1" t="n">
        <v>67119</v>
      </c>
      <c r="B67120">
        <f>TEXT(67119, "[$-0E0000]yyyy-mm-dd")</f>
        <v/>
      </c>
      <c r="C67120" t="inlineStr">
        <is>
          <t>2083-08-25</t>
        </is>
      </c>
    </row>
    <row r="67121">
      <c r="A67121" s="1" t="n">
        <v>67120</v>
      </c>
      <c r="B67121">
        <f>TEXT(67120, "[$-0E0000]yyyy-mm-dd")</f>
        <v/>
      </c>
      <c r="C67121" t="inlineStr">
        <is>
          <t>2083-08-26</t>
        </is>
      </c>
    </row>
    <row r="67122">
      <c r="A67122" s="1" t="n">
        <v>67121</v>
      </c>
      <c r="B67122">
        <f>TEXT(67121, "[$-0E0000]yyyy-mm-dd")</f>
        <v/>
      </c>
      <c r="C67122" t="inlineStr">
        <is>
          <t>2083-08-27</t>
        </is>
      </c>
    </row>
    <row r="67123">
      <c r="A67123" s="1" t="n">
        <v>67122</v>
      </c>
      <c r="B67123">
        <f>TEXT(67122, "[$-0E0000]yyyy-mm-dd")</f>
        <v/>
      </c>
      <c r="C67123" t="inlineStr">
        <is>
          <t>2083-08-28</t>
        </is>
      </c>
    </row>
    <row r="67124">
      <c r="A67124" s="1" t="n">
        <v>67123</v>
      </c>
      <c r="B67124">
        <f>TEXT(67123, "[$-0E0000]yyyy-mm-dd")</f>
        <v/>
      </c>
      <c r="C67124" t="inlineStr">
        <is>
          <t>2083-08-29</t>
        </is>
      </c>
    </row>
    <row r="67125">
      <c r="A67125" s="1" t="n">
        <v>67124</v>
      </c>
      <c r="B67125">
        <f>TEXT(67124, "[$-0E0000]yyyy-mm-dd")</f>
        <v/>
      </c>
      <c r="C67125" t="inlineStr">
        <is>
          <t>2083-09-01</t>
        </is>
      </c>
    </row>
    <row r="67126">
      <c r="A67126" s="1" t="n">
        <v>67125</v>
      </c>
      <c r="B67126">
        <f>TEXT(67125, "[$-0E0000]yyyy-mm-dd")</f>
        <v/>
      </c>
      <c r="C67126" t="inlineStr">
        <is>
          <t>2083-09-02</t>
        </is>
      </c>
    </row>
    <row r="67127">
      <c r="A67127" s="1" t="n">
        <v>67126</v>
      </c>
      <c r="B67127">
        <f>TEXT(67126, "[$-0E0000]yyyy-mm-dd")</f>
        <v/>
      </c>
      <c r="C67127" t="inlineStr">
        <is>
          <t>2083-09-03</t>
        </is>
      </c>
    </row>
    <row r="67128">
      <c r="A67128" s="1" t="n">
        <v>67127</v>
      </c>
      <c r="B67128">
        <f>TEXT(67127, "[$-0E0000]yyyy-mm-dd")</f>
        <v/>
      </c>
      <c r="C67128" t="inlineStr">
        <is>
          <t>2083-09-04</t>
        </is>
      </c>
    </row>
    <row r="67129">
      <c r="A67129" s="1" t="n">
        <v>67128</v>
      </c>
      <c r="B67129">
        <f>TEXT(67128, "[$-0E0000]yyyy-mm-dd")</f>
        <v/>
      </c>
      <c r="C67129" t="inlineStr">
        <is>
          <t>2083-09-05</t>
        </is>
      </c>
    </row>
    <row r="67130">
      <c r="A67130" s="1" t="n">
        <v>67129</v>
      </c>
      <c r="B67130">
        <f>TEXT(67129, "[$-0E0000]yyyy-mm-dd")</f>
        <v/>
      </c>
      <c r="C67130" t="inlineStr">
        <is>
          <t>2083-09-06</t>
        </is>
      </c>
    </row>
    <row r="67131">
      <c r="A67131" s="1" t="n">
        <v>67130</v>
      </c>
      <c r="B67131">
        <f>TEXT(67130, "[$-0E0000]yyyy-mm-dd")</f>
        <v/>
      </c>
      <c r="C67131" t="inlineStr">
        <is>
          <t>2083-09-07</t>
        </is>
      </c>
    </row>
    <row r="67132">
      <c r="A67132" s="1" t="n">
        <v>67131</v>
      </c>
      <c r="B67132">
        <f>TEXT(67131, "[$-0E0000]yyyy-mm-dd")</f>
        <v/>
      </c>
      <c r="C67132" t="inlineStr">
        <is>
          <t>2083-09-08</t>
        </is>
      </c>
    </row>
    <row r="67133">
      <c r="A67133" s="1" t="n">
        <v>67132</v>
      </c>
      <c r="B67133">
        <f>TEXT(67132, "[$-0E0000]yyyy-mm-dd")</f>
        <v/>
      </c>
      <c r="C67133" t="inlineStr">
        <is>
          <t>2083-09-09</t>
        </is>
      </c>
    </row>
    <row r="67134">
      <c r="A67134" s="1" t="n">
        <v>67133</v>
      </c>
      <c r="B67134">
        <f>TEXT(67133, "[$-0E0000]yyyy-mm-dd")</f>
        <v/>
      </c>
      <c r="C67134" t="inlineStr">
        <is>
          <t>2083-09-10</t>
        </is>
      </c>
    </row>
    <row r="67135">
      <c r="A67135" s="1" t="n">
        <v>67134</v>
      </c>
      <c r="B67135">
        <f>TEXT(67134, "[$-0E0000]yyyy-mm-dd")</f>
        <v/>
      </c>
      <c r="C67135" t="inlineStr">
        <is>
          <t>2083-09-11</t>
        </is>
      </c>
    </row>
    <row r="67136">
      <c r="A67136" s="1" t="n">
        <v>67135</v>
      </c>
      <c r="B67136">
        <f>TEXT(67135, "[$-0E0000]yyyy-mm-dd")</f>
        <v/>
      </c>
      <c r="C67136" t="inlineStr">
        <is>
          <t>2083-09-12</t>
        </is>
      </c>
    </row>
    <row r="67137">
      <c r="A67137" s="1" t="n">
        <v>67136</v>
      </c>
      <c r="B67137">
        <f>TEXT(67136, "[$-0E0000]yyyy-mm-dd")</f>
        <v/>
      </c>
      <c r="C67137" t="inlineStr">
        <is>
          <t>2083-09-13</t>
        </is>
      </c>
    </row>
    <row r="67138">
      <c r="A67138" s="1" t="n">
        <v>67137</v>
      </c>
      <c r="B67138">
        <f>TEXT(67137, "[$-0E0000]yyyy-mm-dd")</f>
        <v/>
      </c>
      <c r="C67138" t="inlineStr">
        <is>
          <t>2083-09-14</t>
        </is>
      </c>
    </row>
    <row r="67139">
      <c r="A67139" s="1" t="n">
        <v>67138</v>
      </c>
      <c r="B67139">
        <f>TEXT(67138, "[$-0E0000]yyyy-mm-dd")</f>
        <v/>
      </c>
      <c r="C67139" t="inlineStr">
        <is>
          <t>2083-09-15</t>
        </is>
      </c>
    </row>
    <row r="67140">
      <c r="A67140" s="1" t="n">
        <v>67139</v>
      </c>
      <c r="B67140">
        <f>TEXT(67139, "[$-0E0000]yyyy-mm-dd")</f>
        <v/>
      </c>
      <c r="C67140" t="inlineStr">
        <is>
          <t>2083-09-16</t>
        </is>
      </c>
    </row>
    <row r="67141">
      <c r="A67141" s="1" t="n">
        <v>67140</v>
      </c>
      <c r="B67141">
        <f>TEXT(67140, "[$-0E0000]yyyy-mm-dd")</f>
        <v/>
      </c>
      <c r="C67141" t="inlineStr">
        <is>
          <t>2083-09-17</t>
        </is>
      </c>
    </row>
    <row r="67142">
      <c r="A67142" s="1" t="n">
        <v>67141</v>
      </c>
      <c r="B67142">
        <f>TEXT(67141, "[$-0E0000]yyyy-mm-dd")</f>
        <v/>
      </c>
      <c r="C67142" t="inlineStr">
        <is>
          <t>2083-09-18</t>
        </is>
      </c>
    </row>
    <row r="67143">
      <c r="A67143" s="1" t="n">
        <v>67142</v>
      </c>
      <c r="B67143">
        <f>TEXT(67142, "[$-0E0000]yyyy-mm-dd")</f>
        <v/>
      </c>
      <c r="C67143" t="inlineStr">
        <is>
          <t>2083-09-19</t>
        </is>
      </c>
    </row>
    <row r="67144">
      <c r="A67144" s="1" t="n">
        <v>67143</v>
      </c>
      <c r="B67144">
        <f>TEXT(67143, "[$-0E0000]yyyy-mm-dd")</f>
        <v/>
      </c>
      <c r="C67144" t="inlineStr">
        <is>
          <t>2083-09-20</t>
        </is>
      </c>
    </row>
    <row r="67145">
      <c r="A67145" s="1" t="n">
        <v>67144</v>
      </c>
      <c r="B67145">
        <f>TEXT(67144, "[$-0E0000]yyyy-mm-dd")</f>
        <v/>
      </c>
      <c r="C67145" t="inlineStr">
        <is>
          <t>2083-09-21</t>
        </is>
      </c>
    </row>
    <row r="67146">
      <c r="A67146" s="1" t="n">
        <v>67145</v>
      </c>
      <c r="B67146">
        <f>TEXT(67145, "[$-0E0000]yyyy-mm-dd")</f>
        <v/>
      </c>
      <c r="C67146" t="inlineStr">
        <is>
          <t>2083-09-22</t>
        </is>
      </c>
    </row>
    <row r="67147">
      <c r="A67147" s="1" t="n">
        <v>67146</v>
      </c>
      <c r="B67147">
        <f>TEXT(67146, "[$-0E0000]yyyy-mm-dd")</f>
        <v/>
      </c>
      <c r="C67147" t="inlineStr">
        <is>
          <t>2083-09-23</t>
        </is>
      </c>
    </row>
    <row r="67148">
      <c r="A67148" s="1" t="n">
        <v>67147</v>
      </c>
      <c r="B67148">
        <f>TEXT(67147, "[$-0E0000]yyyy-mm-dd")</f>
        <v/>
      </c>
      <c r="C67148" t="inlineStr">
        <is>
          <t>2083-09-24</t>
        </is>
      </c>
    </row>
    <row r="67149">
      <c r="A67149" s="1" t="n">
        <v>67148</v>
      </c>
      <c r="B67149">
        <f>TEXT(67148, "[$-0E0000]yyyy-mm-dd")</f>
        <v/>
      </c>
      <c r="C67149" t="inlineStr">
        <is>
          <t>2083-09-25</t>
        </is>
      </c>
    </row>
    <row r="67150">
      <c r="A67150" s="1" t="n">
        <v>67149</v>
      </c>
      <c r="B67150">
        <f>TEXT(67149, "[$-0E0000]yyyy-mm-dd")</f>
        <v/>
      </c>
      <c r="C67150" t="inlineStr">
        <is>
          <t>2083-09-26</t>
        </is>
      </c>
    </row>
    <row r="67151">
      <c r="A67151" s="1" t="n">
        <v>67150</v>
      </c>
      <c r="B67151">
        <f>TEXT(67150, "[$-0E0000]yyyy-mm-dd")</f>
        <v/>
      </c>
      <c r="C67151" t="inlineStr">
        <is>
          <t>2083-09-27</t>
        </is>
      </c>
    </row>
    <row r="67152">
      <c r="A67152" s="1" t="n">
        <v>67151</v>
      </c>
      <c r="B67152">
        <f>TEXT(67151, "[$-0E0000]yyyy-mm-dd")</f>
        <v/>
      </c>
      <c r="C67152" t="inlineStr">
        <is>
          <t>2083-09-28</t>
        </is>
      </c>
    </row>
    <row r="67153">
      <c r="A67153" s="1" t="n">
        <v>67152</v>
      </c>
      <c r="B67153">
        <f>TEXT(67152, "[$-0E0000]yyyy-mm-dd")</f>
        <v/>
      </c>
      <c r="C67153" t="inlineStr">
        <is>
          <t>2083-09-29</t>
        </is>
      </c>
    </row>
    <row r="67154">
      <c r="A67154" s="1" t="n">
        <v>67153</v>
      </c>
      <c r="B67154">
        <f>TEXT(67153, "[$-0E0000]yyyy-mm-dd")</f>
        <v/>
      </c>
      <c r="C67154" t="inlineStr">
        <is>
          <t>2083-09-30</t>
        </is>
      </c>
    </row>
    <row r="67155">
      <c r="A67155" s="1" t="n">
        <v>67154</v>
      </c>
      <c r="B67155">
        <f>TEXT(67154, "[$-0E0000]yyyy-mm-dd")</f>
        <v/>
      </c>
      <c r="C67155" t="inlineStr">
        <is>
          <t>2083-10-01</t>
        </is>
      </c>
    </row>
    <row r="67156">
      <c r="A67156" s="1" t="n">
        <v>67155</v>
      </c>
      <c r="B67156">
        <f>TEXT(67155, "[$-0E0000]yyyy-mm-dd")</f>
        <v/>
      </c>
      <c r="C67156" t="inlineStr">
        <is>
          <t>2083-10-02</t>
        </is>
      </c>
    </row>
    <row r="67157">
      <c r="A67157" s="1" t="n">
        <v>67156</v>
      </c>
      <c r="B67157">
        <f>TEXT(67156, "[$-0E0000]yyyy-mm-dd")</f>
        <v/>
      </c>
      <c r="C67157" t="inlineStr">
        <is>
          <t>2083-10-03</t>
        </is>
      </c>
    </row>
    <row r="67158">
      <c r="A67158" s="1" t="n">
        <v>67157</v>
      </c>
      <c r="B67158">
        <f>TEXT(67157, "[$-0E0000]yyyy-mm-dd")</f>
        <v/>
      </c>
      <c r="C67158" t="inlineStr">
        <is>
          <t>2083-10-04</t>
        </is>
      </c>
    </row>
    <row r="67159">
      <c r="A67159" s="1" t="n">
        <v>67158</v>
      </c>
      <c r="B67159">
        <f>TEXT(67158, "[$-0E0000]yyyy-mm-dd")</f>
        <v/>
      </c>
      <c r="C67159" t="inlineStr">
        <is>
          <t>2083-10-05</t>
        </is>
      </c>
    </row>
    <row r="67160">
      <c r="A67160" s="1" t="n">
        <v>67159</v>
      </c>
      <c r="B67160">
        <f>TEXT(67159, "[$-0E0000]yyyy-mm-dd")</f>
        <v/>
      </c>
      <c r="C67160" t="inlineStr">
        <is>
          <t>2083-10-06</t>
        </is>
      </c>
    </row>
    <row r="67161">
      <c r="A67161" s="1" t="n">
        <v>67160</v>
      </c>
      <c r="B67161">
        <f>TEXT(67160, "[$-0E0000]yyyy-mm-dd")</f>
        <v/>
      </c>
      <c r="C67161" t="inlineStr">
        <is>
          <t>2083-10-07</t>
        </is>
      </c>
    </row>
    <row r="67162">
      <c r="A67162" s="1" t="n">
        <v>67161</v>
      </c>
      <c r="B67162">
        <f>TEXT(67161, "[$-0E0000]yyyy-mm-dd")</f>
        <v/>
      </c>
      <c r="C67162" t="inlineStr">
        <is>
          <t>2083-10-08</t>
        </is>
      </c>
    </row>
    <row r="67163">
      <c r="A67163" s="1" t="n">
        <v>67162</v>
      </c>
      <c r="B67163">
        <f>TEXT(67162, "[$-0E0000]yyyy-mm-dd")</f>
        <v/>
      </c>
      <c r="C67163" t="inlineStr">
        <is>
          <t>2083-10-09</t>
        </is>
      </c>
    </row>
    <row r="67164">
      <c r="A67164" s="1" t="n">
        <v>67163</v>
      </c>
      <c r="B67164">
        <f>TEXT(67163, "[$-0E0000]yyyy-mm-dd")</f>
        <v/>
      </c>
      <c r="C67164" t="inlineStr">
        <is>
          <t>2083-10-10</t>
        </is>
      </c>
    </row>
    <row r="67165">
      <c r="A67165" s="1" t="n">
        <v>67164</v>
      </c>
      <c r="B67165">
        <f>TEXT(67164, "[$-0E0000]yyyy-mm-dd")</f>
        <v/>
      </c>
      <c r="C67165" t="inlineStr">
        <is>
          <t>2083-10-11</t>
        </is>
      </c>
    </row>
    <row r="67166">
      <c r="A67166" s="1" t="n">
        <v>67165</v>
      </c>
      <c r="B67166">
        <f>TEXT(67165, "[$-0E0000]yyyy-mm-dd")</f>
        <v/>
      </c>
      <c r="C67166" t="inlineStr">
        <is>
          <t>2083-10-12</t>
        </is>
      </c>
    </row>
    <row r="67167">
      <c r="A67167" s="1" t="n">
        <v>67166</v>
      </c>
      <c r="B67167">
        <f>TEXT(67166, "[$-0E0000]yyyy-mm-dd")</f>
        <v/>
      </c>
      <c r="C67167" t="inlineStr">
        <is>
          <t>2083-10-13</t>
        </is>
      </c>
    </row>
    <row r="67168">
      <c r="A67168" s="1" t="n">
        <v>67167</v>
      </c>
      <c r="B67168">
        <f>TEXT(67167, "[$-0E0000]yyyy-mm-dd")</f>
        <v/>
      </c>
      <c r="C67168" t="inlineStr">
        <is>
          <t>2083-10-14</t>
        </is>
      </c>
    </row>
    <row r="67169">
      <c r="A67169" s="1" t="n">
        <v>67168</v>
      </c>
      <c r="B67169">
        <f>TEXT(67168, "[$-0E0000]yyyy-mm-dd")</f>
        <v/>
      </c>
      <c r="C67169" t="inlineStr">
        <is>
          <t>2083-10-15</t>
        </is>
      </c>
    </row>
    <row r="67170">
      <c r="A67170" s="1" t="n">
        <v>67169</v>
      </c>
      <c r="B67170">
        <f>TEXT(67169, "[$-0E0000]yyyy-mm-dd")</f>
        <v/>
      </c>
      <c r="C67170" t="inlineStr">
        <is>
          <t>2083-10-16</t>
        </is>
      </c>
    </row>
    <row r="67171">
      <c r="A67171" s="1" t="n">
        <v>67170</v>
      </c>
      <c r="B67171">
        <f>TEXT(67170, "[$-0E0000]yyyy-mm-dd")</f>
        <v/>
      </c>
      <c r="C67171" t="inlineStr">
        <is>
          <t>2083-10-17</t>
        </is>
      </c>
    </row>
    <row r="67172">
      <c r="A67172" s="1" t="n">
        <v>67171</v>
      </c>
      <c r="B67172">
        <f>TEXT(67171, "[$-0E0000]yyyy-mm-dd")</f>
        <v/>
      </c>
      <c r="C67172" t="inlineStr">
        <is>
          <t>2083-10-18</t>
        </is>
      </c>
    </row>
    <row r="67173">
      <c r="A67173" s="1" t="n">
        <v>67172</v>
      </c>
      <c r="B67173">
        <f>TEXT(67172, "[$-0E0000]yyyy-mm-dd")</f>
        <v/>
      </c>
      <c r="C67173" t="inlineStr">
        <is>
          <t>2083-10-19</t>
        </is>
      </c>
    </row>
    <row r="67174">
      <c r="A67174" s="1" t="n">
        <v>67173</v>
      </c>
      <c r="B67174">
        <f>TEXT(67173, "[$-0E0000]yyyy-mm-dd")</f>
        <v/>
      </c>
      <c r="C67174" t="inlineStr">
        <is>
          <t>2083-10-20</t>
        </is>
      </c>
    </row>
    <row r="67175">
      <c r="A67175" s="1" t="n">
        <v>67174</v>
      </c>
      <c r="B67175">
        <f>TEXT(67174, "[$-0E0000]yyyy-mm-dd")</f>
        <v/>
      </c>
      <c r="C67175" t="inlineStr">
        <is>
          <t>2083-10-21</t>
        </is>
      </c>
    </row>
    <row r="67176">
      <c r="A67176" s="1" t="n">
        <v>67175</v>
      </c>
      <c r="B67176">
        <f>TEXT(67175, "[$-0E0000]yyyy-mm-dd")</f>
        <v/>
      </c>
      <c r="C67176" t="inlineStr">
        <is>
          <t>2083-10-22</t>
        </is>
      </c>
    </row>
    <row r="67177">
      <c r="A67177" s="1" t="n">
        <v>67176</v>
      </c>
      <c r="B67177">
        <f>TEXT(67176, "[$-0E0000]yyyy-mm-dd")</f>
        <v/>
      </c>
      <c r="C67177" t="inlineStr">
        <is>
          <t>2083-10-23</t>
        </is>
      </c>
    </row>
    <row r="67178">
      <c r="A67178" s="1" t="n">
        <v>67177</v>
      </c>
      <c r="B67178">
        <f>TEXT(67177, "[$-0E0000]yyyy-mm-dd")</f>
        <v/>
      </c>
      <c r="C67178" t="inlineStr">
        <is>
          <t>2083-10-24</t>
        </is>
      </c>
    </row>
    <row r="67179">
      <c r="A67179" s="1" t="n">
        <v>67178</v>
      </c>
      <c r="B67179">
        <f>TEXT(67178, "[$-0E0000]yyyy-mm-dd")</f>
        <v/>
      </c>
      <c r="C67179" t="inlineStr">
        <is>
          <t>2083-10-25</t>
        </is>
      </c>
    </row>
    <row r="67180">
      <c r="A67180" s="1" t="n">
        <v>67179</v>
      </c>
      <c r="B67180">
        <f>TEXT(67179, "[$-0E0000]yyyy-mm-dd")</f>
        <v/>
      </c>
      <c r="C67180" t="inlineStr">
        <is>
          <t>2083-10-26</t>
        </is>
      </c>
    </row>
    <row r="67181">
      <c r="A67181" s="1" t="n">
        <v>67180</v>
      </c>
      <c r="B67181">
        <f>TEXT(67180, "[$-0E0000]yyyy-mm-dd")</f>
        <v/>
      </c>
      <c r="C67181" t="inlineStr">
        <is>
          <t>2083-10-27</t>
        </is>
      </c>
    </row>
    <row r="67182">
      <c r="A67182" s="1" t="n">
        <v>67181</v>
      </c>
      <c r="B67182">
        <f>TEXT(67181, "[$-0E0000]yyyy-mm-dd")</f>
        <v/>
      </c>
      <c r="C67182" t="inlineStr">
        <is>
          <t>2083-10-28</t>
        </is>
      </c>
    </row>
    <row r="67183">
      <c r="A67183" s="1" t="n">
        <v>67182</v>
      </c>
      <c r="B67183">
        <f>TEXT(67182, "[$-0E0000]yyyy-mm-dd")</f>
        <v/>
      </c>
      <c r="C67183" t="inlineStr">
        <is>
          <t>2083-10-29</t>
        </is>
      </c>
    </row>
    <row r="67184">
      <c r="A67184" s="1" t="n">
        <v>67183</v>
      </c>
      <c r="B67184">
        <f>TEXT(67183, "[$-0E0000]yyyy-mm-dd")</f>
        <v/>
      </c>
      <c r="C67184" t="inlineStr">
        <is>
          <t>2083-11-01</t>
        </is>
      </c>
    </row>
    <row r="67185">
      <c r="A67185" s="1" t="n">
        <v>67184</v>
      </c>
      <c r="B67185">
        <f>TEXT(67184, "[$-0E0000]yyyy-mm-dd")</f>
        <v/>
      </c>
      <c r="C67185" t="inlineStr">
        <is>
          <t>2083-11-02</t>
        </is>
      </c>
    </row>
    <row r="67186">
      <c r="A67186" s="1" t="n">
        <v>67185</v>
      </c>
      <c r="B67186">
        <f>TEXT(67185, "[$-0E0000]yyyy-mm-dd")</f>
        <v/>
      </c>
      <c r="C67186" t="inlineStr">
        <is>
          <t>2083-11-03</t>
        </is>
      </c>
    </row>
    <row r="67187">
      <c r="A67187" s="1" t="n">
        <v>67186</v>
      </c>
      <c r="B67187">
        <f>TEXT(67186, "[$-0E0000]yyyy-mm-dd")</f>
        <v/>
      </c>
      <c r="C67187" t="inlineStr">
        <is>
          <t>2083-11-04</t>
        </is>
      </c>
    </row>
    <row r="67188">
      <c r="A67188" s="1" t="n">
        <v>67187</v>
      </c>
      <c r="B67188">
        <f>TEXT(67187, "[$-0E0000]yyyy-mm-dd")</f>
        <v/>
      </c>
      <c r="C67188" t="inlineStr">
        <is>
          <t>2083-11-05</t>
        </is>
      </c>
    </row>
    <row r="67189">
      <c r="A67189" s="1" t="n">
        <v>67188</v>
      </c>
      <c r="B67189">
        <f>TEXT(67188, "[$-0E0000]yyyy-mm-dd")</f>
        <v/>
      </c>
      <c r="C67189" t="inlineStr">
        <is>
          <t>2083-11-06</t>
        </is>
      </c>
    </row>
    <row r="67190">
      <c r="A67190" s="1" t="n">
        <v>67189</v>
      </c>
      <c r="B67190">
        <f>TEXT(67189, "[$-0E0000]yyyy-mm-dd")</f>
        <v/>
      </c>
      <c r="C67190" t="inlineStr">
        <is>
          <t>2083-11-07</t>
        </is>
      </c>
    </row>
    <row r="67191">
      <c r="A67191" s="1" t="n">
        <v>67190</v>
      </c>
      <c r="B67191">
        <f>TEXT(67190, "[$-0E0000]yyyy-mm-dd")</f>
        <v/>
      </c>
      <c r="C67191" t="inlineStr">
        <is>
          <t>2083-11-08</t>
        </is>
      </c>
    </row>
    <row r="67192">
      <c r="A67192" s="1" t="n">
        <v>67191</v>
      </c>
      <c r="B67192">
        <f>TEXT(67191, "[$-0E0000]yyyy-mm-dd")</f>
        <v/>
      </c>
      <c r="C67192" t="inlineStr">
        <is>
          <t>2083-11-09</t>
        </is>
      </c>
    </row>
    <row r="67193">
      <c r="A67193" s="1" t="n">
        <v>67192</v>
      </c>
      <c r="B67193">
        <f>TEXT(67192, "[$-0E0000]yyyy-mm-dd")</f>
        <v/>
      </c>
      <c r="C67193" t="inlineStr">
        <is>
          <t>2083-11-10</t>
        </is>
      </c>
    </row>
    <row r="67194">
      <c r="A67194" s="1" t="n">
        <v>67193</v>
      </c>
      <c r="B67194">
        <f>TEXT(67193, "[$-0E0000]yyyy-mm-dd")</f>
        <v/>
      </c>
      <c r="C67194" t="inlineStr">
        <is>
          <t>2083-11-11</t>
        </is>
      </c>
    </row>
    <row r="67195">
      <c r="A67195" s="1" t="n">
        <v>67194</v>
      </c>
      <c r="B67195">
        <f>TEXT(67194, "[$-0E0000]yyyy-mm-dd")</f>
        <v/>
      </c>
      <c r="C67195" t="inlineStr">
        <is>
          <t>2083-11-12</t>
        </is>
      </c>
    </row>
    <row r="67196">
      <c r="A67196" s="1" t="n">
        <v>67195</v>
      </c>
      <c r="B67196">
        <f>TEXT(67195, "[$-0E0000]yyyy-mm-dd")</f>
        <v/>
      </c>
      <c r="C67196" t="inlineStr">
        <is>
          <t>2083-11-13</t>
        </is>
      </c>
    </row>
    <row r="67197">
      <c r="A67197" s="1" t="n">
        <v>67196</v>
      </c>
      <c r="B67197">
        <f>TEXT(67196, "[$-0E0000]yyyy-mm-dd")</f>
        <v/>
      </c>
      <c r="C67197" t="inlineStr">
        <is>
          <t>2083-11-14</t>
        </is>
      </c>
    </row>
    <row r="67198">
      <c r="A67198" s="1" t="n">
        <v>67197</v>
      </c>
      <c r="B67198">
        <f>TEXT(67197, "[$-0E0000]yyyy-mm-dd")</f>
        <v/>
      </c>
      <c r="C67198" t="inlineStr">
        <is>
          <t>2083-11-15</t>
        </is>
      </c>
    </row>
    <row r="67199">
      <c r="A67199" s="1" t="n">
        <v>67198</v>
      </c>
      <c r="B67199">
        <f>TEXT(67198, "[$-0E0000]yyyy-mm-dd")</f>
        <v/>
      </c>
      <c r="C67199" t="inlineStr">
        <is>
          <t>2083-11-16</t>
        </is>
      </c>
    </row>
    <row r="67200">
      <c r="A67200" s="1" t="n">
        <v>67199</v>
      </c>
      <c r="B67200">
        <f>TEXT(67199, "[$-0E0000]yyyy-mm-dd")</f>
        <v/>
      </c>
      <c r="C67200" t="inlineStr">
        <is>
          <t>2083-11-17</t>
        </is>
      </c>
    </row>
    <row r="67201">
      <c r="A67201" s="1" t="n">
        <v>67200</v>
      </c>
      <c r="B67201">
        <f>TEXT(67200, "[$-0E0000]yyyy-mm-dd")</f>
        <v/>
      </c>
      <c r="C67201" t="inlineStr">
        <is>
          <t>2083-11-18</t>
        </is>
      </c>
    </row>
    <row r="67202">
      <c r="A67202" s="1" t="n">
        <v>67201</v>
      </c>
      <c r="B67202">
        <f>TEXT(67201, "[$-0E0000]yyyy-mm-dd")</f>
        <v/>
      </c>
      <c r="C67202" t="inlineStr">
        <is>
          <t>2083-11-19</t>
        </is>
      </c>
    </row>
    <row r="67203">
      <c r="A67203" s="1" t="n">
        <v>67202</v>
      </c>
      <c r="B67203">
        <f>TEXT(67202, "[$-0E0000]yyyy-mm-dd")</f>
        <v/>
      </c>
      <c r="C67203" t="inlineStr">
        <is>
          <t>2083-11-20</t>
        </is>
      </c>
    </row>
    <row r="67204">
      <c r="A67204" s="1" t="n">
        <v>67203</v>
      </c>
      <c r="B67204">
        <f>TEXT(67203, "[$-0E0000]yyyy-mm-dd")</f>
        <v/>
      </c>
      <c r="C67204" t="inlineStr">
        <is>
          <t>2083-11-21</t>
        </is>
      </c>
    </row>
    <row r="67205">
      <c r="A67205" s="1" t="n">
        <v>67204</v>
      </c>
      <c r="B67205">
        <f>TEXT(67204, "[$-0E0000]yyyy-mm-dd")</f>
        <v/>
      </c>
      <c r="C67205" t="inlineStr">
        <is>
          <t>2083-11-22</t>
        </is>
      </c>
    </row>
    <row r="67206">
      <c r="A67206" s="1" t="n">
        <v>67205</v>
      </c>
      <c r="B67206">
        <f>TEXT(67205, "[$-0E0000]yyyy-mm-dd")</f>
        <v/>
      </c>
      <c r="C67206" t="inlineStr">
        <is>
          <t>2083-11-23</t>
        </is>
      </c>
    </row>
    <row r="67207">
      <c r="A67207" s="1" t="n">
        <v>67206</v>
      </c>
      <c r="B67207">
        <f>TEXT(67206, "[$-0E0000]yyyy-mm-dd")</f>
        <v/>
      </c>
      <c r="C67207" t="inlineStr">
        <is>
          <t>2083-11-24</t>
        </is>
      </c>
    </row>
    <row r="67208">
      <c r="A67208" s="1" t="n">
        <v>67207</v>
      </c>
      <c r="B67208">
        <f>TEXT(67207, "[$-0E0000]yyyy-mm-dd")</f>
        <v/>
      </c>
      <c r="C67208" t="inlineStr">
        <is>
          <t>2083-11-25</t>
        </is>
      </c>
    </row>
    <row r="67209">
      <c r="A67209" s="1" t="n">
        <v>67208</v>
      </c>
      <c r="B67209">
        <f>TEXT(67208, "[$-0E0000]yyyy-mm-dd")</f>
        <v/>
      </c>
      <c r="C67209" t="inlineStr">
        <is>
          <t>2083-11-26</t>
        </is>
      </c>
    </row>
    <row r="67210">
      <c r="A67210" s="1" t="n">
        <v>67209</v>
      </c>
      <c r="B67210">
        <f>TEXT(67209, "[$-0E0000]yyyy-mm-dd")</f>
        <v/>
      </c>
      <c r="C67210" t="inlineStr">
        <is>
          <t>2083-11-27</t>
        </is>
      </c>
    </row>
    <row r="67211">
      <c r="A67211" s="1" t="n">
        <v>67210</v>
      </c>
      <c r="B67211">
        <f>TEXT(67210, "[$-0E0000]yyyy-mm-dd")</f>
        <v/>
      </c>
      <c r="C67211" t="inlineStr">
        <is>
          <t>2083-11-28</t>
        </is>
      </c>
    </row>
    <row r="67212">
      <c r="A67212" s="1" t="n">
        <v>67211</v>
      </c>
      <c r="B67212">
        <f>TEXT(67211, "[$-0E0000]yyyy-mm-dd")</f>
        <v/>
      </c>
      <c r="C67212" t="inlineStr">
        <is>
          <t>2083-11-29</t>
        </is>
      </c>
    </row>
    <row r="67213">
      <c r="A67213" s="1" t="n">
        <v>67212</v>
      </c>
      <c r="B67213">
        <f>TEXT(67212, "[$-0E0000]yyyy-mm-dd")</f>
        <v/>
      </c>
      <c r="C67213" t="inlineStr">
        <is>
          <t>2083-11-30</t>
        </is>
      </c>
    </row>
    <row r="67214">
      <c r="A67214" s="1" t="n">
        <v>67213</v>
      </c>
      <c r="B67214">
        <f>TEXT(67213, "[$-0E0000]yyyy-mm-dd")</f>
        <v/>
      </c>
      <c r="C67214" t="inlineStr">
        <is>
          <t>2083-12-01</t>
        </is>
      </c>
    </row>
    <row r="67215">
      <c r="A67215" s="1" t="n">
        <v>67214</v>
      </c>
      <c r="B67215">
        <f>TEXT(67214, "[$-0E0000]yyyy-mm-dd")</f>
        <v/>
      </c>
      <c r="C67215" t="inlineStr">
        <is>
          <t>2083-12-02</t>
        </is>
      </c>
    </row>
    <row r="67216">
      <c r="A67216" s="1" t="n">
        <v>67215</v>
      </c>
      <c r="B67216">
        <f>TEXT(67215, "[$-0E0000]yyyy-mm-dd")</f>
        <v/>
      </c>
      <c r="C67216" t="inlineStr">
        <is>
          <t>2083-12-03</t>
        </is>
      </c>
    </row>
    <row r="67217">
      <c r="A67217" s="1" t="n">
        <v>67216</v>
      </c>
      <c r="B67217">
        <f>TEXT(67216, "[$-0E0000]yyyy-mm-dd")</f>
        <v/>
      </c>
      <c r="C67217" t="inlineStr">
        <is>
          <t>2083-12-04</t>
        </is>
      </c>
    </row>
    <row r="67218">
      <c r="A67218" s="1" t="n">
        <v>67217</v>
      </c>
      <c r="B67218">
        <f>TEXT(67217, "[$-0E0000]yyyy-mm-dd")</f>
        <v/>
      </c>
      <c r="C67218" t="inlineStr">
        <is>
          <t>2083-12-05</t>
        </is>
      </c>
    </row>
    <row r="67219">
      <c r="A67219" s="1" t="n">
        <v>67218</v>
      </c>
      <c r="B67219">
        <f>TEXT(67218, "[$-0E0000]yyyy-mm-dd")</f>
        <v/>
      </c>
      <c r="C67219" t="inlineStr">
        <is>
          <t>2083-12-06</t>
        </is>
      </c>
    </row>
    <row r="67220">
      <c r="A67220" s="1" t="n">
        <v>67219</v>
      </c>
      <c r="B67220">
        <f>TEXT(67219, "[$-0E0000]yyyy-mm-dd")</f>
        <v/>
      </c>
      <c r="C67220" t="inlineStr">
        <is>
          <t>2083-12-07</t>
        </is>
      </c>
    </row>
    <row r="67221">
      <c r="A67221" s="1" t="n">
        <v>67220</v>
      </c>
      <c r="B67221">
        <f>TEXT(67220, "[$-0E0000]yyyy-mm-dd")</f>
        <v/>
      </c>
      <c r="C67221" t="inlineStr">
        <is>
          <t>2083-12-08</t>
        </is>
      </c>
    </row>
    <row r="67222">
      <c r="A67222" s="1" t="n">
        <v>67221</v>
      </c>
      <c r="B67222">
        <f>TEXT(67221, "[$-0E0000]yyyy-mm-dd")</f>
        <v/>
      </c>
      <c r="C67222" t="inlineStr">
        <is>
          <t>2083-12-09</t>
        </is>
      </c>
    </row>
    <row r="67223">
      <c r="A67223" s="1" t="n">
        <v>67222</v>
      </c>
      <c r="B67223">
        <f>TEXT(67222, "[$-0E0000]yyyy-mm-dd")</f>
        <v/>
      </c>
      <c r="C67223" t="inlineStr">
        <is>
          <t>2083-12-10</t>
        </is>
      </c>
    </row>
    <row r="67224">
      <c r="A67224" s="1" t="n">
        <v>67223</v>
      </c>
      <c r="B67224">
        <f>TEXT(67223, "[$-0E0000]yyyy-mm-dd")</f>
        <v/>
      </c>
      <c r="C67224" t="inlineStr">
        <is>
          <t>2083-12-11</t>
        </is>
      </c>
    </row>
    <row r="67225">
      <c r="A67225" s="1" t="n">
        <v>67224</v>
      </c>
      <c r="B67225">
        <f>TEXT(67224, "[$-0E0000]yyyy-mm-dd")</f>
        <v/>
      </c>
      <c r="C67225" t="inlineStr">
        <is>
          <t>2083-12-12</t>
        </is>
      </c>
    </row>
    <row r="67226">
      <c r="A67226" s="1" t="n">
        <v>67225</v>
      </c>
      <c r="B67226">
        <f>TEXT(67225, "[$-0E0000]yyyy-mm-dd")</f>
        <v/>
      </c>
      <c r="C67226" t="inlineStr">
        <is>
          <t>2083-12-13</t>
        </is>
      </c>
    </row>
    <row r="67227">
      <c r="A67227" s="1" t="n">
        <v>67226</v>
      </c>
      <c r="B67227">
        <f>TEXT(67226, "[$-0E0000]yyyy-mm-dd")</f>
        <v/>
      </c>
      <c r="C67227" t="inlineStr">
        <is>
          <t>2083-12-14</t>
        </is>
      </c>
    </row>
    <row r="67228">
      <c r="A67228" s="1" t="n">
        <v>67227</v>
      </c>
      <c r="B67228">
        <f>TEXT(67227, "[$-0E0000]yyyy-mm-dd")</f>
        <v/>
      </c>
      <c r="C67228" t="inlineStr">
        <is>
          <t>2083-12-15</t>
        </is>
      </c>
    </row>
    <row r="67229">
      <c r="A67229" s="1" t="n">
        <v>67228</v>
      </c>
      <c r="B67229">
        <f>TEXT(67228, "[$-0E0000]yyyy-mm-dd")</f>
        <v/>
      </c>
      <c r="C67229" t="inlineStr">
        <is>
          <t>2083-12-16</t>
        </is>
      </c>
    </row>
    <row r="67230">
      <c r="A67230" s="1" t="n">
        <v>67229</v>
      </c>
      <c r="B67230">
        <f>TEXT(67229, "[$-0E0000]yyyy-mm-dd")</f>
        <v/>
      </c>
      <c r="C67230" t="inlineStr">
        <is>
          <t>2083-12-17</t>
        </is>
      </c>
    </row>
    <row r="67231">
      <c r="A67231" s="1" t="n">
        <v>67230</v>
      </c>
      <c r="B67231">
        <f>TEXT(67230, "[$-0E0000]yyyy-mm-dd")</f>
        <v/>
      </c>
      <c r="C67231" t="inlineStr">
        <is>
          <t>2083-12-18</t>
        </is>
      </c>
    </row>
    <row r="67232">
      <c r="A67232" s="1" t="n">
        <v>67231</v>
      </c>
      <c r="B67232">
        <f>TEXT(67231, "[$-0E0000]yyyy-mm-dd")</f>
        <v/>
      </c>
      <c r="C67232" t="inlineStr">
        <is>
          <t>2083-12-19</t>
        </is>
      </c>
    </row>
    <row r="67233">
      <c r="A67233" s="1" t="n">
        <v>67232</v>
      </c>
      <c r="B67233">
        <f>TEXT(67232, "[$-0E0000]yyyy-mm-dd")</f>
        <v/>
      </c>
      <c r="C67233" t="inlineStr">
        <is>
          <t>2083-12-20</t>
        </is>
      </c>
    </row>
    <row r="67234">
      <c r="A67234" s="1" t="n">
        <v>67233</v>
      </c>
      <c r="B67234">
        <f>TEXT(67233, "[$-0E0000]yyyy-mm-dd")</f>
        <v/>
      </c>
      <c r="C67234" t="inlineStr">
        <is>
          <t>2083-12-21</t>
        </is>
      </c>
    </row>
    <row r="67235">
      <c r="A67235" s="1" t="n">
        <v>67234</v>
      </c>
      <c r="B67235">
        <f>TEXT(67234, "[$-0E0000]yyyy-mm-dd")</f>
        <v/>
      </c>
      <c r="C67235" t="inlineStr">
        <is>
          <t>2083-12-22</t>
        </is>
      </c>
    </row>
    <row r="67236">
      <c r="A67236" s="1" t="n">
        <v>67235</v>
      </c>
      <c r="B67236">
        <f>TEXT(67235, "[$-0E0000]yyyy-mm-dd")</f>
        <v/>
      </c>
      <c r="C67236" t="inlineStr">
        <is>
          <t>2083-12-23</t>
        </is>
      </c>
    </row>
    <row r="67237">
      <c r="A67237" s="1" t="n">
        <v>67236</v>
      </c>
      <c r="B67237">
        <f>TEXT(67236, "[$-0E0000]yyyy-mm-dd")</f>
        <v/>
      </c>
      <c r="C67237" t="inlineStr">
        <is>
          <t>2083-12-24</t>
        </is>
      </c>
    </row>
    <row r="67238">
      <c r="A67238" s="1" t="n">
        <v>67237</v>
      </c>
      <c r="B67238">
        <f>TEXT(67237, "[$-0E0000]yyyy-mm-dd")</f>
        <v/>
      </c>
      <c r="C67238" t="inlineStr">
        <is>
          <t>2083-12-25</t>
        </is>
      </c>
    </row>
    <row r="67239">
      <c r="A67239" s="1" t="n">
        <v>67238</v>
      </c>
      <c r="B67239">
        <f>TEXT(67238, "[$-0E0000]yyyy-mm-dd")</f>
        <v/>
      </c>
      <c r="C67239" t="inlineStr">
        <is>
          <t>2083-12-26</t>
        </is>
      </c>
    </row>
    <row r="67240">
      <c r="A67240" s="1" t="n">
        <v>67239</v>
      </c>
      <c r="B67240">
        <f>TEXT(67239, "[$-0E0000]yyyy-mm-dd")</f>
        <v/>
      </c>
      <c r="C67240" t="inlineStr">
        <is>
          <t>2083-12-27</t>
        </is>
      </c>
    </row>
    <row r="67241">
      <c r="A67241" s="1" t="n">
        <v>67240</v>
      </c>
      <c r="B67241">
        <f>TEXT(67240, "[$-0E0000]yyyy-mm-dd")</f>
        <v/>
      </c>
      <c r="C67241" t="inlineStr">
        <is>
          <t>2083-12-28</t>
        </is>
      </c>
    </row>
    <row r="67242">
      <c r="A67242" s="1" t="n">
        <v>67241</v>
      </c>
      <c r="B67242">
        <f>TEXT(67241, "[$-0E0000]yyyy-mm-dd")</f>
        <v/>
      </c>
      <c r="C67242" t="inlineStr">
        <is>
          <t>2083-12-29</t>
        </is>
      </c>
    </row>
    <row r="67243">
      <c r="A67243" s="1" t="n">
        <v>67242</v>
      </c>
      <c r="B67243">
        <f>TEXT(67242, "[$-0E0000]yyyy-mm-dd")</f>
        <v/>
      </c>
      <c r="C67243" t="inlineStr">
        <is>
          <t>2084-01-01</t>
        </is>
      </c>
    </row>
    <row r="67244">
      <c r="A67244" s="1" t="n">
        <v>67243</v>
      </c>
      <c r="B67244">
        <f>TEXT(67243, "[$-0E0000]yyyy-mm-dd")</f>
        <v/>
      </c>
      <c r="C67244" t="inlineStr">
        <is>
          <t>2084-01-02</t>
        </is>
      </c>
    </row>
    <row r="67245">
      <c r="A67245" s="1" t="n">
        <v>67244</v>
      </c>
      <c r="B67245">
        <f>TEXT(67244, "[$-0E0000]yyyy-mm-dd")</f>
        <v/>
      </c>
      <c r="C67245" t="inlineStr">
        <is>
          <t>2084-01-03</t>
        </is>
      </c>
    </row>
    <row r="67246">
      <c r="A67246" s="1" t="n">
        <v>67245</v>
      </c>
      <c r="B67246">
        <f>TEXT(67245, "[$-0E0000]yyyy-mm-dd")</f>
        <v/>
      </c>
      <c r="C67246" t="inlineStr">
        <is>
          <t>2084-01-04</t>
        </is>
      </c>
    </row>
    <row r="67247">
      <c r="A67247" s="1" t="n">
        <v>67246</v>
      </c>
      <c r="B67247">
        <f>TEXT(67246, "[$-0E0000]yyyy-mm-dd")</f>
        <v/>
      </c>
      <c r="C67247" t="inlineStr">
        <is>
          <t>2084-01-05</t>
        </is>
      </c>
    </row>
    <row r="67248">
      <c r="A67248" s="1" t="n">
        <v>67247</v>
      </c>
      <c r="B67248">
        <f>TEXT(67247, "[$-0E0000]yyyy-mm-dd")</f>
        <v/>
      </c>
      <c r="C67248" t="inlineStr">
        <is>
          <t>2084-01-06</t>
        </is>
      </c>
    </row>
    <row r="67249">
      <c r="A67249" s="1" t="n">
        <v>67248</v>
      </c>
      <c r="B67249">
        <f>TEXT(67248, "[$-0E0000]yyyy-mm-dd")</f>
        <v/>
      </c>
      <c r="C67249" t="inlineStr">
        <is>
          <t>2084-01-07</t>
        </is>
      </c>
    </row>
    <row r="67250">
      <c r="A67250" s="1" t="n">
        <v>67249</v>
      </c>
      <c r="B67250">
        <f>TEXT(67249, "[$-0E0000]yyyy-mm-dd")</f>
        <v/>
      </c>
      <c r="C67250" t="inlineStr">
        <is>
          <t>2084-01-08</t>
        </is>
      </c>
    </row>
    <row r="67251">
      <c r="A67251" s="1" t="n">
        <v>67250</v>
      </c>
      <c r="B67251">
        <f>TEXT(67250, "[$-0E0000]yyyy-mm-dd")</f>
        <v/>
      </c>
      <c r="C67251" t="inlineStr">
        <is>
          <t>2084-01-09</t>
        </is>
      </c>
    </row>
    <row r="67252">
      <c r="A67252" s="1" t="n">
        <v>67251</v>
      </c>
      <c r="B67252">
        <f>TEXT(67251, "[$-0E0000]yyyy-mm-dd")</f>
        <v/>
      </c>
      <c r="C67252" t="inlineStr">
        <is>
          <t>2084-01-10</t>
        </is>
      </c>
    </row>
    <row r="67253">
      <c r="A67253" s="1" t="n">
        <v>67252</v>
      </c>
      <c r="B67253">
        <f>TEXT(67252, "[$-0E0000]yyyy-mm-dd")</f>
        <v/>
      </c>
      <c r="C67253" t="inlineStr">
        <is>
          <t>2084-01-11</t>
        </is>
      </c>
    </row>
    <row r="67254">
      <c r="A67254" s="1" t="n">
        <v>67253</v>
      </c>
      <c r="B67254">
        <f>TEXT(67253, "[$-0E0000]yyyy-mm-dd")</f>
        <v/>
      </c>
      <c r="C67254" t="inlineStr">
        <is>
          <t>2084-01-12</t>
        </is>
      </c>
    </row>
    <row r="67255">
      <c r="A67255" s="1" t="n">
        <v>67254</v>
      </c>
      <c r="B67255">
        <f>TEXT(67254, "[$-0E0000]yyyy-mm-dd")</f>
        <v/>
      </c>
      <c r="C67255" t="inlineStr">
        <is>
          <t>2084-01-13</t>
        </is>
      </c>
    </row>
    <row r="67256">
      <c r="A67256" s="1" t="n">
        <v>67255</v>
      </c>
      <c r="B67256">
        <f>TEXT(67255, "[$-0E0000]yyyy-mm-dd")</f>
        <v/>
      </c>
      <c r="C67256" t="inlineStr">
        <is>
          <t>2084-01-14</t>
        </is>
      </c>
    </row>
    <row r="67257">
      <c r="A67257" s="1" t="n">
        <v>67256</v>
      </c>
      <c r="B67257">
        <f>TEXT(67256, "[$-0E0000]yyyy-mm-dd")</f>
        <v/>
      </c>
      <c r="C67257" t="inlineStr">
        <is>
          <t>2084-01-15</t>
        </is>
      </c>
    </row>
    <row r="67258">
      <c r="A67258" s="1" t="n">
        <v>67257</v>
      </c>
      <c r="B67258">
        <f>TEXT(67257, "[$-0E0000]yyyy-mm-dd")</f>
        <v/>
      </c>
      <c r="C67258" t="inlineStr">
        <is>
          <t>2084-01-16</t>
        </is>
      </c>
    </row>
    <row r="67259">
      <c r="A67259" s="1" t="n">
        <v>67258</v>
      </c>
      <c r="B67259">
        <f>TEXT(67258, "[$-0E0000]yyyy-mm-dd")</f>
        <v/>
      </c>
      <c r="C67259" t="inlineStr">
        <is>
          <t>2084-01-17</t>
        </is>
      </c>
    </row>
    <row r="67260">
      <c r="A67260" s="1" t="n">
        <v>67259</v>
      </c>
      <c r="B67260">
        <f>TEXT(67259, "[$-0E0000]yyyy-mm-dd")</f>
        <v/>
      </c>
      <c r="C67260" t="inlineStr">
        <is>
          <t>2084-01-18</t>
        </is>
      </c>
    </row>
    <row r="67261">
      <c r="A67261" s="1" t="n">
        <v>67260</v>
      </c>
      <c r="B67261">
        <f>TEXT(67260, "[$-0E0000]yyyy-mm-dd")</f>
        <v/>
      </c>
      <c r="C67261" t="inlineStr">
        <is>
          <t>2084-01-19</t>
        </is>
      </c>
    </row>
    <row r="67262">
      <c r="A67262" s="1" t="n">
        <v>67261</v>
      </c>
      <c r="B67262">
        <f>TEXT(67261, "[$-0E0000]yyyy-mm-dd")</f>
        <v/>
      </c>
      <c r="C67262" t="inlineStr">
        <is>
          <t>2084-01-20</t>
        </is>
      </c>
    </row>
    <row r="67263">
      <c r="A67263" s="1" t="n">
        <v>67262</v>
      </c>
      <c r="B67263">
        <f>TEXT(67262, "[$-0E0000]yyyy-mm-dd")</f>
        <v/>
      </c>
      <c r="C67263" t="inlineStr">
        <is>
          <t>2084-01-21</t>
        </is>
      </c>
    </row>
    <row r="67264">
      <c r="A67264" s="1" t="n">
        <v>67263</v>
      </c>
      <c r="B67264">
        <f>TEXT(67263, "[$-0E0000]yyyy-mm-dd")</f>
        <v/>
      </c>
      <c r="C67264" t="inlineStr">
        <is>
          <t>2084-01-22</t>
        </is>
      </c>
    </row>
    <row r="67265">
      <c r="A67265" s="1" t="n">
        <v>67264</v>
      </c>
      <c r="B67265">
        <f>TEXT(67264, "[$-0E0000]yyyy-mm-dd")</f>
        <v/>
      </c>
      <c r="C67265" t="inlineStr">
        <is>
          <t>2084-01-23</t>
        </is>
      </c>
    </row>
    <row r="67266">
      <c r="A67266" s="1" t="n">
        <v>67265</v>
      </c>
      <c r="B67266">
        <f>TEXT(67265, "[$-0E0000]yyyy-mm-dd")</f>
        <v/>
      </c>
      <c r="C67266" t="inlineStr">
        <is>
          <t>2084-01-24</t>
        </is>
      </c>
    </row>
    <row r="67267">
      <c r="A67267" s="1" t="n">
        <v>67266</v>
      </c>
      <c r="B67267">
        <f>TEXT(67266, "[$-0E0000]yyyy-mm-dd")</f>
        <v/>
      </c>
      <c r="C67267" t="inlineStr">
        <is>
          <t>2084-01-25</t>
        </is>
      </c>
    </row>
    <row r="67268">
      <c r="A67268" s="1" t="n">
        <v>67267</v>
      </c>
      <c r="B67268">
        <f>TEXT(67267, "[$-0E0000]yyyy-mm-dd")</f>
        <v/>
      </c>
      <c r="C67268" t="inlineStr">
        <is>
          <t>2084-01-26</t>
        </is>
      </c>
    </row>
    <row r="67269">
      <c r="A67269" s="1" t="n">
        <v>67268</v>
      </c>
      <c r="B67269">
        <f>TEXT(67268, "[$-0E0000]yyyy-mm-dd")</f>
        <v/>
      </c>
      <c r="C67269" t="inlineStr">
        <is>
          <t>2084-01-27</t>
        </is>
      </c>
    </row>
    <row r="67270">
      <c r="A67270" s="1" t="n">
        <v>67269</v>
      </c>
      <c r="B67270">
        <f>TEXT(67269, "[$-0E0000]yyyy-mm-dd")</f>
        <v/>
      </c>
      <c r="C67270" t="inlineStr">
        <is>
          <t>2084-01-28</t>
        </is>
      </c>
    </row>
    <row r="67271">
      <c r="A67271" s="1" t="n">
        <v>67270</v>
      </c>
      <c r="B67271">
        <f>TEXT(67270, "[$-0E0000]yyyy-mm-dd")</f>
        <v/>
      </c>
      <c r="C67271" t="inlineStr">
        <is>
          <t>2084-01-29</t>
        </is>
      </c>
    </row>
    <row r="67272">
      <c r="A67272" s="1" t="n">
        <v>67271</v>
      </c>
      <c r="B67272">
        <f>TEXT(67271, "[$-0E0000]yyyy-mm-dd")</f>
        <v/>
      </c>
      <c r="C67272" t="inlineStr">
        <is>
          <t>2084-01-30</t>
        </is>
      </c>
    </row>
    <row r="67273">
      <c r="A67273" s="1" t="n">
        <v>67272</v>
      </c>
      <c r="B67273">
        <f>TEXT(67272, "[$-0E0000]yyyy-mm-dd")</f>
        <v/>
      </c>
      <c r="C67273" t="inlineStr">
        <is>
          <t>2084-02-01</t>
        </is>
      </c>
    </row>
    <row r="67274">
      <c r="A67274" s="1" t="n">
        <v>67273</v>
      </c>
      <c r="B67274">
        <f>TEXT(67273, "[$-0E0000]yyyy-mm-dd")</f>
        <v/>
      </c>
      <c r="C67274" t="inlineStr">
        <is>
          <t>2084-02-02</t>
        </is>
      </c>
    </row>
    <row r="67275">
      <c r="A67275" s="1" t="n">
        <v>67274</v>
      </c>
      <c r="B67275">
        <f>TEXT(67274, "[$-0E0000]yyyy-mm-dd")</f>
        <v/>
      </c>
      <c r="C67275" t="inlineStr">
        <is>
          <t>2084-02-03</t>
        </is>
      </c>
    </row>
    <row r="67276">
      <c r="A67276" s="1" t="n">
        <v>67275</v>
      </c>
      <c r="B67276">
        <f>TEXT(67275, "[$-0E0000]yyyy-mm-dd")</f>
        <v/>
      </c>
      <c r="C67276" t="inlineStr">
        <is>
          <t>2084-02-04</t>
        </is>
      </c>
    </row>
    <row r="67277">
      <c r="A67277" s="1" t="n">
        <v>67276</v>
      </c>
      <c r="B67277">
        <f>TEXT(67276, "[$-0E0000]yyyy-mm-dd")</f>
        <v/>
      </c>
      <c r="C67277" t="inlineStr">
        <is>
          <t>2084-02-05</t>
        </is>
      </c>
    </row>
    <row r="67278">
      <c r="A67278" s="1" t="n">
        <v>67277</v>
      </c>
      <c r="B67278">
        <f>TEXT(67277, "[$-0E0000]yyyy-mm-dd")</f>
        <v/>
      </c>
      <c r="C67278" t="inlineStr">
        <is>
          <t>2084-02-06</t>
        </is>
      </c>
    </row>
    <row r="67279">
      <c r="A67279" s="1" t="n">
        <v>67278</v>
      </c>
      <c r="B67279">
        <f>TEXT(67278, "[$-0E0000]yyyy-mm-dd")</f>
        <v/>
      </c>
      <c r="C67279" t="inlineStr">
        <is>
          <t>2084-02-07</t>
        </is>
      </c>
    </row>
    <row r="67280">
      <c r="A67280" s="1" t="n">
        <v>67279</v>
      </c>
      <c r="B67280">
        <f>TEXT(67279, "[$-0E0000]yyyy-mm-dd")</f>
        <v/>
      </c>
      <c r="C67280" t="inlineStr">
        <is>
          <t>2084-02-08</t>
        </is>
      </c>
    </row>
    <row r="67281">
      <c r="A67281" s="1" t="n">
        <v>67280</v>
      </c>
      <c r="B67281">
        <f>TEXT(67280, "[$-0E0000]yyyy-mm-dd")</f>
        <v/>
      </c>
      <c r="C67281" t="inlineStr">
        <is>
          <t>2084-02-09</t>
        </is>
      </c>
    </row>
    <row r="67282">
      <c r="A67282" s="1" t="n">
        <v>67281</v>
      </c>
      <c r="B67282">
        <f>TEXT(67281, "[$-0E0000]yyyy-mm-dd")</f>
        <v/>
      </c>
      <c r="C67282" t="inlineStr">
        <is>
          <t>2084-02-10</t>
        </is>
      </c>
    </row>
    <row r="67283">
      <c r="A67283" s="1" t="n">
        <v>67282</v>
      </c>
      <c r="B67283">
        <f>TEXT(67282, "[$-0E0000]yyyy-mm-dd")</f>
        <v/>
      </c>
      <c r="C67283" t="inlineStr">
        <is>
          <t>2084-02-11</t>
        </is>
      </c>
    </row>
    <row r="67284">
      <c r="A67284" s="1" t="n">
        <v>67283</v>
      </c>
      <c r="B67284">
        <f>TEXT(67283, "[$-0E0000]yyyy-mm-dd")</f>
        <v/>
      </c>
      <c r="C67284" t="inlineStr">
        <is>
          <t>2084-02-12</t>
        </is>
      </c>
    </row>
    <row r="67285">
      <c r="A67285" s="1" t="n">
        <v>67284</v>
      </c>
      <c r="B67285">
        <f>TEXT(67284, "[$-0E0000]yyyy-mm-dd")</f>
        <v/>
      </c>
      <c r="C67285" t="inlineStr">
        <is>
          <t>2084-02-13</t>
        </is>
      </c>
    </row>
    <row r="67286">
      <c r="A67286" s="1" t="n">
        <v>67285</v>
      </c>
      <c r="B67286">
        <f>TEXT(67285, "[$-0E0000]yyyy-mm-dd")</f>
        <v/>
      </c>
      <c r="C67286" t="inlineStr">
        <is>
          <t>2084-02-14</t>
        </is>
      </c>
    </row>
    <row r="67287">
      <c r="A67287" s="1" t="n">
        <v>67286</v>
      </c>
      <c r="B67287">
        <f>TEXT(67286, "[$-0E0000]yyyy-mm-dd")</f>
        <v/>
      </c>
      <c r="C67287" t="inlineStr">
        <is>
          <t>2084-02-15</t>
        </is>
      </c>
    </row>
    <row r="67288">
      <c r="A67288" s="1" t="n">
        <v>67287</v>
      </c>
      <c r="B67288">
        <f>TEXT(67287, "[$-0E0000]yyyy-mm-dd")</f>
        <v/>
      </c>
      <c r="C67288" t="inlineStr">
        <is>
          <t>2084-02-16</t>
        </is>
      </c>
    </row>
    <row r="67289">
      <c r="A67289" s="1" t="n">
        <v>67288</v>
      </c>
      <c r="B67289">
        <f>TEXT(67288, "[$-0E0000]yyyy-mm-dd")</f>
        <v/>
      </c>
      <c r="C67289" t="inlineStr">
        <is>
          <t>2084-02-17</t>
        </is>
      </c>
    </row>
    <row r="67290">
      <c r="A67290" s="1" t="n">
        <v>67289</v>
      </c>
      <c r="B67290">
        <f>TEXT(67289, "[$-0E0000]yyyy-mm-dd")</f>
        <v/>
      </c>
      <c r="C67290" t="inlineStr">
        <is>
          <t>2084-02-18</t>
        </is>
      </c>
    </row>
    <row r="67291">
      <c r="A67291" s="1" t="n">
        <v>67290</v>
      </c>
      <c r="B67291">
        <f>TEXT(67290, "[$-0E0000]yyyy-mm-dd")</f>
        <v/>
      </c>
      <c r="C67291" t="inlineStr">
        <is>
          <t>2084-02-19</t>
        </is>
      </c>
    </row>
    <row r="67292">
      <c r="A67292" s="1" t="n">
        <v>67291</v>
      </c>
      <c r="B67292">
        <f>TEXT(67291, "[$-0E0000]yyyy-mm-dd")</f>
        <v/>
      </c>
      <c r="C67292" t="inlineStr">
        <is>
          <t>2084-02-20</t>
        </is>
      </c>
    </row>
    <row r="67293">
      <c r="A67293" s="1" t="n">
        <v>67292</v>
      </c>
      <c r="B67293">
        <f>TEXT(67292, "[$-0E0000]yyyy-mm-dd")</f>
        <v/>
      </c>
      <c r="C67293" t="inlineStr">
        <is>
          <t>2084-02-21</t>
        </is>
      </c>
    </row>
    <row r="67294">
      <c r="A67294" s="1" t="n">
        <v>67293</v>
      </c>
      <c r="B67294">
        <f>TEXT(67293, "[$-0E0000]yyyy-mm-dd")</f>
        <v/>
      </c>
      <c r="C67294" t="inlineStr">
        <is>
          <t>2084-02-22</t>
        </is>
      </c>
    </row>
    <row r="67295">
      <c r="A67295" s="1" t="n">
        <v>67294</v>
      </c>
      <c r="B67295">
        <f>TEXT(67294, "[$-0E0000]yyyy-mm-dd")</f>
        <v/>
      </c>
      <c r="C67295" t="inlineStr">
        <is>
          <t>2084-02-23</t>
        </is>
      </c>
    </row>
    <row r="67296">
      <c r="A67296" s="1" t="n">
        <v>67295</v>
      </c>
      <c r="B67296">
        <f>TEXT(67295, "[$-0E0000]yyyy-mm-dd")</f>
        <v/>
      </c>
      <c r="C67296" t="inlineStr">
        <is>
          <t>2084-02-24</t>
        </is>
      </c>
    </row>
    <row r="67297">
      <c r="A67297" s="1" t="n">
        <v>67296</v>
      </c>
      <c r="B67297">
        <f>TEXT(67296, "[$-0E0000]yyyy-mm-dd")</f>
        <v/>
      </c>
      <c r="C67297" t="inlineStr">
        <is>
          <t>2084-02-25</t>
        </is>
      </c>
    </row>
    <row r="67298">
      <c r="A67298" s="1" t="n">
        <v>67297</v>
      </c>
      <c r="B67298">
        <f>TEXT(67297, "[$-0E0000]yyyy-mm-dd")</f>
        <v/>
      </c>
      <c r="C67298" t="inlineStr">
        <is>
          <t>2084-02-26</t>
        </is>
      </c>
    </row>
    <row r="67299">
      <c r="A67299" s="1" t="n">
        <v>67298</v>
      </c>
      <c r="B67299">
        <f>TEXT(67298, "[$-0E0000]yyyy-mm-dd")</f>
        <v/>
      </c>
      <c r="C67299" t="inlineStr">
        <is>
          <t>2084-02-27</t>
        </is>
      </c>
    </row>
    <row r="67300">
      <c r="A67300" s="1" t="n">
        <v>67299</v>
      </c>
      <c r="B67300">
        <f>TEXT(67299, "[$-0E0000]yyyy-mm-dd")</f>
        <v/>
      </c>
      <c r="C67300" t="inlineStr">
        <is>
          <t>2084-02-28</t>
        </is>
      </c>
    </row>
    <row r="67301">
      <c r="A67301" s="1" t="n">
        <v>67300</v>
      </c>
      <c r="B67301">
        <f>TEXT(67300, "[$-0E0000]yyyy-mm-dd")</f>
        <v/>
      </c>
      <c r="C67301" t="inlineStr">
        <is>
          <t>2084-02-29</t>
        </is>
      </c>
    </row>
    <row r="67302">
      <c r="A67302" s="1" t="n">
        <v>67301</v>
      </c>
      <c r="B67302">
        <f>TEXT(67301, "[$-0E0000]yyyy-mm-dd")</f>
        <v/>
      </c>
      <c r="C67302" t="inlineStr">
        <is>
          <t>2084-03-01</t>
        </is>
      </c>
    </row>
    <row r="67303">
      <c r="A67303" s="1" t="n">
        <v>67302</v>
      </c>
      <c r="B67303">
        <f>TEXT(67302, "[$-0E0000]yyyy-mm-dd")</f>
        <v/>
      </c>
      <c r="C67303" t="inlineStr">
        <is>
          <t>2084-03-02</t>
        </is>
      </c>
    </row>
    <row r="67304">
      <c r="A67304" s="1" t="n">
        <v>67303</v>
      </c>
      <c r="B67304">
        <f>TEXT(67303, "[$-0E0000]yyyy-mm-dd")</f>
        <v/>
      </c>
      <c r="C67304" t="inlineStr">
        <is>
          <t>2084-03-03</t>
        </is>
      </c>
    </row>
    <row r="67305">
      <c r="A67305" s="1" t="n">
        <v>67304</v>
      </c>
      <c r="B67305">
        <f>TEXT(67304, "[$-0E0000]yyyy-mm-dd")</f>
        <v/>
      </c>
      <c r="C67305" t="inlineStr">
        <is>
          <t>2084-03-04</t>
        </is>
      </c>
    </row>
    <row r="67306">
      <c r="A67306" s="1" t="n">
        <v>67305</v>
      </c>
      <c r="B67306">
        <f>TEXT(67305, "[$-0E0000]yyyy-mm-dd")</f>
        <v/>
      </c>
      <c r="C67306" t="inlineStr">
        <is>
          <t>2084-03-05</t>
        </is>
      </c>
    </row>
    <row r="67307">
      <c r="A67307" s="1" t="n">
        <v>67306</v>
      </c>
      <c r="B67307">
        <f>TEXT(67306, "[$-0E0000]yyyy-mm-dd")</f>
        <v/>
      </c>
      <c r="C67307" t="inlineStr">
        <is>
          <t>2084-03-06</t>
        </is>
      </c>
    </row>
    <row r="67308">
      <c r="A67308" s="1" t="n">
        <v>67307</v>
      </c>
      <c r="B67308">
        <f>TEXT(67307, "[$-0E0000]yyyy-mm-dd")</f>
        <v/>
      </c>
      <c r="C67308" t="inlineStr">
        <is>
          <t>2084-03-07</t>
        </is>
      </c>
    </row>
    <row r="67309">
      <c r="A67309" s="1" t="n">
        <v>67308</v>
      </c>
      <c r="B67309">
        <f>TEXT(67308, "[$-0E0000]yyyy-mm-dd")</f>
        <v/>
      </c>
      <c r="C67309" t="inlineStr">
        <is>
          <t>2084-03-08</t>
        </is>
      </c>
    </row>
    <row r="67310">
      <c r="A67310" s="1" t="n">
        <v>67309</v>
      </c>
      <c r="B67310">
        <f>TEXT(67309, "[$-0E0000]yyyy-mm-dd")</f>
        <v/>
      </c>
      <c r="C67310" t="inlineStr">
        <is>
          <t>2084-03-09</t>
        </is>
      </c>
    </row>
    <row r="67311">
      <c r="A67311" s="1" t="n">
        <v>67310</v>
      </c>
      <c r="B67311">
        <f>TEXT(67310, "[$-0E0000]yyyy-mm-dd")</f>
        <v/>
      </c>
      <c r="C67311" t="inlineStr">
        <is>
          <t>2084-03-10</t>
        </is>
      </c>
    </row>
    <row r="67312">
      <c r="A67312" s="1" t="n">
        <v>67311</v>
      </c>
      <c r="B67312">
        <f>TEXT(67311, "[$-0E0000]yyyy-mm-dd")</f>
        <v/>
      </c>
      <c r="C67312" t="inlineStr">
        <is>
          <t>2084-03-11</t>
        </is>
      </c>
    </row>
    <row r="67313">
      <c r="A67313" s="1" t="n">
        <v>67312</v>
      </c>
      <c r="B67313">
        <f>TEXT(67312, "[$-0E0000]yyyy-mm-dd")</f>
        <v/>
      </c>
      <c r="C67313" t="inlineStr">
        <is>
          <t>2084-03-12</t>
        </is>
      </c>
    </row>
    <row r="67314">
      <c r="A67314" s="1" t="n">
        <v>67313</v>
      </c>
      <c r="B67314">
        <f>TEXT(67313, "[$-0E0000]yyyy-mm-dd")</f>
        <v/>
      </c>
      <c r="C67314" t="inlineStr">
        <is>
          <t>2084-03-13</t>
        </is>
      </c>
    </row>
    <row r="67315">
      <c r="A67315" s="1" t="n">
        <v>67314</v>
      </c>
      <c r="B67315">
        <f>TEXT(67314, "[$-0E0000]yyyy-mm-dd")</f>
        <v/>
      </c>
      <c r="C67315" t="inlineStr">
        <is>
          <t>2084-03-14</t>
        </is>
      </c>
    </row>
    <row r="67316">
      <c r="A67316" s="1" t="n">
        <v>67315</v>
      </c>
      <c r="B67316">
        <f>TEXT(67315, "[$-0E0000]yyyy-mm-dd")</f>
        <v/>
      </c>
      <c r="C67316" t="inlineStr">
        <is>
          <t>2084-03-15</t>
        </is>
      </c>
    </row>
    <row r="67317">
      <c r="A67317" s="1" t="n">
        <v>67316</v>
      </c>
      <c r="B67317">
        <f>TEXT(67316, "[$-0E0000]yyyy-mm-dd")</f>
        <v/>
      </c>
      <c r="C67317" t="inlineStr">
        <is>
          <t>2084-03-16</t>
        </is>
      </c>
    </row>
    <row r="67318">
      <c r="A67318" s="1" t="n">
        <v>67317</v>
      </c>
      <c r="B67318">
        <f>TEXT(67317, "[$-0E0000]yyyy-mm-dd")</f>
        <v/>
      </c>
      <c r="C67318" t="inlineStr">
        <is>
          <t>2084-03-17</t>
        </is>
      </c>
    </row>
    <row r="67319">
      <c r="A67319" s="1" t="n">
        <v>67318</v>
      </c>
      <c r="B67319">
        <f>TEXT(67318, "[$-0E0000]yyyy-mm-dd")</f>
        <v/>
      </c>
      <c r="C67319" t="inlineStr">
        <is>
          <t>2084-03-18</t>
        </is>
      </c>
    </row>
    <row r="67320">
      <c r="A67320" s="1" t="n">
        <v>67319</v>
      </c>
      <c r="B67320">
        <f>TEXT(67319, "[$-0E0000]yyyy-mm-dd")</f>
        <v/>
      </c>
      <c r="C67320" t="inlineStr">
        <is>
          <t>2084-03-19</t>
        </is>
      </c>
    </row>
    <row r="67321">
      <c r="A67321" s="1" t="n">
        <v>67320</v>
      </c>
      <c r="B67321">
        <f>TEXT(67320, "[$-0E0000]yyyy-mm-dd")</f>
        <v/>
      </c>
      <c r="C67321" t="inlineStr">
        <is>
          <t>2084-03-20</t>
        </is>
      </c>
    </row>
    <row r="67322">
      <c r="A67322" s="1" t="n">
        <v>67321</v>
      </c>
      <c r="B67322">
        <f>TEXT(67321, "[$-0E0000]yyyy-mm-dd")</f>
        <v/>
      </c>
      <c r="C67322" t="inlineStr">
        <is>
          <t>2084-03-21</t>
        </is>
      </c>
    </row>
    <row r="67323">
      <c r="A67323" s="1" t="n">
        <v>67322</v>
      </c>
      <c r="B67323">
        <f>TEXT(67322, "[$-0E0000]yyyy-mm-dd")</f>
        <v/>
      </c>
      <c r="C67323" t="inlineStr">
        <is>
          <t>2084-03-22</t>
        </is>
      </c>
    </row>
    <row r="67324">
      <c r="A67324" s="1" t="n">
        <v>67323</v>
      </c>
      <c r="B67324">
        <f>TEXT(67323, "[$-0E0000]yyyy-mm-dd")</f>
        <v/>
      </c>
      <c r="C67324" t="inlineStr">
        <is>
          <t>2084-03-23</t>
        </is>
      </c>
    </row>
    <row r="67325">
      <c r="A67325" s="1" t="n">
        <v>67324</v>
      </c>
      <c r="B67325">
        <f>TEXT(67324, "[$-0E0000]yyyy-mm-dd")</f>
        <v/>
      </c>
      <c r="C67325" t="inlineStr">
        <is>
          <t>2084-03-24</t>
        </is>
      </c>
    </row>
    <row r="67326">
      <c r="A67326" s="1" t="n">
        <v>67325</v>
      </c>
      <c r="B67326">
        <f>TEXT(67325, "[$-0E0000]yyyy-mm-dd")</f>
        <v/>
      </c>
      <c r="C67326" t="inlineStr">
        <is>
          <t>2084-03-25</t>
        </is>
      </c>
    </row>
    <row r="67327">
      <c r="A67327" s="1" t="n">
        <v>67326</v>
      </c>
      <c r="B67327">
        <f>TEXT(67326, "[$-0E0000]yyyy-mm-dd")</f>
        <v/>
      </c>
      <c r="C67327" t="inlineStr">
        <is>
          <t>2084-03-26</t>
        </is>
      </c>
    </row>
    <row r="67328">
      <c r="A67328" s="1" t="n">
        <v>67327</v>
      </c>
      <c r="B67328">
        <f>TEXT(67327, "[$-0E0000]yyyy-mm-dd")</f>
        <v/>
      </c>
      <c r="C67328" t="inlineStr">
        <is>
          <t>2084-03-27</t>
        </is>
      </c>
    </row>
    <row r="67329">
      <c r="A67329" s="1" t="n">
        <v>67328</v>
      </c>
      <c r="B67329">
        <f>TEXT(67328, "[$-0E0000]yyyy-mm-dd")</f>
        <v/>
      </c>
      <c r="C67329" t="inlineStr">
        <is>
          <t>2084-03-28</t>
        </is>
      </c>
    </row>
    <row r="67330">
      <c r="A67330" s="1" t="n">
        <v>67329</v>
      </c>
      <c r="B67330">
        <f>TEXT(67329, "[$-0E0000]yyyy-mm-dd")</f>
        <v/>
      </c>
      <c r="C67330" t="inlineStr">
        <is>
          <t>2084-03-29</t>
        </is>
      </c>
    </row>
    <row r="67331">
      <c r="A67331" s="1" t="n">
        <v>67330</v>
      </c>
      <c r="B67331">
        <f>TEXT(67330, "[$-0E0000]yyyy-mm-dd")</f>
        <v/>
      </c>
      <c r="C67331" t="inlineStr">
        <is>
          <t>2084-03-30</t>
        </is>
      </c>
    </row>
    <row r="67332">
      <c r="A67332" s="1" t="n">
        <v>67331</v>
      </c>
      <c r="B67332">
        <f>TEXT(67331, "[$-0E0000]yyyy-mm-dd")</f>
        <v/>
      </c>
      <c r="C67332" t="inlineStr">
        <is>
          <t>2084-04-01</t>
        </is>
      </c>
    </row>
    <row r="67333">
      <c r="A67333" s="1" t="n">
        <v>67332</v>
      </c>
      <c r="B67333">
        <f>TEXT(67332, "[$-0E0000]yyyy-mm-dd")</f>
        <v/>
      </c>
      <c r="C67333" t="inlineStr">
        <is>
          <t>2084-04-02</t>
        </is>
      </c>
    </row>
    <row r="67334">
      <c r="A67334" s="1" t="n">
        <v>67333</v>
      </c>
      <c r="B67334">
        <f>TEXT(67333, "[$-0E0000]yyyy-mm-dd")</f>
        <v/>
      </c>
      <c r="C67334" t="inlineStr">
        <is>
          <t>2084-04-03</t>
        </is>
      </c>
    </row>
    <row r="67335">
      <c r="A67335" s="1" t="n">
        <v>67334</v>
      </c>
      <c r="B67335">
        <f>TEXT(67334, "[$-0E0000]yyyy-mm-dd")</f>
        <v/>
      </c>
      <c r="C67335" t="inlineStr">
        <is>
          <t>2084-04-04</t>
        </is>
      </c>
    </row>
    <row r="67336">
      <c r="A67336" s="1" t="n">
        <v>67335</v>
      </c>
      <c r="B67336">
        <f>TEXT(67335, "[$-0E0000]yyyy-mm-dd")</f>
        <v/>
      </c>
      <c r="C67336" t="inlineStr">
        <is>
          <t>2084-04-05</t>
        </is>
      </c>
    </row>
    <row r="67337">
      <c r="A67337" s="1" t="n">
        <v>67336</v>
      </c>
      <c r="B67337">
        <f>TEXT(67336, "[$-0E0000]yyyy-mm-dd")</f>
        <v/>
      </c>
      <c r="C67337" t="inlineStr">
        <is>
          <t>2084-04-06</t>
        </is>
      </c>
    </row>
    <row r="67338">
      <c r="A67338" s="1" t="n">
        <v>67337</v>
      </c>
      <c r="B67338">
        <f>TEXT(67337, "[$-0E0000]yyyy-mm-dd")</f>
        <v/>
      </c>
      <c r="C67338" t="inlineStr">
        <is>
          <t>2084-04-07</t>
        </is>
      </c>
    </row>
    <row r="67339">
      <c r="A67339" s="1" t="n">
        <v>67338</v>
      </c>
      <c r="B67339">
        <f>TEXT(67338, "[$-0E0000]yyyy-mm-dd")</f>
        <v/>
      </c>
      <c r="C67339" t="inlineStr">
        <is>
          <t>2084-04-08</t>
        </is>
      </c>
    </row>
    <row r="67340">
      <c r="A67340" s="1" t="n">
        <v>67339</v>
      </c>
      <c r="B67340">
        <f>TEXT(67339, "[$-0E0000]yyyy-mm-dd")</f>
        <v/>
      </c>
      <c r="C67340" t="inlineStr">
        <is>
          <t>2084-04-09</t>
        </is>
      </c>
    </row>
    <row r="67341">
      <c r="A67341" s="1" t="n">
        <v>67340</v>
      </c>
      <c r="B67341">
        <f>TEXT(67340, "[$-0E0000]yyyy-mm-dd")</f>
        <v/>
      </c>
      <c r="C67341" t="inlineStr">
        <is>
          <t>2084-04-10</t>
        </is>
      </c>
    </row>
    <row r="67342">
      <c r="A67342" s="1" t="n">
        <v>67341</v>
      </c>
      <c r="B67342">
        <f>TEXT(67341, "[$-0E0000]yyyy-mm-dd")</f>
        <v/>
      </c>
      <c r="C67342" t="inlineStr">
        <is>
          <t>2084-04-11</t>
        </is>
      </c>
    </row>
    <row r="67343">
      <c r="A67343" s="1" t="n">
        <v>67342</v>
      </c>
      <c r="B67343">
        <f>TEXT(67342, "[$-0E0000]yyyy-mm-dd")</f>
        <v/>
      </c>
      <c r="C67343" t="inlineStr">
        <is>
          <t>2084-04-12</t>
        </is>
      </c>
    </row>
    <row r="67344">
      <c r="A67344" s="1" t="n">
        <v>67343</v>
      </c>
      <c r="B67344">
        <f>TEXT(67343, "[$-0E0000]yyyy-mm-dd")</f>
        <v/>
      </c>
      <c r="C67344" t="inlineStr">
        <is>
          <t>2084-04-13</t>
        </is>
      </c>
    </row>
    <row r="67345">
      <c r="A67345" s="1" t="n">
        <v>67344</v>
      </c>
      <c r="B67345">
        <f>TEXT(67344, "[$-0E0000]yyyy-mm-dd")</f>
        <v/>
      </c>
      <c r="C67345" t="inlineStr">
        <is>
          <t>2084-04-14</t>
        </is>
      </c>
    </row>
    <row r="67346">
      <c r="A67346" s="1" t="n">
        <v>67345</v>
      </c>
      <c r="B67346">
        <f>TEXT(67345, "[$-0E0000]yyyy-mm-dd")</f>
        <v/>
      </c>
      <c r="C67346" t="inlineStr">
        <is>
          <t>2084-04-15</t>
        </is>
      </c>
    </row>
    <row r="67347">
      <c r="A67347" s="1" t="n">
        <v>67346</v>
      </c>
      <c r="B67347">
        <f>TEXT(67346, "[$-0E0000]yyyy-mm-dd")</f>
        <v/>
      </c>
      <c r="C67347" t="inlineStr">
        <is>
          <t>2084-04-16</t>
        </is>
      </c>
    </row>
    <row r="67348">
      <c r="A67348" s="1" t="n">
        <v>67347</v>
      </c>
      <c r="B67348">
        <f>TEXT(67347, "[$-0E0000]yyyy-mm-dd")</f>
        <v/>
      </c>
      <c r="C67348" t="inlineStr">
        <is>
          <t>2084-04-17</t>
        </is>
      </c>
    </row>
    <row r="67349">
      <c r="A67349" s="1" t="n">
        <v>67348</v>
      </c>
      <c r="B67349">
        <f>TEXT(67348, "[$-0E0000]yyyy-mm-dd")</f>
        <v/>
      </c>
      <c r="C67349" t="inlineStr">
        <is>
          <t>2084-04-18</t>
        </is>
      </c>
    </row>
    <row r="67350">
      <c r="A67350" s="1" t="n">
        <v>67349</v>
      </c>
      <c r="B67350">
        <f>TEXT(67349, "[$-0E0000]yyyy-mm-dd")</f>
        <v/>
      </c>
      <c r="C67350" t="inlineStr">
        <is>
          <t>2084-04-19</t>
        </is>
      </c>
    </row>
    <row r="67351">
      <c r="A67351" s="1" t="n">
        <v>67350</v>
      </c>
      <c r="B67351">
        <f>TEXT(67350, "[$-0E0000]yyyy-mm-dd")</f>
        <v/>
      </c>
      <c r="C67351" t="inlineStr">
        <is>
          <t>2084-04-20</t>
        </is>
      </c>
    </row>
    <row r="67352">
      <c r="A67352" s="1" t="n">
        <v>67351</v>
      </c>
      <c r="B67352">
        <f>TEXT(67351, "[$-0E0000]yyyy-mm-dd")</f>
        <v/>
      </c>
      <c r="C67352" t="inlineStr">
        <is>
          <t>2084-04-21</t>
        </is>
      </c>
    </row>
    <row r="67353">
      <c r="A67353" s="1" t="n">
        <v>67352</v>
      </c>
      <c r="B67353">
        <f>TEXT(67352, "[$-0E0000]yyyy-mm-dd")</f>
        <v/>
      </c>
      <c r="C67353" t="inlineStr">
        <is>
          <t>2084-04-22</t>
        </is>
      </c>
    </row>
    <row r="67354">
      <c r="A67354" s="1" t="n">
        <v>67353</v>
      </c>
      <c r="B67354">
        <f>TEXT(67353, "[$-0E0000]yyyy-mm-dd")</f>
        <v/>
      </c>
      <c r="C67354" t="inlineStr">
        <is>
          <t>2084-04-23</t>
        </is>
      </c>
    </row>
    <row r="67355">
      <c r="A67355" s="1" t="n">
        <v>67354</v>
      </c>
      <c r="B67355">
        <f>TEXT(67354, "[$-0E0000]yyyy-mm-dd")</f>
        <v/>
      </c>
      <c r="C67355" t="inlineStr">
        <is>
          <t>2084-04-24</t>
        </is>
      </c>
    </row>
    <row r="67356">
      <c r="A67356" s="1" t="n">
        <v>67355</v>
      </c>
      <c r="B67356">
        <f>TEXT(67355, "[$-0E0000]yyyy-mm-dd")</f>
        <v/>
      </c>
      <c r="C67356" t="inlineStr">
        <is>
          <t>2084-04-25</t>
        </is>
      </c>
    </row>
    <row r="67357">
      <c r="A67357" s="1" t="n">
        <v>67356</v>
      </c>
      <c r="B67357">
        <f>TEXT(67356, "[$-0E0000]yyyy-mm-dd")</f>
        <v/>
      </c>
      <c r="C67357" t="inlineStr">
        <is>
          <t>2084-04-26</t>
        </is>
      </c>
    </row>
    <row r="67358">
      <c r="A67358" s="1" t="n">
        <v>67357</v>
      </c>
      <c r="B67358">
        <f>TEXT(67357, "[$-0E0000]yyyy-mm-dd")</f>
        <v/>
      </c>
      <c r="C67358" t="inlineStr">
        <is>
          <t>2084-04-27</t>
        </is>
      </c>
    </row>
    <row r="67359">
      <c r="A67359" s="1" t="n">
        <v>67358</v>
      </c>
      <c r="B67359">
        <f>TEXT(67358, "[$-0E0000]yyyy-mm-dd")</f>
        <v/>
      </c>
      <c r="C67359" t="inlineStr">
        <is>
          <t>2084-04-28</t>
        </is>
      </c>
    </row>
    <row r="67360">
      <c r="A67360" s="1" t="n">
        <v>67359</v>
      </c>
      <c r="B67360">
        <f>TEXT(67359, "[$-0E0000]yyyy-mm-dd")</f>
        <v/>
      </c>
      <c r="C67360" t="inlineStr">
        <is>
          <t>2084-04-29</t>
        </is>
      </c>
    </row>
    <row r="67361">
      <c r="A67361" s="1" t="n">
        <v>67360</v>
      </c>
      <c r="B67361">
        <f>TEXT(67360, "[$-0E0000]yyyy-mm-dd")</f>
        <v/>
      </c>
      <c r="C67361" t="inlineStr">
        <is>
          <t>2084-05-01</t>
        </is>
      </c>
    </row>
    <row r="67362">
      <c r="A67362" s="1" t="n">
        <v>67361</v>
      </c>
      <c r="B67362">
        <f>TEXT(67361, "[$-0E0000]yyyy-mm-dd")</f>
        <v/>
      </c>
      <c r="C67362" t="inlineStr">
        <is>
          <t>2084-05-02</t>
        </is>
      </c>
    </row>
    <row r="67363">
      <c r="A67363" s="1" t="n">
        <v>67362</v>
      </c>
      <c r="B67363">
        <f>TEXT(67362, "[$-0E0000]yyyy-mm-dd")</f>
        <v/>
      </c>
      <c r="C67363" t="inlineStr">
        <is>
          <t>2084-05-03</t>
        </is>
      </c>
    </row>
    <row r="67364">
      <c r="A67364" s="1" t="n">
        <v>67363</v>
      </c>
      <c r="B67364">
        <f>TEXT(67363, "[$-0E0000]yyyy-mm-dd")</f>
        <v/>
      </c>
      <c r="C67364" t="inlineStr">
        <is>
          <t>2084-05-04</t>
        </is>
      </c>
    </row>
    <row r="67365">
      <c r="A67365" s="1" t="n">
        <v>67364</v>
      </c>
      <c r="B67365">
        <f>TEXT(67364, "[$-0E0000]yyyy-mm-dd")</f>
        <v/>
      </c>
      <c r="C67365" t="inlineStr">
        <is>
          <t>2084-05-05</t>
        </is>
      </c>
    </row>
    <row r="67366">
      <c r="A67366" s="1" t="n">
        <v>67365</v>
      </c>
      <c r="B67366">
        <f>TEXT(67365, "[$-0E0000]yyyy-mm-dd")</f>
        <v/>
      </c>
      <c r="C67366" t="inlineStr">
        <is>
          <t>2084-05-06</t>
        </is>
      </c>
    </row>
    <row r="67367">
      <c r="A67367" s="1" t="n">
        <v>67366</v>
      </c>
      <c r="B67367">
        <f>TEXT(67366, "[$-0E0000]yyyy-mm-dd")</f>
        <v/>
      </c>
      <c r="C67367" t="inlineStr">
        <is>
          <t>2084-05-07</t>
        </is>
      </c>
    </row>
    <row r="67368">
      <c r="A67368" s="1" t="n">
        <v>67367</v>
      </c>
      <c r="B67368">
        <f>TEXT(67367, "[$-0E0000]yyyy-mm-dd")</f>
        <v/>
      </c>
      <c r="C67368" t="inlineStr">
        <is>
          <t>2084-05-08</t>
        </is>
      </c>
    </row>
    <row r="67369">
      <c r="A67369" s="1" t="n">
        <v>67368</v>
      </c>
      <c r="B67369">
        <f>TEXT(67368, "[$-0E0000]yyyy-mm-dd")</f>
        <v/>
      </c>
      <c r="C67369" t="inlineStr">
        <is>
          <t>2084-05-09</t>
        </is>
      </c>
    </row>
    <row r="67370">
      <c r="A67370" s="1" t="n">
        <v>67369</v>
      </c>
      <c r="B67370">
        <f>TEXT(67369, "[$-0E0000]yyyy-mm-dd")</f>
        <v/>
      </c>
      <c r="C67370" t="inlineStr">
        <is>
          <t>2084-05-10</t>
        </is>
      </c>
    </row>
    <row r="67371">
      <c r="A67371" s="1" t="n">
        <v>67370</v>
      </c>
      <c r="B67371">
        <f>TEXT(67370, "[$-0E0000]yyyy-mm-dd")</f>
        <v/>
      </c>
      <c r="C67371" t="inlineStr">
        <is>
          <t>2084-05-11</t>
        </is>
      </c>
    </row>
    <row r="67372">
      <c r="A67372" s="1" t="n">
        <v>67371</v>
      </c>
      <c r="B67372">
        <f>TEXT(67371, "[$-0E0000]yyyy-mm-dd")</f>
        <v/>
      </c>
      <c r="C67372" t="inlineStr">
        <is>
          <t>2084-05-12</t>
        </is>
      </c>
    </row>
    <row r="67373">
      <c r="A67373" s="1" t="n">
        <v>67372</v>
      </c>
      <c r="B67373">
        <f>TEXT(67372, "[$-0E0000]yyyy-mm-dd")</f>
        <v/>
      </c>
      <c r="C67373" t="inlineStr">
        <is>
          <t>2084-05-13</t>
        </is>
      </c>
    </row>
    <row r="67374">
      <c r="A67374" s="1" t="n">
        <v>67373</v>
      </c>
      <c r="B67374">
        <f>TEXT(67373, "[$-0E0000]yyyy-mm-dd")</f>
        <v/>
      </c>
      <c r="C67374" t="inlineStr">
        <is>
          <t>2084-05-14</t>
        </is>
      </c>
    </row>
    <row r="67375">
      <c r="A67375" s="1" t="n">
        <v>67374</v>
      </c>
      <c r="B67375">
        <f>TEXT(67374, "[$-0E0000]yyyy-mm-dd")</f>
        <v/>
      </c>
      <c r="C67375" t="inlineStr">
        <is>
          <t>2084-05-15</t>
        </is>
      </c>
    </row>
    <row r="67376">
      <c r="A67376" s="1" t="n">
        <v>67375</v>
      </c>
      <c r="B67376">
        <f>TEXT(67375, "[$-0E0000]yyyy-mm-dd")</f>
        <v/>
      </c>
      <c r="C67376" t="inlineStr">
        <is>
          <t>2084-05-16</t>
        </is>
      </c>
    </row>
    <row r="67377">
      <c r="A67377" s="1" t="n">
        <v>67376</v>
      </c>
      <c r="B67377">
        <f>TEXT(67376, "[$-0E0000]yyyy-mm-dd")</f>
        <v/>
      </c>
      <c r="C67377" t="inlineStr">
        <is>
          <t>2084-05-17</t>
        </is>
      </c>
    </row>
    <row r="67378">
      <c r="A67378" s="1" t="n">
        <v>67377</v>
      </c>
      <c r="B67378">
        <f>TEXT(67377, "[$-0E0000]yyyy-mm-dd")</f>
        <v/>
      </c>
      <c r="C67378" t="inlineStr">
        <is>
          <t>2084-05-18</t>
        </is>
      </c>
    </row>
    <row r="67379">
      <c r="A67379" s="1" t="n">
        <v>67378</v>
      </c>
      <c r="B67379">
        <f>TEXT(67378, "[$-0E0000]yyyy-mm-dd")</f>
        <v/>
      </c>
      <c r="C67379" t="inlineStr">
        <is>
          <t>2084-05-19</t>
        </is>
      </c>
    </row>
    <row r="67380">
      <c r="A67380" s="1" t="n">
        <v>67379</v>
      </c>
      <c r="B67380">
        <f>TEXT(67379, "[$-0E0000]yyyy-mm-dd")</f>
        <v/>
      </c>
      <c r="C67380" t="inlineStr">
        <is>
          <t>2084-05-20</t>
        </is>
      </c>
    </row>
    <row r="67381">
      <c r="A67381" s="1" t="n">
        <v>67380</v>
      </c>
      <c r="B67381">
        <f>TEXT(67380, "[$-0E0000]yyyy-mm-dd")</f>
        <v/>
      </c>
      <c r="C67381" t="inlineStr">
        <is>
          <t>2084-05-21</t>
        </is>
      </c>
    </row>
    <row r="67382">
      <c r="A67382" s="1" t="n">
        <v>67381</v>
      </c>
      <c r="B67382">
        <f>TEXT(67381, "[$-0E0000]yyyy-mm-dd")</f>
        <v/>
      </c>
      <c r="C67382" t="inlineStr">
        <is>
          <t>2084-05-22</t>
        </is>
      </c>
    </row>
    <row r="67383">
      <c r="A67383" s="1" t="n">
        <v>67382</v>
      </c>
      <c r="B67383">
        <f>TEXT(67382, "[$-0E0000]yyyy-mm-dd")</f>
        <v/>
      </c>
      <c r="C67383" t="inlineStr">
        <is>
          <t>2084-05-23</t>
        </is>
      </c>
    </row>
    <row r="67384">
      <c r="A67384" s="1" t="n">
        <v>67383</v>
      </c>
      <c r="B67384">
        <f>TEXT(67383, "[$-0E0000]yyyy-mm-dd")</f>
        <v/>
      </c>
      <c r="C67384" t="inlineStr">
        <is>
          <t>2084-05-24</t>
        </is>
      </c>
    </row>
    <row r="67385">
      <c r="A67385" s="1" t="n">
        <v>67384</v>
      </c>
      <c r="B67385">
        <f>TEXT(67384, "[$-0E0000]yyyy-mm-dd")</f>
        <v/>
      </c>
      <c r="C67385" t="inlineStr">
        <is>
          <t>2084-05-25</t>
        </is>
      </c>
    </row>
    <row r="67386">
      <c r="A67386" s="1" t="n">
        <v>67385</v>
      </c>
      <c r="B67386">
        <f>TEXT(67385, "[$-0E0000]yyyy-mm-dd")</f>
        <v/>
      </c>
      <c r="C67386" t="inlineStr">
        <is>
          <t>2084-05-26</t>
        </is>
      </c>
    </row>
    <row r="67387">
      <c r="A67387" s="1" t="n">
        <v>67386</v>
      </c>
      <c r="B67387">
        <f>TEXT(67386, "[$-0E0000]yyyy-mm-dd")</f>
        <v/>
      </c>
      <c r="C67387" t="inlineStr">
        <is>
          <t>2084-05-27</t>
        </is>
      </c>
    </row>
    <row r="67388">
      <c r="A67388" s="1" t="n">
        <v>67387</v>
      </c>
      <c r="B67388">
        <f>TEXT(67387, "[$-0E0000]yyyy-mm-dd")</f>
        <v/>
      </c>
      <c r="C67388" t="inlineStr">
        <is>
          <t>2084-05-28</t>
        </is>
      </c>
    </row>
    <row r="67389">
      <c r="A67389" s="1" t="n">
        <v>67388</v>
      </c>
      <c r="B67389">
        <f>TEXT(67388, "[$-0E0000]yyyy-mm-dd")</f>
        <v/>
      </c>
      <c r="C67389" t="inlineStr">
        <is>
          <t>2084-05-29</t>
        </is>
      </c>
    </row>
    <row r="67390">
      <c r="A67390" s="1" t="n">
        <v>67389</v>
      </c>
      <c r="B67390">
        <f>TEXT(67389, "[$-0E0000]yyyy-mm-dd")</f>
        <v/>
      </c>
      <c r="C67390" t="inlineStr">
        <is>
          <t>2084-05-30</t>
        </is>
      </c>
    </row>
    <row r="67391">
      <c r="A67391" s="1" t="n">
        <v>67390</v>
      </c>
      <c r="B67391">
        <f>TEXT(67390, "[$-0E0000]yyyy-mm-dd")</f>
        <v/>
      </c>
      <c r="C67391" t="inlineStr">
        <is>
          <t>2084-06-01</t>
        </is>
      </c>
    </row>
    <row r="67392">
      <c r="A67392" s="1" t="n">
        <v>67391</v>
      </c>
      <c r="B67392">
        <f>TEXT(67391, "[$-0E0000]yyyy-mm-dd")</f>
        <v/>
      </c>
      <c r="C67392" t="inlineStr">
        <is>
          <t>2084-06-02</t>
        </is>
      </c>
    </row>
    <row r="67393">
      <c r="A67393" s="1" t="n">
        <v>67392</v>
      </c>
      <c r="B67393">
        <f>TEXT(67392, "[$-0E0000]yyyy-mm-dd")</f>
        <v/>
      </c>
      <c r="C67393" t="inlineStr">
        <is>
          <t>2084-06-03</t>
        </is>
      </c>
    </row>
    <row r="67394">
      <c r="A67394" s="1" t="n">
        <v>67393</v>
      </c>
      <c r="B67394">
        <f>TEXT(67393, "[$-0E0000]yyyy-mm-dd")</f>
        <v/>
      </c>
      <c r="C67394" t="inlineStr">
        <is>
          <t>2084-06-04</t>
        </is>
      </c>
    </row>
    <row r="67395">
      <c r="A67395" s="1" t="n">
        <v>67394</v>
      </c>
      <c r="B67395">
        <f>TEXT(67394, "[$-0E0000]yyyy-mm-dd")</f>
        <v/>
      </c>
      <c r="C67395" t="inlineStr">
        <is>
          <t>2084-06-05</t>
        </is>
      </c>
    </row>
    <row r="67396">
      <c r="A67396" s="1" t="n">
        <v>67395</v>
      </c>
      <c r="B67396">
        <f>TEXT(67395, "[$-0E0000]yyyy-mm-dd")</f>
        <v/>
      </c>
      <c r="C67396" t="inlineStr">
        <is>
          <t>2084-06-06</t>
        </is>
      </c>
    </row>
    <row r="67397">
      <c r="A67397" s="1" t="n">
        <v>67396</v>
      </c>
      <c r="B67397">
        <f>TEXT(67396, "[$-0E0000]yyyy-mm-dd")</f>
        <v/>
      </c>
      <c r="C67397" t="inlineStr">
        <is>
          <t>2084-06-07</t>
        </is>
      </c>
    </row>
    <row r="67398">
      <c r="A67398" s="1" t="n">
        <v>67397</v>
      </c>
      <c r="B67398">
        <f>TEXT(67397, "[$-0E0000]yyyy-mm-dd")</f>
        <v/>
      </c>
      <c r="C67398" t="inlineStr">
        <is>
          <t>2084-06-08</t>
        </is>
      </c>
    </row>
    <row r="67399">
      <c r="A67399" s="1" t="n">
        <v>67398</v>
      </c>
      <c r="B67399">
        <f>TEXT(67398, "[$-0E0000]yyyy-mm-dd")</f>
        <v/>
      </c>
      <c r="C67399" t="inlineStr">
        <is>
          <t>2084-06-09</t>
        </is>
      </c>
    </row>
    <row r="67400">
      <c r="A67400" s="1" t="n">
        <v>67399</v>
      </c>
      <c r="B67400">
        <f>TEXT(67399, "[$-0E0000]yyyy-mm-dd")</f>
        <v/>
      </c>
      <c r="C67400" t="inlineStr">
        <is>
          <t>2084-06-10</t>
        </is>
      </c>
    </row>
    <row r="67401">
      <c r="A67401" s="1" t="n">
        <v>67400</v>
      </c>
      <c r="B67401">
        <f>TEXT(67400, "[$-0E0000]yyyy-mm-dd")</f>
        <v/>
      </c>
      <c r="C67401" t="inlineStr">
        <is>
          <t>2084-06-11</t>
        </is>
      </c>
    </row>
    <row r="67402">
      <c r="A67402" s="1" t="n">
        <v>67401</v>
      </c>
      <c r="B67402">
        <f>TEXT(67401, "[$-0E0000]yyyy-mm-dd")</f>
        <v/>
      </c>
      <c r="C67402" t="inlineStr">
        <is>
          <t>2084-06-12</t>
        </is>
      </c>
    </row>
    <row r="67403">
      <c r="A67403" s="1" t="n">
        <v>67402</v>
      </c>
      <c r="B67403">
        <f>TEXT(67402, "[$-0E0000]yyyy-mm-dd")</f>
        <v/>
      </c>
      <c r="C67403" t="inlineStr">
        <is>
          <t>2084-06-13</t>
        </is>
      </c>
    </row>
    <row r="67404">
      <c r="A67404" s="1" t="n">
        <v>67403</v>
      </c>
      <c r="B67404">
        <f>TEXT(67403, "[$-0E0000]yyyy-mm-dd")</f>
        <v/>
      </c>
      <c r="C67404" t="inlineStr">
        <is>
          <t>2084-06-14</t>
        </is>
      </c>
    </row>
    <row r="67405">
      <c r="A67405" s="1" t="n">
        <v>67404</v>
      </c>
      <c r="B67405">
        <f>TEXT(67404, "[$-0E0000]yyyy-mm-dd")</f>
        <v/>
      </c>
      <c r="C67405" t="inlineStr">
        <is>
          <t>2084-06-15</t>
        </is>
      </c>
    </row>
    <row r="67406">
      <c r="A67406" s="1" t="n">
        <v>67405</v>
      </c>
      <c r="B67406">
        <f>TEXT(67405, "[$-0E0000]yyyy-mm-dd")</f>
        <v/>
      </c>
      <c r="C67406" t="inlineStr">
        <is>
          <t>2084-06-16</t>
        </is>
      </c>
    </row>
    <row r="67407">
      <c r="A67407" s="1" t="n">
        <v>67406</v>
      </c>
      <c r="B67407">
        <f>TEXT(67406, "[$-0E0000]yyyy-mm-dd")</f>
        <v/>
      </c>
      <c r="C67407" t="inlineStr">
        <is>
          <t>2084-06-17</t>
        </is>
      </c>
    </row>
    <row r="67408">
      <c r="A67408" s="1" t="n">
        <v>67407</v>
      </c>
      <c r="B67408">
        <f>TEXT(67407, "[$-0E0000]yyyy-mm-dd")</f>
        <v/>
      </c>
      <c r="C67408" t="inlineStr">
        <is>
          <t>2084-06-18</t>
        </is>
      </c>
    </row>
    <row r="67409">
      <c r="A67409" s="1" t="n">
        <v>67408</v>
      </c>
      <c r="B67409">
        <f>TEXT(67408, "[$-0E0000]yyyy-mm-dd")</f>
        <v/>
      </c>
      <c r="C67409" t="inlineStr">
        <is>
          <t>2084-06-19</t>
        </is>
      </c>
    </row>
    <row r="67410">
      <c r="A67410" s="1" t="n">
        <v>67409</v>
      </c>
      <c r="B67410">
        <f>TEXT(67409, "[$-0E0000]yyyy-mm-dd")</f>
        <v/>
      </c>
      <c r="C67410" t="inlineStr">
        <is>
          <t>2084-06-20</t>
        </is>
      </c>
    </row>
    <row r="67411">
      <c r="A67411" s="1" t="n">
        <v>67410</v>
      </c>
      <c r="B67411">
        <f>TEXT(67410, "[$-0E0000]yyyy-mm-dd")</f>
        <v/>
      </c>
      <c r="C67411" t="inlineStr">
        <is>
          <t>2084-06-21</t>
        </is>
      </c>
    </row>
    <row r="67412">
      <c r="A67412" s="1" t="n">
        <v>67411</v>
      </c>
      <c r="B67412">
        <f>TEXT(67411, "[$-0E0000]yyyy-mm-dd")</f>
        <v/>
      </c>
      <c r="C67412" t="inlineStr">
        <is>
          <t>2084-06-22</t>
        </is>
      </c>
    </row>
    <row r="67413">
      <c r="A67413" s="1" t="n">
        <v>67412</v>
      </c>
      <c r="B67413">
        <f>TEXT(67412, "[$-0E0000]yyyy-mm-dd")</f>
        <v/>
      </c>
      <c r="C67413" t="inlineStr">
        <is>
          <t>2084-06-23</t>
        </is>
      </c>
    </row>
    <row r="67414">
      <c r="A67414" s="1" t="n">
        <v>67413</v>
      </c>
      <c r="B67414">
        <f>TEXT(67413, "[$-0E0000]yyyy-mm-dd")</f>
        <v/>
      </c>
      <c r="C67414" t="inlineStr">
        <is>
          <t>2084-06-24</t>
        </is>
      </c>
    </row>
    <row r="67415">
      <c r="A67415" s="1" t="n">
        <v>67414</v>
      </c>
      <c r="B67415">
        <f>TEXT(67414, "[$-0E0000]yyyy-mm-dd")</f>
        <v/>
      </c>
      <c r="C67415" t="inlineStr">
        <is>
          <t>2084-06-25</t>
        </is>
      </c>
    </row>
    <row r="67416">
      <c r="A67416" s="1" t="n">
        <v>67415</v>
      </c>
      <c r="B67416">
        <f>TEXT(67415, "[$-0E0000]yyyy-mm-dd")</f>
        <v/>
      </c>
      <c r="C67416" t="inlineStr">
        <is>
          <t>2084-06-26</t>
        </is>
      </c>
    </row>
    <row r="67417">
      <c r="A67417" s="1" t="n">
        <v>67416</v>
      </c>
      <c r="B67417">
        <f>TEXT(67416, "[$-0E0000]yyyy-mm-dd")</f>
        <v/>
      </c>
      <c r="C67417" t="inlineStr">
        <is>
          <t>2084-06-27</t>
        </is>
      </c>
    </row>
    <row r="67418">
      <c r="A67418" s="1" t="n">
        <v>67417</v>
      </c>
      <c r="B67418">
        <f>TEXT(67417, "[$-0E0000]yyyy-mm-dd")</f>
        <v/>
      </c>
      <c r="C67418" t="inlineStr">
        <is>
          <t>2084-06-28</t>
        </is>
      </c>
    </row>
    <row r="67419">
      <c r="A67419" s="1" t="n">
        <v>67418</v>
      </c>
      <c r="B67419">
        <f>TEXT(67418, "[$-0E0000]yyyy-mm-dd")</f>
        <v/>
      </c>
      <c r="C67419" t="inlineStr">
        <is>
          <t>2084-06-29</t>
        </is>
      </c>
    </row>
    <row r="67420">
      <c r="A67420" s="1" t="n">
        <v>67419</v>
      </c>
      <c r="B67420">
        <f>TEXT(67419, "[$-0E0000]yyyy-mm-dd")</f>
        <v/>
      </c>
      <c r="C67420" t="inlineStr">
        <is>
          <t>2084-06-30</t>
        </is>
      </c>
    </row>
    <row r="67421">
      <c r="A67421" s="1" t="n">
        <v>67420</v>
      </c>
      <c r="B67421">
        <f>TEXT(67420, "[$-0E0000]yyyy-mm-dd")</f>
        <v/>
      </c>
      <c r="C67421" t="inlineStr">
        <is>
          <t>2084-07-01</t>
        </is>
      </c>
    </row>
    <row r="67422">
      <c r="A67422" s="1" t="n">
        <v>67421</v>
      </c>
      <c r="B67422">
        <f>TEXT(67421, "[$-0E0000]yyyy-mm-dd")</f>
        <v/>
      </c>
      <c r="C67422" t="inlineStr">
        <is>
          <t>2084-07-02</t>
        </is>
      </c>
    </row>
    <row r="67423">
      <c r="A67423" s="1" t="n">
        <v>67422</v>
      </c>
      <c r="B67423">
        <f>TEXT(67422, "[$-0E0000]yyyy-mm-dd")</f>
        <v/>
      </c>
      <c r="C67423" t="inlineStr">
        <is>
          <t>2084-07-03</t>
        </is>
      </c>
    </row>
    <row r="67424">
      <c r="A67424" s="1" t="n">
        <v>67423</v>
      </c>
      <c r="B67424">
        <f>TEXT(67423, "[$-0E0000]yyyy-mm-dd")</f>
        <v/>
      </c>
      <c r="C67424" t="inlineStr">
        <is>
          <t>2084-07-04</t>
        </is>
      </c>
    </row>
    <row r="67425">
      <c r="A67425" s="1" t="n">
        <v>67424</v>
      </c>
      <c r="B67425">
        <f>TEXT(67424, "[$-0E0000]yyyy-mm-dd")</f>
        <v/>
      </c>
      <c r="C67425" t="inlineStr">
        <is>
          <t>2084-07-05</t>
        </is>
      </c>
    </row>
    <row r="67426">
      <c r="A67426" s="1" t="n">
        <v>67425</v>
      </c>
      <c r="B67426">
        <f>TEXT(67425, "[$-0E0000]yyyy-mm-dd")</f>
        <v/>
      </c>
      <c r="C67426" t="inlineStr">
        <is>
          <t>2084-07-06</t>
        </is>
      </c>
    </row>
    <row r="67427">
      <c r="A67427" s="1" t="n">
        <v>67426</v>
      </c>
      <c r="B67427">
        <f>TEXT(67426, "[$-0E0000]yyyy-mm-dd")</f>
        <v/>
      </c>
      <c r="C67427" t="inlineStr">
        <is>
          <t>2084-07-07</t>
        </is>
      </c>
    </row>
    <row r="67428">
      <c r="A67428" s="1" t="n">
        <v>67427</v>
      </c>
      <c r="B67428">
        <f>TEXT(67427, "[$-0E0000]yyyy-mm-dd")</f>
        <v/>
      </c>
      <c r="C67428" t="inlineStr">
        <is>
          <t>2084-07-08</t>
        </is>
      </c>
    </row>
    <row r="67429">
      <c r="A67429" s="1" t="n">
        <v>67428</v>
      </c>
      <c r="B67429">
        <f>TEXT(67428, "[$-0E0000]yyyy-mm-dd")</f>
        <v/>
      </c>
      <c r="C67429" t="inlineStr">
        <is>
          <t>2084-07-09</t>
        </is>
      </c>
    </row>
    <row r="67430">
      <c r="A67430" s="1" t="n">
        <v>67429</v>
      </c>
      <c r="B67430">
        <f>TEXT(67429, "[$-0E0000]yyyy-mm-dd")</f>
        <v/>
      </c>
      <c r="C67430" t="inlineStr">
        <is>
          <t>2084-07-10</t>
        </is>
      </c>
    </row>
    <row r="67431">
      <c r="A67431" s="1" t="n">
        <v>67430</v>
      </c>
      <c r="B67431">
        <f>TEXT(67430, "[$-0E0000]yyyy-mm-dd")</f>
        <v/>
      </c>
      <c r="C67431" t="inlineStr">
        <is>
          <t>2084-07-11</t>
        </is>
      </c>
    </row>
    <row r="67432">
      <c r="A67432" s="1" t="n">
        <v>67431</v>
      </c>
      <c r="B67432">
        <f>TEXT(67431, "[$-0E0000]yyyy-mm-dd")</f>
        <v/>
      </c>
      <c r="C67432" t="inlineStr">
        <is>
          <t>2084-07-12</t>
        </is>
      </c>
    </row>
    <row r="67433">
      <c r="A67433" s="1" t="n">
        <v>67432</v>
      </c>
      <c r="B67433">
        <f>TEXT(67432, "[$-0E0000]yyyy-mm-dd")</f>
        <v/>
      </c>
      <c r="C67433" t="inlineStr">
        <is>
          <t>2084-07-13</t>
        </is>
      </c>
    </row>
    <row r="67434">
      <c r="A67434" s="1" t="n">
        <v>67433</v>
      </c>
      <c r="B67434">
        <f>TEXT(67433, "[$-0E0000]yyyy-mm-dd")</f>
        <v/>
      </c>
      <c r="C67434" t="inlineStr">
        <is>
          <t>2084-07-14</t>
        </is>
      </c>
    </row>
    <row r="67435">
      <c r="A67435" s="1" t="n">
        <v>67434</v>
      </c>
      <c r="B67435">
        <f>TEXT(67434, "[$-0E0000]yyyy-mm-dd")</f>
        <v/>
      </c>
      <c r="C67435" t="inlineStr">
        <is>
          <t>2084-07-15</t>
        </is>
      </c>
    </row>
    <row r="67436">
      <c r="A67436" s="1" t="n">
        <v>67435</v>
      </c>
      <c r="B67436">
        <f>TEXT(67435, "[$-0E0000]yyyy-mm-dd")</f>
        <v/>
      </c>
      <c r="C67436" t="inlineStr">
        <is>
          <t>2084-07-16</t>
        </is>
      </c>
    </row>
    <row r="67437">
      <c r="A67437" s="1" t="n">
        <v>67436</v>
      </c>
      <c r="B67437">
        <f>TEXT(67436, "[$-0E0000]yyyy-mm-dd")</f>
        <v/>
      </c>
      <c r="C67437" t="inlineStr">
        <is>
          <t>2084-07-17</t>
        </is>
      </c>
    </row>
    <row r="67438">
      <c r="A67438" s="1" t="n">
        <v>67437</v>
      </c>
      <c r="B67438">
        <f>TEXT(67437, "[$-0E0000]yyyy-mm-dd")</f>
        <v/>
      </c>
      <c r="C67438" t="inlineStr">
        <is>
          <t>2084-07-18</t>
        </is>
      </c>
    </row>
    <row r="67439">
      <c r="A67439" s="1" t="n">
        <v>67438</v>
      </c>
      <c r="B67439">
        <f>TEXT(67438, "[$-0E0000]yyyy-mm-dd")</f>
        <v/>
      </c>
      <c r="C67439" t="inlineStr">
        <is>
          <t>2084-07-19</t>
        </is>
      </c>
    </row>
    <row r="67440">
      <c r="A67440" s="1" t="n">
        <v>67439</v>
      </c>
      <c r="B67440">
        <f>TEXT(67439, "[$-0E0000]yyyy-mm-dd")</f>
        <v/>
      </c>
      <c r="C67440" t="inlineStr">
        <is>
          <t>2084-07-20</t>
        </is>
      </c>
    </row>
    <row r="67441">
      <c r="A67441" s="1" t="n">
        <v>67440</v>
      </c>
      <c r="B67441">
        <f>TEXT(67440, "[$-0E0000]yyyy-mm-dd")</f>
        <v/>
      </c>
      <c r="C67441" t="inlineStr">
        <is>
          <t>2084-07-21</t>
        </is>
      </c>
    </row>
    <row r="67442">
      <c r="A67442" s="1" t="n">
        <v>67441</v>
      </c>
      <c r="B67442">
        <f>TEXT(67441, "[$-0E0000]yyyy-mm-dd")</f>
        <v/>
      </c>
      <c r="C67442" t="inlineStr">
        <is>
          <t>2084-07-22</t>
        </is>
      </c>
    </row>
    <row r="67443">
      <c r="A67443" s="1" t="n">
        <v>67442</v>
      </c>
      <c r="B67443">
        <f>TEXT(67442, "[$-0E0000]yyyy-mm-dd")</f>
        <v/>
      </c>
      <c r="C67443" t="inlineStr">
        <is>
          <t>2084-07-23</t>
        </is>
      </c>
    </row>
    <row r="67444">
      <c r="A67444" s="1" t="n">
        <v>67443</v>
      </c>
      <c r="B67444">
        <f>TEXT(67443, "[$-0E0000]yyyy-mm-dd")</f>
        <v/>
      </c>
      <c r="C67444" t="inlineStr">
        <is>
          <t>2084-07-24</t>
        </is>
      </c>
    </row>
    <row r="67445">
      <c r="A67445" s="1" t="n">
        <v>67444</v>
      </c>
      <c r="B67445">
        <f>TEXT(67444, "[$-0E0000]yyyy-mm-dd")</f>
        <v/>
      </c>
      <c r="C67445" t="inlineStr">
        <is>
          <t>2084-07-25</t>
        </is>
      </c>
    </row>
    <row r="67446">
      <c r="A67446" s="1" t="n">
        <v>67445</v>
      </c>
      <c r="B67446">
        <f>TEXT(67445, "[$-0E0000]yyyy-mm-dd")</f>
        <v/>
      </c>
      <c r="C67446" t="inlineStr">
        <is>
          <t>2084-07-26</t>
        </is>
      </c>
    </row>
    <row r="67447">
      <c r="A67447" s="1" t="n">
        <v>67446</v>
      </c>
      <c r="B67447">
        <f>TEXT(67446, "[$-0E0000]yyyy-mm-dd")</f>
        <v/>
      </c>
      <c r="C67447" t="inlineStr">
        <is>
          <t>2084-07-27</t>
        </is>
      </c>
    </row>
    <row r="67448">
      <c r="A67448" s="1" t="n">
        <v>67447</v>
      </c>
      <c r="B67448">
        <f>TEXT(67447, "[$-0E0000]yyyy-mm-dd")</f>
        <v/>
      </c>
      <c r="C67448" t="inlineStr">
        <is>
          <t>2084-07-28</t>
        </is>
      </c>
    </row>
    <row r="67449">
      <c r="A67449" s="1" t="n">
        <v>67448</v>
      </c>
      <c r="B67449">
        <f>TEXT(67448, "[$-0E0000]yyyy-mm-dd")</f>
        <v/>
      </c>
      <c r="C67449" t="inlineStr">
        <is>
          <t>2084-07-29</t>
        </is>
      </c>
    </row>
    <row r="67450">
      <c r="A67450" s="1" t="n">
        <v>67449</v>
      </c>
      <c r="B67450">
        <f>TEXT(67449, "[$-0E0000]yyyy-mm-dd")</f>
        <v/>
      </c>
      <c r="C67450" t="inlineStr">
        <is>
          <t>2084-08-01</t>
        </is>
      </c>
    </row>
    <row r="67451">
      <c r="A67451" s="1" t="n">
        <v>67450</v>
      </c>
      <c r="B67451">
        <f>TEXT(67450, "[$-0E0000]yyyy-mm-dd")</f>
        <v/>
      </c>
      <c r="C67451" t="inlineStr">
        <is>
          <t>2084-08-02</t>
        </is>
      </c>
    </row>
    <row r="67452">
      <c r="A67452" s="1" t="n">
        <v>67451</v>
      </c>
      <c r="B67452">
        <f>TEXT(67451, "[$-0E0000]yyyy-mm-dd")</f>
        <v/>
      </c>
      <c r="C67452" t="inlineStr">
        <is>
          <t>2084-08-03</t>
        </is>
      </c>
    </row>
    <row r="67453">
      <c r="A67453" s="1" t="n">
        <v>67452</v>
      </c>
      <c r="B67453">
        <f>TEXT(67452, "[$-0E0000]yyyy-mm-dd")</f>
        <v/>
      </c>
      <c r="C67453" t="inlineStr">
        <is>
          <t>2084-08-04</t>
        </is>
      </c>
    </row>
    <row r="67454">
      <c r="A67454" s="1" t="n">
        <v>67453</v>
      </c>
      <c r="B67454">
        <f>TEXT(67453, "[$-0E0000]yyyy-mm-dd")</f>
        <v/>
      </c>
      <c r="C67454" t="inlineStr">
        <is>
          <t>2084-08-05</t>
        </is>
      </c>
    </row>
    <row r="67455">
      <c r="A67455" s="1" t="n">
        <v>67454</v>
      </c>
      <c r="B67455">
        <f>TEXT(67454, "[$-0E0000]yyyy-mm-dd")</f>
        <v/>
      </c>
      <c r="C67455" t="inlineStr">
        <is>
          <t>2084-08-06</t>
        </is>
      </c>
    </row>
    <row r="67456">
      <c r="A67456" s="1" t="n">
        <v>67455</v>
      </c>
      <c r="B67456">
        <f>TEXT(67455, "[$-0E0000]yyyy-mm-dd")</f>
        <v/>
      </c>
      <c r="C67456" t="inlineStr">
        <is>
          <t>2084-08-07</t>
        </is>
      </c>
    </row>
    <row r="67457">
      <c r="A67457" s="1" t="n">
        <v>67456</v>
      </c>
      <c r="B67457">
        <f>TEXT(67456, "[$-0E0000]yyyy-mm-dd")</f>
        <v/>
      </c>
      <c r="C67457" t="inlineStr">
        <is>
          <t>2084-08-08</t>
        </is>
      </c>
    </row>
    <row r="67458">
      <c r="A67458" s="1" t="n">
        <v>67457</v>
      </c>
      <c r="B67458">
        <f>TEXT(67457, "[$-0E0000]yyyy-mm-dd")</f>
        <v/>
      </c>
      <c r="C67458" t="inlineStr">
        <is>
          <t>2084-08-09</t>
        </is>
      </c>
    </row>
    <row r="67459">
      <c r="A67459" s="1" t="n">
        <v>67458</v>
      </c>
      <c r="B67459">
        <f>TEXT(67458, "[$-0E0000]yyyy-mm-dd")</f>
        <v/>
      </c>
      <c r="C67459" t="inlineStr">
        <is>
          <t>2084-08-10</t>
        </is>
      </c>
    </row>
    <row r="67460">
      <c r="A67460" s="1" t="n">
        <v>67459</v>
      </c>
      <c r="B67460">
        <f>TEXT(67459, "[$-0E0000]yyyy-mm-dd")</f>
        <v/>
      </c>
      <c r="C67460" t="inlineStr">
        <is>
          <t>2084-08-11</t>
        </is>
      </c>
    </row>
    <row r="67461">
      <c r="A67461" s="1" t="n">
        <v>67460</v>
      </c>
      <c r="B67461">
        <f>TEXT(67460, "[$-0E0000]yyyy-mm-dd")</f>
        <v/>
      </c>
      <c r="C67461" t="inlineStr">
        <is>
          <t>2084-08-12</t>
        </is>
      </c>
    </row>
    <row r="67462">
      <c r="A67462" s="1" t="n">
        <v>67461</v>
      </c>
      <c r="B67462">
        <f>TEXT(67461, "[$-0E0000]yyyy-mm-dd")</f>
        <v/>
      </c>
      <c r="C67462" t="inlineStr">
        <is>
          <t>2084-08-13</t>
        </is>
      </c>
    </row>
    <row r="67463">
      <c r="A67463" s="1" t="n">
        <v>67462</v>
      </c>
      <c r="B67463">
        <f>TEXT(67462, "[$-0E0000]yyyy-mm-dd")</f>
        <v/>
      </c>
      <c r="C67463" t="inlineStr">
        <is>
          <t>2084-08-14</t>
        </is>
      </c>
    </row>
    <row r="67464">
      <c r="A67464" s="1" t="n">
        <v>67463</v>
      </c>
      <c r="B67464">
        <f>TEXT(67463, "[$-0E0000]yyyy-mm-dd")</f>
        <v/>
      </c>
      <c r="C67464" t="inlineStr">
        <is>
          <t>2084-08-15</t>
        </is>
      </c>
    </row>
    <row r="67465">
      <c r="A67465" s="1" t="n">
        <v>67464</v>
      </c>
      <c r="B67465">
        <f>TEXT(67464, "[$-0E0000]yyyy-mm-dd")</f>
        <v/>
      </c>
      <c r="C67465" t="inlineStr">
        <is>
          <t>2084-08-16</t>
        </is>
      </c>
    </row>
    <row r="67466">
      <c r="A67466" s="1" t="n">
        <v>67465</v>
      </c>
      <c r="B67466">
        <f>TEXT(67465, "[$-0E0000]yyyy-mm-dd")</f>
        <v/>
      </c>
      <c r="C67466" t="inlineStr">
        <is>
          <t>2084-08-17</t>
        </is>
      </c>
    </row>
    <row r="67467">
      <c r="A67467" s="1" t="n">
        <v>67466</v>
      </c>
      <c r="B67467">
        <f>TEXT(67466, "[$-0E0000]yyyy-mm-dd")</f>
        <v/>
      </c>
      <c r="C67467" t="inlineStr">
        <is>
          <t>2084-08-18</t>
        </is>
      </c>
    </row>
    <row r="67468">
      <c r="A67468" s="1" t="n">
        <v>67467</v>
      </c>
      <c r="B67468">
        <f>TEXT(67467, "[$-0E0000]yyyy-mm-dd")</f>
        <v/>
      </c>
      <c r="C67468" t="inlineStr">
        <is>
          <t>2084-08-19</t>
        </is>
      </c>
    </row>
    <row r="67469">
      <c r="A67469" s="1" t="n">
        <v>67468</v>
      </c>
      <c r="B67469">
        <f>TEXT(67468, "[$-0E0000]yyyy-mm-dd")</f>
        <v/>
      </c>
      <c r="C67469" t="inlineStr">
        <is>
          <t>2084-08-20</t>
        </is>
      </c>
    </row>
    <row r="67470">
      <c r="A67470" s="1" t="n">
        <v>67469</v>
      </c>
      <c r="B67470">
        <f>TEXT(67469, "[$-0E0000]yyyy-mm-dd")</f>
        <v/>
      </c>
      <c r="C67470" t="inlineStr">
        <is>
          <t>2084-08-21</t>
        </is>
      </c>
    </row>
    <row r="67471">
      <c r="A67471" s="1" t="n">
        <v>67470</v>
      </c>
      <c r="B67471">
        <f>TEXT(67470, "[$-0E0000]yyyy-mm-dd")</f>
        <v/>
      </c>
      <c r="C67471" t="inlineStr">
        <is>
          <t>2084-08-22</t>
        </is>
      </c>
    </row>
    <row r="67472">
      <c r="A67472" s="1" t="n">
        <v>67471</v>
      </c>
      <c r="B67472">
        <f>TEXT(67471, "[$-0E0000]yyyy-mm-dd")</f>
        <v/>
      </c>
      <c r="C67472" t="inlineStr">
        <is>
          <t>2084-08-23</t>
        </is>
      </c>
    </row>
    <row r="67473">
      <c r="A67473" s="1" t="n">
        <v>67472</v>
      </c>
      <c r="B67473">
        <f>TEXT(67472, "[$-0E0000]yyyy-mm-dd")</f>
        <v/>
      </c>
      <c r="C67473" t="inlineStr">
        <is>
          <t>2084-08-24</t>
        </is>
      </c>
    </row>
    <row r="67474">
      <c r="A67474" s="1" t="n">
        <v>67473</v>
      </c>
      <c r="B67474">
        <f>TEXT(67473, "[$-0E0000]yyyy-mm-dd")</f>
        <v/>
      </c>
      <c r="C67474" t="inlineStr">
        <is>
          <t>2084-08-25</t>
        </is>
      </c>
    </row>
    <row r="67475">
      <c r="A67475" s="1" t="n">
        <v>67474</v>
      </c>
      <c r="B67475">
        <f>TEXT(67474, "[$-0E0000]yyyy-mm-dd")</f>
        <v/>
      </c>
      <c r="C67475" t="inlineStr">
        <is>
          <t>2084-08-26</t>
        </is>
      </c>
    </row>
    <row r="67476">
      <c r="A67476" s="1" t="n">
        <v>67475</v>
      </c>
      <c r="B67476">
        <f>TEXT(67475, "[$-0E0000]yyyy-mm-dd")</f>
        <v/>
      </c>
      <c r="C67476" t="inlineStr">
        <is>
          <t>2084-08-27</t>
        </is>
      </c>
    </row>
    <row r="67477">
      <c r="A67477" s="1" t="n">
        <v>67476</v>
      </c>
      <c r="B67477">
        <f>TEXT(67476, "[$-0E0000]yyyy-mm-dd")</f>
        <v/>
      </c>
      <c r="C67477" t="inlineStr">
        <is>
          <t>2084-08-28</t>
        </is>
      </c>
    </row>
    <row r="67478">
      <c r="A67478" s="1" t="n">
        <v>67477</v>
      </c>
      <c r="B67478">
        <f>TEXT(67477, "[$-0E0000]yyyy-mm-dd")</f>
        <v/>
      </c>
      <c r="C67478" t="inlineStr">
        <is>
          <t>2084-08-29</t>
        </is>
      </c>
    </row>
    <row r="67479">
      <c r="A67479" s="1" t="n">
        <v>67478</v>
      </c>
      <c r="B67479">
        <f>TEXT(67478, "[$-0E0000]yyyy-mm-dd")</f>
        <v/>
      </c>
      <c r="C67479" t="inlineStr">
        <is>
          <t>2084-08-30</t>
        </is>
      </c>
    </row>
    <row r="67480">
      <c r="A67480" s="1" t="n">
        <v>67479</v>
      </c>
      <c r="B67480">
        <f>TEXT(67479, "[$-0E0000]yyyy-mm-dd")</f>
        <v/>
      </c>
      <c r="C67480" t="inlineStr">
        <is>
          <t>2084-09-01</t>
        </is>
      </c>
    </row>
    <row r="67481">
      <c r="A67481" s="1" t="n">
        <v>67480</v>
      </c>
      <c r="B67481">
        <f>TEXT(67480, "[$-0E0000]yyyy-mm-dd")</f>
        <v/>
      </c>
      <c r="C67481" t="inlineStr">
        <is>
          <t>2084-09-02</t>
        </is>
      </c>
    </row>
    <row r="67482">
      <c r="A67482" s="1" t="n">
        <v>67481</v>
      </c>
      <c r="B67482">
        <f>TEXT(67481, "[$-0E0000]yyyy-mm-dd")</f>
        <v/>
      </c>
      <c r="C67482" t="inlineStr">
        <is>
          <t>2084-09-03</t>
        </is>
      </c>
    </row>
    <row r="67483">
      <c r="A67483" s="1" t="n">
        <v>67482</v>
      </c>
      <c r="B67483">
        <f>TEXT(67482, "[$-0E0000]yyyy-mm-dd")</f>
        <v/>
      </c>
      <c r="C67483" t="inlineStr">
        <is>
          <t>2084-09-04</t>
        </is>
      </c>
    </row>
    <row r="67484">
      <c r="A67484" s="1" t="n">
        <v>67483</v>
      </c>
      <c r="B67484">
        <f>TEXT(67483, "[$-0E0000]yyyy-mm-dd")</f>
        <v/>
      </c>
      <c r="C67484" t="inlineStr">
        <is>
          <t>2084-09-05</t>
        </is>
      </c>
    </row>
    <row r="67485">
      <c r="A67485" s="1" t="n">
        <v>67484</v>
      </c>
      <c r="B67485">
        <f>TEXT(67484, "[$-0E0000]yyyy-mm-dd")</f>
        <v/>
      </c>
      <c r="C67485" t="inlineStr">
        <is>
          <t>2084-09-06</t>
        </is>
      </c>
    </row>
    <row r="67486">
      <c r="A67486" s="1" t="n">
        <v>67485</v>
      </c>
      <c r="B67486">
        <f>TEXT(67485, "[$-0E0000]yyyy-mm-dd")</f>
        <v/>
      </c>
      <c r="C67486" t="inlineStr">
        <is>
          <t>2084-09-07</t>
        </is>
      </c>
    </row>
    <row r="67487">
      <c r="A67487" s="1" t="n">
        <v>67486</v>
      </c>
      <c r="B67487">
        <f>TEXT(67486, "[$-0E0000]yyyy-mm-dd")</f>
        <v/>
      </c>
      <c r="C67487" t="inlineStr">
        <is>
          <t>2084-09-08</t>
        </is>
      </c>
    </row>
    <row r="67488">
      <c r="A67488" s="1" t="n">
        <v>67487</v>
      </c>
      <c r="B67488">
        <f>TEXT(67487, "[$-0E0000]yyyy-mm-dd")</f>
        <v/>
      </c>
      <c r="C67488" t="inlineStr">
        <is>
          <t>2084-09-09</t>
        </is>
      </c>
    </row>
    <row r="67489">
      <c r="A67489" s="1" t="n">
        <v>67488</v>
      </c>
      <c r="B67489">
        <f>TEXT(67488, "[$-0E0000]yyyy-mm-dd")</f>
        <v/>
      </c>
      <c r="C67489" t="inlineStr">
        <is>
          <t>2084-09-10</t>
        </is>
      </c>
    </row>
    <row r="67490">
      <c r="A67490" s="1" t="n">
        <v>67489</v>
      </c>
      <c r="B67490">
        <f>TEXT(67489, "[$-0E0000]yyyy-mm-dd")</f>
        <v/>
      </c>
      <c r="C67490" t="inlineStr">
        <is>
          <t>2084-09-11</t>
        </is>
      </c>
    </row>
    <row r="67491">
      <c r="A67491" s="1" t="n">
        <v>67490</v>
      </c>
      <c r="B67491">
        <f>TEXT(67490, "[$-0E0000]yyyy-mm-dd")</f>
        <v/>
      </c>
      <c r="C67491" t="inlineStr">
        <is>
          <t>2084-09-12</t>
        </is>
      </c>
    </row>
    <row r="67492">
      <c r="A67492" s="1" t="n">
        <v>67491</v>
      </c>
      <c r="B67492">
        <f>TEXT(67491, "[$-0E0000]yyyy-mm-dd")</f>
        <v/>
      </c>
      <c r="C67492" t="inlineStr">
        <is>
          <t>2084-09-13</t>
        </is>
      </c>
    </row>
    <row r="67493">
      <c r="A67493" s="1" t="n">
        <v>67492</v>
      </c>
      <c r="B67493">
        <f>TEXT(67492, "[$-0E0000]yyyy-mm-dd")</f>
        <v/>
      </c>
      <c r="C67493" t="inlineStr">
        <is>
          <t>2084-09-14</t>
        </is>
      </c>
    </row>
    <row r="67494">
      <c r="A67494" s="1" t="n">
        <v>67493</v>
      </c>
      <c r="B67494">
        <f>TEXT(67493, "[$-0E0000]yyyy-mm-dd")</f>
        <v/>
      </c>
      <c r="C67494" t="inlineStr">
        <is>
          <t>2084-09-15</t>
        </is>
      </c>
    </row>
    <row r="67495">
      <c r="A67495" s="1" t="n">
        <v>67494</v>
      </c>
      <c r="B67495">
        <f>TEXT(67494, "[$-0E0000]yyyy-mm-dd")</f>
        <v/>
      </c>
      <c r="C67495" t="inlineStr">
        <is>
          <t>2084-09-16</t>
        </is>
      </c>
    </row>
    <row r="67496">
      <c r="A67496" s="1" t="n">
        <v>67495</v>
      </c>
      <c r="B67496">
        <f>TEXT(67495, "[$-0E0000]yyyy-mm-dd")</f>
        <v/>
      </c>
      <c r="C67496" t="inlineStr">
        <is>
          <t>2084-09-17</t>
        </is>
      </c>
    </row>
    <row r="67497">
      <c r="A67497" s="1" t="n">
        <v>67496</v>
      </c>
      <c r="B67497">
        <f>TEXT(67496, "[$-0E0000]yyyy-mm-dd")</f>
        <v/>
      </c>
      <c r="C67497" t="inlineStr">
        <is>
          <t>2084-09-18</t>
        </is>
      </c>
    </row>
    <row r="67498">
      <c r="A67498" s="1" t="n">
        <v>67497</v>
      </c>
      <c r="B67498">
        <f>TEXT(67497, "[$-0E0000]yyyy-mm-dd")</f>
        <v/>
      </c>
      <c r="C67498" t="inlineStr">
        <is>
          <t>2084-09-19</t>
        </is>
      </c>
    </row>
    <row r="67499">
      <c r="A67499" s="1" t="n">
        <v>67498</v>
      </c>
      <c r="B67499">
        <f>TEXT(67498, "[$-0E0000]yyyy-mm-dd")</f>
        <v/>
      </c>
      <c r="C67499" t="inlineStr">
        <is>
          <t>2084-09-20</t>
        </is>
      </c>
    </row>
    <row r="67500">
      <c r="A67500" s="1" t="n">
        <v>67499</v>
      </c>
      <c r="B67500">
        <f>TEXT(67499, "[$-0E0000]yyyy-mm-dd")</f>
        <v/>
      </c>
      <c r="C67500" t="inlineStr">
        <is>
          <t>2084-09-21</t>
        </is>
      </c>
    </row>
    <row r="67501">
      <c r="A67501" s="1" t="n">
        <v>67500</v>
      </c>
      <c r="B67501">
        <f>TEXT(67500, "[$-0E0000]yyyy-mm-dd")</f>
        <v/>
      </c>
      <c r="C67501" t="inlineStr">
        <is>
          <t>2084-09-22</t>
        </is>
      </c>
    </row>
    <row r="67502">
      <c r="A67502" s="1" t="n">
        <v>67501</v>
      </c>
      <c r="B67502">
        <f>TEXT(67501, "[$-0E0000]yyyy-mm-dd")</f>
        <v/>
      </c>
      <c r="C67502" t="inlineStr">
        <is>
          <t>2084-09-23</t>
        </is>
      </c>
    </row>
    <row r="67503">
      <c r="A67503" s="1" t="n">
        <v>67502</v>
      </c>
      <c r="B67503">
        <f>TEXT(67502, "[$-0E0000]yyyy-mm-dd")</f>
        <v/>
      </c>
      <c r="C67503" t="inlineStr">
        <is>
          <t>2084-09-24</t>
        </is>
      </c>
    </row>
    <row r="67504">
      <c r="A67504" s="1" t="n">
        <v>67503</v>
      </c>
      <c r="B67504">
        <f>TEXT(67503, "[$-0E0000]yyyy-mm-dd")</f>
        <v/>
      </c>
      <c r="C67504" t="inlineStr">
        <is>
          <t>2084-09-25</t>
        </is>
      </c>
    </row>
    <row r="67505">
      <c r="A67505" s="1" t="n">
        <v>67504</v>
      </c>
      <c r="B67505">
        <f>TEXT(67504, "[$-0E0000]yyyy-mm-dd")</f>
        <v/>
      </c>
      <c r="C67505" t="inlineStr">
        <is>
          <t>2084-09-26</t>
        </is>
      </c>
    </row>
    <row r="67506">
      <c r="A67506" s="1" t="n">
        <v>67505</v>
      </c>
      <c r="B67506">
        <f>TEXT(67505, "[$-0E0000]yyyy-mm-dd")</f>
        <v/>
      </c>
      <c r="C67506" t="inlineStr">
        <is>
          <t>2084-09-27</t>
        </is>
      </c>
    </row>
    <row r="67507">
      <c r="A67507" s="1" t="n">
        <v>67506</v>
      </c>
      <c r="B67507">
        <f>TEXT(67506, "[$-0E0000]yyyy-mm-dd")</f>
        <v/>
      </c>
      <c r="C67507" t="inlineStr">
        <is>
          <t>2084-09-28</t>
        </is>
      </c>
    </row>
    <row r="67508">
      <c r="A67508" s="1" t="n">
        <v>67507</v>
      </c>
      <c r="B67508">
        <f>TEXT(67507, "[$-0E0000]yyyy-mm-dd")</f>
        <v/>
      </c>
      <c r="C67508" t="inlineStr">
        <is>
          <t>2084-09-29</t>
        </is>
      </c>
    </row>
    <row r="67509">
      <c r="A67509" s="1" t="n">
        <v>67508</v>
      </c>
      <c r="B67509">
        <f>TEXT(67508, "[$-0E0000]yyyy-mm-dd")</f>
        <v/>
      </c>
      <c r="C67509" t="inlineStr">
        <is>
          <t>2084-10-01</t>
        </is>
      </c>
    </row>
    <row r="67510">
      <c r="A67510" s="1" t="n">
        <v>67509</v>
      </c>
      <c r="B67510">
        <f>TEXT(67509, "[$-0E0000]yyyy-mm-dd")</f>
        <v/>
      </c>
      <c r="C67510" t="inlineStr">
        <is>
          <t>2084-10-02</t>
        </is>
      </c>
    </row>
    <row r="67511">
      <c r="A67511" s="1" t="n">
        <v>67510</v>
      </c>
      <c r="B67511">
        <f>TEXT(67510, "[$-0E0000]yyyy-mm-dd")</f>
        <v/>
      </c>
      <c r="C67511" t="inlineStr">
        <is>
          <t>2084-10-03</t>
        </is>
      </c>
    </row>
    <row r="67512">
      <c r="A67512" s="1" t="n">
        <v>67511</v>
      </c>
      <c r="B67512">
        <f>TEXT(67511, "[$-0E0000]yyyy-mm-dd")</f>
        <v/>
      </c>
      <c r="C67512" t="inlineStr">
        <is>
          <t>2084-10-04</t>
        </is>
      </c>
    </row>
    <row r="67513">
      <c r="A67513" s="1" t="n">
        <v>67512</v>
      </c>
      <c r="B67513">
        <f>TEXT(67512, "[$-0E0000]yyyy-mm-dd")</f>
        <v/>
      </c>
      <c r="C67513" t="inlineStr">
        <is>
          <t>2084-10-05</t>
        </is>
      </c>
    </row>
    <row r="67514">
      <c r="A67514" s="1" t="n">
        <v>67513</v>
      </c>
      <c r="B67514">
        <f>TEXT(67513, "[$-0E0000]yyyy-mm-dd")</f>
        <v/>
      </c>
      <c r="C67514" t="inlineStr">
        <is>
          <t>2084-10-06</t>
        </is>
      </c>
    </row>
    <row r="67515">
      <c r="A67515" s="1" t="n">
        <v>67514</v>
      </c>
      <c r="B67515">
        <f>TEXT(67514, "[$-0E0000]yyyy-mm-dd")</f>
        <v/>
      </c>
      <c r="C67515" t="inlineStr">
        <is>
          <t>2084-10-07</t>
        </is>
      </c>
    </row>
    <row r="67516">
      <c r="A67516" s="1" t="n">
        <v>67515</v>
      </c>
      <c r="B67516">
        <f>TEXT(67515, "[$-0E0000]yyyy-mm-dd")</f>
        <v/>
      </c>
      <c r="C67516" t="inlineStr">
        <is>
          <t>2084-10-08</t>
        </is>
      </c>
    </row>
    <row r="67517">
      <c r="A67517" s="1" t="n">
        <v>67516</v>
      </c>
      <c r="B67517">
        <f>TEXT(67516, "[$-0E0000]yyyy-mm-dd")</f>
        <v/>
      </c>
      <c r="C67517" t="inlineStr">
        <is>
          <t>2084-10-09</t>
        </is>
      </c>
    </row>
    <row r="67518">
      <c r="A67518" s="1" t="n">
        <v>67517</v>
      </c>
      <c r="B67518">
        <f>TEXT(67517, "[$-0E0000]yyyy-mm-dd")</f>
        <v/>
      </c>
      <c r="C67518" t="inlineStr">
        <is>
          <t>2084-10-10</t>
        </is>
      </c>
    </row>
    <row r="67519">
      <c r="A67519" s="1" t="n">
        <v>67518</v>
      </c>
      <c r="B67519">
        <f>TEXT(67518, "[$-0E0000]yyyy-mm-dd")</f>
        <v/>
      </c>
      <c r="C67519" t="inlineStr">
        <is>
          <t>2084-10-11</t>
        </is>
      </c>
    </row>
    <row r="67520">
      <c r="A67520" s="1" t="n">
        <v>67519</v>
      </c>
      <c r="B67520">
        <f>TEXT(67519, "[$-0E0000]yyyy-mm-dd")</f>
        <v/>
      </c>
      <c r="C67520" t="inlineStr">
        <is>
          <t>2084-10-12</t>
        </is>
      </c>
    </row>
    <row r="67521">
      <c r="A67521" s="1" t="n">
        <v>67520</v>
      </c>
      <c r="B67521">
        <f>TEXT(67520, "[$-0E0000]yyyy-mm-dd")</f>
        <v/>
      </c>
      <c r="C67521" t="inlineStr">
        <is>
          <t>2084-10-13</t>
        </is>
      </c>
    </row>
    <row r="67522">
      <c r="A67522" s="1" t="n">
        <v>67521</v>
      </c>
      <c r="B67522">
        <f>TEXT(67521, "[$-0E0000]yyyy-mm-dd")</f>
        <v/>
      </c>
      <c r="C67522" t="inlineStr">
        <is>
          <t>2084-10-14</t>
        </is>
      </c>
    </row>
    <row r="67523">
      <c r="A67523" s="1" t="n">
        <v>67522</v>
      </c>
      <c r="B67523">
        <f>TEXT(67522, "[$-0E0000]yyyy-mm-dd")</f>
        <v/>
      </c>
      <c r="C67523" t="inlineStr">
        <is>
          <t>2084-10-15</t>
        </is>
      </c>
    </row>
    <row r="67524">
      <c r="A67524" s="1" t="n">
        <v>67523</v>
      </c>
      <c r="B67524">
        <f>TEXT(67523, "[$-0E0000]yyyy-mm-dd")</f>
        <v/>
      </c>
      <c r="C67524" t="inlineStr">
        <is>
          <t>2084-10-16</t>
        </is>
      </c>
    </row>
    <row r="67525">
      <c r="A67525" s="1" t="n">
        <v>67524</v>
      </c>
      <c r="B67525">
        <f>TEXT(67524, "[$-0E0000]yyyy-mm-dd")</f>
        <v/>
      </c>
      <c r="C67525" t="inlineStr">
        <is>
          <t>2084-10-17</t>
        </is>
      </c>
    </row>
    <row r="67526">
      <c r="A67526" s="1" t="n">
        <v>67525</v>
      </c>
      <c r="B67526">
        <f>TEXT(67525, "[$-0E0000]yyyy-mm-dd")</f>
        <v/>
      </c>
      <c r="C67526" t="inlineStr">
        <is>
          <t>2084-10-18</t>
        </is>
      </c>
    </row>
    <row r="67527">
      <c r="A67527" s="1" t="n">
        <v>67526</v>
      </c>
      <c r="B67527">
        <f>TEXT(67526, "[$-0E0000]yyyy-mm-dd")</f>
        <v/>
      </c>
      <c r="C67527" t="inlineStr">
        <is>
          <t>2084-10-19</t>
        </is>
      </c>
    </row>
    <row r="67528">
      <c r="A67528" s="1" t="n">
        <v>67527</v>
      </c>
      <c r="B67528">
        <f>TEXT(67527, "[$-0E0000]yyyy-mm-dd")</f>
        <v/>
      </c>
      <c r="C67528" t="inlineStr">
        <is>
          <t>2084-10-20</t>
        </is>
      </c>
    </row>
    <row r="67529">
      <c r="A67529" s="1" t="n">
        <v>67528</v>
      </c>
      <c r="B67529">
        <f>TEXT(67528, "[$-0E0000]yyyy-mm-dd")</f>
        <v/>
      </c>
      <c r="C67529" t="inlineStr">
        <is>
          <t>2084-10-21</t>
        </is>
      </c>
    </row>
    <row r="67530">
      <c r="A67530" s="1" t="n">
        <v>67529</v>
      </c>
      <c r="B67530">
        <f>TEXT(67529, "[$-0E0000]yyyy-mm-dd")</f>
        <v/>
      </c>
      <c r="C67530" t="inlineStr">
        <is>
          <t>2084-10-22</t>
        </is>
      </c>
    </row>
    <row r="67531">
      <c r="A67531" s="1" t="n">
        <v>67530</v>
      </c>
      <c r="B67531">
        <f>TEXT(67530, "[$-0E0000]yyyy-mm-dd")</f>
        <v/>
      </c>
      <c r="C67531" t="inlineStr">
        <is>
          <t>2084-10-23</t>
        </is>
      </c>
    </row>
    <row r="67532">
      <c r="A67532" s="1" t="n">
        <v>67531</v>
      </c>
      <c r="B67532">
        <f>TEXT(67531, "[$-0E0000]yyyy-mm-dd")</f>
        <v/>
      </c>
      <c r="C67532" t="inlineStr">
        <is>
          <t>2084-10-24</t>
        </is>
      </c>
    </row>
    <row r="67533">
      <c r="A67533" s="1" t="n">
        <v>67532</v>
      </c>
      <c r="B67533">
        <f>TEXT(67532, "[$-0E0000]yyyy-mm-dd")</f>
        <v/>
      </c>
      <c r="C67533" t="inlineStr">
        <is>
          <t>2084-10-25</t>
        </is>
      </c>
    </row>
    <row r="67534">
      <c r="A67534" s="1" t="n">
        <v>67533</v>
      </c>
      <c r="B67534">
        <f>TEXT(67533, "[$-0E0000]yyyy-mm-dd")</f>
        <v/>
      </c>
      <c r="C67534" t="inlineStr">
        <is>
          <t>2084-10-26</t>
        </is>
      </c>
    </row>
    <row r="67535">
      <c r="A67535" s="1" t="n">
        <v>67534</v>
      </c>
      <c r="B67535">
        <f>TEXT(67534, "[$-0E0000]yyyy-mm-dd")</f>
        <v/>
      </c>
      <c r="C67535" t="inlineStr">
        <is>
          <t>2084-10-27</t>
        </is>
      </c>
    </row>
    <row r="67536">
      <c r="A67536" s="1" t="n">
        <v>67535</v>
      </c>
      <c r="B67536">
        <f>TEXT(67535, "[$-0E0000]yyyy-mm-dd")</f>
        <v/>
      </c>
      <c r="C67536" t="inlineStr">
        <is>
          <t>2084-10-28</t>
        </is>
      </c>
    </row>
    <row r="67537">
      <c r="A67537" s="1" t="n">
        <v>67536</v>
      </c>
      <c r="B67537">
        <f>TEXT(67536, "[$-0E0000]yyyy-mm-dd")</f>
        <v/>
      </c>
      <c r="C67537" t="inlineStr">
        <is>
          <t>2084-10-29</t>
        </is>
      </c>
    </row>
    <row r="67538">
      <c r="A67538" s="1" t="n">
        <v>67537</v>
      </c>
      <c r="B67538">
        <f>TEXT(67537, "[$-0E0000]yyyy-mm-dd")</f>
        <v/>
      </c>
      <c r="C67538" t="inlineStr">
        <is>
          <t>2084-10-30</t>
        </is>
      </c>
    </row>
    <row r="67539">
      <c r="A67539" s="1" t="n">
        <v>67538</v>
      </c>
      <c r="B67539">
        <f>TEXT(67538, "[$-0E0000]yyyy-mm-dd")</f>
        <v/>
      </c>
      <c r="C67539" t="inlineStr">
        <is>
          <t>2084-11-01</t>
        </is>
      </c>
    </row>
    <row r="67540">
      <c r="A67540" s="1" t="n">
        <v>67539</v>
      </c>
      <c r="B67540">
        <f>TEXT(67539, "[$-0E0000]yyyy-mm-dd")</f>
        <v/>
      </c>
      <c r="C67540" t="inlineStr">
        <is>
          <t>2084-11-02</t>
        </is>
      </c>
    </row>
    <row r="67541">
      <c r="A67541" s="1" t="n">
        <v>67540</v>
      </c>
      <c r="B67541">
        <f>TEXT(67540, "[$-0E0000]yyyy-mm-dd")</f>
        <v/>
      </c>
      <c r="C67541" t="inlineStr">
        <is>
          <t>2084-11-03</t>
        </is>
      </c>
    </row>
    <row r="67542">
      <c r="A67542" s="1" t="n">
        <v>67541</v>
      </c>
      <c r="B67542">
        <f>TEXT(67541, "[$-0E0000]yyyy-mm-dd")</f>
        <v/>
      </c>
      <c r="C67542" t="inlineStr">
        <is>
          <t>2084-11-04</t>
        </is>
      </c>
    </row>
    <row r="67543">
      <c r="A67543" s="1" t="n">
        <v>67542</v>
      </c>
      <c r="B67543">
        <f>TEXT(67542, "[$-0E0000]yyyy-mm-dd")</f>
        <v/>
      </c>
      <c r="C67543" t="inlineStr">
        <is>
          <t>2084-11-05</t>
        </is>
      </c>
    </row>
    <row r="67544">
      <c r="A67544" s="1" t="n">
        <v>67543</v>
      </c>
      <c r="B67544">
        <f>TEXT(67543, "[$-0E0000]yyyy-mm-dd")</f>
        <v/>
      </c>
      <c r="C67544" t="inlineStr">
        <is>
          <t>2084-11-06</t>
        </is>
      </c>
    </row>
    <row r="67545">
      <c r="A67545" s="1" t="n">
        <v>67544</v>
      </c>
      <c r="B67545">
        <f>TEXT(67544, "[$-0E0000]yyyy-mm-dd")</f>
        <v/>
      </c>
      <c r="C67545" t="inlineStr">
        <is>
          <t>2084-11-07</t>
        </is>
      </c>
    </row>
    <row r="67546">
      <c r="A67546" s="1" t="n">
        <v>67545</v>
      </c>
      <c r="B67546">
        <f>TEXT(67545, "[$-0E0000]yyyy-mm-dd")</f>
        <v/>
      </c>
      <c r="C67546" t="inlineStr">
        <is>
          <t>2084-11-08</t>
        </is>
      </c>
    </row>
    <row r="67547">
      <c r="A67547" s="1" t="n">
        <v>67546</v>
      </c>
      <c r="B67547">
        <f>TEXT(67546, "[$-0E0000]yyyy-mm-dd")</f>
        <v/>
      </c>
      <c r="C67547" t="inlineStr">
        <is>
          <t>2084-11-09</t>
        </is>
      </c>
    </row>
    <row r="67548">
      <c r="A67548" s="1" t="n">
        <v>67547</v>
      </c>
      <c r="B67548">
        <f>TEXT(67547, "[$-0E0000]yyyy-mm-dd")</f>
        <v/>
      </c>
      <c r="C67548" t="inlineStr">
        <is>
          <t>2084-11-10</t>
        </is>
      </c>
    </row>
    <row r="67549">
      <c r="A67549" s="1" t="n">
        <v>67548</v>
      </c>
      <c r="B67549">
        <f>TEXT(67548, "[$-0E0000]yyyy-mm-dd")</f>
        <v/>
      </c>
      <c r="C67549" t="inlineStr">
        <is>
          <t>2084-11-11</t>
        </is>
      </c>
    </row>
    <row r="67550">
      <c r="A67550" s="1" t="n">
        <v>67549</v>
      </c>
      <c r="B67550">
        <f>TEXT(67549, "[$-0E0000]yyyy-mm-dd")</f>
        <v/>
      </c>
      <c r="C67550" t="inlineStr">
        <is>
          <t>2084-11-12</t>
        </is>
      </c>
    </row>
    <row r="67551">
      <c r="A67551" s="1" t="n">
        <v>67550</v>
      </c>
      <c r="B67551">
        <f>TEXT(67550, "[$-0E0000]yyyy-mm-dd")</f>
        <v/>
      </c>
      <c r="C67551" t="inlineStr">
        <is>
          <t>2084-11-13</t>
        </is>
      </c>
    </row>
    <row r="67552">
      <c r="A67552" s="1" t="n">
        <v>67551</v>
      </c>
      <c r="B67552">
        <f>TEXT(67551, "[$-0E0000]yyyy-mm-dd")</f>
        <v/>
      </c>
      <c r="C67552" t="inlineStr">
        <is>
          <t>2084-11-14</t>
        </is>
      </c>
    </row>
    <row r="67553">
      <c r="A67553" s="1" t="n">
        <v>67552</v>
      </c>
      <c r="B67553">
        <f>TEXT(67552, "[$-0E0000]yyyy-mm-dd")</f>
        <v/>
      </c>
      <c r="C67553" t="inlineStr">
        <is>
          <t>2084-11-15</t>
        </is>
      </c>
    </row>
    <row r="67554">
      <c r="A67554" s="1" t="n">
        <v>67553</v>
      </c>
      <c r="B67554">
        <f>TEXT(67553, "[$-0E0000]yyyy-mm-dd")</f>
        <v/>
      </c>
      <c r="C67554" t="inlineStr">
        <is>
          <t>2084-11-16</t>
        </is>
      </c>
    </row>
    <row r="67555">
      <c r="A67555" s="1" t="n">
        <v>67554</v>
      </c>
      <c r="B67555">
        <f>TEXT(67554, "[$-0E0000]yyyy-mm-dd")</f>
        <v/>
      </c>
      <c r="C67555" t="inlineStr">
        <is>
          <t>2084-11-17</t>
        </is>
      </c>
    </row>
    <row r="67556">
      <c r="A67556" s="1" t="n">
        <v>67555</v>
      </c>
      <c r="B67556">
        <f>TEXT(67555, "[$-0E0000]yyyy-mm-dd")</f>
        <v/>
      </c>
      <c r="C67556" t="inlineStr">
        <is>
          <t>2084-11-18</t>
        </is>
      </c>
    </row>
    <row r="67557">
      <c r="A67557" s="1" t="n">
        <v>67556</v>
      </c>
      <c r="B67557">
        <f>TEXT(67556, "[$-0E0000]yyyy-mm-dd")</f>
        <v/>
      </c>
      <c r="C67557" t="inlineStr">
        <is>
          <t>2084-11-19</t>
        </is>
      </c>
    </row>
    <row r="67558">
      <c r="A67558" s="1" t="n">
        <v>67557</v>
      </c>
      <c r="B67558">
        <f>TEXT(67557, "[$-0E0000]yyyy-mm-dd")</f>
        <v/>
      </c>
      <c r="C67558" t="inlineStr">
        <is>
          <t>2084-11-20</t>
        </is>
      </c>
    </row>
    <row r="67559">
      <c r="A67559" s="1" t="n">
        <v>67558</v>
      </c>
      <c r="B67559">
        <f>TEXT(67558, "[$-0E0000]yyyy-mm-dd")</f>
        <v/>
      </c>
      <c r="C67559" t="inlineStr">
        <is>
          <t>2084-11-21</t>
        </is>
      </c>
    </row>
    <row r="67560">
      <c r="A67560" s="1" t="n">
        <v>67559</v>
      </c>
      <c r="B67560">
        <f>TEXT(67559, "[$-0E0000]yyyy-mm-dd")</f>
        <v/>
      </c>
      <c r="C67560" t="inlineStr">
        <is>
          <t>2084-11-22</t>
        </is>
      </c>
    </row>
    <row r="67561">
      <c r="A67561" s="1" t="n">
        <v>67560</v>
      </c>
      <c r="B67561">
        <f>TEXT(67560, "[$-0E0000]yyyy-mm-dd")</f>
        <v/>
      </c>
      <c r="C67561" t="inlineStr">
        <is>
          <t>2084-11-23</t>
        </is>
      </c>
    </row>
    <row r="67562">
      <c r="A67562" s="1" t="n">
        <v>67561</v>
      </c>
      <c r="B67562">
        <f>TEXT(67561, "[$-0E0000]yyyy-mm-dd")</f>
        <v/>
      </c>
      <c r="C67562" t="inlineStr">
        <is>
          <t>2084-11-24</t>
        </is>
      </c>
    </row>
    <row r="67563">
      <c r="A67563" s="1" t="n">
        <v>67562</v>
      </c>
      <c r="B67563">
        <f>TEXT(67562, "[$-0E0000]yyyy-mm-dd")</f>
        <v/>
      </c>
      <c r="C67563" t="inlineStr">
        <is>
          <t>2084-11-25</t>
        </is>
      </c>
    </row>
    <row r="67564">
      <c r="A67564" s="1" t="n">
        <v>67563</v>
      </c>
      <c r="B67564">
        <f>TEXT(67563, "[$-0E0000]yyyy-mm-dd")</f>
        <v/>
      </c>
      <c r="C67564" t="inlineStr">
        <is>
          <t>2084-11-26</t>
        </is>
      </c>
    </row>
    <row r="67565">
      <c r="A67565" s="1" t="n">
        <v>67564</v>
      </c>
      <c r="B67565">
        <f>TEXT(67564, "[$-0E0000]yyyy-mm-dd")</f>
        <v/>
      </c>
      <c r="C67565" t="inlineStr">
        <is>
          <t>2084-11-27</t>
        </is>
      </c>
    </row>
    <row r="67566">
      <c r="A67566" s="1" t="n">
        <v>67565</v>
      </c>
      <c r="B67566">
        <f>TEXT(67565, "[$-0E0000]yyyy-mm-dd")</f>
        <v/>
      </c>
      <c r="C67566" t="inlineStr">
        <is>
          <t>2084-11-28</t>
        </is>
      </c>
    </row>
    <row r="67567">
      <c r="A67567" s="1" t="n">
        <v>67566</v>
      </c>
      <c r="B67567">
        <f>TEXT(67566, "[$-0E0000]yyyy-mm-dd")</f>
        <v/>
      </c>
      <c r="C67567" t="inlineStr">
        <is>
          <t>2084-11-29</t>
        </is>
      </c>
    </row>
    <row r="67568">
      <c r="A67568" s="1" t="n">
        <v>67567</v>
      </c>
      <c r="B67568">
        <f>TEXT(67567, "[$-0E0000]yyyy-mm-dd")</f>
        <v/>
      </c>
      <c r="C67568" t="inlineStr">
        <is>
          <t>2084-12-01</t>
        </is>
      </c>
    </row>
    <row r="67569">
      <c r="A67569" s="1" t="n">
        <v>67568</v>
      </c>
      <c r="B67569">
        <f>TEXT(67568, "[$-0E0000]yyyy-mm-dd")</f>
        <v/>
      </c>
      <c r="C67569" t="inlineStr">
        <is>
          <t>2084-12-02</t>
        </is>
      </c>
    </row>
    <row r="67570">
      <c r="A67570" s="1" t="n">
        <v>67569</v>
      </c>
      <c r="B67570">
        <f>TEXT(67569, "[$-0E0000]yyyy-mm-dd")</f>
        <v/>
      </c>
      <c r="C67570" t="inlineStr">
        <is>
          <t>2084-12-03</t>
        </is>
      </c>
    </row>
    <row r="67571">
      <c r="A67571" s="1" t="n">
        <v>67570</v>
      </c>
      <c r="B67571">
        <f>TEXT(67570, "[$-0E0000]yyyy-mm-dd")</f>
        <v/>
      </c>
      <c r="C67571" t="inlineStr">
        <is>
          <t>2084-12-04</t>
        </is>
      </c>
    </row>
    <row r="67572">
      <c r="A67572" s="1" t="n">
        <v>67571</v>
      </c>
      <c r="B67572">
        <f>TEXT(67571, "[$-0E0000]yyyy-mm-dd")</f>
        <v/>
      </c>
      <c r="C67572" t="inlineStr">
        <is>
          <t>2084-12-05</t>
        </is>
      </c>
    </row>
    <row r="67573">
      <c r="A67573" s="1" t="n">
        <v>67572</v>
      </c>
      <c r="B67573">
        <f>TEXT(67572, "[$-0E0000]yyyy-mm-dd")</f>
        <v/>
      </c>
      <c r="C67573" t="inlineStr">
        <is>
          <t>2084-12-06</t>
        </is>
      </c>
    </row>
    <row r="67574">
      <c r="A67574" s="1" t="n">
        <v>67573</v>
      </c>
      <c r="B67574">
        <f>TEXT(67573, "[$-0E0000]yyyy-mm-dd")</f>
        <v/>
      </c>
      <c r="C67574" t="inlineStr">
        <is>
          <t>2084-12-07</t>
        </is>
      </c>
    </row>
    <row r="67575">
      <c r="A67575" s="1" t="n">
        <v>67574</v>
      </c>
      <c r="B67575">
        <f>TEXT(67574, "[$-0E0000]yyyy-mm-dd")</f>
        <v/>
      </c>
      <c r="C67575" t="inlineStr">
        <is>
          <t>2084-12-08</t>
        </is>
      </c>
    </row>
    <row r="67576">
      <c r="A67576" s="1" t="n">
        <v>67575</v>
      </c>
      <c r="B67576">
        <f>TEXT(67575, "[$-0E0000]yyyy-mm-dd")</f>
        <v/>
      </c>
      <c r="C67576" t="inlineStr">
        <is>
          <t>2084-12-09</t>
        </is>
      </c>
    </row>
    <row r="67577">
      <c r="A67577" s="1" t="n">
        <v>67576</v>
      </c>
      <c r="B67577">
        <f>TEXT(67576, "[$-0E0000]yyyy-mm-dd")</f>
        <v/>
      </c>
      <c r="C67577" t="inlineStr">
        <is>
          <t>2084-12-10</t>
        </is>
      </c>
    </row>
    <row r="67578">
      <c r="A67578" s="1" t="n">
        <v>67577</v>
      </c>
      <c r="B67578">
        <f>TEXT(67577, "[$-0E0000]yyyy-mm-dd")</f>
        <v/>
      </c>
      <c r="C67578" t="inlineStr">
        <is>
          <t>2084-12-11</t>
        </is>
      </c>
    </row>
    <row r="67579">
      <c r="A67579" s="1" t="n">
        <v>67578</v>
      </c>
      <c r="B67579">
        <f>TEXT(67578, "[$-0E0000]yyyy-mm-dd")</f>
        <v/>
      </c>
      <c r="C67579" t="inlineStr">
        <is>
          <t>2084-12-12</t>
        </is>
      </c>
    </row>
    <row r="67580">
      <c r="A67580" s="1" t="n">
        <v>67579</v>
      </c>
      <c r="B67580">
        <f>TEXT(67579, "[$-0E0000]yyyy-mm-dd")</f>
        <v/>
      </c>
      <c r="C67580" t="inlineStr">
        <is>
          <t>2084-12-13</t>
        </is>
      </c>
    </row>
    <row r="67581">
      <c r="A67581" s="1" t="n">
        <v>67580</v>
      </c>
      <c r="B67581">
        <f>TEXT(67580, "[$-0E0000]yyyy-mm-dd")</f>
        <v/>
      </c>
      <c r="C67581" t="inlineStr">
        <is>
          <t>2084-12-14</t>
        </is>
      </c>
    </row>
    <row r="67582">
      <c r="A67582" s="1" t="n">
        <v>67581</v>
      </c>
      <c r="B67582">
        <f>TEXT(67581, "[$-0E0000]yyyy-mm-dd")</f>
        <v/>
      </c>
      <c r="C67582" t="inlineStr">
        <is>
          <t>2084-12-15</t>
        </is>
      </c>
    </row>
    <row r="67583">
      <c r="A67583" s="1" t="n">
        <v>67582</v>
      </c>
      <c r="B67583">
        <f>TEXT(67582, "[$-0E0000]yyyy-mm-dd")</f>
        <v/>
      </c>
      <c r="C67583" t="inlineStr">
        <is>
          <t>2084-12-16</t>
        </is>
      </c>
    </row>
    <row r="67584">
      <c r="A67584" s="1" t="n">
        <v>67583</v>
      </c>
      <c r="B67584">
        <f>TEXT(67583, "[$-0E0000]yyyy-mm-dd")</f>
        <v/>
      </c>
      <c r="C67584" t="inlineStr">
        <is>
          <t>2084-12-17</t>
        </is>
      </c>
    </row>
    <row r="67585">
      <c r="A67585" s="1" t="n">
        <v>67584</v>
      </c>
      <c r="B67585">
        <f>TEXT(67584, "[$-0E0000]yyyy-mm-dd")</f>
        <v/>
      </c>
      <c r="C67585" t="inlineStr">
        <is>
          <t>2084-12-18</t>
        </is>
      </c>
    </row>
    <row r="67586">
      <c r="A67586" s="1" t="n">
        <v>67585</v>
      </c>
      <c r="B67586">
        <f>TEXT(67585, "[$-0E0000]yyyy-mm-dd")</f>
        <v/>
      </c>
      <c r="C67586" t="inlineStr">
        <is>
          <t>2084-12-19</t>
        </is>
      </c>
    </row>
    <row r="67587">
      <c r="A67587" s="1" t="n">
        <v>67586</v>
      </c>
      <c r="B67587">
        <f>TEXT(67586, "[$-0E0000]yyyy-mm-dd")</f>
        <v/>
      </c>
      <c r="C67587" t="inlineStr">
        <is>
          <t>2084-12-20</t>
        </is>
      </c>
    </row>
    <row r="67588">
      <c r="A67588" s="1" t="n">
        <v>67587</v>
      </c>
      <c r="B67588">
        <f>TEXT(67587, "[$-0E0000]yyyy-mm-dd")</f>
        <v/>
      </c>
      <c r="C67588" t="inlineStr">
        <is>
          <t>2084-12-21</t>
        </is>
      </c>
    </row>
    <row r="67589">
      <c r="A67589" s="1" t="n">
        <v>67588</v>
      </c>
      <c r="B67589">
        <f>TEXT(67588, "[$-0E0000]yyyy-mm-dd")</f>
        <v/>
      </c>
      <c r="C67589" t="inlineStr">
        <is>
          <t>2084-12-22</t>
        </is>
      </c>
    </row>
    <row r="67590">
      <c r="A67590" s="1" t="n">
        <v>67589</v>
      </c>
      <c r="B67590">
        <f>TEXT(67589, "[$-0E0000]yyyy-mm-dd")</f>
        <v/>
      </c>
      <c r="C67590" t="inlineStr">
        <is>
          <t>2084-12-23</t>
        </is>
      </c>
    </row>
    <row r="67591">
      <c r="A67591" s="1" t="n">
        <v>67590</v>
      </c>
      <c r="B67591">
        <f>TEXT(67590, "[$-0E0000]yyyy-mm-dd")</f>
        <v/>
      </c>
      <c r="C67591" t="inlineStr">
        <is>
          <t>2084-12-24</t>
        </is>
      </c>
    </row>
    <row r="67592">
      <c r="A67592" s="1" t="n">
        <v>67591</v>
      </c>
      <c r="B67592">
        <f>TEXT(67591, "[$-0E0000]yyyy-mm-dd")</f>
        <v/>
      </c>
      <c r="C67592" t="inlineStr">
        <is>
          <t>2084-12-25</t>
        </is>
      </c>
    </row>
    <row r="67593">
      <c r="A67593" s="1" t="n">
        <v>67592</v>
      </c>
      <c r="B67593">
        <f>TEXT(67592, "[$-0E0000]yyyy-mm-dd")</f>
        <v/>
      </c>
      <c r="C67593" t="inlineStr">
        <is>
          <t>2084-12-26</t>
        </is>
      </c>
    </row>
    <row r="67594">
      <c r="A67594" s="1" t="n">
        <v>67593</v>
      </c>
      <c r="B67594">
        <f>TEXT(67593, "[$-0E0000]yyyy-mm-dd")</f>
        <v/>
      </c>
      <c r="C67594" t="inlineStr">
        <is>
          <t>2084-12-27</t>
        </is>
      </c>
    </row>
    <row r="67595">
      <c r="A67595" s="1" t="n">
        <v>67594</v>
      </c>
      <c r="B67595">
        <f>TEXT(67594, "[$-0E0000]yyyy-mm-dd")</f>
        <v/>
      </c>
      <c r="C67595" t="inlineStr">
        <is>
          <t>2084-12-28</t>
        </is>
      </c>
    </row>
    <row r="67596">
      <c r="A67596" s="1" t="n">
        <v>67595</v>
      </c>
      <c r="B67596">
        <f>TEXT(67595, "[$-0E0000]yyyy-mm-dd")</f>
        <v/>
      </c>
      <c r="C67596" t="inlineStr">
        <is>
          <t>2084-12-29</t>
        </is>
      </c>
    </row>
    <row r="67597">
      <c r="A67597" s="1" t="n">
        <v>67596</v>
      </c>
      <c r="B67597">
        <f>TEXT(67596, "[$-0E0000]yyyy-mm-dd")</f>
        <v/>
      </c>
      <c r="C67597" t="inlineStr">
        <is>
          <t>2084-12-30</t>
        </is>
      </c>
    </row>
    <row r="67598">
      <c r="A67598" s="1" t="n">
        <v>67597</v>
      </c>
      <c r="B67598">
        <f>TEXT(67597, "[$-0E0000]yyyy-mm-dd")</f>
        <v/>
      </c>
      <c r="C67598" t="inlineStr">
        <is>
          <t>2085-01-01</t>
        </is>
      </c>
    </row>
    <row r="67599">
      <c r="A67599" s="1" t="n">
        <v>67598</v>
      </c>
      <c r="B67599">
        <f>TEXT(67598, "[$-0E0000]yyyy-mm-dd")</f>
        <v/>
      </c>
      <c r="C67599" t="inlineStr">
        <is>
          <t>2085-01-02</t>
        </is>
      </c>
    </row>
    <row r="67600">
      <c r="A67600" s="1" t="n">
        <v>67599</v>
      </c>
      <c r="B67600">
        <f>TEXT(67599, "[$-0E0000]yyyy-mm-dd")</f>
        <v/>
      </c>
      <c r="C67600" t="inlineStr">
        <is>
          <t>2085-01-03</t>
        </is>
      </c>
    </row>
    <row r="67601">
      <c r="A67601" s="1" t="n">
        <v>67600</v>
      </c>
      <c r="B67601">
        <f>TEXT(67600, "[$-0E0000]yyyy-mm-dd")</f>
        <v/>
      </c>
      <c r="C67601" t="inlineStr">
        <is>
          <t>2085-01-04</t>
        </is>
      </c>
    </row>
    <row r="67602">
      <c r="A67602" s="1" t="n">
        <v>67601</v>
      </c>
      <c r="B67602">
        <f>TEXT(67601, "[$-0E0000]yyyy-mm-dd")</f>
        <v/>
      </c>
      <c r="C67602" t="inlineStr">
        <is>
          <t>2085-01-05</t>
        </is>
      </c>
    </row>
    <row r="67603">
      <c r="A67603" s="1" t="n">
        <v>67602</v>
      </c>
      <c r="B67603">
        <f>TEXT(67602, "[$-0E0000]yyyy-mm-dd")</f>
        <v/>
      </c>
      <c r="C67603" t="inlineStr">
        <is>
          <t>2085-01-06</t>
        </is>
      </c>
    </row>
    <row r="67604">
      <c r="A67604" s="1" t="n">
        <v>67603</v>
      </c>
      <c r="B67604">
        <f>TEXT(67603, "[$-0E0000]yyyy-mm-dd")</f>
        <v/>
      </c>
      <c r="C67604" t="inlineStr">
        <is>
          <t>2085-01-07</t>
        </is>
      </c>
    </row>
    <row r="67605">
      <c r="A67605" s="1" t="n">
        <v>67604</v>
      </c>
      <c r="B67605">
        <f>TEXT(67604, "[$-0E0000]yyyy-mm-dd")</f>
        <v/>
      </c>
      <c r="C67605" t="inlineStr">
        <is>
          <t>2085-01-08</t>
        </is>
      </c>
    </row>
    <row r="67606">
      <c r="A67606" s="1" t="n">
        <v>67605</v>
      </c>
      <c r="B67606">
        <f>TEXT(67605, "[$-0E0000]yyyy-mm-dd")</f>
        <v/>
      </c>
      <c r="C67606" t="inlineStr">
        <is>
          <t>2085-01-09</t>
        </is>
      </c>
    </row>
    <row r="67607">
      <c r="A67607" s="1" t="n">
        <v>67606</v>
      </c>
      <c r="B67607">
        <f>TEXT(67606, "[$-0E0000]yyyy-mm-dd")</f>
        <v/>
      </c>
      <c r="C67607" t="inlineStr">
        <is>
          <t>2085-01-10</t>
        </is>
      </c>
    </row>
    <row r="67608">
      <c r="A67608" s="1" t="n">
        <v>67607</v>
      </c>
      <c r="B67608">
        <f>TEXT(67607, "[$-0E0000]yyyy-mm-dd")</f>
        <v/>
      </c>
      <c r="C67608" t="inlineStr">
        <is>
          <t>2085-01-11</t>
        </is>
      </c>
    </row>
    <row r="67609">
      <c r="A67609" s="1" t="n">
        <v>67608</v>
      </c>
      <c r="B67609">
        <f>TEXT(67608, "[$-0E0000]yyyy-mm-dd")</f>
        <v/>
      </c>
      <c r="C67609" t="inlineStr">
        <is>
          <t>2085-01-12</t>
        </is>
      </c>
    </row>
    <row r="67610">
      <c r="A67610" s="1" t="n">
        <v>67609</v>
      </c>
      <c r="B67610">
        <f>TEXT(67609, "[$-0E0000]yyyy-mm-dd")</f>
        <v/>
      </c>
      <c r="C67610" t="inlineStr">
        <is>
          <t>2085-01-13</t>
        </is>
      </c>
    </row>
    <row r="67611">
      <c r="A67611" s="1" t="n">
        <v>67610</v>
      </c>
      <c r="B67611">
        <f>TEXT(67610, "[$-0E0000]yyyy-mm-dd")</f>
        <v/>
      </c>
      <c r="C67611" t="inlineStr">
        <is>
          <t>2085-01-14</t>
        </is>
      </c>
    </row>
    <row r="67612">
      <c r="A67612" s="1" t="n">
        <v>67611</v>
      </c>
      <c r="B67612">
        <f>TEXT(67611, "[$-0E0000]yyyy-mm-dd")</f>
        <v/>
      </c>
      <c r="C67612" t="inlineStr">
        <is>
          <t>2085-01-15</t>
        </is>
      </c>
    </row>
    <row r="67613">
      <c r="A67613" s="1" t="n">
        <v>67612</v>
      </c>
      <c r="B67613">
        <f>TEXT(67612, "[$-0E0000]yyyy-mm-dd")</f>
        <v/>
      </c>
      <c r="C67613" t="inlineStr">
        <is>
          <t>2085-01-16</t>
        </is>
      </c>
    </row>
    <row r="67614">
      <c r="A67614" s="1" t="n">
        <v>67613</v>
      </c>
      <c r="B67614">
        <f>TEXT(67613, "[$-0E0000]yyyy-mm-dd")</f>
        <v/>
      </c>
      <c r="C67614" t="inlineStr">
        <is>
          <t>2085-01-17</t>
        </is>
      </c>
    </row>
    <row r="67615">
      <c r="A67615" s="1" t="n">
        <v>67614</v>
      </c>
      <c r="B67615">
        <f>TEXT(67614, "[$-0E0000]yyyy-mm-dd")</f>
        <v/>
      </c>
      <c r="C67615" t="inlineStr">
        <is>
          <t>2085-01-18</t>
        </is>
      </c>
    </row>
    <row r="67616">
      <c r="A67616" s="1" t="n">
        <v>67615</v>
      </c>
      <c r="B67616">
        <f>TEXT(67615, "[$-0E0000]yyyy-mm-dd")</f>
        <v/>
      </c>
      <c r="C67616" t="inlineStr">
        <is>
          <t>2085-01-19</t>
        </is>
      </c>
    </row>
    <row r="67617">
      <c r="A67617" s="1" t="n">
        <v>67616</v>
      </c>
      <c r="B67617">
        <f>TEXT(67616, "[$-0E0000]yyyy-mm-dd")</f>
        <v/>
      </c>
      <c r="C67617" t="inlineStr">
        <is>
          <t>2085-01-20</t>
        </is>
      </c>
    </row>
    <row r="67618">
      <c r="A67618" s="1" t="n">
        <v>67617</v>
      </c>
      <c r="B67618">
        <f>TEXT(67617, "[$-0E0000]yyyy-mm-dd")</f>
        <v/>
      </c>
      <c r="C67618" t="inlineStr">
        <is>
          <t>2085-01-21</t>
        </is>
      </c>
    </row>
    <row r="67619">
      <c r="A67619" s="1" t="n">
        <v>67618</v>
      </c>
      <c r="B67619">
        <f>TEXT(67618, "[$-0E0000]yyyy-mm-dd")</f>
        <v/>
      </c>
      <c r="C67619" t="inlineStr">
        <is>
          <t>2085-01-22</t>
        </is>
      </c>
    </row>
    <row r="67620">
      <c r="A67620" s="1" t="n">
        <v>67619</v>
      </c>
      <c r="B67620">
        <f>TEXT(67619, "[$-0E0000]yyyy-mm-dd")</f>
        <v/>
      </c>
      <c r="C67620" t="inlineStr">
        <is>
          <t>2085-01-23</t>
        </is>
      </c>
    </row>
    <row r="67621">
      <c r="A67621" s="1" t="n">
        <v>67620</v>
      </c>
      <c r="B67621">
        <f>TEXT(67620, "[$-0E0000]yyyy-mm-dd")</f>
        <v/>
      </c>
      <c r="C67621" t="inlineStr">
        <is>
          <t>2085-01-24</t>
        </is>
      </c>
    </row>
    <row r="67622">
      <c r="A67622" s="1" t="n">
        <v>67621</v>
      </c>
      <c r="B67622">
        <f>TEXT(67621, "[$-0E0000]yyyy-mm-dd")</f>
        <v/>
      </c>
      <c r="C67622" t="inlineStr">
        <is>
          <t>2085-01-25</t>
        </is>
      </c>
    </row>
    <row r="67623">
      <c r="A67623" s="1" t="n">
        <v>67622</v>
      </c>
      <c r="B67623">
        <f>TEXT(67622, "[$-0E0000]yyyy-mm-dd")</f>
        <v/>
      </c>
      <c r="C67623" t="inlineStr">
        <is>
          <t>2085-01-26</t>
        </is>
      </c>
    </row>
    <row r="67624">
      <c r="A67624" s="1" t="n">
        <v>67623</v>
      </c>
      <c r="B67624">
        <f>TEXT(67623, "[$-0E0000]yyyy-mm-dd")</f>
        <v/>
      </c>
      <c r="C67624" t="inlineStr">
        <is>
          <t>2085-01-27</t>
        </is>
      </c>
    </row>
    <row r="67625">
      <c r="A67625" s="1" t="n">
        <v>67624</v>
      </c>
      <c r="B67625">
        <f>TEXT(67624, "[$-0E0000]yyyy-mm-dd")</f>
        <v/>
      </c>
      <c r="C67625" t="inlineStr">
        <is>
          <t>2085-01-28</t>
        </is>
      </c>
    </row>
    <row r="67626">
      <c r="A67626" s="1" t="n">
        <v>67625</v>
      </c>
      <c r="B67626">
        <f>TEXT(67625, "[$-0E0000]yyyy-mm-dd")</f>
        <v/>
      </c>
      <c r="C67626" t="inlineStr">
        <is>
          <t>2085-01-29</t>
        </is>
      </c>
    </row>
    <row r="67627">
      <c r="A67627" s="1" t="n">
        <v>67626</v>
      </c>
      <c r="B67627">
        <f>TEXT(67626, "[$-0E0000]yyyy-mm-dd")</f>
        <v/>
      </c>
      <c r="C67627" t="inlineStr">
        <is>
          <t>2085-02-01</t>
        </is>
      </c>
    </row>
    <row r="67628">
      <c r="A67628" s="1" t="n">
        <v>67627</v>
      </c>
      <c r="B67628">
        <f>TEXT(67627, "[$-0E0000]yyyy-mm-dd")</f>
        <v/>
      </c>
      <c r="C67628" t="inlineStr">
        <is>
          <t>2085-02-02</t>
        </is>
      </c>
    </row>
    <row r="67629">
      <c r="A67629" s="1" t="n">
        <v>67628</v>
      </c>
      <c r="B67629">
        <f>TEXT(67628, "[$-0E0000]yyyy-mm-dd")</f>
        <v/>
      </c>
      <c r="C67629" t="inlineStr">
        <is>
          <t>2085-02-03</t>
        </is>
      </c>
    </row>
    <row r="67630">
      <c r="A67630" s="1" t="n">
        <v>67629</v>
      </c>
      <c r="B67630">
        <f>TEXT(67629, "[$-0E0000]yyyy-mm-dd")</f>
        <v/>
      </c>
      <c r="C67630" t="inlineStr">
        <is>
          <t>2085-02-04</t>
        </is>
      </c>
    </row>
    <row r="67631">
      <c r="A67631" s="1" t="n">
        <v>67630</v>
      </c>
      <c r="B67631">
        <f>TEXT(67630, "[$-0E0000]yyyy-mm-dd")</f>
        <v/>
      </c>
      <c r="C67631" t="inlineStr">
        <is>
          <t>2085-02-05</t>
        </is>
      </c>
    </row>
    <row r="67632">
      <c r="A67632" s="1" t="n">
        <v>67631</v>
      </c>
      <c r="B67632">
        <f>TEXT(67631, "[$-0E0000]yyyy-mm-dd")</f>
        <v/>
      </c>
      <c r="C67632" t="inlineStr">
        <is>
          <t>2085-02-06</t>
        </is>
      </c>
    </row>
    <row r="67633">
      <c r="A67633" s="1" t="n">
        <v>67632</v>
      </c>
      <c r="B67633">
        <f>TEXT(67632, "[$-0E0000]yyyy-mm-dd")</f>
        <v/>
      </c>
      <c r="C67633" t="inlineStr">
        <is>
          <t>2085-02-07</t>
        </is>
      </c>
    </row>
    <row r="67634">
      <c r="A67634" s="1" t="n">
        <v>67633</v>
      </c>
      <c r="B67634">
        <f>TEXT(67633, "[$-0E0000]yyyy-mm-dd")</f>
        <v/>
      </c>
      <c r="C67634" t="inlineStr">
        <is>
          <t>2085-02-08</t>
        </is>
      </c>
    </row>
    <row r="67635">
      <c r="A67635" s="1" t="n">
        <v>67634</v>
      </c>
      <c r="B67635">
        <f>TEXT(67634, "[$-0E0000]yyyy-mm-dd")</f>
        <v/>
      </c>
      <c r="C67635" t="inlineStr">
        <is>
          <t>2085-02-09</t>
        </is>
      </c>
    </row>
    <row r="67636">
      <c r="A67636" s="1" t="n">
        <v>67635</v>
      </c>
      <c r="B67636">
        <f>TEXT(67635, "[$-0E0000]yyyy-mm-dd")</f>
        <v/>
      </c>
      <c r="C67636" t="inlineStr">
        <is>
          <t>2085-02-10</t>
        </is>
      </c>
    </row>
    <row r="67637">
      <c r="A67637" s="1" t="n">
        <v>67636</v>
      </c>
      <c r="B67637">
        <f>TEXT(67636, "[$-0E0000]yyyy-mm-dd")</f>
        <v/>
      </c>
      <c r="C67637" t="inlineStr">
        <is>
          <t>2085-02-11</t>
        </is>
      </c>
    </row>
    <row r="67638">
      <c r="A67638" s="1" t="n">
        <v>67637</v>
      </c>
      <c r="B67638">
        <f>TEXT(67637, "[$-0E0000]yyyy-mm-dd")</f>
        <v/>
      </c>
      <c r="C67638" t="inlineStr">
        <is>
          <t>2085-02-12</t>
        </is>
      </c>
    </row>
    <row r="67639">
      <c r="A67639" s="1" t="n">
        <v>67638</v>
      </c>
      <c r="B67639">
        <f>TEXT(67638, "[$-0E0000]yyyy-mm-dd")</f>
        <v/>
      </c>
      <c r="C67639" t="inlineStr">
        <is>
          <t>2085-02-13</t>
        </is>
      </c>
    </row>
    <row r="67640">
      <c r="A67640" s="1" t="n">
        <v>67639</v>
      </c>
      <c r="B67640">
        <f>TEXT(67639, "[$-0E0000]yyyy-mm-dd")</f>
        <v/>
      </c>
      <c r="C67640" t="inlineStr">
        <is>
          <t>2085-02-14</t>
        </is>
      </c>
    </row>
    <row r="67641">
      <c r="A67641" s="1" t="n">
        <v>67640</v>
      </c>
      <c r="B67641">
        <f>TEXT(67640, "[$-0E0000]yyyy-mm-dd")</f>
        <v/>
      </c>
      <c r="C67641" t="inlineStr">
        <is>
          <t>2085-02-15</t>
        </is>
      </c>
    </row>
    <row r="67642">
      <c r="A67642" s="1" t="n">
        <v>67641</v>
      </c>
      <c r="B67642">
        <f>TEXT(67641, "[$-0E0000]yyyy-mm-dd")</f>
        <v/>
      </c>
      <c r="C67642" t="inlineStr">
        <is>
          <t>2085-02-16</t>
        </is>
      </c>
    </row>
    <row r="67643">
      <c r="A67643" s="1" t="n">
        <v>67642</v>
      </c>
      <c r="B67643">
        <f>TEXT(67642, "[$-0E0000]yyyy-mm-dd")</f>
        <v/>
      </c>
      <c r="C67643" t="inlineStr">
        <is>
          <t>2085-02-17</t>
        </is>
      </c>
    </row>
    <row r="67644">
      <c r="A67644" s="1" t="n">
        <v>67643</v>
      </c>
      <c r="B67644">
        <f>TEXT(67643, "[$-0E0000]yyyy-mm-dd")</f>
        <v/>
      </c>
      <c r="C67644" t="inlineStr">
        <is>
          <t>2085-02-18</t>
        </is>
      </c>
    </row>
    <row r="67645">
      <c r="A67645" s="1" t="n">
        <v>67644</v>
      </c>
      <c r="B67645">
        <f>TEXT(67644, "[$-0E0000]yyyy-mm-dd")</f>
        <v/>
      </c>
      <c r="C67645" t="inlineStr">
        <is>
          <t>2085-02-19</t>
        </is>
      </c>
    </row>
    <row r="67646">
      <c r="A67646" s="1" t="n">
        <v>67645</v>
      </c>
      <c r="B67646">
        <f>TEXT(67645, "[$-0E0000]yyyy-mm-dd")</f>
        <v/>
      </c>
      <c r="C67646" t="inlineStr">
        <is>
          <t>2085-02-20</t>
        </is>
      </c>
    </row>
    <row r="67647">
      <c r="A67647" s="1" t="n">
        <v>67646</v>
      </c>
      <c r="B67647">
        <f>TEXT(67646, "[$-0E0000]yyyy-mm-dd")</f>
        <v/>
      </c>
      <c r="C67647" t="inlineStr">
        <is>
          <t>2085-02-21</t>
        </is>
      </c>
    </row>
    <row r="67648">
      <c r="A67648" s="1" t="n">
        <v>67647</v>
      </c>
      <c r="B67648">
        <f>TEXT(67647, "[$-0E0000]yyyy-mm-dd")</f>
        <v/>
      </c>
      <c r="C67648" t="inlineStr">
        <is>
          <t>2085-02-22</t>
        </is>
      </c>
    </row>
    <row r="67649">
      <c r="A67649" s="1" t="n">
        <v>67648</v>
      </c>
      <c r="B67649">
        <f>TEXT(67648, "[$-0E0000]yyyy-mm-dd")</f>
        <v/>
      </c>
      <c r="C67649" t="inlineStr">
        <is>
          <t>2085-02-23</t>
        </is>
      </c>
    </row>
    <row r="67650">
      <c r="A67650" s="1" t="n">
        <v>67649</v>
      </c>
      <c r="B67650">
        <f>TEXT(67649, "[$-0E0000]yyyy-mm-dd")</f>
        <v/>
      </c>
      <c r="C67650" t="inlineStr">
        <is>
          <t>2085-02-24</t>
        </is>
      </c>
    </row>
    <row r="67651">
      <c r="A67651" s="1" t="n">
        <v>67650</v>
      </c>
      <c r="B67651">
        <f>TEXT(67650, "[$-0E0000]yyyy-mm-dd")</f>
        <v/>
      </c>
      <c r="C67651" t="inlineStr">
        <is>
          <t>2085-02-25</t>
        </is>
      </c>
    </row>
    <row r="67652">
      <c r="A67652" s="1" t="n">
        <v>67651</v>
      </c>
      <c r="B67652">
        <f>TEXT(67651, "[$-0E0000]yyyy-mm-dd")</f>
        <v/>
      </c>
      <c r="C67652" t="inlineStr">
        <is>
          <t>2085-02-26</t>
        </is>
      </c>
    </row>
    <row r="67653">
      <c r="A67653" s="1" t="n">
        <v>67652</v>
      </c>
      <c r="B67653">
        <f>TEXT(67652, "[$-0E0000]yyyy-mm-dd")</f>
        <v/>
      </c>
      <c r="C67653" t="inlineStr">
        <is>
          <t>2085-02-27</t>
        </is>
      </c>
    </row>
    <row r="67654">
      <c r="A67654" s="1" t="n">
        <v>67653</v>
      </c>
      <c r="B67654">
        <f>TEXT(67653, "[$-0E0000]yyyy-mm-dd")</f>
        <v/>
      </c>
      <c r="C67654" t="inlineStr">
        <is>
          <t>2085-02-28</t>
        </is>
      </c>
    </row>
    <row r="67655">
      <c r="A67655" s="1" t="n">
        <v>67654</v>
      </c>
      <c r="B67655">
        <f>TEXT(67654, "[$-0E0000]yyyy-mm-dd")</f>
        <v/>
      </c>
      <c r="C67655" t="inlineStr">
        <is>
          <t>2085-02-29</t>
        </is>
      </c>
    </row>
    <row r="67656">
      <c r="A67656" s="1" t="n">
        <v>67655</v>
      </c>
      <c r="B67656">
        <f>TEXT(67655, "[$-0E0000]yyyy-mm-dd")</f>
        <v/>
      </c>
      <c r="C67656" t="inlineStr">
        <is>
          <t>2085-02-30</t>
        </is>
      </c>
    </row>
    <row r="67657">
      <c r="A67657" s="1" t="n">
        <v>67656</v>
      </c>
      <c r="B67657">
        <f>TEXT(67656, "[$-0E0000]yyyy-mm-dd")</f>
        <v/>
      </c>
      <c r="C67657" t="inlineStr">
        <is>
          <t>2085-03-01</t>
        </is>
      </c>
    </row>
    <row r="67658">
      <c r="A67658" s="1" t="n">
        <v>67657</v>
      </c>
      <c r="B67658">
        <f>TEXT(67657, "[$-0E0000]yyyy-mm-dd")</f>
        <v/>
      </c>
      <c r="C67658" t="inlineStr">
        <is>
          <t>2085-03-02</t>
        </is>
      </c>
    </row>
    <row r="67659">
      <c r="A67659" s="1" t="n">
        <v>67658</v>
      </c>
      <c r="B67659">
        <f>TEXT(67658, "[$-0E0000]yyyy-mm-dd")</f>
        <v/>
      </c>
      <c r="C67659" t="inlineStr">
        <is>
          <t>2085-03-03</t>
        </is>
      </c>
    </row>
    <row r="67660">
      <c r="A67660" s="1" t="n">
        <v>67659</v>
      </c>
      <c r="B67660">
        <f>TEXT(67659, "[$-0E0000]yyyy-mm-dd")</f>
        <v/>
      </c>
      <c r="C67660" t="inlineStr">
        <is>
          <t>2085-03-04</t>
        </is>
      </c>
    </row>
    <row r="67661">
      <c r="A67661" s="1" t="n">
        <v>67660</v>
      </c>
      <c r="B67661">
        <f>TEXT(67660, "[$-0E0000]yyyy-mm-dd")</f>
        <v/>
      </c>
      <c r="C67661" t="inlineStr">
        <is>
          <t>2085-03-05</t>
        </is>
      </c>
    </row>
    <row r="67662">
      <c r="A67662" s="1" t="n">
        <v>67661</v>
      </c>
      <c r="B67662">
        <f>TEXT(67661, "[$-0E0000]yyyy-mm-dd")</f>
        <v/>
      </c>
      <c r="C67662" t="inlineStr">
        <is>
          <t>2085-03-06</t>
        </is>
      </c>
    </row>
    <row r="67663">
      <c r="A67663" s="1" t="n">
        <v>67662</v>
      </c>
      <c r="B67663">
        <f>TEXT(67662, "[$-0E0000]yyyy-mm-dd")</f>
        <v/>
      </c>
      <c r="C67663" t="inlineStr">
        <is>
          <t>2085-03-07</t>
        </is>
      </c>
    </row>
    <row r="67664">
      <c r="A67664" s="1" t="n">
        <v>67663</v>
      </c>
      <c r="B67664">
        <f>TEXT(67663, "[$-0E0000]yyyy-mm-dd")</f>
        <v/>
      </c>
      <c r="C67664" t="inlineStr">
        <is>
          <t>2085-03-08</t>
        </is>
      </c>
    </row>
    <row r="67665">
      <c r="A67665" s="1" t="n">
        <v>67664</v>
      </c>
      <c r="B67665">
        <f>TEXT(67664, "[$-0E0000]yyyy-mm-dd")</f>
        <v/>
      </c>
      <c r="C67665" t="inlineStr">
        <is>
          <t>2085-03-09</t>
        </is>
      </c>
    </row>
    <row r="67666">
      <c r="A67666" s="1" t="n">
        <v>67665</v>
      </c>
      <c r="B67666">
        <f>TEXT(67665, "[$-0E0000]yyyy-mm-dd")</f>
        <v/>
      </c>
      <c r="C67666" t="inlineStr">
        <is>
          <t>2085-03-10</t>
        </is>
      </c>
    </row>
    <row r="67667">
      <c r="A67667" s="1" t="n">
        <v>67666</v>
      </c>
      <c r="B67667">
        <f>TEXT(67666, "[$-0E0000]yyyy-mm-dd")</f>
        <v/>
      </c>
      <c r="C67667" t="inlineStr">
        <is>
          <t>2085-03-11</t>
        </is>
      </c>
    </row>
    <row r="67668">
      <c r="A67668" s="1" t="n">
        <v>67667</v>
      </c>
      <c r="B67668">
        <f>TEXT(67667, "[$-0E0000]yyyy-mm-dd")</f>
        <v/>
      </c>
      <c r="C67668" t="inlineStr">
        <is>
          <t>2085-03-12</t>
        </is>
      </c>
    </row>
    <row r="67669">
      <c r="A67669" s="1" t="n">
        <v>67668</v>
      </c>
      <c r="B67669">
        <f>TEXT(67668, "[$-0E0000]yyyy-mm-dd")</f>
        <v/>
      </c>
      <c r="C67669" t="inlineStr">
        <is>
          <t>2085-03-13</t>
        </is>
      </c>
    </row>
    <row r="67670">
      <c r="A67670" s="1" t="n">
        <v>67669</v>
      </c>
      <c r="B67670">
        <f>TEXT(67669, "[$-0E0000]yyyy-mm-dd")</f>
        <v/>
      </c>
      <c r="C67670" t="inlineStr">
        <is>
          <t>2085-03-14</t>
        </is>
      </c>
    </row>
    <row r="67671">
      <c r="A67671" s="1" t="n">
        <v>67670</v>
      </c>
      <c r="B67671">
        <f>TEXT(67670, "[$-0E0000]yyyy-mm-dd")</f>
        <v/>
      </c>
      <c r="C67671" t="inlineStr">
        <is>
          <t>2085-03-15</t>
        </is>
      </c>
    </row>
    <row r="67672">
      <c r="A67672" s="1" t="n">
        <v>67671</v>
      </c>
      <c r="B67672">
        <f>TEXT(67671, "[$-0E0000]yyyy-mm-dd")</f>
        <v/>
      </c>
      <c r="C67672" t="inlineStr">
        <is>
          <t>2085-03-16</t>
        </is>
      </c>
    </row>
    <row r="67673">
      <c r="A67673" s="1" t="n">
        <v>67672</v>
      </c>
      <c r="B67673">
        <f>TEXT(67672, "[$-0E0000]yyyy-mm-dd")</f>
        <v/>
      </c>
      <c r="C67673" t="inlineStr">
        <is>
          <t>2085-03-17</t>
        </is>
      </c>
    </row>
    <row r="67674">
      <c r="A67674" s="1" t="n">
        <v>67673</v>
      </c>
      <c r="B67674">
        <f>TEXT(67673, "[$-0E0000]yyyy-mm-dd")</f>
        <v/>
      </c>
      <c r="C67674" t="inlineStr">
        <is>
          <t>2085-03-18</t>
        </is>
      </c>
    </row>
    <row r="67675">
      <c r="A67675" s="1" t="n">
        <v>67674</v>
      </c>
      <c r="B67675">
        <f>TEXT(67674, "[$-0E0000]yyyy-mm-dd")</f>
        <v/>
      </c>
      <c r="C67675" t="inlineStr">
        <is>
          <t>2085-03-19</t>
        </is>
      </c>
    </row>
    <row r="67676">
      <c r="A67676" s="1" t="n">
        <v>67675</v>
      </c>
      <c r="B67676">
        <f>TEXT(67675, "[$-0E0000]yyyy-mm-dd")</f>
        <v/>
      </c>
      <c r="C67676" t="inlineStr">
        <is>
          <t>2085-03-20</t>
        </is>
      </c>
    </row>
    <row r="67677">
      <c r="A67677" s="1" t="n">
        <v>67676</v>
      </c>
      <c r="B67677">
        <f>TEXT(67676, "[$-0E0000]yyyy-mm-dd")</f>
        <v/>
      </c>
      <c r="C67677" t="inlineStr">
        <is>
          <t>2085-03-21</t>
        </is>
      </c>
    </row>
    <row r="67678">
      <c r="A67678" s="1" t="n">
        <v>67677</v>
      </c>
      <c r="B67678">
        <f>TEXT(67677, "[$-0E0000]yyyy-mm-dd")</f>
        <v/>
      </c>
      <c r="C67678" t="inlineStr">
        <is>
          <t>2085-03-22</t>
        </is>
      </c>
    </row>
    <row r="67679">
      <c r="A67679" s="1" t="n">
        <v>67678</v>
      </c>
      <c r="B67679">
        <f>TEXT(67678, "[$-0E0000]yyyy-mm-dd")</f>
        <v/>
      </c>
      <c r="C67679" t="inlineStr">
        <is>
          <t>2085-03-23</t>
        </is>
      </c>
    </row>
    <row r="67680">
      <c r="A67680" s="1" t="n">
        <v>67679</v>
      </c>
      <c r="B67680">
        <f>TEXT(67679, "[$-0E0000]yyyy-mm-dd")</f>
        <v/>
      </c>
      <c r="C67680" t="inlineStr">
        <is>
          <t>2085-03-24</t>
        </is>
      </c>
    </row>
    <row r="67681">
      <c r="A67681" s="1" t="n">
        <v>67680</v>
      </c>
      <c r="B67681">
        <f>TEXT(67680, "[$-0E0000]yyyy-mm-dd")</f>
        <v/>
      </c>
      <c r="C67681" t="inlineStr">
        <is>
          <t>2085-03-25</t>
        </is>
      </c>
    </row>
    <row r="67682">
      <c r="A67682" s="1" t="n">
        <v>67681</v>
      </c>
      <c r="B67682">
        <f>TEXT(67681, "[$-0E0000]yyyy-mm-dd")</f>
        <v/>
      </c>
      <c r="C67682" t="inlineStr">
        <is>
          <t>2085-03-26</t>
        </is>
      </c>
    </row>
    <row r="67683">
      <c r="A67683" s="1" t="n">
        <v>67682</v>
      </c>
      <c r="B67683">
        <f>TEXT(67682, "[$-0E0000]yyyy-mm-dd")</f>
        <v/>
      </c>
      <c r="C67683" t="inlineStr">
        <is>
          <t>2085-03-27</t>
        </is>
      </c>
    </row>
    <row r="67684">
      <c r="A67684" s="1" t="n">
        <v>67683</v>
      </c>
      <c r="B67684">
        <f>TEXT(67683, "[$-0E0000]yyyy-mm-dd")</f>
        <v/>
      </c>
      <c r="C67684" t="inlineStr">
        <is>
          <t>2085-03-28</t>
        </is>
      </c>
    </row>
    <row r="67685">
      <c r="A67685" s="1" t="n">
        <v>67684</v>
      </c>
      <c r="B67685">
        <f>TEXT(67684, "[$-0E0000]yyyy-mm-dd")</f>
        <v/>
      </c>
      <c r="C67685" t="inlineStr">
        <is>
          <t>2085-03-29</t>
        </is>
      </c>
    </row>
    <row r="67686">
      <c r="A67686" s="1" t="n">
        <v>67685</v>
      </c>
      <c r="B67686">
        <f>TEXT(67685, "[$-0E0000]yyyy-mm-dd")</f>
        <v/>
      </c>
      <c r="C67686" t="inlineStr">
        <is>
          <t>2085-04-01</t>
        </is>
      </c>
    </row>
    <row r="67687">
      <c r="A67687" s="1" t="n">
        <v>67686</v>
      </c>
      <c r="B67687">
        <f>TEXT(67686, "[$-0E0000]yyyy-mm-dd")</f>
        <v/>
      </c>
      <c r="C67687" t="inlineStr">
        <is>
          <t>2085-04-02</t>
        </is>
      </c>
    </row>
    <row r="67688">
      <c r="A67688" s="1" t="n">
        <v>67687</v>
      </c>
      <c r="B67688">
        <f>TEXT(67687, "[$-0E0000]yyyy-mm-dd")</f>
        <v/>
      </c>
      <c r="C67688" t="inlineStr">
        <is>
          <t>2085-04-03</t>
        </is>
      </c>
    </row>
    <row r="67689">
      <c r="A67689" s="1" t="n">
        <v>67688</v>
      </c>
      <c r="B67689">
        <f>TEXT(67688, "[$-0E0000]yyyy-mm-dd")</f>
        <v/>
      </c>
      <c r="C67689" t="inlineStr">
        <is>
          <t>2085-04-04</t>
        </is>
      </c>
    </row>
    <row r="67690">
      <c r="A67690" s="1" t="n">
        <v>67689</v>
      </c>
      <c r="B67690">
        <f>TEXT(67689, "[$-0E0000]yyyy-mm-dd")</f>
        <v/>
      </c>
      <c r="C67690" t="inlineStr">
        <is>
          <t>2085-04-05</t>
        </is>
      </c>
    </row>
    <row r="67691">
      <c r="A67691" s="1" t="n">
        <v>67690</v>
      </c>
      <c r="B67691">
        <f>TEXT(67690, "[$-0E0000]yyyy-mm-dd")</f>
        <v/>
      </c>
      <c r="C67691" t="inlineStr">
        <is>
          <t>2085-04-06</t>
        </is>
      </c>
    </row>
    <row r="67692">
      <c r="A67692" s="1" t="n">
        <v>67691</v>
      </c>
      <c r="B67692">
        <f>TEXT(67691, "[$-0E0000]yyyy-mm-dd")</f>
        <v/>
      </c>
      <c r="C67692" t="inlineStr">
        <is>
          <t>2085-04-07</t>
        </is>
      </c>
    </row>
    <row r="67693">
      <c r="A67693" s="1" t="n">
        <v>67692</v>
      </c>
      <c r="B67693">
        <f>TEXT(67692, "[$-0E0000]yyyy-mm-dd")</f>
        <v/>
      </c>
      <c r="C67693" t="inlineStr">
        <is>
          <t>2085-04-08</t>
        </is>
      </c>
    </row>
    <row r="67694">
      <c r="A67694" s="1" t="n">
        <v>67693</v>
      </c>
      <c r="B67694">
        <f>TEXT(67693, "[$-0E0000]yyyy-mm-dd")</f>
        <v/>
      </c>
      <c r="C67694" t="inlineStr">
        <is>
          <t>2085-04-09</t>
        </is>
      </c>
    </row>
    <row r="67695">
      <c r="A67695" s="1" t="n">
        <v>67694</v>
      </c>
      <c r="B67695">
        <f>TEXT(67694, "[$-0E0000]yyyy-mm-dd")</f>
        <v/>
      </c>
      <c r="C67695" t="inlineStr">
        <is>
          <t>2085-04-10</t>
        </is>
      </c>
    </row>
    <row r="67696">
      <c r="A67696" s="1" t="n">
        <v>67695</v>
      </c>
      <c r="B67696">
        <f>TEXT(67695, "[$-0E0000]yyyy-mm-dd")</f>
        <v/>
      </c>
      <c r="C67696" t="inlineStr">
        <is>
          <t>2085-04-11</t>
        </is>
      </c>
    </row>
    <row r="67697">
      <c r="A67697" s="1" t="n">
        <v>67696</v>
      </c>
      <c r="B67697">
        <f>TEXT(67696, "[$-0E0000]yyyy-mm-dd")</f>
        <v/>
      </c>
      <c r="C67697" t="inlineStr">
        <is>
          <t>2085-04-12</t>
        </is>
      </c>
    </row>
    <row r="67698">
      <c r="A67698" s="1" t="n">
        <v>67697</v>
      </c>
      <c r="B67698">
        <f>TEXT(67697, "[$-0E0000]yyyy-mm-dd")</f>
        <v/>
      </c>
      <c r="C67698" t="inlineStr">
        <is>
          <t>2085-04-13</t>
        </is>
      </c>
    </row>
    <row r="67699">
      <c r="A67699" s="1" t="n">
        <v>67698</v>
      </c>
      <c r="B67699">
        <f>TEXT(67698, "[$-0E0000]yyyy-mm-dd")</f>
        <v/>
      </c>
      <c r="C67699" t="inlineStr">
        <is>
          <t>2085-04-14</t>
        </is>
      </c>
    </row>
    <row r="67700">
      <c r="A67700" s="1" t="n">
        <v>67699</v>
      </c>
      <c r="B67700">
        <f>TEXT(67699, "[$-0E0000]yyyy-mm-dd")</f>
        <v/>
      </c>
      <c r="C67700" t="inlineStr">
        <is>
          <t>2085-04-15</t>
        </is>
      </c>
    </row>
    <row r="67701">
      <c r="A67701" s="1" t="n">
        <v>67700</v>
      </c>
      <c r="B67701">
        <f>TEXT(67700, "[$-0E0000]yyyy-mm-dd")</f>
        <v/>
      </c>
      <c r="C67701" t="inlineStr">
        <is>
          <t>2085-04-16</t>
        </is>
      </c>
    </row>
    <row r="67702">
      <c r="A67702" s="1" t="n">
        <v>67701</v>
      </c>
      <c r="B67702">
        <f>TEXT(67701, "[$-0E0000]yyyy-mm-dd")</f>
        <v/>
      </c>
      <c r="C67702" t="inlineStr">
        <is>
          <t>2085-04-17</t>
        </is>
      </c>
    </row>
    <row r="67703">
      <c r="A67703" s="1" t="n">
        <v>67702</v>
      </c>
      <c r="B67703">
        <f>TEXT(67702, "[$-0E0000]yyyy-mm-dd")</f>
        <v/>
      </c>
      <c r="C67703" t="inlineStr">
        <is>
          <t>2085-04-18</t>
        </is>
      </c>
    </row>
    <row r="67704">
      <c r="A67704" s="1" t="n">
        <v>67703</v>
      </c>
      <c r="B67704">
        <f>TEXT(67703, "[$-0E0000]yyyy-mm-dd")</f>
        <v/>
      </c>
      <c r="C67704" t="inlineStr">
        <is>
          <t>2085-04-19</t>
        </is>
      </c>
    </row>
    <row r="67705">
      <c r="A67705" s="1" t="n">
        <v>67704</v>
      </c>
      <c r="B67705">
        <f>TEXT(67704, "[$-0E0000]yyyy-mm-dd")</f>
        <v/>
      </c>
      <c r="C67705" t="inlineStr">
        <is>
          <t>2085-04-20</t>
        </is>
      </c>
    </row>
    <row r="67706">
      <c r="A67706" s="1" t="n">
        <v>67705</v>
      </c>
      <c r="B67706">
        <f>TEXT(67705, "[$-0E0000]yyyy-mm-dd")</f>
        <v/>
      </c>
      <c r="C67706" t="inlineStr">
        <is>
          <t>2085-04-21</t>
        </is>
      </c>
    </row>
    <row r="67707">
      <c r="A67707" s="1" t="n">
        <v>67706</v>
      </c>
      <c r="B67707">
        <f>TEXT(67706, "[$-0E0000]yyyy-mm-dd")</f>
        <v/>
      </c>
      <c r="C67707" t="inlineStr">
        <is>
          <t>2085-04-22</t>
        </is>
      </c>
    </row>
    <row r="67708">
      <c r="A67708" s="1" t="n">
        <v>67707</v>
      </c>
      <c r="B67708">
        <f>TEXT(67707, "[$-0E0000]yyyy-mm-dd")</f>
        <v/>
      </c>
      <c r="C67708" t="inlineStr">
        <is>
          <t>2085-04-23</t>
        </is>
      </c>
    </row>
    <row r="67709">
      <c r="A67709" s="1" t="n">
        <v>67708</v>
      </c>
      <c r="B67709">
        <f>TEXT(67708, "[$-0E0000]yyyy-mm-dd")</f>
        <v/>
      </c>
      <c r="C67709" t="inlineStr">
        <is>
          <t>2085-04-24</t>
        </is>
      </c>
    </row>
    <row r="67710">
      <c r="A67710" s="1" t="n">
        <v>67709</v>
      </c>
      <c r="B67710">
        <f>TEXT(67709, "[$-0E0000]yyyy-mm-dd")</f>
        <v/>
      </c>
      <c r="C67710" t="inlineStr">
        <is>
          <t>2085-04-25</t>
        </is>
      </c>
    </row>
    <row r="67711">
      <c r="A67711" s="1" t="n">
        <v>67710</v>
      </c>
      <c r="B67711">
        <f>TEXT(67710, "[$-0E0000]yyyy-mm-dd")</f>
        <v/>
      </c>
      <c r="C67711" t="inlineStr">
        <is>
          <t>2085-04-26</t>
        </is>
      </c>
    </row>
    <row r="67712">
      <c r="A67712" s="1" t="n">
        <v>67711</v>
      </c>
      <c r="B67712">
        <f>TEXT(67711, "[$-0E0000]yyyy-mm-dd")</f>
        <v/>
      </c>
      <c r="C67712" t="inlineStr">
        <is>
          <t>2085-04-27</t>
        </is>
      </c>
    </row>
    <row r="67713">
      <c r="A67713" s="1" t="n">
        <v>67712</v>
      </c>
      <c r="B67713">
        <f>TEXT(67712, "[$-0E0000]yyyy-mm-dd")</f>
        <v/>
      </c>
      <c r="C67713" t="inlineStr">
        <is>
          <t>2085-04-28</t>
        </is>
      </c>
    </row>
    <row r="67714">
      <c r="A67714" s="1" t="n">
        <v>67713</v>
      </c>
      <c r="B67714">
        <f>TEXT(67713, "[$-0E0000]yyyy-mm-dd")</f>
        <v/>
      </c>
      <c r="C67714" t="inlineStr">
        <is>
          <t>2085-04-29</t>
        </is>
      </c>
    </row>
    <row r="67715">
      <c r="A67715" s="1" t="n">
        <v>67714</v>
      </c>
      <c r="B67715">
        <f>TEXT(67714, "[$-0E0000]yyyy-mm-dd")</f>
        <v/>
      </c>
      <c r="C67715" t="inlineStr">
        <is>
          <t>2085-05-01</t>
        </is>
      </c>
    </row>
    <row r="67716">
      <c r="A67716" s="1" t="n">
        <v>67715</v>
      </c>
      <c r="B67716">
        <f>TEXT(67715, "[$-0E0000]yyyy-mm-dd")</f>
        <v/>
      </c>
      <c r="C67716" t="inlineStr">
        <is>
          <t>2085-05-02</t>
        </is>
      </c>
    </row>
    <row r="67717">
      <c r="A67717" s="1" t="n">
        <v>67716</v>
      </c>
      <c r="B67717">
        <f>TEXT(67716, "[$-0E0000]yyyy-mm-dd")</f>
        <v/>
      </c>
      <c r="C67717" t="inlineStr">
        <is>
          <t>2085-05-03</t>
        </is>
      </c>
    </row>
    <row r="67718">
      <c r="A67718" s="1" t="n">
        <v>67717</v>
      </c>
      <c r="B67718">
        <f>TEXT(67717, "[$-0E0000]yyyy-mm-dd")</f>
        <v/>
      </c>
      <c r="C67718" t="inlineStr">
        <is>
          <t>2085-05-04</t>
        </is>
      </c>
    </row>
    <row r="67719">
      <c r="A67719" s="1" t="n">
        <v>67718</v>
      </c>
      <c r="B67719">
        <f>TEXT(67718, "[$-0E0000]yyyy-mm-dd")</f>
        <v/>
      </c>
      <c r="C67719" t="inlineStr">
        <is>
          <t>2085-05-05</t>
        </is>
      </c>
    </row>
    <row r="67720">
      <c r="A67720" s="1" t="n">
        <v>67719</v>
      </c>
      <c r="B67720">
        <f>TEXT(67719, "[$-0E0000]yyyy-mm-dd")</f>
        <v/>
      </c>
      <c r="C67720" t="inlineStr">
        <is>
          <t>2085-05-06</t>
        </is>
      </c>
    </row>
    <row r="67721">
      <c r="A67721" s="1" t="n">
        <v>67720</v>
      </c>
      <c r="B67721">
        <f>TEXT(67720, "[$-0E0000]yyyy-mm-dd")</f>
        <v/>
      </c>
      <c r="C67721" t="inlineStr">
        <is>
          <t>2085-05-07</t>
        </is>
      </c>
    </row>
    <row r="67722">
      <c r="A67722" s="1" t="n">
        <v>67721</v>
      </c>
      <c r="B67722">
        <f>TEXT(67721, "[$-0E0000]yyyy-mm-dd")</f>
        <v/>
      </c>
      <c r="C67722" t="inlineStr">
        <is>
          <t>2085-05-08</t>
        </is>
      </c>
    </row>
    <row r="67723">
      <c r="A67723" s="1" t="n">
        <v>67722</v>
      </c>
      <c r="B67723">
        <f>TEXT(67722, "[$-0E0000]yyyy-mm-dd")</f>
        <v/>
      </c>
      <c r="C67723" t="inlineStr">
        <is>
          <t>2085-05-09</t>
        </is>
      </c>
    </row>
    <row r="67724">
      <c r="A67724" s="1" t="n">
        <v>67723</v>
      </c>
      <c r="B67724">
        <f>TEXT(67723, "[$-0E0000]yyyy-mm-dd")</f>
        <v/>
      </c>
      <c r="C67724" t="inlineStr">
        <is>
          <t>2085-05-10</t>
        </is>
      </c>
    </row>
    <row r="67725">
      <c r="A67725" s="1" t="n">
        <v>67724</v>
      </c>
      <c r="B67725">
        <f>TEXT(67724, "[$-0E0000]yyyy-mm-dd")</f>
        <v/>
      </c>
      <c r="C67725" t="inlineStr">
        <is>
          <t>2085-05-11</t>
        </is>
      </c>
    </row>
    <row r="67726">
      <c r="A67726" s="1" t="n">
        <v>67725</v>
      </c>
      <c r="B67726">
        <f>TEXT(67725, "[$-0E0000]yyyy-mm-dd")</f>
        <v/>
      </c>
      <c r="C67726" t="inlineStr">
        <is>
          <t>2085-05-12</t>
        </is>
      </c>
    </row>
    <row r="67727">
      <c r="A67727" s="1" t="n">
        <v>67726</v>
      </c>
      <c r="B67727">
        <f>TEXT(67726, "[$-0E0000]yyyy-mm-dd")</f>
        <v/>
      </c>
      <c r="C67727" t="inlineStr">
        <is>
          <t>2085-05-13</t>
        </is>
      </c>
    </row>
    <row r="67728">
      <c r="A67728" s="1" t="n">
        <v>67727</v>
      </c>
      <c r="B67728">
        <f>TEXT(67727, "[$-0E0000]yyyy-mm-dd")</f>
        <v/>
      </c>
      <c r="C67728" t="inlineStr">
        <is>
          <t>2085-05-14</t>
        </is>
      </c>
    </row>
    <row r="67729">
      <c r="A67729" s="1" t="n">
        <v>67728</v>
      </c>
      <c r="B67729">
        <f>TEXT(67728, "[$-0E0000]yyyy-mm-dd")</f>
        <v/>
      </c>
      <c r="C67729" t="inlineStr">
        <is>
          <t>2085-05-15</t>
        </is>
      </c>
    </row>
    <row r="67730">
      <c r="A67730" s="1" t="n">
        <v>67729</v>
      </c>
      <c r="B67730">
        <f>TEXT(67729, "[$-0E0000]yyyy-mm-dd")</f>
        <v/>
      </c>
      <c r="C67730" t="inlineStr">
        <is>
          <t>2085-05-16</t>
        </is>
      </c>
    </row>
    <row r="67731">
      <c r="A67731" s="1" t="n">
        <v>67730</v>
      </c>
      <c r="B67731">
        <f>TEXT(67730, "[$-0E0000]yyyy-mm-dd")</f>
        <v/>
      </c>
      <c r="C67731" t="inlineStr">
        <is>
          <t>2085-05-17</t>
        </is>
      </c>
    </row>
    <row r="67732">
      <c r="A67732" s="1" t="n">
        <v>67731</v>
      </c>
      <c r="B67732">
        <f>TEXT(67731, "[$-0E0000]yyyy-mm-dd")</f>
        <v/>
      </c>
      <c r="C67732" t="inlineStr">
        <is>
          <t>2085-05-18</t>
        </is>
      </c>
    </row>
    <row r="67733">
      <c r="A67733" s="1" t="n">
        <v>67732</v>
      </c>
      <c r="B67733">
        <f>TEXT(67732, "[$-0E0000]yyyy-mm-dd")</f>
        <v/>
      </c>
      <c r="C67733" t="inlineStr">
        <is>
          <t>2085-05-19</t>
        </is>
      </c>
    </row>
    <row r="67734">
      <c r="A67734" s="1" t="n">
        <v>67733</v>
      </c>
      <c r="B67734">
        <f>TEXT(67733, "[$-0E0000]yyyy-mm-dd")</f>
        <v/>
      </c>
      <c r="C67734" t="inlineStr">
        <is>
          <t>2085-05-20</t>
        </is>
      </c>
    </row>
    <row r="67735">
      <c r="A67735" s="1" t="n">
        <v>67734</v>
      </c>
      <c r="B67735">
        <f>TEXT(67734, "[$-0E0000]yyyy-mm-dd")</f>
        <v/>
      </c>
      <c r="C67735" t="inlineStr">
        <is>
          <t>2085-05-21</t>
        </is>
      </c>
    </row>
    <row r="67736">
      <c r="A67736" s="1" t="n">
        <v>67735</v>
      </c>
      <c r="B67736">
        <f>TEXT(67735, "[$-0E0000]yyyy-mm-dd")</f>
        <v/>
      </c>
      <c r="C67736" t="inlineStr">
        <is>
          <t>2085-05-22</t>
        </is>
      </c>
    </row>
    <row r="67737">
      <c r="A67737" s="1" t="n">
        <v>67736</v>
      </c>
      <c r="B67737">
        <f>TEXT(67736, "[$-0E0000]yyyy-mm-dd")</f>
        <v/>
      </c>
      <c r="C67737" t="inlineStr">
        <is>
          <t>2085-05-23</t>
        </is>
      </c>
    </row>
    <row r="67738">
      <c r="A67738" s="1" t="n">
        <v>67737</v>
      </c>
      <c r="B67738">
        <f>TEXT(67737, "[$-0E0000]yyyy-mm-dd")</f>
        <v/>
      </c>
      <c r="C67738" t="inlineStr">
        <is>
          <t>2085-05-24</t>
        </is>
      </c>
    </row>
    <row r="67739">
      <c r="A67739" s="1" t="n">
        <v>67738</v>
      </c>
      <c r="B67739">
        <f>TEXT(67738, "[$-0E0000]yyyy-mm-dd")</f>
        <v/>
      </c>
      <c r="C67739" t="inlineStr">
        <is>
          <t>2085-05-25</t>
        </is>
      </c>
    </row>
    <row r="67740">
      <c r="A67740" s="1" t="n">
        <v>67739</v>
      </c>
      <c r="B67740">
        <f>TEXT(67739, "[$-0E0000]yyyy-mm-dd")</f>
        <v/>
      </c>
      <c r="C67740" t="inlineStr">
        <is>
          <t>2085-05-26</t>
        </is>
      </c>
    </row>
    <row r="67741">
      <c r="A67741" s="1" t="n">
        <v>67740</v>
      </c>
      <c r="B67741">
        <f>TEXT(67740, "[$-0E0000]yyyy-mm-dd")</f>
        <v/>
      </c>
      <c r="C67741" t="inlineStr">
        <is>
          <t>2085-05-27</t>
        </is>
      </c>
    </row>
    <row r="67742">
      <c r="A67742" s="1" t="n">
        <v>67741</v>
      </c>
      <c r="B67742">
        <f>TEXT(67741, "[$-0E0000]yyyy-mm-dd")</f>
        <v/>
      </c>
      <c r="C67742" t="inlineStr">
        <is>
          <t>2085-05-28</t>
        </is>
      </c>
    </row>
    <row r="67743">
      <c r="A67743" s="1" t="n">
        <v>67742</v>
      </c>
      <c r="B67743">
        <f>TEXT(67742, "[$-0E0000]yyyy-mm-dd")</f>
        <v/>
      </c>
      <c r="C67743" t="inlineStr">
        <is>
          <t>2085-05-29</t>
        </is>
      </c>
    </row>
    <row r="67744">
      <c r="A67744" s="1" t="n">
        <v>67743</v>
      </c>
      <c r="B67744">
        <f>TEXT(67743, "[$-0E0000]yyyy-mm-dd")</f>
        <v/>
      </c>
      <c r="C67744" t="inlineStr">
        <is>
          <t>2085-05-30</t>
        </is>
      </c>
    </row>
    <row r="67745">
      <c r="A67745" s="1" t="n">
        <v>67744</v>
      </c>
      <c r="B67745">
        <f>TEXT(67744, "[$-0E0000]yyyy-mm-dd")</f>
        <v/>
      </c>
      <c r="C67745" t="inlineStr">
        <is>
          <t>2085-05-01</t>
        </is>
      </c>
    </row>
    <row r="67746">
      <c r="A67746" s="1" t="n">
        <v>67745</v>
      </c>
      <c r="B67746">
        <f>TEXT(67745, "[$-0E0000]yyyy-mm-dd")</f>
        <v/>
      </c>
      <c r="C67746" t="inlineStr">
        <is>
          <t>2085-05-02</t>
        </is>
      </c>
    </row>
    <row r="67747">
      <c r="A67747" s="1" t="n">
        <v>67746</v>
      </c>
      <c r="B67747">
        <f>TEXT(67746, "[$-0E0000]yyyy-mm-dd")</f>
        <v/>
      </c>
      <c r="C67747" t="inlineStr">
        <is>
          <t>2085-05-03</t>
        </is>
      </c>
    </row>
    <row r="67748">
      <c r="A67748" s="1" t="n">
        <v>67747</v>
      </c>
      <c r="B67748">
        <f>TEXT(67747, "[$-0E0000]yyyy-mm-dd")</f>
        <v/>
      </c>
      <c r="C67748" t="inlineStr">
        <is>
          <t>2085-05-04</t>
        </is>
      </c>
    </row>
    <row r="67749">
      <c r="A67749" s="1" t="n">
        <v>67748</v>
      </c>
      <c r="B67749">
        <f>TEXT(67748, "[$-0E0000]yyyy-mm-dd")</f>
        <v/>
      </c>
      <c r="C67749" t="inlineStr">
        <is>
          <t>2085-05-05</t>
        </is>
      </c>
    </row>
    <row r="67750">
      <c r="A67750" s="1" t="n">
        <v>67749</v>
      </c>
      <c r="B67750">
        <f>TEXT(67749, "[$-0E0000]yyyy-mm-dd")</f>
        <v/>
      </c>
      <c r="C67750" t="inlineStr">
        <is>
          <t>2085-05-06</t>
        </is>
      </c>
    </row>
    <row r="67751">
      <c r="A67751" s="1" t="n">
        <v>67750</v>
      </c>
      <c r="B67751">
        <f>TEXT(67750, "[$-0E0000]yyyy-mm-dd")</f>
        <v/>
      </c>
      <c r="C67751" t="inlineStr">
        <is>
          <t>2085-05-07</t>
        </is>
      </c>
    </row>
    <row r="67752">
      <c r="A67752" s="1" t="n">
        <v>67751</v>
      </c>
      <c r="B67752">
        <f>TEXT(67751, "[$-0E0000]yyyy-mm-dd")</f>
        <v/>
      </c>
      <c r="C67752" t="inlineStr">
        <is>
          <t>2085-05-08</t>
        </is>
      </c>
    </row>
    <row r="67753">
      <c r="A67753" s="1" t="n">
        <v>67752</v>
      </c>
      <c r="B67753">
        <f>TEXT(67752, "[$-0E0000]yyyy-mm-dd")</f>
        <v/>
      </c>
      <c r="C67753" t="inlineStr">
        <is>
          <t>2085-05-09</t>
        </is>
      </c>
    </row>
    <row r="67754">
      <c r="A67754" s="1" t="n">
        <v>67753</v>
      </c>
      <c r="B67754">
        <f>TEXT(67753, "[$-0E0000]yyyy-mm-dd")</f>
        <v/>
      </c>
      <c r="C67754" t="inlineStr">
        <is>
          <t>2085-05-10</t>
        </is>
      </c>
    </row>
    <row r="67755">
      <c r="A67755" s="1" t="n">
        <v>67754</v>
      </c>
      <c r="B67755">
        <f>TEXT(67754, "[$-0E0000]yyyy-mm-dd")</f>
        <v/>
      </c>
      <c r="C67755" t="inlineStr">
        <is>
          <t>2085-05-11</t>
        </is>
      </c>
    </row>
    <row r="67756">
      <c r="A67756" s="1" t="n">
        <v>67755</v>
      </c>
      <c r="B67756">
        <f>TEXT(67755, "[$-0E0000]yyyy-mm-dd")</f>
        <v/>
      </c>
      <c r="C67756" t="inlineStr">
        <is>
          <t>2085-05-12</t>
        </is>
      </c>
    </row>
    <row r="67757">
      <c r="A67757" s="1" t="n">
        <v>67756</v>
      </c>
      <c r="B67757">
        <f>TEXT(67756, "[$-0E0000]yyyy-mm-dd")</f>
        <v/>
      </c>
      <c r="C67757" t="inlineStr">
        <is>
          <t>2085-05-13</t>
        </is>
      </c>
    </row>
    <row r="67758">
      <c r="A67758" s="1" t="n">
        <v>67757</v>
      </c>
      <c r="B67758">
        <f>TEXT(67757, "[$-0E0000]yyyy-mm-dd")</f>
        <v/>
      </c>
      <c r="C67758" t="inlineStr">
        <is>
          <t>2085-05-14</t>
        </is>
      </c>
    </row>
    <row r="67759">
      <c r="A67759" s="1" t="n">
        <v>67758</v>
      </c>
      <c r="B67759">
        <f>TEXT(67758, "[$-0E0000]yyyy-mm-dd")</f>
        <v/>
      </c>
      <c r="C67759" t="inlineStr">
        <is>
          <t>2085-05-15</t>
        </is>
      </c>
    </row>
    <row r="67760">
      <c r="A67760" s="1" t="n">
        <v>67759</v>
      </c>
      <c r="B67760">
        <f>TEXT(67759, "[$-0E0000]yyyy-mm-dd")</f>
        <v/>
      </c>
      <c r="C67760" t="inlineStr">
        <is>
          <t>2085-05-16</t>
        </is>
      </c>
    </row>
    <row r="67761">
      <c r="A67761" s="1" t="n">
        <v>67760</v>
      </c>
      <c r="B67761">
        <f>TEXT(67760, "[$-0E0000]yyyy-mm-dd")</f>
        <v/>
      </c>
      <c r="C67761" t="inlineStr">
        <is>
          <t>2085-05-17</t>
        </is>
      </c>
    </row>
    <row r="67762">
      <c r="A67762" s="1" t="n">
        <v>67761</v>
      </c>
      <c r="B67762">
        <f>TEXT(67761, "[$-0E0000]yyyy-mm-dd")</f>
        <v/>
      </c>
      <c r="C67762" t="inlineStr">
        <is>
          <t>2085-05-18</t>
        </is>
      </c>
    </row>
    <row r="67763">
      <c r="A67763" s="1" t="n">
        <v>67762</v>
      </c>
      <c r="B67763">
        <f>TEXT(67762, "[$-0E0000]yyyy-mm-dd")</f>
        <v/>
      </c>
      <c r="C67763" t="inlineStr">
        <is>
          <t>2085-05-19</t>
        </is>
      </c>
    </row>
    <row r="67764">
      <c r="A67764" s="1" t="n">
        <v>67763</v>
      </c>
      <c r="B67764">
        <f>TEXT(67763, "[$-0E0000]yyyy-mm-dd")</f>
        <v/>
      </c>
      <c r="C67764" t="inlineStr">
        <is>
          <t>2085-05-20</t>
        </is>
      </c>
    </row>
    <row r="67765">
      <c r="A67765" s="1" t="n">
        <v>67764</v>
      </c>
      <c r="B67765">
        <f>TEXT(67764, "[$-0E0000]yyyy-mm-dd")</f>
        <v/>
      </c>
      <c r="C67765" t="inlineStr">
        <is>
          <t>2085-05-21</t>
        </is>
      </c>
    </row>
    <row r="67766">
      <c r="A67766" s="1" t="n">
        <v>67765</v>
      </c>
      <c r="B67766">
        <f>TEXT(67765, "[$-0E0000]yyyy-mm-dd")</f>
        <v/>
      </c>
      <c r="C67766" t="inlineStr">
        <is>
          <t>2085-05-22</t>
        </is>
      </c>
    </row>
    <row r="67767">
      <c r="A67767" s="1" t="n">
        <v>67766</v>
      </c>
      <c r="B67767">
        <f>TEXT(67766, "[$-0E0000]yyyy-mm-dd")</f>
        <v/>
      </c>
      <c r="C67767" t="inlineStr">
        <is>
          <t>2085-05-23</t>
        </is>
      </c>
    </row>
    <row r="67768">
      <c r="A67768" s="1" t="n">
        <v>67767</v>
      </c>
      <c r="B67768">
        <f>TEXT(67767, "[$-0E0000]yyyy-mm-dd")</f>
        <v/>
      </c>
      <c r="C67768" t="inlineStr">
        <is>
          <t>2085-05-24</t>
        </is>
      </c>
    </row>
    <row r="67769">
      <c r="A67769" s="1" t="n">
        <v>67768</v>
      </c>
      <c r="B67769">
        <f>TEXT(67768, "[$-0E0000]yyyy-mm-dd")</f>
        <v/>
      </c>
      <c r="C67769" t="inlineStr">
        <is>
          <t>2085-05-25</t>
        </is>
      </c>
    </row>
    <row r="67770">
      <c r="A67770" s="1" t="n">
        <v>67769</v>
      </c>
      <c r="B67770">
        <f>TEXT(67769, "[$-0E0000]yyyy-mm-dd")</f>
        <v/>
      </c>
      <c r="C67770" t="inlineStr">
        <is>
          <t>2085-05-26</t>
        </is>
      </c>
    </row>
    <row r="67771">
      <c r="A67771" s="1" t="n">
        <v>67770</v>
      </c>
      <c r="B67771">
        <f>TEXT(67770, "[$-0E0000]yyyy-mm-dd")</f>
        <v/>
      </c>
      <c r="C67771" t="inlineStr">
        <is>
          <t>2085-05-27</t>
        </is>
      </c>
    </row>
    <row r="67772">
      <c r="A67772" s="1" t="n">
        <v>67771</v>
      </c>
      <c r="B67772">
        <f>TEXT(67771, "[$-0E0000]yyyy-mm-dd")</f>
        <v/>
      </c>
      <c r="C67772" t="inlineStr">
        <is>
          <t>2085-05-28</t>
        </is>
      </c>
    </row>
    <row r="67773">
      <c r="A67773" s="1" t="n">
        <v>67772</v>
      </c>
      <c r="B67773">
        <f>TEXT(67772, "[$-0E0000]yyyy-mm-dd")</f>
        <v/>
      </c>
      <c r="C67773" t="inlineStr">
        <is>
          <t>2085-05-29</t>
        </is>
      </c>
    </row>
    <row r="67774">
      <c r="A67774" s="1" t="n">
        <v>67773</v>
      </c>
      <c r="B67774">
        <f>TEXT(67773, "[$-0E0000]yyyy-mm-dd")</f>
        <v/>
      </c>
      <c r="C67774" t="inlineStr">
        <is>
          <t>2085-05-30</t>
        </is>
      </c>
    </row>
    <row r="67775">
      <c r="A67775" s="1" t="n">
        <v>67774</v>
      </c>
      <c r="B67775">
        <f>TEXT(67774, "[$-0E0000]yyyy-mm-dd")</f>
        <v/>
      </c>
      <c r="C67775" t="inlineStr">
        <is>
          <t>2085-06-01</t>
        </is>
      </c>
    </row>
    <row r="67776">
      <c r="A67776" s="1" t="n">
        <v>67775</v>
      </c>
      <c r="B67776">
        <f>TEXT(67775, "[$-0E0000]yyyy-mm-dd")</f>
        <v/>
      </c>
      <c r="C67776" t="inlineStr">
        <is>
          <t>2085-06-02</t>
        </is>
      </c>
    </row>
    <row r="67777">
      <c r="A67777" s="1" t="n">
        <v>67776</v>
      </c>
      <c r="B67777">
        <f>TEXT(67776, "[$-0E0000]yyyy-mm-dd")</f>
        <v/>
      </c>
      <c r="C67777" t="inlineStr">
        <is>
          <t>2085-06-03</t>
        </is>
      </c>
    </row>
    <row r="67778">
      <c r="A67778" s="1" t="n">
        <v>67777</v>
      </c>
      <c r="B67778">
        <f>TEXT(67777, "[$-0E0000]yyyy-mm-dd")</f>
        <v/>
      </c>
      <c r="C67778" t="inlineStr">
        <is>
          <t>2085-06-04</t>
        </is>
      </c>
    </row>
    <row r="67779">
      <c r="A67779" s="1" t="n">
        <v>67778</v>
      </c>
      <c r="B67779">
        <f>TEXT(67778, "[$-0E0000]yyyy-mm-dd")</f>
        <v/>
      </c>
      <c r="C67779" t="inlineStr">
        <is>
          <t>2085-06-05</t>
        </is>
      </c>
    </row>
    <row r="67780">
      <c r="A67780" s="1" t="n">
        <v>67779</v>
      </c>
      <c r="B67780">
        <f>TEXT(67779, "[$-0E0000]yyyy-mm-dd")</f>
        <v/>
      </c>
      <c r="C67780" t="inlineStr">
        <is>
          <t>2085-06-06</t>
        </is>
      </c>
    </row>
    <row r="67781">
      <c r="A67781" s="1" t="n">
        <v>67780</v>
      </c>
      <c r="B67781">
        <f>TEXT(67780, "[$-0E0000]yyyy-mm-dd")</f>
        <v/>
      </c>
      <c r="C67781" t="inlineStr">
        <is>
          <t>2085-06-07</t>
        </is>
      </c>
    </row>
    <row r="67782">
      <c r="A67782" s="1" t="n">
        <v>67781</v>
      </c>
      <c r="B67782">
        <f>TEXT(67781, "[$-0E0000]yyyy-mm-dd")</f>
        <v/>
      </c>
      <c r="C67782" t="inlineStr">
        <is>
          <t>2085-06-08</t>
        </is>
      </c>
    </row>
    <row r="67783">
      <c r="A67783" s="1" t="n">
        <v>67782</v>
      </c>
      <c r="B67783">
        <f>TEXT(67782, "[$-0E0000]yyyy-mm-dd")</f>
        <v/>
      </c>
      <c r="C67783" t="inlineStr">
        <is>
          <t>2085-06-09</t>
        </is>
      </c>
    </row>
    <row r="67784">
      <c r="A67784" s="1" t="n">
        <v>67783</v>
      </c>
      <c r="B67784">
        <f>TEXT(67783, "[$-0E0000]yyyy-mm-dd")</f>
        <v/>
      </c>
      <c r="C67784" t="inlineStr">
        <is>
          <t>2085-06-10</t>
        </is>
      </c>
    </row>
    <row r="67785">
      <c r="A67785" s="1" t="n">
        <v>67784</v>
      </c>
      <c r="B67785">
        <f>TEXT(67784, "[$-0E0000]yyyy-mm-dd")</f>
        <v/>
      </c>
      <c r="C67785" t="inlineStr">
        <is>
          <t>2085-06-11</t>
        </is>
      </c>
    </row>
    <row r="67786">
      <c r="A67786" s="1" t="n">
        <v>67785</v>
      </c>
      <c r="B67786">
        <f>TEXT(67785, "[$-0E0000]yyyy-mm-dd")</f>
        <v/>
      </c>
      <c r="C67786" t="inlineStr">
        <is>
          <t>2085-06-12</t>
        </is>
      </c>
    </row>
    <row r="67787">
      <c r="A67787" s="1" t="n">
        <v>67786</v>
      </c>
      <c r="B67787">
        <f>TEXT(67786, "[$-0E0000]yyyy-mm-dd")</f>
        <v/>
      </c>
      <c r="C67787" t="inlineStr">
        <is>
          <t>2085-06-13</t>
        </is>
      </c>
    </row>
    <row r="67788">
      <c r="A67788" s="1" t="n">
        <v>67787</v>
      </c>
      <c r="B67788">
        <f>TEXT(67787, "[$-0E0000]yyyy-mm-dd")</f>
        <v/>
      </c>
      <c r="C67788" t="inlineStr">
        <is>
          <t>2085-06-14</t>
        </is>
      </c>
    </row>
    <row r="67789">
      <c r="A67789" s="1" t="n">
        <v>67788</v>
      </c>
      <c r="B67789">
        <f>TEXT(67788, "[$-0E0000]yyyy-mm-dd")</f>
        <v/>
      </c>
      <c r="C67789" t="inlineStr">
        <is>
          <t>2085-06-15</t>
        </is>
      </c>
    </row>
    <row r="67790">
      <c r="A67790" s="1" t="n">
        <v>67789</v>
      </c>
      <c r="B67790">
        <f>TEXT(67789, "[$-0E0000]yyyy-mm-dd")</f>
        <v/>
      </c>
      <c r="C67790" t="inlineStr">
        <is>
          <t>2085-06-16</t>
        </is>
      </c>
    </row>
    <row r="67791">
      <c r="A67791" s="1" t="n">
        <v>67790</v>
      </c>
      <c r="B67791">
        <f>TEXT(67790, "[$-0E0000]yyyy-mm-dd")</f>
        <v/>
      </c>
      <c r="C67791" t="inlineStr">
        <is>
          <t>2085-06-17</t>
        </is>
      </c>
    </row>
    <row r="67792">
      <c r="A67792" s="1" t="n">
        <v>67791</v>
      </c>
      <c r="B67792">
        <f>TEXT(67791, "[$-0E0000]yyyy-mm-dd")</f>
        <v/>
      </c>
      <c r="C67792" t="inlineStr">
        <is>
          <t>2085-06-18</t>
        </is>
      </c>
    </row>
    <row r="67793">
      <c r="A67793" s="1" t="n">
        <v>67792</v>
      </c>
      <c r="B67793">
        <f>TEXT(67792, "[$-0E0000]yyyy-mm-dd")</f>
        <v/>
      </c>
      <c r="C67793" t="inlineStr">
        <is>
          <t>2085-06-19</t>
        </is>
      </c>
    </row>
    <row r="67794">
      <c r="A67794" s="1" t="n">
        <v>67793</v>
      </c>
      <c r="B67794">
        <f>TEXT(67793, "[$-0E0000]yyyy-mm-dd")</f>
        <v/>
      </c>
      <c r="C67794" t="inlineStr">
        <is>
          <t>2085-06-20</t>
        </is>
      </c>
    </row>
    <row r="67795">
      <c r="A67795" s="1" t="n">
        <v>67794</v>
      </c>
      <c r="B67795">
        <f>TEXT(67794, "[$-0E0000]yyyy-mm-dd")</f>
        <v/>
      </c>
      <c r="C67795" t="inlineStr">
        <is>
          <t>2085-06-21</t>
        </is>
      </c>
    </row>
    <row r="67796">
      <c r="A67796" s="1" t="n">
        <v>67795</v>
      </c>
      <c r="B67796">
        <f>TEXT(67795, "[$-0E0000]yyyy-mm-dd")</f>
        <v/>
      </c>
      <c r="C67796" t="inlineStr">
        <is>
          <t>2085-06-22</t>
        </is>
      </c>
    </row>
    <row r="67797">
      <c r="A67797" s="1" t="n">
        <v>67796</v>
      </c>
      <c r="B67797">
        <f>TEXT(67796, "[$-0E0000]yyyy-mm-dd")</f>
        <v/>
      </c>
      <c r="C67797" t="inlineStr">
        <is>
          <t>2085-06-23</t>
        </is>
      </c>
    </row>
    <row r="67798">
      <c r="A67798" s="1" t="n">
        <v>67797</v>
      </c>
      <c r="B67798">
        <f>TEXT(67797, "[$-0E0000]yyyy-mm-dd")</f>
        <v/>
      </c>
      <c r="C67798" t="inlineStr">
        <is>
          <t>2085-06-24</t>
        </is>
      </c>
    </row>
    <row r="67799">
      <c r="A67799" s="1" t="n">
        <v>67798</v>
      </c>
      <c r="B67799">
        <f>TEXT(67798, "[$-0E0000]yyyy-mm-dd")</f>
        <v/>
      </c>
      <c r="C67799" t="inlineStr">
        <is>
          <t>2085-06-25</t>
        </is>
      </c>
    </row>
    <row r="67800">
      <c r="A67800" s="1" t="n">
        <v>67799</v>
      </c>
      <c r="B67800">
        <f>TEXT(67799, "[$-0E0000]yyyy-mm-dd")</f>
        <v/>
      </c>
      <c r="C67800" t="inlineStr">
        <is>
          <t>2085-06-26</t>
        </is>
      </c>
    </row>
    <row r="67801">
      <c r="A67801" s="1" t="n">
        <v>67800</v>
      </c>
      <c r="B67801">
        <f>TEXT(67800, "[$-0E0000]yyyy-mm-dd")</f>
        <v/>
      </c>
      <c r="C67801" t="inlineStr">
        <is>
          <t>2085-06-27</t>
        </is>
      </c>
    </row>
    <row r="67802">
      <c r="A67802" s="1" t="n">
        <v>67801</v>
      </c>
      <c r="B67802">
        <f>TEXT(67801, "[$-0E0000]yyyy-mm-dd")</f>
        <v/>
      </c>
      <c r="C67802" t="inlineStr">
        <is>
          <t>2085-06-28</t>
        </is>
      </c>
    </row>
    <row r="67803">
      <c r="A67803" s="1" t="n">
        <v>67802</v>
      </c>
      <c r="B67803">
        <f>TEXT(67802, "[$-0E0000]yyyy-mm-dd")</f>
        <v/>
      </c>
      <c r="C67803" t="inlineStr">
        <is>
          <t>2085-06-29</t>
        </is>
      </c>
    </row>
    <row r="67804">
      <c r="A67804" s="1" t="n">
        <v>67803</v>
      </c>
      <c r="B67804">
        <f>TEXT(67803, "[$-0E0000]yyyy-mm-dd")</f>
        <v/>
      </c>
      <c r="C67804" t="inlineStr">
        <is>
          <t>2085-07-01</t>
        </is>
      </c>
    </row>
    <row r="67805">
      <c r="A67805" s="1" t="n">
        <v>67804</v>
      </c>
      <c r="B67805">
        <f>TEXT(67804, "[$-0E0000]yyyy-mm-dd")</f>
        <v/>
      </c>
      <c r="C67805" t="inlineStr">
        <is>
          <t>2085-07-02</t>
        </is>
      </c>
    </row>
    <row r="67806">
      <c r="A67806" s="1" t="n">
        <v>67805</v>
      </c>
      <c r="B67806">
        <f>TEXT(67805, "[$-0E0000]yyyy-mm-dd")</f>
        <v/>
      </c>
      <c r="C67806" t="inlineStr">
        <is>
          <t>2085-07-03</t>
        </is>
      </c>
    </row>
    <row r="67807">
      <c r="A67807" s="1" t="n">
        <v>67806</v>
      </c>
      <c r="B67807">
        <f>TEXT(67806, "[$-0E0000]yyyy-mm-dd")</f>
        <v/>
      </c>
      <c r="C67807" t="inlineStr">
        <is>
          <t>2085-07-04</t>
        </is>
      </c>
    </row>
    <row r="67808">
      <c r="A67808" s="1" t="n">
        <v>67807</v>
      </c>
      <c r="B67808">
        <f>TEXT(67807, "[$-0E0000]yyyy-mm-dd")</f>
        <v/>
      </c>
      <c r="C67808" t="inlineStr">
        <is>
          <t>2085-07-05</t>
        </is>
      </c>
    </row>
    <row r="67809">
      <c r="A67809" s="1" t="n">
        <v>67808</v>
      </c>
      <c r="B67809">
        <f>TEXT(67808, "[$-0E0000]yyyy-mm-dd")</f>
        <v/>
      </c>
      <c r="C67809" t="inlineStr">
        <is>
          <t>2085-07-06</t>
        </is>
      </c>
    </row>
    <row r="67810">
      <c r="A67810" s="1" t="n">
        <v>67809</v>
      </c>
      <c r="B67810">
        <f>TEXT(67809, "[$-0E0000]yyyy-mm-dd")</f>
        <v/>
      </c>
      <c r="C67810" t="inlineStr">
        <is>
          <t>2085-07-07</t>
        </is>
      </c>
    </row>
    <row r="67811">
      <c r="A67811" s="1" t="n">
        <v>67810</v>
      </c>
      <c r="B67811">
        <f>TEXT(67810, "[$-0E0000]yyyy-mm-dd")</f>
        <v/>
      </c>
      <c r="C67811" t="inlineStr">
        <is>
          <t>2085-07-08</t>
        </is>
      </c>
    </row>
    <row r="67812">
      <c r="A67812" s="1" t="n">
        <v>67811</v>
      </c>
      <c r="B67812">
        <f>TEXT(67811, "[$-0E0000]yyyy-mm-dd")</f>
        <v/>
      </c>
      <c r="C67812" t="inlineStr">
        <is>
          <t>2085-07-09</t>
        </is>
      </c>
    </row>
    <row r="67813">
      <c r="A67813" s="1" t="n">
        <v>67812</v>
      </c>
      <c r="B67813">
        <f>TEXT(67812, "[$-0E0000]yyyy-mm-dd")</f>
        <v/>
      </c>
      <c r="C67813" t="inlineStr">
        <is>
          <t>2085-07-10</t>
        </is>
      </c>
    </row>
    <row r="67814">
      <c r="A67814" s="1" t="n">
        <v>67813</v>
      </c>
      <c r="B67814">
        <f>TEXT(67813, "[$-0E0000]yyyy-mm-dd")</f>
        <v/>
      </c>
      <c r="C67814" t="inlineStr">
        <is>
          <t>2085-07-11</t>
        </is>
      </c>
    </row>
    <row r="67815">
      <c r="A67815" s="1" t="n">
        <v>67814</v>
      </c>
      <c r="B67815">
        <f>TEXT(67814, "[$-0E0000]yyyy-mm-dd")</f>
        <v/>
      </c>
      <c r="C67815" t="inlineStr">
        <is>
          <t>2085-07-12</t>
        </is>
      </c>
    </row>
    <row r="67816">
      <c r="A67816" s="1" t="n">
        <v>67815</v>
      </c>
      <c r="B67816">
        <f>TEXT(67815, "[$-0E0000]yyyy-mm-dd")</f>
        <v/>
      </c>
      <c r="C67816" t="inlineStr">
        <is>
          <t>2085-07-13</t>
        </is>
      </c>
    </row>
    <row r="67817">
      <c r="A67817" s="1" t="n">
        <v>67816</v>
      </c>
      <c r="B67817">
        <f>TEXT(67816, "[$-0E0000]yyyy-mm-dd")</f>
        <v/>
      </c>
      <c r="C67817" t="inlineStr">
        <is>
          <t>2085-07-14</t>
        </is>
      </c>
    </row>
    <row r="67818">
      <c r="A67818" s="1" t="n">
        <v>67817</v>
      </c>
      <c r="B67818">
        <f>TEXT(67817, "[$-0E0000]yyyy-mm-dd")</f>
        <v/>
      </c>
      <c r="C67818" t="inlineStr">
        <is>
          <t>2085-07-15</t>
        </is>
      </c>
    </row>
    <row r="67819">
      <c r="A67819" s="1" t="n">
        <v>67818</v>
      </c>
      <c r="B67819">
        <f>TEXT(67818, "[$-0E0000]yyyy-mm-dd")</f>
        <v/>
      </c>
      <c r="C67819" t="inlineStr">
        <is>
          <t>2085-07-16</t>
        </is>
      </c>
    </row>
    <row r="67820">
      <c r="A67820" s="1" t="n">
        <v>67819</v>
      </c>
      <c r="B67820">
        <f>TEXT(67819, "[$-0E0000]yyyy-mm-dd")</f>
        <v/>
      </c>
      <c r="C67820" t="inlineStr">
        <is>
          <t>2085-07-17</t>
        </is>
      </c>
    </row>
    <row r="67821">
      <c r="A67821" s="1" t="n">
        <v>67820</v>
      </c>
      <c r="B67821">
        <f>TEXT(67820, "[$-0E0000]yyyy-mm-dd")</f>
        <v/>
      </c>
      <c r="C67821" t="inlineStr">
        <is>
          <t>2085-07-18</t>
        </is>
      </c>
    </row>
    <row r="67822">
      <c r="A67822" s="1" t="n">
        <v>67821</v>
      </c>
      <c r="B67822">
        <f>TEXT(67821, "[$-0E0000]yyyy-mm-dd")</f>
        <v/>
      </c>
      <c r="C67822" t="inlineStr">
        <is>
          <t>2085-07-19</t>
        </is>
      </c>
    </row>
    <row r="67823">
      <c r="A67823" s="1" t="n">
        <v>67822</v>
      </c>
      <c r="B67823">
        <f>TEXT(67822, "[$-0E0000]yyyy-mm-dd")</f>
        <v/>
      </c>
      <c r="C67823" t="inlineStr">
        <is>
          <t>2085-07-20</t>
        </is>
      </c>
    </row>
    <row r="67824">
      <c r="A67824" s="1" t="n">
        <v>67823</v>
      </c>
      <c r="B67824">
        <f>TEXT(67823, "[$-0E0000]yyyy-mm-dd")</f>
        <v/>
      </c>
      <c r="C67824" t="inlineStr">
        <is>
          <t>2085-07-21</t>
        </is>
      </c>
    </row>
    <row r="67825">
      <c r="A67825" s="1" t="n">
        <v>67824</v>
      </c>
      <c r="B67825">
        <f>TEXT(67824, "[$-0E0000]yyyy-mm-dd")</f>
        <v/>
      </c>
      <c r="C67825" t="inlineStr">
        <is>
          <t>2085-07-22</t>
        </is>
      </c>
    </row>
    <row r="67826">
      <c r="A67826" s="1" t="n">
        <v>67825</v>
      </c>
      <c r="B67826">
        <f>TEXT(67825, "[$-0E0000]yyyy-mm-dd")</f>
        <v/>
      </c>
      <c r="C67826" t="inlineStr">
        <is>
          <t>2085-07-23</t>
        </is>
      </c>
    </row>
    <row r="67827">
      <c r="A67827" s="1" t="n">
        <v>67826</v>
      </c>
      <c r="B67827">
        <f>TEXT(67826, "[$-0E0000]yyyy-mm-dd")</f>
        <v/>
      </c>
      <c r="C67827" t="inlineStr">
        <is>
          <t>2085-07-24</t>
        </is>
      </c>
    </row>
    <row r="67828">
      <c r="A67828" s="1" t="n">
        <v>67827</v>
      </c>
      <c r="B67828">
        <f>TEXT(67827, "[$-0E0000]yyyy-mm-dd")</f>
        <v/>
      </c>
      <c r="C67828" t="inlineStr">
        <is>
          <t>2085-07-25</t>
        </is>
      </c>
    </row>
    <row r="67829">
      <c r="A67829" s="1" t="n">
        <v>67828</v>
      </c>
      <c r="B67829">
        <f>TEXT(67828, "[$-0E0000]yyyy-mm-dd")</f>
        <v/>
      </c>
      <c r="C67829" t="inlineStr">
        <is>
          <t>2085-07-26</t>
        </is>
      </c>
    </row>
    <row r="67830">
      <c r="A67830" s="1" t="n">
        <v>67829</v>
      </c>
      <c r="B67830">
        <f>TEXT(67829, "[$-0E0000]yyyy-mm-dd")</f>
        <v/>
      </c>
      <c r="C67830" t="inlineStr">
        <is>
          <t>2085-07-27</t>
        </is>
      </c>
    </row>
    <row r="67831">
      <c r="A67831" s="1" t="n">
        <v>67830</v>
      </c>
      <c r="B67831">
        <f>TEXT(67830, "[$-0E0000]yyyy-mm-dd")</f>
        <v/>
      </c>
      <c r="C67831" t="inlineStr">
        <is>
          <t>2085-07-28</t>
        </is>
      </c>
    </row>
    <row r="67832">
      <c r="A67832" s="1" t="n">
        <v>67831</v>
      </c>
      <c r="B67832">
        <f>TEXT(67831, "[$-0E0000]yyyy-mm-dd")</f>
        <v/>
      </c>
      <c r="C67832" t="inlineStr">
        <is>
          <t>2085-07-29</t>
        </is>
      </c>
    </row>
    <row r="67833">
      <c r="A67833" s="1" t="n">
        <v>67832</v>
      </c>
      <c r="B67833">
        <f>TEXT(67832, "[$-0E0000]yyyy-mm-dd")</f>
        <v/>
      </c>
      <c r="C67833" t="inlineStr">
        <is>
          <t>2085-07-30</t>
        </is>
      </c>
    </row>
    <row r="67834">
      <c r="A67834" s="1" t="n">
        <v>67833</v>
      </c>
      <c r="B67834">
        <f>TEXT(67833, "[$-0E0000]yyyy-mm-dd")</f>
        <v/>
      </c>
      <c r="C67834" t="inlineStr">
        <is>
          <t>2085-08-01</t>
        </is>
      </c>
    </row>
    <row r="67835">
      <c r="A67835" s="1" t="n">
        <v>67834</v>
      </c>
      <c r="B67835">
        <f>TEXT(67834, "[$-0E0000]yyyy-mm-dd")</f>
        <v/>
      </c>
      <c r="C67835" t="inlineStr">
        <is>
          <t>2085-08-02</t>
        </is>
      </c>
    </row>
    <row r="67836">
      <c r="A67836" s="1" t="n">
        <v>67835</v>
      </c>
      <c r="B67836">
        <f>TEXT(67835, "[$-0E0000]yyyy-mm-dd")</f>
        <v/>
      </c>
      <c r="C67836" t="inlineStr">
        <is>
          <t>2085-08-03</t>
        </is>
      </c>
    </row>
    <row r="67837">
      <c r="A67837" s="1" t="n">
        <v>67836</v>
      </c>
      <c r="B67837">
        <f>TEXT(67836, "[$-0E0000]yyyy-mm-dd")</f>
        <v/>
      </c>
      <c r="C67837" t="inlineStr">
        <is>
          <t>2085-08-04</t>
        </is>
      </c>
    </row>
    <row r="67838">
      <c r="A67838" s="1" t="n">
        <v>67837</v>
      </c>
      <c r="B67838">
        <f>TEXT(67837, "[$-0E0000]yyyy-mm-dd")</f>
        <v/>
      </c>
      <c r="C67838" t="inlineStr">
        <is>
          <t>2085-08-05</t>
        </is>
      </c>
    </row>
    <row r="67839">
      <c r="A67839" s="1" t="n">
        <v>67838</v>
      </c>
      <c r="B67839">
        <f>TEXT(67838, "[$-0E0000]yyyy-mm-dd")</f>
        <v/>
      </c>
      <c r="C67839" t="inlineStr">
        <is>
          <t>2085-08-06</t>
        </is>
      </c>
    </row>
    <row r="67840">
      <c r="A67840" s="1" t="n">
        <v>67839</v>
      </c>
      <c r="B67840">
        <f>TEXT(67839, "[$-0E0000]yyyy-mm-dd")</f>
        <v/>
      </c>
      <c r="C67840" t="inlineStr">
        <is>
          <t>2085-08-07</t>
        </is>
      </c>
    </row>
    <row r="67841">
      <c r="A67841" s="1" t="n">
        <v>67840</v>
      </c>
      <c r="B67841">
        <f>TEXT(67840, "[$-0E0000]yyyy-mm-dd")</f>
        <v/>
      </c>
      <c r="C67841" t="inlineStr">
        <is>
          <t>2085-08-08</t>
        </is>
      </c>
    </row>
    <row r="67842">
      <c r="A67842" s="1" t="n">
        <v>67841</v>
      </c>
      <c r="B67842">
        <f>TEXT(67841, "[$-0E0000]yyyy-mm-dd")</f>
        <v/>
      </c>
      <c r="C67842" t="inlineStr">
        <is>
          <t>2085-08-09</t>
        </is>
      </c>
    </row>
    <row r="67843">
      <c r="A67843" s="1" t="n">
        <v>67842</v>
      </c>
      <c r="B67843">
        <f>TEXT(67842, "[$-0E0000]yyyy-mm-dd")</f>
        <v/>
      </c>
      <c r="C67843" t="inlineStr">
        <is>
          <t>2085-08-10</t>
        </is>
      </c>
    </row>
    <row r="67844">
      <c r="A67844" s="1" t="n">
        <v>67843</v>
      </c>
      <c r="B67844">
        <f>TEXT(67843, "[$-0E0000]yyyy-mm-dd")</f>
        <v/>
      </c>
      <c r="C67844" t="inlineStr">
        <is>
          <t>2085-08-11</t>
        </is>
      </c>
    </row>
    <row r="67845">
      <c r="A67845" s="1" t="n">
        <v>67844</v>
      </c>
      <c r="B67845">
        <f>TEXT(67844, "[$-0E0000]yyyy-mm-dd")</f>
        <v/>
      </c>
      <c r="C67845" t="inlineStr">
        <is>
          <t>2085-08-12</t>
        </is>
      </c>
    </row>
    <row r="67846">
      <c r="A67846" s="1" t="n">
        <v>67845</v>
      </c>
      <c r="B67846">
        <f>TEXT(67845, "[$-0E0000]yyyy-mm-dd")</f>
        <v/>
      </c>
      <c r="C67846" t="inlineStr">
        <is>
          <t>2085-08-13</t>
        </is>
      </c>
    </row>
    <row r="67847">
      <c r="A67847" s="1" t="n">
        <v>67846</v>
      </c>
      <c r="B67847">
        <f>TEXT(67846, "[$-0E0000]yyyy-mm-dd")</f>
        <v/>
      </c>
      <c r="C67847" t="inlineStr">
        <is>
          <t>2085-08-14</t>
        </is>
      </c>
    </row>
    <row r="67848">
      <c r="A67848" s="1" t="n">
        <v>67847</v>
      </c>
      <c r="B67848">
        <f>TEXT(67847, "[$-0E0000]yyyy-mm-dd")</f>
        <v/>
      </c>
      <c r="C67848" t="inlineStr">
        <is>
          <t>2085-08-15</t>
        </is>
      </c>
    </row>
    <row r="67849">
      <c r="A67849" s="1" t="n">
        <v>67848</v>
      </c>
      <c r="B67849">
        <f>TEXT(67848, "[$-0E0000]yyyy-mm-dd")</f>
        <v/>
      </c>
      <c r="C67849" t="inlineStr">
        <is>
          <t>2085-08-16</t>
        </is>
      </c>
    </row>
    <row r="67850">
      <c r="A67850" s="1" t="n">
        <v>67849</v>
      </c>
      <c r="B67850">
        <f>TEXT(67849, "[$-0E0000]yyyy-mm-dd")</f>
        <v/>
      </c>
      <c r="C67850" t="inlineStr">
        <is>
          <t>2085-08-17</t>
        </is>
      </c>
    </row>
    <row r="67851">
      <c r="A67851" s="1" t="n">
        <v>67850</v>
      </c>
      <c r="B67851">
        <f>TEXT(67850, "[$-0E0000]yyyy-mm-dd")</f>
        <v/>
      </c>
      <c r="C67851" t="inlineStr">
        <is>
          <t>2085-08-18</t>
        </is>
      </c>
    </row>
    <row r="67852">
      <c r="A67852" s="1" t="n">
        <v>67851</v>
      </c>
      <c r="B67852">
        <f>TEXT(67851, "[$-0E0000]yyyy-mm-dd")</f>
        <v/>
      </c>
      <c r="C67852" t="inlineStr">
        <is>
          <t>2085-08-19</t>
        </is>
      </c>
    </row>
    <row r="67853">
      <c r="A67853" s="1" t="n">
        <v>67852</v>
      </c>
      <c r="B67853">
        <f>TEXT(67852, "[$-0E0000]yyyy-mm-dd")</f>
        <v/>
      </c>
      <c r="C67853" t="inlineStr">
        <is>
          <t>2085-08-20</t>
        </is>
      </c>
    </row>
    <row r="67854">
      <c r="A67854" s="1" t="n">
        <v>67853</v>
      </c>
      <c r="B67854">
        <f>TEXT(67853, "[$-0E0000]yyyy-mm-dd")</f>
        <v/>
      </c>
      <c r="C67854" t="inlineStr">
        <is>
          <t>2085-08-21</t>
        </is>
      </c>
    </row>
    <row r="67855">
      <c r="A67855" s="1" t="n">
        <v>67854</v>
      </c>
      <c r="B67855">
        <f>TEXT(67854, "[$-0E0000]yyyy-mm-dd")</f>
        <v/>
      </c>
      <c r="C67855" t="inlineStr">
        <is>
          <t>2085-08-22</t>
        </is>
      </c>
    </row>
    <row r="67856">
      <c r="A67856" s="1" t="n">
        <v>67855</v>
      </c>
      <c r="B67856">
        <f>TEXT(67855, "[$-0E0000]yyyy-mm-dd")</f>
        <v/>
      </c>
      <c r="C67856" t="inlineStr">
        <is>
          <t>2085-08-23</t>
        </is>
      </c>
    </row>
    <row r="67857">
      <c r="A67857" s="1" t="n">
        <v>67856</v>
      </c>
      <c r="B67857">
        <f>TEXT(67856, "[$-0E0000]yyyy-mm-dd")</f>
        <v/>
      </c>
      <c r="C67857" t="inlineStr">
        <is>
          <t>2085-08-24</t>
        </is>
      </c>
    </row>
    <row r="67858">
      <c r="A67858" s="1" t="n">
        <v>67857</v>
      </c>
      <c r="B67858">
        <f>TEXT(67857, "[$-0E0000]yyyy-mm-dd")</f>
        <v/>
      </c>
      <c r="C67858" t="inlineStr">
        <is>
          <t>2085-08-25</t>
        </is>
      </c>
    </row>
    <row r="67859">
      <c r="A67859" s="1" t="n">
        <v>67858</v>
      </c>
      <c r="B67859">
        <f>TEXT(67858, "[$-0E0000]yyyy-mm-dd")</f>
        <v/>
      </c>
      <c r="C67859" t="inlineStr">
        <is>
          <t>2085-08-26</t>
        </is>
      </c>
    </row>
    <row r="67860">
      <c r="A67860" s="1" t="n">
        <v>67859</v>
      </c>
      <c r="B67860">
        <f>TEXT(67859, "[$-0E0000]yyyy-mm-dd")</f>
        <v/>
      </c>
      <c r="C67860" t="inlineStr">
        <is>
          <t>2085-08-27</t>
        </is>
      </c>
    </row>
    <row r="67861">
      <c r="A67861" s="1" t="n">
        <v>67860</v>
      </c>
      <c r="B67861">
        <f>TEXT(67860, "[$-0E0000]yyyy-mm-dd")</f>
        <v/>
      </c>
      <c r="C67861" t="inlineStr">
        <is>
          <t>2085-08-28</t>
        </is>
      </c>
    </row>
    <row r="67862">
      <c r="A67862" s="1" t="n">
        <v>67861</v>
      </c>
      <c r="B67862">
        <f>TEXT(67861, "[$-0E0000]yyyy-mm-dd")</f>
        <v/>
      </c>
      <c r="C67862" t="inlineStr">
        <is>
          <t>2085-08-29</t>
        </is>
      </c>
    </row>
    <row r="67863">
      <c r="A67863" s="1" t="n">
        <v>67862</v>
      </c>
      <c r="B67863">
        <f>TEXT(67862, "[$-0E0000]yyyy-mm-dd")</f>
        <v/>
      </c>
      <c r="C67863" t="inlineStr">
        <is>
          <t>2085-08-30</t>
        </is>
      </c>
    </row>
    <row r="67864">
      <c r="A67864" s="1" t="n">
        <v>67863</v>
      </c>
      <c r="B67864">
        <f>TEXT(67863, "[$-0E0000]yyyy-mm-dd")</f>
        <v/>
      </c>
      <c r="C67864" t="inlineStr">
        <is>
          <t>2085-09-01</t>
        </is>
      </c>
    </row>
    <row r="67865">
      <c r="A67865" s="1" t="n">
        <v>67864</v>
      </c>
      <c r="B67865">
        <f>TEXT(67864, "[$-0E0000]yyyy-mm-dd")</f>
        <v/>
      </c>
      <c r="C67865" t="inlineStr">
        <is>
          <t>2085-09-02</t>
        </is>
      </c>
    </row>
    <row r="67866">
      <c r="A67866" s="1" t="n">
        <v>67865</v>
      </c>
      <c r="B67866">
        <f>TEXT(67865, "[$-0E0000]yyyy-mm-dd")</f>
        <v/>
      </c>
      <c r="C67866" t="inlineStr">
        <is>
          <t>2085-09-03</t>
        </is>
      </c>
    </row>
    <row r="67867">
      <c r="A67867" s="1" t="n">
        <v>67866</v>
      </c>
      <c r="B67867">
        <f>TEXT(67866, "[$-0E0000]yyyy-mm-dd")</f>
        <v/>
      </c>
      <c r="C67867" t="inlineStr">
        <is>
          <t>2085-09-04</t>
        </is>
      </c>
    </row>
    <row r="67868">
      <c r="A67868" s="1" t="n">
        <v>67867</v>
      </c>
      <c r="B67868">
        <f>TEXT(67867, "[$-0E0000]yyyy-mm-dd")</f>
        <v/>
      </c>
      <c r="C67868" t="inlineStr">
        <is>
          <t>2085-09-05</t>
        </is>
      </c>
    </row>
    <row r="67869">
      <c r="A67869" s="1" t="n">
        <v>67868</v>
      </c>
      <c r="B67869">
        <f>TEXT(67868, "[$-0E0000]yyyy-mm-dd")</f>
        <v/>
      </c>
      <c r="C67869" t="inlineStr">
        <is>
          <t>2085-09-06</t>
        </is>
      </c>
    </row>
    <row r="67870">
      <c r="A67870" s="1" t="n">
        <v>67869</v>
      </c>
      <c r="B67870">
        <f>TEXT(67869, "[$-0E0000]yyyy-mm-dd")</f>
        <v/>
      </c>
      <c r="C67870" t="inlineStr">
        <is>
          <t>2085-09-07</t>
        </is>
      </c>
    </row>
    <row r="67871">
      <c r="A67871" s="1" t="n">
        <v>67870</v>
      </c>
      <c r="B67871">
        <f>TEXT(67870, "[$-0E0000]yyyy-mm-dd")</f>
        <v/>
      </c>
      <c r="C67871" t="inlineStr">
        <is>
          <t>2085-09-08</t>
        </is>
      </c>
    </row>
    <row r="67872">
      <c r="A67872" s="1" t="n">
        <v>67871</v>
      </c>
      <c r="B67872">
        <f>TEXT(67871, "[$-0E0000]yyyy-mm-dd")</f>
        <v/>
      </c>
      <c r="C67872" t="inlineStr">
        <is>
          <t>2085-09-09</t>
        </is>
      </c>
    </row>
    <row r="67873">
      <c r="A67873" s="1" t="n">
        <v>67872</v>
      </c>
      <c r="B67873">
        <f>TEXT(67872, "[$-0E0000]yyyy-mm-dd")</f>
        <v/>
      </c>
      <c r="C67873" t="inlineStr">
        <is>
          <t>2085-09-10</t>
        </is>
      </c>
    </row>
    <row r="67874">
      <c r="A67874" s="1" t="n">
        <v>67873</v>
      </c>
      <c r="B67874">
        <f>TEXT(67873, "[$-0E0000]yyyy-mm-dd")</f>
        <v/>
      </c>
      <c r="C67874" t="inlineStr">
        <is>
          <t>2085-09-11</t>
        </is>
      </c>
    </row>
    <row r="67875">
      <c r="A67875" s="1" t="n">
        <v>67874</v>
      </c>
      <c r="B67875">
        <f>TEXT(67874, "[$-0E0000]yyyy-mm-dd")</f>
        <v/>
      </c>
      <c r="C67875" t="inlineStr">
        <is>
          <t>2085-09-12</t>
        </is>
      </c>
    </row>
    <row r="67876">
      <c r="A67876" s="1" t="n">
        <v>67875</v>
      </c>
      <c r="B67876">
        <f>TEXT(67875, "[$-0E0000]yyyy-mm-dd")</f>
        <v/>
      </c>
      <c r="C67876" t="inlineStr">
        <is>
          <t>2085-09-13</t>
        </is>
      </c>
    </row>
    <row r="67877">
      <c r="A67877" s="1" t="n">
        <v>67876</v>
      </c>
      <c r="B67877">
        <f>TEXT(67876, "[$-0E0000]yyyy-mm-dd")</f>
        <v/>
      </c>
      <c r="C67877" t="inlineStr">
        <is>
          <t>2085-09-14</t>
        </is>
      </c>
    </row>
    <row r="67878">
      <c r="A67878" s="1" t="n">
        <v>67877</v>
      </c>
      <c r="B67878">
        <f>TEXT(67877, "[$-0E0000]yyyy-mm-dd")</f>
        <v/>
      </c>
      <c r="C67878" t="inlineStr">
        <is>
          <t>2085-09-15</t>
        </is>
      </c>
    </row>
    <row r="67879">
      <c r="A67879" s="1" t="n">
        <v>67878</v>
      </c>
      <c r="B67879">
        <f>TEXT(67878, "[$-0E0000]yyyy-mm-dd")</f>
        <v/>
      </c>
      <c r="C67879" t="inlineStr">
        <is>
          <t>2085-09-16</t>
        </is>
      </c>
    </row>
    <row r="67880">
      <c r="A67880" s="1" t="n">
        <v>67879</v>
      </c>
      <c r="B67880">
        <f>TEXT(67879, "[$-0E0000]yyyy-mm-dd")</f>
        <v/>
      </c>
      <c r="C67880" t="inlineStr">
        <is>
          <t>2085-09-17</t>
        </is>
      </c>
    </row>
    <row r="67881">
      <c r="A67881" s="1" t="n">
        <v>67880</v>
      </c>
      <c r="B67881">
        <f>TEXT(67880, "[$-0E0000]yyyy-mm-dd")</f>
        <v/>
      </c>
      <c r="C67881" t="inlineStr">
        <is>
          <t>2085-09-18</t>
        </is>
      </c>
    </row>
    <row r="67882">
      <c r="A67882" s="1" t="n">
        <v>67881</v>
      </c>
      <c r="B67882">
        <f>TEXT(67881, "[$-0E0000]yyyy-mm-dd")</f>
        <v/>
      </c>
      <c r="C67882" t="inlineStr">
        <is>
          <t>2085-09-19</t>
        </is>
      </c>
    </row>
    <row r="67883">
      <c r="A67883" s="1" t="n">
        <v>67882</v>
      </c>
      <c r="B67883">
        <f>TEXT(67882, "[$-0E0000]yyyy-mm-dd")</f>
        <v/>
      </c>
      <c r="C67883" t="inlineStr">
        <is>
          <t>2085-09-20</t>
        </is>
      </c>
    </row>
    <row r="67884">
      <c r="A67884" s="1" t="n">
        <v>67883</v>
      </c>
      <c r="B67884">
        <f>TEXT(67883, "[$-0E0000]yyyy-mm-dd")</f>
        <v/>
      </c>
      <c r="C67884" t="inlineStr">
        <is>
          <t>2085-09-21</t>
        </is>
      </c>
    </row>
    <row r="67885">
      <c r="A67885" s="1" t="n">
        <v>67884</v>
      </c>
      <c r="B67885">
        <f>TEXT(67884, "[$-0E0000]yyyy-mm-dd")</f>
        <v/>
      </c>
      <c r="C67885" t="inlineStr">
        <is>
          <t>2085-09-22</t>
        </is>
      </c>
    </row>
    <row r="67886">
      <c r="A67886" s="1" t="n">
        <v>67885</v>
      </c>
      <c r="B67886">
        <f>TEXT(67885, "[$-0E0000]yyyy-mm-dd")</f>
        <v/>
      </c>
      <c r="C67886" t="inlineStr">
        <is>
          <t>2085-09-23</t>
        </is>
      </c>
    </row>
    <row r="67887">
      <c r="A67887" s="1" t="n">
        <v>67886</v>
      </c>
      <c r="B67887">
        <f>TEXT(67886, "[$-0E0000]yyyy-mm-dd")</f>
        <v/>
      </c>
      <c r="C67887" t="inlineStr">
        <is>
          <t>2085-09-24</t>
        </is>
      </c>
    </row>
    <row r="67888">
      <c r="A67888" s="1" t="n">
        <v>67887</v>
      </c>
      <c r="B67888">
        <f>TEXT(67887, "[$-0E0000]yyyy-mm-dd")</f>
        <v/>
      </c>
      <c r="C67888" t="inlineStr">
        <is>
          <t>2085-09-25</t>
        </is>
      </c>
    </row>
    <row r="67889">
      <c r="A67889" s="1" t="n">
        <v>67888</v>
      </c>
      <c r="B67889">
        <f>TEXT(67888, "[$-0E0000]yyyy-mm-dd")</f>
        <v/>
      </c>
      <c r="C67889" t="inlineStr">
        <is>
          <t>2085-09-26</t>
        </is>
      </c>
    </row>
    <row r="67890">
      <c r="A67890" s="1" t="n">
        <v>67889</v>
      </c>
      <c r="B67890">
        <f>TEXT(67889, "[$-0E0000]yyyy-mm-dd")</f>
        <v/>
      </c>
      <c r="C67890" t="inlineStr">
        <is>
          <t>2085-09-27</t>
        </is>
      </c>
    </row>
    <row r="67891">
      <c r="A67891" s="1" t="n">
        <v>67890</v>
      </c>
      <c r="B67891">
        <f>TEXT(67890, "[$-0E0000]yyyy-mm-dd")</f>
        <v/>
      </c>
      <c r="C67891" t="inlineStr">
        <is>
          <t>2085-09-28</t>
        </is>
      </c>
    </row>
    <row r="67892">
      <c r="A67892" s="1" t="n">
        <v>67891</v>
      </c>
      <c r="B67892">
        <f>TEXT(67891, "[$-0E0000]yyyy-mm-dd")</f>
        <v/>
      </c>
      <c r="C67892" t="inlineStr">
        <is>
          <t>2085-09-29</t>
        </is>
      </c>
    </row>
    <row r="67893">
      <c r="A67893" s="1" t="n">
        <v>67892</v>
      </c>
      <c r="B67893">
        <f>TEXT(67892, "[$-0E0000]yyyy-mm-dd")</f>
        <v/>
      </c>
      <c r="C67893" t="inlineStr">
        <is>
          <t>2085-10-01</t>
        </is>
      </c>
    </row>
    <row r="67894">
      <c r="A67894" s="1" t="n">
        <v>67893</v>
      </c>
      <c r="B67894">
        <f>TEXT(67893, "[$-0E0000]yyyy-mm-dd")</f>
        <v/>
      </c>
      <c r="C67894" t="inlineStr">
        <is>
          <t>2085-10-02</t>
        </is>
      </c>
    </row>
    <row r="67895">
      <c r="A67895" s="1" t="n">
        <v>67894</v>
      </c>
      <c r="B67895">
        <f>TEXT(67894, "[$-0E0000]yyyy-mm-dd")</f>
        <v/>
      </c>
      <c r="C67895" t="inlineStr">
        <is>
          <t>2085-10-03</t>
        </is>
      </c>
    </row>
    <row r="67896">
      <c r="A67896" s="1" t="n">
        <v>67895</v>
      </c>
      <c r="B67896">
        <f>TEXT(67895, "[$-0E0000]yyyy-mm-dd")</f>
        <v/>
      </c>
      <c r="C67896" t="inlineStr">
        <is>
          <t>2085-10-04</t>
        </is>
      </c>
    </row>
    <row r="67897">
      <c r="A67897" s="1" t="n">
        <v>67896</v>
      </c>
      <c r="B67897">
        <f>TEXT(67896, "[$-0E0000]yyyy-mm-dd")</f>
        <v/>
      </c>
      <c r="C67897" t="inlineStr">
        <is>
          <t>2085-10-05</t>
        </is>
      </c>
    </row>
    <row r="67898">
      <c r="A67898" s="1" t="n">
        <v>67897</v>
      </c>
      <c r="B67898">
        <f>TEXT(67897, "[$-0E0000]yyyy-mm-dd")</f>
        <v/>
      </c>
      <c r="C67898" t="inlineStr">
        <is>
          <t>2085-10-06</t>
        </is>
      </c>
    </row>
    <row r="67899">
      <c r="A67899" s="1" t="n">
        <v>67898</v>
      </c>
      <c r="B67899">
        <f>TEXT(67898, "[$-0E0000]yyyy-mm-dd")</f>
        <v/>
      </c>
      <c r="C67899" t="inlineStr">
        <is>
          <t>2085-10-07</t>
        </is>
      </c>
    </row>
    <row r="67900">
      <c r="A67900" s="1" t="n">
        <v>67899</v>
      </c>
      <c r="B67900">
        <f>TEXT(67899, "[$-0E0000]yyyy-mm-dd")</f>
        <v/>
      </c>
      <c r="C67900" t="inlineStr">
        <is>
          <t>2085-10-08</t>
        </is>
      </c>
    </row>
    <row r="67901">
      <c r="A67901" s="1" t="n">
        <v>67900</v>
      </c>
      <c r="B67901">
        <f>TEXT(67900, "[$-0E0000]yyyy-mm-dd")</f>
        <v/>
      </c>
      <c r="C67901" t="inlineStr">
        <is>
          <t>2085-10-09</t>
        </is>
      </c>
    </row>
    <row r="67902">
      <c r="A67902" s="1" t="n">
        <v>67901</v>
      </c>
      <c r="B67902">
        <f>TEXT(67901, "[$-0E0000]yyyy-mm-dd")</f>
        <v/>
      </c>
      <c r="C67902" t="inlineStr">
        <is>
          <t>2085-10-10</t>
        </is>
      </c>
    </row>
    <row r="67903">
      <c r="A67903" s="1" t="n">
        <v>67902</v>
      </c>
      <c r="B67903">
        <f>TEXT(67902, "[$-0E0000]yyyy-mm-dd")</f>
        <v/>
      </c>
      <c r="C67903" t="inlineStr">
        <is>
          <t>2085-10-11</t>
        </is>
      </c>
    </row>
    <row r="67904">
      <c r="A67904" s="1" t="n">
        <v>67903</v>
      </c>
      <c r="B67904">
        <f>TEXT(67903, "[$-0E0000]yyyy-mm-dd")</f>
        <v/>
      </c>
      <c r="C67904" t="inlineStr">
        <is>
          <t>2085-10-12</t>
        </is>
      </c>
    </row>
    <row r="67905">
      <c r="A67905" s="1" t="n">
        <v>67904</v>
      </c>
      <c r="B67905">
        <f>TEXT(67904, "[$-0E0000]yyyy-mm-dd")</f>
        <v/>
      </c>
      <c r="C67905" t="inlineStr">
        <is>
          <t>2085-10-13</t>
        </is>
      </c>
    </row>
    <row r="67906">
      <c r="A67906" s="1" t="n">
        <v>67905</v>
      </c>
      <c r="B67906">
        <f>TEXT(67905, "[$-0E0000]yyyy-mm-dd")</f>
        <v/>
      </c>
      <c r="C67906" t="inlineStr">
        <is>
          <t>2085-10-14</t>
        </is>
      </c>
    </row>
    <row r="67907">
      <c r="A67907" s="1" t="n">
        <v>67906</v>
      </c>
      <c r="B67907">
        <f>TEXT(67906, "[$-0E0000]yyyy-mm-dd")</f>
        <v/>
      </c>
      <c r="C67907" t="inlineStr">
        <is>
          <t>2085-10-15</t>
        </is>
      </c>
    </row>
    <row r="67908">
      <c r="A67908" s="1" t="n">
        <v>67907</v>
      </c>
      <c r="B67908">
        <f>TEXT(67907, "[$-0E0000]yyyy-mm-dd")</f>
        <v/>
      </c>
      <c r="C67908" t="inlineStr">
        <is>
          <t>2085-10-16</t>
        </is>
      </c>
    </row>
    <row r="67909">
      <c r="A67909" s="1" t="n">
        <v>67908</v>
      </c>
      <c r="B67909">
        <f>TEXT(67908, "[$-0E0000]yyyy-mm-dd")</f>
        <v/>
      </c>
      <c r="C67909" t="inlineStr">
        <is>
          <t>2085-10-17</t>
        </is>
      </c>
    </row>
    <row r="67910">
      <c r="A67910" s="1" t="n">
        <v>67909</v>
      </c>
      <c r="B67910">
        <f>TEXT(67909, "[$-0E0000]yyyy-mm-dd")</f>
        <v/>
      </c>
      <c r="C67910" t="inlineStr">
        <is>
          <t>2085-10-18</t>
        </is>
      </c>
    </row>
    <row r="67911">
      <c r="A67911" s="1" t="n">
        <v>67910</v>
      </c>
      <c r="B67911">
        <f>TEXT(67910, "[$-0E0000]yyyy-mm-dd")</f>
        <v/>
      </c>
      <c r="C67911" t="inlineStr">
        <is>
          <t>2085-10-19</t>
        </is>
      </c>
    </row>
    <row r="67912">
      <c r="A67912" s="1" t="n">
        <v>67911</v>
      </c>
      <c r="B67912">
        <f>TEXT(67911, "[$-0E0000]yyyy-mm-dd")</f>
        <v/>
      </c>
      <c r="C67912" t="inlineStr">
        <is>
          <t>2085-10-20</t>
        </is>
      </c>
    </row>
    <row r="67913">
      <c r="A67913" s="1" t="n">
        <v>67912</v>
      </c>
      <c r="B67913">
        <f>TEXT(67912, "[$-0E0000]yyyy-mm-dd")</f>
        <v/>
      </c>
      <c r="C67913" t="inlineStr">
        <is>
          <t>2085-10-21</t>
        </is>
      </c>
    </row>
    <row r="67914">
      <c r="A67914" s="1" t="n">
        <v>67913</v>
      </c>
      <c r="B67914">
        <f>TEXT(67913, "[$-0E0000]yyyy-mm-dd")</f>
        <v/>
      </c>
      <c r="C67914" t="inlineStr">
        <is>
          <t>2085-10-22</t>
        </is>
      </c>
    </row>
    <row r="67915">
      <c r="A67915" s="1" t="n">
        <v>67914</v>
      </c>
      <c r="B67915">
        <f>TEXT(67914, "[$-0E0000]yyyy-mm-dd")</f>
        <v/>
      </c>
      <c r="C67915" t="inlineStr">
        <is>
          <t>2085-10-23</t>
        </is>
      </c>
    </row>
    <row r="67916">
      <c r="A67916" s="1" t="n">
        <v>67915</v>
      </c>
      <c r="B67916">
        <f>TEXT(67915, "[$-0E0000]yyyy-mm-dd")</f>
        <v/>
      </c>
      <c r="C67916" t="inlineStr">
        <is>
          <t>2085-10-24</t>
        </is>
      </c>
    </row>
    <row r="67917">
      <c r="A67917" s="1" t="n">
        <v>67916</v>
      </c>
      <c r="B67917">
        <f>TEXT(67916, "[$-0E0000]yyyy-mm-dd")</f>
        <v/>
      </c>
      <c r="C67917" t="inlineStr">
        <is>
          <t>2085-10-25</t>
        </is>
      </c>
    </row>
    <row r="67918">
      <c r="A67918" s="1" t="n">
        <v>67917</v>
      </c>
      <c r="B67918">
        <f>TEXT(67917, "[$-0E0000]yyyy-mm-dd")</f>
        <v/>
      </c>
      <c r="C67918" t="inlineStr">
        <is>
          <t>2085-10-26</t>
        </is>
      </c>
    </row>
    <row r="67919">
      <c r="A67919" s="1" t="n">
        <v>67918</v>
      </c>
      <c r="B67919">
        <f>TEXT(67918, "[$-0E0000]yyyy-mm-dd")</f>
        <v/>
      </c>
      <c r="C67919" t="inlineStr">
        <is>
          <t>2085-10-27</t>
        </is>
      </c>
    </row>
    <row r="67920">
      <c r="A67920" s="1" t="n">
        <v>67919</v>
      </c>
      <c r="B67920">
        <f>TEXT(67919, "[$-0E0000]yyyy-mm-dd")</f>
        <v/>
      </c>
      <c r="C67920" t="inlineStr">
        <is>
          <t>2085-10-28</t>
        </is>
      </c>
    </row>
    <row r="67921">
      <c r="A67921" s="1" t="n">
        <v>67920</v>
      </c>
      <c r="B67921">
        <f>TEXT(67920, "[$-0E0000]yyyy-mm-dd")</f>
        <v/>
      </c>
      <c r="C67921" t="inlineStr">
        <is>
          <t>2085-10-29</t>
        </is>
      </c>
    </row>
    <row r="67922">
      <c r="A67922" s="1" t="n">
        <v>67921</v>
      </c>
      <c r="B67922">
        <f>TEXT(67921, "[$-0E0000]yyyy-mm-dd")</f>
        <v/>
      </c>
      <c r="C67922" t="inlineStr">
        <is>
          <t>2085-10-30</t>
        </is>
      </c>
    </row>
    <row r="67923">
      <c r="A67923" s="1" t="n">
        <v>67922</v>
      </c>
      <c r="B67923">
        <f>TEXT(67922, "[$-0E0000]yyyy-mm-dd")</f>
        <v/>
      </c>
      <c r="C67923" t="inlineStr">
        <is>
          <t>2085-11-01</t>
        </is>
      </c>
    </row>
    <row r="67924">
      <c r="A67924" s="1" t="n">
        <v>67923</v>
      </c>
      <c r="B67924">
        <f>TEXT(67923, "[$-0E0000]yyyy-mm-dd")</f>
        <v/>
      </c>
      <c r="C67924" t="inlineStr">
        <is>
          <t>2085-11-02</t>
        </is>
      </c>
    </row>
    <row r="67925">
      <c r="A67925" s="1" t="n">
        <v>67924</v>
      </c>
      <c r="B67925">
        <f>TEXT(67924, "[$-0E0000]yyyy-mm-dd")</f>
        <v/>
      </c>
      <c r="C67925" t="inlineStr">
        <is>
          <t>2085-11-03</t>
        </is>
      </c>
    </row>
    <row r="67926">
      <c r="A67926" s="1" t="n">
        <v>67925</v>
      </c>
      <c r="B67926">
        <f>TEXT(67925, "[$-0E0000]yyyy-mm-dd")</f>
        <v/>
      </c>
      <c r="C67926" t="inlineStr">
        <is>
          <t>2085-11-04</t>
        </is>
      </c>
    </row>
    <row r="67927">
      <c r="A67927" s="1" t="n">
        <v>67926</v>
      </c>
      <c r="B67927">
        <f>TEXT(67926, "[$-0E0000]yyyy-mm-dd")</f>
        <v/>
      </c>
      <c r="C67927" t="inlineStr">
        <is>
          <t>2085-11-05</t>
        </is>
      </c>
    </row>
    <row r="67928">
      <c r="A67928" s="1" t="n">
        <v>67927</v>
      </c>
      <c r="B67928">
        <f>TEXT(67927, "[$-0E0000]yyyy-mm-dd")</f>
        <v/>
      </c>
      <c r="C67928" t="inlineStr">
        <is>
          <t>2085-11-06</t>
        </is>
      </c>
    </row>
    <row r="67929">
      <c r="A67929" s="1" t="n">
        <v>67928</v>
      </c>
      <c r="B67929">
        <f>TEXT(67928, "[$-0E0000]yyyy-mm-dd")</f>
        <v/>
      </c>
      <c r="C67929" t="inlineStr">
        <is>
          <t>2085-11-07</t>
        </is>
      </c>
    </row>
    <row r="67930">
      <c r="A67930" s="1" t="n">
        <v>67929</v>
      </c>
      <c r="B67930">
        <f>TEXT(67929, "[$-0E0000]yyyy-mm-dd")</f>
        <v/>
      </c>
      <c r="C67930" t="inlineStr">
        <is>
          <t>2085-11-08</t>
        </is>
      </c>
    </row>
    <row r="67931">
      <c r="A67931" s="1" t="n">
        <v>67930</v>
      </c>
      <c r="B67931">
        <f>TEXT(67930, "[$-0E0000]yyyy-mm-dd")</f>
        <v/>
      </c>
      <c r="C67931" t="inlineStr">
        <is>
          <t>2085-11-09</t>
        </is>
      </c>
    </row>
    <row r="67932">
      <c r="A67932" s="1" t="n">
        <v>67931</v>
      </c>
      <c r="B67932">
        <f>TEXT(67931, "[$-0E0000]yyyy-mm-dd")</f>
        <v/>
      </c>
      <c r="C67932" t="inlineStr">
        <is>
          <t>2085-11-10</t>
        </is>
      </c>
    </row>
    <row r="67933">
      <c r="A67933" s="1" t="n">
        <v>67932</v>
      </c>
      <c r="B67933">
        <f>TEXT(67932, "[$-0E0000]yyyy-mm-dd")</f>
        <v/>
      </c>
      <c r="C67933" t="inlineStr">
        <is>
          <t>2085-11-11</t>
        </is>
      </c>
    </row>
    <row r="67934">
      <c r="A67934" s="1" t="n">
        <v>67933</v>
      </c>
      <c r="B67934">
        <f>TEXT(67933, "[$-0E0000]yyyy-mm-dd")</f>
        <v/>
      </c>
      <c r="C67934" t="inlineStr">
        <is>
          <t>2085-11-12</t>
        </is>
      </c>
    </row>
    <row r="67935">
      <c r="A67935" s="1" t="n">
        <v>67934</v>
      </c>
      <c r="B67935">
        <f>TEXT(67934, "[$-0E0000]yyyy-mm-dd")</f>
        <v/>
      </c>
      <c r="C67935" t="inlineStr">
        <is>
          <t>2085-11-13</t>
        </is>
      </c>
    </row>
    <row r="67936">
      <c r="A67936" s="1" t="n">
        <v>67935</v>
      </c>
      <c r="B67936">
        <f>TEXT(67935, "[$-0E0000]yyyy-mm-dd")</f>
        <v/>
      </c>
      <c r="C67936" t="inlineStr">
        <is>
          <t>2085-11-14</t>
        </is>
      </c>
    </row>
    <row r="67937">
      <c r="A67937" s="1" t="n">
        <v>67936</v>
      </c>
      <c r="B67937">
        <f>TEXT(67936, "[$-0E0000]yyyy-mm-dd")</f>
        <v/>
      </c>
      <c r="C67937" t="inlineStr">
        <is>
          <t>2085-11-15</t>
        </is>
      </c>
    </row>
    <row r="67938">
      <c r="A67938" s="1" t="n">
        <v>67937</v>
      </c>
      <c r="B67938">
        <f>TEXT(67937, "[$-0E0000]yyyy-mm-dd")</f>
        <v/>
      </c>
      <c r="C67938" t="inlineStr">
        <is>
          <t>2085-11-16</t>
        </is>
      </c>
    </row>
    <row r="67939">
      <c r="A67939" s="1" t="n">
        <v>67938</v>
      </c>
      <c r="B67939">
        <f>TEXT(67938, "[$-0E0000]yyyy-mm-dd")</f>
        <v/>
      </c>
      <c r="C67939" t="inlineStr">
        <is>
          <t>2085-11-17</t>
        </is>
      </c>
    </row>
    <row r="67940">
      <c r="A67940" s="1" t="n">
        <v>67939</v>
      </c>
      <c r="B67940">
        <f>TEXT(67939, "[$-0E0000]yyyy-mm-dd")</f>
        <v/>
      </c>
      <c r="C67940" t="inlineStr">
        <is>
          <t>2085-11-18</t>
        </is>
      </c>
    </row>
    <row r="67941">
      <c r="A67941" s="1" t="n">
        <v>67940</v>
      </c>
      <c r="B67941">
        <f>TEXT(67940, "[$-0E0000]yyyy-mm-dd")</f>
        <v/>
      </c>
      <c r="C67941" t="inlineStr">
        <is>
          <t>2085-11-19</t>
        </is>
      </c>
    </row>
    <row r="67942">
      <c r="A67942" s="1" t="n">
        <v>67941</v>
      </c>
      <c r="B67942">
        <f>TEXT(67941, "[$-0E0000]yyyy-mm-dd")</f>
        <v/>
      </c>
      <c r="C67942" t="inlineStr">
        <is>
          <t>2085-11-20</t>
        </is>
      </c>
    </row>
    <row r="67943">
      <c r="A67943" s="1" t="n">
        <v>67942</v>
      </c>
      <c r="B67943">
        <f>TEXT(67942, "[$-0E0000]yyyy-mm-dd")</f>
        <v/>
      </c>
      <c r="C67943" t="inlineStr">
        <is>
          <t>2085-11-21</t>
        </is>
      </c>
    </row>
    <row r="67944">
      <c r="A67944" s="1" t="n">
        <v>67943</v>
      </c>
      <c r="B67944">
        <f>TEXT(67943, "[$-0E0000]yyyy-mm-dd")</f>
        <v/>
      </c>
      <c r="C67944" t="inlineStr">
        <is>
          <t>2085-11-22</t>
        </is>
      </c>
    </row>
    <row r="67945">
      <c r="A67945" s="1" t="n">
        <v>67944</v>
      </c>
      <c r="B67945">
        <f>TEXT(67944, "[$-0E0000]yyyy-mm-dd")</f>
        <v/>
      </c>
      <c r="C67945" t="inlineStr">
        <is>
          <t>2085-11-23</t>
        </is>
      </c>
    </row>
    <row r="67946">
      <c r="A67946" s="1" t="n">
        <v>67945</v>
      </c>
      <c r="B67946">
        <f>TEXT(67945, "[$-0E0000]yyyy-mm-dd")</f>
        <v/>
      </c>
      <c r="C67946" t="inlineStr">
        <is>
          <t>2085-11-24</t>
        </is>
      </c>
    </row>
    <row r="67947">
      <c r="A67947" s="1" t="n">
        <v>67946</v>
      </c>
      <c r="B67947">
        <f>TEXT(67946, "[$-0E0000]yyyy-mm-dd")</f>
        <v/>
      </c>
      <c r="C67947" t="inlineStr">
        <is>
          <t>2085-11-25</t>
        </is>
      </c>
    </row>
    <row r="67948">
      <c r="A67948" s="1" t="n">
        <v>67947</v>
      </c>
      <c r="B67948">
        <f>TEXT(67947, "[$-0E0000]yyyy-mm-dd")</f>
        <v/>
      </c>
      <c r="C67948" t="inlineStr">
        <is>
          <t>2085-11-26</t>
        </is>
      </c>
    </row>
    <row r="67949">
      <c r="A67949" s="1" t="n">
        <v>67948</v>
      </c>
      <c r="B67949">
        <f>TEXT(67948, "[$-0E0000]yyyy-mm-dd")</f>
        <v/>
      </c>
      <c r="C67949" t="inlineStr">
        <is>
          <t>2085-11-27</t>
        </is>
      </c>
    </row>
    <row r="67950">
      <c r="A67950" s="1" t="n">
        <v>67949</v>
      </c>
      <c r="B67950">
        <f>TEXT(67949, "[$-0E0000]yyyy-mm-dd")</f>
        <v/>
      </c>
      <c r="C67950" t="inlineStr">
        <is>
          <t>2085-11-28</t>
        </is>
      </c>
    </row>
    <row r="67951">
      <c r="A67951" s="1" t="n">
        <v>67950</v>
      </c>
      <c r="B67951">
        <f>TEXT(67950, "[$-0E0000]yyyy-mm-dd")</f>
        <v/>
      </c>
      <c r="C67951" t="inlineStr">
        <is>
          <t>2085-11-29</t>
        </is>
      </c>
    </row>
    <row r="67952">
      <c r="A67952" s="1" t="n">
        <v>67951</v>
      </c>
      <c r="B67952">
        <f>TEXT(67951, "[$-0E0000]yyyy-mm-dd")</f>
        <v/>
      </c>
      <c r="C67952" t="inlineStr">
        <is>
          <t>2085-12-01</t>
        </is>
      </c>
    </row>
    <row r="67953">
      <c r="A67953" s="1" t="n">
        <v>67952</v>
      </c>
      <c r="B67953">
        <f>TEXT(67952, "[$-0E0000]yyyy-mm-dd")</f>
        <v/>
      </c>
      <c r="C67953" t="inlineStr">
        <is>
          <t>2085-12-02</t>
        </is>
      </c>
    </row>
    <row r="67954">
      <c r="A67954" s="1" t="n">
        <v>67953</v>
      </c>
      <c r="B67954">
        <f>TEXT(67953, "[$-0E0000]yyyy-mm-dd")</f>
        <v/>
      </c>
      <c r="C67954" t="inlineStr">
        <is>
          <t>2085-12-03</t>
        </is>
      </c>
    </row>
    <row r="67955">
      <c r="A67955" s="1" t="n">
        <v>67954</v>
      </c>
      <c r="B67955">
        <f>TEXT(67954, "[$-0E0000]yyyy-mm-dd")</f>
        <v/>
      </c>
      <c r="C67955" t="inlineStr">
        <is>
          <t>2085-12-04</t>
        </is>
      </c>
    </row>
    <row r="67956">
      <c r="A67956" s="1" t="n">
        <v>67955</v>
      </c>
      <c r="B67956">
        <f>TEXT(67955, "[$-0E0000]yyyy-mm-dd")</f>
        <v/>
      </c>
      <c r="C67956" t="inlineStr">
        <is>
          <t>2085-12-05</t>
        </is>
      </c>
    </row>
    <row r="67957">
      <c r="A67957" s="1" t="n">
        <v>67956</v>
      </c>
      <c r="B67957">
        <f>TEXT(67956, "[$-0E0000]yyyy-mm-dd")</f>
        <v/>
      </c>
      <c r="C67957" t="inlineStr">
        <is>
          <t>2085-12-06</t>
        </is>
      </c>
    </row>
    <row r="67958">
      <c r="A67958" s="1" t="n">
        <v>67957</v>
      </c>
      <c r="B67958">
        <f>TEXT(67957, "[$-0E0000]yyyy-mm-dd")</f>
        <v/>
      </c>
      <c r="C67958" t="inlineStr">
        <is>
          <t>2085-12-07</t>
        </is>
      </c>
    </row>
    <row r="67959">
      <c r="A67959" s="1" t="n">
        <v>67958</v>
      </c>
      <c r="B67959">
        <f>TEXT(67958, "[$-0E0000]yyyy-mm-dd")</f>
        <v/>
      </c>
      <c r="C67959" t="inlineStr">
        <is>
          <t>2085-12-08</t>
        </is>
      </c>
    </row>
    <row r="67960">
      <c r="A67960" s="1" t="n">
        <v>67959</v>
      </c>
      <c r="B67960">
        <f>TEXT(67959, "[$-0E0000]yyyy-mm-dd")</f>
        <v/>
      </c>
      <c r="C67960" t="inlineStr">
        <is>
          <t>2085-12-09</t>
        </is>
      </c>
    </row>
    <row r="67961">
      <c r="A67961" s="1" t="n">
        <v>67960</v>
      </c>
      <c r="B67961">
        <f>TEXT(67960, "[$-0E0000]yyyy-mm-dd")</f>
        <v/>
      </c>
      <c r="C67961" t="inlineStr">
        <is>
          <t>2085-12-10</t>
        </is>
      </c>
    </row>
    <row r="67962">
      <c r="A67962" s="1" t="n">
        <v>67961</v>
      </c>
      <c r="B67962">
        <f>TEXT(67961, "[$-0E0000]yyyy-mm-dd")</f>
        <v/>
      </c>
      <c r="C67962" t="inlineStr">
        <is>
          <t>2085-12-11</t>
        </is>
      </c>
    </row>
    <row r="67963">
      <c r="A67963" s="1" t="n">
        <v>67962</v>
      </c>
      <c r="B67963">
        <f>TEXT(67962, "[$-0E0000]yyyy-mm-dd")</f>
        <v/>
      </c>
      <c r="C67963" t="inlineStr">
        <is>
          <t>2085-12-12</t>
        </is>
      </c>
    </row>
    <row r="67964">
      <c r="A67964" s="1" t="n">
        <v>67963</v>
      </c>
      <c r="B67964">
        <f>TEXT(67963, "[$-0E0000]yyyy-mm-dd")</f>
        <v/>
      </c>
      <c r="C67964" t="inlineStr">
        <is>
          <t>2085-12-13</t>
        </is>
      </c>
    </row>
    <row r="67965">
      <c r="A67965" s="1" t="n">
        <v>67964</v>
      </c>
      <c r="B67965">
        <f>TEXT(67964, "[$-0E0000]yyyy-mm-dd")</f>
        <v/>
      </c>
      <c r="C67965" t="inlineStr">
        <is>
          <t>2085-12-14</t>
        </is>
      </c>
    </row>
    <row r="67966">
      <c r="A67966" s="1" t="n">
        <v>67965</v>
      </c>
      <c r="B67966">
        <f>TEXT(67965, "[$-0E0000]yyyy-mm-dd")</f>
        <v/>
      </c>
      <c r="C67966" t="inlineStr">
        <is>
          <t>2085-12-15</t>
        </is>
      </c>
    </row>
    <row r="67967">
      <c r="A67967" s="1" t="n">
        <v>67966</v>
      </c>
      <c r="B67967">
        <f>TEXT(67966, "[$-0E0000]yyyy-mm-dd")</f>
        <v/>
      </c>
      <c r="C67967" t="inlineStr">
        <is>
          <t>2085-12-16</t>
        </is>
      </c>
    </row>
    <row r="67968">
      <c r="A67968" s="1" t="n">
        <v>67967</v>
      </c>
      <c r="B67968">
        <f>TEXT(67967, "[$-0E0000]yyyy-mm-dd")</f>
        <v/>
      </c>
      <c r="C67968" t="inlineStr">
        <is>
          <t>2085-12-17</t>
        </is>
      </c>
    </row>
    <row r="67969">
      <c r="A67969" s="1" t="n">
        <v>67968</v>
      </c>
      <c r="B67969">
        <f>TEXT(67968, "[$-0E0000]yyyy-mm-dd")</f>
        <v/>
      </c>
      <c r="C67969" t="inlineStr">
        <is>
          <t>2085-12-18</t>
        </is>
      </c>
    </row>
    <row r="67970">
      <c r="A67970" s="1" t="n">
        <v>67969</v>
      </c>
      <c r="B67970">
        <f>TEXT(67969, "[$-0E0000]yyyy-mm-dd")</f>
        <v/>
      </c>
      <c r="C67970" t="inlineStr">
        <is>
          <t>2085-12-19</t>
        </is>
      </c>
    </row>
    <row r="67971">
      <c r="A67971" s="1" t="n">
        <v>67970</v>
      </c>
      <c r="B67971">
        <f>TEXT(67970, "[$-0E0000]yyyy-mm-dd")</f>
        <v/>
      </c>
      <c r="C67971" t="inlineStr">
        <is>
          <t>2085-12-20</t>
        </is>
      </c>
    </row>
    <row r="67972">
      <c r="A67972" s="1" t="n">
        <v>67971</v>
      </c>
      <c r="B67972">
        <f>TEXT(67971, "[$-0E0000]yyyy-mm-dd")</f>
        <v/>
      </c>
      <c r="C67972" t="inlineStr">
        <is>
          <t>2085-12-21</t>
        </is>
      </c>
    </row>
    <row r="67973">
      <c r="A67973" s="1" t="n">
        <v>67972</v>
      </c>
      <c r="B67973">
        <f>TEXT(67972, "[$-0E0000]yyyy-mm-dd")</f>
        <v/>
      </c>
      <c r="C67973" t="inlineStr">
        <is>
          <t>2085-12-22</t>
        </is>
      </c>
    </row>
    <row r="67974">
      <c r="A67974" s="1" t="n">
        <v>67973</v>
      </c>
      <c r="B67974">
        <f>TEXT(67973, "[$-0E0000]yyyy-mm-dd")</f>
        <v/>
      </c>
      <c r="C67974" t="inlineStr">
        <is>
          <t>2085-12-23</t>
        </is>
      </c>
    </row>
    <row r="67975">
      <c r="A67975" s="1" t="n">
        <v>67974</v>
      </c>
      <c r="B67975">
        <f>TEXT(67974, "[$-0E0000]yyyy-mm-dd")</f>
        <v/>
      </c>
      <c r="C67975" t="inlineStr">
        <is>
          <t>2085-12-24</t>
        </is>
      </c>
    </row>
    <row r="67976">
      <c r="A67976" s="1" t="n">
        <v>67975</v>
      </c>
      <c r="B67976">
        <f>TEXT(67975, "[$-0E0000]yyyy-mm-dd")</f>
        <v/>
      </c>
      <c r="C67976" t="inlineStr">
        <is>
          <t>2085-12-25</t>
        </is>
      </c>
    </row>
    <row r="67977">
      <c r="A67977" s="1" t="n">
        <v>67976</v>
      </c>
      <c r="B67977">
        <f>TEXT(67976, "[$-0E0000]yyyy-mm-dd")</f>
        <v/>
      </c>
      <c r="C67977" t="inlineStr">
        <is>
          <t>2085-12-26</t>
        </is>
      </c>
    </row>
    <row r="67978">
      <c r="A67978" s="1" t="n">
        <v>67977</v>
      </c>
      <c r="B67978">
        <f>TEXT(67977, "[$-0E0000]yyyy-mm-dd")</f>
        <v/>
      </c>
      <c r="C67978" t="inlineStr">
        <is>
          <t>2085-12-27</t>
        </is>
      </c>
    </row>
    <row r="67979">
      <c r="A67979" s="1" t="n">
        <v>67978</v>
      </c>
      <c r="B67979">
        <f>TEXT(67978, "[$-0E0000]yyyy-mm-dd")</f>
        <v/>
      </c>
      <c r="C67979" t="inlineStr">
        <is>
          <t>2085-12-28</t>
        </is>
      </c>
    </row>
    <row r="67980">
      <c r="A67980" s="1" t="n">
        <v>67979</v>
      </c>
      <c r="B67980">
        <f>TEXT(67979, "[$-0E0000]yyyy-mm-dd")</f>
        <v/>
      </c>
      <c r="C67980" t="inlineStr">
        <is>
          <t>2085-12-29</t>
        </is>
      </c>
    </row>
    <row r="67981">
      <c r="A67981" s="1" t="n">
        <v>67980</v>
      </c>
      <c r="B67981">
        <f>TEXT(67980, "[$-0E0000]yyyy-mm-dd")</f>
        <v/>
      </c>
      <c r="C67981" t="inlineStr">
        <is>
          <t>2085-12-30</t>
        </is>
      </c>
    </row>
    <row r="67982">
      <c r="A67982" s="1" t="n">
        <v>67981</v>
      </c>
      <c r="B67982">
        <f>TEXT(67981, "[$-0E0000]yyyy-mm-dd")</f>
        <v/>
      </c>
      <c r="C67982" t="inlineStr">
        <is>
          <t>2086-01-01</t>
        </is>
      </c>
    </row>
    <row r="67983">
      <c r="A67983" s="1" t="n">
        <v>67982</v>
      </c>
      <c r="B67983">
        <f>TEXT(67982, "[$-0E0000]yyyy-mm-dd")</f>
        <v/>
      </c>
      <c r="C67983" t="inlineStr">
        <is>
          <t>2086-01-02</t>
        </is>
      </c>
    </row>
    <row r="67984">
      <c r="A67984" s="1" t="n">
        <v>67983</v>
      </c>
      <c r="B67984">
        <f>TEXT(67983, "[$-0E0000]yyyy-mm-dd")</f>
        <v/>
      </c>
      <c r="C67984" t="inlineStr">
        <is>
          <t>2086-01-03</t>
        </is>
      </c>
    </row>
    <row r="67985">
      <c r="A67985" s="1" t="n">
        <v>67984</v>
      </c>
      <c r="B67985">
        <f>TEXT(67984, "[$-0E0000]yyyy-mm-dd")</f>
        <v/>
      </c>
      <c r="C67985" t="inlineStr">
        <is>
          <t>2086-01-04</t>
        </is>
      </c>
    </row>
    <row r="67986">
      <c r="A67986" s="1" t="n">
        <v>67985</v>
      </c>
      <c r="B67986">
        <f>TEXT(67985, "[$-0E0000]yyyy-mm-dd")</f>
        <v/>
      </c>
      <c r="C67986" t="inlineStr">
        <is>
          <t>2086-01-05</t>
        </is>
      </c>
    </row>
    <row r="67987">
      <c r="A67987" s="1" t="n">
        <v>67986</v>
      </c>
      <c r="B67987">
        <f>TEXT(67986, "[$-0E0000]yyyy-mm-dd")</f>
        <v/>
      </c>
      <c r="C67987" t="inlineStr">
        <is>
          <t>2086-01-06</t>
        </is>
      </c>
    </row>
    <row r="67988">
      <c r="A67988" s="1" t="n">
        <v>67987</v>
      </c>
      <c r="B67988">
        <f>TEXT(67987, "[$-0E0000]yyyy-mm-dd")</f>
        <v/>
      </c>
      <c r="C67988" t="inlineStr">
        <is>
          <t>2086-01-07</t>
        </is>
      </c>
    </row>
    <row r="67989">
      <c r="A67989" s="1" t="n">
        <v>67988</v>
      </c>
      <c r="B67989">
        <f>TEXT(67988, "[$-0E0000]yyyy-mm-dd")</f>
        <v/>
      </c>
      <c r="C67989" t="inlineStr">
        <is>
          <t>2086-01-08</t>
        </is>
      </c>
    </row>
    <row r="67990">
      <c r="A67990" s="1" t="n">
        <v>67989</v>
      </c>
      <c r="B67990">
        <f>TEXT(67989, "[$-0E0000]yyyy-mm-dd")</f>
        <v/>
      </c>
      <c r="C67990" t="inlineStr">
        <is>
          <t>2086-01-09</t>
        </is>
      </c>
    </row>
    <row r="67991">
      <c r="A67991" s="1" t="n">
        <v>67990</v>
      </c>
      <c r="B67991">
        <f>TEXT(67990, "[$-0E0000]yyyy-mm-dd")</f>
        <v/>
      </c>
      <c r="C67991" t="inlineStr">
        <is>
          <t>2086-01-10</t>
        </is>
      </c>
    </row>
    <row r="67992">
      <c r="A67992" s="1" t="n">
        <v>67991</v>
      </c>
      <c r="B67992">
        <f>TEXT(67991, "[$-0E0000]yyyy-mm-dd")</f>
        <v/>
      </c>
      <c r="C67992" t="inlineStr">
        <is>
          <t>2086-01-11</t>
        </is>
      </c>
    </row>
    <row r="67993">
      <c r="A67993" s="1" t="n">
        <v>67992</v>
      </c>
      <c r="B67993">
        <f>TEXT(67992, "[$-0E0000]yyyy-mm-dd")</f>
        <v/>
      </c>
      <c r="C67993" t="inlineStr">
        <is>
          <t>2086-01-12</t>
        </is>
      </c>
    </row>
    <row r="67994">
      <c r="A67994" s="1" t="n">
        <v>67993</v>
      </c>
      <c r="B67994">
        <f>TEXT(67993, "[$-0E0000]yyyy-mm-dd")</f>
        <v/>
      </c>
      <c r="C67994" t="inlineStr">
        <is>
          <t>2086-01-13</t>
        </is>
      </c>
    </row>
    <row r="67995">
      <c r="A67995" s="1" t="n">
        <v>67994</v>
      </c>
      <c r="B67995">
        <f>TEXT(67994, "[$-0E0000]yyyy-mm-dd")</f>
        <v/>
      </c>
      <c r="C67995" t="inlineStr">
        <is>
          <t>2086-01-14</t>
        </is>
      </c>
    </row>
    <row r="67996">
      <c r="A67996" s="1" t="n">
        <v>67995</v>
      </c>
      <c r="B67996">
        <f>TEXT(67995, "[$-0E0000]yyyy-mm-dd")</f>
        <v/>
      </c>
      <c r="C67996" t="inlineStr">
        <is>
          <t>2086-01-15</t>
        </is>
      </c>
    </row>
    <row r="67997">
      <c r="A67997" s="1" t="n">
        <v>67996</v>
      </c>
      <c r="B67997">
        <f>TEXT(67996, "[$-0E0000]yyyy-mm-dd")</f>
        <v/>
      </c>
      <c r="C67997" t="inlineStr">
        <is>
          <t>2086-01-16</t>
        </is>
      </c>
    </row>
    <row r="67998">
      <c r="A67998" s="1" t="n">
        <v>67997</v>
      </c>
      <c r="B67998">
        <f>TEXT(67997, "[$-0E0000]yyyy-mm-dd")</f>
        <v/>
      </c>
      <c r="C67998" t="inlineStr">
        <is>
          <t>2086-01-17</t>
        </is>
      </c>
    </row>
    <row r="67999">
      <c r="A67999" s="1" t="n">
        <v>67998</v>
      </c>
      <c r="B67999">
        <f>TEXT(67998, "[$-0E0000]yyyy-mm-dd")</f>
        <v/>
      </c>
      <c r="C67999" t="inlineStr">
        <is>
          <t>2086-01-18</t>
        </is>
      </c>
    </row>
    <row r="68000">
      <c r="A68000" s="1" t="n">
        <v>67999</v>
      </c>
      <c r="B68000">
        <f>TEXT(67999, "[$-0E0000]yyyy-mm-dd")</f>
        <v/>
      </c>
      <c r="C68000" t="inlineStr">
        <is>
          <t>2086-01-19</t>
        </is>
      </c>
    </row>
    <row r="68001">
      <c r="A68001" s="1" t="n">
        <v>68000</v>
      </c>
      <c r="B68001">
        <f>TEXT(68000, "[$-0E0000]yyyy-mm-dd")</f>
        <v/>
      </c>
      <c r="C68001" t="inlineStr">
        <is>
          <t>2086-01-20</t>
        </is>
      </c>
    </row>
    <row r="68002">
      <c r="A68002" s="1" t="n">
        <v>68001</v>
      </c>
      <c r="B68002">
        <f>TEXT(68001, "[$-0E0000]yyyy-mm-dd")</f>
        <v/>
      </c>
      <c r="C68002" t="inlineStr">
        <is>
          <t>2086-01-21</t>
        </is>
      </c>
    </row>
    <row r="68003">
      <c r="A68003" s="1" t="n">
        <v>68002</v>
      </c>
      <c r="B68003">
        <f>TEXT(68002, "[$-0E0000]yyyy-mm-dd")</f>
        <v/>
      </c>
      <c r="C68003" t="inlineStr">
        <is>
          <t>2086-01-22</t>
        </is>
      </c>
    </row>
    <row r="68004">
      <c r="A68004" s="1" t="n">
        <v>68003</v>
      </c>
      <c r="B68004">
        <f>TEXT(68003, "[$-0E0000]yyyy-mm-dd")</f>
        <v/>
      </c>
      <c r="C68004" t="inlineStr">
        <is>
          <t>2086-01-23</t>
        </is>
      </c>
    </row>
    <row r="68005">
      <c r="A68005" s="1" t="n">
        <v>68004</v>
      </c>
      <c r="B68005">
        <f>TEXT(68004, "[$-0E0000]yyyy-mm-dd")</f>
        <v/>
      </c>
      <c r="C68005" t="inlineStr">
        <is>
          <t>2086-01-24</t>
        </is>
      </c>
    </row>
    <row r="68006">
      <c r="A68006" s="1" t="n">
        <v>68005</v>
      </c>
      <c r="B68006">
        <f>TEXT(68005, "[$-0E0000]yyyy-mm-dd")</f>
        <v/>
      </c>
      <c r="C68006" t="inlineStr">
        <is>
          <t>2086-01-25</t>
        </is>
      </c>
    </row>
    <row r="68007">
      <c r="A68007" s="1" t="n">
        <v>68006</v>
      </c>
      <c r="B68007">
        <f>TEXT(68006, "[$-0E0000]yyyy-mm-dd")</f>
        <v/>
      </c>
      <c r="C68007" t="inlineStr">
        <is>
          <t>2086-01-26</t>
        </is>
      </c>
    </row>
    <row r="68008">
      <c r="A68008" s="1" t="n">
        <v>68007</v>
      </c>
      <c r="B68008">
        <f>TEXT(68007, "[$-0E0000]yyyy-mm-dd")</f>
        <v/>
      </c>
      <c r="C68008" t="inlineStr">
        <is>
          <t>2086-01-27</t>
        </is>
      </c>
    </row>
    <row r="68009">
      <c r="A68009" s="1" t="n">
        <v>68008</v>
      </c>
      <c r="B68009">
        <f>TEXT(68008, "[$-0E0000]yyyy-mm-dd")</f>
        <v/>
      </c>
      <c r="C68009" t="inlineStr">
        <is>
          <t>2086-01-28</t>
        </is>
      </c>
    </row>
    <row r="68010">
      <c r="A68010" s="1" t="n">
        <v>68009</v>
      </c>
      <c r="B68010">
        <f>TEXT(68009, "[$-0E0000]yyyy-mm-dd")</f>
        <v/>
      </c>
      <c r="C68010" t="inlineStr">
        <is>
          <t>2086-01-29</t>
        </is>
      </c>
    </row>
    <row r="68011">
      <c r="A68011" s="1" t="n">
        <v>68010</v>
      </c>
      <c r="B68011">
        <f>TEXT(68010, "[$-0E0000]yyyy-mm-dd")</f>
        <v/>
      </c>
      <c r="C68011" t="inlineStr">
        <is>
          <t>2086-02-01</t>
        </is>
      </c>
    </row>
    <row r="68012">
      <c r="A68012" s="1" t="n">
        <v>68011</v>
      </c>
      <c r="B68012">
        <f>TEXT(68011, "[$-0E0000]yyyy-mm-dd")</f>
        <v/>
      </c>
      <c r="C68012" t="inlineStr">
        <is>
          <t>2086-02-02</t>
        </is>
      </c>
    </row>
    <row r="68013">
      <c r="A68013" s="1" t="n">
        <v>68012</v>
      </c>
      <c r="B68013">
        <f>TEXT(68012, "[$-0E0000]yyyy-mm-dd")</f>
        <v/>
      </c>
      <c r="C68013" t="inlineStr">
        <is>
          <t>2086-02-03</t>
        </is>
      </c>
    </row>
    <row r="68014">
      <c r="A68014" s="1" t="n">
        <v>68013</v>
      </c>
      <c r="B68014">
        <f>TEXT(68013, "[$-0E0000]yyyy-mm-dd")</f>
        <v/>
      </c>
      <c r="C68014" t="inlineStr">
        <is>
          <t>2086-02-04</t>
        </is>
      </c>
    </row>
    <row r="68015">
      <c r="A68015" s="1" t="n">
        <v>68014</v>
      </c>
      <c r="B68015">
        <f>TEXT(68014, "[$-0E0000]yyyy-mm-dd")</f>
        <v/>
      </c>
      <c r="C68015" t="inlineStr">
        <is>
          <t>2086-02-05</t>
        </is>
      </c>
    </row>
    <row r="68016">
      <c r="A68016" s="1" t="n">
        <v>68015</v>
      </c>
      <c r="B68016">
        <f>TEXT(68015, "[$-0E0000]yyyy-mm-dd")</f>
        <v/>
      </c>
      <c r="C68016" t="inlineStr">
        <is>
          <t>2086-02-06</t>
        </is>
      </c>
    </row>
    <row r="68017">
      <c r="A68017" s="1" t="n">
        <v>68016</v>
      </c>
      <c r="B68017">
        <f>TEXT(68016, "[$-0E0000]yyyy-mm-dd")</f>
        <v/>
      </c>
      <c r="C68017" t="inlineStr">
        <is>
          <t>2086-02-07</t>
        </is>
      </c>
    </row>
    <row r="68018">
      <c r="A68018" s="1" t="n">
        <v>68017</v>
      </c>
      <c r="B68018">
        <f>TEXT(68017, "[$-0E0000]yyyy-mm-dd")</f>
        <v/>
      </c>
      <c r="C68018" t="inlineStr">
        <is>
          <t>2086-02-08</t>
        </is>
      </c>
    </row>
    <row r="68019">
      <c r="A68019" s="1" t="n">
        <v>68018</v>
      </c>
      <c r="B68019">
        <f>TEXT(68018, "[$-0E0000]yyyy-mm-dd")</f>
        <v/>
      </c>
      <c r="C68019" t="inlineStr">
        <is>
          <t>2086-02-09</t>
        </is>
      </c>
    </row>
    <row r="68020">
      <c r="A68020" s="1" t="n">
        <v>68019</v>
      </c>
      <c r="B68020">
        <f>TEXT(68019, "[$-0E0000]yyyy-mm-dd")</f>
        <v/>
      </c>
      <c r="C68020" t="inlineStr">
        <is>
          <t>2086-02-10</t>
        </is>
      </c>
    </row>
    <row r="68021">
      <c r="A68021" s="1" t="n">
        <v>68020</v>
      </c>
      <c r="B68021">
        <f>TEXT(68020, "[$-0E0000]yyyy-mm-dd")</f>
        <v/>
      </c>
      <c r="C68021" t="inlineStr">
        <is>
          <t>2086-02-11</t>
        </is>
      </c>
    </row>
    <row r="68022">
      <c r="A68022" s="1" t="n">
        <v>68021</v>
      </c>
      <c r="B68022">
        <f>TEXT(68021, "[$-0E0000]yyyy-mm-dd")</f>
        <v/>
      </c>
      <c r="C68022" t="inlineStr">
        <is>
          <t>2086-02-12</t>
        </is>
      </c>
    </row>
    <row r="68023">
      <c r="A68023" s="1" t="n">
        <v>68022</v>
      </c>
      <c r="B68023">
        <f>TEXT(68022, "[$-0E0000]yyyy-mm-dd")</f>
        <v/>
      </c>
      <c r="C68023" t="inlineStr">
        <is>
          <t>2086-02-13</t>
        </is>
      </c>
    </row>
    <row r="68024">
      <c r="A68024" s="1" t="n">
        <v>68023</v>
      </c>
      <c r="B68024">
        <f>TEXT(68023, "[$-0E0000]yyyy-mm-dd")</f>
        <v/>
      </c>
      <c r="C68024" t="inlineStr">
        <is>
          <t>2086-02-14</t>
        </is>
      </c>
    </row>
    <row r="68025">
      <c r="A68025" s="1" t="n">
        <v>68024</v>
      </c>
      <c r="B68025">
        <f>TEXT(68024, "[$-0E0000]yyyy-mm-dd")</f>
        <v/>
      </c>
      <c r="C68025" t="inlineStr">
        <is>
          <t>2086-02-15</t>
        </is>
      </c>
    </row>
    <row r="68026">
      <c r="A68026" s="1" t="n">
        <v>68025</v>
      </c>
      <c r="B68026">
        <f>TEXT(68025, "[$-0E0000]yyyy-mm-dd")</f>
        <v/>
      </c>
      <c r="C68026" t="inlineStr">
        <is>
          <t>2086-02-16</t>
        </is>
      </c>
    </row>
    <row r="68027">
      <c r="A68027" s="1" t="n">
        <v>68026</v>
      </c>
      <c r="B68027">
        <f>TEXT(68026, "[$-0E0000]yyyy-mm-dd")</f>
        <v/>
      </c>
      <c r="C68027" t="inlineStr">
        <is>
          <t>2086-02-17</t>
        </is>
      </c>
    </row>
    <row r="68028">
      <c r="A68028" s="1" t="n">
        <v>68027</v>
      </c>
      <c r="B68028">
        <f>TEXT(68027, "[$-0E0000]yyyy-mm-dd")</f>
        <v/>
      </c>
      <c r="C68028" t="inlineStr">
        <is>
          <t>2086-02-18</t>
        </is>
      </c>
    </row>
    <row r="68029">
      <c r="A68029" s="1" t="n">
        <v>68028</v>
      </c>
      <c r="B68029">
        <f>TEXT(68028, "[$-0E0000]yyyy-mm-dd")</f>
        <v/>
      </c>
      <c r="C68029" t="inlineStr">
        <is>
          <t>2086-02-19</t>
        </is>
      </c>
    </row>
    <row r="68030">
      <c r="A68030" s="1" t="n">
        <v>68029</v>
      </c>
      <c r="B68030">
        <f>TEXT(68029, "[$-0E0000]yyyy-mm-dd")</f>
        <v/>
      </c>
      <c r="C68030" t="inlineStr">
        <is>
          <t>2086-02-20</t>
        </is>
      </c>
    </row>
    <row r="68031">
      <c r="A68031" s="1" t="n">
        <v>68030</v>
      </c>
      <c r="B68031">
        <f>TEXT(68030, "[$-0E0000]yyyy-mm-dd")</f>
        <v/>
      </c>
      <c r="C68031" t="inlineStr">
        <is>
          <t>2086-02-21</t>
        </is>
      </c>
    </row>
    <row r="68032">
      <c r="A68032" s="1" t="n">
        <v>68031</v>
      </c>
      <c r="B68032">
        <f>TEXT(68031, "[$-0E0000]yyyy-mm-dd")</f>
        <v/>
      </c>
      <c r="C68032" t="inlineStr">
        <is>
          <t>2086-02-22</t>
        </is>
      </c>
    </row>
    <row r="68033">
      <c r="A68033" s="1" t="n">
        <v>68032</v>
      </c>
      <c r="B68033">
        <f>TEXT(68032, "[$-0E0000]yyyy-mm-dd")</f>
        <v/>
      </c>
      <c r="C68033" t="inlineStr">
        <is>
          <t>2086-02-23</t>
        </is>
      </c>
    </row>
    <row r="68034">
      <c r="A68034" s="1" t="n">
        <v>68033</v>
      </c>
      <c r="B68034">
        <f>TEXT(68033, "[$-0E0000]yyyy-mm-dd")</f>
        <v/>
      </c>
      <c r="C68034" t="inlineStr">
        <is>
          <t>2086-02-24</t>
        </is>
      </c>
    </row>
    <row r="68035">
      <c r="A68035" s="1" t="n">
        <v>68034</v>
      </c>
      <c r="B68035">
        <f>TEXT(68034, "[$-0E0000]yyyy-mm-dd")</f>
        <v/>
      </c>
      <c r="C68035" t="inlineStr">
        <is>
          <t>2086-02-25</t>
        </is>
      </c>
    </row>
    <row r="68036">
      <c r="A68036" s="1" t="n">
        <v>68035</v>
      </c>
      <c r="B68036">
        <f>TEXT(68035, "[$-0E0000]yyyy-mm-dd")</f>
        <v/>
      </c>
      <c r="C68036" t="inlineStr">
        <is>
          <t>2086-02-26</t>
        </is>
      </c>
    </row>
    <row r="68037">
      <c r="A68037" s="1" t="n">
        <v>68036</v>
      </c>
      <c r="B68037">
        <f>TEXT(68036, "[$-0E0000]yyyy-mm-dd")</f>
        <v/>
      </c>
      <c r="C68037" t="inlineStr">
        <is>
          <t>2086-02-27</t>
        </is>
      </c>
    </row>
    <row r="68038">
      <c r="A68038" s="1" t="n">
        <v>68037</v>
      </c>
      <c r="B68038">
        <f>TEXT(68037, "[$-0E0000]yyyy-mm-dd")</f>
        <v/>
      </c>
      <c r="C68038" t="inlineStr">
        <is>
          <t>2086-02-28</t>
        </is>
      </c>
    </row>
    <row r="68039">
      <c r="A68039" s="1" t="n">
        <v>68038</v>
      </c>
      <c r="B68039">
        <f>TEXT(68038, "[$-0E0000]yyyy-mm-dd")</f>
        <v/>
      </c>
      <c r="C68039" t="inlineStr">
        <is>
          <t>2086-02-29</t>
        </is>
      </c>
    </row>
    <row r="68040">
      <c r="A68040" s="1" t="n">
        <v>68039</v>
      </c>
      <c r="B68040">
        <f>TEXT(68039, "[$-0E0000]yyyy-mm-dd")</f>
        <v/>
      </c>
      <c r="C68040" t="inlineStr">
        <is>
          <t>2086-02-30</t>
        </is>
      </c>
    </row>
    <row r="68041">
      <c r="A68041" s="1" t="n">
        <v>68040</v>
      </c>
      <c r="B68041">
        <f>TEXT(68040, "[$-0E0000]yyyy-mm-dd")</f>
        <v/>
      </c>
      <c r="C68041" t="inlineStr">
        <is>
          <t>2086-03-01</t>
        </is>
      </c>
    </row>
    <row r="68042">
      <c r="A68042" s="1" t="n">
        <v>68041</v>
      </c>
      <c r="B68042">
        <f>TEXT(68041, "[$-0E0000]yyyy-mm-dd")</f>
        <v/>
      </c>
      <c r="C68042" t="inlineStr">
        <is>
          <t>2086-03-02</t>
        </is>
      </c>
    </row>
    <row r="68043">
      <c r="A68043" s="1" t="n">
        <v>68042</v>
      </c>
      <c r="B68043">
        <f>TEXT(68042, "[$-0E0000]yyyy-mm-dd")</f>
        <v/>
      </c>
      <c r="C68043" t="inlineStr">
        <is>
          <t>2086-03-03</t>
        </is>
      </c>
    </row>
    <row r="68044">
      <c r="A68044" s="1" t="n">
        <v>68043</v>
      </c>
      <c r="B68044">
        <f>TEXT(68043, "[$-0E0000]yyyy-mm-dd")</f>
        <v/>
      </c>
      <c r="C68044" t="inlineStr">
        <is>
          <t>2086-03-04</t>
        </is>
      </c>
    </row>
    <row r="68045">
      <c r="A68045" s="1" t="n">
        <v>68044</v>
      </c>
      <c r="B68045">
        <f>TEXT(68044, "[$-0E0000]yyyy-mm-dd")</f>
        <v/>
      </c>
      <c r="C68045" t="inlineStr">
        <is>
          <t>2086-03-05</t>
        </is>
      </c>
    </row>
    <row r="68046">
      <c r="A68046" s="1" t="n">
        <v>68045</v>
      </c>
      <c r="B68046">
        <f>TEXT(68045, "[$-0E0000]yyyy-mm-dd")</f>
        <v/>
      </c>
      <c r="C68046" t="inlineStr">
        <is>
          <t>2086-03-06</t>
        </is>
      </c>
    </row>
    <row r="68047">
      <c r="A68047" s="1" t="n">
        <v>68046</v>
      </c>
      <c r="B68047">
        <f>TEXT(68046, "[$-0E0000]yyyy-mm-dd")</f>
        <v/>
      </c>
      <c r="C68047" t="inlineStr">
        <is>
          <t>2086-03-07</t>
        </is>
      </c>
    </row>
    <row r="68048">
      <c r="A68048" s="1" t="n">
        <v>68047</v>
      </c>
      <c r="B68048">
        <f>TEXT(68047, "[$-0E0000]yyyy-mm-dd")</f>
        <v/>
      </c>
      <c r="C68048" t="inlineStr">
        <is>
          <t>2086-03-08</t>
        </is>
      </c>
    </row>
    <row r="68049">
      <c r="A68049" s="1" t="n">
        <v>68048</v>
      </c>
      <c r="B68049">
        <f>TEXT(68048, "[$-0E0000]yyyy-mm-dd")</f>
        <v/>
      </c>
      <c r="C68049" t="inlineStr">
        <is>
          <t>2086-03-09</t>
        </is>
      </c>
    </row>
    <row r="68050">
      <c r="A68050" s="1" t="n">
        <v>68049</v>
      </c>
      <c r="B68050">
        <f>TEXT(68049, "[$-0E0000]yyyy-mm-dd")</f>
        <v/>
      </c>
      <c r="C68050" t="inlineStr">
        <is>
          <t>2086-03-10</t>
        </is>
      </c>
    </row>
    <row r="68051">
      <c r="A68051" s="1" t="n">
        <v>68050</v>
      </c>
      <c r="B68051">
        <f>TEXT(68050, "[$-0E0000]yyyy-mm-dd")</f>
        <v/>
      </c>
      <c r="C68051" t="inlineStr">
        <is>
          <t>2086-03-11</t>
        </is>
      </c>
    </row>
    <row r="68052">
      <c r="A68052" s="1" t="n">
        <v>68051</v>
      </c>
      <c r="B68052">
        <f>TEXT(68051, "[$-0E0000]yyyy-mm-dd")</f>
        <v/>
      </c>
      <c r="C68052" t="inlineStr">
        <is>
          <t>2086-03-12</t>
        </is>
      </c>
    </row>
    <row r="68053">
      <c r="A68053" s="1" t="n">
        <v>68052</v>
      </c>
      <c r="B68053">
        <f>TEXT(68052, "[$-0E0000]yyyy-mm-dd")</f>
        <v/>
      </c>
      <c r="C68053" t="inlineStr">
        <is>
          <t>2086-03-13</t>
        </is>
      </c>
    </row>
    <row r="68054">
      <c r="A68054" s="1" t="n">
        <v>68053</v>
      </c>
      <c r="B68054">
        <f>TEXT(68053, "[$-0E0000]yyyy-mm-dd")</f>
        <v/>
      </c>
      <c r="C68054" t="inlineStr">
        <is>
          <t>2086-03-14</t>
        </is>
      </c>
    </row>
    <row r="68055">
      <c r="A68055" s="1" t="n">
        <v>68054</v>
      </c>
      <c r="B68055">
        <f>TEXT(68054, "[$-0E0000]yyyy-mm-dd")</f>
        <v/>
      </c>
      <c r="C68055" t="inlineStr">
        <is>
          <t>2086-03-15</t>
        </is>
      </c>
    </row>
    <row r="68056">
      <c r="A68056" s="1" t="n">
        <v>68055</v>
      </c>
      <c r="B68056">
        <f>TEXT(68055, "[$-0E0000]yyyy-mm-dd")</f>
        <v/>
      </c>
      <c r="C68056" t="inlineStr">
        <is>
          <t>2086-03-16</t>
        </is>
      </c>
    </row>
    <row r="68057">
      <c r="A68057" s="1" t="n">
        <v>68056</v>
      </c>
      <c r="B68057">
        <f>TEXT(68056, "[$-0E0000]yyyy-mm-dd")</f>
        <v/>
      </c>
      <c r="C68057" t="inlineStr">
        <is>
          <t>2086-03-17</t>
        </is>
      </c>
    </row>
    <row r="68058">
      <c r="A68058" s="1" t="n">
        <v>68057</v>
      </c>
      <c r="B68058">
        <f>TEXT(68057, "[$-0E0000]yyyy-mm-dd")</f>
        <v/>
      </c>
      <c r="C68058" t="inlineStr">
        <is>
          <t>2086-03-18</t>
        </is>
      </c>
    </row>
    <row r="68059">
      <c r="A68059" s="1" t="n">
        <v>68058</v>
      </c>
      <c r="B68059">
        <f>TEXT(68058, "[$-0E0000]yyyy-mm-dd")</f>
        <v/>
      </c>
      <c r="C68059" t="inlineStr">
        <is>
          <t>2086-03-19</t>
        </is>
      </c>
    </row>
    <row r="68060">
      <c r="A68060" s="1" t="n">
        <v>68059</v>
      </c>
      <c r="B68060">
        <f>TEXT(68059, "[$-0E0000]yyyy-mm-dd")</f>
        <v/>
      </c>
      <c r="C68060" t="inlineStr">
        <is>
          <t>2086-03-20</t>
        </is>
      </c>
    </row>
    <row r="68061">
      <c r="A68061" s="1" t="n">
        <v>68060</v>
      </c>
      <c r="B68061">
        <f>TEXT(68060, "[$-0E0000]yyyy-mm-dd")</f>
        <v/>
      </c>
      <c r="C68061" t="inlineStr">
        <is>
          <t>2086-03-21</t>
        </is>
      </c>
    </row>
    <row r="68062">
      <c r="A68062" s="1" t="n">
        <v>68061</v>
      </c>
      <c r="B68062">
        <f>TEXT(68061, "[$-0E0000]yyyy-mm-dd")</f>
        <v/>
      </c>
      <c r="C68062" t="inlineStr">
        <is>
          <t>2086-03-22</t>
        </is>
      </c>
    </row>
    <row r="68063">
      <c r="A68063" s="1" t="n">
        <v>68062</v>
      </c>
      <c r="B68063">
        <f>TEXT(68062, "[$-0E0000]yyyy-mm-dd")</f>
        <v/>
      </c>
      <c r="C68063" t="inlineStr">
        <is>
          <t>2086-03-23</t>
        </is>
      </c>
    </row>
    <row r="68064">
      <c r="A68064" s="1" t="n">
        <v>68063</v>
      </c>
      <c r="B68064">
        <f>TEXT(68063, "[$-0E0000]yyyy-mm-dd")</f>
        <v/>
      </c>
      <c r="C68064" t="inlineStr">
        <is>
          <t>2086-03-24</t>
        </is>
      </c>
    </row>
    <row r="68065">
      <c r="A68065" s="1" t="n">
        <v>68064</v>
      </c>
      <c r="B68065">
        <f>TEXT(68064, "[$-0E0000]yyyy-mm-dd")</f>
        <v/>
      </c>
      <c r="C68065" t="inlineStr">
        <is>
          <t>2086-03-25</t>
        </is>
      </c>
    </row>
    <row r="68066">
      <c r="A68066" s="1" t="n">
        <v>68065</v>
      </c>
      <c r="B68066">
        <f>TEXT(68065, "[$-0E0000]yyyy-mm-dd")</f>
        <v/>
      </c>
      <c r="C68066" t="inlineStr">
        <is>
          <t>2086-03-26</t>
        </is>
      </c>
    </row>
    <row r="68067">
      <c r="A68067" s="1" t="n">
        <v>68066</v>
      </c>
      <c r="B68067">
        <f>TEXT(68066, "[$-0E0000]yyyy-mm-dd")</f>
        <v/>
      </c>
      <c r="C68067" t="inlineStr">
        <is>
          <t>2086-03-27</t>
        </is>
      </c>
    </row>
    <row r="68068">
      <c r="A68068" s="1" t="n">
        <v>68067</v>
      </c>
      <c r="B68068">
        <f>TEXT(68067, "[$-0E0000]yyyy-mm-dd")</f>
        <v/>
      </c>
      <c r="C68068" t="inlineStr">
        <is>
          <t>2086-03-28</t>
        </is>
      </c>
    </row>
    <row r="68069">
      <c r="A68069" s="1" t="n">
        <v>68068</v>
      </c>
      <c r="B68069">
        <f>TEXT(68068, "[$-0E0000]yyyy-mm-dd")</f>
        <v/>
      </c>
      <c r="C68069" t="inlineStr">
        <is>
          <t>2086-03-29</t>
        </is>
      </c>
    </row>
    <row r="68070">
      <c r="A68070" s="1" t="n">
        <v>68069</v>
      </c>
      <c r="B68070">
        <f>TEXT(68069, "[$-0E0000]yyyy-mm-dd")</f>
        <v/>
      </c>
      <c r="C68070" t="inlineStr">
        <is>
          <t>2086-04-01</t>
        </is>
      </c>
    </row>
    <row r="68071">
      <c r="A68071" s="1" t="n">
        <v>68070</v>
      </c>
      <c r="B68071">
        <f>TEXT(68070, "[$-0E0000]yyyy-mm-dd")</f>
        <v/>
      </c>
      <c r="C68071" t="inlineStr">
        <is>
          <t>2086-04-02</t>
        </is>
      </c>
    </row>
    <row r="68072">
      <c r="A68072" s="1" t="n">
        <v>68071</v>
      </c>
      <c r="B68072">
        <f>TEXT(68071, "[$-0E0000]yyyy-mm-dd")</f>
        <v/>
      </c>
      <c r="C68072" t="inlineStr">
        <is>
          <t>2086-04-03</t>
        </is>
      </c>
    </row>
    <row r="68073">
      <c r="A68073" s="1" t="n">
        <v>68072</v>
      </c>
      <c r="B68073">
        <f>TEXT(68072, "[$-0E0000]yyyy-mm-dd")</f>
        <v/>
      </c>
      <c r="C68073" t="inlineStr">
        <is>
          <t>2086-04-04</t>
        </is>
      </c>
    </row>
    <row r="68074">
      <c r="A68074" s="1" t="n">
        <v>68073</v>
      </c>
      <c r="B68074">
        <f>TEXT(68073, "[$-0E0000]yyyy-mm-dd")</f>
        <v/>
      </c>
      <c r="C68074" t="inlineStr">
        <is>
          <t>2086-04-05</t>
        </is>
      </c>
    </row>
    <row r="68075">
      <c r="A68075" s="1" t="n">
        <v>68074</v>
      </c>
      <c r="B68075">
        <f>TEXT(68074, "[$-0E0000]yyyy-mm-dd")</f>
        <v/>
      </c>
      <c r="C68075" t="inlineStr">
        <is>
          <t>2086-04-06</t>
        </is>
      </c>
    </row>
    <row r="68076">
      <c r="A68076" s="1" t="n">
        <v>68075</v>
      </c>
      <c r="B68076">
        <f>TEXT(68075, "[$-0E0000]yyyy-mm-dd")</f>
        <v/>
      </c>
      <c r="C68076" t="inlineStr">
        <is>
          <t>2086-04-07</t>
        </is>
      </c>
    </row>
    <row r="68077">
      <c r="A68077" s="1" t="n">
        <v>68076</v>
      </c>
      <c r="B68077">
        <f>TEXT(68076, "[$-0E0000]yyyy-mm-dd")</f>
        <v/>
      </c>
      <c r="C68077" t="inlineStr">
        <is>
          <t>2086-04-08</t>
        </is>
      </c>
    </row>
    <row r="68078">
      <c r="A68078" s="1" t="n">
        <v>68077</v>
      </c>
      <c r="B68078">
        <f>TEXT(68077, "[$-0E0000]yyyy-mm-dd")</f>
        <v/>
      </c>
      <c r="C68078" t="inlineStr">
        <is>
          <t>2086-04-09</t>
        </is>
      </c>
    </row>
    <row r="68079">
      <c r="A68079" s="1" t="n">
        <v>68078</v>
      </c>
      <c r="B68079">
        <f>TEXT(68078, "[$-0E0000]yyyy-mm-dd")</f>
        <v/>
      </c>
      <c r="C68079" t="inlineStr">
        <is>
          <t>2086-04-10</t>
        </is>
      </c>
    </row>
    <row r="68080">
      <c r="A68080" s="1" t="n">
        <v>68079</v>
      </c>
      <c r="B68080">
        <f>TEXT(68079, "[$-0E0000]yyyy-mm-dd")</f>
        <v/>
      </c>
      <c r="C68080" t="inlineStr">
        <is>
          <t>2086-04-11</t>
        </is>
      </c>
    </row>
    <row r="68081">
      <c r="A68081" s="1" t="n">
        <v>68080</v>
      </c>
      <c r="B68081">
        <f>TEXT(68080, "[$-0E0000]yyyy-mm-dd")</f>
        <v/>
      </c>
      <c r="C68081" t="inlineStr">
        <is>
          <t>2086-04-12</t>
        </is>
      </c>
    </row>
    <row r="68082">
      <c r="A68082" s="1" t="n">
        <v>68081</v>
      </c>
      <c r="B68082">
        <f>TEXT(68081, "[$-0E0000]yyyy-mm-dd")</f>
        <v/>
      </c>
      <c r="C68082" t="inlineStr">
        <is>
          <t>2086-04-13</t>
        </is>
      </c>
    </row>
    <row r="68083">
      <c r="A68083" s="1" t="n">
        <v>68082</v>
      </c>
      <c r="B68083">
        <f>TEXT(68082, "[$-0E0000]yyyy-mm-dd")</f>
        <v/>
      </c>
      <c r="C68083" t="inlineStr">
        <is>
          <t>2086-04-14</t>
        </is>
      </c>
    </row>
    <row r="68084">
      <c r="A68084" s="1" t="n">
        <v>68083</v>
      </c>
      <c r="B68084">
        <f>TEXT(68083, "[$-0E0000]yyyy-mm-dd")</f>
        <v/>
      </c>
      <c r="C68084" t="inlineStr">
        <is>
          <t>2086-04-15</t>
        </is>
      </c>
    </row>
    <row r="68085">
      <c r="A68085" s="1" t="n">
        <v>68084</v>
      </c>
      <c r="B68085">
        <f>TEXT(68084, "[$-0E0000]yyyy-mm-dd")</f>
        <v/>
      </c>
      <c r="C68085" t="inlineStr">
        <is>
          <t>2086-04-16</t>
        </is>
      </c>
    </row>
    <row r="68086">
      <c r="A68086" s="1" t="n">
        <v>68085</v>
      </c>
      <c r="B68086">
        <f>TEXT(68085, "[$-0E0000]yyyy-mm-dd")</f>
        <v/>
      </c>
      <c r="C68086" t="inlineStr">
        <is>
          <t>2086-04-17</t>
        </is>
      </c>
    </row>
    <row r="68087">
      <c r="A68087" s="1" t="n">
        <v>68086</v>
      </c>
      <c r="B68087">
        <f>TEXT(68086, "[$-0E0000]yyyy-mm-dd")</f>
        <v/>
      </c>
      <c r="C68087" t="inlineStr">
        <is>
          <t>2086-04-18</t>
        </is>
      </c>
    </row>
    <row r="68088">
      <c r="A68088" s="1" t="n">
        <v>68087</v>
      </c>
      <c r="B68088">
        <f>TEXT(68087, "[$-0E0000]yyyy-mm-dd")</f>
        <v/>
      </c>
      <c r="C68088" t="inlineStr">
        <is>
          <t>2086-04-19</t>
        </is>
      </c>
    </row>
    <row r="68089">
      <c r="A68089" s="1" t="n">
        <v>68088</v>
      </c>
      <c r="B68089">
        <f>TEXT(68088, "[$-0E0000]yyyy-mm-dd")</f>
        <v/>
      </c>
      <c r="C68089" t="inlineStr">
        <is>
          <t>2086-04-20</t>
        </is>
      </c>
    </row>
    <row r="68090">
      <c r="A68090" s="1" t="n">
        <v>68089</v>
      </c>
      <c r="B68090">
        <f>TEXT(68089, "[$-0E0000]yyyy-mm-dd")</f>
        <v/>
      </c>
      <c r="C68090" t="inlineStr">
        <is>
          <t>2086-04-21</t>
        </is>
      </c>
    </row>
    <row r="68091">
      <c r="A68091" s="1" t="n">
        <v>68090</v>
      </c>
      <c r="B68091">
        <f>TEXT(68090, "[$-0E0000]yyyy-mm-dd")</f>
        <v/>
      </c>
      <c r="C68091" t="inlineStr">
        <is>
          <t>2086-04-22</t>
        </is>
      </c>
    </row>
    <row r="68092">
      <c r="A68092" s="1" t="n">
        <v>68091</v>
      </c>
      <c r="B68092">
        <f>TEXT(68091, "[$-0E0000]yyyy-mm-dd")</f>
        <v/>
      </c>
      <c r="C68092" t="inlineStr">
        <is>
          <t>2086-04-23</t>
        </is>
      </c>
    </row>
    <row r="68093">
      <c r="A68093" s="1" t="n">
        <v>68092</v>
      </c>
      <c r="B68093">
        <f>TEXT(68092, "[$-0E0000]yyyy-mm-dd")</f>
        <v/>
      </c>
      <c r="C68093" t="inlineStr">
        <is>
          <t>2086-04-24</t>
        </is>
      </c>
    </row>
    <row r="68094">
      <c r="A68094" s="1" t="n">
        <v>68093</v>
      </c>
      <c r="B68094">
        <f>TEXT(68093, "[$-0E0000]yyyy-mm-dd")</f>
        <v/>
      </c>
      <c r="C68094" t="inlineStr">
        <is>
          <t>2086-04-25</t>
        </is>
      </c>
    </row>
    <row r="68095">
      <c r="A68095" s="1" t="n">
        <v>68094</v>
      </c>
      <c r="B68095">
        <f>TEXT(68094, "[$-0E0000]yyyy-mm-dd")</f>
        <v/>
      </c>
      <c r="C68095" t="inlineStr">
        <is>
          <t>2086-04-26</t>
        </is>
      </c>
    </row>
    <row r="68096">
      <c r="A68096" s="1" t="n">
        <v>68095</v>
      </c>
      <c r="B68096">
        <f>TEXT(68095, "[$-0E0000]yyyy-mm-dd")</f>
        <v/>
      </c>
      <c r="C68096" t="inlineStr">
        <is>
          <t>2086-04-27</t>
        </is>
      </c>
    </row>
    <row r="68097">
      <c r="A68097" s="1" t="n">
        <v>68096</v>
      </c>
      <c r="B68097">
        <f>TEXT(68096, "[$-0E0000]yyyy-mm-dd")</f>
        <v/>
      </c>
      <c r="C68097" t="inlineStr">
        <is>
          <t>2086-04-28</t>
        </is>
      </c>
    </row>
    <row r="68098">
      <c r="A68098" s="1" t="n">
        <v>68097</v>
      </c>
      <c r="B68098">
        <f>TEXT(68097, "[$-0E0000]yyyy-mm-dd")</f>
        <v/>
      </c>
      <c r="C68098" t="inlineStr">
        <is>
          <t>2086-04-29</t>
        </is>
      </c>
    </row>
    <row r="68099">
      <c r="A68099" s="1" t="n">
        <v>68098</v>
      </c>
      <c r="B68099">
        <f>TEXT(68098, "[$-0E0000]yyyy-mm-dd")</f>
        <v/>
      </c>
      <c r="C68099" t="inlineStr">
        <is>
          <t>2086-05-01</t>
        </is>
      </c>
    </row>
    <row r="68100">
      <c r="A68100" s="1" t="n">
        <v>68099</v>
      </c>
      <c r="B68100">
        <f>TEXT(68099, "[$-0E0000]yyyy-mm-dd")</f>
        <v/>
      </c>
      <c r="C68100" t="inlineStr">
        <is>
          <t>2086-05-02</t>
        </is>
      </c>
    </row>
    <row r="68101">
      <c r="A68101" s="1" t="n">
        <v>68100</v>
      </c>
      <c r="B68101">
        <f>TEXT(68100, "[$-0E0000]yyyy-mm-dd")</f>
        <v/>
      </c>
      <c r="C68101" t="inlineStr">
        <is>
          <t>2086-05-03</t>
        </is>
      </c>
    </row>
    <row r="68102">
      <c r="A68102" s="1" t="n">
        <v>68101</v>
      </c>
      <c r="B68102">
        <f>TEXT(68101, "[$-0E0000]yyyy-mm-dd")</f>
        <v/>
      </c>
      <c r="C68102" t="inlineStr">
        <is>
          <t>2086-05-04</t>
        </is>
      </c>
    </row>
    <row r="68103">
      <c r="A68103" s="1" t="n">
        <v>68102</v>
      </c>
      <c r="B68103">
        <f>TEXT(68102, "[$-0E0000]yyyy-mm-dd")</f>
        <v/>
      </c>
      <c r="C68103" t="inlineStr">
        <is>
          <t>2086-05-05</t>
        </is>
      </c>
    </row>
    <row r="68104">
      <c r="A68104" s="1" t="n">
        <v>68103</v>
      </c>
      <c r="B68104">
        <f>TEXT(68103, "[$-0E0000]yyyy-mm-dd")</f>
        <v/>
      </c>
      <c r="C68104" t="inlineStr">
        <is>
          <t>2086-05-06</t>
        </is>
      </c>
    </row>
    <row r="68105">
      <c r="A68105" s="1" t="n">
        <v>68104</v>
      </c>
      <c r="B68105">
        <f>TEXT(68104, "[$-0E0000]yyyy-mm-dd")</f>
        <v/>
      </c>
      <c r="C68105" t="inlineStr">
        <is>
          <t>2086-05-07</t>
        </is>
      </c>
    </row>
    <row r="68106">
      <c r="A68106" s="1" t="n">
        <v>68105</v>
      </c>
      <c r="B68106">
        <f>TEXT(68105, "[$-0E0000]yyyy-mm-dd")</f>
        <v/>
      </c>
      <c r="C68106" t="inlineStr">
        <is>
          <t>2086-05-08</t>
        </is>
      </c>
    </row>
    <row r="68107">
      <c r="A68107" s="1" t="n">
        <v>68106</v>
      </c>
      <c r="B68107">
        <f>TEXT(68106, "[$-0E0000]yyyy-mm-dd")</f>
        <v/>
      </c>
      <c r="C68107" t="inlineStr">
        <is>
          <t>2086-05-09</t>
        </is>
      </c>
    </row>
    <row r="68108">
      <c r="A68108" s="1" t="n">
        <v>68107</v>
      </c>
      <c r="B68108">
        <f>TEXT(68107, "[$-0E0000]yyyy-mm-dd")</f>
        <v/>
      </c>
      <c r="C68108" t="inlineStr">
        <is>
          <t>2086-05-10</t>
        </is>
      </c>
    </row>
    <row r="68109">
      <c r="A68109" s="1" t="n">
        <v>68108</v>
      </c>
      <c r="B68109">
        <f>TEXT(68108, "[$-0E0000]yyyy-mm-dd")</f>
        <v/>
      </c>
      <c r="C68109" t="inlineStr">
        <is>
          <t>2086-05-11</t>
        </is>
      </c>
    </row>
    <row r="68110">
      <c r="A68110" s="1" t="n">
        <v>68109</v>
      </c>
      <c r="B68110">
        <f>TEXT(68109, "[$-0E0000]yyyy-mm-dd")</f>
        <v/>
      </c>
      <c r="C68110" t="inlineStr">
        <is>
          <t>2086-05-12</t>
        </is>
      </c>
    </row>
    <row r="68111">
      <c r="A68111" s="1" t="n">
        <v>68110</v>
      </c>
      <c r="B68111">
        <f>TEXT(68110, "[$-0E0000]yyyy-mm-dd")</f>
        <v/>
      </c>
      <c r="C68111" t="inlineStr">
        <is>
          <t>2086-05-13</t>
        </is>
      </c>
    </row>
    <row r="68112">
      <c r="A68112" s="1" t="n">
        <v>68111</v>
      </c>
      <c r="B68112">
        <f>TEXT(68111, "[$-0E0000]yyyy-mm-dd")</f>
        <v/>
      </c>
      <c r="C68112" t="inlineStr">
        <is>
          <t>2086-05-14</t>
        </is>
      </c>
    </row>
    <row r="68113">
      <c r="A68113" s="1" t="n">
        <v>68112</v>
      </c>
      <c r="B68113">
        <f>TEXT(68112, "[$-0E0000]yyyy-mm-dd")</f>
        <v/>
      </c>
      <c r="C68113" t="inlineStr">
        <is>
          <t>2086-05-15</t>
        </is>
      </c>
    </row>
    <row r="68114">
      <c r="A68114" s="1" t="n">
        <v>68113</v>
      </c>
      <c r="B68114">
        <f>TEXT(68113, "[$-0E0000]yyyy-mm-dd")</f>
        <v/>
      </c>
      <c r="C68114" t="inlineStr">
        <is>
          <t>2086-05-16</t>
        </is>
      </c>
    </row>
    <row r="68115">
      <c r="A68115" s="1" t="n">
        <v>68114</v>
      </c>
      <c r="B68115">
        <f>TEXT(68114, "[$-0E0000]yyyy-mm-dd")</f>
        <v/>
      </c>
      <c r="C68115" t="inlineStr">
        <is>
          <t>2086-05-17</t>
        </is>
      </c>
    </row>
    <row r="68116">
      <c r="A68116" s="1" t="n">
        <v>68115</v>
      </c>
      <c r="B68116">
        <f>TEXT(68115, "[$-0E0000]yyyy-mm-dd")</f>
        <v/>
      </c>
      <c r="C68116" t="inlineStr">
        <is>
          <t>2086-05-18</t>
        </is>
      </c>
    </row>
    <row r="68117">
      <c r="A68117" s="1" t="n">
        <v>68116</v>
      </c>
      <c r="B68117">
        <f>TEXT(68116, "[$-0E0000]yyyy-mm-dd")</f>
        <v/>
      </c>
      <c r="C68117" t="inlineStr">
        <is>
          <t>2086-05-19</t>
        </is>
      </c>
    </row>
    <row r="68118">
      <c r="A68118" s="1" t="n">
        <v>68117</v>
      </c>
      <c r="B68118">
        <f>TEXT(68117, "[$-0E0000]yyyy-mm-dd")</f>
        <v/>
      </c>
      <c r="C68118" t="inlineStr">
        <is>
          <t>2086-05-20</t>
        </is>
      </c>
    </row>
    <row r="68119">
      <c r="A68119" s="1" t="n">
        <v>68118</v>
      </c>
      <c r="B68119">
        <f>TEXT(68118, "[$-0E0000]yyyy-mm-dd")</f>
        <v/>
      </c>
      <c r="C68119" t="inlineStr">
        <is>
          <t>2086-05-21</t>
        </is>
      </c>
    </row>
    <row r="68120">
      <c r="A68120" s="1" t="n">
        <v>68119</v>
      </c>
      <c r="B68120">
        <f>TEXT(68119, "[$-0E0000]yyyy-mm-dd")</f>
        <v/>
      </c>
      <c r="C68120" t="inlineStr">
        <is>
          <t>2086-05-22</t>
        </is>
      </c>
    </row>
    <row r="68121">
      <c r="A68121" s="1" t="n">
        <v>68120</v>
      </c>
      <c r="B68121">
        <f>TEXT(68120, "[$-0E0000]yyyy-mm-dd")</f>
        <v/>
      </c>
      <c r="C68121" t="inlineStr">
        <is>
          <t>2086-05-23</t>
        </is>
      </c>
    </row>
    <row r="68122">
      <c r="A68122" s="1" t="n">
        <v>68121</v>
      </c>
      <c r="B68122">
        <f>TEXT(68121, "[$-0E0000]yyyy-mm-dd")</f>
        <v/>
      </c>
      <c r="C68122" t="inlineStr">
        <is>
          <t>2086-05-24</t>
        </is>
      </c>
    </row>
    <row r="68123">
      <c r="A68123" s="1" t="n">
        <v>68122</v>
      </c>
      <c r="B68123">
        <f>TEXT(68122, "[$-0E0000]yyyy-mm-dd")</f>
        <v/>
      </c>
      <c r="C68123" t="inlineStr">
        <is>
          <t>2086-05-25</t>
        </is>
      </c>
    </row>
    <row r="68124">
      <c r="A68124" s="1" t="n">
        <v>68123</v>
      </c>
      <c r="B68124">
        <f>TEXT(68123, "[$-0E0000]yyyy-mm-dd")</f>
        <v/>
      </c>
      <c r="C68124" t="inlineStr">
        <is>
          <t>2086-05-26</t>
        </is>
      </c>
    </row>
    <row r="68125">
      <c r="A68125" s="1" t="n">
        <v>68124</v>
      </c>
      <c r="B68125">
        <f>TEXT(68124, "[$-0E0000]yyyy-mm-dd")</f>
        <v/>
      </c>
      <c r="C68125" t="inlineStr">
        <is>
          <t>2086-05-27</t>
        </is>
      </c>
    </row>
    <row r="68126">
      <c r="A68126" s="1" t="n">
        <v>68125</v>
      </c>
      <c r="B68126">
        <f>TEXT(68125, "[$-0E0000]yyyy-mm-dd")</f>
        <v/>
      </c>
      <c r="C68126" t="inlineStr">
        <is>
          <t>2086-05-28</t>
        </is>
      </c>
    </row>
    <row r="68127">
      <c r="A68127" s="1" t="n">
        <v>68126</v>
      </c>
      <c r="B68127">
        <f>TEXT(68126, "[$-0E0000]yyyy-mm-dd")</f>
        <v/>
      </c>
      <c r="C68127" t="inlineStr">
        <is>
          <t>2086-05-29</t>
        </is>
      </c>
    </row>
    <row r="68128">
      <c r="A68128" s="1" t="n">
        <v>68127</v>
      </c>
      <c r="B68128">
        <f>TEXT(68127, "[$-0E0000]yyyy-mm-dd")</f>
        <v/>
      </c>
      <c r="C68128" t="inlineStr">
        <is>
          <t>2086-05-30</t>
        </is>
      </c>
    </row>
    <row r="68129">
      <c r="A68129" s="1" t="n">
        <v>68128</v>
      </c>
      <c r="B68129">
        <f>TEXT(68128, "[$-0E0000]yyyy-mm-dd")</f>
        <v/>
      </c>
      <c r="C68129" t="inlineStr">
        <is>
          <t>2086-06-01</t>
        </is>
      </c>
    </row>
    <row r="68130">
      <c r="A68130" s="1" t="n">
        <v>68129</v>
      </c>
      <c r="B68130">
        <f>TEXT(68129, "[$-0E0000]yyyy-mm-dd")</f>
        <v/>
      </c>
      <c r="C68130" t="inlineStr">
        <is>
          <t>2086-06-02</t>
        </is>
      </c>
    </row>
    <row r="68131">
      <c r="A68131" s="1" t="n">
        <v>68130</v>
      </c>
      <c r="B68131">
        <f>TEXT(68130, "[$-0E0000]yyyy-mm-dd")</f>
        <v/>
      </c>
      <c r="C68131" t="inlineStr">
        <is>
          <t>2086-06-03</t>
        </is>
      </c>
    </row>
    <row r="68132">
      <c r="A68132" s="1" t="n">
        <v>68131</v>
      </c>
      <c r="B68132">
        <f>TEXT(68131, "[$-0E0000]yyyy-mm-dd")</f>
        <v/>
      </c>
      <c r="C68132" t="inlineStr">
        <is>
          <t>2086-06-04</t>
        </is>
      </c>
    </row>
    <row r="68133">
      <c r="A68133" s="1" t="n">
        <v>68132</v>
      </c>
      <c r="B68133">
        <f>TEXT(68132, "[$-0E0000]yyyy-mm-dd")</f>
        <v/>
      </c>
      <c r="C68133" t="inlineStr">
        <is>
          <t>2086-06-05</t>
        </is>
      </c>
    </row>
    <row r="68134">
      <c r="A68134" s="1" t="n">
        <v>68133</v>
      </c>
      <c r="B68134">
        <f>TEXT(68133, "[$-0E0000]yyyy-mm-dd")</f>
        <v/>
      </c>
      <c r="C68134" t="inlineStr">
        <is>
          <t>2086-06-06</t>
        </is>
      </c>
    </row>
    <row r="68135">
      <c r="A68135" s="1" t="n">
        <v>68134</v>
      </c>
      <c r="B68135">
        <f>TEXT(68134, "[$-0E0000]yyyy-mm-dd")</f>
        <v/>
      </c>
      <c r="C68135" t="inlineStr">
        <is>
          <t>2086-06-07</t>
        </is>
      </c>
    </row>
    <row r="68136">
      <c r="A68136" s="1" t="n">
        <v>68135</v>
      </c>
      <c r="B68136">
        <f>TEXT(68135, "[$-0E0000]yyyy-mm-dd")</f>
        <v/>
      </c>
      <c r="C68136" t="inlineStr">
        <is>
          <t>2086-06-08</t>
        </is>
      </c>
    </row>
    <row r="68137">
      <c r="A68137" s="1" t="n">
        <v>68136</v>
      </c>
      <c r="B68137">
        <f>TEXT(68136, "[$-0E0000]yyyy-mm-dd")</f>
        <v/>
      </c>
      <c r="C68137" t="inlineStr">
        <is>
          <t>2086-06-09</t>
        </is>
      </c>
    </row>
    <row r="68138">
      <c r="A68138" s="1" t="n">
        <v>68137</v>
      </c>
      <c r="B68138">
        <f>TEXT(68137, "[$-0E0000]yyyy-mm-dd")</f>
        <v/>
      </c>
      <c r="C68138" t="inlineStr">
        <is>
          <t>2086-06-10</t>
        </is>
      </c>
    </row>
    <row r="68139">
      <c r="A68139" s="1" t="n">
        <v>68138</v>
      </c>
      <c r="B68139">
        <f>TEXT(68138, "[$-0E0000]yyyy-mm-dd")</f>
        <v/>
      </c>
      <c r="C68139" t="inlineStr">
        <is>
          <t>2086-06-11</t>
        </is>
      </c>
    </row>
    <row r="68140">
      <c r="A68140" s="1" t="n">
        <v>68139</v>
      </c>
      <c r="B68140">
        <f>TEXT(68139, "[$-0E0000]yyyy-mm-dd")</f>
        <v/>
      </c>
      <c r="C68140" t="inlineStr">
        <is>
          <t>2086-06-12</t>
        </is>
      </c>
    </row>
    <row r="68141">
      <c r="A68141" s="1" t="n">
        <v>68140</v>
      </c>
      <c r="B68141">
        <f>TEXT(68140, "[$-0E0000]yyyy-mm-dd")</f>
        <v/>
      </c>
      <c r="C68141" t="inlineStr">
        <is>
          <t>2086-06-13</t>
        </is>
      </c>
    </row>
    <row r="68142">
      <c r="A68142" s="1" t="n">
        <v>68141</v>
      </c>
      <c r="B68142">
        <f>TEXT(68141, "[$-0E0000]yyyy-mm-dd")</f>
        <v/>
      </c>
      <c r="C68142" t="inlineStr">
        <is>
          <t>2086-06-14</t>
        </is>
      </c>
    </row>
    <row r="68143">
      <c r="A68143" s="1" t="n">
        <v>68142</v>
      </c>
      <c r="B68143">
        <f>TEXT(68142, "[$-0E0000]yyyy-mm-dd")</f>
        <v/>
      </c>
      <c r="C68143" t="inlineStr">
        <is>
          <t>2086-06-15</t>
        </is>
      </c>
    </row>
    <row r="68144">
      <c r="A68144" s="1" t="n">
        <v>68143</v>
      </c>
      <c r="B68144">
        <f>TEXT(68143, "[$-0E0000]yyyy-mm-dd")</f>
        <v/>
      </c>
      <c r="C68144" t="inlineStr">
        <is>
          <t>2086-06-16</t>
        </is>
      </c>
    </row>
    <row r="68145">
      <c r="A68145" s="1" t="n">
        <v>68144</v>
      </c>
      <c r="B68145">
        <f>TEXT(68144, "[$-0E0000]yyyy-mm-dd")</f>
        <v/>
      </c>
      <c r="C68145" t="inlineStr">
        <is>
          <t>2086-06-17</t>
        </is>
      </c>
    </row>
    <row r="68146">
      <c r="A68146" s="1" t="n">
        <v>68145</v>
      </c>
      <c r="B68146">
        <f>TEXT(68145, "[$-0E0000]yyyy-mm-dd")</f>
        <v/>
      </c>
      <c r="C68146" t="inlineStr">
        <is>
          <t>2086-06-18</t>
        </is>
      </c>
    </row>
    <row r="68147">
      <c r="A68147" s="1" t="n">
        <v>68146</v>
      </c>
      <c r="B68147">
        <f>TEXT(68146, "[$-0E0000]yyyy-mm-dd")</f>
        <v/>
      </c>
      <c r="C68147" t="inlineStr">
        <is>
          <t>2086-06-19</t>
        </is>
      </c>
    </row>
    <row r="68148">
      <c r="A68148" s="1" t="n">
        <v>68147</v>
      </c>
      <c r="B68148">
        <f>TEXT(68147, "[$-0E0000]yyyy-mm-dd")</f>
        <v/>
      </c>
      <c r="C68148" t="inlineStr">
        <is>
          <t>2086-06-20</t>
        </is>
      </c>
    </row>
    <row r="68149">
      <c r="A68149" s="1" t="n">
        <v>68148</v>
      </c>
      <c r="B68149">
        <f>TEXT(68148, "[$-0E0000]yyyy-mm-dd")</f>
        <v/>
      </c>
      <c r="C68149" t="inlineStr">
        <is>
          <t>2086-06-21</t>
        </is>
      </c>
    </row>
    <row r="68150">
      <c r="A68150" s="1" t="n">
        <v>68149</v>
      </c>
      <c r="B68150">
        <f>TEXT(68149, "[$-0E0000]yyyy-mm-dd")</f>
        <v/>
      </c>
      <c r="C68150" t="inlineStr">
        <is>
          <t>2086-06-22</t>
        </is>
      </c>
    </row>
    <row r="68151">
      <c r="A68151" s="1" t="n">
        <v>68150</v>
      </c>
      <c r="B68151">
        <f>TEXT(68150, "[$-0E0000]yyyy-mm-dd")</f>
        <v/>
      </c>
      <c r="C68151" t="inlineStr">
        <is>
          <t>2086-06-23</t>
        </is>
      </c>
    </row>
    <row r="68152">
      <c r="A68152" s="1" t="n">
        <v>68151</v>
      </c>
      <c r="B68152">
        <f>TEXT(68151, "[$-0E0000]yyyy-mm-dd")</f>
        <v/>
      </c>
      <c r="C68152" t="inlineStr">
        <is>
          <t>2086-06-24</t>
        </is>
      </c>
    </row>
    <row r="68153">
      <c r="A68153" s="1" t="n">
        <v>68152</v>
      </c>
      <c r="B68153">
        <f>TEXT(68152, "[$-0E0000]yyyy-mm-dd")</f>
        <v/>
      </c>
      <c r="C68153" t="inlineStr">
        <is>
          <t>2086-06-25</t>
        </is>
      </c>
    </row>
    <row r="68154">
      <c r="A68154" s="1" t="n">
        <v>68153</v>
      </c>
      <c r="B68154">
        <f>TEXT(68153, "[$-0E0000]yyyy-mm-dd")</f>
        <v/>
      </c>
      <c r="C68154" t="inlineStr">
        <is>
          <t>2086-06-26</t>
        </is>
      </c>
    </row>
    <row r="68155">
      <c r="A68155" s="1" t="n">
        <v>68154</v>
      </c>
      <c r="B68155">
        <f>TEXT(68154, "[$-0E0000]yyyy-mm-dd")</f>
        <v/>
      </c>
      <c r="C68155" t="inlineStr">
        <is>
          <t>2086-06-27</t>
        </is>
      </c>
    </row>
    <row r="68156">
      <c r="A68156" s="1" t="n">
        <v>68155</v>
      </c>
      <c r="B68156">
        <f>TEXT(68155, "[$-0E0000]yyyy-mm-dd")</f>
        <v/>
      </c>
      <c r="C68156" t="inlineStr">
        <is>
          <t>2086-06-28</t>
        </is>
      </c>
    </row>
    <row r="68157">
      <c r="A68157" s="1" t="n">
        <v>68156</v>
      </c>
      <c r="B68157">
        <f>TEXT(68156, "[$-0E0000]yyyy-mm-dd")</f>
        <v/>
      </c>
      <c r="C68157" t="inlineStr">
        <is>
          <t>2086-06-29</t>
        </is>
      </c>
    </row>
    <row r="68158">
      <c r="A68158" s="1" t="n">
        <v>68157</v>
      </c>
      <c r="B68158">
        <f>TEXT(68157, "[$-0E0000]yyyy-mm-dd")</f>
        <v/>
      </c>
      <c r="C68158" t="inlineStr">
        <is>
          <t>2086-07-01</t>
        </is>
      </c>
    </row>
    <row r="68159">
      <c r="A68159" s="1" t="n">
        <v>68158</v>
      </c>
      <c r="B68159">
        <f>TEXT(68158, "[$-0E0000]yyyy-mm-dd")</f>
        <v/>
      </c>
      <c r="C68159" t="inlineStr">
        <is>
          <t>2086-07-02</t>
        </is>
      </c>
    </row>
    <row r="68160">
      <c r="A68160" s="1" t="n">
        <v>68159</v>
      </c>
      <c r="B68160">
        <f>TEXT(68159, "[$-0E0000]yyyy-mm-dd")</f>
        <v/>
      </c>
      <c r="C68160" t="inlineStr">
        <is>
          <t>2086-07-03</t>
        </is>
      </c>
    </row>
    <row r="68161">
      <c r="A68161" s="1" t="n">
        <v>68160</v>
      </c>
      <c r="B68161">
        <f>TEXT(68160, "[$-0E0000]yyyy-mm-dd")</f>
        <v/>
      </c>
      <c r="C68161" t="inlineStr">
        <is>
          <t>2086-07-04</t>
        </is>
      </c>
    </row>
    <row r="68162">
      <c r="A68162" s="1" t="n">
        <v>68161</v>
      </c>
      <c r="B68162">
        <f>TEXT(68161, "[$-0E0000]yyyy-mm-dd")</f>
        <v/>
      </c>
      <c r="C68162" t="inlineStr">
        <is>
          <t>2086-07-05</t>
        </is>
      </c>
    </row>
    <row r="68163">
      <c r="A68163" s="1" t="n">
        <v>68162</v>
      </c>
      <c r="B68163">
        <f>TEXT(68162, "[$-0E0000]yyyy-mm-dd")</f>
        <v/>
      </c>
      <c r="C68163" t="inlineStr">
        <is>
          <t>2086-07-06</t>
        </is>
      </c>
    </row>
    <row r="68164">
      <c r="A68164" s="1" t="n">
        <v>68163</v>
      </c>
      <c r="B68164">
        <f>TEXT(68163, "[$-0E0000]yyyy-mm-dd")</f>
        <v/>
      </c>
      <c r="C68164" t="inlineStr">
        <is>
          <t>2086-07-07</t>
        </is>
      </c>
    </row>
    <row r="68165">
      <c r="A68165" s="1" t="n">
        <v>68164</v>
      </c>
      <c r="B68165">
        <f>TEXT(68164, "[$-0E0000]yyyy-mm-dd")</f>
        <v/>
      </c>
      <c r="C68165" t="inlineStr">
        <is>
          <t>2086-07-08</t>
        </is>
      </c>
    </row>
    <row r="68166">
      <c r="A68166" s="1" t="n">
        <v>68165</v>
      </c>
      <c r="B68166">
        <f>TEXT(68165, "[$-0E0000]yyyy-mm-dd")</f>
        <v/>
      </c>
      <c r="C68166" t="inlineStr">
        <is>
          <t>2086-07-09</t>
        </is>
      </c>
    </row>
    <row r="68167">
      <c r="A68167" s="1" t="n">
        <v>68166</v>
      </c>
      <c r="B68167">
        <f>TEXT(68166, "[$-0E0000]yyyy-mm-dd")</f>
        <v/>
      </c>
      <c r="C68167" t="inlineStr">
        <is>
          <t>2086-07-10</t>
        </is>
      </c>
    </row>
    <row r="68168">
      <c r="A68168" s="1" t="n">
        <v>68167</v>
      </c>
      <c r="B68168">
        <f>TEXT(68167, "[$-0E0000]yyyy-mm-dd")</f>
        <v/>
      </c>
      <c r="C68168" t="inlineStr">
        <is>
          <t>2086-07-11</t>
        </is>
      </c>
    </row>
    <row r="68169">
      <c r="A68169" s="1" t="n">
        <v>68168</v>
      </c>
      <c r="B68169">
        <f>TEXT(68168, "[$-0E0000]yyyy-mm-dd")</f>
        <v/>
      </c>
      <c r="C68169" t="inlineStr">
        <is>
          <t>2086-07-12</t>
        </is>
      </c>
    </row>
    <row r="68170">
      <c r="A68170" s="1" t="n">
        <v>68169</v>
      </c>
      <c r="B68170">
        <f>TEXT(68169, "[$-0E0000]yyyy-mm-dd")</f>
        <v/>
      </c>
      <c r="C68170" t="inlineStr">
        <is>
          <t>2086-07-13</t>
        </is>
      </c>
    </row>
    <row r="68171">
      <c r="A68171" s="1" t="n">
        <v>68170</v>
      </c>
      <c r="B68171">
        <f>TEXT(68170, "[$-0E0000]yyyy-mm-dd")</f>
        <v/>
      </c>
      <c r="C68171" t="inlineStr">
        <is>
          <t>2086-07-14</t>
        </is>
      </c>
    </row>
    <row r="68172">
      <c r="A68172" s="1" t="n">
        <v>68171</v>
      </c>
      <c r="B68172">
        <f>TEXT(68171, "[$-0E0000]yyyy-mm-dd")</f>
        <v/>
      </c>
      <c r="C68172" t="inlineStr">
        <is>
          <t>2086-07-15</t>
        </is>
      </c>
    </row>
    <row r="68173">
      <c r="A68173" s="1" t="n">
        <v>68172</v>
      </c>
      <c r="B68173">
        <f>TEXT(68172, "[$-0E0000]yyyy-mm-dd")</f>
        <v/>
      </c>
      <c r="C68173" t="inlineStr">
        <is>
          <t>2086-07-16</t>
        </is>
      </c>
    </row>
    <row r="68174">
      <c r="A68174" s="1" t="n">
        <v>68173</v>
      </c>
      <c r="B68174">
        <f>TEXT(68173, "[$-0E0000]yyyy-mm-dd")</f>
        <v/>
      </c>
      <c r="C68174" t="inlineStr">
        <is>
          <t>2086-07-17</t>
        </is>
      </c>
    </row>
    <row r="68175">
      <c r="A68175" s="1" t="n">
        <v>68174</v>
      </c>
      <c r="B68175">
        <f>TEXT(68174, "[$-0E0000]yyyy-mm-dd")</f>
        <v/>
      </c>
      <c r="C68175" t="inlineStr">
        <is>
          <t>2086-07-18</t>
        </is>
      </c>
    </row>
    <row r="68176">
      <c r="A68176" s="1" t="n">
        <v>68175</v>
      </c>
      <c r="B68176">
        <f>TEXT(68175, "[$-0E0000]yyyy-mm-dd")</f>
        <v/>
      </c>
      <c r="C68176" t="inlineStr">
        <is>
          <t>2086-07-19</t>
        </is>
      </c>
    </row>
    <row r="68177">
      <c r="A68177" s="1" t="n">
        <v>68176</v>
      </c>
      <c r="B68177">
        <f>TEXT(68176, "[$-0E0000]yyyy-mm-dd")</f>
        <v/>
      </c>
      <c r="C68177" t="inlineStr">
        <is>
          <t>2086-07-20</t>
        </is>
      </c>
    </row>
    <row r="68178">
      <c r="A68178" s="1" t="n">
        <v>68177</v>
      </c>
      <c r="B68178">
        <f>TEXT(68177, "[$-0E0000]yyyy-mm-dd")</f>
        <v/>
      </c>
      <c r="C68178" t="inlineStr">
        <is>
          <t>2086-07-21</t>
        </is>
      </c>
    </row>
    <row r="68179">
      <c r="A68179" s="1" t="n">
        <v>68178</v>
      </c>
      <c r="B68179">
        <f>TEXT(68178, "[$-0E0000]yyyy-mm-dd")</f>
        <v/>
      </c>
      <c r="C68179" t="inlineStr">
        <is>
          <t>2086-07-22</t>
        </is>
      </c>
    </row>
    <row r="68180">
      <c r="A68180" s="1" t="n">
        <v>68179</v>
      </c>
      <c r="B68180">
        <f>TEXT(68179, "[$-0E0000]yyyy-mm-dd")</f>
        <v/>
      </c>
      <c r="C68180" t="inlineStr">
        <is>
          <t>2086-07-23</t>
        </is>
      </c>
    </row>
    <row r="68181">
      <c r="A68181" s="1" t="n">
        <v>68180</v>
      </c>
      <c r="B68181">
        <f>TEXT(68180, "[$-0E0000]yyyy-mm-dd")</f>
        <v/>
      </c>
      <c r="C68181" t="inlineStr">
        <is>
          <t>2086-07-24</t>
        </is>
      </c>
    </row>
    <row r="68182">
      <c r="A68182" s="1" t="n">
        <v>68181</v>
      </c>
      <c r="B68182">
        <f>TEXT(68181, "[$-0E0000]yyyy-mm-dd")</f>
        <v/>
      </c>
      <c r="C68182" t="inlineStr">
        <is>
          <t>2086-07-25</t>
        </is>
      </c>
    </row>
    <row r="68183">
      <c r="A68183" s="1" t="n">
        <v>68182</v>
      </c>
      <c r="B68183">
        <f>TEXT(68182, "[$-0E0000]yyyy-mm-dd")</f>
        <v/>
      </c>
      <c r="C68183" t="inlineStr">
        <is>
          <t>2086-07-26</t>
        </is>
      </c>
    </row>
    <row r="68184">
      <c r="A68184" s="1" t="n">
        <v>68183</v>
      </c>
      <c r="B68184">
        <f>TEXT(68183, "[$-0E0000]yyyy-mm-dd")</f>
        <v/>
      </c>
      <c r="C68184" t="inlineStr">
        <is>
          <t>2086-07-27</t>
        </is>
      </c>
    </row>
    <row r="68185">
      <c r="A68185" s="1" t="n">
        <v>68184</v>
      </c>
      <c r="B68185">
        <f>TEXT(68184, "[$-0E0000]yyyy-mm-dd")</f>
        <v/>
      </c>
      <c r="C68185" t="inlineStr">
        <is>
          <t>2086-07-28</t>
        </is>
      </c>
    </row>
    <row r="68186">
      <c r="A68186" s="1" t="n">
        <v>68185</v>
      </c>
      <c r="B68186">
        <f>TEXT(68185, "[$-0E0000]yyyy-mm-dd")</f>
        <v/>
      </c>
      <c r="C68186" t="inlineStr">
        <is>
          <t>2086-07-29</t>
        </is>
      </c>
    </row>
    <row r="68187">
      <c r="A68187" s="1" t="n">
        <v>68186</v>
      </c>
      <c r="B68187">
        <f>TEXT(68186, "[$-0E0000]yyyy-mm-dd")</f>
        <v/>
      </c>
      <c r="C68187" t="inlineStr">
        <is>
          <t>2086-07-30</t>
        </is>
      </c>
    </row>
    <row r="68188">
      <c r="A68188" s="1" t="n">
        <v>68187</v>
      </c>
      <c r="B68188">
        <f>TEXT(68187, "[$-0E0000]yyyy-mm-dd")</f>
        <v/>
      </c>
      <c r="C68188" t="inlineStr">
        <is>
          <t>2086-08-01</t>
        </is>
      </c>
    </row>
    <row r="68189">
      <c r="A68189" s="1" t="n">
        <v>68188</v>
      </c>
      <c r="B68189">
        <f>TEXT(68188, "[$-0E0000]yyyy-mm-dd")</f>
        <v/>
      </c>
      <c r="C68189" t="inlineStr">
        <is>
          <t>2086-08-02</t>
        </is>
      </c>
    </row>
    <row r="68190">
      <c r="A68190" s="1" t="n">
        <v>68189</v>
      </c>
      <c r="B68190">
        <f>TEXT(68189, "[$-0E0000]yyyy-mm-dd")</f>
        <v/>
      </c>
      <c r="C68190" t="inlineStr">
        <is>
          <t>2086-08-03</t>
        </is>
      </c>
    </row>
    <row r="68191">
      <c r="A68191" s="1" t="n">
        <v>68190</v>
      </c>
      <c r="B68191">
        <f>TEXT(68190, "[$-0E0000]yyyy-mm-dd")</f>
        <v/>
      </c>
      <c r="C68191" t="inlineStr">
        <is>
          <t>2086-08-04</t>
        </is>
      </c>
    </row>
    <row r="68192">
      <c r="A68192" s="1" t="n">
        <v>68191</v>
      </c>
      <c r="B68192">
        <f>TEXT(68191, "[$-0E0000]yyyy-mm-dd")</f>
        <v/>
      </c>
      <c r="C68192" t="inlineStr">
        <is>
          <t>2086-08-05</t>
        </is>
      </c>
    </row>
    <row r="68193">
      <c r="A68193" s="1" t="n">
        <v>68192</v>
      </c>
      <c r="B68193">
        <f>TEXT(68192, "[$-0E0000]yyyy-mm-dd")</f>
        <v/>
      </c>
      <c r="C68193" t="inlineStr">
        <is>
          <t>2086-08-06</t>
        </is>
      </c>
    </row>
    <row r="68194">
      <c r="A68194" s="1" t="n">
        <v>68193</v>
      </c>
      <c r="B68194">
        <f>TEXT(68193, "[$-0E0000]yyyy-mm-dd")</f>
        <v/>
      </c>
      <c r="C68194" t="inlineStr">
        <is>
          <t>2086-08-07</t>
        </is>
      </c>
    </row>
    <row r="68195">
      <c r="A68195" s="1" t="n">
        <v>68194</v>
      </c>
      <c r="B68195">
        <f>TEXT(68194, "[$-0E0000]yyyy-mm-dd")</f>
        <v/>
      </c>
      <c r="C68195" t="inlineStr">
        <is>
          <t>2086-08-08</t>
        </is>
      </c>
    </row>
    <row r="68196">
      <c r="A68196" s="1" t="n">
        <v>68195</v>
      </c>
      <c r="B68196">
        <f>TEXT(68195, "[$-0E0000]yyyy-mm-dd")</f>
        <v/>
      </c>
      <c r="C68196" t="inlineStr">
        <is>
          <t>2086-08-09</t>
        </is>
      </c>
    </row>
    <row r="68197">
      <c r="A68197" s="1" t="n">
        <v>68196</v>
      </c>
      <c r="B68197">
        <f>TEXT(68196, "[$-0E0000]yyyy-mm-dd")</f>
        <v/>
      </c>
      <c r="C68197" t="inlineStr">
        <is>
          <t>2086-08-10</t>
        </is>
      </c>
    </row>
    <row r="68198">
      <c r="A68198" s="1" t="n">
        <v>68197</v>
      </c>
      <c r="B68198">
        <f>TEXT(68197, "[$-0E0000]yyyy-mm-dd")</f>
        <v/>
      </c>
      <c r="C68198" t="inlineStr">
        <is>
          <t>2086-08-11</t>
        </is>
      </c>
    </row>
    <row r="68199">
      <c r="A68199" s="1" t="n">
        <v>68198</v>
      </c>
      <c r="B68199">
        <f>TEXT(68198, "[$-0E0000]yyyy-mm-dd")</f>
        <v/>
      </c>
      <c r="C68199" t="inlineStr">
        <is>
          <t>2086-08-12</t>
        </is>
      </c>
    </row>
    <row r="68200">
      <c r="A68200" s="1" t="n">
        <v>68199</v>
      </c>
      <c r="B68200">
        <f>TEXT(68199, "[$-0E0000]yyyy-mm-dd")</f>
        <v/>
      </c>
      <c r="C68200" t="inlineStr">
        <is>
          <t>2086-08-13</t>
        </is>
      </c>
    </row>
    <row r="68201">
      <c r="A68201" s="1" t="n">
        <v>68200</v>
      </c>
      <c r="B68201">
        <f>TEXT(68200, "[$-0E0000]yyyy-mm-dd")</f>
        <v/>
      </c>
      <c r="C68201" t="inlineStr">
        <is>
          <t>2086-08-14</t>
        </is>
      </c>
    </row>
    <row r="68202">
      <c r="A68202" s="1" t="n">
        <v>68201</v>
      </c>
      <c r="B68202">
        <f>TEXT(68201, "[$-0E0000]yyyy-mm-dd")</f>
        <v/>
      </c>
      <c r="C68202" t="inlineStr">
        <is>
          <t>2086-08-15</t>
        </is>
      </c>
    </row>
    <row r="68203">
      <c r="A68203" s="1" t="n">
        <v>68202</v>
      </c>
      <c r="B68203">
        <f>TEXT(68202, "[$-0E0000]yyyy-mm-dd")</f>
        <v/>
      </c>
      <c r="C68203" t="inlineStr">
        <is>
          <t>2086-08-16</t>
        </is>
      </c>
    </row>
    <row r="68204">
      <c r="A68204" s="1" t="n">
        <v>68203</v>
      </c>
      <c r="B68204">
        <f>TEXT(68203, "[$-0E0000]yyyy-mm-dd")</f>
        <v/>
      </c>
      <c r="C68204" t="inlineStr">
        <is>
          <t>2086-08-17</t>
        </is>
      </c>
    </row>
    <row r="68205">
      <c r="A68205" s="1" t="n">
        <v>68204</v>
      </c>
      <c r="B68205">
        <f>TEXT(68204, "[$-0E0000]yyyy-mm-dd")</f>
        <v/>
      </c>
      <c r="C68205" t="inlineStr">
        <is>
          <t>2086-08-18</t>
        </is>
      </c>
    </row>
    <row r="68206">
      <c r="A68206" s="1" t="n">
        <v>68205</v>
      </c>
      <c r="B68206">
        <f>TEXT(68205, "[$-0E0000]yyyy-mm-dd")</f>
        <v/>
      </c>
      <c r="C68206" t="inlineStr">
        <is>
          <t>2086-08-19</t>
        </is>
      </c>
    </row>
    <row r="68207">
      <c r="A68207" s="1" t="n">
        <v>68206</v>
      </c>
      <c r="B68207">
        <f>TEXT(68206, "[$-0E0000]yyyy-mm-dd")</f>
        <v/>
      </c>
      <c r="C68207" t="inlineStr">
        <is>
          <t>2086-08-20</t>
        </is>
      </c>
    </row>
    <row r="68208">
      <c r="A68208" s="1" t="n">
        <v>68207</v>
      </c>
      <c r="B68208">
        <f>TEXT(68207, "[$-0E0000]yyyy-mm-dd")</f>
        <v/>
      </c>
      <c r="C68208" t="inlineStr">
        <is>
          <t>2086-08-21</t>
        </is>
      </c>
    </row>
    <row r="68209">
      <c r="A68209" s="1" t="n">
        <v>68208</v>
      </c>
      <c r="B68209">
        <f>TEXT(68208, "[$-0E0000]yyyy-mm-dd")</f>
        <v/>
      </c>
      <c r="C68209" t="inlineStr">
        <is>
          <t>2086-08-22</t>
        </is>
      </c>
    </row>
    <row r="68210">
      <c r="A68210" s="1" t="n">
        <v>68209</v>
      </c>
      <c r="B68210">
        <f>TEXT(68209, "[$-0E0000]yyyy-mm-dd")</f>
        <v/>
      </c>
      <c r="C68210" t="inlineStr">
        <is>
          <t>2086-08-23</t>
        </is>
      </c>
    </row>
    <row r="68211">
      <c r="A68211" s="1" t="n">
        <v>68210</v>
      </c>
      <c r="B68211">
        <f>TEXT(68210, "[$-0E0000]yyyy-mm-dd")</f>
        <v/>
      </c>
      <c r="C68211" t="inlineStr">
        <is>
          <t>2086-08-24</t>
        </is>
      </c>
    </row>
    <row r="68212">
      <c r="A68212" s="1" t="n">
        <v>68211</v>
      </c>
      <c r="B68212">
        <f>TEXT(68211, "[$-0E0000]yyyy-mm-dd")</f>
        <v/>
      </c>
      <c r="C68212" t="inlineStr">
        <is>
          <t>2086-08-25</t>
        </is>
      </c>
    </row>
    <row r="68213">
      <c r="A68213" s="1" t="n">
        <v>68212</v>
      </c>
      <c r="B68213">
        <f>TEXT(68212, "[$-0E0000]yyyy-mm-dd")</f>
        <v/>
      </c>
      <c r="C68213" t="inlineStr">
        <is>
          <t>2086-08-26</t>
        </is>
      </c>
    </row>
    <row r="68214">
      <c r="A68214" s="1" t="n">
        <v>68213</v>
      </c>
      <c r="B68214">
        <f>TEXT(68213, "[$-0E0000]yyyy-mm-dd")</f>
        <v/>
      </c>
      <c r="C68214" t="inlineStr">
        <is>
          <t>2086-08-27</t>
        </is>
      </c>
    </row>
    <row r="68215">
      <c r="A68215" s="1" t="n">
        <v>68214</v>
      </c>
      <c r="B68215">
        <f>TEXT(68214, "[$-0E0000]yyyy-mm-dd")</f>
        <v/>
      </c>
      <c r="C68215" t="inlineStr">
        <is>
          <t>2086-08-28</t>
        </is>
      </c>
    </row>
    <row r="68216">
      <c r="A68216" s="1" t="n">
        <v>68215</v>
      </c>
      <c r="B68216">
        <f>TEXT(68215, "[$-0E0000]yyyy-mm-dd")</f>
        <v/>
      </c>
      <c r="C68216" t="inlineStr">
        <is>
          <t>2086-08-29</t>
        </is>
      </c>
    </row>
    <row r="68217">
      <c r="A68217" s="1" t="n">
        <v>68216</v>
      </c>
      <c r="B68217">
        <f>TEXT(68216, "[$-0E0000]yyyy-mm-dd")</f>
        <v/>
      </c>
      <c r="C68217" t="inlineStr">
        <is>
          <t>2086-08-30</t>
        </is>
      </c>
    </row>
    <row r="68218">
      <c r="A68218" s="1" t="n">
        <v>68217</v>
      </c>
      <c r="B68218">
        <f>TEXT(68217, "[$-0E0000]yyyy-mm-dd")</f>
        <v/>
      </c>
      <c r="C68218" t="inlineStr">
        <is>
          <t>2086-09-01</t>
        </is>
      </c>
    </row>
    <row r="68219">
      <c r="A68219" s="1" t="n">
        <v>68218</v>
      </c>
      <c r="B68219">
        <f>TEXT(68218, "[$-0E0000]yyyy-mm-dd")</f>
        <v/>
      </c>
      <c r="C68219" t="inlineStr">
        <is>
          <t>2086-09-02</t>
        </is>
      </c>
    </row>
    <row r="68220">
      <c r="A68220" s="1" t="n">
        <v>68219</v>
      </c>
      <c r="B68220">
        <f>TEXT(68219, "[$-0E0000]yyyy-mm-dd")</f>
        <v/>
      </c>
      <c r="C68220" t="inlineStr">
        <is>
          <t>2086-09-03</t>
        </is>
      </c>
    </row>
    <row r="68221">
      <c r="A68221" s="1" t="n">
        <v>68220</v>
      </c>
      <c r="B68221">
        <f>TEXT(68220, "[$-0E0000]yyyy-mm-dd")</f>
        <v/>
      </c>
      <c r="C68221" t="inlineStr">
        <is>
          <t>2086-09-04</t>
        </is>
      </c>
    </row>
    <row r="68222">
      <c r="A68222" s="1" t="n">
        <v>68221</v>
      </c>
      <c r="B68222">
        <f>TEXT(68221, "[$-0E0000]yyyy-mm-dd")</f>
        <v/>
      </c>
      <c r="C68222" t="inlineStr">
        <is>
          <t>2086-09-05</t>
        </is>
      </c>
    </row>
    <row r="68223">
      <c r="A68223" s="1" t="n">
        <v>68222</v>
      </c>
      <c r="B68223">
        <f>TEXT(68222, "[$-0E0000]yyyy-mm-dd")</f>
        <v/>
      </c>
      <c r="C68223" t="inlineStr">
        <is>
          <t>2086-09-06</t>
        </is>
      </c>
    </row>
    <row r="68224">
      <c r="A68224" s="1" t="n">
        <v>68223</v>
      </c>
      <c r="B68224">
        <f>TEXT(68223, "[$-0E0000]yyyy-mm-dd")</f>
        <v/>
      </c>
      <c r="C68224" t="inlineStr">
        <is>
          <t>2086-09-07</t>
        </is>
      </c>
    </row>
    <row r="68225">
      <c r="A68225" s="1" t="n">
        <v>68224</v>
      </c>
      <c r="B68225">
        <f>TEXT(68224, "[$-0E0000]yyyy-mm-dd")</f>
        <v/>
      </c>
      <c r="C68225" t="inlineStr">
        <is>
          <t>2086-09-08</t>
        </is>
      </c>
    </row>
    <row r="68226">
      <c r="A68226" s="1" t="n">
        <v>68225</v>
      </c>
      <c r="B68226">
        <f>TEXT(68225, "[$-0E0000]yyyy-mm-dd")</f>
        <v/>
      </c>
      <c r="C68226" t="inlineStr">
        <is>
          <t>2086-09-09</t>
        </is>
      </c>
    </row>
    <row r="68227">
      <c r="A68227" s="1" t="n">
        <v>68226</v>
      </c>
      <c r="B68227">
        <f>TEXT(68226, "[$-0E0000]yyyy-mm-dd")</f>
        <v/>
      </c>
      <c r="C68227" t="inlineStr">
        <is>
          <t>2086-09-10</t>
        </is>
      </c>
    </row>
    <row r="68228">
      <c r="A68228" s="1" t="n">
        <v>68227</v>
      </c>
      <c r="B68228">
        <f>TEXT(68227, "[$-0E0000]yyyy-mm-dd")</f>
        <v/>
      </c>
      <c r="C68228" t="inlineStr">
        <is>
          <t>2086-09-11</t>
        </is>
      </c>
    </row>
    <row r="68229">
      <c r="A68229" s="1" t="n">
        <v>68228</v>
      </c>
      <c r="B68229">
        <f>TEXT(68228, "[$-0E0000]yyyy-mm-dd")</f>
        <v/>
      </c>
      <c r="C68229" t="inlineStr">
        <is>
          <t>2086-09-12</t>
        </is>
      </c>
    </row>
    <row r="68230">
      <c r="A68230" s="1" t="n">
        <v>68229</v>
      </c>
      <c r="B68230">
        <f>TEXT(68229, "[$-0E0000]yyyy-mm-dd")</f>
        <v/>
      </c>
      <c r="C68230" t="inlineStr">
        <is>
          <t>2086-09-13</t>
        </is>
      </c>
    </row>
    <row r="68231">
      <c r="A68231" s="1" t="n">
        <v>68230</v>
      </c>
      <c r="B68231">
        <f>TEXT(68230, "[$-0E0000]yyyy-mm-dd")</f>
        <v/>
      </c>
      <c r="C68231" t="inlineStr">
        <is>
          <t>2086-09-14</t>
        </is>
      </c>
    </row>
    <row r="68232">
      <c r="A68232" s="1" t="n">
        <v>68231</v>
      </c>
      <c r="B68232">
        <f>TEXT(68231, "[$-0E0000]yyyy-mm-dd")</f>
        <v/>
      </c>
      <c r="C68232" t="inlineStr">
        <is>
          <t>2086-09-15</t>
        </is>
      </c>
    </row>
    <row r="68233">
      <c r="A68233" s="1" t="n">
        <v>68232</v>
      </c>
      <c r="B68233">
        <f>TEXT(68232, "[$-0E0000]yyyy-mm-dd")</f>
        <v/>
      </c>
      <c r="C68233" t="inlineStr">
        <is>
          <t>2086-09-16</t>
        </is>
      </c>
    </row>
    <row r="68234">
      <c r="A68234" s="1" t="n">
        <v>68233</v>
      </c>
      <c r="B68234">
        <f>TEXT(68233, "[$-0E0000]yyyy-mm-dd")</f>
        <v/>
      </c>
      <c r="C68234" t="inlineStr">
        <is>
          <t>2086-09-17</t>
        </is>
      </c>
    </row>
    <row r="68235">
      <c r="A68235" s="1" t="n">
        <v>68234</v>
      </c>
      <c r="B68235">
        <f>TEXT(68234, "[$-0E0000]yyyy-mm-dd")</f>
        <v/>
      </c>
      <c r="C68235" t="inlineStr">
        <is>
          <t>2086-09-18</t>
        </is>
      </c>
    </row>
    <row r="68236">
      <c r="A68236" s="1" t="n">
        <v>68235</v>
      </c>
      <c r="B68236">
        <f>TEXT(68235, "[$-0E0000]yyyy-mm-dd")</f>
        <v/>
      </c>
      <c r="C68236" t="inlineStr">
        <is>
          <t>2086-09-19</t>
        </is>
      </c>
    </row>
    <row r="68237">
      <c r="A68237" s="1" t="n">
        <v>68236</v>
      </c>
      <c r="B68237">
        <f>TEXT(68236, "[$-0E0000]yyyy-mm-dd")</f>
        <v/>
      </c>
      <c r="C68237" t="inlineStr">
        <is>
          <t>2086-09-20</t>
        </is>
      </c>
    </row>
    <row r="68238">
      <c r="A68238" s="1" t="n">
        <v>68237</v>
      </c>
      <c r="B68238">
        <f>TEXT(68237, "[$-0E0000]yyyy-mm-dd")</f>
        <v/>
      </c>
      <c r="C68238" t="inlineStr">
        <is>
          <t>2086-09-21</t>
        </is>
      </c>
    </row>
    <row r="68239">
      <c r="A68239" s="1" t="n">
        <v>68238</v>
      </c>
      <c r="B68239">
        <f>TEXT(68238, "[$-0E0000]yyyy-mm-dd")</f>
        <v/>
      </c>
      <c r="C68239" t="inlineStr">
        <is>
          <t>2086-09-22</t>
        </is>
      </c>
    </row>
    <row r="68240">
      <c r="A68240" s="1" t="n">
        <v>68239</v>
      </c>
      <c r="B68240">
        <f>TEXT(68239, "[$-0E0000]yyyy-mm-dd")</f>
        <v/>
      </c>
      <c r="C68240" t="inlineStr">
        <is>
          <t>2086-09-23</t>
        </is>
      </c>
    </row>
    <row r="68241">
      <c r="A68241" s="1" t="n">
        <v>68240</v>
      </c>
      <c r="B68241">
        <f>TEXT(68240, "[$-0E0000]yyyy-mm-dd")</f>
        <v/>
      </c>
      <c r="C68241" t="inlineStr">
        <is>
          <t>2086-09-24</t>
        </is>
      </c>
    </row>
    <row r="68242">
      <c r="A68242" s="1" t="n">
        <v>68241</v>
      </c>
      <c r="B68242">
        <f>TEXT(68241, "[$-0E0000]yyyy-mm-dd")</f>
        <v/>
      </c>
      <c r="C68242" t="inlineStr">
        <is>
          <t>2086-09-25</t>
        </is>
      </c>
    </row>
    <row r="68243">
      <c r="A68243" s="1" t="n">
        <v>68242</v>
      </c>
      <c r="B68243">
        <f>TEXT(68242, "[$-0E0000]yyyy-mm-dd")</f>
        <v/>
      </c>
      <c r="C68243" t="inlineStr">
        <is>
          <t>2086-09-26</t>
        </is>
      </c>
    </row>
    <row r="68244">
      <c r="A68244" s="1" t="n">
        <v>68243</v>
      </c>
      <c r="B68244">
        <f>TEXT(68243, "[$-0E0000]yyyy-mm-dd")</f>
        <v/>
      </c>
      <c r="C68244" t="inlineStr">
        <is>
          <t>2086-09-27</t>
        </is>
      </c>
    </row>
    <row r="68245">
      <c r="A68245" s="1" t="n">
        <v>68244</v>
      </c>
      <c r="B68245">
        <f>TEXT(68244, "[$-0E0000]yyyy-mm-dd")</f>
        <v/>
      </c>
      <c r="C68245" t="inlineStr">
        <is>
          <t>2086-09-28</t>
        </is>
      </c>
    </row>
    <row r="68246">
      <c r="A68246" s="1" t="n">
        <v>68245</v>
      </c>
      <c r="B68246">
        <f>TEXT(68245, "[$-0E0000]yyyy-mm-dd")</f>
        <v/>
      </c>
      <c r="C68246" t="inlineStr">
        <is>
          <t>2086-09-29</t>
        </is>
      </c>
    </row>
    <row r="68247">
      <c r="A68247" s="1" t="n">
        <v>68246</v>
      </c>
      <c r="B68247">
        <f>TEXT(68246, "[$-0E0000]yyyy-mm-dd")</f>
        <v/>
      </c>
      <c r="C68247" t="inlineStr">
        <is>
          <t>2086-10-01</t>
        </is>
      </c>
    </row>
    <row r="68248">
      <c r="A68248" s="1" t="n">
        <v>68247</v>
      </c>
      <c r="B68248">
        <f>TEXT(68247, "[$-0E0000]yyyy-mm-dd")</f>
        <v/>
      </c>
      <c r="C68248" t="inlineStr">
        <is>
          <t>2086-10-02</t>
        </is>
      </c>
    </row>
    <row r="68249">
      <c r="A68249" s="1" t="n">
        <v>68248</v>
      </c>
      <c r="B68249">
        <f>TEXT(68248, "[$-0E0000]yyyy-mm-dd")</f>
        <v/>
      </c>
      <c r="C68249" t="inlineStr">
        <is>
          <t>2086-10-03</t>
        </is>
      </c>
    </row>
    <row r="68250">
      <c r="A68250" s="1" t="n">
        <v>68249</v>
      </c>
      <c r="B68250">
        <f>TEXT(68249, "[$-0E0000]yyyy-mm-dd")</f>
        <v/>
      </c>
      <c r="C68250" t="inlineStr">
        <is>
          <t>2086-10-04</t>
        </is>
      </c>
    </row>
    <row r="68251">
      <c r="A68251" s="1" t="n">
        <v>68250</v>
      </c>
      <c r="B68251">
        <f>TEXT(68250, "[$-0E0000]yyyy-mm-dd")</f>
        <v/>
      </c>
      <c r="C68251" t="inlineStr">
        <is>
          <t>2086-10-05</t>
        </is>
      </c>
    </row>
    <row r="68252">
      <c r="A68252" s="1" t="n">
        <v>68251</v>
      </c>
      <c r="B68252">
        <f>TEXT(68251, "[$-0E0000]yyyy-mm-dd")</f>
        <v/>
      </c>
      <c r="C68252" t="inlineStr">
        <is>
          <t>2086-10-06</t>
        </is>
      </c>
    </row>
    <row r="68253">
      <c r="A68253" s="1" t="n">
        <v>68252</v>
      </c>
      <c r="B68253">
        <f>TEXT(68252, "[$-0E0000]yyyy-mm-dd")</f>
        <v/>
      </c>
      <c r="C68253" t="inlineStr">
        <is>
          <t>2086-10-07</t>
        </is>
      </c>
    </row>
    <row r="68254">
      <c r="A68254" s="1" t="n">
        <v>68253</v>
      </c>
      <c r="B68254">
        <f>TEXT(68253, "[$-0E0000]yyyy-mm-dd")</f>
        <v/>
      </c>
      <c r="C68254" t="inlineStr">
        <is>
          <t>2086-10-08</t>
        </is>
      </c>
    </row>
    <row r="68255">
      <c r="A68255" s="1" t="n">
        <v>68254</v>
      </c>
      <c r="B68255">
        <f>TEXT(68254, "[$-0E0000]yyyy-mm-dd")</f>
        <v/>
      </c>
      <c r="C68255" t="inlineStr">
        <is>
          <t>2086-10-09</t>
        </is>
      </c>
    </row>
    <row r="68256">
      <c r="A68256" s="1" t="n">
        <v>68255</v>
      </c>
      <c r="B68256">
        <f>TEXT(68255, "[$-0E0000]yyyy-mm-dd")</f>
        <v/>
      </c>
      <c r="C68256" t="inlineStr">
        <is>
          <t>2086-10-10</t>
        </is>
      </c>
    </row>
    <row r="68257">
      <c r="A68257" s="1" t="n">
        <v>68256</v>
      </c>
      <c r="B68257">
        <f>TEXT(68256, "[$-0E0000]yyyy-mm-dd")</f>
        <v/>
      </c>
      <c r="C68257" t="inlineStr">
        <is>
          <t>2086-10-11</t>
        </is>
      </c>
    </row>
    <row r="68258">
      <c r="A68258" s="1" t="n">
        <v>68257</v>
      </c>
      <c r="B68258">
        <f>TEXT(68257, "[$-0E0000]yyyy-mm-dd")</f>
        <v/>
      </c>
      <c r="C68258" t="inlineStr">
        <is>
          <t>2086-10-12</t>
        </is>
      </c>
    </row>
    <row r="68259">
      <c r="A68259" s="1" t="n">
        <v>68258</v>
      </c>
      <c r="B68259">
        <f>TEXT(68258, "[$-0E0000]yyyy-mm-dd")</f>
        <v/>
      </c>
      <c r="C68259" t="inlineStr">
        <is>
          <t>2086-10-13</t>
        </is>
      </c>
    </row>
    <row r="68260">
      <c r="A68260" s="1" t="n">
        <v>68259</v>
      </c>
      <c r="B68260">
        <f>TEXT(68259, "[$-0E0000]yyyy-mm-dd")</f>
        <v/>
      </c>
      <c r="C68260" t="inlineStr">
        <is>
          <t>2086-10-14</t>
        </is>
      </c>
    </row>
    <row r="68261">
      <c r="A68261" s="1" t="n">
        <v>68260</v>
      </c>
      <c r="B68261">
        <f>TEXT(68260, "[$-0E0000]yyyy-mm-dd")</f>
        <v/>
      </c>
      <c r="C68261" t="inlineStr">
        <is>
          <t>2086-10-15</t>
        </is>
      </c>
    </row>
    <row r="68262">
      <c r="A68262" s="1" t="n">
        <v>68261</v>
      </c>
      <c r="B68262">
        <f>TEXT(68261, "[$-0E0000]yyyy-mm-dd")</f>
        <v/>
      </c>
      <c r="C68262" t="inlineStr">
        <is>
          <t>2086-10-16</t>
        </is>
      </c>
    </row>
    <row r="68263">
      <c r="A68263" s="1" t="n">
        <v>68262</v>
      </c>
      <c r="B68263">
        <f>TEXT(68262, "[$-0E0000]yyyy-mm-dd")</f>
        <v/>
      </c>
      <c r="C68263" t="inlineStr">
        <is>
          <t>2086-10-17</t>
        </is>
      </c>
    </row>
    <row r="68264">
      <c r="A68264" s="1" t="n">
        <v>68263</v>
      </c>
      <c r="B68264">
        <f>TEXT(68263, "[$-0E0000]yyyy-mm-dd")</f>
        <v/>
      </c>
      <c r="C68264" t="inlineStr">
        <is>
          <t>2086-10-18</t>
        </is>
      </c>
    </row>
    <row r="68265">
      <c r="A68265" s="1" t="n">
        <v>68264</v>
      </c>
      <c r="B68265">
        <f>TEXT(68264, "[$-0E0000]yyyy-mm-dd")</f>
        <v/>
      </c>
      <c r="C68265" t="inlineStr">
        <is>
          <t>2086-10-19</t>
        </is>
      </c>
    </row>
    <row r="68266">
      <c r="A68266" s="1" t="n">
        <v>68265</v>
      </c>
      <c r="B68266">
        <f>TEXT(68265, "[$-0E0000]yyyy-mm-dd")</f>
        <v/>
      </c>
      <c r="C68266" t="inlineStr">
        <is>
          <t>2086-10-20</t>
        </is>
      </c>
    </row>
    <row r="68267">
      <c r="A68267" s="1" t="n">
        <v>68266</v>
      </c>
      <c r="B68267">
        <f>TEXT(68266, "[$-0E0000]yyyy-mm-dd")</f>
        <v/>
      </c>
      <c r="C68267" t="inlineStr">
        <is>
          <t>2086-10-21</t>
        </is>
      </c>
    </row>
    <row r="68268">
      <c r="A68268" s="1" t="n">
        <v>68267</v>
      </c>
      <c r="B68268">
        <f>TEXT(68267, "[$-0E0000]yyyy-mm-dd")</f>
        <v/>
      </c>
      <c r="C68268" t="inlineStr">
        <is>
          <t>2086-10-22</t>
        </is>
      </c>
    </row>
    <row r="68269">
      <c r="A68269" s="1" t="n">
        <v>68268</v>
      </c>
      <c r="B68269">
        <f>TEXT(68268, "[$-0E0000]yyyy-mm-dd")</f>
        <v/>
      </c>
      <c r="C68269" t="inlineStr">
        <is>
          <t>2086-10-23</t>
        </is>
      </c>
    </row>
    <row r="68270">
      <c r="A68270" s="1" t="n">
        <v>68269</v>
      </c>
      <c r="B68270">
        <f>TEXT(68269, "[$-0E0000]yyyy-mm-dd")</f>
        <v/>
      </c>
      <c r="C68270" t="inlineStr">
        <is>
          <t>2086-10-24</t>
        </is>
      </c>
    </row>
    <row r="68271">
      <c r="A68271" s="1" t="n">
        <v>68270</v>
      </c>
      <c r="B68271">
        <f>TEXT(68270, "[$-0E0000]yyyy-mm-dd")</f>
        <v/>
      </c>
      <c r="C68271" t="inlineStr">
        <is>
          <t>2086-10-25</t>
        </is>
      </c>
    </row>
    <row r="68272">
      <c r="A68272" s="1" t="n">
        <v>68271</v>
      </c>
      <c r="B68272">
        <f>TEXT(68271, "[$-0E0000]yyyy-mm-dd")</f>
        <v/>
      </c>
      <c r="C68272" t="inlineStr">
        <is>
          <t>2086-10-26</t>
        </is>
      </c>
    </row>
    <row r="68273">
      <c r="A68273" s="1" t="n">
        <v>68272</v>
      </c>
      <c r="B68273">
        <f>TEXT(68272, "[$-0E0000]yyyy-mm-dd")</f>
        <v/>
      </c>
      <c r="C68273" t="inlineStr">
        <is>
          <t>2086-10-27</t>
        </is>
      </c>
    </row>
    <row r="68274">
      <c r="A68274" s="1" t="n">
        <v>68273</v>
      </c>
      <c r="B68274">
        <f>TEXT(68273, "[$-0E0000]yyyy-mm-dd")</f>
        <v/>
      </c>
      <c r="C68274" t="inlineStr">
        <is>
          <t>2086-10-28</t>
        </is>
      </c>
    </row>
    <row r="68275">
      <c r="A68275" s="1" t="n">
        <v>68274</v>
      </c>
      <c r="B68275">
        <f>TEXT(68274, "[$-0E0000]yyyy-mm-dd")</f>
        <v/>
      </c>
      <c r="C68275" t="inlineStr">
        <is>
          <t>2086-10-29</t>
        </is>
      </c>
    </row>
    <row r="68276">
      <c r="A68276" s="1" t="n">
        <v>68275</v>
      </c>
      <c r="B68276">
        <f>TEXT(68275, "[$-0E0000]yyyy-mm-dd")</f>
        <v/>
      </c>
      <c r="C68276" t="inlineStr">
        <is>
          <t>2086-10-30</t>
        </is>
      </c>
    </row>
    <row r="68277">
      <c r="A68277" s="1" t="n">
        <v>68276</v>
      </c>
      <c r="B68277">
        <f>TEXT(68276, "[$-0E0000]yyyy-mm-dd")</f>
        <v/>
      </c>
      <c r="C68277" t="inlineStr">
        <is>
          <t>2086-11-01</t>
        </is>
      </c>
    </row>
    <row r="68278">
      <c r="A68278" s="1" t="n">
        <v>68277</v>
      </c>
      <c r="B68278">
        <f>TEXT(68277, "[$-0E0000]yyyy-mm-dd")</f>
        <v/>
      </c>
      <c r="C68278" t="inlineStr">
        <is>
          <t>2086-11-02</t>
        </is>
      </c>
    </row>
    <row r="68279">
      <c r="A68279" s="1" t="n">
        <v>68278</v>
      </c>
      <c r="B68279">
        <f>TEXT(68278, "[$-0E0000]yyyy-mm-dd")</f>
        <v/>
      </c>
      <c r="C68279" t="inlineStr">
        <is>
          <t>2086-11-03</t>
        </is>
      </c>
    </row>
    <row r="68280">
      <c r="A68280" s="1" t="n">
        <v>68279</v>
      </c>
      <c r="B68280">
        <f>TEXT(68279, "[$-0E0000]yyyy-mm-dd")</f>
        <v/>
      </c>
      <c r="C68280" t="inlineStr">
        <is>
          <t>2086-11-04</t>
        </is>
      </c>
    </row>
    <row r="68281">
      <c r="A68281" s="1" t="n">
        <v>68280</v>
      </c>
      <c r="B68281">
        <f>TEXT(68280, "[$-0E0000]yyyy-mm-dd")</f>
        <v/>
      </c>
      <c r="C68281" t="inlineStr">
        <is>
          <t>2086-11-05</t>
        </is>
      </c>
    </row>
    <row r="68282">
      <c r="A68282" s="1" t="n">
        <v>68281</v>
      </c>
      <c r="B68282">
        <f>TEXT(68281, "[$-0E0000]yyyy-mm-dd")</f>
        <v/>
      </c>
      <c r="C68282" t="inlineStr">
        <is>
          <t>2086-11-06</t>
        </is>
      </c>
    </row>
    <row r="68283">
      <c r="A68283" s="1" t="n">
        <v>68282</v>
      </c>
      <c r="B68283">
        <f>TEXT(68282, "[$-0E0000]yyyy-mm-dd")</f>
        <v/>
      </c>
      <c r="C68283" t="inlineStr">
        <is>
          <t>2086-11-07</t>
        </is>
      </c>
    </row>
    <row r="68284">
      <c r="A68284" s="1" t="n">
        <v>68283</v>
      </c>
      <c r="B68284">
        <f>TEXT(68283, "[$-0E0000]yyyy-mm-dd")</f>
        <v/>
      </c>
      <c r="C68284" t="inlineStr">
        <is>
          <t>2086-11-08</t>
        </is>
      </c>
    </row>
    <row r="68285">
      <c r="A68285" s="1" t="n">
        <v>68284</v>
      </c>
      <c r="B68285">
        <f>TEXT(68284, "[$-0E0000]yyyy-mm-dd")</f>
        <v/>
      </c>
      <c r="C68285" t="inlineStr">
        <is>
          <t>2086-11-09</t>
        </is>
      </c>
    </row>
    <row r="68286">
      <c r="A68286" s="1" t="n">
        <v>68285</v>
      </c>
      <c r="B68286">
        <f>TEXT(68285, "[$-0E0000]yyyy-mm-dd")</f>
        <v/>
      </c>
      <c r="C68286" t="inlineStr">
        <is>
          <t>2086-11-10</t>
        </is>
      </c>
    </row>
    <row r="68287">
      <c r="A68287" s="1" t="n">
        <v>68286</v>
      </c>
      <c r="B68287">
        <f>TEXT(68286, "[$-0E0000]yyyy-mm-dd")</f>
        <v/>
      </c>
      <c r="C68287" t="inlineStr">
        <is>
          <t>2086-11-11</t>
        </is>
      </c>
    </row>
    <row r="68288">
      <c r="A68288" s="1" t="n">
        <v>68287</v>
      </c>
      <c r="B68288">
        <f>TEXT(68287, "[$-0E0000]yyyy-mm-dd")</f>
        <v/>
      </c>
      <c r="C68288" t="inlineStr">
        <is>
          <t>2086-11-12</t>
        </is>
      </c>
    </row>
    <row r="68289">
      <c r="A68289" s="1" t="n">
        <v>68288</v>
      </c>
      <c r="B68289">
        <f>TEXT(68288, "[$-0E0000]yyyy-mm-dd")</f>
        <v/>
      </c>
      <c r="C68289" t="inlineStr">
        <is>
          <t>2086-11-13</t>
        </is>
      </c>
    </row>
    <row r="68290">
      <c r="A68290" s="1" t="n">
        <v>68289</v>
      </c>
      <c r="B68290">
        <f>TEXT(68289, "[$-0E0000]yyyy-mm-dd")</f>
        <v/>
      </c>
      <c r="C68290" t="inlineStr">
        <is>
          <t>2086-11-14</t>
        </is>
      </c>
    </row>
    <row r="68291">
      <c r="A68291" s="1" t="n">
        <v>68290</v>
      </c>
      <c r="B68291">
        <f>TEXT(68290, "[$-0E0000]yyyy-mm-dd")</f>
        <v/>
      </c>
      <c r="C68291" t="inlineStr">
        <is>
          <t>2086-11-15</t>
        </is>
      </c>
    </row>
    <row r="68292">
      <c r="A68292" s="1" t="n">
        <v>68291</v>
      </c>
      <c r="B68292">
        <f>TEXT(68291, "[$-0E0000]yyyy-mm-dd")</f>
        <v/>
      </c>
      <c r="C68292" t="inlineStr">
        <is>
          <t>2086-11-16</t>
        </is>
      </c>
    </row>
    <row r="68293">
      <c r="A68293" s="1" t="n">
        <v>68292</v>
      </c>
      <c r="B68293">
        <f>TEXT(68292, "[$-0E0000]yyyy-mm-dd")</f>
        <v/>
      </c>
      <c r="C68293" t="inlineStr">
        <is>
          <t>2086-11-17</t>
        </is>
      </c>
    </row>
    <row r="68294">
      <c r="A68294" s="1" t="n">
        <v>68293</v>
      </c>
      <c r="B68294">
        <f>TEXT(68293, "[$-0E0000]yyyy-mm-dd")</f>
        <v/>
      </c>
      <c r="C68294" t="inlineStr">
        <is>
          <t>2086-11-18</t>
        </is>
      </c>
    </row>
    <row r="68295">
      <c r="A68295" s="1" t="n">
        <v>68294</v>
      </c>
      <c r="B68295">
        <f>TEXT(68294, "[$-0E0000]yyyy-mm-dd")</f>
        <v/>
      </c>
      <c r="C68295" t="inlineStr">
        <is>
          <t>2086-11-19</t>
        </is>
      </c>
    </row>
    <row r="68296">
      <c r="A68296" s="1" t="n">
        <v>68295</v>
      </c>
      <c r="B68296">
        <f>TEXT(68295, "[$-0E0000]yyyy-mm-dd")</f>
        <v/>
      </c>
      <c r="C68296" t="inlineStr">
        <is>
          <t>2086-11-20</t>
        </is>
      </c>
    </row>
    <row r="68297">
      <c r="A68297" s="1" t="n">
        <v>68296</v>
      </c>
      <c r="B68297">
        <f>TEXT(68296, "[$-0E0000]yyyy-mm-dd")</f>
        <v/>
      </c>
      <c r="C68297" t="inlineStr">
        <is>
          <t>2086-11-21</t>
        </is>
      </c>
    </row>
    <row r="68298">
      <c r="A68298" s="1" t="n">
        <v>68297</v>
      </c>
      <c r="B68298">
        <f>TEXT(68297, "[$-0E0000]yyyy-mm-dd")</f>
        <v/>
      </c>
      <c r="C68298" t="inlineStr">
        <is>
          <t>2086-11-22</t>
        </is>
      </c>
    </row>
    <row r="68299">
      <c r="A68299" s="1" t="n">
        <v>68298</v>
      </c>
      <c r="B68299">
        <f>TEXT(68298, "[$-0E0000]yyyy-mm-dd")</f>
        <v/>
      </c>
      <c r="C68299" t="inlineStr">
        <is>
          <t>2086-11-23</t>
        </is>
      </c>
    </row>
    <row r="68300">
      <c r="A68300" s="1" t="n">
        <v>68299</v>
      </c>
      <c r="B68300">
        <f>TEXT(68299, "[$-0E0000]yyyy-mm-dd")</f>
        <v/>
      </c>
      <c r="C68300" t="inlineStr">
        <is>
          <t>2086-11-24</t>
        </is>
      </c>
    </row>
    <row r="68301">
      <c r="A68301" s="1" t="n">
        <v>68300</v>
      </c>
      <c r="B68301">
        <f>TEXT(68300, "[$-0E0000]yyyy-mm-dd")</f>
        <v/>
      </c>
      <c r="C68301" t="inlineStr">
        <is>
          <t>2086-11-25</t>
        </is>
      </c>
    </row>
    <row r="68302">
      <c r="A68302" s="1" t="n">
        <v>68301</v>
      </c>
      <c r="B68302">
        <f>TEXT(68301, "[$-0E0000]yyyy-mm-dd")</f>
        <v/>
      </c>
      <c r="C68302" t="inlineStr">
        <is>
          <t>2086-11-26</t>
        </is>
      </c>
    </row>
    <row r="68303">
      <c r="A68303" s="1" t="n">
        <v>68302</v>
      </c>
      <c r="B68303">
        <f>TEXT(68302, "[$-0E0000]yyyy-mm-dd")</f>
        <v/>
      </c>
      <c r="C68303" t="inlineStr">
        <is>
          <t>2086-11-27</t>
        </is>
      </c>
    </row>
    <row r="68304">
      <c r="A68304" s="1" t="n">
        <v>68303</v>
      </c>
      <c r="B68304">
        <f>TEXT(68303, "[$-0E0000]yyyy-mm-dd")</f>
        <v/>
      </c>
      <c r="C68304" t="inlineStr">
        <is>
          <t>2086-11-28</t>
        </is>
      </c>
    </row>
    <row r="68305">
      <c r="A68305" s="1" t="n">
        <v>68304</v>
      </c>
      <c r="B68305">
        <f>TEXT(68304, "[$-0E0000]yyyy-mm-dd")</f>
        <v/>
      </c>
      <c r="C68305" t="inlineStr">
        <is>
          <t>2086-11-29</t>
        </is>
      </c>
    </row>
    <row r="68306">
      <c r="A68306" s="1" t="n">
        <v>68305</v>
      </c>
      <c r="B68306">
        <f>TEXT(68305, "[$-0E0000]yyyy-mm-dd")</f>
        <v/>
      </c>
      <c r="C68306" t="inlineStr">
        <is>
          <t>2086-11-30</t>
        </is>
      </c>
    </row>
    <row r="68307">
      <c r="A68307" s="1" t="n">
        <v>68306</v>
      </c>
      <c r="B68307">
        <f>TEXT(68306, "[$-0E0000]yyyy-mm-dd")</f>
        <v/>
      </c>
      <c r="C68307" t="inlineStr">
        <is>
          <t>2086-12-01</t>
        </is>
      </c>
    </row>
    <row r="68308">
      <c r="A68308" s="1" t="n">
        <v>68307</v>
      </c>
      <c r="B68308">
        <f>TEXT(68307, "[$-0E0000]yyyy-mm-dd")</f>
        <v/>
      </c>
      <c r="C68308" t="inlineStr">
        <is>
          <t>2086-12-02</t>
        </is>
      </c>
    </row>
    <row r="68309">
      <c r="A68309" s="1" t="n">
        <v>68308</v>
      </c>
      <c r="B68309">
        <f>TEXT(68308, "[$-0E0000]yyyy-mm-dd")</f>
        <v/>
      </c>
      <c r="C68309" t="inlineStr">
        <is>
          <t>2086-12-03</t>
        </is>
      </c>
    </row>
    <row r="68310">
      <c r="A68310" s="1" t="n">
        <v>68309</v>
      </c>
      <c r="B68310">
        <f>TEXT(68309, "[$-0E0000]yyyy-mm-dd")</f>
        <v/>
      </c>
      <c r="C68310" t="inlineStr">
        <is>
          <t>2086-12-04</t>
        </is>
      </c>
    </row>
    <row r="68311">
      <c r="A68311" s="1" t="n">
        <v>68310</v>
      </c>
      <c r="B68311">
        <f>TEXT(68310, "[$-0E0000]yyyy-mm-dd")</f>
        <v/>
      </c>
      <c r="C68311" t="inlineStr">
        <is>
          <t>2086-12-05</t>
        </is>
      </c>
    </row>
    <row r="68312">
      <c r="A68312" s="1" t="n">
        <v>68311</v>
      </c>
      <c r="B68312">
        <f>TEXT(68311, "[$-0E0000]yyyy-mm-dd")</f>
        <v/>
      </c>
      <c r="C68312" t="inlineStr">
        <is>
          <t>2086-12-06</t>
        </is>
      </c>
    </row>
    <row r="68313">
      <c r="A68313" s="1" t="n">
        <v>68312</v>
      </c>
      <c r="B68313">
        <f>TEXT(68312, "[$-0E0000]yyyy-mm-dd")</f>
        <v/>
      </c>
      <c r="C68313" t="inlineStr">
        <is>
          <t>2086-12-07</t>
        </is>
      </c>
    </row>
    <row r="68314">
      <c r="A68314" s="1" t="n">
        <v>68313</v>
      </c>
      <c r="B68314">
        <f>TEXT(68313, "[$-0E0000]yyyy-mm-dd")</f>
        <v/>
      </c>
      <c r="C68314" t="inlineStr">
        <is>
          <t>2086-12-08</t>
        </is>
      </c>
    </row>
    <row r="68315">
      <c r="A68315" s="1" t="n">
        <v>68314</v>
      </c>
      <c r="B68315">
        <f>TEXT(68314, "[$-0E0000]yyyy-mm-dd")</f>
        <v/>
      </c>
      <c r="C68315" t="inlineStr">
        <is>
          <t>2086-12-09</t>
        </is>
      </c>
    </row>
    <row r="68316">
      <c r="A68316" s="1" t="n">
        <v>68315</v>
      </c>
      <c r="B68316">
        <f>TEXT(68315, "[$-0E0000]yyyy-mm-dd")</f>
        <v/>
      </c>
      <c r="C68316" t="inlineStr">
        <is>
          <t>2086-12-10</t>
        </is>
      </c>
    </row>
    <row r="68317">
      <c r="A68317" s="1" t="n">
        <v>68316</v>
      </c>
      <c r="B68317">
        <f>TEXT(68316, "[$-0E0000]yyyy-mm-dd")</f>
        <v/>
      </c>
      <c r="C68317" t="inlineStr">
        <is>
          <t>2086-12-11</t>
        </is>
      </c>
    </row>
    <row r="68318">
      <c r="A68318" s="1" t="n">
        <v>68317</v>
      </c>
      <c r="B68318">
        <f>TEXT(68317, "[$-0E0000]yyyy-mm-dd")</f>
        <v/>
      </c>
      <c r="C68318" t="inlineStr">
        <is>
          <t>2086-12-12</t>
        </is>
      </c>
    </row>
    <row r="68319">
      <c r="A68319" s="1" t="n">
        <v>68318</v>
      </c>
      <c r="B68319">
        <f>TEXT(68318, "[$-0E0000]yyyy-mm-dd")</f>
        <v/>
      </c>
      <c r="C68319" t="inlineStr">
        <is>
          <t>2086-12-13</t>
        </is>
      </c>
    </row>
    <row r="68320">
      <c r="A68320" s="1" t="n">
        <v>68319</v>
      </c>
      <c r="B68320">
        <f>TEXT(68319, "[$-0E0000]yyyy-mm-dd")</f>
        <v/>
      </c>
      <c r="C68320" t="inlineStr">
        <is>
          <t>2086-12-14</t>
        </is>
      </c>
    </row>
    <row r="68321">
      <c r="A68321" s="1" t="n">
        <v>68320</v>
      </c>
      <c r="B68321">
        <f>TEXT(68320, "[$-0E0000]yyyy-mm-dd")</f>
        <v/>
      </c>
      <c r="C68321" t="inlineStr">
        <is>
          <t>2086-12-15</t>
        </is>
      </c>
    </row>
    <row r="68322">
      <c r="A68322" s="1" t="n">
        <v>68321</v>
      </c>
      <c r="B68322">
        <f>TEXT(68321, "[$-0E0000]yyyy-mm-dd")</f>
        <v/>
      </c>
      <c r="C68322" t="inlineStr">
        <is>
          <t>2086-12-16</t>
        </is>
      </c>
    </row>
    <row r="68323">
      <c r="A68323" s="1" t="n">
        <v>68322</v>
      </c>
      <c r="B68323">
        <f>TEXT(68322, "[$-0E0000]yyyy-mm-dd")</f>
        <v/>
      </c>
      <c r="C68323" t="inlineStr">
        <is>
          <t>2086-12-17</t>
        </is>
      </c>
    </row>
    <row r="68324">
      <c r="A68324" s="1" t="n">
        <v>68323</v>
      </c>
      <c r="B68324">
        <f>TEXT(68323, "[$-0E0000]yyyy-mm-dd")</f>
        <v/>
      </c>
      <c r="C68324" t="inlineStr">
        <is>
          <t>2086-12-18</t>
        </is>
      </c>
    </row>
    <row r="68325">
      <c r="A68325" s="1" t="n">
        <v>68324</v>
      </c>
      <c r="B68325">
        <f>TEXT(68324, "[$-0E0000]yyyy-mm-dd")</f>
        <v/>
      </c>
      <c r="C68325" t="inlineStr">
        <is>
          <t>2086-12-19</t>
        </is>
      </c>
    </row>
    <row r="68326">
      <c r="A68326" s="1" t="n">
        <v>68325</v>
      </c>
      <c r="B68326">
        <f>TEXT(68325, "[$-0E0000]yyyy-mm-dd")</f>
        <v/>
      </c>
      <c r="C68326" t="inlineStr">
        <is>
          <t>2086-12-20</t>
        </is>
      </c>
    </row>
    <row r="68327">
      <c r="A68327" s="1" t="n">
        <v>68326</v>
      </c>
      <c r="B68327">
        <f>TEXT(68326, "[$-0E0000]yyyy-mm-dd")</f>
        <v/>
      </c>
      <c r="C68327" t="inlineStr">
        <is>
          <t>2086-12-21</t>
        </is>
      </c>
    </row>
    <row r="68328">
      <c r="A68328" s="1" t="n">
        <v>68327</v>
      </c>
      <c r="B68328">
        <f>TEXT(68327, "[$-0E0000]yyyy-mm-dd")</f>
        <v/>
      </c>
      <c r="C68328" t="inlineStr">
        <is>
          <t>2086-12-22</t>
        </is>
      </c>
    </row>
    <row r="68329">
      <c r="A68329" s="1" t="n">
        <v>68328</v>
      </c>
      <c r="B68329">
        <f>TEXT(68328, "[$-0E0000]yyyy-mm-dd")</f>
        <v/>
      </c>
      <c r="C68329" t="inlineStr">
        <is>
          <t>2086-12-23</t>
        </is>
      </c>
    </row>
    <row r="68330">
      <c r="A68330" s="1" t="n">
        <v>68329</v>
      </c>
      <c r="B68330">
        <f>TEXT(68329, "[$-0E0000]yyyy-mm-dd")</f>
        <v/>
      </c>
      <c r="C68330" t="inlineStr">
        <is>
          <t>2086-12-24</t>
        </is>
      </c>
    </row>
    <row r="68331">
      <c r="A68331" s="1" t="n">
        <v>68330</v>
      </c>
      <c r="B68331">
        <f>TEXT(68330, "[$-0E0000]yyyy-mm-dd")</f>
        <v/>
      </c>
      <c r="C68331" t="inlineStr">
        <is>
          <t>2086-12-25</t>
        </is>
      </c>
    </row>
    <row r="68332">
      <c r="A68332" s="1" t="n">
        <v>68331</v>
      </c>
      <c r="B68332">
        <f>TEXT(68331, "[$-0E0000]yyyy-mm-dd")</f>
        <v/>
      </c>
      <c r="C68332" t="inlineStr">
        <is>
          <t>2086-12-26</t>
        </is>
      </c>
    </row>
    <row r="68333">
      <c r="A68333" s="1" t="n">
        <v>68332</v>
      </c>
      <c r="B68333">
        <f>TEXT(68332, "[$-0E0000]yyyy-mm-dd")</f>
        <v/>
      </c>
      <c r="C68333" t="inlineStr">
        <is>
          <t>2086-12-27</t>
        </is>
      </c>
    </row>
    <row r="68334">
      <c r="A68334" s="1" t="n">
        <v>68333</v>
      </c>
      <c r="B68334">
        <f>TEXT(68333, "[$-0E0000]yyyy-mm-dd")</f>
        <v/>
      </c>
      <c r="C68334" t="inlineStr">
        <is>
          <t>2086-12-28</t>
        </is>
      </c>
    </row>
    <row r="68335">
      <c r="A68335" s="1" t="n">
        <v>68334</v>
      </c>
      <c r="B68335">
        <f>TEXT(68334, "[$-0E0000]yyyy-mm-dd")</f>
        <v/>
      </c>
      <c r="C68335" t="inlineStr">
        <is>
          <t>2086-12-29</t>
        </is>
      </c>
    </row>
    <row r="68336">
      <c r="A68336" s="1" t="n">
        <v>68335</v>
      </c>
      <c r="B68336">
        <f>TEXT(68335, "[$-0E0000]yyyy-mm-dd")</f>
        <v/>
      </c>
      <c r="C68336" t="inlineStr">
        <is>
          <t>2087-01-01</t>
        </is>
      </c>
    </row>
    <row r="68337">
      <c r="A68337" s="1" t="n">
        <v>68336</v>
      </c>
      <c r="B68337">
        <f>TEXT(68336, "[$-0E0000]yyyy-mm-dd")</f>
        <v/>
      </c>
      <c r="C68337" t="inlineStr">
        <is>
          <t>2087-01-02</t>
        </is>
      </c>
    </row>
    <row r="68338">
      <c r="A68338" s="1" t="n">
        <v>68337</v>
      </c>
      <c r="B68338">
        <f>TEXT(68337, "[$-0E0000]yyyy-mm-dd")</f>
        <v/>
      </c>
      <c r="C68338" t="inlineStr">
        <is>
          <t>2087-01-03</t>
        </is>
      </c>
    </row>
    <row r="68339">
      <c r="A68339" s="1" t="n">
        <v>68338</v>
      </c>
      <c r="B68339">
        <f>TEXT(68338, "[$-0E0000]yyyy-mm-dd")</f>
        <v/>
      </c>
      <c r="C68339" t="inlineStr">
        <is>
          <t>2087-01-04</t>
        </is>
      </c>
    </row>
    <row r="68340">
      <c r="A68340" s="1" t="n">
        <v>68339</v>
      </c>
      <c r="B68340">
        <f>TEXT(68339, "[$-0E0000]yyyy-mm-dd")</f>
        <v/>
      </c>
      <c r="C68340" t="inlineStr">
        <is>
          <t>2087-01-05</t>
        </is>
      </c>
    </row>
    <row r="68341">
      <c r="A68341" s="1" t="n">
        <v>68340</v>
      </c>
      <c r="B68341">
        <f>TEXT(68340, "[$-0E0000]yyyy-mm-dd")</f>
        <v/>
      </c>
      <c r="C68341" t="inlineStr">
        <is>
          <t>2087-01-06</t>
        </is>
      </c>
    </row>
    <row r="68342">
      <c r="A68342" s="1" t="n">
        <v>68341</v>
      </c>
      <c r="B68342">
        <f>TEXT(68341, "[$-0E0000]yyyy-mm-dd")</f>
        <v/>
      </c>
      <c r="C68342" t="inlineStr">
        <is>
          <t>2087-01-07</t>
        </is>
      </c>
    </row>
    <row r="68343">
      <c r="A68343" s="1" t="n">
        <v>68342</v>
      </c>
      <c r="B68343">
        <f>TEXT(68342, "[$-0E0000]yyyy-mm-dd")</f>
        <v/>
      </c>
      <c r="C68343" t="inlineStr">
        <is>
          <t>2087-01-08</t>
        </is>
      </c>
    </row>
    <row r="68344">
      <c r="A68344" s="1" t="n">
        <v>68343</v>
      </c>
      <c r="B68344">
        <f>TEXT(68343, "[$-0E0000]yyyy-mm-dd")</f>
        <v/>
      </c>
      <c r="C68344" t="inlineStr">
        <is>
          <t>2087-01-09</t>
        </is>
      </c>
    </row>
    <row r="68345">
      <c r="A68345" s="1" t="n">
        <v>68344</v>
      </c>
      <c r="B68345">
        <f>TEXT(68344, "[$-0E0000]yyyy-mm-dd")</f>
        <v/>
      </c>
      <c r="C68345" t="inlineStr">
        <is>
          <t>2087-01-10</t>
        </is>
      </c>
    </row>
    <row r="68346">
      <c r="A68346" s="1" t="n">
        <v>68345</v>
      </c>
      <c r="B68346">
        <f>TEXT(68345, "[$-0E0000]yyyy-mm-dd")</f>
        <v/>
      </c>
      <c r="C68346" t="inlineStr">
        <is>
          <t>2087-01-11</t>
        </is>
      </c>
    </row>
    <row r="68347">
      <c r="A68347" s="1" t="n">
        <v>68346</v>
      </c>
      <c r="B68347">
        <f>TEXT(68346, "[$-0E0000]yyyy-mm-dd")</f>
        <v/>
      </c>
      <c r="C68347" t="inlineStr">
        <is>
          <t>2087-01-12</t>
        </is>
      </c>
    </row>
    <row r="68348">
      <c r="A68348" s="1" t="n">
        <v>68347</v>
      </c>
      <c r="B68348">
        <f>TEXT(68347, "[$-0E0000]yyyy-mm-dd")</f>
        <v/>
      </c>
      <c r="C68348" t="inlineStr">
        <is>
          <t>2087-01-13</t>
        </is>
      </c>
    </row>
    <row r="68349">
      <c r="A68349" s="1" t="n">
        <v>68348</v>
      </c>
      <c r="B68349">
        <f>TEXT(68348, "[$-0E0000]yyyy-mm-dd")</f>
        <v/>
      </c>
      <c r="C68349" t="inlineStr">
        <is>
          <t>2087-01-14</t>
        </is>
      </c>
    </row>
    <row r="68350">
      <c r="A68350" s="1" t="n">
        <v>68349</v>
      </c>
      <c r="B68350">
        <f>TEXT(68349, "[$-0E0000]yyyy-mm-dd")</f>
        <v/>
      </c>
      <c r="C68350" t="inlineStr">
        <is>
          <t>2087-01-15</t>
        </is>
      </c>
    </row>
    <row r="68351">
      <c r="A68351" s="1" t="n">
        <v>68350</v>
      </c>
      <c r="B68351">
        <f>TEXT(68350, "[$-0E0000]yyyy-mm-dd")</f>
        <v/>
      </c>
      <c r="C68351" t="inlineStr">
        <is>
          <t>2087-01-16</t>
        </is>
      </c>
    </row>
    <row r="68352">
      <c r="A68352" s="1" t="n">
        <v>68351</v>
      </c>
      <c r="B68352">
        <f>TEXT(68351, "[$-0E0000]yyyy-mm-dd")</f>
        <v/>
      </c>
      <c r="C68352" t="inlineStr">
        <is>
          <t>2087-01-17</t>
        </is>
      </c>
    </row>
    <row r="68353">
      <c r="A68353" s="1" t="n">
        <v>68352</v>
      </c>
      <c r="B68353">
        <f>TEXT(68352, "[$-0E0000]yyyy-mm-dd")</f>
        <v/>
      </c>
      <c r="C68353" t="inlineStr">
        <is>
          <t>2087-01-18</t>
        </is>
      </c>
    </row>
    <row r="68354">
      <c r="A68354" s="1" t="n">
        <v>68353</v>
      </c>
      <c r="B68354">
        <f>TEXT(68353, "[$-0E0000]yyyy-mm-dd")</f>
        <v/>
      </c>
      <c r="C68354" t="inlineStr">
        <is>
          <t>2087-01-19</t>
        </is>
      </c>
    </row>
    <row r="68355">
      <c r="A68355" s="1" t="n">
        <v>68354</v>
      </c>
      <c r="B68355">
        <f>TEXT(68354, "[$-0E0000]yyyy-mm-dd")</f>
        <v/>
      </c>
      <c r="C68355" t="inlineStr">
        <is>
          <t>2087-01-20</t>
        </is>
      </c>
    </row>
    <row r="68356">
      <c r="A68356" s="1" t="n">
        <v>68355</v>
      </c>
      <c r="B68356">
        <f>TEXT(68355, "[$-0E0000]yyyy-mm-dd")</f>
        <v/>
      </c>
      <c r="C68356" t="inlineStr">
        <is>
          <t>2087-01-21</t>
        </is>
      </c>
    </row>
    <row r="68357">
      <c r="A68357" s="1" t="n">
        <v>68356</v>
      </c>
      <c r="B68357">
        <f>TEXT(68356, "[$-0E0000]yyyy-mm-dd")</f>
        <v/>
      </c>
      <c r="C68357" t="inlineStr">
        <is>
          <t>2087-01-22</t>
        </is>
      </c>
    </row>
    <row r="68358">
      <c r="A68358" s="1" t="n">
        <v>68357</v>
      </c>
      <c r="B68358">
        <f>TEXT(68357, "[$-0E0000]yyyy-mm-dd")</f>
        <v/>
      </c>
      <c r="C68358" t="inlineStr">
        <is>
          <t>2087-01-23</t>
        </is>
      </c>
    </row>
    <row r="68359">
      <c r="A68359" s="1" t="n">
        <v>68358</v>
      </c>
      <c r="B68359">
        <f>TEXT(68358, "[$-0E0000]yyyy-mm-dd")</f>
        <v/>
      </c>
      <c r="C68359" t="inlineStr">
        <is>
          <t>2087-01-24</t>
        </is>
      </c>
    </row>
    <row r="68360">
      <c r="A68360" s="1" t="n">
        <v>68359</v>
      </c>
      <c r="B68360">
        <f>TEXT(68359, "[$-0E0000]yyyy-mm-dd")</f>
        <v/>
      </c>
      <c r="C68360" t="inlineStr">
        <is>
          <t>2087-01-25</t>
        </is>
      </c>
    </row>
    <row r="68361">
      <c r="A68361" s="1" t="n">
        <v>68360</v>
      </c>
      <c r="B68361">
        <f>TEXT(68360, "[$-0E0000]yyyy-mm-dd")</f>
        <v/>
      </c>
      <c r="C68361" t="inlineStr">
        <is>
          <t>2087-01-26</t>
        </is>
      </c>
    </row>
    <row r="68362">
      <c r="A68362" s="1" t="n">
        <v>68361</v>
      </c>
      <c r="B68362">
        <f>TEXT(68361, "[$-0E0000]yyyy-mm-dd")</f>
        <v/>
      </c>
      <c r="C68362" t="inlineStr">
        <is>
          <t>2087-01-27</t>
        </is>
      </c>
    </row>
    <row r="68363">
      <c r="A68363" s="1" t="n">
        <v>68362</v>
      </c>
      <c r="B68363">
        <f>TEXT(68362, "[$-0E0000]yyyy-mm-dd")</f>
        <v/>
      </c>
      <c r="C68363" t="inlineStr">
        <is>
          <t>2087-01-28</t>
        </is>
      </c>
    </row>
    <row r="68364">
      <c r="A68364" s="1" t="n">
        <v>68363</v>
      </c>
      <c r="B68364">
        <f>TEXT(68363, "[$-0E0000]yyyy-mm-dd")</f>
        <v/>
      </c>
      <c r="C68364" t="inlineStr">
        <is>
          <t>2087-01-29</t>
        </is>
      </c>
    </row>
    <row r="68365">
      <c r="A68365" s="1" t="n">
        <v>68364</v>
      </c>
      <c r="B68365">
        <f>TEXT(68364, "[$-0E0000]yyyy-mm-dd")</f>
        <v/>
      </c>
      <c r="C68365" t="inlineStr">
        <is>
          <t>2087-01-30</t>
        </is>
      </c>
    </row>
    <row r="68366">
      <c r="A68366" s="1" t="n">
        <v>68365</v>
      </c>
      <c r="B68366">
        <f>TEXT(68365, "[$-0E0000]yyyy-mm-dd")</f>
        <v/>
      </c>
      <c r="C68366" t="inlineStr">
        <is>
          <t>2087-02-01</t>
        </is>
      </c>
    </row>
    <row r="68367">
      <c r="A68367" s="1" t="n">
        <v>68366</v>
      </c>
      <c r="B68367">
        <f>TEXT(68366, "[$-0E0000]yyyy-mm-dd")</f>
        <v/>
      </c>
      <c r="C68367" t="inlineStr">
        <is>
          <t>2087-02-02</t>
        </is>
      </c>
    </row>
    <row r="68368">
      <c r="A68368" s="1" t="n">
        <v>68367</v>
      </c>
      <c r="B68368">
        <f>TEXT(68367, "[$-0E0000]yyyy-mm-dd")</f>
        <v/>
      </c>
      <c r="C68368" t="inlineStr">
        <is>
          <t>2087-02-03</t>
        </is>
      </c>
    </row>
    <row r="68369">
      <c r="A68369" s="1" t="n">
        <v>68368</v>
      </c>
      <c r="B68369">
        <f>TEXT(68368, "[$-0E0000]yyyy-mm-dd")</f>
        <v/>
      </c>
      <c r="C68369" t="inlineStr">
        <is>
          <t>2087-02-04</t>
        </is>
      </c>
    </row>
    <row r="68370">
      <c r="A68370" s="1" t="n">
        <v>68369</v>
      </c>
      <c r="B68370">
        <f>TEXT(68369, "[$-0E0000]yyyy-mm-dd")</f>
        <v/>
      </c>
      <c r="C68370" t="inlineStr">
        <is>
          <t>2087-02-05</t>
        </is>
      </c>
    </row>
    <row r="68371">
      <c r="A68371" s="1" t="n">
        <v>68370</v>
      </c>
      <c r="B68371">
        <f>TEXT(68370, "[$-0E0000]yyyy-mm-dd")</f>
        <v/>
      </c>
      <c r="C68371" t="inlineStr">
        <is>
          <t>2087-02-06</t>
        </is>
      </c>
    </row>
    <row r="68372">
      <c r="A68372" s="1" t="n">
        <v>68371</v>
      </c>
      <c r="B68372">
        <f>TEXT(68371, "[$-0E0000]yyyy-mm-dd")</f>
        <v/>
      </c>
      <c r="C68372" t="inlineStr">
        <is>
          <t>2087-02-07</t>
        </is>
      </c>
    </row>
    <row r="68373">
      <c r="A68373" s="1" t="n">
        <v>68372</v>
      </c>
      <c r="B68373">
        <f>TEXT(68372, "[$-0E0000]yyyy-mm-dd")</f>
        <v/>
      </c>
      <c r="C68373" t="inlineStr">
        <is>
          <t>2087-02-08</t>
        </is>
      </c>
    </row>
    <row r="68374">
      <c r="A68374" s="1" t="n">
        <v>68373</v>
      </c>
      <c r="B68374">
        <f>TEXT(68373, "[$-0E0000]yyyy-mm-dd")</f>
        <v/>
      </c>
      <c r="C68374" t="inlineStr">
        <is>
          <t>2087-02-09</t>
        </is>
      </c>
    </row>
    <row r="68375">
      <c r="A68375" s="1" t="n">
        <v>68374</v>
      </c>
      <c r="B68375">
        <f>TEXT(68374, "[$-0E0000]yyyy-mm-dd")</f>
        <v/>
      </c>
      <c r="C68375" t="inlineStr">
        <is>
          <t>2087-02-10</t>
        </is>
      </c>
    </row>
    <row r="68376">
      <c r="A68376" s="1" t="n">
        <v>68375</v>
      </c>
      <c r="B68376">
        <f>TEXT(68375, "[$-0E0000]yyyy-mm-dd")</f>
        <v/>
      </c>
      <c r="C68376" t="inlineStr">
        <is>
          <t>2087-02-11</t>
        </is>
      </c>
    </row>
    <row r="68377">
      <c r="A68377" s="1" t="n">
        <v>68376</v>
      </c>
      <c r="B68377">
        <f>TEXT(68376, "[$-0E0000]yyyy-mm-dd")</f>
        <v/>
      </c>
      <c r="C68377" t="inlineStr">
        <is>
          <t>2087-02-12</t>
        </is>
      </c>
    </row>
    <row r="68378">
      <c r="A68378" s="1" t="n">
        <v>68377</v>
      </c>
      <c r="B68378">
        <f>TEXT(68377, "[$-0E0000]yyyy-mm-dd")</f>
        <v/>
      </c>
      <c r="C68378" t="inlineStr">
        <is>
          <t>2087-02-13</t>
        </is>
      </c>
    </row>
    <row r="68379">
      <c r="A68379" s="1" t="n">
        <v>68378</v>
      </c>
      <c r="B68379">
        <f>TEXT(68378, "[$-0E0000]yyyy-mm-dd")</f>
        <v/>
      </c>
      <c r="C68379" t="inlineStr">
        <is>
          <t>2087-02-14</t>
        </is>
      </c>
    </row>
    <row r="68380">
      <c r="A68380" s="1" t="n">
        <v>68379</v>
      </c>
      <c r="B68380">
        <f>TEXT(68379, "[$-0E0000]yyyy-mm-dd")</f>
        <v/>
      </c>
      <c r="C68380" t="inlineStr">
        <is>
          <t>2087-02-15</t>
        </is>
      </c>
    </row>
    <row r="68381">
      <c r="A68381" s="1" t="n">
        <v>68380</v>
      </c>
      <c r="B68381">
        <f>TEXT(68380, "[$-0E0000]yyyy-mm-dd")</f>
        <v/>
      </c>
      <c r="C68381" t="inlineStr">
        <is>
          <t>2087-02-16</t>
        </is>
      </c>
    </row>
    <row r="68382">
      <c r="A68382" s="1" t="n">
        <v>68381</v>
      </c>
      <c r="B68382">
        <f>TEXT(68381, "[$-0E0000]yyyy-mm-dd")</f>
        <v/>
      </c>
      <c r="C68382" t="inlineStr">
        <is>
          <t>2087-02-17</t>
        </is>
      </c>
    </row>
    <row r="68383">
      <c r="A68383" s="1" t="n">
        <v>68382</v>
      </c>
      <c r="B68383">
        <f>TEXT(68382, "[$-0E0000]yyyy-mm-dd")</f>
        <v/>
      </c>
      <c r="C68383" t="inlineStr">
        <is>
          <t>2087-02-18</t>
        </is>
      </c>
    </row>
    <row r="68384">
      <c r="A68384" s="1" t="n">
        <v>68383</v>
      </c>
      <c r="B68384">
        <f>TEXT(68383, "[$-0E0000]yyyy-mm-dd")</f>
        <v/>
      </c>
      <c r="C68384" t="inlineStr">
        <is>
          <t>2087-02-19</t>
        </is>
      </c>
    </row>
    <row r="68385">
      <c r="A68385" s="1" t="n">
        <v>68384</v>
      </c>
      <c r="B68385">
        <f>TEXT(68384, "[$-0E0000]yyyy-mm-dd")</f>
        <v/>
      </c>
      <c r="C68385" t="inlineStr">
        <is>
          <t>2087-02-20</t>
        </is>
      </c>
    </row>
    <row r="68386">
      <c r="A68386" s="1" t="n">
        <v>68385</v>
      </c>
      <c r="B68386">
        <f>TEXT(68385, "[$-0E0000]yyyy-mm-dd")</f>
        <v/>
      </c>
      <c r="C68386" t="inlineStr">
        <is>
          <t>2087-02-21</t>
        </is>
      </c>
    </row>
    <row r="68387">
      <c r="A68387" s="1" t="n">
        <v>68386</v>
      </c>
      <c r="B68387">
        <f>TEXT(68386, "[$-0E0000]yyyy-mm-dd")</f>
        <v/>
      </c>
      <c r="C68387" t="inlineStr">
        <is>
          <t>2087-02-22</t>
        </is>
      </c>
    </row>
    <row r="68388">
      <c r="A68388" s="1" t="n">
        <v>68387</v>
      </c>
      <c r="B68388">
        <f>TEXT(68387, "[$-0E0000]yyyy-mm-dd")</f>
        <v/>
      </c>
      <c r="C68388" t="inlineStr">
        <is>
          <t>2087-02-23</t>
        </is>
      </c>
    </row>
    <row r="68389">
      <c r="A68389" s="1" t="n">
        <v>68388</v>
      </c>
      <c r="B68389">
        <f>TEXT(68388, "[$-0E0000]yyyy-mm-dd")</f>
        <v/>
      </c>
      <c r="C68389" t="inlineStr">
        <is>
          <t>2087-02-24</t>
        </is>
      </c>
    </row>
    <row r="68390">
      <c r="A68390" s="1" t="n">
        <v>68389</v>
      </c>
      <c r="B68390">
        <f>TEXT(68389, "[$-0E0000]yyyy-mm-dd")</f>
        <v/>
      </c>
      <c r="C68390" t="inlineStr">
        <is>
          <t>2087-02-25</t>
        </is>
      </c>
    </row>
    <row r="68391">
      <c r="A68391" s="1" t="n">
        <v>68390</v>
      </c>
      <c r="B68391">
        <f>TEXT(68390, "[$-0E0000]yyyy-mm-dd")</f>
        <v/>
      </c>
      <c r="C68391" t="inlineStr">
        <is>
          <t>2087-02-26</t>
        </is>
      </c>
    </row>
    <row r="68392">
      <c r="A68392" s="1" t="n">
        <v>68391</v>
      </c>
      <c r="B68392">
        <f>TEXT(68391, "[$-0E0000]yyyy-mm-dd")</f>
        <v/>
      </c>
      <c r="C68392" t="inlineStr">
        <is>
          <t>2087-02-27</t>
        </is>
      </c>
    </row>
    <row r="68393">
      <c r="A68393" s="1" t="n">
        <v>68392</v>
      </c>
      <c r="B68393">
        <f>TEXT(68392, "[$-0E0000]yyyy-mm-dd")</f>
        <v/>
      </c>
      <c r="C68393" t="inlineStr">
        <is>
          <t>2087-02-28</t>
        </is>
      </c>
    </row>
    <row r="68394">
      <c r="A68394" s="1" t="n">
        <v>68393</v>
      </c>
      <c r="B68394">
        <f>TEXT(68393, "[$-0E0000]yyyy-mm-dd")</f>
        <v/>
      </c>
      <c r="C68394" t="inlineStr">
        <is>
          <t>2087-02-29</t>
        </is>
      </c>
    </row>
    <row r="68395">
      <c r="A68395" s="1" t="n">
        <v>68394</v>
      </c>
      <c r="B68395">
        <f>TEXT(68394, "[$-0E0000]yyyy-mm-dd")</f>
        <v/>
      </c>
      <c r="C68395" t="inlineStr">
        <is>
          <t>2087-03-01</t>
        </is>
      </c>
    </row>
    <row r="68396">
      <c r="A68396" s="1" t="n">
        <v>68395</v>
      </c>
      <c r="B68396">
        <f>TEXT(68395, "[$-0E0000]yyyy-mm-dd")</f>
        <v/>
      </c>
      <c r="C68396" t="inlineStr">
        <is>
          <t>2087-03-02</t>
        </is>
      </c>
    </row>
    <row r="68397">
      <c r="A68397" s="1" t="n">
        <v>68396</v>
      </c>
      <c r="B68397">
        <f>TEXT(68396, "[$-0E0000]yyyy-mm-dd")</f>
        <v/>
      </c>
      <c r="C68397" t="inlineStr">
        <is>
          <t>2087-03-03</t>
        </is>
      </c>
    </row>
    <row r="68398">
      <c r="A68398" s="1" t="n">
        <v>68397</v>
      </c>
      <c r="B68398">
        <f>TEXT(68397, "[$-0E0000]yyyy-mm-dd")</f>
        <v/>
      </c>
      <c r="C68398" t="inlineStr">
        <is>
          <t>2087-03-04</t>
        </is>
      </c>
    </row>
    <row r="68399">
      <c r="A68399" s="1" t="n">
        <v>68398</v>
      </c>
      <c r="B68399">
        <f>TEXT(68398, "[$-0E0000]yyyy-mm-dd")</f>
        <v/>
      </c>
      <c r="C68399" t="inlineStr">
        <is>
          <t>2087-03-05</t>
        </is>
      </c>
    </row>
    <row r="68400">
      <c r="A68400" s="1" t="n">
        <v>68399</v>
      </c>
      <c r="B68400">
        <f>TEXT(68399, "[$-0E0000]yyyy-mm-dd")</f>
        <v/>
      </c>
      <c r="C68400" t="inlineStr">
        <is>
          <t>2087-03-06</t>
        </is>
      </c>
    </row>
    <row r="68401">
      <c r="A68401" s="1" t="n">
        <v>68400</v>
      </c>
      <c r="B68401">
        <f>TEXT(68400, "[$-0E0000]yyyy-mm-dd")</f>
        <v/>
      </c>
      <c r="C68401" t="inlineStr">
        <is>
          <t>2087-03-07</t>
        </is>
      </c>
    </row>
    <row r="68402">
      <c r="A68402" s="1" t="n">
        <v>68401</v>
      </c>
      <c r="B68402">
        <f>TEXT(68401, "[$-0E0000]yyyy-mm-dd")</f>
        <v/>
      </c>
      <c r="C68402" t="inlineStr">
        <is>
          <t>2087-03-08</t>
        </is>
      </c>
    </row>
    <row r="68403">
      <c r="A68403" s="1" t="n">
        <v>68402</v>
      </c>
      <c r="B68403">
        <f>TEXT(68402, "[$-0E0000]yyyy-mm-dd")</f>
        <v/>
      </c>
      <c r="C68403" t="inlineStr">
        <is>
          <t>2087-03-09</t>
        </is>
      </c>
    </row>
    <row r="68404">
      <c r="A68404" s="1" t="n">
        <v>68403</v>
      </c>
      <c r="B68404">
        <f>TEXT(68403, "[$-0E0000]yyyy-mm-dd")</f>
        <v/>
      </c>
      <c r="C68404" t="inlineStr">
        <is>
          <t>2087-03-10</t>
        </is>
      </c>
    </row>
    <row r="68405">
      <c r="A68405" s="1" t="n">
        <v>68404</v>
      </c>
      <c r="B68405">
        <f>TEXT(68404, "[$-0E0000]yyyy-mm-dd")</f>
        <v/>
      </c>
      <c r="C68405" t="inlineStr">
        <is>
          <t>2087-03-11</t>
        </is>
      </c>
    </row>
    <row r="68406">
      <c r="A68406" s="1" t="n">
        <v>68405</v>
      </c>
      <c r="B68406">
        <f>TEXT(68405, "[$-0E0000]yyyy-mm-dd")</f>
        <v/>
      </c>
      <c r="C68406" t="inlineStr">
        <is>
          <t>2087-03-12</t>
        </is>
      </c>
    </row>
    <row r="68407">
      <c r="A68407" s="1" t="n">
        <v>68406</v>
      </c>
      <c r="B68407">
        <f>TEXT(68406, "[$-0E0000]yyyy-mm-dd")</f>
        <v/>
      </c>
      <c r="C68407" t="inlineStr">
        <is>
          <t>2087-03-13</t>
        </is>
      </c>
    </row>
    <row r="68408">
      <c r="A68408" s="1" t="n">
        <v>68407</v>
      </c>
      <c r="B68408">
        <f>TEXT(68407, "[$-0E0000]yyyy-mm-dd")</f>
        <v/>
      </c>
      <c r="C68408" t="inlineStr">
        <is>
          <t>2087-03-14</t>
        </is>
      </c>
    </row>
    <row r="68409">
      <c r="A68409" s="1" t="n">
        <v>68408</v>
      </c>
      <c r="B68409">
        <f>TEXT(68408, "[$-0E0000]yyyy-mm-dd")</f>
        <v/>
      </c>
      <c r="C68409" t="inlineStr">
        <is>
          <t>2087-03-15</t>
        </is>
      </c>
    </row>
    <row r="68410">
      <c r="A68410" s="1" t="n">
        <v>68409</v>
      </c>
      <c r="B68410">
        <f>TEXT(68409, "[$-0E0000]yyyy-mm-dd")</f>
        <v/>
      </c>
      <c r="C68410" t="inlineStr">
        <is>
          <t>2087-03-16</t>
        </is>
      </c>
    </row>
    <row r="68411">
      <c r="A68411" s="1" t="n">
        <v>68410</v>
      </c>
      <c r="B68411">
        <f>TEXT(68410, "[$-0E0000]yyyy-mm-dd")</f>
        <v/>
      </c>
      <c r="C68411" t="inlineStr">
        <is>
          <t>2087-03-17</t>
        </is>
      </c>
    </row>
    <row r="68412">
      <c r="A68412" s="1" t="n">
        <v>68411</v>
      </c>
      <c r="B68412">
        <f>TEXT(68411, "[$-0E0000]yyyy-mm-dd")</f>
        <v/>
      </c>
      <c r="C68412" t="inlineStr">
        <is>
          <t>2087-03-18</t>
        </is>
      </c>
    </row>
    <row r="68413">
      <c r="A68413" s="1" t="n">
        <v>68412</v>
      </c>
      <c r="B68413">
        <f>TEXT(68412, "[$-0E0000]yyyy-mm-dd")</f>
        <v/>
      </c>
      <c r="C68413" t="inlineStr">
        <is>
          <t>2087-03-19</t>
        </is>
      </c>
    </row>
    <row r="68414">
      <c r="A68414" s="1" t="n">
        <v>68413</v>
      </c>
      <c r="B68414">
        <f>TEXT(68413, "[$-0E0000]yyyy-mm-dd")</f>
        <v/>
      </c>
      <c r="C68414" t="inlineStr">
        <is>
          <t>2087-03-20</t>
        </is>
      </c>
    </row>
    <row r="68415">
      <c r="A68415" s="1" t="n">
        <v>68414</v>
      </c>
      <c r="B68415">
        <f>TEXT(68414, "[$-0E0000]yyyy-mm-dd")</f>
        <v/>
      </c>
      <c r="C68415" t="inlineStr">
        <is>
          <t>2087-03-21</t>
        </is>
      </c>
    </row>
    <row r="68416">
      <c r="A68416" s="1" t="n">
        <v>68415</v>
      </c>
      <c r="B68416">
        <f>TEXT(68415, "[$-0E0000]yyyy-mm-dd")</f>
        <v/>
      </c>
      <c r="C68416" t="inlineStr">
        <is>
          <t>2087-03-22</t>
        </is>
      </c>
    </row>
    <row r="68417">
      <c r="A68417" s="1" t="n">
        <v>68416</v>
      </c>
      <c r="B68417">
        <f>TEXT(68416, "[$-0E0000]yyyy-mm-dd")</f>
        <v/>
      </c>
      <c r="C68417" t="inlineStr">
        <is>
          <t>2087-03-23</t>
        </is>
      </c>
    </row>
    <row r="68418">
      <c r="A68418" s="1" t="n">
        <v>68417</v>
      </c>
      <c r="B68418">
        <f>TEXT(68417, "[$-0E0000]yyyy-mm-dd")</f>
        <v/>
      </c>
      <c r="C68418" t="inlineStr">
        <is>
          <t>2087-03-24</t>
        </is>
      </c>
    </row>
    <row r="68419">
      <c r="A68419" s="1" t="n">
        <v>68418</v>
      </c>
      <c r="B68419">
        <f>TEXT(68418, "[$-0E0000]yyyy-mm-dd")</f>
        <v/>
      </c>
      <c r="C68419" t="inlineStr">
        <is>
          <t>2087-03-25</t>
        </is>
      </c>
    </row>
    <row r="68420">
      <c r="A68420" s="1" t="n">
        <v>68419</v>
      </c>
      <c r="B68420">
        <f>TEXT(68419, "[$-0E0000]yyyy-mm-dd")</f>
        <v/>
      </c>
      <c r="C68420" t="inlineStr">
        <is>
          <t>2087-03-26</t>
        </is>
      </c>
    </row>
    <row r="68421">
      <c r="A68421" s="1" t="n">
        <v>68420</v>
      </c>
      <c r="B68421">
        <f>TEXT(68420, "[$-0E0000]yyyy-mm-dd")</f>
        <v/>
      </c>
      <c r="C68421" t="inlineStr">
        <is>
          <t>2087-03-27</t>
        </is>
      </c>
    </row>
    <row r="68422">
      <c r="A68422" s="1" t="n">
        <v>68421</v>
      </c>
      <c r="B68422">
        <f>TEXT(68421, "[$-0E0000]yyyy-mm-dd")</f>
        <v/>
      </c>
      <c r="C68422" t="inlineStr">
        <is>
          <t>2087-03-28</t>
        </is>
      </c>
    </row>
    <row r="68423">
      <c r="A68423" s="1" t="n">
        <v>68422</v>
      </c>
      <c r="B68423">
        <f>TEXT(68422, "[$-0E0000]yyyy-mm-dd")</f>
        <v/>
      </c>
      <c r="C68423" t="inlineStr">
        <is>
          <t>2087-03-29</t>
        </is>
      </c>
    </row>
    <row r="68424">
      <c r="A68424" s="1" t="n">
        <v>68423</v>
      </c>
      <c r="B68424">
        <f>TEXT(68423, "[$-0E0000]yyyy-mm-dd")</f>
        <v/>
      </c>
      <c r="C68424" t="inlineStr">
        <is>
          <t>2087-03-30</t>
        </is>
      </c>
    </row>
    <row r="68425">
      <c r="A68425" s="1" t="n">
        <v>68424</v>
      </c>
      <c r="B68425">
        <f>TEXT(68424, "[$-0E0000]yyyy-mm-dd")</f>
        <v/>
      </c>
      <c r="C68425" t="inlineStr">
        <is>
          <t>2087-04-01</t>
        </is>
      </c>
    </row>
    <row r="68426">
      <c r="A68426" s="1" t="n">
        <v>68425</v>
      </c>
      <c r="B68426">
        <f>TEXT(68425, "[$-0E0000]yyyy-mm-dd")</f>
        <v/>
      </c>
      <c r="C68426" t="inlineStr">
        <is>
          <t>2087-04-02</t>
        </is>
      </c>
    </row>
    <row r="68427">
      <c r="A68427" s="1" t="n">
        <v>68426</v>
      </c>
      <c r="B68427">
        <f>TEXT(68426, "[$-0E0000]yyyy-mm-dd")</f>
        <v/>
      </c>
      <c r="C68427" t="inlineStr">
        <is>
          <t>2087-04-03</t>
        </is>
      </c>
    </row>
    <row r="68428">
      <c r="A68428" s="1" t="n">
        <v>68427</v>
      </c>
      <c r="B68428">
        <f>TEXT(68427, "[$-0E0000]yyyy-mm-dd")</f>
        <v/>
      </c>
      <c r="C68428" t="inlineStr">
        <is>
          <t>2087-04-04</t>
        </is>
      </c>
    </row>
    <row r="68429">
      <c r="A68429" s="1" t="n">
        <v>68428</v>
      </c>
      <c r="B68429">
        <f>TEXT(68428, "[$-0E0000]yyyy-mm-dd")</f>
        <v/>
      </c>
      <c r="C68429" t="inlineStr">
        <is>
          <t>2087-04-05</t>
        </is>
      </c>
    </row>
    <row r="68430">
      <c r="A68430" s="1" t="n">
        <v>68429</v>
      </c>
      <c r="B68430">
        <f>TEXT(68429, "[$-0E0000]yyyy-mm-dd")</f>
        <v/>
      </c>
      <c r="C68430" t="inlineStr">
        <is>
          <t>2087-04-06</t>
        </is>
      </c>
    </row>
    <row r="68431">
      <c r="A68431" s="1" t="n">
        <v>68430</v>
      </c>
      <c r="B68431">
        <f>TEXT(68430, "[$-0E0000]yyyy-mm-dd")</f>
        <v/>
      </c>
      <c r="C68431" t="inlineStr">
        <is>
          <t>2087-04-07</t>
        </is>
      </c>
    </row>
    <row r="68432">
      <c r="A68432" s="1" t="n">
        <v>68431</v>
      </c>
      <c r="B68432">
        <f>TEXT(68431, "[$-0E0000]yyyy-mm-dd")</f>
        <v/>
      </c>
      <c r="C68432" t="inlineStr">
        <is>
          <t>2087-04-08</t>
        </is>
      </c>
    </row>
    <row r="68433">
      <c r="A68433" s="1" t="n">
        <v>68432</v>
      </c>
      <c r="B68433">
        <f>TEXT(68432, "[$-0E0000]yyyy-mm-dd")</f>
        <v/>
      </c>
      <c r="C68433" t="inlineStr">
        <is>
          <t>2087-04-09</t>
        </is>
      </c>
    </row>
    <row r="68434">
      <c r="A68434" s="1" t="n">
        <v>68433</v>
      </c>
      <c r="B68434">
        <f>TEXT(68433, "[$-0E0000]yyyy-mm-dd")</f>
        <v/>
      </c>
      <c r="C68434" t="inlineStr">
        <is>
          <t>2087-04-10</t>
        </is>
      </c>
    </row>
    <row r="68435">
      <c r="A68435" s="1" t="n">
        <v>68434</v>
      </c>
      <c r="B68435">
        <f>TEXT(68434, "[$-0E0000]yyyy-mm-dd")</f>
        <v/>
      </c>
      <c r="C68435" t="inlineStr">
        <is>
          <t>2087-04-11</t>
        </is>
      </c>
    </row>
    <row r="68436">
      <c r="A68436" s="1" t="n">
        <v>68435</v>
      </c>
      <c r="B68436">
        <f>TEXT(68435, "[$-0E0000]yyyy-mm-dd")</f>
        <v/>
      </c>
      <c r="C68436" t="inlineStr">
        <is>
          <t>2087-04-12</t>
        </is>
      </c>
    </row>
    <row r="68437">
      <c r="A68437" s="1" t="n">
        <v>68436</v>
      </c>
      <c r="B68437">
        <f>TEXT(68436, "[$-0E0000]yyyy-mm-dd")</f>
        <v/>
      </c>
      <c r="C68437" t="inlineStr">
        <is>
          <t>2087-04-13</t>
        </is>
      </c>
    </row>
    <row r="68438">
      <c r="A68438" s="1" t="n">
        <v>68437</v>
      </c>
      <c r="B68438">
        <f>TEXT(68437, "[$-0E0000]yyyy-mm-dd")</f>
        <v/>
      </c>
      <c r="C68438" t="inlineStr">
        <is>
          <t>2087-04-14</t>
        </is>
      </c>
    </row>
    <row r="68439">
      <c r="A68439" s="1" t="n">
        <v>68438</v>
      </c>
      <c r="B68439">
        <f>TEXT(68438, "[$-0E0000]yyyy-mm-dd")</f>
        <v/>
      </c>
      <c r="C68439" t="inlineStr">
        <is>
          <t>2087-04-15</t>
        </is>
      </c>
    </row>
    <row r="68440">
      <c r="A68440" s="1" t="n">
        <v>68439</v>
      </c>
      <c r="B68440">
        <f>TEXT(68439, "[$-0E0000]yyyy-mm-dd")</f>
        <v/>
      </c>
      <c r="C68440" t="inlineStr">
        <is>
          <t>2087-04-16</t>
        </is>
      </c>
    </row>
    <row r="68441">
      <c r="A68441" s="1" t="n">
        <v>68440</v>
      </c>
      <c r="B68441">
        <f>TEXT(68440, "[$-0E0000]yyyy-mm-dd")</f>
        <v/>
      </c>
      <c r="C68441" t="inlineStr">
        <is>
          <t>2087-04-17</t>
        </is>
      </c>
    </row>
    <row r="68442">
      <c r="A68442" s="1" t="n">
        <v>68441</v>
      </c>
      <c r="B68442">
        <f>TEXT(68441, "[$-0E0000]yyyy-mm-dd")</f>
        <v/>
      </c>
      <c r="C68442" t="inlineStr">
        <is>
          <t>2087-04-18</t>
        </is>
      </c>
    </row>
    <row r="68443">
      <c r="A68443" s="1" t="n">
        <v>68442</v>
      </c>
      <c r="B68443">
        <f>TEXT(68442, "[$-0E0000]yyyy-mm-dd")</f>
        <v/>
      </c>
      <c r="C68443" t="inlineStr">
        <is>
          <t>2087-04-19</t>
        </is>
      </c>
    </row>
    <row r="68444">
      <c r="A68444" s="1" t="n">
        <v>68443</v>
      </c>
      <c r="B68444">
        <f>TEXT(68443, "[$-0E0000]yyyy-mm-dd")</f>
        <v/>
      </c>
      <c r="C68444" t="inlineStr">
        <is>
          <t>2087-04-20</t>
        </is>
      </c>
    </row>
    <row r="68445">
      <c r="A68445" s="1" t="n">
        <v>68444</v>
      </c>
      <c r="B68445">
        <f>TEXT(68444, "[$-0E0000]yyyy-mm-dd")</f>
        <v/>
      </c>
      <c r="C68445" t="inlineStr">
        <is>
          <t>2087-04-21</t>
        </is>
      </c>
    </row>
    <row r="68446">
      <c r="A68446" s="1" t="n">
        <v>68445</v>
      </c>
      <c r="B68446">
        <f>TEXT(68445, "[$-0E0000]yyyy-mm-dd")</f>
        <v/>
      </c>
      <c r="C68446" t="inlineStr">
        <is>
          <t>2087-04-22</t>
        </is>
      </c>
    </row>
    <row r="68447">
      <c r="A68447" s="1" t="n">
        <v>68446</v>
      </c>
      <c r="B68447">
        <f>TEXT(68446, "[$-0E0000]yyyy-mm-dd")</f>
        <v/>
      </c>
      <c r="C68447" t="inlineStr">
        <is>
          <t>2087-04-23</t>
        </is>
      </c>
    </row>
    <row r="68448">
      <c r="A68448" s="1" t="n">
        <v>68447</v>
      </c>
      <c r="B68448">
        <f>TEXT(68447, "[$-0E0000]yyyy-mm-dd")</f>
        <v/>
      </c>
      <c r="C68448" t="inlineStr">
        <is>
          <t>2087-04-24</t>
        </is>
      </c>
    </row>
    <row r="68449">
      <c r="A68449" s="1" t="n">
        <v>68448</v>
      </c>
      <c r="B68449">
        <f>TEXT(68448, "[$-0E0000]yyyy-mm-dd")</f>
        <v/>
      </c>
      <c r="C68449" t="inlineStr">
        <is>
          <t>2087-04-25</t>
        </is>
      </c>
    </row>
    <row r="68450">
      <c r="A68450" s="1" t="n">
        <v>68449</v>
      </c>
      <c r="B68450">
        <f>TEXT(68449, "[$-0E0000]yyyy-mm-dd")</f>
        <v/>
      </c>
      <c r="C68450" t="inlineStr">
        <is>
          <t>2087-04-26</t>
        </is>
      </c>
    </row>
    <row r="68451">
      <c r="A68451" s="1" t="n">
        <v>68450</v>
      </c>
      <c r="B68451">
        <f>TEXT(68450, "[$-0E0000]yyyy-mm-dd")</f>
        <v/>
      </c>
      <c r="C68451" t="inlineStr">
        <is>
          <t>2087-04-27</t>
        </is>
      </c>
    </row>
    <row r="68452">
      <c r="A68452" s="1" t="n">
        <v>68451</v>
      </c>
      <c r="B68452">
        <f>TEXT(68451, "[$-0E0000]yyyy-mm-dd")</f>
        <v/>
      </c>
      <c r="C68452" t="inlineStr">
        <is>
          <t>2087-04-28</t>
        </is>
      </c>
    </row>
    <row r="68453">
      <c r="A68453" s="1" t="n">
        <v>68452</v>
      </c>
      <c r="B68453">
        <f>TEXT(68452, "[$-0E0000]yyyy-mm-dd")</f>
        <v/>
      </c>
      <c r="C68453" t="inlineStr">
        <is>
          <t>2087-04-29</t>
        </is>
      </c>
    </row>
    <row r="68454">
      <c r="A68454" s="1" t="n">
        <v>68453</v>
      </c>
      <c r="B68454">
        <f>TEXT(68453, "[$-0E0000]yyyy-mm-dd")</f>
        <v/>
      </c>
      <c r="C68454" t="inlineStr">
        <is>
          <t>2087-05-01</t>
        </is>
      </c>
    </row>
    <row r="68455">
      <c r="A68455" s="1" t="n">
        <v>68454</v>
      </c>
      <c r="B68455">
        <f>TEXT(68454, "[$-0E0000]yyyy-mm-dd")</f>
        <v/>
      </c>
      <c r="C68455" t="inlineStr">
        <is>
          <t>2087-05-02</t>
        </is>
      </c>
    </row>
    <row r="68456">
      <c r="A68456" s="1" t="n">
        <v>68455</v>
      </c>
      <c r="B68456">
        <f>TEXT(68455, "[$-0E0000]yyyy-mm-dd")</f>
        <v/>
      </c>
      <c r="C68456" t="inlineStr">
        <is>
          <t>2087-05-03</t>
        </is>
      </c>
    </row>
    <row r="68457">
      <c r="A68457" s="1" t="n">
        <v>68456</v>
      </c>
      <c r="B68457">
        <f>TEXT(68456, "[$-0E0000]yyyy-mm-dd")</f>
        <v/>
      </c>
      <c r="C68457" t="inlineStr">
        <is>
          <t>2087-05-04</t>
        </is>
      </c>
    </row>
    <row r="68458">
      <c r="A68458" s="1" t="n">
        <v>68457</v>
      </c>
      <c r="B68458">
        <f>TEXT(68457, "[$-0E0000]yyyy-mm-dd")</f>
        <v/>
      </c>
      <c r="C68458" t="inlineStr">
        <is>
          <t>2087-05-05</t>
        </is>
      </c>
    </row>
    <row r="68459">
      <c r="A68459" s="1" t="n">
        <v>68458</v>
      </c>
      <c r="B68459">
        <f>TEXT(68458, "[$-0E0000]yyyy-mm-dd")</f>
        <v/>
      </c>
      <c r="C68459" t="inlineStr">
        <is>
          <t>2087-05-06</t>
        </is>
      </c>
    </row>
    <row r="68460">
      <c r="A68460" s="1" t="n">
        <v>68459</v>
      </c>
      <c r="B68460">
        <f>TEXT(68459, "[$-0E0000]yyyy-mm-dd")</f>
        <v/>
      </c>
      <c r="C68460" t="inlineStr">
        <is>
          <t>2087-05-07</t>
        </is>
      </c>
    </row>
    <row r="68461">
      <c r="A68461" s="1" t="n">
        <v>68460</v>
      </c>
      <c r="B68461">
        <f>TEXT(68460, "[$-0E0000]yyyy-mm-dd")</f>
        <v/>
      </c>
      <c r="C68461" t="inlineStr">
        <is>
          <t>2087-05-08</t>
        </is>
      </c>
    </row>
    <row r="68462">
      <c r="A68462" s="1" t="n">
        <v>68461</v>
      </c>
      <c r="B68462">
        <f>TEXT(68461, "[$-0E0000]yyyy-mm-dd")</f>
        <v/>
      </c>
      <c r="C68462" t="inlineStr">
        <is>
          <t>2087-05-09</t>
        </is>
      </c>
    </row>
    <row r="68463">
      <c r="A68463" s="1" t="n">
        <v>68462</v>
      </c>
      <c r="B68463">
        <f>TEXT(68462, "[$-0E0000]yyyy-mm-dd")</f>
        <v/>
      </c>
      <c r="C68463" t="inlineStr">
        <is>
          <t>2087-05-10</t>
        </is>
      </c>
    </row>
    <row r="68464">
      <c r="A68464" s="1" t="n">
        <v>68463</v>
      </c>
      <c r="B68464">
        <f>TEXT(68463, "[$-0E0000]yyyy-mm-dd")</f>
        <v/>
      </c>
      <c r="C68464" t="inlineStr">
        <is>
          <t>2087-05-11</t>
        </is>
      </c>
    </row>
    <row r="68465">
      <c r="A68465" s="1" t="n">
        <v>68464</v>
      </c>
      <c r="B68465">
        <f>TEXT(68464, "[$-0E0000]yyyy-mm-dd")</f>
        <v/>
      </c>
      <c r="C68465" t="inlineStr">
        <is>
          <t>2087-05-12</t>
        </is>
      </c>
    </row>
    <row r="68466">
      <c r="A68466" s="1" t="n">
        <v>68465</v>
      </c>
      <c r="B68466">
        <f>TEXT(68465, "[$-0E0000]yyyy-mm-dd")</f>
        <v/>
      </c>
      <c r="C68466" t="inlineStr">
        <is>
          <t>2087-05-13</t>
        </is>
      </c>
    </row>
    <row r="68467">
      <c r="A68467" s="1" t="n">
        <v>68466</v>
      </c>
      <c r="B68467">
        <f>TEXT(68466, "[$-0E0000]yyyy-mm-dd")</f>
        <v/>
      </c>
      <c r="C68467" t="inlineStr">
        <is>
          <t>2087-05-14</t>
        </is>
      </c>
    </row>
    <row r="68468">
      <c r="A68468" s="1" t="n">
        <v>68467</v>
      </c>
      <c r="B68468">
        <f>TEXT(68467, "[$-0E0000]yyyy-mm-dd")</f>
        <v/>
      </c>
      <c r="C68468" t="inlineStr">
        <is>
          <t>2087-05-15</t>
        </is>
      </c>
    </row>
    <row r="68469">
      <c r="A68469" s="1" t="n">
        <v>68468</v>
      </c>
      <c r="B68469">
        <f>TEXT(68468, "[$-0E0000]yyyy-mm-dd")</f>
        <v/>
      </c>
      <c r="C68469" t="inlineStr">
        <is>
          <t>2087-05-16</t>
        </is>
      </c>
    </row>
    <row r="68470">
      <c r="A68470" s="1" t="n">
        <v>68469</v>
      </c>
      <c r="B68470">
        <f>TEXT(68469, "[$-0E0000]yyyy-mm-dd")</f>
        <v/>
      </c>
      <c r="C68470" t="inlineStr">
        <is>
          <t>2087-05-17</t>
        </is>
      </c>
    </row>
    <row r="68471">
      <c r="A68471" s="1" t="n">
        <v>68470</v>
      </c>
      <c r="B68471">
        <f>TEXT(68470, "[$-0E0000]yyyy-mm-dd")</f>
        <v/>
      </c>
      <c r="C68471" t="inlineStr">
        <is>
          <t>2087-05-18</t>
        </is>
      </c>
    </row>
    <row r="68472">
      <c r="A68472" s="1" t="n">
        <v>68471</v>
      </c>
      <c r="B68472">
        <f>TEXT(68471, "[$-0E0000]yyyy-mm-dd")</f>
        <v/>
      </c>
      <c r="C68472" t="inlineStr">
        <is>
          <t>2087-05-19</t>
        </is>
      </c>
    </row>
    <row r="68473">
      <c r="A68473" s="1" t="n">
        <v>68472</v>
      </c>
      <c r="B68473">
        <f>TEXT(68472, "[$-0E0000]yyyy-mm-dd")</f>
        <v/>
      </c>
      <c r="C68473" t="inlineStr">
        <is>
          <t>2087-05-20</t>
        </is>
      </c>
    </row>
    <row r="68474">
      <c r="A68474" s="1" t="n">
        <v>68473</v>
      </c>
      <c r="B68474">
        <f>TEXT(68473, "[$-0E0000]yyyy-mm-dd")</f>
        <v/>
      </c>
      <c r="C68474" t="inlineStr">
        <is>
          <t>2087-05-21</t>
        </is>
      </c>
    </row>
    <row r="68475">
      <c r="A68475" s="1" t="n">
        <v>68474</v>
      </c>
      <c r="B68475">
        <f>TEXT(68474, "[$-0E0000]yyyy-mm-dd")</f>
        <v/>
      </c>
      <c r="C68475" t="inlineStr">
        <is>
          <t>2087-05-22</t>
        </is>
      </c>
    </row>
    <row r="68476">
      <c r="A68476" s="1" t="n">
        <v>68475</v>
      </c>
      <c r="B68476">
        <f>TEXT(68475, "[$-0E0000]yyyy-mm-dd")</f>
        <v/>
      </c>
      <c r="C68476" t="inlineStr">
        <is>
          <t>2087-05-23</t>
        </is>
      </c>
    </row>
    <row r="68477">
      <c r="A68477" s="1" t="n">
        <v>68476</v>
      </c>
      <c r="B68477">
        <f>TEXT(68476, "[$-0E0000]yyyy-mm-dd")</f>
        <v/>
      </c>
      <c r="C68477" t="inlineStr">
        <is>
          <t>2087-05-24</t>
        </is>
      </c>
    </row>
    <row r="68478">
      <c r="A68478" s="1" t="n">
        <v>68477</v>
      </c>
      <c r="B68478">
        <f>TEXT(68477, "[$-0E0000]yyyy-mm-dd")</f>
        <v/>
      </c>
      <c r="C68478" t="inlineStr">
        <is>
          <t>2087-05-25</t>
        </is>
      </c>
    </row>
    <row r="68479">
      <c r="A68479" s="1" t="n">
        <v>68478</v>
      </c>
      <c r="B68479">
        <f>TEXT(68478, "[$-0E0000]yyyy-mm-dd")</f>
        <v/>
      </c>
      <c r="C68479" t="inlineStr">
        <is>
          <t>2087-05-26</t>
        </is>
      </c>
    </row>
    <row r="68480">
      <c r="A68480" s="1" t="n">
        <v>68479</v>
      </c>
      <c r="B68480">
        <f>TEXT(68479, "[$-0E0000]yyyy-mm-dd")</f>
        <v/>
      </c>
      <c r="C68480" t="inlineStr">
        <is>
          <t>2087-05-27</t>
        </is>
      </c>
    </row>
    <row r="68481">
      <c r="A68481" s="1" t="n">
        <v>68480</v>
      </c>
      <c r="B68481">
        <f>TEXT(68480, "[$-0E0000]yyyy-mm-dd")</f>
        <v/>
      </c>
      <c r="C68481" t="inlineStr">
        <is>
          <t>2087-05-28</t>
        </is>
      </c>
    </row>
    <row r="68482">
      <c r="A68482" s="1" t="n">
        <v>68481</v>
      </c>
      <c r="B68482">
        <f>TEXT(68481, "[$-0E0000]yyyy-mm-dd")</f>
        <v/>
      </c>
      <c r="C68482" t="inlineStr">
        <is>
          <t>2087-05-29</t>
        </is>
      </c>
    </row>
    <row r="68483">
      <c r="A68483" s="1" t="n">
        <v>68482</v>
      </c>
      <c r="B68483">
        <f>TEXT(68482, "[$-0E0000]yyyy-mm-dd")</f>
        <v/>
      </c>
      <c r="C68483" t="inlineStr">
        <is>
          <t>2087-06-01</t>
        </is>
      </c>
    </row>
    <row r="68484">
      <c r="A68484" s="1" t="n">
        <v>68483</v>
      </c>
      <c r="B68484">
        <f>TEXT(68483, "[$-0E0000]yyyy-mm-dd")</f>
        <v/>
      </c>
      <c r="C68484" t="inlineStr">
        <is>
          <t>2087-06-02</t>
        </is>
      </c>
    </row>
    <row r="68485">
      <c r="A68485" s="1" t="n">
        <v>68484</v>
      </c>
      <c r="B68485">
        <f>TEXT(68484, "[$-0E0000]yyyy-mm-dd")</f>
        <v/>
      </c>
      <c r="C68485" t="inlineStr">
        <is>
          <t>2087-06-03</t>
        </is>
      </c>
    </row>
    <row r="68486">
      <c r="A68486" s="1" t="n">
        <v>68485</v>
      </c>
      <c r="B68486">
        <f>TEXT(68485, "[$-0E0000]yyyy-mm-dd")</f>
        <v/>
      </c>
      <c r="C68486" t="inlineStr">
        <is>
          <t>2087-06-04</t>
        </is>
      </c>
    </row>
    <row r="68487">
      <c r="A68487" s="1" t="n">
        <v>68486</v>
      </c>
      <c r="B68487">
        <f>TEXT(68486, "[$-0E0000]yyyy-mm-dd")</f>
        <v/>
      </c>
      <c r="C68487" t="inlineStr">
        <is>
          <t>2087-06-05</t>
        </is>
      </c>
    </row>
    <row r="68488">
      <c r="A68488" s="1" t="n">
        <v>68487</v>
      </c>
      <c r="B68488">
        <f>TEXT(68487, "[$-0E0000]yyyy-mm-dd")</f>
        <v/>
      </c>
      <c r="C68488" t="inlineStr">
        <is>
          <t>2087-06-06</t>
        </is>
      </c>
    </row>
    <row r="68489">
      <c r="A68489" s="1" t="n">
        <v>68488</v>
      </c>
      <c r="B68489">
        <f>TEXT(68488, "[$-0E0000]yyyy-mm-dd")</f>
        <v/>
      </c>
      <c r="C68489" t="inlineStr">
        <is>
          <t>2087-06-07</t>
        </is>
      </c>
    </row>
    <row r="68490">
      <c r="A68490" s="1" t="n">
        <v>68489</v>
      </c>
      <c r="B68490">
        <f>TEXT(68489, "[$-0E0000]yyyy-mm-dd")</f>
        <v/>
      </c>
      <c r="C68490" t="inlineStr">
        <is>
          <t>2087-06-08</t>
        </is>
      </c>
    </row>
    <row r="68491">
      <c r="A68491" s="1" t="n">
        <v>68490</v>
      </c>
      <c r="B68491">
        <f>TEXT(68490, "[$-0E0000]yyyy-mm-dd")</f>
        <v/>
      </c>
      <c r="C68491" t="inlineStr">
        <is>
          <t>2087-06-09</t>
        </is>
      </c>
    </row>
    <row r="68492">
      <c r="A68492" s="1" t="n">
        <v>68491</v>
      </c>
      <c r="B68492">
        <f>TEXT(68491, "[$-0E0000]yyyy-mm-dd")</f>
        <v/>
      </c>
      <c r="C68492" t="inlineStr">
        <is>
          <t>2087-06-10</t>
        </is>
      </c>
    </row>
    <row r="68493">
      <c r="A68493" s="1" t="n">
        <v>68492</v>
      </c>
      <c r="B68493">
        <f>TEXT(68492, "[$-0E0000]yyyy-mm-dd")</f>
        <v/>
      </c>
      <c r="C68493" t="inlineStr">
        <is>
          <t>2087-06-11</t>
        </is>
      </c>
    </row>
    <row r="68494">
      <c r="A68494" s="1" t="n">
        <v>68493</v>
      </c>
      <c r="B68494">
        <f>TEXT(68493, "[$-0E0000]yyyy-mm-dd")</f>
        <v/>
      </c>
      <c r="C68494" t="inlineStr">
        <is>
          <t>2087-06-12</t>
        </is>
      </c>
    </row>
    <row r="68495">
      <c r="A68495" s="1" t="n">
        <v>68494</v>
      </c>
      <c r="B68495">
        <f>TEXT(68494, "[$-0E0000]yyyy-mm-dd")</f>
        <v/>
      </c>
      <c r="C68495" t="inlineStr">
        <is>
          <t>2087-06-13</t>
        </is>
      </c>
    </row>
    <row r="68496">
      <c r="A68496" s="1" t="n">
        <v>68495</v>
      </c>
      <c r="B68496">
        <f>TEXT(68495, "[$-0E0000]yyyy-mm-dd")</f>
        <v/>
      </c>
      <c r="C68496" t="inlineStr">
        <is>
          <t>2087-06-14</t>
        </is>
      </c>
    </row>
    <row r="68497">
      <c r="A68497" s="1" t="n">
        <v>68496</v>
      </c>
      <c r="B68497">
        <f>TEXT(68496, "[$-0E0000]yyyy-mm-dd")</f>
        <v/>
      </c>
      <c r="C68497" t="inlineStr">
        <is>
          <t>2087-06-15</t>
        </is>
      </c>
    </row>
    <row r="68498">
      <c r="A68498" s="1" t="n">
        <v>68497</v>
      </c>
      <c r="B68498">
        <f>TEXT(68497, "[$-0E0000]yyyy-mm-dd")</f>
        <v/>
      </c>
      <c r="C68498" t="inlineStr">
        <is>
          <t>2087-06-16</t>
        </is>
      </c>
    </row>
    <row r="68499">
      <c r="A68499" s="1" t="n">
        <v>68498</v>
      </c>
      <c r="B68499">
        <f>TEXT(68498, "[$-0E0000]yyyy-mm-dd")</f>
        <v/>
      </c>
      <c r="C68499" t="inlineStr">
        <is>
          <t>2087-06-17</t>
        </is>
      </c>
    </row>
    <row r="68500">
      <c r="A68500" s="1" t="n">
        <v>68499</v>
      </c>
      <c r="B68500">
        <f>TEXT(68499, "[$-0E0000]yyyy-mm-dd")</f>
        <v/>
      </c>
      <c r="C68500" t="inlineStr">
        <is>
          <t>2087-06-18</t>
        </is>
      </c>
    </row>
    <row r="68501">
      <c r="A68501" s="1" t="n">
        <v>68500</v>
      </c>
      <c r="B68501">
        <f>TEXT(68500, "[$-0E0000]yyyy-mm-dd")</f>
        <v/>
      </c>
      <c r="C68501" t="inlineStr">
        <is>
          <t>2087-06-19</t>
        </is>
      </c>
    </row>
    <row r="68502">
      <c r="A68502" s="1" t="n">
        <v>68501</v>
      </c>
      <c r="B68502">
        <f>TEXT(68501, "[$-0E0000]yyyy-mm-dd")</f>
        <v/>
      </c>
      <c r="C68502" t="inlineStr">
        <is>
          <t>2087-06-20</t>
        </is>
      </c>
    </row>
    <row r="68503">
      <c r="A68503" s="1" t="n">
        <v>68502</v>
      </c>
      <c r="B68503">
        <f>TEXT(68502, "[$-0E0000]yyyy-mm-dd")</f>
        <v/>
      </c>
      <c r="C68503" t="inlineStr">
        <is>
          <t>2087-06-21</t>
        </is>
      </c>
    </row>
    <row r="68504">
      <c r="A68504" s="1" t="n">
        <v>68503</v>
      </c>
      <c r="B68504">
        <f>TEXT(68503, "[$-0E0000]yyyy-mm-dd")</f>
        <v/>
      </c>
      <c r="C68504" t="inlineStr">
        <is>
          <t>2087-06-22</t>
        </is>
      </c>
    </row>
    <row r="68505">
      <c r="A68505" s="1" t="n">
        <v>68504</v>
      </c>
      <c r="B68505">
        <f>TEXT(68504, "[$-0E0000]yyyy-mm-dd")</f>
        <v/>
      </c>
      <c r="C68505" t="inlineStr">
        <is>
          <t>2087-06-23</t>
        </is>
      </c>
    </row>
    <row r="68506">
      <c r="A68506" s="1" t="n">
        <v>68505</v>
      </c>
      <c r="B68506">
        <f>TEXT(68505, "[$-0E0000]yyyy-mm-dd")</f>
        <v/>
      </c>
      <c r="C68506" t="inlineStr">
        <is>
          <t>2087-06-24</t>
        </is>
      </c>
    </row>
    <row r="68507">
      <c r="A68507" s="1" t="n">
        <v>68506</v>
      </c>
      <c r="B68507">
        <f>TEXT(68506, "[$-0E0000]yyyy-mm-dd")</f>
        <v/>
      </c>
      <c r="C68507" t="inlineStr">
        <is>
          <t>2087-06-25</t>
        </is>
      </c>
    </row>
    <row r="68508">
      <c r="A68508" s="1" t="n">
        <v>68507</v>
      </c>
      <c r="B68508">
        <f>TEXT(68507, "[$-0E0000]yyyy-mm-dd")</f>
        <v/>
      </c>
      <c r="C68508" t="inlineStr">
        <is>
          <t>2087-06-26</t>
        </is>
      </c>
    </row>
    <row r="68509">
      <c r="A68509" s="1" t="n">
        <v>68508</v>
      </c>
      <c r="B68509">
        <f>TEXT(68508, "[$-0E0000]yyyy-mm-dd")</f>
        <v/>
      </c>
      <c r="C68509" t="inlineStr">
        <is>
          <t>2087-06-27</t>
        </is>
      </c>
    </row>
    <row r="68510">
      <c r="A68510" s="1" t="n">
        <v>68509</v>
      </c>
      <c r="B68510">
        <f>TEXT(68509, "[$-0E0000]yyyy-mm-dd")</f>
        <v/>
      </c>
      <c r="C68510" t="inlineStr">
        <is>
          <t>2087-06-28</t>
        </is>
      </c>
    </row>
    <row r="68511">
      <c r="A68511" s="1" t="n">
        <v>68510</v>
      </c>
      <c r="B68511">
        <f>TEXT(68510, "[$-0E0000]yyyy-mm-dd")</f>
        <v/>
      </c>
      <c r="C68511" t="inlineStr">
        <is>
          <t>2087-06-29</t>
        </is>
      </c>
    </row>
    <row r="68512">
      <c r="A68512" s="1" t="n">
        <v>68511</v>
      </c>
      <c r="B68512">
        <f>TEXT(68511, "[$-0E0000]yyyy-mm-dd")</f>
        <v/>
      </c>
      <c r="C68512" t="inlineStr">
        <is>
          <t>2087-06-30</t>
        </is>
      </c>
    </row>
    <row r="68513">
      <c r="A68513" s="1" t="n">
        <v>68512</v>
      </c>
      <c r="B68513">
        <f>TEXT(68512, "[$-0E0000]yyyy-mm-dd")</f>
        <v/>
      </c>
      <c r="C68513" t="inlineStr">
        <is>
          <t>2087-07-01</t>
        </is>
      </c>
    </row>
    <row r="68514">
      <c r="A68514" s="1" t="n">
        <v>68513</v>
      </c>
      <c r="B68514">
        <f>TEXT(68513, "[$-0E0000]yyyy-mm-dd")</f>
        <v/>
      </c>
      <c r="C68514" t="inlineStr">
        <is>
          <t>2087-07-02</t>
        </is>
      </c>
    </row>
    <row r="68515">
      <c r="A68515" s="1" t="n">
        <v>68514</v>
      </c>
      <c r="B68515">
        <f>TEXT(68514, "[$-0E0000]yyyy-mm-dd")</f>
        <v/>
      </c>
      <c r="C68515" t="inlineStr">
        <is>
          <t>2087-07-03</t>
        </is>
      </c>
    </row>
    <row r="68516">
      <c r="A68516" s="1" t="n">
        <v>68515</v>
      </c>
      <c r="B68516">
        <f>TEXT(68515, "[$-0E0000]yyyy-mm-dd")</f>
        <v/>
      </c>
      <c r="C68516" t="inlineStr">
        <is>
          <t>2087-07-04</t>
        </is>
      </c>
    </row>
    <row r="68517">
      <c r="A68517" s="1" t="n">
        <v>68516</v>
      </c>
      <c r="B68517">
        <f>TEXT(68516, "[$-0E0000]yyyy-mm-dd")</f>
        <v/>
      </c>
      <c r="C68517" t="inlineStr">
        <is>
          <t>2087-07-05</t>
        </is>
      </c>
    </row>
    <row r="68518">
      <c r="A68518" s="1" t="n">
        <v>68517</v>
      </c>
      <c r="B68518">
        <f>TEXT(68517, "[$-0E0000]yyyy-mm-dd")</f>
        <v/>
      </c>
      <c r="C68518" t="inlineStr">
        <is>
          <t>2087-07-06</t>
        </is>
      </c>
    </row>
    <row r="68519">
      <c r="A68519" s="1" t="n">
        <v>68518</v>
      </c>
      <c r="B68519">
        <f>TEXT(68518, "[$-0E0000]yyyy-mm-dd")</f>
        <v/>
      </c>
      <c r="C68519" t="inlineStr">
        <is>
          <t>2087-07-07</t>
        </is>
      </c>
    </row>
    <row r="68520">
      <c r="A68520" s="1" t="n">
        <v>68519</v>
      </c>
      <c r="B68520">
        <f>TEXT(68519, "[$-0E0000]yyyy-mm-dd")</f>
        <v/>
      </c>
      <c r="C68520" t="inlineStr">
        <is>
          <t>2087-07-08</t>
        </is>
      </c>
    </row>
    <row r="68521">
      <c r="A68521" s="1" t="n">
        <v>68520</v>
      </c>
      <c r="B68521">
        <f>TEXT(68520, "[$-0E0000]yyyy-mm-dd")</f>
        <v/>
      </c>
      <c r="C68521" t="inlineStr">
        <is>
          <t>2087-07-09</t>
        </is>
      </c>
    </row>
    <row r="68522">
      <c r="A68522" s="1" t="n">
        <v>68521</v>
      </c>
      <c r="B68522">
        <f>TEXT(68521, "[$-0E0000]yyyy-mm-dd")</f>
        <v/>
      </c>
      <c r="C68522" t="inlineStr">
        <is>
          <t>2087-07-10</t>
        </is>
      </c>
    </row>
    <row r="68523">
      <c r="A68523" s="1" t="n">
        <v>68522</v>
      </c>
      <c r="B68523">
        <f>TEXT(68522, "[$-0E0000]yyyy-mm-dd")</f>
        <v/>
      </c>
      <c r="C68523" t="inlineStr">
        <is>
          <t>2087-07-11</t>
        </is>
      </c>
    </row>
    <row r="68524">
      <c r="A68524" s="1" t="n">
        <v>68523</v>
      </c>
      <c r="B68524">
        <f>TEXT(68523, "[$-0E0000]yyyy-mm-dd")</f>
        <v/>
      </c>
      <c r="C68524" t="inlineStr">
        <is>
          <t>2087-07-12</t>
        </is>
      </c>
    </row>
    <row r="68525">
      <c r="A68525" s="1" t="n">
        <v>68524</v>
      </c>
      <c r="B68525">
        <f>TEXT(68524, "[$-0E0000]yyyy-mm-dd")</f>
        <v/>
      </c>
      <c r="C68525" t="inlineStr">
        <is>
          <t>2087-07-13</t>
        </is>
      </c>
    </row>
    <row r="68526">
      <c r="A68526" s="1" t="n">
        <v>68525</v>
      </c>
      <c r="B68526">
        <f>TEXT(68525, "[$-0E0000]yyyy-mm-dd")</f>
        <v/>
      </c>
      <c r="C68526" t="inlineStr">
        <is>
          <t>2087-07-14</t>
        </is>
      </c>
    </row>
    <row r="68527">
      <c r="A68527" s="1" t="n">
        <v>68526</v>
      </c>
      <c r="B68527">
        <f>TEXT(68526, "[$-0E0000]yyyy-mm-dd")</f>
        <v/>
      </c>
      <c r="C68527" t="inlineStr">
        <is>
          <t>2087-07-15</t>
        </is>
      </c>
    </row>
    <row r="68528">
      <c r="A68528" s="1" t="n">
        <v>68527</v>
      </c>
      <c r="B68528">
        <f>TEXT(68527, "[$-0E0000]yyyy-mm-dd")</f>
        <v/>
      </c>
      <c r="C68528" t="inlineStr">
        <is>
          <t>2087-07-16</t>
        </is>
      </c>
    </row>
    <row r="68529">
      <c r="A68529" s="1" t="n">
        <v>68528</v>
      </c>
      <c r="B68529">
        <f>TEXT(68528, "[$-0E0000]yyyy-mm-dd")</f>
        <v/>
      </c>
      <c r="C68529" t="inlineStr">
        <is>
          <t>2087-07-17</t>
        </is>
      </c>
    </row>
    <row r="68530">
      <c r="A68530" s="1" t="n">
        <v>68529</v>
      </c>
      <c r="B68530">
        <f>TEXT(68529, "[$-0E0000]yyyy-mm-dd")</f>
        <v/>
      </c>
      <c r="C68530" t="inlineStr">
        <is>
          <t>2087-07-18</t>
        </is>
      </c>
    </row>
    <row r="68531">
      <c r="A68531" s="1" t="n">
        <v>68530</v>
      </c>
      <c r="B68531">
        <f>TEXT(68530, "[$-0E0000]yyyy-mm-dd")</f>
        <v/>
      </c>
      <c r="C68531" t="inlineStr">
        <is>
          <t>2087-07-19</t>
        </is>
      </c>
    </row>
    <row r="68532">
      <c r="A68532" s="1" t="n">
        <v>68531</v>
      </c>
      <c r="B68532">
        <f>TEXT(68531, "[$-0E0000]yyyy-mm-dd")</f>
        <v/>
      </c>
      <c r="C68532" t="inlineStr">
        <is>
          <t>2087-07-20</t>
        </is>
      </c>
    </row>
    <row r="68533">
      <c r="A68533" s="1" t="n">
        <v>68532</v>
      </c>
      <c r="B68533">
        <f>TEXT(68532, "[$-0E0000]yyyy-mm-dd")</f>
        <v/>
      </c>
      <c r="C68533" t="inlineStr">
        <is>
          <t>2087-07-21</t>
        </is>
      </c>
    </row>
    <row r="68534">
      <c r="A68534" s="1" t="n">
        <v>68533</v>
      </c>
      <c r="B68534">
        <f>TEXT(68533, "[$-0E0000]yyyy-mm-dd")</f>
        <v/>
      </c>
      <c r="C68534" t="inlineStr">
        <is>
          <t>2087-07-22</t>
        </is>
      </c>
    </row>
    <row r="68535">
      <c r="A68535" s="1" t="n">
        <v>68534</v>
      </c>
      <c r="B68535">
        <f>TEXT(68534, "[$-0E0000]yyyy-mm-dd")</f>
        <v/>
      </c>
      <c r="C68535" t="inlineStr">
        <is>
          <t>2087-07-23</t>
        </is>
      </c>
    </row>
    <row r="68536">
      <c r="A68536" s="1" t="n">
        <v>68535</v>
      </c>
      <c r="B68536">
        <f>TEXT(68535, "[$-0E0000]yyyy-mm-dd")</f>
        <v/>
      </c>
      <c r="C68536" t="inlineStr">
        <is>
          <t>2087-07-24</t>
        </is>
      </c>
    </row>
    <row r="68537">
      <c r="A68537" s="1" t="n">
        <v>68536</v>
      </c>
      <c r="B68537">
        <f>TEXT(68536, "[$-0E0000]yyyy-mm-dd")</f>
        <v/>
      </c>
      <c r="C68537" t="inlineStr">
        <is>
          <t>2087-07-25</t>
        </is>
      </c>
    </row>
    <row r="68538">
      <c r="A68538" s="1" t="n">
        <v>68537</v>
      </c>
      <c r="B68538">
        <f>TEXT(68537, "[$-0E0000]yyyy-mm-dd")</f>
        <v/>
      </c>
      <c r="C68538" t="inlineStr">
        <is>
          <t>2087-07-26</t>
        </is>
      </c>
    </row>
    <row r="68539">
      <c r="A68539" s="1" t="n">
        <v>68538</v>
      </c>
      <c r="B68539">
        <f>TEXT(68538, "[$-0E0000]yyyy-mm-dd")</f>
        <v/>
      </c>
      <c r="C68539" t="inlineStr">
        <is>
          <t>2087-07-27</t>
        </is>
      </c>
    </row>
    <row r="68540">
      <c r="A68540" s="1" t="n">
        <v>68539</v>
      </c>
      <c r="B68540">
        <f>TEXT(68539, "[$-0E0000]yyyy-mm-dd")</f>
        <v/>
      </c>
      <c r="C68540" t="inlineStr">
        <is>
          <t>2087-07-28</t>
        </is>
      </c>
    </row>
    <row r="68541">
      <c r="A68541" s="1" t="n">
        <v>68540</v>
      </c>
      <c r="B68541">
        <f>TEXT(68540, "[$-0E0000]yyyy-mm-dd")</f>
        <v/>
      </c>
      <c r="C68541" t="inlineStr">
        <is>
          <t>2087-07-29</t>
        </is>
      </c>
    </row>
    <row r="68542">
      <c r="A68542" s="1" t="n">
        <v>68541</v>
      </c>
      <c r="B68542">
        <f>TEXT(68541, "[$-0E0000]yyyy-mm-dd")</f>
        <v/>
      </c>
      <c r="C68542" t="inlineStr">
        <is>
          <t>2087-08-01</t>
        </is>
      </c>
    </row>
    <row r="68543">
      <c r="A68543" s="1" t="n">
        <v>68542</v>
      </c>
      <c r="B68543">
        <f>TEXT(68542, "[$-0E0000]yyyy-mm-dd")</f>
        <v/>
      </c>
      <c r="C68543" t="inlineStr">
        <is>
          <t>2087-08-02</t>
        </is>
      </c>
    </row>
    <row r="68544">
      <c r="A68544" s="1" t="n">
        <v>68543</v>
      </c>
      <c r="B68544">
        <f>TEXT(68543, "[$-0E0000]yyyy-mm-dd")</f>
        <v/>
      </c>
      <c r="C68544" t="inlineStr">
        <is>
          <t>2087-08-03</t>
        </is>
      </c>
    </row>
    <row r="68545">
      <c r="A68545" s="1" t="n">
        <v>68544</v>
      </c>
      <c r="B68545">
        <f>TEXT(68544, "[$-0E0000]yyyy-mm-dd")</f>
        <v/>
      </c>
      <c r="C68545" t="inlineStr">
        <is>
          <t>2087-08-04</t>
        </is>
      </c>
    </row>
    <row r="68546">
      <c r="A68546" s="1" t="n">
        <v>68545</v>
      </c>
      <c r="B68546">
        <f>TEXT(68545, "[$-0E0000]yyyy-mm-dd")</f>
        <v/>
      </c>
      <c r="C68546" t="inlineStr">
        <is>
          <t>2087-08-05</t>
        </is>
      </c>
    </row>
    <row r="68547">
      <c r="A68547" s="1" t="n">
        <v>68546</v>
      </c>
      <c r="B68547">
        <f>TEXT(68546, "[$-0E0000]yyyy-mm-dd")</f>
        <v/>
      </c>
      <c r="C68547" t="inlineStr">
        <is>
          <t>2087-08-06</t>
        </is>
      </c>
    </row>
    <row r="68548">
      <c r="A68548" s="1" t="n">
        <v>68547</v>
      </c>
      <c r="B68548">
        <f>TEXT(68547, "[$-0E0000]yyyy-mm-dd")</f>
        <v/>
      </c>
      <c r="C68548" t="inlineStr">
        <is>
          <t>2087-08-07</t>
        </is>
      </c>
    </row>
    <row r="68549">
      <c r="A68549" s="1" t="n">
        <v>68548</v>
      </c>
      <c r="B68549">
        <f>TEXT(68548, "[$-0E0000]yyyy-mm-dd")</f>
        <v/>
      </c>
      <c r="C68549" t="inlineStr">
        <is>
          <t>2087-08-08</t>
        </is>
      </c>
    </row>
    <row r="68550">
      <c r="A68550" s="1" t="n">
        <v>68549</v>
      </c>
      <c r="B68550">
        <f>TEXT(68549, "[$-0E0000]yyyy-mm-dd")</f>
        <v/>
      </c>
      <c r="C68550" t="inlineStr">
        <is>
          <t>2087-08-09</t>
        </is>
      </c>
    </row>
    <row r="68551">
      <c r="A68551" s="1" t="n">
        <v>68550</v>
      </c>
      <c r="B68551">
        <f>TEXT(68550, "[$-0E0000]yyyy-mm-dd")</f>
        <v/>
      </c>
      <c r="C68551" t="inlineStr">
        <is>
          <t>2087-08-10</t>
        </is>
      </c>
    </row>
    <row r="68552">
      <c r="A68552" s="1" t="n">
        <v>68551</v>
      </c>
      <c r="B68552">
        <f>TEXT(68551, "[$-0E0000]yyyy-mm-dd")</f>
        <v/>
      </c>
      <c r="C68552" t="inlineStr">
        <is>
          <t>2087-08-11</t>
        </is>
      </c>
    </row>
    <row r="68553">
      <c r="A68553" s="1" t="n">
        <v>68552</v>
      </c>
      <c r="B68553">
        <f>TEXT(68552, "[$-0E0000]yyyy-mm-dd")</f>
        <v/>
      </c>
      <c r="C68553" t="inlineStr">
        <is>
          <t>2087-08-12</t>
        </is>
      </c>
    </row>
    <row r="68554">
      <c r="A68554" s="1" t="n">
        <v>68553</v>
      </c>
      <c r="B68554">
        <f>TEXT(68553, "[$-0E0000]yyyy-mm-dd")</f>
        <v/>
      </c>
      <c r="C68554" t="inlineStr">
        <is>
          <t>2087-08-13</t>
        </is>
      </c>
    </row>
    <row r="68555">
      <c r="A68555" s="1" t="n">
        <v>68554</v>
      </c>
      <c r="B68555">
        <f>TEXT(68554, "[$-0E0000]yyyy-mm-dd")</f>
        <v/>
      </c>
      <c r="C68555" t="inlineStr">
        <is>
          <t>2087-08-14</t>
        </is>
      </c>
    </row>
    <row r="68556">
      <c r="A68556" s="1" t="n">
        <v>68555</v>
      </c>
      <c r="B68556">
        <f>TEXT(68555, "[$-0E0000]yyyy-mm-dd")</f>
        <v/>
      </c>
      <c r="C68556" t="inlineStr">
        <is>
          <t>2087-08-15</t>
        </is>
      </c>
    </row>
    <row r="68557">
      <c r="A68557" s="1" t="n">
        <v>68556</v>
      </c>
      <c r="B68557">
        <f>TEXT(68556, "[$-0E0000]yyyy-mm-dd")</f>
        <v/>
      </c>
      <c r="C68557" t="inlineStr">
        <is>
          <t>2087-08-16</t>
        </is>
      </c>
    </row>
    <row r="68558">
      <c r="A68558" s="1" t="n">
        <v>68557</v>
      </c>
      <c r="B68558">
        <f>TEXT(68557, "[$-0E0000]yyyy-mm-dd")</f>
        <v/>
      </c>
      <c r="C68558" t="inlineStr">
        <is>
          <t>2087-08-17</t>
        </is>
      </c>
    </row>
    <row r="68559">
      <c r="A68559" s="1" t="n">
        <v>68558</v>
      </c>
      <c r="B68559">
        <f>TEXT(68558, "[$-0E0000]yyyy-mm-dd")</f>
        <v/>
      </c>
      <c r="C68559" t="inlineStr">
        <is>
          <t>2087-08-18</t>
        </is>
      </c>
    </row>
    <row r="68560">
      <c r="A68560" s="1" t="n">
        <v>68559</v>
      </c>
      <c r="B68560">
        <f>TEXT(68559, "[$-0E0000]yyyy-mm-dd")</f>
        <v/>
      </c>
      <c r="C68560" t="inlineStr">
        <is>
          <t>2087-08-19</t>
        </is>
      </c>
    </row>
    <row r="68561">
      <c r="A68561" s="1" t="n">
        <v>68560</v>
      </c>
      <c r="B68561">
        <f>TEXT(68560, "[$-0E0000]yyyy-mm-dd")</f>
        <v/>
      </c>
      <c r="C68561" t="inlineStr">
        <is>
          <t>2087-08-20</t>
        </is>
      </c>
    </row>
    <row r="68562">
      <c r="A68562" s="1" t="n">
        <v>68561</v>
      </c>
      <c r="B68562">
        <f>TEXT(68561, "[$-0E0000]yyyy-mm-dd")</f>
        <v/>
      </c>
      <c r="C68562" t="inlineStr">
        <is>
          <t>2087-08-21</t>
        </is>
      </c>
    </row>
    <row r="68563">
      <c r="A68563" s="1" t="n">
        <v>68562</v>
      </c>
      <c r="B68563">
        <f>TEXT(68562, "[$-0E0000]yyyy-mm-dd")</f>
        <v/>
      </c>
      <c r="C68563" t="inlineStr">
        <is>
          <t>2087-08-22</t>
        </is>
      </c>
    </row>
    <row r="68564">
      <c r="A68564" s="1" t="n">
        <v>68563</v>
      </c>
      <c r="B68564">
        <f>TEXT(68563, "[$-0E0000]yyyy-mm-dd")</f>
        <v/>
      </c>
      <c r="C68564" t="inlineStr">
        <is>
          <t>2087-08-23</t>
        </is>
      </c>
    </row>
    <row r="68565">
      <c r="A68565" s="1" t="n">
        <v>68564</v>
      </c>
      <c r="B68565">
        <f>TEXT(68564, "[$-0E0000]yyyy-mm-dd")</f>
        <v/>
      </c>
      <c r="C68565" t="inlineStr">
        <is>
          <t>2087-08-24</t>
        </is>
      </c>
    </row>
    <row r="68566">
      <c r="A68566" s="1" t="n">
        <v>68565</v>
      </c>
      <c r="B68566">
        <f>TEXT(68565, "[$-0E0000]yyyy-mm-dd")</f>
        <v/>
      </c>
      <c r="C68566" t="inlineStr">
        <is>
          <t>2087-08-25</t>
        </is>
      </c>
    </row>
    <row r="68567">
      <c r="A68567" s="1" t="n">
        <v>68566</v>
      </c>
      <c r="B68567">
        <f>TEXT(68566, "[$-0E0000]yyyy-mm-dd")</f>
        <v/>
      </c>
      <c r="C68567" t="inlineStr">
        <is>
          <t>2087-08-26</t>
        </is>
      </c>
    </row>
    <row r="68568">
      <c r="A68568" s="1" t="n">
        <v>68567</v>
      </c>
      <c r="B68568">
        <f>TEXT(68567, "[$-0E0000]yyyy-mm-dd")</f>
        <v/>
      </c>
      <c r="C68568" t="inlineStr">
        <is>
          <t>2087-08-27</t>
        </is>
      </c>
    </row>
    <row r="68569">
      <c r="A68569" s="1" t="n">
        <v>68568</v>
      </c>
      <c r="B68569">
        <f>TEXT(68568, "[$-0E0000]yyyy-mm-dd")</f>
        <v/>
      </c>
      <c r="C68569" t="inlineStr">
        <is>
          <t>2087-08-28</t>
        </is>
      </c>
    </row>
    <row r="68570">
      <c r="A68570" s="1" t="n">
        <v>68569</v>
      </c>
      <c r="B68570">
        <f>TEXT(68569, "[$-0E0000]yyyy-mm-dd")</f>
        <v/>
      </c>
      <c r="C68570" t="inlineStr">
        <is>
          <t>2087-08-29</t>
        </is>
      </c>
    </row>
    <row r="68571">
      <c r="A68571" s="1" t="n">
        <v>68570</v>
      </c>
      <c r="B68571">
        <f>TEXT(68570, "[$-0E0000]yyyy-mm-dd")</f>
        <v/>
      </c>
      <c r="C68571" t="inlineStr">
        <is>
          <t>2087-08-30</t>
        </is>
      </c>
    </row>
    <row r="68572">
      <c r="A68572" s="1" t="n">
        <v>68571</v>
      </c>
      <c r="B68572">
        <f>TEXT(68571, "[$-0E0000]yyyy-mm-dd")</f>
        <v/>
      </c>
      <c r="C68572" t="inlineStr">
        <is>
          <t>2087-09-01</t>
        </is>
      </c>
    </row>
    <row r="68573">
      <c r="A68573" s="1" t="n">
        <v>68572</v>
      </c>
      <c r="B68573">
        <f>TEXT(68572, "[$-0E0000]yyyy-mm-dd")</f>
        <v/>
      </c>
      <c r="C68573" t="inlineStr">
        <is>
          <t>2087-09-02</t>
        </is>
      </c>
    </row>
    <row r="68574">
      <c r="A68574" s="1" t="n">
        <v>68573</v>
      </c>
      <c r="B68574">
        <f>TEXT(68573, "[$-0E0000]yyyy-mm-dd")</f>
        <v/>
      </c>
      <c r="C68574" t="inlineStr">
        <is>
          <t>2087-09-03</t>
        </is>
      </c>
    </row>
    <row r="68575">
      <c r="A68575" s="1" t="n">
        <v>68574</v>
      </c>
      <c r="B68575">
        <f>TEXT(68574, "[$-0E0000]yyyy-mm-dd")</f>
        <v/>
      </c>
      <c r="C68575" t="inlineStr">
        <is>
          <t>2087-09-04</t>
        </is>
      </c>
    </row>
    <row r="68576">
      <c r="A68576" s="1" t="n">
        <v>68575</v>
      </c>
      <c r="B68576">
        <f>TEXT(68575, "[$-0E0000]yyyy-mm-dd")</f>
        <v/>
      </c>
      <c r="C68576" t="inlineStr">
        <is>
          <t>2087-09-05</t>
        </is>
      </c>
    </row>
    <row r="68577">
      <c r="A68577" s="1" t="n">
        <v>68576</v>
      </c>
      <c r="B68577">
        <f>TEXT(68576, "[$-0E0000]yyyy-mm-dd")</f>
        <v/>
      </c>
      <c r="C68577" t="inlineStr">
        <is>
          <t>2087-09-06</t>
        </is>
      </c>
    </row>
    <row r="68578">
      <c r="A68578" s="1" t="n">
        <v>68577</v>
      </c>
      <c r="B68578">
        <f>TEXT(68577, "[$-0E0000]yyyy-mm-dd")</f>
        <v/>
      </c>
      <c r="C68578" t="inlineStr">
        <is>
          <t>2087-09-07</t>
        </is>
      </c>
    </row>
    <row r="68579">
      <c r="A68579" s="1" t="n">
        <v>68578</v>
      </c>
      <c r="B68579">
        <f>TEXT(68578, "[$-0E0000]yyyy-mm-dd")</f>
        <v/>
      </c>
      <c r="C68579" t="inlineStr">
        <is>
          <t>2087-09-08</t>
        </is>
      </c>
    </row>
    <row r="68580">
      <c r="A68580" s="1" t="n">
        <v>68579</v>
      </c>
      <c r="B68580">
        <f>TEXT(68579, "[$-0E0000]yyyy-mm-dd")</f>
        <v/>
      </c>
      <c r="C68580" t="inlineStr">
        <is>
          <t>2087-09-09</t>
        </is>
      </c>
    </row>
    <row r="68581">
      <c r="A68581" s="1" t="n">
        <v>68580</v>
      </c>
      <c r="B68581">
        <f>TEXT(68580, "[$-0E0000]yyyy-mm-dd")</f>
        <v/>
      </c>
      <c r="C68581" t="inlineStr">
        <is>
          <t>2087-09-10</t>
        </is>
      </c>
    </row>
    <row r="68582">
      <c r="A68582" s="1" t="n">
        <v>68581</v>
      </c>
      <c r="B68582">
        <f>TEXT(68581, "[$-0E0000]yyyy-mm-dd")</f>
        <v/>
      </c>
      <c r="C68582" t="inlineStr">
        <is>
          <t>2087-09-11</t>
        </is>
      </c>
    </row>
    <row r="68583">
      <c r="A68583" s="1" t="n">
        <v>68582</v>
      </c>
      <c r="B68583">
        <f>TEXT(68582, "[$-0E0000]yyyy-mm-dd")</f>
        <v/>
      </c>
      <c r="C68583" t="inlineStr">
        <is>
          <t>2087-09-12</t>
        </is>
      </c>
    </row>
    <row r="68584">
      <c r="A68584" s="1" t="n">
        <v>68583</v>
      </c>
      <c r="B68584">
        <f>TEXT(68583, "[$-0E0000]yyyy-mm-dd")</f>
        <v/>
      </c>
      <c r="C68584" t="inlineStr">
        <is>
          <t>2087-09-13</t>
        </is>
      </c>
    </row>
    <row r="68585">
      <c r="A68585" s="1" t="n">
        <v>68584</v>
      </c>
      <c r="B68585">
        <f>TEXT(68584, "[$-0E0000]yyyy-mm-dd")</f>
        <v/>
      </c>
      <c r="C68585" t="inlineStr">
        <is>
          <t>2087-09-14</t>
        </is>
      </c>
    </row>
    <row r="68586">
      <c r="A68586" s="1" t="n">
        <v>68585</v>
      </c>
      <c r="B68586">
        <f>TEXT(68585, "[$-0E0000]yyyy-mm-dd")</f>
        <v/>
      </c>
      <c r="C68586" t="inlineStr">
        <is>
          <t>2087-09-15</t>
        </is>
      </c>
    </row>
    <row r="68587">
      <c r="A68587" s="1" t="n">
        <v>68586</v>
      </c>
      <c r="B68587">
        <f>TEXT(68586, "[$-0E0000]yyyy-mm-dd")</f>
        <v/>
      </c>
      <c r="C68587" t="inlineStr">
        <is>
          <t>2087-09-16</t>
        </is>
      </c>
    </row>
    <row r="68588">
      <c r="A68588" s="1" t="n">
        <v>68587</v>
      </c>
      <c r="B68588">
        <f>TEXT(68587, "[$-0E0000]yyyy-mm-dd")</f>
        <v/>
      </c>
      <c r="C68588" t="inlineStr">
        <is>
          <t>2087-09-17</t>
        </is>
      </c>
    </row>
    <row r="68589">
      <c r="A68589" s="1" t="n">
        <v>68588</v>
      </c>
      <c r="B68589">
        <f>TEXT(68588, "[$-0E0000]yyyy-mm-dd")</f>
        <v/>
      </c>
      <c r="C68589" t="inlineStr">
        <is>
          <t>2087-09-18</t>
        </is>
      </c>
    </row>
    <row r="68590">
      <c r="A68590" s="1" t="n">
        <v>68589</v>
      </c>
      <c r="B68590">
        <f>TEXT(68589, "[$-0E0000]yyyy-mm-dd")</f>
        <v/>
      </c>
      <c r="C68590" t="inlineStr">
        <is>
          <t>2087-09-19</t>
        </is>
      </c>
    </row>
    <row r="68591">
      <c r="A68591" s="1" t="n">
        <v>68590</v>
      </c>
      <c r="B68591">
        <f>TEXT(68590, "[$-0E0000]yyyy-mm-dd")</f>
        <v/>
      </c>
      <c r="C68591" t="inlineStr">
        <is>
          <t>2087-09-20</t>
        </is>
      </c>
    </row>
    <row r="68592">
      <c r="A68592" s="1" t="n">
        <v>68591</v>
      </c>
      <c r="B68592">
        <f>TEXT(68591, "[$-0E0000]yyyy-mm-dd")</f>
        <v/>
      </c>
      <c r="C68592" t="inlineStr">
        <is>
          <t>2087-09-21</t>
        </is>
      </c>
    </row>
    <row r="68593">
      <c r="A68593" s="1" t="n">
        <v>68592</v>
      </c>
      <c r="B68593">
        <f>TEXT(68592, "[$-0E0000]yyyy-mm-dd")</f>
        <v/>
      </c>
      <c r="C68593" t="inlineStr">
        <is>
          <t>2087-09-22</t>
        </is>
      </c>
    </row>
    <row r="68594">
      <c r="A68594" s="1" t="n">
        <v>68593</v>
      </c>
      <c r="B68594">
        <f>TEXT(68593, "[$-0E0000]yyyy-mm-dd")</f>
        <v/>
      </c>
      <c r="C68594" t="inlineStr">
        <is>
          <t>2087-09-23</t>
        </is>
      </c>
    </row>
    <row r="68595">
      <c r="A68595" s="1" t="n">
        <v>68594</v>
      </c>
      <c r="B68595">
        <f>TEXT(68594, "[$-0E0000]yyyy-mm-dd")</f>
        <v/>
      </c>
      <c r="C68595" t="inlineStr">
        <is>
          <t>2087-09-24</t>
        </is>
      </c>
    </row>
    <row r="68596">
      <c r="A68596" s="1" t="n">
        <v>68595</v>
      </c>
      <c r="B68596">
        <f>TEXT(68595, "[$-0E0000]yyyy-mm-dd")</f>
        <v/>
      </c>
      <c r="C68596" t="inlineStr">
        <is>
          <t>2087-09-25</t>
        </is>
      </c>
    </row>
    <row r="68597">
      <c r="A68597" s="1" t="n">
        <v>68596</v>
      </c>
      <c r="B68597">
        <f>TEXT(68596, "[$-0E0000]yyyy-mm-dd")</f>
        <v/>
      </c>
      <c r="C68597" t="inlineStr">
        <is>
          <t>2087-09-26</t>
        </is>
      </c>
    </row>
    <row r="68598">
      <c r="A68598" s="1" t="n">
        <v>68597</v>
      </c>
      <c r="B68598">
        <f>TEXT(68597, "[$-0E0000]yyyy-mm-dd")</f>
        <v/>
      </c>
      <c r="C68598" t="inlineStr">
        <is>
          <t>2087-09-27</t>
        </is>
      </c>
    </row>
    <row r="68599">
      <c r="A68599" s="1" t="n">
        <v>68598</v>
      </c>
      <c r="B68599">
        <f>TEXT(68598, "[$-0E0000]yyyy-mm-dd")</f>
        <v/>
      </c>
      <c r="C68599" t="inlineStr">
        <is>
          <t>2087-09-28</t>
        </is>
      </c>
    </row>
    <row r="68600">
      <c r="A68600" s="1" t="n">
        <v>68599</v>
      </c>
      <c r="B68600">
        <f>TEXT(68599, "[$-0E0000]yyyy-mm-dd")</f>
        <v/>
      </c>
      <c r="C68600" t="inlineStr">
        <is>
          <t>2087-09-29</t>
        </is>
      </c>
    </row>
    <row r="68601">
      <c r="A68601" s="1" t="n">
        <v>68600</v>
      </c>
      <c r="B68601">
        <f>TEXT(68600, "[$-0E0000]yyyy-mm-dd")</f>
        <v/>
      </c>
      <c r="C68601" t="inlineStr">
        <is>
          <t>2087-10-01</t>
        </is>
      </c>
    </row>
    <row r="68602">
      <c r="A68602" s="1" t="n">
        <v>68601</v>
      </c>
      <c r="B68602">
        <f>TEXT(68601, "[$-0E0000]yyyy-mm-dd")</f>
        <v/>
      </c>
      <c r="C68602" t="inlineStr">
        <is>
          <t>2087-10-02</t>
        </is>
      </c>
    </row>
    <row r="68603">
      <c r="A68603" s="1" t="n">
        <v>68602</v>
      </c>
      <c r="B68603">
        <f>TEXT(68602, "[$-0E0000]yyyy-mm-dd")</f>
        <v/>
      </c>
      <c r="C68603" t="inlineStr">
        <is>
          <t>2087-10-03</t>
        </is>
      </c>
    </row>
    <row r="68604">
      <c r="A68604" s="1" t="n">
        <v>68603</v>
      </c>
      <c r="B68604">
        <f>TEXT(68603, "[$-0E0000]yyyy-mm-dd")</f>
        <v/>
      </c>
      <c r="C68604" t="inlineStr">
        <is>
          <t>2087-10-04</t>
        </is>
      </c>
    </row>
    <row r="68605">
      <c r="A68605" s="1" t="n">
        <v>68604</v>
      </c>
      <c r="B68605">
        <f>TEXT(68604, "[$-0E0000]yyyy-mm-dd")</f>
        <v/>
      </c>
      <c r="C68605" t="inlineStr">
        <is>
          <t>2087-10-05</t>
        </is>
      </c>
    </row>
    <row r="68606">
      <c r="A68606" s="1" t="n">
        <v>68605</v>
      </c>
      <c r="B68606">
        <f>TEXT(68605, "[$-0E0000]yyyy-mm-dd")</f>
        <v/>
      </c>
      <c r="C68606" t="inlineStr">
        <is>
          <t>2087-10-06</t>
        </is>
      </c>
    </row>
    <row r="68607">
      <c r="A68607" s="1" t="n">
        <v>68606</v>
      </c>
      <c r="B68607">
        <f>TEXT(68606, "[$-0E0000]yyyy-mm-dd")</f>
        <v/>
      </c>
      <c r="C68607" t="inlineStr">
        <is>
          <t>2087-10-07</t>
        </is>
      </c>
    </row>
    <row r="68608">
      <c r="A68608" s="1" t="n">
        <v>68607</v>
      </c>
      <c r="B68608">
        <f>TEXT(68607, "[$-0E0000]yyyy-mm-dd")</f>
        <v/>
      </c>
      <c r="C68608" t="inlineStr">
        <is>
          <t>2087-10-08</t>
        </is>
      </c>
    </row>
    <row r="68609">
      <c r="A68609" s="1" t="n">
        <v>68608</v>
      </c>
      <c r="B68609">
        <f>TEXT(68608, "[$-0E0000]yyyy-mm-dd")</f>
        <v/>
      </c>
      <c r="C68609" t="inlineStr">
        <is>
          <t>2087-10-09</t>
        </is>
      </c>
    </row>
    <row r="68610">
      <c r="A68610" s="1" t="n">
        <v>68609</v>
      </c>
      <c r="B68610">
        <f>TEXT(68609, "[$-0E0000]yyyy-mm-dd")</f>
        <v/>
      </c>
      <c r="C68610" t="inlineStr">
        <is>
          <t>2087-10-10</t>
        </is>
      </c>
    </row>
    <row r="68611">
      <c r="A68611" s="1" t="n">
        <v>68610</v>
      </c>
      <c r="B68611">
        <f>TEXT(68610, "[$-0E0000]yyyy-mm-dd")</f>
        <v/>
      </c>
      <c r="C68611" t="inlineStr">
        <is>
          <t>2087-10-11</t>
        </is>
      </c>
    </row>
    <row r="68612">
      <c r="A68612" s="1" t="n">
        <v>68611</v>
      </c>
      <c r="B68612">
        <f>TEXT(68611, "[$-0E0000]yyyy-mm-dd")</f>
        <v/>
      </c>
      <c r="C68612" t="inlineStr">
        <is>
          <t>2087-10-12</t>
        </is>
      </c>
    </row>
    <row r="68613">
      <c r="A68613" s="1" t="n">
        <v>68612</v>
      </c>
      <c r="B68613">
        <f>TEXT(68612, "[$-0E0000]yyyy-mm-dd")</f>
        <v/>
      </c>
      <c r="C68613" t="inlineStr">
        <is>
          <t>2087-10-13</t>
        </is>
      </c>
    </row>
    <row r="68614">
      <c r="A68614" s="1" t="n">
        <v>68613</v>
      </c>
      <c r="B68614">
        <f>TEXT(68613, "[$-0E0000]yyyy-mm-dd")</f>
        <v/>
      </c>
      <c r="C68614" t="inlineStr">
        <is>
          <t>2087-10-14</t>
        </is>
      </c>
    </row>
    <row r="68615">
      <c r="A68615" s="1" t="n">
        <v>68614</v>
      </c>
      <c r="B68615">
        <f>TEXT(68614, "[$-0E0000]yyyy-mm-dd")</f>
        <v/>
      </c>
      <c r="C68615" t="inlineStr">
        <is>
          <t>2087-10-15</t>
        </is>
      </c>
    </row>
    <row r="68616">
      <c r="A68616" s="1" t="n">
        <v>68615</v>
      </c>
      <c r="B68616">
        <f>TEXT(68615, "[$-0E0000]yyyy-mm-dd")</f>
        <v/>
      </c>
      <c r="C68616" t="inlineStr">
        <is>
          <t>2087-10-16</t>
        </is>
      </c>
    </row>
    <row r="68617">
      <c r="A68617" s="1" t="n">
        <v>68616</v>
      </c>
      <c r="B68617">
        <f>TEXT(68616, "[$-0E0000]yyyy-mm-dd")</f>
        <v/>
      </c>
      <c r="C68617" t="inlineStr">
        <is>
          <t>2087-10-17</t>
        </is>
      </c>
    </row>
    <row r="68618">
      <c r="A68618" s="1" t="n">
        <v>68617</v>
      </c>
      <c r="B68618">
        <f>TEXT(68617, "[$-0E0000]yyyy-mm-dd")</f>
        <v/>
      </c>
      <c r="C68618" t="inlineStr">
        <is>
          <t>2087-10-18</t>
        </is>
      </c>
    </row>
    <row r="68619">
      <c r="A68619" s="1" t="n">
        <v>68618</v>
      </c>
      <c r="B68619">
        <f>TEXT(68618, "[$-0E0000]yyyy-mm-dd")</f>
        <v/>
      </c>
      <c r="C68619" t="inlineStr">
        <is>
          <t>2087-10-19</t>
        </is>
      </c>
    </row>
    <row r="68620">
      <c r="A68620" s="1" t="n">
        <v>68619</v>
      </c>
      <c r="B68620">
        <f>TEXT(68619, "[$-0E0000]yyyy-mm-dd")</f>
        <v/>
      </c>
      <c r="C68620" t="inlineStr">
        <is>
          <t>2087-10-20</t>
        </is>
      </c>
    </row>
    <row r="68621">
      <c r="A68621" s="1" t="n">
        <v>68620</v>
      </c>
      <c r="B68621">
        <f>TEXT(68620, "[$-0E0000]yyyy-mm-dd")</f>
        <v/>
      </c>
      <c r="C68621" t="inlineStr">
        <is>
          <t>2087-10-21</t>
        </is>
      </c>
    </row>
    <row r="68622">
      <c r="A68622" s="1" t="n">
        <v>68621</v>
      </c>
      <c r="B68622">
        <f>TEXT(68621, "[$-0E0000]yyyy-mm-dd")</f>
        <v/>
      </c>
      <c r="C68622" t="inlineStr">
        <is>
          <t>2087-10-22</t>
        </is>
      </c>
    </row>
    <row r="68623">
      <c r="A68623" s="1" t="n">
        <v>68622</v>
      </c>
      <c r="B68623">
        <f>TEXT(68622, "[$-0E0000]yyyy-mm-dd")</f>
        <v/>
      </c>
      <c r="C68623" t="inlineStr">
        <is>
          <t>2087-10-23</t>
        </is>
      </c>
    </row>
    <row r="68624">
      <c r="A68624" s="1" t="n">
        <v>68623</v>
      </c>
      <c r="B68624">
        <f>TEXT(68623, "[$-0E0000]yyyy-mm-dd")</f>
        <v/>
      </c>
      <c r="C68624" t="inlineStr">
        <is>
          <t>2087-10-24</t>
        </is>
      </c>
    </row>
    <row r="68625">
      <c r="A68625" s="1" t="n">
        <v>68624</v>
      </c>
      <c r="B68625">
        <f>TEXT(68624, "[$-0E0000]yyyy-mm-dd")</f>
        <v/>
      </c>
      <c r="C68625" t="inlineStr">
        <is>
          <t>2087-10-25</t>
        </is>
      </c>
    </row>
    <row r="68626">
      <c r="A68626" s="1" t="n">
        <v>68625</v>
      </c>
      <c r="B68626">
        <f>TEXT(68625, "[$-0E0000]yyyy-mm-dd")</f>
        <v/>
      </c>
      <c r="C68626" t="inlineStr">
        <is>
          <t>2087-10-26</t>
        </is>
      </c>
    </row>
    <row r="68627">
      <c r="A68627" s="1" t="n">
        <v>68626</v>
      </c>
      <c r="B68627">
        <f>TEXT(68626, "[$-0E0000]yyyy-mm-dd")</f>
        <v/>
      </c>
      <c r="C68627" t="inlineStr">
        <is>
          <t>2087-10-27</t>
        </is>
      </c>
    </row>
    <row r="68628">
      <c r="A68628" s="1" t="n">
        <v>68627</v>
      </c>
      <c r="B68628">
        <f>TEXT(68627, "[$-0E0000]yyyy-mm-dd")</f>
        <v/>
      </c>
      <c r="C68628" t="inlineStr">
        <is>
          <t>2087-10-28</t>
        </is>
      </c>
    </row>
    <row r="68629">
      <c r="A68629" s="1" t="n">
        <v>68628</v>
      </c>
      <c r="B68629">
        <f>TEXT(68628, "[$-0E0000]yyyy-mm-dd")</f>
        <v/>
      </c>
      <c r="C68629" t="inlineStr">
        <is>
          <t>2087-10-29</t>
        </is>
      </c>
    </row>
    <row r="68630">
      <c r="A68630" s="1" t="n">
        <v>68629</v>
      </c>
      <c r="B68630">
        <f>TEXT(68629, "[$-0E0000]yyyy-mm-dd")</f>
        <v/>
      </c>
      <c r="C68630" t="inlineStr">
        <is>
          <t>2087-10-30</t>
        </is>
      </c>
    </row>
    <row r="68631">
      <c r="A68631" s="1" t="n">
        <v>68630</v>
      </c>
      <c r="B68631">
        <f>TEXT(68630, "[$-0E0000]yyyy-mm-dd")</f>
        <v/>
      </c>
      <c r="C68631" t="inlineStr">
        <is>
          <t>2087-11-01</t>
        </is>
      </c>
    </row>
    <row r="68632">
      <c r="A68632" s="1" t="n">
        <v>68631</v>
      </c>
      <c r="B68632">
        <f>TEXT(68631, "[$-0E0000]yyyy-mm-dd")</f>
        <v/>
      </c>
      <c r="C68632" t="inlineStr">
        <is>
          <t>2087-11-02</t>
        </is>
      </c>
    </row>
    <row r="68633">
      <c r="A68633" s="1" t="n">
        <v>68632</v>
      </c>
      <c r="B68633">
        <f>TEXT(68632, "[$-0E0000]yyyy-mm-dd")</f>
        <v/>
      </c>
      <c r="C68633" t="inlineStr">
        <is>
          <t>2087-11-03</t>
        </is>
      </c>
    </row>
    <row r="68634">
      <c r="A68634" s="1" t="n">
        <v>68633</v>
      </c>
      <c r="B68634">
        <f>TEXT(68633, "[$-0E0000]yyyy-mm-dd")</f>
        <v/>
      </c>
      <c r="C68634" t="inlineStr">
        <is>
          <t>2087-11-04</t>
        </is>
      </c>
    </row>
    <row r="68635">
      <c r="A68635" s="1" t="n">
        <v>68634</v>
      </c>
      <c r="B68635">
        <f>TEXT(68634, "[$-0E0000]yyyy-mm-dd")</f>
        <v/>
      </c>
      <c r="C68635" t="inlineStr">
        <is>
          <t>2087-11-05</t>
        </is>
      </c>
    </row>
    <row r="68636">
      <c r="A68636" s="1" t="n">
        <v>68635</v>
      </c>
      <c r="B68636">
        <f>TEXT(68635, "[$-0E0000]yyyy-mm-dd")</f>
        <v/>
      </c>
      <c r="C68636" t="inlineStr">
        <is>
          <t>2087-11-06</t>
        </is>
      </c>
    </row>
    <row r="68637">
      <c r="A68637" s="1" t="n">
        <v>68636</v>
      </c>
      <c r="B68637">
        <f>TEXT(68636, "[$-0E0000]yyyy-mm-dd")</f>
        <v/>
      </c>
      <c r="C68637" t="inlineStr">
        <is>
          <t>2087-11-07</t>
        </is>
      </c>
    </row>
    <row r="68638">
      <c r="A68638" s="1" t="n">
        <v>68637</v>
      </c>
      <c r="B68638">
        <f>TEXT(68637, "[$-0E0000]yyyy-mm-dd")</f>
        <v/>
      </c>
      <c r="C68638" t="inlineStr">
        <is>
          <t>2087-11-08</t>
        </is>
      </c>
    </row>
    <row r="68639">
      <c r="A68639" s="1" t="n">
        <v>68638</v>
      </c>
      <c r="B68639">
        <f>TEXT(68638, "[$-0E0000]yyyy-mm-dd")</f>
        <v/>
      </c>
      <c r="C68639" t="inlineStr">
        <is>
          <t>2087-11-09</t>
        </is>
      </c>
    </row>
    <row r="68640">
      <c r="A68640" s="1" t="n">
        <v>68639</v>
      </c>
      <c r="B68640">
        <f>TEXT(68639, "[$-0E0000]yyyy-mm-dd")</f>
        <v/>
      </c>
      <c r="C68640" t="inlineStr">
        <is>
          <t>2087-11-10</t>
        </is>
      </c>
    </row>
    <row r="68641">
      <c r="A68641" s="1" t="n">
        <v>68640</v>
      </c>
      <c r="B68641">
        <f>TEXT(68640, "[$-0E0000]yyyy-mm-dd")</f>
        <v/>
      </c>
      <c r="C68641" t="inlineStr">
        <is>
          <t>2087-11-11</t>
        </is>
      </c>
    </row>
    <row r="68642">
      <c r="A68642" s="1" t="n">
        <v>68641</v>
      </c>
      <c r="B68642">
        <f>TEXT(68641, "[$-0E0000]yyyy-mm-dd")</f>
        <v/>
      </c>
      <c r="C68642" t="inlineStr">
        <is>
          <t>2087-11-12</t>
        </is>
      </c>
    </row>
    <row r="68643">
      <c r="A68643" s="1" t="n">
        <v>68642</v>
      </c>
      <c r="B68643">
        <f>TEXT(68642, "[$-0E0000]yyyy-mm-dd")</f>
        <v/>
      </c>
      <c r="C68643" t="inlineStr">
        <is>
          <t>2087-11-13</t>
        </is>
      </c>
    </row>
    <row r="68644">
      <c r="A68644" s="1" t="n">
        <v>68643</v>
      </c>
      <c r="B68644">
        <f>TEXT(68643, "[$-0E0000]yyyy-mm-dd")</f>
        <v/>
      </c>
      <c r="C68644" t="inlineStr">
        <is>
          <t>2087-11-14</t>
        </is>
      </c>
    </row>
    <row r="68645">
      <c r="A68645" s="1" t="n">
        <v>68644</v>
      </c>
      <c r="B68645">
        <f>TEXT(68644, "[$-0E0000]yyyy-mm-dd")</f>
        <v/>
      </c>
      <c r="C68645" t="inlineStr">
        <is>
          <t>2087-11-15</t>
        </is>
      </c>
    </row>
    <row r="68646">
      <c r="A68646" s="1" t="n">
        <v>68645</v>
      </c>
      <c r="B68646">
        <f>TEXT(68645, "[$-0E0000]yyyy-mm-dd")</f>
        <v/>
      </c>
      <c r="C68646" t="inlineStr">
        <is>
          <t>2087-11-16</t>
        </is>
      </c>
    </row>
    <row r="68647">
      <c r="A68647" s="1" t="n">
        <v>68646</v>
      </c>
      <c r="B68647">
        <f>TEXT(68646, "[$-0E0000]yyyy-mm-dd")</f>
        <v/>
      </c>
      <c r="C68647" t="inlineStr">
        <is>
          <t>2087-11-17</t>
        </is>
      </c>
    </row>
    <row r="68648">
      <c r="A68648" s="1" t="n">
        <v>68647</v>
      </c>
      <c r="B68648">
        <f>TEXT(68647, "[$-0E0000]yyyy-mm-dd")</f>
        <v/>
      </c>
      <c r="C68648" t="inlineStr">
        <is>
          <t>2087-11-18</t>
        </is>
      </c>
    </row>
    <row r="68649">
      <c r="A68649" s="1" t="n">
        <v>68648</v>
      </c>
      <c r="B68649">
        <f>TEXT(68648, "[$-0E0000]yyyy-mm-dd")</f>
        <v/>
      </c>
      <c r="C68649" t="inlineStr">
        <is>
          <t>2087-11-19</t>
        </is>
      </c>
    </row>
    <row r="68650">
      <c r="A68650" s="1" t="n">
        <v>68649</v>
      </c>
      <c r="B68650">
        <f>TEXT(68649, "[$-0E0000]yyyy-mm-dd")</f>
        <v/>
      </c>
      <c r="C68650" t="inlineStr">
        <is>
          <t>2087-11-20</t>
        </is>
      </c>
    </row>
    <row r="68651">
      <c r="A68651" s="1" t="n">
        <v>68650</v>
      </c>
      <c r="B68651">
        <f>TEXT(68650, "[$-0E0000]yyyy-mm-dd")</f>
        <v/>
      </c>
      <c r="C68651" t="inlineStr">
        <is>
          <t>2087-11-21</t>
        </is>
      </c>
    </row>
    <row r="68652">
      <c r="A68652" s="1" t="n">
        <v>68651</v>
      </c>
      <c r="B68652">
        <f>TEXT(68651, "[$-0E0000]yyyy-mm-dd")</f>
        <v/>
      </c>
      <c r="C68652" t="inlineStr">
        <is>
          <t>2087-11-22</t>
        </is>
      </c>
    </row>
    <row r="68653">
      <c r="A68653" s="1" t="n">
        <v>68652</v>
      </c>
      <c r="B68653">
        <f>TEXT(68652, "[$-0E0000]yyyy-mm-dd")</f>
        <v/>
      </c>
      <c r="C68653" t="inlineStr">
        <is>
          <t>2087-11-23</t>
        </is>
      </c>
    </row>
    <row r="68654">
      <c r="A68654" s="1" t="n">
        <v>68653</v>
      </c>
      <c r="B68654">
        <f>TEXT(68653, "[$-0E0000]yyyy-mm-dd")</f>
        <v/>
      </c>
      <c r="C68654" t="inlineStr">
        <is>
          <t>2087-11-24</t>
        </is>
      </c>
    </row>
    <row r="68655">
      <c r="A68655" s="1" t="n">
        <v>68654</v>
      </c>
      <c r="B68655">
        <f>TEXT(68654, "[$-0E0000]yyyy-mm-dd")</f>
        <v/>
      </c>
      <c r="C68655" t="inlineStr">
        <is>
          <t>2087-11-25</t>
        </is>
      </c>
    </row>
    <row r="68656">
      <c r="A68656" s="1" t="n">
        <v>68655</v>
      </c>
      <c r="B68656">
        <f>TEXT(68655, "[$-0E0000]yyyy-mm-dd")</f>
        <v/>
      </c>
      <c r="C68656" t="inlineStr">
        <is>
          <t>2087-11-26</t>
        </is>
      </c>
    </row>
    <row r="68657">
      <c r="A68657" s="1" t="n">
        <v>68656</v>
      </c>
      <c r="B68657">
        <f>TEXT(68656, "[$-0E0000]yyyy-mm-dd")</f>
        <v/>
      </c>
      <c r="C68657" t="inlineStr">
        <is>
          <t>2087-11-27</t>
        </is>
      </c>
    </row>
    <row r="68658">
      <c r="A68658" s="1" t="n">
        <v>68657</v>
      </c>
      <c r="B68658">
        <f>TEXT(68657, "[$-0E0000]yyyy-mm-dd")</f>
        <v/>
      </c>
      <c r="C68658" t="inlineStr">
        <is>
          <t>2087-11-28</t>
        </is>
      </c>
    </row>
    <row r="68659">
      <c r="A68659" s="1" t="n">
        <v>68658</v>
      </c>
      <c r="B68659">
        <f>TEXT(68658, "[$-0E0000]yyyy-mm-dd")</f>
        <v/>
      </c>
      <c r="C68659" t="inlineStr">
        <is>
          <t>2087-11-29</t>
        </is>
      </c>
    </row>
    <row r="68660">
      <c r="A68660" s="1" t="n">
        <v>68659</v>
      </c>
      <c r="B68660">
        <f>TEXT(68659, "[$-0E0000]yyyy-mm-dd")</f>
        <v/>
      </c>
      <c r="C68660" t="inlineStr">
        <is>
          <t>2087-11-30</t>
        </is>
      </c>
    </row>
    <row r="68661">
      <c r="A68661" s="1" t="n">
        <v>68660</v>
      </c>
      <c r="B68661">
        <f>TEXT(68660, "[$-0E0000]yyyy-mm-dd")</f>
        <v/>
      </c>
      <c r="C68661" t="inlineStr">
        <is>
          <t>2087-12-01</t>
        </is>
      </c>
    </row>
    <row r="68662">
      <c r="A68662" s="1" t="n">
        <v>68661</v>
      </c>
      <c r="B68662">
        <f>TEXT(68661, "[$-0E0000]yyyy-mm-dd")</f>
        <v/>
      </c>
      <c r="C68662" t="inlineStr">
        <is>
          <t>2087-12-02</t>
        </is>
      </c>
    </row>
    <row r="68663">
      <c r="A68663" s="1" t="n">
        <v>68662</v>
      </c>
      <c r="B68663">
        <f>TEXT(68662, "[$-0E0000]yyyy-mm-dd")</f>
        <v/>
      </c>
      <c r="C68663" t="inlineStr">
        <is>
          <t>2087-12-03</t>
        </is>
      </c>
    </row>
    <row r="68664">
      <c r="A68664" s="1" t="n">
        <v>68663</v>
      </c>
      <c r="B68664">
        <f>TEXT(68663, "[$-0E0000]yyyy-mm-dd")</f>
        <v/>
      </c>
      <c r="C68664" t="inlineStr">
        <is>
          <t>2087-12-04</t>
        </is>
      </c>
    </row>
    <row r="68665">
      <c r="A68665" s="1" t="n">
        <v>68664</v>
      </c>
      <c r="B68665">
        <f>TEXT(68664, "[$-0E0000]yyyy-mm-dd")</f>
        <v/>
      </c>
      <c r="C68665" t="inlineStr">
        <is>
          <t>2087-12-05</t>
        </is>
      </c>
    </row>
    <row r="68666">
      <c r="A68666" s="1" t="n">
        <v>68665</v>
      </c>
      <c r="B68666">
        <f>TEXT(68665, "[$-0E0000]yyyy-mm-dd")</f>
        <v/>
      </c>
      <c r="C68666" t="inlineStr">
        <is>
          <t>2087-12-06</t>
        </is>
      </c>
    </row>
    <row r="68667">
      <c r="A68667" s="1" t="n">
        <v>68666</v>
      </c>
      <c r="B68667">
        <f>TEXT(68666, "[$-0E0000]yyyy-mm-dd")</f>
        <v/>
      </c>
      <c r="C68667" t="inlineStr">
        <is>
          <t>2087-12-07</t>
        </is>
      </c>
    </row>
    <row r="68668">
      <c r="A68668" s="1" t="n">
        <v>68667</v>
      </c>
      <c r="B68668">
        <f>TEXT(68667, "[$-0E0000]yyyy-mm-dd")</f>
        <v/>
      </c>
      <c r="C68668" t="inlineStr">
        <is>
          <t>2087-12-08</t>
        </is>
      </c>
    </row>
    <row r="68669">
      <c r="A68669" s="1" t="n">
        <v>68668</v>
      </c>
      <c r="B68669">
        <f>TEXT(68668, "[$-0E0000]yyyy-mm-dd")</f>
        <v/>
      </c>
      <c r="C68669" t="inlineStr">
        <is>
          <t>2087-12-09</t>
        </is>
      </c>
    </row>
    <row r="68670">
      <c r="A68670" s="1" t="n">
        <v>68669</v>
      </c>
      <c r="B68670">
        <f>TEXT(68669, "[$-0E0000]yyyy-mm-dd")</f>
        <v/>
      </c>
      <c r="C68670" t="inlineStr">
        <is>
          <t>2087-12-10</t>
        </is>
      </c>
    </row>
    <row r="68671">
      <c r="A68671" s="1" t="n">
        <v>68670</v>
      </c>
      <c r="B68671">
        <f>TEXT(68670, "[$-0E0000]yyyy-mm-dd")</f>
        <v/>
      </c>
      <c r="C68671" t="inlineStr">
        <is>
          <t>2087-12-11</t>
        </is>
      </c>
    </row>
    <row r="68672">
      <c r="A68672" s="1" t="n">
        <v>68671</v>
      </c>
      <c r="B68672">
        <f>TEXT(68671, "[$-0E0000]yyyy-mm-dd")</f>
        <v/>
      </c>
      <c r="C68672" t="inlineStr">
        <is>
          <t>2087-12-12</t>
        </is>
      </c>
    </row>
    <row r="68673">
      <c r="A68673" s="1" t="n">
        <v>68672</v>
      </c>
      <c r="B68673">
        <f>TEXT(68672, "[$-0E0000]yyyy-mm-dd")</f>
        <v/>
      </c>
      <c r="C68673" t="inlineStr">
        <is>
          <t>2087-12-13</t>
        </is>
      </c>
    </row>
    <row r="68674">
      <c r="A68674" s="1" t="n">
        <v>68673</v>
      </c>
      <c r="B68674">
        <f>TEXT(68673, "[$-0E0000]yyyy-mm-dd")</f>
        <v/>
      </c>
      <c r="C68674" t="inlineStr">
        <is>
          <t>2087-12-14</t>
        </is>
      </c>
    </row>
    <row r="68675">
      <c r="A68675" s="1" t="n">
        <v>68674</v>
      </c>
      <c r="B68675">
        <f>TEXT(68674, "[$-0E0000]yyyy-mm-dd")</f>
        <v/>
      </c>
      <c r="C68675" t="inlineStr">
        <is>
          <t>2087-12-15</t>
        </is>
      </c>
    </row>
    <row r="68676">
      <c r="A68676" s="1" t="n">
        <v>68675</v>
      </c>
      <c r="B68676">
        <f>TEXT(68675, "[$-0E0000]yyyy-mm-dd")</f>
        <v/>
      </c>
      <c r="C68676" t="inlineStr">
        <is>
          <t>2087-12-16</t>
        </is>
      </c>
    </row>
    <row r="68677">
      <c r="A68677" s="1" t="n">
        <v>68676</v>
      </c>
      <c r="B68677">
        <f>TEXT(68676, "[$-0E0000]yyyy-mm-dd")</f>
        <v/>
      </c>
      <c r="C68677" t="inlineStr">
        <is>
          <t>2087-12-17</t>
        </is>
      </c>
    </row>
    <row r="68678">
      <c r="A68678" s="1" t="n">
        <v>68677</v>
      </c>
      <c r="B68678">
        <f>TEXT(68677, "[$-0E0000]yyyy-mm-dd")</f>
        <v/>
      </c>
      <c r="C68678" t="inlineStr">
        <is>
          <t>2087-12-18</t>
        </is>
      </c>
    </row>
    <row r="68679">
      <c r="A68679" s="1" t="n">
        <v>68678</v>
      </c>
      <c r="B68679">
        <f>TEXT(68678, "[$-0E0000]yyyy-mm-dd")</f>
        <v/>
      </c>
      <c r="C68679" t="inlineStr">
        <is>
          <t>2087-12-19</t>
        </is>
      </c>
    </row>
    <row r="68680">
      <c r="A68680" s="1" t="n">
        <v>68679</v>
      </c>
      <c r="B68680">
        <f>TEXT(68679, "[$-0E0000]yyyy-mm-dd")</f>
        <v/>
      </c>
      <c r="C68680" t="inlineStr">
        <is>
          <t>2087-12-20</t>
        </is>
      </c>
    </row>
    <row r="68681">
      <c r="A68681" s="1" t="n">
        <v>68680</v>
      </c>
      <c r="B68681">
        <f>TEXT(68680, "[$-0E0000]yyyy-mm-dd")</f>
        <v/>
      </c>
      <c r="C68681" t="inlineStr">
        <is>
          <t>2087-12-21</t>
        </is>
      </c>
    </row>
    <row r="68682">
      <c r="A68682" s="1" t="n">
        <v>68681</v>
      </c>
      <c r="B68682">
        <f>TEXT(68681, "[$-0E0000]yyyy-mm-dd")</f>
        <v/>
      </c>
      <c r="C68682" t="inlineStr">
        <is>
          <t>2087-12-22</t>
        </is>
      </c>
    </row>
    <row r="68683">
      <c r="A68683" s="1" t="n">
        <v>68682</v>
      </c>
      <c r="B68683">
        <f>TEXT(68682, "[$-0E0000]yyyy-mm-dd")</f>
        <v/>
      </c>
      <c r="C68683" t="inlineStr">
        <is>
          <t>2087-12-23</t>
        </is>
      </c>
    </row>
    <row r="68684">
      <c r="A68684" s="1" t="n">
        <v>68683</v>
      </c>
      <c r="B68684">
        <f>TEXT(68683, "[$-0E0000]yyyy-mm-dd")</f>
        <v/>
      </c>
      <c r="C68684" t="inlineStr">
        <is>
          <t>2087-12-24</t>
        </is>
      </c>
    </row>
    <row r="68685">
      <c r="A68685" s="1" t="n">
        <v>68684</v>
      </c>
      <c r="B68685">
        <f>TEXT(68684, "[$-0E0000]yyyy-mm-dd")</f>
        <v/>
      </c>
      <c r="C68685" t="inlineStr">
        <is>
          <t>2087-12-25</t>
        </is>
      </c>
    </row>
    <row r="68686">
      <c r="A68686" s="1" t="n">
        <v>68685</v>
      </c>
      <c r="B68686">
        <f>TEXT(68685, "[$-0E0000]yyyy-mm-dd")</f>
        <v/>
      </c>
      <c r="C68686" t="inlineStr">
        <is>
          <t>2087-12-26</t>
        </is>
      </c>
    </row>
    <row r="68687">
      <c r="A68687" s="1" t="n">
        <v>68686</v>
      </c>
      <c r="B68687">
        <f>TEXT(68686, "[$-0E0000]yyyy-mm-dd")</f>
        <v/>
      </c>
      <c r="C68687" t="inlineStr">
        <is>
          <t>2087-12-27</t>
        </is>
      </c>
    </row>
    <row r="68688">
      <c r="A68688" s="1" t="n">
        <v>68687</v>
      </c>
      <c r="B68688">
        <f>TEXT(68687, "[$-0E0000]yyyy-mm-dd")</f>
        <v/>
      </c>
      <c r="C68688" t="inlineStr">
        <is>
          <t>2087-12-28</t>
        </is>
      </c>
    </row>
    <row r="68689">
      <c r="A68689" s="1" t="n">
        <v>68688</v>
      </c>
      <c r="B68689">
        <f>TEXT(68688, "[$-0E0000]yyyy-mm-dd")</f>
        <v/>
      </c>
      <c r="C68689" t="inlineStr">
        <is>
          <t>2087-12-29</t>
        </is>
      </c>
    </row>
    <row r="68690">
      <c r="A68690" s="1" t="n">
        <v>68689</v>
      </c>
      <c r="B68690">
        <f>TEXT(68689, "[$-0E0000]yyyy-mm-dd")</f>
        <v/>
      </c>
      <c r="C68690" t="inlineStr">
        <is>
          <t>2087-12-30</t>
        </is>
      </c>
    </row>
    <row r="68691">
      <c r="A68691" s="1" t="n">
        <v>68690</v>
      </c>
      <c r="B68691">
        <f>TEXT(68690, "[$-0E0000]yyyy-mm-dd")</f>
        <v/>
      </c>
      <c r="C68691" t="inlineStr">
        <is>
          <t>2088-01-01</t>
        </is>
      </c>
    </row>
    <row r="68692">
      <c r="A68692" s="1" t="n">
        <v>68691</v>
      </c>
      <c r="B68692">
        <f>TEXT(68691, "[$-0E0000]yyyy-mm-dd")</f>
        <v/>
      </c>
      <c r="C68692" t="inlineStr">
        <is>
          <t>2088-01-02</t>
        </is>
      </c>
    </row>
    <row r="68693">
      <c r="A68693" s="1" t="n">
        <v>68692</v>
      </c>
      <c r="B68693">
        <f>TEXT(68692, "[$-0E0000]yyyy-mm-dd")</f>
        <v/>
      </c>
      <c r="C68693" t="inlineStr">
        <is>
          <t>2088-01-03</t>
        </is>
      </c>
    </row>
    <row r="68694">
      <c r="A68694" s="1" t="n">
        <v>68693</v>
      </c>
      <c r="B68694">
        <f>TEXT(68693, "[$-0E0000]yyyy-mm-dd")</f>
        <v/>
      </c>
      <c r="C68694" t="inlineStr">
        <is>
          <t>2088-01-04</t>
        </is>
      </c>
    </row>
    <row r="68695">
      <c r="A68695" s="1" t="n">
        <v>68694</v>
      </c>
      <c r="B68695">
        <f>TEXT(68694, "[$-0E0000]yyyy-mm-dd")</f>
        <v/>
      </c>
      <c r="C68695" t="inlineStr">
        <is>
          <t>2088-01-05</t>
        </is>
      </c>
    </row>
    <row r="68696">
      <c r="A68696" s="1" t="n">
        <v>68695</v>
      </c>
      <c r="B68696">
        <f>TEXT(68695, "[$-0E0000]yyyy-mm-dd")</f>
        <v/>
      </c>
      <c r="C68696" t="inlineStr">
        <is>
          <t>2088-01-06</t>
        </is>
      </c>
    </row>
    <row r="68697">
      <c r="A68697" s="1" t="n">
        <v>68696</v>
      </c>
      <c r="B68697">
        <f>TEXT(68696, "[$-0E0000]yyyy-mm-dd")</f>
        <v/>
      </c>
      <c r="C68697" t="inlineStr">
        <is>
          <t>2088-01-07</t>
        </is>
      </c>
    </row>
    <row r="68698">
      <c r="A68698" s="1" t="n">
        <v>68697</v>
      </c>
      <c r="B68698">
        <f>TEXT(68697, "[$-0E0000]yyyy-mm-dd")</f>
        <v/>
      </c>
      <c r="C68698" t="inlineStr">
        <is>
          <t>2088-01-08</t>
        </is>
      </c>
    </row>
    <row r="68699">
      <c r="A68699" s="1" t="n">
        <v>68698</v>
      </c>
      <c r="B68699">
        <f>TEXT(68698, "[$-0E0000]yyyy-mm-dd")</f>
        <v/>
      </c>
      <c r="C68699" t="inlineStr">
        <is>
          <t>2088-01-09</t>
        </is>
      </c>
    </row>
    <row r="68700">
      <c r="A68700" s="1" t="n">
        <v>68699</v>
      </c>
      <c r="B68700">
        <f>TEXT(68699, "[$-0E0000]yyyy-mm-dd")</f>
        <v/>
      </c>
      <c r="C68700" t="inlineStr">
        <is>
          <t>2088-01-10</t>
        </is>
      </c>
    </row>
    <row r="68701">
      <c r="A68701" s="1" t="n">
        <v>68700</v>
      </c>
      <c r="B68701">
        <f>TEXT(68700, "[$-0E0000]yyyy-mm-dd")</f>
        <v/>
      </c>
      <c r="C68701" t="inlineStr">
        <is>
          <t>2088-01-11</t>
        </is>
      </c>
    </row>
    <row r="68702">
      <c r="A68702" s="1" t="n">
        <v>68701</v>
      </c>
      <c r="B68702">
        <f>TEXT(68701, "[$-0E0000]yyyy-mm-dd")</f>
        <v/>
      </c>
      <c r="C68702" t="inlineStr">
        <is>
          <t>2088-01-12</t>
        </is>
      </c>
    </row>
    <row r="68703">
      <c r="A68703" s="1" t="n">
        <v>68702</v>
      </c>
      <c r="B68703">
        <f>TEXT(68702, "[$-0E0000]yyyy-mm-dd")</f>
        <v/>
      </c>
      <c r="C68703" t="inlineStr">
        <is>
          <t>2088-01-13</t>
        </is>
      </c>
    </row>
    <row r="68704">
      <c r="A68704" s="1" t="n">
        <v>68703</v>
      </c>
      <c r="B68704">
        <f>TEXT(68703, "[$-0E0000]yyyy-mm-dd")</f>
        <v/>
      </c>
      <c r="C68704" t="inlineStr">
        <is>
          <t>2088-01-14</t>
        </is>
      </c>
    </row>
    <row r="68705">
      <c r="A68705" s="1" t="n">
        <v>68704</v>
      </c>
      <c r="B68705">
        <f>TEXT(68704, "[$-0E0000]yyyy-mm-dd")</f>
        <v/>
      </c>
      <c r="C68705" t="inlineStr">
        <is>
          <t>2088-01-15</t>
        </is>
      </c>
    </row>
    <row r="68706">
      <c r="A68706" s="1" t="n">
        <v>68705</v>
      </c>
      <c r="B68706">
        <f>TEXT(68705, "[$-0E0000]yyyy-mm-dd")</f>
        <v/>
      </c>
      <c r="C68706" t="inlineStr">
        <is>
          <t>2088-01-16</t>
        </is>
      </c>
    </row>
    <row r="68707">
      <c r="A68707" s="1" t="n">
        <v>68706</v>
      </c>
      <c r="B68707">
        <f>TEXT(68706, "[$-0E0000]yyyy-mm-dd")</f>
        <v/>
      </c>
      <c r="C68707" t="inlineStr">
        <is>
          <t>2088-01-17</t>
        </is>
      </c>
    </row>
    <row r="68708">
      <c r="A68708" s="1" t="n">
        <v>68707</v>
      </c>
      <c r="B68708">
        <f>TEXT(68707, "[$-0E0000]yyyy-mm-dd")</f>
        <v/>
      </c>
      <c r="C68708" t="inlineStr">
        <is>
          <t>2088-01-18</t>
        </is>
      </c>
    </row>
    <row r="68709">
      <c r="A68709" s="1" t="n">
        <v>68708</v>
      </c>
      <c r="B68709">
        <f>TEXT(68708, "[$-0E0000]yyyy-mm-dd")</f>
        <v/>
      </c>
      <c r="C68709" t="inlineStr">
        <is>
          <t>2088-01-19</t>
        </is>
      </c>
    </row>
    <row r="68710">
      <c r="A68710" s="1" t="n">
        <v>68709</v>
      </c>
      <c r="B68710">
        <f>TEXT(68709, "[$-0E0000]yyyy-mm-dd")</f>
        <v/>
      </c>
      <c r="C68710" t="inlineStr">
        <is>
          <t>2088-01-20</t>
        </is>
      </c>
    </row>
    <row r="68711">
      <c r="A68711" s="1" t="n">
        <v>68710</v>
      </c>
      <c r="B68711">
        <f>TEXT(68710, "[$-0E0000]yyyy-mm-dd")</f>
        <v/>
      </c>
      <c r="C68711" t="inlineStr">
        <is>
          <t>2088-01-21</t>
        </is>
      </c>
    </row>
    <row r="68712">
      <c r="A68712" s="1" t="n">
        <v>68711</v>
      </c>
      <c r="B68712">
        <f>TEXT(68711, "[$-0E0000]yyyy-mm-dd")</f>
        <v/>
      </c>
      <c r="C68712" t="inlineStr">
        <is>
          <t>2088-01-22</t>
        </is>
      </c>
    </row>
    <row r="68713">
      <c r="A68713" s="1" t="n">
        <v>68712</v>
      </c>
      <c r="B68713">
        <f>TEXT(68712, "[$-0E0000]yyyy-mm-dd")</f>
        <v/>
      </c>
      <c r="C68713" t="inlineStr">
        <is>
          <t>2088-01-23</t>
        </is>
      </c>
    </row>
    <row r="68714">
      <c r="A68714" s="1" t="n">
        <v>68713</v>
      </c>
      <c r="B68714">
        <f>TEXT(68713, "[$-0E0000]yyyy-mm-dd")</f>
        <v/>
      </c>
      <c r="C68714" t="inlineStr">
        <is>
          <t>2088-01-24</t>
        </is>
      </c>
    </row>
    <row r="68715">
      <c r="A68715" s="1" t="n">
        <v>68714</v>
      </c>
      <c r="B68715">
        <f>TEXT(68714, "[$-0E0000]yyyy-mm-dd")</f>
        <v/>
      </c>
      <c r="C68715" t="inlineStr">
        <is>
          <t>2088-01-25</t>
        </is>
      </c>
    </row>
    <row r="68716">
      <c r="A68716" s="1" t="n">
        <v>68715</v>
      </c>
      <c r="B68716">
        <f>TEXT(68715, "[$-0E0000]yyyy-mm-dd")</f>
        <v/>
      </c>
      <c r="C68716" t="inlineStr">
        <is>
          <t>2088-01-26</t>
        </is>
      </c>
    </row>
    <row r="68717">
      <c r="A68717" s="1" t="n">
        <v>68716</v>
      </c>
      <c r="B68717">
        <f>TEXT(68716, "[$-0E0000]yyyy-mm-dd")</f>
        <v/>
      </c>
      <c r="C68717" t="inlineStr">
        <is>
          <t>2088-01-27</t>
        </is>
      </c>
    </row>
    <row r="68718">
      <c r="A68718" s="1" t="n">
        <v>68717</v>
      </c>
      <c r="B68718">
        <f>TEXT(68717, "[$-0E0000]yyyy-mm-dd")</f>
        <v/>
      </c>
      <c r="C68718" t="inlineStr">
        <is>
          <t>2088-01-28</t>
        </is>
      </c>
    </row>
    <row r="68719">
      <c r="A68719" s="1" t="n">
        <v>68718</v>
      </c>
      <c r="B68719">
        <f>TEXT(68718, "[$-0E0000]yyyy-mm-dd")</f>
        <v/>
      </c>
      <c r="C68719" t="inlineStr">
        <is>
          <t>2088-01-29</t>
        </is>
      </c>
    </row>
    <row r="68720">
      <c r="A68720" s="1" t="n">
        <v>68719</v>
      </c>
      <c r="B68720">
        <f>TEXT(68719, "[$-0E0000]yyyy-mm-dd")</f>
        <v/>
      </c>
      <c r="C68720" t="inlineStr">
        <is>
          <t>2088-02-01</t>
        </is>
      </c>
    </row>
    <row r="68721">
      <c r="A68721" s="1" t="n">
        <v>68720</v>
      </c>
      <c r="B68721">
        <f>TEXT(68720, "[$-0E0000]yyyy-mm-dd")</f>
        <v/>
      </c>
      <c r="C68721" t="inlineStr">
        <is>
          <t>2088-02-02</t>
        </is>
      </c>
    </row>
    <row r="68722">
      <c r="A68722" s="1" t="n">
        <v>68721</v>
      </c>
      <c r="B68722">
        <f>TEXT(68721, "[$-0E0000]yyyy-mm-dd")</f>
        <v/>
      </c>
      <c r="C68722" t="inlineStr">
        <is>
          <t>2088-02-03</t>
        </is>
      </c>
    </row>
    <row r="68723">
      <c r="A68723" s="1" t="n">
        <v>68722</v>
      </c>
      <c r="B68723">
        <f>TEXT(68722, "[$-0E0000]yyyy-mm-dd")</f>
        <v/>
      </c>
      <c r="C68723" t="inlineStr">
        <is>
          <t>2088-02-04</t>
        </is>
      </c>
    </row>
    <row r="68724">
      <c r="A68724" s="1" t="n">
        <v>68723</v>
      </c>
      <c r="B68724">
        <f>TEXT(68723, "[$-0E0000]yyyy-mm-dd")</f>
        <v/>
      </c>
      <c r="C68724" t="inlineStr">
        <is>
          <t>2088-02-05</t>
        </is>
      </c>
    </row>
    <row r="68725">
      <c r="A68725" s="1" t="n">
        <v>68724</v>
      </c>
      <c r="B68725">
        <f>TEXT(68724, "[$-0E0000]yyyy-mm-dd")</f>
        <v/>
      </c>
      <c r="C68725" t="inlineStr">
        <is>
          <t>2088-02-06</t>
        </is>
      </c>
    </row>
    <row r="68726">
      <c r="A68726" s="1" t="n">
        <v>68725</v>
      </c>
      <c r="B68726">
        <f>TEXT(68725, "[$-0E0000]yyyy-mm-dd")</f>
        <v/>
      </c>
      <c r="C68726" t="inlineStr">
        <is>
          <t>2088-02-07</t>
        </is>
      </c>
    </row>
    <row r="68727">
      <c r="A68727" s="1" t="n">
        <v>68726</v>
      </c>
      <c r="B68727">
        <f>TEXT(68726, "[$-0E0000]yyyy-mm-dd")</f>
        <v/>
      </c>
      <c r="C68727" t="inlineStr">
        <is>
          <t>2088-02-08</t>
        </is>
      </c>
    </row>
    <row r="68728">
      <c r="A68728" s="1" t="n">
        <v>68727</v>
      </c>
      <c r="B68728">
        <f>TEXT(68727, "[$-0E0000]yyyy-mm-dd")</f>
        <v/>
      </c>
      <c r="C68728" t="inlineStr">
        <is>
          <t>2088-02-09</t>
        </is>
      </c>
    </row>
    <row r="68729">
      <c r="A68729" s="1" t="n">
        <v>68728</v>
      </c>
      <c r="B68729">
        <f>TEXT(68728, "[$-0E0000]yyyy-mm-dd")</f>
        <v/>
      </c>
      <c r="C68729" t="inlineStr">
        <is>
          <t>2088-02-10</t>
        </is>
      </c>
    </row>
    <row r="68730">
      <c r="A68730" s="1" t="n">
        <v>68729</v>
      </c>
      <c r="B68730">
        <f>TEXT(68729, "[$-0E0000]yyyy-mm-dd")</f>
        <v/>
      </c>
      <c r="C68730" t="inlineStr">
        <is>
          <t>2088-02-11</t>
        </is>
      </c>
    </row>
    <row r="68731">
      <c r="A68731" s="1" t="n">
        <v>68730</v>
      </c>
      <c r="B68731">
        <f>TEXT(68730, "[$-0E0000]yyyy-mm-dd")</f>
        <v/>
      </c>
      <c r="C68731" t="inlineStr">
        <is>
          <t>2088-02-12</t>
        </is>
      </c>
    </row>
    <row r="68732">
      <c r="A68732" s="1" t="n">
        <v>68731</v>
      </c>
      <c r="B68732">
        <f>TEXT(68731, "[$-0E0000]yyyy-mm-dd")</f>
        <v/>
      </c>
      <c r="C68732" t="inlineStr">
        <is>
          <t>2088-02-13</t>
        </is>
      </c>
    </row>
    <row r="68733">
      <c r="A68733" s="1" t="n">
        <v>68732</v>
      </c>
      <c r="B68733">
        <f>TEXT(68732, "[$-0E0000]yyyy-mm-dd")</f>
        <v/>
      </c>
      <c r="C68733" t="inlineStr">
        <is>
          <t>2088-02-14</t>
        </is>
      </c>
    </row>
    <row r="68734">
      <c r="A68734" s="1" t="n">
        <v>68733</v>
      </c>
      <c r="B68734">
        <f>TEXT(68733, "[$-0E0000]yyyy-mm-dd")</f>
        <v/>
      </c>
      <c r="C68734" t="inlineStr">
        <is>
          <t>2088-02-15</t>
        </is>
      </c>
    </row>
    <row r="68735">
      <c r="A68735" s="1" t="n">
        <v>68734</v>
      </c>
      <c r="B68735">
        <f>TEXT(68734, "[$-0E0000]yyyy-mm-dd")</f>
        <v/>
      </c>
      <c r="C68735" t="inlineStr">
        <is>
          <t>2088-02-16</t>
        </is>
      </c>
    </row>
    <row r="68736">
      <c r="A68736" s="1" t="n">
        <v>68735</v>
      </c>
      <c r="B68736">
        <f>TEXT(68735, "[$-0E0000]yyyy-mm-dd")</f>
        <v/>
      </c>
      <c r="C68736" t="inlineStr">
        <is>
          <t>2088-02-17</t>
        </is>
      </c>
    </row>
    <row r="68737">
      <c r="A68737" s="1" t="n">
        <v>68736</v>
      </c>
      <c r="B68737">
        <f>TEXT(68736, "[$-0E0000]yyyy-mm-dd")</f>
        <v/>
      </c>
      <c r="C68737" t="inlineStr">
        <is>
          <t>2088-02-18</t>
        </is>
      </c>
    </row>
    <row r="68738">
      <c r="A68738" s="1" t="n">
        <v>68737</v>
      </c>
      <c r="B68738">
        <f>TEXT(68737, "[$-0E0000]yyyy-mm-dd")</f>
        <v/>
      </c>
      <c r="C68738" t="inlineStr">
        <is>
          <t>2088-02-19</t>
        </is>
      </c>
    </row>
    <row r="68739">
      <c r="A68739" s="1" t="n">
        <v>68738</v>
      </c>
      <c r="B68739">
        <f>TEXT(68738, "[$-0E0000]yyyy-mm-dd")</f>
        <v/>
      </c>
      <c r="C68739" t="inlineStr">
        <is>
          <t>2088-02-20</t>
        </is>
      </c>
    </row>
    <row r="68740">
      <c r="A68740" s="1" t="n">
        <v>68739</v>
      </c>
      <c r="B68740">
        <f>TEXT(68739, "[$-0E0000]yyyy-mm-dd")</f>
        <v/>
      </c>
      <c r="C68740" t="inlineStr">
        <is>
          <t>2088-02-21</t>
        </is>
      </c>
    </row>
    <row r="68741">
      <c r="A68741" s="1" t="n">
        <v>68740</v>
      </c>
      <c r="B68741">
        <f>TEXT(68740, "[$-0E0000]yyyy-mm-dd")</f>
        <v/>
      </c>
      <c r="C68741" t="inlineStr">
        <is>
          <t>2088-02-22</t>
        </is>
      </c>
    </row>
    <row r="68742">
      <c r="A68742" s="1" t="n">
        <v>68741</v>
      </c>
      <c r="B68742">
        <f>TEXT(68741, "[$-0E0000]yyyy-mm-dd")</f>
        <v/>
      </c>
      <c r="C68742" t="inlineStr">
        <is>
          <t>2088-02-23</t>
        </is>
      </c>
    </row>
    <row r="68743">
      <c r="A68743" s="1" t="n">
        <v>68742</v>
      </c>
      <c r="B68743">
        <f>TEXT(68742, "[$-0E0000]yyyy-mm-dd")</f>
        <v/>
      </c>
      <c r="C68743" t="inlineStr">
        <is>
          <t>2088-02-24</t>
        </is>
      </c>
    </row>
    <row r="68744">
      <c r="A68744" s="1" t="n">
        <v>68743</v>
      </c>
      <c r="B68744">
        <f>TEXT(68743, "[$-0E0000]yyyy-mm-dd")</f>
        <v/>
      </c>
      <c r="C68744" t="inlineStr">
        <is>
          <t>2088-02-25</t>
        </is>
      </c>
    </row>
    <row r="68745">
      <c r="A68745" s="1" t="n">
        <v>68744</v>
      </c>
      <c r="B68745">
        <f>TEXT(68744, "[$-0E0000]yyyy-mm-dd")</f>
        <v/>
      </c>
      <c r="C68745" t="inlineStr">
        <is>
          <t>2088-02-26</t>
        </is>
      </c>
    </row>
    <row r="68746">
      <c r="A68746" s="1" t="n">
        <v>68745</v>
      </c>
      <c r="B68746">
        <f>TEXT(68745, "[$-0E0000]yyyy-mm-dd")</f>
        <v/>
      </c>
      <c r="C68746" t="inlineStr">
        <is>
          <t>2088-02-27</t>
        </is>
      </c>
    </row>
    <row r="68747">
      <c r="A68747" s="1" t="n">
        <v>68746</v>
      </c>
      <c r="B68747">
        <f>TEXT(68746, "[$-0E0000]yyyy-mm-dd")</f>
        <v/>
      </c>
      <c r="C68747" t="inlineStr">
        <is>
          <t>2088-02-28</t>
        </is>
      </c>
    </row>
    <row r="68748">
      <c r="A68748" s="1" t="n">
        <v>68747</v>
      </c>
      <c r="B68748">
        <f>TEXT(68747, "[$-0E0000]yyyy-mm-dd")</f>
        <v/>
      </c>
      <c r="C68748" t="inlineStr">
        <is>
          <t>2088-02-29</t>
        </is>
      </c>
    </row>
    <row r="68749">
      <c r="A68749" s="1" t="n">
        <v>68748</v>
      </c>
      <c r="B68749">
        <f>TEXT(68748, "[$-0E0000]yyyy-mm-dd")</f>
        <v/>
      </c>
      <c r="C68749" t="inlineStr">
        <is>
          <t>2088-02-30</t>
        </is>
      </c>
    </row>
    <row r="68750">
      <c r="A68750" s="1" t="n">
        <v>68749</v>
      </c>
      <c r="B68750">
        <f>TEXT(68749, "[$-0E0000]yyyy-mm-dd")</f>
        <v/>
      </c>
      <c r="C68750" t="inlineStr">
        <is>
          <t>2088-03-01</t>
        </is>
      </c>
    </row>
    <row r="68751">
      <c r="A68751" s="1" t="n">
        <v>68750</v>
      </c>
      <c r="B68751">
        <f>TEXT(68750, "[$-0E0000]yyyy-mm-dd")</f>
        <v/>
      </c>
      <c r="C68751" t="inlineStr">
        <is>
          <t>2088-03-02</t>
        </is>
      </c>
    </row>
    <row r="68752">
      <c r="A68752" s="1" t="n">
        <v>68751</v>
      </c>
      <c r="B68752">
        <f>TEXT(68751, "[$-0E0000]yyyy-mm-dd")</f>
        <v/>
      </c>
      <c r="C68752" t="inlineStr">
        <is>
          <t>2088-03-03</t>
        </is>
      </c>
    </row>
    <row r="68753">
      <c r="A68753" s="1" t="n">
        <v>68752</v>
      </c>
      <c r="B68753">
        <f>TEXT(68752, "[$-0E0000]yyyy-mm-dd")</f>
        <v/>
      </c>
      <c r="C68753" t="inlineStr">
        <is>
          <t>2088-03-04</t>
        </is>
      </c>
    </row>
    <row r="68754">
      <c r="A68754" s="1" t="n">
        <v>68753</v>
      </c>
      <c r="B68754">
        <f>TEXT(68753, "[$-0E0000]yyyy-mm-dd")</f>
        <v/>
      </c>
      <c r="C68754" t="inlineStr">
        <is>
          <t>2088-03-05</t>
        </is>
      </c>
    </row>
    <row r="68755">
      <c r="A68755" s="1" t="n">
        <v>68754</v>
      </c>
      <c r="B68755">
        <f>TEXT(68754, "[$-0E0000]yyyy-mm-dd")</f>
        <v/>
      </c>
      <c r="C68755" t="inlineStr">
        <is>
          <t>2088-03-06</t>
        </is>
      </c>
    </row>
    <row r="68756">
      <c r="A68756" s="1" t="n">
        <v>68755</v>
      </c>
      <c r="B68756">
        <f>TEXT(68755, "[$-0E0000]yyyy-mm-dd")</f>
        <v/>
      </c>
      <c r="C68756" t="inlineStr">
        <is>
          <t>2088-03-07</t>
        </is>
      </c>
    </row>
    <row r="68757">
      <c r="A68757" s="1" t="n">
        <v>68756</v>
      </c>
      <c r="B68757">
        <f>TEXT(68756, "[$-0E0000]yyyy-mm-dd")</f>
        <v/>
      </c>
      <c r="C68757" t="inlineStr">
        <is>
          <t>2088-03-08</t>
        </is>
      </c>
    </row>
    <row r="68758">
      <c r="A68758" s="1" t="n">
        <v>68757</v>
      </c>
      <c r="B68758">
        <f>TEXT(68757, "[$-0E0000]yyyy-mm-dd")</f>
        <v/>
      </c>
      <c r="C68758" t="inlineStr">
        <is>
          <t>2088-03-09</t>
        </is>
      </c>
    </row>
    <row r="68759">
      <c r="A68759" s="1" t="n">
        <v>68758</v>
      </c>
      <c r="B68759">
        <f>TEXT(68758, "[$-0E0000]yyyy-mm-dd")</f>
        <v/>
      </c>
      <c r="C68759" t="inlineStr">
        <is>
          <t>2088-03-10</t>
        </is>
      </c>
    </row>
    <row r="68760">
      <c r="A68760" s="1" t="n">
        <v>68759</v>
      </c>
      <c r="B68760">
        <f>TEXT(68759, "[$-0E0000]yyyy-mm-dd")</f>
        <v/>
      </c>
      <c r="C68760" t="inlineStr">
        <is>
          <t>2088-03-11</t>
        </is>
      </c>
    </row>
    <row r="68761">
      <c r="A68761" s="1" t="n">
        <v>68760</v>
      </c>
      <c r="B68761">
        <f>TEXT(68760, "[$-0E0000]yyyy-mm-dd")</f>
        <v/>
      </c>
      <c r="C68761" t="inlineStr">
        <is>
          <t>2088-03-12</t>
        </is>
      </c>
    </row>
    <row r="68762">
      <c r="A68762" s="1" t="n">
        <v>68761</v>
      </c>
      <c r="B68762">
        <f>TEXT(68761, "[$-0E0000]yyyy-mm-dd")</f>
        <v/>
      </c>
      <c r="C68762" t="inlineStr">
        <is>
          <t>2088-03-13</t>
        </is>
      </c>
    </row>
    <row r="68763">
      <c r="A68763" s="1" t="n">
        <v>68762</v>
      </c>
      <c r="B68763">
        <f>TEXT(68762, "[$-0E0000]yyyy-mm-dd")</f>
        <v/>
      </c>
      <c r="C68763" t="inlineStr">
        <is>
          <t>2088-03-14</t>
        </is>
      </c>
    </row>
    <row r="68764">
      <c r="A68764" s="1" t="n">
        <v>68763</v>
      </c>
      <c r="B68764">
        <f>TEXT(68763, "[$-0E0000]yyyy-mm-dd")</f>
        <v/>
      </c>
      <c r="C68764" t="inlineStr">
        <is>
          <t>2088-03-15</t>
        </is>
      </c>
    </row>
    <row r="68765">
      <c r="A68765" s="1" t="n">
        <v>68764</v>
      </c>
      <c r="B68765">
        <f>TEXT(68764, "[$-0E0000]yyyy-mm-dd")</f>
        <v/>
      </c>
      <c r="C68765" t="inlineStr">
        <is>
          <t>2088-03-16</t>
        </is>
      </c>
    </row>
    <row r="68766">
      <c r="A68766" s="1" t="n">
        <v>68765</v>
      </c>
      <c r="B68766">
        <f>TEXT(68765, "[$-0E0000]yyyy-mm-dd")</f>
        <v/>
      </c>
      <c r="C68766" t="inlineStr">
        <is>
          <t>2088-03-17</t>
        </is>
      </c>
    </row>
    <row r="68767">
      <c r="A68767" s="1" t="n">
        <v>68766</v>
      </c>
      <c r="B68767">
        <f>TEXT(68766, "[$-0E0000]yyyy-mm-dd")</f>
        <v/>
      </c>
      <c r="C68767" t="inlineStr">
        <is>
          <t>2088-03-18</t>
        </is>
      </c>
    </row>
    <row r="68768">
      <c r="A68768" s="1" t="n">
        <v>68767</v>
      </c>
      <c r="B68768">
        <f>TEXT(68767, "[$-0E0000]yyyy-mm-dd")</f>
        <v/>
      </c>
      <c r="C68768" t="inlineStr">
        <is>
          <t>2088-03-19</t>
        </is>
      </c>
    </row>
    <row r="68769">
      <c r="A68769" s="1" t="n">
        <v>68768</v>
      </c>
      <c r="B68769">
        <f>TEXT(68768, "[$-0E0000]yyyy-mm-dd")</f>
        <v/>
      </c>
      <c r="C68769" t="inlineStr">
        <is>
          <t>2088-03-20</t>
        </is>
      </c>
    </row>
    <row r="68770">
      <c r="A68770" s="1" t="n">
        <v>68769</v>
      </c>
      <c r="B68770">
        <f>TEXT(68769, "[$-0E0000]yyyy-mm-dd")</f>
        <v/>
      </c>
      <c r="C68770" t="inlineStr">
        <is>
          <t>2088-03-21</t>
        </is>
      </c>
    </row>
    <row r="68771">
      <c r="A68771" s="1" t="n">
        <v>68770</v>
      </c>
      <c r="B68771">
        <f>TEXT(68770, "[$-0E0000]yyyy-mm-dd")</f>
        <v/>
      </c>
      <c r="C68771" t="inlineStr">
        <is>
          <t>2088-03-22</t>
        </is>
      </c>
    </row>
    <row r="68772">
      <c r="A68772" s="1" t="n">
        <v>68771</v>
      </c>
      <c r="B68772">
        <f>TEXT(68771, "[$-0E0000]yyyy-mm-dd")</f>
        <v/>
      </c>
      <c r="C68772" t="inlineStr">
        <is>
          <t>2088-03-23</t>
        </is>
      </c>
    </row>
    <row r="68773">
      <c r="A68773" s="1" t="n">
        <v>68772</v>
      </c>
      <c r="B68773">
        <f>TEXT(68772, "[$-0E0000]yyyy-mm-dd")</f>
        <v/>
      </c>
      <c r="C68773" t="inlineStr">
        <is>
          <t>2088-03-24</t>
        </is>
      </c>
    </row>
    <row r="68774">
      <c r="A68774" s="1" t="n">
        <v>68773</v>
      </c>
      <c r="B68774">
        <f>TEXT(68773, "[$-0E0000]yyyy-mm-dd")</f>
        <v/>
      </c>
      <c r="C68774" t="inlineStr">
        <is>
          <t>2088-03-25</t>
        </is>
      </c>
    </row>
    <row r="68775">
      <c r="A68775" s="1" t="n">
        <v>68774</v>
      </c>
      <c r="B68775">
        <f>TEXT(68774, "[$-0E0000]yyyy-mm-dd")</f>
        <v/>
      </c>
      <c r="C68775" t="inlineStr">
        <is>
          <t>2088-03-26</t>
        </is>
      </c>
    </row>
    <row r="68776">
      <c r="A68776" s="1" t="n">
        <v>68775</v>
      </c>
      <c r="B68776">
        <f>TEXT(68775, "[$-0E0000]yyyy-mm-dd")</f>
        <v/>
      </c>
      <c r="C68776" t="inlineStr">
        <is>
          <t>2088-03-27</t>
        </is>
      </c>
    </row>
    <row r="68777">
      <c r="A68777" s="1" t="n">
        <v>68776</v>
      </c>
      <c r="B68777">
        <f>TEXT(68776, "[$-0E0000]yyyy-mm-dd")</f>
        <v/>
      </c>
      <c r="C68777" t="inlineStr">
        <is>
          <t>2088-03-28</t>
        </is>
      </c>
    </row>
    <row r="68778">
      <c r="A68778" s="1" t="n">
        <v>68777</v>
      </c>
      <c r="B68778">
        <f>TEXT(68777, "[$-0E0000]yyyy-mm-dd")</f>
        <v/>
      </c>
      <c r="C68778" t="inlineStr">
        <is>
          <t>2088-03-29</t>
        </is>
      </c>
    </row>
    <row r="68779">
      <c r="A68779" s="1" t="n">
        <v>68778</v>
      </c>
      <c r="B68779">
        <f>TEXT(68778, "[$-0E0000]yyyy-mm-dd")</f>
        <v/>
      </c>
      <c r="C68779" t="inlineStr">
        <is>
          <t>2088-04-01</t>
        </is>
      </c>
    </row>
    <row r="68780">
      <c r="A68780" s="1" t="n">
        <v>68779</v>
      </c>
      <c r="B68780">
        <f>TEXT(68779, "[$-0E0000]yyyy-mm-dd")</f>
        <v/>
      </c>
      <c r="C68780" t="inlineStr">
        <is>
          <t>2088-04-02</t>
        </is>
      </c>
    </row>
    <row r="68781">
      <c r="A68781" s="1" t="n">
        <v>68780</v>
      </c>
      <c r="B68781">
        <f>TEXT(68780, "[$-0E0000]yyyy-mm-dd")</f>
        <v/>
      </c>
      <c r="C68781" t="inlineStr">
        <is>
          <t>2088-04-03</t>
        </is>
      </c>
    </row>
    <row r="68782">
      <c r="A68782" s="1" t="n">
        <v>68781</v>
      </c>
      <c r="B68782">
        <f>TEXT(68781, "[$-0E0000]yyyy-mm-dd")</f>
        <v/>
      </c>
      <c r="C68782" t="inlineStr">
        <is>
          <t>2088-04-04</t>
        </is>
      </c>
    </row>
    <row r="68783">
      <c r="A68783" s="1" t="n">
        <v>68782</v>
      </c>
      <c r="B68783">
        <f>TEXT(68782, "[$-0E0000]yyyy-mm-dd")</f>
        <v/>
      </c>
      <c r="C68783" t="inlineStr">
        <is>
          <t>2088-04-05</t>
        </is>
      </c>
    </row>
    <row r="68784">
      <c r="A68784" s="1" t="n">
        <v>68783</v>
      </c>
      <c r="B68784">
        <f>TEXT(68783, "[$-0E0000]yyyy-mm-dd")</f>
        <v/>
      </c>
      <c r="C68784" t="inlineStr">
        <is>
          <t>2088-04-06</t>
        </is>
      </c>
    </row>
    <row r="68785">
      <c r="A68785" s="1" t="n">
        <v>68784</v>
      </c>
      <c r="B68785">
        <f>TEXT(68784, "[$-0E0000]yyyy-mm-dd")</f>
        <v/>
      </c>
      <c r="C68785" t="inlineStr">
        <is>
          <t>2088-04-07</t>
        </is>
      </c>
    </row>
    <row r="68786">
      <c r="A68786" s="1" t="n">
        <v>68785</v>
      </c>
      <c r="B68786">
        <f>TEXT(68785, "[$-0E0000]yyyy-mm-dd")</f>
        <v/>
      </c>
      <c r="C68786" t="inlineStr">
        <is>
          <t>2088-04-08</t>
        </is>
      </c>
    </row>
    <row r="68787">
      <c r="A68787" s="1" t="n">
        <v>68786</v>
      </c>
      <c r="B68787">
        <f>TEXT(68786, "[$-0E0000]yyyy-mm-dd")</f>
        <v/>
      </c>
      <c r="C68787" t="inlineStr">
        <is>
          <t>2088-04-09</t>
        </is>
      </c>
    </row>
    <row r="68788">
      <c r="A68788" s="1" t="n">
        <v>68787</v>
      </c>
      <c r="B68788">
        <f>TEXT(68787, "[$-0E0000]yyyy-mm-dd")</f>
        <v/>
      </c>
      <c r="C68788" t="inlineStr">
        <is>
          <t>2088-04-10</t>
        </is>
      </c>
    </row>
    <row r="68789">
      <c r="A68789" s="1" t="n">
        <v>68788</v>
      </c>
      <c r="B68789">
        <f>TEXT(68788, "[$-0E0000]yyyy-mm-dd")</f>
        <v/>
      </c>
      <c r="C68789" t="inlineStr">
        <is>
          <t>2088-04-11</t>
        </is>
      </c>
    </row>
    <row r="68790">
      <c r="A68790" s="1" t="n">
        <v>68789</v>
      </c>
      <c r="B68790">
        <f>TEXT(68789, "[$-0E0000]yyyy-mm-dd")</f>
        <v/>
      </c>
      <c r="C68790" t="inlineStr">
        <is>
          <t>2088-04-12</t>
        </is>
      </c>
    </row>
    <row r="68791">
      <c r="A68791" s="1" t="n">
        <v>68790</v>
      </c>
      <c r="B68791">
        <f>TEXT(68790, "[$-0E0000]yyyy-mm-dd")</f>
        <v/>
      </c>
      <c r="C68791" t="inlineStr">
        <is>
          <t>2088-04-13</t>
        </is>
      </c>
    </row>
    <row r="68792">
      <c r="A68792" s="1" t="n">
        <v>68791</v>
      </c>
      <c r="B68792">
        <f>TEXT(68791, "[$-0E0000]yyyy-mm-dd")</f>
        <v/>
      </c>
      <c r="C68792" t="inlineStr">
        <is>
          <t>2088-04-14</t>
        </is>
      </c>
    </row>
    <row r="68793">
      <c r="A68793" s="1" t="n">
        <v>68792</v>
      </c>
      <c r="B68793">
        <f>TEXT(68792, "[$-0E0000]yyyy-mm-dd")</f>
        <v/>
      </c>
      <c r="C68793" t="inlineStr">
        <is>
          <t>2088-04-15</t>
        </is>
      </c>
    </row>
    <row r="68794">
      <c r="A68794" s="1" t="n">
        <v>68793</v>
      </c>
      <c r="B68794">
        <f>TEXT(68793, "[$-0E0000]yyyy-mm-dd")</f>
        <v/>
      </c>
      <c r="C68794" t="inlineStr">
        <is>
          <t>2088-04-16</t>
        </is>
      </c>
    </row>
    <row r="68795">
      <c r="A68795" s="1" t="n">
        <v>68794</v>
      </c>
      <c r="B68795">
        <f>TEXT(68794, "[$-0E0000]yyyy-mm-dd")</f>
        <v/>
      </c>
      <c r="C68795" t="inlineStr">
        <is>
          <t>2088-04-17</t>
        </is>
      </c>
    </row>
    <row r="68796">
      <c r="A68796" s="1" t="n">
        <v>68795</v>
      </c>
      <c r="B68796">
        <f>TEXT(68795, "[$-0E0000]yyyy-mm-dd")</f>
        <v/>
      </c>
      <c r="C68796" t="inlineStr">
        <is>
          <t>2088-04-18</t>
        </is>
      </c>
    </row>
    <row r="68797">
      <c r="A68797" s="1" t="n">
        <v>68796</v>
      </c>
      <c r="B68797">
        <f>TEXT(68796, "[$-0E0000]yyyy-mm-dd")</f>
        <v/>
      </c>
      <c r="C68797" t="inlineStr">
        <is>
          <t>2088-04-19</t>
        </is>
      </c>
    </row>
    <row r="68798">
      <c r="A68798" s="1" t="n">
        <v>68797</v>
      </c>
      <c r="B68798">
        <f>TEXT(68797, "[$-0E0000]yyyy-mm-dd")</f>
        <v/>
      </c>
      <c r="C68798" t="inlineStr">
        <is>
          <t>2088-04-20</t>
        </is>
      </c>
    </row>
    <row r="68799">
      <c r="A68799" s="1" t="n">
        <v>68798</v>
      </c>
      <c r="B68799">
        <f>TEXT(68798, "[$-0E0000]yyyy-mm-dd")</f>
        <v/>
      </c>
      <c r="C68799" t="inlineStr">
        <is>
          <t>2088-04-21</t>
        </is>
      </c>
    </row>
    <row r="68800">
      <c r="A68800" s="1" t="n">
        <v>68799</v>
      </c>
      <c r="B68800">
        <f>TEXT(68799, "[$-0E0000]yyyy-mm-dd")</f>
        <v/>
      </c>
      <c r="C68800" t="inlineStr">
        <is>
          <t>2088-04-22</t>
        </is>
      </c>
    </row>
    <row r="68801">
      <c r="A68801" s="1" t="n">
        <v>68800</v>
      </c>
      <c r="B68801">
        <f>TEXT(68800, "[$-0E0000]yyyy-mm-dd")</f>
        <v/>
      </c>
      <c r="C68801" t="inlineStr">
        <is>
          <t>2088-04-23</t>
        </is>
      </c>
    </row>
    <row r="68802">
      <c r="A68802" s="1" t="n">
        <v>68801</v>
      </c>
      <c r="B68802">
        <f>TEXT(68801, "[$-0E0000]yyyy-mm-dd")</f>
        <v/>
      </c>
      <c r="C68802" t="inlineStr">
        <is>
          <t>2088-04-24</t>
        </is>
      </c>
    </row>
    <row r="68803">
      <c r="A68803" s="1" t="n">
        <v>68802</v>
      </c>
      <c r="B68803">
        <f>TEXT(68802, "[$-0E0000]yyyy-mm-dd")</f>
        <v/>
      </c>
      <c r="C68803" t="inlineStr">
        <is>
          <t>2088-04-25</t>
        </is>
      </c>
    </row>
    <row r="68804">
      <c r="A68804" s="1" t="n">
        <v>68803</v>
      </c>
      <c r="B68804">
        <f>TEXT(68803, "[$-0E0000]yyyy-mm-dd")</f>
        <v/>
      </c>
      <c r="C68804" t="inlineStr">
        <is>
          <t>2088-04-26</t>
        </is>
      </c>
    </row>
    <row r="68805">
      <c r="A68805" s="1" t="n">
        <v>68804</v>
      </c>
      <c r="B68805">
        <f>TEXT(68804, "[$-0E0000]yyyy-mm-dd")</f>
        <v/>
      </c>
      <c r="C68805" t="inlineStr">
        <is>
          <t>2088-04-27</t>
        </is>
      </c>
    </row>
    <row r="68806">
      <c r="A68806" s="1" t="n">
        <v>68805</v>
      </c>
      <c r="B68806">
        <f>TEXT(68805, "[$-0E0000]yyyy-mm-dd")</f>
        <v/>
      </c>
      <c r="C68806" t="inlineStr">
        <is>
          <t>2088-04-28</t>
        </is>
      </c>
    </row>
    <row r="68807">
      <c r="A68807" s="1" t="n">
        <v>68806</v>
      </c>
      <c r="B68807">
        <f>TEXT(68806, "[$-0E0000]yyyy-mm-dd")</f>
        <v/>
      </c>
      <c r="C68807" t="inlineStr">
        <is>
          <t>2088-04-29</t>
        </is>
      </c>
    </row>
    <row r="68808">
      <c r="A68808" s="1" t="n">
        <v>68807</v>
      </c>
      <c r="B68808">
        <f>TEXT(68807, "[$-0E0000]yyyy-mm-dd")</f>
        <v/>
      </c>
      <c r="C68808" t="inlineStr">
        <is>
          <t>2088-04-30</t>
        </is>
      </c>
    </row>
    <row r="68809">
      <c r="A68809" s="1" t="n">
        <v>68808</v>
      </c>
      <c r="B68809">
        <f>TEXT(68808, "[$-0E0000]yyyy-mm-dd")</f>
        <v/>
      </c>
      <c r="C68809" t="inlineStr">
        <is>
          <t>2088-04-01</t>
        </is>
      </c>
    </row>
    <row r="68810">
      <c r="A68810" s="1" t="n">
        <v>68809</v>
      </c>
      <c r="B68810">
        <f>TEXT(68809, "[$-0E0000]yyyy-mm-dd")</f>
        <v/>
      </c>
      <c r="C68810" t="inlineStr">
        <is>
          <t>2088-04-02</t>
        </is>
      </c>
    </row>
    <row r="68811">
      <c r="A68811" s="1" t="n">
        <v>68810</v>
      </c>
      <c r="B68811">
        <f>TEXT(68810, "[$-0E0000]yyyy-mm-dd")</f>
        <v/>
      </c>
      <c r="C68811" t="inlineStr">
        <is>
          <t>2088-04-03</t>
        </is>
      </c>
    </row>
    <row r="68812">
      <c r="A68812" s="1" t="n">
        <v>68811</v>
      </c>
      <c r="B68812">
        <f>TEXT(68811, "[$-0E0000]yyyy-mm-dd")</f>
        <v/>
      </c>
      <c r="C68812" t="inlineStr">
        <is>
          <t>2088-04-04</t>
        </is>
      </c>
    </row>
    <row r="68813">
      <c r="A68813" s="1" t="n">
        <v>68812</v>
      </c>
      <c r="B68813">
        <f>TEXT(68812, "[$-0E0000]yyyy-mm-dd")</f>
        <v/>
      </c>
      <c r="C68813" t="inlineStr">
        <is>
          <t>2088-04-05</t>
        </is>
      </c>
    </row>
    <row r="68814">
      <c r="A68814" s="1" t="n">
        <v>68813</v>
      </c>
      <c r="B68814">
        <f>TEXT(68813, "[$-0E0000]yyyy-mm-dd")</f>
        <v/>
      </c>
      <c r="C68814" t="inlineStr">
        <is>
          <t>2088-04-06</t>
        </is>
      </c>
    </row>
    <row r="68815">
      <c r="A68815" s="1" t="n">
        <v>68814</v>
      </c>
      <c r="B68815">
        <f>TEXT(68814, "[$-0E0000]yyyy-mm-dd")</f>
        <v/>
      </c>
      <c r="C68815" t="inlineStr">
        <is>
          <t>2088-04-07</t>
        </is>
      </c>
    </row>
    <row r="68816">
      <c r="A68816" s="1" t="n">
        <v>68815</v>
      </c>
      <c r="B68816">
        <f>TEXT(68815, "[$-0E0000]yyyy-mm-dd")</f>
        <v/>
      </c>
      <c r="C68816" t="inlineStr">
        <is>
          <t>2088-04-08</t>
        </is>
      </c>
    </row>
    <row r="68817">
      <c r="A68817" s="1" t="n">
        <v>68816</v>
      </c>
      <c r="B68817">
        <f>TEXT(68816, "[$-0E0000]yyyy-mm-dd")</f>
        <v/>
      </c>
      <c r="C68817" t="inlineStr">
        <is>
          <t>2088-04-09</t>
        </is>
      </c>
    </row>
    <row r="68818">
      <c r="A68818" s="1" t="n">
        <v>68817</v>
      </c>
      <c r="B68818">
        <f>TEXT(68817, "[$-0E0000]yyyy-mm-dd")</f>
        <v/>
      </c>
      <c r="C68818" t="inlineStr">
        <is>
          <t>2088-04-10</t>
        </is>
      </c>
    </row>
    <row r="68819">
      <c r="A68819" s="1" t="n">
        <v>68818</v>
      </c>
      <c r="B68819">
        <f>TEXT(68818, "[$-0E0000]yyyy-mm-dd")</f>
        <v/>
      </c>
      <c r="C68819" t="inlineStr">
        <is>
          <t>2088-04-11</t>
        </is>
      </c>
    </row>
    <row r="68820">
      <c r="A68820" s="1" t="n">
        <v>68819</v>
      </c>
      <c r="B68820">
        <f>TEXT(68819, "[$-0E0000]yyyy-mm-dd")</f>
        <v/>
      </c>
      <c r="C68820" t="inlineStr">
        <is>
          <t>2088-04-12</t>
        </is>
      </c>
    </row>
    <row r="68821">
      <c r="A68821" s="1" t="n">
        <v>68820</v>
      </c>
      <c r="B68821">
        <f>TEXT(68820, "[$-0E0000]yyyy-mm-dd")</f>
        <v/>
      </c>
      <c r="C68821" t="inlineStr">
        <is>
          <t>2088-04-13</t>
        </is>
      </c>
    </row>
    <row r="68822">
      <c r="A68822" s="1" t="n">
        <v>68821</v>
      </c>
      <c r="B68822">
        <f>TEXT(68821, "[$-0E0000]yyyy-mm-dd")</f>
        <v/>
      </c>
      <c r="C68822" t="inlineStr">
        <is>
          <t>2088-04-14</t>
        </is>
      </c>
    </row>
    <row r="68823">
      <c r="A68823" s="1" t="n">
        <v>68822</v>
      </c>
      <c r="B68823">
        <f>TEXT(68822, "[$-0E0000]yyyy-mm-dd")</f>
        <v/>
      </c>
      <c r="C68823" t="inlineStr">
        <is>
          <t>2088-04-15</t>
        </is>
      </c>
    </row>
    <row r="68824">
      <c r="A68824" s="1" t="n">
        <v>68823</v>
      </c>
      <c r="B68824">
        <f>TEXT(68823, "[$-0E0000]yyyy-mm-dd")</f>
        <v/>
      </c>
      <c r="C68824" t="inlineStr">
        <is>
          <t>2088-04-16</t>
        </is>
      </c>
    </row>
    <row r="68825">
      <c r="A68825" s="1" t="n">
        <v>68824</v>
      </c>
      <c r="B68825">
        <f>TEXT(68824, "[$-0E0000]yyyy-mm-dd")</f>
        <v/>
      </c>
      <c r="C68825" t="inlineStr">
        <is>
          <t>2088-04-17</t>
        </is>
      </c>
    </row>
    <row r="68826">
      <c r="A68826" s="1" t="n">
        <v>68825</v>
      </c>
      <c r="B68826">
        <f>TEXT(68825, "[$-0E0000]yyyy-mm-dd")</f>
        <v/>
      </c>
      <c r="C68826" t="inlineStr">
        <is>
          <t>2088-04-18</t>
        </is>
      </c>
    </row>
    <row r="68827">
      <c r="A68827" s="1" t="n">
        <v>68826</v>
      </c>
      <c r="B68827">
        <f>TEXT(68826, "[$-0E0000]yyyy-mm-dd")</f>
        <v/>
      </c>
      <c r="C68827" t="inlineStr">
        <is>
          <t>2088-04-19</t>
        </is>
      </c>
    </row>
    <row r="68828">
      <c r="A68828" s="1" t="n">
        <v>68827</v>
      </c>
      <c r="B68828">
        <f>TEXT(68827, "[$-0E0000]yyyy-mm-dd")</f>
        <v/>
      </c>
      <c r="C68828" t="inlineStr">
        <is>
          <t>2088-04-20</t>
        </is>
      </c>
    </row>
    <row r="68829">
      <c r="A68829" s="1" t="n">
        <v>68828</v>
      </c>
      <c r="B68829">
        <f>TEXT(68828, "[$-0E0000]yyyy-mm-dd")</f>
        <v/>
      </c>
      <c r="C68829" t="inlineStr">
        <is>
          <t>2088-04-21</t>
        </is>
      </c>
    </row>
    <row r="68830">
      <c r="A68830" s="1" t="n">
        <v>68829</v>
      </c>
      <c r="B68830">
        <f>TEXT(68829, "[$-0E0000]yyyy-mm-dd")</f>
        <v/>
      </c>
      <c r="C68830" t="inlineStr">
        <is>
          <t>2088-04-22</t>
        </is>
      </c>
    </row>
    <row r="68831">
      <c r="A68831" s="1" t="n">
        <v>68830</v>
      </c>
      <c r="B68831">
        <f>TEXT(68830, "[$-0E0000]yyyy-mm-dd")</f>
        <v/>
      </c>
      <c r="C68831" t="inlineStr">
        <is>
          <t>2088-04-23</t>
        </is>
      </c>
    </row>
    <row r="68832">
      <c r="A68832" s="1" t="n">
        <v>68831</v>
      </c>
      <c r="B68832">
        <f>TEXT(68831, "[$-0E0000]yyyy-mm-dd")</f>
        <v/>
      </c>
      <c r="C68832" t="inlineStr">
        <is>
          <t>2088-04-24</t>
        </is>
      </c>
    </row>
    <row r="68833">
      <c r="A68833" s="1" t="n">
        <v>68832</v>
      </c>
      <c r="B68833">
        <f>TEXT(68832, "[$-0E0000]yyyy-mm-dd")</f>
        <v/>
      </c>
      <c r="C68833" t="inlineStr">
        <is>
          <t>2088-04-25</t>
        </is>
      </c>
    </row>
    <row r="68834">
      <c r="A68834" s="1" t="n">
        <v>68833</v>
      </c>
      <c r="B68834">
        <f>TEXT(68833, "[$-0E0000]yyyy-mm-dd")</f>
        <v/>
      </c>
      <c r="C68834" t="inlineStr">
        <is>
          <t>2088-04-26</t>
        </is>
      </c>
    </row>
    <row r="68835">
      <c r="A68835" s="1" t="n">
        <v>68834</v>
      </c>
      <c r="B68835">
        <f>TEXT(68834, "[$-0E0000]yyyy-mm-dd")</f>
        <v/>
      </c>
      <c r="C68835" t="inlineStr">
        <is>
          <t>2088-04-27</t>
        </is>
      </c>
    </row>
    <row r="68836">
      <c r="A68836" s="1" t="n">
        <v>68835</v>
      </c>
      <c r="B68836">
        <f>TEXT(68835, "[$-0E0000]yyyy-mm-dd")</f>
        <v/>
      </c>
      <c r="C68836" t="inlineStr">
        <is>
          <t>2088-04-28</t>
        </is>
      </c>
    </row>
    <row r="68837">
      <c r="A68837" s="1" t="n">
        <v>68836</v>
      </c>
      <c r="B68837">
        <f>TEXT(68836, "[$-0E0000]yyyy-mm-dd")</f>
        <v/>
      </c>
      <c r="C68837" t="inlineStr">
        <is>
          <t>2088-04-29</t>
        </is>
      </c>
    </row>
    <row r="68838">
      <c r="A68838" s="1" t="n">
        <v>68837</v>
      </c>
      <c r="B68838">
        <f>TEXT(68837, "[$-0E0000]yyyy-mm-dd")</f>
        <v/>
      </c>
      <c r="C68838" t="inlineStr">
        <is>
          <t>2088-05-01</t>
        </is>
      </c>
    </row>
    <row r="68839">
      <c r="A68839" s="1" t="n">
        <v>68838</v>
      </c>
      <c r="B68839">
        <f>TEXT(68838, "[$-0E0000]yyyy-mm-dd")</f>
        <v/>
      </c>
      <c r="C68839" t="inlineStr">
        <is>
          <t>2088-05-02</t>
        </is>
      </c>
    </row>
    <row r="68840">
      <c r="A68840" s="1" t="n">
        <v>68839</v>
      </c>
      <c r="B68840">
        <f>TEXT(68839, "[$-0E0000]yyyy-mm-dd")</f>
        <v/>
      </c>
      <c r="C68840" t="inlineStr">
        <is>
          <t>2088-05-03</t>
        </is>
      </c>
    </row>
    <row r="68841">
      <c r="A68841" s="1" t="n">
        <v>68840</v>
      </c>
      <c r="B68841">
        <f>TEXT(68840, "[$-0E0000]yyyy-mm-dd")</f>
        <v/>
      </c>
      <c r="C68841" t="inlineStr">
        <is>
          <t>2088-05-04</t>
        </is>
      </c>
    </row>
    <row r="68842">
      <c r="A68842" s="1" t="n">
        <v>68841</v>
      </c>
      <c r="B68842">
        <f>TEXT(68841, "[$-0E0000]yyyy-mm-dd")</f>
        <v/>
      </c>
      <c r="C68842" t="inlineStr">
        <is>
          <t>2088-05-05</t>
        </is>
      </c>
    </row>
    <row r="68843">
      <c r="A68843" s="1" t="n">
        <v>68842</v>
      </c>
      <c r="B68843">
        <f>TEXT(68842, "[$-0E0000]yyyy-mm-dd")</f>
        <v/>
      </c>
      <c r="C68843" t="inlineStr">
        <is>
          <t>2088-05-06</t>
        </is>
      </c>
    </row>
    <row r="68844">
      <c r="A68844" s="1" t="n">
        <v>68843</v>
      </c>
      <c r="B68844">
        <f>TEXT(68843, "[$-0E0000]yyyy-mm-dd")</f>
        <v/>
      </c>
      <c r="C68844" t="inlineStr">
        <is>
          <t>2088-05-07</t>
        </is>
      </c>
    </row>
    <row r="68845">
      <c r="A68845" s="1" t="n">
        <v>68844</v>
      </c>
      <c r="B68845">
        <f>TEXT(68844, "[$-0E0000]yyyy-mm-dd")</f>
        <v/>
      </c>
      <c r="C68845" t="inlineStr">
        <is>
          <t>2088-05-08</t>
        </is>
      </c>
    </row>
    <row r="68846">
      <c r="A68846" s="1" t="n">
        <v>68845</v>
      </c>
      <c r="B68846">
        <f>TEXT(68845, "[$-0E0000]yyyy-mm-dd")</f>
        <v/>
      </c>
      <c r="C68846" t="inlineStr">
        <is>
          <t>2088-05-09</t>
        </is>
      </c>
    </row>
    <row r="68847">
      <c r="A68847" s="1" t="n">
        <v>68846</v>
      </c>
      <c r="B68847">
        <f>TEXT(68846, "[$-0E0000]yyyy-mm-dd")</f>
        <v/>
      </c>
      <c r="C68847" t="inlineStr">
        <is>
          <t>2088-05-10</t>
        </is>
      </c>
    </row>
    <row r="68848">
      <c r="A68848" s="1" t="n">
        <v>68847</v>
      </c>
      <c r="B68848">
        <f>TEXT(68847, "[$-0E0000]yyyy-mm-dd")</f>
        <v/>
      </c>
      <c r="C68848" t="inlineStr">
        <is>
          <t>2088-05-11</t>
        </is>
      </c>
    </row>
    <row r="68849">
      <c r="A68849" s="1" t="n">
        <v>68848</v>
      </c>
      <c r="B68849">
        <f>TEXT(68848, "[$-0E0000]yyyy-mm-dd")</f>
        <v/>
      </c>
      <c r="C68849" t="inlineStr">
        <is>
          <t>2088-05-12</t>
        </is>
      </c>
    </row>
    <row r="68850">
      <c r="A68850" s="1" t="n">
        <v>68849</v>
      </c>
      <c r="B68850">
        <f>TEXT(68849, "[$-0E0000]yyyy-mm-dd")</f>
        <v/>
      </c>
      <c r="C68850" t="inlineStr">
        <is>
          <t>2088-05-13</t>
        </is>
      </c>
    </row>
    <row r="68851">
      <c r="A68851" s="1" t="n">
        <v>68850</v>
      </c>
      <c r="B68851">
        <f>TEXT(68850, "[$-0E0000]yyyy-mm-dd")</f>
        <v/>
      </c>
      <c r="C68851" t="inlineStr">
        <is>
          <t>2088-05-14</t>
        </is>
      </c>
    </row>
    <row r="68852">
      <c r="A68852" s="1" t="n">
        <v>68851</v>
      </c>
      <c r="B68852">
        <f>TEXT(68851, "[$-0E0000]yyyy-mm-dd")</f>
        <v/>
      </c>
      <c r="C68852" t="inlineStr">
        <is>
          <t>2088-05-15</t>
        </is>
      </c>
    </row>
    <row r="68853">
      <c r="A68853" s="1" t="n">
        <v>68852</v>
      </c>
      <c r="B68853">
        <f>TEXT(68852, "[$-0E0000]yyyy-mm-dd")</f>
        <v/>
      </c>
      <c r="C68853" t="inlineStr">
        <is>
          <t>2088-05-16</t>
        </is>
      </c>
    </row>
    <row r="68854">
      <c r="A68854" s="1" t="n">
        <v>68853</v>
      </c>
      <c r="B68854">
        <f>TEXT(68853, "[$-0E0000]yyyy-mm-dd")</f>
        <v/>
      </c>
      <c r="C68854" t="inlineStr">
        <is>
          <t>2088-05-17</t>
        </is>
      </c>
    </row>
    <row r="68855">
      <c r="A68855" s="1" t="n">
        <v>68854</v>
      </c>
      <c r="B68855">
        <f>TEXT(68854, "[$-0E0000]yyyy-mm-dd")</f>
        <v/>
      </c>
      <c r="C68855" t="inlineStr">
        <is>
          <t>2088-05-18</t>
        </is>
      </c>
    </row>
    <row r="68856">
      <c r="A68856" s="1" t="n">
        <v>68855</v>
      </c>
      <c r="B68856">
        <f>TEXT(68855, "[$-0E0000]yyyy-mm-dd")</f>
        <v/>
      </c>
      <c r="C68856" t="inlineStr">
        <is>
          <t>2088-05-19</t>
        </is>
      </c>
    </row>
    <row r="68857">
      <c r="A68857" s="1" t="n">
        <v>68856</v>
      </c>
      <c r="B68857">
        <f>TEXT(68856, "[$-0E0000]yyyy-mm-dd")</f>
        <v/>
      </c>
      <c r="C68857" t="inlineStr">
        <is>
          <t>2088-05-20</t>
        </is>
      </c>
    </row>
    <row r="68858">
      <c r="A68858" s="1" t="n">
        <v>68857</v>
      </c>
      <c r="B68858">
        <f>TEXT(68857, "[$-0E0000]yyyy-mm-dd")</f>
        <v/>
      </c>
      <c r="C68858" t="inlineStr">
        <is>
          <t>2088-05-21</t>
        </is>
      </c>
    </row>
    <row r="68859">
      <c r="A68859" s="1" t="n">
        <v>68858</v>
      </c>
      <c r="B68859">
        <f>TEXT(68858, "[$-0E0000]yyyy-mm-dd")</f>
        <v/>
      </c>
      <c r="C68859" t="inlineStr">
        <is>
          <t>2088-05-22</t>
        </is>
      </c>
    </row>
    <row r="68860">
      <c r="A68860" s="1" t="n">
        <v>68859</v>
      </c>
      <c r="B68860">
        <f>TEXT(68859, "[$-0E0000]yyyy-mm-dd")</f>
        <v/>
      </c>
      <c r="C68860" t="inlineStr">
        <is>
          <t>2088-05-23</t>
        </is>
      </c>
    </row>
    <row r="68861">
      <c r="A68861" s="1" t="n">
        <v>68860</v>
      </c>
      <c r="B68861">
        <f>TEXT(68860, "[$-0E0000]yyyy-mm-dd")</f>
        <v/>
      </c>
      <c r="C68861" t="inlineStr">
        <is>
          <t>2088-05-24</t>
        </is>
      </c>
    </row>
    <row r="68862">
      <c r="A68862" s="1" t="n">
        <v>68861</v>
      </c>
      <c r="B68862">
        <f>TEXT(68861, "[$-0E0000]yyyy-mm-dd")</f>
        <v/>
      </c>
      <c r="C68862" t="inlineStr">
        <is>
          <t>2088-05-25</t>
        </is>
      </c>
    </row>
    <row r="68863">
      <c r="A68863" s="1" t="n">
        <v>68862</v>
      </c>
      <c r="B68863">
        <f>TEXT(68862, "[$-0E0000]yyyy-mm-dd")</f>
        <v/>
      </c>
      <c r="C68863" t="inlineStr">
        <is>
          <t>2088-05-26</t>
        </is>
      </c>
    </row>
    <row r="68864">
      <c r="A68864" s="1" t="n">
        <v>68863</v>
      </c>
      <c r="B68864">
        <f>TEXT(68863, "[$-0E0000]yyyy-mm-dd")</f>
        <v/>
      </c>
      <c r="C68864" t="inlineStr">
        <is>
          <t>2088-05-27</t>
        </is>
      </c>
    </row>
    <row r="68865">
      <c r="A68865" s="1" t="n">
        <v>68864</v>
      </c>
      <c r="B68865">
        <f>TEXT(68864, "[$-0E0000]yyyy-mm-dd")</f>
        <v/>
      </c>
      <c r="C68865" t="inlineStr">
        <is>
          <t>2088-05-28</t>
        </is>
      </c>
    </row>
    <row r="68866">
      <c r="A68866" s="1" t="n">
        <v>68865</v>
      </c>
      <c r="B68866">
        <f>TEXT(68865, "[$-0E0000]yyyy-mm-dd")</f>
        <v/>
      </c>
      <c r="C68866" t="inlineStr">
        <is>
          <t>2088-05-29</t>
        </is>
      </c>
    </row>
    <row r="68867">
      <c r="A68867" s="1" t="n">
        <v>68866</v>
      </c>
      <c r="B68867">
        <f>TEXT(68866, "[$-0E0000]yyyy-mm-dd")</f>
        <v/>
      </c>
      <c r="C68867" t="inlineStr">
        <is>
          <t>2088-06-01</t>
        </is>
      </c>
    </row>
    <row r="68868">
      <c r="A68868" s="1" t="n">
        <v>68867</v>
      </c>
      <c r="B68868">
        <f>TEXT(68867, "[$-0E0000]yyyy-mm-dd")</f>
        <v/>
      </c>
      <c r="C68868" t="inlineStr">
        <is>
          <t>2088-06-02</t>
        </is>
      </c>
    </row>
    <row r="68869">
      <c r="A68869" s="1" t="n">
        <v>68868</v>
      </c>
      <c r="B68869">
        <f>TEXT(68868, "[$-0E0000]yyyy-mm-dd")</f>
        <v/>
      </c>
      <c r="C68869" t="inlineStr">
        <is>
          <t>2088-06-03</t>
        </is>
      </c>
    </row>
    <row r="68870">
      <c r="A68870" s="1" t="n">
        <v>68869</v>
      </c>
      <c r="B68870">
        <f>TEXT(68869, "[$-0E0000]yyyy-mm-dd")</f>
        <v/>
      </c>
      <c r="C68870" t="inlineStr">
        <is>
          <t>2088-06-04</t>
        </is>
      </c>
    </row>
    <row r="68871">
      <c r="A68871" s="1" t="n">
        <v>68870</v>
      </c>
      <c r="B68871">
        <f>TEXT(68870, "[$-0E0000]yyyy-mm-dd")</f>
        <v/>
      </c>
      <c r="C68871" t="inlineStr">
        <is>
          <t>2088-06-05</t>
        </is>
      </c>
    </row>
    <row r="68872">
      <c r="A68872" s="1" t="n">
        <v>68871</v>
      </c>
      <c r="B68872">
        <f>TEXT(68871, "[$-0E0000]yyyy-mm-dd")</f>
        <v/>
      </c>
      <c r="C68872" t="inlineStr">
        <is>
          <t>2088-06-06</t>
        </is>
      </c>
    </row>
    <row r="68873">
      <c r="A68873" s="1" t="n">
        <v>68872</v>
      </c>
      <c r="B68873">
        <f>TEXT(68872, "[$-0E0000]yyyy-mm-dd")</f>
        <v/>
      </c>
      <c r="C68873" t="inlineStr">
        <is>
          <t>2088-06-07</t>
        </is>
      </c>
    </row>
    <row r="68874">
      <c r="A68874" s="1" t="n">
        <v>68873</v>
      </c>
      <c r="B68874">
        <f>TEXT(68873, "[$-0E0000]yyyy-mm-dd")</f>
        <v/>
      </c>
      <c r="C68874" t="inlineStr">
        <is>
          <t>2088-06-08</t>
        </is>
      </c>
    </row>
    <row r="68875">
      <c r="A68875" s="1" t="n">
        <v>68874</v>
      </c>
      <c r="B68875">
        <f>TEXT(68874, "[$-0E0000]yyyy-mm-dd")</f>
        <v/>
      </c>
      <c r="C68875" t="inlineStr">
        <is>
          <t>2088-06-09</t>
        </is>
      </c>
    </row>
    <row r="68876">
      <c r="A68876" s="1" t="n">
        <v>68875</v>
      </c>
      <c r="B68876">
        <f>TEXT(68875, "[$-0E0000]yyyy-mm-dd")</f>
        <v/>
      </c>
      <c r="C68876" t="inlineStr">
        <is>
          <t>2088-06-10</t>
        </is>
      </c>
    </row>
    <row r="68877">
      <c r="A68877" s="1" t="n">
        <v>68876</v>
      </c>
      <c r="B68877">
        <f>TEXT(68876, "[$-0E0000]yyyy-mm-dd")</f>
        <v/>
      </c>
      <c r="C68877" t="inlineStr">
        <is>
          <t>2088-06-11</t>
        </is>
      </c>
    </row>
    <row r="68878">
      <c r="A68878" s="1" t="n">
        <v>68877</v>
      </c>
      <c r="B68878">
        <f>TEXT(68877, "[$-0E0000]yyyy-mm-dd")</f>
        <v/>
      </c>
      <c r="C68878" t="inlineStr">
        <is>
          <t>2088-06-12</t>
        </is>
      </c>
    </row>
    <row r="68879">
      <c r="A68879" s="1" t="n">
        <v>68878</v>
      </c>
      <c r="B68879">
        <f>TEXT(68878, "[$-0E0000]yyyy-mm-dd")</f>
        <v/>
      </c>
      <c r="C68879" t="inlineStr">
        <is>
          <t>2088-06-13</t>
        </is>
      </c>
    </row>
    <row r="68880">
      <c r="A68880" s="1" t="n">
        <v>68879</v>
      </c>
      <c r="B68880">
        <f>TEXT(68879, "[$-0E0000]yyyy-mm-dd")</f>
        <v/>
      </c>
      <c r="C68880" t="inlineStr">
        <is>
          <t>2088-06-14</t>
        </is>
      </c>
    </row>
    <row r="68881">
      <c r="A68881" s="1" t="n">
        <v>68880</v>
      </c>
      <c r="B68881">
        <f>TEXT(68880, "[$-0E0000]yyyy-mm-dd")</f>
        <v/>
      </c>
      <c r="C68881" t="inlineStr">
        <is>
          <t>2088-06-15</t>
        </is>
      </c>
    </row>
    <row r="68882">
      <c r="A68882" s="1" t="n">
        <v>68881</v>
      </c>
      <c r="B68882">
        <f>TEXT(68881, "[$-0E0000]yyyy-mm-dd")</f>
        <v/>
      </c>
      <c r="C68882" t="inlineStr">
        <is>
          <t>2088-06-16</t>
        </is>
      </c>
    </row>
    <row r="68883">
      <c r="A68883" s="1" t="n">
        <v>68882</v>
      </c>
      <c r="B68883">
        <f>TEXT(68882, "[$-0E0000]yyyy-mm-dd")</f>
        <v/>
      </c>
      <c r="C68883" t="inlineStr">
        <is>
          <t>2088-06-17</t>
        </is>
      </c>
    </row>
    <row r="68884">
      <c r="A68884" s="1" t="n">
        <v>68883</v>
      </c>
      <c r="B68884">
        <f>TEXT(68883, "[$-0E0000]yyyy-mm-dd")</f>
        <v/>
      </c>
      <c r="C68884" t="inlineStr">
        <is>
          <t>2088-06-18</t>
        </is>
      </c>
    </row>
    <row r="68885">
      <c r="A68885" s="1" t="n">
        <v>68884</v>
      </c>
      <c r="B68885">
        <f>TEXT(68884, "[$-0E0000]yyyy-mm-dd")</f>
        <v/>
      </c>
      <c r="C68885" t="inlineStr">
        <is>
          <t>2088-06-19</t>
        </is>
      </c>
    </row>
    <row r="68886">
      <c r="A68886" s="1" t="n">
        <v>68885</v>
      </c>
      <c r="B68886">
        <f>TEXT(68885, "[$-0E0000]yyyy-mm-dd")</f>
        <v/>
      </c>
      <c r="C68886" t="inlineStr">
        <is>
          <t>2088-06-20</t>
        </is>
      </c>
    </row>
    <row r="68887">
      <c r="A68887" s="1" t="n">
        <v>68886</v>
      </c>
      <c r="B68887">
        <f>TEXT(68886, "[$-0E0000]yyyy-mm-dd")</f>
        <v/>
      </c>
      <c r="C68887" t="inlineStr">
        <is>
          <t>2088-06-21</t>
        </is>
      </c>
    </row>
    <row r="68888">
      <c r="A68888" s="1" t="n">
        <v>68887</v>
      </c>
      <c r="B68888">
        <f>TEXT(68887, "[$-0E0000]yyyy-mm-dd")</f>
        <v/>
      </c>
      <c r="C68888" t="inlineStr">
        <is>
          <t>2088-06-22</t>
        </is>
      </c>
    </row>
    <row r="68889">
      <c r="A68889" s="1" t="n">
        <v>68888</v>
      </c>
      <c r="B68889">
        <f>TEXT(68888, "[$-0E0000]yyyy-mm-dd")</f>
        <v/>
      </c>
      <c r="C68889" t="inlineStr">
        <is>
          <t>2088-06-23</t>
        </is>
      </c>
    </row>
    <row r="68890">
      <c r="A68890" s="1" t="n">
        <v>68889</v>
      </c>
      <c r="B68890">
        <f>TEXT(68889, "[$-0E0000]yyyy-mm-dd")</f>
        <v/>
      </c>
      <c r="C68890" t="inlineStr">
        <is>
          <t>2088-06-24</t>
        </is>
      </c>
    </row>
    <row r="68891">
      <c r="A68891" s="1" t="n">
        <v>68890</v>
      </c>
      <c r="B68891">
        <f>TEXT(68890, "[$-0E0000]yyyy-mm-dd")</f>
        <v/>
      </c>
      <c r="C68891" t="inlineStr">
        <is>
          <t>2088-06-25</t>
        </is>
      </c>
    </row>
    <row r="68892">
      <c r="A68892" s="1" t="n">
        <v>68891</v>
      </c>
      <c r="B68892">
        <f>TEXT(68891, "[$-0E0000]yyyy-mm-dd")</f>
        <v/>
      </c>
      <c r="C68892" t="inlineStr">
        <is>
          <t>2088-06-26</t>
        </is>
      </c>
    </row>
    <row r="68893">
      <c r="A68893" s="1" t="n">
        <v>68892</v>
      </c>
      <c r="B68893">
        <f>TEXT(68892, "[$-0E0000]yyyy-mm-dd")</f>
        <v/>
      </c>
      <c r="C68893" t="inlineStr">
        <is>
          <t>2088-06-27</t>
        </is>
      </c>
    </row>
    <row r="68894">
      <c r="A68894" s="1" t="n">
        <v>68893</v>
      </c>
      <c r="B68894">
        <f>TEXT(68893, "[$-0E0000]yyyy-mm-dd")</f>
        <v/>
      </c>
      <c r="C68894" t="inlineStr">
        <is>
          <t>2088-06-28</t>
        </is>
      </c>
    </row>
    <row r="68895">
      <c r="A68895" s="1" t="n">
        <v>68894</v>
      </c>
      <c r="B68895">
        <f>TEXT(68894, "[$-0E0000]yyyy-mm-dd")</f>
        <v/>
      </c>
      <c r="C68895" t="inlineStr">
        <is>
          <t>2088-06-29</t>
        </is>
      </c>
    </row>
    <row r="68896">
      <c r="A68896" s="1" t="n">
        <v>68895</v>
      </c>
      <c r="B68896">
        <f>TEXT(68895, "[$-0E0000]yyyy-mm-dd")</f>
        <v/>
      </c>
      <c r="C68896" t="inlineStr">
        <is>
          <t>2088-06-30</t>
        </is>
      </c>
    </row>
    <row r="68897">
      <c r="A68897" s="1" t="n">
        <v>68896</v>
      </c>
      <c r="B68897">
        <f>TEXT(68896, "[$-0E0000]yyyy-mm-dd")</f>
        <v/>
      </c>
      <c r="C68897" t="inlineStr">
        <is>
          <t>2088-07-01</t>
        </is>
      </c>
    </row>
    <row r="68898">
      <c r="A68898" s="1" t="n">
        <v>68897</v>
      </c>
      <c r="B68898">
        <f>TEXT(68897, "[$-0E0000]yyyy-mm-dd")</f>
        <v/>
      </c>
      <c r="C68898" t="inlineStr">
        <is>
          <t>2088-07-02</t>
        </is>
      </c>
    </row>
    <row r="68899">
      <c r="A68899" s="1" t="n">
        <v>68898</v>
      </c>
      <c r="B68899">
        <f>TEXT(68898, "[$-0E0000]yyyy-mm-dd")</f>
        <v/>
      </c>
      <c r="C68899" t="inlineStr">
        <is>
          <t>2088-07-03</t>
        </is>
      </c>
    </row>
    <row r="68900">
      <c r="A68900" s="1" t="n">
        <v>68899</v>
      </c>
      <c r="B68900">
        <f>TEXT(68899, "[$-0E0000]yyyy-mm-dd")</f>
        <v/>
      </c>
      <c r="C68900" t="inlineStr">
        <is>
          <t>2088-07-04</t>
        </is>
      </c>
    </row>
    <row r="68901">
      <c r="A68901" s="1" t="n">
        <v>68900</v>
      </c>
      <c r="B68901">
        <f>TEXT(68900, "[$-0E0000]yyyy-mm-dd")</f>
        <v/>
      </c>
      <c r="C68901" t="inlineStr">
        <is>
          <t>2088-07-05</t>
        </is>
      </c>
    </row>
    <row r="68902">
      <c r="A68902" s="1" t="n">
        <v>68901</v>
      </c>
      <c r="B68902">
        <f>TEXT(68901, "[$-0E0000]yyyy-mm-dd")</f>
        <v/>
      </c>
      <c r="C68902" t="inlineStr">
        <is>
          <t>2088-07-06</t>
        </is>
      </c>
    </row>
    <row r="68903">
      <c r="A68903" s="1" t="n">
        <v>68902</v>
      </c>
      <c r="B68903">
        <f>TEXT(68902, "[$-0E0000]yyyy-mm-dd")</f>
        <v/>
      </c>
      <c r="C68903" t="inlineStr">
        <is>
          <t>2088-07-07</t>
        </is>
      </c>
    </row>
    <row r="68904">
      <c r="A68904" s="1" t="n">
        <v>68903</v>
      </c>
      <c r="B68904">
        <f>TEXT(68903, "[$-0E0000]yyyy-mm-dd")</f>
        <v/>
      </c>
      <c r="C68904" t="inlineStr">
        <is>
          <t>2088-07-08</t>
        </is>
      </c>
    </row>
    <row r="68905">
      <c r="A68905" s="1" t="n">
        <v>68904</v>
      </c>
      <c r="B68905">
        <f>TEXT(68904, "[$-0E0000]yyyy-mm-dd")</f>
        <v/>
      </c>
      <c r="C68905" t="inlineStr">
        <is>
          <t>2088-07-09</t>
        </is>
      </c>
    </row>
    <row r="68906">
      <c r="A68906" s="1" t="n">
        <v>68905</v>
      </c>
      <c r="B68906">
        <f>TEXT(68905, "[$-0E0000]yyyy-mm-dd")</f>
        <v/>
      </c>
      <c r="C68906" t="inlineStr">
        <is>
          <t>2088-07-10</t>
        </is>
      </c>
    </row>
    <row r="68907">
      <c r="A68907" s="1" t="n">
        <v>68906</v>
      </c>
      <c r="B68907">
        <f>TEXT(68906, "[$-0E0000]yyyy-mm-dd")</f>
        <v/>
      </c>
      <c r="C68907" t="inlineStr">
        <is>
          <t>2088-07-11</t>
        </is>
      </c>
    </row>
    <row r="68908">
      <c r="A68908" s="1" t="n">
        <v>68907</v>
      </c>
      <c r="B68908">
        <f>TEXT(68907, "[$-0E0000]yyyy-mm-dd")</f>
        <v/>
      </c>
      <c r="C68908" t="inlineStr">
        <is>
          <t>2088-07-12</t>
        </is>
      </c>
    </row>
    <row r="68909">
      <c r="A68909" s="1" t="n">
        <v>68908</v>
      </c>
      <c r="B68909">
        <f>TEXT(68908, "[$-0E0000]yyyy-mm-dd")</f>
        <v/>
      </c>
      <c r="C68909" t="inlineStr">
        <is>
          <t>2088-07-13</t>
        </is>
      </c>
    </row>
    <row r="68910">
      <c r="A68910" s="1" t="n">
        <v>68909</v>
      </c>
      <c r="B68910">
        <f>TEXT(68909, "[$-0E0000]yyyy-mm-dd")</f>
        <v/>
      </c>
      <c r="C68910" t="inlineStr">
        <is>
          <t>2088-07-14</t>
        </is>
      </c>
    </row>
    <row r="68911">
      <c r="A68911" s="1" t="n">
        <v>68910</v>
      </c>
      <c r="B68911">
        <f>TEXT(68910, "[$-0E0000]yyyy-mm-dd")</f>
        <v/>
      </c>
      <c r="C68911" t="inlineStr">
        <is>
          <t>2088-07-15</t>
        </is>
      </c>
    </row>
    <row r="68912">
      <c r="A68912" s="1" t="n">
        <v>68911</v>
      </c>
      <c r="B68912">
        <f>TEXT(68911, "[$-0E0000]yyyy-mm-dd")</f>
        <v/>
      </c>
      <c r="C68912" t="inlineStr">
        <is>
          <t>2088-07-16</t>
        </is>
      </c>
    </row>
    <row r="68913">
      <c r="A68913" s="1" t="n">
        <v>68912</v>
      </c>
      <c r="B68913">
        <f>TEXT(68912, "[$-0E0000]yyyy-mm-dd")</f>
        <v/>
      </c>
      <c r="C68913" t="inlineStr">
        <is>
          <t>2088-07-17</t>
        </is>
      </c>
    </row>
    <row r="68914">
      <c r="A68914" s="1" t="n">
        <v>68913</v>
      </c>
      <c r="B68914">
        <f>TEXT(68913, "[$-0E0000]yyyy-mm-dd")</f>
        <v/>
      </c>
      <c r="C68914" t="inlineStr">
        <is>
          <t>2088-07-18</t>
        </is>
      </c>
    </row>
    <row r="68915">
      <c r="A68915" s="1" t="n">
        <v>68914</v>
      </c>
      <c r="B68915">
        <f>TEXT(68914, "[$-0E0000]yyyy-mm-dd")</f>
        <v/>
      </c>
      <c r="C68915" t="inlineStr">
        <is>
          <t>2088-07-19</t>
        </is>
      </c>
    </row>
    <row r="68916">
      <c r="A68916" s="1" t="n">
        <v>68915</v>
      </c>
      <c r="B68916">
        <f>TEXT(68915, "[$-0E0000]yyyy-mm-dd")</f>
        <v/>
      </c>
      <c r="C68916" t="inlineStr">
        <is>
          <t>2088-07-20</t>
        </is>
      </c>
    </row>
    <row r="68917">
      <c r="A68917" s="1" t="n">
        <v>68916</v>
      </c>
      <c r="B68917">
        <f>TEXT(68916, "[$-0E0000]yyyy-mm-dd")</f>
        <v/>
      </c>
      <c r="C68917" t="inlineStr">
        <is>
          <t>2088-07-21</t>
        </is>
      </c>
    </row>
    <row r="68918">
      <c r="A68918" s="1" t="n">
        <v>68917</v>
      </c>
      <c r="B68918">
        <f>TEXT(68917, "[$-0E0000]yyyy-mm-dd")</f>
        <v/>
      </c>
      <c r="C68918" t="inlineStr">
        <is>
          <t>2088-07-22</t>
        </is>
      </c>
    </row>
    <row r="68919">
      <c r="A68919" s="1" t="n">
        <v>68918</v>
      </c>
      <c r="B68919">
        <f>TEXT(68918, "[$-0E0000]yyyy-mm-dd")</f>
        <v/>
      </c>
      <c r="C68919" t="inlineStr">
        <is>
          <t>2088-07-23</t>
        </is>
      </c>
    </row>
    <row r="68920">
      <c r="A68920" s="1" t="n">
        <v>68919</v>
      </c>
      <c r="B68920">
        <f>TEXT(68919, "[$-0E0000]yyyy-mm-dd")</f>
        <v/>
      </c>
      <c r="C68920" t="inlineStr">
        <is>
          <t>2088-07-24</t>
        </is>
      </c>
    </row>
    <row r="68921">
      <c r="A68921" s="1" t="n">
        <v>68920</v>
      </c>
      <c r="B68921">
        <f>TEXT(68920, "[$-0E0000]yyyy-mm-dd")</f>
        <v/>
      </c>
      <c r="C68921" t="inlineStr">
        <is>
          <t>2088-07-25</t>
        </is>
      </c>
    </row>
    <row r="68922">
      <c r="A68922" s="1" t="n">
        <v>68921</v>
      </c>
      <c r="B68922">
        <f>TEXT(68921, "[$-0E0000]yyyy-mm-dd")</f>
        <v/>
      </c>
      <c r="C68922" t="inlineStr">
        <is>
          <t>2088-07-26</t>
        </is>
      </c>
    </row>
    <row r="68923">
      <c r="A68923" s="1" t="n">
        <v>68922</v>
      </c>
      <c r="B68923">
        <f>TEXT(68922, "[$-0E0000]yyyy-mm-dd")</f>
        <v/>
      </c>
      <c r="C68923" t="inlineStr">
        <is>
          <t>2088-07-27</t>
        </is>
      </c>
    </row>
    <row r="68924">
      <c r="A68924" s="1" t="n">
        <v>68923</v>
      </c>
      <c r="B68924">
        <f>TEXT(68923, "[$-0E0000]yyyy-mm-dd")</f>
        <v/>
      </c>
      <c r="C68924" t="inlineStr">
        <is>
          <t>2088-07-28</t>
        </is>
      </c>
    </row>
    <row r="68925">
      <c r="A68925" s="1" t="n">
        <v>68924</v>
      </c>
      <c r="B68925">
        <f>TEXT(68924, "[$-0E0000]yyyy-mm-dd")</f>
        <v/>
      </c>
      <c r="C68925" t="inlineStr">
        <is>
          <t>2088-07-29</t>
        </is>
      </c>
    </row>
    <row r="68926">
      <c r="A68926" s="1" t="n">
        <v>68925</v>
      </c>
      <c r="B68926">
        <f>TEXT(68925, "[$-0E0000]yyyy-mm-dd")</f>
        <v/>
      </c>
      <c r="C68926" t="inlineStr">
        <is>
          <t>2088-08-01</t>
        </is>
      </c>
    </row>
    <row r="68927">
      <c r="A68927" s="1" t="n">
        <v>68926</v>
      </c>
      <c r="B68927">
        <f>TEXT(68926, "[$-0E0000]yyyy-mm-dd")</f>
        <v/>
      </c>
      <c r="C68927" t="inlineStr">
        <is>
          <t>2088-08-02</t>
        </is>
      </c>
    </row>
    <row r="68928">
      <c r="A68928" s="1" t="n">
        <v>68927</v>
      </c>
      <c r="B68928">
        <f>TEXT(68927, "[$-0E0000]yyyy-mm-dd")</f>
        <v/>
      </c>
      <c r="C68928" t="inlineStr">
        <is>
          <t>2088-08-03</t>
        </is>
      </c>
    </row>
    <row r="68929">
      <c r="A68929" s="1" t="n">
        <v>68928</v>
      </c>
      <c r="B68929">
        <f>TEXT(68928, "[$-0E0000]yyyy-mm-dd")</f>
        <v/>
      </c>
      <c r="C68929" t="inlineStr">
        <is>
          <t>2088-08-04</t>
        </is>
      </c>
    </row>
    <row r="68930">
      <c r="A68930" s="1" t="n">
        <v>68929</v>
      </c>
      <c r="B68930">
        <f>TEXT(68929, "[$-0E0000]yyyy-mm-dd")</f>
        <v/>
      </c>
      <c r="C68930" t="inlineStr">
        <is>
          <t>2088-08-05</t>
        </is>
      </c>
    </row>
    <row r="68931">
      <c r="A68931" s="1" t="n">
        <v>68930</v>
      </c>
      <c r="B68931">
        <f>TEXT(68930, "[$-0E0000]yyyy-mm-dd")</f>
        <v/>
      </c>
      <c r="C68931" t="inlineStr">
        <is>
          <t>2088-08-06</t>
        </is>
      </c>
    </row>
    <row r="68932">
      <c r="A68932" s="1" t="n">
        <v>68931</v>
      </c>
      <c r="B68932">
        <f>TEXT(68931, "[$-0E0000]yyyy-mm-dd")</f>
        <v/>
      </c>
      <c r="C68932" t="inlineStr">
        <is>
          <t>2088-08-07</t>
        </is>
      </c>
    </row>
    <row r="68933">
      <c r="A68933" s="1" t="n">
        <v>68932</v>
      </c>
      <c r="B68933">
        <f>TEXT(68932, "[$-0E0000]yyyy-mm-dd")</f>
        <v/>
      </c>
      <c r="C68933" t="inlineStr">
        <is>
          <t>2088-08-08</t>
        </is>
      </c>
    </row>
    <row r="68934">
      <c r="A68934" s="1" t="n">
        <v>68933</v>
      </c>
      <c r="B68934">
        <f>TEXT(68933, "[$-0E0000]yyyy-mm-dd")</f>
        <v/>
      </c>
      <c r="C68934" t="inlineStr">
        <is>
          <t>2088-08-09</t>
        </is>
      </c>
    </row>
    <row r="68935">
      <c r="A68935" s="1" t="n">
        <v>68934</v>
      </c>
      <c r="B68935">
        <f>TEXT(68934, "[$-0E0000]yyyy-mm-dd")</f>
        <v/>
      </c>
      <c r="C68935" t="inlineStr">
        <is>
          <t>2088-08-10</t>
        </is>
      </c>
    </row>
    <row r="68936">
      <c r="A68936" s="1" t="n">
        <v>68935</v>
      </c>
      <c r="B68936">
        <f>TEXT(68935, "[$-0E0000]yyyy-mm-dd")</f>
        <v/>
      </c>
      <c r="C68936" t="inlineStr">
        <is>
          <t>2088-08-11</t>
        </is>
      </c>
    </row>
    <row r="68937">
      <c r="A68937" s="1" t="n">
        <v>68936</v>
      </c>
      <c r="B68937">
        <f>TEXT(68936, "[$-0E0000]yyyy-mm-dd")</f>
        <v/>
      </c>
      <c r="C68937" t="inlineStr">
        <is>
          <t>2088-08-12</t>
        </is>
      </c>
    </row>
    <row r="68938">
      <c r="A68938" s="1" t="n">
        <v>68937</v>
      </c>
      <c r="B68938">
        <f>TEXT(68937, "[$-0E0000]yyyy-mm-dd")</f>
        <v/>
      </c>
      <c r="C68938" t="inlineStr">
        <is>
          <t>2088-08-13</t>
        </is>
      </c>
    </row>
    <row r="68939">
      <c r="A68939" s="1" t="n">
        <v>68938</v>
      </c>
      <c r="B68939">
        <f>TEXT(68938, "[$-0E0000]yyyy-mm-dd")</f>
        <v/>
      </c>
      <c r="C68939" t="inlineStr">
        <is>
          <t>2088-08-14</t>
        </is>
      </c>
    </row>
    <row r="68940">
      <c r="A68940" s="1" t="n">
        <v>68939</v>
      </c>
      <c r="B68940">
        <f>TEXT(68939, "[$-0E0000]yyyy-mm-dd")</f>
        <v/>
      </c>
      <c r="C68940" t="inlineStr">
        <is>
          <t>2088-08-15</t>
        </is>
      </c>
    </row>
    <row r="68941">
      <c r="A68941" s="1" t="n">
        <v>68940</v>
      </c>
      <c r="B68941">
        <f>TEXT(68940, "[$-0E0000]yyyy-mm-dd")</f>
        <v/>
      </c>
      <c r="C68941" t="inlineStr">
        <is>
          <t>2088-08-16</t>
        </is>
      </c>
    </row>
    <row r="68942">
      <c r="A68942" s="1" t="n">
        <v>68941</v>
      </c>
      <c r="B68942">
        <f>TEXT(68941, "[$-0E0000]yyyy-mm-dd")</f>
        <v/>
      </c>
      <c r="C68942" t="inlineStr">
        <is>
          <t>2088-08-17</t>
        </is>
      </c>
    </row>
    <row r="68943">
      <c r="A68943" s="1" t="n">
        <v>68942</v>
      </c>
      <c r="B68943">
        <f>TEXT(68942, "[$-0E0000]yyyy-mm-dd")</f>
        <v/>
      </c>
      <c r="C68943" t="inlineStr">
        <is>
          <t>2088-08-18</t>
        </is>
      </c>
    </row>
    <row r="68944">
      <c r="A68944" s="1" t="n">
        <v>68943</v>
      </c>
      <c r="B68944">
        <f>TEXT(68943, "[$-0E0000]yyyy-mm-dd")</f>
        <v/>
      </c>
      <c r="C68944" t="inlineStr">
        <is>
          <t>2088-08-19</t>
        </is>
      </c>
    </row>
    <row r="68945">
      <c r="A68945" s="1" t="n">
        <v>68944</v>
      </c>
      <c r="B68945">
        <f>TEXT(68944, "[$-0E0000]yyyy-mm-dd")</f>
        <v/>
      </c>
      <c r="C68945" t="inlineStr">
        <is>
          <t>2088-08-20</t>
        </is>
      </c>
    </row>
    <row r="68946">
      <c r="A68946" s="1" t="n">
        <v>68945</v>
      </c>
      <c r="B68946">
        <f>TEXT(68945, "[$-0E0000]yyyy-mm-dd")</f>
        <v/>
      </c>
      <c r="C68946" t="inlineStr">
        <is>
          <t>2088-08-21</t>
        </is>
      </c>
    </row>
    <row r="68947">
      <c r="A68947" s="1" t="n">
        <v>68946</v>
      </c>
      <c r="B68947">
        <f>TEXT(68946, "[$-0E0000]yyyy-mm-dd")</f>
        <v/>
      </c>
      <c r="C68947" t="inlineStr">
        <is>
          <t>2088-08-22</t>
        </is>
      </c>
    </row>
    <row r="68948">
      <c r="A68948" s="1" t="n">
        <v>68947</v>
      </c>
      <c r="B68948">
        <f>TEXT(68947, "[$-0E0000]yyyy-mm-dd")</f>
        <v/>
      </c>
      <c r="C68948" t="inlineStr">
        <is>
          <t>2088-08-23</t>
        </is>
      </c>
    </row>
    <row r="68949">
      <c r="A68949" s="1" t="n">
        <v>68948</v>
      </c>
      <c r="B68949">
        <f>TEXT(68948, "[$-0E0000]yyyy-mm-dd")</f>
        <v/>
      </c>
      <c r="C68949" t="inlineStr">
        <is>
          <t>2088-08-24</t>
        </is>
      </c>
    </row>
    <row r="68950">
      <c r="A68950" s="1" t="n">
        <v>68949</v>
      </c>
      <c r="B68950">
        <f>TEXT(68949, "[$-0E0000]yyyy-mm-dd")</f>
        <v/>
      </c>
      <c r="C68950" t="inlineStr">
        <is>
          <t>2088-08-25</t>
        </is>
      </c>
    </row>
    <row r="68951">
      <c r="A68951" s="1" t="n">
        <v>68950</v>
      </c>
      <c r="B68951">
        <f>TEXT(68950, "[$-0E0000]yyyy-mm-dd")</f>
        <v/>
      </c>
      <c r="C68951" t="inlineStr">
        <is>
          <t>2088-08-26</t>
        </is>
      </c>
    </row>
    <row r="68952">
      <c r="A68952" s="1" t="n">
        <v>68951</v>
      </c>
      <c r="B68952">
        <f>TEXT(68951, "[$-0E0000]yyyy-mm-dd")</f>
        <v/>
      </c>
      <c r="C68952" t="inlineStr">
        <is>
          <t>2088-08-27</t>
        </is>
      </c>
    </row>
    <row r="68953">
      <c r="A68953" s="1" t="n">
        <v>68952</v>
      </c>
      <c r="B68953">
        <f>TEXT(68952, "[$-0E0000]yyyy-mm-dd")</f>
        <v/>
      </c>
      <c r="C68953" t="inlineStr">
        <is>
          <t>2088-08-28</t>
        </is>
      </c>
    </row>
    <row r="68954">
      <c r="A68954" s="1" t="n">
        <v>68953</v>
      </c>
      <c r="B68954">
        <f>TEXT(68953, "[$-0E0000]yyyy-mm-dd")</f>
        <v/>
      </c>
      <c r="C68954" t="inlineStr">
        <is>
          <t>2088-08-29</t>
        </is>
      </c>
    </row>
    <row r="68955">
      <c r="A68955" s="1" t="n">
        <v>68954</v>
      </c>
      <c r="B68955">
        <f>TEXT(68954, "[$-0E0000]yyyy-mm-dd")</f>
        <v/>
      </c>
      <c r="C68955" t="inlineStr">
        <is>
          <t>2088-09-01</t>
        </is>
      </c>
    </row>
    <row r="68956">
      <c r="A68956" s="1" t="n">
        <v>68955</v>
      </c>
      <c r="B68956">
        <f>TEXT(68955, "[$-0E0000]yyyy-mm-dd")</f>
        <v/>
      </c>
      <c r="C68956" t="inlineStr">
        <is>
          <t>2088-09-02</t>
        </is>
      </c>
    </row>
    <row r="68957">
      <c r="A68957" s="1" t="n">
        <v>68956</v>
      </c>
      <c r="B68957">
        <f>TEXT(68956, "[$-0E0000]yyyy-mm-dd")</f>
        <v/>
      </c>
      <c r="C68957" t="inlineStr">
        <is>
          <t>2088-09-03</t>
        </is>
      </c>
    </row>
    <row r="68958">
      <c r="A68958" s="1" t="n">
        <v>68957</v>
      </c>
      <c r="B68958">
        <f>TEXT(68957, "[$-0E0000]yyyy-mm-dd")</f>
        <v/>
      </c>
      <c r="C68958" t="inlineStr">
        <is>
          <t>2088-09-04</t>
        </is>
      </c>
    </row>
    <row r="68959">
      <c r="A68959" s="1" t="n">
        <v>68958</v>
      </c>
      <c r="B68959">
        <f>TEXT(68958, "[$-0E0000]yyyy-mm-dd")</f>
        <v/>
      </c>
      <c r="C68959" t="inlineStr">
        <is>
          <t>2088-09-05</t>
        </is>
      </c>
    </row>
    <row r="68960">
      <c r="A68960" s="1" t="n">
        <v>68959</v>
      </c>
      <c r="B68960">
        <f>TEXT(68959, "[$-0E0000]yyyy-mm-dd")</f>
        <v/>
      </c>
      <c r="C68960" t="inlineStr">
        <is>
          <t>2088-09-06</t>
        </is>
      </c>
    </row>
    <row r="68961">
      <c r="A68961" s="1" t="n">
        <v>68960</v>
      </c>
      <c r="B68961">
        <f>TEXT(68960, "[$-0E0000]yyyy-mm-dd")</f>
        <v/>
      </c>
      <c r="C68961" t="inlineStr">
        <is>
          <t>2088-09-07</t>
        </is>
      </c>
    </row>
    <row r="68962">
      <c r="A68962" s="1" t="n">
        <v>68961</v>
      </c>
      <c r="B68962">
        <f>TEXT(68961, "[$-0E0000]yyyy-mm-dd")</f>
        <v/>
      </c>
      <c r="C68962" t="inlineStr">
        <is>
          <t>2088-09-08</t>
        </is>
      </c>
    </row>
    <row r="68963">
      <c r="A68963" s="1" t="n">
        <v>68962</v>
      </c>
      <c r="B68963">
        <f>TEXT(68962, "[$-0E0000]yyyy-mm-dd")</f>
        <v/>
      </c>
      <c r="C68963" t="inlineStr">
        <is>
          <t>2088-09-09</t>
        </is>
      </c>
    </row>
    <row r="68964">
      <c r="A68964" s="1" t="n">
        <v>68963</v>
      </c>
      <c r="B68964">
        <f>TEXT(68963, "[$-0E0000]yyyy-mm-dd")</f>
        <v/>
      </c>
      <c r="C68964" t="inlineStr">
        <is>
          <t>2088-09-10</t>
        </is>
      </c>
    </row>
    <row r="68965">
      <c r="A68965" s="1" t="n">
        <v>68964</v>
      </c>
      <c r="B68965">
        <f>TEXT(68964, "[$-0E0000]yyyy-mm-dd")</f>
        <v/>
      </c>
      <c r="C68965" t="inlineStr">
        <is>
          <t>2088-09-11</t>
        </is>
      </c>
    </row>
    <row r="68966">
      <c r="A68966" s="1" t="n">
        <v>68965</v>
      </c>
      <c r="B68966">
        <f>TEXT(68965, "[$-0E0000]yyyy-mm-dd")</f>
        <v/>
      </c>
      <c r="C68966" t="inlineStr">
        <is>
          <t>2088-09-12</t>
        </is>
      </c>
    </row>
    <row r="68967">
      <c r="A68967" s="1" t="n">
        <v>68966</v>
      </c>
      <c r="B68967">
        <f>TEXT(68966, "[$-0E0000]yyyy-mm-dd")</f>
        <v/>
      </c>
      <c r="C68967" t="inlineStr">
        <is>
          <t>2088-09-13</t>
        </is>
      </c>
    </row>
    <row r="68968">
      <c r="A68968" s="1" t="n">
        <v>68967</v>
      </c>
      <c r="B68968">
        <f>TEXT(68967, "[$-0E0000]yyyy-mm-dd")</f>
        <v/>
      </c>
      <c r="C68968" t="inlineStr">
        <is>
          <t>2088-09-14</t>
        </is>
      </c>
    </row>
    <row r="68969">
      <c r="A68969" s="1" t="n">
        <v>68968</v>
      </c>
      <c r="B68969">
        <f>TEXT(68968, "[$-0E0000]yyyy-mm-dd")</f>
        <v/>
      </c>
      <c r="C68969" t="inlineStr">
        <is>
          <t>2088-09-15</t>
        </is>
      </c>
    </row>
    <row r="68970">
      <c r="A68970" s="1" t="n">
        <v>68969</v>
      </c>
      <c r="B68970">
        <f>TEXT(68969, "[$-0E0000]yyyy-mm-dd")</f>
        <v/>
      </c>
      <c r="C68970" t="inlineStr">
        <is>
          <t>2088-09-16</t>
        </is>
      </c>
    </row>
    <row r="68971">
      <c r="A68971" s="1" t="n">
        <v>68970</v>
      </c>
      <c r="B68971">
        <f>TEXT(68970, "[$-0E0000]yyyy-mm-dd")</f>
        <v/>
      </c>
      <c r="C68971" t="inlineStr">
        <is>
          <t>2088-09-17</t>
        </is>
      </c>
    </row>
    <row r="68972">
      <c r="A68972" s="1" t="n">
        <v>68971</v>
      </c>
      <c r="B68972">
        <f>TEXT(68971, "[$-0E0000]yyyy-mm-dd")</f>
        <v/>
      </c>
      <c r="C68972" t="inlineStr">
        <is>
          <t>2088-09-18</t>
        </is>
      </c>
    </row>
    <row r="68973">
      <c r="A68973" s="1" t="n">
        <v>68972</v>
      </c>
      <c r="B68973">
        <f>TEXT(68972, "[$-0E0000]yyyy-mm-dd")</f>
        <v/>
      </c>
      <c r="C68973" t="inlineStr">
        <is>
          <t>2088-09-19</t>
        </is>
      </c>
    </row>
    <row r="68974">
      <c r="A68974" s="1" t="n">
        <v>68973</v>
      </c>
      <c r="B68974">
        <f>TEXT(68973, "[$-0E0000]yyyy-mm-dd")</f>
        <v/>
      </c>
      <c r="C68974" t="inlineStr">
        <is>
          <t>2088-09-20</t>
        </is>
      </c>
    </row>
    <row r="68975">
      <c r="A68975" s="1" t="n">
        <v>68974</v>
      </c>
      <c r="B68975">
        <f>TEXT(68974, "[$-0E0000]yyyy-mm-dd")</f>
        <v/>
      </c>
      <c r="C68975" t="inlineStr">
        <is>
          <t>2088-09-21</t>
        </is>
      </c>
    </row>
    <row r="68976">
      <c r="A68976" s="1" t="n">
        <v>68975</v>
      </c>
      <c r="B68976">
        <f>TEXT(68975, "[$-0E0000]yyyy-mm-dd")</f>
        <v/>
      </c>
      <c r="C68976" t="inlineStr">
        <is>
          <t>2088-09-22</t>
        </is>
      </c>
    </row>
    <row r="68977">
      <c r="A68977" s="1" t="n">
        <v>68976</v>
      </c>
      <c r="B68977">
        <f>TEXT(68976, "[$-0E0000]yyyy-mm-dd")</f>
        <v/>
      </c>
      <c r="C68977" t="inlineStr">
        <is>
          <t>2088-09-23</t>
        </is>
      </c>
    </row>
    <row r="68978">
      <c r="A68978" s="1" t="n">
        <v>68977</v>
      </c>
      <c r="B68978">
        <f>TEXT(68977, "[$-0E0000]yyyy-mm-dd")</f>
        <v/>
      </c>
      <c r="C68978" t="inlineStr">
        <is>
          <t>2088-09-24</t>
        </is>
      </c>
    </row>
    <row r="68979">
      <c r="A68979" s="1" t="n">
        <v>68978</v>
      </c>
      <c r="B68979">
        <f>TEXT(68978, "[$-0E0000]yyyy-mm-dd")</f>
        <v/>
      </c>
      <c r="C68979" t="inlineStr">
        <is>
          <t>2088-09-25</t>
        </is>
      </c>
    </row>
    <row r="68980">
      <c r="A68980" s="1" t="n">
        <v>68979</v>
      </c>
      <c r="B68980">
        <f>TEXT(68979, "[$-0E0000]yyyy-mm-dd")</f>
        <v/>
      </c>
      <c r="C68980" t="inlineStr">
        <is>
          <t>2088-09-26</t>
        </is>
      </c>
    </row>
    <row r="68981">
      <c r="A68981" s="1" t="n">
        <v>68980</v>
      </c>
      <c r="B68981">
        <f>TEXT(68980, "[$-0E0000]yyyy-mm-dd")</f>
        <v/>
      </c>
      <c r="C68981" t="inlineStr">
        <is>
          <t>2088-09-27</t>
        </is>
      </c>
    </row>
    <row r="68982">
      <c r="A68982" s="1" t="n">
        <v>68981</v>
      </c>
      <c r="B68982">
        <f>TEXT(68981, "[$-0E0000]yyyy-mm-dd")</f>
        <v/>
      </c>
      <c r="C68982" t="inlineStr">
        <is>
          <t>2088-09-28</t>
        </is>
      </c>
    </row>
    <row r="68983">
      <c r="A68983" s="1" t="n">
        <v>68982</v>
      </c>
      <c r="B68983">
        <f>TEXT(68982, "[$-0E0000]yyyy-mm-dd")</f>
        <v/>
      </c>
      <c r="C68983" t="inlineStr">
        <is>
          <t>2088-09-29</t>
        </is>
      </c>
    </row>
    <row r="68984">
      <c r="A68984" s="1" t="n">
        <v>68983</v>
      </c>
      <c r="B68984">
        <f>TEXT(68983, "[$-0E0000]yyyy-mm-dd")</f>
        <v/>
      </c>
      <c r="C68984" t="inlineStr">
        <is>
          <t>2088-09-30</t>
        </is>
      </c>
    </row>
    <row r="68985">
      <c r="A68985" s="1" t="n">
        <v>68984</v>
      </c>
      <c r="B68985">
        <f>TEXT(68984, "[$-0E0000]yyyy-mm-dd")</f>
        <v/>
      </c>
      <c r="C68985" t="inlineStr">
        <is>
          <t>2088-10-01</t>
        </is>
      </c>
    </row>
    <row r="68986">
      <c r="A68986" s="1" t="n">
        <v>68985</v>
      </c>
      <c r="B68986">
        <f>TEXT(68985, "[$-0E0000]yyyy-mm-dd")</f>
        <v/>
      </c>
      <c r="C68986" t="inlineStr">
        <is>
          <t>2088-10-02</t>
        </is>
      </c>
    </row>
    <row r="68987">
      <c r="A68987" s="1" t="n">
        <v>68986</v>
      </c>
      <c r="B68987">
        <f>TEXT(68986, "[$-0E0000]yyyy-mm-dd")</f>
        <v/>
      </c>
      <c r="C68987" t="inlineStr">
        <is>
          <t>2088-10-03</t>
        </is>
      </c>
    </row>
    <row r="68988">
      <c r="A68988" s="1" t="n">
        <v>68987</v>
      </c>
      <c r="B68988">
        <f>TEXT(68987, "[$-0E0000]yyyy-mm-dd")</f>
        <v/>
      </c>
      <c r="C68988" t="inlineStr">
        <is>
          <t>2088-10-04</t>
        </is>
      </c>
    </row>
    <row r="68989">
      <c r="A68989" s="1" t="n">
        <v>68988</v>
      </c>
      <c r="B68989">
        <f>TEXT(68988, "[$-0E0000]yyyy-mm-dd")</f>
        <v/>
      </c>
      <c r="C68989" t="inlineStr">
        <is>
          <t>2088-10-05</t>
        </is>
      </c>
    </row>
    <row r="68990">
      <c r="A68990" s="1" t="n">
        <v>68989</v>
      </c>
      <c r="B68990">
        <f>TEXT(68989, "[$-0E0000]yyyy-mm-dd")</f>
        <v/>
      </c>
      <c r="C68990" t="inlineStr">
        <is>
          <t>2088-10-06</t>
        </is>
      </c>
    </row>
    <row r="68991">
      <c r="A68991" s="1" t="n">
        <v>68990</v>
      </c>
      <c r="B68991">
        <f>TEXT(68990, "[$-0E0000]yyyy-mm-dd")</f>
        <v/>
      </c>
      <c r="C68991" t="inlineStr">
        <is>
          <t>2088-10-07</t>
        </is>
      </c>
    </row>
    <row r="68992">
      <c r="A68992" s="1" t="n">
        <v>68991</v>
      </c>
      <c r="B68992">
        <f>TEXT(68991, "[$-0E0000]yyyy-mm-dd")</f>
        <v/>
      </c>
      <c r="C68992" t="inlineStr">
        <is>
          <t>2088-10-08</t>
        </is>
      </c>
    </row>
    <row r="68993">
      <c r="A68993" s="1" t="n">
        <v>68992</v>
      </c>
      <c r="B68993">
        <f>TEXT(68992, "[$-0E0000]yyyy-mm-dd")</f>
        <v/>
      </c>
      <c r="C68993" t="inlineStr">
        <is>
          <t>2088-10-09</t>
        </is>
      </c>
    </row>
    <row r="68994">
      <c r="A68994" s="1" t="n">
        <v>68993</v>
      </c>
      <c r="B68994">
        <f>TEXT(68993, "[$-0E0000]yyyy-mm-dd")</f>
        <v/>
      </c>
      <c r="C68994" t="inlineStr">
        <is>
          <t>2088-10-10</t>
        </is>
      </c>
    </row>
    <row r="68995">
      <c r="A68995" s="1" t="n">
        <v>68994</v>
      </c>
      <c r="B68995">
        <f>TEXT(68994, "[$-0E0000]yyyy-mm-dd")</f>
        <v/>
      </c>
      <c r="C68995" t="inlineStr">
        <is>
          <t>2088-10-11</t>
        </is>
      </c>
    </row>
    <row r="68996">
      <c r="A68996" s="1" t="n">
        <v>68995</v>
      </c>
      <c r="B68996">
        <f>TEXT(68995, "[$-0E0000]yyyy-mm-dd")</f>
        <v/>
      </c>
      <c r="C68996" t="inlineStr">
        <is>
          <t>2088-10-12</t>
        </is>
      </c>
    </row>
    <row r="68997">
      <c r="A68997" s="1" t="n">
        <v>68996</v>
      </c>
      <c r="B68997">
        <f>TEXT(68996, "[$-0E0000]yyyy-mm-dd")</f>
        <v/>
      </c>
      <c r="C68997" t="inlineStr">
        <is>
          <t>2088-10-13</t>
        </is>
      </c>
    </row>
    <row r="68998">
      <c r="A68998" s="1" t="n">
        <v>68997</v>
      </c>
      <c r="B68998">
        <f>TEXT(68997, "[$-0E0000]yyyy-mm-dd")</f>
        <v/>
      </c>
      <c r="C68998" t="inlineStr">
        <is>
          <t>2088-10-14</t>
        </is>
      </c>
    </row>
    <row r="68999">
      <c r="A68999" s="1" t="n">
        <v>68998</v>
      </c>
      <c r="B68999">
        <f>TEXT(68998, "[$-0E0000]yyyy-mm-dd")</f>
        <v/>
      </c>
      <c r="C68999" t="inlineStr">
        <is>
          <t>2088-10-15</t>
        </is>
      </c>
    </row>
    <row r="69000">
      <c r="A69000" s="1" t="n">
        <v>68999</v>
      </c>
      <c r="B69000">
        <f>TEXT(68999, "[$-0E0000]yyyy-mm-dd")</f>
        <v/>
      </c>
      <c r="C69000" t="inlineStr">
        <is>
          <t>2088-10-16</t>
        </is>
      </c>
    </row>
    <row r="69001">
      <c r="A69001" s="1" t="n">
        <v>69000</v>
      </c>
      <c r="B69001">
        <f>TEXT(69000, "[$-0E0000]yyyy-mm-dd")</f>
        <v/>
      </c>
      <c r="C69001" t="inlineStr">
        <is>
          <t>2088-10-17</t>
        </is>
      </c>
    </row>
    <row r="69002">
      <c r="A69002" s="1" t="n">
        <v>69001</v>
      </c>
      <c r="B69002">
        <f>TEXT(69001, "[$-0E0000]yyyy-mm-dd")</f>
        <v/>
      </c>
      <c r="C69002" t="inlineStr">
        <is>
          <t>2088-10-18</t>
        </is>
      </c>
    </row>
    <row r="69003">
      <c r="A69003" s="1" t="n">
        <v>69002</v>
      </c>
      <c r="B69003">
        <f>TEXT(69002, "[$-0E0000]yyyy-mm-dd")</f>
        <v/>
      </c>
      <c r="C69003" t="inlineStr">
        <is>
          <t>2088-10-19</t>
        </is>
      </c>
    </row>
    <row r="69004">
      <c r="A69004" s="1" t="n">
        <v>69003</v>
      </c>
      <c r="B69004">
        <f>TEXT(69003, "[$-0E0000]yyyy-mm-dd")</f>
        <v/>
      </c>
      <c r="C69004" t="inlineStr">
        <is>
          <t>2088-10-20</t>
        </is>
      </c>
    </row>
    <row r="69005">
      <c r="A69005" s="1" t="n">
        <v>69004</v>
      </c>
      <c r="B69005">
        <f>TEXT(69004, "[$-0E0000]yyyy-mm-dd")</f>
        <v/>
      </c>
      <c r="C69005" t="inlineStr">
        <is>
          <t>2088-10-21</t>
        </is>
      </c>
    </row>
    <row r="69006">
      <c r="A69006" s="1" t="n">
        <v>69005</v>
      </c>
      <c r="B69006">
        <f>TEXT(69005, "[$-0E0000]yyyy-mm-dd")</f>
        <v/>
      </c>
      <c r="C69006" t="inlineStr">
        <is>
          <t>2088-10-22</t>
        </is>
      </c>
    </row>
    <row r="69007">
      <c r="A69007" s="1" t="n">
        <v>69006</v>
      </c>
      <c r="B69007">
        <f>TEXT(69006, "[$-0E0000]yyyy-mm-dd")</f>
        <v/>
      </c>
      <c r="C69007" t="inlineStr">
        <is>
          <t>2088-10-23</t>
        </is>
      </c>
    </row>
    <row r="69008">
      <c r="A69008" s="1" t="n">
        <v>69007</v>
      </c>
      <c r="B69008">
        <f>TEXT(69007, "[$-0E0000]yyyy-mm-dd")</f>
        <v/>
      </c>
      <c r="C69008" t="inlineStr">
        <is>
          <t>2088-10-24</t>
        </is>
      </c>
    </row>
    <row r="69009">
      <c r="A69009" s="1" t="n">
        <v>69008</v>
      </c>
      <c r="B69009">
        <f>TEXT(69008, "[$-0E0000]yyyy-mm-dd")</f>
        <v/>
      </c>
      <c r="C69009" t="inlineStr">
        <is>
          <t>2088-10-25</t>
        </is>
      </c>
    </row>
    <row r="69010">
      <c r="A69010" s="1" t="n">
        <v>69009</v>
      </c>
      <c r="B69010">
        <f>TEXT(69009, "[$-0E0000]yyyy-mm-dd")</f>
        <v/>
      </c>
      <c r="C69010" t="inlineStr">
        <is>
          <t>2088-10-26</t>
        </is>
      </c>
    </row>
    <row r="69011">
      <c r="A69011" s="1" t="n">
        <v>69010</v>
      </c>
      <c r="B69011">
        <f>TEXT(69010, "[$-0E0000]yyyy-mm-dd")</f>
        <v/>
      </c>
      <c r="C69011" t="inlineStr">
        <is>
          <t>2088-10-27</t>
        </is>
      </c>
    </row>
    <row r="69012">
      <c r="A69012" s="1" t="n">
        <v>69011</v>
      </c>
      <c r="B69012">
        <f>TEXT(69011, "[$-0E0000]yyyy-mm-dd")</f>
        <v/>
      </c>
      <c r="C69012" t="inlineStr">
        <is>
          <t>2088-10-28</t>
        </is>
      </c>
    </row>
    <row r="69013">
      <c r="A69013" s="1" t="n">
        <v>69012</v>
      </c>
      <c r="B69013">
        <f>TEXT(69012, "[$-0E0000]yyyy-mm-dd")</f>
        <v/>
      </c>
      <c r="C69013" t="inlineStr">
        <is>
          <t>2088-10-29</t>
        </is>
      </c>
    </row>
    <row r="69014">
      <c r="A69014" s="1" t="n">
        <v>69013</v>
      </c>
      <c r="B69014">
        <f>TEXT(69013, "[$-0E0000]yyyy-mm-dd")</f>
        <v/>
      </c>
      <c r="C69014" t="inlineStr">
        <is>
          <t>2088-10-30</t>
        </is>
      </c>
    </row>
    <row r="69015">
      <c r="A69015" s="1" t="n">
        <v>69014</v>
      </c>
      <c r="B69015">
        <f>TEXT(69014, "[$-0E0000]yyyy-mm-dd")</f>
        <v/>
      </c>
      <c r="C69015" t="inlineStr">
        <is>
          <t>2088-11-01</t>
        </is>
      </c>
    </row>
    <row r="69016">
      <c r="A69016" s="1" t="n">
        <v>69015</v>
      </c>
      <c r="B69016">
        <f>TEXT(69015, "[$-0E0000]yyyy-mm-dd")</f>
        <v/>
      </c>
      <c r="C69016" t="inlineStr">
        <is>
          <t>2088-11-02</t>
        </is>
      </c>
    </row>
    <row r="69017">
      <c r="A69017" s="1" t="n">
        <v>69016</v>
      </c>
      <c r="B69017">
        <f>TEXT(69016, "[$-0E0000]yyyy-mm-dd")</f>
        <v/>
      </c>
      <c r="C69017" t="inlineStr">
        <is>
          <t>2088-11-03</t>
        </is>
      </c>
    </row>
    <row r="69018">
      <c r="A69018" s="1" t="n">
        <v>69017</v>
      </c>
      <c r="B69018">
        <f>TEXT(69017, "[$-0E0000]yyyy-mm-dd")</f>
        <v/>
      </c>
      <c r="C69018" t="inlineStr">
        <is>
          <t>2088-11-04</t>
        </is>
      </c>
    </row>
    <row r="69019">
      <c r="A69019" s="1" t="n">
        <v>69018</v>
      </c>
      <c r="B69019">
        <f>TEXT(69018, "[$-0E0000]yyyy-mm-dd")</f>
        <v/>
      </c>
      <c r="C69019" t="inlineStr">
        <is>
          <t>2088-11-05</t>
        </is>
      </c>
    </row>
    <row r="69020">
      <c r="A69020" s="1" t="n">
        <v>69019</v>
      </c>
      <c r="B69020">
        <f>TEXT(69019, "[$-0E0000]yyyy-mm-dd")</f>
        <v/>
      </c>
      <c r="C69020" t="inlineStr">
        <is>
          <t>2088-11-06</t>
        </is>
      </c>
    </row>
    <row r="69021">
      <c r="A69021" s="1" t="n">
        <v>69020</v>
      </c>
      <c r="B69021">
        <f>TEXT(69020, "[$-0E0000]yyyy-mm-dd")</f>
        <v/>
      </c>
      <c r="C69021" t="inlineStr">
        <is>
          <t>2088-11-07</t>
        </is>
      </c>
    </row>
    <row r="69022">
      <c r="A69022" s="1" t="n">
        <v>69021</v>
      </c>
      <c r="B69022">
        <f>TEXT(69021, "[$-0E0000]yyyy-mm-dd")</f>
        <v/>
      </c>
      <c r="C69022" t="inlineStr">
        <is>
          <t>2088-11-08</t>
        </is>
      </c>
    </row>
    <row r="69023">
      <c r="A69023" s="1" t="n">
        <v>69022</v>
      </c>
      <c r="B69023">
        <f>TEXT(69022, "[$-0E0000]yyyy-mm-dd")</f>
        <v/>
      </c>
      <c r="C69023" t="inlineStr">
        <is>
          <t>2088-11-09</t>
        </is>
      </c>
    </row>
    <row r="69024">
      <c r="A69024" s="1" t="n">
        <v>69023</v>
      </c>
      <c r="B69024">
        <f>TEXT(69023, "[$-0E0000]yyyy-mm-dd")</f>
        <v/>
      </c>
      <c r="C69024" t="inlineStr">
        <is>
          <t>2088-11-10</t>
        </is>
      </c>
    </row>
    <row r="69025">
      <c r="A69025" s="1" t="n">
        <v>69024</v>
      </c>
      <c r="B69025">
        <f>TEXT(69024, "[$-0E0000]yyyy-mm-dd")</f>
        <v/>
      </c>
      <c r="C69025" t="inlineStr">
        <is>
          <t>2088-11-11</t>
        </is>
      </c>
    </row>
    <row r="69026">
      <c r="A69026" s="1" t="n">
        <v>69025</v>
      </c>
      <c r="B69026">
        <f>TEXT(69025, "[$-0E0000]yyyy-mm-dd")</f>
        <v/>
      </c>
      <c r="C69026" t="inlineStr">
        <is>
          <t>2088-11-12</t>
        </is>
      </c>
    </row>
    <row r="69027">
      <c r="A69027" s="1" t="n">
        <v>69026</v>
      </c>
      <c r="B69027">
        <f>TEXT(69026, "[$-0E0000]yyyy-mm-dd")</f>
        <v/>
      </c>
      <c r="C69027" t="inlineStr">
        <is>
          <t>2088-11-13</t>
        </is>
      </c>
    </row>
    <row r="69028">
      <c r="A69028" s="1" t="n">
        <v>69027</v>
      </c>
      <c r="B69028">
        <f>TEXT(69027, "[$-0E0000]yyyy-mm-dd")</f>
        <v/>
      </c>
      <c r="C69028" t="inlineStr">
        <is>
          <t>2088-11-14</t>
        </is>
      </c>
    </row>
    <row r="69029">
      <c r="A69029" s="1" t="n">
        <v>69028</v>
      </c>
      <c r="B69029">
        <f>TEXT(69028, "[$-0E0000]yyyy-mm-dd")</f>
        <v/>
      </c>
      <c r="C69029" t="inlineStr">
        <is>
          <t>2088-11-15</t>
        </is>
      </c>
    </row>
    <row r="69030">
      <c r="A69030" s="1" t="n">
        <v>69029</v>
      </c>
      <c r="B69030">
        <f>TEXT(69029, "[$-0E0000]yyyy-mm-dd")</f>
        <v/>
      </c>
      <c r="C69030" t="inlineStr">
        <is>
          <t>2088-11-16</t>
        </is>
      </c>
    </row>
    <row r="69031">
      <c r="A69031" s="1" t="n">
        <v>69030</v>
      </c>
      <c r="B69031">
        <f>TEXT(69030, "[$-0E0000]yyyy-mm-dd")</f>
        <v/>
      </c>
      <c r="C69031" t="inlineStr">
        <is>
          <t>2088-11-17</t>
        </is>
      </c>
    </row>
    <row r="69032">
      <c r="A69032" s="1" t="n">
        <v>69031</v>
      </c>
      <c r="B69032">
        <f>TEXT(69031, "[$-0E0000]yyyy-mm-dd")</f>
        <v/>
      </c>
      <c r="C69032" t="inlineStr">
        <is>
          <t>2088-11-18</t>
        </is>
      </c>
    </row>
    <row r="69033">
      <c r="A69033" s="1" t="n">
        <v>69032</v>
      </c>
      <c r="B69033">
        <f>TEXT(69032, "[$-0E0000]yyyy-mm-dd")</f>
        <v/>
      </c>
      <c r="C69033" t="inlineStr">
        <is>
          <t>2088-11-19</t>
        </is>
      </c>
    </row>
    <row r="69034">
      <c r="A69034" s="1" t="n">
        <v>69033</v>
      </c>
      <c r="B69034">
        <f>TEXT(69033, "[$-0E0000]yyyy-mm-dd")</f>
        <v/>
      </c>
      <c r="C69034" t="inlineStr">
        <is>
          <t>2088-11-20</t>
        </is>
      </c>
    </row>
    <row r="69035">
      <c r="A69035" s="1" t="n">
        <v>69034</v>
      </c>
      <c r="B69035">
        <f>TEXT(69034, "[$-0E0000]yyyy-mm-dd")</f>
        <v/>
      </c>
      <c r="C69035" t="inlineStr">
        <is>
          <t>2088-11-21</t>
        </is>
      </c>
    </row>
    <row r="69036">
      <c r="A69036" s="1" t="n">
        <v>69035</v>
      </c>
      <c r="B69036">
        <f>TEXT(69035, "[$-0E0000]yyyy-mm-dd")</f>
        <v/>
      </c>
      <c r="C69036" t="inlineStr">
        <is>
          <t>2088-11-22</t>
        </is>
      </c>
    </row>
    <row r="69037">
      <c r="A69037" s="1" t="n">
        <v>69036</v>
      </c>
      <c r="B69037">
        <f>TEXT(69036, "[$-0E0000]yyyy-mm-dd")</f>
        <v/>
      </c>
      <c r="C69037" t="inlineStr">
        <is>
          <t>2088-11-23</t>
        </is>
      </c>
    </row>
    <row r="69038">
      <c r="A69038" s="1" t="n">
        <v>69037</v>
      </c>
      <c r="B69038">
        <f>TEXT(69037, "[$-0E0000]yyyy-mm-dd")</f>
        <v/>
      </c>
      <c r="C69038" t="inlineStr">
        <is>
          <t>2088-11-24</t>
        </is>
      </c>
    </row>
    <row r="69039">
      <c r="A69039" s="1" t="n">
        <v>69038</v>
      </c>
      <c r="B69039">
        <f>TEXT(69038, "[$-0E0000]yyyy-mm-dd")</f>
        <v/>
      </c>
      <c r="C69039" t="inlineStr">
        <is>
          <t>2088-11-25</t>
        </is>
      </c>
    </row>
    <row r="69040">
      <c r="A69040" s="1" t="n">
        <v>69039</v>
      </c>
      <c r="B69040">
        <f>TEXT(69039, "[$-0E0000]yyyy-mm-dd")</f>
        <v/>
      </c>
      <c r="C69040" t="inlineStr">
        <is>
          <t>2088-11-26</t>
        </is>
      </c>
    </row>
    <row r="69041">
      <c r="A69041" s="1" t="n">
        <v>69040</v>
      </c>
      <c r="B69041">
        <f>TEXT(69040, "[$-0E0000]yyyy-mm-dd")</f>
        <v/>
      </c>
      <c r="C69041" t="inlineStr">
        <is>
          <t>2088-11-27</t>
        </is>
      </c>
    </row>
    <row r="69042">
      <c r="A69042" s="1" t="n">
        <v>69041</v>
      </c>
      <c r="B69042">
        <f>TEXT(69041, "[$-0E0000]yyyy-mm-dd")</f>
        <v/>
      </c>
      <c r="C69042" t="inlineStr">
        <is>
          <t>2088-11-28</t>
        </is>
      </c>
    </row>
    <row r="69043">
      <c r="A69043" s="1" t="n">
        <v>69042</v>
      </c>
      <c r="B69043">
        <f>TEXT(69042, "[$-0E0000]yyyy-mm-dd")</f>
        <v/>
      </c>
      <c r="C69043" t="inlineStr">
        <is>
          <t>2088-11-29</t>
        </is>
      </c>
    </row>
    <row r="69044">
      <c r="A69044" s="1" t="n">
        <v>69043</v>
      </c>
      <c r="B69044">
        <f>TEXT(69043, "[$-0E0000]yyyy-mm-dd")</f>
        <v/>
      </c>
      <c r="C69044" t="inlineStr">
        <is>
          <t>2088-11-30</t>
        </is>
      </c>
    </row>
    <row r="69045">
      <c r="A69045" s="1" t="n">
        <v>69044</v>
      </c>
      <c r="B69045">
        <f>TEXT(69044, "[$-0E0000]yyyy-mm-dd")</f>
        <v/>
      </c>
      <c r="C69045" t="inlineStr">
        <is>
          <t>2088-12-01</t>
        </is>
      </c>
    </row>
    <row r="69046">
      <c r="A69046" s="1" t="n">
        <v>69045</v>
      </c>
      <c r="B69046">
        <f>TEXT(69045, "[$-0E0000]yyyy-mm-dd")</f>
        <v/>
      </c>
      <c r="C69046" t="inlineStr">
        <is>
          <t>2088-12-02</t>
        </is>
      </c>
    </row>
    <row r="69047">
      <c r="A69047" s="1" t="n">
        <v>69046</v>
      </c>
      <c r="B69047">
        <f>TEXT(69046, "[$-0E0000]yyyy-mm-dd")</f>
        <v/>
      </c>
      <c r="C69047" t="inlineStr">
        <is>
          <t>2088-12-03</t>
        </is>
      </c>
    </row>
    <row r="69048">
      <c r="A69048" s="1" t="n">
        <v>69047</v>
      </c>
      <c r="B69048">
        <f>TEXT(69047, "[$-0E0000]yyyy-mm-dd")</f>
        <v/>
      </c>
      <c r="C69048" t="inlineStr">
        <is>
          <t>2088-12-04</t>
        </is>
      </c>
    </row>
    <row r="69049">
      <c r="A69049" s="1" t="n">
        <v>69048</v>
      </c>
      <c r="B69049">
        <f>TEXT(69048, "[$-0E0000]yyyy-mm-dd")</f>
        <v/>
      </c>
      <c r="C69049" t="inlineStr">
        <is>
          <t>2088-12-05</t>
        </is>
      </c>
    </row>
    <row r="69050">
      <c r="A69050" s="1" t="n">
        <v>69049</v>
      </c>
      <c r="B69050">
        <f>TEXT(69049, "[$-0E0000]yyyy-mm-dd")</f>
        <v/>
      </c>
      <c r="C69050" t="inlineStr">
        <is>
          <t>2088-12-06</t>
        </is>
      </c>
    </row>
    <row r="69051">
      <c r="A69051" s="1" t="n">
        <v>69050</v>
      </c>
      <c r="B69051">
        <f>TEXT(69050, "[$-0E0000]yyyy-mm-dd")</f>
        <v/>
      </c>
      <c r="C69051" t="inlineStr">
        <is>
          <t>2088-12-07</t>
        </is>
      </c>
    </row>
    <row r="69052">
      <c r="A69052" s="1" t="n">
        <v>69051</v>
      </c>
      <c r="B69052">
        <f>TEXT(69051, "[$-0E0000]yyyy-mm-dd")</f>
        <v/>
      </c>
      <c r="C69052" t="inlineStr">
        <is>
          <t>2088-12-08</t>
        </is>
      </c>
    </row>
    <row r="69053">
      <c r="A69053" s="1" t="n">
        <v>69052</v>
      </c>
      <c r="B69053">
        <f>TEXT(69052, "[$-0E0000]yyyy-mm-dd")</f>
        <v/>
      </c>
      <c r="C69053" t="inlineStr">
        <is>
          <t>2088-12-09</t>
        </is>
      </c>
    </row>
    <row r="69054">
      <c r="A69054" s="1" t="n">
        <v>69053</v>
      </c>
      <c r="B69054">
        <f>TEXT(69053, "[$-0E0000]yyyy-mm-dd")</f>
        <v/>
      </c>
      <c r="C69054" t="inlineStr">
        <is>
          <t>2088-12-10</t>
        </is>
      </c>
    </row>
    <row r="69055">
      <c r="A69055" s="1" t="n">
        <v>69054</v>
      </c>
      <c r="B69055">
        <f>TEXT(69054, "[$-0E0000]yyyy-mm-dd")</f>
        <v/>
      </c>
      <c r="C69055" t="inlineStr">
        <is>
          <t>2088-12-11</t>
        </is>
      </c>
    </row>
    <row r="69056">
      <c r="A69056" s="1" t="n">
        <v>69055</v>
      </c>
      <c r="B69056">
        <f>TEXT(69055, "[$-0E0000]yyyy-mm-dd")</f>
        <v/>
      </c>
      <c r="C69056" t="inlineStr">
        <is>
          <t>2088-12-12</t>
        </is>
      </c>
    </row>
    <row r="69057">
      <c r="A69057" s="1" t="n">
        <v>69056</v>
      </c>
      <c r="B69057">
        <f>TEXT(69056, "[$-0E0000]yyyy-mm-dd")</f>
        <v/>
      </c>
      <c r="C69057" t="inlineStr">
        <is>
          <t>2088-12-13</t>
        </is>
      </c>
    </row>
    <row r="69058">
      <c r="A69058" s="1" t="n">
        <v>69057</v>
      </c>
      <c r="B69058">
        <f>TEXT(69057, "[$-0E0000]yyyy-mm-dd")</f>
        <v/>
      </c>
      <c r="C69058" t="inlineStr">
        <is>
          <t>2088-12-14</t>
        </is>
      </c>
    </row>
    <row r="69059">
      <c r="A69059" s="1" t="n">
        <v>69058</v>
      </c>
      <c r="B69059">
        <f>TEXT(69058, "[$-0E0000]yyyy-mm-dd")</f>
        <v/>
      </c>
      <c r="C69059" t="inlineStr">
        <is>
          <t>2088-12-15</t>
        </is>
      </c>
    </row>
    <row r="69060">
      <c r="A69060" s="1" t="n">
        <v>69059</v>
      </c>
      <c r="B69060">
        <f>TEXT(69059, "[$-0E0000]yyyy-mm-dd")</f>
        <v/>
      </c>
      <c r="C69060" t="inlineStr">
        <is>
          <t>2088-12-16</t>
        </is>
      </c>
    </row>
    <row r="69061">
      <c r="A69061" s="1" t="n">
        <v>69060</v>
      </c>
      <c r="B69061">
        <f>TEXT(69060, "[$-0E0000]yyyy-mm-dd")</f>
        <v/>
      </c>
      <c r="C69061" t="inlineStr">
        <is>
          <t>2088-12-17</t>
        </is>
      </c>
    </row>
    <row r="69062">
      <c r="A69062" s="1" t="n">
        <v>69061</v>
      </c>
      <c r="B69062">
        <f>TEXT(69061, "[$-0E0000]yyyy-mm-dd")</f>
        <v/>
      </c>
      <c r="C69062" t="inlineStr">
        <is>
          <t>2088-12-18</t>
        </is>
      </c>
    </row>
    <row r="69063">
      <c r="A69063" s="1" t="n">
        <v>69062</v>
      </c>
      <c r="B69063">
        <f>TEXT(69062, "[$-0E0000]yyyy-mm-dd")</f>
        <v/>
      </c>
      <c r="C69063" t="inlineStr">
        <is>
          <t>2088-12-19</t>
        </is>
      </c>
    </row>
    <row r="69064">
      <c r="A69064" s="1" t="n">
        <v>69063</v>
      </c>
      <c r="B69064">
        <f>TEXT(69063, "[$-0E0000]yyyy-mm-dd")</f>
        <v/>
      </c>
      <c r="C69064" t="inlineStr">
        <is>
          <t>2088-12-20</t>
        </is>
      </c>
    </row>
    <row r="69065">
      <c r="A69065" s="1" t="n">
        <v>69064</v>
      </c>
      <c r="B69065">
        <f>TEXT(69064, "[$-0E0000]yyyy-mm-dd")</f>
        <v/>
      </c>
      <c r="C69065" t="inlineStr">
        <is>
          <t>2088-12-21</t>
        </is>
      </c>
    </row>
    <row r="69066">
      <c r="A69066" s="1" t="n">
        <v>69065</v>
      </c>
      <c r="B69066">
        <f>TEXT(69065, "[$-0E0000]yyyy-mm-dd")</f>
        <v/>
      </c>
      <c r="C69066" t="inlineStr">
        <is>
          <t>2088-12-22</t>
        </is>
      </c>
    </row>
    <row r="69067">
      <c r="A69067" s="1" t="n">
        <v>69066</v>
      </c>
      <c r="B69067">
        <f>TEXT(69066, "[$-0E0000]yyyy-mm-dd")</f>
        <v/>
      </c>
      <c r="C69067" t="inlineStr">
        <is>
          <t>2088-12-23</t>
        </is>
      </c>
    </row>
    <row r="69068">
      <c r="A69068" s="1" t="n">
        <v>69067</v>
      </c>
      <c r="B69068">
        <f>TEXT(69067, "[$-0E0000]yyyy-mm-dd")</f>
        <v/>
      </c>
      <c r="C69068" t="inlineStr">
        <is>
          <t>2088-12-24</t>
        </is>
      </c>
    </row>
    <row r="69069">
      <c r="A69069" s="1" t="n">
        <v>69068</v>
      </c>
      <c r="B69069">
        <f>TEXT(69068, "[$-0E0000]yyyy-mm-dd")</f>
        <v/>
      </c>
      <c r="C69069" t="inlineStr">
        <is>
          <t>2088-12-25</t>
        </is>
      </c>
    </row>
    <row r="69070">
      <c r="A69070" s="1" t="n">
        <v>69069</v>
      </c>
      <c r="B69070">
        <f>TEXT(69069, "[$-0E0000]yyyy-mm-dd")</f>
        <v/>
      </c>
      <c r="C69070" t="inlineStr">
        <is>
          <t>2088-12-26</t>
        </is>
      </c>
    </row>
    <row r="69071">
      <c r="A69071" s="1" t="n">
        <v>69070</v>
      </c>
      <c r="B69071">
        <f>TEXT(69070, "[$-0E0000]yyyy-mm-dd")</f>
        <v/>
      </c>
      <c r="C69071" t="inlineStr">
        <is>
          <t>2088-12-27</t>
        </is>
      </c>
    </row>
    <row r="69072">
      <c r="A69072" s="1" t="n">
        <v>69071</v>
      </c>
      <c r="B69072">
        <f>TEXT(69071, "[$-0E0000]yyyy-mm-dd")</f>
        <v/>
      </c>
      <c r="C69072" t="inlineStr">
        <is>
          <t>2088-12-28</t>
        </is>
      </c>
    </row>
    <row r="69073">
      <c r="A69073" s="1" t="n">
        <v>69072</v>
      </c>
      <c r="B69073">
        <f>TEXT(69072, "[$-0E0000]yyyy-mm-dd")</f>
        <v/>
      </c>
      <c r="C69073" t="inlineStr">
        <is>
          <t>2088-12-29</t>
        </is>
      </c>
    </row>
    <row r="69074">
      <c r="A69074" s="1" t="n">
        <v>69073</v>
      </c>
      <c r="B69074">
        <f>TEXT(69073, "[$-0E0000]yyyy-mm-dd")</f>
        <v/>
      </c>
      <c r="C69074" t="inlineStr">
        <is>
          <t>2089-01-01</t>
        </is>
      </c>
    </row>
    <row r="69075">
      <c r="A69075" s="1" t="n">
        <v>69074</v>
      </c>
      <c r="B69075">
        <f>TEXT(69074, "[$-0E0000]yyyy-mm-dd")</f>
        <v/>
      </c>
      <c r="C69075" t="inlineStr">
        <is>
          <t>2089-01-02</t>
        </is>
      </c>
    </row>
    <row r="69076">
      <c r="A69076" s="1" t="n">
        <v>69075</v>
      </c>
      <c r="B69076">
        <f>TEXT(69075, "[$-0E0000]yyyy-mm-dd")</f>
        <v/>
      </c>
      <c r="C69076" t="inlineStr">
        <is>
          <t>2089-01-03</t>
        </is>
      </c>
    </row>
    <row r="69077">
      <c r="A69077" s="1" t="n">
        <v>69076</v>
      </c>
      <c r="B69077">
        <f>TEXT(69076, "[$-0E0000]yyyy-mm-dd")</f>
        <v/>
      </c>
      <c r="C69077" t="inlineStr">
        <is>
          <t>2089-01-04</t>
        </is>
      </c>
    </row>
    <row r="69078">
      <c r="A69078" s="1" t="n">
        <v>69077</v>
      </c>
      <c r="B69078">
        <f>TEXT(69077, "[$-0E0000]yyyy-mm-dd")</f>
        <v/>
      </c>
      <c r="C69078" t="inlineStr">
        <is>
          <t>2089-01-05</t>
        </is>
      </c>
    </row>
    <row r="69079">
      <c r="A69079" s="1" t="n">
        <v>69078</v>
      </c>
      <c r="B69079">
        <f>TEXT(69078, "[$-0E0000]yyyy-mm-dd")</f>
        <v/>
      </c>
      <c r="C69079" t="inlineStr">
        <is>
          <t>2089-01-06</t>
        </is>
      </c>
    </row>
    <row r="69080">
      <c r="A69080" s="1" t="n">
        <v>69079</v>
      </c>
      <c r="B69080">
        <f>TEXT(69079, "[$-0E0000]yyyy-mm-dd")</f>
        <v/>
      </c>
      <c r="C69080" t="inlineStr">
        <is>
          <t>2089-01-07</t>
        </is>
      </c>
    </row>
    <row r="69081">
      <c r="A69081" s="1" t="n">
        <v>69080</v>
      </c>
      <c r="B69081">
        <f>TEXT(69080, "[$-0E0000]yyyy-mm-dd")</f>
        <v/>
      </c>
      <c r="C69081" t="inlineStr">
        <is>
          <t>2089-01-08</t>
        </is>
      </c>
    </row>
    <row r="69082">
      <c r="A69082" s="1" t="n">
        <v>69081</v>
      </c>
      <c r="B69082">
        <f>TEXT(69081, "[$-0E0000]yyyy-mm-dd")</f>
        <v/>
      </c>
      <c r="C69082" t="inlineStr">
        <is>
          <t>2089-01-09</t>
        </is>
      </c>
    </row>
    <row r="69083">
      <c r="A69083" s="1" t="n">
        <v>69082</v>
      </c>
      <c r="B69083">
        <f>TEXT(69082, "[$-0E0000]yyyy-mm-dd")</f>
        <v/>
      </c>
      <c r="C69083" t="inlineStr">
        <is>
          <t>2089-01-10</t>
        </is>
      </c>
    </row>
    <row r="69084">
      <c r="A69084" s="1" t="n">
        <v>69083</v>
      </c>
      <c r="B69084">
        <f>TEXT(69083, "[$-0E0000]yyyy-mm-dd")</f>
        <v/>
      </c>
      <c r="C69084" t="inlineStr">
        <is>
          <t>2089-01-11</t>
        </is>
      </c>
    </row>
    <row r="69085">
      <c r="A69085" s="1" t="n">
        <v>69084</v>
      </c>
      <c r="B69085">
        <f>TEXT(69084, "[$-0E0000]yyyy-mm-dd")</f>
        <v/>
      </c>
      <c r="C69085" t="inlineStr">
        <is>
          <t>2089-01-12</t>
        </is>
      </c>
    </row>
    <row r="69086">
      <c r="A69086" s="1" t="n">
        <v>69085</v>
      </c>
      <c r="B69086">
        <f>TEXT(69085, "[$-0E0000]yyyy-mm-dd")</f>
        <v/>
      </c>
      <c r="C69086" t="inlineStr">
        <is>
          <t>2089-01-13</t>
        </is>
      </c>
    </row>
    <row r="69087">
      <c r="A69087" s="1" t="n">
        <v>69086</v>
      </c>
      <c r="B69087">
        <f>TEXT(69086, "[$-0E0000]yyyy-mm-dd")</f>
        <v/>
      </c>
      <c r="C69087" t="inlineStr">
        <is>
          <t>2089-01-14</t>
        </is>
      </c>
    </row>
    <row r="69088">
      <c r="A69088" s="1" t="n">
        <v>69087</v>
      </c>
      <c r="B69088">
        <f>TEXT(69087, "[$-0E0000]yyyy-mm-dd")</f>
        <v/>
      </c>
      <c r="C69088" t="inlineStr">
        <is>
          <t>2089-01-15</t>
        </is>
      </c>
    </row>
    <row r="69089">
      <c r="A69089" s="1" t="n">
        <v>69088</v>
      </c>
      <c r="B69089">
        <f>TEXT(69088, "[$-0E0000]yyyy-mm-dd")</f>
        <v/>
      </c>
      <c r="C69089" t="inlineStr">
        <is>
          <t>2089-01-16</t>
        </is>
      </c>
    </row>
    <row r="69090">
      <c r="A69090" s="1" t="n">
        <v>69089</v>
      </c>
      <c r="B69090">
        <f>TEXT(69089, "[$-0E0000]yyyy-mm-dd")</f>
        <v/>
      </c>
      <c r="C69090" t="inlineStr">
        <is>
          <t>2089-01-17</t>
        </is>
      </c>
    </row>
    <row r="69091">
      <c r="A69091" s="1" t="n">
        <v>69090</v>
      </c>
      <c r="B69091">
        <f>TEXT(69090, "[$-0E0000]yyyy-mm-dd")</f>
        <v/>
      </c>
      <c r="C69091" t="inlineStr">
        <is>
          <t>2089-01-18</t>
        </is>
      </c>
    </row>
    <row r="69092">
      <c r="A69092" s="1" t="n">
        <v>69091</v>
      </c>
      <c r="B69092">
        <f>TEXT(69091, "[$-0E0000]yyyy-mm-dd")</f>
        <v/>
      </c>
      <c r="C69092" t="inlineStr">
        <is>
          <t>2089-01-19</t>
        </is>
      </c>
    </row>
    <row r="69093">
      <c r="A69093" s="1" t="n">
        <v>69092</v>
      </c>
      <c r="B69093">
        <f>TEXT(69092, "[$-0E0000]yyyy-mm-dd")</f>
        <v/>
      </c>
      <c r="C69093" t="inlineStr">
        <is>
          <t>2089-01-20</t>
        </is>
      </c>
    </row>
    <row r="69094">
      <c r="A69094" s="1" t="n">
        <v>69093</v>
      </c>
      <c r="B69094">
        <f>TEXT(69093, "[$-0E0000]yyyy-mm-dd")</f>
        <v/>
      </c>
      <c r="C69094" t="inlineStr">
        <is>
          <t>2089-01-21</t>
        </is>
      </c>
    </row>
    <row r="69095">
      <c r="A69095" s="1" t="n">
        <v>69094</v>
      </c>
      <c r="B69095">
        <f>TEXT(69094, "[$-0E0000]yyyy-mm-dd")</f>
        <v/>
      </c>
      <c r="C69095" t="inlineStr">
        <is>
          <t>2089-01-22</t>
        </is>
      </c>
    </row>
    <row r="69096">
      <c r="A69096" s="1" t="n">
        <v>69095</v>
      </c>
      <c r="B69096">
        <f>TEXT(69095, "[$-0E0000]yyyy-mm-dd")</f>
        <v/>
      </c>
      <c r="C69096" t="inlineStr">
        <is>
          <t>2089-01-23</t>
        </is>
      </c>
    </row>
    <row r="69097">
      <c r="A69097" s="1" t="n">
        <v>69096</v>
      </c>
      <c r="B69097">
        <f>TEXT(69096, "[$-0E0000]yyyy-mm-dd")</f>
        <v/>
      </c>
      <c r="C69097" t="inlineStr">
        <is>
          <t>2089-01-24</t>
        </is>
      </c>
    </row>
    <row r="69098">
      <c r="A69098" s="1" t="n">
        <v>69097</v>
      </c>
      <c r="B69098">
        <f>TEXT(69097, "[$-0E0000]yyyy-mm-dd")</f>
        <v/>
      </c>
      <c r="C69098" t="inlineStr">
        <is>
          <t>2089-01-25</t>
        </is>
      </c>
    </row>
    <row r="69099">
      <c r="A69099" s="1" t="n">
        <v>69098</v>
      </c>
      <c r="B69099">
        <f>TEXT(69098, "[$-0E0000]yyyy-mm-dd")</f>
        <v/>
      </c>
      <c r="C69099" t="inlineStr">
        <is>
          <t>2089-01-26</t>
        </is>
      </c>
    </row>
    <row r="69100">
      <c r="A69100" s="1" t="n">
        <v>69099</v>
      </c>
      <c r="B69100">
        <f>TEXT(69099, "[$-0E0000]yyyy-mm-dd")</f>
        <v/>
      </c>
      <c r="C69100" t="inlineStr">
        <is>
          <t>2089-01-27</t>
        </is>
      </c>
    </row>
    <row r="69101">
      <c r="A69101" s="1" t="n">
        <v>69100</v>
      </c>
      <c r="B69101">
        <f>TEXT(69100, "[$-0E0000]yyyy-mm-dd")</f>
        <v/>
      </c>
      <c r="C69101" t="inlineStr">
        <is>
          <t>2089-01-28</t>
        </is>
      </c>
    </row>
    <row r="69102">
      <c r="A69102" s="1" t="n">
        <v>69101</v>
      </c>
      <c r="B69102">
        <f>TEXT(69101, "[$-0E0000]yyyy-mm-dd")</f>
        <v/>
      </c>
      <c r="C69102" t="inlineStr">
        <is>
          <t>2089-01-29</t>
        </is>
      </c>
    </row>
    <row r="69103">
      <c r="A69103" s="1" t="n">
        <v>69102</v>
      </c>
      <c r="B69103">
        <f>TEXT(69102, "[$-0E0000]yyyy-mm-dd")</f>
        <v/>
      </c>
      <c r="C69103" t="inlineStr">
        <is>
          <t>2089-01-30</t>
        </is>
      </c>
    </row>
    <row r="69104">
      <c r="A69104" s="1" t="n">
        <v>69103</v>
      </c>
      <c r="B69104">
        <f>TEXT(69103, "[$-0E0000]yyyy-mm-dd")</f>
        <v/>
      </c>
      <c r="C69104" t="inlineStr">
        <is>
          <t>2089-02-01</t>
        </is>
      </c>
    </row>
    <row r="69105">
      <c r="A69105" s="1" t="n">
        <v>69104</v>
      </c>
      <c r="B69105">
        <f>TEXT(69104, "[$-0E0000]yyyy-mm-dd")</f>
        <v/>
      </c>
      <c r="C69105" t="inlineStr">
        <is>
          <t>2089-02-02</t>
        </is>
      </c>
    </row>
    <row r="69106">
      <c r="A69106" s="1" t="n">
        <v>69105</v>
      </c>
      <c r="B69106">
        <f>TEXT(69105, "[$-0E0000]yyyy-mm-dd")</f>
        <v/>
      </c>
      <c r="C69106" t="inlineStr">
        <is>
          <t>2089-02-03</t>
        </is>
      </c>
    </row>
    <row r="69107">
      <c r="A69107" s="1" t="n">
        <v>69106</v>
      </c>
      <c r="B69107">
        <f>TEXT(69106, "[$-0E0000]yyyy-mm-dd")</f>
        <v/>
      </c>
      <c r="C69107" t="inlineStr">
        <is>
          <t>2089-02-04</t>
        </is>
      </c>
    </row>
    <row r="69108">
      <c r="A69108" s="1" t="n">
        <v>69107</v>
      </c>
      <c r="B69108">
        <f>TEXT(69107, "[$-0E0000]yyyy-mm-dd")</f>
        <v/>
      </c>
      <c r="C69108" t="inlineStr">
        <is>
          <t>2089-02-05</t>
        </is>
      </c>
    </row>
    <row r="69109">
      <c r="A69109" s="1" t="n">
        <v>69108</v>
      </c>
      <c r="B69109">
        <f>TEXT(69108, "[$-0E0000]yyyy-mm-dd")</f>
        <v/>
      </c>
      <c r="C69109" t="inlineStr">
        <is>
          <t>2089-02-06</t>
        </is>
      </c>
    </row>
    <row r="69110">
      <c r="A69110" s="1" t="n">
        <v>69109</v>
      </c>
      <c r="B69110">
        <f>TEXT(69109, "[$-0E0000]yyyy-mm-dd")</f>
        <v/>
      </c>
      <c r="C69110" t="inlineStr">
        <is>
          <t>2089-02-07</t>
        </is>
      </c>
    </row>
    <row r="69111">
      <c r="A69111" s="1" t="n">
        <v>69110</v>
      </c>
      <c r="B69111">
        <f>TEXT(69110, "[$-0E0000]yyyy-mm-dd")</f>
        <v/>
      </c>
      <c r="C69111" t="inlineStr">
        <is>
          <t>2089-02-08</t>
        </is>
      </c>
    </row>
    <row r="69112">
      <c r="A69112" s="1" t="n">
        <v>69111</v>
      </c>
      <c r="B69112">
        <f>TEXT(69111, "[$-0E0000]yyyy-mm-dd")</f>
        <v/>
      </c>
      <c r="C69112" t="inlineStr">
        <is>
          <t>2089-02-09</t>
        </is>
      </c>
    </row>
    <row r="69113">
      <c r="A69113" s="1" t="n">
        <v>69112</v>
      </c>
      <c r="B69113">
        <f>TEXT(69112, "[$-0E0000]yyyy-mm-dd")</f>
        <v/>
      </c>
      <c r="C69113" t="inlineStr">
        <is>
          <t>2089-02-10</t>
        </is>
      </c>
    </row>
    <row r="69114">
      <c r="A69114" s="1" t="n">
        <v>69113</v>
      </c>
      <c r="B69114">
        <f>TEXT(69113, "[$-0E0000]yyyy-mm-dd")</f>
        <v/>
      </c>
      <c r="C69114" t="inlineStr">
        <is>
          <t>2089-02-11</t>
        </is>
      </c>
    </row>
    <row r="69115">
      <c r="A69115" s="1" t="n">
        <v>69114</v>
      </c>
      <c r="B69115">
        <f>TEXT(69114, "[$-0E0000]yyyy-mm-dd")</f>
        <v/>
      </c>
      <c r="C69115" t="inlineStr">
        <is>
          <t>2089-02-12</t>
        </is>
      </c>
    </row>
    <row r="69116">
      <c r="A69116" s="1" t="n">
        <v>69115</v>
      </c>
      <c r="B69116">
        <f>TEXT(69115, "[$-0E0000]yyyy-mm-dd")</f>
        <v/>
      </c>
      <c r="C69116" t="inlineStr">
        <is>
          <t>2089-02-13</t>
        </is>
      </c>
    </row>
    <row r="69117">
      <c r="A69117" s="1" t="n">
        <v>69116</v>
      </c>
      <c r="B69117">
        <f>TEXT(69116, "[$-0E0000]yyyy-mm-dd")</f>
        <v/>
      </c>
      <c r="C69117" t="inlineStr">
        <is>
          <t>2089-02-14</t>
        </is>
      </c>
    </row>
    <row r="69118">
      <c r="A69118" s="1" t="n">
        <v>69117</v>
      </c>
      <c r="B69118">
        <f>TEXT(69117, "[$-0E0000]yyyy-mm-dd")</f>
        <v/>
      </c>
      <c r="C69118" t="inlineStr">
        <is>
          <t>2089-02-15</t>
        </is>
      </c>
    </row>
    <row r="69119">
      <c r="A69119" s="1" t="n">
        <v>69118</v>
      </c>
      <c r="B69119">
        <f>TEXT(69118, "[$-0E0000]yyyy-mm-dd")</f>
        <v/>
      </c>
      <c r="C69119" t="inlineStr">
        <is>
          <t>2089-02-16</t>
        </is>
      </c>
    </row>
    <row r="69120">
      <c r="A69120" s="1" t="n">
        <v>69119</v>
      </c>
      <c r="B69120">
        <f>TEXT(69119, "[$-0E0000]yyyy-mm-dd")</f>
        <v/>
      </c>
      <c r="C69120" t="inlineStr">
        <is>
          <t>2089-02-17</t>
        </is>
      </c>
    </row>
    <row r="69121">
      <c r="A69121" s="1" t="n">
        <v>69120</v>
      </c>
      <c r="B69121">
        <f>TEXT(69120, "[$-0E0000]yyyy-mm-dd")</f>
        <v/>
      </c>
      <c r="C69121" t="inlineStr">
        <is>
          <t>2089-02-18</t>
        </is>
      </c>
    </row>
    <row r="69122">
      <c r="A69122" s="1" t="n">
        <v>69121</v>
      </c>
      <c r="B69122">
        <f>TEXT(69121, "[$-0E0000]yyyy-mm-dd")</f>
        <v/>
      </c>
      <c r="C69122" t="inlineStr">
        <is>
          <t>2089-02-19</t>
        </is>
      </c>
    </row>
    <row r="69123">
      <c r="A69123" s="1" t="n">
        <v>69122</v>
      </c>
      <c r="B69123">
        <f>TEXT(69122, "[$-0E0000]yyyy-mm-dd")</f>
        <v/>
      </c>
      <c r="C69123" t="inlineStr">
        <is>
          <t>2089-02-20</t>
        </is>
      </c>
    </row>
    <row r="69124">
      <c r="A69124" s="1" t="n">
        <v>69123</v>
      </c>
      <c r="B69124">
        <f>TEXT(69123, "[$-0E0000]yyyy-mm-dd")</f>
        <v/>
      </c>
      <c r="C69124" t="inlineStr">
        <is>
          <t>2089-02-21</t>
        </is>
      </c>
    </row>
    <row r="69125">
      <c r="A69125" s="1" t="n">
        <v>69124</v>
      </c>
      <c r="B69125">
        <f>TEXT(69124, "[$-0E0000]yyyy-mm-dd")</f>
        <v/>
      </c>
      <c r="C69125" t="inlineStr">
        <is>
          <t>2089-02-22</t>
        </is>
      </c>
    </row>
    <row r="69126">
      <c r="A69126" s="1" t="n">
        <v>69125</v>
      </c>
      <c r="B69126">
        <f>TEXT(69125, "[$-0E0000]yyyy-mm-dd")</f>
        <v/>
      </c>
      <c r="C69126" t="inlineStr">
        <is>
          <t>2089-02-23</t>
        </is>
      </c>
    </row>
    <row r="69127">
      <c r="A69127" s="1" t="n">
        <v>69126</v>
      </c>
      <c r="B69127">
        <f>TEXT(69126, "[$-0E0000]yyyy-mm-dd")</f>
        <v/>
      </c>
      <c r="C69127" t="inlineStr">
        <is>
          <t>2089-02-24</t>
        </is>
      </c>
    </row>
    <row r="69128">
      <c r="A69128" s="1" t="n">
        <v>69127</v>
      </c>
      <c r="B69128">
        <f>TEXT(69127, "[$-0E0000]yyyy-mm-dd")</f>
        <v/>
      </c>
      <c r="C69128" t="inlineStr">
        <is>
          <t>2089-02-25</t>
        </is>
      </c>
    </row>
    <row r="69129">
      <c r="A69129" s="1" t="n">
        <v>69128</v>
      </c>
      <c r="B69129">
        <f>TEXT(69128, "[$-0E0000]yyyy-mm-dd")</f>
        <v/>
      </c>
      <c r="C69129" t="inlineStr">
        <is>
          <t>2089-02-26</t>
        </is>
      </c>
    </row>
    <row r="69130">
      <c r="A69130" s="1" t="n">
        <v>69129</v>
      </c>
      <c r="B69130">
        <f>TEXT(69129, "[$-0E0000]yyyy-mm-dd")</f>
        <v/>
      </c>
      <c r="C69130" t="inlineStr">
        <is>
          <t>2089-02-27</t>
        </is>
      </c>
    </row>
    <row r="69131">
      <c r="A69131" s="1" t="n">
        <v>69130</v>
      </c>
      <c r="B69131">
        <f>TEXT(69130, "[$-0E0000]yyyy-mm-dd")</f>
        <v/>
      </c>
      <c r="C69131" t="inlineStr">
        <is>
          <t>2089-02-28</t>
        </is>
      </c>
    </row>
    <row r="69132">
      <c r="A69132" s="1" t="n">
        <v>69131</v>
      </c>
      <c r="B69132">
        <f>TEXT(69131, "[$-0E0000]yyyy-mm-dd")</f>
        <v/>
      </c>
      <c r="C69132" t="inlineStr">
        <is>
          <t>2089-02-29</t>
        </is>
      </c>
    </row>
    <row r="69133">
      <c r="A69133" s="1" t="n">
        <v>69132</v>
      </c>
      <c r="B69133">
        <f>TEXT(69132, "[$-0E0000]yyyy-mm-dd")</f>
        <v/>
      </c>
      <c r="C69133" t="inlineStr">
        <is>
          <t>2089-02-30</t>
        </is>
      </c>
    </row>
    <row r="69134">
      <c r="A69134" s="1" t="n">
        <v>69133</v>
      </c>
      <c r="B69134">
        <f>TEXT(69133, "[$-0E0000]yyyy-mm-dd")</f>
        <v/>
      </c>
      <c r="C69134" t="inlineStr">
        <is>
          <t>2089-03-01</t>
        </is>
      </c>
    </row>
    <row r="69135">
      <c r="A69135" s="1" t="n">
        <v>69134</v>
      </c>
      <c r="B69135">
        <f>TEXT(69134, "[$-0E0000]yyyy-mm-dd")</f>
        <v/>
      </c>
      <c r="C69135" t="inlineStr">
        <is>
          <t>2089-03-02</t>
        </is>
      </c>
    </row>
    <row r="69136">
      <c r="A69136" s="1" t="n">
        <v>69135</v>
      </c>
      <c r="B69136">
        <f>TEXT(69135, "[$-0E0000]yyyy-mm-dd")</f>
        <v/>
      </c>
      <c r="C69136" t="inlineStr">
        <is>
          <t>2089-03-03</t>
        </is>
      </c>
    </row>
    <row r="69137">
      <c r="A69137" s="1" t="n">
        <v>69136</v>
      </c>
      <c r="B69137">
        <f>TEXT(69136, "[$-0E0000]yyyy-mm-dd")</f>
        <v/>
      </c>
      <c r="C69137" t="inlineStr">
        <is>
          <t>2089-03-04</t>
        </is>
      </c>
    </row>
    <row r="69138">
      <c r="A69138" s="1" t="n">
        <v>69137</v>
      </c>
      <c r="B69138">
        <f>TEXT(69137, "[$-0E0000]yyyy-mm-dd")</f>
        <v/>
      </c>
      <c r="C69138" t="inlineStr">
        <is>
          <t>2089-03-05</t>
        </is>
      </c>
    </row>
    <row r="69139">
      <c r="A69139" s="1" t="n">
        <v>69138</v>
      </c>
      <c r="B69139">
        <f>TEXT(69138, "[$-0E0000]yyyy-mm-dd")</f>
        <v/>
      </c>
      <c r="C69139" t="inlineStr">
        <is>
          <t>2089-03-06</t>
        </is>
      </c>
    </row>
    <row r="69140">
      <c r="A69140" s="1" t="n">
        <v>69139</v>
      </c>
      <c r="B69140">
        <f>TEXT(69139, "[$-0E0000]yyyy-mm-dd")</f>
        <v/>
      </c>
      <c r="C69140" t="inlineStr">
        <is>
          <t>2089-03-07</t>
        </is>
      </c>
    </row>
    <row r="69141">
      <c r="A69141" s="1" t="n">
        <v>69140</v>
      </c>
      <c r="B69141">
        <f>TEXT(69140, "[$-0E0000]yyyy-mm-dd")</f>
        <v/>
      </c>
      <c r="C69141" t="inlineStr">
        <is>
          <t>2089-03-08</t>
        </is>
      </c>
    </row>
    <row r="69142">
      <c r="A69142" s="1" t="n">
        <v>69141</v>
      </c>
      <c r="B69142">
        <f>TEXT(69141, "[$-0E0000]yyyy-mm-dd")</f>
        <v/>
      </c>
      <c r="C69142" t="inlineStr">
        <is>
          <t>2089-03-09</t>
        </is>
      </c>
    </row>
    <row r="69143">
      <c r="A69143" s="1" t="n">
        <v>69142</v>
      </c>
      <c r="B69143">
        <f>TEXT(69142, "[$-0E0000]yyyy-mm-dd")</f>
        <v/>
      </c>
      <c r="C69143" t="inlineStr">
        <is>
          <t>2089-03-10</t>
        </is>
      </c>
    </row>
    <row r="69144">
      <c r="A69144" s="1" t="n">
        <v>69143</v>
      </c>
      <c r="B69144">
        <f>TEXT(69143, "[$-0E0000]yyyy-mm-dd")</f>
        <v/>
      </c>
      <c r="C69144" t="inlineStr">
        <is>
          <t>2089-03-11</t>
        </is>
      </c>
    </row>
    <row r="69145">
      <c r="A69145" s="1" t="n">
        <v>69144</v>
      </c>
      <c r="B69145">
        <f>TEXT(69144, "[$-0E0000]yyyy-mm-dd")</f>
        <v/>
      </c>
      <c r="C69145" t="inlineStr">
        <is>
          <t>2089-03-12</t>
        </is>
      </c>
    </row>
    <row r="69146">
      <c r="A69146" s="1" t="n">
        <v>69145</v>
      </c>
      <c r="B69146">
        <f>TEXT(69145, "[$-0E0000]yyyy-mm-dd")</f>
        <v/>
      </c>
      <c r="C69146" t="inlineStr">
        <is>
          <t>2089-03-13</t>
        </is>
      </c>
    </row>
    <row r="69147">
      <c r="A69147" s="1" t="n">
        <v>69146</v>
      </c>
      <c r="B69147">
        <f>TEXT(69146, "[$-0E0000]yyyy-mm-dd")</f>
        <v/>
      </c>
      <c r="C69147" t="inlineStr">
        <is>
          <t>2089-03-14</t>
        </is>
      </c>
    </row>
    <row r="69148">
      <c r="A69148" s="1" t="n">
        <v>69147</v>
      </c>
      <c r="B69148">
        <f>TEXT(69147, "[$-0E0000]yyyy-mm-dd")</f>
        <v/>
      </c>
      <c r="C69148" t="inlineStr">
        <is>
          <t>2089-03-15</t>
        </is>
      </c>
    </row>
    <row r="69149">
      <c r="A69149" s="1" t="n">
        <v>69148</v>
      </c>
      <c r="B69149">
        <f>TEXT(69148, "[$-0E0000]yyyy-mm-dd")</f>
        <v/>
      </c>
      <c r="C69149" t="inlineStr">
        <is>
          <t>2089-03-16</t>
        </is>
      </c>
    </row>
    <row r="69150">
      <c r="A69150" s="1" t="n">
        <v>69149</v>
      </c>
      <c r="B69150">
        <f>TEXT(69149, "[$-0E0000]yyyy-mm-dd")</f>
        <v/>
      </c>
      <c r="C69150" t="inlineStr">
        <is>
          <t>2089-03-17</t>
        </is>
      </c>
    </row>
    <row r="69151">
      <c r="A69151" s="1" t="n">
        <v>69150</v>
      </c>
      <c r="B69151">
        <f>TEXT(69150, "[$-0E0000]yyyy-mm-dd")</f>
        <v/>
      </c>
      <c r="C69151" t="inlineStr">
        <is>
          <t>2089-03-18</t>
        </is>
      </c>
    </row>
    <row r="69152">
      <c r="A69152" s="1" t="n">
        <v>69151</v>
      </c>
      <c r="B69152">
        <f>TEXT(69151, "[$-0E0000]yyyy-mm-dd")</f>
        <v/>
      </c>
      <c r="C69152" t="inlineStr">
        <is>
          <t>2089-03-19</t>
        </is>
      </c>
    </row>
    <row r="69153">
      <c r="A69153" s="1" t="n">
        <v>69152</v>
      </c>
      <c r="B69153">
        <f>TEXT(69152, "[$-0E0000]yyyy-mm-dd")</f>
        <v/>
      </c>
      <c r="C69153" t="inlineStr">
        <is>
          <t>2089-03-20</t>
        </is>
      </c>
    </row>
    <row r="69154">
      <c r="A69154" s="1" t="n">
        <v>69153</v>
      </c>
      <c r="B69154">
        <f>TEXT(69153, "[$-0E0000]yyyy-mm-dd")</f>
        <v/>
      </c>
      <c r="C69154" t="inlineStr">
        <is>
          <t>2089-03-21</t>
        </is>
      </c>
    </row>
    <row r="69155">
      <c r="A69155" s="1" t="n">
        <v>69154</v>
      </c>
      <c r="B69155">
        <f>TEXT(69154, "[$-0E0000]yyyy-mm-dd")</f>
        <v/>
      </c>
      <c r="C69155" t="inlineStr">
        <is>
          <t>2089-03-22</t>
        </is>
      </c>
    </row>
    <row r="69156">
      <c r="A69156" s="1" t="n">
        <v>69155</v>
      </c>
      <c r="B69156">
        <f>TEXT(69155, "[$-0E0000]yyyy-mm-dd")</f>
        <v/>
      </c>
      <c r="C69156" t="inlineStr">
        <is>
          <t>2089-03-23</t>
        </is>
      </c>
    </row>
    <row r="69157">
      <c r="A69157" s="1" t="n">
        <v>69156</v>
      </c>
      <c r="B69157">
        <f>TEXT(69156, "[$-0E0000]yyyy-mm-dd")</f>
        <v/>
      </c>
      <c r="C69157" t="inlineStr">
        <is>
          <t>2089-03-24</t>
        </is>
      </c>
    </row>
    <row r="69158">
      <c r="A69158" s="1" t="n">
        <v>69157</v>
      </c>
      <c r="B69158">
        <f>TEXT(69157, "[$-0E0000]yyyy-mm-dd")</f>
        <v/>
      </c>
      <c r="C69158" t="inlineStr">
        <is>
          <t>2089-03-25</t>
        </is>
      </c>
    </row>
    <row r="69159">
      <c r="A69159" s="1" t="n">
        <v>69158</v>
      </c>
      <c r="B69159">
        <f>TEXT(69158, "[$-0E0000]yyyy-mm-dd")</f>
        <v/>
      </c>
      <c r="C69159" t="inlineStr">
        <is>
          <t>2089-03-26</t>
        </is>
      </c>
    </row>
    <row r="69160">
      <c r="A69160" s="1" t="n">
        <v>69159</v>
      </c>
      <c r="B69160">
        <f>TEXT(69159, "[$-0E0000]yyyy-mm-dd")</f>
        <v/>
      </c>
      <c r="C69160" t="inlineStr">
        <is>
          <t>2089-03-27</t>
        </is>
      </c>
    </row>
    <row r="69161">
      <c r="A69161" s="1" t="n">
        <v>69160</v>
      </c>
      <c r="B69161">
        <f>TEXT(69160, "[$-0E0000]yyyy-mm-dd")</f>
        <v/>
      </c>
      <c r="C69161" t="inlineStr">
        <is>
          <t>2089-03-28</t>
        </is>
      </c>
    </row>
    <row r="69162">
      <c r="A69162" s="1" t="n">
        <v>69161</v>
      </c>
      <c r="B69162">
        <f>TEXT(69161, "[$-0E0000]yyyy-mm-dd")</f>
        <v/>
      </c>
      <c r="C69162" t="inlineStr">
        <is>
          <t>2089-03-29</t>
        </is>
      </c>
    </row>
    <row r="69163">
      <c r="A69163" s="1" t="n">
        <v>69162</v>
      </c>
      <c r="B69163">
        <f>TEXT(69162, "[$-0E0000]yyyy-mm-dd")</f>
        <v/>
      </c>
      <c r="C69163" t="inlineStr">
        <is>
          <t>2089-04-01</t>
        </is>
      </c>
    </row>
    <row r="69164">
      <c r="A69164" s="1" t="n">
        <v>69163</v>
      </c>
      <c r="B69164">
        <f>TEXT(69163, "[$-0E0000]yyyy-mm-dd")</f>
        <v/>
      </c>
      <c r="C69164" t="inlineStr">
        <is>
          <t>2089-04-02</t>
        </is>
      </c>
    </row>
    <row r="69165">
      <c r="A69165" s="1" t="n">
        <v>69164</v>
      </c>
      <c r="B69165">
        <f>TEXT(69164, "[$-0E0000]yyyy-mm-dd")</f>
        <v/>
      </c>
      <c r="C69165" t="inlineStr">
        <is>
          <t>2089-04-03</t>
        </is>
      </c>
    </row>
    <row r="69166">
      <c r="A69166" s="1" t="n">
        <v>69165</v>
      </c>
      <c r="B69166">
        <f>TEXT(69165, "[$-0E0000]yyyy-mm-dd")</f>
        <v/>
      </c>
      <c r="C69166" t="inlineStr">
        <is>
          <t>2089-04-04</t>
        </is>
      </c>
    </row>
    <row r="69167">
      <c r="A69167" s="1" t="n">
        <v>69166</v>
      </c>
      <c r="B69167">
        <f>TEXT(69166, "[$-0E0000]yyyy-mm-dd")</f>
        <v/>
      </c>
      <c r="C69167" t="inlineStr">
        <is>
          <t>2089-04-05</t>
        </is>
      </c>
    </row>
    <row r="69168">
      <c r="A69168" s="1" t="n">
        <v>69167</v>
      </c>
      <c r="B69168">
        <f>TEXT(69167, "[$-0E0000]yyyy-mm-dd")</f>
        <v/>
      </c>
      <c r="C69168" t="inlineStr">
        <is>
          <t>2089-04-06</t>
        </is>
      </c>
    </row>
    <row r="69169">
      <c r="A69169" s="1" t="n">
        <v>69168</v>
      </c>
      <c r="B69169">
        <f>TEXT(69168, "[$-0E0000]yyyy-mm-dd")</f>
        <v/>
      </c>
      <c r="C69169" t="inlineStr">
        <is>
          <t>2089-04-07</t>
        </is>
      </c>
    </row>
    <row r="69170">
      <c r="A69170" s="1" t="n">
        <v>69169</v>
      </c>
      <c r="B69170">
        <f>TEXT(69169, "[$-0E0000]yyyy-mm-dd")</f>
        <v/>
      </c>
      <c r="C69170" t="inlineStr">
        <is>
          <t>2089-04-08</t>
        </is>
      </c>
    </row>
    <row r="69171">
      <c r="A69171" s="1" t="n">
        <v>69170</v>
      </c>
      <c r="B69171">
        <f>TEXT(69170, "[$-0E0000]yyyy-mm-dd")</f>
        <v/>
      </c>
      <c r="C69171" t="inlineStr">
        <is>
          <t>2089-04-09</t>
        </is>
      </c>
    </row>
    <row r="69172">
      <c r="A69172" s="1" t="n">
        <v>69171</v>
      </c>
      <c r="B69172">
        <f>TEXT(69171, "[$-0E0000]yyyy-mm-dd")</f>
        <v/>
      </c>
      <c r="C69172" t="inlineStr">
        <is>
          <t>2089-04-10</t>
        </is>
      </c>
    </row>
    <row r="69173">
      <c r="A69173" s="1" t="n">
        <v>69172</v>
      </c>
      <c r="B69173">
        <f>TEXT(69172, "[$-0E0000]yyyy-mm-dd")</f>
        <v/>
      </c>
      <c r="C69173" t="inlineStr">
        <is>
          <t>2089-04-11</t>
        </is>
      </c>
    </row>
    <row r="69174">
      <c r="A69174" s="1" t="n">
        <v>69173</v>
      </c>
      <c r="B69174">
        <f>TEXT(69173, "[$-0E0000]yyyy-mm-dd")</f>
        <v/>
      </c>
      <c r="C69174" t="inlineStr">
        <is>
          <t>2089-04-12</t>
        </is>
      </c>
    </row>
    <row r="69175">
      <c r="A69175" s="1" t="n">
        <v>69174</v>
      </c>
      <c r="B69175">
        <f>TEXT(69174, "[$-0E0000]yyyy-mm-dd")</f>
        <v/>
      </c>
      <c r="C69175" t="inlineStr">
        <is>
          <t>2089-04-13</t>
        </is>
      </c>
    </row>
    <row r="69176">
      <c r="A69176" s="1" t="n">
        <v>69175</v>
      </c>
      <c r="B69176">
        <f>TEXT(69175, "[$-0E0000]yyyy-mm-dd")</f>
        <v/>
      </c>
      <c r="C69176" t="inlineStr">
        <is>
          <t>2089-04-14</t>
        </is>
      </c>
    </row>
    <row r="69177">
      <c r="A69177" s="1" t="n">
        <v>69176</v>
      </c>
      <c r="B69177">
        <f>TEXT(69176, "[$-0E0000]yyyy-mm-dd")</f>
        <v/>
      </c>
      <c r="C69177" t="inlineStr">
        <is>
          <t>2089-04-15</t>
        </is>
      </c>
    </row>
    <row r="69178">
      <c r="A69178" s="1" t="n">
        <v>69177</v>
      </c>
      <c r="B69178">
        <f>TEXT(69177, "[$-0E0000]yyyy-mm-dd")</f>
        <v/>
      </c>
      <c r="C69178" t="inlineStr">
        <is>
          <t>2089-04-16</t>
        </is>
      </c>
    </row>
    <row r="69179">
      <c r="A69179" s="1" t="n">
        <v>69178</v>
      </c>
      <c r="B69179">
        <f>TEXT(69178, "[$-0E0000]yyyy-mm-dd")</f>
        <v/>
      </c>
      <c r="C69179" t="inlineStr">
        <is>
          <t>2089-04-17</t>
        </is>
      </c>
    </row>
    <row r="69180">
      <c r="A69180" s="1" t="n">
        <v>69179</v>
      </c>
      <c r="B69180">
        <f>TEXT(69179, "[$-0E0000]yyyy-mm-dd")</f>
        <v/>
      </c>
      <c r="C69180" t="inlineStr">
        <is>
          <t>2089-04-18</t>
        </is>
      </c>
    </row>
    <row r="69181">
      <c r="A69181" s="1" t="n">
        <v>69180</v>
      </c>
      <c r="B69181">
        <f>TEXT(69180, "[$-0E0000]yyyy-mm-dd")</f>
        <v/>
      </c>
      <c r="C69181" t="inlineStr">
        <is>
          <t>2089-04-19</t>
        </is>
      </c>
    </row>
    <row r="69182">
      <c r="A69182" s="1" t="n">
        <v>69181</v>
      </c>
      <c r="B69182">
        <f>TEXT(69181, "[$-0E0000]yyyy-mm-dd")</f>
        <v/>
      </c>
      <c r="C69182" t="inlineStr">
        <is>
          <t>2089-04-20</t>
        </is>
      </c>
    </row>
    <row r="69183">
      <c r="A69183" s="1" t="n">
        <v>69182</v>
      </c>
      <c r="B69183">
        <f>TEXT(69182, "[$-0E0000]yyyy-mm-dd")</f>
        <v/>
      </c>
      <c r="C69183" t="inlineStr">
        <is>
          <t>2089-04-21</t>
        </is>
      </c>
    </row>
    <row r="69184">
      <c r="A69184" s="1" t="n">
        <v>69183</v>
      </c>
      <c r="B69184">
        <f>TEXT(69183, "[$-0E0000]yyyy-mm-dd")</f>
        <v/>
      </c>
      <c r="C69184" t="inlineStr">
        <is>
          <t>2089-04-22</t>
        </is>
      </c>
    </row>
    <row r="69185">
      <c r="A69185" s="1" t="n">
        <v>69184</v>
      </c>
      <c r="B69185">
        <f>TEXT(69184, "[$-0E0000]yyyy-mm-dd")</f>
        <v/>
      </c>
      <c r="C69185" t="inlineStr">
        <is>
          <t>2089-04-23</t>
        </is>
      </c>
    </row>
    <row r="69186">
      <c r="A69186" s="1" t="n">
        <v>69185</v>
      </c>
      <c r="B69186">
        <f>TEXT(69185, "[$-0E0000]yyyy-mm-dd")</f>
        <v/>
      </c>
      <c r="C69186" t="inlineStr">
        <is>
          <t>2089-04-24</t>
        </is>
      </c>
    </row>
    <row r="69187">
      <c r="A69187" s="1" t="n">
        <v>69186</v>
      </c>
      <c r="B69187">
        <f>TEXT(69186, "[$-0E0000]yyyy-mm-dd")</f>
        <v/>
      </c>
      <c r="C69187" t="inlineStr">
        <is>
          <t>2089-04-25</t>
        </is>
      </c>
    </row>
    <row r="69188">
      <c r="A69188" s="1" t="n">
        <v>69187</v>
      </c>
      <c r="B69188">
        <f>TEXT(69187, "[$-0E0000]yyyy-mm-dd")</f>
        <v/>
      </c>
      <c r="C69188" t="inlineStr">
        <is>
          <t>2089-04-26</t>
        </is>
      </c>
    </row>
    <row r="69189">
      <c r="A69189" s="1" t="n">
        <v>69188</v>
      </c>
      <c r="B69189">
        <f>TEXT(69188, "[$-0E0000]yyyy-mm-dd")</f>
        <v/>
      </c>
      <c r="C69189" t="inlineStr">
        <is>
          <t>2089-04-27</t>
        </is>
      </c>
    </row>
    <row r="69190">
      <c r="A69190" s="1" t="n">
        <v>69189</v>
      </c>
      <c r="B69190">
        <f>TEXT(69189, "[$-0E0000]yyyy-mm-dd")</f>
        <v/>
      </c>
      <c r="C69190" t="inlineStr">
        <is>
          <t>2089-04-28</t>
        </is>
      </c>
    </row>
    <row r="69191">
      <c r="A69191" s="1" t="n">
        <v>69190</v>
      </c>
      <c r="B69191">
        <f>TEXT(69190, "[$-0E0000]yyyy-mm-dd")</f>
        <v/>
      </c>
      <c r="C69191" t="inlineStr">
        <is>
          <t>2089-04-29</t>
        </is>
      </c>
    </row>
    <row r="69192">
      <c r="A69192" s="1" t="n">
        <v>69191</v>
      </c>
      <c r="B69192">
        <f>TEXT(69191, "[$-0E0000]yyyy-mm-dd")</f>
        <v/>
      </c>
      <c r="C69192" t="inlineStr">
        <is>
          <t>2089-04-30</t>
        </is>
      </c>
    </row>
    <row r="69193">
      <c r="A69193" s="1" t="n">
        <v>69192</v>
      </c>
      <c r="B69193">
        <f>TEXT(69192, "[$-0E0000]yyyy-mm-dd")</f>
        <v/>
      </c>
      <c r="C69193" t="inlineStr">
        <is>
          <t>2089-05-01</t>
        </is>
      </c>
    </row>
    <row r="69194">
      <c r="A69194" s="1" t="n">
        <v>69193</v>
      </c>
      <c r="B69194">
        <f>TEXT(69193, "[$-0E0000]yyyy-mm-dd")</f>
        <v/>
      </c>
      <c r="C69194" t="inlineStr">
        <is>
          <t>2089-05-02</t>
        </is>
      </c>
    </row>
    <row r="69195">
      <c r="A69195" s="1" t="n">
        <v>69194</v>
      </c>
      <c r="B69195">
        <f>TEXT(69194, "[$-0E0000]yyyy-mm-dd")</f>
        <v/>
      </c>
      <c r="C69195" t="inlineStr">
        <is>
          <t>2089-05-03</t>
        </is>
      </c>
    </row>
    <row r="69196">
      <c r="A69196" s="1" t="n">
        <v>69195</v>
      </c>
      <c r="B69196">
        <f>TEXT(69195, "[$-0E0000]yyyy-mm-dd")</f>
        <v/>
      </c>
      <c r="C69196" t="inlineStr">
        <is>
          <t>2089-05-04</t>
        </is>
      </c>
    </row>
    <row r="69197">
      <c r="A69197" s="1" t="n">
        <v>69196</v>
      </c>
      <c r="B69197">
        <f>TEXT(69196, "[$-0E0000]yyyy-mm-dd")</f>
        <v/>
      </c>
      <c r="C69197" t="inlineStr">
        <is>
          <t>2089-05-05</t>
        </is>
      </c>
    </row>
    <row r="69198">
      <c r="A69198" s="1" t="n">
        <v>69197</v>
      </c>
      <c r="B69198">
        <f>TEXT(69197, "[$-0E0000]yyyy-mm-dd")</f>
        <v/>
      </c>
      <c r="C69198" t="inlineStr">
        <is>
          <t>2089-05-06</t>
        </is>
      </c>
    </row>
    <row r="69199">
      <c r="A69199" s="1" t="n">
        <v>69198</v>
      </c>
      <c r="B69199">
        <f>TEXT(69198, "[$-0E0000]yyyy-mm-dd")</f>
        <v/>
      </c>
      <c r="C69199" t="inlineStr">
        <is>
          <t>2089-05-07</t>
        </is>
      </c>
    </row>
    <row r="69200">
      <c r="A69200" s="1" t="n">
        <v>69199</v>
      </c>
      <c r="B69200">
        <f>TEXT(69199, "[$-0E0000]yyyy-mm-dd")</f>
        <v/>
      </c>
      <c r="C69200" t="inlineStr">
        <is>
          <t>2089-05-08</t>
        </is>
      </c>
    </row>
    <row r="69201">
      <c r="A69201" s="1" t="n">
        <v>69200</v>
      </c>
      <c r="B69201">
        <f>TEXT(69200, "[$-0E0000]yyyy-mm-dd")</f>
        <v/>
      </c>
      <c r="C69201" t="inlineStr">
        <is>
          <t>2089-05-09</t>
        </is>
      </c>
    </row>
    <row r="69202">
      <c r="A69202" s="1" t="n">
        <v>69201</v>
      </c>
      <c r="B69202">
        <f>TEXT(69201, "[$-0E0000]yyyy-mm-dd")</f>
        <v/>
      </c>
      <c r="C69202" t="inlineStr">
        <is>
          <t>2089-05-10</t>
        </is>
      </c>
    </row>
    <row r="69203">
      <c r="A69203" s="1" t="n">
        <v>69202</v>
      </c>
      <c r="B69203">
        <f>TEXT(69202, "[$-0E0000]yyyy-mm-dd")</f>
        <v/>
      </c>
      <c r="C69203" t="inlineStr">
        <is>
          <t>2089-05-11</t>
        </is>
      </c>
    </row>
    <row r="69204">
      <c r="A69204" s="1" t="n">
        <v>69203</v>
      </c>
      <c r="B69204">
        <f>TEXT(69203, "[$-0E0000]yyyy-mm-dd")</f>
        <v/>
      </c>
      <c r="C69204" t="inlineStr">
        <is>
          <t>2089-05-12</t>
        </is>
      </c>
    </row>
    <row r="69205">
      <c r="A69205" s="1" t="n">
        <v>69204</v>
      </c>
      <c r="B69205">
        <f>TEXT(69204, "[$-0E0000]yyyy-mm-dd")</f>
        <v/>
      </c>
      <c r="C69205" t="inlineStr">
        <is>
          <t>2089-05-13</t>
        </is>
      </c>
    </row>
    <row r="69206">
      <c r="A69206" s="1" t="n">
        <v>69205</v>
      </c>
      <c r="B69206">
        <f>TEXT(69205, "[$-0E0000]yyyy-mm-dd")</f>
        <v/>
      </c>
      <c r="C69206" t="inlineStr">
        <is>
          <t>2089-05-14</t>
        </is>
      </c>
    </row>
    <row r="69207">
      <c r="A69207" s="1" t="n">
        <v>69206</v>
      </c>
      <c r="B69207">
        <f>TEXT(69206, "[$-0E0000]yyyy-mm-dd")</f>
        <v/>
      </c>
      <c r="C69207" t="inlineStr">
        <is>
          <t>2089-05-15</t>
        </is>
      </c>
    </row>
    <row r="69208">
      <c r="A69208" s="1" t="n">
        <v>69207</v>
      </c>
      <c r="B69208">
        <f>TEXT(69207, "[$-0E0000]yyyy-mm-dd")</f>
        <v/>
      </c>
      <c r="C69208" t="inlineStr">
        <is>
          <t>2089-05-16</t>
        </is>
      </c>
    </row>
    <row r="69209">
      <c r="A69209" s="1" t="n">
        <v>69208</v>
      </c>
      <c r="B69209">
        <f>TEXT(69208, "[$-0E0000]yyyy-mm-dd")</f>
        <v/>
      </c>
      <c r="C69209" t="inlineStr">
        <is>
          <t>2089-05-17</t>
        </is>
      </c>
    </row>
    <row r="69210">
      <c r="A69210" s="1" t="n">
        <v>69209</v>
      </c>
      <c r="B69210">
        <f>TEXT(69209, "[$-0E0000]yyyy-mm-dd")</f>
        <v/>
      </c>
      <c r="C69210" t="inlineStr">
        <is>
          <t>2089-05-18</t>
        </is>
      </c>
    </row>
    <row r="69211">
      <c r="A69211" s="1" t="n">
        <v>69210</v>
      </c>
      <c r="B69211">
        <f>TEXT(69210, "[$-0E0000]yyyy-mm-dd")</f>
        <v/>
      </c>
      <c r="C69211" t="inlineStr">
        <is>
          <t>2089-05-19</t>
        </is>
      </c>
    </row>
    <row r="69212">
      <c r="A69212" s="1" t="n">
        <v>69211</v>
      </c>
      <c r="B69212">
        <f>TEXT(69211, "[$-0E0000]yyyy-mm-dd")</f>
        <v/>
      </c>
      <c r="C69212" t="inlineStr">
        <is>
          <t>2089-05-20</t>
        </is>
      </c>
    </row>
    <row r="69213">
      <c r="A69213" s="1" t="n">
        <v>69212</v>
      </c>
      <c r="B69213">
        <f>TEXT(69212, "[$-0E0000]yyyy-mm-dd")</f>
        <v/>
      </c>
      <c r="C69213" t="inlineStr">
        <is>
          <t>2089-05-21</t>
        </is>
      </c>
    </row>
    <row r="69214">
      <c r="A69214" s="1" t="n">
        <v>69213</v>
      </c>
      <c r="B69214">
        <f>TEXT(69213, "[$-0E0000]yyyy-mm-dd")</f>
        <v/>
      </c>
      <c r="C69214" t="inlineStr">
        <is>
          <t>2089-05-22</t>
        </is>
      </c>
    </row>
    <row r="69215">
      <c r="A69215" s="1" t="n">
        <v>69214</v>
      </c>
      <c r="B69215">
        <f>TEXT(69214, "[$-0E0000]yyyy-mm-dd")</f>
        <v/>
      </c>
      <c r="C69215" t="inlineStr">
        <is>
          <t>2089-05-23</t>
        </is>
      </c>
    </row>
    <row r="69216">
      <c r="A69216" s="1" t="n">
        <v>69215</v>
      </c>
      <c r="B69216">
        <f>TEXT(69215, "[$-0E0000]yyyy-mm-dd")</f>
        <v/>
      </c>
      <c r="C69216" t="inlineStr">
        <is>
          <t>2089-05-24</t>
        </is>
      </c>
    </row>
    <row r="69217">
      <c r="A69217" s="1" t="n">
        <v>69216</v>
      </c>
      <c r="B69217">
        <f>TEXT(69216, "[$-0E0000]yyyy-mm-dd")</f>
        <v/>
      </c>
      <c r="C69217" t="inlineStr">
        <is>
          <t>2089-05-25</t>
        </is>
      </c>
    </row>
    <row r="69218">
      <c r="A69218" s="1" t="n">
        <v>69217</v>
      </c>
      <c r="B69218">
        <f>TEXT(69217, "[$-0E0000]yyyy-mm-dd")</f>
        <v/>
      </c>
      <c r="C69218" t="inlineStr">
        <is>
          <t>2089-05-26</t>
        </is>
      </c>
    </row>
    <row r="69219">
      <c r="A69219" s="1" t="n">
        <v>69218</v>
      </c>
      <c r="B69219">
        <f>TEXT(69218, "[$-0E0000]yyyy-mm-dd")</f>
        <v/>
      </c>
      <c r="C69219" t="inlineStr">
        <is>
          <t>2089-05-27</t>
        </is>
      </c>
    </row>
    <row r="69220">
      <c r="A69220" s="1" t="n">
        <v>69219</v>
      </c>
      <c r="B69220">
        <f>TEXT(69219, "[$-0E0000]yyyy-mm-dd")</f>
        <v/>
      </c>
      <c r="C69220" t="inlineStr">
        <is>
          <t>2089-05-28</t>
        </is>
      </c>
    </row>
    <row r="69221">
      <c r="A69221" s="1" t="n">
        <v>69220</v>
      </c>
      <c r="B69221">
        <f>TEXT(69220, "[$-0E0000]yyyy-mm-dd")</f>
        <v/>
      </c>
      <c r="C69221" t="inlineStr">
        <is>
          <t>2089-05-29</t>
        </is>
      </c>
    </row>
    <row r="69222">
      <c r="A69222" s="1" t="n">
        <v>69221</v>
      </c>
      <c r="B69222">
        <f>TEXT(69221, "[$-0E0000]yyyy-mm-dd")</f>
        <v/>
      </c>
      <c r="C69222" t="inlineStr">
        <is>
          <t>2089-06-01</t>
        </is>
      </c>
    </row>
    <row r="69223">
      <c r="A69223" s="1" t="n">
        <v>69222</v>
      </c>
      <c r="B69223">
        <f>TEXT(69222, "[$-0E0000]yyyy-mm-dd")</f>
        <v/>
      </c>
      <c r="C69223" t="inlineStr">
        <is>
          <t>2089-06-02</t>
        </is>
      </c>
    </row>
    <row r="69224">
      <c r="A69224" s="1" t="n">
        <v>69223</v>
      </c>
      <c r="B69224">
        <f>TEXT(69223, "[$-0E0000]yyyy-mm-dd")</f>
        <v/>
      </c>
      <c r="C69224" t="inlineStr">
        <is>
          <t>2089-06-03</t>
        </is>
      </c>
    </row>
    <row r="69225">
      <c r="A69225" s="1" t="n">
        <v>69224</v>
      </c>
      <c r="B69225">
        <f>TEXT(69224, "[$-0E0000]yyyy-mm-dd")</f>
        <v/>
      </c>
      <c r="C69225" t="inlineStr">
        <is>
          <t>2089-06-04</t>
        </is>
      </c>
    </row>
    <row r="69226">
      <c r="A69226" s="1" t="n">
        <v>69225</v>
      </c>
      <c r="B69226">
        <f>TEXT(69225, "[$-0E0000]yyyy-mm-dd")</f>
        <v/>
      </c>
      <c r="C69226" t="inlineStr">
        <is>
          <t>2089-06-05</t>
        </is>
      </c>
    </row>
    <row r="69227">
      <c r="A69227" s="1" t="n">
        <v>69226</v>
      </c>
      <c r="B69227">
        <f>TEXT(69226, "[$-0E0000]yyyy-mm-dd")</f>
        <v/>
      </c>
      <c r="C69227" t="inlineStr">
        <is>
          <t>2089-06-06</t>
        </is>
      </c>
    </row>
    <row r="69228">
      <c r="A69228" s="1" t="n">
        <v>69227</v>
      </c>
      <c r="B69228">
        <f>TEXT(69227, "[$-0E0000]yyyy-mm-dd")</f>
        <v/>
      </c>
      <c r="C69228" t="inlineStr">
        <is>
          <t>2089-06-07</t>
        </is>
      </c>
    </row>
    <row r="69229">
      <c r="A69229" s="1" t="n">
        <v>69228</v>
      </c>
      <c r="B69229">
        <f>TEXT(69228, "[$-0E0000]yyyy-mm-dd")</f>
        <v/>
      </c>
      <c r="C69229" t="inlineStr">
        <is>
          <t>2089-06-08</t>
        </is>
      </c>
    </row>
    <row r="69230">
      <c r="A69230" s="1" t="n">
        <v>69229</v>
      </c>
      <c r="B69230">
        <f>TEXT(69229, "[$-0E0000]yyyy-mm-dd")</f>
        <v/>
      </c>
      <c r="C69230" t="inlineStr">
        <is>
          <t>2089-06-09</t>
        </is>
      </c>
    </row>
    <row r="69231">
      <c r="A69231" s="1" t="n">
        <v>69230</v>
      </c>
      <c r="B69231">
        <f>TEXT(69230, "[$-0E0000]yyyy-mm-dd")</f>
        <v/>
      </c>
      <c r="C69231" t="inlineStr">
        <is>
          <t>2089-06-10</t>
        </is>
      </c>
    </row>
    <row r="69232">
      <c r="A69232" s="1" t="n">
        <v>69231</v>
      </c>
      <c r="B69232">
        <f>TEXT(69231, "[$-0E0000]yyyy-mm-dd")</f>
        <v/>
      </c>
      <c r="C69232" t="inlineStr">
        <is>
          <t>2089-06-11</t>
        </is>
      </c>
    </row>
    <row r="69233">
      <c r="A69233" s="1" t="n">
        <v>69232</v>
      </c>
      <c r="B69233">
        <f>TEXT(69232, "[$-0E0000]yyyy-mm-dd")</f>
        <v/>
      </c>
      <c r="C69233" t="inlineStr">
        <is>
          <t>2089-06-12</t>
        </is>
      </c>
    </row>
    <row r="69234">
      <c r="A69234" s="1" t="n">
        <v>69233</v>
      </c>
      <c r="B69234">
        <f>TEXT(69233, "[$-0E0000]yyyy-mm-dd")</f>
        <v/>
      </c>
      <c r="C69234" t="inlineStr">
        <is>
          <t>2089-06-13</t>
        </is>
      </c>
    </row>
    <row r="69235">
      <c r="A69235" s="1" t="n">
        <v>69234</v>
      </c>
      <c r="B69235">
        <f>TEXT(69234, "[$-0E0000]yyyy-mm-dd")</f>
        <v/>
      </c>
      <c r="C69235" t="inlineStr">
        <is>
          <t>2089-06-14</t>
        </is>
      </c>
    </row>
    <row r="69236">
      <c r="A69236" s="1" t="n">
        <v>69235</v>
      </c>
      <c r="B69236">
        <f>TEXT(69235, "[$-0E0000]yyyy-mm-dd")</f>
        <v/>
      </c>
      <c r="C69236" t="inlineStr">
        <is>
          <t>2089-06-15</t>
        </is>
      </c>
    </row>
    <row r="69237">
      <c r="A69237" s="1" t="n">
        <v>69236</v>
      </c>
      <c r="B69237">
        <f>TEXT(69236, "[$-0E0000]yyyy-mm-dd")</f>
        <v/>
      </c>
      <c r="C69237" t="inlineStr">
        <is>
          <t>2089-06-16</t>
        </is>
      </c>
    </row>
    <row r="69238">
      <c r="A69238" s="1" t="n">
        <v>69237</v>
      </c>
      <c r="B69238">
        <f>TEXT(69237, "[$-0E0000]yyyy-mm-dd")</f>
        <v/>
      </c>
      <c r="C69238" t="inlineStr">
        <is>
          <t>2089-06-17</t>
        </is>
      </c>
    </row>
    <row r="69239">
      <c r="A69239" s="1" t="n">
        <v>69238</v>
      </c>
      <c r="B69239">
        <f>TEXT(69238, "[$-0E0000]yyyy-mm-dd")</f>
        <v/>
      </c>
      <c r="C69239" t="inlineStr">
        <is>
          <t>2089-06-18</t>
        </is>
      </c>
    </row>
    <row r="69240">
      <c r="A69240" s="1" t="n">
        <v>69239</v>
      </c>
      <c r="B69240">
        <f>TEXT(69239, "[$-0E0000]yyyy-mm-dd")</f>
        <v/>
      </c>
      <c r="C69240" t="inlineStr">
        <is>
          <t>2089-06-19</t>
        </is>
      </c>
    </row>
    <row r="69241">
      <c r="A69241" s="1" t="n">
        <v>69240</v>
      </c>
      <c r="B69241">
        <f>TEXT(69240, "[$-0E0000]yyyy-mm-dd")</f>
        <v/>
      </c>
      <c r="C69241" t="inlineStr">
        <is>
          <t>2089-06-20</t>
        </is>
      </c>
    </row>
    <row r="69242">
      <c r="A69242" s="1" t="n">
        <v>69241</v>
      </c>
      <c r="B69242">
        <f>TEXT(69241, "[$-0E0000]yyyy-mm-dd")</f>
        <v/>
      </c>
      <c r="C69242" t="inlineStr">
        <is>
          <t>2089-06-21</t>
        </is>
      </c>
    </row>
    <row r="69243">
      <c r="A69243" s="1" t="n">
        <v>69242</v>
      </c>
      <c r="B69243">
        <f>TEXT(69242, "[$-0E0000]yyyy-mm-dd")</f>
        <v/>
      </c>
      <c r="C69243" t="inlineStr">
        <is>
          <t>2089-06-22</t>
        </is>
      </c>
    </row>
    <row r="69244">
      <c r="A69244" s="1" t="n">
        <v>69243</v>
      </c>
      <c r="B69244">
        <f>TEXT(69243, "[$-0E0000]yyyy-mm-dd")</f>
        <v/>
      </c>
      <c r="C69244" t="inlineStr">
        <is>
          <t>2089-06-23</t>
        </is>
      </c>
    </row>
    <row r="69245">
      <c r="A69245" s="1" t="n">
        <v>69244</v>
      </c>
      <c r="B69245">
        <f>TEXT(69244, "[$-0E0000]yyyy-mm-dd")</f>
        <v/>
      </c>
      <c r="C69245" t="inlineStr">
        <is>
          <t>2089-06-24</t>
        </is>
      </c>
    </row>
    <row r="69246">
      <c r="A69246" s="1" t="n">
        <v>69245</v>
      </c>
      <c r="B69246">
        <f>TEXT(69245, "[$-0E0000]yyyy-mm-dd")</f>
        <v/>
      </c>
      <c r="C69246" t="inlineStr">
        <is>
          <t>2089-06-25</t>
        </is>
      </c>
    </row>
    <row r="69247">
      <c r="A69247" s="1" t="n">
        <v>69246</v>
      </c>
      <c r="B69247">
        <f>TEXT(69246, "[$-0E0000]yyyy-mm-dd")</f>
        <v/>
      </c>
      <c r="C69247" t="inlineStr">
        <is>
          <t>2089-06-26</t>
        </is>
      </c>
    </row>
    <row r="69248">
      <c r="A69248" s="1" t="n">
        <v>69247</v>
      </c>
      <c r="B69248">
        <f>TEXT(69247, "[$-0E0000]yyyy-mm-dd")</f>
        <v/>
      </c>
      <c r="C69248" t="inlineStr">
        <is>
          <t>2089-06-27</t>
        </is>
      </c>
    </row>
    <row r="69249">
      <c r="A69249" s="1" t="n">
        <v>69248</v>
      </c>
      <c r="B69249">
        <f>TEXT(69248, "[$-0E0000]yyyy-mm-dd")</f>
        <v/>
      </c>
      <c r="C69249" t="inlineStr">
        <is>
          <t>2089-06-28</t>
        </is>
      </c>
    </row>
    <row r="69250">
      <c r="A69250" s="1" t="n">
        <v>69249</v>
      </c>
      <c r="B69250">
        <f>TEXT(69249, "[$-0E0000]yyyy-mm-dd")</f>
        <v/>
      </c>
      <c r="C69250" t="inlineStr">
        <is>
          <t>2089-06-29</t>
        </is>
      </c>
    </row>
    <row r="69251">
      <c r="A69251" s="1" t="n">
        <v>69250</v>
      </c>
      <c r="B69251">
        <f>TEXT(69250, "[$-0E0000]yyyy-mm-dd")</f>
        <v/>
      </c>
      <c r="C69251" t="inlineStr">
        <is>
          <t>2089-07-01</t>
        </is>
      </c>
    </row>
    <row r="69252">
      <c r="A69252" s="1" t="n">
        <v>69251</v>
      </c>
      <c r="B69252">
        <f>TEXT(69251, "[$-0E0000]yyyy-mm-dd")</f>
        <v/>
      </c>
      <c r="C69252" t="inlineStr">
        <is>
          <t>2089-07-02</t>
        </is>
      </c>
    </row>
    <row r="69253">
      <c r="A69253" s="1" t="n">
        <v>69252</v>
      </c>
      <c r="B69253">
        <f>TEXT(69252, "[$-0E0000]yyyy-mm-dd")</f>
        <v/>
      </c>
      <c r="C69253" t="inlineStr">
        <is>
          <t>2089-07-03</t>
        </is>
      </c>
    </row>
    <row r="69254">
      <c r="A69254" s="1" t="n">
        <v>69253</v>
      </c>
      <c r="B69254">
        <f>TEXT(69253, "[$-0E0000]yyyy-mm-dd")</f>
        <v/>
      </c>
      <c r="C69254" t="inlineStr">
        <is>
          <t>2089-07-04</t>
        </is>
      </c>
    </row>
    <row r="69255">
      <c r="A69255" s="1" t="n">
        <v>69254</v>
      </c>
      <c r="B69255">
        <f>TEXT(69254, "[$-0E0000]yyyy-mm-dd")</f>
        <v/>
      </c>
      <c r="C69255" t="inlineStr">
        <is>
          <t>2089-07-05</t>
        </is>
      </c>
    </row>
    <row r="69256">
      <c r="A69256" s="1" t="n">
        <v>69255</v>
      </c>
      <c r="B69256">
        <f>TEXT(69255, "[$-0E0000]yyyy-mm-dd")</f>
        <v/>
      </c>
      <c r="C69256" t="inlineStr">
        <is>
          <t>2089-07-06</t>
        </is>
      </c>
    </row>
    <row r="69257">
      <c r="A69257" s="1" t="n">
        <v>69256</v>
      </c>
      <c r="B69257">
        <f>TEXT(69256, "[$-0E0000]yyyy-mm-dd")</f>
        <v/>
      </c>
      <c r="C69257" t="inlineStr">
        <is>
          <t>2089-07-07</t>
        </is>
      </c>
    </row>
    <row r="69258">
      <c r="A69258" s="1" t="n">
        <v>69257</v>
      </c>
      <c r="B69258">
        <f>TEXT(69257, "[$-0E0000]yyyy-mm-dd")</f>
        <v/>
      </c>
      <c r="C69258" t="inlineStr">
        <is>
          <t>2089-07-08</t>
        </is>
      </c>
    </row>
    <row r="69259">
      <c r="A69259" s="1" t="n">
        <v>69258</v>
      </c>
      <c r="B69259">
        <f>TEXT(69258, "[$-0E0000]yyyy-mm-dd")</f>
        <v/>
      </c>
      <c r="C69259" t="inlineStr">
        <is>
          <t>2089-07-09</t>
        </is>
      </c>
    </row>
    <row r="69260">
      <c r="A69260" s="1" t="n">
        <v>69259</v>
      </c>
      <c r="B69260">
        <f>TEXT(69259, "[$-0E0000]yyyy-mm-dd")</f>
        <v/>
      </c>
      <c r="C69260" t="inlineStr">
        <is>
          <t>2089-07-10</t>
        </is>
      </c>
    </row>
    <row r="69261">
      <c r="A69261" s="1" t="n">
        <v>69260</v>
      </c>
      <c r="B69261">
        <f>TEXT(69260, "[$-0E0000]yyyy-mm-dd")</f>
        <v/>
      </c>
      <c r="C69261" t="inlineStr">
        <is>
          <t>2089-07-11</t>
        </is>
      </c>
    </row>
    <row r="69262">
      <c r="A69262" s="1" t="n">
        <v>69261</v>
      </c>
      <c r="B69262">
        <f>TEXT(69261, "[$-0E0000]yyyy-mm-dd")</f>
        <v/>
      </c>
      <c r="C69262" t="inlineStr">
        <is>
          <t>2089-07-12</t>
        </is>
      </c>
    </row>
    <row r="69263">
      <c r="A69263" s="1" t="n">
        <v>69262</v>
      </c>
      <c r="B69263">
        <f>TEXT(69262, "[$-0E0000]yyyy-mm-dd")</f>
        <v/>
      </c>
      <c r="C69263" t="inlineStr">
        <is>
          <t>2089-07-13</t>
        </is>
      </c>
    </row>
    <row r="69264">
      <c r="A69264" s="1" t="n">
        <v>69263</v>
      </c>
      <c r="B69264">
        <f>TEXT(69263, "[$-0E0000]yyyy-mm-dd")</f>
        <v/>
      </c>
      <c r="C69264" t="inlineStr">
        <is>
          <t>2089-07-14</t>
        </is>
      </c>
    </row>
    <row r="69265">
      <c r="A69265" s="1" t="n">
        <v>69264</v>
      </c>
      <c r="B69265">
        <f>TEXT(69264, "[$-0E0000]yyyy-mm-dd")</f>
        <v/>
      </c>
      <c r="C69265" t="inlineStr">
        <is>
          <t>2089-07-15</t>
        </is>
      </c>
    </row>
    <row r="69266">
      <c r="A69266" s="1" t="n">
        <v>69265</v>
      </c>
      <c r="B69266">
        <f>TEXT(69265, "[$-0E0000]yyyy-mm-dd")</f>
        <v/>
      </c>
      <c r="C69266" t="inlineStr">
        <is>
          <t>2089-07-16</t>
        </is>
      </c>
    </row>
    <row r="69267">
      <c r="A69267" s="1" t="n">
        <v>69266</v>
      </c>
      <c r="B69267">
        <f>TEXT(69266, "[$-0E0000]yyyy-mm-dd")</f>
        <v/>
      </c>
      <c r="C69267" t="inlineStr">
        <is>
          <t>2089-07-17</t>
        </is>
      </c>
    </row>
    <row r="69268">
      <c r="A69268" s="1" t="n">
        <v>69267</v>
      </c>
      <c r="B69268">
        <f>TEXT(69267, "[$-0E0000]yyyy-mm-dd")</f>
        <v/>
      </c>
      <c r="C69268" t="inlineStr">
        <is>
          <t>2089-07-18</t>
        </is>
      </c>
    </row>
    <row r="69269">
      <c r="A69269" s="1" t="n">
        <v>69268</v>
      </c>
      <c r="B69269">
        <f>TEXT(69268, "[$-0E0000]yyyy-mm-dd")</f>
        <v/>
      </c>
      <c r="C69269" t="inlineStr">
        <is>
          <t>2089-07-19</t>
        </is>
      </c>
    </row>
    <row r="69270">
      <c r="A69270" s="1" t="n">
        <v>69269</v>
      </c>
      <c r="B69270">
        <f>TEXT(69269, "[$-0E0000]yyyy-mm-dd")</f>
        <v/>
      </c>
      <c r="C69270" t="inlineStr">
        <is>
          <t>2089-07-20</t>
        </is>
      </c>
    </row>
    <row r="69271">
      <c r="A69271" s="1" t="n">
        <v>69270</v>
      </c>
      <c r="B69271">
        <f>TEXT(69270, "[$-0E0000]yyyy-mm-dd")</f>
        <v/>
      </c>
      <c r="C69271" t="inlineStr">
        <is>
          <t>2089-07-21</t>
        </is>
      </c>
    </row>
    <row r="69272">
      <c r="A69272" s="1" t="n">
        <v>69271</v>
      </c>
      <c r="B69272">
        <f>TEXT(69271, "[$-0E0000]yyyy-mm-dd")</f>
        <v/>
      </c>
      <c r="C69272" t="inlineStr">
        <is>
          <t>2089-07-22</t>
        </is>
      </c>
    </row>
    <row r="69273">
      <c r="A69273" s="1" t="n">
        <v>69272</v>
      </c>
      <c r="B69273">
        <f>TEXT(69272, "[$-0E0000]yyyy-mm-dd")</f>
        <v/>
      </c>
      <c r="C69273" t="inlineStr">
        <is>
          <t>2089-07-23</t>
        </is>
      </c>
    </row>
    <row r="69274">
      <c r="A69274" s="1" t="n">
        <v>69273</v>
      </c>
      <c r="B69274">
        <f>TEXT(69273, "[$-0E0000]yyyy-mm-dd")</f>
        <v/>
      </c>
      <c r="C69274" t="inlineStr">
        <is>
          <t>2089-07-24</t>
        </is>
      </c>
    </row>
    <row r="69275">
      <c r="A69275" s="1" t="n">
        <v>69274</v>
      </c>
      <c r="B69275">
        <f>TEXT(69274, "[$-0E0000]yyyy-mm-dd")</f>
        <v/>
      </c>
      <c r="C69275" t="inlineStr">
        <is>
          <t>2089-07-25</t>
        </is>
      </c>
    </row>
    <row r="69276">
      <c r="A69276" s="1" t="n">
        <v>69275</v>
      </c>
      <c r="B69276">
        <f>TEXT(69275, "[$-0E0000]yyyy-mm-dd")</f>
        <v/>
      </c>
      <c r="C69276" t="inlineStr">
        <is>
          <t>2089-07-26</t>
        </is>
      </c>
    </row>
    <row r="69277">
      <c r="A69277" s="1" t="n">
        <v>69276</v>
      </c>
      <c r="B69277">
        <f>TEXT(69276, "[$-0E0000]yyyy-mm-dd")</f>
        <v/>
      </c>
      <c r="C69277" t="inlineStr">
        <is>
          <t>2089-07-27</t>
        </is>
      </c>
    </row>
    <row r="69278">
      <c r="A69278" s="1" t="n">
        <v>69277</v>
      </c>
      <c r="B69278">
        <f>TEXT(69277, "[$-0E0000]yyyy-mm-dd")</f>
        <v/>
      </c>
      <c r="C69278" t="inlineStr">
        <is>
          <t>2089-07-28</t>
        </is>
      </c>
    </row>
    <row r="69279">
      <c r="A69279" s="1" t="n">
        <v>69278</v>
      </c>
      <c r="B69279">
        <f>TEXT(69278, "[$-0E0000]yyyy-mm-dd")</f>
        <v/>
      </c>
      <c r="C69279" t="inlineStr">
        <is>
          <t>2089-07-29</t>
        </is>
      </c>
    </row>
    <row r="69280">
      <c r="A69280" s="1" t="n">
        <v>69279</v>
      </c>
      <c r="B69280">
        <f>TEXT(69279, "[$-0E0000]yyyy-mm-dd")</f>
        <v/>
      </c>
      <c r="C69280" t="inlineStr">
        <is>
          <t>2089-07-30</t>
        </is>
      </c>
    </row>
    <row r="69281">
      <c r="A69281" s="1" t="n">
        <v>69280</v>
      </c>
      <c r="B69281">
        <f>TEXT(69280, "[$-0E0000]yyyy-mm-dd")</f>
        <v/>
      </c>
      <c r="C69281" t="inlineStr">
        <is>
          <t>2089-08-01</t>
        </is>
      </c>
    </row>
    <row r="69282">
      <c r="A69282" s="1" t="n">
        <v>69281</v>
      </c>
      <c r="B69282">
        <f>TEXT(69281, "[$-0E0000]yyyy-mm-dd")</f>
        <v/>
      </c>
      <c r="C69282" t="inlineStr">
        <is>
          <t>2089-08-02</t>
        </is>
      </c>
    </row>
    <row r="69283">
      <c r="A69283" s="1" t="n">
        <v>69282</v>
      </c>
      <c r="B69283">
        <f>TEXT(69282, "[$-0E0000]yyyy-mm-dd")</f>
        <v/>
      </c>
      <c r="C69283" t="inlineStr">
        <is>
          <t>2089-08-03</t>
        </is>
      </c>
    </row>
    <row r="69284">
      <c r="A69284" s="1" t="n">
        <v>69283</v>
      </c>
      <c r="B69284">
        <f>TEXT(69283, "[$-0E0000]yyyy-mm-dd")</f>
        <v/>
      </c>
      <c r="C69284" t="inlineStr">
        <is>
          <t>2089-08-04</t>
        </is>
      </c>
    </row>
    <row r="69285">
      <c r="A69285" s="1" t="n">
        <v>69284</v>
      </c>
      <c r="B69285">
        <f>TEXT(69284, "[$-0E0000]yyyy-mm-dd")</f>
        <v/>
      </c>
      <c r="C69285" t="inlineStr">
        <is>
          <t>2089-08-05</t>
        </is>
      </c>
    </row>
    <row r="69286">
      <c r="A69286" s="1" t="n">
        <v>69285</v>
      </c>
      <c r="B69286">
        <f>TEXT(69285, "[$-0E0000]yyyy-mm-dd")</f>
        <v/>
      </c>
      <c r="C69286" t="inlineStr">
        <is>
          <t>2089-08-06</t>
        </is>
      </c>
    </row>
    <row r="69287">
      <c r="A69287" s="1" t="n">
        <v>69286</v>
      </c>
      <c r="B69287">
        <f>TEXT(69286, "[$-0E0000]yyyy-mm-dd")</f>
        <v/>
      </c>
      <c r="C69287" t="inlineStr">
        <is>
          <t>2089-08-07</t>
        </is>
      </c>
    </row>
    <row r="69288">
      <c r="A69288" s="1" t="n">
        <v>69287</v>
      </c>
      <c r="B69288">
        <f>TEXT(69287, "[$-0E0000]yyyy-mm-dd")</f>
        <v/>
      </c>
      <c r="C69288" t="inlineStr">
        <is>
          <t>2089-08-08</t>
        </is>
      </c>
    </row>
    <row r="69289">
      <c r="A69289" s="1" t="n">
        <v>69288</v>
      </c>
      <c r="B69289">
        <f>TEXT(69288, "[$-0E0000]yyyy-mm-dd")</f>
        <v/>
      </c>
      <c r="C69289" t="inlineStr">
        <is>
          <t>2089-08-09</t>
        </is>
      </c>
    </row>
    <row r="69290">
      <c r="A69290" s="1" t="n">
        <v>69289</v>
      </c>
      <c r="B69290">
        <f>TEXT(69289, "[$-0E0000]yyyy-mm-dd")</f>
        <v/>
      </c>
      <c r="C69290" t="inlineStr">
        <is>
          <t>2089-08-10</t>
        </is>
      </c>
    </row>
    <row r="69291">
      <c r="A69291" s="1" t="n">
        <v>69290</v>
      </c>
      <c r="B69291">
        <f>TEXT(69290, "[$-0E0000]yyyy-mm-dd")</f>
        <v/>
      </c>
      <c r="C69291" t="inlineStr">
        <is>
          <t>2089-08-11</t>
        </is>
      </c>
    </row>
    <row r="69292">
      <c r="A69292" s="1" t="n">
        <v>69291</v>
      </c>
      <c r="B69292">
        <f>TEXT(69291, "[$-0E0000]yyyy-mm-dd")</f>
        <v/>
      </c>
      <c r="C69292" t="inlineStr">
        <is>
          <t>2089-08-12</t>
        </is>
      </c>
    </row>
    <row r="69293">
      <c r="A69293" s="1" t="n">
        <v>69292</v>
      </c>
      <c r="B69293">
        <f>TEXT(69292, "[$-0E0000]yyyy-mm-dd")</f>
        <v/>
      </c>
      <c r="C69293" t="inlineStr">
        <is>
          <t>2089-08-13</t>
        </is>
      </c>
    </row>
    <row r="69294">
      <c r="A69294" s="1" t="n">
        <v>69293</v>
      </c>
      <c r="B69294">
        <f>TEXT(69293, "[$-0E0000]yyyy-mm-dd")</f>
        <v/>
      </c>
      <c r="C69294" t="inlineStr">
        <is>
          <t>2089-08-14</t>
        </is>
      </c>
    </row>
    <row r="69295">
      <c r="A69295" s="1" t="n">
        <v>69294</v>
      </c>
      <c r="B69295">
        <f>TEXT(69294, "[$-0E0000]yyyy-mm-dd")</f>
        <v/>
      </c>
      <c r="C69295" t="inlineStr">
        <is>
          <t>2089-08-15</t>
        </is>
      </c>
    </row>
    <row r="69296">
      <c r="A69296" s="1" t="n">
        <v>69295</v>
      </c>
      <c r="B69296">
        <f>TEXT(69295, "[$-0E0000]yyyy-mm-dd")</f>
        <v/>
      </c>
      <c r="C69296" t="inlineStr">
        <is>
          <t>2089-08-16</t>
        </is>
      </c>
    </row>
    <row r="69297">
      <c r="A69297" s="1" t="n">
        <v>69296</v>
      </c>
      <c r="B69297">
        <f>TEXT(69296, "[$-0E0000]yyyy-mm-dd")</f>
        <v/>
      </c>
      <c r="C69297" t="inlineStr">
        <is>
          <t>2089-08-17</t>
        </is>
      </c>
    </row>
    <row r="69298">
      <c r="A69298" s="1" t="n">
        <v>69297</v>
      </c>
      <c r="B69298">
        <f>TEXT(69297, "[$-0E0000]yyyy-mm-dd")</f>
        <v/>
      </c>
      <c r="C69298" t="inlineStr">
        <is>
          <t>2089-08-18</t>
        </is>
      </c>
    </row>
    <row r="69299">
      <c r="A69299" s="1" t="n">
        <v>69298</v>
      </c>
      <c r="B69299">
        <f>TEXT(69298, "[$-0E0000]yyyy-mm-dd")</f>
        <v/>
      </c>
      <c r="C69299" t="inlineStr">
        <is>
          <t>2089-08-19</t>
        </is>
      </c>
    </row>
    <row r="69300">
      <c r="A69300" s="1" t="n">
        <v>69299</v>
      </c>
      <c r="B69300">
        <f>TEXT(69299, "[$-0E0000]yyyy-mm-dd")</f>
        <v/>
      </c>
      <c r="C69300" t="inlineStr">
        <is>
          <t>2089-08-20</t>
        </is>
      </c>
    </row>
    <row r="69301">
      <c r="A69301" s="1" t="n">
        <v>69300</v>
      </c>
      <c r="B69301">
        <f>TEXT(69300, "[$-0E0000]yyyy-mm-dd")</f>
        <v/>
      </c>
      <c r="C69301" t="inlineStr">
        <is>
          <t>2089-08-21</t>
        </is>
      </c>
    </row>
    <row r="69302">
      <c r="A69302" s="1" t="n">
        <v>69301</v>
      </c>
      <c r="B69302">
        <f>TEXT(69301, "[$-0E0000]yyyy-mm-dd")</f>
        <v/>
      </c>
      <c r="C69302" t="inlineStr">
        <is>
          <t>2089-08-22</t>
        </is>
      </c>
    </row>
    <row r="69303">
      <c r="A69303" s="1" t="n">
        <v>69302</v>
      </c>
      <c r="B69303">
        <f>TEXT(69302, "[$-0E0000]yyyy-mm-dd")</f>
        <v/>
      </c>
      <c r="C69303" t="inlineStr">
        <is>
          <t>2089-08-23</t>
        </is>
      </c>
    </row>
    <row r="69304">
      <c r="A69304" s="1" t="n">
        <v>69303</v>
      </c>
      <c r="B69304">
        <f>TEXT(69303, "[$-0E0000]yyyy-mm-dd")</f>
        <v/>
      </c>
      <c r="C69304" t="inlineStr">
        <is>
          <t>2089-08-24</t>
        </is>
      </c>
    </row>
    <row r="69305">
      <c r="A69305" s="1" t="n">
        <v>69304</v>
      </c>
      <c r="B69305">
        <f>TEXT(69304, "[$-0E0000]yyyy-mm-dd")</f>
        <v/>
      </c>
      <c r="C69305" t="inlineStr">
        <is>
          <t>2089-08-25</t>
        </is>
      </c>
    </row>
    <row r="69306">
      <c r="A69306" s="1" t="n">
        <v>69305</v>
      </c>
      <c r="B69306">
        <f>TEXT(69305, "[$-0E0000]yyyy-mm-dd")</f>
        <v/>
      </c>
      <c r="C69306" t="inlineStr">
        <is>
          <t>2089-08-26</t>
        </is>
      </c>
    </row>
    <row r="69307">
      <c r="A69307" s="1" t="n">
        <v>69306</v>
      </c>
      <c r="B69307">
        <f>TEXT(69306, "[$-0E0000]yyyy-mm-dd")</f>
        <v/>
      </c>
      <c r="C69307" t="inlineStr">
        <is>
          <t>2089-08-27</t>
        </is>
      </c>
    </row>
    <row r="69308">
      <c r="A69308" s="1" t="n">
        <v>69307</v>
      </c>
      <c r="B69308">
        <f>TEXT(69307, "[$-0E0000]yyyy-mm-dd")</f>
        <v/>
      </c>
      <c r="C69308" t="inlineStr">
        <is>
          <t>2089-08-28</t>
        </is>
      </c>
    </row>
    <row r="69309">
      <c r="A69309" s="1" t="n">
        <v>69308</v>
      </c>
      <c r="B69309">
        <f>TEXT(69308, "[$-0E0000]yyyy-mm-dd")</f>
        <v/>
      </c>
      <c r="C69309" t="inlineStr">
        <is>
          <t>2089-08-29</t>
        </is>
      </c>
    </row>
    <row r="69310">
      <c r="A69310" s="1" t="n">
        <v>69309</v>
      </c>
      <c r="B69310">
        <f>TEXT(69309, "[$-0E0000]yyyy-mm-dd")</f>
        <v/>
      </c>
      <c r="C69310" t="inlineStr">
        <is>
          <t>2089-09-01</t>
        </is>
      </c>
    </row>
    <row r="69311">
      <c r="A69311" s="1" t="n">
        <v>69310</v>
      </c>
      <c r="B69311">
        <f>TEXT(69310, "[$-0E0000]yyyy-mm-dd")</f>
        <v/>
      </c>
      <c r="C69311" t="inlineStr">
        <is>
          <t>2089-09-02</t>
        </is>
      </c>
    </row>
    <row r="69312">
      <c r="A69312" s="1" t="n">
        <v>69311</v>
      </c>
      <c r="B69312">
        <f>TEXT(69311, "[$-0E0000]yyyy-mm-dd")</f>
        <v/>
      </c>
      <c r="C69312" t="inlineStr">
        <is>
          <t>2089-09-03</t>
        </is>
      </c>
    </row>
    <row r="69313">
      <c r="A69313" s="1" t="n">
        <v>69312</v>
      </c>
      <c r="B69313">
        <f>TEXT(69312, "[$-0E0000]yyyy-mm-dd")</f>
        <v/>
      </c>
      <c r="C69313" t="inlineStr">
        <is>
          <t>2089-09-04</t>
        </is>
      </c>
    </row>
    <row r="69314">
      <c r="A69314" s="1" t="n">
        <v>69313</v>
      </c>
      <c r="B69314">
        <f>TEXT(69313, "[$-0E0000]yyyy-mm-dd")</f>
        <v/>
      </c>
      <c r="C69314" t="inlineStr">
        <is>
          <t>2089-09-05</t>
        </is>
      </c>
    </row>
    <row r="69315">
      <c r="A69315" s="1" t="n">
        <v>69314</v>
      </c>
      <c r="B69315">
        <f>TEXT(69314, "[$-0E0000]yyyy-mm-dd")</f>
        <v/>
      </c>
      <c r="C69315" t="inlineStr">
        <is>
          <t>2089-09-06</t>
        </is>
      </c>
    </row>
    <row r="69316">
      <c r="A69316" s="1" t="n">
        <v>69315</v>
      </c>
      <c r="B69316">
        <f>TEXT(69315, "[$-0E0000]yyyy-mm-dd")</f>
        <v/>
      </c>
      <c r="C69316" t="inlineStr">
        <is>
          <t>2089-09-07</t>
        </is>
      </c>
    </row>
    <row r="69317">
      <c r="A69317" s="1" t="n">
        <v>69316</v>
      </c>
      <c r="B69317">
        <f>TEXT(69316, "[$-0E0000]yyyy-mm-dd")</f>
        <v/>
      </c>
      <c r="C69317" t="inlineStr">
        <is>
          <t>2089-09-08</t>
        </is>
      </c>
    </row>
    <row r="69318">
      <c r="A69318" s="1" t="n">
        <v>69317</v>
      </c>
      <c r="B69318">
        <f>TEXT(69317, "[$-0E0000]yyyy-mm-dd")</f>
        <v/>
      </c>
      <c r="C69318" t="inlineStr">
        <is>
          <t>2089-09-09</t>
        </is>
      </c>
    </row>
    <row r="69319">
      <c r="A69319" s="1" t="n">
        <v>69318</v>
      </c>
      <c r="B69319">
        <f>TEXT(69318, "[$-0E0000]yyyy-mm-dd")</f>
        <v/>
      </c>
      <c r="C69319" t="inlineStr">
        <is>
          <t>2089-09-10</t>
        </is>
      </c>
    </row>
    <row r="69320">
      <c r="A69320" s="1" t="n">
        <v>69319</v>
      </c>
      <c r="B69320">
        <f>TEXT(69319, "[$-0E0000]yyyy-mm-dd")</f>
        <v/>
      </c>
      <c r="C69320" t="inlineStr">
        <is>
          <t>2089-09-11</t>
        </is>
      </c>
    </row>
    <row r="69321">
      <c r="A69321" s="1" t="n">
        <v>69320</v>
      </c>
      <c r="B69321">
        <f>TEXT(69320, "[$-0E0000]yyyy-mm-dd")</f>
        <v/>
      </c>
      <c r="C69321" t="inlineStr">
        <is>
          <t>2089-09-12</t>
        </is>
      </c>
    </row>
    <row r="69322">
      <c r="A69322" s="1" t="n">
        <v>69321</v>
      </c>
      <c r="B69322">
        <f>TEXT(69321, "[$-0E0000]yyyy-mm-dd")</f>
        <v/>
      </c>
      <c r="C69322" t="inlineStr">
        <is>
          <t>2089-09-13</t>
        </is>
      </c>
    </row>
    <row r="69323">
      <c r="A69323" s="1" t="n">
        <v>69322</v>
      </c>
      <c r="B69323">
        <f>TEXT(69322, "[$-0E0000]yyyy-mm-dd")</f>
        <v/>
      </c>
      <c r="C69323" t="inlineStr">
        <is>
          <t>2089-09-14</t>
        </is>
      </c>
    </row>
    <row r="69324">
      <c r="A69324" s="1" t="n">
        <v>69323</v>
      </c>
      <c r="B69324">
        <f>TEXT(69323, "[$-0E0000]yyyy-mm-dd")</f>
        <v/>
      </c>
      <c r="C69324" t="inlineStr">
        <is>
          <t>2089-09-15</t>
        </is>
      </c>
    </row>
    <row r="69325">
      <c r="A69325" s="1" t="n">
        <v>69324</v>
      </c>
      <c r="B69325">
        <f>TEXT(69324, "[$-0E0000]yyyy-mm-dd")</f>
        <v/>
      </c>
      <c r="C69325" t="inlineStr">
        <is>
          <t>2089-09-16</t>
        </is>
      </c>
    </row>
    <row r="69326">
      <c r="A69326" s="1" t="n">
        <v>69325</v>
      </c>
      <c r="B69326">
        <f>TEXT(69325, "[$-0E0000]yyyy-mm-dd")</f>
        <v/>
      </c>
      <c r="C69326" t="inlineStr">
        <is>
          <t>2089-09-17</t>
        </is>
      </c>
    </row>
    <row r="69327">
      <c r="A69327" s="1" t="n">
        <v>69326</v>
      </c>
      <c r="B69327">
        <f>TEXT(69326, "[$-0E0000]yyyy-mm-dd")</f>
        <v/>
      </c>
      <c r="C69327" t="inlineStr">
        <is>
          <t>2089-09-18</t>
        </is>
      </c>
    </row>
    <row r="69328">
      <c r="A69328" s="1" t="n">
        <v>69327</v>
      </c>
      <c r="B69328">
        <f>TEXT(69327, "[$-0E0000]yyyy-mm-dd")</f>
        <v/>
      </c>
      <c r="C69328" t="inlineStr">
        <is>
          <t>2089-09-19</t>
        </is>
      </c>
    </row>
    <row r="69329">
      <c r="A69329" s="1" t="n">
        <v>69328</v>
      </c>
      <c r="B69329">
        <f>TEXT(69328, "[$-0E0000]yyyy-mm-dd")</f>
        <v/>
      </c>
      <c r="C69329" t="inlineStr">
        <is>
          <t>2089-09-20</t>
        </is>
      </c>
    </row>
    <row r="69330">
      <c r="A69330" s="1" t="n">
        <v>69329</v>
      </c>
      <c r="B69330">
        <f>TEXT(69329, "[$-0E0000]yyyy-mm-dd")</f>
        <v/>
      </c>
      <c r="C69330" t="inlineStr">
        <is>
          <t>2089-09-21</t>
        </is>
      </c>
    </row>
    <row r="69331">
      <c r="A69331" s="1" t="n">
        <v>69330</v>
      </c>
      <c r="B69331">
        <f>TEXT(69330, "[$-0E0000]yyyy-mm-dd")</f>
        <v/>
      </c>
      <c r="C69331" t="inlineStr">
        <is>
          <t>2089-09-22</t>
        </is>
      </c>
    </row>
    <row r="69332">
      <c r="A69332" s="1" t="n">
        <v>69331</v>
      </c>
      <c r="B69332">
        <f>TEXT(69331, "[$-0E0000]yyyy-mm-dd")</f>
        <v/>
      </c>
      <c r="C69332" t="inlineStr">
        <is>
          <t>2089-09-23</t>
        </is>
      </c>
    </row>
    <row r="69333">
      <c r="A69333" s="1" t="n">
        <v>69332</v>
      </c>
      <c r="B69333">
        <f>TEXT(69332, "[$-0E0000]yyyy-mm-dd")</f>
        <v/>
      </c>
      <c r="C69333" t="inlineStr">
        <is>
          <t>2089-09-24</t>
        </is>
      </c>
    </row>
    <row r="69334">
      <c r="A69334" s="1" t="n">
        <v>69333</v>
      </c>
      <c r="B69334">
        <f>TEXT(69333, "[$-0E0000]yyyy-mm-dd")</f>
        <v/>
      </c>
      <c r="C69334" t="inlineStr">
        <is>
          <t>2089-09-25</t>
        </is>
      </c>
    </row>
    <row r="69335">
      <c r="A69335" s="1" t="n">
        <v>69334</v>
      </c>
      <c r="B69335">
        <f>TEXT(69334, "[$-0E0000]yyyy-mm-dd")</f>
        <v/>
      </c>
      <c r="C69335" t="inlineStr">
        <is>
          <t>2089-09-26</t>
        </is>
      </c>
    </row>
    <row r="69336">
      <c r="A69336" s="1" t="n">
        <v>69335</v>
      </c>
      <c r="B69336">
        <f>TEXT(69335, "[$-0E0000]yyyy-mm-dd")</f>
        <v/>
      </c>
      <c r="C69336" t="inlineStr">
        <is>
          <t>2089-09-27</t>
        </is>
      </c>
    </row>
    <row r="69337">
      <c r="A69337" s="1" t="n">
        <v>69336</v>
      </c>
      <c r="B69337">
        <f>TEXT(69336, "[$-0E0000]yyyy-mm-dd")</f>
        <v/>
      </c>
      <c r="C69337" t="inlineStr">
        <is>
          <t>2089-09-28</t>
        </is>
      </c>
    </row>
    <row r="69338">
      <c r="A69338" s="1" t="n">
        <v>69337</v>
      </c>
      <c r="B69338">
        <f>TEXT(69337, "[$-0E0000]yyyy-mm-dd")</f>
        <v/>
      </c>
      <c r="C69338" t="inlineStr">
        <is>
          <t>2089-09-29</t>
        </is>
      </c>
    </row>
    <row r="69339">
      <c r="A69339" s="1" t="n">
        <v>69338</v>
      </c>
      <c r="B69339">
        <f>TEXT(69338, "[$-0E0000]yyyy-mm-dd")</f>
        <v/>
      </c>
      <c r="C69339" t="inlineStr">
        <is>
          <t>2089-10-01</t>
        </is>
      </c>
    </row>
    <row r="69340">
      <c r="A69340" s="1" t="n">
        <v>69339</v>
      </c>
      <c r="B69340">
        <f>TEXT(69339, "[$-0E0000]yyyy-mm-dd")</f>
        <v/>
      </c>
      <c r="C69340" t="inlineStr">
        <is>
          <t>2089-10-02</t>
        </is>
      </c>
    </row>
    <row r="69341">
      <c r="A69341" s="1" t="n">
        <v>69340</v>
      </c>
      <c r="B69341">
        <f>TEXT(69340, "[$-0E0000]yyyy-mm-dd")</f>
        <v/>
      </c>
      <c r="C69341" t="inlineStr">
        <is>
          <t>2089-10-03</t>
        </is>
      </c>
    </row>
    <row r="69342">
      <c r="A69342" s="1" t="n">
        <v>69341</v>
      </c>
      <c r="B69342">
        <f>TEXT(69341, "[$-0E0000]yyyy-mm-dd")</f>
        <v/>
      </c>
      <c r="C69342" t="inlineStr">
        <is>
          <t>2089-10-04</t>
        </is>
      </c>
    </row>
    <row r="69343">
      <c r="A69343" s="1" t="n">
        <v>69342</v>
      </c>
      <c r="B69343">
        <f>TEXT(69342, "[$-0E0000]yyyy-mm-dd")</f>
        <v/>
      </c>
      <c r="C69343" t="inlineStr">
        <is>
          <t>2089-10-05</t>
        </is>
      </c>
    </row>
    <row r="69344">
      <c r="A69344" s="1" t="n">
        <v>69343</v>
      </c>
      <c r="B69344">
        <f>TEXT(69343, "[$-0E0000]yyyy-mm-dd")</f>
        <v/>
      </c>
      <c r="C69344" t="inlineStr">
        <is>
          <t>2089-10-06</t>
        </is>
      </c>
    </row>
    <row r="69345">
      <c r="A69345" s="1" t="n">
        <v>69344</v>
      </c>
      <c r="B69345">
        <f>TEXT(69344, "[$-0E0000]yyyy-mm-dd")</f>
        <v/>
      </c>
      <c r="C69345" t="inlineStr">
        <is>
          <t>2089-10-07</t>
        </is>
      </c>
    </row>
    <row r="69346">
      <c r="A69346" s="1" t="n">
        <v>69345</v>
      </c>
      <c r="B69346">
        <f>TEXT(69345, "[$-0E0000]yyyy-mm-dd")</f>
        <v/>
      </c>
      <c r="C69346" t="inlineStr">
        <is>
          <t>2089-10-08</t>
        </is>
      </c>
    </row>
    <row r="69347">
      <c r="A69347" s="1" t="n">
        <v>69346</v>
      </c>
      <c r="B69347">
        <f>TEXT(69346, "[$-0E0000]yyyy-mm-dd")</f>
        <v/>
      </c>
      <c r="C69347" t="inlineStr">
        <is>
          <t>2089-10-09</t>
        </is>
      </c>
    </row>
    <row r="69348">
      <c r="A69348" s="1" t="n">
        <v>69347</v>
      </c>
      <c r="B69348">
        <f>TEXT(69347, "[$-0E0000]yyyy-mm-dd")</f>
        <v/>
      </c>
      <c r="C69348" t="inlineStr">
        <is>
          <t>2089-10-10</t>
        </is>
      </c>
    </row>
    <row r="69349">
      <c r="A69349" s="1" t="n">
        <v>69348</v>
      </c>
      <c r="B69349">
        <f>TEXT(69348, "[$-0E0000]yyyy-mm-dd")</f>
        <v/>
      </c>
      <c r="C69349" t="inlineStr">
        <is>
          <t>2089-10-11</t>
        </is>
      </c>
    </row>
    <row r="69350">
      <c r="A69350" s="1" t="n">
        <v>69349</v>
      </c>
      <c r="B69350">
        <f>TEXT(69349, "[$-0E0000]yyyy-mm-dd")</f>
        <v/>
      </c>
      <c r="C69350" t="inlineStr">
        <is>
          <t>2089-10-12</t>
        </is>
      </c>
    </row>
    <row r="69351">
      <c r="A69351" s="1" t="n">
        <v>69350</v>
      </c>
      <c r="B69351">
        <f>TEXT(69350, "[$-0E0000]yyyy-mm-dd")</f>
        <v/>
      </c>
      <c r="C69351" t="inlineStr">
        <is>
          <t>2089-10-13</t>
        </is>
      </c>
    </row>
    <row r="69352">
      <c r="A69352" s="1" t="n">
        <v>69351</v>
      </c>
      <c r="B69352">
        <f>TEXT(69351, "[$-0E0000]yyyy-mm-dd")</f>
        <v/>
      </c>
      <c r="C69352" t="inlineStr">
        <is>
          <t>2089-10-14</t>
        </is>
      </c>
    </row>
    <row r="69353">
      <c r="A69353" s="1" t="n">
        <v>69352</v>
      </c>
      <c r="B69353">
        <f>TEXT(69352, "[$-0E0000]yyyy-mm-dd")</f>
        <v/>
      </c>
      <c r="C69353" t="inlineStr">
        <is>
          <t>2089-10-15</t>
        </is>
      </c>
    </row>
    <row r="69354">
      <c r="A69354" s="1" t="n">
        <v>69353</v>
      </c>
      <c r="B69354">
        <f>TEXT(69353, "[$-0E0000]yyyy-mm-dd")</f>
        <v/>
      </c>
      <c r="C69354" t="inlineStr">
        <is>
          <t>2089-10-16</t>
        </is>
      </c>
    </row>
    <row r="69355">
      <c r="A69355" s="1" t="n">
        <v>69354</v>
      </c>
      <c r="B69355">
        <f>TEXT(69354, "[$-0E0000]yyyy-mm-dd")</f>
        <v/>
      </c>
      <c r="C69355" t="inlineStr">
        <is>
          <t>2089-10-17</t>
        </is>
      </c>
    </row>
    <row r="69356">
      <c r="A69356" s="1" t="n">
        <v>69355</v>
      </c>
      <c r="B69356">
        <f>TEXT(69355, "[$-0E0000]yyyy-mm-dd")</f>
        <v/>
      </c>
      <c r="C69356" t="inlineStr">
        <is>
          <t>2089-10-18</t>
        </is>
      </c>
    </row>
    <row r="69357">
      <c r="A69357" s="1" t="n">
        <v>69356</v>
      </c>
      <c r="B69357">
        <f>TEXT(69356, "[$-0E0000]yyyy-mm-dd")</f>
        <v/>
      </c>
      <c r="C69357" t="inlineStr">
        <is>
          <t>2089-10-19</t>
        </is>
      </c>
    </row>
    <row r="69358">
      <c r="A69358" s="1" t="n">
        <v>69357</v>
      </c>
      <c r="B69358">
        <f>TEXT(69357, "[$-0E0000]yyyy-mm-dd")</f>
        <v/>
      </c>
      <c r="C69358" t="inlineStr">
        <is>
          <t>2089-10-20</t>
        </is>
      </c>
    </row>
    <row r="69359">
      <c r="A69359" s="1" t="n">
        <v>69358</v>
      </c>
      <c r="B69359">
        <f>TEXT(69358, "[$-0E0000]yyyy-mm-dd")</f>
        <v/>
      </c>
      <c r="C69359" t="inlineStr">
        <is>
          <t>2089-10-21</t>
        </is>
      </c>
    </row>
    <row r="69360">
      <c r="A69360" s="1" t="n">
        <v>69359</v>
      </c>
      <c r="B69360">
        <f>TEXT(69359, "[$-0E0000]yyyy-mm-dd")</f>
        <v/>
      </c>
      <c r="C69360" t="inlineStr">
        <is>
          <t>2089-10-22</t>
        </is>
      </c>
    </row>
    <row r="69361">
      <c r="A69361" s="1" t="n">
        <v>69360</v>
      </c>
      <c r="B69361">
        <f>TEXT(69360, "[$-0E0000]yyyy-mm-dd")</f>
        <v/>
      </c>
      <c r="C69361" t="inlineStr">
        <is>
          <t>2089-10-23</t>
        </is>
      </c>
    </row>
    <row r="69362">
      <c r="A69362" s="1" t="n">
        <v>69361</v>
      </c>
      <c r="B69362">
        <f>TEXT(69361, "[$-0E0000]yyyy-mm-dd")</f>
        <v/>
      </c>
      <c r="C69362" t="inlineStr">
        <is>
          <t>2089-10-24</t>
        </is>
      </c>
    </row>
    <row r="69363">
      <c r="A69363" s="1" t="n">
        <v>69362</v>
      </c>
      <c r="B69363">
        <f>TEXT(69362, "[$-0E0000]yyyy-mm-dd")</f>
        <v/>
      </c>
      <c r="C69363" t="inlineStr">
        <is>
          <t>2089-10-25</t>
        </is>
      </c>
    </row>
    <row r="69364">
      <c r="A69364" s="1" t="n">
        <v>69363</v>
      </c>
      <c r="B69364">
        <f>TEXT(69363, "[$-0E0000]yyyy-mm-dd")</f>
        <v/>
      </c>
      <c r="C69364" t="inlineStr">
        <is>
          <t>2089-10-26</t>
        </is>
      </c>
    </row>
    <row r="69365">
      <c r="A69365" s="1" t="n">
        <v>69364</v>
      </c>
      <c r="B69365">
        <f>TEXT(69364, "[$-0E0000]yyyy-mm-dd")</f>
        <v/>
      </c>
      <c r="C69365" t="inlineStr">
        <is>
          <t>2089-10-27</t>
        </is>
      </c>
    </row>
    <row r="69366">
      <c r="A69366" s="1" t="n">
        <v>69365</v>
      </c>
      <c r="B69366">
        <f>TEXT(69365, "[$-0E0000]yyyy-mm-dd")</f>
        <v/>
      </c>
      <c r="C69366" t="inlineStr">
        <is>
          <t>2089-10-28</t>
        </is>
      </c>
    </row>
    <row r="69367">
      <c r="A69367" s="1" t="n">
        <v>69366</v>
      </c>
      <c r="B69367">
        <f>TEXT(69366, "[$-0E0000]yyyy-mm-dd")</f>
        <v/>
      </c>
      <c r="C69367" t="inlineStr">
        <is>
          <t>2089-10-29</t>
        </is>
      </c>
    </row>
    <row r="69368">
      <c r="A69368" s="1" t="n">
        <v>69367</v>
      </c>
      <c r="B69368">
        <f>TEXT(69367, "[$-0E0000]yyyy-mm-dd")</f>
        <v/>
      </c>
      <c r="C69368" t="inlineStr">
        <is>
          <t>2089-10-30</t>
        </is>
      </c>
    </row>
    <row r="69369">
      <c r="A69369" s="1" t="n">
        <v>69368</v>
      </c>
      <c r="B69369">
        <f>TEXT(69368, "[$-0E0000]yyyy-mm-dd")</f>
        <v/>
      </c>
      <c r="C69369" t="inlineStr">
        <is>
          <t>2089-11-01</t>
        </is>
      </c>
    </row>
    <row r="69370">
      <c r="A69370" s="1" t="n">
        <v>69369</v>
      </c>
      <c r="B69370">
        <f>TEXT(69369, "[$-0E0000]yyyy-mm-dd")</f>
        <v/>
      </c>
      <c r="C69370" t="inlineStr">
        <is>
          <t>2089-11-02</t>
        </is>
      </c>
    </row>
    <row r="69371">
      <c r="A69371" s="1" t="n">
        <v>69370</v>
      </c>
      <c r="B69371">
        <f>TEXT(69370, "[$-0E0000]yyyy-mm-dd")</f>
        <v/>
      </c>
      <c r="C69371" t="inlineStr">
        <is>
          <t>2089-11-03</t>
        </is>
      </c>
    </row>
    <row r="69372">
      <c r="A69372" s="1" t="n">
        <v>69371</v>
      </c>
      <c r="B69372">
        <f>TEXT(69371, "[$-0E0000]yyyy-mm-dd")</f>
        <v/>
      </c>
      <c r="C69372" t="inlineStr">
        <is>
          <t>2089-11-04</t>
        </is>
      </c>
    </row>
    <row r="69373">
      <c r="A69373" s="1" t="n">
        <v>69372</v>
      </c>
      <c r="B69373">
        <f>TEXT(69372, "[$-0E0000]yyyy-mm-dd")</f>
        <v/>
      </c>
      <c r="C69373" t="inlineStr">
        <is>
          <t>2089-11-05</t>
        </is>
      </c>
    </row>
    <row r="69374">
      <c r="A69374" s="1" t="n">
        <v>69373</v>
      </c>
      <c r="B69374">
        <f>TEXT(69373, "[$-0E0000]yyyy-mm-dd")</f>
        <v/>
      </c>
      <c r="C69374" t="inlineStr">
        <is>
          <t>2089-11-06</t>
        </is>
      </c>
    </row>
    <row r="69375">
      <c r="A69375" s="1" t="n">
        <v>69374</v>
      </c>
      <c r="B69375">
        <f>TEXT(69374, "[$-0E0000]yyyy-mm-dd")</f>
        <v/>
      </c>
      <c r="C69375" t="inlineStr">
        <is>
          <t>2089-11-07</t>
        </is>
      </c>
    </row>
    <row r="69376">
      <c r="A69376" s="1" t="n">
        <v>69375</v>
      </c>
      <c r="B69376">
        <f>TEXT(69375, "[$-0E0000]yyyy-mm-dd")</f>
        <v/>
      </c>
      <c r="C69376" t="inlineStr">
        <is>
          <t>2089-11-08</t>
        </is>
      </c>
    </row>
    <row r="69377">
      <c r="A69377" s="1" t="n">
        <v>69376</v>
      </c>
      <c r="B69377">
        <f>TEXT(69376, "[$-0E0000]yyyy-mm-dd")</f>
        <v/>
      </c>
      <c r="C69377" t="inlineStr">
        <is>
          <t>2089-11-09</t>
        </is>
      </c>
    </row>
    <row r="69378">
      <c r="A69378" s="1" t="n">
        <v>69377</v>
      </c>
      <c r="B69378">
        <f>TEXT(69377, "[$-0E0000]yyyy-mm-dd")</f>
        <v/>
      </c>
      <c r="C69378" t="inlineStr">
        <is>
          <t>2089-11-10</t>
        </is>
      </c>
    </row>
    <row r="69379">
      <c r="A69379" s="1" t="n">
        <v>69378</v>
      </c>
      <c r="B69379">
        <f>TEXT(69378, "[$-0E0000]yyyy-mm-dd")</f>
        <v/>
      </c>
      <c r="C69379" t="inlineStr">
        <is>
          <t>2089-11-11</t>
        </is>
      </c>
    </row>
    <row r="69380">
      <c r="A69380" s="1" t="n">
        <v>69379</v>
      </c>
      <c r="B69380">
        <f>TEXT(69379, "[$-0E0000]yyyy-mm-dd")</f>
        <v/>
      </c>
      <c r="C69380" t="inlineStr">
        <is>
          <t>2089-11-12</t>
        </is>
      </c>
    </row>
    <row r="69381">
      <c r="A69381" s="1" t="n">
        <v>69380</v>
      </c>
      <c r="B69381">
        <f>TEXT(69380, "[$-0E0000]yyyy-mm-dd")</f>
        <v/>
      </c>
      <c r="C69381" t="inlineStr">
        <is>
          <t>2089-11-13</t>
        </is>
      </c>
    </row>
    <row r="69382">
      <c r="A69382" s="1" t="n">
        <v>69381</v>
      </c>
      <c r="B69382">
        <f>TEXT(69381, "[$-0E0000]yyyy-mm-dd")</f>
        <v/>
      </c>
      <c r="C69382" t="inlineStr">
        <is>
          <t>2089-11-14</t>
        </is>
      </c>
    </row>
    <row r="69383">
      <c r="A69383" s="1" t="n">
        <v>69382</v>
      </c>
      <c r="B69383">
        <f>TEXT(69382, "[$-0E0000]yyyy-mm-dd")</f>
        <v/>
      </c>
      <c r="C69383" t="inlineStr">
        <is>
          <t>2089-11-15</t>
        </is>
      </c>
    </row>
    <row r="69384">
      <c r="A69384" s="1" t="n">
        <v>69383</v>
      </c>
      <c r="B69384">
        <f>TEXT(69383, "[$-0E0000]yyyy-mm-dd")</f>
        <v/>
      </c>
      <c r="C69384" t="inlineStr">
        <is>
          <t>2089-11-16</t>
        </is>
      </c>
    </row>
    <row r="69385">
      <c r="A69385" s="1" t="n">
        <v>69384</v>
      </c>
      <c r="B69385">
        <f>TEXT(69384, "[$-0E0000]yyyy-mm-dd")</f>
        <v/>
      </c>
      <c r="C69385" t="inlineStr">
        <is>
          <t>2089-11-17</t>
        </is>
      </c>
    </row>
    <row r="69386">
      <c r="A69386" s="1" t="n">
        <v>69385</v>
      </c>
      <c r="B69386">
        <f>TEXT(69385, "[$-0E0000]yyyy-mm-dd")</f>
        <v/>
      </c>
      <c r="C69386" t="inlineStr">
        <is>
          <t>2089-11-18</t>
        </is>
      </c>
    </row>
    <row r="69387">
      <c r="A69387" s="1" t="n">
        <v>69386</v>
      </c>
      <c r="B69387">
        <f>TEXT(69386, "[$-0E0000]yyyy-mm-dd")</f>
        <v/>
      </c>
      <c r="C69387" t="inlineStr">
        <is>
          <t>2089-11-19</t>
        </is>
      </c>
    </row>
    <row r="69388">
      <c r="A69388" s="1" t="n">
        <v>69387</v>
      </c>
      <c r="B69388">
        <f>TEXT(69387, "[$-0E0000]yyyy-mm-dd")</f>
        <v/>
      </c>
      <c r="C69388" t="inlineStr">
        <is>
          <t>2089-11-20</t>
        </is>
      </c>
    </row>
    <row r="69389">
      <c r="A69389" s="1" t="n">
        <v>69388</v>
      </c>
      <c r="B69389">
        <f>TEXT(69388, "[$-0E0000]yyyy-mm-dd")</f>
        <v/>
      </c>
      <c r="C69389" t="inlineStr">
        <is>
          <t>2089-11-21</t>
        </is>
      </c>
    </row>
    <row r="69390">
      <c r="A69390" s="1" t="n">
        <v>69389</v>
      </c>
      <c r="B69390">
        <f>TEXT(69389, "[$-0E0000]yyyy-mm-dd")</f>
        <v/>
      </c>
      <c r="C69390" t="inlineStr">
        <is>
          <t>2089-11-22</t>
        </is>
      </c>
    </row>
    <row r="69391">
      <c r="A69391" s="1" t="n">
        <v>69390</v>
      </c>
      <c r="B69391">
        <f>TEXT(69390, "[$-0E0000]yyyy-mm-dd")</f>
        <v/>
      </c>
      <c r="C69391" t="inlineStr">
        <is>
          <t>2089-11-23</t>
        </is>
      </c>
    </row>
    <row r="69392">
      <c r="A69392" s="1" t="n">
        <v>69391</v>
      </c>
      <c r="B69392">
        <f>TEXT(69391, "[$-0E0000]yyyy-mm-dd")</f>
        <v/>
      </c>
      <c r="C69392" t="inlineStr">
        <is>
          <t>2089-11-24</t>
        </is>
      </c>
    </row>
    <row r="69393">
      <c r="A69393" s="1" t="n">
        <v>69392</v>
      </c>
      <c r="B69393">
        <f>TEXT(69392, "[$-0E0000]yyyy-mm-dd")</f>
        <v/>
      </c>
      <c r="C69393" t="inlineStr">
        <is>
          <t>2089-11-25</t>
        </is>
      </c>
    </row>
    <row r="69394">
      <c r="A69394" s="1" t="n">
        <v>69393</v>
      </c>
      <c r="B69394">
        <f>TEXT(69393, "[$-0E0000]yyyy-mm-dd")</f>
        <v/>
      </c>
      <c r="C69394" t="inlineStr">
        <is>
          <t>2089-11-26</t>
        </is>
      </c>
    </row>
    <row r="69395">
      <c r="A69395" s="1" t="n">
        <v>69394</v>
      </c>
      <c r="B69395">
        <f>TEXT(69394, "[$-0E0000]yyyy-mm-dd")</f>
        <v/>
      </c>
      <c r="C69395" t="inlineStr">
        <is>
          <t>2089-11-27</t>
        </is>
      </c>
    </row>
    <row r="69396">
      <c r="A69396" s="1" t="n">
        <v>69395</v>
      </c>
      <c r="B69396">
        <f>TEXT(69395, "[$-0E0000]yyyy-mm-dd")</f>
        <v/>
      </c>
      <c r="C69396" t="inlineStr">
        <is>
          <t>2089-11-28</t>
        </is>
      </c>
    </row>
    <row r="69397">
      <c r="A69397" s="1" t="n">
        <v>69396</v>
      </c>
      <c r="B69397">
        <f>TEXT(69396, "[$-0E0000]yyyy-mm-dd")</f>
        <v/>
      </c>
      <c r="C69397" t="inlineStr">
        <is>
          <t>2089-11-29</t>
        </is>
      </c>
    </row>
    <row r="69398">
      <c r="A69398" s="1" t="n">
        <v>69397</v>
      </c>
      <c r="B69398">
        <f>TEXT(69397, "[$-0E0000]yyyy-mm-dd")</f>
        <v/>
      </c>
      <c r="C69398" t="inlineStr">
        <is>
          <t>2089-11-30</t>
        </is>
      </c>
    </row>
    <row r="69399">
      <c r="A69399" s="1" t="n">
        <v>69398</v>
      </c>
      <c r="B69399">
        <f>TEXT(69398, "[$-0E0000]yyyy-mm-dd")</f>
        <v/>
      </c>
      <c r="C69399" t="inlineStr">
        <is>
          <t>2089-12-01</t>
        </is>
      </c>
    </row>
    <row r="69400">
      <c r="A69400" s="1" t="n">
        <v>69399</v>
      </c>
      <c r="B69400">
        <f>TEXT(69399, "[$-0E0000]yyyy-mm-dd")</f>
        <v/>
      </c>
      <c r="C69400" t="inlineStr">
        <is>
          <t>2089-12-02</t>
        </is>
      </c>
    </row>
    <row r="69401">
      <c r="A69401" s="1" t="n">
        <v>69400</v>
      </c>
      <c r="B69401">
        <f>TEXT(69400, "[$-0E0000]yyyy-mm-dd")</f>
        <v/>
      </c>
      <c r="C69401" t="inlineStr">
        <is>
          <t>2089-12-03</t>
        </is>
      </c>
    </row>
    <row r="69402">
      <c r="A69402" s="1" t="n">
        <v>69401</v>
      </c>
      <c r="B69402">
        <f>TEXT(69401, "[$-0E0000]yyyy-mm-dd")</f>
        <v/>
      </c>
      <c r="C69402" t="inlineStr">
        <is>
          <t>2089-12-04</t>
        </is>
      </c>
    </row>
    <row r="69403">
      <c r="A69403" s="1" t="n">
        <v>69402</v>
      </c>
      <c r="B69403">
        <f>TEXT(69402, "[$-0E0000]yyyy-mm-dd")</f>
        <v/>
      </c>
      <c r="C69403" t="inlineStr">
        <is>
          <t>2089-12-05</t>
        </is>
      </c>
    </row>
    <row r="69404">
      <c r="A69404" s="1" t="n">
        <v>69403</v>
      </c>
      <c r="B69404">
        <f>TEXT(69403, "[$-0E0000]yyyy-mm-dd")</f>
        <v/>
      </c>
      <c r="C69404" t="inlineStr">
        <is>
          <t>2089-12-06</t>
        </is>
      </c>
    </row>
    <row r="69405">
      <c r="A69405" s="1" t="n">
        <v>69404</v>
      </c>
      <c r="B69405">
        <f>TEXT(69404, "[$-0E0000]yyyy-mm-dd")</f>
        <v/>
      </c>
      <c r="C69405" t="inlineStr">
        <is>
          <t>2089-12-07</t>
        </is>
      </c>
    </row>
    <row r="69406">
      <c r="A69406" s="1" t="n">
        <v>69405</v>
      </c>
      <c r="B69406">
        <f>TEXT(69405, "[$-0E0000]yyyy-mm-dd")</f>
        <v/>
      </c>
      <c r="C69406" t="inlineStr">
        <is>
          <t>2089-12-08</t>
        </is>
      </c>
    </row>
    <row r="69407">
      <c r="A69407" s="1" t="n">
        <v>69406</v>
      </c>
      <c r="B69407">
        <f>TEXT(69406, "[$-0E0000]yyyy-mm-dd")</f>
        <v/>
      </c>
      <c r="C69407" t="inlineStr">
        <is>
          <t>2089-12-09</t>
        </is>
      </c>
    </row>
    <row r="69408">
      <c r="A69408" s="1" t="n">
        <v>69407</v>
      </c>
      <c r="B69408">
        <f>TEXT(69407, "[$-0E0000]yyyy-mm-dd")</f>
        <v/>
      </c>
      <c r="C69408" t="inlineStr">
        <is>
          <t>2089-12-10</t>
        </is>
      </c>
    </row>
    <row r="69409">
      <c r="A69409" s="1" t="n">
        <v>69408</v>
      </c>
      <c r="B69409">
        <f>TEXT(69408, "[$-0E0000]yyyy-mm-dd")</f>
        <v/>
      </c>
      <c r="C69409" t="inlineStr">
        <is>
          <t>2089-12-11</t>
        </is>
      </c>
    </row>
    <row r="69410">
      <c r="A69410" s="1" t="n">
        <v>69409</v>
      </c>
      <c r="B69410">
        <f>TEXT(69409, "[$-0E0000]yyyy-mm-dd")</f>
        <v/>
      </c>
      <c r="C69410" t="inlineStr">
        <is>
          <t>2089-12-12</t>
        </is>
      </c>
    </row>
    <row r="69411">
      <c r="A69411" s="1" t="n">
        <v>69410</v>
      </c>
      <c r="B69411">
        <f>TEXT(69410, "[$-0E0000]yyyy-mm-dd")</f>
        <v/>
      </c>
      <c r="C69411" t="inlineStr">
        <is>
          <t>2089-12-13</t>
        </is>
      </c>
    </row>
    <row r="69412">
      <c r="A69412" s="1" t="n">
        <v>69411</v>
      </c>
      <c r="B69412">
        <f>TEXT(69411, "[$-0E0000]yyyy-mm-dd")</f>
        <v/>
      </c>
      <c r="C69412" t="inlineStr">
        <is>
          <t>2089-12-14</t>
        </is>
      </c>
    </row>
    <row r="69413">
      <c r="A69413" s="1" t="n">
        <v>69412</v>
      </c>
      <c r="B69413">
        <f>TEXT(69412, "[$-0E0000]yyyy-mm-dd")</f>
        <v/>
      </c>
      <c r="C69413" t="inlineStr">
        <is>
          <t>2089-12-15</t>
        </is>
      </c>
    </row>
    <row r="69414">
      <c r="A69414" s="1" t="n">
        <v>69413</v>
      </c>
      <c r="B69414">
        <f>TEXT(69413, "[$-0E0000]yyyy-mm-dd")</f>
        <v/>
      </c>
      <c r="C69414" t="inlineStr">
        <is>
          <t>2089-12-16</t>
        </is>
      </c>
    </row>
    <row r="69415">
      <c r="A69415" s="1" t="n">
        <v>69414</v>
      </c>
      <c r="B69415">
        <f>TEXT(69414, "[$-0E0000]yyyy-mm-dd")</f>
        <v/>
      </c>
      <c r="C69415" t="inlineStr">
        <is>
          <t>2089-12-17</t>
        </is>
      </c>
    </row>
    <row r="69416">
      <c r="A69416" s="1" t="n">
        <v>69415</v>
      </c>
      <c r="B69416">
        <f>TEXT(69415, "[$-0E0000]yyyy-mm-dd")</f>
        <v/>
      </c>
      <c r="C69416" t="inlineStr">
        <is>
          <t>2089-12-18</t>
        </is>
      </c>
    </row>
    <row r="69417">
      <c r="A69417" s="1" t="n">
        <v>69416</v>
      </c>
      <c r="B69417">
        <f>TEXT(69416, "[$-0E0000]yyyy-mm-dd")</f>
        <v/>
      </c>
      <c r="C69417" t="inlineStr">
        <is>
          <t>2089-12-19</t>
        </is>
      </c>
    </row>
    <row r="69418">
      <c r="A69418" s="1" t="n">
        <v>69417</v>
      </c>
      <c r="B69418">
        <f>TEXT(69417, "[$-0E0000]yyyy-mm-dd")</f>
        <v/>
      </c>
      <c r="C69418" t="inlineStr">
        <is>
          <t>2089-12-20</t>
        </is>
      </c>
    </row>
    <row r="69419">
      <c r="A69419" s="1" t="n">
        <v>69418</v>
      </c>
      <c r="B69419">
        <f>TEXT(69418, "[$-0E0000]yyyy-mm-dd")</f>
        <v/>
      </c>
      <c r="C69419" t="inlineStr">
        <is>
          <t>2089-12-21</t>
        </is>
      </c>
    </row>
    <row r="69420">
      <c r="A69420" s="1" t="n">
        <v>69419</v>
      </c>
      <c r="B69420">
        <f>TEXT(69419, "[$-0E0000]yyyy-mm-dd")</f>
        <v/>
      </c>
      <c r="C69420" t="inlineStr">
        <is>
          <t>2089-12-22</t>
        </is>
      </c>
    </row>
    <row r="69421">
      <c r="A69421" s="1" t="n">
        <v>69420</v>
      </c>
      <c r="B69421">
        <f>TEXT(69420, "[$-0E0000]yyyy-mm-dd")</f>
        <v/>
      </c>
      <c r="C69421" t="inlineStr">
        <is>
          <t>2089-12-23</t>
        </is>
      </c>
    </row>
    <row r="69422">
      <c r="A69422" s="1" t="n">
        <v>69421</v>
      </c>
      <c r="B69422">
        <f>TEXT(69421, "[$-0E0000]yyyy-mm-dd")</f>
        <v/>
      </c>
      <c r="C69422" t="inlineStr">
        <is>
          <t>2089-12-24</t>
        </is>
      </c>
    </row>
    <row r="69423">
      <c r="A69423" s="1" t="n">
        <v>69422</v>
      </c>
      <c r="B69423">
        <f>TEXT(69422, "[$-0E0000]yyyy-mm-dd")</f>
        <v/>
      </c>
      <c r="C69423" t="inlineStr">
        <is>
          <t>2089-12-25</t>
        </is>
      </c>
    </row>
    <row r="69424">
      <c r="A69424" s="1" t="n">
        <v>69423</v>
      </c>
      <c r="B69424">
        <f>TEXT(69423, "[$-0E0000]yyyy-mm-dd")</f>
        <v/>
      </c>
      <c r="C69424" t="inlineStr">
        <is>
          <t>2089-12-26</t>
        </is>
      </c>
    </row>
    <row r="69425">
      <c r="A69425" s="1" t="n">
        <v>69424</v>
      </c>
      <c r="B69425">
        <f>TEXT(69424, "[$-0E0000]yyyy-mm-dd")</f>
        <v/>
      </c>
      <c r="C69425" t="inlineStr">
        <is>
          <t>2089-12-27</t>
        </is>
      </c>
    </row>
    <row r="69426">
      <c r="A69426" s="1" t="n">
        <v>69425</v>
      </c>
      <c r="B69426">
        <f>TEXT(69425, "[$-0E0000]yyyy-mm-dd")</f>
        <v/>
      </c>
      <c r="C69426" t="inlineStr">
        <is>
          <t>2089-12-28</t>
        </is>
      </c>
    </row>
    <row r="69427">
      <c r="A69427" s="1" t="n">
        <v>69426</v>
      </c>
      <c r="B69427">
        <f>TEXT(69426, "[$-0E0000]yyyy-mm-dd")</f>
        <v/>
      </c>
      <c r="C69427" t="inlineStr">
        <is>
          <t>2089-12-29</t>
        </is>
      </c>
    </row>
    <row r="69428">
      <c r="A69428" s="1" t="n">
        <v>69427</v>
      </c>
      <c r="B69428">
        <f>TEXT(69427, "[$-0E0000]yyyy-mm-dd")</f>
        <v/>
      </c>
      <c r="C69428" t="inlineStr">
        <is>
          <t>2090-01-01</t>
        </is>
      </c>
    </row>
    <row r="69429">
      <c r="A69429" s="1" t="n">
        <v>69428</v>
      </c>
      <c r="B69429">
        <f>TEXT(69428, "[$-0E0000]yyyy-mm-dd")</f>
        <v/>
      </c>
      <c r="C69429" t="inlineStr">
        <is>
          <t>2090-01-02</t>
        </is>
      </c>
    </row>
    <row r="69430">
      <c r="A69430" s="1" t="n">
        <v>69429</v>
      </c>
      <c r="B69430">
        <f>TEXT(69429, "[$-0E0000]yyyy-mm-dd")</f>
        <v/>
      </c>
      <c r="C69430" t="inlineStr">
        <is>
          <t>2090-01-03</t>
        </is>
      </c>
    </row>
    <row r="69431">
      <c r="A69431" s="1" t="n">
        <v>69430</v>
      </c>
      <c r="B69431">
        <f>TEXT(69430, "[$-0E0000]yyyy-mm-dd")</f>
        <v/>
      </c>
      <c r="C69431" t="inlineStr">
        <is>
          <t>2090-01-04</t>
        </is>
      </c>
    </row>
    <row r="69432">
      <c r="A69432" s="1" t="n">
        <v>69431</v>
      </c>
      <c r="B69432">
        <f>TEXT(69431, "[$-0E0000]yyyy-mm-dd")</f>
        <v/>
      </c>
      <c r="C69432" t="inlineStr">
        <is>
          <t>2090-01-05</t>
        </is>
      </c>
    </row>
    <row r="69433">
      <c r="A69433" s="1" t="n">
        <v>69432</v>
      </c>
      <c r="B69433">
        <f>TEXT(69432, "[$-0E0000]yyyy-mm-dd")</f>
        <v/>
      </c>
      <c r="C69433" t="inlineStr">
        <is>
          <t>2090-01-06</t>
        </is>
      </c>
    </row>
    <row r="69434">
      <c r="A69434" s="1" t="n">
        <v>69433</v>
      </c>
      <c r="B69434">
        <f>TEXT(69433, "[$-0E0000]yyyy-mm-dd")</f>
        <v/>
      </c>
      <c r="C69434" t="inlineStr">
        <is>
          <t>2090-01-07</t>
        </is>
      </c>
    </row>
    <row r="69435">
      <c r="A69435" s="1" t="n">
        <v>69434</v>
      </c>
      <c r="B69435">
        <f>TEXT(69434, "[$-0E0000]yyyy-mm-dd")</f>
        <v/>
      </c>
      <c r="C69435" t="inlineStr">
        <is>
          <t>2090-01-08</t>
        </is>
      </c>
    </row>
    <row r="69436">
      <c r="A69436" s="1" t="n">
        <v>69435</v>
      </c>
      <c r="B69436">
        <f>TEXT(69435, "[$-0E0000]yyyy-mm-dd")</f>
        <v/>
      </c>
      <c r="C69436" t="inlineStr">
        <is>
          <t>2090-01-09</t>
        </is>
      </c>
    </row>
    <row r="69437">
      <c r="A69437" s="1" t="n">
        <v>69436</v>
      </c>
      <c r="B69437">
        <f>TEXT(69436, "[$-0E0000]yyyy-mm-dd")</f>
        <v/>
      </c>
      <c r="C69437" t="inlineStr">
        <is>
          <t>2090-01-10</t>
        </is>
      </c>
    </row>
    <row r="69438">
      <c r="A69438" s="1" t="n">
        <v>69437</v>
      </c>
      <c r="B69438">
        <f>TEXT(69437, "[$-0E0000]yyyy-mm-dd")</f>
        <v/>
      </c>
      <c r="C69438" t="inlineStr">
        <is>
          <t>2090-01-11</t>
        </is>
      </c>
    </row>
    <row r="69439">
      <c r="A69439" s="1" t="n">
        <v>69438</v>
      </c>
      <c r="B69439">
        <f>TEXT(69438, "[$-0E0000]yyyy-mm-dd")</f>
        <v/>
      </c>
      <c r="C69439" t="inlineStr">
        <is>
          <t>2090-01-12</t>
        </is>
      </c>
    </row>
    <row r="69440">
      <c r="A69440" s="1" t="n">
        <v>69439</v>
      </c>
      <c r="B69440">
        <f>TEXT(69439, "[$-0E0000]yyyy-mm-dd")</f>
        <v/>
      </c>
      <c r="C69440" t="inlineStr">
        <is>
          <t>2090-01-13</t>
        </is>
      </c>
    </row>
    <row r="69441">
      <c r="A69441" s="1" t="n">
        <v>69440</v>
      </c>
      <c r="B69441">
        <f>TEXT(69440, "[$-0E0000]yyyy-mm-dd")</f>
        <v/>
      </c>
      <c r="C69441" t="inlineStr">
        <is>
          <t>2090-01-14</t>
        </is>
      </c>
    </row>
    <row r="69442">
      <c r="A69442" s="1" t="n">
        <v>69441</v>
      </c>
      <c r="B69442">
        <f>TEXT(69441, "[$-0E0000]yyyy-mm-dd")</f>
        <v/>
      </c>
      <c r="C69442" t="inlineStr">
        <is>
          <t>2090-01-15</t>
        </is>
      </c>
    </row>
    <row r="69443">
      <c r="A69443" s="1" t="n">
        <v>69442</v>
      </c>
      <c r="B69443">
        <f>TEXT(69442, "[$-0E0000]yyyy-mm-dd")</f>
        <v/>
      </c>
      <c r="C69443" t="inlineStr">
        <is>
          <t>2090-01-16</t>
        </is>
      </c>
    </row>
    <row r="69444">
      <c r="A69444" s="1" t="n">
        <v>69443</v>
      </c>
      <c r="B69444">
        <f>TEXT(69443, "[$-0E0000]yyyy-mm-dd")</f>
        <v/>
      </c>
      <c r="C69444" t="inlineStr">
        <is>
          <t>2090-01-17</t>
        </is>
      </c>
    </row>
    <row r="69445">
      <c r="A69445" s="1" t="n">
        <v>69444</v>
      </c>
      <c r="B69445">
        <f>TEXT(69444, "[$-0E0000]yyyy-mm-dd")</f>
        <v/>
      </c>
      <c r="C69445" t="inlineStr">
        <is>
          <t>2090-01-18</t>
        </is>
      </c>
    </row>
    <row r="69446">
      <c r="A69446" s="1" t="n">
        <v>69445</v>
      </c>
      <c r="B69446">
        <f>TEXT(69445, "[$-0E0000]yyyy-mm-dd")</f>
        <v/>
      </c>
      <c r="C69446" t="inlineStr">
        <is>
          <t>2090-01-19</t>
        </is>
      </c>
    </row>
    <row r="69447">
      <c r="A69447" s="1" t="n">
        <v>69446</v>
      </c>
      <c r="B69447">
        <f>TEXT(69446, "[$-0E0000]yyyy-mm-dd")</f>
        <v/>
      </c>
      <c r="C69447" t="inlineStr">
        <is>
          <t>2090-01-20</t>
        </is>
      </c>
    </row>
    <row r="69448">
      <c r="A69448" s="1" t="n">
        <v>69447</v>
      </c>
      <c r="B69448">
        <f>TEXT(69447, "[$-0E0000]yyyy-mm-dd")</f>
        <v/>
      </c>
      <c r="C69448" t="inlineStr">
        <is>
          <t>2090-01-21</t>
        </is>
      </c>
    </row>
    <row r="69449">
      <c r="A69449" s="1" t="n">
        <v>69448</v>
      </c>
      <c r="B69449">
        <f>TEXT(69448, "[$-0E0000]yyyy-mm-dd")</f>
        <v/>
      </c>
      <c r="C69449" t="inlineStr">
        <is>
          <t>2090-01-22</t>
        </is>
      </c>
    </row>
    <row r="69450">
      <c r="A69450" s="1" t="n">
        <v>69449</v>
      </c>
      <c r="B69450">
        <f>TEXT(69449, "[$-0E0000]yyyy-mm-dd")</f>
        <v/>
      </c>
      <c r="C69450" t="inlineStr">
        <is>
          <t>2090-01-23</t>
        </is>
      </c>
    </row>
    <row r="69451">
      <c r="A69451" s="1" t="n">
        <v>69450</v>
      </c>
      <c r="B69451">
        <f>TEXT(69450, "[$-0E0000]yyyy-mm-dd")</f>
        <v/>
      </c>
      <c r="C69451" t="inlineStr">
        <is>
          <t>2090-01-24</t>
        </is>
      </c>
    </row>
    <row r="69452">
      <c r="A69452" s="1" t="n">
        <v>69451</v>
      </c>
      <c r="B69452">
        <f>TEXT(69451, "[$-0E0000]yyyy-mm-dd")</f>
        <v/>
      </c>
      <c r="C69452" t="inlineStr">
        <is>
          <t>2090-01-25</t>
        </is>
      </c>
    </row>
    <row r="69453">
      <c r="A69453" s="1" t="n">
        <v>69452</v>
      </c>
      <c r="B69453">
        <f>TEXT(69452, "[$-0E0000]yyyy-mm-dd")</f>
        <v/>
      </c>
      <c r="C69453" t="inlineStr">
        <is>
          <t>2090-01-26</t>
        </is>
      </c>
    </row>
    <row r="69454">
      <c r="A69454" s="1" t="n">
        <v>69453</v>
      </c>
      <c r="B69454">
        <f>TEXT(69453, "[$-0E0000]yyyy-mm-dd")</f>
        <v/>
      </c>
      <c r="C69454" t="inlineStr">
        <is>
          <t>2090-01-27</t>
        </is>
      </c>
    </row>
    <row r="69455">
      <c r="A69455" s="1" t="n">
        <v>69454</v>
      </c>
      <c r="B69455">
        <f>TEXT(69454, "[$-0E0000]yyyy-mm-dd")</f>
        <v/>
      </c>
      <c r="C69455" t="inlineStr">
        <is>
          <t>2090-01-28</t>
        </is>
      </c>
    </row>
    <row r="69456">
      <c r="A69456" s="1" t="n">
        <v>69455</v>
      </c>
      <c r="B69456">
        <f>TEXT(69455, "[$-0E0000]yyyy-mm-dd")</f>
        <v/>
      </c>
      <c r="C69456" t="inlineStr">
        <is>
          <t>2090-01-29</t>
        </is>
      </c>
    </row>
    <row r="69457">
      <c r="A69457" s="1" t="n">
        <v>69456</v>
      </c>
      <c r="B69457">
        <f>TEXT(69456, "[$-0E0000]yyyy-mm-dd")</f>
        <v/>
      </c>
      <c r="C69457" t="inlineStr">
        <is>
          <t>2090-01-30</t>
        </is>
      </c>
    </row>
    <row r="69458">
      <c r="A69458" s="1" t="n">
        <v>69457</v>
      </c>
      <c r="B69458">
        <f>TEXT(69457, "[$-0E0000]yyyy-mm-dd")</f>
        <v/>
      </c>
      <c r="C69458" t="inlineStr">
        <is>
          <t>2090-02-01</t>
        </is>
      </c>
    </row>
    <row r="69459">
      <c r="A69459" s="1" t="n">
        <v>69458</v>
      </c>
      <c r="B69459">
        <f>TEXT(69458, "[$-0E0000]yyyy-mm-dd")</f>
        <v/>
      </c>
      <c r="C69459" t="inlineStr">
        <is>
          <t>2090-02-02</t>
        </is>
      </c>
    </row>
    <row r="69460">
      <c r="A69460" s="1" t="n">
        <v>69459</v>
      </c>
      <c r="B69460">
        <f>TEXT(69459, "[$-0E0000]yyyy-mm-dd")</f>
        <v/>
      </c>
      <c r="C69460" t="inlineStr">
        <is>
          <t>2090-02-03</t>
        </is>
      </c>
    </row>
    <row r="69461">
      <c r="A69461" s="1" t="n">
        <v>69460</v>
      </c>
      <c r="B69461">
        <f>TEXT(69460, "[$-0E0000]yyyy-mm-dd")</f>
        <v/>
      </c>
      <c r="C69461" t="inlineStr">
        <is>
          <t>2090-02-04</t>
        </is>
      </c>
    </row>
    <row r="69462">
      <c r="A69462" s="1" t="n">
        <v>69461</v>
      </c>
      <c r="B69462">
        <f>TEXT(69461, "[$-0E0000]yyyy-mm-dd")</f>
        <v/>
      </c>
      <c r="C69462" t="inlineStr">
        <is>
          <t>2090-02-05</t>
        </is>
      </c>
    </row>
    <row r="69463">
      <c r="A69463" s="1" t="n">
        <v>69462</v>
      </c>
      <c r="B69463">
        <f>TEXT(69462, "[$-0E0000]yyyy-mm-dd")</f>
        <v/>
      </c>
      <c r="C69463" t="inlineStr">
        <is>
          <t>2090-02-06</t>
        </is>
      </c>
    </row>
    <row r="69464">
      <c r="A69464" s="1" t="n">
        <v>69463</v>
      </c>
      <c r="B69464">
        <f>TEXT(69463, "[$-0E0000]yyyy-mm-dd")</f>
        <v/>
      </c>
      <c r="C69464" t="inlineStr">
        <is>
          <t>2090-02-07</t>
        </is>
      </c>
    </row>
    <row r="69465">
      <c r="A69465" s="1" t="n">
        <v>69464</v>
      </c>
      <c r="B69465">
        <f>TEXT(69464, "[$-0E0000]yyyy-mm-dd")</f>
        <v/>
      </c>
      <c r="C69465" t="inlineStr">
        <is>
          <t>2090-02-08</t>
        </is>
      </c>
    </row>
    <row r="69466">
      <c r="A69466" s="1" t="n">
        <v>69465</v>
      </c>
      <c r="B69466">
        <f>TEXT(69465, "[$-0E0000]yyyy-mm-dd")</f>
        <v/>
      </c>
      <c r="C69466" t="inlineStr">
        <is>
          <t>2090-02-09</t>
        </is>
      </c>
    </row>
    <row r="69467">
      <c r="A69467" s="1" t="n">
        <v>69466</v>
      </c>
      <c r="B69467">
        <f>TEXT(69466, "[$-0E0000]yyyy-mm-dd")</f>
        <v/>
      </c>
      <c r="C69467" t="inlineStr">
        <is>
          <t>2090-02-10</t>
        </is>
      </c>
    </row>
    <row r="69468">
      <c r="A69468" s="1" t="n">
        <v>69467</v>
      </c>
      <c r="B69468">
        <f>TEXT(69467, "[$-0E0000]yyyy-mm-dd")</f>
        <v/>
      </c>
      <c r="C69468" t="inlineStr">
        <is>
          <t>2090-02-11</t>
        </is>
      </c>
    </row>
    <row r="69469">
      <c r="A69469" s="1" t="n">
        <v>69468</v>
      </c>
      <c r="B69469">
        <f>TEXT(69468, "[$-0E0000]yyyy-mm-dd")</f>
        <v/>
      </c>
      <c r="C69469" t="inlineStr">
        <is>
          <t>2090-02-12</t>
        </is>
      </c>
    </row>
    <row r="69470">
      <c r="A69470" s="1" t="n">
        <v>69469</v>
      </c>
      <c r="B69470">
        <f>TEXT(69469, "[$-0E0000]yyyy-mm-dd")</f>
        <v/>
      </c>
      <c r="C69470" t="inlineStr">
        <is>
          <t>2090-02-13</t>
        </is>
      </c>
    </row>
    <row r="69471">
      <c r="A69471" s="1" t="n">
        <v>69470</v>
      </c>
      <c r="B69471">
        <f>TEXT(69470, "[$-0E0000]yyyy-mm-dd")</f>
        <v/>
      </c>
      <c r="C69471" t="inlineStr">
        <is>
          <t>2090-02-14</t>
        </is>
      </c>
    </row>
    <row r="69472">
      <c r="A69472" s="1" t="n">
        <v>69471</v>
      </c>
      <c r="B69472">
        <f>TEXT(69471, "[$-0E0000]yyyy-mm-dd")</f>
        <v/>
      </c>
      <c r="C69472" t="inlineStr">
        <is>
          <t>2090-02-15</t>
        </is>
      </c>
    </row>
    <row r="69473">
      <c r="A69473" s="1" t="n">
        <v>69472</v>
      </c>
      <c r="B69473">
        <f>TEXT(69472, "[$-0E0000]yyyy-mm-dd")</f>
        <v/>
      </c>
      <c r="C69473" t="inlineStr">
        <is>
          <t>2090-02-16</t>
        </is>
      </c>
    </row>
    <row r="69474">
      <c r="A69474" s="1" t="n">
        <v>69473</v>
      </c>
      <c r="B69474">
        <f>TEXT(69473, "[$-0E0000]yyyy-mm-dd")</f>
        <v/>
      </c>
      <c r="C69474" t="inlineStr">
        <is>
          <t>2090-02-17</t>
        </is>
      </c>
    </row>
    <row r="69475">
      <c r="A69475" s="1" t="n">
        <v>69474</v>
      </c>
      <c r="B69475">
        <f>TEXT(69474, "[$-0E0000]yyyy-mm-dd")</f>
        <v/>
      </c>
      <c r="C69475" t="inlineStr">
        <is>
          <t>2090-02-18</t>
        </is>
      </c>
    </row>
    <row r="69476">
      <c r="A69476" s="1" t="n">
        <v>69475</v>
      </c>
      <c r="B69476">
        <f>TEXT(69475, "[$-0E0000]yyyy-mm-dd")</f>
        <v/>
      </c>
      <c r="C69476" t="inlineStr">
        <is>
          <t>2090-02-19</t>
        </is>
      </c>
    </row>
    <row r="69477">
      <c r="A69477" s="1" t="n">
        <v>69476</v>
      </c>
      <c r="B69477">
        <f>TEXT(69476, "[$-0E0000]yyyy-mm-dd")</f>
        <v/>
      </c>
      <c r="C69477" t="inlineStr">
        <is>
          <t>2090-02-20</t>
        </is>
      </c>
    </row>
    <row r="69478">
      <c r="A69478" s="1" t="n">
        <v>69477</v>
      </c>
      <c r="B69478">
        <f>TEXT(69477, "[$-0E0000]yyyy-mm-dd")</f>
        <v/>
      </c>
      <c r="C69478" t="inlineStr">
        <is>
          <t>2090-02-21</t>
        </is>
      </c>
    </row>
    <row r="69479">
      <c r="A69479" s="1" t="n">
        <v>69478</v>
      </c>
      <c r="B69479">
        <f>TEXT(69478, "[$-0E0000]yyyy-mm-dd")</f>
        <v/>
      </c>
      <c r="C69479" t="inlineStr">
        <is>
          <t>2090-02-22</t>
        </is>
      </c>
    </row>
    <row r="69480">
      <c r="A69480" s="1" t="n">
        <v>69479</v>
      </c>
      <c r="B69480">
        <f>TEXT(69479, "[$-0E0000]yyyy-mm-dd")</f>
        <v/>
      </c>
      <c r="C69480" t="inlineStr">
        <is>
          <t>2090-02-23</t>
        </is>
      </c>
    </row>
    <row r="69481">
      <c r="A69481" s="1" t="n">
        <v>69480</v>
      </c>
      <c r="B69481">
        <f>TEXT(69480, "[$-0E0000]yyyy-mm-dd")</f>
        <v/>
      </c>
      <c r="C69481" t="inlineStr">
        <is>
          <t>2090-02-24</t>
        </is>
      </c>
    </row>
    <row r="69482">
      <c r="A69482" s="1" t="n">
        <v>69481</v>
      </c>
      <c r="B69482">
        <f>TEXT(69481, "[$-0E0000]yyyy-mm-dd")</f>
        <v/>
      </c>
      <c r="C69482" t="inlineStr">
        <is>
          <t>2090-02-25</t>
        </is>
      </c>
    </row>
    <row r="69483">
      <c r="A69483" s="1" t="n">
        <v>69482</v>
      </c>
      <c r="B69483">
        <f>TEXT(69482, "[$-0E0000]yyyy-mm-dd")</f>
        <v/>
      </c>
      <c r="C69483" t="inlineStr">
        <is>
          <t>2090-02-26</t>
        </is>
      </c>
    </row>
    <row r="69484">
      <c r="A69484" s="1" t="n">
        <v>69483</v>
      </c>
      <c r="B69484">
        <f>TEXT(69483, "[$-0E0000]yyyy-mm-dd")</f>
        <v/>
      </c>
      <c r="C69484" t="inlineStr">
        <is>
          <t>2090-02-27</t>
        </is>
      </c>
    </row>
    <row r="69485">
      <c r="A69485" s="1" t="n">
        <v>69484</v>
      </c>
      <c r="B69485">
        <f>TEXT(69484, "[$-0E0000]yyyy-mm-dd")</f>
        <v/>
      </c>
      <c r="C69485" t="inlineStr">
        <is>
          <t>2090-02-28</t>
        </is>
      </c>
    </row>
    <row r="69486">
      <c r="A69486" s="1" t="n">
        <v>69485</v>
      </c>
      <c r="B69486">
        <f>TEXT(69485, "[$-0E0000]yyyy-mm-dd")</f>
        <v/>
      </c>
      <c r="C69486" t="inlineStr">
        <is>
          <t>2090-02-29</t>
        </is>
      </c>
    </row>
    <row r="69487">
      <c r="A69487" s="1" t="n">
        <v>69486</v>
      </c>
      <c r="B69487">
        <f>TEXT(69486, "[$-0E0000]yyyy-mm-dd")</f>
        <v/>
      </c>
      <c r="C69487" t="inlineStr">
        <is>
          <t>2090-02-30</t>
        </is>
      </c>
    </row>
    <row r="69488">
      <c r="A69488" s="1" t="n">
        <v>69487</v>
      </c>
      <c r="B69488">
        <f>TEXT(69487, "[$-0E0000]yyyy-mm-dd")</f>
        <v/>
      </c>
      <c r="C69488" t="inlineStr">
        <is>
          <t>2090-03-01</t>
        </is>
      </c>
    </row>
    <row r="69489">
      <c r="A69489" s="1" t="n">
        <v>69488</v>
      </c>
      <c r="B69489">
        <f>TEXT(69488, "[$-0E0000]yyyy-mm-dd")</f>
        <v/>
      </c>
      <c r="C69489" t="inlineStr">
        <is>
          <t>2090-03-02</t>
        </is>
      </c>
    </row>
    <row r="69490">
      <c r="A69490" s="1" t="n">
        <v>69489</v>
      </c>
      <c r="B69490">
        <f>TEXT(69489, "[$-0E0000]yyyy-mm-dd")</f>
        <v/>
      </c>
      <c r="C69490" t="inlineStr">
        <is>
          <t>2090-03-03</t>
        </is>
      </c>
    </row>
    <row r="69491">
      <c r="A69491" s="1" t="n">
        <v>69490</v>
      </c>
      <c r="B69491">
        <f>TEXT(69490, "[$-0E0000]yyyy-mm-dd")</f>
        <v/>
      </c>
      <c r="C69491" t="inlineStr">
        <is>
          <t>2090-03-04</t>
        </is>
      </c>
    </row>
    <row r="69492">
      <c r="A69492" s="1" t="n">
        <v>69491</v>
      </c>
      <c r="B69492">
        <f>TEXT(69491, "[$-0E0000]yyyy-mm-dd")</f>
        <v/>
      </c>
      <c r="C69492" t="inlineStr">
        <is>
          <t>2090-03-05</t>
        </is>
      </c>
    </row>
    <row r="69493">
      <c r="A69493" s="1" t="n">
        <v>69492</v>
      </c>
      <c r="B69493">
        <f>TEXT(69492, "[$-0E0000]yyyy-mm-dd")</f>
        <v/>
      </c>
      <c r="C69493" t="inlineStr">
        <is>
          <t>2090-03-06</t>
        </is>
      </c>
    </row>
    <row r="69494">
      <c r="A69494" s="1" t="n">
        <v>69493</v>
      </c>
      <c r="B69494">
        <f>TEXT(69493, "[$-0E0000]yyyy-mm-dd")</f>
        <v/>
      </c>
      <c r="C69494" t="inlineStr">
        <is>
          <t>2090-03-07</t>
        </is>
      </c>
    </row>
    <row r="69495">
      <c r="A69495" s="1" t="n">
        <v>69494</v>
      </c>
      <c r="B69495">
        <f>TEXT(69494, "[$-0E0000]yyyy-mm-dd")</f>
        <v/>
      </c>
      <c r="C69495" t="inlineStr">
        <is>
          <t>2090-03-08</t>
        </is>
      </c>
    </row>
    <row r="69496">
      <c r="A69496" s="1" t="n">
        <v>69495</v>
      </c>
      <c r="B69496">
        <f>TEXT(69495, "[$-0E0000]yyyy-mm-dd")</f>
        <v/>
      </c>
      <c r="C69496" t="inlineStr">
        <is>
          <t>2090-03-09</t>
        </is>
      </c>
    </row>
    <row r="69497">
      <c r="A69497" s="1" t="n">
        <v>69496</v>
      </c>
      <c r="B69497">
        <f>TEXT(69496, "[$-0E0000]yyyy-mm-dd")</f>
        <v/>
      </c>
      <c r="C69497" t="inlineStr">
        <is>
          <t>2090-03-10</t>
        </is>
      </c>
    </row>
    <row r="69498">
      <c r="A69498" s="1" t="n">
        <v>69497</v>
      </c>
      <c r="B69498">
        <f>TEXT(69497, "[$-0E0000]yyyy-mm-dd")</f>
        <v/>
      </c>
      <c r="C69498" t="inlineStr">
        <is>
          <t>2090-03-11</t>
        </is>
      </c>
    </row>
    <row r="69499">
      <c r="A69499" s="1" t="n">
        <v>69498</v>
      </c>
      <c r="B69499">
        <f>TEXT(69498, "[$-0E0000]yyyy-mm-dd")</f>
        <v/>
      </c>
      <c r="C69499" t="inlineStr">
        <is>
          <t>2090-03-12</t>
        </is>
      </c>
    </row>
    <row r="69500">
      <c r="A69500" s="1" t="n">
        <v>69499</v>
      </c>
      <c r="B69500">
        <f>TEXT(69499, "[$-0E0000]yyyy-mm-dd")</f>
        <v/>
      </c>
      <c r="C69500" t="inlineStr">
        <is>
          <t>2090-03-13</t>
        </is>
      </c>
    </row>
    <row r="69501">
      <c r="A69501" s="1" t="n">
        <v>69500</v>
      </c>
      <c r="B69501">
        <f>TEXT(69500, "[$-0E0000]yyyy-mm-dd")</f>
        <v/>
      </c>
      <c r="C69501" t="inlineStr">
        <is>
          <t>2090-03-14</t>
        </is>
      </c>
    </row>
    <row r="69502">
      <c r="A69502" s="1" t="n">
        <v>69501</v>
      </c>
      <c r="B69502">
        <f>TEXT(69501, "[$-0E0000]yyyy-mm-dd")</f>
        <v/>
      </c>
      <c r="C69502" t="inlineStr">
        <is>
          <t>2090-03-15</t>
        </is>
      </c>
    </row>
    <row r="69503">
      <c r="A69503" s="1" t="n">
        <v>69502</v>
      </c>
      <c r="B69503">
        <f>TEXT(69502, "[$-0E0000]yyyy-mm-dd")</f>
        <v/>
      </c>
      <c r="C69503" t="inlineStr">
        <is>
          <t>2090-03-16</t>
        </is>
      </c>
    </row>
    <row r="69504">
      <c r="A69504" s="1" t="n">
        <v>69503</v>
      </c>
      <c r="B69504">
        <f>TEXT(69503, "[$-0E0000]yyyy-mm-dd")</f>
        <v/>
      </c>
      <c r="C69504" t="inlineStr">
        <is>
          <t>2090-03-17</t>
        </is>
      </c>
    </row>
    <row r="69505">
      <c r="A69505" s="1" t="n">
        <v>69504</v>
      </c>
      <c r="B69505">
        <f>TEXT(69504, "[$-0E0000]yyyy-mm-dd")</f>
        <v/>
      </c>
      <c r="C69505" t="inlineStr">
        <is>
          <t>2090-03-18</t>
        </is>
      </c>
    </row>
    <row r="69506">
      <c r="A69506" s="1" t="n">
        <v>69505</v>
      </c>
      <c r="B69506">
        <f>TEXT(69505, "[$-0E0000]yyyy-mm-dd")</f>
        <v/>
      </c>
      <c r="C69506" t="inlineStr">
        <is>
          <t>2090-03-19</t>
        </is>
      </c>
    </row>
    <row r="69507">
      <c r="A69507" s="1" t="n">
        <v>69506</v>
      </c>
      <c r="B69507">
        <f>TEXT(69506, "[$-0E0000]yyyy-mm-dd")</f>
        <v/>
      </c>
      <c r="C69507" t="inlineStr">
        <is>
          <t>2090-03-20</t>
        </is>
      </c>
    </row>
    <row r="69508">
      <c r="A69508" s="1" t="n">
        <v>69507</v>
      </c>
      <c r="B69508">
        <f>TEXT(69507, "[$-0E0000]yyyy-mm-dd")</f>
        <v/>
      </c>
      <c r="C69508" t="inlineStr">
        <is>
          <t>2090-03-21</t>
        </is>
      </c>
    </row>
    <row r="69509">
      <c r="A69509" s="1" t="n">
        <v>69508</v>
      </c>
      <c r="B69509">
        <f>TEXT(69508, "[$-0E0000]yyyy-mm-dd")</f>
        <v/>
      </c>
      <c r="C69509" t="inlineStr">
        <is>
          <t>2090-03-22</t>
        </is>
      </c>
    </row>
    <row r="69510">
      <c r="A69510" s="1" t="n">
        <v>69509</v>
      </c>
      <c r="B69510">
        <f>TEXT(69509, "[$-0E0000]yyyy-mm-dd")</f>
        <v/>
      </c>
      <c r="C69510" t="inlineStr">
        <is>
          <t>2090-03-23</t>
        </is>
      </c>
    </row>
    <row r="69511">
      <c r="A69511" s="1" t="n">
        <v>69510</v>
      </c>
      <c r="B69511">
        <f>TEXT(69510, "[$-0E0000]yyyy-mm-dd")</f>
        <v/>
      </c>
      <c r="C69511" t="inlineStr">
        <is>
          <t>2090-03-24</t>
        </is>
      </c>
    </row>
    <row r="69512">
      <c r="A69512" s="1" t="n">
        <v>69511</v>
      </c>
      <c r="B69512">
        <f>TEXT(69511, "[$-0E0000]yyyy-mm-dd")</f>
        <v/>
      </c>
      <c r="C69512" t="inlineStr">
        <is>
          <t>2090-03-25</t>
        </is>
      </c>
    </row>
    <row r="69513">
      <c r="A69513" s="1" t="n">
        <v>69512</v>
      </c>
      <c r="B69513">
        <f>TEXT(69512, "[$-0E0000]yyyy-mm-dd")</f>
        <v/>
      </c>
      <c r="C69513" t="inlineStr">
        <is>
          <t>2090-03-26</t>
        </is>
      </c>
    </row>
    <row r="69514">
      <c r="A69514" s="1" t="n">
        <v>69513</v>
      </c>
      <c r="B69514">
        <f>TEXT(69513, "[$-0E0000]yyyy-mm-dd")</f>
        <v/>
      </c>
      <c r="C69514" t="inlineStr">
        <is>
          <t>2090-03-27</t>
        </is>
      </c>
    </row>
    <row r="69515">
      <c r="A69515" s="1" t="n">
        <v>69514</v>
      </c>
      <c r="B69515">
        <f>TEXT(69514, "[$-0E0000]yyyy-mm-dd")</f>
        <v/>
      </c>
      <c r="C69515" t="inlineStr">
        <is>
          <t>2090-03-28</t>
        </is>
      </c>
    </row>
    <row r="69516">
      <c r="A69516" s="1" t="n">
        <v>69515</v>
      </c>
      <c r="B69516">
        <f>TEXT(69515, "[$-0E0000]yyyy-mm-dd")</f>
        <v/>
      </c>
      <c r="C69516" t="inlineStr">
        <is>
          <t>2090-03-29</t>
        </is>
      </c>
    </row>
    <row r="69517">
      <c r="A69517" s="1" t="n">
        <v>69516</v>
      </c>
      <c r="B69517">
        <f>TEXT(69516, "[$-0E0000]yyyy-mm-dd")</f>
        <v/>
      </c>
      <c r="C69517" t="inlineStr">
        <is>
          <t>2090-03-30</t>
        </is>
      </c>
    </row>
    <row r="69518">
      <c r="A69518" s="1" t="n">
        <v>69517</v>
      </c>
      <c r="B69518">
        <f>TEXT(69517, "[$-0E0000]yyyy-mm-dd")</f>
        <v/>
      </c>
      <c r="C69518" t="inlineStr">
        <is>
          <t>2090-04-01</t>
        </is>
      </c>
    </row>
    <row r="69519">
      <c r="A69519" s="1" t="n">
        <v>69518</v>
      </c>
      <c r="B69519">
        <f>TEXT(69518, "[$-0E0000]yyyy-mm-dd")</f>
        <v/>
      </c>
      <c r="C69519" t="inlineStr">
        <is>
          <t>2090-04-02</t>
        </is>
      </c>
    </row>
    <row r="69520">
      <c r="A69520" s="1" t="n">
        <v>69519</v>
      </c>
      <c r="B69520">
        <f>TEXT(69519, "[$-0E0000]yyyy-mm-dd")</f>
        <v/>
      </c>
      <c r="C69520" t="inlineStr">
        <is>
          <t>2090-04-03</t>
        </is>
      </c>
    </row>
    <row r="69521">
      <c r="A69521" s="1" t="n">
        <v>69520</v>
      </c>
      <c r="B69521">
        <f>TEXT(69520, "[$-0E0000]yyyy-mm-dd")</f>
        <v/>
      </c>
      <c r="C69521" t="inlineStr">
        <is>
          <t>2090-04-04</t>
        </is>
      </c>
    </row>
    <row r="69522">
      <c r="A69522" s="1" t="n">
        <v>69521</v>
      </c>
      <c r="B69522">
        <f>TEXT(69521, "[$-0E0000]yyyy-mm-dd")</f>
        <v/>
      </c>
      <c r="C69522" t="inlineStr">
        <is>
          <t>2090-04-05</t>
        </is>
      </c>
    </row>
    <row r="69523">
      <c r="A69523" s="1" t="n">
        <v>69522</v>
      </c>
      <c r="B69523">
        <f>TEXT(69522, "[$-0E0000]yyyy-mm-dd")</f>
        <v/>
      </c>
      <c r="C69523" t="inlineStr">
        <is>
          <t>2090-04-06</t>
        </is>
      </c>
    </row>
    <row r="69524">
      <c r="A69524" s="1" t="n">
        <v>69523</v>
      </c>
      <c r="B69524">
        <f>TEXT(69523, "[$-0E0000]yyyy-mm-dd")</f>
        <v/>
      </c>
      <c r="C69524" t="inlineStr">
        <is>
          <t>2090-04-07</t>
        </is>
      </c>
    </row>
    <row r="69525">
      <c r="A69525" s="1" t="n">
        <v>69524</v>
      </c>
      <c r="B69525">
        <f>TEXT(69524, "[$-0E0000]yyyy-mm-dd")</f>
        <v/>
      </c>
      <c r="C69525" t="inlineStr">
        <is>
          <t>2090-04-08</t>
        </is>
      </c>
    </row>
    <row r="69526">
      <c r="A69526" s="1" t="n">
        <v>69525</v>
      </c>
      <c r="B69526">
        <f>TEXT(69525, "[$-0E0000]yyyy-mm-dd")</f>
        <v/>
      </c>
      <c r="C69526" t="inlineStr">
        <is>
          <t>2090-04-09</t>
        </is>
      </c>
    </row>
    <row r="69527">
      <c r="A69527" s="1" t="n">
        <v>69526</v>
      </c>
      <c r="B69527">
        <f>TEXT(69526, "[$-0E0000]yyyy-mm-dd")</f>
        <v/>
      </c>
      <c r="C69527" t="inlineStr">
        <is>
          <t>2090-04-10</t>
        </is>
      </c>
    </row>
    <row r="69528">
      <c r="A69528" s="1" t="n">
        <v>69527</v>
      </c>
      <c r="B69528">
        <f>TEXT(69527, "[$-0E0000]yyyy-mm-dd")</f>
        <v/>
      </c>
      <c r="C69528" t="inlineStr">
        <is>
          <t>2090-04-11</t>
        </is>
      </c>
    </row>
    <row r="69529">
      <c r="A69529" s="1" t="n">
        <v>69528</v>
      </c>
      <c r="B69529">
        <f>TEXT(69528, "[$-0E0000]yyyy-mm-dd")</f>
        <v/>
      </c>
      <c r="C69529" t="inlineStr">
        <is>
          <t>2090-04-12</t>
        </is>
      </c>
    </row>
    <row r="69530">
      <c r="A69530" s="1" t="n">
        <v>69529</v>
      </c>
      <c r="B69530">
        <f>TEXT(69529, "[$-0E0000]yyyy-mm-dd")</f>
        <v/>
      </c>
      <c r="C69530" t="inlineStr">
        <is>
          <t>2090-04-13</t>
        </is>
      </c>
    </row>
    <row r="69531">
      <c r="A69531" s="1" t="n">
        <v>69530</v>
      </c>
      <c r="B69531">
        <f>TEXT(69530, "[$-0E0000]yyyy-mm-dd")</f>
        <v/>
      </c>
      <c r="C69531" t="inlineStr">
        <is>
          <t>2090-04-14</t>
        </is>
      </c>
    </row>
    <row r="69532">
      <c r="A69532" s="1" t="n">
        <v>69531</v>
      </c>
      <c r="B69532">
        <f>TEXT(69531, "[$-0E0000]yyyy-mm-dd")</f>
        <v/>
      </c>
      <c r="C69532" t="inlineStr">
        <is>
          <t>2090-04-15</t>
        </is>
      </c>
    </row>
    <row r="69533">
      <c r="A69533" s="1" t="n">
        <v>69532</v>
      </c>
      <c r="B69533">
        <f>TEXT(69532, "[$-0E0000]yyyy-mm-dd")</f>
        <v/>
      </c>
      <c r="C69533" t="inlineStr">
        <is>
          <t>2090-04-16</t>
        </is>
      </c>
    </row>
    <row r="69534">
      <c r="A69534" s="1" t="n">
        <v>69533</v>
      </c>
      <c r="B69534">
        <f>TEXT(69533, "[$-0E0000]yyyy-mm-dd")</f>
        <v/>
      </c>
      <c r="C69534" t="inlineStr">
        <is>
          <t>2090-04-17</t>
        </is>
      </c>
    </row>
    <row r="69535">
      <c r="A69535" s="1" t="n">
        <v>69534</v>
      </c>
      <c r="B69535">
        <f>TEXT(69534, "[$-0E0000]yyyy-mm-dd")</f>
        <v/>
      </c>
      <c r="C69535" t="inlineStr">
        <is>
          <t>2090-04-18</t>
        </is>
      </c>
    </row>
    <row r="69536">
      <c r="A69536" s="1" t="n">
        <v>69535</v>
      </c>
      <c r="B69536">
        <f>TEXT(69535, "[$-0E0000]yyyy-mm-dd")</f>
        <v/>
      </c>
      <c r="C69536" t="inlineStr">
        <is>
          <t>2090-04-19</t>
        </is>
      </c>
    </row>
    <row r="69537">
      <c r="A69537" s="1" t="n">
        <v>69536</v>
      </c>
      <c r="B69537">
        <f>TEXT(69536, "[$-0E0000]yyyy-mm-dd")</f>
        <v/>
      </c>
      <c r="C69537" t="inlineStr">
        <is>
          <t>2090-04-20</t>
        </is>
      </c>
    </row>
    <row r="69538">
      <c r="A69538" s="1" t="n">
        <v>69537</v>
      </c>
      <c r="B69538">
        <f>TEXT(69537, "[$-0E0000]yyyy-mm-dd")</f>
        <v/>
      </c>
      <c r="C69538" t="inlineStr">
        <is>
          <t>2090-04-21</t>
        </is>
      </c>
    </row>
    <row r="69539">
      <c r="A69539" s="1" t="n">
        <v>69538</v>
      </c>
      <c r="B69539">
        <f>TEXT(69538, "[$-0E0000]yyyy-mm-dd")</f>
        <v/>
      </c>
      <c r="C69539" t="inlineStr">
        <is>
          <t>2090-04-22</t>
        </is>
      </c>
    </row>
    <row r="69540">
      <c r="A69540" s="1" t="n">
        <v>69539</v>
      </c>
      <c r="B69540">
        <f>TEXT(69539, "[$-0E0000]yyyy-mm-dd")</f>
        <v/>
      </c>
      <c r="C69540" t="inlineStr">
        <is>
          <t>2090-04-23</t>
        </is>
      </c>
    </row>
    <row r="69541">
      <c r="A69541" s="1" t="n">
        <v>69540</v>
      </c>
      <c r="B69541">
        <f>TEXT(69540, "[$-0E0000]yyyy-mm-dd")</f>
        <v/>
      </c>
      <c r="C69541" t="inlineStr">
        <is>
          <t>2090-04-24</t>
        </is>
      </c>
    </row>
    <row r="69542">
      <c r="A69542" s="1" t="n">
        <v>69541</v>
      </c>
      <c r="B69542">
        <f>TEXT(69541, "[$-0E0000]yyyy-mm-dd")</f>
        <v/>
      </c>
      <c r="C69542" t="inlineStr">
        <is>
          <t>2090-04-25</t>
        </is>
      </c>
    </row>
    <row r="69543">
      <c r="A69543" s="1" t="n">
        <v>69542</v>
      </c>
      <c r="B69543">
        <f>TEXT(69542, "[$-0E0000]yyyy-mm-dd")</f>
        <v/>
      </c>
      <c r="C69543" t="inlineStr">
        <is>
          <t>2090-04-26</t>
        </is>
      </c>
    </row>
    <row r="69544">
      <c r="A69544" s="1" t="n">
        <v>69543</v>
      </c>
      <c r="B69544">
        <f>TEXT(69543, "[$-0E0000]yyyy-mm-dd")</f>
        <v/>
      </c>
      <c r="C69544" t="inlineStr">
        <is>
          <t>2090-04-27</t>
        </is>
      </c>
    </row>
    <row r="69545">
      <c r="A69545" s="1" t="n">
        <v>69544</v>
      </c>
      <c r="B69545">
        <f>TEXT(69544, "[$-0E0000]yyyy-mm-dd")</f>
        <v/>
      </c>
      <c r="C69545" t="inlineStr">
        <is>
          <t>2090-04-28</t>
        </is>
      </c>
    </row>
    <row r="69546">
      <c r="A69546" s="1" t="n">
        <v>69545</v>
      </c>
      <c r="B69546">
        <f>TEXT(69545, "[$-0E0000]yyyy-mm-dd")</f>
        <v/>
      </c>
      <c r="C69546" t="inlineStr">
        <is>
          <t>2090-04-29</t>
        </is>
      </c>
    </row>
    <row r="69547">
      <c r="A69547" s="1" t="n">
        <v>69546</v>
      </c>
      <c r="B69547">
        <f>TEXT(69546, "[$-0E0000]yyyy-mm-dd")</f>
        <v/>
      </c>
      <c r="C69547" t="inlineStr">
        <is>
          <t>2090-05-01</t>
        </is>
      </c>
    </row>
    <row r="69548">
      <c r="A69548" s="1" t="n">
        <v>69547</v>
      </c>
      <c r="B69548">
        <f>TEXT(69547, "[$-0E0000]yyyy-mm-dd")</f>
        <v/>
      </c>
      <c r="C69548" t="inlineStr">
        <is>
          <t>2090-05-02</t>
        </is>
      </c>
    </row>
    <row r="69549">
      <c r="A69549" s="1" t="n">
        <v>69548</v>
      </c>
      <c r="B69549">
        <f>TEXT(69548, "[$-0E0000]yyyy-mm-dd")</f>
        <v/>
      </c>
      <c r="C69549" t="inlineStr">
        <is>
          <t>2090-05-03</t>
        </is>
      </c>
    </row>
    <row r="69550">
      <c r="A69550" s="1" t="n">
        <v>69549</v>
      </c>
      <c r="B69550">
        <f>TEXT(69549, "[$-0E0000]yyyy-mm-dd")</f>
        <v/>
      </c>
      <c r="C69550" t="inlineStr">
        <is>
          <t>2090-05-04</t>
        </is>
      </c>
    </row>
    <row r="69551">
      <c r="A69551" s="1" t="n">
        <v>69550</v>
      </c>
      <c r="B69551">
        <f>TEXT(69550, "[$-0E0000]yyyy-mm-dd")</f>
        <v/>
      </c>
      <c r="C69551" t="inlineStr">
        <is>
          <t>2090-05-05</t>
        </is>
      </c>
    </row>
    <row r="69552">
      <c r="A69552" s="1" t="n">
        <v>69551</v>
      </c>
      <c r="B69552">
        <f>TEXT(69551, "[$-0E0000]yyyy-mm-dd")</f>
        <v/>
      </c>
      <c r="C69552" t="inlineStr">
        <is>
          <t>2090-05-06</t>
        </is>
      </c>
    </row>
    <row r="69553">
      <c r="A69553" s="1" t="n">
        <v>69552</v>
      </c>
      <c r="B69553">
        <f>TEXT(69552, "[$-0E0000]yyyy-mm-dd")</f>
        <v/>
      </c>
      <c r="C69553" t="inlineStr">
        <is>
          <t>2090-05-07</t>
        </is>
      </c>
    </row>
    <row r="69554">
      <c r="A69554" s="1" t="n">
        <v>69553</v>
      </c>
      <c r="B69554">
        <f>TEXT(69553, "[$-0E0000]yyyy-mm-dd")</f>
        <v/>
      </c>
      <c r="C69554" t="inlineStr">
        <is>
          <t>2090-05-08</t>
        </is>
      </c>
    </row>
    <row r="69555">
      <c r="A69555" s="1" t="n">
        <v>69554</v>
      </c>
      <c r="B69555">
        <f>TEXT(69554, "[$-0E0000]yyyy-mm-dd")</f>
        <v/>
      </c>
      <c r="C69555" t="inlineStr">
        <is>
          <t>2090-05-09</t>
        </is>
      </c>
    </row>
    <row r="69556">
      <c r="A69556" s="1" t="n">
        <v>69555</v>
      </c>
      <c r="B69556">
        <f>TEXT(69555, "[$-0E0000]yyyy-mm-dd")</f>
        <v/>
      </c>
      <c r="C69556" t="inlineStr">
        <is>
          <t>2090-05-10</t>
        </is>
      </c>
    </row>
    <row r="69557">
      <c r="A69557" s="1" t="n">
        <v>69556</v>
      </c>
      <c r="B69557">
        <f>TEXT(69556, "[$-0E0000]yyyy-mm-dd")</f>
        <v/>
      </c>
      <c r="C69557" t="inlineStr">
        <is>
          <t>2090-05-11</t>
        </is>
      </c>
    </row>
    <row r="69558">
      <c r="A69558" s="1" t="n">
        <v>69557</v>
      </c>
      <c r="B69558">
        <f>TEXT(69557, "[$-0E0000]yyyy-mm-dd")</f>
        <v/>
      </c>
      <c r="C69558" t="inlineStr">
        <is>
          <t>2090-05-12</t>
        </is>
      </c>
    </row>
    <row r="69559">
      <c r="A69559" s="1" t="n">
        <v>69558</v>
      </c>
      <c r="B69559">
        <f>TEXT(69558, "[$-0E0000]yyyy-mm-dd")</f>
        <v/>
      </c>
      <c r="C69559" t="inlineStr">
        <is>
          <t>2090-05-13</t>
        </is>
      </c>
    </row>
    <row r="69560">
      <c r="A69560" s="1" t="n">
        <v>69559</v>
      </c>
      <c r="B69560">
        <f>TEXT(69559, "[$-0E0000]yyyy-mm-dd")</f>
        <v/>
      </c>
      <c r="C69560" t="inlineStr">
        <is>
          <t>2090-05-14</t>
        </is>
      </c>
    </row>
    <row r="69561">
      <c r="A69561" s="1" t="n">
        <v>69560</v>
      </c>
      <c r="B69561">
        <f>TEXT(69560, "[$-0E0000]yyyy-mm-dd")</f>
        <v/>
      </c>
      <c r="C69561" t="inlineStr">
        <is>
          <t>2090-05-15</t>
        </is>
      </c>
    </row>
    <row r="69562">
      <c r="A69562" s="1" t="n">
        <v>69561</v>
      </c>
      <c r="B69562">
        <f>TEXT(69561, "[$-0E0000]yyyy-mm-dd")</f>
        <v/>
      </c>
      <c r="C69562" t="inlineStr">
        <is>
          <t>2090-05-16</t>
        </is>
      </c>
    </row>
    <row r="69563">
      <c r="A69563" s="1" t="n">
        <v>69562</v>
      </c>
      <c r="B69563">
        <f>TEXT(69562, "[$-0E0000]yyyy-mm-dd")</f>
        <v/>
      </c>
      <c r="C69563" t="inlineStr">
        <is>
          <t>2090-05-17</t>
        </is>
      </c>
    </row>
    <row r="69564">
      <c r="A69564" s="1" t="n">
        <v>69563</v>
      </c>
      <c r="B69564">
        <f>TEXT(69563, "[$-0E0000]yyyy-mm-dd")</f>
        <v/>
      </c>
      <c r="C69564" t="inlineStr">
        <is>
          <t>2090-05-18</t>
        </is>
      </c>
    </row>
    <row r="69565">
      <c r="A69565" s="1" t="n">
        <v>69564</v>
      </c>
      <c r="B69565">
        <f>TEXT(69564, "[$-0E0000]yyyy-mm-dd")</f>
        <v/>
      </c>
      <c r="C69565" t="inlineStr">
        <is>
          <t>2090-05-19</t>
        </is>
      </c>
    </row>
    <row r="69566">
      <c r="A69566" s="1" t="n">
        <v>69565</v>
      </c>
      <c r="B69566">
        <f>TEXT(69565, "[$-0E0000]yyyy-mm-dd")</f>
        <v/>
      </c>
      <c r="C69566" t="inlineStr">
        <is>
          <t>2090-05-20</t>
        </is>
      </c>
    </row>
    <row r="69567">
      <c r="A69567" s="1" t="n">
        <v>69566</v>
      </c>
      <c r="B69567">
        <f>TEXT(69566, "[$-0E0000]yyyy-mm-dd")</f>
        <v/>
      </c>
      <c r="C69567" t="inlineStr">
        <is>
          <t>2090-05-21</t>
        </is>
      </c>
    </row>
    <row r="69568">
      <c r="A69568" s="1" t="n">
        <v>69567</v>
      </c>
      <c r="B69568">
        <f>TEXT(69567, "[$-0E0000]yyyy-mm-dd")</f>
        <v/>
      </c>
      <c r="C69568" t="inlineStr">
        <is>
          <t>2090-05-22</t>
        </is>
      </c>
    </row>
    <row r="69569">
      <c r="A69569" s="1" t="n">
        <v>69568</v>
      </c>
      <c r="B69569">
        <f>TEXT(69568, "[$-0E0000]yyyy-mm-dd")</f>
        <v/>
      </c>
      <c r="C69569" t="inlineStr">
        <is>
          <t>2090-05-23</t>
        </is>
      </c>
    </row>
    <row r="69570">
      <c r="A69570" s="1" t="n">
        <v>69569</v>
      </c>
      <c r="B69570">
        <f>TEXT(69569, "[$-0E0000]yyyy-mm-dd")</f>
        <v/>
      </c>
      <c r="C69570" t="inlineStr">
        <is>
          <t>2090-05-24</t>
        </is>
      </c>
    </row>
    <row r="69571">
      <c r="A69571" s="1" t="n">
        <v>69570</v>
      </c>
      <c r="B69571">
        <f>TEXT(69570, "[$-0E0000]yyyy-mm-dd")</f>
        <v/>
      </c>
      <c r="C69571" t="inlineStr">
        <is>
          <t>2090-05-25</t>
        </is>
      </c>
    </row>
    <row r="69572">
      <c r="A69572" s="1" t="n">
        <v>69571</v>
      </c>
      <c r="B69572">
        <f>TEXT(69571, "[$-0E0000]yyyy-mm-dd")</f>
        <v/>
      </c>
      <c r="C69572" t="inlineStr">
        <is>
          <t>2090-05-26</t>
        </is>
      </c>
    </row>
    <row r="69573">
      <c r="A69573" s="1" t="n">
        <v>69572</v>
      </c>
      <c r="B69573">
        <f>TEXT(69572, "[$-0E0000]yyyy-mm-dd")</f>
        <v/>
      </c>
      <c r="C69573" t="inlineStr">
        <is>
          <t>2090-05-27</t>
        </is>
      </c>
    </row>
    <row r="69574">
      <c r="A69574" s="1" t="n">
        <v>69573</v>
      </c>
      <c r="B69574">
        <f>TEXT(69573, "[$-0E0000]yyyy-mm-dd")</f>
        <v/>
      </c>
      <c r="C69574" t="inlineStr">
        <is>
          <t>2090-05-28</t>
        </is>
      </c>
    </row>
    <row r="69575">
      <c r="A69575" s="1" t="n">
        <v>69574</v>
      </c>
      <c r="B69575">
        <f>TEXT(69574, "[$-0E0000]yyyy-mm-dd")</f>
        <v/>
      </c>
      <c r="C69575" t="inlineStr">
        <is>
          <t>2090-05-29</t>
        </is>
      </c>
    </row>
    <row r="69576">
      <c r="A69576" s="1" t="n">
        <v>69575</v>
      </c>
      <c r="B69576">
        <f>TEXT(69575, "[$-0E0000]yyyy-mm-dd")</f>
        <v/>
      </c>
      <c r="C69576" t="inlineStr">
        <is>
          <t>2090-05-30</t>
        </is>
      </c>
    </row>
    <row r="69577">
      <c r="A69577" s="1" t="n">
        <v>69576</v>
      </c>
      <c r="B69577">
        <f>TEXT(69576, "[$-0E0000]yyyy-mm-dd")</f>
        <v/>
      </c>
      <c r="C69577" t="inlineStr">
        <is>
          <t>2090-06-01</t>
        </is>
      </c>
    </row>
    <row r="69578">
      <c r="A69578" s="1" t="n">
        <v>69577</v>
      </c>
      <c r="B69578">
        <f>TEXT(69577, "[$-0E0000]yyyy-mm-dd")</f>
        <v/>
      </c>
      <c r="C69578" t="inlineStr">
        <is>
          <t>2090-06-02</t>
        </is>
      </c>
    </row>
    <row r="69579">
      <c r="A69579" s="1" t="n">
        <v>69578</v>
      </c>
      <c r="B69579">
        <f>TEXT(69578, "[$-0E0000]yyyy-mm-dd")</f>
        <v/>
      </c>
      <c r="C69579" t="inlineStr">
        <is>
          <t>2090-06-03</t>
        </is>
      </c>
    </row>
    <row r="69580">
      <c r="A69580" s="1" t="n">
        <v>69579</v>
      </c>
      <c r="B69580">
        <f>TEXT(69579, "[$-0E0000]yyyy-mm-dd")</f>
        <v/>
      </c>
      <c r="C69580" t="inlineStr">
        <is>
          <t>2090-06-04</t>
        </is>
      </c>
    </row>
    <row r="69581">
      <c r="A69581" s="1" t="n">
        <v>69580</v>
      </c>
      <c r="B69581">
        <f>TEXT(69580, "[$-0E0000]yyyy-mm-dd")</f>
        <v/>
      </c>
      <c r="C69581" t="inlineStr">
        <is>
          <t>2090-06-05</t>
        </is>
      </c>
    </row>
    <row r="69582">
      <c r="A69582" s="1" t="n">
        <v>69581</v>
      </c>
      <c r="B69582">
        <f>TEXT(69581, "[$-0E0000]yyyy-mm-dd")</f>
        <v/>
      </c>
      <c r="C69582" t="inlineStr">
        <is>
          <t>2090-06-06</t>
        </is>
      </c>
    </row>
    <row r="69583">
      <c r="A69583" s="1" t="n">
        <v>69582</v>
      </c>
      <c r="B69583">
        <f>TEXT(69582, "[$-0E0000]yyyy-mm-dd")</f>
        <v/>
      </c>
      <c r="C69583" t="inlineStr">
        <is>
          <t>2090-06-07</t>
        </is>
      </c>
    </row>
    <row r="69584">
      <c r="A69584" s="1" t="n">
        <v>69583</v>
      </c>
      <c r="B69584">
        <f>TEXT(69583, "[$-0E0000]yyyy-mm-dd")</f>
        <v/>
      </c>
      <c r="C69584" t="inlineStr">
        <is>
          <t>2090-06-08</t>
        </is>
      </c>
    </row>
    <row r="69585">
      <c r="A69585" s="1" t="n">
        <v>69584</v>
      </c>
      <c r="B69585">
        <f>TEXT(69584, "[$-0E0000]yyyy-mm-dd")</f>
        <v/>
      </c>
      <c r="C69585" t="inlineStr">
        <is>
          <t>2090-06-09</t>
        </is>
      </c>
    </row>
    <row r="69586">
      <c r="A69586" s="1" t="n">
        <v>69585</v>
      </c>
      <c r="B69586">
        <f>TEXT(69585, "[$-0E0000]yyyy-mm-dd")</f>
        <v/>
      </c>
      <c r="C69586" t="inlineStr">
        <is>
          <t>2090-06-10</t>
        </is>
      </c>
    </row>
    <row r="69587">
      <c r="A69587" s="1" t="n">
        <v>69586</v>
      </c>
      <c r="B69587">
        <f>TEXT(69586, "[$-0E0000]yyyy-mm-dd")</f>
        <v/>
      </c>
      <c r="C69587" t="inlineStr">
        <is>
          <t>2090-06-11</t>
        </is>
      </c>
    </row>
    <row r="69588">
      <c r="A69588" s="1" t="n">
        <v>69587</v>
      </c>
      <c r="B69588">
        <f>TEXT(69587, "[$-0E0000]yyyy-mm-dd")</f>
        <v/>
      </c>
      <c r="C69588" t="inlineStr">
        <is>
          <t>2090-06-12</t>
        </is>
      </c>
    </row>
    <row r="69589">
      <c r="A69589" s="1" t="n">
        <v>69588</v>
      </c>
      <c r="B69589">
        <f>TEXT(69588, "[$-0E0000]yyyy-mm-dd")</f>
        <v/>
      </c>
      <c r="C69589" t="inlineStr">
        <is>
          <t>2090-06-13</t>
        </is>
      </c>
    </row>
    <row r="69590">
      <c r="A69590" s="1" t="n">
        <v>69589</v>
      </c>
      <c r="B69590">
        <f>TEXT(69589, "[$-0E0000]yyyy-mm-dd")</f>
        <v/>
      </c>
      <c r="C69590" t="inlineStr">
        <is>
          <t>2090-06-14</t>
        </is>
      </c>
    </row>
    <row r="69591">
      <c r="A69591" s="1" t="n">
        <v>69590</v>
      </c>
      <c r="B69591">
        <f>TEXT(69590, "[$-0E0000]yyyy-mm-dd")</f>
        <v/>
      </c>
      <c r="C69591" t="inlineStr">
        <is>
          <t>2090-06-15</t>
        </is>
      </c>
    </row>
    <row r="69592">
      <c r="A69592" s="1" t="n">
        <v>69591</v>
      </c>
      <c r="B69592">
        <f>TEXT(69591, "[$-0E0000]yyyy-mm-dd")</f>
        <v/>
      </c>
      <c r="C69592" t="inlineStr">
        <is>
          <t>2090-06-16</t>
        </is>
      </c>
    </row>
    <row r="69593">
      <c r="A69593" s="1" t="n">
        <v>69592</v>
      </c>
      <c r="B69593">
        <f>TEXT(69592, "[$-0E0000]yyyy-mm-dd")</f>
        <v/>
      </c>
      <c r="C69593" t="inlineStr">
        <is>
          <t>2090-06-17</t>
        </is>
      </c>
    </row>
    <row r="69594">
      <c r="A69594" s="1" t="n">
        <v>69593</v>
      </c>
      <c r="B69594">
        <f>TEXT(69593, "[$-0E0000]yyyy-mm-dd")</f>
        <v/>
      </c>
      <c r="C69594" t="inlineStr">
        <is>
          <t>2090-06-18</t>
        </is>
      </c>
    </row>
    <row r="69595">
      <c r="A69595" s="1" t="n">
        <v>69594</v>
      </c>
      <c r="B69595">
        <f>TEXT(69594, "[$-0E0000]yyyy-mm-dd")</f>
        <v/>
      </c>
      <c r="C69595" t="inlineStr">
        <is>
          <t>2090-06-19</t>
        </is>
      </c>
    </row>
    <row r="69596">
      <c r="A69596" s="1" t="n">
        <v>69595</v>
      </c>
      <c r="B69596">
        <f>TEXT(69595, "[$-0E0000]yyyy-mm-dd")</f>
        <v/>
      </c>
      <c r="C69596" t="inlineStr">
        <is>
          <t>2090-06-20</t>
        </is>
      </c>
    </row>
    <row r="69597">
      <c r="A69597" s="1" t="n">
        <v>69596</v>
      </c>
      <c r="B69597">
        <f>TEXT(69596, "[$-0E0000]yyyy-mm-dd")</f>
        <v/>
      </c>
      <c r="C69597" t="inlineStr">
        <is>
          <t>2090-06-21</t>
        </is>
      </c>
    </row>
    <row r="69598">
      <c r="A69598" s="1" t="n">
        <v>69597</v>
      </c>
      <c r="B69598">
        <f>TEXT(69597, "[$-0E0000]yyyy-mm-dd")</f>
        <v/>
      </c>
      <c r="C69598" t="inlineStr">
        <is>
          <t>2090-06-22</t>
        </is>
      </c>
    </row>
    <row r="69599">
      <c r="A69599" s="1" t="n">
        <v>69598</v>
      </c>
      <c r="B69599">
        <f>TEXT(69598, "[$-0E0000]yyyy-mm-dd")</f>
        <v/>
      </c>
      <c r="C69599" t="inlineStr">
        <is>
          <t>2090-06-23</t>
        </is>
      </c>
    </row>
    <row r="69600">
      <c r="A69600" s="1" t="n">
        <v>69599</v>
      </c>
      <c r="B69600">
        <f>TEXT(69599, "[$-0E0000]yyyy-mm-dd")</f>
        <v/>
      </c>
      <c r="C69600" t="inlineStr">
        <is>
          <t>2090-06-24</t>
        </is>
      </c>
    </row>
    <row r="69601">
      <c r="A69601" s="1" t="n">
        <v>69600</v>
      </c>
      <c r="B69601">
        <f>TEXT(69600, "[$-0E0000]yyyy-mm-dd")</f>
        <v/>
      </c>
      <c r="C69601" t="inlineStr">
        <is>
          <t>2090-06-25</t>
        </is>
      </c>
    </row>
    <row r="69602">
      <c r="A69602" s="1" t="n">
        <v>69601</v>
      </c>
      <c r="B69602">
        <f>TEXT(69601, "[$-0E0000]yyyy-mm-dd")</f>
        <v/>
      </c>
      <c r="C69602" t="inlineStr">
        <is>
          <t>2090-06-26</t>
        </is>
      </c>
    </row>
    <row r="69603">
      <c r="A69603" s="1" t="n">
        <v>69602</v>
      </c>
      <c r="B69603">
        <f>TEXT(69602, "[$-0E0000]yyyy-mm-dd")</f>
        <v/>
      </c>
      <c r="C69603" t="inlineStr">
        <is>
          <t>2090-06-27</t>
        </is>
      </c>
    </row>
    <row r="69604">
      <c r="A69604" s="1" t="n">
        <v>69603</v>
      </c>
      <c r="B69604">
        <f>TEXT(69603, "[$-0E0000]yyyy-mm-dd")</f>
        <v/>
      </c>
      <c r="C69604" t="inlineStr">
        <is>
          <t>2090-06-28</t>
        </is>
      </c>
    </row>
    <row r="69605">
      <c r="A69605" s="1" t="n">
        <v>69604</v>
      </c>
      <c r="B69605">
        <f>TEXT(69604, "[$-0E0000]yyyy-mm-dd")</f>
        <v/>
      </c>
      <c r="C69605" t="inlineStr">
        <is>
          <t>2090-06-29</t>
        </is>
      </c>
    </row>
    <row r="69606">
      <c r="A69606" s="1" t="n">
        <v>69605</v>
      </c>
      <c r="B69606">
        <f>TEXT(69605, "[$-0E0000]yyyy-mm-dd")</f>
        <v/>
      </c>
      <c r="C69606" t="inlineStr">
        <is>
          <t>2090-07-01</t>
        </is>
      </c>
    </row>
    <row r="69607">
      <c r="A69607" s="1" t="n">
        <v>69606</v>
      </c>
      <c r="B69607">
        <f>TEXT(69606, "[$-0E0000]yyyy-mm-dd")</f>
        <v/>
      </c>
      <c r="C69607" t="inlineStr">
        <is>
          <t>2090-07-02</t>
        </is>
      </c>
    </row>
    <row r="69608">
      <c r="A69608" s="1" t="n">
        <v>69607</v>
      </c>
      <c r="B69608">
        <f>TEXT(69607, "[$-0E0000]yyyy-mm-dd")</f>
        <v/>
      </c>
      <c r="C69608" t="inlineStr">
        <is>
          <t>2090-07-03</t>
        </is>
      </c>
    </row>
    <row r="69609">
      <c r="A69609" s="1" t="n">
        <v>69608</v>
      </c>
      <c r="B69609">
        <f>TEXT(69608, "[$-0E0000]yyyy-mm-dd")</f>
        <v/>
      </c>
      <c r="C69609" t="inlineStr">
        <is>
          <t>2090-07-04</t>
        </is>
      </c>
    </row>
    <row r="69610">
      <c r="A69610" s="1" t="n">
        <v>69609</v>
      </c>
      <c r="B69610">
        <f>TEXT(69609, "[$-0E0000]yyyy-mm-dd")</f>
        <v/>
      </c>
      <c r="C69610" t="inlineStr">
        <is>
          <t>2090-07-05</t>
        </is>
      </c>
    </row>
    <row r="69611">
      <c r="A69611" s="1" t="n">
        <v>69610</v>
      </c>
      <c r="B69611">
        <f>TEXT(69610, "[$-0E0000]yyyy-mm-dd")</f>
        <v/>
      </c>
      <c r="C69611" t="inlineStr">
        <is>
          <t>2090-07-06</t>
        </is>
      </c>
    </row>
    <row r="69612">
      <c r="A69612" s="1" t="n">
        <v>69611</v>
      </c>
      <c r="B69612">
        <f>TEXT(69611, "[$-0E0000]yyyy-mm-dd")</f>
        <v/>
      </c>
      <c r="C69612" t="inlineStr">
        <is>
          <t>2090-07-07</t>
        </is>
      </c>
    </row>
    <row r="69613">
      <c r="A69613" s="1" t="n">
        <v>69612</v>
      </c>
      <c r="B69613">
        <f>TEXT(69612, "[$-0E0000]yyyy-mm-dd")</f>
        <v/>
      </c>
      <c r="C69613" t="inlineStr">
        <is>
          <t>2090-07-08</t>
        </is>
      </c>
    </row>
    <row r="69614">
      <c r="A69614" s="1" t="n">
        <v>69613</v>
      </c>
      <c r="B69614">
        <f>TEXT(69613, "[$-0E0000]yyyy-mm-dd")</f>
        <v/>
      </c>
      <c r="C69614" t="inlineStr">
        <is>
          <t>2090-07-09</t>
        </is>
      </c>
    </row>
    <row r="69615">
      <c r="A69615" s="1" t="n">
        <v>69614</v>
      </c>
      <c r="B69615">
        <f>TEXT(69614, "[$-0E0000]yyyy-mm-dd")</f>
        <v/>
      </c>
      <c r="C69615" t="inlineStr">
        <is>
          <t>2090-07-10</t>
        </is>
      </c>
    </row>
    <row r="69616">
      <c r="A69616" s="1" t="n">
        <v>69615</v>
      </c>
      <c r="B69616">
        <f>TEXT(69615, "[$-0E0000]yyyy-mm-dd")</f>
        <v/>
      </c>
      <c r="C69616" t="inlineStr">
        <is>
          <t>2090-07-11</t>
        </is>
      </c>
    </row>
    <row r="69617">
      <c r="A69617" s="1" t="n">
        <v>69616</v>
      </c>
      <c r="B69617">
        <f>TEXT(69616, "[$-0E0000]yyyy-mm-dd")</f>
        <v/>
      </c>
      <c r="C69617" t="inlineStr">
        <is>
          <t>2090-07-12</t>
        </is>
      </c>
    </row>
    <row r="69618">
      <c r="A69618" s="1" t="n">
        <v>69617</v>
      </c>
      <c r="B69618">
        <f>TEXT(69617, "[$-0E0000]yyyy-mm-dd")</f>
        <v/>
      </c>
      <c r="C69618" t="inlineStr">
        <is>
          <t>2090-07-13</t>
        </is>
      </c>
    </row>
    <row r="69619">
      <c r="A69619" s="1" t="n">
        <v>69618</v>
      </c>
      <c r="B69619">
        <f>TEXT(69618, "[$-0E0000]yyyy-mm-dd")</f>
        <v/>
      </c>
      <c r="C69619" t="inlineStr">
        <is>
          <t>2090-07-14</t>
        </is>
      </c>
    </row>
    <row r="69620">
      <c r="A69620" s="1" t="n">
        <v>69619</v>
      </c>
      <c r="B69620">
        <f>TEXT(69619, "[$-0E0000]yyyy-mm-dd")</f>
        <v/>
      </c>
      <c r="C69620" t="inlineStr">
        <is>
          <t>2090-07-15</t>
        </is>
      </c>
    </row>
    <row r="69621">
      <c r="A69621" s="1" t="n">
        <v>69620</v>
      </c>
      <c r="B69621">
        <f>TEXT(69620, "[$-0E0000]yyyy-mm-dd")</f>
        <v/>
      </c>
      <c r="C69621" t="inlineStr">
        <is>
          <t>2090-07-16</t>
        </is>
      </c>
    </row>
    <row r="69622">
      <c r="A69622" s="1" t="n">
        <v>69621</v>
      </c>
      <c r="B69622">
        <f>TEXT(69621, "[$-0E0000]yyyy-mm-dd")</f>
        <v/>
      </c>
      <c r="C69622" t="inlineStr">
        <is>
          <t>2090-07-17</t>
        </is>
      </c>
    </row>
    <row r="69623">
      <c r="A69623" s="1" t="n">
        <v>69622</v>
      </c>
      <c r="B69623">
        <f>TEXT(69622, "[$-0E0000]yyyy-mm-dd")</f>
        <v/>
      </c>
      <c r="C69623" t="inlineStr">
        <is>
          <t>2090-07-18</t>
        </is>
      </c>
    </row>
    <row r="69624">
      <c r="A69624" s="1" t="n">
        <v>69623</v>
      </c>
      <c r="B69624">
        <f>TEXT(69623, "[$-0E0000]yyyy-mm-dd")</f>
        <v/>
      </c>
      <c r="C69624" t="inlineStr">
        <is>
          <t>2090-07-19</t>
        </is>
      </c>
    </row>
    <row r="69625">
      <c r="A69625" s="1" t="n">
        <v>69624</v>
      </c>
      <c r="B69625">
        <f>TEXT(69624, "[$-0E0000]yyyy-mm-dd")</f>
        <v/>
      </c>
      <c r="C69625" t="inlineStr">
        <is>
          <t>2090-07-20</t>
        </is>
      </c>
    </row>
    <row r="69626">
      <c r="A69626" s="1" t="n">
        <v>69625</v>
      </c>
      <c r="B69626">
        <f>TEXT(69625, "[$-0E0000]yyyy-mm-dd")</f>
        <v/>
      </c>
      <c r="C69626" t="inlineStr">
        <is>
          <t>2090-07-21</t>
        </is>
      </c>
    </row>
    <row r="69627">
      <c r="A69627" s="1" t="n">
        <v>69626</v>
      </c>
      <c r="B69627">
        <f>TEXT(69626, "[$-0E0000]yyyy-mm-dd")</f>
        <v/>
      </c>
      <c r="C69627" t="inlineStr">
        <is>
          <t>2090-07-22</t>
        </is>
      </c>
    </row>
    <row r="69628">
      <c r="A69628" s="1" t="n">
        <v>69627</v>
      </c>
      <c r="B69628">
        <f>TEXT(69627, "[$-0E0000]yyyy-mm-dd")</f>
        <v/>
      </c>
      <c r="C69628" t="inlineStr">
        <is>
          <t>2090-07-23</t>
        </is>
      </c>
    </row>
    <row r="69629">
      <c r="A69629" s="1" t="n">
        <v>69628</v>
      </c>
      <c r="B69629">
        <f>TEXT(69628, "[$-0E0000]yyyy-mm-dd")</f>
        <v/>
      </c>
      <c r="C69629" t="inlineStr">
        <is>
          <t>2090-07-24</t>
        </is>
      </c>
    </row>
    <row r="69630">
      <c r="A69630" s="1" t="n">
        <v>69629</v>
      </c>
      <c r="B69630">
        <f>TEXT(69629, "[$-0E0000]yyyy-mm-dd")</f>
        <v/>
      </c>
      <c r="C69630" t="inlineStr">
        <is>
          <t>2090-07-25</t>
        </is>
      </c>
    </row>
    <row r="69631">
      <c r="A69631" s="1" t="n">
        <v>69630</v>
      </c>
      <c r="B69631">
        <f>TEXT(69630, "[$-0E0000]yyyy-mm-dd")</f>
        <v/>
      </c>
      <c r="C69631" t="inlineStr">
        <is>
          <t>2090-07-26</t>
        </is>
      </c>
    </row>
    <row r="69632">
      <c r="A69632" s="1" t="n">
        <v>69631</v>
      </c>
      <c r="B69632">
        <f>TEXT(69631, "[$-0E0000]yyyy-mm-dd")</f>
        <v/>
      </c>
      <c r="C69632" t="inlineStr">
        <is>
          <t>2090-07-27</t>
        </is>
      </c>
    </row>
    <row r="69633">
      <c r="A69633" s="1" t="n">
        <v>69632</v>
      </c>
      <c r="B69633">
        <f>TEXT(69632, "[$-0E0000]yyyy-mm-dd")</f>
        <v/>
      </c>
      <c r="C69633" t="inlineStr">
        <is>
          <t>2090-07-28</t>
        </is>
      </c>
    </row>
    <row r="69634">
      <c r="A69634" s="1" t="n">
        <v>69633</v>
      </c>
      <c r="B69634">
        <f>TEXT(69633, "[$-0E0000]yyyy-mm-dd")</f>
        <v/>
      </c>
      <c r="C69634" t="inlineStr">
        <is>
          <t>2090-07-29</t>
        </is>
      </c>
    </row>
    <row r="69635">
      <c r="A69635" s="1" t="n">
        <v>69634</v>
      </c>
      <c r="B69635">
        <f>TEXT(69634, "[$-0E0000]yyyy-mm-dd")</f>
        <v/>
      </c>
      <c r="C69635" t="inlineStr">
        <is>
          <t>2090-08-01</t>
        </is>
      </c>
    </row>
    <row r="69636">
      <c r="A69636" s="1" t="n">
        <v>69635</v>
      </c>
      <c r="B69636">
        <f>TEXT(69635, "[$-0E0000]yyyy-mm-dd")</f>
        <v/>
      </c>
      <c r="C69636" t="inlineStr">
        <is>
          <t>2090-08-02</t>
        </is>
      </c>
    </row>
    <row r="69637">
      <c r="A69637" s="1" t="n">
        <v>69636</v>
      </c>
      <c r="B69637">
        <f>TEXT(69636, "[$-0E0000]yyyy-mm-dd")</f>
        <v/>
      </c>
      <c r="C69637" t="inlineStr">
        <is>
          <t>2090-08-03</t>
        </is>
      </c>
    </row>
    <row r="69638">
      <c r="A69638" s="1" t="n">
        <v>69637</v>
      </c>
      <c r="B69638">
        <f>TEXT(69637, "[$-0E0000]yyyy-mm-dd")</f>
        <v/>
      </c>
      <c r="C69638" t="inlineStr">
        <is>
          <t>2090-08-04</t>
        </is>
      </c>
    </row>
    <row r="69639">
      <c r="A69639" s="1" t="n">
        <v>69638</v>
      </c>
      <c r="B69639">
        <f>TEXT(69638, "[$-0E0000]yyyy-mm-dd")</f>
        <v/>
      </c>
      <c r="C69639" t="inlineStr">
        <is>
          <t>2090-08-05</t>
        </is>
      </c>
    </row>
    <row r="69640">
      <c r="A69640" s="1" t="n">
        <v>69639</v>
      </c>
      <c r="B69640">
        <f>TEXT(69639, "[$-0E0000]yyyy-mm-dd")</f>
        <v/>
      </c>
      <c r="C69640" t="inlineStr">
        <is>
          <t>2090-08-06</t>
        </is>
      </c>
    </row>
    <row r="69641">
      <c r="A69641" s="1" t="n">
        <v>69640</v>
      </c>
      <c r="B69641">
        <f>TEXT(69640, "[$-0E0000]yyyy-mm-dd")</f>
        <v/>
      </c>
      <c r="C69641" t="inlineStr">
        <is>
          <t>2090-08-07</t>
        </is>
      </c>
    </row>
    <row r="69642">
      <c r="A69642" s="1" t="n">
        <v>69641</v>
      </c>
      <c r="B69642">
        <f>TEXT(69641, "[$-0E0000]yyyy-mm-dd")</f>
        <v/>
      </c>
      <c r="C69642" t="inlineStr">
        <is>
          <t>2090-08-08</t>
        </is>
      </c>
    </row>
    <row r="69643">
      <c r="A69643" s="1" t="n">
        <v>69642</v>
      </c>
      <c r="B69643">
        <f>TEXT(69642, "[$-0E0000]yyyy-mm-dd")</f>
        <v/>
      </c>
      <c r="C69643" t="inlineStr">
        <is>
          <t>2090-08-09</t>
        </is>
      </c>
    </row>
    <row r="69644">
      <c r="A69644" s="1" t="n">
        <v>69643</v>
      </c>
      <c r="B69644">
        <f>TEXT(69643, "[$-0E0000]yyyy-mm-dd")</f>
        <v/>
      </c>
      <c r="C69644" t="inlineStr">
        <is>
          <t>2090-08-10</t>
        </is>
      </c>
    </row>
    <row r="69645">
      <c r="A69645" s="1" t="n">
        <v>69644</v>
      </c>
      <c r="B69645">
        <f>TEXT(69644, "[$-0E0000]yyyy-mm-dd")</f>
        <v/>
      </c>
      <c r="C69645" t="inlineStr">
        <is>
          <t>2090-08-11</t>
        </is>
      </c>
    </row>
    <row r="69646">
      <c r="A69646" s="1" t="n">
        <v>69645</v>
      </c>
      <c r="B69646">
        <f>TEXT(69645, "[$-0E0000]yyyy-mm-dd")</f>
        <v/>
      </c>
      <c r="C69646" t="inlineStr">
        <is>
          <t>2090-08-12</t>
        </is>
      </c>
    </row>
    <row r="69647">
      <c r="A69647" s="1" t="n">
        <v>69646</v>
      </c>
      <c r="B69647">
        <f>TEXT(69646, "[$-0E0000]yyyy-mm-dd")</f>
        <v/>
      </c>
      <c r="C69647" t="inlineStr">
        <is>
          <t>2090-08-13</t>
        </is>
      </c>
    </row>
    <row r="69648">
      <c r="A69648" s="1" t="n">
        <v>69647</v>
      </c>
      <c r="B69648">
        <f>TEXT(69647, "[$-0E0000]yyyy-mm-dd")</f>
        <v/>
      </c>
      <c r="C69648" t="inlineStr">
        <is>
          <t>2090-08-14</t>
        </is>
      </c>
    </row>
    <row r="69649">
      <c r="A69649" s="1" t="n">
        <v>69648</v>
      </c>
      <c r="B69649">
        <f>TEXT(69648, "[$-0E0000]yyyy-mm-dd")</f>
        <v/>
      </c>
      <c r="C69649" t="inlineStr">
        <is>
          <t>2090-08-15</t>
        </is>
      </c>
    </row>
    <row r="69650">
      <c r="A69650" s="1" t="n">
        <v>69649</v>
      </c>
      <c r="B69650">
        <f>TEXT(69649, "[$-0E0000]yyyy-mm-dd")</f>
        <v/>
      </c>
      <c r="C69650" t="inlineStr">
        <is>
          <t>2090-08-16</t>
        </is>
      </c>
    </row>
    <row r="69651">
      <c r="A69651" s="1" t="n">
        <v>69650</v>
      </c>
      <c r="B69651">
        <f>TEXT(69650, "[$-0E0000]yyyy-mm-dd")</f>
        <v/>
      </c>
      <c r="C69651" t="inlineStr">
        <is>
          <t>2090-08-17</t>
        </is>
      </c>
    </row>
    <row r="69652">
      <c r="A69652" s="1" t="n">
        <v>69651</v>
      </c>
      <c r="B69652">
        <f>TEXT(69651, "[$-0E0000]yyyy-mm-dd")</f>
        <v/>
      </c>
      <c r="C69652" t="inlineStr">
        <is>
          <t>2090-08-18</t>
        </is>
      </c>
    </row>
    <row r="69653">
      <c r="A69653" s="1" t="n">
        <v>69652</v>
      </c>
      <c r="B69653">
        <f>TEXT(69652, "[$-0E0000]yyyy-mm-dd")</f>
        <v/>
      </c>
      <c r="C69653" t="inlineStr">
        <is>
          <t>2090-08-19</t>
        </is>
      </c>
    </row>
    <row r="69654">
      <c r="A69654" s="1" t="n">
        <v>69653</v>
      </c>
      <c r="B69654">
        <f>TEXT(69653, "[$-0E0000]yyyy-mm-dd")</f>
        <v/>
      </c>
      <c r="C69654" t="inlineStr">
        <is>
          <t>2090-08-20</t>
        </is>
      </c>
    </row>
    <row r="69655">
      <c r="A69655" s="1" t="n">
        <v>69654</v>
      </c>
      <c r="B69655">
        <f>TEXT(69654, "[$-0E0000]yyyy-mm-dd")</f>
        <v/>
      </c>
      <c r="C69655" t="inlineStr">
        <is>
          <t>2090-08-21</t>
        </is>
      </c>
    </row>
    <row r="69656">
      <c r="A69656" s="1" t="n">
        <v>69655</v>
      </c>
      <c r="B69656">
        <f>TEXT(69655, "[$-0E0000]yyyy-mm-dd")</f>
        <v/>
      </c>
      <c r="C69656" t="inlineStr">
        <is>
          <t>2090-08-22</t>
        </is>
      </c>
    </row>
    <row r="69657">
      <c r="A69657" s="1" t="n">
        <v>69656</v>
      </c>
      <c r="B69657">
        <f>TEXT(69656, "[$-0E0000]yyyy-mm-dd")</f>
        <v/>
      </c>
      <c r="C69657" t="inlineStr">
        <is>
          <t>2090-08-23</t>
        </is>
      </c>
    </row>
    <row r="69658">
      <c r="A69658" s="1" t="n">
        <v>69657</v>
      </c>
      <c r="B69658">
        <f>TEXT(69657, "[$-0E0000]yyyy-mm-dd")</f>
        <v/>
      </c>
      <c r="C69658" t="inlineStr">
        <is>
          <t>2090-08-24</t>
        </is>
      </c>
    </row>
    <row r="69659">
      <c r="A69659" s="1" t="n">
        <v>69658</v>
      </c>
      <c r="B69659">
        <f>TEXT(69658, "[$-0E0000]yyyy-mm-dd")</f>
        <v/>
      </c>
      <c r="C69659" t="inlineStr">
        <is>
          <t>2090-08-25</t>
        </is>
      </c>
    </row>
    <row r="69660">
      <c r="A69660" s="1" t="n">
        <v>69659</v>
      </c>
      <c r="B69660">
        <f>TEXT(69659, "[$-0E0000]yyyy-mm-dd")</f>
        <v/>
      </c>
      <c r="C69660" t="inlineStr">
        <is>
          <t>2090-08-26</t>
        </is>
      </c>
    </row>
    <row r="69661">
      <c r="A69661" s="1" t="n">
        <v>69660</v>
      </c>
      <c r="B69661">
        <f>TEXT(69660, "[$-0E0000]yyyy-mm-dd")</f>
        <v/>
      </c>
      <c r="C69661" t="inlineStr">
        <is>
          <t>2090-08-27</t>
        </is>
      </c>
    </row>
    <row r="69662">
      <c r="A69662" s="1" t="n">
        <v>69661</v>
      </c>
      <c r="B69662">
        <f>TEXT(69661, "[$-0E0000]yyyy-mm-dd")</f>
        <v/>
      </c>
      <c r="C69662" t="inlineStr">
        <is>
          <t>2090-08-28</t>
        </is>
      </c>
    </row>
    <row r="69663">
      <c r="A69663" s="1" t="n">
        <v>69662</v>
      </c>
      <c r="B69663">
        <f>TEXT(69662, "[$-0E0000]yyyy-mm-dd")</f>
        <v/>
      </c>
      <c r="C69663" t="inlineStr">
        <is>
          <t>2090-08-29</t>
        </is>
      </c>
    </row>
    <row r="69664">
      <c r="A69664" s="1" t="n">
        <v>69663</v>
      </c>
      <c r="B69664">
        <f>TEXT(69663, "[$-0E0000]yyyy-mm-dd")</f>
        <v/>
      </c>
      <c r="C69664" t="inlineStr">
        <is>
          <t>2090-08-30</t>
        </is>
      </c>
    </row>
    <row r="69665">
      <c r="A69665" s="1" t="n">
        <v>69664</v>
      </c>
      <c r="B69665">
        <f>TEXT(69664, "[$-0E0000]yyyy-mm-dd")</f>
        <v/>
      </c>
      <c r="C69665" t="inlineStr">
        <is>
          <t>2090-08-01</t>
        </is>
      </c>
    </row>
    <row r="69666">
      <c r="A69666" s="1" t="n">
        <v>69665</v>
      </c>
      <c r="B69666">
        <f>TEXT(69665, "[$-0E0000]yyyy-mm-dd")</f>
        <v/>
      </c>
      <c r="C69666" t="inlineStr">
        <is>
          <t>2090-08-02</t>
        </is>
      </c>
    </row>
    <row r="69667">
      <c r="A69667" s="1" t="n">
        <v>69666</v>
      </c>
      <c r="B69667">
        <f>TEXT(69666, "[$-0E0000]yyyy-mm-dd")</f>
        <v/>
      </c>
      <c r="C69667" t="inlineStr">
        <is>
          <t>2090-08-03</t>
        </is>
      </c>
    </row>
    <row r="69668">
      <c r="A69668" s="1" t="n">
        <v>69667</v>
      </c>
      <c r="B69668">
        <f>TEXT(69667, "[$-0E0000]yyyy-mm-dd")</f>
        <v/>
      </c>
      <c r="C69668" t="inlineStr">
        <is>
          <t>2090-08-04</t>
        </is>
      </c>
    </row>
    <row r="69669">
      <c r="A69669" s="1" t="n">
        <v>69668</v>
      </c>
      <c r="B69669">
        <f>TEXT(69668, "[$-0E0000]yyyy-mm-dd")</f>
        <v/>
      </c>
      <c r="C69669" t="inlineStr">
        <is>
          <t>2090-08-05</t>
        </is>
      </c>
    </row>
    <row r="69670">
      <c r="A69670" s="1" t="n">
        <v>69669</v>
      </c>
      <c r="B69670">
        <f>TEXT(69669, "[$-0E0000]yyyy-mm-dd")</f>
        <v/>
      </c>
      <c r="C69670" t="inlineStr">
        <is>
          <t>2090-08-06</t>
        </is>
      </c>
    </row>
    <row r="69671">
      <c r="A69671" s="1" t="n">
        <v>69670</v>
      </c>
      <c r="B69671">
        <f>TEXT(69670, "[$-0E0000]yyyy-mm-dd")</f>
        <v/>
      </c>
      <c r="C69671" t="inlineStr">
        <is>
          <t>2090-08-07</t>
        </is>
      </c>
    </row>
    <row r="69672">
      <c r="A69672" s="1" t="n">
        <v>69671</v>
      </c>
      <c r="B69672">
        <f>TEXT(69671, "[$-0E0000]yyyy-mm-dd")</f>
        <v/>
      </c>
      <c r="C69672" t="inlineStr">
        <is>
          <t>2090-08-08</t>
        </is>
      </c>
    </row>
    <row r="69673">
      <c r="A69673" s="1" t="n">
        <v>69672</v>
      </c>
      <c r="B69673">
        <f>TEXT(69672, "[$-0E0000]yyyy-mm-dd")</f>
        <v/>
      </c>
      <c r="C69673" t="inlineStr">
        <is>
          <t>2090-08-09</t>
        </is>
      </c>
    </row>
    <row r="69674">
      <c r="A69674" s="1" t="n">
        <v>69673</v>
      </c>
      <c r="B69674">
        <f>TEXT(69673, "[$-0E0000]yyyy-mm-dd")</f>
        <v/>
      </c>
      <c r="C69674" t="inlineStr">
        <is>
          <t>2090-08-10</t>
        </is>
      </c>
    </row>
    <row r="69675">
      <c r="A69675" s="1" t="n">
        <v>69674</v>
      </c>
      <c r="B69675">
        <f>TEXT(69674, "[$-0E0000]yyyy-mm-dd")</f>
        <v/>
      </c>
      <c r="C69675" t="inlineStr">
        <is>
          <t>2090-08-11</t>
        </is>
      </c>
    </row>
    <row r="69676">
      <c r="A69676" s="1" t="n">
        <v>69675</v>
      </c>
      <c r="B69676">
        <f>TEXT(69675, "[$-0E0000]yyyy-mm-dd")</f>
        <v/>
      </c>
      <c r="C69676" t="inlineStr">
        <is>
          <t>2090-08-12</t>
        </is>
      </c>
    </row>
    <row r="69677">
      <c r="A69677" s="1" t="n">
        <v>69676</v>
      </c>
      <c r="B69677">
        <f>TEXT(69676, "[$-0E0000]yyyy-mm-dd")</f>
        <v/>
      </c>
      <c r="C69677" t="inlineStr">
        <is>
          <t>2090-08-13</t>
        </is>
      </c>
    </row>
    <row r="69678">
      <c r="A69678" s="1" t="n">
        <v>69677</v>
      </c>
      <c r="B69678">
        <f>TEXT(69677, "[$-0E0000]yyyy-mm-dd")</f>
        <v/>
      </c>
      <c r="C69678" t="inlineStr">
        <is>
          <t>2090-08-14</t>
        </is>
      </c>
    </row>
    <row r="69679">
      <c r="A69679" s="1" t="n">
        <v>69678</v>
      </c>
      <c r="B69679">
        <f>TEXT(69678, "[$-0E0000]yyyy-mm-dd")</f>
        <v/>
      </c>
      <c r="C69679" t="inlineStr">
        <is>
          <t>2090-08-15</t>
        </is>
      </c>
    </row>
    <row r="69680">
      <c r="A69680" s="1" t="n">
        <v>69679</v>
      </c>
      <c r="B69680">
        <f>TEXT(69679, "[$-0E0000]yyyy-mm-dd")</f>
        <v/>
      </c>
      <c r="C69680" t="inlineStr">
        <is>
          <t>2090-08-16</t>
        </is>
      </c>
    </row>
    <row r="69681">
      <c r="A69681" s="1" t="n">
        <v>69680</v>
      </c>
      <c r="B69681">
        <f>TEXT(69680, "[$-0E0000]yyyy-mm-dd")</f>
        <v/>
      </c>
      <c r="C69681" t="inlineStr">
        <is>
          <t>2090-08-17</t>
        </is>
      </c>
    </row>
    <row r="69682">
      <c r="A69682" s="1" t="n">
        <v>69681</v>
      </c>
      <c r="B69682">
        <f>TEXT(69681, "[$-0E0000]yyyy-mm-dd")</f>
        <v/>
      </c>
      <c r="C69682" t="inlineStr">
        <is>
          <t>2090-08-18</t>
        </is>
      </c>
    </row>
    <row r="69683">
      <c r="A69683" s="1" t="n">
        <v>69682</v>
      </c>
      <c r="B69683">
        <f>TEXT(69682, "[$-0E0000]yyyy-mm-dd")</f>
        <v/>
      </c>
      <c r="C69683" t="inlineStr">
        <is>
          <t>2090-08-19</t>
        </is>
      </c>
    </row>
    <row r="69684">
      <c r="A69684" s="1" t="n">
        <v>69683</v>
      </c>
      <c r="B69684">
        <f>TEXT(69683, "[$-0E0000]yyyy-mm-dd")</f>
        <v/>
      </c>
      <c r="C69684" t="inlineStr">
        <is>
          <t>2090-08-20</t>
        </is>
      </c>
    </row>
    <row r="69685">
      <c r="A69685" s="1" t="n">
        <v>69684</v>
      </c>
      <c r="B69685">
        <f>TEXT(69684, "[$-0E0000]yyyy-mm-dd")</f>
        <v/>
      </c>
      <c r="C69685" t="inlineStr">
        <is>
          <t>2090-08-21</t>
        </is>
      </c>
    </row>
    <row r="69686">
      <c r="A69686" s="1" t="n">
        <v>69685</v>
      </c>
      <c r="B69686">
        <f>TEXT(69685, "[$-0E0000]yyyy-mm-dd")</f>
        <v/>
      </c>
      <c r="C69686" t="inlineStr">
        <is>
          <t>2090-08-22</t>
        </is>
      </c>
    </row>
    <row r="69687">
      <c r="A69687" s="1" t="n">
        <v>69686</v>
      </c>
      <c r="B69687">
        <f>TEXT(69686, "[$-0E0000]yyyy-mm-dd")</f>
        <v/>
      </c>
      <c r="C69687" t="inlineStr">
        <is>
          <t>2090-08-23</t>
        </is>
      </c>
    </row>
    <row r="69688">
      <c r="A69688" s="1" t="n">
        <v>69687</v>
      </c>
      <c r="B69688">
        <f>TEXT(69687, "[$-0E0000]yyyy-mm-dd")</f>
        <v/>
      </c>
      <c r="C69688" t="inlineStr">
        <is>
          <t>2090-08-24</t>
        </is>
      </c>
    </row>
    <row r="69689">
      <c r="A69689" s="1" t="n">
        <v>69688</v>
      </c>
      <c r="B69689">
        <f>TEXT(69688, "[$-0E0000]yyyy-mm-dd")</f>
        <v/>
      </c>
      <c r="C69689" t="inlineStr">
        <is>
          <t>2090-08-25</t>
        </is>
      </c>
    </row>
    <row r="69690">
      <c r="A69690" s="1" t="n">
        <v>69689</v>
      </c>
      <c r="B69690">
        <f>TEXT(69689, "[$-0E0000]yyyy-mm-dd")</f>
        <v/>
      </c>
      <c r="C69690" t="inlineStr">
        <is>
          <t>2090-08-26</t>
        </is>
      </c>
    </row>
    <row r="69691">
      <c r="A69691" s="1" t="n">
        <v>69690</v>
      </c>
      <c r="B69691">
        <f>TEXT(69690, "[$-0E0000]yyyy-mm-dd")</f>
        <v/>
      </c>
      <c r="C69691" t="inlineStr">
        <is>
          <t>2090-08-27</t>
        </is>
      </c>
    </row>
    <row r="69692">
      <c r="A69692" s="1" t="n">
        <v>69691</v>
      </c>
      <c r="B69692">
        <f>TEXT(69691, "[$-0E0000]yyyy-mm-dd")</f>
        <v/>
      </c>
      <c r="C69692" t="inlineStr">
        <is>
          <t>2090-08-28</t>
        </is>
      </c>
    </row>
    <row r="69693">
      <c r="A69693" s="1" t="n">
        <v>69692</v>
      </c>
      <c r="B69693">
        <f>TEXT(69692, "[$-0E0000]yyyy-mm-dd")</f>
        <v/>
      </c>
      <c r="C69693" t="inlineStr">
        <is>
          <t>2090-08-29</t>
        </is>
      </c>
    </row>
    <row r="69694">
      <c r="A69694" s="1" t="n">
        <v>69693</v>
      </c>
      <c r="B69694">
        <f>TEXT(69693, "[$-0E0000]yyyy-mm-dd")</f>
        <v/>
      </c>
      <c r="C69694" t="inlineStr">
        <is>
          <t>2090-09-01</t>
        </is>
      </c>
    </row>
    <row r="69695">
      <c r="A69695" s="1" t="n">
        <v>69694</v>
      </c>
      <c r="B69695">
        <f>TEXT(69694, "[$-0E0000]yyyy-mm-dd")</f>
        <v/>
      </c>
      <c r="C69695" t="inlineStr">
        <is>
          <t>2090-09-02</t>
        </is>
      </c>
    </row>
    <row r="69696">
      <c r="A69696" s="1" t="n">
        <v>69695</v>
      </c>
      <c r="B69696">
        <f>TEXT(69695, "[$-0E0000]yyyy-mm-dd")</f>
        <v/>
      </c>
      <c r="C69696" t="inlineStr">
        <is>
          <t>2090-09-03</t>
        </is>
      </c>
    </row>
    <row r="69697">
      <c r="A69697" s="1" t="n">
        <v>69696</v>
      </c>
      <c r="B69697">
        <f>TEXT(69696, "[$-0E0000]yyyy-mm-dd")</f>
        <v/>
      </c>
      <c r="C69697" t="inlineStr">
        <is>
          <t>2090-09-04</t>
        </is>
      </c>
    </row>
    <row r="69698">
      <c r="A69698" s="1" t="n">
        <v>69697</v>
      </c>
      <c r="B69698">
        <f>TEXT(69697, "[$-0E0000]yyyy-mm-dd")</f>
        <v/>
      </c>
      <c r="C69698" t="inlineStr">
        <is>
          <t>2090-09-05</t>
        </is>
      </c>
    </row>
    <row r="69699">
      <c r="A69699" s="1" t="n">
        <v>69698</v>
      </c>
      <c r="B69699">
        <f>TEXT(69698, "[$-0E0000]yyyy-mm-dd")</f>
        <v/>
      </c>
      <c r="C69699" t="inlineStr">
        <is>
          <t>2090-09-06</t>
        </is>
      </c>
    </row>
    <row r="69700">
      <c r="A69700" s="1" t="n">
        <v>69699</v>
      </c>
      <c r="B69700">
        <f>TEXT(69699, "[$-0E0000]yyyy-mm-dd")</f>
        <v/>
      </c>
      <c r="C69700" t="inlineStr">
        <is>
          <t>2090-09-07</t>
        </is>
      </c>
    </row>
    <row r="69701">
      <c r="A69701" s="1" t="n">
        <v>69700</v>
      </c>
      <c r="B69701">
        <f>TEXT(69700, "[$-0E0000]yyyy-mm-dd")</f>
        <v/>
      </c>
      <c r="C69701" t="inlineStr">
        <is>
          <t>2090-09-08</t>
        </is>
      </c>
    </row>
    <row r="69702">
      <c r="A69702" s="1" t="n">
        <v>69701</v>
      </c>
      <c r="B69702">
        <f>TEXT(69701, "[$-0E0000]yyyy-mm-dd")</f>
        <v/>
      </c>
      <c r="C69702" t="inlineStr">
        <is>
          <t>2090-09-09</t>
        </is>
      </c>
    </row>
    <row r="69703">
      <c r="A69703" s="1" t="n">
        <v>69702</v>
      </c>
      <c r="B69703">
        <f>TEXT(69702, "[$-0E0000]yyyy-mm-dd")</f>
        <v/>
      </c>
      <c r="C69703" t="inlineStr">
        <is>
          <t>2090-09-10</t>
        </is>
      </c>
    </row>
    <row r="69704">
      <c r="A69704" s="1" t="n">
        <v>69703</v>
      </c>
      <c r="B69704">
        <f>TEXT(69703, "[$-0E0000]yyyy-mm-dd")</f>
        <v/>
      </c>
      <c r="C69704" t="inlineStr">
        <is>
          <t>2090-09-11</t>
        </is>
      </c>
    </row>
    <row r="69705">
      <c r="A69705" s="1" t="n">
        <v>69704</v>
      </c>
      <c r="B69705">
        <f>TEXT(69704, "[$-0E0000]yyyy-mm-dd")</f>
        <v/>
      </c>
      <c r="C69705" t="inlineStr">
        <is>
          <t>2090-09-12</t>
        </is>
      </c>
    </row>
    <row r="69706">
      <c r="A69706" s="1" t="n">
        <v>69705</v>
      </c>
      <c r="B69706">
        <f>TEXT(69705, "[$-0E0000]yyyy-mm-dd")</f>
        <v/>
      </c>
      <c r="C69706" t="inlineStr">
        <is>
          <t>2090-09-13</t>
        </is>
      </c>
    </row>
    <row r="69707">
      <c r="A69707" s="1" t="n">
        <v>69706</v>
      </c>
      <c r="B69707">
        <f>TEXT(69706, "[$-0E0000]yyyy-mm-dd")</f>
        <v/>
      </c>
      <c r="C69707" t="inlineStr">
        <is>
          <t>2090-09-14</t>
        </is>
      </c>
    </row>
    <row r="69708">
      <c r="A69708" s="1" t="n">
        <v>69707</v>
      </c>
      <c r="B69708">
        <f>TEXT(69707, "[$-0E0000]yyyy-mm-dd")</f>
        <v/>
      </c>
      <c r="C69708" t="inlineStr">
        <is>
          <t>2090-09-15</t>
        </is>
      </c>
    </row>
    <row r="69709">
      <c r="A69709" s="1" t="n">
        <v>69708</v>
      </c>
      <c r="B69709">
        <f>TEXT(69708, "[$-0E0000]yyyy-mm-dd")</f>
        <v/>
      </c>
      <c r="C69709" t="inlineStr">
        <is>
          <t>2090-09-16</t>
        </is>
      </c>
    </row>
    <row r="69710">
      <c r="A69710" s="1" t="n">
        <v>69709</v>
      </c>
      <c r="B69710">
        <f>TEXT(69709, "[$-0E0000]yyyy-mm-dd")</f>
        <v/>
      </c>
      <c r="C69710" t="inlineStr">
        <is>
          <t>2090-09-17</t>
        </is>
      </c>
    </row>
    <row r="69711">
      <c r="A69711" s="1" t="n">
        <v>69710</v>
      </c>
      <c r="B69711">
        <f>TEXT(69710, "[$-0E0000]yyyy-mm-dd")</f>
        <v/>
      </c>
      <c r="C69711" t="inlineStr">
        <is>
          <t>2090-09-18</t>
        </is>
      </c>
    </row>
    <row r="69712">
      <c r="A69712" s="1" t="n">
        <v>69711</v>
      </c>
      <c r="B69712">
        <f>TEXT(69711, "[$-0E0000]yyyy-mm-dd")</f>
        <v/>
      </c>
      <c r="C69712" t="inlineStr">
        <is>
          <t>2090-09-19</t>
        </is>
      </c>
    </row>
    <row r="69713">
      <c r="A69713" s="1" t="n">
        <v>69712</v>
      </c>
      <c r="B69713">
        <f>TEXT(69712, "[$-0E0000]yyyy-mm-dd")</f>
        <v/>
      </c>
      <c r="C69713" t="inlineStr">
        <is>
          <t>2090-09-20</t>
        </is>
      </c>
    </row>
    <row r="69714">
      <c r="A69714" s="1" t="n">
        <v>69713</v>
      </c>
      <c r="B69714">
        <f>TEXT(69713, "[$-0E0000]yyyy-mm-dd")</f>
        <v/>
      </c>
      <c r="C69714" t="inlineStr">
        <is>
          <t>2090-09-21</t>
        </is>
      </c>
    </row>
    <row r="69715">
      <c r="A69715" s="1" t="n">
        <v>69714</v>
      </c>
      <c r="B69715">
        <f>TEXT(69714, "[$-0E0000]yyyy-mm-dd")</f>
        <v/>
      </c>
      <c r="C69715" t="inlineStr">
        <is>
          <t>2090-09-22</t>
        </is>
      </c>
    </row>
    <row r="69716">
      <c r="A69716" s="1" t="n">
        <v>69715</v>
      </c>
      <c r="B69716">
        <f>TEXT(69715, "[$-0E0000]yyyy-mm-dd")</f>
        <v/>
      </c>
      <c r="C69716" t="inlineStr">
        <is>
          <t>2090-09-23</t>
        </is>
      </c>
    </row>
    <row r="69717">
      <c r="A69717" s="1" t="n">
        <v>69716</v>
      </c>
      <c r="B69717">
        <f>TEXT(69716, "[$-0E0000]yyyy-mm-dd")</f>
        <v/>
      </c>
      <c r="C69717" t="inlineStr">
        <is>
          <t>2090-09-24</t>
        </is>
      </c>
    </row>
    <row r="69718">
      <c r="A69718" s="1" t="n">
        <v>69717</v>
      </c>
      <c r="B69718">
        <f>TEXT(69717, "[$-0E0000]yyyy-mm-dd")</f>
        <v/>
      </c>
      <c r="C69718" t="inlineStr">
        <is>
          <t>2090-09-25</t>
        </is>
      </c>
    </row>
    <row r="69719">
      <c r="A69719" s="1" t="n">
        <v>69718</v>
      </c>
      <c r="B69719">
        <f>TEXT(69718, "[$-0E0000]yyyy-mm-dd")</f>
        <v/>
      </c>
      <c r="C69719" t="inlineStr">
        <is>
          <t>2090-09-26</t>
        </is>
      </c>
    </row>
    <row r="69720">
      <c r="A69720" s="1" t="n">
        <v>69719</v>
      </c>
      <c r="B69720">
        <f>TEXT(69719, "[$-0E0000]yyyy-mm-dd")</f>
        <v/>
      </c>
      <c r="C69720" t="inlineStr">
        <is>
          <t>2090-09-27</t>
        </is>
      </c>
    </row>
    <row r="69721">
      <c r="A69721" s="1" t="n">
        <v>69720</v>
      </c>
      <c r="B69721">
        <f>TEXT(69720, "[$-0E0000]yyyy-mm-dd")</f>
        <v/>
      </c>
      <c r="C69721" t="inlineStr">
        <is>
          <t>2090-09-28</t>
        </is>
      </c>
    </row>
    <row r="69722">
      <c r="A69722" s="1" t="n">
        <v>69721</v>
      </c>
      <c r="B69722">
        <f>TEXT(69721, "[$-0E0000]yyyy-mm-dd")</f>
        <v/>
      </c>
      <c r="C69722" t="inlineStr">
        <is>
          <t>2090-09-29</t>
        </is>
      </c>
    </row>
    <row r="69723">
      <c r="A69723" s="1" t="n">
        <v>69722</v>
      </c>
      <c r="B69723">
        <f>TEXT(69722, "[$-0E0000]yyyy-mm-dd")</f>
        <v/>
      </c>
      <c r="C69723" t="inlineStr">
        <is>
          <t>2090-10-01</t>
        </is>
      </c>
    </row>
    <row r="69724">
      <c r="A69724" s="1" t="n">
        <v>69723</v>
      </c>
      <c r="B69724">
        <f>TEXT(69723, "[$-0E0000]yyyy-mm-dd")</f>
        <v/>
      </c>
      <c r="C69724" t="inlineStr">
        <is>
          <t>2090-10-02</t>
        </is>
      </c>
    </row>
    <row r="69725">
      <c r="A69725" s="1" t="n">
        <v>69724</v>
      </c>
      <c r="B69725">
        <f>TEXT(69724, "[$-0E0000]yyyy-mm-dd")</f>
        <v/>
      </c>
      <c r="C69725" t="inlineStr">
        <is>
          <t>2090-10-03</t>
        </is>
      </c>
    </row>
    <row r="69726">
      <c r="A69726" s="1" t="n">
        <v>69725</v>
      </c>
      <c r="B69726">
        <f>TEXT(69725, "[$-0E0000]yyyy-mm-dd")</f>
        <v/>
      </c>
      <c r="C69726" t="inlineStr">
        <is>
          <t>2090-10-04</t>
        </is>
      </c>
    </row>
    <row r="69727">
      <c r="A69727" s="1" t="n">
        <v>69726</v>
      </c>
      <c r="B69727">
        <f>TEXT(69726, "[$-0E0000]yyyy-mm-dd")</f>
        <v/>
      </c>
      <c r="C69727" t="inlineStr">
        <is>
          <t>2090-10-05</t>
        </is>
      </c>
    </row>
    <row r="69728">
      <c r="A69728" s="1" t="n">
        <v>69727</v>
      </c>
      <c r="B69728">
        <f>TEXT(69727, "[$-0E0000]yyyy-mm-dd")</f>
        <v/>
      </c>
      <c r="C69728" t="inlineStr">
        <is>
          <t>2090-10-06</t>
        </is>
      </c>
    </row>
    <row r="69729">
      <c r="A69729" s="1" t="n">
        <v>69728</v>
      </c>
      <c r="B69729">
        <f>TEXT(69728, "[$-0E0000]yyyy-mm-dd")</f>
        <v/>
      </c>
      <c r="C69729" t="inlineStr">
        <is>
          <t>2090-10-07</t>
        </is>
      </c>
    </row>
    <row r="69730">
      <c r="A69730" s="1" t="n">
        <v>69729</v>
      </c>
      <c r="B69730">
        <f>TEXT(69729, "[$-0E0000]yyyy-mm-dd")</f>
        <v/>
      </c>
      <c r="C69730" t="inlineStr">
        <is>
          <t>2090-10-08</t>
        </is>
      </c>
    </row>
    <row r="69731">
      <c r="A69731" s="1" t="n">
        <v>69730</v>
      </c>
      <c r="B69731">
        <f>TEXT(69730, "[$-0E0000]yyyy-mm-dd")</f>
        <v/>
      </c>
      <c r="C69731" t="inlineStr">
        <is>
          <t>2090-10-09</t>
        </is>
      </c>
    </row>
    <row r="69732">
      <c r="A69732" s="1" t="n">
        <v>69731</v>
      </c>
      <c r="B69732">
        <f>TEXT(69731, "[$-0E0000]yyyy-mm-dd")</f>
        <v/>
      </c>
      <c r="C69732" t="inlineStr">
        <is>
          <t>2090-10-10</t>
        </is>
      </c>
    </row>
    <row r="69733">
      <c r="A69733" s="1" t="n">
        <v>69732</v>
      </c>
      <c r="B69733">
        <f>TEXT(69732, "[$-0E0000]yyyy-mm-dd")</f>
        <v/>
      </c>
      <c r="C69733" t="inlineStr">
        <is>
          <t>2090-10-11</t>
        </is>
      </c>
    </row>
    <row r="69734">
      <c r="A69734" s="1" t="n">
        <v>69733</v>
      </c>
      <c r="B69734">
        <f>TEXT(69733, "[$-0E0000]yyyy-mm-dd")</f>
        <v/>
      </c>
      <c r="C69734" t="inlineStr">
        <is>
          <t>2090-10-12</t>
        </is>
      </c>
    </row>
    <row r="69735">
      <c r="A69735" s="1" t="n">
        <v>69734</v>
      </c>
      <c r="B69735">
        <f>TEXT(69734, "[$-0E0000]yyyy-mm-dd")</f>
        <v/>
      </c>
      <c r="C69735" t="inlineStr">
        <is>
          <t>2090-10-13</t>
        </is>
      </c>
    </row>
    <row r="69736">
      <c r="A69736" s="1" t="n">
        <v>69735</v>
      </c>
      <c r="B69736">
        <f>TEXT(69735, "[$-0E0000]yyyy-mm-dd")</f>
        <v/>
      </c>
      <c r="C69736" t="inlineStr">
        <is>
          <t>2090-10-14</t>
        </is>
      </c>
    </row>
    <row r="69737">
      <c r="A69737" s="1" t="n">
        <v>69736</v>
      </c>
      <c r="B69737">
        <f>TEXT(69736, "[$-0E0000]yyyy-mm-dd")</f>
        <v/>
      </c>
      <c r="C69737" t="inlineStr">
        <is>
          <t>2090-10-15</t>
        </is>
      </c>
    </row>
    <row r="69738">
      <c r="A69738" s="1" t="n">
        <v>69737</v>
      </c>
      <c r="B69738">
        <f>TEXT(69737, "[$-0E0000]yyyy-mm-dd")</f>
        <v/>
      </c>
      <c r="C69738" t="inlineStr">
        <is>
          <t>2090-10-16</t>
        </is>
      </c>
    </row>
    <row r="69739">
      <c r="A69739" s="1" t="n">
        <v>69738</v>
      </c>
      <c r="B69739">
        <f>TEXT(69738, "[$-0E0000]yyyy-mm-dd")</f>
        <v/>
      </c>
      <c r="C69739" t="inlineStr">
        <is>
          <t>2090-10-17</t>
        </is>
      </c>
    </row>
    <row r="69740">
      <c r="A69740" s="1" t="n">
        <v>69739</v>
      </c>
      <c r="B69740">
        <f>TEXT(69739, "[$-0E0000]yyyy-mm-dd")</f>
        <v/>
      </c>
      <c r="C69740" t="inlineStr">
        <is>
          <t>2090-10-18</t>
        </is>
      </c>
    </row>
    <row r="69741">
      <c r="A69741" s="1" t="n">
        <v>69740</v>
      </c>
      <c r="B69741">
        <f>TEXT(69740, "[$-0E0000]yyyy-mm-dd")</f>
        <v/>
      </c>
      <c r="C69741" t="inlineStr">
        <is>
          <t>2090-10-19</t>
        </is>
      </c>
    </row>
    <row r="69742">
      <c r="A69742" s="1" t="n">
        <v>69741</v>
      </c>
      <c r="B69742">
        <f>TEXT(69741, "[$-0E0000]yyyy-mm-dd")</f>
        <v/>
      </c>
      <c r="C69742" t="inlineStr">
        <is>
          <t>2090-10-20</t>
        </is>
      </c>
    </row>
    <row r="69743">
      <c r="A69743" s="1" t="n">
        <v>69742</v>
      </c>
      <c r="B69743">
        <f>TEXT(69742, "[$-0E0000]yyyy-mm-dd")</f>
        <v/>
      </c>
      <c r="C69743" t="inlineStr">
        <is>
          <t>2090-10-21</t>
        </is>
      </c>
    </row>
    <row r="69744">
      <c r="A69744" s="1" t="n">
        <v>69743</v>
      </c>
      <c r="B69744">
        <f>TEXT(69743, "[$-0E0000]yyyy-mm-dd")</f>
        <v/>
      </c>
      <c r="C69744" t="inlineStr">
        <is>
          <t>2090-10-22</t>
        </is>
      </c>
    </row>
    <row r="69745">
      <c r="A69745" s="1" t="n">
        <v>69744</v>
      </c>
      <c r="B69745">
        <f>TEXT(69744, "[$-0E0000]yyyy-mm-dd")</f>
        <v/>
      </c>
      <c r="C69745" t="inlineStr">
        <is>
          <t>2090-10-23</t>
        </is>
      </c>
    </row>
    <row r="69746">
      <c r="A69746" s="1" t="n">
        <v>69745</v>
      </c>
      <c r="B69746">
        <f>TEXT(69745, "[$-0E0000]yyyy-mm-dd")</f>
        <v/>
      </c>
      <c r="C69746" t="inlineStr">
        <is>
          <t>2090-10-24</t>
        </is>
      </c>
    </row>
    <row r="69747">
      <c r="A69747" s="1" t="n">
        <v>69746</v>
      </c>
      <c r="B69747">
        <f>TEXT(69746, "[$-0E0000]yyyy-mm-dd")</f>
        <v/>
      </c>
      <c r="C69747" t="inlineStr">
        <is>
          <t>2090-10-25</t>
        </is>
      </c>
    </row>
    <row r="69748">
      <c r="A69748" s="1" t="n">
        <v>69747</v>
      </c>
      <c r="B69748">
        <f>TEXT(69747, "[$-0E0000]yyyy-mm-dd")</f>
        <v/>
      </c>
      <c r="C69748" t="inlineStr">
        <is>
          <t>2090-10-26</t>
        </is>
      </c>
    </row>
    <row r="69749">
      <c r="A69749" s="1" t="n">
        <v>69748</v>
      </c>
      <c r="B69749">
        <f>TEXT(69748, "[$-0E0000]yyyy-mm-dd")</f>
        <v/>
      </c>
      <c r="C69749" t="inlineStr">
        <is>
          <t>2090-10-27</t>
        </is>
      </c>
    </row>
    <row r="69750">
      <c r="A69750" s="1" t="n">
        <v>69749</v>
      </c>
      <c r="B69750">
        <f>TEXT(69749, "[$-0E0000]yyyy-mm-dd")</f>
        <v/>
      </c>
      <c r="C69750" t="inlineStr">
        <is>
          <t>2090-10-28</t>
        </is>
      </c>
    </row>
    <row r="69751">
      <c r="A69751" s="1" t="n">
        <v>69750</v>
      </c>
      <c r="B69751">
        <f>TEXT(69750, "[$-0E0000]yyyy-mm-dd")</f>
        <v/>
      </c>
      <c r="C69751" t="inlineStr">
        <is>
          <t>2090-10-29</t>
        </is>
      </c>
    </row>
    <row r="69752">
      <c r="A69752" s="1" t="n">
        <v>69751</v>
      </c>
      <c r="B69752">
        <f>TEXT(69751, "[$-0E0000]yyyy-mm-dd")</f>
        <v/>
      </c>
      <c r="C69752" t="inlineStr">
        <is>
          <t>2090-10-30</t>
        </is>
      </c>
    </row>
    <row r="69753">
      <c r="A69753" s="1" t="n">
        <v>69752</v>
      </c>
      <c r="B69753">
        <f>TEXT(69752, "[$-0E0000]yyyy-mm-dd")</f>
        <v/>
      </c>
      <c r="C69753" t="inlineStr">
        <is>
          <t>2090-11-01</t>
        </is>
      </c>
    </row>
    <row r="69754">
      <c r="A69754" s="1" t="n">
        <v>69753</v>
      </c>
      <c r="B69754">
        <f>TEXT(69753, "[$-0E0000]yyyy-mm-dd")</f>
        <v/>
      </c>
      <c r="C69754" t="inlineStr">
        <is>
          <t>2090-11-02</t>
        </is>
      </c>
    </row>
    <row r="69755">
      <c r="A69755" s="1" t="n">
        <v>69754</v>
      </c>
      <c r="B69755">
        <f>TEXT(69754, "[$-0E0000]yyyy-mm-dd")</f>
        <v/>
      </c>
      <c r="C69755" t="inlineStr">
        <is>
          <t>2090-11-03</t>
        </is>
      </c>
    </row>
    <row r="69756">
      <c r="A69756" s="1" t="n">
        <v>69755</v>
      </c>
      <c r="B69756">
        <f>TEXT(69755, "[$-0E0000]yyyy-mm-dd")</f>
        <v/>
      </c>
      <c r="C69756" t="inlineStr">
        <is>
          <t>2090-11-04</t>
        </is>
      </c>
    </row>
    <row r="69757">
      <c r="A69757" s="1" t="n">
        <v>69756</v>
      </c>
      <c r="B69757">
        <f>TEXT(69756, "[$-0E0000]yyyy-mm-dd")</f>
        <v/>
      </c>
      <c r="C69757" t="inlineStr">
        <is>
          <t>2090-11-05</t>
        </is>
      </c>
    </row>
    <row r="69758">
      <c r="A69758" s="1" t="n">
        <v>69757</v>
      </c>
      <c r="B69758">
        <f>TEXT(69757, "[$-0E0000]yyyy-mm-dd")</f>
        <v/>
      </c>
      <c r="C69758" t="inlineStr">
        <is>
          <t>2090-11-06</t>
        </is>
      </c>
    </row>
    <row r="69759">
      <c r="A69759" s="1" t="n">
        <v>69758</v>
      </c>
      <c r="B69759">
        <f>TEXT(69758, "[$-0E0000]yyyy-mm-dd")</f>
        <v/>
      </c>
      <c r="C69759" t="inlineStr">
        <is>
          <t>2090-11-07</t>
        </is>
      </c>
    </row>
    <row r="69760">
      <c r="A69760" s="1" t="n">
        <v>69759</v>
      </c>
      <c r="B69760">
        <f>TEXT(69759, "[$-0E0000]yyyy-mm-dd")</f>
        <v/>
      </c>
      <c r="C69760" t="inlineStr">
        <is>
          <t>2090-11-08</t>
        </is>
      </c>
    </row>
    <row r="69761">
      <c r="A69761" s="1" t="n">
        <v>69760</v>
      </c>
      <c r="B69761">
        <f>TEXT(69760, "[$-0E0000]yyyy-mm-dd")</f>
        <v/>
      </c>
      <c r="C69761" t="inlineStr">
        <is>
          <t>2090-11-09</t>
        </is>
      </c>
    </row>
    <row r="69762">
      <c r="A69762" s="1" t="n">
        <v>69761</v>
      </c>
      <c r="B69762">
        <f>TEXT(69761, "[$-0E0000]yyyy-mm-dd")</f>
        <v/>
      </c>
      <c r="C69762" t="inlineStr">
        <is>
          <t>2090-11-10</t>
        </is>
      </c>
    </row>
    <row r="69763">
      <c r="A69763" s="1" t="n">
        <v>69762</v>
      </c>
      <c r="B69763">
        <f>TEXT(69762, "[$-0E0000]yyyy-mm-dd")</f>
        <v/>
      </c>
      <c r="C69763" t="inlineStr">
        <is>
          <t>2090-11-11</t>
        </is>
      </c>
    </row>
    <row r="69764">
      <c r="A69764" s="1" t="n">
        <v>69763</v>
      </c>
      <c r="B69764">
        <f>TEXT(69763, "[$-0E0000]yyyy-mm-dd")</f>
        <v/>
      </c>
      <c r="C69764" t="inlineStr">
        <is>
          <t>2090-11-12</t>
        </is>
      </c>
    </row>
    <row r="69765">
      <c r="A69765" s="1" t="n">
        <v>69764</v>
      </c>
      <c r="B69765">
        <f>TEXT(69764, "[$-0E0000]yyyy-mm-dd")</f>
        <v/>
      </c>
      <c r="C69765" t="inlineStr">
        <is>
          <t>2090-11-13</t>
        </is>
      </c>
    </row>
    <row r="69766">
      <c r="A69766" s="1" t="n">
        <v>69765</v>
      </c>
      <c r="B69766">
        <f>TEXT(69765, "[$-0E0000]yyyy-mm-dd")</f>
        <v/>
      </c>
      <c r="C69766" t="inlineStr">
        <is>
          <t>2090-11-14</t>
        </is>
      </c>
    </row>
    <row r="69767">
      <c r="A69767" s="1" t="n">
        <v>69766</v>
      </c>
      <c r="B69767">
        <f>TEXT(69766, "[$-0E0000]yyyy-mm-dd")</f>
        <v/>
      </c>
      <c r="C69767" t="inlineStr">
        <is>
          <t>2090-11-15</t>
        </is>
      </c>
    </row>
    <row r="69768">
      <c r="A69768" s="1" t="n">
        <v>69767</v>
      </c>
      <c r="B69768">
        <f>TEXT(69767, "[$-0E0000]yyyy-mm-dd")</f>
        <v/>
      </c>
      <c r="C69768" t="inlineStr">
        <is>
          <t>2090-11-16</t>
        </is>
      </c>
    </row>
    <row r="69769">
      <c r="A69769" s="1" t="n">
        <v>69768</v>
      </c>
      <c r="B69769">
        <f>TEXT(69768, "[$-0E0000]yyyy-mm-dd")</f>
        <v/>
      </c>
      <c r="C69769" t="inlineStr">
        <is>
          <t>2090-11-17</t>
        </is>
      </c>
    </row>
    <row r="69770">
      <c r="A69770" s="1" t="n">
        <v>69769</v>
      </c>
      <c r="B69770">
        <f>TEXT(69769, "[$-0E0000]yyyy-mm-dd")</f>
        <v/>
      </c>
      <c r="C69770" t="inlineStr">
        <is>
          <t>2090-11-18</t>
        </is>
      </c>
    </row>
    <row r="69771">
      <c r="A69771" s="1" t="n">
        <v>69770</v>
      </c>
      <c r="B69771">
        <f>TEXT(69770, "[$-0E0000]yyyy-mm-dd")</f>
        <v/>
      </c>
      <c r="C69771" t="inlineStr">
        <is>
          <t>2090-11-19</t>
        </is>
      </c>
    </row>
    <row r="69772">
      <c r="A69772" s="1" t="n">
        <v>69771</v>
      </c>
      <c r="B69772">
        <f>TEXT(69771, "[$-0E0000]yyyy-mm-dd")</f>
        <v/>
      </c>
      <c r="C69772" t="inlineStr">
        <is>
          <t>2090-11-20</t>
        </is>
      </c>
    </row>
    <row r="69773">
      <c r="A69773" s="1" t="n">
        <v>69772</v>
      </c>
      <c r="B69773">
        <f>TEXT(69772, "[$-0E0000]yyyy-mm-dd")</f>
        <v/>
      </c>
      <c r="C69773" t="inlineStr">
        <is>
          <t>2090-11-21</t>
        </is>
      </c>
    </row>
    <row r="69774">
      <c r="A69774" s="1" t="n">
        <v>69773</v>
      </c>
      <c r="B69774">
        <f>TEXT(69773, "[$-0E0000]yyyy-mm-dd")</f>
        <v/>
      </c>
      <c r="C69774" t="inlineStr">
        <is>
          <t>2090-11-22</t>
        </is>
      </c>
    </row>
    <row r="69775">
      <c r="A69775" s="1" t="n">
        <v>69774</v>
      </c>
      <c r="B69775">
        <f>TEXT(69774, "[$-0E0000]yyyy-mm-dd")</f>
        <v/>
      </c>
      <c r="C69775" t="inlineStr">
        <is>
          <t>2090-11-23</t>
        </is>
      </c>
    </row>
    <row r="69776">
      <c r="A69776" s="1" t="n">
        <v>69775</v>
      </c>
      <c r="B69776">
        <f>TEXT(69775, "[$-0E0000]yyyy-mm-dd")</f>
        <v/>
      </c>
      <c r="C69776" t="inlineStr">
        <is>
          <t>2090-11-24</t>
        </is>
      </c>
    </row>
    <row r="69777">
      <c r="A69777" s="1" t="n">
        <v>69776</v>
      </c>
      <c r="B69777">
        <f>TEXT(69776, "[$-0E0000]yyyy-mm-dd")</f>
        <v/>
      </c>
      <c r="C69777" t="inlineStr">
        <is>
          <t>2090-11-25</t>
        </is>
      </c>
    </row>
    <row r="69778">
      <c r="A69778" s="1" t="n">
        <v>69777</v>
      </c>
      <c r="B69778">
        <f>TEXT(69777, "[$-0E0000]yyyy-mm-dd")</f>
        <v/>
      </c>
      <c r="C69778" t="inlineStr">
        <is>
          <t>2090-11-26</t>
        </is>
      </c>
    </row>
    <row r="69779">
      <c r="A69779" s="1" t="n">
        <v>69778</v>
      </c>
      <c r="B69779">
        <f>TEXT(69778, "[$-0E0000]yyyy-mm-dd")</f>
        <v/>
      </c>
      <c r="C69779" t="inlineStr">
        <is>
          <t>2090-11-27</t>
        </is>
      </c>
    </row>
    <row r="69780">
      <c r="A69780" s="1" t="n">
        <v>69779</v>
      </c>
      <c r="B69780">
        <f>TEXT(69779, "[$-0E0000]yyyy-mm-dd")</f>
        <v/>
      </c>
      <c r="C69780" t="inlineStr">
        <is>
          <t>2090-11-28</t>
        </is>
      </c>
    </row>
    <row r="69781">
      <c r="A69781" s="1" t="n">
        <v>69780</v>
      </c>
      <c r="B69781">
        <f>TEXT(69780, "[$-0E0000]yyyy-mm-dd")</f>
        <v/>
      </c>
      <c r="C69781" t="inlineStr">
        <is>
          <t>2090-11-29</t>
        </is>
      </c>
    </row>
    <row r="69782">
      <c r="A69782" s="1" t="n">
        <v>69781</v>
      </c>
      <c r="B69782">
        <f>TEXT(69781, "[$-0E0000]yyyy-mm-dd")</f>
        <v/>
      </c>
      <c r="C69782" t="inlineStr">
        <is>
          <t>2090-11-30</t>
        </is>
      </c>
    </row>
    <row r="69783">
      <c r="A69783" s="1" t="n">
        <v>69782</v>
      </c>
      <c r="B69783">
        <f>TEXT(69782, "[$-0E0000]yyyy-mm-dd")</f>
        <v/>
      </c>
      <c r="C69783" t="inlineStr">
        <is>
          <t>2090-12-01</t>
        </is>
      </c>
    </row>
    <row r="69784">
      <c r="A69784" s="1" t="n">
        <v>69783</v>
      </c>
      <c r="B69784">
        <f>TEXT(69783, "[$-0E0000]yyyy-mm-dd")</f>
        <v/>
      </c>
      <c r="C69784" t="inlineStr">
        <is>
          <t>2090-12-02</t>
        </is>
      </c>
    </row>
    <row r="69785">
      <c r="A69785" s="1" t="n">
        <v>69784</v>
      </c>
      <c r="B69785">
        <f>TEXT(69784, "[$-0E0000]yyyy-mm-dd")</f>
        <v/>
      </c>
      <c r="C69785" t="inlineStr">
        <is>
          <t>2090-12-03</t>
        </is>
      </c>
    </row>
    <row r="69786">
      <c r="A69786" s="1" t="n">
        <v>69785</v>
      </c>
      <c r="B69786">
        <f>TEXT(69785, "[$-0E0000]yyyy-mm-dd")</f>
        <v/>
      </c>
      <c r="C69786" t="inlineStr">
        <is>
          <t>2090-12-04</t>
        </is>
      </c>
    </row>
    <row r="69787">
      <c r="A69787" s="1" t="n">
        <v>69786</v>
      </c>
      <c r="B69787">
        <f>TEXT(69786, "[$-0E0000]yyyy-mm-dd")</f>
        <v/>
      </c>
      <c r="C69787" t="inlineStr">
        <is>
          <t>2090-12-05</t>
        </is>
      </c>
    </row>
    <row r="69788">
      <c r="A69788" s="1" t="n">
        <v>69787</v>
      </c>
      <c r="B69788">
        <f>TEXT(69787, "[$-0E0000]yyyy-mm-dd")</f>
        <v/>
      </c>
      <c r="C69788" t="inlineStr">
        <is>
          <t>2090-12-06</t>
        </is>
      </c>
    </row>
    <row r="69789">
      <c r="A69789" s="1" t="n">
        <v>69788</v>
      </c>
      <c r="B69789">
        <f>TEXT(69788, "[$-0E0000]yyyy-mm-dd")</f>
        <v/>
      </c>
      <c r="C69789" t="inlineStr">
        <is>
          <t>2090-12-07</t>
        </is>
      </c>
    </row>
    <row r="69790">
      <c r="A69790" s="1" t="n">
        <v>69789</v>
      </c>
      <c r="B69790">
        <f>TEXT(69789, "[$-0E0000]yyyy-mm-dd")</f>
        <v/>
      </c>
      <c r="C69790" t="inlineStr">
        <is>
          <t>2090-12-08</t>
        </is>
      </c>
    </row>
    <row r="69791">
      <c r="A69791" s="1" t="n">
        <v>69790</v>
      </c>
      <c r="B69791">
        <f>TEXT(69790, "[$-0E0000]yyyy-mm-dd")</f>
        <v/>
      </c>
      <c r="C69791" t="inlineStr">
        <is>
          <t>2090-12-09</t>
        </is>
      </c>
    </row>
    <row r="69792">
      <c r="A69792" s="1" t="n">
        <v>69791</v>
      </c>
      <c r="B69792">
        <f>TEXT(69791, "[$-0E0000]yyyy-mm-dd")</f>
        <v/>
      </c>
      <c r="C69792" t="inlineStr">
        <is>
          <t>2090-12-10</t>
        </is>
      </c>
    </row>
    <row r="69793">
      <c r="A69793" s="1" t="n">
        <v>69792</v>
      </c>
      <c r="B69793">
        <f>TEXT(69792, "[$-0E0000]yyyy-mm-dd")</f>
        <v/>
      </c>
      <c r="C69793" t="inlineStr">
        <is>
          <t>2090-12-11</t>
        </is>
      </c>
    </row>
    <row r="69794">
      <c r="A69794" s="1" t="n">
        <v>69793</v>
      </c>
      <c r="B69794">
        <f>TEXT(69793, "[$-0E0000]yyyy-mm-dd")</f>
        <v/>
      </c>
      <c r="C69794" t="inlineStr">
        <is>
          <t>2090-12-12</t>
        </is>
      </c>
    </row>
    <row r="69795">
      <c r="A69795" s="1" t="n">
        <v>69794</v>
      </c>
      <c r="B69795">
        <f>TEXT(69794, "[$-0E0000]yyyy-mm-dd")</f>
        <v/>
      </c>
      <c r="C69795" t="inlineStr">
        <is>
          <t>2090-12-13</t>
        </is>
      </c>
    </row>
    <row r="69796">
      <c r="A69796" s="1" t="n">
        <v>69795</v>
      </c>
      <c r="B69796">
        <f>TEXT(69795, "[$-0E0000]yyyy-mm-dd")</f>
        <v/>
      </c>
      <c r="C69796" t="inlineStr">
        <is>
          <t>2090-12-14</t>
        </is>
      </c>
    </row>
    <row r="69797">
      <c r="A69797" s="1" t="n">
        <v>69796</v>
      </c>
      <c r="B69797">
        <f>TEXT(69796, "[$-0E0000]yyyy-mm-dd")</f>
        <v/>
      </c>
      <c r="C69797" t="inlineStr">
        <is>
          <t>2090-12-15</t>
        </is>
      </c>
    </row>
    <row r="69798">
      <c r="A69798" s="1" t="n">
        <v>69797</v>
      </c>
      <c r="B69798">
        <f>TEXT(69797, "[$-0E0000]yyyy-mm-dd")</f>
        <v/>
      </c>
      <c r="C69798" t="inlineStr">
        <is>
          <t>2090-12-16</t>
        </is>
      </c>
    </row>
    <row r="69799">
      <c r="A69799" s="1" t="n">
        <v>69798</v>
      </c>
      <c r="B69799">
        <f>TEXT(69798, "[$-0E0000]yyyy-mm-dd")</f>
        <v/>
      </c>
      <c r="C69799" t="inlineStr">
        <is>
          <t>2090-12-17</t>
        </is>
      </c>
    </row>
    <row r="69800">
      <c r="A69800" s="1" t="n">
        <v>69799</v>
      </c>
      <c r="B69800">
        <f>TEXT(69799, "[$-0E0000]yyyy-mm-dd")</f>
        <v/>
      </c>
      <c r="C69800" t="inlineStr">
        <is>
          <t>2090-12-18</t>
        </is>
      </c>
    </row>
    <row r="69801">
      <c r="A69801" s="1" t="n">
        <v>69800</v>
      </c>
      <c r="B69801">
        <f>TEXT(69800, "[$-0E0000]yyyy-mm-dd")</f>
        <v/>
      </c>
      <c r="C69801" t="inlineStr">
        <is>
          <t>2090-12-19</t>
        </is>
      </c>
    </row>
    <row r="69802">
      <c r="A69802" s="1" t="n">
        <v>69801</v>
      </c>
      <c r="B69802">
        <f>TEXT(69801, "[$-0E0000]yyyy-mm-dd")</f>
        <v/>
      </c>
      <c r="C69802" t="inlineStr">
        <is>
          <t>2090-12-20</t>
        </is>
      </c>
    </row>
    <row r="69803">
      <c r="A69803" s="1" t="n">
        <v>69802</v>
      </c>
      <c r="B69803">
        <f>TEXT(69802, "[$-0E0000]yyyy-mm-dd")</f>
        <v/>
      </c>
      <c r="C69803" t="inlineStr">
        <is>
          <t>2090-12-21</t>
        </is>
      </c>
    </row>
    <row r="69804">
      <c r="A69804" s="1" t="n">
        <v>69803</v>
      </c>
      <c r="B69804">
        <f>TEXT(69803, "[$-0E0000]yyyy-mm-dd")</f>
        <v/>
      </c>
      <c r="C69804" t="inlineStr">
        <is>
          <t>2090-12-22</t>
        </is>
      </c>
    </row>
    <row r="69805">
      <c r="A69805" s="1" t="n">
        <v>69804</v>
      </c>
      <c r="B69805">
        <f>TEXT(69804, "[$-0E0000]yyyy-mm-dd")</f>
        <v/>
      </c>
      <c r="C69805" t="inlineStr">
        <is>
          <t>2090-12-23</t>
        </is>
      </c>
    </row>
    <row r="69806">
      <c r="A69806" s="1" t="n">
        <v>69805</v>
      </c>
      <c r="B69806">
        <f>TEXT(69805, "[$-0E0000]yyyy-mm-dd")</f>
        <v/>
      </c>
      <c r="C69806" t="inlineStr">
        <is>
          <t>2090-12-24</t>
        </is>
      </c>
    </row>
    <row r="69807">
      <c r="A69807" s="1" t="n">
        <v>69806</v>
      </c>
      <c r="B69807">
        <f>TEXT(69806, "[$-0E0000]yyyy-mm-dd")</f>
        <v/>
      </c>
      <c r="C69807" t="inlineStr">
        <is>
          <t>2090-12-25</t>
        </is>
      </c>
    </row>
    <row r="69808">
      <c r="A69808" s="1" t="n">
        <v>69807</v>
      </c>
      <c r="B69808">
        <f>TEXT(69807, "[$-0E0000]yyyy-mm-dd")</f>
        <v/>
      </c>
      <c r="C69808" t="inlineStr">
        <is>
          <t>2090-12-26</t>
        </is>
      </c>
    </row>
    <row r="69809">
      <c r="A69809" s="1" t="n">
        <v>69808</v>
      </c>
      <c r="B69809">
        <f>TEXT(69808, "[$-0E0000]yyyy-mm-dd")</f>
        <v/>
      </c>
      <c r="C69809" t="inlineStr">
        <is>
          <t>2090-12-27</t>
        </is>
      </c>
    </row>
    <row r="69810">
      <c r="A69810" s="1" t="n">
        <v>69809</v>
      </c>
      <c r="B69810">
        <f>TEXT(69809, "[$-0E0000]yyyy-mm-dd")</f>
        <v/>
      </c>
      <c r="C69810" t="inlineStr">
        <is>
          <t>2090-12-28</t>
        </is>
      </c>
    </row>
    <row r="69811">
      <c r="A69811" s="1" t="n">
        <v>69810</v>
      </c>
      <c r="B69811">
        <f>TEXT(69810, "[$-0E0000]yyyy-mm-dd")</f>
        <v/>
      </c>
      <c r="C69811" t="inlineStr">
        <is>
          <t>2090-12-29</t>
        </is>
      </c>
    </row>
    <row r="69812">
      <c r="A69812" s="1" t="n">
        <v>69811</v>
      </c>
      <c r="B69812">
        <f>TEXT(69811, "[$-0E0000]yyyy-mm-dd")</f>
        <v/>
      </c>
      <c r="C69812" t="inlineStr">
        <is>
          <t>2091-01-01</t>
        </is>
      </c>
    </row>
    <row r="69813">
      <c r="A69813" s="1" t="n">
        <v>69812</v>
      </c>
      <c r="B69813">
        <f>TEXT(69812, "[$-0E0000]yyyy-mm-dd")</f>
        <v/>
      </c>
      <c r="C69813" t="inlineStr">
        <is>
          <t>2091-01-02</t>
        </is>
      </c>
    </row>
    <row r="69814">
      <c r="A69814" s="1" t="n">
        <v>69813</v>
      </c>
      <c r="B69814">
        <f>TEXT(69813, "[$-0E0000]yyyy-mm-dd")</f>
        <v/>
      </c>
      <c r="C69814" t="inlineStr">
        <is>
          <t>2091-01-03</t>
        </is>
      </c>
    </row>
    <row r="69815">
      <c r="A69815" s="1" t="n">
        <v>69814</v>
      </c>
      <c r="B69815">
        <f>TEXT(69814, "[$-0E0000]yyyy-mm-dd")</f>
        <v/>
      </c>
      <c r="C69815" t="inlineStr">
        <is>
          <t>2091-01-04</t>
        </is>
      </c>
    </row>
    <row r="69816">
      <c r="A69816" s="1" t="n">
        <v>69815</v>
      </c>
      <c r="B69816">
        <f>TEXT(69815, "[$-0E0000]yyyy-mm-dd")</f>
        <v/>
      </c>
      <c r="C69816" t="inlineStr">
        <is>
          <t>2091-01-05</t>
        </is>
      </c>
    </row>
    <row r="69817">
      <c r="A69817" s="1" t="n">
        <v>69816</v>
      </c>
      <c r="B69817">
        <f>TEXT(69816, "[$-0E0000]yyyy-mm-dd")</f>
        <v/>
      </c>
      <c r="C69817" t="inlineStr">
        <is>
          <t>2091-01-06</t>
        </is>
      </c>
    </row>
    <row r="69818">
      <c r="A69818" s="1" t="n">
        <v>69817</v>
      </c>
      <c r="B69818">
        <f>TEXT(69817, "[$-0E0000]yyyy-mm-dd")</f>
        <v/>
      </c>
      <c r="C69818" t="inlineStr">
        <is>
          <t>2091-01-07</t>
        </is>
      </c>
    </row>
    <row r="69819">
      <c r="A69819" s="1" t="n">
        <v>69818</v>
      </c>
      <c r="B69819">
        <f>TEXT(69818, "[$-0E0000]yyyy-mm-dd")</f>
        <v/>
      </c>
      <c r="C69819" t="inlineStr">
        <is>
          <t>2091-01-08</t>
        </is>
      </c>
    </row>
    <row r="69820">
      <c r="A69820" s="1" t="n">
        <v>69819</v>
      </c>
      <c r="B69820">
        <f>TEXT(69819, "[$-0E0000]yyyy-mm-dd")</f>
        <v/>
      </c>
      <c r="C69820" t="inlineStr">
        <is>
          <t>2091-01-09</t>
        </is>
      </c>
    </row>
    <row r="69821">
      <c r="A69821" s="1" t="n">
        <v>69820</v>
      </c>
      <c r="B69821">
        <f>TEXT(69820, "[$-0E0000]yyyy-mm-dd")</f>
        <v/>
      </c>
      <c r="C69821" t="inlineStr">
        <is>
          <t>2091-01-10</t>
        </is>
      </c>
    </row>
    <row r="69822">
      <c r="A69822" s="1" t="n">
        <v>69821</v>
      </c>
      <c r="B69822">
        <f>TEXT(69821, "[$-0E0000]yyyy-mm-dd")</f>
        <v/>
      </c>
      <c r="C69822" t="inlineStr">
        <is>
          <t>2091-01-11</t>
        </is>
      </c>
    </row>
    <row r="69823">
      <c r="A69823" s="1" t="n">
        <v>69822</v>
      </c>
      <c r="B69823">
        <f>TEXT(69822, "[$-0E0000]yyyy-mm-dd")</f>
        <v/>
      </c>
      <c r="C69823" t="inlineStr">
        <is>
          <t>2091-01-12</t>
        </is>
      </c>
    </row>
    <row r="69824">
      <c r="A69824" s="1" t="n">
        <v>69823</v>
      </c>
      <c r="B69824">
        <f>TEXT(69823, "[$-0E0000]yyyy-mm-dd")</f>
        <v/>
      </c>
      <c r="C69824" t="inlineStr">
        <is>
          <t>2091-01-13</t>
        </is>
      </c>
    </row>
    <row r="69825">
      <c r="A69825" s="1" t="n">
        <v>69824</v>
      </c>
      <c r="B69825">
        <f>TEXT(69824, "[$-0E0000]yyyy-mm-dd")</f>
        <v/>
      </c>
      <c r="C69825" t="inlineStr">
        <is>
          <t>2091-01-14</t>
        </is>
      </c>
    </row>
    <row r="69826">
      <c r="A69826" s="1" t="n">
        <v>69825</v>
      </c>
      <c r="B69826">
        <f>TEXT(69825, "[$-0E0000]yyyy-mm-dd")</f>
        <v/>
      </c>
      <c r="C69826" t="inlineStr">
        <is>
          <t>2091-01-15</t>
        </is>
      </c>
    </row>
    <row r="69827">
      <c r="A69827" s="1" t="n">
        <v>69826</v>
      </c>
      <c r="B69827">
        <f>TEXT(69826, "[$-0E0000]yyyy-mm-dd")</f>
        <v/>
      </c>
      <c r="C69827" t="inlineStr">
        <is>
          <t>2091-01-16</t>
        </is>
      </c>
    </row>
    <row r="69828">
      <c r="A69828" s="1" t="n">
        <v>69827</v>
      </c>
      <c r="B69828">
        <f>TEXT(69827, "[$-0E0000]yyyy-mm-dd")</f>
        <v/>
      </c>
      <c r="C69828" t="inlineStr">
        <is>
          <t>2091-01-17</t>
        </is>
      </c>
    </row>
    <row r="69829">
      <c r="A69829" s="1" t="n">
        <v>69828</v>
      </c>
      <c r="B69829">
        <f>TEXT(69828, "[$-0E0000]yyyy-mm-dd")</f>
        <v/>
      </c>
      <c r="C69829" t="inlineStr">
        <is>
          <t>2091-01-18</t>
        </is>
      </c>
    </row>
    <row r="69830">
      <c r="A69830" s="1" t="n">
        <v>69829</v>
      </c>
      <c r="B69830">
        <f>TEXT(69829, "[$-0E0000]yyyy-mm-dd")</f>
        <v/>
      </c>
      <c r="C69830" t="inlineStr">
        <is>
          <t>2091-01-19</t>
        </is>
      </c>
    </row>
    <row r="69831">
      <c r="A69831" s="1" t="n">
        <v>69830</v>
      </c>
      <c r="B69831">
        <f>TEXT(69830, "[$-0E0000]yyyy-mm-dd")</f>
        <v/>
      </c>
      <c r="C69831" t="inlineStr">
        <is>
          <t>2091-01-20</t>
        </is>
      </c>
    </row>
    <row r="69832">
      <c r="A69832" s="1" t="n">
        <v>69831</v>
      </c>
      <c r="B69832">
        <f>TEXT(69831, "[$-0E0000]yyyy-mm-dd")</f>
        <v/>
      </c>
      <c r="C69832" t="inlineStr">
        <is>
          <t>2091-01-21</t>
        </is>
      </c>
    </row>
    <row r="69833">
      <c r="A69833" s="1" t="n">
        <v>69832</v>
      </c>
      <c r="B69833">
        <f>TEXT(69832, "[$-0E0000]yyyy-mm-dd")</f>
        <v/>
      </c>
      <c r="C69833" t="inlineStr">
        <is>
          <t>2091-01-22</t>
        </is>
      </c>
    </row>
    <row r="69834">
      <c r="A69834" s="1" t="n">
        <v>69833</v>
      </c>
      <c r="B69834">
        <f>TEXT(69833, "[$-0E0000]yyyy-mm-dd")</f>
        <v/>
      </c>
      <c r="C69834" t="inlineStr">
        <is>
          <t>2091-01-23</t>
        </is>
      </c>
    </row>
    <row r="69835">
      <c r="A69835" s="1" t="n">
        <v>69834</v>
      </c>
      <c r="B69835">
        <f>TEXT(69834, "[$-0E0000]yyyy-mm-dd")</f>
        <v/>
      </c>
      <c r="C69835" t="inlineStr">
        <is>
          <t>2091-01-24</t>
        </is>
      </c>
    </row>
    <row r="69836">
      <c r="A69836" s="1" t="n">
        <v>69835</v>
      </c>
      <c r="B69836">
        <f>TEXT(69835, "[$-0E0000]yyyy-mm-dd")</f>
        <v/>
      </c>
      <c r="C69836" t="inlineStr">
        <is>
          <t>2091-01-25</t>
        </is>
      </c>
    </row>
    <row r="69837">
      <c r="A69837" s="1" t="n">
        <v>69836</v>
      </c>
      <c r="B69837">
        <f>TEXT(69836, "[$-0E0000]yyyy-mm-dd")</f>
        <v/>
      </c>
      <c r="C69837" t="inlineStr">
        <is>
          <t>2091-01-26</t>
        </is>
      </c>
    </row>
    <row r="69838">
      <c r="A69838" s="1" t="n">
        <v>69837</v>
      </c>
      <c r="B69838">
        <f>TEXT(69837, "[$-0E0000]yyyy-mm-dd")</f>
        <v/>
      </c>
      <c r="C69838" t="inlineStr">
        <is>
          <t>2091-01-27</t>
        </is>
      </c>
    </row>
    <row r="69839">
      <c r="A69839" s="1" t="n">
        <v>69838</v>
      </c>
      <c r="B69839">
        <f>TEXT(69838, "[$-0E0000]yyyy-mm-dd")</f>
        <v/>
      </c>
      <c r="C69839" t="inlineStr">
        <is>
          <t>2091-01-28</t>
        </is>
      </c>
    </row>
    <row r="69840">
      <c r="A69840" s="1" t="n">
        <v>69839</v>
      </c>
      <c r="B69840">
        <f>TEXT(69839, "[$-0E0000]yyyy-mm-dd")</f>
        <v/>
      </c>
      <c r="C69840" t="inlineStr">
        <is>
          <t>2091-01-29</t>
        </is>
      </c>
    </row>
    <row r="69841">
      <c r="A69841" s="1" t="n">
        <v>69840</v>
      </c>
      <c r="B69841">
        <f>TEXT(69840, "[$-0E0000]yyyy-mm-dd")</f>
        <v/>
      </c>
      <c r="C69841" t="inlineStr">
        <is>
          <t>2091-01-30</t>
        </is>
      </c>
    </row>
    <row r="69842">
      <c r="A69842" s="1" t="n">
        <v>69841</v>
      </c>
      <c r="B69842">
        <f>TEXT(69841, "[$-0E0000]yyyy-mm-dd")</f>
        <v/>
      </c>
      <c r="C69842" t="inlineStr">
        <is>
          <t>2091-02-01</t>
        </is>
      </c>
    </row>
    <row r="69843">
      <c r="A69843" s="1" t="n">
        <v>69842</v>
      </c>
      <c r="B69843">
        <f>TEXT(69842, "[$-0E0000]yyyy-mm-dd")</f>
        <v/>
      </c>
      <c r="C69843" t="inlineStr">
        <is>
          <t>2091-02-02</t>
        </is>
      </c>
    </row>
    <row r="69844">
      <c r="A69844" s="1" t="n">
        <v>69843</v>
      </c>
      <c r="B69844">
        <f>TEXT(69843, "[$-0E0000]yyyy-mm-dd")</f>
        <v/>
      </c>
      <c r="C69844" t="inlineStr">
        <is>
          <t>2091-02-03</t>
        </is>
      </c>
    </row>
    <row r="69845">
      <c r="A69845" s="1" t="n">
        <v>69844</v>
      </c>
      <c r="B69845">
        <f>TEXT(69844, "[$-0E0000]yyyy-mm-dd")</f>
        <v/>
      </c>
      <c r="C69845" t="inlineStr">
        <is>
          <t>2091-02-04</t>
        </is>
      </c>
    </row>
    <row r="69846">
      <c r="A69846" s="1" t="n">
        <v>69845</v>
      </c>
      <c r="B69846">
        <f>TEXT(69845, "[$-0E0000]yyyy-mm-dd")</f>
        <v/>
      </c>
      <c r="C69846" t="inlineStr">
        <is>
          <t>2091-02-05</t>
        </is>
      </c>
    </row>
    <row r="69847">
      <c r="A69847" s="1" t="n">
        <v>69846</v>
      </c>
      <c r="B69847">
        <f>TEXT(69846, "[$-0E0000]yyyy-mm-dd")</f>
        <v/>
      </c>
      <c r="C69847" t="inlineStr">
        <is>
          <t>2091-02-06</t>
        </is>
      </c>
    </row>
    <row r="69848">
      <c r="A69848" s="1" t="n">
        <v>69847</v>
      </c>
      <c r="B69848">
        <f>TEXT(69847, "[$-0E0000]yyyy-mm-dd")</f>
        <v/>
      </c>
      <c r="C69848" t="inlineStr">
        <is>
          <t>2091-02-07</t>
        </is>
      </c>
    </row>
    <row r="69849">
      <c r="A69849" s="1" t="n">
        <v>69848</v>
      </c>
      <c r="B69849">
        <f>TEXT(69848, "[$-0E0000]yyyy-mm-dd")</f>
        <v/>
      </c>
      <c r="C69849" t="inlineStr">
        <is>
          <t>2091-02-08</t>
        </is>
      </c>
    </row>
    <row r="69850">
      <c r="A69850" s="1" t="n">
        <v>69849</v>
      </c>
      <c r="B69850">
        <f>TEXT(69849, "[$-0E0000]yyyy-mm-dd")</f>
        <v/>
      </c>
      <c r="C69850" t="inlineStr">
        <is>
          <t>2091-02-09</t>
        </is>
      </c>
    </row>
    <row r="69851">
      <c r="A69851" s="1" t="n">
        <v>69850</v>
      </c>
      <c r="B69851">
        <f>TEXT(69850, "[$-0E0000]yyyy-mm-dd")</f>
        <v/>
      </c>
      <c r="C69851" t="inlineStr">
        <is>
          <t>2091-02-10</t>
        </is>
      </c>
    </row>
    <row r="69852">
      <c r="A69852" s="1" t="n">
        <v>69851</v>
      </c>
      <c r="B69852">
        <f>TEXT(69851, "[$-0E0000]yyyy-mm-dd")</f>
        <v/>
      </c>
      <c r="C69852" t="inlineStr">
        <is>
          <t>2091-02-11</t>
        </is>
      </c>
    </row>
    <row r="69853">
      <c r="A69853" s="1" t="n">
        <v>69852</v>
      </c>
      <c r="B69853">
        <f>TEXT(69852, "[$-0E0000]yyyy-mm-dd")</f>
        <v/>
      </c>
      <c r="C69853" t="inlineStr">
        <is>
          <t>2091-02-12</t>
        </is>
      </c>
    </row>
    <row r="69854">
      <c r="A69854" s="1" t="n">
        <v>69853</v>
      </c>
      <c r="B69854">
        <f>TEXT(69853, "[$-0E0000]yyyy-mm-dd")</f>
        <v/>
      </c>
      <c r="C69854" t="inlineStr">
        <is>
          <t>2091-02-13</t>
        </is>
      </c>
    </row>
    <row r="69855">
      <c r="A69855" s="1" t="n">
        <v>69854</v>
      </c>
      <c r="B69855">
        <f>TEXT(69854, "[$-0E0000]yyyy-mm-dd")</f>
        <v/>
      </c>
      <c r="C69855" t="inlineStr">
        <is>
          <t>2091-02-14</t>
        </is>
      </c>
    </row>
    <row r="69856">
      <c r="A69856" s="1" t="n">
        <v>69855</v>
      </c>
      <c r="B69856">
        <f>TEXT(69855, "[$-0E0000]yyyy-mm-dd")</f>
        <v/>
      </c>
      <c r="C69856" t="inlineStr">
        <is>
          <t>2091-02-15</t>
        </is>
      </c>
    </row>
    <row r="69857">
      <c r="A69857" s="1" t="n">
        <v>69856</v>
      </c>
      <c r="B69857">
        <f>TEXT(69856, "[$-0E0000]yyyy-mm-dd")</f>
        <v/>
      </c>
      <c r="C69857" t="inlineStr">
        <is>
          <t>2091-02-16</t>
        </is>
      </c>
    </row>
    <row r="69858">
      <c r="A69858" s="1" t="n">
        <v>69857</v>
      </c>
      <c r="B69858">
        <f>TEXT(69857, "[$-0E0000]yyyy-mm-dd")</f>
        <v/>
      </c>
      <c r="C69858" t="inlineStr">
        <is>
          <t>2091-02-17</t>
        </is>
      </c>
    </row>
    <row r="69859">
      <c r="A69859" s="1" t="n">
        <v>69858</v>
      </c>
      <c r="B69859">
        <f>TEXT(69858, "[$-0E0000]yyyy-mm-dd")</f>
        <v/>
      </c>
      <c r="C69859" t="inlineStr">
        <is>
          <t>2091-02-18</t>
        </is>
      </c>
    </row>
    <row r="69860">
      <c r="A69860" s="1" t="n">
        <v>69859</v>
      </c>
      <c r="B69860">
        <f>TEXT(69859, "[$-0E0000]yyyy-mm-dd")</f>
        <v/>
      </c>
      <c r="C69860" t="inlineStr">
        <is>
          <t>2091-02-19</t>
        </is>
      </c>
    </row>
    <row r="69861">
      <c r="A69861" s="1" t="n">
        <v>69860</v>
      </c>
      <c r="B69861">
        <f>TEXT(69860, "[$-0E0000]yyyy-mm-dd")</f>
        <v/>
      </c>
      <c r="C69861" t="inlineStr">
        <is>
          <t>2091-02-20</t>
        </is>
      </c>
    </row>
    <row r="69862">
      <c r="A69862" s="1" t="n">
        <v>69861</v>
      </c>
      <c r="B69862">
        <f>TEXT(69861, "[$-0E0000]yyyy-mm-dd")</f>
        <v/>
      </c>
      <c r="C69862" t="inlineStr">
        <is>
          <t>2091-02-21</t>
        </is>
      </c>
    </row>
    <row r="69863">
      <c r="A69863" s="1" t="n">
        <v>69862</v>
      </c>
      <c r="B69863">
        <f>TEXT(69862, "[$-0E0000]yyyy-mm-dd")</f>
        <v/>
      </c>
      <c r="C69863" t="inlineStr">
        <is>
          <t>2091-02-22</t>
        </is>
      </c>
    </row>
    <row r="69864">
      <c r="A69864" s="1" t="n">
        <v>69863</v>
      </c>
      <c r="B69864">
        <f>TEXT(69863, "[$-0E0000]yyyy-mm-dd")</f>
        <v/>
      </c>
      <c r="C69864" t="inlineStr">
        <is>
          <t>2091-02-23</t>
        </is>
      </c>
    </row>
    <row r="69865">
      <c r="A69865" s="1" t="n">
        <v>69864</v>
      </c>
      <c r="B69865">
        <f>TEXT(69864, "[$-0E0000]yyyy-mm-dd")</f>
        <v/>
      </c>
      <c r="C69865" t="inlineStr">
        <is>
          <t>2091-02-24</t>
        </is>
      </c>
    </row>
    <row r="69866">
      <c r="A69866" s="1" t="n">
        <v>69865</v>
      </c>
      <c r="B69866">
        <f>TEXT(69865, "[$-0E0000]yyyy-mm-dd")</f>
        <v/>
      </c>
      <c r="C69866" t="inlineStr">
        <is>
          <t>2091-02-25</t>
        </is>
      </c>
    </row>
    <row r="69867">
      <c r="A69867" s="1" t="n">
        <v>69866</v>
      </c>
      <c r="B69867">
        <f>TEXT(69866, "[$-0E0000]yyyy-mm-dd")</f>
        <v/>
      </c>
      <c r="C69867" t="inlineStr">
        <is>
          <t>2091-02-26</t>
        </is>
      </c>
    </row>
    <row r="69868">
      <c r="A69868" s="1" t="n">
        <v>69867</v>
      </c>
      <c r="B69868">
        <f>TEXT(69867, "[$-0E0000]yyyy-mm-dd")</f>
        <v/>
      </c>
      <c r="C69868" t="inlineStr">
        <is>
          <t>2091-02-27</t>
        </is>
      </c>
    </row>
    <row r="69869">
      <c r="A69869" s="1" t="n">
        <v>69868</v>
      </c>
      <c r="B69869">
        <f>TEXT(69868, "[$-0E0000]yyyy-mm-dd")</f>
        <v/>
      </c>
      <c r="C69869" t="inlineStr">
        <is>
          <t>2091-02-28</t>
        </is>
      </c>
    </row>
    <row r="69870">
      <c r="A69870" s="1" t="n">
        <v>69869</v>
      </c>
      <c r="B69870">
        <f>TEXT(69869, "[$-0E0000]yyyy-mm-dd")</f>
        <v/>
      </c>
      <c r="C69870" t="inlineStr">
        <is>
          <t>2091-02-29</t>
        </is>
      </c>
    </row>
    <row r="69871">
      <c r="A69871" s="1" t="n">
        <v>69870</v>
      </c>
      <c r="B69871">
        <f>TEXT(69870, "[$-0E0000]yyyy-mm-dd")</f>
        <v/>
      </c>
      <c r="C69871" t="inlineStr">
        <is>
          <t>2091-02-30</t>
        </is>
      </c>
    </row>
    <row r="69872">
      <c r="A69872" s="1" t="n">
        <v>69871</v>
      </c>
      <c r="B69872">
        <f>TEXT(69871, "[$-0E0000]yyyy-mm-dd")</f>
        <v/>
      </c>
      <c r="C69872" t="inlineStr">
        <is>
          <t>2091-03-01</t>
        </is>
      </c>
    </row>
    <row r="69873">
      <c r="A69873" s="1" t="n">
        <v>69872</v>
      </c>
      <c r="B69873">
        <f>TEXT(69872, "[$-0E0000]yyyy-mm-dd")</f>
        <v/>
      </c>
      <c r="C69873" t="inlineStr">
        <is>
          <t>2091-03-02</t>
        </is>
      </c>
    </row>
    <row r="69874">
      <c r="A69874" s="1" t="n">
        <v>69873</v>
      </c>
      <c r="B69874">
        <f>TEXT(69873, "[$-0E0000]yyyy-mm-dd")</f>
        <v/>
      </c>
      <c r="C69874" t="inlineStr">
        <is>
          <t>2091-03-03</t>
        </is>
      </c>
    </row>
    <row r="69875">
      <c r="A69875" s="1" t="n">
        <v>69874</v>
      </c>
      <c r="B69875">
        <f>TEXT(69874, "[$-0E0000]yyyy-mm-dd")</f>
        <v/>
      </c>
      <c r="C69875" t="inlineStr">
        <is>
          <t>2091-03-04</t>
        </is>
      </c>
    </row>
    <row r="69876">
      <c r="A69876" s="1" t="n">
        <v>69875</v>
      </c>
      <c r="B69876">
        <f>TEXT(69875, "[$-0E0000]yyyy-mm-dd")</f>
        <v/>
      </c>
      <c r="C69876" t="inlineStr">
        <is>
          <t>2091-03-05</t>
        </is>
      </c>
    </row>
    <row r="69877">
      <c r="A69877" s="1" t="n">
        <v>69876</v>
      </c>
      <c r="B69877">
        <f>TEXT(69876, "[$-0E0000]yyyy-mm-dd")</f>
        <v/>
      </c>
      <c r="C69877" t="inlineStr">
        <is>
          <t>2091-03-06</t>
        </is>
      </c>
    </row>
    <row r="69878">
      <c r="A69878" s="1" t="n">
        <v>69877</v>
      </c>
      <c r="B69878">
        <f>TEXT(69877, "[$-0E0000]yyyy-mm-dd")</f>
        <v/>
      </c>
      <c r="C69878" t="inlineStr">
        <is>
          <t>2091-03-07</t>
        </is>
      </c>
    </row>
    <row r="69879">
      <c r="A69879" s="1" t="n">
        <v>69878</v>
      </c>
      <c r="B69879">
        <f>TEXT(69878, "[$-0E0000]yyyy-mm-dd")</f>
        <v/>
      </c>
      <c r="C69879" t="inlineStr">
        <is>
          <t>2091-03-08</t>
        </is>
      </c>
    </row>
    <row r="69880">
      <c r="A69880" s="1" t="n">
        <v>69879</v>
      </c>
      <c r="B69880">
        <f>TEXT(69879, "[$-0E0000]yyyy-mm-dd")</f>
        <v/>
      </c>
      <c r="C69880" t="inlineStr">
        <is>
          <t>2091-03-09</t>
        </is>
      </c>
    </row>
    <row r="69881">
      <c r="A69881" s="1" t="n">
        <v>69880</v>
      </c>
      <c r="B69881">
        <f>TEXT(69880, "[$-0E0000]yyyy-mm-dd")</f>
        <v/>
      </c>
      <c r="C69881" t="inlineStr">
        <is>
          <t>2091-03-10</t>
        </is>
      </c>
    </row>
    <row r="69882">
      <c r="A69882" s="1" t="n">
        <v>69881</v>
      </c>
      <c r="B69882">
        <f>TEXT(69881, "[$-0E0000]yyyy-mm-dd")</f>
        <v/>
      </c>
      <c r="C69882" t="inlineStr">
        <is>
          <t>2091-03-11</t>
        </is>
      </c>
    </row>
    <row r="69883">
      <c r="A69883" s="1" t="n">
        <v>69882</v>
      </c>
      <c r="B69883">
        <f>TEXT(69882, "[$-0E0000]yyyy-mm-dd")</f>
        <v/>
      </c>
      <c r="C69883" t="inlineStr">
        <is>
          <t>2091-03-12</t>
        </is>
      </c>
    </row>
    <row r="69884">
      <c r="A69884" s="1" t="n">
        <v>69883</v>
      </c>
      <c r="B69884">
        <f>TEXT(69883, "[$-0E0000]yyyy-mm-dd")</f>
        <v/>
      </c>
      <c r="C69884" t="inlineStr">
        <is>
          <t>2091-03-13</t>
        </is>
      </c>
    </row>
    <row r="69885">
      <c r="A69885" s="1" t="n">
        <v>69884</v>
      </c>
      <c r="B69885">
        <f>TEXT(69884, "[$-0E0000]yyyy-mm-dd")</f>
        <v/>
      </c>
      <c r="C69885" t="inlineStr">
        <is>
          <t>2091-03-14</t>
        </is>
      </c>
    </row>
    <row r="69886">
      <c r="A69886" s="1" t="n">
        <v>69885</v>
      </c>
      <c r="B69886">
        <f>TEXT(69885, "[$-0E0000]yyyy-mm-dd")</f>
        <v/>
      </c>
      <c r="C69886" t="inlineStr">
        <is>
          <t>2091-03-15</t>
        </is>
      </c>
    </row>
    <row r="69887">
      <c r="A69887" s="1" t="n">
        <v>69886</v>
      </c>
      <c r="B69887">
        <f>TEXT(69886, "[$-0E0000]yyyy-mm-dd")</f>
        <v/>
      </c>
      <c r="C69887" t="inlineStr">
        <is>
          <t>2091-03-16</t>
        </is>
      </c>
    </row>
    <row r="69888">
      <c r="A69888" s="1" t="n">
        <v>69887</v>
      </c>
      <c r="B69888">
        <f>TEXT(69887, "[$-0E0000]yyyy-mm-dd")</f>
        <v/>
      </c>
      <c r="C69888" t="inlineStr">
        <is>
          <t>2091-03-17</t>
        </is>
      </c>
    </row>
    <row r="69889">
      <c r="A69889" s="1" t="n">
        <v>69888</v>
      </c>
      <c r="B69889">
        <f>TEXT(69888, "[$-0E0000]yyyy-mm-dd")</f>
        <v/>
      </c>
      <c r="C69889" t="inlineStr">
        <is>
          <t>2091-03-18</t>
        </is>
      </c>
    </row>
    <row r="69890">
      <c r="A69890" s="1" t="n">
        <v>69889</v>
      </c>
      <c r="B69890">
        <f>TEXT(69889, "[$-0E0000]yyyy-mm-dd")</f>
        <v/>
      </c>
      <c r="C69890" t="inlineStr">
        <is>
          <t>2091-03-19</t>
        </is>
      </c>
    </row>
    <row r="69891">
      <c r="A69891" s="1" t="n">
        <v>69890</v>
      </c>
      <c r="B69891">
        <f>TEXT(69890, "[$-0E0000]yyyy-mm-dd")</f>
        <v/>
      </c>
      <c r="C69891" t="inlineStr">
        <is>
          <t>2091-03-20</t>
        </is>
      </c>
    </row>
    <row r="69892">
      <c r="A69892" s="1" t="n">
        <v>69891</v>
      </c>
      <c r="B69892">
        <f>TEXT(69891, "[$-0E0000]yyyy-mm-dd")</f>
        <v/>
      </c>
      <c r="C69892" t="inlineStr">
        <is>
          <t>2091-03-21</t>
        </is>
      </c>
    </row>
    <row r="69893">
      <c r="A69893" s="1" t="n">
        <v>69892</v>
      </c>
      <c r="B69893">
        <f>TEXT(69892, "[$-0E0000]yyyy-mm-dd")</f>
        <v/>
      </c>
      <c r="C69893" t="inlineStr">
        <is>
          <t>2091-03-22</t>
        </is>
      </c>
    </row>
    <row r="69894">
      <c r="A69894" s="1" t="n">
        <v>69893</v>
      </c>
      <c r="B69894">
        <f>TEXT(69893, "[$-0E0000]yyyy-mm-dd")</f>
        <v/>
      </c>
      <c r="C69894" t="inlineStr">
        <is>
          <t>2091-03-23</t>
        </is>
      </c>
    </row>
    <row r="69895">
      <c r="A69895" s="1" t="n">
        <v>69894</v>
      </c>
      <c r="B69895">
        <f>TEXT(69894, "[$-0E0000]yyyy-mm-dd")</f>
        <v/>
      </c>
      <c r="C69895" t="inlineStr">
        <is>
          <t>2091-03-24</t>
        </is>
      </c>
    </row>
    <row r="69896">
      <c r="A69896" s="1" t="n">
        <v>69895</v>
      </c>
      <c r="B69896">
        <f>TEXT(69895, "[$-0E0000]yyyy-mm-dd")</f>
        <v/>
      </c>
      <c r="C69896" t="inlineStr">
        <is>
          <t>2091-03-25</t>
        </is>
      </c>
    </row>
    <row r="69897">
      <c r="A69897" s="1" t="n">
        <v>69896</v>
      </c>
      <c r="B69897">
        <f>TEXT(69896, "[$-0E0000]yyyy-mm-dd")</f>
        <v/>
      </c>
      <c r="C69897" t="inlineStr">
        <is>
          <t>2091-03-26</t>
        </is>
      </c>
    </row>
    <row r="69898">
      <c r="A69898" s="1" t="n">
        <v>69897</v>
      </c>
      <c r="B69898">
        <f>TEXT(69897, "[$-0E0000]yyyy-mm-dd")</f>
        <v/>
      </c>
      <c r="C69898" t="inlineStr">
        <is>
          <t>2091-03-27</t>
        </is>
      </c>
    </row>
    <row r="69899">
      <c r="A69899" s="1" t="n">
        <v>69898</v>
      </c>
      <c r="B69899">
        <f>TEXT(69898, "[$-0E0000]yyyy-mm-dd")</f>
        <v/>
      </c>
      <c r="C69899" t="inlineStr">
        <is>
          <t>2091-03-28</t>
        </is>
      </c>
    </row>
    <row r="69900">
      <c r="A69900" s="1" t="n">
        <v>69899</v>
      </c>
      <c r="B69900">
        <f>TEXT(69899, "[$-0E0000]yyyy-mm-dd")</f>
        <v/>
      </c>
      <c r="C69900" t="inlineStr">
        <is>
          <t>2091-03-29</t>
        </is>
      </c>
    </row>
    <row r="69901">
      <c r="A69901" s="1" t="n">
        <v>69900</v>
      </c>
      <c r="B69901">
        <f>TEXT(69900, "[$-0E0000]yyyy-mm-dd")</f>
        <v/>
      </c>
      <c r="C69901" t="inlineStr">
        <is>
          <t>2091-04-01</t>
        </is>
      </c>
    </row>
    <row r="69902">
      <c r="A69902" s="1" t="n">
        <v>69901</v>
      </c>
      <c r="B69902">
        <f>TEXT(69901, "[$-0E0000]yyyy-mm-dd")</f>
        <v/>
      </c>
      <c r="C69902" t="inlineStr">
        <is>
          <t>2091-04-02</t>
        </is>
      </c>
    </row>
    <row r="69903">
      <c r="A69903" s="1" t="n">
        <v>69902</v>
      </c>
      <c r="B69903">
        <f>TEXT(69902, "[$-0E0000]yyyy-mm-dd")</f>
        <v/>
      </c>
      <c r="C69903" t="inlineStr">
        <is>
          <t>2091-04-03</t>
        </is>
      </c>
    </row>
    <row r="69904">
      <c r="A69904" s="1" t="n">
        <v>69903</v>
      </c>
      <c r="B69904">
        <f>TEXT(69903, "[$-0E0000]yyyy-mm-dd")</f>
        <v/>
      </c>
      <c r="C69904" t="inlineStr">
        <is>
          <t>2091-04-04</t>
        </is>
      </c>
    </row>
    <row r="69905">
      <c r="A69905" s="1" t="n">
        <v>69904</v>
      </c>
      <c r="B69905">
        <f>TEXT(69904, "[$-0E0000]yyyy-mm-dd")</f>
        <v/>
      </c>
      <c r="C69905" t="inlineStr">
        <is>
          <t>2091-04-05</t>
        </is>
      </c>
    </row>
    <row r="69906">
      <c r="A69906" s="1" t="n">
        <v>69905</v>
      </c>
      <c r="B69906">
        <f>TEXT(69905, "[$-0E0000]yyyy-mm-dd")</f>
        <v/>
      </c>
      <c r="C69906" t="inlineStr">
        <is>
          <t>2091-04-06</t>
        </is>
      </c>
    </row>
    <row r="69907">
      <c r="A69907" s="1" t="n">
        <v>69906</v>
      </c>
      <c r="B69907">
        <f>TEXT(69906, "[$-0E0000]yyyy-mm-dd")</f>
        <v/>
      </c>
      <c r="C69907" t="inlineStr">
        <is>
          <t>2091-04-07</t>
        </is>
      </c>
    </row>
    <row r="69908">
      <c r="A69908" s="1" t="n">
        <v>69907</v>
      </c>
      <c r="B69908">
        <f>TEXT(69907, "[$-0E0000]yyyy-mm-dd")</f>
        <v/>
      </c>
      <c r="C69908" t="inlineStr">
        <is>
          <t>2091-04-08</t>
        </is>
      </c>
    </row>
    <row r="69909">
      <c r="A69909" s="1" t="n">
        <v>69908</v>
      </c>
      <c r="B69909">
        <f>TEXT(69908, "[$-0E0000]yyyy-mm-dd")</f>
        <v/>
      </c>
      <c r="C69909" t="inlineStr">
        <is>
          <t>2091-04-09</t>
        </is>
      </c>
    </row>
    <row r="69910">
      <c r="A69910" s="1" t="n">
        <v>69909</v>
      </c>
      <c r="B69910">
        <f>TEXT(69909, "[$-0E0000]yyyy-mm-dd")</f>
        <v/>
      </c>
      <c r="C69910" t="inlineStr">
        <is>
          <t>2091-04-10</t>
        </is>
      </c>
    </row>
    <row r="69911">
      <c r="A69911" s="1" t="n">
        <v>69910</v>
      </c>
      <c r="B69911">
        <f>TEXT(69910, "[$-0E0000]yyyy-mm-dd")</f>
        <v/>
      </c>
      <c r="C69911" t="inlineStr">
        <is>
          <t>2091-04-11</t>
        </is>
      </c>
    </row>
    <row r="69912">
      <c r="A69912" s="1" t="n">
        <v>69911</v>
      </c>
      <c r="B69912">
        <f>TEXT(69911, "[$-0E0000]yyyy-mm-dd")</f>
        <v/>
      </c>
      <c r="C69912" t="inlineStr">
        <is>
          <t>2091-04-12</t>
        </is>
      </c>
    </row>
    <row r="69913">
      <c r="A69913" s="1" t="n">
        <v>69912</v>
      </c>
      <c r="B69913">
        <f>TEXT(69912, "[$-0E0000]yyyy-mm-dd")</f>
        <v/>
      </c>
      <c r="C69913" t="inlineStr">
        <is>
          <t>2091-04-13</t>
        </is>
      </c>
    </row>
    <row r="69914">
      <c r="A69914" s="1" t="n">
        <v>69913</v>
      </c>
      <c r="B69914">
        <f>TEXT(69913, "[$-0E0000]yyyy-mm-dd")</f>
        <v/>
      </c>
      <c r="C69914" t="inlineStr">
        <is>
          <t>2091-04-14</t>
        </is>
      </c>
    </row>
    <row r="69915">
      <c r="A69915" s="1" t="n">
        <v>69914</v>
      </c>
      <c r="B69915">
        <f>TEXT(69914, "[$-0E0000]yyyy-mm-dd")</f>
        <v/>
      </c>
      <c r="C69915" t="inlineStr">
        <is>
          <t>2091-04-15</t>
        </is>
      </c>
    </row>
    <row r="69916">
      <c r="A69916" s="1" t="n">
        <v>69915</v>
      </c>
      <c r="B69916">
        <f>TEXT(69915, "[$-0E0000]yyyy-mm-dd")</f>
        <v/>
      </c>
      <c r="C69916" t="inlineStr">
        <is>
          <t>2091-04-16</t>
        </is>
      </c>
    </row>
    <row r="69917">
      <c r="A69917" s="1" t="n">
        <v>69916</v>
      </c>
      <c r="B69917">
        <f>TEXT(69916, "[$-0E0000]yyyy-mm-dd")</f>
        <v/>
      </c>
      <c r="C69917" t="inlineStr">
        <is>
          <t>2091-04-17</t>
        </is>
      </c>
    </row>
    <row r="69918">
      <c r="A69918" s="1" t="n">
        <v>69917</v>
      </c>
      <c r="B69918">
        <f>TEXT(69917, "[$-0E0000]yyyy-mm-dd")</f>
        <v/>
      </c>
      <c r="C69918" t="inlineStr">
        <is>
          <t>2091-04-18</t>
        </is>
      </c>
    </row>
    <row r="69919">
      <c r="A69919" s="1" t="n">
        <v>69918</v>
      </c>
      <c r="B69919">
        <f>TEXT(69918, "[$-0E0000]yyyy-mm-dd")</f>
        <v/>
      </c>
      <c r="C69919" t="inlineStr">
        <is>
          <t>2091-04-19</t>
        </is>
      </c>
    </row>
    <row r="69920">
      <c r="A69920" s="1" t="n">
        <v>69919</v>
      </c>
      <c r="B69920">
        <f>TEXT(69919, "[$-0E0000]yyyy-mm-dd")</f>
        <v/>
      </c>
      <c r="C69920" t="inlineStr">
        <is>
          <t>2091-04-20</t>
        </is>
      </c>
    </row>
    <row r="69921">
      <c r="A69921" s="1" t="n">
        <v>69920</v>
      </c>
      <c r="B69921">
        <f>TEXT(69920, "[$-0E0000]yyyy-mm-dd")</f>
        <v/>
      </c>
      <c r="C69921" t="inlineStr">
        <is>
          <t>2091-04-21</t>
        </is>
      </c>
    </row>
    <row r="69922">
      <c r="A69922" s="1" t="n">
        <v>69921</v>
      </c>
      <c r="B69922">
        <f>TEXT(69921, "[$-0E0000]yyyy-mm-dd")</f>
        <v/>
      </c>
      <c r="C69922" t="inlineStr">
        <is>
          <t>2091-04-22</t>
        </is>
      </c>
    </row>
    <row r="69923">
      <c r="A69923" s="1" t="n">
        <v>69922</v>
      </c>
      <c r="B69923">
        <f>TEXT(69922, "[$-0E0000]yyyy-mm-dd")</f>
        <v/>
      </c>
      <c r="C69923" t="inlineStr">
        <is>
          <t>2091-04-23</t>
        </is>
      </c>
    </row>
    <row r="69924">
      <c r="A69924" s="1" t="n">
        <v>69923</v>
      </c>
      <c r="B69924">
        <f>TEXT(69923, "[$-0E0000]yyyy-mm-dd")</f>
        <v/>
      </c>
      <c r="C69924" t="inlineStr">
        <is>
          <t>2091-04-24</t>
        </is>
      </c>
    </row>
    <row r="69925">
      <c r="A69925" s="1" t="n">
        <v>69924</v>
      </c>
      <c r="B69925">
        <f>TEXT(69924, "[$-0E0000]yyyy-mm-dd")</f>
        <v/>
      </c>
      <c r="C69925" t="inlineStr">
        <is>
          <t>2091-04-25</t>
        </is>
      </c>
    </row>
    <row r="69926">
      <c r="A69926" s="1" t="n">
        <v>69925</v>
      </c>
      <c r="B69926">
        <f>TEXT(69925, "[$-0E0000]yyyy-mm-dd")</f>
        <v/>
      </c>
      <c r="C69926" t="inlineStr">
        <is>
          <t>2091-04-26</t>
        </is>
      </c>
    </row>
    <row r="69927">
      <c r="A69927" s="1" t="n">
        <v>69926</v>
      </c>
      <c r="B69927">
        <f>TEXT(69926, "[$-0E0000]yyyy-mm-dd")</f>
        <v/>
      </c>
      <c r="C69927" t="inlineStr">
        <is>
          <t>2091-04-27</t>
        </is>
      </c>
    </row>
    <row r="69928">
      <c r="A69928" s="1" t="n">
        <v>69927</v>
      </c>
      <c r="B69928">
        <f>TEXT(69927, "[$-0E0000]yyyy-mm-dd")</f>
        <v/>
      </c>
      <c r="C69928" t="inlineStr">
        <is>
          <t>2091-04-28</t>
        </is>
      </c>
    </row>
    <row r="69929">
      <c r="A69929" s="1" t="n">
        <v>69928</v>
      </c>
      <c r="B69929">
        <f>TEXT(69928, "[$-0E0000]yyyy-mm-dd")</f>
        <v/>
      </c>
      <c r="C69929" t="inlineStr">
        <is>
          <t>2091-04-29</t>
        </is>
      </c>
    </row>
    <row r="69930">
      <c r="A69930" s="1" t="n">
        <v>69929</v>
      </c>
      <c r="B69930">
        <f>TEXT(69929, "[$-0E0000]yyyy-mm-dd")</f>
        <v/>
      </c>
      <c r="C69930" t="inlineStr">
        <is>
          <t>2091-04-30</t>
        </is>
      </c>
    </row>
    <row r="69931">
      <c r="A69931" s="1" t="n">
        <v>69930</v>
      </c>
      <c r="B69931">
        <f>TEXT(69930, "[$-0E0000]yyyy-mm-dd")</f>
        <v/>
      </c>
      <c r="C69931" t="inlineStr">
        <is>
          <t>2091-05-01</t>
        </is>
      </c>
    </row>
    <row r="69932">
      <c r="A69932" s="1" t="n">
        <v>69931</v>
      </c>
      <c r="B69932">
        <f>TEXT(69931, "[$-0E0000]yyyy-mm-dd")</f>
        <v/>
      </c>
      <c r="C69932" t="inlineStr">
        <is>
          <t>2091-05-02</t>
        </is>
      </c>
    </row>
    <row r="69933">
      <c r="A69933" s="1" t="n">
        <v>69932</v>
      </c>
      <c r="B69933">
        <f>TEXT(69932, "[$-0E0000]yyyy-mm-dd")</f>
        <v/>
      </c>
      <c r="C69933" t="inlineStr">
        <is>
          <t>2091-05-03</t>
        </is>
      </c>
    </row>
    <row r="69934">
      <c r="A69934" s="1" t="n">
        <v>69933</v>
      </c>
      <c r="B69934">
        <f>TEXT(69933, "[$-0E0000]yyyy-mm-dd")</f>
        <v/>
      </c>
      <c r="C69934" t="inlineStr">
        <is>
          <t>2091-05-04</t>
        </is>
      </c>
    </row>
    <row r="69935">
      <c r="A69935" s="1" t="n">
        <v>69934</v>
      </c>
      <c r="B69935">
        <f>TEXT(69934, "[$-0E0000]yyyy-mm-dd")</f>
        <v/>
      </c>
      <c r="C69935" t="inlineStr">
        <is>
          <t>2091-05-05</t>
        </is>
      </c>
    </row>
    <row r="69936">
      <c r="A69936" s="1" t="n">
        <v>69935</v>
      </c>
      <c r="B69936">
        <f>TEXT(69935, "[$-0E0000]yyyy-mm-dd")</f>
        <v/>
      </c>
      <c r="C69936" t="inlineStr">
        <is>
          <t>2091-05-06</t>
        </is>
      </c>
    </row>
    <row r="69937">
      <c r="A69937" s="1" t="n">
        <v>69936</v>
      </c>
      <c r="B69937">
        <f>TEXT(69936, "[$-0E0000]yyyy-mm-dd")</f>
        <v/>
      </c>
      <c r="C69937" t="inlineStr">
        <is>
          <t>2091-05-07</t>
        </is>
      </c>
    </row>
    <row r="69938">
      <c r="A69938" s="1" t="n">
        <v>69937</v>
      </c>
      <c r="B69938">
        <f>TEXT(69937, "[$-0E0000]yyyy-mm-dd")</f>
        <v/>
      </c>
      <c r="C69938" t="inlineStr">
        <is>
          <t>2091-05-08</t>
        </is>
      </c>
    </row>
    <row r="69939">
      <c r="A69939" s="1" t="n">
        <v>69938</v>
      </c>
      <c r="B69939">
        <f>TEXT(69938, "[$-0E0000]yyyy-mm-dd")</f>
        <v/>
      </c>
      <c r="C69939" t="inlineStr">
        <is>
          <t>2091-05-09</t>
        </is>
      </c>
    </row>
    <row r="69940">
      <c r="A69940" s="1" t="n">
        <v>69939</v>
      </c>
      <c r="B69940">
        <f>TEXT(69939, "[$-0E0000]yyyy-mm-dd")</f>
        <v/>
      </c>
      <c r="C69940" t="inlineStr">
        <is>
          <t>2091-05-10</t>
        </is>
      </c>
    </row>
    <row r="69941">
      <c r="A69941" s="1" t="n">
        <v>69940</v>
      </c>
      <c r="B69941">
        <f>TEXT(69940, "[$-0E0000]yyyy-mm-dd")</f>
        <v/>
      </c>
      <c r="C69941" t="inlineStr">
        <is>
          <t>2091-05-11</t>
        </is>
      </c>
    </row>
    <row r="69942">
      <c r="A69942" s="1" t="n">
        <v>69941</v>
      </c>
      <c r="B69942">
        <f>TEXT(69941, "[$-0E0000]yyyy-mm-dd")</f>
        <v/>
      </c>
      <c r="C69942" t="inlineStr">
        <is>
          <t>2091-05-12</t>
        </is>
      </c>
    </row>
    <row r="69943">
      <c r="A69943" s="1" t="n">
        <v>69942</v>
      </c>
      <c r="B69943">
        <f>TEXT(69942, "[$-0E0000]yyyy-mm-dd")</f>
        <v/>
      </c>
      <c r="C69943" t="inlineStr">
        <is>
          <t>2091-05-13</t>
        </is>
      </c>
    </row>
    <row r="69944">
      <c r="A69944" s="1" t="n">
        <v>69943</v>
      </c>
      <c r="B69944">
        <f>TEXT(69943, "[$-0E0000]yyyy-mm-dd")</f>
        <v/>
      </c>
      <c r="C69944" t="inlineStr">
        <is>
          <t>2091-05-14</t>
        </is>
      </c>
    </row>
    <row r="69945">
      <c r="A69945" s="1" t="n">
        <v>69944</v>
      </c>
      <c r="B69945">
        <f>TEXT(69944, "[$-0E0000]yyyy-mm-dd")</f>
        <v/>
      </c>
      <c r="C69945" t="inlineStr">
        <is>
          <t>2091-05-15</t>
        </is>
      </c>
    </row>
    <row r="69946">
      <c r="A69946" s="1" t="n">
        <v>69945</v>
      </c>
      <c r="B69946">
        <f>TEXT(69945, "[$-0E0000]yyyy-mm-dd")</f>
        <v/>
      </c>
      <c r="C69946" t="inlineStr">
        <is>
          <t>2091-05-16</t>
        </is>
      </c>
    </row>
    <row r="69947">
      <c r="A69947" s="1" t="n">
        <v>69946</v>
      </c>
      <c r="B69947">
        <f>TEXT(69946, "[$-0E0000]yyyy-mm-dd")</f>
        <v/>
      </c>
      <c r="C69947" t="inlineStr">
        <is>
          <t>2091-05-17</t>
        </is>
      </c>
    </row>
    <row r="69948">
      <c r="A69948" s="1" t="n">
        <v>69947</v>
      </c>
      <c r="B69948">
        <f>TEXT(69947, "[$-0E0000]yyyy-mm-dd")</f>
        <v/>
      </c>
      <c r="C69948" t="inlineStr">
        <is>
          <t>2091-05-18</t>
        </is>
      </c>
    </row>
    <row r="69949">
      <c r="A69949" s="1" t="n">
        <v>69948</v>
      </c>
      <c r="B69949">
        <f>TEXT(69948, "[$-0E0000]yyyy-mm-dd")</f>
        <v/>
      </c>
      <c r="C69949" t="inlineStr">
        <is>
          <t>2091-05-19</t>
        </is>
      </c>
    </row>
    <row r="69950">
      <c r="A69950" s="1" t="n">
        <v>69949</v>
      </c>
      <c r="B69950">
        <f>TEXT(69949, "[$-0E0000]yyyy-mm-dd")</f>
        <v/>
      </c>
      <c r="C69950" t="inlineStr">
        <is>
          <t>2091-05-20</t>
        </is>
      </c>
    </row>
    <row r="69951">
      <c r="A69951" s="1" t="n">
        <v>69950</v>
      </c>
      <c r="B69951">
        <f>TEXT(69950, "[$-0E0000]yyyy-mm-dd")</f>
        <v/>
      </c>
      <c r="C69951" t="inlineStr">
        <is>
          <t>2091-05-21</t>
        </is>
      </c>
    </row>
    <row r="69952">
      <c r="A69952" s="1" t="n">
        <v>69951</v>
      </c>
      <c r="B69952">
        <f>TEXT(69951, "[$-0E0000]yyyy-mm-dd")</f>
        <v/>
      </c>
      <c r="C69952" t="inlineStr">
        <is>
          <t>2091-05-22</t>
        </is>
      </c>
    </row>
    <row r="69953">
      <c r="A69953" s="1" t="n">
        <v>69952</v>
      </c>
      <c r="B69953">
        <f>TEXT(69952, "[$-0E0000]yyyy-mm-dd")</f>
        <v/>
      </c>
      <c r="C69953" t="inlineStr">
        <is>
          <t>2091-05-23</t>
        </is>
      </c>
    </row>
    <row r="69954">
      <c r="A69954" s="1" t="n">
        <v>69953</v>
      </c>
      <c r="B69954">
        <f>TEXT(69953, "[$-0E0000]yyyy-mm-dd")</f>
        <v/>
      </c>
      <c r="C69954" t="inlineStr">
        <is>
          <t>2091-05-24</t>
        </is>
      </c>
    </row>
    <row r="69955">
      <c r="A69955" s="1" t="n">
        <v>69954</v>
      </c>
      <c r="B69955">
        <f>TEXT(69954, "[$-0E0000]yyyy-mm-dd")</f>
        <v/>
      </c>
      <c r="C69955" t="inlineStr">
        <is>
          <t>2091-05-25</t>
        </is>
      </c>
    </row>
    <row r="69956">
      <c r="A69956" s="1" t="n">
        <v>69955</v>
      </c>
      <c r="B69956">
        <f>TEXT(69955, "[$-0E0000]yyyy-mm-dd")</f>
        <v/>
      </c>
      <c r="C69956" t="inlineStr">
        <is>
          <t>2091-05-26</t>
        </is>
      </c>
    </row>
    <row r="69957">
      <c r="A69957" s="1" t="n">
        <v>69956</v>
      </c>
      <c r="B69957">
        <f>TEXT(69956, "[$-0E0000]yyyy-mm-dd")</f>
        <v/>
      </c>
      <c r="C69957" t="inlineStr">
        <is>
          <t>2091-05-27</t>
        </is>
      </c>
    </row>
    <row r="69958">
      <c r="A69958" s="1" t="n">
        <v>69957</v>
      </c>
      <c r="B69958">
        <f>TEXT(69957, "[$-0E0000]yyyy-mm-dd")</f>
        <v/>
      </c>
      <c r="C69958" t="inlineStr">
        <is>
          <t>2091-05-28</t>
        </is>
      </c>
    </row>
    <row r="69959">
      <c r="A69959" s="1" t="n">
        <v>69958</v>
      </c>
      <c r="B69959">
        <f>TEXT(69958, "[$-0E0000]yyyy-mm-dd")</f>
        <v/>
      </c>
      <c r="C69959" t="inlineStr">
        <is>
          <t>2091-05-29</t>
        </is>
      </c>
    </row>
    <row r="69960">
      <c r="A69960" s="1" t="n">
        <v>69959</v>
      </c>
      <c r="B69960">
        <f>TEXT(69959, "[$-0E0000]yyyy-mm-dd")</f>
        <v/>
      </c>
      <c r="C69960" t="inlineStr">
        <is>
          <t>2091-06-01</t>
        </is>
      </c>
    </row>
    <row r="69961">
      <c r="A69961" s="1" t="n">
        <v>69960</v>
      </c>
      <c r="B69961">
        <f>TEXT(69960, "[$-0E0000]yyyy-mm-dd")</f>
        <v/>
      </c>
      <c r="C69961" t="inlineStr">
        <is>
          <t>2091-06-02</t>
        </is>
      </c>
    </row>
    <row r="69962">
      <c r="A69962" s="1" t="n">
        <v>69961</v>
      </c>
      <c r="B69962">
        <f>TEXT(69961, "[$-0E0000]yyyy-mm-dd")</f>
        <v/>
      </c>
      <c r="C69962" t="inlineStr">
        <is>
          <t>2091-06-03</t>
        </is>
      </c>
    </row>
    <row r="69963">
      <c r="A69963" s="1" t="n">
        <v>69962</v>
      </c>
      <c r="B69963">
        <f>TEXT(69962, "[$-0E0000]yyyy-mm-dd")</f>
        <v/>
      </c>
      <c r="C69963" t="inlineStr">
        <is>
          <t>2091-06-04</t>
        </is>
      </c>
    </row>
    <row r="69964">
      <c r="A69964" s="1" t="n">
        <v>69963</v>
      </c>
      <c r="B69964">
        <f>TEXT(69963, "[$-0E0000]yyyy-mm-dd")</f>
        <v/>
      </c>
      <c r="C69964" t="inlineStr">
        <is>
          <t>2091-06-05</t>
        </is>
      </c>
    </row>
    <row r="69965">
      <c r="A69965" s="1" t="n">
        <v>69964</v>
      </c>
      <c r="B69965">
        <f>TEXT(69964, "[$-0E0000]yyyy-mm-dd")</f>
        <v/>
      </c>
      <c r="C69965" t="inlineStr">
        <is>
          <t>2091-06-06</t>
        </is>
      </c>
    </row>
    <row r="69966">
      <c r="A69966" s="1" t="n">
        <v>69965</v>
      </c>
      <c r="B69966">
        <f>TEXT(69965, "[$-0E0000]yyyy-mm-dd")</f>
        <v/>
      </c>
      <c r="C69966" t="inlineStr">
        <is>
          <t>2091-06-07</t>
        </is>
      </c>
    </row>
    <row r="69967">
      <c r="A69967" s="1" t="n">
        <v>69966</v>
      </c>
      <c r="B69967">
        <f>TEXT(69966, "[$-0E0000]yyyy-mm-dd")</f>
        <v/>
      </c>
      <c r="C69967" t="inlineStr">
        <is>
          <t>2091-06-08</t>
        </is>
      </c>
    </row>
    <row r="69968">
      <c r="A69968" s="1" t="n">
        <v>69967</v>
      </c>
      <c r="B69968">
        <f>TEXT(69967, "[$-0E0000]yyyy-mm-dd")</f>
        <v/>
      </c>
      <c r="C69968" t="inlineStr">
        <is>
          <t>2091-06-09</t>
        </is>
      </c>
    </row>
    <row r="69969">
      <c r="A69969" s="1" t="n">
        <v>69968</v>
      </c>
      <c r="B69969">
        <f>TEXT(69968, "[$-0E0000]yyyy-mm-dd")</f>
        <v/>
      </c>
      <c r="C69969" t="inlineStr">
        <is>
          <t>2091-06-10</t>
        </is>
      </c>
    </row>
    <row r="69970">
      <c r="A69970" s="1" t="n">
        <v>69969</v>
      </c>
      <c r="B69970">
        <f>TEXT(69969, "[$-0E0000]yyyy-mm-dd")</f>
        <v/>
      </c>
      <c r="C69970" t="inlineStr">
        <is>
          <t>2091-06-11</t>
        </is>
      </c>
    </row>
    <row r="69971">
      <c r="A69971" s="1" t="n">
        <v>69970</v>
      </c>
      <c r="B69971">
        <f>TEXT(69970, "[$-0E0000]yyyy-mm-dd")</f>
        <v/>
      </c>
      <c r="C69971" t="inlineStr">
        <is>
          <t>2091-06-12</t>
        </is>
      </c>
    </row>
    <row r="69972">
      <c r="A69972" s="1" t="n">
        <v>69971</v>
      </c>
      <c r="B69972">
        <f>TEXT(69971, "[$-0E0000]yyyy-mm-dd")</f>
        <v/>
      </c>
      <c r="C69972" t="inlineStr">
        <is>
          <t>2091-06-13</t>
        </is>
      </c>
    </row>
    <row r="69973">
      <c r="A69973" s="1" t="n">
        <v>69972</v>
      </c>
      <c r="B69973">
        <f>TEXT(69972, "[$-0E0000]yyyy-mm-dd")</f>
        <v/>
      </c>
      <c r="C69973" t="inlineStr">
        <is>
          <t>2091-06-14</t>
        </is>
      </c>
    </row>
    <row r="69974">
      <c r="A69974" s="1" t="n">
        <v>69973</v>
      </c>
      <c r="B69974">
        <f>TEXT(69973, "[$-0E0000]yyyy-mm-dd")</f>
        <v/>
      </c>
      <c r="C69974" t="inlineStr">
        <is>
          <t>2091-06-15</t>
        </is>
      </c>
    </row>
    <row r="69975">
      <c r="A69975" s="1" t="n">
        <v>69974</v>
      </c>
      <c r="B69975">
        <f>TEXT(69974, "[$-0E0000]yyyy-mm-dd")</f>
        <v/>
      </c>
      <c r="C69975" t="inlineStr">
        <is>
          <t>2091-06-16</t>
        </is>
      </c>
    </row>
    <row r="69976">
      <c r="A69976" s="1" t="n">
        <v>69975</v>
      </c>
      <c r="B69976">
        <f>TEXT(69975, "[$-0E0000]yyyy-mm-dd")</f>
        <v/>
      </c>
      <c r="C69976" t="inlineStr">
        <is>
          <t>2091-06-17</t>
        </is>
      </c>
    </row>
    <row r="69977">
      <c r="A69977" s="1" t="n">
        <v>69976</v>
      </c>
      <c r="B69977">
        <f>TEXT(69976, "[$-0E0000]yyyy-mm-dd")</f>
        <v/>
      </c>
      <c r="C69977" t="inlineStr">
        <is>
          <t>2091-06-18</t>
        </is>
      </c>
    </row>
    <row r="69978">
      <c r="A69978" s="1" t="n">
        <v>69977</v>
      </c>
      <c r="B69978">
        <f>TEXT(69977, "[$-0E0000]yyyy-mm-dd")</f>
        <v/>
      </c>
      <c r="C69978" t="inlineStr">
        <is>
          <t>2091-06-19</t>
        </is>
      </c>
    </row>
    <row r="69979">
      <c r="A69979" s="1" t="n">
        <v>69978</v>
      </c>
      <c r="B69979">
        <f>TEXT(69978, "[$-0E0000]yyyy-mm-dd")</f>
        <v/>
      </c>
      <c r="C69979" t="inlineStr">
        <is>
          <t>2091-06-20</t>
        </is>
      </c>
    </row>
    <row r="69980">
      <c r="A69980" s="1" t="n">
        <v>69979</v>
      </c>
      <c r="B69980">
        <f>TEXT(69979, "[$-0E0000]yyyy-mm-dd")</f>
        <v/>
      </c>
      <c r="C69980" t="inlineStr">
        <is>
          <t>2091-06-21</t>
        </is>
      </c>
    </row>
    <row r="69981">
      <c r="A69981" s="1" t="n">
        <v>69980</v>
      </c>
      <c r="B69981">
        <f>TEXT(69980, "[$-0E0000]yyyy-mm-dd")</f>
        <v/>
      </c>
      <c r="C69981" t="inlineStr">
        <is>
          <t>2091-06-22</t>
        </is>
      </c>
    </row>
    <row r="69982">
      <c r="A69982" s="1" t="n">
        <v>69981</v>
      </c>
      <c r="B69982">
        <f>TEXT(69981, "[$-0E0000]yyyy-mm-dd")</f>
        <v/>
      </c>
      <c r="C69982" t="inlineStr">
        <is>
          <t>2091-06-23</t>
        </is>
      </c>
    </row>
    <row r="69983">
      <c r="A69983" s="1" t="n">
        <v>69982</v>
      </c>
      <c r="B69983">
        <f>TEXT(69982, "[$-0E0000]yyyy-mm-dd")</f>
        <v/>
      </c>
      <c r="C69983" t="inlineStr">
        <is>
          <t>2091-06-24</t>
        </is>
      </c>
    </row>
    <row r="69984">
      <c r="A69984" s="1" t="n">
        <v>69983</v>
      </c>
      <c r="B69984">
        <f>TEXT(69983, "[$-0E0000]yyyy-mm-dd")</f>
        <v/>
      </c>
      <c r="C69984" t="inlineStr">
        <is>
          <t>2091-06-25</t>
        </is>
      </c>
    </row>
    <row r="69985">
      <c r="A69985" s="1" t="n">
        <v>69984</v>
      </c>
      <c r="B69985">
        <f>TEXT(69984, "[$-0E0000]yyyy-mm-dd")</f>
        <v/>
      </c>
      <c r="C69985" t="inlineStr">
        <is>
          <t>2091-06-26</t>
        </is>
      </c>
    </row>
    <row r="69986">
      <c r="A69986" s="1" t="n">
        <v>69985</v>
      </c>
      <c r="B69986">
        <f>TEXT(69985, "[$-0E0000]yyyy-mm-dd")</f>
        <v/>
      </c>
      <c r="C69986" t="inlineStr">
        <is>
          <t>2091-06-27</t>
        </is>
      </c>
    </row>
    <row r="69987">
      <c r="A69987" s="1" t="n">
        <v>69986</v>
      </c>
      <c r="B69987">
        <f>TEXT(69986, "[$-0E0000]yyyy-mm-dd")</f>
        <v/>
      </c>
      <c r="C69987" t="inlineStr">
        <is>
          <t>2091-06-28</t>
        </is>
      </c>
    </row>
    <row r="69988">
      <c r="A69988" s="1" t="n">
        <v>69987</v>
      </c>
      <c r="B69988">
        <f>TEXT(69987, "[$-0E0000]yyyy-mm-dd")</f>
        <v/>
      </c>
      <c r="C69988" t="inlineStr">
        <is>
          <t>2091-06-29</t>
        </is>
      </c>
    </row>
    <row r="69989">
      <c r="A69989" s="1" t="n">
        <v>69988</v>
      </c>
      <c r="B69989">
        <f>TEXT(69988, "[$-0E0000]yyyy-mm-dd")</f>
        <v/>
      </c>
      <c r="C69989" t="inlineStr">
        <is>
          <t>2091-06-30</t>
        </is>
      </c>
    </row>
    <row r="69990">
      <c r="A69990" s="1" t="n">
        <v>69989</v>
      </c>
      <c r="B69990">
        <f>TEXT(69989, "[$-0E0000]yyyy-mm-dd")</f>
        <v/>
      </c>
      <c r="C69990" t="inlineStr">
        <is>
          <t>2091-07-01</t>
        </is>
      </c>
    </row>
    <row r="69991">
      <c r="A69991" s="1" t="n">
        <v>69990</v>
      </c>
      <c r="B69991">
        <f>TEXT(69990, "[$-0E0000]yyyy-mm-dd")</f>
        <v/>
      </c>
      <c r="C69991" t="inlineStr">
        <is>
          <t>2091-07-02</t>
        </is>
      </c>
    </row>
    <row r="69992">
      <c r="A69992" s="1" t="n">
        <v>69991</v>
      </c>
      <c r="B69992">
        <f>TEXT(69991, "[$-0E0000]yyyy-mm-dd")</f>
        <v/>
      </c>
      <c r="C69992" t="inlineStr">
        <is>
          <t>2091-07-03</t>
        </is>
      </c>
    </row>
    <row r="69993">
      <c r="A69993" s="1" t="n">
        <v>69992</v>
      </c>
      <c r="B69993">
        <f>TEXT(69992, "[$-0E0000]yyyy-mm-dd")</f>
        <v/>
      </c>
      <c r="C69993" t="inlineStr">
        <is>
          <t>2091-07-04</t>
        </is>
      </c>
    </row>
    <row r="69994">
      <c r="A69994" s="1" t="n">
        <v>69993</v>
      </c>
      <c r="B69994">
        <f>TEXT(69993, "[$-0E0000]yyyy-mm-dd")</f>
        <v/>
      </c>
      <c r="C69994" t="inlineStr">
        <is>
          <t>2091-07-05</t>
        </is>
      </c>
    </row>
    <row r="69995">
      <c r="A69995" s="1" t="n">
        <v>69994</v>
      </c>
      <c r="B69995">
        <f>TEXT(69994, "[$-0E0000]yyyy-mm-dd")</f>
        <v/>
      </c>
      <c r="C69995" t="inlineStr">
        <is>
          <t>2091-07-06</t>
        </is>
      </c>
    </row>
    <row r="69996">
      <c r="A69996" s="1" t="n">
        <v>69995</v>
      </c>
      <c r="B69996">
        <f>TEXT(69995, "[$-0E0000]yyyy-mm-dd")</f>
        <v/>
      </c>
      <c r="C69996" t="inlineStr">
        <is>
          <t>2091-07-07</t>
        </is>
      </c>
    </row>
    <row r="69997">
      <c r="A69997" s="1" t="n">
        <v>69996</v>
      </c>
      <c r="B69997">
        <f>TEXT(69996, "[$-0E0000]yyyy-mm-dd")</f>
        <v/>
      </c>
      <c r="C69997" t="inlineStr">
        <is>
          <t>2091-07-08</t>
        </is>
      </c>
    </row>
    <row r="69998">
      <c r="A69998" s="1" t="n">
        <v>69997</v>
      </c>
      <c r="B69998">
        <f>TEXT(69997, "[$-0E0000]yyyy-mm-dd")</f>
        <v/>
      </c>
      <c r="C69998" t="inlineStr">
        <is>
          <t>2091-07-09</t>
        </is>
      </c>
    </row>
    <row r="69999">
      <c r="A69999" s="1" t="n">
        <v>69998</v>
      </c>
      <c r="B69999">
        <f>TEXT(69998, "[$-0E0000]yyyy-mm-dd")</f>
        <v/>
      </c>
      <c r="C69999" t="inlineStr">
        <is>
          <t>2091-07-10</t>
        </is>
      </c>
    </row>
    <row r="70000">
      <c r="A70000" s="1" t="n">
        <v>69999</v>
      </c>
      <c r="B70000">
        <f>TEXT(69999, "[$-0E0000]yyyy-mm-dd")</f>
        <v/>
      </c>
      <c r="C70000" t="inlineStr">
        <is>
          <t>2091-07-11</t>
        </is>
      </c>
    </row>
    <row r="70001">
      <c r="A70001" s="1" t="n">
        <v>70000</v>
      </c>
      <c r="B70001">
        <f>TEXT(70000, "[$-0E0000]yyyy-mm-dd")</f>
        <v/>
      </c>
      <c r="C70001" t="inlineStr">
        <is>
          <t>2091-07-12</t>
        </is>
      </c>
    </row>
    <row r="70002">
      <c r="A70002" s="1" t="n">
        <v>70001</v>
      </c>
      <c r="B70002">
        <f>TEXT(70001, "[$-0E0000]yyyy-mm-dd")</f>
        <v/>
      </c>
      <c r="C70002" t="inlineStr">
        <is>
          <t>2091-07-13</t>
        </is>
      </c>
    </row>
    <row r="70003">
      <c r="A70003" s="1" t="n">
        <v>70002</v>
      </c>
      <c r="B70003">
        <f>TEXT(70002, "[$-0E0000]yyyy-mm-dd")</f>
        <v/>
      </c>
      <c r="C70003" t="inlineStr">
        <is>
          <t>2091-07-14</t>
        </is>
      </c>
    </row>
    <row r="70004">
      <c r="A70004" s="1" t="n">
        <v>70003</v>
      </c>
      <c r="B70004">
        <f>TEXT(70003, "[$-0E0000]yyyy-mm-dd")</f>
        <v/>
      </c>
      <c r="C70004" t="inlineStr">
        <is>
          <t>2091-07-15</t>
        </is>
      </c>
    </row>
    <row r="70005">
      <c r="A70005" s="1" t="n">
        <v>70004</v>
      </c>
      <c r="B70005">
        <f>TEXT(70004, "[$-0E0000]yyyy-mm-dd")</f>
        <v/>
      </c>
      <c r="C70005" t="inlineStr">
        <is>
          <t>2091-07-16</t>
        </is>
      </c>
    </row>
    <row r="70006">
      <c r="A70006" s="1" t="n">
        <v>70005</v>
      </c>
      <c r="B70006">
        <f>TEXT(70005, "[$-0E0000]yyyy-mm-dd")</f>
        <v/>
      </c>
      <c r="C70006" t="inlineStr">
        <is>
          <t>2091-07-17</t>
        </is>
      </c>
    </row>
    <row r="70007">
      <c r="A70007" s="1" t="n">
        <v>70006</v>
      </c>
      <c r="B70007">
        <f>TEXT(70006, "[$-0E0000]yyyy-mm-dd")</f>
        <v/>
      </c>
      <c r="C70007" t="inlineStr">
        <is>
          <t>2091-07-18</t>
        </is>
      </c>
    </row>
    <row r="70008">
      <c r="A70008" s="1" t="n">
        <v>70007</v>
      </c>
      <c r="B70008">
        <f>TEXT(70007, "[$-0E0000]yyyy-mm-dd")</f>
        <v/>
      </c>
      <c r="C70008" t="inlineStr">
        <is>
          <t>2091-07-19</t>
        </is>
      </c>
    </row>
    <row r="70009">
      <c r="A70009" s="1" t="n">
        <v>70008</v>
      </c>
      <c r="B70009">
        <f>TEXT(70008, "[$-0E0000]yyyy-mm-dd")</f>
        <v/>
      </c>
      <c r="C70009" t="inlineStr">
        <is>
          <t>2091-07-20</t>
        </is>
      </c>
    </row>
    <row r="70010">
      <c r="A70010" s="1" t="n">
        <v>70009</v>
      </c>
      <c r="B70010">
        <f>TEXT(70009, "[$-0E0000]yyyy-mm-dd")</f>
        <v/>
      </c>
      <c r="C70010" t="inlineStr">
        <is>
          <t>2091-07-21</t>
        </is>
      </c>
    </row>
    <row r="70011">
      <c r="A70011" s="1" t="n">
        <v>70010</v>
      </c>
      <c r="B70011">
        <f>TEXT(70010, "[$-0E0000]yyyy-mm-dd")</f>
        <v/>
      </c>
      <c r="C70011" t="inlineStr">
        <is>
          <t>2091-07-22</t>
        </is>
      </c>
    </row>
    <row r="70012">
      <c r="A70012" s="1" t="n">
        <v>70011</v>
      </c>
      <c r="B70012">
        <f>TEXT(70011, "[$-0E0000]yyyy-mm-dd")</f>
        <v/>
      </c>
      <c r="C70012" t="inlineStr">
        <is>
          <t>2091-07-23</t>
        </is>
      </c>
    </row>
    <row r="70013">
      <c r="A70013" s="1" t="n">
        <v>70012</v>
      </c>
      <c r="B70013">
        <f>TEXT(70012, "[$-0E0000]yyyy-mm-dd")</f>
        <v/>
      </c>
      <c r="C70013" t="inlineStr">
        <is>
          <t>2091-07-24</t>
        </is>
      </c>
    </row>
    <row r="70014">
      <c r="A70014" s="1" t="n">
        <v>70013</v>
      </c>
      <c r="B70014">
        <f>TEXT(70013, "[$-0E0000]yyyy-mm-dd")</f>
        <v/>
      </c>
      <c r="C70014" t="inlineStr">
        <is>
          <t>2091-07-25</t>
        </is>
      </c>
    </row>
    <row r="70015">
      <c r="A70015" s="1" t="n">
        <v>70014</v>
      </c>
      <c r="B70015">
        <f>TEXT(70014, "[$-0E0000]yyyy-mm-dd")</f>
        <v/>
      </c>
      <c r="C70015" t="inlineStr">
        <is>
          <t>2091-07-26</t>
        </is>
      </c>
    </row>
    <row r="70016">
      <c r="A70016" s="1" t="n">
        <v>70015</v>
      </c>
      <c r="B70016">
        <f>TEXT(70015, "[$-0E0000]yyyy-mm-dd")</f>
        <v/>
      </c>
      <c r="C70016" t="inlineStr">
        <is>
          <t>2091-07-27</t>
        </is>
      </c>
    </row>
    <row r="70017">
      <c r="A70017" s="1" t="n">
        <v>70016</v>
      </c>
      <c r="B70017">
        <f>TEXT(70016, "[$-0E0000]yyyy-mm-dd")</f>
        <v/>
      </c>
      <c r="C70017" t="inlineStr">
        <is>
          <t>2091-07-28</t>
        </is>
      </c>
    </row>
    <row r="70018">
      <c r="A70018" s="1" t="n">
        <v>70017</v>
      </c>
      <c r="B70018">
        <f>TEXT(70017, "[$-0E0000]yyyy-mm-dd")</f>
        <v/>
      </c>
      <c r="C70018" t="inlineStr">
        <is>
          <t>2091-07-29</t>
        </is>
      </c>
    </row>
    <row r="70019">
      <c r="A70019" s="1" t="n">
        <v>70018</v>
      </c>
      <c r="B70019">
        <f>TEXT(70018, "[$-0E0000]yyyy-mm-dd")</f>
        <v/>
      </c>
      <c r="C70019" t="inlineStr">
        <is>
          <t>2091-08-01</t>
        </is>
      </c>
    </row>
    <row r="70020">
      <c r="A70020" s="1" t="n">
        <v>70019</v>
      </c>
      <c r="B70020">
        <f>TEXT(70019, "[$-0E0000]yyyy-mm-dd")</f>
        <v/>
      </c>
      <c r="C70020" t="inlineStr">
        <is>
          <t>2091-08-02</t>
        </is>
      </c>
    </row>
    <row r="70021">
      <c r="A70021" s="1" t="n">
        <v>70020</v>
      </c>
      <c r="B70021">
        <f>TEXT(70020, "[$-0E0000]yyyy-mm-dd")</f>
        <v/>
      </c>
      <c r="C70021" t="inlineStr">
        <is>
          <t>2091-08-03</t>
        </is>
      </c>
    </row>
    <row r="70022">
      <c r="A70022" s="1" t="n">
        <v>70021</v>
      </c>
      <c r="B70022">
        <f>TEXT(70021, "[$-0E0000]yyyy-mm-dd")</f>
        <v/>
      </c>
      <c r="C70022" t="inlineStr">
        <is>
          <t>2091-08-04</t>
        </is>
      </c>
    </row>
    <row r="70023">
      <c r="A70023" s="1" t="n">
        <v>70022</v>
      </c>
      <c r="B70023">
        <f>TEXT(70022, "[$-0E0000]yyyy-mm-dd")</f>
        <v/>
      </c>
      <c r="C70023" t="inlineStr">
        <is>
          <t>2091-08-05</t>
        </is>
      </c>
    </row>
    <row r="70024">
      <c r="A70024" s="1" t="n">
        <v>70023</v>
      </c>
      <c r="B70024">
        <f>TEXT(70023, "[$-0E0000]yyyy-mm-dd")</f>
        <v/>
      </c>
      <c r="C70024" t="inlineStr">
        <is>
          <t>2091-08-06</t>
        </is>
      </c>
    </row>
    <row r="70025">
      <c r="A70025" s="1" t="n">
        <v>70024</v>
      </c>
      <c r="B70025">
        <f>TEXT(70024, "[$-0E0000]yyyy-mm-dd")</f>
        <v/>
      </c>
      <c r="C70025" t="inlineStr">
        <is>
          <t>2091-08-07</t>
        </is>
      </c>
    </row>
    <row r="70026">
      <c r="A70026" s="1" t="n">
        <v>70025</v>
      </c>
      <c r="B70026">
        <f>TEXT(70025, "[$-0E0000]yyyy-mm-dd")</f>
        <v/>
      </c>
      <c r="C70026" t="inlineStr">
        <is>
          <t>2091-08-08</t>
        </is>
      </c>
    </row>
    <row r="70027">
      <c r="A70027" s="1" t="n">
        <v>70026</v>
      </c>
      <c r="B70027">
        <f>TEXT(70026, "[$-0E0000]yyyy-mm-dd")</f>
        <v/>
      </c>
      <c r="C70027" t="inlineStr">
        <is>
          <t>2091-08-09</t>
        </is>
      </c>
    </row>
    <row r="70028">
      <c r="A70028" s="1" t="n">
        <v>70027</v>
      </c>
      <c r="B70028">
        <f>TEXT(70027, "[$-0E0000]yyyy-mm-dd")</f>
        <v/>
      </c>
      <c r="C70028" t="inlineStr">
        <is>
          <t>2091-08-10</t>
        </is>
      </c>
    </row>
    <row r="70029">
      <c r="A70029" s="1" t="n">
        <v>70028</v>
      </c>
      <c r="B70029">
        <f>TEXT(70028, "[$-0E0000]yyyy-mm-dd")</f>
        <v/>
      </c>
      <c r="C70029" t="inlineStr">
        <is>
          <t>2091-08-11</t>
        </is>
      </c>
    </row>
    <row r="70030">
      <c r="A70030" s="1" t="n">
        <v>70029</v>
      </c>
      <c r="B70030">
        <f>TEXT(70029, "[$-0E0000]yyyy-mm-dd")</f>
        <v/>
      </c>
      <c r="C70030" t="inlineStr">
        <is>
          <t>2091-08-12</t>
        </is>
      </c>
    </row>
    <row r="70031">
      <c r="A70031" s="1" t="n">
        <v>70030</v>
      </c>
      <c r="B70031">
        <f>TEXT(70030, "[$-0E0000]yyyy-mm-dd")</f>
        <v/>
      </c>
      <c r="C70031" t="inlineStr">
        <is>
          <t>2091-08-13</t>
        </is>
      </c>
    </row>
    <row r="70032">
      <c r="A70032" s="1" t="n">
        <v>70031</v>
      </c>
      <c r="B70032">
        <f>TEXT(70031, "[$-0E0000]yyyy-mm-dd")</f>
        <v/>
      </c>
      <c r="C70032" t="inlineStr">
        <is>
          <t>2091-08-14</t>
        </is>
      </c>
    </row>
    <row r="70033">
      <c r="A70033" s="1" t="n">
        <v>70032</v>
      </c>
      <c r="B70033">
        <f>TEXT(70032, "[$-0E0000]yyyy-mm-dd")</f>
        <v/>
      </c>
      <c r="C70033" t="inlineStr">
        <is>
          <t>2091-08-15</t>
        </is>
      </c>
    </row>
    <row r="70034">
      <c r="A70034" s="1" t="n">
        <v>70033</v>
      </c>
      <c r="B70034">
        <f>TEXT(70033, "[$-0E0000]yyyy-mm-dd")</f>
        <v/>
      </c>
      <c r="C70034" t="inlineStr">
        <is>
          <t>2091-08-16</t>
        </is>
      </c>
    </row>
    <row r="70035">
      <c r="A70035" s="1" t="n">
        <v>70034</v>
      </c>
      <c r="B70035">
        <f>TEXT(70034, "[$-0E0000]yyyy-mm-dd")</f>
        <v/>
      </c>
      <c r="C70035" t="inlineStr">
        <is>
          <t>2091-08-17</t>
        </is>
      </c>
    </row>
    <row r="70036">
      <c r="A70036" s="1" t="n">
        <v>70035</v>
      </c>
      <c r="B70036">
        <f>TEXT(70035, "[$-0E0000]yyyy-mm-dd")</f>
        <v/>
      </c>
      <c r="C70036" t="inlineStr">
        <is>
          <t>2091-08-18</t>
        </is>
      </c>
    </row>
    <row r="70037">
      <c r="A70037" s="1" t="n">
        <v>70036</v>
      </c>
      <c r="B70037">
        <f>TEXT(70036, "[$-0E0000]yyyy-mm-dd")</f>
        <v/>
      </c>
      <c r="C70037" t="inlineStr">
        <is>
          <t>2091-08-19</t>
        </is>
      </c>
    </row>
    <row r="70038">
      <c r="A70038" s="1" t="n">
        <v>70037</v>
      </c>
      <c r="B70038">
        <f>TEXT(70037, "[$-0E0000]yyyy-mm-dd")</f>
        <v/>
      </c>
      <c r="C70038" t="inlineStr">
        <is>
          <t>2091-08-20</t>
        </is>
      </c>
    </row>
    <row r="70039">
      <c r="A70039" s="1" t="n">
        <v>70038</v>
      </c>
      <c r="B70039">
        <f>TEXT(70038, "[$-0E0000]yyyy-mm-dd")</f>
        <v/>
      </c>
      <c r="C70039" t="inlineStr">
        <is>
          <t>2091-08-21</t>
        </is>
      </c>
    </row>
    <row r="70040">
      <c r="A70040" s="1" t="n">
        <v>70039</v>
      </c>
      <c r="B70040">
        <f>TEXT(70039, "[$-0E0000]yyyy-mm-dd")</f>
        <v/>
      </c>
      <c r="C70040" t="inlineStr">
        <is>
          <t>2091-08-22</t>
        </is>
      </c>
    </row>
    <row r="70041">
      <c r="A70041" s="1" t="n">
        <v>70040</v>
      </c>
      <c r="B70041">
        <f>TEXT(70040, "[$-0E0000]yyyy-mm-dd")</f>
        <v/>
      </c>
      <c r="C70041" t="inlineStr">
        <is>
          <t>2091-08-23</t>
        </is>
      </c>
    </row>
    <row r="70042">
      <c r="A70042" s="1" t="n">
        <v>70041</v>
      </c>
      <c r="B70042">
        <f>TEXT(70041, "[$-0E0000]yyyy-mm-dd")</f>
        <v/>
      </c>
      <c r="C70042" t="inlineStr">
        <is>
          <t>2091-08-24</t>
        </is>
      </c>
    </row>
    <row r="70043">
      <c r="A70043" s="1" t="n">
        <v>70042</v>
      </c>
      <c r="B70043">
        <f>TEXT(70042, "[$-0E0000]yyyy-mm-dd")</f>
        <v/>
      </c>
      <c r="C70043" t="inlineStr">
        <is>
          <t>2091-08-25</t>
        </is>
      </c>
    </row>
    <row r="70044">
      <c r="A70044" s="1" t="n">
        <v>70043</v>
      </c>
      <c r="B70044">
        <f>TEXT(70043, "[$-0E0000]yyyy-mm-dd")</f>
        <v/>
      </c>
      <c r="C70044" t="inlineStr">
        <is>
          <t>2091-08-26</t>
        </is>
      </c>
    </row>
    <row r="70045">
      <c r="A70045" s="1" t="n">
        <v>70044</v>
      </c>
      <c r="B70045">
        <f>TEXT(70044, "[$-0E0000]yyyy-mm-dd")</f>
        <v/>
      </c>
      <c r="C70045" t="inlineStr">
        <is>
          <t>2091-08-27</t>
        </is>
      </c>
    </row>
    <row r="70046">
      <c r="A70046" s="1" t="n">
        <v>70045</v>
      </c>
      <c r="B70046">
        <f>TEXT(70045, "[$-0E0000]yyyy-mm-dd")</f>
        <v/>
      </c>
      <c r="C70046" t="inlineStr">
        <is>
          <t>2091-08-28</t>
        </is>
      </c>
    </row>
    <row r="70047">
      <c r="A70047" s="1" t="n">
        <v>70046</v>
      </c>
      <c r="B70047">
        <f>TEXT(70046, "[$-0E0000]yyyy-mm-dd")</f>
        <v/>
      </c>
      <c r="C70047" t="inlineStr">
        <is>
          <t>2091-08-29</t>
        </is>
      </c>
    </row>
    <row r="70048">
      <c r="A70048" s="1" t="n">
        <v>70047</v>
      </c>
      <c r="B70048">
        <f>TEXT(70047, "[$-0E0000]yyyy-mm-dd")</f>
        <v/>
      </c>
      <c r="C70048" t="inlineStr">
        <is>
          <t>2091-08-30</t>
        </is>
      </c>
    </row>
    <row r="70049">
      <c r="A70049" s="1" t="n">
        <v>70048</v>
      </c>
      <c r="B70049">
        <f>TEXT(70048, "[$-0E0000]yyyy-mm-dd")</f>
        <v/>
      </c>
      <c r="C70049" t="inlineStr">
        <is>
          <t>2091-09-01</t>
        </is>
      </c>
    </row>
    <row r="70050">
      <c r="A70050" s="1" t="n">
        <v>70049</v>
      </c>
      <c r="B70050">
        <f>TEXT(70049, "[$-0E0000]yyyy-mm-dd")</f>
        <v/>
      </c>
      <c r="C70050" t="inlineStr">
        <is>
          <t>2091-09-02</t>
        </is>
      </c>
    </row>
    <row r="70051">
      <c r="A70051" s="1" t="n">
        <v>70050</v>
      </c>
      <c r="B70051">
        <f>TEXT(70050, "[$-0E0000]yyyy-mm-dd")</f>
        <v/>
      </c>
      <c r="C70051" t="inlineStr">
        <is>
          <t>2091-09-03</t>
        </is>
      </c>
    </row>
    <row r="70052">
      <c r="A70052" s="1" t="n">
        <v>70051</v>
      </c>
      <c r="B70052">
        <f>TEXT(70051, "[$-0E0000]yyyy-mm-dd")</f>
        <v/>
      </c>
      <c r="C70052" t="inlineStr">
        <is>
          <t>2091-09-04</t>
        </is>
      </c>
    </row>
    <row r="70053">
      <c r="A70053" s="1" t="n">
        <v>70052</v>
      </c>
      <c r="B70053">
        <f>TEXT(70052, "[$-0E0000]yyyy-mm-dd")</f>
        <v/>
      </c>
      <c r="C70053" t="inlineStr">
        <is>
          <t>2091-09-05</t>
        </is>
      </c>
    </row>
    <row r="70054">
      <c r="A70054" s="1" t="n">
        <v>70053</v>
      </c>
      <c r="B70054">
        <f>TEXT(70053, "[$-0E0000]yyyy-mm-dd")</f>
        <v/>
      </c>
      <c r="C70054" t="inlineStr">
        <is>
          <t>2091-09-06</t>
        </is>
      </c>
    </row>
    <row r="70055">
      <c r="A70055" s="1" t="n">
        <v>70054</v>
      </c>
      <c r="B70055">
        <f>TEXT(70054, "[$-0E0000]yyyy-mm-dd")</f>
        <v/>
      </c>
      <c r="C70055" t="inlineStr">
        <is>
          <t>2091-09-07</t>
        </is>
      </c>
    </row>
    <row r="70056">
      <c r="A70056" s="1" t="n">
        <v>70055</v>
      </c>
      <c r="B70056">
        <f>TEXT(70055, "[$-0E0000]yyyy-mm-dd")</f>
        <v/>
      </c>
      <c r="C70056" t="inlineStr">
        <is>
          <t>2091-09-08</t>
        </is>
      </c>
    </row>
    <row r="70057">
      <c r="A70057" s="1" t="n">
        <v>70056</v>
      </c>
      <c r="B70057">
        <f>TEXT(70056, "[$-0E0000]yyyy-mm-dd")</f>
        <v/>
      </c>
      <c r="C70057" t="inlineStr">
        <is>
          <t>2091-09-09</t>
        </is>
      </c>
    </row>
    <row r="70058">
      <c r="A70058" s="1" t="n">
        <v>70057</v>
      </c>
      <c r="B70058">
        <f>TEXT(70057, "[$-0E0000]yyyy-mm-dd")</f>
        <v/>
      </c>
      <c r="C70058" t="inlineStr">
        <is>
          <t>2091-09-10</t>
        </is>
      </c>
    </row>
    <row r="70059">
      <c r="A70059" s="1" t="n">
        <v>70058</v>
      </c>
      <c r="B70059">
        <f>TEXT(70058, "[$-0E0000]yyyy-mm-dd")</f>
        <v/>
      </c>
      <c r="C70059" t="inlineStr">
        <is>
          <t>2091-09-11</t>
        </is>
      </c>
    </row>
    <row r="70060">
      <c r="A70060" s="1" t="n">
        <v>70059</v>
      </c>
      <c r="B70060">
        <f>TEXT(70059, "[$-0E0000]yyyy-mm-dd")</f>
        <v/>
      </c>
      <c r="C70060" t="inlineStr">
        <is>
          <t>2091-09-12</t>
        </is>
      </c>
    </row>
    <row r="70061">
      <c r="A70061" s="1" t="n">
        <v>70060</v>
      </c>
      <c r="B70061">
        <f>TEXT(70060, "[$-0E0000]yyyy-mm-dd")</f>
        <v/>
      </c>
      <c r="C70061" t="inlineStr">
        <is>
          <t>2091-09-13</t>
        </is>
      </c>
    </row>
    <row r="70062">
      <c r="A70062" s="1" t="n">
        <v>70061</v>
      </c>
      <c r="B70062">
        <f>TEXT(70061, "[$-0E0000]yyyy-mm-dd")</f>
        <v/>
      </c>
      <c r="C70062" t="inlineStr">
        <is>
          <t>2091-09-14</t>
        </is>
      </c>
    </row>
    <row r="70063">
      <c r="A70063" s="1" t="n">
        <v>70062</v>
      </c>
      <c r="B70063">
        <f>TEXT(70062, "[$-0E0000]yyyy-mm-dd")</f>
        <v/>
      </c>
      <c r="C70063" t="inlineStr">
        <is>
          <t>2091-09-15</t>
        </is>
      </c>
    </row>
    <row r="70064">
      <c r="A70064" s="1" t="n">
        <v>70063</v>
      </c>
      <c r="B70064">
        <f>TEXT(70063, "[$-0E0000]yyyy-mm-dd")</f>
        <v/>
      </c>
      <c r="C70064" t="inlineStr">
        <is>
          <t>2091-09-16</t>
        </is>
      </c>
    </row>
    <row r="70065">
      <c r="A70065" s="1" t="n">
        <v>70064</v>
      </c>
      <c r="B70065">
        <f>TEXT(70064, "[$-0E0000]yyyy-mm-dd")</f>
        <v/>
      </c>
      <c r="C70065" t="inlineStr">
        <is>
          <t>2091-09-17</t>
        </is>
      </c>
    </row>
    <row r="70066">
      <c r="A70066" s="1" t="n">
        <v>70065</v>
      </c>
      <c r="B70066">
        <f>TEXT(70065, "[$-0E0000]yyyy-mm-dd")</f>
        <v/>
      </c>
      <c r="C70066" t="inlineStr">
        <is>
          <t>2091-09-18</t>
        </is>
      </c>
    </row>
    <row r="70067">
      <c r="A70067" s="1" t="n">
        <v>70066</v>
      </c>
      <c r="B70067">
        <f>TEXT(70066, "[$-0E0000]yyyy-mm-dd")</f>
        <v/>
      </c>
      <c r="C70067" t="inlineStr">
        <is>
          <t>2091-09-19</t>
        </is>
      </c>
    </row>
    <row r="70068">
      <c r="A70068" s="1" t="n">
        <v>70067</v>
      </c>
      <c r="B70068">
        <f>TEXT(70067, "[$-0E0000]yyyy-mm-dd")</f>
        <v/>
      </c>
      <c r="C70068" t="inlineStr">
        <is>
          <t>2091-09-20</t>
        </is>
      </c>
    </row>
    <row r="70069">
      <c r="A70069" s="1" t="n">
        <v>70068</v>
      </c>
      <c r="B70069">
        <f>TEXT(70068, "[$-0E0000]yyyy-mm-dd")</f>
        <v/>
      </c>
      <c r="C70069" t="inlineStr">
        <is>
          <t>2091-09-21</t>
        </is>
      </c>
    </row>
    <row r="70070">
      <c r="A70070" s="1" t="n">
        <v>70069</v>
      </c>
      <c r="B70070">
        <f>TEXT(70069, "[$-0E0000]yyyy-mm-dd")</f>
        <v/>
      </c>
      <c r="C70070" t="inlineStr">
        <is>
          <t>2091-09-22</t>
        </is>
      </c>
    </row>
    <row r="70071">
      <c r="A70071" s="1" t="n">
        <v>70070</v>
      </c>
      <c r="B70071">
        <f>TEXT(70070, "[$-0E0000]yyyy-mm-dd")</f>
        <v/>
      </c>
      <c r="C70071" t="inlineStr">
        <is>
          <t>2091-09-23</t>
        </is>
      </c>
    </row>
    <row r="70072">
      <c r="A70072" s="1" t="n">
        <v>70071</v>
      </c>
      <c r="B70072">
        <f>TEXT(70071, "[$-0E0000]yyyy-mm-dd")</f>
        <v/>
      </c>
      <c r="C70072" t="inlineStr">
        <is>
          <t>2091-09-24</t>
        </is>
      </c>
    </row>
    <row r="70073">
      <c r="A70073" s="1" t="n">
        <v>70072</v>
      </c>
      <c r="B70073">
        <f>TEXT(70072, "[$-0E0000]yyyy-mm-dd")</f>
        <v/>
      </c>
      <c r="C70073" t="inlineStr">
        <is>
          <t>2091-09-25</t>
        </is>
      </c>
    </row>
    <row r="70074">
      <c r="A70074" s="1" t="n">
        <v>70073</v>
      </c>
      <c r="B70074">
        <f>TEXT(70073, "[$-0E0000]yyyy-mm-dd")</f>
        <v/>
      </c>
      <c r="C70074" t="inlineStr">
        <is>
          <t>2091-09-26</t>
        </is>
      </c>
    </row>
    <row r="70075">
      <c r="A70075" s="1" t="n">
        <v>70074</v>
      </c>
      <c r="B70075">
        <f>TEXT(70074, "[$-0E0000]yyyy-mm-dd")</f>
        <v/>
      </c>
      <c r="C70075" t="inlineStr">
        <is>
          <t>2091-09-27</t>
        </is>
      </c>
    </row>
    <row r="70076">
      <c r="A70076" s="1" t="n">
        <v>70075</v>
      </c>
      <c r="B70076">
        <f>TEXT(70075, "[$-0E0000]yyyy-mm-dd")</f>
        <v/>
      </c>
      <c r="C70076" t="inlineStr">
        <is>
          <t>2091-09-28</t>
        </is>
      </c>
    </row>
    <row r="70077">
      <c r="A70077" s="1" t="n">
        <v>70076</v>
      </c>
      <c r="B70077">
        <f>TEXT(70076, "[$-0E0000]yyyy-mm-dd")</f>
        <v/>
      </c>
      <c r="C70077" t="inlineStr">
        <is>
          <t>2091-09-29</t>
        </is>
      </c>
    </row>
    <row r="70078">
      <c r="A70078" s="1" t="n">
        <v>70077</v>
      </c>
      <c r="B70078">
        <f>TEXT(70077, "[$-0E0000]yyyy-mm-dd")</f>
        <v/>
      </c>
      <c r="C70078" t="inlineStr">
        <is>
          <t>2091-10-01</t>
        </is>
      </c>
    </row>
    <row r="70079">
      <c r="A70079" s="1" t="n">
        <v>70078</v>
      </c>
      <c r="B70079">
        <f>TEXT(70078, "[$-0E0000]yyyy-mm-dd")</f>
        <v/>
      </c>
      <c r="C70079" t="inlineStr">
        <is>
          <t>2091-10-02</t>
        </is>
      </c>
    </row>
    <row r="70080">
      <c r="A70080" s="1" t="n">
        <v>70079</v>
      </c>
      <c r="B70080">
        <f>TEXT(70079, "[$-0E0000]yyyy-mm-dd")</f>
        <v/>
      </c>
      <c r="C70080" t="inlineStr">
        <is>
          <t>2091-10-03</t>
        </is>
      </c>
    </row>
    <row r="70081">
      <c r="A70081" s="1" t="n">
        <v>70080</v>
      </c>
      <c r="B70081">
        <f>TEXT(70080, "[$-0E0000]yyyy-mm-dd")</f>
        <v/>
      </c>
      <c r="C70081" t="inlineStr">
        <is>
          <t>2091-10-04</t>
        </is>
      </c>
    </row>
    <row r="70082">
      <c r="A70082" s="1" t="n">
        <v>70081</v>
      </c>
      <c r="B70082">
        <f>TEXT(70081, "[$-0E0000]yyyy-mm-dd")</f>
        <v/>
      </c>
      <c r="C70082" t="inlineStr">
        <is>
          <t>2091-10-05</t>
        </is>
      </c>
    </row>
    <row r="70083">
      <c r="A70083" s="1" t="n">
        <v>70082</v>
      </c>
      <c r="B70083">
        <f>TEXT(70082, "[$-0E0000]yyyy-mm-dd")</f>
        <v/>
      </c>
      <c r="C70083" t="inlineStr">
        <is>
          <t>2091-10-06</t>
        </is>
      </c>
    </row>
    <row r="70084">
      <c r="A70084" s="1" t="n">
        <v>70083</v>
      </c>
      <c r="B70084">
        <f>TEXT(70083, "[$-0E0000]yyyy-mm-dd")</f>
        <v/>
      </c>
      <c r="C70084" t="inlineStr">
        <is>
          <t>2091-10-07</t>
        </is>
      </c>
    </row>
    <row r="70085">
      <c r="A70085" s="1" t="n">
        <v>70084</v>
      </c>
      <c r="B70085">
        <f>TEXT(70084, "[$-0E0000]yyyy-mm-dd")</f>
        <v/>
      </c>
      <c r="C70085" t="inlineStr">
        <is>
          <t>2091-10-08</t>
        </is>
      </c>
    </row>
    <row r="70086">
      <c r="A70086" s="1" t="n">
        <v>70085</v>
      </c>
      <c r="B70086">
        <f>TEXT(70085, "[$-0E0000]yyyy-mm-dd")</f>
        <v/>
      </c>
      <c r="C70086" t="inlineStr">
        <is>
          <t>2091-10-09</t>
        </is>
      </c>
    </row>
    <row r="70087">
      <c r="A70087" s="1" t="n">
        <v>70086</v>
      </c>
      <c r="B70087">
        <f>TEXT(70086, "[$-0E0000]yyyy-mm-dd")</f>
        <v/>
      </c>
      <c r="C70087" t="inlineStr">
        <is>
          <t>2091-10-10</t>
        </is>
      </c>
    </row>
    <row r="70088">
      <c r="A70088" s="1" t="n">
        <v>70087</v>
      </c>
      <c r="B70088">
        <f>TEXT(70087, "[$-0E0000]yyyy-mm-dd")</f>
        <v/>
      </c>
      <c r="C70088" t="inlineStr">
        <is>
          <t>2091-10-11</t>
        </is>
      </c>
    </row>
    <row r="70089">
      <c r="A70089" s="1" t="n">
        <v>70088</v>
      </c>
      <c r="B70089">
        <f>TEXT(70088, "[$-0E0000]yyyy-mm-dd")</f>
        <v/>
      </c>
      <c r="C70089" t="inlineStr">
        <is>
          <t>2091-10-12</t>
        </is>
      </c>
    </row>
    <row r="70090">
      <c r="A70090" s="1" t="n">
        <v>70089</v>
      </c>
      <c r="B70090">
        <f>TEXT(70089, "[$-0E0000]yyyy-mm-dd")</f>
        <v/>
      </c>
      <c r="C70090" t="inlineStr">
        <is>
          <t>2091-10-13</t>
        </is>
      </c>
    </row>
    <row r="70091">
      <c r="A70091" s="1" t="n">
        <v>70090</v>
      </c>
      <c r="B70091">
        <f>TEXT(70090, "[$-0E0000]yyyy-mm-dd")</f>
        <v/>
      </c>
      <c r="C70091" t="inlineStr">
        <is>
          <t>2091-10-14</t>
        </is>
      </c>
    </row>
    <row r="70092">
      <c r="A70092" s="1" t="n">
        <v>70091</v>
      </c>
      <c r="B70092">
        <f>TEXT(70091, "[$-0E0000]yyyy-mm-dd")</f>
        <v/>
      </c>
      <c r="C70092" t="inlineStr">
        <is>
          <t>2091-10-15</t>
        </is>
      </c>
    </row>
    <row r="70093">
      <c r="A70093" s="1" t="n">
        <v>70092</v>
      </c>
      <c r="B70093">
        <f>TEXT(70092, "[$-0E0000]yyyy-mm-dd")</f>
        <v/>
      </c>
      <c r="C70093" t="inlineStr">
        <is>
          <t>2091-10-16</t>
        </is>
      </c>
    </row>
    <row r="70094">
      <c r="A70094" s="1" t="n">
        <v>70093</v>
      </c>
      <c r="B70094">
        <f>TEXT(70093, "[$-0E0000]yyyy-mm-dd")</f>
        <v/>
      </c>
      <c r="C70094" t="inlineStr">
        <is>
          <t>2091-10-17</t>
        </is>
      </c>
    </row>
    <row r="70095">
      <c r="A70095" s="1" t="n">
        <v>70094</v>
      </c>
      <c r="B70095">
        <f>TEXT(70094, "[$-0E0000]yyyy-mm-dd")</f>
        <v/>
      </c>
      <c r="C70095" t="inlineStr">
        <is>
          <t>2091-10-18</t>
        </is>
      </c>
    </row>
    <row r="70096">
      <c r="A70096" s="1" t="n">
        <v>70095</v>
      </c>
      <c r="B70096">
        <f>TEXT(70095, "[$-0E0000]yyyy-mm-dd")</f>
        <v/>
      </c>
      <c r="C70096" t="inlineStr">
        <is>
          <t>2091-10-19</t>
        </is>
      </c>
    </row>
    <row r="70097">
      <c r="A70097" s="1" t="n">
        <v>70096</v>
      </c>
      <c r="B70097">
        <f>TEXT(70096, "[$-0E0000]yyyy-mm-dd")</f>
        <v/>
      </c>
      <c r="C70097" t="inlineStr">
        <is>
          <t>2091-10-20</t>
        </is>
      </c>
    </row>
    <row r="70098">
      <c r="A70098" s="1" t="n">
        <v>70097</v>
      </c>
      <c r="B70098">
        <f>TEXT(70097, "[$-0E0000]yyyy-mm-dd")</f>
        <v/>
      </c>
      <c r="C70098" t="inlineStr">
        <is>
          <t>2091-10-21</t>
        </is>
      </c>
    </row>
    <row r="70099">
      <c r="A70099" s="1" t="n">
        <v>70098</v>
      </c>
      <c r="B70099">
        <f>TEXT(70098, "[$-0E0000]yyyy-mm-dd")</f>
        <v/>
      </c>
      <c r="C70099" t="inlineStr">
        <is>
          <t>2091-10-22</t>
        </is>
      </c>
    </row>
    <row r="70100">
      <c r="A70100" s="1" t="n">
        <v>70099</v>
      </c>
      <c r="B70100">
        <f>TEXT(70099, "[$-0E0000]yyyy-mm-dd")</f>
        <v/>
      </c>
      <c r="C70100" t="inlineStr">
        <is>
          <t>2091-10-23</t>
        </is>
      </c>
    </row>
    <row r="70101">
      <c r="A70101" s="1" t="n">
        <v>70100</v>
      </c>
      <c r="B70101">
        <f>TEXT(70100, "[$-0E0000]yyyy-mm-dd")</f>
        <v/>
      </c>
      <c r="C70101" t="inlineStr">
        <is>
          <t>2091-10-24</t>
        </is>
      </c>
    </row>
    <row r="70102">
      <c r="A70102" s="1" t="n">
        <v>70101</v>
      </c>
      <c r="B70102">
        <f>TEXT(70101, "[$-0E0000]yyyy-mm-dd")</f>
        <v/>
      </c>
      <c r="C70102" t="inlineStr">
        <is>
          <t>2091-10-25</t>
        </is>
      </c>
    </row>
    <row r="70103">
      <c r="A70103" s="1" t="n">
        <v>70102</v>
      </c>
      <c r="B70103">
        <f>TEXT(70102, "[$-0E0000]yyyy-mm-dd")</f>
        <v/>
      </c>
      <c r="C70103" t="inlineStr">
        <is>
          <t>2091-10-26</t>
        </is>
      </c>
    </row>
    <row r="70104">
      <c r="A70104" s="1" t="n">
        <v>70103</v>
      </c>
      <c r="B70104">
        <f>TEXT(70103, "[$-0E0000]yyyy-mm-dd")</f>
        <v/>
      </c>
      <c r="C70104" t="inlineStr">
        <is>
          <t>2091-10-27</t>
        </is>
      </c>
    </row>
    <row r="70105">
      <c r="A70105" s="1" t="n">
        <v>70104</v>
      </c>
      <c r="B70105">
        <f>TEXT(70104, "[$-0E0000]yyyy-mm-dd")</f>
        <v/>
      </c>
      <c r="C70105" t="inlineStr">
        <is>
          <t>2091-10-28</t>
        </is>
      </c>
    </row>
    <row r="70106">
      <c r="A70106" s="1" t="n">
        <v>70105</v>
      </c>
      <c r="B70106">
        <f>TEXT(70105, "[$-0E0000]yyyy-mm-dd")</f>
        <v/>
      </c>
      <c r="C70106" t="inlineStr">
        <is>
          <t>2091-10-29</t>
        </is>
      </c>
    </row>
    <row r="70107">
      <c r="A70107" s="1" t="n">
        <v>70106</v>
      </c>
      <c r="B70107">
        <f>TEXT(70106, "[$-0E0000]yyyy-mm-dd")</f>
        <v/>
      </c>
      <c r="C70107" t="inlineStr">
        <is>
          <t>2091-11-01</t>
        </is>
      </c>
    </row>
    <row r="70108">
      <c r="A70108" s="1" t="n">
        <v>70107</v>
      </c>
      <c r="B70108">
        <f>TEXT(70107, "[$-0E0000]yyyy-mm-dd")</f>
        <v/>
      </c>
      <c r="C70108" t="inlineStr">
        <is>
          <t>2091-11-02</t>
        </is>
      </c>
    </row>
    <row r="70109">
      <c r="A70109" s="1" t="n">
        <v>70108</v>
      </c>
      <c r="B70109">
        <f>TEXT(70108, "[$-0E0000]yyyy-mm-dd")</f>
        <v/>
      </c>
      <c r="C70109" t="inlineStr">
        <is>
          <t>2091-11-03</t>
        </is>
      </c>
    </row>
    <row r="70110">
      <c r="A70110" s="1" t="n">
        <v>70109</v>
      </c>
      <c r="B70110">
        <f>TEXT(70109, "[$-0E0000]yyyy-mm-dd")</f>
        <v/>
      </c>
      <c r="C70110" t="inlineStr">
        <is>
          <t>2091-11-04</t>
        </is>
      </c>
    </row>
    <row r="70111">
      <c r="A70111" s="1" t="n">
        <v>70110</v>
      </c>
      <c r="B70111">
        <f>TEXT(70110, "[$-0E0000]yyyy-mm-dd")</f>
        <v/>
      </c>
      <c r="C70111" t="inlineStr">
        <is>
          <t>2091-11-05</t>
        </is>
      </c>
    </row>
    <row r="70112">
      <c r="A70112" s="1" t="n">
        <v>70111</v>
      </c>
      <c r="B70112">
        <f>TEXT(70111, "[$-0E0000]yyyy-mm-dd")</f>
        <v/>
      </c>
      <c r="C70112" t="inlineStr">
        <is>
          <t>2091-11-06</t>
        </is>
      </c>
    </row>
    <row r="70113">
      <c r="A70113" s="1" t="n">
        <v>70112</v>
      </c>
      <c r="B70113">
        <f>TEXT(70112, "[$-0E0000]yyyy-mm-dd")</f>
        <v/>
      </c>
      <c r="C70113" t="inlineStr">
        <is>
          <t>2091-11-07</t>
        </is>
      </c>
    </row>
    <row r="70114">
      <c r="A70114" s="1" t="n">
        <v>70113</v>
      </c>
      <c r="B70114">
        <f>TEXT(70113, "[$-0E0000]yyyy-mm-dd")</f>
        <v/>
      </c>
      <c r="C70114" t="inlineStr">
        <is>
          <t>2091-11-08</t>
        </is>
      </c>
    </row>
    <row r="70115">
      <c r="A70115" s="1" t="n">
        <v>70114</v>
      </c>
      <c r="B70115">
        <f>TEXT(70114, "[$-0E0000]yyyy-mm-dd")</f>
        <v/>
      </c>
      <c r="C70115" t="inlineStr">
        <is>
          <t>2091-11-09</t>
        </is>
      </c>
    </row>
    <row r="70116">
      <c r="A70116" s="1" t="n">
        <v>70115</v>
      </c>
      <c r="B70116">
        <f>TEXT(70115, "[$-0E0000]yyyy-mm-dd")</f>
        <v/>
      </c>
      <c r="C70116" t="inlineStr">
        <is>
          <t>2091-11-10</t>
        </is>
      </c>
    </row>
    <row r="70117">
      <c r="A70117" s="1" t="n">
        <v>70116</v>
      </c>
      <c r="B70117">
        <f>TEXT(70116, "[$-0E0000]yyyy-mm-dd")</f>
        <v/>
      </c>
      <c r="C70117" t="inlineStr">
        <is>
          <t>2091-11-11</t>
        </is>
      </c>
    </row>
    <row r="70118">
      <c r="A70118" s="1" t="n">
        <v>70117</v>
      </c>
      <c r="B70118">
        <f>TEXT(70117, "[$-0E0000]yyyy-mm-dd")</f>
        <v/>
      </c>
      <c r="C70118" t="inlineStr">
        <is>
          <t>2091-11-12</t>
        </is>
      </c>
    </row>
    <row r="70119">
      <c r="A70119" s="1" t="n">
        <v>70118</v>
      </c>
      <c r="B70119">
        <f>TEXT(70118, "[$-0E0000]yyyy-mm-dd")</f>
        <v/>
      </c>
      <c r="C70119" t="inlineStr">
        <is>
          <t>2091-11-13</t>
        </is>
      </c>
    </row>
    <row r="70120">
      <c r="A70120" s="1" t="n">
        <v>70119</v>
      </c>
      <c r="B70120">
        <f>TEXT(70119, "[$-0E0000]yyyy-mm-dd")</f>
        <v/>
      </c>
      <c r="C70120" t="inlineStr">
        <is>
          <t>2091-11-14</t>
        </is>
      </c>
    </row>
    <row r="70121">
      <c r="A70121" s="1" t="n">
        <v>70120</v>
      </c>
      <c r="B70121">
        <f>TEXT(70120, "[$-0E0000]yyyy-mm-dd")</f>
        <v/>
      </c>
      <c r="C70121" t="inlineStr">
        <is>
          <t>2091-11-15</t>
        </is>
      </c>
    </row>
    <row r="70122">
      <c r="A70122" s="1" t="n">
        <v>70121</v>
      </c>
      <c r="B70122">
        <f>TEXT(70121, "[$-0E0000]yyyy-mm-dd")</f>
        <v/>
      </c>
      <c r="C70122" t="inlineStr">
        <is>
          <t>2091-11-16</t>
        </is>
      </c>
    </row>
    <row r="70123">
      <c r="A70123" s="1" t="n">
        <v>70122</v>
      </c>
      <c r="B70123">
        <f>TEXT(70122, "[$-0E0000]yyyy-mm-dd")</f>
        <v/>
      </c>
      <c r="C70123" t="inlineStr">
        <is>
          <t>2091-11-17</t>
        </is>
      </c>
    </row>
    <row r="70124">
      <c r="A70124" s="1" t="n">
        <v>70123</v>
      </c>
      <c r="B70124">
        <f>TEXT(70123, "[$-0E0000]yyyy-mm-dd")</f>
        <v/>
      </c>
      <c r="C70124" t="inlineStr">
        <is>
          <t>2091-11-18</t>
        </is>
      </c>
    </row>
    <row r="70125">
      <c r="A70125" s="1" t="n">
        <v>70124</v>
      </c>
      <c r="B70125">
        <f>TEXT(70124, "[$-0E0000]yyyy-mm-dd")</f>
        <v/>
      </c>
      <c r="C70125" t="inlineStr">
        <is>
          <t>2091-11-19</t>
        </is>
      </c>
    </row>
    <row r="70126">
      <c r="A70126" s="1" t="n">
        <v>70125</v>
      </c>
      <c r="B70126">
        <f>TEXT(70125, "[$-0E0000]yyyy-mm-dd")</f>
        <v/>
      </c>
      <c r="C70126" t="inlineStr">
        <is>
          <t>2091-11-20</t>
        </is>
      </c>
    </row>
    <row r="70127">
      <c r="A70127" s="1" t="n">
        <v>70126</v>
      </c>
      <c r="B70127">
        <f>TEXT(70126, "[$-0E0000]yyyy-mm-dd")</f>
        <v/>
      </c>
      <c r="C70127" t="inlineStr">
        <is>
          <t>2091-11-21</t>
        </is>
      </c>
    </row>
    <row r="70128">
      <c r="A70128" s="1" t="n">
        <v>70127</v>
      </c>
      <c r="B70128">
        <f>TEXT(70127, "[$-0E0000]yyyy-mm-dd")</f>
        <v/>
      </c>
      <c r="C70128" t="inlineStr">
        <is>
          <t>2091-11-22</t>
        </is>
      </c>
    </row>
    <row r="70129">
      <c r="A70129" s="1" t="n">
        <v>70128</v>
      </c>
      <c r="B70129">
        <f>TEXT(70128, "[$-0E0000]yyyy-mm-dd")</f>
        <v/>
      </c>
      <c r="C70129" t="inlineStr">
        <is>
          <t>2091-11-23</t>
        </is>
      </c>
    </row>
    <row r="70130">
      <c r="A70130" s="1" t="n">
        <v>70129</v>
      </c>
      <c r="B70130">
        <f>TEXT(70129, "[$-0E0000]yyyy-mm-dd")</f>
        <v/>
      </c>
      <c r="C70130" t="inlineStr">
        <is>
          <t>2091-11-24</t>
        </is>
      </c>
    </row>
    <row r="70131">
      <c r="A70131" s="1" t="n">
        <v>70130</v>
      </c>
      <c r="B70131">
        <f>TEXT(70130, "[$-0E0000]yyyy-mm-dd")</f>
        <v/>
      </c>
      <c r="C70131" t="inlineStr">
        <is>
          <t>2091-11-25</t>
        </is>
      </c>
    </row>
    <row r="70132">
      <c r="A70132" s="1" t="n">
        <v>70131</v>
      </c>
      <c r="B70132">
        <f>TEXT(70131, "[$-0E0000]yyyy-mm-dd")</f>
        <v/>
      </c>
      <c r="C70132" t="inlineStr">
        <is>
          <t>2091-11-26</t>
        </is>
      </c>
    </row>
    <row r="70133">
      <c r="A70133" s="1" t="n">
        <v>70132</v>
      </c>
      <c r="B70133">
        <f>TEXT(70132, "[$-0E0000]yyyy-mm-dd")</f>
        <v/>
      </c>
      <c r="C70133" t="inlineStr">
        <is>
          <t>2091-11-27</t>
        </is>
      </c>
    </row>
    <row r="70134">
      <c r="A70134" s="1" t="n">
        <v>70133</v>
      </c>
      <c r="B70134">
        <f>TEXT(70133, "[$-0E0000]yyyy-mm-dd")</f>
        <v/>
      </c>
      <c r="C70134" t="inlineStr">
        <is>
          <t>2091-11-28</t>
        </is>
      </c>
    </row>
    <row r="70135">
      <c r="A70135" s="1" t="n">
        <v>70134</v>
      </c>
      <c r="B70135">
        <f>TEXT(70134, "[$-0E0000]yyyy-mm-dd")</f>
        <v/>
      </c>
      <c r="C70135" t="inlineStr">
        <is>
          <t>2091-11-29</t>
        </is>
      </c>
    </row>
    <row r="70136">
      <c r="A70136" s="1" t="n">
        <v>70135</v>
      </c>
      <c r="B70136">
        <f>TEXT(70135, "[$-0E0000]yyyy-mm-dd")</f>
        <v/>
      </c>
      <c r="C70136" t="inlineStr">
        <is>
          <t>2091-11-30</t>
        </is>
      </c>
    </row>
    <row r="70137">
      <c r="A70137" s="1" t="n">
        <v>70136</v>
      </c>
      <c r="B70137">
        <f>TEXT(70136, "[$-0E0000]yyyy-mm-dd")</f>
        <v/>
      </c>
      <c r="C70137" t="inlineStr">
        <is>
          <t>2091-12-01</t>
        </is>
      </c>
    </row>
    <row r="70138">
      <c r="A70138" s="1" t="n">
        <v>70137</v>
      </c>
      <c r="B70138">
        <f>TEXT(70137, "[$-0E0000]yyyy-mm-dd")</f>
        <v/>
      </c>
      <c r="C70138" t="inlineStr">
        <is>
          <t>2091-12-02</t>
        </is>
      </c>
    </row>
    <row r="70139">
      <c r="A70139" s="1" t="n">
        <v>70138</v>
      </c>
      <c r="B70139">
        <f>TEXT(70138, "[$-0E0000]yyyy-mm-dd")</f>
        <v/>
      </c>
      <c r="C70139" t="inlineStr">
        <is>
          <t>2091-12-03</t>
        </is>
      </c>
    </row>
    <row r="70140">
      <c r="A70140" s="1" t="n">
        <v>70139</v>
      </c>
      <c r="B70140">
        <f>TEXT(70139, "[$-0E0000]yyyy-mm-dd")</f>
        <v/>
      </c>
      <c r="C70140" t="inlineStr">
        <is>
          <t>2091-12-04</t>
        </is>
      </c>
    </row>
    <row r="70141">
      <c r="A70141" s="1" t="n">
        <v>70140</v>
      </c>
      <c r="B70141">
        <f>TEXT(70140, "[$-0E0000]yyyy-mm-dd")</f>
        <v/>
      </c>
      <c r="C70141" t="inlineStr">
        <is>
          <t>2091-12-05</t>
        </is>
      </c>
    </row>
    <row r="70142">
      <c r="A70142" s="1" t="n">
        <v>70141</v>
      </c>
      <c r="B70142">
        <f>TEXT(70141, "[$-0E0000]yyyy-mm-dd")</f>
        <v/>
      </c>
      <c r="C70142" t="inlineStr">
        <is>
          <t>2091-12-06</t>
        </is>
      </c>
    </row>
    <row r="70143">
      <c r="A70143" s="1" t="n">
        <v>70142</v>
      </c>
      <c r="B70143">
        <f>TEXT(70142, "[$-0E0000]yyyy-mm-dd")</f>
        <v/>
      </c>
      <c r="C70143" t="inlineStr">
        <is>
          <t>2091-12-07</t>
        </is>
      </c>
    </row>
    <row r="70144">
      <c r="A70144" s="1" t="n">
        <v>70143</v>
      </c>
      <c r="B70144">
        <f>TEXT(70143, "[$-0E0000]yyyy-mm-dd")</f>
        <v/>
      </c>
      <c r="C70144" t="inlineStr">
        <is>
          <t>2091-12-08</t>
        </is>
      </c>
    </row>
    <row r="70145">
      <c r="A70145" s="1" t="n">
        <v>70144</v>
      </c>
      <c r="B70145">
        <f>TEXT(70144, "[$-0E0000]yyyy-mm-dd")</f>
        <v/>
      </c>
      <c r="C70145" t="inlineStr">
        <is>
          <t>2091-12-09</t>
        </is>
      </c>
    </row>
    <row r="70146">
      <c r="A70146" s="1" t="n">
        <v>70145</v>
      </c>
      <c r="B70146">
        <f>TEXT(70145, "[$-0E0000]yyyy-mm-dd")</f>
        <v/>
      </c>
      <c r="C70146" t="inlineStr">
        <is>
          <t>2091-12-10</t>
        </is>
      </c>
    </row>
    <row r="70147">
      <c r="A70147" s="1" t="n">
        <v>70146</v>
      </c>
      <c r="B70147">
        <f>TEXT(70146, "[$-0E0000]yyyy-mm-dd")</f>
        <v/>
      </c>
      <c r="C70147" t="inlineStr">
        <is>
          <t>2091-12-11</t>
        </is>
      </c>
    </row>
    <row r="70148">
      <c r="A70148" s="1" t="n">
        <v>70147</v>
      </c>
      <c r="B70148">
        <f>TEXT(70147, "[$-0E0000]yyyy-mm-dd")</f>
        <v/>
      </c>
      <c r="C70148" t="inlineStr">
        <is>
          <t>2091-12-12</t>
        </is>
      </c>
    </row>
    <row r="70149">
      <c r="A70149" s="1" t="n">
        <v>70148</v>
      </c>
      <c r="B70149">
        <f>TEXT(70148, "[$-0E0000]yyyy-mm-dd")</f>
        <v/>
      </c>
      <c r="C70149" t="inlineStr">
        <is>
          <t>2091-12-13</t>
        </is>
      </c>
    </row>
    <row r="70150">
      <c r="A70150" s="1" t="n">
        <v>70149</v>
      </c>
      <c r="B70150">
        <f>TEXT(70149, "[$-0E0000]yyyy-mm-dd")</f>
        <v/>
      </c>
      <c r="C70150" t="inlineStr">
        <is>
          <t>2091-12-14</t>
        </is>
      </c>
    </row>
    <row r="70151">
      <c r="A70151" s="1" t="n">
        <v>70150</v>
      </c>
      <c r="B70151">
        <f>TEXT(70150, "[$-0E0000]yyyy-mm-dd")</f>
        <v/>
      </c>
      <c r="C70151" t="inlineStr">
        <is>
          <t>2091-12-15</t>
        </is>
      </c>
    </row>
    <row r="70152">
      <c r="A70152" s="1" t="n">
        <v>70151</v>
      </c>
      <c r="B70152">
        <f>TEXT(70151, "[$-0E0000]yyyy-mm-dd")</f>
        <v/>
      </c>
      <c r="C70152" t="inlineStr">
        <is>
          <t>2091-12-16</t>
        </is>
      </c>
    </row>
    <row r="70153">
      <c r="A70153" s="1" t="n">
        <v>70152</v>
      </c>
      <c r="B70153">
        <f>TEXT(70152, "[$-0E0000]yyyy-mm-dd")</f>
        <v/>
      </c>
      <c r="C70153" t="inlineStr">
        <is>
          <t>2091-12-17</t>
        </is>
      </c>
    </row>
    <row r="70154">
      <c r="A70154" s="1" t="n">
        <v>70153</v>
      </c>
      <c r="B70154">
        <f>TEXT(70153, "[$-0E0000]yyyy-mm-dd")</f>
        <v/>
      </c>
      <c r="C70154" t="inlineStr">
        <is>
          <t>2091-12-18</t>
        </is>
      </c>
    </row>
    <row r="70155">
      <c r="A70155" s="1" t="n">
        <v>70154</v>
      </c>
      <c r="B70155">
        <f>TEXT(70154, "[$-0E0000]yyyy-mm-dd")</f>
        <v/>
      </c>
      <c r="C70155" t="inlineStr">
        <is>
          <t>2091-12-19</t>
        </is>
      </c>
    </row>
    <row r="70156">
      <c r="A70156" s="1" t="n">
        <v>70155</v>
      </c>
      <c r="B70156">
        <f>TEXT(70155, "[$-0E0000]yyyy-mm-dd")</f>
        <v/>
      </c>
      <c r="C70156" t="inlineStr">
        <is>
          <t>2091-12-20</t>
        </is>
      </c>
    </row>
    <row r="70157">
      <c r="A70157" s="1" t="n">
        <v>70156</v>
      </c>
      <c r="B70157">
        <f>TEXT(70156, "[$-0E0000]yyyy-mm-dd")</f>
        <v/>
      </c>
      <c r="C70157" t="inlineStr">
        <is>
          <t>2091-12-21</t>
        </is>
      </c>
    </row>
    <row r="70158">
      <c r="A70158" s="1" t="n">
        <v>70157</v>
      </c>
      <c r="B70158">
        <f>TEXT(70157, "[$-0E0000]yyyy-mm-dd")</f>
        <v/>
      </c>
      <c r="C70158" t="inlineStr">
        <is>
          <t>2091-12-22</t>
        </is>
      </c>
    </row>
    <row r="70159">
      <c r="A70159" s="1" t="n">
        <v>70158</v>
      </c>
      <c r="B70159">
        <f>TEXT(70158, "[$-0E0000]yyyy-mm-dd")</f>
        <v/>
      </c>
      <c r="C70159" t="inlineStr">
        <is>
          <t>2091-12-23</t>
        </is>
      </c>
    </row>
    <row r="70160">
      <c r="A70160" s="1" t="n">
        <v>70159</v>
      </c>
      <c r="B70160">
        <f>TEXT(70159, "[$-0E0000]yyyy-mm-dd")</f>
        <v/>
      </c>
      <c r="C70160" t="inlineStr">
        <is>
          <t>2091-12-24</t>
        </is>
      </c>
    </row>
    <row r="70161">
      <c r="A70161" s="1" t="n">
        <v>70160</v>
      </c>
      <c r="B70161">
        <f>TEXT(70160, "[$-0E0000]yyyy-mm-dd")</f>
        <v/>
      </c>
      <c r="C70161" t="inlineStr">
        <is>
          <t>2091-12-25</t>
        </is>
      </c>
    </row>
    <row r="70162">
      <c r="A70162" s="1" t="n">
        <v>70161</v>
      </c>
      <c r="B70162">
        <f>TEXT(70161, "[$-0E0000]yyyy-mm-dd")</f>
        <v/>
      </c>
      <c r="C70162" t="inlineStr">
        <is>
          <t>2091-12-26</t>
        </is>
      </c>
    </row>
    <row r="70163">
      <c r="A70163" s="1" t="n">
        <v>70162</v>
      </c>
      <c r="B70163">
        <f>TEXT(70162, "[$-0E0000]yyyy-mm-dd")</f>
        <v/>
      </c>
      <c r="C70163" t="inlineStr">
        <is>
          <t>2091-12-27</t>
        </is>
      </c>
    </row>
    <row r="70164">
      <c r="A70164" s="1" t="n">
        <v>70163</v>
      </c>
      <c r="B70164">
        <f>TEXT(70163, "[$-0E0000]yyyy-mm-dd")</f>
        <v/>
      </c>
      <c r="C70164" t="inlineStr">
        <is>
          <t>2091-12-28</t>
        </is>
      </c>
    </row>
    <row r="70165">
      <c r="A70165" s="1" t="n">
        <v>70164</v>
      </c>
      <c r="B70165">
        <f>TEXT(70164, "[$-0E0000]yyyy-mm-dd")</f>
        <v/>
      </c>
      <c r="C70165" t="inlineStr">
        <is>
          <t>2091-12-29</t>
        </is>
      </c>
    </row>
    <row r="70166">
      <c r="A70166" s="1" t="n">
        <v>70165</v>
      </c>
      <c r="B70166">
        <f>TEXT(70165, "[$-0E0000]yyyy-mm-dd")</f>
        <v/>
      </c>
      <c r="C70166" t="inlineStr">
        <is>
          <t>2092-01-01</t>
        </is>
      </c>
    </row>
    <row r="70167">
      <c r="A70167" s="1" t="n">
        <v>70166</v>
      </c>
      <c r="B70167">
        <f>TEXT(70166, "[$-0E0000]yyyy-mm-dd")</f>
        <v/>
      </c>
      <c r="C70167" t="inlineStr">
        <is>
          <t>2092-01-02</t>
        </is>
      </c>
    </row>
    <row r="70168">
      <c r="A70168" s="1" t="n">
        <v>70167</v>
      </c>
      <c r="B70168">
        <f>TEXT(70167, "[$-0E0000]yyyy-mm-dd")</f>
        <v/>
      </c>
      <c r="C70168" t="inlineStr">
        <is>
          <t>2092-01-03</t>
        </is>
      </c>
    </row>
    <row r="70169">
      <c r="A70169" s="1" t="n">
        <v>70168</v>
      </c>
      <c r="B70169">
        <f>TEXT(70168, "[$-0E0000]yyyy-mm-dd")</f>
        <v/>
      </c>
      <c r="C70169" t="inlineStr">
        <is>
          <t>2092-01-04</t>
        </is>
      </c>
    </row>
    <row r="70170">
      <c r="A70170" s="1" t="n">
        <v>70169</v>
      </c>
      <c r="B70170">
        <f>TEXT(70169, "[$-0E0000]yyyy-mm-dd")</f>
        <v/>
      </c>
      <c r="C70170" t="inlineStr">
        <is>
          <t>2092-01-05</t>
        </is>
      </c>
    </row>
    <row r="70171">
      <c r="A70171" s="1" t="n">
        <v>70170</v>
      </c>
      <c r="B70171">
        <f>TEXT(70170, "[$-0E0000]yyyy-mm-dd")</f>
        <v/>
      </c>
      <c r="C70171" t="inlineStr">
        <is>
          <t>2092-01-06</t>
        </is>
      </c>
    </row>
    <row r="70172">
      <c r="A70172" s="1" t="n">
        <v>70171</v>
      </c>
      <c r="B70172">
        <f>TEXT(70171, "[$-0E0000]yyyy-mm-dd")</f>
        <v/>
      </c>
      <c r="C70172" t="inlineStr">
        <is>
          <t>2092-01-07</t>
        </is>
      </c>
    </row>
    <row r="70173">
      <c r="A70173" s="1" t="n">
        <v>70172</v>
      </c>
      <c r="B70173">
        <f>TEXT(70172, "[$-0E0000]yyyy-mm-dd")</f>
        <v/>
      </c>
      <c r="C70173" t="inlineStr">
        <is>
          <t>2092-01-08</t>
        </is>
      </c>
    </row>
    <row r="70174">
      <c r="A70174" s="1" t="n">
        <v>70173</v>
      </c>
      <c r="B70174">
        <f>TEXT(70173, "[$-0E0000]yyyy-mm-dd")</f>
        <v/>
      </c>
      <c r="C70174" t="inlineStr">
        <is>
          <t>2092-01-09</t>
        </is>
      </c>
    </row>
    <row r="70175">
      <c r="A70175" s="1" t="n">
        <v>70174</v>
      </c>
      <c r="B70175">
        <f>TEXT(70174, "[$-0E0000]yyyy-mm-dd")</f>
        <v/>
      </c>
      <c r="C70175" t="inlineStr">
        <is>
          <t>2092-01-10</t>
        </is>
      </c>
    </row>
    <row r="70176">
      <c r="A70176" s="1" t="n">
        <v>70175</v>
      </c>
      <c r="B70176">
        <f>TEXT(70175, "[$-0E0000]yyyy-mm-dd")</f>
        <v/>
      </c>
      <c r="C70176" t="inlineStr">
        <is>
          <t>2092-01-11</t>
        </is>
      </c>
    </row>
    <row r="70177">
      <c r="A70177" s="1" t="n">
        <v>70176</v>
      </c>
      <c r="B70177">
        <f>TEXT(70176, "[$-0E0000]yyyy-mm-dd")</f>
        <v/>
      </c>
      <c r="C70177" t="inlineStr">
        <is>
          <t>2092-01-12</t>
        </is>
      </c>
    </row>
    <row r="70178">
      <c r="A70178" s="1" t="n">
        <v>70177</v>
      </c>
      <c r="B70178">
        <f>TEXT(70177, "[$-0E0000]yyyy-mm-dd")</f>
        <v/>
      </c>
      <c r="C70178" t="inlineStr">
        <is>
          <t>2092-01-13</t>
        </is>
      </c>
    </row>
    <row r="70179">
      <c r="A70179" s="1" t="n">
        <v>70178</v>
      </c>
      <c r="B70179">
        <f>TEXT(70178, "[$-0E0000]yyyy-mm-dd")</f>
        <v/>
      </c>
      <c r="C70179" t="inlineStr">
        <is>
          <t>2092-01-14</t>
        </is>
      </c>
    </row>
    <row r="70180">
      <c r="A70180" s="1" t="n">
        <v>70179</v>
      </c>
      <c r="B70180">
        <f>TEXT(70179, "[$-0E0000]yyyy-mm-dd")</f>
        <v/>
      </c>
      <c r="C70180" t="inlineStr">
        <is>
          <t>2092-01-15</t>
        </is>
      </c>
    </row>
    <row r="70181">
      <c r="A70181" s="1" t="n">
        <v>70180</v>
      </c>
      <c r="B70181">
        <f>TEXT(70180, "[$-0E0000]yyyy-mm-dd")</f>
        <v/>
      </c>
      <c r="C70181" t="inlineStr">
        <is>
          <t>2092-01-16</t>
        </is>
      </c>
    </row>
    <row r="70182">
      <c r="A70182" s="1" t="n">
        <v>70181</v>
      </c>
      <c r="B70182">
        <f>TEXT(70181, "[$-0E0000]yyyy-mm-dd")</f>
        <v/>
      </c>
      <c r="C70182" t="inlineStr">
        <is>
          <t>2092-01-17</t>
        </is>
      </c>
    </row>
    <row r="70183">
      <c r="A70183" s="1" t="n">
        <v>70182</v>
      </c>
      <c r="B70183">
        <f>TEXT(70182, "[$-0E0000]yyyy-mm-dd")</f>
        <v/>
      </c>
      <c r="C70183" t="inlineStr">
        <is>
          <t>2092-01-18</t>
        </is>
      </c>
    </row>
    <row r="70184">
      <c r="A70184" s="1" t="n">
        <v>70183</v>
      </c>
      <c r="B70184">
        <f>TEXT(70183, "[$-0E0000]yyyy-mm-dd")</f>
        <v/>
      </c>
      <c r="C70184" t="inlineStr">
        <is>
          <t>2092-01-19</t>
        </is>
      </c>
    </row>
    <row r="70185">
      <c r="A70185" s="1" t="n">
        <v>70184</v>
      </c>
      <c r="B70185">
        <f>TEXT(70184, "[$-0E0000]yyyy-mm-dd")</f>
        <v/>
      </c>
      <c r="C70185" t="inlineStr">
        <is>
          <t>2092-01-20</t>
        </is>
      </c>
    </row>
    <row r="70186">
      <c r="A70186" s="1" t="n">
        <v>70185</v>
      </c>
      <c r="B70186">
        <f>TEXT(70185, "[$-0E0000]yyyy-mm-dd")</f>
        <v/>
      </c>
      <c r="C70186" t="inlineStr">
        <is>
          <t>2092-01-21</t>
        </is>
      </c>
    </row>
    <row r="70187">
      <c r="A70187" s="1" t="n">
        <v>70186</v>
      </c>
      <c r="B70187">
        <f>TEXT(70186, "[$-0E0000]yyyy-mm-dd")</f>
        <v/>
      </c>
      <c r="C70187" t="inlineStr">
        <is>
          <t>2092-01-22</t>
        </is>
      </c>
    </row>
    <row r="70188">
      <c r="A70188" s="1" t="n">
        <v>70187</v>
      </c>
      <c r="B70188">
        <f>TEXT(70187, "[$-0E0000]yyyy-mm-dd")</f>
        <v/>
      </c>
      <c r="C70188" t="inlineStr">
        <is>
          <t>2092-01-23</t>
        </is>
      </c>
    </row>
    <row r="70189">
      <c r="A70189" s="1" t="n">
        <v>70188</v>
      </c>
      <c r="B70189">
        <f>TEXT(70188, "[$-0E0000]yyyy-mm-dd")</f>
        <v/>
      </c>
      <c r="C70189" t="inlineStr">
        <is>
          <t>2092-01-24</t>
        </is>
      </c>
    </row>
    <row r="70190">
      <c r="A70190" s="1" t="n">
        <v>70189</v>
      </c>
      <c r="B70190">
        <f>TEXT(70189, "[$-0E0000]yyyy-mm-dd")</f>
        <v/>
      </c>
      <c r="C70190" t="inlineStr">
        <is>
          <t>2092-01-25</t>
        </is>
      </c>
    </row>
    <row r="70191">
      <c r="A70191" s="1" t="n">
        <v>70190</v>
      </c>
      <c r="B70191">
        <f>TEXT(70190, "[$-0E0000]yyyy-mm-dd")</f>
        <v/>
      </c>
      <c r="C70191" t="inlineStr">
        <is>
          <t>2092-01-26</t>
        </is>
      </c>
    </row>
    <row r="70192">
      <c r="A70192" s="1" t="n">
        <v>70191</v>
      </c>
      <c r="B70192">
        <f>TEXT(70191, "[$-0E0000]yyyy-mm-dd")</f>
        <v/>
      </c>
      <c r="C70192" t="inlineStr">
        <is>
          <t>2092-01-27</t>
        </is>
      </c>
    </row>
    <row r="70193">
      <c r="A70193" s="1" t="n">
        <v>70192</v>
      </c>
      <c r="B70193">
        <f>TEXT(70192, "[$-0E0000]yyyy-mm-dd")</f>
        <v/>
      </c>
      <c r="C70193" t="inlineStr">
        <is>
          <t>2092-01-28</t>
        </is>
      </c>
    </row>
    <row r="70194">
      <c r="A70194" s="1" t="n">
        <v>70193</v>
      </c>
      <c r="B70194">
        <f>TEXT(70193, "[$-0E0000]yyyy-mm-dd")</f>
        <v/>
      </c>
      <c r="C70194" t="inlineStr">
        <is>
          <t>2092-01-29</t>
        </is>
      </c>
    </row>
    <row r="70195">
      <c r="A70195" s="1" t="n">
        <v>70194</v>
      </c>
      <c r="B70195">
        <f>TEXT(70194, "[$-0E0000]yyyy-mm-dd")</f>
        <v/>
      </c>
      <c r="C70195" t="inlineStr">
        <is>
          <t>2092-01-30</t>
        </is>
      </c>
    </row>
    <row r="70196">
      <c r="A70196" s="1" t="n">
        <v>70195</v>
      </c>
      <c r="B70196">
        <f>TEXT(70195, "[$-0E0000]yyyy-mm-dd")</f>
        <v/>
      </c>
      <c r="C70196" t="inlineStr">
        <is>
          <t>2092-02-01</t>
        </is>
      </c>
    </row>
    <row r="70197">
      <c r="A70197" s="1" t="n">
        <v>70196</v>
      </c>
      <c r="B70197">
        <f>TEXT(70196, "[$-0E0000]yyyy-mm-dd")</f>
        <v/>
      </c>
      <c r="C70197" t="inlineStr">
        <is>
          <t>2092-02-02</t>
        </is>
      </c>
    </row>
    <row r="70198">
      <c r="A70198" s="1" t="n">
        <v>70197</v>
      </c>
      <c r="B70198">
        <f>TEXT(70197, "[$-0E0000]yyyy-mm-dd")</f>
        <v/>
      </c>
      <c r="C70198" t="inlineStr">
        <is>
          <t>2092-02-03</t>
        </is>
      </c>
    </row>
    <row r="70199">
      <c r="A70199" s="1" t="n">
        <v>70198</v>
      </c>
      <c r="B70199">
        <f>TEXT(70198, "[$-0E0000]yyyy-mm-dd")</f>
        <v/>
      </c>
      <c r="C70199" t="inlineStr">
        <is>
          <t>2092-02-04</t>
        </is>
      </c>
    </row>
    <row r="70200">
      <c r="A70200" s="1" t="n">
        <v>70199</v>
      </c>
      <c r="B70200">
        <f>TEXT(70199, "[$-0E0000]yyyy-mm-dd")</f>
        <v/>
      </c>
      <c r="C70200" t="inlineStr">
        <is>
          <t>2092-02-05</t>
        </is>
      </c>
    </row>
    <row r="70201">
      <c r="A70201" s="1" t="n">
        <v>70200</v>
      </c>
      <c r="B70201">
        <f>TEXT(70200, "[$-0E0000]yyyy-mm-dd")</f>
        <v/>
      </c>
      <c r="C70201" t="inlineStr">
        <is>
          <t>2092-02-06</t>
        </is>
      </c>
    </row>
    <row r="70202">
      <c r="A70202" s="1" t="n">
        <v>70201</v>
      </c>
      <c r="B70202">
        <f>TEXT(70201, "[$-0E0000]yyyy-mm-dd")</f>
        <v/>
      </c>
      <c r="C70202" t="inlineStr">
        <is>
          <t>2092-02-07</t>
        </is>
      </c>
    </row>
    <row r="70203">
      <c r="A70203" s="1" t="n">
        <v>70202</v>
      </c>
      <c r="B70203">
        <f>TEXT(70202, "[$-0E0000]yyyy-mm-dd")</f>
        <v/>
      </c>
      <c r="C70203" t="inlineStr">
        <is>
          <t>2092-02-08</t>
        </is>
      </c>
    </row>
    <row r="70204">
      <c r="A70204" s="1" t="n">
        <v>70203</v>
      </c>
      <c r="B70204">
        <f>TEXT(70203, "[$-0E0000]yyyy-mm-dd")</f>
        <v/>
      </c>
      <c r="C70204" t="inlineStr">
        <is>
          <t>2092-02-09</t>
        </is>
      </c>
    </row>
    <row r="70205">
      <c r="A70205" s="1" t="n">
        <v>70204</v>
      </c>
      <c r="B70205">
        <f>TEXT(70204, "[$-0E0000]yyyy-mm-dd")</f>
        <v/>
      </c>
      <c r="C70205" t="inlineStr">
        <is>
          <t>2092-02-10</t>
        </is>
      </c>
    </row>
    <row r="70206">
      <c r="A70206" s="1" t="n">
        <v>70205</v>
      </c>
      <c r="B70206">
        <f>TEXT(70205, "[$-0E0000]yyyy-mm-dd")</f>
        <v/>
      </c>
      <c r="C70206" t="inlineStr">
        <is>
          <t>2092-02-11</t>
        </is>
      </c>
    </row>
    <row r="70207">
      <c r="A70207" s="1" t="n">
        <v>70206</v>
      </c>
      <c r="B70207">
        <f>TEXT(70206, "[$-0E0000]yyyy-mm-dd")</f>
        <v/>
      </c>
      <c r="C70207" t="inlineStr">
        <is>
          <t>2092-02-12</t>
        </is>
      </c>
    </row>
    <row r="70208">
      <c r="A70208" s="1" t="n">
        <v>70207</v>
      </c>
      <c r="B70208">
        <f>TEXT(70207, "[$-0E0000]yyyy-mm-dd")</f>
        <v/>
      </c>
      <c r="C70208" t="inlineStr">
        <is>
          <t>2092-02-13</t>
        </is>
      </c>
    </row>
    <row r="70209">
      <c r="A70209" s="1" t="n">
        <v>70208</v>
      </c>
      <c r="B70209">
        <f>TEXT(70208, "[$-0E0000]yyyy-mm-dd")</f>
        <v/>
      </c>
      <c r="C70209" t="inlineStr">
        <is>
          <t>2092-02-14</t>
        </is>
      </c>
    </row>
    <row r="70210">
      <c r="A70210" s="1" t="n">
        <v>70209</v>
      </c>
      <c r="B70210">
        <f>TEXT(70209, "[$-0E0000]yyyy-mm-dd")</f>
        <v/>
      </c>
      <c r="C70210" t="inlineStr">
        <is>
          <t>2092-02-15</t>
        </is>
      </c>
    </row>
    <row r="70211">
      <c r="A70211" s="1" t="n">
        <v>70210</v>
      </c>
      <c r="B70211">
        <f>TEXT(70210, "[$-0E0000]yyyy-mm-dd")</f>
        <v/>
      </c>
      <c r="C70211" t="inlineStr">
        <is>
          <t>2092-02-16</t>
        </is>
      </c>
    </row>
    <row r="70212">
      <c r="A70212" s="1" t="n">
        <v>70211</v>
      </c>
      <c r="B70212">
        <f>TEXT(70211, "[$-0E0000]yyyy-mm-dd")</f>
        <v/>
      </c>
      <c r="C70212" t="inlineStr">
        <is>
          <t>2092-02-17</t>
        </is>
      </c>
    </row>
    <row r="70213">
      <c r="A70213" s="1" t="n">
        <v>70212</v>
      </c>
      <c r="B70213">
        <f>TEXT(70212, "[$-0E0000]yyyy-mm-dd")</f>
        <v/>
      </c>
      <c r="C70213" t="inlineStr">
        <is>
          <t>2092-02-18</t>
        </is>
      </c>
    </row>
    <row r="70214">
      <c r="A70214" s="1" t="n">
        <v>70213</v>
      </c>
      <c r="B70214">
        <f>TEXT(70213, "[$-0E0000]yyyy-mm-dd")</f>
        <v/>
      </c>
      <c r="C70214" t="inlineStr">
        <is>
          <t>2092-02-19</t>
        </is>
      </c>
    </row>
    <row r="70215">
      <c r="A70215" s="1" t="n">
        <v>70214</v>
      </c>
      <c r="B70215">
        <f>TEXT(70214, "[$-0E0000]yyyy-mm-dd")</f>
        <v/>
      </c>
      <c r="C70215" t="inlineStr">
        <is>
          <t>2092-02-20</t>
        </is>
      </c>
    </row>
    <row r="70216">
      <c r="A70216" s="1" t="n">
        <v>70215</v>
      </c>
      <c r="B70216">
        <f>TEXT(70215, "[$-0E0000]yyyy-mm-dd")</f>
        <v/>
      </c>
      <c r="C70216" t="inlineStr">
        <is>
          <t>2092-02-21</t>
        </is>
      </c>
    </row>
    <row r="70217">
      <c r="A70217" s="1" t="n">
        <v>70216</v>
      </c>
      <c r="B70217">
        <f>TEXT(70216, "[$-0E0000]yyyy-mm-dd")</f>
        <v/>
      </c>
      <c r="C70217" t="inlineStr">
        <is>
          <t>2092-02-22</t>
        </is>
      </c>
    </row>
    <row r="70218">
      <c r="A70218" s="1" t="n">
        <v>70217</v>
      </c>
      <c r="B70218">
        <f>TEXT(70217, "[$-0E0000]yyyy-mm-dd")</f>
        <v/>
      </c>
      <c r="C70218" t="inlineStr">
        <is>
          <t>2092-02-23</t>
        </is>
      </c>
    </row>
    <row r="70219">
      <c r="A70219" s="1" t="n">
        <v>70218</v>
      </c>
      <c r="B70219">
        <f>TEXT(70218, "[$-0E0000]yyyy-mm-dd")</f>
        <v/>
      </c>
      <c r="C70219" t="inlineStr">
        <is>
          <t>2092-02-24</t>
        </is>
      </c>
    </row>
    <row r="70220">
      <c r="A70220" s="1" t="n">
        <v>70219</v>
      </c>
      <c r="B70220">
        <f>TEXT(70219, "[$-0E0000]yyyy-mm-dd")</f>
        <v/>
      </c>
      <c r="C70220" t="inlineStr">
        <is>
          <t>2092-02-25</t>
        </is>
      </c>
    </row>
    <row r="70221">
      <c r="A70221" s="1" t="n">
        <v>70220</v>
      </c>
      <c r="B70221">
        <f>TEXT(70220, "[$-0E0000]yyyy-mm-dd")</f>
        <v/>
      </c>
      <c r="C70221" t="inlineStr">
        <is>
          <t>2092-02-26</t>
        </is>
      </c>
    </row>
    <row r="70222">
      <c r="A70222" s="1" t="n">
        <v>70221</v>
      </c>
      <c r="B70222">
        <f>TEXT(70221, "[$-0E0000]yyyy-mm-dd")</f>
        <v/>
      </c>
      <c r="C70222" t="inlineStr">
        <is>
          <t>2092-02-27</t>
        </is>
      </c>
    </row>
    <row r="70223">
      <c r="A70223" s="1" t="n">
        <v>70222</v>
      </c>
      <c r="B70223">
        <f>TEXT(70222, "[$-0E0000]yyyy-mm-dd")</f>
        <v/>
      </c>
      <c r="C70223" t="inlineStr">
        <is>
          <t>2092-02-28</t>
        </is>
      </c>
    </row>
    <row r="70224">
      <c r="A70224" s="1" t="n">
        <v>70223</v>
      </c>
      <c r="B70224">
        <f>TEXT(70223, "[$-0E0000]yyyy-mm-dd")</f>
        <v/>
      </c>
      <c r="C70224" t="inlineStr">
        <is>
          <t>2092-02-29</t>
        </is>
      </c>
    </row>
    <row r="70225">
      <c r="A70225" s="1" t="n">
        <v>70224</v>
      </c>
      <c r="B70225">
        <f>TEXT(70224, "[$-0E0000]yyyy-mm-dd")</f>
        <v/>
      </c>
      <c r="C70225" t="inlineStr">
        <is>
          <t>2092-02-30</t>
        </is>
      </c>
    </row>
    <row r="70226">
      <c r="A70226" s="1" t="n">
        <v>70225</v>
      </c>
      <c r="B70226">
        <f>TEXT(70225, "[$-0E0000]yyyy-mm-dd")</f>
        <v/>
      </c>
      <c r="C70226" t="inlineStr">
        <is>
          <t>2092-03-01</t>
        </is>
      </c>
    </row>
    <row r="70227">
      <c r="A70227" s="1" t="n">
        <v>70226</v>
      </c>
      <c r="B70227">
        <f>TEXT(70226, "[$-0E0000]yyyy-mm-dd")</f>
        <v/>
      </c>
      <c r="C70227" t="inlineStr">
        <is>
          <t>2092-03-02</t>
        </is>
      </c>
    </row>
    <row r="70228">
      <c r="A70228" s="1" t="n">
        <v>70227</v>
      </c>
      <c r="B70228">
        <f>TEXT(70227, "[$-0E0000]yyyy-mm-dd")</f>
        <v/>
      </c>
      <c r="C70228" t="inlineStr">
        <is>
          <t>2092-03-03</t>
        </is>
      </c>
    </row>
    <row r="70229">
      <c r="A70229" s="1" t="n">
        <v>70228</v>
      </c>
      <c r="B70229">
        <f>TEXT(70228, "[$-0E0000]yyyy-mm-dd")</f>
        <v/>
      </c>
      <c r="C70229" t="inlineStr">
        <is>
          <t>2092-03-04</t>
        </is>
      </c>
    </row>
    <row r="70230">
      <c r="A70230" s="1" t="n">
        <v>70229</v>
      </c>
      <c r="B70230">
        <f>TEXT(70229, "[$-0E0000]yyyy-mm-dd")</f>
        <v/>
      </c>
      <c r="C70230" t="inlineStr">
        <is>
          <t>2092-03-05</t>
        </is>
      </c>
    </row>
    <row r="70231">
      <c r="A70231" s="1" t="n">
        <v>70230</v>
      </c>
      <c r="B70231">
        <f>TEXT(70230, "[$-0E0000]yyyy-mm-dd")</f>
        <v/>
      </c>
      <c r="C70231" t="inlineStr">
        <is>
          <t>2092-03-06</t>
        </is>
      </c>
    </row>
    <row r="70232">
      <c r="A70232" s="1" t="n">
        <v>70231</v>
      </c>
      <c r="B70232">
        <f>TEXT(70231, "[$-0E0000]yyyy-mm-dd")</f>
        <v/>
      </c>
      <c r="C70232" t="inlineStr">
        <is>
          <t>2092-03-07</t>
        </is>
      </c>
    </row>
    <row r="70233">
      <c r="A70233" s="1" t="n">
        <v>70232</v>
      </c>
      <c r="B70233">
        <f>TEXT(70232, "[$-0E0000]yyyy-mm-dd")</f>
        <v/>
      </c>
      <c r="C70233" t="inlineStr">
        <is>
          <t>2092-03-08</t>
        </is>
      </c>
    </row>
    <row r="70234">
      <c r="A70234" s="1" t="n">
        <v>70233</v>
      </c>
      <c r="B70234">
        <f>TEXT(70233, "[$-0E0000]yyyy-mm-dd")</f>
        <v/>
      </c>
      <c r="C70234" t="inlineStr">
        <is>
          <t>2092-03-09</t>
        </is>
      </c>
    </row>
    <row r="70235">
      <c r="A70235" s="1" t="n">
        <v>70234</v>
      </c>
      <c r="B70235">
        <f>TEXT(70234, "[$-0E0000]yyyy-mm-dd")</f>
        <v/>
      </c>
      <c r="C70235" t="inlineStr">
        <is>
          <t>2092-03-10</t>
        </is>
      </c>
    </row>
    <row r="70236">
      <c r="A70236" s="1" t="n">
        <v>70235</v>
      </c>
      <c r="B70236">
        <f>TEXT(70235, "[$-0E0000]yyyy-mm-dd")</f>
        <v/>
      </c>
      <c r="C70236" t="inlineStr">
        <is>
          <t>2092-03-11</t>
        </is>
      </c>
    </row>
    <row r="70237">
      <c r="A70237" s="1" t="n">
        <v>70236</v>
      </c>
      <c r="B70237">
        <f>TEXT(70236, "[$-0E0000]yyyy-mm-dd")</f>
        <v/>
      </c>
      <c r="C70237" t="inlineStr">
        <is>
          <t>2092-03-12</t>
        </is>
      </c>
    </row>
    <row r="70238">
      <c r="A70238" s="1" t="n">
        <v>70237</v>
      </c>
      <c r="B70238">
        <f>TEXT(70237, "[$-0E0000]yyyy-mm-dd")</f>
        <v/>
      </c>
      <c r="C70238" t="inlineStr">
        <is>
          <t>2092-03-13</t>
        </is>
      </c>
    </row>
    <row r="70239">
      <c r="A70239" s="1" t="n">
        <v>70238</v>
      </c>
      <c r="B70239">
        <f>TEXT(70238, "[$-0E0000]yyyy-mm-dd")</f>
        <v/>
      </c>
      <c r="C70239" t="inlineStr">
        <is>
          <t>2092-03-14</t>
        </is>
      </c>
    </row>
    <row r="70240">
      <c r="A70240" s="1" t="n">
        <v>70239</v>
      </c>
      <c r="B70240">
        <f>TEXT(70239, "[$-0E0000]yyyy-mm-dd")</f>
        <v/>
      </c>
      <c r="C70240" t="inlineStr">
        <is>
          <t>2092-03-15</t>
        </is>
      </c>
    </row>
    <row r="70241">
      <c r="A70241" s="1" t="n">
        <v>70240</v>
      </c>
      <c r="B70241">
        <f>TEXT(70240, "[$-0E0000]yyyy-mm-dd")</f>
        <v/>
      </c>
      <c r="C70241" t="inlineStr">
        <is>
          <t>2092-03-16</t>
        </is>
      </c>
    </row>
    <row r="70242">
      <c r="A70242" s="1" t="n">
        <v>70241</v>
      </c>
      <c r="B70242">
        <f>TEXT(70241, "[$-0E0000]yyyy-mm-dd")</f>
        <v/>
      </c>
      <c r="C70242" t="inlineStr">
        <is>
          <t>2092-03-17</t>
        </is>
      </c>
    </row>
    <row r="70243">
      <c r="A70243" s="1" t="n">
        <v>70242</v>
      </c>
      <c r="B70243">
        <f>TEXT(70242, "[$-0E0000]yyyy-mm-dd")</f>
        <v/>
      </c>
      <c r="C70243" t="inlineStr">
        <is>
          <t>2092-03-18</t>
        </is>
      </c>
    </row>
    <row r="70244">
      <c r="A70244" s="1" t="n">
        <v>70243</v>
      </c>
      <c r="B70244">
        <f>TEXT(70243, "[$-0E0000]yyyy-mm-dd")</f>
        <v/>
      </c>
      <c r="C70244" t="inlineStr">
        <is>
          <t>2092-03-19</t>
        </is>
      </c>
    </row>
    <row r="70245">
      <c r="A70245" s="1" t="n">
        <v>70244</v>
      </c>
      <c r="B70245">
        <f>TEXT(70244, "[$-0E0000]yyyy-mm-dd")</f>
        <v/>
      </c>
      <c r="C70245" t="inlineStr">
        <is>
          <t>2092-03-20</t>
        </is>
      </c>
    </row>
    <row r="70246">
      <c r="A70246" s="1" t="n">
        <v>70245</v>
      </c>
      <c r="B70246">
        <f>TEXT(70245, "[$-0E0000]yyyy-mm-dd")</f>
        <v/>
      </c>
      <c r="C70246" t="inlineStr">
        <is>
          <t>2092-03-21</t>
        </is>
      </c>
    </row>
    <row r="70247">
      <c r="A70247" s="1" t="n">
        <v>70246</v>
      </c>
      <c r="B70247">
        <f>TEXT(70246, "[$-0E0000]yyyy-mm-dd")</f>
        <v/>
      </c>
      <c r="C70247" t="inlineStr">
        <is>
          <t>2092-03-22</t>
        </is>
      </c>
    </row>
    <row r="70248">
      <c r="A70248" s="1" t="n">
        <v>70247</v>
      </c>
      <c r="B70248">
        <f>TEXT(70247, "[$-0E0000]yyyy-mm-dd")</f>
        <v/>
      </c>
      <c r="C70248" t="inlineStr">
        <is>
          <t>2092-03-23</t>
        </is>
      </c>
    </row>
    <row r="70249">
      <c r="A70249" s="1" t="n">
        <v>70248</v>
      </c>
      <c r="B70249">
        <f>TEXT(70248, "[$-0E0000]yyyy-mm-dd")</f>
        <v/>
      </c>
      <c r="C70249" t="inlineStr">
        <is>
          <t>2092-03-24</t>
        </is>
      </c>
    </row>
    <row r="70250">
      <c r="A70250" s="1" t="n">
        <v>70249</v>
      </c>
      <c r="B70250">
        <f>TEXT(70249, "[$-0E0000]yyyy-mm-dd")</f>
        <v/>
      </c>
      <c r="C70250" t="inlineStr">
        <is>
          <t>2092-03-25</t>
        </is>
      </c>
    </row>
    <row r="70251">
      <c r="A70251" s="1" t="n">
        <v>70250</v>
      </c>
      <c r="B70251">
        <f>TEXT(70250, "[$-0E0000]yyyy-mm-dd")</f>
        <v/>
      </c>
      <c r="C70251" t="inlineStr">
        <is>
          <t>2092-03-26</t>
        </is>
      </c>
    </row>
    <row r="70252">
      <c r="A70252" s="1" t="n">
        <v>70251</v>
      </c>
      <c r="B70252">
        <f>TEXT(70251, "[$-0E0000]yyyy-mm-dd")</f>
        <v/>
      </c>
      <c r="C70252" t="inlineStr">
        <is>
          <t>2092-03-27</t>
        </is>
      </c>
    </row>
    <row r="70253">
      <c r="A70253" s="1" t="n">
        <v>70252</v>
      </c>
      <c r="B70253">
        <f>TEXT(70252, "[$-0E0000]yyyy-mm-dd")</f>
        <v/>
      </c>
      <c r="C70253" t="inlineStr">
        <is>
          <t>2092-03-28</t>
        </is>
      </c>
    </row>
    <row r="70254">
      <c r="A70254" s="1" t="n">
        <v>70253</v>
      </c>
      <c r="B70254">
        <f>TEXT(70253, "[$-0E0000]yyyy-mm-dd")</f>
        <v/>
      </c>
      <c r="C70254" t="inlineStr">
        <is>
          <t>2092-03-29</t>
        </is>
      </c>
    </row>
    <row r="70255">
      <c r="A70255" s="1" t="n">
        <v>70254</v>
      </c>
      <c r="B70255">
        <f>TEXT(70254, "[$-0E0000]yyyy-mm-dd")</f>
        <v/>
      </c>
      <c r="C70255" t="inlineStr">
        <is>
          <t>2092-04-01</t>
        </is>
      </c>
    </row>
    <row r="70256">
      <c r="A70256" s="1" t="n">
        <v>70255</v>
      </c>
      <c r="B70256">
        <f>TEXT(70255, "[$-0E0000]yyyy-mm-dd")</f>
        <v/>
      </c>
      <c r="C70256" t="inlineStr">
        <is>
          <t>2092-04-02</t>
        </is>
      </c>
    </row>
    <row r="70257">
      <c r="A70257" s="1" t="n">
        <v>70256</v>
      </c>
      <c r="B70257">
        <f>TEXT(70256, "[$-0E0000]yyyy-mm-dd")</f>
        <v/>
      </c>
      <c r="C70257" t="inlineStr">
        <is>
          <t>2092-04-03</t>
        </is>
      </c>
    </row>
    <row r="70258">
      <c r="A70258" s="1" t="n">
        <v>70257</v>
      </c>
      <c r="B70258">
        <f>TEXT(70257, "[$-0E0000]yyyy-mm-dd")</f>
        <v/>
      </c>
      <c r="C70258" t="inlineStr">
        <is>
          <t>2092-04-04</t>
        </is>
      </c>
    </row>
    <row r="70259">
      <c r="A70259" s="1" t="n">
        <v>70258</v>
      </c>
      <c r="B70259">
        <f>TEXT(70258, "[$-0E0000]yyyy-mm-dd")</f>
        <v/>
      </c>
      <c r="C70259" t="inlineStr">
        <is>
          <t>2092-04-05</t>
        </is>
      </c>
    </row>
    <row r="70260">
      <c r="A70260" s="1" t="n">
        <v>70259</v>
      </c>
      <c r="B70260">
        <f>TEXT(70259, "[$-0E0000]yyyy-mm-dd")</f>
        <v/>
      </c>
      <c r="C70260" t="inlineStr">
        <is>
          <t>2092-04-06</t>
        </is>
      </c>
    </row>
    <row r="70261">
      <c r="A70261" s="1" t="n">
        <v>70260</v>
      </c>
      <c r="B70261">
        <f>TEXT(70260, "[$-0E0000]yyyy-mm-dd")</f>
        <v/>
      </c>
      <c r="C70261" t="inlineStr">
        <is>
          <t>2092-04-07</t>
        </is>
      </c>
    </row>
    <row r="70262">
      <c r="A70262" s="1" t="n">
        <v>70261</v>
      </c>
      <c r="B70262">
        <f>TEXT(70261, "[$-0E0000]yyyy-mm-dd")</f>
        <v/>
      </c>
      <c r="C70262" t="inlineStr">
        <is>
          <t>2092-04-08</t>
        </is>
      </c>
    </row>
    <row r="70263">
      <c r="A70263" s="1" t="n">
        <v>70262</v>
      </c>
      <c r="B70263">
        <f>TEXT(70262, "[$-0E0000]yyyy-mm-dd")</f>
        <v/>
      </c>
      <c r="C70263" t="inlineStr">
        <is>
          <t>2092-04-09</t>
        </is>
      </c>
    </row>
    <row r="70264">
      <c r="A70264" s="1" t="n">
        <v>70263</v>
      </c>
      <c r="B70264">
        <f>TEXT(70263, "[$-0E0000]yyyy-mm-dd")</f>
        <v/>
      </c>
      <c r="C70264" t="inlineStr">
        <is>
          <t>2092-04-10</t>
        </is>
      </c>
    </row>
    <row r="70265">
      <c r="A70265" s="1" t="n">
        <v>70264</v>
      </c>
      <c r="B70265">
        <f>TEXT(70264, "[$-0E0000]yyyy-mm-dd")</f>
        <v/>
      </c>
      <c r="C70265" t="inlineStr">
        <is>
          <t>2092-04-11</t>
        </is>
      </c>
    </row>
    <row r="70266">
      <c r="A70266" s="1" t="n">
        <v>70265</v>
      </c>
      <c r="B70266">
        <f>TEXT(70265, "[$-0E0000]yyyy-mm-dd")</f>
        <v/>
      </c>
      <c r="C70266" t="inlineStr">
        <is>
          <t>2092-04-12</t>
        </is>
      </c>
    </row>
    <row r="70267">
      <c r="A70267" s="1" t="n">
        <v>70266</v>
      </c>
      <c r="B70267">
        <f>TEXT(70266, "[$-0E0000]yyyy-mm-dd")</f>
        <v/>
      </c>
      <c r="C70267" t="inlineStr">
        <is>
          <t>2092-04-13</t>
        </is>
      </c>
    </row>
    <row r="70268">
      <c r="A70268" s="1" t="n">
        <v>70267</v>
      </c>
      <c r="B70268">
        <f>TEXT(70267, "[$-0E0000]yyyy-mm-dd")</f>
        <v/>
      </c>
      <c r="C70268" t="inlineStr">
        <is>
          <t>2092-04-14</t>
        </is>
      </c>
    </row>
    <row r="70269">
      <c r="A70269" s="1" t="n">
        <v>70268</v>
      </c>
      <c r="B70269">
        <f>TEXT(70268, "[$-0E0000]yyyy-mm-dd")</f>
        <v/>
      </c>
      <c r="C70269" t="inlineStr">
        <is>
          <t>2092-04-15</t>
        </is>
      </c>
    </row>
    <row r="70270">
      <c r="A70270" s="1" t="n">
        <v>70269</v>
      </c>
      <c r="B70270">
        <f>TEXT(70269, "[$-0E0000]yyyy-mm-dd")</f>
        <v/>
      </c>
      <c r="C70270" t="inlineStr">
        <is>
          <t>2092-04-16</t>
        </is>
      </c>
    </row>
    <row r="70271">
      <c r="A70271" s="1" t="n">
        <v>70270</v>
      </c>
      <c r="B70271">
        <f>TEXT(70270, "[$-0E0000]yyyy-mm-dd")</f>
        <v/>
      </c>
      <c r="C70271" t="inlineStr">
        <is>
          <t>2092-04-17</t>
        </is>
      </c>
    </row>
    <row r="70272">
      <c r="A70272" s="1" t="n">
        <v>70271</v>
      </c>
      <c r="B70272">
        <f>TEXT(70271, "[$-0E0000]yyyy-mm-dd")</f>
        <v/>
      </c>
      <c r="C70272" t="inlineStr">
        <is>
          <t>2092-04-18</t>
        </is>
      </c>
    </row>
    <row r="70273">
      <c r="A70273" s="1" t="n">
        <v>70272</v>
      </c>
      <c r="B70273">
        <f>TEXT(70272, "[$-0E0000]yyyy-mm-dd")</f>
        <v/>
      </c>
      <c r="C70273" t="inlineStr">
        <is>
          <t>2092-04-19</t>
        </is>
      </c>
    </row>
    <row r="70274">
      <c r="A70274" s="1" t="n">
        <v>70273</v>
      </c>
      <c r="B70274">
        <f>TEXT(70273, "[$-0E0000]yyyy-mm-dd")</f>
        <v/>
      </c>
      <c r="C70274" t="inlineStr">
        <is>
          <t>2092-04-20</t>
        </is>
      </c>
    </row>
    <row r="70275">
      <c r="A70275" s="1" t="n">
        <v>70274</v>
      </c>
      <c r="B70275">
        <f>TEXT(70274, "[$-0E0000]yyyy-mm-dd")</f>
        <v/>
      </c>
      <c r="C70275" t="inlineStr">
        <is>
          <t>2092-04-21</t>
        </is>
      </c>
    </row>
    <row r="70276">
      <c r="A70276" s="1" t="n">
        <v>70275</v>
      </c>
      <c r="B70276">
        <f>TEXT(70275, "[$-0E0000]yyyy-mm-dd")</f>
        <v/>
      </c>
      <c r="C70276" t="inlineStr">
        <is>
          <t>2092-04-22</t>
        </is>
      </c>
    </row>
    <row r="70277">
      <c r="A70277" s="1" t="n">
        <v>70276</v>
      </c>
      <c r="B70277">
        <f>TEXT(70276, "[$-0E0000]yyyy-mm-dd")</f>
        <v/>
      </c>
      <c r="C70277" t="inlineStr">
        <is>
          <t>2092-04-23</t>
        </is>
      </c>
    </row>
    <row r="70278">
      <c r="A70278" s="1" t="n">
        <v>70277</v>
      </c>
      <c r="B70278">
        <f>TEXT(70277, "[$-0E0000]yyyy-mm-dd")</f>
        <v/>
      </c>
      <c r="C70278" t="inlineStr">
        <is>
          <t>2092-04-24</t>
        </is>
      </c>
    </row>
    <row r="70279">
      <c r="A70279" s="1" t="n">
        <v>70278</v>
      </c>
      <c r="B70279">
        <f>TEXT(70278, "[$-0E0000]yyyy-mm-dd")</f>
        <v/>
      </c>
      <c r="C70279" t="inlineStr">
        <is>
          <t>2092-04-25</t>
        </is>
      </c>
    </row>
    <row r="70280">
      <c r="A70280" s="1" t="n">
        <v>70279</v>
      </c>
      <c r="B70280">
        <f>TEXT(70279, "[$-0E0000]yyyy-mm-dd")</f>
        <v/>
      </c>
      <c r="C70280" t="inlineStr">
        <is>
          <t>2092-04-26</t>
        </is>
      </c>
    </row>
    <row r="70281">
      <c r="A70281" s="1" t="n">
        <v>70280</v>
      </c>
      <c r="B70281">
        <f>TEXT(70280, "[$-0E0000]yyyy-mm-dd")</f>
        <v/>
      </c>
      <c r="C70281" t="inlineStr">
        <is>
          <t>2092-04-27</t>
        </is>
      </c>
    </row>
    <row r="70282">
      <c r="A70282" s="1" t="n">
        <v>70281</v>
      </c>
      <c r="B70282">
        <f>TEXT(70281, "[$-0E0000]yyyy-mm-dd")</f>
        <v/>
      </c>
      <c r="C70282" t="inlineStr">
        <is>
          <t>2092-04-28</t>
        </is>
      </c>
    </row>
    <row r="70283">
      <c r="A70283" s="1" t="n">
        <v>70282</v>
      </c>
      <c r="B70283">
        <f>TEXT(70282, "[$-0E0000]yyyy-mm-dd")</f>
        <v/>
      </c>
      <c r="C70283" t="inlineStr">
        <is>
          <t>2092-04-29</t>
        </is>
      </c>
    </row>
    <row r="70284">
      <c r="A70284" s="1" t="n">
        <v>70283</v>
      </c>
      <c r="B70284">
        <f>TEXT(70283, "[$-0E0000]yyyy-mm-dd")</f>
        <v/>
      </c>
      <c r="C70284" t="inlineStr">
        <is>
          <t>2092-04-30</t>
        </is>
      </c>
    </row>
    <row r="70285">
      <c r="A70285" s="1" t="n">
        <v>70284</v>
      </c>
      <c r="B70285">
        <f>TEXT(70284, "[$-0E0000]yyyy-mm-dd")</f>
        <v/>
      </c>
      <c r="C70285" t="inlineStr">
        <is>
          <t>2092-05-01</t>
        </is>
      </c>
    </row>
    <row r="70286">
      <c r="A70286" s="1" t="n">
        <v>70285</v>
      </c>
      <c r="B70286">
        <f>TEXT(70285, "[$-0E0000]yyyy-mm-dd")</f>
        <v/>
      </c>
      <c r="C70286" t="inlineStr">
        <is>
          <t>2092-05-02</t>
        </is>
      </c>
    </row>
    <row r="70287">
      <c r="A70287" s="1" t="n">
        <v>70286</v>
      </c>
      <c r="B70287">
        <f>TEXT(70286, "[$-0E0000]yyyy-mm-dd")</f>
        <v/>
      </c>
      <c r="C70287" t="inlineStr">
        <is>
          <t>2092-05-03</t>
        </is>
      </c>
    </row>
    <row r="70288">
      <c r="A70288" s="1" t="n">
        <v>70287</v>
      </c>
      <c r="B70288">
        <f>TEXT(70287, "[$-0E0000]yyyy-mm-dd")</f>
        <v/>
      </c>
      <c r="C70288" t="inlineStr">
        <is>
          <t>2092-05-04</t>
        </is>
      </c>
    </row>
    <row r="70289">
      <c r="A70289" s="1" t="n">
        <v>70288</v>
      </c>
      <c r="B70289">
        <f>TEXT(70288, "[$-0E0000]yyyy-mm-dd")</f>
        <v/>
      </c>
      <c r="C70289" t="inlineStr">
        <is>
          <t>2092-05-05</t>
        </is>
      </c>
    </row>
    <row r="70290">
      <c r="A70290" s="1" t="n">
        <v>70289</v>
      </c>
      <c r="B70290">
        <f>TEXT(70289, "[$-0E0000]yyyy-mm-dd")</f>
        <v/>
      </c>
      <c r="C70290" t="inlineStr">
        <is>
          <t>2092-05-06</t>
        </is>
      </c>
    </row>
    <row r="70291">
      <c r="A70291" s="1" t="n">
        <v>70290</v>
      </c>
      <c r="B70291">
        <f>TEXT(70290, "[$-0E0000]yyyy-mm-dd")</f>
        <v/>
      </c>
      <c r="C70291" t="inlineStr">
        <is>
          <t>2092-05-07</t>
        </is>
      </c>
    </row>
    <row r="70292">
      <c r="A70292" s="1" t="n">
        <v>70291</v>
      </c>
      <c r="B70292">
        <f>TEXT(70291, "[$-0E0000]yyyy-mm-dd")</f>
        <v/>
      </c>
      <c r="C70292" t="inlineStr">
        <is>
          <t>2092-05-08</t>
        </is>
      </c>
    </row>
    <row r="70293">
      <c r="A70293" s="1" t="n">
        <v>70292</v>
      </c>
      <c r="B70293">
        <f>TEXT(70292, "[$-0E0000]yyyy-mm-dd")</f>
        <v/>
      </c>
      <c r="C70293" t="inlineStr">
        <is>
          <t>2092-05-09</t>
        </is>
      </c>
    </row>
    <row r="70294">
      <c r="A70294" s="1" t="n">
        <v>70293</v>
      </c>
      <c r="B70294">
        <f>TEXT(70293, "[$-0E0000]yyyy-mm-dd")</f>
        <v/>
      </c>
      <c r="C70294" t="inlineStr">
        <is>
          <t>2092-05-10</t>
        </is>
      </c>
    </row>
    <row r="70295">
      <c r="A70295" s="1" t="n">
        <v>70294</v>
      </c>
      <c r="B70295">
        <f>TEXT(70294, "[$-0E0000]yyyy-mm-dd")</f>
        <v/>
      </c>
      <c r="C70295" t="inlineStr">
        <is>
          <t>2092-05-11</t>
        </is>
      </c>
    </row>
    <row r="70296">
      <c r="A70296" s="1" t="n">
        <v>70295</v>
      </c>
      <c r="B70296">
        <f>TEXT(70295, "[$-0E0000]yyyy-mm-dd")</f>
        <v/>
      </c>
      <c r="C70296" t="inlineStr">
        <is>
          <t>2092-05-12</t>
        </is>
      </c>
    </row>
    <row r="70297">
      <c r="A70297" s="1" t="n">
        <v>70296</v>
      </c>
      <c r="B70297">
        <f>TEXT(70296, "[$-0E0000]yyyy-mm-dd")</f>
        <v/>
      </c>
      <c r="C70297" t="inlineStr">
        <is>
          <t>2092-05-13</t>
        </is>
      </c>
    </row>
    <row r="70298">
      <c r="A70298" s="1" t="n">
        <v>70297</v>
      </c>
      <c r="B70298">
        <f>TEXT(70297, "[$-0E0000]yyyy-mm-dd")</f>
        <v/>
      </c>
      <c r="C70298" t="inlineStr">
        <is>
          <t>2092-05-14</t>
        </is>
      </c>
    </row>
    <row r="70299">
      <c r="A70299" s="1" t="n">
        <v>70298</v>
      </c>
      <c r="B70299">
        <f>TEXT(70298, "[$-0E0000]yyyy-mm-dd")</f>
        <v/>
      </c>
      <c r="C70299" t="inlineStr">
        <is>
          <t>2092-05-15</t>
        </is>
      </c>
    </row>
    <row r="70300">
      <c r="A70300" s="1" t="n">
        <v>70299</v>
      </c>
      <c r="B70300">
        <f>TEXT(70299, "[$-0E0000]yyyy-mm-dd")</f>
        <v/>
      </c>
      <c r="C70300" t="inlineStr">
        <is>
          <t>2092-05-16</t>
        </is>
      </c>
    </row>
    <row r="70301">
      <c r="A70301" s="1" t="n">
        <v>70300</v>
      </c>
      <c r="B70301">
        <f>TEXT(70300, "[$-0E0000]yyyy-mm-dd")</f>
        <v/>
      </c>
      <c r="C70301" t="inlineStr">
        <is>
          <t>2092-05-17</t>
        </is>
      </c>
    </row>
    <row r="70302">
      <c r="A70302" s="1" t="n">
        <v>70301</v>
      </c>
      <c r="B70302">
        <f>TEXT(70301, "[$-0E0000]yyyy-mm-dd")</f>
        <v/>
      </c>
      <c r="C70302" t="inlineStr">
        <is>
          <t>2092-05-18</t>
        </is>
      </c>
    </row>
    <row r="70303">
      <c r="A70303" s="1" t="n">
        <v>70302</v>
      </c>
      <c r="B70303">
        <f>TEXT(70302, "[$-0E0000]yyyy-mm-dd")</f>
        <v/>
      </c>
      <c r="C70303" t="inlineStr">
        <is>
          <t>2092-05-19</t>
        </is>
      </c>
    </row>
    <row r="70304">
      <c r="A70304" s="1" t="n">
        <v>70303</v>
      </c>
      <c r="B70304">
        <f>TEXT(70303, "[$-0E0000]yyyy-mm-dd")</f>
        <v/>
      </c>
      <c r="C70304" t="inlineStr">
        <is>
          <t>2092-05-20</t>
        </is>
      </c>
    </row>
    <row r="70305">
      <c r="A70305" s="1" t="n">
        <v>70304</v>
      </c>
      <c r="B70305">
        <f>TEXT(70304, "[$-0E0000]yyyy-mm-dd")</f>
        <v/>
      </c>
      <c r="C70305" t="inlineStr">
        <is>
          <t>2092-05-21</t>
        </is>
      </c>
    </row>
    <row r="70306">
      <c r="A70306" s="1" t="n">
        <v>70305</v>
      </c>
      <c r="B70306">
        <f>TEXT(70305, "[$-0E0000]yyyy-mm-dd")</f>
        <v/>
      </c>
      <c r="C70306" t="inlineStr">
        <is>
          <t>2092-05-22</t>
        </is>
      </c>
    </row>
    <row r="70307">
      <c r="A70307" s="1" t="n">
        <v>70306</v>
      </c>
      <c r="B70307">
        <f>TEXT(70306, "[$-0E0000]yyyy-mm-dd")</f>
        <v/>
      </c>
      <c r="C70307" t="inlineStr">
        <is>
          <t>2092-05-23</t>
        </is>
      </c>
    </row>
    <row r="70308">
      <c r="A70308" s="1" t="n">
        <v>70307</v>
      </c>
      <c r="B70308">
        <f>TEXT(70307, "[$-0E0000]yyyy-mm-dd")</f>
        <v/>
      </c>
      <c r="C70308" t="inlineStr">
        <is>
          <t>2092-05-24</t>
        </is>
      </c>
    </row>
    <row r="70309">
      <c r="A70309" s="1" t="n">
        <v>70308</v>
      </c>
      <c r="B70309">
        <f>TEXT(70308, "[$-0E0000]yyyy-mm-dd")</f>
        <v/>
      </c>
      <c r="C70309" t="inlineStr">
        <is>
          <t>2092-05-25</t>
        </is>
      </c>
    </row>
    <row r="70310">
      <c r="A70310" s="1" t="n">
        <v>70309</v>
      </c>
      <c r="B70310">
        <f>TEXT(70309, "[$-0E0000]yyyy-mm-dd")</f>
        <v/>
      </c>
      <c r="C70310" t="inlineStr">
        <is>
          <t>2092-05-26</t>
        </is>
      </c>
    </row>
    <row r="70311">
      <c r="A70311" s="1" t="n">
        <v>70310</v>
      </c>
      <c r="B70311">
        <f>TEXT(70310, "[$-0E0000]yyyy-mm-dd")</f>
        <v/>
      </c>
      <c r="C70311" t="inlineStr">
        <is>
          <t>2092-05-27</t>
        </is>
      </c>
    </row>
    <row r="70312">
      <c r="A70312" s="1" t="n">
        <v>70311</v>
      </c>
      <c r="B70312">
        <f>TEXT(70311, "[$-0E0000]yyyy-mm-dd")</f>
        <v/>
      </c>
      <c r="C70312" t="inlineStr">
        <is>
          <t>2092-05-28</t>
        </is>
      </c>
    </row>
    <row r="70313">
      <c r="A70313" s="1" t="n">
        <v>70312</v>
      </c>
      <c r="B70313">
        <f>TEXT(70312, "[$-0E0000]yyyy-mm-dd")</f>
        <v/>
      </c>
      <c r="C70313" t="inlineStr">
        <is>
          <t>2092-05-29</t>
        </is>
      </c>
    </row>
    <row r="70314">
      <c r="A70314" s="1" t="n">
        <v>70313</v>
      </c>
      <c r="B70314">
        <f>TEXT(70313, "[$-0E0000]yyyy-mm-dd")</f>
        <v/>
      </c>
      <c r="C70314" t="inlineStr">
        <is>
          <t>2092-05-30</t>
        </is>
      </c>
    </row>
    <row r="70315">
      <c r="A70315" s="1" t="n">
        <v>70314</v>
      </c>
      <c r="B70315">
        <f>TEXT(70314, "[$-0E0000]yyyy-mm-dd")</f>
        <v/>
      </c>
      <c r="C70315" t="inlineStr">
        <is>
          <t>2092-06-01</t>
        </is>
      </c>
    </row>
    <row r="70316">
      <c r="A70316" s="1" t="n">
        <v>70315</v>
      </c>
      <c r="B70316">
        <f>TEXT(70315, "[$-0E0000]yyyy-mm-dd")</f>
        <v/>
      </c>
      <c r="C70316" t="inlineStr">
        <is>
          <t>2092-06-02</t>
        </is>
      </c>
    </row>
    <row r="70317">
      <c r="A70317" s="1" t="n">
        <v>70316</v>
      </c>
      <c r="B70317">
        <f>TEXT(70316, "[$-0E0000]yyyy-mm-dd")</f>
        <v/>
      </c>
      <c r="C70317" t="inlineStr">
        <is>
          <t>2092-06-03</t>
        </is>
      </c>
    </row>
    <row r="70318">
      <c r="A70318" s="1" t="n">
        <v>70317</v>
      </c>
      <c r="B70318">
        <f>TEXT(70317, "[$-0E0000]yyyy-mm-dd")</f>
        <v/>
      </c>
      <c r="C70318" t="inlineStr">
        <is>
          <t>2092-06-04</t>
        </is>
      </c>
    </row>
    <row r="70319">
      <c r="A70319" s="1" t="n">
        <v>70318</v>
      </c>
      <c r="B70319">
        <f>TEXT(70318, "[$-0E0000]yyyy-mm-dd")</f>
        <v/>
      </c>
      <c r="C70319" t="inlineStr">
        <is>
          <t>2092-06-05</t>
        </is>
      </c>
    </row>
    <row r="70320">
      <c r="A70320" s="1" t="n">
        <v>70319</v>
      </c>
      <c r="B70320">
        <f>TEXT(70319, "[$-0E0000]yyyy-mm-dd")</f>
        <v/>
      </c>
      <c r="C70320" t="inlineStr">
        <is>
          <t>2092-06-06</t>
        </is>
      </c>
    </row>
    <row r="70321">
      <c r="A70321" s="1" t="n">
        <v>70320</v>
      </c>
      <c r="B70321">
        <f>TEXT(70320, "[$-0E0000]yyyy-mm-dd")</f>
        <v/>
      </c>
      <c r="C70321" t="inlineStr">
        <is>
          <t>2092-06-07</t>
        </is>
      </c>
    </row>
    <row r="70322">
      <c r="A70322" s="1" t="n">
        <v>70321</v>
      </c>
      <c r="B70322">
        <f>TEXT(70321, "[$-0E0000]yyyy-mm-dd")</f>
        <v/>
      </c>
      <c r="C70322" t="inlineStr">
        <is>
          <t>2092-06-08</t>
        </is>
      </c>
    </row>
    <row r="70323">
      <c r="A70323" s="1" t="n">
        <v>70322</v>
      </c>
      <c r="B70323">
        <f>TEXT(70322, "[$-0E0000]yyyy-mm-dd")</f>
        <v/>
      </c>
      <c r="C70323" t="inlineStr">
        <is>
          <t>2092-06-09</t>
        </is>
      </c>
    </row>
    <row r="70324">
      <c r="A70324" s="1" t="n">
        <v>70323</v>
      </c>
      <c r="B70324">
        <f>TEXT(70323, "[$-0E0000]yyyy-mm-dd")</f>
        <v/>
      </c>
      <c r="C70324" t="inlineStr">
        <is>
          <t>2092-06-10</t>
        </is>
      </c>
    </row>
    <row r="70325">
      <c r="A70325" s="1" t="n">
        <v>70324</v>
      </c>
      <c r="B70325">
        <f>TEXT(70324, "[$-0E0000]yyyy-mm-dd")</f>
        <v/>
      </c>
      <c r="C70325" t="inlineStr">
        <is>
          <t>2092-06-11</t>
        </is>
      </c>
    </row>
    <row r="70326">
      <c r="A70326" s="1" t="n">
        <v>70325</v>
      </c>
      <c r="B70326">
        <f>TEXT(70325, "[$-0E0000]yyyy-mm-dd")</f>
        <v/>
      </c>
      <c r="C70326" t="inlineStr">
        <is>
          <t>2092-06-12</t>
        </is>
      </c>
    </row>
    <row r="70327">
      <c r="A70327" s="1" t="n">
        <v>70326</v>
      </c>
      <c r="B70327">
        <f>TEXT(70326, "[$-0E0000]yyyy-mm-dd")</f>
        <v/>
      </c>
      <c r="C70327" t="inlineStr">
        <is>
          <t>2092-06-13</t>
        </is>
      </c>
    </row>
    <row r="70328">
      <c r="A70328" s="1" t="n">
        <v>70327</v>
      </c>
      <c r="B70328">
        <f>TEXT(70327, "[$-0E0000]yyyy-mm-dd")</f>
        <v/>
      </c>
      <c r="C70328" t="inlineStr">
        <is>
          <t>2092-06-14</t>
        </is>
      </c>
    </row>
    <row r="70329">
      <c r="A70329" s="1" t="n">
        <v>70328</v>
      </c>
      <c r="B70329">
        <f>TEXT(70328, "[$-0E0000]yyyy-mm-dd")</f>
        <v/>
      </c>
      <c r="C70329" t="inlineStr">
        <is>
          <t>2092-06-15</t>
        </is>
      </c>
    </row>
    <row r="70330">
      <c r="A70330" s="1" t="n">
        <v>70329</v>
      </c>
      <c r="B70330">
        <f>TEXT(70329, "[$-0E0000]yyyy-mm-dd")</f>
        <v/>
      </c>
      <c r="C70330" t="inlineStr">
        <is>
          <t>2092-06-16</t>
        </is>
      </c>
    </row>
    <row r="70331">
      <c r="A70331" s="1" t="n">
        <v>70330</v>
      </c>
      <c r="B70331">
        <f>TEXT(70330, "[$-0E0000]yyyy-mm-dd")</f>
        <v/>
      </c>
      <c r="C70331" t="inlineStr">
        <is>
          <t>2092-06-17</t>
        </is>
      </c>
    </row>
    <row r="70332">
      <c r="A70332" s="1" t="n">
        <v>70331</v>
      </c>
      <c r="B70332">
        <f>TEXT(70331, "[$-0E0000]yyyy-mm-dd")</f>
        <v/>
      </c>
      <c r="C70332" t="inlineStr">
        <is>
          <t>2092-06-18</t>
        </is>
      </c>
    </row>
    <row r="70333">
      <c r="A70333" s="1" t="n">
        <v>70332</v>
      </c>
      <c r="B70333">
        <f>TEXT(70332, "[$-0E0000]yyyy-mm-dd")</f>
        <v/>
      </c>
      <c r="C70333" t="inlineStr">
        <is>
          <t>2092-06-19</t>
        </is>
      </c>
    </row>
    <row r="70334">
      <c r="A70334" s="1" t="n">
        <v>70333</v>
      </c>
      <c r="B70334">
        <f>TEXT(70333, "[$-0E0000]yyyy-mm-dd")</f>
        <v/>
      </c>
      <c r="C70334" t="inlineStr">
        <is>
          <t>2092-06-20</t>
        </is>
      </c>
    </row>
    <row r="70335">
      <c r="A70335" s="1" t="n">
        <v>70334</v>
      </c>
      <c r="B70335">
        <f>TEXT(70334, "[$-0E0000]yyyy-mm-dd")</f>
        <v/>
      </c>
      <c r="C70335" t="inlineStr">
        <is>
          <t>2092-06-21</t>
        </is>
      </c>
    </row>
    <row r="70336">
      <c r="A70336" s="1" t="n">
        <v>70335</v>
      </c>
      <c r="B70336">
        <f>TEXT(70335, "[$-0E0000]yyyy-mm-dd")</f>
        <v/>
      </c>
      <c r="C70336" t="inlineStr">
        <is>
          <t>2092-06-22</t>
        </is>
      </c>
    </row>
    <row r="70337">
      <c r="A70337" s="1" t="n">
        <v>70336</v>
      </c>
      <c r="B70337">
        <f>TEXT(70336, "[$-0E0000]yyyy-mm-dd")</f>
        <v/>
      </c>
      <c r="C70337" t="inlineStr">
        <is>
          <t>2092-06-23</t>
        </is>
      </c>
    </row>
    <row r="70338">
      <c r="A70338" s="1" t="n">
        <v>70337</v>
      </c>
      <c r="B70338">
        <f>TEXT(70337, "[$-0E0000]yyyy-mm-dd")</f>
        <v/>
      </c>
      <c r="C70338" t="inlineStr">
        <is>
          <t>2092-06-24</t>
        </is>
      </c>
    </row>
    <row r="70339">
      <c r="A70339" s="1" t="n">
        <v>70338</v>
      </c>
      <c r="B70339">
        <f>TEXT(70338, "[$-0E0000]yyyy-mm-dd")</f>
        <v/>
      </c>
      <c r="C70339" t="inlineStr">
        <is>
          <t>2092-06-25</t>
        </is>
      </c>
    </row>
    <row r="70340">
      <c r="A70340" s="1" t="n">
        <v>70339</v>
      </c>
      <c r="B70340">
        <f>TEXT(70339, "[$-0E0000]yyyy-mm-dd")</f>
        <v/>
      </c>
      <c r="C70340" t="inlineStr">
        <is>
          <t>2092-06-26</t>
        </is>
      </c>
    </row>
    <row r="70341">
      <c r="A70341" s="1" t="n">
        <v>70340</v>
      </c>
      <c r="B70341">
        <f>TEXT(70340, "[$-0E0000]yyyy-mm-dd")</f>
        <v/>
      </c>
      <c r="C70341" t="inlineStr">
        <is>
          <t>2092-06-27</t>
        </is>
      </c>
    </row>
    <row r="70342">
      <c r="A70342" s="1" t="n">
        <v>70341</v>
      </c>
      <c r="B70342">
        <f>TEXT(70341, "[$-0E0000]yyyy-mm-dd")</f>
        <v/>
      </c>
      <c r="C70342" t="inlineStr">
        <is>
          <t>2092-06-28</t>
        </is>
      </c>
    </row>
    <row r="70343">
      <c r="A70343" s="1" t="n">
        <v>70342</v>
      </c>
      <c r="B70343">
        <f>TEXT(70342, "[$-0E0000]yyyy-mm-dd")</f>
        <v/>
      </c>
      <c r="C70343" t="inlineStr">
        <is>
          <t>2092-06-29</t>
        </is>
      </c>
    </row>
    <row r="70344">
      <c r="A70344" s="1" t="n">
        <v>70343</v>
      </c>
      <c r="B70344">
        <f>TEXT(70343, "[$-0E0000]yyyy-mm-dd")</f>
        <v/>
      </c>
      <c r="C70344" t="inlineStr">
        <is>
          <t>2092-07-01</t>
        </is>
      </c>
    </row>
    <row r="70345">
      <c r="A70345" s="1" t="n">
        <v>70344</v>
      </c>
      <c r="B70345">
        <f>TEXT(70344, "[$-0E0000]yyyy-mm-dd")</f>
        <v/>
      </c>
      <c r="C70345" t="inlineStr">
        <is>
          <t>2092-07-02</t>
        </is>
      </c>
    </row>
    <row r="70346">
      <c r="A70346" s="1" t="n">
        <v>70345</v>
      </c>
      <c r="B70346">
        <f>TEXT(70345, "[$-0E0000]yyyy-mm-dd")</f>
        <v/>
      </c>
      <c r="C70346" t="inlineStr">
        <is>
          <t>2092-07-03</t>
        </is>
      </c>
    </row>
    <row r="70347">
      <c r="A70347" s="1" t="n">
        <v>70346</v>
      </c>
      <c r="B70347">
        <f>TEXT(70346, "[$-0E0000]yyyy-mm-dd")</f>
        <v/>
      </c>
      <c r="C70347" t="inlineStr">
        <is>
          <t>2092-07-04</t>
        </is>
      </c>
    </row>
    <row r="70348">
      <c r="A70348" s="1" t="n">
        <v>70347</v>
      </c>
      <c r="B70348">
        <f>TEXT(70347, "[$-0E0000]yyyy-mm-dd")</f>
        <v/>
      </c>
      <c r="C70348" t="inlineStr">
        <is>
          <t>2092-07-05</t>
        </is>
      </c>
    </row>
    <row r="70349">
      <c r="A70349" s="1" t="n">
        <v>70348</v>
      </c>
      <c r="B70349">
        <f>TEXT(70348, "[$-0E0000]yyyy-mm-dd")</f>
        <v/>
      </c>
      <c r="C70349" t="inlineStr">
        <is>
          <t>2092-07-06</t>
        </is>
      </c>
    </row>
    <row r="70350">
      <c r="A70350" s="1" t="n">
        <v>70349</v>
      </c>
      <c r="B70350">
        <f>TEXT(70349, "[$-0E0000]yyyy-mm-dd")</f>
        <v/>
      </c>
      <c r="C70350" t="inlineStr">
        <is>
          <t>2092-07-07</t>
        </is>
      </c>
    </row>
    <row r="70351">
      <c r="A70351" s="1" t="n">
        <v>70350</v>
      </c>
      <c r="B70351">
        <f>TEXT(70350, "[$-0E0000]yyyy-mm-dd")</f>
        <v/>
      </c>
      <c r="C70351" t="inlineStr">
        <is>
          <t>2092-07-08</t>
        </is>
      </c>
    </row>
    <row r="70352">
      <c r="A70352" s="1" t="n">
        <v>70351</v>
      </c>
      <c r="B70352">
        <f>TEXT(70351, "[$-0E0000]yyyy-mm-dd")</f>
        <v/>
      </c>
      <c r="C70352" t="inlineStr">
        <is>
          <t>2092-07-09</t>
        </is>
      </c>
    </row>
    <row r="70353">
      <c r="A70353" s="1" t="n">
        <v>70352</v>
      </c>
      <c r="B70353">
        <f>TEXT(70352, "[$-0E0000]yyyy-mm-dd")</f>
        <v/>
      </c>
      <c r="C70353" t="inlineStr">
        <is>
          <t>2092-07-10</t>
        </is>
      </c>
    </row>
    <row r="70354">
      <c r="A70354" s="1" t="n">
        <v>70353</v>
      </c>
      <c r="B70354">
        <f>TEXT(70353, "[$-0E0000]yyyy-mm-dd")</f>
        <v/>
      </c>
      <c r="C70354" t="inlineStr">
        <is>
          <t>2092-07-11</t>
        </is>
      </c>
    </row>
    <row r="70355">
      <c r="A70355" s="1" t="n">
        <v>70354</v>
      </c>
      <c r="B70355">
        <f>TEXT(70354, "[$-0E0000]yyyy-mm-dd")</f>
        <v/>
      </c>
      <c r="C70355" t="inlineStr">
        <is>
          <t>2092-07-12</t>
        </is>
      </c>
    </row>
    <row r="70356">
      <c r="A70356" s="1" t="n">
        <v>70355</v>
      </c>
      <c r="B70356">
        <f>TEXT(70355, "[$-0E0000]yyyy-mm-dd")</f>
        <v/>
      </c>
      <c r="C70356" t="inlineStr">
        <is>
          <t>2092-07-13</t>
        </is>
      </c>
    </row>
    <row r="70357">
      <c r="A70357" s="1" t="n">
        <v>70356</v>
      </c>
      <c r="B70357">
        <f>TEXT(70356, "[$-0E0000]yyyy-mm-dd")</f>
        <v/>
      </c>
      <c r="C70357" t="inlineStr">
        <is>
          <t>2092-07-14</t>
        </is>
      </c>
    </row>
    <row r="70358">
      <c r="A70358" s="1" t="n">
        <v>70357</v>
      </c>
      <c r="B70358">
        <f>TEXT(70357, "[$-0E0000]yyyy-mm-dd")</f>
        <v/>
      </c>
      <c r="C70358" t="inlineStr">
        <is>
          <t>2092-07-15</t>
        </is>
      </c>
    </row>
    <row r="70359">
      <c r="A70359" s="1" t="n">
        <v>70358</v>
      </c>
      <c r="B70359">
        <f>TEXT(70358, "[$-0E0000]yyyy-mm-dd")</f>
        <v/>
      </c>
      <c r="C70359" t="inlineStr">
        <is>
          <t>2092-07-16</t>
        </is>
      </c>
    </row>
    <row r="70360">
      <c r="A70360" s="1" t="n">
        <v>70359</v>
      </c>
      <c r="B70360">
        <f>TEXT(70359, "[$-0E0000]yyyy-mm-dd")</f>
        <v/>
      </c>
      <c r="C70360" t="inlineStr">
        <is>
          <t>2092-07-17</t>
        </is>
      </c>
    </row>
    <row r="70361">
      <c r="A70361" s="1" t="n">
        <v>70360</v>
      </c>
      <c r="B70361">
        <f>TEXT(70360, "[$-0E0000]yyyy-mm-dd")</f>
        <v/>
      </c>
      <c r="C70361" t="inlineStr">
        <is>
          <t>2092-07-18</t>
        </is>
      </c>
    </row>
    <row r="70362">
      <c r="A70362" s="1" t="n">
        <v>70361</v>
      </c>
      <c r="B70362">
        <f>TEXT(70361, "[$-0E0000]yyyy-mm-dd")</f>
        <v/>
      </c>
      <c r="C70362" t="inlineStr">
        <is>
          <t>2092-07-19</t>
        </is>
      </c>
    </row>
    <row r="70363">
      <c r="A70363" s="1" t="n">
        <v>70362</v>
      </c>
      <c r="B70363">
        <f>TEXT(70362, "[$-0E0000]yyyy-mm-dd")</f>
        <v/>
      </c>
      <c r="C70363" t="inlineStr">
        <is>
          <t>2092-07-20</t>
        </is>
      </c>
    </row>
    <row r="70364">
      <c r="A70364" s="1" t="n">
        <v>70363</v>
      </c>
      <c r="B70364">
        <f>TEXT(70363, "[$-0E0000]yyyy-mm-dd")</f>
        <v/>
      </c>
      <c r="C70364" t="inlineStr">
        <is>
          <t>2092-07-21</t>
        </is>
      </c>
    </row>
    <row r="70365">
      <c r="A70365" s="1" t="n">
        <v>70364</v>
      </c>
      <c r="B70365">
        <f>TEXT(70364, "[$-0E0000]yyyy-mm-dd")</f>
        <v/>
      </c>
      <c r="C70365" t="inlineStr">
        <is>
          <t>2092-07-22</t>
        </is>
      </c>
    </row>
    <row r="70366">
      <c r="A70366" s="1" t="n">
        <v>70365</v>
      </c>
      <c r="B70366">
        <f>TEXT(70365, "[$-0E0000]yyyy-mm-dd")</f>
        <v/>
      </c>
      <c r="C70366" t="inlineStr">
        <is>
          <t>2092-07-23</t>
        </is>
      </c>
    </row>
    <row r="70367">
      <c r="A70367" s="1" t="n">
        <v>70366</v>
      </c>
      <c r="B70367">
        <f>TEXT(70366, "[$-0E0000]yyyy-mm-dd")</f>
        <v/>
      </c>
      <c r="C70367" t="inlineStr">
        <is>
          <t>2092-07-24</t>
        </is>
      </c>
    </row>
    <row r="70368">
      <c r="A70368" s="1" t="n">
        <v>70367</v>
      </c>
      <c r="B70368">
        <f>TEXT(70367, "[$-0E0000]yyyy-mm-dd")</f>
        <v/>
      </c>
      <c r="C70368" t="inlineStr">
        <is>
          <t>2092-07-25</t>
        </is>
      </c>
    </row>
    <row r="70369">
      <c r="A70369" s="1" t="n">
        <v>70368</v>
      </c>
      <c r="B70369">
        <f>TEXT(70368, "[$-0E0000]yyyy-mm-dd")</f>
        <v/>
      </c>
      <c r="C70369" t="inlineStr">
        <is>
          <t>2092-07-26</t>
        </is>
      </c>
    </row>
    <row r="70370">
      <c r="A70370" s="1" t="n">
        <v>70369</v>
      </c>
      <c r="B70370">
        <f>TEXT(70369, "[$-0E0000]yyyy-mm-dd")</f>
        <v/>
      </c>
      <c r="C70370" t="inlineStr">
        <is>
          <t>2092-07-27</t>
        </is>
      </c>
    </row>
    <row r="70371">
      <c r="A70371" s="1" t="n">
        <v>70370</v>
      </c>
      <c r="B70371">
        <f>TEXT(70370, "[$-0E0000]yyyy-mm-dd")</f>
        <v/>
      </c>
      <c r="C70371" t="inlineStr">
        <is>
          <t>2092-07-28</t>
        </is>
      </c>
    </row>
    <row r="70372">
      <c r="A70372" s="1" t="n">
        <v>70371</v>
      </c>
      <c r="B70372">
        <f>TEXT(70371, "[$-0E0000]yyyy-mm-dd")</f>
        <v/>
      </c>
      <c r="C70372" t="inlineStr">
        <is>
          <t>2092-07-29</t>
        </is>
      </c>
    </row>
    <row r="70373">
      <c r="A70373" s="1" t="n">
        <v>70372</v>
      </c>
      <c r="B70373">
        <f>TEXT(70372, "[$-0E0000]yyyy-mm-dd")</f>
        <v/>
      </c>
      <c r="C70373" t="inlineStr">
        <is>
          <t>2092-07-30</t>
        </is>
      </c>
    </row>
    <row r="70374">
      <c r="A70374" s="1" t="n">
        <v>70373</v>
      </c>
      <c r="B70374">
        <f>TEXT(70373, "[$-0E0000]yyyy-mm-dd")</f>
        <v/>
      </c>
      <c r="C70374" t="inlineStr">
        <is>
          <t>2092-08-01</t>
        </is>
      </c>
    </row>
    <row r="70375">
      <c r="A70375" s="1" t="n">
        <v>70374</v>
      </c>
      <c r="B70375">
        <f>TEXT(70374, "[$-0E0000]yyyy-mm-dd")</f>
        <v/>
      </c>
      <c r="C70375" t="inlineStr">
        <is>
          <t>2092-08-02</t>
        </is>
      </c>
    </row>
    <row r="70376">
      <c r="A70376" s="1" t="n">
        <v>70375</v>
      </c>
      <c r="B70376">
        <f>TEXT(70375, "[$-0E0000]yyyy-mm-dd")</f>
        <v/>
      </c>
      <c r="C70376" t="inlineStr">
        <is>
          <t>2092-08-03</t>
        </is>
      </c>
    </row>
    <row r="70377">
      <c r="A70377" s="1" t="n">
        <v>70376</v>
      </c>
      <c r="B70377">
        <f>TEXT(70376, "[$-0E0000]yyyy-mm-dd")</f>
        <v/>
      </c>
      <c r="C70377" t="inlineStr">
        <is>
          <t>2092-08-04</t>
        </is>
      </c>
    </row>
    <row r="70378">
      <c r="A70378" s="1" t="n">
        <v>70377</v>
      </c>
      <c r="B70378">
        <f>TEXT(70377, "[$-0E0000]yyyy-mm-dd")</f>
        <v/>
      </c>
      <c r="C70378" t="inlineStr">
        <is>
          <t>2092-08-05</t>
        </is>
      </c>
    </row>
    <row r="70379">
      <c r="A70379" s="1" t="n">
        <v>70378</v>
      </c>
      <c r="B70379">
        <f>TEXT(70378, "[$-0E0000]yyyy-mm-dd")</f>
        <v/>
      </c>
      <c r="C70379" t="inlineStr">
        <is>
          <t>2092-08-06</t>
        </is>
      </c>
    </row>
    <row r="70380">
      <c r="A70380" s="1" t="n">
        <v>70379</v>
      </c>
      <c r="B70380">
        <f>TEXT(70379, "[$-0E0000]yyyy-mm-dd")</f>
        <v/>
      </c>
      <c r="C70380" t="inlineStr">
        <is>
          <t>2092-08-07</t>
        </is>
      </c>
    </row>
    <row r="70381">
      <c r="A70381" s="1" t="n">
        <v>70380</v>
      </c>
      <c r="B70381">
        <f>TEXT(70380, "[$-0E0000]yyyy-mm-dd")</f>
        <v/>
      </c>
      <c r="C70381" t="inlineStr">
        <is>
          <t>2092-08-08</t>
        </is>
      </c>
    </row>
    <row r="70382">
      <c r="A70382" s="1" t="n">
        <v>70381</v>
      </c>
      <c r="B70382">
        <f>TEXT(70381, "[$-0E0000]yyyy-mm-dd")</f>
        <v/>
      </c>
      <c r="C70382" t="inlineStr">
        <is>
          <t>2092-08-09</t>
        </is>
      </c>
    </row>
    <row r="70383">
      <c r="A70383" s="1" t="n">
        <v>70382</v>
      </c>
      <c r="B70383">
        <f>TEXT(70382, "[$-0E0000]yyyy-mm-dd")</f>
        <v/>
      </c>
      <c r="C70383" t="inlineStr">
        <is>
          <t>2092-08-10</t>
        </is>
      </c>
    </row>
    <row r="70384">
      <c r="A70384" s="1" t="n">
        <v>70383</v>
      </c>
      <c r="B70384">
        <f>TEXT(70383, "[$-0E0000]yyyy-mm-dd")</f>
        <v/>
      </c>
      <c r="C70384" t="inlineStr">
        <is>
          <t>2092-08-11</t>
        </is>
      </c>
    </row>
    <row r="70385">
      <c r="A70385" s="1" t="n">
        <v>70384</v>
      </c>
      <c r="B70385">
        <f>TEXT(70384, "[$-0E0000]yyyy-mm-dd")</f>
        <v/>
      </c>
      <c r="C70385" t="inlineStr">
        <is>
          <t>2092-08-12</t>
        </is>
      </c>
    </row>
    <row r="70386">
      <c r="A70386" s="1" t="n">
        <v>70385</v>
      </c>
      <c r="B70386">
        <f>TEXT(70385, "[$-0E0000]yyyy-mm-dd")</f>
        <v/>
      </c>
      <c r="C70386" t="inlineStr">
        <is>
          <t>2092-08-13</t>
        </is>
      </c>
    </row>
    <row r="70387">
      <c r="A70387" s="1" t="n">
        <v>70386</v>
      </c>
      <c r="B70387">
        <f>TEXT(70386, "[$-0E0000]yyyy-mm-dd")</f>
        <v/>
      </c>
      <c r="C70387" t="inlineStr">
        <is>
          <t>2092-08-14</t>
        </is>
      </c>
    </row>
    <row r="70388">
      <c r="A70388" s="1" t="n">
        <v>70387</v>
      </c>
      <c r="B70388">
        <f>TEXT(70387, "[$-0E0000]yyyy-mm-dd")</f>
        <v/>
      </c>
      <c r="C70388" t="inlineStr">
        <is>
          <t>2092-08-15</t>
        </is>
      </c>
    </row>
    <row r="70389">
      <c r="A70389" s="1" t="n">
        <v>70388</v>
      </c>
      <c r="B70389">
        <f>TEXT(70388, "[$-0E0000]yyyy-mm-dd")</f>
        <v/>
      </c>
      <c r="C70389" t="inlineStr">
        <is>
          <t>2092-08-16</t>
        </is>
      </c>
    </row>
    <row r="70390">
      <c r="A70390" s="1" t="n">
        <v>70389</v>
      </c>
      <c r="B70390">
        <f>TEXT(70389, "[$-0E0000]yyyy-mm-dd")</f>
        <v/>
      </c>
      <c r="C70390" t="inlineStr">
        <is>
          <t>2092-08-17</t>
        </is>
      </c>
    </row>
    <row r="70391">
      <c r="A70391" s="1" t="n">
        <v>70390</v>
      </c>
      <c r="B70391">
        <f>TEXT(70390, "[$-0E0000]yyyy-mm-dd")</f>
        <v/>
      </c>
      <c r="C70391" t="inlineStr">
        <is>
          <t>2092-08-18</t>
        </is>
      </c>
    </row>
    <row r="70392">
      <c r="A70392" s="1" t="n">
        <v>70391</v>
      </c>
      <c r="B70392">
        <f>TEXT(70391, "[$-0E0000]yyyy-mm-dd")</f>
        <v/>
      </c>
      <c r="C70392" t="inlineStr">
        <is>
          <t>2092-08-19</t>
        </is>
      </c>
    </row>
    <row r="70393">
      <c r="A70393" s="1" t="n">
        <v>70392</v>
      </c>
      <c r="B70393">
        <f>TEXT(70392, "[$-0E0000]yyyy-mm-dd")</f>
        <v/>
      </c>
      <c r="C70393" t="inlineStr">
        <is>
          <t>2092-08-20</t>
        </is>
      </c>
    </row>
    <row r="70394">
      <c r="A70394" s="1" t="n">
        <v>70393</v>
      </c>
      <c r="B70394">
        <f>TEXT(70393, "[$-0E0000]yyyy-mm-dd")</f>
        <v/>
      </c>
      <c r="C70394" t="inlineStr">
        <is>
          <t>2092-08-21</t>
        </is>
      </c>
    </row>
    <row r="70395">
      <c r="A70395" s="1" t="n">
        <v>70394</v>
      </c>
      <c r="B70395">
        <f>TEXT(70394, "[$-0E0000]yyyy-mm-dd")</f>
        <v/>
      </c>
      <c r="C70395" t="inlineStr">
        <is>
          <t>2092-08-22</t>
        </is>
      </c>
    </row>
    <row r="70396">
      <c r="A70396" s="1" t="n">
        <v>70395</v>
      </c>
      <c r="B70396">
        <f>TEXT(70395, "[$-0E0000]yyyy-mm-dd")</f>
        <v/>
      </c>
      <c r="C70396" t="inlineStr">
        <is>
          <t>2092-08-23</t>
        </is>
      </c>
    </row>
    <row r="70397">
      <c r="A70397" s="1" t="n">
        <v>70396</v>
      </c>
      <c r="B70397">
        <f>TEXT(70396, "[$-0E0000]yyyy-mm-dd")</f>
        <v/>
      </c>
      <c r="C70397" t="inlineStr">
        <is>
          <t>2092-08-24</t>
        </is>
      </c>
    </row>
    <row r="70398">
      <c r="A70398" s="1" t="n">
        <v>70397</v>
      </c>
      <c r="B70398">
        <f>TEXT(70397, "[$-0E0000]yyyy-mm-dd")</f>
        <v/>
      </c>
      <c r="C70398" t="inlineStr">
        <is>
          <t>2092-08-25</t>
        </is>
      </c>
    </row>
    <row r="70399">
      <c r="A70399" s="1" t="n">
        <v>70398</v>
      </c>
      <c r="B70399">
        <f>TEXT(70398, "[$-0E0000]yyyy-mm-dd")</f>
        <v/>
      </c>
      <c r="C70399" t="inlineStr">
        <is>
          <t>2092-08-26</t>
        </is>
      </c>
    </row>
    <row r="70400">
      <c r="A70400" s="1" t="n">
        <v>70399</v>
      </c>
      <c r="B70400">
        <f>TEXT(70399, "[$-0E0000]yyyy-mm-dd")</f>
        <v/>
      </c>
      <c r="C70400" t="inlineStr">
        <is>
          <t>2092-08-27</t>
        </is>
      </c>
    </row>
    <row r="70401">
      <c r="A70401" s="1" t="n">
        <v>70400</v>
      </c>
      <c r="B70401">
        <f>TEXT(70400, "[$-0E0000]yyyy-mm-dd")</f>
        <v/>
      </c>
      <c r="C70401" t="inlineStr">
        <is>
          <t>2092-08-28</t>
        </is>
      </c>
    </row>
    <row r="70402">
      <c r="A70402" s="1" t="n">
        <v>70401</v>
      </c>
      <c r="B70402">
        <f>TEXT(70401, "[$-0E0000]yyyy-mm-dd")</f>
        <v/>
      </c>
      <c r="C70402" t="inlineStr">
        <is>
          <t>2092-08-29</t>
        </is>
      </c>
    </row>
    <row r="70403">
      <c r="A70403" s="1" t="n">
        <v>70402</v>
      </c>
      <c r="B70403">
        <f>TEXT(70402, "[$-0E0000]yyyy-mm-dd")</f>
        <v/>
      </c>
      <c r="C70403" t="inlineStr">
        <is>
          <t>2092-09-01</t>
        </is>
      </c>
    </row>
    <row r="70404">
      <c r="A70404" s="1" t="n">
        <v>70403</v>
      </c>
      <c r="B70404">
        <f>TEXT(70403, "[$-0E0000]yyyy-mm-dd")</f>
        <v/>
      </c>
      <c r="C70404" t="inlineStr">
        <is>
          <t>2092-09-02</t>
        </is>
      </c>
    </row>
    <row r="70405">
      <c r="A70405" s="1" t="n">
        <v>70404</v>
      </c>
      <c r="B70405">
        <f>TEXT(70404, "[$-0E0000]yyyy-mm-dd")</f>
        <v/>
      </c>
      <c r="C70405" t="inlineStr">
        <is>
          <t>2092-09-03</t>
        </is>
      </c>
    </row>
    <row r="70406">
      <c r="A70406" s="1" t="n">
        <v>70405</v>
      </c>
      <c r="B70406">
        <f>TEXT(70405, "[$-0E0000]yyyy-mm-dd")</f>
        <v/>
      </c>
      <c r="C70406" t="inlineStr">
        <is>
          <t>2092-09-04</t>
        </is>
      </c>
    </row>
    <row r="70407">
      <c r="A70407" s="1" t="n">
        <v>70406</v>
      </c>
      <c r="B70407">
        <f>TEXT(70406, "[$-0E0000]yyyy-mm-dd")</f>
        <v/>
      </c>
      <c r="C70407" t="inlineStr">
        <is>
          <t>2092-09-05</t>
        </is>
      </c>
    </row>
    <row r="70408">
      <c r="A70408" s="1" t="n">
        <v>70407</v>
      </c>
      <c r="B70408">
        <f>TEXT(70407, "[$-0E0000]yyyy-mm-dd")</f>
        <v/>
      </c>
      <c r="C70408" t="inlineStr">
        <is>
          <t>2092-09-06</t>
        </is>
      </c>
    </row>
    <row r="70409">
      <c r="A70409" s="1" t="n">
        <v>70408</v>
      </c>
      <c r="B70409">
        <f>TEXT(70408, "[$-0E0000]yyyy-mm-dd")</f>
        <v/>
      </c>
      <c r="C70409" t="inlineStr">
        <is>
          <t>2092-09-07</t>
        </is>
      </c>
    </row>
    <row r="70410">
      <c r="A70410" s="1" t="n">
        <v>70409</v>
      </c>
      <c r="B70410">
        <f>TEXT(70409, "[$-0E0000]yyyy-mm-dd")</f>
        <v/>
      </c>
      <c r="C70410" t="inlineStr">
        <is>
          <t>2092-09-08</t>
        </is>
      </c>
    </row>
    <row r="70411">
      <c r="A70411" s="1" t="n">
        <v>70410</v>
      </c>
      <c r="B70411">
        <f>TEXT(70410, "[$-0E0000]yyyy-mm-dd")</f>
        <v/>
      </c>
      <c r="C70411" t="inlineStr">
        <is>
          <t>2092-09-09</t>
        </is>
      </c>
    </row>
    <row r="70412">
      <c r="A70412" s="1" t="n">
        <v>70411</v>
      </c>
      <c r="B70412">
        <f>TEXT(70411, "[$-0E0000]yyyy-mm-dd")</f>
        <v/>
      </c>
      <c r="C70412" t="inlineStr">
        <is>
          <t>2092-09-10</t>
        </is>
      </c>
    </row>
    <row r="70413">
      <c r="A70413" s="1" t="n">
        <v>70412</v>
      </c>
      <c r="B70413">
        <f>TEXT(70412, "[$-0E0000]yyyy-mm-dd")</f>
        <v/>
      </c>
      <c r="C70413" t="inlineStr">
        <is>
          <t>2092-09-11</t>
        </is>
      </c>
    </row>
    <row r="70414">
      <c r="A70414" s="1" t="n">
        <v>70413</v>
      </c>
      <c r="B70414">
        <f>TEXT(70413, "[$-0E0000]yyyy-mm-dd")</f>
        <v/>
      </c>
      <c r="C70414" t="inlineStr">
        <is>
          <t>2092-09-12</t>
        </is>
      </c>
    </row>
    <row r="70415">
      <c r="A70415" s="1" t="n">
        <v>70414</v>
      </c>
      <c r="B70415">
        <f>TEXT(70414, "[$-0E0000]yyyy-mm-dd")</f>
        <v/>
      </c>
      <c r="C70415" t="inlineStr">
        <is>
          <t>2092-09-13</t>
        </is>
      </c>
    </row>
    <row r="70416">
      <c r="A70416" s="1" t="n">
        <v>70415</v>
      </c>
      <c r="B70416">
        <f>TEXT(70415, "[$-0E0000]yyyy-mm-dd")</f>
        <v/>
      </c>
      <c r="C70416" t="inlineStr">
        <is>
          <t>2092-09-14</t>
        </is>
      </c>
    </row>
    <row r="70417">
      <c r="A70417" s="1" t="n">
        <v>70416</v>
      </c>
      <c r="B70417">
        <f>TEXT(70416, "[$-0E0000]yyyy-mm-dd")</f>
        <v/>
      </c>
      <c r="C70417" t="inlineStr">
        <is>
          <t>2092-09-15</t>
        </is>
      </c>
    </row>
    <row r="70418">
      <c r="A70418" s="1" t="n">
        <v>70417</v>
      </c>
      <c r="B70418">
        <f>TEXT(70417, "[$-0E0000]yyyy-mm-dd")</f>
        <v/>
      </c>
      <c r="C70418" t="inlineStr">
        <is>
          <t>2092-09-16</t>
        </is>
      </c>
    </row>
    <row r="70419">
      <c r="A70419" s="1" t="n">
        <v>70418</v>
      </c>
      <c r="B70419">
        <f>TEXT(70418, "[$-0E0000]yyyy-mm-dd")</f>
        <v/>
      </c>
      <c r="C70419" t="inlineStr">
        <is>
          <t>2092-09-17</t>
        </is>
      </c>
    </row>
    <row r="70420">
      <c r="A70420" s="1" t="n">
        <v>70419</v>
      </c>
      <c r="B70420">
        <f>TEXT(70419, "[$-0E0000]yyyy-mm-dd")</f>
        <v/>
      </c>
      <c r="C70420" t="inlineStr">
        <is>
          <t>2092-09-18</t>
        </is>
      </c>
    </row>
    <row r="70421">
      <c r="A70421" s="1" t="n">
        <v>70420</v>
      </c>
      <c r="B70421">
        <f>TEXT(70420, "[$-0E0000]yyyy-mm-dd")</f>
        <v/>
      </c>
      <c r="C70421" t="inlineStr">
        <is>
          <t>2092-09-19</t>
        </is>
      </c>
    </row>
    <row r="70422">
      <c r="A70422" s="1" t="n">
        <v>70421</v>
      </c>
      <c r="B70422">
        <f>TEXT(70421, "[$-0E0000]yyyy-mm-dd")</f>
        <v/>
      </c>
      <c r="C70422" t="inlineStr">
        <is>
          <t>2092-09-20</t>
        </is>
      </c>
    </row>
    <row r="70423">
      <c r="A70423" s="1" t="n">
        <v>70422</v>
      </c>
      <c r="B70423">
        <f>TEXT(70422, "[$-0E0000]yyyy-mm-dd")</f>
        <v/>
      </c>
      <c r="C70423" t="inlineStr">
        <is>
          <t>2092-09-21</t>
        </is>
      </c>
    </row>
    <row r="70424">
      <c r="A70424" s="1" t="n">
        <v>70423</v>
      </c>
      <c r="B70424">
        <f>TEXT(70423, "[$-0E0000]yyyy-mm-dd")</f>
        <v/>
      </c>
      <c r="C70424" t="inlineStr">
        <is>
          <t>2092-09-22</t>
        </is>
      </c>
    </row>
    <row r="70425">
      <c r="A70425" s="1" t="n">
        <v>70424</v>
      </c>
      <c r="B70425">
        <f>TEXT(70424, "[$-0E0000]yyyy-mm-dd")</f>
        <v/>
      </c>
      <c r="C70425" t="inlineStr">
        <is>
          <t>2092-09-23</t>
        </is>
      </c>
    </row>
    <row r="70426">
      <c r="A70426" s="1" t="n">
        <v>70425</v>
      </c>
      <c r="B70426">
        <f>TEXT(70425, "[$-0E0000]yyyy-mm-dd")</f>
        <v/>
      </c>
      <c r="C70426" t="inlineStr">
        <is>
          <t>2092-09-24</t>
        </is>
      </c>
    </row>
    <row r="70427">
      <c r="A70427" s="1" t="n">
        <v>70426</v>
      </c>
      <c r="B70427">
        <f>TEXT(70426, "[$-0E0000]yyyy-mm-dd")</f>
        <v/>
      </c>
      <c r="C70427" t="inlineStr">
        <is>
          <t>2092-09-25</t>
        </is>
      </c>
    </row>
    <row r="70428">
      <c r="A70428" s="1" t="n">
        <v>70427</v>
      </c>
      <c r="B70428">
        <f>TEXT(70427, "[$-0E0000]yyyy-mm-dd")</f>
        <v/>
      </c>
      <c r="C70428" t="inlineStr">
        <is>
          <t>2092-09-26</t>
        </is>
      </c>
    </row>
    <row r="70429">
      <c r="A70429" s="1" t="n">
        <v>70428</v>
      </c>
      <c r="B70429">
        <f>TEXT(70428, "[$-0E0000]yyyy-mm-dd")</f>
        <v/>
      </c>
      <c r="C70429" t="inlineStr">
        <is>
          <t>2092-09-27</t>
        </is>
      </c>
    </row>
    <row r="70430">
      <c r="A70430" s="1" t="n">
        <v>70429</v>
      </c>
      <c r="B70430">
        <f>TEXT(70429, "[$-0E0000]yyyy-mm-dd")</f>
        <v/>
      </c>
      <c r="C70430" t="inlineStr">
        <is>
          <t>2092-09-28</t>
        </is>
      </c>
    </row>
    <row r="70431">
      <c r="A70431" s="1" t="n">
        <v>70430</v>
      </c>
      <c r="B70431">
        <f>TEXT(70430, "[$-0E0000]yyyy-mm-dd")</f>
        <v/>
      </c>
      <c r="C70431" t="inlineStr">
        <is>
          <t>2092-09-29</t>
        </is>
      </c>
    </row>
    <row r="70432">
      <c r="A70432" s="1" t="n">
        <v>70431</v>
      </c>
      <c r="B70432">
        <f>TEXT(70431, "[$-0E0000]yyyy-mm-dd")</f>
        <v/>
      </c>
      <c r="C70432" t="inlineStr">
        <is>
          <t>2092-09-30</t>
        </is>
      </c>
    </row>
    <row r="70433">
      <c r="A70433" s="1" t="n">
        <v>70432</v>
      </c>
      <c r="B70433">
        <f>TEXT(70432, "[$-0E0000]yyyy-mm-dd")</f>
        <v/>
      </c>
      <c r="C70433" t="inlineStr">
        <is>
          <t>2092-10-01</t>
        </is>
      </c>
    </row>
    <row r="70434">
      <c r="A70434" s="1" t="n">
        <v>70433</v>
      </c>
      <c r="B70434">
        <f>TEXT(70433, "[$-0E0000]yyyy-mm-dd")</f>
        <v/>
      </c>
      <c r="C70434" t="inlineStr">
        <is>
          <t>2092-10-02</t>
        </is>
      </c>
    </row>
    <row r="70435">
      <c r="A70435" s="1" t="n">
        <v>70434</v>
      </c>
      <c r="B70435">
        <f>TEXT(70434, "[$-0E0000]yyyy-mm-dd")</f>
        <v/>
      </c>
      <c r="C70435" t="inlineStr">
        <is>
          <t>2092-10-03</t>
        </is>
      </c>
    </row>
    <row r="70436">
      <c r="A70436" s="1" t="n">
        <v>70435</v>
      </c>
      <c r="B70436">
        <f>TEXT(70435, "[$-0E0000]yyyy-mm-dd")</f>
        <v/>
      </c>
      <c r="C70436" t="inlineStr">
        <is>
          <t>2092-10-04</t>
        </is>
      </c>
    </row>
    <row r="70437">
      <c r="A70437" s="1" t="n">
        <v>70436</v>
      </c>
      <c r="B70437">
        <f>TEXT(70436, "[$-0E0000]yyyy-mm-dd")</f>
        <v/>
      </c>
      <c r="C70437" t="inlineStr">
        <is>
          <t>2092-10-05</t>
        </is>
      </c>
    </row>
    <row r="70438">
      <c r="A70438" s="1" t="n">
        <v>70437</v>
      </c>
      <c r="B70438">
        <f>TEXT(70437, "[$-0E0000]yyyy-mm-dd")</f>
        <v/>
      </c>
      <c r="C70438" t="inlineStr">
        <is>
          <t>2092-10-06</t>
        </is>
      </c>
    </row>
    <row r="70439">
      <c r="A70439" s="1" t="n">
        <v>70438</v>
      </c>
      <c r="B70439">
        <f>TEXT(70438, "[$-0E0000]yyyy-mm-dd")</f>
        <v/>
      </c>
      <c r="C70439" t="inlineStr">
        <is>
          <t>2092-10-07</t>
        </is>
      </c>
    </row>
    <row r="70440">
      <c r="A70440" s="1" t="n">
        <v>70439</v>
      </c>
      <c r="B70440">
        <f>TEXT(70439, "[$-0E0000]yyyy-mm-dd")</f>
        <v/>
      </c>
      <c r="C70440" t="inlineStr">
        <is>
          <t>2092-10-08</t>
        </is>
      </c>
    </row>
    <row r="70441">
      <c r="A70441" s="1" t="n">
        <v>70440</v>
      </c>
      <c r="B70441">
        <f>TEXT(70440, "[$-0E0000]yyyy-mm-dd")</f>
        <v/>
      </c>
      <c r="C70441" t="inlineStr">
        <is>
          <t>2092-10-09</t>
        </is>
      </c>
    </row>
    <row r="70442">
      <c r="A70442" s="1" t="n">
        <v>70441</v>
      </c>
      <c r="B70442">
        <f>TEXT(70441, "[$-0E0000]yyyy-mm-dd")</f>
        <v/>
      </c>
      <c r="C70442" t="inlineStr">
        <is>
          <t>2092-10-10</t>
        </is>
      </c>
    </row>
    <row r="70443">
      <c r="A70443" s="1" t="n">
        <v>70442</v>
      </c>
      <c r="B70443">
        <f>TEXT(70442, "[$-0E0000]yyyy-mm-dd")</f>
        <v/>
      </c>
      <c r="C70443" t="inlineStr">
        <is>
          <t>2092-10-11</t>
        </is>
      </c>
    </row>
    <row r="70444">
      <c r="A70444" s="1" t="n">
        <v>70443</v>
      </c>
      <c r="B70444">
        <f>TEXT(70443, "[$-0E0000]yyyy-mm-dd")</f>
        <v/>
      </c>
      <c r="C70444" t="inlineStr">
        <is>
          <t>2092-10-12</t>
        </is>
      </c>
    </row>
    <row r="70445">
      <c r="A70445" s="1" t="n">
        <v>70444</v>
      </c>
      <c r="B70445">
        <f>TEXT(70444, "[$-0E0000]yyyy-mm-dd")</f>
        <v/>
      </c>
      <c r="C70445" t="inlineStr">
        <is>
          <t>2092-10-13</t>
        </is>
      </c>
    </row>
    <row r="70446">
      <c r="A70446" s="1" t="n">
        <v>70445</v>
      </c>
      <c r="B70446">
        <f>TEXT(70445, "[$-0E0000]yyyy-mm-dd")</f>
        <v/>
      </c>
      <c r="C70446" t="inlineStr">
        <is>
          <t>2092-10-14</t>
        </is>
      </c>
    </row>
    <row r="70447">
      <c r="A70447" s="1" t="n">
        <v>70446</v>
      </c>
      <c r="B70447">
        <f>TEXT(70446, "[$-0E0000]yyyy-mm-dd")</f>
        <v/>
      </c>
      <c r="C70447" t="inlineStr">
        <is>
          <t>2092-10-15</t>
        </is>
      </c>
    </row>
    <row r="70448">
      <c r="A70448" s="1" t="n">
        <v>70447</v>
      </c>
      <c r="B70448">
        <f>TEXT(70447, "[$-0E0000]yyyy-mm-dd")</f>
        <v/>
      </c>
      <c r="C70448" t="inlineStr">
        <is>
          <t>2092-10-16</t>
        </is>
      </c>
    </row>
    <row r="70449">
      <c r="A70449" s="1" t="n">
        <v>70448</v>
      </c>
      <c r="B70449">
        <f>TEXT(70448, "[$-0E0000]yyyy-mm-dd")</f>
        <v/>
      </c>
      <c r="C70449" t="inlineStr">
        <is>
          <t>2092-10-17</t>
        </is>
      </c>
    </row>
    <row r="70450">
      <c r="A70450" s="1" t="n">
        <v>70449</v>
      </c>
      <c r="B70450">
        <f>TEXT(70449, "[$-0E0000]yyyy-mm-dd")</f>
        <v/>
      </c>
      <c r="C70450" t="inlineStr">
        <is>
          <t>2092-10-18</t>
        </is>
      </c>
    </row>
    <row r="70451">
      <c r="A70451" s="1" t="n">
        <v>70450</v>
      </c>
      <c r="B70451">
        <f>TEXT(70450, "[$-0E0000]yyyy-mm-dd")</f>
        <v/>
      </c>
      <c r="C70451" t="inlineStr">
        <is>
          <t>2092-10-19</t>
        </is>
      </c>
    </row>
    <row r="70452">
      <c r="A70452" s="1" t="n">
        <v>70451</v>
      </c>
      <c r="B70452">
        <f>TEXT(70451, "[$-0E0000]yyyy-mm-dd")</f>
        <v/>
      </c>
      <c r="C70452" t="inlineStr">
        <is>
          <t>2092-10-20</t>
        </is>
      </c>
    </row>
    <row r="70453">
      <c r="A70453" s="1" t="n">
        <v>70452</v>
      </c>
      <c r="B70453">
        <f>TEXT(70452, "[$-0E0000]yyyy-mm-dd")</f>
        <v/>
      </c>
      <c r="C70453" t="inlineStr">
        <is>
          <t>2092-10-21</t>
        </is>
      </c>
    </row>
    <row r="70454">
      <c r="A70454" s="1" t="n">
        <v>70453</v>
      </c>
      <c r="B70454">
        <f>TEXT(70453, "[$-0E0000]yyyy-mm-dd")</f>
        <v/>
      </c>
      <c r="C70454" t="inlineStr">
        <is>
          <t>2092-10-22</t>
        </is>
      </c>
    </row>
    <row r="70455">
      <c r="A70455" s="1" t="n">
        <v>70454</v>
      </c>
      <c r="B70455">
        <f>TEXT(70454, "[$-0E0000]yyyy-mm-dd")</f>
        <v/>
      </c>
      <c r="C70455" t="inlineStr">
        <is>
          <t>2092-10-23</t>
        </is>
      </c>
    </row>
    <row r="70456">
      <c r="A70456" s="1" t="n">
        <v>70455</v>
      </c>
      <c r="B70456">
        <f>TEXT(70455, "[$-0E0000]yyyy-mm-dd")</f>
        <v/>
      </c>
      <c r="C70456" t="inlineStr">
        <is>
          <t>2092-10-24</t>
        </is>
      </c>
    </row>
    <row r="70457">
      <c r="A70457" s="1" t="n">
        <v>70456</v>
      </c>
      <c r="B70457">
        <f>TEXT(70456, "[$-0E0000]yyyy-mm-dd")</f>
        <v/>
      </c>
      <c r="C70457" t="inlineStr">
        <is>
          <t>2092-10-25</t>
        </is>
      </c>
    </row>
    <row r="70458">
      <c r="A70458" s="1" t="n">
        <v>70457</v>
      </c>
      <c r="B70458">
        <f>TEXT(70457, "[$-0E0000]yyyy-mm-dd")</f>
        <v/>
      </c>
      <c r="C70458" t="inlineStr">
        <is>
          <t>2092-10-26</t>
        </is>
      </c>
    </row>
    <row r="70459">
      <c r="A70459" s="1" t="n">
        <v>70458</v>
      </c>
      <c r="B70459">
        <f>TEXT(70458, "[$-0E0000]yyyy-mm-dd")</f>
        <v/>
      </c>
      <c r="C70459" t="inlineStr">
        <is>
          <t>2092-10-27</t>
        </is>
      </c>
    </row>
    <row r="70460">
      <c r="A70460" s="1" t="n">
        <v>70459</v>
      </c>
      <c r="B70460">
        <f>TEXT(70459, "[$-0E0000]yyyy-mm-dd")</f>
        <v/>
      </c>
      <c r="C70460" t="inlineStr">
        <is>
          <t>2092-10-28</t>
        </is>
      </c>
    </row>
    <row r="70461">
      <c r="A70461" s="1" t="n">
        <v>70460</v>
      </c>
      <c r="B70461">
        <f>TEXT(70460, "[$-0E0000]yyyy-mm-dd")</f>
        <v/>
      </c>
      <c r="C70461" t="inlineStr">
        <is>
          <t>2092-10-29</t>
        </is>
      </c>
    </row>
    <row r="70462">
      <c r="A70462" s="1" t="n">
        <v>70461</v>
      </c>
      <c r="B70462">
        <f>TEXT(70461, "[$-0E0000]yyyy-mm-dd")</f>
        <v/>
      </c>
      <c r="C70462" t="inlineStr">
        <is>
          <t>2092-11-01</t>
        </is>
      </c>
    </row>
    <row r="70463">
      <c r="A70463" s="1" t="n">
        <v>70462</v>
      </c>
      <c r="B70463">
        <f>TEXT(70462, "[$-0E0000]yyyy-mm-dd")</f>
        <v/>
      </c>
      <c r="C70463" t="inlineStr">
        <is>
          <t>2092-11-02</t>
        </is>
      </c>
    </row>
    <row r="70464">
      <c r="A70464" s="1" t="n">
        <v>70463</v>
      </c>
      <c r="B70464">
        <f>TEXT(70463, "[$-0E0000]yyyy-mm-dd")</f>
        <v/>
      </c>
      <c r="C70464" t="inlineStr">
        <is>
          <t>2092-11-03</t>
        </is>
      </c>
    </row>
    <row r="70465">
      <c r="A70465" s="1" t="n">
        <v>70464</v>
      </c>
      <c r="B70465">
        <f>TEXT(70464, "[$-0E0000]yyyy-mm-dd")</f>
        <v/>
      </c>
      <c r="C70465" t="inlineStr">
        <is>
          <t>2092-11-04</t>
        </is>
      </c>
    </row>
    <row r="70466">
      <c r="A70466" s="1" t="n">
        <v>70465</v>
      </c>
      <c r="B70466">
        <f>TEXT(70465, "[$-0E0000]yyyy-mm-dd")</f>
        <v/>
      </c>
      <c r="C70466" t="inlineStr">
        <is>
          <t>2092-11-05</t>
        </is>
      </c>
    </row>
    <row r="70467">
      <c r="A70467" s="1" t="n">
        <v>70466</v>
      </c>
      <c r="B70467">
        <f>TEXT(70466, "[$-0E0000]yyyy-mm-dd")</f>
        <v/>
      </c>
      <c r="C70467" t="inlineStr">
        <is>
          <t>2092-11-06</t>
        </is>
      </c>
    </row>
    <row r="70468">
      <c r="A70468" s="1" t="n">
        <v>70467</v>
      </c>
      <c r="B70468">
        <f>TEXT(70467, "[$-0E0000]yyyy-mm-dd")</f>
        <v/>
      </c>
      <c r="C70468" t="inlineStr">
        <is>
          <t>2092-11-07</t>
        </is>
      </c>
    </row>
    <row r="70469">
      <c r="A70469" s="1" t="n">
        <v>70468</v>
      </c>
      <c r="B70469">
        <f>TEXT(70468, "[$-0E0000]yyyy-mm-dd")</f>
        <v/>
      </c>
      <c r="C70469" t="inlineStr">
        <is>
          <t>2092-11-08</t>
        </is>
      </c>
    </row>
    <row r="70470">
      <c r="A70470" s="1" t="n">
        <v>70469</v>
      </c>
      <c r="B70470">
        <f>TEXT(70469, "[$-0E0000]yyyy-mm-dd")</f>
        <v/>
      </c>
      <c r="C70470" t="inlineStr">
        <is>
          <t>2092-11-09</t>
        </is>
      </c>
    </row>
    <row r="70471">
      <c r="A70471" s="1" t="n">
        <v>70470</v>
      </c>
      <c r="B70471">
        <f>TEXT(70470, "[$-0E0000]yyyy-mm-dd")</f>
        <v/>
      </c>
      <c r="C70471" t="inlineStr">
        <is>
          <t>2092-11-10</t>
        </is>
      </c>
    </row>
    <row r="70472">
      <c r="A70472" s="1" t="n">
        <v>70471</v>
      </c>
      <c r="B70472">
        <f>TEXT(70471, "[$-0E0000]yyyy-mm-dd")</f>
        <v/>
      </c>
      <c r="C70472" t="inlineStr">
        <is>
          <t>2092-11-11</t>
        </is>
      </c>
    </row>
    <row r="70473">
      <c r="A70473" s="1" t="n">
        <v>70472</v>
      </c>
      <c r="B70473">
        <f>TEXT(70472, "[$-0E0000]yyyy-mm-dd")</f>
        <v/>
      </c>
      <c r="C70473" t="inlineStr">
        <is>
          <t>2092-11-12</t>
        </is>
      </c>
    </row>
    <row r="70474">
      <c r="A70474" s="1" t="n">
        <v>70473</v>
      </c>
      <c r="B70474">
        <f>TEXT(70473, "[$-0E0000]yyyy-mm-dd")</f>
        <v/>
      </c>
      <c r="C70474" t="inlineStr">
        <is>
          <t>2092-11-13</t>
        </is>
      </c>
    </row>
    <row r="70475">
      <c r="A70475" s="1" t="n">
        <v>70474</v>
      </c>
      <c r="B70475">
        <f>TEXT(70474, "[$-0E0000]yyyy-mm-dd")</f>
        <v/>
      </c>
      <c r="C70475" t="inlineStr">
        <is>
          <t>2092-11-14</t>
        </is>
      </c>
    </row>
    <row r="70476">
      <c r="A70476" s="1" t="n">
        <v>70475</v>
      </c>
      <c r="B70476">
        <f>TEXT(70475, "[$-0E0000]yyyy-mm-dd")</f>
        <v/>
      </c>
      <c r="C70476" t="inlineStr">
        <is>
          <t>2092-11-15</t>
        </is>
      </c>
    </row>
    <row r="70477">
      <c r="A70477" s="1" t="n">
        <v>70476</v>
      </c>
      <c r="B70477">
        <f>TEXT(70476, "[$-0E0000]yyyy-mm-dd")</f>
        <v/>
      </c>
      <c r="C70477" t="inlineStr">
        <is>
          <t>2092-11-16</t>
        </is>
      </c>
    </row>
    <row r="70478">
      <c r="A70478" s="1" t="n">
        <v>70477</v>
      </c>
      <c r="B70478">
        <f>TEXT(70477, "[$-0E0000]yyyy-mm-dd")</f>
        <v/>
      </c>
      <c r="C70478" t="inlineStr">
        <is>
          <t>2092-11-17</t>
        </is>
      </c>
    </row>
    <row r="70479">
      <c r="A70479" s="1" t="n">
        <v>70478</v>
      </c>
      <c r="B70479">
        <f>TEXT(70478, "[$-0E0000]yyyy-mm-dd")</f>
        <v/>
      </c>
      <c r="C70479" t="inlineStr">
        <is>
          <t>2092-11-18</t>
        </is>
      </c>
    </row>
    <row r="70480">
      <c r="A70480" s="1" t="n">
        <v>70479</v>
      </c>
      <c r="B70480">
        <f>TEXT(70479, "[$-0E0000]yyyy-mm-dd")</f>
        <v/>
      </c>
      <c r="C70480" t="inlineStr">
        <is>
          <t>2092-11-19</t>
        </is>
      </c>
    </row>
    <row r="70481">
      <c r="A70481" s="1" t="n">
        <v>70480</v>
      </c>
      <c r="B70481">
        <f>TEXT(70480, "[$-0E0000]yyyy-mm-dd")</f>
        <v/>
      </c>
      <c r="C70481" t="inlineStr">
        <is>
          <t>2092-11-20</t>
        </is>
      </c>
    </row>
    <row r="70482">
      <c r="A70482" s="1" t="n">
        <v>70481</v>
      </c>
      <c r="B70482">
        <f>TEXT(70481, "[$-0E0000]yyyy-mm-dd")</f>
        <v/>
      </c>
      <c r="C70482" t="inlineStr">
        <is>
          <t>2092-11-21</t>
        </is>
      </c>
    </row>
    <row r="70483">
      <c r="A70483" s="1" t="n">
        <v>70482</v>
      </c>
      <c r="B70483">
        <f>TEXT(70482, "[$-0E0000]yyyy-mm-dd")</f>
        <v/>
      </c>
      <c r="C70483" t="inlineStr">
        <is>
          <t>2092-11-22</t>
        </is>
      </c>
    </row>
    <row r="70484">
      <c r="A70484" s="1" t="n">
        <v>70483</v>
      </c>
      <c r="B70484">
        <f>TEXT(70483, "[$-0E0000]yyyy-mm-dd")</f>
        <v/>
      </c>
      <c r="C70484" t="inlineStr">
        <is>
          <t>2092-11-23</t>
        </is>
      </c>
    </row>
    <row r="70485">
      <c r="A70485" s="1" t="n">
        <v>70484</v>
      </c>
      <c r="B70485">
        <f>TEXT(70484, "[$-0E0000]yyyy-mm-dd")</f>
        <v/>
      </c>
      <c r="C70485" t="inlineStr">
        <is>
          <t>2092-11-24</t>
        </is>
      </c>
    </row>
    <row r="70486">
      <c r="A70486" s="1" t="n">
        <v>70485</v>
      </c>
      <c r="B70486">
        <f>TEXT(70485, "[$-0E0000]yyyy-mm-dd")</f>
        <v/>
      </c>
      <c r="C70486" t="inlineStr">
        <is>
          <t>2092-11-25</t>
        </is>
      </c>
    </row>
    <row r="70487">
      <c r="A70487" s="1" t="n">
        <v>70486</v>
      </c>
      <c r="B70487">
        <f>TEXT(70486, "[$-0E0000]yyyy-mm-dd")</f>
        <v/>
      </c>
      <c r="C70487" t="inlineStr">
        <is>
          <t>2092-11-26</t>
        </is>
      </c>
    </row>
    <row r="70488">
      <c r="A70488" s="1" t="n">
        <v>70487</v>
      </c>
      <c r="B70488">
        <f>TEXT(70487, "[$-0E0000]yyyy-mm-dd")</f>
        <v/>
      </c>
      <c r="C70488" t="inlineStr">
        <is>
          <t>2092-11-27</t>
        </is>
      </c>
    </row>
    <row r="70489">
      <c r="A70489" s="1" t="n">
        <v>70488</v>
      </c>
      <c r="B70489">
        <f>TEXT(70488, "[$-0E0000]yyyy-mm-dd")</f>
        <v/>
      </c>
      <c r="C70489" t="inlineStr">
        <is>
          <t>2092-11-28</t>
        </is>
      </c>
    </row>
    <row r="70490">
      <c r="A70490" s="1" t="n">
        <v>70489</v>
      </c>
      <c r="B70490">
        <f>TEXT(70489, "[$-0E0000]yyyy-mm-dd")</f>
        <v/>
      </c>
      <c r="C70490" t="inlineStr">
        <is>
          <t>2092-11-29</t>
        </is>
      </c>
    </row>
    <row r="70491">
      <c r="A70491" s="1" t="n">
        <v>70490</v>
      </c>
      <c r="B70491">
        <f>TEXT(70490, "[$-0E0000]yyyy-mm-dd")</f>
        <v/>
      </c>
      <c r="C70491" t="inlineStr">
        <is>
          <t>2092-11-30</t>
        </is>
      </c>
    </row>
    <row r="70492">
      <c r="A70492" s="1" t="n">
        <v>70491</v>
      </c>
      <c r="B70492">
        <f>TEXT(70491, "[$-0E0000]yyyy-mm-dd")</f>
        <v/>
      </c>
      <c r="C70492" t="inlineStr">
        <is>
          <t>2092-12-01</t>
        </is>
      </c>
    </row>
    <row r="70493">
      <c r="A70493" s="1" t="n">
        <v>70492</v>
      </c>
      <c r="B70493">
        <f>TEXT(70492, "[$-0E0000]yyyy-mm-dd")</f>
        <v/>
      </c>
      <c r="C70493" t="inlineStr">
        <is>
          <t>2092-12-02</t>
        </is>
      </c>
    </row>
    <row r="70494">
      <c r="A70494" s="1" t="n">
        <v>70493</v>
      </c>
      <c r="B70494">
        <f>TEXT(70493, "[$-0E0000]yyyy-mm-dd")</f>
        <v/>
      </c>
      <c r="C70494" t="inlineStr">
        <is>
          <t>2092-12-03</t>
        </is>
      </c>
    </row>
    <row r="70495">
      <c r="A70495" s="1" t="n">
        <v>70494</v>
      </c>
      <c r="B70495">
        <f>TEXT(70494, "[$-0E0000]yyyy-mm-dd")</f>
        <v/>
      </c>
      <c r="C70495" t="inlineStr">
        <is>
          <t>2092-12-04</t>
        </is>
      </c>
    </row>
    <row r="70496">
      <c r="A70496" s="1" t="n">
        <v>70495</v>
      </c>
      <c r="B70496">
        <f>TEXT(70495, "[$-0E0000]yyyy-mm-dd")</f>
        <v/>
      </c>
      <c r="C70496" t="inlineStr">
        <is>
          <t>2092-12-05</t>
        </is>
      </c>
    </row>
    <row r="70497">
      <c r="A70497" s="1" t="n">
        <v>70496</v>
      </c>
      <c r="B70497">
        <f>TEXT(70496, "[$-0E0000]yyyy-mm-dd")</f>
        <v/>
      </c>
      <c r="C70497" t="inlineStr">
        <is>
          <t>2092-12-06</t>
        </is>
      </c>
    </row>
    <row r="70498">
      <c r="A70498" s="1" t="n">
        <v>70497</v>
      </c>
      <c r="B70498">
        <f>TEXT(70497, "[$-0E0000]yyyy-mm-dd")</f>
        <v/>
      </c>
      <c r="C70498" t="inlineStr">
        <is>
          <t>2092-12-07</t>
        </is>
      </c>
    </row>
    <row r="70499">
      <c r="A70499" s="1" t="n">
        <v>70498</v>
      </c>
      <c r="B70499">
        <f>TEXT(70498, "[$-0E0000]yyyy-mm-dd")</f>
        <v/>
      </c>
      <c r="C70499" t="inlineStr">
        <is>
          <t>2092-12-08</t>
        </is>
      </c>
    </row>
    <row r="70500">
      <c r="A70500" s="1" t="n">
        <v>70499</v>
      </c>
      <c r="B70500">
        <f>TEXT(70499, "[$-0E0000]yyyy-mm-dd")</f>
        <v/>
      </c>
      <c r="C70500" t="inlineStr">
        <is>
          <t>2092-12-09</t>
        </is>
      </c>
    </row>
    <row r="70501">
      <c r="A70501" s="1" t="n">
        <v>70500</v>
      </c>
      <c r="B70501">
        <f>TEXT(70500, "[$-0E0000]yyyy-mm-dd")</f>
        <v/>
      </c>
      <c r="C70501" t="inlineStr">
        <is>
          <t>2092-12-10</t>
        </is>
      </c>
    </row>
    <row r="70502">
      <c r="A70502" s="1" t="n">
        <v>70501</v>
      </c>
      <c r="B70502">
        <f>TEXT(70501, "[$-0E0000]yyyy-mm-dd")</f>
        <v/>
      </c>
      <c r="C70502" t="inlineStr">
        <is>
          <t>2092-12-11</t>
        </is>
      </c>
    </row>
    <row r="70503">
      <c r="A70503" s="1" t="n">
        <v>70502</v>
      </c>
      <c r="B70503">
        <f>TEXT(70502, "[$-0E0000]yyyy-mm-dd")</f>
        <v/>
      </c>
      <c r="C70503" t="inlineStr">
        <is>
          <t>2092-12-12</t>
        </is>
      </c>
    </row>
    <row r="70504">
      <c r="A70504" s="1" t="n">
        <v>70503</v>
      </c>
      <c r="B70504">
        <f>TEXT(70503, "[$-0E0000]yyyy-mm-dd")</f>
        <v/>
      </c>
      <c r="C70504" t="inlineStr">
        <is>
          <t>2092-12-13</t>
        </is>
      </c>
    </row>
    <row r="70505">
      <c r="A70505" s="1" t="n">
        <v>70504</v>
      </c>
      <c r="B70505">
        <f>TEXT(70504, "[$-0E0000]yyyy-mm-dd")</f>
        <v/>
      </c>
      <c r="C70505" t="inlineStr">
        <is>
          <t>2092-12-14</t>
        </is>
      </c>
    </row>
    <row r="70506">
      <c r="A70506" s="1" t="n">
        <v>70505</v>
      </c>
      <c r="B70506">
        <f>TEXT(70505, "[$-0E0000]yyyy-mm-dd")</f>
        <v/>
      </c>
      <c r="C70506" t="inlineStr">
        <is>
          <t>2092-12-15</t>
        </is>
      </c>
    </row>
    <row r="70507">
      <c r="A70507" s="1" t="n">
        <v>70506</v>
      </c>
      <c r="B70507">
        <f>TEXT(70506, "[$-0E0000]yyyy-mm-dd")</f>
        <v/>
      </c>
      <c r="C70507" t="inlineStr">
        <is>
          <t>2092-12-16</t>
        </is>
      </c>
    </row>
    <row r="70508">
      <c r="A70508" s="1" t="n">
        <v>70507</v>
      </c>
      <c r="B70508">
        <f>TEXT(70507, "[$-0E0000]yyyy-mm-dd")</f>
        <v/>
      </c>
      <c r="C70508" t="inlineStr">
        <is>
          <t>2092-12-17</t>
        </is>
      </c>
    </row>
    <row r="70509">
      <c r="A70509" s="1" t="n">
        <v>70508</v>
      </c>
      <c r="B70509">
        <f>TEXT(70508, "[$-0E0000]yyyy-mm-dd")</f>
        <v/>
      </c>
      <c r="C70509" t="inlineStr">
        <is>
          <t>2092-12-18</t>
        </is>
      </c>
    </row>
    <row r="70510">
      <c r="A70510" s="1" t="n">
        <v>70509</v>
      </c>
      <c r="B70510">
        <f>TEXT(70509, "[$-0E0000]yyyy-mm-dd")</f>
        <v/>
      </c>
      <c r="C70510" t="inlineStr">
        <is>
          <t>2092-12-19</t>
        </is>
      </c>
    </row>
    <row r="70511">
      <c r="A70511" s="1" t="n">
        <v>70510</v>
      </c>
      <c r="B70511">
        <f>TEXT(70510, "[$-0E0000]yyyy-mm-dd")</f>
        <v/>
      </c>
      <c r="C70511" t="inlineStr">
        <is>
          <t>2092-12-20</t>
        </is>
      </c>
    </row>
    <row r="70512">
      <c r="A70512" s="1" t="n">
        <v>70511</v>
      </c>
      <c r="B70512">
        <f>TEXT(70511, "[$-0E0000]yyyy-mm-dd")</f>
        <v/>
      </c>
      <c r="C70512" t="inlineStr">
        <is>
          <t>2092-12-21</t>
        </is>
      </c>
    </row>
    <row r="70513">
      <c r="A70513" s="1" t="n">
        <v>70512</v>
      </c>
      <c r="B70513">
        <f>TEXT(70512, "[$-0E0000]yyyy-mm-dd")</f>
        <v/>
      </c>
      <c r="C70513" t="inlineStr">
        <is>
          <t>2092-12-22</t>
        </is>
      </c>
    </row>
    <row r="70514">
      <c r="A70514" s="1" t="n">
        <v>70513</v>
      </c>
      <c r="B70514">
        <f>TEXT(70513, "[$-0E0000]yyyy-mm-dd")</f>
        <v/>
      </c>
      <c r="C70514" t="inlineStr">
        <is>
          <t>2092-12-23</t>
        </is>
      </c>
    </row>
    <row r="70515">
      <c r="A70515" s="1" t="n">
        <v>70514</v>
      </c>
      <c r="B70515">
        <f>TEXT(70514, "[$-0E0000]yyyy-mm-dd")</f>
        <v/>
      </c>
      <c r="C70515" t="inlineStr">
        <is>
          <t>2092-12-24</t>
        </is>
      </c>
    </row>
    <row r="70516">
      <c r="A70516" s="1" t="n">
        <v>70515</v>
      </c>
      <c r="B70516">
        <f>TEXT(70515, "[$-0E0000]yyyy-mm-dd")</f>
        <v/>
      </c>
      <c r="C70516" t="inlineStr">
        <is>
          <t>2092-12-25</t>
        </is>
      </c>
    </row>
    <row r="70517">
      <c r="A70517" s="1" t="n">
        <v>70516</v>
      </c>
      <c r="B70517">
        <f>TEXT(70516, "[$-0E0000]yyyy-mm-dd")</f>
        <v/>
      </c>
      <c r="C70517" t="inlineStr">
        <is>
          <t>2092-12-26</t>
        </is>
      </c>
    </row>
    <row r="70518">
      <c r="A70518" s="1" t="n">
        <v>70517</v>
      </c>
      <c r="B70518">
        <f>TEXT(70517, "[$-0E0000]yyyy-mm-dd")</f>
        <v/>
      </c>
      <c r="C70518" t="inlineStr">
        <is>
          <t>2092-12-27</t>
        </is>
      </c>
    </row>
    <row r="70519">
      <c r="A70519" s="1" t="n">
        <v>70518</v>
      </c>
      <c r="B70519">
        <f>TEXT(70518, "[$-0E0000]yyyy-mm-dd")</f>
        <v/>
      </c>
      <c r="C70519" t="inlineStr">
        <is>
          <t>2092-12-28</t>
        </is>
      </c>
    </row>
    <row r="70520">
      <c r="A70520" s="1" t="n">
        <v>70519</v>
      </c>
      <c r="B70520">
        <f>TEXT(70519, "[$-0E0000]yyyy-mm-dd")</f>
        <v/>
      </c>
      <c r="C70520" t="inlineStr">
        <is>
          <t>2092-12-29</t>
        </is>
      </c>
    </row>
    <row r="70521">
      <c r="A70521" s="1" t="n">
        <v>70520</v>
      </c>
      <c r="B70521">
        <f>TEXT(70520, "[$-0E0000]yyyy-mm-dd")</f>
        <v/>
      </c>
      <c r="C70521" t="inlineStr">
        <is>
          <t>2093-01-01</t>
        </is>
      </c>
    </row>
    <row r="70522">
      <c r="A70522" s="1" t="n">
        <v>70521</v>
      </c>
      <c r="B70522">
        <f>TEXT(70521, "[$-0E0000]yyyy-mm-dd")</f>
        <v/>
      </c>
      <c r="C70522" t="inlineStr">
        <is>
          <t>2093-01-02</t>
        </is>
      </c>
    </row>
    <row r="70523">
      <c r="A70523" s="1" t="n">
        <v>70522</v>
      </c>
      <c r="B70523">
        <f>TEXT(70522, "[$-0E0000]yyyy-mm-dd")</f>
        <v/>
      </c>
      <c r="C70523" t="inlineStr">
        <is>
          <t>2093-01-03</t>
        </is>
      </c>
    </row>
    <row r="70524">
      <c r="A70524" s="1" t="n">
        <v>70523</v>
      </c>
      <c r="B70524">
        <f>TEXT(70523, "[$-0E0000]yyyy-mm-dd")</f>
        <v/>
      </c>
      <c r="C70524" t="inlineStr">
        <is>
          <t>2093-01-04</t>
        </is>
      </c>
    </row>
    <row r="70525">
      <c r="A70525" s="1" t="n">
        <v>70524</v>
      </c>
      <c r="B70525">
        <f>TEXT(70524, "[$-0E0000]yyyy-mm-dd")</f>
        <v/>
      </c>
      <c r="C70525" t="inlineStr">
        <is>
          <t>2093-01-05</t>
        </is>
      </c>
    </row>
    <row r="70526">
      <c r="A70526" s="1" t="n">
        <v>70525</v>
      </c>
      <c r="B70526">
        <f>TEXT(70525, "[$-0E0000]yyyy-mm-dd")</f>
        <v/>
      </c>
      <c r="C70526" t="inlineStr">
        <is>
          <t>2093-01-06</t>
        </is>
      </c>
    </row>
    <row r="70527">
      <c r="A70527" s="1" t="n">
        <v>70526</v>
      </c>
      <c r="B70527">
        <f>TEXT(70526, "[$-0E0000]yyyy-mm-dd")</f>
        <v/>
      </c>
      <c r="C70527" t="inlineStr">
        <is>
          <t>2093-01-07</t>
        </is>
      </c>
    </row>
    <row r="70528">
      <c r="A70528" s="1" t="n">
        <v>70527</v>
      </c>
      <c r="B70528">
        <f>TEXT(70527, "[$-0E0000]yyyy-mm-dd")</f>
        <v/>
      </c>
      <c r="C70528" t="inlineStr">
        <is>
          <t>2093-01-08</t>
        </is>
      </c>
    </row>
    <row r="70529">
      <c r="A70529" s="1" t="n">
        <v>70528</v>
      </c>
      <c r="B70529">
        <f>TEXT(70528, "[$-0E0000]yyyy-mm-dd")</f>
        <v/>
      </c>
      <c r="C70529" t="inlineStr">
        <is>
          <t>2093-01-09</t>
        </is>
      </c>
    </row>
    <row r="70530">
      <c r="A70530" s="1" t="n">
        <v>70529</v>
      </c>
      <c r="B70530">
        <f>TEXT(70529, "[$-0E0000]yyyy-mm-dd")</f>
        <v/>
      </c>
      <c r="C70530" t="inlineStr">
        <is>
          <t>2093-01-10</t>
        </is>
      </c>
    </row>
    <row r="70531">
      <c r="A70531" s="1" t="n">
        <v>70530</v>
      </c>
      <c r="B70531">
        <f>TEXT(70530, "[$-0E0000]yyyy-mm-dd")</f>
        <v/>
      </c>
      <c r="C70531" t="inlineStr">
        <is>
          <t>2093-01-11</t>
        </is>
      </c>
    </row>
    <row r="70532">
      <c r="A70532" s="1" t="n">
        <v>70531</v>
      </c>
      <c r="B70532">
        <f>TEXT(70531, "[$-0E0000]yyyy-mm-dd")</f>
        <v/>
      </c>
      <c r="C70532" t="inlineStr">
        <is>
          <t>2093-01-12</t>
        </is>
      </c>
    </row>
    <row r="70533">
      <c r="A70533" s="1" t="n">
        <v>70532</v>
      </c>
      <c r="B70533">
        <f>TEXT(70532, "[$-0E0000]yyyy-mm-dd")</f>
        <v/>
      </c>
      <c r="C70533" t="inlineStr">
        <is>
          <t>2093-01-13</t>
        </is>
      </c>
    </row>
    <row r="70534">
      <c r="A70534" s="1" t="n">
        <v>70533</v>
      </c>
      <c r="B70534">
        <f>TEXT(70533, "[$-0E0000]yyyy-mm-dd")</f>
        <v/>
      </c>
      <c r="C70534" t="inlineStr">
        <is>
          <t>2093-01-14</t>
        </is>
      </c>
    </row>
    <row r="70535">
      <c r="A70535" s="1" t="n">
        <v>70534</v>
      </c>
      <c r="B70535">
        <f>TEXT(70534, "[$-0E0000]yyyy-mm-dd")</f>
        <v/>
      </c>
      <c r="C70535" t="inlineStr">
        <is>
          <t>2093-01-15</t>
        </is>
      </c>
    </row>
    <row r="70536">
      <c r="A70536" s="1" t="n">
        <v>70535</v>
      </c>
      <c r="B70536">
        <f>TEXT(70535, "[$-0E0000]yyyy-mm-dd")</f>
        <v/>
      </c>
      <c r="C70536" t="inlineStr">
        <is>
          <t>2093-01-16</t>
        </is>
      </c>
    </row>
    <row r="70537">
      <c r="A70537" s="1" t="n">
        <v>70536</v>
      </c>
      <c r="B70537">
        <f>TEXT(70536, "[$-0E0000]yyyy-mm-dd")</f>
        <v/>
      </c>
      <c r="C70537" t="inlineStr">
        <is>
          <t>2093-01-17</t>
        </is>
      </c>
    </row>
    <row r="70538">
      <c r="A70538" s="1" t="n">
        <v>70537</v>
      </c>
      <c r="B70538">
        <f>TEXT(70537, "[$-0E0000]yyyy-mm-dd")</f>
        <v/>
      </c>
      <c r="C70538" t="inlineStr">
        <is>
          <t>2093-01-18</t>
        </is>
      </c>
    </row>
    <row r="70539">
      <c r="A70539" s="1" t="n">
        <v>70538</v>
      </c>
      <c r="B70539">
        <f>TEXT(70538, "[$-0E0000]yyyy-mm-dd")</f>
        <v/>
      </c>
      <c r="C70539" t="inlineStr">
        <is>
          <t>2093-01-19</t>
        </is>
      </c>
    </row>
    <row r="70540">
      <c r="A70540" s="1" t="n">
        <v>70539</v>
      </c>
      <c r="B70540">
        <f>TEXT(70539, "[$-0E0000]yyyy-mm-dd")</f>
        <v/>
      </c>
      <c r="C70540" t="inlineStr">
        <is>
          <t>2093-01-20</t>
        </is>
      </c>
    </row>
    <row r="70541">
      <c r="A70541" s="1" t="n">
        <v>70540</v>
      </c>
      <c r="B70541">
        <f>TEXT(70540, "[$-0E0000]yyyy-mm-dd")</f>
        <v/>
      </c>
      <c r="C70541" t="inlineStr">
        <is>
          <t>2093-01-21</t>
        </is>
      </c>
    </row>
    <row r="70542">
      <c r="A70542" s="1" t="n">
        <v>70541</v>
      </c>
      <c r="B70542">
        <f>TEXT(70541, "[$-0E0000]yyyy-mm-dd")</f>
        <v/>
      </c>
      <c r="C70542" t="inlineStr">
        <is>
          <t>2093-01-22</t>
        </is>
      </c>
    </row>
    <row r="70543">
      <c r="A70543" s="1" t="n">
        <v>70542</v>
      </c>
      <c r="B70543">
        <f>TEXT(70542, "[$-0E0000]yyyy-mm-dd")</f>
        <v/>
      </c>
      <c r="C70543" t="inlineStr">
        <is>
          <t>2093-01-23</t>
        </is>
      </c>
    </row>
    <row r="70544">
      <c r="A70544" s="1" t="n">
        <v>70543</v>
      </c>
      <c r="B70544">
        <f>TEXT(70543, "[$-0E0000]yyyy-mm-dd")</f>
        <v/>
      </c>
      <c r="C70544" t="inlineStr">
        <is>
          <t>2093-01-24</t>
        </is>
      </c>
    </row>
    <row r="70545">
      <c r="A70545" s="1" t="n">
        <v>70544</v>
      </c>
      <c r="B70545">
        <f>TEXT(70544, "[$-0E0000]yyyy-mm-dd")</f>
        <v/>
      </c>
      <c r="C70545" t="inlineStr">
        <is>
          <t>2093-01-25</t>
        </is>
      </c>
    </row>
    <row r="70546">
      <c r="A70546" s="1" t="n">
        <v>70545</v>
      </c>
      <c r="B70546">
        <f>TEXT(70545, "[$-0E0000]yyyy-mm-dd")</f>
        <v/>
      </c>
      <c r="C70546" t="inlineStr">
        <is>
          <t>2093-01-26</t>
        </is>
      </c>
    </row>
    <row r="70547">
      <c r="A70547" s="1" t="n">
        <v>70546</v>
      </c>
      <c r="B70547">
        <f>TEXT(70546, "[$-0E0000]yyyy-mm-dd")</f>
        <v/>
      </c>
      <c r="C70547" t="inlineStr">
        <is>
          <t>2093-01-27</t>
        </is>
      </c>
    </row>
    <row r="70548">
      <c r="A70548" s="1" t="n">
        <v>70547</v>
      </c>
      <c r="B70548">
        <f>TEXT(70547, "[$-0E0000]yyyy-mm-dd")</f>
        <v/>
      </c>
      <c r="C70548" t="inlineStr">
        <is>
          <t>2093-01-28</t>
        </is>
      </c>
    </row>
    <row r="70549">
      <c r="A70549" s="1" t="n">
        <v>70548</v>
      </c>
      <c r="B70549">
        <f>TEXT(70548, "[$-0E0000]yyyy-mm-dd")</f>
        <v/>
      </c>
      <c r="C70549" t="inlineStr">
        <is>
          <t>2093-01-29</t>
        </is>
      </c>
    </row>
    <row r="70550">
      <c r="A70550" s="1" t="n">
        <v>70549</v>
      </c>
      <c r="B70550">
        <f>TEXT(70549, "[$-0E0000]yyyy-mm-dd")</f>
        <v/>
      </c>
      <c r="C70550" t="inlineStr">
        <is>
          <t>2093-02-01</t>
        </is>
      </c>
    </row>
    <row r="70551">
      <c r="A70551" s="1" t="n">
        <v>70550</v>
      </c>
      <c r="B70551">
        <f>TEXT(70550, "[$-0E0000]yyyy-mm-dd")</f>
        <v/>
      </c>
      <c r="C70551" t="inlineStr">
        <is>
          <t>2093-02-02</t>
        </is>
      </c>
    </row>
    <row r="70552">
      <c r="A70552" s="1" t="n">
        <v>70551</v>
      </c>
      <c r="B70552">
        <f>TEXT(70551, "[$-0E0000]yyyy-mm-dd")</f>
        <v/>
      </c>
      <c r="C70552" t="inlineStr">
        <is>
          <t>2093-02-03</t>
        </is>
      </c>
    </row>
    <row r="70553">
      <c r="A70553" s="1" t="n">
        <v>70552</v>
      </c>
      <c r="B70553">
        <f>TEXT(70552, "[$-0E0000]yyyy-mm-dd")</f>
        <v/>
      </c>
      <c r="C70553" t="inlineStr">
        <is>
          <t>2093-02-04</t>
        </is>
      </c>
    </row>
    <row r="70554">
      <c r="A70554" s="1" t="n">
        <v>70553</v>
      </c>
      <c r="B70554">
        <f>TEXT(70553, "[$-0E0000]yyyy-mm-dd")</f>
        <v/>
      </c>
      <c r="C70554" t="inlineStr">
        <is>
          <t>2093-02-05</t>
        </is>
      </c>
    </row>
    <row r="70555">
      <c r="A70555" s="1" t="n">
        <v>70554</v>
      </c>
      <c r="B70555">
        <f>TEXT(70554, "[$-0E0000]yyyy-mm-dd")</f>
        <v/>
      </c>
      <c r="C70555" t="inlineStr">
        <is>
          <t>2093-02-06</t>
        </is>
      </c>
    </row>
    <row r="70556">
      <c r="A70556" s="1" t="n">
        <v>70555</v>
      </c>
      <c r="B70556">
        <f>TEXT(70555, "[$-0E0000]yyyy-mm-dd")</f>
        <v/>
      </c>
      <c r="C70556" t="inlineStr">
        <is>
          <t>2093-02-07</t>
        </is>
      </c>
    </row>
    <row r="70557">
      <c r="A70557" s="1" t="n">
        <v>70556</v>
      </c>
      <c r="B70557">
        <f>TEXT(70556, "[$-0E0000]yyyy-mm-dd")</f>
        <v/>
      </c>
      <c r="C70557" t="inlineStr">
        <is>
          <t>2093-02-08</t>
        </is>
      </c>
    </row>
    <row r="70558">
      <c r="A70558" s="1" t="n">
        <v>70557</v>
      </c>
      <c r="B70558">
        <f>TEXT(70557, "[$-0E0000]yyyy-mm-dd")</f>
        <v/>
      </c>
      <c r="C70558" t="inlineStr">
        <is>
          <t>2093-02-09</t>
        </is>
      </c>
    </row>
    <row r="70559">
      <c r="A70559" s="1" t="n">
        <v>70558</v>
      </c>
      <c r="B70559">
        <f>TEXT(70558, "[$-0E0000]yyyy-mm-dd")</f>
        <v/>
      </c>
      <c r="C70559" t="inlineStr">
        <is>
          <t>2093-02-10</t>
        </is>
      </c>
    </row>
    <row r="70560">
      <c r="A70560" s="1" t="n">
        <v>70559</v>
      </c>
      <c r="B70560">
        <f>TEXT(70559, "[$-0E0000]yyyy-mm-dd")</f>
        <v/>
      </c>
      <c r="C70560" t="inlineStr">
        <is>
          <t>2093-02-11</t>
        </is>
      </c>
    </row>
    <row r="70561">
      <c r="A70561" s="1" t="n">
        <v>70560</v>
      </c>
      <c r="B70561">
        <f>TEXT(70560, "[$-0E0000]yyyy-mm-dd")</f>
        <v/>
      </c>
      <c r="C70561" t="inlineStr">
        <is>
          <t>2093-02-12</t>
        </is>
      </c>
    </row>
    <row r="70562">
      <c r="A70562" s="1" t="n">
        <v>70561</v>
      </c>
      <c r="B70562">
        <f>TEXT(70561, "[$-0E0000]yyyy-mm-dd")</f>
        <v/>
      </c>
      <c r="C70562" t="inlineStr">
        <is>
          <t>2093-02-13</t>
        </is>
      </c>
    </row>
    <row r="70563">
      <c r="A70563" s="1" t="n">
        <v>70562</v>
      </c>
      <c r="B70563">
        <f>TEXT(70562, "[$-0E0000]yyyy-mm-dd")</f>
        <v/>
      </c>
      <c r="C70563" t="inlineStr">
        <is>
          <t>2093-02-14</t>
        </is>
      </c>
    </row>
    <row r="70564">
      <c r="A70564" s="1" t="n">
        <v>70563</v>
      </c>
      <c r="B70564">
        <f>TEXT(70563, "[$-0E0000]yyyy-mm-dd")</f>
        <v/>
      </c>
      <c r="C70564" t="inlineStr">
        <is>
          <t>2093-02-15</t>
        </is>
      </c>
    </row>
    <row r="70565">
      <c r="A70565" s="1" t="n">
        <v>70564</v>
      </c>
      <c r="B70565">
        <f>TEXT(70564, "[$-0E0000]yyyy-mm-dd")</f>
        <v/>
      </c>
      <c r="C70565" t="inlineStr">
        <is>
          <t>2093-02-16</t>
        </is>
      </c>
    </row>
    <row r="70566">
      <c r="A70566" s="1" t="n">
        <v>70565</v>
      </c>
      <c r="B70566">
        <f>TEXT(70565, "[$-0E0000]yyyy-mm-dd")</f>
        <v/>
      </c>
      <c r="C70566" t="inlineStr">
        <is>
          <t>2093-02-17</t>
        </is>
      </c>
    </row>
    <row r="70567">
      <c r="A70567" s="1" t="n">
        <v>70566</v>
      </c>
      <c r="B70567">
        <f>TEXT(70566, "[$-0E0000]yyyy-mm-dd")</f>
        <v/>
      </c>
      <c r="C70567" t="inlineStr">
        <is>
          <t>2093-02-18</t>
        </is>
      </c>
    </row>
    <row r="70568">
      <c r="A70568" s="1" t="n">
        <v>70567</v>
      </c>
      <c r="B70568">
        <f>TEXT(70567, "[$-0E0000]yyyy-mm-dd")</f>
        <v/>
      </c>
      <c r="C70568" t="inlineStr">
        <is>
          <t>2093-02-19</t>
        </is>
      </c>
    </row>
    <row r="70569">
      <c r="A70569" s="1" t="n">
        <v>70568</v>
      </c>
      <c r="B70569">
        <f>TEXT(70568, "[$-0E0000]yyyy-mm-dd")</f>
        <v/>
      </c>
      <c r="C70569" t="inlineStr">
        <is>
          <t>2093-02-20</t>
        </is>
      </c>
    </row>
    <row r="70570">
      <c r="A70570" s="1" t="n">
        <v>70569</v>
      </c>
      <c r="B70570">
        <f>TEXT(70569, "[$-0E0000]yyyy-mm-dd")</f>
        <v/>
      </c>
      <c r="C70570" t="inlineStr">
        <is>
          <t>2093-02-21</t>
        </is>
      </c>
    </row>
    <row r="70571">
      <c r="A70571" s="1" t="n">
        <v>70570</v>
      </c>
      <c r="B70571">
        <f>TEXT(70570, "[$-0E0000]yyyy-mm-dd")</f>
        <v/>
      </c>
      <c r="C70571" t="inlineStr">
        <is>
          <t>2093-02-22</t>
        </is>
      </c>
    </row>
    <row r="70572">
      <c r="A70572" s="1" t="n">
        <v>70571</v>
      </c>
      <c r="B70572">
        <f>TEXT(70571, "[$-0E0000]yyyy-mm-dd")</f>
        <v/>
      </c>
      <c r="C70572" t="inlineStr">
        <is>
          <t>2093-02-23</t>
        </is>
      </c>
    </row>
    <row r="70573">
      <c r="A70573" s="1" t="n">
        <v>70572</v>
      </c>
      <c r="B70573">
        <f>TEXT(70572, "[$-0E0000]yyyy-mm-dd")</f>
        <v/>
      </c>
      <c r="C70573" t="inlineStr">
        <is>
          <t>2093-02-24</t>
        </is>
      </c>
    </row>
    <row r="70574">
      <c r="A70574" s="1" t="n">
        <v>70573</v>
      </c>
      <c r="B70574">
        <f>TEXT(70573, "[$-0E0000]yyyy-mm-dd")</f>
        <v/>
      </c>
      <c r="C70574" t="inlineStr">
        <is>
          <t>2093-02-25</t>
        </is>
      </c>
    </row>
    <row r="70575">
      <c r="A70575" s="1" t="n">
        <v>70574</v>
      </c>
      <c r="B70575">
        <f>TEXT(70574, "[$-0E0000]yyyy-mm-dd")</f>
        <v/>
      </c>
      <c r="C70575" t="inlineStr">
        <is>
          <t>2093-02-26</t>
        </is>
      </c>
    </row>
    <row r="70576">
      <c r="A70576" s="1" t="n">
        <v>70575</v>
      </c>
      <c r="B70576">
        <f>TEXT(70575, "[$-0E0000]yyyy-mm-dd")</f>
        <v/>
      </c>
      <c r="C70576" t="inlineStr">
        <is>
          <t>2093-02-27</t>
        </is>
      </c>
    </row>
    <row r="70577">
      <c r="A70577" s="1" t="n">
        <v>70576</v>
      </c>
      <c r="B70577">
        <f>TEXT(70576, "[$-0E0000]yyyy-mm-dd")</f>
        <v/>
      </c>
      <c r="C70577" t="inlineStr">
        <is>
          <t>2093-02-28</t>
        </is>
      </c>
    </row>
    <row r="70578">
      <c r="A70578" s="1" t="n">
        <v>70577</v>
      </c>
      <c r="B70578">
        <f>TEXT(70577, "[$-0E0000]yyyy-mm-dd")</f>
        <v/>
      </c>
      <c r="C70578" t="inlineStr">
        <is>
          <t>2093-02-29</t>
        </is>
      </c>
    </row>
    <row r="70579">
      <c r="A70579" s="1" t="n">
        <v>70578</v>
      </c>
      <c r="B70579">
        <f>TEXT(70578, "[$-0E0000]yyyy-mm-dd")</f>
        <v/>
      </c>
      <c r="C70579" t="inlineStr">
        <is>
          <t>2093-02-30</t>
        </is>
      </c>
    </row>
    <row r="70580">
      <c r="A70580" s="1" t="n">
        <v>70579</v>
      </c>
      <c r="B70580">
        <f>TEXT(70579, "[$-0E0000]yyyy-mm-dd")</f>
        <v/>
      </c>
      <c r="C70580" t="inlineStr">
        <is>
          <t>2093-03-01</t>
        </is>
      </c>
    </row>
    <row r="70581">
      <c r="A70581" s="1" t="n">
        <v>70580</v>
      </c>
      <c r="B70581">
        <f>TEXT(70580, "[$-0E0000]yyyy-mm-dd")</f>
        <v/>
      </c>
      <c r="C70581" t="inlineStr">
        <is>
          <t>2093-03-02</t>
        </is>
      </c>
    </row>
    <row r="70582">
      <c r="A70582" s="1" t="n">
        <v>70581</v>
      </c>
      <c r="B70582">
        <f>TEXT(70581, "[$-0E0000]yyyy-mm-dd")</f>
        <v/>
      </c>
      <c r="C70582" t="inlineStr">
        <is>
          <t>2093-03-03</t>
        </is>
      </c>
    </row>
    <row r="70583">
      <c r="A70583" s="1" t="n">
        <v>70582</v>
      </c>
      <c r="B70583">
        <f>TEXT(70582, "[$-0E0000]yyyy-mm-dd")</f>
        <v/>
      </c>
      <c r="C70583" t="inlineStr">
        <is>
          <t>2093-03-04</t>
        </is>
      </c>
    </row>
    <row r="70584">
      <c r="A70584" s="1" t="n">
        <v>70583</v>
      </c>
      <c r="B70584">
        <f>TEXT(70583, "[$-0E0000]yyyy-mm-dd")</f>
        <v/>
      </c>
      <c r="C70584" t="inlineStr">
        <is>
          <t>2093-03-05</t>
        </is>
      </c>
    </row>
    <row r="70585">
      <c r="A70585" s="1" t="n">
        <v>70584</v>
      </c>
      <c r="B70585">
        <f>TEXT(70584, "[$-0E0000]yyyy-mm-dd")</f>
        <v/>
      </c>
      <c r="C70585" t="inlineStr">
        <is>
          <t>2093-03-06</t>
        </is>
      </c>
    </row>
    <row r="70586">
      <c r="A70586" s="1" t="n">
        <v>70585</v>
      </c>
      <c r="B70586">
        <f>TEXT(70585, "[$-0E0000]yyyy-mm-dd")</f>
        <v/>
      </c>
      <c r="C70586" t="inlineStr">
        <is>
          <t>2093-03-07</t>
        </is>
      </c>
    </row>
    <row r="70587">
      <c r="A70587" s="1" t="n">
        <v>70586</v>
      </c>
      <c r="B70587">
        <f>TEXT(70586, "[$-0E0000]yyyy-mm-dd")</f>
        <v/>
      </c>
      <c r="C70587" t="inlineStr">
        <is>
          <t>2093-03-08</t>
        </is>
      </c>
    </row>
    <row r="70588">
      <c r="A70588" s="1" t="n">
        <v>70587</v>
      </c>
      <c r="B70588">
        <f>TEXT(70587, "[$-0E0000]yyyy-mm-dd")</f>
        <v/>
      </c>
      <c r="C70588" t="inlineStr">
        <is>
          <t>2093-03-09</t>
        </is>
      </c>
    </row>
    <row r="70589">
      <c r="A70589" s="1" t="n">
        <v>70588</v>
      </c>
      <c r="B70589">
        <f>TEXT(70588, "[$-0E0000]yyyy-mm-dd")</f>
        <v/>
      </c>
      <c r="C70589" t="inlineStr">
        <is>
          <t>2093-03-10</t>
        </is>
      </c>
    </row>
    <row r="70590">
      <c r="A70590" s="1" t="n">
        <v>70589</v>
      </c>
      <c r="B70590">
        <f>TEXT(70589, "[$-0E0000]yyyy-mm-dd")</f>
        <v/>
      </c>
      <c r="C70590" t="inlineStr">
        <is>
          <t>2093-03-11</t>
        </is>
      </c>
    </row>
    <row r="70591">
      <c r="A70591" s="1" t="n">
        <v>70590</v>
      </c>
      <c r="B70591">
        <f>TEXT(70590, "[$-0E0000]yyyy-mm-dd")</f>
        <v/>
      </c>
      <c r="C70591" t="inlineStr">
        <is>
          <t>2093-03-12</t>
        </is>
      </c>
    </row>
    <row r="70592">
      <c r="A70592" s="1" t="n">
        <v>70591</v>
      </c>
      <c r="B70592">
        <f>TEXT(70591, "[$-0E0000]yyyy-mm-dd")</f>
        <v/>
      </c>
      <c r="C70592" t="inlineStr">
        <is>
          <t>2093-03-13</t>
        </is>
      </c>
    </row>
    <row r="70593">
      <c r="A70593" s="1" t="n">
        <v>70592</v>
      </c>
      <c r="B70593">
        <f>TEXT(70592, "[$-0E0000]yyyy-mm-dd")</f>
        <v/>
      </c>
      <c r="C70593" t="inlineStr">
        <is>
          <t>2093-03-14</t>
        </is>
      </c>
    </row>
    <row r="70594">
      <c r="A70594" s="1" t="n">
        <v>70593</v>
      </c>
      <c r="B70594">
        <f>TEXT(70593, "[$-0E0000]yyyy-mm-dd")</f>
        <v/>
      </c>
      <c r="C70594" t="inlineStr">
        <is>
          <t>2093-03-15</t>
        </is>
      </c>
    </row>
    <row r="70595">
      <c r="A70595" s="1" t="n">
        <v>70594</v>
      </c>
      <c r="B70595">
        <f>TEXT(70594, "[$-0E0000]yyyy-mm-dd")</f>
        <v/>
      </c>
      <c r="C70595" t="inlineStr">
        <is>
          <t>2093-03-16</t>
        </is>
      </c>
    </row>
    <row r="70596">
      <c r="A70596" s="1" t="n">
        <v>70595</v>
      </c>
      <c r="B70596">
        <f>TEXT(70595, "[$-0E0000]yyyy-mm-dd")</f>
        <v/>
      </c>
      <c r="C70596" t="inlineStr">
        <is>
          <t>2093-03-17</t>
        </is>
      </c>
    </row>
    <row r="70597">
      <c r="A70597" s="1" t="n">
        <v>70596</v>
      </c>
      <c r="B70597">
        <f>TEXT(70596, "[$-0E0000]yyyy-mm-dd")</f>
        <v/>
      </c>
      <c r="C70597" t="inlineStr">
        <is>
          <t>2093-03-18</t>
        </is>
      </c>
    </row>
    <row r="70598">
      <c r="A70598" s="1" t="n">
        <v>70597</v>
      </c>
      <c r="B70598">
        <f>TEXT(70597, "[$-0E0000]yyyy-mm-dd")</f>
        <v/>
      </c>
      <c r="C70598" t="inlineStr">
        <is>
          <t>2093-03-19</t>
        </is>
      </c>
    </row>
    <row r="70599">
      <c r="A70599" s="1" t="n">
        <v>70598</v>
      </c>
      <c r="B70599">
        <f>TEXT(70598, "[$-0E0000]yyyy-mm-dd")</f>
        <v/>
      </c>
      <c r="C70599" t="inlineStr">
        <is>
          <t>2093-03-20</t>
        </is>
      </c>
    </row>
    <row r="70600">
      <c r="A70600" s="1" t="n">
        <v>70599</v>
      </c>
      <c r="B70600">
        <f>TEXT(70599, "[$-0E0000]yyyy-mm-dd")</f>
        <v/>
      </c>
      <c r="C70600" t="inlineStr">
        <is>
          <t>2093-03-21</t>
        </is>
      </c>
    </row>
    <row r="70601">
      <c r="A70601" s="1" t="n">
        <v>70600</v>
      </c>
      <c r="B70601">
        <f>TEXT(70600, "[$-0E0000]yyyy-mm-dd")</f>
        <v/>
      </c>
      <c r="C70601" t="inlineStr">
        <is>
          <t>2093-03-22</t>
        </is>
      </c>
    </row>
    <row r="70602">
      <c r="A70602" s="1" t="n">
        <v>70601</v>
      </c>
      <c r="B70602">
        <f>TEXT(70601, "[$-0E0000]yyyy-mm-dd")</f>
        <v/>
      </c>
      <c r="C70602" t="inlineStr">
        <is>
          <t>2093-03-23</t>
        </is>
      </c>
    </row>
    <row r="70603">
      <c r="A70603" s="1" t="n">
        <v>70602</v>
      </c>
      <c r="B70603">
        <f>TEXT(70602, "[$-0E0000]yyyy-mm-dd")</f>
        <v/>
      </c>
      <c r="C70603" t="inlineStr">
        <is>
          <t>2093-03-24</t>
        </is>
      </c>
    </row>
    <row r="70604">
      <c r="A70604" s="1" t="n">
        <v>70603</v>
      </c>
      <c r="B70604">
        <f>TEXT(70603, "[$-0E0000]yyyy-mm-dd")</f>
        <v/>
      </c>
      <c r="C70604" t="inlineStr">
        <is>
          <t>2093-03-25</t>
        </is>
      </c>
    </row>
    <row r="70605">
      <c r="A70605" s="1" t="n">
        <v>70604</v>
      </c>
      <c r="B70605">
        <f>TEXT(70604, "[$-0E0000]yyyy-mm-dd")</f>
        <v/>
      </c>
      <c r="C70605" t="inlineStr">
        <is>
          <t>2093-03-26</t>
        </is>
      </c>
    </row>
    <row r="70606">
      <c r="A70606" s="1" t="n">
        <v>70605</v>
      </c>
      <c r="B70606">
        <f>TEXT(70605, "[$-0E0000]yyyy-mm-dd")</f>
        <v/>
      </c>
      <c r="C70606" t="inlineStr">
        <is>
          <t>2093-03-27</t>
        </is>
      </c>
    </row>
    <row r="70607">
      <c r="A70607" s="1" t="n">
        <v>70606</v>
      </c>
      <c r="B70607">
        <f>TEXT(70606, "[$-0E0000]yyyy-mm-dd")</f>
        <v/>
      </c>
      <c r="C70607" t="inlineStr">
        <is>
          <t>2093-03-28</t>
        </is>
      </c>
    </row>
    <row r="70608">
      <c r="A70608" s="1" t="n">
        <v>70607</v>
      </c>
      <c r="B70608">
        <f>TEXT(70607, "[$-0E0000]yyyy-mm-dd")</f>
        <v/>
      </c>
      <c r="C70608" t="inlineStr">
        <is>
          <t>2093-03-29</t>
        </is>
      </c>
    </row>
    <row r="70609">
      <c r="A70609" s="1" t="n">
        <v>70608</v>
      </c>
      <c r="B70609">
        <f>TEXT(70608, "[$-0E0000]yyyy-mm-dd")</f>
        <v/>
      </c>
      <c r="C70609" t="inlineStr">
        <is>
          <t>2093-03-30</t>
        </is>
      </c>
    </row>
    <row r="70610">
      <c r="A70610" s="1" t="n">
        <v>70609</v>
      </c>
      <c r="B70610">
        <f>TEXT(70609, "[$-0E0000]yyyy-mm-dd")</f>
        <v/>
      </c>
      <c r="C70610" t="inlineStr">
        <is>
          <t>2093-04-01</t>
        </is>
      </c>
    </row>
    <row r="70611">
      <c r="A70611" s="1" t="n">
        <v>70610</v>
      </c>
      <c r="B70611">
        <f>TEXT(70610, "[$-0E0000]yyyy-mm-dd")</f>
        <v/>
      </c>
      <c r="C70611" t="inlineStr">
        <is>
          <t>2093-04-02</t>
        </is>
      </c>
    </row>
    <row r="70612">
      <c r="A70612" s="1" t="n">
        <v>70611</v>
      </c>
      <c r="B70612">
        <f>TEXT(70611, "[$-0E0000]yyyy-mm-dd")</f>
        <v/>
      </c>
      <c r="C70612" t="inlineStr">
        <is>
          <t>2093-04-03</t>
        </is>
      </c>
    </row>
    <row r="70613">
      <c r="A70613" s="1" t="n">
        <v>70612</v>
      </c>
      <c r="B70613">
        <f>TEXT(70612, "[$-0E0000]yyyy-mm-dd")</f>
        <v/>
      </c>
      <c r="C70613" t="inlineStr">
        <is>
          <t>2093-04-04</t>
        </is>
      </c>
    </row>
    <row r="70614">
      <c r="A70614" s="1" t="n">
        <v>70613</v>
      </c>
      <c r="B70614">
        <f>TEXT(70613, "[$-0E0000]yyyy-mm-dd")</f>
        <v/>
      </c>
      <c r="C70614" t="inlineStr">
        <is>
          <t>2093-04-05</t>
        </is>
      </c>
    </row>
    <row r="70615">
      <c r="A70615" s="1" t="n">
        <v>70614</v>
      </c>
      <c r="B70615">
        <f>TEXT(70614, "[$-0E0000]yyyy-mm-dd")</f>
        <v/>
      </c>
      <c r="C70615" t="inlineStr">
        <is>
          <t>2093-04-06</t>
        </is>
      </c>
    </row>
    <row r="70616">
      <c r="A70616" s="1" t="n">
        <v>70615</v>
      </c>
      <c r="B70616">
        <f>TEXT(70615, "[$-0E0000]yyyy-mm-dd")</f>
        <v/>
      </c>
      <c r="C70616" t="inlineStr">
        <is>
          <t>2093-04-07</t>
        </is>
      </c>
    </row>
    <row r="70617">
      <c r="A70617" s="1" t="n">
        <v>70616</v>
      </c>
      <c r="B70617">
        <f>TEXT(70616, "[$-0E0000]yyyy-mm-dd")</f>
        <v/>
      </c>
      <c r="C70617" t="inlineStr">
        <is>
          <t>2093-04-08</t>
        </is>
      </c>
    </row>
    <row r="70618">
      <c r="A70618" s="1" t="n">
        <v>70617</v>
      </c>
      <c r="B70618">
        <f>TEXT(70617, "[$-0E0000]yyyy-mm-dd")</f>
        <v/>
      </c>
      <c r="C70618" t="inlineStr">
        <is>
          <t>2093-04-09</t>
        </is>
      </c>
    </row>
    <row r="70619">
      <c r="A70619" s="1" t="n">
        <v>70618</v>
      </c>
      <c r="B70619">
        <f>TEXT(70618, "[$-0E0000]yyyy-mm-dd")</f>
        <v/>
      </c>
      <c r="C70619" t="inlineStr">
        <is>
          <t>2093-04-10</t>
        </is>
      </c>
    </row>
    <row r="70620">
      <c r="A70620" s="1" t="n">
        <v>70619</v>
      </c>
      <c r="B70620">
        <f>TEXT(70619, "[$-0E0000]yyyy-mm-dd")</f>
        <v/>
      </c>
      <c r="C70620" t="inlineStr">
        <is>
          <t>2093-04-11</t>
        </is>
      </c>
    </row>
    <row r="70621">
      <c r="A70621" s="1" t="n">
        <v>70620</v>
      </c>
      <c r="B70621">
        <f>TEXT(70620, "[$-0E0000]yyyy-mm-dd")</f>
        <v/>
      </c>
      <c r="C70621" t="inlineStr">
        <is>
          <t>2093-04-12</t>
        </is>
      </c>
    </row>
    <row r="70622">
      <c r="A70622" s="1" t="n">
        <v>70621</v>
      </c>
      <c r="B70622">
        <f>TEXT(70621, "[$-0E0000]yyyy-mm-dd")</f>
        <v/>
      </c>
      <c r="C70622" t="inlineStr">
        <is>
          <t>2093-04-13</t>
        </is>
      </c>
    </row>
    <row r="70623">
      <c r="A70623" s="1" t="n">
        <v>70622</v>
      </c>
      <c r="B70623">
        <f>TEXT(70622, "[$-0E0000]yyyy-mm-dd")</f>
        <v/>
      </c>
      <c r="C70623" t="inlineStr">
        <is>
          <t>2093-04-14</t>
        </is>
      </c>
    </row>
    <row r="70624">
      <c r="A70624" s="1" t="n">
        <v>70623</v>
      </c>
      <c r="B70624">
        <f>TEXT(70623, "[$-0E0000]yyyy-mm-dd")</f>
        <v/>
      </c>
      <c r="C70624" t="inlineStr">
        <is>
          <t>2093-04-15</t>
        </is>
      </c>
    </row>
    <row r="70625">
      <c r="A70625" s="1" t="n">
        <v>70624</v>
      </c>
      <c r="B70625">
        <f>TEXT(70624, "[$-0E0000]yyyy-mm-dd")</f>
        <v/>
      </c>
      <c r="C70625" t="inlineStr">
        <is>
          <t>2093-04-16</t>
        </is>
      </c>
    </row>
    <row r="70626">
      <c r="A70626" s="1" t="n">
        <v>70625</v>
      </c>
      <c r="B70626">
        <f>TEXT(70625, "[$-0E0000]yyyy-mm-dd")</f>
        <v/>
      </c>
      <c r="C70626" t="inlineStr">
        <is>
          <t>2093-04-17</t>
        </is>
      </c>
    </row>
    <row r="70627">
      <c r="A70627" s="1" t="n">
        <v>70626</v>
      </c>
      <c r="B70627">
        <f>TEXT(70626, "[$-0E0000]yyyy-mm-dd")</f>
        <v/>
      </c>
      <c r="C70627" t="inlineStr">
        <is>
          <t>2093-04-18</t>
        </is>
      </c>
    </row>
    <row r="70628">
      <c r="A70628" s="1" t="n">
        <v>70627</v>
      </c>
      <c r="B70628">
        <f>TEXT(70627, "[$-0E0000]yyyy-mm-dd")</f>
        <v/>
      </c>
      <c r="C70628" t="inlineStr">
        <is>
          <t>2093-04-19</t>
        </is>
      </c>
    </row>
    <row r="70629">
      <c r="A70629" s="1" t="n">
        <v>70628</v>
      </c>
      <c r="B70629">
        <f>TEXT(70628, "[$-0E0000]yyyy-mm-dd")</f>
        <v/>
      </c>
      <c r="C70629" t="inlineStr">
        <is>
          <t>2093-04-20</t>
        </is>
      </c>
    </row>
    <row r="70630">
      <c r="A70630" s="1" t="n">
        <v>70629</v>
      </c>
      <c r="B70630">
        <f>TEXT(70629, "[$-0E0000]yyyy-mm-dd")</f>
        <v/>
      </c>
      <c r="C70630" t="inlineStr">
        <is>
          <t>2093-04-21</t>
        </is>
      </c>
    </row>
    <row r="70631">
      <c r="A70631" s="1" t="n">
        <v>70630</v>
      </c>
      <c r="B70631">
        <f>TEXT(70630, "[$-0E0000]yyyy-mm-dd")</f>
        <v/>
      </c>
      <c r="C70631" t="inlineStr">
        <is>
          <t>2093-04-22</t>
        </is>
      </c>
    </row>
    <row r="70632">
      <c r="A70632" s="1" t="n">
        <v>70631</v>
      </c>
      <c r="B70632">
        <f>TEXT(70631, "[$-0E0000]yyyy-mm-dd")</f>
        <v/>
      </c>
      <c r="C70632" t="inlineStr">
        <is>
          <t>2093-04-23</t>
        </is>
      </c>
    </row>
    <row r="70633">
      <c r="A70633" s="1" t="n">
        <v>70632</v>
      </c>
      <c r="B70633">
        <f>TEXT(70632, "[$-0E0000]yyyy-mm-dd")</f>
        <v/>
      </c>
      <c r="C70633" t="inlineStr">
        <is>
          <t>2093-04-24</t>
        </is>
      </c>
    </row>
    <row r="70634">
      <c r="A70634" s="1" t="n">
        <v>70633</v>
      </c>
      <c r="B70634">
        <f>TEXT(70633, "[$-0E0000]yyyy-mm-dd")</f>
        <v/>
      </c>
      <c r="C70634" t="inlineStr">
        <is>
          <t>2093-04-25</t>
        </is>
      </c>
    </row>
    <row r="70635">
      <c r="A70635" s="1" t="n">
        <v>70634</v>
      </c>
      <c r="B70635">
        <f>TEXT(70634, "[$-0E0000]yyyy-mm-dd")</f>
        <v/>
      </c>
      <c r="C70635" t="inlineStr">
        <is>
          <t>2093-04-26</t>
        </is>
      </c>
    </row>
    <row r="70636">
      <c r="A70636" s="1" t="n">
        <v>70635</v>
      </c>
      <c r="B70636">
        <f>TEXT(70635, "[$-0E0000]yyyy-mm-dd")</f>
        <v/>
      </c>
      <c r="C70636" t="inlineStr">
        <is>
          <t>2093-04-27</t>
        </is>
      </c>
    </row>
    <row r="70637">
      <c r="A70637" s="1" t="n">
        <v>70636</v>
      </c>
      <c r="B70637">
        <f>TEXT(70636, "[$-0E0000]yyyy-mm-dd")</f>
        <v/>
      </c>
      <c r="C70637" t="inlineStr">
        <is>
          <t>2093-04-28</t>
        </is>
      </c>
    </row>
    <row r="70638">
      <c r="A70638" s="1" t="n">
        <v>70637</v>
      </c>
      <c r="B70638">
        <f>TEXT(70637, "[$-0E0000]yyyy-mm-dd")</f>
        <v/>
      </c>
      <c r="C70638" t="inlineStr">
        <is>
          <t>2093-04-29</t>
        </is>
      </c>
    </row>
    <row r="70639">
      <c r="A70639" s="1" t="n">
        <v>70638</v>
      </c>
      <c r="B70639">
        <f>TEXT(70638, "[$-0E0000]yyyy-mm-dd")</f>
        <v/>
      </c>
      <c r="C70639" t="inlineStr">
        <is>
          <t>2093-05-01</t>
        </is>
      </c>
    </row>
    <row r="70640">
      <c r="A70640" s="1" t="n">
        <v>70639</v>
      </c>
      <c r="B70640">
        <f>TEXT(70639, "[$-0E0000]yyyy-mm-dd")</f>
        <v/>
      </c>
      <c r="C70640" t="inlineStr">
        <is>
          <t>2093-05-02</t>
        </is>
      </c>
    </row>
    <row r="70641">
      <c r="A70641" s="1" t="n">
        <v>70640</v>
      </c>
      <c r="B70641">
        <f>TEXT(70640, "[$-0E0000]yyyy-mm-dd")</f>
        <v/>
      </c>
      <c r="C70641" t="inlineStr">
        <is>
          <t>2093-05-03</t>
        </is>
      </c>
    </row>
    <row r="70642">
      <c r="A70642" s="1" t="n">
        <v>70641</v>
      </c>
      <c r="B70642">
        <f>TEXT(70641, "[$-0E0000]yyyy-mm-dd")</f>
        <v/>
      </c>
      <c r="C70642" t="inlineStr">
        <is>
          <t>2093-05-04</t>
        </is>
      </c>
    </row>
    <row r="70643">
      <c r="A70643" s="1" t="n">
        <v>70642</v>
      </c>
      <c r="B70643">
        <f>TEXT(70642, "[$-0E0000]yyyy-mm-dd")</f>
        <v/>
      </c>
      <c r="C70643" t="inlineStr">
        <is>
          <t>2093-05-05</t>
        </is>
      </c>
    </row>
    <row r="70644">
      <c r="A70644" s="1" t="n">
        <v>70643</v>
      </c>
      <c r="B70644">
        <f>TEXT(70643, "[$-0E0000]yyyy-mm-dd")</f>
        <v/>
      </c>
      <c r="C70644" t="inlineStr">
        <is>
          <t>2093-05-06</t>
        </is>
      </c>
    </row>
    <row r="70645">
      <c r="A70645" s="1" t="n">
        <v>70644</v>
      </c>
      <c r="B70645">
        <f>TEXT(70644, "[$-0E0000]yyyy-mm-dd")</f>
        <v/>
      </c>
      <c r="C70645" t="inlineStr">
        <is>
          <t>2093-05-07</t>
        </is>
      </c>
    </row>
    <row r="70646">
      <c r="A70646" s="1" t="n">
        <v>70645</v>
      </c>
      <c r="B70646">
        <f>TEXT(70645, "[$-0E0000]yyyy-mm-dd")</f>
        <v/>
      </c>
      <c r="C70646" t="inlineStr">
        <is>
          <t>2093-05-08</t>
        </is>
      </c>
    </row>
    <row r="70647">
      <c r="A70647" s="1" t="n">
        <v>70646</v>
      </c>
      <c r="B70647">
        <f>TEXT(70646, "[$-0E0000]yyyy-mm-dd")</f>
        <v/>
      </c>
      <c r="C70647" t="inlineStr">
        <is>
          <t>2093-05-09</t>
        </is>
      </c>
    </row>
    <row r="70648">
      <c r="A70648" s="1" t="n">
        <v>70647</v>
      </c>
      <c r="B70648">
        <f>TEXT(70647, "[$-0E0000]yyyy-mm-dd")</f>
        <v/>
      </c>
      <c r="C70648" t="inlineStr">
        <is>
          <t>2093-05-10</t>
        </is>
      </c>
    </row>
    <row r="70649">
      <c r="A70649" s="1" t="n">
        <v>70648</v>
      </c>
      <c r="B70649">
        <f>TEXT(70648, "[$-0E0000]yyyy-mm-dd")</f>
        <v/>
      </c>
      <c r="C70649" t="inlineStr">
        <is>
          <t>2093-05-11</t>
        </is>
      </c>
    </row>
    <row r="70650">
      <c r="A70650" s="1" t="n">
        <v>70649</v>
      </c>
      <c r="B70650">
        <f>TEXT(70649, "[$-0E0000]yyyy-mm-dd")</f>
        <v/>
      </c>
      <c r="C70650" t="inlineStr">
        <is>
          <t>2093-05-12</t>
        </is>
      </c>
    </row>
    <row r="70651">
      <c r="A70651" s="1" t="n">
        <v>70650</v>
      </c>
      <c r="B70651">
        <f>TEXT(70650, "[$-0E0000]yyyy-mm-dd")</f>
        <v/>
      </c>
      <c r="C70651" t="inlineStr">
        <is>
          <t>2093-05-13</t>
        </is>
      </c>
    </row>
    <row r="70652">
      <c r="A70652" s="1" t="n">
        <v>70651</v>
      </c>
      <c r="B70652">
        <f>TEXT(70651, "[$-0E0000]yyyy-mm-dd")</f>
        <v/>
      </c>
      <c r="C70652" t="inlineStr">
        <is>
          <t>2093-05-14</t>
        </is>
      </c>
    </row>
    <row r="70653">
      <c r="A70653" s="1" t="n">
        <v>70652</v>
      </c>
      <c r="B70653">
        <f>TEXT(70652, "[$-0E0000]yyyy-mm-dd")</f>
        <v/>
      </c>
      <c r="C70653" t="inlineStr">
        <is>
          <t>2093-05-15</t>
        </is>
      </c>
    </row>
    <row r="70654">
      <c r="A70654" s="1" t="n">
        <v>70653</v>
      </c>
      <c r="B70654">
        <f>TEXT(70653, "[$-0E0000]yyyy-mm-dd")</f>
        <v/>
      </c>
      <c r="C70654" t="inlineStr">
        <is>
          <t>2093-05-16</t>
        </is>
      </c>
    </row>
    <row r="70655">
      <c r="A70655" s="1" t="n">
        <v>70654</v>
      </c>
      <c r="B70655">
        <f>TEXT(70654, "[$-0E0000]yyyy-mm-dd")</f>
        <v/>
      </c>
      <c r="C70655" t="inlineStr">
        <is>
          <t>2093-05-17</t>
        </is>
      </c>
    </row>
    <row r="70656">
      <c r="A70656" s="1" t="n">
        <v>70655</v>
      </c>
      <c r="B70656">
        <f>TEXT(70655, "[$-0E0000]yyyy-mm-dd")</f>
        <v/>
      </c>
      <c r="C70656" t="inlineStr">
        <is>
          <t>2093-05-18</t>
        </is>
      </c>
    </row>
    <row r="70657">
      <c r="A70657" s="1" t="n">
        <v>70656</v>
      </c>
      <c r="B70657">
        <f>TEXT(70656, "[$-0E0000]yyyy-mm-dd")</f>
        <v/>
      </c>
      <c r="C70657" t="inlineStr">
        <is>
          <t>2093-05-19</t>
        </is>
      </c>
    </row>
    <row r="70658">
      <c r="A70658" s="1" t="n">
        <v>70657</v>
      </c>
      <c r="B70658">
        <f>TEXT(70657, "[$-0E0000]yyyy-mm-dd")</f>
        <v/>
      </c>
      <c r="C70658" t="inlineStr">
        <is>
          <t>2093-05-20</t>
        </is>
      </c>
    </row>
    <row r="70659">
      <c r="A70659" s="1" t="n">
        <v>70658</v>
      </c>
      <c r="B70659">
        <f>TEXT(70658, "[$-0E0000]yyyy-mm-dd")</f>
        <v/>
      </c>
      <c r="C70659" t="inlineStr">
        <is>
          <t>2093-05-21</t>
        </is>
      </c>
    </row>
    <row r="70660">
      <c r="A70660" s="1" t="n">
        <v>70659</v>
      </c>
      <c r="B70660">
        <f>TEXT(70659, "[$-0E0000]yyyy-mm-dd")</f>
        <v/>
      </c>
      <c r="C70660" t="inlineStr">
        <is>
          <t>2093-05-22</t>
        </is>
      </c>
    </row>
    <row r="70661">
      <c r="A70661" s="1" t="n">
        <v>70660</v>
      </c>
      <c r="B70661">
        <f>TEXT(70660, "[$-0E0000]yyyy-mm-dd")</f>
        <v/>
      </c>
      <c r="C70661" t="inlineStr">
        <is>
          <t>2093-05-23</t>
        </is>
      </c>
    </row>
    <row r="70662">
      <c r="A70662" s="1" t="n">
        <v>70661</v>
      </c>
      <c r="B70662">
        <f>TEXT(70661, "[$-0E0000]yyyy-mm-dd")</f>
        <v/>
      </c>
      <c r="C70662" t="inlineStr">
        <is>
          <t>2093-05-24</t>
        </is>
      </c>
    </row>
    <row r="70663">
      <c r="A70663" s="1" t="n">
        <v>70662</v>
      </c>
      <c r="B70663">
        <f>TEXT(70662, "[$-0E0000]yyyy-mm-dd")</f>
        <v/>
      </c>
      <c r="C70663" t="inlineStr">
        <is>
          <t>2093-05-25</t>
        </is>
      </c>
    </row>
    <row r="70664">
      <c r="A70664" s="1" t="n">
        <v>70663</v>
      </c>
      <c r="B70664">
        <f>TEXT(70663, "[$-0E0000]yyyy-mm-dd")</f>
        <v/>
      </c>
      <c r="C70664" t="inlineStr">
        <is>
          <t>2093-05-26</t>
        </is>
      </c>
    </row>
    <row r="70665">
      <c r="A70665" s="1" t="n">
        <v>70664</v>
      </c>
      <c r="B70665">
        <f>TEXT(70664, "[$-0E0000]yyyy-mm-dd")</f>
        <v/>
      </c>
      <c r="C70665" t="inlineStr">
        <is>
          <t>2093-05-27</t>
        </is>
      </c>
    </row>
    <row r="70666">
      <c r="A70666" s="1" t="n">
        <v>70665</v>
      </c>
      <c r="B70666">
        <f>TEXT(70665, "[$-0E0000]yyyy-mm-dd")</f>
        <v/>
      </c>
      <c r="C70666" t="inlineStr">
        <is>
          <t>2093-05-28</t>
        </is>
      </c>
    </row>
    <row r="70667">
      <c r="A70667" s="1" t="n">
        <v>70666</v>
      </c>
      <c r="B70667">
        <f>TEXT(70666, "[$-0E0000]yyyy-mm-dd")</f>
        <v/>
      </c>
      <c r="C70667" t="inlineStr">
        <is>
          <t>2093-05-29</t>
        </is>
      </c>
    </row>
    <row r="70668">
      <c r="A70668" s="1" t="n">
        <v>70667</v>
      </c>
      <c r="B70668">
        <f>TEXT(70667, "[$-0E0000]yyyy-mm-dd")</f>
        <v/>
      </c>
      <c r="C70668" t="inlineStr">
        <is>
          <t>2093-05-30</t>
        </is>
      </c>
    </row>
    <row r="70669">
      <c r="A70669" s="1" t="n">
        <v>70668</v>
      </c>
      <c r="B70669">
        <f>TEXT(70668, "[$-0E0000]yyyy-mm-dd")</f>
        <v/>
      </c>
      <c r="C70669" t="inlineStr">
        <is>
          <t>2093-06-01</t>
        </is>
      </c>
    </row>
    <row r="70670">
      <c r="A70670" s="1" t="n">
        <v>70669</v>
      </c>
      <c r="B70670">
        <f>TEXT(70669, "[$-0E0000]yyyy-mm-dd")</f>
        <v/>
      </c>
      <c r="C70670" t="inlineStr">
        <is>
          <t>2093-06-02</t>
        </is>
      </c>
    </row>
    <row r="70671">
      <c r="A70671" s="1" t="n">
        <v>70670</v>
      </c>
      <c r="B70671">
        <f>TEXT(70670, "[$-0E0000]yyyy-mm-dd")</f>
        <v/>
      </c>
      <c r="C70671" t="inlineStr">
        <is>
          <t>2093-06-03</t>
        </is>
      </c>
    </row>
    <row r="70672">
      <c r="A70672" s="1" t="n">
        <v>70671</v>
      </c>
      <c r="B70672">
        <f>TEXT(70671, "[$-0E0000]yyyy-mm-dd")</f>
        <v/>
      </c>
      <c r="C70672" t="inlineStr">
        <is>
          <t>2093-06-04</t>
        </is>
      </c>
    </row>
    <row r="70673">
      <c r="A70673" s="1" t="n">
        <v>70672</v>
      </c>
      <c r="B70673">
        <f>TEXT(70672, "[$-0E0000]yyyy-mm-dd")</f>
        <v/>
      </c>
      <c r="C70673" t="inlineStr">
        <is>
          <t>2093-06-05</t>
        </is>
      </c>
    </row>
    <row r="70674">
      <c r="A70674" s="1" t="n">
        <v>70673</v>
      </c>
      <c r="B70674">
        <f>TEXT(70673, "[$-0E0000]yyyy-mm-dd")</f>
        <v/>
      </c>
      <c r="C70674" t="inlineStr">
        <is>
          <t>2093-06-06</t>
        </is>
      </c>
    </row>
    <row r="70675">
      <c r="A70675" s="1" t="n">
        <v>70674</v>
      </c>
      <c r="B70675">
        <f>TEXT(70674, "[$-0E0000]yyyy-mm-dd")</f>
        <v/>
      </c>
      <c r="C70675" t="inlineStr">
        <is>
          <t>2093-06-07</t>
        </is>
      </c>
    </row>
    <row r="70676">
      <c r="A70676" s="1" t="n">
        <v>70675</v>
      </c>
      <c r="B70676">
        <f>TEXT(70675, "[$-0E0000]yyyy-mm-dd")</f>
        <v/>
      </c>
      <c r="C70676" t="inlineStr">
        <is>
          <t>2093-06-08</t>
        </is>
      </c>
    </row>
    <row r="70677">
      <c r="A70677" s="1" t="n">
        <v>70676</v>
      </c>
      <c r="B70677">
        <f>TEXT(70676, "[$-0E0000]yyyy-mm-dd")</f>
        <v/>
      </c>
      <c r="C70677" t="inlineStr">
        <is>
          <t>2093-06-09</t>
        </is>
      </c>
    </row>
    <row r="70678">
      <c r="A70678" s="1" t="n">
        <v>70677</v>
      </c>
      <c r="B70678">
        <f>TEXT(70677, "[$-0E0000]yyyy-mm-dd")</f>
        <v/>
      </c>
      <c r="C70678" t="inlineStr">
        <is>
          <t>2093-06-10</t>
        </is>
      </c>
    </row>
    <row r="70679">
      <c r="A70679" s="1" t="n">
        <v>70678</v>
      </c>
      <c r="B70679">
        <f>TEXT(70678, "[$-0E0000]yyyy-mm-dd")</f>
        <v/>
      </c>
      <c r="C70679" t="inlineStr">
        <is>
          <t>2093-06-11</t>
        </is>
      </c>
    </row>
    <row r="70680">
      <c r="A70680" s="1" t="n">
        <v>70679</v>
      </c>
      <c r="B70680">
        <f>TEXT(70679, "[$-0E0000]yyyy-mm-dd")</f>
        <v/>
      </c>
      <c r="C70680" t="inlineStr">
        <is>
          <t>2093-06-12</t>
        </is>
      </c>
    </row>
    <row r="70681">
      <c r="A70681" s="1" t="n">
        <v>70680</v>
      </c>
      <c r="B70681">
        <f>TEXT(70680, "[$-0E0000]yyyy-mm-dd")</f>
        <v/>
      </c>
      <c r="C70681" t="inlineStr">
        <is>
          <t>2093-06-13</t>
        </is>
      </c>
    </row>
    <row r="70682">
      <c r="A70682" s="1" t="n">
        <v>70681</v>
      </c>
      <c r="B70682">
        <f>TEXT(70681, "[$-0E0000]yyyy-mm-dd")</f>
        <v/>
      </c>
      <c r="C70682" t="inlineStr">
        <is>
          <t>2093-06-14</t>
        </is>
      </c>
    </row>
    <row r="70683">
      <c r="A70683" s="1" t="n">
        <v>70682</v>
      </c>
      <c r="B70683">
        <f>TEXT(70682, "[$-0E0000]yyyy-mm-dd")</f>
        <v/>
      </c>
      <c r="C70683" t="inlineStr">
        <is>
          <t>2093-06-15</t>
        </is>
      </c>
    </row>
    <row r="70684">
      <c r="A70684" s="1" t="n">
        <v>70683</v>
      </c>
      <c r="B70684">
        <f>TEXT(70683, "[$-0E0000]yyyy-mm-dd")</f>
        <v/>
      </c>
      <c r="C70684" t="inlineStr">
        <is>
          <t>2093-06-16</t>
        </is>
      </c>
    </row>
    <row r="70685">
      <c r="A70685" s="1" t="n">
        <v>70684</v>
      </c>
      <c r="B70685">
        <f>TEXT(70684, "[$-0E0000]yyyy-mm-dd")</f>
        <v/>
      </c>
      <c r="C70685" t="inlineStr">
        <is>
          <t>2093-06-17</t>
        </is>
      </c>
    </row>
    <row r="70686">
      <c r="A70686" s="1" t="n">
        <v>70685</v>
      </c>
      <c r="B70686">
        <f>TEXT(70685, "[$-0E0000]yyyy-mm-dd")</f>
        <v/>
      </c>
      <c r="C70686" t="inlineStr">
        <is>
          <t>2093-06-18</t>
        </is>
      </c>
    </row>
    <row r="70687">
      <c r="A70687" s="1" t="n">
        <v>70686</v>
      </c>
      <c r="B70687">
        <f>TEXT(70686, "[$-0E0000]yyyy-mm-dd")</f>
        <v/>
      </c>
      <c r="C70687" t="inlineStr">
        <is>
          <t>2093-06-19</t>
        </is>
      </c>
    </row>
    <row r="70688">
      <c r="A70688" s="1" t="n">
        <v>70687</v>
      </c>
      <c r="B70688">
        <f>TEXT(70687, "[$-0E0000]yyyy-mm-dd")</f>
        <v/>
      </c>
      <c r="C70688" t="inlineStr">
        <is>
          <t>2093-06-20</t>
        </is>
      </c>
    </row>
    <row r="70689">
      <c r="A70689" s="1" t="n">
        <v>70688</v>
      </c>
      <c r="B70689">
        <f>TEXT(70688, "[$-0E0000]yyyy-mm-dd")</f>
        <v/>
      </c>
      <c r="C70689" t="inlineStr">
        <is>
          <t>2093-06-21</t>
        </is>
      </c>
    </row>
    <row r="70690">
      <c r="A70690" s="1" t="n">
        <v>70689</v>
      </c>
      <c r="B70690">
        <f>TEXT(70689, "[$-0E0000]yyyy-mm-dd")</f>
        <v/>
      </c>
      <c r="C70690" t="inlineStr">
        <is>
          <t>2093-06-22</t>
        </is>
      </c>
    </row>
    <row r="70691">
      <c r="A70691" s="1" t="n">
        <v>70690</v>
      </c>
      <c r="B70691">
        <f>TEXT(70690, "[$-0E0000]yyyy-mm-dd")</f>
        <v/>
      </c>
      <c r="C70691" t="inlineStr">
        <is>
          <t>2093-06-23</t>
        </is>
      </c>
    </row>
    <row r="70692">
      <c r="A70692" s="1" t="n">
        <v>70691</v>
      </c>
      <c r="B70692">
        <f>TEXT(70691, "[$-0E0000]yyyy-mm-dd")</f>
        <v/>
      </c>
      <c r="C70692" t="inlineStr">
        <is>
          <t>2093-06-24</t>
        </is>
      </c>
    </row>
    <row r="70693">
      <c r="A70693" s="1" t="n">
        <v>70692</v>
      </c>
      <c r="B70693">
        <f>TEXT(70692, "[$-0E0000]yyyy-mm-dd")</f>
        <v/>
      </c>
      <c r="C70693" t="inlineStr">
        <is>
          <t>2093-06-25</t>
        </is>
      </c>
    </row>
    <row r="70694">
      <c r="A70694" s="1" t="n">
        <v>70693</v>
      </c>
      <c r="B70694">
        <f>TEXT(70693, "[$-0E0000]yyyy-mm-dd")</f>
        <v/>
      </c>
      <c r="C70694" t="inlineStr">
        <is>
          <t>2093-06-26</t>
        </is>
      </c>
    </row>
    <row r="70695">
      <c r="A70695" s="1" t="n">
        <v>70694</v>
      </c>
      <c r="B70695">
        <f>TEXT(70694, "[$-0E0000]yyyy-mm-dd")</f>
        <v/>
      </c>
      <c r="C70695" t="inlineStr">
        <is>
          <t>2093-06-27</t>
        </is>
      </c>
    </row>
    <row r="70696">
      <c r="A70696" s="1" t="n">
        <v>70695</v>
      </c>
      <c r="B70696">
        <f>TEXT(70695, "[$-0E0000]yyyy-mm-dd")</f>
        <v/>
      </c>
      <c r="C70696" t="inlineStr">
        <is>
          <t>2093-06-28</t>
        </is>
      </c>
    </row>
    <row r="70697">
      <c r="A70697" s="1" t="n">
        <v>70696</v>
      </c>
      <c r="B70697">
        <f>TEXT(70696, "[$-0E0000]yyyy-mm-dd")</f>
        <v/>
      </c>
      <c r="C70697" t="inlineStr">
        <is>
          <t>2093-06-29</t>
        </is>
      </c>
    </row>
    <row r="70698">
      <c r="A70698" s="1" t="n">
        <v>70697</v>
      </c>
      <c r="B70698">
        <f>TEXT(70697, "[$-0E0000]yyyy-mm-dd")</f>
        <v/>
      </c>
      <c r="C70698" t="inlineStr">
        <is>
          <t>2093-06-01</t>
        </is>
      </c>
    </row>
    <row r="70699">
      <c r="A70699" s="1" t="n">
        <v>70698</v>
      </c>
      <c r="B70699">
        <f>TEXT(70698, "[$-0E0000]yyyy-mm-dd")</f>
        <v/>
      </c>
      <c r="C70699" t="inlineStr">
        <is>
          <t>2093-06-02</t>
        </is>
      </c>
    </row>
    <row r="70700">
      <c r="A70700" s="1" t="n">
        <v>70699</v>
      </c>
      <c r="B70700">
        <f>TEXT(70699, "[$-0E0000]yyyy-mm-dd")</f>
        <v/>
      </c>
      <c r="C70700" t="inlineStr">
        <is>
          <t>2093-06-03</t>
        </is>
      </c>
    </row>
    <row r="70701">
      <c r="A70701" s="1" t="n">
        <v>70700</v>
      </c>
      <c r="B70701">
        <f>TEXT(70700, "[$-0E0000]yyyy-mm-dd")</f>
        <v/>
      </c>
      <c r="C70701" t="inlineStr">
        <is>
          <t>2093-06-04</t>
        </is>
      </c>
    </row>
    <row r="70702">
      <c r="A70702" s="1" t="n">
        <v>70701</v>
      </c>
      <c r="B70702">
        <f>TEXT(70701, "[$-0E0000]yyyy-mm-dd")</f>
        <v/>
      </c>
      <c r="C70702" t="inlineStr">
        <is>
          <t>2093-06-05</t>
        </is>
      </c>
    </row>
    <row r="70703">
      <c r="A70703" s="1" t="n">
        <v>70702</v>
      </c>
      <c r="B70703">
        <f>TEXT(70702, "[$-0E0000]yyyy-mm-dd")</f>
        <v/>
      </c>
      <c r="C70703" t="inlineStr">
        <is>
          <t>2093-06-06</t>
        </is>
      </c>
    </row>
    <row r="70704">
      <c r="A70704" s="1" t="n">
        <v>70703</v>
      </c>
      <c r="B70704">
        <f>TEXT(70703, "[$-0E0000]yyyy-mm-dd")</f>
        <v/>
      </c>
      <c r="C70704" t="inlineStr">
        <is>
          <t>2093-06-07</t>
        </is>
      </c>
    </row>
    <row r="70705">
      <c r="A70705" s="1" t="n">
        <v>70704</v>
      </c>
      <c r="B70705">
        <f>TEXT(70704, "[$-0E0000]yyyy-mm-dd")</f>
        <v/>
      </c>
      <c r="C70705" t="inlineStr">
        <is>
          <t>2093-06-08</t>
        </is>
      </c>
    </row>
    <row r="70706">
      <c r="A70706" s="1" t="n">
        <v>70705</v>
      </c>
      <c r="B70706">
        <f>TEXT(70705, "[$-0E0000]yyyy-mm-dd")</f>
        <v/>
      </c>
      <c r="C70706" t="inlineStr">
        <is>
          <t>2093-06-09</t>
        </is>
      </c>
    </row>
    <row r="70707">
      <c r="A70707" s="1" t="n">
        <v>70706</v>
      </c>
      <c r="B70707">
        <f>TEXT(70706, "[$-0E0000]yyyy-mm-dd")</f>
        <v/>
      </c>
      <c r="C70707" t="inlineStr">
        <is>
          <t>2093-06-10</t>
        </is>
      </c>
    </row>
    <row r="70708">
      <c r="A70708" s="1" t="n">
        <v>70707</v>
      </c>
      <c r="B70708">
        <f>TEXT(70707, "[$-0E0000]yyyy-mm-dd")</f>
        <v/>
      </c>
      <c r="C70708" t="inlineStr">
        <is>
          <t>2093-06-11</t>
        </is>
      </c>
    </row>
    <row r="70709">
      <c r="A70709" s="1" t="n">
        <v>70708</v>
      </c>
      <c r="B70709">
        <f>TEXT(70708, "[$-0E0000]yyyy-mm-dd")</f>
        <v/>
      </c>
      <c r="C70709" t="inlineStr">
        <is>
          <t>2093-06-12</t>
        </is>
      </c>
    </row>
    <row r="70710">
      <c r="A70710" s="1" t="n">
        <v>70709</v>
      </c>
      <c r="B70710">
        <f>TEXT(70709, "[$-0E0000]yyyy-mm-dd")</f>
        <v/>
      </c>
      <c r="C70710" t="inlineStr">
        <is>
          <t>2093-06-13</t>
        </is>
      </c>
    </row>
    <row r="70711">
      <c r="A70711" s="1" t="n">
        <v>70710</v>
      </c>
      <c r="B70711">
        <f>TEXT(70710, "[$-0E0000]yyyy-mm-dd")</f>
        <v/>
      </c>
      <c r="C70711" t="inlineStr">
        <is>
          <t>2093-06-14</t>
        </is>
      </c>
    </row>
    <row r="70712">
      <c r="A70712" s="1" t="n">
        <v>70711</v>
      </c>
      <c r="B70712">
        <f>TEXT(70711, "[$-0E0000]yyyy-mm-dd")</f>
        <v/>
      </c>
      <c r="C70712" t="inlineStr">
        <is>
          <t>2093-06-15</t>
        </is>
      </c>
    </row>
    <row r="70713">
      <c r="A70713" s="1" t="n">
        <v>70712</v>
      </c>
      <c r="B70713">
        <f>TEXT(70712, "[$-0E0000]yyyy-mm-dd")</f>
        <v/>
      </c>
      <c r="C70713" t="inlineStr">
        <is>
          <t>2093-06-16</t>
        </is>
      </c>
    </row>
    <row r="70714">
      <c r="A70714" s="1" t="n">
        <v>70713</v>
      </c>
      <c r="B70714">
        <f>TEXT(70713, "[$-0E0000]yyyy-mm-dd")</f>
        <v/>
      </c>
      <c r="C70714" t="inlineStr">
        <is>
          <t>2093-06-17</t>
        </is>
      </c>
    </row>
    <row r="70715">
      <c r="A70715" s="1" t="n">
        <v>70714</v>
      </c>
      <c r="B70715">
        <f>TEXT(70714, "[$-0E0000]yyyy-mm-dd")</f>
        <v/>
      </c>
      <c r="C70715" t="inlineStr">
        <is>
          <t>2093-06-18</t>
        </is>
      </c>
    </row>
    <row r="70716">
      <c r="A70716" s="1" t="n">
        <v>70715</v>
      </c>
      <c r="B70716">
        <f>TEXT(70715, "[$-0E0000]yyyy-mm-dd")</f>
        <v/>
      </c>
      <c r="C70716" t="inlineStr">
        <is>
          <t>2093-06-19</t>
        </is>
      </c>
    </row>
    <row r="70717">
      <c r="A70717" s="1" t="n">
        <v>70716</v>
      </c>
      <c r="B70717">
        <f>TEXT(70716, "[$-0E0000]yyyy-mm-dd")</f>
        <v/>
      </c>
      <c r="C70717" t="inlineStr">
        <is>
          <t>2093-06-20</t>
        </is>
      </c>
    </row>
    <row r="70718">
      <c r="A70718" s="1" t="n">
        <v>70717</v>
      </c>
      <c r="B70718">
        <f>TEXT(70717, "[$-0E0000]yyyy-mm-dd")</f>
        <v/>
      </c>
      <c r="C70718" t="inlineStr">
        <is>
          <t>2093-06-21</t>
        </is>
      </c>
    </row>
    <row r="70719">
      <c r="A70719" s="1" t="n">
        <v>70718</v>
      </c>
      <c r="B70719">
        <f>TEXT(70718, "[$-0E0000]yyyy-mm-dd")</f>
        <v/>
      </c>
      <c r="C70719" t="inlineStr">
        <is>
          <t>2093-06-22</t>
        </is>
      </c>
    </row>
    <row r="70720">
      <c r="A70720" s="1" t="n">
        <v>70719</v>
      </c>
      <c r="B70720">
        <f>TEXT(70719, "[$-0E0000]yyyy-mm-dd")</f>
        <v/>
      </c>
      <c r="C70720" t="inlineStr">
        <is>
          <t>2093-06-23</t>
        </is>
      </c>
    </row>
    <row r="70721">
      <c r="A70721" s="1" t="n">
        <v>70720</v>
      </c>
      <c r="B70721">
        <f>TEXT(70720, "[$-0E0000]yyyy-mm-dd")</f>
        <v/>
      </c>
      <c r="C70721" t="inlineStr">
        <is>
          <t>2093-06-24</t>
        </is>
      </c>
    </row>
    <row r="70722">
      <c r="A70722" s="1" t="n">
        <v>70721</v>
      </c>
      <c r="B70722">
        <f>TEXT(70721, "[$-0E0000]yyyy-mm-dd")</f>
        <v/>
      </c>
      <c r="C70722" t="inlineStr">
        <is>
          <t>2093-06-25</t>
        </is>
      </c>
    </row>
    <row r="70723">
      <c r="A70723" s="1" t="n">
        <v>70722</v>
      </c>
      <c r="B70723">
        <f>TEXT(70722, "[$-0E0000]yyyy-mm-dd")</f>
        <v/>
      </c>
      <c r="C70723" t="inlineStr">
        <is>
          <t>2093-06-26</t>
        </is>
      </c>
    </row>
    <row r="70724">
      <c r="A70724" s="1" t="n">
        <v>70723</v>
      </c>
      <c r="B70724">
        <f>TEXT(70723, "[$-0E0000]yyyy-mm-dd")</f>
        <v/>
      </c>
      <c r="C70724" t="inlineStr">
        <is>
          <t>2093-06-27</t>
        </is>
      </c>
    </row>
    <row r="70725">
      <c r="A70725" s="1" t="n">
        <v>70724</v>
      </c>
      <c r="B70725">
        <f>TEXT(70724, "[$-0E0000]yyyy-mm-dd")</f>
        <v/>
      </c>
      <c r="C70725" t="inlineStr">
        <is>
          <t>2093-06-28</t>
        </is>
      </c>
    </row>
    <row r="70726">
      <c r="A70726" s="1" t="n">
        <v>70725</v>
      </c>
      <c r="B70726">
        <f>TEXT(70725, "[$-0E0000]yyyy-mm-dd")</f>
        <v/>
      </c>
      <c r="C70726" t="inlineStr">
        <is>
          <t>2093-06-29</t>
        </is>
      </c>
    </row>
    <row r="70727">
      <c r="A70727" s="1" t="n">
        <v>70726</v>
      </c>
      <c r="B70727">
        <f>TEXT(70726, "[$-0E0000]yyyy-mm-dd")</f>
        <v/>
      </c>
      <c r="C70727" t="inlineStr">
        <is>
          <t>2093-06-30</t>
        </is>
      </c>
    </row>
    <row r="70728">
      <c r="A70728" s="1" t="n">
        <v>70727</v>
      </c>
      <c r="B70728">
        <f>TEXT(70727, "[$-0E0000]yyyy-mm-dd")</f>
        <v/>
      </c>
      <c r="C70728" t="inlineStr">
        <is>
          <t>2093-07-01</t>
        </is>
      </c>
    </row>
    <row r="70729">
      <c r="A70729" s="1" t="n">
        <v>70728</v>
      </c>
      <c r="B70729">
        <f>TEXT(70728, "[$-0E0000]yyyy-mm-dd")</f>
        <v/>
      </c>
      <c r="C70729" t="inlineStr">
        <is>
          <t>2093-07-02</t>
        </is>
      </c>
    </row>
    <row r="70730">
      <c r="A70730" s="1" t="n">
        <v>70729</v>
      </c>
      <c r="B70730">
        <f>TEXT(70729, "[$-0E0000]yyyy-mm-dd")</f>
        <v/>
      </c>
      <c r="C70730" t="inlineStr">
        <is>
          <t>2093-07-03</t>
        </is>
      </c>
    </row>
    <row r="70731">
      <c r="A70731" s="1" t="n">
        <v>70730</v>
      </c>
      <c r="B70731">
        <f>TEXT(70730, "[$-0E0000]yyyy-mm-dd")</f>
        <v/>
      </c>
      <c r="C70731" t="inlineStr">
        <is>
          <t>2093-07-04</t>
        </is>
      </c>
    </row>
    <row r="70732">
      <c r="A70732" s="1" t="n">
        <v>70731</v>
      </c>
      <c r="B70732">
        <f>TEXT(70731, "[$-0E0000]yyyy-mm-dd")</f>
        <v/>
      </c>
      <c r="C70732" t="inlineStr">
        <is>
          <t>2093-07-05</t>
        </is>
      </c>
    </row>
    <row r="70733">
      <c r="A70733" s="1" t="n">
        <v>70732</v>
      </c>
      <c r="B70733">
        <f>TEXT(70732, "[$-0E0000]yyyy-mm-dd")</f>
        <v/>
      </c>
      <c r="C70733" t="inlineStr">
        <is>
          <t>2093-07-06</t>
        </is>
      </c>
    </row>
    <row r="70734">
      <c r="A70734" s="1" t="n">
        <v>70733</v>
      </c>
      <c r="B70734">
        <f>TEXT(70733, "[$-0E0000]yyyy-mm-dd")</f>
        <v/>
      </c>
      <c r="C70734" t="inlineStr">
        <is>
          <t>2093-07-07</t>
        </is>
      </c>
    </row>
    <row r="70735">
      <c r="A70735" s="1" t="n">
        <v>70734</v>
      </c>
      <c r="B70735">
        <f>TEXT(70734, "[$-0E0000]yyyy-mm-dd")</f>
        <v/>
      </c>
      <c r="C70735" t="inlineStr">
        <is>
          <t>2093-07-08</t>
        </is>
      </c>
    </row>
    <row r="70736">
      <c r="A70736" s="1" t="n">
        <v>70735</v>
      </c>
      <c r="B70736">
        <f>TEXT(70735, "[$-0E0000]yyyy-mm-dd")</f>
        <v/>
      </c>
      <c r="C70736" t="inlineStr">
        <is>
          <t>2093-07-09</t>
        </is>
      </c>
    </row>
    <row r="70737">
      <c r="A70737" s="1" t="n">
        <v>70736</v>
      </c>
      <c r="B70737">
        <f>TEXT(70736, "[$-0E0000]yyyy-mm-dd")</f>
        <v/>
      </c>
      <c r="C70737" t="inlineStr">
        <is>
          <t>2093-07-10</t>
        </is>
      </c>
    </row>
    <row r="70738">
      <c r="A70738" s="1" t="n">
        <v>70737</v>
      </c>
      <c r="B70738">
        <f>TEXT(70737, "[$-0E0000]yyyy-mm-dd")</f>
        <v/>
      </c>
      <c r="C70738" t="inlineStr">
        <is>
          <t>2093-07-11</t>
        </is>
      </c>
    </row>
    <row r="70739">
      <c r="A70739" s="1" t="n">
        <v>70738</v>
      </c>
      <c r="B70739">
        <f>TEXT(70738, "[$-0E0000]yyyy-mm-dd")</f>
        <v/>
      </c>
      <c r="C70739" t="inlineStr">
        <is>
          <t>2093-07-12</t>
        </is>
      </c>
    </row>
    <row r="70740">
      <c r="A70740" s="1" t="n">
        <v>70739</v>
      </c>
      <c r="B70740">
        <f>TEXT(70739, "[$-0E0000]yyyy-mm-dd")</f>
        <v/>
      </c>
      <c r="C70740" t="inlineStr">
        <is>
          <t>2093-07-13</t>
        </is>
      </c>
    </row>
    <row r="70741">
      <c r="A70741" s="1" t="n">
        <v>70740</v>
      </c>
      <c r="B70741">
        <f>TEXT(70740, "[$-0E0000]yyyy-mm-dd")</f>
        <v/>
      </c>
      <c r="C70741" t="inlineStr">
        <is>
          <t>2093-07-14</t>
        </is>
      </c>
    </row>
    <row r="70742">
      <c r="A70742" s="1" t="n">
        <v>70741</v>
      </c>
      <c r="B70742">
        <f>TEXT(70741, "[$-0E0000]yyyy-mm-dd")</f>
        <v/>
      </c>
      <c r="C70742" t="inlineStr">
        <is>
          <t>2093-07-15</t>
        </is>
      </c>
    </row>
    <row r="70743">
      <c r="A70743" s="1" t="n">
        <v>70742</v>
      </c>
      <c r="B70743">
        <f>TEXT(70742, "[$-0E0000]yyyy-mm-dd")</f>
        <v/>
      </c>
      <c r="C70743" t="inlineStr">
        <is>
          <t>2093-07-16</t>
        </is>
      </c>
    </row>
    <row r="70744">
      <c r="A70744" s="1" t="n">
        <v>70743</v>
      </c>
      <c r="B70744">
        <f>TEXT(70743, "[$-0E0000]yyyy-mm-dd")</f>
        <v/>
      </c>
      <c r="C70744" t="inlineStr">
        <is>
          <t>2093-07-17</t>
        </is>
      </c>
    </row>
    <row r="70745">
      <c r="A70745" s="1" t="n">
        <v>70744</v>
      </c>
      <c r="B70745">
        <f>TEXT(70744, "[$-0E0000]yyyy-mm-dd")</f>
        <v/>
      </c>
      <c r="C70745" t="inlineStr">
        <is>
          <t>2093-07-18</t>
        </is>
      </c>
    </row>
    <row r="70746">
      <c r="A70746" s="1" t="n">
        <v>70745</v>
      </c>
      <c r="B70746">
        <f>TEXT(70745, "[$-0E0000]yyyy-mm-dd")</f>
        <v/>
      </c>
      <c r="C70746" t="inlineStr">
        <is>
          <t>2093-07-19</t>
        </is>
      </c>
    </row>
    <row r="70747">
      <c r="A70747" s="1" t="n">
        <v>70746</v>
      </c>
      <c r="B70747">
        <f>TEXT(70746, "[$-0E0000]yyyy-mm-dd")</f>
        <v/>
      </c>
      <c r="C70747" t="inlineStr">
        <is>
          <t>2093-07-20</t>
        </is>
      </c>
    </row>
    <row r="70748">
      <c r="A70748" s="1" t="n">
        <v>70747</v>
      </c>
      <c r="B70748">
        <f>TEXT(70747, "[$-0E0000]yyyy-mm-dd")</f>
        <v/>
      </c>
      <c r="C70748" t="inlineStr">
        <is>
          <t>2093-07-21</t>
        </is>
      </c>
    </row>
    <row r="70749">
      <c r="A70749" s="1" t="n">
        <v>70748</v>
      </c>
      <c r="B70749">
        <f>TEXT(70748, "[$-0E0000]yyyy-mm-dd")</f>
        <v/>
      </c>
      <c r="C70749" t="inlineStr">
        <is>
          <t>2093-07-22</t>
        </is>
      </c>
    </row>
    <row r="70750">
      <c r="A70750" s="1" t="n">
        <v>70749</v>
      </c>
      <c r="B70750">
        <f>TEXT(70749, "[$-0E0000]yyyy-mm-dd")</f>
        <v/>
      </c>
      <c r="C70750" t="inlineStr">
        <is>
          <t>2093-07-23</t>
        </is>
      </c>
    </row>
    <row r="70751">
      <c r="A70751" s="1" t="n">
        <v>70750</v>
      </c>
      <c r="B70751">
        <f>TEXT(70750, "[$-0E0000]yyyy-mm-dd")</f>
        <v/>
      </c>
      <c r="C70751" t="inlineStr">
        <is>
          <t>2093-07-24</t>
        </is>
      </c>
    </row>
    <row r="70752">
      <c r="A70752" s="1" t="n">
        <v>70751</v>
      </c>
      <c r="B70752">
        <f>TEXT(70751, "[$-0E0000]yyyy-mm-dd")</f>
        <v/>
      </c>
      <c r="C70752" t="inlineStr">
        <is>
          <t>2093-07-25</t>
        </is>
      </c>
    </row>
    <row r="70753">
      <c r="A70753" s="1" t="n">
        <v>70752</v>
      </c>
      <c r="B70753">
        <f>TEXT(70752, "[$-0E0000]yyyy-mm-dd")</f>
        <v/>
      </c>
      <c r="C70753" t="inlineStr">
        <is>
          <t>2093-07-26</t>
        </is>
      </c>
    </row>
    <row r="70754">
      <c r="A70754" s="1" t="n">
        <v>70753</v>
      </c>
      <c r="B70754">
        <f>TEXT(70753, "[$-0E0000]yyyy-mm-dd")</f>
        <v/>
      </c>
      <c r="C70754" t="inlineStr">
        <is>
          <t>2093-07-27</t>
        </is>
      </c>
    </row>
    <row r="70755">
      <c r="A70755" s="1" t="n">
        <v>70754</v>
      </c>
      <c r="B70755">
        <f>TEXT(70754, "[$-0E0000]yyyy-mm-dd")</f>
        <v/>
      </c>
      <c r="C70755" t="inlineStr">
        <is>
          <t>2093-07-28</t>
        </is>
      </c>
    </row>
    <row r="70756">
      <c r="A70756" s="1" t="n">
        <v>70755</v>
      </c>
      <c r="B70756">
        <f>TEXT(70755, "[$-0E0000]yyyy-mm-dd")</f>
        <v/>
      </c>
      <c r="C70756" t="inlineStr">
        <is>
          <t>2093-07-29</t>
        </is>
      </c>
    </row>
    <row r="70757">
      <c r="A70757" s="1" t="n">
        <v>70756</v>
      </c>
      <c r="B70757">
        <f>TEXT(70756, "[$-0E0000]yyyy-mm-dd")</f>
        <v/>
      </c>
      <c r="C70757" t="inlineStr">
        <is>
          <t>2093-07-30</t>
        </is>
      </c>
    </row>
    <row r="70758">
      <c r="A70758" s="1" t="n">
        <v>70757</v>
      </c>
      <c r="B70758">
        <f>TEXT(70757, "[$-0E0000]yyyy-mm-dd")</f>
        <v/>
      </c>
      <c r="C70758" t="inlineStr">
        <is>
          <t>2093-08-01</t>
        </is>
      </c>
    </row>
    <row r="70759">
      <c r="A70759" s="1" t="n">
        <v>70758</v>
      </c>
      <c r="B70759">
        <f>TEXT(70758, "[$-0E0000]yyyy-mm-dd")</f>
        <v/>
      </c>
      <c r="C70759" t="inlineStr">
        <is>
          <t>2093-08-02</t>
        </is>
      </c>
    </row>
    <row r="70760">
      <c r="A70760" s="1" t="n">
        <v>70759</v>
      </c>
      <c r="B70760">
        <f>TEXT(70759, "[$-0E0000]yyyy-mm-dd")</f>
        <v/>
      </c>
      <c r="C70760" t="inlineStr">
        <is>
          <t>2093-08-03</t>
        </is>
      </c>
    </row>
    <row r="70761">
      <c r="A70761" s="1" t="n">
        <v>70760</v>
      </c>
      <c r="B70761">
        <f>TEXT(70760, "[$-0E0000]yyyy-mm-dd")</f>
        <v/>
      </c>
      <c r="C70761" t="inlineStr">
        <is>
          <t>2093-08-04</t>
        </is>
      </c>
    </row>
    <row r="70762">
      <c r="A70762" s="1" t="n">
        <v>70761</v>
      </c>
      <c r="B70762">
        <f>TEXT(70761, "[$-0E0000]yyyy-mm-dd")</f>
        <v/>
      </c>
      <c r="C70762" t="inlineStr">
        <is>
          <t>2093-08-05</t>
        </is>
      </c>
    </row>
    <row r="70763">
      <c r="A70763" s="1" t="n">
        <v>70762</v>
      </c>
      <c r="B70763">
        <f>TEXT(70762, "[$-0E0000]yyyy-mm-dd")</f>
        <v/>
      </c>
      <c r="C70763" t="inlineStr">
        <is>
          <t>2093-08-06</t>
        </is>
      </c>
    </row>
    <row r="70764">
      <c r="A70764" s="1" t="n">
        <v>70763</v>
      </c>
      <c r="B70764">
        <f>TEXT(70763, "[$-0E0000]yyyy-mm-dd")</f>
        <v/>
      </c>
      <c r="C70764" t="inlineStr">
        <is>
          <t>2093-08-07</t>
        </is>
      </c>
    </row>
    <row r="70765">
      <c r="A70765" s="1" t="n">
        <v>70764</v>
      </c>
      <c r="B70765">
        <f>TEXT(70764, "[$-0E0000]yyyy-mm-dd")</f>
        <v/>
      </c>
      <c r="C70765" t="inlineStr">
        <is>
          <t>2093-08-08</t>
        </is>
      </c>
    </row>
    <row r="70766">
      <c r="A70766" s="1" t="n">
        <v>70765</v>
      </c>
      <c r="B70766">
        <f>TEXT(70765, "[$-0E0000]yyyy-mm-dd")</f>
        <v/>
      </c>
      <c r="C70766" t="inlineStr">
        <is>
          <t>2093-08-09</t>
        </is>
      </c>
    </row>
    <row r="70767">
      <c r="A70767" s="1" t="n">
        <v>70766</v>
      </c>
      <c r="B70767">
        <f>TEXT(70766, "[$-0E0000]yyyy-mm-dd")</f>
        <v/>
      </c>
      <c r="C70767" t="inlineStr">
        <is>
          <t>2093-08-10</t>
        </is>
      </c>
    </row>
    <row r="70768">
      <c r="A70768" s="1" t="n">
        <v>70767</v>
      </c>
      <c r="B70768">
        <f>TEXT(70767, "[$-0E0000]yyyy-mm-dd")</f>
        <v/>
      </c>
      <c r="C70768" t="inlineStr">
        <is>
          <t>2093-08-11</t>
        </is>
      </c>
    </row>
    <row r="70769">
      <c r="A70769" s="1" t="n">
        <v>70768</v>
      </c>
      <c r="B70769">
        <f>TEXT(70768, "[$-0E0000]yyyy-mm-dd")</f>
        <v/>
      </c>
      <c r="C70769" t="inlineStr">
        <is>
          <t>2093-08-12</t>
        </is>
      </c>
    </row>
    <row r="70770">
      <c r="A70770" s="1" t="n">
        <v>70769</v>
      </c>
      <c r="B70770">
        <f>TEXT(70769, "[$-0E0000]yyyy-mm-dd")</f>
        <v/>
      </c>
      <c r="C70770" t="inlineStr">
        <is>
          <t>2093-08-13</t>
        </is>
      </c>
    </row>
    <row r="70771">
      <c r="A70771" s="1" t="n">
        <v>70770</v>
      </c>
      <c r="B70771">
        <f>TEXT(70770, "[$-0E0000]yyyy-mm-dd")</f>
        <v/>
      </c>
      <c r="C70771" t="inlineStr">
        <is>
          <t>2093-08-14</t>
        </is>
      </c>
    </row>
    <row r="70772">
      <c r="A70772" s="1" t="n">
        <v>70771</v>
      </c>
      <c r="B70772">
        <f>TEXT(70771, "[$-0E0000]yyyy-mm-dd")</f>
        <v/>
      </c>
      <c r="C70772" t="inlineStr">
        <is>
          <t>2093-08-15</t>
        </is>
      </c>
    </row>
    <row r="70773">
      <c r="A70773" s="1" t="n">
        <v>70772</v>
      </c>
      <c r="B70773">
        <f>TEXT(70772, "[$-0E0000]yyyy-mm-dd")</f>
        <v/>
      </c>
      <c r="C70773" t="inlineStr">
        <is>
          <t>2093-08-16</t>
        </is>
      </c>
    </row>
    <row r="70774">
      <c r="A70774" s="1" t="n">
        <v>70773</v>
      </c>
      <c r="B70774">
        <f>TEXT(70773, "[$-0E0000]yyyy-mm-dd")</f>
        <v/>
      </c>
      <c r="C70774" t="inlineStr">
        <is>
          <t>2093-08-17</t>
        </is>
      </c>
    </row>
    <row r="70775">
      <c r="A70775" s="1" t="n">
        <v>70774</v>
      </c>
      <c r="B70775">
        <f>TEXT(70774, "[$-0E0000]yyyy-mm-dd")</f>
        <v/>
      </c>
      <c r="C70775" t="inlineStr">
        <is>
          <t>2093-08-18</t>
        </is>
      </c>
    </row>
    <row r="70776">
      <c r="A70776" s="1" t="n">
        <v>70775</v>
      </c>
      <c r="B70776">
        <f>TEXT(70775, "[$-0E0000]yyyy-mm-dd")</f>
        <v/>
      </c>
      <c r="C70776" t="inlineStr">
        <is>
          <t>2093-08-19</t>
        </is>
      </c>
    </row>
    <row r="70777">
      <c r="A70777" s="1" t="n">
        <v>70776</v>
      </c>
      <c r="B70777">
        <f>TEXT(70776, "[$-0E0000]yyyy-mm-dd")</f>
        <v/>
      </c>
      <c r="C70777" t="inlineStr">
        <is>
          <t>2093-08-20</t>
        </is>
      </c>
    </row>
    <row r="70778">
      <c r="A70778" s="1" t="n">
        <v>70777</v>
      </c>
      <c r="B70778">
        <f>TEXT(70777, "[$-0E0000]yyyy-mm-dd")</f>
        <v/>
      </c>
      <c r="C70778" t="inlineStr">
        <is>
          <t>2093-08-21</t>
        </is>
      </c>
    </row>
    <row r="70779">
      <c r="A70779" s="1" t="n">
        <v>70778</v>
      </c>
      <c r="B70779">
        <f>TEXT(70778, "[$-0E0000]yyyy-mm-dd")</f>
        <v/>
      </c>
      <c r="C70779" t="inlineStr">
        <is>
          <t>2093-08-22</t>
        </is>
      </c>
    </row>
    <row r="70780">
      <c r="A70780" s="1" t="n">
        <v>70779</v>
      </c>
      <c r="B70780">
        <f>TEXT(70779, "[$-0E0000]yyyy-mm-dd")</f>
        <v/>
      </c>
      <c r="C70780" t="inlineStr">
        <is>
          <t>2093-08-23</t>
        </is>
      </c>
    </row>
    <row r="70781">
      <c r="A70781" s="1" t="n">
        <v>70780</v>
      </c>
      <c r="B70781">
        <f>TEXT(70780, "[$-0E0000]yyyy-mm-dd")</f>
        <v/>
      </c>
      <c r="C70781" t="inlineStr">
        <is>
          <t>2093-08-24</t>
        </is>
      </c>
    </row>
    <row r="70782">
      <c r="A70782" s="1" t="n">
        <v>70781</v>
      </c>
      <c r="B70782">
        <f>TEXT(70781, "[$-0E0000]yyyy-mm-dd")</f>
        <v/>
      </c>
      <c r="C70782" t="inlineStr">
        <is>
          <t>2093-08-25</t>
        </is>
      </c>
    </row>
    <row r="70783">
      <c r="A70783" s="1" t="n">
        <v>70782</v>
      </c>
      <c r="B70783">
        <f>TEXT(70782, "[$-0E0000]yyyy-mm-dd")</f>
        <v/>
      </c>
      <c r="C70783" t="inlineStr">
        <is>
          <t>2093-08-26</t>
        </is>
      </c>
    </row>
    <row r="70784">
      <c r="A70784" s="1" t="n">
        <v>70783</v>
      </c>
      <c r="B70784">
        <f>TEXT(70783, "[$-0E0000]yyyy-mm-dd")</f>
        <v/>
      </c>
      <c r="C70784" t="inlineStr">
        <is>
          <t>2093-08-27</t>
        </is>
      </c>
    </row>
    <row r="70785">
      <c r="A70785" s="1" t="n">
        <v>70784</v>
      </c>
      <c r="B70785">
        <f>TEXT(70784, "[$-0E0000]yyyy-mm-dd")</f>
        <v/>
      </c>
      <c r="C70785" t="inlineStr">
        <is>
          <t>2093-08-28</t>
        </is>
      </c>
    </row>
    <row r="70786">
      <c r="A70786" s="1" t="n">
        <v>70785</v>
      </c>
      <c r="B70786">
        <f>TEXT(70785, "[$-0E0000]yyyy-mm-dd")</f>
        <v/>
      </c>
      <c r="C70786" t="inlineStr">
        <is>
          <t>2093-08-29</t>
        </is>
      </c>
    </row>
    <row r="70787">
      <c r="A70787" s="1" t="n">
        <v>70786</v>
      </c>
      <c r="B70787">
        <f>TEXT(70786, "[$-0E0000]yyyy-mm-dd")</f>
        <v/>
      </c>
      <c r="C70787" t="inlineStr">
        <is>
          <t>2093-09-01</t>
        </is>
      </c>
    </row>
    <row r="70788">
      <c r="A70788" s="1" t="n">
        <v>70787</v>
      </c>
      <c r="B70788">
        <f>TEXT(70787, "[$-0E0000]yyyy-mm-dd")</f>
        <v/>
      </c>
      <c r="C70788" t="inlineStr">
        <is>
          <t>2093-09-02</t>
        </is>
      </c>
    </row>
    <row r="70789">
      <c r="A70789" s="1" t="n">
        <v>70788</v>
      </c>
      <c r="B70789">
        <f>TEXT(70788, "[$-0E0000]yyyy-mm-dd")</f>
        <v/>
      </c>
      <c r="C70789" t="inlineStr">
        <is>
          <t>2093-09-03</t>
        </is>
      </c>
    </row>
    <row r="70790">
      <c r="A70790" s="1" t="n">
        <v>70789</v>
      </c>
      <c r="B70790">
        <f>TEXT(70789, "[$-0E0000]yyyy-mm-dd")</f>
        <v/>
      </c>
      <c r="C70790" t="inlineStr">
        <is>
          <t>2093-09-04</t>
        </is>
      </c>
    </row>
    <row r="70791">
      <c r="A70791" s="1" t="n">
        <v>70790</v>
      </c>
      <c r="B70791">
        <f>TEXT(70790, "[$-0E0000]yyyy-mm-dd")</f>
        <v/>
      </c>
      <c r="C70791" t="inlineStr">
        <is>
          <t>2093-09-05</t>
        </is>
      </c>
    </row>
    <row r="70792">
      <c r="A70792" s="1" t="n">
        <v>70791</v>
      </c>
      <c r="B70792">
        <f>TEXT(70791, "[$-0E0000]yyyy-mm-dd")</f>
        <v/>
      </c>
      <c r="C70792" t="inlineStr">
        <is>
          <t>2093-09-06</t>
        </is>
      </c>
    </row>
    <row r="70793">
      <c r="A70793" s="1" t="n">
        <v>70792</v>
      </c>
      <c r="B70793">
        <f>TEXT(70792, "[$-0E0000]yyyy-mm-dd")</f>
        <v/>
      </c>
      <c r="C70793" t="inlineStr">
        <is>
          <t>2093-09-07</t>
        </is>
      </c>
    </row>
    <row r="70794">
      <c r="A70794" s="1" t="n">
        <v>70793</v>
      </c>
      <c r="B70794">
        <f>TEXT(70793, "[$-0E0000]yyyy-mm-dd")</f>
        <v/>
      </c>
      <c r="C70794" t="inlineStr">
        <is>
          <t>2093-09-08</t>
        </is>
      </c>
    </row>
    <row r="70795">
      <c r="A70795" s="1" t="n">
        <v>70794</v>
      </c>
      <c r="B70795">
        <f>TEXT(70794, "[$-0E0000]yyyy-mm-dd")</f>
        <v/>
      </c>
      <c r="C70795" t="inlineStr">
        <is>
          <t>2093-09-09</t>
        </is>
      </c>
    </row>
    <row r="70796">
      <c r="A70796" s="1" t="n">
        <v>70795</v>
      </c>
      <c r="B70796">
        <f>TEXT(70795, "[$-0E0000]yyyy-mm-dd")</f>
        <v/>
      </c>
      <c r="C70796" t="inlineStr">
        <is>
          <t>2093-09-10</t>
        </is>
      </c>
    </row>
    <row r="70797">
      <c r="A70797" s="1" t="n">
        <v>70796</v>
      </c>
      <c r="B70797">
        <f>TEXT(70796, "[$-0E0000]yyyy-mm-dd")</f>
        <v/>
      </c>
      <c r="C70797" t="inlineStr">
        <is>
          <t>2093-09-11</t>
        </is>
      </c>
    </row>
    <row r="70798">
      <c r="A70798" s="1" t="n">
        <v>70797</v>
      </c>
      <c r="B70798">
        <f>TEXT(70797, "[$-0E0000]yyyy-mm-dd")</f>
        <v/>
      </c>
      <c r="C70798" t="inlineStr">
        <is>
          <t>2093-09-12</t>
        </is>
      </c>
    </row>
    <row r="70799">
      <c r="A70799" s="1" t="n">
        <v>70798</v>
      </c>
      <c r="B70799">
        <f>TEXT(70798, "[$-0E0000]yyyy-mm-dd")</f>
        <v/>
      </c>
      <c r="C70799" t="inlineStr">
        <is>
          <t>2093-09-13</t>
        </is>
      </c>
    </row>
    <row r="70800">
      <c r="A70800" s="1" t="n">
        <v>70799</v>
      </c>
      <c r="B70800">
        <f>TEXT(70799, "[$-0E0000]yyyy-mm-dd")</f>
        <v/>
      </c>
      <c r="C70800" t="inlineStr">
        <is>
          <t>2093-09-14</t>
        </is>
      </c>
    </row>
    <row r="70801">
      <c r="A70801" s="1" t="n">
        <v>70800</v>
      </c>
      <c r="B70801">
        <f>TEXT(70800, "[$-0E0000]yyyy-mm-dd")</f>
        <v/>
      </c>
      <c r="C70801" t="inlineStr">
        <is>
          <t>2093-09-15</t>
        </is>
      </c>
    </row>
    <row r="70802">
      <c r="A70802" s="1" t="n">
        <v>70801</v>
      </c>
      <c r="B70802">
        <f>TEXT(70801, "[$-0E0000]yyyy-mm-dd")</f>
        <v/>
      </c>
      <c r="C70802" t="inlineStr">
        <is>
          <t>2093-09-16</t>
        </is>
      </c>
    </row>
    <row r="70803">
      <c r="A70803" s="1" t="n">
        <v>70802</v>
      </c>
      <c r="B70803">
        <f>TEXT(70802, "[$-0E0000]yyyy-mm-dd")</f>
        <v/>
      </c>
      <c r="C70803" t="inlineStr">
        <is>
          <t>2093-09-17</t>
        </is>
      </c>
    </row>
    <row r="70804">
      <c r="A70804" s="1" t="n">
        <v>70803</v>
      </c>
      <c r="B70804">
        <f>TEXT(70803, "[$-0E0000]yyyy-mm-dd")</f>
        <v/>
      </c>
      <c r="C70804" t="inlineStr">
        <is>
          <t>2093-09-18</t>
        </is>
      </c>
    </row>
    <row r="70805">
      <c r="A70805" s="1" t="n">
        <v>70804</v>
      </c>
      <c r="B70805">
        <f>TEXT(70804, "[$-0E0000]yyyy-mm-dd")</f>
        <v/>
      </c>
      <c r="C70805" t="inlineStr">
        <is>
          <t>2093-09-19</t>
        </is>
      </c>
    </row>
    <row r="70806">
      <c r="A70806" s="1" t="n">
        <v>70805</v>
      </c>
      <c r="B70806">
        <f>TEXT(70805, "[$-0E0000]yyyy-mm-dd")</f>
        <v/>
      </c>
      <c r="C70806" t="inlineStr">
        <is>
          <t>2093-09-20</t>
        </is>
      </c>
    </row>
    <row r="70807">
      <c r="A70807" s="1" t="n">
        <v>70806</v>
      </c>
      <c r="B70807">
        <f>TEXT(70806, "[$-0E0000]yyyy-mm-dd")</f>
        <v/>
      </c>
      <c r="C70807" t="inlineStr">
        <is>
          <t>2093-09-21</t>
        </is>
      </c>
    </row>
    <row r="70808">
      <c r="A70808" s="1" t="n">
        <v>70807</v>
      </c>
      <c r="B70808">
        <f>TEXT(70807, "[$-0E0000]yyyy-mm-dd")</f>
        <v/>
      </c>
      <c r="C70808" t="inlineStr">
        <is>
          <t>2093-09-22</t>
        </is>
      </c>
    </row>
    <row r="70809">
      <c r="A70809" s="1" t="n">
        <v>70808</v>
      </c>
      <c r="B70809">
        <f>TEXT(70808, "[$-0E0000]yyyy-mm-dd")</f>
        <v/>
      </c>
      <c r="C70809" t="inlineStr">
        <is>
          <t>2093-09-23</t>
        </is>
      </c>
    </row>
    <row r="70810">
      <c r="A70810" s="1" t="n">
        <v>70809</v>
      </c>
      <c r="B70810">
        <f>TEXT(70809, "[$-0E0000]yyyy-mm-dd")</f>
        <v/>
      </c>
      <c r="C70810" t="inlineStr">
        <is>
          <t>2093-09-24</t>
        </is>
      </c>
    </row>
    <row r="70811">
      <c r="A70811" s="1" t="n">
        <v>70810</v>
      </c>
      <c r="B70811">
        <f>TEXT(70810, "[$-0E0000]yyyy-mm-dd")</f>
        <v/>
      </c>
      <c r="C70811" t="inlineStr">
        <is>
          <t>2093-09-25</t>
        </is>
      </c>
    </row>
    <row r="70812">
      <c r="A70812" s="1" t="n">
        <v>70811</v>
      </c>
      <c r="B70812">
        <f>TEXT(70811, "[$-0E0000]yyyy-mm-dd")</f>
        <v/>
      </c>
      <c r="C70812" t="inlineStr">
        <is>
          <t>2093-09-26</t>
        </is>
      </c>
    </row>
    <row r="70813">
      <c r="A70813" s="1" t="n">
        <v>70812</v>
      </c>
      <c r="B70813">
        <f>TEXT(70812, "[$-0E0000]yyyy-mm-dd")</f>
        <v/>
      </c>
      <c r="C70813" t="inlineStr">
        <is>
          <t>2093-09-27</t>
        </is>
      </c>
    </row>
    <row r="70814">
      <c r="A70814" s="1" t="n">
        <v>70813</v>
      </c>
      <c r="B70814">
        <f>TEXT(70813, "[$-0E0000]yyyy-mm-dd")</f>
        <v/>
      </c>
      <c r="C70814" t="inlineStr">
        <is>
          <t>2093-09-28</t>
        </is>
      </c>
    </row>
    <row r="70815">
      <c r="A70815" s="1" t="n">
        <v>70814</v>
      </c>
      <c r="B70815">
        <f>TEXT(70814, "[$-0E0000]yyyy-mm-dd")</f>
        <v/>
      </c>
      <c r="C70815" t="inlineStr">
        <is>
          <t>2093-09-29</t>
        </is>
      </c>
    </row>
    <row r="70816">
      <c r="A70816" s="1" t="n">
        <v>70815</v>
      </c>
      <c r="B70816">
        <f>TEXT(70815, "[$-0E0000]yyyy-mm-dd")</f>
        <v/>
      </c>
      <c r="C70816" t="inlineStr">
        <is>
          <t>2093-09-30</t>
        </is>
      </c>
    </row>
    <row r="70817">
      <c r="A70817" s="1" t="n">
        <v>70816</v>
      </c>
      <c r="B70817">
        <f>TEXT(70816, "[$-0E0000]yyyy-mm-dd")</f>
        <v/>
      </c>
      <c r="C70817" t="inlineStr">
        <is>
          <t>2093-10-01</t>
        </is>
      </c>
    </row>
    <row r="70818">
      <c r="A70818" s="1" t="n">
        <v>70817</v>
      </c>
      <c r="B70818">
        <f>TEXT(70817, "[$-0E0000]yyyy-mm-dd")</f>
        <v/>
      </c>
      <c r="C70818" t="inlineStr">
        <is>
          <t>2093-10-02</t>
        </is>
      </c>
    </row>
    <row r="70819">
      <c r="A70819" s="1" t="n">
        <v>70818</v>
      </c>
      <c r="B70819">
        <f>TEXT(70818, "[$-0E0000]yyyy-mm-dd")</f>
        <v/>
      </c>
      <c r="C70819" t="inlineStr">
        <is>
          <t>2093-10-03</t>
        </is>
      </c>
    </row>
    <row r="70820">
      <c r="A70820" s="1" t="n">
        <v>70819</v>
      </c>
      <c r="B70820">
        <f>TEXT(70819, "[$-0E0000]yyyy-mm-dd")</f>
        <v/>
      </c>
      <c r="C70820" t="inlineStr">
        <is>
          <t>2093-10-04</t>
        </is>
      </c>
    </row>
    <row r="70821">
      <c r="A70821" s="1" t="n">
        <v>70820</v>
      </c>
      <c r="B70821">
        <f>TEXT(70820, "[$-0E0000]yyyy-mm-dd")</f>
        <v/>
      </c>
      <c r="C70821" t="inlineStr">
        <is>
          <t>2093-10-05</t>
        </is>
      </c>
    </row>
    <row r="70822">
      <c r="A70822" s="1" t="n">
        <v>70821</v>
      </c>
      <c r="B70822">
        <f>TEXT(70821, "[$-0E0000]yyyy-mm-dd")</f>
        <v/>
      </c>
      <c r="C70822" t="inlineStr">
        <is>
          <t>2093-10-06</t>
        </is>
      </c>
    </row>
    <row r="70823">
      <c r="A70823" s="1" t="n">
        <v>70822</v>
      </c>
      <c r="B70823">
        <f>TEXT(70822, "[$-0E0000]yyyy-mm-dd")</f>
        <v/>
      </c>
      <c r="C70823" t="inlineStr">
        <is>
          <t>2093-10-07</t>
        </is>
      </c>
    </row>
    <row r="70824">
      <c r="A70824" s="1" t="n">
        <v>70823</v>
      </c>
      <c r="B70824">
        <f>TEXT(70823, "[$-0E0000]yyyy-mm-dd")</f>
        <v/>
      </c>
      <c r="C70824" t="inlineStr">
        <is>
          <t>2093-10-08</t>
        </is>
      </c>
    </row>
    <row r="70825">
      <c r="A70825" s="1" t="n">
        <v>70824</v>
      </c>
      <c r="B70825">
        <f>TEXT(70824, "[$-0E0000]yyyy-mm-dd")</f>
        <v/>
      </c>
      <c r="C70825" t="inlineStr">
        <is>
          <t>2093-10-09</t>
        </is>
      </c>
    </row>
    <row r="70826">
      <c r="A70826" s="1" t="n">
        <v>70825</v>
      </c>
      <c r="B70826">
        <f>TEXT(70825, "[$-0E0000]yyyy-mm-dd")</f>
        <v/>
      </c>
      <c r="C70826" t="inlineStr">
        <is>
          <t>2093-10-10</t>
        </is>
      </c>
    </row>
    <row r="70827">
      <c r="A70827" s="1" t="n">
        <v>70826</v>
      </c>
      <c r="B70827">
        <f>TEXT(70826, "[$-0E0000]yyyy-mm-dd")</f>
        <v/>
      </c>
      <c r="C70827" t="inlineStr">
        <is>
          <t>2093-10-11</t>
        </is>
      </c>
    </row>
    <row r="70828">
      <c r="A70828" s="1" t="n">
        <v>70827</v>
      </c>
      <c r="B70828">
        <f>TEXT(70827, "[$-0E0000]yyyy-mm-dd")</f>
        <v/>
      </c>
      <c r="C70828" t="inlineStr">
        <is>
          <t>2093-10-12</t>
        </is>
      </c>
    </row>
    <row r="70829">
      <c r="A70829" s="1" t="n">
        <v>70828</v>
      </c>
      <c r="B70829">
        <f>TEXT(70828, "[$-0E0000]yyyy-mm-dd")</f>
        <v/>
      </c>
      <c r="C70829" t="inlineStr">
        <is>
          <t>2093-10-13</t>
        </is>
      </c>
    </row>
    <row r="70830">
      <c r="A70830" s="1" t="n">
        <v>70829</v>
      </c>
      <c r="B70830">
        <f>TEXT(70829, "[$-0E0000]yyyy-mm-dd")</f>
        <v/>
      </c>
      <c r="C70830" t="inlineStr">
        <is>
          <t>2093-10-14</t>
        </is>
      </c>
    </row>
    <row r="70831">
      <c r="A70831" s="1" t="n">
        <v>70830</v>
      </c>
      <c r="B70831">
        <f>TEXT(70830, "[$-0E0000]yyyy-mm-dd")</f>
        <v/>
      </c>
      <c r="C70831" t="inlineStr">
        <is>
          <t>2093-10-15</t>
        </is>
      </c>
    </row>
    <row r="70832">
      <c r="A70832" s="1" t="n">
        <v>70831</v>
      </c>
      <c r="B70832">
        <f>TEXT(70831, "[$-0E0000]yyyy-mm-dd")</f>
        <v/>
      </c>
      <c r="C70832" t="inlineStr">
        <is>
          <t>2093-10-16</t>
        </is>
      </c>
    </row>
    <row r="70833">
      <c r="A70833" s="1" t="n">
        <v>70832</v>
      </c>
      <c r="B70833">
        <f>TEXT(70832, "[$-0E0000]yyyy-mm-dd")</f>
        <v/>
      </c>
      <c r="C70833" t="inlineStr">
        <is>
          <t>2093-10-17</t>
        </is>
      </c>
    </row>
    <row r="70834">
      <c r="A70834" s="1" t="n">
        <v>70833</v>
      </c>
      <c r="B70834">
        <f>TEXT(70833, "[$-0E0000]yyyy-mm-dd")</f>
        <v/>
      </c>
      <c r="C70834" t="inlineStr">
        <is>
          <t>2093-10-18</t>
        </is>
      </c>
    </row>
    <row r="70835">
      <c r="A70835" s="1" t="n">
        <v>70834</v>
      </c>
      <c r="B70835">
        <f>TEXT(70834, "[$-0E0000]yyyy-mm-dd")</f>
        <v/>
      </c>
      <c r="C70835" t="inlineStr">
        <is>
          <t>2093-10-19</t>
        </is>
      </c>
    </row>
    <row r="70836">
      <c r="A70836" s="1" t="n">
        <v>70835</v>
      </c>
      <c r="B70836">
        <f>TEXT(70835, "[$-0E0000]yyyy-mm-dd")</f>
        <v/>
      </c>
      <c r="C70836" t="inlineStr">
        <is>
          <t>2093-10-20</t>
        </is>
      </c>
    </row>
    <row r="70837">
      <c r="A70837" s="1" t="n">
        <v>70836</v>
      </c>
      <c r="B70837">
        <f>TEXT(70836, "[$-0E0000]yyyy-mm-dd")</f>
        <v/>
      </c>
      <c r="C70837" t="inlineStr">
        <is>
          <t>2093-10-21</t>
        </is>
      </c>
    </row>
    <row r="70838">
      <c r="A70838" s="1" t="n">
        <v>70837</v>
      </c>
      <c r="B70838">
        <f>TEXT(70837, "[$-0E0000]yyyy-mm-dd")</f>
        <v/>
      </c>
      <c r="C70838" t="inlineStr">
        <is>
          <t>2093-10-22</t>
        </is>
      </c>
    </row>
    <row r="70839">
      <c r="A70839" s="1" t="n">
        <v>70838</v>
      </c>
      <c r="B70839">
        <f>TEXT(70838, "[$-0E0000]yyyy-mm-dd")</f>
        <v/>
      </c>
      <c r="C70839" t="inlineStr">
        <is>
          <t>2093-10-23</t>
        </is>
      </c>
    </row>
    <row r="70840">
      <c r="A70840" s="1" t="n">
        <v>70839</v>
      </c>
      <c r="B70840">
        <f>TEXT(70839, "[$-0E0000]yyyy-mm-dd")</f>
        <v/>
      </c>
      <c r="C70840" t="inlineStr">
        <is>
          <t>2093-10-24</t>
        </is>
      </c>
    </row>
    <row r="70841">
      <c r="A70841" s="1" t="n">
        <v>70840</v>
      </c>
      <c r="B70841">
        <f>TEXT(70840, "[$-0E0000]yyyy-mm-dd")</f>
        <v/>
      </c>
      <c r="C70841" t="inlineStr">
        <is>
          <t>2093-10-25</t>
        </is>
      </c>
    </row>
    <row r="70842">
      <c r="A70842" s="1" t="n">
        <v>70841</v>
      </c>
      <c r="B70842">
        <f>TEXT(70841, "[$-0E0000]yyyy-mm-dd")</f>
        <v/>
      </c>
      <c r="C70842" t="inlineStr">
        <is>
          <t>2093-10-26</t>
        </is>
      </c>
    </row>
    <row r="70843">
      <c r="A70843" s="1" t="n">
        <v>70842</v>
      </c>
      <c r="B70843">
        <f>TEXT(70842, "[$-0E0000]yyyy-mm-dd")</f>
        <v/>
      </c>
      <c r="C70843" t="inlineStr">
        <is>
          <t>2093-10-27</t>
        </is>
      </c>
    </row>
    <row r="70844">
      <c r="A70844" s="1" t="n">
        <v>70843</v>
      </c>
      <c r="B70844">
        <f>TEXT(70843, "[$-0E0000]yyyy-mm-dd")</f>
        <v/>
      </c>
      <c r="C70844" t="inlineStr">
        <is>
          <t>2093-10-28</t>
        </is>
      </c>
    </row>
    <row r="70845">
      <c r="A70845" s="1" t="n">
        <v>70844</v>
      </c>
      <c r="B70845">
        <f>TEXT(70844, "[$-0E0000]yyyy-mm-dd")</f>
        <v/>
      </c>
      <c r="C70845" t="inlineStr">
        <is>
          <t>2093-10-29</t>
        </is>
      </c>
    </row>
    <row r="70846">
      <c r="A70846" s="1" t="n">
        <v>70845</v>
      </c>
      <c r="B70846">
        <f>TEXT(70845, "[$-0E0000]yyyy-mm-dd")</f>
        <v/>
      </c>
      <c r="C70846" t="inlineStr">
        <is>
          <t>2093-11-01</t>
        </is>
      </c>
    </row>
    <row r="70847">
      <c r="A70847" s="1" t="n">
        <v>70846</v>
      </c>
      <c r="B70847">
        <f>TEXT(70846, "[$-0E0000]yyyy-mm-dd")</f>
        <v/>
      </c>
      <c r="C70847" t="inlineStr">
        <is>
          <t>2093-11-02</t>
        </is>
      </c>
    </row>
    <row r="70848">
      <c r="A70848" s="1" t="n">
        <v>70847</v>
      </c>
      <c r="B70848">
        <f>TEXT(70847, "[$-0E0000]yyyy-mm-dd")</f>
        <v/>
      </c>
      <c r="C70848" t="inlineStr">
        <is>
          <t>2093-11-03</t>
        </is>
      </c>
    </row>
    <row r="70849">
      <c r="A70849" s="1" t="n">
        <v>70848</v>
      </c>
      <c r="B70849">
        <f>TEXT(70848, "[$-0E0000]yyyy-mm-dd")</f>
        <v/>
      </c>
      <c r="C70849" t="inlineStr">
        <is>
          <t>2093-11-04</t>
        </is>
      </c>
    </row>
    <row r="70850">
      <c r="A70850" s="1" t="n">
        <v>70849</v>
      </c>
      <c r="B70850">
        <f>TEXT(70849, "[$-0E0000]yyyy-mm-dd")</f>
        <v/>
      </c>
      <c r="C70850" t="inlineStr">
        <is>
          <t>2093-11-05</t>
        </is>
      </c>
    </row>
    <row r="70851">
      <c r="A70851" s="1" t="n">
        <v>70850</v>
      </c>
      <c r="B70851">
        <f>TEXT(70850, "[$-0E0000]yyyy-mm-dd")</f>
        <v/>
      </c>
      <c r="C70851" t="inlineStr">
        <is>
          <t>2093-11-06</t>
        </is>
      </c>
    </row>
    <row r="70852">
      <c r="A70852" s="1" t="n">
        <v>70851</v>
      </c>
      <c r="B70852">
        <f>TEXT(70851, "[$-0E0000]yyyy-mm-dd")</f>
        <v/>
      </c>
      <c r="C70852" t="inlineStr">
        <is>
          <t>2093-11-07</t>
        </is>
      </c>
    </row>
    <row r="70853">
      <c r="A70853" s="1" t="n">
        <v>70852</v>
      </c>
      <c r="B70853">
        <f>TEXT(70852, "[$-0E0000]yyyy-mm-dd")</f>
        <v/>
      </c>
      <c r="C70853" t="inlineStr">
        <is>
          <t>2093-11-08</t>
        </is>
      </c>
    </row>
    <row r="70854">
      <c r="A70854" s="1" t="n">
        <v>70853</v>
      </c>
      <c r="B70854">
        <f>TEXT(70853, "[$-0E0000]yyyy-mm-dd")</f>
        <v/>
      </c>
      <c r="C70854" t="inlineStr">
        <is>
          <t>2093-11-09</t>
        </is>
      </c>
    </row>
    <row r="70855">
      <c r="A70855" s="1" t="n">
        <v>70854</v>
      </c>
      <c r="B70855">
        <f>TEXT(70854, "[$-0E0000]yyyy-mm-dd")</f>
        <v/>
      </c>
      <c r="C70855" t="inlineStr">
        <is>
          <t>2093-11-10</t>
        </is>
      </c>
    </row>
    <row r="70856">
      <c r="A70856" s="1" t="n">
        <v>70855</v>
      </c>
      <c r="B70856">
        <f>TEXT(70855, "[$-0E0000]yyyy-mm-dd")</f>
        <v/>
      </c>
      <c r="C70856" t="inlineStr">
        <is>
          <t>2093-11-11</t>
        </is>
      </c>
    </row>
    <row r="70857">
      <c r="A70857" s="1" t="n">
        <v>70856</v>
      </c>
      <c r="B70857">
        <f>TEXT(70856, "[$-0E0000]yyyy-mm-dd")</f>
        <v/>
      </c>
      <c r="C70857" t="inlineStr">
        <is>
          <t>2093-11-12</t>
        </is>
      </c>
    </row>
    <row r="70858">
      <c r="A70858" s="1" t="n">
        <v>70857</v>
      </c>
      <c r="B70858">
        <f>TEXT(70857, "[$-0E0000]yyyy-mm-dd")</f>
        <v/>
      </c>
      <c r="C70858" t="inlineStr">
        <is>
          <t>2093-11-13</t>
        </is>
      </c>
    </row>
    <row r="70859">
      <c r="A70859" s="1" t="n">
        <v>70858</v>
      </c>
      <c r="B70859">
        <f>TEXT(70858, "[$-0E0000]yyyy-mm-dd")</f>
        <v/>
      </c>
      <c r="C70859" t="inlineStr">
        <is>
          <t>2093-11-14</t>
        </is>
      </c>
    </row>
    <row r="70860">
      <c r="A70860" s="1" t="n">
        <v>70859</v>
      </c>
      <c r="B70860">
        <f>TEXT(70859, "[$-0E0000]yyyy-mm-dd")</f>
        <v/>
      </c>
      <c r="C70860" t="inlineStr">
        <is>
          <t>2093-11-15</t>
        </is>
      </c>
    </row>
    <row r="70861">
      <c r="A70861" s="1" t="n">
        <v>70860</v>
      </c>
      <c r="B70861">
        <f>TEXT(70860, "[$-0E0000]yyyy-mm-dd")</f>
        <v/>
      </c>
      <c r="C70861" t="inlineStr">
        <is>
          <t>2093-11-16</t>
        </is>
      </c>
    </row>
    <row r="70862">
      <c r="A70862" s="1" t="n">
        <v>70861</v>
      </c>
      <c r="B70862">
        <f>TEXT(70861, "[$-0E0000]yyyy-mm-dd")</f>
        <v/>
      </c>
      <c r="C70862" t="inlineStr">
        <is>
          <t>2093-11-17</t>
        </is>
      </c>
    </row>
    <row r="70863">
      <c r="A70863" s="1" t="n">
        <v>70862</v>
      </c>
      <c r="B70863">
        <f>TEXT(70862, "[$-0E0000]yyyy-mm-dd")</f>
        <v/>
      </c>
      <c r="C70863" t="inlineStr">
        <is>
          <t>2093-11-18</t>
        </is>
      </c>
    </row>
    <row r="70864">
      <c r="A70864" s="1" t="n">
        <v>70863</v>
      </c>
      <c r="B70864">
        <f>TEXT(70863, "[$-0E0000]yyyy-mm-dd")</f>
        <v/>
      </c>
      <c r="C70864" t="inlineStr">
        <is>
          <t>2093-11-19</t>
        </is>
      </c>
    </row>
    <row r="70865">
      <c r="A70865" s="1" t="n">
        <v>70864</v>
      </c>
      <c r="B70865">
        <f>TEXT(70864, "[$-0E0000]yyyy-mm-dd")</f>
        <v/>
      </c>
      <c r="C70865" t="inlineStr">
        <is>
          <t>2093-11-20</t>
        </is>
      </c>
    </row>
    <row r="70866">
      <c r="A70866" s="1" t="n">
        <v>70865</v>
      </c>
      <c r="B70866">
        <f>TEXT(70865, "[$-0E0000]yyyy-mm-dd")</f>
        <v/>
      </c>
      <c r="C70866" t="inlineStr">
        <is>
          <t>2093-11-21</t>
        </is>
      </c>
    </row>
    <row r="70867">
      <c r="A70867" s="1" t="n">
        <v>70866</v>
      </c>
      <c r="B70867">
        <f>TEXT(70866, "[$-0E0000]yyyy-mm-dd")</f>
        <v/>
      </c>
      <c r="C70867" t="inlineStr">
        <is>
          <t>2093-11-22</t>
        </is>
      </c>
    </row>
    <row r="70868">
      <c r="A70868" s="1" t="n">
        <v>70867</v>
      </c>
      <c r="B70868">
        <f>TEXT(70867, "[$-0E0000]yyyy-mm-dd")</f>
        <v/>
      </c>
      <c r="C70868" t="inlineStr">
        <is>
          <t>2093-11-23</t>
        </is>
      </c>
    </row>
    <row r="70869">
      <c r="A70869" s="1" t="n">
        <v>70868</v>
      </c>
      <c r="B70869">
        <f>TEXT(70868, "[$-0E0000]yyyy-mm-dd")</f>
        <v/>
      </c>
      <c r="C70869" t="inlineStr">
        <is>
          <t>2093-11-24</t>
        </is>
      </c>
    </row>
    <row r="70870">
      <c r="A70870" s="1" t="n">
        <v>70869</v>
      </c>
      <c r="B70870">
        <f>TEXT(70869, "[$-0E0000]yyyy-mm-dd")</f>
        <v/>
      </c>
      <c r="C70870" t="inlineStr">
        <is>
          <t>2093-11-25</t>
        </is>
      </c>
    </row>
    <row r="70871">
      <c r="A70871" s="1" t="n">
        <v>70870</v>
      </c>
      <c r="B70871">
        <f>TEXT(70870, "[$-0E0000]yyyy-mm-dd")</f>
        <v/>
      </c>
      <c r="C70871" t="inlineStr">
        <is>
          <t>2093-11-26</t>
        </is>
      </c>
    </row>
    <row r="70872">
      <c r="A70872" s="1" t="n">
        <v>70871</v>
      </c>
      <c r="B70872">
        <f>TEXT(70871, "[$-0E0000]yyyy-mm-dd")</f>
        <v/>
      </c>
      <c r="C70872" t="inlineStr">
        <is>
          <t>2093-11-27</t>
        </is>
      </c>
    </row>
    <row r="70873">
      <c r="A70873" s="1" t="n">
        <v>70872</v>
      </c>
      <c r="B70873">
        <f>TEXT(70872, "[$-0E0000]yyyy-mm-dd")</f>
        <v/>
      </c>
      <c r="C70873" t="inlineStr">
        <is>
          <t>2093-11-28</t>
        </is>
      </c>
    </row>
    <row r="70874">
      <c r="A70874" s="1" t="n">
        <v>70873</v>
      </c>
      <c r="B70874">
        <f>TEXT(70873, "[$-0E0000]yyyy-mm-dd")</f>
        <v/>
      </c>
      <c r="C70874" t="inlineStr">
        <is>
          <t>2093-11-29</t>
        </is>
      </c>
    </row>
    <row r="70875">
      <c r="A70875" s="1" t="n">
        <v>70874</v>
      </c>
      <c r="B70875">
        <f>TEXT(70874, "[$-0E0000]yyyy-mm-dd")</f>
        <v/>
      </c>
      <c r="C70875" t="inlineStr">
        <is>
          <t>2093-11-30</t>
        </is>
      </c>
    </row>
    <row r="70876">
      <c r="A70876" s="1" t="n">
        <v>70875</v>
      </c>
      <c r="B70876">
        <f>TEXT(70875, "[$-0E0000]yyyy-mm-dd")</f>
        <v/>
      </c>
      <c r="C70876" t="inlineStr">
        <is>
          <t>2093-12-01</t>
        </is>
      </c>
    </row>
    <row r="70877">
      <c r="A70877" s="1" t="n">
        <v>70876</v>
      </c>
      <c r="B70877">
        <f>TEXT(70876, "[$-0E0000]yyyy-mm-dd")</f>
        <v/>
      </c>
      <c r="C70877" t="inlineStr">
        <is>
          <t>2093-12-02</t>
        </is>
      </c>
    </row>
    <row r="70878">
      <c r="A70878" s="1" t="n">
        <v>70877</v>
      </c>
      <c r="B70878">
        <f>TEXT(70877, "[$-0E0000]yyyy-mm-dd")</f>
        <v/>
      </c>
      <c r="C70878" t="inlineStr">
        <is>
          <t>2093-12-03</t>
        </is>
      </c>
    </row>
    <row r="70879">
      <c r="A70879" s="1" t="n">
        <v>70878</v>
      </c>
      <c r="B70879">
        <f>TEXT(70878, "[$-0E0000]yyyy-mm-dd")</f>
        <v/>
      </c>
      <c r="C70879" t="inlineStr">
        <is>
          <t>2093-12-04</t>
        </is>
      </c>
    </row>
    <row r="70880">
      <c r="A70880" s="1" t="n">
        <v>70879</v>
      </c>
      <c r="B70880">
        <f>TEXT(70879, "[$-0E0000]yyyy-mm-dd")</f>
        <v/>
      </c>
      <c r="C70880" t="inlineStr">
        <is>
          <t>2093-12-05</t>
        </is>
      </c>
    </row>
    <row r="70881">
      <c r="A70881" s="1" t="n">
        <v>70880</v>
      </c>
      <c r="B70881">
        <f>TEXT(70880, "[$-0E0000]yyyy-mm-dd")</f>
        <v/>
      </c>
      <c r="C70881" t="inlineStr">
        <is>
          <t>2093-12-06</t>
        </is>
      </c>
    </row>
    <row r="70882">
      <c r="A70882" s="1" t="n">
        <v>70881</v>
      </c>
      <c r="B70882">
        <f>TEXT(70881, "[$-0E0000]yyyy-mm-dd")</f>
        <v/>
      </c>
      <c r="C70882" t="inlineStr">
        <is>
          <t>2093-12-07</t>
        </is>
      </c>
    </row>
    <row r="70883">
      <c r="A70883" s="1" t="n">
        <v>70882</v>
      </c>
      <c r="B70883">
        <f>TEXT(70882, "[$-0E0000]yyyy-mm-dd")</f>
        <v/>
      </c>
      <c r="C70883" t="inlineStr">
        <is>
          <t>2093-12-08</t>
        </is>
      </c>
    </row>
    <row r="70884">
      <c r="A70884" s="1" t="n">
        <v>70883</v>
      </c>
      <c r="B70884">
        <f>TEXT(70883, "[$-0E0000]yyyy-mm-dd")</f>
        <v/>
      </c>
      <c r="C70884" t="inlineStr">
        <is>
          <t>2093-12-09</t>
        </is>
      </c>
    </row>
    <row r="70885">
      <c r="A70885" s="1" t="n">
        <v>70884</v>
      </c>
      <c r="B70885">
        <f>TEXT(70884, "[$-0E0000]yyyy-mm-dd")</f>
        <v/>
      </c>
      <c r="C70885" t="inlineStr">
        <is>
          <t>2093-12-10</t>
        </is>
      </c>
    </row>
    <row r="70886">
      <c r="A70886" s="1" t="n">
        <v>70885</v>
      </c>
      <c r="B70886">
        <f>TEXT(70885, "[$-0E0000]yyyy-mm-dd")</f>
        <v/>
      </c>
      <c r="C70886" t="inlineStr">
        <is>
          <t>2093-12-11</t>
        </is>
      </c>
    </row>
    <row r="70887">
      <c r="A70887" s="1" t="n">
        <v>70886</v>
      </c>
      <c r="B70887">
        <f>TEXT(70886, "[$-0E0000]yyyy-mm-dd")</f>
        <v/>
      </c>
      <c r="C70887" t="inlineStr">
        <is>
          <t>2093-12-12</t>
        </is>
      </c>
    </row>
    <row r="70888">
      <c r="A70888" s="1" t="n">
        <v>70887</v>
      </c>
      <c r="B70888">
        <f>TEXT(70887, "[$-0E0000]yyyy-mm-dd")</f>
        <v/>
      </c>
      <c r="C70888" t="inlineStr">
        <is>
          <t>2093-12-13</t>
        </is>
      </c>
    </row>
    <row r="70889">
      <c r="A70889" s="1" t="n">
        <v>70888</v>
      </c>
      <c r="B70889">
        <f>TEXT(70888, "[$-0E0000]yyyy-mm-dd")</f>
        <v/>
      </c>
      <c r="C70889" t="inlineStr">
        <is>
          <t>2093-12-14</t>
        </is>
      </c>
    </row>
    <row r="70890">
      <c r="A70890" s="1" t="n">
        <v>70889</v>
      </c>
      <c r="B70890">
        <f>TEXT(70889, "[$-0E0000]yyyy-mm-dd")</f>
        <v/>
      </c>
      <c r="C70890" t="inlineStr">
        <is>
          <t>2093-12-15</t>
        </is>
      </c>
    </row>
    <row r="70891">
      <c r="A70891" s="1" t="n">
        <v>70890</v>
      </c>
      <c r="B70891">
        <f>TEXT(70890, "[$-0E0000]yyyy-mm-dd")</f>
        <v/>
      </c>
      <c r="C70891" t="inlineStr">
        <is>
          <t>2093-12-16</t>
        </is>
      </c>
    </row>
    <row r="70892">
      <c r="A70892" s="1" t="n">
        <v>70891</v>
      </c>
      <c r="B70892">
        <f>TEXT(70891, "[$-0E0000]yyyy-mm-dd")</f>
        <v/>
      </c>
      <c r="C70892" t="inlineStr">
        <is>
          <t>2093-12-17</t>
        </is>
      </c>
    </row>
    <row r="70893">
      <c r="A70893" s="1" t="n">
        <v>70892</v>
      </c>
      <c r="B70893">
        <f>TEXT(70892, "[$-0E0000]yyyy-mm-dd")</f>
        <v/>
      </c>
      <c r="C70893" t="inlineStr">
        <is>
          <t>2093-12-18</t>
        </is>
      </c>
    </row>
    <row r="70894">
      <c r="A70894" s="1" t="n">
        <v>70893</v>
      </c>
      <c r="B70894">
        <f>TEXT(70893, "[$-0E0000]yyyy-mm-dd")</f>
        <v/>
      </c>
      <c r="C70894" t="inlineStr">
        <is>
          <t>2093-12-19</t>
        </is>
      </c>
    </row>
    <row r="70895">
      <c r="A70895" s="1" t="n">
        <v>70894</v>
      </c>
      <c r="B70895">
        <f>TEXT(70894, "[$-0E0000]yyyy-mm-dd")</f>
        <v/>
      </c>
      <c r="C70895" t="inlineStr">
        <is>
          <t>2093-12-20</t>
        </is>
      </c>
    </row>
    <row r="70896">
      <c r="A70896" s="1" t="n">
        <v>70895</v>
      </c>
      <c r="B70896">
        <f>TEXT(70895, "[$-0E0000]yyyy-mm-dd")</f>
        <v/>
      </c>
      <c r="C70896" t="inlineStr">
        <is>
          <t>2093-12-21</t>
        </is>
      </c>
    </row>
    <row r="70897">
      <c r="A70897" s="1" t="n">
        <v>70896</v>
      </c>
      <c r="B70897">
        <f>TEXT(70896, "[$-0E0000]yyyy-mm-dd")</f>
        <v/>
      </c>
      <c r="C70897" t="inlineStr">
        <is>
          <t>2093-12-22</t>
        </is>
      </c>
    </row>
    <row r="70898">
      <c r="A70898" s="1" t="n">
        <v>70897</v>
      </c>
      <c r="B70898">
        <f>TEXT(70897, "[$-0E0000]yyyy-mm-dd")</f>
        <v/>
      </c>
      <c r="C70898" t="inlineStr">
        <is>
          <t>2093-12-23</t>
        </is>
      </c>
    </row>
    <row r="70899">
      <c r="A70899" s="1" t="n">
        <v>70898</v>
      </c>
      <c r="B70899">
        <f>TEXT(70898, "[$-0E0000]yyyy-mm-dd")</f>
        <v/>
      </c>
      <c r="C70899" t="inlineStr">
        <is>
          <t>2093-12-24</t>
        </is>
      </c>
    </row>
    <row r="70900">
      <c r="A70900" s="1" t="n">
        <v>70899</v>
      </c>
      <c r="B70900">
        <f>TEXT(70899, "[$-0E0000]yyyy-mm-dd")</f>
        <v/>
      </c>
      <c r="C70900" t="inlineStr">
        <is>
          <t>2093-12-25</t>
        </is>
      </c>
    </row>
    <row r="70901">
      <c r="A70901" s="1" t="n">
        <v>70900</v>
      </c>
      <c r="B70901">
        <f>TEXT(70900, "[$-0E0000]yyyy-mm-dd")</f>
        <v/>
      </c>
      <c r="C70901" t="inlineStr">
        <is>
          <t>2093-12-26</t>
        </is>
      </c>
    </row>
    <row r="70902">
      <c r="A70902" s="1" t="n">
        <v>70901</v>
      </c>
      <c r="B70902">
        <f>TEXT(70901, "[$-0E0000]yyyy-mm-dd")</f>
        <v/>
      </c>
      <c r="C70902" t="inlineStr">
        <is>
          <t>2093-12-27</t>
        </is>
      </c>
    </row>
    <row r="70903">
      <c r="A70903" s="1" t="n">
        <v>70902</v>
      </c>
      <c r="B70903">
        <f>TEXT(70902, "[$-0E0000]yyyy-mm-dd")</f>
        <v/>
      </c>
      <c r="C70903" t="inlineStr">
        <is>
          <t>2093-12-28</t>
        </is>
      </c>
    </row>
    <row r="70904">
      <c r="A70904" s="1" t="n">
        <v>70903</v>
      </c>
      <c r="B70904">
        <f>TEXT(70903, "[$-0E0000]yyyy-mm-dd")</f>
        <v/>
      </c>
      <c r="C70904" t="inlineStr">
        <is>
          <t>2093-12-29</t>
        </is>
      </c>
    </row>
    <row r="70905">
      <c r="A70905" s="1" t="n">
        <v>70904</v>
      </c>
      <c r="B70905">
        <f>TEXT(70904, "[$-0E0000]yyyy-mm-dd")</f>
        <v/>
      </c>
      <c r="C70905" t="inlineStr">
        <is>
          <t>2094-01-01</t>
        </is>
      </c>
    </row>
    <row r="70906">
      <c r="A70906" s="1" t="n">
        <v>70905</v>
      </c>
      <c r="B70906">
        <f>TEXT(70905, "[$-0E0000]yyyy-mm-dd")</f>
        <v/>
      </c>
      <c r="C70906" t="inlineStr">
        <is>
          <t>2094-01-02</t>
        </is>
      </c>
    </row>
    <row r="70907">
      <c r="A70907" s="1" t="n">
        <v>70906</v>
      </c>
      <c r="B70907">
        <f>TEXT(70906, "[$-0E0000]yyyy-mm-dd")</f>
        <v/>
      </c>
      <c r="C70907" t="inlineStr">
        <is>
          <t>2094-01-03</t>
        </is>
      </c>
    </row>
    <row r="70908">
      <c r="A70908" s="1" t="n">
        <v>70907</v>
      </c>
      <c r="B70908">
        <f>TEXT(70907, "[$-0E0000]yyyy-mm-dd")</f>
        <v/>
      </c>
      <c r="C70908" t="inlineStr">
        <is>
          <t>2094-01-04</t>
        </is>
      </c>
    </row>
    <row r="70909">
      <c r="A70909" s="1" t="n">
        <v>70908</v>
      </c>
      <c r="B70909">
        <f>TEXT(70908, "[$-0E0000]yyyy-mm-dd")</f>
        <v/>
      </c>
      <c r="C70909" t="inlineStr">
        <is>
          <t>2094-01-05</t>
        </is>
      </c>
    </row>
    <row r="70910">
      <c r="A70910" s="1" t="n">
        <v>70909</v>
      </c>
      <c r="B70910">
        <f>TEXT(70909, "[$-0E0000]yyyy-mm-dd")</f>
        <v/>
      </c>
      <c r="C70910" t="inlineStr">
        <is>
          <t>2094-01-06</t>
        </is>
      </c>
    </row>
    <row r="70911">
      <c r="A70911" s="1" t="n">
        <v>70910</v>
      </c>
      <c r="B70911">
        <f>TEXT(70910, "[$-0E0000]yyyy-mm-dd")</f>
        <v/>
      </c>
      <c r="C70911" t="inlineStr">
        <is>
          <t>2094-01-07</t>
        </is>
      </c>
    </row>
    <row r="70912">
      <c r="A70912" s="1" t="n">
        <v>70911</v>
      </c>
      <c r="B70912">
        <f>TEXT(70911, "[$-0E0000]yyyy-mm-dd")</f>
        <v/>
      </c>
      <c r="C70912" t="inlineStr">
        <is>
          <t>2094-01-08</t>
        </is>
      </c>
    </row>
    <row r="70913">
      <c r="A70913" s="1" t="n">
        <v>70912</v>
      </c>
      <c r="B70913">
        <f>TEXT(70912, "[$-0E0000]yyyy-mm-dd")</f>
        <v/>
      </c>
      <c r="C70913" t="inlineStr">
        <is>
          <t>2094-01-09</t>
        </is>
      </c>
    </row>
    <row r="70914">
      <c r="A70914" s="1" t="n">
        <v>70913</v>
      </c>
      <c r="B70914">
        <f>TEXT(70913, "[$-0E0000]yyyy-mm-dd")</f>
        <v/>
      </c>
      <c r="C70914" t="inlineStr">
        <is>
          <t>2094-01-10</t>
        </is>
      </c>
    </row>
    <row r="70915">
      <c r="A70915" s="1" t="n">
        <v>70914</v>
      </c>
      <c r="B70915">
        <f>TEXT(70914, "[$-0E0000]yyyy-mm-dd")</f>
        <v/>
      </c>
      <c r="C70915" t="inlineStr">
        <is>
          <t>2094-01-11</t>
        </is>
      </c>
    </row>
    <row r="70916">
      <c r="A70916" s="1" t="n">
        <v>70915</v>
      </c>
      <c r="B70916">
        <f>TEXT(70915, "[$-0E0000]yyyy-mm-dd")</f>
        <v/>
      </c>
      <c r="C70916" t="inlineStr">
        <is>
          <t>2094-01-12</t>
        </is>
      </c>
    </row>
    <row r="70917">
      <c r="A70917" s="1" t="n">
        <v>70916</v>
      </c>
      <c r="B70917">
        <f>TEXT(70916, "[$-0E0000]yyyy-mm-dd")</f>
        <v/>
      </c>
      <c r="C70917" t="inlineStr">
        <is>
          <t>2094-01-13</t>
        </is>
      </c>
    </row>
    <row r="70918">
      <c r="A70918" s="1" t="n">
        <v>70917</v>
      </c>
      <c r="B70918">
        <f>TEXT(70917, "[$-0E0000]yyyy-mm-dd")</f>
        <v/>
      </c>
      <c r="C70918" t="inlineStr">
        <is>
          <t>2094-01-14</t>
        </is>
      </c>
    </row>
    <row r="70919">
      <c r="A70919" s="1" t="n">
        <v>70918</v>
      </c>
      <c r="B70919">
        <f>TEXT(70918, "[$-0E0000]yyyy-mm-dd")</f>
        <v/>
      </c>
      <c r="C70919" t="inlineStr">
        <is>
          <t>2094-01-15</t>
        </is>
      </c>
    </row>
    <row r="70920">
      <c r="A70920" s="1" t="n">
        <v>70919</v>
      </c>
      <c r="B70920">
        <f>TEXT(70919, "[$-0E0000]yyyy-mm-dd")</f>
        <v/>
      </c>
      <c r="C70920" t="inlineStr">
        <is>
          <t>2094-01-16</t>
        </is>
      </c>
    </row>
    <row r="70921">
      <c r="A70921" s="1" t="n">
        <v>70920</v>
      </c>
      <c r="B70921">
        <f>TEXT(70920, "[$-0E0000]yyyy-mm-dd")</f>
        <v/>
      </c>
      <c r="C70921" t="inlineStr">
        <is>
          <t>2094-01-17</t>
        </is>
      </c>
    </row>
    <row r="70922">
      <c r="A70922" s="1" t="n">
        <v>70921</v>
      </c>
      <c r="B70922">
        <f>TEXT(70921, "[$-0E0000]yyyy-mm-dd")</f>
        <v/>
      </c>
      <c r="C70922" t="inlineStr">
        <is>
          <t>2094-01-18</t>
        </is>
      </c>
    </row>
    <row r="70923">
      <c r="A70923" s="1" t="n">
        <v>70922</v>
      </c>
      <c r="B70923">
        <f>TEXT(70922, "[$-0E0000]yyyy-mm-dd")</f>
        <v/>
      </c>
      <c r="C70923" t="inlineStr">
        <is>
          <t>2094-01-19</t>
        </is>
      </c>
    </row>
    <row r="70924">
      <c r="A70924" s="1" t="n">
        <v>70923</v>
      </c>
      <c r="B70924">
        <f>TEXT(70923, "[$-0E0000]yyyy-mm-dd")</f>
        <v/>
      </c>
      <c r="C70924" t="inlineStr">
        <is>
          <t>2094-01-20</t>
        </is>
      </c>
    </row>
    <row r="70925">
      <c r="A70925" s="1" t="n">
        <v>70924</v>
      </c>
      <c r="B70925">
        <f>TEXT(70924, "[$-0E0000]yyyy-mm-dd")</f>
        <v/>
      </c>
      <c r="C70925" t="inlineStr">
        <is>
          <t>2094-01-21</t>
        </is>
      </c>
    </row>
    <row r="70926">
      <c r="A70926" s="1" t="n">
        <v>70925</v>
      </c>
      <c r="B70926">
        <f>TEXT(70925, "[$-0E0000]yyyy-mm-dd")</f>
        <v/>
      </c>
      <c r="C70926" t="inlineStr">
        <is>
          <t>2094-01-22</t>
        </is>
      </c>
    </row>
    <row r="70927">
      <c r="A70927" s="1" t="n">
        <v>70926</v>
      </c>
      <c r="B70927">
        <f>TEXT(70926, "[$-0E0000]yyyy-mm-dd")</f>
        <v/>
      </c>
      <c r="C70927" t="inlineStr">
        <is>
          <t>2094-01-23</t>
        </is>
      </c>
    </row>
    <row r="70928">
      <c r="A70928" s="1" t="n">
        <v>70927</v>
      </c>
      <c r="B70928">
        <f>TEXT(70927, "[$-0E0000]yyyy-mm-dd")</f>
        <v/>
      </c>
      <c r="C70928" t="inlineStr">
        <is>
          <t>2094-01-24</t>
        </is>
      </c>
    </row>
    <row r="70929">
      <c r="A70929" s="1" t="n">
        <v>70928</v>
      </c>
      <c r="B70929">
        <f>TEXT(70928, "[$-0E0000]yyyy-mm-dd")</f>
        <v/>
      </c>
      <c r="C70929" t="inlineStr">
        <is>
          <t>2094-01-25</t>
        </is>
      </c>
    </row>
    <row r="70930">
      <c r="A70930" s="1" t="n">
        <v>70929</v>
      </c>
      <c r="B70930">
        <f>TEXT(70929, "[$-0E0000]yyyy-mm-dd")</f>
        <v/>
      </c>
      <c r="C70930" t="inlineStr">
        <is>
          <t>2094-01-26</t>
        </is>
      </c>
    </row>
    <row r="70931">
      <c r="A70931" s="1" t="n">
        <v>70930</v>
      </c>
      <c r="B70931">
        <f>TEXT(70930, "[$-0E0000]yyyy-mm-dd")</f>
        <v/>
      </c>
      <c r="C70931" t="inlineStr">
        <is>
          <t>2094-01-27</t>
        </is>
      </c>
    </row>
    <row r="70932">
      <c r="A70932" s="1" t="n">
        <v>70931</v>
      </c>
      <c r="B70932">
        <f>TEXT(70931, "[$-0E0000]yyyy-mm-dd")</f>
        <v/>
      </c>
      <c r="C70932" t="inlineStr">
        <is>
          <t>2094-01-28</t>
        </is>
      </c>
    </row>
    <row r="70933">
      <c r="A70933" s="1" t="n">
        <v>70932</v>
      </c>
      <c r="B70933">
        <f>TEXT(70932, "[$-0E0000]yyyy-mm-dd")</f>
        <v/>
      </c>
      <c r="C70933" t="inlineStr">
        <is>
          <t>2094-01-29</t>
        </is>
      </c>
    </row>
    <row r="70934">
      <c r="A70934" s="1" t="n">
        <v>70933</v>
      </c>
      <c r="B70934">
        <f>TEXT(70933, "[$-0E0000]yyyy-mm-dd")</f>
        <v/>
      </c>
      <c r="C70934" t="inlineStr">
        <is>
          <t>2094-02-01</t>
        </is>
      </c>
    </row>
    <row r="70935">
      <c r="A70935" s="1" t="n">
        <v>70934</v>
      </c>
      <c r="B70935">
        <f>TEXT(70934, "[$-0E0000]yyyy-mm-dd")</f>
        <v/>
      </c>
      <c r="C70935" t="inlineStr">
        <is>
          <t>2094-02-02</t>
        </is>
      </c>
    </row>
    <row r="70936">
      <c r="A70936" s="1" t="n">
        <v>70935</v>
      </c>
      <c r="B70936">
        <f>TEXT(70935, "[$-0E0000]yyyy-mm-dd")</f>
        <v/>
      </c>
      <c r="C70936" t="inlineStr">
        <is>
          <t>2094-02-03</t>
        </is>
      </c>
    </row>
    <row r="70937">
      <c r="A70937" s="1" t="n">
        <v>70936</v>
      </c>
      <c r="B70937">
        <f>TEXT(70936, "[$-0E0000]yyyy-mm-dd")</f>
        <v/>
      </c>
      <c r="C70937" t="inlineStr">
        <is>
          <t>2094-02-04</t>
        </is>
      </c>
    </row>
    <row r="70938">
      <c r="A70938" s="1" t="n">
        <v>70937</v>
      </c>
      <c r="B70938">
        <f>TEXT(70937, "[$-0E0000]yyyy-mm-dd")</f>
        <v/>
      </c>
      <c r="C70938" t="inlineStr">
        <is>
          <t>2094-02-05</t>
        </is>
      </c>
    </row>
    <row r="70939">
      <c r="A70939" s="1" t="n">
        <v>70938</v>
      </c>
      <c r="B70939">
        <f>TEXT(70938, "[$-0E0000]yyyy-mm-dd")</f>
        <v/>
      </c>
      <c r="C70939" t="inlineStr">
        <is>
          <t>2094-02-06</t>
        </is>
      </c>
    </row>
    <row r="70940">
      <c r="A70940" s="1" t="n">
        <v>70939</v>
      </c>
      <c r="B70940">
        <f>TEXT(70939, "[$-0E0000]yyyy-mm-dd")</f>
        <v/>
      </c>
      <c r="C70940" t="inlineStr">
        <is>
          <t>2094-02-07</t>
        </is>
      </c>
    </row>
    <row r="70941">
      <c r="A70941" s="1" t="n">
        <v>70940</v>
      </c>
      <c r="B70941">
        <f>TEXT(70940, "[$-0E0000]yyyy-mm-dd")</f>
        <v/>
      </c>
      <c r="C70941" t="inlineStr">
        <is>
          <t>2094-02-08</t>
        </is>
      </c>
    </row>
    <row r="70942">
      <c r="A70942" s="1" t="n">
        <v>70941</v>
      </c>
      <c r="B70942">
        <f>TEXT(70941, "[$-0E0000]yyyy-mm-dd")</f>
        <v/>
      </c>
      <c r="C70942" t="inlineStr">
        <is>
          <t>2094-02-09</t>
        </is>
      </c>
    </row>
    <row r="70943">
      <c r="A70943" s="1" t="n">
        <v>70942</v>
      </c>
      <c r="B70943">
        <f>TEXT(70942, "[$-0E0000]yyyy-mm-dd")</f>
        <v/>
      </c>
      <c r="C70943" t="inlineStr">
        <is>
          <t>2094-02-10</t>
        </is>
      </c>
    </row>
    <row r="70944">
      <c r="A70944" s="1" t="n">
        <v>70943</v>
      </c>
      <c r="B70944">
        <f>TEXT(70943, "[$-0E0000]yyyy-mm-dd")</f>
        <v/>
      </c>
      <c r="C70944" t="inlineStr">
        <is>
          <t>2094-02-11</t>
        </is>
      </c>
    </row>
    <row r="70945">
      <c r="A70945" s="1" t="n">
        <v>70944</v>
      </c>
      <c r="B70945">
        <f>TEXT(70944, "[$-0E0000]yyyy-mm-dd")</f>
        <v/>
      </c>
      <c r="C70945" t="inlineStr">
        <is>
          <t>2094-02-12</t>
        </is>
      </c>
    </row>
    <row r="70946">
      <c r="A70946" s="1" t="n">
        <v>70945</v>
      </c>
      <c r="B70946">
        <f>TEXT(70945, "[$-0E0000]yyyy-mm-dd")</f>
        <v/>
      </c>
      <c r="C70946" t="inlineStr">
        <is>
          <t>2094-02-13</t>
        </is>
      </c>
    </row>
    <row r="70947">
      <c r="A70947" s="1" t="n">
        <v>70946</v>
      </c>
      <c r="B70947">
        <f>TEXT(70946, "[$-0E0000]yyyy-mm-dd")</f>
        <v/>
      </c>
      <c r="C70947" t="inlineStr">
        <is>
          <t>2094-02-14</t>
        </is>
      </c>
    </row>
    <row r="70948">
      <c r="A70948" s="1" t="n">
        <v>70947</v>
      </c>
      <c r="B70948">
        <f>TEXT(70947, "[$-0E0000]yyyy-mm-dd")</f>
        <v/>
      </c>
      <c r="C70948" t="inlineStr">
        <is>
          <t>2094-02-15</t>
        </is>
      </c>
    </row>
    <row r="70949">
      <c r="A70949" s="1" t="n">
        <v>70948</v>
      </c>
      <c r="B70949">
        <f>TEXT(70948, "[$-0E0000]yyyy-mm-dd")</f>
        <v/>
      </c>
      <c r="C70949" t="inlineStr">
        <is>
          <t>2094-02-16</t>
        </is>
      </c>
    </row>
    <row r="70950">
      <c r="A70950" s="1" t="n">
        <v>70949</v>
      </c>
      <c r="B70950">
        <f>TEXT(70949, "[$-0E0000]yyyy-mm-dd")</f>
        <v/>
      </c>
      <c r="C70950" t="inlineStr">
        <is>
          <t>2094-02-17</t>
        </is>
      </c>
    </row>
    <row r="70951">
      <c r="A70951" s="1" t="n">
        <v>70950</v>
      </c>
      <c r="B70951">
        <f>TEXT(70950, "[$-0E0000]yyyy-mm-dd")</f>
        <v/>
      </c>
      <c r="C70951" t="inlineStr">
        <is>
          <t>2094-02-18</t>
        </is>
      </c>
    </row>
    <row r="70952">
      <c r="A70952" s="1" t="n">
        <v>70951</v>
      </c>
      <c r="B70952">
        <f>TEXT(70951, "[$-0E0000]yyyy-mm-dd")</f>
        <v/>
      </c>
      <c r="C70952" t="inlineStr">
        <is>
          <t>2094-02-19</t>
        </is>
      </c>
    </row>
    <row r="70953">
      <c r="A70953" s="1" t="n">
        <v>70952</v>
      </c>
      <c r="B70953">
        <f>TEXT(70952, "[$-0E0000]yyyy-mm-dd")</f>
        <v/>
      </c>
      <c r="C70953" t="inlineStr">
        <is>
          <t>2094-02-20</t>
        </is>
      </c>
    </row>
    <row r="70954">
      <c r="A70954" s="1" t="n">
        <v>70953</v>
      </c>
      <c r="B70954">
        <f>TEXT(70953, "[$-0E0000]yyyy-mm-dd")</f>
        <v/>
      </c>
      <c r="C70954" t="inlineStr">
        <is>
          <t>2094-02-21</t>
        </is>
      </c>
    </row>
    <row r="70955">
      <c r="A70955" s="1" t="n">
        <v>70954</v>
      </c>
      <c r="B70955">
        <f>TEXT(70954, "[$-0E0000]yyyy-mm-dd")</f>
        <v/>
      </c>
      <c r="C70955" t="inlineStr">
        <is>
          <t>2094-02-22</t>
        </is>
      </c>
    </row>
    <row r="70956">
      <c r="A70956" s="1" t="n">
        <v>70955</v>
      </c>
      <c r="B70956">
        <f>TEXT(70955, "[$-0E0000]yyyy-mm-dd")</f>
        <v/>
      </c>
      <c r="C70956" t="inlineStr">
        <is>
          <t>2094-02-23</t>
        </is>
      </c>
    </row>
    <row r="70957">
      <c r="A70957" s="1" t="n">
        <v>70956</v>
      </c>
      <c r="B70957">
        <f>TEXT(70956, "[$-0E0000]yyyy-mm-dd")</f>
        <v/>
      </c>
      <c r="C70957" t="inlineStr">
        <is>
          <t>2094-02-24</t>
        </is>
      </c>
    </row>
    <row r="70958">
      <c r="A70958" s="1" t="n">
        <v>70957</v>
      </c>
      <c r="B70958">
        <f>TEXT(70957, "[$-0E0000]yyyy-mm-dd")</f>
        <v/>
      </c>
      <c r="C70958" t="inlineStr">
        <is>
          <t>2094-02-25</t>
        </is>
      </c>
    </row>
    <row r="70959">
      <c r="A70959" s="1" t="n">
        <v>70958</v>
      </c>
      <c r="B70959">
        <f>TEXT(70958, "[$-0E0000]yyyy-mm-dd")</f>
        <v/>
      </c>
      <c r="C70959" t="inlineStr">
        <is>
          <t>2094-02-26</t>
        </is>
      </c>
    </row>
    <row r="70960">
      <c r="A70960" s="1" t="n">
        <v>70959</v>
      </c>
      <c r="B70960">
        <f>TEXT(70959, "[$-0E0000]yyyy-mm-dd")</f>
        <v/>
      </c>
      <c r="C70960" t="inlineStr">
        <is>
          <t>2094-02-27</t>
        </is>
      </c>
    </row>
    <row r="70961">
      <c r="A70961" s="1" t="n">
        <v>70960</v>
      </c>
      <c r="B70961">
        <f>TEXT(70960, "[$-0E0000]yyyy-mm-dd")</f>
        <v/>
      </c>
      <c r="C70961" t="inlineStr">
        <is>
          <t>2094-02-28</t>
        </is>
      </c>
    </row>
    <row r="70962">
      <c r="A70962" s="1" t="n">
        <v>70961</v>
      </c>
      <c r="B70962">
        <f>TEXT(70961, "[$-0E0000]yyyy-mm-dd")</f>
        <v/>
      </c>
      <c r="C70962" t="inlineStr">
        <is>
          <t>2094-02-29</t>
        </is>
      </c>
    </row>
    <row r="70963">
      <c r="A70963" s="1" t="n">
        <v>70962</v>
      </c>
      <c r="B70963">
        <f>TEXT(70962, "[$-0E0000]yyyy-mm-dd")</f>
        <v/>
      </c>
      <c r="C70963" t="inlineStr">
        <is>
          <t>2094-02-30</t>
        </is>
      </c>
    </row>
    <row r="70964">
      <c r="A70964" s="1" t="n">
        <v>70963</v>
      </c>
      <c r="B70964">
        <f>TEXT(70963, "[$-0E0000]yyyy-mm-dd")</f>
        <v/>
      </c>
      <c r="C70964" t="inlineStr">
        <is>
          <t>2094-03-01</t>
        </is>
      </c>
    </row>
    <row r="70965">
      <c r="A70965" s="1" t="n">
        <v>70964</v>
      </c>
      <c r="B70965">
        <f>TEXT(70964, "[$-0E0000]yyyy-mm-dd")</f>
        <v/>
      </c>
      <c r="C70965" t="inlineStr">
        <is>
          <t>2094-03-02</t>
        </is>
      </c>
    </row>
    <row r="70966">
      <c r="A70966" s="1" t="n">
        <v>70965</v>
      </c>
      <c r="B70966">
        <f>TEXT(70965, "[$-0E0000]yyyy-mm-dd")</f>
        <v/>
      </c>
      <c r="C70966" t="inlineStr">
        <is>
          <t>2094-03-03</t>
        </is>
      </c>
    </row>
    <row r="70967">
      <c r="A70967" s="1" t="n">
        <v>70966</v>
      </c>
      <c r="B70967">
        <f>TEXT(70966, "[$-0E0000]yyyy-mm-dd")</f>
        <v/>
      </c>
      <c r="C70967" t="inlineStr">
        <is>
          <t>2094-03-04</t>
        </is>
      </c>
    </row>
    <row r="70968">
      <c r="A70968" s="1" t="n">
        <v>70967</v>
      </c>
      <c r="B70968">
        <f>TEXT(70967, "[$-0E0000]yyyy-mm-dd")</f>
        <v/>
      </c>
      <c r="C70968" t="inlineStr">
        <is>
          <t>2094-03-05</t>
        </is>
      </c>
    </row>
    <row r="70969">
      <c r="A70969" s="1" t="n">
        <v>70968</v>
      </c>
      <c r="B70969">
        <f>TEXT(70968, "[$-0E0000]yyyy-mm-dd")</f>
        <v/>
      </c>
      <c r="C70969" t="inlineStr">
        <is>
          <t>2094-03-06</t>
        </is>
      </c>
    </row>
    <row r="70970">
      <c r="A70970" s="1" t="n">
        <v>70969</v>
      </c>
      <c r="B70970">
        <f>TEXT(70969, "[$-0E0000]yyyy-mm-dd")</f>
        <v/>
      </c>
      <c r="C70970" t="inlineStr">
        <is>
          <t>2094-03-07</t>
        </is>
      </c>
    </row>
    <row r="70971">
      <c r="A70971" s="1" t="n">
        <v>70970</v>
      </c>
      <c r="B70971">
        <f>TEXT(70970, "[$-0E0000]yyyy-mm-dd")</f>
        <v/>
      </c>
      <c r="C70971" t="inlineStr">
        <is>
          <t>2094-03-08</t>
        </is>
      </c>
    </row>
    <row r="70972">
      <c r="A70972" s="1" t="n">
        <v>70971</v>
      </c>
      <c r="B70972">
        <f>TEXT(70971, "[$-0E0000]yyyy-mm-dd")</f>
        <v/>
      </c>
      <c r="C70972" t="inlineStr">
        <is>
          <t>2094-03-09</t>
        </is>
      </c>
    </row>
    <row r="70973">
      <c r="A70973" s="1" t="n">
        <v>70972</v>
      </c>
      <c r="B70973">
        <f>TEXT(70972, "[$-0E0000]yyyy-mm-dd")</f>
        <v/>
      </c>
      <c r="C70973" t="inlineStr">
        <is>
          <t>2094-03-10</t>
        </is>
      </c>
    </row>
    <row r="70974">
      <c r="A70974" s="1" t="n">
        <v>70973</v>
      </c>
      <c r="B70974">
        <f>TEXT(70973, "[$-0E0000]yyyy-mm-dd")</f>
        <v/>
      </c>
      <c r="C70974" t="inlineStr">
        <is>
          <t>2094-03-11</t>
        </is>
      </c>
    </row>
    <row r="70975">
      <c r="A70975" s="1" t="n">
        <v>70974</v>
      </c>
      <c r="B70975">
        <f>TEXT(70974, "[$-0E0000]yyyy-mm-dd")</f>
        <v/>
      </c>
      <c r="C70975" t="inlineStr">
        <is>
          <t>2094-03-12</t>
        </is>
      </c>
    </row>
    <row r="70976">
      <c r="A70976" s="1" t="n">
        <v>70975</v>
      </c>
      <c r="B70976">
        <f>TEXT(70975, "[$-0E0000]yyyy-mm-dd")</f>
        <v/>
      </c>
      <c r="C70976" t="inlineStr">
        <is>
          <t>2094-03-13</t>
        </is>
      </c>
    </row>
    <row r="70977">
      <c r="A70977" s="1" t="n">
        <v>70976</v>
      </c>
      <c r="B70977">
        <f>TEXT(70976, "[$-0E0000]yyyy-mm-dd")</f>
        <v/>
      </c>
      <c r="C70977" t="inlineStr">
        <is>
          <t>2094-03-14</t>
        </is>
      </c>
    </row>
    <row r="70978">
      <c r="A70978" s="1" t="n">
        <v>70977</v>
      </c>
      <c r="B70978">
        <f>TEXT(70977, "[$-0E0000]yyyy-mm-dd")</f>
        <v/>
      </c>
      <c r="C70978" t="inlineStr">
        <is>
          <t>2094-03-15</t>
        </is>
      </c>
    </row>
    <row r="70979">
      <c r="A70979" s="1" t="n">
        <v>70978</v>
      </c>
      <c r="B70979">
        <f>TEXT(70978, "[$-0E0000]yyyy-mm-dd")</f>
        <v/>
      </c>
      <c r="C70979" t="inlineStr">
        <is>
          <t>2094-03-16</t>
        </is>
      </c>
    </row>
    <row r="70980">
      <c r="A70980" s="1" t="n">
        <v>70979</v>
      </c>
      <c r="B70980">
        <f>TEXT(70979, "[$-0E0000]yyyy-mm-dd")</f>
        <v/>
      </c>
      <c r="C70980" t="inlineStr">
        <is>
          <t>2094-03-17</t>
        </is>
      </c>
    </row>
    <row r="70981">
      <c r="A70981" s="1" t="n">
        <v>70980</v>
      </c>
      <c r="B70981">
        <f>TEXT(70980, "[$-0E0000]yyyy-mm-dd")</f>
        <v/>
      </c>
      <c r="C70981" t="inlineStr">
        <is>
          <t>2094-03-18</t>
        </is>
      </c>
    </row>
    <row r="70982">
      <c r="A70982" s="1" t="n">
        <v>70981</v>
      </c>
      <c r="B70982">
        <f>TEXT(70981, "[$-0E0000]yyyy-mm-dd")</f>
        <v/>
      </c>
      <c r="C70982" t="inlineStr">
        <is>
          <t>2094-03-19</t>
        </is>
      </c>
    </row>
    <row r="70983">
      <c r="A70983" s="1" t="n">
        <v>70982</v>
      </c>
      <c r="B70983">
        <f>TEXT(70982, "[$-0E0000]yyyy-mm-dd")</f>
        <v/>
      </c>
      <c r="C70983" t="inlineStr">
        <is>
          <t>2094-03-20</t>
        </is>
      </c>
    </row>
    <row r="70984">
      <c r="A70984" s="1" t="n">
        <v>70983</v>
      </c>
      <c r="B70984">
        <f>TEXT(70983, "[$-0E0000]yyyy-mm-dd")</f>
        <v/>
      </c>
      <c r="C70984" t="inlineStr">
        <is>
          <t>2094-03-21</t>
        </is>
      </c>
    </row>
    <row r="70985">
      <c r="A70985" s="1" t="n">
        <v>70984</v>
      </c>
      <c r="B70985">
        <f>TEXT(70984, "[$-0E0000]yyyy-mm-dd")</f>
        <v/>
      </c>
      <c r="C70985" t="inlineStr">
        <is>
          <t>2094-03-22</t>
        </is>
      </c>
    </row>
    <row r="70986">
      <c r="A70986" s="1" t="n">
        <v>70985</v>
      </c>
      <c r="B70986">
        <f>TEXT(70985, "[$-0E0000]yyyy-mm-dd")</f>
        <v/>
      </c>
      <c r="C70986" t="inlineStr">
        <is>
          <t>2094-03-23</t>
        </is>
      </c>
    </row>
    <row r="70987">
      <c r="A70987" s="1" t="n">
        <v>70986</v>
      </c>
      <c r="B70987">
        <f>TEXT(70986, "[$-0E0000]yyyy-mm-dd")</f>
        <v/>
      </c>
      <c r="C70987" t="inlineStr">
        <is>
          <t>2094-03-24</t>
        </is>
      </c>
    </row>
    <row r="70988">
      <c r="A70988" s="1" t="n">
        <v>70987</v>
      </c>
      <c r="B70988">
        <f>TEXT(70987, "[$-0E0000]yyyy-mm-dd")</f>
        <v/>
      </c>
      <c r="C70988" t="inlineStr">
        <is>
          <t>2094-03-25</t>
        </is>
      </c>
    </row>
    <row r="70989">
      <c r="A70989" s="1" t="n">
        <v>70988</v>
      </c>
      <c r="B70989">
        <f>TEXT(70988, "[$-0E0000]yyyy-mm-dd")</f>
        <v/>
      </c>
      <c r="C70989" t="inlineStr">
        <is>
          <t>2094-03-26</t>
        </is>
      </c>
    </row>
    <row r="70990">
      <c r="A70990" s="1" t="n">
        <v>70989</v>
      </c>
      <c r="B70990">
        <f>TEXT(70989, "[$-0E0000]yyyy-mm-dd")</f>
        <v/>
      </c>
      <c r="C70990" t="inlineStr">
        <is>
          <t>2094-03-27</t>
        </is>
      </c>
    </row>
    <row r="70991">
      <c r="A70991" s="1" t="n">
        <v>70990</v>
      </c>
      <c r="B70991">
        <f>TEXT(70990, "[$-0E0000]yyyy-mm-dd")</f>
        <v/>
      </c>
      <c r="C70991" t="inlineStr">
        <is>
          <t>2094-03-28</t>
        </is>
      </c>
    </row>
    <row r="70992">
      <c r="A70992" s="1" t="n">
        <v>70991</v>
      </c>
      <c r="B70992">
        <f>TEXT(70991, "[$-0E0000]yyyy-mm-dd")</f>
        <v/>
      </c>
      <c r="C70992" t="inlineStr">
        <is>
          <t>2094-03-29</t>
        </is>
      </c>
    </row>
    <row r="70993">
      <c r="A70993" s="1" t="n">
        <v>70992</v>
      </c>
      <c r="B70993">
        <f>TEXT(70992, "[$-0E0000]yyyy-mm-dd")</f>
        <v/>
      </c>
      <c r="C70993" t="inlineStr">
        <is>
          <t>2094-04-01</t>
        </is>
      </c>
    </row>
    <row r="70994">
      <c r="A70994" s="1" t="n">
        <v>70993</v>
      </c>
      <c r="B70994">
        <f>TEXT(70993, "[$-0E0000]yyyy-mm-dd")</f>
        <v/>
      </c>
      <c r="C70994" t="inlineStr">
        <is>
          <t>2094-04-02</t>
        </is>
      </c>
    </row>
    <row r="70995">
      <c r="A70995" s="1" t="n">
        <v>70994</v>
      </c>
      <c r="B70995">
        <f>TEXT(70994, "[$-0E0000]yyyy-mm-dd")</f>
        <v/>
      </c>
      <c r="C70995" t="inlineStr">
        <is>
          <t>2094-04-03</t>
        </is>
      </c>
    </row>
    <row r="70996">
      <c r="A70996" s="1" t="n">
        <v>70995</v>
      </c>
      <c r="B70996">
        <f>TEXT(70995, "[$-0E0000]yyyy-mm-dd")</f>
        <v/>
      </c>
      <c r="C70996" t="inlineStr">
        <is>
          <t>2094-04-04</t>
        </is>
      </c>
    </row>
    <row r="70997">
      <c r="A70997" s="1" t="n">
        <v>70996</v>
      </c>
      <c r="B70997">
        <f>TEXT(70996, "[$-0E0000]yyyy-mm-dd")</f>
        <v/>
      </c>
      <c r="C70997" t="inlineStr">
        <is>
          <t>2094-04-05</t>
        </is>
      </c>
    </row>
    <row r="70998">
      <c r="A70998" s="1" t="n">
        <v>70997</v>
      </c>
      <c r="B70998">
        <f>TEXT(70997, "[$-0E0000]yyyy-mm-dd")</f>
        <v/>
      </c>
      <c r="C70998" t="inlineStr">
        <is>
          <t>2094-04-06</t>
        </is>
      </c>
    </row>
    <row r="70999">
      <c r="A70999" s="1" t="n">
        <v>70998</v>
      </c>
      <c r="B70999">
        <f>TEXT(70998, "[$-0E0000]yyyy-mm-dd")</f>
        <v/>
      </c>
      <c r="C70999" t="inlineStr">
        <is>
          <t>2094-04-07</t>
        </is>
      </c>
    </row>
    <row r="71000">
      <c r="A71000" s="1" t="n">
        <v>70999</v>
      </c>
      <c r="B71000">
        <f>TEXT(70999, "[$-0E0000]yyyy-mm-dd")</f>
        <v/>
      </c>
      <c r="C71000" t="inlineStr">
        <is>
          <t>2094-04-08</t>
        </is>
      </c>
    </row>
    <row r="71001">
      <c r="A71001" s="1" t="n">
        <v>71000</v>
      </c>
      <c r="B71001">
        <f>TEXT(71000, "[$-0E0000]yyyy-mm-dd")</f>
        <v/>
      </c>
      <c r="C71001" t="inlineStr">
        <is>
          <t>2094-04-09</t>
        </is>
      </c>
    </row>
    <row r="71002">
      <c r="A71002" s="1" t="n">
        <v>71001</v>
      </c>
      <c r="B71002">
        <f>TEXT(71001, "[$-0E0000]yyyy-mm-dd")</f>
        <v/>
      </c>
      <c r="C71002" t="inlineStr">
        <is>
          <t>2094-04-10</t>
        </is>
      </c>
    </row>
    <row r="71003">
      <c r="A71003" s="1" t="n">
        <v>71002</v>
      </c>
      <c r="B71003">
        <f>TEXT(71002, "[$-0E0000]yyyy-mm-dd")</f>
        <v/>
      </c>
      <c r="C71003" t="inlineStr">
        <is>
          <t>2094-04-11</t>
        </is>
      </c>
    </row>
    <row r="71004">
      <c r="A71004" s="1" t="n">
        <v>71003</v>
      </c>
      <c r="B71004">
        <f>TEXT(71003, "[$-0E0000]yyyy-mm-dd")</f>
        <v/>
      </c>
      <c r="C71004" t="inlineStr">
        <is>
          <t>2094-04-12</t>
        </is>
      </c>
    </row>
    <row r="71005">
      <c r="A71005" s="1" t="n">
        <v>71004</v>
      </c>
      <c r="B71005">
        <f>TEXT(71004, "[$-0E0000]yyyy-mm-dd")</f>
        <v/>
      </c>
      <c r="C71005" t="inlineStr">
        <is>
          <t>2094-04-13</t>
        </is>
      </c>
    </row>
    <row r="71006">
      <c r="A71006" s="1" t="n">
        <v>71005</v>
      </c>
      <c r="B71006">
        <f>TEXT(71005, "[$-0E0000]yyyy-mm-dd")</f>
        <v/>
      </c>
      <c r="C71006" t="inlineStr">
        <is>
          <t>2094-04-14</t>
        </is>
      </c>
    </row>
    <row r="71007">
      <c r="A71007" s="1" t="n">
        <v>71006</v>
      </c>
      <c r="B71007">
        <f>TEXT(71006, "[$-0E0000]yyyy-mm-dd")</f>
        <v/>
      </c>
      <c r="C71007" t="inlineStr">
        <is>
          <t>2094-04-15</t>
        </is>
      </c>
    </row>
    <row r="71008">
      <c r="A71008" s="1" t="n">
        <v>71007</v>
      </c>
      <c r="B71008">
        <f>TEXT(71007, "[$-0E0000]yyyy-mm-dd")</f>
        <v/>
      </c>
      <c r="C71008" t="inlineStr">
        <is>
          <t>2094-04-16</t>
        </is>
      </c>
    </row>
    <row r="71009">
      <c r="A71009" s="1" t="n">
        <v>71008</v>
      </c>
      <c r="B71009">
        <f>TEXT(71008, "[$-0E0000]yyyy-mm-dd")</f>
        <v/>
      </c>
      <c r="C71009" t="inlineStr">
        <is>
          <t>2094-04-17</t>
        </is>
      </c>
    </row>
    <row r="71010">
      <c r="A71010" s="1" t="n">
        <v>71009</v>
      </c>
      <c r="B71010">
        <f>TEXT(71009, "[$-0E0000]yyyy-mm-dd")</f>
        <v/>
      </c>
      <c r="C71010" t="inlineStr">
        <is>
          <t>2094-04-18</t>
        </is>
      </c>
    </row>
    <row r="71011">
      <c r="A71011" s="1" t="n">
        <v>71010</v>
      </c>
      <c r="B71011">
        <f>TEXT(71010, "[$-0E0000]yyyy-mm-dd")</f>
        <v/>
      </c>
      <c r="C71011" t="inlineStr">
        <is>
          <t>2094-04-19</t>
        </is>
      </c>
    </row>
    <row r="71012">
      <c r="A71012" s="1" t="n">
        <v>71011</v>
      </c>
      <c r="B71012">
        <f>TEXT(71011, "[$-0E0000]yyyy-mm-dd")</f>
        <v/>
      </c>
      <c r="C71012" t="inlineStr">
        <is>
          <t>2094-04-20</t>
        </is>
      </c>
    </row>
    <row r="71013">
      <c r="A71013" s="1" t="n">
        <v>71012</v>
      </c>
      <c r="B71013">
        <f>TEXT(71012, "[$-0E0000]yyyy-mm-dd")</f>
        <v/>
      </c>
      <c r="C71013" t="inlineStr">
        <is>
          <t>2094-04-21</t>
        </is>
      </c>
    </row>
    <row r="71014">
      <c r="A71014" s="1" t="n">
        <v>71013</v>
      </c>
      <c r="B71014">
        <f>TEXT(71013, "[$-0E0000]yyyy-mm-dd")</f>
        <v/>
      </c>
      <c r="C71014" t="inlineStr">
        <is>
          <t>2094-04-22</t>
        </is>
      </c>
    </row>
    <row r="71015">
      <c r="A71015" s="1" t="n">
        <v>71014</v>
      </c>
      <c r="B71015">
        <f>TEXT(71014, "[$-0E0000]yyyy-mm-dd")</f>
        <v/>
      </c>
      <c r="C71015" t="inlineStr">
        <is>
          <t>2094-04-23</t>
        </is>
      </c>
    </row>
    <row r="71016">
      <c r="A71016" s="1" t="n">
        <v>71015</v>
      </c>
      <c r="B71016">
        <f>TEXT(71015, "[$-0E0000]yyyy-mm-dd")</f>
        <v/>
      </c>
      <c r="C71016" t="inlineStr">
        <is>
          <t>2094-04-24</t>
        </is>
      </c>
    </row>
    <row r="71017">
      <c r="A71017" s="1" t="n">
        <v>71016</v>
      </c>
      <c r="B71017">
        <f>TEXT(71016, "[$-0E0000]yyyy-mm-dd")</f>
        <v/>
      </c>
      <c r="C71017" t="inlineStr">
        <is>
          <t>2094-04-25</t>
        </is>
      </c>
    </row>
    <row r="71018">
      <c r="A71018" s="1" t="n">
        <v>71017</v>
      </c>
      <c r="B71018">
        <f>TEXT(71017, "[$-0E0000]yyyy-mm-dd")</f>
        <v/>
      </c>
      <c r="C71018" t="inlineStr">
        <is>
          <t>2094-04-26</t>
        </is>
      </c>
    </row>
    <row r="71019">
      <c r="A71019" s="1" t="n">
        <v>71018</v>
      </c>
      <c r="B71019">
        <f>TEXT(71018, "[$-0E0000]yyyy-mm-dd")</f>
        <v/>
      </c>
      <c r="C71019" t="inlineStr">
        <is>
          <t>2094-04-27</t>
        </is>
      </c>
    </row>
    <row r="71020">
      <c r="A71020" s="1" t="n">
        <v>71019</v>
      </c>
      <c r="B71020">
        <f>TEXT(71019, "[$-0E0000]yyyy-mm-dd")</f>
        <v/>
      </c>
      <c r="C71020" t="inlineStr">
        <is>
          <t>2094-04-28</t>
        </is>
      </c>
    </row>
    <row r="71021">
      <c r="A71021" s="1" t="n">
        <v>71020</v>
      </c>
      <c r="B71021">
        <f>TEXT(71020, "[$-0E0000]yyyy-mm-dd")</f>
        <v/>
      </c>
      <c r="C71021" t="inlineStr">
        <is>
          <t>2094-04-29</t>
        </is>
      </c>
    </row>
    <row r="71022">
      <c r="A71022" s="1" t="n">
        <v>71021</v>
      </c>
      <c r="B71022">
        <f>TEXT(71021, "[$-0E0000]yyyy-mm-dd")</f>
        <v/>
      </c>
      <c r="C71022" t="inlineStr">
        <is>
          <t>2094-04-30</t>
        </is>
      </c>
    </row>
    <row r="71023">
      <c r="A71023" s="1" t="n">
        <v>71022</v>
      </c>
      <c r="B71023">
        <f>TEXT(71022, "[$-0E0000]yyyy-mm-dd")</f>
        <v/>
      </c>
      <c r="C71023" t="inlineStr">
        <is>
          <t>2094-05-01</t>
        </is>
      </c>
    </row>
    <row r="71024">
      <c r="A71024" s="1" t="n">
        <v>71023</v>
      </c>
      <c r="B71024">
        <f>TEXT(71023, "[$-0E0000]yyyy-mm-dd")</f>
        <v/>
      </c>
      <c r="C71024" t="inlineStr">
        <is>
          <t>2094-05-02</t>
        </is>
      </c>
    </row>
    <row r="71025">
      <c r="A71025" s="1" t="n">
        <v>71024</v>
      </c>
      <c r="B71025">
        <f>TEXT(71024, "[$-0E0000]yyyy-mm-dd")</f>
        <v/>
      </c>
      <c r="C71025" t="inlineStr">
        <is>
          <t>2094-05-03</t>
        </is>
      </c>
    </row>
    <row r="71026">
      <c r="A71026" s="1" t="n">
        <v>71025</v>
      </c>
      <c r="B71026">
        <f>TEXT(71025, "[$-0E0000]yyyy-mm-dd")</f>
        <v/>
      </c>
      <c r="C71026" t="inlineStr">
        <is>
          <t>2094-05-04</t>
        </is>
      </c>
    </row>
    <row r="71027">
      <c r="A71027" s="1" t="n">
        <v>71026</v>
      </c>
      <c r="B71027">
        <f>TEXT(71026, "[$-0E0000]yyyy-mm-dd")</f>
        <v/>
      </c>
      <c r="C71027" t="inlineStr">
        <is>
          <t>2094-05-05</t>
        </is>
      </c>
    </row>
    <row r="71028">
      <c r="A71028" s="1" t="n">
        <v>71027</v>
      </c>
      <c r="B71028">
        <f>TEXT(71027, "[$-0E0000]yyyy-mm-dd")</f>
        <v/>
      </c>
      <c r="C71028" t="inlineStr">
        <is>
          <t>2094-05-06</t>
        </is>
      </c>
    </row>
    <row r="71029">
      <c r="A71029" s="1" t="n">
        <v>71028</v>
      </c>
      <c r="B71029">
        <f>TEXT(71028, "[$-0E0000]yyyy-mm-dd")</f>
        <v/>
      </c>
      <c r="C71029" t="inlineStr">
        <is>
          <t>2094-05-07</t>
        </is>
      </c>
    </row>
    <row r="71030">
      <c r="A71030" s="1" t="n">
        <v>71029</v>
      </c>
      <c r="B71030">
        <f>TEXT(71029, "[$-0E0000]yyyy-mm-dd")</f>
        <v/>
      </c>
      <c r="C71030" t="inlineStr">
        <is>
          <t>2094-05-08</t>
        </is>
      </c>
    </row>
    <row r="71031">
      <c r="A71031" s="1" t="n">
        <v>71030</v>
      </c>
      <c r="B71031">
        <f>TEXT(71030, "[$-0E0000]yyyy-mm-dd")</f>
        <v/>
      </c>
      <c r="C71031" t="inlineStr">
        <is>
          <t>2094-05-09</t>
        </is>
      </c>
    </row>
    <row r="71032">
      <c r="A71032" s="1" t="n">
        <v>71031</v>
      </c>
      <c r="B71032">
        <f>TEXT(71031, "[$-0E0000]yyyy-mm-dd")</f>
        <v/>
      </c>
      <c r="C71032" t="inlineStr">
        <is>
          <t>2094-05-10</t>
        </is>
      </c>
    </row>
    <row r="71033">
      <c r="A71033" s="1" t="n">
        <v>71032</v>
      </c>
      <c r="B71033">
        <f>TEXT(71032, "[$-0E0000]yyyy-mm-dd")</f>
        <v/>
      </c>
      <c r="C71033" t="inlineStr">
        <is>
          <t>2094-05-11</t>
        </is>
      </c>
    </row>
    <row r="71034">
      <c r="A71034" s="1" t="n">
        <v>71033</v>
      </c>
      <c r="B71034">
        <f>TEXT(71033, "[$-0E0000]yyyy-mm-dd")</f>
        <v/>
      </c>
      <c r="C71034" t="inlineStr">
        <is>
          <t>2094-05-12</t>
        </is>
      </c>
    </row>
    <row r="71035">
      <c r="A71035" s="1" t="n">
        <v>71034</v>
      </c>
      <c r="B71035">
        <f>TEXT(71034, "[$-0E0000]yyyy-mm-dd")</f>
        <v/>
      </c>
      <c r="C71035" t="inlineStr">
        <is>
          <t>2094-05-13</t>
        </is>
      </c>
    </row>
    <row r="71036">
      <c r="A71036" s="1" t="n">
        <v>71035</v>
      </c>
      <c r="B71036">
        <f>TEXT(71035, "[$-0E0000]yyyy-mm-dd")</f>
        <v/>
      </c>
      <c r="C71036" t="inlineStr">
        <is>
          <t>2094-05-14</t>
        </is>
      </c>
    </row>
    <row r="71037">
      <c r="A71037" s="1" t="n">
        <v>71036</v>
      </c>
      <c r="B71037">
        <f>TEXT(71036, "[$-0E0000]yyyy-mm-dd")</f>
        <v/>
      </c>
      <c r="C71037" t="inlineStr">
        <is>
          <t>2094-05-15</t>
        </is>
      </c>
    </row>
    <row r="71038">
      <c r="A71038" s="1" t="n">
        <v>71037</v>
      </c>
      <c r="B71038">
        <f>TEXT(71037, "[$-0E0000]yyyy-mm-dd")</f>
        <v/>
      </c>
      <c r="C71038" t="inlineStr">
        <is>
          <t>2094-05-16</t>
        </is>
      </c>
    </row>
    <row r="71039">
      <c r="A71039" s="1" t="n">
        <v>71038</v>
      </c>
      <c r="B71039">
        <f>TEXT(71038, "[$-0E0000]yyyy-mm-dd")</f>
        <v/>
      </c>
      <c r="C71039" t="inlineStr">
        <is>
          <t>2094-05-17</t>
        </is>
      </c>
    </row>
    <row r="71040">
      <c r="A71040" s="1" t="n">
        <v>71039</v>
      </c>
      <c r="B71040">
        <f>TEXT(71039, "[$-0E0000]yyyy-mm-dd")</f>
        <v/>
      </c>
      <c r="C71040" t="inlineStr">
        <is>
          <t>2094-05-18</t>
        </is>
      </c>
    </row>
    <row r="71041">
      <c r="A71041" s="1" t="n">
        <v>71040</v>
      </c>
      <c r="B71041">
        <f>TEXT(71040, "[$-0E0000]yyyy-mm-dd")</f>
        <v/>
      </c>
      <c r="C71041" t="inlineStr">
        <is>
          <t>2094-05-19</t>
        </is>
      </c>
    </row>
    <row r="71042">
      <c r="A71042" s="1" t="n">
        <v>71041</v>
      </c>
      <c r="B71042">
        <f>TEXT(71041, "[$-0E0000]yyyy-mm-dd")</f>
        <v/>
      </c>
      <c r="C71042" t="inlineStr">
        <is>
          <t>2094-05-20</t>
        </is>
      </c>
    </row>
    <row r="71043">
      <c r="A71043" s="1" t="n">
        <v>71042</v>
      </c>
      <c r="B71043">
        <f>TEXT(71042, "[$-0E0000]yyyy-mm-dd")</f>
        <v/>
      </c>
      <c r="C71043" t="inlineStr">
        <is>
          <t>2094-05-21</t>
        </is>
      </c>
    </row>
    <row r="71044">
      <c r="A71044" s="1" t="n">
        <v>71043</v>
      </c>
      <c r="B71044">
        <f>TEXT(71043, "[$-0E0000]yyyy-mm-dd")</f>
        <v/>
      </c>
      <c r="C71044" t="inlineStr">
        <is>
          <t>2094-05-22</t>
        </is>
      </c>
    </row>
    <row r="71045">
      <c r="A71045" s="1" t="n">
        <v>71044</v>
      </c>
      <c r="B71045">
        <f>TEXT(71044, "[$-0E0000]yyyy-mm-dd")</f>
        <v/>
      </c>
      <c r="C71045" t="inlineStr">
        <is>
          <t>2094-05-23</t>
        </is>
      </c>
    </row>
    <row r="71046">
      <c r="A71046" s="1" t="n">
        <v>71045</v>
      </c>
      <c r="B71046">
        <f>TEXT(71045, "[$-0E0000]yyyy-mm-dd")</f>
        <v/>
      </c>
      <c r="C71046" t="inlineStr">
        <is>
          <t>2094-05-24</t>
        </is>
      </c>
    </row>
    <row r="71047">
      <c r="A71047" s="1" t="n">
        <v>71046</v>
      </c>
      <c r="B71047">
        <f>TEXT(71046, "[$-0E0000]yyyy-mm-dd")</f>
        <v/>
      </c>
      <c r="C71047" t="inlineStr">
        <is>
          <t>2094-05-25</t>
        </is>
      </c>
    </row>
    <row r="71048">
      <c r="A71048" s="1" t="n">
        <v>71047</v>
      </c>
      <c r="B71048">
        <f>TEXT(71047, "[$-0E0000]yyyy-mm-dd")</f>
        <v/>
      </c>
      <c r="C71048" t="inlineStr">
        <is>
          <t>2094-05-26</t>
        </is>
      </c>
    </row>
    <row r="71049">
      <c r="A71049" s="1" t="n">
        <v>71048</v>
      </c>
      <c r="B71049">
        <f>TEXT(71048, "[$-0E0000]yyyy-mm-dd")</f>
        <v/>
      </c>
      <c r="C71049" t="inlineStr">
        <is>
          <t>2094-05-27</t>
        </is>
      </c>
    </row>
    <row r="71050">
      <c r="A71050" s="1" t="n">
        <v>71049</v>
      </c>
      <c r="B71050">
        <f>TEXT(71049, "[$-0E0000]yyyy-mm-dd")</f>
        <v/>
      </c>
      <c r="C71050" t="inlineStr">
        <is>
          <t>2094-05-28</t>
        </is>
      </c>
    </row>
    <row r="71051">
      <c r="A71051" s="1" t="n">
        <v>71050</v>
      </c>
      <c r="B71051">
        <f>TEXT(71050, "[$-0E0000]yyyy-mm-dd")</f>
        <v/>
      </c>
      <c r="C71051" t="inlineStr">
        <is>
          <t>2094-05-29</t>
        </is>
      </c>
    </row>
    <row r="71052">
      <c r="A71052" s="1" t="n">
        <v>71051</v>
      </c>
      <c r="B71052">
        <f>TEXT(71051, "[$-0E0000]yyyy-mm-dd")</f>
        <v/>
      </c>
      <c r="C71052" t="inlineStr">
        <is>
          <t>2094-06-01</t>
        </is>
      </c>
    </row>
    <row r="71053">
      <c r="A71053" s="1" t="n">
        <v>71052</v>
      </c>
      <c r="B71053">
        <f>TEXT(71052, "[$-0E0000]yyyy-mm-dd")</f>
        <v/>
      </c>
      <c r="C71053" t="inlineStr">
        <is>
          <t>2094-06-02</t>
        </is>
      </c>
    </row>
    <row r="71054">
      <c r="A71054" s="1" t="n">
        <v>71053</v>
      </c>
      <c r="B71054">
        <f>TEXT(71053, "[$-0E0000]yyyy-mm-dd")</f>
        <v/>
      </c>
      <c r="C71054" t="inlineStr">
        <is>
          <t>2094-06-03</t>
        </is>
      </c>
    </row>
    <row r="71055">
      <c r="A71055" s="1" t="n">
        <v>71054</v>
      </c>
      <c r="B71055">
        <f>TEXT(71054, "[$-0E0000]yyyy-mm-dd")</f>
        <v/>
      </c>
      <c r="C71055" t="inlineStr">
        <is>
          <t>2094-06-04</t>
        </is>
      </c>
    </row>
    <row r="71056">
      <c r="A71056" s="1" t="n">
        <v>71055</v>
      </c>
      <c r="B71056">
        <f>TEXT(71055, "[$-0E0000]yyyy-mm-dd")</f>
        <v/>
      </c>
      <c r="C71056" t="inlineStr">
        <is>
          <t>2094-06-05</t>
        </is>
      </c>
    </row>
    <row r="71057">
      <c r="A71057" s="1" t="n">
        <v>71056</v>
      </c>
      <c r="B71057">
        <f>TEXT(71056, "[$-0E0000]yyyy-mm-dd")</f>
        <v/>
      </c>
      <c r="C71057" t="inlineStr">
        <is>
          <t>2094-06-06</t>
        </is>
      </c>
    </row>
    <row r="71058">
      <c r="A71058" s="1" t="n">
        <v>71057</v>
      </c>
      <c r="B71058">
        <f>TEXT(71057, "[$-0E0000]yyyy-mm-dd")</f>
        <v/>
      </c>
      <c r="C71058" t="inlineStr">
        <is>
          <t>2094-06-07</t>
        </is>
      </c>
    </row>
    <row r="71059">
      <c r="A71059" s="1" t="n">
        <v>71058</v>
      </c>
      <c r="B71059">
        <f>TEXT(71058, "[$-0E0000]yyyy-mm-dd")</f>
        <v/>
      </c>
      <c r="C71059" t="inlineStr">
        <is>
          <t>2094-06-08</t>
        </is>
      </c>
    </row>
    <row r="71060">
      <c r="A71060" s="1" t="n">
        <v>71059</v>
      </c>
      <c r="B71060">
        <f>TEXT(71059, "[$-0E0000]yyyy-mm-dd")</f>
        <v/>
      </c>
      <c r="C71060" t="inlineStr">
        <is>
          <t>2094-06-09</t>
        </is>
      </c>
    </row>
    <row r="71061">
      <c r="A71061" s="1" t="n">
        <v>71060</v>
      </c>
      <c r="B71061">
        <f>TEXT(71060, "[$-0E0000]yyyy-mm-dd")</f>
        <v/>
      </c>
      <c r="C71061" t="inlineStr">
        <is>
          <t>2094-06-10</t>
        </is>
      </c>
    </row>
    <row r="71062">
      <c r="A71062" s="1" t="n">
        <v>71061</v>
      </c>
      <c r="B71062">
        <f>TEXT(71061, "[$-0E0000]yyyy-mm-dd")</f>
        <v/>
      </c>
      <c r="C71062" t="inlineStr">
        <is>
          <t>2094-06-11</t>
        </is>
      </c>
    </row>
    <row r="71063">
      <c r="A71063" s="1" t="n">
        <v>71062</v>
      </c>
      <c r="B71063">
        <f>TEXT(71062, "[$-0E0000]yyyy-mm-dd")</f>
        <v/>
      </c>
      <c r="C71063" t="inlineStr">
        <is>
          <t>2094-06-12</t>
        </is>
      </c>
    </row>
    <row r="71064">
      <c r="A71064" s="1" t="n">
        <v>71063</v>
      </c>
      <c r="B71064">
        <f>TEXT(71063, "[$-0E0000]yyyy-mm-dd")</f>
        <v/>
      </c>
      <c r="C71064" t="inlineStr">
        <is>
          <t>2094-06-13</t>
        </is>
      </c>
    </row>
    <row r="71065">
      <c r="A71065" s="1" t="n">
        <v>71064</v>
      </c>
      <c r="B71065">
        <f>TEXT(71064, "[$-0E0000]yyyy-mm-dd")</f>
        <v/>
      </c>
      <c r="C71065" t="inlineStr">
        <is>
          <t>2094-06-14</t>
        </is>
      </c>
    </row>
    <row r="71066">
      <c r="A71066" s="1" t="n">
        <v>71065</v>
      </c>
      <c r="B71066">
        <f>TEXT(71065, "[$-0E0000]yyyy-mm-dd")</f>
        <v/>
      </c>
      <c r="C71066" t="inlineStr">
        <is>
          <t>2094-06-15</t>
        </is>
      </c>
    </row>
    <row r="71067">
      <c r="A71067" s="1" t="n">
        <v>71066</v>
      </c>
      <c r="B71067">
        <f>TEXT(71066, "[$-0E0000]yyyy-mm-dd")</f>
        <v/>
      </c>
      <c r="C71067" t="inlineStr">
        <is>
          <t>2094-06-16</t>
        </is>
      </c>
    </row>
    <row r="71068">
      <c r="A71068" s="1" t="n">
        <v>71067</v>
      </c>
      <c r="B71068">
        <f>TEXT(71067, "[$-0E0000]yyyy-mm-dd")</f>
        <v/>
      </c>
      <c r="C71068" t="inlineStr">
        <is>
          <t>2094-06-17</t>
        </is>
      </c>
    </row>
    <row r="71069">
      <c r="A71069" s="1" t="n">
        <v>71068</v>
      </c>
      <c r="B71069">
        <f>TEXT(71068, "[$-0E0000]yyyy-mm-dd")</f>
        <v/>
      </c>
      <c r="C71069" t="inlineStr">
        <is>
          <t>2094-06-18</t>
        </is>
      </c>
    </row>
    <row r="71070">
      <c r="A71070" s="1" t="n">
        <v>71069</v>
      </c>
      <c r="B71070">
        <f>TEXT(71069, "[$-0E0000]yyyy-mm-dd")</f>
        <v/>
      </c>
      <c r="C71070" t="inlineStr">
        <is>
          <t>2094-06-19</t>
        </is>
      </c>
    </row>
    <row r="71071">
      <c r="A71071" s="1" t="n">
        <v>71070</v>
      </c>
      <c r="B71071">
        <f>TEXT(71070, "[$-0E0000]yyyy-mm-dd")</f>
        <v/>
      </c>
      <c r="C71071" t="inlineStr">
        <is>
          <t>2094-06-20</t>
        </is>
      </c>
    </row>
    <row r="71072">
      <c r="A71072" s="1" t="n">
        <v>71071</v>
      </c>
      <c r="B71072">
        <f>TEXT(71071, "[$-0E0000]yyyy-mm-dd")</f>
        <v/>
      </c>
      <c r="C71072" t="inlineStr">
        <is>
          <t>2094-06-21</t>
        </is>
      </c>
    </row>
    <row r="71073">
      <c r="A71073" s="1" t="n">
        <v>71072</v>
      </c>
      <c r="B71073">
        <f>TEXT(71072, "[$-0E0000]yyyy-mm-dd")</f>
        <v/>
      </c>
      <c r="C71073" t="inlineStr">
        <is>
          <t>2094-06-22</t>
        </is>
      </c>
    </row>
    <row r="71074">
      <c r="A71074" s="1" t="n">
        <v>71073</v>
      </c>
      <c r="B71074">
        <f>TEXT(71073, "[$-0E0000]yyyy-mm-dd")</f>
        <v/>
      </c>
      <c r="C71074" t="inlineStr">
        <is>
          <t>2094-06-23</t>
        </is>
      </c>
    </row>
    <row r="71075">
      <c r="A71075" s="1" t="n">
        <v>71074</v>
      </c>
      <c r="B71075">
        <f>TEXT(71074, "[$-0E0000]yyyy-mm-dd")</f>
        <v/>
      </c>
      <c r="C71075" t="inlineStr">
        <is>
          <t>2094-06-24</t>
        </is>
      </c>
    </row>
    <row r="71076">
      <c r="A71076" s="1" t="n">
        <v>71075</v>
      </c>
      <c r="B71076">
        <f>TEXT(71075, "[$-0E0000]yyyy-mm-dd")</f>
        <v/>
      </c>
      <c r="C71076" t="inlineStr">
        <is>
          <t>2094-06-25</t>
        </is>
      </c>
    </row>
    <row r="71077">
      <c r="A71077" s="1" t="n">
        <v>71076</v>
      </c>
      <c r="B71077">
        <f>TEXT(71076, "[$-0E0000]yyyy-mm-dd")</f>
        <v/>
      </c>
      <c r="C71077" t="inlineStr">
        <is>
          <t>2094-06-26</t>
        </is>
      </c>
    </row>
    <row r="71078">
      <c r="A71078" s="1" t="n">
        <v>71077</v>
      </c>
      <c r="B71078">
        <f>TEXT(71077, "[$-0E0000]yyyy-mm-dd")</f>
        <v/>
      </c>
      <c r="C71078" t="inlineStr">
        <is>
          <t>2094-06-27</t>
        </is>
      </c>
    </row>
    <row r="71079">
      <c r="A71079" s="1" t="n">
        <v>71078</v>
      </c>
      <c r="B71079">
        <f>TEXT(71078, "[$-0E0000]yyyy-mm-dd")</f>
        <v/>
      </c>
      <c r="C71079" t="inlineStr">
        <is>
          <t>2094-06-28</t>
        </is>
      </c>
    </row>
    <row r="71080">
      <c r="A71080" s="1" t="n">
        <v>71079</v>
      </c>
      <c r="B71080">
        <f>TEXT(71079, "[$-0E0000]yyyy-mm-dd")</f>
        <v/>
      </c>
      <c r="C71080" t="inlineStr">
        <is>
          <t>2094-06-29</t>
        </is>
      </c>
    </row>
    <row r="71081">
      <c r="A71081" s="1" t="n">
        <v>71080</v>
      </c>
      <c r="B71081">
        <f>TEXT(71080, "[$-0E0000]yyyy-mm-dd")</f>
        <v/>
      </c>
      <c r="C71081" t="inlineStr">
        <is>
          <t>2094-06-30</t>
        </is>
      </c>
    </row>
    <row r="71082">
      <c r="A71082" s="1" t="n">
        <v>71081</v>
      </c>
      <c r="B71082">
        <f>TEXT(71081, "[$-0E0000]yyyy-mm-dd")</f>
        <v/>
      </c>
      <c r="C71082" t="inlineStr">
        <is>
          <t>2094-07-01</t>
        </is>
      </c>
    </row>
    <row r="71083">
      <c r="A71083" s="1" t="n">
        <v>71082</v>
      </c>
      <c r="B71083">
        <f>TEXT(71082, "[$-0E0000]yyyy-mm-dd")</f>
        <v/>
      </c>
      <c r="C71083" t="inlineStr">
        <is>
          <t>2094-07-02</t>
        </is>
      </c>
    </row>
    <row r="71084">
      <c r="A71084" s="1" t="n">
        <v>71083</v>
      </c>
      <c r="B71084">
        <f>TEXT(71083, "[$-0E0000]yyyy-mm-dd")</f>
        <v/>
      </c>
      <c r="C71084" t="inlineStr">
        <is>
          <t>2094-07-03</t>
        </is>
      </c>
    </row>
    <row r="71085">
      <c r="A71085" s="1" t="n">
        <v>71084</v>
      </c>
      <c r="B71085">
        <f>TEXT(71084, "[$-0E0000]yyyy-mm-dd")</f>
        <v/>
      </c>
      <c r="C71085" t="inlineStr">
        <is>
          <t>2094-07-04</t>
        </is>
      </c>
    </row>
    <row r="71086">
      <c r="A71086" s="1" t="n">
        <v>71085</v>
      </c>
      <c r="B71086">
        <f>TEXT(71085, "[$-0E0000]yyyy-mm-dd")</f>
        <v/>
      </c>
      <c r="C71086" t="inlineStr">
        <is>
          <t>2094-07-05</t>
        </is>
      </c>
    </row>
    <row r="71087">
      <c r="A71087" s="1" t="n">
        <v>71086</v>
      </c>
      <c r="B71087">
        <f>TEXT(71086, "[$-0E0000]yyyy-mm-dd")</f>
        <v/>
      </c>
      <c r="C71087" t="inlineStr">
        <is>
          <t>2094-07-06</t>
        </is>
      </c>
    </row>
    <row r="71088">
      <c r="A71088" s="1" t="n">
        <v>71087</v>
      </c>
      <c r="B71088">
        <f>TEXT(71087, "[$-0E0000]yyyy-mm-dd")</f>
        <v/>
      </c>
      <c r="C71088" t="inlineStr">
        <is>
          <t>2094-07-07</t>
        </is>
      </c>
    </row>
    <row r="71089">
      <c r="A71089" s="1" t="n">
        <v>71088</v>
      </c>
      <c r="B71089">
        <f>TEXT(71088, "[$-0E0000]yyyy-mm-dd")</f>
        <v/>
      </c>
      <c r="C71089" t="inlineStr">
        <is>
          <t>2094-07-08</t>
        </is>
      </c>
    </row>
    <row r="71090">
      <c r="A71090" s="1" t="n">
        <v>71089</v>
      </c>
      <c r="B71090">
        <f>TEXT(71089, "[$-0E0000]yyyy-mm-dd")</f>
        <v/>
      </c>
      <c r="C71090" t="inlineStr">
        <is>
          <t>2094-07-09</t>
        </is>
      </c>
    </row>
    <row r="71091">
      <c r="A71091" s="1" t="n">
        <v>71090</v>
      </c>
      <c r="B71091">
        <f>TEXT(71090, "[$-0E0000]yyyy-mm-dd")</f>
        <v/>
      </c>
      <c r="C71091" t="inlineStr">
        <is>
          <t>2094-07-10</t>
        </is>
      </c>
    </row>
    <row r="71092">
      <c r="A71092" s="1" t="n">
        <v>71091</v>
      </c>
      <c r="B71092">
        <f>TEXT(71091, "[$-0E0000]yyyy-mm-dd")</f>
        <v/>
      </c>
      <c r="C71092" t="inlineStr">
        <is>
          <t>2094-07-11</t>
        </is>
      </c>
    </row>
    <row r="71093">
      <c r="A71093" s="1" t="n">
        <v>71092</v>
      </c>
      <c r="B71093">
        <f>TEXT(71092, "[$-0E0000]yyyy-mm-dd")</f>
        <v/>
      </c>
      <c r="C71093" t="inlineStr">
        <is>
          <t>2094-07-12</t>
        </is>
      </c>
    </row>
    <row r="71094">
      <c r="A71094" s="1" t="n">
        <v>71093</v>
      </c>
      <c r="B71094">
        <f>TEXT(71093, "[$-0E0000]yyyy-mm-dd")</f>
        <v/>
      </c>
      <c r="C71094" t="inlineStr">
        <is>
          <t>2094-07-13</t>
        </is>
      </c>
    </row>
    <row r="71095">
      <c r="A71095" s="1" t="n">
        <v>71094</v>
      </c>
      <c r="B71095">
        <f>TEXT(71094, "[$-0E0000]yyyy-mm-dd")</f>
        <v/>
      </c>
      <c r="C71095" t="inlineStr">
        <is>
          <t>2094-07-14</t>
        </is>
      </c>
    </row>
    <row r="71096">
      <c r="A71096" s="1" t="n">
        <v>71095</v>
      </c>
      <c r="B71096">
        <f>TEXT(71095, "[$-0E0000]yyyy-mm-dd")</f>
        <v/>
      </c>
      <c r="C71096" t="inlineStr">
        <is>
          <t>2094-07-15</t>
        </is>
      </c>
    </row>
    <row r="71097">
      <c r="A71097" s="1" t="n">
        <v>71096</v>
      </c>
      <c r="B71097">
        <f>TEXT(71096, "[$-0E0000]yyyy-mm-dd")</f>
        <v/>
      </c>
      <c r="C71097" t="inlineStr">
        <is>
          <t>2094-07-16</t>
        </is>
      </c>
    </row>
    <row r="71098">
      <c r="A71098" s="1" t="n">
        <v>71097</v>
      </c>
      <c r="B71098">
        <f>TEXT(71097, "[$-0E0000]yyyy-mm-dd")</f>
        <v/>
      </c>
      <c r="C71098" t="inlineStr">
        <is>
          <t>2094-07-17</t>
        </is>
      </c>
    </row>
    <row r="71099">
      <c r="A71099" s="1" t="n">
        <v>71098</v>
      </c>
      <c r="B71099">
        <f>TEXT(71098, "[$-0E0000]yyyy-mm-dd")</f>
        <v/>
      </c>
      <c r="C71099" t="inlineStr">
        <is>
          <t>2094-07-18</t>
        </is>
      </c>
    </row>
    <row r="71100">
      <c r="A71100" s="1" t="n">
        <v>71099</v>
      </c>
      <c r="B71100">
        <f>TEXT(71099, "[$-0E0000]yyyy-mm-dd")</f>
        <v/>
      </c>
      <c r="C71100" t="inlineStr">
        <is>
          <t>2094-07-19</t>
        </is>
      </c>
    </row>
    <row r="71101">
      <c r="A71101" s="1" t="n">
        <v>71100</v>
      </c>
      <c r="B71101">
        <f>TEXT(71100, "[$-0E0000]yyyy-mm-dd")</f>
        <v/>
      </c>
      <c r="C71101" t="inlineStr">
        <is>
          <t>2094-07-20</t>
        </is>
      </c>
    </row>
    <row r="71102">
      <c r="A71102" s="1" t="n">
        <v>71101</v>
      </c>
      <c r="B71102">
        <f>TEXT(71101, "[$-0E0000]yyyy-mm-dd")</f>
        <v/>
      </c>
      <c r="C71102" t="inlineStr">
        <is>
          <t>2094-07-21</t>
        </is>
      </c>
    </row>
    <row r="71103">
      <c r="A71103" s="1" t="n">
        <v>71102</v>
      </c>
      <c r="B71103">
        <f>TEXT(71102, "[$-0E0000]yyyy-mm-dd")</f>
        <v/>
      </c>
      <c r="C71103" t="inlineStr">
        <is>
          <t>2094-07-22</t>
        </is>
      </c>
    </row>
    <row r="71104">
      <c r="A71104" s="1" t="n">
        <v>71103</v>
      </c>
      <c r="B71104">
        <f>TEXT(71103, "[$-0E0000]yyyy-mm-dd")</f>
        <v/>
      </c>
      <c r="C71104" t="inlineStr">
        <is>
          <t>2094-07-23</t>
        </is>
      </c>
    </row>
    <row r="71105">
      <c r="A71105" s="1" t="n">
        <v>71104</v>
      </c>
      <c r="B71105">
        <f>TEXT(71104, "[$-0E0000]yyyy-mm-dd")</f>
        <v/>
      </c>
      <c r="C71105" t="inlineStr">
        <is>
          <t>2094-07-24</t>
        </is>
      </c>
    </row>
    <row r="71106">
      <c r="A71106" s="1" t="n">
        <v>71105</v>
      </c>
      <c r="B71106">
        <f>TEXT(71105, "[$-0E0000]yyyy-mm-dd")</f>
        <v/>
      </c>
      <c r="C71106" t="inlineStr">
        <is>
          <t>2094-07-25</t>
        </is>
      </c>
    </row>
    <row r="71107">
      <c r="A71107" s="1" t="n">
        <v>71106</v>
      </c>
      <c r="B71107">
        <f>TEXT(71106, "[$-0E0000]yyyy-mm-dd")</f>
        <v/>
      </c>
      <c r="C71107" t="inlineStr">
        <is>
          <t>2094-07-26</t>
        </is>
      </c>
    </row>
    <row r="71108">
      <c r="A71108" s="1" t="n">
        <v>71107</v>
      </c>
      <c r="B71108">
        <f>TEXT(71107, "[$-0E0000]yyyy-mm-dd")</f>
        <v/>
      </c>
      <c r="C71108" t="inlineStr">
        <is>
          <t>2094-07-27</t>
        </is>
      </c>
    </row>
    <row r="71109">
      <c r="A71109" s="1" t="n">
        <v>71108</v>
      </c>
      <c r="B71109">
        <f>TEXT(71108, "[$-0E0000]yyyy-mm-dd")</f>
        <v/>
      </c>
      <c r="C71109" t="inlineStr">
        <is>
          <t>2094-07-28</t>
        </is>
      </c>
    </row>
    <row r="71110">
      <c r="A71110" s="1" t="n">
        <v>71109</v>
      </c>
      <c r="B71110">
        <f>TEXT(71109, "[$-0E0000]yyyy-mm-dd")</f>
        <v/>
      </c>
      <c r="C71110" t="inlineStr">
        <is>
          <t>2094-07-29</t>
        </is>
      </c>
    </row>
    <row r="71111">
      <c r="A71111" s="1" t="n">
        <v>71110</v>
      </c>
      <c r="B71111">
        <f>TEXT(71110, "[$-0E0000]yyyy-mm-dd")</f>
        <v/>
      </c>
      <c r="C71111" t="inlineStr">
        <is>
          <t>2094-07-30</t>
        </is>
      </c>
    </row>
    <row r="71112">
      <c r="A71112" s="1" t="n">
        <v>71111</v>
      </c>
      <c r="B71112">
        <f>TEXT(71111, "[$-0E0000]yyyy-mm-dd")</f>
        <v/>
      </c>
      <c r="C71112" t="inlineStr">
        <is>
          <t>2094-08-01</t>
        </is>
      </c>
    </row>
    <row r="71113">
      <c r="A71113" s="1" t="n">
        <v>71112</v>
      </c>
      <c r="B71113">
        <f>TEXT(71112, "[$-0E0000]yyyy-mm-dd")</f>
        <v/>
      </c>
      <c r="C71113" t="inlineStr">
        <is>
          <t>2094-08-02</t>
        </is>
      </c>
    </row>
    <row r="71114">
      <c r="A71114" s="1" t="n">
        <v>71113</v>
      </c>
      <c r="B71114">
        <f>TEXT(71113, "[$-0E0000]yyyy-mm-dd")</f>
        <v/>
      </c>
      <c r="C71114" t="inlineStr">
        <is>
          <t>2094-08-03</t>
        </is>
      </c>
    </row>
    <row r="71115">
      <c r="A71115" s="1" t="n">
        <v>71114</v>
      </c>
      <c r="B71115">
        <f>TEXT(71114, "[$-0E0000]yyyy-mm-dd")</f>
        <v/>
      </c>
      <c r="C71115" t="inlineStr">
        <is>
          <t>2094-08-04</t>
        </is>
      </c>
    </row>
    <row r="71116">
      <c r="A71116" s="1" t="n">
        <v>71115</v>
      </c>
      <c r="B71116">
        <f>TEXT(71115, "[$-0E0000]yyyy-mm-dd")</f>
        <v/>
      </c>
      <c r="C71116" t="inlineStr">
        <is>
          <t>2094-08-05</t>
        </is>
      </c>
    </row>
    <row r="71117">
      <c r="A71117" s="1" t="n">
        <v>71116</v>
      </c>
      <c r="B71117">
        <f>TEXT(71116, "[$-0E0000]yyyy-mm-dd")</f>
        <v/>
      </c>
      <c r="C71117" t="inlineStr">
        <is>
          <t>2094-08-06</t>
        </is>
      </c>
    </row>
    <row r="71118">
      <c r="A71118" s="1" t="n">
        <v>71117</v>
      </c>
      <c r="B71118">
        <f>TEXT(71117, "[$-0E0000]yyyy-mm-dd")</f>
        <v/>
      </c>
      <c r="C71118" t="inlineStr">
        <is>
          <t>2094-08-07</t>
        </is>
      </c>
    </row>
    <row r="71119">
      <c r="A71119" s="1" t="n">
        <v>71118</v>
      </c>
      <c r="B71119">
        <f>TEXT(71118, "[$-0E0000]yyyy-mm-dd")</f>
        <v/>
      </c>
      <c r="C71119" t="inlineStr">
        <is>
          <t>2094-08-08</t>
        </is>
      </c>
    </row>
    <row r="71120">
      <c r="A71120" s="1" t="n">
        <v>71119</v>
      </c>
      <c r="B71120">
        <f>TEXT(71119, "[$-0E0000]yyyy-mm-dd")</f>
        <v/>
      </c>
      <c r="C71120" t="inlineStr">
        <is>
          <t>2094-08-09</t>
        </is>
      </c>
    </row>
    <row r="71121">
      <c r="A71121" s="1" t="n">
        <v>71120</v>
      </c>
      <c r="B71121">
        <f>TEXT(71120, "[$-0E0000]yyyy-mm-dd")</f>
        <v/>
      </c>
      <c r="C71121" t="inlineStr">
        <is>
          <t>2094-08-10</t>
        </is>
      </c>
    </row>
    <row r="71122">
      <c r="A71122" s="1" t="n">
        <v>71121</v>
      </c>
      <c r="B71122">
        <f>TEXT(71121, "[$-0E0000]yyyy-mm-dd")</f>
        <v/>
      </c>
      <c r="C71122" t="inlineStr">
        <is>
          <t>2094-08-11</t>
        </is>
      </c>
    </row>
    <row r="71123">
      <c r="A71123" s="1" t="n">
        <v>71122</v>
      </c>
      <c r="B71123">
        <f>TEXT(71122, "[$-0E0000]yyyy-mm-dd")</f>
        <v/>
      </c>
      <c r="C71123" t="inlineStr">
        <is>
          <t>2094-08-12</t>
        </is>
      </c>
    </row>
    <row r="71124">
      <c r="A71124" s="1" t="n">
        <v>71123</v>
      </c>
      <c r="B71124">
        <f>TEXT(71123, "[$-0E0000]yyyy-mm-dd")</f>
        <v/>
      </c>
      <c r="C71124" t="inlineStr">
        <is>
          <t>2094-08-13</t>
        </is>
      </c>
    </row>
    <row r="71125">
      <c r="A71125" s="1" t="n">
        <v>71124</v>
      </c>
      <c r="B71125">
        <f>TEXT(71124, "[$-0E0000]yyyy-mm-dd")</f>
        <v/>
      </c>
      <c r="C71125" t="inlineStr">
        <is>
          <t>2094-08-14</t>
        </is>
      </c>
    </row>
    <row r="71126">
      <c r="A71126" s="1" t="n">
        <v>71125</v>
      </c>
      <c r="B71126">
        <f>TEXT(71125, "[$-0E0000]yyyy-mm-dd")</f>
        <v/>
      </c>
      <c r="C71126" t="inlineStr">
        <is>
          <t>2094-08-15</t>
        </is>
      </c>
    </row>
    <row r="71127">
      <c r="A71127" s="1" t="n">
        <v>71126</v>
      </c>
      <c r="B71127">
        <f>TEXT(71126, "[$-0E0000]yyyy-mm-dd")</f>
        <v/>
      </c>
      <c r="C71127" t="inlineStr">
        <is>
          <t>2094-08-16</t>
        </is>
      </c>
    </row>
    <row r="71128">
      <c r="A71128" s="1" t="n">
        <v>71127</v>
      </c>
      <c r="B71128">
        <f>TEXT(71127, "[$-0E0000]yyyy-mm-dd")</f>
        <v/>
      </c>
      <c r="C71128" t="inlineStr">
        <is>
          <t>2094-08-17</t>
        </is>
      </c>
    </row>
    <row r="71129">
      <c r="A71129" s="1" t="n">
        <v>71128</v>
      </c>
      <c r="B71129">
        <f>TEXT(71128, "[$-0E0000]yyyy-mm-dd")</f>
        <v/>
      </c>
      <c r="C71129" t="inlineStr">
        <is>
          <t>2094-08-18</t>
        </is>
      </c>
    </row>
    <row r="71130">
      <c r="A71130" s="1" t="n">
        <v>71129</v>
      </c>
      <c r="B71130">
        <f>TEXT(71129, "[$-0E0000]yyyy-mm-dd")</f>
        <v/>
      </c>
      <c r="C71130" t="inlineStr">
        <is>
          <t>2094-08-19</t>
        </is>
      </c>
    </row>
    <row r="71131">
      <c r="A71131" s="1" t="n">
        <v>71130</v>
      </c>
      <c r="B71131">
        <f>TEXT(71130, "[$-0E0000]yyyy-mm-dd")</f>
        <v/>
      </c>
      <c r="C71131" t="inlineStr">
        <is>
          <t>2094-08-20</t>
        </is>
      </c>
    </row>
    <row r="71132">
      <c r="A71132" s="1" t="n">
        <v>71131</v>
      </c>
      <c r="B71132">
        <f>TEXT(71131, "[$-0E0000]yyyy-mm-dd")</f>
        <v/>
      </c>
      <c r="C71132" t="inlineStr">
        <is>
          <t>2094-08-21</t>
        </is>
      </c>
    </row>
    <row r="71133">
      <c r="A71133" s="1" t="n">
        <v>71132</v>
      </c>
      <c r="B71133">
        <f>TEXT(71132, "[$-0E0000]yyyy-mm-dd")</f>
        <v/>
      </c>
      <c r="C71133" t="inlineStr">
        <is>
          <t>2094-08-22</t>
        </is>
      </c>
    </row>
    <row r="71134">
      <c r="A71134" s="1" t="n">
        <v>71133</v>
      </c>
      <c r="B71134">
        <f>TEXT(71133, "[$-0E0000]yyyy-mm-dd")</f>
        <v/>
      </c>
      <c r="C71134" t="inlineStr">
        <is>
          <t>2094-08-23</t>
        </is>
      </c>
    </row>
    <row r="71135">
      <c r="A71135" s="1" t="n">
        <v>71134</v>
      </c>
      <c r="B71135">
        <f>TEXT(71134, "[$-0E0000]yyyy-mm-dd")</f>
        <v/>
      </c>
      <c r="C71135" t="inlineStr">
        <is>
          <t>2094-08-24</t>
        </is>
      </c>
    </row>
    <row r="71136">
      <c r="A71136" s="1" t="n">
        <v>71135</v>
      </c>
      <c r="B71136">
        <f>TEXT(71135, "[$-0E0000]yyyy-mm-dd")</f>
        <v/>
      </c>
      <c r="C71136" t="inlineStr">
        <is>
          <t>2094-08-25</t>
        </is>
      </c>
    </row>
    <row r="71137">
      <c r="A71137" s="1" t="n">
        <v>71136</v>
      </c>
      <c r="B71137">
        <f>TEXT(71136, "[$-0E0000]yyyy-mm-dd")</f>
        <v/>
      </c>
      <c r="C71137" t="inlineStr">
        <is>
          <t>2094-08-26</t>
        </is>
      </c>
    </row>
    <row r="71138">
      <c r="A71138" s="1" t="n">
        <v>71137</v>
      </c>
      <c r="B71138">
        <f>TEXT(71137, "[$-0E0000]yyyy-mm-dd")</f>
        <v/>
      </c>
      <c r="C71138" t="inlineStr">
        <is>
          <t>2094-08-27</t>
        </is>
      </c>
    </row>
    <row r="71139">
      <c r="A71139" s="1" t="n">
        <v>71138</v>
      </c>
      <c r="B71139">
        <f>TEXT(71138, "[$-0E0000]yyyy-mm-dd")</f>
        <v/>
      </c>
      <c r="C71139" t="inlineStr">
        <is>
          <t>2094-08-28</t>
        </is>
      </c>
    </row>
    <row r="71140">
      <c r="A71140" s="1" t="n">
        <v>71139</v>
      </c>
      <c r="B71140">
        <f>TEXT(71139, "[$-0E0000]yyyy-mm-dd")</f>
        <v/>
      </c>
      <c r="C71140" t="inlineStr">
        <is>
          <t>2094-08-29</t>
        </is>
      </c>
    </row>
    <row r="71141">
      <c r="A71141" s="1" t="n">
        <v>71140</v>
      </c>
      <c r="B71141">
        <f>TEXT(71140, "[$-0E0000]yyyy-mm-dd")</f>
        <v/>
      </c>
      <c r="C71141" t="inlineStr">
        <is>
          <t>2094-09-01</t>
        </is>
      </c>
    </row>
    <row r="71142">
      <c r="A71142" s="1" t="n">
        <v>71141</v>
      </c>
      <c r="B71142">
        <f>TEXT(71141, "[$-0E0000]yyyy-mm-dd")</f>
        <v/>
      </c>
      <c r="C71142" t="inlineStr">
        <is>
          <t>2094-09-02</t>
        </is>
      </c>
    </row>
    <row r="71143">
      <c r="A71143" s="1" t="n">
        <v>71142</v>
      </c>
      <c r="B71143">
        <f>TEXT(71142, "[$-0E0000]yyyy-mm-dd")</f>
        <v/>
      </c>
      <c r="C71143" t="inlineStr">
        <is>
          <t>2094-09-03</t>
        </is>
      </c>
    </row>
    <row r="71144">
      <c r="A71144" s="1" t="n">
        <v>71143</v>
      </c>
      <c r="B71144">
        <f>TEXT(71143, "[$-0E0000]yyyy-mm-dd")</f>
        <v/>
      </c>
      <c r="C71144" t="inlineStr">
        <is>
          <t>2094-09-04</t>
        </is>
      </c>
    </row>
    <row r="71145">
      <c r="A71145" s="1" t="n">
        <v>71144</v>
      </c>
      <c r="B71145">
        <f>TEXT(71144, "[$-0E0000]yyyy-mm-dd")</f>
        <v/>
      </c>
      <c r="C71145" t="inlineStr">
        <is>
          <t>2094-09-05</t>
        </is>
      </c>
    </row>
    <row r="71146">
      <c r="A71146" s="1" t="n">
        <v>71145</v>
      </c>
      <c r="B71146">
        <f>TEXT(71145, "[$-0E0000]yyyy-mm-dd")</f>
        <v/>
      </c>
      <c r="C71146" t="inlineStr">
        <is>
          <t>2094-09-06</t>
        </is>
      </c>
    </row>
    <row r="71147">
      <c r="A71147" s="1" t="n">
        <v>71146</v>
      </c>
      <c r="B71147">
        <f>TEXT(71146, "[$-0E0000]yyyy-mm-dd")</f>
        <v/>
      </c>
      <c r="C71147" t="inlineStr">
        <is>
          <t>2094-09-07</t>
        </is>
      </c>
    </row>
    <row r="71148">
      <c r="A71148" s="1" t="n">
        <v>71147</v>
      </c>
      <c r="B71148">
        <f>TEXT(71147, "[$-0E0000]yyyy-mm-dd")</f>
        <v/>
      </c>
      <c r="C71148" t="inlineStr">
        <is>
          <t>2094-09-08</t>
        </is>
      </c>
    </row>
    <row r="71149">
      <c r="A71149" s="1" t="n">
        <v>71148</v>
      </c>
      <c r="B71149">
        <f>TEXT(71148, "[$-0E0000]yyyy-mm-dd")</f>
        <v/>
      </c>
      <c r="C71149" t="inlineStr">
        <is>
          <t>2094-09-09</t>
        </is>
      </c>
    </row>
    <row r="71150">
      <c r="A71150" s="1" t="n">
        <v>71149</v>
      </c>
      <c r="B71150">
        <f>TEXT(71149, "[$-0E0000]yyyy-mm-dd")</f>
        <v/>
      </c>
      <c r="C71150" t="inlineStr">
        <is>
          <t>2094-09-10</t>
        </is>
      </c>
    </row>
    <row r="71151">
      <c r="A71151" s="1" t="n">
        <v>71150</v>
      </c>
      <c r="B71151">
        <f>TEXT(71150, "[$-0E0000]yyyy-mm-dd")</f>
        <v/>
      </c>
      <c r="C71151" t="inlineStr">
        <is>
          <t>2094-09-11</t>
        </is>
      </c>
    </row>
    <row r="71152">
      <c r="A71152" s="1" t="n">
        <v>71151</v>
      </c>
      <c r="B71152">
        <f>TEXT(71151, "[$-0E0000]yyyy-mm-dd")</f>
        <v/>
      </c>
      <c r="C71152" t="inlineStr">
        <is>
          <t>2094-09-12</t>
        </is>
      </c>
    </row>
    <row r="71153">
      <c r="A71153" s="1" t="n">
        <v>71152</v>
      </c>
      <c r="B71153">
        <f>TEXT(71152, "[$-0E0000]yyyy-mm-dd")</f>
        <v/>
      </c>
      <c r="C71153" t="inlineStr">
        <is>
          <t>2094-09-13</t>
        </is>
      </c>
    </row>
    <row r="71154">
      <c r="A71154" s="1" t="n">
        <v>71153</v>
      </c>
      <c r="B71154">
        <f>TEXT(71153, "[$-0E0000]yyyy-mm-dd")</f>
        <v/>
      </c>
      <c r="C71154" t="inlineStr">
        <is>
          <t>2094-09-14</t>
        </is>
      </c>
    </row>
    <row r="71155">
      <c r="A71155" s="1" t="n">
        <v>71154</v>
      </c>
      <c r="B71155">
        <f>TEXT(71154, "[$-0E0000]yyyy-mm-dd")</f>
        <v/>
      </c>
      <c r="C71155" t="inlineStr">
        <is>
          <t>2094-09-15</t>
        </is>
      </c>
    </row>
    <row r="71156">
      <c r="A71156" s="1" t="n">
        <v>71155</v>
      </c>
      <c r="B71156">
        <f>TEXT(71155, "[$-0E0000]yyyy-mm-dd")</f>
        <v/>
      </c>
      <c r="C71156" t="inlineStr">
        <is>
          <t>2094-09-16</t>
        </is>
      </c>
    </row>
    <row r="71157">
      <c r="A71157" s="1" t="n">
        <v>71156</v>
      </c>
      <c r="B71157">
        <f>TEXT(71156, "[$-0E0000]yyyy-mm-dd")</f>
        <v/>
      </c>
      <c r="C71157" t="inlineStr">
        <is>
          <t>2094-09-17</t>
        </is>
      </c>
    </row>
    <row r="71158">
      <c r="A71158" s="1" t="n">
        <v>71157</v>
      </c>
      <c r="B71158">
        <f>TEXT(71157, "[$-0E0000]yyyy-mm-dd")</f>
        <v/>
      </c>
      <c r="C71158" t="inlineStr">
        <is>
          <t>2094-09-18</t>
        </is>
      </c>
    </row>
    <row r="71159">
      <c r="A71159" s="1" t="n">
        <v>71158</v>
      </c>
      <c r="B71159">
        <f>TEXT(71158, "[$-0E0000]yyyy-mm-dd")</f>
        <v/>
      </c>
      <c r="C71159" t="inlineStr">
        <is>
          <t>2094-09-19</t>
        </is>
      </c>
    </row>
    <row r="71160">
      <c r="A71160" s="1" t="n">
        <v>71159</v>
      </c>
      <c r="B71160">
        <f>TEXT(71159, "[$-0E0000]yyyy-mm-dd")</f>
        <v/>
      </c>
      <c r="C71160" t="inlineStr">
        <is>
          <t>2094-09-20</t>
        </is>
      </c>
    </row>
    <row r="71161">
      <c r="A71161" s="1" t="n">
        <v>71160</v>
      </c>
      <c r="B71161">
        <f>TEXT(71160, "[$-0E0000]yyyy-mm-dd")</f>
        <v/>
      </c>
      <c r="C71161" t="inlineStr">
        <is>
          <t>2094-09-21</t>
        </is>
      </c>
    </row>
    <row r="71162">
      <c r="A71162" s="1" t="n">
        <v>71161</v>
      </c>
      <c r="B71162">
        <f>TEXT(71161, "[$-0E0000]yyyy-mm-dd")</f>
        <v/>
      </c>
      <c r="C71162" t="inlineStr">
        <is>
          <t>2094-09-22</t>
        </is>
      </c>
    </row>
    <row r="71163">
      <c r="A71163" s="1" t="n">
        <v>71162</v>
      </c>
      <c r="B71163">
        <f>TEXT(71162, "[$-0E0000]yyyy-mm-dd")</f>
        <v/>
      </c>
      <c r="C71163" t="inlineStr">
        <is>
          <t>2094-09-23</t>
        </is>
      </c>
    </row>
    <row r="71164">
      <c r="A71164" s="1" t="n">
        <v>71163</v>
      </c>
      <c r="B71164">
        <f>TEXT(71163, "[$-0E0000]yyyy-mm-dd")</f>
        <v/>
      </c>
      <c r="C71164" t="inlineStr">
        <is>
          <t>2094-09-24</t>
        </is>
      </c>
    </row>
    <row r="71165">
      <c r="A71165" s="1" t="n">
        <v>71164</v>
      </c>
      <c r="B71165">
        <f>TEXT(71164, "[$-0E0000]yyyy-mm-dd")</f>
        <v/>
      </c>
      <c r="C71165" t="inlineStr">
        <is>
          <t>2094-09-25</t>
        </is>
      </c>
    </row>
    <row r="71166">
      <c r="A71166" s="1" t="n">
        <v>71165</v>
      </c>
      <c r="B71166">
        <f>TEXT(71165, "[$-0E0000]yyyy-mm-dd")</f>
        <v/>
      </c>
      <c r="C71166" t="inlineStr">
        <is>
          <t>2094-09-26</t>
        </is>
      </c>
    </row>
    <row r="71167">
      <c r="A71167" s="1" t="n">
        <v>71166</v>
      </c>
      <c r="B71167">
        <f>TEXT(71166, "[$-0E0000]yyyy-mm-dd")</f>
        <v/>
      </c>
      <c r="C71167" t="inlineStr">
        <is>
          <t>2094-09-27</t>
        </is>
      </c>
    </row>
    <row r="71168">
      <c r="A71168" s="1" t="n">
        <v>71167</v>
      </c>
      <c r="B71168">
        <f>TEXT(71167, "[$-0E0000]yyyy-mm-dd")</f>
        <v/>
      </c>
      <c r="C71168" t="inlineStr">
        <is>
          <t>2094-09-28</t>
        </is>
      </c>
    </row>
    <row r="71169">
      <c r="A71169" s="1" t="n">
        <v>71168</v>
      </c>
      <c r="B71169">
        <f>TEXT(71168, "[$-0E0000]yyyy-mm-dd")</f>
        <v/>
      </c>
      <c r="C71169" t="inlineStr">
        <is>
          <t>2094-09-29</t>
        </is>
      </c>
    </row>
    <row r="71170">
      <c r="A71170" s="1" t="n">
        <v>71169</v>
      </c>
      <c r="B71170">
        <f>TEXT(71169, "[$-0E0000]yyyy-mm-dd")</f>
        <v/>
      </c>
      <c r="C71170" t="inlineStr">
        <is>
          <t>2094-09-30</t>
        </is>
      </c>
    </row>
    <row r="71171">
      <c r="A71171" s="1" t="n">
        <v>71170</v>
      </c>
      <c r="B71171">
        <f>TEXT(71170, "[$-0E0000]yyyy-mm-dd")</f>
        <v/>
      </c>
      <c r="C71171" t="inlineStr">
        <is>
          <t>2094-10-01</t>
        </is>
      </c>
    </row>
    <row r="71172">
      <c r="A71172" s="1" t="n">
        <v>71171</v>
      </c>
      <c r="B71172">
        <f>TEXT(71171, "[$-0E0000]yyyy-mm-dd")</f>
        <v/>
      </c>
      <c r="C71172" t="inlineStr">
        <is>
          <t>2094-10-02</t>
        </is>
      </c>
    </row>
    <row r="71173">
      <c r="A71173" s="1" t="n">
        <v>71172</v>
      </c>
      <c r="B71173">
        <f>TEXT(71172, "[$-0E0000]yyyy-mm-dd")</f>
        <v/>
      </c>
      <c r="C71173" t="inlineStr">
        <is>
          <t>2094-10-03</t>
        </is>
      </c>
    </row>
    <row r="71174">
      <c r="A71174" s="1" t="n">
        <v>71173</v>
      </c>
      <c r="B71174">
        <f>TEXT(71173, "[$-0E0000]yyyy-mm-dd")</f>
        <v/>
      </c>
      <c r="C71174" t="inlineStr">
        <is>
          <t>2094-10-04</t>
        </is>
      </c>
    </row>
    <row r="71175">
      <c r="A71175" s="1" t="n">
        <v>71174</v>
      </c>
      <c r="B71175">
        <f>TEXT(71174, "[$-0E0000]yyyy-mm-dd")</f>
        <v/>
      </c>
      <c r="C71175" t="inlineStr">
        <is>
          <t>2094-10-05</t>
        </is>
      </c>
    </row>
    <row r="71176">
      <c r="A71176" s="1" t="n">
        <v>71175</v>
      </c>
      <c r="B71176">
        <f>TEXT(71175, "[$-0E0000]yyyy-mm-dd")</f>
        <v/>
      </c>
      <c r="C71176" t="inlineStr">
        <is>
          <t>2094-10-06</t>
        </is>
      </c>
    </row>
    <row r="71177">
      <c r="A71177" s="1" t="n">
        <v>71176</v>
      </c>
      <c r="B71177">
        <f>TEXT(71176, "[$-0E0000]yyyy-mm-dd")</f>
        <v/>
      </c>
      <c r="C71177" t="inlineStr">
        <is>
          <t>2094-10-07</t>
        </is>
      </c>
    </row>
    <row r="71178">
      <c r="A71178" s="1" t="n">
        <v>71177</v>
      </c>
      <c r="B71178">
        <f>TEXT(71177, "[$-0E0000]yyyy-mm-dd")</f>
        <v/>
      </c>
      <c r="C71178" t="inlineStr">
        <is>
          <t>2094-10-08</t>
        </is>
      </c>
    </row>
    <row r="71179">
      <c r="A71179" s="1" t="n">
        <v>71178</v>
      </c>
      <c r="B71179">
        <f>TEXT(71178, "[$-0E0000]yyyy-mm-dd")</f>
        <v/>
      </c>
      <c r="C71179" t="inlineStr">
        <is>
          <t>2094-10-09</t>
        </is>
      </c>
    </row>
    <row r="71180">
      <c r="A71180" s="1" t="n">
        <v>71179</v>
      </c>
      <c r="B71180">
        <f>TEXT(71179, "[$-0E0000]yyyy-mm-dd")</f>
        <v/>
      </c>
      <c r="C71180" t="inlineStr">
        <is>
          <t>2094-10-10</t>
        </is>
      </c>
    </row>
    <row r="71181">
      <c r="A71181" s="1" t="n">
        <v>71180</v>
      </c>
      <c r="B71181">
        <f>TEXT(71180, "[$-0E0000]yyyy-mm-dd")</f>
        <v/>
      </c>
      <c r="C71181" t="inlineStr">
        <is>
          <t>2094-10-11</t>
        </is>
      </c>
    </row>
    <row r="71182">
      <c r="A71182" s="1" t="n">
        <v>71181</v>
      </c>
      <c r="B71182">
        <f>TEXT(71181, "[$-0E0000]yyyy-mm-dd")</f>
        <v/>
      </c>
      <c r="C71182" t="inlineStr">
        <is>
          <t>2094-10-12</t>
        </is>
      </c>
    </row>
    <row r="71183">
      <c r="A71183" s="1" t="n">
        <v>71182</v>
      </c>
      <c r="B71183">
        <f>TEXT(71182, "[$-0E0000]yyyy-mm-dd")</f>
        <v/>
      </c>
      <c r="C71183" t="inlineStr">
        <is>
          <t>2094-10-13</t>
        </is>
      </c>
    </row>
    <row r="71184">
      <c r="A71184" s="1" t="n">
        <v>71183</v>
      </c>
      <c r="B71184">
        <f>TEXT(71183, "[$-0E0000]yyyy-mm-dd")</f>
        <v/>
      </c>
      <c r="C71184" t="inlineStr">
        <is>
          <t>2094-10-14</t>
        </is>
      </c>
    </row>
    <row r="71185">
      <c r="A71185" s="1" t="n">
        <v>71184</v>
      </c>
      <c r="B71185">
        <f>TEXT(71184, "[$-0E0000]yyyy-mm-dd")</f>
        <v/>
      </c>
      <c r="C71185" t="inlineStr">
        <is>
          <t>2094-10-15</t>
        </is>
      </c>
    </row>
    <row r="71186">
      <c r="A71186" s="1" t="n">
        <v>71185</v>
      </c>
      <c r="B71186">
        <f>TEXT(71185, "[$-0E0000]yyyy-mm-dd")</f>
        <v/>
      </c>
      <c r="C71186" t="inlineStr">
        <is>
          <t>2094-10-16</t>
        </is>
      </c>
    </row>
    <row r="71187">
      <c r="A71187" s="1" t="n">
        <v>71186</v>
      </c>
      <c r="B71187">
        <f>TEXT(71186, "[$-0E0000]yyyy-mm-dd")</f>
        <v/>
      </c>
      <c r="C71187" t="inlineStr">
        <is>
          <t>2094-10-17</t>
        </is>
      </c>
    </row>
    <row r="71188">
      <c r="A71188" s="1" t="n">
        <v>71187</v>
      </c>
      <c r="B71188">
        <f>TEXT(71187, "[$-0E0000]yyyy-mm-dd")</f>
        <v/>
      </c>
      <c r="C71188" t="inlineStr">
        <is>
          <t>2094-10-18</t>
        </is>
      </c>
    </row>
    <row r="71189">
      <c r="A71189" s="1" t="n">
        <v>71188</v>
      </c>
      <c r="B71189">
        <f>TEXT(71188, "[$-0E0000]yyyy-mm-dd")</f>
        <v/>
      </c>
      <c r="C71189" t="inlineStr">
        <is>
          <t>2094-10-19</t>
        </is>
      </c>
    </row>
    <row r="71190">
      <c r="A71190" s="1" t="n">
        <v>71189</v>
      </c>
      <c r="B71190">
        <f>TEXT(71189, "[$-0E0000]yyyy-mm-dd")</f>
        <v/>
      </c>
      <c r="C71190" t="inlineStr">
        <is>
          <t>2094-10-20</t>
        </is>
      </c>
    </row>
    <row r="71191">
      <c r="A71191" s="1" t="n">
        <v>71190</v>
      </c>
      <c r="B71191">
        <f>TEXT(71190, "[$-0E0000]yyyy-mm-dd")</f>
        <v/>
      </c>
      <c r="C71191" t="inlineStr">
        <is>
          <t>2094-10-21</t>
        </is>
      </c>
    </row>
    <row r="71192">
      <c r="A71192" s="1" t="n">
        <v>71191</v>
      </c>
      <c r="B71192">
        <f>TEXT(71191, "[$-0E0000]yyyy-mm-dd")</f>
        <v/>
      </c>
      <c r="C71192" t="inlineStr">
        <is>
          <t>2094-10-22</t>
        </is>
      </c>
    </row>
    <row r="71193">
      <c r="A71193" s="1" t="n">
        <v>71192</v>
      </c>
      <c r="B71193">
        <f>TEXT(71192, "[$-0E0000]yyyy-mm-dd")</f>
        <v/>
      </c>
      <c r="C71193" t="inlineStr">
        <is>
          <t>2094-10-23</t>
        </is>
      </c>
    </row>
    <row r="71194">
      <c r="A71194" s="1" t="n">
        <v>71193</v>
      </c>
      <c r="B71194">
        <f>TEXT(71193, "[$-0E0000]yyyy-mm-dd")</f>
        <v/>
      </c>
      <c r="C71194" t="inlineStr">
        <is>
          <t>2094-10-24</t>
        </is>
      </c>
    </row>
    <row r="71195">
      <c r="A71195" s="1" t="n">
        <v>71194</v>
      </c>
      <c r="B71195">
        <f>TEXT(71194, "[$-0E0000]yyyy-mm-dd")</f>
        <v/>
      </c>
      <c r="C71195" t="inlineStr">
        <is>
          <t>2094-10-25</t>
        </is>
      </c>
    </row>
    <row r="71196">
      <c r="A71196" s="1" t="n">
        <v>71195</v>
      </c>
      <c r="B71196">
        <f>TEXT(71195, "[$-0E0000]yyyy-mm-dd")</f>
        <v/>
      </c>
      <c r="C71196" t="inlineStr">
        <is>
          <t>2094-10-26</t>
        </is>
      </c>
    </row>
    <row r="71197">
      <c r="A71197" s="1" t="n">
        <v>71196</v>
      </c>
      <c r="B71197">
        <f>TEXT(71196, "[$-0E0000]yyyy-mm-dd")</f>
        <v/>
      </c>
      <c r="C71197" t="inlineStr">
        <is>
          <t>2094-10-27</t>
        </is>
      </c>
    </row>
    <row r="71198">
      <c r="A71198" s="1" t="n">
        <v>71197</v>
      </c>
      <c r="B71198">
        <f>TEXT(71197, "[$-0E0000]yyyy-mm-dd")</f>
        <v/>
      </c>
      <c r="C71198" t="inlineStr">
        <is>
          <t>2094-10-28</t>
        </is>
      </c>
    </row>
    <row r="71199">
      <c r="A71199" s="1" t="n">
        <v>71198</v>
      </c>
      <c r="B71199">
        <f>TEXT(71198, "[$-0E0000]yyyy-mm-dd")</f>
        <v/>
      </c>
      <c r="C71199" t="inlineStr">
        <is>
          <t>2094-10-29</t>
        </is>
      </c>
    </row>
    <row r="71200">
      <c r="A71200" s="1" t="n">
        <v>71199</v>
      </c>
      <c r="B71200">
        <f>TEXT(71199, "[$-0E0000]yyyy-mm-dd")</f>
        <v/>
      </c>
      <c r="C71200" t="inlineStr">
        <is>
          <t>2094-10-30</t>
        </is>
      </c>
    </row>
    <row r="71201">
      <c r="A71201" s="1" t="n">
        <v>71200</v>
      </c>
      <c r="B71201">
        <f>TEXT(71200, "[$-0E0000]yyyy-mm-dd")</f>
        <v/>
      </c>
      <c r="C71201" t="inlineStr">
        <is>
          <t>2094-11-01</t>
        </is>
      </c>
    </row>
    <row r="71202">
      <c r="A71202" s="1" t="n">
        <v>71201</v>
      </c>
      <c r="B71202">
        <f>TEXT(71201, "[$-0E0000]yyyy-mm-dd")</f>
        <v/>
      </c>
      <c r="C71202" t="inlineStr">
        <is>
          <t>2094-11-02</t>
        </is>
      </c>
    </row>
    <row r="71203">
      <c r="A71203" s="1" t="n">
        <v>71202</v>
      </c>
      <c r="B71203">
        <f>TEXT(71202, "[$-0E0000]yyyy-mm-dd")</f>
        <v/>
      </c>
      <c r="C71203" t="inlineStr">
        <is>
          <t>2094-11-03</t>
        </is>
      </c>
    </row>
    <row r="71204">
      <c r="A71204" s="1" t="n">
        <v>71203</v>
      </c>
      <c r="B71204">
        <f>TEXT(71203, "[$-0E0000]yyyy-mm-dd")</f>
        <v/>
      </c>
      <c r="C71204" t="inlineStr">
        <is>
          <t>2094-11-04</t>
        </is>
      </c>
    </row>
    <row r="71205">
      <c r="A71205" s="1" t="n">
        <v>71204</v>
      </c>
      <c r="B71205">
        <f>TEXT(71204, "[$-0E0000]yyyy-mm-dd")</f>
        <v/>
      </c>
      <c r="C71205" t="inlineStr">
        <is>
          <t>2094-11-05</t>
        </is>
      </c>
    </row>
    <row r="71206">
      <c r="A71206" s="1" t="n">
        <v>71205</v>
      </c>
      <c r="B71206">
        <f>TEXT(71205, "[$-0E0000]yyyy-mm-dd")</f>
        <v/>
      </c>
      <c r="C71206" t="inlineStr">
        <is>
          <t>2094-11-06</t>
        </is>
      </c>
    </row>
    <row r="71207">
      <c r="A71207" s="1" t="n">
        <v>71206</v>
      </c>
      <c r="B71207">
        <f>TEXT(71206, "[$-0E0000]yyyy-mm-dd")</f>
        <v/>
      </c>
      <c r="C71207" t="inlineStr">
        <is>
          <t>2094-11-07</t>
        </is>
      </c>
    </row>
    <row r="71208">
      <c r="A71208" s="1" t="n">
        <v>71207</v>
      </c>
      <c r="B71208">
        <f>TEXT(71207, "[$-0E0000]yyyy-mm-dd")</f>
        <v/>
      </c>
      <c r="C71208" t="inlineStr">
        <is>
          <t>2094-11-08</t>
        </is>
      </c>
    </row>
    <row r="71209">
      <c r="A71209" s="1" t="n">
        <v>71208</v>
      </c>
      <c r="B71209">
        <f>TEXT(71208, "[$-0E0000]yyyy-mm-dd")</f>
        <v/>
      </c>
      <c r="C71209" t="inlineStr">
        <is>
          <t>2094-11-09</t>
        </is>
      </c>
    </row>
    <row r="71210">
      <c r="A71210" s="1" t="n">
        <v>71209</v>
      </c>
      <c r="B71210">
        <f>TEXT(71209, "[$-0E0000]yyyy-mm-dd")</f>
        <v/>
      </c>
      <c r="C71210" t="inlineStr">
        <is>
          <t>2094-11-10</t>
        </is>
      </c>
    </row>
    <row r="71211">
      <c r="A71211" s="1" t="n">
        <v>71210</v>
      </c>
      <c r="B71211">
        <f>TEXT(71210, "[$-0E0000]yyyy-mm-dd")</f>
        <v/>
      </c>
      <c r="C71211" t="inlineStr">
        <is>
          <t>2094-11-11</t>
        </is>
      </c>
    </row>
    <row r="71212">
      <c r="A71212" s="1" t="n">
        <v>71211</v>
      </c>
      <c r="B71212">
        <f>TEXT(71211, "[$-0E0000]yyyy-mm-dd")</f>
        <v/>
      </c>
      <c r="C71212" t="inlineStr">
        <is>
          <t>2094-11-12</t>
        </is>
      </c>
    </row>
    <row r="71213">
      <c r="A71213" s="1" t="n">
        <v>71212</v>
      </c>
      <c r="B71213">
        <f>TEXT(71212, "[$-0E0000]yyyy-mm-dd")</f>
        <v/>
      </c>
      <c r="C71213" t="inlineStr">
        <is>
          <t>2094-11-13</t>
        </is>
      </c>
    </row>
    <row r="71214">
      <c r="A71214" s="1" t="n">
        <v>71213</v>
      </c>
      <c r="B71214">
        <f>TEXT(71213, "[$-0E0000]yyyy-mm-dd")</f>
        <v/>
      </c>
      <c r="C71214" t="inlineStr">
        <is>
          <t>2094-11-14</t>
        </is>
      </c>
    </row>
    <row r="71215">
      <c r="A71215" s="1" t="n">
        <v>71214</v>
      </c>
      <c r="B71215">
        <f>TEXT(71214, "[$-0E0000]yyyy-mm-dd")</f>
        <v/>
      </c>
      <c r="C71215" t="inlineStr">
        <is>
          <t>2094-11-15</t>
        </is>
      </c>
    </row>
    <row r="71216">
      <c r="A71216" s="1" t="n">
        <v>71215</v>
      </c>
      <c r="B71216">
        <f>TEXT(71215, "[$-0E0000]yyyy-mm-dd")</f>
        <v/>
      </c>
      <c r="C71216" t="inlineStr">
        <is>
          <t>2094-11-16</t>
        </is>
      </c>
    </row>
    <row r="71217">
      <c r="A71217" s="1" t="n">
        <v>71216</v>
      </c>
      <c r="B71217">
        <f>TEXT(71216, "[$-0E0000]yyyy-mm-dd")</f>
        <v/>
      </c>
      <c r="C71217" t="inlineStr">
        <is>
          <t>2094-11-17</t>
        </is>
      </c>
    </row>
    <row r="71218">
      <c r="A71218" s="1" t="n">
        <v>71217</v>
      </c>
      <c r="B71218">
        <f>TEXT(71217, "[$-0E0000]yyyy-mm-dd")</f>
        <v/>
      </c>
      <c r="C71218" t="inlineStr">
        <is>
          <t>2094-11-18</t>
        </is>
      </c>
    </row>
    <row r="71219">
      <c r="A71219" s="1" t="n">
        <v>71218</v>
      </c>
      <c r="B71219">
        <f>TEXT(71218, "[$-0E0000]yyyy-mm-dd")</f>
        <v/>
      </c>
      <c r="C71219" t="inlineStr">
        <is>
          <t>2094-11-19</t>
        </is>
      </c>
    </row>
    <row r="71220">
      <c r="A71220" s="1" t="n">
        <v>71219</v>
      </c>
      <c r="B71220">
        <f>TEXT(71219, "[$-0E0000]yyyy-mm-dd")</f>
        <v/>
      </c>
      <c r="C71220" t="inlineStr">
        <is>
          <t>2094-11-20</t>
        </is>
      </c>
    </row>
    <row r="71221">
      <c r="A71221" s="1" t="n">
        <v>71220</v>
      </c>
      <c r="B71221">
        <f>TEXT(71220, "[$-0E0000]yyyy-mm-dd")</f>
        <v/>
      </c>
      <c r="C71221" t="inlineStr">
        <is>
          <t>2094-11-21</t>
        </is>
      </c>
    </row>
    <row r="71222">
      <c r="A71222" s="1" t="n">
        <v>71221</v>
      </c>
      <c r="B71222">
        <f>TEXT(71221, "[$-0E0000]yyyy-mm-dd")</f>
        <v/>
      </c>
      <c r="C71222" t="inlineStr">
        <is>
          <t>2094-11-22</t>
        </is>
      </c>
    </row>
    <row r="71223">
      <c r="A71223" s="1" t="n">
        <v>71222</v>
      </c>
      <c r="B71223">
        <f>TEXT(71222, "[$-0E0000]yyyy-mm-dd")</f>
        <v/>
      </c>
      <c r="C71223" t="inlineStr">
        <is>
          <t>2094-11-23</t>
        </is>
      </c>
    </row>
    <row r="71224">
      <c r="A71224" s="1" t="n">
        <v>71223</v>
      </c>
      <c r="B71224">
        <f>TEXT(71223, "[$-0E0000]yyyy-mm-dd")</f>
        <v/>
      </c>
      <c r="C71224" t="inlineStr">
        <is>
          <t>2094-11-24</t>
        </is>
      </c>
    </row>
    <row r="71225">
      <c r="A71225" s="1" t="n">
        <v>71224</v>
      </c>
      <c r="B71225">
        <f>TEXT(71224, "[$-0E0000]yyyy-mm-dd")</f>
        <v/>
      </c>
      <c r="C71225" t="inlineStr">
        <is>
          <t>2094-11-25</t>
        </is>
      </c>
    </row>
    <row r="71226">
      <c r="A71226" s="1" t="n">
        <v>71225</v>
      </c>
      <c r="B71226">
        <f>TEXT(71225, "[$-0E0000]yyyy-mm-dd")</f>
        <v/>
      </c>
      <c r="C71226" t="inlineStr">
        <is>
          <t>2094-11-26</t>
        </is>
      </c>
    </row>
    <row r="71227">
      <c r="A71227" s="1" t="n">
        <v>71226</v>
      </c>
      <c r="B71227">
        <f>TEXT(71226, "[$-0E0000]yyyy-mm-dd")</f>
        <v/>
      </c>
      <c r="C71227" t="inlineStr">
        <is>
          <t>2094-11-27</t>
        </is>
      </c>
    </row>
    <row r="71228">
      <c r="A71228" s="1" t="n">
        <v>71227</v>
      </c>
      <c r="B71228">
        <f>TEXT(71227, "[$-0E0000]yyyy-mm-dd")</f>
        <v/>
      </c>
      <c r="C71228" t="inlineStr">
        <is>
          <t>2094-11-28</t>
        </is>
      </c>
    </row>
    <row r="71229">
      <c r="A71229" s="1" t="n">
        <v>71228</v>
      </c>
      <c r="B71229">
        <f>TEXT(71228, "[$-0E0000]yyyy-mm-dd")</f>
        <v/>
      </c>
      <c r="C71229" t="inlineStr">
        <is>
          <t>2094-11-29</t>
        </is>
      </c>
    </row>
    <row r="71230">
      <c r="A71230" s="1" t="n">
        <v>71229</v>
      </c>
      <c r="B71230">
        <f>TEXT(71229, "[$-0E0000]yyyy-mm-dd")</f>
        <v/>
      </c>
      <c r="C71230" t="inlineStr">
        <is>
          <t>2094-12-01</t>
        </is>
      </c>
    </row>
    <row r="71231">
      <c r="A71231" s="1" t="n">
        <v>71230</v>
      </c>
      <c r="B71231">
        <f>TEXT(71230, "[$-0E0000]yyyy-mm-dd")</f>
        <v/>
      </c>
      <c r="C71231" t="inlineStr">
        <is>
          <t>2094-12-02</t>
        </is>
      </c>
    </row>
    <row r="71232">
      <c r="A71232" s="1" t="n">
        <v>71231</v>
      </c>
      <c r="B71232">
        <f>TEXT(71231, "[$-0E0000]yyyy-mm-dd")</f>
        <v/>
      </c>
      <c r="C71232" t="inlineStr">
        <is>
          <t>2094-12-03</t>
        </is>
      </c>
    </row>
    <row r="71233">
      <c r="A71233" s="1" t="n">
        <v>71232</v>
      </c>
      <c r="B71233">
        <f>TEXT(71232, "[$-0E0000]yyyy-mm-dd")</f>
        <v/>
      </c>
      <c r="C71233" t="inlineStr">
        <is>
          <t>2094-12-04</t>
        </is>
      </c>
    </row>
    <row r="71234">
      <c r="A71234" s="1" t="n">
        <v>71233</v>
      </c>
      <c r="B71234">
        <f>TEXT(71233, "[$-0E0000]yyyy-mm-dd")</f>
        <v/>
      </c>
      <c r="C71234" t="inlineStr">
        <is>
          <t>2094-12-05</t>
        </is>
      </c>
    </row>
    <row r="71235">
      <c r="A71235" s="1" t="n">
        <v>71234</v>
      </c>
      <c r="B71235">
        <f>TEXT(71234, "[$-0E0000]yyyy-mm-dd")</f>
        <v/>
      </c>
      <c r="C71235" t="inlineStr">
        <is>
          <t>2094-12-06</t>
        </is>
      </c>
    </row>
    <row r="71236">
      <c r="A71236" s="1" t="n">
        <v>71235</v>
      </c>
      <c r="B71236">
        <f>TEXT(71235, "[$-0E0000]yyyy-mm-dd")</f>
        <v/>
      </c>
      <c r="C71236" t="inlineStr">
        <is>
          <t>2094-12-07</t>
        </is>
      </c>
    </row>
    <row r="71237">
      <c r="A71237" s="1" t="n">
        <v>71236</v>
      </c>
      <c r="B71237">
        <f>TEXT(71236, "[$-0E0000]yyyy-mm-dd")</f>
        <v/>
      </c>
      <c r="C71237" t="inlineStr">
        <is>
          <t>2094-12-08</t>
        </is>
      </c>
    </row>
    <row r="71238">
      <c r="A71238" s="1" t="n">
        <v>71237</v>
      </c>
      <c r="B71238">
        <f>TEXT(71237, "[$-0E0000]yyyy-mm-dd")</f>
        <v/>
      </c>
      <c r="C71238" t="inlineStr">
        <is>
          <t>2094-12-09</t>
        </is>
      </c>
    </row>
    <row r="71239">
      <c r="A71239" s="1" t="n">
        <v>71238</v>
      </c>
      <c r="B71239">
        <f>TEXT(71238, "[$-0E0000]yyyy-mm-dd")</f>
        <v/>
      </c>
      <c r="C71239" t="inlineStr">
        <is>
          <t>2094-12-10</t>
        </is>
      </c>
    </row>
    <row r="71240">
      <c r="A71240" s="1" t="n">
        <v>71239</v>
      </c>
      <c r="B71240">
        <f>TEXT(71239, "[$-0E0000]yyyy-mm-dd")</f>
        <v/>
      </c>
      <c r="C71240" t="inlineStr">
        <is>
          <t>2094-12-11</t>
        </is>
      </c>
    </row>
    <row r="71241">
      <c r="A71241" s="1" t="n">
        <v>71240</v>
      </c>
      <c r="B71241">
        <f>TEXT(71240, "[$-0E0000]yyyy-mm-dd")</f>
        <v/>
      </c>
      <c r="C71241" t="inlineStr">
        <is>
          <t>2094-12-12</t>
        </is>
      </c>
    </row>
    <row r="71242">
      <c r="A71242" s="1" t="n">
        <v>71241</v>
      </c>
      <c r="B71242">
        <f>TEXT(71241, "[$-0E0000]yyyy-mm-dd")</f>
        <v/>
      </c>
      <c r="C71242" t="inlineStr">
        <is>
          <t>2094-12-13</t>
        </is>
      </c>
    </row>
    <row r="71243">
      <c r="A71243" s="1" t="n">
        <v>71242</v>
      </c>
      <c r="B71243">
        <f>TEXT(71242, "[$-0E0000]yyyy-mm-dd")</f>
        <v/>
      </c>
      <c r="C71243" t="inlineStr">
        <is>
          <t>2094-12-14</t>
        </is>
      </c>
    </row>
    <row r="71244">
      <c r="A71244" s="1" t="n">
        <v>71243</v>
      </c>
      <c r="B71244">
        <f>TEXT(71243, "[$-0E0000]yyyy-mm-dd")</f>
        <v/>
      </c>
      <c r="C71244" t="inlineStr">
        <is>
          <t>2094-12-15</t>
        </is>
      </c>
    </row>
    <row r="71245">
      <c r="A71245" s="1" t="n">
        <v>71244</v>
      </c>
      <c r="B71245">
        <f>TEXT(71244, "[$-0E0000]yyyy-mm-dd")</f>
        <v/>
      </c>
      <c r="C71245" t="inlineStr">
        <is>
          <t>2094-12-16</t>
        </is>
      </c>
    </row>
    <row r="71246">
      <c r="A71246" s="1" t="n">
        <v>71245</v>
      </c>
      <c r="B71246">
        <f>TEXT(71245, "[$-0E0000]yyyy-mm-dd")</f>
        <v/>
      </c>
      <c r="C71246" t="inlineStr">
        <is>
          <t>2094-12-17</t>
        </is>
      </c>
    </row>
    <row r="71247">
      <c r="A71247" s="1" t="n">
        <v>71246</v>
      </c>
      <c r="B71247">
        <f>TEXT(71246, "[$-0E0000]yyyy-mm-dd")</f>
        <v/>
      </c>
      <c r="C71247" t="inlineStr">
        <is>
          <t>2094-12-18</t>
        </is>
      </c>
    </row>
    <row r="71248">
      <c r="A71248" s="1" t="n">
        <v>71247</v>
      </c>
      <c r="B71248">
        <f>TEXT(71247, "[$-0E0000]yyyy-mm-dd")</f>
        <v/>
      </c>
      <c r="C71248" t="inlineStr">
        <is>
          <t>2094-12-19</t>
        </is>
      </c>
    </row>
    <row r="71249">
      <c r="A71249" s="1" t="n">
        <v>71248</v>
      </c>
      <c r="B71249">
        <f>TEXT(71248, "[$-0E0000]yyyy-mm-dd")</f>
        <v/>
      </c>
      <c r="C71249" t="inlineStr">
        <is>
          <t>2094-12-20</t>
        </is>
      </c>
    </row>
    <row r="71250">
      <c r="A71250" s="1" t="n">
        <v>71249</v>
      </c>
      <c r="B71250">
        <f>TEXT(71249, "[$-0E0000]yyyy-mm-dd")</f>
        <v/>
      </c>
      <c r="C71250" t="inlineStr">
        <is>
          <t>2094-12-21</t>
        </is>
      </c>
    </row>
    <row r="71251">
      <c r="A71251" s="1" t="n">
        <v>71250</v>
      </c>
      <c r="B71251">
        <f>TEXT(71250, "[$-0E0000]yyyy-mm-dd")</f>
        <v/>
      </c>
      <c r="C71251" t="inlineStr">
        <is>
          <t>2094-12-22</t>
        </is>
      </c>
    </row>
    <row r="71252">
      <c r="A71252" s="1" t="n">
        <v>71251</v>
      </c>
      <c r="B71252">
        <f>TEXT(71251, "[$-0E0000]yyyy-mm-dd")</f>
        <v/>
      </c>
      <c r="C71252" t="inlineStr">
        <is>
          <t>2094-12-23</t>
        </is>
      </c>
    </row>
    <row r="71253">
      <c r="A71253" s="1" t="n">
        <v>71252</v>
      </c>
      <c r="B71253">
        <f>TEXT(71252, "[$-0E0000]yyyy-mm-dd")</f>
        <v/>
      </c>
      <c r="C71253" t="inlineStr">
        <is>
          <t>2094-12-24</t>
        </is>
      </c>
    </row>
    <row r="71254">
      <c r="A71254" s="1" t="n">
        <v>71253</v>
      </c>
      <c r="B71254">
        <f>TEXT(71253, "[$-0E0000]yyyy-mm-dd")</f>
        <v/>
      </c>
      <c r="C71254" t="inlineStr">
        <is>
          <t>2094-12-25</t>
        </is>
      </c>
    </row>
    <row r="71255">
      <c r="A71255" s="1" t="n">
        <v>71254</v>
      </c>
      <c r="B71255">
        <f>TEXT(71254, "[$-0E0000]yyyy-mm-dd")</f>
        <v/>
      </c>
      <c r="C71255" t="inlineStr">
        <is>
          <t>2094-12-26</t>
        </is>
      </c>
    </row>
    <row r="71256">
      <c r="A71256" s="1" t="n">
        <v>71255</v>
      </c>
      <c r="B71256">
        <f>TEXT(71255, "[$-0E0000]yyyy-mm-dd")</f>
        <v/>
      </c>
      <c r="C71256" t="inlineStr">
        <is>
          <t>2094-12-27</t>
        </is>
      </c>
    </row>
    <row r="71257">
      <c r="A71257" s="1" t="n">
        <v>71256</v>
      </c>
      <c r="B71257">
        <f>TEXT(71256, "[$-0E0000]yyyy-mm-dd")</f>
        <v/>
      </c>
      <c r="C71257" t="inlineStr">
        <is>
          <t>2094-12-28</t>
        </is>
      </c>
    </row>
    <row r="71258">
      <c r="A71258" s="1" t="n">
        <v>71257</v>
      </c>
      <c r="B71258">
        <f>TEXT(71257, "[$-0E0000]yyyy-mm-dd")</f>
        <v/>
      </c>
      <c r="C71258" t="inlineStr">
        <is>
          <t>2094-12-29</t>
        </is>
      </c>
    </row>
    <row r="71259">
      <c r="A71259" s="1" t="n">
        <v>71258</v>
      </c>
      <c r="B71259">
        <f>TEXT(71258, "[$-0E0000]yyyy-mm-dd")</f>
        <v/>
      </c>
      <c r="C71259" t="inlineStr">
        <is>
          <t>2094-12-30</t>
        </is>
      </c>
    </row>
    <row r="71260">
      <c r="A71260" s="1" t="n">
        <v>71259</v>
      </c>
      <c r="B71260">
        <f>TEXT(71259, "[$-0E0000]yyyy-mm-dd")</f>
        <v/>
      </c>
      <c r="C71260" t="inlineStr">
        <is>
          <t>2095-01-01</t>
        </is>
      </c>
    </row>
    <row r="71261">
      <c r="A71261" s="1" t="n">
        <v>71260</v>
      </c>
      <c r="B71261">
        <f>TEXT(71260, "[$-0E0000]yyyy-mm-dd")</f>
        <v/>
      </c>
      <c r="C71261" t="inlineStr">
        <is>
          <t>2095-01-02</t>
        </is>
      </c>
    </row>
    <row r="71262">
      <c r="A71262" s="1" t="n">
        <v>71261</v>
      </c>
      <c r="B71262">
        <f>TEXT(71261, "[$-0E0000]yyyy-mm-dd")</f>
        <v/>
      </c>
      <c r="C71262" t="inlineStr">
        <is>
          <t>2095-01-03</t>
        </is>
      </c>
    </row>
    <row r="71263">
      <c r="A71263" s="1" t="n">
        <v>71262</v>
      </c>
      <c r="B71263">
        <f>TEXT(71262, "[$-0E0000]yyyy-mm-dd")</f>
        <v/>
      </c>
      <c r="C71263" t="inlineStr">
        <is>
          <t>2095-01-04</t>
        </is>
      </c>
    </row>
    <row r="71264">
      <c r="A71264" s="1" t="n">
        <v>71263</v>
      </c>
      <c r="B71264">
        <f>TEXT(71263, "[$-0E0000]yyyy-mm-dd")</f>
        <v/>
      </c>
      <c r="C71264" t="inlineStr">
        <is>
          <t>2095-01-05</t>
        </is>
      </c>
    </row>
    <row r="71265">
      <c r="A71265" s="1" t="n">
        <v>71264</v>
      </c>
      <c r="B71265">
        <f>TEXT(71264, "[$-0E0000]yyyy-mm-dd")</f>
        <v/>
      </c>
      <c r="C71265" t="inlineStr">
        <is>
          <t>2095-01-06</t>
        </is>
      </c>
    </row>
    <row r="71266">
      <c r="A71266" s="1" t="n">
        <v>71265</v>
      </c>
      <c r="B71266">
        <f>TEXT(71265, "[$-0E0000]yyyy-mm-dd")</f>
        <v/>
      </c>
      <c r="C71266" t="inlineStr">
        <is>
          <t>2095-01-07</t>
        </is>
      </c>
    </row>
    <row r="71267">
      <c r="A71267" s="1" t="n">
        <v>71266</v>
      </c>
      <c r="B71267">
        <f>TEXT(71266, "[$-0E0000]yyyy-mm-dd")</f>
        <v/>
      </c>
      <c r="C71267" t="inlineStr">
        <is>
          <t>2095-01-08</t>
        </is>
      </c>
    </row>
    <row r="71268">
      <c r="A71268" s="1" t="n">
        <v>71267</v>
      </c>
      <c r="B71268">
        <f>TEXT(71267, "[$-0E0000]yyyy-mm-dd")</f>
        <v/>
      </c>
      <c r="C71268" t="inlineStr">
        <is>
          <t>2095-01-09</t>
        </is>
      </c>
    </row>
    <row r="71269">
      <c r="A71269" s="1" t="n">
        <v>71268</v>
      </c>
      <c r="B71269">
        <f>TEXT(71268, "[$-0E0000]yyyy-mm-dd")</f>
        <v/>
      </c>
      <c r="C71269" t="inlineStr">
        <is>
          <t>2095-01-10</t>
        </is>
      </c>
    </row>
    <row r="71270">
      <c r="A71270" s="1" t="n">
        <v>71269</v>
      </c>
      <c r="B71270">
        <f>TEXT(71269, "[$-0E0000]yyyy-mm-dd")</f>
        <v/>
      </c>
      <c r="C71270" t="inlineStr">
        <is>
          <t>2095-01-11</t>
        </is>
      </c>
    </row>
    <row r="71271">
      <c r="A71271" s="1" t="n">
        <v>71270</v>
      </c>
      <c r="B71271">
        <f>TEXT(71270, "[$-0E0000]yyyy-mm-dd")</f>
        <v/>
      </c>
      <c r="C71271" t="inlineStr">
        <is>
          <t>2095-01-12</t>
        </is>
      </c>
    </row>
    <row r="71272">
      <c r="A71272" s="1" t="n">
        <v>71271</v>
      </c>
      <c r="B71272">
        <f>TEXT(71271, "[$-0E0000]yyyy-mm-dd")</f>
        <v/>
      </c>
      <c r="C71272" t="inlineStr">
        <is>
          <t>2095-01-13</t>
        </is>
      </c>
    </row>
    <row r="71273">
      <c r="A71273" s="1" t="n">
        <v>71272</v>
      </c>
      <c r="B71273">
        <f>TEXT(71272, "[$-0E0000]yyyy-mm-dd")</f>
        <v/>
      </c>
      <c r="C71273" t="inlineStr">
        <is>
          <t>2095-01-14</t>
        </is>
      </c>
    </row>
    <row r="71274">
      <c r="A71274" s="1" t="n">
        <v>71273</v>
      </c>
      <c r="B71274">
        <f>TEXT(71273, "[$-0E0000]yyyy-mm-dd")</f>
        <v/>
      </c>
      <c r="C71274" t="inlineStr">
        <is>
          <t>2095-01-15</t>
        </is>
      </c>
    </row>
    <row r="71275">
      <c r="A71275" s="1" t="n">
        <v>71274</v>
      </c>
      <c r="B71275">
        <f>TEXT(71274, "[$-0E0000]yyyy-mm-dd")</f>
        <v/>
      </c>
      <c r="C71275" t="inlineStr">
        <is>
          <t>2095-01-16</t>
        </is>
      </c>
    </row>
    <row r="71276">
      <c r="A71276" s="1" t="n">
        <v>71275</v>
      </c>
      <c r="B71276">
        <f>TEXT(71275, "[$-0E0000]yyyy-mm-dd")</f>
        <v/>
      </c>
      <c r="C71276" t="inlineStr">
        <is>
          <t>2095-01-17</t>
        </is>
      </c>
    </row>
    <row r="71277">
      <c r="A71277" s="1" t="n">
        <v>71276</v>
      </c>
      <c r="B71277">
        <f>TEXT(71276, "[$-0E0000]yyyy-mm-dd")</f>
        <v/>
      </c>
      <c r="C71277" t="inlineStr">
        <is>
          <t>2095-01-18</t>
        </is>
      </c>
    </row>
    <row r="71278">
      <c r="A71278" s="1" t="n">
        <v>71277</v>
      </c>
      <c r="B71278">
        <f>TEXT(71277, "[$-0E0000]yyyy-mm-dd")</f>
        <v/>
      </c>
      <c r="C71278" t="inlineStr">
        <is>
          <t>2095-01-19</t>
        </is>
      </c>
    </row>
    <row r="71279">
      <c r="A71279" s="1" t="n">
        <v>71278</v>
      </c>
      <c r="B71279">
        <f>TEXT(71278, "[$-0E0000]yyyy-mm-dd")</f>
        <v/>
      </c>
      <c r="C71279" t="inlineStr">
        <is>
          <t>2095-01-20</t>
        </is>
      </c>
    </row>
    <row r="71280">
      <c r="A71280" s="1" t="n">
        <v>71279</v>
      </c>
      <c r="B71280">
        <f>TEXT(71279, "[$-0E0000]yyyy-mm-dd")</f>
        <v/>
      </c>
      <c r="C71280" t="inlineStr">
        <is>
          <t>2095-01-21</t>
        </is>
      </c>
    </row>
    <row r="71281">
      <c r="A71281" s="1" t="n">
        <v>71280</v>
      </c>
      <c r="B71281">
        <f>TEXT(71280, "[$-0E0000]yyyy-mm-dd")</f>
        <v/>
      </c>
      <c r="C71281" t="inlineStr">
        <is>
          <t>2095-01-22</t>
        </is>
      </c>
    </row>
    <row r="71282">
      <c r="A71282" s="1" t="n">
        <v>71281</v>
      </c>
      <c r="B71282">
        <f>TEXT(71281, "[$-0E0000]yyyy-mm-dd")</f>
        <v/>
      </c>
      <c r="C71282" t="inlineStr">
        <is>
          <t>2095-01-23</t>
        </is>
      </c>
    </row>
    <row r="71283">
      <c r="A71283" s="1" t="n">
        <v>71282</v>
      </c>
      <c r="B71283">
        <f>TEXT(71282, "[$-0E0000]yyyy-mm-dd")</f>
        <v/>
      </c>
      <c r="C71283" t="inlineStr">
        <is>
          <t>2095-01-24</t>
        </is>
      </c>
    </row>
    <row r="71284">
      <c r="A71284" s="1" t="n">
        <v>71283</v>
      </c>
      <c r="B71284">
        <f>TEXT(71283, "[$-0E0000]yyyy-mm-dd")</f>
        <v/>
      </c>
      <c r="C71284" t="inlineStr">
        <is>
          <t>2095-01-25</t>
        </is>
      </c>
    </row>
    <row r="71285">
      <c r="A71285" s="1" t="n">
        <v>71284</v>
      </c>
      <c r="B71285">
        <f>TEXT(71284, "[$-0E0000]yyyy-mm-dd")</f>
        <v/>
      </c>
      <c r="C71285" t="inlineStr">
        <is>
          <t>2095-01-26</t>
        </is>
      </c>
    </row>
    <row r="71286">
      <c r="A71286" s="1" t="n">
        <v>71285</v>
      </c>
      <c r="B71286">
        <f>TEXT(71285, "[$-0E0000]yyyy-mm-dd")</f>
        <v/>
      </c>
      <c r="C71286" t="inlineStr">
        <is>
          <t>2095-01-27</t>
        </is>
      </c>
    </row>
    <row r="71287">
      <c r="A71287" s="1" t="n">
        <v>71286</v>
      </c>
      <c r="B71287">
        <f>TEXT(71286, "[$-0E0000]yyyy-mm-dd")</f>
        <v/>
      </c>
      <c r="C71287" t="inlineStr">
        <is>
          <t>2095-01-28</t>
        </is>
      </c>
    </row>
    <row r="71288">
      <c r="A71288" s="1" t="n">
        <v>71287</v>
      </c>
      <c r="B71288">
        <f>TEXT(71287, "[$-0E0000]yyyy-mm-dd")</f>
        <v/>
      </c>
      <c r="C71288" t="inlineStr">
        <is>
          <t>2095-01-29</t>
        </is>
      </c>
    </row>
    <row r="71289">
      <c r="A71289" s="1" t="n">
        <v>71288</v>
      </c>
      <c r="B71289">
        <f>TEXT(71288, "[$-0E0000]yyyy-mm-dd")</f>
        <v/>
      </c>
      <c r="C71289" t="inlineStr">
        <is>
          <t>2095-02-01</t>
        </is>
      </c>
    </row>
    <row r="71290">
      <c r="A71290" s="1" t="n">
        <v>71289</v>
      </c>
      <c r="B71290">
        <f>TEXT(71289, "[$-0E0000]yyyy-mm-dd")</f>
        <v/>
      </c>
      <c r="C71290" t="inlineStr">
        <is>
          <t>2095-02-02</t>
        </is>
      </c>
    </row>
    <row r="71291">
      <c r="A71291" s="1" t="n">
        <v>71290</v>
      </c>
      <c r="B71291">
        <f>TEXT(71290, "[$-0E0000]yyyy-mm-dd")</f>
        <v/>
      </c>
      <c r="C71291" t="inlineStr">
        <is>
          <t>2095-02-03</t>
        </is>
      </c>
    </row>
    <row r="71292">
      <c r="A71292" s="1" t="n">
        <v>71291</v>
      </c>
      <c r="B71292">
        <f>TEXT(71291, "[$-0E0000]yyyy-mm-dd")</f>
        <v/>
      </c>
      <c r="C71292" t="inlineStr">
        <is>
          <t>2095-02-04</t>
        </is>
      </c>
    </row>
    <row r="71293">
      <c r="A71293" s="1" t="n">
        <v>71292</v>
      </c>
      <c r="B71293">
        <f>TEXT(71292, "[$-0E0000]yyyy-mm-dd")</f>
        <v/>
      </c>
      <c r="C71293" t="inlineStr">
        <is>
          <t>2095-02-05</t>
        </is>
      </c>
    </row>
    <row r="71294">
      <c r="A71294" s="1" t="n">
        <v>71293</v>
      </c>
      <c r="B71294">
        <f>TEXT(71293, "[$-0E0000]yyyy-mm-dd")</f>
        <v/>
      </c>
      <c r="C71294" t="inlineStr">
        <is>
          <t>2095-02-06</t>
        </is>
      </c>
    </row>
    <row r="71295">
      <c r="A71295" s="1" t="n">
        <v>71294</v>
      </c>
      <c r="B71295">
        <f>TEXT(71294, "[$-0E0000]yyyy-mm-dd")</f>
        <v/>
      </c>
      <c r="C71295" t="inlineStr">
        <is>
          <t>2095-02-07</t>
        </is>
      </c>
    </row>
    <row r="71296">
      <c r="A71296" s="1" t="n">
        <v>71295</v>
      </c>
      <c r="B71296">
        <f>TEXT(71295, "[$-0E0000]yyyy-mm-dd")</f>
        <v/>
      </c>
      <c r="C71296" t="inlineStr">
        <is>
          <t>2095-02-08</t>
        </is>
      </c>
    </row>
    <row r="71297">
      <c r="A71297" s="1" t="n">
        <v>71296</v>
      </c>
      <c r="B71297">
        <f>TEXT(71296, "[$-0E0000]yyyy-mm-dd")</f>
        <v/>
      </c>
      <c r="C71297" t="inlineStr">
        <is>
          <t>2095-02-09</t>
        </is>
      </c>
    </row>
    <row r="71298">
      <c r="A71298" s="1" t="n">
        <v>71297</v>
      </c>
      <c r="B71298">
        <f>TEXT(71297, "[$-0E0000]yyyy-mm-dd")</f>
        <v/>
      </c>
      <c r="C71298" t="inlineStr">
        <is>
          <t>2095-02-10</t>
        </is>
      </c>
    </row>
    <row r="71299">
      <c r="A71299" s="1" t="n">
        <v>71298</v>
      </c>
      <c r="B71299">
        <f>TEXT(71298, "[$-0E0000]yyyy-mm-dd")</f>
        <v/>
      </c>
      <c r="C71299" t="inlineStr">
        <is>
          <t>2095-02-11</t>
        </is>
      </c>
    </row>
    <row r="71300">
      <c r="A71300" s="1" t="n">
        <v>71299</v>
      </c>
      <c r="B71300">
        <f>TEXT(71299, "[$-0E0000]yyyy-mm-dd")</f>
        <v/>
      </c>
      <c r="C71300" t="inlineStr">
        <is>
          <t>2095-02-12</t>
        </is>
      </c>
    </row>
    <row r="71301">
      <c r="A71301" s="1" t="n">
        <v>71300</v>
      </c>
      <c r="B71301">
        <f>TEXT(71300, "[$-0E0000]yyyy-mm-dd")</f>
        <v/>
      </c>
      <c r="C71301" t="inlineStr">
        <is>
          <t>2095-02-13</t>
        </is>
      </c>
    </row>
    <row r="71302">
      <c r="A71302" s="1" t="n">
        <v>71301</v>
      </c>
      <c r="B71302">
        <f>TEXT(71301, "[$-0E0000]yyyy-mm-dd")</f>
        <v/>
      </c>
      <c r="C71302" t="inlineStr">
        <is>
          <t>2095-02-14</t>
        </is>
      </c>
    </row>
    <row r="71303">
      <c r="A71303" s="1" t="n">
        <v>71302</v>
      </c>
      <c r="B71303">
        <f>TEXT(71302, "[$-0E0000]yyyy-mm-dd")</f>
        <v/>
      </c>
      <c r="C71303" t="inlineStr">
        <is>
          <t>2095-02-15</t>
        </is>
      </c>
    </row>
    <row r="71304">
      <c r="A71304" s="1" t="n">
        <v>71303</v>
      </c>
      <c r="B71304">
        <f>TEXT(71303, "[$-0E0000]yyyy-mm-dd")</f>
        <v/>
      </c>
      <c r="C71304" t="inlineStr">
        <is>
          <t>2095-02-16</t>
        </is>
      </c>
    </row>
    <row r="71305">
      <c r="A71305" s="1" t="n">
        <v>71304</v>
      </c>
      <c r="B71305">
        <f>TEXT(71304, "[$-0E0000]yyyy-mm-dd")</f>
        <v/>
      </c>
      <c r="C71305" t="inlineStr">
        <is>
          <t>2095-02-17</t>
        </is>
      </c>
    </row>
    <row r="71306">
      <c r="A71306" s="1" t="n">
        <v>71305</v>
      </c>
      <c r="B71306">
        <f>TEXT(71305, "[$-0E0000]yyyy-mm-dd")</f>
        <v/>
      </c>
      <c r="C71306" t="inlineStr">
        <is>
          <t>2095-02-18</t>
        </is>
      </c>
    </row>
    <row r="71307">
      <c r="A71307" s="1" t="n">
        <v>71306</v>
      </c>
      <c r="B71307">
        <f>TEXT(71306, "[$-0E0000]yyyy-mm-dd")</f>
        <v/>
      </c>
      <c r="C71307" t="inlineStr">
        <is>
          <t>2095-02-19</t>
        </is>
      </c>
    </row>
    <row r="71308">
      <c r="A71308" s="1" t="n">
        <v>71307</v>
      </c>
      <c r="B71308">
        <f>TEXT(71307, "[$-0E0000]yyyy-mm-dd")</f>
        <v/>
      </c>
      <c r="C71308" t="inlineStr">
        <is>
          <t>2095-02-20</t>
        </is>
      </c>
    </row>
    <row r="71309">
      <c r="A71309" s="1" t="n">
        <v>71308</v>
      </c>
      <c r="B71309">
        <f>TEXT(71308, "[$-0E0000]yyyy-mm-dd")</f>
        <v/>
      </c>
      <c r="C71309" t="inlineStr">
        <is>
          <t>2095-02-21</t>
        </is>
      </c>
    </row>
    <row r="71310">
      <c r="A71310" s="1" t="n">
        <v>71309</v>
      </c>
      <c r="B71310">
        <f>TEXT(71309, "[$-0E0000]yyyy-mm-dd")</f>
        <v/>
      </c>
      <c r="C71310" t="inlineStr">
        <is>
          <t>2095-02-22</t>
        </is>
      </c>
    </row>
    <row r="71311">
      <c r="A71311" s="1" t="n">
        <v>71310</v>
      </c>
      <c r="B71311">
        <f>TEXT(71310, "[$-0E0000]yyyy-mm-dd")</f>
        <v/>
      </c>
      <c r="C71311" t="inlineStr">
        <is>
          <t>2095-02-23</t>
        </is>
      </c>
    </row>
    <row r="71312">
      <c r="A71312" s="1" t="n">
        <v>71311</v>
      </c>
      <c r="B71312">
        <f>TEXT(71311, "[$-0E0000]yyyy-mm-dd")</f>
        <v/>
      </c>
      <c r="C71312" t="inlineStr">
        <is>
          <t>2095-02-24</t>
        </is>
      </c>
    </row>
    <row r="71313">
      <c r="A71313" s="1" t="n">
        <v>71312</v>
      </c>
      <c r="B71313">
        <f>TEXT(71312, "[$-0E0000]yyyy-mm-dd")</f>
        <v/>
      </c>
      <c r="C71313" t="inlineStr">
        <is>
          <t>2095-02-25</t>
        </is>
      </c>
    </row>
    <row r="71314">
      <c r="A71314" s="1" t="n">
        <v>71313</v>
      </c>
      <c r="B71314">
        <f>TEXT(71313, "[$-0E0000]yyyy-mm-dd")</f>
        <v/>
      </c>
      <c r="C71314" t="inlineStr">
        <is>
          <t>2095-02-26</t>
        </is>
      </c>
    </row>
    <row r="71315">
      <c r="A71315" s="1" t="n">
        <v>71314</v>
      </c>
      <c r="B71315">
        <f>TEXT(71314, "[$-0E0000]yyyy-mm-dd")</f>
        <v/>
      </c>
      <c r="C71315" t="inlineStr">
        <is>
          <t>2095-02-27</t>
        </is>
      </c>
    </row>
    <row r="71316">
      <c r="A71316" s="1" t="n">
        <v>71315</v>
      </c>
      <c r="B71316">
        <f>TEXT(71315, "[$-0E0000]yyyy-mm-dd")</f>
        <v/>
      </c>
      <c r="C71316" t="inlineStr">
        <is>
          <t>2095-02-28</t>
        </is>
      </c>
    </row>
    <row r="71317">
      <c r="A71317" s="1" t="n">
        <v>71316</v>
      </c>
      <c r="B71317">
        <f>TEXT(71316, "[$-0E0000]yyyy-mm-dd")</f>
        <v/>
      </c>
      <c r="C71317" t="inlineStr">
        <is>
          <t>2095-02-29</t>
        </is>
      </c>
    </row>
    <row r="71318">
      <c r="A71318" s="1" t="n">
        <v>71317</v>
      </c>
      <c r="B71318">
        <f>TEXT(71317, "[$-0E0000]yyyy-mm-dd")</f>
        <v/>
      </c>
      <c r="C71318" t="inlineStr">
        <is>
          <t>2095-02-30</t>
        </is>
      </c>
    </row>
    <row r="71319">
      <c r="A71319" s="1" t="n">
        <v>71318</v>
      </c>
      <c r="B71319">
        <f>TEXT(71318, "[$-0E0000]yyyy-mm-dd")</f>
        <v/>
      </c>
      <c r="C71319" t="inlineStr">
        <is>
          <t>2095-03-01</t>
        </is>
      </c>
    </row>
    <row r="71320">
      <c r="A71320" s="1" t="n">
        <v>71319</v>
      </c>
      <c r="B71320">
        <f>TEXT(71319, "[$-0E0000]yyyy-mm-dd")</f>
        <v/>
      </c>
      <c r="C71320" t="inlineStr">
        <is>
          <t>2095-03-02</t>
        </is>
      </c>
    </row>
    <row r="71321">
      <c r="A71321" s="1" t="n">
        <v>71320</v>
      </c>
      <c r="B71321">
        <f>TEXT(71320, "[$-0E0000]yyyy-mm-dd")</f>
        <v/>
      </c>
      <c r="C71321" t="inlineStr">
        <is>
          <t>2095-03-03</t>
        </is>
      </c>
    </row>
    <row r="71322">
      <c r="A71322" s="1" t="n">
        <v>71321</v>
      </c>
      <c r="B71322">
        <f>TEXT(71321, "[$-0E0000]yyyy-mm-dd")</f>
        <v/>
      </c>
      <c r="C71322" t="inlineStr">
        <is>
          <t>2095-03-04</t>
        </is>
      </c>
    </row>
    <row r="71323">
      <c r="A71323" s="1" t="n">
        <v>71322</v>
      </c>
      <c r="B71323">
        <f>TEXT(71322, "[$-0E0000]yyyy-mm-dd")</f>
        <v/>
      </c>
      <c r="C71323" t="inlineStr">
        <is>
          <t>2095-03-05</t>
        </is>
      </c>
    </row>
    <row r="71324">
      <c r="A71324" s="1" t="n">
        <v>71323</v>
      </c>
      <c r="B71324">
        <f>TEXT(71323, "[$-0E0000]yyyy-mm-dd")</f>
        <v/>
      </c>
      <c r="C71324" t="inlineStr">
        <is>
          <t>2095-03-06</t>
        </is>
      </c>
    </row>
    <row r="71325">
      <c r="A71325" s="1" t="n">
        <v>71324</v>
      </c>
      <c r="B71325">
        <f>TEXT(71324, "[$-0E0000]yyyy-mm-dd")</f>
        <v/>
      </c>
      <c r="C71325" t="inlineStr">
        <is>
          <t>2095-03-07</t>
        </is>
      </c>
    </row>
    <row r="71326">
      <c r="A71326" s="1" t="n">
        <v>71325</v>
      </c>
      <c r="B71326">
        <f>TEXT(71325, "[$-0E0000]yyyy-mm-dd")</f>
        <v/>
      </c>
      <c r="C71326" t="inlineStr">
        <is>
          <t>2095-03-08</t>
        </is>
      </c>
    </row>
    <row r="71327">
      <c r="A71327" s="1" t="n">
        <v>71326</v>
      </c>
      <c r="B71327">
        <f>TEXT(71326, "[$-0E0000]yyyy-mm-dd")</f>
        <v/>
      </c>
      <c r="C71327" t="inlineStr">
        <is>
          <t>2095-03-09</t>
        </is>
      </c>
    </row>
    <row r="71328">
      <c r="A71328" s="1" t="n">
        <v>71327</v>
      </c>
      <c r="B71328">
        <f>TEXT(71327, "[$-0E0000]yyyy-mm-dd")</f>
        <v/>
      </c>
      <c r="C71328" t="inlineStr">
        <is>
          <t>2095-03-10</t>
        </is>
      </c>
    </row>
    <row r="71329">
      <c r="A71329" s="1" t="n">
        <v>71328</v>
      </c>
      <c r="B71329">
        <f>TEXT(71328, "[$-0E0000]yyyy-mm-dd")</f>
        <v/>
      </c>
      <c r="C71329" t="inlineStr">
        <is>
          <t>2095-03-11</t>
        </is>
      </c>
    </row>
    <row r="71330">
      <c r="A71330" s="1" t="n">
        <v>71329</v>
      </c>
      <c r="B71330">
        <f>TEXT(71329, "[$-0E0000]yyyy-mm-dd")</f>
        <v/>
      </c>
      <c r="C71330" t="inlineStr">
        <is>
          <t>2095-03-12</t>
        </is>
      </c>
    </row>
    <row r="71331">
      <c r="A71331" s="1" t="n">
        <v>71330</v>
      </c>
      <c r="B71331">
        <f>TEXT(71330, "[$-0E0000]yyyy-mm-dd")</f>
        <v/>
      </c>
      <c r="C71331" t="inlineStr">
        <is>
          <t>2095-03-13</t>
        </is>
      </c>
    </row>
    <row r="71332">
      <c r="A71332" s="1" t="n">
        <v>71331</v>
      </c>
      <c r="B71332">
        <f>TEXT(71331, "[$-0E0000]yyyy-mm-dd")</f>
        <v/>
      </c>
      <c r="C71332" t="inlineStr">
        <is>
          <t>2095-03-14</t>
        </is>
      </c>
    </row>
    <row r="71333">
      <c r="A71333" s="1" t="n">
        <v>71332</v>
      </c>
      <c r="B71333">
        <f>TEXT(71332, "[$-0E0000]yyyy-mm-dd")</f>
        <v/>
      </c>
      <c r="C71333" t="inlineStr">
        <is>
          <t>2095-03-15</t>
        </is>
      </c>
    </row>
    <row r="71334">
      <c r="A71334" s="1" t="n">
        <v>71333</v>
      </c>
      <c r="B71334">
        <f>TEXT(71333, "[$-0E0000]yyyy-mm-dd")</f>
        <v/>
      </c>
      <c r="C71334" t="inlineStr">
        <is>
          <t>2095-03-16</t>
        </is>
      </c>
    </row>
    <row r="71335">
      <c r="A71335" s="1" t="n">
        <v>71334</v>
      </c>
      <c r="B71335">
        <f>TEXT(71334, "[$-0E0000]yyyy-mm-dd")</f>
        <v/>
      </c>
      <c r="C71335" t="inlineStr">
        <is>
          <t>2095-03-17</t>
        </is>
      </c>
    </row>
    <row r="71336">
      <c r="A71336" s="1" t="n">
        <v>71335</v>
      </c>
      <c r="B71336">
        <f>TEXT(71335, "[$-0E0000]yyyy-mm-dd")</f>
        <v/>
      </c>
      <c r="C71336" t="inlineStr">
        <is>
          <t>2095-03-18</t>
        </is>
      </c>
    </row>
    <row r="71337">
      <c r="A71337" s="1" t="n">
        <v>71336</v>
      </c>
      <c r="B71337">
        <f>TEXT(71336, "[$-0E0000]yyyy-mm-dd")</f>
        <v/>
      </c>
      <c r="C71337" t="inlineStr">
        <is>
          <t>2095-03-19</t>
        </is>
      </c>
    </row>
    <row r="71338">
      <c r="A71338" s="1" t="n">
        <v>71337</v>
      </c>
      <c r="B71338">
        <f>TEXT(71337, "[$-0E0000]yyyy-mm-dd")</f>
        <v/>
      </c>
      <c r="C71338" t="inlineStr">
        <is>
          <t>2095-03-20</t>
        </is>
      </c>
    </row>
    <row r="71339">
      <c r="A71339" s="1" t="n">
        <v>71338</v>
      </c>
      <c r="B71339">
        <f>TEXT(71338, "[$-0E0000]yyyy-mm-dd")</f>
        <v/>
      </c>
      <c r="C71339" t="inlineStr">
        <is>
          <t>2095-03-21</t>
        </is>
      </c>
    </row>
    <row r="71340">
      <c r="A71340" s="1" t="n">
        <v>71339</v>
      </c>
      <c r="B71340">
        <f>TEXT(71339, "[$-0E0000]yyyy-mm-dd")</f>
        <v/>
      </c>
      <c r="C71340" t="inlineStr">
        <is>
          <t>2095-03-22</t>
        </is>
      </c>
    </row>
    <row r="71341">
      <c r="A71341" s="1" t="n">
        <v>71340</v>
      </c>
      <c r="B71341">
        <f>TEXT(71340, "[$-0E0000]yyyy-mm-dd")</f>
        <v/>
      </c>
      <c r="C71341" t="inlineStr">
        <is>
          <t>2095-03-23</t>
        </is>
      </c>
    </row>
    <row r="71342">
      <c r="A71342" s="1" t="n">
        <v>71341</v>
      </c>
      <c r="B71342">
        <f>TEXT(71341, "[$-0E0000]yyyy-mm-dd")</f>
        <v/>
      </c>
      <c r="C71342" t="inlineStr">
        <is>
          <t>2095-03-24</t>
        </is>
      </c>
    </row>
    <row r="71343">
      <c r="A71343" s="1" t="n">
        <v>71342</v>
      </c>
      <c r="B71343">
        <f>TEXT(71342, "[$-0E0000]yyyy-mm-dd")</f>
        <v/>
      </c>
      <c r="C71343" t="inlineStr">
        <is>
          <t>2095-03-25</t>
        </is>
      </c>
    </row>
    <row r="71344">
      <c r="A71344" s="1" t="n">
        <v>71343</v>
      </c>
      <c r="B71344">
        <f>TEXT(71343, "[$-0E0000]yyyy-mm-dd")</f>
        <v/>
      </c>
      <c r="C71344" t="inlineStr">
        <is>
          <t>2095-03-26</t>
        </is>
      </c>
    </row>
    <row r="71345">
      <c r="A71345" s="1" t="n">
        <v>71344</v>
      </c>
      <c r="B71345">
        <f>TEXT(71344, "[$-0E0000]yyyy-mm-dd")</f>
        <v/>
      </c>
      <c r="C71345" t="inlineStr">
        <is>
          <t>2095-03-27</t>
        </is>
      </c>
    </row>
    <row r="71346">
      <c r="A71346" s="1" t="n">
        <v>71345</v>
      </c>
      <c r="B71346">
        <f>TEXT(71345, "[$-0E0000]yyyy-mm-dd")</f>
        <v/>
      </c>
      <c r="C71346" t="inlineStr">
        <is>
          <t>2095-03-28</t>
        </is>
      </c>
    </row>
    <row r="71347">
      <c r="A71347" s="1" t="n">
        <v>71346</v>
      </c>
      <c r="B71347">
        <f>TEXT(71346, "[$-0E0000]yyyy-mm-dd")</f>
        <v/>
      </c>
      <c r="C71347" t="inlineStr">
        <is>
          <t>2095-03-29</t>
        </is>
      </c>
    </row>
    <row r="71348">
      <c r="A71348" s="1" t="n">
        <v>71347</v>
      </c>
      <c r="B71348">
        <f>TEXT(71347, "[$-0E0000]yyyy-mm-dd")</f>
        <v/>
      </c>
      <c r="C71348" t="inlineStr">
        <is>
          <t>2095-04-01</t>
        </is>
      </c>
    </row>
    <row r="71349">
      <c r="A71349" s="1" t="n">
        <v>71348</v>
      </c>
      <c r="B71349">
        <f>TEXT(71348, "[$-0E0000]yyyy-mm-dd")</f>
        <v/>
      </c>
      <c r="C71349" t="inlineStr">
        <is>
          <t>2095-04-02</t>
        </is>
      </c>
    </row>
    <row r="71350">
      <c r="A71350" s="1" t="n">
        <v>71349</v>
      </c>
      <c r="B71350">
        <f>TEXT(71349, "[$-0E0000]yyyy-mm-dd")</f>
        <v/>
      </c>
      <c r="C71350" t="inlineStr">
        <is>
          <t>2095-04-03</t>
        </is>
      </c>
    </row>
    <row r="71351">
      <c r="A71351" s="1" t="n">
        <v>71350</v>
      </c>
      <c r="B71351">
        <f>TEXT(71350, "[$-0E0000]yyyy-mm-dd")</f>
        <v/>
      </c>
      <c r="C71351" t="inlineStr">
        <is>
          <t>2095-04-04</t>
        </is>
      </c>
    </row>
    <row r="71352">
      <c r="A71352" s="1" t="n">
        <v>71351</v>
      </c>
      <c r="B71352">
        <f>TEXT(71351, "[$-0E0000]yyyy-mm-dd")</f>
        <v/>
      </c>
      <c r="C71352" t="inlineStr">
        <is>
          <t>2095-04-05</t>
        </is>
      </c>
    </row>
    <row r="71353">
      <c r="A71353" s="1" t="n">
        <v>71352</v>
      </c>
      <c r="B71353">
        <f>TEXT(71352, "[$-0E0000]yyyy-mm-dd")</f>
        <v/>
      </c>
      <c r="C71353" t="inlineStr">
        <is>
          <t>2095-04-06</t>
        </is>
      </c>
    </row>
    <row r="71354">
      <c r="A71354" s="1" t="n">
        <v>71353</v>
      </c>
      <c r="B71354">
        <f>TEXT(71353, "[$-0E0000]yyyy-mm-dd")</f>
        <v/>
      </c>
      <c r="C71354" t="inlineStr">
        <is>
          <t>2095-04-07</t>
        </is>
      </c>
    </row>
    <row r="71355">
      <c r="A71355" s="1" t="n">
        <v>71354</v>
      </c>
      <c r="B71355">
        <f>TEXT(71354, "[$-0E0000]yyyy-mm-dd")</f>
        <v/>
      </c>
      <c r="C71355" t="inlineStr">
        <is>
          <t>2095-04-08</t>
        </is>
      </c>
    </row>
    <row r="71356">
      <c r="A71356" s="1" t="n">
        <v>71355</v>
      </c>
      <c r="B71356">
        <f>TEXT(71355, "[$-0E0000]yyyy-mm-dd")</f>
        <v/>
      </c>
      <c r="C71356" t="inlineStr">
        <is>
          <t>2095-04-09</t>
        </is>
      </c>
    </row>
    <row r="71357">
      <c r="A71357" s="1" t="n">
        <v>71356</v>
      </c>
      <c r="B71357">
        <f>TEXT(71356, "[$-0E0000]yyyy-mm-dd")</f>
        <v/>
      </c>
      <c r="C71357" t="inlineStr">
        <is>
          <t>2095-04-10</t>
        </is>
      </c>
    </row>
    <row r="71358">
      <c r="A71358" s="1" t="n">
        <v>71357</v>
      </c>
      <c r="B71358">
        <f>TEXT(71357, "[$-0E0000]yyyy-mm-dd")</f>
        <v/>
      </c>
      <c r="C71358" t="inlineStr">
        <is>
          <t>2095-04-11</t>
        </is>
      </c>
    </row>
    <row r="71359">
      <c r="A71359" s="1" t="n">
        <v>71358</v>
      </c>
      <c r="B71359">
        <f>TEXT(71358, "[$-0E0000]yyyy-mm-dd")</f>
        <v/>
      </c>
      <c r="C71359" t="inlineStr">
        <is>
          <t>2095-04-12</t>
        </is>
      </c>
    </row>
    <row r="71360">
      <c r="A71360" s="1" t="n">
        <v>71359</v>
      </c>
      <c r="B71360">
        <f>TEXT(71359, "[$-0E0000]yyyy-mm-dd")</f>
        <v/>
      </c>
      <c r="C71360" t="inlineStr">
        <is>
          <t>2095-04-13</t>
        </is>
      </c>
    </row>
    <row r="71361">
      <c r="A71361" s="1" t="n">
        <v>71360</v>
      </c>
      <c r="B71361">
        <f>TEXT(71360, "[$-0E0000]yyyy-mm-dd")</f>
        <v/>
      </c>
      <c r="C71361" t="inlineStr">
        <is>
          <t>2095-04-14</t>
        </is>
      </c>
    </row>
    <row r="71362">
      <c r="A71362" s="1" t="n">
        <v>71361</v>
      </c>
      <c r="B71362">
        <f>TEXT(71361, "[$-0E0000]yyyy-mm-dd")</f>
        <v/>
      </c>
      <c r="C71362" t="inlineStr">
        <is>
          <t>2095-04-15</t>
        </is>
      </c>
    </row>
    <row r="71363">
      <c r="A71363" s="1" t="n">
        <v>71362</v>
      </c>
      <c r="B71363">
        <f>TEXT(71362, "[$-0E0000]yyyy-mm-dd")</f>
        <v/>
      </c>
      <c r="C71363" t="inlineStr">
        <is>
          <t>2095-04-16</t>
        </is>
      </c>
    </row>
    <row r="71364">
      <c r="A71364" s="1" t="n">
        <v>71363</v>
      </c>
      <c r="B71364">
        <f>TEXT(71363, "[$-0E0000]yyyy-mm-dd")</f>
        <v/>
      </c>
      <c r="C71364" t="inlineStr">
        <is>
          <t>2095-04-17</t>
        </is>
      </c>
    </row>
    <row r="71365">
      <c r="A71365" s="1" t="n">
        <v>71364</v>
      </c>
      <c r="B71365">
        <f>TEXT(71364, "[$-0E0000]yyyy-mm-dd")</f>
        <v/>
      </c>
      <c r="C71365" t="inlineStr">
        <is>
          <t>2095-04-18</t>
        </is>
      </c>
    </row>
    <row r="71366">
      <c r="A71366" s="1" t="n">
        <v>71365</v>
      </c>
      <c r="B71366">
        <f>TEXT(71365, "[$-0E0000]yyyy-mm-dd")</f>
        <v/>
      </c>
      <c r="C71366" t="inlineStr">
        <is>
          <t>2095-04-19</t>
        </is>
      </c>
    </row>
    <row r="71367">
      <c r="A71367" s="1" t="n">
        <v>71366</v>
      </c>
      <c r="B71367">
        <f>TEXT(71366, "[$-0E0000]yyyy-mm-dd")</f>
        <v/>
      </c>
      <c r="C71367" t="inlineStr">
        <is>
          <t>2095-04-20</t>
        </is>
      </c>
    </row>
    <row r="71368">
      <c r="A71368" s="1" t="n">
        <v>71367</v>
      </c>
      <c r="B71368">
        <f>TEXT(71367, "[$-0E0000]yyyy-mm-dd")</f>
        <v/>
      </c>
      <c r="C71368" t="inlineStr">
        <is>
          <t>2095-04-21</t>
        </is>
      </c>
    </row>
    <row r="71369">
      <c r="A71369" s="1" t="n">
        <v>71368</v>
      </c>
      <c r="B71369">
        <f>TEXT(71368, "[$-0E0000]yyyy-mm-dd")</f>
        <v/>
      </c>
      <c r="C71369" t="inlineStr">
        <is>
          <t>2095-04-22</t>
        </is>
      </c>
    </row>
    <row r="71370">
      <c r="A71370" s="1" t="n">
        <v>71369</v>
      </c>
      <c r="B71370">
        <f>TEXT(71369, "[$-0E0000]yyyy-mm-dd")</f>
        <v/>
      </c>
      <c r="C71370" t="inlineStr">
        <is>
          <t>2095-04-23</t>
        </is>
      </c>
    </row>
    <row r="71371">
      <c r="A71371" s="1" t="n">
        <v>71370</v>
      </c>
      <c r="B71371">
        <f>TEXT(71370, "[$-0E0000]yyyy-mm-dd")</f>
        <v/>
      </c>
      <c r="C71371" t="inlineStr">
        <is>
          <t>2095-04-24</t>
        </is>
      </c>
    </row>
    <row r="71372">
      <c r="A71372" s="1" t="n">
        <v>71371</v>
      </c>
      <c r="B71372">
        <f>TEXT(71371, "[$-0E0000]yyyy-mm-dd")</f>
        <v/>
      </c>
      <c r="C71372" t="inlineStr">
        <is>
          <t>2095-04-25</t>
        </is>
      </c>
    </row>
    <row r="71373">
      <c r="A71373" s="1" t="n">
        <v>71372</v>
      </c>
      <c r="B71373">
        <f>TEXT(71372, "[$-0E0000]yyyy-mm-dd")</f>
        <v/>
      </c>
      <c r="C71373" t="inlineStr">
        <is>
          <t>2095-04-26</t>
        </is>
      </c>
    </row>
    <row r="71374">
      <c r="A71374" s="1" t="n">
        <v>71373</v>
      </c>
      <c r="B71374">
        <f>TEXT(71373, "[$-0E0000]yyyy-mm-dd")</f>
        <v/>
      </c>
      <c r="C71374" t="inlineStr">
        <is>
          <t>2095-04-27</t>
        </is>
      </c>
    </row>
    <row r="71375">
      <c r="A71375" s="1" t="n">
        <v>71374</v>
      </c>
      <c r="B71375">
        <f>TEXT(71374, "[$-0E0000]yyyy-mm-dd")</f>
        <v/>
      </c>
      <c r="C71375" t="inlineStr">
        <is>
          <t>2095-04-28</t>
        </is>
      </c>
    </row>
    <row r="71376">
      <c r="A71376" s="1" t="n">
        <v>71375</v>
      </c>
      <c r="B71376">
        <f>TEXT(71375, "[$-0E0000]yyyy-mm-dd")</f>
        <v/>
      </c>
      <c r="C71376" t="inlineStr">
        <is>
          <t>2095-04-29</t>
        </is>
      </c>
    </row>
    <row r="71377">
      <c r="A71377" s="1" t="n">
        <v>71376</v>
      </c>
      <c r="B71377">
        <f>TEXT(71376, "[$-0E0000]yyyy-mm-dd")</f>
        <v/>
      </c>
      <c r="C71377" t="inlineStr">
        <is>
          <t>2095-05-01</t>
        </is>
      </c>
    </row>
    <row r="71378">
      <c r="A71378" s="1" t="n">
        <v>71377</v>
      </c>
      <c r="B71378">
        <f>TEXT(71377, "[$-0E0000]yyyy-mm-dd")</f>
        <v/>
      </c>
      <c r="C71378" t="inlineStr">
        <is>
          <t>2095-05-02</t>
        </is>
      </c>
    </row>
    <row r="71379">
      <c r="A71379" s="1" t="n">
        <v>71378</v>
      </c>
      <c r="B71379">
        <f>TEXT(71378, "[$-0E0000]yyyy-mm-dd")</f>
        <v/>
      </c>
      <c r="C71379" t="inlineStr">
        <is>
          <t>2095-05-03</t>
        </is>
      </c>
    </row>
    <row r="71380">
      <c r="A71380" s="1" t="n">
        <v>71379</v>
      </c>
      <c r="B71380">
        <f>TEXT(71379, "[$-0E0000]yyyy-mm-dd")</f>
        <v/>
      </c>
      <c r="C71380" t="inlineStr">
        <is>
          <t>2095-05-04</t>
        </is>
      </c>
    </row>
    <row r="71381">
      <c r="A71381" s="1" t="n">
        <v>71380</v>
      </c>
      <c r="B71381">
        <f>TEXT(71380, "[$-0E0000]yyyy-mm-dd")</f>
        <v/>
      </c>
      <c r="C71381" t="inlineStr">
        <is>
          <t>2095-05-05</t>
        </is>
      </c>
    </row>
    <row r="71382">
      <c r="A71382" s="1" t="n">
        <v>71381</v>
      </c>
      <c r="B71382">
        <f>TEXT(71381, "[$-0E0000]yyyy-mm-dd")</f>
        <v/>
      </c>
      <c r="C71382" t="inlineStr">
        <is>
          <t>2095-05-06</t>
        </is>
      </c>
    </row>
    <row r="71383">
      <c r="A71383" s="1" t="n">
        <v>71382</v>
      </c>
      <c r="B71383">
        <f>TEXT(71382, "[$-0E0000]yyyy-mm-dd")</f>
        <v/>
      </c>
      <c r="C71383" t="inlineStr">
        <is>
          <t>2095-05-07</t>
        </is>
      </c>
    </row>
    <row r="71384">
      <c r="A71384" s="1" t="n">
        <v>71383</v>
      </c>
      <c r="B71384">
        <f>TEXT(71383, "[$-0E0000]yyyy-mm-dd")</f>
        <v/>
      </c>
      <c r="C71384" t="inlineStr">
        <is>
          <t>2095-05-08</t>
        </is>
      </c>
    </row>
    <row r="71385">
      <c r="A71385" s="1" t="n">
        <v>71384</v>
      </c>
      <c r="B71385">
        <f>TEXT(71384, "[$-0E0000]yyyy-mm-dd")</f>
        <v/>
      </c>
      <c r="C71385" t="inlineStr">
        <is>
          <t>2095-05-09</t>
        </is>
      </c>
    </row>
    <row r="71386">
      <c r="A71386" s="1" t="n">
        <v>71385</v>
      </c>
      <c r="B71386">
        <f>TEXT(71385, "[$-0E0000]yyyy-mm-dd")</f>
        <v/>
      </c>
      <c r="C71386" t="inlineStr">
        <is>
          <t>2095-05-10</t>
        </is>
      </c>
    </row>
    <row r="71387">
      <c r="A71387" s="1" t="n">
        <v>71386</v>
      </c>
      <c r="B71387">
        <f>TEXT(71386, "[$-0E0000]yyyy-mm-dd")</f>
        <v/>
      </c>
      <c r="C71387" t="inlineStr">
        <is>
          <t>2095-05-11</t>
        </is>
      </c>
    </row>
    <row r="71388">
      <c r="A71388" s="1" t="n">
        <v>71387</v>
      </c>
      <c r="B71388">
        <f>TEXT(71387, "[$-0E0000]yyyy-mm-dd")</f>
        <v/>
      </c>
      <c r="C71388" t="inlineStr">
        <is>
          <t>2095-05-12</t>
        </is>
      </c>
    </row>
    <row r="71389">
      <c r="A71389" s="1" t="n">
        <v>71388</v>
      </c>
      <c r="B71389">
        <f>TEXT(71388, "[$-0E0000]yyyy-mm-dd")</f>
        <v/>
      </c>
      <c r="C71389" t="inlineStr">
        <is>
          <t>2095-05-13</t>
        </is>
      </c>
    </row>
    <row r="71390">
      <c r="A71390" s="1" t="n">
        <v>71389</v>
      </c>
      <c r="B71390">
        <f>TEXT(71389, "[$-0E0000]yyyy-mm-dd")</f>
        <v/>
      </c>
      <c r="C71390" t="inlineStr">
        <is>
          <t>2095-05-14</t>
        </is>
      </c>
    </row>
    <row r="71391">
      <c r="A71391" s="1" t="n">
        <v>71390</v>
      </c>
      <c r="B71391">
        <f>TEXT(71390, "[$-0E0000]yyyy-mm-dd")</f>
        <v/>
      </c>
      <c r="C71391" t="inlineStr">
        <is>
          <t>2095-05-15</t>
        </is>
      </c>
    </row>
    <row r="71392">
      <c r="A71392" s="1" t="n">
        <v>71391</v>
      </c>
      <c r="B71392">
        <f>TEXT(71391, "[$-0E0000]yyyy-mm-dd")</f>
        <v/>
      </c>
      <c r="C71392" t="inlineStr">
        <is>
          <t>2095-05-16</t>
        </is>
      </c>
    </row>
    <row r="71393">
      <c r="A71393" s="1" t="n">
        <v>71392</v>
      </c>
      <c r="B71393">
        <f>TEXT(71392, "[$-0E0000]yyyy-mm-dd")</f>
        <v/>
      </c>
      <c r="C71393" t="inlineStr">
        <is>
          <t>2095-05-17</t>
        </is>
      </c>
    </row>
    <row r="71394">
      <c r="A71394" s="1" t="n">
        <v>71393</v>
      </c>
      <c r="B71394">
        <f>TEXT(71393, "[$-0E0000]yyyy-mm-dd")</f>
        <v/>
      </c>
      <c r="C71394" t="inlineStr">
        <is>
          <t>2095-05-18</t>
        </is>
      </c>
    </row>
    <row r="71395">
      <c r="A71395" s="1" t="n">
        <v>71394</v>
      </c>
      <c r="B71395">
        <f>TEXT(71394, "[$-0E0000]yyyy-mm-dd")</f>
        <v/>
      </c>
      <c r="C71395" t="inlineStr">
        <is>
          <t>2095-05-19</t>
        </is>
      </c>
    </row>
    <row r="71396">
      <c r="A71396" s="1" t="n">
        <v>71395</v>
      </c>
      <c r="B71396">
        <f>TEXT(71395, "[$-0E0000]yyyy-mm-dd")</f>
        <v/>
      </c>
      <c r="C71396" t="inlineStr">
        <is>
          <t>2095-05-20</t>
        </is>
      </c>
    </row>
    <row r="71397">
      <c r="A71397" s="1" t="n">
        <v>71396</v>
      </c>
      <c r="B71397">
        <f>TEXT(71396, "[$-0E0000]yyyy-mm-dd")</f>
        <v/>
      </c>
      <c r="C71397" t="inlineStr">
        <is>
          <t>2095-05-21</t>
        </is>
      </c>
    </row>
    <row r="71398">
      <c r="A71398" s="1" t="n">
        <v>71397</v>
      </c>
      <c r="B71398">
        <f>TEXT(71397, "[$-0E0000]yyyy-mm-dd")</f>
        <v/>
      </c>
      <c r="C71398" t="inlineStr">
        <is>
          <t>2095-05-22</t>
        </is>
      </c>
    </row>
    <row r="71399">
      <c r="A71399" s="1" t="n">
        <v>71398</v>
      </c>
      <c r="B71399">
        <f>TEXT(71398, "[$-0E0000]yyyy-mm-dd")</f>
        <v/>
      </c>
      <c r="C71399" t="inlineStr">
        <is>
          <t>2095-05-23</t>
        </is>
      </c>
    </row>
    <row r="71400">
      <c r="A71400" s="1" t="n">
        <v>71399</v>
      </c>
      <c r="B71400">
        <f>TEXT(71399, "[$-0E0000]yyyy-mm-dd")</f>
        <v/>
      </c>
      <c r="C71400" t="inlineStr">
        <is>
          <t>2095-05-24</t>
        </is>
      </c>
    </row>
    <row r="71401">
      <c r="A71401" s="1" t="n">
        <v>71400</v>
      </c>
      <c r="B71401">
        <f>TEXT(71400, "[$-0E0000]yyyy-mm-dd")</f>
        <v/>
      </c>
      <c r="C71401" t="inlineStr">
        <is>
          <t>2095-05-25</t>
        </is>
      </c>
    </row>
    <row r="71402">
      <c r="A71402" s="1" t="n">
        <v>71401</v>
      </c>
      <c r="B71402">
        <f>TEXT(71401, "[$-0E0000]yyyy-mm-dd")</f>
        <v/>
      </c>
      <c r="C71402" t="inlineStr">
        <is>
          <t>2095-05-26</t>
        </is>
      </c>
    </row>
    <row r="71403">
      <c r="A71403" s="1" t="n">
        <v>71402</v>
      </c>
      <c r="B71403">
        <f>TEXT(71402, "[$-0E0000]yyyy-mm-dd")</f>
        <v/>
      </c>
      <c r="C71403" t="inlineStr">
        <is>
          <t>2095-05-27</t>
        </is>
      </c>
    </row>
    <row r="71404">
      <c r="A71404" s="1" t="n">
        <v>71403</v>
      </c>
      <c r="B71404">
        <f>TEXT(71403, "[$-0E0000]yyyy-mm-dd")</f>
        <v/>
      </c>
      <c r="C71404" t="inlineStr">
        <is>
          <t>2095-05-28</t>
        </is>
      </c>
    </row>
    <row r="71405">
      <c r="A71405" s="1" t="n">
        <v>71404</v>
      </c>
      <c r="B71405">
        <f>TEXT(71404, "[$-0E0000]yyyy-mm-dd")</f>
        <v/>
      </c>
      <c r="C71405" t="inlineStr">
        <is>
          <t>2095-05-29</t>
        </is>
      </c>
    </row>
    <row r="71406">
      <c r="A71406" s="1" t="n">
        <v>71405</v>
      </c>
      <c r="B71406">
        <f>TEXT(71405, "[$-0E0000]yyyy-mm-dd")</f>
        <v/>
      </c>
      <c r="C71406" t="inlineStr">
        <is>
          <t>2095-05-30</t>
        </is>
      </c>
    </row>
    <row r="71407">
      <c r="A71407" s="1" t="n">
        <v>71406</v>
      </c>
      <c r="B71407">
        <f>TEXT(71406, "[$-0E0000]yyyy-mm-dd")</f>
        <v/>
      </c>
      <c r="C71407" t="inlineStr">
        <is>
          <t>2095-06-01</t>
        </is>
      </c>
    </row>
    <row r="71408">
      <c r="A71408" s="1" t="n">
        <v>71407</v>
      </c>
      <c r="B71408">
        <f>TEXT(71407, "[$-0E0000]yyyy-mm-dd")</f>
        <v/>
      </c>
      <c r="C71408" t="inlineStr">
        <is>
          <t>2095-06-02</t>
        </is>
      </c>
    </row>
    <row r="71409">
      <c r="A71409" s="1" t="n">
        <v>71408</v>
      </c>
      <c r="B71409">
        <f>TEXT(71408, "[$-0E0000]yyyy-mm-dd")</f>
        <v/>
      </c>
      <c r="C71409" t="inlineStr">
        <is>
          <t>2095-06-03</t>
        </is>
      </c>
    </row>
    <row r="71410">
      <c r="A71410" s="1" t="n">
        <v>71409</v>
      </c>
      <c r="B71410">
        <f>TEXT(71409, "[$-0E0000]yyyy-mm-dd")</f>
        <v/>
      </c>
      <c r="C71410" t="inlineStr">
        <is>
          <t>2095-06-04</t>
        </is>
      </c>
    </row>
    <row r="71411">
      <c r="A71411" s="1" t="n">
        <v>71410</v>
      </c>
      <c r="B71411">
        <f>TEXT(71410, "[$-0E0000]yyyy-mm-dd")</f>
        <v/>
      </c>
      <c r="C71411" t="inlineStr">
        <is>
          <t>2095-06-05</t>
        </is>
      </c>
    </row>
    <row r="71412">
      <c r="A71412" s="1" t="n">
        <v>71411</v>
      </c>
      <c r="B71412">
        <f>TEXT(71411, "[$-0E0000]yyyy-mm-dd")</f>
        <v/>
      </c>
      <c r="C71412" t="inlineStr">
        <is>
          <t>2095-06-06</t>
        </is>
      </c>
    </row>
    <row r="71413">
      <c r="A71413" s="1" t="n">
        <v>71412</v>
      </c>
      <c r="B71413">
        <f>TEXT(71412, "[$-0E0000]yyyy-mm-dd")</f>
        <v/>
      </c>
      <c r="C71413" t="inlineStr">
        <is>
          <t>2095-06-07</t>
        </is>
      </c>
    </row>
    <row r="71414">
      <c r="A71414" s="1" t="n">
        <v>71413</v>
      </c>
      <c r="B71414">
        <f>TEXT(71413, "[$-0E0000]yyyy-mm-dd")</f>
        <v/>
      </c>
      <c r="C71414" t="inlineStr">
        <is>
          <t>2095-06-08</t>
        </is>
      </c>
    </row>
    <row r="71415">
      <c r="A71415" s="1" t="n">
        <v>71414</v>
      </c>
      <c r="B71415">
        <f>TEXT(71414, "[$-0E0000]yyyy-mm-dd")</f>
        <v/>
      </c>
      <c r="C71415" t="inlineStr">
        <is>
          <t>2095-06-09</t>
        </is>
      </c>
    </row>
    <row r="71416">
      <c r="A71416" s="1" t="n">
        <v>71415</v>
      </c>
      <c r="B71416">
        <f>TEXT(71415, "[$-0E0000]yyyy-mm-dd")</f>
        <v/>
      </c>
      <c r="C71416" t="inlineStr">
        <is>
          <t>2095-06-10</t>
        </is>
      </c>
    </row>
    <row r="71417">
      <c r="A71417" s="1" t="n">
        <v>71416</v>
      </c>
      <c r="B71417">
        <f>TEXT(71416, "[$-0E0000]yyyy-mm-dd")</f>
        <v/>
      </c>
      <c r="C71417" t="inlineStr">
        <is>
          <t>2095-06-11</t>
        </is>
      </c>
    </row>
    <row r="71418">
      <c r="A71418" s="1" t="n">
        <v>71417</v>
      </c>
      <c r="B71418">
        <f>TEXT(71417, "[$-0E0000]yyyy-mm-dd")</f>
        <v/>
      </c>
      <c r="C71418" t="inlineStr">
        <is>
          <t>2095-06-12</t>
        </is>
      </c>
    </row>
    <row r="71419">
      <c r="A71419" s="1" t="n">
        <v>71418</v>
      </c>
      <c r="B71419">
        <f>TEXT(71418, "[$-0E0000]yyyy-mm-dd")</f>
        <v/>
      </c>
      <c r="C71419" t="inlineStr">
        <is>
          <t>2095-06-13</t>
        </is>
      </c>
    </row>
    <row r="71420">
      <c r="A71420" s="1" t="n">
        <v>71419</v>
      </c>
      <c r="B71420">
        <f>TEXT(71419, "[$-0E0000]yyyy-mm-dd")</f>
        <v/>
      </c>
      <c r="C71420" t="inlineStr">
        <is>
          <t>2095-06-14</t>
        </is>
      </c>
    </row>
    <row r="71421">
      <c r="A71421" s="1" t="n">
        <v>71420</v>
      </c>
      <c r="B71421">
        <f>TEXT(71420, "[$-0E0000]yyyy-mm-dd")</f>
        <v/>
      </c>
      <c r="C71421" t="inlineStr">
        <is>
          <t>2095-06-15</t>
        </is>
      </c>
    </row>
    <row r="71422">
      <c r="A71422" s="1" t="n">
        <v>71421</v>
      </c>
      <c r="B71422">
        <f>TEXT(71421, "[$-0E0000]yyyy-mm-dd")</f>
        <v/>
      </c>
      <c r="C71422" t="inlineStr">
        <is>
          <t>2095-06-16</t>
        </is>
      </c>
    </row>
    <row r="71423">
      <c r="A71423" s="1" t="n">
        <v>71422</v>
      </c>
      <c r="B71423">
        <f>TEXT(71422, "[$-0E0000]yyyy-mm-dd")</f>
        <v/>
      </c>
      <c r="C71423" t="inlineStr">
        <is>
          <t>2095-06-17</t>
        </is>
      </c>
    </row>
    <row r="71424">
      <c r="A71424" s="1" t="n">
        <v>71423</v>
      </c>
      <c r="B71424">
        <f>TEXT(71423, "[$-0E0000]yyyy-mm-dd")</f>
        <v/>
      </c>
      <c r="C71424" t="inlineStr">
        <is>
          <t>2095-06-18</t>
        </is>
      </c>
    </row>
    <row r="71425">
      <c r="A71425" s="1" t="n">
        <v>71424</v>
      </c>
      <c r="B71425">
        <f>TEXT(71424, "[$-0E0000]yyyy-mm-dd")</f>
        <v/>
      </c>
      <c r="C71425" t="inlineStr">
        <is>
          <t>2095-06-19</t>
        </is>
      </c>
    </row>
    <row r="71426">
      <c r="A71426" s="1" t="n">
        <v>71425</v>
      </c>
      <c r="B71426">
        <f>TEXT(71425, "[$-0E0000]yyyy-mm-dd")</f>
        <v/>
      </c>
      <c r="C71426" t="inlineStr">
        <is>
          <t>2095-06-20</t>
        </is>
      </c>
    </row>
    <row r="71427">
      <c r="A71427" s="1" t="n">
        <v>71426</v>
      </c>
      <c r="B71427">
        <f>TEXT(71426, "[$-0E0000]yyyy-mm-dd")</f>
        <v/>
      </c>
      <c r="C71427" t="inlineStr">
        <is>
          <t>2095-06-21</t>
        </is>
      </c>
    </row>
    <row r="71428">
      <c r="A71428" s="1" t="n">
        <v>71427</v>
      </c>
      <c r="B71428">
        <f>TEXT(71427, "[$-0E0000]yyyy-mm-dd")</f>
        <v/>
      </c>
      <c r="C71428" t="inlineStr">
        <is>
          <t>2095-06-22</t>
        </is>
      </c>
    </row>
    <row r="71429">
      <c r="A71429" s="1" t="n">
        <v>71428</v>
      </c>
      <c r="B71429">
        <f>TEXT(71428, "[$-0E0000]yyyy-mm-dd")</f>
        <v/>
      </c>
      <c r="C71429" t="inlineStr">
        <is>
          <t>2095-06-23</t>
        </is>
      </c>
    </row>
    <row r="71430">
      <c r="A71430" s="1" t="n">
        <v>71429</v>
      </c>
      <c r="B71430">
        <f>TEXT(71429, "[$-0E0000]yyyy-mm-dd")</f>
        <v/>
      </c>
      <c r="C71430" t="inlineStr">
        <is>
          <t>2095-06-24</t>
        </is>
      </c>
    </row>
    <row r="71431">
      <c r="A71431" s="1" t="n">
        <v>71430</v>
      </c>
      <c r="B71431">
        <f>TEXT(71430, "[$-0E0000]yyyy-mm-dd")</f>
        <v/>
      </c>
      <c r="C71431" t="inlineStr">
        <is>
          <t>2095-06-25</t>
        </is>
      </c>
    </row>
    <row r="71432">
      <c r="A71432" s="1" t="n">
        <v>71431</v>
      </c>
      <c r="B71432">
        <f>TEXT(71431, "[$-0E0000]yyyy-mm-dd")</f>
        <v/>
      </c>
      <c r="C71432" t="inlineStr">
        <is>
          <t>2095-06-26</t>
        </is>
      </c>
    </row>
    <row r="71433">
      <c r="A71433" s="1" t="n">
        <v>71432</v>
      </c>
      <c r="B71433">
        <f>TEXT(71432, "[$-0E0000]yyyy-mm-dd")</f>
        <v/>
      </c>
      <c r="C71433" t="inlineStr">
        <is>
          <t>2095-06-27</t>
        </is>
      </c>
    </row>
    <row r="71434">
      <c r="A71434" s="1" t="n">
        <v>71433</v>
      </c>
      <c r="B71434">
        <f>TEXT(71433, "[$-0E0000]yyyy-mm-dd")</f>
        <v/>
      </c>
      <c r="C71434" t="inlineStr">
        <is>
          <t>2095-06-28</t>
        </is>
      </c>
    </row>
    <row r="71435">
      <c r="A71435" s="1" t="n">
        <v>71434</v>
      </c>
      <c r="B71435">
        <f>TEXT(71434, "[$-0E0000]yyyy-mm-dd")</f>
        <v/>
      </c>
      <c r="C71435" t="inlineStr">
        <is>
          <t>2095-06-29</t>
        </is>
      </c>
    </row>
    <row r="71436">
      <c r="A71436" s="1" t="n">
        <v>71435</v>
      </c>
      <c r="B71436">
        <f>TEXT(71435, "[$-0E0000]yyyy-mm-dd")</f>
        <v/>
      </c>
      <c r="C71436" t="inlineStr">
        <is>
          <t>2095-07-01</t>
        </is>
      </c>
    </row>
    <row r="71437">
      <c r="A71437" s="1" t="n">
        <v>71436</v>
      </c>
      <c r="B71437">
        <f>TEXT(71436, "[$-0E0000]yyyy-mm-dd")</f>
        <v/>
      </c>
      <c r="C71437" t="inlineStr">
        <is>
          <t>2095-07-02</t>
        </is>
      </c>
    </row>
    <row r="71438">
      <c r="A71438" s="1" t="n">
        <v>71437</v>
      </c>
      <c r="B71438">
        <f>TEXT(71437, "[$-0E0000]yyyy-mm-dd")</f>
        <v/>
      </c>
      <c r="C71438" t="inlineStr">
        <is>
          <t>2095-07-03</t>
        </is>
      </c>
    </row>
    <row r="71439">
      <c r="A71439" s="1" t="n">
        <v>71438</v>
      </c>
      <c r="B71439">
        <f>TEXT(71438, "[$-0E0000]yyyy-mm-dd")</f>
        <v/>
      </c>
      <c r="C71439" t="inlineStr">
        <is>
          <t>2095-07-04</t>
        </is>
      </c>
    </row>
    <row r="71440">
      <c r="A71440" s="1" t="n">
        <v>71439</v>
      </c>
      <c r="B71440">
        <f>TEXT(71439, "[$-0E0000]yyyy-mm-dd")</f>
        <v/>
      </c>
      <c r="C71440" t="inlineStr">
        <is>
          <t>2095-07-05</t>
        </is>
      </c>
    </row>
    <row r="71441">
      <c r="A71441" s="1" t="n">
        <v>71440</v>
      </c>
      <c r="B71441">
        <f>TEXT(71440, "[$-0E0000]yyyy-mm-dd")</f>
        <v/>
      </c>
      <c r="C71441" t="inlineStr">
        <is>
          <t>2095-07-06</t>
        </is>
      </c>
    </row>
    <row r="71442">
      <c r="A71442" s="1" t="n">
        <v>71441</v>
      </c>
      <c r="B71442">
        <f>TEXT(71441, "[$-0E0000]yyyy-mm-dd")</f>
        <v/>
      </c>
      <c r="C71442" t="inlineStr">
        <is>
          <t>2095-07-07</t>
        </is>
      </c>
    </row>
    <row r="71443">
      <c r="A71443" s="1" t="n">
        <v>71442</v>
      </c>
      <c r="B71443">
        <f>TEXT(71442, "[$-0E0000]yyyy-mm-dd")</f>
        <v/>
      </c>
      <c r="C71443" t="inlineStr">
        <is>
          <t>2095-07-08</t>
        </is>
      </c>
    </row>
    <row r="71444">
      <c r="A71444" s="1" t="n">
        <v>71443</v>
      </c>
      <c r="B71444">
        <f>TEXT(71443, "[$-0E0000]yyyy-mm-dd")</f>
        <v/>
      </c>
      <c r="C71444" t="inlineStr">
        <is>
          <t>2095-07-09</t>
        </is>
      </c>
    </row>
    <row r="71445">
      <c r="A71445" s="1" t="n">
        <v>71444</v>
      </c>
      <c r="B71445">
        <f>TEXT(71444, "[$-0E0000]yyyy-mm-dd")</f>
        <v/>
      </c>
      <c r="C71445" t="inlineStr">
        <is>
          <t>2095-07-10</t>
        </is>
      </c>
    </row>
    <row r="71446">
      <c r="A71446" s="1" t="n">
        <v>71445</v>
      </c>
      <c r="B71446">
        <f>TEXT(71445, "[$-0E0000]yyyy-mm-dd")</f>
        <v/>
      </c>
      <c r="C71446" t="inlineStr">
        <is>
          <t>2095-07-11</t>
        </is>
      </c>
    </row>
    <row r="71447">
      <c r="A71447" s="1" t="n">
        <v>71446</v>
      </c>
      <c r="B71447">
        <f>TEXT(71446, "[$-0E0000]yyyy-mm-dd")</f>
        <v/>
      </c>
      <c r="C71447" t="inlineStr">
        <is>
          <t>2095-07-12</t>
        </is>
      </c>
    </row>
    <row r="71448">
      <c r="A71448" s="1" t="n">
        <v>71447</v>
      </c>
      <c r="B71448">
        <f>TEXT(71447, "[$-0E0000]yyyy-mm-dd")</f>
        <v/>
      </c>
      <c r="C71448" t="inlineStr">
        <is>
          <t>2095-07-13</t>
        </is>
      </c>
    </row>
    <row r="71449">
      <c r="A71449" s="1" t="n">
        <v>71448</v>
      </c>
      <c r="B71449">
        <f>TEXT(71448, "[$-0E0000]yyyy-mm-dd")</f>
        <v/>
      </c>
      <c r="C71449" t="inlineStr">
        <is>
          <t>2095-07-14</t>
        </is>
      </c>
    </row>
    <row r="71450">
      <c r="A71450" s="1" t="n">
        <v>71449</v>
      </c>
      <c r="B71450">
        <f>TEXT(71449, "[$-0E0000]yyyy-mm-dd")</f>
        <v/>
      </c>
      <c r="C71450" t="inlineStr">
        <is>
          <t>2095-07-15</t>
        </is>
      </c>
    </row>
    <row r="71451">
      <c r="A71451" s="1" t="n">
        <v>71450</v>
      </c>
      <c r="B71451">
        <f>TEXT(71450, "[$-0E0000]yyyy-mm-dd")</f>
        <v/>
      </c>
      <c r="C71451" t="inlineStr">
        <is>
          <t>2095-07-16</t>
        </is>
      </c>
    </row>
    <row r="71452">
      <c r="A71452" s="1" t="n">
        <v>71451</v>
      </c>
      <c r="B71452">
        <f>TEXT(71451, "[$-0E0000]yyyy-mm-dd")</f>
        <v/>
      </c>
      <c r="C71452" t="inlineStr">
        <is>
          <t>2095-07-17</t>
        </is>
      </c>
    </row>
    <row r="71453">
      <c r="A71453" s="1" t="n">
        <v>71452</v>
      </c>
      <c r="B71453">
        <f>TEXT(71452, "[$-0E0000]yyyy-mm-dd")</f>
        <v/>
      </c>
      <c r="C71453" t="inlineStr">
        <is>
          <t>2095-07-18</t>
        </is>
      </c>
    </row>
    <row r="71454">
      <c r="A71454" s="1" t="n">
        <v>71453</v>
      </c>
      <c r="B71454">
        <f>TEXT(71453, "[$-0E0000]yyyy-mm-dd")</f>
        <v/>
      </c>
      <c r="C71454" t="inlineStr">
        <is>
          <t>2095-07-19</t>
        </is>
      </c>
    </row>
    <row r="71455">
      <c r="A71455" s="1" t="n">
        <v>71454</v>
      </c>
      <c r="B71455">
        <f>TEXT(71454, "[$-0E0000]yyyy-mm-dd")</f>
        <v/>
      </c>
      <c r="C71455" t="inlineStr">
        <is>
          <t>2095-07-20</t>
        </is>
      </c>
    </row>
    <row r="71456">
      <c r="A71456" s="1" t="n">
        <v>71455</v>
      </c>
      <c r="B71456">
        <f>TEXT(71455, "[$-0E0000]yyyy-mm-dd")</f>
        <v/>
      </c>
      <c r="C71456" t="inlineStr">
        <is>
          <t>2095-07-21</t>
        </is>
      </c>
    </row>
    <row r="71457">
      <c r="A71457" s="1" t="n">
        <v>71456</v>
      </c>
      <c r="B71457">
        <f>TEXT(71456, "[$-0E0000]yyyy-mm-dd")</f>
        <v/>
      </c>
      <c r="C71457" t="inlineStr">
        <is>
          <t>2095-07-22</t>
        </is>
      </c>
    </row>
    <row r="71458">
      <c r="A71458" s="1" t="n">
        <v>71457</v>
      </c>
      <c r="B71458">
        <f>TEXT(71457, "[$-0E0000]yyyy-mm-dd")</f>
        <v/>
      </c>
      <c r="C71458" t="inlineStr">
        <is>
          <t>2095-07-23</t>
        </is>
      </c>
    </row>
    <row r="71459">
      <c r="A71459" s="1" t="n">
        <v>71458</v>
      </c>
      <c r="B71459">
        <f>TEXT(71458, "[$-0E0000]yyyy-mm-dd")</f>
        <v/>
      </c>
      <c r="C71459" t="inlineStr">
        <is>
          <t>2095-07-24</t>
        </is>
      </c>
    </row>
    <row r="71460">
      <c r="A71460" s="1" t="n">
        <v>71459</v>
      </c>
      <c r="B71460">
        <f>TEXT(71459, "[$-0E0000]yyyy-mm-dd")</f>
        <v/>
      </c>
      <c r="C71460" t="inlineStr">
        <is>
          <t>2095-07-25</t>
        </is>
      </c>
    </row>
    <row r="71461">
      <c r="A71461" s="1" t="n">
        <v>71460</v>
      </c>
      <c r="B71461">
        <f>TEXT(71460, "[$-0E0000]yyyy-mm-dd")</f>
        <v/>
      </c>
      <c r="C71461" t="inlineStr">
        <is>
          <t>2095-07-26</t>
        </is>
      </c>
    </row>
    <row r="71462">
      <c r="A71462" s="1" t="n">
        <v>71461</v>
      </c>
      <c r="B71462">
        <f>TEXT(71461, "[$-0E0000]yyyy-mm-dd")</f>
        <v/>
      </c>
      <c r="C71462" t="inlineStr">
        <is>
          <t>2095-07-27</t>
        </is>
      </c>
    </row>
    <row r="71463">
      <c r="A71463" s="1" t="n">
        <v>71462</v>
      </c>
      <c r="B71463">
        <f>TEXT(71462, "[$-0E0000]yyyy-mm-dd")</f>
        <v/>
      </c>
      <c r="C71463" t="inlineStr">
        <is>
          <t>2095-07-28</t>
        </is>
      </c>
    </row>
    <row r="71464">
      <c r="A71464" s="1" t="n">
        <v>71463</v>
      </c>
      <c r="B71464">
        <f>TEXT(71463, "[$-0E0000]yyyy-mm-dd")</f>
        <v/>
      </c>
      <c r="C71464" t="inlineStr">
        <is>
          <t>2095-07-29</t>
        </is>
      </c>
    </row>
    <row r="71465">
      <c r="A71465" s="1" t="n">
        <v>71464</v>
      </c>
      <c r="B71465">
        <f>TEXT(71464, "[$-0E0000]yyyy-mm-dd")</f>
        <v/>
      </c>
      <c r="C71465" t="inlineStr">
        <is>
          <t>2095-07-30</t>
        </is>
      </c>
    </row>
    <row r="71466">
      <c r="A71466" s="1" t="n">
        <v>71465</v>
      </c>
      <c r="B71466">
        <f>TEXT(71465, "[$-0E0000]yyyy-mm-dd")</f>
        <v/>
      </c>
      <c r="C71466" t="inlineStr">
        <is>
          <t>2095-08-01</t>
        </is>
      </c>
    </row>
    <row r="71467">
      <c r="A71467" s="1" t="n">
        <v>71466</v>
      </c>
      <c r="B71467">
        <f>TEXT(71466, "[$-0E0000]yyyy-mm-dd")</f>
        <v/>
      </c>
      <c r="C71467" t="inlineStr">
        <is>
          <t>2095-08-02</t>
        </is>
      </c>
    </row>
    <row r="71468">
      <c r="A71468" s="1" t="n">
        <v>71467</v>
      </c>
      <c r="B71468">
        <f>TEXT(71467, "[$-0E0000]yyyy-mm-dd")</f>
        <v/>
      </c>
      <c r="C71468" t="inlineStr">
        <is>
          <t>2095-08-03</t>
        </is>
      </c>
    </row>
    <row r="71469">
      <c r="A71469" s="1" t="n">
        <v>71468</v>
      </c>
      <c r="B71469">
        <f>TEXT(71468, "[$-0E0000]yyyy-mm-dd")</f>
        <v/>
      </c>
      <c r="C71469" t="inlineStr">
        <is>
          <t>2095-08-04</t>
        </is>
      </c>
    </row>
    <row r="71470">
      <c r="A71470" s="1" t="n">
        <v>71469</v>
      </c>
      <c r="B71470">
        <f>TEXT(71469, "[$-0E0000]yyyy-mm-dd")</f>
        <v/>
      </c>
      <c r="C71470" t="inlineStr">
        <is>
          <t>2095-08-05</t>
        </is>
      </c>
    </row>
    <row r="71471">
      <c r="A71471" s="1" t="n">
        <v>71470</v>
      </c>
      <c r="B71471">
        <f>TEXT(71470, "[$-0E0000]yyyy-mm-dd")</f>
        <v/>
      </c>
      <c r="C71471" t="inlineStr">
        <is>
          <t>2095-08-06</t>
        </is>
      </c>
    </row>
    <row r="71472">
      <c r="A71472" s="1" t="n">
        <v>71471</v>
      </c>
      <c r="B71472">
        <f>TEXT(71471, "[$-0E0000]yyyy-mm-dd")</f>
        <v/>
      </c>
      <c r="C71472" t="inlineStr">
        <is>
          <t>2095-08-07</t>
        </is>
      </c>
    </row>
    <row r="71473">
      <c r="A71473" s="1" t="n">
        <v>71472</v>
      </c>
      <c r="B71473">
        <f>TEXT(71472, "[$-0E0000]yyyy-mm-dd")</f>
        <v/>
      </c>
      <c r="C71473" t="inlineStr">
        <is>
          <t>2095-08-08</t>
        </is>
      </c>
    </row>
    <row r="71474">
      <c r="A71474" s="1" t="n">
        <v>71473</v>
      </c>
      <c r="B71474">
        <f>TEXT(71473, "[$-0E0000]yyyy-mm-dd")</f>
        <v/>
      </c>
      <c r="C71474" t="inlineStr">
        <is>
          <t>2095-08-09</t>
        </is>
      </c>
    </row>
    <row r="71475">
      <c r="A71475" s="1" t="n">
        <v>71474</v>
      </c>
      <c r="B71475">
        <f>TEXT(71474, "[$-0E0000]yyyy-mm-dd")</f>
        <v/>
      </c>
      <c r="C71475" t="inlineStr">
        <is>
          <t>2095-08-10</t>
        </is>
      </c>
    </row>
    <row r="71476">
      <c r="A71476" s="1" t="n">
        <v>71475</v>
      </c>
      <c r="B71476">
        <f>TEXT(71475, "[$-0E0000]yyyy-mm-dd")</f>
        <v/>
      </c>
      <c r="C71476" t="inlineStr">
        <is>
          <t>2095-08-11</t>
        </is>
      </c>
    </row>
    <row r="71477">
      <c r="A71477" s="1" t="n">
        <v>71476</v>
      </c>
      <c r="B71477">
        <f>TEXT(71476, "[$-0E0000]yyyy-mm-dd")</f>
        <v/>
      </c>
      <c r="C71477" t="inlineStr">
        <is>
          <t>2095-08-12</t>
        </is>
      </c>
    </row>
    <row r="71478">
      <c r="A71478" s="1" t="n">
        <v>71477</v>
      </c>
      <c r="B71478">
        <f>TEXT(71477, "[$-0E0000]yyyy-mm-dd")</f>
        <v/>
      </c>
      <c r="C71478" t="inlineStr">
        <is>
          <t>2095-08-13</t>
        </is>
      </c>
    </row>
    <row r="71479">
      <c r="A71479" s="1" t="n">
        <v>71478</v>
      </c>
      <c r="B71479">
        <f>TEXT(71478, "[$-0E0000]yyyy-mm-dd")</f>
        <v/>
      </c>
      <c r="C71479" t="inlineStr">
        <is>
          <t>2095-08-14</t>
        </is>
      </c>
    </row>
    <row r="71480">
      <c r="A71480" s="1" t="n">
        <v>71479</v>
      </c>
      <c r="B71480">
        <f>TEXT(71479, "[$-0E0000]yyyy-mm-dd")</f>
        <v/>
      </c>
      <c r="C71480" t="inlineStr">
        <is>
          <t>2095-08-15</t>
        </is>
      </c>
    </row>
    <row r="71481">
      <c r="A71481" s="1" t="n">
        <v>71480</v>
      </c>
      <c r="B71481">
        <f>TEXT(71480, "[$-0E0000]yyyy-mm-dd")</f>
        <v/>
      </c>
      <c r="C71481" t="inlineStr">
        <is>
          <t>2095-08-16</t>
        </is>
      </c>
    </row>
    <row r="71482">
      <c r="A71482" s="1" t="n">
        <v>71481</v>
      </c>
      <c r="B71482">
        <f>TEXT(71481, "[$-0E0000]yyyy-mm-dd")</f>
        <v/>
      </c>
      <c r="C71482" t="inlineStr">
        <is>
          <t>2095-08-17</t>
        </is>
      </c>
    </row>
    <row r="71483">
      <c r="A71483" s="1" t="n">
        <v>71482</v>
      </c>
      <c r="B71483">
        <f>TEXT(71482, "[$-0E0000]yyyy-mm-dd")</f>
        <v/>
      </c>
      <c r="C71483" t="inlineStr">
        <is>
          <t>2095-08-18</t>
        </is>
      </c>
    </row>
    <row r="71484">
      <c r="A71484" s="1" t="n">
        <v>71483</v>
      </c>
      <c r="B71484">
        <f>TEXT(71483, "[$-0E0000]yyyy-mm-dd")</f>
        <v/>
      </c>
      <c r="C71484" t="inlineStr">
        <is>
          <t>2095-08-19</t>
        </is>
      </c>
    </row>
    <row r="71485">
      <c r="A71485" s="1" t="n">
        <v>71484</v>
      </c>
      <c r="B71485">
        <f>TEXT(71484, "[$-0E0000]yyyy-mm-dd")</f>
        <v/>
      </c>
      <c r="C71485" t="inlineStr">
        <is>
          <t>2095-08-20</t>
        </is>
      </c>
    </row>
    <row r="71486">
      <c r="A71486" s="1" t="n">
        <v>71485</v>
      </c>
      <c r="B71486">
        <f>TEXT(71485, "[$-0E0000]yyyy-mm-dd")</f>
        <v/>
      </c>
      <c r="C71486" t="inlineStr">
        <is>
          <t>2095-08-21</t>
        </is>
      </c>
    </row>
    <row r="71487">
      <c r="A71487" s="1" t="n">
        <v>71486</v>
      </c>
      <c r="B71487">
        <f>TEXT(71486, "[$-0E0000]yyyy-mm-dd")</f>
        <v/>
      </c>
      <c r="C71487" t="inlineStr">
        <is>
          <t>2095-08-22</t>
        </is>
      </c>
    </row>
    <row r="71488">
      <c r="A71488" s="1" t="n">
        <v>71487</v>
      </c>
      <c r="B71488">
        <f>TEXT(71487, "[$-0E0000]yyyy-mm-dd")</f>
        <v/>
      </c>
      <c r="C71488" t="inlineStr">
        <is>
          <t>2095-08-23</t>
        </is>
      </c>
    </row>
    <row r="71489">
      <c r="A71489" s="1" t="n">
        <v>71488</v>
      </c>
      <c r="B71489">
        <f>TEXT(71488, "[$-0E0000]yyyy-mm-dd")</f>
        <v/>
      </c>
      <c r="C71489" t="inlineStr">
        <is>
          <t>2095-08-24</t>
        </is>
      </c>
    </row>
    <row r="71490">
      <c r="A71490" s="1" t="n">
        <v>71489</v>
      </c>
      <c r="B71490">
        <f>TEXT(71489, "[$-0E0000]yyyy-mm-dd")</f>
        <v/>
      </c>
      <c r="C71490" t="inlineStr">
        <is>
          <t>2095-08-25</t>
        </is>
      </c>
    </row>
    <row r="71491">
      <c r="A71491" s="1" t="n">
        <v>71490</v>
      </c>
      <c r="B71491">
        <f>TEXT(71490, "[$-0E0000]yyyy-mm-dd")</f>
        <v/>
      </c>
      <c r="C71491" t="inlineStr">
        <is>
          <t>2095-08-26</t>
        </is>
      </c>
    </row>
    <row r="71492">
      <c r="A71492" s="1" t="n">
        <v>71491</v>
      </c>
      <c r="B71492">
        <f>TEXT(71491, "[$-0E0000]yyyy-mm-dd")</f>
        <v/>
      </c>
      <c r="C71492" t="inlineStr">
        <is>
          <t>2095-08-27</t>
        </is>
      </c>
    </row>
    <row r="71493">
      <c r="A71493" s="1" t="n">
        <v>71492</v>
      </c>
      <c r="B71493">
        <f>TEXT(71492, "[$-0E0000]yyyy-mm-dd")</f>
        <v/>
      </c>
      <c r="C71493" t="inlineStr">
        <is>
          <t>2095-08-28</t>
        </is>
      </c>
    </row>
    <row r="71494">
      <c r="A71494" s="1" t="n">
        <v>71493</v>
      </c>
      <c r="B71494">
        <f>TEXT(71493, "[$-0E0000]yyyy-mm-dd")</f>
        <v/>
      </c>
      <c r="C71494" t="inlineStr">
        <is>
          <t>2095-08-29</t>
        </is>
      </c>
    </row>
    <row r="71495">
      <c r="A71495" s="1" t="n">
        <v>71494</v>
      </c>
      <c r="B71495">
        <f>TEXT(71494, "[$-0E0000]yyyy-mm-dd")</f>
        <v/>
      </c>
      <c r="C71495" t="inlineStr">
        <is>
          <t>2095-09-01</t>
        </is>
      </c>
    </row>
    <row r="71496">
      <c r="A71496" s="1" t="n">
        <v>71495</v>
      </c>
      <c r="B71496">
        <f>TEXT(71495, "[$-0E0000]yyyy-mm-dd")</f>
        <v/>
      </c>
      <c r="C71496" t="inlineStr">
        <is>
          <t>2095-09-02</t>
        </is>
      </c>
    </row>
    <row r="71497">
      <c r="A71497" s="1" t="n">
        <v>71496</v>
      </c>
      <c r="B71497">
        <f>TEXT(71496, "[$-0E0000]yyyy-mm-dd")</f>
        <v/>
      </c>
      <c r="C71497" t="inlineStr">
        <is>
          <t>2095-09-03</t>
        </is>
      </c>
    </row>
    <row r="71498">
      <c r="A71498" s="1" t="n">
        <v>71497</v>
      </c>
      <c r="B71498">
        <f>TEXT(71497, "[$-0E0000]yyyy-mm-dd")</f>
        <v/>
      </c>
      <c r="C71498" t="inlineStr">
        <is>
          <t>2095-09-04</t>
        </is>
      </c>
    </row>
    <row r="71499">
      <c r="A71499" s="1" t="n">
        <v>71498</v>
      </c>
      <c r="B71499">
        <f>TEXT(71498, "[$-0E0000]yyyy-mm-dd")</f>
        <v/>
      </c>
      <c r="C71499" t="inlineStr">
        <is>
          <t>2095-09-05</t>
        </is>
      </c>
    </row>
    <row r="71500">
      <c r="A71500" s="1" t="n">
        <v>71499</v>
      </c>
      <c r="B71500">
        <f>TEXT(71499, "[$-0E0000]yyyy-mm-dd")</f>
        <v/>
      </c>
      <c r="C71500" t="inlineStr">
        <is>
          <t>2095-09-06</t>
        </is>
      </c>
    </row>
    <row r="71501">
      <c r="A71501" s="1" t="n">
        <v>71500</v>
      </c>
      <c r="B71501">
        <f>TEXT(71500, "[$-0E0000]yyyy-mm-dd")</f>
        <v/>
      </c>
      <c r="C71501" t="inlineStr">
        <is>
          <t>2095-09-07</t>
        </is>
      </c>
    </row>
    <row r="71502">
      <c r="A71502" s="1" t="n">
        <v>71501</v>
      </c>
      <c r="B71502">
        <f>TEXT(71501, "[$-0E0000]yyyy-mm-dd")</f>
        <v/>
      </c>
      <c r="C71502" t="inlineStr">
        <is>
          <t>2095-09-08</t>
        </is>
      </c>
    </row>
    <row r="71503">
      <c r="A71503" s="1" t="n">
        <v>71502</v>
      </c>
      <c r="B71503">
        <f>TEXT(71502, "[$-0E0000]yyyy-mm-dd")</f>
        <v/>
      </c>
      <c r="C71503" t="inlineStr">
        <is>
          <t>2095-09-09</t>
        </is>
      </c>
    </row>
    <row r="71504">
      <c r="A71504" s="1" t="n">
        <v>71503</v>
      </c>
      <c r="B71504">
        <f>TEXT(71503, "[$-0E0000]yyyy-mm-dd")</f>
        <v/>
      </c>
      <c r="C71504" t="inlineStr">
        <is>
          <t>2095-09-10</t>
        </is>
      </c>
    </row>
    <row r="71505">
      <c r="A71505" s="1" t="n">
        <v>71504</v>
      </c>
      <c r="B71505">
        <f>TEXT(71504, "[$-0E0000]yyyy-mm-dd")</f>
        <v/>
      </c>
      <c r="C71505" t="inlineStr">
        <is>
          <t>2095-09-11</t>
        </is>
      </c>
    </row>
    <row r="71506">
      <c r="A71506" s="1" t="n">
        <v>71505</v>
      </c>
      <c r="B71506">
        <f>TEXT(71505, "[$-0E0000]yyyy-mm-dd")</f>
        <v/>
      </c>
      <c r="C71506" t="inlineStr">
        <is>
          <t>2095-09-12</t>
        </is>
      </c>
    </row>
    <row r="71507">
      <c r="A71507" s="1" t="n">
        <v>71506</v>
      </c>
      <c r="B71507">
        <f>TEXT(71506, "[$-0E0000]yyyy-mm-dd")</f>
        <v/>
      </c>
      <c r="C71507" t="inlineStr">
        <is>
          <t>2095-09-13</t>
        </is>
      </c>
    </row>
    <row r="71508">
      <c r="A71508" s="1" t="n">
        <v>71507</v>
      </c>
      <c r="B71508">
        <f>TEXT(71507, "[$-0E0000]yyyy-mm-dd")</f>
        <v/>
      </c>
      <c r="C71508" t="inlineStr">
        <is>
          <t>2095-09-14</t>
        </is>
      </c>
    </row>
    <row r="71509">
      <c r="A71509" s="1" t="n">
        <v>71508</v>
      </c>
      <c r="B71509">
        <f>TEXT(71508, "[$-0E0000]yyyy-mm-dd")</f>
        <v/>
      </c>
      <c r="C71509" t="inlineStr">
        <is>
          <t>2095-09-15</t>
        </is>
      </c>
    </row>
    <row r="71510">
      <c r="A71510" s="1" t="n">
        <v>71509</v>
      </c>
      <c r="B71510">
        <f>TEXT(71509, "[$-0E0000]yyyy-mm-dd")</f>
        <v/>
      </c>
      <c r="C71510" t="inlineStr">
        <is>
          <t>2095-09-16</t>
        </is>
      </c>
    </row>
    <row r="71511">
      <c r="A71511" s="1" t="n">
        <v>71510</v>
      </c>
      <c r="B71511">
        <f>TEXT(71510, "[$-0E0000]yyyy-mm-dd")</f>
        <v/>
      </c>
      <c r="C71511" t="inlineStr">
        <is>
          <t>2095-09-17</t>
        </is>
      </c>
    </row>
    <row r="71512">
      <c r="A71512" s="1" t="n">
        <v>71511</v>
      </c>
      <c r="B71512">
        <f>TEXT(71511, "[$-0E0000]yyyy-mm-dd")</f>
        <v/>
      </c>
      <c r="C71512" t="inlineStr">
        <is>
          <t>2095-09-18</t>
        </is>
      </c>
    </row>
    <row r="71513">
      <c r="A71513" s="1" t="n">
        <v>71512</v>
      </c>
      <c r="B71513">
        <f>TEXT(71512, "[$-0E0000]yyyy-mm-dd")</f>
        <v/>
      </c>
      <c r="C71513" t="inlineStr">
        <is>
          <t>2095-09-19</t>
        </is>
      </c>
    </row>
    <row r="71514">
      <c r="A71514" s="1" t="n">
        <v>71513</v>
      </c>
      <c r="B71514">
        <f>TEXT(71513, "[$-0E0000]yyyy-mm-dd")</f>
        <v/>
      </c>
      <c r="C71514" t="inlineStr">
        <is>
          <t>2095-09-20</t>
        </is>
      </c>
    </row>
    <row r="71515">
      <c r="A71515" s="1" t="n">
        <v>71514</v>
      </c>
      <c r="B71515">
        <f>TEXT(71514, "[$-0E0000]yyyy-mm-dd")</f>
        <v/>
      </c>
      <c r="C71515" t="inlineStr">
        <is>
          <t>2095-09-21</t>
        </is>
      </c>
    </row>
    <row r="71516">
      <c r="A71516" s="1" t="n">
        <v>71515</v>
      </c>
      <c r="B71516">
        <f>TEXT(71515, "[$-0E0000]yyyy-mm-dd")</f>
        <v/>
      </c>
      <c r="C71516" t="inlineStr">
        <is>
          <t>2095-09-22</t>
        </is>
      </c>
    </row>
    <row r="71517">
      <c r="A71517" s="1" t="n">
        <v>71516</v>
      </c>
      <c r="B71517">
        <f>TEXT(71516, "[$-0E0000]yyyy-mm-dd")</f>
        <v/>
      </c>
      <c r="C71517" t="inlineStr">
        <is>
          <t>2095-09-23</t>
        </is>
      </c>
    </row>
    <row r="71518">
      <c r="A71518" s="1" t="n">
        <v>71517</v>
      </c>
      <c r="B71518">
        <f>TEXT(71517, "[$-0E0000]yyyy-mm-dd")</f>
        <v/>
      </c>
      <c r="C71518" t="inlineStr">
        <is>
          <t>2095-09-24</t>
        </is>
      </c>
    </row>
    <row r="71519">
      <c r="A71519" s="1" t="n">
        <v>71518</v>
      </c>
      <c r="B71519">
        <f>TEXT(71518, "[$-0E0000]yyyy-mm-dd")</f>
        <v/>
      </c>
      <c r="C71519" t="inlineStr">
        <is>
          <t>2095-09-25</t>
        </is>
      </c>
    </row>
    <row r="71520">
      <c r="A71520" s="1" t="n">
        <v>71519</v>
      </c>
      <c r="B71520">
        <f>TEXT(71519, "[$-0E0000]yyyy-mm-dd")</f>
        <v/>
      </c>
      <c r="C71520" t="inlineStr">
        <is>
          <t>2095-09-26</t>
        </is>
      </c>
    </row>
    <row r="71521">
      <c r="A71521" s="1" t="n">
        <v>71520</v>
      </c>
      <c r="B71521">
        <f>TEXT(71520, "[$-0E0000]yyyy-mm-dd")</f>
        <v/>
      </c>
      <c r="C71521" t="inlineStr">
        <is>
          <t>2095-09-27</t>
        </is>
      </c>
    </row>
    <row r="71522">
      <c r="A71522" s="1" t="n">
        <v>71521</v>
      </c>
      <c r="B71522">
        <f>TEXT(71521, "[$-0E0000]yyyy-mm-dd")</f>
        <v/>
      </c>
      <c r="C71522" t="inlineStr">
        <is>
          <t>2095-09-28</t>
        </is>
      </c>
    </row>
    <row r="71523">
      <c r="A71523" s="1" t="n">
        <v>71522</v>
      </c>
      <c r="B71523">
        <f>TEXT(71522, "[$-0E0000]yyyy-mm-dd")</f>
        <v/>
      </c>
      <c r="C71523" t="inlineStr">
        <is>
          <t>2095-09-29</t>
        </is>
      </c>
    </row>
    <row r="71524">
      <c r="A71524" s="1" t="n">
        <v>71523</v>
      </c>
      <c r="B71524">
        <f>TEXT(71523, "[$-0E0000]yyyy-mm-dd")</f>
        <v/>
      </c>
      <c r="C71524" t="inlineStr">
        <is>
          <t>2095-09-30</t>
        </is>
      </c>
    </row>
    <row r="71525">
      <c r="A71525" s="1" t="n">
        <v>71524</v>
      </c>
      <c r="B71525">
        <f>TEXT(71524, "[$-0E0000]yyyy-mm-dd")</f>
        <v/>
      </c>
      <c r="C71525" t="inlineStr">
        <is>
          <t>2095-10-01</t>
        </is>
      </c>
    </row>
    <row r="71526">
      <c r="A71526" s="1" t="n">
        <v>71525</v>
      </c>
      <c r="B71526">
        <f>TEXT(71525, "[$-0E0000]yyyy-mm-dd")</f>
        <v/>
      </c>
      <c r="C71526" t="inlineStr">
        <is>
          <t>2095-10-02</t>
        </is>
      </c>
    </row>
    <row r="71527">
      <c r="A71527" s="1" t="n">
        <v>71526</v>
      </c>
      <c r="B71527">
        <f>TEXT(71526, "[$-0E0000]yyyy-mm-dd")</f>
        <v/>
      </c>
      <c r="C71527" t="inlineStr">
        <is>
          <t>2095-10-03</t>
        </is>
      </c>
    </row>
    <row r="71528">
      <c r="A71528" s="1" t="n">
        <v>71527</v>
      </c>
      <c r="B71528">
        <f>TEXT(71527, "[$-0E0000]yyyy-mm-dd")</f>
        <v/>
      </c>
      <c r="C71528" t="inlineStr">
        <is>
          <t>2095-10-04</t>
        </is>
      </c>
    </row>
    <row r="71529">
      <c r="A71529" s="1" t="n">
        <v>71528</v>
      </c>
      <c r="B71529">
        <f>TEXT(71528, "[$-0E0000]yyyy-mm-dd")</f>
        <v/>
      </c>
      <c r="C71529" t="inlineStr">
        <is>
          <t>2095-10-05</t>
        </is>
      </c>
    </row>
    <row r="71530">
      <c r="A71530" s="1" t="n">
        <v>71529</v>
      </c>
      <c r="B71530">
        <f>TEXT(71529, "[$-0E0000]yyyy-mm-dd")</f>
        <v/>
      </c>
      <c r="C71530" t="inlineStr">
        <is>
          <t>2095-10-06</t>
        </is>
      </c>
    </row>
    <row r="71531">
      <c r="A71531" s="1" t="n">
        <v>71530</v>
      </c>
      <c r="B71531">
        <f>TEXT(71530, "[$-0E0000]yyyy-mm-dd")</f>
        <v/>
      </c>
      <c r="C71531" t="inlineStr">
        <is>
          <t>2095-10-07</t>
        </is>
      </c>
    </row>
    <row r="71532">
      <c r="A71532" s="1" t="n">
        <v>71531</v>
      </c>
      <c r="B71532">
        <f>TEXT(71531, "[$-0E0000]yyyy-mm-dd")</f>
        <v/>
      </c>
      <c r="C71532" t="inlineStr">
        <is>
          <t>2095-10-08</t>
        </is>
      </c>
    </row>
    <row r="71533">
      <c r="A71533" s="1" t="n">
        <v>71532</v>
      </c>
      <c r="B71533">
        <f>TEXT(71532, "[$-0E0000]yyyy-mm-dd")</f>
        <v/>
      </c>
      <c r="C71533" t="inlineStr">
        <is>
          <t>2095-10-09</t>
        </is>
      </c>
    </row>
    <row r="71534">
      <c r="A71534" s="1" t="n">
        <v>71533</v>
      </c>
      <c r="B71534">
        <f>TEXT(71533, "[$-0E0000]yyyy-mm-dd")</f>
        <v/>
      </c>
      <c r="C71534" t="inlineStr">
        <is>
          <t>2095-10-10</t>
        </is>
      </c>
    </row>
    <row r="71535">
      <c r="A71535" s="1" t="n">
        <v>71534</v>
      </c>
      <c r="B71535">
        <f>TEXT(71534, "[$-0E0000]yyyy-mm-dd")</f>
        <v/>
      </c>
      <c r="C71535" t="inlineStr">
        <is>
          <t>2095-10-11</t>
        </is>
      </c>
    </row>
    <row r="71536">
      <c r="A71536" s="1" t="n">
        <v>71535</v>
      </c>
      <c r="B71536">
        <f>TEXT(71535, "[$-0E0000]yyyy-mm-dd")</f>
        <v/>
      </c>
      <c r="C71536" t="inlineStr">
        <is>
          <t>2095-10-12</t>
        </is>
      </c>
    </row>
    <row r="71537">
      <c r="A71537" s="1" t="n">
        <v>71536</v>
      </c>
      <c r="B71537">
        <f>TEXT(71536, "[$-0E0000]yyyy-mm-dd")</f>
        <v/>
      </c>
      <c r="C71537" t="inlineStr">
        <is>
          <t>2095-10-13</t>
        </is>
      </c>
    </row>
    <row r="71538">
      <c r="A71538" s="1" t="n">
        <v>71537</v>
      </c>
      <c r="B71538">
        <f>TEXT(71537, "[$-0E0000]yyyy-mm-dd")</f>
        <v/>
      </c>
      <c r="C71538" t="inlineStr">
        <is>
          <t>2095-10-14</t>
        </is>
      </c>
    </row>
    <row r="71539">
      <c r="A71539" s="1" t="n">
        <v>71538</v>
      </c>
      <c r="B71539">
        <f>TEXT(71538, "[$-0E0000]yyyy-mm-dd")</f>
        <v/>
      </c>
      <c r="C71539" t="inlineStr">
        <is>
          <t>2095-10-15</t>
        </is>
      </c>
    </row>
    <row r="71540">
      <c r="A71540" s="1" t="n">
        <v>71539</v>
      </c>
      <c r="B71540">
        <f>TEXT(71539, "[$-0E0000]yyyy-mm-dd")</f>
        <v/>
      </c>
      <c r="C71540" t="inlineStr">
        <is>
          <t>2095-10-16</t>
        </is>
      </c>
    </row>
    <row r="71541">
      <c r="A71541" s="1" t="n">
        <v>71540</v>
      </c>
      <c r="B71541">
        <f>TEXT(71540, "[$-0E0000]yyyy-mm-dd")</f>
        <v/>
      </c>
      <c r="C71541" t="inlineStr">
        <is>
          <t>2095-10-17</t>
        </is>
      </c>
    </row>
    <row r="71542">
      <c r="A71542" s="1" t="n">
        <v>71541</v>
      </c>
      <c r="B71542">
        <f>TEXT(71541, "[$-0E0000]yyyy-mm-dd")</f>
        <v/>
      </c>
      <c r="C71542" t="inlineStr">
        <is>
          <t>2095-10-18</t>
        </is>
      </c>
    </row>
    <row r="71543">
      <c r="A71543" s="1" t="n">
        <v>71542</v>
      </c>
      <c r="B71543">
        <f>TEXT(71542, "[$-0E0000]yyyy-mm-dd")</f>
        <v/>
      </c>
      <c r="C71543" t="inlineStr">
        <is>
          <t>2095-10-19</t>
        </is>
      </c>
    </row>
    <row r="71544">
      <c r="A71544" s="1" t="n">
        <v>71543</v>
      </c>
      <c r="B71544">
        <f>TEXT(71543, "[$-0E0000]yyyy-mm-dd")</f>
        <v/>
      </c>
      <c r="C71544" t="inlineStr">
        <is>
          <t>2095-10-20</t>
        </is>
      </c>
    </row>
    <row r="71545">
      <c r="A71545" s="1" t="n">
        <v>71544</v>
      </c>
      <c r="B71545">
        <f>TEXT(71544, "[$-0E0000]yyyy-mm-dd")</f>
        <v/>
      </c>
      <c r="C71545" t="inlineStr">
        <is>
          <t>2095-10-21</t>
        </is>
      </c>
    </row>
    <row r="71546">
      <c r="A71546" s="1" t="n">
        <v>71545</v>
      </c>
      <c r="B71546">
        <f>TEXT(71545, "[$-0E0000]yyyy-mm-dd")</f>
        <v/>
      </c>
      <c r="C71546" t="inlineStr">
        <is>
          <t>2095-10-22</t>
        </is>
      </c>
    </row>
    <row r="71547">
      <c r="A71547" s="1" t="n">
        <v>71546</v>
      </c>
      <c r="B71547">
        <f>TEXT(71546, "[$-0E0000]yyyy-mm-dd")</f>
        <v/>
      </c>
      <c r="C71547" t="inlineStr">
        <is>
          <t>2095-10-23</t>
        </is>
      </c>
    </row>
    <row r="71548">
      <c r="A71548" s="1" t="n">
        <v>71547</v>
      </c>
      <c r="B71548">
        <f>TEXT(71547, "[$-0E0000]yyyy-mm-dd")</f>
        <v/>
      </c>
      <c r="C71548" t="inlineStr">
        <is>
          <t>2095-10-24</t>
        </is>
      </c>
    </row>
    <row r="71549">
      <c r="A71549" s="1" t="n">
        <v>71548</v>
      </c>
      <c r="B71549">
        <f>TEXT(71548, "[$-0E0000]yyyy-mm-dd")</f>
        <v/>
      </c>
      <c r="C71549" t="inlineStr">
        <is>
          <t>2095-10-25</t>
        </is>
      </c>
    </row>
    <row r="71550">
      <c r="A71550" s="1" t="n">
        <v>71549</v>
      </c>
      <c r="B71550">
        <f>TEXT(71549, "[$-0E0000]yyyy-mm-dd")</f>
        <v/>
      </c>
      <c r="C71550" t="inlineStr">
        <is>
          <t>2095-10-26</t>
        </is>
      </c>
    </row>
    <row r="71551">
      <c r="A71551" s="1" t="n">
        <v>71550</v>
      </c>
      <c r="B71551">
        <f>TEXT(71550, "[$-0E0000]yyyy-mm-dd")</f>
        <v/>
      </c>
      <c r="C71551" t="inlineStr">
        <is>
          <t>2095-10-27</t>
        </is>
      </c>
    </row>
    <row r="71552">
      <c r="A71552" s="1" t="n">
        <v>71551</v>
      </c>
      <c r="B71552">
        <f>TEXT(71551, "[$-0E0000]yyyy-mm-dd")</f>
        <v/>
      </c>
      <c r="C71552" t="inlineStr">
        <is>
          <t>2095-10-28</t>
        </is>
      </c>
    </row>
    <row r="71553">
      <c r="A71553" s="1" t="n">
        <v>71552</v>
      </c>
      <c r="B71553">
        <f>TEXT(71552, "[$-0E0000]yyyy-mm-dd")</f>
        <v/>
      </c>
      <c r="C71553" t="inlineStr">
        <is>
          <t>2095-10-29</t>
        </is>
      </c>
    </row>
    <row r="71554">
      <c r="A71554" s="1" t="n">
        <v>71553</v>
      </c>
      <c r="B71554">
        <f>TEXT(71553, "[$-0E0000]yyyy-mm-dd")</f>
        <v/>
      </c>
      <c r="C71554" t="inlineStr">
        <is>
          <t>2095-10-30</t>
        </is>
      </c>
    </row>
    <row r="71555">
      <c r="A71555" s="1" t="n">
        <v>71554</v>
      </c>
      <c r="B71555">
        <f>TEXT(71554, "[$-0E0000]yyyy-mm-dd")</f>
        <v/>
      </c>
      <c r="C71555" t="inlineStr">
        <is>
          <t>2095-11-01</t>
        </is>
      </c>
    </row>
    <row r="71556">
      <c r="A71556" s="1" t="n">
        <v>71555</v>
      </c>
      <c r="B71556">
        <f>TEXT(71555, "[$-0E0000]yyyy-mm-dd")</f>
        <v/>
      </c>
      <c r="C71556" t="inlineStr">
        <is>
          <t>2095-11-02</t>
        </is>
      </c>
    </row>
    <row r="71557">
      <c r="A71557" s="1" t="n">
        <v>71556</v>
      </c>
      <c r="B71557">
        <f>TEXT(71556, "[$-0E0000]yyyy-mm-dd")</f>
        <v/>
      </c>
      <c r="C71557" t="inlineStr">
        <is>
          <t>2095-11-03</t>
        </is>
      </c>
    </row>
    <row r="71558">
      <c r="A71558" s="1" t="n">
        <v>71557</v>
      </c>
      <c r="B71558">
        <f>TEXT(71557, "[$-0E0000]yyyy-mm-dd")</f>
        <v/>
      </c>
      <c r="C71558" t="inlineStr">
        <is>
          <t>2095-11-04</t>
        </is>
      </c>
    </row>
    <row r="71559">
      <c r="A71559" s="1" t="n">
        <v>71558</v>
      </c>
      <c r="B71559">
        <f>TEXT(71558, "[$-0E0000]yyyy-mm-dd")</f>
        <v/>
      </c>
      <c r="C71559" t="inlineStr">
        <is>
          <t>2095-11-05</t>
        </is>
      </c>
    </row>
    <row r="71560">
      <c r="A71560" s="1" t="n">
        <v>71559</v>
      </c>
      <c r="B71560">
        <f>TEXT(71559, "[$-0E0000]yyyy-mm-dd")</f>
        <v/>
      </c>
      <c r="C71560" t="inlineStr">
        <is>
          <t>2095-11-06</t>
        </is>
      </c>
    </row>
    <row r="71561">
      <c r="A71561" s="1" t="n">
        <v>71560</v>
      </c>
      <c r="B71561">
        <f>TEXT(71560, "[$-0E0000]yyyy-mm-dd")</f>
        <v/>
      </c>
      <c r="C71561" t="inlineStr">
        <is>
          <t>2095-11-07</t>
        </is>
      </c>
    </row>
    <row r="71562">
      <c r="A71562" s="1" t="n">
        <v>71561</v>
      </c>
      <c r="B71562">
        <f>TEXT(71561, "[$-0E0000]yyyy-mm-dd")</f>
        <v/>
      </c>
      <c r="C71562" t="inlineStr">
        <is>
          <t>2095-11-08</t>
        </is>
      </c>
    </row>
    <row r="71563">
      <c r="A71563" s="1" t="n">
        <v>71562</v>
      </c>
      <c r="B71563">
        <f>TEXT(71562, "[$-0E0000]yyyy-mm-dd")</f>
        <v/>
      </c>
      <c r="C71563" t="inlineStr">
        <is>
          <t>2095-11-09</t>
        </is>
      </c>
    </row>
    <row r="71564">
      <c r="A71564" s="1" t="n">
        <v>71563</v>
      </c>
      <c r="B71564">
        <f>TEXT(71563, "[$-0E0000]yyyy-mm-dd")</f>
        <v/>
      </c>
      <c r="C71564" t="inlineStr">
        <is>
          <t>2095-11-10</t>
        </is>
      </c>
    </row>
    <row r="71565">
      <c r="A71565" s="1" t="n">
        <v>71564</v>
      </c>
      <c r="B71565">
        <f>TEXT(71564, "[$-0E0000]yyyy-mm-dd")</f>
        <v/>
      </c>
      <c r="C71565" t="inlineStr">
        <is>
          <t>2095-11-11</t>
        </is>
      </c>
    </row>
    <row r="71566">
      <c r="A71566" s="1" t="n">
        <v>71565</v>
      </c>
      <c r="B71566">
        <f>TEXT(71565, "[$-0E0000]yyyy-mm-dd")</f>
        <v/>
      </c>
      <c r="C71566" t="inlineStr">
        <is>
          <t>2095-11-12</t>
        </is>
      </c>
    </row>
    <row r="71567">
      <c r="A71567" s="1" t="n">
        <v>71566</v>
      </c>
      <c r="B71567">
        <f>TEXT(71566, "[$-0E0000]yyyy-mm-dd")</f>
        <v/>
      </c>
      <c r="C71567" t="inlineStr">
        <is>
          <t>2095-11-13</t>
        </is>
      </c>
    </row>
    <row r="71568">
      <c r="A71568" s="1" t="n">
        <v>71567</v>
      </c>
      <c r="B71568">
        <f>TEXT(71567, "[$-0E0000]yyyy-mm-dd")</f>
        <v/>
      </c>
      <c r="C71568" t="inlineStr">
        <is>
          <t>2095-11-14</t>
        </is>
      </c>
    </row>
    <row r="71569">
      <c r="A71569" s="1" t="n">
        <v>71568</v>
      </c>
      <c r="B71569">
        <f>TEXT(71568, "[$-0E0000]yyyy-mm-dd")</f>
        <v/>
      </c>
      <c r="C71569" t="inlineStr">
        <is>
          <t>2095-11-15</t>
        </is>
      </c>
    </row>
    <row r="71570">
      <c r="A71570" s="1" t="n">
        <v>71569</v>
      </c>
      <c r="B71570">
        <f>TEXT(71569, "[$-0E0000]yyyy-mm-dd")</f>
        <v/>
      </c>
      <c r="C71570" t="inlineStr">
        <is>
          <t>2095-11-16</t>
        </is>
      </c>
    </row>
    <row r="71571">
      <c r="A71571" s="1" t="n">
        <v>71570</v>
      </c>
      <c r="B71571">
        <f>TEXT(71570, "[$-0E0000]yyyy-mm-dd")</f>
        <v/>
      </c>
      <c r="C71571" t="inlineStr">
        <is>
          <t>2095-11-17</t>
        </is>
      </c>
    </row>
    <row r="71572">
      <c r="A71572" s="1" t="n">
        <v>71571</v>
      </c>
      <c r="B71572">
        <f>TEXT(71571, "[$-0E0000]yyyy-mm-dd")</f>
        <v/>
      </c>
      <c r="C71572" t="inlineStr">
        <is>
          <t>2095-11-18</t>
        </is>
      </c>
    </row>
    <row r="71573">
      <c r="A71573" s="1" t="n">
        <v>71572</v>
      </c>
      <c r="B71573">
        <f>TEXT(71572, "[$-0E0000]yyyy-mm-dd")</f>
        <v/>
      </c>
      <c r="C71573" t="inlineStr">
        <is>
          <t>2095-11-19</t>
        </is>
      </c>
    </row>
    <row r="71574">
      <c r="A71574" s="1" t="n">
        <v>71573</v>
      </c>
      <c r="B71574">
        <f>TEXT(71573, "[$-0E0000]yyyy-mm-dd")</f>
        <v/>
      </c>
      <c r="C71574" t="inlineStr">
        <is>
          <t>2095-11-20</t>
        </is>
      </c>
    </row>
    <row r="71575">
      <c r="A71575" s="1" t="n">
        <v>71574</v>
      </c>
      <c r="B71575">
        <f>TEXT(71574, "[$-0E0000]yyyy-mm-dd")</f>
        <v/>
      </c>
      <c r="C71575" t="inlineStr">
        <is>
          <t>2095-11-21</t>
        </is>
      </c>
    </row>
    <row r="71576">
      <c r="A71576" s="1" t="n">
        <v>71575</v>
      </c>
      <c r="B71576">
        <f>TEXT(71575, "[$-0E0000]yyyy-mm-dd")</f>
        <v/>
      </c>
      <c r="C71576" t="inlineStr">
        <is>
          <t>2095-11-22</t>
        </is>
      </c>
    </row>
    <row r="71577">
      <c r="A71577" s="1" t="n">
        <v>71576</v>
      </c>
      <c r="B71577">
        <f>TEXT(71576, "[$-0E0000]yyyy-mm-dd")</f>
        <v/>
      </c>
      <c r="C71577" t="inlineStr">
        <is>
          <t>2095-11-23</t>
        </is>
      </c>
    </row>
    <row r="71578">
      <c r="A71578" s="1" t="n">
        <v>71577</v>
      </c>
      <c r="B71578">
        <f>TEXT(71577, "[$-0E0000]yyyy-mm-dd")</f>
        <v/>
      </c>
      <c r="C71578" t="inlineStr">
        <is>
          <t>2095-11-24</t>
        </is>
      </c>
    </row>
    <row r="71579">
      <c r="A71579" s="1" t="n">
        <v>71578</v>
      </c>
      <c r="B71579">
        <f>TEXT(71578, "[$-0E0000]yyyy-mm-dd")</f>
        <v/>
      </c>
      <c r="C71579" t="inlineStr">
        <is>
          <t>2095-11-25</t>
        </is>
      </c>
    </row>
    <row r="71580">
      <c r="A71580" s="1" t="n">
        <v>71579</v>
      </c>
      <c r="B71580">
        <f>TEXT(71579, "[$-0E0000]yyyy-mm-dd")</f>
        <v/>
      </c>
      <c r="C71580" t="inlineStr">
        <is>
          <t>2095-11-26</t>
        </is>
      </c>
    </row>
    <row r="71581">
      <c r="A71581" s="1" t="n">
        <v>71580</v>
      </c>
      <c r="B71581">
        <f>TEXT(71580, "[$-0E0000]yyyy-mm-dd")</f>
        <v/>
      </c>
      <c r="C71581" t="inlineStr">
        <is>
          <t>2095-11-27</t>
        </is>
      </c>
    </row>
    <row r="71582">
      <c r="A71582" s="1" t="n">
        <v>71581</v>
      </c>
      <c r="B71582">
        <f>TEXT(71581, "[$-0E0000]yyyy-mm-dd")</f>
        <v/>
      </c>
      <c r="C71582" t="inlineStr">
        <is>
          <t>2095-11-28</t>
        </is>
      </c>
    </row>
    <row r="71583">
      <c r="A71583" s="1" t="n">
        <v>71582</v>
      </c>
      <c r="B71583">
        <f>TEXT(71582, "[$-0E0000]yyyy-mm-dd")</f>
        <v/>
      </c>
      <c r="C71583" t="inlineStr">
        <is>
          <t>2095-11-29</t>
        </is>
      </c>
    </row>
    <row r="71584">
      <c r="A71584" s="1" t="n">
        <v>71583</v>
      </c>
      <c r="B71584">
        <f>TEXT(71583, "[$-0E0000]yyyy-mm-dd")</f>
        <v/>
      </c>
      <c r="C71584" t="inlineStr">
        <is>
          <t>2095-11-30</t>
        </is>
      </c>
    </row>
    <row r="71585">
      <c r="A71585" s="1" t="n">
        <v>71584</v>
      </c>
      <c r="B71585">
        <f>TEXT(71584, "[$-0E0000]yyyy-mm-dd")</f>
        <v/>
      </c>
      <c r="C71585" t="inlineStr">
        <is>
          <t>2095-12-01</t>
        </is>
      </c>
    </row>
    <row r="71586">
      <c r="A71586" s="1" t="n">
        <v>71585</v>
      </c>
      <c r="B71586">
        <f>TEXT(71585, "[$-0E0000]yyyy-mm-dd")</f>
        <v/>
      </c>
      <c r="C71586" t="inlineStr">
        <is>
          <t>2095-12-02</t>
        </is>
      </c>
    </row>
    <row r="71587">
      <c r="A71587" s="1" t="n">
        <v>71586</v>
      </c>
      <c r="B71587">
        <f>TEXT(71586, "[$-0E0000]yyyy-mm-dd")</f>
        <v/>
      </c>
      <c r="C71587" t="inlineStr">
        <is>
          <t>2095-12-03</t>
        </is>
      </c>
    </row>
    <row r="71588">
      <c r="A71588" s="1" t="n">
        <v>71587</v>
      </c>
      <c r="B71588">
        <f>TEXT(71587, "[$-0E0000]yyyy-mm-dd")</f>
        <v/>
      </c>
      <c r="C71588" t="inlineStr">
        <is>
          <t>2095-12-04</t>
        </is>
      </c>
    </row>
    <row r="71589">
      <c r="A71589" s="1" t="n">
        <v>71588</v>
      </c>
      <c r="B71589">
        <f>TEXT(71588, "[$-0E0000]yyyy-mm-dd")</f>
        <v/>
      </c>
      <c r="C71589" t="inlineStr">
        <is>
          <t>2095-12-05</t>
        </is>
      </c>
    </row>
    <row r="71590">
      <c r="A71590" s="1" t="n">
        <v>71589</v>
      </c>
      <c r="B71590">
        <f>TEXT(71589, "[$-0E0000]yyyy-mm-dd")</f>
        <v/>
      </c>
      <c r="C71590" t="inlineStr">
        <is>
          <t>2095-12-06</t>
        </is>
      </c>
    </row>
    <row r="71591">
      <c r="A71591" s="1" t="n">
        <v>71590</v>
      </c>
      <c r="B71591">
        <f>TEXT(71590, "[$-0E0000]yyyy-mm-dd")</f>
        <v/>
      </c>
      <c r="C71591" t="inlineStr">
        <is>
          <t>2095-12-07</t>
        </is>
      </c>
    </row>
    <row r="71592">
      <c r="A71592" s="1" t="n">
        <v>71591</v>
      </c>
      <c r="B71592">
        <f>TEXT(71591, "[$-0E0000]yyyy-mm-dd")</f>
        <v/>
      </c>
      <c r="C71592" t="inlineStr">
        <is>
          <t>2095-12-08</t>
        </is>
      </c>
    </row>
    <row r="71593">
      <c r="A71593" s="1" t="n">
        <v>71592</v>
      </c>
      <c r="B71593">
        <f>TEXT(71592, "[$-0E0000]yyyy-mm-dd")</f>
        <v/>
      </c>
      <c r="C71593" t="inlineStr">
        <is>
          <t>2095-12-09</t>
        </is>
      </c>
    </row>
    <row r="71594">
      <c r="A71594" s="1" t="n">
        <v>71593</v>
      </c>
      <c r="B71594">
        <f>TEXT(71593, "[$-0E0000]yyyy-mm-dd")</f>
        <v/>
      </c>
      <c r="C71594" t="inlineStr">
        <is>
          <t>2095-12-10</t>
        </is>
      </c>
    </row>
    <row r="71595">
      <c r="A71595" s="1" t="n">
        <v>71594</v>
      </c>
      <c r="B71595">
        <f>TEXT(71594, "[$-0E0000]yyyy-mm-dd")</f>
        <v/>
      </c>
      <c r="C71595" t="inlineStr">
        <is>
          <t>2095-12-11</t>
        </is>
      </c>
    </row>
    <row r="71596">
      <c r="A71596" s="1" t="n">
        <v>71595</v>
      </c>
      <c r="B71596">
        <f>TEXT(71595, "[$-0E0000]yyyy-mm-dd")</f>
        <v/>
      </c>
      <c r="C71596" t="inlineStr">
        <is>
          <t>2095-12-12</t>
        </is>
      </c>
    </row>
    <row r="71597">
      <c r="A71597" s="1" t="n">
        <v>71596</v>
      </c>
      <c r="B71597">
        <f>TEXT(71596, "[$-0E0000]yyyy-mm-dd")</f>
        <v/>
      </c>
      <c r="C71597" t="inlineStr">
        <is>
          <t>2095-12-13</t>
        </is>
      </c>
    </row>
    <row r="71598">
      <c r="A71598" s="1" t="n">
        <v>71597</v>
      </c>
      <c r="B71598">
        <f>TEXT(71597, "[$-0E0000]yyyy-mm-dd")</f>
        <v/>
      </c>
      <c r="C71598" t="inlineStr">
        <is>
          <t>2095-12-14</t>
        </is>
      </c>
    </row>
    <row r="71599">
      <c r="A71599" s="1" t="n">
        <v>71598</v>
      </c>
      <c r="B71599">
        <f>TEXT(71598, "[$-0E0000]yyyy-mm-dd")</f>
        <v/>
      </c>
      <c r="C71599" t="inlineStr">
        <is>
          <t>2095-12-15</t>
        </is>
      </c>
    </row>
    <row r="71600">
      <c r="A71600" s="1" t="n">
        <v>71599</v>
      </c>
      <c r="B71600">
        <f>TEXT(71599, "[$-0E0000]yyyy-mm-dd")</f>
        <v/>
      </c>
      <c r="C71600" t="inlineStr">
        <is>
          <t>2095-12-16</t>
        </is>
      </c>
    </row>
    <row r="71601">
      <c r="A71601" s="1" t="n">
        <v>71600</v>
      </c>
      <c r="B71601">
        <f>TEXT(71600, "[$-0E0000]yyyy-mm-dd")</f>
        <v/>
      </c>
      <c r="C71601" t="inlineStr">
        <is>
          <t>2095-12-17</t>
        </is>
      </c>
    </row>
    <row r="71602">
      <c r="A71602" s="1" t="n">
        <v>71601</v>
      </c>
      <c r="B71602">
        <f>TEXT(71601, "[$-0E0000]yyyy-mm-dd")</f>
        <v/>
      </c>
      <c r="C71602" t="inlineStr">
        <is>
          <t>2095-12-18</t>
        </is>
      </c>
    </row>
    <row r="71603">
      <c r="A71603" s="1" t="n">
        <v>71602</v>
      </c>
      <c r="B71603">
        <f>TEXT(71602, "[$-0E0000]yyyy-mm-dd")</f>
        <v/>
      </c>
      <c r="C71603" t="inlineStr">
        <is>
          <t>2095-12-19</t>
        </is>
      </c>
    </row>
    <row r="71604">
      <c r="A71604" s="1" t="n">
        <v>71603</v>
      </c>
      <c r="B71604">
        <f>TEXT(71603, "[$-0E0000]yyyy-mm-dd")</f>
        <v/>
      </c>
      <c r="C71604" t="inlineStr">
        <is>
          <t>2095-12-20</t>
        </is>
      </c>
    </row>
    <row r="71605">
      <c r="A71605" s="1" t="n">
        <v>71604</v>
      </c>
      <c r="B71605">
        <f>TEXT(71604, "[$-0E0000]yyyy-mm-dd")</f>
        <v/>
      </c>
      <c r="C71605" t="inlineStr">
        <is>
          <t>2095-12-21</t>
        </is>
      </c>
    </row>
    <row r="71606">
      <c r="A71606" s="1" t="n">
        <v>71605</v>
      </c>
      <c r="B71606">
        <f>TEXT(71605, "[$-0E0000]yyyy-mm-dd")</f>
        <v/>
      </c>
      <c r="C71606" t="inlineStr">
        <is>
          <t>2095-12-22</t>
        </is>
      </c>
    </row>
    <row r="71607">
      <c r="A71607" s="1" t="n">
        <v>71606</v>
      </c>
      <c r="B71607">
        <f>TEXT(71606, "[$-0E0000]yyyy-mm-dd")</f>
        <v/>
      </c>
      <c r="C71607" t="inlineStr">
        <is>
          <t>2095-12-23</t>
        </is>
      </c>
    </row>
    <row r="71608">
      <c r="A71608" s="1" t="n">
        <v>71607</v>
      </c>
      <c r="B71608">
        <f>TEXT(71607, "[$-0E0000]yyyy-mm-dd")</f>
        <v/>
      </c>
      <c r="C71608" t="inlineStr">
        <is>
          <t>2095-12-24</t>
        </is>
      </c>
    </row>
    <row r="71609">
      <c r="A71609" s="1" t="n">
        <v>71608</v>
      </c>
      <c r="B71609">
        <f>TEXT(71608, "[$-0E0000]yyyy-mm-dd")</f>
        <v/>
      </c>
      <c r="C71609" t="inlineStr">
        <is>
          <t>2095-12-25</t>
        </is>
      </c>
    </row>
    <row r="71610">
      <c r="A71610" s="1" t="n">
        <v>71609</v>
      </c>
      <c r="B71610">
        <f>TEXT(71609, "[$-0E0000]yyyy-mm-dd")</f>
        <v/>
      </c>
      <c r="C71610" t="inlineStr">
        <is>
          <t>2095-12-26</t>
        </is>
      </c>
    </row>
    <row r="71611">
      <c r="A71611" s="1" t="n">
        <v>71610</v>
      </c>
      <c r="B71611">
        <f>TEXT(71610, "[$-0E0000]yyyy-mm-dd")</f>
        <v/>
      </c>
      <c r="C71611" t="inlineStr">
        <is>
          <t>2095-12-27</t>
        </is>
      </c>
    </row>
    <row r="71612">
      <c r="A71612" s="1" t="n">
        <v>71611</v>
      </c>
      <c r="B71612">
        <f>TEXT(71611, "[$-0E0000]yyyy-mm-dd")</f>
        <v/>
      </c>
      <c r="C71612" t="inlineStr">
        <is>
          <t>2095-12-28</t>
        </is>
      </c>
    </row>
    <row r="71613">
      <c r="A71613" s="1" t="n">
        <v>71612</v>
      </c>
      <c r="B71613">
        <f>TEXT(71612, "[$-0E0000]yyyy-mm-dd")</f>
        <v/>
      </c>
      <c r="C71613" t="inlineStr">
        <is>
          <t>2095-12-29</t>
        </is>
      </c>
    </row>
    <row r="71614">
      <c r="A71614" s="1" t="n">
        <v>71613</v>
      </c>
      <c r="B71614">
        <f>TEXT(71613, "[$-0E0000]yyyy-mm-dd")</f>
        <v/>
      </c>
      <c r="C71614" t="inlineStr">
        <is>
          <t>2096-01-01</t>
        </is>
      </c>
    </row>
    <row r="71615">
      <c r="A71615" s="1" t="n">
        <v>71614</v>
      </c>
      <c r="B71615">
        <f>TEXT(71614, "[$-0E0000]yyyy-mm-dd")</f>
        <v/>
      </c>
      <c r="C71615" t="inlineStr">
        <is>
          <t>2096-01-02</t>
        </is>
      </c>
    </row>
    <row r="71616">
      <c r="A71616" s="1" t="n">
        <v>71615</v>
      </c>
      <c r="B71616">
        <f>TEXT(71615, "[$-0E0000]yyyy-mm-dd")</f>
        <v/>
      </c>
      <c r="C71616" t="inlineStr">
        <is>
          <t>2096-01-03</t>
        </is>
      </c>
    </row>
    <row r="71617">
      <c r="A71617" s="1" t="n">
        <v>71616</v>
      </c>
      <c r="B71617">
        <f>TEXT(71616, "[$-0E0000]yyyy-mm-dd")</f>
        <v/>
      </c>
      <c r="C71617" t="inlineStr">
        <is>
          <t>2096-01-04</t>
        </is>
      </c>
    </row>
    <row r="71618">
      <c r="A71618" s="1" t="n">
        <v>71617</v>
      </c>
      <c r="B71618">
        <f>TEXT(71617, "[$-0E0000]yyyy-mm-dd")</f>
        <v/>
      </c>
      <c r="C71618" t="inlineStr">
        <is>
          <t>2096-01-05</t>
        </is>
      </c>
    </row>
    <row r="71619">
      <c r="A71619" s="1" t="n">
        <v>71618</v>
      </c>
      <c r="B71619">
        <f>TEXT(71618, "[$-0E0000]yyyy-mm-dd")</f>
        <v/>
      </c>
      <c r="C71619" t="inlineStr">
        <is>
          <t>2096-01-06</t>
        </is>
      </c>
    </row>
    <row r="71620">
      <c r="A71620" s="1" t="n">
        <v>71619</v>
      </c>
      <c r="B71620">
        <f>TEXT(71619, "[$-0E0000]yyyy-mm-dd")</f>
        <v/>
      </c>
      <c r="C71620" t="inlineStr">
        <is>
          <t>2096-01-07</t>
        </is>
      </c>
    </row>
    <row r="71621">
      <c r="A71621" s="1" t="n">
        <v>71620</v>
      </c>
      <c r="B71621">
        <f>TEXT(71620, "[$-0E0000]yyyy-mm-dd")</f>
        <v/>
      </c>
      <c r="C71621" t="inlineStr">
        <is>
          <t>2096-01-08</t>
        </is>
      </c>
    </row>
    <row r="71622">
      <c r="A71622" s="1" t="n">
        <v>71621</v>
      </c>
      <c r="B71622">
        <f>TEXT(71621, "[$-0E0000]yyyy-mm-dd")</f>
        <v/>
      </c>
      <c r="C71622" t="inlineStr">
        <is>
          <t>2096-01-09</t>
        </is>
      </c>
    </row>
    <row r="71623">
      <c r="A71623" s="1" t="n">
        <v>71622</v>
      </c>
      <c r="B71623">
        <f>TEXT(71622, "[$-0E0000]yyyy-mm-dd")</f>
        <v/>
      </c>
      <c r="C71623" t="inlineStr">
        <is>
          <t>2096-01-10</t>
        </is>
      </c>
    </row>
    <row r="71624">
      <c r="A71624" s="1" t="n">
        <v>71623</v>
      </c>
      <c r="B71624">
        <f>TEXT(71623, "[$-0E0000]yyyy-mm-dd")</f>
        <v/>
      </c>
      <c r="C71624" t="inlineStr">
        <is>
          <t>2096-01-11</t>
        </is>
      </c>
    </row>
    <row r="71625">
      <c r="A71625" s="1" t="n">
        <v>71624</v>
      </c>
      <c r="B71625">
        <f>TEXT(71624, "[$-0E0000]yyyy-mm-dd")</f>
        <v/>
      </c>
      <c r="C71625" t="inlineStr">
        <is>
          <t>2096-01-12</t>
        </is>
      </c>
    </row>
    <row r="71626">
      <c r="A71626" s="1" t="n">
        <v>71625</v>
      </c>
      <c r="B71626">
        <f>TEXT(71625, "[$-0E0000]yyyy-mm-dd")</f>
        <v/>
      </c>
      <c r="C71626" t="inlineStr">
        <is>
          <t>2096-01-13</t>
        </is>
      </c>
    </row>
    <row r="71627">
      <c r="A71627" s="1" t="n">
        <v>71626</v>
      </c>
      <c r="B71627">
        <f>TEXT(71626, "[$-0E0000]yyyy-mm-dd")</f>
        <v/>
      </c>
      <c r="C71627" t="inlineStr">
        <is>
          <t>2096-01-14</t>
        </is>
      </c>
    </row>
    <row r="71628">
      <c r="A71628" s="1" t="n">
        <v>71627</v>
      </c>
      <c r="B71628">
        <f>TEXT(71627, "[$-0E0000]yyyy-mm-dd")</f>
        <v/>
      </c>
      <c r="C71628" t="inlineStr">
        <is>
          <t>2096-01-15</t>
        </is>
      </c>
    </row>
    <row r="71629">
      <c r="A71629" s="1" t="n">
        <v>71628</v>
      </c>
      <c r="B71629">
        <f>TEXT(71628, "[$-0E0000]yyyy-mm-dd")</f>
        <v/>
      </c>
      <c r="C71629" t="inlineStr">
        <is>
          <t>2096-01-16</t>
        </is>
      </c>
    </row>
    <row r="71630">
      <c r="A71630" s="1" t="n">
        <v>71629</v>
      </c>
      <c r="B71630">
        <f>TEXT(71629, "[$-0E0000]yyyy-mm-dd")</f>
        <v/>
      </c>
      <c r="C71630" t="inlineStr">
        <is>
          <t>2096-01-17</t>
        </is>
      </c>
    </row>
    <row r="71631">
      <c r="A71631" s="1" t="n">
        <v>71630</v>
      </c>
      <c r="B71631">
        <f>TEXT(71630, "[$-0E0000]yyyy-mm-dd")</f>
        <v/>
      </c>
      <c r="C71631" t="inlineStr">
        <is>
          <t>2096-01-18</t>
        </is>
      </c>
    </row>
    <row r="71632">
      <c r="A71632" s="1" t="n">
        <v>71631</v>
      </c>
      <c r="B71632">
        <f>TEXT(71631, "[$-0E0000]yyyy-mm-dd")</f>
        <v/>
      </c>
      <c r="C71632" t="inlineStr">
        <is>
          <t>2096-01-19</t>
        </is>
      </c>
    </row>
    <row r="71633">
      <c r="A71633" s="1" t="n">
        <v>71632</v>
      </c>
      <c r="B71633">
        <f>TEXT(71632, "[$-0E0000]yyyy-mm-dd")</f>
        <v/>
      </c>
      <c r="C71633" t="inlineStr">
        <is>
          <t>2096-01-20</t>
        </is>
      </c>
    </row>
    <row r="71634">
      <c r="A71634" s="1" t="n">
        <v>71633</v>
      </c>
      <c r="B71634">
        <f>TEXT(71633, "[$-0E0000]yyyy-mm-dd")</f>
        <v/>
      </c>
      <c r="C71634" t="inlineStr">
        <is>
          <t>2096-01-21</t>
        </is>
      </c>
    </row>
    <row r="71635">
      <c r="A71635" s="1" t="n">
        <v>71634</v>
      </c>
      <c r="B71635">
        <f>TEXT(71634, "[$-0E0000]yyyy-mm-dd")</f>
        <v/>
      </c>
      <c r="C71635" t="inlineStr">
        <is>
          <t>2096-01-22</t>
        </is>
      </c>
    </row>
    <row r="71636">
      <c r="A71636" s="1" t="n">
        <v>71635</v>
      </c>
      <c r="B71636">
        <f>TEXT(71635, "[$-0E0000]yyyy-mm-dd")</f>
        <v/>
      </c>
      <c r="C71636" t="inlineStr">
        <is>
          <t>2096-01-23</t>
        </is>
      </c>
    </row>
    <row r="71637">
      <c r="A71637" s="1" t="n">
        <v>71636</v>
      </c>
      <c r="B71637">
        <f>TEXT(71636, "[$-0E0000]yyyy-mm-dd")</f>
        <v/>
      </c>
      <c r="C71637" t="inlineStr">
        <is>
          <t>2096-01-24</t>
        </is>
      </c>
    </row>
    <row r="71638">
      <c r="A71638" s="1" t="n">
        <v>71637</v>
      </c>
      <c r="B71638">
        <f>TEXT(71637, "[$-0E0000]yyyy-mm-dd")</f>
        <v/>
      </c>
      <c r="C71638" t="inlineStr">
        <is>
          <t>2096-01-25</t>
        </is>
      </c>
    </row>
    <row r="71639">
      <c r="A71639" s="1" t="n">
        <v>71638</v>
      </c>
      <c r="B71639">
        <f>TEXT(71638, "[$-0E0000]yyyy-mm-dd")</f>
        <v/>
      </c>
      <c r="C71639" t="inlineStr">
        <is>
          <t>2096-01-26</t>
        </is>
      </c>
    </row>
    <row r="71640">
      <c r="A71640" s="1" t="n">
        <v>71639</v>
      </c>
      <c r="B71640">
        <f>TEXT(71639, "[$-0E0000]yyyy-mm-dd")</f>
        <v/>
      </c>
      <c r="C71640" t="inlineStr">
        <is>
          <t>2096-01-27</t>
        </is>
      </c>
    </row>
    <row r="71641">
      <c r="A71641" s="1" t="n">
        <v>71640</v>
      </c>
      <c r="B71641">
        <f>TEXT(71640, "[$-0E0000]yyyy-mm-dd")</f>
        <v/>
      </c>
      <c r="C71641" t="inlineStr">
        <is>
          <t>2096-01-28</t>
        </is>
      </c>
    </row>
    <row r="71642">
      <c r="A71642" s="1" t="n">
        <v>71641</v>
      </c>
      <c r="B71642">
        <f>TEXT(71641, "[$-0E0000]yyyy-mm-dd")</f>
        <v/>
      </c>
      <c r="C71642" t="inlineStr">
        <is>
          <t>2096-01-29</t>
        </is>
      </c>
    </row>
    <row r="71643">
      <c r="A71643" s="1" t="n">
        <v>71642</v>
      </c>
      <c r="B71643">
        <f>TEXT(71642, "[$-0E0000]yyyy-mm-dd")</f>
        <v/>
      </c>
      <c r="C71643" t="inlineStr">
        <is>
          <t>2096-01-30</t>
        </is>
      </c>
    </row>
    <row r="71644">
      <c r="A71644" s="1" t="n">
        <v>71643</v>
      </c>
      <c r="B71644">
        <f>TEXT(71643, "[$-0E0000]yyyy-mm-dd")</f>
        <v/>
      </c>
      <c r="C71644" t="inlineStr">
        <is>
          <t>2096-02-01</t>
        </is>
      </c>
    </row>
    <row r="71645">
      <c r="A71645" s="1" t="n">
        <v>71644</v>
      </c>
      <c r="B71645">
        <f>TEXT(71644, "[$-0E0000]yyyy-mm-dd")</f>
        <v/>
      </c>
      <c r="C71645" t="inlineStr">
        <is>
          <t>2096-02-02</t>
        </is>
      </c>
    </row>
    <row r="71646">
      <c r="A71646" s="1" t="n">
        <v>71645</v>
      </c>
      <c r="B71646">
        <f>TEXT(71645, "[$-0E0000]yyyy-mm-dd")</f>
        <v/>
      </c>
      <c r="C71646" t="inlineStr">
        <is>
          <t>2096-02-03</t>
        </is>
      </c>
    </row>
    <row r="71647">
      <c r="A71647" s="1" t="n">
        <v>71646</v>
      </c>
      <c r="B71647">
        <f>TEXT(71646, "[$-0E0000]yyyy-mm-dd")</f>
        <v/>
      </c>
      <c r="C71647" t="inlineStr">
        <is>
          <t>2096-02-04</t>
        </is>
      </c>
    </row>
    <row r="71648">
      <c r="A71648" s="1" t="n">
        <v>71647</v>
      </c>
      <c r="B71648">
        <f>TEXT(71647, "[$-0E0000]yyyy-mm-dd")</f>
        <v/>
      </c>
      <c r="C71648" t="inlineStr">
        <is>
          <t>2096-02-05</t>
        </is>
      </c>
    </row>
    <row r="71649">
      <c r="A71649" s="1" t="n">
        <v>71648</v>
      </c>
      <c r="B71649">
        <f>TEXT(71648, "[$-0E0000]yyyy-mm-dd")</f>
        <v/>
      </c>
      <c r="C71649" t="inlineStr">
        <is>
          <t>2096-02-06</t>
        </is>
      </c>
    </row>
    <row r="71650">
      <c r="A71650" s="1" t="n">
        <v>71649</v>
      </c>
      <c r="B71650">
        <f>TEXT(71649, "[$-0E0000]yyyy-mm-dd")</f>
        <v/>
      </c>
      <c r="C71650" t="inlineStr">
        <is>
          <t>2096-02-07</t>
        </is>
      </c>
    </row>
    <row r="71651">
      <c r="A71651" s="1" t="n">
        <v>71650</v>
      </c>
      <c r="B71651">
        <f>TEXT(71650, "[$-0E0000]yyyy-mm-dd")</f>
        <v/>
      </c>
      <c r="C71651" t="inlineStr">
        <is>
          <t>2096-02-08</t>
        </is>
      </c>
    </row>
    <row r="71652">
      <c r="A71652" s="1" t="n">
        <v>71651</v>
      </c>
      <c r="B71652">
        <f>TEXT(71651, "[$-0E0000]yyyy-mm-dd")</f>
        <v/>
      </c>
      <c r="C71652" t="inlineStr">
        <is>
          <t>2096-02-09</t>
        </is>
      </c>
    </row>
    <row r="71653">
      <c r="A71653" s="1" t="n">
        <v>71652</v>
      </c>
      <c r="B71653">
        <f>TEXT(71652, "[$-0E0000]yyyy-mm-dd")</f>
        <v/>
      </c>
      <c r="C71653" t="inlineStr">
        <is>
          <t>2096-02-10</t>
        </is>
      </c>
    </row>
    <row r="71654">
      <c r="A71654" s="1" t="n">
        <v>71653</v>
      </c>
      <c r="B71654">
        <f>TEXT(71653, "[$-0E0000]yyyy-mm-dd")</f>
        <v/>
      </c>
      <c r="C71654" t="inlineStr">
        <is>
          <t>2096-02-11</t>
        </is>
      </c>
    </row>
    <row r="71655">
      <c r="A71655" s="1" t="n">
        <v>71654</v>
      </c>
      <c r="B71655">
        <f>TEXT(71654, "[$-0E0000]yyyy-mm-dd")</f>
        <v/>
      </c>
      <c r="C71655" t="inlineStr">
        <is>
          <t>2096-02-12</t>
        </is>
      </c>
    </row>
    <row r="71656">
      <c r="A71656" s="1" t="n">
        <v>71655</v>
      </c>
      <c r="B71656">
        <f>TEXT(71655, "[$-0E0000]yyyy-mm-dd")</f>
        <v/>
      </c>
      <c r="C71656" t="inlineStr">
        <is>
          <t>2096-02-13</t>
        </is>
      </c>
    </row>
    <row r="71657">
      <c r="A71657" s="1" t="n">
        <v>71656</v>
      </c>
      <c r="B71657">
        <f>TEXT(71656, "[$-0E0000]yyyy-mm-dd")</f>
        <v/>
      </c>
      <c r="C71657" t="inlineStr">
        <is>
          <t>2096-02-14</t>
        </is>
      </c>
    </row>
    <row r="71658">
      <c r="A71658" s="1" t="n">
        <v>71657</v>
      </c>
      <c r="B71658">
        <f>TEXT(71657, "[$-0E0000]yyyy-mm-dd")</f>
        <v/>
      </c>
      <c r="C71658" t="inlineStr">
        <is>
          <t>2096-02-15</t>
        </is>
      </c>
    </row>
    <row r="71659">
      <c r="A71659" s="1" t="n">
        <v>71658</v>
      </c>
      <c r="B71659">
        <f>TEXT(71658, "[$-0E0000]yyyy-mm-dd")</f>
        <v/>
      </c>
      <c r="C71659" t="inlineStr">
        <is>
          <t>2096-02-16</t>
        </is>
      </c>
    </row>
    <row r="71660">
      <c r="A71660" s="1" t="n">
        <v>71659</v>
      </c>
      <c r="B71660">
        <f>TEXT(71659, "[$-0E0000]yyyy-mm-dd")</f>
        <v/>
      </c>
      <c r="C71660" t="inlineStr">
        <is>
          <t>2096-02-17</t>
        </is>
      </c>
    </row>
    <row r="71661">
      <c r="A71661" s="1" t="n">
        <v>71660</v>
      </c>
      <c r="B71661">
        <f>TEXT(71660, "[$-0E0000]yyyy-mm-dd")</f>
        <v/>
      </c>
      <c r="C71661" t="inlineStr">
        <is>
          <t>2096-02-18</t>
        </is>
      </c>
    </row>
    <row r="71662">
      <c r="A71662" s="1" t="n">
        <v>71661</v>
      </c>
      <c r="B71662">
        <f>TEXT(71661, "[$-0E0000]yyyy-mm-dd")</f>
        <v/>
      </c>
      <c r="C71662" t="inlineStr">
        <is>
          <t>2096-02-19</t>
        </is>
      </c>
    </row>
    <row r="71663">
      <c r="A71663" s="1" t="n">
        <v>71662</v>
      </c>
      <c r="B71663">
        <f>TEXT(71662, "[$-0E0000]yyyy-mm-dd")</f>
        <v/>
      </c>
      <c r="C71663" t="inlineStr">
        <is>
          <t>2096-02-20</t>
        </is>
      </c>
    </row>
    <row r="71664">
      <c r="A71664" s="1" t="n">
        <v>71663</v>
      </c>
      <c r="B71664">
        <f>TEXT(71663, "[$-0E0000]yyyy-mm-dd")</f>
        <v/>
      </c>
      <c r="C71664" t="inlineStr">
        <is>
          <t>2096-02-21</t>
        </is>
      </c>
    </row>
    <row r="71665">
      <c r="A71665" s="1" t="n">
        <v>71664</v>
      </c>
      <c r="B71665">
        <f>TEXT(71664, "[$-0E0000]yyyy-mm-dd")</f>
        <v/>
      </c>
      <c r="C71665" t="inlineStr">
        <is>
          <t>2096-02-22</t>
        </is>
      </c>
    </row>
    <row r="71666">
      <c r="A71666" s="1" t="n">
        <v>71665</v>
      </c>
      <c r="B71666">
        <f>TEXT(71665, "[$-0E0000]yyyy-mm-dd")</f>
        <v/>
      </c>
      <c r="C71666" t="inlineStr">
        <is>
          <t>2096-02-23</t>
        </is>
      </c>
    </row>
    <row r="71667">
      <c r="A71667" s="1" t="n">
        <v>71666</v>
      </c>
      <c r="B71667">
        <f>TEXT(71666, "[$-0E0000]yyyy-mm-dd")</f>
        <v/>
      </c>
      <c r="C71667" t="inlineStr">
        <is>
          <t>2096-02-24</t>
        </is>
      </c>
    </row>
    <row r="71668">
      <c r="A71668" s="1" t="n">
        <v>71667</v>
      </c>
      <c r="B71668">
        <f>TEXT(71667, "[$-0E0000]yyyy-mm-dd")</f>
        <v/>
      </c>
      <c r="C71668" t="inlineStr">
        <is>
          <t>2096-02-25</t>
        </is>
      </c>
    </row>
    <row r="71669">
      <c r="A71669" s="1" t="n">
        <v>71668</v>
      </c>
      <c r="B71669">
        <f>TEXT(71668, "[$-0E0000]yyyy-mm-dd")</f>
        <v/>
      </c>
      <c r="C71669" t="inlineStr">
        <is>
          <t>2096-02-26</t>
        </is>
      </c>
    </row>
    <row r="71670">
      <c r="A71670" s="1" t="n">
        <v>71669</v>
      </c>
      <c r="B71670">
        <f>TEXT(71669, "[$-0E0000]yyyy-mm-dd")</f>
        <v/>
      </c>
      <c r="C71670" t="inlineStr">
        <is>
          <t>2096-02-27</t>
        </is>
      </c>
    </row>
    <row r="71671">
      <c r="A71671" s="1" t="n">
        <v>71670</v>
      </c>
      <c r="B71671">
        <f>TEXT(71670, "[$-0E0000]yyyy-mm-dd")</f>
        <v/>
      </c>
      <c r="C71671" t="inlineStr">
        <is>
          <t>2096-02-28</t>
        </is>
      </c>
    </row>
    <row r="71672">
      <c r="A71672" s="1" t="n">
        <v>71671</v>
      </c>
      <c r="B71672">
        <f>TEXT(71671, "[$-0E0000]yyyy-mm-dd")</f>
        <v/>
      </c>
      <c r="C71672" t="inlineStr">
        <is>
          <t>2096-02-29</t>
        </is>
      </c>
    </row>
    <row r="71673">
      <c r="A71673" s="1" t="n">
        <v>71672</v>
      </c>
      <c r="B71673">
        <f>TEXT(71672, "[$-0E0000]yyyy-mm-dd")</f>
        <v/>
      </c>
      <c r="C71673" t="inlineStr">
        <is>
          <t>2096-03-01</t>
        </is>
      </c>
    </row>
    <row r="71674">
      <c r="A71674" s="1" t="n">
        <v>71673</v>
      </c>
      <c r="B71674">
        <f>TEXT(71673, "[$-0E0000]yyyy-mm-dd")</f>
        <v/>
      </c>
      <c r="C71674" t="inlineStr">
        <is>
          <t>2096-03-02</t>
        </is>
      </c>
    </row>
    <row r="71675">
      <c r="A71675" s="1" t="n">
        <v>71674</v>
      </c>
      <c r="B71675">
        <f>TEXT(71674, "[$-0E0000]yyyy-mm-dd")</f>
        <v/>
      </c>
      <c r="C71675" t="inlineStr">
        <is>
          <t>2096-03-03</t>
        </is>
      </c>
    </row>
    <row r="71676">
      <c r="A71676" s="1" t="n">
        <v>71675</v>
      </c>
      <c r="B71676">
        <f>TEXT(71675, "[$-0E0000]yyyy-mm-dd")</f>
        <v/>
      </c>
      <c r="C71676" t="inlineStr">
        <is>
          <t>2096-03-04</t>
        </is>
      </c>
    </row>
    <row r="71677">
      <c r="A71677" s="1" t="n">
        <v>71676</v>
      </c>
      <c r="B71677">
        <f>TEXT(71676, "[$-0E0000]yyyy-mm-dd")</f>
        <v/>
      </c>
      <c r="C71677" t="inlineStr">
        <is>
          <t>2096-03-05</t>
        </is>
      </c>
    </row>
    <row r="71678">
      <c r="A71678" s="1" t="n">
        <v>71677</v>
      </c>
      <c r="B71678">
        <f>TEXT(71677, "[$-0E0000]yyyy-mm-dd")</f>
        <v/>
      </c>
      <c r="C71678" t="inlineStr">
        <is>
          <t>2096-03-06</t>
        </is>
      </c>
    </row>
    <row r="71679">
      <c r="A71679" s="1" t="n">
        <v>71678</v>
      </c>
      <c r="B71679">
        <f>TEXT(71678, "[$-0E0000]yyyy-mm-dd")</f>
        <v/>
      </c>
      <c r="C71679" t="inlineStr">
        <is>
          <t>2096-03-07</t>
        </is>
      </c>
    </row>
    <row r="71680">
      <c r="A71680" s="1" t="n">
        <v>71679</v>
      </c>
      <c r="B71680">
        <f>TEXT(71679, "[$-0E0000]yyyy-mm-dd")</f>
        <v/>
      </c>
      <c r="C71680" t="inlineStr">
        <is>
          <t>2096-03-08</t>
        </is>
      </c>
    </row>
    <row r="71681">
      <c r="A71681" s="1" t="n">
        <v>71680</v>
      </c>
      <c r="B71681">
        <f>TEXT(71680, "[$-0E0000]yyyy-mm-dd")</f>
        <v/>
      </c>
      <c r="C71681" t="inlineStr">
        <is>
          <t>2096-03-09</t>
        </is>
      </c>
    </row>
    <row r="71682">
      <c r="A71682" s="1" t="n">
        <v>71681</v>
      </c>
      <c r="B71682">
        <f>TEXT(71681, "[$-0E0000]yyyy-mm-dd")</f>
        <v/>
      </c>
      <c r="C71682" t="inlineStr">
        <is>
          <t>2096-03-10</t>
        </is>
      </c>
    </row>
    <row r="71683">
      <c r="A71683" s="1" t="n">
        <v>71682</v>
      </c>
      <c r="B71683">
        <f>TEXT(71682, "[$-0E0000]yyyy-mm-dd")</f>
        <v/>
      </c>
      <c r="C71683" t="inlineStr">
        <is>
          <t>2096-03-11</t>
        </is>
      </c>
    </row>
    <row r="71684">
      <c r="A71684" s="1" t="n">
        <v>71683</v>
      </c>
      <c r="B71684">
        <f>TEXT(71683, "[$-0E0000]yyyy-mm-dd")</f>
        <v/>
      </c>
      <c r="C71684" t="inlineStr">
        <is>
          <t>2096-03-12</t>
        </is>
      </c>
    </row>
    <row r="71685">
      <c r="A71685" s="1" t="n">
        <v>71684</v>
      </c>
      <c r="B71685">
        <f>TEXT(71684, "[$-0E0000]yyyy-mm-dd")</f>
        <v/>
      </c>
      <c r="C71685" t="inlineStr">
        <is>
          <t>2096-03-13</t>
        </is>
      </c>
    </row>
    <row r="71686">
      <c r="A71686" s="1" t="n">
        <v>71685</v>
      </c>
      <c r="B71686">
        <f>TEXT(71685, "[$-0E0000]yyyy-mm-dd")</f>
        <v/>
      </c>
      <c r="C71686" t="inlineStr">
        <is>
          <t>2096-03-14</t>
        </is>
      </c>
    </row>
    <row r="71687">
      <c r="A71687" s="1" t="n">
        <v>71686</v>
      </c>
      <c r="B71687">
        <f>TEXT(71686, "[$-0E0000]yyyy-mm-dd")</f>
        <v/>
      </c>
      <c r="C71687" t="inlineStr">
        <is>
          <t>2096-03-15</t>
        </is>
      </c>
    </row>
    <row r="71688">
      <c r="A71688" s="1" t="n">
        <v>71687</v>
      </c>
      <c r="B71688">
        <f>TEXT(71687, "[$-0E0000]yyyy-mm-dd")</f>
        <v/>
      </c>
      <c r="C71688" t="inlineStr">
        <is>
          <t>2096-03-16</t>
        </is>
      </c>
    </row>
    <row r="71689">
      <c r="A71689" s="1" t="n">
        <v>71688</v>
      </c>
      <c r="B71689">
        <f>TEXT(71688, "[$-0E0000]yyyy-mm-dd")</f>
        <v/>
      </c>
      <c r="C71689" t="inlineStr">
        <is>
          <t>2096-03-17</t>
        </is>
      </c>
    </row>
    <row r="71690">
      <c r="A71690" s="1" t="n">
        <v>71689</v>
      </c>
      <c r="B71690">
        <f>TEXT(71689, "[$-0E0000]yyyy-mm-dd")</f>
        <v/>
      </c>
      <c r="C71690" t="inlineStr">
        <is>
          <t>2096-03-18</t>
        </is>
      </c>
    </row>
    <row r="71691">
      <c r="A71691" s="1" t="n">
        <v>71690</v>
      </c>
      <c r="B71691">
        <f>TEXT(71690, "[$-0E0000]yyyy-mm-dd")</f>
        <v/>
      </c>
      <c r="C71691" t="inlineStr">
        <is>
          <t>2096-03-19</t>
        </is>
      </c>
    </row>
    <row r="71692">
      <c r="A71692" s="1" t="n">
        <v>71691</v>
      </c>
      <c r="B71692">
        <f>TEXT(71691, "[$-0E0000]yyyy-mm-dd")</f>
        <v/>
      </c>
      <c r="C71692" t="inlineStr">
        <is>
          <t>2096-03-20</t>
        </is>
      </c>
    </row>
    <row r="71693">
      <c r="A71693" s="1" t="n">
        <v>71692</v>
      </c>
      <c r="B71693">
        <f>TEXT(71692, "[$-0E0000]yyyy-mm-dd")</f>
        <v/>
      </c>
      <c r="C71693" t="inlineStr">
        <is>
          <t>2096-03-21</t>
        </is>
      </c>
    </row>
    <row r="71694">
      <c r="A71694" s="1" t="n">
        <v>71693</v>
      </c>
      <c r="B71694">
        <f>TEXT(71693, "[$-0E0000]yyyy-mm-dd")</f>
        <v/>
      </c>
      <c r="C71694" t="inlineStr">
        <is>
          <t>2096-03-22</t>
        </is>
      </c>
    </row>
    <row r="71695">
      <c r="A71695" s="1" t="n">
        <v>71694</v>
      </c>
      <c r="B71695">
        <f>TEXT(71694, "[$-0E0000]yyyy-mm-dd")</f>
        <v/>
      </c>
      <c r="C71695" t="inlineStr">
        <is>
          <t>2096-03-23</t>
        </is>
      </c>
    </row>
    <row r="71696">
      <c r="A71696" s="1" t="n">
        <v>71695</v>
      </c>
      <c r="B71696">
        <f>TEXT(71695, "[$-0E0000]yyyy-mm-dd")</f>
        <v/>
      </c>
      <c r="C71696" t="inlineStr">
        <is>
          <t>2096-03-24</t>
        </is>
      </c>
    </row>
    <row r="71697">
      <c r="A71697" s="1" t="n">
        <v>71696</v>
      </c>
      <c r="B71697">
        <f>TEXT(71696, "[$-0E0000]yyyy-mm-dd")</f>
        <v/>
      </c>
      <c r="C71697" t="inlineStr">
        <is>
          <t>2096-03-25</t>
        </is>
      </c>
    </row>
    <row r="71698">
      <c r="A71698" s="1" t="n">
        <v>71697</v>
      </c>
      <c r="B71698">
        <f>TEXT(71697, "[$-0E0000]yyyy-mm-dd")</f>
        <v/>
      </c>
      <c r="C71698" t="inlineStr">
        <is>
          <t>2096-03-26</t>
        </is>
      </c>
    </row>
    <row r="71699">
      <c r="A71699" s="1" t="n">
        <v>71698</v>
      </c>
      <c r="B71699">
        <f>TEXT(71698, "[$-0E0000]yyyy-mm-dd")</f>
        <v/>
      </c>
      <c r="C71699" t="inlineStr">
        <is>
          <t>2096-03-27</t>
        </is>
      </c>
    </row>
    <row r="71700">
      <c r="A71700" s="1" t="n">
        <v>71699</v>
      </c>
      <c r="B71700">
        <f>TEXT(71699, "[$-0E0000]yyyy-mm-dd")</f>
        <v/>
      </c>
      <c r="C71700" t="inlineStr">
        <is>
          <t>2096-03-28</t>
        </is>
      </c>
    </row>
    <row r="71701">
      <c r="A71701" s="1" t="n">
        <v>71700</v>
      </c>
      <c r="B71701">
        <f>TEXT(71700, "[$-0E0000]yyyy-mm-dd")</f>
        <v/>
      </c>
      <c r="C71701" t="inlineStr">
        <is>
          <t>2096-03-29</t>
        </is>
      </c>
    </row>
    <row r="71702">
      <c r="A71702" s="1" t="n">
        <v>71701</v>
      </c>
      <c r="B71702">
        <f>TEXT(71701, "[$-0E0000]yyyy-mm-dd")</f>
        <v/>
      </c>
      <c r="C71702" t="inlineStr">
        <is>
          <t>2096-03-30</t>
        </is>
      </c>
    </row>
    <row r="71703">
      <c r="A71703" s="1" t="n">
        <v>71702</v>
      </c>
      <c r="B71703">
        <f>TEXT(71702, "[$-0E0000]yyyy-mm-dd")</f>
        <v/>
      </c>
      <c r="C71703" t="inlineStr">
        <is>
          <t>2096-04-01</t>
        </is>
      </c>
    </row>
    <row r="71704">
      <c r="A71704" s="1" t="n">
        <v>71703</v>
      </c>
      <c r="B71704">
        <f>TEXT(71703, "[$-0E0000]yyyy-mm-dd")</f>
        <v/>
      </c>
      <c r="C71704" t="inlineStr">
        <is>
          <t>2096-04-02</t>
        </is>
      </c>
    </row>
    <row r="71705">
      <c r="A71705" s="1" t="n">
        <v>71704</v>
      </c>
      <c r="B71705">
        <f>TEXT(71704, "[$-0E0000]yyyy-mm-dd")</f>
        <v/>
      </c>
      <c r="C71705" t="inlineStr">
        <is>
          <t>2096-04-03</t>
        </is>
      </c>
    </row>
    <row r="71706">
      <c r="A71706" s="1" t="n">
        <v>71705</v>
      </c>
      <c r="B71706">
        <f>TEXT(71705, "[$-0E0000]yyyy-mm-dd")</f>
        <v/>
      </c>
      <c r="C71706" t="inlineStr">
        <is>
          <t>2096-04-04</t>
        </is>
      </c>
    </row>
    <row r="71707">
      <c r="A71707" s="1" t="n">
        <v>71706</v>
      </c>
      <c r="B71707">
        <f>TEXT(71706, "[$-0E0000]yyyy-mm-dd")</f>
        <v/>
      </c>
      <c r="C71707" t="inlineStr">
        <is>
          <t>2096-04-05</t>
        </is>
      </c>
    </row>
    <row r="71708">
      <c r="A71708" s="1" t="n">
        <v>71707</v>
      </c>
      <c r="B71708">
        <f>TEXT(71707, "[$-0E0000]yyyy-mm-dd")</f>
        <v/>
      </c>
      <c r="C71708" t="inlineStr">
        <is>
          <t>2096-04-06</t>
        </is>
      </c>
    </row>
    <row r="71709">
      <c r="A71709" s="1" t="n">
        <v>71708</v>
      </c>
      <c r="B71709">
        <f>TEXT(71708, "[$-0E0000]yyyy-mm-dd")</f>
        <v/>
      </c>
      <c r="C71709" t="inlineStr">
        <is>
          <t>2096-04-07</t>
        </is>
      </c>
    </row>
    <row r="71710">
      <c r="A71710" s="1" t="n">
        <v>71709</v>
      </c>
      <c r="B71710">
        <f>TEXT(71709, "[$-0E0000]yyyy-mm-dd")</f>
        <v/>
      </c>
      <c r="C71710" t="inlineStr">
        <is>
          <t>2096-04-08</t>
        </is>
      </c>
    </row>
    <row r="71711">
      <c r="A71711" s="1" t="n">
        <v>71710</v>
      </c>
      <c r="B71711">
        <f>TEXT(71710, "[$-0E0000]yyyy-mm-dd")</f>
        <v/>
      </c>
      <c r="C71711" t="inlineStr">
        <is>
          <t>2096-04-09</t>
        </is>
      </c>
    </row>
    <row r="71712">
      <c r="A71712" s="1" t="n">
        <v>71711</v>
      </c>
      <c r="B71712">
        <f>TEXT(71711, "[$-0E0000]yyyy-mm-dd")</f>
        <v/>
      </c>
      <c r="C71712" t="inlineStr">
        <is>
          <t>2096-04-10</t>
        </is>
      </c>
    </row>
    <row r="71713">
      <c r="A71713" s="1" t="n">
        <v>71712</v>
      </c>
      <c r="B71713">
        <f>TEXT(71712, "[$-0E0000]yyyy-mm-dd")</f>
        <v/>
      </c>
      <c r="C71713" t="inlineStr">
        <is>
          <t>2096-04-11</t>
        </is>
      </c>
    </row>
    <row r="71714">
      <c r="A71714" s="1" t="n">
        <v>71713</v>
      </c>
      <c r="B71714">
        <f>TEXT(71713, "[$-0E0000]yyyy-mm-dd")</f>
        <v/>
      </c>
      <c r="C71714" t="inlineStr">
        <is>
          <t>2096-04-12</t>
        </is>
      </c>
    </row>
    <row r="71715">
      <c r="A71715" s="1" t="n">
        <v>71714</v>
      </c>
      <c r="B71715">
        <f>TEXT(71714, "[$-0E0000]yyyy-mm-dd")</f>
        <v/>
      </c>
      <c r="C71715" t="inlineStr">
        <is>
          <t>2096-04-13</t>
        </is>
      </c>
    </row>
    <row r="71716">
      <c r="A71716" s="1" t="n">
        <v>71715</v>
      </c>
      <c r="B71716">
        <f>TEXT(71715, "[$-0E0000]yyyy-mm-dd")</f>
        <v/>
      </c>
      <c r="C71716" t="inlineStr">
        <is>
          <t>2096-04-14</t>
        </is>
      </c>
    </row>
    <row r="71717">
      <c r="A71717" s="1" t="n">
        <v>71716</v>
      </c>
      <c r="B71717">
        <f>TEXT(71716, "[$-0E0000]yyyy-mm-dd")</f>
        <v/>
      </c>
      <c r="C71717" t="inlineStr">
        <is>
          <t>2096-04-15</t>
        </is>
      </c>
    </row>
    <row r="71718">
      <c r="A71718" s="1" t="n">
        <v>71717</v>
      </c>
      <c r="B71718">
        <f>TEXT(71717, "[$-0E0000]yyyy-mm-dd")</f>
        <v/>
      </c>
      <c r="C71718" t="inlineStr">
        <is>
          <t>2096-04-16</t>
        </is>
      </c>
    </row>
    <row r="71719">
      <c r="A71719" s="1" t="n">
        <v>71718</v>
      </c>
      <c r="B71719">
        <f>TEXT(71718, "[$-0E0000]yyyy-mm-dd")</f>
        <v/>
      </c>
      <c r="C71719" t="inlineStr">
        <is>
          <t>2096-04-17</t>
        </is>
      </c>
    </row>
    <row r="71720">
      <c r="A71720" s="1" t="n">
        <v>71719</v>
      </c>
      <c r="B71720">
        <f>TEXT(71719, "[$-0E0000]yyyy-mm-dd")</f>
        <v/>
      </c>
      <c r="C71720" t="inlineStr">
        <is>
          <t>2096-04-18</t>
        </is>
      </c>
    </row>
    <row r="71721">
      <c r="A71721" s="1" t="n">
        <v>71720</v>
      </c>
      <c r="B71721">
        <f>TEXT(71720, "[$-0E0000]yyyy-mm-dd")</f>
        <v/>
      </c>
      <c r="C71721" t="inlineStr">
        <is>
          <t>2096-04-19</t>
        </is>
      </c>
    </row>
    <row r="71722">
      <c r="A71722" s="1" t="n">
        <v>71721</v>
      </c>
      <c r="B71722">
        <f>TEXT(71721, "[$-0E0000]yyyy-mm-dd")</f>
        <v/>
      </c>
      <c r="C71722" t="inlineStr">
        <is>
          <t>2096-04-20</t>
        </is>
      </c>
    </row>
    <row r="71723">
      <c r="A71723" s="1" t="n">
        <v>71722</v>
      </c>
      <c r="B71723">
        <f>TEXT(71722, "[$-0E0000]yyyy-mm-dd")</f>
        <v/>
      </c>
      <c r="C71723" t="inlineStr">
        <is>
          <t>2096-04-21</t>
        </is>
      </c>
    </row>
    <row r="71724">
      <c r="A71724" s="1" t="n">
        <v>71723</v>
      </c>
      <c r="B71724">
        <f>TEXT(71723, "[$-0E0000]yyyy-mm-dd")</f>
        <v/>
      </c>
      <c r="C71724" t="inlineStr">
        <is>
          <t>2096-04-22</t>
        </is>
      </c>
    </row>
    <row r="71725">
      <c r="A71725" s="1" t="n">
        <v>71724</v>
      </c>
      <c r="B71725">
        <f>TEXT(71724, "[$-0E0000]yyyy-mm-dd")</f>
        <v/>
      </c>
      <c r="C71725" t="inlineStr">
        <is>
          <t>2096-04-23</t>
        </is>
      </c>
    </row>
    <row r="71726">
      <c r="A71726" s="1" t="n">
        <v>71725</v>
      </c>
      <c r="B71726">
        <f>TEXT(71725, "[$-0E0000]yyyy-mm-dd")</f>
        <v/>
      </c>
      <c r="C71726" t="inlineStr">
        <is>
          <t>2096-04-24</t>
        </is>
      </c>
    </row>
    <row r="71727">
      <c r="A71727" s="1" t="n">
        <v>71726</v>
      </c>
      <c r="B71727">
        <f>TEXT(71726, "[$-0E0000]yyyy-mm-dd")</f>
        <v/>
      </c>
      <c r="C71727" t="inlineStr">
        <is>
          <t>2096-04-25</t>
        </is>
      </c>
    </row>
    <row r="71728">
      <c r="A71728" s="1" t="n">
        <v>71727</v>
      </c>
      <c r="B71728">
        <f>TEXT(71727, "[$-0E0000]yyyy-mm-dd")</f>
        <v/>
      </c>
      <c r="C71728" t="inlineStr">
        <is>
          <t>2096-04-26</t>
        </is>
      </c>
    </row>
    <row r="71729">
      <c r="A71729" s="1" t="n">
        <v>71728</v>
      </c>
      <c r="B71729">
        <f>TEXT(71728, "[$-0E0000]yyyy-mm-dd")</f>
        <v/>
      </c>
      <c r="C71729" t="inlineStr">
        <is>
          <t>2096-04-27</t>
        </is>
      </c>
    </row>
    <row r="71730">
      <c r="A71730" s="1" t="n">
        <v>71729</v>
      </c>
      <c r="B71730">
        <f>TEXT(71729, "[$-0E0000]yyyy-mm-dd")</f>
        <v/>
      </c>
      <c r="C71730" t="inlineStr">
        <is>
          <t>2096-04-28</t>
        </is>
      </c>
    </row>
    <row r="71731">
      <c r="A71731" s="1" t="n">
        <v>71730</v>
      </c>
      <c r="B71731">
        <f>TEXT(71730, "[$-0E0000]yyyy-mm-dd")</f>
        <v/>
      </c>
      <c r="C71731" t="inlineStr">
        <is>
          <t>2096-04-29</t>
        </is>
      </c>
    </row>
    <row r="71732">
      <c r="A71732" s="1" t="n">
        <v>71731</v>
      </c>
      <c r="B71732">
        <f>TEXT(71731, "[$-0E0000]yyyy-mm-dd")</f>
        <v/>
      </c>
      <c r="C71732" t="inlineStr">
        <is>
          <t>2096-04-01</t>
        </is>
      </c>
    </row>
    <row r="71733">
      <c r="A71733" s="1" t="n">
        <v>71732</v>
      </c>
      <c r="B71733">
        <f>TEXT(71732, "[$-0E0000]yyyy-mm-dd")</f>
        <v/>
      </c>
      <c r="C71733" t="inlineStr">
        <is>
          <t>2096-04-02</t>
        </is>
      </c>
    </row>
    <row r="71734">
      <c r="A71734" s="1" t="n">
        <v>71733</v>
      </c>
      <c r="B71734">
        <f>TEXT(71733, "[$-0E0000]yyyy-mm-dd")</f>
        <v/>
      </c>
      <c r="C71734" t="inlineStr">
        <is>
          <t>2096-04-03</t>
        </is>
      </c>
    </row>
    <row r="71735">
      <c r="A71735" s="1" t="n">
        <v>71734</v>
      </c>
      <c r="B71735">
        <f>TEXT(71734, "[$-0E0000]yyyy-mm-dd")</f>
        <v/>
      </c>
      <c r="C71735" t="inlineStr">
        <is>
          <t>2096-04-04</t>
        </is>
      </c>
    </row>
    <row r="71736">
      <c r="A71736" s="1" t="n">
        <v>71735</v>
      </c>
      <c r="B71736">
        <f>TEXT(71735, "[$-0E0000]yyyy-mm-dd")</f>
        <v/>
      </c>
      <c r="C71736" t="inlineStr">
        <is>
          <t>2096-04-05</t>
        </is>
      </c>
    </row>
    <row r="71737">
      <c r="A71737" s="1" t="n">
        <v>71736</v>
      </c>
      <c r="B71737">
        <f>TEXT(71736, "[$-0E0000]yyyy-mm-dd")</f>
        <v/>
      </c>
      <c r="C71737" t="inlineStr">
        <is>
          <t>2096-04-06</t>
        </is>
      </c>
    </row>
    <row r="71738">
      <c r="A71738" s="1" t="n">
        <v>71737</v>
      </c>
      <c r="B71738">
        <f>TEXT(71737, "[$-0E0000]yyyy-mm-dd")</f>
        <v/>
      </c>
      <c r="C71738" t="inlineStr">
        <is>
          <t>2096-04-07</t>
        </is>
      </c>
    </row>
    <row r="71739">
      <c r="A71739" s="1" t="n">
        <v>71738</v>
      </c>
      <c r="B71739">
        <f>TEXT(71738, "[$-0E0000]yyyy-mm-dd")</f>
        <v/>
      </c>
      <c r="C71739" t="inlineStr">
        <is>
          <t>2096-04-08</t>
        </is>
      </c>
    </row>
    <row r="71740">
      <c r="A71740" s="1" t="n">
        <v>71739</v>
      </c>
      <c r="B71740">
        <f>TEXT(71739, "[$-0E0000]yyyy-mm-dd")</f>
        <v/>
      </c>
      <c r="C71740" t="inlineStr">
        <is>
          <t>2096-04-09</t>
        </is>
      </c>
    </row>
    <row r="71741">
      <c r="A71741" s="1" t="n">
        <v>71740</v>
      </c>
      <c r="B71741">
        <f>TEXT(71740, "[$-0E0000]yyyy-mm-dd")</f>
        <v/>
      </c>
      <c r="C71741" t="inlineStr">
        <is>
          <t>2096-04-10</t>
        </is>
      </c>
    </row>
    <row r="71742">
      <c r="A71742" s="1" t="n">
        <v>71741</v>
      </c>
      <c r="B71742">
        <f>TEXT(71741, "[$-0E0000]yyyy-mm-dd")</f>
        <v/>
      </c>
      <c r="C71742" t="inlineStr">
        <is>
          <t>2096-04-11</t>
        </is>
      </c>
    </row>
    <row r="71743">
      <c r="A71743" s="1" t="n">
        <v>71742</v>
      </c>
      <c r="B71743">
        <f>TEXT(71742, "[$-0E0000]yyyy-mm-dd")</f>
        <v/>
      </c>
      <c r="C71743" t="inlineStr">
        <is>
          <t>2096-04-12</t>
        </is>
      </c>
    </row>
    <row r="71744">
      <c r="A71744" s="1" t="n">
        <v>71743</v>
      </c>
      <c r="B71744">
        <f>TEXT(71743, "[$-0E0000]yyyy-mm-dd")</f>
        <v/>
      </c>
      <c r="C71744" t="inlineStr">
        <is>
          <t>2096-04-13</t>
        </is>
      </c>
    </row>
    <row r="71745">
      <c r="A71745" s="1" t="n">
        <v>71744</v>
      </c>
      <c r="B71745">
        <f>TEXT(71744, "[$-0E0000]yyyy-mm-dd")</f>
        <v/>
      </c>
      <c r="C71745" t="inlineStr">
        <is>
          <t>2096-04-14</t>
        </is>
      </c>
    </row>
    <row r="71746">
      <c r="A71746" s="1" t="n">
        <v>71745</v>
      </c>
      <c r="B71746">
        <f>TEXT(71745, "[$-0E0000]yyyy-mm-dd")</f>
        <v/>
      </c>
      <c r="C71746" t="inlineStr">
        <is>
          <t>2096-04-15</t>
        </is>
      </c>
    </row>
    <row r="71747">
      <c r="A71747" s="1" t="n">
        <v>71746</v>
      </c>
      <c r="B71747">
        <f>TEXT(71746, "[$-0E0000]yyyy-mm-dd")</f>
        <v/>
      </c>
      <c r="C71747" t="inlineStr">
        <is>
          <t>2096-04-16</t>
        </is>
      </c>
    </row>
    <row r="71748">
      <c r="A71748" s="1" t="n">
        <v>71747</v>
      </c>
      <c r="B71748">
        <f>TEXT(71747, "[$-0E0000]yyyy-mm-dd")</f>
        <v/>
      </c>
      <c r="C71748" t="inlineStr">
        <is>
          <t>2096-04-17</t>
        </is>
      </c>
    </row>
    <row r="71749">
      <c r="A71749" s="1" t="n">
        <v>71748</v>
      </c>
      <c r="B71749">
        <f>TEXT(71748, "[$-0E0000]yyyy-mm-dd")</f>
        <v/>
      </c>
      <c r="C71749" t="inlineStr">
        <is>
          <t>2096-04-18</t>
        </is>
      </c>
    </row>
    <row r="71750">
      <c r="A71750" s="1" t="n">
        <v>71749</v>
      </c>
      <c r="B71750">
        <f>TEXT(71749, "[$-0E0000]yyyy-mm-dd")</f>
        <v/>
      </c>
      <c r="C71750" t="inlineStr">
        <is>
          <t>2096-04-19</t>
        </is>
      </c>
    </row>
    <row r="71751">
      <c r="A71751" s="1" t="n">
        <v>71750</v>
      </c>
      <c r="B71751">
        <f>TEXT(71750, "[$-0E0000]yyyy-mm-dd")</f>
        <v/>
      </c>
      <c r="C71751" t="inlineStr">
        <is>
          <t>2096-04-20</t>
        </is>
      </c>
    </row>
    <row r="71752">
      <c r="A71752" s="1" t="n">
        <v>71751</v>
      </c>
      <c r="B71752">
        <f>TEXT(71751, "[$-0E0000]yyyy-mm-dd")</f>
        <v/>
      </c>
      <c r="C71752" t="inlineStr">
        <is>
          <t>2096-04-21</t>
        </is>
      </c>
    </row>
    <row r="71753">
      <c r="A71753" s="1" t="n">
        <v>71752</v>
      </c>
      <c r="B71753">
        <f>TEXT(71752, "[$-0E0000]yyyy-mm-dd")</f>
        <v/>
      </c>
      <c r="C71753" t="inlineStr">
        <is>
          <t>2096-04-22</t>
        </is>
      </c>
    </row>
    <row r="71754">
      <c r="A71754" s="1" t="n">
        <v>71753</v>
      </c>
      <c r="B71754">
        <f>TEXT(71753, "[$-0E0000]yyyy-mm-dd")</f>
        <v/>
      </c>
      <c r="C71754" t="inlineStr">
        <is>
          <t>2096-04-23</t>
        </is>
      </c>
    </row>
    <row r="71755">
      <c r="A71755" s="1" t="n">
        <v>71754</v>
      </c>
      <c r="B71755">
        <f>TEXT(71754, "[$-0E0000]yyyy-mm-dd")</f>
        <v/>
      </c>
      <c r="C71755" t="inlineStr">
        <is>
          <t>2096-04-24</t>
        </is>
      </c>
    </row>
    <row r="71756">
      <c r="A71756" s="1" t="n">
        <v>71755</v>
      </c>
      <c r="B71756">
        <f>TEXT(71755, "[$-0E0000]yyyy-mm-dd")</f>
        <v/>
      </c>
      <c r="C71756" t="inlineStr">
        <is>
          <t>2096-04-25</t>
        </is>
      </c>
    </row>
    <row r="71757">
      <c r="A71757" s="1" t="n">
        <v>71756</v>
      </c>
      <c r="B71757">
        <f>TEXT(71756, "[$-0E0000]yyyy-mm-dd")</f>
        <v/>
      </c>
      <c r="C71757" t="inlineStr">
        <is>
          <t>2096-04-26</t>
        </is>
      </c>
    </row>
    <row r="71758">
      <c r="A71758" s="1" t="n">
        <v>71757</v>
      </c>
      <c r="B71758">
        <f>TEXT(71757, "[$-0E0000]yyyy-mm-dd")</f>
        <v/>
      </c>
      <c r="C71758" t="inlineStr">
        <is>
          <t>2096-04-27</t>
        </is>
      </c>
    </row>
    <row r="71759">
      <c r="A71759" s="1" t="n">
        <v>71758</v>
      </c>
      <c r="B71759">
        <f>TEXT(71758, "[$-0E0000]yyyy-mm-dd")</f>
        <v/>
      </c>
      <c r="C71759" t="inlineStr">
        <is>
          <t>2096-04-28</t>
        </is>
      </c>
    </row>
    <row r="71760">
      <c r="A71760" s="1" t="n">
        <v>71759</v>
      </c>
      <c r="B71760">
        <f>TEXT(71759, "[$-0E0000]yyyy-mm-dd")</f>
        <v/>
      </c>
      <c r="C71760" t="inlineStr">
        <is>
          <t>2096-04-29</t>
        </is>
      </c>
    </row>
    <row r="71761">
      <c r="A71761" s="1" t="n">
        <v>71760</v>
      </c>
      <c r="B71761">
        <f>TEXT(71760, "[$-0E0000]yyyy-mm-dd")</f>
        <v/>
      </c>
      <c r="C71761" t="inlineStr">
        <is>
          <t>2096-05-01</t>
        </is>
      </c>
    </row>
    <row r="71762">
      <c r="A71762" s="1" t="n">
        <v>71761</v>
      </c>
      <c r="B71762">
        <f>TEXT(71761, "[$-0E0000]yyyy-mm-dd")</f>
        <v/>
      </c>
      <c r="C71762" t="inlineStr">
        <is>
          <t>2096-05-02</t>
        </is>
      </c>
    </row>
    <row r="71763">
      <c r="A71763" s="1" t="n">
        <v>71762</v>
      </c>
      <c r="B71763">
        <f>TEXT(71762, "[$-0E0000]yyyy-mm-dd")</f>
        <v/>
      </c>
      <c r="C71763" t="inlineStr">
        <is>
          <t>2096-05-03</t>
        </is>
      </c>
    </row>
    <row r="71764">
      <c r="A71764" s="1" t="n">
        <v>71763</v>
      </c>
      <c r="B71764">
        <f>TEXT(71763, "[$-0E0000]yyyy-mm-dd")</f>
        <v/>
      </c>
      <c r="C71764" t="inlineStr">
        <is>
          <t>2096-05-04</t>
        </is>
      </c>
    </row>
    <row r="71765">
      <c r="A71765" s="1" t="n">
        <v>71764</v>
      </c>
      <c r="B71765">
        <f>TEXT(71764, "[$-0E0000]yyyy-mm-dd")</f>
        <v/>
      </c>
      <c r="C71765" t="inlineStr">
        <is>
          <t>2096-05-05</t>
        </is>
      </c>
    </row>
    <row r="71766">
      <c r="A71766" s="1" t="n">
        <v>71765</v>
      </c>
      <c r="B71766">
        <f>TEXT(71765, "[$-0E0000]yyyy-mm-dd")</f>
        <v/>
      </c>
      <c r="C71766" t="inlineStr">
        <is>
          <t>2096-05-06</t>
        </is>
      </c>
    </row>
    <row r="71767">
      <c r="A71767" s="1" t="n">
        <v>71766</v>
      </c>
      <c r="B71767">
        <f>TEXT(71766, "[$-0E0000]yyyy-mm-dd")</f>
        <v/>
      </c>
      <c r="C71767" t="inlineStr">
        <is>
          <t>2096-05-07</t>
        </is>
      </c>
    </row>
    <row r="71768">
      <c r="A71768" s="1" t="n">
        <v>71767</v>
      </c>
      <c r="B71768">
        <f>TEXT(71767, "[$-0E0000]yyyy-mm-dd")</f>
        <v/>
      </c>
      <c r="C71768" t="inlineStr">
        <is>
          <t>2096-05-08</t>
        </is>
      </c>
    </row>
    <row r="71769">
      <c r="A71769" s="1" t="n">
        <v>71768</v>
      </c>
      <c r="B71769">
        <f>TEXT(71768, "[$-0E0000]yyyy-mm-dd")</f>
        <v/>
      </c>
      <c r="C71769" t="inlineStr">
        <is>
          <t>2096-05-09</t>
        </is>
      </c>
    </row>
    <row r="71770">
      <c r="A71770" s="1" t="n">
        <v>71769</v>
      </c>
      <c r="B71770">
        <f>TEXT(71769, "[$-0E0000]yyyy-mm-dd")</f>
        <v/>
      </c>
      <c r="C71770" t="inlineStr">
        <is>
          <t>2096-05-10</t>
        </is>
      </c>
    </row>
    <row r="71771">
      <c r="A71771" s="1" t="n">
        <v>71770</v>
      </c>
      <c r="B71771">
        <f>TEXT(71770, "[$-0E0000]yyyy-mm-dd")</f>
        <v/>
      </c>
      <c r="C71771" t="inlineStr">
        <is>
          <t>2096-05-11</t>
        </is>
      </c>
    </row>
    <row r="71772">
      <c r="A71772" s="1" t="n">
        <v>71771</v>
      </c>
      <c r="B71772">
        <f>TEXT(71771, "[$-0E0000]yyyy-mm-dd")</f>
        <v/>
      </c>
      <c r="C71772" t="inlineStr">
        <is>
          <t>2096-05-12</t>
        </is>
      </c>
    </row>
    <row r="71773">
      <c r="A71773" s="1" t="n">
        <v>71772</v>
      </c>
      <c r="B71773">
        <f>TEXT(71772, "[$-0E0000]yyyy-mm-dd")</f>
        <v/>
      </c>
      <c r="C71773" t="inlineStr">
        <is>
          <t>2096-05-13</t>
        </is>
      </c>
    </row>
    <row r="71774">
      <c r="A71774" s="1" t="n">
        <v>71773</v>
      </c>
      <c r="B71774">
        <f>TEXT(71773, "[$-0E0000]yyyy-mm-dd")</f>
        <v/>
      </c>
      <c r="C71774" t="inlineStr">
        <is>
          <t>2096-05-14</t>
        </is>
      </c>
    </row>
    <row r="71775">
      <c r="A71775" s="1" t="n">
        <v>71774</v>
      </c>
      <c r="B71775">
        <f>TEXT(71774, "[$-0E0000]yyyy-mm-dd")</f>
        <v/>
      </c>
      <c r="C71775" t="inlineStr">
        <is>
          <t>2096-05-15</t>
        </is>
      </c>
    </row>
    <row r="71776">
      <c r="A71776" s="1" t="n">
        <v>71775</v>
      </c>
      <c r="B71776">
        <f>TEXT(71775, "[$-0E0000]yyyy-mm-dd")</f>
        <v/>
      </c>
      <c r="C71776" t="inlineStr">
        <is>
          <t>2096-05-16</t>
        </is>
      </c>
    </row>
    <row r="71777">
      <c r="A71777" s="1" t="n">
        <v>71776</v>
      </c>
      <c r="B71777">
        <f>TEXT(71776, "[$-0E0000]yyyy-mm-dd")</f>
        <v/>
      </c>
      <c r="C71777" t="inlineStr">
        <is>
          <t>2096-05-17</t>
        </is>
      </c>
    </row>
    <row r="71778">
      <c r="A71778" s="1" t="n">
        <v>71777</v>
      </c>
      <c r="B71778">
        <f>TEXT(71777, "[$-0E0000]yyyy-mm-dd")</f>
        <v/>
      </c>
      <c r="C71778" t="inlineStr">
        <is>
          <t>2096-05-18</t>
        </is>
      </c>
    </row>
    <row r="71779">
      <c r="A71779" s="1" t="n">
        <v>71778</v>
      </c>
      <c r="B71779">
        <f>TEXT(71778, "[$-0E0000]yyyy-mm-dd")</f>
        <v/>
      </c>
      <c r="C71779" t="inlineStr">
        <is>
          <t>2096-05-19</t>
        </is>
      </c>
    </row>
    <row r="71780">
      <c r="A71780" s="1" t="n">
        <v>71779</v>
      </c>
      <c r="B71780">
        <f>TEXT(71779, "[$-0E0000]yyyy-mm-dd")</f>
        <v/>
      </c>
      <c r="C71780" t="inlineStr">
        <is>
          <t>2096-05-20</t>
        </is>
      </c>
    </row>
    <row r="71781">
      <c r="A71781" s="1" t="n">
        <v>71780</v>
      </c>
      <c r="B71781">
        <f>TEXT(71780, "[$-0E0000]yyyy-mm-dd")</f>
        <v/>
      </c>
      <c r="C71781" t="inlineStr">
        <is>
          <t>2096-05-21</t>
        </is>
      </c>
    </row>
    <row r="71782">
      <c r="A71782" s="1" t="n">
        <v>71781</v>
      </c>
      <c r="B71782">
        <f>TEXT(71781, "[$-0E0000]yyyy-mm-dd")</f>
        <v/>
      </c>
      <c r="C71782" t="inlineStr">
        <is>
          <t>2096-05-22</t>
        </is>
      </c>
    </row>
    <row r="71783">
      <c r="A71783" s="1" t="n">
        <v>71782</v>
      </c>
      <c r="B71783">
        <f>TEXT(71782, "[$-0E0000]yyyy-mm-dd")</f>
        <v/>
      </c>
      <c r="C71783" t="inlineStr">
        <is>
          <t>2096-05-23</t>
        </is>
      </c>
    </row>
    <row r="71784">
      <c r="A71784" s="1" t="n">
        <v>71783</v>
      </c>
      <c r="B71784">
        <f>TEXT(71783, "[$-0E0000]yyyy-mm-dd")</f>
        <v/>
      </c>
      <c r="C71784" t="inlineStr">
        <is>
          <t>2096-05-24</t>
        </is>
      </c>
    </row>
    <row r="71785">
      <c r="A71785" s="1" t="n">
        <v>71784</v>
      </c>
      <c r="B71785">
        <f>TEXT(71784, "[$-0E0000]yyyy-mm-dd")</f>
        <v/>
      </c>
      <c r="C71785" t="inlineStr">
        <is>
          <t>2096-05-25</t>
        </is>
      </c>
    </row>
    <row r="71786">
      <c r="A71786" s="1" t="n">
        <v>71785</v>
      </c>
      <c r="B71786">
        <f>TEXT(71785, "[$-0E0000]yyyy-mm-dd")</f>
        <v/>
      </c>
      <c r="C71786" t="inlineStr">
        <is>
          <t>2096-05-26</t>
        </is>
      </c>
    </row>
    <row r="71787">
      <c r="A71787" s="1" t="n">
        <v>71786</v>
      </c>
      <c r="B71787">
        <f>TEXT(71786, "[$-0E0000]yyyy-mm-dd")</f>
        <v/>
      </c>
      <c r="C71787" t="inlineStr">
        <is>
          <t>2096-05-27</t>
        </is>
      </c>
    </row>
    <row r="71788">
      <c r="A71788" s="1" t="n">
        <v>71787</v>
      </c>
      <c r="B71788">
        <f>TEXT(71787, "[$-0E0000]yyyy-mm-dd")</f>
        <v/>
      </c>
      <c r="C71788" t="inlineStr">
        <is>
          <t>2096-05-28</t>
        </is>
      </c>
    </row>
    <row r="71789">
      <c r="A71789" s="1" t="n">
        <v>71788</v>
      </c>
      <c r="B71789">
        <f>TEXT(71788, "[$-0E0000]yyyy-mm-dd")</f>
        <v/>
      </c>
      <c r="C71789" t="inlineStr">
        <is>
          <t>2096-05-29</t>
        </is>
      </c>
    </row>
    <row r="71790">
      <c r="A71790" s="1" t="n">
        <v>71789</v>
      </c>
      <c r="B71790">
        <f>TEXT(71789, "[$-0E0000]yyyy-mm-dd")</f>
        <v/>
      </c>
      <c r="C71790" t="inlineStr">
        <is>
          <t>2096-05-30</t>
        </is>
      </c>
    </row>
    <row r="71791">
      <c r="A71791" s="1" t="n">
        <v>71790</v>
      </c>
      <c r="B71791">
        <f>TEXT(71790, "[$-0E0000]yyyy-mm-dd")</f>
        <v/>
      </c>
      <c r="C71791" t="inlineStr">
        <is>
          <t>2096-06-01</t>
        </is>
      </c>
    </row>
    <row r="71792">
      <c r="A71792" s="1" t="n">
        <v>71791</v>
      </c>
      <c r="B71792">
        <f>TEXT(71791, "[$-0E0000]yyyy-mm-dd")</f>
        <v/>
      </c>
      <c r="C71792" t="inlineStr">
        <is>
          <t>2096-06-02</t>
        </is>
      </c>
    </row>
    <row r="71793">
      <c r="A71793" s="1" t="n">
        <v>71792</v>
      </c>
      <c r="B71793">
        <f>TEXT(71792, "[$-0E0000]yyyy-mm-dd")</f>
        <v/>
      </c>
      <c r="C71793" t="inlineStr">
        <is>
          <t>2096-06-03</t>
        </is>
      </c>
    </row>
    <row r="71794">
      <c r="A71794" s="1" t="n">
        <v>71793</v>
      </c>
      <c r="B71794">
        <f>TEXT(71793, "[$-0E0000]yyyy-mm-dd")</f>
        <v/>
      </c>
      <c r="C71794" t="inlineStr">
        <is>
          <t>2096-06-04</t>
        </is>
      </c>
    </row>
    <row r="71795">
      <c r="A71795" s="1" t="n">
        <v>71794</v>
      </c>
      <c r="B71795">
        <f>TEXT(71794, "[$-0E0000]yyyy-mm-dd")</f>
        <v/>
      </c>
      <c r="C71795" t="inlineStr">
        <is>
          <t>2096-06-05</t>
        </is>
      </c>
    </row>
    <row r="71796">
      <c r="A71796" s="1" t="n">
        <v>71795</v>
      </c>
      <c r="B71796">
        <f>TEXT(71795, "[$-0E0000]yyyy-mm-dd")</f>
        <v/>
      </c>
      <c r="C71796" t="inlineStr">
        <is>
          <t>2096-06-06</t>
        </is>
      </c>
    </row>
    <row r="71797">
      <c r="A71797" s="1" t="n">
        <v>71796</v>
      </c>
      <c r="B71797">
        <f>TEXT(71796, "[$-0E0000]yyyy-mm-dd")</f>
        <v/>
      </c>
      <c r="C71797" t="inlineStr">
        <is>
          <t>2096-06-07</t>
        </is>
      </c>
    </row>
    <row r="71798">
      <c r="A71798" s="1" t="n">
        <v>71797</v>
      </c>
      <c r="B71798">
        <f>TEXT(71797, "[$-0E0000]yyyy-mm-dd")</f>
        <v/>
      </c>
      <c r="C71798" t="inlineStr">
        <is>
          <t>2096-06-08</t>
        </is>
      </c>
    </row>
    <row r="71799">
      <c r="A71799" s="1" t="n">
        <v>71798</v>
      </c>
      <c r="B71799">
        <f>TEXT(71798, "[$-0E0000]yyyy-mm-dd")</f>
        <v/>
      </c>
      <c r="C71799" t="inlineStr">
        <is>
          <t>2096-06-09</t>
        </is>
      </c>
    </row>
    <row r="71800">
      <c r="A71800" s="1" t="n">
        <v>71799</v>
      </c>
      <c r="B71800">
        <f>TEXT(71799, "[$-0E0000]yyyy-mm-dd")</f>
        <v/>
      </c>
      <c r="C71800" t="inlineStr">
        <is>
          <t>2096-06-10</t>
        </is>
      </c>
    </row>
    <row r="71801">
      <c r="A71801" s="1" t="n">
        <v>71800</v>
      </c>
      <c r="B71801">
        <f>TEXT(71800, "[$-0E0000]yyyy-mm-dd")</f>
        <v/>
      </c>
      <c r="C71801" t="inlineStr">
        <is>
          <t>2096-06-11</t>
        </is>
      </c>
    </row>
    <row r="71802">
      <c r="A71802" s="1" t="n">
        <v>71801</v>
      </c>
      <c r="B71802">
        <f>TEXT(71801, "[$-0E0000]yyyy-mm-dd")</f>
        <v/>
      </c>
      <c r="C71802" t="inlineStr">
        <is>
          <t>2096-06-12</t>
        </is>
      </c>
    </row>
    <row r="71803">
      <c r="A71803" s="1" t="n">
        <v>71802</v>
      </c>
      <c r="B71803">
        <f>TEXT(71802, "[$-0E0000]yyyy-mm-dd")</f>
        <v/>
      </c>
      <c r="C71803" t="inlineStr">
        <is>
          <t>2096-06-13</t>
        </is>
      </c>
    </row>
    <row r="71804">
      <c r="A71804" s="1" t="n">
        <v>71803</v>
      </c>
      <c r="B71804">
        <f>TEXT(71803, "[$-0E0000]yyyy-mm-dd")</f>
        <v/>
      </c>
      <c r="C71804" t="inlineStr">
        <is>
          <t>2096-06-14</t>
        </is>
      </c>
    </row>
    <row r="71805">
      <c r="A71805" s="1" t="n">
        <v>71804</v>
      </c>
      <c r="B71805">
        <f>TEXT(71804, "[$-0E0000]yyyy-mm-dd")</f>
        <v/>
      </c>
      <c r="C71805" t="inlineStr">
        <is>
          <t>2096-06-15</t>
        </is>
      </c>
    </row>
    <row r="71806">
      <c r="A71806" s="1" t="n">
        <v>71805</v>
      </c>
      <c r="B71806">
        <f>TEXT(71805, "[$-0E0000]yyyy-mm-dd")</f>
        <v/>
      </c>
      <c r="C71806" t="inlineStr">
        <is>
          <t>2096-06-16</t>
        </is>
      </c>
    </row>
    <row r="71807">
      <c r="A71807" s="1" t="n">
        <v>71806</v>
      </c>
      <c r="B71807">
        <f>TEXT(71806, "[$-0E0000]yyyy-mm-dd")</f>
        <v/>
      </c>
      <c r="C71807" t="inlineStr">
        <is>
          <t>2096-06-17</t>
        </is>
      </c>
    </row>
    <row r="71808">
      <c r="A71808" s="1" t="n">
        <v>71807</v>
      </c>
      <c r="B71808">
        <f>TEXT(71807, "[$-0E0000]yyyy-mm-dd")</f>
        <v/>
      </c>
      <c r="C71808" t="inlineStr">
        <is>
          <t>2096-06-18</t>
        </is>
      </c>
    </row>
    <row r="71809">
      <c r="A71809" s="1" t="n">
        <v>71808</v>
      </c>
      <c r="B71809">
        <f>TEXT(71808, "[$-0E0000]yyyy-mm-dd")</f>
        <v/>
      </c>
      <c r="C71809" t="inlineStr">
        <is>
          <t>2096-06-19</t>
        </is>
      </c>
    </row>
    <row r="71810">
      <c r="A71810" s="1" t="n">
        <v>71809</v>
      </c>
      <c r="B71810">
        <f>TEXT(71809, "[$-0E0000]yyyy-mm-dd")</f>
        <v/>
      </c>
      <c r="C71810" t="inlineStr">
        <is>
          <t>2096-06-20</t>
        </is>
      </c>
    </row>
    <row r="71811">
      <c r="A71811" s="1" t="n">
        <v>71810</v>
      </c>
      <c r="B71811">
        <f>TEXT(71810, "[$-0E0000]yyyy-mm-dd")</f>
        <v/>
      </c>
      <c r="C71811" t="inlineStr">
        <is>
          <t>2096-06-21</t>
        </is>
      </c>
    </row>
    <row r="71812">
      <c r="A71812" s="1" t="n">
        <v>71811</v>
      </c>
      <c r="B71812">
        <f>TEXT(71811, "[$-0E0000]yyyy-mm-dd")</f>
        <v/>
      </c>
      <c r="C71812" t="inlineStr">
        <is>
          <t>2096-06-22</t>
        </is>
      </c>
    </row>
    <row r="71813">
      <c r="A71813" s="1" t="n">
        <v>71812</v>
      </c>
      <c r="B71813">
        <f>TEXT(71812, "[$-0E0000]yyyy-mm-dd")</f>
        <v/>
      </c>
      <c r="C71813" t="inlineStr">
        <is>
          <t>2096-06-23</t>
        </is>
      </c>
    </row>
    <row r="71814">
      <c r="A71814" s="1" t="n">
        <v>71813</v>
      </c>
      <c r="B71814">
        <f>TEXT(71813, "[$-0E0000]yyyy-mm-dd")</f>
        <v/>
      </c>
      <c r="C71814" t="inlineStr">
        <is>
          <t>2096-06-24</t>
        </is>
      </c>
    </row>
    <row r="71815">
      <c r="A71815" s="1" t="n">
        <v>71814</v>
      </c>
      <c r="B71815">
        <f>TEXT(71814, "[$-0E0000]yyyy-mm-dd")</f>
        <v/>
      </c>
      <c r="C71815" t="inlineStr">
        <is>
          <t>2096-06-25</t>
        </is>
      </c>
    </row>
    <row r="71816">
      <c r="A71816" s="1" t="n">
        <v>71815</v>
      </c>
      <c r="B71816">
        <f>TEXT(71815, "[$-0E0000]yyyy-mm-dd")</f>
        <v/>
      </c>
      <c r="C71816" t="inlineStr">
        <is>
          <t>2096-06-26</t>
        </is>
      </c>
    </row>
    <row r="71817">
      <c r="A71817" s="1" t="n">
        <v>71816</v>
      </c>
      <c r="B71817">
        <f>TEXT(71816, "[$-0E0000]yyyy-mm-dd")</f>
        <v/>
      </c>
      <c r="C71817" t="inlineStr">
        <is>
          <t>2096-06-27</t>
        </is>
      </c>
    </row>
    <row r="71818">
      <c r="A71818" s="1" t="n">
        <v>71817</v>
      </c>
      <c r="B71818">
        <f>TEXT(71817, "[$-0E0000]yyyy-mm-dd")</f>
        <v/>
      </c>
      <c r="C71818" t="inlineStr">
        <is>
          <t>2096-06-28</t>
        </is>
      </c>
    </row>
    <row r="71819">
      <c r="A71819" s="1" t="n">
        <v>71818</v>
      </c>
      <c r="B71819">
        <f>TEXT(71818, "[$-0E0000]yyyy-mm-dd")</f>
        <v/>
      </c>
      <c r="C71819" t="inlineStr">
        <is>
          <t>2096-06-29</t>
        </is>
      </c>
    </row>
    <row r="71820">
      <c r="A71820" s="1" t="n">
        <v>71819</v>
      </c>
      <c r="B71820">
        <f>TEXT(71819, "[$-0E0000]yyyy-mm-dd")</f>
        <v/>
      </c>
      <c r="C71820" t="inlineStr">
        <is>
          <t>2096-07-01</t>
        </is>
      </c>
    </row>
    <row r="71821">
      <c r="A71821" s="1" t="n">
        <v>71820</v>
      </c>
      <c r="B71821">
        <f>TEXT(71820, "[$-0E0000]yyyy-mm-dd")</f>
        <v/>
      </c>
      <c r="C71821" t="inlineStr">
        <is>
          <t>2096-07-02</t>
        </is>
      </c>
    </row>
    <row r="71822">
      <c r="A71822" s="1" t="n">
        <v>71821</v>
      </c>
      <c r="B71822">
        <f>TEXT(71821, "[$-0E0000]yyyy-mm-dd")</f>
        <v/>
      </c>
      <c r="C71822" t="inlineStr">
        <is>
          <t>2096-07-03</t>
        </is>
      </c>
    </row>
    <row r="71823">
      <c r="A71823" s="1" t="n">
        <v>71822</v>
      </c>
      <c r="B71823">
        <f>TEXT(71822, "[$-0E0000]yyyy-mm-dd")</f>
        <v/>
      </c>
      <c r="C71823" t="inlineStr">
        <is>
          <t>2096-07-04</t>
        </is>
      </c>
    </row>
    <row r="71824">
      <c r="A71824" s="1" t="n">
        <v>71823</v>
      </c>
      <c r="B71824">
        <f>TEXT(71823, "[$-0E0000]yyyy-mm-dd")</f>
        <v/>
      </c>
      <c r="C71824" t="inlineStr">
        <is>
          <t>2096-07-05</t>
        </is>
      </c>
    </row>
    <row r="71825">
      <c r="A71825" s="1" t="n">
        <v>71824</v>
      </c>
      <c r="B71825">
        <f>TEXT(71824, "[$-0E0000]yyyy-mm-dd")</f>
        <v/>
      </c>
      <c r="C71825" t="inlineStr">
        <is>
          <t>2096-07-06</t>
        </is>
      </c>
    </row>
    <row r="71826">
      <c r="A71826" s="1" t="n">
        <v>71825</v>
      </c>
      <c r="B71826">
        <f>TEXT(71825, "[$-0E0000]yyyy-mm-dd")</f>
        <v/>
      </c>
      <c r="C71826" t="inlineStr">
        <is>
          <t>2096-07-07</t>
        </is>
      </c>
    </row>
    <row r="71827">
      <c r="A71827" s="1" t="n">
        <v>71826</v>
      </c>
      <c r="B71827">
        <f>TEXT(71826, "[$-0E0000]yyyy-mm-dd")</f>
        <v/>
      </c>
      <c r="C71827" t="inlineStr">
        <is>
          <t>2096-07-08</t>
        </is>
      </c>
    </row>
    <row r="71828">
      <c r="A71828" s="1" t="n">
        <v>71827</v>
      </c>
      <c r="B71828">
        <f>TEXT(71827, "[$-0E0000]yyyy-mm-dd")</f>
        <v/>
      </c>
      <c r="C71828" t="inlineStr">
        <is>
          <t>2096-07-09</t>
        </is>
      </c>
    </row>
    <row r="71829">
      <c r="A71829" s="1" t="n">
        <v>71828</v>
      </c>
      <c r="B71829">
        <f>TEXT(71828, "[$-0E0000]yyyy-mm-dd")</f>
        <v/>
      </c>
      <c r="C71829" t="inlineStr">
        <is>
          <t>2096-07-10</t>
        </is>
      </c>
    </row>
    <row r="71830">
      <c r="A71830" s="1" t="n">
        <v>71829</v>
      </c>
      <c r="B71830">
        <f>TEXT(71829, "[$-0E0000]yyyy-mm-dd")</f>
        <v/>
      </c>
      <c r="C71830" t="inlineStr">
        <is>
          <t>2096-07-11</t>
        </is>
      </c>
    </row>
    <row r="71831">
      <c r="A71831" s="1" t="n">
        <v>71830</v>
      </c>
      <c r="B71831">
        <f>TEXT(71830, "[$-0E0000]yyyy-mm-dd")</f>
        <v/>
      </c>
      <c r="C71831" t="inlineStr">
        <is>
          <t>2096-07-12</t>
        </is>
      </c>
    </row>
    <row r="71832">
      <c r="A71832" s="1" t="n">
        <v>71831</v>
      </c>
      <c r="B71832">
        <f>TEXT(71831, "[$-0E0000]yyyy-mm-dd")</f>
        <v/>
      </c>
      <c r="C71832" t="inlineStr">
        <is>
          <t>2096-07-13</t>
        </is>
      </c>
    </row>
    <row r="71833">
      <c r="A71833" s="1" t="n">
        <v>71832</v>
      </c>
      <c r="B71833">
        <f>TEXT(71832, "[$-0E0000]yyyy-mm-dd")</f>
        <v/>
      </c>
      <c r="C71833" t="inlineStr">
        <is>
          <t>2096-07-14</t>
        </is>
      </c>
    </row>
    <row r="71834">
      <c r="A71834" s="1" t="n">
        <v>71833</v>
      </c>
      <c r="B71834">
        <f>TEXT(71833, "[$-0E0000]yyyy-mm-dd")</f>
        <v/>
      </c>
      <c r="C71834" t="inlineStr">
        <is>
          <t>2096-07-15</t>
        </is>
      </c>
    </row>
    <row r="71835">
      <c r="A71835" s="1" t="n">
        <v>71834</v>
      </c>
      <c r="B71835">
        <f>TEXT(71834, "[$-0E0000]yyyy-mm-dd")</f>
        <v/>
      </c>
      <c r="C71835" t="inlineStr">
        <is>
          <t>2096-07-16</t>
        </is>
      </c>
    </row>
    <row r="71836">
      <c r="A71836" s="1" t="n">
        <v>71835</v>
      </c>
      <c r="B71836">
        <f>TEXT(71835, "[$-0E0000]yyyy-mm-dd")</f>
        <v/>
      </c>
      <c r="C71836" t="inlineStr">
        <is>
          <t>2096-07-17</t>
        </is>
      </c>
    </row>
    <row r="71837">
      <c r="A71837" s="1" t="n">
        <v>71836</v>
      </c>
      <c r="B71837">
        <f>TEXT(71836, "[$-0E0000]yyyy-mm-dd")</f>
        <v/>
      </c>
      <c r="C71837" t="inlineStr">
        <is>
          <t>2096-07-18</t>
        </is>
      </c>
    </row>
    <row r="71838">
      <c r="A71838" s="1" t="n">
        <v>71837</v>
      </c>
      <c r="B71838">
        <f>TEXT(71837, "[$-0E0000]yyyy-mm-dd")</f>
        <v/>
      </c>
      <c r="C71838" t="inlineStr">
        <is>
          <t>2096-07-19</t>
        </is>
      </c>
    </row>
    <row r="71839">
      <c r="A71839" s="1" t="n">
        <v>71838</v>
      </c>
      <c r="B71839">
        <f>TEXT(71838, "[$-0E0000]yyyy-mm-dd")</f>
        <v/>
      </c>
      <c r="C71839" t="inlineStr">
        <is>
          <t>2096-07-20</t>
        </is>
      </c>
    </row>
    <row r="71840">
      <c r="A71840" s="1" t="n">
        <v>71839</v>
      </c>
      <c r="B71840">
        <f>TEXT(71839, "[$-0E0000]yyyy-mm-dd")</f>
        <v/>
      </c>
      <c r="C71840" t="inlineStr">
        <is>
          <t>2096-07-21</t>
        </is>
      </c>
    </row>
    <row r="71841">
      <c r="A71841" s="1" t="n">
        <v>71840</v>
      </c>
      <c r="B71841">
        <f>TEXT(71840, "[$-0E0000]yyyy-mm-dd")</f>
        <v/>
      </c>
      <c r="C71841" t="inlineStr">
        <is>
          <t>2096-07-22</t>
        </is>
      </c>
    </row>
    <row r="71842">
      <c r="A71842" s="1" t="n">
        <v>71841</v>
      </c>
      <c r="B71842">
        <f>TEXT(71841, "[$-0E0000]yyyy-mm-dd")</f>
        <v/>
      </c>
      <c r="C71842" t="inlineStr">
        <is>
          <t>2096-07-23</t>
        </is>
      </c>
    </row>
    <row r="71843">
      <c r="A71843" s="1" t="n">
        <v>71842</v>
      </c>
      <c r="B71843">
        <f>TEXT(71842, "[$-0E0000]yyyy-mm-dd")</f>
        <v/>
      </c>
      <c r="C71843" t="inlineStr">
        <is>
          <t>2096-07-24</t>
        </is>
      </c>
    </row>
    <row r="71844">
      <c r="A71844" s="1" t="n">
        <v>71843</v>
      </c>
      <c r="B71844">
        <f>TEXT(71843, "[$-0E0000]yyyy-mm-dd")</f>
        <v/>
      </c>
      <c r="C71844" t="inlineStr">
        <is>
          <t>2096-07-25</t>
        </is>
      </c>
    </row>
    <row r="71845">
      <c r="A71845" s="1" t="n">
        <v>71844</v>
      </c>
      <c r="B71845">
        <f>TEXT(71844, "[$-0E0000]yyyy-mm-dd")</f>
        <v/>
      </c>
      <c r="C71845" t="inlineStr">
        <is>
          <t>2096-07-26</t>
        </is>
      </c>
    </row>
    <row r="71846">
      <c r="A71846" s="1" t="n">
        <v>71845</v>
      </c>
      <c r="B71846">
        <f>TEXT(71845, "[$-0E0000]yyyy-mm-dd")</f>
        <v/>
      </c>
      <c r="C71846" t="inlineStr">
        <is>
          <t>2096-07-27</t>
        </is>
      </c>
    </row>
    <row r="71847">
      <c r="A71847" s="1" t="n">
        <v>71846</v>
      </c>
      <c r="B71847">
        <f>TEXT(71846, "[$-0E0000]yyyy-mm-dd")</f>
        <v/>
      </c>
      <c r="C71847" t="inlineStr">
        <is>
          <t>2096-07-28</t>
        </is>
      </c>
    </row>
    <row r="71848">
      <c r="A71848" s="1" t="n">
        <v>71847</v>
      </c>
      <c r="B71848">
        <f>TEXT(71847, "[$-0E0000]yyyy-mm-dd")</f>
        <v/>
      </c>
      <c r="C71848" t="inlineStr">
        <is>
          <t>2096-07-29</t>
        </is>
      </c>
    </row>
    <row r="71849">
      <c r="A71849" s="1" t="n">
        <v>71848</v>
      </c>
      <c r="B71849">
        <f>TEXT(71848, "[$-0E0000]yyyy-mm-dd")</f>
        <v/>
      </c>
      <c r="C71849" t="inlineStr">
        <is>
          <t>2096-08-01</t>
        </is>
      </c>
    </row>
    <row r="71850">
      <c r="A71850" s="1" t="n">
        <v>71849</v>
      </c>
      <c r="B71850">
        <f>TEXT(71849, "[$-0E0000]yyyy-mm-dd")</f>
        <v/>
      </c>
      <c r="C71850" t="inlineStr">
        <is>
          <t>2096-08-02</t>
        </is>
      </c>
    </row>
    <row r="71851">
      <c r="A71851" s="1" t="n">
        <v>71850</v>
      </c>
      <c r="B71851">
        <f>TEXT(71850, "[$-0E0000]yyyy-mm-dd")</f>
        <v/>
      </c>
      <c r="C71851" t="inlineStr">
        <is>
          <t>2096-08-03</t>
        </is>
      </c>
    </row>
    <row r="71852">
      <c r="A71852" s="1" t="n">
        <v>71851</v>
      </c>
      <c r="B71852">
        <f>TEXT(71851, "[$-0E0000]yyyy-mm-dd")</f>
        <v/>
      </c>
      <c r="C71852" t="inlineStr">
        <is>
          <t>2096-08-04</t>
        </is>
      </c>
    </row>
    <row r="71853">
      <c r="A71853" s="1" t="n">
        <v>71852</v>
      </c>
      <c r="B71853">
        <f>TEXT(71852, "[$-0E0000]yyyy-mm-dd")</f>
        <v/>
      </c>
      <c r="C71853" t="inlineStr">
        <is>
          <t>2096-08-05</t>
        </is>
      </c>
    </row>
    <row r="71854">
      <c r="A71854" s="1" t="n">
        <v>71853</v>
      </c>
      <c r="B71854">
        <f>TEXT(71853, "[$-0E0000]yyyy-mm-dd")</f>
        <v/>
      </c>
      <c r="C71854" t="inlineStr">
        <is>
          <t>2096-08-06</t>
        </is>
      </c>
    </row>
    <row r="71855">
      <c r="A71855" s="1" t="n">
        <v>71854</v>
      </c>
      <c r="B71855">
        <f>TEXT(71854, "[$-0E0000]yyyy-mm-dd")</f>
        <v/>
      </c>
      <c r="C71855" t="inlineStr">
        <is>
          <t>2096-08-07</t>
        </is>
      </c>
    </row>
    <row r="71856">
      <c r="A71856" s="1" t="n">
        <v>71855</v>
      </c>
      <c r="B71856">
        <f>TEXT(71855, "[$-0E0000]yyyy-mm-dd")</f>
        <v/>
      </c>
      <c r="C71856" t="inlineStr">
        <is>
          <t>2096-08-08</t>
        </is>
      </c>
    </row>
    <row r="71857">
      <c r="A71857" s="1" t="n">
        <v>71856</v>
      </c>
      <c r="B71857">
        <f>TEXT(71856, "[$-0E0000]yyyy-mm-dd")</f>
        <v/>
      </c>
      <c r="C71857" t="inlineStr">
        <is>
          <t>2096-08-09</t>
        </is>
      </c>
    </row>
    <row r="71858">
      <c r="A71858" s="1" t="n">
        <v>71857</v>
      </c>
      <c r="B71858">
        <f>TEXT(71857, "[$-0E0000]yyyy-mm-dd")</f>
        <v/>
      </c>
      <c r="C71858" t="inlineStr">
        <is>
          <t>2096-08-10</t>
        </is>
      </c>
    </row>
    <row r="71859">
      <c r="A71859" s="1" t="n">
        <v>71858</v>
      </c>
      <c r="B71859">
        <f>TEXT(71858, "[$-0E0000]yyyy-mm-dd")</f>
        <v/>
      </c>
      <c r="C71859" t="inlineStr">
        <is>
          <t>2096-08-11</t>
        </is>
      </c>
    </row>
    <row r="71860">
      <c r="A71860" s="1" t="n">
        <v>71859</v>
      </c>
      <c r="B71860">
        <f>TEXT(71859, "[$-0E0000]yyyy-mm-dd")</f>
        <v/>
      </c>
      <c r="C71860" t="inlineStr">
        <is>
          <t>2096-08-12</t>
        </is>
      </c>
    </row>
    <row r="71861">
      <c r="A71861" s="1" t="n">
        <v>71860</v>
      </c>
      <c r="B71861">
        <f>TEXT(71860, "[$-0E0000]yyyy-mm-dd")</f>
        <v/>
      </c>
      <c r="C71861" t="inlineStr">
        <is>
          <t>2096-08-13</t>
        </is>
      </c>
    </row>
    <row r="71862">
      <c r="A71862" s="1" t="n">
        <v>71861</v>
      </c>
      <c r="B71862">
        <f>TEXT(71861, "[$-0E0000]yyyy-mm-dd")</f>
        <v/>
      </c>
      <c r="C71862" t="inlineStr">
        <is>
          <t>2096-08-14</t>
        </is>
      </c>
    </row>
    <row r="71863">
      <c r="A71863" s="1" t="n">
        <v>71862</v>
      </c>
      <c r="B71863">
        <f>TEXT(71862, "[$-0E0000]yyyy-mm-dd")</f>
        <v/>
      </c>
      <c r="C71863" t="inlineStr">
        <is>
          <t>2096-08-15</t>
        </is>
      </c>
    </row>
    <row r="71864">
      <c r="A71864" s="1" t="n">
        <v>71863</v>
      </c>
      <c r="B71864">
        <f>TEXT(71863, "[$-0E0000]yyyy-mm-dd")</f>
        <v/>
      </c>
      <c r="C71864" t="inlineStr">
        <is>
          <t>2096-08-16</t>
        </is>
      </c>
    </row>
    <row r="71865">
      <c r="A71865" s="1" t="n">
        <v>71864</v>
      </c>
      <c r="B71865">
        <f>TEXT(71864, "[$-0E0000]yyyy-mm-dd")</f>
        <v/>
      </c>
      <c r="C71865" t="inlineStr">
        <is>
          <t>2096-08-17</t>
        </is>
      </c>
    </row>
    <row r="71866">
      <c r="A71866" s="1" t="n">
        <v>71865</v>
      </c>
      <c r="B71866">
        <f>TEXT(71865, "[$-0E0000]yyyy-mm-dd")</f>
        <v/>
      </c>
      <c r="C71866" t="inlineStr">
        <is>
          <t>2096-08-18</t>
        </is>
      </c>
    </row>
    <row r="71867">
      <c r="A71867" s="1" t="n">
        <v>71866</v>
      </c>
      <c r="B71867">
        <f>TEXT(71866, "[$-0E0000]yyyy-mm-dd")</f>
        <v/>
      </c>
      <c r="C71867" t="inlineStr">
        <is>
          <t>2096-08-19</t>
        </is>
      </c>
    </row>
    <row r="71868">
      <c r="A71868" s="1" t="n">
        <v>71867</v>
      </c>
      <c r="B71868">
        <f>TEXT(71867, "[$-0E0000]yyyy-mm-dd")</f>
        <v/>
      </c>
      <c r="C71868" t="inlineStr">
        <is>
          <t>2096-08-20</t>
        </is>
      </c>
    </row>
    <row r="71869">
      <c r="A71869" s="1" t="n">
        <v>71868</v>
      </c>
      <c r="B71869">
        <f>TEXT(71868, "[$-0E0000]yyyy-mm-dd")</f>
        <v/>
      </c>
      <c r="C71869" t="inlineStr">
        <is>
          <t>2096-08-21</t>
        </is>
      </c>
    </row>
    <row r="71870">
      <c r="A71870" s="1" t="n">
        <v>71869</v>
      </c>
      <c r="B71870">
        <f>TEXT(71869, "[$-0E0000]yyyy-mm-dd")</f>
        <v/>
      </c>
      <c r="C71870" t="inlineStr">
        <is>
          <t>2096-08-22</t>
        </is>
      </c>
    </row>
    <row r="71871">
      <c r="A71871" s="1" t="n">
        <v>71870</v>
      </c>
      <c r="B71871">
        <f>TEXT(71870, "[$-0E0000]yyyy-mm-dd")</f>
        <v/>
      </c>
      <c r="C71871" t="inlineStr">
        <is>
          <t>2096-08-23</t>
        </is>
      </c>
    </row>
    <row r="71872">
      <c r="A71872" s="1" t="n">
        <v>71871</v>
      </c>
      <c r="B71872">
        <f>TEXT(71871, "[$-0E0000]yyyy-mm-dd")</f>
        <v/>
      </c>
      <c r="C71872" t="inlineStr">
        <is>
          <t>2096-08-24</t>
        </is>
      </c>
    </row>
    <row r="71873">
      <c r="A71873" s="1" t="n">
        <v>71872</v>
      </c>
      <c r="B71873">
        <f>TEXT(71872, "[$-0E0000]yyyy-mm-dd")</f>
        <v/>
      </c>
      <c r="C71873" t="inlineStr">
        <is>
          <t>2096-08-25</t>
        </is>
      </c>
    </row>
    <row r="71874">
      <c r="A71874" s="1" t="n">
        <v>71873</v>
      </c>
      <c r="B71874">
        <f>TEXT(71873, "[$-0E0000]yyyy-mm-dd")</f>
        <v/>
      </c>
      <c r="C71874" t="inlineStr">
        <is>
          <t>2096-08-26</t>
        </is>
      </c>
    </row>
    <row r="71875">
      <c r="A71875" s="1" t="n">
        <v>71874</v>
      </c>
      <c r="B71875">
        <f>TEXT(71874, "[$-0E0000]yyyy-mm-dd")</f>
        <v/>
      </c>
      <c r="C71875" t="inlineStr">
        <is>
          <t>2096-08-27</t>
        </is>
      </c>
    </row>
    <row r="71876">
      <c r="A71876" s="1" t="n">
        <v>71875</v>
      </c>
      <c r="B71876">
        <f>TEXT(71875, "[$-0E0000]yyyy-mm-dd")</f>
        <v/>
      </c>
      <c r="C71876" t="inlineStr">
        <is>
          <t>2096-08-28</t>
        </is>
      </c>
    </row>
    <row r="71877">
      <c r="A71877" s="1" t="n">
        <v>71876</v>
      </c>
      <c r="B71877">
        <f>TEXT(71876, "[$-0E0000]yyyy-mm-dd")</f>
        <v/>
      </c>
      <c r="C71877" t="inlineStr">
        <is>
          <t>2096-08-29</t>
        </is>
      </c>
    </row>
    <row r="71878">
      <c r="A71878" s="1" t="n">
        <v>71877</v>
      </c>
      <c r="B71878">
        <f>TEXT(71877, "[$-0E0000]yyyy-mm-dd")</f>
        <v/>
      </c>
      <c r="C71878" t="inlineStr">
        <is>
          <t>2096-08-30</t>
        </is>
      </c>
    </row>
    <row r="71879">
      <c r="A71879" s="1" t="n">
        <v>71878</v>
      </c>
      <c r="B71879">
        <f>TEXT(71878, "[$-0E0000]yyyy-mm-dd")</f>
        <v/>
      </c>
      <c r="C71879" t="inlineStr">
        <is>
          <t>2096-09-01</t>
        </is>
      </c>
    </row>
    <row r="71880">
      <c r="A71880" s="1" t="n">
        <v>71879</v>
      </c>
      <c r="B71880">
        <f>TEXT(71879, "[$-0E0000]yyyy-mm-dd")</f>
        <v/>
      </c>
      <c r="C71880" t="inlineStr">
        <is>
          <t>2096-09-02</t>
        </is>
      </c>
    </row>
    <row r="71881">
      <c r="A71881" s="1" t="n">
        <v>71880</v>
      </c>
      <c r="B71881">
        <f>TEXT(71880, "[$-0E0000]yyyy-mm-dd")</f>
        <v/>
      </c>
      <c r="C71881" t="inlineStr">
        <is>
          <t>2096-09-03</t>
        </is>
      </c>
    </row>
    <row r="71882">
      <c r="A71882" s="1" t="n">
        <v>71881</v>
      </c>
      <c r="B71882">
        <f>TEXT(71881, "[$-0E0000]yyyy-mm-dd")</f>
        <v/>
      </c>
      <c r="C71882" t="inlineStr">
        <is>
          <t>2096-09-04</t>
        </is>
      </c>
    </row>
    <row r="71883">
      <c r="A71883" s="1" t="n">
        <v>71882</v>
      </c>
      <c r="B71883">
        <f>TEXT(71882, "[$-0E0000]yyyy-mm-dd")</f>
        <v/>
      </c>
      <c r="C71883" t="inlineStr">
        <is>
          <t>2096-09-05</t>
        </is>
      </c>
    </row>
    <row r="71884">
      <c r="A71884" s="1" t="n">
        <v>71883</v>
      </c>
      <c r="B71884">
        <f>TEXT(71883, "[$-0E0000]yyyy-mm-dd")</f>
        <v/>
      </c>
      <c r="C71884" t="inlineStr">
        <is>
          <t>2096-09-06</t>
        </is>
      </c>
    </row>
    <row r="71885">
      <c r="A71885" s="1" t="n">
        <v>71884</v>
      </c>
      <c r="B71885">
        <f>TEXT(71884, "[$-0E0000]yyyy-mm-dd")</f>
        <v/>
      </c>
      <c r="C71885" t="inlineStr">
        <is>
          <t>2096-09-07</t>
        </is>
      </c>
    </row>
    <row r="71886">
      <c r="A71886" s="1" t="n">
        <v>71885</v>
      </c>
      <c r="B71886">
        <f>TEXT(71885, "[$-0E0000]yyyy-mm-dd")</f>
        <v/>
      </c>
      <c r="C71886" t="inlineStr">
        <is>
          <t>2096-09-08</t>
        </is>
      </c>
    </row>
    <row r="71887">
      <c r="A71887" s="1" t="n">
        <v>71886</v>
      </c>
      <c r="B71887">
        <f>TEXT(71886, "[$-0E0000]yyyy-mm-dd")</f>
        <v/>
      </c>
      <c r="C71887" t="inlineStr">
        <is>
          <t>2096-09-09</t>
        </is>
      </c>
    </row>
    <row r="71888">
      <c r="A71888" s="1" t="n">
        <v>71887</v>
      </c>
      <c r="B71888">
        <f>TEXT(71887, "[$-0E0000]yyyy-mm-dd")</f>
        <v/>
      </c>
      <c r="C71888" t="inlineStr">
        <is>
          <t>2096-09-10</t>
        </is>
      </c>
    </row>
    <row r="71889">
      <c r="A71889" s="1" t="n">
        <v>71888</v>
      </c>
      <c r="B71889">
        <f>TEXT(71888, "[$-0E0000]yyyy-mm-dd")</f>
        <v/>
      </c>
      <c r="C71889" t="inlineStr">
        <is>
          <t>2096-09-11</t>
        </is>
      </c>
    </row>
    <row r="71890">
      <c r="A71890" s="1" t="n">
        <v>71889</v>
      </c>
      <c r="B71890">
        <f>TEXT(71889, "[$-0E0000]yyyy-mm-dd")</f>
        <v/>
      </c>
      <c r="C71890" t="inlineStr">
        <is>
          <t>2096-09-12</t>
        </is>
      </c>
    </row>
    <row r="71891">
      <c r="A71891" s="1" t="n">
        <v>71890</v>
      </c>
      <c r="B71891">
        <f>TEXT(71890, "[$-0E0000]yyyy-mm-dd")</f>
        <v/>
      </c>
      <c r="C71891" t="inlineStr">
        <is>
          <t>2096-09-13</t>
        </is>
      </c>
    </row>
    <row r="71892">
      <c r="A71892" s="1" t="n">
        <v>71891</v>
      </c>
      <c r="B71892">
        <f>TEXT(71891, "[$-0E0000]yyyy-mm-dd")</f>
        <v/>
      </c>
      <c r="C71892" t="inlineStr">
        <is>
          <t>2096-09-14</t>
        </is>
      </c>
    </row>
    <row r="71893">
      <c r="A71893" s="1" t="n">
        <v>71892</v>
      </c>
      <c r="B71893">
        <f>TEXT(71892, "[$-0E0000]yyyy-mm-dd")</f>
        <v/>
      </c>
      <c r="C71893" t="inlineStr">
        <is>
          <t>2096-09-15</t>
        </is>
      </c>
    </row>
    <row r="71894">
      <c r="A71894" s="1" t="n">
        <v>71893</v>
      </c>
      <c r="B71894">
        <f>TEXT(71893, "[$-0E0000]yyyy-mm-dd")</f>
        <v/>
      </c>
      <c r="C71894" t="inlineStr">
        <is>
          <t>2096-09-16</t>
        </is>
      </c>
    </row>
    <row r="71895">
      <c r="A71895" s="1" t="n">
        <v>71894</v>
      </c>
      <c r="B71895">
        <f>TEXT(71894, "[$-0E0000]yyyy-mm-dd")</f>
        <v/>
      </c>
      <c r="C71895" t="inlineStr">
        <is>
          <t>2096-09-17</t>
        </is>
      </c>
    </row>
    <row r="71896">
      <c r="A71896" s="1" t="n">
        <v>71895</v>
      </c>
      <c r="B71896">
        <f>TEXT(71895, "[$-0E0000]yyyy-mm-dd")</f>
        <v/>
      </c>
      <c r="C71896" t="inlineStr">
        <is>
          <t>2096-09-18</t>
        </is>
      </c>
    </row>
    <row r="71897">
      <c r="A71897" s="1" t="n">
        <v>71896</v>
      </c>
      <c r="B71897">
        <f>TEXT(71896, "[$-0E0000]yyyy-mm-dd")</f>
        <v/>
      </c>
      <c r="C71897" t="inlineStr">
        <is>
          <t>2096-09-19</t>
        </is>
      </c>
    </row>
    <row r="71898">
      <c r="A71898" s="1" t="n">
        <v>71897</v>
      </c>
      <c r="B71898">
        <f>TEXT(71897, "[$-0E0000]yyyy-mm-dd")</f>
        <v/>
      </c>
      <c r="C71898" t="inlineStr">
        <is>
          <t>2096-09-20</t>
        </is>
      </c>
    </row>
    <row r="71899">
      <c r="A71899" s="1" t="n">
        <v>71898</v>
      </c>
      <c r="B71899">
        <f>TEXT(71898, "[$-0E0000]yyyy-mm-dd")</f>
        <v/>
      </c>
      <c r="C71899" t="inlineStr">
        <is>
          <t>2096-09-21</t>
        </is>
      </c>
    </row>
    <row r="71900">
      <c r="A71900" s="1" t="n">
        <v>71899</v>
      </c>
      <c r="B71900">
        <f>TEXT(71899, "[$-0E0000]yyyy-mm-dd")</f>
        <v/>
      </c>
      <c r="C71900" t="inlineStr">
        <is>
          <t>2096-09-22</t>
        </is>
      </c>
    </row>
    <row r="71901">
      <c r="A71901" s="1" t="n">
        <v>71900</v>
      </c>
      <c r="B71901">
        <f>TEXT(71900, "[$-0E0000]yyyy-mm-dd")</f>
        <v/>
      </c>
      <c r="C71901" t="inlineStr">
        <is>
          <t>2096-09-23</t>
        </is>
      </c>
    </row>
    <row r="71902">
      <c r="A71902" s="1" t="n">
        <v>71901</v>
      </c>
      <c r="B71902">
        <f>TEXT(71901, "[$-0E0000]yyyy-mm-dd")</f>
        <v/>
      </c>
      <c r="C71902" t="inlineStr">
        <is>
          <t>2096-09-24</t>
        </is>
      </c>
    </row>
    <row r="71903">
      <c r="A71903" s="1" t="n">
        <v>71902</v>
      </c>
      <c r="B71903">
        <f>TEXT(71902, "[$-0E0000]yyyy-mm-dd")</f>
        <v/>
      </c>
      <c r="C71903" t="inlineStr">
        <is>
          <t>2096-09-25</t>
        </is>
      </c>
    </row>
    <row r="71904">
      <c r="A71904" s="1" t="n">
        <v>71903</v>
      </c>
      <c r="B71904">
        <f>TEXT(71903, "[$-0E0000]yyyy-mm-dd")</f>
        <v/>
      </c>
      <c r="C71904" t="inlineStr">
        <is>
          <t>2096-09-26</t>
        </is>
      </c>
    </row>
    <row r="71905">
      <c r="A71905" s="1" t="n">
        <v>71904</v>
      </c>
      <c r="B71905">
        <f>TEXT(71904, "[$-0E0000]yyyy-mm-dd")</f>
        <v/>
      </c>
      <c r="C71905" t="inlineStr">
        <is>
          <t>2096-09-27</t>
        </is>
      </c>
    </row>
    <row r="71906">
      <c r="A71906" s="1" t="n">
        <v>71905</v>
      </c>
      <c r="B71906">
        <f>TEXT(71905, "[$-0E0000]yyyy-mm-dd")</f>
        <v/>
      </c>
      <c r="C71906" t="inlineStr">
        <is>
          <t>2096-09-28</t>
        </is>
      </c>
    </row>
    <row r="71907">
      <c r="A71907" s="1" t="n">
        <v>71906</v>
      </c>
      <c r="B71907">
        <f>TEXT(71906, "[$-0E0000]yyyy-mm-dd")</f>
        <v/>
      </c>
      <c r="C71907" t="inlineStr">
        <is>
          <t>2096-09-29</t>
        </is>
      </c>
    </row>
    <row r="71908">
      <c r="A71908" s="1" t="n">
        <v>71907</v>
      </c>
      <c r="B71908">
        <f>TEXT(71907, "[$-0E0000]yyyy-mm-dd")</f>
        <v/>
      </c>
      <c r="C71908" t="inlineStr">
        <is>
          <t>2096-09-30</t>
        </is>
      </c>
    </row>
    <row r="71909">
      <c r="A71909" s="1" t="n">
        <v>71908</v>
      </c>
      <c r="B71909">
        <f>TEXT(71908, "[$-0E0000]yyyy-mm-dd")</f>
        <v/>
      </c>
      <c r="C71909" t="inlineStr">
        <is>
          <t>2096-10-01</t>
        </is>
      </c>
    </row>
    <row r="71910">
      <c r="A71910" s="1" t="n">
        <v>71909</v>
      </c>
      <c r="B71910">
        <f>TEXT(71909, "[$-0E0000]yyyy-mm-dd")</f>
        <v/>
      </c>
      <c r="C71910" t="inlineStr">
        <is>
          <t>2096-10-02</t>
        </is>
      </c>
    </row>
    <row r="71911">
      <c r="A71911" s="1" t="n">
        <v>71910</v>
      </c>
      <c r="B71911">
        <f>TEXT(71910, "[$-0E0000]yyyy-mm-dd")</f>
        <v/>
      </c>
      <c r="C71911" t="inlineStr">
        <is>
          <t>2096-10-03</t>
        </is>
      </c>
    </row>
    <row r="71912">
      <c r="A71912" s="1" t="n">
        <v>71911</v>
      </c>
      <c r="B71912">
        <f>TEXT(71911, "[$-0E0000]yyyy-mm-dd")</f>
        <v/>
      </c>
      <c r="C71912" t="inlineStr">
        <is>
          <t>2096-10-04</t>
        </is>
      </c>
    </row>
    <row r="71913">
      <c r="A71913" s="1" t="n">
        <v>71912</v>
      </c>
      <c r="B71913">
        <f>TEXT(71912, "[$-0E0000]yyyy-mm-dd")</f>
        <v/>
      </c>
      <c r="C71913" t="inlineStr">
        <is>
          <t>2096-10-05</t>
        </is>
      </c>
    </row>
    <row r="71914">
      <c r="A71914" s="1" t="n">
        <v>71913</v>
      </c>
      <c r="B71914">
        <f>TEXT(71913, "[$-0E0000]yyyy-mm-dd")</f>
        <v/>
      </c>
      <c r="C71914" t="inlineStr">
        <is>
          <t>2096-10-06</t>
        </is>
      </c>
    </row>
    <row r="71915">
      <c r="A71915" s="1" t="n">
        <v>71914</v>
      </c>
      <c r="B71915">
        <f>TEXT(71914, "[$-0E0000]yyyy-mm-dd")</f>
        <v/>
      </c>
      <c r="C71915" t="inlineStr">
        <is>
          <t>2096-10-07</t>
        </is>
      </c>
    </row>
    <row r="71916">
      <c r="A71916" s="1" t="n">
        <v>71915</v>
      </c>
      <c r="B71916">
        <f>TEXT(71915, "[$-0E0000]yyyy-mm-dd")</f>
        <v/>
      </c>
      <c r="C71916" t="inlineStr">
        <is>
          <t>2096-10-08</t>
        </is>
      </c>
    </row>
    <row r="71917">
      <c r="A71917" s="1" t="n">
        <v>71916</v>
      </c>
      <c r="B71917">
        <f>TEXT(71916, "[$-0E0000]yyyy-mm-dd")</f>
        <v/>
      </c>
      <c r="C71917" t="inlineStr">
        <is>
          <t>2096-10-09</t>
        </is>
      </c>
    </row>
    <row r="71918">
      <c r="A71918" s="1" t="n">
        <v>71917</v>
      </c>
      <c r="B71918">
        <f>TEXT(71917, "[$-0E0000]yyyy-mm-dd")</f>
        <v/>
      </c>
      <c r="C71918" t="inlineStr">
        <is>
          <t>2096-10-10</t>
        </is>
      </c>
    </row>
    <row r="71919">
      <c r="A71919" s="1" t="n">
        <v>71918</v>
      </c>
      <c r="B71919">
        <f>TEXT(71918, "[$-0E0000]yyyy-mm-dd")</f>
        <v/>
      </c>
      <c r="C71919" t="inlineStr">
        <is>
          <t>2096-10-11</t>
        </is>
      </c>
    </row>
    <row r="71920">
      <c r="A71920" s="1" t="n">
        <v>71919</v>
      </c>
      <c r="B71920">
        <f>TEXT(71919, "[$-0E0000]yyyy-mm-dd")</f>
        <v/>
      </c>
      <c r="C71920" t="inlineStr">
        <is>
          <t>2096-10-12</t>
        </is>
      </c>
    </row>
    <row r="71921">
      <c r="A71921" s="1" t="n">
        <v>71920</v>
      </c>
      <c r="B71921">
        <f>TEXT(71920, "[$-0E0000]yyyy-mm-dd")</f>
        <v/>
      </c>
      <c r="C71921" t="inlineStr">
        <is>
          <t>2096-10-13</t>
        </is>
      </c>
    </row>
    <row r="71922">
      <c r="A71922" s="1" t="n">
        <v>71921</v>
      </c>
      <c r="B71922">
        <f>TEXT(71921, "[$-0E0000]yyyy-mm-dd")</f>
        <v/>
      </c>
      <c r="C71922" t="inlineStr">
        <is>
          <t>2096-10-14</t>
        </is>
      </c>
    </row>
    <row r="71923">
      <c r="A71923" s="1" t="n">
        <v>71922</v>
      </c>
      <c r="B71923">
        <f>TEXT(71922, "[$-0E0000]yyyy-mm-dd")</f>
        <v/>
      </c>
      <c r="C71923" t="inlineStr">
        <is>
          <t>2096-10-15</t>
        </is>
      </c>
    </row>
    <row r="71924">
      <c r="A71924" s="1" t="n">
        <v>71923</v>
      </c>
      <c r="B71924">
        <f>TEXT(71923, "[$-0E0000]yyyy-mm-dd")</f>
        <v/>
      </c>
      <c r="C71924" t="inlineStr">
        <is>
          <t>2096-10-16</t>
        </is>
      </c>
    </row>
    <row r="71925">
      <c r="A71925" s="1" t="n">
        <v>71924</v>
      </c>
      <c r="B71925">
        <f>TEXT(71924, "[$-0E0000]yyyy-mm-dd")</f>
        <v/>
      </c>
      <c r="C71925" t="inlineStr">
        <is>
          <t>2096-10-17</t>
        </is>
      </c>
    </row>
    <row r="71926">
      <c r="A71926" s="1" t="n">
        <v>71925</v>
      </c>
      <c r="B71926">
        <f>TEXT(71925, "[$-0E0000]yyyy-mm-dd")</f>
        <v/>
      </c>
      <c r="C71926" t="inlineStr">
        <is>
          <t>2096-10-18</t>
        </is>
      </c>
    </row>
    <row r="71927">
      <c r="A71927" s="1" t="n">
        <v>71926</v>
      </c>
      <c r="B71927">
        <f>TEXT(71926, "[$-0E0000]yyyy-mm-dd")</f>
        <v/>
      </c>
      <c r="C71927" t="inlineStr">
        <is>
          <t>2096-10-19</t>
        </is>
      </c>
    </row>
    <row r="71928">
      <c r="A71928" s="1" t="n">
        <v>71927</v>
      </c>
      <c r="B71928">
        <f>TEXT(71927, "[$-0E0000]yyyy-mm-dd")</f>
        <v/>
      </c>
      <c r="C71928" t="inlineStr">
        <is>
          <t>2096-10-20</t>
        </is>
      </c>
    </row>
    <row r="71929">
      <c r="A71929" s="1" t="n">
        <v>71928</v>
      </c>
      <c r="B71929">
        <f>TEXT(71928, "[$-0E0000]yyyy-mm-dd")</f>
        <v/>
      </c>
      <c r="C71929" t="inlineStr">
        <is>
          <t>2096-10-21</t>
        </is>
      </c>
    </row>
    <row r="71930">
      <c r="A71930" s="1" t="n">
        <v>71929</v>
      </c>
      <c r="B71930">
        <f>TEXT(71929, "[$-0E0000]yyyy-mm-dd")</f>
        <v/>
      </c>
      <c r="C71930" t="inlineStr">
        <is>
          <t>2096-10-22</t>
        </is>
      </c>
    </row>
    <row r="71931">
      <c r="A71931" s="1" t="n">
        <v>71930</v>
      </c>
      <c r="B71931">
        <f>TEXT(71930, "[$-0E0000]yyyy-mm-dd")</f>
        <v/>
      </c>
      <c r="C71931" t="inlineStr">
        <is>
          <t>2096-10-23</t>
        </is>
      </c>
    </row>
    <row r="71932">
      <c r="A71932" s="1" t="n">
        <v>71931</v>
      </c>
      <c r="B71932">
        <f>TEXT(71931, "[$-0E0000]yyyy-mm-dd")</f>
        <v/>
      </c>
      <c r="C71932" t="inlineStr">
        <is>
          <t>2096-10-24</t>
        </is>
      </c>
    </row>
    <row r="71933">
      <c r="A71933" s="1" t="n">
        <v>71932</v>
      </c>
      <c r="B71933">
        <f>TEXT(71932, "[$-0E0000]yyyy-mm-dd")</f>
        <v/>
      </c>
      <c r="C71933" t="inlineStr">
        <is>
          <t>2096-10-25</t>
        </is>
      </c>
    </row>
    <row r="71934">
      <c r="A71934" s="1" t="n">
        <v>71933</v>
      </c>
      <c r="B71934">
        <f>TEXT(71933, "[$-0E0000]yyyy-mm-dd")</f>
        <v/>
      </c>
      <c r="C71934" t="inlineStr">
        <is>
          <t>2096-10-26</t>
        </is>
      </c>
    </row>
    <row r="71935">
      <c r="A71935" s="1" t="n">
        <v>71934</v>
      </c>
      <c r="B71935">
        <f>TEXT(71934, "[$-0E0000]yyyy-mm-dd")</f>
        <v/>
      </c>
      <c r="C71935" t="inlineStr">
        <is>
          <t>2096-10-27</t>
        </is>
      </c>
    </row>
    <row r="71936">
      <c r="A71936" s="1" t="n">
        <v>71935</v>
      </c>
      <c r="B71936">
        <f>TEXT(71935, "[$-0E0000]yyyy-mm-dd")</f>
        <v/>
      </c>
      <c r="C71936" t="inlineStr">
        <is>
          <t>2096-10-28</t>
        </is>
      </c>
    </row>
    <row r="71937">
      <c r="A71937" s="1" t="n">
        <v>71936</v>
      </c>
      <c r="B71937">
        <f>TEXT(71936, "[$-0E0000]yyyy-mm-dd")</f>
        <v/>
      </c>
      <c r="C71937" t="inlineStr">
        <is>
          <t>2096-10-29</t>
        </is>
      </c>
    </row>
    <row r="71938">
      <c r="A71938" s="1" t="n">
        <v>71937</v>
      </c>
      <c r="B71938">
        <f>TEXT(71937, "[$-0E0000]yyyy-mm-dd")</f>
        <v/>
      </c>
      <c r="C71938" t="inlineStr">
        <is>
          <t>2096-10-30</t>
        </is>
      </c>
    </row>
    <row r="71939">
      <c r="A71939" s="1" t="n">
        <v>71938</v>
      </c>
      <c r="B71939">
        <f>TEXT(71938, "[$-0E0000]yyyy-mm-dd")</f>
        <v/>
      </c>
      <c r="C71939" t="inlineStr">
        <is>
          <t>2096-11-01</t>
        </is>
      </c>
    </row>
    <row r="71940">
      <c r="A71940" s="1" t="n">
        <v>71939</v>
      </c>
      <c r="B71940">
        <f>TEXT(71939, "[$-0E0000]yyyy-mm-dd")</f>
        <v/>
      </c>
      <c r="C71940" t="inlineStr">
        <is>
          <t>2096-11-02</t>
        </is>
      </c>
    </row>
    <row r="71941">
      <c r="A71941" s="1" t="n">
        <v>71940</v>
      </c>
      <c r="B71941">
        <f>TEXT(71940, "[$-0E0000]yyyy-mm-dd")</f>
        <v/>
      </c>
      <c r="C71941" t="inlineStr">
        <is>
          <t>2096-11-03</t>
        </is>
      </c>
    </row>
    <row r="71942">
      <c r="A71942" s="1" t="n">
        <v>71941</v>
      </c>
      <c r="B71942">
        <f>TEXT(71941, "[$-0E0000]yyyy-mm-dd")</f>
        <v/>
      </c>
      <c r="C71942" t="inlineStr">
        <is>
          <t>2096-11-04</t>
        </is>
      </c>
    </row>
    <row r="71943">
      <c r="A71943" s="1" t="n">
        <v>71942</v>
      </c>
      <c r="B71943">
        <f>TEXT(71942, "[$-0E0000]yyyy-mm-dd")</f>
        <v/>
      </c>
      <c r="C71943" t="inlineStr">
        <is>
          <t>2096-11-05</t>
        </is>
      </c>
    </row>
    <row r="71944">
      <c r="A71944" s="1" t="n">
        <v>71943</v>
      </c>
      <c r="B71944">
        <f>TEXT(71943, "[$-0E0000]yyyy-mm-dd")</f>
        <v/>
      </c>
      <c r="C71944" t="inlineStr">
        <is>
          <t>2096-11-06</t>
        </is>
      </c>
    </row>
    <row r="71945">
      <c r="A71945" s="1" t="n">
        <v>71944</v>
      </c>
      <c r="B71945">
        <f>TEXT(71944, "[$-0E0000]yyyy-mm-dd")</f>
        <v/>
      </c>
      <c r="C71945" t="inlineStr">
        <is>
          <t>2096-11-07</t>
        </is>
      </c>
    </row>
    <row r="71946">
      <c r="A71946" s="1" t="n">
        <v>71945</v>
      </c>
      <c r="B71946">
        <f>TEXT(71945, "[$-0E0000]yyyy-mm-dd")</f>
        <v/>
      </c>
      <c r="C71946" t="inlineStr">
        <is>
          <t>2096-11-08</t>
        </is>
      </c>
    </row>
    <row r="71947">
      <c r="A71947" s="1" t="n">
        <v>71946</v>
      </c>
      <c r="B71947">
        <f>TEXT(71946, "[$-0E0000]yyyy-mm-dd")</f>
        <v/>
      </c>
      <c r="C71947" t="inlineStr">
        <is>
          <t>2096-11-09</t>
        </is>
      </c>
    </row>
    <row r="71948">
      <c r="A71948" s="1" t="n">
        <v>71947</v>
      </c>
      <c r="B71948">
        <f>TEXT(71947, "[$-0E0000]yyyy-mm-dd")</f>
        <v/>
      </c>
      <c r="C71948" t="inlineStr">
        <is>
          <t>2096-11-10</t>
        </is>
      </c>
    </row>
    <row r="71949">
      <c r="A71949" s="1" t="n">
        <v>71948</v>
      </c>
      <c r="B71949">
        <f>TEXT(71948, "[$-0E0000]yyyy-mm-dd")</f>
        <v/>
      </c>
      <c r="C71949" t="inlineStr">
        <is>
          <t>2096-11-11</t>
        </is>
      </c>
    </row>
    <row r="71950">
      <c r="A71950" s="1" t="n">
        <v>71949</v>
      </c>
      <c r="B71950">
        <f>TEXT(71949, "[$-0E0000]yyyy-mm-dd")</f>
        <v/>
      </c>
      <c r="C71950" t="inlineStr">
        <is>
          <t>2096-11-12</t>
        </is>
      </c>
    </row>
    <row r="71951">
      <c r="A71951" s="1" t="n">
        <v>71950</v>
      </c>
      <c r="B71951">
        <f>TEXT(71950, "[$-0E0000]yyyy-mm-dd")</f>
        <v/>
      </c>
      <c r="C71951" t="inlineStr">
        <is>
          <t>2096-11-13</t>
        </is>
      </c>
    </row>
    <row r="71952">
      <c r="A71952" s="1" t="n">
        <v>71951</v>
      </c>
      <c r="B71952">
        <f>TEXT(71951, "[$-0E0000]yyyy-mm-dd")</f>
        <v/>
      </c>
      <c r="C71952" t="inlineStr">
        <is>
          <t>2096-11-14</t>
        </is>
      </c>
    </row>
    <row r="71953">
      <c r="A71953" s="1" t="n">
        <v>71952</v>
      </c>
      <c r="B71953">
        <f>TEXT(71952, "[$-0E0000]yyyy-mm-dd")</f>
        <v/>
      </c>
      <c r="C71953" t="inlineStr">
        <is>
          <t>2096-11-15</t>
        </is>
      </c>
    </row>
    <row r="71954">
      <c r="A71954" s="1" t="n">
        <v>71953</v>
      </c>
      <c r="B71954">
        <f>TEXT(71953, "[$-0E0000]yyyy-mm-dd")</f>
        <v/>
      </c>
      <c r="C71954" t="inlineStr">
        <is>
          <t>2096-11-16</t>
        </is>
      </c>
    </row>
    <row r="71955">
      <c r="A71955" s="1" t="n">
        <v>71954</v>
      </c>
      <c r="B71955">
        <f>TEXT(71954, "[$-0E0000]yyyy-mm-dd")</f>
        <v/>
      </c>
      <c r="C71955" t="inlineStr">
        <is>
          <t>2096-11-17</t>
        </is>
      </c>
    </row>
    <row r="71956">
      <c r="A71956" s="1" t="n">
        <v>71955</v>
      </c>
      <c r="B71956">
        <f>TEXT(71955, "[$-0E0000]yyyy-mm-dd")</f>
        <v/>
      </c>
      <c r="C71956" t="inlineStr">
        <is>
          <t>2096-11-18</t>
        </is>
      </c>
    </row>
    <row r="71957">
      <c r="A71957" s="1" t="n">
        <v>71956</v>
      </c>
      <c r="B71957">
        <f>TEXT(71956, "[$-0E0000]yyyy-mm-dd")</f>
        <v/>
      </c>
      <c r="C71957" t="inlineStr">
        <is>
          <t>2096-11-19</t>
        </is>
      </c>
    </row>
    <row r="71958">
      <c r="A71958" s="1" t="n">
        <v>71957</v>
      </c>
      <c r="B71958">
        <f>TEXT(71957, "[$-0E0000]yyyy-mm-dd")</f>
        <v/>
      </c>
      <c r="C71958" t="inlineStr">
        <is>
          <t>2096-11-20</t>
        </is>
      </c>
    </row>
    <row r="71959">
      <c r="A71959" s="1" t="n">
        <v>71958</v>
      </c>
      <c r="B71959">
        <f>TEXT(71958, "[$-0E0000]yyyy-mm-dd")</f>
        <v/>
      </c>
      <c r="C71959" t="inlineStr">
        <is>
          <t>2096-11-21</t>
        </is>
      </c>
    </row>
    <row r="71960">
      <c r="A71960" s="1" t="n">
        <v>71959</v>
      </c>
      <c r="B71960">
        <f>TEXT(71959, "[$-0E0000]yyyy-mm-dd")</f>
        <v/>
      </c>
      <c r="C71960" t="inlineStr">
        <is>
          <t>2096-11-22</t>
        </is>
      </c>
    </row>
    <row r="71961">
      <c r="A71961" s="1" t="n">
        <v>71960</v>
      </c>
      <c r="B71961">
        <f>TEXT(71960, "[$-0E0000]yyyy-mm-dd")</f>
        <v/>
      </c>
      <c r="C71961" t="inlineStr">
        <is>
          <t>2096-11-23</t>
        </is>
      </c>
    </row>
    <row r="71962">
      <c r="A71962" s="1" t="n">
        <v>71961</v>
      </c>
      <c r="B71962">
        <f>TEXT(71961, "[$-0E0000]yyyy-mm-dd")</f>
        <v/>
      </c>
      <c r="C71962" t="inlineStr">
        <is>
          <t>2096-11-24</t>
        </is>
      </c>
    </row>
    <row r="71963">
      <c r="A71963" s="1" t="n">
        <v>71962</v>
      </c>
      <c r="B71963">
        <f>TEXT(71962, "[$-0E0000]yyyy-mm-dd")</f>
        <v/>
      </c>
      <c r="C71963" t="inlineStr">
        <is>
          <t>2096-11-25</t>
        </is>
      </c>
    </row>
    <row r="71964">
      <c r="A71964" s="1" t="n">
        <v>71963</v>
      </c>
      <c r="B71964">
        <f>TEXT(71963, "[$-0E0000]yyyy-mm-dd")</f>
        <v/>
      </c>
      <c r="C71964" t="inlineStr">
        <is>
          <t>2096-11-26</t>
        </is>
      </c>
    </row>
    <row r="71965">
      <c r="A71965" s="1" t="n">
        <v>71964</v>
      </c>
      <c r="B71965">
        <f>TEXT(71964, "[$-0E0000]yyyy-mm-dd")</f>
        <v/>
      </c>
      <c r="C71965" t="inlineStr">
        <is>
          <t>2096-11-27</t>
        </is>
      </c>
    </row>
    <row r="71966">
      <c r="A71966" s="1" t="n">
        <v>71965</v>
      </c>
      <c r="B71966">
        <f>TEXT(71965, "[$-0E0000]yyyy-mm-dd")</f>
        <v/>
      </c>
      <c r="C71966" t="inlineStr">
        <is>
          <t>2096-11-28</t>
        </is>
      </c>
    </row>
    <row r="71967">
      <c r="A71967" s="1" t="n">
        <v>71966</v>
      </c>
      <c r="B71967">
        <f>TEXT(71966, "[$-0E0000]yyyy-mm-dd")</f>
        <v/>
      </c>
      <c r="C71967" t="inlineStr">
        <is>
          <t>2096-11-29</t>
        </is>
      </c>
    </row>
    <row r="71968">
      <c r="A71968" s="1" t="n">
        <v>71967</v>
      </c>
      <c r="B71968">
        <f>TEXT(71967, "[$-0E0000]yyyy-mm-dd")</f>
        <v/>
      </c>
      <c r="C71968" t="inlineStr">
        <is>
          <t>2096-12-01</t>
        </is>
      </c>
    </row>
    <row r="71969">
      <c r="A71969" s="1" t="n">
        <v>71968</v>
      </c>
      <c r="B71969">
        <f>TEXT(71968, "[$-0E0000]yyyy-mm-dd")</f>
        <v/>
      </c>
      <c r="C71969" t="inlineStr">
        <is>
          <t>2096-12-02</t>
        </is>
      </c>
    </row>
    <row r="71970">
      <c r="A71970" s="1" t="n">
        <v>71969</v>
      </c>
      <c r="B71970">
        <f>TEXT(71969, "[$-0E0000]yyyy-mm-dd")</f>
        <v/>
      </c>
      <c r="C71970" t="inlineStr">
        <is>
          <t>2096-12-03</t>
        </is>
      </c>
    </row>
    <row r="71971">
      <c r="A71971" s="1" t="n">
        <v>71970</v>
      </c>
      <c r="B71971">
        <f>TEXT(71970, "[$-0E0000]yyyy-mm-dd")</f>
        <v/>
      </c>
      <c r="C71971" t="inlineStr">
        <is>
          <t>2096-12-04</t>
        </is>
      </c>
    </row>
    <row r="71972">
      <c r="A71972" s="1" t="n">
        <v>71971</v>
      </c>
      <c r="B71972">
        <f>TEXT(71971, "[$-0E0000]yyyy-mm-dd")</f>
        <v/>
      </c>
      <c r="C71972" t="inlineStr">
        <is>
          <t>2096-12-05</t>
        </is>
      </c>
    </row>
    <row r="71973">
      <c r="A71973" s="1" t="n">
        <v>71972</v>
      </c>
      <c r="B71973">
        <f>TEXT(71972, "[$-0E0000]yyyy-mm-dd")</f>
        <v/>
      </c>
      <c r="C71973" t="inlineStr">
        <is>
          <t>2096-12-06</t>
        </is>
      </c>
    </row>
    <row r="71974">
      <c r="A71974" s="1" t="n">
        <v>71973</v>
      </c>
      <c r="B71974">
        <f>TEXT(71973, "[$-0E0000]yyyy-mm-dd")</f>
        <v/>
      </c>
      <c r="C71974" t="inlineStr">
        <is>
          <t>2096-12-07</t>
        </is>
      </c>
    </row>
    <row r="71975">
      <c r="A71975" s="1" t="n">
        <v>71974</v>
      </c>
      <c r="B71975">
        <f>TEXT(71974, "[$-0E0000]yyyy-mm-dd")</f>
        <v/>
      </c>
      <c r="C71975" t="inlineStr">
        <is>
          <t>2096-12-08</t>
        </is>
      </c>
    </row>
    <row r="71976">
      <c r="A71976" s="1" t="n">
        <v>71975</v>
      </c>
      <c r="B71976">
        <f>TEXT(71975, "[$-0E0000]yyyy-mm-dd")</f>
        <v/>
      </c>
      <c r="C71976" t="inlineStr">
        <is>
          <t>2096-12-09</t>
        </is>
      </c>
    </row>
    <row r="71977">
      <c r="A71977" s="1" t="n">
        <v>71976</v>
      </c>
      <c r="B71977">
        <f>TEXT(71976, "[$-0E0000]yyyy-mm-dd")</f>
        <v/>
      </c>
      <c r="C71977" t="inlineStr">
        <is>
          <t>2096-12-10</t>
        </is>
      </c>
    </row>
    <row r="71978">
      <c r="A71978" s="1" t="n">
        <v>71977</v>
      </c>
      <c r="B71978">
        <f>TEXT(71977, "[$-0E0000]yyyy-mm-dd")</f>
        <v/>
      </c>
      <c r="C71978" t="inlineStr">
        <is>
          <t>2096-12-11</t>
        </is>
      </c>
    </row>
    <row r="71979">
      <c r="A71979" s="1" t="n">
        <v>71978</v>
      </c>
      <c r="B71979">
        <f>TEXT(71978, "[$-0E0000]yyyy-mm-dd")</f>
        <v/>
      </c>
      <c r="C71979" t="inlineStr">
        <is>
          <t>2096-12-12</t>
        </is>
      </c>
    </row>
    <row r="71980">
      <c r="A71980" s="1" t="n">
        <v>71979</v>
      </c>
      <c r="B71980">
        <f>TEXT(71979, "[$-0E0000]yyyy-mm-dd")</f>
        <v/>
      </c>
      <c r="C71980" t="inlineStr">
        <is>
          <t>2096-12-13</t>
        </is>
      </c>
    </row>
    <row r="71981">
      <c r="A71981" s="1" t="n">
        <v>71980</v>
      </c>
      <c r="B71981">
        <f>TEXT(71980, "[$-0E0000]yyyy-mm-dd")</f>
        <v/>
      </c>
      <c r="C71981" t="inlineStr">
        <is>
          <t>2096-12-14</t>
        </is>
      </c>
    </row>
    <row r="71982">
      <c r="A71982" s="1" t="n">
        <v>71981</v>
      </c>
      <c r="B71982">
        <f>TEXT(71981, "[$-0E0000]yyyy-mm-dd")</f>
        <v/>
      </c>
      <c r="C71982" t="inlineStr">
        <is>
          <t>2096-12-15</t>
        </is>
      </c>
    </row>
    <row r="71983">
      <c r="A71983" s="1" t="n">
        <v>71982</v>
      </c>
      <c r="B71983">
        <f>TEXT(71982, "[$-0E0000]yyyy-mm-dd")</f>
        <v/>
      </c>
      <c r="C71983" t="inlineStr">
        <is>
          <t>2096-12-16</t>
        </is>
      </c>
    </row>
    <row r="71984">
      <c r="A71984" s="1" t="n">
        <v>71983</v>
      </c>
      <c r="B71984">
        <f>TEXT(71983, "[$-0E0000]yyyy-mm-dd")</f>
        <v/>
      </c>
      <c r="C71984" t="inlineStr">
        <is>
          <t>2096-12-17</t>
        </is>
      </c>
    </row>
    <row r="71985">
      <c r="A71985" s="1" t="n">
        <v>71984</v>
      </c>
      <c r="B71985">
        <f>TEXT(71984, "[$-0E0000]yyyy-mm-dd")</f>
        <v/>
      </c>
      <c r="C71985" t="inlineStr">
        <is>
          <t>2096-12-18</t>
        </is>
      </c>
    </row>
    <row r="71986">
      <c r="A71986" s="1" t="n">
        <v>71985</v>
      </c>
      <c r="B71986">
        <f>TEXT(71985, "[$-0E0000]yyyy-mm-dd")</f>
        <v/>
      </c>
      <c r="C71986" t="inlineStr">
        <is>
          <t>2096-12-19</t>
        </is>
      </c>
    </row>
    <row r="71987">
      <c r="A71987" s="1" t="n">
        <v>71986</v>
      </c>
      <c r="B71987">
        <f>TEXT(71986, "[$-0E0000]yyyy-mm-dd")</f>
        <v/>
      </c>
      <c r="C71987" t="inlineStr">
        <is>
          <t>2096-12-20</t>
        </is>
      </c>
    </row>
    <row r="71988">
      <c r="A71988" s="1" t="n">
        <v>71987</v>
      </c>
      <c r="B71988">
        <f>TEXT(71987, "[$-0E0000]yyyy-mm-dd")</f>
        <v/>
      </c>
      <c r="C71988" t="inlineStr">
        <is>
          <t>2096-12-21</t>
        </is>
      </c>
    </row>
    <row r="71989">
      <c r="A71989" s="1" t="n">
        <v>71988</v>
      </c>
      <c r="B71989">
        <f>TEXT(71988, "[$-0E0000]yyyy-mm-dd")</f>
        <v/>
      </c>
      <c r="C71989" t="inlineStr">
        <is>
          <t>2096-12-22</t>
        </is>
      </c>
    </row>
    <row r="71990">
      <c r="A71990" s="1" t="n">
        <v>71989</v>
      </c>
      <c r="B71990">
        <f>TEXT(71989, "[$-0E0000]yyyy-mm-dd")</f>
        <v/>
      </c>
      <c r="C71990" t="inlineStr">
        <is>
          <t>2096-12-23</t>
        </is>
      </c>
    </row>
    <row r="71991">
      <c r="A71991" s="1" t="n">
        <v>71990</v>
      </c>
      <c r="B71991">
        <f>TEXT(71990, "[$-0E0000]yyyy-mm-dd")</f>
        <v/>
      </c>
      <c r="C71991" t="inlineStr">
        <is>
          <t>2096-12-24</t>
        </is>
      </c>
    </row>
    <row r="71992">
      <c r="A71992" s="1" t="n">
        <v>71991</v>
      </c>
      <c r="B71992">
        <f>TEXT(71991, "[$-0E0000]yyyy-mm-dd")</f>
        <v/>
      </c>
      <c r="C71992" t="inlineStr">
        <is>
          <t>2096-12-25</t>
        </is>
      </c>
    </row>
    <row r="71993">
      <c r="A71993" s="1" t="n">
        <v>71992</v>
      </c>
      <c r="B71993">
        <f>TEXT(71992, "[$-0E0000]yyyy-mm-dd")</f>
        <v/>
      </c>
      <c r="C71993" t="inlineStr">
        <is>
          <t>2096-12-26</t>
        </is>
      </c>
    </row>
    <row r="71994">
      <c r="A71994" s="1" t="n">
        <v>71993</v>
      </c>
      <c r="B71994">
        <f>TEXT(71993, "[$-0E0000]yyyy-mm-dd")</f>
        <v/>
      </c>
      <c r="C71994" t="inlineStr">
        <is>
          <t>2096-12-27</t>
        </is>
      </c>
    </row>
    <row r="71995">
      <c r="A71995" s="1" t="n">
        <v>71994</v>
      </c>
      <c r="B71995">
        <f>TEXT(71994, "[$-0E0000]yyyy-mm-dd")</f>
        <v/>
      </c>
      <c r="C71995" t="inlineStr">
        <is>
          <t>2096-12-28</t>
        </is>
      </c>
    </row>
    <row r="71996">
      <c r="A71996" s="1" t="n">
        <v>71995</v>
      </c>
      <c r="B71996">
        <f>TEXT(71995, "[$-0E0000]yyyy-mm-dd")</f>
        <v/>
      </c>
      <c r="C71996" t="inlineStr">
        <is>
          <t>2096-12-29</t>
        </is>
      </c>
    </row>
    <row r="71997">
      <c r="A71997" s="1" t="n">
        <v>71996</v>
      </c>
      <c r="B71997">
        <f>TEXT(71996, "[$-0E0000]yyyy-mm-dd")</f>
        <v/>
      </c>
      <c r="C71997" t="inlineStr">
        <is>
          <t>2096-12-30</t>
        </is>
      </c>
    </row>
    <row r="71998">
      <c r="A71998" s="1" t="n">
        <v>71997</v>
      </c>
      <c r="B71998">
        <f>TEXT(71997, "[$-0E0000]yyyy-mm-dd")</f>
        <v/>
      </c>
      <c r="C71998" t="inlineStr">
        <is>
          <t>2097-01-01</t>
        </is>
      </c>
    </row>
    <row r="71999">
      <c r="A71999" s="1" t="n">
        <v>71998</v>
      </c>
      <c r="B71999">
        <f>TEXT(71998, "[$-0E0000]yyyy-mm-dd")</f>
        <v/>
      </c>
      <c r="C71999" t="inlineStr">
        <is>
          <t>2097-01-02</t>
        </is>
      </c>
    </row>
    <row r="72000">
      <c r="A72000" s="1" t="n">
        <v>71999</v>
      </c>
      <c r="B72000">
        <f>TEXT(71999, "[$-0E0000]yyyy-mm-dd")</f>
        <v/>
      </c>
      <c r="C72000" t="inlineStr">
        <is>
          <t>2097-01-03</t>
        </is>
      </c>
    </row>
    <row r="72001">
      <c r="A72001" s="1" t="n">
        <v>72000</v>
      </c>
      <c r="B72001">
        <f>TEXT(72000, "[$-0E0000]yyyy-mm-dd")</f>
        <v/>
      </c>
      <c r="C72001" t="inlineStr">
        <is>
          <t>2097-01-04</t>
        </is>
      </c>
    </row>
    <row r="72002">
      <c r="A72002" s="1" t="n">
        <v>72001</v>
      </c>
      <c r="B72002">
        <f>TEXT(72001, "[$-0E0000]yyyy-mm-dd")</f>
        <v/>
      </c>
      <c r="C72002" t="inlineStr">
        <is>
          <t>2097-01-05</t>
        </is>
      </c>
    </row>
    <row r="72003">
      <c r="A72003" s="1" t="n">
        <v>72002</v>
      </c>
      <c r="B72003">
        <f>TEXT(72002, "[$-0E0000]yyyy-mm-dd")</f>
        <v/>
      </c>
      <c r="C72003" t="inlineStr">
        <is>
          <t>2097-01-06</t>
        </is>
      </c>
    </row>
    <row r="72004">
      <c r="A72004" s="1" t="n">
        <v>72003</v>
      </c>
      <c r="B72004">
        <f>TEXT(72003, "[$-0E0000]yyyy-mm-dd")</f>
        <v/>
      </c>
      <c r="C72004" t="inlineStr">
        <is>
          <t>2097-01-07</t>
        </is>
      </c>
    </row>
    <row r="72005">
      <c r="A72005" s="1" t="n">
        <v>72004</v>
      </c>
      <c r="B72005">
        <f>TEXT(72004, "[$-0E0000]yyyy-mm-dd")</f>
        <v/>
      </c>
      <c r="C72005" t="inlineStr">
        <is>
          <t>2097-01-08</t>
        </is>
      </c>
    </row>
    <row r="72006">
      <c r="A72006" s="1" t="n">
        <v>72005</v>
      </c>
      <c r="B72006">
        <f>TEXT(72005, "[$-0E0000]yyyy-mm-dd")</f>
        <v/>
      </c>
      <c r="C72006" t="inlineStr">
        <is>
          <t>2097-01-09</t>
        </is>
      </c>
    </row>
    <row r="72007">
      <c r="A72007" s="1" t="n">
        <v>72006</v>
      </c>
      <c r="B72007">
        <f>TEXT(72006, "[$-0E0000]yyyy-mm-dd")</f>
        <v/>
      </c>
      <c r="C72007" t="inlineStr">
        <is>
          <t>2097-01-10</t>
        </is>
      </c>
    </row>
    <row r="72008">
      <c r="A72008" s="1" t="n">
        <v>72007</v>
      </c>
      <c r="B72008">
        <f>TEXT(72007, "[$-0E0000]yyyy-mm-dd")</f>
        <v/>
      </c>
      <c r="C72008" t="inlineStr">
        <is>
          <t>2097-01-11</t>
        </is>
      </c>
    </row>
    <row r="72009">
      <c r="A72009" s="1" t="n">
        <v>72008</v>
      </c>
      <c r="B72009">
        <f>TEXT(72008, "[$-0E0000]yyyy-mm-dd")</f>
        <v/>
      </c>
      <c r="C72009" t="inlineStr">
        <is>
          <t>2097-01-12</t>
        </is>
      </c>
    </row>
    <row r="72010">
      <c r="A72010" s="1" t="n">
        <v>72009</v>
      </c>
      <c r="B72010">
        <f>TEXT(72009, "[$-0E0000]yyyy-mm-dd")</f>
        <v/>
      </c>
      <c r="C72010" t="inlineStr">
        <is>
          <t>2097-01-13</t>
        </is>
      </c>
    </row>
    <row r="72011">
      <c r="A72011" s="1" t="n">
        <v>72010</v>
      </c>
      <c r="B72011">
        <f>TEXT(72010, "[$-0E0000]yyyy-mm-dd")</f>
        <v/>
      </c>
      <c r="C72011" t="inlineStr">
        <is>
          <t>2097-01-14</t>
        </is>
      </c>
    </row>
    <row r="72012">
      <c r="A72012" s="1" t="n">
        <v>72011</v>
      </c>
      <c r="B72012">
        <f>TEXT(72011, "[$-0E0000]yyyy-mm-dd")</f>
        <v/>
      </c>
      <c r="C72012" t="inlineStr">
        <is>
          <t>2097-01-15</t>
        </is>
      </c>
    </row>
    <row r="72013">
      <c r="A72013" s="1" t="n">
        <v>72012</v>
      </c>
      <c r="B72013">
        <f>TEXT(72012, "[$-0E0000]yyyy-mm-dd")</f>
        <v/>
      </c>
      <c r="C72013" t="inlineStr">
        <is>
          <t>2097-01-16</t>
        </is>
      </c>
    </row>
    <row r="72014">
      <c r="A72014" s="1" t="n">
        <v>72013</v>
      </c>
      <c r="B72014">
        <f>TEXT(72013, "[$-0E0000]yyyy-mm-dd")</f>
        <v/>
      </c>
      <c r="C72014" t="inlineStr">
        <is>
          <t>2097-01-17</t>
        </is>
      </c>
    </row>
    <row r="72015">
      <c r="A72015" s="1" t="n">
        <v>72014</v>
      </c>
      <c r="B72015">
        <f>TEXT(72014, "[$-0E0000]yyyy-mm-dd")</f>
        <v/>
      </c>
      <c r="C72015" t="inlineStr">
        <is>
          <t>2097-01-18</t>
        </is>
      </c>
    </row>
    <row r="72016">
      <c r="A72016" s="1" t="n">
        <v>72015</v>
      </c>
      <c r="B72016">
        <f>TEXT(72015, "[$-0E0000]yyyy-mm-dd")</f>
        <v/>
      </c>
      <c r="C72016" t="inlineStr">
        <is>
          <t>2097-01-19</t>
        </is>
      </c>
    </row>
    <row r="72017">
      <c r="A72017" s="1" t="n">
        <v>72016</v>
      </c>
      <c r="B72017">
        <f>TEXT(72016, "[$-0E0000]yyyy-mm-dd")</f>
        <v/>
      </c>
      <c r="C72017" t="inlineStr">
        <is>
          <t>2097-01-20</t>
        </is>
      </c>
    </row>
    <row r="72018">
      <c r="A72018" s="1" t="n">
        <v>72017</v>
      </c>
      <c r="B72018">
        <f>TEXT(72017, "[$-0E0000]yyyy-mm-dd")</f>
        <v/>
      </c>
      <c r="C72018" t="inlineStr">
        <is>
          <t>2097-01-21</t>
        </is>
      </c>
    </row>
    <row r="72019">
      <c r="A72019" s="1" t="n">
        <v>72018</v>
      </c>
      <c r="B72019">
        <f>TEXT(72018, "[$-0E0000]yyyy-mm-dd")</f>
        <v/>
      </c>
      <c r="C72019" t="inlineStr">
        <is>
          <t>2097-01-22</t>
        </is>
      </c>
    </row>
    <row r="72020">
      <c r="A72020" s="1" t="n">
        <v>72019</v>
      </c>
      <c r="B72020">
        <f>TEXT(72019, "[$-0E0000]yyyy-mm-dd")</f>
        <v/>
      </c>
      <c r="C72020" t="inlineStr">
        <is>
          <t>2097-01-23</t>
        </is>
      </c>
    </row>
    <row r="72021">
      <c r="A72021" s="1" t="n">
        <v>72020</v>
      </c>
      <c r="B72021">
        <f>TEXT(72020, "[$-0E0000]yyyy-mm-dd")</f>
        <v/>
      </c>
      <c r="C72021" t="inlineStr">
        <is>
          <t>2097-01-24</t>
        </is>
      </c>
    </row>
    <row r="72022">
      <c r="A72022" s="1" t="n">
        <v>72021</v>
      </c>
      <c r="B72022">
        <f>TEXT(72021, "[$-0E0000]yyyy-mm-dd")</f>
        <v/>
      </c>
      <c r="C72022" t="inlineStr">
        <is>
          <t>2097-01-25</t>
        </is>
      </c>
    </row>
    <row r="72023">
      <c r="A72023" s="1" t="n">
        <v>72022</v>
      </c>
      <c r="B72023">
        <f>TEXT(72022, "[$-0E0000]yyyy-mm-dd")</f>
        <v/>
      </c>
      <c r="C72023" t="inlineStr">
        <is>
          <t>2097-01-26</t>
        </is>
      </c>
    </row>
    <row r="72024">
      <c r="A72024" s="1" t="n">
        <v>72023</v>
      </c>
      <c r="B72024">
        <f>TEXT(72023, "[$-0E0000]yyyy-mm-dd")</f>
        <v/>
      </c>
      <c r="C72024" t="inlineStr">
        <is>
          <t>2097-01-27</t>
        </is>
      </c>
    </row>
    <row r="72025">
      <c r="A72025" s="1" t="n">
        <v>72024</v>
      </c>
      <c r="B72025">
        <f>TEXT(72024, "[$-0E0000]yyyy-mm-dd")</f>
        <v/>
      </c>
      <c r="C72025" t="inlineStr">
        <is>
          <t>2097-01-28</t>
        </is>
      </c>
    </row>
    <row r="72026">
      <c r="A72026" s="1" t="n">
        <v>72025</v>
      </c>
      <c r="B72026">
        <f>TEXT(72025, "[$-0E0000]yyyy-mm-dd")</f>
        <v/>
      </c>
      <c r="C72026" t="inlineStr">
        <is>
          <t>2097-01-29</t>
        </is>
      </c>
    </row>
    <row r="72027">
      <c r="A72027" s="1" t="n">
        <v>72026</v>
      </c>
      <c r="B72027">
        <f>TEXT(72026, "[$-0E0000]yyyy-mm-dd")</f>
        <v/>
      </c>
      <c r="C72027" t="inlineStr">
        <is>
          <t>2097-01-30</t>
        </is>
      </c>
    </row>
    <row r="72028">
      <c r="A72028" s="1" t="n">
        <v>72027</v>
      </c>
      <c r="B72028">
        <f>TEXT(72027, "[$-0E0000]yyyy-mm-dd")</f>
        <v/>
      </c>
      <c r="C72028" t="inlineStr">
        <is>
          <t>2097-02-01</t>
        </is>
      </c>
    </row>
    <row r="72029">
      <c r="A72029" s="1" t="n">
        <v>72028</v>
      </c>
      <c r="B72029">
        <f>TEXT(72028, "[$-0E0000]yyyy-mm-dd")</f>
        <v/>
      </c>
      <c r="C72029" t="inlineStr">
        <is>
          <t>2097-02-02</t>
        </is>
      </c>
    </row>
    <row r="72030">
      <c r="A72030" s="1" t="n">
        <v>72029</v>
      </c>
      <c r="B72030">
        <f>TEXT(72029, "[$-0E0000]yyyy-mm-dd")</f>
        <v/>
      </c>
      <c r="C72030" t="inlineStr">
        <is>
          <t>2097-02-03</t>
        </is>
      </c>
    </row>
    <row r="72031">
      <c r="A72031" s="1" t="n">
        <v>72030</v>
      </c>
      <c r="B72031">
        <f>TEXT(72030, "[$-0E0000]yyyy-mm-dd")</f>
        <v/>
      </c>
      <c r="C72031" t="inlineStr">
        <is>
          <t>2097-02-04</t>
        </is>
      </c>
    </row>
    <row r="72032">
      <c r="A72032" s="1" t="n">
        <v>72031</v>
      </c>
      <c r="B72032">
        <f>TEXT(72031, "[$-0E0000]yyyy-mm-dd")</f>
        <v/>
      </c>
      <c r="C72032" t="inlineStr">
        <is>
          <t>2097-02-05</t>
        </is>
      </c>
    </row>
    <row r="72033">
      <c r="A72033" s="1" t="n">
        <v>72032</v>
      </c>
      <c r="B72033">
        <f>TEXT(72032, "[$-0E0000]yyyy-mm-dd")</f>
        <v/>
      </c>
      <c r="C72033" t="inlineStr">
        <is>
          <t>2097-02-06</t>
        </is>
      </c>
    </row>
    <row r="72034">
      <c r="A72034" s="1" t="n">
        <v>72033</v>
      </c>
      <c r="B72034">
        <f>TEXT(72033, "[$-0E0000]yyyy-mm-dd")</f>
        <v/>
      </c>
      <c r="C72034" t="inlineStr">
        <is>
          <t>2097-02-07</t>
        </is>
      </c>
    </row>
    <row r="72035">
      <c r="A72035" s="1" t="n">
        <v>72034</v>
      </c>
      <c r="B72035">
        <f>TEXT(72034, "[$-0E0000]yyyy-mm-dd")</f>
        <v/>
      </c>
      <c r="C72035" t="inlineStr">
        <is>
          <t>2097-02-08</t>
        </is>
      </c>
    </row>
    <row r="72036">
      <c r="A72036" s="1" t="n">
        <v>72035</v>
      </c>
      <c r="B72036">
        <f>TEXT(72035, "[$-0E0000]yyyy-mm-dd")</f>
        <v/>
      </c>
      <c r="C72036" t="inlineStr">
        <is>
          <t>2097-02-09</t>
        </is>
      </c>
    </row>
    <row r="72037">
      <c r="A72037" s="1" t="n">
        <v>72036</v>
      </c>
      <c r="B72037">
        <f>TEXT(72036, "[$-0E0000]yyyy-mm-dd")</f>
        <v/>
      </c>
      <c r="C72037" t="inlineStr">
        <is>
          <t>2097-02-10</t>
        </is>
      </c>
    </row>
    <row r="72038">
      <c r="A72038" s="1" t="n">
        <v>72037</v>
      </c>
      <c r="B72038">
        <f>TEXT(72037, "[$-0E0000]yyyy-mm-dd")</f>
        <v/>
      </c>
      <c r="C72038" t="inlineStr">
        <is>
          <t>2097-02-11</t>
        </is>
      </c>
    </row>
    <row r="72039">
      <c r="A72039" s="1" t="n">
        <v>72038</v>
      </c>
      <c r="B72039">
        <f>TEXT(72038, "[$-0E0000]yyyy-mm-dd")</f>
        <v/>
      </c>
      <c r="C72039" t="inlineStr">
        <is>
          <t>2097-02-12</t>
        </is>
      </c>
    </row>
    <row r="72040">
      <c r="A72040" s="1" t="n">
        <v>72039</v>
      </c>
      <c r="B72040">
        <f>TEXT(72039, "[$-0E0000]yyyy-mm-dd")</f>
        <v/>
      </c>
      <c r="C72040" t="inlineStr">
        <is>
          <t>2097-02-13</t>
        </is>
      </c>
    </row>
    <row r="72041">
      <c r="A72041" s="1" t="n">
        <v>72040</v>
      </c>
      <c r="B72041">
        <f>TEXT(72040, "[$-0E0000]yyyy-mm-dd")</f>
        <v/>
      </c>
      <c r="C72041" t="inlineStr">
        <is>
          <t>2097-02-14</t>
        </is>
      </c>
    </row>
    <row r="72042">
      <c r="A72042" s="1" t="n">
        <v>72041</v>
      </c>
      <c r="B72042">
        <f>TEXT(72041, "[$-0E0000]yyyy-mm-dd")</f>
        <v/>
      </c>
      <c r="C72042" t="inlineStr">
        <is>
          <t>2097-02-15</t>
        </is>
      </c>
    </row>
    <row r="72043">
      <c r="A72043" s="1" t="n">
        <v>72042</v>
      </c>
      <c r="B72043">
        <f>TEXT(72042, "[$-0E0000]yyyy-mm-dd")</f>
        <v/>
      </c>
      <c r="C72043" t="inlineStr">
        <is>
          <t>2097-02-16</t>
        </is>
      </c>
    </row>
    <row r="72044">
      <c r="A72044" s="1" t="n">
        <v>72043</v>
      </c>
      <c r="B72044">
        <f>TEXT(72043, "[$-0E0000]yyyy-mm-dd")</f>
        <v/>
      </c>
      <c r="C72044" t="inlineStr">
        <is>
          <t>2097-02-17</t>
        </is>
      </c>
    </row>
    <row r="72045">
      <c r="A72045" s="1" t="n">
        <v>72044</v>
      </c>
      <c r="B72045">
        <f>TEXT(72044, "[$-0E0000]yyyy-mm-dd")</f>
        <v/>
      </c>
      <c r="C72045" t="inlineStr">
        <is>
          <t>2097-02-18</t>
        </is>
      </c>
    </row>
    <row r="72046">
      <c r="A72046" s="1" t="n">
        <v>72045</v>
      </c>
      <c r="B72046">
        <f>TEXT(72045, "[$-0E0000]yyyy-mm-dd")</f>
        <v/>
      </c>
      <c r="C72046" t="inlineStr">
        <is>
          <t>2097-02-19</t>
        </is>
      </c>
    </row>
    <row r="72047">
      <c r="A72047" s="1" t="n">
        <v>72046</v>
      </c>
      <c r="B72047">
        <f>TEXT(72046, "[$-0E0000]yyyy-mm-dd")</f>
        <v/>
      </c>
      <c r="C72047" t="inlineStr">
        <is>
          <t>2097-02-20</t>
        </is>
      </c>
    </row>
    <row r="72048">
      <c r="A72048" s="1" t="n">
        <v>72047</v>
      </c>
      <c r="B72048">
        <f>TEXT(72047, "[$-0E0000]yyyy-mm-dd")</f>
        <v/>
      </c>
      <c r="C72048" t="inlineStr">
        <is>
          <t>2097-02-21</t>
        </is>
      </c>
    </row>
    <row r="72049">
      <c r="A72049" s="1" t="n">
        <v>72048</v>
      </c>
      <c r="B72049">
        <f>TEXT(72048, "[$-0E0000]yyyy-mm-dd")</f>
        <v/>
      </c>
      <c r="C72049" t="inlineStr">
        <is>
          <t>2097-02-22</t>
        </is>
      </c>
    </row>
    <row r="72050">
      <c r="A72050" s="1" t="n">
        <v>72049</v>
      </c>
      <c r="B72050">
        <f>TEXT(72049, "[$-0E0000]yyyy-mm-dd")</f>
        <v/>
      </c>
      <c r="C72050" t="inlineStr">
        <is>
          <t>2097-02-23</t>
        </is>
      </c>
    </row>
    <row r="72051">
      <c r="A72051" s="1" t="n">
        <v>72050</v>
      </c>
      <c r="B72051">
        <f>TEXT(72050, "[$-0E0000]yyyy-mm-dd")</f>
        <v/>
      </c>
      <c r="C72051" t="inlineStr">
        <is>
          <t>2097-02-24</t>
        </is>
      </c>
    </row>
    <row r="72052">
      <c r="A72052" s="1" t="n">
        <v>72051</v>
      </c>
      <c r="B72052">
        <f>TEXT(72051, "[$-0E0000]yyyy-mm-dd")</f>
        <v/>
      </c>
      <c r="C72052" t="inlineStr">
        <is>
          <t>2097-02-25</t>
        </is>
      </c>
    </row>
    <row r="72053">
      <c r="A72053" s="1" t="n">
        <v>72052</v>
      </c>
      <c r="B72053">
        <f>TEXT(72052, "[$-0E0000]yyyy-mm-dd")</f>
        <v/>
      </c>
      <c r="C72053" t="inlineStr">
        <is>
          <t>2097-02-26</t>
        </is>
      </c>
    </row>
    <row r="72054">
      <c r="A72054" s="1" t="n">
        <v>72053</v>
      </c>
      <c r="B72054">
        <f>TEXT(72053, "[$-0E0000]yyyy-mm-dd")</f>
        <v/>
      </c>
      <c r="C72054" t="inlineStr">
        <is>
          <t>2097-02-27</t>
        </is>
      </c>
    </row>
    <row r="72055">
      <c r="A72055" s="1" t="n">
        <v>72054</v>
      </c>
      <c r="B72055">
        <f>TEXT(72054, "[$-0E0000]yyyy-mm-dd")</f>
        <v/>
      </c>
      <c r="C72055" t="inlineStr">
        <is>
          <t>2097-02-28</t>
        </is>
      </c>
    </row>
    <row r="72056">
      <c r="A72056" s="1" t="n">
        <v>72055</v>
      </c>
      <c r="B72056">
        <f>TEXT(72055, "[$-0E0000]yyyy-mm-dd")</f>
        <v/>
      </c>
      <c r="C72056" t="inlineStr">
        <is>
          <t>2097-02-29</t>
        </is>
      </c>
    </row>
    <row r="72057">
      <c r="A72057" s="1" t="n">
        <v>72056</v>
      </c>
      <c r="B72057">
        <f>TEXT(72056, "[$-0E0000]yyyy-mm-dd")</f>
        <v/>
      </c>
      <c r="C72057" t="inlineStr">
        <is>
          <t>2097-03-01</t>
        </is>
      </c>
    </row>
    <row r="72058">
      <c r="A72058" s="1" t="n">
        <v>72057</v>
      </c>
      <c r="B72058">
        <f>TEXT(72057, "[$-0E0000]yyyy-mm-dd")</f>
        <v/>
      </c>
      <c r="C72058" t="inlineStr">
        <is>
          <t>2097-03-02</t>
        </is>
      </c>
    </row>
    <row r="72059">
      <c r="A72059" s="1" t="n">
        <v>72058</v>
      </c>
      <c r="B72059">
        <f>TEXT(72058, "[$-0E0000]yyyy-mm-dd")</f>
        <v/>
      </c>
      <c r="C72059" t="inlineStr">
        <is>
          <t>2097-03-03</t>
        </is>
      </c>
    </row>
    <row r="72060">
      <c r="A72060" s="1" t="n">
        <v>72059</v>
      </c>
      <c r="B72060">
        <f>TEXT(72059, "[$-0E0000]yyyy-mm-dd")</f>
        <v/>
      </c>
      <c r="C72060" t="inlineStr">
        <is>
          <t>2097-03-04</t>
        </is>
      </c>
    </row>
    <row r="72061">
      <c r="A72061" s="1" t="n">
        <v>72060</v>
      </c>
      <c r="B72061">
        <f>TEXT(72060, "[$-0E0000]yyyy-mm-dd")</f>
        <v/>
      </c>
      <c r="C72061" t="inlineStr">
        <is>
          <t>2097-03-05</t>
        </is>
      </c>
    </row>
    <row r="72062">
      <c r="A72062" s="1" t="n">
        <v>72061</v>
      </c>
      <c r="B72062">
        <f>TEXT(72061, "[$-0E0000]yyyy-mm-dd")</f>
        <v/>
      </c>
      <c r="C72062" t="inlineStr">
        <is>
          <t>2097-03-06</t>
        </is>
      </c>
    </row>
    <row r="72063">
      <c r="A72063" s="1" t="n">
        <v>72062</v>
      </c>
      <c r="B72063">
        <f>TEXT(72062, "[$-0E0000]yyyy-mm-dd")</f>
        <v/>
      </c>
      <c r="C72063" t="inlineStr">
        <is>
          <t>2097-03-07</t>
        </is>
      </c>
    </row>
    <row r="72064">
      <c r="A72064" s="1" t="n">
        <v>72063</v>
      </c>
      <c r="B72064">
        <f>TEXT(72063, "[$-0E0000]yyyy-mm-dd")</f>
        <v/>
      </c>
      <c r="C72064" t="inlineStr">
        <is>
          <t>2097-03-08</t>
        </is>
      </c>
    </row>
    <row r="72065">
      <c r="A72065" s="1" t="n">
        <v>72064</v>
      </c>
      <c r="B72065">
        <f>TEXT(72064, "[$-0E0000]yyyy-mm-dd")</f>
        <v/>
      </c>
      <c r="C72065" t="inlineStr">
        <is>
          <t>2097-03-09</t>
        </is>
      </c>
    </row>
    <row r="72066">
      <c r="A72066" s="1" t="n">
        <v>72065</v>
      </c>
      <c r="B72066">
        <f>TEXT(72065, "[$-0E0000]yyyy-mm-dd")</f>
        <v/>
      </c>
      <c r="C72066" t="inlineStr">
        <is>
          <t>2097-03-10</t>
        </is>
      </c>
    </row>
    <row r="72067">
      <c r="A72067" s="1" t="n">
        <v>72066</v>
      </c>
      <c r="B72067">
        <f>TEXT(72066, "[$-0E0000]yyyy-mm-dd")</f>
        <v/>
      </c>
      <c r="C72067" t="inlineStr">
        <is>
          <t>2097-03-11</t>
        </is>
      </c>
    </row>
    <row r="72068">
      <c r="A72068" s="1" t="n">
        <v>72067</v>
      </c>
      <c r="B72068">
        <f>TEXT(72067, "[$-0E0000]yyyy-mm-dd")</f>
        <v/>
      </c>
      <c r="C72068" t="inlineStr">
        <is>
          <t>2097-03-12</t>
        </is>
      </c>
    </row>
    <row r="72069">
      <c r="A72069" s="1" t="n">
        <v>72068</v>
      </c>
      <c r="B72069">
        <f>TEXT(72068, "[$-0E0000]yyyy-mm-dd")</f>
        <v/>
      </c>
      <c r="C72069" t="inlineStr">
        <is>
          <t>2097-03-13</t>
        </is>
      </c>
    </row>
    <row r="72070">
      <c r="A72070" s="1" t="n">
        <v>72069</v>
      </c>
      <c r="B72070">
        <f>TEXT(72069, "[$-0E0000]yyyy-mm-dd")</f>
        <v/>
      </c>
      <c r="C72070" t="inlineStr">
        <is>
          <t>2097-03-14</t>
        </is>
      </c>
    </row>
    <row r="72071">
      <c r="A72071" s="1" t="n">
        <v>72070</v>
      </c>
      <c r="B72071">
        <f>TEXT(72070, "[$-0E0000]yyyy-mm-dd")</f>
        <v/>
      </c>
      <c r="C72071" t="inlineStr">
        <is>
          <t>2097-03-15</t>
        </is>
      </c>
    </row>
    <row r="72072">
      <c r="A72072" s="1" t="n">
        <v>72071</v>
      </c>
      <c r="B72072">
        <f>TEXT(72071, "[$-0E0000]yyyy-mm-dd")</f>
        <v/>
      </c>
      <c r="C72072" t="inlineStr">
        <is>
          <t>2097-03-16</t>
        </is>
      </c>
    </row>
    <row r="72073">
      <c r="A72073" s="1" t="n">
        <v>72072</v>
      </c>
      <c r="B72073">
        <f>TEXT(72072, "[$-0E0000]yyyy-mm-dd")</f>
        <v/>
      </c>
      <c r="C72073" t="inlineStr">
        <is>
          <t>2097-03-17</t>
        </is>
      </c>
    </row>
    <row r="72074">
      <c r="A72074" s="1" t="n">
        <v>72073</v>
      </c>
      <c r="B72074">
        <f>TEXT(72073, "[$-0E0000]yyyy-mm-dd")</f>
        <v/>
      </c>
      <c r="C72074" t="inlineStr">
        <is>
          <t>2097-03-18</t>
        </is>
      </c>
    </row>
    <row r="72075">
      <c r="A72075" s="1" t="n">
        <v>72074</v>
      </c>
      <c r="B72075">
        <f>TEXT(72074, "[$-0E0000]yyyy-mm-dd")</f>
        <v/>
      </c>
      <c r="C72075" t="inlineStr">
        <is>
          <t>2097-03-19</t>
        </is>
      </c>
    </row>
    <row r="72076">
      <c r="A72076" s="1" t="n">
        <v>72075</v>
      </c>
      <c r="B72076">
        <f>TEXT(72075, "[$-0E0000]yyyy-mm-dd")</f>
        <v/>
      </c>
      <c r="C72076" t="inlineStr">
        <is>
          <t>2097-03-20</t>
        </is>
      </c>
    </row>
    <row r="72077">
      <c r="A72077" s="1" t="n">
        <v>72076</v>
      </c>
      <c r="B72077">
        <f>TEXT(72076, "[$-0E0000]yyyy-mm-dd")</f>
        <v/>
      </c>
      <c r="C72077" t="inlineStr">
        <is>
          <t>2097-03-21</t>
        </is>
      </c>
    </row>
    <row r="72078">
      <c r="A72078" s="1" t="n">
        <v>72077</v>
      </c>
      <c r="B72078">
        <f>TEXT(72077, "[$-0E0000]yyyy-mm-dd")</f>
        <v/>
      </c>
      <c r="C72078" t="inlineStr">
        <is>
          <t>2097-03-22</t>
        </is>
      </c>
    </row>
    <row r="72079">
      <c r="A72079" s="1" t="n">
        <v>72078</v>
      </c>
      <c r="B72079">
        <f>TEXT(72078, "[$-0E0000]yyyy-mm-dd")</f>
        <v/>
      </c>
      <c r="C72079" t="inlineStr">
        <is>
          <t>2097-03-23</t>
        </is>
      </c>
    </row>
    <row r="72080">
      <c r="A72080" s="1" t="n">
        <v>72079</v>
      </c>
      <c r="B72080">
        <f>TEXT(72079, "[$-0E0000]yyyy-mm-dd")</f>
        <v/>
      </c>
      <c r="C72080" t="inlineStr">
        <is>
          <t>2097-03-24</t>
        </is>
      </c>
    </row>
    <row r="72081">
      <c r="A72081" s="1" t="n">
        <v>72080</v>
      </c>
      <c r="B72081">
        <f>TEXT(72080, "[$-0E0000]yyyy-mm-dd")</f>
        <v/>
      </c>
      <c r="C72081" t="inlineStr">
        <is>
          <t>2097-03-25</t>
        </is>
      </c>
    </row>
    <row r="72082">
      <c r="A72082" s="1" t="n">
        <v>72081</v>
      </c>
      <c r="B72082">
        <f>TEXT(72081, "[$-0E0000]yyyy-mm-dd")</f>
        <v/>
      </c>
      <c r="C72082" t="inlineStr">
        <is>
          <t>2097-03-26</t>
        </is>
      </c>
    </row>
    <row r="72083">
      <c r="A72083" s="1" t="n">
        <v>72082</v>
      </c>
      <c r="B72083">
        <f>TEXT(72082, "[$-0E0000]yyyy-mm-dd")</f>
        <v/>
      </c>
      <c r="C72083" t="inlineStr">
        <is>
          <t>2097-03-27</t>
        </is>
      </c>
    </row>
    <row r="72084">
      <c r="A72084" s="1" t="n">
        <v>72083</v>
      </c>
      <c r="B72084">
        <f>TEXT(72083, "[$-0E0000]yyyy-mm-dd")</f>
        <v/>
      </c>
      <c r="C72084" t="inlineStr">
        <is>
          <t>2097-03-28</t>
        </is>
      </c>
    </row>
    <row r="72085">
      <c r="A72085" s="1" t="n">
        <v>72084</v>
      </c>
      <c r="B72085">
        <f>TEXT(72084, "[$-0E0000]yyyy-mm-dd")</f>
        <v/>
      </c>
      <c r="C72085" t="inlineStr">
        <is>
          <t>2097-03-29</t>
        </is>
      </c>
    </row>
    <row r="72086">
      <c r="A72086" s="1" t="n">
        <v>72085</v>
      </c>
      <c r="B72086">
        <f>TEXT(72085, "[$-0E0000]yyyy-mm-dd")</f>
        <v/>
      </c>
      <c r="C72086" t="inlineStr">
        <is>
          <t>2097-03-30</t>
        </is>
      </c>
    </row>
    <row r="72087">
      <c r="A72087" s="1" t="n">
        <v>72086</v>
      </c>
      <c r="B72087">
        <f>TEXT(72086, "[$-0E0000]yyyy-mm-dd")</f>
        <v/>
      </c>
      <c r="C72087" t="inlineStr">
        <is>
          <t>2097-04-01</t>
        </is>
      </c>
    </row>
    <row r="72088">
      <c r="A72088" s="1" t="n">
        <v>72087</v>
      </c>
      <c r="B72088">
        <f>TEXT(72087, "[$-0E0000]yyyy-mm-dd")</f>
        <v/>
      </c>
      <c r="C72088" t="inlineStr">
        <is>
          <t>2097-04-02</t>
        </is>
      </c>
    </row>
    <row r="72089">
      <c r="A72089" s="1" t="n">
        <v>72088</v>
      </c>
      <c r="B72089">
        <f>TEXT(72088, "[$-0E0000]yyyy-mm-dd")</f>
        <v/>
      </c>
      <c r="C72089" t="inlineStr">
        <is>
          <t>2097-04-03</t>
        </is>
      </c>
    </row>
    <row r="72090">
      <c r="A72090" s="1" t="n">
        <v>72089</v>
      </c>
      <c r="B72090">
        <f>TEXT(72089, "[$-0E0000]yyyy-mm-dd")</f>
        <v/>
      </c>
      <c r="C72090" t="inlineStr">
        <is>
          <t>2097-04-04</t>
        </is>
      </c>
    </row>
    <row r="72091">
      <c r="A72091" s="1" t="n">
        <v>72090</v>
      </c>
      <c r="B72091">
        <f>TEXT(72090, "[$-0E0000]yyyy-mm-dd")</f>
        <v/>
      </c>
      <c r="C72091" t="inlineStr">
        <is>
          <t>2097-04-05</t>
        </is>
      </c>
    </row>
    <row r="72092">
      <c r="A72092" s="1" t="n">
        <v>72091</v>
      </c>
      <c r="B72092">
        <f>TEXT(72091, "[$-0E0000]yyyy-mm-dd")</f>
        <v/>
      </c>
      <c r="C72092" t="inlineStr">
        <is>
          <t>2097-04-06</t>
        </is>
      </c>
    </row>
    <row r="72093">
      <c r="A72093" s="1" t="n">
        <v>72092</v>
      </c>
      <c r="B72093">
        <f>TEXT(72092, "[$-0E0000]yyyy-mm-dd")</f>
        <v/>
      </c>
      <c r="C72093" t="inlineStr">
        <is>
          <t>2097-04-07</t>
        </is>
      </c>
    </row>
    <row r="72094">
      <c r="A72094" s="1" t="n">
        <v>72093</v>
      </c>
      <c r="B72094">
        <f>TEXT(72093, "[$-0E0000]yyyy-mm-dd")</f>
        <v/>
      </c>
      <c r="C72094" t="inlineStr">
        <is>
          <t>2097-04-08</t>
        </is>
      </c>
    </row>
    <row r="72095">
      <c r="A72095" s="1" t="n">
        <v>72094</v>
      </c>
      <c r="B72095">
        <f>TEXT(72094, "[$-0E0000]yyyy-mm-dd")</f>
        <v/>
      </c>
      <c r="C72095" t="inlineStr">
        <is>
          <t>2097-04-09</t>
        </is>
      </c>
    </row>
    <row r="72096">
      <c r="A72096" s="1" t="n">
        <v>72095</v>
      </c>
      <c r="B72096">
        <f>TEXT(72095, "[$-0E0000]yyyy-mm-dd")</f>
        <v/>
      </c>
      <c r="C72096" t="inlineStr">
        <is>
          <t>2097-04-10</t>
        </is>
      </c>
    </row>
    <row r="72097">
      <c r="A72097" s="1" t="n">
        <v>72096</v>
      </c>
      <c r="B72097">
        <f>TEXT(72096, "[$-0E0000]yyyy-mm-dd")</f>
        <v/>
      </c>
      <c r="C72097" t="inlineStr">
        <is>
          <t>2097-04-11</t>
        </is>
      </c>
    </row>
    <row r="72098">
      <c r="A72098" s="1" t="n">
        <v>72097</v>
      </c>
      <c r="B72098">
        <f>TEXT(72097, "[$-0E0000]yyyy-mm-dd")</f>
        <v/>
      </c>
      <c r="C72098" t="inlineStr">
        <is>
          <t>2097-04-12</t>
        </is>
      </c>
    </row>
    <row r="72099">
      <c r="A72099" s="1" t="n">
        <v>72098</v>
      </c>
      <c r="B72099">
        <f>TEXT(72098, "[$-0E0000]yyyy-mm-dd")</f>
        <v/>
      </c>
      <c r="C72099" t="inlineStr">
        <is>
          <t>2097-04-13</t>
        </is>
      </c>
    </row>
    <row r="72100">
      <c r="A72100" s="1" t="n">
        <v>72099</v>
      </c>
      <c r="B72100">
        <f>TEXT(72099, "[$-0E0000]yyyy-mm-dd")</f>
        <v/>
      </c>
      <c r="C72100" t="inlineStr">
        <is>
          <t>2097-04-14</t>
        </is>
      </c>
    </row>
    <row r="72101">
      <c r="A72101" s="1" t="n">
        <v>72100</v>
      </c>
      <c r="B72101">
        <f>TEXT(72100, "[$-0E0000]yyyy-mm-dd")</f>
        <v/>
      </c>
      <c r="C72101" t="inlineStr">
        <is>
          <t>2097-04-15</t>
        </is>
      </c>
    </row>
    <row r="72102">
      <c r="A72102" s="1" t="n">
        <v>72101</v>
      </c>
      <c r="B72102">
        <f>TEXT(72101, "[$-0E0000]yyyy-mm-dd")</f>
        <v/>
      </c>
      <c r="C72102" t="inlineStr">
        <is>
          <t>2097-04-16</t>
        </is>
      </c>
    </row>
    <row r="72103">
      <c r="A72103" s="1" t="n">
        <v>72102</v>
      </c>
      <c r="B72103">
        <f>TEXT(72102, "[$-0E0000]yyyy-mm-dd")</f>
        <v/>
      </c>
      <c r="C72103" t="inlineStr">
        <is>
          <t>2097-04-17</t>
        </is>
      </c>
    </row>
    <row r="72104">
      <c r="A72104" s="1" t="n">
        <v>72103</v>
      </c>
      <c r="B72104">
        <f>TEXT(72103, "[$-0E0000]yyyy-mm-dd")</f>
        <v/>
      </c>
      <c r="C72104" t="inlineStr">
        <is>
          <t>2097-04-18</t>
        </is>
      </c>
    </row>
    <row r="72105">
      <c r="A72105" s="1" t="n">
        <v>72104</v>
      </c>
      <c r="B72105">
        <f>TEXT(72104, "[$-0E0000]yyyy-mm-dd")</f>
        <v/>
      </c>
      <c r="C72105" t="inlineStr">
        <is>
          <t>2097-04-19</t>
        </is>
      </c>
    </row>
    <row r="72106">
      <c r="A72106" s="1" t="n">
        <v>72105</v>
      </c>
      <c r="B72106">
        <f>TEXT(72105, "[$-0E0000]yyyy-mm-dd")</f>
        <v/>
      </c>
      <c r="C72106" t="inlineStr">
        <is>
          <t>2097-04-20</t>
        </is>
      </c>
    </row>
    <row r="72107">
      <c r="A72107" s="1" t="n">
        <v>72106</v>
      </c>
      <c r="B72107">
        <f>TEXT(72106, "[$-0E0000]yyyy-mm-dd")</f>
        <v/>
      </c>
      <c r="C72107" t="inlineStr">
        <is>
          <t>2097-04-21</t>
        </is>
      </c>
    </row>
    <row r="72108">
      <c r="A72108" s="1" t="n">
        <v>72107</v>
      </c>
      <c r="B72108">
        <f>TEXT(72107, "[$-0E0000]yyyy-mm-dd")</f>
        <v/>
      </c>
      <c r="C72108" t="inlineStr">
        <is>
          <t>2097-04-22</t>
        </is>
      </c>
    </row>
    <row r="72109">
      <c r="A72109" s="1" t="n">
        <v>72108</v>
      </c>
      <c r="B72109">
        <f>TEXT(72108, "[$-0E0000]yyyy-mm-dd")</f>
        <v/>
      </c>
      <c r="C72109" t="inlineStr">
        <is>
          <t>2097-04-23</t>
        </is>
      </c>
    </row>
    <row r="72110">
      <c r="A72110" s="1" t="n">
        <v>72109</v>
      </c>
      <c r="B72110">
        <f>TEXT(72109, "[$-0E0000]yyyy-mm-dd")</f>
        <v/>
      </c>
      <c r="C72110" t="inlineStr">
        <is>
          <t>2097-04-24</t>
        </is>
      </c>
    </row>
    <row r="72111">
      <c r="A72111" s="1" t="n">
        <v>72110</v>
      </c>
      <c r="B72111">
        <f>TEXT(72110, "[$-0E0000]yyyy-mm-dd")</f>
        <v/>
      </c>
      <c r="C72111" t="inlineStr">
        <is>
          <t>2097-04-25</t>
        </is>
      </c>
    </row>
    <row r="72112">
      <c r="A72112" s="1" t="n">
        <v>72111</v>
      </c>
      <c r="B72112">
        <f>TEXT(72111, "[$-0E0000]yyyy-mm-dd")</f>
        <v/>
      </c>
      <c r="C72112" t="inlineStr">
        <is>
          <t>2097-04-26</t>
        </is>
      </c>
    </row>
    <row r="72113">
      <c r="A72113" s="1" t="n">
        <v>72112</v>
      </c>
      <c r="B72113">
        <f>TEXT(72112, "[$-0E0000]yyyy-mm-dd")</f>
        <v/>
      </c>
      <c r="C72113" t="inlineStr">
        <is>
          <t>2097-04-27</t>
        </is>
      </c>
    </row>
    <row r="72114">
      <c r="A72114" s="1" t="n">
        <v>72113</v>
      </c>
      <c r="B72114">
        <f>TEXT(72113, "[$-0E0000]yyyy-mm-dd")</f>
        <v/>
      </c>
      <c r="C72114" t="inlineStr">
        <is>
          <t>2097-04-28</t>
        </is>
      </c>
    </row>
    <row r="72115">
      <c r="A72115" s="1" t="n">
        <v>72114</v>
      </c>
      <c r="B72115">
        <f>TEXT(72114, "[$-0E0000]yyyy-mm-dd")</f>
        <v/>
      </c>
      <c r="C72115" t="inlineStr">
        <is>
          <t>2097-04-29</t>
        </is>
      </c>
    </row>
    <row r="72116">
      <c r="A72116" s="1" t="n">
        <v>72115</v>
      </c>
      <c r="B72116">
        <f>TEXT(72115, "[$-0E0000]yyyy-mm-dd")</f>
        <v/>
      </c>
      <c r="C72116" t="inlineStr">
        <is>
          <t>2097-05-01</t>
        </is>
      </c>
    </row>
    <row r="72117">
      <c r="A72117" s="1" t="n">
        <v>72116</v>
      </c>
      <c r="B72117">
        <f>TEXT(72116, "[$-0E0000]yyyy-mm-dd")</f>
        <v/>
      </c>
      <c r="C72117" t="inlineStr">
        <is>
          <t>2097-05-02</t>
        </is>
      </c>
    </row>
    <row r="72118">
      <c r="A72118" s="1" t="n">
        <v>72117</v>
      </c>
      <c r="B72118">
        <f>TEXT(72117, "[$-0E0000]yyyy-mm-dd")</f>
        <v/>
      </c>
      <c r="C72118" t="inlineStr">
        <is>
          <t>2097-05-03</t>
        </is>
      </c>
    </row>
    <row r="72119">
      <c r="A72119" s="1" t="n">
        <v>72118</v>
      </c>
      <c r="B72119">
        <f>TEXT(72118, "[$-0E0000]yyyy-mm-dd")</f>
        <v/>
      </c>
      <c r="C72119" t="inlineStr">
        <is>
          <t>2097-05-04</t>
        </is>
      </c>
    </row>
    <row r="72120">
      <c r="A72120" s="1" t="n">
        <v>72119</v>
      </c>
      <c r="B72120">
        <f>TEXT(72119, "[$-0E0000]yyyy-mm-dd")</f>
        <v/>
      </c>
      <c r="C72120" t="inlineStr">
        <is>
          <t>2097-05-05</t>
        </is>
      </c>
    </row>
    <row r="72121">
      <c r="A72121" s="1" t="n">
        <v>72120</v>
      </c>
      <c r="B72121">
        <f>TEXT(72120, "[$-0E0000]yyyy-mm-dd")</f>
        <v/>
      </c>
      <c r="C72121" t="inlineStr">
        <is>
          <t>2097-05-06</t>
        </is>
      </c>
    </row>
    <row r="72122">
      <c r="A72122" s="1" t="n">
        <v>72121</v>
      </c>
      <c r="B72122">
        <f>TEXT(72121, "[$-0E0000]yyyy-mm-dd")</f>
        <v/>
      </c>
      <c r="C72122" t="inlineStr">
        <is>
          <t>2097-05-07</t>
        </is>
      </c>
    </row>
    <row r="72123">
      <c r="A72123" s="1" t="n">
        <v>72122</v>
      </c>
      <c r="B72123">
        <f>TEXT(72122, "[$-0E0000]yyyy-mm-dd")</f>
        <v/>
      </c>
      <c r="C72123" t="inlineStr">
        <is>
          <t>2097-05-08</t>
        </is>
      </c>
    </row>
    <row r="72124">
      <c r="A72124" s="1" t="n">
        <v>72123</v>
      </c>
      <c r="B72124">
        <f>TEXT(72123, "[$-0E0000]yyyy-mm-dd")</f>
        <v/>
      </c>
      <c r="C72124" t="inlineStr">
        <is>
          <t>2097-05-09</t>
        </is>
      </c>
    </row>
    <row r="72125">
      <c r="A72125" s="1" t="n">
        <v>72124</v>
      </c>
      <c r="B72125">
        <f>TEXT(72124, "[$-0E0000]yyyy-mm-dd")</f>
        <v/>
      </c>
      <c r="C72125" t="inlineStr">
        <is>
          <t>2097-05-10</t>
        </is>
      </c>
    </row>
    <row r="72126">
      <c r="A72126" s="1" t="n">
        <v>72125</v>
      </c>
      <c r="B72126">
        <f>TEXT(72125, "[$-0E0000]yyyy-mm-dd")</f>
        <v/>
      </c>
      <c r="C72126" t="inlineStr">
        <is>
          <t>2097-05-11</t>
        </is>
      </c>
    </row>
    <row r="72127">
      <c r="A72127" s="1" t="n">
        <v>72126</v>
      </c>
      <c r="B72127">
        <f>TEXT(72126, "[$-0E0000]yyyy-mm-dd")</f>
        <v/>
      </c>
      <c r="C72127" t="inlineStr">
        <is>
          <t>2097-05-12</t>
        </is>
      </c>
    </row>
    <row r="72128">
      <c r="A72128" s="1" t="n">
        <v>72127</v>
      </c>
      <c r="B72128">
        <f>TEXT(72127, "[$-0E0000]yyyy-mm-dd")</f>
        <v/>
      </c>
      <c r="C72128" t="inlineStr">
        <is>
          <t>2097-05-13</t>
        </is>
      </c>
    </row>
    <row r="72129">
      <c r="A72129" s="1" t="n">
        <v>72128</v>
      </c>
      <c r="B72129">
        <f>TEXT(72128, "[$-0E0000]yyyy-mm-dd")</f>
        <v/>
      </c>
      <c r="C72129" t="inlineStr">
        <is>
          <t>2097-05-14</t>
        </is>
      </c>
    </row>
    <row r="72130">
      <c r="A72130" s="1" t="n">
        <v>72129</v>
      </c>
      <c r="B72130">
        <f>TEXT(72129, "[$-0E0000]yyyy-mm-dd")</f>
        <v/>
      </c>
      <c r="C72130" t="inlineStr">
        <is>
          <t>2097-05-15</t>
        </is>
      </c>
    </row>
    <row r="72131">
      <c r="A72131" s="1" t="n">
        <v>72130</v>
      </c>
      <c r="B72131">
        <f>TEXT(72130, "[$-0E0000]yyyy-mm-dd")</f>
        <v/>
      </c>
      <c r="C72131" t="inlineStr">
        <is>
          <t>2097-05-16</t>
        </is>
      </c>
    </row>
    <row r="72132">
      <c r="A72132" s="1" t="n">
        <v>72131</v>
      </c>
      <c r="B72132">
        <f>TEXT(72131, "[$-0E0000]yyyy-mm-dd")</f>
        <v/>
      </c>
      <c r="C72132" t="inlineStr">
        <is>
          <t>2097-05-17</t>
        </is>
      </c>
    </row>
    <row r="72133">
      <c r="A72133" s="1" t="n">
        <v>72132</v>
      </c>
      <c r="B72133">
        <f>TEXT(72132, "[$-0E0000]yyyy-mm-dd")</f>
        <v/>
      </c>
      <c r="C72133" t="inlineStr">
        <is>
          <t>2097-05-18</t>
        </is>
      </c>
    </row>
    <row r="72134">
      <c r="A72134" s="1" t="n">
        <v>72133</v>
      </c>
      <c r="B72134">
        <f>TEXT(72133, "[$-0E0000]yyyy-mm-dd")</f>
        <v/>
      </c>
      <c r="C72134" t="inlineStr">
        <is>
          <t>2097-05-19</t>
        </is>
      </c>
    </row>
    <row r="72135">
      <c r="A72135" s="1" t="n">
        <v>72134</v>
      </c>
      <c r="B72135">
        <f>TEXT(72134, "[$-0E0000]yyyy-mm-dd")</f>
        <v/>
      </c>
      <c r="C72135" t="inlineStr">
        <is>
          <t>2097-05-20</t>
        </is>
      </c>
    </row>
    <row r="72136">
      <c r="A72136" s="1" t="n">
        <v>72135</v>
      </c>
      <c r="B72136">
        <f>TEXT(72135, "[$-0E0000]yyyy-mm-dd")</f>
        <v/>
      </c>
      <c r="C72136" t="inlineStr">
        <is>
          <t>2097-05-21</t>
        </is>
      </c>
    </row>
    <row r="72137">
      <c r="A72137" s="1" t="n">
        <v>72136</v>
      </c>
      <c r="B72137">
        <f>TEXT(72136, "[$-0E0000]yyyy-mm-dd")</f>
        <v/>
      </c>
      <c r="C72137" t="inlineStr">
        <is>
          <t>2097-05-22</t>
        </is>
      </c>
    </row>
    <row r="72138">
      <c r="A72138" s="1" t="n">
        <v>72137</v>
      </c>
      <c r="B72138">
        <f>TEXT(72137, "[$-0E0000]yyyy-mm-dd")</f>
        <v/>
      </c>
      <c r="C72138" t="inlineStr">
        <is>
          <t>2097-05-23</t>
        </is>
      </c>
    </row>
    <row r="72139">
      <c r="A72139" s="1" t="n">
        <v>72138</v>
      </c>
      <c r="B72139">
        <f>TEXT(72138, "[$-0E0000]yyyy-mm-dd")</f>
        <v/>
      </c>
      <c r="C72139" t="inlineStr">
        <is>
          <t>2097-05-24</t>
        </is>
      </c>
    </row>
    <row r="72140">
      <c r="A72140" s="1" t="n">
        <v>72139</v>
      </c>
      <c r="B72140">
        <f>TEXT(72139, "[$-0E0000]yyyy-mm-dd")</f>
        <v/>
      </c>
      <c r="C72140" t="inlineStr">
        <is>
          <t>2097-05-25</t>
        </is>
      </c>
    </row>
    <row r="72141">
      <c r="A72141" s="1" t="n">
        <v>72140</v>
      </c>
      <c r="B72141">
        <f>TEXT(72140, "[$-0E0000]yyyy-mm-dd")</f>
        <v/>
      </c>
      <c r="C72141" t="inlineStr">
        <is>
          <t>2097-05-26</t>
        </is>
      </c>
    </row>
    <row r="72142">
      <c r="A72142" s="1" t="n">
        <v>72141</v>
      </c>
      <c r="B72142">
        <f>TEXT(72141, "[$-0E0000]yyyy-mm-dd")</f>
        <v/>
      </c>
      <c r="C72142" t="inlineStr">
        <is>
          <t>2097-05-27</t>
        </is>
      </c>
    </row>
    <row r="72143">
      <c r="A72143" s="1" t="n">
        <v>72142</v>
      </c>
      <c r="B72143">
        <f>TEXT(72142, "[$-0E0000]yyyy-mm-dd")</f>
        <v/>
      </c>
      <c r="C72143" t="inlineStr">
        <is>
          <t>2097-05-28</t>
        </is>
      </c>
    </row>
    <row r="72144">
      <c r="A72144" s="1" t="n">
        <v>72143</v>
      </c>
      <c r="B72144">
        <f>TEXT(72143, "[$-0E0000]yyyy-mm-dd")</f>
        <v/>
      </c>
      <c r="C72144" t="inlineStr">
        <is>
          <t>2097-05-29</t>
        </is>
      </c>
    </row>
    <row r="72145">
      <c r="A72145" s="1" t="n">
        <v>72144</v>
      </c>
      <c r="B72145">
        <f>TEXT(72144, "[$-0E0000]yyyy-mm-dd")</f>
        <v/>
      </c>
      <c r="C72145" t="inlineStr">
        <is>
          <t>2097-06-01</t>
        </is>
      </c>
    </row>
    <row r="72146">
      <c r="A72146" s="1" t="n">
        <v>72145</v>
      </c>
      <c r="B72146">
        <f>TEXT(72145, "[$-0E0000]yyyy-mm-dd")</f>
        <v/>
      </c>
      <c r="C72146" t="inlineStr">
        <is>
          <t>2097-06-02</t>
        </is>
      </c>
    </row>
    <row r="72147">
      <c r="A72147" s="1" t="n">
        <v>72146</v>
      </c>
      <c r="B72147">
        <f>TEXT(72146, "[$-0E0000]yyyy-mm-dd")</f>
        <v/>
      </c>
      <c r="C72147" t="inlineStr">
        <is>
          <t>2097-06-03</t>
        </is>
      </c>
    </row>
    <row r="72148">
      <c r="A72148" s="1" t="n">
        <v>72147</v>
      </c>
      <c r="B72148">
        <f>TEXT(72147, "[$-0E0000]yyyy-mm-dd")</f>
        <v/>
      </c>
      <c r="C72148" t="inlineStr">
        <is>
          <t>2097-06-04</t>
        </is>
      </c>
    </row>
    <row r="72149">
      <c r="A72149" s="1" t="n">
        <v>72148</v>
      </c>
      <c r="B72149">
        <f>TEXT(72148, "[$-0E0000]yyyy-mm-dd")</f>
        <v/>
      </c>
      <c r="C72149" t="inlineStr">
        <is>
          <t>2097-06-05</t>
        </is>
      </c>
    </row>
    <row r="72150">
      <c r="A72150" s="1" t="n">
        <v>72149</v>
      </c>
      <c r="B72150">
        <f>TEXT(72149, "[$-0E0000]yyyy-mm-dd")</f>
        <v/>
      </c>
      <c r="C72150" t="inlineStr">
        <is>
          <t>2097-06-06</t>
        </is>
      </c>
    </row>
    <row r="72151">
      <c r="A72151" s="1" t="n">
        <v>72150</v>
      </c>
      <c r="B72151">
        <f>TEXT(72150, "[$-0E0000]yyyy-mm-dd")</f>
        <v/>
      </c>
      <c r="C72151" t="inlineStr">
        <is>
          <t>2097-06-07</t>
        </is>
      </c>
    </row>
    <row r="72152">
      <c r="A72152" s="1" t="n">
        <v>72151</v>
      </c>
      <c r="B72152">
        <f>TEXT(72151, "[$-0E0000]yyyy-mm-dd")</f>
        <v/>
      </c>
      <c r="C72152" t="inlineStr">
        <is>
          <t>2097-06-08</t>
        </is>
      </c>
    </row>
    <row r="72153">
      <c r="A72153" s="1" t="n">
        <v>72152</v>
      </c>
      <c r="B72153">
        <f>TEXT(72152, "[$-0E0000]yyyy-mm-dd")</f>
        <v/>
      </c>
      <c r="C72153" t="inlineStr">
        <is>
          <t>2097-06-09</t>
        </is>
      </c>
    </row>
    <row r="72154">
      <c r="A72154" s="1" t="n">
        <v>72153</v>
      </c>
      <c r="B72154">
        <f>TEXT(72153, "[$-0E0000]yyyy-mm-dd")</f>
        <v/>
      </c>
      <c r="C72154" t="inlineStr">
        <is>
          <t>2097-06-10</t>
        </is>
      </c>
    </row>
    <row r="72155">
      <c r="A72155" s="1" t="n">
        <v>72154</v>
      </c>
      <c r="B72155">
        <f>TEXT(72154, "[$-0E0000]yyyy-mm-dd")</f>
        <v/>
      </c>
      <c r="C72155" t="inlineStr">
        <is>
          <t>2097-06-11</t>
        </is>
      </c>
    </row>
    <row r="72156">
      <c r="A72156" s="1" t="n">
        <v>72155</v>
      </c>
      <c r="B72156">
        <f>TEXT(72155, "[$-0E0000]yyyy-mm-dd")</f>
        <v/>
      </c>
      <c r="C72156" t="inlineStr">
        <is>
          <t>2097-06-12</t>
        </is>
      </c>
    </row>
    <row r="72157">
      <c r="A72157" s="1" t="n">
        <v>72156</v>
      </c>
      <c r="B72157">
        <f>TEXT(72156, "[$-0E0000]yyyy-mm-dd")</f>
        <v/>
      </c>
      <c r="C72157" t="inlineStr">
        <is>
          <t>2097-06-13</t>
        </is>
      </c>
    </row>
    <row r="72158">
      <c r="A72158" s="1" t="n">
        <v>72157</v>
      </c>
      <c r="B72158">
        <f>TEXT(72157, "[$-0E0000]yyyy-mm-dd")</f>
        <v/>
      </c>
      <c r="C72158" t="inlineStr">
        <is>
          <t>2097-06-14</t>
        </is>
      </c>
    </row>
    <row r="72159">
      <c r="A72159" s="1" t="n">
        <v>72158</v>
      </c>
      <c r="B72159">
        <f>TEXT(72158, "[$-0E0000]yyyy-mm-dd")</f>
        <v/>
      </c>
      <c r="C72159" t="inlineStr">
        <is>
          <t>2097-06-15</t>
        </is>
      </c>
    </row>
    <row r="72160">
      <c r="A72160" s="1" t="n">
        <v>72159</v>
      </c>
      <c r="B72160">
        <f>TEXT(72159, "[$-0E0000]yyyy-mm-dd")</f>
        <v/>
      </c>
      <c r="C72160" t="inlineStr">
        <is>
          <t>2097-06-16</t>
        </is>
      </c>
    </row>
    <row r="72161">
      <c r="A72161" s="1" t="n">
        <v>72160</v>
      </c>
      <c r="B72161">
        <f>TEXT(72160, "[$-0E0000]yyyy-mm-dd")</f>
        <v/>
      </c>
      <c r="C72161" t="inlineStr">
        <is>
          <t>2097-06-17</t>
        </is>
      </c>
    </row>
    <row r="72162">
      <c r="A72162" s="1" t="n">
        <v>72161</v>
      </c>
      <c r="B72162">
        <f>TEXT(72161, "[$-0E0000]yyyy-mm-dd")</f>
        <v/>
      </c>
      <c r="C72162" t="inlineStr">
        <is>
          <t>2097-06-18</t>
        </is>
      </c>
    </row>
    <row r="72163">
      <c r="A72163" s="1" t="n">
        <v>72162</v>
      </c>
      <c r="B72163">
        <f>TEXT(72162, "[$-0E0000]yyyy-mm-dd")</f>
        <v/>
      </c>
      <c r="C72163" t="inlineStr">
        <is>
          <t>2097-06-19</t>
        </is>
      </c>
    </row>
    <row r="72164">
      <c r="A72164" s="1" t="n">
        <v>72163</v>
      </c>
      <c r="B72164">
        <f>TEXT(72163, "[$-0E0000]yyyy-mm-dd")</f>
        <v/>
      </c>
      <c r="C72164" t="inlineStr">
        <is>
          <t>2097-06-20</t>
        </is>
      </c>
    </row>
    <row r="72165">
      <c r="A72165" s="1" t="n">
        <v>72164</v>
      </c>
      <c r="B72165">
        <f>TEXT(72164, "[$-0E0000]yyyy-mm-dd")</f>
        <v/>
      </c>
      <c r="C72165" t="inlineStr">
        <is>
          <t>2097-06-21</t>
        </is>
      </c>
    </row>
    <row r="72166">
      <c r="A72166" s="1" t="n">
        <v>72165</v>
      </c>
      <c r="B72166">
        <f>TEXT(72165, "[$-0E0000]yyyy-mm-dd")</f>
        <v/>
      </c>
      <c r="C72166" t="inlineStr">
        <is>
          <t>2097-06-22</t>
        </is>
      </c>
    </row>
    <row r="72167">
      <c r="A72167" s="1" t="n">
        <v>72166</v>
      </c>
      <c r="B72167">
        <f>TEXT(72166, "[$-0E0000]yyyy-mm-dd")</f>
        <v/>
      </c>
      <c r="C72167" t="inlineStr">
        <is>
          <t>2097-06-23</t>
        </is>
      </c>
    </row>
    <row r="72168">
      <c r="A72168" s="1" t="n">
        <v>72167</v>
      </c>
      <c r="B72168">
        <f>TEXT(72167, "[$-0E0000]yyyy-mm-dd")</f>
        <v/>
      </c>
      <c r="C72168" t="inlineStr">
        <is>
          <t>2097-06-24</t>
        </is>
      </c>
    </row>
    <row r="72169">
      <c r="A72169" s="1" t="n">
        <v>72168</v>
      </c>
      <c r="B72169">
        <f>TEXT(72168, "[$-0E0000]yyyy-mm-dd")</f>
        <v/>
      </c>
      <c r="C72169" t="inlineStr">
        <is>
          <t>2097-06-25</t>
        </is>
      </c>
    </row>
    <row r="72170">
      <c r="A72170" s="1" t="n">
        <v>72169</v>
      </c>
      <c r="B72170">
        <f>TEXT(72169, "[$-0E0000]yyyy-mm-dd")</f>
        <v/>
      </c>
      <c r="C72170" t="inlineStr">
        <is>
          <t>2097-06-26</t>
        </is>
      </c>
    </row>
    <row r="72171">
      <c r="A72171" s="1" t="n">
        <v>72170</v>
      </c>
      <c r="B72171">
        <f>TEXT(72170, "[$-0E0000]yyyy-mm-dd")</f>
        <v/>
      </c>
      <c r="C72171" t="inlineStr">
        <is>
          <t>2097-06-27</t>
        </is>
      </c>
    </row>
    <row r="72172">
      <c r="A72172" s="1" t="n">
        <v>72171</v>
      </c>
      <c r="B72172">
        <f>TEXT(72171, "[$-0E0000]yyyy-mm-dd")</f>
        <v/>
      </c>
      <c r="C72172" t="inlineStr">
        <is>
          <t>2097-06-28</t>
        </is>
      </c>
    </row>
    <row r="72173">
      <c r="A72173" s="1" t="n">
        <v>72172</v>
      </c>
      <c r="B72173">
        <f>TEXT(72172, "[$-0E0000]yyyy-mm-dd")</f>
        <v/>
      </c>
      <c r="C72173" t="inlineStr">
        <is>
          <t>2097-06-29</t>
        </is>
      </c>
    </row>
    <row r="72174">
      <c r="A72174" s="1" t="n">
        <v>72173</v>
      </c>
      <c r="B72174">
        <f>TEXT(72173, "[$-0E0000]yyyy-mm-dd")</f>
        <v/>
      </c>
      <c r="C72174" t="inlineStr">
        <is>
          <t>2097-06-30</t>
        </is>
      </c>
    </row>
    <row r="72175">
      <c r="A72175" s="1" t="n">
        <v>72174</v>
      </c>
      <c r="B72175">
        <f>TEXT(72174, "[$-0E0000]yyyy-mm-dd")</f>
        <v/>
      </c>
      <c r="C72175" t="inlineStr">
        <is>
          <t>2097-07-01</t>
        </is>
      </c>
    </row>
    <row r="72176">
      <c r="A72176" s="1" t="n">
        <v>72175</v>
      </c>
      <c r="B72176">
        <f>TEXT(72175, "[$-0E0000]yyyy-mm-dd")</f>
        <v/>
      </c>
      <c r="C72176" t="inlineStr">
        <is>
          <t>2097-07-02</t>
        </is>
      </c>
    </row>
    <row r="72177">
      <c r="A72177" s="1" t="n">
        <v>72176</v>
      </c>
      <c r="B72177">
        <f>TEXT(72176, "[$-0E0000]yyyy-mm-dd")</f>
        <v/>
      </c>
      <c r="C72177" t="inlineStr">
        <is>
          <t>2097-07-03</t>
        </is>
      </c>
    </row>
    <row r="72178">
      <c r="A72178" s="1" t="n">
        <v>72177</v>
      </c>
      <c r="B72178">
        <f>TEXT(72177, "[$-0E0000]yyyy-mm-dd")</f>
        <v/>
      </c>
      <c r="C72178" t="inlineStr">
        <is>
          <t>2097-07-04</t>
        </is>
      </c>
    </row>
    <row r="72179">
      <c r="A72179" s="1" t="n">
        <v>72178</v>
      </c>
      <c r="B72179">
        <f>TEXT(72178, "[$-0E0000]yyyy-mm-dd")</f>
        <v/>
      </c>
      <c r="C72179" t="inlineStr">
        <is>
          <t>2097-07-05</t>
        </is>
      </c>
    </row>
    <row r="72180">
      <c r="A72180" s="1" t="n">
        <v>72179</v>
      </c>
      <c r="B72180">
        <f>TEXT(72179, "[$-0E0000]yyyy-mm-dd")</f>
        <v/>
      </c>
      <c r="C72180" t="inlineStr">
        <is>
          <t>2097-07-06</t>
        </is>
      </c>
    </row>
    <row r="72181">
      <c r="A72181" s="1" t="n">
        <v>72180</v>
      </c>
      <c r="B72181">
        <f>TEXT(72180, "[$-0E0000]yyyy-mm-dd")</f>
        <v/>
      </c>
      <c r="C72181" t="inlineStr">
        <is>
          <t>2097-07-07</t>
        </is>
      </c>
    </row>
    <row r="72182">
      <c r="A72182" s="1" t="n">
        <v>72181</v>
      </c>
      <c r="B72182">
        <f>TEXT(72181, "[$-0E0000]yyyy-mm-dd")</f>
        <v/>
      </c>
      <c r="C72182" t="inlineStr">
        <is>
          <t>2097-07-08</t>
        </is>
      </c>
    </row>
    <row r="72183">
      <c r="A72183" s="1" t="n">
        <v>72182</v>
      </c>
      <c r="B72183">
        <f>TEXT(72182, "[$-0E0000]yyyy-mm-dd")</f>
        <v/>
      </c>
      <c r="C72183" t="inlineStr">
        <is>
          <t>2097-07-09</t>
        </is>
      </c>
    </row>
    <row r="72184">
      <c r="A72184" s="1" t="n">
        <v>72183</v>
      </c>
      <c r="B72184">
        <f>TEXT(72183, "[$-0E0000]yyyy-mm-dd")</f>
        <v/>
      </c>
      <c r="C72184" t="inlineStr">
        <is>
          <t>2097-07-10</t>
        </is>
      </c>
    </row>
    <row r="72185">
      <c r="A72185" s="1" t="n">
        <v>72184</v>
      </c>
      <c r="B72185">
        <f>TEXT(72184, "[$-0E0000]yyyy-mm-dd")</f>
        <v/>
      </c>
      <c r="C72185" t="inlineStr">
        <is>
          <t>2097-07-11</t>
        </is>
      </c>
    </row>
    <row r="72186">
      <c r="A72186" s="1" t="n">
        <v>72185</v>
      </c>
      <c r="B72186">
        <f>TEXT(72185, "[$-0E0000]yyyy-mm-dd")</f>
        <v/>
      </c>
      <c r="C72186" t="inlineStr">
        <is>
          <t>2097-07-12</t>
        </is>
      </c>
    </row>
    <row r="72187">
      <c r="A72187" s="1" t="n">
        <v>72186</v>
      </c>
      <c r="B72187">
        <f>TEXT(72186, "[$-0E0000]yyyy-mm-dd")</f>
        <v/>
      </c>
      <c r="C72187" t="inlineStr">
        <is>
          <t>2097-07-13</t>
        </is>
      </c>
    </row>
    <row r="72188">
      <c r="A72188" s="1" t="n">
        <v>72187</v>
      </c>
      <c r="B72188">
        <f>TEXT(72187, "[$-0E0000]yyyy-mm-dd")</f>
        <v/>
      </c>
      <c r="C72188" t="inlineStr">
        <is>
          <t>2097-07-14</t>
        </is>
      </c>
    </row>
    <row r="72189">
      <c r="A72189" s="1" t="n">
        <v>72188</v>
      </c>
      <c r="B72189">
        <f>TEXT(72188, "[$-0E0000]yyyy-mm-dd")</f>
        <v/>
      </c>
      <c r="C72189" t="inlineStr">
        <is>
          <t>2097-07-15</t>
        </is>
      </c>
    </row>
    <row r="72190">
      <c r="A72190" s="1" t="n">
        <v>72189</v>
      </c>
      <c r="B72190">
        <f>TEXT(72189, "[$-0E0000]yyyy-mm-dd")</f>
        <v/>
      </c>
      <c r="C72190" t="inlineStr">
        <is>
          <t>2097-07-16</t>
        </is>
      </c>
    </row>
    <row r="72191">
      <c r="A72191" s="1" t="n">
        <v>72190</v>
      </c>
      <c r="B72191">
        <f>TEXT(72190, "[$-0E0000]yyyy-mm-dd")</f>
        <v/>
      </c>
      <c r="C72191" t="inlineStr">
        <is>
          <t>2097-07-17</t>
        </is>
      </c>
    </row>
    <row r="72192">
      <c r="A72192" s="1" t="n">
        <v>72191</v>
      </c>
      <c r="B72192">
        <f>TEXT(72191, "[$-0E0000]yyyy-mm-dd")</f>
        <v/>
      </c>
      <c r="C72192" t="inlineStr">
        <is>
          <t>2097-07-18</t>
        </is>
      </c>
    </row>
    <row r="72193">
      <c r="A72193" s="1" t="n">
        <v>72192</v>
      </c>
      <c r="B72193">
        <f>TEXT(72192, "[$-0E0000]yyyy-mm-dd")</f>
        <v/>
      </c>
      <c r="C72193" t="inlineStr">
        <is>
          <t>2097-07-19</t>
        </is>
      </c>
    </row>
    <row r="72194">
      <c r="A72194" s="1" t="n">
        <v>72193</v>
      </c>
      <c r="B72194">
        <f>TEXT(72193, "[$-0E0000]yyyy-mm-dd")</f>
        <v/>
      </c>
      <c r="C72194" t="inlineStr">
        <is>
          <t>2097-07-20</t>
        </is>
      </c>
    </row>
    <row r="72195">
      <c r="A72195" s="1" t="n">
        <v>72194</v>
      </c>
      <c r="B72195">
        <f>TEXT(72194, "[$-0E0000]yyyy-mm-dd")</f>
        <v/>
      </c>
      <c r="C72195" t="inlineStr">
        <is>
          <t>2097-07-21</t>
        </is>
      </c>
    </row>
    <row r="72196">
      <c r="A72196" s="1" t="n">
        <v>72195</v>
      </c>
      <c r="B72196">
        <f>TEXT(72195, "[$-0E0000]yyyy-mm-dd")</f>
        <v/>
      </c>
      <c r="C72196" t="inlineStr">
        <is>
          <t>2097-07-22</t>
        </is>
      </c>
    </row>
    <row r="72197">
      <c r="A72197" s="1" t="n">
        <v>72196</v>
      </c>
      <c r="B72197">
        <f>TEXT(72196, "[$-0E0000]yyyy-mm-dd")</f>
        <v/>
      </c>
      <c r="C72197" t="inlineStr">
        <is>
          <t>2097-07-23</t>
        </is>
      </c>
    </row>
    <row r="72198">
      <c r="A72198" s="1" t="n">
        <v>72197</v>
      </c>
      <c r="B72198">
        <f>TEXT(72197, "[$-0E0000]yyyy-mm-dd")</f>
        <v/>
      </c>
      <c r="C72198" t="inlineStr">
        <is>
          <t>2097-07-24</t>
        </is>
      </c>
    </row>
    <row r="72199">
      <c r="A72199" s="1" t="n">
        <v>72198</v>
      </c>
      <c r="B72199">
        <f>TEXT(72198, "[$-0E0000]yyyy-mm-dd")</f>
        <v/>
      </c>
      <c r="C72199" t="inlineStr">
        <is>
          <t>2097-07-25</t>
        </is>
      </c>
    </row>
    <row r="72200">
      <c r="A72200" s="1" t="n">
        <v>72199</v>
      </c>
      <c r="B72200">
        <f>TEXT(72199, "[$-0E0000]yyyy-mm-dd")</f>
        <v/>
      </c>
      <c r="C72200" t="inlineStr">
        <is>
          <t>2097-07-26</t>
        </is>
      </c>
    </row>
    <row r="72201">
      <c r="A72201" s="1" t="n">
        <v>72200</v>
      </c>
      <c r="B72201">
        <f>TEXT(72200, "[$-0E0000]yyyy-mm-dd")</f>
        <v/>
      </c>
      <c r="C72201" t="inlineStr">
        <is>
          <t>2097-07-27</t>
        </is>
      </c>
    </row>
    <row r="72202">
      <c r="A72202" s="1" t="n">
        <v>72201</v>
      </c>
      <c r="B72202">
        <f>TEXT(72201, "[$-0E0000]yyyy-mm-dd")</f>
        <v/>
      </c>
      <c r="C72202" t="inlineStr">
        <is>
          <t>2097-07-28</t>
        </is>
      </c>
    </row>
    <row r="72203">
      <c r="A72203" s="1" t="n">
        <v>72202</v>
      </c>
      <c r="B72203">
        <f>TEXT(72202, "[$-0E0000]yyyy-mm-dd")</f>
        <v/>
      </c>
      <c r="C72203" t="inlineStr">
        <is>
          <t>2097-07-29</t>
        </is>
      </c>
    </row>
    <row r="72204">
      <c r="A72204" s="1" t="n">
        <v>72203</v>
      </c>
      <c r="B72204">
        <f>TEXT(72203, "[$-0E0000]yyyy-mm-dd")</f>
        <v/>
      </c>
      <c r="C72204" t="inlineStr">
        <is>
          <t>2097-08-01</t>
        </is>
      </c>
    </row>
    <row r="72205">
      <c r="A72205" s="1" t="n">
        <v>72204</v>
      </c>
      <c r="B72205">
        <f>TEXT(72204, "[$-0E0000]yyyy-mm-dd")</f>
        <v/>
      </c>
      <c r="C72205" t="inlineStr">
        <is>
          <t>2097-08-02</t>
        </is>
      </c>
    </row>
    <row r="72206">
      <c r="A72206" s="1" t="n">
        <v>72205</v>
      </c>
      <c r="B72206">
        <f>TEXT(72205, "[$-0E0000]yyyy-mm-dd")</f>
        <v/>
      </c>
      <c r="C72206" t="inlineStr">
        <is>
          <t>2097-08-03</t>
        </is>
      </c>
    </row>
    <row r="72207">
      <c r="A72207" s="1" t="n">
        <v>72206</v>
      </c>
      <c r="B72207">
        <f>TEXT(72206, "[$-0E0000]yyyy-mm-dd")</f>
        <v/>
      </c>
      <c r="C72207" t="inlineStr">
        <is>
          <t>2097-08-04</t>
        </is>
      </c>
    </row>
    <row r="72208">
      <c r="A72208" s="1" t="n">
        <v>72207</v>
      </c>
      <c r="B72208">
        <f>TEXT(72207, "[$-0E0000]yyyy-mm-dd")</f>
        <v/>
      </c>
      <c r="C72208" t="inlineStr">
        <is>
          <t>2097-08-05</t>
        </is>
      </c>
    </row>
    <row r="72209">
      <c r="A72209" s="1" t="n">
        <v>72208</v>
      </c>
      <c r="B72209">
        <f>TEXT(72208, "[$-0E0000]yyyy-mm-dd")</f>
        <v/>
      </c>
      <c r="C72209" t="inlineStr">
        <is>
          <t>2097-08-06</t>
        </is>
      </c>
    </row>
    <row r="72210">
      <c r="A72210" s="1" t="n">
        <v>72209</v>
      </c>
      <c r="B72210">
        <f>TEXT(72209, "[$-0E0000]yyyy-mm-dd")</f>
        <v/>
      </c>
      <c r="C72210" t="inlineStr">
        <is>
          <t>2097-08-07</t>
        </is>
      </c>
    </row>
    <row r="72211">
      <c r="A72211" s="1" t="n">
        <v>72210</v>
      </c>
      <c r="B72211">
        <f>TEXT(72210, "[$-0E0000]yyyy-mm-dd")</f>
        <v/>
      </c>
      <c r="C72211" t="inlineStr">
        <is>
          <t>2097-08-08</t>
        </is>
      </c>
    </row>
    <row r="72212">
      <c r="A72212" s="1" t="n">
        <v>72211</v>
      </c>
      <c r="B72212">
        <f>TEXT(72211, "[$-0E0000]yyyy-mm-dd")</f>
        <v/>
      </c>
      <c r="C72212" t="inlineStr">
        <is>
          <t>2097-08-09</t>
        </is>
      </c>
    </row>
    <row r="72213">
      <c r="A72213" s="1" t="n">
        <v>72212</v>
      </c>
      <c r="B72213">
        <f>TEXT(72212, "[$-0E0000]yyyy-mm-dd")</f>
        <v/>
      </c>
      <c r="C72213" t="inlineStr">
        <is>
          <t>2097-08-10</t>
        </is>
      </c>
    </row>
    <row r="72214">
      <c r="A72214" s="1" t="n">
        <v>72213</v>
      </c>
      <c r="B72214">
        <f>TEXT(72213, "[$-0E0000]yyyy-mm-dd")</f>
        <v/>
      </c>
      <c r="C72214" t="inlineStr">
        <is>
          <t>2097-08-11</t>
        </is>
      </c>
    </row>
    <row r="72215">
      <c r="A72215" s="1" t="n">
        <v>72214</v>
      </c>
      <c r="B72215">
        <f>TEXT(72214, "[$-0E0000]yyyy-mm-dd")</f>
        <v/>
      </c>
      <c r="C72215" t="inlineStr">
        <is>
          <t>2097-08-12</t>
        </is>
      </c>
    </row>
    <row r="72216">
      <c r="A72216" s="1" t="n">
        <v>72215</v>
      </c>
      <c r="B72216">
        <f>TEXT(72215, "[$-0E0000]yyyy-mm-dd")</f>
        <v/>
      </c>
      <c r="C72216" t="inlineStr">
        <is>
          <t>2097-08-13</t>
        </is>
      </c>
    </row>
    <row r="72217">
      <c r="A72217" s="1" t="n">
        <v>72216</v>
      </c>
      <c r="B72217">
        <f>TEXT(72216, "[$-0E0000]yyyy-mm-dd")</f>
        <v/>
      </c>
      <c r="C72217" t="inlineStr">
        <is>
          <t>2097-08-14</t>
        </is>
      </c>
    </row>
    <row r="72218">
      <c r="A72218" s="1" t="n">
        <v>72217</v>
      </c>
      <c r="B72218">
        <f>TEXT(72217, "[$-0E0000]yyyy-mm-dd")</f>
        <v/>
      </c>
      <c r="C72218" t="inlineStr">
        <is>
          <t>2097-08-15</t>
        </is>
      </c>
    </row>
    <row r="72219">
      <c r="A72219" s="1" t="n">
        <v>72218</v>
      </c>
      <c r="B72219">
        <f>TEXT(72218, "[$-0E0000]yyyy-mm-dd")</f>
        <v/>
      </c>
      <c r="C72219" t="inlineStr">
        <is>
          <t>2097-08-16</t>
        </is>
      </c>
    </row>
    <row r="72220">
      <c r="A72220" s="1" t="n">
        <v>72219</v>
      </c>
      <c r="B72220">
        <f>TEXT(72219, "[$-0E0000]yyyy-mm-dd")</f>
        <v/>
      </c>
      <c r="C72220" t="inlineStr">
        <is>
          <t>2097-08-17</t>
        </is>
      </c>
    </row>
    <row r="72221">
      <c r="A72221" s="1" t="n">
        <v>72220</v>
      </c>
      <c r="B72221">
        <f>TEXT(72220, "[$-0E0000]yyyy-mm-dd")</f>
        <v/>
      </c>
      <c r="C72221" t="inlineStr">
        <is>
          <t>2097-08-18</t>
        </is>
      </c>
    </row>
    <row r="72222">
      <c r="A72222" s="1" t="n">
        <v>72221</v>
      </c>
      <c r="B72222">
        <f>TEXT(72221, "[$-0E0000]yyyy-mm-dd")</f>
        <v/>
      </c>
      <c r="C72222" t="inlineStr">
        <is>
          <t>2097-08-19</t>
        </is>
      </c>
    </row>
    <row r="72223">
      <c r="A72223" s="1" t="n">
        <v>72222</v>
      </c>
      <c r="B72223">
        <f>TEXT(72222, "[$-0E0000]yyyy-mm-dd")</f>
        <v/>
      </c>
      <c r="C72223" t="inlineStr">
        <is>
          <t>2097-08-20</t>
        </is>
      </c>
    </row>
    <row r="72224">
      <c r="A72224" s="1" t="n">
        <v>72223</v>
      </c>
      <c r="B72224">
        <f>TEXT(72223, "[$-0E0000]yyyy-mm-dd")</f>
        <v/>
      </c>
      <c r="C72224" t="inlineStr">
        <is>
          <t>2097-08-21</t>
        </is>
      </c>
    </row>
    <row r="72225">
      <c r="A72225" s="1" t="n">
        <v>72224</v>
      </c>
      <c r="B72225">
        <f>TEXT(72224, "[$-0E0000]yyyy-mm-dd")</f>
        <v/>
      </c>
      <c r="C72225" t="inlineStr">
        <is>
          <t>2097-08-22</t>
        </is>
      </c>
    </row>
    <row r="72226">
      <c r="A72226" s="1" t="n">
        <v>72225</v>
      </c>
      <c r="B72226">
        <f>TEXT(72225, "[$-0E0000]yyyy-mm-dd")</f>
        <v/>
      </c>
      <c r="C72226" t="inlineStr">
        <is>
          <t>2097-08-23</t>
        </is>
      </c>
    </row>
    <row r="72227">
      <c r="A72227" s="1" t="n">
        <v>72226</v>
      </c>
      <c r="B72227">
        <f>TEXT(72226, "[$-0E0000]yyyy-mm-dd")</f>
        <v/>
      </c>
      <c r="C72227" t="inlineStr">
        <is>
          <t>2097-08-24</t>
        </is>
      </c>
    </row>
    <row r="72228">
      <c r="A72228" s="1" t="n">
        <v>72227</v>
      </c>
      <c r="B72228">
        <f>TEXT(72227, "[$-0E0000]yyyy-mm-dd")</f>
        <v/>
      </c>
      <c r="C72228" t="inlineStr">
        <is>
          <t>2097-08-25</t>
        </is>
      </c>
    </row>
    <row r="72229">
      <c r="A72229" s="1" t="n">
        <v>72228</v>
      </c>
      <c r="B72229">
        <f>TEXT(72228, "[$-0E0000]yyyy-mm-dd")</f>
        <v/>
      </c>
      <c r="C72229" t="inlineStr">
        <is>
          <t>2097-08-26</t>
        </is>
      </c>
    </row>
    <row r="72230">
      <c r="A72230" s="1" t="n">
        <v>72229</v>
      </c>
      <c r="B72230">
        <f>TEXT(72229, "[$-0E0000]yyyy-mm-dd")</f>
        <v/>
      </c>
      <c r="C72230" t="inlineStr">
        <is>
          <t>2097-08-27</t>
        </is>
      </c>
    </row>
    <row r="72231">
      <c r="A72231" s="1" t="n">
        <v>72230</v>
      </c>
      <c r="B72231">
        <f>TEXT(72230, "[$-0E0000]yyyy-mm-dd")</f>
        <v/>
      </c>
      <c r="C72231" t="inlineStr">
        <is>
          <t>2097-08-28</t>
        </is>
      </c>
    </row>
    <row r="72232">
      <c r="A72232" s="1" t="n">
        <v>72231</v>
      </c>
      <c r="B72232">
        <f>TEXT(72231, "[$-0E0000]yyyy-mm-dd")</f>
        <v/>
      </c>
      <c r="C72232" t="inlineStr">
        <is>
          <t>2097-08-29</t>
        </is>
      </c>
    </row>
    <row r="72233">
      <c r="A72233" s="1" t="n">
        <v>72232</v>
      </c>
      <c r="B72233">
        <f>TEXT(72232, "[$-0E0000]yyyy-mm-dd")</f>
        <v/>
      </c>
      <c r="C72233" t="inlineStr">
        <is>
          <t>2097-09-01</t>
        </is>
      </c>
    </row>
    <row r="72234">
      <c r="A72234" s="1" t="n">
        <v>72233</v>
      </c>
      <c r="B72234">
        <f>TEXT(72233, "[$-0E0000]yyyy-mm-dd")</f>
        <v/>
      </c>
      <c r="C72234" t="inlineStr">
        <is>
          <t>2097-09-02</t>
        </is>
      </c>
    </row>
    <row r="72235">
      <c r="A72235" s="1" t="n">
        <v>72234</v>
      </c>
      <c r="B72235">
        <f>TEXT(72234, "[$-0E0000]yyyy-mm-dd")</f>
        <v/>
      </c>
      <c r="C72235" t="inlineStr">
        <is>
          <t>2097-09-03</t>
        </is>
      </c>
    </row>
    <row r="72236">
      <c r="A72236" s="1" t="n">
        <v>72235</v>
      </c>
      <c r="B72236">
        <f>TEXT(72235, "[$-0E0000]yyyy-mm-dd")</f>
        <v/>
      </c>
      <c r="C72236" t="inlineStr">
        <is>
          <t>2097-09-04</t>
        </is>
      </c>
    </row>
    <row r="72237">
      <c r="A72237" s="1" t="n">
        <v>72236</v>
      </c>
      <c r="B72237">
        <f>TEXT(72236, "[$-0E0000]yyyy-mm-dd")</f>
        <v/>
      </c>
      <c r="C72237" t="inlineStr">
        <is>
          <t>2097-09-05</t>
        </is>
      </c>
    </row>
    <row r="72238">
      <c r="A72238" s="1" t="n">
        <v>72237</v>
      </c>
      <c r="B72238">
        <f>TEXT(72237, "[$-0E0000]yyyy-mm-dd")</f>
        <v/>
      </c>
      <c r="C72238" t="inlineStr">
        <is>
          <t>2097-09-06</t>
        </is>
      </c>
    </row>
    <row r="72239">
      <c r="A72239" s="1" t="n">
        <v>72238</v>
      </c>
      <c r="B72239">
        <f>TEXT(72238, "[$-0E0000]yyyy-mm-dd")</f>
        <v/>
      </c>
      <c r="C72239" t="inlineStr">
        <is>
          <t>2097-09-07</t>
        </is>
      </c>
    </row>
    <row r="72240">
      <c r="A72240" s="1" t="n">
        <v>72239</v>
      </c>
      <c r="B72240">
        <f>TEXT(72239, "[$-0E0000]yyyy-mm-dd")</f>
        <v/>
      </c>
      <c r="C72240" t="inlineStr">
        <is>
          <t>2097-09-08</t>
        </is>
      </c>
    </row>
    <row r="72241">
      <c r="A72241" s="1" t="n">
        <v>72240</v>
      </c>
      <c r="B72241">
        <f>TEXT(72240, "[$-0E0000]yyyy-mm-dd")</f>
        <v/>
      </c>
      <c r="C72241" t="inlineStr">
        <is>
          <t>2097-09-09</t>
        </is>
      </c>
    </row>
    <row r="72242">
      <c r="A72242" s="1" t="n">
        <v>72241</v>
      </c>
      <c r="B72242">
        <f>TEXT(72241, "[$-0E0000]yyyy-mm-dd")</f>
        <v/>
      </c>
      <c r="C72242" t="inlineStr">
        <is>
          <t>2097-09-10</t>
        </is>
      </c>
    </row>
    <row r="72243">
      <c r="A72243" s="1" t="n">
        <v>72242</v>
      </c>
      <c r="B72243">
        <f>TEXT(72242, "[$-0E0000]yyyy-mm-dd")</f>
        <v/>
      </c>
      <c r="C72243" t="inlineStr">
        <is>
          <t>2097-09-11</t>
        </is>
      </c>
    </row>
    <row r="72244">
      <c r="A72244" s="1" t="n">
        <v>72243</v>
      </c>
      <c r="B72244">
        <f>TEXT(72243, "[$-0E0000]yyyy-mm-dd")</f>
        <v/>
      </c>
      <c r="C72244" t="inlineStr">
        <is>
          <t>2097-09-12</t>
        </is>
      </c>
    </row>
    <row r="72245">
      <c r="A72245" s="1" t="n">
        <v>72244</v>
      </c>
      <c r="B72245">
        <f>TEXT(72244, "[$-0E0000]yyyy-mm-dd")</f>
        <v/>
      </c>
      <c r="C72245" t="inlineStr">
        <is>
          <t>2097-09-13</t>
        </is>
      </c>
    </row>
    <row r="72246">
      <c r="A72246" s="1" t="n">
        <v>72245</v>
      </c>
      <c r="B72246">
        <f>TEXT(72245, "[$-0E0000]yyyy-mm-dd")</f>
        <v/>
      </c>
      <c r="C72246" t="inlineStr">
        <is>
          <t>2097-09-14</t>
        </is>
      </c>
    </row>
    <row r="72247">
      <c r="A72247" s="1" t="n">
        <v>72246</v>
      </c>
      <c r="B72247">
        <f>TEXT(72246, "[$-0E0000]yyyy-mm-dd")</f>
        <v/>
      </c>
      <c r="C72247" t="inlineStr">
        <is>
          <t>2097-09-15</t>
        </is>
      </c>
    </row>
    <row r="72248">
      <c r="A72248" s="1" t="n">
        <v>72247</v>
      </c>
      <c r="B72248">
        <f>TEXT(72247, "[$-0E0000]yyyy-mm-dd")</f>
        <v/>
      </c>
      <c r="C72248" t="inlineStr">
        <is>
          <t>2097-09-16</t>
        </is>
      </c>
    </row>
    <row r="72249">
      <c r="A72249" s="1" t="n">
        <v>72248</v>
      </c>
      <c r="B72249">
        <f>TEXT(72248, "[$-0E0000]yyyy-mm-dd")</f>
        <v/>
      </c>
      <c r="C72249" t="inlineStr">
        <is>
          <t>2097-09-17</t>
        </is>
      </c>
    </row>
    <row r="72250">
      <c r="A72250" s="1" t="n">
        <v>72249</v>
      </c>
      <c r="B72250">
        <f>TEXT(72249, "[$-0E0000]yyyy-mm-dd")</f>
        <v/>
      </c>
      <c r="C72250" t="inlineStr">
        <is>
          <t>2097-09-18</t>
        </is>
      </c>
    </row>
    <row r="72251">
      <c r="A72251" s="1" t="n">
        <v>72250</v>
      </c>
      <c r="B72251">
        <f>TEXT(72250, "[$-0E0000]yyyy-mm-dd")</f>
        <v/>
      </c>
      <c r="C72251" t="inlineStr">
        <is>
          <t>2097-09-19</t>
        </is>
      </c>
    </row>
    <row r="72252">
      <c r="A72252" s="1" t="n">
        <v>72251</v>
      </c>
      <c r="B72252">
        <f>TEXT(72251, "[$-0E0000]yyyy-mm-dd")</f>
        <v/>
      </c>
      <c r="C72252" t="inlineStr">
        <is>
          <t>2097-09-20</t>
        </is>
      </c>
    </row>
    <row r="72253">
      <c r="A72253" s="1" t="n">
        <v>72252</v>
      </c>
      <c r="B72253">
        <f>TEXT(72252, "[$-0E0000]yyyy-mm-dd")</f>
        <v/>
      </c>
      <c r="C72253" t="inlineStr">
        <is>
          <t>2097-09-21</t>
        </is>
      </c>
    </row>
    <row r="72254">
      <c r="A72254" s="1" t="n">
        <v>72253</v>
      </c>
      <c r="B72254">
        <f>TEXT(72253, "[$-0E0000]yyyy-mm-dd")</f>
        <v/>
      </c>
      <c r="C72254" t="inlineStr">
        <is>
          <t>2097-09-22</t>
        </is>
      </c>
    </row>
    <row r="72255">
      <c r="A72255" s="1" t="n">
        <v>72254</v>
      </c>
      <c r="B72255">
        <f>TEXT(72254, "[$-0E0000]yyyy-mm-dd")</f>
        <v/>
      </c>
      <c r="C72255" t="inlineStr">
        <is>
          <t>2097-09-23</t>
        </is>
      </c>
    </row>
    <row r="72256">
      <c r="A72256" s="1" t="n">
        <v>72255</v>
      </c>
      <c r="B72256">
        <f>TEXT(72255, "[$-0E0000]yyyy-mm-dd")</f>
        <v/>
      </c>
      <c r="C72256" t="inlineStr">
        <is>
          <t>2097-09-24</t>
        </is>
      </c>
    </row>
    <row r="72257">
      <c r="A72257" s="1" t="n">
        <v>72256</v>
      </c>
      <c r="B72257">
        <f>TEXT(72256, "[$-0E0000]yyyy-mm-dd")</f>
        <v/>
      </c>
      <c r="C72257" t="inlineStr">
        <is>
          <t>2097-09-25</t>
        </is>
      </c>
    </row>
    <row r="72258">
      <c r="A72258" s="1" t="n">
        <v>72257</v>
      </c>
      <c r="B72258">
        <f>TEXT(72257, "[$-0E0000]yyyy-mm-dd")</f>
        <v/>
      </c>
      <c r="C72258" t="inlineStr">
        <is>
          <t>2097-09-26</t>
        </is>
      </c>
    </row>
    <row r="72259">
      <c r="A72259" s="1" t="n">
        <v>72258</v>
      </c>
      <c r="B72259">
        <f>TEXT(72258, "[$-0E0000]yyyy-mm-dd")</f>
        <v/>
      </c>
      <c r="C72259" t="inlineStr">
        <is>
          <t>2097-09-27</t>
        </is>
      </c>
    </row>
    <row r="72260">
      <c r="A72260" s="1" t="n">
        <v>72259</v>
      </c>
      <c r="B72260">
        <f>TEXT(72259, "[$-0E0000]yyyy-mm-dd")</f>
        <v/>
      </c>
      <c r="C72260" t="inlineStr">
        <is>
          <t>2097-09-28</t>
        </is>
      </c>
    </row>
    <row r="72261">
      <c r="A72261" s="1" t="n">
        <v>72260</v>
      </c>
      <c r="B72261">
        <f>TEXT(72260, "[$-0E0000]yyyy-mm-dd")</f>
        <v/>
      </c>
      <c r="C72261" t="inlineStr">
        <is>
          <t>2097-09-29</t>
        </is>
      </c>
    </row>
    <row r="72262">
      <c r="A72262" s="1" t="n">
        <v>72261</v>
      </c>
      <c r="B72262">
        <f>TEXT(72261, "[$-0E0000]yyyy-mm-dd")</f>
        <v/>
      </c>
      <c r="C72262" t="inlineStr">
        <is>
          <t>2097-09-30</t>
        </is>
      </c>
    </row>
    <row r="72263">
      <c r="A72263" s="1" t="n">
        <v>72262</v>
      </c>
      <c r="B72263">
        <f>TEXT(72262, "[$-0E0000]yyyy-mm-dd")</f>
        <v/>
      </c>
      <c r="C72263" t="inlineStr">
        <is>
          <t>2097-10-01</t>
        </is>
      </c>
    </row>
    <row r="72264">
      <c r="A72264" s="1" t="n">
        <v>72263</v>
      </c>
      <c r="B72264">
        <f>TEXT(72263, "[$-0E0000]yyyy-mm-dd")</f>
        <v/>
      </c>
      <c r="C72264" t="inlineStr">
        <is>
          <t>2097-10-02</t>
        </is>
      </c>
    </row>
    <row r="72265">
      <c r="A72265" s="1" t="n">
        <v>72264</v>
      </c>
      <c r="B72265">
        <f>TEXT(72264, "[$-0E0000]yyyy-mm-dd")</f>
        <v/>
      </c>
      <c r="C72265" t="inlineStr">
        <is>
          <t>2097-10-03</t>
        </is>
      </c>
    </row>
    <row r="72266">
      <c r="A72266" s="1" t="n">
        <v>72265</v>
      </c>
      <c r="B72266">
        <f>TEXT(72265, "[$-0E0000]yyyy-mm-dd")</f>
        <v/>
      </c>
      <c r="C72266" t="inlineStr">
        <is>
          <t>2097-10-04</t>
        </is>
      </c>
    </row>
    <row r="72267">
      <c r="A72267" s="1" t="n">
        <v>72266</v>
      </c>
      <c r="B72267">
        <f>TEXT(72266, "[$-0E0000]yyyy-mm-dd")</f>
        <v/>
      </c>
      <c r="C72267" t="inlineStr">
        <is>
          <t>2097-10-05</t>
        </is>
      </c>
    </row>
    <row r="72268">
      <c r="A72268" s="1" t="n">
        <v>72267</v>
      </c>
      <c r="B72268">
        <f>TEXT(72267, "[$-0E0000]yyyy-mm-dd")</f>
        <v/>
      </c>
      <c r="C72268" t="inlineStr">
        <is>
          <t>2097-10-06</t>
        </is>
      </c>
    </row>
    <row r="72269">
      <c r="A72269" s="1" t="n">
        <v>72268</v>
      </c>
      <c r="B72269">
        <f>TEXT(72268, "[$-0E0000]yyyy-mm-dd")</f>
        <v/>
      </c>
      <c r="C72269" t="inlineStr">
        <is>
          <t>2097-10-07</t>
        </is>
      </c>
    </row>
    <row r="72270">
      <c r="A72270" s="1" t="n">
        <v>72269</v>
      </c>
      <c r="B72270">
        <f>TEXT(72269, "[$-0E0000]yyyy-mm-dd")</f>
        <v/>
      </c>
      <c r="C72270" t="inlineStr">
        <is>
          <t>2097-10-08</t>
        </is>
      </c>
    </row>
    <row r="72271">
      <c r="A72271" s="1" t="n">
        <v>72270</v>
      </c>
      <c r="B72271">
        <f>TEXT(72270, "[$-0E0000]yyyy-mm-dd")</f>
        <v/>
      </c>
      <c r="C72271" t="inlineStr">
        <is>
          <t>2097-10-09</t>
        </is>
      </c>
    </row>
    <row r="72272">
      <c r="A72272" s="1" t="n">
        <v>72271</v>
      </c>
      <c r="B72272">
        <f>TEXT(72271, "[$-0E0000]yyyy-mm-dd")</f>
        <v/>
      </c>
      <c r="C72272" t="inlineStr">
        <is>
          <t>2097-10-10</t>
        </is>
      </c>
    </row>
    <row r="72273">
      <c r="A72273" s="1" t="n">
        <v>72272</v>
      </c>
      <c r="B72273">
        <f>TEXT(72272, "[$-0E0000]yyyy-mm-dd")</f>
        <v/>
      </c>
      <c r="C72273" t="inlineStr">
        <is>
          <t>2097-10-11</t>
        </is>
      </c>
    </row>
    <row r="72274">
      <c r="A72274" s="1" t="n">
        <v>72273</v>
      </c>
      <c r="B72274">
        <f>TEXT(72273, "[$-0E0000]yyyy-mm-dd")</f>
        <v/>
      </c>
      <c r="C72274" t="inlineStr">
        <is>
          <t>2097-10-12</t>
        </is>
      </c>
    </row>
    <row r="72275">
      <c r="A72275" s="1" t="n">
        <v>72274</v>
      </c>
      <c r="B72275">
        <f>TEXT(72274, "[$-0E0000]yyyy-mm-dd")</f>
        <v/>
      </c>
      <c r="C72275" t="inlineStr">
        <is>
          <t>2097-10-13</t>
        </is>
      </c>
    </row>
    <row r="72276">
      <c r="A72276" s="1" t="n">
        <v>72275</v>
      </c>
      <c r="B72276">
        <f>TEXT(72275, "[$-0E0000]yyyy-mm-dd")</f>
        <v/>
      </c>
      <c r="C72276" t="inlineStr">
        <is>
          <t>2097-10-14</t>
        </is>
      </c>
    </row>
    <row r="72277">
      <c r="A72277" s="1" t="n">
        <v>72276</v>
      </c>
      <c r="B72277">
        <f>TEXT(72276, "[$-0E0000]yyyy-mm-dd")</f>
        <v/>
      </c>
      <c r="C72277" t="inlineStr">
        <is>
          <t>2097-10-15</t>
        </is>
      </c>
    </row>
    <row r="72278">
      <c r="A72278" s="1" t="n">
        <v>72277</v>
      </c>
      <c r="B72278">
        <f>TEXT(72277, "[$-0E0000]yyyy-mm-dd")</f>
        <v/>
      </c>
      <c r="C72278" t="inlineStr">
        <is>
          <t>2097-10-16</t>
        </is>
      </c>
    </row>
    <row r="72279">
      <c r="A72279" s="1" t="n">
        <v>72278</v>
      </c>
      <c r="B72279">
        <f>TEXT(72278, "[$-0E0000]yyyy-mm-dd")</f>
        <v/>
      </c>
      <c r="C72279" t="inlineStr">
        <is>
          <t>2097-10-17</t>
        </is>
      </c>
    </row>
    <row r="72280">
      <c r="A72280" s="1" t="n">
        <v>72279</v>
      </c>
      <c r="B72280">
        <f>TEXT(72279, "[$-0E0000]yyyy-mm-dd")</f>
        <v/>
      </c>
      <c r="C72280" t="inlineStr">
        <is>
          <t>2097-10-18</t>
        </is>
      </c>
    </row>
    <row r="72281">
      <c r="A72281" s="1" t="n">
        <v>72280</v>
      </c>
      <c r="B72281">
        <f>TEXT(72280, "[$-0E0000]yyyy-mm-dd")</f>
        <v/>
      </c>
      <c r="C72281" t="inlineStr">
        <is>
          <t>2097-10-19</t>
        </is>
      </c>
    </row>
    <row r="72282">
      <c r="A72282" s="1" t="n">
        <v>72281</v>
      </c>
      <c r="B72282">
        <f>TEXT(72281, "[$-0E0000]yyyy-mm-dd")</f>
        <v/>
      </c>
      <c r="C72282" t="inlineStr">
        <is>
          <t>2097-10-20</t>
        </is>
      </c>
    </row>
    <row r="72283">
      <c r="A72283" s="1" t="n">
        <v>72282</v>
      </c>
      <c r="B72283">
        <f>TEXT(72282, "[$-0E0000]yyyy-mm-dd")</f>
        <v/>
      </c>
      <c r="C72283" t="inlineStr">
        <is>
          <t>2097-10-21</t>
        </is>
      </c>
    </row>
    <row r="72284">
      <c r="A72284" s="1" t="n">
        <v>72283</v>
      </c>
      <c r="B72284">
        <f>TEXT(72283, "[$-0E0000]yyyy-mm-dd")</f>
        <v/>
      </c>
      <c r="C72284" t="inlineStr">
        <is>
          <t>2097-10-22</t>
        </is>
      </c>
    </row>
    <row r="72285">
      <c r="A72285" s="1" t="n">
        <v>72284</v>
      </c>
      <c r="B72285">
        <f>TEXT(72284, "[$-0E0000]yyyy-mm-dd")</f>
        <v/>
      </c>
      <c r="C72285" t="inlineStr">
        <is>
          <t>2097-10-23</t>
        </is>
      </c>
    </row>
    <row r="72286">
      <c r="A72286" s="1" t="n">
        <v>72285</v>
      </c>
      <c r="B72286">
        <f>TEXT(72285, "[$-0E0000]yyyy-mm-dd")</f>
        <v/>
      </c>
      <c r="C72286" t="inlineStr">
        <is>
          <t>2097-10-24</t>
        </is>
      </c>
    </row>
    <row r="72287">
      <c r="A72287" s="1" t="n">
        <v>72286</v>
      </c>
      <c r="B72287">
        <f>TEXT(72286, "[$-0E0000]yyyy-mm-dd")</f>
        <v/>
      </c>
      <c r="C72287" t="inlineStr">
        <is>
          <t>2097-10-25</t>
        </is>
      </c>
    </row>
    <row r="72288">
      <c r="A72288" s="1" t="n">
        <v>72287</v>
      </c>
      <c r="B72288">
        <f>TEXT(72287, "[$-0E0000]yyyy-mm-dd")</f>
        <v/>
      </c>
      <c r="C72288" t="inlineStr">
        <is>
          <t>2097-10-26</t>
        </is>
      </c>
    </row>
    <row r="72289">
      <c r="A72289" s="1" t="n">
        <v>72288</v>
      </c>
      <c r="B72289">
        <f>TEXT(72288, "[$-0E0000]yyyy-mm-dd")</f>
        <v/>
      </c>
      <c r="C72289" t="inlineStr">
        <is>
          <t>2097-10-27</t>
        </is>
      </c>
    </row>
    <row r="72290">
      <c r="A72290" s="1" t="n">
        <v>72289</v>
      </c>
      <c r="B72290">
        <f>TEXT(72289, "[$-0E0000]yyyy-mm-dd")</f>
        <v/>
      </c>
      <c r="C72290" t="inlineStr">
        <is>
          <t>2097-10-28</t>
        </is>
      </c>
    </row>
    <row r="72291">
      <c r="A72291" s="1" t="n">
        <v>72290</v>
      </c>
      <c r="B72291">
        <f>TEXT(72290, "[$-0E0000]yyyy-mm-dd")</f>
        <v/>
      </c>
      <c r="C72291" t="inlineStr">
        <is>
          <t>2097-10-29</t>
        </is>
      </c>
    </row>
    <row r="72292">
      <c r="A72292" s="1" t="n">
        <v>72291</v>
      </c>
      <c r="B72292">
        <f>TEXT(72291, "[$-0E0000]yyyy-mm-dd")</f>
        <v/>
      </c>
      <c r="C72292" t="inlineStr">
        <is>
          <t>2097-10-30</t>
        </is>
      </c>
    </row>
    <row r="72293">
      <c r="A72293" s="1" t="n">
        <v>72292</v>
      </c>
      <c r="B72293">
        <f>TEXT(72292, "[$-0E0000]yyyy-mm-dd")</f>
        <v/>
      </c>
      <c r="C72293" t="inlineStr">
        <is>
          <t>2097-11-01</t>
        </is>
      </c>
    </row>
    <row r="72294">
      <c r="A72294" s="1" t="n">
        <v>72293</v>
      </c>
      <c r="B72294">
        <f>TEXT(72293, "[$-0E0000]yyyy-mm-dd")</f>
        <v/>
      </c>
      <c r="C72294" t="inlineStr">
        <is>
          <t>2097-11-02</t>
        </is>
      </c>
    </row>
    <row r="72295">
      <c r="A72295" s="1" t="n">
        <v>72294</v>
      </c>
      <c r="B72295">
        <f>TEXT(72294, "[$-0E0000]yyyy-mm-dd")</f>
        <v/>
      </c>
      <c r="C72295" t="inlineStr">
        <is>
          <t>2097-11-03</t>
        </is>
      </c>
    </row>
    <row r="72296">
      <c r="A72296" s="1" t="n">
        <v>72295</v>
      </c>
      <c r="B72296">
        <f>TEXT(72295, "[$-0E0000]yyyy-mm-dd")</f>
        <v/>
      </c>
      <c r="C72296" t="inlineStr">
        <is>
          <t>2097-11-04</t>
        </is>
      </c>
    </row>
    <row r="72297">
      <c r="A72297" s="1" t="n">
        <v>72296</v>
      </c>
      <c r="B72297">
        <f>TEXT(72296, "[$-0E0000]yyyy-mm-dd")</f>
        <v/>
      </c>
      <c r="C72297" t="inlineStr">
        <is>
          <t>2097-11-05</t>
        </is>
      </c>
    </row>
    <row r="72298">
      <c r="A72298" s="1" t="n">
        <v>72297</v>
      </c>
      <c r="B72298">
        <f>TEXT(72297, "[$-0E0000]yyyy-mm-dd")</f>
        <v/>
      </c>
      <c r="C72298" t="inlineStr">
        <is>
          <t>2097-11-06</t>
        </is>
      </c>
    </row>
    <row r="72299">
      <c r="A72299" s="1" t="n">
        <v>72298</v>
      </c>
      <c r="B72299">
        <f>TEXT(72298, "[$-0E0000]yyyy-mm-dd")</f>
        <v/>
      </c>
      <c r="C72299" t="inlineStr">
        <is>
          <t>2097-11-07</t>
        </is>
      </c>
    </row>
    <row r="72300">
      <c r="A72300" s="1" t="n">
        <v>72299</v>
      </c>
      <c r="B72300">
        <f>TEXT(72299, "[$-0E0000]yyyy-mm-dd")</f>
        <v/>
      </c>
      <c r="C72300" t="inlineStr">
        <is>
          <t>2097-11-08</t>
        </is>
      </c>
    </row>
    <row r="72301">
      <c r="A72301" s="1" t="n">
        <v>72300</v>
      </c>
      <c r="B72301">
        <f>TEXT(72300, "[$-0E0000]yyyy-mm-dd")</f>
        <v/>
      </c>
      <c r="C72301" t="inlineStr">
        <is>
          <t>2097-11-09</t>
        </is>
      </c>
    </row>
    <row r="72302">
      <c r="A72302" s="1" t="n">
        <v>72301</v>
      </c>
      <c r="B72302">
        <f>TEXT(72301, "[$-0E0000]yyyy-mm-dd")</f>
        <v/>
      </c>
      <c r="C72302" t="inlineStr">
        <is>
          <t>2097-11-10</t>
        </is>
      </c>
    </row>
    <row r="72303">
      <c r="A72303" s="1" t="n">
        <v>72302</v>
      </c>
      <c r="B72303">
        <f>TEXT(72302, "[$-0E0000]yyyy-mm-dd")</f>
        <v/>
      </c>
      <c r="C72303" t="inlineStr">
        <is>
          <t>2097-11-11</t>
        </is>
      </c>
    </row>
    <row r="72304">
      <c r="A72304" s="1" t="n">
        <v>72303</v>
      </c>
      <c r="B72304">
        <f>TEXT(72303, "[$-0E0000]yyyy-mm-dd")</f>
        <v/>
      </c>
      <c r="C72304" t="inlineStr">
        <is>
          <t>2097-11-12</t>
        </is>
      </c>
    </row>
    <row r="72305">
      <c r="A72305" s="1" t="n">
        <v>72304</v>
      </c>
      <c r="B72305">
        <f>TEXT(72304, "[$-0E0000]yyyy-mm-dd")</f>
        <v/>
      </c>
      <c r="C72305" t="inlineStr">
        <is>
          <t>2097-11-13</t>
        </is>
      </c>
    </row>
    <row r="72306">
      <c r="A72306" s="1" t="n">
        <v>72305</v>
      </c>
      <c r="B72306">
        <f>TEXT(72305, "[$-0E0000]yyyy-mm-dd")</f>
        <v/>
      </c>
      <c r="C72306" t="inlineStr">
        <is>
          <t>2097-11-14</t>
        </is>
      </c>
    </row>
    <row r="72307">
      <c r="A72307" s="1" t="n">
        <v>72306</v>
      </c>
      <c r="B72307">
        <f>TEXT(72306, "[$-0E0000]yyyy-mm-dd")</f>
        <v/>
      </c>
      <c r="C72307" t="inlineStr">
        <is>
          <t>2097-11-15</t>
        </is>
      </c>
    </row>
    <row r="72308">
      <c r="A72308" s="1" t="n">
        <v>72307</v>
      </c>
      <c r="B72308">
        <f>TEXT(72307, "[$-0E0000]yyyy-mm-dd")</f>
        <v/>
      </c>
      <c r="C72308" t="inlineStr">
        <is>
          <t>2097-11-16</t>
        </is>
      </c>
    </row>
    <row r="72309">
      <c r="A72309" s="1" t="n">
        <v>72308</v>
      </c>
      <c r="B72309">
        <f>TEXT(72308, "[$-0E0000]yyyy-mm-dd")</f>
        <v/>
      </c>
      <c r="C72309" t="inlineStr">
        <is>
          <t>2097-11-17</t>
        </is>
      </c>
    </row>
    <row r="72310">
      <c r="A72310" s="1" t="n">
        <v>72309</v>
      </c>
      <c r="B72310">
        <f>TEXT(72309, "[$-0E0000]yyyy-mm-dd")</f>
        <v/>
      </c>
      <c r="C72310" t="inlineStr">
        <is>
          <t>2097-11-18</t>
        </is>
      </c>
    </row>
    <row r="72311">
      <c r="A72311" s="1" t="n">
        <v>72310</v>
      </c>
      <c r="B72311">
        <f>TEXT(72310, "[$-0E0000]yyyy-mm-dd")</f>
        <v/>
      </c>
      <c r="C72311" t="inlineStr">
        <is>
          <t>2097-11-19</t>
        </is>
      </c>
    </row>
    <row r="72312">
      <c r="A72312" s="1" t="n">
        <v>72311</v>
      </c>
      <c r="B72312">
        <f>TEXT(72311, "[$-0E0000]yyyy-mm-dd")</f>
        <v/>
      </c>
      <c r="C72312" t="inlineStr">
        <is>
          <t>2097-11-20</t>
        </is>
      </c>
    </row>
    <row r="72313">
      <c r="A72313" s="1" t="n">
        <v>72312</v>
      </c>
      <c r="B72313">
        <f>TEXT(72312, "[$-0E0000]yyyy-mm-dd")</f>
        <v/>
      </c>
      <c r="C72313" t="inlineStr">
        <is>
          <t>2097-11-21</t>
        </is>
      </c>
    </row>
    <row r="72314">
      <c r="A72314" s="1" t="n">
        <v>72313</v>
      </c>
      <c r="B72314">
        <f>TEXT(72313, "[$-0E0000]yyyy-mm-dd")</f>
        <v/>
      </c>
      <c r="C72314" t="inlineStr">
        <is>
          <t>2097-11-22</t>
        </is>
      </c>
    </row>
    <row r="72315">
      <c r="A72315" s="1" t="n">
        <v>72314</v>
      </c>
      <c r="B72315">
        <f>TEXT(72314, "[$-0E0000]yyyy-mm-dd")</f>
        <v/>
      </c>
      <c r="C72315" t="inlineStr">
        <is>
          <t>2097-11-23</t>
        </is>
      </c>
    </row>
    <row r="72316">
      <c r="A72316" s="1" t="n">
        <v>72315</v>
      </c>
      <c r="B72316">
        <f>TEXT(72315, "[$-0E0000]yyyy-mm-dd")</f>
        <v/>
      </c>
      <c r="C72316" t="inlineStr">
        <is>
          <t>2097-11-24</t>
        </is>
      </c>
    </row>
    <row r="72317">
      <c r="A72317" s="1" t="n">
        <v>72316</v>
      </c>
      <c r="B72317">
        <f>TEXT(72316, "[$-0E0000]yyyy-mm-dd")</f>
        <v/>
      </c>
      <c r="C72317" t="inlineStr">
        <is>
          <t>2097-11-25</t>
        </is>
      </c>
    </row>
    <row r="72318">
      <c r="A72318" s="1" t="n">
        <v>72317</v>
      </c>
      <c r="B72318">
        <f>TEXT(72317, "[$-0E0000]yyyy-mm-dd")</f>
        <v/>
      </c>
      <c r="C72318" t="inlineStr">
        <is>
          <t>2097-11-26</t>
        </is>
      </c>
    </row>
    <row r="72319">
      <c r="A72319" s="1" t="n">
        <v>72318</v>
      </c>
      <c r="B72319">
        <f>TEXT(72318, "[$-0E0000]yyyy-mm-dd")</f>
        <v/>
      </c>
      <c r="C72319" t="inlineStr">
        <is>
          <t>2097-11-27</t>
        </is>
      </c>
    </row>
    <row r="72320">
      <c r="A72320" s="1" t="n">
        <v>72319</v>
      </c>
      <c r="B72320">
        <f>TEXT(72319, "[$-0E0000]yyyy-mm-dd")</f>
        <v/>
      </c>
      <c r="C72320" t="inlineStr">
        <is>
          <t>2097-11-28</t>
        </is>
      </c>
    </row>
    <row r="72321">
      <c r="A72321" s="1" t="n">
        <v>72320</v>
      </c>
      <c r="B72321">
        <f>TEXT(72320, "[$-0E0000]yyyy-mm-dd")</f>
        <v/>
      </c>
      <c r="C72321" t="inlineStr">
        <is>
          <t>2097-11-29</t>
        </is>
      </c>
    </row>
    <row r="72322">
      <c r="A72322" s="1" t="n">
        <v>72321</v>
      </c>
      <c r="B72322">
        <f>TEXT(72321, "[$-0E0000]yyyy-mm-dd")</f>
        <v/>
      </c>
      <c r="C72322" t="inlineStr">
        <is>
          <t>2097-12-01</t>
        </is>
      </c>
    </row>
    <row r="72323">
      <c r="A72323" s="1" t="n">
        <v>72322</v>
      </c>
      <c r="B72323">
        <f>TEXT(72322, "[$-0E0000]yyyy-mm-dd")</f>
        <v/>
      </c>
      <c r="C72323" t="inlineStr">
        <is>
          <t>2097-12-02</t>
        </is>
      </c>
    </row>
    <row r="72324">
      <c r="A72324" s="1" t="n">
        <v>72323</v>
      </c>
      <c r="B72324">
        <f>TEXT(72323, "[$-0E0000]yyyy-mm-dd")</f>
        <v/>
      </c>
      <c r="C72324" t="inlineStr">
        <is>
          <t>2097-12-03</t>
        </is>
      </c>
    </row>
    <row r="72325">
      <c r="A72325" s="1" t="n">
        <v>72324</v>
      </c>
      <c r="B72325">
        <f>TEXT(72324, "[$-0E0000]yyyy-mm-dd")</f>
        <v/>
      </c>
      <c r="C72325" t="inlineStr">
        <is>
          <t>2097-12-04</t>
        </is>
      </c>
    </row>
    <row r="72326">
      <c r="A72326" s="1" t="n">
        <v>72325</v>
      </c>
      <c r="B72326">
        <f>TEXT(72325, "[$-0E0000]yyyy-mm-dd")</f>
        <v/>
      </c>
      <c r="C72326" t="inlineStr">
        <is>
          <t>2097-12-05</t>
        </is>
      </c>
    </row>
    <row r="72327">
      <c r="A72327" s="1" t="n">
        <v>72326</v>
      </c>
      <c r="B72327">
        <f>TEXT(72326, "[$-0E0000]yyyy-mm-dd")</f>
        <v/>
      </c>
      <c r="C72327" t="inlineStr">
        <is>
          <t>2097-12-06</t>
        </is>
      </c>
    </row>
    <row r="72328">
      <c r="A72328" s="1" t="n">
        <v>72327</v>
      </c>
      <c r="B72328">
        <f>TEXT(72327, "[$-0E0000]yyyy-mm-dd")</f>
        <v/>
      </c>
      <c r="C72328" t="inlineStr">
        <is>
          <t>2097-12-07</t>
        </is>
      </c>
    </row>
    <row r="72329">
      <c r="A72329" s="1" t="n">
        <v>72328</v>
      </c>
      <c r="B72329">
        <f>TEXT(72328, "[$-0E0000]yyyy-mm-dd")</f>
        <v/>
      </c>
      <c r="C72329" t="inlineStr">
        <is>
          <t>2097-12-08</t>
        </is>
      </c>
    </row>
    <row r="72330">
      <c r="A72330" s="1" t="n">
        <v>72329</v>
      </c>
      <c r="B72330">
        <f>TEXT(72329, "[$-0E0000]yyyy-mm-dd")</f>
        <v/>
      </c>
      <c r="C72330" t="inlineStr">
        <is>
          <t>2097-12-09</t>
        </is>
      </c>
    </row>
    <row r="72331">
      <c r="A72331" s="1" t="n">
        <v>72330</v>
      </c>
      <c r="B72331">
        <f>TEXT(72330, "[$-0E0000]yyyy-mm-dd")</f>
        <v/>
      </c>
      <c r="C72331" t="inlineStr">
        <is>
          <t>2097-12-10</t>
        </is>
      </c>
    </row>
    <row r="72332">
      <c r="A72332" s="1" t="n">
        <v>72331</v>
      </c>
      <c r="B72332">
        <f>TEXT(72331, "[$-0E0000]yyyy-mm-dd")</f>
        <v/>
      </c>
      <c r="C72332" t="inlineStr">
        <is>
          <t>2097-12-11</t>
        </is>
      </c>
    </row>
    <row r="72333">
      <c r="A72333" s="1" t="n">
        <v>72332</v>
      </c>
      <c r="B72333">
        <f>TEXT(72332, "[$-0E0000]yyyy-mm-dd")</f>
        <v/>
      </c>
      <c r="C72333" t="inlineStr">
        <is>
          <t>2097-12-12</t>
        </is>
      </c>
    </row>
    <row r="72334">
      <c r="A72334" s="1" t="n">
        <v>72333</v>
      </c>
      <c r="B72334">
        <f>TEXT(72333, "[$-0E0000]yyyy-mm-dd")</f>
        <v/>
      </c>
      <c r="C72334" t="inlineStr">
        <is>
          <t>2097-12-13</t>
        </is>
      </c>
    </row>
    <row r="72335">
      <c r="A72335" s="1" t="n">
        <v>72334</v>
      </c>
      <c r="B72335">
        <f>TEXT(72334, "[$-0E0000]yyyy-mm-dd")</f>
        <v/>
      </c>
      <c r="C72335" t="inlineStr">
        <is>
          <t>2097-12-14</t>
        </is>
      </c>
    </row>
    <row r="72336">
      <c r="A72336" s="1" t="n">
        <v>72335</v>
      </c>
      <c r="B72336">
        <f>TEXT(72335, "[$-0E0000]yyyy-mm-dd")</f>
        <v/>
      </c>
      <c r="C72336" t="inlineStr">
        <is>
          <t>2097-12-15</t>
        </is>
      </c>
    </row>
    <row r="72337">
      <c r="A72337" s="1" t="n">
        <v>72336</v>
      </c>
      <c r="B72337">
        <f>TEXT(72336, "[$-0E0000]yyyy-mm-dd")</f>
        <v/>
      </c>
      <c r="C72337" t="inlineStr">
        <is>
          <t>2097-12-16</t>
        </is>
      </c>
    </row>
    <row r="72338">
      <c r="A72338" s="1" t="n">
        <v>72337</v>
      </c>
      <c r="B72338">
        <f>TEXT(72337, "[$-0E0000]yyyy-mm-dd")</f>
        <v/>
      </c>
      <c r="C72338" t="inlineStr">
        <is>
          <t>2097-12-17</t>
        </is>
      </c>
    </row>
    <row r="72339">
      <c r="A72339" s="1" t="n">
        <v>72338</v>
      </c>
      <c r="B72339">
        <f>TEXT(72338, "[$-0E0000]yyyy-mm-dd")</f>
        <v/>
      </c>
      <c r="C72339" t="inlineStr">
        <is>
          <t>2097-12-18</t>
        </is>
      </c>
    </row>
    <row r="72340">
      <c r="A72340" s="1" t="n">
        <v>72339</v>
      </c>
      <c r="B72340">
        <f>TEXT(72339, "[$-0E0000]yyyy-mm-dd")</f>
        <v/>
      </c>
      <c r="C72340" t="inlineStr">
        <is>
          <t>2097-12-19</t>
        </is>
      </c>
    </row>
    <row r="72341">
      <c r="A72341" s="1" t="n">
        <v>72340</v>
      </c>
      <c r="B72341">
        <f>TEXT(72340, "[$-0E0000]yyyy-mm-dd")</f>
        <v/>
      </c>
      <c r="C72341" t="inlineStr">
        <is>
          <t>2097-12-20</t>
        </is>
      </c>
    </row>
    <row r="72342">
      <c r="A72342" s="1" t="n">
        <v>72341</v>
      </c>
      <c r="B72342">
        <f>TEXT(72341, "[$-0E0000]yyyy-mm-dd")</f>
        <v/>
      </c>
      <c r="C72342" t="inlineStr">
        <is>
          <t>2097-12-21</t>
        </is>
      </c>
    </row>
    <row r="72343">
      <c r="A72343" s="1" t="n">
        <v>72342</v>
      </c>
      <c r="B72343">
        <f>TEXT(72342, "[$-0E0000]yyyy-mm-dd")</f>
        <v/>
      </c>
      <c r="C72343" t="inlineStr">
        <is>
          <t>2097-12-22</t>
        </is>
      </c>
    </row>
    <row r="72344">
      <c r="A72344" s="1" t="n">
        <v>72343</v>
      </c>
      <c r="B72344">
        <f>TEXT(72343, "[$-0E0000]yyyy-mm-dd")</f>
        <v/>
      </c>
      <c r="C72344" t="inlineStr">
        <is>
          <t>2097-12-23</t>
        </is>
      </c>
    </row>
    <row r="72345">
      <c r="A72345" s="1" t="n">
        <v>72344</v>
      </c>
      <c r="B72345">
        <f>TEXT(72344, "[$-0E0000]yyyy-mm-dd")</f>
        <v/>
      </c>
      <c r="C72345" t="inlineStr">
        <is>
          <t>2097-12-24</t>
        </is>
      </c>
    </row>
    <row r="72346">
      <c r="A72346" s="1" t="n">
        <v>72345</v>
      </c>
      <c r="B72346">
        <f>TEXT(72345, "[$-0E0000]yyyy-mm-dd")</f>
        <v/>
      </c>
      <c r="C72346" t="inlineStr">
        <is>
          <t>2097-12-25</t>
        </is>
      </c>
    </row>
    <row r="72347">
      <c r="A72347" s="1" t="n">
        <v>72346</v>
      </c>
      <c r="B72347">
        <f>TEXT(72346, "[$-0E0000]yyyy-mm-dd")</f>
        <v/>
      </c>
      <c r="C72347" t="inlineStr">
        <is>
          <t>2097-12-26</t>
        </is>
      </c>
    </row>
    <row r="72348">
      <c r="A72348" s="1" t="n">
        <v>72347</v>
      </c>
      <c r="B72348">
        <f>TEXT(72347, "[$-0E0000]yyyy-mm-dd")</f>
        <v/>
      </c>
      <c r="C72348" t="inlineStr">
        <is>
          <t>2097-12-27</t>
        </is>
      </c>
    </row>
    <row r="72349">
      <c r="A72349" s="1" t="n">
        <v>72348</v>
      </c>
      <c r="B72349">
        <f>TEXT(72348, "[$-0E0000]yyyy-mm-dd")</f>
        <v/>
      </c>
      <c r="C72349" t="inlineStr">
        <is>
          <t>2097-12-28</t>
        </is>
      </c>
    </row>
    <row r="72350">
      <c r="A72350" s="1" t="n">
        <v>72349</v>
      </c>
      <c r="B72350">
        <f>TEXT(72349, "[$-0E0000]yyyy-mm-dd")</f>
        <v/>
      </c>
      <c r="C72350" t="inlineStr">
        <is>
          <t>2097-12-29</t>
        </is>
      </c>
    </row>
    <row r="72351">
      <c r="A72351" s="1" t="n">
        <v>72350</v>
      </c>
      <c r="B72351">
        <f>TEXT(72350, "[$-0E0000]yyyy-mm-dd")</f>
        <v/>
      </c>
      <c r="C72351" t="inlineStr">
        <is>
          <t>2097-12-30</t>
        </is>
      </c>
    </row>
    <row r="72352">
      <c r="A72352" s="1" t="n">
        <v>72351</v>
      </c>
      <c r="B72352">
        <f>TEXT(72351, "[$-0E0000]yyyy-mm-dd")</f>
        <v/>
      </c>
      <c r="C72352" t="inlineStr">
        <is>
          <t>2098-01-01</t>
        </is>
      </c>
    </row>
    <row r="72353">
      <c r="A72353" s="1" t="n">
        <v>72352</v>
      </c>
      <c r="B72353">
        <f>TEXT(72352, "[$-0E0000]yyyy-mm-dd")</f>
        <v/>
      </c>
      <c r="C72353" t="inlineStr">
        <is>
          <t>2098-01-02</t>
        </is>
      </c>
    </row>
    <row r="72354">
      <c r="A72354" s="1" t="n">
        <v>72353</v>
      </c>
      <c r="B72354">
        <f>TEXT(72353, "[$-0E0000]yyyy-mm-dd")</f>
        <v/>
      </c>
      <c r="C72354" t="inlineStr">
        <is>
          <t>2098-01-03</t>
        </is>
      </c>
    </row>
    <row r="72355">
      <c r="A72355" s="1" t="n">
        <v>72354</v>
      </c>
      <c r="B72355">
        <f>TEXT(72354, "[$-0E0000]yyyy-mm-dd")</f>
        <v/>
      </c>
      <c r="C72355" t="inlineStr">
        <is>
          <t>2098-01-04</t>
        </is>
      </c>
    </row>
    <row r="72356">
      <c r="A72356" s="1" t="n">
        <v>72355</v>
      </c>
      <c r="B72356">
        <f>TEXT(72355, "[$-0E0000]yyyy-mm-dd")</f>
        <v/>
      </c>
      <c r="C72356" t="inlineStr">
        <is>
          <t>2098-01-05</t>
        </is>
      </c>
    </row>
    <row r="72357">
      <c r="A72357" s="1" t="n">
        <v>72356</v>
      </c>
      <c r="B72357">
        <f>TEXT(72356, "[$-0E0000]yyyy-mm-dd")</f>
        <v/>
      </c>
      <c r="C72357" t="inlineStr">
        <is>
          <t>2098-01-06</t>
        </is>
      </c>
    </row>
    <row r="72358">
      <c r="A72358" s="1" t="n">
        <v>72357</v>
      </c>
      <c r="B72358">
        <f>TEXT(72357, "[$-0E0000]yyyy-mm-dd")</f>
        <v/>
      </c>
      <c r="C72358" t="inlineStr">
        <is>
          <t>2098-01-07</t>
        </is>
      </c>
    </row>
    <row r="72359">
      <c r="A72359" s="1" t="n">
        <v>72358</v>
      </c>
      <c r="B72359">
        <f>TEXT(72358, "[$-0E0000]yyyy-mm-dd")</f>
        <v/>
      </c>
      <c r="C72359" t="inlineStr">
        <is>
          <t>2098-01-08</t>
        </is>
      </c>
    </row>
    <row r="72360">
      <c r="A72360" s="1" t="n">
        <v>72359</v>
      </c>
      <c r="B72360">
        <f>TEXT(72359, "[$-0E0000]yyyy-mm-dd")</f>
        <v/>
      </c>
      <c r="C72360" t="inlineStr">
        <is>
          <t>2098-01-09</t>
        </is>
      </c>
    </row>
    <row r="72361">
      <c r="A72361" s="1" t="n">
        <v>72360</v>
      </c>
      <c r="B72361">
        <f>TEXT(72360, "[$-0E0000]yyyy-mm-dd")</f>
        <v/>
      </c>
      <c r="C72361" t="inlineStr">
        <is>
          <t>2098-01-10</t>
        </is>
      </c>
    </row>
    <row r="72362">
      <c r="A72362" s="1" t="n">
        <v>72361</v>
      </c>
      <c r="B72362">
        <f>TEXT(72361, "[$-0E0000]yyyy-mm-dd")</f>
        <v/>
      </c>
      <c r="C72362" t="inlineStr">
        <is>
          <t>2098-01-11</t>
        </is>
      </c>
    </row>
    <row r="72363">
      <c r="A72363" s="1" t="n">
        <v>72362</v>
      </c>
      <c r="B72363">
        <f>TEXT(72362, "[$-0E0000]yyyy-mm-dd")</f>
        <v/>
      </c>
      <c r="C72363" t="inlineStr">
        <is>
          <t>2098-01-12</t>
        </is>
      </c>
    </row>
    <row r="72364">
      <c r="A72364" s="1" t="n">
        <v>72363</v>
      </c>
      <c r="B72364">
        <f>TEXT(72363, "[$-0E0000]yyyy-mm-dd")</f>
        <v/>
      </c>
      <c r="C72364" t="inlineStr">
        <is>
          <t>2098-01-13</t>
        </is>
      </c>
    </row>
    <row r="72365">
      <c r="A72365" s="1" t="n">
        <v>72364</v>
      </c>
      <c r="B72365">
        <f>TEXT(72364, "[$-0E0000]yyyy-mm-dd")</f>
        <v/>
      </c>
      <c r="C72365" t="inlineStr">
        <is>
          <t>2098-01-14</t>
        </is>
      </c>
    </row>
    <row r="72366">
      <c r="A72366" s="1" t="n">
        <v>72365</v>
      </c>
      <c r="B72366">
        <f>TEXT(72365, "[$-0E0000]yyyy-mm-dd")</f>
        <v/>
      </c>
      <c r="C72366" t="inlineStr">
        <is>
          <t>2098-01-15</t>
        </is>
      </c>
    </row>
    <row r="72367">
      <c r="A72367" s="1" t="n">
        <v>72366</v>
      </c>
      <c r="B72367">
        <f>TEXT(72366, "[$-0E0000]yyyy-mm-dd")</f>
        <v/>
      </c>
      <c r="C72367" t="inlineStr">
        <is>
          <t>2098-01-16</t>
        </is>
      </c>
    </row>
    <row r="72368">
      <c r="A72368" s="1" t="n">
        <v>72367</v>
      </c>
      <c r="B72368">
        <f>TEXT(72367, "[$-0E0000]yyyy-mm-dd")</f>
        <v/>
      </c>
      <c r="C72368" t="inlineStr">
        <is>
          <t>2098-01-17</t>
        </is>
      </c>
    </row>
    <row r="72369">
      <c r="A72369" s="1" t="n">
        <v>72368</v>
      </c>
      <c r="B72369">
        <f>TEXT(72368, "[$-0E0000]yyyy-mm-dd")</f>
        <v/>
      </c>
      <c r="C72369" t="inlineStr">
        <is>
          <t>2098-01-18</t>
        </is>
      </c>
    </row>
    <row r="72370">
      <c r="A72370" s="1" t="n">
        <v>72369</v>
      </c>
      <c r="B72370">
        <f>TEXT(72369, "[$-0E0000]yyyy-mm-dd")</f>
        <v/>
      </c>
      <c r="C72370" t="inlineStr">
        <is>
          <t>2098-01-19</t>
        </is>
      </c>
    </row>
    <row r="72371">
      <c r="A72371" s="1" t="n">
        <v>72370</v>
      </c>
      <c r="B72371">
        <f>TEXT(72370, "[$-0E0000]yyyy-mm-dd")</f>
        <v/>
      </c>
      <c r="C72371" t="inlineStr">
        <is>
          <t>2098-01-20</t>
        </is>
      </c>
    </row>
    <row r="72372">
      <c r="A72372" s="1" t="n">
        <v>72371</v>
      </c>
      <c r="B72372">
        <f>TEXT(72371, "[$-0E0000]yyyy-mm-dd")</f>
        <v/>
      </c>
      <c r="C72372" t="inlineStr">
        <is>
          <t>2098-01-21</t>
        </is>
      </c>
    </row>
    <row r="72373">
      <c r="A72373" s="1" t="n">
        <v>72372</v>
      </c>
      <c r="B72373">
        <f>TEXT(72372, "[$-0E0000]yyyy-mm-dd")</f>
        <v/>
      </c>
      <c r="C72373" t="inlineStr">
        <is>
          <t>2098-01-22</t>
        </is>
      </c>
    </row>
    <row r="72374">
      <c r="A72374" s="1" t="n">
        <v>72373</v>
      </c>
      <c r="B72374">
        <f>TEXT(72373, "[$-0E0000]yyyy-mm-dd")</f>
        <v/>
      </c>
      <c r="C72374" t="inlineStr">
        <is>
          <t>2098-01-23</t>
        </is>
      </c>
    </row>
    <row r="72375">
      <c r="A72375" s="1" t="n">
        <v>72374</v>
      </c>
      <c r="B72375">
        <f>TEXT(72374, "[$-0E0000]yyyy-mm-dd")</f>
        <v/>
      </c>
      <c r="C72375" t="inlineStr">
        <is>
          <t>2098-01-24</t>
        </is>
      </c>
    </row>
    <row r="72376">
      <c r="A72376" s="1" t="n">
        <v>72375</v>
      </c>
      <c r="B72376">
        <f>TEXT(72375, "[$-0E0000]yyyy-mm-dd")</f>
        <v/>
      </c>
      <c r="C72376" t="inlineStr">
        <is>
          <t>2098-01-25</t>
        </is>
      </c>
    </row>
    <row r="72377">
      <c r="A72377" s="1" t="n">
        <v>72376</v>
      </c>
      <c r="B72377">
        <f>TEXT(72376, "[$-0E0000]yyyy-mm-dd")</f>
        <v/>
      </c>
      <c r="C72377" t="inlineStr">
        <is>
          <t>2098-01-26</t>
        </is>
      </c>
    </row>
    <row r="72378">
      <c r="A72378" s="1" t="n">
        <v>72377</v>
      </c>
      <c r="B72378">
        <f>TEXT(72377, "[$-0E0000]yyyy-mm-dd")</f>
        <v/>
      </c>
      <c r="C72378" t="inlineStr">
        <is>
          <t>2098-01-27</t>
        </is>
      </c>
    </row>
    <row r="72379">
      <c r="A72379" s="1" t="n">
        <v>72378</v>
      </c>
      <c r="B72379">
        <f>TEXT(72378, "[$-0E0000]yyyy-mm-dd")</f>
        <v/>
      </c>
      <c r="C72379" t="inlineStr">
        <is>
          <t>2098-01-28</t>
        </is>
      </c>
    </row>
    <row r="72380">
      <c r="A72380" s="1" t="n">
        <v>72379</v>
      </c>
      <c r="B72380">
        <f>TEXT(72379, "[$-0E0000]yyyy-mm-dd")</f>
        <v/>
      </c>
      <c r="C72380" t="inlineStr">
        <is>
          <t>2098-01-29</t>
        </is>
      </c>
    </row>
    <row r="72381">
      <c r="A72381" s="1" t="n">
        <v>72380</v>
      </c>
      <c r="B72381">
        <f>TEXT(72380, "[$-0E0000]yyyy-mm-dd")</f>
        <v/>
      </c>
      <c r="C72381" t="inlineStr">
        <is>
          <t>2098-01-30</t>
        </is>
      </c>
    </row>
    <row r="72382">
      <c r="A72382" s="1" t="n">
        <v>72381</v>
      </c>
      <c r="B72382">
        <f>TEXT(72381, "[$-0E0000]yyyy-mm-dd")</f>
        <v/>
      </c>
      <c r="C72382" t="inlineStr">
        <is>
          <t>2098-02-01</t>
        </is>
      </c>
    </row>
    <row r="72383">
      <c r="A72383" s="1" t="n">
        <v>72382</v>
      </c>
      <c r="B72383">
        <f>TEXT(72382, "[$-0E0000]yyyy-mm-dd")</f>
        <v/>
      </c>
      <c r="C72383" t="inlineStr">
        <is>
          <t>2098-02-02</t>
        </is>
      </c>
    </row>
    <row r="72384">
      <c r="A72384" s="1" t="n">
        <v>72383</v>
      </c>
      <c r="B72384">
        <f>TEXT(72383, "[$-0E0000]yyyy-mm-dd")</f>
        <v/>
      </c>
      <c r="C72384" t="inlineStr">
        <is>
          <t>2098-02-03</t>
        </is>
      </c>
    </row>
    <row r="72385">
      <c r="A72385" s="1" t="n">
        <v>72384</v>
      </c>
      <c r="B72385">
        <f>TEXT(72384, "[$-0E0000]yyyy-mm-dd")</f>
        <v/>
      </c>
      <c r="C72385" t="inlineStr">
        <is>
          <t>2098-02-04</t>
        </is>
      </c>
    </row>
    <row r="72386">
      <c r="A72386" s="1" t="n">
        <v>72385</v>
      </c>
      <c r="B72386">
        <f>TEXT(72385, "[$-0E0000]yyyy-mm-dd")</f>
        <v/>
      </c>
      <c r="C72386" t="inlineStr">
        <is>
          <t>2098-02-05</t>
        </is>
      </c>
    </row>
    <row r="72387">
      <c r="A72387" s="1" t="n">
        <v>72386</v>
      </c>
      <c r="B72387">
        <f>TEXT(72386, "[$-0E0000]yyyy-mm-dd")</f>
        <v/>
      </c>
      <c r="C72387" t="inlineStr">
        <is>
          <t>2098-02-06</t>
        </is>
      </c>
    </row>
    <row r="72388">
      <c r="A72388" s="1" t="n">
        <v>72387</v>
      </c>
      <c r="B72388">
        <f>TEXT(72387, "[$-0E0000]yyyy-mm-dd")</f>
        <v/>
      </c>
      <c r="C72388" t="inlineStr">
        <is>
          <t>2098-02-07</t>
        </is>
      </c>
    </row>
    <row r="72389">
      <c r="A72389" s="1" t="n">
        <v>72388</v>
      </c>
      <c r="B72389">
        <f>TEXT(72388, "[$-0E0000]yyyy-mm-dd")</f>
        <v/>
      </c>
      <c r="C72389" t="inlineStr">
        <is>
          <t>2098-02-08</t>
        </is>
      </c>
    </row>
    <row r="72390">
      <c r="A72390" s="1" t="n">
        <v>72389</v>
      </c>
      <c r="B72390">
        <f>TEXT(72389, "[$-0E0000]yyyy-mm-dd")</f>
        <v/>
      </c>
      <c r="C72390" t="inlineStr">
        <is>
          <t>2098-02-09</t>
        </is>
      </c>
    </row>
    <row r="72391">
      <c r="A72391" s="1" t="n">
        <v>72390</v>
      </c>
      <c r="B72391">
        <f>TEXT(72390, "[$-0E0000]yyyy-mm-dd")</f>
        <v/>
      </c>
      <c r="C72391" t="inlineStr">
        <is>
          <t>2098-02-10</t>
        </is>
      </c>
    </row>
    <row r="72392">
      <c r="A72392" s="1" t="n">
        <v>72391</v>
      </c>
      <c r="B72392">
        <f>TEXT(72391, "[$-0E0000]yyyy-mm-dd")</f>
        <v/>
      </c>
      <c r="C72392" t="inlineStr">
        <is>
          <t>2098-02-11</t>
        </is>
      </c>
    </row>
    <row r="72393">
      <c r="A72393" s="1" t="n">
        <v>72392</v>
      </c>
      <c r="B72393">
        <f>TEXT(72392, "[$-0E0000]yyyy-mm-dd")</f>
        <v/>
      </c>
      <c r="C72393" t="inlineStr">
        <is>
          <t>2098-02-12</t>
        </is>
      </c>
    </row>
    <row r="72394">
      <c r="A72394" s="1" t="n">
        <v>72393</v>
      </c>
      <c r="B72394">
        <f>TEXT(72393, "[$-0E0000]yyyy-mm-dd")</f>
        <v/>
      </c>
      <c r="C72394" t="inlineStr">
        <is>
          <t>2098-02-13</t>
        </is>
      </c>
    </row>
    <row r="72395">
      <c r="A72395" s="1" t="n">
        <v>72394</v>
      </c>
      <c r="B72395">
        <f>TEXT(72394, "[$-0E0000]yyyy-mm-dd")</f>
        <v/>
      </c>
      <c r="C72395" t="inlineStr">
        <is>
          <t>2098-02-14</t>
        </is>
      </c>
    </row>
    <row r="72396">
      <c r="A72396" s="1" t="n">
        <v>72395</v>
      </c>
      <c r="B72396">
        <f>TEXT(72395, "[$-0E0000]yyyy-mm-dd")</f>
        <v/>
      </c>
      <c r="C72396" t="inlineStr">
        <is>
          <t>2098-02-15</t>
        </is>
      </c>
    </row>
    <row r="72397">
      <c r="A72397" s="1" t="n">
        <v>72396</v>
      </c>
      <c r="B72397">
        <f>TEXT(72396, "[$-0E0000]yyyy-mm-dd")</f>
        <v/>
      </c>
      <c r="C72397" t="inlineStr">
        <is>
          <t>2098-02-16</t>
        </is>
      </c>
    </row>
    <row r="72398">
      <c r="A72398" s="1" t="n">
        <v>72397</v>
      </c>
      <c r="B72398">
        <f>TEXT(72397, "[$-0E0000]yyyy-mm-dd")</f>
        <v/>
      </c>
      <c r="C72398" t="inlineStr">
        <is>
          <t>2098-02-17</t>
        </is>
      </c>
    </row>
    <row r="72399">
      <c r="A72399" s="1" t="n">
        <v>72398</v>
      </c>
      <c r="B72399">
        <f>TEXT(72398, "[$-0E0000]yyyy-mm-dd")</f>
        <v/>
      </c>
      <c r="C72399" t="inlineStr">
        <is>
          <t>2098-02-18</t>
        </is>
      </c>
    </row>
    <row r="72400">
      <c r="A72400" s="1" t="n">
        <v>72399</v>
      </c>
      <c r="B72400">
        <f>TEXT(72399, "[$-0E0000]yyyy-mm-dd")</f>
        <v/>
      </c>
      <c r="C72400" t="inlineStr">
        <is>
          <t>2098-02-19</t>
        </is>
      </c>
    </row>
    <row r="72401">
      <c r="A72401" s="1" t="n">
        <v>72400</v>
      </c>
      <c r="B72401">
        <f>TEXT(72400, "[$-0E0000]yyyy-mm-dd")</f>
        <v/>
      </c>
      <c r="C72401" t="inlineStr">
        <is>
          <t>2098-02-20</t>
        </is>
      </c>
    </row>
    <row r="72402">
      <c r="A72402" s="1" t="n">
        <v>72401</v>
      </c>
      <c r="B72402">
        <f>TEXT(72401, "[$-0E0000]yyyy-mm-dd")</f>
        <v/>
      </c>
      <c r="C72402" t="inlineStr">
        <is>
          <t>2098-02-21</t>
        </is>
      </c>
    </row>
    <row r="72403">
      <c r="A72403" s="1" t="n">
        <v>72402</v>
      </c>
      <c r="B72403">
        <f>TEXT(72402, "[$-0E0000]yyyy-mm-dd")</f>
        <v/>
      </c>
      <c r="C72403" t="inlineStr">
        <is>
          <t>2098-02-22</t>
        </is>
      </c>
    </row>
    <row r="72404">
      <c r="A72404" s="1" t="n">
        <v>72403</v>
      </c>
      <c r="B72404">
        <f>TEXT(72403, "[$-0E0000]yyyy-mm-dd")</f>
        <v/>
      </c>
      <c r="C72404" t="inlineStr">
        <is>
          <t>2098-02-23</t>
        </is>
      </c>
    </row>
    <row r="72405">
      <c r="A72405" s="1" t="n">
        <v>72404</v>
      </c>
      <c r="B72405">
        <f>TEXT(72404, "[$-0E0000]yyyy-mm-dd")</f>
        <v/>
      </c>
      <c r="C72405" t="inlineStr">
        <is>
          <t>2098-02-24</t>
        </is>
      </c>
    </row>
    <row r="72406">
      <c r="A72406" s="1" t="n">
        <v>72405</v>
      </c>
      <c r="B72406">
        <f>TEXT(72405, "[$-0E0000]yyyy-mm-dd")</f>
        <v/>
      </c>
      <c r="C72406" t="inlineStr">
        <is>
          <t>2098-02-25</t>
        </is>
      </c>
    </row>
    <row r="72407">
      <c r="A72407" s="1" t="n">
        <v>72406</v>
      </c>
      <c r="B72407">
        <f>TEXT(72406, "[$-0E0000]yyyy-mm-dd")</f>
        <v/>
      </c>
      <c r="C72407" t="inlineStr">
        <is>
          <t>2098-02-26</t>
        </is>
      </c>
    </row>
    <row r="72408">
      <c r="A72408" s="1" t="n">
        <v>72407</v>
      </c>
      <c r="B72408">
        <f>TEXT(72407, "[$-0E0000]yyyy-mm-dd")</f>
        <v/>
      </c>
      <c r="C72408" t="inlineStr">
        <is>
          <t>2098-02-27</t>
        </is>
      </c>
    </row>
    <row r="72409">
      <c r="A72409" s="1" t="n">
        <v>72408</v>
      </c>
      <c r="B72409">
        <f>TEXT(72408, "[$-0E0000]yyyy-mm-dd")</f>
        <v/>
      </c>
      <c r="C72409" t="inlineStr">
        <is>
          <t>2098-02-28</t>
        </is>
      </c>
    </row>
    <row r="72410">
      <c r="A72410" s="1" t="n">
        <v>72409</v>
      </c>
      <c r="B72410">
        <f>TEXT(72409, "[$-0E0000]yyyy-mm-dd")</f>
        <v/>
      </c>
      <c r="C72410" t="inlineStr">
        <is>
          <t>2098-02-29</t>
        </is>
      </c>
    </row>
    <row r="72411">
      <c r="A72411" s="1" t="n">
        <v>72410</v>
      </c>
      <c r="B72411">
        <f>TEXT(72410, "[$-0E0000]yyyy-mm-dd")</f>
        <v/>
      </c>
      <c r="C72411" t="inlineStr">
        <is>
          <t>2098-02-30</t>
        </is>
      </c>
    </row>
    <row r="72412">
      <c r="A72412" s="1" t="n">
        <v>72411</v>
      </c>
      <c r="B72412">
        <f>TEXT(72411, "[$-0E0000]yyyy-mm-dd")</f>
        <v/>
      </c>
      <c r="C72412" t="inlineStr">
        <is>
          <t>2098-03-01</t>
        </is>
      </c>
    </row>
    <row r="72413">
      <c r="A72413" s="1" t="n">
        <v>72412</v>
      </c>
      <c r="B72413">
        <f>TEXT(72412, "[$-0E0000]yyyy-mm-dd")</f>
        <v/>
      </c>
      <c r="C72413" t="inlineStr">
        <is>
          <t>2098-03-02</t>
        </is>
      </c>
    </row>
    <row r="72414">
      <c r="A72414" s="1" t="n">
        <v>72413</v>
      </c>
      <c r="B72414">
        <f>TEXT(72413, "[$-0E0000]yyyy-mm-dd")</f>
        <v/>
      </c>
      <c r="C72414" t="inlineStr">
        <is>
          <t>2098-03-03</t>
        </is>
      </c>
    </row>
    <row r="72415">
      <c r="A72415" s="1" t="n">
        <v>72414</v>
      </c>
      <c r="B72415">
        <f>TEXT(72414, "[$-0E0000]yyyy-mm-dd")</f>
        <v/>
      </c>
      <c r="C72415" t="inlineStr">
        <is>
          <t>2098-03-04</t>
        </is>
      </c>
    </row>
    <row r="72416">
      <c r="A72416" s="1" t="n">
        <v>72415</v>
      </c>
      <c r="B72416">
        <f>TEXT(72415, "[$-0E0000]yyyy-mm-dd")</f>
        <v/>
      </c>
      <c r="C72416" t="inlineStr">
        <is>
          <t>2098-03-05</t>
        </is>
      </c>
    </row>
    <row r="72417">
      <c r="A72417" s="1" t="n">
        <v>72416</v>
      </c>
      <c r="B72417">
        <f>TEXT(72416, "[$-0E0000]yyyy-mm-dd")</f>
        <v/>
      </c>
      <c r="C72417" t="inlineStr">
        <is>
          <t>2098-03-06</t>
        </is>
      </c>
    </row>
    <row r="72418">
      <c r="A72418" s="1" t="n">
        <v>72417</v>
      </c>
      <c r="B72418">
        <f>TEXT(72417, "[$-0E0000]yyyy-mm-dd")</f>
        <v/>
      </c>
      <c r="C72418" t="inlineStr">
        <is>
          <t>2098-03-07</t>
        </is>
      </c>
    </row>
    <row r="72419">
      <c r="A72419" s="1" t="n">
        <v>72418</v>
      </c>
      <c r="B72419">
        <f>TEXT(72418, "[$-0E0000]yyyy-mm-dd")</f>
        <v/>
      </c>
      <c r="C72419" t="inlineStr">
        <is>
          <t>2098-03-08</t>
        </is>
      </c>
    </row>
    <row r="72420">
      <c r="A72420" s="1" t="n">
        <v>72419</v>
      </c>
      <c r="B72420">
        <f>TEXT(72419, "[$-0E0000]yyyy-mm-dd")</f>
        <v/>
      </c>
      <c r="C72420" t="inlineStr">
        <is>
          <t>2098-03-09</t>
        </is>
      </c>
    </row>
    <row r="72421">
      <c r="A72421" s="1" t="n">
        <v>72420</v>
      </c>
      <c r="B72421">
        <f>TEXT(72420, "[$-0E0000]yyyy-mm-dd")</f>
        <v/>
      </c>
      <c r="C72421" t="inlineStr">
        <is>
          <t>2098-03-10</t>
        </is>
      </c>
    </row>
    <row r="72422">
      <c r="A72422" s="1" t="n">
        <v>72421</v>
      </c>
      <c r="B72422">
        <f>TEXT(72421, "[$-0E0000]yyyy-mm-dd")</f>
        <v/>
      </c>
      <c r="C72422" t="inlineStr">
        <is>
          <t>2098-03-11</t>
        </is>
      </c>
    </row>
    <row r="72423">
      <c r="A72423" s="1" t="n">
        <v>72422</v>
      </c>
      <c r="B72423">
        <f>TEXT(72422, "[$-0E0000]yyyy-mm-dd")</f>
        <v/>
      </c>
      <c r="C72423" t="inlineStr">
        <is>
          <t>2098-03-12</t>
        </is>
      </c>
    </row>
    <row r="72424">
      <c r="A72424" s="1" t="n">
        <v>72423</v>
      </c>
      <c r="B72424">
        <f>TEXT(72423, "[$-0E0000]yyyy-mm-dd")</f>
        <v/>
      </c>
      <c r="C72424" t="inlineStr">
        <is>
          <t>2098-03-13</t>
        </is>
      </c>
    </row>
    <row r="72425">
      <c r="A72425" s="1" t="n">
        <v>72424</v>
      </c>
      <c r="B72425">
        <f>TEXT(72424, "[$-0E0000]yyyy-mm-dd")</f>
        <v/>
      </c>
      <c r="C72425" t="inlineStr">
        <is>
          <t>2098-03-14</t>
        </is>
      </c>
    </row>
    <row r="72426">
      <c r="A72426" s="1" t="n">
        <v>72425</v>
      </c>
      <c r="B72426">
        <f>TEXT(72425, "[$-0E0000]yyyy-mm-dd")</f>
        <v/>
      </c>
      <c r="C72426" t="inlineStr">
        <is>
          <t>2098-03-15</t>
        </is>
      </c>
    </row>
    <row r="72427">
      <c r="A72427" s="1" t="n">
        <v>72426</v>
      </c>
      <c r="B72427">
        <f>TEXT(72426, "[$-0E0000]yyyy-mm-dd")</f>
        <v/>
      </c>
      <c r="C72427" t="inlineStr">
        <is>
          <t>2098-03-16</t>
        </is>
      </c>
    </row>
    <row r="72428">
      <c r="A72428" s="1" t="n">
        <v>72427</v>
      </c>
      <c r="B72428">
        <f>TEXT(72427, "[$-0E0000]yyyy-mm-dd")</f>
        <v/>
      </c>
      <c r="C72428" t="inlineStr">
        <is>
          <t>2098-03-17</t>
        </is>
      </c>
    </row>
    <row r="72429">
      <c r="A72429" s="1" t="n">
        <v>72428</v>
      </c>
      <c r="B72429">
        <f>TEXT(72428, "[$-0E0000]yyyy-mm-dd")</f>
        <v/>
      </c>
      <c r="C72429" t="inlineStr">
        <is>
          <t>2098-03-18</t>
        </is>
      </c>
    </row>
    <row r="72430">
      <c r="A72430" s="1" t="n">
        <v>72429</v>
      </c>
      <c r="B72430">
        <f>TEXT(72429, "[$-0E0000]yyyy-mm-dd")</f>
        <v/>
      </c>
      <c r="C72430" t="inlineStr">
        <is>
          <t>2098-03-19</t>
        </is>
      </c>
    </row>
    <row r="72431">
      <c r="A72431" s="1" t="n">
        <v>72430</v>
      </c>
      <c r="B72431">
        <f>TEXT(72430, "[$-0E0000]yyyy-mm-dd")</f>
        <v/>
      </c>
      <c r="C72431" t="inlineStr">
        <is>
          <t>2098-03-20</t>
        </is>
      </c>
    </row>
    <row r="72432">
      <c r="A72432" s="1" t="n">
        <v>72431</v>
      </c>
      <c r="B72432">
        <f>TEXT(72431, "[$-0E0000]yyyy-mm-dd")</f>
        <v/>
      </c>
      <c r="C72432" t="inlineStr">
        <is>
          <t>2098-03-21</t>
        </is>
      </c>
    </row>
    <row r="72433">
      <c r="A72433" s="1" t="n">
        <v>72432</v>
      </c>
      <c r="B72433">
        <f>TEXT(72432, "[$-0E0000]yyyy-mm-dd")</f>
        <v/>
      </c>
      <c r="C72433" t="inlineStr">
        <is>
          <t>2098-03-22</t>
        </is>
      </c>
    </row>
    <row r="72434">
      <c r="A72434" s="1" t="n">
        <v>72433</v>
      </c>
      <c r="B72434">
        <f>TEXT(72433, "[$-0E0000]yyyy-mm-dd")</f>
        <v/>
      </c>
      <c r="C72434" t="inlineStr">
        <is>
          <t>2098-03-23</t>
        </is>
      </c>
    </row>
    <row r="72435">
      <c r="A72435" s="1" t="n">
        <v>72434</v>
      </c>
      <c r="B72435">
        <f>TEXT(72434, "[$-0E0000]yyyy-mm-dd")</f>
        <v/>
      </c>
      <c r="C72435" t="inlineStr">
        <is>
          <t>2098-03-24</t>
        </is>
      </c>
    </row>
    <row r="72436">
      <c r="A72436" s="1" t="n">
        <v>72435</v>
      </c>
      <c r="B72436">
        <f>TEXT(72435, "[$-0E0000]yyyy-mm-dd")</f>
        <v/>
      </c>
      <c r="C72436" t="inlineStr">
        <is>
          <t>2098-03-25</t>
        </is>
      </c>
    </row>
    <row r="72437">
      <c r="A72437" s="1" t="n">
        <v>72436</v>
      </c>
      <c r="B72437">
        <f>TEXT(72436, "[$-0E0000]yyyy-mm-dd")</f>
        <v/>
      </c>
      <c r="C72437" t="inlineStr">
        <is>
          <t>2098-03-26</t>
        </is>
      </c>
    </row>
    <row r="72438">
      <c r="A72438" s="1" t="n">
        <v>72437</v>
      </c>
      <c r="B72438">
        <f>TEXT(72437, "[$-0E0000]yyyy-mm-dd")</f>
        <v/>
      </c>
      <c r="C72438" t="inlineStr">
        <is>
          <t>2098-03-27</t>
        </is>
      </c>
    </row>
    <row r="72439">
      <c r="A72439" s="1" t="n">
        <v>72438</v>
      </c>
      <c r="B72439">
        <f>TEXT(72438, "[$-0E0000]yyyy-mm-dd")</f>
        <v/>
      </c>
      <c r="C72439" t="inlineStr">
        <is>
          <t>2098-03-28</t>
        </is>
      </c>
    </row>
    <row r="72440">
      <c r="A72440" s="1" t="n">
        <v>72439</v>
      </c>
      <c r="B72440">
        <f>TEXT(72439, "[$-0E0000]yyyy-mm-dd")</f>
        <v/>
      </c>
      <c r="C72440" t="inlineStr">
        <is>
          <t>2098-03-29</t>
        </is>
      </c>
    </row>
    <row r="72441">
      <c r="A72441" s="1" t="n">
        <v>72440</v>
      </c>
      <c r="B72441">
        <f>TEXT(72440, "[$-0E0000]yyyy-mm-dd")</f>
        <v/>
      </c>
      <c r="C72441" t="inlineStr">
        <is>
          <t>2098-04-01</t>
        </is>
      </c>
    </row>
    <row r="72442">
      <c r="A72442" s="1" t="n">
        <v>72441</v>
      </c>
      <c r="B72442">
        <f>TEXT(72441, "[$-0E0000]yyyy-mm-dd")</f>
        <v/>
      </c>
      <c r="C72442" t="inlineStr">
        <is>
          <t>2098-04-02</t>
        </is>
      </c>
    </row>
    <row r="72443">
      <c r="A72443" s="1" t="n">
        <v>72442</v>
      </c>
      <c r="B72443">
        <f>TEXT(72442, "[$-0E0000]yyyy-mm-dd")</f>
        <v/>
      </c>
      <c r="C72443" t="inlineStr">
        <is>
          <t>2098-04-03</t>
        </is>
      </c>
    </row>
    <row r="72444">
      <c r="A72444" s="1" t="n">
        <v>72443</v>
      </c>
      <c r="B72444">
        <f>TEXT(72443, "[$-0E0000]yyyy-mm-dd")</f>
        <v/>
      </c>
      <c r="C72444" t="inlineStr">
        <is>
          <t>2098-04-04</t>
        </is>
      </c>
    </row>
    <row r="72445">
      <c r="A72445" s="1" t="n">
        <v>72444</v>
      </c>
      <c r="B72445">
        <f>TEXT(72444, "[$-0E0000]yyyy-mm-dd")</f>
        <v/>
      </c>
      <c r="C72445" t="inlineStr">
        <is>
          <t>2098-04-05</t>
        </is>
      </c>
    </row>
    <row r="72446">
      <c r="A72446" s="1" t="n">
        <v>72445</v>
      </c>
      <c r="B72446">
        <f>TEXT(72445, "[$-0E0000]yyyy-mm-dd")</f>
        <v/>
      </c>
      <c r="C72446" t="inlineStr">
        <is>
          <t>2098-04-06</t>
        </is>
      </c>
    </row>
    <row r="72447">
      <c r="A72447" s="1" t="n">
        <v>72446</v>
      </c>
      <c r="B72447">
        <f>TEXT(72446, "[$-0E0000]yyyy-mm-dd")</f>
        <v/>
      </c>
      <c r="C72447" t="inlineStr">
        <is>
          <t>2098-04-07</t>
        </is>
      </c>
    </row>
    <row r="72448">
      <c r="A72448" s="1" t="n">
        <v>72447</v>
      </c>
      <c r="B72448">
        <f>TEXT(72447, "[$-0E0000]yyyy-mm-dd")</f>
        <v/>
      </c>
      <c r="C72448" t="inlineStr">
        <is>
          <t>2098-04-08</t>
        </is>
      </c>
    </row>
    <row r="72449">
      <c r="A72449" s="1" t="n">
        <v>72448</v>
      </c>
      <c r="B72449">
        <f>TEXT(72448, "[$-0E0000]yyyy-mm-dd")</f>
        <v/>
      </c>
      <c r="C72449" t="inlineStr">
        <is>
          <t>2098-04-09</t>
        </is>
      </c>
    </row>
    <row r="72450">
      <c r="A72450" s="1" t="n">
        <v>72449</v>
      </c>
      <c r="B72450">
        <f>TEXT(72449, "[$-0E0000]yyyy-mm-dd")</f>
        <v/>
      </c>
      <c r="C72450" t="inlineStr">
        <is>
          <t>2098-04-10</t>
        </is>
      </c>
    </row>
    <row r="72451">
      <c r="A72451" s="1" t="n">
        <v>72450</v>
      </c>
      <c r="B72451">
        <f>TEXT(72450, "[$-0E0000]yyyy-mm-dd")</f>
        <v/>
      </c>
      <c r="C72451" t="inlineStr">
        <is>
          <t>2098-04-11</t>
        </is>
      </c>
    </row>
    <row r="72452">
      <c r="A72452" s="1" t="n">
        <v>72451</v>
      </c>
      <c r="B72452">
        <f>TEXT(72451, "[$-0E0000]yyyy-mm-dd")</f>
        <v/>
      </c>
      <c r="C72452" t="inlineStr">
        <is>
          <t>2098-04-12</t>
        </is>
      </c>
    </row>
    <row r="72453">
      <c r="A72453" s="1" t="n">
        <v>72452</v>
      </c>
      <c r="B72453">
        <f>TEXT(72452, "[$-0E0000]yyyy-mm-dd")</f>
        <v/>
      </c>
      <c r="C72453" t="inlineStr">
        <is>
          <t>2098-04-13</t>
        </is>
      </c>
    </row>
    <row r="72454">
      <c r="A72454" s="1" t="n">
        <v>72453</v>
      </c>
      <c r="B72454">
        <f>TEXT(72453, "[$-0E0000]yyyy-mm-dd")</f>
        <v/>
      </c>
      <c r="C72454" t="inlineStr">
        <is>
          <t>2098-04-14</t>
        </is>
      </c>
    </row>
    <row r="72455">
      <c r="A72455" s="1" t="n">
        <v>72454</v>
      </c>
      <c r="B72455">
        <f>TEXT(72454, "[$-0E0000]yyyy-mm-dd")</f>
        <v/>
      </c>
      <c r="C72455" t="inlineStr">
        <is>
          <t>2098-04-15</t>
        </is>
      </c>
    </row>
    <row r="72456">
      <c r="A72456" s="1" t="n">
        <v>72455</v>
      </c>
      <c r="B72456">
        <f>TEXT(72455, "[$-0E0000]yyyy-mm-dd")</f>
        <v/>
      </c>
      <c r="C72456" t="inlineStr">
        <is>
          <t>2098-04-16</t>
        </is>
      </c>
    </row>
    <row r="72457">
      <c r="A72457" s="1" t="n">
        <v>72456</v>
      </c>
      <c r="B72457">
        <f>TEXT(72456, "[$-0E0000]yyyy-mm-dd")</f>
        <v/>
      </c>
      <c r="C72457" t="inlineStr">
        <is>
          <t>2098-04-17</t>
        </is>
      </c>
    </row>
    <row r="72458">
      <c r="A72458" s="1" t="n">
        <v>72457</v>
      </c>
      <c r="B72458">
        <f>TEXT(72457, "[$-0E0000]yyyy-mm-dd")</f>
        <v/>
      </c>
      <c r="C72458" t="inlineStr">
        <is>
          <t>2098-04-18</t>
        </is>
      </c>
    </row>
    <row r="72459">
      <c r="A72459" s="1" t="n">
        <v>72458</v>
      </c>
      <c r="B72459">
        <f>TEXT(72458, "[$-0E0000]yyyy-mm-dd")</f>
        <v/>
      </c>
      <c r="C72459" t="inlineStr">
        <is>
          <t>2098-04-19</t>
        </is>
      </c>
    </row>
    <row r="72460">
      <c r="A72460" s="1" t="n">
        <v>72459</v>
      </c>
      <c r="B72460">
        <f>TEXT(72459, "[$-0E0000]yyyy-mm-dd")</f>
        <v/>
      </c>
      <c r="C72460" t="inlineStr">
        <is>
          <t>2098-04-20</t>
        </is>
      </c>
    </row>
    <row r="72461">
      <c r="A72461" s="1" t="n">
        <v>72460</v>
      </c>
      <c r="B72461">
        <f>TEXT(72460, "[$-0E0000]yyyy-mm-dd")</f>
        <v/>
      </c>
      <c r="C72461" t="inlineStr">
        <is>
          <t>2098-04-21</t>
        </is>
      </c>
    </row>
    <row r="72462">
      <c r="A72462" s="1" t="n">
        <v>72461</v>
      </c>
      <c r="B72462">
        <f>TEXT(72461, "[$-0E0000]yyyy-mm-dd")</f>
        <v/>
      </c>
      <c r="C72462" t="inlineStr">
        <is>
          <t>2098-04-22</t>
        </is>
      </c>
    </row>
    <row r="72463">
      <c r="A72463" s="1" t="n">
        <v>72462</v>
      </c>
      <c r="B72463">
        <f>TEXT(72462, "[$-0E0000]yyyy-mm-dd")</f>
        <v/>
      </c>
      <c r="C72463" t="inlineStr">
        <is>
          <t>2098-04-23</t>
        </is>
      </c>
    </row>
    <row r="72464">
      <c r="A72464" s="1" t="n">
        <v>72463</v>
      </c>
      <c r="B72464">
        <f>TEXT(72463, "[$-0E0000]yyyy-mm-dd")</f>
        <v/>
      </c>
      <c r="C72464" t="inlineStr">
        <is>
          <t>2098-04-24</t>
        </is>
      </c>
    </row>
    <row r="72465">
      <c r="A72465" s="1" t="n">
        <v>72464</v>
      </c>
      <c r="B72465">
        <f>TEXT(72464, "[$-0E0000]yyyy-mm-dd")</f>
        <v/>
      </c>
      <c r="C72465" t="inlineStr">
        <is>
          <t>2098-04-25</t>
        </is>
      </c>
    </row>
    <row r="72466">
      <c r="A72466" s="1" t="n">
        <v>72465</v>
      </c>
      <c r="B72466">
        <f>TEXT(72465, "[$-0E0000]yyyy-mm-dd")</f>
        <v/>
      </c>
      <c r="C72466" t="inlineStr">
        <is>
          <t>2098-04-26</t>
        </is>
      </c>
    </row>
    <row r="72467">
      <c r="A72467" s="1" t="n">
        <v>72466</v>
      </c>
      <c r="B72467">
        <f>TEXT(72466, "[$-0E0000]yyyy-mm-dd")</f>
        <v/>
      </c>
      <c r="C72467" t="inlineStr">
        <is>
          <t>2098-04-27</t>
        </is>
      </c>
    </row>
    <row r="72468">
      <c r="A72468" s="1" t="n">
        <v>72467</v>
      </c>
      <c r="B72468">
        <f>TEXT(72467, "[$-0E0000]yyyy-mm-dd")</f>
        <v/>
      </c>
      <c r="C72468" t="inlineStr">
        <is>
          <t>2098-04-28</t>
        </is>
      </c>
    </row>
    <row r="72469">
      <c r="A72469" s="1" t="n">
        <v>72468</v>
      </c>
      <c r="B72469">
        <f>TEXT(72468, "[$-0E0000]yyyy-mm-dd")</f>
        <v/>
      </c>
      <c r="C72469" t="inlineStr">
        <is>
          <t>2098-04-29</t>
        </is>
      </c>
    </row>
    <row r="72470">
      <c r="A72470" s="1" t="n">
        <v>72469</v>
      </c>
      <c r="B72470">
        <f>TEXT(72469, "[$-0E0000]yyyy-mm-dd")</f>
        <v/>
      </c>
      <c r="C72470" t="inlineStr">
        <is>
          <t>2098-04-30</t>
        </is>
      </c>
    </row>
    <row r="72471">
      <c r="A72471" s="1" t="n">
        <v>72470</v>
      </c>
      <c r="B72471">
        <f>TEXT(72470, "[$-0E0000]yyyy-mm-dd")</f>
        <v/>
      </c>
      <c r="C72471" t="inlineStr">
        <is>
          <t>2098-05-01</t>
        </is>
      </c>
    </row>
    <row r="72472">
      <c r="A72472" s="1" t="n">
        <v>72471</v>
      </c>
      <c r="B72472">
        <f>TEXT(72471, "[$-0E0000]yyyy-mm-dd")</f>
        <v/>
      </c>
      <c r="C72472" t="inlineStr">
        <is>
          <t>2098-05-02</t>
        </is>
      </c>
    </row>
    <row r="72473">
      <c r="A72473" s="1" t="n">
        <v>72472</v>
      </c>
      <c r="B72473">
        <f>TEXT(72472, "[$-0E0000]yyyy-mm-dd")</f>
        <v/>
      </c>
      <c r="C72473" t="inlineStr">
        <is>
          <t>2098-05-03</t>
        </is>
      </c>
    </row>
    <row r="72474">
      <c r="A72474" s="1" t="n">
        <v>72473</v>
      </c>
      <c r="B72474">
        <f>TEXT(72473, "[$-0E0000]yyyy-mm-dd")</f>
        <v/>
      </c>
      <c r="C72474" t="inlineStr">
        <is>
          <t>2098-05-04</t>
        </is>
      </c>
    </row>
    <row r="72475">
      <c r="A72475" s="1" t="n">
        <v>72474</v>
      </c>
      <c r="B72475">
        <f>TEXT(72474, "[$-0E0000]yyyy-mm-dd")</f>
        <v/>
      </c>
      <c r="C72475" t="inlineStr">
        <is>
          <t>2098-05-05</t>
        </is>
      </c>
    </row>
    <row r="72476">
      <c r="A72476" s="1" t="n">
        <v>72475</v>
      </c>
      <c r="B72476">
        <f>TEXT(72475, "[$-0E0000]yyyy-mm-dd")</f>
        <v/>
      </c>
      <c r="C72476" t="inlineStr">
        <is>
          <t>2098-05-06</t>
        </is>
      </c>
    </row>
    <row r="72477">
      <c r="A72477" s="1" t="n">
        <v>72476</v>
      </c>
      <c r="B72477">
        <f>TEXT(72476, "[$-0E0000]yyyy-mm-dd")</f>
        <v/>
      </c>
      <c r="C72477" t="inlineStr">
        <is>
          <t>2098-05-07</t>
        </is>
      </c>
    </row>
    <row r="72478">
      <c r="A72478" s="1" t="n">
        <v>72477</v>
      </c>
      <c r="B72478">
        <f>TEXT(72477, "[$-0E0000]yyyy-mm-dd")</f>
        <v/>
      </c>
      <c r="C72478" t="inlineStr">
        <is>
          <t>2098-05-08</t>
        </is>
      </c>
    </row>
    <row r="72479">
      <c r="A72479" s="1" t="n">
        <v>72478</v>
      </c>
      <c r="B72479">
        <f>TEXT(72478, "[$-0E0000]yyyy-mm-dd")</f>
        <v/>
      </c>
      <c r="C72479" t="inlineStr">
        <is>
          <t>2098-05-09</t>
        </is>
      </c>
    </row>
    <row r="72480">
      <c r="A72480" s="1" t="n">
        <v>72479</v>
      </c>
      <c r="B72480">
        <f>TEXT(72479, "[$-0E0000]yyyy-mm-dd")</f>
        <v/>
      </c>
      <c r="C72480" t="inlineStr">
        <is>
          <t>2098-05-10</t>
        </is>
      </c>
    </row>
    <row r="72481">
      <c r="A72481" s="1" t="n">
        <v>72480</v>
      </c>
      <c r="B72481">
        <f>TEXT(72480, "[$-0E0000]yyyy-mm-dd")</f>
        <v/>
      </c>
      <c r="C72481" t="inlineStr">
        <is>
          <t>2098-05-11</t>
        </is>
      </c>
    </row>
    <row r="72482">
      <c r="A72482" s="1" t="n">
        <v>72481</v>
      </c>
      <c r="B72482">
        <f>TEXT(72481, "[$-0E0000]yyyy-mm-dd")</f>
        <v/>
      </c>
      <c r="C72482" t="inlineStr">
        <is>
          <t>2098-05-12</t>
        </is>
      </c>
    </row>
    <row r="72483">
      <c r="A72483" s="1" t="n">
        <v>72482</v>
      </c>
      <c r="B72483">
        <f>TEXT(72482, "[$-0E0000]yyyy-mm-dd")</f>
        <v/>
      </c>
      <c r="C72483" t="inlineStr">
        <is>
          <t>2098-05-13</t>
        </is>
      </c>
    </row>
    <row r="72484">
      <c r="A72484" s="1" t="n">
        <v>72483</v>
      </c>
      <c r="B72484">
        <f>TEXT(72483, "[$-0E0000]yyyy-mm-dd")</f>
        <v/>
      </c>
      <c r="C72484" t="inlineStr">
        <is>
          <t>2098-05-14</t>
        </is>
      </c>
    </row>
    <row r="72485">
      <c r="A72485" s="1" t="n">
        <v>72484</v>
      </c>
      <c r="B72485">
        <f>TEXT(72484, "[$-0E0000]yyyy-mm-dd")</f>
        <v/>
      </c>
      <c r="C72485" t="inlineStr">
        <is>
          <t>2098-05-15</t>
        </is>
      </c>
    </row>
    <row r="72486">
      <c r="A72486" s="1" t="n">
        <v>72485</v>
      </c>
      <c r="B72486">
        <f>TEXT(72485, "[$-0E0000]yyyy-mm-dd")</f>
        <v/>
      </c>
      <c r="C72486" t="inlineStr">
        <is>
          <t>2098-05-16</t>
        </is>
      </c>
    </row>
    <row r="72487">
      <c r="A72487" s="1" t="n">
        <v>72486</v>
      </c>
      <c r="B72487">
        <f>TEXT(72486, "[$-0E0000]yyyy-mm-dd")</f>
        <v/>
      </c>
      <c r="C72487" t="inlineStr">
        <is>
          <t>2098-05-17</t>
        </is>
      </c>
    </row>
    <row r="72488">
      <c r="A72488" s="1" t="n">
        <v>72487</v>
      </c>
      <c r="B72488">
        <f>TEXT(72487, "[$-0E0000]yyyy-mm-dd")</f>
        <v/>
      </c>
      <c r="C72488" t="inlineStr">
        <is>
          <t>2098-05-18</t>
        </is>
      </c>
    </row>
    <row r="72489">
      <c r="A72489" s="1" t="n">
        <v>72488</v>
      </c>
      <c r="B72489">
        <f>TEXT(72488, "[$-0E0000]yyyy-mm-dd")</f>
        <v/>
      </c>
      <c r="C72489" t="inlineStr">
        <is>
          <t>2098-05-19</t>
        </is>
      </c>
    </row>
    <row r="72490">
      <c r="A72490" s="1" t="n">
        <v>72489</v>
      </c>
      <c r="B72490">
        <f>TEXT(72489, "[$-0E0000]yyyy-mm-dd")</f>
        <v/>
      </c>
      <c r="C72490" t="inlineStr">
        <is>
          <t>2098-05-20</t>
        </is>
      </c>
    </row>
    <row r="72491">
      <c r="A72491" s="1" t="n">
        <v>72490</v>
      </c>
      <c r="B72491">
        <f>TEXT(72490, "[$-0E0000]yyyy-mm-dd")</f>
        <v/>
      </c>
      <c r="C72491" t="inlineStr">
        <is>
          <t>2098-05-21</t>
        </is>
      </c>
    </row>
    <row r="72492">
      <c r="A72492" s="1" t="n">
        <v>72491</v>
      </c>
      <c r="B72492">
        <f>TEXT(72491, "[$-0E0000]yyyy-mm-dd")</f>
        <v/>
      </c>
      <c r="C72492" t="inlineStr">
        <is>
          <t>2098-05-22</t>
        </is>
      </c>
    </row>
    <row r="72493">
      <c r="A72493" s="1" t="n">
        <v>72492</v>
      </c>
      <c r="B72493">
        <f>TEXT(72492, "[$-0E0000]yyyy-mm-dd")</f>
        <v/>
      </c>
      <c r="C72493" t="inlineStr">
        <is>
          <t>2098-05-23</t>
        </is>
      </c>
    </row>
    <row r="72494">
      <c r="A72494" s="1" t="n">
        <v>72493</v>
      </c>
      <c r="B72494">
        <f>TEXT(72493, "[$-0E0000]yyyy-mm-dd")</f>
        <v/>
      </c>
      <c r="C72494" t="inlineStr">
        <is>
          <t>2098-05-24</t>
        </is>
      </c>
    </row>
    <row r="72495">
      <c r="A72495" s="1" t="n">
        <v>72494</v>
      </c>
      <c r="B72495">
        <f>TEXT(72494, "[$-0E0000]yyyy-mm-dd")</f>
        <v/>
      </c>
      <c r="C72495" t="inlineStr">
        <is>
          <t>2098-05-25</t>
        </is>
      </c>
    </row>
    <row r="72496">
      <c r="A72496" s="1" t="n">
        <v>72495</v>
      </c>
      <c r="B72496">
        <f>TEXT(72495, "[$-0E0000]yyyy-mm-dd")</f>
        <v/>
      </c>
      <c r="C72496" t="inlineStr">
        <is>
          <t>2098-05-26</t>
        </is>
      </c>
    </row>
    <row r="72497">
      <c r="A72497" s="1" t="n">
        <v>72496</v>
      </c>
      <c r="B72497">
        <f>TEXT(72496, "[$-0E0000]yyyy-mm-dd")</f>
        <v/>
      </c>
      <c r="C72497" t="inlineStr">
        <is>
          <t>2098-05-27</t>
        </is>
      </c>
    </row>
    <row r="72498">
      <c r="A72498" s="1" t="n">
        <v>72497</v>
      </c>
      <c r="B72498">
        <f>TEXT(72497, "[$-0E0000]yyyy-mm-dd")</f>
        <v/>
      </c>
      <c r="C72498" t="inlineStr">
        <is>
          <t>2098-05-28</t>
        </is>
      </c>
    </row>
    <row r="72499">
      <c r="A72499" s="1" t="n">
        <v>72498</v>
      </c>
      <c r="B72499">
        <f>TEXT(72498, "[$-0E0000]yyyy-mm-dd")</f>
        <v/>
      </c>
      <c r="C72499" t="inlineStr">
        <is>
          <t>2098-05-29</t>
        </is>
      </c>
    </row>
    <row r="72500">
      <c r="A72500" s="1" t="n">
        <v>72499</v>
      </c>
      <c r="B72500">
        <f>TEXT(72499, "[$-0E0000]yyyy-mm-dd")</f>
        <v/>
      </c>
      <c r="C72500" t="inlineStr">
        <is>
          <t>2098-06-01</t>
        </is>
      </c>
    </row>
    <row r="72501">
      <c r="A72501" s="1" t="n">
        <v>72500</v>
      </c>
      <c r="B72501">
        <f>TEXT(72500, "[$-0E0000]yyyy-mm-dd")</f>
        <v/>
      </c>
      <c r="C72501" t="inlineStr">
        <is>
          <t>2098-06-02</t>
        </is>
      </c>
    </row>
    <row r="72502">
      <c r="A72502" s="1" t="n">
        <v>72501</v>
      </c>
      <c r="B72502">
        <f>TEXT(72501, "[$-0E0000]yyyy-mm-dd")</f>
        <v/>
      </c>
      <c r="C72502" t="inlineStr">
        <is>
          <t>2098-06-03</t>
        </is>
      </c>
    </row>
    <row r="72503">
      <c r="A72503" s="1" t="n">
        <v>72502</v>
      </c>
      <c r="B72503">
        <f>TEXT(72502, "[$-0E0000]yyyy-mm-dd")</f>
        <v/>
      </c>
      <c r="C72503" t="inlineStr">
        <is>
          <t>2098-06-04</t>
        </is>
      </c>
    </row>
    <row r="72504">
      <c r="A72504" s="1" t="n">
        <v>72503</v>
      </c>
      <c r="B72504">
        <f>TEXT(72503, "[$-0E0000]yyyy-mm-dd")</f>
        <v/>
      </c>
      <c r="C72504" t="inlineStr">
        <is>
          <t>2098-06-05</t>
        </is>
      </c>
    </row>
    <row r="72505">
      <c r="A72505" s="1" t="n">
        <v>72504</v>
      </c>
      <c r="B72505">
        <f>TEXT(72504, "[$-0E0000]yyyy-mm-dd")</f>
        <v/>
      </c>
      <c r="C72505" t="inlineStr">
        <is>
          <t>2098-06-06</t>
        </is>
      </c>
    </row>
    <row r="72506">
      <c r="A72506" s="1" t="n">
        <v>72505</v>
      </c>
      <c r="B72506">
        <f>TEXT(72505, "[$-0E0000]yyyy-mm-dd")</f>
        <v/>
      </c>
      <c r="C72506" t="inlineStr">
        <is>
          <t>2098-06-07</t>
        </is>
      </c>
    </row>
    <row r="72507">
      <c r="A72507" s="1" t="n">
        <v>72506</v>
      </c>
      <c r="B72507">
        <f>TEXT(72506, "[$-0E0000]yyyy-mm-dd")</f>
        <v/>
      </c>
      <c r="C72507" t="inlineStr">
        <is>
          <t>2098-06-08</t>
        </is>
      </c>
    </row>
    <row r="72508">
      <c r="A72508" s="1" t="n">
        <v>72507</v>
      </c>
      <c r="B72508">
        <f>TEXT(72507, "[$-0E0000]yyyy-mm-dd")</f>
        <v/>
      </c>
      <c r="C72508" t="inlineStr">
        <is>
          <t>2098-06-09</t>
        </is>
      </c>
    </row>
    <row r="72509">
      <c r="A72509" s="1" t="n">
        <v>72508</v>
      </c>
      <c r="B72509">
        <f>TEXT(72508, "[$-0E0000]yyyy-mm-dd")</f>
        <v/>
      </c>
      <c r="C72509" t="inlineStr">
        <is>
          <t>2098-06-10</t>
        </is>
      </c>
    </row>
    <row r="72510">
      <c r="A72510" s="1" t="n">
        <v>72509</v>
      </c>
      <c r="B72510">
        <f>TEXT(72509, "[$-0E0000]yyyy-mm-dd")</f>
        <v/>
      </c>
      <c r="C72510" t="inlineStr">
        <is>
          <t>2098-06-11</t>
        </is>
      </c>
    </row>
    <row r="72511">
      <c r="A72511" s="1" t="n">
        <v>72510</v>
      </c>
      <c r="B72511">
        <f>TEXT(72510, "[$-0E0000]yyyy-mm-dd")</f>
        <v/>
      </c>
      <c r="C72511" t="inlineStr">
        <is>
          <t>2098-06-12</t>
        </is>
      </c>
    </row>
    <row r="72512">
      <c r="A72512" s="1" t="n">
        <v>72511</v>
      </c>
      <c r="B72512">
        <f>TEXT(72511, "[$-0E0000]yyyy-mm-dd")</f>
        <v/>
      </c>
      <c r="C72512" t="inlineStr">
        <is>
          <t>2098-06-13</t>
        </is>
      </c>
    </row>
    <row r="72513">
      <c r="A72513" s="1" t="n">
        <v>72512</v>
      </c>
      <c r="B72513">
        <f>TEXT(72512, "[$-0E0000]yyyy-mm-dd")</f>
        <v/>
      </c>
      <c r="C72513" t="inlineStr">
        <is>
          <t>2098-06-14</t>
        </is>
      </c>
    </row>
    <row r="72514">
      <c r="A72514" s="1" t="n">
        <v>72513</v>
      </c>
      <c r="B72514">
        <f>TEXT(72513, "[$-0E0000]yyyy-mm-dd")</f>
        <v/>
      </c>
      <c r="C72514" t="inlineStr">
        <is>
          <t>2098-06-15</t>
        </is>
      </c>
    </row>
    <row r="72515">
      <c r="A72515" s="1" t="n">
        <v>72514</v>
      </c>
      <c r="B72515">
        <f>TEXT(72514, "[$-0E0000]yyyy-mm-dd")</f>
        <v/>
      </c>
      <c r="C72515" t="inlineStr">
        <is>
          <t>2098-06-16</t>
        </is>
      </c>
    </row>
    <row r="72516">
      <c r="A72516" s="1" t="n">
        <v>72515</v>
      </c>
      <c r="B72516">
        <f>TEXT(72515, "[$-0E0000]yyyy-mm-dd")</f>
        <v/>
      </c>
      <c r="C72516" t="inlineStr">
        <is>
          <t>2098-06-17</t>
        </is>
      </c>
    </row>
    <row r="72517">
      <c r="A72517" s="1" t="n">
        <v>72516</v>
      </c>
      <c r="B72517">
        <f>TEXT(72516, "[$-0E0000]yyyy-mm-dd")</f>
        <v/>
      </c>
      <c r="C72517" t="inlineStr">
        <is>
          <t>2098-06-18</t>
        </is>
      </c>
    </row>
    <row r="72518">
      <c r="A72518" s="1" t="n">
        <v>72517</v>
      </c>
      <c r="B72518">
        <f>TEXT(72517, "[$-0E0000]yyyy-mm-dd")</f>
        <v/>
      </c>
      <c r="C72518" t="inlineStr">
        <is>
          <t>2098-06-19</t>
        </is>
      </c>
    </row>
    <row r="72519">
      <c r="A72519" s="1" t="n">
        <v>72518</v>
      </c>
      <c r="B72519">
        <f>TEXT(72518, "[$-0E0000]yyyy-mm-dd")</f>
        <v/>
      </c>
      <c r="C72519" t="inlineStr">
        <is>
          <t>2098-06-20</t>
        </is>
      </c>
    </row>
    <row r="72520">
      <c r="A72520" s="1" t="n">
        <v>72519</v>
      </c>
      <c r="B72520">
        <f>TEXT(72519, "[$-0E0000]yyyy-mm-dd")</f>
        <v/>
      </c>
      <c r="C72520" t="inlineStr">
        <is>
          <t>2098-06-21</t>
        </is>
      </c>
    </row>
    <row r="72521">
      <c r="A72521" s="1" t="n">
        <v>72520</v>
      </c>
      <c r="B72521">
        <f>TEXT(72520, "[$-0E0000]yyyy-mm-dd")</f>
        <v/>
      </c>
      <c r="C72521" t="inlineStr">
        <is>
          <t>2098-06-22</t>
        </is>
      </c>
    </row>
    <row r="72522">
      <c r="A72522" s="1" t="n">
        <v>72521</v>
      </c>
      <c r="B72522">
        <f>TEXT(72521, "[$-0E0000]yyyy-mm-dd")</f>
        <v/>
      </c>
      <c r="C72522" t="inlineStr">
        <is>
          <t>2098-06-23</t>
        </is>
      </c>
    </row>
    <row r="72523">
      <c r="A72523" s="1" t="n">
        <v>72522</v>
      </c>
      <c r="B72523">
        <f>TEXT(72522, "[$-0E0000]yyyy-mm-dd")</f>
        <v/>
      </c>
      <c r="C72523" t="inlineStr">
        <is>
          <t>2098-06-24</t>
        </is>
      </c>
    </row>
    <row r="72524">
      <c r="A72524" s="1" t="n">
        <v>72523</v>
      </c>
      <c r="B72524">
        <f>TEXT(72523, "[$-0E0000]yyyy-mm-dd")</f>
        <v/>
      </c>
      <c r="C72524" t="inlineStr">
        <is>
          <t>2098-06-25</t>
        </is>
      </c>
    </row>
    <row r="72525">
      <c r="A72525" s="1" t="n">
        <v>72524</v>
      </c>
      <c r="B72525">
        <f>TEXT(72524, "[$-0E0000]yyyy-mm-dd")</f>
        <v/>
      </c>
      <c r="C72525" t="inlineStr">
        <is>
          <t>2098-06-26</t>
        </is>
      </c>
    </row>
    <row r="72526">
      <c r="A72526" s="1" t="n">
        <v>72525</v>
      </c>
      <c r="B72526">
        <f>TEXT(72525, "[$-0E0000]yyyy-mm-dd")</f>
        <v/>
      </c>
      <c r="C72526" t="inlineStr">
        <is>
          <t>2098-06-27</t>
        </is>
      </c>
    </row>
    <row r="72527">
      <c r="A72527" s="1" t="n">
        <v>72526</v>
      </c>
      <c r="B72527">
        <f>TEXT(72526, "[$-0E0000]yyyy-mm-dd")</f>
        <v/>
      </c>
      <c r="C72527" t="inlineStr">
        <is>
          <t>2098-06-28</t>
        </is>
      </c>
    </row>
    <row r="72528">
      <c r="A72528" s="1" t="n">
        <v>72527</v>
      </c>
      <c r="B72528">
        <f>TEXT(72527, "[$-0E0000]yyyy-mm-dd")</f>
        <v/>
      </c>
      <c r="C72528" t="inlineStr">
        <is>
          <t>2098-06-29</t>
        </is>
      </c>
    </row>
    <row r="72529">
      <c r="A72529" s="1" t="n">
        <v>72528</v>
      </c>
      <c r="B72529">
        <f>TEXT(72528, "[$-0E0000]yyyy-mm-dd")</f>
        <v/>
      </c>
      <c r="C72529" t="inlineStr">
        <is>
          <t>2098-07-01</t>
        </is>
      </c>
    </row>
    <row r="72530">
      <c r="A72530" s="1" t="n">
        <v>72529</v>
      </c>
      <c r="B72530">
        <f>TEXT(72529, "[$-0E0000]yyyy-mm-dd")</f>
        <v/>
      </c>
      <c r="C72530" t="inlineStr">
        <is>
          <t>2098-07-02</t>
        </is>
      </c>
    </row>
    <row r="72531">
      <c r="A72531" s="1" t="n">
        <v>72530</v>
      </c>
      <c r="B72531">
        <f>TEXT(72530, "[$-0E0000]yyyy-mm-dd")</f>
        <v/>
      </c>
      <c r="C72531" t="inlineStr">
        <is>
          <t>2098-07-03</t>
        </is>
      </c>
    </row>
    <row r="72532">
      <c r="A72532" s="1" t="n">
        <v>72531</v>
      </c>
      <c r="B72532">
        <f>TEXT(72531, "[$-0E0000]yyyy-mm-dd")</f>
        <v/>
      </c>
      <c r="C72532" t="inlineStr">
        <is>
          <t>2098-07-04</t>
        </is>
      </c>
    </row>
    <row r="72533">
      <c r="A72533" s="1" t="n">
        <v>72532</v>
      </c>
      <c r="B72533">
        <f>TEXT(72532, "[$-0E0000]yyyy-mm-dd")</f>
        <v/>
      </c>
      <c r="C72533" t="inlineStr">
        <is>
          <t>2098-07-05</t>
        </is>
      </c>
    </row>
    <row r="72534">
      <c r="A72534" s="1" t="n">
        <v>72533</v>
      </c>
      <c r="B72534">
        <f>TEXT(72533, "[$-0E0000]yyyy-mm-dd")</f>
        <v/>
      </c>
      <c r="C72534" t="inlineStr">
        <is>
          <t>2098-07-06</t>
        </is>
      </c>
    </row>
    <row r="72535">
      <c r="A72535" s="1" t="n">
        <v>72534</v>
      </c>
      <c r="B72535">
        <f>TEXT(72534, "[$-0E0000]yyyy-mm-dd")</f>
        <v/>
      </c>
      <c r="C72535" t="inlineStr">
        <is>
          <t>2098-07-07</t>
        </is>
      </c>
    </row>
    <row r="72536">
      <c r="A72536" s="1" t="n">
        <v>72535</v>
      </c>
      <c r="B72536">
        <f>TEXT(72535, "[$-0E0000]yyyy-mm-dd")</f>
        <v/>
      </c>
      <c r="C72536" t="inlineStr">
        <is>
          <t>2098-07-08</t>
        </is>
      </c>
    </row>
    <row r="72537">
      <c r="A72537" s="1" t="n">
        <v>72536</v>
      </c>
      <c r="B72537">
        <f>TEXT(72536, "[$-0E0000]yyyy-mm-dd")</f>
        <v/>
      </c>
      <c r="C72537" t="inlineStr">
        <is>
          <t>2098-07-09</t>
        </is>
      </c>
    </row>
    <row r="72538">
      <c r="A72538" s="1" t="n">
        <v>72537</v>
      </c>
      <c r="B72538">
        <f>TEXT(72537, "[$-0E0000]yyyy-mm-dd")</f>
        <v/>
      </c>
      <c r="C72538" t="inlineStr">
        <is>
          <t>2098-07-10</t>
        </is>
      </c>
    </row>
    <row r="72539">
      <c r="A72539" s="1" t="n">
        <v>72538</v>
      </c>
      <c r="B72539">
        <f>TEXT(72538, "[$-0E0000]yyyy-mm-dd")</f>
        <v/>
      </c>
      <c r="C72539" t="inlineStr">
        <is>
          <t>2098-07-11</t>
        </is>
      </c>
    </row>
    <row r="72540">
      <c r="A72540" s="1" t="n">
        <v>72539</v>
      </c>
      <c r="B72540">
        <f>TEXT(72539, "[$-0E0000]yyyy-mm-dd")</f>
        <v/>
      </c>
      <c r="C72540" t="inlineStr">
        <is>
          <t>2098-07-12</t>
        </is>
      </c>
    </row>
    <row r="72541">
      <c r="A72541" s="1" t="n">
        <v>72540</v>
      </c>
      <c r="B72541">
        <f>TEXT(72540, "[$-0E0000]yyyy-mm-dd")</f>
        <v/>
      </c>
      <c r="C72541" t="inlineStr">
        <is>
          <t>2098-07-13</t>
        </is>
      </c>
    </row>
    <row r="72542">
      <c r="A72542" s="1" t="n">
        <v>72541</v>
      </c>
      <c r="B72542">
        <f>TEXT(72541, "[$-0E0000]yyyy-mm-dd")</f>
        <v/>
      </c>
      <c r="C72542" t="inlineStr">
        <is>
          <t>2098-07-14</t>
        </is>
      </c>
    </row>
    <row r="72543">
      <c r="A72543" s="1" t="n">
        <v>72542</v>
      </c>
      <c r="B72543">
        <f>TEXT(72542, "[$-0E0000]yyyy-mm-dd")</f>
        <v/>
      </c>
      <c r="C72543" t="inlineStr">
        <is>
          <t>2098-07-15</t>
        </is>
      </c>
    </row>
    <row r="72544">
      <c r="A72544" s="1" t="n">
        <v>72543</v>
      </c>
      <c r="B72544">
        <f>TEXT(72543, "[$-0E0000]yyyy-mm-dd")</f>
        <v/>
      </c>
      <c r="C72544" t="inlineStr">
        <is>
          <t>2098-07-16</t>
        </is>
      </c>
    </row>
    <row r="72545">
      <c r="A72545" s="1" t="n">
        <v>72544</v>
      </c>
      <c r="B72545">
        <f>TEXT(72544, "[$-0E0000]yyyy-mm-dd")</f>
        <v/>
      </c>
      <c r="C72545" t="inlineStr">
        <is>
          <t>2098-07-17</t>
        </is>
      </c>
    </row>
    <row r="72546">
      <c r="A72546" s="1" t="n">
        <v>72545</v>
      </c>
      <c r="B72546">
        <f>TEXT(72545, "[$-0E0000]yyyy-mm-dd")</f>
        <v/>
      </c>
      <c r="C72546" t="inlineStr">
        <is>
          <t>2098-07-18</t>
        </is>
      </c>
    </row>
    <row r="72547">
      <c r="A72547" s="1" t="n">
        <v>72546</v>
      </c>
      <c r="B72547">
        <f>TEXT(72546, "[$-0E0000]yyyy-mm-dd")</f>
        <v/>
      </c>
      <c r="C72547" t="inlineStr">
        <is>
          <t>2098-07-19</t>
        </is>
      </c>
    </row>
    <row r="72548">
      <c r="A72548" s="1" t="n">
        <v>72547</v>
      </c>
      <c r="B72548">
        <f>TEXT(72547, "[$-0E0000]yyyy-mm-dd")</f>
        <v/>
      </c>
      <c r="C72548" t="inlineStr">
        <is>
          <t>2098-07-20</t>
        </is>
      </c>
    </row>
    <row r="72549">
      <c r="A72549" s="1" t="n">
        <v>72548</v>
      </c>
      <c r="B72549">
        <f>TEXT(72548, "[$-0E0000]yyyy-mm-dd")</f>
        <v/>
      </c>
      <c r="C72549" t="inlineStr">
        <is>
          <t>2098-07-21</t>
        </is>
      </c>
    </row>
    <row r="72550">
      <c r="A72550" s="1" t="n">
        <v>72549</v>
      </c>
      <c r="B72550">
        <f>TEXT(72549, "[$-0E0000]yyyy-mm-dd")</f>
        <v/>
      </c>
      <c r="C72550" t="inlineStr">
        <is>
          <t>2098-07-22</t>
        </is>
      </c>
    </row>
    <row r="72551">
      <c r="A72551" s="1" t="n">
        <v>72550</v>
      </c>
      <c r="B72551">
        <f>TEXT(72550, "[$-0E0000]yyyy-mm-dd")</f>
        <v/>
      </c>
      <c r="C72551" t="inlineStr">
        <is>
          <t>2098-07-23</t>
        </is>
      </c>
    </row>
    <row r="72552">
      <c r="A72552" s="1" t="n">
        <v>72551</v>
      </c>
      <c r="B72552">
        <f>TEXT(72551, "[$-0E0000]yyyy-mm-dd")</f>
        <v/>
      </c>
      <c r="C72552" t="inlineStr">
        <is>
          <t>2098-07-24</t>
        </is>
      </c>
    </row>
    <row r="72553">
      <c r="A72553" s="1" t="n">
        <v>72552</v>
      </c>
      <c r="B72553">
        <f>TEXT(72552, "[$-0E0000]yyyy-mm-dd")</f>
        <v/>
      </c>
      <c r="C72553" t="inlineStr">
        <is>
          <t>2098-07-25</t>
        </is>
      </c>
    </row>
    <row r="72554">
      <c r="A72554" s="1" t="n">
        <v>72553</v>
      </c>
      <c r="B72554">
        <f>TEXT(72553, "[$-0E0000]yyyy-mm-dd")</f>
        <v/>
      </c>
      <c r="C72554" t="inlineStr">
        <is>
          <t>2098-07-26</t>
        </is>
      </c>
    </row>
    <row r="72555">
      <c r="A72555" s="1" t="n">
        <v>72554</v>
      </c>
      <c r="B72555">
        <f>TEXT(72554, "[$-0E0000]yyyy-mm-dd")</f>
        <v/>
      </c>
      <c r="C72555" t="inlineStr">
        <is>
          <t>2098-07-27</t>
        </is>
      </c>
    </row>
    <row r="72556">
      <c r="A72556" s="1" t="n">
        <v>72555</v>
      </c>
      <c r="B72556">
        <f>TEXT(72555, "[$-0E0000]yyyy-mm-dd")</f>
        <v/>
      </c>
      <c r="C72556" t="inlineStr">
        <is>
          <t>2098-07-28</t>
        </is>
      </c>
    </row>
    <row r="72557">
      <c r="A72557" s="1" t="n">
        <v>72556</v>
      </c>
      <c r="B72557">
        <f>TEXT(72556, "[$-0E0000]yyyy-mm-dd")</f>
        <v/>
      </c>
      <c r="C72557" t="inlineStr">
        <is>
          <t>2098-07-29</t>
        </is>
      </c>
    </row>
    <row r="72558">
      <c r="A72558" s="1" t="n">
        <v>72557</v>
      </c>
      <c r="B72558">
        <f>TEXT(72557, "[$-0E0000]yyyy-mm-dd")</f>
        <v/>
      </c>
      <c r="C72558" t="inlineStr">
        <is>
          <t>2098-08-01</t>
        </is>
      </c>
    </row>
    <row r="72559">
      <c r="A72559" s="1" t="n">
        <v>72558</v>
      </c>
      <c r="B72559">
        <f>TEXT(72558, "[$-0E0000]yyyy-mm-dd")</f>
        <v/>
      </c>
      <c r="C72559" t="inlineStr">
        <is>
          <t>2098-08-02</t>
        </is>
      </c>
    </row>
    <row r="72560">
      <c r="A72560" s="1" t="n">
        <v>72559</v>
      </c>
      <c r="B72560">
        <f>TEXT(72559, "[$-0E0000]yyyy-mm-dd")</f>
        <v/>
      </c>
      <c r="C72560" t="inlineStr">
        <is>
          <t>2098-08-03</t>
        </is>
      </c>
    </row>
    <row r="72561">
      <c r="A72561" s="1" t="n">
        <v>72560</v>
      </c>
      <c r="B72561">
        <f>TEXT(72560, "[$-0E0000]yyyy-mm-dd")</f>
        <v/>
      </c>
      <c r="C72561" t="inlineStr">
        <is>
          <t>2098-08-04</t>
        </is>
      </c>
    </row>
    <row r="72562">
      <c r="A72562" s="1" t="n">
        <v>72561</v>
      </c>
      <c r="B72562">
        <f>TEXT(72561, "[$-0E0000]yyyy-mm-dd")</f>
        <v/>
      </c>
      <c r="C72562" t="inlineStr">
        <is>
          <t>2098-08-05</t>
        </is>
      </c>
    </row>
    <row r="72563">
      <c r="A72563" s="1" t="n">
        <v>72562</v>
      </c>
      <c r="B72563">
        <f>TEXT(72562, "[$-0E0000]yyyy-mm-dd")</f>
        <v/>
      </c>
      <c r="C72563" t="inlineStr">
        <is>
          <t>2098-08-06</t>
        </is>
      </c>
    </row>
    <row r="72564">
      <c r="A72564" s="1" t="n">
        <v>72563</v>
      </c>
      <c r="B72564">
        <f>TEXT(72563, "[$-0E0000]yyyy-mm-dd")</f>
        <v/>
      </c>
      <c r="C72564" t="inlineStr">
        <is>
          <t>2098-08-07</t>
        </is>
      </c>
    </row>
    <row r="72565">
      <c r="A72565" s="1" t="n">
        <v>72564</v>
      </c>
      <c r="B72565">
        <f>TEXT(72564, "[$-0E0000]yyyy-mm-dd")</f>
        <v/>
      </c>
      <c r="C72565" t="inlineStr">
        <is>
          <t>2098-08-08</t>
        </is>
      </c>
    </row>
    <row r="72566">
      <c r="A72566" s="1" t="n">
        <v>72565</v>
      </c>
      <c r="B72566">
        <f>TEXT(72565, "[$-0E0000]yyyy-mm-dd")</f>
        <v/>
      </c>
      <c r="C72566" t="inlineStr">
        <is>
          <t>2098-08-09</t>
        </is>
      </c>
    </row>
    <row r="72567">
      <c r="A72567" s="1" t="n">
        <v>72566</v>
      </c>
      <c r="B72567">
        <f>TEXT(72566, "[$-0E0000]yyyy-mm-dd")</f>
        <v/>
      </c>
      <c r="C72567" t="inlineStr">
        <is>
          <t>2098-08-10</t>
        </is>
      </c>
    </row>
    <row r="72568">
      <c r="A72568" s="1" t="n">
        <v>72567</v>
      </c>
      <c r="B72568">
        <f>TEXT(72567, "[$-0E0000]yyyy-mm-dd")</f>
        <v/>
      </c>
      <c r="C72568" t="inlineStr">
        <is>
          <t>2098-08-11</t>
        </is>
      </c>
    </row>
    <row r="72569">
      <c r="A72569" s="1" t="n">
        <v>72568</v>
      </c>
      <c r="B72569">
        <f>TEXT(72568, "[$-0E0000]yyyy-mm-dd")</f>
        <v/>
      </c>
      <c r="C72569" t="inlineStr">
        <is>
          <t>2098-08-12</t>
        </is>
      </c>
    </row>
    <row r="72570">
      <c r="A72570" s="1" t="n">
        <v>72569</v>
      </c>
      <c r="B72570">
        <f>TEXT(72569, "[$-0E0000]yyyy-mm-dd")</f>
        <v/>
      </c>
      <c r="C72570" t="inlineStr">
        <is>
          <t>2098-08-13</t>
        </is>
      </c>
    </row>
    <row r="72571">
      <c r="A72571" s="1" t="n">
        <v>72570</v>
      </c>
      <c r="B72571">
        <f>TEXT(72570, "[$-0E0000]yyyy-mm-dd")</f>
        <v/>
      </c>
      <c r="C72571" t="inlineStr">
        <is>
          <t>2098-08-14</t>
        </is>
      </c>
    </row>
    <row r="72572">
      <c r="A72572" s="1" t="n">
        <v>72571</v>
      </c>
      <c r="B72572">
        <f>TEXT(72571, "[$-0E0000]yyyy-mm-dd")</f>
        <v/>
      </c>
      <c r="C72572" t="inlineStr">
        <is>
          <t>2098-08-15</t>
        </is>
      </c>
    </row>
    <row r="72573">
      <c r="A72573" s="1" t="n">
        <v>72572</v>
      </c>
      <c r="B72573">
        <f>TEXT(72572, "[$-0E0000]yyyy-mm-dd")</f>
        <v/>
      </c>
      <c r="C72573" t="inlineStr">
        <is>
          <t>2098-08-16</t>
        </is>
      </c>
    </row>
    <row r="72574">
      <c r="A72574" s="1" t="n">
        <v>72573</v>
      </c>
      <c r="B72574">
        <f>TEXT(72573, "[$-0E0000]yyyy-mm-dd")</f>
        <v/>
      </c>
      <c r="C72574" t="inlineStr">
        <is>
          <t>2098-08-17</t>
        </is>
      </c>
    </row>
    <row r="72575">
      <c r="A72575" s="1" t="n">
        <v>72574</v>
      </c>
      <c r="B72575">
        <f>TEXT(72574, "[$-0E0000]yyyy-mm-dd")</f>
        <v/>
      </c>
      <c r="C72575" t="inlineStr">
        <is>
          <t>2098-08-18</t>
        </is>
      </c>
    </row>
    <row r="72576">
      <c r="A72576" s="1" t="n">
        <v>72575</v>
      </c>
      <c r="B72576">
        <f>TEXT(72575, "[$-0E0000]yyyy-mm-dd")</f>
        <v/>
      </c>
      <c r="C72576" t="inlineStr">
        <is>
          <t>2098-08-19</t>
        </is>
      </c>
    </row>
    <row r="72577">
      <c r="A72577" s="1" t="n">
        <v>72576</v>
      </c>
      <c r="B72577">
        <f>TEXT(72576, "[$-0E0000]yyyy-mm-dd")</f>
        <v/>
      </c>
      <c r="C72577" t="inlineStr">
        <is>
          <t>2098-08-20</t>
        </is>
      </c>
    </row>
    <row r="72578">
      <c r="A72578" s="1" t="n">
        <v>72577</v>
      </c>
      <c r="B72578">
        <f>TEXT(72577, "[$-0E0000]yyyy-mm-dd")</f>
        <v/>
      </c>
      <c r="C72578" t="inlineStr">
        <is>
          <t>2098-08-21</t>
        </is>
      </c>
    </row>
    <row r="72579">
      <c r="A72579" s="1" t="n">
        <v>72578</v>
      </c>
      <c r="B72579">
        <f>TEXT(72578, "[$-0E0000]yyyy-mm-dd")</f>
        <v/>
      </c>
      <c r="C72579" t="inlineStr">
        <is>
          <t>2098-08-22</t>
        </is>
      </c>
    </row>
    <row r="72580">
      <c r="A72580" s="1" t="n">
        <v>72579</v>
      </c>
      <c r="B72580">
        <f>TEXT(72579, "[$-0E0000]yyyy-mm-dd")</f>
        <v/>
      </c>
      <c r="C72580" t="inlineStr">
        <is>
          <t>2098-08-23</t>
        </is>
      </c>
    </row>
    <row r="72581">
      <c r="A72581" s="1" t="n">
        <v>72580</v>
      </c>
      <c r="B72581">
        <f>TEXT(72580, "[$-0E0000]yyyy-mm-dd")</f>
        <v/>
      </c>
      <c r="C72581" t="inlineStr">
        <is>
          <t>2098-08-24</t>
        </is>
      </c>
    </row>
    <row r="72582">
      <c r="A72582" s="1" t="n">
        <v>72581</v>
      </c>
      <c r="B72582">
        <f>TEXT(72581, "[$-0E0000]yyyy-mm-dd")</f>
        <v/>
      </c>
      <c r="C72582" t="inlineStr">
        <is>
          <t>2098-08-25</t>
        </is>
      </c>
    </row>
    <row r="72583">
      <c r="A72583" s="1" t="n">
        <v>72582</v>
      </c>
      <c r="B72583">
        <f>TEXT(72582, "[$-0E0000]yyyy-mm-dd")</f>
        <v/>
      </c>
      <c r="C72583" t="inlineStr">
        <is>
          <t>2098-08-26</t>
        </is>
      </c>
    </row>
    <row r="72584">
      <c r="A72584" s="1" t="n">
        <v>72583</v>
      </c>
      <c r="B72584">
        <f>TEXT(72583, "[$-0E0000]yyyy-mm-dd")</f>
        <v/>
      </c>
      <c r="C72584" t="inlineStr">
        <is>
          <t>2098-08-27</t>
        </is>
      </c>
    </row>
    <row r="72585">
      <c r="A72585" s="1" t="n">
        <v>72584</v>
      </c>
      <c r="B72585">
        <f>TEXT(72584, "[$-0E0000]yyyy-mm-dd")</f>
        <v/>
      </c>
      <c r="C72585" t="inlineStr">
        <is>
          <t>2098-08-28</t>
        </is>
      </c>
    </row>
    <row r="72586">
      <c r="A72586" s="1" t="n">
        <v>72585</v>
      </c>
      <c r="B72586">
        <f>TEXT(72585, "[$-0E0000]yyyy-mm-dd")</f>
        <v/>
      </c>
      <c r="C72586" t="inlineStr">
        <is>
          <t>2098-08-29</t>
        </is>
      </c>
    </row>
    <row r="72587">
      <c r="A72587" s="1" t="n">
        <v>72586</v>
      </c>
      <c r="B72587">
        <f>TEXT(72586, "[$-0E0000]yyyy-mm-dd")</f>
        <v/>
      </c>
      <c r="C72587" t="inlineStr">
        <is>
          <t>2098-08-30</t>
        </is>
      </c>
    </row>
    <row r="72588">
      <c r="A72588" s="1" t="n">
        <v>72587</v>
      </c>
      <c r="B72588">
        <f>TEXT(72587, "[$-0E0000]yyyy-mm-dd")</f>
        <v/>
      </c>
      <c r="C72588" t="inlineStr">
        <is>
          <t>2098-09-01</t>
        </is>
      </c>
    </row>
    <row r="72589">
      <c r="A72589" s="1" t="n">
        <v>72588</v>
      </c>
      <c r="B72589">
        <f>TEXT(72588, "[$-0E0000]yyyy-mm-dd")</f>
        <v/>
      </c>
      <c r="C72589" t="inlineStr">
        <is>
          <t>2098-09-02</t>
        </is>
      </c>
    </row>
    <row r="72590">
      <c r="A72590" s="1" t="n">
        <v>72589</v>
      </c>
      <c r="B72590">
        <f>TEXT(72589, "[$-0E0000]yyyy-mm-dd")</f>
        <v/>
      </c>
      <c r="C72590" t="inlineStr">
        <is>
          <t>2098-09-03</t>
        </is>
      </c>
    </row>
    <row r="72591">
      <c r="A72591" s="1" t="n">
        <v>72590</v>
      </c>
      <c r="B72591">
        <f>TEXT(72590, "[$-0E0000]yyyy-mm-dd")</f>
        <v/>
      </c>
      <c r="C72591" t="inlineStr">
        <is>
          <t>2098-09-04</t>
        </is>
      </c>
    </row>
    <row r="72592">
      <c r="A72592" s="1" t="n">
        <v>72591</v>
      </c>
      <c r="B72592">
        <f>TEXT(72591, "[$-0E0000]yyyy-mm-dd")</f>
        <v/>
      </c>
      <c r="C72592" t="inlineStr">
        <is>
          <t>2098-09-05</t>
        </is>
      </c>
    </row>
    <row r="72593">
      <c r="A72593" s="1" t="n">
        <v>72592</v>
      </c>
      <c r="B72593">
        <f>TEXT(72592, "[$-0E0000]yyyy-mm-dd")</f>
        <v/>
      </c>
      <c r="C72593" t="inlineStr">
        <is>
          <t>2098-09-06</t>
        </is>
      </c>
    </row>
    <row r="72594">
      <c r="A72594" s="1" t="n">
        <v>72593</v>
      </c>
      <c r="B72594">
        <f>TEXT(72593, "[$-0E0000]yyyy-mm-dd")</f>
        <v/>
      </c>
      <c r="C72594" t="inlineStr">
        <is>
          <t>2098-09-07</t>
        </is>
      </c>
    </row>
    <row r="72595">
      <c r="A72595" s="1" t="n">
        <v>72594</v>
      </c>
      <c r="B72595">
        <f>TEXT(72594, "[$-0E0000]yyyy-mm-dd")</f>
        <v/>
      </c>
      <c r="C72595" t="inlineStr">
        <is>
          <t>2098-09-08</t>
        </is>
      </c>
    </row>
    <row r="72596">
      <c r="A72596" s="1" t="n">
        <v>72595</v>
      </c>
      <c r="B72596">
        <f>TEXT(72595, "[$-0E0000]yyyy-mm-dd")</f>
        <v/>
      </c>
      <c r="C72596" t="inlineStr">
        <is>
          <t>2098-09-09</t>
        </is>
      </c>
    </row>
    <row r="72597">
      <c r="A72597" s="1" t="n">
        <v>72596</v>
      </c>
      <c r="B72597">
        <f>TEXT(72596, "[$-0E0000]yyyy-mm-dd")</f>
        <v/>
      </c>
      <c r="C72597" t="inlineStr">
        <is>
          <t>2098-09-10</t>
        </is>
      </c>
    </row>
    <row r="72598">
      <c r="A72598" s="1" t="n">
        <v>72597</v>
      </c>
      <c r="B72598">
        <f>TEXT(72597, "[$-0E0000]yyyy-mm-dd")</f>
        <v/>
      </c>
      <c r="C72598" t="inlineStr">
        <is>
          <t>2098-09-11</t>
        </is>
      </c>
    </row>
    <row r="72599">
      <c r="A72599" s="1" t="n">
        <v>72598</v>
      </c>
      <c r="B72599">
        <f>TEXT(72598, "[$-0E0000]yyyy-mm-dd")</f>
        <v/>
      </c>
      <c r="C72599" t="inlineStr">
        <is>
          <t>2098-09-12</t>
        </is>
      </c>
    </row>
    <row r="72600">
      <c r="A72600" s="1" t="n">
        <v>72599</v>
      </c>
      <c r="B72600">
        <f>TEXT(72599, "[$-0E0000]yyyy-mm-dd")</f>
        <v/>
      </c>
      <c r="C72600" t="inlineStr">
        <is>
          <t>2098-09-13</t>
        </is>
      </c>
    </row>
    <row r="72601">
      <c r="A72601" s="1" t="n">
        <v>72600</v>
      </c>
      <c r="B72601">
        <f>TEXT(72600, "[$-0E0000]yyyy-mm-dd")</f>
        <v/>
      </c>
      <c r="C72601" t="inlineStr">
        <is>
          <t>2098-09-14</t>
        </is>
      </c>
    </row>
    <row r="72602">
      <c r="A72602" s="1" t="n">
        <v>72601</v>
      </c>
      <c r="B72602">
        <f>TEXT(72601, "[$-0E0000]yyyy-mm-dd")</f>
        <v/>
      </c>
      <c r="C72602" t="inlineStr">
        <is>
          <t>2098-09-15</t>
        </is>
      </c>
    </row>
    <row r="72603">
      <c r="A72603" s="1" t="n">
        <v>72602</v>
      </c>
      <c r="B72603">
        <f>TEXT(72602, "[$-0E0000]yyyy-mm-dd")</f>
        <v/>
      </c>
      <c r="C72603" t="inlineStr">
        <is>
          <t>2098-09-16</t>
        </is>
      </c>
    </row>
    <row r="72604">
      <c r="A72604" s="1" t="n">
        <v>72603</v>
      </c>
      <c r="B72604">
        <f>TEXT(72603, "[$-0E0000]yyyy-mm-dd")</f>
        <v/>
      </c>
      <c r="C72604" t="inlineStr">
        <is>
          <t>2098-09-17</t>
        </is>
      </c>
    </row>
    <row r="72605">
      <c r="A72605" s="1" t="n">
        <v>72604</v>
      </c>
      <c r="B72605">
        <f>TEXT(72604, "[$-0E0000]yyyy-mm-dd")</f>
        <v/>
      </c>
      <c r="C72605" t="inlineStr">
        <is>
          <t>2098-09-18</t>
        </is>
      </c>
    </row>
    <row r="72606">
      <c r="A72606" s="1" t="n">
        <v>72605</v>
      </c>
      <c r="B72606">
        <f>TEXT(72605, "[$-0E0000]yyyy-mm-dd")</f>
        <v/>
      </c>
      <c r="C72606" t="inlineStr">
        <is>
          <t>2098-09-19</t>
        </is>
      </c>
    </row>
    <row r="72607">
      <c r="A72607" s="1" t="n">
        <v>72606</v>
      </c>
      <c r="B72607">
        <f>TEXT(72606, "[$-0E0000]yyyy-mm-dd")</f>
        <v/>
      </c>
      <c r="C72607" t="inlineStr">
        <is>
          <t>2098-09-20</t>
        </is>
      </c>
    </row>
    <row r="72608">
      <c r="A72608" s="1" t="n">
        <v>72607</v>
      </c>
      <c r="B72608">
        <f>TEXT(72607, "[$-0E0000]yyyy-mm-dd")</f>
        <v/>
      </c>
      <c r="C72608" t="inlineStr">
        <is>
          <t>2098-09-21</t>
        </is>
      </c>
    </row>
    <row r="72609">
      <c r="A72609" s="1" t="n">
        <v>72608</v>
      </c>
      <c r="B72609">
        <f>TEXT(72608, "[$-0E0000]yyyy-mm-dd")</f>
        <v/>
      </c>
      <c r="C72609" t="inlineStr">
        <is>
          <t>2098-09-22</t>
        </is>
      </c>
    </row>
    <row r="72610">
      <c r="A72610" s="1" t="n">
        <v>72609</v>
      </c>
      <c r="B72610">
        <f>TEXT(72609, "[$-0E0000]yyyy-mm-dd")</f>
        <v/>
      </c>
      <c r="C72610" t="inlineStr">
        <is>
          <t>2098-09-23</t>
        </is>
      </c>
    </row>
    <row r="72611">
      <c r="A72611" s="1" t="n">
        <v>72610</v>
      </c>
      <c r="B72611">
        <f>TEXT(72610, "[$-0E0000]yyyy-mm-dd")</f>
        <v/>
      </c>
      <c r="C72611" t="inlineStr">
        <is>
          <t>2098-09-24</t>
        </is>
      </c>
    </row>
    <row r="72612">
      <c r="A72612" s="1" t="n">
        <v>72611</v>
      </c>
      <c r="B72612">
        <f>TEXT(72611, "[$-0E0000]yyyy-mm-dd")</f>
        <v/>
      </c>
      <c r="C72612" t="inlineStr">
        <is>
          <t>2098-09-25</t>
        </is>
      </c>
    </row>
    <row r="72613">
      <c r="A72613" s="1" t="n">
        <v>72612</v>
      </c>
      <c r="B72613">
        <f>TEXT(72612, "[$-0E0000]yyyy-mm-dd")</f>
        <v/>
      </c>
      <c r="C72613" t="inlineStr">
        <is>
          <t>2098-09-26</t>
        </is>
      </c>
    </row>
    <row r="72614">
      <c r="A72614" s="1" t="n">
        <v>72613</v>
      </c>
      <c r="B72614">
        <f>TEXT(72613, "[$-0E0000]yyyy-mm-dd")</f>
        <v/>
      </c>
      <c r="C72614" t="inlineStr">
        <is>
          <t>2098-09-27</t>
        </is>
      </c>
    </row>
    <row r="72615">
      <c r="A72615" s="1" t="n">
        <v>72614</v>
      </c>
      <c r="B72615">
        <f>TEXT(72614, "[$-0E0000]yyyy-mm-dd")</f>
        <v/>
      </c>
      <c r="C72615" t="inlineStr">
        <is>
          <t>2098-09-28</t>
        </is>
      </c>
    </row>
    <row r="72616">
      <c r="A72616" s="1" t="n">
        <v>72615</v>
      </c>
      <c r="B72616">
        <f>TEXT(72615, "[$-0E0000]yyyy-mm-dd")</f>
        <v/>
      </c>
      <c r="C72616" t="inlineStr">
        <is>
          <t>2098-09-29</t>
        </is>
      </c>
    </row>
    <row r="72617">
      <c r="A72617" s="1" t="n">
        <v>72616</v>
      </c>
      <c r="B72617">
        <f>TEXT(72616, "[$-0E0000]yyyy-mm-dd")</f>
        <v/>
      </c>
      <c r="C72617" t="inlineStr">
        <is>
          <t>2098-10-01</t>
        </is>
      </c>
    </row>
    <row r="72618">
      <c r="A72618" s="1" t="n">
        <v>72617</v>
      </c>
      <c r="B72618">
        <f>TEXT(72617, "[$-0E0000]yyyy-mm-dd")</f>
        <v/>
      </c>
      <c r="C72618" t="inlineStr">
        <is>
          <t>2098-10-02</t>
        </is>
      </c>
    </row>
    <row r="72619">
      <c r="A72619" s="1" t="n">
        <v>72618</v>
      </c>
      <c r="B72619">
        <f>TEXT(72618, "[$-0E0000]yyyy-mm-dd")</f>
        <v/>
      </c>
      <c r="C72619" t="inlineStr">
        <is>
          <t>2098-10-03</t>
        </is>
      </c>
    </row>
    <row r="72620">
      <c r="A72620" s="1" t="n">
        <v>72619</v>
      </c>
      <c r="B72620">
        <f>TEXT(72619, "[$-0E0000]yyyy-mm-dd")</f>
        <v/>
      </c>
      <c r="C72620" t="inlineStr">
        <is>
          <t>2098-10-04</t>
        </is>
      </c>
    </row>
    <row r="72621">
      <c r="A72621" s="1" t="n">
        <v>72620</v>
      </c>
      <c r="B72621">
        <f>TEXT(72620, "[$-0E0000]yyyy-mm-dd")</f>
        <v/>
      </c>
      <c r="C72621" t="inlineStr">
        <is>
          <t>2098-10-05</t>
        </is>
      </c>
    </row>
    <row r="72622">
      <c r="A72622" s="1" t="n">
        <v>72621</v>
      </c>
      <c r="B72622">
        <f>TEXT(72621, "[$-0E0000]yyyy-mm-dd")</f>
        <v/>
      </c>
      <c r="C72622" t="inlineStr">
        <is>
          <t>2098-10-06</t>
        </is>
      </c>
    </row>
    <row r="72623">
      <c r="A72623" s="1" t="n">
        <v>72622</v>
      </c>
      <c r="B72623">
        <f>TEXT(72622, "[$-0E0000]yyyy-mm-dd")</f>
        <v/>
      </c>
      <c r="C72623" t="inlineStr">
        <is>
          <t>2098-10-07</t>
        </is>
      </c>
    </row>
    <row r="72624">
      <c r="A72624" s="1" t="n">
        <v>72623</v>
      </c>
      <c r="B72624">
        <f>TEXT(72623, "[$-0E0000]yyyy-mm-dd")</f>
        <v/>
      </c>
      <c r="C72624" t="inlineStr">
        <is>
          <t>2098-10-08</t>
        </is>
      </c>
    </row>
    <row r="72625">
      <c r="A72625" s="1" t="n">
        <v>72624</v>
      </c>
      <c r="B72625">
        <f>TEXT(72624, "[$-0E0000]yyyy-mm-dd")</f>
        <v/>
      </c>
      <c r="C72625" t="inlineStr">
        <is>
          <t>2098-10-09</t>
        </is>
      </c>
    </row>
    <row r="72626">
      <c r="A72626" s="1" t="n">
        <v>72625</v>
      </c>
      <c r="B72626">
        <f>TEXT(72625, "[$-0E0000]yyyy-mm-dd")</f>
        <v/>
      </c>
      <c r="C72626" t="inlineStr">
        <is>
          <t>2098-10-10</t>
        </is>
      </c>
    </row>
    <row r="72627">
      <c r="A72627" s="1" t="n">
        <v>72626</v>
      </c>
      <c r="B72627">
        <f>TEXT(72626, "[$-0E0000]yyyy-mm-dd")</f>
        <v/>
      </c>
      <c r="C72627" t="inlineStr">
        <is>
          <t>2098-10-11</t>
        </is>
      </c>
    </row>
    <row r="72628">
      <c r="A72628" s="1" t="n">
        <v>72627</v>
      </c>
      <c r="B72628">
        <f>TEXT(72627, "[$-0E0000]yyyy-mm-dd")</f>
        <v/>
      </c>
      <c r="C72628" t="inlineStr">
        <is>
          <t>2098-10-12</t>
        </is>
      </c>
    </row>
    <row r="72629">
      <c r="A72629" s="1" t="n">
        <v>72628</v>
      </c>
      <c r="B72629">
        <f>TEXT(72628, "[$-0E0000]yyyy-mm-dd")</f>
        <v/>
      </c>
      <c r="C72629" t="inlineStr">
        <is>
          <t>2098-10-13</t>
        </is>
      </c>
    </row>
    <row r="72630">
      <c r="A72630" s="1" t="n">
        <v>72629</v>
      </c>
      <c r="B72630">
        <f>TEXT(72629, "[$-0E0000]yyyy-mm-dd")</f>
        <v/>
      </c>
      <c r="C72630" t="inlineStr">
        <is>
          <t>2098-10-14</t>
        </is>
      </c>
    </row>
    <row r="72631">
      <c r="A72631" s="1" t="n">
        <v>72630</v>
      </c>
      <c r="B72631">
        <f>TEXT(72630, "[$-0E0000]yyyy-mm-dd")</f>
        <v/>
      </c>
      <c r="C72631" t="inlineStr">
        <is>
          <t>2098-10-15</t>
        </is>
      </c>
    </row>
    <row r="72632">
      <c r="A72632" s="1" t="n">
        <v>72631</v>
      </c>
      <c r="B72632">
        <f>TEXT(72631, "[$-0E0000]yyyy-mm-dd")</f>
        <v/>
      </c>
      <c r="C72632" t="inlineStr">
        <is>
          <t>2098-10-16</t>
        </is>
      </c>
    </row>
    <row r="72633">
      <c r="A72633" s="1" t="n">
        <v>72632</v>
      </c>
      <c r="B72633">
        <f>TEXT(72632, "[$-0E0000]yyyy-mm-dd")</f>
        <v/>
      </c>
      <c r="C72633" t="inlineStr">
        <is>
          <t>2098-10-17</t>
        </is>
      </c>
    </row>
    <row r="72634">
      <c r="A72634" s="1" t="n">
        <v>72633</v>
      </c>
      <c r="B72634">
        <f>TEXT(72633, "[$-0E0000]yyyy-mm-dd")</f>
        <v/>
      </c>
      <c r="C72634" t="inlineStr">
        <is>
          <t>2098-10-18</t>
        </is>
      </c>
    </row>
    <row r="72635">
      <c r="A72635" s="1" t="n">
        <v>72634</v>
      </c>
      <c r="B72635">
        <f>TEXT(72634, "[$-0E0000]yyyy-mm-dd")</f>
        <v/>
      </c>
      <c r="C72635" t="inlineStr">
        <is>
          <t>2098-10-19</t>
        </is>
      </c>
    </row>
    <row r="72636">
      <c r="A72636" s="1" t="n">
        <v>72635</v>
      </c>
      <c r="B72636">
        <f>TEXT(72635, "[$-0E0000]yyyy-mm-dd")</f>
        <v/>
      </c>
      <c r="C72636" t="inlineStr">
        <is>
          <t>2098-10-20</t>
        </is>
      </c>
    </row>
    <row r="72637">
      <c r="A72637" s="1" t="n">
        <v>72636</v>
      </c>
      <c r="B72637">
        <f>TEXT(72636, "[$-0E0000]yyyy-mm-dd")</f>
        <v/>
      </c>
      <c r="C72637" t="inlineStr">
        <is>
          <t>2098-10-21</t>
        </is>
      </c>
    </row>
    <row r="72638">
      <c r="A72638" s="1" t="n">
        <v>72637</v>
      </c>
      <c r="B72638">
        <f>TEXT(72637, "[$-0E0000]yyyy-mm-dd")</f>
        <v/>
      </c>
      <c r="C72638" t="inlineStr">
        <is>
          <t>2098-10-22</t>
        </is>
      </c>
    </row>
    <row r="72639">
      <c r="A72639" s="1" t="n">
        <v>72638</v>
      </c>
      <c r="B72639">
        <f>TEXT(72638, "[$-0E0000]yyyy-mm-dd")</f>
        <v/>
      </c>
      <c r="C72639" t="inlineStr">
        <is>
          <t>2098-10-23</t>
        </is>
      </c>
    </row>
    <row r="72640">
      <c r="A72640" s="1" t="n">
        <v>72639</v>
      </c>
      <c r="B72640">
        <f>TEXT(72639, "[$-0E0000]yyyy-mm-dd")</f>
        <v/>
      </c>
      <c r="C72640" t="inlineStr">
        <is>
          <t>2098-10-24</t>
        </is>
      </c>
    </row>
    <row r="72641">
      <c r="A72641" s="1" t="n">
        <v>72640</v>
      </c>
      <c r="B72641">
        <f>TEXT(72640, "[$-0E0000]yyyy-mm-dd")</f>
        <v/>
      </c>
      <c r="C72641" t="inlineStr">
        <is>
          <t>2098-10-25</t>
        </is>
      </c>
    </row>
    <row r="72642">
      <c r="A72642" s="1" t="n">
        <v>72641</v>
      </c>
      <c r="B72642">
        <f>TEXT(72641, "[$-0E0000]yyyy-mm-dd")</f>
        <v/>
      </c>
      <c r="C72642" t="inlineStr">
        <is>
          <t>2098-10-26</t>
        </is>
      </c>
    </row>
    <row r="72643">
      <c r="A72643" s="1" t="n">
        <v>72642</v>
      </c>
      <c r="B72643">
        <f>TEXT(72642, "[$-0E0000]yyyy-mm-dd")</f>
        <v/>
      </c>
      <c r="C72643" t="inlineStr">
        <is>
          <t>2098-10-27</t>
        </is>
      </c>
    </row>
    <row r="72644">
      <c r="A72644" s="1" t="n">
        <v>72643</v>
      </c>
      <c r="B72644">
        <f>TEXT(72643, "[$-0E0000]yyyy-mm-dd")</f>
        <v/>
      </c>
      <c r="C72644" t="inlineStr">
        <is>
          <t>2098-10-28</t>
        </is>
      </c>
    </row>
    <row r="72645">
      <c r="A72645" s="1" t="n">
        <v>72644</v>
      </c>
      <c r="B72645">
        <f>TEXT(72644, "[$-0E0000]yyyy-mm-dd")</f>
        <v/>
      </c>
      <c r="C72645" t="inlineStr">
        <is>
          <t>2098-10-29</t>
        </is>
      </c>
    </row>
    <row r="72646">
      <c r="A72646" s="1" t="n">
        <v>72645</v>
      </c>
      <c r="B72646">
        <f>TEXT(72645, "[$-0E0000]yyyy-mm-dd")</f>
        <v/>
      </c>
      <c r="C72646" t="inlineStr">
        <is>
          <t>2098-10-30</t>
        </is>
      </c>
    </row>
    <row r="72647">
      <c r="A72647" s="1" t="n">
        <v>72646</v>
      </c>
      <c r="B72647">
        <f>TEXT(72646, "[$-0E0000]yyyy-mm-dd")</f>
        <v/>
      </c>
      <c r="C72647" t="inlineStr">
        <is>
          <t>2098-11-01</t>
        </is>
      </c>
    </row>
    <row r="72648">
      <c r="A72648" s="1" t="n">
        <v>72647</v>
      </c>
      <c r="B72648">
        <f>TEXT(72647, "[$-0E0000]yyyy-mm-dd")</f>
        <v/>
      </c>
      <c r="C72648" t="inlineStr">
        <is>
          <t>2098-11-02</t>
        </is>
      </c>
    </row>
    <row r="72649">
      <c r="A72649" s="1" t="n">
        <v>72648</v>
      </c>
      <c r="B72649">
        <f>TEXT(72648, "[$-0E0000]yyyy-mm-dd")</f>
        <v/>
      </c>
      <c r="C72649" t="inlineStr">
        <is>
          <t>2098-11-03</t>
        </is>
      </c>
    </row>
    <row r="72650">
      <c r="A72650" s="1" t="n">
        <v>72649</v>
      </c>
      <c r="B72650">
        <f>TEXT(72649, "[$-0E0000]yyyy-mm-dd")</f>
        <v/>
      </c>
      <c r="C72650" t="inlineStr">
        <is>
          <t>2098-11-04</t>
        </is>
      </c>
    </row>
    <row r="72651">
      <c r="A72651" s="1" t="n">
        <v>72650</v>
      </c>
      <c r="B72651">
        <f>TEXT(72650, "[$-0E0000]yyyy-mm-dd")</f>
        <v/>
      </c>
      <c r="C72651" t="inlineStr">
        <is>
          <t>2098-11-05</t>
        </is>
      </c>
    </row>
    <row r="72652">
      <c r="A72652" s="1" t="n">
        <v>72651</v>
      </c>
      <c r="B72652">
        <f>TEXT(72651, "[$-0E0000]yyyy-mm-dd")</f>
        <v/>
      </c>
      <c r="C72652" t="inlineStr">
        <is>
          <t>2098-11-06</t>
        </is>
      </c>
    </row>
    <row r="72653">
      <c r="A72653" s="1" t="n">
        <v>72652</v>
      </c>
      <c r="B72653">
        <f>TEXT(72652, "[$-0E0000]yyyy-mm-dd")</f>
        <v/>
      </c>
      <c r="C72653" t="inlineStr">
        <is>
          <t>2098-11-07</t>
        </is>
      </c>
    </row>
    <row r="72654">
      <c r="A72654" s="1" t="n">
        <v>72653</v>
      </c>
      <c r="B72654">
        <f>TEXT(72653, "[$-0E0000]yyyy-mm-dd")</f>
        <v/>
      </c>
      <c r="C72654" t="inlineStr">
        <is>
          <t>2098-11-08</t>
        </is>
      </c>
    </row>
    <row r="72655">
      <c r="A72655" s="1" t="n">
        <v>72654</v>
      </c>
      <c r="B72655">
        <f>TEXT(72654, "[$-0E0000]yyyy-mm-dd")</f>
        <v/>
      </c>
      <c r="C72655" t="inlineStr">
        <is>
          <t>2098-11-09</t>
        </is>
      </c>
    </row>
    <row r="72656">
      <c r="A72656" s="1" t="n">
        <v>72655</v>
      </c>
      <c r="B72656">
        <f>TEXT(72655, "[$-0E0000]yyyy-mm-dd")</f>
        <v/>
      </c>
      <c r="C72656" t="inlineStr">
        <is>
          <t>2098-11-10</t>
        </is>
      </c>
    </row>
    <row r="72657">
      <c r="A72657" s="1" t="n">
        <v>72656</v>
      </c>
      <c r="B72657">
        <f>TEXT(72656, "[$-0E0000]yyyy-mm-dd")</f>
        <v/>
      </c>
      <c r="C72657" t="inlineStr">
        <is>
          <t>2098-11-11</t>
        </is>
      </c>
    </row>
    <row r="72658">
      <c r="A72658" s="1" t="n">
        <v>72657</v>
      </c>
      <c r="B72658">
        <f>TEXT(72657, "[$-0E0000]yyyy-mm-dd")</f>
        <v/>
      </c>
      <c r="C72658" t="inlineStr">
        <is>
          <t>2098-11-12</t>
        </is>
      </c>
    </row>
    <row r="72659">
      <c r="A72659" s="1" t="n">
        <v>72658</v>
      </c>
      <c r="B72659">
        <f>TEXT(72658, "[$-0E0000]yyyy-mm-dd")</f>
        <v/>
      </c>
      <c r="C72659" t="inlineStr">
        <is>
          <t>2098-11-13</t>
        </is>
      </c>
    </row>
    <row r="72660">
      <c r="A72660" s="1" t="n">
        <v>72659</v>
      </c>
      <c r="B72660">
        <f>TEXT(72659, "[$-0E0000]yyyy-mm-dd")</f>
        <v/>
      </c>
      <c r="C72660" t="inlineStr">
        <is>
          <t>2098-11-14</t>
        </is>
      </c>
    </row>
    <row r="72661">
      <c r="A72661" s="1" t="n">
        <v>72660</v>
      </c>
      <c r="B72661">
        <f>TEXT(72660, "[$-0E0000]yyyy-mm-dd")</f>
        <v/>
      </c>
      <c r="C72661" t="inlineStr">
        <is>
          <t>2098-11-15</t>
        </is>
      </c>
    </row>
    <row r="72662">
      <c r="A72662" s="1" t="n">
        <v>72661</v>
      </c>
      <c r="B72662">
        <f>TEXT(72661, "[$-0E0000]yyyy-mm-dd")</f>
        <v/>
      </c>
      <c r="C72662" t="inlineStr">
        <is>
          <t>2098-11-16</t>
        </is>
      </c>
    </row>
    <row r="72663">
      <c r="A72663" s="1" t="n">
        <v>72662</v>
      </c>
      <c r="B72663">
        <f>TEXT(72662, "[$-0E0000]yyyy-mm-dd")</f>
        <v/>
      </c>
      <c r="C72663" t="inlineStr">
        <is>
          <t>2098-11-17</t>
        </is>
      </c>
    </row>
    <row r="72664">
      <c r="A72664" s="1" t="n">
        <v>72663</v>
      </c>
      <c r="B72664">
        <f>TEXT(72663, "[$-0E0000]yyyy-mm-dd")</f>
        <v/>
      </c>
      <c r="C72664" t="inlineStr">
        <is>
          <t>2098-11-18</t>
        </is>
      </c>
    </row>
    <row r="72665">
      <c r="A72665" s="1" t="n">
        <v>72664</v>
      </c>
      <c r="B72665">
        <f>TEXT(72664, "[$-0E0000]yyyy-mm-dd")</f>
        <v/>
      </c>
      <c r="C72665" t="inlineStr">
        <is>
          <t>2098-11-19</t>
        </is>
      </c>
    </row>
    <row r="72666">
      <c r="A72666" s="1" t="n">
        <v>72665</v>
      </c>
      <c r="B72666">
        <f>TEXT(72665, "[$-0E0000]yyyy-mm-dd")</f>
        <v/>
      </c>
      <c r="C72666" t="inlineStr">
        <is>
          <t>2098-11-20</t>
        </is>
      </c>
    </row>
    <row r="72667">
      <c r="A72667" s="1" t="n">
        <v>72666</v>
      </c>
      <c r="B72667">
        <f>TEXT(72666, "[$-0E0000]yyyy-mm-dd")</f>
        <v/>
      </c>
      <c r="C72667" t="inlineStr">
        <is>
          <t>2098-11-21</t>
        </is>
      </c>
    </row>
    <row r="72668">
      <c r="A72668" s="1" t="n">
        <v>72667</v>
      </c>
      <c r="B72668">
        <f>TEXT(72667, "[$-0E0000]yyyy-mm-dd")</f>
        <v/>
      </c>
      <c r="C72668" t="inlineStr">
        <is>
          <t>2098-11-22</t>
        </is>
      </c>
    </row>
    <row r="72669">
      <c r="A72669" s="1" t="n">
        <v>72668</v>
      </c>
      <c r="B72669">
        <f>TEXT(72668, "[$-0E0000]yyyy-mm-dd")</f>
        <v/>
      </c>
      <c r="C72669" t="inlineStr">
        <is>
          <t>2098-11-23</t>
        </is>
      </c>
    </row>
    <row r="72670">
      <c r="A72670" s="1" t="n">
        <v>72669</v>
      </c>
      <c r="B72670">
        <f>TEXT(72669, "[$-0E0000]yyyy-mm-dd")</f>
        <v/>
      </c>
      <c r="C72670" t="inlineStr">
        <is>
          <t>2098-11-24</t>
        </is>
      </c>
    </row>
    <row r="72671">
      <c r="A72671" s="1" t="n">
        <v>72670</v>
      </c>
      <c r="B72671">
        <f>TEXT(72670, "[$-0E0000]yyyy-mm-dd")</f>
        <v/>
      </c>
      <c r="C72671" t="inlineStr">
        <is>
          <t>2098-11-25</t>
        </is>
      </c>
    </row>
    <row r="72672">
      <c r="A72672" s="1" t="n">
        <v>72671</v>
      </c>
      <c r="B72672">
        <f>TEXT(72671, "[$-0E0000]yyyy-mm-dd")</f>
        <v/>
      </c>
      <c r="C72672" t="inlineStr">
        <is>
          <t>2098-11-26</t>
        </is>
      </c>
    </row>
    <row r="72673">
      <c r="A72673" s="1" t="n">
        <v>72672</v>
      </c>
      <c r="B72673">
        <f>TEXT(72672, "[$-0E0000]yyyy-mm-dd")</f>
        <v/>
      </c>
      <c r="C72673" t="inlineStr">
        <is>
          <t>2098-11-27</t>
        </is>
      </c>
    </row>
    <row r="72674">
      <c r="A72674" s="1" t="n">
        <v>72673</v>
      </c>
      <c r="B72674">
        <f>TEXT(72673, "[$-0E0000]yyyy-mm-dd")</f>
        <v/>
      </c>
      <c r="C72674" t="inlineStr">
        <is>
          <t>2098-11-28</t>
        </is>
      </c>
    </row>
    <row r="72675">
      <c r="A72675" s="1" t="n">
        <v>72674</v>
      </c>
      <c r="B72675">
        <f>TEXT(72674, "[$-0E0000]yyyy-mm-dd")</f>
        <v/>
      </c>
      <c r="C72675" t="inlineStr">
        <is>
          <t>2098-11-29</t>
        </is>
      </c>
    </row>
    <row r="72676">
      <c r="A72676" s="1" t="n">
        <v>72675</v>
      </c>
      <c r="B72676">
        <f>TEXT(72675, "[$-0E0000]yyyy-mm-dd")</f>
        <v/>
      </c>
      <c r="C72676" t="inlineStr">
        <is>
          <t>2098-12-01</t>
        </is>
      </c>
    </row>
    <row r="72677">
      <c r="A72677" s="1" t="n">
        <v>72676</v>
      </c>
      <c r="B72677">
        <f>TEXT(72676, "[$-0E0000]yyyy-mm-dd")</f>
        <v/>
      </c>
      <c r="C72677" t="inlineStr">
        <is>
          <t>2098-12-02</t>
        </is>
      </c>
    </row>
    <row r="72678">
      <c r="A72678" s="1" t="n">
        <v>72677</v>
      </c>
      <c r="B72678">
        <f>TEXT(72677, "[$-0E0000]yyyy-mm-dd")</f>
        <v/>
      </c>
      <c r="C72678" t="inlineStr">
        <is>
          <t>2098-12-03</t>
        </is>
      </c>
    </row>
    <row r="72679">
      <c r="A72679" s="1" t="n">
        <v>72678</v>
      </c>
      <c r="B72679">
        <f>TEXT(72678, "[$-0E0000]yyyy-mm-dd")</f>
        <v/>
      </c>
      <c r="C72679" t="inlineStr">
        <is>
          <t>2098-12-04</t>
        </is>
      </c>
    </row>
    <row r="72680">
      <c r="A72680" s="1" t="n">
        <v>72679</v>
      </c>
      <c r="B72680">
        <f>TEXT(72679, "[$-0E0000]yyyy-mm-dd")</f>
        <v/>
      </c>
      <c r="C72680" t="inlineStr">
        <is>
          <t>2098-12-05</t>
        </is>
      </c>
    </row>
    <row r="72681">
      <c r="A72681" s="1" t="n">
        <v>72680</v>
      </c>
      <c r="B72681">
        <f>TEXT(72680, "[$-0E0000]yyyy-mm-dd")</f>
        <v/>
      </c>
      <c r="C72681" t="inlineStr">
        <is>
          <t>2098-12-06</t>
        </is>
      </c>
    </row>
    <row r="72682">
      <c r="A72682" s="1" t="n">
        <v>72681</v>
      </c>
      <c r="B72682">
        <f>TEXT(72681, "[$-0E0000]yyyy-mm-dd")</f>
        <v/>
      </c>
      <c r="C72682" t="inlineStr">
        <is>
          <t>2098-12-07</t>
        </is>
      </c>
    </row>
    <row r="72683">
      <c r="A72683" s="1" t="n">
        <v>72682</v>
      </c>
      <c r="B72683">
        <f>TEXT(72682, "[$-0E0000]yyyy-mm-dd")</f>
        <v/>
      </c>
      <c r="C72683" t="inlineStr">
        <is>
          <t>2098-12-08</t>
        </is>
      </c>
    </row>
    <row r="72684">
      <c r="A72684" s="1" t="n">
        <v>72683</v>
      </c>
      <c r="B72684">
        <f>TEXT(72683, "[$-0E0000]yyyy-mm-dd")</f>
        <v/>
      </c>
      <c r="C72684" t="inlineStr">
        <is>
          <t>2098-12-09</t>
        </is>
      </c>
    </row>
    <row r="72685">
      <c r="A72685" s="1" t="n">
        <v>72684</v>
      </c>
      <c r="B72685">
        <f>TEXT(72684, "[$-0E0000]yyyy-mm-dd")</f>
        <v/>
      </c>
      <c r="C72685" t="inlineStr">
        <is>
          <t>2098-12-10</t>
        </is>
      </c>
    </row>
    <row r="72686">
      <c r="A72686" s="1" t="n">
        <v>72685</v>
      </c>
      <c r="B72686">
        <f>TEXT(72685, "[$-0E0000]yyyy-mm-dd")</f>
        <v/>
      </c>
      <c r="C72686" t="inlineStr">
        <is>
          <t>2098-12-11</t>
        </is>
      </c>
    </row>
    <row r="72687">
      <c r="A72687" s="1" t="n">
        <v>72686</v>
      </c>
      <c r="B72687">
        <f>TEXT(72686, "[$-0E0000]yyyy-mm-dd")</f>
        <v/>
      </c>
      <c r="C72687" t="inlineStr">
        <is>
          <t>2098-12-12</t>
        </is>
      </c>
    </row>
    <row r="72688">
      <c r="A72688" s="1" t="n">
        <v>72687</v>
      </c>
      <c r="B72688">
        <f>TEXT(72687, "[$-0E0000]yyyy-mm-dd")</f>
        <v/>
      </c>
      <c r="C72688" t="inlineStr">
        <is>
          <t>2098-12-13</t>
        </is>
      </c>
    </row>
    <row r="72689">
      <c r="A72689" s="1" t="n">
        <v>72688</v>
      </c>
      <c r="B72689">
        <f>TEXT(72688, "[$-0E0000]yyyy-mm-dd")</f>
        <v/>
      </c>
      <c r="C72689" t="inlineStr">
        <is>
          <t>2098-12-14</t>
        </is>
      </c>
    </row>
    <row r="72690">
      <c r="A72690" s="1" t="n">
        <v>72689</v>
      </c>
      <c r="B72690">
        <f>TEXT(72689, "[$-0E0000]yyyy-mm-dd")</f>
        <v/>
      </c>
      <c r="C72690" t="inlineStr">
        <is>
          <t>2098-12-15</t>
        </is>
      </c>
    </row>
    <row r="72691">
      <c r="A72691" s="1" t="n">
        <v>72690</v>
      </c>
      <c r="B72691">
        <f>TEXT(72690, "[$-0E0000]yyyy-mm-dd")</f>
        <v/>
      </c>
      <c r="C72691" t="inlineStr">
        <is>
          <t>2098-12-16</t>
        </is>
      </c>
    </row>
    <row r="72692">
      <c r="A72692" s="1" t="n">
        <v>72691</v>
      </c>
      <c r="B72692">
        <f>TEXT(72691, "[$-0E0000]yyyy-mm-dd")</f>
        <v/>
      </c>
      <c r="C72692" t="inlineStr">
        <is>
          <t>2098-12-17</t>
        </is>
      </c>
    </row>
    <row r="72693">
      <c r="A72693" s="1" t="n">
        <v>72692</v>
      </c>
      <c r="B72693">
        <f>TEXT(72692, "[$-0E0000]yyyy-mm-dd")</f>
        <v/>
      </c>
      <c r="C72693" t="inlineStr">
        <is>
          <t>2098-12-18</t>
        </is>
      </c>
    </row>
    <row r="72694">
      <c r="A72694" s="1" t="n">
        <v>72693</v>
      </c>
      <c r="B72694">
        <f>TEXT(72693, "[$-0E0000]yyyy-mm-dd")</f>
        <v/>
      </c>
      <c r="C72694" t="inlineStr">
        <is>
          <t>2098-12-19</t>
        </is>
      </c>
    </row>
    <row r="72695">
      <c r="A72695" s="1" t="n">
        <v>72694</v>
      </c>
      <c r="B72695">
        <f>TEXT(72694, "[$-0E0000]yyyy-mm-dd")</f>
        <v/>
      </c>
      <c r="C72695" t="inlineStr">
        <is>
          <t>2098-12-20</t>
        </is>
      </c>
    </row>
    <row r="72696">
      <c r="A72696" s="1" t="n">
        <v>72695</v>
      </c>
      <c r="B72696">
        <f>TEXT(72695, "[$-0E0000]yyyy-mm-dd")</f>
        <v/>
      </c>
      <c r="C72696" t="inlineStr">
        <is>
          <t>2098-12-21</t>
        </is>
      </c>
    </row>
    <row r="72697">
      <c r="A72697" s="1" t="n">
        <v>72696</v>
      </c>
      <c r="B72697">
        <f>TEXT(72696, "[$-0E0000]yyyy-mm-dd")</f>
        <v/>
      </c>
      <c r="C72697" t="inlineStr">
        <is>
          <t>2098-12-22</t>
        </is>
      </c>
    </row>
    <row r="72698">
      <c r="A72698" s="1" t="n">
        <v>72697</v>
      </c>
      <c r="B72698">
        <f>TEXT(72697, "[$-0E0000]yyyy-mm-dd")</f>
        <v/>
      </c>
      <c r="C72698" t="inlineStr">
        <is>
          <t>2098-12-23</t>
        </is>
      </c>
    </row>
    <row r="72699">
      <c r="A72699" s="1" t="n">
        <v>72698</v>
      </c>
      <c r="B72699">
        <f>TEXT(72698, "[$-0E0000]yyyy-mm-dd")</f>
        <v/>
      </c>
      <c r="C72699" t="inlineStr">
        <is>
          <t>2098-12-24</t>
        </is>
      </c>
    </row>
    <row r="72700">
      <c r="A72700" s="1" t="n">
        <v>72699</v>
      </c>
      <c r="B72700">
        <f>TEXT(72699, "[$-0E0000]yyyy-mm-dd")</f>
        <v/>
      </c>
      <c r="C72700" t="inlineStr">
        <is>
          <t>2098-12-25</t>
        </is>
      </c>
    </row>
    <row r="72701">
      <c r="A72701" s="1" t="n">
        <v>72700</v>
      </c>
      <c r="B72701">
        <f>TEXT(72700, "[$-0E0000]yyyy-mm-dd")</f>
        <v/>
      </c>
      <c r="C72701" t="inlineStr">
        <is>
          <t>2098-12-26</t>
        </is>
      </c>
    </row>
    <row r="72702">
      <c r="A72702" s="1" t="n">
        <v>72701</v>
      </c>
      <c r="B72702">
        <f>TEXT(72701, "[$-0E0000]yyyy-mm-dd")</f>
        <v/>
      </c>
      <c r="C72702" t="inlineStr">
        <is>
          <t>2098-12-27</t>
        </is>
      </c>
    </row>
    <row r="72703">
      <c r="A72703" s="1" t="n">
        <v>72702</v>
      </c>
      <c r="B72703">
        <f>TEXT(72702, "[$-0E0000]yyyy-mm-dd")</f>
        <v/>
      </c>
      <c r="C72703" t="inlineStr">
        <is>
          <t>2098-12-28</t>
        </is>
      </c>
    </row>
    <row r="72704">
      <c r="A72704" s="1" t="n">
        <v>72703</v>
      </c>
      <c r="B72704">
        <f>TEXT(72703, "[$-0E0000]yyyy-mm-dd")</f>
        <v/>
      </c>
      <c r="C72704" t="inlineStr">
        <is>
          <t>2098-12-29</t>
        </is>
      </c>
    </row>
    <row r="72705">
      <c r="A72705" s="1" t="n">
        <v>72704</v>
      </c>
      <c r="B72705">
        <f>TEXT(72704, "[$-0E0000]yyyy-mm-dd")</f>
        <v/>
      </c>
      <c r="C72705" t="inlineStr">
        <is>
          <t>2098-12-30</t>
        </is>
      </c>
    </row>
    <row r="72706">
      <c r="A72706" s="1" t="n">
        <v>72705</v>
      </c>
      <c r="B72706">
        <f>TEXT(72705, "[$-0E0000]yyyy-mm-dd")</f>
        <v/>
      </c>
      <c r="C72706" t="inlineStr">
        <is>
          <t>2099-01-01</t>
        </is>
      </c>
    </row>
    <row r="72707">
      <c r="A72707" s="1" t="n">
        <v>72706</v>
      </c>
      <c r="B72707">
        <f>TEXT(72706, "[$-0E0000]yyyy-mm-dd")</f>
        <v/>
      </c>
      <c r="C72707" t="inlineStr">
        <is>
          <t>2099-01-02</t>
        </is>
      </c>
    </row>
    <row r="72708">
      <c r="A72708" s="1" t="n">
        <v>72707</v>
      </c>
      <c r="B72708">
        <f>TEXT(72707, "[$-0E0000]yyyy-mm-dd")</f>
        <v/>
      </c>
      <c r="C72708" t="inlineStr">
        <is>
          <t>2099-01-03</t>
        </is>
      </c>
    </row>
    <row r="72709">
      <c r="A72709" s="1" t="n">
        <v>72708</v>
      </c>
      <c r="B72709">
        <f>TEXT(72708, "[$-0E0000]yyyy-mm-dd")</f>
        <v/>
      </c>
      <c r="C72709" t="inlineStr">
        <is>
          <t>2099-01-04</t>
        </is>
      </c>
    </row>
    <row r="72710">
      <c r="A72710" s="1" t="n">
        <v>72709</v>
      </c>
      <c r="B72710">
        <f>TEXT(72709, "[$-0E0000]yyyy-mm-dd")</f>
        <v/>
      </c>
      <c r="C72710" t="inlineStr">
        <is>
          <t>2099-01-05</t>
        </is>
      </c>
    </row>
    <row r="72711">
      <c r="A72711" s="1" t="n">
        <v>72710</v>
      </c>
      <c r="B72711">
        <f>TEXT(72710, "[$-0E0000]yyyy-mm-dd")</f>
        <v/>
      </c>
      <c r="C72711" t="inlineStr">
        <is>
          <t>2099-01-06</t>
        </is>
      </c>
    </row>
    <row r="72712">
      <c r="A72712" s="1" t="n">
        <v>72711</v>
      </c>
      <c r="B72712">
        <f>TEXT(72711, "[$-0E0000]yyyy-mm-dd")</f>
        <v/>
      </c>
      <c r="C72712" t="inlineStr">
        <is>
          <t>2099-01-07</t>
        </is>
      </c>
    </row>
    <row r="72713">
      <c r="A72713" s="1" t="n">
        <v>72712</v>
      </c>
      <c r="B72713">
        <f>TEXT(72712, "[$-0E0000]yyyy-mm-dd")</f>
        <v/>
      </c>
      <c r="C72713" t="inlineStr">
        <is>
          <t>2099-01-08</t>
        </is>
      </c>
    </row>
    <row r="72714">
      <c r="A72714" s="1" t="n">
        <v>72713</v>
      </c>
      <c r="B72714">
        <f>TEXT(72713, "[$-0E0000]yyyy-mm-dd")</f>
        <v/>
      </c>
      <c r="C72714" t="inlineStr">
        <is>
          <t>2099-01-09</t>
        </is>
      </c>
    </row>
    <row r="72715">
      <c r="A72715" s="1" t="n">
        <v>72714</v>
      </c>
      <c r="B72715">
        <f>TEXT(72714, "[$-0E0000]yyyy-mm-dd")</f>
        <v/>
      </c>
      <c r="C72715" t="inlineStr">
        <is>
          <t>2099-01-10</t>
        </is>
      </c>
    </row>
    <row r="72716">
      <c r="A72716" s="1" t="n">
        <v>72715</v>
      </c>
      <c r="B72716">
        <f>TEXT(72715, "[$-0E0000]yyyy-mm-dd")</f>
        <v/>
      </c>
      <c r="C72716" t="inlineStr">
        <is>
          <t>2099-01-11</t>
        </is>
      </c>
    </row>
    <row r="72717">
      <c r="A72717" s="1" t="n">
        <v>72716</v>
      </c>
      <c r="B72717">
        <f>TEXT(72716, "[$-0E0000]yyyy-mm-dd")</f>
        <v/>
      </c>
      <c r="C72717" t="inlineStr">
        <is>
          <t>2099-01-12</t>
        </is>
      </c>
    </row>
    <row r="72718">
      <c r="A72718" s="1" t="n">
        <v>72717</v>
      </c>
      <c r="B72718">
        <f>TEXT(72717, "[$-0E0000]yyyy-mm-dd")</f>
        <v/>
      </c>
      <c r="C72718" t="inlineStr">
        <is>
          <t>2099-01-13</t>
        </is>
      </c>
    </row>
    <row r="72719">
      <c r="A72719" s="1" t="n">
        <v>72718</v>
      </c>
      <c r="B72719">
        <f>TEXT(72718, "[$-0E0000]yyyy-mm-dd")</f>
        <v/>
      </c>
      <c r="C72719" t="inlineStr">
        <is>
          <t>2099-01-14</t>
        </is>
      </c>
    </row>
    <row r="72720">
      <c r="A72720" s="1" t="n">
        <v>72719</v>
      </c>
      <c r="B72720">
        <f>TEXT(72719, "[$-0E0000]yyyy-mm-dd")</f>
        <v/>
      </c>
      <c r="C72720" t="inlineStr">
        <is>
          <t>2099-01-15</t>
        </is>
      </c>
    </row>
    <row r="72721">
      <c r="A72721" s="1" t="n">
        <v>72720</v>
      </c>
      <c r="B72721">
        <f>TEXT(72720, "[$-0E0000]yyyy-mm-dd")</f>
        <v/>
      </c>
      <c r="C72721" t="inlineStr">
        <is>
          <t>2099-01-16</t>
        </is>
      </c>
    </row>
    <row r="72722">
      <c r="A72722" s="1" t="n">
        <v>72721</v>
      </c>
      <c r="B72722">
        <f>TEXT(72721, "[$-0E0000]yyyy-mm-dd")</f>
        <v/>
      </c>
      <c r="C72722" t="inlineStr">
        <is>
          <t>2099-01-17</t>
        </is>
      </c>
    </row>
    <row r="72723">
      <c r="A72723" s="1" t="n">
        <v>72722</v>
      </c>
      <c r="B72723">
        <f>TEXT(72722, "[$-0E0000]yyyy-mm-dd")</f>
        <v/>
      </c>
      <c r="C72723" t="inlineStr">
        <is>
          <t>2099-01-18</t>
        </is>
      </c>
    </row>
    <row r="72724">
      <c r="A72724" s="1" t="n">
        <v>72723</v>
      </c>
      <c r="B72724">
        <f>TEXT(72723, "[$-0E0000]yyyy-mm-dd")</f>
        <v/>
      </c>
      <c r="C72724" t="inlineStr">
        <is>
          <t>2099-01-19</t>
        </is>
      </c>
    </row>
    <row r="72725">
      <c r="A72725" s="1" t="n">
        <v>72724</v>
      </c>
      <c r="B72725">
        <f>TEXT(72724, "[$-0E0000]yyyy-mm-dd")</f>
        <v/>
      </c>
      <c r="C72725" t="inlineStr">
        <is>
          <t>2099-01-20</t>
        </is>
      </c>
    </row>
    <row r="72726">
      <c r="A72726" s="1" t="n">
        <v>72725</v>
      </c>
      <c r="B72726">
        <f>TEXT(72725, "[$-0E0000]yyyy-mm-dd")</f>
        <v/>
      </c>
      <c r="C72726" t="inlineStr">
        <is>
          <t>2099-01-21</t>
        </is>
      </c>
    </row>
    <row r="72727">
      <c r="A72727" s="1" t="n">
        <v>72726</v>
      </c>
      <c r="B72727">
        <f>TEXT(72726, "[$-0E0000]yyyy-mm-dd")</f>
        <v/>
      </c>
      <c r="C72727" t="inlineStr">
        <is>
          <t>2099-01-22</t>
        </is>
      </c>
    </row>
    <row r="72728">
      <c r="A72728" s="1" t="n">
        <v>72727</v>
      </c>
      <c r="B72728">
        <f>TEXT(72727, "[$-0E0000]yyyy-mm-dd")</f>
        <v/>
      </c>
      <c r="C72728" t="inlineStr">
        <is>
          <t>2099-01-23</t>
        </is>
      </c>
    </row>
    <row r="72729">
      <c r="A72729" s="1" t="n">
        <v>72728</v>
      </c>
      <c r="B72729">
        <f>TEXT(72728, "[$-0E0000]yyyy-mm-dd")</f>
        <v/>
      </c>
      <c r="C72729" t="inlineStr">
        <is>
          <t>2099-01-24</t>
        </is>
      </c>
    </row>
    <row r="72730">
      <c r="A72730" s="1" t="n">
        <v>72729</v>
      </c>
      <c r="B72730">
        <f>TEXT(72729, "[$-0E0000]yyyy-mm-dd")</f>
        <v/>
      </c>
      <c r="C72730" t="inlineStr">
        <is>
          <t>2099-01-25</t>
        </is>
      </c>
    </row>
    <row r="72731">
      <c r="A72731" s="1" t="n">
        <v>72730</v>
      </c>
      <c r="B72731">
        <f>TEXT(72730, "[$-0E0000]yyyy-mm-dd")</f>
        <v/>
      </c>
      <c r="C72731" t="inlineStr">
        <is>
          <t>2099-01-26</t>
        </is>
      </c>
    </row>
    <row r="72732">
      <c r="A72732" s="1" t="n">
        <v>72731</v>
      </c>
      <c r="B72732">
        <f>TEXT(72731, "[$-0E0000]yyyy-mm-dd")</f>
        <v/>
      </c>
      <c r="C72732" t="inlineStr">
        <is>
          <t>2099-01-27</t>
        </is>
      </c>
    </row>
    <row r="72733">
      <c r="A72733" s="1" t="n">
        <v>72732</v>
      </c>
      <c r="B72733">
        <f>TEXT(72732, "[$-0E0000]yyyy-mm-dd")</f>
        <v/>
      </c>
      <c r="C72733" t="inlineStr">
        <is>
          <t>2099-01-28</t>
        </is>
      </c>
    </row>
    <row r="72734">
      <c r="A72734" s="1" t="n">
        <v>72733</v>
      </c>
      <c r="B72734">
        <f>TEXT(72733, "[$-0E0000]yyyy-mm-dd")</f>
        <v/>
      </c>
      <c r="C72734" t="inlineStr">
        <is>
          <t>2099-01-29</t>
        </is>
      </c>
    </row>
    <row r="72735">
      <c r="A72735" s="1" t="n">
        <v>72734</v>
      </c>
      <c r="B72735">
        <f>TEXT(72734, "[$-0E0000]yyyy-mm-dd")</f>
        <v/>
      </c>
      <c r="C72735" t="inlineStr">
        <is>
          <t>2099-01-30</t>
        </is>
      </c>
    </row>
    <row r="72736">
      <c r="A72736" s="1" t="n">
        <v>72735</v>
      </c>
      <c r="B72736">
        <f>TEXT(72735, "[$-0E0000]yyyy-mm-dd")</f>
        <v/>
      </c>
      <c r="C72736" t="inlineStr">
        <is>
          <t>2099-02-01</t>
        </is>
      </c>
    </row>
    <row r="72737">
      <c r="A72737" s="1" t="n">
        <v>72736</v>
      </c>
      <c r="B72737">
        <f>TEXT(72736, "[$-0E0000]yyyy-mm-dd")</f>
        <v/>
      </c>
      <c r="C72737" t="inlineStr">
        <is>
          <t>2099-02-02</t>
        </is>
      </c>
    </row>
    <row r="72738">
      <c r="A72738" s="1" t="n">
        <v>72737</v>
      </c>
      <c r="B72738">
        <f>TEXT(72737, "[$-0E0000]yyyy-mm-dd")</f>
        <v/>
      </c>
      <c r="C72738" t="inlineStr">
        <is>
          <t>2099-02-03</t>
        </is>
      </c>
    </row>
    <row r="72739">
      <c r="A72739" s="1" t="n">
        <v>72738</v>
      </c>
      <c r="B72739">
        <f>TEXT(72738, "[$-0E0000]yyyy-mm-dd")</f>
        <v/>
      </c>
      <c r="C72739" t="inlineStr">
        <is>
          <t>2099-02-04</t>
        </is>
      </c>
    </row>
    <row r="72740">
      <c r="A72740" s="1" t="n">
        <v>72739</v>
      </c>
      <c r="B72740">
        <f>TEXT(72739, "[$-0E0000]yyyy-mm-dd")</f>
        <v/>
      </c>
      <c r="C72740" t="inlineStr">
        <is>
          <t>2099-02-05</t>
        </is>
      </c>
    </row>
    <row r="72741">
      <c r="A72741" s="1" t="n">
        <v>72740</v>
      </c>
      <c r="B72741">
        <f>TEXT(72740, "[$-0E0000]yyyy-mm-dd")</f>
        <v/>
      </c>
      <c r="C72741" t="inlineStr">
        <is>
          <t>2099-02-06</t>
        </is>
      </c>
    </row>
    <row r="72742">
      <c r="A72742" s="1" t="n">
        <v>72741</v>
      </c>
      <c r="B72742">
        <f>TEXT(72741, "[$-0E0000]yyyy-mm-dd")</f>
        <v/>
      </c>
      <c r="C72742" t="inlineStr">
        <is>
          <t>2099-02-07</t>
        </is>
      </c>
    </row>
    <row r="72743">
      <c r="A72743" s="1" t="n">
        <v>72742</v>
      </c>
      <c r="B72743">
        <f>TEXT(72742, "[$-0E0000]yyyy-mm-dd")</f>
        <v/>
      </c>
      <c r="C72743" t="inlineStr">
        <is>
          <t>2099-02-08</t>
        </is>
      </c>
    </row>
    <row r="72744">
      <c r="A72744" s="1" t="n">
        <v>72743</v>
      </c>
      <c r="B72744">
        <f>TEXT(72743, "[$-0E0000]yyyy-mm-dd")</f>
        <v/>
      </c>
      <c r="C72744" t="inlineStr">
        <is>
          <t>2099-02-09</t>
        </is>
      </c>
    </row>
    <row r="72745">
      <c r="A72745" s="1" t="n">
        <v>72744</v>
      </c>
      <c r="B72745">
        <f>TEXT(72744, "[$-0E0000]yyyy-mm-dd")</f>
        <v/>
      </c>
      <c r="C72745" t="inlineStr">
        <is>
          <t>2099-02-10</t>
        </is>
      </c>
    </row>
    <row r="72746">
      <c r="A72746" s="1" t="n">
        <v>72745</v>
      </c>
      <c r="B72746">
        <f>TEXT(72745, "[$-0E0000]yyyy-mm-dd")</f>
        <v/>
      </c>
      <c r="C72746" t="inlineStr">
        <is>
          <t>2099-02-11</t>
        </is>
      </c>
    </row>
    <row r="72747">
      <c r="A72747" s="1" t="n">
        <v>72746</v>
      </c>
      <c r="B72747">
        <f>TEXT(72746, "[$-0E0000]yyyy-mm-dd")</f>
        <v/>
      </c>
      <c r="C72747" t="inlineStr">
        <is>
          <t>2099-02-12</t>
        </is>
      </c>
    </row>
    <row r="72748">
      <c r="A72748" s="1" t="n">
        <v>72747</v>
      </c>
      <c r="B72748">
        <f>TEXT(72747, "[$-0E0000]yyyy-mm-dd")</f>
        <v/>
      </c>
      <c r="C72748" t="inlineStr">
        <is>
          <t>2099-02-13</t>
        </is>
      </c>
    </row>
    <row r="72749">
      <c r="A72749" s="1" t="n">
        <v>72748</v>
      </c>
      <c r="B72749">
        <f>TEXT(72748, "[$-0E0000]yyyy-mm-dd")</f>
        <v/>
      </c>
      <c r="C72749" t="inlineStr">
        <is>
          <t>2099-02-14</t>
        </is>
      </c>
    </row>
    <row r="72750">
      <c r="A72750" s="1" t="n">
        <v>72749</v>
      </c>
      <c r="B72750">
        <f>TEXT(72749, "[$-0E0000]yyyy-mm-dd")</f>
        <v/>
      </c>
      <c r="C72750" t="inlineStr">
        <is>
          <t>2099-02-15</t>
        </is>
      </c>
    </row>
    <row r="72751">
      <c r="A72751" s="1" t="n">
        <v>72750</v>
      </c>
      <c r="B72751">
        <f>TEXT(72750, "[$-0E0000]yyyy-mm-dd")</f>
        <v/>
      </c>
      <c r="C72751" t="inlineStr">
        <is>
          <t>2099-02-16</t>
        </is>
      </c>
    </row>
    <row r="72752">
      <c r="A72752" s="1" t="n">
        <v>72751</v>
      </c>
      <c r="B72752">
        <f>TEXT(72751, "[$-0E0000]yyyy-mm-dd")</f>
        <v/>
      </c>
      <c r="C72752" t="inlineStr">
        <is>
          <t>2099-02-17</t>
        </is>
      </c>
    </row>
    <row r="72753">
      <c r="A72753" s="1" t="n">
        <v>72752</v>
      </c>
      <c r="B72753">
        <f>TEXT(72752, "[$-0E0000]yyyy-mm-dd")</f>
        <v/>
      </c>
      <c r="C72753" t="inlineStr">
        <is>
          <t>2099-02-18</t>
        </is>
      </c>
    </row>
    <row r="72754">
      <c r="A72754" s="1" t="n">
        <v>72753</v>
      </c>
      <c r="B72754">
        <f>TEXT(72753, "[$-0E0000]yyyy-mm-dd")</f>
        <v/>
      </c>
      <c r="C72754" t="inlineStr">
        <is>
          <t>2099-02-19</t>
        </is>
      </c>
    </row>
    <row r="72755">
      <c r="A72755" s="1" t="n">
        <v>72754</v>
      </c>
      <c r="B72755">
        <f>TEXT(72754, "[$-0E0000]yyyy-mm-dd")</f>
        <v/>
      </c>
      <c r="C72755" t="inlineStr">
        <is>
          <t>2099-02-20</t>
        </is>
      </c>
    </row>
    <row r="72756">
      <c r="A72756" s="1" t="n">
        <v>72755</v>
      </c>
      <c r="B72756">
        <f>TEXT(72755, "[$-0E0000]yyyy-mm-dd")</f>
        <v/>
      </c>
      <c r="C72756" t="inlineStr">
        <is>
          <t>2099-02-21</t>
        </is>
      </c>
    </row>
    <row r="72757">
      <c r="A72757" s="1" t="n">
        <v>72756</v>
      </c>
      <c r="B72757">
        <f>TEXT(72756, "[$-0E0000]yyyy-mm-dd")</f>
        <v/>
      </c>
      <c r="C72757" t="inlineStr">
        <is>
          <t>2099-02-22</t>
        </is>
      </c>
    </row>
    <row r="72758">
      <c r="A72758" s="1" t="n">
        <v>72757</v>
      </c>
      <c r="B72758">
        <f>TEXT(72757, "[$-0E0000]yyyy-mm-dd")</f>
        <v/>
      </c>
      <c r="C72758" t="inlineStr">
        <is>
          <t>2099-02-23</t>
        </is>
      </c>
    </row>
    <row r="72759">
      <c r="A72759" s="1" t="n">
        <v>72758</v>
      </c>
      <c r="B72759">
        <f>TEXT(72758, "[$-0E0000]yyyy-mm-dd")</f>
        <v/>
      </c>
      <c r="C72759" t="inlineStr">
        <is>
          <t>2099-02-24</t>
        </is>
      </c>
    </row>
    <row r="72760">
      <c r="A72760" s="1" t="n">
        <v>72759</v>
      </c>
      <c r="B72760">
        <f>TEXT(72759, "[$-0E0000]yyyy-mm-dd")</f>
        <v/>
      </c>
      <c r="C72760" t="inlineStr">
        <is>
          <t>2099-02-25</t>
        </is>
      </c>
    </row>
    <row r="72761">
      <c r="A72761" s="1" t="n">
        <v>72760</v>
      </c>
      <c r="B72761">
        <f>TEXT(72760, "[$-0E0000]yyyy-mm-dd")</f>
        <v/>
      </c>
      <c r="C72761" t="inlineStr">
        <is>
          <t>2099-02-26</t>
        </is>
      </c>
    </row>
    <row r="72762">
      <c r="A72762" s="1" t="n">
        <v>72761</v>
      </c>
      <c r="B72762">
        <f>TEXT(72761, "[$-0E0000]yyyy-mm-dd")</f>
        <v/>
      </c>
      <c r="C72762" t="inlineStr">
        <is>
          <t>2099-02-27</t>
        </is>
      </c>
    </row>
    <row r="72763">
      <c r="A72763" s="1" t="n">
        <v>72762</v>
      </c>
      <c r="B72763">
        <f>TEXT(72762, "[$-0E0000]yyyy-mm-dd")</f>
        <v/>
      </c>
      <c r="C72763" t="inlineStr">
        <is>
          <t>2099-02-28</t>
        </is>
      </c>
    </row>
    <row r="72764">
      <c r="A72764" s="1" t="n">
        <v>72763</v>
      </c>
      <c r="B72764">
        <f>TEXT(72763, "[$-0E0000]yyyy-mm-dd")</f>
        <v/>
      </c>
      <c r="C72764" t="inlineStr">
        <is>
          <t>2099-02-29</t>
        </is>
      </c>
    </row>
    <row r="72765">
      <c r="A72765" s="1" t="n">
        <v>72764</v>
      </c>
      <c r="B72765">
        <f>TEXT(72764, "[$-0E0000]yyyy-mm-dd")</f>
        <v/>
      </c>
      <c r="C72765" t="inlineStr">
        <is>
          <t>2099-02-30</t>
        </is>
      </c>
    </row>
    <row r="72766">
      <c r="A72766" s="1" t="n">
        <v>72765</v>
      </c>
      <c r="B72766">
        <f>TEXT(72765, "[$-0E0000]yyyy-mm-dd")</f>
        <v/>
      </c>
      <c r="C72766" t="inlineStr">
        <is>
          <t>2099-02-01</t>
        </is>
      </c>
    </row>
    <row r="72767">
      <c r="A72767" s="1" t="n">
        <v>72766</v>
      </c>
      <c r="B72767">
        <f>TEXT(72766, "[$-0E0000]yyyy-mm-dd")</f>
        <v/>
      </c>
      <c r="C72767" t="inlineStr">
        <is>
          <t>2099-02-02</t>
        </is>
      </c>
    </row>
    <row r="72768">
      <c r="A72768" s="1" t="n">
        <v>72767</v>
      </c>
      <c r="B72768">
        <f>TEXT(72767, "[$-0E0000]yyyy-mm-dd")</f>
        <v/>
      </c>
      <c r="C72768" t="inlineStr">
        <is>
          <t>2099-02-03</t>
        </is>
      </c>
    </row>
    <row r="72769">
      <c r="A72769" s="1" t="n">
        <v>72768</v>
      </c>
      <c r="B72769">
        <f>TEXT(72768, "[$-0E0000]yyyy-mm-dd")</f>
        <v/>
      </c>
      <c r="C72769" t="inlineStr">
        <is>
          <t>2099-02-04</t>
        </is>
      </c>
    </row>
    <row r="72770">
      <c r="A72770" s="1" t="n">
        <v>72769</v>
      </c>
      <c r="B72770">
        <f>TEXT(72769, "[$-0E0000]yyyy-mm-dd")</f>
        <v/>
      </c>
      <c r="C72770" t="inlineStr">
        <is>
          <t>2099-02-05</t>
        </is>
      </c>
    </row>
    <row r="72771">
      <c r="A72771" s="1" t="n">
        <v>72770</v>
      </c>
      <c r="B72771">
        <f>TEXT(72770, "[$-0E0000]yyyy-mm-dd")</f>
        <v/>
      </c>
      <c r="C72771" t="inlineStr">
        <is>
          <t>2099-02-06</t>
        </is>
      </c>
    </row>
    <row r="72772">
      <c r="A72772" s="1" t="n">
        <v>72771</v>
      </c>
      <c r="B72772">
        <f>TEXT(72771, "[$-0E0000]yyyy-mm-dd")</f>
        <v/>
      </c>
      <c r="C72772" t="inlineStr">
        <is>
          <t>2099-02-07</t>
        </is>
      </c>
    </row>
    <row r="72773">
      <c r="A72773" s="1" t="n">
        <v>72772</v>
      </c>
      <c r="B72773">
        <f>TEXT(72772, "[$-0E0000]yyyy-mm-dd")</f>
        <v/>
      </c>
      <c r="C72773" t="inlineStr">
        <is>
          <t>2099-02-08</t>
        </is>
      </c>
    </row>
    <row r="72774">
      <c r="A72774" s="1" t="n">
        <v>72773</v>
      </c>
      <c r="B72774">
        <f>TEXT(72773, "[$-0E0000]yyyy-mm-dd")</f>
        <v/>
      </c>
      <c r="C72774" t="inlineStr">
        <is>
          <t>2099-02-09</t>
        </is>
      </c>
    </row>
    <row r="72775">
      <c r="A72775" s="1" t="n">
        <v>72774</v>
      </c>
      <c r="B72775">
        <f>TEXT(72774, "[$-0E0000]yyyy-mm-dd")</f>
        <v/>
      </c>
      <c r="C72775" t="inlineStr">
        <is>
          <t>2099-02-10</t>
        </is>
      </c>
    </row>
    <row r="72776">
      <c r="A72776" s="1" t="n">
        <v>72775</v>
      </c>
      <c r="B72776">
        <f>TEXT(72775, "[$-0E0000]yyyy-mm-dd")</f>
        <v/>
      </c>
      <c r="C72776" t="inlineStr">
        <is>
          <t>2099-02-11</t>
        </is>
      </c>
    </row>
    <row r="72777">
      <c r="A72777" s="1" t="n">
        <v>72776</v>
      </c>
      <c r="B72777">
        <f>TEXT(72776, "[$-0E0000]yyyy-mm-dd")</f>
        <v/>
      </c>
      <c r="C72777" t="inlineStr">
        <is>
          <t>2099-02-12</t>
        </is>
      </c>
    </row>
    <row r="72778">
      <c r="A72778" s="1" t="n">
        <v>72777</v>
      </c>
      <c r="B72778">
        <f>TEXT(72777, "[$-0E0000]yyyy-mm-dd")</f>
        <v/>
      </c>
      <c r="C72778" t="inlineStr">
        <is>
          <t>2099-02-13</t>
        </is>
      </c>
    </row>
    <row r="72779">
      <c r="A72779" s="1" t="n">
        <v>72778</v>
      </c>
      <c r="B72779">
        <f>TEXT(72778, "[$-0E0000]yyyy-mm-dd")</f>
        <v/>
      </c>
      <c r="C72779" t="inlineStr">
        <is>
          <t>2099-02-14</t>
        </is>
      </c>
    </row>
    <row r="72780">
      <c r="A72780" s="1" t="n">
        <v>72779</v>
      </c>
      <c r="B72780">
        <f>TEXT(72779, "[$-0E0000]yyyy-mm-dd")</f>
        <v/>
      </c>
      <c r="C72780" t="inlineStr">
        <is>
          <t>2099-02-15</t>
        </is>
      </c>
    </row>
    <row r="72781">
      <c r="A72781" s="1" t="n">
        <v>72780</v>
      </c>
      <c r="B72781">
        <f>TEXT(72780, "[$-0E0000]yyyy-mm-dd")</f>
        <v/>
      </c>
      <c r="C72781" t="inlineStr">
        <is>
          <t>2099-02-16</t>
        </is>
      </c>
    </row>
    <row r="72782">
      <c r="A72782" s="1" t="n">
        <v>72781</v>
      </c>
      <c r="B72782">
        <f>TEXT(72781, "[$-0E0000]yyyy-mm-dd")</f>
        <v/>
      </c>
      <c r="C72782" t="inlineStr">
        <is>
          <t>2099-02-17</t>
        </is>
      </c>
    </row>
    <row r="72783">
      <c r="A72783" s="1" t="n">
        <v>72782</v>
      </c>
      <c r="B72783">
        <f>TEXT(72782, "[$-0E0000]yyyy-mm-dd")</f>
        <v/>
      </c>
      <c r="C72783" t="inlineStr">
        <is>
          <t>2099-02-18</t>
        </is>
      </c>
    </row>
    <row r="72784">
      <c r="A72784" s="1" t="n">
        <v>72783</v>
      </c>
      <c r="B72784">
        <f>TEXT(72783, "[$-0E0000]yyyy-mm-dd")</f>
        <v/>
      </c>
      <c r="C72784" t="inlineStr">
        <is>
          <t>2099-02-19</t>
        </is>
      </c>
    </row>
    <row r="72785">
      <c r="A72785" s="1" t="n">
        <v>72784</v>
      </c>
      <c r="B72785">
        <f>TEXT(72784, "[$-0E0000]yyyy-mm-dd")</f>
        <v/>
      </c>
      <c r="C72785" t="inlineStr">
        <is>
          <t>2099-02-20</t>
        </is>
      </c>
    </row>
    <row r="72786">
      <c r="A72786" s="1" t="n">
        <v>72785</v>
      </c>
      <c r="B72786">
        <f>TEXT(72785, "[$-0E0000]yyyy-mm-dd")</f>
        <v/>
      </c>
      <c r="C72786" t="inlineStr">
        <is>
          <t>2099-02-21</t>
        </is>
      </c>
    </row>
    <row r="72787">
      <c r="A72787" s="1" t="n">
        <v>72786</v>
      </c>
      <c r="B72787">
        <f>TEXT(72786, "[$-0E0000]yyyy-mm-dd")</f>
        <v/>
      </c>
      <c r="C72787" t="inlineStr">
        <is>
          <t>2099-02-22</t>
        </is>
      </c>
    </row>
    <row r="72788">
      <c r="A72788" s="1" t="n">
        <v>72787</v>
      </c>
      <c r="B72788">
        <f>TEXT(72787, "[$-0E0000]yyyy-mm-dd")</f>
        <v/>
      </c>
      <c r="C72788" t="inlineStr">
        <is>
          <t>2099-02-23</t>
        </is>
      </c>
    </row>
    <row r="72789">
      <c r="A72789" s="1" t="n">
        <v>72788</v>
      </c>
      <c r="B72789">
        <f>TEXT(72788, "[$-0E0000]yyyy-mm-dd")</f>
        <v/>
      </c>
      <c r="C72789" t="inlineStr">
        <is>
          <t>2099-02-24</t>
        </is>
      </c>
    </row>
    <row r="72790">
      <c r="A72790" s="1" t="n">
        <v>72789</v>
      </c>
      <c r="B72790">
        <f>TEXT(72789, "[$-0E0000]yyyy-mm-dd")</f>
        <v/>
      </c>
      <c r="C72790" t="inlineStr">
        <is>
          <t>2099-02-25</t>
        </is>
      </c>
    </row>
    <row r="72791">
      <c r="A72791" s="1" t="n">
        <v>72790</v>
      </c>
      <c r="B72791">
        <f>TEXT(72790, "[$-0E0000]yyyy-mm-dd")</f>
        <v/>
      </c>
      <c r="C72791" t="inlineStr">
        <is>
          <t>2099-02-26</t>
        </is>
      </c>
    </row>
    <row r="72792">
      <c r="A72792" s="1" t="n">
        <v>72791</v>
      </c>
      <c r="B72792">
        <f>TEXT(72791, "[$-0E0000]yyyy-mm-dd")</f>
        <v/>
      </c>
      <c r="C72792" t="inlineStr">
        <is>
          <t>2099-02-27</t>
        </is>
      </c>
    </row>
    <row r="72793">
      <c r="A72793" s="1" t="n">
        <v>72792</v>
      </c>
      <c r="B72793">
        <f>TEXT(72792, "[$-0E0000]yyyy-mm-dd")</f>
        <v/>
      </c>
      <c r="C72793" t="inlineStr">
        <is>
          <t>2099-02-28</t>
        </is>
      </c>
    </row>
    <row r="72794">
      <c r="A72794" s="1" t="n">
        <v>72793</v>
      </c>
      <c r="B72794">
        <f>TEXT(72793, "[$-0E0000]yyyy-mm-dd")</f>
        <v/>
      </c>
      <c r="C72794" t="inlineStr">
        <is>
          <t>2099-02-29</t>
        </is>
      </c>
    </row>
    <row r="72795">
      <c r="A72795" s="1" t="n">
        <v>72794</v>
      </c>
      <c r="B72795">
        <f>TEXT(72794, "[$-0E0000]yyyy-mm-dd")</f>
        <v/>
      </c>
      <c r="C72795" t="inlineStr">
        <is>
          <t>2099-03-01</t>
        </is>
      </c>
    </row>
    <row r="72796">
      <c r="A72796" s="1" t="n">
        <v>72795</v>
      </c>
      <c r="B72796">
        <f>TEXT(72795, "[$-0E0000]yyyy-mm-dd")</f>
        <v/>
      </c>
      <c r="C72796" t="inlineStr">
        <is>
          <t>2099-03-02</t>
        </is>
      </c>
    </row>
    <row r="72797">
      <c r="A72797" s="1" t="n">
        <v>72796</v>
      </c>
      <c r="B72797">
        <f>TEXT(72796, "[$-0E0000]yyyy-mm-dd")</f>
        <v/>
      </c>
      <c r="C72797" t="inlineStr">
        <is>
          <t>2099-03-03</t>
        </is>
      </c>
    </row>
    <row r="72798">
      <c r="A72798" s="1" t="n">
        <v>72797</v>
      </c>
      <c r="B72798">
        <f>TEXT(72797, "[$-0E0000]yyyy-mm-dd")</f>
        <v/>
      </c>
      <c r="C72798" t="inlineStr">
        <is>
          <t>2099-03-04</t>
        </is>
      </c>
    </row>
    <row r="72799">
      <c r="A72799" s="1" t="n">
        <v>72798</v>
      </c>
      <c r="B72799">
        <f>TEXT(72798, "[$-0E0000]yyyy-mm-dd")</f>
        <v/>
      </c>
      <c r="C72799" t="inlineStr">
        <is>
          <t>2099-03-05</t>
        </is>
      </c>
    </row>
    <row r="72800">
      <c r="A72800" s="1" t="n">
        <v>72799</v>
      </c>
      <c r="B72800">
        <f>TEXT(72799, "[$-0E0000]yyyy-mm-dd")</f>
        <v/>
      </c>
      <c r="C72800" t="inlineStr">
        <is>
          <t>2099-03-06</t>
        </is>
      </c>
    </row>
    <row r="72801">
      <c r="A72801" s="1" t="n">
        <v>72800</v>
      </c>
      <c r="B72801">
        <f>TEXT(72800, "[$-0E0000]yyyy-mm-dd")</f>
        <v/>
      </c>
      <c r="C72801" t="inlineStr">
        <is>
          <t>2099-03-07</t>
        </is>
      </c>
    </row>
    <row r="72802">
      <c r="A72802" s="1" t="n">
        <v>72801</v>
      </c>
      <c r="B72802">
        <f>TEXT(72801, "[$-0E0000]yyyy-mm-dd")</f>
        <v/>
      </c>
      <c r="C72802" t="inlineStr">
        <is>
          <t>2099-03-08</t>
        </is>
      </c>
    </row>
    <row r="72803">
      <c r="A72803" s="1" t="n">
        <v>72802</v>
      </c>
      <c r="B72803">
        <f>TEXT(72802, "[$-0E0000]yyyy-mm-dd")</f>
        <v/>
      </c>
      <c r="C72803" t="inlineStr">
        <is>
          <t>2099-03-09</t>
        </is>
      </c>
    </row>
    <row r="72804">
      <c r="A72804" s="1" t="n">
        <v>72803</v>
      </c>
      <c r="B72804">
        <f>TEXT(72803, "[$-0E0000]yyyy-mm-dd")</f>
        <v/>
      </c>
      <c r="C72804" t="inlineStr">
        <is>
          <t>2099-03-10</t>
        </is>
      </c>
    </row>
    <row r="72805">
      <c r="A72805" s="1" t="n">
        <v>72804</v>
      </c>
      <c r="B72805">
        <f>TEXT(72804, "[$-0E0000]yyyy-mm-dd")</f>
        <v/>
      </c>
      <c r="C72805" t="inlineStr">
        <is>
          <t>2099-03-11</t>
        </is>
      </c>
    </row>
    <row r="72806">
      <c r="A72806" s="1" t="n">
        <v>72805</v>
      </c>
      <c r="B72806">
        <f>TEXT(72805, "[$-0E0000]yyyy-mm-dd")</f>
        <v/>
      </c>
      <c r="C72806" t="inlineStr">
        <is>
          <t>2099-03-12</t>
        </is>
      </c>
    </row>
    <row r="72807">
      <c r="A72807" s="1" t="n">
        <v>72806</v>
      </c>
      <c r="B72807">
        <f>TEXT(72806, "[$-0E0000]yyyy-mm-dd")</f>
        <v/>
      </c>
      <c r="C72807" t="inlineStr">
        <is>
          <t>2099-03-13</t>
        </is>
      </c>
    </row>
    <row r="72808">
      <c r="A72808" s="1" t="n">
        <v>72807</v>
      </c>
      <c r="B72808">
        <f>TEXT(72807, "[$-0E0000]yyyy-mm-dd")</f>
        <v/>
      </c>
      <c r="C72808" t="inlineStr">
        <is>
          <t>2099-03-14</t>
        </is>
      </c>
    </row>
    <row r="72809">
      <c r="A72809" s="1" t="n">
        <v>72808</v>
      </c>
      <c r="B72809">
        <f>TEXT(72808, "[$-0E0000]yyyy-mm-dd")</f>
        <v/>
      </c>
      <c r="C72809" t="inlineStr">
        <is>
          <t>2099-03-15</t>
        </is>
      </c>
    </row>
    <row r="72810">
      <c r="A72810" s="1" t="n">
        <v>72809</v>
      </c>
      <c r="B72810">
        <f>TEXT(72809, "[$-0E0000]yyyy-mm-dd")</f>
        <v/>
      </c>
      <c r="C72810" t="inlineStr">
        <is>
          <t>2099-03-16</t>
        </is>
      </c>
    </row>
    <row r="72811">
      <c r="A72811" s="1" t="n">
        <v>72810</v>
      </c>
      <c r="B72811">
        <f>TEXT(72810, "[$-0E0000]yyyy-mm-dd")</f>
        <v/>
      </c>
      <c r="C72811" t="inlineStr">
        <is>
          <t>2099-03-17</t>
        </is>
      </c>
    </row>
    <row r="72812">
      <c r="A72812" s="1" t="n">
        <v>72811</v>
      </c>
      <c r="B72812">
        <f>TEXT(72811, "[$-0E0000]yyyy-mm-dd")</f>
        <v/>
      </c>
      <c r="C72812" t="inlineStr">
        <is>
          <t>2099-03-18</t>
        </is>
      </c>
    </row>
    <row r="72813">
      <c r="A72813" s="1" t="n">
        <v>72812</v>
      </c>
      <c r="B72813">
        <f>TEXT(72812, "[$-0E0000]yyyy-mm-dd")</f>
        <v/>
      </c>
      <c r="C72813" t="inlineStr">
        <is>
          <t>2099-03-19</t>
        </is>
      </c>
    </row>
    <row r="72814">
      <c r="A72814" s="1" t="n">
        <v>72813</v>
      </c>
      <c r="B72814">
        <f>TEXT(72813, "[$-0E0000]yyyy-mm-dd")</f>
        <v/>
      </c>
      <c r="C72814" t="inlineStr">
        <is>
          <t>2099-03-20</t>
        </is>
      </c>
    </row>
    <row r="72815">
      <c r="A72815" s="1" t="n">
        <v>72814</v>
      </c>
      <c r="B72815">
        <f>TEXT(72814, "[$-0E0000]yyyy-mm-dd")</f>
        <v/>
      </c>
      <c r="C72815" t="inlineStr">
        <is>
          <t>2099-03-21</t>
        </is>
      </c>
    </row>
    <row r="72816">
      <c r="A72816" s="1" t="n">
        <v>72815</v>
      </c>
      <c r="B72816">
        <f>TEXT(72815, "[$-0E0000]yyyy-mm-dd")</f>
        <v/>
      </c>
      <c r="C72816" t="inlineStr">
        <is>
          <t>2099-03-22</t>
        </is>
      </c>
    </row>
    <row r="72817">
      <c r="A72817" s="1" t="n">
        <v>72816</v>
      </c>
      <c r="B72817">
        <f>TEXT(72816, "[$-0E0000]yyyy-mm-dd")</f>
        <v/>
      </c>
      <c r="C72817" t="inlineStr">
        <is>
          <t>2099-03-23</t>
        </is>
      </c>
    </row>
    <row r="72818">
      <c r="A72818" s="1" t="n">
        <v>72817</v>
      </c>
      <c r="B72818">
        <f>TEXT(72817, "[$-0E0000]yyyy-mm-dd")</f>
        <v/>
      </c>
      <c r="C72818" t="inlineStr">
        <is>
          <t>2099-03-24</t>
        </is>
      </c>
    </row>
    <row r="72819">
      <c r="A72819" s="1" t="n">
        <v>72818</v>
      </c>
      <c r="B72819">
        <f>TEXT(72818, "[$-0E0000]yyyy-mm-dd")</f>
        <v/>
      </c>
      <c r="C72819" t="inlineStr">
        <is>
          <t>2099-03-25</t>
        </is>
      </c>
    </row>
    <row r="72820">
      <c r="A72820" s="1" t="n">
        <v>72819</v>
      </c>
      <c r="B72820">
        <f>TEXT(72819, "[$-0E0000]yyyy-mm-dd")</f>
        <v/>
      </c>
      <c r="C72820" t="inlineStr">
        <is>
          <t>2099-03-26</t>
        </is>
      </c>
    </row>
    <row r="72821">
      <c r="A72821" s="1" t="n">
        <v>72820</v>
      </c>
      <c r="B72821">
        <f>TEXT(72820, "[$-0E0000]yyyy-mm-dd")</f>
        <v/>
      </c>
      <c r="C72821" t="inlineStr">
        <is>
          <t>2099-03-27</t>
        </is>
      </c>
    </row>
    <row r="72822">
      <c r="A72822" s="1" t="n">
        <v>72821</v>
      </c>
      <c r="B72822">
        <f>TEXT(72821, "[$-0E0000]yyyy-mm-dd")</f>
        <v/>
      </c>
      <c r="C72822" t="inlineStr">
        <is>
          <t>2099-03-28</t>
        </is>
      </c>
    </row>
    <row r="72823">
      <c r="A72823" s="1" t="n">
        <v>72822</v>
      </c>
      <c r="B72823">
        <f>TEXT(72822, "[$-0E0000]yyyy-mm-dd")</f>
        <v/>
      </c>
      <c r="C72823" t="inlineStr">
        <is>
          <t>2099-03-29</t>
        </is>
      </c>
    </row>
    <row r="72824">
      <c r="A72824" s="1" t="n">
        <v>72823</v>
      </c>
      <c r="B72824">
        <f>TEXT(72823, "[$-0E0000]yyyy-mm-dd")</f>
        <v/>
      </c>
      <c r="C72824" t="inlineStr">
        <is>
          <t>2099-03-30</t>
        </is>
      </c>
    </row>
    <row r="72825">
      <c r="A72825" s="1" t="n">
        <v>72824</v>
      </c>
      <c r="B72825">
        <f>TEXT(72824, "[$-0E0000]yyyy-mm-dd")</f>
        <v/>
      </c>
      <c r="C72825" t="inlineStr">
        <is>
          <t>2099-04-01</t>
        </is>
      </c>
    </row>
    <row r="72826">
      <c r="A72826" s="1" t="n">
        <v>72825</v>
      </c>
      <c r="B72826">
        <f>TEXT(72825, "[$-0E0000]yyyy-mm-dd")</f>
        <v/>
      </c>
      <c r="C72826" t="inlineStr">
        <is>
          <t>2099-04-02</t>
        </is>
      </c>
    </row>
    <row r="72827">
      <c r="A72827" s="1" t="n">
        <v>72826</v>
      </c>
      <c r="B72827">
        <f>TEXT(72826, "[$-0E0000]yyyy-mm-dd")</f>
        <v/>
      </c>
      <c r="C72827" t="inlineStr">
        <is>
          <t>2099-04-03</t>
        </is>
      </c>
    </row>
    <row r="72828">
      <c r="A72828" s="1" t="n">
        <v>72827</v>
      </c>
      <c r="B72828">
        <f>TEXT(72827, "[$-0E0000]yyyy-mm-dd")</f>
        <v/>
      </c>
      <c r="C72828" t="inlineStr">
        <is>
          <t>2099-04-04</t>
        </is>
      </c>
    </row>
    <row r="72829">
      <c r="A72829" s="1" t="n">
        <v>72828</v>
      </c>
      <c r="B72829">
        <f>TEXT(72828, "[$-0E0000]yyyy-mm-dd")</f>
        <v/>
      </c>
      <c r="C72829" t="inlineStr">
        <is>
          <t>2099-04-05</t>
        </is>
      </c>
    </row>
    <row r="72830">
      <c r="A72830" s="1" t="n">
        <v>72829</v>
      </c>
      <c r="B72830">
        <f>TEXT(72829, "[$-0E0000]yyyy-mm-dd")</f>
        <v/>
      </c>
      <c r="C72830" t="inlineStr">
        <is>
          <t>2099-04-06</t>
        </is>
      </c>
    </row>
    <row r="72831">
      <c r="A72831" s="1" t="n">
        <v>72830</v>
      </c>
      <c r="B72831">
        <f>TEXT(72830, "[$-0E0000]yyyy-mm-dd")</f>
        <v/>
      </c>
      <c r="C72831" t="inlineStr">
        <is>
          <t>2099-04-07</t>
        </is>
      </c>
    </row>
    <row r="72832">
      <c r="A72832" s="1" t="n">
        <v>72831</v>
      </c>
      <c r="B72832">
        <f>TEXT(72831, "[$-0E0000]yyyy-mm-dd")</f>
        <v/>
      </c>
      <c r="C72832" t="inlineStr">
        <is>
          <t>2099-04-08</t>
        </is>
      </c>
    </row>
    <row r="72833">
      <c r="A72833" s="1" t="n">
        <v>72832</v>
      </c>
      <c r="B72833">
        <f>TEXT(72832, "[$-0E0000]yyyy-mm-dd")</f>
        <v/>
      </c>
      <c r="C72833" t="inlineStr">
        <is>
          <t>2099-04-09</t>
        </is>
      </c>
    </row>
    <row r="72834">
      <c r="A72834" s="1" t="n">
        <v>72833</v>
      </c>
      <c r="B72834">
        <f>TEXT(72833, "[$-0E0000]yyyy-mm-dd")</f>
        <v/>
      </c>
      <c r="C72834" t="inlineStr">
        <is>
          <t>2099-04-10</t>
        </is>
      </c>
    </row>
    <row r="72835">
      <c r="A72835" s="1" t="n">
        <v>72834</v>
      </c>
      <c r="B72835">
        <f>TEXT(72834, "[$-0E0000]yyyy-mm-dd")</f>
        <v/>
      </c>
      <c r="C72835" t="inlineStr">
        <is>
          <t>2099-04-11</t>
        </is>
      </c>
    </row>
    <row r="72836">
      <c r="A72836" s="1" t="n">
        <v>72835</v>
      </c>
      <c r="B72836">
        <f>TEXT(72835, "[$-0E0000]yyyy-mm-dd")</f>
        <v/>
      </c>
      <c r="C72836" t="inlineStr">
        <is>
          <t>2099-04-12</t>
        </is>
      </c>
    </row>
    <row r="72837">
      <c r="A72837" s="1" t="n">
        <v>72836</v>
      </c>
      <c r="B72837">
        <f>TEXT(72836, "[$-0E0000]yyyy-mm-dd")</f>
        <v/>
      </c>
      <c r="C72837" t="inlineStr">
        <is>
          <t>2099-04-13</t>
        </is>
      </c>
    </row>
    <row r="72838">
      <c r="A72838" s="1" t="n">
        <v>72837</v>
      </c>
      <c r="B72838">
        <f>TEXT(72837, "[$-0E0000]yyyy-mm-dd")</f>
        <v/>
      </c>
      <c r="C72838" t="inlineStr">
        <is>
          <t>2099-04-14</t>
        </is>
      </c>
    </row>
    <row r="72839">
      <c r="A72839" s="1" t="n">
        <v>72838</v>
      </c>
      <c r="B72839">
        <f>TEXT(72838, "[$-0E0000]yyyy-mm-dd")</f>
        <v/>
      </c>
      <c r="C72839" t="inlineStr">
        <is>
          <t>2099-04-15</t>
        </is>
      </c>
    </row>
    <row r="72840">
      <c r="A72840" s="1" t="n">
        <v>72839</v>
      </c>
      <c r="B72840">
        <f>TEXT(72839, "[$-0E0000]yyyy-mm-dd")</f>
        <v/>
      </c>
      <c r="C72840" t="inlineStr">
        <is>
          <t>2099-04-16</t>
        </is>
      </c>
    </row>
    <row r="72841">
      <c r="A72841" s="1" t="n">
        <v>72840</v>
      </c>
      <c r="B72841">
        <f>TEXT(72840, "[$-0E0000]yyyy-mm-dd")</f>
        <v/>
      </c>
      <c r="C72841" t="inlineStr">
        <is>
          <t>2099-04-17</t>
        </is>
      </c>
    </row>
    <row r="72842">
      <c r="A72842" s="1" t="n">
        <v>72841</v>
      </c>
      <c r="B72842">
        <f>TEXT(72841, "[$-0E0000]yyyy-mm-dd")</f>
        <v/>
      </c>
      <c r="C72842" t="inlineStr">
        <is>
          <t>2099-04-18</t>
        </is>
      </c>
    </row>
    <row r="72843">
      <c r="A72843" s="1" t="n">
        <v>72842</v>
      </c>
      <c r="B72843">
        <f>TEXT(72842, "[$-0E0000]yyyy-mm-dd")</f>
        <v/>
      </c>
      <c r="C72843" t="inlineStr">
        <is>
          <t>2099-04-19</t>
        </is>
      </c>
    </row>
    <row r="72844">
      <c r="A72844" s="1" t="n">
        <v>72843</v>
      </c>
      <c r="B72844">
        <f>TEXT(72843, "[$-0E0000]yyyy-mm-dd")</f>
        <v/>
      </c>
      <c r="C72844" t="inlineStr">
        <is>
          <t>2099-04-20</t>
        </is>
      </c>
    </row>
    <row r="72845">
      <c r="A72845" s="1" t="n">
        <v>72844</v>
      </c>
      <c r="B72845">
        <f>TEXT(72844, "[$-0E0000]yyyy-mm-dd")</f>
        <v/>
      </c>
      <c r="C72845" t="inlineStr">
        <is>
          <t>2099-04-21</t>
        </is>
      </c>
    </row>
    <row r="72846">
      <c r="A72846" s="1" t="n">
        <v>72845</v>
      </c>
      <c r="B72846">
        <f>TEXT(72845, "[$-0E0000]yyyy-mm-dd")</f>
        <v/>
      </c>
      <c r="C72846" t="inlineStr">
        <is>
          <t>2099-04-22</t>
        </is>
      </c>
    </row>
    <row r="72847">
      <c r="A72847" s="1" t="n">
        <v>72846</v>
      </c>
      <c r="B72847">
        <f>TEXT(72846, "[$-0E0000]yyyy-mm-dd")</f>
        <v/>
      </c>
      <c r="C72847" t="inlineStr">
        <is>
          <t>2099-04-23</t>
        </is>
      </c>
    </row>
    <row r="72848">
      <c r="A72848" s="1" t="n">
        <v>72847</v>
      </c>
      <c r="B72848">
        <f>TEXT(72847, "[$-0E0000]yyyy-mm-dd")</f>
        <v/>
      </c>
      <c r="C72848" t="inlineStr">
        <is>
          <t>2099-04-24</t>
        </is>
      </c>
    </row>
    <row r="72849">
      <c r="A72849" s="1" t="n">
        <v>72848</v>
      </c>
      <c r="B72849">
        <f>TEXT(72848, "[$-0E0000]yyyy-mm-dd")</f>
        <v/>
      </c>
      <c r="C72849" t="inlineStr">
        <is>
          <t>2099-04-25</t>
        </is>
      </c>
    </row>
    <row r="72850">
      <c r="A72850" s="1" t="n">
        <v>72849</v>
      </c>
      <c r="B72850">
        <f>TEXT(72849, "[$-0E0000]yyyy-mm-dd")</f>
        <v/>
      </c>
      <c r="C72850" t="inlineStr">
        <is>
          <t>2099-04-26</t>
        </is>
      </c>
    </row>
    <row r="72851">
      <c r="A72851" s="1" t="n">
        <v>72850</v>
      </c>
      <c r="B72851">
        <f>TEXT(72850, "[$-0E0000]yyyy-mm-dd")</f>
        <v/>
      </c>
      <c r="C72851" t="inlineStr">
        <is>
          <t>2099-04-27</t>
        </is>
      </c>
    </row>
    <row r="72852">
      <c r="A72852" s="1" t="n">
        <v>72851</v>
      </c>
      <c r="B72852">
        <f>TEXT(72851, "[$-0E0000]yyyy-mm-dd")</f>
        <v/>
      </c>
      <c r="C72852" t="inlineStr">
        <is>
          <t>2099-04-28</t>
        </is>
      </c>
    </row>
    <row r="72853">
      <c r="A72853" s="1" t="n">
        <v>72852</v>
      </c>
      <c r="B72853">
        <f>TEXT(72852, "[$-0E0000]yyyy-mm-dd")</f>
        <v/>
      </c>
      <c r="C72853" t="inlineStr">
        <is>
          <t>2099-04-29</t>
        </is>
      </c>
    </row>
    <row r="72854">
      <c r="A72854" s="1" t="n">
        <v>72853</v>
      </c>
      <c r="B72854">
        <f>TEXT(72853, "[$-0E0000]yyyy-mm-dd")</f>
        <v/>
      </c>
      <c r="C72854" t="inlineStr">
        <is>
          <t>2099-04-30</t>
        </is>
      </c>
    </row>
    <row r="72855">
      <c r="A72855" s="1" t="n">
        <v>72854</v>
      </c>
      <c r="B72855">
        <f>TEXT(72854, "[$-0E0000]yyyy-mm-dd")</f>
        <v/>
      </c>
      <c r="C72855" t="inlineStr">
        <is>
          <t>2099-05-01</t>
        </is>
      </c>
    </row>
    <row r="72856">
      <c r="A72856" s="1" t="n">
        <v>72855</v>
      </c>
      <c r="B72856">
        <f>TEXT(72855, "[$-0E0000]yyyy-mm-dd")</f>
        <v/>
      </c>
      <c r="C72856" t="inlineStr">
        <is>
          <t>2099-05-02</t>
        </is>
      </c>
    </row>
    <row r="72857">
      <c r="A72857" s="1" t="n">
        <v>72856</v>
      </c>
      <c r="B72857">
        <f>TEXT(72856, "[$-0E0000]yyyy-mm-dd")</f>
        <v/>
      </c>
      <c r="C72857" t="inlineStr">
        <is>
          <t>2099-05-03</t>
        </is>
      </c>
    </row>
    <row r="72858">
      <c r="A72858" s="1" t="n">
        <v>72857</v>
      </c>
      <c r="B72858">
        <f>TEXT(72857, "[$-0E0000]yyyy-mm-dd")</f>
        <v/>
      </c>
      <c r="C72858" t="inlineStr">
        <is>
          <t>2099-05-04</t>
        </is>
      </c>
    </row>
    <row r="72859">
      <c r="A72859" s="1" t="n">
        <v>72858</v>
      </c>
      <c r="B72859">
        <f>TEXT(72858, "[$-0E0000]yyyy-mm-dd")</f>
        <v/>
      </c>
      <c r="C72859" t="inlineStr">
        <is>
          <t>2099-05-05</t>
        </is>
      </c>
    </row>
    <row r="72860">
      <c r="A72860" s="1" t="n">
        <v>72859</v>
      </c>
      <c r="B72860">
        <f>TEXT(72859, "[$-0E0000]yyyy-mm-dd")</f>
        <v/>
      </c>
      <c r="C72860" t="inlineStr">
        <is>
          <t>2099-05-06</t>
        </is>
      </c>
    </row>
    <row r="72861">
      <c r="A72861" s="1" t="n">
        <v>72860</v>
      </c>
      <c r="B72861">
        <f>TEXT(72860, "[$-0E0000]yyyy-mm-dd")</f>
        <v/>
      </c>
      <c r="C72861" t="inlineStr">
        <is>
          <t>2099-05-07</t>
        </is>
      </c>
    </row>
    <row r="72862">
      <c r="A72862" s="1" t="n">
        <v>72861</v>
      </c>
      <c r="B72862">
        <f>TEXT(72861, "[$-0E0000]yyyy-mm-dd")</f>
        <v/>
      </c>
      <c r="C72862" t="inlineStr">
        <is>
          <t>2099-05-08</t>
        </is>
      </c>
    </row>
    <row r="72863">
      <c r="A72863" s="1" t="n">
        <v>72862</v>
      </c>
      <c r="B72863">
        <f>TEXT(72862, "[$-0E0000]yyyy-mm-dd")</f>
        <v/>
      </c>
      <c r="C72863" t="inlineStr">
        <is>
          <t>2099-05-09</t>
        </is>
      </c>
    </row>
    <row r="72864">
      <c r="A72864" s="1" t="n">
        <v>72863</v>
      </c>
      <c r="B72864">
        <f>TEXT(72863, "[$-0E0000]yyyy-mm-dd")</f>
        <v/>
      </c>
      <c r="C72864" t="inlineStr">
        <is>
          <t>2099-05-10</t>
        </is>
      </c>
    </row>
    <row r="72865">
      <c r="A72865" s="1" t="n">
        <v>72864</v>
      </c>
      <c r="B72865">
        <f>TEXT(72864, "[$-0E0000]yyyy-mm-dd")</f>
        <v/>
      </c>
      <c r="C72865" t="inlineStr">
        <is>
          <t>2099-05-11</t>
        </is>
      </c>
    </row>
    <row r="72866">
      <c r="A72866" s="1" t="n">
        <v>72865</v>
      </c>
      <c r="B72866">
        <f>TEXT(72865, "[$-0E0000]yyyy-mm-dd")</f>
        <v/>
      </c>
      <c r="C72866" t="inlineStr">
        <is>
          <t>2099-05-12</t>
        </is>
      </c>
    </row>
    <row r="72867">
      <c r="A72867" s="1" t="n">
        <v>72866</v>
      </c>
      <c r="B72867">
        <f>TEXT(72866, "[$-0E0000]yyyy-mm-dd")</f>
        <v/>
      </c>
      <c r="C72867" t="inlineStr">
        <is>
          <t>2099-05-13</t>
        </is>
      </c>
    </row>
    <row r="72868">
      <c r="A72868" s="1" t="n">
        <v>72867</v>
      </c>
      <c r="B72868">
        <f>TEXT(72867, "[$-0E0000]yyyy-mm-dd")</f>
        <v/>
      </c>
      <c r="C72868" t="inlineStr">
        <is>
          <t>2099-05-14</t>
        </is>
      </c>
    </row>
    <row r="72869">
      <c r="A72869" s="1" t="n">
        <v>72868</v>
      </c>
      <c r="B72869">
        <f>TEXT(72868, "[$-0E0000]yyyy-mm-dd")</f>
        <v/>
      </c>
      <c r="C72869" t="inlineStr">
        <is>
          <t>2099-05-15</t>
        </is>
      </c>
    </row>
    <row r="72870">
      <c r="A72870" s="1" t="n">
        <v>72869</v>
      </c>
      <c r="B72870">
        <f>TEXT(72869, "[$-0E0000]yyyy-mm-dd")</f>
        <v/>
      </c>
      <c r="C72870" t="inlineStr">
        <is>
          <t>2099-05-16</t>
        </is>
      </c>
    </row>
    <row r="72871">
      <c r="A72871" s="1" t="n">
        <v>72870</v>
      </c>
      <c r="B72871">
        <f>TEXT(72870, "[$-0E0000]yyyy-mm-dd")</f>
        <v/>
      </c>
      <c r="C72871" t="inlineStr">
        <is>
          <t>2099-05-17</t>
        </is>
      </c>
    </row>
    <row r="72872">
      <c r="A72872" s="1" t="n">
        <v>72871</v>
      </c>
      <c r="B72872">
        <f>TEXT(72871, "[$-0E0000]yyyy-mm-dd")</f>
        <v/>
      </c>
      <c r="C72872" t="inlineStr">
        <is>
          <t>2099-05-18</t>
        </is>
      </c>
    </row>
    <row r="72873">
      <c r="A72873" s="1" t="n">
        <v>72872</v>
      </c>
      <c r="B72873">
        <f>TEXT(72872, "[$-0E0000]yyyy-mm-dd")</f>
        <v/>
      </c>
      <c r="C72873" t="inlineStr">
        <is>
          <t>2099-05-19</t>
        </is>
      </c>
    </row>
    <row r="72874">
      <c r="A72874" s="1" t="n">
        <v>72873</v>
      </c>
      <c r="B72874">
        <f>TEXT(72873, "[$-0E0000]yyyy-mm-dd")</f>
        <v/>
      </c>
      <c r="C72874" t="inlineStr">
        <is>
          <t>2099-05-20</t>
        </is>
      </c>
    </row>
    <row r="72875">
      <c r="A72875" s="1" t="n">
        <v>72874</v>
      </c>
      <c r="B72875">
        <f>TEXT(72874, "[$-0E0000]yyyy-mm-dd")</f>
        <v/>
      </c>
      <c r="C72875" t="inlineStr">
        <is>
          <t>2099-05-21</t>
        </is>
      </c>
    </row>
    <row r="72876">
      <c r="A72876" s="1" t="n">
        <v>72875</v>
      </c>
      <c r="B72876">
        <f>TEXT(72875, "[$-0E0000]yyyy-mm-dd")</f>
        <v/>
      </c>
      <c r="C72876" t="inlineStr">
        <is>
          <t>2099-05-22</t>
        </is>
      </c>
    </row>
    <row r="72877">
      <c r="A72877" s="1" t="n">
        <v>72876</v>
      </c>
      <c r="B72877">
        <f>TEXT(72876, "[$-0E0000]yyyy-mm-dd")</f>
        <v/>
      </c>
      <c r="C72877" t="inlineStr">
        <is>
          <t>2099-05-23</t>
        </is>
      </c>
    </row>
    <row r="72878">
      <c r="A72878" s="1" t="n">
        <v>72877</v>
      </c>
      <c r="B72878">
        <f>TEXT(72877, "[$-0E0000]yyyy-mm-dd")</f>
        <v/>
      </c>
      <c r="C72878" t="inlineStr">
        <is>
          <t>2099-05-24</t>
        </is>
      </c>
    </row>
    <row r="72879">
      <c r="A72879" s="1" t="n">
        <v>72878</v>
      </c>
      <c r="B72879">
        <f>TEXT(72878, "[$-0E0000]yyyy-mm-dd")</f>
        <v/>
      </c>
      <c r="C72879" t="inlineStr">
        <is>
          <t>2099-05-25</t>
        </is>
      </c>
    </row>
    <row r="72880">
      <c r="A72880" s="1" t="n">
        <v>72879</v>
      </c>
      <c r="B72880">
        <f>TEXT(72879, "[$-0E0000]yyyy-mm-dd")</f>
        <v/>
      </c>
      <c r="C72880" t="inlineStr">
        <is>
          <t>2099-05-26</t>
        </is>
      </c>
    </row>
    <row r="72881">
      <c r="A72881" s="1" t="n">
        <v>72880</v>
      </c>
      <c r="B72881">
        <f>TEXT(72880, "[$-0E0000]yyyy-mm-dd")</f>
        <v/>
      </c>
      <c r="C72881" t="inlineStr">
        <is>
          <t>2099-05-27</t>
        </is>
      </c>
    </row>
    <row r="72882">
      <c r="A72882" s="1" t="n">
        <v>72881</v>
      </c>
      <c r="B72882">
        <f>TEXT(72881, "[$-0E0000]yyyy-mm-dd")</f>
        <v/>
      </c>
      <c r="C72882" t="inlineStr">
        <is>
          <t>2099-05-28</t>
        </is>
      </c>
    </row>
    <row r="72883">
      <c r="A72883" s="1" t="n">
        <v>72882</v>
      </c>
      <c r="B72883">
        <f>TEXT(72882, "[$-0E0000]yyyy-mm-dd")</f>
        <v/>
      </c>
      <c r="C72883" t="inlineStr">
        <is>
          <t>2099-05-29</t>
        </is>
      </c>
    </row>
    <row r="72884">
      <c r="A72884" s="1" t="n">
        <v>72883</v>
      </c>
      <c r="B72884">
        <f>TEXT(72883, "[$-0E0000]yyyy-mm-dd")</f>
        <v/>
      </c>
      <c r="C72884" t="inlineStr">
        <is>
          <t>2099-06-01</t>
        </is>
      </c>
    </row>
    <row r="72885">
      <c r="A72885" s="1" t="n">
        <v>72884</v>
      </c>
      <c r="B72885">
        <f>TEXT(72884, "[$-0E0000]yyyy-mm-dd")</f>
        <v/>
      </c>
      <c r="C72885" t="inlineStr">
        <is>
          <t>2099-06-02</t>
        </is>
      </c>
    </row>
    <row r="72886">
      <c r="A72886" s="1" t="n">
        <v>72885</v>
      </c>
      <c r="B72886">
        <f>TEXT(72885, "[$-0E0000]yyyy-mm-dd")</f>
        <v/>
      </c>
      <c r="C72886" t="inlineStr">
        <is>
          <t>2099-06-03</t>
        </is>
      </c>
    </row>
    <row r="72887">
      <c r="A72887" s="1" t="n">
        <v>72886</v>
      </c>
      <c r="B72887">
        <f>TEXT(72886, "[$-0E0000]yyyy-mm-dd")</f>
        <v/>
      </c>
      <c r="C72887" t="inlineStr">
        <is>
          <t>2099-06-04</t>
        </is>
      </c>
    </row>
    <row r="72888">
      <c r="A72888" s="1" t="n">
        <v>72887</v>
      </c>
      <c r="B72888">
        <f>TEXT(72887, "[$-0E0000]yyyy-mm-dd")</f>
        <v/>
      </c>
      <c r="C72888" t="inlineStr">
        <is>
          <t>2099-06-05</t>
        </is>
      </c>
    </row>
    <row r="72889">
      <c r="A72889" s="1" t="n">
        <v>72888</v>
      </c>
      <c r="B72889">
        <f>TEXT(72888, "[$-0E0000]yyyy-mm-dd")</f>
        <v/>
      </c>
      <c r="C72889" t="inlineStr">
        <is>
          <t>2099-06-06</t>
        </is>
      </c>
    </row>
    <row r="72890">
      <c r="A72890" s="1" t="n">
        <v>72889</v>
      </c>
      <c r="B72890">
        <f>TEXT(72889, "[$-0E0000]yyyy-mm-dd")</f>
        <v/>
      </c>
      <c r="C72890" t="inlineStr">
        <is>
          <t>2099-06-07</t>
        </is>
      </c>
    </row>
    <row r="72891">
      <c r="A72891" s="1" t="n">
        <v>72890</v>
      </c>
      <c r="B72891">
        <f>TEXT(72890, "[$-0E0000]yyyy-mm-dd")</f>
        <v/>
      </c>
      <c r="C72891" t="inlineStr">
        <is>
          <t>2099-06-08</t>
        </is>
      </c>
    </row>
    <row r="72892">
      <c r="A72892" s="1" t="n">
        <v>72891</v>
      </c>
      <c r="B72892">
        <f>TEXT(72891, "[$-0E0000]yyyy-mm-dd")</f>
        <v/>
      </c>
      <c r="C72892" t="inlineStr">
        <is>
          <t>2099-06-09</t>
        </is>
      </c>
    </row>
    <row r="72893">
      <c r="A72893" s="1" t="n">
        <v>72892</v>
      </c>
      <c r="B72893">
        <f>TEXT(72892, "[$-0E0000]yyyy-mm-dd")</f>
        <v/>
      </c>
      <c r="C72893" t="inlineStr">
        <is>
          <t>2099-06-10</t>
        </is>
      </c>
    </row>
    <row r="72894">
      <c r="A72894" s="1" t="n">
        <v>72893</v>
      </c>
      <c r="B72894">
        <f>TEXT(72893, "[$-0E0000]yyyy-mm-dd")</f>
        <v/>
      </c>
      <c r="C72894" t="inlineStr">
        <is>
          <t>2099-06-11</t>
        </is>
      </c>
    </row>
    <row r="72895">
      <c r="A72895" s="1" t="n">
        <v>72894</v>
      </c>
      <c r="B72895">
        <f>TEXT(72894, "[$-0E0000]yyyy-mm-dd")</f>
        <v/>
      </c>
      <c r="C72895" t="inlineStr">
        <is>
          <t>2099-06-12</t>
        </is>
      </c>
    </row>
    <row r="72896">
      <c r="A72896" s="1" t="n">
        <v>72895</v>
      </c>
      <c r="B72896">
        <f>TEXT(72895, "[$-0E0000]yyyy-mm-dd")</f>
        <v/>
      </c>
      <c r="C72896" t="inlineStr">
        <is>
          <t>2099-06-13</t>
        </is>
      </c>
    </row>
    <row r="72897">
      <c r="A72897" s="1" t="n">
        <v>72896</v>
      </c>
      <c r="B72897">
        <f>TEXT(72896, "[$-0E0000]yyyy-mm-dd")</f>
        <v/>
      </c>
      <c r="C72897" t="inlineStr">
        <is>
          <t>2099-06-14</t>
        </is>
      </c>
    </row>
    <row r="72898">
      <c r="A72898" s="1" t="n">
        <v>72897</v>
      </c>
      <c r="B72898">
        <f>TEXT(72897, "[$-0E0000]yyyy-mm-dd")</f>
        <v/>
      </c>
      <c r="C72898" t="inlineStr">
        <is>
          <t>2099-06-15</t>
        </is>
      </c>
    </row>
    <row r="72899">
      <c r="A72899" s="1" t="n">
        <v>72898</v>
      </c>
      <c r="B72899">
        <f>TEXT(72898, "[$-0E0000]yyyy-mm-dd")</f>
        <v/>
      </c>
      <c r="C72899" t="inlineStr">
        <is>
          <t>2099-06-16</t>
        </is>
      </c>
    </row>
    <row r="72900">
      <c r="A72900" s="1" t="n">
        <v>72899</v>
      </c>
      <c r="B72900">
        <f>TEXT(72899, "[$-0E0000]yyyy-mm-dd")</f>
        <v/>
      </c>
      <c r="C72900" t="inlineStr">
        <is>
          <t>2099-06-17</t>
        </is>
      </c>
    </row>
    <row r="72901">
      <c r="A72901" s="1" t="n">
        <v>72900</v>
      </c>
      <c r="B72901">
        <f>TEXT(72900, "[$-0E0000]yyyy-mm-dd")</f>
        <v/>
      </c>
      <c r="C72901" t="inlineStr">
        <is>
          <t>2099-06-18</t>
        </is>
      </c>
    </row>
    <row r="72902">
      <c r="A72902" s="1" t="n">
        <v>72901</v>
      </c>
      <c r="B72902">
        <f>TEXT(72901, "[$-0E0000]yyyy-mm-dd")</f>
        <v/>
      </c>
      <c r="C72902" t="inlineStr">
        <is>
          <t>2099-06-19</t>
        </is>
      </c>
    </row>
    <row r="72903">
      <c r="A72903" s="1" t="n">
        <v>72902</v>
      </c>
      <c r="B72903">
        <f>TEXT(72902, "[$-0E0000]yyyy-mm-dd")</f>
        <v/>
      </c>
      <c r="C72903" t="inlineStr">
        <is>
          <t>2099-06-20</t>
        </is>
      </c>
    </row>
    <row r="72904">
      <c r="A72904" s="1" t="n">
        <v>72903</v>
      </c>
      <c r="B72904">
        <f>TEXT(72903, "[$-0E0000]yyyy-mm-dd")</f>
        <v/>
      </c>
      <c r="C72904" t="inlineStr">
        <is>
          <t>2099-06-21</t>
        </is>
      </c>
    </row>
    <row r="72905">
      <c r="A72905" s="1" t="n">
        <v>72904</v>
      </c>
      <c r="B72905">
        <f>TEXT(72904, "[$-0E0000]yyyy-mm-dd")</f>
        <v/>
      </c>
      <c r="C72905" t="inlineStr">
        <is>
          <t>2099-06-22</t>
        </is>
      </c>
    </row>
    <row r="72906">
      <c r="A72906" s="1" t="n">
        <v>72905</v>
      </c>
      <c r="B72906">
        <f>TEXT(72905, "[$-0E0000]yyyy-mm-dd")</f>
        <v/>
      </c>
      <c r="C72906" t="inlineStr">
        <is>
          <t>2099-06-23</t>
        </is>
      </c>
    </row>
    <row r="72907">
      <c r="A72907" s="1" t="n">
        <v>72906</v>
      </c>
      <c r="B72907">
        <f>TEXT(72906, "[$-0E0000]yyyy-mm-dd")</f>
        <v/>
      </c>
      <c r="C72907" t="inlineStr">
        <is>
          <t>2099-06-24</t>
        </is>
      </c>
    </row>
    <row r="72908">
      <c r="A72908" s="1" t="n">
        <v>72907</v>
      </c>
      <c r="B72908">
        <f>TEXT(72907, "[$-0E0000]yyyy-mm-dd")</f>
        <v/>
      </c>
      <c r="C72908" t="inlineStr">
        <is>
          <t>2099-06-25</t>
        </is>
      </c>
    </row>
    <row r="72909">
      <c r="A72909" s="1" t="n">
        <v>72908</v>
      </c>
      <c r="B72909">
        <f>TEXT(72908, "[$-0E0000]yyyy-mm-dd")</f>
        <v/>
      </c>
      <c r="C72909" t="inlineStr">
        <is>
          <t>2099-06-26</t>
        </is>
      </c>
    </row>
    <row r="72910">
      <c r="A72910" s="1" t="n">
        <v>72909</v>
      </c>
      <c r="B72910">
        <f>TEXT(72909, "[$-0E0000]yyyy-mm-dd")</f>
        <v/>
      </c>
      <c r="C72910" t="inlineStr">
        <is>
          <t>2099-06-27</t>
        </is>
      </c>
    </row>
    <row r="72911">
      <c r="A72911" s="1" t="n">
        <v>72910</v>
      </c>
      <c r="B72911">
        <f>TEXT(72910, "[$-0E0000]yyyy-mm-dd")</f>
        <v/>
      </c>
      <c r="C72911" t="inlineStr">
        <is>
          <t>2099-06-28</t>
        </is>
      </c>
    </row>
    <row r="72912">
      <c r="A72912" s="1" t="n">
        <v>72911</v>
      </c>
      <c r="B72912">
        <f>TEXT(72911, "[$-0E0000]yyyy-mm-dd")</f>
        <v/>
      </c>
      <c r="C72912" t="inlineStr">
        <is>
          <t>2099-06-29</t>
        </is>
      </c>
    </row>
    <row r="72913">
      <c r="A72913" s="1" t="n">
        <v>72912</v>
      </c>
      <c r="B72913">
        <f>TEXT(72912, "[$-0E0000]yyyy-mm-dd")</f>
        <v/>
      </c>
      <c r="C72913" t="inlineStr">
        <is>
          <t>2099-07-01</t>
        </is>
      </c>
    </row>
    <row r="72914">
      <c r="A72914" s="1" t="n">
        <v>72913</v>
      </c>
      <c r="B72914">
        <f>TEXT(72913, "[$-0E0000]yyyy-mm-dd")</f>
        <v/>
      </c>
      <c r="C72914" t="inlineStr">
        <is>
          <t>2099-07-02</t>
        </is>
      </c>
    </row>
    <row r="72915">
      <c r="A72915" s="1" t="n">
        <v>72914</v>
      </c>
      <c r="B72915">
        <f>TEXT(72914, "[$-0E0000]yyyy-mm-dd")</f>
        <v/>
      </c>
      <c r="C72915" t="inlineStr">
        <is>
          <t>2099-07-03</t>
        </is>
      </c>
    </row>
    <row r="72916">
      <c r="A72916" s="1" t="n">
        <v>72915</v>
      </c>
      <c r="B72916">
        <f>TEXT(72915, "[$-0E0000]yyyy-mm-dd")</f>
        <v/>
      </c>
      <c r="C72916" t="inlineStr">
        <is>
          <t>2099-07-04</t>
        </is>
      </c>
    </row>
    <row r="72917">
      <c r="A72917" s="1" t="n">
        <v>72916</v>
      </c>
      <c r="B72917">
        <f>TEXT(72916, "[$-0E0000]yyyy-mm-dd")</f>
        <v/>
      </c>
      <c r="C72917" t="inlineStr">
        <is>
          <t>2099-07-05</t>
        </is>
      </c>
    </row>
    <row r="72918">
      <c r="A72918" s="1" t="n">
        <v>72917</v>
      </c>
      <c r="B72918">
        <f>TEXT(72917, "[$-0E0000]yyyy-mm-dd")</f>
        <v/>
      </c>
      <c r="C72918" t="inlineStr">
        <is>
          <t>2099-07-06</t>
        </is>
      </c>
    </row>
    <row r="72919">
      <c r="A72919" s="1" t="n">
        <v>72918</v>
      </c>
      <c r="B72919">
        <f>TEXT(72918, "[$-0E0000]yyyy-mm-dd")</f>
        <v/>
      </c>
      <c r="C72919" t="inlineStr">
        <is>
          <t>2099-07-07</t>
        </is>
      </c>
    </row>
    <row r="72920">
      <c r="A72920" s="1" t="n">
        <v>72919</v>
      </c>
      <c r="B72920">
        <f>TEXT(72919, "[$-0E0000]yyyy-mm-dd")</f>
        <v/>
      </c>
      <c r="C72920" t="inlineStr">
        <is>
          <t>2099-07-08</t>
        </is>
      </c>
    </row>
    <row r="72921">
      <c r="A72921" s="1" t="n">
        <v>72920</v>
      </c>
      <c r="B72921">
        <f>TEXT(72920, "[$-0E0000]yyyy-mm-dd")</f>
        <v/>
      </c>
      <c r="C72921" t="inlineStr">
        <is>
          <t>2099-07-09</t>
        </is>
      </c>
    </row>
    <row r="72922">
      <c r="A72922" s="1" t="n">
        <v>72921</v>
      </c>
      <c r="B72922">
        <f>TEXT(72921, "[$-0E0000]yyyy-mm-dd")</f>
        <v/>
      </c>
      <c r="C72922" t="inlineStr">
        <is>
          <t>2099-07-10</t>
        </is>
      </c>
    </row>
    <row r="72923">
      <c r="A72923" s="1" t="n">
        <v>72922</v>
      </c>
      <c r="B72923">
        <f>TEXT(72922, "[$-0E0000]yyyy-mm-dd")</f>
        <v/>
      </c>
      <c r="C72923" t="inlineStr">
        <is>
          <t>2099-07-11</t>
        </is>
      </c>
    </row>
    <row r="72924">
      <c r="A72924" s="1" t="n">
        <v>72923</v>
      </c>
      <c r="B72924">
        <f>TEXT(72923, "[$-0E0000]yyyy-mm-dd")</f>
        <v/>
      </c>
      <c r="C72924" t="inlineStr">
        <is>
          <t>2099-07-12</t>
        </is>
      </c>
    </row>
    <row r="72925">
      <c r="A72925" s="1" t="n">
        <v>72924</v>
      </c>
      <c r="B72925">
        <f>TEXT(72924, "[$-0E0000]yyyy-mm-dd")</f>
        <v/>
      </c>
      <c r="C72925" t="inlineStr">
        <is>
          <t>2099-07-13</t>
        </is>
      </c>
    </row>
    <row r="72926">
      <c r="A72926" s="1" t="n">
        <v>72925</v>
      </c>
      <c r="B72926">
        <f>TEXT(72925, "[$-0E0000]yyyy-mm-dd")</f>
        <v/>
      </c>
      <c r="C72926" t="inlineStr">
        <is>
          <t>2099-07-14</t>
        </is>
      </c>
    </row>
    <row r="72927">
      <c r="A72927" s="1" t="n">
        <v>72926</v>
      </c>
      <c r="B72927">
        <f>TEXT(72926, "[$-0E0000]yyyy-mm-dd")</f>
        <v/>
      </c>
      <c r="C72927" t="inlineStr">
        <is>
          <t>2099-07-15</t>
        </is>
      </c>
    </row>
    <row r="72928">
      <c r="A72928" s="1" t="n">
        <v>72927</v>
      </c>
      <c r="B72928">
        <f>TEXT(72927, "[$-0E0000]yyyy-mm-dd")</f>
        <v/>
      </c>
      <c r="C72928" t="inlineStr">
        <is>
          <t>2099-07-16</t>
        </is>
      </c>
    </row>
    <row r="72929">
      <c r="A72929" s="1" t="n">
        <v>72928</v>
      </c>
      <c r="B72929">
        <f>TEXT(72928, "[$-0E0000]yyyy-mm-dd")</f>
        <v/>
      </c>
      <c r="C72929" t="inlineStr">
        <is>
          <t>2099-07-17</t>
        </is>
      </c>
    </row>
    <row r="72930">
      <c r="A72930" s="1" t="n">
        <v>72929</v>
      </c>
      <c r="B72930">
        <f>TEXT(72929, "[$-0E0000]yyyy-mm-dd")</f>
        <v/>
      </c>
      <c r="C72930" t="inlineStr">
        <is>
          <t>2099-07-18</t>
        </is>
      </c>
    </row>
    <row r="72931">
      <c r="A72931" s="1" t="n">
        <v>72930</v>
      </c>
      <c r="B72931">
        <f>TEXT(72930, "[$-0E0000]yyyy-mm-dd")</f>
        <v/>
      </c>
      <c r="C72931" t="inlineStr">
        <is>
          <t>2099-07-19</t>
        </is>
      </c>
    </row>
    <row r="72932">
      <c r="A72932" s="1" t="n">
        <v>72931</v>
      </c>
      <c r="B72932">
        <f>TEXT(72931, "[$-0E0000]yyyy-mm-dd")</f>
        <v/>
      </c>
      <c r="C72932" t="inlineStr">
        <is>
          <t>2099-07-20</t>
        </is>
      </c>
    </row>
    <row r="72933">
      <c r="A72933" s="1" t="n">
        <v>72932</v>
      </c>
      <c r="B72933">
        <f>TEXT(72932, "[$-0E0000]yyyy-mm-dd")</f>
        <v/>
      </c>
      <c r="C72933" t="inlineStr">
        <is>
          <t>2099-07-21</t>
        </is>
      </c>
    </row>
    <row r="72934">
      <c r="A72934" s="1" t="n">
        <v>72933</v>
      </c>
      <c r="B72934">
        <f>TEXT(72933, "[$-0E0000]yyyy-mm-dd")</f>
        <v/>
      </c>
      <c r="C72934" t="inlineStr">
        <is>
          <t>2099-07-22</t>
        </is>
      </c>
    </row>
    <row r="72935">
      <c r="A72935" s="1" t="n">
        <v>72934</v>
      </c>
      <c r="B72935">
        <f>TEXT(72934, "[$-0E0000]yyyy-mm-dd")</f>
        <v/>
      </c>
      <c r="C72935" t="inlineStr">
        <is>
          <t>2099-07-23</t>
        </is>
      </c>
    </row>
    <row r="72936">
      <c r="A72936" s="1" t="n">
        <v>72935</v>
      </c>
      <c r="B72936">
        <f>TEXT(72935, "[$-0E0000]yyyy-mm-dd")</f>
        <v/>
      </c>
      <c r="C72936" t="inlineStr">
        <is>
          <t>2099-07-24</t>
        </is>
      </c>
    </row>
    <row r="72937">
      <c r="A72937" s="1" t="n">
        <v>72936</v>
      </c>
      <c r="B72937">
        <f>TEXT(72936, "[$-0E0000]yyyy-mm-dd")</f>
        <v/>
      </c>
      <c r="C72937" t="inlineStr">
        <is>
          <t>2099-07-25</t>
        </is>
      </c>
    </row>
    <row r="72938">
      <c r="A72938" s="1" t="n">
        <v>72937</v>
      </c>
      <c r="B72938">
        <f>TEXT(72937, "[$-0E0000]yyyy-mm-dd")</f>
        <v/>
      </c>
      <c r="C72938" t="inlineStr">
        <is>
          <t>2099-07-26</t>
        </is>
      </c>
    </row>
    <row r="72939">
      <c r="A72939" s="1" t="n">
        <v>72938</v>
      </c>
      <c r="B72939">
        <f>TEXT(72938, "[$-0E0000]yyyy-mm-dd")</f>
        <v/>
      </c>
      <c r="C72939" t="inlineStr">
        <is>
          <t>2099-07-27</t>
        </is>
      </c>
    </row>
    <row r="72940">
      <c r="A72940" s="1" t="n">
        <v>72939</v>
      </c>
      <c r="B72940">
        <f>TEXT(72939, "[$-0E0000]yyyy-mm-dd")</f>
        <v/>
      </c>
      <c r="C72940" t="inlineStr">
        <is>
          <t>2099-07-28</t>
        </is>
      </c>
    </row>
    <row r="72941">
      <c r="A72941" s="1" t="n">
        <v>72940</v>
      </c>
      <c r="B72941">
        <f>TEXT(72940, "[$-0E0000]yyyy-mm-dd")</f>
        <v/>
      </c>
      <c r="C72941" t="inlineStr">
        <is>
          <t>2099-07-29</t>
        </is>
      </c>
    </row>
    <row r="72942">
      <c r="A72942" s="1" t="n">
        <v>72941</v>
      </c>
      <c r="B72942">
        <f>TEXT(72941, "[$-0E0000]yyyy-mm-dd")</f>
        <v/>
      </c>
      <c r="C72942" t="inlineStr">
        <is>
          <t>2099-07-30</t>
        </is>
      </c>
    </row>
    <row r="72943">
      <c r="A72943" s="1" t="n">
        <v>72942</v>
      </c>
      <c r="B72943">
        <f>TEXT(72942, "[$-0E0000]yyyy-mm-dd")</f>
        <v/>
      </c>
      <c r="C72943" t="inlineStr">
        <is>
          <t>2099-08-01</t>
        </is>
      </c>
    </row>
    <row r="72944">
      <c r="A72944" s="1" t="n">
        <v>72943</v>
      </c>
      <c r="B72944">
        <f>TEXT(72943, "[$-0E0000]yyyy-mm-dd")</f>
        <v/>
      </c>
      <c r="C72944" t="inlineStr">
        <is>
          <t>2099-08-02</t>
        </is>
      </c>
    </row>
    <row r="72945">
      <c r="A72945" s="1" t="n">
        <v>72944</v>
      </c>
      <c r="B72945">
        <f>TEXT(72944, "[$-0E0000]yyyy-mm-dd")</f>
        <v/>
      </c>
      <c r="C72945" t="inlineStr">
        <is>
          <t>2099-08-03</t>
        </is>
      </c>
    </row>
    <row r="72946">
      <c r="A72946" s="1" t="n">
        <v>72945</v>
      </c>
      <c r="B72946">
        <f>TEXT(72945, "[$-0E0000]yyyy-mm-dd")</f>
        <v/>
      </c>
      <c r="C72946" t="inlineStr">
        <is>
          <t>2099-08-04</t>
        </is>
      </c>
    </row>
    <row r="72947">
      <c r="A72947" s="1" t="n">
        <v>72946</v>
      </c>
      <c r="B72947">
        <f>TEXT(72946, "[$-0E0000]yyyy-mm-dd")</f>
        <v/>
      </c>
      <c r="C72947" t="inlineStr">
        <is>
          <t>2099-08-05</t>
        </is>
      </c>
    </row>
    <row r="72948">
      <c r="A72948" s="1" t="n">
        <v>72947</v>
      </c>
      <c r="B72948">
        <f>TEXT(72947, "[$-0E0000]yyyy-mm-dd")</f>
        <v/>
      </c>
      <c r="C72948" t="inlineStr">
        <is>
          <t>2099-08-06</t>
        </is>
      </c>
    </row>
    <row r="72949">
      <c r="A72949" s="1" t="n">
        <v>72948</v>
      </c>
      <c r="B72949">
        <f>TEXT(72948, "[$-0E0000]yyyy-mm-dd")</f>
        <v/>
      </c>
      <c r="C72949" t="inlineStr">
        <is>
          <t>2099-08-07</t>
        </is>
      </c>
    </row>
    <row r="72950">
      <c r="A72950" s="1" t="n">
        <v>72949</v>
      </c>
      <c r="B72950">
        <f>TEXT(72949, "[$-0E0000]yyyy-mm-dd")</f>
        <v/>
      </c>
      <c r="C72950" t="inlineStr">
        <is>
          <t>2099-08-08</t>
        </is>
      </c>
    </row>
    <row r="72951">
      <c r="A72951" s="1" t="n">
        <v>72950</v>
      </c>
      <c r="B72951">
        <f>TEXT(72950, "[$-0E0000]yyyy-mm-dd")</f>
        <v/>
      </c>
      <c r="C72951" t="inlineStr">
        <is>
          <t>2099-08-09</t>
        </is>
      </c>
    </row>
    <row r="72952">
      <c r="A72952" s="1" t="n">
        <v>72951</v>
      </c>
      <c r="B72952">
        <f>TEXT(72951, "[$-0E0000]yyyy-mm-dd")</f>
        <v/>
      </c>
      <c r="C72952" t="inlineStr">
        <is>
          <t>2099-08-10</t>
        </is>
      </c>
    </row>
    <row r="72953">
      <c r="A72953" s="1" t="n">
        <v>72952</v>
      </c>
      <c r="B72953">
        <f>TEXT(72952, "[$-0E0000]yyyy-mm-dd")</f>
        <v/>
      </c>
      <c r="C72953" t="inlineStr">
        <is>
          <t>2099-08-11</t>
        </is>
      </c>
    </row>
    <row r="72954">
      <c r="A72954" s="1" t="n">
        <v>72953</v>
      </c>
      <c r="B72954">
        <f>TEXT(72953, "[$-0E0000]yyyy-mm-dd")</f>
        <v/>
      </c>
      <c r="C72954" t="inlineStr">
        <is>
          <t>2099-08-12</t>
        </is>
      </c>
    </row>
    <row r="72955">
      <c r="A72955" s="1" t="n">
        <v>72954</v>
      </c>
      <c r="B72955">
        <f>TEXT(72954, "[$-0E0000]yyyy-mm-dd")</f>
        <v/>
      </c>
      <c r="C72955" t="inlineStr">
        <is>
          <t>2099-08-13</t>
        </is>
      </c>
    </row>
    <row r="72956">
      <c r="A72956" s="1" t="n">
        <v>72955</v>
      </c>
      <c r="B72956">
        <f>TEXT(72955, "[$-0E0000]yyyy-mm-dd")</f>
        <v/>
      </c>
      <c r="C72956" t="inlineStr">
        <is>
          <t>2099-08-14</t>
        </is>
      </c>
    </row>
    <row r="72957">
      <c r="A72957" s="1" t="n">
        <v>72956</v>
      </c>
      <c r="B72957">
        <f>TEXT(72956, "[$-0E0000]yyyy-mm-dd")</f>
        <v/>
      </c>
      <c r="C72957" t="inlineStr">
        <is>
          <t>2099-08-15</t>
        </is>
      </c>
    </row>
    <row r="72958">
      <c r="A72958" s="1" t="n">
        <v>72957</v>
      </c>
      <c r="B72958">
        <f>TEXT(72957, "[$-0E0000]yyyy-mm-dd")</f>
        <v/>
      </c>
      <c r="C72958" t="inlineStr">
        <is>
          <t>2099-08-16</t>
        </is>
      </c>
    </row>
    <row r="72959">
      <c r="A72959" s="1" t="n">
        <v>72958</v>
      </c>
      <c r="B72959">
        <f>TEXT(72958, "[$-0E0000]yyyy-mm-dd")</f>
        <v/>
      </c>
      <c r="C72959" t="inlineStr">
        <is>
          <t>2099-08-17</t>
        </is>
      </c>
    </row>
    <row r="72960">
      <c r="A72960" s="1" t="n">
        <v>72959</v>
      </c>
      <c r="B72960">
        <f>TEXT(72959, "[$-0E0000]yyyy-mm-dd")</f>
        <v/>
      </c>
      <c r="C72960" t="inlineStr">
        <is>
          <t>2099-08-18</t>
        </is>
      </c>
    </row>
    <row r="72961">
      <c r="A72961" s="1" t="n">
        <v>72960</v>
      </c>
      <c r="B72961">
        <f>TEXT(72960, "[$-0E0000]yyyy-mm-dd")</f>
        <v/>
      </c>
      <c r="C72961" t="inlineStr">
        <is>
          <t>2099-08-19</t>
        </is>
      </c>
    </row>
    <row r="72962">
      <c r="A72962" s="1" t="n">
        <v>72961</v>
      </c>
      <c r="B72962">
        <f>TEXT(72961, "[$-0E0000]yyyy-mm-dd")</f>
        <v/>
      </c>
      <c r="C72962" t="inlineStr">
        <is>
          <t>2099-08-20</t>
        </is>
      </c>
    </row>
    <row r="72963">
      <c r="A72963" s="1" t="n">
        <v>72962</v>
      </c>
      <c r="B72963">
        <f>TEXT(72962, "[$-0E0000]yyyy-mm-dd")</f>
        <v/>
      </c>
      <c r="C72963" t="inlineStr">
        <is>
          <t>2099-08-21</t>
        </is>
      </c>
    </row>
    <row r="72964">
      <c r="A72964" s="1" t="n">
        <v>72963</v>
      </c>
      <c r="B72964">
        <f>TEXT(72963, "[$-0E0000]yyyy-mm-dd")</f>
        <v/>
      </c>
      <c r="C72964" t="inlineStr">
        <is>
          <t>2099-08-22</t>
        </is>
      </c>
    </row>
    <row r="72965">
      <c r="A72965" s="1" t="n">
        <v>72964</v>
      </c>
      <c r="B72965">
        <f>TEXT(72964, "[$-0E0000]yyyy-mm-dd")</f>
        <v/>
      </c>
      <c r="C72965" t="inlineStr">
        <is>
          <t>2099-08-23</t>
        </is>
      </c>
    </row>
    <row r="72966">
      <c r="A72966" s="1" t="n">
        <v>72965</v>
      </c>
      <c r="B72966">
        <f>TEXT(72965, "[$-0E0000]yyyy-mm-dd")</f>
        <v/>
      </c>
      <c r="C72966" t="inlineStr">
        <is>
          <t>2099-08-24</t>
        </is>
      </c>
    </row>
    <row r="72967">
      <c r="A72967" s="1" t="n">
        <v>72966</v>
      </c>
      <c r="B72967">
        <f>TEXT(72966, "[$-0E0000]yyyy-mm-dd")</f>
        <v/>
      </c>
      <c r="C72967" t="inlineStr">
        <is>
          <t>2099-08-25</t>
        </is>
      </c>
    </row>
    <row r="72968">
      <c r="A72968" s="1" t="n">
        <v>72967</v>
      </c>
      <c r="B72968">
        <f>TEXT(72967, "[$-0E0000]yyyy-mm-dd")</f>
        <v/>
      </c>
      <c r="C72968" t="inlineStr">
        <is>
          <t>2099-08-26</t>
        </is>
      </c>
    </row>
    <row r="72969">
      <c r="A72969" s="1" t="n">
        <v>72968</v>
      </c>
      <c r="B72969">
        <f>TEXT(72968, "[$-0E0000]yyyy-mm-dd")</f>
        <v/>
      </c>
      <c r="C72969" t="inlineStr">
        <is>
          <t>2099-08-27</t>
        </is>
      </c>
    </row>
    <row r="72970">
      <c r="A72970" s="1" t="n">
        <v>72969</v>
      </c>
      <c r="B72970">
        <f>TEXT(72969, "[$-0E0000]yyyy-mm-dd")</f>
        <v/>
      </c>
      <c r="C72970" t="inlineStr">
        <is>
          <t>2099-08-28</t>
        </is>
      </c>
    </row>
    <row r="72971">
      <c r="A72971" s="1" t="n">
        <v>72970</v>
      </c>
      <c r="B72971">
        <f>TEXT(72970, "[$-0E0000]yyyy-mm-dd")</f>
        <v/>
      </c>
      <c r="C72971" t="inlineStr">
        <is>
          <t>2099-08-29</t>
        </is>
      </c>
    </row>
    <row r="72972">
      <c r="A72972" s="1" t="n">
        <v>72971</v>
      </c>
      <c r="B72972">
        <f>TEXT(72971, "[$-0E0000]yyyy-mm-dd")</f>
        <v/>
      </c>
      <c r="C72972" t="inlineStr">
        <is>
          <t>2099-09-01</t>
        </is>
      </c>
    </row>
    <row r="72973">
      <c r="A72973" s="1" t="n">
        <v>72972</v>
      </c>
      <c r="B72973">
        <f>TEXT(72972, "[$-0E0000]yyyy-mm-dd")</f>
        <v/>
      </c>
      <c r="C72973" t="inlineStr">
        <is>
          <t>2099-09-02</t>
        </is>
      </c>
    </row>
    <row r="72974">
      <c r="A72974" s="1" t="n">
        <v>72973</v>
      </c>
      <c r="B72974">
        <f>TEXT(72973, "[$-0E0000]yyyy-mm-dd")</f>
        <v/>
      </c>
      <c r="C72974" t="inlineStr">
        <is>
          <t>2099-09-03</t>
        </is>
      </c>
    </row>
    <row r="72975">
      <c r="A72975" s="1" t="n">
        <v>72974</v>
      </c>
      <c r="B72975">
        <f>TEXT(72974, "[$-0E0000]yyyy-mm-dd")</f>
        <v/>
      </c>
      <c r="C72975" t="inlineStr">
        <is>
          <t>2099-09-04</t>
        </is>
      </c>
    </row>
    <row r="72976">
      <c r="A72976" s="1" t="n">
        <v>72975</v>
      </c>
      <c r="B72976">
        <f>TEXT(72975, "[$-0E0000]yyyy-mm-dd")</f>
        <v/>
      </c>
      <c r="C72976" t="inlineStr">
        <is>
          <t>2099-09-05</t>
        </is>
      </c>
    </row>
    <row r="72977">
      <c r="A72977" s="1" t="n">
        <v>72976</v>
      </c>
      <c r="B72977">
        <f>TEXT(72976, "[$-0E0000]yyyy-mm-dd")</f>
        <v/>
      </c>
      <c r="C72977" t="inlineStr">
        <is>
          <t>2099-09-06</t>
        </is>
      </c>
    </row>
    <row r="72978">
      <c r="A72978" s="1" t="n">
        <v>72977</v>
      </c>
      <c r="B72978">
        <f>TEXT(72977, "[$-0E0000]yyyy-mm-dd")</f>
        <v/>
      </c>
      <c r="C72978" t="inlineStr">
        <is>
          <t>2099-09-07</t>
        </is>
      </c>
    </row>
    <row r="72979">
      <c r="A72979" s="1" t="n">
        <v>72978</v>
      </c>
      <c r="B72979">
        <f>TEXT(72978, "[$-0E0000]yyyy-mm-dd")</f>
        <v/>
      </c>
      <c r="C72979" t="inlineStr">
        <is>
          <t>2099-09-08</t>
        </is>
      </c>
    </row>
    <row r="72980">
      <c r="A72980" s="1" t="n">
        <v>72979</v>
      </c>
      <c r="B72980">
        <f>TEXT(72979, "[$-0E0000]yyyy-mm-dd")</f>
        <v/>
      </c>
      <c r="C72980" t="inlineStr">
        <is>
          <t>2099-09-09</t>
        </is>
      </c>
    </row>
    <row r="72981">
      <c r="A72981" s="1" t="n">
        <v>72980</v>
      </c>
      <c r="B72981">
        <f>TEXT(72980, "[$-0E0000]yyyy-mm-dd")</f>
        <v/>
      </c>
      <c r="C72981" t="inlineStr">
        <is>
          <t>2099-09-10</t>
        </is>
      </c>
    </row>
    <row r="72982">
      <c r="A72982" s="1" t="n">
        <v>72981</v>
      </c>
      <c r="B72982">
        <f>TEXT(72981, "[$-0E0000]yyyy-mm-dd")</f>
        <v/>
      </c>
      <c r="C72982" t="inlineStr">
        <is>
          <t>2099-09-11</t>
        </is>
      </c>
    </row>
    <row r="72983">
      <c r="A72983" s="1" t="n">
        <v>72982</v>
      </c>
      <c r="B72983">
        <f>TEXT(72982, "[$-0E0000]yyyy-mm-dd")</f>
        <v/>
      </c>
      <c r="C72983" t="inlineStr">
        <is>
          <t>2099-09-12</t>
        </is>
      </c>
    </row>
    <row r="72984">
      <c r="A72984" s="1" t="n">
        <v>72983</v>
      </c>
      <c r="B72984">
        <f>TEXT(72983, "[$-0E0000]yyyy-mm-dd")</f>
        <v/>
      </c>
      <c r="C72984" t="inlineStr">
        <is>
          <t>2099-09-13</t>
        </is>
      </c>
    </row>
    <row r="72985">
      <c r="A72985" s="1" t="n">
        <v>72984</v>
      </c>
      <c r="B72985">
        <f>TEXT(72984, "[$-0E0000]yyyy-mm-dd")</f>
        <v/>
      </c>
      <c r="C72985" t="inlineStr">
        <is>
          <t>2099-09-14</t>
        </is>
      </c>
    </row>
    <row r="72986">
      <c r="A72986" s="1" t="n">
        <v>72985</v>
      </c>
      <c r="B72986">
        <f>TEXT(72985, "[$-0E0000]yyyy-mm-dd")</f>
        <v/>
      </c>
      <c r="C72986" t="inlineStr">
        <is>
          <t>2099-09-15</t>
        </is>
      </c>
    </row>
    <row r="72987">
      <c r="A72987" s="1" t="n">
        <v>72986</v>
      </c>
      <c r="B72987">
        <f>TEXT(72986, "[$-0E0000]yyyy-mm-dd")</f>
        <v/>
      </c>
      <c r="C72987" t="inlineStr">
        <is>
          <t>2099-09-16</t>
        </is>
      </c>
    </row>
    <row r="72988">
      <c r="A72988" s="1" t="n">
        <v>72987</v>
      </c>
      <c r="B72988">
        <f>TEXT(72987, "[$-0E0000]yyyy-mm-dd")</f>
        <v/>
      </c>
      <c r="C72988" t="inlineStr">
        <is>
          <t>2099-09-17</t>
        </is>
      </c>
    </row>
    <row r="72989">
      <c r="A72989" s="1" t="n">
        <v>72988</v>
      </c>
      <c r="B72989">
        <f>TEXT(72988, "[$-0E0000]yyyy-mm-dd")</f>
        <v/>
      </c>
      <c r="C72989" t="inlineStr">
        <is>
          <t>2099-09-18</t>
        </is>
      </c>
    </row>
    <row r="72990">
      <c r="A72990" s="1" t="n">
        <v>72989</v>
      </c>
      <c r="B72990">
        <f>TEXT(72989, "[$-0E0000]yyyy-mm-dd")</f>
        <v/>
      </c>
      <c r="C72990" t="inlineStr">
        <is>
          <t>2099-09-19</t>
        </is>
      </c>
    </row>
    <row r="72991">
      <c r="A72991" s="1" t="n">
        <v>72990</v>
      </c>
      <c r="B72991">
        <f>TEXT(72990, "[$-0E0000]yyyy-mm-dd")</f>
        <v/>
      </c>
      <c r="C72991" t="inlineStr">
        <is>
          <t>2099-09-20</t>
        </is>
      </c>
    </row>
    <row r="72992">
      <c r="A72992" s="1" t="n">
        <v>72991</v>
      </c>
      <c r="B72992">
        <f>TEXT(72991, "[$-0E0000]yyyy-mm-dd")</f>
        <v/>
      </c>
      <c r="C72992" t="inlineStr">
        <is>
          <t>2099-09-21</t>
        </is>
      </c>
    </row>
    <row r="72993">
      <c r="A72993" s="1" t="n">
        <v>72992</v>
      </c>
      <c r="B72993">
        <f>TEXT(72992, "[$-0E0000]yyyy-mm-dd")</f>
        <v/>
      </c>
      <c r="C72993" t="inlineStr">
        <is>
          <t>2099-09-22</t>
        </is>
      </c>
    </row>
    <row r="72994">
      <c r="A72994" s="1" t="n">
        <v>72993</v>
      </c>
      <c r="B72994">
        <f>TEXT(72993, "[$-0E0000]yyyy-mm-dd")</f>
        <v/>
      </c>
      <c r="C72994" t="inlineStr">
        <is>
          <t>2099-09-23</t>
        </is>
      </c>
    </row>
    <row r="72995">
      <c r="A72995" s="1" t="n">
        <v>72994</v>
      </c>
      <c r="B72995">
        <f>TEXT(72994, "[$-0E0000]yyyy-mm-dd")</f>
        <v/>
      </c>
      <c r="C72995" t="inlineStr">
        <is>
          <t>2099-09-24</t>
        </is>
      </c>
    </row>
    <row r="72996">
      <c r="A72996" s="1" t="n">
        <v>72995</v>
      </c>
      <c r="B72996">
        <f>TEXT(72995, "[$-0E0000]yyyy-mm-dd")</f>
        <v/>
      </c>
      <c r="C72996" t="inlineStr">
        <is>
          <t>2099-09-25</t>
        </is>
      </c>
    </row>
    <row r="72997">
      <c r="A72997" s="1" t="n">
        <v>72996</v>
      </c>
      <c r="B72997">
        <f>TEXT(72996, "[$-0E0000]yyyy-mm-dd")</f>
        <v/>
      </c>
      <c r="C72997" t="inlineStr">
        <is>
          <t>2099-09-26</t>
        </is>
      </c>
    </row>
    <row r="72998">
      <c r="A72998" s="1" t="n">
        <v>72997</v>
      </c>
      <c r="B72998">
        <f>TEXT(72997, "[$-0E0000]yyyy-mm-dd")</f>
        <v/>
      </c>
      <c r="C72998" t="inlineStr">
        <is>
          <t>2099-09-27</t>
        </is>
      </c>
    </row>
    <row r="72999">
      <c r="A72999" s="1" t="n">
        <v>72998</v>
      </c>
      <c r="B72999">
        <f>TEXT(72998, "[$-0E0000]yyyy-mm-dd")</f>
        <v/>
      </c>
      <c r="C72999" t="inlineStr">
        <is>
          <t>2099-09-28</t>
        </is>
      </c>
    </row>
    <row r="73000">
      <c r="A73000" s="1" t="n">
        <v>72999</v>
      </c>
      <c r="B73000">
        <f>TEXT(72999, "[$-0E0000]yyyy-mm-dd")</f>
        <v/>
      </c>
      <c r="C73000" t="inlineStr">
        <is>
          <t>2099-09-29</t>
        </is>
      </c>
    </row>
    <row r="73001">
      <c r="A73001" s="1" t="n">
        <v>73000</v>
      </c>
      <c r="B73001">
        <f>TEXT(73000, "[$-0E0000]yyyy-mm-dd")</f>
        <v/>
      </c>
      <c r="C73001" t="inlineStr">
        <is>
          <t>2099-10-01</t>
        </is>
      </c>
    </row>
    <row r="73002">
      <c r="A73002" s="1" t="n">
        <v>73001</v>
      </c>
      <c r="B73002">
        <f>TEXT(73001, "[$-0E0000]yyyy-mm-dd")</f>
        <v/>
      </c>
      <c r="C73002" t="inlineStr">
        <is>
          <t>2099-10-02</t>
        </is>
      </c>
    </row>
    <row r="73003">
      <c r="A73003" s="1" t="n">
        <v>73002</v>
      </c>
      <c r="B73003">
        <f>TEXT(73002, "[$-0E0000]yyyy-mm-dd")</f>
        <v/>
      </c>
      <c r="C73003" t="inlineStr">
        <is>
          <t>2099-10-03</t>
        </is>
      </c>
    </row>
    <row r="73004">
      <c r="A73004" s="1" t="n">
        <v>73003</v>
      </c>
      <c r="B73004">
        <f>TEXT(73003, "[$-0E0000]yyyy-mm-dd")</f>
        <v/>
      </c>
      <c r="C73004" t="inlineStr">
        <is>
          <t>2099-10-04</t>
        </is>
      </c>
    </row>
    <row r="73005">
      <c r="A73005" s="1" t="n">
        <v>73004</v>
      </c>
      <c r="B73005">
        <f>TEXT(73004, "[$-0E0000]yyyy-mm-dd")</f>
        <v/>
      </c>
      <c r="C73005" t="inlineStr">
        <is>
          <t>2099-10-05</t>
        </is>
      </c>
    </row>
    <row r="73006">
      <c r="A73006" s="1" t="n">
        <v>73005</v>
      </c>
      <c r="B73006">
        <f>TEXT(73005, "[$-0E0000]yyyy-mm-dd")</f>
        <v/>
      </c>
      <c r="C73006" t="inlineStr">
        <is>
          <t>2099-10-06</t>
        </is>
      </c>
    </row>
    <row r="73007">
      <c r="A73007" s="1" t="n">
        <v>73006</v>
      </c>
      <c r="B73007">
        <f>TEXT(73006, "[$-0E0000]yyyy-mm-dd")</f>
        <v/>
      </c>
      <c r="C73007" t="inlineStr">
        <is>
          <t>2099-10-07</t>
        </is>
      </c>
    </row>
    <row r="73008">
      <c r="A73008" s="1" t="n">
        <v>73007</v>
      </c>
      <c r="B73008">
        <f>TEXT(73007, "[$-0E0000]yyyy-mm-dd")</f>
        <v/>
      </c>
      <c r="C73008" t="inlineStr">
        <is>
          <t>2099-10-08</t>
        </is>
      </c>
    </row>
    <row r="73009">
      <c r="A73009" s="1" t="n">
        <v>73008</v>
      </c>
      <c r="B73009">
        <f>TEXT(73008, "[$-0E0000]yyyy-mm-dd")</f>
        <v/>
      </c>
      <c r="C73009" t="inlineStr">
        <is>
          <t>2099-10-09</t>
        </is>
      </c>
    </row>
    <row r="73010">
      <c r="A73010" s="1" t="n">
        <v>73009</v>
      </c>
      <c r="B73010">
        <f>TEXT(73009, "[$-0E0000]yyyy-mm-dd")</f>
        <v/>
      </c>
      <c r="C73010" t="inlineStr">
        <is>
          <t>2099-10-10</t>
        </is>
      </c>
    </row>
    <row r="73011">
      <c r="A73011" s="1" t="n">
        <v>73010</v>
      </c>
      <c r="B73011">
        <f>TEXT(73010, "[$-0E0000]yyyy-mm-dd")</f>
        <v/>
      </c>
      <c r="C73011" t="inlineStr">
        <is>
          <t>2099-10-11</t>
        </is>
      </c>
    </row>
    <row r="73012">
      <c r="A73012" s="1" t="n">
        <v>73011</v>
      </c>
      <c r="B73012">
        <f>TEXT(73011, "[$-0E0000]yyyy-mm-dd")</f>
        <v/>
      </c>
      <c r="C73012" t="inlineStr">
        <is>
          <t>2099-10-12</t>
        </is>
      </c>
    </row>
    <row r="73013">
      <c r="A73013" s="1" t="n">
        <v>73012</v>
      </c>
      <c r="B73013">
        <f>TEXT(73012, "[$-0E0000]yyyy-mm-dd")</f>
        <v/>
      </c>
      <c r="C73013" t="inlineStr">
        <is>
          <t>2099-10-13</t>
        </is>
      </c>
    </row>
    <row r="73014">
      <c r="A73014" s="1" t="n">
        <v>73013</v>
      </c>
      <c r="B73014">
        <f>TEXT(73013, "[$-0E0000]yyyy-mm-dd")</f>
        <v/>
      </c>
      <c r="C73014" t="inlineStr">
        <is>
          <t>2099-10-14</t>
        </is>
      </c>
    </row>
    <row r="73015">
      <c r="A73015" s="1" t="n">
        <v>73014</v>
      </c>
      <c r="B73015">
        <f>TEXT(73014, "[$-0E0000]yyyy-mm-dd")</f>
        <v/>
      </c>
      <c r="C73015" t="inlineStr">
        <is>
          <t>2099-10-15</t>
        </is>
      </c>
    </row>
    <row r="73016">
      <c r="A73016" s="1" t="n">
        <v>73015</v>
      </c>
      <c r="B73016">
        <f>TEXT(73015, "[$-0E0000]yyyy-mm-dd")</f>
        <v/>
      </c>
      <c r="C73016" t="inlineStr">
        <is>
          <t>2099-10-16</t>
        </is>
      </c>
    </row>
    <row r="73017">
      <c r="A73017" s="1" t="n">
        <v>73016</v>
      </c>
      <c r="B73017">
        <f>TEXT(73016, "[$-0E0000]yyyy-mm-dd")</f>
        <v/>
      </c>
      <c r="C73017" t="inlineStr">
        <is>
          <t>2099-10-17</t>
        </is>
      </c>
    </row>
    <row r="73018">
      <c r="A73018" s="1" t="n">
        <v>73017</v>
      </c>
      <c r="B73018">
        <f>TEXT(73017, "[$-0E0000]yyyy-mm-dd")</f>
        <v/>
      </c>
      <c r="C73018" t="inlineStr">
        <is>
          <t>2099-10-18</t>
        </is>
      </c>
    </row>
    <row r="73019">
      <c r="A73019" s="1" t="n">
        <v>73018</v>
      </c>
      <c r="B73019">
        <f>TEXT(73018, "[$-0E0000]yyyy-mm-dd")</f>
        <v/>
      </c>
      <c r="C73019" t="inlineStr">
        <is>
          <t>2099-10-19</t>
        </is>
      </c>
    </row>
    <row r="73020">
      <c r="A73020" s="1" t="n">
        <v>73019</v>
      </c>
      <c r="B73020">
        <f>TEXT(73019, "[$-0E0000]yyyy-mm-dd")</f>
        <v/>
      </c>
      <c r="C73020" t="inlineStr">
        <is>
          <t>2099-10-20</t>
        </is>
      </c>
    </row>
    <row r="73021">
      <c r="A73021" s="1" t="n">
        <v>73020</v>
      </c>
      <c r="B73021">
        <f>TEXT(73020, "[$-0E0000]yyyy-mm-dd")</f>
        <v/>
      </c>
      <c r="C73021" t="inlineStr">
        <is>
          <t>2099-10-21</t>
        </is>
      </c>
    </row>
    <row r="73022">
      <c r="A73022" s="1" t="n">
        <v>73021</v>
      </c>
      <c r="B73022">
        <f>TEXT(73021, "[$-0E0000]yyyy-mm-dd")</f>
        <v/>
      </c>
      <c r="C73022" t="inlineStr">
        <is>
          <t>2099-10-22</t>
        </is>
      </c>
    </row>
    <row r="73023">
      <c r="A73023" s="1" t="n">
        <v>73022</v>
      </c>
      <c r="B73023">
        <f>TEXT(73022, "[$-0E0000]yyyy-mm-dd")</f>
        <v/>
      </c>
      <c r="C73023" t="inlineStr">
        <is>
          <t>2099-10-23</t>
        </is>
      </c>
    </row>
    <row r="73024">
      <c r="A73024" s="1" t="n">
        <v>73023</v>
      </c>
      <c r="B73024">
        <f>TEXT(73023, "[$-0E0000]yyyy-mm-dd")</f>
        <v/>
      </c>
      <c r="C73024" t="inlineStr">
        <is>
          <t>2099-10-24</t>
        </is>
      </c>
    </row>
    <row r="73025">
      <c r="A73025" s="1" t="n">
        <v>73024</v>
      </c>
      <c r="B73025">
        <f>TEXT(73024, "[$-0E0000]yyyy-mm-dd")</f>
        <v/>
      </c>
      <c r="C73025" t="inlineStr">
        <is>
          <t>2099-10-25</t>
        </is>
      </c>
    </row>
    <row r="73026">
      <c r="A73026" s="1" t="n">
        <v>73025</v>
      </c>
      <c r="B73026">
        <f>TEXT(73025, "[$-0E0000]yyyy-mm-dd")</f>
        <v/>
      </c>
      <c r="C73026" t="inlineStr">
        <is>
          <t>2099-10-26</t>
        </is>
      </c>
    </row>
    <row r="73027">
      <c r="A73027" s="1" t="n">
        <v>73026</v>
      </c>
      <c r="B73027">
        <f>TEXT(73026, "[$-0E0000]yyyy-mm-dd")</f>
        <v/>
      </c>
      <c r="C73027" t="inlineStr">
        <is>
          <t>2099-10-27</t>
        </is>
      </c>
    </row>
    <row r="73028">
      <c r="A73028" s="1" t="n">
        <v>73027</v>
      </c>
      <c r="B73028">
        <f>TEXT(73027, "[$-0E0000]yyyy-mm-dd")</f>
        <v/>
      </c>
      <c r="C73028" t="inlineStr">
        <is>
          <t>2099-10-28</t>
        </is>
      </c>
    </row>
    <row r="73029">
      <c r="A73029" s="1" t="n">
        <v>73028</v>
      </c>
      <c r="B73029">
        <f>TEXT(73028, "[$-0E0000]yyyy-mm-dd")</f>
        <v/>
      </c>
      <c r="C73029" t="inlineStr">
        <is>
          <t>2099-10-29</t>
        </is>
      </c>
    </row>
    <row r="73030">
      <c r="A73030" s="1" t="n">
        <v>73029</v>
      </c>
      <c r="B73030">
        <f>TEXT(73029, "[$-0E0000]yyyy-mm-dd")</f>
        <v/>
      </c>
      <c r="C73030" t="inlineStr">
        <is>
          <t>2099-10-30</t>
        </is>
      </c>
    </row>
    <row r="73031">
      <c r="A73031" s="1" t="n">
        <v>73030</v>
      </c>
      <c r="B73031">
        <f>TEXT(73030, "[$-0E0000]yyyy-mm-dd")</f>
        <v/>
      </c>
      <c r="C73031" t="inlineStr">
        <is>
          <t>2099-11-01</t>
        </is>
      </c>
    </row>
    <row r="73032">
      <c r="A73032" s="1" t="n">
        <v>73031</v>
      </c>
      <c r="B73032">
        <f>TEXT(73031, "[$-0E0000]yyyy-mm-dd")</f>
        <v/>
      </c>
      <c r="C73032" t="inlineStr">
        <is>
          <t>2099-11-02</t>
        </is>
      </c>
    </row>
    <row r="73033">
      <c r="A73033" s="1" t="n">
        <v>73032</v>
      </c>
      <c r="B73033">
        <f>TEXT(73032, "[$-0E0000]yyyy-mm-dd")</f>
        <v/>
      </c>
      <c r="C73033" t="inlineStr">
        <is>
          <t>2099-11-03</t>
        </is>
      </c>
    </row>
    <row r="73034">
      <c r="A73034" s="1" t="n">
        <v>73033</v>
      </c>
      <c r="B73034">
        <f>TEXT(73033, "[$-0E0000]yyyy-mm-dd")</f>
        <v/>
      </c>
      <c r="C73034" t="inlineStr">
        <is>
          <t>2099-11-04</t>
        </is>
      </c>
    </row>
    <row r="73035">
      <c r="A73035" s="1" t="n">
        <v>73034</v>
      </c>
      <c r="B73035">
        <f>TEXT(73034, "[$-0E0000]yyyy-mm-dd")</f>
        <v/>
      </c>
      <c r="C73035" t="inlineStr">
        <is>
          <t>2099-11-05</t>
        </is>
      </c>
    </row>
    <row r="73036">
      <c r="A73036" s="1" t="n">
        <v>73035</v>
      </c>
      <c r="B73036">
        <f>TEXT(73035, "[$-0E0000]yyyy-mm-dd")</f>
        <v/>
      </c>
      <c r="C73036" t="inlineStr">
        <is>
          <t>2099-11-06</t>
        </is>
      </c>
    </row>
    <row r="73037">
      <c r="A73037" s="1" t="n">
        <v>73036</v>
      </c>
      <c r="B73037">
        <f>TEXT(73036, "[$-0E0000]yyyy-mm-dd")</f>
        <v/>
      </c>
      <c r="C73037" t="inlineStr">
        <is>
          <t>2099-11-07</t>
        </is>
      </c>
    </row>
    <row r="73038">
      <c r="A73038" s="1" t="n">
        <v>73037</v>
      </c>
      <c r="B73038">
        <f>TEXT(73037, "[$-0E0000]yyyy-mm-dd")</f>
        <v/>
      </c>
      <c r="C73038" t="inlineStr">
        <is>
          <t>2099-11-08</t>
        </is>
      </c>
    </row>
    <row r="73039">
      <c r="A73039" s="1" t="n">
        <v>73038</v>
      </c>
      <c r="B73039">
        <f>TEXT(73038, "[$-0E0000]yyyy-mm-dd")</f>
        <v/>
      </c>
      <c r="C73039" t="inlineStr">
        <is>
          <t>2099-11-09</t>
        </is>
      </c>
    </row>
    <row r="73040">
      <c r="A73040" s="1" t="n">
        <v>73039</v>
      </c>
      <c r="B73040">
        <f>TEXT(73039, "[$-0E0000]yyyy-mm-dd")</f>
        <v/>
      </c>
      <c r="C73040" t="inlineStr">
        <is>
          <t>2099-11-10</t>
        </is>
      </c>
    </row>
    <row r="73041">
      <c r="A73041" s="1" t="n">
        <v>73040</v>
      </c>
      <c r="B73041">
        <f>TEXT(73040, "[$-0E0000]yyyy-mm-dd")</f>
        <v/>
      </c>
      <c r="C73041" t="inlineStr">
        <is>
          <t>2099-11-11</t>
        </is>
      </c>
    </row>
    <row r="73042">
      <c r="A73042" s="1" t="n">
        <v>73041</v>
      </c>
      <c r="B73042">
        <f>TEXT(73041, "[$-0E0000]yyyy-mm-dd")</f>
        <v/>
      </c>
      <c r="C73042" t="inlineStr">
        <is>
          <t>2099-11-12</t>
        </is>
      </c>
    </row>
    <row r="73043">
      <c r="A73043" s="1" t="n">
        <v>73042</v>
      </c>
      <c r="B73043">
        <f>TEXT(73042, "[$-0E0000]yyyy-mm-dd")</f>
        <v/>
      </c>
      <c r="C73043" t="inlineStr">
        <is>
          <t>2099-11-13</t>
        </is>
      </c>
    </row>
    <row r="73044">
      <c r="A73044" s="1" t="n">
        <v>73043</v>
      </c>
      <c r="B73044">
        <f>TEXT(73043, "[$-0E0000]yyyy-mm-dd")</f>
        <v/>
      </c>
      <c r="C73044" t="inlineStr">
        <is>
          <t>2099-11-14</t>
        </is>
      </c>
    </row>
    <row r="73045">
      <c r="A73045" s="1" t="n">
        <v>73044</v>
      </c>
      <c r="B73045">
        <f>TEXT(73044, "[$-0E0000]yyyy-mm-dd")</f>
        <v/>
      </c>
      <c r="C73045" t="inlineStr">
        <is>
          <t>2099-11-15</t>
        </is>
      </c>
    </row>
    <row r="73046">
      <c r="A73046" s="1" t="n">
        <v>73045</v>
      </c>
      <c r="B73046">
        <f>TEXT(73045, "[$-0E0000]yyyy-mm-dd")</f>
        <v/>
      </c>
      <c r="C73046" t="inlineStr">
        <is>
          <t>2099-11-16</t>
        </is>
      </c>
    </row>
    <row r="73047">
      <c r="A73047" s="1" t="n">
        <v>73046</v>
      </c>
      <c r="B73047">
        <f>TEXT(73046, "[$-0E0000]yyyy-mm-dd")</f>
        <v/>
      </c>
      <c r="C73047" t="inlineStr">
        <is>
          <t>2099-11-17</t>
        </is>
      </c>
    </row>
    <row r="73048">
      <c r="A73048" s="1" t="n">
        <v>73047</v>
      </c>
      <c r="B73048">
        <f>TEXT(73047, "[$-0E0000]yyyy-mm-dd")</f>
        <v/>
      </c>
      <c r="C73048" t="inlineStr">
        <is>
          <t>2099-11-18</t>
        </is>
      </c>
    </row>
    <row r="73049">
      <c r="A73049" s="1" t="n">
        <v>73048</v>
      </c>
      <c r="B73049">
        <f>TEXT(73048, "[$-0E0000]yyyy-mm-dd")</f>
        <v/>
      </c>
      <c r="C73049" t="inlineStr">
        <is>
          <t>2099-11-19</t>
        </is>
      </c>
    </row>
    <row r="73050">
      <c r="A73050" s="1" t="n">
        <v>73049</v>
      </c>
      <c r="B73050">
        <f>TEXT(73049, "[$-0E0000]yyyy-mm-dd")</f>
        <v/>
      </c>
      <c r="C73050" t="inlineStr">
        <is>
          <t>2099-11-20</t>
        </is>
      </c>
    </row>
    <row r="73051">
      <c r="A73051" s="1" t="n">
        <v>73050</v>
      </c>
      <c r="B73051">
        <f>TEXT(73050, "[$-0E0000]yyyy-mm-dd")</f>
        <v/>
      </c>
      <c r="C73051" t="inlineStr">
        <is>
          <t>2099-11-21</t>
        </is>
      </c>
    </row>
    <row r="73052">
      <c r="A73052" s="1" t="n">
        <v>73051</v>
      </c>
      <c r="B73052">
        <f>TEXT(73051, "[$-0E0000]yyyy-mm-dd")</f>
        <v/>
      </c>
      <c r="C73052" t="inlineStr">
        <is>
          <t>2099-11-22</t>
        </is>
      </c>
    </row>
    <row r="73053">
      <c r="A73053" s="1" t="n">
        <v>73052</v>
      </c>
      <c r="B73053">
        <f>TEXT(73052, "[$-0E0000]yyyy-mm-dd")</f>
        <v/>
      </c>
      <c r="C73053" t="inlineStr">
        <is>
          <t>2099-11-23</t>
        </is>
      </c>
    </row>
    <row r="73054">
      <c r="A73054" s="1" t="n">
        <v>73053</v>
      </c>
      <c r="B73054">
        <f>TEXT(73053, "[$-0E0000]yyyy-mm-dd")</f>
        <v/>
      </c>
      <c r="C73054" t="inlineStr">
        <is>
          <t>2099-11-24</t>
        </is>
      </c>
    </row>
    <row r="73055">
      <c r="A73055" s="1" t="n">
        <v>73054</v>
      </c>
      <c r="B73055">
        <f>TEXT(73054, "[$-0E0000]yyyy-mm-dd")</f>
        <v/>
      </c>
      <c r="C73055" t="inlineStr">
        <is>
          <t>2099-11-25</t>
        </is>
      </c>
    </row>
    <row r="73056">
      <c r="A73056" s="1" t="n">
        <v>73055</v>
      </c>
      <c r="B73056">
        <f>TEXT(73055, "[$-0E0000]yyyy-mm-dd")</f>
        <v/>
      </c>
      <c r="C73056" t="inlineStr">
        <is>
          <t>2099-11-26</t>
        </is>
      </c>
    </row>
    <row r="73057">
      <c r="A73057" s="1" t="n">
        <v>73056</v>
      </c>
      <c r="B73057">
        <f>TEXT(73056, "[$-0E0000]yyyy-mm-dd")</f>
        <v/>
      </c>
      <c r="C73057" t="inlineStr">
        <is>
          <t>2099-11-27</t>
        </is>
      </c>
    </row>
    <row r="73058">
      <c r="A73058" s="1" t="n">
        <v>73057</v>
      </c>
      <c r="B73058">
        <f>TEXT(73057, "[$-0E0000]yyyy-mm-dd")</f>
        <v/>
      </c>
      <c r="C73058" t="inlineStr">
        <is>
          <t>2099-11-28</t>
        </is>
      </c>
    </row>
    <row r="73059">
      <c r="A73059" s="1" t="n">
        <v>73058</v>
      </c>
      <c r="B73059">
        <f>TEXT(73058, "[$-0E0000]yyyy-mm-dd")</f>
        <v/>
      </c>
      <c r="C73059" t="inlineStr">
        <is>
          <t>2099-11-29</t>
        </is>
      </c>
    </row>
    <row r="73060">
      <c r="A73060" s="1" t="n">
        <v>73059</v>
      </c>
      <c r="B73060">
        <f>TEXT(73059, "[$-0E0000]yyyy-mm-dd")</f>
        <v/>
      </c>
      <c r="C73060" t="inlineStr">
        <is>
          <t>2099-12-01</t>
        </is>
      </c>
    </row>
    <row r="73061">
      <c r="A73061" s="1" t="n">
        <v>73060</v>
      </c>
      <c r="B73061">
        <f>TEXT(73060, "[$-0E0000]yyyy-mm-dd")</f>
        <v/>
      </c>
      <c r="C73061" t="inlineStr">
        <is>
          <t>2099-12-02</t>
        </is>
      </c>
    </row>
    <row r="73062">
      <c r="A73062" s="1" t="n">
        <v>73061</v>
      </c>
      <c r="B73062">
        <f>TEXT(73061, "[$-0E0000]yyyy-mm-dd")</f>
        <v/>
      </c>
      <c r="C73062" t="inlineStr">
        <is>
          <t>2099-12-03</t>
        </is>
      </c>
    </row>
    <row r="73063">
      <c r="A73063" s="1" t="n">
        <v>73062</v>
      </c>
      <c r="B73063">
        <f>TEXT(73062, "[$-0E0000]yyyy-mm-dd")</f>
        <v/>
      </c>
      <c r="C73063" t="inlineStr">
        <is>
          <t>2099-12-04</t>
        </is>
      </c>
    </row>
    <row r="73064">
      <c r="A73064" s="1" t="n">
        <v>73063</v>
      </c>
      <c r="B73064">
        <f>TEXT(73063, "[$-0E0000]yyyy-mm-dd")</f>
        <v/>
      </c>
      <c r="C73064" t="inlineStr">
        <is>
          <t>2099-12-05</t>
        </is>
      </c>
    </row>
    <row r="73065">
      <c r="A73065" s="1" t="n">
        <v>73064</v>
      </c>
      <c r="B73065">
        <f>TEXT(73064, "[$-0E0000]yyyy-mm-dd")</f>
        <v/>
      </c>
      <c r="C73065" t="inlineStr">
        <is>
          <t>2099-12-06</t>
        </is>
      </c>
    </row>
    <row r="73066">
      <c r="A73066" s="1" t="n">
        <v>73065</v>
      </c>
      <c r="B73066">
        <f>TEXT(73065, "[$-0E0000]yyyy-mm-dd")</f>
        <v/>
      </c>
      <c r="C73066" t="inlineStr">
        <is>
          <t>2099-12-07</t>
        </is>
      </c>
    </row>
    <row r="73067">
      <c r="A73067" s="1" t="n">
        <v>73066</v>
      </c>
      <c r="B73067">
        <f>TEXT(73066, "[$-0E0000]yyyy-mm-dd")</f>
        <v/>
      </c>
      <c r="C73067" t="inlineStr">
        <is>
          <t>2099-12-08</t>
        </is>
      </c>
    </row>
    <row r="73068">
      <c r="A73068" s="1" t="n">
        <v>73067</v>
      </c>
      <c r="B73068">
        <f>TEXT(73067, "[$-0E0000]yyyy-mm-dd")</f>
        <v/>
      </c>
      <c r="C73068" t="inlineStr">
        <is>
          <t>2099-12-09</t>
        </is>
      </c>
    </row>
    <row r="73069">
      <c r="A73069" s="1" t="n">
        <v>73068</v>
      </c>
      <c r="B73069">
        <f>TEXT(73068, "[$-0E0000]yyyy-mm-dd")</f>
        <v/>
      </c>
      <c r="C73069" t="inlineStr">
        <is>
          <t>2099-12-10</t>
        </is>
      </c>
    </row>
    <row r="73070">
      <c r="A73070" s="1" t="n">
        <v>73069</v>
      </c>
      <c r="B73070">
        <f>TEXT(73069, "[$-0E0000]yyyy-mm-dd")</f>
        <v/>
      </c>
      <c r="C73070" t="inlineStr">
        <is>
          <t>2099-12-11</t>
        </is>
      </c>
    </row>
    <row r="73071">
      <c r="A73071" s="1" t="n">
        <v>73070</v>
      </c>
      <c r="B73071">
        <f>TEXT(73070, "[$-0E0000]yyyy-mm-dd")</f>
        <v/>
      </c>
      <c r="C73071" t="inlineStr">
        <is>
          <t>2099-12-12</t>
        </is>
      </c>
    </row>
    <row r="73072">
      <c r="A73072" s="1" t="n">
        <v>73071</v>
      </c>
      <c r="B73072">
        <f>TEXT(73071, "[$-0E0000]yyyy-mm-dd")</f>
        <v/>
      </c>
      <c r="C73072" t="inlineStr">
        <is>
          <t>2099-12-13</t>
        </is>
      </c>
    </row>
    <row r="73073">
      <c r="A73073" s="1" t="n">
        <v>73072</v>
      </c>
      <c r="B73073">
        <f>TEXT(73072, "[$-0E0000]yyyy-mm-dd")</f>
        <v/>
      </c>
      <c r="C73073" t="inlineStr">
        <is>
          <t>2099-12-14</t>
        </is>
      </c>
    </row>
    <row r="73074">
      <c r="A73074" s="1" t="n">
        <v>73073</v>
      </c>
      <c r="B73074">
        <f>TEXT(73073, "[$-0E0000]yyyy-mm-dd")</f>
        <v/>
      </c>
      <c r="C73074" t="inlineStr">
        <is>
          <t>2099-12-15</t>
        </is>
      </c>
    </row>
    <row r="73075">
      <c r="A73075" s="1" t="n">
        <v>73074</v>
      </c>
      <c r="B73075">
        <f>TEXT(73074, "[$-0E0000]yyyy-mm-dd")</f>
        <v/>
      </c>
      <c r="C73075" t="inlineStr">
        <is>
          <t>2099-12-16</t>
        </is>
      </c>
    </row>
    <row r="73076">
      <c r="A73076" s="1" t="n">
        <v>73075</v>
      </c>
      <c r="B73076">
        <f>TEXT(73075, "[$-0E0000]yyyy-mm-dd")</f>
        <v/>
      </c>
      <c r="C73076" t="inlineStr">
        <is>
          <t>2099-12-17</t>
        </is>
      </c>
    </row>
    <row r="73077">
      <c r="A73077" s="1" t="n">
        <v>73076</v>
      </c>
      <c r="B73077">
        <f>TEXT(73076, "[$-0E0000]yyyy-mm-dd")</f>
        <v/>
      </c>
      <c r="C73077" t="inlineStr">
        <is>
          <t>2099-12-18</t>
        </is>
      </c>
    </row>
    <row r="73078">
      <c r="A73078" s="1" t="n">
        <v>73077</v>
      </c>
      <c r="B73078">
        <f>TEXT(73077, "[$-0E0000]yyyy-mm-dd")</f>
        <v/>
      </c>
      <c r="C73078" t="inlineStr">
        <is>
          <t>2099-12-19</t>
        </is>
      </c>
    </row>
    <row r="73079">
      <c r="A73079" s="1" t="n">
        <v>73078</v>
      </c>
      <c r="B73079">
        <f>TEXT(73078, "[$-0E0000]yyyy-mm-dd")</f>
        <v/>
      </c>
      <c r="C73079" t="inlineStr">
        <is>
          <t>2099-12-20</t>
        </is>
      </c>
    </row>
    <row r="73080">
      <c r="A73080" s="1" t="n">
        <v>73079</v>
      </c>
      <c r="B73080">
        <f>TEXT(73079, "[$-0E0000]yyyy-mm-dd")</f>
        <v/>
      </c>
      <c r="C73080" t="inlineStr">
        <is>
          <t>2099-12-21</t>
        </is>
      </c>
    </row>
    <row r="73081">
      <c r="A73081" s="1" t="n">
        <v>73080</v>
      </c>
      <c r="B73081">
        <f>TEXT(73080, "[$-0E0000]yyyy-mm-dd")</f>
        <v/>
      </c>
      <c r="C73081" t="inlineStr">
        <is>
          <t>2099-12-22</t>
        </is>
      </c>
    </row>
    <row r="73082">
      <c r="A73082" s="1" t="n">
        <v>73081</v>
      </c>
      <c r="B73082">
        <f>TEXT(73081, "[$-0E0000]yyyy-mm-dd")</f>
        <v/>
      </c>
      <c r="C73082" t="inlineStr">
        <is>
          <t>2099-12-23</t>
        </is>
      </c>
    </row>
    <row r="73083">
      <c r="A73083" s="1" t="n">
        <v>73082</v>
      </c>
      <c r="B73083">
        <f>TEXT(73082, "[$-0E0000]yyyy-mm-dd")</f>
        <v/>
      </c>
      <c r="C73083" t="inlineStr">
        <is>
          <t>2099-12-24</t>
        </is>
      </c>
    </row>
    <row r="73084">
      <c r="A73084" s="1" t="n">
        <v>73083</v>
      </c>
      <c r="B73084">
        <f>TEXT(73083, "[$-0E0000]yyyy-mm-dd")</f>
        <v/>
      </c>
      <c r="C73084" t="inlineStr">
        <is>
          <t>2099-12-25</t>
        </is>
      </c>
    </row>
    <row r="73085">
      <c r="A73085" s="1" t="n">
        <v>73084</v>
      </c>
      <c r="B73085">
        <f>TEXT(73084, "[$-0E0000]yyyy-mm-dd")</f>
        <v/>
      </c>
      <c r="C73085" t="inlineStr">
        <is>
          <t>2099-12-26</t>
        </is>
      </c>
    </row>
    <row r="73086">
      <c r="A73086" s="1" t="n">
        <v>73085</v>
      </c>
      <c r="B73086">
        <f>TEXT(73085, "[$-0E0000]yyyy-mm-dd")</f>
        <v/>
      </c>
      <c r="C73086" t="inlineStr">
        <is>
          <t>2099-12-27</t>
        </is>
      </c>
    </row>
    <row r="73087">
      <c r="A73087" s="1" t="n">
        <v>73086</v>
      </c>
      <c r="B73087">
        <f>TEXT(73086, "[$-0E0000]yyyy-mm-dd")</f>
        <v/>
      </c>
      <c r="C73087" t="inlineStr">
        <is>
          <t>2099-12-28</t>
        </is>
      </c>
    </row>
    <row r="73088">
      <c r="A73088" s="1" t="n">
        <v>73087</v>
      </c>
      <c r="B73088">
        <f>TEXT(73087, "[$-0E0000]yyyy-mm-dd")</f>
        <v/>
      </c>
      <c r="C73088" t="inlineStr">
        <is>
          <t>2099-12-29</t>
        </is>
      </c>
    </row>
    <row r="73089">
      <c r="A73089" s="1" t="n">
        <v>73088</v>
      </c>
      <c r="B73089">
        <f>TEXT(73088, "[$-0E0000]yyyy-mm-dd")</f>
        <v/>
      </c>
      <c r="C73089" t="inlineStr">
        <is>
          <t>2099-12-30</t>
        </is>
      </c>
    </row>
    <row r="73090">
      <c r="A73090" s="1" t="n">
        <v>73089</v>
      </c>
      <c r="B73090">
        <f>TEXT(73089, "[$-0E0000]yyyy-mm-dd")</f>
        <v/>
      </c>
      <c r="C73090" t="inlineStr">
        <is>
          <t>2100-01-01</t>
        </is>
      </c>
    </row>
    <row r="73091">
      <c r="A73091" s="1" t="n">
        <v>73090</v>
      </c>
      <c r="B73091">
        <f>TEXT(73090, "[$-0E0000]yyyy-mm-dd")</f>
        <v/>
      </c>
      <c r="C73091" t="inlineStr">
        <is>
          <t>2100-01-02</t>
        </is>
      </c>
    </row>
    <row r="73092">
      <c r="A73092" s="1" t="n">
        <v>73091</v>
      </c>
      <c r="B73092">
        <f>TEXT(73091, "[$-0E0000]yyyy-mm-dd")</f>
        <v/>
      </c>
      <c r="C73092" t="inlineStr">
        <is>
          <t>2100-01-03</t>
        </is>
      </c>
    </row>
    <row r="73093">
      <c r="A73093" s="1" t="n">
        <v>73092</v>
      </c>
      <c r="B73093">
        <f>TEXT(73092, "[$-0E0000]yyyy-mm-dd")</f>
        <v/>
      </c>
      <c r="C73093" t="inlineStr">
        <is>
          <t>2100-01-04</t>
        </is>
      </c>
    </row>
    <row r="73094">
      <c r="A73094" s="1" t="n">
        <v>73093</v>
      </c>
      <c r="B73094">
        <f>TEXT(73093, "[$-0E0000]yyyy-mm-dd")</f>
        <v/>
      </c>
      <c r="C73094" t="inlineStr">
        <is>
          <t>2100-01-05</t>
        </is>
      </c>
    </row>
    <row r="73095">
      <c r="A73095" s="1" t="n">
        <v>73094</v>
      </c>
      <c r="B73095">
        <f>TEXT(73094, "[$-0E0000]yyyy-mm-dd")</f>
        <v/>
      </c>
      <c r="C73095" t="inlineStr">
        <is>
          <t>2100-01-06</t>
        </is>
      </c>
    </row>
    <row r="73096">
      <c r="A73096" s="1" t="n">
        <v>73095</v>
      </c>
      <c r="B73096">
        <f>TEXT(73095, "[$-0E0000]yyyy-mm-dd")</f>
        <v/>
      </c>
      <c r="C73096" t="inlineStr">
        <is>
          <t>2100-01-07</t>
        </is>
      </c>
    </row>
    <row r="73097">
      <c r="A73097" s="1" t="n">
        <v>73096</v>
      </c>
      <c r="B73097">
        <f>TEXT(73096, "[$-0E0000]yyyy-mm-dd")</f>
        <v/>
      </c>
      <c r="C73097" t="inlineStr">
        <is>
          <t>2100-01-08</t>
        </is>
      </c>
    </row>
    <row r="73098">
      <c r="A73098" s="1" t="n">
        <v>73097</v>
      </c>
      <c r="B73098">
        <f>TEXT(73097, "[$-0E0000]yyyy-mm-dd")</f>
        <v/>
      </c>
      <c r="C73098" t="inlineStr">
        <is>
          <t>2100-01-09</t>
        </is>
      </c>
    </row>
    <row r="73099">
      <c r="A73099" s="1" t="n">
        <v>73098</v>
      </c>
      <c r="B73099">
        <f>TEXT(73098, "[$-0E0000]yyyy-mm-dd")</f>
        <v/>
      </c>
      <c r="C73099" t="inlineStr">
        <is>
          <t>2100-01-10</t>
        </is>
      </c>
    </row>
    <row r="73100">
      <c r="A73100" s="1" t="n">
        <v>73099</v>
      </c>
      <c r="B73100">
        <f>TEXT(73099, "[$-0E0000]yyyy-mm-dd")</f>
        <v/>
      </c>
      <c r="C73100" t="inlineStr">
        <is>
          <t>2100-01-11</t>
        </is>
      </c>
    </row>
    <row r="73101">
      <c r="A73101" s="1" t="n">
        <v>73100</v>
      </c>
      <c r="B73101">
        <f>TEXT(73100, "[$-0E0000]yyyy-mm-dd")</f>
        <v/>
      </c>
      <c r="C73101" t="inlineStr">
        <is>
          <t>2100-01-12</t>
        </is>
      </c>
    </row>
    <row r="73102">
      <c r="A73102" s="1" t="n">
        <v>73101</v>
      </c>
      <c r="B73102">
        <f>TEXT(73101, "[$-0E0000]yyyy-mm-dd")</f>
        <v/>
      </c>
      <c r="C73102" t="inlineStr">
        <is>
          <t>2100-01-13</t>
        </is>
      </c>
    </row>
    <row r="73103">
      <c r="A73103" s="1" t="n">
        <v>73102</v>
      </c>
      <c r="B73103">
        <f>TEXT(73102, "[$-0E0000]yyyy-mm-dd")</f>
        <v/>
      </c>
      <c r="C73103" t="inlineStr">
        <is>
          <t>2100-01-14</t>
        </is>
      </c>
    </row>
    <row r="73104">
      <c r="A73104" s="1" t="n">
        <v>73103</v>
      </c>
      <c r="B73104">
        <f>TEXT(73103, "[$-0E0000]yyyy-mm-dd")</f>
        <v/>
      </c>
      <c r="C73104" t="inlineStr">
        <is>
          <t>2100-01-15</t>
        </is>
      </c>
    </row>
    <row r="73105">
      <c r="A73105" s="1" t="n">
        <v>73104</v>
      </c>
      <c r="B73105">
        <f>TEXT(73104, "[$-0E0000]yyyy-mm-dd")</f>
        <v/>
      </c>
      <c r="C73105" t="inlineStr">
        <is>
          <t>2100-01-16</t>
        </is>
      </c>
    </row>
    <row r="73106">
      <c r="A73106" s="1" t="n">
        <v>73105</v>
      </c>
      <c r="B73106">
        <f>TEXT(73105, "[$-0E0000]yyyy-mm-dd")</f>
        <v/>
      </c>
      <c r="C73106" t="inlineStr">
        <is>
          <t>2100-01-17</t>
        </is>
      </c>
    </row>
    <row r="73107">
      <c r="A73107" s="1" t="n">
        <v>73106</v>
      </c>
      <c r="B73107">
        <f>TEXT(73106, "[$-0E0000]yyyy-mm-dd")</f>
        <v/>
      </c>
      <c r="C73107" t="inlineStr">
        <is>
          <t>2100-01-18</t>
        </is>
      </c>
    </row>
    <row r="73108">
      <c r="A73108" s="1" t="n">
        <v>73107</v>
      </c>
      <c r="B73108">
        <f>TEXT(73107, "[$-0E0000]yyyy-mm-dd")</f>
        <v/>
      </c>
      <c r="C73108" t="inlineStr">
        <is>
          <t>2100-01-19</t>
        </is>
      </c>
    </row>
    <row r="73109">
      <c r="A73109" s="1" t="n">
        <v>73108</v>
      </c>
      <c r="B73109">
        <f>TEXT(73108, "[$-0E0000]yyyy-mm-dd")</f>
        <v/>
      </c>
      <c r="C73109" t="inlineStr">
        <is>
          <t>2100-01-20</t>
        </is>
      </c>
    </row>
    <row r="73110">
      <c r="A73110" s="1" t="n">
        <v>73109</v>
      </c>
      <c r="B73110">
        <f>TEXT(73109, "[$-0E0000]yyyy-mm-dd")</f>
        <v/>
      </c>
      <c r="C73110" t="inlineStr">
        <is>
          <t>2100-01-21</t>
        </is>
      </c>
    </row>
    <row r="73111">
      <c r="A73111" s="1" t="n">
        <v>73110</v>
      </c>
      <c r="B73111">
        <f>TEXT(73110, "[$-0E0000]yyyy-mm-dd")</f>
        <v/>
      </c>
      <c r="C73111" t="inlineStr">
        <is>
          <t>2100-01-22</t>
        </is>
      </c>
    </row>
    <row r="73112">
      <c r="A73112" s="1" t="n">
        <v>73111</v>
      </c>
      <c r="B73112">
        <f>TEXT(73111, "[$-0E0000]yyyy-mm-dd")</f>
        <v/>
      </c>
      <c r="C73112" t="inlineStr">
        <is>
          <t>2100-01-23</t>
        </is>
      </c>
    </row>
    <row r="73113">
      <c r="A73113" s="1" t="n">
        <v>73112</v>
      </c>
      <c r="B73113">
        <f>TEXT(73112, "[$-0E0000]yyyy-mm-dd")</f>
        <v/>
      </c>
      <c r="C73113" t="inlineStr">
        <is>
          <t>2100-01-24</t>
        </is>
      </c>
    </row>
    <row r="73114">
      <c r="A73114" s="1" t="n">
        <v>73113</v>
      </c>
      <c r="B73114">
        <f>TEXT(73113, "[$-0E0000]yyyy-mm-dd")</f>
        <v/>
      </c>
      <c r="C73114" t="inlineStr">
        <is>
          <t>2100-01-25</t>
        </is>
      </c>
    </row>
    <row r="73115">
      <c r="A73115" s="1" t="n">
        <v>73114</v>
      </c>
      <c r="B73115">
        <f>TEXT(73114, "[$-0E0000]yyyy-mm-dd")</f>
        <v/>
      </c>
      <c r="C73115" t="inlineStr">
        <is>
          <t>2100-01-26</t>
        </is>
      </c>
    </row>
    <row r="73116">
      <c r="A73116" s="1" t="n">
        <v>73115</v>
      </c>
      <c r="B73116">
        <f>TEXT(73115, "[$-0E0000]yyyy-mm-dd")</f>
        <v/>
      </c>
      <c r="C73116" t="inlineStr">
        <is>
          <t>2100-01-27</t>
        </is>
      </c>
    </row>
    <row r="73117">
      <c r="A73117" s="1" t="n">
        <v>73116</v>
      </c>
      <c r="B73117">
        <f>TEXT(73116, "[$-0E0000]yyyy-mm-dd")</f>
        <v/>
      </c>
      <c r="C73117" t="inlineStr">
        <is>
          <t>2100-01-28</t>
        </is>
      </c>
    </row>
    <row r="73118">
      <c r="A73118" s="1" t="n">
        <v>73117</v>
      </c>
      <c r="B73118">
        <f>TEXT(73117, "[$-0E0000]yyyy-mm-dd")</f>
        <v/>
      </c>
      <c r="C73118" t="inlineStr">
        <is>
          <t>2100-01-29</t>
        </is>
      </c>
    </row>
    <row r="73119">
      <c r="A73119" s="1" t="n">
        <v>73118</v>
      </c>
      <c r="B73119">
        <f>TEXT(73118, "[$-0E0000]yyyy-mm-dd")</f>
        <v/>
      </c>
      <c r="C73119" t="inlineStr">
        <is>
          <t>2100-01-30</t>
        </is>
      </c>
    </row>
    <row r="73120">
      <c r="A73120" s="1" t="n">
        <v>73119</v>
      </c>
      <c r="B73120">
        <f>TEXT(73119, "[$-0E0000]yyyy-mm-dd")</f>
        <v/>
      </c>
      <c r="C73120" t="inlineStr">
        <is>
          <t>2100-02-01</t>
        </is>
      </c>
    </row>
    <row r="73121">
      <c r="A73121" s="1" t="n">
        <v>73120</v>
      </c>
      <c r="B73121">
        <f>TEXT(73120, "[$-0E0000]yyyy-mm-dd")</f>
        <v/>
      </c>
      <c r="C73121" t="inlineStr">
        <is>
          <t>2100-02-02</t>
        </is>
      </c>
    </row>
    <row r="73122">
      <c r="A73122" s="1" t="n">
        <v>73121</v>
      </c>
      <c r="B73122">
        <f>TEXT(73121, "[$-0E0000]yyyy-mm-dd")</f>
        <v/>
      </c>
      <c r="C73122" t="inlineStr">
        <is>
          <t>2100-02-03</t>
        </is>
      </c>
    </row>
    <row r="73123">
      <c r="A73123" s="1" t="n">
        <v>73122</v>
      </c>
      <c r="B73123">
        <f>TEXT(73122, "[$-0E0000]yyyy-mm-dd")</f>
        <v/>
      </c>
      <c r="C73123" t="inlineStr">
        <is>
          <t>2100-02-04</t>
        </is>
      </c>
    </row>
    <row r="73124">
      <c r="A73124" s="1" t="n">
        <v>73123</v>
      </c>
      <c r="B73124">
        <f>TEXT(73123, "[$-0E0000]yyyy-mm-dd")</f>
        <v/>
      </c>
      <c r="C73124" t="inlineStr">
        <is>
          <t>2100-02-05</t>
        </is>
      </c>
    </row>
    <row r="73125">
      <c r="A73125" s="1" t="n">
        <v>73124</v>
      </c>
      <c r="B73125">
        <f>TEXT(73124, "[$-0E0000]yyyy-mm-dd")</f>
        <v/>
      </c>
      <c r="C73125" t="inlineStr">
        <is>
          <t>2100-02-06</t>
        </is>
      </c>
    </row>
    <row r="73126">
      <c r="A73126" s="1" t="n">
        <v>73125</v>
      </c>
      <c r="B73126">
        <f>TEXT(73125, "[$-0E0000]yyyy-mm-dd")</f>
        <v/>
      </c>
      <c r="C73126" t="inlineStr">
        <is>
          <t>2100-02-07</t>
        </is>
      </c>
    </row>
    <row r="73127">
      <c r="A73127" s="1" t="n">
        <v>73126</v>
      </c>
      <c r="B73127">
        <f>TEXT(73126, "[$-0E0000]yyyy-mm-dd")</f>
        <v/>
      </c>
      <c r="C73127" t="inlineStr">
        <is>
          <t>2100-02-08</t>
        </is>
      </c>
    </row>
    <row r="73128">
      <c r="A73128" s="1" t="n">
        <v>73127</v>
      </c>
      <c r="B73128">
        <f>TEXT(73127, "[$-0E0000]yyyy-mm-dd")</f>
        <v/>
      </c>
      <c r="C73128" t="inlineStr">
        <is>
          <t>2100-02-09</t>
        </is>
      </c>
    </row>
    <row r="73129">
      <c r="A73129" s="1" t="n">
        <v>73128</v>
      </c>
      <c r="B73129">
        <f>TEXT(73128, "[$-0E0000]yyyy-mm-dd")</f>
        <v/>
      </c>
      <c r="C73129" t="inlineStr">
        <is>
          <t>2100-02-10</t>
        </is>
      </c>
    </row>
    <row r="73130">
      <c r="A73130" s="1" t="n">
        <v>73129</v>
      </c>
      <c r="B73130">
        <f>TEXT(73129, "[$-0E0000]yyyy-mm-dd")</f>
        <v/>
      </c>
      <c r="C73130" t="inlineStr">
        <is>
          <t>2100-02-11</t>
        </is>
      </c>
    </row>
    <row r="73131">
      <c r="A73131" s="1" t="n">
        <v>73130</v>
      </c>
      <c r="B73131">
        <f>TEXT(73130, "[$-0E0000]yyyy-mm-dd")</f>
        <v/>
      </c>
      <c r="C73131" t="inlineStr">
        <is>
          <t>2100-02-12</t>
        </is>
      </c>
    </row>
    <row r="73132">
      <c r="A73132" s="1" t="n">
        <v>73131</v>
      </c>
      <c r="B73132">
        <f>TEXT(73131, "[$-0E0000]yyyy-mm-dd")</f>
        <v/>
      </c>
      <c r="C73132" t="inlineStr">
        <is>
          <t>2100-02-13</t>
        </is>
      </c>
    </row>
    <row r="73133">
      <c r="A73133" s="1" t="n">
        <v>73132</v>
      </c>
      <c r="B73133">
        <f>TEXT(73132, "[$-0E0000]yyyy-mm-dd")</f>
        <v/>
      </c>
      <c r="C73133" t="inlineStr">
        <is>
          <t>2100-02-14</t>
        </is>
      </c>
    </row>
    <row r="73134">
      <c r="A73134" s="1" t="n">
        <v>73133</v>
      </c>
      <c r="B73134">
        <f>TEXT(73133, "[$-0E0000]yyyy-mm-dd")</f>
        <v/>
      </c>
      <c r="C73134" t="inlineStr">
        <is>
          <t>2100-02-15</t>
        </is>
      </c>
    </row>
    <row r="73135">
      <c r="A73135" s="1" t="n">
        <v>73134</v>
      </c>
      <c r="B73135">
        <f>TEXT(73134, "[$-0E0000]yyyy-mm-dd")</f>
        <v/>
      </c>
      <c r="C73135" t="inlineStr">
        <is>
          <t>2100-02-16</t>
        </is>
      </c>
    </row>
    <row r="73136">
      <c r="A73136" s="1" t="n">
        <v>73135</v>
      </c>
      <c r="B73136">
        <f>TEXT(73135, "[$-0E0000]yyyy-mm-dd")</f>
        <v/>
      </c>
      <c r="C73136" t="inlineStr">
        <is>
          <t>2100-02-17</t>
        </is>
      </c>
    </row>
    <row r="73137">
      <c r="A73137" s="1" t="n">
        <v>73136</v>
      </c>
      <c r="B73137">
        <f>TEXT(73136, "[$-0E0000]yyyy-mm-dd")</f>
        <v/>
      </c>
      <c r="C73137" t="inlineStr">
        <is>
          <t>2100-02-18</t>
        </is>
      </c>
    </row>
    <row r="73138">
      <c r="A73138" s="1" t="n">
        <v>73137</v>
      </c>
      <c r="B73138">
        <f>TEXT(73137, "[$-0E0000]yyyy-mm-dd")</f>
        <v/>
      </c>
      <c r="C73138" t="inlineStr">
        <is>
          <t>2100-02-19</t>
        </is>
      </c>
    </row>
    <row r="73139">
      <c r="A73139" s="1" t="n">
        <v>73138</v>
      </c>
      <c r="B73139">
        <f>TEXT(73138, "[$-0E0000]yyyy-mm-dd")</f>
        <v/>
      </c>
      <c r="C73139" t="inlineStr">
        <is>
          <t>2100-02-20</t>
        </is>
      </c>
    </row>
    <row r="73140">
      <c r="A73140" s="1" t="n">
        <v>73139</v>
      </c>
      <c r="B73140">
        <f>TEXT(73139, "[$-0E0000]yyyy-mm-dd")</f>
        <v/>
      </c>
      <c r="C73140" t="inlineStr">
        <is>
          <t>2100-02-21</t>
        </is>
      </c>
    </row>
    <row r="73141">
      <c r="A73141" s="1" t="n">
        <v>73140</v>
      </c>
      <c r="B73141">
        <f>TEXT(73140, "[$-0E0000]yyyy-mm-dd")</f>
        <v/>
      </c>
      <c r="C73141" t="inlineStr">
        <is>
          <t>2100-02-22</t>
        </is>
      </c>
    </row>
    <row r="73142">
      <c r="A73142" s="1" t="n">
        <v>73141</v>
      </c>
      <c r="B73142">
        <f>TEXT(73141, "[$-0E0000]yyyy-mm-dd")</f>
        <v/>
      </c>
      <c r="C73142" t="inlineStr">
        <is>
          <t>2100-02-23</t>
        </is>
      </c>
    </row>
    <row r="73143">
      <c r="A73143" s="1" t="n">
        <v>73142</v>
      </c>
      <c r="B73143">
        <f>TEXT(73142, "[$-0E0000]yyyy-mm-dd")</f>
        <v/>
      </c>
      <c r="C73143" t="inlineStr">
        <is>
          <t>2100-02-24</t>
        </is>
      </c>
    </row>
    <row r="73144">
      <c r="A73144" s="1" t="n">
        <v>73143</v>
      </c>
      <c r="B73144">
        <f>TEXT(73143, "[$-0E0000]yyyy-mm-dd")</f>
        <v/>
      </c>
      <c r="C73144" t="inlineStr">
        <is>
          <t>2100-02-25</t>
        </is>
      </c>
    </row>
    <row r="73145">
      <c r="A73145" s="1" t="n">
        <v>73144</v>
      </c>
      <c r="B73145">
        <f>TEXT(73144, "[$-0E0000]yyyy-mm-dd")</f>
        <v/>
      </c>
      <c r="C73145" t="inlineStr">
        <is>
          <t>2100-02-26</t>
        </is>
      </c>
    </row>
    <row r="73146">
      <c r="A73146" s="1" t="n">
        <v>73145</v>
      </c>
      <c r="B73146">
        <f>TEXT(73145, "[$-0E0000]yyyy-mm-dd")</f>
        <v/>
      </c>
      <c r="C73146" t="inlineStr">
        <is>
          <t>2100-02-27</t>
        </is>
      </c>
    </row>
    <row r="73147">
      <c r="A73147" s="1" t="n">
        <v>73146</v>
      </c>
      <c r="B73147">
        <f>TEXT(73146, "[$-0E0000]yyyy-mm-dd")</f>
        <v/>
      </c>
      <c r="C73147" t="inlineStr">
        <is>
          <t>2100-02-28</t>
        </is>
      </c>
    </row>
    <row r="73148">
      <c r="A73148" s="1" t="n">
        <v>73147</v>
      </c>
      <c r="B73148">
        <f>TEXT(73147, "[$-0E0000]yyyy-mm-dd")</f>
        <v/>
      </c>
      <c r="C73148" t="inlineStr">
        <is>
          <t>2100-02-29</t>
        </is>
      </c>
    </row>
    <row r="73149">
      <c r="A73149" s="1" t="n">
        <v>73148</v>
      </c>
      <c r="B73149">
        <f>TEXT(73148, "[$-0E0000]yyyy-mm-dd")</f>
        <v/>
      </c>
      <c r="C73149" t="inlineStr">
        <is>
          <t>2100-02-30</t>
        </is>
      </c>
    </row>
    <row r="73150">
      <c r="A73150" s="1" t="n">
        <v>73149</v>
      </c>
      <c r="B73150">
        <f>TEXT(73149, "[$-0E0000]yyyy-mm-dd")</f>
        <v/>
      </c>
      <c r="C73150" t="inlineStr">
        <is>
          <t>2100-03-01</t>
        </is>
      </c>
    </row>
    <row r="73151">
      <c r="A73151" s="1" t="n">
        <v>73150</v>
      </c>
      <c r="B73151">
        <f>TEXT(73150, "[$-0E0000]yyyy-mm-dd")</f>
        <v/>
      </c>
      <c r="C73151" t="inlineStr">
        <is>
          <t>2100-03-02</t>
        </is>
      </c>
    </row>
    <row r="73152">
      <c r="A73152" s="1" t="n">
        <v>73151</v>
      </c>
      <c r="B73152">
        <f>TEXT(73151, "[$-0E0000]yyyy-mm-dd")</f>
        <v/>
      </c>
      <c r="C73152" t="inlineStr">
        <is>
          <t>2100-03-03</t>
        </is>
      </c>
    </row>
    <row r="73153">
      <c r="A73153" s="1" t="n">
        <v>73152</v>
      </c>
      <c r="B73153">
        <f>TEXT(73152, "[$-0E0000]yyyy-mm-dd")</f>
        <v/>
      </c>
      <c r="C73153" t="inlineStr">
        <is>
          <t>2100-03-04</t>
        </is>
      </c>
    </row>
    <row r="73154">
      <c r="A73154" s="1" t="n">
        <v>73153</v>
      </c>
      <c r="B73154">
        <f>TEXT(73153, "[$-0E0000]yyyy-mm-dd")</f>
        <v/>
      </c>
      <c r="C73154" t="inlineStr">
        <is>
          <t>2100-03-05</t>
        </is>
      </c>
    </row>
    <row r="73155">
      <c r="A73155" s="1" t="n">
        <v>73154</v>
      </c>
      <c r="B73155">
        <f>TEXT(73154, "[$-0E0000]yyyy-mm-dd")</f>
        <v/>
      </c>
      <c r="C73155" t="inlineStr">
        <is>
          <t>2100-03-06</t>
        </is>
      </c>
    </row>
    <row r="73156">
      <c r="A73156" s="1" t="n">
        <v>73155</v>
      </c>
      <c r="B73156">
        <f>TEXT(73155, "[$-0E0000]yyyy-mm-dd")</f>
        <v/>
      </c>
      <c r="C73156" t="inlineStr">
        <is>
          <t>2100-03-07</t>
        </is>
      </c>
    </row>
    <row r="73157">
      <c r="A73157" s="1" t="n">
        <v>73156</v>
      </c>
      <c r="B73157">
        <f>TEXT(73156, "[$-0E0000]yyyy-mm-dd")</f>
        <v/>
      </c>
      <c r="C73157" t="inlineStr">
        <is>
          <t>2100-03-08</t>
        </is>
      </c>
    </row>
    <row r="73158">
      <c r="A73158" s="1" t="n">
        <v>73157</v>
      </c>
      <c r="B73158">
        <f>TEXT(73157, "[$-0E0000]yyyy-mm-dd")</f>
        <v/>
      </c>
      <c r="C73158" t="inlineStr">
        <is>
          <t>2100-03-09</t>
        </is>
      </c>
    </row>
    <row r="73159">
      <c r="A73159" s="1" t="n">
        <v>73158</v>
      </c>
      <c r="B73159">
        <f>TEXT(73158, "[$-0E0000]yyyy-mm-dd")</f>
        <v/>
      </c>
      <c r="C73159" t="inlineStr">
        <is>
          <t>2100-03-10</t>
        </is>
      </c>
    </row>
    <row r="73160">
      <c r="A73160" s="1" t="n">
        <v>73159</v>
      </c>
      <c r="B73160">
        <f>TEXT(73159, "[$-0E0000]yyyy-mm-dd")</f>
        <v/>
      </c>
      <c r="C73160" t="inlineStr">
        <is>
          <t>2100-03-11</t>
        </is>
      </c>
    </row>
    <row r="73161">
      <c r="A73161" s="1" t="n">
        <v>73160</v>
      </c>
      <c r="B73161">
        <f>TEXT(73160, "[$-0E0000]yyyy-mm-dd")</f>
        <v/>
      </c>
      <c r="C73161" t="inlineStr">
        <is>
          <t>2100-03-12</t>
        </is>
      </c>
    </row>
    <row r="73162">
      <c r="A73162" s="1" t="n">
        <v>73161</v>
      </c>
      <c r="B73162">
        <f>TEXT(73161, "[$-0E0000]yyyy-mm-dd")</f>
        <v/>
      </c>
      <c r="C73162" t="inlineStr">
        <is>
          <t>2100-03-13</t>
        </is>
      </c>
    </row>
    <row r="73163">
      <c r="A73163" s="1" t="n">
        <v>73162</v>
      </c>
      <c r="B73163">
        <f>TEXT(73162, "[$-0E0000]yyyy-mm-dd")</f>
        <v/>
      </c>
      <c r="C73163" t="inlineStr">
        <is>
          <t>2100-03-14</t>
        </is>
      </c>
    </row>
    <row r="73164">
      <c r="A73164" s="1" t="n">
        <v>73163</v>
      </c>
      <c r="B73164">
        <f>TEXT(73163, "[$-0E0000]yyyy-mm-dd")</f>
        <v/>
      </c>
      <c r="C73164" t="inlineStr">
        <is>
          <t>2100-03-15</t>
        </is>
      </c>
    </row>
    <row r="73165">
      <c r="A73165" s="1" t="n">
        <v>73164</v>
      </c>
      <c r="B73165">
        <f>TEXT(73164, "[$-0E0000]yyyy-mm-dd")</f>
        <v/>
      </c>
      <c r="C73165" t="inlineStr">
        <is>
          <t>2100-03-16</t>
        </is>
      </c>
    </row>
    <row r="73166">
      <c r="A73166" s="1" t="n">
        <v>73165</v>
      </c>
      <c r="B73166">
        <f>TEXT(73165, "[$-0E0000]yyyy-mm-dd")</f>
        <v/>
      </c>
      <c r="C73166" t="inlineStr">
        <is>
          <t>2100-03-17</t>
        </is>
      </c>
    </row>
    <row r="73167">
      <c r="A73167" s="1" t="n">
        <v>73166</v>
      </c>
      <c r="B73167">
        <f>TEXT(73166, "[$-0E0000]yyyy-mm-dd")</f>
        <v/>
      </c>
      <c r="C73167" t="inlineStr">
        <is>
          <t>2100-03-18</t>
        </is>
      </c>
    </row>
    <row r="73168">
      <c r="A73168" s="1" t="n">
        <v>73167</v>
      </c>
      <c r="B73168">
        <f>TEXT(73167, "[$-0E0000]yyyy-mm-dd")</f>
        <v/>
      </c>
      <c r="C73168" t="inlineStr">
        <is>
          <t>2100-03-19</t>
        </is>
      </c>
    </row>
    <row r="73169">
      <c r="A73169" s="1" t="n">
        <v>73168</v>
      </c>
      <c r="B73169">
        <f>TEXT(73168, "[$-0E0000]yyyy-mm-dd")</f>
        <v/>
      </c>
      <c r="C73169" t="inlineStr">
        <is>
          <t>2100-03-20</t>
        </is>
      </c>
    </row>
    <row r="73170">
      <c r="A73170" s="1" t="n">
        <v>73169</v>
      </c>
      <c r="B73170">
        <f>TEXT(73169, "[$-0E0000]yyyy-mm-dd")</f>
        <v/>
      </c>
      <c r="C73170" t="inlineStr">
        <is>
          <t>2100-03-21</t>
        </is>
      </c>
    </row>
    <row r="73171">
      <c r="A73171" s="1" t="n">
        <v>73170</v>
      </c>
      <c r="B73171">
        <f>TEXT(73170, "[$-0E0000]yyyy-mm-dd")</f>
        <v/>
      </c>
      <c r="C73171" t="inlineStr">
        <is>
          <t>2100-03-22</t>
        </is>
      </c>
    </row>
    <row r="73172">
      <c r="A73172" s="1" t="n">
        <v>73171</v>
      </c>
      <c r="B73172">
        <f>TEXT(73171, "[$-0E0000]yyyy-mm-dd")</f>
        <v/>
      </c>
      <c r="C73172" t="inlineStr">
        <is>
          <t>2100-03-23</t>
        </is>
      </c>
    </row>
    <row r="73173">
      <c r="A73173" s="1" t="n">
        <v>73172</v>
      </c>
      <c r="B73173">
        <f>TEXT(73172, "[$-0E0000]yyyy-mm-dd")</f>
        <v/>
      </c>
      <c r="C73173" t="inlineStr">
        <is>
          <t>2100-03-24</t>
        </is>
      </c>
    </row>
    <row r="73174">
      <c r="A73174" s="1" t="n">
        <v>73173</v>
      </c>
      <c r="B73174">
        <f>TEXT(73173, "[$-0E0000]yyyy-mm-dd")</f>
        <v/>
      </c>
      <c r="C73174" t="inlineStr">
        <is>
          <t>2100-03-25</t>
        </is>
      </c>
    </row>
    <row r="73175">
      <c r="A73175" s="1" t="n">
        <v>73174</v>
      </c>
      <c r="B73175">
        <f>TEXT(73174, "[$-0E0000]yyyy-mm-dd")</f>
        <v/>
      </c>
      <c r="C73175" t="inlineStr">
        <is>
          <t>2100-03-26</t>
        </is>
      </c>
    </row>
    <row r="73176">
      <c r="A73176" s="1" t="n">
        <v>73175</v>
      </c>
      <c r="B73176">
        <f>TEXT(73175, "[$-0E0000]yyyy-mm-dd")</f>
        <v/>
      </c>
      <c r="C73176" t="inlineStr">
        <is>
          <t>2100-03-27</t>
        </is>
      </c>
    </row>
    <row r="73177">
      <c r="A73177" s="1" t="n">
        <v>73176</v>
      </c>
      <c r="B73177">
        <f>TEXT(73176, "[$-0E0000]yyyy-mm-dd")</f>
        <v/>
      </c>
      <c r="C73177" t="inlineStr">
        <is>
          <t>2100-03-28</t>
        </is>
      </c>
    </row>
    <row r="73178">
      <c r="A73178" s="1" t="n">
        <v>73177</v>
      </c>
      <c r="B73178">
        <f>TEXT(73177, "[$-0E0000]yyyy-mm-dd")</f>
        <v/>
      </c>
      <c r="C73178" t="inlineStr">
        <is>
          <t>2100-03-29</t>
        </is>
      </c>
    </row>
    <row r="73179">
      <c r="A73179" s="1" t="n">
        <v>73178</v>
      </c>
      <c r="B73179">
        <f>TEXT(73178, "[$-0E0000]yyyy-mm-dd")</f>
        <v/>
      </c>
      <c r="C73179" t="inlineStr">
        <is>
          <t>2100-04-01</t>
        </is>
      </c>
    </row>
    <row r="73180">
      <c r="A73180" s="1" t="n">
        <v>73179</v>
      </c>
      <c r="B73180">
        <f>TEXT(73179, "[$-0E0000]yyyy-mm-dd")</f>
        <v/>
      </c>
      <c r="C73180" t="inlineStr">
        <is>
          <t>2100-04-02</t>
        </is>
      </c>
    </row>
    <row r="73181">
      <c r="A73181" s="1" t="n">
        <v>73180</v>
      </c>
      <c r="B73181">
        <f>TEXT(73180, "[$-0E0000]yyyy-mm-dd")</f>
        <v/>
      </c>
      <c r="C73181" t="inlineStr">
        <is>
          <t>2100-04-03</t>
        </is>
      </c>
    </row>
    <row r="73182">
      <c r="A73182" s="1" t="n">
        <v>73181</v>
      </c>
      <c r="B73182">
        <f>TEXT(73181, "[$-0E0000]yyyy-mm-dd")</f>
        <v/>
      </c>
      <c r="C73182" t="inlineStr">
        <is>
          <t>2100-04-04</t>
        </is>
      </c>
    </row>
    <row r="73183">
      <c r="A73183" s="1" t="n">
        <v>73182</v>
      </c>
      <c r="B73183">
        <f>TEXT(73182, "[$-0E0000]yyyy-mm-dd")</f>
        <v/>
      </c>
      <c r="C73183" t="inlineStr">
        <is>
          <t>2100-04-05</t>
        </is>
      </c>
    </row>
    <row r="73184">
      <c r="A73184" s="1" t="n">
        <v>73183</v>
      </c>
      <c r="B73184">
        <f>TEXT(73183, "[$-0E0000]yyyy-mm-dd")</f>
        <v/>
      </c>
      <c r="C73184" t="inlineStr">
        <is>
          <t>2100-04-06</t>
        </is>
      </c>
    </row>
    <row r="73185">
      <c r="A73185" s="1" t="n">
        <v>73184</v>
      </c>
      <c r="B73185">
        <f>TEXT(73184, "[$-0E0000]yyyy-mm-dd")</f>
        <v/>
      </c>
      <c r="C73185" t="inlineStr">
        <is>
          <t>2100-04-07</t>
        </is>
      </c>
    </row>
    <row r="73186">
      <c r="A73186" s="1" t="n">
        <v>73185</v>
      </c>
      <c r="B73186">
        <f>TEXT(73185, "[$-0E0000]yyyy-mm-dd")</f>
        <v/>
      </c>
      <c r="C73186" t="inlineStr">
        <is>
          <t>2100-04-08</t>
        </is>
      </c>
    </row>
    <row r="73187">
      <c r="A73187" s="1" t="n">
        <v>73186</v>
      </c>
      <c r="B73187">
        <f>TEXT(73186, "[$-0E0000]yyyy-mm-dd")</f>
        <v/>
      </c>
      <c r="C73187" t="inlineStr">
        <is>
          <t>2100-04-09</t>
        </is>
      </c>
    </row>
    <row r="73188">
      <c r="A73188" s="1" t="n">
        <v>73187</v>
      </c>
      <c r="B73188">
        <f>TEXT(73187, "[$-0E0000]yyyy-mm-dd")</f>
        <v/>
      </c>
      <c r="C73188" t="inlineStr">
        <is>
          <t>2100-04-10</t>
        </is>
      </c>
    </row>
    <row r="73189">
      <c r="A73189" s="1" t="n">
        <v>73188</v>
      </c>
      <c r="B73189">
        <f>TEXT(73188, "[$-0E0000]yyyy-mm-dd")</f>
        <v/>
      </c>
      <c r="C73189" t="inlineStr">
        <is>
          <t>2100-04-11</t>
        </is>
      </c>
    </row>
    <row r="73190">
      <c r="A73190" s="1" t="n">
        <v>73189</v>
      </c>
      <c r="B73190">
        <f>TEXT(73189, "[$-0E0000]yyyy-mm-dd")</f>
        <v/>
      </c>
      <c r="C73190" t="inlineStr">
        <is>
          <t>2100-04-12</t>
        </is>
      </c>
    </row>
    <row r="73191">
      <c r="A73191" s="1" t="n">
        <v>73190</v>
      </c>
      <c r="B73191">
        <f>TEXT(73190, "[$-0E0000]yyyy-mm-dd")</f>
        <v/>
      </c>
      <c r="C73191" t="inlineStr">
        <is>
          <t>2100-04-13</t>
        </is>
      </c>
    </row>
    <row r="73192">
      <c r="A73192" s="1" t="n">
        <v>73191</v>
      </c>
      <c r="B73192">
        <f>TEXT(73191, "[$-0E0000]yyyy-mm-dd")</f>
        <v/>
      </c>
      <c r="C73192" t="inlineStr">
        <is>
          <t>2100-04-14</t>
        </is>
      </c>
    </row>
    <row r="73193">
      <c r="A73193" s="1" t="n">
        <v>73192</v>
      </c>
      <c r="B73193">
        <f>TEXT(73192, "[$-0E0000]yyyy-mm-dd")</f>
        <v/>
      </c>
      <c r="C73193" t="inlineStr">
        <is>
          <t>2100-04-15</t>
        </is>
      </c>
    </row>
    <row r="73194">
      <c r="A73194" s="1" t="n">
        <v>73193</v>
      </c>
      <c r="B73194">
        <f>TEXT(73193, "[$-0E0000]yyyy-mm-dd")</f>
        <v/>
      </c>
      <c r="C73194" t="inlineStr">
        <is>
          <t>2100-04-16</t>
        </is>
      </c>
    </row>
    <row r="73195">
      <c r="A73195" s="1" t="n">
        <v>73194</v>
      </c>
      <c r="B73195">
        <f>TEXT(73194, "[$-0E0000]yyyy-mm-dd")</f>
        <v/>
      </c>
      <c r="C73195" t="inlineStr">
        <is>
          <t>2100-04-17</t>
        </is>
      </c>
    </row>
    <row r="73196">
      <c r="A73196" s="1" t="n">
        <v>73195</v>
      </c>
      <c r="B73196">
        <f>TEXT(73195, "[$-0E0000]yyyy-mm-dd")</f>
        <v/>
      </c>
      <c r="C73196" t="inlineStr">
        <is>
          <t>2100-04-18</t>
        </is>
      </c>
    </row>
    <row r="73197">
      <c r="A73197" s="1" t="n">
        <v>73196</v>
      </c>
      <c r="B73197">
        <f>TEXT(73196, "[$-0E0000]yyyy-mm-dd")</f>
        <v/>
      </c>
      <c r="C73197" t="inlineStr">
        <is>
          <t>2100-04-19</t>
        </is>
      </c>
    </row>
    <row r="73198">
      <c r="A73198" s="1" t="n">
        <v>73197</v>
      </c>
      <c r="B73198">
        <f>TEXT(73197, "[$-0E0000]yyyy-mm-dd")</f>
        <v/>
      </c>
      <c r="C73198" t="inlineStr">
        <is>
          <t>2100-04-20</t>
        </is>
      </c>
    </row>
    <row r="73199">
      <c r="A73199" s="1" t="n">
        <v>73198</v>
      </c>
      <c r="B73199">
        <f>TEXT(73198, "[$-0E0000]yyyy-mm-dd")</f>
        <v/>
      </c>
      <c r="C73199" t="inlineStr">
        <is>
          <t>2100-04-21</t>
        </is>
      </c>
    </row>
    <row r="73200">
      <c r="A73200" s="1" t="n">
        <v>73199</v>
      </c>
      <c r="B73200">
        <f>TEXT(73199, "[$-0E0000]yyyy-mm-dd")</f>
        <v/>
      </c>
      <c r="C73200" t="inlineStr">
        <is>
          <t>2100-04-22</t>
        </is>
      </c>
    </row>
    <row r="73201">
      <c r="A73201" s="1" t="n">
        <v>73200</v>
      </c>
      <c r="B73201">
        <f>TEXT(73200, "[$-0E0000]yyyy-mm-dd")</f>
        <v/>
      </c>
      <c r="C73201" t="inlineStr">
        <is>
          <t>2100-04-23</t>
        </is>
      </c>
    </row>
    <row r="73202">
      <c r="A73202" s="1" t="n">
        <v>73201</v>
      </c>
      <c r="B73202">
        <f>TEXT(73201, "[$-0E0000]yyyy-mm-dd")</f>
        <v/>
      </c>
      <c r="C73202" t="inlineStr">
        <is>
          <t>2100-04-24</t>
        </is>
      </c>
    </row>
    <row r="73203">
      <c r="A73203" s="1" t="n">
        <v>73202</v>
      </c>
      <c r="B73203">
        <f>TEXT(73202, "[$-0E0000]yyyy-mm-dd")</f>
        <v/>
      </c>
      <c r="C73203" t="inlineStr">
        <is>
          <t>2100-04-25</t>
        </is>
      </c>
    </row>
    <row r="73204">
      <c r="A73204" s="1" t="n">
        <v>73203</v>
      </c>
      <c r="B73204">
        <f>TEXT(73203, "[$-0E0000]yyyy-mm-dd")</f>
        <v/>
      </c>
      <c r="C73204" t="inlineStr">
        <is>
          <t>2100-04-26</t>
        </is>
      </c>
    </row>
    <row r="73205">
      <c r="A73205" s="1" t="n">
        <v>73204</v>
      </c>
      <c r="B73205">
        <f>TEXT(73204, "[$-0E0000]yyyy-mm-dd")</f>
        <v/>
      </c>
      <c r="C73205" t="inlineStr">
        <is>
          <t>2100-04-27</t>
        </is>
      </c>
    </row>
    <row r="73206">
      <c r="A73206" s="1" t="n">
        <v>73205</v>
      </c>
      <c r="B73206">
        <f>TEXT(73205, "[$-0E0000]yyyy-mm-dd")</f>
        <v/>
      </c>
      <c r="C73206" t="inlineStr">
        <is>
          <t>2100-04-28</t>
        </is>
      </c>
    </row>
    <row r="73207">
      <c r="A73207" s="1" t="n">
        <v>73206</v>
      </c>
      <c r="B73207">
        <f>TEXT(73206, "[$-0E0000]yyyy-mm-dd")</f>
        <v/>
      </c>
      <c r="C73207" t="inlineStr">
        <is>
          <t>2100-04-29</t>
        </is>
      </c>
    </row>
    <row r="73208">
      <c r="A73208" s="1" t="n">
        <v>73207</v>
      </c>
      <c r="B73208">
        <f>TEXT(73207, "[$-0E0000]yyyy-mm-dd")</f>
        <v/>
      </c>
      <c r="C73208" t="inlineStr">
        <is>
          <t>2100-04-30</t>
        </is>
      </c>
    </row>
    <row r="73209">
      <c r="A73209" s="1" t="n">
        <v>73208</v>
      </c>
      <c r="B73209">
        <f>TEXT(73208, "[$-0E0000]yyyy-mm-dd")</f>
        <v/>
      </c>
      <c r="C73209" t="inlineStr">
        <is>
          <t>2100-05-01</t>
        </is>
      </c>
    </row>
    <row r="73210">
      <c r="A73210" s="1" t="n">
        <v>73209</v>
      </c>
      <c r="B73210">
        <f>TEXT(73209, "[$-0E0000]yyyy-mm-dd")</f>
        <v/>
      </c>
      <c r="C73210" t="inlineStr">
        <is>
          <t>2100-05-02</t>
        </is>
      </c>
    </row>
    <row r="73211">
      <c r="A73211" s="1" t="n">
        <v>73210</v>
      </c>
      <c r="B73211">
        <f>TEXT(73210, "[$-0E0000]yyyy-mm-dd")</f>
        <v/>
      </c>
      <c r="C73211" t="inlineStr">
        <is>
          <t>2100-05-03</t>
        </is>
      </c>
    </row>
    <row r="73212">
      <c r="A73212" s="1" t="n">
        <v>73211</v>
      </c>
      <c r="B73212">
        <f>TEXT(73211, "[$-0E0000]yyyy-mm-dd")</f>
        <v/>
      </c>
      <c r="C73212" t="inlineStr">
        <is>
          <t>2100-05-04</t>
        </is>
      </c>
    </row>
    <row r="73213">
      <c r="A73213" s="1" t="n">
        <v>73212</v>
      </c>
      <c r="B73213">
        <f>TEXT(73212, "[$-0E0000]yyyy-mm-dd")</f>
        <v/>
      </c>
      <c r="C73213" t="inlineStr">
        <is>
          <t>2100-05-05</t>
        </is>
      </c>
    </row>
    <row r="73214">
      <c r="A73214" s="1" t="n">
        <v>73213</v>
      </c>
      <c r="B73214">
        <f>TEXT(73213, "[$-0E0000]yyyy-mm-dd")</f>
        <v/>
      </c>
      <c r="C73214" t="inlineStr">
        <is>
          <t>2100-05-06</t>
        </is>
      </c>
    </row>
    <row r="73215">
      <c r="A73215" s="1" t="n">
        <v>73214</v>
      </c>
      <c r="B73215">
        <f>TEXT(73214, "[$-0E0000]yyyy-mm-dd")</f>
        <v/>
      </c>
      <c r="C73215" t="inlineStr">
        <is>
          <t>2100-05-07</t>
        </is>
      </c>
    </row>
    <row r="73216">
      <c r="A73216" s="1" t="n">
        <v>73215</v>
      </c>
      <c r="B73216">
        <f>TEXT(73215, "[$-0E0000]yyyy-mm-dd")</f>
        <v/>
      </c>
      <c r="C73216" t="inlineStr">
        <is>
          <t>2100-05-08</t>
        </is>
      </c>
    </row>
    <row r="73217">
      <c r="A73217" s="1" t="n">
        <v>73216</v>
      </c>
      <c r="B73217">
        <f>TEXT(73216, "[$-0E0000]yyyy-mm-dd")</f>
        <v/>
      </c>
      <c r="C73217" t="inlineStr">
        <is>
          <t>2100-05-09</t>
        </is>
      </c>
    </row>
    <row r="73218">
      <c r="A73218" s="1" t="n">
        <v>73217</v>
      </c>
      <c r="B73218">
        <f>TEXT(73217, "[$-0E0000]yyyy-mm-dd")</f>
        <v/>
      </c>
      <c r="C73218" t="inlineStr">
        <is>
          <t>2100-05-10</t>
        </is>
      </c>
    </row>
    <row r="73219">
      <c r="A73219" s="1" t="n">
        <v>73218</v>
      </c>
      <c r="B73219">
        <f>TEXT(73218, "[$-0E0000]yyyy-mm-dd")</f>
        <v/>
      </c>
      <c r="C73219" t="inlineStr">
        <is>
          <t>2100-05-11</t>
        </is>
      </c>
    </row>
    <row r="73220">
      <c r="A73220" s="1" t="n">
        <v>73219</v>
      </c>
      <c r="B73220">
        <f>TEXT(73219, "[$-0E0000]yyyy-mm-dd")</f>
        <v/>
      </c>
      <c r="C73220" t="inlineStr">
        <is>
          <t>2100-05-12</t>
        </is>
      </c>
    </row>
    <row r="73221">
      <c r="A73221" s="1" t="n">
        <v>73220</v>
      </c>
      <c r="B73221">
        <f>TEXT(73220, "[$-0E0000]yyyy-mm-dd")</f>
        <v/>
      </c>
      <c r="C73221" t="inlineStr">
        <is>
          <t>2100-05-13</t>
        </is>
      </c>
    </row>
    <row r="73222">
      <c r="A73222" s="1" t="n">
        <v>73221</v>
      </c>
      <c r="B73222">
        <f>TEXT(73221, "[$-0E0000]yyyy-mm-dd")</f>
        <v/>
      </c>
      <c r="C73222" t="inlineStr">
        <is>
          <t>2100-05-14</t>
        </is>
      </c>
    </row>
    <row r="73223">
      <c r="A73223" s="1" t="n">
        <v>73222</v>
      </c>
      <c r="B73223">
        <f>TEXT(73222, "[$-0E0000]yyyy-mm-dd")</f>
        <v/>
      </c>
      <c r="C73223" t="inlineStr">
        <is>
          <t>2100-05-15</t>
        </is>
      </c>
    </row>
    <row r="73224">
      <c r="A73224" s="1" t="n">
        <v>73223</v>
      </c>
      <c r="B73224">
        <f>TEXT(73223, "[$-0E0000]yyyy-mm-dd")</f>
        <v/>
      </c>
      <c r="C73224" t="inlineStr">
        <is>
          <t>2100-05-16</t>
        </is>
      </c>
    </row>
    <row r="73225">
      <c r="A73225" s="1" t="n">
        <v>73224</v>
      </c>
      <c r="B73225">
        <f>TEXT(73224, "[$-0E0000]yyyy-mm-dd")</f>
        <v/>
      </c>
      <c r="C73225" t="inlineStr">
        <is>
          <t>2100-05-17</t>
        </is>
      </c>
    </row>
    <row r="73226">
      <c r="A73226" s="1" t="n">
        <v>73225</v>
      </c>
      <c r="B73226">
        <f>TEXT(73225, "[$-0E0000]yyyy-mm-dd")</f>
        <v/>
      </c>
      <c r="C73226" t="inlineStr">
        <is>
          <t>2100-05-18</t>
        </is>
      </c>
    </row>
    <row r="73227">
      <c r="A73227" s="1" t="n">
        <v>73226</v>
      </c>
      <c r="B73227">
        <f>TEXT(73226, "[$-0E0000]yyyy-mm-dd")</f>
        <v/>
      </c>
      <c r="C73227" t="inlineStr">
        <is>
          <t>2100-05-19</t>
        </is>
      </c>
    </row>
    <row r="73228">
      <c r="A73228" s="1" t="n">
        <v>73227</v>
      </c>
      <c r="B73228">
        <f>TEXT(73227, "[$-0E0000]yyyy-mm-dd")</f>
        <v/>
      </c>
      <c r="C73228" t="inlineStr">
        <is>
          <t>2100-05-20</t>
        </is>
      </c>
    </row>
    <row r="73229">
      <c r="A73229" s="1" t="n">
        <v>73228</v>
      </c>
      <c r="B73229">
        <f>TEXT(73228, "[$-0E0000]yyyy-mm-dd")</f>
        <v/>
      </c>
      <c r="C73229" t="inlineStr">
        <is>
          <t>2100-05-21</t>
        </is>
      </c>
    </row>
    <row r="73230">
      <c r="A73230" s="1" t="n">
        <v>73229</v>
      </c>
      <c r="B73230">
        <f>TEXT(73229, "[$-0E0000]yyyy-mm-dd")</f>
        <v/>
      </c>
      <c r="C73230" t="inlineStr">
        <is>
          <t>2100-05-22</t>
        </is>
      </c>
    </row>
    <row r="73231">
      <c r="A73231" s="1" t="n">
        <v>73230</v>
      </c>
      <c r="B73231">
        <f>TEXT(73230, "[$-0E0000]yyyy-mm-dd")</f>
        <v/>
      </c>
      <c r="C73231" t="inlineStr">
        <is>
          <t>2100-05-23</t>
        </is>
      </c>
    </row>
    <row r="73232">
      <c r="A73232" s="1" t="n">
        <v>73231</v>
      </c>
      <c r="B73232">
        <f>TEXT(73231, "[$-0E0000]yyyy-mm-dd")</f>
        <v/>
      </c>
      <c r="C73232" t="inlineStr">
        <is>
          <t>2100-05-24</t>
        </is>
      </c>
    </row>
    <row r="73233">
      <c r="A73233" s="1" t="n">
        <v>73232</v>
      </c>
      <c r="B73233">
        <f>TEXT(73232, "[$-0E0000]yyyy-mm-dd")</f>
        <v/>
      </c>
      <c r="C73233" t="inlineStr">
        <is>
          <t>2100-05-25</t>
        </is>
      </c>
    </row>
    <row r="73234">
      <c r="A73234" s="1" t="n">
        <v>73233</v>
      </c>
      <c r="B73234">
        <f>TEXT(73233, "[$-0E0000]yyyy-mm-dd")</f>
        <v/>
      </c>
      <c r="C73234" t="inlineStr">
        <is>
          <t>2100-05-26</t>
        </is>
      </c>
    </row>
    <row r="73235">
      <c r="A73235" s="1" t="n">
        <v>73234</v>
      </c>
      <c r="B73235">
        <f>TEXT(73234, "[$-0E0000]yyyy-mm-dd")</f>
        <v/>
      </c>
      <c r="C73235" t="inlineStr">
        <is>
          <t>2100-05-27</t>
        </is>
      </c>
    </row>
    <row r="73236">
      <c r="A73236" s="1" t="n">
        <v>73235</v>
      </c>
      <c r="B73236">
        <f>TEXT(73235, "[$-0E0000]yyyy-mm-dd")</f>
        <v/>
      </c>
      <c r="C73236" t="inlineStr">
        <is>
          <t>2100-05-28</t>
        </is>
      </c>
    </row>
    <row r="73237">
      <c r="A73237" s="1" t="n">
        <v>73236</v>
      </c>
      <c r="B73237">
        <f>TEXT(73236, "[$-0E0000]yyyy-mm-dd")</f>
        <v/>
      </c>
      <c r="C73237" t="inlineStr">
        <is>
          <t>2100-05-29</t>
        </is>
      </c>
    </row>
    <row r="73238">
      <c r="A73238" s="1" t="n">
        <v>73237</v>
      </c>
      <c r="B73238">
        <f>TEXT(73237, "[$-0E0000]yyyy-mm-dd")</f>
        <v/>
      </c>
      <c r="C73238" t="inlineStr">
        <is>
          <t>2100-06-01</t>
        </is>
      </c>
    </row>
    <row r="73239">
      <c r="A73239" s="1" t="n">
        <v>73238</v>
      </c>
      <c r="B73239">
        <f>TEXT(73238, "[$-0E0000]yyyy-mm-dd")</f>
        <v/>
      </c>
      <c r="C73239" t="inlineStr">
        <is>
          <t>2100-06-02</t>
        </is>
      </c>
    </row>
    <row r="73240">
      <c r="A73240" s="1" t="n">
        <v>73239</v>
      </c>
      <c r="B73240">
        <f>TEXT(73239, "[$-0E0000]yyyy-mm-dd")</f>
        <v/>
      </c>
      <c r="C73240" t="inlineStr">
        <is>
          <t>2100-06-03</t>
        </is>
      </c>
    </row>
    <row r="73241">
      <c r="A73241" s="1" t="n">
        <v>73240</v>
      </c>
      <c r="B73241">
        <f>TEXT(73240, "[$-0E0000]yyyy-mm-dd")</f>
        <v/>
      </c>
      <c r="C73241" t="inlineStr">
        <is>
          <t>2100-06-04</t>
        </is>
      </c>
    </row>
    <row r="73242">
      <c r="A73242" s="1" t="n">
        <v>73241</v>
      </c>
      <c r="B73242">
        <f>TEXT(73241, "[$-0E0000]yyyy-mm-dd")</f>
        <v/>
      </c>
      <c r="C73242" t="inlineStr">
        <is>
          <t>2100-06-05</t>
        </is>
      </c>
    </row>
    <row r="73243">
      <c r="A73243" s="1" t="n">
        <v>73242</v>
      </c>
      <c r="B73243">
        <f>TEXT(73242, "[$-0E0000]yyyy-mm-dd")</f>
        <v/>
      </c>
      <c r="C73243" t="inlineStr">
        <is>
          <t>2100-06-06</t>
        </is>
      </c>
    </row>
    <row r="73244">
      <c r="A73244" s="1" t="n">
        <v>73243</v>
      </c>
      <c r="B73244">
        <f>TEXT(73243, "[$-0E0000]yyyy-mm-dd")</f>
        <v/>
      </c>
      <c r="C73244" t="inlineStr">
        <is>
          <t>2100-06-07</t>
        </is>
      </c>
    </row>
    <row r="73245">
      <c r="A73245" s="1" t="n">
        <v>73244</v>
      </c>
      <c r="B73245">
        <f>TEXT(73244, "[$-0E0000]yyyy-mm-dd")</f>
        <v/>
      </c>
      <c r="C73245" t="inlineStr">
        <is>
          <t>2100-06-08</t>
        </is>
      </c>
    </row>
    <row r="73246">
      <c r="A73246" s="1" t="n">
        <v>73245</v>
      </c>
      <c r="B73246">
        <f>TEXT(73245, "[$-0E0000]yyyy-mm-dd")</f>
        <v/>
      </c>
      <c r="C73246" t="inlineStr">
        <is>
          <t>2100-06-09</t>
        </is>
      </c>
    </row>
    <row r="73247">
      <c r="A73247" s="1" t="n">
        <v>73246</v>
      </c>
      <c r="B73247">
        <f>TEXT(73246, "[$-0E0000]yyyy-mm-dd")</f>
        <v/>
      </c>
      <c r="C73247" t="inlineStr">
        <is>
          <t>2100-06-10</t>
        </is>
      </c>
    </row>
    <row r="73248">
      <c r="A73248" s="1" t="n">
        <v>73247</v>
      </c>
      <c r="B73248">
        <f>TEXT(73247, "[$-0E0000]yyyy-mm-dd")</f>
        <v/>
      </c>
      <c r="C73248" t="inlineStr">
        <is>
          <t>2100-06-11</t>
        </is>
      </c>
    </row>
    <row r="73249">
      <c r="A73249" s="1" t="n">
        <v>73248</v>
      </c>
      <c r="B73249">
        <f>TEXT(73248, "[$-0E0000]yyyy-mm-dd")</f>
        <v/>
      </c>
      <c r="C73249" t="inlineStr">
        <is>
          <t>2100-06-12</t>
        </is>
      </c>
    </row>
    <row r="73250">
      <c r="A73250" s="1" t="n">
        <v>73249</v>
      </c>
      <c r="B73250">
        <f>TEXT(73249, "[$-0E0000]yyyy-mm-dd")</f>
        <v/>
      </c>
      <c r="C73250" t="inlineStr">
        <is>
          <t>2100-06-13</t>
        </is>
      </c>
    </row>
    <row r="73251">
      <c r="A73251" s="1" t="n">
        <v>73250</v>
      </c>
      <c r="B73251">
        <f>TEXT(73250, "[$-0E0000]yyyy-mm-dd")</f>
        <v/>
      </c>
      <c r="C73251" t="inlineStr">
        <is>
          <t>2100-06-14</t>
        </is>
      </c>
    </row>
    <row r="73252">
      <c r="A73252" s="1" t="n">
        <v>73251</v>
      </c>
      <c r="B73252">
        <f>TEXT(73251, "[$-0E0000]yyyy-mm-dd")</f>
        <v/>
      </c>
      <c r="C73252" t="inlineStr">
        <is>
          <t>2100-06-15</t>
        </is>
      </c>
    </row>
    <row r="73253">
      <c r="A73253" s="1" t="n">
        <v>73252</v>
      </c>
      <c r="B73253">
        <f>TEXT(73252, "[$-0E0000]yyyy-mm-dd")</f>
        <v/>
      </c>
      <c r="C73253" t="inlineStr">
        <is>
          <t>2100-06-16</t>
        </is>
      </c>
    </row>
    <row r="73254">
      <c r="A73254" s="1" t="n">
        <v>73253</v>
      </c>
      <c r="B73254">
        <f>TEXT(73253, "[$-0E0000]yyyy-mm-dd")</f>
        <v/>
      </c>
      <c r="C73254" t="inlineStr">
        <is>
          <t>2100-06-17</t>
        </is>
      </c>
    </row>
    <row r="73255">
      <c r="A73255" s="1" t="n">
        <v>73254</v>
      </c>
      <c r="B73255">
        <f>TEXT(73254, "[$-0E0000]yyyy-mm-dd")</f>
        <v/>
      </c>
      <c r="C73255" t="inlineStr">
        <is>
          <t>2100-06-18</t>
        </is>
      </c>
    </row>
    <row r="73256">
      <c r="A73256" s="1" t="n">
        <v>73255</v>
      </c>
      <c r="B73256">
        <f>TEXT(73255, "[$-0E0000]yyyy-mm-dd")</f>
        <v/>
      </c>
      <c r="C73256" t="inlineStr">
        <is>
          <t>2100-06-19</t>
        </is>
      </c>
    </row>
    <row r="73257">
      <c r="A73257" s="1" t="n">
        <v>73256</v>
      </c>
      <c r="B73257">
        <f>TEXT(73256, "[$-0E0000]yyyy-mm-dd")</f>
        <v/>
      </c>
      <c r="C73257" t="inlineStr">
        <is>
          <t>2100-06-20</t>
        </is>
      </c>
    </row>
    <row r="73258">
      <c r="A73258" s="1" t="n">
        <v>73257</v>
      </c>
      <c r="B73258">
        <f>TEXT(73257, "[$-0E0000]yyyy-mm-dd")</f>
        <v/>
      </c>
      <c r="C73258" t="inlineStr">
        <is>
          <t>2100-06-21</t>
        </is>
      </c>
    </row>
    <row r="73259">
      <c r="A73259" s="1" t="n">
        <v>73258</v>
      </c>
      <c r="B73259">
        <f>TEXT(73258, "[$-0E0000]yyyy-mm-dd")</f>
        <v/>
      </c>
      <c r="C73259" t="inlineStr">
        <is>
          <t>2100-06-22</t>
        </is>
      </c>
    </row>
    <row r="73260">
      <c r="A73260" s="1" t="n">
        <v>73259</v>
      </c>
      <c r="B73260">
        <f>TEXT(73259, "[$-0E0000]yyyy-mm-dd")</f>
        <v/>
      </c>
      <c r="C73260" t="inlineStr">
        <is>
          <t>2100-06-23</t>
        </is>
      </c>
    </row>
    <row r="73261">
      <c r="A73261" s="1" t="n">
        <v>73260</v>
      </c>
      <c r="B73261">
        <f>TEXT(73260, "[$-0E0000]yyyy-mm-dd")</f>
        <v/>
      </c>
      <c r="C73261" t="inlineStr">
        <is>
          <t>2100-06-24</t>
        </is>
      </c>
    </row>
    <row r="73262">
      <c r="A73262" s="1" t="n">
        <v>73261</v>
      </c>
      <c r="B73262">
        <f>TEXT(73261, "[$-0E0000]yyyy-mm-dd")</f>
        <v/>
      </c>
      <c r="C73262" t="inlineStr">
        <is>
          <t>2100-06-25</t>
        </is>
      </c>
    </row>
    <row r="73263">
      <c r="A73263" s="1" t="n">
        <v>73262</v>
      </c>
      <c r="B73263">
        <f>TEXT(73262, "[$-0E0000]yyyy-mm-dd")</f>
        <v/>
      </c>
      <c r="C73263" t="inlineStr">
        <is>
          <t>2100-06-26</t>
        </is>
      </c>
    </row>
    <row r="73264">
      <c r="A73264" s="1" t="n">
        <v>73263</v>
      </c>
      <c r="B73264">
        <f>TEXT(73263, "[$-0E0000]yyyy-mm-dd")</f>
        <v/>
      </c>
      <c r="C73264" t="inlineStr">
        <is>
          <t>2100-06-27</t>
        </is>
      </c>
    </row>
    <row r="73265">
      <c r="A73265" s="1" t="n">
        <v>73264</v>
      </c>
      <c r="B73265">
        <f>TEXT(73264, "[$-0E0000]yyyy-mm-dd")</f>
        <v/>
      </c>
      <c r="C73265" t="inlineStr">
        <is>
          <t>2100-06-28</t>
        </is>
      </c>
    </row>
    <row r="73266">
      <c r="A73266" s="1" t="n">
        <v>73265</v>
      </c>
      <c r="B73266">
        <f>TEXT(73265, "[$-0E0000]yyyy-mm-dd")</f>
        <v/>
      </c>
      <c r="C73266" t="inlineStr">
        <is>
          <t>2100-06-29</t>
        </is>
      </c>
    </row>
    <row r="73267">
      <c r="A73267" s="1" t="n">
        <v>73266</v>
      </c>
      <c r="B73267">
        <f>TEXT(73266, "[$-0E0000]yyyy-mm-dd")</f>
        <v/>
      </c>
      <c r="C73267" t="inlineStr">
        <is>
          <t>2100-06-30</t>
        </is>
      </c>
    </row>
    <row r="73268">
      <c r="A73268" s="1" t="n">
        <v>73267</v>
      </c>
      <c r="B73268">
        <f>TEXT(73267, "[$-0E0000]yyyy-mm-dd")</f>
        <v/>
      </c>
      <c r="C73268" t="inlineStr">
        <is>
          <t>2100-07-01</t>
        </is>
      </c>
    </row>
    <row r="73269">
      <c r="A73269" s="1" t="n">
        <v>73268</v>
      </c>
      <c r="B73269">
        <f>TEXT(73268, "[$-0E0000]yyyy-mm-dd")</f>
        <v/>
      </c>
      <c r="C73269" t="inlineStr">
        <is>
          <t>2100-07-02</t>
        </is>
      </c>
    </row>
    <row r="73270">
      <c r="A73270" s="1" t="n">
        <v>73269</v>
      </c>
      <c r="B73270">
        <f>TEXT(73269, "[$-0E0000]yyyy-mm-dd")</f>
        <v/>
      </c>
      <c r="C73270" t="inlineStr">
        <is>
          <t>2100-07-03</t>
        </is>
      </c>
    </row>
    <row r="73271">
      <c r="A73271" s="1" t="n">
        <v>73270</v>
      </c>
      <c r="B73271">
        <f>TEXT(73270, "[$-0E0000]yyyy-mm-dd")</f>
        <v/>
      </c>
      <c r="C73271" t="inlineStr">
        <is>
          <t>2100-07-04</t>
        </is>
      </c>
    </row>
    <row r="73272">
      <c r="A73272" s="1" t="n">
        <v>73271</v>
      </c>
      <c r="B73272">
        <f>TEXT(73271, "[$-0E0000]yyyy-mm-dd")</f>
        <v/>
      </c>
      <c r="C73272" t="inlineStr">
        <is>
          <t>2100-07-05</t>
        </is>
      </c>
    </row>
    <row r="73273">
      <c r="A73273" s="1" t="n">
        <v>73272</v>
      </c>
      <c r="B73273">
        <f>TEXT(73272, "[$-0E0000]yyyy-mm-dd")</f>
        <v/>
      </c>
      <c r="C73273" t="inlineStr">
        <is>
          <t>2100-07-06</t>
        </is>
      </c>
    </row>
    <row r="73274">
      <c r="A73274" s="1" t="n">
        <v>73273</v>
      </c>
      <c r="B73274">
        <f>TEXT(73273, "[$-0E0000]yyyy-mm-dd")</f>
        <v/>
      </c>
      <c r="C73274" t="inlineStr">
        <is>
          <t>2100-07-07</t>
        </is>
      </c>
    </row>
    <row r="73275">
      <c r="A73275" s="1" t="n">
        <v>73274</v>
      </c>
      <c r="B73275">
        <f>TEXT(73274, "[$-0E0000]yyyy-mm-dd")</f>
        <v/>
      </c>
      <c r="C73275" t="inlineStr">
        <is>
          <t>2100-07-08</t>
        </is>
      </c>
    </row>
    <row r="73276">
      <c r="A73276" s="1" t="n">
        <v>73275</v>
      </c>
      <c r="B73276">
        <f>TEXT(73275, "[$-0E0000]yyyy-mm-dd")</f>
        <v/>
      </c>
      <c r="C73276" t="inlineStr">
        <is>
          <t>2100-07-09</t>
        </is>
      </c>
    </row>
    <row r="73277">
      <c r="A73277" s="1" t="n">
        <v>73276</v>
      </c>
      <c r="B73277">
        <f>TEXT(73276, "[$-0E0000]yyyy-mm-dd")</f>
        <v/>
      </c>
      <c r="C73277" t="inlineStr">
        <is>
          <t>2100-07-10</t>
        </is>
      </c>
    </row>
    <row r="73278">
      <c r="A73278" s="1" t="n">
        <v>73277</v>
      </c>
      <c r="B73278">
        <f>TEXT(73277, "[$-0E0000]yyyy-mm-dd")</f>
        <v/>
      </c>
      <c r="C73278" t="inlineStr">
        <is>
          <t>2100-07-11</t>
        </is>
      </c>
    </row>
    <row r="73279">
      <c r="A73279" s="1" t="n">
        <v>73278</v>
      </c>
      <c r="B73279">
        <f>TEXT(73278, "[$-0E0000]yyyy-mm-dd")</f>
        <v/>
      </c>
      <c r="C73279" t="inlineStr">
        <is>
          <t>2100-07-12</t>
        </is>
      </c>
    </row>
    <row r="73280">
      <c r="A73280" s="1" t="n">
        <v>73279</v>
      </c>
      <c r="B73280">
        <f>TEXT(73279, "[$-0E0000]yyyy-mm-dd")</f>
        <v/>
      </c>
      <c r="C73280" t="inlineStr">
        <is>
          <t>2100-07-13</t>
        </is>
      </c>
    </row>
    <row r="73281">
      <c r="A73281" s="1" t="n">
        <v>73280</v>
      </c>
      <c r="B73281">
        <f>TEXT(73280, "[$-0E0000]yyyy-mm-dd")</f>
        <v/>
      </c>
      <c r="C73281" t="inlineStr">
        <is>
          <t>2100-07-14</t>
        </is>
      </c>
    </row>
    <row r="73282">
      <c r="A73282" s="1" t="n">
        <v>73281</v>
      </c>
      <c r="B73282">
        <f>TEXT(73281, "[$-0E0000]yyyy-mm-dd")</f>
        <v/>
      </c>
      <c r="C73282" t="inlineStr">
        <is>
          <t>2100-07-15</t>
        </is>
      </c>
    </row>
    <row r="73283">
      <c r="A73283" s="1" t="n">
        <v>73282</v>
      </c>
      <c r="B73283">
        <f>TEXT(73282, "[$-0E0000]yyyy-mm-dd")</f>
        <v/>
      </c>
      <c r="C73283" t="inlineStr">
        <is>
          <t>2100-07-16</t>
        </is>
      </c>
    </row>
    <row r="73284">
      <c r="A73284" s="1" t="n">
        <v>73283</v>
      </c>
      <c r="B73284">
        <f>TEXT(73283, "[$-0E0000]yyyy-mm-dd")</f>
        <v/>
      </c>
      <c r="C73284" t="inlineStr">
        <is>
          <t>2100-07-17</t>
        </is>
      </c>
    </row>
    <row r="73285">
      <c r="A73285" s="1" t="n">
        <v>73284</v>
      </c>
      <c r="B73285">
        <f>TEXT(73284, "[$-0E0000]yyyy-mm-dd")</f>
        <v/>
      </c>
      <c r="C73285" t="inlineStr">
        <is>
          <t>2100-07-18</t>
        </is>
      </c>
    </row>
    <row r="73286">
      <c r="A73286" s="1" t="n">
        <v>73285</v>
      </c>
      <c r="B73286">
        <f>TEXT(73285, "[$-0E0000]yyyy-mm-dd")</f>
        <v/>
      </c>
      <c r="C73286" t="inlineStr">
        <is>
          <t>2100-07-19</t>
        </is>
      </c>
    </row>
    <row r="73287">
      <c r="A73287" s="1" t="n">
        <v>73286</v>
      </c>
      <c r="B73287">
        <f>TEXT(73286, "[$-0E0000]yyyy-mm-dd")</f>
        <v/>
      </c>
      <c r="C73287" t="inlineStr">
        <is>
          <t>2100-07-20</t>
        </is>
      </c>
    </row>
    <row r="73288">
      <c r="A73288" s="1" t="n">
        <v>73287</v>
      </c>
      <c r="B73288">
        <f>TEXT(73287, "[$-0E0000]yyyy-mm-dd")</f>
        <v/>
      </c>
      <c r="C73288" t="inlineStr">
        <is>
          <t>2100-07-21</t>
        </is>
      </c>
    </row>
    <row r="73289">
      <c r="A73289" s="1" t="n">
        <v>73288</v>
      </c>
      <c r="B73289">
        <f>TEXT(73288, "[$-0E0000]yyyy-mm-dd")</f>
        <v/>
      </c>
      <c r="C73289" t="inlineStr">
        <is>
          <t>2100-07-22</t>
        </is>
      </c>
    </row>
    <row r="73290">
      <c r="A73290" s="1" t="n">
        <v>73289</v>
      </c>
      <c r="B73290">
        <f>TEXT(73289, "[$-0E0000]yyyy-mm-dd")</f>
        <v/>
      </c>
      <c r="C73290" t="inlineStr">
        <is>
          <t>2100-07-23</t>
        </is>
      </c>
    </row>
    <row r="73291">
      <c r="A73291" s="1" t="n">
        <v>73290</v>
      </c>
      <c r="B73291">
        <f>TEXT(73290, "[$-0E0000]yyyy-mm-dd")</f>
        <v/>
      </c>
      <c r="C73291" t="inlineStr">
        <is>
          <t>2100-07-24</t>
        </is>
      </c>
    </row>
    <row r="73292">
      <c r="A73292" s="1" t="n">
        <v>73291</v>
      </c>
      <c r="B73292">
        <f>TEXT(73291, "[$-0E0000]yyyy-mm-dd")</f>
        <v/>
      </c>
      <c r="C73292" t="inlineStr">
        <is>
          <t>2100-07-25</t>
        </is>
      </c>
    </row>
    <row r="73293">
      <c r="A73293" s="1" t="n">
        <v>73292</v>
      </c>
      <c r="B73293">
        <f>TEXT(73292, "[$-0E0000]yyyy-mm-dd")</f>
        <v/>
      </c>
      <c r="C73293" t="inlineStr">
        <is>
          <t>2100-07-26</t>
        </is>
      </c>
    </row>
    <row r="73294">
      <c r="A73294" s="1" t="n">
        <v>73293</v>
      </c>
      <c r="B73294">
        <f>TEXT(73293, "[$-0E0000]yyyy-mm-dd")</f>
        <v/>
      </c>
      <c r="C73294" t="inlineStr">
        <is>
          <t>2100-07-27</t>
        </is>
      </c>
    </row>
    <row r="73295">
      <c r="A73295" s="1" t="n">
        <v>73294</v>
      </c>
      <c r="B73295">
        <f>TEXT(73294, "[$-0E0000]yyyy-mm-dd")</f>
        <v/>
      </c>
      <c r="C73295" t="inlineStr">
        <is>
          <t>2100-07-28</t>
        </is>
      </c>
    </row>
    <row r="73296">
      <c r="A73296" s="1" t="n">
        <v>73295</v>
      </c>
      <c r="B73296">
        <f>TEXT(73295, "[$-0E0000]yyyy-mm-dd")</f>
        <v/>
      </c>
      <c r="C73296" t="inlineStr">
        <is>
          <t>2100-07-29</t>
        </is>
      </c>
    </row>
    <row r="73297">
      <c r="A73297" s="1" t="n">
        <v>73296</v>
      </c>
      <c r="B73297">
        <f>TEXT(73296, "[$-0E0000]yyyy-mm-dd")</f>
        <v/>
      </c>
      <c r="C73297" t="inlineStr">
        <is>
          <t>2100-08-01</t>
        </is>
      </c>
    </row>
    <row r="73298">
      <c r="A73298" s="1" t="n">
        <v>73297</v>
      </c>
      <c r="B73298">
        <f>TEXT(73297, "[$-0E0000]yyyy-mm-dd")</f>
        <v/>
      </c>
      <c r="C73298" t="inlineStr">
        <is>
          <t>2100-08-02</t>
        </is>
      </c>
    </row>
    <row r="73299">
      <c r="A73299" s="1" t="n">
        <v>73298</v>
      </c>
      <c r="B73299">
        <f>TEXT(73298, "[$-0E0000]yyyy-mm-dd")</f>
        <v/>
      </c>
      <c r="C73299" t="inlineStr">
        <is>
          <t>2100-08-03</t>
        </is>
      </c>
    </row>
    <row r="73300">
      <c r="A73300" s="1" t="n">
        <v>73299</v>
      </c>
      <c r="B73300">
        <f>TEXT(73299, "[$-0E0000]yyyy-mm-dd")</f>
        <v/>
      </c>
      <c r="C73300" t="inlineStr">
        <is>
          <t>2100-08-04</t>
        </is>
      </c>
    </row>
    <row r="73301">
      <c r="A73301" s="1" t="n">
        <v>73300</v>
      </c>
      <c r="B73301">
        <f>TEXT(73300, "[$-0E0000]yyyy-mm-dd")</f>
        <v/>
      </c>
      <c r="C73301" t="inlineStr">
        <is>
          <t>2100-08-05</t>
        </is>
      </c>
    </row>
    <row r="73302">
      <c r="A73302" s="1" t="n">
        <v>73301</v>
      </c>
      <c r="B73302">
        <f>TEXT(73301, "[$-0E0000]yyyy-mm-dd")</f>
        <v/>
      </c>
      <c r="C73302" t="inlineStr">
        <is>
          <t>2100-08-06</t>
        </is>
      </c>
    </row>
    <row r="73303">
      <c r="A73303" s="1" t="n">
        <v>73302</v>
      </c>
      <c r="B73303">
        <f>TEXT(73302, "[$-0E0000]yyyy-mm-dd")</f>
        <v/>
      </c>
      <c r="C73303" t="inlineStr">
        <is>
          <t>2100-08-07</t>
        </is>
      </c>
    </row>
    <row r="73304">
      <c r="A73304" s="1" t="n">
        <v>73303</v>
      </c>
      <c r="B73304">
        <f>TEXT(73303, "[$-0E0000]yyyy-mm-dd")</f>
        <v/>
      </c>
      <c r="C73304" t="inlineStr">
        <is>
          <t>2100-08-08</t>
        </is>
      </c>
    </row>
    <row r="73305">
      <c r="A73305" s="1" t="n">
        <v>73304</v>
      </c>
      <c r="B73305">
        <f>TEXT(73304, "[$-0E0000]yyyy-mm-dd")</f>
        <v/>
      </c>
      <c r="C73305" t="inlineStr">
        <is>
          <t>2100-08-09</t>
        </is>
      </c>
    </row>
    <row r="73306">
      <c r="A73306" s="1" t="n">
        <v>73305</v>
      </c>
      <c r="B73306">
        <f>TEXT(73305, "[$-0E0000]yyyy-mm-dd")</f>
        <v/>
      </c>
      <c r="C73306" t="inlineStr">
        <is>
          <t>2100-08-10</t>
        </is>
      </c>
    </row>
    <row r="73307">
      <c r="A73307" s="1" t="n">
        <v>73306</v>
      </c>
      <c r="B73307">
        <f>TEXT(73306, "[$-0E0000]yyyy-mm-dd")</f>
        <v/>
      </c>
      <c r="C73307" t="inlineStr">
        <is>
          <t>2100-08-11</t>
        </is>
      </c>
    </row>
    <row r="73308">
      <c r="A73308" s="1" t="n">
        <v>73307</v>
      </c>
      <c r="B73308">
        <f>TEXT(73307, "[$-0E0000]yyyy-mm-dd")</f>
        <v/>
      </c>
      <c r="C73308" t="inlineStr">
        <is>
          <t>2100-08-12</t>
        </is>
      </c>
    </row>
    <row r="73309">
      <c r="A73309" s="1" t="n">
        <v>73308</v>
      </c>
      <c r="B73309">
        <f>TEXT(73308, "[$-0E0000]yyyy-mm-dd")</f>
        <v/>
      </c>
      <c r="C73309" t="inlineStr">
        <is>
          <t>2100-08-13</t>
        </is>
      </c>
    </row>
    <row r="73310">
      <c r="A73310" s="1" t="n">
        <v>73309</v>
      </c>
      <c r="B73310">
        <f>TEXT(73309, "[$-0E0000]yyyy-mm-dd")</f>
        <v/>
      </c>
      <c r="C73310" t="inlineStr">
        <is>
          <t>2100-08-14</t>
        </is>
      </c>
    </row>
    <row r="73311">
      <c r="A73311" s="1" t="n">
        <v>73310</v>
      </c>
      <c r="B73311">
        <f>TEXT(73310, "[$-0E0000]yyyy-mm-dd")</f>
        <v/>
      </c>
      <c r="C73311" t="inlineStr">
        <is>
          <t>2100-08-15</t>
        </is>
      </c>
    </row>
    <row r="73312">
      <c r="A73312" s="1" t="n">
        <v>73311</v>
      </c>
      <c r="B73312">
        <f>TEXT(73311, "[$-0E0000]yyyy-mm-dd")</f>
        <v/>
      </c>
      <c r="C73312" t="inlineStr">
        <is>
          <t>2100-08-16</t>
        </is>
      </c>
    </row>
    <row r="73313">
      <c r="A73313" s="1" t="n">
        <v>73312</v>
      </c>
      <c r="B73313">
        <f>TEXT(73312, "[$-0E0000]yyyy-mm-dd")</f>
        <v/>
      </c>
      <c r="C73313" t="inlineStr">
        <is>
          <t>2100-08-17</t>
        </is>
      </c>
    </row>
    <row r="73314">
      <c r="A73314" s="1" t="n">
        <v>73313</v>
      </c>
      <c r="B73314">
        <f>TEXT(73313, "[$-0E0000]yyyy-mm-dd")</f>
        <v/>
      </c>
      <c r="C73314" t="inlineStr">
        <is>
          <t>2100-08-18</t>
        </is>
      </c>
    </row>
    <row r="73315">
      <c r="A73315" s="1" t="n">
        <v>73314</v>
      </c>
      <c r="B73315">
        <f>TEXT(73314, "[$-0E0000]yyyy-mm-dd")</f>
        <v/>
      </c>
      <c r="C73315" t="inlineStr">
        <is>
          <t>2100-08-19</t>
        </is>
      </c>
    </row>
    <row r="73316">
      <c r="A73316" s="1" t="n">
        <v>73315</v>
      </c>
      <c r="B73316">
        <f>TEXT(73315, "[$-0E0000]yyyy-mm-dd")</f>
        <v/>
      </c>
      <c r="C73316" t="inlineStr">
        <is>
          <t>2100-08-20</t>
        </is>
      </c>
    </row>
    <row r="73317">
      <c r="A73317" s="1" t="n">
        <v>73316</v>
      </c>
      <c r="B73317">
        <f>TEXT(73316, "[$-0E0000]yyyy-mm-dd")</f>
        <v/>
      </c>
      <c r="C73317" t="inlineStr">
        <is>
          <t>2100-08-21</t>
        </is>
      </c>
    </row>
    <row r="73318">
      <c r="A73318" s="1" t="n">
        <v>73317</v>
      </c>
      <c r="B73318">
        <f>TEXT(73317, "[$-0E0000]yyyy-mm-dd")</f>
        <v/>
      </c>
      <c r="C73318" t="inlineStr">
        <is>
          <t>2100-08-22</t>
        </is>
      </c>
    </row>
    <row r="73319">
      <c r="A73319" s="1" t="n">
        <v>73318</v>
      </c>
      <c r="B73319">
        <f>TEXT(73318, "[$-0E0000]yyyy-mm-dd")</f>
        <v/>
      </c>
      <c r="C73319" t="inlineStr">
        <is>
          <t>2100-08-23</t>
        </is>
      </c>
    </row>
    <row r="73320">
      <c r="A73320" s="1" t="n">
        <v>73319</v>
      </c>
      <c r="B73320">
        <f>TEXT(73319, "[$-0E0000]yyyy-mm-dd")</f>
        <v/>
      </c>
      <c r="C73320" t="inlineStr">
        <is>
          <t>2100-08-24</t>
        </is>
      </c>
    </row>
    <row r="73321">
      <c r="A73321" s="1" t="n">
        <v>73320</v>
      </c>
      <c r="B73321">
        <f>TEXT(73320, "[$-0E0000]yyyy-mm-dd")</f>
        <v/>
      </c>
      <c r="C73321" t="inlineStr">
        <is>
          <t>2100-08-25</t>
        </is>
      </c>
    </row>
    <row r="73322">
      <c r="A73322" s="1" t="n">
        <v>73321</v>
      </c>
      <c r="B73322">
        <f>TEXT(73321, "[$-0E0000]yyyy-mm-dd")</f>
        <v/>
      </c>
      <c r="C73322" t="inlineStr">
        <is>
          <t>2100-08-26</t>
        </is>
      </c>
    </row>
    <row r="73323">
      <c r="A73323" s="1" t="n">
        <v>73322</v>
      </c>
      <c r="B73323">
        <f>TEXT(73322, "[$-0E0000]yyyy-mm-dd")</f>
        <v/>
      </c>
      <c r="C73323" t="inlineStr">
        <is>
          <t>2100-08-27</t>
        </is>
      </c>
    </row>
    <row r="73324">
      <c r="A73324" s="1" t="n">
        <v>73323</v>
      </c>
      <c r="B73324">
        <f>TEXT(73323, "[$-0E0000]yyyy-mm-dd")</f>
        <v/>
      </c>
      <c r="C73324" t="inlineStr">
        <is>
          <t>2100-08-28</t>
        </is>
      </c>
    </row>
    <row r="73325">
      <c r="A73325" s="1" t="n">
        <v>73324</v>
      </c>
      <c r="B73325">
        <f>TEXT(73324, "[$-0E0000]yyyy-mm-dd")</f>
        <v/>
      </c>
      <c r="C73325" t="inlineStr">
        <is>
          <t>2100-08-29</t>
        </is>
      </c>
    </row>
    <row r="73326">
      <c r="A73326" s="1" t="n">
        <v>73325</v>
      </c>
      <c r="B73326">
        <f>TEXT(73325, "[$-0E0000]yyyy-mm-dd")</f>
        <v/>
      </c>
      <c r="C73326" t="inlineStr">
        <is>
          <t>2100-08-30</t>
        </is>
      </c>
    </row>
    <row r="73327">
      <c r="A73327" s="1" t="n">
        <v>73326</v>
      </c>
      <c r="B73327">
        <f>TEXT(73326, "[$-0E0000]yyyy-mm-dd")</f>
        <v/>
      </c>
      <c r="C73327" t="inlineStr">
        <is>
          <t>2100-09-01</t>
        </is>
      </c>
    </row>
    <row r="73328">
      <c r="A73328" s="1" t="n">
        <v>73327</v>
      </c>
      <c r="B73328">
        <f>TEXT(73327, "[$-0E0000]yyyy-mm-dd")</f>
        <v/>
      </c>
      <c r="C73328" t="inlineStr">
        <is>
          <t>2100-09-02</t>
        </is>
      </c>
    </row>
    <row r="73329">
      <c r="A73329" s="1" t="n">
        <v>73328</v>
      </c>
      <c r="B73329">
        <f>TEXT(73328, "[$-0E0000]yyyy-mm-dd")</f>
        <v/>
      </c>
      <c r="C73329" t="inlineStr">
        <is>
          <t>2100-09-03</t>
        </is>
      </c>
    </row>
    <row r="73330">
      <c r="A73330" s="1" t="n">
        <v>73329</v>
      </c>
      <c r="B73330">
        <f>TEXT(73329, "[$-0E0000]yyyy-mm-dd")</f>
        <v/>
      </c>
      <c r="C73330" t="inlineStr">
        <is>
          <t>2100-09-04</t>
        </is>
      </c>
    </row>
    <row r="73331">
      <c r="A73331" s="1" t="n">
        <v>73330</v>
      </c>
      <c r="B73331">
        <f>TEXT(73330, "[$-0E0000]yyyy-mm-dd")</f>
        <v/>
      </c>
      <c r="C73331" t="inlineStr">
        <is>
          <t>2100-09-05</t>
        </is>
      </c>
    </row>
    <row r="73332">
      <c r="A73332" s="1" t="n">
        <v>73331</v>
      </c>
      <c r="B73332">
        <f>TEXT(73331, "[$-0E0000]yyyy-mm-dd")</f>
        <v/>
      </c>
      <c r="C73332" t="inlineStr">
        <is>
          <t>2100-09-06</t>
        </is>
      </c>
    </row>
    <row r="73333">
      <c r="A73333" s="1" t="n">
        <v>73332</v>
      </c>
      <c r="B73333">
        <f>TEXT(73332, "[$-0E0000]yyyy-mm-dd")</f>
        <v/>
      </c>
      <c r="C73333" t="inlineStr">
        <is>
          <t>2100-09-07</t>
        </is>
      </c>
    </row>
    <row r="73334">
      <c r="A73334" s="1" t="n">
        <v>73333</v>
      </c>
      <c r="B73334">
        <f>TEXT(73333, "[$-0E0000]yyyy-mm-dd")</f>
        <v/>
      </c>
      <c r="C73334" t="inlineStr">
        <is>
          <t>2100-09-08</t>
        </is>
      </c>
    </row>
    <row r="73335">
      <c r="A73335" s="1" t="n">
        <v>73334</v>
      </c>
      <c r="B73335">
        <f>TEXT(73334, "[$-0E0000]yyyy-mm-dd")</f>
        <v/>
      </c>
      <c r="C73335" t="inlineStr">
        <is>
          <t>2100-09-09</t>
        </is>
      </c>
    </row>
    <row r="73336">
      <c r="A73336" s="1" t="n">
        <v>73335</v>
      </c>
      <c r="B73336">
        <f>TEXT(73335, "[$-0E0000]yyyy-mm-dd")</f>
        <v/>
      </c>
      <c r="C73336" t="inlineStr">
        <is>
          <t>2100-09-10</t>
        </is>
      </c>
    </row>
    <row r="73337">
      <c r="A73337" s="1" t="n">
        <v>73336</v>
      </c>
      <c r="B73337">
        <f>TEXT(73336, "[$-0E0000]yyyy-mm-dd")</f>
        <v/>
      </c>
      <c r="C73337" t="inlineStr">
        <is>
          <t>2100-09-11</t>
        </is>
      </c>
    </row>
    <row r="73338">
      <c r="A73338" s="1" t="n">
        <v>73337</v>
      </c>
      <c r="B73338">
        <f>TEXT(73337, "[$-0E0000]yyyy-mm-dd")</f>
        <v/>
      </c>
      <c r="C73338" t="inlineStr">
        <is>
          <t>2100-09-12</t>
        </is>
      </c>
    </row>
    <row r="73339">
      <c r="A73339" s="1" t="n">
        <v>73338</v>
      </c>
      <c r="B73339">
        <f>TEXT(73338, "[$-0E0000]yyyy-mm-dd")</f>
        <v/>
      </c>
      <c r="C73339" t="inlineStr">
        <is>
          <t>2100-09-13</t>
        </is>
      </c>
    </row>
    <row r="73340">
      <c r="A73340" s="1" t="n">
        <v>73339</v>
      </c>
      <c r="B73340">
        <f>TEXT(73339, "[$-0E0000]yyyy-mm-dd")</f>
        <v/>
      </c>
      <c r="C73340" t="inlineStr">
        <is>
          <t>2100-09-14</t>
        </is>
      </c>
    </row>
    <row r="73341">
      <c r="A73341" s="1" t="n">
        <v>73340</v>
      </c>
      <c r="B73341">
        <f>TEXT(73340, "[$-0E0000]yyyy-mm-dd")</f>
        <v/>
      </c>
      <c r="C73341" t="inlineStr">
        <is>
          <t>2100-09-15</t>
        </is>
      </c>
    </row>
    <row r="73342">
      <c r="A73342" s="1" t="n">
        <v>73341</v>
      </c>
      <c r="B73342">
        <f>TEXT(73341, "[$-0E0000]yyyy-mm-dd")</f>
        <v/>
      </c>
      <c r="C73342" t="inlineStr">
        <is>
          <t>2100-09-16</t>
        </is>
      </c>
    </row>
    <row r="73343">
      <c r="A73343" s="1" t="n">
        <v>73342</v>
      </c>
      <c r="B73343">
        <f>TEXT(73342, "[$-0E0000]yyyy-mm-dd")</f>
        <v/>
      </c>
      <c r="C73343" t="inlineStr">
        <is>
          <t>2100-09-17</t>
        </is>
      </c>
    </row>
    <row r="73344">
      <c r="A73344" s="1" t="n">
        <v>73343</v>
      </c>
      <c r="B73344">
        <f>TEXT(73343, "[$-0E0000]yyyy-mm-dd")</f>
        <v/>
      </c>
      <c r="C73344" t="inlineStr">
        <is>
          <t>2100-09-18</t>
        </is>
      </c>
    </row>
    <row r="73345">
      <c r="A73345" s="1" t="n">
        <v>73344</v>
      </c>
      <c r="B73345">
        <f>TEXT(73344, "[$-0E0000]yyyy-mm-dd")</f>
        <v/>
      </c>
      <c r="C73345" t="inlineStr">
        <is>
          <t>2100-09-19</t>
        </is>
      </c>
    </row>
    <row r="73346">
      <c r="A73346" s="1" t="n">
        <v>73345</v>
      </c>
      <c r="B73346">
        <f>TEXT(73345, "[$-0E0000]yyyy-mm-dd")</f>
        <v/>
      </c>
      <c r="C73346" t="inlineStr">
        <is>
          <t>2100-09-20</t>
        </is>
      </c>
    </row>
    <row r="73347">
      <c r="A73347" s="1" t="n">
        <v>73346</v>
      </c>
      <c r="B73347">
        <f>TEXT(73346, "[$-0E0000]yyyy-mm-dd")</f>
        <v/>
      </c>
      <c r="C73347" t="inlineStr">
        <is>
          <t>2100-09-21</t>
        </is>
      </c>
    </row>
    <row r="73348">
      <c r="A73348" s="1" t="n">
        <v>73347</v>
      </c>
      <c r="B73348">
        <f>TEXT(73347, "[$-0E0000]yyyy-mm-dd")</f>
        <v/>
      </c>
      <c r="C73348" t="inlineStr">
        <is>
          <t>2100-09-22</t>
        </is>
      </c>
    </row>
    <row r="73349">
      <c r="A73349" s="1" t="n">
        <v>73348</v>
      </c>
      <c r="B73349">
        <f>TEXT(73348, "[$-0E0000]yyyy-mm-dd")</f>
        <v/>
      </c>
      <c r="C73349" t="inlineStr">
        <is>
          <t>2100-09-23</t>
        </is>
      </c>
    </row>
    <row r="73350">
      <c r="A73350" s="1" t="n">
        <v>73349</v>
      </c>
      <c r="B73350">
        <f>TEXT(73349, "[$-0E0000]yyyy-mm-dd")</f>
        <v/>
      </c>
      <c r="C73350" t="inlineStr">
        <is>
          <t>2100-09-24</t>
        </is>
      </c>
    </row>
    <row r="73351">
      <c r="A73351" s="1" t="n">
        <v>73350</v>
      </c>
      <c r="B73351">
        <f>TEXT(73350, "[$-0E0000]yyyy-mm-dd")</f>
        <v/>
      </c>
      <c r="C73351" t="inlineStr">
        <is>
          <t>2100-09-25</t>
        </is>
      </c>
    </row>
    <row r="73352">
      <c r="A73352" s="1" t="n">
        <v>73351</v>
      </c>
      <c r="B73352">
        <f>TEXT(73351, "[$-0E0000]yyyy-mm-dd")</f>
        <v/>
      </c>
      <c r="C73352" t="inlineStr">
        <is>
          <t>2100-09-26</t>
        </is>
      </c>
    </row>
    <row r="73353">
      <c r="A73353" s="1" t="n">
        <v>73352</v>
      </c>
      <c r="B73353">
        <f>TEXT(73352, "[$-0E0000]yyyy-mm-dd")</f>
        <v/>
      </c>
      <c r="C73353" t="inlineStr">
        <is>
          <t>2100-09-27</t>
        </is>
      </c>
    </row>
    <row r="73354">
      <c r="A73354" s="1" t="n">
        <v>73353</v>
      </c>
      <c r="B73354">
        <f>TEXT(73353, "[$-0E0000]yyyy-mm-dd")</f>
        <v/>
      </c>
      <c r="C73354" t="inlineStr">
        <is>
          <t>2100-09-28</t>
        </is>
      </c>
    </row>
    <row r="73355">
      <c r="A73355" s="1" t="n">
        <v>73354</v>
      </c>
      <c r="B73355">
        <f>TEXT(73354, "[$-0E0000]yyyy-mm-dd")</f>
        <v/>
      </c>
      <c r="C73355" t="inlineStr">
        <is>
          <t>2100-09-29</t>
        </is>
      </c>
    </row>
    <row r="73356">
      <c r="A73356" s="1" t="n">
        <v>73355</v>
      </c>
      <c r="B73356">
        <f>TEXT(73355, "[$-0E0000]yyyy-mm-dd")</f>
        <v/>
      </c>
      <c r="C73356" t="inlineStr">
        <is>
          <t>2100-10-01</t>
        </is>
      </c>
    </row>
    <row r="73357">
      <c r="A73357" s="1" t="n">
        <v>73356</v>
      </c>
      <c r="B73357">
        <f>TEXT(73356, "[$-0E0000]yyyy-mm-dd")</f>
        <v/>
      </c>
      <c r="C73357" t="inlineStr">
        <is>
          <t>2100-10-02</t>
        </is>
      </c>
    </row>
    <row r="73358">
      <c r="A73358" s="1" t="n">
        <v>73357</v>
      </c>
      <c r="B73358">
        <f>TEXT(73357, "[$-0E0000]yyyy-mm-dd")</f>
        <v/>
      </c>
      <c r="C73358" t="inlineStr">
        <is>
          <t>2100-10-03</t>
        </is>
      </c>
    </row>
    <row r="73359">
      <c r="A73359" s="1" t="n">
        <v>73358</v>
      </c>
      <c r="B73359">
        <f>TEXT(73358, "[$-0E0000]yyyy-mm-dd")</f>
        <v/>
      </c>
      <c r="C73359" t="inlineStr">
        <is>
          <t>2100-10-04</t>
        </is>
      </c>
    </row>
    <row r="73360">
      <c r="A73360" s="1" t="n">
        <v>73359</v>
      </c>
      <c r="B73360">
        <f>TEXT(73359, "[$-0E0000]yyyy-mm-dd")</f>
        <v/>
      </c>
      <c r="C73360" t="inlineStr">
        <is>
          <t>2100-10-05</t>
        </is>
      </c>
    </row>
    <row r="73361">
      <c r="A73361" s="1" t="n">
        <v>73360</v>
      </c>
      <c r="B73361">
        <f>TEXT(73360, "[$-0E0000]yyyy-mm-dd")</f>
        <v/>
      </c>
      <c r="C73361" t="inlineStr">
        <is>
          <t>2100-10-06</t>
        </is>
      </c>
    </row>
    <row r="73362">
      <c r="A73362" s="1" t="n">
        <v>73361</v>
      </c>
      <c r="B73362">
        <f>TEXT(73361, "[$-0E0000]yyyy-mm-dd")</f>
        <v/>
      </c>
      <c r="C73362" t="inlineStr">
        <is>
          <t>2100-10-07</t>
        </is>
      </c>
    </row>
    <row r="73363">
      <c r="A73363" s="1" t="n">
        <v>73362</v>
      </c>
      <c r="B73363">
        <f>TEXT(73362, "[$-0E0000]yyyy-mm-dd")</f>
        <v/>
      </c>
      <c r="C73363" t="inlineStr">
        <is>
          <t>2100-10-08</t>
        </is>
      </c>
    </row>
    <row r="73364">
      <c r="A73364" s="1" t="n">
        <v>73363</v>
      </c>
      <c r="B73364">
        <f>TEXT(73363, "[$-0E0000]yyyy-mm-dd")</f>
        <v/>
      </c>
      <c r="C73364" t="inlineStr">
        <is>
          <t>2100-10-09</t>
        </is>
      </c>
    </row>
    <row r="73365">
      <c r="A73365" s="1" t="n">
        <v>73364</v>
      </c>
      <c r="B73365">
        <f>TEXT(73364, "[$-0E0000]yyyy-mm-dd")</f>
        <v/>
      </c>
      <c r="C73365" t="inlineStr">
        <is>
          <t>2100-10-10</t>
        </is>
      </c>
    </row>
    <row r="73366">
      <c r="A73366" s="1" t="n">
        <v>73365</v>
      </c>
      <c r="B73366">
        <f>TEXT(73365, "[$-0E0000]yyyy-mm-dd")</f>
        <v/>
      </c>
      <c r="C73366" t="inlineStr">
        <is>
          <t>2100-10-11</t>
        </is>
      </c>
    </row>
    <row r="73367">
      <c r="A73367" s="1" t="n">
        <v>73366</v>
      </c>
      <c r="B73367">
        <f>TEXT(73366, "[$-0E0000]yyyy-mm-dd")</f>
        <v/>
      </c>
      <c r="C73367" t="inlineStr">
        <is>
          <t>2100-10-12</t>
        </is>
      </c>
    </row>
    <row r="73368">
      <c r="A73368" s="1" t="n">
        <v>73367</v>
      </c>
      <c r="B73368">
        <f>TEXT(73367, "[$-0E0000]yyyy-mm-dd")</f>
        <v/>
      </c>
      <c r="C73368" t="inlineStr">
        <is>
          <t>2100-10-13</t>
        </is>
      </c>
    </row>
    <row r="73369">
      <c r="A73369" s="1" t="n">
        <v>73368</v>
      </c>
      <c r="B73369">
        <f>TEXT(73368, "[$-0E0000]yyyy-mm-dd")</f>
        <v/>
      </c>
      <c r="C73369" t="inlineStr">
        <is>
          <t>2100-10-14</t>
        </is>
      </c>
    </row>
    <row r="73370">
      <c r="A73370" s="1" t="n">
        <v>73369</v>
      </c>
      <c r="B73370">
        <f>TEXT(73369, "[$-0E0000]yyyy-mm-dd")</f>
        <v/>
      </c>
      <c r="C73370" t="inlineStr">
        <is>
          <t>2100-10-15</t>
        </is>
      </c>
    </row>
    <row r="73371">
      <c r="A73371" s="1" t="n">
        <v>73370</v>
      </c>
      <c r="B73371">
        <f>TEXT(73370, "[$-0E0000]yyyy-mm-dd")</f>
        <v/>
      </c>
      <c r="C73371" t="inlineStr">
        <is>
          <t>2100-10-16</t>
        </is>
      </c>
    </row>
    <row r="73372">
      <c r="A73372" s="1" t="n">
        <v>73371</v>
      </c>
      <c r="B73372">
        <f>TEXT(73371, "[$-0E0000]yyyy-mm-dd")</f>
        <v/>
      </c>
      <c r="C73372" t="inlineStr">
        <is>
          <t>2100-10-17</t>
        </is>
      </c>
    </row>
    <row r="73373">
      <c r="A73373" s="1" t="n">
        <v>73372</v>
      </c>
      <c r="B73373">
        <f>TEXT(73372, "[$-0E0000]yyyy-mm-dd")</f>
        <v/>
      </c>
      <c r="C73373" t="inlineStr">
        <is>
          <t>2100-10-18</t>
        </is>
      </c>
    </row>
    <row r="73374">
      <c r="A73374" s="1" t="n">
        <v>73373</v>
      </c>
      <c r="B73374">
        <f>TEXT(73373, "[$-0E0000]yyyy-mm-dd")</f>
        <v/>
      </c>
      <c r="C73374" t="inlineStr">
        <is>
          <t>2100-10-19</t>
        </is>
      </c>
    </row>
    <row r="73375">
      <c r="A73375" s="1" t="n">
        <v>73374</v>
      </c>
      <c r="B73375">
        <f>TEXT(73374, "[$-0E0000]yyyy-mm-dd")</f>
        <v/>
      </c>
      <c r="C73375" t="inlineStr">
        <is>
          <t>2100-10-20</t>
        </is>
      </c>
    </row>
    <row r="73376">
      <c r="A73376" s="1" t="n">
        <v>73375</v>
      </c>
      <c r="B73376">
        <f>TEXT(73375, "[$-0E0000]yyyy-mm-dd")</f>
        <v/>
      </c>
      <c r="C73376" t="inlineStr">
        <is>
          <t>2100-10-21</t>
        </is>
      </c>
    </row>
    <row r="73377">
      <c r="A73377" s="1" t="n">
        <v>73376</v>
      </c>
      <c r="B73377">
        <f>TEXT(73376, "[$-0E0000]yyyy-mm-dd")</f>
        <v/>
      </c>
      <c r="C73377" t="inlineStr">
        <is>
          <t>2100-10-22</t>
        </is>
      </c>
    </row>
    <row r="73378">
      <c r="A73378" s="1" t="n">
        <v>73377</v>
      </c>
      <c r="B73378">
        <f>TEXT(73377, "[$-0E0000]yyyy-mm-dd")</f>
        <v/>
      </c>
      <c r="C73378" t="inlineStr">
        <is>
          <t>2100-10-23</t>
        </is>
      </c>
    </row>
    <row r="73379">
      <c r="A73379" s="1" t="n">
        <v>73378</v>
      </c>
      <c r="B73379">
        <f>TEXT(73378, "[$-0E0000]yyyy-mm-dd")</f>
        <v/>
      </c>
      <c r="C73379" t="inlineStr">
        <is>
          <t>2100-10-24</t>
        </is>
      </c>
    </row>
    <row r="73380">
      <c r="A73380" s="1" t="n">
        <v>73379</v>
      </c>
      <c r="B73380">
        <f>TEXT(73379, "[$-0E0000]yyyy-mm-dd")</f>
        <v/>
      </c>
      <c r="C73380" t="inlineStr">
        <is>
          <t>2100-10-25</t>
        </is>
      </c>
    </row>
    <row r="73381">
      <c r="A73381" s="1" t="n">
        <v>73380</v>
      </c>
      <c r="B73381">
        <f>TEXT(73380, "[$-0E0000]yyyy-mm-dd")</f>
        <v/>
      </c>
      <c r="C73381" t="inlineStr">
        <is>
          <t>2100-10-26</t>
        </is>
      </c>
    </row>
    <row r="73382">
      <c r="A73382" s="1" t="n">
        <v>73381</v>
      </c>
      <c r="B73382">
        <f>TEXT(73381, "[$-0E0000]yyyy-mm-dd")</f>
        <v/>
      </c>
      <c r="C73382" t="inlineStr">
        <is>
          <t>2100-10-27</t>
        </is>
      </c>
    </row>
    <row r="73383">
      <c r="A73383" s="1" t="n">
        <v>73382</v>
      </c>
      <c r="B73383">
        <f>TEXT(73382, "[$-0E0000]yyyy-mm-dd")</f>
        <v/>
      </c>
      <c r="C73383" t="inlineStr">
        <is>
          <t>2100-10-28</t>
        </is>
      </c>
    </row>
    <row r="73384">
      <c r="A73384" s="1" t="n">
        <v>73383</v>
      </c>
      <c r="B73384">
        <f>TEXT(73383, "[$-0E0000]yyyy-mm-dd")</f>
        <v/>
      </c>
      <c r="C73384" t="inlineStr">
        <is>
          <t>2100-10-29</t>
        </is>
      </c>
    </row>
    <row r="73385">
      <c r="A73385" s="1" t="n">
        <v>73384</v>
      </c>
      <c r="B73385">
        <f>TEXT(73384, "[$-0E0000]yyyy-mm-dd")</f>
        <v/>
      </c>
      <c r="C73385" t="inlineStr">
        <is>
          <t>2100-11-01</t>
        </is>
      </c>
    </row>
    <row r="73386">
      <c r="A73386" s="1" t="n">
        <v>73385</v>
      </c>
      <c r="B73386">
        <f>TEXT(73385, "[$-0E0000]yyyy-mm-dd")</f>
        <v/>
      </c>
      <c r="C73386" t="inlineStr">
        <is>
          <t>2100-11-02</t>
        </is>
      </c>
    </row>
    <row r="73387">
      <c r="A73387" s="1" t="n">
        <v>73386</v>
      </c>
      <c r="B73387">
        <f>TEXT(73386, "[$-0E0000]yyyy-mm-dd")</f>
        <v/>
      </c>
      <c r="C73387" t="inlineStr">
        <is>
          <t>2100-11-03</t>
        </is>
      </c>
    </row>
    <row r="73388">
      <c r="A73388" s="1" t="n">
        <v>73387</v>
      </c>
      <c r="B73388">
        <f>TEXT(73387, "[$-0E0000]yyyy-mm-dd")</f>
        <v/>
      </c>
      <c r="C73388" t="inlineStr">
        <is>
          <t>2100-11-04</t>
        </is>
      </c>
    </row>
    <row r="73389">
      <c r="A73389" s="1" t="n">
        <v>73388</v>
      </c>
      <c r="B73389">
        <f>TEXT(73388, "[$-0E0000]yyyy-mm-dd")</f>
        <v/>
      </c>
      <c r="C73389" t="inlineStr">
        <is>
          <t>2100-11-05</t>
        </is>
      </c>
    </row>
    <row r="73390">
      <c r="A73390" s="1" t="n">
        <v>73389</v>
      </c>
      <c r="B73390">
        <f>TEXT(73389, "[$-0E0000]yyyy-mm-dd")</f>
        <v/>
      </c>
      <c r="C73390" t="inlineStr">
        <is>
          <t>2100-11-06</t>
        </is>
      </c>
    </row>
    <row r="73391">
      <c r="A73391" s="1" t="n">
        <v>73390</v>
      </c>
      <c r="B73391">
        <f>TEXT(73390, "[$-0E0000]yyyy-mm-dd")</f>
        <v/>
      </c>
      <c r="C73391" t="inlineStr">
        <is>
          <t>2100-11-07</t>
        </is>
      </c>
    </row>
    <row r="73392">
      <c r="A73392" s="1" t="n">
        <v>73391</v>
      </c>
      <c r="B73392">
        <f>TEXT(73391, "[$-0E0000]yyyy-mm-dd")</f>
        <v/>
      </c>
      <c r="C73392" t="inlineStr">
        <is>
          <t>2100-11-08</t>
        </is>
      </c>
    </row>
    <row r="73393">
      <c r="A73393" s="1" t="n">
        <v>73392</v>
      </c>
      <c r="B73393">
        <f>TEXT(73392, "[$-0E0000]yyyy-mm-dd")</f>
        <v/>
      </c>
      <c r="C73393" t="inlineStr">
        <is>
          <t>2100-11-09</t>
        </is>
      </c>
    </row>
    <row r="73394">
      <c r="A73394" s="1" t="n">
        <v>73393</v>
      </c>
      <c r="B73394">
        <f>TEXT(73393, "[$-0E0000]yyyy-mm-dd")</f>
        <v/>
      </c>
      <c r="C73394" t="inlineStr">
        <is>
          <t>2100-11-10</t>
        </is>
      </c>
    </row>
    <row r="73395">
      <c r="A73395" s="1" t="n">
        <v>73394</v>
      </c>
      <c r="B73395">
        <f>TEXT(73394, "[$-0E0000]yyyy-mm-dd")</f>
        <v/>
      </c>
      <c r="C73395" t="inlineStr">
        <is>
          <t>2100-11-11</t>
        </is>
      </c>
    </row>
    <row r="73396">
      <c r="A73396" s="1" t="n">
        <v>73395</v>
      </c>
      <c r="B73396">
        <f>TEXT(73395, "[$-0E0000]yyyy-mm-dd")</f>
        <v/>
      </c>
      <c r="C73396" t="inlineStr">
        <is>
          <t>2100-11-12</t>
        </is>
      </c>
    </row>
    <row r="73397">
      <c r="A73397" s="1" t="n">
        <v>73396</v>
      </c>
      <c r="B73397">
        <f>TEXT(73396, "[$-0E0000]yyyy-mm-dd")</f>
        <v/>
      </c>
      <c r="C73397" t="inlineStr">
        <is>
          <t>2100-11-13</t>
        </is>
      </c>
    </row>
    <row r="73398">
      <c r="A73398" s="1" t="n">
        <v>73397</v>
      </c>
      <c r="B73398">
        <f>TEXT(73397, "[$-0E0000]yyyy-mm-dd")</f>
        <v/>
      </c>
      <c r="C73398" t="inlineStr">
        <is>
          <t>2100-11-14</t>
        </is>
      </c>
    </row>
    <row r="73399">
      <c r="A73399" s="1" t="n">
        <v>73398</v>
      </c>
      <c r="B73399">
        <f>TEXT(73398, "[$-0E0000]yyyy-mm-dd")</f>
        <v/>
      </c>
      <c r="C73399" t="inlineStr">
        <is>
          <t>2100-11-15</t>
        </is>
      </c>
    </row>
    <row r="73400">
      <c r="A73400" s="1" t="n">
        <v>73399</v>
      </c>
      <c r="B73400">
        <f>TEXT(73399, "[$-0E0000]yyyy-mm-dd")</f>
        <v/>
      </c>
      <c r="C73400" t="inlineStr">
        <is>
          <t>2100-11-16</t>
        </is>
      </c>
    </row>
    <row r="73401">
      <c r="A73401" s="1" t="n">
        <v>73400</v>
      </c>
      <c r="B73401">
        <f>TEXT(73400, "[$-0E0000]yyyy-mm-dd")</f>
        <v/>
      </c>
      <c r="C73401" t="inlineStr">
        <is>
          <t>2100-11-17</t>
        </is>
      </c>
    </row>
    <row r="73402">
      <c r="A73402" s="1" t="n">
        <v>73401</v>
      </c>
      <c r="B73402">
        <f>TEXT(73401, "[$-0E0000]yyyy-mm-dd")</f>
        <v/>
      </c>
      <c r="C73402" t="inlineStr">
        <is>
          <t>2100-11-18</t>
        </is>
      </c>
    </row>
    <row r="73403">
      <c r="A73403" s="1" t="n">
        <v>73402</v>
      </c>
      <c r="B73403">
        <f>TEXT(73402, "[$-0E0000]yyyy-mm-dd")</f>
        <v/>
      </c>
      <c r="C73403" t="inlineStr">
        <is>
          <t>2100-11-19</t>
        </is>
      </c>
    </row>
    <row r="73404">
      <c r="A73404" s="1" t="n">
        <v>73403</v>
      </c>
      <c r="B73404">
        <f>TEXT(73403, "[$-0E0000]yyyy-mm-dd")</f>
        <v/>
      </c>
      <c r="C73404" t="inlineStr">
        <is>
          <t>2100-11-20</t>
        </is>
      </c>
    </row>
    <row r="73405">
      <c r="A73405" s="1" t="n">
        <v>73404</v>
      </c>
      <c r="B73405">
        <f>TEXT(73404, "[$-0E0000]yyyy-mm-dd")</f>
        <v/>
      </c>
      <c r="C73405" t="inlineStr">
        <is>
          <t>2100-11-21</t>
        </is>
      </c>
    </row>
    <row r="73406">
      <c r="A73406" s="1" t="n">
        <v>73405</v>
      </c>
      <c r="B73406">
        <f>TEXT(73405, "[$-0E0000]yyyy-mm-dd")</f>
        <v/>
      </c>
      <c r="C73406" t="inlineStr">
        <is>
          <t>2100-11-22</t>
        </is>
      </c>
    </row>
    <row r="73407">
      <c r="A73407" s="1" t="n">
        <v>73406</v>
      </c>
      <c r="B73407">
        <f>TEXT(73406, "[$-0E0000]yyyy-mm-dd")</f>
        <v/>
      </c>
      <c r="C73407" t="inlineStr">
        <is>
          <t>2100-11-23</t>
        </is>
      </c>
    </row>
    <row r="73408">
      <c r="A73408" s="1" t="n">
        <v>73407</v>
      </c>
      <c r="B73408">
        <f>TEXT(73407, "[$-0E0000]yyyy-mm-dd")</f>
        <v/>
      </c>
      <c r="C73408" t="inlineStr">
        <is>
          <t>2100-11-24</t>
        </is>
      </c>
    </row>
    <row r="73409">
      <c r="A73409" s="1" t="n">
        <v>73408</v>
      </c>
      <c r="B73409">
        <f>TEXT(73408, "[$-0E0000]yyyy-mm-dd")</f>
        <v/>
      </c>
      <c r="C73409" t="inlineStr">
        <is>
          <t>2100-11-25</t>
        </is>
      </c>
    </row>
    <row r="73410">
      <c r="A73410" s="1" t="n">
        <v>73409</v>
      </c>
      <c r="B73410">
        <f>TEXT(73409, "[$-0E0000]yyyy-mm-dd")</f>
        <v/>
      </c>
      <c r="C73410" t="inlineStr">
        <is>
          <t>2100-11-26</t>
        </is>
      </c>
    </row>
    <row r="73411">
      <c r="A73411" s="1" t="n">
        <v>73410</v>
      </c>
      <c r="B73411">
        <f>TEXT(73410, "[$-0E0000]yyyy-mm-dd")</f>
        <v/>
      </c>
      <c r="C73411" t="inlineStr">
        <is>
          <t>2100-11-27</t>
        </is>
      </c>
    </row>
    <row r="73412">
      <c r="A73412" s="1" t="n">
        <v>73411</v>
      </c>
      <c r="B73412">
        <f>TEXT(73411, "[$-0E0000]yyyy-mm-dd")</f>
        <v/>
      </c>
      <c r="C73412" t="inlineStr">
        <is>
          <t>2100-11-28</t>
        </is>
      </c>
    </row>
    <row r="73413">
      <c r="A73413" s="1" t="n">
        <v>73412</v>
      </c>
      <c r="B73413">
        <f>TEXT(73412, "[$-0E0000]yyyy-mm-dd")</f>
        <v/>
      </c>
      <c r="C73413" t="inlineStr">
        <is>
          <t>2100-11-29</t>
        </is>
      </c>
    </row>
    <row r="73414">
      <c r="A73414" s="1" t="n">
        <v>73413</v>
      </c>
      <c r="B73414">
        <f>TEXT(73413, "[$-0E0000]yyyy-mm-dd")</f>
        <v/>
      </c>
      <c r="C73414" t="inlineStr">
        <is>
          <t>2100-11-30</t>
        </is>
      </c>
    </row>
    <row r="73415">
      <c r="A73415" s="1" t="n">
        <v>73414</v>
      </c>
      <c r="B73415">
        <f>TEXT(73414, "[$-0E0000]yyyy-mm-dd")</f>
        <v/>
      </c>
      <c r="C73415" t="inlineStr">
        <is>
          <t>2100-12-01</t>
        </is>
      </c>
    </row>
    <row r="73416">
      <c r="A73416" s="1" t="n">
        <v>73415</v>
      </c>
      <c r="B73416">
        <f>TEXT(73415, "[$-0E0000]yyyy-mm-dd")</f>
        <v/>
      </c>
      <c r="C73416" t="inlineStr">
        <is>
          <t>2100-12-02</t>
        </is>
      </c>
    </row>
    <row r="73417">
      <c r="A73417" s="1" t="n">
        <v>73416</v>
      </c>
      <c r="B73417">
        <f>TEXT(73416, "[$-0E0000]yyyy-mm-dd")</f>
        <v/>
      </c>
      <c r="C73417" t="inlineStr">
        <is>
          <t>2100-12-03</t>
        </is>
      </c>
    </row>
    <row r="73418">
      <c r="A73418" s="1" t="n">
        <v>73417</v>
      </c>
      <c r="B73418">
        <f>TEXT(73417, "[$-0E0000]yyyy-mm-dd")</f>
        <v/>
      </c>
      <c r="C73418" t="inlineStr">
        <is>
          <t>2100-12-04</t>
        </is>
      </c>
    </row>
    <row r="73419">
      <c r="A73419" s="1" t="n">
        <v>73418</v>
      </c>
      <c r="B73419">
        <f>TEXT(73418, "[$-0E0000]yyyy-mm-dd")</f>
        <v/>
      </c>
      <c r="C73419" t="inlineStr">
        <is>
          <t>2100-12-05</t>
        </is>
      </c>
    </row>
    <row r="73420">
      <c r="A73420" s="1" t="n">
        <v>73419</v>
      </c>
      <c r="B73420">
        <f>TEXT(73419, "[$-0E0000]yyyy-mm-dd")</f>
        <v/>
      </c>
      <c r="C73420" t="inlineStr">
        <is>
          <t>2100-12-06</t>
        </is>
      </c>
    </row>
    <row r="73421">
      <c r="A73421" s="1" t="n">
        <v>73420</v>
      </c>
      <c r="B73421">
        <f>TEXT(73420, "[$-0E0000]yyyy-mm-dd")</f>
        <v/>
      </c>
      <c r="C73421" t="inlineStr">
        <is>
          <t>2100-12-07</t>
        </is>
      </c>
    </row>
    <row r="73422">
      <c r="A73422" s="1" t="n">
        <v>73421</v>
      </c>
      <c r="B73422">
        <f>TEXT(73421, "[$-0E0000]yyyy-mm-dd")</f>
        <v/>
      </c>
      <c r="C73422" t="inlineStr">
        <is>
          <t>2100-12-08</t>
        </is>
      </c>
    </row>
    <row r="73423">
      <c r="A73423" s="1" t="n">
        <v>73422</v>
      </c>
      <c r="B73423">
        <f>TEXT(73422, "[$-0E0000]yyyy-mm-dd")</f>
        <v/>
      </c>
      <c r="C73423" t="inlineStr">
        <is>
          <t>2100-12-09</t>
        </is>
      </c>
    </row>
    <row r="73424">
      <c r="A73424" s="1" t="n">
        <v>73423</v>
      </c>
      <c r="B73424">
        <f>TEXT(73423, "[$-0E0000]yyyy-mm-dd")</f>
        <v/>
      </c>
      <c r="C73424" t="inlineStr">
        <is>
          <t>2100-12-10</t>
        </is>
      </c>
    </row>
    <row r="73425">
      <c r="A73425" s="1" t="n">
        <v>73424</v>
      </c>
      <c r="B73425">
        <f>TEXT(73424, "[$-0E0000]yyyy-mm-dd")</f>
        <v/>
      </c>
      <c r="C73425" t="inlineStr">
        <is>
          <t>2100-12-11</t>
        </is>
      </c>
    </row>
    <row r="73426">
      <c r="A73426" s="1" t="n">
        <v>73425</v>
      </c>
      <c r="B73426">
        <f>TEXT(73425, "[$-0E0000]yyyy-mm-dd")</f>
        <v/>
      </c>
      <c r="C73426" t="inlineStr">
        <is>
          <t>2100-12-12</t>
        </is>
      </c>
    </row>
    <row r="73427">
      <c r="A73427" s="1" t="n">
        <v>73426</v>
      </c>
      <c r="B73427">
        <f>TEXT(73426, "[$-0E0000]yyyy-mm-dd")</f>
        <v/>
      </c>
      <c r="C73427" t="inlineStr">
        <is>
          <t>2100-12-13</t>
        </is>
      </c>
    </row>
    <row r="73428">
      <c r="A73428" s="1" t="n">
        <v>73427</v>
      </c>
      <c r="B73428">
        <f>TEXT(73427, "[$-0E0000]yyyy-mm-dd")</f>
        <v/>
      </c>
      <c r="C73428" t="inlineStr">
        <is>
          <t>2100-12-14</t>
        </is>
      </c>
    </row>
    <row r="73429">
      <c r="A73429" s="1" t="n">
        <v>73428</v>
      </c>
      <c r="B73429">
        <f>TEXT(73428, "[$-0E0000]yyyy-mm-dd")</f>
        <v/>
      </c>
      <c r="C73429" t="inlineStr">
        <is>
          <t>2100-12-15</t>
        </is>
      </c>
    </row>
    <row r="73430">
      <c r="A73430" s="1" t="n">
        <v>73429</v>
      </c>
      <c r="B73430">
        <f>TEXT(73429, "[$-0E0000]yyyy-mm-dd")</f>
        <v/>
      </c>
      <c r="C73430" t="inlineStr">
        <is>
          <t>2100-12-16</t>
        </is>
      </c>
    </row>
    <row r="73431">
      <c r="A73431" s="1" t="n">
        <v>73430</v>
      </c>
      <c r="B73431">
        <f>TEXT(73430, "[$-0E0000]yyyy-mm-dd")</f>
        <v/>
      </c>
      <c r="C73431" t="inlineStr">
        <is>
          <t>2100-12-17</t>
        </is>
      </c>
    </row>
    <row r="73432">
      <c r="A73432" s="1" t="n">
        <v>73431</v>
      </c>
      <c r="B73432">
        <f>TEXT(73431, "[$-0E0000]yyyy-mm-dd")</f>
        <v/>
      </c>
      <c r="C73432" t="inlineStr">
        <is>
          <t>2100-12-18</t>
        </is>
      </c>
    </row>
    <row r="73433">
      <c r="A73433" s="1" t="n">
        <v>73432</v>
      </c>
      <c r="B73433">
        <f>TEXT(73432, "[$-0E0000]yyyy-mm-dd")</f>
        <v/>
      </c>
      <c r="C73433" t="inlineStr">
        <is>
          <t>2100-12-19</t>
        </is>
      </c>
    </row>
    <row r="73434">
      <c r="A73434" s="1" t="n">
        <v>73433</v>
      </c>
      <c r="B73434">
        <f>TEXT(73433, "[$-0E0000]yyyy-mm-dd")</f>
        <v/>
      </c>
      <c r="C73434" t="inlineStr">
        <is>
          <t>2100-12-20</t>
        </is>
      </c>
    </row>
    <row r="73435">
      <c r="A73435" s="1" t="n">
        <v>73434</v>
      </c>
      <c r="B73435">
        <f>TEXT(73434, "[$-0E0000]yyyy-mm-dd")</f>
        <v/>
      </c>
      <c r="C73435" t="inlineStr">
        <is>
          <t>2100-12-21</t>
        </is>
      </c>
    </row>
    <row r="73436">
      <c r="A73436" s="1" t="n">
        <v>73435</v>
      </c>
      <c r="B73436">
        <f>TEXT(73435, "[$-0E0000]yyyy-mm-dd")</f>
        <v/>
      </c>
      <c r="C73436" t="inlineStr">
        <is>
          <t>2100-12-22</t>
        </is>
      </c>
    </row>
    <row r="73437">
      <c r="A73437" s="1" t="n">
        <v>73436</v>
      </c>
      <c r="B73437">
        <f>TEXT(73436, "[$-0E0000]yyyy-mm-dd")</f>
        <v/>
      </c>
      <c r="C73437" t="inlineStr">
        <is>
          <t>2100-12-23</t>
        </is>
      </c>
    </row>
    <row r="73438">
      <c r="A73438" s="1" t="n">
        <v>73437</v>
      </c>
      <c r="B73438">
        <f>TEXT(73437, "[$-0E0000]yyyy-mm-dd")</f>
        <v/>
      </c>
      <c r="C73438" t="inlineStr">
        <is>
          <t>2100-12-24</t>
        </is>
      </c>
    </row>
    <row r="73439">
      <c r="A73439" s="1" t="n">
        <v>73438</v>
      </c>
      <c r="B73439">
        <f>TEXT(73438, "[$-0E0000]yyyy-mm-dd")</f>
        <v/>
      </c>
      <c r="C73439" t="inlineStr">
        <is>
          <t>2100-12-25</t>
        </is>
      </c>
    </row>
    <row r="73440">
      <c r="A73440" s="1" t="n">
        <v>73439</v>
      </c>
      <c r="B73440">
        <f>TEXT(73439, "[$-0E0000]yyyy-mm-dd")</f>
        <v/>
      </c>
      <c r="C73440" t="inlineStr">
        <is>
          <t>2100-12-26</t>
        </is>
      </c>
    </row>
    <row r="73441">
      <c r="A73441" s="1" t="n">
        <v>73440</v>
      </c>
      <c r="B73441">
        <f>TEXT(73440, "[$-0E0000]yyyy-mm-dd")</f>
        <v/>
      </c>
      <c r="C73441" t="inlineStr">
        <is>
          <t>2100-12-27</t>
        </is>
      </c>
    </row>
    <row r="73442">
      <c r="A73442" s="1" t="n">
        <v>73441</v>
      </c>
      <c r="B73442">
        <f>TEXT(73441, "[$-0E0000]yyyy-mm-dd")</f>
        <v/>
      </c>
      <c r="C73442" t="inlineStr">
        <is>
          <t>2100-12-28</t>
        </is>
      </c>
    </row>
    <row r="73443">
      <c r="A73443" s="1" t="n">
        <v>73442</v>
      </c>
      <c r="B73443">
        <f>TEXT(73442, "[$-0E0000]yyyy-mm-dd")</f>
        <v/>
      </c>
      <c r="C73443" t="inlineStr">
        <is>
          <t>2100-12-29</t>
        </is>
      </c>
    </row>
    <row r="73444">
      <c r="A73444" s="1" t="n">
        <v>73443</v>
      </c>
      <c r="B73444">
        <f>TEXT(73443, "[$-0E0000]yyyy-mm-dd")</f>
        <v/>
      </c>
      <c r="C73444" t="inlineStr">
        <is>
          <t>2101-01-01</t>
        </is>
      </c>
    </row>
    <row r="73445">
      <c r="A73445" s="1" t="n">
        <v>73444</v>
      </c>
      <c r="B73445">
        <f>TEXT(73444, "[$-0E0000]yyyy-mm-dd")</f>
        <v/>
      </c>
      <c r="C73445" t="inlineStr">
        <is>
          <t>2101-01-02</t>
        </is>
      </c>
    </row>
    <row r="73446">
      <c r="A73446" s="1" t="n">
        <v>73445</v>
      </c>
      <c r="B73446">
        <f>TEXT(73445, "[$-0E0000]yyyy-mm-dd")</f>
        <v/>
      </c>
      <c r="C73446" t="inlineStr">
        <is>
          <t>2101-01-03</t>
        </is>
      </c>
    </row>
    <row r="73447">
      <c r="A73447" s="1" t="n">
        <v>73446</v>
      </c>
      <c r="B73447">
        <f>TEXT(73446, "[$-0E0000]yyyy-mm-dd")</f>
        <v/>
      </c>
      <c r="C73447" t="inlineStr">
        <is>
          <t>2101-01-04</t>
        </is>
      </c>
    </row>
    <row r="73448">
      <c r="A73448" s="1" t="n">
        <v>73447</v>
      </c>
      <c r="B73448">
        <f>TEXT(73447, "[$-0E0000]yyyy-mm-dd")</f>
        <v/>
      </c>
      <c r="C73448" t="inlineStr">
        <is>
          <t>2101-01-05</t>
        </is>
      </c>
    </row>
    <row r="73449">
      <c r="A73449" s="1" t="n">
        <v>73448</v>
      </c>
      <c r="B73449">
        <f>TEXT(73448, "[$-0E0000]yyyy-mm-dd")</f>
        <v/>
      </c>
      <c r="C73449" t="inlineStr">
        <is>
          <t>2101-01-06</t>
        </is>
      </c>
    </row>
    <row r="73450">
      <c r="A73450" s="1" t="n">
        <v>73449</v>
      </c>
      <c r="B73450">
        <f>TEXT(73449, "[$-0E0000]yyyy-mm-dd")</f>
        <v/>
      </c>
      <c r="C73450" t="inlineStr">
        <is>
          <t>2101-01-07</t>
        </is>
      </c>
    </row>
    <row r="73451">
      <c r="A73451" s="1" t="n">
        <v>73450</v>
      </c>
      <c r="B73451">
        <f>TEXT(73450, "[$-0E0000]yyyy-mm-dd")</f>
        <v/>
      </c>
      <c r="C73451" t="inlineStr">
        <is>
          <t>2101-01-08</t>
        </is>
      </c>
    </row>
    <row r="73452">
      <c r="A73452" s="1" t="n">
        <v>73451</v>
      </c>
      <c r="B73452">
        <f>TEXT(73451, "[$-0E0000]yyyy-mm-dd")</f>
        <v/>
      </c>
      <c r="C73452" t="inlineStr">
        <is>
          <t>2101-01-09</t>
        </is>
      </c>
    </row>
    <row r="73453">
      <c r="A73453" s="1" t="n">
        <v>73452</v>
      </c>
      <c r="B73453">
        <f>TEXT(73452, "[$-0E0000]yyyy-mm-dd")</f>
        <v/>
      </c>
      <c r="C73453" t="inlineStr">
        <is>
          <t>2101-01-10</t>
        </is>
      </c>
    </row>
    <row r="73454">
      <c r="A73454" s="1" t="n">
        <v>73453</v>
      </c>
      <c r="B73454">
        <f>TEXT(73453, "[$-0E0000]yyyy-mm-dd")</f>
        <v/>
      </c>
      <c r="C73454" t="inlineStr">
        <is>
          <t>2101-01-11</t>
        </is>
      </c>
    </row>
    <row r="73455">
      <c r="A73455" s="1" t="n">
        <v>73454</v>
      </c>
      <c r="B73455">
        <f>TEXT(73454, "[$-0E0000]yyyy-mm-dd")</f>
        <v/>
      </c>
      <c r="C73455" t="inlineStr">
        <is>
          <t>2101-01-12</t>
        </is>
      </c>
    </row>
    <row r="73456">
      <c r="A73456" s="1" t="n">
        <v>73455</v>
      </c>
      <c r="B73456">
        <f>TEXT(73455, "[$-0E0000]yyyy-mm-dd")</f>
        <v/>
      </c>
      <c r="C73456" t="inlineStr">
        <is>
          <t>2101-01-13</t>
        </is>
      </c>
    </row>
    <row r="73457">
      <c r="A73457" s="1" t="n">
        <v>73456</v>
      </c>
      <c r="B73457">
        <f>TEXT(73456, "[$-0E0000]yyyy-mm-dd")</f>
        <v/>
      </c>
      <c r="C73457" t="inlineStr">
        <is>
          <t>2101-01-14</t>
        </is>
      </c>
    </row>
    <row r="73458">
      <c r="A73458" s="1" t="n">
        <v>73457</v>
      </c>
      <c r="B73458">
        <f>TEXT(73457, "[$-0E0000]yyyy-mm-dd")</f>
        <v/>
      </c>
      <c r="C73458" t="inlineStr">
        <is>
          <t>2101-01-15</t>
        </is>
      </c>
    </row>
    <row r="73459">
      <c r="A73459" s="1" t="n">
        <v>73458</v>
      </c>
      <c r="B73459">
        <f>TEXT(73458, "[$-0E0000]yyyy-mm-dd")</f>
        <v/>
      </c>
      <c r="C73459" t="inlineStr">
        <is>
          <t>2101-01-16</t>
        </is>
      </c>
    </row>
    <row r="73460">
      <c r="A73460" s="1" t="n">
        <v>73459</v>
      </c>
      <c r="B73460">
        <f>TEXT(73459, "[$-0E0000]yyyy-mm-dd")</f>
        <v/>
      </c>
      <c r="C73460" t="inlineStr">
        <is>
          <t>2101-01-17</t>
        </is>
      </c>
    </row>
    <row r="73461">
      <c r="A73461" s="1" t="n">
        <v>73460</v>
      </c>
      <c r="B73461">
        <f>TEXT(73460, "[$-0E0000]yyyy-mm-dd")</f>
        <v/>
      </c>
      <c r="C73461" t="inlineStr">
        <is>
          <t>2101-01-18</t>
        </is>
      </c>
    </row>
    <row r="73462">
      <c r="A73462" s="1" t="n">
        <v>73461</v>
      </c>
      <c r="B73462">
        <f>TEXT(73461, "[$-0E0000]yyyy-mm-dd")</f>
        <v/>
      </c>
      <c r="C73462" t="inlineStr">
        <is>
          <t>2101-01-19</t>
        </is>
      </c>
    </row>
    <row r="73463">
      <c r="A73463" s="1" t="n">
        <v>73462</v>
      </c>
      <c r="B73463">
        <f>TEXT(73462, "[$-0E0000]yyyy-mm-dd")</f>
        <v/>
      </c>
      <c r="C73463" t="inlineStr">
        <is>
          <t>2101-01-20</t>
        </is>
      </c>
    </row>
    <row r="73464">
      <c r="A73464" s="1" t="n">
        <v>73463</v>
      </c>
      <c r="B73464">
        <f>TEXT(73463, "[$-0E0000]yyyy-mm-dd")</f>
        <v/>
      </c>
      <c r="C73464" t="inlineStr">
        <is>
          <t>2101-01-21</t>
        </is>
      </c>
    </row>
    <row r="73465">
      <c r="A73465" s="1" t="n">
        <v>73464</v>
      </c>
      <c r="B73465">
        <f>TEXT(73464, "[$-0E0000]yyyy-mm-dd")</f>
        <v/>
      </c>
      <c r="C73465" t="inlineStr">
        <is>
          <t>2101-01-22</t>
        </is>
      </c>
    </row>
    <row r="73466">
      <c r="A73466" s="1" t="n">
        <v>73465</v>
      </c>
      <c r="B73466">
        <f>TEXT(73465, "[$-0E0000]yyyy-mm-dd")</f>
        <v/>
      </c>
      <c r="C73466" t="inlineStr">
        <is>
          <t>2101-01-23</t>
        </is>
      </c>
    </row>
    <row r="73467">
      <c r="A73467" s="1" t="n">
        <v>73466</v>
      </c>
      <c r="B73467">
        <f>TEXT(73466, "[$-0E0000]yyyy-mm-dd")</f>
        <v/>
      </c>
      <c r="C73467" t="inlineStr">
        <is>
          <t>2101-01-24</t>
        </is>
      </c>
    </row>
    <row r="73468">
      <c r="A73468" s="1" t="n">
        <v>73467</v>
      </c>
      <c r="B73468">
        <f>TEXT(73467, "[$-0E0000]yyyy-mm-dd")</f>
        <v/>
      </c>
      <c r="C73468" t="inlineStr">
        <is>
          <t>2101-01-25</t>
        </is>
      </c>
    </row>
    <row r="73469">
      <c r="A73469" s="1" t="n">
        <v>73468</v>
      </c>
      <c r="B73469">
        <f>TEXT(73468, "[$-0E0000]yyyy-mm-dd")</f>
        <v/>
      </c>
      <c r="C73469" t="inlineStr">
        <is>
          <t>2101-01-26</t>
        </is>
      </c>
    </row>
    <row r="73470">
      <c r="A73470" s="1" t="n">
        <v>73469</v>
      </c>
      <c r="B73470">
        <f>TEXT(73469, "[$-0E0000]yyyy-mm-dd")</f>
        <v/>
      </c>
      <c r="C73470" t="inlineStr">
        <is>
          <t>2101-01-27</t>
        </is>
      </c>
    </row>
    <row r="73471">
      <c r="A73471" s="1" t="n">
        <v>73470</v>
      </c>
      <c r="B73471">
        <f>TEXT(73470, "[$-0E0000]yyyy-mm-dd")</f>
        <v/>
      </c>
      <c r="C73471" t="inlineStr">
        <is>
          <t>2101-01-28</t>
        </is>
      </c>
    </row>
    <row r="73472">
      <c r="A73472" s="1" t="n">
        <v>73471</v>
      </c>
      <c r="B73472">
        <f>TEXT(73471, "[$-0E0000]yyyy-mm-dd")</f>
        <v/>
      </c>
      <c r="C73472" t="inlineStr">
        <is>
          <t>2101-01-29</t>
        </is>
      </c>
    </row>
    <row r="73473">
      <c r="A73473" s="1" t="n">
        <v>73472</v>
      </c>
      <c r="B73473">
        <f>TEXT(73472, "[$-0E0000]yyyy-mm-dd")</f>
        <v/>
      </c>
      <c r="C73473" t="inlineStr">
        <is>
          <t>2101-01-30</t>
        </is>
      </c>
    </row>
    <row r="73474">
      <c r="A73474" s="1" t="n">
        <v>73473</v>
      </c>
      <c r="B73474">
        <f>TEXT(73473, "[$-0E0000]yyyy-mm-dd")</f>
        <v/>
      </c>
      <c r="C73474" t="inlineStr">
        <is>
          <t>2101-02-01</t>
        </is>
      </c>
    </row>
    <row r="73475">
      <c r="A73475" s="1" t="n">
        <v>73474</v>
      </c>
      <c r="B73475">
        <f>TEXT(73474, "[$-0E0000]yyyy-mm-dd")</f>
        <v/>
      </c>
      <c r="C73475" t="inlineStr">
        <is>
          <t>2101-02-02</t>
        </is>
      </c>
    </row>
    <row r="73476">
      <c r="A73476" s="1" t="n">
        <v>73475</v>
      </c>
      <c r="B73476">
        <f>TEXT(73475, "[$-0E0000]yyyy-mm-dd")</f>
        <v/>
      </c>
      <c r="C73476" t="inlineStr">
        <is>
          <t>2101-02-03</t>
        </is>
      </c>
    </row>
    <row r="73477">
      <c r="A73477" s="1" t="n">
        <v>73476</v>
      </c>
      <c r="B73477">
        <f>TEXT(73476, "[$-0E0000]yyyy-mm-dd")</f>
        <v/>
      </c>
      <c r="C73477" t="inlineStr">
        <is>
          <t>2101-02-04</t>
        </is>
      </c>
    </row>
    <row r="73478">
      <c r="A73478" s="1" t="n">
        <v>73477</v>
      </c>
      <c r="B73478">
        <f>TEXT(73477, "[$-0E0000]yyyy-mm-dd")</f>
        <v/>
      </c>
      <c r="C73478" t="inlineStr">
        <is>
          <t>2101-02-05</t>
        </is>
      </c>
    </row>
    <row r="73479">
      <c r="A73479" s="1" t="n">
        <v>73478</v>
      </c>
      <c r="B73479">
        <f>TEXT(73478, "[$-0E0000]yyyy-mm-dd")</f>
        <v/>
      </c>
      <c r="C73479" t="inlineStr">
        <is>
          <t>2101-02-06</t>
        </is>
      </c>
    </row>
    <row r="73480">
      <c r="A73480" s="1" t="n">
        <v>73479</v>
      </c>
      <c r="B73480">
        <f>TEXT(73479, "[$-0E0000]yyyy-mm-dd")</f>
        <v/>
      </c>
      <c r="C73480" t="inlineStr">
        <is>
          <t>2101-02-07</t>
        </is>
      </c>
    </row>
    <row r="73481">
      <c r="A73481" s="1" t="n">
        <v>73480</v>
      </c>
      <c r="B73481">
        <f>TEXT(73480, "[$-0E0000]yyyy-mm-dd")</f>
        <v/>
      </c>
      <c r="C73481" t="inlineStr">
        <is>
          <t>2101-02-08</t>
        </is>
      </c>
    </row>
    <row r="73482">
      <c r="A73482" s="1" t="n">
        <v>73481</v>
      </c>
      <c r="B73482">
        <f>TEXT(73481, "[$-0E0000]yyyy-mm-dd")</f>
        <v/>
      </c>
      <c r="C73482" t="inlineStr">
        <is>
          <t>2101-02-09</t>
        </is>
      </c>
    </row>
    <row r="73483">
      <c r="A73483" s="1" t="n">
        <v>73482</v>
      </c>
      <c r="B73483">
        <f>TEXT(73482, "[$-0E0000]yyyy-mm-dd")</f>
        <v/>
      </c>
      <c r="C73483" t="inlineStr">
        <is>
          <t>2101-02-10</t>
        </is>
      </c>
    </row>
    <row r="73484">
      <c r="A73484" s="1" t="n">
        <v>73483</v>
      </c>
      <c r="B73484">
        <f>TEXT(73483, "[$-0E0000]yyyy-mm-dd")</f>
        <v/>
      </c>
      <c r="C73484" t="inlineStr">
        <is>
          <t>2101-02-11</t>
        </is>
      </c>
    </row>
    <row r="73485">
      <c r="A73485" s="1" t="n">
        <v>73484</v>
      </c>
      <c r="B73485">
        <f>TEXT(73484, "[$-0E0000]yyyy-mm-dd")</f>
        <v/>
      </c>
      <c r="C73485" t="inlineStr">
        <is>
          <t>2101-02-12</t>
        </is>
      </c>
    </row>
    <row r="73486">
      <c r="A73486" s="1" t="n">
        <v>73485</v>
      </c>
      <c r="B73486">
        <f>TEXT(73485, "[$-0E0000]yyyy-mm-dd")</f>
        <v/>
      </c>
      <c r="C73486" t="inlineStr">
        <is>
          <t>2101-02-13</t>
        </is>
      </c>
    </row>
    <row r="73487">
      <c r="A73487" s="1" t="n">
        <v>73486</v>
      </c>
      <c r="B73487">
        <f>TEXT(73486, "[$-0E0000]yyyy-mm-dd")</f>
        <v/>
      </c>
      <c r="C73487" t="inlineStr">
        <is>
          <t>2101-02-14</t>
        </is>
      </c>
    </row>
    <row r="73488">
      <c r="A73488" s="1" t="n">
        <v>73487</v>
      </c>
      <c r="B73488">
        <f>TEXT(73487, "[$-0E0000]yyyy-mm-dd")</f>
        <v/>
      </c>
      <c r="C73488" t="inlineStr">
        <is>
          <t>2101-02-15</t>
        </is>
      </c>
    </row>
    <row r="73489">
      <c r="A73489" s="1" t="n">
        <v>73488</v>
      </c>
      <c r="B73489">
        <f>TEXT(73488, "[$-0E0000]yyyy-mm-dd")</f>
        <v/>
      </c>
      <c r="C73489" t="inlineStr">
        <is>
          <t>2101-02-16</t>
        </is>
      </c>
    </row>
    <row r="73490">
      <c r="A73490" s="1" t="n">
        <v>73489</v>
      </c>
      <c r="B73490">
        <f>TEXT(73489, "[$-0E0000]yyyy-mm-dd")</f>
        <v/>
      </c>
      <c r="C73490" t="inlineStr">
        <is>
          <t>2101-02-17</t>
        </is>
      </c>
    </row>
    <row r="73491">
      <c r="A73491" s="1" t="n">
        <v>73490</v>
      </c>
      <c r="B73491">
        <f>TEXT(73490, "[$-0E0000]yyyy-mm-dd")</f>
        <v/>
      </c>
      <c r="C73491" t="inlineStr">
        <is>
          <t>2101-02-18</t>
        </is>
      </c>
    </row>
    <row r="73492">
      <c r="A73492" s="1" t="n">
        <v>73491</v>
      </c>
      <c r="B73492">
        <f>TEXT(73491, "[$-0E0000]yyyy-mm-dd")</f>
        <v/>
      </c>
      <c r="C73492" t="inlineStr">
        <is>
          <t>2101-02-19</t>
        </is>
      </c>
    </row>
    <row r="73493">
      <c r="A73493" s="1" t="n">
        <v>73492</v>
      </c>
      <c r="B73493">
        <f>TEXT(73492, "[$-0E0000]yyyy-mm-dd")</f>
        <v/>
      </c>
      <c r="C73493" t="inlineStr">
        <is>
          <t>2101-02-20</t>
        </is>
      </c>
    </row>
    <row r="73494">
      <c r="A73494" s="1" t="n">
        <v>73493</v>
      </c>
      <c r="B73494">
        <f>TEXT(73493, "[$-0E0000]yyyy-mm-dd")</f>
        <v/>
      </c>
      <c r="C73494" t="inlineStr">
        <is>
          <t>2101-02-21</t>
        </is>
      </c>
    </row>
    <row r="73495">
      <c r="A73495" s="1" t="n">
        <v>73494</v>
      </c>
      <c r="B73495">
        <f>TEXT(73494, "[$-0E0000]yyyy-mm-dd")</f>
        <v/>
      </c>
      <c r="C73495" t="inlineStr">
        <is>
          <t>2101-02-22</t>
        </is>
      </c>
    </row>
    <row r="73496">
      <c r="A73496" s="1" t="n">
        <v>73495</v>
      </c>
      <c r="B73496">
        <f>TEXT(73495, "[$-0E0000]yyyy-mm-dd")</f>
        <v/>
      </c>
      <c r="C73496" t="inlineStr">
        <is>
          <t>2101-02-23</t>
        </is>
      </c>
    </row>
    <row r="73497">
      <c r="A73497" s="1" t="n">
        <v>73496</v>
      </c>
      <c r="B73497">
        <f>TEXT(73496, "[$-0E0000]yyyy-mm-dd")</f>
        <v/>
      </c>
      <c r="C73497" t="inlineStr">
        <is>
          <t>2101-02-24</t>
        </is>
      </c>
    </row>
    <row r="73498">
      <c r="A73498" s="1" t="n">
        <v>73497</v>
      </c>
      <c r="B73498">
        <f>TEXT(73497, "[$-0E0000]yyyy-mm-dd")</f>
        <v/>
      </c>
      <c r="C73498" t="inlineStr">
        <is>
          <t>2101-02-25</t>
        </is>
      </c>
    </row>
    <row r="73499">
      <c r="A73499" s="1" t="n">
        <v>73498</v>
      </c>
      <c r="B73499">
        <f>TEXT(73498, "[$-0E0000]yyyy-mm-dd")</f>
        <v/>
      </c>
      <c r="C73499" t="inlineStr">
        <is>
          <t>2101-02-26</t>
        </is>
      </c>
    </row>
    <row r="73500">
      <c r="A73500" s="1" t="n">
        <v>73499</v>
      </c>
      <c r="B73500">
        <f>TEXT(73499, "[$-0E0000]yyyy-mm-dd")</f>
        <v/>
      </c>
      <c r="C73500" t="inlineStr">
        <is>
          <t>2101-02-27</t>
        </is>
      </c>
    </row>
    <row r="73501">
      <c r="A73501" s="1" t="n">
        <v>73500</v>
      </c>
      <c r="B73501">
        <f>TEXT(73500, "[$-0E0000]yyyy-mm-dd")</f>
        <v/>
      </c>
      <c r="C73501" t="inlineStr">
        <is>
          <t>2101-02-28</t>
        </is>
      </c>
    </row>
    <row r="73502">
      <c r="A73502" s="1" t="n">
        <v>73501</v>
      </c>
      <c r="B73502">
        <f>TEXT(73501, "[$-0E0000]yyyy-mm-dd")</f>
        <v/>
      </c>
      <c r="C73502" t="inlineStr">
        <is>
          <t>2101-02-29</t>
        </is>
      </c>
    </row>
    <row r="73503">
      <c r="A73503" s="1" t="n">
        <v>73502</v>
      </c>
      <c r="B73503">
        <f>TEXT(73502, "[$-0E0000]yyyy-mm-dd")</f>
        <v/>
      </c>
      <c r="C73503" t="inlineStr">
        <is>
          <t>2101-02-30</t>
        </is>
      </c>
    </row>
    <row r="73504">
      <c r="A73504" s="1" t="n">
        <v>73503</v>
      </c>
      <c r="B73504">
        <f>TEXT(73503, "[$-0E0000]yyyy-mm-dd")</f>
        <v/>
      </c>
      <c r="C73504" t="inlineStr">
        <is>
          <t>2101-03-01</t>
        </is>
      </c>
    </row>
    <row r="73505">
      <c r="A73505" s="1" t="n">
        <v>73504</v>
      </c>
      <c r="B73505">
        <f>TEXT(73504, "[$-0E0000]yyyy-mm-dd")</f>
        <v/>
      </c>
      <c r="C73505" t="inlineStr">
        <is>
          <t>2101-03-02</t>
        </is>
      </c>
    </row>
    <row r="73506">
      <c r="A73506" s="1" t="n">
        <v>73505</v>
      </c>
      <c r="B73506">
        <f>TEXT(73505, "[$-0E0000]yyyy-mm-dd")</f>
        <v/>
      </c>
      <c r="C73506" t="inlineStr">
        <is>
          <t>2101-03-03</t>
        </is>
      </c>
    </row>
    <row r="73507">
      <c r="A73507" s="1" t="n">
        <v>73506</v>
      </c>
      <c r="B73507">
        <f>TEXT(73506, "[$-0E0000]yyyy-mm-dd")</f>
        <v/>
      </c>
      <c r="C73507" t="inlineStr">
        <is>
          <t>2101-03-04</t>
        </is>
      </c>
    </row>
    <row r="73508">
      <c r="A73508" s="1" t="n">
        <v>73507</v>
      </c>
      <c r="B73508">
        <f>TEXT(73507, "[$-0E0000]yyyy-mm-dd")</f>
        <v/>
      </c>
      <c r="C73508" t="inlineStr">
        <is>
          <t>2101-03-05</t>
        </is>
      </c>
    </row>
    <row r="73509">
      <c r="A73509" s="1" t="n">
        <v>73508</v>
      </c>
      <c r="B73509">
        <f>TEXT(73508, "[$-0E0000]yyyy-mm-dd")</f>
        <v/>
      </c>
      <c r="C73509" t="inlineStr">
        <is>
          <t>2101-03-06</t>
        </is>
      </c>
    </row>
    <row r="73510">
      <c r="A73510" s="1" t="n">
        <v>73509</v>
      </c>
      <c r="B73510">
        <f>TEXT(73509, "[$-0E0000]yyyy-mm-dd")</f>
        <v/>
      </c>
      <c r="C73510" t="inlineStr">
        <is>
          <t>2101-03-07</t>
        </is>
      </c>
    </row>
    <row r="73511">
      <c r="A73511" s="1" t="n">
        <v>73510</v>
      </c>
      <c r="B73511">
        <f>TEXT(73510, "[$-0E0000]yyyy-mm-dd")</f>
        <v/>
      </c>
      <c r="C73511" t="inlineStr">
        <is>
          <t>2101-03-08</t>
        </is>
      </c>
    </row>
    <row r="73512">
      <c r="A73512" s="1" t="n">
        <v>73511</v>
      </c>
      <c r="B73512">
        <f>TEXT(73511, "[$-0E0000]yyyy-mm-dd")</f>
        <v/>
      </c>
      <c r="C73512" t="inlineStr">
        <is>
          <t>2101-03-09</t>
        </is>
      </c>
    </row>
    <row r="73513">
      <c r="A73513" s="1" t="n">
        <v>73512</v>
      </c>
      <c r="B73513">
        <f>TEXT(73512, "[$-0E0000]yyyy-mm-dd")</f>
        <v/>
      </c>
      <c r="C73513" t="inlineStr">
        <is>
          <t>2101-03-10</t>
        </is>
      </c>
    </row>
    <row r="73514">
      <c r="A73514" s="1" t="n">
        <v>73513</v>
      </c>
      <c r="B73514">
        <f>TEXT(73513, "[$-0E0000]yyyy-mm-dd")</f>
        <v/>
      </c>
      <c r="C73514" t="inlineStr">
        <is>
          <t>2101-03-11</t>
        </is>
      </c>
    </row>
    <row r="73515">
      <c r="A73515" s="1" t="n">
        <v>73514</v>
      </c>
      <c r="B73515">
        <f>TEXT(73514, "[$-0E0000]yyyy-mm-dd")</f>
        <v/>
      </c>
      <c r="C73515" t="inlineStr">
        <is>
          <t>2101-03-12</t>
        </is>
      </c>
    </row>
    <row r="73516">
      <c r="A73516" s="1" t="n">
        <v>73515</v>
      </c>
      <c r="B73516">
        <f>TEXT(73515, "[$-0E0000]yyyy-mm-dd")</f>
        <v/>
      </c>
      <c r="C73516" t="inlineStr">
        <is>
          <t>2101-03-13</t>
        </is>
      </c>
    </row>
    <row r="73517">
      <c r="A73517" s="1" t="n">
        <v>73516</v>
      </c>
      <c r="B73517">
        <f>TEXT(73516, "[$-0E0000]yyyy-mm-dd")</f>
        <v/>
      </c>
      <c r="C73517" t="inlineStr">
        <is>
          <t>2101-03-14</t>
        </is>
      </c>
    </row>
    <row r="73518">
      <c r="A73518" s="1" t="n">
        <v>73517</v>
      </c>
      <c r="B73518">
        <f>TEXT(73517, "[$-0E0000]yyyy-mm-dd")</f>
        <v/>
      </c>
      <c r="C73518" t="inlineStr">
        <is>
          <t>2101-03-15</t>
        </is>
      </c>
    </row>
    <row r="73519">
      <c r="A73519" s="1" t="n">
        <v>73518</v>
      </c>
      <c r="B73519">
        <f>TEXT(73518, "[$-0E0000]yyyy-mm-dd")</f>
        <v/>
      </c>
      <c r="C73519" t="inlineStr">
        <is>
          <t>2101-03-16</t>
        </is>
      </c>
    </row>
    <row r="73520">
      <c r="A73520" s="1" t="n">
        <v>73519</v>
      </c>
      <c r="B73520">
        <f>TEXT(73519, "[$-0E0000]yyyy-mm-dd")</f>
        <v/>
      </c>
      <c r="C73520" t="inlineStr">
        <is>
          <t>2101-03-17</t>
        </is>
      </c>
    </row>
    <row r="73521">
      <c r="A73521" s="1" t="n">
        <v>73520</v>
      </c>
      <c r="B73521">
        <f>TEXT(73520, "[$-0E0000]yyyy-mm-dd")</f>
        <v/>
      </c>
      <c r="C73521" t="inlineStr">
        <is>
          <t>2101-03-18</t>
        </is>
      </c>
    </row>
    <row r="73522">
      <c r="A73522" s="1" t="n">
        <v>73521</v>
      </c>
      <c r="B73522">
        <f>TEXT(73521, "[$-0E0000]yyyy-mm-dd")</f>
        <v/>
      </c>
      <c r="C73522" t="inlineStr">
        <is>
          <t>2101-03-19</t>
        </is>
      </c>
    </row>
    <row r="73523">
      <c r="A73523" s="1" t="n">
        <v>73522</v>
      </c>
      <c r="B73523">
        <f>TEXT(73522, "[$-0E0000]yyyy-mm-dd")</f>
        <v/>
      </c>
      <c r="C73523" t="inlineStr">
        <is>
          <t>2101-03-20</t>
        </is>
      </c>
    </row>
    <row r="73524">
      <c r="A73524" s="1" t="n">
        <v>73523</v>
      </c>
      <c r="B73524">
        <f>TEXT(73523, "[$-0E0000]yyyy-mm-dd")</f>
        <v/>
      </c>
      <c r="C73524" t="inlineStr">
        <is>
          <t>2101-03-21</t>
        </is>
      </c>
    </row>
    <row r="73525">
      <c r="A73525" s="1" t="n">
        <v>73524</v>
      </c>
      <c r="B73525">
        <f>TEXT(73524, "[$-0E0000]yyyy-mm-dd")</f>
        <v/>
      </c>
      <c r="C73525" t="inlineStr">
        <is>
          <t>2101-03-22</t>
        </is>
      </c>
    </row>
    <row r="73526">
      <c r="A73526" s="1" t="n">
        <v>73525</v>
      </c>
      <c r="B73526">
        <f>TEXT(73525, "[$-0E0000]yyyy-mm-dd")</f>
        <v/>
      </c>
      <c r="C73526" t="inlineStr">
        <is>
          <t>2101-03-23</t>
        </is>
      </c>
    </row>
    <row r="73527">
      <c r="A73527" s="1" t="n">
        <v>73526</v>
      </c>
      <c r="B73527">
        <f>TEXT(73526, "[$-0E0000]yyyy-mm-dd")</f>
        <v/>
      </c>
      <c r="C73527" t="inlineStr">
        <is>
          <t>2101-03-24</t>
        </is>
      </c>
    </row>
    <row r="73528">
      <c r="A73528" s="1" t="n">
        <v>73527</v>
      </c>
      <c r="B73528">
        <f>TEXT(73527, "[$-0E0000]yyyy-mm-dd")</f>
        <v/>
      </c>
      <c r="C73528" t="inlineStr">
        <is>
          <t>2101-03-25</t>
        </is>
      </c>
    </row>
    <row r="73529">
      <c r="A73529" s="1" t="n">
        <v>73528</v>
      </c>
      <c r="B73529">
        <f>TEXT(73528, "[$-0E0000]yyyy-mm-dd")</f>
        <v/>
      </c>
      <c r="C73529" t="inlineStr">
        <is>
          <t>2101-03-26</t>
        </is>
      </c>
    </row>
    <row r="73530">
      <c r="A73530" s="1" t="n">
        <v>73529</v>
      </c>
      <c r="B73530">
        <f>TEXT(73529, "[$-0E0000]yyyy-mm-dd")</f>
        <v/>
      </c>
      <c r="C73530" t="inlineStr">
        <is>
          <t>2101-03-27</t>
        </is>
      </c>
    </row>
    <row r="73531">
      <c r="A73531" s="1" t="n">
        <v>73530</v>
      </c>
      <c r="B73531">
        <f>TEXT(73530, "[$-0E0000]yyyy-mm-dd")</f>
        <v/>
      </c>
      <c r="C73531" t="inlineStr">
        <is>
          <t>2101-03-28</t>
        </is>
      </c>
    </row>
    <row r="73532">
      <c r="A73532" s="1" t="n">
        <v>73531</v>
      </c>
      <c r="B73532">
        <f>TEXT(73531, "[$-0E0000]yyyy-mm-dd")</f>
        <v/>
      </c>
      <c r="C73532" t="inlineStr">
        <is>
          <t>2101-03-29</t>
        </is>
      </c>
    </row>
    <row r="73533">
      <c r="A73533" s="1" t="n">
        <v>73532</v>
      </c>
      <c r="B73533">
        <f>TEXT(73532, "[$-0E0000]yyyy-mm-dd")</f>
        <v/>
      </c>
      <c r="C73533" t="inlineStr">
        <is>
          <t>2101-04-01</t>
        </is>
      </c>
    </row>
    <row r="73534">
      <c r="A73534" s="1" t="n">
        <v>73533</v>
      </c>
      <c r="B73534">
        <f>TEXT(73533, "[$-0E0000]yyyy-mm-dd")</f>
        <v/>
      </c>
      <c r="C73534" t="inlineStr">
        <is>
          <t>2101-04-02</t>
        </is>
      </c>
    </row>
    <row r="73535">
      <c r="A73535" s="1" t="n">
        <v>73534</v>
      </c>
      <c r="B73535">
        <f>TEXT(73534, "[$-0E0000]yyyy-mm-dd")</f>
        <v/>
      </c>
      <c r="C73535" t="inlineStr">
        <is>
          <t>2101-04-03</t>
        </is>
      </c>
    </row>
    <row r="73536">
      <c r="A73536" s="1" t="n">
        <v>73535</v>
      </c>
      <c r="B73536">
        <f>TEXT(73535, "[$-0E0000]yyyy-mm-dd")</f>
        <v/>
      </c>
      <c r="C73536" t="inlineStr">
        <is>
          <t>2101-04-04</t>
        </is>
      </c>
    </row>
    <row r="73537">
      <c r="A73537" s="1" t="n">
        <v>73536</v>
      </c>
      <c r="B73537">
        <f>TEXT(73536, "[$-0E0000]yyyy-mm-dd")</f>
        <v/>
      </c>
      <c r="C73537" t="inlineStr">
        <is>
          <t>2101-04-05</t>
        </is>
      </c>
    </row>
    <row r="73538">
      <c r="A73538" s="1" t="n">
        <v>73537</v>
      </c>
      <c r="B73538">
        <f>TEXT(73537, "[$-0E0000]yyyy-mm-dd")</f>
        <v/>
      </c>
      <c r="C73538" t="inlineStr">
        <is>
          <t>2101-04-06</t>
        </is>
      </c>
    </row>
    <row r="73539">
      <c r="A73539" s="1" t="n">
        <v>73538</v>
      </c>
      <c r="B73539">
        <f>TEXT(73538, "[$-0E0000]yyyy-mm-dd")</f>
        <v/>
      </c>
      <c r="C73539" t="inlineStr">
        <is>
          <t>2101-04-07</t>
        </is>
      </c>
    </row>
    <row r="73540">
      <c r="A73540" s="1" t="n">
        <v>73539</v>
      </c>
      <c r="B73540">
        <f>TEXT(73539, "[$-0E0000]yyyy-mm-dd")</f>
        <v/>
      </c>
      <c r="C73540" t="inlineStr">
        <is>
          <t>2101-04-08</t>
        </is>
      </c>
    </row>
    <row r="73541">
      <c r="A73541" s="1" t="n">
        <v>73540</v>
      </c>
      <c r="B73541">
        <f>TEXT(73540, "[$-0E0000]yyyy-mm-dd")</f>
        <v/>
      </c>
      <c r="C73541" t="inlineStr">
        <is>
          <t>2101-04-09</t>
        </is>
      </c>
    </row>
    <row r="73542">
      <c r="A73542" s="1" t="n">
        <v>73541</v>
      </c>
      <c r="B73542">
        <f>TEXT(73541, "[$-0E0000]yyyy-mm-dd")</f>
        <v/>
      </c>
      <c r="C73542" t="inlineStr">
        <is>
          <t>2101-04-10</t>
        </is>
      </c>
    </row>
    <row r="73543">
      <c r="A73543" s="1" t="n">
        <v>73542</v>
      </c>
      <c r="B73543">
        <f>TEXT(73542, "[$-0E0000]yyyy-mm-dd")</f>
        <v/>
      </c>
      <c r="C73543" t="inlineStr">
        <is>
          <t>2101-04-11</t>
        </is>
      </c>
    </row>
    <row r="73544">
      <c r="A73544" s="1" t="n">
        <v>73543</v>
      </c>
      <c r="B73544">
        <f>TEXT(73543, "[$-0E0000]yyyy-mm-dd")</f>
        <v/>
      </c>
      <c r="C73544" t="inlineStr">
        <is>
          <t>2101-04-12</t>
        </is>
      </c>
    </row>
    <row r="73545">
      <c r="A73545" s="1" t="n">
        <v>73544</v>
      </c>
      <c r="B73545">
        <f>TEXT(73544, "[$-0E0000]yyyy-mm-dd")</f>
        <v/>
      </c>
      <c r="C73545" t="inlineStr">
        <is>
          <t>2101-04-13</t>
        </is>
      </c>
    </row>
    <row r="73546">
      <c r="A73546" s="1" t="n">
        <v>73545</v>
      </c>
      <c r="B73546">
        <f>TEXT(73545, "[$-0E0000]yyyy-mm-dd")</f>
        <v/>
      </c>
      <c r="C73546" t="inlineStr">
        <is>
          <t>2101-04-14</t>
        </is>
      </c>
    </row>
    <row r="73547">
      <c r="A73547" s="1" t="n">
        <v>73546</v>
      </c>
      <c r="B73547">
        <f>TEXT(73546, "[$-0E0000]yyyy-mm-dd")</f>
        <v/>
      </c>
      <c r="C73547" t="inlineStr">
        <is>
          <t>2101-04-15</t>
        </is>
      </c>
    </row>
    <row r="73548">
      <c r="A73548" s="1" t="n">
        <v>73547</v>
      </c>
      <c r="B73548">
        <f>TEXT(73547, "[$-0E0000]yyyy-mm-dd")</f>
        <v/>
      </c>
      <c r="C73548" t="inlineStr">
        <is>
          <t>2101-04-16</t>
        </is>
      </c>
    </row>
    <row r="73549">
      <c r="A73549" s="1" t="n">
        <v>73548</v>
      </c>
      <c r="B73549">
        <f>TEXT(73548, "[$-0E0000]yyyy-mm-dd")</f>
        <v/>
      </c>
      <c r="C73549" t="inlineStr">
        <is>
          <t>2101-04-17</t>
        </is>
      </c>
    </row>
    <row r="73550">
      <c r="A73550" s="1" t="n">
        <v>73549</v>
      </c>
      <c r="B73550">
        <f>TEXT(73549, "[$-0E0000]yyyy-mm-dd")</f>
        <v/>
      </c>
      <c r="C73550" t="inlineStr">
        <is>
          <t>2101-04-18</t>
        </is>
      </c>
    </row>
    <row r="73551">
      <c r="A73551" s="1" t="n">
        <v>73550</v>
      </c>
      <c r="B73551">
        <f>TEXT(73550, "[$-0E0000]yyyy-mm-dd")</f>
        <v/>
      </c>
      <c r="C73551" t="inlineStr">
        <is>
          <t>2101-04-19</t>
        </is>
      </c>
    </row>
    <row r="73552">
      <c r="A73552" s="1" t="n">
        <v>73551</v>
      </c>
      <c r="B73552">
        <f>TEXT(73551, "[$-0E0000]yyyy-mm-dd")</f>
        <v/>
      </c>
      <c r="C73552" t="inlineStr">
        <is>
          <t>2101-04-20</t>
        </is>
      </c>
    </row>
    <row r="73553">
      <c r="A73553" s="1" t="n">
        <v>73552</v>
      </c>
      <c r="B73553">
        <f>TEXT(73552, "[$-0E0000]yyyy-mm-dd")</f>
        <v/>
      </c>
      <c r="C73553" t="inlineStr">
        <is>
          <t>2101-04-21</t>
        </is>
      </c>
    </row>
    <row r="73554">
      <c r="A73554" s="1" t="n">
        <v>73553</v>
      </c>
      <c r="B73554">
        <f>TEXT(73553, "[$-0E0000]yyyy-mm-dd")</f>
        <v/>
      </c>
      <c r="C73554" t="inlineStr">
        <is>
          <t>2101-04-22</t>
        </is>
      </c>
    </row>
    <row r="73555">
      <c r="A73555" s="1" t="n">
        <v>73554</v>
      </c>
      <c r="B73555">
        <f>TEXT(73554, "[$-0E0000]yyyy-mm-dd")</f>
        <v/>
      </c>
      <c r="C73555" t="inlineStr">
        <is>
          <t>2101-04-23</t>
        </is>
      </c>
    </row>
    <row r="73556">
      <c r="A73556" s="1" t="n">
        <v>73555</v>
      </c>
      <c r="B73556">
        <f>TEXT(73555, "[$-0E0000]yyyy-mm-dd")</f>
        <v/>
      </c>
      <c r="C73556" t="inlineStr">
        <is>
          <t>2101-04-24</t>
        </is>
      </c>
    </row>
    <row r="73557">
      <c r="A73557" s="1" t="n">
        <v>73556</v>
      </c>
      <c r="B73557">
        <f>TEXT(73556, "[$-0E0000]yyyy-mm-dd")</f>
        <v/>
      </c>
      <c r="C73557" t="inlineStr">
        <is>
          <t>2101-04-25</t>
        </is>
      </c>
    </row>
    <row r="73558">
      <c r="A73558" s="1" t="n">
        <v>73557</v>
      </c>
      <c r="B73558">
        <f>TEXT(73557, "[$-0E0000]yyyy-mm-dd")</f>
        <v/>
      </c>
      <c r="C73558" t="inlineStr">
        <is>
          <t>2101-04-26</t>
        </is>
      </c>
    </row>
    <row r="73559">
      <c r="A73559" s="1" t="n">
        <v>73558</v>
      </c>
      <c r="B73559">
        <f>TEXT(73558, "[$-0E0000]yyyy-mm-dd")</f>
        <v/>
      </c>
      <c r="C73559" t="inlineStr">
        <is>
          <t>2101-04-27</t>
        </is>
      </c>
    </row>
    <row r="73560">
      <c r="A73560" s="1" t="n">
        <v>73559</v>
      </c>
      <c r="B73560">
        <f>TEXT(73559, "[$-0E0000]yyyy-mm-dd")</f>
        <v/>
      </c>
      <c r="C73560" t="inlineStr">
        <is>
          <t>2101-04-28</t>
        </is>
      </c>
    </row>
    <row r="73561">
      <c r="A73561" s="1" t="n">
        <v>73560</v>
      </c>
      <c r="B73561">
        <f>TEXT(73560, "[$-0E0000]yyyy-mm-dd")</f>
        <v/>
      </c>
      <c r="C73561" t="inlineStr">
        <is>
          <t>2101-04-29</t>
        </is>
      </c>
    </row>
    <row r="73562">
      <c r="A73562" s="1" t="n">
        <v>73561</v>
      </c>
      <c r="B73562">
        <f>TEXT(73561, "[$-0E0000]yyyy-mm-dd")</f>
        <v/>
      </c>
      <c r="C73562" t="inlineStr">
        <is>
          <t>2101-04-30</t>
        </is>
      </c>
    </row>
    <row r="73563">
      <c r="A73563" s="1" t="n">
        <v>73562</v>
      </c>
      <c r="B73563">
        <f>TEXT(73562, "[$-0E0000]yyyy-mm-dd")</f>
        <v/>
      </c>
      <c r="C73563" t="inlineStr">
        <is>
          <t>2101-05-01</t>
        </is>
      </c>
    </row>
    <row r="73564">
      <c r="A73564" s="1" t="n">
        <v>73563</v>
      </c>
      <c r="B73564">
        <f>TEXT(73563, "[$-0E0000]yyyy-mm-dd")</f>
        <v/>
      </c>
      <c r="C73564" t="inlineStr">
        <is>
          <t>2101-05-02</t>
        </is>
      </c>
    </row>
    <row r="73565">
      <c r="A73565" s="1" t="n">
        <v>73564</v>
      </c>
      <c r="B73565">
        <f>TEXT(73564, "[$-0E0000]yyyy-mm-dd")</f>
        <v/>
      </c>
      <c r="C73565" t="inlineStr">
        <is>
          <t>2101-05-03</t>
        </is>
      </c>
    </row>
    <row r="73566">
      <c r="A73566" s="1" t="n">
        <v>73565</v>
      </c>
      <c r="B73566">
        <f>TEXT(73565, "[$-0E0000]yyyy-mm-dd")</f>
        <v/>
      </c>
      <c r="C73566" t="inlineStr">
        <is>
          <t>2101-05-04</t>
        </is>
      </c>
    </row>
    <row r="73567">
      <c r="A73567" s="1" t="n">
        <v>73566</v>
      </c>
      <c r="B73567">
        <f>TEXT(73566, "[$-0E0000]yyyy-mm-dd")</f>
        <v/>
      </c>
      <c r="C73567" t="inlineStr">
        <is>
          <t>2101-05-05</t>
        </is>
      </c>
    </row>
    <row r="73568">
      <c r="A73568" s="1" t="n">
        <v>73567</v>
      </c>
      <c r="B73568">
        <f>TEXT(73567, "[$-0E0000]yyyy-mm-dd")</f>
        <v/>
      </c>
      <c r="C73568" t="inlineStr">
        <is>
          <t>2101-05-06</t>
        </is>
      </c>
    </row>
    <row r="73569">
      <c r="A73569" s="1" t="n">
        <v>73568</v>
      </c>
      <c r="B73569">
        <f>TEXT(73568, "[$-0E0000]yyyy-mm-dd")</f>
        <v/>
      </c>
      <c r="C73569" t="inlineStr">
        <is>
          <t>2101-05-07</t>
        </is>
      </c>
    </row>
    <row r="73570">
      <c r="A73570" s="1" t="n">
        <v>73569</v>
      </c>
      <c r="B73570">
        <f>TEXT(73569, "[$-0E0000]yyyy-mm-dd")</f>
        <v/>
      </c>
      <c r="C73570" t="inlineStr">
        <is>
          <t>2101-05-08</t>
        </is>
      </c>
    </row>
    <row r="73571">
      <c r="A73571" s="1" t="n">
        <v>73570</v>
      </c>
      <c r="B73571">
        <f>TEXT(73570, "[$-0E0000]yyyy-mm-dd")</f>
        <v/>
      </c>
      <c r="C73571" t="inlineStr">
        <is>
          <t>2101-05-09</t>
        </is>
      </c>
    </row>
    <row r="73572">
      <c r="A73572" s="1" t="n">
        <v>73571</v>
      </c>
      <c r="B73572">
        <f>TEXT(73571, "[$-0E0000]yyyy-mm-dd")</f>
        <v/>
      </c>
      <c r="C73572" t="inlineStr">
        <is>
          <t>2101-05-10</t>
        </is>
      </c>
    </row>
    <row r="73573">
      <c r="A73573" s="1" t="n">
        <v>73572</v>
      </c>
      <c r="B73573">
        <f>TEXT(73572, "[$-0E0000]yyyy-mm-dd")</f>
        <v/>
      </c>
      <c r="C73573" t="inlineStr">
        <is>
          <t>2101-05-11</t>
        </is>
      </c>
    </row>
    <row r="73574">
      <c r="A73574" s="1" t="n">
        <v>73573</v>
      </c>
      <c r="B73574">
        <f>TEXT(73573, "[$-0E0000]yyyy-mm-dd")</f>
        <v/>
      </c>
      <c r="C73574" t="inlineStr">
        <is>
          <t>2101-05-12</t>
        </is>
      </c>
    </row>
    <row r="73575">
      <c r="A73575" s="1" t="n">
        <v>73574</v>
      </c>
      <c r="B73575">
        <f>TEXT(73574, "[$-0E0000]yyyy-mm-dd")</f>
        <v/>
      </c>
      <c r="C73575" t="inlineStr">
        <is>
          <t>2101-05-13</t>
        </is>
      </c>
    </row>
    <row r="73576">
      <c r="A73576" s="1" t="n">
        <v>73575</v>
      </c>
      <c r="B73576">
        <f>TEXT(73575, "[$-0E0000]yyyy-mm-dd")</f>
        <v/>
      </c>
      <c r="C73576" t="inlineStr">
        <is>
          <t>2101-05-14</t>
        </is>
      </c>
    </row>
    <row r="73577">
      <c r="A73577" s="1" t="n">
        <v>73576</v>
      </c>
      <c r="B73577">
        <f>TEXT(73576, "[$-0E0000]yyyy-mm-dd")</f>
        <v/>
      </c>
      <c r="C73577" t="inlineStr">
        <is>
          <t>2101-05-15</t>
        </is>
      </c>
    </row>
    <row r="73578">
      <c r="A73578" s="1" t="n">
        <v>73577</v>
      </c>
      <c r="B73578">
        <f>TEXT(73577, "[$-0E0000]yyyy-mm-dd")</f>
        <v/>
      </c>
      <c r="C73578" t="inlineStr">
        <is>
          <t>2101-05-16</t>
        </is>
      </c>
    </row>
    <row r="73579">
      <c r="A73579" s="1" t="n">
        <v>73578</v>
      </c>
      <c r="B73579">
        <f>TEXT(73578, "[$-0E0000]yyyy-mm-dd")</f>
        <v/>
      </c>
      <c r="C73579" t="inlineStr">
        <is>
          <t>2101-05-17</t>
        </is>
      </c>
    </row>
    <row r="73580">
      <c r="A73580" s="1" t="n">
        <v>73579</v>
      </c>
      <c r="B73580">
        <f>TEXT(73579, "[$-0E0000]yyyy-mm-dd")</f>
        <v/>
      </c>
      <c r="C73580" t="inlineStr">
        <is>
          <t>2101-05-18</t>
        </is>
      </c>
    </row>
    <row r="73581">
      <c r="A73581" s="1" t="n">
        <v>73580</v>
      </c>
      <c r="B73581">
        <f>TEXT(73580, "[$-0E0000]yyyy-mm-dd")</f>
        <v/>
      </c>
      <c r="C73581" t="inlineStr">
        <is>
          <t>2101-05-19</t>
        </is>
      </c>
    </row>
    <row r="73582">
      <c r="A73582" s="1" t="n">
        <v>73581</v>
      </c>
      <c r="B73582">
        <f>TEXT(73581, "[$-0E0000]yyyy-mm-dd")</f>
        <v/>
      </c>
      <c r="C73582" t="inlineStr">
        <is>
          <t>2101-05-20</t>
        </is>
      </c>
    </row>
    <row r="73583">
      <c r="A73583" s="1" t="n">
        <v>73582</v>
      </c>
      <c r="B73583">
        <f>TEXT(73582, "[$-0E0000]yyyy-mm-dd")</f>
        <v/>
      </c>
      <c r="C73583" t="inlineStr">
        <is>
          <t>2101-05-21</t>
        </is>
      </c>
    </row>
    <row r="73584">
      <c r="A73584" s="1" t="n">
        <v>73583</v>
      </c>
      <c r="B73584">
        <f>TEXT(73583, "[$-0E0000]yyyy-mm-dd")</f>
        <v/>
      </c>
      <c r="C73584" t="inlineStr">
        <is>
          <t>2101-05-22</t>
        </is>
      </c>
    </row>
    <row r="73585">
      <c r="A73585" s="1" t="n">
        <v>73584</v>
      </c>
      <c r="B73585">
        <f>TEXT(73584, "[$-0E0000]yyyy-mm-dd")</f>
        <v/>
      </c>
      <c r="C73585" t="inlineStr">
        <is>
          <t>2101-05-23</t>
        </is>
      </c>
    </row>
    <row r="73586">
      <c r="A73586" s="1" t="n">
        <v>73585</v>
      </c>
      <c r="B73586">
        <f>TEXT(73585, "[$-0E0000]yyyy-mm-dd")</f>
        <v/>
      </c>
      <c r="C73586" t="inlineStr">
        <is>
          <t>2101-05-24</t>
        </is>
      </c>
    </row>
    <row r="73587">
      <c r="A73587" s="1" t="n">
        <v>73586</v>
      </c>
      <c r="B73587">
        <f>TEXT(73586, "[$-0E0000]yyyy-mm-dd")</f>
        <v/>
      </c>
      <c r="C73587" t="inlineStr">
        <is>
          <t>2101-05-25</t>
        </is>
      </c>
    </row>
    <row r="73588">
      <c r="A73588" s="1" t="n">
        <v>73587</v>
      </c>
      <c r="B73588">
        <f>TEXT(73587, "[$-0E0000]yyyy-mm-dd")</f>
        <v/>
      </c>
      <c r="C73588" t="inlineStr">
        <is>
          <t>2101-05-26</t>
        </is>
      </c>
    </row>
    <row r="73589">
      <c r="A73589" s="1" t="n">
        <v>73588</v>
      </c>
      <c r="B73589">
        <f>TEXT(73588, "[$-0E0000]yyyy-mm-dd")</f>
        <v/>
      </c>
      <c r="C73589" t="inlineStr">
        <is>
          <t>2101-05-27</t>
        </is>
      </c>
    </row>
    <row r="73590">
      <c r="A73590" s="1" t="n">
        <v>73589</v>
      </c>
      <c r="B73590">
        <f>TEXT(73589, "[$-0E0000]yyyy-mm-dd")</f>
        <v/>
      </c>
      <c r="C73590" t="inlineStr">
        <is>
          <t>2101-05-28</t>
        </is>
      </c>
    </row>
    <row r="73591">
      <c r="A73591" s="1" t="n">
        <v>73590</v>
      </c>
      <c r="B73591">
        <f>TEXT(73590, "[$-0E0000]yyyy-mm-dd")</f>
        <v/>
      </c>
      <c r="C73591" t="inlineStr">
        <is>
          <t>2101-05-29</t>
        </is>
      </c>
    </row>
    <row r="73592">
      <c r="A73592" s="1" t="n">
        <v>73591</v>
      </c>
      <c r="B73592">
        <f>TEXT(73591, "[$-0E0000]yyyy-mm-dd")</f>
        <v/>
      </c>
      <c r="C73592" t="inlineStr">
        <is>
          <t>2101-05-30</t>
        </is>
      </c>
    </row>
    <row r="73593">
      <c r="A73593" s="1" t="n">
        <v>73592</v>
      </c>
      <c r="B73593">
        <f>TEXT(73592, "[$-0E0000]yyyy-mm-dd")</f>
        <v/>
      </c>
      <c r="C73593" t="inlineStr">
        <is>
          <t>2101-06-01</t>
        </is>
      </c>
    </row>
    <row r="73594">
      <c r="A73594" s="1" t="n">
        <v>73593</v>
      </c>
      <c r="B73594">
        <f>TEXT(73593, "[$-0E0000]yyyy-mm-dd")</f>
        <v/>
      </c>
      <c r="C73594" t="inlineStr">
        <is>
          <t>2101-06-02</t>
        </is>
      </c>
    </row>
    <row r="73595">
      <c r="A73595" s="1" t="n">
        <v>73594</v>
      </c>
      <c r="B73595">
        <f>TEXT(73594, "[$-0E0000]yyyy-mm-dd")</f>
        <v/>
      </c>
      <c r="C73595" t="inlineStr">
        <is>
          <t>2101-06-03</t>
        </is>
      </c>
    </row>
    <row r="73596">
      <c r="A73596" s="1" t="n">
        <v>73595</v>
      </c>
      <c r="B73596">
        <f>TEXT(73595, "[$-0E0000]yyyy-mm-dd")</f>
        <v/>
      </c>
      <c r="C73596" t="inlineStr">
        <is>
          <t>2101-06-04</t>
        </is>
      </c>
    </row>
    <row r="73597">
      <c r="A73597" s="1" t="n">
        <v>73596</v>
      </c>
      <c r="B73597">
        <f>TEXT(73596, "[$-0E0000]yyyy-mm-dd")</f>
        <v/>
      </c>
      <c r="C73597" t="inlineStr">
        <is>
          <t>2101-06-05</t>
        </is>
      </c>
    </row>
    <row r="73598">
      <c r="A73598" s="1" t="n">
        <v>73597</v>
      </c>
      <c r="B73598">
        <f>TEXT(73597, "[$-0E0000]yyyy-mm-dd")</f>
        <v/>
      </c>
      <c r="C73598" t="inlineStr">
        <is>
          <t>2101-06-06</t>
        </is>
      </c>
    </row>
    <row r="73599">
      <c r="A73599" s="1" t="n">
        <v>73598</v>
      </c>
      <c r="B73599">
        <f>TEXT(73598, "[$-0E0000]yyyy-mm-dd")</f>
        <v/>
      </c>
      <c r="C73599" t="inlineStr">
        <is>
          <t>2101-06-07</t>
        </is>
      </c>
    </row>
    <row r="73600">
      <c r="A73600" s="1" t="n">
        <v>73599</v>
      </c>
      <c r="B73600">
        <f>TEXT(73599, "[$-0E0000]yyyy-mm-dd")</f>
        <v/>
      </c>
      <c r="C73600" t="inlineStr">
        <is>
          <t>2101-06-08</t>
        </is>
      </c>
    </row>
    <row r="73601">
      <c r="A73601" s="1" t="n">
        <v>73600</v>
      </c>
      <c r="B73601">
        <f>TEXT(73600, "[$-0E0000]yyyy-mm-dd")</f>
        <v/>
      </c>
      <c r="C73601" t="inlineStr">
        <is>
          <t>2101-06-09</t>
        </is>
      </c>
    </row>
    <row r="73602">
      <c r="A73602" s="1" t="n">
        <v>73601</v>
      </c>
      <c r="B73602">
        <f>TEXT(73601, "[$-0E0000]yyyy-mm-dd")</f>
        <v/>
      </c>
      <c r="C73602" t="inlineStr">
        <is>
          <t>2101-06-10</t>
        </is>
      </c>
    </row>
    <row r="73603">
      <c r="A73603" s="1" t="n">
        <v>73602</v>
      </c>
      <c r="B73603">
        <f>TEXT(73602, "[$-0E0000]yyyy-mm-dd")</f>
        <v/>
      </c>
      <c r="C73603" t="inlineStr">
        <is>
          <t>2101-06-11</t>
        </is>
      </c>
    </row>
    <row r="73604">
      <c r="A73604" s="1" t="n">
        <v>73603</v>
      </c>
      <c r="B73604">
        <f>TEXT(73603, "[$-0E0000]yyyy-mm-dd")</f>
        <v/>
      </c>
      <c r="C73604" t="inlineStr">
        <is>
          <t>2101-06-12</t>
        </is>
      </c>
    </row>
    <row r="73605">
      <c r="A73605" s="1" t="n">
        <v>73604</v>
      </c>
      <c r="B73605">
        <f>TEXT(73604, "[$-0E0000]yyyy-mm-dd")</f>
        <v/>
      </c>
      <c r="C73605" t="inlineStr">
        <is>
          <t>2101-06-13</t>
        </is>
      </c>
    </row>
    <row r="73606">
      <c r="A73606" s="1" t="n">
        <v>73605</v>
      </c>
      <c r="B73606">
        <f>TEXT(73605, "[$-0E0000]yyyy-mm-dd")</f>
        <v/>
      </c>
      <c r="C73606" t="inlineStr">
        <is>
          <t>2101-06-14</t>
        </is>
      </c>
    </row>
    <row r="73607">
      <c r="A73607" s="1" t="n">
        <v>73606</v>
      </c>
      <c r="B73607">
        <f>TEXT(73606, "[$-0E0000]yyyy-mm-dd")</f>
        <v/>
      </c>
      <c r="C73607" t="inlineStr">
        <is>
          <t>2101-06-15</t>
        </is>
      </c>
    </row>
    <row r="73608">
      <c r="A73608" s="1" t="n">
        <v>73607</v>
      </c>
      <c r="B73608">
        <f>TEXT(73607, "[$-0E0000]yyyy-mm-dd")</f>
        <v/>
      </c>
      <c r="C73608" t="inlineStr">
        <is>
          <t>2101-06-16</t>
        </is>
      </c>
    </row>
    <row r="73609">
      <c r="A73609" s="1" t="n">
        <v>73608</v>
      </c>
      <c r="B73609">
        <f>TEXT(73608, "[$-0E0000]yyyy-mm-dd")</f>
        <v/>
      </c>
      <c r="C73609" t="inlineStr">
        <is>
          <t>2101-06-17</t>
        </is>
      </c>
    </row>
    <row r="73610">
      <c r="A73610" s="1" t="n">
        <v>73609</v>
      </c>
      <c r="B73610">
        <f>TEXT(73609, "[$-0E0000]yyyy-mm-dd")</f>
        <v/>
      </c>
      <c r="C73610" t="inlineStr">
        <is>
          <t>2101-06-18</t>
        </is>
      </c>
    </row>
    <row r="73611">
      <c r="A73611" s="1" t="n">
        <v>73610</v>
      </c>
      <c r="B73611">
        <f>TEXT(73610, "[$-0E0000]yyyy-mm-dd")</f>
        <v/>
      </c>
      <c r="C73611" t="inlineStr">
        <is>
          <t>2101-06-19</t>
        </is>
      </c>
    </row>
    <row r="73612">
      <c r="A73612" s="1" t="n">
        <v>73611</v>
      </c>
      <c r="B73612">
        <f>TEXT(73611, "[$-0E0000]yyyy-mm-dd")</f>
        <v/>
      </c>
      <c r="C73612" t="inlineStr">
        <is>
          <t>2101-06-20</t>
        </is>
      </c>
    </row>
    <row r="73613">
      <c r="A73613" s="1" t="n">
        <v>73612</v>
      </c>
      <c r="B73613">
        <f>TEXT(73612, "[$-0E0000]yyyy-mm-dd")</f>
        <v/>
      </c>
      <c r="C73613" t="inlineStr">
        <is>
          <t>2101-06-21</t>
        </is>
      </c>
    </row>
    <row r="73614">
      <c r="A73614" s="1" t="n">
        <v>73613</v>
      </c>
      <c r="B73614">
        <f>TEXT(73613, "[$-0E0000]yyyy-mm-dd")</f>
        <v/>
      </c>
      <c r="C73614" t="inlineStr">
        <is>
          <t>2101-06-22</t>
        </is>
      </c>
    </row>
    <row r="73615">
      <c r="A73615" s="1" t="n">
        <v>73614</v>
      </c>
      <c r="B73615">
        <f>TEXT(73614, "[$-0E0000]yyyy-mm-dd")</f>
        <v/>
      </c>
      <c r="C73615" t="inlineStr">
        <is>
          <t>2101-06-23</t>
        </is>
      </c>
    </row>
    <row r="73616">
      <c r="A73616" s="1" t="n">
        <v>73615</v>
      </c>
      <c r="B73616">
        <f>TEXT(73615, "[$-0E0000]yyyy-mm-dd")</f>
        <v/>
      </c>
      <c r="C73616" t="inlineStr">
        <is>
          <t>2101-06-24</t>
        </is>
      </c>
    </row>
    <row r="73617">
      <c r="A73617" s="1" t="n">
        <v>73616</v>
      </c>
      <c r="B73617">
        <f>TEXT(73616, "[$-0E0000]yyyy-mm-dd")</f>
        <v/>
      </c>
      <c r="C73617" t="inlineStr">
        <is>
          <t>2101-06-25</t>
        </is>
      </c>
    </row>
    <row r="73618">
      <c r="A73618" s="1" t="n">
        <v>73617</v>
      </c>
      <c r="B73618">
        <f>TEXT(73617, "[$-0E0000]yyyy-mm-dd")</f>
        <v/>
      </c>
      <c r="C73618" t="inlineStr">
        <is>
          <t>2101-06-26</t>
        </is>
      </c>
    </row>
    <row r="73619">
      <c r="A73619" s="1" t="n">
        <v>73618</v>
      </c>
      <c r="B73619">
        <f>TEXT(73618, "[$-0E0000]yyyy-mm-dd")</f>
        <v/>
      </c>
      <c r="C73619" t="inlineStr">
        <is>
          <t>2101-06-27</t>
        </is>
      </c>
    </row>
    <row r="73620">
      <c r="A73620" s="1" t="n">
        <v>73619</v>
      </c>
      <c r="B73620">
        <f>TEXT(73619, "[$-0E0000]yyyy-mm-dd")</f>
        <v/>
      </c>
      <c r="C73620" t="inlineStr">
        <is>
          <t>2101-06-28</t>
        </is>
      </c>
    </row>
    <row r="73621">
      <c r="A73621" s="1" t="n">
        <v>73620</v>
      </c>
      <c r="B73621">
        <f>TEXT(73620, "[$-0E0000]yyyy-mm-dd")</f>
        <v/>
      </c>
      <c r="C73621" t="inlineStr">
        <is>
          <t>2101-06-29</t>
        </is>
      </c>
    </row>
    <row r="73622">
      <c r="A73622" s="1" t="n">
        <v>73621</v>
      </c>
      <c r="B73622">
        <f>TEXT(73621, "[$-0E0000]yyyy-mm-dd")</f>
        <v/>
      </c>
      <c r="C73622" t="inlineStr">
        <is>
          <t>2101-07-01</t>
        </is>
      </c>
    </row>
    <row r="73623">
      <c r="A73623" s="1" t="n">
        <v>73622</v>
      </c>
      <c r="B73623">
        <f>TEXT(73622, "[$-0E0000]yyyy-mm-dd")</f>
        <v/>
      </c>
      <c r="C73623" t="inlineStr">
        <is>
          <t>2101-07-02</t>
        </is>
      </c>
    </row>
    <row r="73624">
      <c r="A73624" s="1" t="n">
        <v>73623</v>
      </c>
      <c r="B73624">
        <f>TEXT(73623, "[$-0E0000]yyyy-mm-dd")</f>
        <v/>
      </c>
      <c r="C73624" t="inlineStr">
        <is>
          <t>2101-07-03</t>
        </is>
      </c>
    </row>
    <row r="73625">
      <c r="A73625" s="1" t="n">
        <v>73624</v>
      </c>
      <c r="B73625">
        <f>TEXT(73624, "[$-0E0000]yyyy-mm-dd")</f>
        <v/>
      </c>
      <c r="C73625" t="inlineStr">
        <is>
          <t>2101-07-04</t>
        </is>
      </c>
    </row>
    <row r="73626">
      <c r="A73626" s="1" t="n">
        <v>73625</v>
      </c>
      <c r="B73626">
        <f>TEXT(73625, "[$-0E0000]yyyy-mm-dd")</f>
        <v/>
      </c>
      <c r="C73626" t="inlineStr">
        <is>
          <t>2101-07-05</t>
        </is>
      </c>
    </row>
    <row r="73627">
      <c r="A73627" s="1" t="n">
        <v>73626</v>
      </c>
      <c r="B73627">
        <f>TEXT(73626, "[$-0E0000]yyyy-mm-dd")</f>
        <v/>
      </c>
      <c r="C73627" t="inlineStr">
        <is>
          <t>2101-07-06</t>
        </is>
      </c>
    </row>
    <row r="73628">
      <c r="A73628" s="1" t="n">
        <v>73627</v>
      </c>
      <c r="B73628">
        <f>TEXT(73627, "[$-0E0000]yyyy-mm-dd")</f>
        <v/>
      </c>
      <c r="C73628" t="inlineStr">
        <is>
          <t>2101-07-07</t>
        </is>
      </c>
    </row>
    <row r="73629">
      <c r="A73629" s="1" t="n">
        <v>73628</v>
      </c>
      <c r="B73629">
        <f>TEXT(73628, "[$-0E0000]yyyy-mm-dd")</f>
        <v/>
      </c>
      <c r="C73629" t="inlineStr">
        <is>
          <t>2101-07-08</t>
        </is>
      </c>
    </row>
    <row r="73630">
      <c r="A73630" s="1" t="n">
        <v>73629</v>
      </c>
      <c r="B73630">
        <f>TEXT(73629, "[$-0E0000]yyyy-mm-dd")</f>
        <v/>
      </c>
      <c r="C73630" t="inlineStr">
        <is>
          <t>2101-07-09</t>
        </is>
      </c>
    </row>
    <row r="73631">
      <c r="A73631" s="1" t="n">
        <v>73630</v>
      </c>
      <c r="B73631">
        <f>TEXT(73630, "[$-0E0000]yyyy-mm-dd")</f>
        <v/>
      </c>
      <c r="C73631" t="inlineStr">
        <is>
          <t>2101-07-10</t>
        </is>
      </c>
    </row>
    <row r="73632">
      <c r="A73632" s="1" t="n">
        <v>73631</v>
      </c>
      <c r="B73632">
        <f>TEXT(73631, "[$-0E0000]yyyy-mm-dd")</f>
        <v/>
      </c>
      <c r="C73632" t="inlineStr">
        <is>
          <t>2101-07-11</t>
        </is>
      </c>
    </row>
    <row r="73633">
      <c r="A73633" s="1" t="n">
        <v>73632</v>
      </c>
      <c r="B73633">
        <f>TEXT(73632, "[$-0E0000]yyyy-mm-dd")</f>
        <v/>
      </c>
      <c r="C73633" t="inlineStr">
        <is>
          <t>2101-07-12</t>
        </is>
      </c>
    </row>
    <row r="73634">
      <c r="A73634" s="1" t="n">
        <v>73633</v>
      </c>
      <c r="B73634">
        <f>TEXT(73633, "[$-0E0000]yyyy-mm-dd")</f>
        <v/>
      </c>
      <c r="C73634" t="inlineStr">
        <is>
          <t>2101-07-13</t>
        </is>
      </c>
    </row>
    <row r="73635">
      <c r="A73635" s="1" t="n">
        <v>73634</v>
      </c>
      <c r="B73635">
        <f>TEXT(73634, "[$-0E0000]yyyy-mm-dd")</f>
        <v/>
      </c>
      <c r="C73635" t="inlineStr">
        <is>
          <t>2101-07-14</t>
        </is>
      </c>
    </row>
    <row r="73636">
      <c r="A73636" s="1" t="n">
        <v>73635</v>
      </c>
      <c r="B73636">
        <f>TEXT(73635, "[$-0E0000]yyyy-mm-dd")</f>
        <v/>
      </c>
      <c r="C73636" t="inlineStr">
        <is>
          <t>2101-07-15</t>
        </is>
      </c>
    </row>
    <row r="73637">
      <c r="A73637" s="1" t="n">
        <v>73636</v>
      </c>
      <c r="B73637">
        <f>TEXT(73636, "[$-0E0000]yyyy-mm-dd")</f>
        <v/>
      </c>
      <c r="C73637" t="inlineStr">
        <is>
          <t>2101-07-16</t>
        </is>
      </c>
    </row>
    <row r="73638">
      <c r="A73638" s="1" t="n">
        <v>73637</v>
      </c>
      <c r="B73638">
        <f>TEXT(73637, "[$-0E0000]yyyy-mm-dd")</f>
        <v/>
      </c>
      <c r="C73638" t="inlineStr">
        <is>
          <t>2101-07-17</t>
        </is>
      </c>
    </row>
    <row r="73639">
      <c r="A73639" s="1" t="n">
        <v>73638</v>
      </c>
      <c r="B73639">
        <f>TEXT(73638, "[$-0E0000]yyyy-mm-dd")</f>
        <v/>
      </c>
      <c r="C73639" t="inlineStr">
        <is>
          <t>2101-07-18</t>
        </is>
      </c>
    </row>
    <row r="73640">
      <c r="A73640" s="1" t="n">
        <v>73639</v>
      </c>
      <c r="B73640">
        <f>TEXT(73639, "[$-0E0000]yyyy-mm-dd")</f>
        <v/>
      </c>
      <c r="C73640" t="inlineStr">
        <is>
          <t>2101-07-19</t>
        </is>
      </c>
    </row>
    <row r="73641">
      <c r="A73641" s="1" t="n">
        <v>73640</v>
      </c>
      <c r="B73641">
        <f>TEXT(73640, "[$-0E0000]yyyy-mm-dd")</f>
        <v/>
      </c>
      <c r="C73641" t="inlineStr">
        <is>
          <t>2101-07-20</t>
        </is>
      </c>
    </row>
    <row r="73642">
      <c r="A73642" s="1" t="n">
        <v>73641</v>
      </c>
      <c r="B73642">
        <f>TEXT(73641, "[$-0E0000]yyyy-mm-dd")</f>
        <v/>
      </c>
      <c r="C73642" t="inlineStr">
        <is>
          <t>2101-07-21</t>
        </is>
      </c>
    </row>
    <row r="73643">
      <c r="A73643" s="1" t="n">
        <v>73642</v>
      </c>
      <c r="B73643">
        <f>TEXT(73642, "[$-0E0000]yyyy-mm-dd")</f>
        <v/>
      </c>
      <c r="C73643" t="inlineStr">
        <is>
          <t>2101-07-22</t>
        </is>
      </c>
    </row>
    <row r="73644">
      <c r="A73644" s="1" t="n">
        <v>73643</v>
      </c>
      <c r="B73644">
        <f>TEXT(73643, "[$-0E0000]yyyy-mm-dd")</f>
        <v/>
      </c>
      <c r="C73644" t="inlineStr">
        <is>
          <t>2101-07-23</t>
        </is>
      </c>
    </row>
    <row r="73645">
      <c r="A73645" s="1" t="n">
        <v>73644</v>
      </c>
      <c r="B73645">
        <f>TEXT(73644, "[$-0E0000]yyyy-mm-dd")</f>
        <v/>
      </c>
      <c r="C73645" t="inlineStr">
        <is>
          <t>2101-07-24</t>
        </is>
      </c>
    </row>
    <row r="73646">
      <c r="A73646" s="1" t="n">
        <v>73645</v>
      </c>
      <c r="B73646">
        <f>TEXT(73645, "[$-0E0000]yyyy-mm-dd")</f>
        <v/>
      </c>
      <c r="C73646" t="inlineStr">
        <is>
          <t>2101-07-25</t>
        </is>
      </c>
    </row>
    <row r="73647">
      <c r="A73647" s="1" t="n">
        <v>73646</v>
      </c>
      <c r="B73647">
        <f>TEXT(73646, "[$-0E0000]yyyy-mm-dd")</f>
        <v/>
      </c>
      <c r="C73647" t="inlineStr">
        <is>
          <t>2101-07-26</t>
        </is>
      </c>
    </row>
    <row r="73648">
      <c r="A73648" s="1" t="n">
        <v>73647</v>
      </c>
      <c r="B73648">
        <f>TEXT(73647, "[$-0E0000]yyyy-mm-dd")</f>
        <v/>
      </c>
      <c r="C73648" t="inlineStr">
        <is>
          <t>2101-07-27</t>
        </is>
      </c>
    </row>
    <row r="73649">
      <c r="A73649" s="1" t="n">
        <v>73648</v>
      </c>
      <c r="B73649">
        <f>TEXT(73648, "[$-0E0000]yyyy-mm-dd")</f>
        <v/>
      </c>
      <c r="C73649" t="inlineStr">
        <is>
          <t>2101-07-28</t>
        </is>
      </c>
    </row>
    <row r="73650">
      <c r="A73650" s="1" t="n">
        <v>73649</v>
      </c>
      <c r="B73650">
        <f>TEXT(73649, "[$-0E0000]yyyy-mm-dd")</f>
        <v/>
      </c>
      <c r="C73650" t="inlineStr">
        <is>
          <t>2101-07-29</t>
        </is>
      </c>
    </row>
    <row r="73651">
      <c r="A73651" s="1" t="n">
        <v>73650</v>
      </c>
      <c r="B73651">
        <f>TEXT(73650, "[$-0E0000]yyyy-mm-dd")</f>
        <v/>
      </c>
      <c r="C73651" t="inlineStr">
        <is>
          <t>2101-07-30</t>
        </is>
      </c>
    </row>
    <row r="73652">
      <c r="A73652" s="1" t="n">
        <v>73651</v>
      </c>
      <c r="B73652">
        <f>TEXT(73651, "[$-0E0000]yyyy-mm-dd")</f>
        <v/>
      </c>
      <c r="C73652" t="inlineStr">
        <is>
          <t>2101-07-01</t>
        </is>
      </c>
    </row>
    <row r="73653">
      <c r="A73653" s="1" t="n">
        <v>73652</v>
      </c>
      <c r="B73653">
        <f>TEXT(73652, "[$-0E0000]yyyy-mm-dd")</f>
        <v/>
      </c>
      <c r="C73653" t="inlineStr">
        <is>
          <t>2101-07-02</t>
        </is>
      </c>
    </row>
    <row r="73654">
      <c r="A73654" s="1" t="n">
        <v>73653</v>
      </c>
      <c r="B73654">
        <f>TEXT(73653, "[$-0E0000]yyyy-mm-dd")</f>
        <v/>
      </c>
      <c r="C73654" t="inlineStr">
        <is>
          <t>2101-07-03</t>
        </is>
      </c>
    </row>
    <row r="73655">
      <c r="A73655" s="1" t="n">
        <v>73654</v>
      </c>
      <c r="B73655">
        <f>TEXT(73654, "[$-0E0000]yyyy-mm-dd")</f>
        <v/>
      </c>
      <c r="C73655" t="inlineStr">
        <is>
          <t>2101-07-04</t>
        </is>
      </c>
    </row>
    <row r="73656">
      <c r="A73656" s="1" t="n">
        <v>73655</v>
      </c>
      <c r="B73656">
        <f>TEXT(73655, "[$-0E0000]yyyy-mm-dd")</f>
        <v/>
      </c>
      <c r="C73656" t="inlineStr">
        <is>
          <t>2101-07-05</t>
        </is>
      </c>
    </row>
    <row r="73657">
      <c r="A73657" s="1" t="n">
        <v>73656</v>
      </c>
      <c r="B73657">
        <f>TEXT(73656, "[$-0E0000]yyyy-mm-dd")</f>
        <v/>
      </c>
      <c r="C73657" t="inlineStr">
        <is>
          <t>2101-07-06</t>
        </is>
      </c>
    </row>
    <row r="73658">
      <c r="A73658" s="1" t="n">
        <v>73657</v>
      </c>
      <c r="B73658">
        <f>TEXT(73657, "[$-0E0000]yyyy-mm-dd")</f>
        <v/>
      </c>
      <c r="C73658" t="inlineStr">
        <is>
          <t>2101-07-07</t>
        </is>
      </c>
    </row>
    <row r="73659">
      <c r="A73659" s="1" t="n">
        <v>73658</v>
      </c>
      <c r="B73659">
        <f>TEXT(73658, "[$-0E0000]yyyy-mm-dd")</f>
        <v/>
      </c>
      <c r="C73659" t="inlineStr">
        <is>
          <t>2101-07-08</t>
        </is>
      </c>
    </row>
    <row r="73660">
      <c r="A73660" s="1" t="n">
        <v>73659</v>
      </c>
      <c r="B73660">
        <f>TEXT(73659, "[$-0E0000]yyyy-mm-dd")</f>
        <v/>
      </c>
      <c r="C73660" t="inlineStr">
        <is>
          <t>2101-07-09</t>
        </is>
      </c>
    </row>
    <row r="73661">
      <c r="A73661" s="1" t="n">
        <v>73660</v>
      </c>
      <c r="B73661">
        <f>TEXT(73660, "[$-0E0000]yyyy-mm-dd")</f>
        <v/>
      </c>
      <c r="C73661" t="inlineStr">
        <is>
          <t>2101-07-10</t>
        </is>
      </c>
    </row>
    <row r="73662">
      <c r="A73662" s="1" t="n">
        <v>73661</v>
      </c>
      <c r="B73662">
        <f>TEXT(73661, "[$-0E0000]yyyy-mm-dd")</f>
        <v/>
      </c>
      <c r="C73662" t="inlineStr">
        <is>
          <t>2101-07-11</t>
        </is>
      </c>
    </row>
    <row r="73663">
      <c r="A73663" s="1" t="n">
        <v>73662</v>
      </c>
      <c r="B73663">
        <f>TEXT(73662, "[$-0E0000]yyyy-mm-dd")</f>
        <v/>
      </c>
      <c r="C73663" t="inlineStr">
        <is>
          <t>2101-07-12</t>
        </is>
      </c>
    </row>
    <row r="73664">
      <c r="A73664" s="1" t="n">
        <v>73663</v>
      </c>
      <c r="B73664">
        <f>TEXT(73663, "[$-0E0000]yyyy-mm-dd")</f>
        <v/>
      </c>
      <c r="C73664" t="inlineStr">
        <is>
          <t>2101-07-13</t>
        </is>
      </c>
    </row>
    <row r="73665">
      <c r="A73665" s="1" t="n">
        <v>73664</v>
      </c>
      <c r="B73665">
        <f>TEXT(73664, "[$-0E0000]yyyy-mm-dd")</f>
        <v/>
      </c>
      <c r="C73665" t="inlineStr">
        <is>
          <t>2101-07-14</t>
        </is>
      </c>
    </row>
    <row r="73666">
      <c r="A73666" s="1" t="n">
        <v>73665</v>
      </c>
      <c r="B73666">
        <f>TEXT(73665, "[$-0E0000]yyyy-mm-dd")</f>
        <v/>
      </c>
      <c r="C73666" t="inlineStr">
        <is>
          <t>2101-07-15</t>
        </is>
      </c>
    </row>
    <row r="73667">
      <c r="A73667" s="1" t="n">
        <v>73666</v>
      </c>
      <c r="B73667">
        <f>TEXT(73666, "[$-0E0000]yyyy-mm-dd")</f>
        <v/>
      </c>
      <c r="C73667" t="inlineStr">
        <is>
          <t>2101-07-16</t>
        </is>
      </c>
    </row>
    <row r="73668">
      <c r="A73668" s="1" t="n">
        <v>73667</v>
      </c>
      <c r="B73668">
        <f>TEXT(73667, "[$-0E0000]yyyy-mm-dd")</f>
        <v/>
      </c>
      <c r="C73668" t="inlineStr">
        <is>
          <t>2101-07-17</t>
        </is>
      </c>
    </row>
    <row r="73669">
      <c r="A73669" s="1" t="n">
        <v>73668</v>
      </c>
      <c r="B73669">
        <f>TEXT(73668, "[$-0E0000]yyyy-mm-dd")</f>
        <v/>
      </c>
      <c r="C73669" t="inlineStr">
        <is>
          <t>2101-07-18</t>
        </is>
      </c>
    </row>
    <row r="73670">
      <c r="A73670" s="1" t="n">
        <v>73669</v>
      </c>
      <c r="B73670">
        <f>TEXT(73669, "[$-0E0000]yyyy-mm-dd")</f>
        <v/>
      </c>
      <c r="C73670" t="inlineStr">
        <is>
          <t>2101-07-19</t>
        </is>
      </c>
    </row>
    <row r="73671">
      <c r="A73671" s="1" t="n">
        <v>73670</v>
      </c>
      <c r="B73671">
        <f>TEXT(73670, "[$-0E0000]yyyy-mm-dd")</f>
        <v/>
      </c>
      <c r="C73671" t="inlineStr">
        <is>
          <t>2101-07-20</t>
        </is>
      </c>
    </row>
    <row r="73672">
      <c r="A73672" s="1" t="n">
        <v>73671</v>
      </c>
      <c r="B73672">
        <f>TEXT(73671, "[$-0E0000]yyyy-mm-dd")</f>
        <v/>
      </c>
      <c r="C73672" t="inlineStr">
        <is>
          <t>2101-07-21</t>
        </is>
      </c>
    </row>
    <row r="73673">
      <c r="A73673" s="1" t="n">
        <v>73672</v>
      </c>
      <c r="B73673">
        <f>TEXT(73672, "[$-0E0000]yyyy-mm-dd")</f>
        <v/>
      </c>
      <c r="C73673" t="inlineStr">
        <is>
          <t>2101-07-22</t>
        </is>
      </c>
    </row>
    <row r="73674">
      <c r="A73674" s="1" t="n">
        <v>73673</v>
      </c>
      <c r="B73674">
        <f>TEXT(73673, "[$-0E0000]yyyy-mm-dd")</f>
        <v/>
      </c>
      <c r="C73674" t="inlineStr">
        <is>
          <t>2101-07-23</t>
        </is>
      </c>
    </row>
    <row r="73675">
      <c r="A73675" s="1" t="n">
        <v>73674</v>
      </c>
      <c r="B73675">
        <f>TEXT(73674, "[$-0E0000]yyyy-mm-dd")</f>
        <v/>
      </c>
      <c r="C73675" t="inlineStr">
        <is>
          <t>2101-07-24</t>
        </is>
      </c>
    </row>
    <row r="73676">
      <c r="A73676" s="1" t="n">
        <v>73675</v>
      </c>
      <c r="B73676">
        <f>TEXT(73675, "[$-0E0000]yyyy-mm-dd")</f>
        <v/>
      </c>
      <c r="C73676" t="inlineStr">
        <is>
          <t>2101-07-25</t>
        </is>
      </c>
    </row>
    <row r="73677">
      <c r="A73677" s="1" t="n">
        <v>73676</v>
      </c>
      <c r="B73677">
        <f>TEXT(73676, "[$-0E0000]yyyy-mm-dd")</f>
        <v/>
      </c>
      <c r="C73677" t="inlineStr">
        <is>
          <t>2101-07-26</t>
        </is>
      </c>
    </row>
    <row r="73678">
      <c r="A73678" s="1" t="n">
        <v>73677</v>
      </c>
      <c r="B73678">
        <f>TEXT(73677, "[$-0E0000]yyyy-mm-dd")</f>
        <v/>
      </c>
      <c r="C73678" t="inlineStr">
        <is>
          <t>2101-07-27</t>
        </is>
      </c>
    </row>
    <row r="73679">
      <c r="A73679" s="1" t="n">
        <v>73678</v>
      </c>
      <c r="B73679">
        <f>TEXT(73678, "[$-0E0000]yyyy-mm-dd")</f>
        <v/>
      </c>
      <c r="C73679" t="inlineStr">
        <is>
          <t>2101-07-28</t>
        </is>
      </c>
    </row>
    <row r="73680">
      <c r="A73680" s="1" t="n">
        <v>73679</v>
      </c>
      <c r="B73680">
        <f>TEXT(73679, "[$-0E0000]yyyy-mm-dd")</f>
        <v/>
      </c>
      <c r="C73680" t="inlineStr">
        <is>
          <t>2101-07-29</t>
        </is>
      </c>
    </row>
    <row r="73681">
      <c r="A73681" s="1" t="n">
        <v>73680</v>
      </c>
      <c r="B73681">
        <f>TEXT(73680, "[$-0E0000]yyyy-mm-dd")</f>
        <v/>
      </c>
      <c r="C73681" t="inlineStr">
        <is>
          <t>2101-08-01</t>
        </is>
      </c>
    </row>
    <row r="73682">
      <c r="A73682" s="1" t="n">
        <v>73681</v>
      </c>
      <c r="B73682">
        <f>TEXT(73681, "[$-0E0000]yyyy-mm-dd")</f>
        <v/>
      </c>
      <c r="C73682" t="inlineStr">
        <is>
          <t>2101-08-02</t>
        </is>
      </c>
    </row>
    <row r="73683">
      <c r="A73683" s="1" t="n">
        <v>73682</v>
      </c>
      <c r="B73683">
        <f>TEXT(73682, "[$-0E0000]yyyy-mm-dd")</f>
        <v/>
      </c>
      <c r="C73683" t="inlineStr">
        <is>
          <t>2101-08-03</t>
        </is>
      </c>
    </row>
    <row r="73684">
      <c r="A73684" s="1" t="n">
        <v>73683</v>
      </c>
      <c r="B73684">
        <f>TEXT(73683, "[$-0E0000]yyyy-mm-dd")</f>
        <v/>
      </c>
      <c r="C73684" t="inlineStr">
        <is>
          <t>2101-08-04</t>
        </is>
      </c>
    </row>
    <row r="73685">
      <c r="A73685" s="1" t="n">
        <v>73684</v>
      </c>
      <c r="B73685">
        <f>TEXT(73684, "[$-0E0000]yyyy-mm-dd")</f>
        <v/>
      </c>
      <c r="C73685" t="inlineStr">
        <is>
          <t>2101-08-05</t>
        </is>
      </c>
    </row>
    <row r="73686">
      <c r="A73686" s="1" t="n">
        <v>73685</v>
      </c>
      <c r="B73686">
        <f>TEXT(73685, "[$-0E0000]yyyy-mm-dd")</f>
        <v/>
      </c>
      <c r="C73686" t="inlineStr">
        <is>
          <t>2101-08-06</t>
        </is>
      </c>
    </row>
    <row r="73687">
      <c r="A73687" s="1" t="n">
        <v>73686</v>
      </c>
      <c r="B73687">
        <f>TEXT(73686, "[$-0E0000]yyyy-mm-dd")</f>
        <v/>
      </c>
      <c r="C73687" t="inlineStr">
        <is>
          <t>2101-08-07</t>
        </is>
      </c>
    </row>
    <row r="73688">
      <c r="A73688" s="1" t="n">
        <v>73687</v>
      </c>
      <c r="B73688">
        <f>TEXT(73687, "[$-0E0000]yyyy-mm-dd")</f>
        <v/>
      </c>
      <c r="C73688" t="inlineStr">
        <is>
          <t>2101-08-08</t>
        </is>
      </c>
    </row>
    <row r="73689">
      <c r="A73689" s="1" t="n">
        <v>73688</v>
      </c>
      <c r="B73689">
        <f>TEXT(73688, "[$-0E0000]yyyy-mm-dd")</f>
        <v/>
      </c>
      <c r="C73689" t="inlineStr">
        <is>
          <t>2101-08-09</t>
        </is>
      </c>
    </row>
    <row r="73690">
      <c r="A73690" s="1" t="n">
        <v>73689</v>
      </c>
      <c r="B73690">
        <f>TEXT(73689, "[$-0E0000]yyyy-mm-dd")</f>
        <v/>
      </c>
      <c r="C73690" t="inlineStr">
        <is>
          <t>2101-08-10</t>
        </is>
      </c>
    </row>
    <row r="73691">
      <c r="A73691" s="1" t="n">
        <v>73690</v>
      </c>
      <c r="B73691">
        <f>TEXT(73690, "[$-0E0000]yyyy-mm-dd")</f>
        <v/>
      </c>
      <c r="C73691" t="inlineStr">
        <is>
          <t>2101-08-11</t>
        </is>
      </c>
    </row>
    <row r="73692">
      <c r="A73692" s="1" t="n">
        <v>73691</v>
      </c>
      <c r="B73692">
        <f>TEXT(73691, "[$-0E0000]yyyy-mm-dd")</f>
        <v/>
      </c>
      <c r="C73692" t="inlineStr">
        <is>
          <t>2101-08-12</t>
        </is>
      </c>
    </row>
    <row r="73693">
      <c r="A73693" s="1" t="n">
        <v>73692</v>
      </c>
      <c r="B73693">
        <f>TEXT(73692, "[$-0E0000]yyyy-mm-dd")</f>
        <v/>
      </c>
      <c r="C73693" t="inlineStr">
        <is>
          <t>2101-08-13</t>
        </is>
      </c>
    </row>
    <row r="73694">
      <c r="A73694" s="1" t="n">
        <v>73693</v>
      </c>
      <c r="B73694">
        <f>TEXT(73693, "[$-0E0000]yyyy-mm-dd")</f>
        <v/>
      </c>
      <c r="C73694" t="inlineStr">
        <is>
          <t>2101-08-14</t>
        </is>
      </c>
    </row>
    <row r="73695">
      <c r="A73695" s="1" t="n">
        <v>73694</v>
      </c>
      <c r="B73695">
        <f>TEXT(73694, "[$-0E0000]yyyy-mm-dd")</f>
        <v/>
      </c>
      <c r="C73695" t="inlineStr">
        <is>
          <t>2101-08-15</t>
        </is>
      </c>
    </row>
    <row r="73696">
      <c r="A73696" s="1" t="n">
        <v>73695</v>
      </c>
      <c r="B73696">
        <f>TEXT(73695, "[$-0E0000]yyyy-mm-dd")</f>
        <v/>
      </c>
      <c r="C73696" t="inlineStr">
        <is>
          <t>2101-08-16</t>
        </is>
      </c>
    </row>
    <row r="73697">
      <c r="A73697" s="1" t="n">
        <v>73696</v>
      </c>
      <c r="B73697">
        <f>TEXT(73696, "[$-0E0000]yyyy-mm-dd")</f>
        <v/>
      </c>
      <c r="C73697" t="inlineStr">
        <is>
          <t>2101-08-17</t>
        </is>
      </c>
    </row>
    <row r="73698">
      <c r="A73698" s="1" t="n">
        <v>73697</v>
      </c>
      <c r="B73698">
        <f>TEXT(73697, "[$-0E0000]yyyy-mm-dd")</f>
        <v/>
      </c>
      <c r="C73698" t="inlineStr">
        <is>
          <t>2101-08-18</t>
        </is>
      </c>
    </row>
    <row r="73699">
      <c r="A73699" s="1" t="n">
        <v>73698</v>
      </c>
      <c r="B73699">
        <f>TEXT(73698, "[$-0E0000]yyyy-mm-dd")</f>
        <v/>
      </c>
      <c r="C73699" t="inlineStr">
        <is>
          <t>2101-08-19</t>
        </is>
      </c>
    </row>
    <row r="73700">
      <c r="A73700" s="1" t="n">
        <v>73699</v>
      </c>
      <c r="B73700">
        <f>TEXT(73699, "[$-0E0000]yyyy-mm-dd")</f>
        <v/>
      </c>
      <c r="C73700" t="inlineStr">
        <is>
          <t>2101-08-20</t>
        </is>
      </c>
    </row>
    <row r="73701">
      <c r="A73701" s="1" t="n">
        <v>73700</v>
      </c>
      <c r="B73701">
        <f>TEXT(73700, "[$-0E0000]yyyy-mm-dd")</f>
        <v/>
      </c>
      <c r="C73701" t="inlineStr">
        <is>
          <t>2101-08-21</t>
        </is>
      </c>
    </row>
    <row r="73702">
      <c r="A73702" s="1" t="n">
        <v>73701</v>
      </c>
      <c r="B73702">
        <f>TEXT(73701, "[$-0E0000]yyyy-mm-dd")</f>
        <v/>
      </c>
      <c r="C73702" t="inlineStr">
        <is>
          <t>2101-08-22</t>
        </is>
      </c>
    </row>
    <row r="73703">
      <c r="A73703" s="1" t="n">
        <v>73702</v>
      </c>
      <c r="B73703">
        <f>TEXT(73702, "[$-0E0000]yyyy-mm-dd")</f>
        <v/>
      </c>
      <c r="C73703" t="inlineStr">
        <is>
          <t>2101-08-23</t>
        </is>
      </c>
    </row>
    <row r="73704">
      <c r="A73704" s="1" t="n">
        <v>73703</v>
      </c>
      <c r="B73704">
        <f>TEXT(73703, "[$-0E0000]yyyy-mm-dd")</f>
        <v/>
      </c>
      <c r="C73704" t="inlineStr">
        <is>
          <t>2101-08-24</t>
        </is>
      </c>
    </row>
    <row r="73705">
      <c r="A73705" s="1" t="n">
        <v>73704</v>
      </c>
      <c r="B73705">
        <f>TEXT(73704, "[$-0E0000]yyyy-mm-dd")</f>
        <v/>
      </c>
      <c r="C73705" t="inlineStr">
        <is>
          <t>2101-08-25</t>
        </is>
      </c>
    </row>
    <row r="73706">
      <c r="A73706" s="1" t="n">
        <v>73705</v>
      </c>
      <c r="B73706">
        <f>TEXT(73705, "[$-0E0000]yyyy-mm-dd")</f>
        <v/>
      </c>
      <c r="C73706" t="inlineStr">
        <is>
          <t>2101-08-26</t>
        </is>
      </c>
    </row>
    <row r="73707">
      <c r="A73707" s="1" t="n">
        <v>73706</v>
      </c>
      <c r="B73707">
        <f>TEXT(73706, "[$-0E0000]yyyy-mm-dd")</f>
        <v/>
      </c>
      <c r="C73707" t="inlineStr">
        <is>
          <t>2101-08-27</t>
        </is>
      </c>
    </row>
    <row r="73708">
      <c r="A73708" s="1" t="n">
        <v>73707</v>
      </c>
      <c r="B73708">
        <f>TEXT(73707, "[$-0E0000]yyyy-mm-dd")</f>
        <v/>
      </c>
      <c r="C73708" t="inlineStr">
        <is>
          <t>2101-08-28</t>
        </is>
      </c>
    </row>
    <row r="73709">
      <c r="A73709" s="1" t="n">
        <v>73708</v>
      </c>
      <c r="B73709">
        <f>TEXT(73708, "[$-0E0000]yyyy-mm-dd")</f>
        <v/>
      </c>
      <c r="C73709" t="inlineStr">
        <is>
          <t>2101-08-29</t>
        </is>
      </c>
    </row>
    <row r="73710">
      <c r="A73710" s="1" t="n">
        <v>73709</v>
      </c>
      <c r="B73710">
        <f>TEXT(73709, "[$-0E0000]yyyy-mm-dd")</f>
        <v/>
      </c>
      <c r="C73710" t="inlineStr">
        <is>
          <t>2101-08-30</t>
        </is>
      </c>
    </row>
    <row r="73711">
      <c r="A73711" s="1" t="n">
        <v>73710</v>
      </c>
      <c r="B73711">
        <f>TEXT(73710, "[$-0E0000]yyyy-mm-dd")</f>
        <v/>
      </c>
      <c r="C73711" t="inlineStr">
        <is>
          <t>2101-09-01</t>
        </is>
      </c>
    </row>
    <row r="73712">
      <c r="A73712" s="1" t="n">
        <v>73711</v>
      </c>
      <c r="B73712">
        <f>TEXT(73711, "[$-0E0000]yyyy-mm-dd")</f>
        <v/>
      </c>
      <c r="C73712" t="inlineStr">
        <is>
          <t>2101-09-02</t>
        </is>
      </c>
    </row>
    <row r="73713">
      <c r="A73713" s="1" t="n">
        <v>73712</v>
      </c>
      <c r="B73713">
        <f>TEXT(73712, "[$-0E0000]yyyy-mm-dd")</f>
        <v/>
      </c>
      <c r="C73713" t="inlineStr">
        <is>
          <t>2101-09-03</t>
        </is>
      </c>
    </row>
    <row r="73714">
      <c r="A73714" s="1" t="n">
        <v>73713</v>
      </c>
      <c r="B73714">
        <f>TEXT(73713, "[$-0E0000]yyyy-mm-dd")</f>
        <v/>
      </c>
      <c r="C73714" t="inlineStr">
        <is>
          <t>2101-09-04</t>
        </is>
      </c>
    </row>
    <row r="73715">
      <c r="A73715" s="1" t="n">
        <v>73714</v>
      </c>
      <c r="B73715">
        <f>TEXT(73714, "[$-0E0000]yyyy-mm-dd")</f>
        <v/>
      </c>
      <c r="C73715" t="inlineStr">
        <is>
          <t>2101-09-05</t>
        </is>
      </c>
    </row>
    <row r="73716">
      <c r="A73716" s="1" t="n">
        <v>73715</v>
      </c>
      <c r="B73716">
        <f>TEXT(73715, "[$-0E0000]yyyy-mm-dd")</f>
        <v/>
      </c>
      <c r="C73716" t="inlineStr">
        <is>
          <t>2101-09-06</t>
        </is>
      </c>
    </row>
    <row r="73717">
      <c r="A73717" s="1" t="n">
        <v>73716</v>
      </c>
      <c r="B73717">
        <f>TEXT(73716, "[$-0E0000]yyyy-mm-dd")</f>
        <v/>
      </c>
      <c r="C73717" t="inlineStr">
        <is>
          <t>2101-09-07</t>
        </is>
      </c>
    </row>
    <row r="73718">
      <c r="A73718" s="1" t="n">
        <v>73717</v>
      </c>
      <c r="B73718">
        <f>TEXT(73717, "[$-0E0000]yyyy-mm-dd")</f>
        <v/>
      </c>
      <c r="C73718" t="inlineStr">
        <is>
          <t>2101-09-08</t>
        </is>
      </c>
    </row>
    <row r="73719">
      <c r="A73719" s="1" t="n">
        <v>73718</v>
      </c>
      <c r="B73719">
        <f>TEXT(73718, "[$-0E0000]yyyy-mm-dd")</f>
        <v/>
      </c>
      <c r="C73719" t="inlineStr">
        <is>
          <t>2101-09-09</t>
        </is>
      </c>
    </row>
    <row r="73720">
      <c r="A73720" s="1" t="n">
        <v>73719</v>
      </c>
      <c r="B73720">
        <f>TEXT(73719, "[$-0E0000]yyyy-mm-dd")</f>
        <v/>
      </c>
      <c r="C73720" t="inlineStr">
        <is>
          <t>2101-09-10</t>
        </is>
      </c>
    </row>
    <row r="73721">
      <c r="A73721" s="1" t="n">
        <v>73720</v>
      </c>
      <c r="B73721">
        <f>TEXT(73720, "[$-0E0000]yyyy-mm-dd")</f>
        <v/>
      </c>
      <c r="C73721" t="inlineStr">
        <is>
          <t>2101-09-11</t>
        </is>
      </c>
    </row>
    <row r="73722">
      <c r="A73722" s="1" t="n">
        <v>73721</v>
      </c>
      <c r="B73722">
        <f>TEXT(73721, "[$-0E0000]yyyy-mm-dd")</f>
        <v/>
      </c>
      <c r="C73722" t="inlineStr">
        <is>
          <t>2101-09-12</t>
        </is>
      </c>
    </row>
    <row r="73723">
      <c r="A73723" s="1" t="n">
        <v>73722</v>
      </c>
      <c r="B73723">
        <f>TEXT(73722, "[$-0E0000]yyyy-mm-dd")</f>
        <v/>
      </c>
      <c r="C73723" t="inlineStr">
        <is>
          <t>2101-09-13</t>
        </is>
      </c>
    </row>
    <row r="73724">
      <c r="A73724" s="1" t="n">
        <v>73723</v>
      </c>
      <c r="B73724">
        <f>TEXT(73723, "[$-0E0000]yyyy-mm-dd")</f>
        <v/>
      </c>
      <c r="C73724" t="inlineStr">
        <is>
          <t>2101-09-14</t>
        </is>
      </c>
    </row>
    <row r="73725">
      <c r="A73725" s="1" t="n">
        <v>73724</v>
      </c>
      <c r="B73725">
        <f>TEXT(73724, "[$-0E0000]yyyy-mm-dd")</f>
        <v/>
      </c>
      <c r="C73725" t="inlineStr">
        <is>
          <t>2101-09-15</t>
        </is>
      </c>
    </row>
    <row r="73726">
      <c r="A73726" s="1" t="n">
        <v>73725</v>
      </c>
      <c r="B73726">
        <f>TEXT(73725, "[$-0E0000]yyyy-mm-dd")</f>
        <v/>
      </c>
      <c r="C73726" t="inlineStr">
        <is>
          <t>2101-09-16</t>
        </is>
      </c>
    </row>
    <row r="73727">
      <c r="A73727" s="1" t="n">
        <v>73726</v>
      </c>
      <c r="B73727">
        <f>TEXT(73726, "[$-0E0000]yyyy-mm-dd")</f>
        <v/>
      </c>
      <c r="C73727" t="inlineStr">
        <is>
          <t>2101-09-17</t>
        </is>
      </c>
    </row>
    <row r="73728">
      <c r="A73728" s="1" t="n">
        <v>73727</v>
      </c>
      <c r="B73728">
        <f>TEXT(73727, "[$-0E0000]yyyy-mm-dd")</f>
        <v/>
      </c>
      <c r="C73728" t="inlineStr">
        <is>
          <t>2101-09-18</t>
        </is>
      </c>
    </row>
    <row r="73729">
      <c r="A73729" s="1" t="n">
        <v>73728</v>
      </c>
      <c r="B73729">
        <f>TEXT(73728, "[$-0E0000]yyyy-mm-dd")</f>
        <v/>
      </c>
      <c r="C73729" t="inlineStr">
        <is>
          <t>2101-09-19</t>
        </is>
      </c>
    </row>
    <row r="73730">
      <c r="A73730" s="1" t="n">
        <v>73729</v>
      </c>
      <c r="B73730">
        <f>TEXT(73729, "[$-0E0000]yyyy-mm-dd")</f>
        <v/>
      </c>
      <c r="C73730" t="inlineStr">
        <is>
          <t>2101-09-20</t>
        </is>
      </c>
    </row>
    <row r="73731">
      <c r="A73731" s="1" t="n">
        <v>73730</v>
      </c>
      <c r="B73731">
        <f>TEXT(73730, "[$-0E0000]yyyy-mm-dd")</f>
        <v/>
      </c>
      <c r="C73731" t="inlineStr">
        <is>
          <t>2101-09-21</t>
        </is>
      </c>
    </row>
    <row r="73732">
      <c r="A73732" s="1" t="n">
        <v>73731</v>
      </c>
      <c r="B73732">
        <f>TEXT(73731, "[$-0E0000]yyyy-mm-dd")</f>
        <v/>
      </c>
      <c r="C73732" t="inlineStr">
        <is>
          <t>2101-09-22</t>
        </is>
      </c>
    </row>
    <row r="73733">
      <c r="A73733" s="1" t="n">
        <v>73732</v>
      </c>
      <c r="B73733">
        <f>TEXT(73732, "[$-0E0000]yyyy-mm-dd")</f>
        <v/>
      </c>
      <c r="C73733" t="inlineStr">
        <is>
          <t>2101-09-23</t>
        </is>
      </c>
    </row>
    <row r="73734">
      <c r="A73734" s="1" t="n">
        <v>73733</v>
      </c>
      <c r="B73734">
        <f>TEXT(73733, "[$-0E0000]yyyy-mm-dd")</f>
        <v/>
      </c>
      <c r="C73734" t="inlineStr">
        <is>
          <t>2101-09-24</t>
        </is>
      </c>
    </row>
    <row r="73735">
      <c r="A73735" s="1" t="n">
        <v>73734</v>
      </c>
      <c r="B73735">
        <f>TEXT(73734, "[$-0E0000]yyyy-mm-dd")</f>
        <v/>
      </c>
      <c r="C73735" t="inlineStr">
        <is>
          <t>2101-09-25</t>
        </is>
      </c>
    </row>
    <row r="73736">
      <c r="A73736" s="1" t="n">
        <v>73735</v>
      </c>
      <c r="B73736">
        <f>TEXT(73735, "[$-0E0000]yyyy-mm-dd")</f>
        <v/>
      </c>
      <c r="C73736" t="inlineStr">
        <is>
          <t>2101-09-26</t>
        </is>
      </c>
    </row>
    <row r="73737">
      <c r="A73737" s="1" t="n">
        <v>73736</v>
      </c>
      <c r="B73737">
        <f>TEXT(73736, "[$-0E0000]yyyy-mm-dd")</f>
        <v/>
      </c>
      <c r="C73737" t="inlineStr">
        <is>
          <t>2101-09-27</t>
        </is>
      </c>
    </row>
    <row r="73738">
      <c r="A73738" s="1" t="n">
        <v>73737</v>
      </c>
      <c r="B73738">
        <f>TEXT(73737, "[$-0E0000]yyyy-mm-dd")</f>
        <v/>
      </c>
      <c r="C73738" t="inlineStr">
        <is>
          <t>2101-09-28</t>
        </is>
      </c>
    </row>
    <row r="73739">
      <c r="A73739" s="1" t="n">
        <v>73738</v>
      </c>
      <c r="B73739">
        <f>TEXT(73738, "[$-0E0000]yyyy-mm-dd")</f>
        <v/>
      </c>
      <c r="C73739" t="inlineStr">
        <is>
          <t>2101-09-29</t>
        </is>
      </c>
    </row>
    <row r="73740">
      <c r="A73740" s="1" t="n">
        <v>73739</v>
      </c>
      <c r="B73740">
        <f>TEXT(73739, "[$-0E0000]yyyy-mm-dd")</f>
        <v/>
      </c>
      <c r="C73740" t="inlineStr">
        <is>
          <t>2101-10-01</t>
        </is>
      </c>
    </row>
    <row r="73741">
      <c r="A73741" s="1" t="n">
        <v>73740</v>
      </c>
      <c r="B73741">
        <f>TEXT(73740, "[$-0E0000]yyyy-mm-dd")</f>
        <v/>
      </c>
      <c r="C73741" t="inlineStr">
        <is>
          <t>2101-10-02</t>
        </is>
      </c>
    </row>
    <row r="73742">
      <c r="A73742" s="1" t="n">
        <v>73741</v>
      </c>
      <c r="B73742">
        <f>TEXT(73741, "[$-0E0000]yyyy-mm-dd")</f>
        <v/>
      </c>
      <c r="C73742" t="inlineStr">
        <is>
          <t>2101-10-03</t>
        </is>
      </c>
    </row>
    <row r="73743">
      <c r="A73743" s="1" t="n">
        <v>73742</v>
      </c>
      <c r="B73743">
        <f>TEXT(73742, "[$-0E0000]yyyy-mm-dd")</f>
        <v/>
      </c>
      <c r="C73743" t="inlineStr">
        <is>
          <t>2101-10-04</t>
        </is>
      </c>
    </row>
    <row r="73744">
      <c r="A73744" s="1" t="n">
        <v>73743</v>
      </c>
      <c r="B73744">
        <f>TEXT(73743, "[$-0E0000]yyyy-mm-dd")</f>
        <v/>
      </c>
      <c r="C73744" t="inlineStr">
        <is>
          <t>2101-10-05</t>
        </is>
      </c>
    </row>
    <row r="73745">
      <c r="A73745" s="1" t="n">
        <v>73744</v>
      </c>
      <c r="B73745">
        <f>TEXT(73744, "[$-0E0000]yyyy-mm-dd")</f>
        <v/>
      </c>
      <c r="C73745" t="inlineStr">
        <is>
          <t>2101-10-06</t>
        </is>
      </c>
    </row>
    <row r="73746">
      <c r="A73746" s="1" t="n">
        <v>73745</v>
      </c>
      <c r="B73746">
        <f>TEXT(73745, "[$-0E0000]yyyy-mm-dd")</f>
        <v/>
      </c>
      <c r="C73746" t="inlineStr">
        <is>
          <t>2101-10-07</t>
        </is>
      </c>
    </row>
    <row r="73747">
      <c r="A73747" s="1" t="n">
        <v>73746</v>
      </c>
      <c r="B73747">
        <f>TEXT(73746, "[$-0E0000]yyyy-mm-dd")</f>
        <v/>
      </c>
      <c r="C73747" t="inlineStr">
        <is>
          <t>2101-10-08</t>
        </is>
      </c>
    </row>
    <row r="73748">
      <c r="A73748" s="1" t="n">
        <v>73747</v>
      </c>
      <c r="B73748">
        <f>TEXT(73747, "[$-0E0000]yyyy-mm-dd")</f>
        <v/>
      </c>
      <c r="C73748" t="inlineStr">
        <is>
          <t>2101-10-09</t>
        </is>
      </c>
    </row>
    <row r="73749">
      <c r="A73749" s="1" t="n">
        <v>73748</v>
      </c>
      <c r="B73749">
        <f>TEXT(73748, "[$-0E0000]yyyy-mm-dd")</f>
        <v/>
      </c>
      <c r="C73749" t="inlineStr">
        <is>
          <t>2101-10-10</t>
        </is>
      </c>
    </row>
    <row r="73750">
      <c r="A73750" s="1" t="n">
        <v>73749</v>
      </c>
      <c r="B73750">
        <f>TEXT(73749, "[$-0E0000]yyyy-mm-dd")</f>
        <v/>
      </c>
      <c r="C73750" t="inlineStr">
        <is>
          <t>2101-10-11</t>
        </is>
      </c>
    </row>
    <row r="73751">
      <c r="A73751" s="1" t="n">
        <v>73750</v>
      </c>
      <c r="B73751">
        <f>TEXT(73750, "[$-0E0000]yyyy-mm-dd")</f>
        <v/>
      </c>
      <c r="C73751" t="inlineStr">
        <is>
          <t>2101-10-12</t>
        </is>
      </c>
    </row>
    <row r="73752">
      <c r="A73752" s="1" t="n">
        <v>73751</v>
      </c>
      <c r="B73752">
        <f>TEXT(73751, "[$-0E0000]yyyy-mm-dd")</f>
        <v/>
      </c>
      <c r="C73752" t="inlineStr">
        <is>
          <t>2101-10-13</t>
        </is>
      </c>
    </row>
    <row r="73753">
      <c r="A73753" s="1" t="n">
        <v>73752</v>
      </c>
      <c r="B73753">
        <f>TEXT(73752, "[$-0E0000]yyyy-mm-dd")</f>
        <v/>
      </c>
      <c r="C73753" t="inlineStr">
        <is>
          <t>2101-10-14</t>
        </is>
      </c>
    </row>
    <row r="73754">
      <c r="A73754" s="1" t="n">
        <v>73753</v>
      </c>
      <c r="B73754">
        <f>TEXT(73753, "[$-0E0000]yyyy-mm-dd")</f>
        <v/>
      </c>
      <c r="C73754" t="inlineStr">
        <is>
          <t>2101-10-15</t>
        </is>
      </c>
    </row>
    <row r="73755">
      <c r="A73755" s="1" t="n">
        <v>73754</v>
      </c>
      <c r="B73755">
        <f>TEXT(73754, "[$-0E0000]yyyy-mm-dd")</f>
        <v/>
      </c>
      <c r="C73755" t="inlineStr">
        <is>
          <t>2101-10-16</t>
        </is>
      </c>
    </row>
    <row r="73756">
      <c r="A73756" s="1" t="n">
        <v>73755</v>
      </c>
      <c r="B73756">
        <f>TEXT(73755, "[$-0E0000]yyyy-mm-dd")</f>
        <v/>
      </c>
      <c r="C73756" t="inlineStr">
        <is>
          <t>2101-10-17</t>
        </is>
      </c>
    </row>
    <row r="73757">
      <c r="A73757" s="1" t="n">
        <v>73756</v>
      </c>
      <c r="B73757">
        <f>TEXT(73756, "[$-0E0000]yyyy-mm-dd")</f>
        <v/>
      </c>
      <c r="C73757" t="inlineStr">
        <is>
          <t>2101-10-18</t>
        </is>
      </c>
    </row>
    <row r="73758">
      <c r="A73758" s="1" t="n">
        <v>73757</v>
      </c>
      <c r="B73758">
        <f>TEXT(73757, "[$-0E0000]yyyy-mm-dd")</f>
        <v/>
      </c>
      <c r="C73758" t="inlineStr">
        <is>
          <t>2101-10-19</t>
        </is>
      </c>
    </row>
    <row r="73759">
      <c r="A73759" s="1" t="n">
        <v>73758</v>
      </c>
      <c r="B73759">
        <f>TEXT(73758, "[$-0E0000]yyyy-mm-dd")</f>
        <v/>
      </c>
      <c r="C73759" t="inlineStr">
        <is>
          <t>2101-10-20</t>
        </is>
      </c>
    </row>
    <row r="73760">
      <c r="A73760" s="1" t="n">
        <v>73759</v>
      </c>
      <c r="B73760">
        <f>TEXT(73759, "[$-0E0000]yyyy-mm-dd")</f>
        <v/>
      </c>
      <c r="C73760" t="inlineStr">
        <is>
          <t>2101-10-21</t>
        </is>
      </c>
    </row>
    <row r="73761">
      <c r="A73761" s="1" t="n">
        <v>73760</v>
      </c>
      <c r="B73761">
        <f>TEXT(73760, "[$-0E0000]yyyy-mm-dd")</f>
        <v/>
      </c>
      <c r="C73761" t="inlineStr">
        <is>
          <t>2101-10-22</t>
        </is>
      </c>
    </row>
    <row r="73762">
      <c r="A73762" s="1" t="n">
        <v>73761</v>
      </c>
      <c r="B73762">
        <f>TEXT(73761, "[$-0E0000]yyyy-mm-dd")</f>
        <v/>
      </c>
      <c r="C73762" t="inlineStr">
        <is>
          <t>2101-10-23</t>
        </is>
      </c>
    </row>
    <row r="73763">
      <c r="A73763" s="1" t="n">
        <v>73762</v>
      </c>
      <c r="B73763">
        <f>TEXT(73762, "[$-0E0000]yyyy-mm-dd")</f>
        <v/>
      </c>
      <c r="C73763" t="inlineStr">
        <is>
          <t>2101-10-24</t>
        </is>
      </c>
    </row>
    <row r="73764">
      <c r="A73764" s="1" t="n">
        <v>73763</v>
      </c>
      <c r="B73764">
        <f>TEXT(73763, "[$-0E0000]yyyy-mm-dd")</f>
        <v/>
      </c>
      <c r="C73764" t="inlineStr">
        <is>
          <t>2101-10-25</t>
        </is>
      </c>
    </row>
    <row r="73765">
      <c r="A73765" s="1" t="n">
        <v>73764</v>
      </c>
      <c r="B73765">
        <f>TEXT(73764, "[$-0E0000]yyyy-mm-dd")</f>
        <v/>
      </c>
      <c r="C73765" t="inlineStr">
        <is>
          <t>2101-10-26</t>
        </is>
      </c>
    </row>
    <row r="73766">
      <c r="A73766" s="1" t="n">
        <v>73765</v>
      </c>
      <c r="B73766">
        <f>TEXT(73765, "[$-0E0000]yyyy-mm-dd")</f>
        <v/>
      </c>
      <c r="C73766" t="inlineStr">
        <is>
          <t>2101-10-27</t>
        </is>
      </c>
    </row>
    <row r="73767">
      <c r="A73767" s="1" t="n">
        <v>73766</v>
      </c>
      <c r="B73767">
        <f>TEXT(73766, "[$-0E0000]yyyy-mm-dd")</f>
        <v/>
      </c>
      <c r="C73767" t="inlineStr">
        <is>
          <t>2101-10-28</t>
        </is>
      </c>
    </row>
    <row r="73768">
      <c r="A73768" s="1" t="n">
        <v>73767</v>
      </c>
      <c r="B73768">
        <f>TEXT(73767, "[$-0E0000]yyyy-mm-dd")</f>
        <v/>
      </c>
      <c r="C73768" t="inlineStr">
        <is>
          <t>2101-10-29</t>
        </is>
      </c>
    </row>
    <row r="73769">
      <c r="A73769" s="1" t="n">
        <v>73768</v>
      </c>
      <c r="B73769">
        <f>TEXT(73768, "[$-0E0000]yyyy-mm-dd")</f>
        <v/>
      </c>
      <c r="C73769" t="inlineStr">
        <is>
          <t>2101-11-01</t>
        </is>
      </c>
    </row>
    <row r="73770">
      <c r="A73770" s="1" t="n">
        <v>73769</v>
      </c>
      <c r="B73770">
        <f>TEXT(73769, "[$-0E0000]yyyy-mm-dd")</f>
        <v/>
      </c>
      <c r="C73770" t="inlineStr">
        <is>
          <t>2101-11-02</t>
        </is>
      </c>
    </row>
    <row r="73771">
      <c r="A73771" s="1" t="n">
        <v>73770</v>
      </c>
      <c r="B73771">
        <f>TEXT(73770, "[$-0E0000]yyyy-mm-dd")</f>
        <v/>
      </c>
      <c r="C73771" t="inlineStr">
        <is>
          <t>2101-11-03</t>
        </is>
      </c>
    </row>
    <row r="73772">
      <c r="A73772" s="1" t="n">
        <v>73771</v>
      </c>
      <c r="B73772">
        <f>TEXT(73771, "[$-0E0000]yyyy-mm-dd")</f>
        <v/>
      </c>
      <c r="C73772" t="inlineStr">
        <is>
          <t>2101-11-04</t>
        </is>
      </c>
    </row>
    <row r="73773">
      <c r="A73773" s="1" t="n">
        <v>73772</v>
      </c>
      <c r="B73773">
        <f>TEXT(73772, "[$-0E0000]yyyy-mm-dd")</f>
        <v/>
      </c>
      <c r="C73773" t="inlineStr">
        <is>
          <t>2101-11-05</t>
        </is>
      </c>
    </row>
    <row r="73774">
      <c r="A73774" s="1" t="n">
        <v>73773</v>
      </c>
      <c r="B73774">
        <f>TEXT(73773, "[$-0E0000]yyyy-mm-dd")</f>
        <v/>
      </c>
      <c r="C73774" t="inlineStr">
        <is>
          <t>2101-11-06</t>
        </is>
      </c>
    </row>
    <row r="73775">
      <c r="A73775" s="1" t="n">
        <v>73774</v>
      </c>
      <c r="B73775">
        <f>TEXT(73774, "[$-0E0000]yyyy-mm-dd")</f>
        <v/>
      </c>
      <c r="C73775" t="inlineStr">
        <is>
          <t>2101-11-07</t>
        </is>
      </c>
    </row>
    <row r="73776">
      <c r="A73776" s="1" t="n">
        <v>73775</v>
      </c>
      <c r="B73776">
        <f>TEXT(73775, "[$-0E0000]yyyy-mm-dd")</f>
        <v/>
      </c>
      <c r="C73776" t="inlineStr">
        <is>
          <t>2101-11-08</t>
        </is>
      </c>
    </row>
    <row r="73777">
      <c r="A73777" s="1" t="n">
        <v>73776</v>
      </c>
      <c r="B73777">
        <f>TEXT(73776, "[$-0E0000]yyyy-mm-dd")</f>
        <v/>
      </c>
      <c r="C73777" t="inlineStr">
        <is>
          <t>2101-11-09</t>
        </is>
      </c>
    </row>
    <row r="73778">
      <c r="A73778" s="1" t="n">
        <v>73777</v>
      </c>
      <c r="B73778">
        <f>TEXT(73777, "[$-0E0000]yyyy-mm-dd")</f>
        <v/>
      </c>
      <c r="C73778" t="inlineStr">
        <is>
          <t>2101-11-10</t>
        </is>
      </c>
    </row>
    <row r="73779">
      <c r="A73779" s="1" t="n">
        <v>73778</v>
      </c>
      <c r="B73779">
        <f>TEXT(73778, "[$-0E0000]yyyy-mm-dd")</f>
        <v/>
      </c>
      <c r="C73779" t="inlineStr">
        <is>
          <t>2101-11-11</t>
        </is>
      </c>
    </row>
    <row r="73780">
      <c r="A73780" s="1" t="n">
        <v>73779</v>
      </c>
      <c r="B73780">
        <f>TEXT(73779, "[$-0E0000]yyyy-mm-dd")</f>
        <v/>
      </c>
      <c r="C73780" t="inlineStr">
        <is>
          <t>2101-11-12</t>
        </is>
      </c>
    </row>
    <row r="73781">
      <c r="A73781" s="1" t="n">
        <v>73780</v>
      </c>
      <c r="B73781">
        <f>TEXT(73780, "[$-0E0000]yyyy-mm-dd")</f>
        <v/>
      </c>
      <c r="C73781" t="inlineStr">
        <is>
          <t>2101-11-13</t>
        </is>
      </c>
    </row>
    <row r="73782">
      <c r="A73782" s="1" t="n">
        <v>73781</v>
      </c>
      <c r="B73782">
        <f>TEXT(73781, "[$-0E0000]yyyy-mm-dd")</f>
        <v/>
      </c>
      <c r="C73782" t="inlineStr">
        <is>
          <t>2101-11-14</t>
        </is>
      </c>
    </row>
    <row r="73783">
      <c r="A73783" s="1" t="n">
        <v>73782</v>
      </c>
      <c r="B73783">
        <f>TEXT(73782, "[$-0E0000]yyyy-mm-dd")</f>
        <v/>
      </c>
      <c r="C73783" t="inlineStr">
        <is>
          <t>2101-11-15</t>
        </is>
      </c>
    </row>
    <row r="73784">
      <c r="A73784" s="1" t="n">
        <v>73783</v>
      </c>
      <c r="B73784">
        <f>TEXT(73783, "[$-0E0000]yyyy-mm-dd")</f>
        <v/>
      </c>
      <c r="C73784" t="inlineStr">
        <is>
          <t>2101-11-16</t>
        </is>
      </c>
    </row>
    <row r="73785">
      <c r="A73785" s="1" t="n">
        <v>73784</v>
      </c>
      <c r="B73785">
        <f>TEXT(73784, "[$-0E0000]yyyy-mm-dd")</f>
        <v/>
      </c>
      <c r="C73785" t="inlineStr">
        <is>
          <t>2101-11-17</t>
        </is>
      </c>
    </row>
    <row r="73786">
      <c r="A73786" s="1" t="n">
        <v>73785</v>
      </c>
      <c r="B73786">
        <f>TEXT(73785, "[$-0E0000]yyyy-mm-dd")</f>
        <v/>
      </c>
      <c r="C73786" t="inlineStr">
        <is>
          <t>2101-11-18</t>
        </is>
      </c>
    </row>
    <row r="73787">
      <c r="A73787" s="1" t="n">
        <v>73786</v>
      </c>
      <c r="B73787">
        <f>TEXT(73786, "[$-0E0000]yyyy-mm-dd")</f>
        <v/>
      </c>
      <c r="C73787" t="inlineStr">
        <is>
          <t>2101-11-19</t>
        </is>
      </c>
    </row>
    <row r="73788">
      <c r="A73788" s="1" t="n">
        <v>73787</v>
      </c>
      <c r="B73788">
        <f>TEXT(73787, "[$-0E0000]yyyy-mm-dd")</f>
        <v/>
      </c>
      <c r="C73788" t="inlineStr">
        <is>
          <t>2101-11-20</t>
        </is>
      </c>
    </row>
    <row r="73789">
      <c r="A73789" s="1" t="n">
        <v>73788</v>
      </c>
      <c r="B73789">
        <f>TEXT(73788, "[$-0E0000]yyyy-mm-dd")</f>
        <v/>
      </c>
      <c r="C73789" t="inlineStr">
        <is>
          <t>2101-11-21</t>
        </is>
      </c>
    </row>
    <row r="73790">
      <c r="A73790" s="1" t="n">
        <v>73789</v>
      </c>
      <c r="B73790">
        <f>TEXT(73789, "[$-0E0000]yyyy-mm-dd")</f>
        <v/>
      </c>
      <c r="C73790" t="inlineStr">
        <is>
          <t>2101-11-22</t>
        </is>
      </c>
    </row>
    <row r="73791">
      <c r="A73791" s="1" t="n">
        <v>73790</v>
      </c>
      <c r="B73791">
        <f>TEXT(73790, "[$-0E0000]yyyy-mm-dd")</f>
        <v/>
      </c>
      <c r="C73791" t="inlineStr">
        <is>
          <t>2101-11-23</t>
        </is>
      </c>
    </row>
    <row r="73792">
      <c r="A73792" s="1" t="n">
        <v>73791</v>
      </c>
      <c r="B73792">
        <f>TEXT(73791, "[$-0E0000]yyyy-mm-dd")</f>
        <v/>
      </c>
      <c r="C73792" t="inlineStr">
        <is>
          <t>2101-11-24</t>
        </is>
      </c>
    </row>
    <row r="73793">
      <c r="A73793" s="1" t="n">
        <v>73792</v>
      </c>
      <c r="B73793">
        <f>TEXT(73792, "[$-0E0000]yyyy-mm-dd")</f>
        <v/>
      </c>
      <c r="C73793" t="inlineStr">
        <is>
          <t>2101-11-25</t>
        </is>
      </c>
    </row>
    <row r="73794">
      <c r="A73794" s="1" t="n">
        <v>73793</v>
      </c>
      <c r="B73794">
        <f>TEXT(73793, "[$-0E0000]yyyy-mm-dd")</f>
        <v/>
      </c>
      <c r="C73794" t="inlineStr">
        <is>
          <t>2101-11-26</t>
        </is>
      </c>
    </row>
    <row r="73795">
      <c r="A73795" s="1" t="n">
        <v>73794</v>
      </c>
      <c r="B73795">
        <f>TEXT(73794, "[$-0E0000]yyyy-mm-dd")</f>
        <v/>
      </c>
      <c r="C73795" t="inlineStr">
        <is>
          <t>2101-11-27</t>
        </is>
      </c>
    </row>
    <row r="73796">
      <c r="A73796" s="1" t="n">
        <v>73795</v>
      </c>
      <c r="B73796">
        <f>TEXT(73795, "[$-0E0000]yyyy-mm-dd")</f>
        <v/>
      </c>
      <c r="C73796" t="inlineStr">
        <is>
          <t>2101-11-28</t>
        </is>
      </c>
    </row>
    <row r="73797">
      <c r="A73797" s="1" t="n">
        <v>73796</v>
      </c>
      <c r="B73797">
        <f>TEXT(73796, "[$-0E0000]yyyy-mm-dd")</f>
        <v/>
      </c>
      <c r="C73797" t="inlineStr">
        <is>
          <t>2101-11-29</t>
        </is>
      </c>
    </row>
    <row r="73798">
      <c r="A73798" s="1" t="n">
        <v>73797</v>
      </c>
      <c r="B73798">
        <f>TEXT(73797, "[$-0E0000]yyyy-mm-dd")</f>
        <v/>
      </c>
      <c r="C73798" t="inlineStr">
        <is>
          <t>2101-11-30</t>
        </is>
      </c>
    </row>
    <row r="73799">
      <c r="A73799" s="1" t="n">
        <v>73798</v>
      </c>
      <c r="B73799">
        <f>TEXT(73798, "[$-0E0000]yyyy-mm-dd")</f>
        <v/>
      </c>
      <c r="C73799" t="inlineStr">
        <is>
          <t>2101-12-01</t>
        </is>
      </c>
    </row>
    <row r="73800">
      <c r="A73800" s="1" t="n">
        <v>73799</v>
      </c>
      <c r="B73800">
        <f>TEXT(73799, "[$-0E0000]yyyy-mm-dd")</f>
        <v/>
      </c>
      <c r="C73800" t="inlineStr">
        <is>
          <t>2101-12-02</t>
        </is>
      </c>
    </row>
    <row r="73801">
      <c r="A73801" s="1" t="n">
        <v>73800</v>
      </c>
      <c r="B73801">
        <f>TEXT(73800, "[$-0E0000]yyyy-mm-dd")</f>
        <v/>
      </c>
      <c r="C73801" t="inlineStr">
        <is>
          <t>2101-12-03</t>
        </is>
      </c>
    </row>
    <row r="73802">
      <c r="A73802" s="1" t="n">
        <v>73801</v>
      </c>
      <c r="B73802">
        <f>TEXT(73801, "[$-0E0000]yyyy-mm-dd")</f>
        <v/>
      </c>
      <c r="C73802" t="inlineStr">
        <is>
          <t>2101-12-04</t>
        </is>
      </c>
    </row>
    <row r="73803">
      <c r="A73803" s="1" t="n">
        <v>73802</v>
      </c>
      <c r="B73803">
        <f>TEXT(73802, "[$-0E0000]yyyy-mm-dd")</f>
        <v/>
      </c>
      <c r="C73803" t="inlineStr">
        <is>
          <t>2101-12-05</t>
        </is>
      </c>
    </row>
    <row r="73804">
      <c r="A73804" s="1" t="n">
        <v>73803</v>
      </c>
      <c r="B73804">
        <f>TEXT(73803, "[$-0E0000]yyyy-mm-dd")</f>
        <v/>
      </c>
      <c r="C73804" t="inlineStr">
        <is>
          <t>2101-12-06</t>
        </is>
      </c>
    </row>
    <row r="73805">
      <c r="A73805" s="1" t="n">
        <v>73804</v>
      </c>
      <c r="B73805">
        <f>TEXT(73804, "[$-0E0000]yyyy-mm-dd")</f>
        <v/>
      </c>
      <c r="C73805" t="inlineStr">
        <is>
          <t>2101-12-07</t>
        </is>
      </c>
    </row>
    <row r="73806">
      <c r="A73806" s="1" t="n">
        <v>73805</v>
      </c>
      <c r="B73806">
        <f>TEXT(73805, "[$-0E0000]yyyy-mm-dd")</f>
        <v/>
      </c>
      <c r="C73806" t="inlineStr">
        <is>
          <t>2101-12-08</t>
        </is>
      </c>
    </row>
    <row r="73807">
      <c r="A73807" s="1" t="n">
        <v>73806</v>
      </c>
      <c r="B73807">
        <f>TEXT(73806, "[$-0E0000]yyyy-mm-dd")</f>
        <v/>
      </c>
      <c r="C73807" t="inlineStr">
        <is>
          <t>2101-12-09</t>
        </is>
      </c>
    </row>
    <row r="73808">
      <c r="A73808" s="1" t="n">
        <v>73807</v>
      </c>
      <c r="B73808">
        <f>TEXT(73807, "[$-0E0000]yyyy-mm-dd")</f>
        <v/>
      </c>
      <c r="C73808" t="inlineStr">
        <is>
          <t>2101-12-10</t>
        </is>
      </c>
    </row>
    <row r="73809">
      <c r="A73809" s="1" t="n">
        <v>73808</v>
      </c>
      <c r="B73809">
        <f>TEXT(73808, "[$-0E0000]yyyy-mm-dd")</f>
        <v/>
      </c>
      <c r="C73809" t="inlineStr">
        <is>
          <t>2101-12-11</t>
        </is>
      </c>
    </row>
    <row r="73810">
      <c r="A73810" s="1" t="n">
        <v>73809</v>
      </c>
      <c r="B73810">
        <f>TEXT(73809, "[$-0E0000]yyyy-mm-dd")</f>
        <v/>
      </c>
      <c r="C73810" t="inlineStr">
        <is>
          <t>2101-12-12</t>
        </is>
      </c>
    </row>
    <row r="73811">
      <c r="A73811" s="1" t="n">
        <v>73810</v>
      </c>
      <c r="B73811">
        <f>TEXT(73810, "[$-0E0000]yyyy-mm-dd")</f>
        <v/>
      </c>
      <c r="C73811" t="inlineStr">
        <is>
          <t>2101-12-13</t>
        </is>
      </c>
    </row>
    <row r="73812">
      <c r="A73812" s="1" t="n">
        <v>73811</v>
      </c>
      <c r="B73812">
        <f>TEXT(73811, "[$-0E0000]yyyy-mm-dd")</f>
        <v/>
      </c>
      <c r="C73812" t="inlineStr">
        <is>
          <t>2101-12-14</t>
        </is>
      </c>
    </row>
    <row r="73813">
      <c r="A73813" s="1" t="n">
        <v>73812</v>
      </c>
      <c r="B73813">
        <f>TEXT(73812, "[$-0E0000]yyyy-mm-dd")</f>
        <v/>
      </c>
      <c r="C73813" t="inlineStr">
        <is>
          <t>2101-12-15</t>
        </is>
      </c>
    </row>
    <row r="73814">
      <c r="A73814" s="1" t="n">
        <v>73813</v>
      </c>
      <c r="B73814">
        <f>TEXT(73813, "[$-0E0000]yyyy-mm-dd")</f>
        <v/>
      </c>
      <c r="C73814" t="inlineStr">
        <is>
          <t>2101-12-16</t>
        </is>
      </c>
    </row>
    <row r="73815">
      <c r="A73815" s="1" t="n">
        <v>73814</v>
      </c>
      <c r="B73815">
        <f>TEXT(73814, "[$-0E0000]yyyy-mm-dd")</f>
        <v/>
      </c>
      <c r="C73815" t="inlineStr">
        <is>
          <t>2101-12-17</t>
        </is>
      </c>
    </row>
    <row r="73816">
      <c r="A73816" s="1" t="n">
        <v>73815</v>
      </c>
      <c r="B73816">
        <f>TEXT(73815, "[$-0E0000]yyyy-mm-dd")</f>
        <v/>
      </c>
      <c r="C73816" t="inlineStr">
        <is>
          <t>2101-12-18</t>
        </is>
      </c>
    </row>
    <row r="73817">
      <c r="A73817" s="1" t="n">
        <v>73816</v>
      </c>
      <c r="B73817">
        <f>TEXT(73816, "[$-0E0000]yyyy-mm-dd")</f>
        <v/>
      </c>
      <c r="C73817" t="inlineStr">
        <is>
          <t>2101-12-19</t>
        </is>
      </c>
    </row>
    <row r="73818">
      <c r="A73818" s="1" t="n">
        <v>73817</v>
      </c>
      <c r="B73818">
        <f>TEXT(73817, "[$-0E0000]yyyy-mm-dd")</f>
        <v/>
      </c>
      <c r="C73818" t="inlineStr">
        <is>
          <t>2101-12-20</t>
        </is>
      </c>
    </row>
    <row r="73819">
      <c r="A73819" s="1" t="n">
        <v>73818</v>
      </c>
      <c r="B73819">
        <f>TEXT(73818, "[$-0E0000]yyyy-mm-dd")</f>
        <v/>
      </c>
      <c r="C73819" t="inlineStr">
        <is>
          <t>2101-12-21</t>
        </is>
      </c>
    </row>
    <row r="73820">
      <c r="A73820" s="1" t="n">
        <v>73819</v>
      </c>
      <c r="B73820">
        <f>TEXT(73819, "[$-0E0000]yyyy-mm-dd")</f>
        <v/>
      </c>
      <c r="C73820" t="inlineStr">
        <is>
          <t>2101-12-22</t>
        </is>
      </c>
    </row>
    <row r="73821">
      <c r="A73821" s="1" t="n">
        <v>73820</v>
      </c>
      <c r="B73821">
        <f>TEXT(73820, "[$-0E0000]yyyy-mm-dd")</f>
        <v/>
      </c>
      <c r="C73821" t="inlineStr">
        <is>
          <t>2101-12-23</t>
        </is>
      </c>
    </row>
    <row r="73822">
      <c r="A73822" s="1" t="n">
        <v>73821</v>
      </c>
      <c r="B73822">
        <f>TEXT(73821, "[$-0E0000]yyyy-mm-dd")</f>
        <v/>
      </c>
      <c r="C73822" t="inlineStr">
        <is>
          <t>2101-12-24</t>
        </is>
      </c>
    </row>
    <row r="73823">
      <c r="A73823" s="1" t="n">
        <v>73822</v>
      </c>
      <c r="B73823">
        <f>TEXT(73822, "[$-0E0000]yyyy-mm-dd")</f>
        <v/>
      </c>
      <c r="C73823" t="inlineStr">
        <is>
          <t>2101-12-25</t>
        </is>
      </c>
    </row>
    <row r="73824">
      <c r="A73824" s="1" t="n">
        <v>73823</v>
      </c>
      <c r="B73824">
        <f>TEXT(73823, "[$-0E0000]yyyy-mm-dd")</f>
        <v/>
      </c>
      <c r="C73824" t="inlineStr">
        <is>
          <t>2101-12-26</t>
        </is>
      </c>
    </row>
    <row r="73825">
      <c r="A73825" s="1" t="n">
        <v>73824</v>
      </c>
      <c r="B73825">
        <f>TEXT(73824, "[$-0E0000]yyyy-mm-dd")</f>
        <v/>
      </c>
      <c r="C73825" t="inlineStr">
        <is>
          <t>2101-12-27</t>
        </is>
      </c>
    </row>
    <row r="73826">
      <c r="A73826" s="1" t="n">
        <v>73825</v>
      </c>
      <c r="B73826">
        <f>TEXT(73825, "[$-0E0000]yyyy-mm-dd")</f>
        <v/>
      </c>
      <c r="C73826" t="inlineStr">
        <is>
          <t>2101-12-28</t>
        </is>
      </c>
    </row>
    <row r="73827">
      <c r="A73827" s="1" t="n">
        <v>73826</v>
      </c>
      <c r="B73827">
        <f>TEXT(73826, "[$-0E0000]yyyy-mm-dd")</f>
        <v/>
      </c>
      <c r="C73827" t="inlineStr">
        <is>
          <t>2101-12-29</t>
        </is>
      </c>
    </row>
    <row r="73828">
      <c r="A73828" s="1" t="n">
        <v>73827</v>
      </c>
      <c r="B73828">
        <f>TEXT(73827, "[$-0E0000]yyyy-mm-dd")</f>
        <v/>
      </c>
      <c r="C73828" t="inlineStr">
        <is>
          <t>2102-01-01</t>
        </is>
      </c>
    </row>
    <row r="73829">
      <c r="A73829" s="1" t="n">
        <v>73828</v>
      </c>
      <c r="B73829">
        <f>TEXT(73828, "[$-0E0000]yyyy-mm-dd")</f>
        <v/>
      </c>
      <c r="C73829" t="inlineStr">
        <is>
          <t>2102-01-02</t>
        </is>
      </c>
    </row>
    <row r="73830">
      <c r="A73830" s="1" t="n">
        <v>73829</v>
      </c>
      <c r="B73830">
        <f>TEXT(73829, "[$-0E0000]yyyy-mm-dd")</f>
        <v/>
      </c>
      <c r="C73830" t="inlineStr">
        <is>
          <t>2102-01-03</t>
        </is>
      </c>
    </row>
    <row r="73831">
      <c r="A73831" s="1" t="n">
        <v>73830</v>
      </c>
      <c r="B73831">
        <f>TEXT(73830, "[$-0E0000]yyyy-mm-dd")</f>
        <v/>
      </c>
      <c r="C73831" t="inlineStr">
        <is>
          <t>2102-01-04</t>
        </is>
      </c>
    </row>
    <row r="73832">
      <c r="A73832" s="1" t="n">
        <v>73831</v>
      </c>
      <c r="B73832">
        <f>TEXT(73831, "[$-0E0000]yyyy-mm-dd")</f>
        <v/>
      </c>
      <c r="C73832" t="inlineStr">
        <is>
          <t>2102-01-05</t>
        </is>
      </c>
    </row>
    <row r="73833">
      <c r="A73833" s="1" t="n">
        <v>73832</v>
      </c>
      <c r="B73833">
        <f>TEXT(73832, "[$-0E0000]yyyy-mm-dd")</f>
        <v/>
      </c>
      <c r="C73833" t="inlineStr">
        <is>
          <t>2102-01-06</t>
        </is>
      </c>
    </row>
    <row r="73834">
      <c r="A73834" s="1" t="n">
        <v>73833</v>
      </c>
      <c r="B73834">
        <f>TEXT(73833, "[$-0E0000]yyyy-mm-dd")</f>
        <v/>
      </c>
      <c r="C73834" t="inlineStr">
        <is>
          <t>2102-01-07</t>
        </is>
      </c>
    </row>
    <row r="73835">
      <c r="A73835" s="1" t="n">
        <v>73834</v>
      </c>
      <c r="B73835">
        <f>TEXT(73834, "[$-0E0000]yyyy-mm-dd")</f>
        <v/>
      </c>
      <c r="C73835" t="inlineStr">
        <is>
          <t>2102-01-08</t>
        </is>
      </c>
    </row>
    <row r="73836">
      <c r="A73836" s="1" t="n">
        <v>73835</v>
      </c>
      <c r="B73836">
        <f>TEXT(73835, "[$-0E0000]yyyy-mm-dd")</f>
        <v/>
      </c>
      <c r="C73836" t="inlineStr">
        <is>
          <t>2102-01-09</t>
        </is>
      </c>
    </row>
    <row r="73837">
      <c r="A73837" s="1" t="n">
        <v>73836</v>
      </c>
      <c r="B73837">
        <f>TEXT(73836, "[$-0E0000]yyyy-mm-dd")</f>
        <v/>
      </c>
      <c r="C73837" t="inlineStr">
        <is>
          <t>2102-01-10</t>
        </is>
      </c>
    </row>
    <row r="73838">
      <c r="A73838" s="1" t="n">
        <v>73837</v>
      </c>
      <c r="B73838">
        <f>TEXT(73837, "[$-0E0000]yyyy-mm-dd")</f>
        <v/>
      </c>
      <c r="C73838" t="inlineStr">
        <is>
          <t>2102-01-11</t>
        </is>
      </c>
    </row>
    <row r="73839">
      <c r="A73839" s="1" t="n">
        <v>73838</v>
      </c>
      <c r="B73839">
        <f>TEXT(73838, "[$-0E0000]yyyy-mm-dd")</f>
        <v/>
      </c>
      <c r="C73839" t="inlineStr">
        <is>
          <t>2102-01-12</t>
        </is>
      </c>
    </row>
    <row r="73840">
      <c r="A73840" s="1" t="n">
        <v>73839</v>
      </c>
      <c r="B73840">
        <f>TEXT(73839, "[$-0E0000]yyyy-mm-dd")</f>
        <v/>
      </c>
      <c r="C73840" t="inlineStr">
        <is>
          <t>2102-01-13</t>
        </is>
      </c>
    </row>
    <row r="73841">
      <c r="A73841" s="1" t="n">
        <v>73840</v>
      </c>
      <c r="B73841">
        <f>TEXT(73840, "[$-0E0000]yyyy-mm-dd")</f>
        <v/>
      </c>
      <c r="C73841" t="inlineStr">
        <is>
          <t>2102-01-14</t>
        </is>
      </c>
    </row>
    <row r="73842">
      <c r="A73842" s="1" t="n">
        <v>73841</v>
      </c>
      <c r="B73842">
        <f>TEXT(73841, "[$-0E0000]yyyy-mm-dd")</f>
        <v/>
      </c>
      <c r="C73842" t="inlineStr">
        <is>
          <t>2102-01-15</t>
        </is>
      </c>
    </row>
    <row r="73843">
      <c r="A73843" s="1" t="n">
        <v>73842</v>
      </c>
      <c r="B73843">
        <f>TEXT(73842, "[$-0E0000]yyyy-mm-dd")</f>
        <v/>
      </c>
      <c r="C73843" t="inlineStr">
        <is>
          <t>2102-01-16</t>
        </is>
      </c>
    </row>
    <row r="73844">
      <c r="A73844" s="1" t="n">
        <v>73843</v>
      </c>
      <c r="B73844">
        <f>TEXT(73843, "[$-0E0000]yyyy-mm-dd")</f>
        <v/>
      </c>
      <c r="C73844" t="inlineStr">
        <is>
          <t>2102-01-17</t>
        </is>
      </c>
    </row>
    <row r="73845">
      <c r="A73845" s="1" t="n">
        <v>73844</v>
      </c>
      <c r="B73845">
        <f>TEXT(73844, "[$-0E0000]yyyy-mm-dd")</f>
        <v/>
      </c>
      <c r="C73845" t="inlineStr">
        <is>
          <t>2102-01-18</t>
        </is>
      </c>
    </row>
    <row r="73846">
      <c r="A73846" s="1" t="n">
        <v>73845</v>
      </c>
      <c r="B73846">
        <f>TEXT(73845, "[$-0E0000]yyyy-mm-dd")</f>
        <v/>
      </c>
      <c r="C73846" t="inlineStr">
        <is>
          <t>2102-01-19</t>
        </is>
      </c>
    </row>
    <row r="73847">
      <c r="A73847" s="1" t="n">
        <v>73846</v>
      </c>
      <c r="B73847">
        <f>TEXT(73846, "[$-0E0000]yyyy-mm-dd")</f>
        <v/>
      </c>
      <c r="C73847" t="inlineStr">
        <is>
          <t>2102-01-20</t>
        </is>
      </c>
    </row>
    <row r="73848">
      <c r="A73848" s="1" t="n">
        <v>73847</v>
      </c>
      <c r="B73848">
        <f>TEXT(73847, "[$-0E0000]yyyy-mm-dd")</f>
        <v/>
      </c>
      <c r="C73848" t="inlineStr">
        <is>
          <t>2102-01-21</t>
        </is>
      </c>
    </row>
    <row r="73849">
      <c r="A73849" s="1" t="n">
        <v>73848</v>
      </c>
      <c r="B73849">
        <f>TEXT(73848, "[$-0E0000]yyyy-mm-dd")</f>
        <v/>
      </c>
      <c r="C73849" t="inlineStr">
        <is>
          <t>2102-01-22</t>
        </is>
      </c>
    </row>
    <row r="73850">
      <c r="A73850" s="1" t="n">
        <v>73849</v>
      </c>
      <c r="B73850">
        <f>TEXT(73849, "[$-0E0000]yyyy-mm-dd")</f>
        <v/>
      </c>
      <c r="C73850" t="inlineStr">
        <is>
          <t>2102-01-23</t>
        </is>
      </c>
    </row>
    <row r="73851">
      <c r="A73851" s="1" t="n">
        <v>73850</v>
      </c>
      <c r="B73851">
        <f>TEXT(73850, "[$-0E0000]yyyy-mm-dd")</f>
        <v/>
      </c>
      <c r="C73851" t="inlineStr">
        <is>
          <t>2102-01-24</t>
        </is>
      </c>
    </row>
    <row r="73852">
      <c r="A73852" s="1" t="n">
        <v>73851</v>
      </c>
      <c r="B73852">
        <f>TEXT(73851, "[$-0E0000]yyyy-mm-dd")</f>
        <v/>
      </c>
      <c r="C73852" t="inlineStr">
        <is>
          <t>2102-01-25</t>
        </is>
      </c>
    </row>
    <row r="73853">
      <c r="A73853" s="1" t="n">
        <v>73852</v>
      </c>
      <c r="B73853">
        <f>TEXT(73852, "[$-0E0000]yyyy-mm-dd")</f>
        <v/>
      </c>
      <c r="C73853" t="inlineStr">
        <is>
          <t>2102-01-26</t>
        </is>
      </c>
    </row>
    <row r="73854">
      <c r="A73854" s="1" t="n">
        <v>73853</v>
      </c>
      <c r="B73854">
        <f>TEXT(73853, "[$-0E0000]yyyy-mm-dd")</f>
        <v/>
      </c>
      <c r="C73854" t="inlineStr">
        <is>
          <t>2102-01-27</t>
        </is>
      </c>
    </row>
    <row r="73855">
      <c r="A73855" s="1" t="n">
        <v>73854</v>
      </c>
      <c r="B73855">
        <f>TEXT(73854, "[$-0E0000]yyyy-mm-dd")</f>
        <v/>
      </c>
      <c r="C73855" t="inlineStr">
        <is>
          <t>2102-01-28</t>
        </is>
      </c>
    </row>
    <row r="73856">
      <c r="A73856" s="1" t="n">
        <v>73855</v>
      </c>
      <c r="B73856">
        <f>TEXT(73855, "[$-0E0000]yyyy-mm-dd")</f>
        <v/>
      </c>
      <c r="C73856" t="inlineStr">
        <is>
          <t>2102-01-29</t>
        </is>
      </c>
    </row>
    <row r="73857">
      <c r="A73857" s="1" t="n">
        <v>73856</v>
      </c>
      <c r="B73857">
        <f>TEXT(73856, "[$-0E0000]yyyy-mm-dd")</f>
        <v/>
      </c>
      <c r="C73857" t="inlineStr">
        <is>
          <t>2102-01-30</t>
        </is>
      </c>
    </row>
    <row r="73858">
      <c r="A73858" s="1" t="n">
        <v>73857</v>
      </c>
      <c r="B73858">
        <f>TEXT(73857, "[$-0E0000]yyyy-mm-dd")</f>
        <v/>
      </c>
      <c r="C73858" t="inlineStr">
        <is>
          <t>2102-02-01</t>
        </is>
      </c>
    </row>
    <row r="73859">
      <c r="A73859" s="1" t="n">
        <v>73858</v>
      </c>
      <c r="B73859">
        <f>TEXT(73858, "[$-0E0000]yyyy-mm-dd")</f>
        <v/>
      </c>
      <c r="C73859" t="inlineStr">
        <is>
          <t>2102-02-02</t>
        </is>
      </c>
    </row>
    <row r="73860">
      <c r="A73860" s="1" t="n">
        <v>73859</v>
      </c>
      <c r="B73860">
        <f>TEXT(73859, "[$-0E0000]yyyy-mm-dd")</f>
        <v/>
      </c>
      <c r="C73860" t="inlineStr">
        <is>
          <t>2102-02-03</t>
        </is>
      </c>
    </row>
    <row r="73861">
      <c r="A73861" s="1" t="n">
        <v>73860</v>
      </c>
      <c r="B73861">
        <f>TEXT(73860, "[$-0E0000]yyyy-mm-dd")</f>
        <v/>
      </c>
      <c r="C73861" t="inlineStr">
        <is>
          <t>2102-02-04</t>
        </is>
      </c>
    </row>
    <row r="73862">
      <c r="A73862" s="1" t="n">
        <v>73861</v>
      </c>
      <c r="B73862">
        <f>TEXT(73861, "[$-0E0000]yyyy-mm-dd")</f>
        <v/>
      </c>
      <c r="C73862" t="inlineStr">
        <is>
          <t>2102-02-05</t>
        </is>
      </c>
    </row>
    <row r="73863">
      <c r="A73863" s="1" t="n">
        <v>73862</v>
      </c>
      <c r="B73863">
        <f>TEXT(73862, "[$-0E0000]yyyy-mm-dd")</f>
        <v/>
      </c>
      <c r="C73863" t="inlineStr">
        <is>
          <t>2102-02-06</t>
        </is>
      </c>
    </row>
    <row r="73864">
      <c r="A73864" s="1" t="n">
        <v>73863</v>
      </c>
      <c r="B73864">
        <f>TEXT(73863, "[$-0E0000]yyyy-mm-dd")</f>
        <v/>
      </c>
      <c r="C73864" t="inlineStr">
        <is>
          <t>2102-02-07</t>
        </is>
      </c>
    </row>
    <row r="73865">
      <c r="A73865" s="1" t="n">
        <v>73864</v>
      </c>
      <c r="B73865">
        <f>TEXT(73864, "[$-0E0000]yyyy-mm-dd")</f>
        <v/>
      </c>
      <c r="C73865" t="inlineStr">
        <is>
          <t>2102-02-08</t>
        </is>
      </c>
    </row>
    <row r="73866">
      <c r="A73866" s="1" t="n">
        <v>73865</v>
      </c>
      <c r="B73866">
        <f>TEXT(73865, "[$-0E0000]yyyy-mm-dd")</f>
        <v/>
      </c>
      <c r="C73866" t="inlineStr">
        <is>
          <t>2102-02-09</t>
        </is>
      </c>
    </row>
    <row r="73867">
      <c r="A73867" s="1" t="n">
        <v>73866</v>
      </c>
      <c r="B73867">
        <f>TEXT(73866, "[$-0E0000]yyyy-mm-dd")</f>
        <v/>
      </c>
      <c r="C73867" t="inlineStr">
        <is>
          <t>2102-02-10</t>
        </is>
      </c>
    </row>
    <row r="73868">
      <c r="A73868" s="1" t="n">
        <v>73867</v>
      </c>
      <c r="B73868">
        <f>TEXT(73867, "[$-0E0000]yyyy-mm-dd")</f>
        <v/>
      </c>
      <c r="C73868" t="inlineStr">
        <is>
          <t>2102-02-11</t>
        </is>
      </c>
    </row>
    <row r="73869">
      <c r="A73869" s="1" t="n">
        <v>73868</v>
      </c>
      <c r="B73869">
        <f>TEXT(73868, "[$-0E0000]yyyy-mm-dd")</f>
        <v/>
      </c>
      <c r="C73869" t="inlineStr">
        <is>
          <t>2102-02-12</t>
        </is>
      </c>
    </row>
    <row r="73870">
      <c r="A73870" s="1" t="n">
        <v>73869</v>
      </c>
      <c r="B73870">
        <f>TEXT(73869, "[$-0E0000]yyyy-mm-dd")</f>
        <v/>
      </c>
      <c r="C73870" t="inlineStr">
        <is>
          <t>2102-02-13</t>
        </is>
      </c>
    </row>
    <row r="73871">
      <c r="A73871" s="1" t="n">
        <v>73870</v>
      </c>
      <c r="B73871">
        <f>TEXT(73870, "[$-0E0000]yyyy-mm-dd")</f>
        <v/>
      </c>
      <c r="C73871" t="inlineStr">
        <is>
          <t>2102-02-14</t>
        </is>
      </c>
    </row>
    <row r="73872">
      <c r="A73872" s="1" t="n">
        <v>73871</v>
      </c>
      <c r="B73872">
        <f>TEXT(73871, "[$-0E0000]yyyy-mm-dd")</f>
        <v/>
      </c>
      <c r="C73872" t="inlineStr">
        <is>
          <t>2102-02-15</t>
        </is>
      </c>
    </row>
    <row r="73873">
      <c r="A73873" s="1" t="n">
        <v>73872</v>
      </c>
      <c r="B73873">
        <f>TEXT(73872, "[$-0E0000]yyyy-mm-dd")</f>
        <v/>
      </c>
      <c r="C73873" t="inlineStr">
        <is>
          <t>2102-02-16</t>
        </is>
      </c>
    </row>
    <row r="73874">
      <c r="A73874" s="1" t="n">
        <v>73873</v>
      </c>
      <c r="B73874">
        <f>TEXT(73873, "[$-0E0000]yyyy-mm-dd")</f>
        <v/>
      </c>
      <c r="C73874" t="inlineStr">
        <is>
          <t>2102-02-17</t>
        </is>
      </c>
    </row>
    <row r="73875">
      <c r="A73875" s="1" t="n">
        <v>73874</v>
      </c>
      <c r="B73875">
        <f>TEXT(73874, "[$-0E0000]yyyy-mm-dd")</f>
        <v/>
      </c>
      <c r="C73875" t="inlineStr">
        <is>
          <t>2102-02-18</t>
        </is>
      </c>
    </row>
    <row r="73876">
      <c r="A73876" s="1" t="n">
        <v>73875</v>
      </c>
      <c r="B73876">
        <f>TEXT(73875, "[$-0E0000]yyyy-mm-dd")</f>
        <v/>
      </c>
      <c r="C73876" t="inlineStr">
        <is>
          <t>2102-02-19</t>
        </is>
      </c>
    </row>
    <row r="73877">
      <c r="A73877" s="1" t="n">
        <v>73876</v>
      </c>
      <c r="B73877">
        <f>TEXT(73876, "[$-0E0000]yyyy-mm-dd")</f>
        <v/>
      </c>
      <c r="C73877" t="inlineStr">
        <is>
          <t>2102-02-20</t>
        </is>
      </c>
    </row>
    <row r="73878">
      <c r="A73878" s="1" t="n">
        <v>73877</v>
      </c>
      <c r="B73878">
        <f>TEXT(73877, "[$-0E0000]yyyy-mm-dd")</f>
        <v/>
      </c>
      <c r="C73878" t="inlineStr">
        <is>
          <t>2102-02-21</t>
        </is>
      </c>
    </row>
    <row r="73879">
      <c r="A73879" s="1" t="n">
        <v>73878</v>
      </c>
      <c r="B73879">
        <f>TEXT(73878, "[$-0E0000]yyyy-mm-dd")</f>
        <v/>
      </c>
      <c r="C73879" t="inlineStr">
        <is>
          <t>2102-02-22</t>
        </is>
      </c>
    </row>
    <row r="73880">
      <c r="A73880" s="1" t="n">
        <v>73879</v>
      </c>
      <c r="B73880">
        <f>TEXT(73879, "[$-0E0000]yyyy-mm-dd")</f>
        <v/>
      </c>
      <c r="C73880" t="inlineStr">
        <is>
          <t>2102-02-23</t>
        </is>
      </c>
    </row>
    <row r="73881">
      <c r="A73881" s="1" t="n">
        <v>73880</v>
      </c>
      <c r="B73881">
        <f>TEXT(73880, "[$-0E0000]yyyy-mm-dd")</f>
        <v/>
      </c>
      <c r="C73881" t="inlineStr">
        <is>
          <t>2102-02-24</t>
        </is>
      </c>
    </row>
    <row r="73882">
      <c r="A73882" s="1" t="n">
        <v>73881</v>
      </c>
      <c r="B73882">
        <f>TEXT(73881, "[$-0E0000]yyyy-mm-dd")</f>
        <v/>
      </c>
      <c r="C73882" t="inlineStr">
        <is>
          <t>2102-02-25</t>
        </is>
      </c>
    </row>
    <row r="73883">
      <c r="A73883" s="1" t="n">
        <v>73882</v>
      </c>
      <c r="B73883">
        <f>TEXT(73882, "[$-0E0000]yyyy-mm-dd")</f>
        <v/>
      </c>
      <c r="C73883" t="inlineStr">
        <is>
          <t>2102-02-26</t>
        </is>
      </c>
    </row>
    <row r="73884">
      <c r="A73884" s="1" t="n">
        <v>73883</v>
      </c>
      <c r="B73884">
        <f>TEXT(73883, "[$-0E0000]yyyy-mm-dd")</f>
        <v/>
      </c>
      <c r="C73884" t="inlineStr">
        <is>
          <t>2102-02-27</t>
        </is>
      </c>
    </row>
    <row r="73885">
      <c r="A73885" s="1" t="n">
        <v>73884</v>
      </c>
      <c r="B73885">
        <f>TEXT(73884, "[$-0E0000]yyyy-mm-dd")</f>
        <v/>
      </c>
      <c r="C73885" t="inlineStr">
        <is>
          <t>2102-02-28</t>
        </is>
      </c>
    </row>
    <row r="73886">
      <c r="A73886" s="1" t="n">
        <v>73885</v>
      </c>
      <c r="B73886">
        <f>TEXT(73885, "[$-0E0000]yyyy-mm-dd")</f>
        <v/>
      </c>
      <c r="C73886" t="inlineStr">
        <is>
          <t>2102-02-29</t>
        </is>
      </c>
    </row>
    <row r="73887">
      <c r="A73887" s="1" t="n">
        <v>73886</v>
      </c>
      <c r="B73887">
        <f>TEXT(73886, "[$-0E0000]yyyy-mm-dd")</f>
        <v/>
      </c>
      <c r="C73887" t="inlineStr">
        <is>
          <t>2102-03-01</t>
        </is>
      </c>
    </row>
    <row r="73888">
      <c r="A73888" s="1" t="n">
        <v>73887</v>
      </c>
      <c r="B73888">
        <f>TEXT(73887, "[$-0E0000]yyyy-mm-dd")</f>
        <v/>
      </c>
      <c r="C73888" t="inlineStr">
        <is>
          <t>2102-03-02</t>
        </is>
      </c>
    </row>
    <row r="73889">
      <c r="A73889" s="1" t="n">
        <v>73888</v>
      </c>
      <c r="B73889">
        <f>TEXT(73888, "[$-0E0000]yyyy-mm-dd")</f>
        <v/>
      </c>
      <c r="C73889" t="inlineStr">
        <is>
          <t>2102-03-03</t>
        </is>
      </c>
    </row>
    <row r="73890">
      <c r="A73890" s="1" t="n">
        <v>73889</v>
      </c>
      <c r="B73890">
        <f>TEXT(73889, "[$-0E0000]yyyy-mm-dd")</f>
        <v/>
      </c>
      <c r="C73890" t="inlineStr">
        <is>
          <t>2102-03-04</t>
        </is>
      </c>
    </row>
    <row r="73891">
      <c r="A73891" s="1" t="n">
        <v>73890</v>
      </c>
      <c r="B73891">
        <f>TEXT(73890, "[$-0E0000]yyyy-mm-dd")</f>
        <v/>
      </c>
      <c r="C73891" t="inlineStr">
        <is>
          <t>2102-03-05</t>
        </is>
      </c>
    </row>
    <row r="73892">
      <c r="A73892" s="1" t="n">
        <v>73891</v>
      </c>
      <c r="B73892">
        <f>TEXT(73891, "[$-0E0000]yyyy-mm-dd")</f>
        <v/>
      </c>
      <c r="C73892" t="inlineStr">
        <is>
          <t>2102-03-06</t>
        </is>
      </c>
    </row>
    <row r="73893">
      <c r="A73893" s="1" t="n">
        <v>73892</v>
      </c>
      <c r="B73893">
        <f>TEXT(73892, "[$-0E0000]yyyy-mm-dd")</f>
        <v/>
      </c>
      <c r="C73893" t="inlineStr">
        <is>
          <t>2102-03-07</t>
        </is>
      </c>
    </row>
    <row r="73894">
      <c r="A73894" s="1" t="n">
        <v>73893</v>
      </c>
      <c r="B73894">
        <f>TEXT(73893, "[$-0E0000]yyyy-mm-dd")</f>
        <v/>
      </c>
      <c r="C73894" t="inlineStr">
        <is>
          <t>2102-03-08</t>
        </is>
      </c>
    </row>
    <row r="73895">
      <c r="A73895" s="1" t="n">
        <v>73894</v>
      </c>
      <c r="B73895">
        <f>TEXT(73894, "[$-0E0000]yyyy-mm-dd")</f>
        <v/>
      </c>
      <c r="C73895" t="inlineStr">
        <is>
          <t>2102-03-09</t>
        </is>
      </c>
    </row>
    <row r="73896">
      <c r="A73896" s="1" t="n">
        <v>73895</v>
      </c>
      <c r="B73896">
        <f>TEXT(73895, "[$-0E0000]yyyy-mm-dd")</f>
        <v/>
      </c>
      <c r="C73896" t="inlineStr">
        <is>
          <t>2102-03-10</t>
        </is>
      </c>
    </row>
    <row r="73897">
      <c r="A73897" s="1" t="n">
        <v>73896</v>
      </c>
      <c r="B73897">
        <f>TEXT(73896, "[$-0E0000]yyyy-mm-dd")</f>
        <v/>
      </c>
      <c r="C73897" t="inlineStr">
        <is>
          <t>2102-03-11</t>
        </is>
      </c>
    </row>
    <row r="73898">
      <c r="A73898" s="1" t="n">
        <v>73897</v>
      </c>
      <c r="B73898">
        <f>TEXT(73897, "[$-0E0000]yyyy-mm-dd")</f>
        <v/>
      </c>
      <c r="C73898" t="inlineStr">
        <is>
          <t>2102-03-12</t>
        </is>
      </c>
    </row>
    <row r="73899">
      <c r="A73899" s="1" t="n">
        <v>73898</v>
      </c>
      <c r="B73899">
        <f>TEXT(73898, "[$-0E0000]yyyy-mm-dd")</f>
        <v/>
      </c>
      <c r="C73899" t="inlineStr">
        <is>
          <t>2102-03-13</t>
        </is>
      </c>
    </row>
    <row r="73900">
      <c r="A73900" s="1" t="n">
        <v>73899</v>
      </c>
      <c r="B73900">
        <f>TEXT(73899, "[$-0E0000]yyyy-mm-dd")</f>
        <v/>
      </c>
      <c r="C73900" t="inlineStr">
        <is>
          <t>2102-03-14</t>
        </is>
      </c>
    </row>
    <row r="73901">
      <c r="A73901" s="1" t="n">
        <v>73900</v>
      </c>
      <c r="B73901">
        <f>TEXT(73900, "[$-0E0000]yyyy-mm-dd")</f>
        <v/>
      </c>
      <c r="C73901" t="inlineStr">
        <is>
          <t>2102-03-15</t>
        </is>
      </c>
    </row>
    <row r="73902">
      <c r="A73902" s="1" t="n">
        <v>73901</v>
      </c>
      <c r="B73902">
        <f>TEXT(73901, "[$-0E0000]yyyy-mm-dd")</f>
        <v/>
      </c>
      <c r="C73902" t="inlineStr">
        <is>
          <t>2102-03-16</t>
        </is>
      </c>
    </row>
    <row r="73903">
      <c r="A73903" s="1" t="n">
        <v>73902</v>
      </c>
      <c r="B73903">
        <f>TEXT(73902, "[$-0E0000]yyyy-mm-dd")</f>
        <v/>
      </c>
      <c r="C73903" t="inlineStr">
        <is>
          <t>2102-03-17</t>
        </is>
      </c>
    </row>
    <row r="73904">
      <c r="A73904" s="1" t="n">
        <v>73903</v>
      </c>
      <c r="B73904">
        <f>TEXT(73903, "[$-0E0000]yyyy-mm-dd")</f>
        <v/>
      </c>
      <c r="C73904" t="inlineStr">
        <is>
          <t>2102-03-18</t>
        </is>
      </c>
    </row>
    <row r="73905">
      <c r="A73905" s="1" t="n">
        <v>73904</v>
      </c>
      <c r="B73905">
        <f>TEXT(73904, "[$-0E0000]yyyy-mm-dd")</f>
        <v/>
      </c>
      <c r="C73905" t="inlineStr">
        <is>
          <t>2102-03-19</t>
        </is>
      </c>
    </row>
    <row r="73906">
      <c r="A73906" s="1" t="n">
        <v>73905</v>
      </c>
      <c r="B73906">
        <f>TEXT(73905, "[$-0E0000]yyyy-mm-dd")</f>
        <v/>
      </c>
      <c r="C73906" t="inlineStr">
        <is>
          <t>2102-03-20</t>
        </is>
      </c>
    </row>
    <row r="73907">
      <c r="A73907" s="1" t="n">
        <v>73906</v>
      </c>
      <c r="B73907">
        <f>TEXT(73906, "[$-0E0000]yyyy-mm-dd")</f>
        <v/>
      </c>
      <c r="C73907" t="inlineStr">
        <is>
          <t>2102-03-21</t>
        </is>
      </c>
    </row>
    <row r="73908">
      <c r="A73908" s="1" t="n">
        <v>73907</v>
      </c>
      <c r="B73908">
        <f>TEXT(73907, "[$-0E0000]yyyy-mm-dd")</f>
        <v/>
      </c>
      <c r="C73908" t="inlineStr">
        <is>
          <t>2102-03-22</t>
        </is>
      </c>
    </row>
    <row r="73909">
      <c r="A73909" s="1" t="n">
        <v>73908</v>
      </c>
      <c r="B73909">
        <f>TEXT(73908, "[$-0E0000]yyyy-mm-dd")</f>
        <v/>
      </c>
      <c r="C73909" t="inlineStr">
        <is>
          <t>2102-03-23</t>
        </is>
      </c>
    </row>
    <row r="73910">
      <c r="A73910" s="1" t="n">
        <v>73909</v>
      </c>
      <c r="B73910">
        <f>TEXT(73909, "[$-0E0000]yyyy-mm-dd")</f>
        <v/>
      </c>
      <c r="C73910" t="inlineStr">
        <is>
          <t>2102-03-24</t>
        </is>
      </c>
    </row>
    <row r="73911">
      <c r="A73911" s="1" t="n">
        <v>73910</v>
      </c>
      <c r="B73911">
        <f>TEXT(73910, "[$-0E0000]yyyy-mm-dd")</f>
        <v/>
      </c>
      <c r="C73911" t="inlineStr">
        <is>
          <t>2102-03-25</t>
        </is>
      </c>
    </row>
    <row r="73912">
      <c r="A73912" s="1" t="n">
        <v>73911</v>
      </c>
      <c r="B73912">
        <f>TEXT(73911, "[$-0E0000]yyyy-mm-dd")</f>
        <v/>
      </c>
      <c r="C73912" t="inlineStr">
        <is>
          <t>2102-03-26</t>
        </is>
      </c>
    </row>
    <row r="73913">
      <c r="A73913" s="1" t="n">
        <v>73912</v>
      </c>
      <c r="B73913">
        <f>TEXT(73912, "[$-0E0000]yyyy-mm-dd")</f>
        <v/>
      </c>
      <c r="C73913" t="inlineStr">
        <is>
          <t>2102-03-27</t>
        </is>
      </c>
    </row>
    <row r="73914">
      <c r="A73914" s="1" t="n">
        <v>73913</v>
      </c>
      <c r="B73914">
        <f>TEXT(73913, "[$-0E0000]yyyy-mm-dd")</f>
        <v/>
      </c>
      <c r="C73914" t="inlineStr">
        <is>
          <t>2102-03-28</t>
        </is>
      </c>
    </row>
    <row r="73915">
      <c r="A73915" s="1" t="n">
        <v>73914</v>
      </c>
      <c r="B73915">
        <f>TEXT(73914, "[$-0E0000]yyyy-mm-dd")</f>
        <v/>
      </c>
      <c r="C73915" t="inlineStr">
        <is>
          <t>2102-03-29</t>
        </is>
      </c>
    </row>
    <row r="73916">
      <c r="A73916" s="1" t="n">
        <v>73915</v>
      </c>
      <c r="B73916">
        <f>TEXT(73915, "[$-0E0000]yyyy-mm-dd")</f>
        <v/>
      </c>
      <c r="C73916" t="inlineStr">
        <is>
          <t>2102-03-30</t>
        </is>
      </c>
    </row>
    <row r="73917">
      <c r="A73917" s="1" t="n">
        <v>73916</v>
      </c>
      <c r="B73917">
        <f>TEXT(73916, "[$-0E0000]yyyy-mm-dd")</f>
        <v/>
      </c>
      <c r="C73917" t="inlineStr">
        <is>
          <t>2102-04-01</t>
        </is>
      </c>
    </row>
    <row r="73918">
      <c r="A73918" s="1" t="n">
        <v>73917</v>
      </c>
      <c r="B73918">
        <f>TEXT(73917, "[$-0E0000]yyyy-mm-dd")</f>
        <v/>
      </c>
      <c r="C73918" t="inlineStr">
        <is>
          <t>2102-04-02</t>
        </is>
      </c>
    </row>
    <row r="73919">
      <c r="A73919" s="1" t="n">
        <v>73918</v>
      </c>
      <c r="B73919">
        <f>TEXT(73918, "[$-0E0000]yyyy-mm-dd")</f>
        <v/>
      </c>
      <c r="C73919" t="inlineStr">
        <is>
          <t>2102-04-03</t>
        </is>
      </c>
    </row>
    <row r="73920">
      <c r="A73920" s="1" t="n">
        <v>73919</v>
      </c>
      <c r="B73920">
        <f>TEXT(73919, "[$-0E0000]yyyy-mm-dd")</f>
        <v/>
      </c>
      <c r="C73920" t="inlineStr">
        <is>
          <t>2102-04-04</t>
        </is>
      </c>
    </row>
    <row r="73921">
      <c r="A73921" s="1" t="n">
        <v>73920</v>
      </c>
      <c r="B73921">
        <f>TEXT(73920, "[$-0E0000]yyyy-mm-dd")</f>
        <v/>
      </c>
      <c r="C73921" t="inlineStr">
        <is>
          <t>2102-04-05</t>
        </is>
      </c>
    </row>
    <row r="73922">
      <c r="A73922" s="1" t="n">
        <v>73921</v>
      </c>
      <c r="B73922">
        <f>TEXT(73921, "[$-0E0000]yyyy-mm-dd")</f>
        <v/>
      </c>
      <c r="C73922" t="inlineStr">
        <is>
          <t>2102-04-06</t>
        </is>
      </c>
    </row>
    <row r="73923">
      <c r="A73923" s="1" t="n">
        <v>73922</v>
      </c>
      <c r="B73923">
        <f>TEXT(73922, "[$-0E0000]yyyy-mm-dd")</f>
        <v/>
      </c>
      <c r="C73923" t="inlineStr">
        <is>
          <t>2102-04-07</t>
        </is>
      </c>
    </row>
    <row r="73924">
      <c r="A73924" s="1" t="n">
        <v>73923</v>
      </c>
      <c r="B73924">
        <f>TEXT(73923, "[$-0E0000]yyyy-mm-dd")</f>
        <v/>
      </c>
      <c r="C73924" t="inlineStr">
        <is>
          <t>2102-04-08</t>
        </is>
      </c>
    </row>
    <row r="73925">
      <c r="A73925" s="1" t="n">
        <v>73924</v>
      </c>
      <c r="B73925">
        <f>TEXT(73924, "[$-0E0000]yyyy-mm-dd")</f>
        <v/>
      </c>
      <c r="C73925" t="inlineStr">
        <is>
          <t>2102-04-09</t>
        </is>
      </c>
    </row>
    <row r="73926">
      <c r="A73926" s="1" t="n">
        <v>73925</v>
      </c>
      <c r="B73926">
        <f>TEXT(73925, "[$-0E0000]yyyy-mm-dd")</f>
        <v/>
      </c>
      <c r="C73926" t="inlineStr">
        <is>
          <t>2102-04-10</t>
        </is>
      </c>
    </row>
    <row r="73927">
      <c r="A73927" s="1" t="n">
        <v>73926</v>
      </c>
      <c r="B73927">
        <f>TEXT(73926, "[$-0E0000]yyyy-mm-dd")</f>
        <v/>
      </c>
      <c r="C73927" t="inlineStr">
        <is>
          <t>2102-04-11</t>
        </is>
      </c>
    </row>
    <row r="73928">
      <c r="A73928" s="1" t="n">
        <v>73927</v>
      </c>
      <c r="B73928">
        <f>TEXT(73927, "[$-0E0000]yyyy-mm-dd")</f>
        <v/>
      </c>
      <c r="C73928" t="inlineStr">
        <is>
          <t>2102-04-12</t>
        </is>
      </c>
    </row>
    <row r="73929">
      <c r="A73929" s="1" t="n">
        <v>73928</v>
      </c>
      <c r="B73929">
        <f>TEXT(73928, "[$-0E0000]yyyy-mm-dd")</f>
        <v/>
      </c>
      <c r="C73929" t="inlineStr">
        <is>
          <t>2102-04-13</t>
        </is>
      </c>
    </row>
    <row r="73930">
      <c r="A73930" s="1" t="n">
        <v>73929</v>
      </c>
      <c r="B73930">
        <f>TEXT(73929, "[$-0E0000]yyyy-mm-dd")</f>
        <v/>
      </c>
      <c r="C73930" t="inlineStr">
        <is>
          <t>2102-04-14</t>
        </is>
      </c>
    </row>
    <row r="73931">
      <c r="A73931" s="1" t="n">
        <v>73930</v>
      </c>
      <c r="B73931">
        <f>TEXT(73930, "[$-0E0000]yyyy-mm-dd")</f>
        <v/>
      </c>
      <c r="C73931" t="inlineStr">
        <is>
          <t>2102-04-15</t>
        </is>
      </c>
    </row>
    <row r="73932">
      <c r="A73932" s="1" t="n">
        <v>73931</v>
      </c>
      <c r="B73932">
        <f>TEXT(73931, "[$-0E0000]yyyy-mm-dd")</f>
        <v/>
      </c>
      <c r="C73932" t="inlineStr">
        <is>
          <t>2102-04-16</t>
        </is>
      </c>
    </row>
    <row r="73933">
      <c r="A73933" s="1" t="n">
        <v>73932</v>
      </c>
      <c r="B73933">
        <f>TEXT(73932, "[$-0E0000]yyyy-mm-dd")</f>
        <v/>
      </c>
      <c r="C73933" t="inlineStr">
        <is>
          <t>2102-04-17</t>
        </is>
      </c>
    </row>
    <row r="73934">
      <c r="A73934" s="1" t="n">
        <v>73933</v>
      </c>
      <c r="B73934">
        <f>TEXT(73933, "[$-0E0000]yyyy-mm-dd")</f>
        <v/>
      </c>
      <c r="C73934" t="inlineStr">
        <is>
          <t>2102-04-18</t>
        </is>
      </c>
    </row>
    <row r="73935">
      <c r="A73935" s="1" t="n">
        <v>73934</v>
      </c>
      <c r="B73935">
        <f>TEXT(73934, "[$-0E0000]yyyy-mm-dd")</f>
        <v/>
      </c>
      <c r="C73935" t="inlineStr">
        <is>
          <t>2102-04-19</t>
        </is>
      </c>
    </row>
    <row r="73936">
      <c r="A73936" s="1" t="n">
        <v>73935</v>
      </c>
      <c r="B73936">
        <f>TEXT(73935, "[$-0E0000]yyyy-mm-dd")</f>
        <v/>
      </c>
      <c r="C73936" t="inlineStr">
        <is>
          <t>2102-04-20</t>
        </is>
      </c>
    </row>
    <row r="73937">
      <c r="A73937" s="1" t="n">
        <v>73936</v>
      </c>
      <c r="B73937">
        <f>TEXT(73936, "[$-0E0000]yyyy-mm-dd")</f>
        <v/>
      </c>
      <c r="C73937" t="inlineStr">
        <is>
          <t>2102-04-21</t>
        </is>
      </c>
    </row>
    <row r="73938">
      <c r="A73938" s="1" t="n">
        <v>73937</v>
      </c>
      <c r="B73938">
        <f>TEXT(73937, "[$-0E0000]yyyy-mm-dd")</f>
        <v/>
      </c>
      <c r="C73938" t="inlineStr">
        <is>
          <t>2102-04-22</t>
        </is>
      </c>
    </row>
    <row r="73939">
      <c r="A73939" s="1" t="n">
        <v>73938</v>
      </c>
      <c r="B73939">
        <f>TEXT(73938, "[$-0E0000]yyyy-mm-dd")</f>
        <v/>
      </c>
      <c r="C73939" t="inlineStr">
        <is>
          <t>2102-04-23</t>
        </is>
      </c>
    </row>
    <row r="73940">
      <c r="A73940" s="1" t="n">
        <v>73939</v>
      </c>
      <c r="B73940">
        <f>TEXT(73939, "[$-0E0000]yyyy-mm-dd")</f>
        <v/>
      </c>
      <c r="C73940" t="inlineStr">
        <is>
          <t>2102-04-24</t>
        </is>
      </c>
    </row>
    <row r="73941">
      <c r="A73941" s="1" t="n">
        <v>73940</v>
      </c>
      <c r="B73941">
        <f>TEXT(73940, "[$-0E0000]yyyy-mm-dd")</f>
        <v/>
      </c>
      <c r="C73941" t="inlineStr">
        <is>
          <t>2102-04-25</t>
        </is>
      </c>
    </row>
    <row r="73942">
      <c r="A73942" s="1" t="n">
        <v>73941</v>
      </c>
      <c r="B73942">
        <f>TEXT(73941, "[$-0E0000]yyyy-mm-dd")</f>
        <v/>
      </c>
      <c r="C73942" t="inlineStr">
        <is>
          <t>2102-04-26</t>
        </is>
      </c>
    </row>
    <row r="73943">
      <c r="A73943" s="1" t="n">
        <v>73942</v>
      </c>
      <c r="B73943">
        <f>TEXT(73942, "[$-0E0000]yyyy-mm-dd")</f>
        <v/>
      </c>
      <c r="C73943" t="inlineStr">
        <is>
          <t>2102-04-27</t>
        </is>
      </c>
    </row>
    <row r="73944">
      <c r="A73944" s="1" t="n">
        <v>73943</v>
      </c>
      <c r="B73944">
        <f>TEXT(73943, "[$-0E0000]yyyy-mm-dd")</f>
        <v/>
      </c>
      <c r="C73944" t="inlineStr">
        <is>
          <t>2102-04-28</t>
        </is>
      </c>
    </row>
    <row r="73945">
      <c r="A73945" s="1" t="n">
        <v>73944</v>
      </c>
      <c r="B73945">
        <f>TEXT(73944, "[$-0E0000]yyyy-mm-dd")</f>
        <v/>
      </c>
      <c r="C73945" t="inlineStr">
        <is>
          <t>2102-04-29</t>
        </is>
      </c>
    </row>
    <row r="73946">
      <c r="A73946" s="1" t="n">
        <v>73945</v>
      </c>
      <c r="B73946">
        <f>TEXT(73945, "[$-0E0000]yyyy-mm-dd")</f>
        <v/>
      </c>
      <c r="C73946" t="inlineStr">
        <is>
          <t>2102-04-30</t>
        </is>
      </c>
    </row>
    <row r="73947">
      <c r="A73947" s="1" t="n">
        <v>73946</v>
      </c>
      <c r="B73947">
        <f>TEXT(73946, "[$-0E0000]yyyy-mm-dd")</f>
        <v/>
      </c>
      <c r="C73947" t="inlineStr">
        <is>
          <t>2102-05-01</t>
        </is>
      </c>
    </row>
    <row r="73948">
      <c r="A73948" s="1" t="n">
        <v>73947</v>
      </c>
      <c r="B73948">
        <f>TEXT(73947, "[$-0E0000]yyyy-mm-dd")</f>
        <v/>
      </c>
      <c r="C73948" t="inlineStr">
        <is>
          <t>2102-05-02</t>
        </is>
      </c>
    </row>
    <row r="73949">
      <c r="A73949" s="1" t="n">
        <v>73948</v>
      </c>
      <c r="B73949">
        <f>TEXT(73948, "[$-0E0000]yyyy-mm-dd")</f>
        <v/>
      </c>
      <c r="C73949" t="inlineStr">
        <is>
          <t>2102-05-03</t>
        </is>
      </c>
    </row>
    <row r="73950">
      <c r="A73950" s="1" t="n">
        <v>73949</v>
      </c>
      <c r="B73950">
        <f>TEXT(73949, "[$-0E0000]yyyy-mm-dd")</f>
        <v/>
      </c>
      <c r="C73950" t="inlineStr">
        <is>
          <t>2102-05-04</t>
        </is>
      </c>
    </row>
    <row r="73951">
      <c r="A73951" s="1" t="n">
        <v>73950</v>
      </c>
      <c r="B73951">
        <f>TEXT(73950, "[$-0E0000]yyyy-mm-dd")</f>
        <v/>
      </c>
      <c r="C73951" t="inlineStr">
        <is>
          <t>2102-05-05</t>
        </is>
      </c>
    </row>
    <row r="73952">
      <c r="A73952" s="1" t="n">
        <v>73951</v>
      </c>
      <c r="B73952">
        <f>TEXT(73951, "[$-0E0000]yyyy-mm-dd")</f>
        <v/>
      </c>
      <c r="C73952" t="inlineStr">
        <is>
          <t>2102-05-06</t>
        </is>
      </c>
    </row>
    <row r="73953">
      <c r="A73953" s="1" t="n">
        <v>73952</v>
      </c>
      <c r="B73953">
        <f>TEXT(73952, "[$-0E0000]yyyy-mm-dd")</f>
        <v/>
      </c>
      <c r="C73953" t="inlineStr">
        <is>
          <t>2102-05-07</t>
        </is>
      </c>
    </row>
    <row r="73954">
      <c r="A73954" s="1" t="n">
        <v>73953</v>
      </c>
      <c r="B73954">
        <f>TEXT(73953, "[$-0E0000]yyyy-mm-dd")</f>
        <v/>
      </c>
      <c r="C73954" t="inlineStr">
        <is>
          <t>2102-05-08</t>
        </is>
      </c>
    </row>
    <row r="73955">
      <c r="A73955" s="1" t="n">
        <v>73954</v>
      </c>
      <c r="B73955">
        <f>TEXT(73954, "[$-0E0000]yyyy-mm-dd")</f>
        <v/>
      </c>
      <c r="C73955" t="inlineStr">
        <is>
          <t>2102-05-09</t>
        </is>
      </c>
    </row>
    <row r="73956">
      <c r="A73956" s="1" t="n">
        <v>73955</v>
      </c>
      <c r="B73956">
        <f>TEXT(73955, "[$-0E0000]yyyy-mm-dd")</f>
        <v/>
      </c>
      <c r="C73956" t="inlineStr">
        <is>
          <t>2102-05-10</t>
        </is>
      </c>
    </row>
    <row r="73957">
      <c r="A73957" s="1" t="n">
        <v>73956</v>
      </c>
      <c r="B73957">
        <f>TEXT(73956, "[$-0E0000]yyyy-mm-dd")</f>
        <v/>
      </c>
      <c r="C73957" t="inlineStr">
        <is>
          <t>2102-05-11</t>
        </is>
      </c>
    </row>
    <row r="73958">
      <c r="A73958" s="1" t="n">
        <v>73957</v>
      </c>
      <c r="B73958">
        <f>TEXT(73957, "[$-0E0000]yyyy-mm-dd")</f>
        <v/>
      </c>
      <c r="C73958" t="inlineStr">
        <is>
          <t>2102-05-12</t>
        </is>
      </c>
    </row>
    <row r="73959">
      <c r="A73959" s="1" t="n">
        <v>73958</v>
      </c>
      <c r="B73959">
        <f>TEXT(73958, "[$-0E0000]yyyy-mm-dd")</f>
        <v/>
      </c>
      <c r="C73959" t="inlineStr">
        <is>
          <t>2102-05-13</t>
        </is>
      </c>
    </row>
    <row r="73960">
      <c r="A73960" s="1" t="n">
        <v>73959</v>
      </c>
      <c r="B73960">
        <f>TEXT(73959, "[$-0E0000]yyyy-mm-dd")</f>
        <v/>
      </c>
      <c r="C73960" t="inlineStr">
        <is>
          <t>2102-05-14</t>
        </is>
      </c>
    </row>
    <row r="73961">
      <c r="A73961" s="1" t="n">
        <v>73960</v>
      </c>
      <c r="B73961">
        <f>TEXT(73960, "[$-0E0000]yyyy-mm-dd")</f>
        <v/>
      </c>
      <c r="C73961" t="inlineStr">
        <is>
          <t>2102-05-15</t>
        </is>
      </c>
    </row>
    <row r="73962">
      <c r="A73962" s="1" t="n">
        <v>73961</v>
      </c>
      <c r="B73962">
        <f>TEXT(73961, "[$-0E0000]yyyy-mm-dd")</f>
        <v/>
      </c>
      <c r="C73962" t="inlineStr">
        <is>
          <t>2102-05-16</t>
        </is>
      </c>
    </row>
    <row r="73963">
      <c r="A73963" s="1" t="n">
        <v>73962</v>
      </c>
      <c r="B73963">
        <f>TEXT(73962, "[$-0E0000]yyyy-mm-dd")</f>
        <v/>
      </c>
      <c r="C73963" t="inlineStr">
        <is>
          <t>2102-05-17</t>
        </is>
      </c>
    </row>
    <row r="73964">
      <c r="A73964" s="1" t="n">
        <v>73963</v>
      </c>
      <c r="B73964">
        <f>TEXT(73963, "[$-0E0000]yyyy-mm-dd")</f>
        <v/>
      </c>
      <c r="C73964" t="inlineStr">
        <is>
          <t>2102-05-18</t>
        </is>
      </c>
    </row>
    <row r="73965">
      <c r="A73965" s="1" t="n">
        <v>73964</v>
      </c>
      <c r="B73965">
        <f>TEXT(73964, "[$-0E0000]yyyy-mm-dd")</f>
        <v/>
      </c>
      <c r="C73965" t="inlineStr">
        <is>
          <t>2102-05-19</t>
        </is>
      </c>
    </row>
    <row r="73966">
      <c r="A73966" s="1" t="n">
        <v>73965</v>
      </c>
      <c r="B73966">
        <f>TEXT(73965, "[$-0E0000]yyyy-mm-dd")</f>
        <v/>
      </c>
      <c r="C73966" t="inlineStr">
        <is>
          <t>2102-05-20</t>
        </is>
      </c>
    </row>
    <row r="73967">
      <c r="A73967" s="1" t="n">
        <v>73966</v>
      </c>
      <c r="B73967">
        <f>TEXT(73966, "[$-0E0000]yyyy-mm-dd")</f>
        <v/>
      </c>
      <c r="C73967" t="inlineStr">
        <is>
          <t>2102-05-21</t>
        </is>
      </c>
    </row>
    <row r="73968">
      <c r="A73968" s="1" t="n">
        <v>73967</v>
      </c>
      <c r="B73968">
        <f>TEXT(73967, "[$-0E0000]yyyy-mm-dd")</f>
        <v/>
      </c>
      <c r="C73968" t="inlineStr">
        <is>
          <t>2102-05-22</t>
        </is>
      </c>
    </row>
    <row r="73969">
      <c r="A73969" s="1" t="n">
        <v>73968</v>
      </c>
      <c r="B73969">
        <f>TEXT(73968, "[$-0E0000]yyyy-mm-dd")</f>
        <v/>
      </c>
      <c r="C73969" t="inlineStr">
        <is>
          <t>2102-05-23</t>
        </is>
      </c>
    </row>
    <row r="73970">
      <c r="A73970" s="1" t="n">
        <v>73969</v>
      </c>
      <c r="B73970">
        <f>TEXT(73969, "[$-0E0000]yyyy-mm-dd")</f>
        <v/>
      </c>
      <c r="C73970" t="inlineStr">
        <is>
          <t>2102-05-24</t>
        </is>
      </c>
    </row>
    <row r="73971">
      <c r="A73971" s="1" t="n">
        <v>73970</v>
      </c>
      <c r="B73971">
        <f>TEXT(73970, "[$-0E0000]yyyy-mm-dd")</f>
        <v/>
      </c>
      <c r="C73971" t="inlineStr">
        <is>
          <t>2102-05-25</t>
        </is>
      </c>
    </row>
    <row r="73972">
      <c r="A73972" s="1" t="n">
        <v>73971</v>
      </c>
      <c r="B73972">
        <f>TEXT(73971, "[$-0E0000]yyyy-mm-dd")</f>
        <v/>
      </c>
      <c r="C73972" t="inlineStr">
        <is>
          <t>2102-05-26</t>
        </is>
      </c>
    </row>
    <row r="73973">
      <c r="A73973" s="1" t="n">
        <v>73972</v>
      </c>
      <c r="B73973">
        <f>TEXT(73972, "[$-0E0000]yyyy-mm-dd")</f>
        <v/>
      </c>
      <c r="C73973" t="inlineStr">
        <is>
          <t>2102-05-27</t>
        </is>
      </c>
    </row>
    <row r="73974">
      <c r="A73974" s="1" t="n">
        <v>73973</v>
      </c>
      <c r="B73974">
        <f>TEXT(73973, "[$-0E0000]yyyy-mm-dd")</f>
        <v/>
      </c>
      <c r="C73974" t="inlineStr">
        <is>
          <t>2102-05-28</t>
        </is>
      </c>
    </row>
    <row r="73975">
      <c r="A73975" s="1" t="n">
        <v>73974</v>
      </c>
      <c r="B73975">
        <f>TEXT(73974, "[$-0E0000]yyyy-mm-dd")</f>
        <v/>
      </c>
      <c r="C73975" t="inlineStr">
        <is>
          <t>2102-05-29</t>
        </is>
      </c>
    </row>
    <row r="73976">
      <c r="A73976" s="1" t="n">
        <v>73975</v>
      </c>
      <c r="B73976">
        <f>TEXT(73975, "[$-0E0000]yyyy-mm-dd")</f>
        <v/>
      </c>
      <c r="C73976" t="inlineStr">
        <is>
          <t>2102-06-01</t>
        </is>
      </c>
    </row>
    <row r="73977">
      <c r="A73977" s="1" t="n">
        <v>73976</v>
      </c>
      <c r="B73977">
        <f>TEXT(73976, "[$-0E0000]yyyy-mm-dd")</f>
        <v/>
      </c>
      <c r="C73977" t="inlineStr">
        <is>
          <t>2102-06-02</t>
        </is>
      </c>
    </row>
    <row r="73978">
      <c r="A73978" s="1" t="n">
        <v>73977</v>
      </c>
      <c r="B73978">
        <f>TEXT(73977, "[$-0E0000]yyyy-mm-dd")</f>
        <v/>
      </c>
      <c r="C73978" t="inlineStr">
        <is>
          <t>2102-06-03</t>
        </is>
      </c>
    </row>
    <row r="73979">
      <c r="A73979" s="1" t="n">
        <v>73978</v>
      </c>
      <c r="B73979">
        <f>TEXT(73978, "[$-0E0000]yyyy-mm-dd")</f>
        <v/>
      </c>
      <c r="C73979" t="inlineStr">
        <is>
          <t>2102-06-04</t>
        </is>
      </c>
    </row>
    <row r="73980">
      <c r="A73980" s="1" t="n">
        <v>73979</v>
      </c>
      <c r="B73980">
        <f>TEXT(73979, "[$-0E0000]yyyy-mm-dd")</f>
        <v/>
      </c>
      <c r="C73980" t="inlineStr">
        <is>
          <t>2102-06-05</t>
        </is>
      </c>
    </row>
    <row r="73981">
      <c r="A73981" s="1" t="n">
        <v>73980</v>
      </c>
      <c r="B73981">
        <f>TEXT(73980, "[$-0E0000]yyyy-mm-dd")</f>
        <v/>
      </c>
      <c r="C73981" t="inlineStr">
        <is>
          <t>2102-06-06</t>
        </is>
      </c>
    </row>
    <row r="73982">
      <c r="A73982" s="1" t="n">
        <v>73981</v>
      </c>
      <c r="B73982">
        <f>TEXT(73981, "[$-0E0000]yyyy-mm-dd")</f>
        <v/>
      </c>
      <c r="C73982" t="inlineStr">
        <is>
          <t>2102-06-07</t>
        </is>
      </c>
    </row>
    <row r="73983">
      <c r="A73983" s="1" t="n">
        <v>73982</v>
      </c>
      <c r="B73983">
        <f>TEXT(73982, "[$-0E0000]yyyy-mm-dd")</f>
        <v/>
      </c>
      <c r="C73983" t="inlineStr">
        <is>
          <t>2102-06-08</t>
        </is>
      </c>
    </row>
    <row r="73984">
      <c r="A73984" s="1" t="n">
        <v>73983</v>
      </c>
      <c r="B73984">
        <f>TEXT(73983, "[$-0E0000]yyyy-mm-dd")</f>
        <v/>
      </c>
      <c r="C73984" t="inlineStr">
        <is>
          <t>2102-06-09</t>
        </is>
      </c>
    </row>
    <row r="73985">
      <c r="A73985" s="1" t="n">
        <v>73984</v>
      </c>
      <c r="B73985">
        <f>TEXT(73984, "[$-0E0000]yyyy-mm-dd")</f>
        <v/>
      </c>
      <c r="C73985" t="inlineStr">
        <is>
          <t>2102-06-10</t>
        </is>
      </c>
    </row>
    <row r="73986">
      <c r="A73986" s="1" t="n">
        <v>73985</v>
      </c>
      <c r="B73986">
        <f>TEXT(73985, "[$-0E0000]yyyy-mm-dd")</f>
        <v/>
      </c>
      <c r="C73986" t="inlineStr">
        <is>
          <t>2102-06-11</t>
        </is>
      </c>
    </row>
    <row r="73987">
      <c r="A73987" s="1" t="n">
        <v>73986</v>
      </c>
      <c r="B73987">
        <f>TEXT(73986, "[$-0E0000]yyyy-mm-dd")</f>
        <v/>
      </c>
      <c r="C73987" t="inlineStr">
        <is>
          <t>2102-06-12</t>
        </is>
      </c>
    </row>
    <row r="73988">
      <c r="A73988" s="1" t="n">
        <v>73987</v>
      </c>
      <c r="B73988">
        <f>TEXT(73987, "[$-0E0000]yyyy-mm-dd")</f>
        <v/>
      </c>
      <c r="C73988" t="inlineStr">
        <is>
          <t>2102-06-13</t>
        </is>
      </c>
    </row>
    <row r="73989">
      <c r="A73989" s="1" t="n">
        <v>73988</v>
      </c>
      <c r="B73989">
        <f>TEXT(73988, "[$-0E0000]yyyy-mm-dd")</f>
        <v/>
      </c>
      <c r="C73989" t="inlineStr">
        <is>
          <t>2102-06-14</t>
        </is>
      </c>
    </row>
    <row r="73990">
      <c r="A73990" s="1" t="n">
        <v>73989</v>
      </c>
      <c r="B73990">
        <f>TEXT(73989, "[$-0E0000]yyyy-mm-dd")</f>
        <v/>
      </c>
      <c r="C73990" t="inlineStr">
        <is>
          <t>2102-06-15</t>
        </is>
      </c>
    </row>
    <row r="73991">
      <c r="A73991" s="1" t="n">
        <v>73990</v>
      </c>
      <c r="B73991">
        <f>TEXT(73990, "[$-0E0000]yyyy-mm-dd")</f>
        <v/>
      </c>
      <c r="C73991" t="inlineStr">
        <is>
          <t>2102-06-16</t>
        </is>
      </c>
    </row>
    <row r="73992">
      <c r="A73992" s="1" t="n">
        <v>73991</v>
      </c>
      <c r="B73992">
        <f>TEXT(73991, "[$-0E0000]yyyy-mm-dd")</f>
        <v/>
      </c>
      <c r="C73992" t="inlineStr">
        <is>
          <t>2102-06-17</t>
        </is>
      </c>
    </row>
    <row r="73993">
      <c r="A73993" s="1" t="n">
        <v>73992</v>
      </c>
      <c r="B73993">
        <f>TEXT(73992, "[$-0E0000]yyyy-mm-dd")</f>
        <v/>
      </c>
      <c r="C73993" t="inlineStr">
        <is>
          <t>2102-06-18</t>
        </is>
      </c>
    </row>
    <row r="73994">
      <c r="A73994" s="1" t="n">
        <v>73993</v>
      </c>
      <c r="B73994">
        <f>TEXT(73993, "[$-0E0000]yyyy-mm-dd")</f>
        <v/>
      </c>
      <c r="C73994" t="inlineStr">
        <is>
          <t>2102-06-19</t>
        </is>
      </c>
    </row>
    <row r="73995">
      <c r="A73995" s="1" t="n">
        <v>73994</v>
      </c>
      <c r="B73995">
        <f>TEXT(73994, "[$-0E0000]yyyy-mm-dd")</f>
        <v/>
      </c>
      <c r="C73995" t="inlineStr">
        <is>
          <t>2102-06-20</t>
        </is>
      </c>
    </row>
    <row r="73996">
      <c r="A73996" s="1" t="n">
        <v>73995</v>
      </c>
      <c r="B73996">
        <f>TEXT(73995, "[$-0E0000]yyyy-mm-dd")</f>
        <v/>
      </c>
      <c r="C73996" t="inlineStr">
        <is>
          <t>2102-06-21</t>
        </is>
      </c>
    </row>
    <row r="73997">
      <c r="A73997" s="1" t="n">
        <v>73996</v>
      </c>
      <c r="B73997">
        <f>TEXT(73996, "[$-0E0000]yyyy-mm-dd")</f>
        <v/>
      </c>
      <c r="C73997" t="inlineStr">
        <is>
          <t>2102-06-22</t>
        </is>
      </c>
    </row>
    <row r="73998">
      <c r="A73998" s="1" t="n">
        <v>73997</v>
      </c>
      <c r="B73998">
        <f>TEXT(73997, "[$-0E0000]yyyy-mm-dd")</f>
        <v/>
      </c>
      <c r="C73998" t="inlineStr">
        <is>
          <t>2102-06-23</t>
        </is>
      </c>
    </row>
    <row r="73999">
      <c r="A73999" s="1" t="n">
        <v>73998</v>
      </c>
      <c r="B73999">
        <f>TEXT(73998, "[$-0E0000]yyyy-mm-dd")</f>
        <v/>
      </c>
      <c r="C73999" t="inlineStr">
        <is>
          <t>2102-06-24</t>
        </is>
      </c>
    </row>
    <row r="74000">
      <c r="A74000" s="1" t="n">
        <v>73999</v>
      </c>
      <c r="B74000">
        <f>TEXT(73999, "[$-0E0000]yyyy-mm-dd")</f>
        <v/>
      </c>
      <c r="C74000" t="inlineStr">
        <is>
          <t>2102-06-25</t>
        </is>
      </c>
    </row>
    <row r="74001">
      <c r="A74001" s="1" t="n">
        <v>74000</v>
      </c>
      <c r="B74001">
        <f>TEXT(74000, "[$-0E0000]yyyy-mm-dd")</f>
        <v/>
      </c>
      <c r="C74001" t="inlineStr">
        <is>
          <t>2102-06-26</t>
        </is>
      </c>
    </row>
    <row r="74002">
      <c r="A74002" s="1" t="n">
        <v>74001</v>
      </c>
      <c r="B74002">
        <f>TEXT(74001, "[$-0E0000]yyyy-mm-dd")</f>
        <v/>
      </c>
      <c r="C74002" t="inlineStr">
        <is>
          <t>2102-06-27</t>
        </is>
      </c>
    </row>
    <row r="74003">
      <c r="A74003" s="1" t="n">
        <v>74002</v>
      </c>
      <c r="B74003">
        <f>TEXT(74002, "[$-0E0000]yyyy-mm-dd")</f>
        <v/>
      </c>
      <c r="C74003" t="inlineStr">
        <is>
          <t>2102-06-28</t>
        </is>
      </c>
    </row>
    <row r="74004">
      <c r="A74004" s="1" t="n">
        <v>74003</v>
      </c>
      <c r="B74004">
        <f>TEXT(74003, "[$-0E0000]yyyy-mm-dd")</f>
        <v/>
      </c>
      <c r="C74004" t="inlineStr">
        <is>
          <t>2102-06-29</t>
        </is>
      </c>
    </row>
    <row r="74005">
      <c r="A74005" s="1" t="n">
        <v>74004</v>
      </c>
      <c r="B74005">
        <f>TEXT(74004, "[$-0E0000]yyyy-mm-dd")</f>
        <v/>
      </c>
      <c r="C74005" t="inlineStr">
        <is>
          <t>2102-06-30</t>
        </is>
      </c>
    </row>
    <row r="74006">
      <c r="A74006" s="1" t="n">
        <v>74005</v>
      </c>
      <c r="B74006">
        <f>TEXT(74005, "[$-0E0000]yyyy-mm-dd")</f>
        <v/>
      </c>
      <c r="C74006" t="inlineStr">
        <is>
          <t>2102-07-01</t>
        </is>
      </c>
    </row>
    <row r="74007">
      <c r="A74007" s="1" t="n">
        <v>74006</v>
      </c>
      <c r="B74007">
        <f>TEXT(74006, "[$-0E0000]yyyy-mm-dd")</f>
        <v/>
      </c>
      <c r="C74007" t="inlineStr">
        <is>
          <t>2102-07-02</t>
        </is>
      </c>
    </row>
    <row r="74008">
      <c r="A74008" s="1" t="n">
        <v>74007</v>
      </c>
      <c r="B74008">
        <f>TEXT(74007, "[$-0E0000]yyyy-mm-dd")</f>
        <v/>
      </c>
      <c r="C74008" t="inlineStr">
        <is>
          <t>2102-07-03</t>
        </is>
      </c>
    </row>
    <row r="74009">
      <c r="A74009" s="1" t="n">
        <v>74008</v>
      </c>
      <c r="B74009">
        <f>TEXT(74008, "[$-0E0000]yyyy-mm-dd")</f>
        <v/>
      </c>
      <c r="C74009" t="inlineStr">
        <is>
          <t>2102-07-04</t>
        </is>
      </c>
    </row>
    <row r="74010">
      <c r="A74010" s="1" t="n">
        <v>74009</v>
      </c>
      <c r="B74010">
        <f>TEXT(74009, "[$-0E0000]yyyy-mm-dd")</f>
        <v/>
      </c>
      <c r="C74010" t="inlineStr">
        <is>
          <t>2102-07-05</t>
        </is>
      </c>
    </row>
    <row r="74011">
      <c r="A74011" s="1" t="n">
        <v>74010</v>
      </c>
      <c r="B74011">
        <f>TEXT(74010, "[$-0E0000]yyyy-mm-dd")</f>
        <v/>
      </c>
      <c r="C74011" t="inlineStr">
        <is>
          <t>2102-07-06</t>
        </is>
      </c>
    </row>
    <row r="74012">
      <c r="A74012" s="1" t="n">
        <v>74011</v>
      </c>
      <c r="B74012">
        <f>TEXT(74011, "[$-0E0000]yyyy-mm-dd")</f>
        <v/>
      </c>
      <c r="C74012" t="inlineStr">
        <is>
          <t>2102-07-07</t>
        </is>
      </c>
    </row>
    <row r="74013">
      <c r="A74013" s="1" t="n">
        <v>74012</v>
      </c>
      <c r="B74013">
        <f>TEXT(74012, "[$-0E0000]yyyy-mm-dd")</f>
        <v/>
      </c>
      <c r="C74013" t="inlineStr">
        <is>
          <t>2102-07-08</t>
        </is>
      </c>
    </row>
    <row r="74014">
      <c r="A74014" s="1" t="n">
        <v>74013</v>
      </c>
      <c r="B74014">
        <f>TEXT(74013, "[$-0E0000]yyyy-mm-dd")</f>
        <v/>
      </c>
      <c r="C74014" t="inlineStr">
        <is>
          <t>2102-07-09</t>
        </is>
      </c>
    </row>
    <row r="74015">
      <c r="A74015" s="1" t="n">
        <v>74014</v>
      </c>
      <c r="B74015">
        <f>TEXT(74014, "[$-0E0000]yyyy-mm-dd")</f>
        <v/>
      </c>
      <c r="C74015" t="inlineStr">
        <is>
          <t>2102-07-10</t>
        </is>
      </c>
    </row>
    <row r="74016">
      <c r="A74016" s="1" t="n">
        <v>74015</v>
      </c>
      <c r="B74016">
        <f>TEXT(74015, "[$-0E0000]yyyy-mm-dd")</f>
        <v/>
      </c>
      <c r="C74016" t="inlineStr">
        <is>
          <t>2102-07-11</t>
        </is>
      </c>
    </row>
    <row r="74017">
      <c r="A74017" s="1" t="n">
        <v>74016</v>
      </c>
      <c r="B74017">
        <f>TEXT(74016, "[$-0E0000]yyyy-mm-dd")</f>
        <v/>
      </c>
      <c r="C74017" t="inlineStr">
        <is>
          <t>2102-07-12</t>
        </is>
      </c>
    </row>
    <row r="74018">
      <c r="A74018" s="1" t="n">
        <v>74017</v>
      </c>
      <c r="B74018">
        <f>TEXT(74017, "[$-0E0000]yyyy-mm-dd")</f>
        <v/>
      </c>
      <c r="C74018" t="inlineStr">
        <is>
          <t>2102-07-13</t>
        </is>
      </c>
    </row>
    <row r="74019">
      <c r="A74019" s="1" t="n">
        <v>74018</v>
      </c>
      <c r="B74019">
        <f>TEXT(74018, "[$-0E0000]yyyy-mm-dd")</f>
        <v/>
      </c>
      <c r="C74019" t="inlineStr">
        <is>
          <t>2102-07-14</t>
        </is>
      </c>
    </row>
    <row r="74020">
      <c r="A74020" s="1" t="n">
        <v>74019</v>
      </c>
      <c r="B74020">
        <f>TEXT(74019, "[$-0E0000]yyyy-mm-dd")</f>
        <v/>
      </c>
      <c r="C74020" t="inlineStr">
        <is>
          <t>2102-07-15</t>
        </is>
      </c>
    </row>
    <row r="74021">
      <c r="A74021" s="1" t="n">
        <v>74020</v>
      </c>
      <c r="B74021">
        <f>TEXT(74020, "[$-0E0000]yyyy-mm-dd")</f>
        <v/>
      </c>
      <c r="C74021" t="inlineStr">
        <is>
          <t>2102-07-16</t>
        </is>
      </c>
    </row>
    <row r="74022">
      <c r="A74022" s="1" t="n">
        <v>74021</v>
      </c>
      <c r="B74022">
        <f>TEXT(74021, "[$-0E0000]yyyy-mm-dd")</f>
        <v/>
      </c>
      <c r="C74022" t="inlineStr">
        <is>
          <t>2102-07-17</t>
        </is>
      </c>
    </row>
    <row r="74023">
      <c r="A74023" s="1" t="n">
        <v>74022</v>
      </c>
      <c r="B74023">
        <f>TEXT(74022, "[$-0E0000]yyyy-mm-dd")</f>
        <v/>
      </c>
      <c r="C74023" t="inlineStr">
        <is>
          <t>2102-07-18</t>
        </is>
      </c>
    </row>
    <row r="74024">
      <c r="A74024" s="1" t="n">
        <v>74023</v>
      </c>
      <c r="B74024">
        <f>TEXT(74023, "[$-0E0000]yyyy-mm-dd")</f>
        <v/>
      </c>
      <c r="C74024" t="inlineStr">
        <is>
          <t>2102-07-19</t>
        </is>
      </c>
    </row>
    <row r="74025">
      <c r="A74025" s="1" t="n">
        <v>74024</v>
      </c>
      <c r="B74025">
        <f>TEXT(74024, "[$-0E0000]yyyy-mm-dd")</f>
        <v/>
      </c>
      <c r="C74025" t="inlineStr">
        <is>
          <t>2102-07-20</t>
        </is>
      </c>
    </row>
    <row r="74026">
      <c r="A74026" s="1" t="n">
        <v>74025</v>
      </c>
      <c r="B74026">
        <f>TEXT(74025, "[$-0E0000]yyyy-mm-dd")</f>
        <v/>
      </c>
      <c r="C74026" t="inlineStr">
        <is>
          <t>2102-07-21</t>
        </is>
      </c>
    </row>
    <row r="74027">
      <c r="A74027" s="1" t="n">
        <v>74026</v>
      </c>
      <c r="B74027">
        <f>TEXT(74026, "[$-0E0000]yyyy-mm-dd")</f>
        <v/>
      </c>
      <c r="C74027" t="inlineStr">
        <is>
          <t>2102-07-22</t>
        </is>
      </c>
    </row>
    <row r="74028">
      <c r="A74028" s="1" t="n">
        <v>74027</v>
      </c>
      <c r="B74028">
        <f>TEXT(74027, "[$-0E0000]yyyy-mm-dd")</f>
        <v/>
      </c>
      <c r="C74028" t="inlineStr">
        <is>
          <t>2102-07-23</t>
        </is>
      </c>
    </row>
    <row r="74029">
      <c r="A74029" s="1" t="n">
        <v>74028</v>
      </c>
      <c r="B74029">
        <f>TEXT(74028, "[$-0E0000]yyyy-mm-dd")</f>
        <v/>
      </c>
      <c r="C74029" t="inlineStr">
        <is>
          <t>2102-07-24</t>
        </is>
      </c>
    </row>
    <row r="74030">
      <c r="A74030" s="1" t="n">
        <v>74029</v>
      </c>
      <c r="B74030">
        <f>TEXT(74029, "[$-0E0000]yyyy-mm-dd")</f>
        <v/>
      </c>
      <c r="C74030" t="inlineStr">
        <is>
          <t>2102-07-25</t>
        </is>
      </c>
    </row>
    <row r="74031">
      <c r="A74031" s="1" t="n">
        <v>74030</v>
      </c>
      <c r="B74031">
        <f>TEXT(74030, "[$-0E0000]yyyy-mm-dd")</f>
        <v/>
      </c>
      <c r="C74031" t="inlineStr">
        <is>
          <t>2102-07-26</t>
        </is>
      </c>
    </row>
    <row r="74032">
      <c r="A74032" s="1" t="n">
        <v>74031</v>
      </c>
      <c r="B74032">
        <f>TEXT(74031, "[$-0E0000]yyyy-mm-dd")</f>
        <v/>
      </c>
      <c r="C74032" t="inlineStr">
        <is>
          <t>2102-07-27</t>
        </is>
      </c>
    </row>
    <row r="74033">
      <c r="A74033" s="1" t="n">
        <v>74032</v>
      </c>
      <c r="B74033">
        <f>TEXT(74032, "[$-0E0000]yyyy-mm-dd")</f>
        <v/>
      </c>
      <c r="C74033" t="inlineStr">
        <is>
          <t>2102-07-28</t>
        </is>
      </c>
    </row>
    <row r="74034">
      <c r="A74034" s="1" t="n">
        <v>74033</v>
      </c>
      <c r="B74034">
        <f>TEXT(74033, "[$-0E0000]yyyy-mm-dd")</f>
        <v/>
      </c>
      <c r="C74034" t="inlineStr">
        <is>
          <t>2102-07-29</t>
        </is>
      </c>
    </row>
    <row r="74035">
      <c r="A74035" s="1" t="n">
        <v>74034</v>
      </c>
      <c r="B74035">
        <f>TEXT(74034, "[$-0E0000]yyyy-mm-dd")</f>
        <v/>
      </c>
      <c r="C74035" t="inlineStr">
        <is>
          <t>2102-08-01</t>
        </is>
      </c>
    </row>
    <row r="74036">
      <c r="A74036" s="1" t="n">
        <v>74035</v>
      </c>
      <c r="B74036">
        <f>TEXT(74035, "[$-0E0000]yyyy-mm-dd")</f>
        <v/>
      </c>
      <c r="C74036" t="inlineStr">
        <is>
          <t>2102-08-02</t>
        </is>
      </c>
    </row>
    <row r="74037">
      <c r="A74037" s="1" t="n">
        <v>74036</v>
      </c>
      <c r="B74037">
        <f>TEXT(74036, "[$-0E0000]yyyy-mm-dd")</f>
        <v/>
      </c>
      <c r="C74037" t="inlineStr">
        <is>
          <t>2102-08-03</t>
        </is>
      </c>
    </row>
    <row r="74038">
      <c r="A74038" s="1" t="n">
        <v>74037</v>
      </c>
      <c r="B74038">
        <f>TEXT(74037, "[$-0E0000]yyyy-mm-dd")</f>
        <v/>
      </c>
      <c r="C74038" t="inlineStr">
        <is>
          <t>2102-08-04</t>
        </is>
      </c>
    </row>
    <row r="74039">
      <c r="A74039" s="1" t="n">
        <v>74038</v>
      </c>
      <c r="B74039">
        <f>TEXT(74038, "[$-0E0000]yyyy-mm-dd")</f>
        <v/>
      </c>
      <c r="C74039" t="inlineStr">
        <is>
          <t>2102-08-05</t>
        </is>
      </c>
    </row>
    <row r="74040">
      <c r="A74040" s="1" t="n">
        <v>74039</v>
      </c>
      <c r="B74040">
        <f>TEXT(74039, "[$-0E0000]yyyy-mm-dd")</f>
        <v/>
      </c>
      <c r="C74040" t="inlineStr">
        <is>
          <t>2102-08-06</t>
        </is>
      </c>
    </row>
    <row r="74041">
      <c r="A74041" s="1" t="n">
        <v>74040</v>
      </c>
      <c r="B74041">
        <f>TEXT(74040, "[$-0E0000]yyyy-mm-dd")</f>
        <v/>
      </c>
      <c r="C74041" t="inlineStr">
        <is>
          <t>2102-08-07</t>
        </is>
      </c>
    </row>
    <row r="74042">
      <c r="A74042" s="1" t="n">
        <v>74041</v>
      </c>
      <c r="B74042">
        <f>TEXT(74041, "[$-0E0000]yyyy-mm-dd")</f>
        <v/>
      </c>
      <c r="C74042" t="inlineStr">
        <is>
          <t>2102-08-08</t>
        </is>
      </c>
    </row>
    <row r="74043">
      <c r="A74043" s="1" t="n">
        <v>74042</v>
      </c>
      <c r="B74043">
        <f>TEXT(74042, "[$-0E0000]yyyy-mm-dd")</f>
        <v/>
      </c>
      <c r="C74043" t="inlineStr">
        <is>
          <t>2102-08-09</t>
        </is>
      </c>
    </row>
    <row r="74044">
      <c r="A74044" s="1" t="n">
        <v>74043</v>
      </c>
      <c r="B74044">
        <f>TEXT(74043, "[$-0E0000]yyyy-mm-dd")</f>
        <v/>
      </c>
      <c r="C74044" t="inlineStr">
        <is>
          <t>2102-08-10</t>
        </is>
      </c>
    </row>
    <row r="74045">
      <c r="A74045" s="1" t="n">
        <v>74044</v>
      </c>
      <c r="B74045">
        <f>TEXT(74044, "[$-0E0000]yyyy-mm-dd")</f>
        <v/>
      </c>
      <c r="C74045" t="inlineStr">
        <is>
          <t>2102-08-11</t>
        </is>
      </c>
    </row>
    <row r="74046">
      <c r="A74046" s="1" t="n">
        <v>74045</v>
      </c>
      <c r="B74046">
        <f>TEXT(74045, "[$-0E0000]yyyy-mm-dd")</f>
        <v/>
      </c>
      <c r="C74046" t="inlineStr">
        <is>
          <t>2102-08-12</t>
        </is>
      </c>
    </row>
    <row r="74047">
      <c r="A74047" s="1" t="n">
        <v>74046</v>
      </c>
      <c r="B74047">
        <f>TEXT(74046, "[$-0E0000]yyyy-mm-dd")</f>
        <v/>
      </c>
      <c r="C74047" t="inlineStr">
        <is>
          <t>2102-08-13</t>
        </is>
      </c>
    </row>
    <row r="74048">
      <c r="A74048" s="1" t="n">
        <v>74047</v>
      </c>
      <c r="B74048">
        <f>TEXT(74047, "[$-0E0000]yyyy-mm-dd")</f>
        <v/>
      </c>
      <c r="C74048" t="inlineStr">
        <is>
          <t>2102-08-14</t>
        </is>
      </c>
    </row>
    <row r="74049">
      <c r="A74049" s="1" t="n">
        <v>74048</v>
      </c>
      <c r="B74049">
        <f>TEXT(74048, "[$-0E0000]yyyy-mm-dd")</f>
        <v/>
      </c>
      <c r="C74049" t="inlineStr">
        <is>
          <t>2102-08-15</t>
        </is>
      </c>
    </row>
    <row r="74050">
      <c r="A74050" s="1" t="n">
        <v>74049</v>
      </c>
      <c r="B74050">
        <f>TEXT(74049, "[$-0E0000]yyyy-mm-dd")</f>
        <v/>
      </c>
      <c r="C74050" t="inlineStr">
        <is>
          <t>2102-08-16</t>
        </is>
      </c>
    </row>
    <row r="74051">
      <c r="A74051" s="1" t="n">
        <v>74050</v>
      </c>
      <c r="B74051">
        <f>TEXT(74050, "[$-0E0000]yyyy-mm-dd")</f>
        <v/>
      </c>
      <c r="C74051" t="inlineStr">
        <is>
          <t>2102-08-17</t>
        </is>
      </c>
    </row>
    <row r="74052">
      <c r="A74052" s="1" t="n">
        <v>74051</v>
      </c>
      <c r="B74052">
        <f>TEXT(74051, "[$-0E0000]yyyy-mm-dd")</f>
        <v/>
      </c>
      <c r="C74052" t="inlineStr">
        <is>
          <t>2102-08-18</t>
        </is>
      </c>
    </row>
    <row r="74053">
      <c r="A74053" s="1" t="n">
        <v>74052</v>
      </c>
      <c r="B74053">
        <f>TEXT(74052, "[$-0E0000]yyyy-mm-dd")</f>
        <v/>
      </c>
      <c r="C74053" t="inlineStr">
        <is>
          <t>2102-08-19</t>
        </is>
      </c>
    </row>
    <row r="74054">
      <c r="A74054" s="1" t="n">
        <v>74053</v>
      </c>
      <c r="B74054">
        <f>TEXT(74053, "[$-0E0000]yyyy-mm-dd")</f>
        <v/>
      </c>
      <c r="C74054" t="inlineStr">
        <is>
          <t>2102-08-20</t>
        </is>
      </c>
    </row>
    <row r="74055">
      <c r="A74055" s="1" t="n">
        <v>74054</v>
      </c>
      <c r="B74055">
        <f>TEXT(74054, "[$-0E0000]yyyy-mm-dd")</f>
        <v/>
      </c>
      <c r="C74055" t="inlineStr">
        <is>
          <t>2102-08-21</t>
        </is>
      </c>
    </row>
    <row r="74056">
      <c r="A74056" s="1" t="n">
        <v>74055</v>
      </c>
      <c r="B74056">
        <f>TEXT(74055, "[$-0E0000]yyyy-mm-dd")</f>
        <v/>
      </c>
      <c r="C74056" t="inlineStr">
        <is>
          <t>2102-08-22</t>
        </is>
      </c>
    </row>
    <row r="74057">
      <c r="A74057" s="1" t="n">
        <v>74056</v>
      </c>
      <c r="B74057">
        <f>TEXT(74056, "[$-0E0000]yyyy-mm-dd")</f>
        <v/>
      </c>
      <c r="C74057" t="inlineStr">
        <is>
          <t>2102-08-23</t>
        </is>
      </c>
    </row>
    <row r="74058">
      <c r="A74058" s="1" t="n">
        <v>74057</v>
      </c>
      <c r="B74058">
        <f>TEXT(74057, "[$-0E0000]yyyy-mm-dd")</f>
        <v/>
      </c>
      <c r="C74058" t="inlineStr">
        <is>
          <t>2102-08-24</t>
        </is>
      </c>
    </row>
    <row r="74059">
      <c r="A74059" s="1" t="n">
        <v>74058</v>
      </c>
      <c r="B74059">
        <f>TEXT(74058, "[$-0E0000]yyyy-mm-dd")</f>
        <v/>
      </c>
      <c r="C74059" t="inlineStr">
        <is>
          <t>2102-08-25</t>
        </is>
      </c>
    </row>
    <row r="74060">
      <c r="A74060" s="1" t="n">
        <v>74059</v>
      </c>
      <c r="B74060">
        <f>TEXT(74059, "[$-0E0000]yyyy-mm-dd")</f>
        <v/>
      </c>
      <c r="C74060" t="inlineStr">
        <is>
          <t>2102-08-26</t>
        </is>
      </c>
    </row>
    <row r="74061">
      <c r="A74061" s="1" t="n">
        <v>74060</v>
      </c>
      <c r="B74061">
        <f>TEXT(74060, "[$-0E0000]yyyy-mm-dd")</f>
        <v/>
      </c>
      <c r="C74061" t="inlineStr">
        <is>
          <t>2102-08-27</t>
        </is>
      </c>
    </row>
    <row r="74062">
      <c r="A74062" s="1" t="n">
        <v>74061</v>
      </c>
      <c r="B74062">
        <f>TEXT(74061, "[$-0E0000]yyyy-mm-dd")</f>
        <v/>
      </c>
      <c r="C74062" t="inlineStr">
        <is>
          <t>2102-08-28</t>
        </is>
      </c>
    </row>
    <row r="74063">
      <c r="A74063" s="1" t="n">
        <v>74062</v>
      </c>
      <c r="B74063">
        <f>TEXT(74062, "[$-0E0000]yyyy-mm-dd")</f>
        <v/>
      </c>
      <c r="C74063" t="inlineStr">
        <is>
          <t>2102-08-29</t>
        </is>
      </c>
    </row>
    <row r="74064">
      <c r="A74064" s="1" t="n">
        <v>74063</v>
      </c>
      <c r="B74064">
        <f>TEXT(74063, "[$-0E0000]yyyy-mm-dd")</f>
        <v/>
      </c>
      <c r="C74064" t="inlineStr">
        <is>
          <t>2102-08-30</t>
        </is>
      </c>
    </row>
    <row r="74065">
      <c r="A74065" s="1" t="n">
        <v>74064</v>
      </c>
      <c r="B74065">
        <f>TEXT(74064, "[$-0E0000]yyyy-mm-dd")</f>
        <v/>
      </c>
      <c r="C74065" t="inlineStr">
        <is>
          <t>2102-09-01</t>
        </is>
      </c>
    </row>
    <row r="74066">
      <c r="A74066" s="1" t="n">
        <v>74065</v>
      </c>
      <c r="B74066">
        <f>TEXT(74065, "[$-0E0000]yyyy-mm-dd")</f>
        <v/>
      </c>
      <c r="C74066" t="inlineStr">
        <is>
          <t>2102-09-02</t>
        </is>
      </c>
    </row>
    <row r="74067">
      <c r="A74067" s="1" t="n">
        <v>74066</v>
      </c>
      <c r="B74067">
        <f>TEXT(74066, "[$-0E0000]yyyy-mm-dd")</f>
        <v/>
      </c>
      <c r="C74067" t="inlineStr">
        <is>
          <t>2102-09-03</t>
        </is>
      </c>
    </row>
    <row r="74068">
      <c r="A74068" s="1" t="n">
        <v>74067</v>
      </c>
      <c r="B74068">
        <f>TEXT(74067, "[$-0E0000]yyyy-mm-dd")</f>
        <v/>
      </c>
      <c r="C74068" t="inlineStr">
        <is>
          <t>2102-09-04</t>
        </is>
      </c>
    </row>
    <row r="74069">
      <c r="A74069" s="1" t="n">
        <v>74068</v>
      </c>
      <c r="B74069">
        <f>TEXT(74068, "[$-0E0000]yyyy-mm-dd")</f>
        <v/>
      </c>
      <c r="C74069" t="inlineStr">
        <is>
          <t>2102-09-05</t>
        </is>
      </c>
    </row>
    <row r="74070">
      <c r="A74070" s="1" t="n">
        <v>74069</v>
      </c>
      <c r="B74070">
        <f>TEXT(74069, "[$-0E0000]yyyy-mm-dd")</f>
        <v/>
      </c>
      <c r="C74070" t="inlineStr">
        <is>
          <t>2102-09-06</t>
        </is>
      </c>
    </row>
    <row r="74071">
      <c r="A74071" s="1" t="n">
        <v>74070</v>
      </c>
      <c r="B74071">
        <f>TEXT(74070, "[$-0E0000]yyyy-mm-dd")</f>
        <v/>
      </c>
      <c r="C74071" t="inlineStr">
        <is>
          <t>2102-09-07</t>
        </is>
      </c>
    </row>
    <row r="74072">
      <c r="A74072" s="1" t="n">
        <v>74071</v>
      </c>
      <c r="B74072">
        <f>TEXT(74071, "[$-0E0000]yyyy-mm-dd")</f>
        <v/>
      </c>
      <c r="C74072" t="inlineStr">
        <is>
          <t>2102-09-08</t>
        </is>
      </c>
    </row>
    <row r="74073">
      <c r="A74073" s="1" t="n">
        <v>74072</v>
      </c>
      <c r="B74073">
        <f>TEXT(74072, "[$-0E0000]yyyy-mm-dd")</f>
        <v/>
      </c>
      <c r="C74073" t="inlineStr">
        <is>
          <t>2102-09-09</t>
        </is>
      </c>
    </row>
    <row r="74074">
      <c r="A74074" s="1" t="n">
        <v>74073</v>
      </c>
      <c r="B74074">
        <f>TEXT(74073, "[$-0E0000]yyyy-mm-dd")</f>
        <v/>
      </c>
      <c r="C74074" t="inlineStr">
        <is>
          <t>2102-09-10</t>
        </is>
      </c>
    </row>
    <row r="74075">
      <c r="A74075" s="1" t="n">
        <v>74074</v>
      </c>
      <c r="B74075">
        <f>TEXT(74074, "[$-0E0000]yyyy-mm-dd")</f>
        <v/>
      </c>
      <c r="C74075" t="inlineStr">
        <is>
          <t>2102-09-11</t>
        </is>
      </c>
    </row>
    <row r="74076">
      <c r="A74076" s="1" t="n">
        <v>74075</v>
      </c>
      <c r="B74076">
        <f>TEXT(74075, "[$-0E0000]yyyy-mm-dd")</f>
        <v/>
      </c>
      <c r="C74076" t="inlineStr">
        <is>
          <t>2102-09-12</t>
        </is>
      </c>
    </row>
    <row r="74077">
      <c r="A74077" s="1" t="n">
        <v>74076</v>
      </c>
      <c r="B74077">
        <f>TEXT(74076, "[$-0E0000]yyyy-mm-dd")</f>
        <v/>
      </c>
      <c r="C74077" t="inlineStr">
        <is>
          <t>2102-09-13</t>
        </is>
      </c>
    </row>
    <row r="74078">
      <c r="A74078" s="1" t="n">
        <v>74077</v>
      </c>
      <c r="B74078">
        <f>TEXT(74077, "[$-0E0000]yyyy-mm-dd")</f>
        <v/>
      </c>
      <c r="C74078" t="inlineStr">
        <is>
          <t>2102-09-14</t>
        </is>
      </c>
    </row>
    <row r="74079">
      <c r="A74079" s="1" t="n">
        <v>74078</v>
      </c>
      <c r="B74079">
        <f>TEXT(74078, "[$-0E0000]yyyy-mm-dd")</f>
        <v/>
      </c>
      <c r="C74079" t="inlineStr">
        <is>
          <t>2102-09-15</t>
        </is>
      </c>
    </row>
    <row r="74080">
      <c r="A74080" s="1" t="n">
        <v>74079</v>
      </c>
      <c r="B74080">
        <f>TEXT(74079, "[$-0E0000]yyyy-mm-dd")</f>
        <v/>
      </c>
      <c r="C74080" t="inlineStr">
        <is>
          <t>2102-09-16</t>
        </is>
      </c>
    </row>
    <row r="74081">
      <c r="A74081" s="1" t="n">
        <v>74080</v>
      </c>
      <c r="B74081">
        <f>TEXT(74080, "[$-0E0000]yyyy-mm-dd")</f>
        <v/>
      </c>
      <c r="C74081" t="inlineStr">
        <is>
          <t>2102-09-17</t>
        </is>
      </c>
    </row>
    <row r="74082">
      <c r="A74082" s="1" t="n">
        <v>74081</v>
      </c>
      <c r="B74082">
        <f>TEXT(74081, "[$-0E0000]yyyy-mm-dd")</f>
        <v/>
      </c>
      <c r="C74082" t="inlineStr">
        <is>
          <t>2102-09-18</t>
        </is>
      </c>
    </row>
    <row r="74083">
      <c r="A74083" s="1" t="n">
        <v>74082</v>
      </c>
      <c r="B74083">
        <f>TEXT(74082, "[$-0E0000]yyyy-mm-dd")</f>
        <v/>
      </c>
      <c r="C74083" t="inlineStr">
        <is>
          <t>2102-09-19</t>
        </is>
      </c>
    </row>
    <row r="74084">
      <c r="A74084" s="1" t="n">
        <v>74083</v>
      </c>
      <c r="B74084">
        <f>TEXT(74083, "[$-0E0000]yyyy-mm-dd")</f>
        <v/>
      </c>
      <c r="C74084" t="inlineStr">
        <is>
          <t>2102-09-20</t>
        </is>
      </c>
    </row>
    <row r="74085">
      <c r="A74085" s="1" t="n">
        <v>74084</v>
      </c>
      <c r="B74085">
        <f>TEXT(74084, "[$-0E0000]yyyy-mm-dd")</f>
        <v/>
      </c>
      <c r="C74085" t="inlineStr">
        <is>
          <t>2102-09-21</t>
        </is>
      </c>
    </row>
    <row r="74086">
      <c r="A74086" s="1" t="n">
        <v>74085</v>
      </c>
      <c r="B74086">
        <f>TEXT(74085, "[$-0E0000]yyyy-mm-dd")</f>
        <v/>
      </c>
      <c r="C74086" t="inlineStr">
        <is>
          <t>2102-09-22</t>
        </is>
      </c>
    </row>
    <row r="74087">
      <c r="A74087" s="1" t="n">
        <v>74086</v>
      </c>
      <c r="B74087">
        <f>TEXT(74086, "[$-0E0000]yyyy-mm-dd")</f>
        <v/>
      </c>
      <c r="C74087" t="inlineStr">
        <is>
          <t>2102-09-23</t>
        </is>
      </c>
    </row>
    <row r="74088">
      <c r="A74088" s="1" t="n">
        <v>74087</v>
      </c>
      <c r="B74088">
        <f>TEXT(74087, "[$-0E0000]yyyy-mm-dd")</f>
        <v/>
      </c>
      <c r="C74088" t="inlineStr">
        <is>
          <t>2102-09-24</t>
        </is>
      </c>
    </row>
    <row r="74089">
      <c r="A74089" s="1" t="n">
        <v>74088</v>
      </c>
      <c r="B74089">
        <f>TEXT(74088, "[$-0E0000]yyyy-mm-dd")</f>
        <v/>
      </c>
      <c r="C74089" t="inlineStr">
        <is>
          <t>2102-09-25</t>
        </is>
      </c>
    </row>
    <row r="74090">
      <c r="A74090" s="1" t="n">
        <v>74089</v>
      </c>
      <c r="B74090">
        <f>TEXT(74089, "[$-0E0000]yyyy-mm-dd")</f>
        <v/>
      </c>
      <c r="C74090" t="inlineStr">
        <is>
          <t>2102-09-26</t>
        </is>
      </c>
    </row>
    <row r="74091">
      <c r="A74091" s="1" t="n">
        <v>74090</v>
      </c>
      <c r="B74091">
        <f>TEXT(74090, "[$-0E0000]yyyy-mm-dd")</f>
        <v/>
      </c>
      <c r="C74091" t="inlineStr">
        <is>
          <t>2102-09-27</t>
        </is>
      </c>
    </row>
    <row r="74092">
      <c r="A74092" s="1" t="n">
        <v>74091</v>
      </c>
      <c r="B74092">
        <f>TEXT(74091, "[$-0E0000]yyyy-mm-dd")</f>
        <v/>
      </c>
      <c r="C74092" t="inlineStr">
        <is>
          <t>2102-09-28</t>
        </is>
      </c>
    </row>
    <row r="74093">
      <c r="A74093" s="1" t="n">
        <v>74092</v>
      </c>
      <c r="B74093">
        <f>TEXT(74092, "[$-0E0000]yyyy-mm-dd")</f>
        <v/>
      </c>
      <c r="C74093" t="inlineStr">
        <is>
          <t>2102-09-29</t>
        </is>
      </c>
    </row>
    <row r="74094">
      <c r="A74094" s="1" t="n">
        <v>74093</v>
      </c>
      <c r="B74094">
        <f>TEXT(74093, "[$-0E0000]yyyy-mm-dd")</f>
        <v/>
      </c>
      <c r="C74094" t="inlineStr">
        <is>
          <t>2102-09-30</t>
        </is>
      </c>
    </row>
    <row r="74095">
      <c r="A74095" s="1" t="n">
        <v>74094</v>
      </c>
      <c r="B74095">
        <f>TEXT(74094, "[$-0E0000]yyyy-mm-dd")</f>
        <v/>
      </c>
      <c r="C74095" t="inlineStr">
        <is>
          <t>2102-10-01</t>
        </is>
      </c>
    </row>
    <row r="74096">
      <c r="A74096" s="1" t="n">
        <v>74095</v>
      </c>
      <c r="B74096">
        <f>TEXT(74095, "[$-0E0000]yyyy-mm-dd")</f>
        <v/>
      </c>
      <c r="C74096" t="inlineStr">
        <is>
          <t>2102-10-02</t>
        </is>
      </c>
    </row>
    <row r="74097">
      <c r="A74097" s="1" t="n">
        <v>74096</v>
      </c>
      <c r="B74097">
        <f>TEXT(74096, "[$-0E0000]yyyy-mm-dd")</f>
        <v/>
      </c>
      <c r="C74097" t="inlineStr">
        <is>
          <t>2102-10-03</t>
        </is>
      </c>
    </row>
    <row r="74098">
      <c r="A74098" s="1" t="n">
        <v>74097</v>
      </c>
      <c r="B74098">
        <f>TEXT(74097, "[$-0E0000]yyyy-mm-dd")</f>
        <v/>
      </c>
      <c r="C74098" t="inlineStr">
        <is>
          <t>2102-10-04</t>
        </is>
      </c>
    </row>
    <row r="74099">
      <c r="A74099" s="1" t="n">
        <v>74098</v>
      </c>
      <c r="B74099">
        <f>TEXT(74098, "[$-0E0000]yyyy-mm-dd")</f>
        <v/>
      </c>
      <c r="C74099" t="inlineStr">
        <is>
          <t>2102-10-05</t>
        </is>
      </c>
    </row>
    <row r="74100">
      <c r="A74100" s="1" t="n">
        <v>74099</v>
      </c>
      <c r="B74100">
        <f>TEXT(74099, "[$-0E0000]yyyy-mm-dd")</f>
        <v/>
      </c>
      <c r="C74100" t="inlineStr">
        <is>
          <t>2102-10-06</t>
        </is>
      </c>
    </row>
    <row r="74101">
      <c r="A74101" s="1" t="n">
        <v>74100</v>
      </c>
      <c r="B74101">
        <f>TEXT(74100, "[$-0E0000]yyyy-mm-dd")</f>
        <v/>
      </c>
      <c r="C74101" t="inlineStr">
        <is>
          <t>2102-10-07</t>
        </is>
      </c>
    </row>
    <row r="74102">
      <c r="A74102" s="1" t="n">
        <v>74101</v>
      </c>
      <c r="B74102">
        <f>TEXT(74101, "[$-0E0000]yyyy-mm-dd")</f>
        <v/>
      </c>
      <c r="C74102" t="inlineStr">
        <is>
          <t>2102-10-08</t>
        </is>
      </c>
    </row>
    <row r="74103">
      <c r="A74103" s="1" t="n">
        <v>74102</v>
      </c>
      <c r="B74103">
        <f>TEXT(74102, "[$-0E0000]yyyy-mm-dd")</f>
        <v/>
      </c>
      <c r="C74103" t="inlineStr">
        <is>
          <t>2102-10-09</t>
        </is>
      </c>
    </row>
    <row r="74104">
      <c r="A74104" s="1" t="n">
        <v>74103</v>
      </c>
      <c r="B74104">
        <f>TEXT(74103, "[$-0E0000]yyyy-mm-dd")</f>
        <v/>
      </c>
      <c r="C74104" t="inlineStr">
        <is>
          <t>2102-10-10</t>
        </is>
      </c>
    </row>
    <row r="74105">
      <c r="A74105" s="1" t="n">
        <v>74104</v>
      </c>
      <c r="B74105">
        <f>TEXT(74104, "[$-0E0000]yyyy-mm-dd")</f>
        <v/>
      </c>
      <c r="C74105" t="inlineStr">
        <is>
          <t>2102-10-11</t>
        </is>
      </c>
    </row>
    <row r="74106">
      <c r="A74106" s="1" t="n">
        <v>74105</v>
      </c>
      <c r="B74106">
        <f>TEXT(74105, "[$-0E0000]yyyy-mm-dd")</f>
        <v/>
      </c>
      <c r="C74106" t="inlineStr">
        <is>
          <t>2102-10-12</t>
        </is>
      </c>
    </row>
    <row r="74107">
      <c r="A74107" s="1" t="n">
        <v>74106</v>
      </c>
      <c r="B74107">
        <f>TEXT(74106, "[$-0E0000]yyyy-mm-dd")</f>
        <v/>
      </c>
      <c r="C74107" t="inlineStr">
        <is>
          <t>2102-10-13</t>
        </is>
      </c>
    </row>
    <row r="74108">
      <c r="A74108" s="1" t="n">
        <v>74107</v>
      </c>
      <c r="B74108">
        <f>TEXT(74107, "[$-0E0000]yyyy-mm-dd")</f>
        <v/>
      </c>
      <c r="C74108" t="inlineStr">
        <is>
          <t>2102-10-14</t>
        </is>
      </c>
    </row>
    <row r="74109">
      <c r="A74109" s="1" t="n">
        <v>74108</v>
      </c>
      <c r="B74109">
        <f>TEXT(74108, "[$-0E0000]yyyy-mm-dd")</f>
        <v/>
      </c>
      <c r="C74109" t="inlineStr">
        <is>
          <t>2102-10-15</t>
        </is>
      </c>
    </row>
    <row r="74110">
      <c r="A74110" s="1" t="n">
        <v>74109</v>
      </c>
      <c r="B74110">
        <f>TEXT(74109, "[$-0E0000]yyyy-mm-dd")</f>
        <v/>
      </c>
      <c r="C74110" t="inlineStr">
        <is>
          <t>2102-10-16</t>
        </is>
      </c>
    </row>
    <row r="74111">
      <c r="A74111" s="1" t="n">
        <v>74110</v>
      </c>
      <c r="B74111">
        <f>TEXT(74110, "[$-0E0000]yyyy-mm-dd")</f>
        <v/>
      </c>
      <c r="C74111" t="inlineStr">
        <is>
          <t>2102-10-17</t>
        </is>
      </c>
    </row>
    <row r="74112">
      <c r="A74112" s="1" t="n">
        <v>74111</v>
      </c>
      <c r="B74112">
        <f>TEXT(74111, "[$-0E0000]yyyy-mm-dd")</f>
        <v/>
      </c>
      <c r="C74112" t="inlineStr">
        <is>
          <t>2102-10-18</t>
        </is>
      </c>
    </row>
    <row r="74113">
      <c r="A74113" s="1" t="n">
        <v>74112</v>
      </c>
      <c r="B74113">
        <f>TEXT(74112, "[$-0E0000]yyyy-mm-dd")</f>
        <v/>
      </c>
      <c r="C74113" t="inlineStr">
        <is>
          <t>2102-10-19</t>
        </is>
      </c>
    </row>
    <row r="74114">
      <c r="A74114" s="1" t="n">
        <v>74113</v>
      </c>
      <c r="B74114">
        <f>TEXT(74113, "[$-0E0000]yyyy-mm-dd")</f>
        <v/>
      </c>
      <c r="C74114" t="inlineStr">
        <is>
          <t>2102-10-20</t>
        </is>
      </c>
    </row>
    <row r="74115">
      <c r="A74115" s="1" t="n">
        <v>74114</v>
      </c>
      <c r="B74115">
        <f>TEXT(74114, "[$-0E0000]yyyy-mm-dd")</f>
        <v/>
      </c>
      <c r="C74115" t="inlineStr">
        <is>
          <t>2102-10-21</t>
        </is>
      </c>
    </row>
    <row r="74116">
      <c r="A74116" s="1" t="n">
        <v>74115</v>
      </c>
      <c r="B74116">
        <f>TEXT(74115, "[$-0E0000]yyyy-mm-dd")</f>
        <v/>
      </c>
      <c r="C74116" t="inlineStr">
        <is>
          <t>2102-10-22</t>
        </is>
      </c>
    </row>
    <row r="74117">
      <c r="A74117" s="1" t="n">
        <v>74116</v>
      </c>
      <c r="B74117">
        <f>TEXT(74116, "[$-0E0000]yyyy-mm-dd")</f>
        <v/>
      </c>
      <c r="C74117" t="inlineStr">
        <is>
          <t>2102-10-23</t>
        </is>
      </c>
    </row>
    <row r="74118">
      <c r="A74118" s="1" t="n">
        <v>74117</v>
      </c>
      <c r="B74118">
        <f>TEXT(74117, "[$-0E0000]yyyy-mm-dd")</f>
        <v/>
      </c>
      <c r="C74118" t="inlineStr">
        <is>
          <t>2102-10-24</t>
        </is>
      </c>
    </row>
    <row r="74119">
      <c r="A74119" s="1" t="n">
        <v>74118</v>
      </c>
      <c r="B74119">
        <f>TEXT(74118, "[$-0E0000]yyyy-mm-dd")</f>
        <v/>
      </c>
      <c r="C74119" t="inlineStr">
        <is>
          <t>2102-10-25</t>
        </is>
      </c>
    </row>
    <row r="74120">
      <c r="A74120" s="1" t="n">
        <v>74119</v>
      </c>
      <c r="B74120">
        <f>TEXT(74119, "[$-0E0000]yyyy-mm-dd")</f>
        <v/>
      </c>
      <c r="C74120" t="inlineStr">
        <is>
          <t>2102-10-26</t>
        </is>
      </c>
    </row>
    <row r="74121">
      <c r="A74121" s="1" t="n">
        <v>74120</v>
      </c>
      <c r="B74121">
        <f>TEXT(74120, "[$-0E0000]yyyy-mm-dd")</f>
        <v/>
      </c>
      <c r="C74121" t="inlineStr">
        <is>
          <t>2102-10-27</t>
        </is>
      </c>
    </row>
    <row r="74122">
      <c r="A74122" s="1" t="n">
        <v>74121</v>
      </c>
      <c r="B74122">
        <f>TEXT(74121, "[$-0E0000]yyyy-mm-dd")</f>
        <v/>
      </c>
      <c r="C74122" t="inlineStr">
        <is>
          <t>2102-10-28</t>
        </is>
      </c>
    </row>
    <row r="74123">
      <c r="A74123" s="1" t="n">
        <v>74122</v>
      </c>
      <c r="B74123">
        <f>TEXT(74122, "[$-0E0000]yyyy-mm-dd")</f>
        <v/>
      </c>
      <c r="C74123" t="inlineStr">
        <is>
          <t>2102-10-29</t>
        </is>
      </c>
    </row>
    <row r="74124">
      <c r="A74124" s="1" t="n">
        <v>74123</v>
      </c>
      <c r="B74124">
        <f>TEXT(74123, "[$-0E0000]yyyy-mm-dd")</f>
        <v/>
      </c>
      <c r="C74124" t="inlineStr">
        <is>
          <t>2102-11-01</t>
        </is>
      </c>
    </row>
    <row r="74125">
      <c r="A74125" s="1" t="n">
        <v>74124</v>
      </c>
      <c r="B74125">
        <f>TEXT(74124, "[$-0E0000]yyyy-mm-dd")</f>
        <v/>
      </c>
      <c r="C74125" t="inlineStr">
        <is>
          <t>2102-11-02</t>
        </is>
      </c>
    </row>
    <row r="74126">
      <c r="A74126" s="1" t="n">
        <v>74125</v>
      </c>
      <c r="B74126">
        <f>TEXT(74125, "[$-0E0000]yyyy-mm-dd")</f>
        <v/>
      </c>
      <c r="C74126" t="inlineStr">
        <is>
          <t>2102-11-03</t>
        </is>
      </c>
    </row>
    <row r="74127">
      <c r="A74127" s="1" t="n">
        <v>74126</v>
      </c>
      <c r="B74127">
        <f>TEXT(74126, "[$-0E0000]yyyy-mm-dd")</f>
        <v/>
      </c>
      <c r="C74127" t="inlineStr">
        <is>
          <t>2102-11-04</t>
        </is>
      </c>
    </row>
    <row r="74128">
      <c r="A74128" s="1" t="n">
        <v>74127</v>
      </c>
      <c r="B74128">
        <f>TEXT(74127, "[$-0E0000]yyyy-mm-dd")</f>
        <v/>
      </c>
      <c r="C74128" t="inlineStr">
        <is>
          <t>2102-11-05</t>
        </is>
      </c>
    </row>
    <row r="74129">
      <c r="A74129" s="1" t="n">
        <v>74128</v>
      </c>
      <c r="B74129">
        <f>TEXT(74128, "[$-0E0000]yyyy-mm-dd")</f>
        <v/>
      </c>
      <c r="C74129" t="inlineStr">
        <is>
          <t>2102-11-06</t>
        </is>
      </c>
    </row>
    <row r="74130">
      <c r="A74130" s="1" t="n">
        <v>74129</v>
      </c>
      <c r="B74130">
        <f>TEXT(74129, "[$-0E0000]yyyy-mm-dd")</f>
        <v/>
      </c>
      <c r="C74130" t="inlineStr">
        <is>
          <t>2102-11-07</t>
        </is>
      </c>
    </row>
    <row r="74131">
      <c r="A74131" s="1" t="n">
        <v>74130</v>
      </c>
      <c r="B74131">
        <f>TEXT(74130, "[$-0E0000]yyyy-mm-dd")</f>
        <v/>
      </c>
      <c r="C74131" t="inlineStr">
        <is>
          <t>2102-11-08</t>
        </is>
      </c>
    </row>
    <row r="74132">
      <c r="A74132" s="1" t="n">
        <v>74131</v>
      </c>
      <c r="B74132">
        <f>TEXT(74131, "[$-0E0000]yyyy-mm-dd")</f>
        <v/>
      </c>
      <c r="C74132" t="inlineStr">
        <is>
          <t>2102-11-09</t>
        </is>
      </c>
    </row>
    <row r="74133">
      <c r="A74133" s="1" t="n">
        <v>74132</v>
      </c>
      <c r="B74133">
        <f>TEXT(74132, "[$-0E0000]yyyy-mm-dd")</f>
        <v/>
      </c>
      <c r="C74133" t="inlineStr">
        <is>
          <t>2102-11-10</t>
        </is>
      </c>
    </row>
    <row r="74134">
      <c r="A74134" s="1" t="n">
        <v>74133</v>
      </c>
      <c r="B74134">
        <f>TEXT(74133, "[$-0E0000]yyyy-mm-dd")</f>
        <v/>
      </c>
      <c r="C74134" t="inlineStr">
        <is>
          <t>2102-11-11</t>
        </is>
      </c>
    </row>
    <row r="74135">
      <c r="A74135" s="1" t="n">
        <v>74134</v>
      </c>
      <c r="B74135">
        <f>TEXT(74134, "[$-0E0000]yyyy-mm-dd")</f>
        <v/>
      </c>
      <c r="C74135" t="inlineStr">
        <is>
          <t>2102-11-12</t>
        </is>
      </c>
    </row>
    <row r="74136">
      <c r="A74136" s="1" t="n">
        <v>74135</v>
      </c>
      <c r="B74136">
        <f>TEXT(74135, "[$-0E0000]yyyy-mm-dd")</f>
        <v/>
      </c>
      <c r="C74136" t="inlineStr">
        <is>
          <t>2102-11-13</t>
        </is>
      </c>
    </row>
    <row r="74137">
      <c r="A74137" s="1" t="n">
        <v>74136</v>
      </c>
      <c r="B74137">
        <f>TEXT(74136, "[$-0E0000]yyyy-mm-dd")</f>
        <v/>
      </c>
      <c r="C74137" t="inlineStr">
        <is>
          <t>2102-11-14</t>
        </is>
      </c>
    </row>
    <row r="74138">
      <c r="A74138" s="1" t="n">
        <v>74137</v>
      </c>
      <c r="B74138">
        <f>TEXT(74137, "[$-0E0000]yyyy-mm-dd")</f>
        <v/>
      </c>
      <c r="C74138" t="inlineStr">
        <is>
          <t>2102-11-15</t>
        </is>
      </c>
    </row>
    <row r="74139">
      <c r="A74139" s="1" t="n">
        <v>74138</v>
      </c>
      <c r="B74139">
        <f>TEXT(74138, "[$-0E0000]yyyy-mm-dd")</f>
        <v/>
      </c>
      <c r="C74139" t="inlineStr">
        <is>
          <t>2102-11-16</t>
        </is>
      </c>
    </row>
    <row r="74140">
      <c r="A74140" s="1" t="n">
        <v>74139</v>
      </c>
      <c r="B74140">
        <f>TEXT(74139, "[$-0E0000]yyyy-mm-dd")</f>
        <v/>
      </c>
      <c r="C74140" t="inlineStr">
        <is>
          <t>2102-11-17</t>
        </is>
      </c>
    </row>
    <row r="74141">
      <c r="A74141" s="1" t="n">
        <v>74140</v>
      </c>
      <c r="B74141">
        <f>TEXT(74140, "[$-0E0000]yyyy-mm-dd")</f>
        <v/>
      </c>
      <c r="C74141" t="inlineStr">
        <is>
          <t>2102-11-18</t>
        </is>
      </c>
    </row>
    <row r="74142">
      <c r="A74142" s="1" t="n">
        <v>74141</v>
      </c>
      <c r="B74142">
        <f>TEXT(74141, "[$-0E0000]yyyy-mm-dd")</f>
        <v/>
      </c>
      <c r="C74142" t="inlineStr">
        <is>
          <t>2102-11-19</t>
        </is>
      </c>
    </row>
    <row r="74143">
      <c r="A74143" s="1" t="n">
        <v>74142</v>
      </c>
      <c r="B74143">
        <f>TEXT(74142, "[$-0E0000]yyyy-mm-dd")</f>
        <v/>
      </c>
      <c r="C74143" t="inlineStr">
        <is>
          <t>2102-11-20</t>
        </is>
      </c>
    </row>
    <row r="74144">
      <c r="A74144" s="1" t="n">
        <v>74143</v>
      </c>
      <c r="B74144">
        <f>TEXT(74143, "[$-0E0000]yyyy-mm-dd")</f>
        <v/>
      </c>
      <c r="C74144" t="inlineStr">
        <is>
          <t>2102-11-21</t>
        </is>
      </c>
    </row>
    <row r="74145">
      <c r="A74145" s="1" t="n">
        <v>74144</v>
      </c>
      <c r="B74145">
        <f>TEXT(74144, "[$-0E0000]yyyy-mm-dd")</f>
        <v/>
      </c>
      <c r="C74145" t="inlineStr">
        <is>
          <t>2102-11-22</t>
        </is>
      </c>
    </row>
    <row r="74146">
      <c r="A74146" s="1" t="n">
        <v>74145</v>
      </c>
      <c r="B74146">
        <f>TEXT(74145, "[$-0E0000]yyyy-mm-dd")</f>
        <v/>
      </c>
      <c r="C74146" t="inlineStr">
        <is>
          <t>2102-11-23</t>
        </is>
      </c>
    </row>
    <row r="74147">
      <c r="A74147" s="1" t="n">
        <v>74146</v>
      </c>
      <c r="B74147">
        <f>TEXT(74146, "[$-0E0000]yyyy-mm-dd")</f>
        <v/>
      </c>
      <c r="C74147" t="inlineStr">
        <is>
          <t>2102-11-24</t>
        </is>
      </c>
    </row>
    <row r="74148">
      <c r="A74148" s="1" t="n">
        <v>74147</v>
      </c>
      <c r="B74148">
        <f>TEXT(74147, "[$-0E0000]yyyy-mm-dd")</f>
        <v/>
      </c>
      <c r="C74148" t="inlineStr">
        <is>
          <t>2102-11-25</t>
        </is>
      </c>
    </row>
    <row r="74149">
      <c r="A74149" s="1" t="n">
        <v>74148</v>
      </c>
      <c r="B74149">
        <f>TEXT(74148, "[$-0E0000]yyyy-mm-dd")</f>
        <v/>
      </c>
      <c r="C74149" t="inlineStr">
        <is>
          <t>2102-11-26</t>
        </is>
      </c>
    </row>
    <row r="74150">
      <c r="A74150" s="1" t="n">
        <v>74149</v>
      </c>
      <c r="B74150">
        <f>TEXT(74149, "[$-0E0000]yyyy-mm-dd")</f>
        <v/>
      </c>
      <c r="C74150" t="inlineStr">
        <is>
          <t>2102-11-27</t>
        </is>
      </c>
    </row>
    <row r="74151">
      <c r="A74151" s="1" t="n">
        <v>74150</v>
      </c>
      <c r="B74151">
        <f>TEXT(74150, "[$-0E0000]yyyy-mm-dd")</f>
        <v/>
      </c>
      <c r="C74151" t="inlineStr">
        <is>
          <t>2102-11-28</t>
        </is>
      </c>
    </row>
    <row r="74152">
      <c r="A74152" s="1" t="n">
        <v>74151</v>
      </c>
      <c r="B74152">
        <f>TEXT(74151, "[$-0E0000]yyyy-mm-dd")</f>
        <v/>
      </c>
      <c r="C74152" t="inlineStr">
        <is>
          <t>2102-11-29</t>
        </is>
      </c>
    </row>
    <row r="74153">
      <c r="A74153" s="1" t="n">
        <v>74152</v>
      </c>
      <c r="B74153">
        <f>TEXT(74152, "[$-0E0000]yyyy-mm-dd")</f>
        <v/>
      </c>
      <c r="C74153" t="inlineStr">
        <is>
          <t>2102-11-30</t>
        </is>
      </c>
    </row>
    <row r="74154">
      <c r="A74154" s="1" t="n">
        <v>74153</v>
      </c>
      <c r="B74154">
        <f>TEXT(74153, "[$-0E0000]yyyy-mm-dd")</f>
        <v/>
      </c>
      <c r="C74154" t="inlineStr">
        <is>
          <t>2102-12-01</t>
        </is>
      </c>
    </row>
    <row r="74155">
      <c r="A74155" s="1" t="n">
        <v>74154</v>
      </c>
      <c r="B74155">
        <f>TEXT(74154, "[$-0E0000]yyyy-mm-dd")</f>
        <v/>
      </c>
      <c r="C74155" t="inlineStr">
        <is>
          <t>2102-12-02</t>
        </is>
      </c>
    </row>
    <row r="74156">
      <c r="A74156" s="1" t="n">
        <v>74155</v>
      </c>
      <c r="B74156">
        <f>TEXT(74155, "[$-0E0000]yyyy-mm-dd")</f>
        <v/>
      </c>
      <c r="C74156" t="inlineStr">
        <is>
          <t>2102-12-03</t>
        </is>
      </c>
    </row>
    <row r="74157">
      <c r="A74157" s="1" t="n">
        <v>74156</v>
      </c>
      <c r="B74157">
        <f>TEXT(74156, "[$-0E0000]yyyy-mm-dd")</f>
        <v/>
      </c>
      <c r="C74157" t="inlineStr">
        <is>
          <t>2102-12-04</t>
        </is>
      </c>
    </row>
    <row r="74158">
      <c r="A74158" s="1" t="n">
        <v>74157</v>
      </c>
      <c r="B74158">
        <f>TEXT(74157, "[$-0E0000]yyyy-mm-dd")</f>
        <v/>
      </c>
      <c r="C74158" t="inlineStr">
        <is>
          <t>2102-12-05</t>
        </is>
      </c>
    </row>
    <row r="74159">
      <c r="A74159" s="1" t="n">
        <v>74158</v>
      </c>
      <c r="B74159">
        <f>TEXT(74158, "[$-0E0000]yyyy-mm-dd")</f>
        <v/>
      </c>
      <c r="C74159" t="inlineStr">
        <is>
          <t>2102-12-06</t>
        </is>
      </c>
    </row>
    <row r="74160">
      <c r="A74160" s="1" t="n">
        <v>74159</v>
      </c>
      <c r="B74160">
        <f>TEXT(74159, "[$-0E0000]yyyy-mm-dd")</f>
        <v/>
      </c>
      <c r="C74160" t="inlineStr">
        <is>
          <t>2102-12-07</t>
        </is>
      </c>
    </row>
    <row r="74161">
      <c r="A74161" s="1" t="n">
        <v>74160</v>
      </c>
      <c r="B74161">
        <f>TEXT(74160, "[$-0E0000]yyyy-mm-dd")</f>
        <v/>
      </c>
      <c r="C74161" t="inlineStr">
        <is>
          <t>2102-12-08</t>
        </is>
      </c>
    </row>
    <row r="74162">
      <c r="A74162" s="1" t="n">
        <v>74161</v>
      </c>
      <c r="B74162">
        <f>TEXT(74161, "[$-0E0000]yyyy-mm-dd")</f>
        <v/>
      </c>
      <c r="C74162" t="inlineStr">
        <is>
          <t>2102-12-09</t>
        </is>
      </c>
    </row>
    <row r="74163">
      <c r="A74163" s="1" t="n">
        <v>74162</v>
      </c>
      <c r="B74163">
        <f>TEXT(74162, "[$-0E0000]yyyy-mm-dd")</f>
        <v/>
      </c>
      <c r="C74163" t="inlineStr">
        <is>
          <t>2102-12-10</t>
        </is>
      </c>
    </row>
    <row r="74164">
      <c r="A74164" s="1" t="n">
        <v>74163</v>
      </c>
      <c r="B74164">
        <f>TEXT(74163, "[$-0E0000]yyyy-mm-dd")</f>
        <v/>
      </c>
      <c r="C74164" t="inlineStr">
        <is>
          <t>2102-12-11</t>
        </is>
      </c>
    </row>
    <row r="74165">
      <c r="A74165" s="1" t="n">
        <v>74164</v>
      </c>
      <c r="B74165">
        <f>TEXT(74164, "[$-0E0000]yyyy-mm-dd")</f>
        <v/>
      </c>
      <c r="C74165" t="inlineStr">
        <is>
          <t>2102-12-12</t>
        </is>
      </c>
    </row>
    <row r="74166">
      <c r="A74166" s="1" t="n">
        <v>74165</v>
      </c>
      <c r="B74166">
        <f>TEXT(74165, "[$-0E0000]yyyy-mm-dd")</f>
        <v/>
      </c>
      <c r="C74166" t="inlineStr">
        <is>
          <t>2102-12-13</t>
        </is>
      </c>
    </row>
    <row r="74167">
      <c r="A74167" s="1" t="n">
        <v>74166</v>
      </c>
      <c r="B74167">
        <f>TEXT(74166, "[$-0E0000]yyyy-mm-dd")</f>
        <v/>
      </c>
      <c r="C74167" t="inlineStr">
        <is>
          <t>2102-12-14</t>
        </is>
      </c>
    </row>
    <row r="74168">
      <c r="A74168" s="1" t="n">
        <v>74167</v>
      </c>
      <c r="B74168">
        <f>TEXT(74167, "[$-0E0000]yyyy-mm-dd")</f>
        <v/>
      </c>
      <c r="C74168" t="inlineStr">
        <is>
          <t>2102-12-15</t>
        </is>
      </c>
    </row>
    <row r="74169">
      <c r="A74169" s="1" t="n">
        <v>74168</v>
      </c>
      <c r="B74169">
        <f>TEXT(74168, "[$-0E0000]yyyy-mm-dd")</f>
        <v/>
      </c>
      <c r="C74169" t="inlineStr">
        <is>
          <t>2102-12-16</t>
        </is>
      </c>
    </row>
    <row r="74170">
      <c r="A74170" s="1" t="n">
        <v>74169</v>
      </c>
      <c r="B74170">
        <f>TEXT(74169, "[$-0E0000]yyyy-mm-dd")</f>
        <v/>
      </c>
      <c r="C74170" t="inlineStr">
        <is>
          <t>2102-12-17</t>
        </is>
      </c>
    </row>
    <row r="74171">
      <c r="A74171" s="1" t="n">
        <v>74170</v>
      </c>
      <c r="B74171">
        <f>TEXT(74170, "[$-0E0000]yyyy-mm-dd")</f>
        <v/>
      </c>
      <c r="C74171" t="inlineStr">
        <is>
          <t>2102-12-18</t>
        </is>
      </c>
    </row>
    <row r="74172">
      <c r="A74172" s="1" t="n">
        <v>74171</v>
      </c>
      <c r="B74172">
        <f>TEXT(74171, "[$-0E0000]yyyy-mm-dd")</f>
        <v/>
      </c>
      <c r="C74172" t="inlineStr">
        <is>
          <t>2102-12-19</t>
        </is>
      </c>
    </row>
    <row r="74173">
      <c r="A74173" s="1" t="n">
        <v>74172</v>
      </c>
      <c r="B74173">
        <f>TEXT(74172, "[$-0E0000]yyyy-mm-dd")</f>
        <v/>
      </c>
      <c r="C74173" t="inlineStr">
        <is>
          <t>2102-12-20</t>
        </is>
      </c>
    </row>
    <row r="74174">
      <c r="A74174" s="1" t="n">
        <v>74173</v>
      </c>
      <c r="B74174">
        <f>TEXT(74173, "[$-0E0000]yyyy-mm-dd")</f>
        <v/>
      </c>
      <c r="C74174" t="inlineStr">
        <is>
          <t>2102-12-21</t>
        </is>
      </c>
    </row>
    <row r="74175">
      <c r="A74175" s="1" t="n">
        <v>74174</v>
      </c>
      <c r="B74175">
        <f>TEXT(74174, "[$-0E0000]yyyy-mm-dd")</f>
        <v/>
      </c>
      <c r="C74175" t="inlineStr">
        <is>
          <t>2102-12-22</t>
        </is>
      </c>
    </row>
    <row r="74176">
      <c r="A74176" s="1" t="n">
        <v>74175</v>
      </c>
      <c r="B74176">
        <f>TEXT(74175, "[$-0E0000]yyyy-mm-dd")</f>
        <v/>
      </c>
      <c r="C74176" t="inlineStr">
        <is>
          <t>2102-12-23</t>
        </is>
      </c>
    </row>
    <row r="74177">
      <c r="A74177" s="1" t="n">
        <v>74176</v>
      </c>
      <c r="B74177">
        <f>TEXT(74176, "[$-0E0000]yyyy-mm-dd")</f>
        <v/>
      </c>
      <c r="C74177" t="inlineStr">
        <is>
          <t>2102-12-24</t>
        </is>
      </c>
    </row>
    <row r="74178">
      <c r="A74178" s="1" t="n">
        <v>74177</v>
      </c>
      <c r="B74178">
        <f>TEXT(74177, "[$-0E0000]yyyy-mm-dd")</f>
        <v/>
      </c>
      <c r="C74178" t="inlineStr">
        <is>
          <t>2102-12-25</t>
        </is>
      </c>
    </row>
    <row r="74179">
      <c r="A74179" s="1" t="n">
        <v>74178</v>
      </c>
      <c r="B74179">
        <f>TEXT(74178, "[$-0E0000]yyyy-mm-dd")</f>
        <v/>
      </c>
      <c r="C74179" t="inlineStr">
        <is>
          <t>2102-12-26</t>
        </is>
      </c>
    </row>
    <row r="74180">
      <c r="A74180" s="1" t="n">
        <v>74179</v>
      </c>
      <c r="B74180">
        <f>TEXT(74179, "[$-0E0000]yyyy-mm-dd")</f>
        <v/>
      </c>
      <c r="C74180" t="inlineStr">
        <is>
          <t>2102-12-27</t>
        </is>
      </c>
    </row>
    <row r="74181">
      <c r="A74181" s="1" t="n">
        <v>74180</v>
      </c>
      <c r="B74181">
        <f>TEXT(74180, "[$-0E0000]yyyy-mm-dd")</f>
        <v/>
      </c>
      <c r="C74181" t="inlineStr">
        <is>
          <t>2102-12-28</t>
        </is>
      </c>
    </row>
    <row r="74182">
      <c r="A74182" s="1" t="n">
        <v>74181</v>
      </c>
      <c r="B74182">
        <f>TEXT(74181, "[$-0E0000]yyyy-mm-dd")</f>
        <v/>
      </c>
      <c r="C74182" t="inlineStr">
        <is>
          <t>2102-12-29</t>
        </is>
      </c>
    </row>
    <row r="74183">
      <c r="A74183" s="1" t="n">
        <v>74182</v>
      </c>
      <c r="B74183">
        <f>TEXT(74182, "[$-0E0000]yyyy-mm-dd")</f>
        <v/>
      </c>
      <c r="C74183" t="inlineStr">
        <is>
          <t>2103-01-01</t>
        </is>
      </c>
    </row>
    <row r="74184">
      <c r="A74184" s="1" t="n">
        <v>74183</v>
      </c>
      <c r="B74184">
        <f>TEXT(74183, "[$-0E0000]yyyy-mm-dd")</f>
        <v/>
      </c>
      <c r="C74184" t="inlineStr">
        <is>
          <t>2103-01-02</t>
        </is>
      </c>
    </row>
    <row r="74185">
      <c r="A74185" s="1" t="n">
        <v>74184</v>
      </c>
      <c r="B74185">
        <f>TEXT(74184, "[$-0E0000]yyyy-mm-dd")</f>
        <v/>
      </c>
      <c r="C74185" t="inlineStr">
        <is>
          <t>2103-01-03</t>
        </is>
      </c>
    </row>
    <row r="74186">
      <c r="A74186" s="1" t="n">
        <v>74185</v>
      </c>
      <c r="B74186">
        <f>TEXT(74185, "[$-0E0000]yyyy-mm-dd")</f>
        <v/>
      </c>
      <c r="C74186" t="inlineStr">
        <is>
          <t>2103-01-04</t>
        </is>
      </c>
    </row>
    <row r="74187">
      <c r="A74187" s="1" t="n">
        <v>74186</v>
      </c>
      <c r="B74187">
        <f>TEXT(74186, "[$-0E0000]yyyy-mm-dd")</f>
        <v/>
      </c>
      <c r="C74187" t="inlineStr">
        <is>
          <t>2103-01-05</t>
        </is>
      </c>
    </row>
    <row r="74188">
      <c r="A74188" s="1" t="n">
        <v>74187</v>
      </c>
      <c r="B74188">
        <f>TEXT(74187, "[$-0E0000]yyyy-mm-dd")</f>
        <v/>
      </c>
      <c r="C74188" t="inlineStr">
        <is>
          <t>2103-01-06</t>
        </is>
      </c>
    </row>
    <row r="74189">
      <c r="A74189" s="1" t="n">
        <v>74188</v>
      </c>
      <c r="B74189">
        <f>TEXT(74188, "[$-0E0000]yyyy-mm-dd")</f>
        <v/>
      </c>
      <c r="C74189" t="inlineStr">
        <is>
          <t>2103-01-07</t>
        </is>
      </c>
    </row>
    <row r="74190">
      <c r="A74190" s="1" t="n">
        <v>74189</v>
      </c>
      <c r="B74190">
        <f>TEXT(74189, "[$-0E0000]yyyy-mm-dd")</f>
        <v/>
      </c>
      <c r="C74190" t="inlineStr">
        <is>
          <t>2103-01-08</t>
        </is>
      </c>
    </row>
    <row r="74191">
      <c r="A74191" s="1" t="n">
        <v>74190</v>
      </c>
      <c r="B74191">
        <f>TEXT(74190, "[$-0E0000]yyyy-mm-dd")</f>
        <v/>
      </c>
      <c r="C74191" t="inlineStr">
        <is>
          <t>2103-01-09</t>
        </is>
      </c>
    </row>
    <row r="74192">
      <c r="A74192" s="1" t="n">
        <v>74191</v>
      </c>
      <c r="B74192">
        <f>TEXT(74191, "[$-0E0000]yyyy-mm-dd")</f>
        <v/>
      </c>
      <c r="C74192" t="inlineStr">
        <is>
          <t>2103-01-10</t>
        </is>
      </c>
    </row>
    <row r="74193">
      <c r="A74193" s="1" t="n">
        <v>74192</v>
      </c>
      <c r="B74193">
        <f>TEXT(74192, "[$-0E0000]yyyy-mm-dd")</f>
        <v/>
      </c>
      <c r="C74193" t="inlineStr">
        <is>
          <t>2103-01-11</t>
        </is>
      </c>
    </row>
    <row r="74194">
      <c r="A74194" s="1" t="n">
        <v>74193</v>
      </c>
      <c r="B74194">
        <f>TEXT(74193, "[$-0E0000]yyyy-mm-dd")</f>
        <v/>
      </c>
      <c r="C74194" t="inlineStr">
        <is>
          <t>2103-01-12</t>
        </is>
      </c>
    </row>
    <row r="74195">
      <c r="A74195" s="1" t="n">
        <v>74194</v>
      </c>
      <c r="B74195">
        <f>TEXT(74194, "[$-0E0000]yyyy-mm-dd")</f>
        <v/>
      </c>
      <c r="C74195" t="inlineStr">
        <is>
          <t>2103-01-13</t>
        </is>
      </c>
    </row>
    <row r="74196">
      <c r="A74196" s="1" t="n">
        <v>74195</v>
      </c>
      <c r="B74196">
        <f>TEXT(74195, "[$-0E0000]yyyy-mm-dd")</f>
        <v/>
      </c>
      <c r="C74196" t="inlineStr">
        <is>
          <t>2103-01-14</t>
        </is>
      </c>
    </row>
    <row r="74197">
      <c r="A74197" s="1" t="n">
        <v>74196</v>
      </c>
      <c r="B74197">
        <f>TEXT(74196, "[$-0E0000]yyyy-mm-dd")</f>
        <v/>
      </c>
      <c r="C74197" t="inlineStr">
        <is>
          <t>2103-01-15</t>
        </is>
      </c>
    </row>
    <row r="74198">
      <c r="A74198" s="1" t="n">
        <v>74197</v>
      </c>
      <c r="B74198">
        <f>TEXT(74197, "[$-0E0000]yyyy-mm-dd")</f>
        <v/>
      </c>
      <c r="C74198" t="inlineStr">
        <is>
          <t>2103-01-16</t>
        </is>
      </c>
    </row>
    <row r="74199">
      <c r="A74199" s="1" t="n">
        <v>74198</v>
      </c>
      <c r="B74199">
        <f>TEXT(74198, "[$-0E0000]yyyy-mm-dd")</f>
        <v/>
      </c>
      <c r="C74199" t="inlineStr">
        <is>
          <t>2103-01-17</t>
        </is>
      </c>
    </row>
    <row r="74200">
      <c r="A74200" s="1" t="n">
        <v>74199</v>
      </c>
      <c r="B74200">
        <f>TEXT(74199, "[$-0E0000]yyyy-mm-dd")</f>
        <v/>
      </c>
      <c r="C74200" t="inlineStr">
        <is>
          <t>2103-01-18</t>
        </is>
      </c>
    </row>
    <row r="74201">
      <c r="A74201" s="1" t="n">
        <v>74200</v>
      </c>
      <c r="B74201">
        <f>TEXT(74200, "[$-0E0000]yyyy-mm-dd")</f>
        <v/>
      </c>
      <c r="C74201" t="inlineStr">
        <is>
          <t>2103-01-19</t>
        </is>
      </c>
    </row>
    <row r="74202">
      <c r="A74202" s="1" t="n">
        <v>74201</v>
      </c>
      <c r="B74202">
        <f>TEXT(74201, "[$-0E0000]yyyy-mm-dd")</f>
        <v/>
      </c>
      <c r="C74202" t="inlineStr">
        <is>
          <t>2103-01-20</t>
        </is>
      </c>
    </row>
    <row r="74203">
      <c r="A74203" s="1" t="n">
        <v>74202</v>
      </c>
      <c r="B74203">
        <f>TEXT(74202, "[$-0E0000]yyyy-mm-dd")</f>
        <v/>
      </c>
      <c r="C74203" t="inlineStr">
        <is>
          <t>2103-01-21</t>
        </is>
      </c>
    </row>
    <row r="74204">
      <c r="A74204" s="1" t="n">
        <v>74203</v>
      </c>
      <c r="B74204">
        <f>TEXT(74203, "[$-0E0000]yyyy-mm-dd")</f>
        <v/>
      </c>
      <c r="C74204" t="inlineStr">
        <is>
          <t>2103-01-22</t>
        </is>
      </c>
    </row>
    <row r="74205">
      <c r="A74205" s="1" t="n">
        <v>74204</v>
      </c>
      <c r="B74205">
        <f>TEXT(74204, "[$-0E0000]yyyy-mm-dd")</f>
        <v/>
      </c>
      <c r="C74205" t="inlineStr">
        <is>
          <t>2103-01-23</t>
        </is>
      </c>
    </row>
    <row r="74206">
      <c r="A74206" s="1" t="n">
        <v>74205</v>
      </c>
      <c r="B74206">
        <f>TEXT(74205, "[$-0E0000]yyyy-mm-dd")</f>
        <v/>
      </c>
      <c r="C74206" t="inlineStr">
        <is>
          <t>2103-01-24</t>
        </is>
      </c>
    </row>
    <row r="74207">
      <c r="A74207" s="1" t="n">
        <v>74206</v>
      </c>
      <c r="B74207">
        <f>TEXT(74206, "[$-0E0000]yyyy-mm-dd")</f>
        <v/>
      </c>
      <c r="C74207" t="inlineStr">
        <is>
          <t>2103-01-25</t>
        </is>
      </c>
    </row>
    <row r="74208">
      <c r="A74208" s="1" t="n">
        <v>74207</v>
      </c>
      <c r="B74208">
        <f>TEXT(74207, "[$-0E0000]yyyy-mm-dd")</f>
        <v/>
      </c>
      <c r="C74208" t="inlineStr">
        <is>
          <t>2103-01-26</t>
        </is>
      </c>
    </row>
    <row r="74209">
      <c r="A74209" s="1" t="n">
        <v>74208</v>
      </c>
      <c r="B74209">
        <f>TEXT(74208, "[$-0E0000]yyyy-mm-dd")</f>
        <v/>
      </c>
      <c r="C74209" t="inlineStr">
        <is>
          <t>2103-01-27</t>
        </is>
      </c>
    </row>
    <row r="74210">
      <c r="A74210" s="1" t="n">
        <v>74209</v>
      </c>
      <c r="B74210">
        <f>TEXT(74209, "[$-0E0000]yyyy-mm-dd")</f>
        <v/>
      </c>
      <c r="C74210" t="inlineStr">
        <is>
          <t>2103-01-28</t>
        </is>
      </c>
    </row>
    <row r="74211">
      <c r="A74211" s="1" t="n">
        <v>74210</v>
      </c>
      <c r="B74211">
        <f>TEXT(74210, "[$-0E0000]yyyy-mm-dd")</f>
        <v/>
      </c>
      <c r="C74211" t="inlineStr">
        <is>
          <t>2103-01-29</t>
        </is>
      </c>
    </row>
    <row r="74212">
      <c r="A74212" s="1" t="n">
        <v>74211</v>
      </c>
      <c r="B74212">
        <f>TEXT(74211, "[$-0E0000]yyyy-mm-dd")</f>
        <v/>
      </c>
      <c r="C74212" t="inlineStr">
        <is>
          <t>2103-02-01</t>
        </is>
      </c>
    </row>
    <row r="74213">
      <c r="A74213" s="1" t="n">
        <v>74212</v>
      </c>
      <c r="B74213">
        <f>TEXT(74212, "[$-0E0000]yyyy-mm-dd")</f>
        <v/>
      </c>
      <c r="C74213" t="inlineStr">
        <is>
          <t>2103-02-02</t>
        </is>
      </c>
    </row>
    <row r="74214">
      <c r="A74214" s="1" t="n">
        <v>74213</v>
      </c>
      <c r="B74214">
        <f>TEXT(74213, "[$-0E0000]yyyy-mm-dd")</f>
        <v/>
      </c>
      <c r="C74214" t="inlineStr">
        <is>
          <t>2103-02-03</t>
        </is>
      </c>
    </row>
    <row r="74215">
      <c r="A74215" s="1" t="n">
        <v>74214</v>
      </c>
      <c r="B74215">
        <f>TEXT(74214, "[$-0E0000]yyyy-mm-dd")</f>
        <v/>
      </c>
      <c r="C74215" t="inlineStr">
        <is>
          <t>2103-02-04</t>
        </is>
      </c>
    </row>
    <row r="74216">
      <c r="A74216" s="1" t="n">
        <v>74215</v>
      </c>
      <c r="B74216">
        <f>TEXT(74215, "[$-0E0000]yyyy-mm-dd")</f>
        <v/>
      </c>
      <c r="C74216" t="inlineStr">
        <is>
          <t>2103-02-05</t>
        </is>
      </c>
    </row>
    <row r="74217">
      <c r="A74217" s="1" t="n">
        <v>74216</v>
      </c>
      <c r="B74217">
        <f>TEXT(74216, "[$-0E0000]yyyy-mm-dd")</f>
        <v/>
      </c>
      <c r="C74217" t="inlineStr">
        <is>
          <t>2103-02-06</t>
        </is>
      </c>
    </row>
    <row r="74218">
      <c r="A74218" s="1" t="n">
        <v>74217</v>
      </c>
      <c r="B74218">
        <f>TEXT(74217, "[$-0E0000]yyyy-mm-dd")</f>
        <v/>
      </c>
      <c r="C74218" t="inlineStr">
        <is>
          <t>2103-02-07</t>
        </is>
      </c>
    </row>
    <row r="74219">
      <c r="A74219" s="1" t="n">
        <v>74218</v>
      </c>
      <c r="B74219">
        <f>TEXT(74218, "[$-0E0000]yyyy-mm-dd")</f>
        <v/>
      </c>
      <c r="C74219" t="inlineStr">
        <is>
          <t>2103-02-08</t>
        </is>
      </c>
    </row>
    <row r="74220">
      <c r="A74220" s="1" t="n">
        <v>74219</v>
      </c>
      <c r="B74220">
        <f>TEXT(74219, "[$-0E0000]yyyy-mm-dd")</f>
        <v/>
      </c>
      <c r="C74220" t="inlineStr">
        <is>
          <t>2103-02-09</t>
        </is>
      </c>
    </row>
    <row r="74221">
      <c r="A74221" s="1" t="n">
        <v>74220</v>
      </c>
      <c r="B74221">
        <f>TEXT(74220, "[$-0E0000]yyyy-mm-dd")</f>
        <v/>
      </c>
      <c r="C74221" t="inlineStr">
        <is>
          <t>2103-02-10</t>
        </is>
      </c>
    </row>
    <row r="74222">
      <c r="A74222" s="1" t="n">
        <v>74221</v>
      </c>
      <c r="B74222">
        <f>TEXT(74221, "[$-0E0000]yyyy-mm-dd")</f>
        <v/>
      </c>
      <c r="C74222" t="inlineStr">
        <is>
          <t>2103-02-11</t>
        </is>
      </c>
    </row>
    <row r="74223">
      <c r="A74223" s="1" t="n">
        <v>74222</v>
      </c>
      <c r="B74223">
        <f>TEXT(74222, "[$-0E0000]yyyy-mm-dd")</f>
        <v/>
      </c>
      <c r="C74223" t="inlineStr">
        <is>
          <t>2103-02-12</t>
        </is>
      </c>
    </row>
    <row r="74224">
      <c r="A74224" s="1" t="n">
        <v>74223</v>
      </c>
      <c r="B74224">
        <f>TEXT(74223, "[$-0E0000]yyyy-mm-dd")</f>
        <v/>
      </c>
      <c r="C74224" t="inlineStr">
        <is>
          <t>2103-02-13</t>
        </is>
      </c>
    </row>
    <row r="74225">
      <c r="A74225" s="1" t="n">
        <v>74224</v>
      </c>
      <c r="B74225">
        <f>TEXT(74224, "[$-0E0000]yyyy-mm-dd")</f>
        <v/>
      </c>
      <c r="C74225" t="inlineStr">
        <is>
          <t>2103-02-14</t>
        </is>
      </c>
    </row>
    <row r="74226">
      <c r="A74226" s="1" t="n">
        <v>74225</v>
      </c>
      <c r="B74226">
        <f>TEXT(74225, "[$-0E0000]yyyy-mm-dd")</f>
        <v/>
      </c>
      <c r="C74226" t="inlineStr">
        <is>
          <t>2103-02-15</t>
        </is>
      </c>
    </row>
    <row r="74227">
      <c r="A74227" s="1" t="n">
        <v>74226</v>
      </c>
      <c r="B74227">
        <f>TEXT(74226, "[$-0E0000]yyyy-mm-dd")</f>
        <v/>
      </c>
      <c r="C74227" t="inlineStr">
        <is>
          <t>2103-02-16</t>
        </is>
      </c>
    </row>
    <row r="74228">
      <c r="A74228" s="1" t="n">
        <v>74227</v>
      </c>
      <c r="B74228">
        <f>TEXT(74227, "[$-0E0000]yyyy-mm-dd")</f>
        <v/>
      </c>
      <c r="C74228" t="inlineStr">
        <is>
          <t>2103-02-17</t>
        </is>
      </c>
    </row>
    <row r="74229">
      <c r="A74229" s="1" t="n">
        <v>74228</v>
      </c>
      <c r="B74229">
        <f>TEXT(74228, "[$-0E0000]yyyy-mm-dd")</f>
        <v/>
      </c>
      <c r="C74229" t="inlineStr">
        <is>
          <t>2103-02-18</t>
        </is>
      </c>
    </row>
    <row r="74230">
      <c r="A74230" s="1" t="n">
        <v>74229</v>
      </c>
      <c r="B74230">
        <f>TEXT(74229, "[$-0E0000]yyyy-mm-dd")</f>
        <v/>
      </c>
      <c r="C74230" t="inlineStr">
        <is>
          <t>2103-02-19</t>
        </is>
      </c>
    </row>
    <row r="74231">
      <c r="A74231" s="1" t="n">
        <v>74230</v>
      </c>
      <c r="B74231">
        <f>TEXT(74230, "[$-0E0000]yyyy-mm-dd")</f>
        <v/>
      </c>
      <c r="C74231" t="inlineStr">
        <is>
          <t>2103-02-20</t>
        </is>
      </c>
    </row>
    <row r="74232">
      <c r="A74232" s="1" t="n">
        <v>74231</v>
      </c>
      <c r="B74232">
        <f>TEXT(74231, "[$-0E0000]yyyy-mm-dd")</f>
        <v/>
      </c>
      <c r="C74232" t="inlineStr">
        <is>
          <t>2103-02-21</t>
        </is>
      </c>
    </row>
    <row r="74233">
      <c r="A74233" s="1" t="n">
        <v>74232</v>
      </c>
      <c r="B74233">
        <f>TEXT(74232, "[$-0E0000]yyyy-mm-dd")</f>
        <v/>
      </c>
      <c r="C74233" t="inlineStr">
        <is>
          <t>2103-02-22</t>
        </is>
      </c>
    </row>
    <row r="74234">
      <c r="A74234" s="1" t="n">
        <v>74233</v>
      </c>
      <c r="B74234">
        <f>TEXT(74233, "[$-0E0000]yyyy-mm-dd")</f>
        <v/>
      </c>
      <c r="C74234" t="inlineStr">
        <is>
          <t>2103-02-23</t>
        </is>
      </c>
    </row>
    <row r="74235">
      <c r="A74235" s="1" t="n">
        <v>74234</v>
      </c>
      <c r="B74235">
        <f>TEXT(74234, "[$-0E0000]yyyy-mm-dd")</f>
        <v/>
      </c>
      <c r="C74235" t="inlineStr">
        <is>
          <t>2103-02-24</t>
        </is>
      </c>
    </row>
    <row r="74236">
      <c r="A74236" s="1" t="n">
        <v>74235</v>
      </c>
      <c r="B74236">
        <f>TEXT(74235, "[$-0E0000]yyyy-mm-dd")</f>
        <v/>
      </c>
      <c r="C74236" t="inlineStr">
        <is>
          <t>2103-02-25</t>
        </is>
      </c>
    </row>
    <row r="74237">
      <c r="A74237" s="1" t="n">
        <v>74236</v>
      </c>
      <c r="B74237">
        <f>TEXT(74236, "[$-0E0000]yyyy-mm-dd")</f>
        <v/>
      </c>
      <c r="C74237" t="inlineStr">
        <is>
          <t>2103-02-26</t>
        </is>
      </c>
    </row>
    <row r="74238">
      <c r="A74238" s="1" t="n">
        <v>74237</v>
      </c>
      <c r="B74238">
        <f>TEXT(74237, "[$-0E0000]yyyy-mm-dd")</f>
        <v/>
      </c>
      <c r="C74238" t="inlineStr">
        <is>
          <t>2103-02-27</t>
        </is>
      </c>
    </row>
    <row r="74239">
      <c r="A74239" s="1" t="n">
        <v>74238</v>
      </c>
      <c r="B74239">
        <f>TEXT(74238, "[$-0E0000]yyyy-mm-dd")</f>
        <v/>
      </c>
      <c r="C74239" t="inlineStr">
        <is>
          <t>2103-02-28</t>
        </is>
      </c>
    </row>
    <row r="74240">
      <c r="A74240" s="1" t="n">
        <v>74239</v>
      </c>
      <c r="B74240">
        <f>TEXT(74239, "[$-0E0000]yyyy-mm-dd")</f>
        <v/>
      </c>
      <c r="C74240" t="inlineStr">
        <is>
          <t>2103-02-29</t>
        </is>
      </c>
    </row>
    <row r="74241">
      <c r="A74241" s="1" t="n">
        <v>74240</v>
      </c>
      <c r="B74241">
        <f>TEXT(74240, "[$-0E0000]yyyy-mm-dd")</f>
        <v/>
      </c>
      <c r="C74241" t="inlineStr">
        <is>
          <t>2103-02-30</t>
        </is>
      </c>
    </row>
    <row r="74242">
      <c r="A74242" s="1" t="n">
        <v>74241</v>
      </c>
      <c r="B74242">
        <f>TEXT(74241, "[$-0E0000]yyyy-mm-dd")</f>
        <v/>
      </c>
      <c r="C74242" t="inlineStr">
        <is>
          <t>2103-03-01</t>
        </is>
      </c>
    </row>
    <row r="74243">
      <c r="A74243" s="1" t="n">
        <v>74242</v>
      </c>
      <c r="B74243">
        <f>TEXT(74242, "[$-0E0000]yyyy-mm-dd")</f>
        <v/>
      </c>
      <c r="C74243" t="inlineStr">
        <is>
          <t>2103-03-02</t>
        </is>
      </c>
    </row>
    <row r="74244">
      <c r="A74244" s="1" t="n">
        <v>74243</v>
      </c>
      <c r="B74244">
        <f>TEXT(74243, "[$-0E0000]yyyy-mm-dd")</f>
        <v/>
      </c>
      <c r="C74244" t="inlineStr">
        <is>
          <t>2103-03-03</t>
        </is>
      </c>
    </row>
    <row r="74245">
      <c r="A74245" s="1" t="n">
        <v>74244</v>
      </c>
      <c r="B74245">
        <f>TEXT(74244, "[$-0E0000]yyyy-mm-dd")</f>
        <v/>
      </c>
      <c r="C74245" t="inlineStr">
        <is>
          <t>2103-03-04</t>
        </is>
      </c>
    </row>
    <row r="74246">
      <c r="A74246" s="1" t="n">
        <v>74245</v>
      </c>
      <c r="B74246">
        <f>TEXT(74245, "[$-0E0000]yyyy-mm-dd")</f>
        <v/>
      </c>
      <c r="C74246" t="inlineStr">
        <is>
          <t>2103-03-05</t>
        </is>
      </c>
    </row>
    <row r="74247">
      <c r="A74247" s="1" t="n">
        <v>74246</v>
      </c>
      <c r="B74247">
        <f>TEXT(74246, "[$-0E0000]yyyy-mm-dd")</f>
        <v/>
      </c>
      <c r="C74247" t="inlineStr">
        <is>
          <t>2103-03-06</t>
        </is>
      </c>
    </row>
    <row r="74248">
      <c r="A74248" s="1" t="n">
        <v>74247</v>
      </c>
      <c r="B74248">
        <f>TEXT(74247, "[$-0E0000]yyyy-mm-dd")</f>
        <v/>
      </c>
      <c r="C74248" t="inlineStr">
        <is>
          <t>2103-03-07</t>
        </is>
      </c>
    </row>
    <row r="74249">
      <c r="A74249" s="1" t="n">
        <v>74248</v>
      </c>
      <c r="B74249">
        <f>TEXT(74248, "[$-0E0000]yyyy-mm-dd")</f>
        <v/>
      </c>
      <c r="C74249" t="inlineStr">
        <is>
          <t>2103-03-08</t>
        </is>
      </c>
    </row>
    <row r="74250">
      <c r="A74250" s="1" t="n">
        <v>74249</v>
      </c>
      <c r="B74250">
        <f>TEXT(74249, "[$-0E0000]yyyy-mm-dd")</f>
        <v/>
      </c>
      <c r="C74250" t="inlineStr">
        <is>
          <t>2103-03-09</t>
        </is>
      </c>
    </row>
    <row r="74251">
      <c r="A74251" s="1" t="n">
        <v>74250</v>
      </c>
      <c r="B74251">
        <f>TEXT(74250, "[$-0E0000]yyyy-mm-dd")</f>
        <v/>
      </c>
      <c r="C74251" t="inlineStr">
        <is>
          <t>2103-03-10</t>
        </is>
      </c>
    </row>
    <row r="74252">
      <c r="A74252" s="1" t="n">
        <v>74251</v>
      </c>
      <c r="B74252">
        <f>TEXT(74251, "[$-0E0000]yyyy-mm-dd")</f>
        <v/>
      </c>
      <c r="C74252" t="inlineStr">
        <is>
          <t>2103-03-11</t>
        </is>
      </c>
    </row>
    <row r="74253">
      <c r="A74253" s="1" t="n">
        <v>74252</v>
      </c>
      <c r="B74253">
        <f>TEXT(74252, "[$-0E0000]yyyy-mm-dd")</f>
        <v/>
      </c>
      <c r="C74253" t="inlineStr">
        <is>
          <t>2103-03-12</t>
        </is>
      </c>
    </row>
    <row r="74254">
      <c r="A74254" s="1" t="n">
        <v>74253</v>
      </c>
      <c r="B74254">
        <f>TEXT(74253, "[$-0E0000]yyyy-mm-dd")</f>
        <v/>
      </c>
      <c r="C74254" t="inlineStr">
        <is>
          <t>2103-03-13</t>
        </is>
      </c>
    </row>
    <row r="74255">
      <c r="A74255" s="1" t="n">
        <v>74254</v>
      </c>
      <c r="B74255">
        <f>TEXT(74254, "[$-0E0000]yyyy-mm-dd")</f>
        <v/>
      </c>
      <c r="C74255" t="inlineStr">
        <is>
          <t>2103-03-14</t>
        </is>
      </c>
    </row>
    <row r="74256">
      <c r="A74256" s="1" t="n">
        <v>74255</v>
      </c>
      <c r="B74256">
        <f>TEXT(74255, "[$-0E0000]yyyy-mm-dd")</f>
        <v/>
      </c>
      <c r="C74256" t="inlineStr">
        <is>
          <t>2103-03-15</t>
        </is>
      </c>
    </row>
    <row r="74257">
      <c r="A74257" s="1" t="n">
        <v>74256</v>
      </c>
      <c r="B74257">
        <f>TEXT(74256, "[$-0E0000]yyyy-mm-dd")</f>
        <v/>
      </c>
      <c r="C74257" t="inlineStr">
        <is>
          <t>2103-03-16</t>
        </is>
      </c>
    </row>
    <row r="74258">
      <c r="A74258" s="1" t="n">
        <v>74257</v>
      </c>
      <c r="B74258">
        <f>TEXT(74257, "[$-0E0000]yyyy-mm-dd")</f>
        <v/>
      </c>
      <c r="C74258" t="inlineStr">
        <is>
          <t>2103-03-17</t>
        </is>
      </c>
    </row>
    <row r="74259">
      <c r="A74259" s="1" t="n">
        <v>74258</v>
      </c>
      <c r="B74259">
        <f>TEXT(74258, "[$-0E0000]yyyy-mm-dd")</f>
        <v/>
      </c>
      <c r="C74259" t="inlineStr">
        <is>
          <t>2103-03-18</t>
        </is>
      </c>
    </row>
    <row r="74260">
      <c r="A74260" s="1" t="n">
        <v>74259</v>
      </c>
      <c r="B74260">
        <f>TEXT(74259, "[$-0E0000]yyyy-mm-dd")</f>
        <v/>
      </c>
      <c r="C74260" t="inlineStr">
        <is>
          <t>2103-03-19</t>
        </is>
      </c>
    </row>
    <row r="74261">
      <c r="A74261" s="1" t="n">
        <v>74260</v>
      </c>
      <c r="B74261">
        <f>TEXT(74260, "[$-0E0000]yyyy-mm-dd")</f>
        <v/>
      </c>
      <c r="C74261" t="inlineStr">
        <is>
          <t>2103-03-20</t>
        </is>
      </c>
    </row>
    <row r="74262">
      <c r="A74262" s="1" t="n">
        <v>74261</v>
      </c>
      <c r="B74262">
        <f>TEXT(74261, "[$-0E0000]yyyy-mm-dd")</f>
        <v/>
      </c>
      <c r="C74262" t="inlineStr">
        <is>
          <t>2103-03-21</t>
        </is>
      </c>
    </row>
    <row r="74263">
      <c r="A74263" s="1" t="n">
        <v>74262</v>
      </c>
      <c r="B74263">
        <f>TEXT(74262, "[$-0E0000]yyyy-mm-dd")</f>
        <v/>
      </c>
      <c r="C74263" t="inlineStr">
        <is>
          <t>2103-03-22</t>
        </is>
      </c>
    </row>
    <row r="74264">
      <c r="A74264" s="1" t="n">
        <v>74263</v>
      </c>
      <c r="B74264">
        <f>TEXT(74263, "[$-0E0000]yyyy-mm-dd")</f>
        <v/>
      </c>
      <c r="C74264" t="inlineStr">
        <is>
          <t>2103-03-23</t>
        </is>
      </c>
    </row>
    <row r="74265">
      <c r="A74265" s="1" t="n">
        <v>74264</v>
      </c>
      <c r="B74265">
        <f>TEXT(74264, "[$-0E0000]yyyy-mm-dd")</f>
        <v/>
      </c>
      <c r="C74265" t="inlineStr">
        <is>
          <t>2103-03-24</t>
        </is>
      </c>
    </row>
    <row r="74266">
      <c r="A74266" s="1" t="n">
        <v>74265</v>
      </c>
      <c r="B74266">
        <f>TEXT(74265, "[$-0E0000]yyyy-mm-dd")</f>
        <v/>
      </c>
      <c r="C74266" t="inlineStr">
        <is>
          <t>2103-03-25</t>
        </is>
      </c>
    </row>
    <row r="74267">
      <c r="A74267" s="1" t="n">
        <v>74266</v>
      </c>
      <c r="B74267">
        <f>TEXT(74266, "[$-0E0000]yyyy-mm-dd")</f>
        <v/>
      </c>
      <c r="C74267" t="inlineStr">
        <is>
          <t>2103-03-26</t>
        </is>
      </c>
    </row>
    <row r="74268">
      <c r="A74268" s="1" t="n">
        <v>74267</v>
      </c>
      <c r="B74268">
        <f>TEXT(74267, "[$-0E0000]yyyy-mm-dd")</f>
        <v/>
      </c>
      <c r="C74268" t="inlineStr">
        <is>
          <t>2103-03-27</t>
        </is>
      </c>
    </row>
    <row r="74269">
      <c r="A74269" s="1" t="n">
        <v>74268</v>
      </c>
      <c r="B74269">
        <f>TEXT(74268, "[$-0E0000]yyyy-mm-dd")</f>
        <v/>
      </c>
      <c r="C74269" t="inlineStr">
        <is>
          <t>2103-03-28</t>
        </is>
      </c>
    </row>
    <row r="74270">
      <c r="A74270" s="1" t="n">
        <v>74269</v>
      </c>
      <c r="B74270">
        <f>TEXT(74269, "[$-0E0000]yyyy-mm-dd")</f>
        <v/>
      </c>
      <c r="C74270" t="inlineStr">
        <is>
          <t>2103-03-29</t>
        </is>
      </c>
    </row>
    <row r="74271">
      <c r="A74271" s="1" t="n">
        <v>74270</v>
      </c>
      <c r="B74271">
        <f>TEXT(74270, "[$-0E0000]yyyy-mm-dd")</f>
        <v/>
      </c>
      <c r="C74271" t="inlineStr">
        <is>
          <t>2103-04-01</t>
        </is>
      </c>
    </row>
    <row r="74272">
      <c r="A74272" s="1" t="n">
        <v>74271</v>
      </c>
      <c r="B74272">
        <f>TEXT(74271, "[$-0E0000]yyyy-mm-dd")</f>
        <v/>
      </c>
      <c r="C74272" t="inlineStr">
        <is>
          <t>2103-04-02</t>
        </is>
      </c>
    </row>
    <row r="74273">
      <c r="A74273" s="1" t="n">
        <v>74272</v>
      </c>
      <c r="B74273">
        <f>TEXT(74272, "[$-0E0000]yyyy-mm-dd")</f>
        <v/>
      </c>
      <c r="C74273" t="inlineStr">
        <is>
          <t>2103-04-03</t>
        </is>
      </c>
    </row>
    <row r="74274">
      <c r="A74274" s="1" t="n">
        <v>74273</v>
      </c>
      <c r="B74274">
        <f>TEXT(74273, "[$-0E0000]yyyy-mm-dd")</f>
        <v/>
      </c>
      <c r="C74274" t="inlineStr">
        <is>
          <t>2103-04-04</t>
        </is>
      </c>
    </row>
    <row r="74275">
      <c r="A74275" s="1" t="n">
        <v>74274</v>
      </c>
      <c r="B74275">
        <f>TEXT(74274, "[$-0E0000]yyyy-mm-dd")</f>
        <v/>
      </c>
      <c r="C74275" t="inlineStr">
        <is>
          <t>2103-04-05</t>
        </is>
      </c>
    </row>
    <row r="74276">
      <c r="A74276" s="1" t="n">
        <v>74275</v>
      </c>
      <c r="B74276">
        <f>TEXT(74275, "[$-0E0000]yyyy-mm-dd")</f>
        <v/>
      </c>
      <c r="C74276" t="inlineStr">
        <is>
          <t>2103-04-06</t>
        </is>
      </c>
    </row>
    <row r="74277">
      <c r="A74277" s="1" t="n">
        <v>74276</v>
      </c>
      <c r="B74277">
        <f>TEXT(74276, "[$-0E0000]yyyy-mm-dd")</f>
        <v/>
      </c>
      <c r="C74277" t="inlineStr">
        <is>
          <t>2103-04-07</t>
        </is>
      </c>
    </row>
    <row r="74278">
      <c r="A74278" s="1" t="n">
        <v>74277</v>
      </c>
      <c r="B74278">
        <f>TEXT(74277, "[$-0E0000]yyyy-mm-dd")</f>
        <v/>
      </c>
      <c r="C74278" t="inlineStr">
        <is>
          <t>2103-04-08</t>
        </is>
      </c>
    </row>
    <row r="74279">
      <c r="A74279" s="1" t="n">
        <v>74278</v>
      </c>
      <c r="B74279">
        <f>TEXT(74278, "[$-0E0000]yyyy-mm-dd")</f>
        <v/>
      </c>
      <c r="C74279" t="inlineStr">
        <is>
          <t>2103-04-09</t>
        </is>
      </c>
    </row>
    <row r="74280">
      <c r="A74280" s="1" t="n">
        <v>74279</v>
      </c>
      <c r="B74280">
        <f>TEXT(74279, "[$-0E0000]yyyy-mm-dd")</f>
        <v/>
      </c>
      <c r="C74280" t="inlineStr">
        <is>
          <t>2103-04-10</t>
        </is>
      </c>
    </row>
    <row r="74281">
      <c r="A74281" s="1" t="n">
        <v>74280</v>
      </c>
      <c r="B74281">
        <f>TEXT(74280, "[$-0E0000]yyyy-mm-dd")</f>
        <v/>
      </c>
      <c r="C74281" t="inlineStr">
        <is>
          <t>2103-04-11</t>
        </is>
      </c>
    </row>
    <row r="74282">
      <c r="A74282" s="1" t="n">
        <v>74281</v>
      </c>
      <c r="B74282">
        <f>TEXT(74281, "[$-0E0000]yyyy-mm-dd")</f>
        <v/>
      </c>
      <c r="C74282" t="inlineStr">
        <is>
          <t>2103-04-12</t>
        </is>
      </c>
    </row>
    <row r="74283">
      <c r="A74283" s="1" t="n">
        <v>74282</v>
      </c>
      <c r="B74283">
        <f>TEXT(74282, "[$-0E0000]yyyy-mm-dd")</f>
        <v/>
      </c>
      <c r="C74283" t="inlineStr">
        <is>
          <t>2103-04-13</t>
        </is>
      </c>
    </row>
    <row r="74284">
      <c r="A74284" s="1" t="n">
        <v>74283</v>
      </c>
      <c r="B74284">
        <f>TEXT(74283, "[$-0E0000]yyyy-mm-dd")</f>
        <v/>
      </c>
      <c r="C74284" t="inlineStr">
        <is>
          <t>2103-04-14</t>
        </is>
      </c>
    </row>
    <row r="74285">
      <c r="A74285" s="1" t="n">
        <v>74284</v>
      </c>
      <c r="B74285">
        <f>TEXT(74284, "[$-0E0000]yyyy-mm-dd")</f>
        <v/>
      </c>
      <c r="C74285" t="inlineStr">
        <is>
          <t>2103-04-15</t>
        </is>
      </c>
    </row>
    <row r="74286">
      <c r="A74286" s="1" t="n">
        <v>74285</v>
      </c>
      <c r="B74286">
        <f>TEXT(74285, "[$-0E0000]yyyy-mm-dd")</f>
        <v/>
      </c>
      <c r="C74286" t="inlineStr">
        <is>
          <t>2103-04-16</t>
        </is>
      </c>
    </row>
    <row r="74287">
      <c r="A74287" s="1" t="n">
        <v>74286</v>
      </c>
      <c r="B74287">
        <f>TEXT(74286, "[$-0E0000]yyyy-mm-dd")</f>
        <v/>
      </c>
      <c r="C74287" t="inlineStr">
        <is>
          <t>2103-04-17</t>
        </is>
      </c>
    </row>
    <row r="74288">
      <c r="A74288" s="1" t="n">
        <v>74287</v>
      </c>
      <c r="B74288">
        <f>TEXT(74287, "[$-0E0000]yyyy-mm-dd")</f>
        <v/>
      </c>
      <c r="C74288" t="inlineStr">
        <is>
          <t>2103-04-18</t>
        </is>
      </c>
    </row>
    <row r="74289">
      <c r="A74289" s="1" t="n">
        <v>74288</v>
      </c>
      <c r="B74289">
        <f>TEXT(74288, "[$-0E0000]yyyy-mm-dd")</f>
        <v/>
      </c>
      <c r="C74289" t="inlineStr">
        <is>
          <t>2103-04-19</t>
        </is>
      </c>
    </row>
    <row r="74290">
      <c r="A74290" s="1" t="n">
        <v>74289</v>
      </c>
      <c r="B74290">
        <f>TEXT(74289, "[$-0E0000]yyyy-mm-dd")</f>
        <v/>
      </c>
      <c r="C74290" t="inlineStr">
        <is>
          <t>2103-04-20</t>
        </is>
      </c>
    </row>
    <row r="74291">
      <c r="A74291" s="1" t="n">
        <v>74290</v>
      </c>
      <c r="B74291">
        <f>TEXT(74290, "[$-0E0000]yyyy-mm-dd")</f>
        <v/>
      </c>
      <c r="C74291" t="inlineStr">
        <is>
          <t>2103-04-21</t>
        </is>
      </c>
    </row>
    <row r="74292">
      <c r="A74292" s="1" t="n">
        <v>74291</v>
      </c>
      <c r="B74292">
        <f>TEXT(74291, "[$-0E0000]yyyy-mm-dd")</f>
        <v/>
      </c>
      <c r="C74292" t="inlineStr">
        <is>
          <t>2103-04-22</t>
        </is>
      </c>
    </row>
    <row r="74293">
      <c r="A74293" s="1" t="n">
        <v>74292</v>
      </c>
      <c r="B74293">
        <f>TEXT(74292, "[$-0E0000]yyyy-mm-dd")</f>
        <v/>
      </c>
      <c r="C74293" t="inlineStr">
        <is>
          <t>2103-04-23</t>
        </is>
      </c>
    </row>
    <row r="74294">
      <c r="A74294" s="1" t="n">
        <v>74293</v>
      </c>
      <c r="B74294">
        <f>TEXT(74293, "[$-0E0000]yyyy-mm-dd")</f>
        <v/>
      </c>
      <c r="C74294" t="inlineStr">
        <is>
          <t>2103-04-24</t>
        </is>
      </c>
    </row>
    <row r="74295">
      <c r="A74295" s="1" t="n">
        <v>74294</v>
      </c>
      <c r="B74295">
        <f>TEXT(74294, "[$-0E0000]yyyy-mm-dd")</f>
        <v/>
      </c>
      <c r="C74295" t="inlineStr">
        <is>
          <t>2103-04-25</t>
        </is>
      </c>
    </row>
    <row r="74296">
      <c r="A74296" s="1" t="n">
        <v>74295</v>
      </c>
      <c r="B74296">
        <f>TEXT(74295, "[$-0E0000]yyyy-mm-dd")</f>
        <v/>
      </c>
      <c r="C74296" t="inlineStr">
        <is>
          <t>2103-04-26</t>
        </is>
      </c>
    </row>
    <row r="74297">
      <c r="A74297" s="1" t="n">
        <v>74296</v>
      </c>
      <c r="B74297">
        <f>TEXT(74296, "[$-0E0000]yyyy-mm-dd")</f>
        <v/>
      </c>
      <c r="C74297" t="inlineStr">
        <is>
          <t>2103-04-27</t>
        </is>
      </c>
    </row>
    <row r="74298">
      <c r="A74298" s="1" t="n">
        <v>74297</v>
      </c>
      <c r="B74298">
        <f>TEXT(74297, "[$-0E0000]yyyy-mm-dd")</f>
        <v/>
      </c>
      <c r="C74298" t="inlineStr">
        <is>
          <t>2103-04-28</t>
        </is>
      </c>
    </row>
    <row r="74299">
      <c r="A74299" s="1" t="n">
        <v>74298</v>
      </c>
      <c r="B74299">
        <f>TEXT(74298, "[$-0E0000]yyyy-mm-dd")</f>
        <v/>
      </c>
      <c r="C74299" t="inlineStr">
        <is>
          <t>2103-04-29</t>
        </is>
      </c>
    </row>
    <row r="74300">
      <c r="A74300" s="1" t="n">
        <v>74299</v>
      </c>
      <c r="B74300">
        <f>TEXT(74299, "[$-0E0000]yyyy-mm-dd")</f>
        <v/>
      </c>
      <c r="C74300" t="inlineStr">
        <is>
          <t>2103-04-30</t>
        </is>
      </c>
    </row>
    <row r="74301">
      <c r="A74301" s="1" t="n">
        <v>74300</v>
      </c>
      <c r="B74301">
        <f>TEXT(74300, "[$-0E0000]yyyy-mm-dd")</f>
        <v/>
      </c>
      <c r="C74301" t="inlineStr">
        <is>
          <t>2103-05-01</t>
        </is>
      </c>
    </row>
    <row r="74302">
      <c r="A74302" s="1" t="n">
        <v>74301</v>
      </c>
      <c r="B74302">
        <f>TEXT(74301, "[$-0E0000]yyyy-mm-dd")</f>
        <v/>
      </c>
      <c r="C74302" t="inlineStr">
        <is>
          <t>2103-05-02</t>
        </is>
      </c>
    </row>
    <row r="74303">
      <c r="A74303" s="1" t="n">
        <v>74302</v>
      </c>
      <c r="B74303">
        <f>TEXT(74302, "[$-0E0000]yyyy-mm-dd")</f>
        <v/>
      </c>
      <c r="C74303" t="inlineStr">
        <is>
          <t>2103-05-03</t>
        </is>
      </c>
    </row>
    <row r="74304">
      <c r="A74304" s="1" t="n">
        <v>74303</v>
      </c>
      <c r="B74304">
        <f>TEXT(74303, "[$-0E0000]yyyy-mm-dd")</f>
        <v/>
      </c>
      <c r="C74304" t="inlineStr">
        <is>
          <t>2103-05-04</t>
        </is>
      </c>
    </row>
    <row r="74305">
      <c r="A74305" s="1" t="n">
        <v>74304</v>
      </c>
      <c r="B74305">
        <f>TEXT(74304, "[$-0E0000]yyyy-mm-dd")</f>
        <v/>
      </c>
      <c r="C74305" t="inlineStr">
        <is>
          <t>2103-05-05</t>
        </is>
      </c>
    </row>
    <row r="74306">
      <c r="A74306" s="1" t="n">
        <v>74305</v>
      </c>
      <c r="B74306">
        <f>TEXT(74305, "[$-0E0000]yyyy-mm-dd")</f>
        <v/>
      </c>
      <c r="C74306" t="inlineStr">
        <is>
          <t>2103-05-06</t>
        </is>
      </c>
    </row>
    <row r="74307">
      <c r="A74307" s="1" t="n">
        <v>74306</v>
      </c>
      <c r="B74307">
        <f>TEXT(74306, "[$-0E0000]yyyy-mm-dd")</f>
        <v/>
      </c>
      <c r="C74307" t="inlineStr">
        <is>
          <t>2103-05-07</t>
        </is>
      </c>
    </row>
    <row r="74308">
      <c r="A74308" s="1" t="n">
        <v>74307</v>
      </c>
      <c r="B74308">
        <f>TEXT(74307, "[$-0E0000]yyyy-mm-dd")</f>
        <v/>
      </c>
      <c r="C74308" t="inlineStr">
        <is>
          <t>2103-05-08</t>
        </is>
      </c>
    </row>
    <row r="74309">
      <c r="A74309" s="1" t="n">
        <v>74308</v>
      </c>
      <c r="B74309">
        <f>TEXT(74308, "[$-0E0000]yyyy-mm-dd")</f>
        <v/>
      </c>
      <c r="C74309" t="inlineStr">
        <is>
          <t>2103-05-09</t>
        </is>
      </c>
    </row>
    <row r="74310">
      <c r="A74310" s="1" t="n">
        <v>74309</v>
      </c>
      <c r="B74310">
        <f>TEXT(74309, "[$-0E0000]yyyy-mm-dd")</f>
        <v/>
      </c>
      <c r="C74310" t="inlineStr">
        <is>
          <t>2103-05-10</t>
        </is>
      </c>
    </row>
    <row r="74311">
      <c r="A74311" s="1" t="n">
        <v>74310</v>
      </c>
      <c r="B74311">
        <f>TEXT(74310, "[$-0E0000]yyyy-mm-dd")</f>
        <v/>
      </c>
      <c r="C74311" t="inlineStr">
        <is>
          <t>2103-05-11</t>
        </is>
      </c>
    </row>
    <row r="74312">
      <c r="A74312" s="1" t="n">
        <v>74311</v>
      </c>
      <c r="B74312">
        <f>TEXT(74311, "[$-0E0000]yyyy-mm-dd")</f>
        <v/>
      </c>
      <c r="C74312" t="inlineStr">
        <is>
          <t>2103-05-12</t>
        </is>
      </c>
    </row>
    <row r="74313">
      <c r="A74313" s="1" t="n">
        <v>74312</v>
      </c>
      <c r="B74313">
        <f>TEXT(74312, "[$-0E0000]yyyy-mm-dd")</f>
        <v/>
      </c>
      <c r="C74313" t="inlineStr">
        <is>
          <t>2103-05-13</t>
        </is>
      </c>
    </row>
    <row r="74314">
      <c r="A74314" s="1" t="n">
        <v>74313</v>
      </c>
      <c r="B74314">
        <f>TEXT(74313, "[$-0E0000]yyyy-mm-dd")</f>
        <v/>
      </c>
      <c r="C74314" t="inlineStr">
        <is>
          <t>2103-05-14</t>
        </is>
      </c>
    </row>
    <row r="74315">
      <c r="A74315" s="1" t="n">
        <v>74314</v>
      </c>
      <c r="B74315">
        <f>TEXT(74314, "[$-0E0000]yyyy-mm-dd")</f>
        <v/>
      </c>
      <c r="C74315" t="inlineStr">
        <is>
          <t>2103-05-15</t>
        </is>
      </c>
    </row>
    <row r="74316">
      <c r="A74316" s="1" t="n">
        <v>74315</v>
      </c>
      <c r="B74316">
        <f>TEXT(74315, "[$-0E0000]yyyy-mm-dd")</f>
        <v/>
      </c>
      <c r="C74316" t="inlineStr">
        <is>
          <t>2103-05-16</t>
        </is>
      </c>
    </row>
    <row r="74317">
      <c r="A74317" s="1" t="n">
        <v>74316</v>
      </c>
      <c r="B74317">
        <f>TEXT(74316, "[$-0E0000]yyyy-mm-dd")</f>
        <v/>
      </c>
      <c r="C74317" t="inlineStr">
        <is>
          <t>2103-05-17</t>
        </is>
      </c>
    </row>
    <row r="74318">
      <c r="A74318" s="1" t="n">
        <v>74317</v>
      </c>
      <c r="B74318">
        <f>TEXT(74317, "[$-0E0000]yyyy-mm-dd")</f>
        <v/>
      </c>
      <c r="C74318" t="inlineStr">
        <is>
          <t>2103-05-18</t>
        </is>
      </c>
    </row>
    <row r="74319">
      <c r="A74319" s="1" t="n">
        <v>74318</v>
      </c>
      <c r="B74319">
        <f>TEXT(74318, "[$-0E0000]yyyy-mm-dd")</f>
        <v/>
      </c>
      <c r="C74319" t="inlineStr">
        <is>
          <t>2103-05-19</t>
        </is>
      </c>
    </row>
    <row r="74320">
      <c r="A74320" s="1" t="n">
        <v>74319</v>
      </c>
      <c r="B74320">
        <f>TEXT(74319, "[$-0E0000]yyyy-mm-dd")</f>
        <v/>
      </c>
      <c r="C74320" t="inlineStr">
        <is>
          <t>2103-05-20</t>
        </is>
      </c>
    </row>
    <row r="74321">
      <c r="A74321" s="1" t="n">
        <v>74320</v>
      </c>
      <c r="B74321">
        <f>TEXT(74320, "[$-0E0000]yyyy-mm-dd")</f>
        <v/>
      </c>
      <c r="C74321" t="inlineStr">
        <is>
          <t>2103-05-21</t>
        </is>
      </c>
    </row>
    <row r="74322">
      <c r="A74322" s="1" t="n">
        <v>74321</v>
      </c>
      <c r="B74322">
        <f>TEXT(74321, "[$-0E0000]yyyy-mm-dd")</f>
        <v/>
      </c>
      <c r="C74322" t="inlineStr">
        <is>
          <t>2103-05-22</t>
        </is>
      </c>
    </row>
    <row r="74323">
      <c r="A74323" s="1" t="n">
        <v>74322</v>
      </c>
      <c r="B74323">
        <f>TEXT(74322, "[$-0E0000]yyyy-mm-dd")</f>
        <v/>
      </c>
      <c r="C74323" t="inlineStr">
        <is>
          <t>2103-05-23</t>
        </is>
      </c>
    </row>
    <row r="74324">
      <c r="A74324" s="1" t="n">
        <v>74323</v>
      </c>
      <c r="B74324">
        <f>TEXT(74323, "[$-0E0000]yyyy-mm-dd")</f>
        <v/>
      </c>
      <c r="C74324" t="inlineStr">
        <is>
          <t>2103-05-24</t>
        </is>
      </c>
    </row>
    <row r="74325">
      <c r="A74325" s="1" t="n">
        <v>74324</v>
      </c>
      <c r="B74325">
        <f>TEXT(74324, "[$-0E0000]yyyy-mm-dd")</f>
        <v/>
      </c>
      <c r="C74325" t="inlineStr">
        <is>
          <t>2103-05-25</t>
        </is>
      </c>
    </row>
    <row r="74326">
      <c r="A74326" s="1" t="n">
        <v>74325</v>
      </c>
      <c r="B74326">
        <f>TEXT(74325, "[$-0E0000]yyyy-mm-dd")</f>
        <v/>
      </c>
      <c r="C74326" t="inlineStr">
        <is>
          <t>2103-05-26</t>
        </is>
      </c>
    </row>
    <row r="74327">
      <c r="A74327" s="1" t="n">
        <v>74326</v>
      </c>
      <c r="B74327">
        <f>TEXT(74326, "[$-0E0000]yyyy-mm-dd")</f>
        <v/>
      </c>
      <c r="C74327" t="inlineStr">
        <is>
          <t>2103-05-27</t>
        </is>
      </c>
    </row>
    <row r="74328">
      <c r="A74328" s="1" t="n">
        <v>74327</v>
      </c>
      <c r="B74328">
        <f>TEXT(74327, "[$-0E0000]yyyy-mm-dd")</f>
        <v/>
      </c>
      <c r="C74328" t="inlineStr">
        <is>
          <t>2103-05-28</t>
        </is>
      </c>
    </row>
    <row r="74329">
      <c r="A74329" s="1" t="n">
        <v>74328</v>
      </c>
      <c r="B74329">
        <f>TEXT(74328, "[$-0E0000]yyyy-mm-dd")</f>
        <v/>
      </c>
      <c r="C74329" t="inlineStr">
        <is>
          <t>2103-05-29</t>
        </is>
      </c>
    </row>
    <row r="74330">
      <c r="A74330" s="1" t="n">
        <v>74329</v>
      </c>
      <c r="B74330">
        <f>TEXT(74329, "[$-0E0000]yyyy-mm-dd")</f>
        <v/>
      </c>
      <c r="C74330" t="inlineStr">
        <is>
          <t>2103-06-01</t>
        </is>
      </c>
    </row>
    <row r="74331">
      <c r="A74331" s="1" t="n">
        <v>74330</v>
      </c>
      <c r="B74331">
        <f>TEXT(74330, "[$-0E0000]yyyy-mm-dd")</f>
        <v/>
      </c>
      <c r="C74331" t="inlineStr">
        <is>
          <t>2103-06-02</t>
        </is>
      </c>
    </row>
    <row r="74332">
      <c r="A74332" s="1" t="n">
        <v>74331</v>
      </c>
      <c r="B74332">
        <f>TEXT(74331, "[$-0E0000]yyyy-mm-dd")</f>
        <v/>
      </c>
      <c r="C74332" t="inlineStr">
        <is>
          <t>2103-06-03</t>
        </is>
      </c>
    </row>
    <row r="74333">
      <c r="A74333" s="1" t="n">
        <v>74332</v>
      </c>
      <c r="B74333">
        <f>TEXT(74332, "[$-0E0000]yyyy-mm-dd")</f>
        <v/>
      </c>
      <c r="C74333" t="inlineStr">
        <is>
          <t>2103-06-04</t>
        </is>
      </c>
    </row>
    <row r="74334">
      <c r="A74334" s="1" t="n">
        <v>74333</v>
      </c>
      <c r="B74334">
        <f>TEXT(74333, "[$-0E0000]yyyy-mm-dd")</f>
        <v/>
      </c>
      <c r="C74334" t="inlineStr">
        <is>
          <t>2103-06-05</t>
        </is>
      </c>
    </row>
    <row r="74335">
      <c r="A74335" s="1" t="n">
        <v>74334</v>
      </c>
      <c r="B74335">
        <f>TEXT(74334, "[$-0E0000]yyyy-mm-dd")</f>
        <v/>
      </c>
      <c r="C74335" t="inlineStr">
        <is>
          <t>2103-06-06</t>
        </is>
      </c>
    </row>
    <row r="74336">
      <c r="A74336" s="1" t="n">
        <v>74335</v>
      </c>
      <c r="B74336">
        <f>TEXT(74335, "[$-0E0000]yyyy-mm-dd")</f>
        <v/>
      </c>
      <c r="C74336" t="inlineStr">
        <is>
          <t>2103-06-07</t>
        </is>
      </c>
    </row>
    <row r="74337">
      <c r="A74337" s="1" t="n">
        <v>74336</v>
      </c>
      <c r="B74337">
        <f>TEXT(74336, "[$-0E0000]yyyy-mm-dd")</f>
        <v/>
      </c>
      <c r="C74337" t="inlineStr">
        <is>
          <t>2103-06-08</t>
        </is>
      </c>
    </row>
    <row r="74338">
      <c r="A74338" s="1" t="n">
        <v>74337</v>
      </c>
      <c r="B74338">
        <f>TEXT(74337, "[$-0E0000]yyyy-mm-dd")</f>
        <v/>
      </c>
      <c r="C74338" t="inlineStr">
        <is>
          <t>2103-06-09</t>
        </is>
      </c>
    </row>
    <row r="74339">
      <c r="A74339" s="1" t="n">
        <v>74338</v>
      </c>
      <c r="B74339">
        <f>TEXT(74338, "[$-0E0000]yyyy-mm-dd")</f>
        <v/>
      </c>
      <c r="C74339" t="inlineStr">
        <is>
          <t>2103-06-10</t>
        </is>
      </c>
    </row>
    <row r="74340">
      <c r="A74340" s="1" t="n">
        <v>74339</v>
      </c>
      <c r="B74340">
        <f>TEXT(74339, "[$-0E0000]yyyy-mm-dd")</f>
        <v/>
      </c>
      <c r="C74340" t="inlineStr">
        <is>
          <t>2103-06-11</t>
        </is>
      </c>
    </row>
    <row r="74341">
      <c r="A74341" s="1" t="n">
        <v>74340</v>
      </c>
      <c r="B74341">
        <f>TEXT(74340, "[$-0E0000]yyyy-mm-dd")</f>
        <v/>
      </c>
      <c r="C74341" t="inlineStr">
        <is>
          <t>2103-06-12</t>
        </is>
      </c>
    </row>
    <row r="74342">
      <c r="A74342" s="1" t="n">
        <v>74341</v>
      </c>
      <c r="B74342">
        <f>TEXT(74341, "[$-0E0000]yyyy-mm-dd")</f>
        <v/>
      </c>
      <c r="C74342" t="inlineStr">
        <is>
          <t>2103-06-13</t>
        </is>
      </c>
    </row>
    <row r="74343">
      <c r="A74343" s="1" t="n">
        <v>74342</v>
      </c>
      <c r="B74343">
        <f>TEXT(74342, "[$-0E0000]yyyy-mm-dd")</f>
        <v/>
      </c>
      <c r="C74343" t="inlineStr">
        <is>
          <t>2103-06-14</t>
        </is>
      </c>
    </row>
    <row r="74344">
      <c r="A74344" s="1" t="n">
        <v>74343</v>
      </c>
      <c r="B74344">
        <f>TEXT(74343, "[$-0E0000]yyyy-mm-dd")</f>
        <v/>
      </c>
      <c r="C74344" t="inlineStr">
        <is>
          <t>2103-06-15</t>
        </is>
      </c>
    </row>
    <row r="74345">
      <c r="A74345" s="1" t="n">
        <v>74344</v>
      </c>
      <c r="B74345">
        <f>TEXT(74344, "[$-0E0000]yyyy-mm-dd")</f>
        <v/>
      </c>
      <c r="C74345" t="inlineStr">
        <is>
          <t>2103-06-16</t>
        </is>
      </c>
    </row>
    <row r="74346">
      <c r="A74346" s="1" t="n">
        <v>74345</v>
      </c>
      <c r="B74346">
        <f>TEXT(74345, "[$-0E0000]yyyy-mm-dd")</f>
        <v/>
      </c>
      <c r="C74346" t="inlineStr">
        <is>
          <t>2103-06-17</t>
        </is>
      </c>
    </row>
    <row r="74347">
      <c r="A74347" s="1" t="n">
        <v>74346</v>
      </c>
      <c r="B74347">
        <f>TEXT(74346, "[$-0E0000]yyyy-mm-dd")</f>
        <v/>
      </c>
      <c r="C74347" t="inlineStr">
        <is>
          <t>2103-06-18</t>
        </is>
      </c>
    </row>
    <row r="74348">
      <c r="A74348" s="1" t="n">
        <v>74347</v>
      </c>
      <c r="B74348">
        <f>TEXT(74347, "[$-0E0000]yyyy-mm-dd")</f>
        <v/>
      </c>
      <c r="C74348" t="inlineStr">
        <is>
          <t>2103-06-19</t>
        </is>
      </c>
    </row>
    <row r="74349">
      <c r="A74349" s="1" t="n">
        <v>74348</v>
      </c>
      <c r="B74349">
        <f>TEXT(74348, "[$-0E0000]yyyy-mm-dd")</f>
        <v/>
      </c>
      <c r="C74349" t="inlineStr">
        <is>
          <t>2103-06-20</t>
        </is>
      </c>
    </row>
    <row r="74350">
      <c r="A74350" s="1" t="n">
        <v>74349</v>
      </c>
      <c r="B74350">
        <f>TEXT(74349, "[$-0E0000]yyyy-mm-dd")</f>
        <v/>
      </c>
      <c r="C74350" t="inlineStr">
        <is>
          <t>2103-06-21</t>
        </is>
      </c>
    </row>
    <row r="74351">
      <c r="A74351" s="1" t="n">
        <v>74350</v>
      </c>
      <c r="B74351">
        <f>TEXT(74350, "[$-0E0000]yyyy-mm-dd")</f>
        <v/>
      </c>
      <c r="C74351" t="inlineStr">
        <is>
          <t>2103-06-22</t>
        </is>
      </c>
    </row>
    <row r="74352">
      <c r="A74352" s="1" t="n">
        <v>74351</v>
      </c>
      <c r="B74352">
        <f>TEXT(74351, "[$-0E0000]yyyy-mm-dd")</f>
        <v/>
      </c>
      <c r="C74352" t="inlineStr">
        <is>
          <t>2103-06-23</t>
        </is>
      </c>
    </row>
    <row r="74353">
      <c r="A74353" s="1" t="n">
        <v>74352</v>
      </c>
      <c r="B74353">
        <f>TEXT(74352, "[$-0E0000]yyyy-mm-dd")</f>
        <v/>
      </c>
      <c r="C74353" t="inlineStr">
        <is>
          <t>2103-06-24</t>
        </is>
      </c>
    </row>
    <row r="74354">
      <c r="A74354" s="1" t="n">
        <v>74353</v>
      </c>
      <c r="B74354">
        <f>TEXT(74353, "[$-0E0000]yyyy-mm-dd")</f>
        <v/>
      </c>
      <c r="C74354" t="inlineStr">
        <is>
          <t>2103-06-25</t>
        </is>
      </c>
    </row>
    <row r="74355">
      <c r="A74355" s="1" t="n">
        <v>74354</v>
      </c>
      <c r="B74355">
        <f>TEXT(74354, "[$-0E0000]yyyy-mm-dd")</f>
        <v/>
      </c>
      <c r="C74355" t="inlineStr">
        <is>
          <t>2103-06-26</t>
        </is>
      </c>
    </row>
    <row r="74356">
      <c r="A74356" s="1" t="n">
        <v>74355</v>
      </c>
      <c r="B74356">
        <f>TEXT(74355, "[$-0E0000]yyyy-mm-dd")</f>
        <v/>
      </c>
      <c r="C74356" t="inlineStr">
        <is>
          <t>2103-06-27</t>
        </is>
      </c>
    </row>
    <row r="74357">
      <c r="A74357" s="1" t="n">
        <v>74356</v>
      </c>
      <c r="B74357">
        <f>TEXT(74356, "[$-0E0000]yyyy-mm-dd")</f>
        <v/>
      </c>
      <c r="C74357" t="inlineStr">
        <is>
          <t>2103-06-28</t>
        </is>
      </c>
    </row>
    <row r="74358">
      <c r="A74358" s="1" t="n">
        <v>74357</v>
      </c>
      <c r="B74358">
        <f>TEXT(74357, "[$-0E0000]yyyy-mm-dd")</f>
        <v/>
      </c>
      <c r="C74358" t="inlineStr">
        <is>
          <t>2103-06-29</t>
        </is>
      </c>
    </row>
    <row r="74359">
      <c r="A74359" s="1" t="n">
        <v>74358</v>
      </c>
      <c r="B74359">
        <f>TEXT(74358, "[$-0E0000]yyyy-mm-dd")</f>
        <v/>
      </c>
      <c r="C74359" t="inlineStr">
        <is>
          <t>2103-06-30</t>
        </is>
      </c>
    </row>
    <row r="74360">
      <c r="A74360" s="1" t="n">
        <v>74359</v>
      </c>
      <c r="B74360">
        <f>TEXT(74359, "[$-0E0000]yyyy-mm-dd")</f>
        <v/>
      </c>
      <c r="C74360" t="inlineStr">
        <is>
          <t>2103-07-01</t>
        </is>
      </c>
    </row>
    <row r="74361">
      <c r="A74361" s="1" t="n">
        <v>74360</v>
      </c>
      <c r="B74361">
        <f>TEXT(74360, "[$-0E0000]yyyy-mm-dd")</f>
        <v/>
      </c>
      <c r="C74361" t="inlineStr">
        <is>
          <t>2103-07-02</t>
        </is>
      </c>
    </row>
    <row r="74362">
      <c r="A74362" s="1" t="n">
        <v>74361</v>
      </c>
      <c r="B74362">
        <f>TEXT(74361, "[$-0E0000]yyyy-mm-dd")</f>
        <v/>
      </c>
      <c r="C74362" t="inlineStr">
        <is>
          <t>2103-07-03</t>
        </is>
      </c>
    </row>
    <row r="74363">
      <c r="A74363" s="1" t="n">
        <v>74362</v>
      </c>
      <c r="B74363">
        <f>TEXT(74362, "[$-0E0000]yyyy-mm-dd")</f>
        <v/>
      </c>
      <c r="C74363" t="inlineStr">
        <is>
          <t>2103-07-04</t>
        </is>
      </c>
    </row>
    <row r="74364">
      <c r="A74364" s="1" t="n">
        <v>74363</v>
      </c>
      <c r="B74364">
        <f>TEXT(74363, "[$-0E0000]yyyy-mm-dd")</f>
        <v/>
      </c>
      <c r="C74364" t="inlineStr">
        <is>
          <t>2103-07-05</t>
        </is>
      </c>
    </row>
    <row r="74365">
      <c r="A74365" s="1" t="n">
        <v>74364</v>
      </c>
      <c r="B74365">
        <f>TEXT(74364, "[$-0E0000]yyyy-mm-dd")</f>
        <v/>
      </c>
      <c r="C74365" t="inlineStr">
        <is>
          <t>2103-07-06</t>
        </is>
      </c>
    </row>
    <row r="74366">
      <c r="A74366" s="1" t="n">
        <v>74365</v>
      </c>
      <c r="B74366">
        <f>TEXT(74365, "[$-0E0000]yyyy-mm-dd")</f>
        <v/>
      </c>
      <c r="C74366" t="inlineStr">
        <is>
          <t>2103-07-07</t>
        </is>
      </c>
    </row>
    <row r="74367">
      <c r="A74367" s="1" t="n">
        <v>74366</v>
      </c>
      <c r="B74367">
        <f>TEXT(74366, "[$-0E0000]yyyy-mm-dd")</f>
        <v/>
      </c>
      <c r="C74367" t="inlineStr">
        <is>
          <t>2103-07-08</t>
        </is>
      </c>
    </row>
    <row r="74368">
      <c r="A74368" s="1" t="n">
        <v>74367</v>
      </c>
      <c r="B74368">
        <f>TEXT(74367, "[$-0E0000]yyyy-mm-dd")</f>
        <v/>
      </c>
      <c r="C74368" t="inlineStr">
        <is>
          <t>2103-07-09</t>
        </is>
      </c>
    </row>
    <row r="74369">
      <c r="A74369" s="1" t="n">
        <v>74368</v>
      </c>
      <c r="B74369">
        <f>TEXT(74368, "[$-0E0000]yyyy-mm-dd")</f>
        <v/>
      </c>
      <c r="C74369" t="inlineStr">
        <is>
          <t>2103-07-10</t>
        </is>
      </c>
    </row>
    <row r="74370">
      <c r="A74370" s="1" t="n">
        <v>74369</v>
      </c>
      <c r="B74370">
        <f>TEXT(74369, "[$-0E0000]yyyy-mm-dd")</f>
        <v/>
      </c>
      <c r="C74370" t="inlineStr">
        <is>
          <t>2103-07-11</t>
        </is>
      </c>
    </row>
    <row r="74371">
      <c r="A74371" s="1" t="n">
        <v>74370</v>
      </c>
      <c r="B74371">
        <f>TEXT(74370, "[$-0E0000]yyyy-mm-dd")</f>
        <v/>
      </c>
      <c r="C74371" t="inlineStr">
        <is>
          <t>2103-07-12</t>
        </is>
      </c>
    </row>
    <row r="74372">
      <c r="A74372" s="1" t="n">
        <v>74371</v>
      </c>
      <c r="B74372">
        <f>TEXT(74371, "[$-0E0000]yyyy-mm-dd")</f>
        <v/>
      </c>
      <c r="C74372" t="inlineStr">
        <is>
          <t>2103-07-13</t>
        </is>
      </c>
    </row>
    <row r="74373">
      <c r="A74373" s="1" t="n">
        <v>74372</v>
      </c>
      <c r="B74373">
        <f>TEXT(74372, "[$-0E0000]yyyy-mm-dd")</f>
        <v/>
      </c>
      <c r="C74373" t="inlineStr">
        <is>
          <t>2103-07-14</t>
        </is>
      </c>
    </row>
    <row r="74374">
      <c r="A74374" s="1" t="n">
        <v>74373</v>
      </c>
      <c r="B74374">
        <f>TEXT(74373, "[$-0E0000]yyyy-mm-dd")</f>
        <v/>
      </c>
      <c r="C74374" t="inlineStr">
        <is>
          <t>2103-07-15</t>
        </is>
      </c>
    </row>
    <row r="74375">
      <c r="A74375" s="1" t="n">
        <v>74374</v>
      </c>
      <c r="B74375">
        <f>TEXT(74374, "[$-0E0000]yyyy-mm-dd")</f>
        <v/>
      </c>
      <c r="C74375" t="inlineStr">
        <is>
          <t>2103-07-16</t>
        </is>
      </c>
    </row>
    <row r="74376">
      <c r="A74376" s="1" t="n">
        <v>74375</v>
      </c>
      <c r="B74376">
        <f>TEXT(74375, "[$-0E0000]yyyy-mm-dd")</f>
        <v/>
      </c>
      <c r="C74376" t="inlineStr">
        <is>
          <t>2103-07-17</t>
        </is>
      </c>
    </row>
    <row r="74377">
      <c r="A74377" s="1" t="n">
        <v>74376</v>
      </c>
      <c r="B74377">
        <f>TEXT(74376, "[$-0E0000]yyyy-mm-dd")</f>
        <v/>
      </c>
      <c r="C74377" t="inlineStr">
        <is>
          <t>2103-07-18</t>
        </is>
      </c>
    </row>
    <row r="74378">
      <c r="A74378" s="1" t="n">
        <v>74377</v>
      </c>
      <c r="B74378">
        <f>TEXT(74377, "[$-0E0000]yyyy-mm-dd")</f>
        <v/>
      </c>
      <c r="C74378" t="inlineStr">
        <is>
          <t>2103-07-19</t>
        </is>
      </c>
    </row>
    <row r="74379">
      <c r="A74379" s="1" t="n">
        <v>74378</v>
      </c>
      <c r="B74379">
        <f>TEXT(74378, "[$-0E0000]yyyy-mm-dd")</f>
        <v/>
      </c>
      <c r="C74379" t="inlineStr">
        <is>
          <t>2103-07-20</t>
        </is>
      </c>
    </row>
    <row r="74380">
      <c r="A74380" s="1" t="n">
        <v>74379</v>
      </c>
      <c r="B74380">
        <f>TEXT(74379, "[$-0E0000]yyyy-mm-dd")</f>
        <v/>
      </c>
      <c r="C74380" t="inlineStr">
        <is>
          <t>2103-07-21</t>
        </is>
      </c>
    </row>
    <row r="74381">
      <c r="A74381" s="1" t="n">
        <v>74380</v>
      </c>
      <c r="B74381">
        <f>TEXT(74380, "[$-0E0000]yyyy-mm-dd")</f>
        <v/>
      </c>
      <c r="C74381" t="inlineStr">
        <is>
          <t>2103-07-22</t>
        </is>
      </c>
    </row>
    <row r="74382">
      <c r="A74382" s="1" t="n">
        <v>74381</v>
      </c>
      <c r="B74382">
        <f>TEXT(74381, "[$-0E0000]yyyy-mm-dd")</f>
        <v/>
      </c>
      <c r="C74382" t="inlineStr">
        <is>
          <t>2103-07-23</t>
        </is>
      </c>
    </row>
    <row r="74383">
      <c r="A74383" s="1" t="n">
        <v>74382</v>
      </c>
      <c r="B74383">
        <f>TEXT(74382, "[$-0E0000]yyyy-mm-dd")</f>
        <v/>
      </c>
      <c r="C74383" t="inlineStr">
        <is>
          <t>2103-07-24</t>
        </is>
      </c>
    </row>
    <row r="74384">
      <c r="A74384" s="1" t="n">
        <v>74383</v>
      </c>
      <c r="B74384">
        <f>TEXT(74383, "[$-0E0000]yyyy-mm-dd")</f>
        <v/>
      </c>
      <c r="C74384" t="inlineStr">
        <is>
          <t>2103-07-25</t>
        </is>
      </c>
    </row>
    <row r="74385">
      <c r="A74385" s="1" t="n">
        <v>74384</v>
      </c>
      <c r="B74385">
        <f>TEXT(74384, "[$-0E0000]yyyy-mm-dd")</f>
        <v/>
      </c>
      <c r="C74385" t="inlineStr">
        <is>
          <t>2103-07-26</t>
        </is>
      </c>
    </row>
    <row r="74386">
      <c r="A74386" s="1" t="n">
        <v>74385</v>
      </c>
      <c r="B74386">
        <f>TEXT(74385, "[$-0E0000]yyyy-mm-dd")</f>
        <v/>
      </c>
      <c r="C74386" t="inlineStr">
        <is>
          <t>2103-07-27</t>
        </is>
      </c>
    </row>
    <row r="74387">
      <c r="A74387" s="1" t="n">
        <v>74386</v>
      </c>
      <c r="B74387">
        <f>TEXT(74386, "[$-0E0000]yyyy-mm-dd")</f>
        <v/>
      </c>
      <c r="C74387" t="inlineStr">
        <is>
          <t>2103-07-28</t>
        </is>
      </c>
    </row>
    <row r="74388">
      <c r="A74388" s="1" t="n">
        <v>74387</v>
      </c>
      <c r="B74388">
        <f>TEXT(74387, "[$-0E0000]yyyy-mm-dd")</f>
        <v/>
      </c>
      <c r="C74388" t="inlineStr">
        <is>
          <t>2103-07-29</t>
        </is>
      </c>
    </row>
    <row r="74389">
      <c r="A74389" s="1" t="n">
        <v>74388</v>
      </c>
      <c r="B74389">
        <f>TEXT(74388, "[$-0E0000]yyyy-mm-dd")</f>
        <v/>
      </c>
      <c r="C74389" t="inlineStr">
        <is>
          <t>2103-08-01</t>
        </is>
      </c>
    </row>
    <row r="74390">
      <c r="A74390" s="1" t="n">
        <v>74389</v>
      </c>
      <c r="B74390">
        <f>TEXT(74389, "[$-0E0000]yyyy-mm-dd")</f>
        <v/>
      </c>
      <c r="C74390" t="inlineStr">
        <is>
          <t>2103-08-02</t>
        </is>
      </c>
    </row>
    <row r="74391">
      <c r="A74391" s="1" t="n">
        <v>74390</v>
      </c>
      <c r="B74391">
        <f>TEXT(74390, "[$-0E0000]yyyy-mm-dd")</f>
        <v/>
      </c>
      <c r="C74391" t="inlineStr">
        <is>
          <t>2103-08-03</t>
        </is>
      </c>
    </row>
    <row r="74392">
      <c r="A74392" s="1" t="n">
        <v>74391</v>
      </c>
      <c r="B74392">
        <f>TEXT(74391, "[$-0E0000]yyyy-mm-dd")</f>
        <v/>
      </c>
      <c r="C74392" t="inlineStr">
        <is>
          <t>2103-08-04</t>
        </is>
      </c>
    </row>
    <row r="74393">
      <c r="A74393" s="1" t="n">
        <v>74392</v>
      </c>
      <c r="B74393">
        <f>TEXT(74392, "[$-0E0000]yyyy-mm-dd")</f>
        <v/>
      </c>
      <c r="C74393" t="inlineStr">
        <is>
          <t>2103-08-05</t>
        </is>
      </c>
    </row>
    <row r="74394">
      <c r="A74394" s="1" t="n">
        <v>74393</v>
      </c>
      <c r="B74394">
        <f>TEXT(74393, "[$-0E0000]yyyy-mm-dd")</f>
        <v/>
      </c>
      <c r="C74394" t="inlineStr">
        <is>
          <t>2103-08-06</t>
        </is>
      </c>
    </row>
    <row r="74395">
      <c r="A74395" s="1" t="n">
        <v>74394</v>
      </c>
      <c r="B74395">
        <f>TEXT(74394, "[$-0E0000]yyyy-mm-dd")</f>
        <v/>
      </c>
      <c r="C74395" t="inlineStr">
        <is>
          <t>2103-08-07</t>
        </is>
      </c>
    </row>
    <row r="74396">
      <c r="A74396" s="1" t="n">
        <v>74395</v>
      </c>
      <c r="B74396">
        <f>TEXT(74395, "[$-0E0000]yyyy-mm-dd")</f>
        <v/>
      </c>
      <c r="C74396" t="inlineStr">
        <is>
          <t>2103-08-08</t>
        </is>
      </c>
    </row>
    <row r="74397">
      <c r="A74397" s="1" t="n">
        <v>74396</v>
      </c>
      <c r="B74397">
        <f>TEXT(74396, "[$-0E0000]yyyy-mm-dd")</f>
        <v/>
      </c>
      <c r="C74397" t="inlineStr">
        <is>
          <t>2103-08-09</t>
        </is>
      </c>
    </row>
    <row r="74398">
      <c r="A74398" s="1" t="n">
        <v>74397</v>
      </c>
      <c r="B74398">
        <f>TEXT(74397, "[$-0E0000]yyyy-mm-dd")</f>
        <v/>
      </c>
      <c r="C74398" t="inlineStr">
        <is>
          <t>2103-08-10</t>
        </is>
      </c>
    </row>
    <row r="74399">
      <c r="A74399" s="1" t="n">
        <v>74398</v>
      </c>
      <c r="B74399">
        <f>TEXT(74398, "[$-0E0000]yyyy-mm-dd")</f>
        <v/>
      </c>
      <c r="C74399" t="inlineStr">
        <is>
          <t>2103-08-11</t>
        </is>
      </c>
    </row>
    <row r="74400">
      <c r="A74400" s="1" t="n">
        <v>74399</v>
      </c>
      <c r="B74400">
        <f>TEXT(74399, "[$-0E0000]yyyy-mm-dd")</f>
        <v/>
      </c>
      <c r="C74400" t="inlineStr">
        <is>
          <t>2103-08-12</t>
        </is>
      </c>
    </row>
    <row r="74401">
      <c r="A74401" s="1" t="n">
        <v>74400</v>
      </c>
      <c r="B74401">
        <f>TEXT(74400, "[$-0E0000]yyyy-mm-dd")</f>
        <v/>
      </c>
      <c r="C74401" t="inlineStr">
        <is>
          <t>2103-08-13</t>
        </is>
      </c>
    </row>
    <row r="74402">
      <c r="A74402" s="1" t="n">
        <v>74401</v>
      </c>
      <c r="B74402">
        <f>TEXT(74401, "[$-0E0000]yyyy-mm-dd")</f>
        <v/>
      </c>
      <c r="C74402" t="inlineStr">
        <is>
          <t>2103-08-14</t>
        </is>
      </c>
    </row>
    <row r="74403">
      <c r="A74403" s="1" t="n">
        <v>74402</v>
      </c>
      <c r="B74403">
        <f>TEXT(74402, "[$-0E0000]yyyy-mm-dd")</f>
        <v/>
      </c>
      <c r="C74403" t="inlineStr">
        <is>
          <t>2103-08-15</t>
        </is>
      </c>
    </row>
    <row r="74404">
      <c r="A74404" s="1" t="n">
        <v>74403</v>
      </c>
      <c r="B74404">
        <f>TEXT(74403, "[$-0E0000]yyyy-mm-dd")</f>
        <v/>
      </c>
      <c r="C74404" t="inlineStr">
        <is>
          <t>2103-08-16</t>
        </is>
      </c>
    </row>
    <row r="74405">
      <c r="A74405" s="1" t="n">
        <v>74404</v>
      </c>
      <c r="B74405">
        <f>TEXT(74404, "[$-0E0000]yyyy-mm-dd")</f>
        <v/>
      </c>
      <c r="C74405" t="inlineStr">
        <is>
          <t>2103-08-17</t>
        </is>
      </c>
    </row>
    <row r="74406">
      <c r="A74406" s="1" t="n">
        <v>74405</v>
      </c>
      <c r="B74406">
        <f>TEXT(74405, "[$-0E0000]yyyy-mm-dd")</f>
        <v/>
      </c>
      <c r="C74406" t="inlineStr">
        <is>
          <t>2103-08-18</t>
        </is>
      </c>
    </row>
    <row r="74407">
      <c r="A74407" s="1" t="n">
        <v>74406</v>
      </c>
      <c r="B74407">
        <f>TEXT(74406, "[$-0E0000]yyyy-mm-dd")</f>
        <v/>
      </c>
      <c r="C74407" t="inlineStr">
        <is>
          <t>2103-08-19</t>
        </is>
      </c>
    </row>
    <row r="74408">
      <c r="A74408" s="1" t="n">
        <v>74407</v>
      </c>
      <c r="B74408">
        <f>TEXT(74407, "[$-0E0000]yyyy-mm-dd")</f>
        <v/>
      </c>
      <c r="C74408" t="inlineStr">
        <is>
          <t>2103-08-20</t>
        </is>
      </c>
    </row>
    <row r="74409">
      <c r="A74409" s="1" t="n">
        <v>74408</v>
      </c>
      <c r="B74409">
        <f>TEXT(74408, "[$-0E0000]yyyy-mm-dd")</f>
        <v/>
      </c>
      <c r="C74409" t="inlineStr">
        <is>
          <t>2103-08-21</t>
        </is>
      </c>
    </row>
    <row r="74410">
      <c r="A74410" s="1" t="n">
        <v>74409</v>
      </c>
      <c r="B74410">
        <f>TEXT(74409, "[$-0E0000]yyyy-mm-dd")</f>
        <v/>
      </c>
      <c r="C74410" t="inlineStr">
        <is>
          <t>2103-08-22</t>
        </is>
      </c>
    </row>
    <row r="74411">
      <c r="A74411" s="1" t="n">
        <v>74410</v>
      </c>
      <c r="B74411">
        <f>TEXT(74410, "[$-0E0000]yyyy-mm-dd")</f>
        <v/>
      </c>
      <c r="C74411" t="inlineStr">
        <is>
          <t>2103-08-23</t>
        </is>
      </c>
    </row>
    <row r="74412">
      <c r="A74412" s="1" t="n">
        <v>74411</v>
      </c>
      <c r="B74412">
        <f>TEXT(74411, "[$-0E0000]yyyy-mm-dd")</f>
        <v/>
      </c>
      <c r="C74412" t="inlineStr">
        <is>
          <t>2103-08-24</t>
        </is>
      </c>
    </row>
    <row r="74413">
      <c r="A74413" s="1" t="n">
        <v>74412</v>
      </c>
      <c r="B74413">
        <f>TEXT(74412, "[$-0E0000]yyyy-mm-dd")</f>
        <v/>
      </c>
      <c r="C74413" t="inlineStr">
        <is>
          <t>2103-08-25</t>
        </is>
      </c>
    </row>
    <row r="74414">
      <c r="A74414" s="1" t="n">
        <v>74413</v>
      </c>
      <c r="B74414">
        <f>TEXT(74413, "[$-0E0000]yyyy-mm-dd")</f>
        <v/>
      </c>
      <c r="C74414" t="inlineStr">
        <is>
          <t>2103-08-26</t>
        </is>
      </c>
    </row>
    <row r="74415">
      <c r="A74415" s="1" t="n">
        <v>74414</v>
      </c>
      <c r="B74415">
        <f>TEXT(74414, "[$-0E0000]yyyy-mm-dd")</f>
        <v/>
      </c>
      <c r="C74415" t="inlineStr">
        <is>
          <t>2103-08-27</t>
        </is>
      </c>
    </row>
    <row r="74416">
      <c r="A74416" s="1" t="n">
        <v>74415</v>
      </c>
      <c r="B74416">
        <f>TEXT(74415, "[$-0E0000]yyyy-mm-dd")</f>
        <v/>
      </c>
      <c r="C74416" t="inlineStr">
        <is>
          <t>2103-08-28</t>
        </is>
      </c>
    </row>
    <row r="74417">
      <c r="A74417" s="1" t="n">
        <v>74416</v>
      </c>
      <c r="B74417">
        <f>TEXT(74416, "[$-0E0000]yyyy-mm-dd")</f>
        <v/>
      </c>
      <c r="C74417" t="inlineStr">
        <is>
          <t>2103-08-29</t>
        </is>
      </c>
    </row>
    <row r="74418">
      <c r="A74418" s="1" t="n">
        <v>74417</v>
      </c>
      <c r="B74418">
        <f>TEXT(74417, "[$-0E0000]yyyy-mm-dd")</f>
        <v/>
      </c>
      <c r="C74418" t="inlineStr">
        <is>
          <t>2103-08-30</t>
        </is>
      </c>
    </row>
    <row r="74419">
      <c r="A74419" s="1" t="n">
        <v>74418</v>
      </c>
      <c r="B74419">
        <f>TEXT(74418, "[$-0E0000]yyyy-mm-dd")</f>
        <v/>
      </c>
      <c r="C74419" t="inlineStr">
        <is>
          <t>2103-09-01</t>
        </is>
      </c>
    </row>
    <row r="74420">
      <c r="A74420" s="1" t="n">
        <v>74419</v>
      </c>
      <c r="B74420">
        <f>TEXT(74419, "[$-0E0000]yyyy-mm-dd")</f>
        <v/>
      </c>
      <c r="C74420" t="inlineStr">
        <is>
          <t>2103-09-02</t>
        </is>
      </c>
    </row>
    <row r="74421">
      <c r="A74421" s="1" t="n">
        <v>74420</v>
      </c>
      <c r="B74421">
        <f>TEXT(74420, "[$-0E0000]yyyy-mm-dd")</f>
        <v/>
      </c>
      <c r="C74421" t="inlineStr">
        <is>
          <t>2103-09-03</t>
        </is>
      </c>
    </row>
    <row r="74422">
      <c r="A74422" s="1" t="n">
        <v>74421</v>
      </c>
      <c r="B74422">
        <f>TEXT(74421, "[$-0E0000]yyyy-mm-dd")</f>
        <v/>
      </c>
      <c r="C74422" t="inlineStr">
        <is>
          <t>2103-09-04</t>
        </is>
      </c>
    </row>
    <row r="74423">
      <c r="A74423" s="1" t="n">
        <v>74422</v>
      </c>
      <c r="B74423">
        <f>TEXT(74422, "[$-0E0000]yyyy-mm-dd")</f>
        <v/>
      </c>
      <c r="C74423" t="inlineStr">
        <is>
          <t>2103-09-05</t>
        </is>
      </c>
    </row>
    <row r="74424">
      <c r="A74424" s="1" t="n">
        <v>74423</v>
      </c>
      <c r="B74424">
        <f>TEXT(74423, "[$-0E0000]yyyy-mm-dd")</f>
        <v/>
      </c>
      <c r="C74424" t="inlineStr">
        <is>
          <t>2103-09-06</t>
        </is>
      </c>
    </row>
    <row r="74425">
      <c r="A74425" s="1" t="n">
        <v>74424</v>
      </c>
      <c r="B74425">
        <f>TEXT(74424, "[$-0E0000]yyyy-mm-dd")</f>
        <v/>
      </c>
      <c r="C74425" t="inlineStr">
        <is>
          <t>2103-09-07</t>
        </is>
      </c>
    </row>
    <row r="74426">
      <c r="A74426" s="1" t="n">
        <v>74425</v>
      </c>
      <c r="B74426">
        <f>TEXT(74425, "[$-0E0000]yyyy-mm-dd")</f>
        <v/>
      </c>
      <c r="C74426" t="inlineStr">
        <is>
          <t>2103-09-08</t>
        </is>
      </c>
    </row>
    <row r="74427">
      <c r="A74427" s="1" t="n">
        <v>74426</v>
      </c>
      <c r="B74427">
        <f>TEXT(74426, "[$-0E0000]yyyy-mm-dd")</f>
        <v/>
      </c>
      <c r="C74427" t="inlineStr">
        <is>
          <t>2103-09-09</t>
        </is>
      </c>
    </row>
    <row r="74428">
      <c r="A74428" s="1" t="n">
        <v>74427</v>
      </c>
      <c r="B74428">
        <f>TEXT(74427, "[$-0E0000]yyyy-mm-dd")</f>
        <v/>
      </c>
      <c r="C74428" t="inlineStr">
        <is>
          <t>2103-09-10</t>
        </is>
      </c>
    </row>
    <row r="74429">
      <c r="A74429" s="1" t="n">
        <v>74428</v>
      </c>
      <c r="B74429">
        <f>TEXT(74428, "[$-0E0000]yyyy-mm-dd")</f>
        <v/>
      </c>
      <c r="C74429" t="inlineStr">
        <is>
          <t>2103-09-11</t>
        </is>
      </c>
    </row>
    <row r="74430">
      <c r="A74430" s="1" t="n">
        <v>74429</v>
      </c>
      <c r="B74430">
        <f>TEXT(74429, "[$-0E0000]yyyy-mm-dd")</f>
        <v/>
      </c>
      <c r="C74430" t="inlineStr">
        <is>
          <t>2103-09-12</t>
        </is>
      </c>
    </row>
    <row r="74431">
      <c r="A74431" s="1" t="n">
        <v>74430</v>
      </c>
      <c r="B74431">
        <f>TEXT(74430, "[$-0E0000]yyyy-mm-dd")</f>
        <v/>
      </c>
      <c r="C74431" t="inlineStr">
        <is>
          <t>2103-09-13</t>
        </is>
      </c>
    </row>
    <row r="74432">
      <c r="A74432" s="1" t="n">
        <v>74431</v>
      </c>
      <c r="B74432">
        <f>TEXT(74431, "[$-0E0000]yyyy-mm-dd")</f>
        <v/>
      </c>
      <c r="C74432" t="inlineStr">
        <is>
          <t>2103-09-14</t>
        </is>
      </c>
    </row>
    <row r="74433">
      <c r="A74433" s="1" t="n">
        <v>74432</v>
      </c>
      <c r="B74433">
        <f>TEXT(74432, "[$-0E0000]yyyy-mm-dd")</f>
        <v/>
      </c>
      <c r="C74433" t="inlineStr">
        <is>
          <t>2103-09-15</t>
        </is>
      </c>
    </row>
    <row r="74434">
      <c r="A74434" s="1" t="n">
        <v>74433</v>
      </c>
      <c r="B74434">
        <f>TEXT(74433, "[$-0E0000]yyyy-mm-dd")</f>
        <v/>
      </c>
      <c r="C74434" t="inlineStr">
        <is>
          <t>2103-09-16</t>
        </is>
      </c>
    </row>
    <row r="74435">
      <c r="A74435" s="1" t="n">
        <v>74434</v>
      </c>
      <c r="B74435">
        <f>TEXT(74434, "[$-0E0000]yyyy-mm-dd")</f>
        <v/>
      </c>
      <c r="C74435" t="inlineStr">
        <is>
          <t>2103-09-17</t>
        </is>
      </c>
    </row>
    <row r="74436">
      <c r="A74436" s="1" t="n">
        <v>74435</v>
      </c>
      <c r="B74436">
        <f>TEXT(74435, "[$-0E0000]yyyy-mm-dd")</f>
        <v/>
      </c>
      <c r="C74436" t="inlineStr">
        <is>
          <t>2103-09-18</t>
        </is>
      </c>
    </row>
    <row r="74437">
      <c r="A74437" s="1" t="n">
        <v>74436</v>
      </c>
      <c r="B74437">
        <f>TEXT(74436, "[$-0E0000]yyyy-mm-dd")</f>
        <v/>
      </c>
      <c r="C74437" t="inlineStr">
        <is>
          <t>2103-09-19</t>
        </is>
      </c>
    </row>
    <row r="74438">
      <c r="A74438" s="1" t="n">
        <v>74437</v>
      </c>
      <c r="B74438">
        <f>TEXT(74437, "[$-0E0000]yyyy-mm-dd")</f>
        <v/>
      </c>
      <c r="C74438" t="inlineStr">
        <is>
          <t>2103-09-20</t>
        </is>
      </c>
    </row>
    <row r="74439">
      <c r="A74439" s="1" t="n">
        <v>74438</v>
      </c>
      <c r="B74439">
        <f>TEXT(74438, "[$-0E0000]yyyy-mm-dd")</f>
        <v/>
      </c>
      <c r="C74439" t="inlineStr">
        <is>
          <t>2103-09-21</t>
        </is>
      </c>
    </row>
    <row r="74440">
      <c r="A74440" s="1" t="n">
        <v>74439</v>
      </c>
      <c r="B74440">
        <f>TEXT(74439, "[$-0E0000]yyyy-mm-dd")</f>
        <v/>
      </c>
      <c r="C74440" t="inlineStr">
        <is>
          <t>2103-09-22</t>
        </is>
      </c>
    </row>
    <row r="74441">
      <c r="A74441" s="1" t="n">
        <v>74440</v>
      </c>
      <c r="B74441">
        <f>TEXT(74440, "[$-0E0000]yyyy-mm-dd")</f>
        <v/>
      </c>
      <c r="C74441" t="inlineStr">
        <is>
          <t>2103-09-23</t>
        </is>
      </c>
    </row>
    <row r="74442">
      <c r="A74442" s="1" t="n">
        <v>74441</v>
      </c>
      <c r="B74442">
        <f>TEXT(74441, "[$-0E0000]yyyy-mm-dd")</f>
        <v/>
      </c>
      <c r="C74442" t="inlineStr">
        <is>
          <t>2103-09-24</t>
        </is>
      </c>
    </row>
    <row r="74443">
      <c r="A74443" s="1" t="n">
        <v>74442</v>
      </c>
      <c r="B74443">
        <f>TEXT(74442, "[$-0E0000]yyyy-mm-dd")</f>
        <v/>
      </c>
      <c r="C74443" t="inlineStr">
        <is>
          <t>2103-09-25</t>
        </is>
      </c>
    </row>
    <row r="74444">
      <c r="A74444" s="1" t="n">
        <v>74443</v>
      </c>
      <c r="B74444">
        <f>TEXT(74443, "[$-0E0000]yyyy-mm-dd")</f>
        <v/>
      </c>
      <c r="C74444" t="inlineStr">
        <is>
          <t>2103-09-26</t>
        </is>
      </c>
    </row>
    <row r="74445">
      <c r="A74445" s="1" t="n">
        <v>74444</v>
      </c>
      <c r="B74445">
        <f>TEXT(74444, "[$-0E0000]yyyy-mm-dd")</f>
        <v/>
      </c>
      <c r="C74445" t="inlineStr">
        <is>
          <t>2103-09-27</t>
        </is>
      </c>
    </row>
    <row r="74446">
      <c r="A74446" s="1" t="n">
        <v>74445</v>
      </c>
      <c r="B74446">
        <f>TEXT(74445, "[$-0E0000]yyyy-mm-dd")</f>
        <v/>
      </c>
      <c r="C74446" t="inlineStr">
        <is>
          <t>2103-09-28</t>
        </is>
      </c>
    </row>
    <row r="74447">
      <c r="A74447" s="1" t="n">
        <v>74446</v>
      </c>
      <c r="B74447">
        <f>TEXT(74446, "[$-0E0000]yyyy-mm-dd")</f>
        <v/>
      </c>
      <c r="C74447" t="inlineStr">
        <is>
          <t>2103-09-29</t>
        </is>
      </c>
    </row>
    <row r="74448">
      <c r="A74448" s="1" t="n">
        <v>74447</v>
      </c>
      <c r="B74448">
        <f>TEXT(74447, "[$-0E0000]yyyy-mm-dd")</f>
        <v/>
      </c>
      <c r="C74448" t="inlineStr">
        <is>
          <t>2103-09-30</t>
        </is>
      </c>
    </row>
    <row r="74449">
      <c r="A74449" s="1" t="n">
        <v>74448</v>
      </c>
      <c r="B74449">
        <f>TEXT(74448, "[$-0E0000]yyyy-mm-dd")</f>
        <v/>
      </c>
      <c r="C74449" t="inlineStr">
        <is>
          <t>2103-10-01</t>
        </is>
      </c>
    </row>
    <row r="74450">
      <c r="A74450" s="1" t="n">
        <v>74449</v>
      </c>
      <c r="B74450">
        <f>TEXT(74449, "[$-0E0000]yyyy-mm-dd")</f>
        <v/>
      </c>
      <c r="C74450" t="inlineStr">
        <is>
          <t>2103-10-02</t>
        </is>
      </c>
    </row>
    <row r="74451">
      <c r="A74451" s="1" t="n">
        <v>74450</v>
      </c>
      <c r="B74451">
        <f>TEXT(74450, "[$-0E0000]yyyy-mm-dd")</f>
        <v/>
      </c>
      <c r="C74451" t="inlineStr">
        <is>
          <t>2103-10-03</t>
        </is>
      </c>
    </row>
    <row r="74452">
      <c r="A74452" s="1" t="n">
        <v>74451</v>
      </c>
      <c r="B74452">
        <f>TEXT(74451, "[$-0E0000]yyyy-mm-dd")</f>
        <v/>
      </c>
      <c r="C74452" t="inlineStr">
        <is>
          <t>2103-10-04</t>
        </is>
      </c>
    </row>
    <row r="74453">
      <c r="A74453" s="1" t="n">
        <v>74452</v>
      </c>
      <c r="B74453">
        <f>TEXT(74452, "[$-0E0000]yyyy-mm-dd")</f>
        <v/>
      </c>
      <c r="C74453" t="inlineStr">
        <is>
          <t>2103-10-05</t>
        </is>
      </c>
    </row>
    <row r="74454">
      <c r="A74454" s="1" t="n">
        <v>74453</v>
      </c>
      <c r="B74454">
        <f>TEXT(74453, "[$-0E0000]yyyy-mm-dd")</f>
        <v/>
      </c>
      <c r="C74454" t="inlineStr">
        <is>
          <t>2103-10-06</t>
        </is>
      </c>
    </row>
    <row r="74455">
      <c r="A74455" s="1" t="n">
        <v>74454</v>
      </c>
      <c r="B74455">
        <f>TEXT(74454, "[$-0E0000]yyyy-mm-dd")</f>
        <v/>
      </c>
      <c r="C74455" t="inlineStr">
        <is>
          <t>2103-10-07</t>
        </is>
      </c>
    </row>
    <row r="74456">
      <c r="A74456" s="1" t="n">
        <v>74455</v>
      </c>
      <c r="B74456">
        <f>TEXT(74455, "[$-0E0000]yyyy-mm-dd")</f>
        <v/>
      </c>
      <c r="C74456" t="inlineStr">
        <is>
          <t>2103-10-08</t>
        </is>
      </c>
    </row>
    <row r="74457">
      <c r="A74457" s="1" t="n">
        <v>74456</v>
      </c>
      <c r="B74457">
        <f>TEXT(74456, "[$-0E0000]yyyy-mm-dd")</f>
        <v/>
      </c>
      <c r="C74457" t="inlineStr">
        <is>
          <t>2103-10-09</t>
        </is>
      </c>
    </row>
    <row r="74458">
      <c r="A74458" s="1" t="n">
        <v>74457</v>
      </c>
      <c r="B74458">
        <f>TEXT(74457, "[$-0E0000]yyyy-mm-dd")</f>
        <v/>
      </c>
      <c r="C74458" t="inlineStr">
        <is>
          <t>2103-10-10</t>
        </is>
      </c>
    </row>
    <row r="74459">
      <c r="A74459" s="1" t="n">
        <v>74458</v>
      </c>
      <c r="B74459">
        <f>TEXT(74458, "[$-0E0000]yyyy-mm-dd")</f>
        <v/>
      </c>
      <c r="C74459" t="inlineStr">
        <is>
          <t>2103-10-11</t>
        </is>
      </c>
    </row>
    <row r="74460">
      <c r="A74460" s="1" t="n">
        <v>74459</v>
      </c>
      <c r="B74460">
        <f>TEXT(74459, "[$-0E0000]yyyy-mm-dd")</f>
        <v/>
      </c>
      <c r="C74460" t="inlineStr">
        <is>
          <t>2103-10-12</t>
        </is>
      </c>
    </row>
    <row r="74461">
      <c r="A74461" s="1" t="n">
        <v>74460</v>
      </c>
      <c r="B74461">
        <f>TEXT(74460, "[$-0E0000]yyyy-mm-dd")</f>
        <v/>
      </c>
      <c r="C74461" t="inlineStr">
        <is>
          <t>2103-10-13</t>
        </is>
      </c>
    </row>
    <row r="74462">
      <c r="A74462" s="1" t="n">
        <v>74461</v>
      </c>
      <c r="B74462">
        <f>TEXT(74461, "[$-0E0000]yyyy-mm-dd")</f>
        <v/>
      </c>
      <c r="C74462" t="inlineStr">
        <is>
          <t>2103-10-14</t>
        </is>
      </c>
    </row>
    <row r="74463">
      <c r="A74463" s="1" t="n">
        <v>74462</v>
      </c>
      <c r="B74463">
        <f>TEXT(74462, "[$-0E0000]yyyy-mm-dd")</f>
        <v/>
      </c>
      <c r="C74463" t="inlineStr">
        <is>
          <t>2103-10-15</t>
        </is>
      </c>
    </row>
    <row r="74464">
      <c r="A74464" s="1" t="n">
        <v>74463</v>
      </c>
      <c r="B74464">
        <f>TEXT(74463, "[$-0E0000]yyyy-mm-dd")</f>
        <v/>
      </c>
      <c r="C74464" t="inlineStr">
        <is>
          <t>2103-10-16</t>
        </is>
      </c>
    </row>
    <row r="74465">
      <c r="A74465" s="1" t="n">
        <v>74464</v>
      </c>
      <c r="B74465">
        <f>TEXT(74464, "[$-0E0000]yyyy-mm-dd")</f>
        <v/>
      </c>
      <c r="C74465" t="inlineStr">
        <is>
          <t>2103-10-17</t>
        </is>
      </c>
    </row>
    <row r="74466">
      <c r="A74466" s="1" t="n">
        <v>74465</v>
      </c>
      <c r="B74466">
        <f>TEXT(74465, "[$-0E0000]yyyy-mm-dd")</f>
        <v/>
      </c>
      <c r="C74466" t="inlineStr">
        <is>
          <t>2103-10-18</t>
        </is>
      </c>
    </row>
    <row r="74467">
      <c r="A74467" s="1" t="n">
        <v>74466</v>
      </c>
      <c r="B74467">
        <f>TEXT(74466, "[$-0E0000]yyyy-mm-dd")</f>
        <v/>
      </c>
      <c r="C74467" t="inlineStr">
        <is>
          <t>2103-10-19</t>
        </is>
      </c>
    </row>
    <row r="74468">
      <c r="A74468" s="1" t="n">
        <v>74467</v>
      </c>
      <c r="B74468">
        <f>TEXT(74467, "[$-0E0000]yyyy-mm-dd")</f>
        <v/>
      </c>
      <c r="C74468" t="inlineStr">
        <is>
          <t>2103-10-20</t>
        </is>
      </c>
    </row>
    <row r="74469">
      <c r="A74469" s="1" t="n">
        <v>74468</v>
      </c>
      <c r="B74469">
        <f>TEXT(74468, "[$-0E0000]yyyy-mm-dd")</f>
        <v/>
      </c>
      <c r="C74469" t="inlineStr">
        <is>
          <t>2103-10-21</t>
        </is>
      </c>
    </row>
    <row r="74470">
      <c r="A74470" s="1" t="n">
        <v>74469</v>
      </c>
      <c r="B74470">
        <f>TEXT(74469, "[$-0E0000]yyyy-mm-dd")</f>
        <v/>
      </c>
      <c r="C74470" t="inlineStr">
        <is>
          <t>2103-10-22</t>
        </is>
      </c>
    </row>
    <row r="74471">
      <c r="A74471" s="1" t="n">
        <v>74470</v>
      </c>
      <c r="B74471">
        <f>TEXT(74470, "[$-0E0000]yyyy-mm-dd")</f>
        <v/>
      </c>
      <c r="C74471" t="inlineStr">
        <is>
          <t>2103-10-23</t>
        </is>
      </c>
    </row>
    <row r="74472">
      <c r="A74472" s="1" t="n">
        <v>74471</v>
      </c>
      <c r="B74472">
        <f>TEXT(74471, "[$-0E0000]yyyy-mm-dd")</f>
        <v/>
      </c>
      <c r="C74472" t="inlineStr">
        <is>
          <t>2103-10-24</t>
        </is>
      </c>
    </row>
    <row r="74473">
      <c r="A74473" s="1" t="n">
        <v>74472</v>
      </c>
      <c r="B74473">
        <f>TEXT(74472, "[$-0E0000]yyyy-mm-dd")</f>
        <v/>
      </c>
      <c r="C74473" t="inlineStr">
        <is>
          <t>2103-10-25</t>
        </is>
      </c>
    </row>
    <row r="74474">
      <c r="A74474" s="1" t="n">
        <v>74473</v>
      </c>
      <c r="B74474">
        <f>TEXT(74473, "[$-0E0000]yyyy-mm-dd")</f>
        <v/>
      </c>
      <c r="C74474" t="inlineStr">
        <is>
          <t>2103-10-26</t>
        </is>
      </c>
    </row>
    <row r="74475">
      <c r="A74475" s="1" t="n">
        <v>74474</v>
      </c>
      <c r="B74475">
        <f>TEXT(74474, "[$-0E0000]yyyy-mm-dd")</f>
        <v/>
      </c>
      <c r="C74475" t="inlineStr">
        <is>
          <t>2103-10-27</t>
        </is>
      </c>
    </row>
    <row r="74476">
      <c r="A74476" s="1" t="n">
        <v>74475</v>
      </c>
      <c r="B74476">
        <f>TEXT(74475, "[$-0E0000]yyyy-mm-dd")</f>
        <v/>
      </c>
      <c r="C74476" t="inlineStr">
        <is>
          <t>2103-10-28</t>
        </is>
      </c>
    </row>
    <row r="74477">
      <c r="A74477" s="1" t="n">
        <v>74476</v>
      </c>
      <c r="B74477">
        <f>TEXT(74476, "[$-0E0000]yyyy-mm-dd")</f>
        <v/>
      </c>
      <c r="C74477" t="inlineStr">
        <is>
          <t>2103-10-29</t>
        </is>
      </c>
    </row>
    <row r="74478">
      <c r="A74478" s="1" t="n">
        <v>74477</v>
      </c>
      <c r="B74478">
        <f>TEXT(74477, "[$-0E0000]yyyy-mm-dd")</f>
        <v/>
      </c>
      <c r="C74478" t="inlineStr">
        <is>
          <t>2103-10-30</t>
        </is>
      </c>
    </row>
    <row r="74479">
      <c r="A74479" s="1" t="n">
        <v>74478</v>
      </c>
      <c r="B74479">
        <f>TEXT(74478, "[$-0E0000]yyyy-mm-dd")</f>
        <v/>
      </c>
      <c r="C74479" t="inlineStr">
        <is>
          <t>2103-11-01</t>
        </is>
      </c>
    </row>
    <row r="74480">
      <c r="A74480" s="1" t="n">
        <v>74479</v>
      </c>
      <c r="B74480">
        <f>TEXT(74479, "[$-0E0000]yyyy-mm-dd")</f>
        <v/>
      </c>
      <c r="C74480" t="inlineStr">
        <is>
          <t>2103-11-02</t>
        </is>
      </c>
    </row>
    <row r="74481">
      <c r="A74481" s="1" t="n">
        <v>74480</v>
      </c>
      <c r="B74481">
        <f>TEXT(74480, "[$-0E0000]yyyy-mm-dd")</f>
        <v/>
      </c>
      <c r="C74481" t="inlineStr">
        <is>
          <t>2103-11-03</t>
        </is>
      </c>
    </row>
    <row r="74482">
      <c r="A74482" s="1" t="n">
        <v>74481</v>
      </c>
      <c r="B74482">
        <f>TEXT(74481, "[$-0E0000]yyyy-mm-dd")</f>
        <v/>
      </c>
      <c r="C74482" t="inlineStr">
        <is>
          <t>2103-11-04</t>
        </is>
      </c>
    </row>
    <row r="74483">
      <c r="A74483" s="1" t="n">
        <v>74482</v>
      </c>
      <c r="B74483">
        <f>TEXT(74482, "[$-0E0000]yyyy-mm-dd")</f>
        <v/>
      </c>
      <c r="C74483" t="inlineStr">
        <is>
          <t>2103-11-05</t>
        </is>
      </c>
    </row>
    <row r="74484">
      <c r="A74484" s="1" t="n">
        <v>74483</v>
      </c>
      <c r="B74484">
        <f>TEXT(74483, "[$-0E0000]yyyy-mm-dd")</f>
        <v/>
      </c>
      <c r="C74484" t="inlineStr">
        <is>
          <t>2103-11-06</t>
        </is>
      </c>
    </row>
    <row r="74485">
      <c r="A74485" s="1" t="n">
        <v>74484</v>
      </c>
      <c r="B74485">
        <f>TEXT(74484, "[$-0E0000]yyyy-mm-dd")</f>
        <v/>
      </c>
      <c r="C74485" t="inlineStr">
        <is>
          <t>2103-11-07</t>
        </is>
      </c>
    </row>
    <row r="74486">
      <c r="A74486" s="1" t="n">
        <v>74485</v>
      </c>
      <c r="B74486">
        <f>TEXT(74485, "[$-0E0000]yyyy-mm-dd")</f>
        <v/>
      </c>
      <c r="C74486" t="inlineStr">
        <is>
          <t>2103-11-08</t>
        </is>
      </c>
    </row>
    <row r="74487">
      <c r="A74487" s="1" t="n">
        <v>74486</v>
      </c>
      <c r="B74487">
        <f>TEXT(74486, "[$-0E0000]yyyy-mm-dd")</f>
        <v/>
      </c>
      <c r="C74487" t="inlineStr">
        <is>
          <t>2103-11-09</t>
        </is>
      </c>
    </row>
    <row r="74488">
      <c r="A74488" s="1" t="n">
        <v>74487</v>
      </c>
      <c r="B74488">
        <f>TEXT(74487, "[$-0E0000]yyyy-mm-dd")</f>
        <v/>
      </c>
      <c r="C74488" t="inlineStr">
        <is>
          <t>2103-11-10</t>
        </is>
      </c>
    </row>
    <row r="74489">
      <c r="A74489" s="1" t="n">
        <v>74488</v>
      </c>
      <c r="B74489">
        <f>TEXT(74488, "[$-0E0000]yyyy-mm-dd")</f>
        <v/>
      </c>
      <c r="C74489" t="inlineStr">
        <is>
          <t>2103-11-11</t>
        </is>
      </c>
    </row>
    <row r="74490">
      <c r="A74490" s="1" t="n">
        <v>74489</v>
      </c>
      <c r="B74490">
        <f>TEXT(74489, "[$-0E0000]yyyy-mm-dd")</f>
        <v/>
      </c>
      <c r="C74490" t="inlineStr">
        <is>
          <t>2103-11-12</t>
        </is>
      </c>
    </row>
    <row r="74491">
      <c r="A74491" s="1" t="n">
        <v>74490</v>
      </c>
      <c r="B74491">
        <f>TEXT(74490, "[$-0E0000]yyyy-mm-dd")</f>
        <v/>
      </c>
      <c r="C74491" t="inlineStr">
        <is>
          <t>2103-11-13</t>
        </is>
      </c>
    </row>
    <row r="74492">
      <c r="A74492" s="1" t="n">
        <v>74491</v>
      </c>
      <c r="B74492">
        <f>TEXT(74491, "[$-0E0000]yyyy-mm-dd")</f>
        <v/>
      </c>
      <c r="C74492" t="inlineStr">
        <is>
          <t>2103-11-14</t>
        </is>
      </c>
    </row>
    <row r="74493">
      <c r="A74493" s="1" t="n">
        <v>74492</v>
      </c>
      <c r="B74493">
        <f>TEXT(74492, "[$-0E0000]yyyy-mm-dd")</f>
        <v/>
      </c>
      <c r="C74493" t="inlineStr">
        <is>
          <t>2103-11-15</t>
        </is>
      </c>
    </row>
    <row r="74494">
      <c r="A74494" s="1" t="n">
        <v>74493</v>
      </c>
      <c r="B74494">
        <f>TEXT(74493, "[$-0E0000]yyyy-mm-dd")</f>
        <v/>
      </c>
      <c r="C74494" t="inlineStr">
        <is>
          <t>2103-11-16</t>
        </is>
      </c>
    </row>
    <row r="74495">
      <c r="A74495" s="1" t="n">
        <v>74494</v>
      </c>
      <c r="B74495">
        <f>TEXT(74494, "[$-0E0000]yyyy-mm-dd")</f>
        <v/>
      </c>
      <c r="C74495" t="inlineStr">
        <is>
          <t>2103-11-17</t>
        </is>
      </c>
    </row>
    <row r="74496">
      <c r="A74496" s="1" t="n">
        <v>74495</v>
      </c>
      <c r="B74496">
        <f>TEXT(74495, "[$-0E0000]yyyy-mm-dd")</f>
        <v/>
      </c>
      <c r="C74496" t="inlineStr">
        <is>
          <t>2103-11-18</t>
        </is>
      </c>
    </row>
    <row r="74497">
      <c r="A74497" s="1" t="n">
        <v>74496</v>
      </c>
      <c r="B74497">
        <f>TEXT(74496, "[$-0E0000]yyyy-mm-dd")</f>
        <v/>
      </c>
      <c r="C74497" t="inlineStr">
        <is>
          <t>2103-11-19</t>
        </is>
      </c>
    </row>
    <row r="74498">
      <c r="A74498" s="1" t="n">
        <v>74497</v>
      </c>
      <c r="B74498">
        <f>TEXT(74497, "[$-0E0000]yyyy-mm-dd")</f>
        <v/>
      </c>
      <c r="C74498" t="inlineStr">
        <is>
          <t>2103-11-20</t>
        </is>
      </c>
    </row>
    <row r="74499">
      <c r="A74499" s="1" t="n">
        <v>74498</v>
      </c>
      <c r="B74499">
        <f>TEXT(74498, "[$-0E0000]yyyy-mm-dd")</f>
        <v/>
      </c>
      <c r="C74499" t="inlineStr">
        <is>
          <t>2103-11-21</t>
        </is>
      </c>
    </row>
    <row r="74500">
      <c r="A74500" s="1" t="n">
        <v>74499</v>
      </c>
      <c r="B74500">
        <f>TEXT(74499, "[$-0E0000]yyyy-mm-dd")</f>
        <v/>
      </c>
      <c r="C74500" t="inlineStr">
        <is>
          <t>2103-11-22</t>
        </is>
      </c>
    </row>
    <row r="74501">
      <c r="A74501" s="1" t="n">
        <v>74500</v>
      </c>
      <c r="B74501">
        <f>TEXT(74500, "[$-0E0000]yyyy-mm-dd")</f>
        <v/>
      </c>
      <c r="C74501" t="inlineStr">
        <is>
          <t>2103-11-23</t>
        </is>
      </c>
    </row>
    <row r="74502">
      <c r="A74502" s="1" t="n">
        <v>74501</v>
      </c>
      <c r="B74502">
        <f>TEXT(74501, "[$-0E0000]yyyy-mm-dd")</f>
        <v/>
      </c>
      <c r="C74502" t="inlineStr">
        <is>
          <t>2103-11-24</t>
        </is>
      </c>
    </row>
    <row r="74503">
      <c r="A74503" s="1" t="n">
        <v>74502</v>
      </c>
      <c r="B74503">
        <f>TEXT(74502, "[$-0E0000]yyyy-mm-dd")</f>
        <v/>
      </c>
      <c r="C74503" t="inlineStr">
        <is>
          <t>2103-11-25</t>
        </is>
      </c>
    </row>
    <row r="74504">
      <c r="A74504" s="1" t="n">
        <v>74503</v>
      </c>
      <c r="B74504">
        <f>TEXT(74503, "[$-0E0000]yyyy-mm-dd")</f>
        <v/>
      </c>
      <c r="C74504" t="inlineStr">
        <is>
          <t>2103-11-26</t>
        </is>
      </c>
    </row>
    <row r="74505">
      <c r="A74505" s="1" t="n">
        <v>74504</v>
      </c>
      <c r="B74505">
        <f>TEXT(74504, "[$-0E0000]yyyy-mm-dd")</f>
        <v/>
      </c>
      <c r="C74505" t="inlineStr">
        <is>
          <t>2103-11-27</t>
        </is>
      </c>
    </row>
    <row r="74506">
      <c r="A74506" s="1" t="n">
        <v>74505</v>
      </c>
      <c r="B74506">
        <f>TEXT(74505, "[$-0E0000]yyyy-mm-dd")</f>
        <v/>
      </c>
      <c r="C74506" t="inlineStr">
        <is>
          <t>2103-11-28</t>
        </is>
      </c>
    </row>
    <row r="74507">
      <c r="A74507" s="1" t="n">
        <v>74506</v>
      </c>
      <c r="B74507">
        <f>TEXT(74506, "[$-0E0000]yyyy-mm-dd")</f>
        <v/>
      </c>
      <c r="C74507" t="inlineStr">
        <is>
          <t>2103-11-29</t>
        </is>
      </c>
    </row>
    <row r="74508">
      <c r="A74508" s="1" t="n">
        <v>74507</v>
      </c>
      <c r="B74508">
        <f>TEXT(74507, "[$-0E0000]yyyy-mm-dd")</f>
        <v/>
      </c>
      <c r="C74508" t="inlineStr">
        <is>
          <t>2103-12-01</t>
        </is>
      </c>
    </row>
    <row r="74509">
      <c r="A74509" s="1" t="n">
        <v>74508</v>
      </c>
      <c r="B74509">
        <f>TEXT(74508, "[$-0E0000]yyyy-mm-dd")</f>
        <v/>
      </c>
      <c r="C74509" t="inlineStr">
        <is>
          <t>2103-12-02</t>
        </is>
      </c>
    </row>
    <row r="74510">
      <c r="A74510" s="1" t="n">
        <v>74509</v>
      </c>
      <c r="B74510">
        <f>TEXT(74509, "[$-0E0000]yyyy-mm-dd")</f>
        <v/>
      </c>
      <c r="C74510" t="inlineStr">
        <is>
          <t>2103-12-03</t>
        </is>
      </c>
    </row>
    <row r="74511">
      <c r="A74511" s="1" t="n">
        <v>74510</v>
      </c>
      <c r="B74511">
        <f>TEXT(74510, "[$-0E0000]yyyy-mm-dd")</f>
        <v/>
      </c>
      <c r="C74511" t="inlineStr">
        <is>
          <t>2103-12-04</t>
        </is>
      </c>
    </row>
    <row r="74512">
      <c r="A74512" s="1" t="n">
        <v>74511</v>
      </c>
      <c r="B74512">
        <f>TEXT(74511, "[$-0E0000]yyyy-mm-dd")</f>
        <v/>
      </c>
      <c r="C74512" t="inlineStr">
        <is>
          <t>2103-12-05</t>
        </is>
      </c>
    </row>
    <row r="74513">
      <c r="A74513" s="1" t="n">
        <v>74512</v>
      </c>
      <c r="B74513">
        <f>TEXT(74512, "[$-0E0000]yyyy-mm-dd")</f>
        <v/>
      </c>
      <c r="C74513" t="inlineStr">
        <is>
          <t>2103-12-06</t>
        </is>
      </c>
    </row>
    <row r="74514">
      <c r="A74514" s="1" t="n">
        <v>74513</v>
      </c>
      <c r="B74514">
        <f>TEXT(74513, "[$-0E0000]yyyy-mm-dd")</f>
        <v/>
      </c>
      <c r="C74514" t="inlineStr">
        <is>
          <t>2103-12-07</t>
        </is>
      </c>
    </row>
    <row r="74515">
      <c r="A74515" s="1" t="n">
        <v>74514</v>
      </c>
      <c r="B74515">
        <f>TEXT(74514, "[$-0E0000]yyyy-mm-dd")</f>
        <v/>
      </c>
      <c r="C74515" t="inlineStr">
        <is>
          <t>2103-12-08</t>
        </is>
      </c>
    </row>
    <row r="74516">
      <c r="A74516" s="1" t="n">
        <v>74515</v>
      </c>
      <c r="B74516">
        <f>TEXT(74515, "[$-0E0000]yyyy-mm-dd")</f>
        <v/>
      </c>
      <c r="C74516" t="inlineStr">
        <is>
          <t>2103-12-09</t>
        </is>
      </c>
    </row>
    <row r="74517">
      <c r="A74517" s="1" t="n">
        <v>74516</v>
      </c>
      <c r="B74517">
        <f>TEXT(74516, "[$-0E0000]yyyy-mm-dd")</f>
        <v/>
      </c>
      <c r="C74517" t="inlineStr">
        <is>
          <t>2103-12-10</t>
        </is>
      </c>
    </row>
    <row r="74518">
      <c r="A74518" s="1" t="n">
        <v>74517</v>
      </c>
      <c r="B74518">
        <f>TEXT(74517, "[$-0E0000]yyyy-mm-dd")</f>
        <v/>
      </c>
      <c r="C74518" t="inlineStr">
        <is>
          <t>2103-12-11</t>
        </is>
      </c>
    </row>
    <row r="74519">
      <c r="A74519" s="1" t="n">
        <v>74518</v>
      </c>
      <c r="B74519">
        <f>TEXT(74518, "[$-0E0000]yyyy-mm-dd")</f>
        <v/>
      </c>
      <c r="C74519" t="inlineStr">
        <is>
          <t>2103-12-12</t>
        </is>
      </c>
    </row>
    <row r="74520">
      <c r="A74520" s="1" t="n">
        <v>74519</v>
      </c>
      <c r="B74520">
        <f>TEXT(74519, "[$-0E0000]yyyy-mm-dd")</f>
        <v/>
      </c>
      <c r="C74520" t="inlineStr">
        <is>
          <t>2103-12-13</t>
        </is>
      </c>
    </row>
    <row r="74521">
      <c r="A74521" s="1" t="n">
        <v>74520</v>
      </c>
      <c r="B74521">
        <f>TEXT(74520, "[$-0E0000]yyyy-mm-dd")</f>
        <v/>
      </c>
      <c r="C74521" t="inlineStr">
        <is>
          <t>2103-12-14</t>
        </is>
      </c>
    </row>
    <row r="74522">
      <c r="A74522" s="1" t="n">
        <v>74521</v>
      </c>
      <c r="B74522">
        <f>TEXT(74521, "[$-0E0000]yyyy-mm-dd")</f>
        <v/>
      </c>
      <c r="C74522" t="inlineStr">
        <is>
          <t>2103-12-15</t>
        </is>
      </c>
    </row>
    <row r="74523">
      <c r="A74523" s="1" t="n">
        <v>74522</v>
      </c>
      <c r="B74523">
        <f>TEXT(74522, "[$-0E0000]yyyy-mm-dd")</f>
        <v/>
      </c>
      <c r="C74523" t="inlineStr">
        <is>
          <t>2103-12-16</t>
        </is>
      </c>
    </row>
    <row r="74524">
      <c r="A74524" s="1" t="n">
        <v>74523</v>
      </c>
      <c r="B74524">
        <f>TEXT(74523, "[$-0E0000]yyyy-mm-dd")</f>
        <v/>
      </c>
      <c r="C74524" t="inlineStr">
        <is>
          <t>2103-12-17</t>
        </is>
      </c>
    </row>
    <row r="74525">
      <c r="A74525" s="1" t="n">
        <v>74524</v>
      </c>
      <c r="B74525">
        <f>TEXT(74524, "[$-0E0000]yyyy-mm-dd")</f>
        <v/>
      </c>
      <c r="C74525" t="inlineStr">
        <is>
          <t>2103-12-18</t>
        </is>
      </c>
    </row>
    <row r="74526">
      <c r="A74526" s="1" t="n">
        <v>74525</v>
      </c>
      <c r="B74526">
        <f>TEXT(74525, "[$-0E0000]yyyy-mm-dd")</f>
        <v/>
      </c>
      <c r="C74526" t="inlineStr">
        <is>
          <t>2103-12-19</t>
        </is>
      </c>
    </row>
    <row r="74527">
      <c r="A74527" s="1" t="n">
        <v>74526</v>
      </c>
      <c r="B74527">
        <f>TEXT(74526, "[$-0E0000]yyyy-mm-dd")</f>
        <v/>
      </c>
      <c r="C74527" t="inlineStr">
        <is>
          <t>2103-12-20</t>
        </is>
      </c>
    </row>
    <row r="74528">
      <c r="A74528" s="1" t="n">
        <v>74527</v>
      </c>
      <c r="B74528">
        <f>TEXT(74527, "[$-0E0000]yyyy-mm-dd")</f>
        <v/>
      </c>
      <c r="C74528" t="inlineStr">
        <is>
          <t>2103-12-21</t>
        </is>
      </c>
    </row>
    <row r="74529">
      <c r="A74529" s="1" t="n">
        <v>74528</v>
      </c>
      <c r="B74529">
        <f>TEXT(74528, "[$-0E0000]yyyy-mm-dd")</f>
        <v/>
      </c>
      <c r="C74529" t="inlineStr">
        <is>
          <t>2103-12-22</t>
        </is>
      </c>
    </row>
    <row r="74530">
      <c r="A74530" s="1" t="n">
        <v>74529</v>
      </c>
      <c r="B74530">
        <f>TEXT(74529, "[$-0E0000]yyyy-mm-dd")</f>
        <v/>
      </c>
      <c r="C74530" t="inlineStr">
        <is>
          <t>2103-12-23</t>
        </is>
      </c>
    </row>
    <row r="74531">
      <c r="A74531" s="1" t="n">
        <v>74530</v>
      </c>
      <c r="B74531">
        <f>TEXT(74530, "[$-0E0000]yyyy-mm-dd")</f>
        <v/>
      </c>
      <c r="C74531" t="inlineStr">
        <is>
          <t>2103-12-24</t>
        </is>
      </c>
    </row>
    <row r="74532">
      <c r="A74532" s="1" t="n">
        <v>74531</v>
      </c>
      <c r="B74532">
        <f>TEXT(74531, "[$-0E0000]yyyy-mm-dd")</f>
        <v/>
      </c>
      <c r="C74532" t="inlineStr">
        <is>
          <t>2103-12-25</t>
        </is>
      </c>
    </row>
    <row r="74533">
      <c r="A74533" s="1" t="n">
        <v>74532</v>
      </c>
      <c r="B74533">
        <f>TEXT(74532, "[$-0E0000]yyyy-mm-dd")</f>
        <v/>
      </c>
      <c r="C74533" t="inlineStr">
        <is>
          <t>2103-12-26</t>
        </is>
      </c>
    </row>
    <row r="74534">
      <c r="A74534" s="1" t="n">
        <v>74533</v>
      </c>
      <c r="B74534">
        <f>TEXT(74533, "[$-0E0000]yyyy-mm-dd")</f>
        <v/>
      </c>
      <c r="C74534" t="inlineStr">
        <is>
          <t>2103-12-27</t>
        </is>
      </c>
    </row>
    <row r="74535">
      <c r="A74535" s="1" t="n">
        <v>74534</v>
      </c>
      <c r="B74535">
        <f>TEXT(74534, "[$-0E0000]yyyy-mm-dd")</f>
        <v/>
      </c>
      <c r="C74535" t="inlineStr">
        <is>
          <t>2103-12-28</t>
        </is>
      </c>
    </row>
    <row r="74536">
      <c r="A74536" s="1" t="n">
        <v>74535</v>
      </c>
      <c r="B74536">
        <f>TEXT(74535, "[$-0E0000]yyyy-mm-dd")</f>
        <v/>
      </c>
      <c r="C74536" t="inlineStr">
        <is>
          <t>2103-12-29</t>
        </is>
      </c>
    </row>
    <row r="74537">
      <c r="A74537" s="1" t="n">
        <v>74536</v>
      </c>
      <c r="B74537">
        <f>TEXT(74536, "[$-0E0000]yyyy-mm-dd")</f>
        <v/>
      </c>
      <c r="C74537" t="inlineStr">
        <is>
          <t>2103-12-30</t>
        </is>
      </c>
    </row>
    <row r="74538">
      <c r="A74538" s="1" t="n">
        <v>74537</v>
      </c>
      <c r="B74538">
        <f>TEXT(74537, "[$-0E0000]yyyy-mm-dd")</f>
        <v/>
      </c>
      <c r="C74538" t="inlineStr">
        <is>
          <t>2104-01-01</t>
        </is>
      </c>
    </row>
    <row r="74539">
      <c r="A74539" s="1" t="n">
        <v>74538</v>
      </c>
      <c r="B74539">
        <f>TEXT(74538, "[$-0E0000]yyyy-mm-dd")</f>
        <v/>
      </c>
      <c r="C74539" t="inlineStr">
        <is>
          <t>2104-01-02</t>
        </is>
      </c>
    </row>
    <row r="74540">
      <c r="A74540" s="1" t="n">
        <v>74539</v>
      </c>
      <c r="B74540">
        <f>TEXT(74539, "[$-0E0000]yyyy-mm-dd")</f>
        <v/>
      </c>
      <c r="C74540" t="inlineStr">
        <is>
          <t>2104-01-03</t>
        </is>
      </c>
    </row>
    <row r="74541">
      <c r="A74541" s="1" t="n">
        <v>74540</v>
      </c>
      <c r="B74541">
        <f>TEXT(74540, "[$-0E0000]yyyy-mm-dd")</f>
        <v/>
      </c>
      <c r="C74541" t="inlineStr">
        <is>
          <t>2104-01-04</t>
        </is>
      </c>
    </row>
    <row r="74542">
      <c r="A74542" s="1" t="n">
        <v>74541</v>
      </c>
      <c r="B74542">
        <f>TEXT(74541, "[$-0E0000]yyyy-mm-dd")</f>
        <v/>
      </c>
      <c r="C74542" t="inlineStr">
        <is>
          <t>2104-01-05</t>
        </is>
      </c>
    </row>
    <row r="74543">
      <c r="A74543" s="1" t="n">
        <v>74542</v>
      </c>
      <c r="B74543">
        <f>TEXT(74542, "[$-0E0000]yyyy-mm-dd")</f>
        <v/>
      </c>
      <c r="C74543" t="inlineStr">
        <is>
          <t>2104-01-06</t>
        </is>
      </c>
    </row>
    <row r="74544">
      <c r="A74544" s="1" t="n">
        <v>74543</v>
      </c>
      <c r="B74544">
        <f>TEXT(74543, "[$-0E0000]yyyy-mm-dd")</f>
        <v/>
      </c>
      <c r="C74544" t="inlineStr">
        <is>
          <t>2104-01-07</t>
        </is>
      </c>
    </row>
    <row r="74545">
      <c r="A74545" s="1" t="n">
        <v>74544</v>
      </c>
      <c r="B74545">
        <f>TEXT(74544, "[$-0E0000]yyyy-mm-dd")</f>
        <v/>
      </c>
      <c r="C74545" t="inlineStr">
        <is>
          <t>2104-01-08</t>
        </is>
      </c>
    </row>
    <row r="74546">
      <c r="A74546" s="1" t="n">
        <v>74545</v>
      </c>
      <c r="B74546">
        <f>TEXT(74545, "[$-0E0000]yyyy-mm-dd")</f>
        <v/>
      </c>
      <c r="C74546" t="inlineStr">
        <is>
          <t>2104-01-09</t>
        </is>
      </c>
    </row>
    <row r="74547">
      <c r="A74547" s="1" t="n">
        <v>74546</v>
      </c>
      <c r="B74547">
        <f>TEXT(74546, "[$-0E0000]yyyy-mm-dd")</f>
        <v/>
      </c>
      <c r="C74547" t="inlineStr">
        <is>
          <t>2104-01-10</t>
        </is>
      </c>
    </row>
    <row r="74548">
      <c r="A74548" s="1" t="n">
        <v>74547</v>
      </c>
      <c r="B74548">
        <f>TEXT(74547, "[$-0E0000]yyyy-mm-dd")</f>
        <v/>
      </c>
      <c r="C74548" t="inlineStr">
        <is>
          <t>2104-01-11</t>
        </is>
      </c>
    </row>
    <row r="74549">
      <c r="A74549" s="1" t="n">
        <v>74548</v>
      </c>
      <c r="B74549">
        <f>TEXT(74548, "[$-0E0000]yyyy-mm-dd")</f>
        <v/>
      </c>
      <c r="C74549" t="inlineStr">
        <is>
          <t>2104-01-12</t>
        </is>
      </c>
    </row>
    <row r="74550">
      <c r="A74550" s="1" t="n">
        <v>74549</v>
      </c>
      <c r="B74550">
        <f>TEXT(74549, "[$-0E0000]yyyy-mm-dd")</f>
        <v/>
      </c>
      <c r="C74550" t="inlineStr">
        <is>
          <t>2104-01-13</t>
        </is>
      </c>
    </row>
    <row r="74551">
      <c r="A74551" s="1" t="n">
        <v>74550</v>
      </c>
      <c r="B74551">
        <f>TEXT(74550, "[$-0E0000]yyyy-mm-dd")</f>
        <v/>
      </c>
      <c r="C74551" t="inlineStr">
        <is>
          <t>2104-01-14</t>
        </is>
      </c>
    </row>
    <row r="74552">
      <c r="A74552" s="1" t="n">
        <v>74551</v>
      </c>
      <c r="B74552">
        <f>TEXT(74551, "[$-0E0000]yyyy-mm-dd")</f>
        <v/>
      </c>
      <c r="C74552" t="inlineStr">
        <is>
          <t>2104-01-15</t>
        </is>
      </c>
    </row>
    <row r="74553">
      <c r="A74553" s="1" t="n">
        <v>74552</v>
      </c>
      <c r="B74553">
        <f>TEXT(74552, "[$-0E0000]yyyy-mm-dd")</f>
        <v/>
      </c>
      <c r="C74553" t="inlineStr">
        <is>
          <t>2104-01-16</t>
        </is>
      </c>
    </row>
    <row r="74554">
      <c r="A74554" s="1" t="n">
        <v>74553</v>
      </c>
      <c r="B74554">
        <f>TEXT(74553, "[$-0E0000]yyyy-mm-dd")</f>
        <v/>
      </c>
      <c r="C74554" t="inlineStr">
        <is>
          <t>2104-01-17</t>
        </is>
      </c>
    </row>
    <row r="74555">
      <c r="A74555" s="1" t="n">
        <v>74554</v>
      </c>
      <c r="B74555">
        <f>TEXT(74554, "[$-0E0000]yyyy-mm-dd")</f>
        <v/>
      </c>
      <c r="C74555" t="inlineStr">
        <is>
          <t>2104-01-18</t>
        </is>
      </c>
    </row>
    <row r="74556">
      <c r="A74556" s="1" t="n">
        <v>74555</v>
      </c>
      <c r="B74556">
        <f>TEXT(74555, "[$-0E0000]yyyy-mm-dd")</f>
        <v/>
      </c>
      <c r="C74556" t="inlineStr">
        <is>
          <t>2104-01-19</t>
        </is>
      </c>
    </row>
    <row r="74557">
      <c r="A74557" s="1" t="n">
        <v>74556</v>
      </c>
      <c r="B74557">
        <f>TEXT(74556, "[$-0E0000]yyyy-mm-dd")</f>
        <v/>
      </c>
      <c r="C74557" t="inlineStr">
        <is>
          <t>2104-01-20</t>
        </is>
      </c>
    </row>
    <row r="74558">
      <c r="A74558" s="1" t="n">
        <v>74557</v>
      </c>
      <c r="B74558">
        <f>TEXT(74557, "[$-0E0000]yyyy-mm-dd")</f>
        <v/>
      </c>
      <c r="C74558" t="inlineStr">
        <is>
          <t>2104-01-21</t>
        </is>
      </c>
    </row>
    <row r="74559">
      <c r="A74559" s="1" t="n">
        <v>74558</v>
      </c>
      <c r="B74559">
        <f>TEXT(74558, "[$-0E0000]yyyy-mm-dd")</f>
        <v/>
      </c>
      <c r="C74559" t="inlineStr">
        <is>
          <t>2104-01-22</t>
        </is>
      </c>
    </row>
    <row r="74560">
      <c r="A74560" s="1" t="n">
        <v>74559</v>
      </c>
      <c r="B74560">
        <f>TEXT(74559, "[$-0E0000]yyyy-mm-dd")</f>
        <v/>
      </c>
      <c r="C74560" t="inlineStr">
        <is>
          <t>2104-01-23</t>
        </is>
      </c>
    </row>
    <row r="74561">
      <c r="A74561" s="1" t="n">
        <v>74560</v>
      </c>
      <c r="B74561">
        <f>TEXT(74560, "[$-0E0000]yyyy-mm-dd")</f>
        <v/>
      </c>
      <c r="C74561" t="inlineStr">
        <is>
          <t>2104-01-24</t>
        </is>
      </c>
    </row>
    <row r="74562">
      <c r="A74562" s="1" t="n">
        <v>74561</v>
      </c>
      <c r="B74562">
        <f>TEXT(74561, "[$-0E0000]yyyy-mm-dd")</f>
        <v/>
      </c>
      <c r="C74562" t="inlineStr">
        <is>
          <t>2104-01-25</t>
        </is>
      </c>
    </row>
    <row r="74563">
      <c r="A74563" s="1" t="n">
        <v>74562</v>
      </c>
      <c r="B74563">
        <f>TEXT(74562, "[$-0E0000]yyyy-mm-dd")</f>
        <v/>
      </c>
      <c r="C74563" t="inlineStr">
        <is>
          <t>2104-01-26</t>
        </is>
      </c>
    </row>
    <row r="74564">
      <c r="A74564" s="1" t="n">
        <v>74563</v>
      </c>
      <c r="B74564">
        <f>TEXT(74563, "[$-0E0000]yyyy-mm-dd")</f>
        <v/>
      </c>
      <c r="C74564" t="inlineStr">
        <is>
          <t>2104-01-27</t>
        </is>
      </c>
    </row>
    <row r="74565">
      <c r="A74565" s="1" t="n">
        <v>74564</v>
      </c>
      <c r="B74565">
        <f>TEXT(74564, "[$-0E0000]yyyy-mm-dd")</f>
        <v/>
      </c>
      <c r="C74565" t="inlineStr">
        <is>
          <t>2104-01-28</t>
        </is>
      </c>
    </row>
    <row r="74566">
      <c r="A74566" s="1" t="n">
        <v>74565</v>
      </c>
      <c r="B74566">
        <f>TEXT(74565, "[$-0E0000]yyyy-mm-dd")</f>
        <v/>
      </c>
      <c r="C74566" t="inlineStr">
        <is>
          <t>2104-01-29</t>
        </is>
      </c>
    </row>
    <row r="74567">
      <c r="A74567" s="1" t="n">
        <v>74566</v>
      </c>
      <c r="B74567">
        <f>TEXT(74566, "[$-0E0000]yyyy-mm-dd")</f>
        <v/>
      </c>
      <c r="C74567" t="inlineStr">
        <is>
          <t>2104-02-01</t>
        </is>
      </c>
    </row>
    <row r="74568">
      <c r="A74568" s="1" t="n">
        <v>74567</v>
      </c>
      <c r="B74568">
        <f>TEXT(74567, "[$-0E0000]yyyy-mm-dd")</f>
        <v/>
      </c>
      <c r="C74568" t="inlineStr">
        <is>
          <t>2104-02-02</t>
        </is>
      </c>
    </row>
    <row r="74569">
      <c r="A74569" s="1" t="n">
        <v>74568</v>
      </c>
      <c r="B74569">
        <f>TEXT(74568, "[$-0E0000]yyyy-mm-dd")</f>
        <v/>
      </c>
      <c r="C74569" t="inlineStr">
        <is>
          <t>2104-02-03</t>
        </is>
      </c>
    </row>
    <row r="74570">
      <c r="A74570" s="1" t="n">
        <v>74569</v>
      </c>
      <c r="B74570">
        <f>TEXT(74569, "[$-0E0000]yyyy-mm-dd")</f>
        <v/>
      </c>
      <c r="C74570" t="inlineStr">
        <is>
          <t>2104-02-04</t>
        </is>
      </c>
    </row>
    <row r="74571">
      <c r="A74571" s="1" t="n">
        <v>74570</v>
      </c>
      <c r="B74571">
        <f>TEXT(74570, "[$-0E0000]yyyy-mm-dd")</f>
        <v/>
      </c>
      <c r="C74571" t="inlineStr">
        <is>
          <t>2104-02-05</t>
        </is>
      </c>
    </row>
    <row r="74572">
      <c r="A74572" s="1" t="n">
        <v>74571</v>
      </c>
      <c r="B74572">
        <f>TEXT(74571, "[$-0E0000]yyyy-mm-dd")</f>
        <v/>
      </c>
      <c r="C74572" t="inlineStr">
        <is>
          <t>2104-02-06</t>
        </is>
      </c>
    </row>
    <row r="74573">
      <c r="A74573" s="1" t="n">
        <v>74572</v>
      </c>
      <c r="B74573">
        <f>TEXT(74572, "[$-0E0000]yyyy-mm-dd")</f>
        <v/>
      </c>
      <c r="C74573" t="inlineStr">
        <is>
          <t>2104-02-07</t>
        </is>
      </c>
    </row>
    <row r="74574">
      <c r="A74574" s="1" t="n">
        <v>74573</v>
      </c>
      <c r="B74574">
        <f>TEXT(74573, "[$-0E0000]yyyy-mm-dd")</f>
        <v/>
      </c>
      <c r="C74574" t="inlineStr">
        <is>
          <t>2104-02-08</t>
        </is>
      </c>
    </row>
    <row r="74575">
      <c r="A74575" s="1" t="n">
        <v>74574</v>
      </c>
      <c r="B74575">
        <f>TEXT(74574, "[$-0E0000]yyyy-mm-dd")</f>
        <v/>
      </c>
      <c r="C74575" t="inlineStr">
        <is>
          <t>2104-02-09</t>
        </is>
      </c>
    </row>
    <row r="74576">
      <c r="A74576" s="1" t="n">
        <v>74575</v>
      </c>
      <c r="B74576">
        <f>TEXT(74575, "[$-0E0000]yyyy-mm-dd")</f>
        <v/>
      </c>
      <c r="C74576" t="inlineStr">
        <is>
          <t>2104-02-10</t>
        </is>
      </c>
    </row>
    <row r="74577">
      <c r="A74577" s="1" t="n">
        <v>74576</v>
      </c>
      <c r="B74577">
        <f>TEXT(74576, "[$-0E0000]yyyy-mm-dd")</f>
        <v/>
      </c>
      <c r="C74577" t="inlineStr">
        <is>
          <t>2104-02-11</t>
        </is>
      </c>
    </row>
    <row r="74578">
      <c r="A74578" s="1" t="n">
        <v>74577</v>
      </c>
      <c r="B74578">
        <f>TEXT(74577, "[$-0E0000]yyyy-mm-dd")</f>
        <v/>
      </c>
      <c r="C74578" t="inlineStr">
        <is>
          <t>2104-02-12</t>
        </is>
      </c>
    </row>
    <row r="74579">
      <c r="A74579" s="1" t="n">
        <v>74578</v>
      </c>
      <c r="B74579">
        <f>TEXT(74578, "[$-0E0000]yyyy-mm-dd")</f>
        <v/>
      </c>
      <c r="C74579" t="inlineStr">
        <is>
          <t>2104-02-13</t>
        </is>
      </c>
    </row>
    <row r="74580">
      <c r="A74580" s="1" t="n">
        <v>74579</v>
      </c>
      <c r="B74580">
        <f>TEXT(74579, "[$-0E0000]yyyy-mm-dd")</f>
        <v/>
      </c>
      <c r="C74580" t="inlineStr">
        <is>
          <t>2104-02-14</t>
        </is>
      </c>
    </row>
    <row r="74581">
      <c r="A74581" s="1" t="n">
        <v>74580</v>
      </c>
      <c r="B74581">
        <f>TEXT(74580, "[$-0E0000]yyyy-mm-dd")</f>
        <v/>
      </c>
      <c r="C74581" t="inlineStr">
        <is>
          <t>2104-02-15</t>
        </is>
      </c>
    </row>
    <row r="74582">
      <c r="A74582" s="1" t="n">
        <v>74581</v>
      </c>
      <c r="B74582">
        <f>TEXT(74581, "[$-0E0000]yyyy-mm-dd")</f>
        <v/>
      </c>
      <c r="C74582" t="inlineStr">
        <is>
          <t>2104-02-16</t>
        </is>
      </c>
    </row>
    <row r="74583">
      <c r="A74583" s="1" t="n">
        <v>74582</v>
      </c>
      <c r="B74583">
        <f>TEXT(74582, "[$-0E0000]yyyy-mm-dd")</f>
        <v/>
      </c>
      <c r="C74583" t="inlineStr">
        <is>
          <t>2104-02-17</t>
        </is>
      </c>
    </row>
    <row r="74584">
      <c r="A74584" s="1" t="n">
        <v>74583</v>
      </c>
      <c r="B74584">
        <f>TEXT(74583, "[$-0E0000]yyyy-mm-dd")</f>
        <v/>
      </c>
      <c r="C74584" t="inlineStr">
        <is>
          <t>2104-02-18</t>
        </is>
      </c>
    </row>
    <row r="74585">
      <c r="A74585" s="1" t="n">
        <v>74584</v>
      </c>
      <c r="B74585">
        <f>TEXT(74584, "[$-0E0000]yyyy-mm-dd")</f>
        <v/>
      </c>
      <c r="C74585" t="inlineStr">
        <is>
          <t>2104-02-19</t>
        </is>
      </c>
    </row>
    <row r="74586">
      <c r="A74586" s="1" t="n">
        <v>74585</v>
      </c>
      <c r="B74586">
        <f>TEXT(74585, "[$-0E0000]yyyy-mm-dd")</f>
        <v/>
      </c>
      <c r="C74586" t="inlineStr">
        <is>
          <t>2104-02-20</t>
        </is>
      </c>
    </row>
    <row r="74587">
      <c r="A74587" s="1" t="n">
        <v>74586</v>
      </c>
      <c r="B74587">
        <f>TEXT(74586, "[$-0E0000]yyyy-mm-dd")</f>
        <v/>
      </c>
      <c r="C74587" t="inlineStr">
        <is>
          <t>2104-02-21</t>
        </is>
      </c>
    </row>
    <row r="74588">
      <c r="A74588" s="1" t="n">
        <v>74587</v>
      </c>
      <c r="B74588">
        <f>TEXT(74587, "[$-0E0000]yyyy-mm-dd")</f>
        <v/>
      </c>
      <c r="C74588" t="inlineStr">
        <is>
          <t>2104-02-22</t>
        </is>
      </c>
    </row>
    <row r="74589">
      <c r="A74589" s="1" t="n">
        <v>74588</v>
      </c>
      <c r="B74589">
        <f>TEXT(74588, "[$-0E0000]yyyy-mm-dd")</f>
        <v/>
      </c>
      <c r="C74589" t="inlineStr">
        <is>
          <t>2104-02-23</t>
        </is>
      </c>
    </row>
    <row r="74590">
      <c r="A74590" s="1" t="n">
        <v>74589</v>
      </c>
      <c r="B74590">
        <f>TEXT(74589, "[$-0E0000]yyyy-mm-dd")</f>
        <v/>
      </c>
      <c r="C74590" t="inlineStr">
        <is>
          <t>2104-02-24</t>
        </is>
      </c>
    </row>
    <row r="74591">
      <c r="A74591" s="1" t="n">
        <v>74590</v>
      </c>
      <c r="B74591">
        <f>TEXT(74590, "[$-0E0000]yyyy-mm-dd")</f>
        <v/>
      </c>
      <c r="C74591" t="inlineStr">
        <is>
          <t>2104-02-25</t>
        </is>
      </c>
    </row>
    <row r="74592">
      <c r="A74592" s="1" t="n">
        <v>74591</v>
      </c>
      <c r="B74592">
        <f>TEXT(74591, "[$-0E0000]yyyy-mm-dd")</f>
        <v/>
      </c>
      <c r="C74592" t="inlineStr">
        <is>
          <t>2104-02-26</t>
        </is>
      </c>
    </row>
    <row r="74593">
      <c r="A74593" s="1" t="n">
        <v>74592</v>
      </c>
      <c r="B74593">
        <f>TEXT(74592, "[$-0E0000]yyyy-mm-dd")</f>
        <v/>
      </c>
      <c r="C74593" t="inlineStr">
        <is>
          <t>2104-02-27</t>
        </is>
      </c>
    </row>
    <row r="74594">
      <c r="A74594" s="1" t="n">
        <v>74593</v>
      </c>
      <c r="B74594">
        <f>TEXT(74593, "[$-0E0000]yyyy-mm-dd")</f>
        <v/>
      </c>
      <c r="C74594" t="inlineStr">
        <is>
          <t>2104-02-28</t>
        </is>
      </c>
    </row>
    <row r="74595">
      <c r="A74595" s="1" t="n">
        <v>74594</v>
      </c>
      <c r="B74595">
        <f>TEXT(74594, "[$-0E0000]yyyy-mm-dd")</f>
        <v/>
      </c>
      <c r="C74595" t="inlineStr">
        <is>
          <t>2104-02-29</t>
        </is>
      </c>
    </row>
    <row r="74596">
      <c r="A74596" s="1" t="n">
        <v>74595</v>
      </c>
      <c r="B74596">
        <f>TEXT(74595, "[$-0E0000]yyyy-mm-dd")</f>
        <v/>
      </c>
      <c r="C74596" t="inlineStr">
        <is>
          <t>2104-02-30</t>
        </is>
      </c>
    </row>
    <row r="74597">
      <c r="A74597" s="1" t="n">
        <v>74596</v>
      </c>
      <c r="B74597">
        <f>TEXT(74596, "[$-0E0000]yyyy-mm-dd")</f>
        <v/>
      </c>
      <c r="C74597" t="inlineStr">
        <is>
          <t>2104-03-01</t>
        </is>
      </c>
    </row>
    <row r="74598">
      <c r="A74598" s="1" t="n">
        <v>74597</v>
      </c>
      <c r="B74598">
        <f>TEXT(74597, "[$-0E0000]yyyy-mm-dd")</f>
        <v/>
      </c>
      <c r="C74598" t="inlineStr">
        <is>
          <t>2104-03-02</t>
        </is>
      </c>
    </row>
    <row r="74599">
      <c r="A74599" s="1" t="n">
        <v>74598</v>
      </c>
      <c r="B74599">
        <f>TEXT(74598, "[$-0E0000]yyyy-mm-dd")</f>
        <v/>
      </c>
      <c r="C74599" t="inlineStr">
        <is>
          <t>2104-03-03</t>
        </is>
      </c>
    </row>
    <row r="74600">
      <c r="A74600" s="1" t="n">
        <v>74599</v>
      </c>
      <c r="B74600">
        <f>TEXT(74599, "[$-0E0000]yyyy-mm-dd")</f>
        <v/>
      </c>
      <c r="C74600" t="inlineStr">
        <is>
          <t>2104-03-04</t>
        </is>
      </c>
    </row>
    <row r="74601">
      <c r="A74601" s="1" t="n">
        <v>74600</v>
      </c>
      <c r="B74601">
        <f>TEXT(74600, "[$-0E0000]yyyy-mm-dd")</f>
        <v/>
      </c>
      <c r="C74601" t="inlineStr">
        <is>
          <t>2104-03-05</t>
        </is>
      </c>
    </row>
    <row r="74602">
      <c r="A74602" s="1" t="n">
        <v>74601</v>
      </c>
      <c r="B74602">
        <f>TEXT(74601, "[$-0E0000]yyyy-mm-dd")</f>
        <v/>
      </c>
      <c r="C74602" t="inlineStr">
        <is>
          <t>2104-03-06</t>
        </is>
      </c>
    </row>
    <row r="74603">
      <c r="A74603" s="1" t="n">
        <v>74602</v>
      </c>
      <c r="B74603">
        <f>TEXT(74602, "[$-0E0000]yyyy-mm-dd")</f>
        <v/>
      </c>
      <c r="C74603" t="inlineStr">
        <is>
          <t>2104-03-07</t>
        </is>
      </c>
    </row>
    <row r="74604">
      <c r="A74604" s="1" t="n">
        <v>74603</v>
      </c>
      <c r="B74604">
        <f>TEXT(74603, "[$-0E0000]yyyy-mm-dd")</f>
        <v/>
      </c>
      <c r="C74604" t="inlineStr">
        <is>
          <t>2104-03-08</t>
        </is>
      </c>
    </row>
    <row r="74605">
      <c r="A74605" s="1" t="n">
        <v>74604</v>
      </c>
      <c r="B74605">
        <f>TEXT(74604, "[$-0E0000]yyyy-mm-dd")</f>
        <v/>
      </c>
      <c r="C74605" t="inlineStr">
        <is>
          <t>2104-03-09</t>
        </is>
      </c>
    </row>
    <row r="74606">
      <c r="A74606" s="1" t="n">
        <v>74605</v>
      </c>
      <c r="B74606">
        <f>TEXT(74605, "[$-0E0000]yyyy-mm-dd")</f>
        <v/>
      </c>
      <c r="C74606" t="inlineStr">
        <is>
          <t>2104-03-10</t>
        </is>
      </c>
    </row>
    <row r="74607">
      <c r="A74607" s="1" t="n">
        <v>74606</v>
      </c>
      <c r="B74607">
        <f>TEXT(74606, "[$-0E0000]yyyy-mm-dd")</f>
        <v/>
      </c>
      <c r="C74607" t="inlineStr">
        <is>
          <t>2104-03-11</t>
        </is>
      </c>
    </row>
    <row r="74608">
      <c r="A74608" s="1" t="n">
        <v>74607</v>
      </c>
      <c r="B74608">
        <f>TEXT(74607, "[$-0E0000]yyyy-mm-dd")</f>
        <v/>
      </c>
      <c r="C74608" t="inlineStr">
        <is>
          <t>2104-03-12</t>
        </is>
      </c>
    </row>
    <row r="74609">
      <c r="A74609" s="1" t="n">
        <v>74608</v>
      </c>
      <c r="B74609">
        <f>TEXT(74608, "[$-0E0000]yyyy-mm-dd")</f>
        <v/>
      </c>
      <c r="C74609" t="inlineStr">
        <is>
          <t>2104-03-13</t>
        </is>
      </c>
    </row>
    <row r="74610">
      <c r="A74610" s="1" t="n">
        <v>74609</v>
      </c>
      <c r="B74610">
        <f>TEXT(74609, "[$-0E0000]yyyy-mm-dd")</f>
        <v/>
      </c>
      <c r="C74610" t="inlineStr">
        <is>
          <t>2104-03-14</t>
        </is>
      </c>
    </row>
    <row r="74611">
      <c r="A74611" s="1" t="n">
        <v>74610</v>
      </c>
      <c r="B74611">
        <f>TEXT(74610, "[$-0E0000]yyyy-mm-dd")</f>
        <v/>
      </c>
      <c r="C74611" t="inlineStr">
        <is>
          <t>2104-03-15</t>
        </is>
      </c>
    </row>
    <row r="74612">
      <c r="A74612" s="1" t="n">
        <v>74611</v>
      </c>
      <c r="B74612">
        <f>TEXT(74611, "[$-0E0000]yyyy-mm-dd")</f>
        <v/>
      </c>
      <c r="C74612" t="inlineStr">
        <is>
          <t>2104-03-16</t>
        </is>
      </c>
    </row>
    <row r="74613">
      <c r="A74613" s="1" t="n">
        <v>74612</v>
      </c>
      <c r="B74613">
        <f>TEXT(74612, "[$-0E0000]yyyy-mm-dd")</f>
        <v/>
      </c>
      <c r="C74613" t="inlineStr">
        <is>
          <t>2104-03-17</t>
        </is>
      </c>
    </row>
    <row r="74614">
      <c r="A74614" s="1" t="n">
        <v>74613</v>
      </c>
      <c r="B74614">
        <f>TEXT(74613, "[$-0E0000]yyyy-mm-dd")</f>
        <v/>
      </c>
      <c r="C74614" t="inlineStr">
        <is>
          <t>2104-03-18</t>
        </is>
      </c>
    </row>
    <row r="74615">
      <c r="A74615" s="1" t="n">
        <v>74614</v>
      </c>
      <c r="B74615">
        <f>TEXT(74614, "[$-0E0000]yyyy-mm-dd")</f>
        <v/>
      </c>
      <c r="C74615" t="inlineStr">
        <is>
          <t>2104-03-19</t>
        </is>
      </c>
    </row>
    <row r="74616">
      <c r="A74616" s="1" t="n">
        <v>74615</v>
      </c>
      <c r="B74616">
        <f>TEXT(74615, "[$-0E0000]yyyy-mm-dd")</f>
        <v/>
      </c>
      <c r="C74616" t="inlineStr">
        <is>
          <t>2104-03-20</t>
        </is>
      </c>
    </row>
    <row r="74617">
      <c r="A74617" s="1" t="n">
        <v>74616</v>
      </c>
      <c r="B74617">
        <f>TEXT(74616, "[$-0E0000]yyyy-mm-dd")</f>
        <v/>
      </c>
      <c r="C74617" t="inlineStr">
        <is>
          <t>2104-03-21</t>
        </is>
      </c>
    </row>
    <row r="74618">
      <c r="A74618" s="1" t="n">
        <v>74617</v>
      </c>
      <c r="B74618">
        <f>TEXT(74617, "[$-0E0000]yyyy-mm-dd")</f>
        <v/>
      </c>
      <c r="C74618" t="inlineStr">
        <is>
          <t>2104-03-22</t>
        </is>
      </c>
    </row>
    <row r="74619">
      <c r="A74619" s="1" t="n">
        <v>74618</v>
      </c>
      <c r="B74619">
        <f>TEXT(74618, "[$-0E0000]yyyy-mm-dd")</f>
        <v/>
      </c>
      <c r="C74619" t="inlineStr">
        <is>
          <t>2104-03-23</t>
        </is>
      </c>
    </row>
    <row r="74620">
      <c r="A74620" s="1" t="n">
        <v>74619</v>
      </c>
      <c r="B74620">
        <f>TEXT(74619, "[$-0E0000]yyyy-mm-dd")</f>
        <v/>
      </c>
      <c r="C74620" t="inlineStr">
        <is>
          <t>2104-03-24</t>
        </is>
      </c>
    </row>
    <row r="74621">
      <c r="A74621" s="1" t="n">
        <v>74620</v>
      </c>
      <c r="B74621">
        <f>TEXT(74620, "[$-0E0000]yyyy-mm-dd")</f>
        <v/>
      </c>
      <c r="C74621" t="inlineStr">
        <is>
          <t>2104-03-25</t>
        </is>
      </c>
    </row>
    <row r="74622">
      <c r="A74622" s="1" t="n">
        <v>74621</v>
      </c>
      <c r="B74622">
        <f>TEXT(74621, "[$-0E0000]yyyy-mm-dd")</f>
        <v/>
      </c>
      <c r="C74622" t="inlineStr">
        <is>
          <t>2104-03-26</t>
        </is>
      </c>
    </row>
    <row r="74623">
      <c r="A74623" s="1" t="n">
        <v>74622</v>
      </c>
      <c r="B74623">
        <f>TEXT(74622, "[$-0E0000]yyyy-mm-dd")</f>
        <v/>
      </c>
      <c r="C74623" t="inlineStr">
        <is>
          <t>2104-03-27</t>
        </is>
      </c>
    </row>
    <row r="74624">
      <c r="A74624" s="1" t="n">
        <v>74623</v>
      </c>
      <c r="B74624">
        <f>TEXT(74623, "[$-0E0000]yyyy-mm-dd")</f>
        <v/>
      </c>
      <c r="C74624" t="inlineStr">
        <is>
          <t>2104-03-28</t>
        </is>
      </c>
    </row>
    <row r="74625">
      <c r="A74625" s="1" t="n">
        <v>74624</v>
      </c>
      <c r="B74625">
        <f>TEXT(74624, "[$-0E0000]yyyy-mm-dd")</f>
        <v/>
      </c>
      <c r="C74625" t="inlineStr">
        <is>
          <t>2104-03-29</t>
        </is>
      </c>
    </row>
    <row r="74626">
      <c r="A74626" s="1" t="n">
        <v>74625</v>
      </c>
      <c r="B74626">
        <f>TEXT(74625, "[$-0E0000]yyyy-mm-dd")</f>
        <v/>
      </c>
      <c r="C74626" t="inlineStr">
        <is>
          <t>2104-04-01</t>
        </is>
      </c>
    </row>
    <row r="74627">
      <c r="A74627" s="1" t="n">
        <v>74626</v>
      </c>
      <c r="B74627">
        <f>TEXT(74626, "[$-0E0000]yyyy-mm-dd")</f>
        <v/>
      </c>
      <c r="C74627" t="inlineStr">
        <is>
          <t>2104-04-02</t>
        </is>
      </c>
    </row>
    <row r="74628">
      <c r="A74628" s="1" t="n">
        <v>74627</v>
      </c>
      <c r="B74628">
        <f>TEXT(74627, "[$-0E0000]yyyy-mm-dd")</f>
        <v/>
      </c>
      <c r="C74628" t="inlineStr">
        <is>
          <t>2104-04-03</t>
        </is>
      </c>
    </row>
    <row r="74629">
      <c r="A74629" s="1" t="n">
        <v>74628</v>
      </c>
      <c r="B74629">
        <f>TEXT(74628, "[$-0E0000]yyyy-mm-dd")</f>
        <v/>
      </c>
      <c r="C74629" t="inlineStr">
        <is>
          <t>2104-04-04</t>
        </is>
      </c>
    </row>
    <row r="74630">
      <c r="A74630" s="1" t="n">
        <v>74629</v>
      </c>
      <c r="B74630">
        <f>TEXT(74629, "[$-0E0000]yyyy-mm-dd")</f>
        <v/>
      </c>
      <c r="C74630" t="inlineStr">
        <is>
          <t>2104-04-05</t>
        </is>
      </c>
    </row>
    <row r="74631">
      <c r="A74631" s="1" t="n">
        <v>74630</v>
      </c>
      <c r="B74631">
        <f>TEXT(74630, "[$-0E0000]yyyy-mm-dd")</f>
        <v/>
      </c>
      <c r="C74631" t="inlineStr">
        <is>
          <t>2104-04-06</t>
        </is>
      </c>
    </row>
    <row r="74632">
      <c r="A74632" s="1" t="n">
        <v>74631</v>
      </c>
      <c r="B74632">
        <f>TEXT(74631, "[$-0E0000]yyyy-mm-dd")</f>
        <v/>
      </c>
      <c r="C74632" t="inlineStr">
        <is>
          <t>2104-04-07</t>
        </is>
      </c>
    </row>
    <row r="74633">
      <c r="A74633" s="1" t="n">
        <v>74632</v>
      </c>
      <c r="B74633">
        <f>TEXT(74632, "[$-0E0000]yyyy-mm-dd")</f>
        <v/>
      </c>
      <c r="C74633" t="inlineStr">
        <is>
          <t>2104-04-08</t>
        </is>
      </c>
    </row>
    <row r="74634">
      <c r="A74634" s="1" t="n">
        <v>74633</v>
      </c>
      <c r="B74634">
        <f>TEXT(74633, "[$-0E0000]yyyy-mm-dd")</f>
        <v/>
      </c>
      <c r="C74634" t="inlineStr">
        <is>
          <t>2104-04-09</t>
        </is>
      </c>
    </row>
    <row r="74635">
      <c r="A74635" s="1" t="n">
        <v>74634</v>
      </c>
      <c r="B74635">
        <f>TEXT(74634, "[$-0E0000]yyyy-mm-dd")</f>
        <v/>
      </c>
      <c r="C74635" t="inlineStr">
        <is>
          <t>2104-04-10</t>
        </is>
      </c>
    </row>
    <row r="74636">
      <c r="A74636" s="1" t="n">
        <v>74635</v>
      </c>
      <c r="B74636">
        <f>TEXT(74635, "[$-0E0000]yyyy-mm-dd")</f>
        <v/>
      </c>
      <c r="C74636" t="inlineStr">
        <is>
          <t>2104-04-11</t>
        </is>
      </c>
    </row>
    <row r="74637">
      <c r="A74637" s="1" t="n">
        <v>74636</v>
      </c>
      <c r="B74637">
        <f>TEXT(74636, "[$-0E0000]yyyy-mm-dd")</f>
        <v/>
      </c>
      <c r="C74637" t="inlineStr">
        <is>
          <t>2104-04-12</t>
        </is>
      </c>
    </row>
    <row r="74638">
      <c r="A74638" s="1" t="n">
        <v>74637</v>
      </c>
      <c r="B74638">
        <f>TEXT(74637, "[$-0E0000]yyyy-mm-dd")</f>
        <v/>
      </c>
      <c r="C74638" t="inlineStr">
        <is>
          <t>2104-04-13</t>
        </is>
      </c>
    </row>
    <row r="74639">
      <c r="A74639" s="1" t="n">
        <v>74638</v>
      </c>
      <c r="B74639">
        <f>TEXT(74638, "[$-0E0000]yyyy-mm-dd")</f>
        <v/>
      </c>
      <c r="C74639" t="inlineStr">
        <is>
          <t>2104-04-14</t>
        </is>
      </c>
    </row>
    <row r="74640">
      <c r="A74640" s="1" t="n">
        <v>74639</v>
      </c>
      <c r="B74640">
        <f>TEXT(74639, "[$-0E0000]yyyy-mm-dd")</f>
        <v/>
      </c>
      <c r="C74640" t="inlineStr">
        <is>
          <t>2104-04-15</t>
        </is>
      </c>
    </row>
    <row r="74641">
      <c r="A74641" s="1" t="n">
        <v>74640</v>
      </c>
      <c r="B74641">
        <f>TEXT(74640, "[$-0E0000]yyyy-mm-dd")</f>
        <v/>
      </c>
      <c r="C74641" t="inlineStr">
        <is>
          <t>2104-04-16</t>
        </is>
      </c>
    </row>
    <row r="74642">
      <c r="A74642" s="1" t="n">
        <v>74641</v>
      </c>
      <c r="B74642">
        <f>TEXT(74641, "[$-0E0000]yyyy-mm-dd")</f>
        <v/>
      </c>
      <c r="C74642" t="inlineStr">
        <is>
          <t>2104-04-17</t>
        </is>
      </c>
    </row>
    <row r="74643">
      <c r="A74643" s="1" t="n">
        <v>74642</v>
      </c>
      <c r="B74643">
        <f>TEXT(74642, "[$-0E0000]yyyy-mm-dd")</f>
        <v/>
      </c>
      <c r="C74643" t="inlineStr">
        <is>
          <t>2104-04-18</t>
        </is>
      </c>
    </row>
    <row r="74644">
      <c r="A74644" s="1" t="n">
        <v>74643</v>
      </c>
      <c r="B74644">
        <f>TEXT(74643, "[$-0E0000]yyyy-mm-dd")</f>
        <v/>
      </c>
      <c r="C74644" t="inlineStr">
        <is>
          <t>2104-04-19</t>
        </is>
      </c>
    </row>
    <row r="74645">
      <c r="A74645" s="1" t="n">
        <v>74644</v>
      </c>
      <c r="B74645">
        <f>TEXT(74644, "[$-0E0000]yyyy-mm-dd")</f>
        <v/>
      </c>
      <c r="C74645" t="inlineStr">
        <is>
          <t>2104-04-20</t>
        </is>
      </c>
    </row>
    <row r="74646">
      <c r="A74646" s="1" t="n">
        <v>74645</v>
      </c>
      <c r="B74646">
        <f>TEXT(74645, "[$-0E0000]yyyy-mm-dd")</f>
        <v/>
      </c>
      <c r="C74646" t="inlineStr">
        <is>
          <t>2104-04-21</t>
        </is>
      </c>
    </row>
    <row r="74647">
      <c r="A74647" s="1" t="n">
        <v>74646</v>
      </c>
      <c r="B74647">
        <f>TEXT(74646, "[$-0E0000]yyyy-mm-dd")</f>
        <v/>
      </c>
      <c r="C74647" t="inlineStr">
        <is>
          <t>2104-04-22</t>
        </is>
      </c>
    </row>
    <row r="74648">
      <c r="A74648" s="1" t="n">
        <v>74647</v>
      </c>
      <c r="B74648">
        <f>TEXT(74647, "[$-0E0000]yyyy-mm-dd")</f>
        <v/>
      </c>
      <c r="C74648" t="inlineStr">
        <is>
          <t>2104-04-23</t>
        </is>
      </c>
    </row>
    <row r="74649">
      <c r="A74649" s="1" t="n">
        <v>74648</v>
      </c>
      <c r="B74649">
        <f>TEXT(74648, "[$-0E0000]yyyy-mm-dd")</f>
        <v/>
      </c>
      <c r="C74649" t="inlineStr">
        <is>
          <t>2104-04-24</t>
        </is>
      </c>
    </row>
    <row r="74650">
      <c r="A74650" s="1" t="n">
        <v>74649</v>
      </c>
      <c r="B74650">
        <f>TEXT(74649, "[$-0E0000]yyyy-mm-dd")</f>
        <v/>
      </c>
      <c r="C74650" t="inlineStr">
        <is>
          <t>2104-04-25</t>
        </is>
      </c>
    </row>
    <row r="74651">
      <c r="A74651" s="1" t="n">
        <v>74650</v>
      </c>
      <c r="B74651">
        <f>TEXT(74650, "[$-0E0000]yyyy-mm-dd")</f>
        <v/>
      </c>
      <c r="C74651" t="inlineStr">
        <is>
          <t>2104-04-26</t>
        </is>
      </c>
    </row>
    <row r="74652">
      <c r="A74652" s="1" t="n">
        <v>74651</v>
      </c>
      <c r="B74652">
        <f>TEXT(74651, "[$-0E0000]yyyy-mm-dd")</f>
        <v/>
      </c>
      <c r="C74652" t="inlineStr">
        <is>
          <t>2104-04-27</t>
        </is>
      </c>
    </row>
    <row r="74653">
      <c r="A74653" s="1" t="n">
        <v>74652</v>
      </c>
      <c r="B74653">
        <f>TEXT(74652, "[$-0E0000]yyyy-mm-dd")</f>
        <v/>
      </c>
      <c r="C74653" t="inlineStr">
        <is>
          <t>2104-04-28</t>
        </is>
      </c>
    </row>
    <row r="74654">
      <c r="A74654" s="1" t="n">
        <v>74653</v>
      </c>
      <c r="B74654">
        <f>TEXT(74653, "[$-0E0000]yyyy-mm-dd")</f>
        <v/>
      </c>
      <c r="C74654" t="inlineStr">
        <is>
          <t>2104-04-29</t>
        </is>
      </c>
    </row>
    <row r="74655">
      <c r="A74655" s="1" t="n">
        <v>74654</v>
      </c>
      <c r="B74655">
        <f>TEXT(74654, "[$-0E0000]yyyy-mm-dd")</f>
        <v/>
      </c>
      <c r="C74655" t="inlineStr">
        <is>
          <t>2104-05-01</t>
        </is>
      </c>
    </row>
    <row r="74656">
      <c r="A74656" s="1" t="n">
        <v>74655</v>
      </c>
      <c r="B74656">
        <f>TEXT(74655, "[$-0E0000]yyyy-mm-dd")</f>
        <v/>
      </c>
      <c r="C74656" t="inlineStr">
        <is>
          <t>2104-05-02</t>
        </is>
      </c>
    </row>
    <row r="74657">
      <c r="A74657" s="1" t="n">
        <v>74656</v>
      </c>
      <c r="B74657">
        <f>TEXT(74656, "[$-0E0000]yyyy-mm-dd")</f>
        <v/>
      </c>
      <c r="C74657" t="inlineStr">
        <is>
          <t>2104-05-03</t>
        </is>
      </c>
    </row>
    <row r="74658">
      <c r="A74658" s="1" t="n">
        <v>74657</v>
      </c>
      <c r="B74658">
        <f>TEXT(74657, "[$-0E0000]yyyy-mm-dd")</f>
        <v/>
      </c>
      <c r="C74658" t="inlineStr">
        <is>
          <t>2104-05-04</t>
        </is>
      </c>
    </row>
    <row r="74659">
      <c r="A74659" s="1" t="n">
        <v>74658</v>
      </c>
      <c r="B74659">
        <f>TEXT(74658, "[$-0E0000]yyyy-mm-dd")</f>
        <v/>
      </c>
      <c r="C74659" t="inlineStr">
        <is>
          <t>2104-05-05</t>
        </is>
      </c>
    </row>
    <row r="74660">
      <c r="A74660" s="1" t="n">
        <v>74659</v>
      </c>
      <c r="B74660">
        <f>TEXT(74659, "[$-0E0000]yyyy-mm-dd")</f>
        <v/>
      </c>
      <c r="C74660" t="inlineStr">
        <is>
          <t>2104-05-06</t>
        </is>
      </c>
    </row>
    <row r="74661">
      <c r="A74661" s="1" t="n">
        <v>74660</v>
      </c>
      <c r="B74661">
        <f>TEXT(74660, "[$-0E0000]yyyy-mm-dd")</f>
        <v/>
      </c>
      <c r="C74661" t="inlineStr">
        <is>
          <t>2104-05-07</t>
        </is>
      </c>
    </row>
    <row r="74662">
      <c r="A74662" s="1" t="n">
        <v>74661</v>
      </c>
      <c r="B74662">
        <f>TEXT(74661, "[$-0E0000]yyyy-mm-dd")</f>
        <v/>
      </c>
      <c r="C74662" t="inlineStr">
        <is>
          <t>2104-05-08</t>
        </is>
      </c>
    </row>
    <row r="74663">
      <c r="A74663" s="1" t="n">
        <v>74662</v>
      </c>
      <c r="B74663">
        <f>TEXT(74662, "[$-0E0000]yyyy-mm-dd")</f>
        <v/>
      </c>
      <c r="C74663" t="inlineStr">
        <is>
          <t>2104-05-09</t>
        </is>
      </c>
    </row>
    <row r="74664">
      <c r="A74664" s="1" t="n">
        <v>74663</v>
      </c>
      <c r="B74664">
        <f>TEXT(74663, "[$-0E0000]yyyy-mm-dd")</f>
        <v/>
      </c>
      <c r="C74664" t="inlineStr">
        <is>
          <t>2104-05-10</t>
        </is>
      </c>
    </row>
    <row r="74665">
      <c r="A74665" s="1" t="n">
        <v>74664</v>
      </c>
      <c r="B74665">
        <f>TEXT(74664, "[$-0E0000]yyyy-mm-dd")</f>
        <v/>
      </c>
      <c r="C74665" t="inlineStr">
        <is>
          <t>2104-05-11</t>
        </is>
      </c>
    </row>
    <row r="74666">
      <c r="A74666" s="1" t="n">
        <v>74665</v>
      </c>
      <c r="B74666">
        <f>TEXT(74665, "[$-0E0000]yyyy-mm-dd")</f>
        <v/>
      </c>
      <c r="C74666" t="inlineStr">
        <is>
          <t>2104-05-12</t>
        </is>
      </c>
    </row>
    <row r="74667">
      <c r="A74667" s="1" t="n">
        <v>74666</v>
      </c>
      <c r="B74667">
        <f>TEXT(74666, "[$-0E0000]yyyy-mm-dd")</f>
        <v/>
      </c>
      <c r="C74667" t="inlineStr">
        <is>
          <t>2104-05-13</t>
        </is>
      </c>
    </row>
    <row r="74668">
      <c r="A74668" s="1" t="n">
        <v>74667</v>
      </c>
      <c r="B74668">
        <f>TEXT(74667, "[$-0E0000]yyyy-mm-dd")</f>
        <v/>
      </c>
      <c r="C74668" t="inlineStr">
        <is>
          <t>2104-05-14</t>
        </is>
      </c>
    </row>
    <row r="74669">
      <c r="A74669" s="1" t="n">
        <v>74668</v>
      </c>
      <c r="B74669">
        <f>TEXT(74668, "[$-0E0000]yyyy-mm-dd")</f>
        <v/>
      </c>
      <c r="C74669" t="inlineStr">
        <is>
          <t>2104-05-15</t>
        </is>
      </c>
    </row>
    <row r="74670">
      <c r="A74670" s="1" t="n">
        <v>74669</v>
      </c>
      <c r="B74670">
        <f>TEXT(74669, "[$-0E0000]yyyy-mm-dd")</f>
        <v/>
      </c>
      <c r="C74670" t="inlineStr">
        <is>
          <t>2104-05-16</t>
        </is>
      </c>
    </row>
    <row r="74671">
      <c r="A74671" s="1" t="n">
        <v>74670</v>
      </c>
      <c r="B74671">
        <f>TEXT(74670, "[$-0E0000]yyyy-mm-dd")</f>
        <v/>
      </c>
      <c r="C74671" t="inlineStr">
        <is>
          <t>2104-05-17</t>
        </is>
      </c>
    </row>
    <row r="74672">
      <c r="A74672" s="1" t="n">
        <v>74671</v>
      </c>
      <c r="B74672">
        <f>TEXT(74671, "[$-0E0000]yyyy-mm-dd")</f>
        <v/>
      </c>
      <c r="C74672" t="inlineStr">
        <is>
          <t>2104-05-18</t>
        </is>
      </c>
    </row>
    <row r="74673">
      <c r="A74673" s="1" t="n">
        <v>74672</v>
      </c>
      <c r="B74673">
        <f>TEXT(74672, "[$-0E0000]yyyy-mm-dd")</f>
        <v/>
      </c>
      <c r="C74673" t="inlineStr">
        <is>
          <t>2104-05-19</t>
        </is>
      </c>
    </row>
    <row r="74674">
      <c r="A74674" s="1" t="n">
        <v>74673</v>
      </c>
      <c r="B74674">
        <f>TEXT(74673, "[$-0E0000]yyyy-mm-dd")</f>
        <v/>
      </c>
      <c r="C74674" t="inlineStr">
        <is>
          <t>2104-05-20</t>
        </is>
      </c>
    </row>
    <row r="74675">
      <c r="A74675" s="1" t="n">
        <v>74674</v>
      </c>
      <c r="B74675">
        <f>TEXT(74674, "[$-0E0000]yyyy-mm-dd")</f>
        <v/>
      </c>
      <c r="C74675" t="inlineStr">
        <is>
          <t>2104-05-21</t>
        </is>
      </c>
    </row>
    <row r="74676">
      <c r="A74676" s="1" t="n">
        <v>74675</v>
      </c>
      <c r="B74676">
        <f>TEXT(74675, "[$-0E0000]yyyy-mm-dd")</f>
        <v/>
      </c>
      <c r="C74676" t="inlineStr">
        <is>
          <t>2104-05-22</t>
        </is>
      </c>
    </row>
    <row r="74677">
      <c r="A74677" s="1" t="n">
        <v>74676</v>
      </c>
      <c r="B74677">
        <f>TEXT(74676, "[$-0E0000]yyyy-mm-dd")</f>
        <v/>
      </c>
      <c r="C74677" t="inlineStr">
        <is>
          <t>2104-05-23</t>
        </is>
      </c>
    </row>
    <row r="74678">
      <c r="A74678" s="1" t="n">
        <v>74677</v>
      </c>
      <c r="B74678">
        <f>TEXT(74677, "[$-0E0000]yyyy-mm-dd")</f>
        <v/>
      </c>
      <c r="C74678" t="inlineStr">
        <is>
          <t>2104-05-24</t>
        </is>
      </c>
    </row>
    <row r="74679">
      <c r="A74679" s="1" t="n">
        <v>74678</v>
      </c>
      <c r="B74679">
        <f>TEXT(74678, "[$-0E0000]yyyy-mm-dd")</f>
        <v/>
      </c>
      <c r="C74679" t="inlineStr">
        <is>
          <t>2104-05-25</t>
        </is>
      </c>
    </row>
    <row r="74680">
      <c r="A74680" s="1" t="n">
        <v>74679</v>
      </c>
      <c r="B74680">
        <f>TEXT(74679, "[$-0E0000]yyyy-mm-dd")</f>
        <v/>
      </c>
      <c r="C74680" t="inlineStr">
        <is>
          <t>2104-05-26</t>
        </is>
      </c>
    </row>
    <row r="74681">
      <c r="A74681" s="1" t="n">
        <v>74680</v>
      </c>
      <c r="B74681">
        <f>TEXT(74680, "[$-0E0000]yyyy-mm-dd")</f>
        <v/>
      </c>
      <c r="C74681" t="inlineStr">
        <is>
          <t>2104-05-27</t>
        </is>
      </c>
    </row>
    <row r="74682">
      <c r="A74682" s="1" t="n">
        <v>74681</v>
      </c>
      <c r="B74682">
        <f>TEXT(74681, "[$-0E0000]yyyy-mm-dd")</f>
        <v/>
      </c>
      <c r="C74682" t="inlineStr">
        <is>
          <t>2104-05-28</t>
        </is>
      </c>
    </row>
    <row r="74683">
      <c r="A74683" s="1" t="n">
        <v>74682</v>
      </c>
      <c r="B74683">
        <f>TEXT(74682, "[$-0E0000]yyyy-mm-dd")</f>
        <v/>
      </c>
      <c r="C74683" t="inlineStr">
        <is>
          <t>2104-05-29</t>
        </is>
      </c>
    </row>
    <row r="74684">
      <c r="A74684" s="1" t="n">
        <v>74683</v>
      </c>
      <c r="B74684">
        <f>TEXT(74683, "[$-0E0000]yyyy-mm-dd")</f>
        <v/>
      </c>
      <c r="C74684" t="inlineStr">
        <is>
          <t>2104-05-30</t>
        </is>
      </c>
    </row>
    <row r="74685">
      <c r="A74685" s="1" t="n">
        <v>74684</v>
      </c>
      <c r="B74685">
        <f>TEXT(74684, "[$-0E0000]yyyy-mm-dd")</f>
        <v/>
      </c>
      <c r="C74685" t="inlineStr">
        <is>
          <t>2104-05-01</t>
        </is>
      </c>
    </row>
    <row r="74686">
      <c r="A74686" s="1" t="n">
        <v>74685</v>
      </c>
      <c r="B74686">
        <f>TEXT(74685, "[$-0E0000]yyyy-mm-dd")</f>
        <v/>
      </c>
      <c r="C74686" t="inlineStr">
        <is>
          <t>2104-05-02</t>
        </is>
      </c>
    </row>
    <row r="74687">
      <c r="A74687" s="1" t="n">
        <v>74686</v>
      </c>
      <c r="B74687">
        <f>TEXT(74686, "[$-0E0000]yyyy-mm-dd")</f>
        <v/>
      </c>
      <c r="C74687" t="inlineStr">
        <is>
          <t>2104-05-03</t>
        </is>
      </c>
    </row>
    <row r="74688">
      <c r="A74688" s="1" t="n">
        <v>74687</v>
      </c>
      <c r="B74688">
        <f>TEXT(74687, "[$-0E0000]yyyy-mm-dd")</f>
        <v/>
      </c>
      <c r="C74688" t="inlineStr">
        <is>
          <t>2104-05-04</t>
        </is>
      </c>
    </row>
    <row r="74689">
      <c r="A74689" s="1" t="n">
        <v>74688</v>
      </c>
      <c r="B74689">
        <f>TEXT(74688, "[$-0E0000]yyyy-mm-dd")</f>
        <v/>
      </c>
      <c r="C74689" t="inlineStr">
        <is>
          <t>2104-05-05</t>
        </is>
      </c>
    </row>
    <row r="74690">
      <c r="A74690" s="1" t="n">
        <v>74689</v>
      </c>
      <c r="B74690">
        <f>TEXT(74689, "[$-0E0000]yyyy-mm-dd")</f>
        <v/>
      </c>
      <c r="C74690" t="inlineStr">
        <is>
          <t>2104-05-06</t>
        </is>
      </c>
    </row>
    <row r="74691">
      <c r="A74691" s="1" t="n">
        <v>74690</v>
      </c>
      <c r="B74691">
        <f>TEXT(74690, "[$-0E0000]yyyy-mm-dd")</f>
        <v/>
      </c>
      <c r="C74691" t="inlineStr">
        <is>
          <t>2104-05-07</t>
        </is>
      </c>
    </row>
    <row r="74692">
      <c r="A74692" s="1" t="n">
        <v>74691</v>
      </c>
      <c r="B74692">
        <f>TEXT(74691, "[$-0E0000]yyyy-mm-dd")</f>
        <v/>
      </c>
      <c r="C74692" t="inlineStr">
        <is>
          <t>2104-05-08</t>
        </is>
      </c>
    </row>
    <row r="74693">
      <c r="A74693" s="1" t="n">
        <v>74692</v>
      </c>
      <c r="B74693">
        <f>TEXT(74692, "[$-0E0000]yyyy-mm-dd")</f>
        <v/>
      </c>
      <c r="C74693" t="inlineStr">
        <is>
          <t>2104-05-09</t>
        </is>
      </c>
    </row>
    <row r="74694">
      <c r="A74694" s="1" t="n">
        <v>74693</v>
      </c>
      <c r="B74694">
        <f>TEXT(74693, "[$-0E0000]yyyy-mm-dd")</f>
        <v/>
      </c>
      <c r="C74694" t="inlineStr">
        <is>
          <t>2104-05-10</t>
        </is>
      </c>
    </row>
    <row r="74695">
      <c r="A74695" s="1" t="n">
        <v>74694</v>
      </c>
      <c r="B74695">
        <f>TEXT(74694, "[$-0E0000]yyyy-mm-dd")</f>
        <v/>
      </c>
      <c r="C74695" t="inlineStr">
        <is>
          <t>2104-05-11</t>
        </is>
      </c>
    </row>
    <row r="74696">
      <c r="A74696" s="1" t="n">
        <v>74695</v>
      </c>
      <c r="B74696">
        <f>TEXT(74695, "[$-0E0000]yyyy-mm-dd")</f>
        <v/>
      </c>
      <c r="C74696" t="inlineStr">
        <is>
          <t>2104-05-12</t>
        </is>
      </c>
    </row>
    <row r="74697">
      <c r="A74697" s="1" t="n">
        <v>74696</v>
      </c>
      <c r="B74697">
        <f>TEXT(74696, "[$-0E0000]yyyy-mm-dd")</f>
        <v/>
      </c>
      <c r="C74697" t="inlineStr">
        <is>
          <t>2104-05-13</t>
        </is>
      </c>
    </row>
    <row r="74698">
      <c r="A74698" s="1" t="n">
        <v>74697</v>
      </c>
      <c r="B74698">
        <f>TEXT(74697, "[$-0E0000]yyyy-mm-dd")</f>
        <v/>
      </c>
      <c r="C74698" t="inlineStr">
        <is>
          <t>2104-05-14</t>
        </is>
      </c>
    </row>
    <row r="74699">
      <c r="A74699" s="1" t="n">
        <v>74698</v>
      </c>
      <c r="B74699">
        <f>TEXT(74698, "[$-0E0000]yyyy-mm-dd")</f>
        <v/>
      </c>
      <c r="C74699" t="inlineStr">
        <is>
          <t>2104-05-15</t>
        </is>
      </c>
    </row>
    <row r="74700">
      <c r="A74700" s="1" t="n">
        <v>74699</v>
      </c>
      <c r="B74700">
        <f>TEXT(74699, "[$-0E0000]yyyy-mm-dd")</f>
        <v/>
      </c>
      <c r="C74700" t="inlineStr">
        <is>
          <t>2104-05-16</t>
        </is>
      </c>
    </row>
    <row r="74701">
      <c r="A74701" s="1" t="n">
        <v>74700</v>
      </c>
      <c r="B74701">
        <f>TEXT(74700, "[$-0E0000]yyyy-mm-dd")</f>
        <v/>
      </c>
      <c r="C74701" t="inlineStr">
        <is>
          <t>2104-05-17</t>
        </is>
      </c>
    </row>
    <row r="74702">
      <c r="A74702" s="1" t="n">
        <v>74701</v>
      </c>
      <c r="B74702">
        <f>TEXT(74701, "[$-0E0000]yyyy-mm-dd")</f>
        <v/>
      </c>
      <c r="C74702" t="inlineStr">
        <is>
          <t>2104-05-18</t>
        </is>
      </c>
    </row>
    <row r="74703">
      <c r="A74703" s="1" t="n">
        <v>74702</v>
      </c>
      <c r="B74703">
        <f>TEXT(74702, "[$-0E0000]yyyy-mm-dd")</f>
        <v/>
      </c>
      <c r="C74703" t="inlineStr">
        <is>
          <t>2104-05-19</t>
        </is>
      </c>
    </row>
    <row r="74704">
      <c r="A74704" s="1" t="n">
        <v>74703</v>
      </c>
      <c r="B74704">
        <f>TEXT(74703, "[$-0E0000]yyyy-mm-dd")</f>
        <v/>
      </c>
      <c r="C74704" t="inlineStr">
        <is>
          <t>2104-05-20</t>
        </is>
      </c>
    </row>
    <row r="74705">
      <c r="A74705" s="1" t="n">
        <v>74704</v>
      </c>
      <c r="B74705">
        <f>TEXT(74704, "[$-0E0000]yyyy-mm-dd")</f>
        <v/>
      </c>
      <c r="C74705" t="inlineStr">
        <is>
          <t>2104-05-21</t>
        </is>
      </c>
    </row>
    <row r="74706">
      <c r="A74706" s="1" t="n">
        <v>74705</v>
      </c>
      <c r="B74706">
        <f>TEXT(74705, "[$-0E0000]yyyy-mm-dd")</f>
        <v/>
      </c>
      <c r="C74706" t="inlineStr">
        <is>
          <t>2104-05-22</t>
        </is>
      </c>
    </row>
    <row r="74707">
      <c r="A74707" s="1" t="n">
        <v>74706</v>
      </c>
      <c r="B74707">
        <f>TEXT(74706, "[$-0E0000]yyyy-mm-dd")</f>
        <v/>
      </c>
      <c r="C74707" t="inlineStr">
        <is>
          <t>2104-05-23</t>
        </is>
      </c>
    </row>
    <row r="74708">
      <c r="A74708" s="1" t="n">
        <v>74707</v>
      </c>
      <c r="B74708">
        <f>TEXT(74707, "[$-0E0000]yyyy-mm-dd")</f>
        <v/>
      </c>
      <c r="C74708" t="inlineStr">
        <is>
          <t>2104-05-24</t>
        </is>
      </c>
    </row>
    <row r="74709">
      <c r="A74709" s="1" t="n">
        <v>74708</v>
      </c>
      <c r="B74709">
        <f>TEXT(74708, "[$-0E0000]yyyy-mm-dd")</f>
        <v/>
      </c>
      <c r="C74709" t="inlineStr">
        <is>
          <t>2104-05-25</t>
        </is>
      </c>
    </row>
    <row r="74710">
      <c r="A74710" s="1" t="n">
        <v>74709</v>
      </c>
      <c r="B74710">
        <f>TEXT(74709, "[$-0E0000]yyyy-mm-dd")</f>
        <v/>
      </c>
      <c r="C74710" t="inlineStr">
        <is>
          <t>2104-05-26</t>
        </is>
      </c>
    </row>
    <row r="74711">
      <c r="A74711" s="1" t="n">
        <v>74710</v>
      </c>
      <c r="B74711">
        <f>TEXT(74710, "[$-0E0000]yyyy-mm-dd")</f>
        <v/>
      </c>
      <c r="C74711" t="inlineStr">
        <is>
          <t>2104-05-27</t>
        </is>
      </c>
    </row>
    <row r="74712">
      <c r="A74712" s="1" t="n">
        <v>74711</v>
      </c>
      <c r="B74712">
        <f>TEXT(74711, "[$-0E0000]yyyy-mm-dd")</f>
        <v/>
      </c>
      <c r="C74712" t="inlineStr">
        <is>
          <t>2104-05-28</t>
        </is>
      </c>
    </row>
    <row r="74713">
      <c r="A74713" s="1" t="n">
        <v>74712</v>
      </c>
      <c r="B74713">
        <f>TEXT(74712, "[$-0E0000]yyyy-mm-dd")</f>
        <v/>
      </c>
      <c r="C74713" t="inlineStr">
        <is>
          <t>2104-05-29</t>
        </is>
      </c>
    </row>
    <row r="74714">
      <c r="A74714" s="1" t="n">
        <v>74713</v>
      </c>
      <c r="B74714">
        <f>TEXT(74713, "[$-0E0000]yyyy-mm-dd")</f>
        <v/>
      </c>
      <c r="C74714" t="inlineStr">
        <is>
          <t>2104-06-01</t>
        </is>
      </c>
    </row>
    <row r="74715">
      <c r="A74715" s="1" t="n">
        <v>74714</v>
      </c>
      <c r="B74715">
        <f>TEXT(74714, "[$-0E0000]yyyy-mm-dd")</f>
        <v/>
      </c>
      <c r="C74715" t="inlineStr">
        <is>
          <t>2104-06-02</t>
        </is>
      </c>
    </row>
    <row r="74716">
      <c r="A74716" s="1" t="n">
        <v>74715</v>
      </c>
      <c r="B74716">
        <f>TEXT(74715, "[$-0E0000]yyyy-mm-dd")</f>
        <v/>
      </c>
      <c r="C74716" t="inlineStr">
        <is>
          <t>2104-06-03</t>
        </is>
      </c>
    </row>
    <row r="74717">
      <c r="A74717" s="1" t="n">
        <v>74716</v>
      </c>
      <c r="B74717">
        <f>TEXT(74716, "[$-0E0000]yyyy-mm-dd")</f>
        <v/>
      </c>
      <c r="C74717" t="inlineStr">
        <is>
          <t>2104-06-04</t>
        </is>
      </c>
    </row>
    <row r="74718">
      <c r="A74718" s="1" t="n">
        <v>74717</v>
      </c>
      <c r="B74718">
        <f>TEXT(74717, "[$-0E0000]yyyy-mm-dd")</f>
        <v/>
      </c>
      <c r="C74718" t="inlineStr">
        <is>
          <t>2104-06-05</t>
        </is>
      </c>
    </row>
    <row r="74719">
      <c r="A74719" s="1" t="n">
        <v>74718</v>
      </c>
      <c r="B74719">
        <f>TEXT(74718, "[$-0E0000]yyyy-mm-dd")</f>
        <v/>
      </c>
      <c r="C74719" t="inlineStr">
        <is>
          <t>2104-06-06</t>
        </is>
      </c>
    </row>
    <row r="74720">
      <c r="A74720" s="1" t="n">
        <v>74719</v>
      </c>
      <c r="B74720">
        <f>TEXT(74719, "[$-0E0000]yyyy-mm-dd")</f>
        <v/>
      </c>
      <c r="C74720" t="inlineStr">
        <is>
          <t>2104-06-07</t>
        </is>
      </c>
    </row>
    <row r="74721">
      <c r="A74721" s="1" t="n">
        <v>74720</v>
      </c>
      <c r="B74721">
        <f>TEXT(74720, "[$-0E0000]yyyy-mm-dd")</f>
        <v/>
      </c>
      <c r="C74721" t="inlineStr">
        <is>
          <t>2104-06-08</t>
        </is>
      </c>
    </row>
    <row r="74722">
      <c r="A74722" s="1" t="n">
        <v>74721</v>
      </c>
      <c r="B74722">
        <f>TEXT(74721, "[$-0E0000]yyyy-mm-dd")</f>
        <v/>
      </c>
      <c r="C74722" t="inlineStr">
        <is>
          <t>2104-06-09</t>
        </is>
      </c>
    </row>
    <row r="74723">
      <c r="A74723" s="1" t="n">
        <v>74722</v>
      </c>
      <c r="B74723">
        <f>TEXT(74722, "[$-0E0000]yyyy-mm-dd")</f>
        <v/>
      </c>
      <c r="C74723" t="inlineStr">
        <is>
          <t>2104-06-10</t>
        </is>
      </c>
    </row>
    <row r="74724">
      <c r="A74724" s="1" t="n">
        <v>74723</v>
      </c>
      <c r="B74724">
        <f>TEXT(74723, "[$-0E0000]yyyy-mm-dd")</f>
        <v/>
      </c>
      <c r="C74724" t="inlineStr">
        <is>
          <t>2104-06-11</t>
        </is>
      </c>
    </row>
    <row r="74725">
      <c r="A74725" s="1" t="n">
        <v>74724</v>
      </c>
      <c r="B74725">
        <f>TEXT(74724, "[$-0E0000]yyyy-mm-dd")</f>
        <v/>
      </c>
      <c r="C74725" t="inlineStr">
        <is>
          <t>2104-06-12</t>
        </is>
      </c>
    </row>
    <row r="74726">
      <c r="A74726" s="1" t="n">
        <v>74725</v>
      </c>
      <c r="B74726">
        <f>TEXT(74725, "[$-0E0000]yyyy-mm-dd")</f>
        <v/>
      </c>
      <c r="C74726" t="inlineStr">
        <is>
          <t>2104-06-13</t>
        </is>
      </c>
    </row>
    <row r="74727">
      <c r="A74727" s="1" t="n">
        <v>74726</v>
      </c>
      <c r="B74727">
        <f>TEXT(74726, "[$-0E0000]yyyy-mm-dd")</f>
        <v/>
      </c>
      <c r="C74727" t="inlineStr">
        <is>
          <t>2104-06-14</t>
        </is>
      </c>
    </row>
    <row r="74728">
      <c r="A74728" s="1" t="n">
        <v>74727</v>
      </c>
      <c r="B74728">
        <f>TEXT(74727, "[$-0E0000]yyyy-mm-dd")</f>
        <v/>
      </c>
      <c r="C74728" t="inlineStr">
        <is>
          <t>2104-06-15</t>
        </is>
      </c>
    </row>
    <row r="74729">
      <c r="A74729" s="1" t="n">
        <v>74728</v>
      </c>
      <c r="B74729">
        <f>TEXT(74728, "[$-0E0000]yyyy-mm-dd")</f>
        <v/>
      </c>
      <c r="C74729" t="inlineStr">
        <is>
          <t>2104-06-16</t>
        </is>
      </c>
    </row>
    <row r="74730">
      <c r="A74730" s="1" t="n">
        <v>74729</v>
      </c>
      <c r="B74730">
        <f>TEXT(74729, "[$-0E0000]yyyy-mm-dd")</f>
        <v/>
      </c>
      <c r="C74730" t="inlineStr">
        <is>
          <t>2104-06-17</t>
        </is>
      </c>
    </row>
    <row r="74731">
      <c r="A74731" s="1" t="n">
        <v>74730</v>
      </c>
      <c r="B74731">
        <f>TEXT(74730, "[$-0E0000]yyyy-mm-dd")</f>
        <v/>
      </c>
      <c r="C74731" t="inlineStr">
        <is>
          <t>2104-06-18</t>
        </is>
      </c>
    </row>
    <row r="74732">
      <c r="A74732" s="1" t="n">
        <v>74731</v>
      </c>
      <c r="B74732">
        <f>TEXT(74731, "[$-0E0000]yyyy-mm-dd")</f>
        <v/>
      </c>
      <c r="C74732" t="inlineStr">
        <is>
          <t>2104-06-19</t>
        </is>
      </c>
    </row>
    <row r="74733">
      <c r="A74733" s="1" t="n">
        <v>74732</v>
      </c>
      <c r="B74733">
        <f>TEXT(74732, "[$-0E0000]yyyy-mm-dd")</f>
        <v/>
      </c>
      <c r="C74733" t="inlineStr">
        <is>
          <t>2104-06-20</t>
        </is>
      </c>
    </row>
    <row r="74734">
      <c r="A74734" s="1" t="n">
        <v>74733</v>
      </c>
      <c r="B74734">
        <f>TEXT(74733, "[$-0E0000]yyyy-mm-dd")</f>
        <v/>
      </c>
      <c r="C74734" t="inlineStr">
        <is>
          <t>2104-06-21</t>
        </is>
      </c>
    </row>
    <row r="74735">
      <c r="A74735" s="1" t="n">
        <v>74734</v>
      </c>
      <c r="B74735">
        <f>TEXT(74734, "[$-0E0000]yyyy-mm-dd")</f>
        <v/>
      </c>
      <c r="C74735" t="inlineStr">
        <is>
          <t>2104-06-22</t>
        </is>
      </c>
    </row>
    <row r="74736">
      <c r="A74736" s="1" t="n">
        <v>74735</v>
      </c>
      <c r="B74736">
        <f>TEXT(74735, "[$-0E0000]yyyy-mm-dd")</f>
        <v/>
      </c>
      <c r="C74736" t="inlineStr">
        <is>
          <t>2104-06-23</t>
        </is>
      </c>
    </row>
    <row r="74737">
      <c r="A74737" s="1" t="n">
        <v>74736</v>
      </c>
      <c r="B74737">
        <f>TEXT(74736, "[$-0E0000]yyyy-mm-dd")</f>
        <v/>
      </c>
      <c r="C74737" t="inlineStr">
        <is>
          <t>2104-06-24</t>
        </is>
      </c>
    </row>
    <row r="74738">
      <c r="A74738" s="1" t="n">
        <v>74737</v>
      </c>
      <c r="B74738">
        <f>TEXT(74737, "[$-0E0000]yyyy-mm-dd")</f>
        <v/>
      </c>
      <c r="C74738" t="inlineStr">
        <is>
          <t>2104-06-25</t>
        </is>
      </c>
    </row>
    <row r="74739">
      <c r="A74739" s="1" t="n">
        <v>74738</v>
      </c>
      <c r="B74739">
        <f>TEXT(74738, "[$-0E0000]yyyy-mm-dd")</f>
        <v/>
      </c>
      <c r="C74739" t="inlineStr">
        <is>
          <t>2104-06-26</t>
        </is>
      </c>
    </row>
    <row r="74740">
      <c r="A74740" s="1" t="n">
        <v>74739</v>
      </c>
      <c r="B74740">
        <f>TEXT(74739, "[$-0E0000]yyyy-mm-dd")</f>
        <v/>
      </c>
      <c r="C74740" t="inlineStr">
        <is>
          <t>2104-06-27</t>
        </is>
      </c>
    </row>
    <row r="74741">
      <c r="A74741" s="1" t="n">
        <v>74740</v>
      </c>
      <c r="B74741">
        <f>TEXT(74740, "[$-0E0000]yyyy-mm-dd")</f>
        <v/>
      </c>
      <c r="C74741" t="inlineStr">
        <is>
          <t>2104-06-28</t>
        </is>
      </c>
    </row>
    <row r="74742">
      <c r="A74742" s="1" t="n">
        <v>74741</v>
      </c>
      <c r="B74742">
        <f>TEXT(74741, "[$-0E0000]yyyy-mm-dd")</f>
        <v/>
      </c>
      <c r="C74742" t="inlineStr">
        <is>
          <t>2104-06-29</t>
        </is>
      </c>
    </row>
    <row r="74743">
      <c r="A74743" s="1" t="n">
        <v>74742</v>
      </c>
      <c r="B74743">
        <f>TEXT(74742, "[$-0E0000]yyyy-mm-dd")</f>
        <v/>
      </c>
      <c r="C74743" t="inlineStr">
        <is>
          <t>2104-06-30</t>
        </is>
      </c>
    </row>
    <row r="74744">
      <c r="A74744" s="1" t="n">
        <v>74743</v>
      </c>
      <c r="B74744">
        <f>TEXT(74743, "[$-0E0000]yyyy-mm-dd")</f>
        <v/>
      </c>
      <c r="C74744" t="inlineStr">
        <is>
          <t>2104-07-01</t>
        </is>
      </c>
    </row>
    <row r="74745">
      <c r="A74745" s="1" t="n">
        <v>74744</v>
      </c>
      <c r="B74745">
        <f>TEXT(74744, "[$-0E0000]yyyy-mm-dd")</f>
        <v/>
      </c>
      <c r="C74745" t="inlineStr">
        <is>
          <t>2104-07-02</t>
        </is>
      </c>
    </row>
    <row r="74746">
      <c r="A74746" s="1" t="n">
        <v>74745</v>
      </c>
      <c r="B74746">
        <f>TEXT(74745, "[$-0E0000]yyyy-mm-dd")</f>
        <v/>
      </c>
      <c r="C74746" t="inlineStr">
        <is>
          <t>2104-07-03</t>
        </is>
      </c>
    </row>
    <row r="74747">
      <c r="A74747" s="1" t="n">
        <v>74746</v>
      </c>
      <c r="B74747">
        <f>TEXT(74746, "[$-0E0000]yyyy-mm-dd")</f>
        <v/>
      </c>
      <c r="C74747" t="inlineStr">
        <is>
          <t>2104-07-04</t>
        </is>
      </c>
    </row>
    <row r="74748">
      <c r="A74748" s="1" t="n">
        <v>74747</v>
      </c>
      <c r="B74748">
        <f>TEXT(74747, "[$-0E0000]yyyy-mm-dd")</f>
        <v/>
      </c>
      <c r="C74748" t="inlineStr">
        <is>
          <t>2104-07-05</t>
        </is>
      </c>
    </row>
    <row r="74749">
      <c r="A74749" s="1" t="n">
        <v>74748</v>
      </c>
      <c r="B74749">
        <f>TEXT(74748, "[$-0E0000]yyyy-mm-dd")</f>
        <v/>
      </c>
      <c r="C74749" t="inlineStr">
        <is>
          <t>2104-07-06</t>
        </is>
      </c>
    </row>
    <row r="74750">
      <c r="A74750" s="1" t="n">
        <v>74749</v>
      </c>
      <c r="B74750">
        <f>TEXT(74749, "[$-0E0000]yyyy-mm-dd")</f>
        <v/>
      </c>
      <c r="C74750" t="inlineStr">
        <is>
          <t>2104-07-07</t>
        </is>
      </c>
    </row>
    <row r="74751">
      <c r="A74751" s="1" t="n">
        <v>74750</v>
      </c>
      <c r="B74751">
        <f>TEXT(74750, "[$-0E0000]yyyy-mm-dd")</f>
        <v/>
      </c>
      <c r="C74751" t="inlineStr">
        <is>
          <t>2104-07-08</t>
        </is>
      </c>
    </row>
    <row r="74752">
      <c r="A74752" s="1" t="n">
        <v>74751</v>
      </c>
      <c r="B74752">
        <f>TEXT(74751, "[$-0E0000]yyyy-mm-dd")</f>
        <v/>
      </c>
      <c r="C74752" t="inlineStr">
        <is>
          <t>2104-07-09</t>
        </is>
      </c>
    </row>
    <row r="74753">
      <c r="A74753" s="1" t="n">
        <v>74752</v>
      </c>
      <c r="B74753">
        <f>TEXT(74752, "[$-0E0000]yyyy-mm-dd")</f>
        <v/>
      </c>
      <c r="C74753" t="inlineStr">
        <is>
          <t>2104-07-10</t>
        </is>
      </c>
    </row>
    <row r="74754">
      <c r="A74754" s="1" t="n">
        <v>74753</v>
      </c>
      <c r="B74754">
        <f>TEXT(74753, "[$-0E0000]yyyy-mm-dd")</f>
        <v/>
      </c>
      <c r="C74754" t="inlineStr">
        <is>
          <t>2104-07-11</t>
        </is>
      </c>
    </row>
    <row r="74755">
      <c r="A74755" s="1" t="n">
        <v>74754</v>
      </c>
      <c r="B74755">
        <f>TEXT(74754, "[$-0E0000]yyyy-mm-dd")</f>
        <v/>
      </c>
      <c r="C74755" t="inlineStr">
        <is>
          <t>2104-07-12</t>
        </is>
      </c>
    </row>
    <row r="74756">
      <c r="A74756" s="1" t="n">
        <v>74755</v>
      </c>
      <c r="B74756">
        <f>TEXT(74755, "[$-0E0000]yyyy-mm-dd")</f>
        <v/>
      </c>
      <c r="C74756" t="inlineStr">
        <is>
          <t>2104-07-13</t>
        </is>
      </c>
    </row>
    <row r="74757">
      <c r="A74757" s="1" t="n">
        <v>74756</v>
      </c>
      <c r="B74757">
        <f>TEXT(74756, "[$-0E0000]yyyy-mm-dd")</f>
        <v/>
      </c>
      <c r="C74757" t="inlineStr">
        <is>
          <t>2104-07-14</t>
        </is>
      </c>
    </row>
    <row r="74758">
      <c r="A74758" s="1" t="n">
        <v>74757</v>
      </c>
      <c r="B74758">
        <f>TEXT(74757, "[$-0E0000]yyyy-mm-dd")</f>
        <v/>
      </c>
      <c r="C74758" t="inlineStr">
        <is>
          <t>2104-07-15</t>
        </is>
      </c>
    </row>
    <row r="74759">
      <c r="A74759" s="1" t="n">
        <v>74758</v>
      </c>
      <c r="B74759">
        <f>TEXT(74758, "[$-0E0000]yyyy-mm-dd")</f>
        <v/>
      </c>
      <c r="C74759" t="inlineStr">
        <is>
          <t>2104-07-16</t>
        </is>
      </c>
    </row>
    <row r="74760">
      <c r="A74760" s="1" t="n">
        <v>74759</v>
      </c>
      <c r="B74760">
        <f>TEXT(74759, "[$-0E0000]yyyy-mm-dd")</f>
        <v/>
      </c>
      <c r="C74760" t="inlineStr">
        <is>
          <t>2104-07-17</t>
        </is>
      </c>
    </row>
    <row r="74761">
      <c r="A74761" s="1" t="n">
        <v>74760</v>
      </c>
      <c r="B74761">
        <f>TEXT(74760, "[$-0E0000]yyyy-mm-dd")</f>
        <v/>
      </c>
      <c r="C74761" t="inlineStr">
        <is>
          <t>2104-07-18</t>
        </is>
      </c>
    </row>
    <row r="74762">
      <c r="A74762" s="1" t="n">
        <v>74761</v>
      </c>
      <c r="B74762">
        <f>TEXT(74761, "[$-0E0000]yyyy-mm-dd")</f>
        <v/>
      </c>
      <c r="C74762" t="inlineStr">
        <is>
          <t>2104-07-19</t>
        </is>
      </c>
    </row>
    <row r="74763">
      <c r="A74763" s="1" t="n">
        <v>74762</v>
      </c>
      <c r="B74763">
        <f>TEXT(74762, "[$-0E0000]yyyy-mm-dd")</f>
        <v/>
      </c>
      <c r="C74763" t="inlineStr">
        <is>
          <t>2104-07-20</t>
        </is>
      </c>
    </row>
    <row r="74764">
      <c r="A74764" s="1" t="n">
        <v>74763</v>
      </c>
      <c r="B74764">
        <f>TEXT(74763, "[$-0E0000]yyyy-mm-dd")</f>
        <v/>
      </c>
      <c r="C74764" t="inlineStr">
        <is>
          <t>2104-07-21</t>
        </is>
      </c>
    </row>
    <row r="74765">
      <c r="A74765" s="1" t="n">
        <v>74764</v>
      </c>
      <c r="B74765">
        <f>TEXT(74764, "[$-0E0000]yyyy-mm-dd")</f>
        <v/>
      </c>
      <c r="C74765" t="inlineStr">
        <is>
          <t>2104-07-22</t>
        </is>
      </c>
    </row>
    <row r="74766">
      <c r="A74766" s="1" t="n">
        <v>74765</v>
      </c>
      <c r="B74766">
        <f>TEXT(74765, "[$-0E0000]yyyy-mm-dd")</f>
        <v/>
      </c>
      <c r="C74766" t="inlineStr">
        <is>
          <t>2104-07-23</t>
        </is>
      </c>
    </row>
    <row r="74767">
      <c r="A74767" s="1" t="n">
        <v>74766</v>
      </c>
      <c r="B74767">
        <f>TEXT(74766, "[$-0E0000]yyyy-mm-dd")</f>
        <v/>
      </c>
      <c r="C74767" t="inlineStr">
        <is>
          <t>2104-07-24</t>
        </is>
      </c>
    </row>
    <row r="74768">
      <c r="A74768" s="1" t="n">
        <v>74767</v>
      </c>
      <c r="B74768">
        <f>TEXT(74767, "[$-0E0000]yyyy-mm-dd")</f>
        <v/>
      </c>
      <c r="C74768" t="inlineStr">
        <is>
          <t>2104-07-25</t>
        </is>
      </c>
    </row>
    <row r="74769">
      <c r="A74769" s="1" t="n">
        <v>74768</v>
      </c>
      <c r="B74769">
        <f>TEXT(74768, "[$-0E0000]yyyy-mm-dd")</f>
        <v/>
      </c>
      <c r="C74769" t="inlineStr">
        <is>
          <t>2104-07-26</t>
        </is>
      </c>
    </row>
    <row r="74770">
      <c r="A74770" s="1" t="n">
        <v>74769</v>
      </c>
      <c r="B74770">
        <f>TEXT(74769, "[$-0E0000]yyyy-mm-dd")</f>
        <v/>
      </c>
      <c r="C74770" t="inlineStr">
        <is>
          <t>2104-07-27</t>
        </is>
      </c>
    </row>
    <row r="74771">
      <c r="A74771" s="1" t="n">
        <v>74770</v>
      </c>
      <c r="B74771">
        <f>TEXT(74770, "[$-0E0000]yyyy-mm-dd")</f>
        <v/>
      </c>
      <c r="C74771" t="inlineStr">
        <is>
          <t>2104-07-28</t>
        </is>
      </c>
    </row>
    <row r="74772">
      <c r="A74772" s="1" t="n">
        <v>74771</v>
      </c>
      <c r="B74772">
        <f>TEXT(74771, "[$-0E0000]yyyy-mm-dd")</f>
        <v/>
      </c>
      <c r="C74772" t="inlineStr">
        <is>
          <t>2104-07-29</t>
        </is>
      </c>
    </row>
    <row r="74773">
      <c r="A74773" s="1" t="n">
        <v>74772</v>
      </c>
      <c r="B74773">
        <f>TEXT(74772, "[$-0E0000]yyyy-mm-dd")</f>
        <v/>
      </c>
      <c r="C74773" t="inlineStr">
        <is>
          <t>2104-08-01</t>
        </is>
      </c>
    </row>
    <row r="74774">
      <c r="A74774" s="1" t="n">
        <v>74773</v>
      </c>
      <c r="B74774">
        <f>TEXT(74773, "[$-0E0000]yyyy-mm-dd")</f>
        <v/>
      </c>
      <c r="C74774" t="inlineStr">
        <is>
          <t>2104-08-02</t>
        </is>
      </c>
    </row>
    <row r="74775">
      <c r="A74775" s="1" t="n">
        <v>74774</v>
      </c>
      <c r="B74775">
        <f>TEXT(74774, "[$-0E0000]yyyy-mm-dd")</f>
        <v/>
      </c>
      <c r="C74775" t="inlineStr">
        <is>
          <t>2104-08-03</t>
        </is>
      </c>
    </row>
    <row r="74776">
      <c r="A74776" s="1" t="n">
        <v>74775</v>
      </c>
      <c r="B74776">
        <f>TEXT(74775, "[$-0E0000]yyyy-mm-dd")</f>
        <v/>
      </c>
      <c r="C74776" t="inlineStr">
        <is>
          <t>2104-08-04</t>
        </is>
      </c>
    </row>
    <row r="74777">
      <c r="A74777" s="1" t="n">
        <v>74776</v>
      </c>
      <c r="B74777">
        <f>TEXT(74776, "[$-0E0000]yyyy-mm-dd")</f>
        <v/>
      </c>
      <c r="C74777" t="inlineStr">
        <is>
          <t>2104-08-05</t>
        </is>
      </c>
    </row>
    <row r="74778">
      <c r="A74778" s="1" t="n">
        <v>74777</v>
      </c>
      <c r="B74778">
        <f>TEXT(74777, "[$-0E0000]yyyy-mm-dd")</f>
        <v/>
      </c>
      <c r="C74778" t="inlineStr">
        <is>
          <t>2104-08-06</t>
        </is>
      </c>
    </row>
    <row r="74779">
      <c r="A74779" s="1" t="n">
        <v>74778</v>
      </c>
      <c r="B74779">
        <f>TEXT(74778, "[$-0E0000]yyyy-mm-dd")</f>
        <v/>
      </c>
      <c r="C74779" t="inlineStr">
        <is>
          <t>2104-08-07</t>
        </is>
      </c>
    </row>
    <row r="74780">
      <c r="A74780" s="1" t="n">
        <v>74779</v>
      </c>
      <c r="B74780">
        <f>TEXT(74779, "[$-0E0000]yyyy-mm-dd")</f>
        <v/>
      </c>
      <c r="C74780" t="inlineStr">
        <is>
          <t>2104-08-08</t>
        </is>
      </c>
    </row>
    <row r="74781">
      <c r="A74781" s="1" t="n">
        <v>74780</v>
      </c>
      <c r="B74781">
        <f>TEXT(74780, "[$-0E0000]yyyy-mm-dd")</f>
        <v/>
      </c>
      <c r="C74781" t="inlineStr">
        <is>
          <t>2104-08-09</t>
        </is>
      </c>
    </row>
    <row r="74782">
      <c r="A74782" s="1" t="n">
        <v>74781</v>
      </c>
      <c r="B74782">
        <f>TEXT(74781, "[$-0E0000]yyyy-mm-dd")</f>
        <v/>
      </c>
      <c r="C74782" t="inlineStr">
        <is>
          <t>2104-08-10</t>
        </is>
      </c>
    </row>
    <row r="74783">
      <c r="A74783" s="1" t="n">
        <v>74782</v>
      </c>
      <c r="B74783">
        <f>TEXT(74782, "[$-0E0000]yyyy-mm-dd")</f>
        <v/>
      </c>
      <c r="C74783" t="inlineStr">
        <is>
          <t>2104-08-11</t>
        </is>
      </c>
    </row>
    <row r="74784">
      <c r="A74784" s="1" t="n">
        <v>74783</v>
      </c>
      <c r="B74784">
        <f>TEXT(74783, "[$-0E0000]yyyy-mm-dd")</f>
        <v/>
      </c>
      <c r="C74784" t="inlineStr">
        <is>
          <t>2104-08-12</t>
        </is>
      </c>
    </row>
    <row r="74785">
      <c r="A74785" s="1" t="n">
        <v>74784</v>
      </c>
      <c r="B74785">
        <f>TEXT(74784, "[$-0E0000]yyyy-mm-dd")</f>
        <v/>
      </c>
      <c r="C74785" t="inlineStr">
        <is>
          <t>2104-08-13</t>
        </is>
      </c>
    </row>
    <row r="74786">
      <c r="A74786" s="1" t="n">
        <v>74785</v>
      </c>
      <c r="B74786">
        <f>TEXT(74785, "[$-0E0000]yyyy-mm-dd")</f>
        <v/>
      </c>
      <c r="C74786" t="inlineStr">
        <is>
          <t>2104-08-14</t>
        </is>
      </c>
    </row>
    <row r="74787">
      <c r="A74787" s="1" t="n">
        <v>74786</v>
      </c>
      <c r="B74787">
        <f>TEXT(74786, "[$-0E0000]yyyy-mm-dd")</f>
        <v/>
      </c>
      <c r="C74787" t="inlineStr">
        <is>
          <t>2104-08-15</t>
        </is>
      </c>
    </row>
    <row r="74788">
      <c r="A74788" s="1" t="n">
        <v>74787</v>
      </c>
      <c r="B74788">
        <f>TEXT(74787, "[$-0E0000]yyyy-mm-dd")</f>
        <v/>
      </c>
      <c r="C74788" t="inlineStr">
        <is>
          <t>2104-08-16</t>
        </is>
      </c>
    </row>
    <row r="74789">
      <c r="A74789" s="1" t="n">
        <v>74788</v>
      </c>
      <c r="B74789">
        <f>TEXT(74788, "[$-0E0000]yyyy-mm-dd")</f>
        <v/>
      </c>
      <c r="C74789" t="inlineStr">
        <is>
          <t>2104-08-17</t>
        </is>
      </c>
    </row>
    <row r="74790">
      <c r="A74790" s="1" t="n">
        <v>74789</v>
      </c>
      <c r="B74790">
        <f>TEXT(74789, "[$-0E0000]yyyy-mm-dd")</f>
        <v/>
      </c>
      <c r="C74790" t="inlineStr">
        <is>
          <t>2104-08-18</t>
        </is>
      </c>
    </row>
    <row r="74791">
      <c r="A74791" s="1" t="n">
        <v>74790</v>
      </c>
      <c r="B74791">
        <f>TEXT(74790, "[$-0E0000]yyyy-mm-dd")</f>
        <v/>
      </c>
      <c r="C74791" t="inlineStr">
        <is>
          <t>2104-08-19</t>
        </is>
      </c>
    </row>
    <row r="74792">
      <c r="A74792" s="1" t="n">
        <v>74791</v>
      </c>
      <c r="B74792">
        <f>TEXT(74791, "[$-0E0000]yyyy-mm-dd")</f>
        <v/>
      </c>
      <c r="C74792" t="inlineStr">
        <is>
          <t>2104-08-20</t>
        </is>
      </c>
    </row>
    <row r="74793">
      <c r="A74793" s="1" t="n">
        <v>74792</v>
      </c>
      <c r="B74793">
        <f>TEXT(74792, "[$-0E0000]yyyy-mm-dd")</f>
        <v/>
      </c>
      <c r="C74793" t="inlineStr">
        <is>
          <t>2104-08-21</t>
        </is>
      </c>
    </row>
    <row r="74794">
      <c r="A74794" s="1" t="n">
        <v>74793</v>
      </c>
      <c r="B74794">
        <f>TEXT(74793, "[$-0E0000]yyyy-mm-dd")</f>
        <v/>
      </c>
      <c r="C74794" t="inlineStr">
        <is>
          <t>2104-08-22</t>
        </is>
      </c>
    </row>
    <row r="74795">
      <c r="A74795" s="1" t="n">
        <v>74794</v>
      </c>
      <c r="B74795">
        <f>TEXT(74794, "[$-0E0000]yyyy-mm-dd")</f>
        <v/>
      </c>
      <c r="C74795" t="inlineStr">
        <is>
          <t>2104-08-23</t>
        </is>
      </c>
    </row>
    <row r="74796">
      <c r="A74796" s="1" t="n">
        <v>74795</v>
      </c>
      <c r="B74796">
        <f>TEXT(74795, "[$-0E0000]yyyy-mm-dd")</f>
        <v/>
      </c>
      <c r="C74796" t="inlineStr">
        <is>
          <t>2104-08-24</t>
        </is>
      </c>
    </row>
    <row r="74797">
      <c r="A74797" s="1" t="n">
        <v>74796</v>
      </c>
      <c r="B74797">
        <f>TEXT(74796, "[$-0E0000]yyyy-mm-dd")</f>
        <v/>
      </c>
      <c r="C74797" t="inlineStr">
        <is>
          <t>2104-08-25</t>
        </is>
      </c>
    </row>
    <row r="74798">
      <c r="A74798" s="1" t="n">
        <v>74797</v>
      </c>
      <c r="B74798">
        <f>TEXT(74797, "[$-0E0000]yyyy-mm-dd")</f>
        <v/>
      </c>
      <c r="C74798" t="inlineStr">
        <is>
          <t>2104-08-26</t>
        </is>
      </c>
    </row>
    <row r="74799">
      <c r="A74799" s="1" t="n">
        <v>74798</v>
      </c>
      <c r="B74799">
        <f>TEXT(74798, "[$-0E0000]yyyy-mm-dd")</f>
        <v/>
      </c>
      <c r="C74799" t="inlineStr">
        <is>
          <t>2104-08-27</t>
        </is>
      </c>
    </row>
    <row r="74800">
      <c r="A74800" s="1" t="n">
        <v>74799</v>
      </c>
      <c r="B74800">
        <f>TEXT(74799, "[$-0E0000]yyyy-mm-dd")</f>
        <v/>
      </c>
      <c r="C74800" t="inlineStr">
        <is>
          <t>2104-08-28</t>
        </is>
      </c>
    </row>
    <row r="74801">
      <c r="A74801" s="1" t="n">
        <v>74800</v>
      </c>
      <c r="B74801">
        <f>TEXT(74800, "[$-0E0000]yyyy-mm-dd")</f>
        <v/>
      </c>
      <c r="C74801" t="inlineStr">
        <is>
          <t>2104-08-29</t>
        </is>
      </c>
    </row>
    <row r="74802">
      <c r="A74802" s="1" t="n">
        <v>74801</v>
      </c>
      <c r="B74802">
        <f>TEXT(74801, "[$-0E0000]yyyy-mm-dd")</f>
        <v/>
      </c>
      <c r="C74802" t="inlineStr">
        <is>
          <t>2104-08-30</t>
        </is>
      </c>
    </row>
    <row r="74803">
      <c r="A74803" s="1" t="n">
        <v>74802</v>
      </c>
      <c r="B74803">
        <f>TEXT(74802, "[$-0E0000]yyyy-mm-dd")</f>
        <v/>
      </c>
      <c r="C74803" t="inlineStr">
        <is>
          <t>2104-09-01</t>
        </is>
      </c>
    </row>
    <row r="74804">
      <c r="A74804" s="1" t="n">
        <v>74803</v>
      </c>
      <c r="B74804">
        <f>TEXT(74803, "[$-0E0000]yyyy-mm-dd")</f>
        <v/>
      </c>
      <c r="C74804" t="inlineStr">
        <is>
          <t>2104-09-02</t>
        </is>
      </c>
    </row>
    <row r="74805">
      <c r="A74805" s="1" t="n">
        <v>74804</v>
      </c>
      <c r="B74805">
        <f>TEXT(74804, "[$-0E0000]yyyy-mm-dd")</f>
        <v/>
      </c>
      <c r="C74805" t="inlineStr">
        <is>
          <t>2104-09-03</t>
        </is>
      </c>
    </row>
    <row r="74806">
      <c r="A74806" s="1" t="n">
        <v>74805</v>
      </c>
      <c r="B74806">
        <f>TEXT(74805, "[$-0E0000]yyyy-mm-dd")</f>
        <v/>
      </c>
      <c r="C74806" t="inlineStr">
        <is>
          <t>2104-09-04</t>
        </is>
      </c>
    </row>
    <row r="74807">
      <c r="A74807" s="1" t="n">
        <v>74806</v>
      </c>
      <c r="B74807">
        <f>TEXT(74806, "[$-0E0000]yyyy-mm-dd")</f>
        <v/>
      </c>
      <c r="C74807" t="inlineStr">
        <is>
          <t>2104-09-05</t>
        </is>
      </c>
    </row>
    <row r="74808">
      <c r="A74808" s="1" t="n">
        <v>74807</v>
      </c>
      <c r="B74808">
        <f>TEXT(74807, "[$-0E0000]yyyy-mm-dd")</f>
        <v/>
      </c>
      <c r="C74808" t="inlineStr">
        <is>
          <t>2104-09-06</t>
        </is>
      </c>
    </row>
    <row r="74809">
      <c r="A74809" s="1" t="n">
        <v>74808</v>
      </c>
      <c r="B74809">
        <f>TEXT(74808, "[$-0E0000]yyyy-mm-dd")</f>
        <v/>
      </c>
      <c r="C74809" t="inlineStr">
        <is>
          <t>2104-09-07</t>
        </is>
      </c>
    </row>
    <row r="74810">
      <c r="A74810" s="1" t="n">
        <v>74809</v>
      </c>
      <c r="B74810">
        <f>TEXT(74809, "[$-0E0000]yyyy-mm-dd")</f>
        <v/>
      </c>
      <c r="C74810" t="inlineStr">
        <is>
          <t>2104-09-08</t>
        </is>
      </c>
    </row>
    <row r="74811">
      <c r="A74811" s="1" t="n">
        <v>74810</v>
      </c>
      <c r="B74811">
        <f>TEXT(74810, "[$-0E0000]yyyy-mm-dd")</f>
        <v/>
      </c>
      <c r="C74811" t="inlineStr">
        <is>
          <t>2104-09-09</t>
        </is>
      </c>
    </row>
    <row r="74812">
      <c r="A74812" s="1" t="n">
        <v>74811</v>
      </c>
      <c r="B74812">
        <f>TEXT(74811, "[$-0E0000]yyyy-mm-dd")</f>
        <v/>
      </c>
      <c r="C74812" t="inlineStr">
        <is>
          <t>2104-09-10</t>
        </is>
      </c>
    </row>
    <row r="74813">
      <c r="A74813" s="1" t="n">
        <v>74812</v>
      </c>
      <c r="B74813">
        <f>TEXT(74812, "[$-0E0000]yyyy-mm-dd")</f>
        <v/>
      </c>
      <c r="C74813" t="inlineStr">
        <is>
          <t>2104-09-11</t>
        </is>
      </c>
    </row>
    <row r="74814">
      <c r="A74814" s="1" t="n">
        <v>74813</v>
      </c>
      <c r="B74814">
        <f>TEXT(74813, "[$-0E0000]yyyy-mm-dd")</f>
        <v/>
      </c>
      <c r="C74814" t="inlineStr">
        <is>
          <t>2104-09-12</t>
        </is>
      </c>
    </row>
    <row r="74815">
      <c r="A74815" s="1" t="n">
        <v>74814</v>
      </c>
      <c r="B74815">
        <f>TEXT(74814, "[$-0E0000]yyyy-mm-dd")</f>
        <v/>
      </c>
      <c r="C74815" t="inlineStr">
        <is>
          <t>2104-09-13</t>
        </is>
      </c>
    </row>
    <row r="74816">
      <c r="A74816" s="1" t="n">
        <v>74815</v>
      </c>
      <c r="B74816">
        <f>TEXT(74815, "[$-0E0000]yyyy-mm-dd")</f>
        <v/>
      </c>
      <c r="C74816" t="inlineStr">
        <is>
          <t>2104-09-14</t>
        </is>
      </c>
    </row>
    <row r="74817">
      <c r="A74817" s="1" t="n">
        <v>74816</v>
      </c>
      <c r="B74817">
        <f>TEXT(74816, "[$-0E0000]yyyy-mm-dd")</f>
        <v/>
      </c>
      <c r="C74817" t="inlineStr">
        <is>
          <t>2104-09-15</t>
        </is>
      </c>
    </row>
    <row r="74818">
      <c r="A74818" s="1" t="n">
        <v>74817</v>
      </c>
      <c r="B74818">
        <f>TEXT(74817, "[$-0E0000]yyyy-mm-dd")</f>
        <v/>
      </c>
      <c r="C74818" t="inlineStr">
        <is>
          <t>2104-09-16</t>
        </is>
      </c>
    </row>
    <row r="74819">
      <c r="A74819" s="1" t="n">
        <v>74818</v>
      </c>
      <c r="B74819">
        <f>TEXT(74818, "[$-0E0000]yyyy-mm-dd")</f>
        <v/>
      </c>
      <c r="C74819" t="inlineStr">
        <is>
          <t>2104-09-17</t>
        </is>
      </c>
    </row>
    <row r="74820">
      <c r="A74820" s="1" t="n">
        <v>74819</v>
      </c>
      <c r="B74820">
        <f>TEXT(74819, "[$-0E0000]yyyy-mm-dd")</f>
        <v/>
      </c>
      <c r="C74820" t="inlineStr">
        <is>
          <t>2104-09-18</t>
        </is>
      </c>
    </row>
    <row r="74821">
      <c r="A74821" s="1" t="n">
        <v>74820</v>
      </c>
      <c r="B74821">
        <f>TEXT(74820, "[$-0E0000]yyyy-mm-dd")</f>
        <v/>
      </c>
      <c r="C74821" t="inlineStr">
        <is>
          <t>2104-09-19</t>
        </is>
      </c>
    </row>
    <row r="74822">
      <c r="A74822" s="1" t="n">
        <v>74821</v>
      </c>
      <c r="B74822">
        <f>TEXT(74821, "[$-0E0000]yyyy-mm-dd")</f>
        <v/>
      </c>
      <c r="C74822" t="inlineStr">
        <is>
          <t>2104-09-20</t>
        </is>
      </c>
    </row>
    <row r="74823">
      <c r="A74823" s="1" t="n">
        <v>74822</v>
      </c>
      <c r="B74823">
        <f>TEXT(74822, "[$-0E0000]yyyy-mm-dd")</f>
        <v/>
      </c>
      <c r="C74823" t="inlineStr">
        <is>
          <t>2104-09-21</t>
        </is>
      </c>
    </row>
    <row r="74824">
      <c r="A74824" s="1" t="n">
        <v>74823</v>
      </c>
      <c r="B74824">
        <f>TEXT(74823, "[$-0E0000]yyyy-mm-dd")</f>
        <v/>
      </c>
      <c r="C74824" t="inlineStr">
        <is>
          <t>2104-09-22</t>
        </is>
      </c>
    </row>
    <row r="74825">
      <c r="A74825" s="1" t="n">
        <v>74824</v>
      </c>
      <c r="B74825">
        <f>TEXT(74824, "[$-0E0000]yyyy-mm-dd")</f>
        <v/>
      </c>
      <c r="C74825" t="inlineStr">
        <is>
          <t>2104-09-23</t>
        </is>
      </c>
    </row>
    <row r="74826">
      <c r="A74826" s="1" t="n">
        <v>74825</v>
      </c>
      <c r="B74826">
        <f>TEXT(74825, "[$-0E0000]yyyy-mm-dd")</f>
        <v/>
      </c>
      <c r="C74826" t="inlineStr">
        <is>
          <t>2104-09-24</t>
        </is>
      </c>
    </row>
    <row r="74827">
      <c r="A74827" s="1" t="n">
        <v>74826</v>
      </c>
      <c r="B74827">
        <f>TEXT(74826, "[$-0E0000]yyyy-mm-dd")</f>
        <v/>
      </c>
      <c r="C74827" t="inlineStr">
        <is>
          <t>2104-09-25</t>
        </is>
      </c>
    </row>
    <row r="74828">
      <c r="A74828" s="1" t="n">
        <v>74827</v>
      </c>
      <c r="B74828">
        <f>TEXT(74827, "[$-0E0000]yyyy-mm-dd")</f>
        <v/>
      </c>
      <c r="C74828" t="inlineStr">
        <is>
          <t>2104-09-26</t>
        </is>
      </c>
    </row>
    <row r="74829">
      <c r="A74829" s="1" t="n">
        <v>74828</v>
      </c>
      <c r="B74829">
        <f>TEXT(74828, "[$-0E0000]yyyy-mm-dd")</f>
        <v/>
      </c>
      <c r="C74829" t="inlineStr">
        <is>
          <t>2104-09-27</t>
        </is>
      </c>
    </row>
    <row r="74830">
      <c r="A74830" s="1" t="n">
        <v>74829</v>
      </c>
      <c r="B74830">
        <f>TEXT(74829, "[$-0E0000]yyyy-mm-dd")</f>
        <v/>
      </c>
      <c r="C74830" t="inlineStr">
        <is>
          <t>2104-09-28</t>
        </is>
      </c>
    </row>
    <row r="74831">
      <c r="A74831" s="1" t="n">
        <v>74830</v>
      </c>
      <c r="B74831">
        <f>TEXT(74830, "[$-0E0000]yyyy-mm-dd")</f>
        <v/>
      </c>
      <c r="C74831" t="inlineStr">
        <is>
          <t>2104-09-29</t>
        </is>
      </c>
    </row>
    <row r="74832">
      <c r="A74832" s="1" t="n">
        <v>74831</v>
      </c>
      <c r="B74832">
        <f>TEXT(74831, "[$-0E0000]yyyy-mm-dd")</f>
        <v/>
      </c>
      <c r="C74832" t="inlineStr">
        <is>
          <t>2104-09-30</t>
        </is>
      </c>
    </row>
    <row r="74833">
      <c r="A74833" s="1" t="n">
        <v>74832</v>
      </c>
      <c r="B74833">
        <f>TEXT(74832, "[$-0E0000]yyyy-mm-dd")</f>
        <v/>
      </c>
      <c r="C74833" t="inlineStr">
        <is>
          <t>2104-10-01</t>
        </is>
      </c>
    </row>
    <row r="74834">
      <c r="A74834" s="1" t="n">
        <v>74833</v>
      </c>
      <c r="B74834">
        <f>TEXT(74833, "[$-0E0000]yyyy-mm-dd")</f>
        <v/>
      </c>
      <c r="C74834" t="inlineStr">
        <is>
          <t>2104-10-02</t>
        </is>
      </c>
    </row>
    <row r="74835">
      <c r="A74835" s="1" t="n">
        <v>74834</v>
      </c>
      <c r="B74835">
        <f>TEXT(74834, "[$-0E0000]yyyy-mm-dd")</f>
        <v/>
      </c>
      <c r="C74835" t="inlineStr">
        <is>
          <t>2104-10-03</t>
        </is>
      </c>
    </row>
    <row r="74836">
      <c r="A74836" s="1" t="n">
        <v>74835</v>
      </c>
      <c r="B74836">
        <f>TEXT(74835, "[$-0E0000]yyyy-mm-dd")</f>
        <v/>
      </c>
      <c r="C74836" t="inlineStr">
        <is>
          <t>2104-10-04</t>
        </is>
      </c>
    </row>
    <row r="74837">
      <c r="A74837" s="1" t="n">
        <v>74836</v>
      </c>
      <c r="B74837">
        <f>TEXT(74836, "[$-0E0000]yyyy-mm-dd")</f>
        <v/>
      </c>
      <c r="C74837" t="inlineStr">
        <is>
          <t>2104-10-05</t>
        </is>
      </c>
    </row>
    <row r="74838">
      <c r="A74838" s="1" t="n">
        <v>74837</v>
      </c>
      <c r="B74838">
        <f>TEXT(74837, "[$-0E0000]yyyy-mm-dd")</f>
        <v/>
      </c>
      <c r="C74838" t="inlineStr">
        <is>
          <t>2104-10-06</t>
        </is>
      </c>
    </row>
    <row r="74839">
      <c r="A74839" s="1" t="n">
        <v>74838</v>
      </c>
      <c r="B74839">
        <f>TEXT(74838, "[$-0E0000]yyyy-mm-dd")</f>
        <v/>
      </c>
      <c r="C74839" t="inlineStr">
        <is>
          <t>2104-10-07</t>
        </is>
      </c>
    </row>
    <row r="74840">
      <c r="A74840" s="1" t="n">
        <v>74839</v>
      </c>
      <c r="B74840">
        <f>TEXT(74839, "[$-0E0000]yyyy-mm-dd")</f>
        <v/>
      </c>
      <c r="C74840" t="inlineStr">
        <is>
          <t>2104-10-08</t>
        </is>
      </c>
    </row>
    <row r="74841">
      <c r="A74841" s="1" t="n">
        <v>74840</v>
      </c>
      <c r="B74841">
        <f>TEXT(74840, "[$-0E0000]yyyy-mm-dd")</f>
        <v/>
      </c>
      <c r="C74841" t="inlineStr">
        <is>
          <t>2104-10-09</t>
        </is>
      </c>
    </row>
    <row r="74842">
      <c r="A74842" s="1" t="n">
        <v>74841</v>
      </c>
      <c r="B74842">
        <f>TEXT(74841, "[$-0E0000]yyyy-mm-dd")</f>
        <v/>
      </c>
      <c r="C74842" t="inlineStr">
        <is>
          <t>2104-10-10</t>
        </is>
      </c>
    </row>
    <row r="74843">
      <c r="A74843" s="1" t="n">
        <v>74842</v>
      </c>
      <c r="B74843">
        <f>TEXT(74842, "[$-0E0000]yyyy-mm-dd")</f>
        <v/>
      </c>
      <c r="C74843" t="inlineStr">
        <is>
          <t>2104-10-11</t>
        </is>
      </c>
    </row>
    <row r="74844">
      <c r="A74844" s="1" t="n">
        <v>74843</v>
      </c>
      <c r="B74844">
        <f>TEXT(74843, "[$-0E0000]yyyy-mm-dd")</f>
        <v/>
      </c>
      <c r="C74844" t="inlineStr">
        <is>
          <t>2104-10-12</t>
        </is>
      </c>
    </row>
    <row r="74845">
      <c r="A74845" s="1" t="n">
        <v>74844</v>
      </c>
      <c r="B74845">
        <f>TEXT(74844, "[$-0E0000]yyyy-mm-dd")</f>
        <v/>
      </c>
      <c r="C74845" t="inlineStr">
        <is>
          <t>2104-10-13</t>
        </is>
      </c>
    </row>
    <row r="74846">
      <c r="A74846" s="1" t="n">
        <v>74845</v>
      </c>
      <c r="B74846">
        <f>TEXT(74845, "[$-0E0000]yyyy-mm-dd")</f>
        <v/>
      </c>
      <c r="C74846" t="inlineStr">
        <is>
          <t>2104-10-14</t>
        </is>
      </c>
    </row>
    <row r="74847">
      <c r="A74847" s="1" t="n">
        <v>74846</v>
      </c>
      <c r="B74847">
        <f>TEXT(74846, "[$-0E0000]yyyy-mm-dd")</f>
        <v/>
      </c>
      <c r="C74847" t="inlineStr">
        <is>
          <t>2104-10-15</t>
        </is>
      </c>
    </row>
    <row r="74848">
      <c r="A74848" s="1" t="n">
        <v>74847</v>
      </c>
      <c r="B74848">
        <f>TEXT(74847, "[$-0E0000]yyyy-mm-dd")</f>
        <v/>
      </c>
      <c r="C74848" t="inlineStr">
        <is>
          <t>2104-10-16</t>
        </is>
      </c>
    </row>
    <row r="74849">
      <c r="A74849" s="1" t="n">
        <v>74848</v>
      </c>
      <c r="B74849">
        <f>TEXT(74848, "[$-0E0000]yyyy-mm-dd")</f>
        <v/>
      </c>
      <c r="C74849" t="inlineStr">
        <is>
          <t>2104-10-17</t>
        </is>
      </c>
    </row>
    <row r="74850">
      <c r="A74850" s="1" t="n">
        <v>74849</v>
      </c>
      <c r="B74850">
        <f>TEXT(74849, "[$-0E0000]yyyy-mm-dd")</f>
        <v/>
      </c>
      <c r="C74850" t="inlineStr">
        <is>
          <t>2104-10-18</t>
        </is>
      </c>
    </row>
    <row r="74851">
      <c r="A74851" s="1" t="n">
        <v>74850</v>
      </c>
      <c r="B74851">
        <f>TEXT(74850, "[$-0E0000]yyyy-mm-dd")</f>
        <v/>
      </c>
      <c r="C74851" t="inlineStr">
        <is>
          <t>2104-10-19</t>
        </is>
      </c>
    </row>
    <row r="74852">
      <c r="A74852" s="1" t="n">
        <v>74851</v>
      </c>
      <c r="B74852">
        <f>TEXT(74851, "[$-0E0000]yyyy-mm-dd")</f>
        <v/>
      </c>
      <c r="C74852" t="inlineStr">
        <is>
          <t>2104-10-20</t>
        </is>
      </c>
    </row>
    <row r="74853">
      <c r="A74853" s="1" t="n">
        <v>74852</v>
      </c>
      <c r="B74853">
        <f>TEXT(74852, "[$-0E0000]yyyy-mm-dd")</f>
        <v/>
      </c>
      <c r="C74853" t="inlineStr">
        <is>
          <t>2104-10-21</t>
        </is>
      </c>
    </row>
    <row r="74854">
      <c r="A74854" s="1" t="n">
        <v>74853</v>
      </c>
      <c r="B74854">
        <f>TEXT(74853, "[$-0E0000]yyyy-mm-dd")</f>
        <v/>
      </c>
      <c r="C74854" t="inlineStr">
        <is>
          <t>2104-10-22</t>
        </is>
      </c>
    </row>
    <row r="74855">
      <c r="A74855" s="1" t="n">
        <v>74854</v>
      </c>
      <c r="B74855">
        <f>TEXT(74854, "[$-0E0000]yyyy-mm-dd")</f>
        <v/>
      </c>
      <c r="C74855" t="inlineStr">
        <is>
          <t>2104-10-23</t>
        </is>
      </c>
    </row>
    <row r="74856">
      <c r="A74856" s="1" t="n">
        <v>74855</v>
      </c>
      <c r="B74856">
        <f>TEXT(74855, "[$-0E0000]yyyy-mm-dd")</f>
        <v/>
      </c>
      <c r="C74856" t="inlineStr">
        <is>
          <t>2104-10-24</t>
        </is>
      </c>
    </row>
    <row r="74857">
      <c r="A74857" s="1" t="n">
        <v>74856</v>
      </c>
      <c r="B74857">
        <f>TEXT(74856, "[$-0E0000]yyyy-mm-dd")</f>
        <v/>
      </c>
      <c r="C74857" t="inlineStr">
        <is>
          <t>2104-10-25</t>
        </is>
      </c>
    </row>
    <row r="74858">
      <c r="A74858" s="1" t="n">
        <v>74857</v>
      </c>
      <c r="B74858">
        <f>TEXT(74857, "[$-0E0000]yyyy-mm-dd")</f>
        <v/>
      </c>
      <c r="C74858" t="inlineStr">
        <is>
          <t>2104-10-26</t>
        </is>
      </c>
    </row>
    <row r="74859">
      <c r="A74859" s="1" t="n">
        <v>74858</v>
      </c>
      <c r="B74859">
        <f>TEXT(74858, "[$-0E0000]yyyy-mm-dd")</f>
        <v/>
      </c>
      <c r="C74859" t="inlineStr">
        <is>
          <t>2104-10-27</t>
        </is>
      </c>
    </row>
    <row r="74860">
      <c r="A74860" s="1" t="n">
        <v>74859</v>
      </c>
      <c r="B74860">
        <f>TEXT(74859, "[$-0E0000]yyyy-mm-dd")</f>
        <v/>
      </c>
      <c r="C74860" t="inlineStr">
        <is>
          <t>2104-10-28</t>
        </is>
      </c>
    </row>
    <row r="74861">
      <c r="A74861" s="1" t="n">
        <v>74860</v>
      </c>
      <c r="B74861">
        <f>TEXT(74860, "[$-0E0000]yyyy-mm-dd")</f>
        <v/>
      </c>
      <c r="C74861" t="inlineStr">
        <is>
          <t>2104-10-29</t>
        </is>
      </c>
    </row>
    <row r="74862">
      <c r="A74862" s="1" t="n">
        <v>74861</v>
      </c>
      <c r="B74862">
        <f>TEXT(74861, "[$-0E0000]yyyy-mm-dd")</f>
        <v/>
      </c>
      <c r="C74862" t="inlineStr">
        <is>
          <t>2104-11-01</t>
        </is>
      </c>
    </row>
    <row r="74863">
      <c r="A74863" s="1" t="n">
        <v>74862</v>
      </c>
      <c r="B74863">
        <f>TEXT(74862, "[$-0E0000]yyyy-mm-dd")</f>
        <v/>
      </c>
      <c r="C74863" t="inlineStr">
        <is>
          <t>2104-11-02</t>
        </is>
      </c>
    </row>
    <row r="74864">
      <c r="A74864" s="1" t="n">
        <v>74863</v>
      </c>
      <c r="B74864">
        <f>TEXT(74863, "[$-0E0000]yyyy-mm-dd")</f>
        <v/>
      </c>
      <c r="C74864" t="inlineStr">
        <is>
          <t>2104-11-03</t>
        </is>
      </c>
    </row>
    <row r="74865">
      <c r="A74865" s="1" t="n">
        <v>74864</v>
      </c>
      <c r="B74865">
        <f>TEXT(74864, "[$-0E0000]yyyy-mm-dd")</f>
        <v/>
      </c>
      <c r="C74865" t="inlineStr">
        <is>
          <t>2104-11-04</t>
        </is>
      </c>
    </row>
    <row r="74866">
      <c r="A74866" s="1" t="n">
        <v>74865</v>
      </c>
      <c r="B74866">
        <f>TEXT(74865, "[$-0E0000]yyyy-mm-dd")</f>
        <v/>
      </c>
      <c r="C74866" t="inlineStr">
        <is>
          <t>2104-11-05</t>
        </is>
      </c>
    </row>
    <row r="74867">
      <c r="A74867" s="1" t="n">
        <v>74866</v>
      </c>
      <c r="B74867">
        <f>TEXT(74866, "[$-0E0000]yyyy-mm-dd")</f>
        <v/>
      </c>
      <c r="C74867" t="inlineStr">
        <is>
          <t>2104-11-06</t>
        </is>
      </c>
    </row>
    <row r="74868">
      <c r="A74868" s="1" t="n">
        <v>74867</v>
      </c>
      <c r="B74868">
        <f>TEXT(74867, "[$-0E0000]yyyy-mm-dd")</f>
        <v/>
      </c>
      <c r="C74868" t="inlineStr">
        <is>
          <t>2104-11-07</t>
        </is>
      </c>
    </row>
    <row r="74869">
      <c r="A74869" s="1" t="n">
        <v>74868</v>
      </c>
      <c r="B74869">
        <f>TEXT(74868, "[$-0E0000]yyyy-mm-dd")</f>
        <v/>
      </c>
      <c r="C74869" t="inlineStr">
        <is>
          <t>2104-11-08</t>
        </is>
      </c>
    </row>
    <row r="74870">
      <c r="A74870" s="1" t="n">
        <v>74869</v>
      </c>
      <c r="B74870">
        <f>TEXT(74869, "[$-0E0000]yyyy-mm-dd")</f>
        <v/>
      </c>
      <c r="C74870" t="inlineStr">
        <is>
          <t>2104-11-09</t>
        </is>
      </c>
    </row>
    <row r="74871">
      <c r="A74871" s="1" t="n">
        <v>74870</v>
      </c>
      <c r="B74871">
        <f>TEXT(74870, "[$-0E0000]yyyy-mm-dd")</f>
        <v/>
      </c>
      <c r="C74871" t="inlineStr">
        <is>
          <t>2104-11-10</t>
        </is>
      </c>
    </row>
    <row r="74872">
      <c r="A74872" s="1" t="n">
        <v>74871</v>
      </c>
      <c r="B74872">
        <f>TEXT(74871, "[$-0E0000]yyyy-mm-dd")</f>
        <v/>
      </c>
      <c r="C74872" t="inlineStr">
        <is>
          <t>2104-11-11</t>
        </is>
      </c>
    </row>
    <row r="74873">
      <c r="A74873" s="1" t="n">
        <v>74872</v>
      </c>
      <c r="B74873">
        <f>TEXT(74872, "[$-0E0000]yyyy-mm-dd")</f>
        <v/>
      </c>
      <c r="C74873" t="inlineStr">
        <is>
          <t>2104-11-12</t>
        </is>
      </c>
    </row>
    <row r="74874">
      <c r="A74874" s="1" t="n">
        <v>74873</v>
      </c>
      <c r="B74874">
        <f>TEXT(74873, "[$-0E0000]yyyy-mm-dd")</f>
        <v/>
      </c>
      <c r="C74874" t="inlineStr">
        <is>
          <t>2104-11-13</t>
        </is>
      </c>
    </row>
    <row r="74875">
      <c r="A74875" s="1" t="n">
        <v>74874</v>
      </c>
      <c r="B74875">
        <f>TEXT(74874, "[$-0E0000]yyyy-mm-dd")</f>
        <v/>
      </c>
      <c r="C74875" t="inlineStr">
        <is>
          <t>2104-11-14</t>
        </is>
      </c>
    </row>
    <row r="74876">
      <c r="A74876" s="1" t="n">
        <v>74875</v>
      </c>
      <c r="B74876">
        <f>TEXT(74875, "[$-0E0000]yyyy-mm-dd")</f>
        <v/>
      </c>
      <c r="C74876" t="inlineStr">
        <is>
          <t>2104-11-15</t>
        </is>
      </c>
    </row>
    <row r="74877">
      <c r="A74877" s="1" t="n">
        <v>74876</v>
      </c>
      <c r="B74877">
        <f>TEXT(74876, "[$-0E0000]yyyy-mm-dd")</f>
        <v/>
      </c>
      <c r="C74877" t="inlineStr">
        <is>
          <t>2104-11-16</t>
        </is>
      </c>
    </row>
    <row r="74878">
      <c r="A74878" s="1" t="n">
        <v>74877</v>
      </c>
      <c r="B74878">
        <f>TEXT(74877, "[$-0E0000]yyyy-mm-dd")</f>
        <v/>
      </c>
      <c r="C74878" t="inlineStr">
        <is>
          <t>2104-11-17</t>
        </is>
      </c>
    </row>
    <row r="74879">
      <c r="A74879" s="1" t="n">
        <v>74878</v>
      </c>
      <c r="B74879">
        <f>TEXT(74878, "[$-0E0000]yyyy-mm-dd")</f>
        <v/>
      </c>
      <c r="C74879" t="inlineStr">
        <is>
          <t>2104-11-18</t>
        </is>
      </c>
    </row>
    <row r="74880">
      <c r="A74880" s="1" t="n">
        <v>74879</v>
      </c>
      <c r="B74880">
        <f>TEXT(74879, "[$-0E0000]yyyy-mm-dd")</f>
        <v/>
      </c>
      <c r="C74880" t="inlineStr">
        <is>
          <t>2104-11-19</t>
        </is>
      </c>
    </row>
    <row r="74881">
      <c r="A74881" s="1" t="n">
        <v>74880</v>
      </c>
      <c r="B74881">
        <f>TEXT(74880, "[$-0E0000]yyyy-mm-dd")</f>
        <v/>
      </c>
      <c r="C74881" t="inlineStr">
        <is>
          <t>2104-11-20</t>
        </is>
      </c>
    </row>
    <row r="74882">
      <c r="A74882" s="1" t="n">
        <v>74881</v>
      </c>
      <c r="B74882">
        <f>TEXT(74881, "[$-0E0000]yyyy-mm-dd")</f>
        <v/>
      </c>
      <c r="C74882" t="inlineStr">
        <is>
          <t>2104-11-21</t>
        </is>
      </c>
    </row>
    <row r="74883">
      <c r="A74883" s="1" t="n">
        <v>74882</v>
      </c>
      <c r="B74883">
        <f>TEXT(74882, "[$-0E0000]yyyy-mm-dd")</f>
        <v/>
      </c>
      <c r="C74883" t="inlineStr">
        <is>
          <t>2104-11-22</t>
        </is>
      </c>
    </row>
    <row r="74884">
      <c r="A74884" s="1" t="n">
        <v>74883</v>
      </c>
      <c r="B74884">
        <f>TEXT(74883, "[$-0E0000]yyyy-mm-dd")</f>
        <v/>
      </c>
      <c r="C74884" t="inlineStr">
        <is>
          <t>2104-11-23</t>
        </is>
      </c>
    </row>
    <row r="74885">
      <c r="A74885" s="1" t="n">
        <v>74884</v>
      </c>
      <c r="B74885">
        <f>TEXT(74884, "[$-0E0000]yyyy-mm-dd")</f>
        <v/>
      </c>
      <c r="C74885" t="inlineStr">
        <is>
          <t>2104-11-24</t>
        </is>
      </c>
    </row>
    <row r="74886">
      <c r="A74886" s="1" t="n">
        <v>74885</v>
      </c>
      <c r="B74886">
        <f>TEXT(74885, "[$-0E0000]yyyy-mm-dd")</f>
        <v/>
      </c>
      <c r="C74886" t="inlineStr">
        <is>
          <t>2104-11-25</t>
        </is>
      </c>
    </row>
    <row r="74887">
      <c r="A74887" s="1" t="n">
        <v>74886</v>
      </c>
      <c r="B74887">
        <f>TEXT(74886, "[$-0E0000]yyyy-mm-dd")</f>
        <v/>
      </c>
      <c r="C74887" t="inlineStr">
        <is>
          <t>2104-11-26</t>
        </is>
      </c>
    </row>
    <row r="74888">
      <c r="A74888" s="1" t="n">
        <v>74887</v>
      </c>
      <c r="B74888">
        <f>TEXT(74887, "[$-0E0000]yyyy-mm-dd")</f>
        <v/>
      </c>
      <c r="C74888" t="inlineStr">
        <is>
          <t>2104-11-27</t>
        </is>
      </c>
    </row>
    <row r="74889">
      <c r="A74889" s="1" t="n">
        <v>74888</v>
      </c>
      <c r="B74889">
        <f>TEXT(74888, "[$-0E0000]yyyy-mm-dd")</f>
        <v/>
      </c>
      <c r="C74889" t="inlineStr">
        <is>
          <t>2104-11-28</t>
        </is>
      </c>
    </row>
    <row r="74890">
      <c r="A74890" s="1" t="n">
        <v>74889</v>
      </c>
      <c r="B74890">
        <f>TEXT(74889, "[$-0E0000]yyyy-mm-dd")</f>
        <v/>
      </c>
      <c r="C74890" t="inlineStr">
        <is>
          <t>2104-11-29</t>
        </is>
      </c>
    </row>
    <row r="74891">
      <c r="A74891" s="1" t="n">
        <v>74890</v>
      </c>
      <c r="B74891">
        <f>TEXT(74890, "[$-0E0000]yyyy-mm-dd")</f>
        <v/>
      </c>
      <c r="C74891" t="inlineStr">
        <is>
          <t>2104-11-30</t>
        </is>
      </c>
    </row>
    <row r="74892">
      <c r="A74892" s="1" t="n">
        <v>74891</v>
      </c>
      <c r="B74892">
        <f>TEXT(74891, "[$-0E0000]yyyy-mm-dd")</f>
        <v/>
      </c>
      <c r="C74892" t="inlineStr">
        <is>
          <t>2104-12-01</t>
        </is>
      </c>
    </row>
    <row r="74893">
      <c r="A74893" s="1" t="n">
        <v>74892</v>
      </c>
      <c r="B74893">
        <f>TEXT(74892, "[$-0E0000]yyyy-mm-dd")</f>
        <v/>
      </c>
      <c r="C74893" t="inlineStr">
        <is>
          <t>2104-12-02</t>
        </is>
      </c>
    </row>
    <row r="74894">
      <c r="A74894" s="1" t="n">
        <v>74893</v>
      </c>
      <c r="B74894">
        <f>TEXT(74893, "[$-0E0000]yyyy-mm-dd")</f>
        <v/>
      </c>
      <c r="C74894" t="inlineStr">
        <is>
          <t>2104-12-03</t>
        </is>
      </c>
    </row>
    <row r="74895">
      <c r="A74895" s="1" t="n">
        <v>74894</v>
      </c>
      <c r="B74895">
        <f>TEXT(74894, "[$-0E0000]yyyy-mm-dd")</f>
        <v/>
      </c>
      <c r="C74895" t="inlineStr">
        <is>
          <t>2104-12-04</t>
        </is>
      </c>
    </row>
    <row r="74896">
      <c r="A74896" s="1" t="n">
        <v>74895</v>
      </c>
      <c r="B74896">
        <f>TEXT(74895, "[$-0E0000]yyyy-mm-dd")</f>
        <v/>
      </c>
      <c r="C74896" t="inlineStr">
        <is>
          <t>2104-12-05</t>
        </is>
      </c>
    </row>
    <row r="74897">
      <c r="A74897" s="1" t="n">
        <v>74896</v>
      </c>
      <c r="B74897">
        <f>TEXT(74896, "[$-0E0000]yyyy-mm-dd")</f>
        <v/>
      </c>
      <c r="C74897" t="inlineStr">
        <is>
          <t>2104-12-06</t>
        </is>
      </c>
    </row>
    <row r="74898">
      <c r="A74898" s="1" t="n">
        <v>74897</v>
      </c>
      <c r="B74898">
        <f>TEXT(74897, "[$-0E0000]yyyy-mm-dd")</f>
        <v/>
      </c>
      <c r="C74898" t="inlineStr">
        <is>
          <t>2104-12-07</t>
        </is>
      </c>
    </row>
    <row r="74899">
      <c r="A74899" s="1" t="n">
        <v>74898</v>
      </c>
      <c r="B74899">
        <f>TEXT(74898, "[$-0E0000]yyyy-mm-dd")</f>
        <v/>
      </c>
      <c r="C74899" t="inlineStr">
        <is>
          <t>2104-12-08</t>
        </is>
      </c>
    </row>
    <row r="74900">
      <c r="A74900" s="1" t="n">
        <v>74899</v>
      </c>
      <c r="B74900">
        <f>TEXT(74899, "[$-0E0000]yyyy-mm-dd")</f>
        <v/>
      </c>
      <c r="C74900" t="inlineStr">
        <is>
          <t>2104-12-09</t>
        </is>
      </c>
    </row>
    <row r="74901">
      <c r="A74901" s="1" t="n">
        <v>74900</v>
      </c>
      <c r="B74901">
        <f>TEXT(74900, "[$-0E0000]yyyy-mm-dd")</f>
        <v/>
      </c>
      <c r="C74901" t="inlineStr">
        <is>
          <t>2104-12-10</t>
        </is>
      </c>
    </row>
    <row r="74902">
      <c r="A74902" s="1" t="n">
        <v>74901</v>
      </c>
      <c r="B74902">
        <f>TEXT(74901, "[$-0E0000]yyyy-mm-dd")</f>
        <v/>
      </c>
      <c r="C74902" t="inlineStr">
        <is>
          <t>2104-12-11</t>
        </is>
      </c>
    </row>
    <row r="74903">
      <c r="A74903" s="1" t="n">
        <v>74902</v>
      </c>
      <c r="B74903">
        <f>TEXT(74902, "[$-0E0000]yyyy-mm-dd")</f>
        <v/>
      </c>
      <c r="C74903" t="inlineStr">
        <is>
          <t>2104-12-12</t>
        </is>
      </c>
    </row>
    <row r="74904">
      <c r="A74904" s="1" t="n">
        <v>74903</v>
      </c>
      <c r="B74904">
        <f>TEXT(74903, "[$-0E0000]yyyy-mm-dd")</f>
        <v/>
      </c>
      <c r="C74904" t="inlineStr">
        <is>
          <t>2104-12-13</t>
        </is>
      </c>
    </row>
    <row r="74905">
      <c r="A74905" s="1" t="n">
        <v>74904</v>
      </c>
      <c r="B74905">
        <f>TEXT(74904, "[$-0E0000]yyyy-mm-dd")</f>
        <v/>
      </c>
      <c r="C74905" t="inlineStr">
        <is>
          <t>2104-12-14</t>
        </is>
      </c>
    </row>
    <row r="74906">
      <c r="A74906" s="1" t="n">
        <v>74905</v>
      </c>
      <c r="B74906">
        <f>TEXT(74905, "[$-0E0000]yyyy-mm-dd")</f>
        <v/>
      </c>
      <c r="C74906" t="inlineStr">
        <is>
          <t>2104-12-15</t>
        </is>
      </c>
    </row>
    <row r="74907">
      <c r="A74907" s="1" t="n">
        <v>74906</v>
      </c>
      <c r="B74907">
        <f>TEXT(74906, "[$-0E0000]yyyy-mm-dd")</f>
        <v/>
      </c>
      <c r="C74907" t="inlineStr">
        <is>
          <t>2104-12-16</t>
        </is>
      </c>
    </row>
    <row r="74908">
      <c r="A74908" s="1" t="n">
        <v>74907</v>
      </c>
      <c r="B74908">
        <f>TEXT(74907, "[$-0E0000]yyyy-mm-dd")</f>
        <v/>
      </c>
      <c r="C74908" t="inlineStr">
        <is>
          <t>2104-12-17</t>
        </is>
      </c>
    </row>
    <row r="74909">
      <c r="A74909" s="1" t="n">
        <v>74908</v>
      </c>
      <c r="B74909">
        <f>TEXT(74908, "[$-0E0000]yyyy-mm-dd")</f>
        <v/>
      </c>
      <c r="C74909" t="inlineStr">
        <is>
          <t>2104-12-18</t>
        </is>
      </c>
    </row>
    <row r="74910">
      <c r="A74910" s="1" t="n">
        <v>74909</v>
      </c>
      <c r="B74910">
        <f>TEXT(74909, "[$-0E0000]yyyy-mm-dd")</f>
        <v/>
      </c>
      <c r="C74910" t="inlineStr">
        <is>
          <t>2104-12-19</t>
        </is>
      </c>
    </row>
    <row r="74911">
      <c r="A74911" s="1" t="n">
        <v>74910</v>
      </c>
      <c r="B74911">
        <f>TEXT(74910, "[$-0E0000]yyyy-mm-dd")</f>
        <v/>
      </c>
      <c r="C74911" t="inlineStr">
        <is>
          <t>2104-12-20</t>
        </is>
      </c>
    </row>
    <row r="74912">
      <c r="A74912" s="1" t="n">
        <v>74911</v>
      </c>
      <c r="B74912">
        <f>TEXT(74911, "[$-0E0000]yyyy-mm-dd")</f>
        <v/>
      </c>
      <c r="C74912" t="inlineStr">
        <is>
          <t>2104-12-21</t>
        </is>
      </c>
    </row>
    <row r="74913">
      <c r="A74913" s="1" t="n">
        <v>74912</v>
      </c>
      <c r="B74913">
        <f>TEXT(74912, "[$-0E0000]yyyy-mm-dd")</f>
        <v/>
      </c>
      <c r="C74913" t="inlineStr">
        <is>
          <t>2104-12-22</t>
        </is>
      </c>
    </row>
    <row r="74914">
      <c r="A74914" s="1" t="n">
        <v>74913</v>
      </c>
      <c r="B74914">
        <f>TEXT(74913, "[$-0E0000]yyyy-mm-dd")</f>
        <v/>
      </c>
      <c r="C74914" t="inlineStr">
        <is>
          <t>2104-12-23</t>
        </is>
      </c>
    </row>
    <row r="74915">
      <c r="A74915" s="1" t="n">
        <v>74914</v>
      </c>
      <c r="B74915">
        <f>TEXT(74914, "[$-0E0000]yyyy-mm-dd")</f>
        <v/>
      </c>
      <c r="C74915" t="inlineStr">
        <is>
          <t>2104-12-24</t>
        </is>
      </c>
    </row>
    <row r="74916">
      <c r="A74916" s="1" t="n">
        <v>74915</v>
      </c>
      <c r="B74916">
        <f>TEXT(74915, "[$-0E0000]yyyy-mm-dd")</f>
        <v/>
      </c>
      <c r="C74916" t="inlineStr">
        <is>
          <t>2104-12-25</t>
        </is>
      </c>
    </row>
    <row r="74917">
      <c r="A74917" s="1" t="n">
        <v>74916</v>
      </c>
      <c r="B74917">
        <f>TEXT(74916, "[$-0E0000]yyyy-mm-dd")</f>
        <v/>
      </c>
      <c r="C74917" t="inlineStr">
        <is>
          <t>2104-12-26</t>
        </is>
      </c>
    </row>
    <row r="74918">
      <c r="A74918" s="1" t="n">
        <v>74917</v>
      </c>
      <c r="B74918">
        <f>TEXT(74917, "[$-0E0000]yyyy-mm-dd")</f>
        <v/>
      </c>
      <c r="C74918" t="inlineStr">
        <is>
          <t>2104-12-27</t>
        </is>
      </c>
    </row>
    <row r="74919">
      <c r="A74919" s="1" t="n">
        <v>74918</v>
      </c>
      <c r="B74919">
        <f>TEXT(74918, "[$-0E0000]yyyy-mm-dd")</f>
        <v/>
      </c>
      <c r="C74919" t="inlineStr">
        <is>
          <t>2104-12-28</t>
        </is>
      </c>
    </row>
    <row r="74920">
      <c r="A74920" s="1" t="n">
        <v>74919</v>
      </c>
      <c r="B74920">
        <f>TEXT(74919, "[$-0E0000]yyyy-mm-dd")</f>
        <v/>
      </c>
      <c r="C74920" t="inlineStr">
        <is>
          <t>2104-12-29</t>
        </is>
      </c>
    </row>
    <row r="74921">
      <c r="A74921" s="1" t="n">
        <v>74920</v>
      </c>
      <c r="B74921">
        <f>TEXT(74920, "[$-0E0000]yyyy-mm-dd")</f>
        <v/>
      </c>
      <c r="C74921" t="inlineStr">
        <is>
          <t>2104-12-30</t>
        </is>
      </c>
    </row>
    <row r="74922">
      <c r="A74922" s="1" t="n">
        <v>74921</v>
      </c>
      <c r="B74922">
        <f>TEXT(74921, "[$-0E0000]yyyy-mm-dd")</f>
        <v/>
      </c>
      <c r="C74922" t="inlineStr">
        <is>
          <t>2105-01-01</t>
        </is>
      </c>
    </row>
    <row r="74923">
      <c r="A74923" s="1" t="n">
        <v>74922</v>
      </c>
      <c r="B74923">
        <f>TEXT(74922, "[$-0E0000]yyyy-mm-dd")</f>
        <v/>
      </c>
      <c r="C74923" t="inlineStr">
        <is>
          <t>2105-01-02</t>
        </is>
      </c>
    </row>
    <row r="74924">
      <c r="A74924" s="1" t="n">
        <v>74923</v>
      </c>
      <c r="B74924">
        <f>TEXT(74923, "[$-0E0000]yyyy-mm-dd")</f>
        <v/>
      </c>
      <c r="C74924" t="inlineStr">
        <is>
          <t>2105-01-03</t>
        </is>
      </c>
    </row>
    <row r="74925">
      <c r="A74925" s="1" t="n">
        <v>74924</v>
      </c>
      <c r="B74925">
        <f>TEXT(74924, "[$-0E0000]yyyy-mm-dd")</f>
        <v/>
      </c>
      <c r="C74925" t="inlineStr">
        <is>
          <t>2105-01-04</t>
        </is>
      </c>
    </row>
    <row r="74926">
      <c r="A74926" s="1" t="n">
        <v>74925</v>
      </c>
      <c r="B74926">
        <f>TEXT(74925, "[$-0E0000]yyyy-mm-dd")</f>
        <v/>
      </c>
      <c r="C74926" t="inlineStr">
        <is>
          <t>2105-01-05</t>
        </is>
      </c>
    </row>
    <row r="74927">
      <c r="A74927" s="1" t="n">
        <v>74926</v>
      </c>
      <c r="B74927">
        <f>TEXT(74926, "[$-0E0000]yyyy-mm-dd")</f>
        <v/>
      </c>
      <c r="C74927" t="inlineStr">
        <is>
          <t>2105-01-06</t>
        </is>
      </c>
    </row>
    <row r="74928">
      <c r="A74928" s="1" t="n">
        <v>74927</v>
      </c>
      <c r="B74928">
        <f>TEXT(74927, "[$-0E0000]yyyy-mm-dd")</f>
        <v/>
      </c>
      <c r="C74928" t="inlineStr">
        <is>
          <t>2105-01-07</t>
        </is>
      </c>
    </row>
    <row r="74929">
      <c r="A74929" s="1" t="n">
        <v>74928</v>
      </c>
      <c r="B74929">
        <f>TEXT(74928, "[$-0E0000]yyyy-mm-dd")</f>
        <v/>
      </c>
      <c r="C74929" t="inlineStr">
        <is>
          <t>2105-01-08</t>
        </is>
      </c>
    </row>
    <row r="74930">
      <c r="A74930" s="1" t="n">
        <v>74929</v>
      </c>
      <c r="B74930">
        <f>TEXT(74929, "[$-0E0000]yyyy-mm-dd")</f>
        <v/>
      </c>
      <c r="C74930" t="inlineStr">
        <is>
          <t>2105-01-09</t>
        </is>
      </c>
    </row>
    <row r="74931">
      <c r="A74931" s="1" t="n">
        <v>74930</v>
      </c>
      <c r="B74931">
        <f>TEXT(74930, "[$-0E0000]yyyy-mm-dd")</f>
        <v/>
      </c>
      <c r="C74931" t="inlineStr">
        <is>
          <t>2105-01-10</t>
        </is>
      </c>
    </row>
    <row r="74932">
      <c r="A74932" s="1" t="n">
        <v>74931</v>
      </c>
      <c r="B74932">
        <f>TEXT(74931, "[$-0E0000]yyyy-mm-dd")</f>
        <v/>
      </c>
      <c r="C74932" t="inlineStr">
        <is>
          <t>2105-01-11</t>
        </is>
      </c>
    </row>
    <row r="74933">
      <c r="A74933" s="1" t="n">
        <v>74932</v>
      </c>
      <c r="B74933">
        <f>TEXT(74932, "[$-0E0000]yyyy-mm-dd")</f>
        <v/>
      </c>
      <c r="C74933" t="inlineStr">
        <is>
          <t>2105-01-12</t>
        </is>
      </c>
    </row>
    <row r="74934">
      <c r="A74934" s="1" t="n">
        <v>74933</v>
      </c>
      <c r="B74934">
        <f>TEXT(74933, "[$-0E0000]yyyy-mm-dd")</f>
        <v/>
      </c>
      <c r="C74934" t="inlineStr">
        <is>
          <t>2105-01-13</t>
        </is>
      </c>
    </row>
    <row r="74935">
      <c r="A74935" s="1" t="n">
        <v>74934</v>
      </c>
      <c r="B74935">
        <f>TEXT(74934, "[$-0E0000]yyyy-mm-dd")</f>
        <v/>
      </c>
      <c r="C74935" t="inlineStr">
        <is>
          <t>2105-01-14</t>
        </is>
      </c>
    </row>
    <row r="74936">
      <c r="A74936" s="1" t="n">
        <v>74935</v>
      </c>
      <c r="B74936">
        <f>TEXT(74935, "[$-0E0000]yyyy-mm-dd")</f>
        <v/>
      </c>
      <c r="C74936" t="inlineStr">
        <is>
          <t>2105-01-15</t>
        </is>
      </c>
    </row>
    <row r="74937">
      <c r="A74937" s="1" t="n">
        <v>74936</v>
      </c>
      <c r="B74937">
        <f>TEXT(74936, "[$-0E0000]yyyy-mm-dd")</f>
        <v/>
      </c>
      <c r="C74937" t="inlineStr">
        <is>
          <t>2105-01-16</t>
        </is>
      </c>
    </row>
    <row r="74938">
      <c r="A74938" s="1" t="n">
        <v>74937</v>
      </c>
      <c r="B74938">
        <f>TEXT(74937, "[$-0E0000]yyyy-mm-dd")</f>
        <v/>
      </c>
      <c r="C74938" t="inlineStr">
        <is>
          <t>2105-01-17</t>
        </is>
      </c>
    </row>
    <row r="74939">
      <c r="A74939" s="1" t="n">
        <v>74938</v>
      </c>
      <c r="B74939">
        <f>TEXT(74938, "[$-0E0000]yyyy-mm-dd")</f>
        <v/>
      </c>
      <c r="C74939" t="inlineStr">
        <is>
          <t>2105-01-18</t>
        </is>
      </c>
    </row>
    <row r="74940">
      <c r="A74940" s="1" t="n">
        <v>74939</v>
      </c>
      <c r="B74940">
        <f>TEXT(74939, "[$-0E0000]yyyy-mm-dd")</f>
        <v/>
      </c>
      <c r="C74940" t="inlineStr">
        <is>
          <t>2105-01-19</t>
        </is>
      </c>
    </row>
    <row r="74941">
      <c r="A74941" s="1" t="n">
        <v>74940</v>
      </c>
      <c r="B74941">
        <f>TEXT(74940, "[$-0E0000]yyyy-mm-dd")</f>
        <v/>
      </c>
      <c r="C74941" t="inlineStr">
        <is>
          <t>2105-01-20</t>
        </is>
      </c>
    </row>
    <row r="74942">
      <c r="A74942" s="1" t="n">
        <v>74941</v>
      </c>
      <c r="B74942">
        <f>TEXT(74941, "[$-0E0000]yyyy-mm-dd")</f>
        <v/>
      </c>
      <c r="C74942" t="inlineStr">
        <is>
          <t>2105-01-21</t>
        </is>
      </c>
    </row>
    <row r="74943">
      <c r="A74943" s="1" t="n">
        <v>74942</v>
      </c>
      <c r="B74943">
        <f>TEXT(74942, "[$-0E0000]yyyy-mm-dd")</f>
        <v/>
      </c>
      <c r="C74943" t="inlineStr">
        <is>
          <t>2105-01-22</t>
        </is>
      </c>
    </row>
    <row r="74944">
      <c r="A74944" s="1" t="n">
        <v>74943</v>
      </c>
      <c r="B74944">
        <f>TEXT(74943, "[$-0E0000]yyyy-mm-dd")</f>
        <v/>
      </c>
      <c r="C74944" t="inlineStr">
        <is>
          <t>2105-01-23</t>
        </is>
      </c>
    </row>
    <row r="74945">
      <c r="A74945" s="1" t="n">
        <v>74944</v>
      </c>
      <c r="B74945">
        <f>TEXT(74944, "[$-0E0000]yyyy-mm-dd")</f>
        <v/>
      </c>
      <c r="C74945" t="inlineStr">
        <is>
          <t>2105-01-24</t>
        </is>
      </c>
    </row>
    <row r="74946">
      <c r="A74946" s="1" t="n">
        <v>74945</v>
      </c>
      <c r="B74946">
        <f>TEXT(74945, "[$-0E0000]yyyy-mm-dd")</f>
        <v/>
      </c>
      <c r="C74946" t="inlineStr">
        <is>
          <t>2105-01-25</t>
        </is>
      </c>
    </row>
    <row r="74947">
      <c r="A74947" s="1" t="n">
        <v>74946</v>
      </c>
      <c r="B74947">
        <f>TEXT(74946, "[$-0E0000]yyyy-mm-dd")</f>
        <v/>
      </c>
      <c r="C74947" t="inlineStr">
        <is>
          <t>2105-01-26</t>
        </is>
      </c>
    </row>
    <row r="74948">
      <c r="A74948" s="1" t="n">
        <v>74947</v>
      </c>
      <c r="B74948">
        <f>TEXT(74947, "[$-0E0000]yyyy-mm-dd")</f>
        <v/>
      </c>
      <c r="C74948" t="inlineStr">
        <is>
          <t>2105-01-27</t>
        </is>
      </c>
    </row>
    <row r="74949">
      <c r="A74949" s="1" t="n">
        <v>74948</v>
      </c>
      <c r="B74949">
        <f>TEXT(74948, "[$-0E0000]yyyy-mm-dd")</f>
        <v/>
      </c>
      <c r="C74949" t="inlineStr">
        <is>
          <t>2105-01-28</t>
        </is>
      </c>
    </row>
    <row r="74950">
      <c r="A74950" s="1" t="n">
        <v>74949</v>
      </c>
      <c r="B74950">
        <f>TEXT(74949, "[$-0E0000]yyyy-mm-dd")</f>
        <v/>
      </c>
      <c r="C74950" t="inlineStr">
        <is>
          <t>2105-01-29</t>
        </is>
      </c>
    </row>
    <row r="74951">
      <c r="A74951" s="1" t="n">
        <v>74950</v>
      </c>
      <c r="B74951">
        <f>TEXT(74950, "[$-0E0000]yyyy-mm-dd")</f>
        <v/>
      </c>
      <c r="C74951" t="inlineStr">
        <is>
          <t>2105-02-01</t>
        </is>
      </c>
    </row>
    <row r="74952">
      <c r="A74952" s="1" t="n">
        <v>74951</v>
      </c>
      <c r="B74952">
        <f>TEXT(74951, "[$-0E0000]yyyy-mm-dd")</f>
        <v/>
      </c>
      <c r="C74952" t="inlineStr">
        <is>
          <t>2105-02-02</t>
        </is>
      </c>
    </row>
    <row r="74953">
      <c r="A74953" s="1" t="n">
        <v>74952</v>
      </c>
      <c r="B74953">
        <f>TEXT(74952, "[$-0E0000]yyyy-mm-dd")</f>
        <v/>
      </c>
      <c r="C74953" t="inlineStr">
        <is>
          <t>2105-02-03</t>
        </is>
      </c>
    </row>
    <row r="74954">
      <c r="A74954" s="1" t="n">
        <v>74953</v>
      </c>
      <c r="B74954">
        <f>TEXT(74953, "[$-0E0000]yyyy-mm-dd")</f>
        <v/>
      </c>
      <c r="C74954" t="inlineStr">
        <is>
          <t>2105-02-04</t>
        </is>
      </c>
    </row>
    <row r="74955">
      <c r="A74955" s="1" t="n">
        <v>74954</v>
      </c>
      <c r="B74955">
        <f>TEXT(74954, "[$-0E0000]yyyy-mm-dd")</f>
        <v/>
      </c>
      <c r="C74955" t="inlineStr">
        <is>
          <t>2105-02-05</t>
        </is>
      </c>
    </row>
    <row r="74956">
      <c r="A74956" s="1" t="n">
        <v>74955</v>
      </c>
      <c r="B74956">
        <f>TEXT(74955, "[$-0E0000]yyyy-mm-dd")</f>
        <v/>
      </c>
      <c r="C74956" t="inlineStr">
        <is>
          <t>2105-02-06</t>
        </is>
      </c>
    </row>
    <row r="74957">
      <c r="A74957" s="1" t="n">
        <v>74956</v>
      </c>
      <c r="B74957">
        <f>TEXT(74956, "[$-0E0000]yyyy-mm-dd")</f>
        <v/>
      </c>
      <c r="C74957" t="inlineStr">
        <is>
          <t>2105-02-07</t>
        </is>
      </c>
    </row>
    <row r="74958">
      <c r="A74958" s="1" t="n">
        <v>74957</v>
      </c>
      <c r="B74958">
        <f>TEXT(74957, "[$-0E0000]yyyy-mm-dd")</f>
        <v/>
      </c>
      <c r="C74958" t="inlineStr">
        <is>
          <t>2105-02-08</t>
        </is>
      </c>
    </row>
    <row r="74959">
      <c r="A74959" s="1" t="n">
        <v>74958</v>
      </c>
      <c r="B74959">
        <f>TEXT(74958, "[$-0E0000]yyyy-mm-dd")</f>
        <v/>
      </c>
      <c r="C74959" t="inlineStr">
        <is>
          <t>2105-02-09</t>
        </is>
      </c>
    </row>
    <row r="74960">
      <c r="A74960" s="1" t="n">
        <v>74959</v>
      </c>
      <c r="B74960">
        <f>TEXT(74959, "[$-0E0000]yyyy-mm-dd")</f>
        <v/>
      </c>
      <c r="C74960" t="inlineStr">
        <is>
          <t>2105-02-10</t>
        </is>
      </c>
    </row>
    <row r="74961">
      <c r="A74961" s="1" t="n">
        <v>74960</v>
      </c>
      <c r="B74961">
        <f>TEXT(74960, "[$-0E0000]yyyy-mm-dd")</f>
        <v/>
      </c>
      <c r="C74961" t="inlineStr">
        <is>
          <t>2105-02-11</t>
        </is>
      </c>
    </row>
    <row r="74962">
      <c r="A74962" s="1" t="n">
        <v>74961</v>
      </c>
      <c r="B74962">
        <f>TEXT(74961, "[$-0E0000]yyyy-mm-dd")</f>
        <v/>
      </c>
      <c r="C74962" t="inlineStr">
        <is>
          <t>2105-02-12</t>
        </is>
      </c>
    </row>
    <row r="74963">
      <c r="A74963" s="1" t="n">
        <v>74962</v>
      </c>
      <c r="B74963">
        <f>TEXT(74962, "[$-0E0000]yyyy-mm-dd")</f>
        <v/>
      </c>
      <c r="C74963" t="inlineStr">
        <is>
          <t>2105-02-13</t>
        </is>
      </c>
    </row>
    <row r="74964">
      <c r="A74964" s="1" t="n">
        <v>74963</v>
      </c>
      <c r="B74964">
        <f>TEXT(74963, "[$-0E0000]yyyy-mm-dd")</f>
        <v/>
      </c>
      <c r="C74964" t="inlineStr">
        <is>
          <t>2105-02-14</t>
        </is>
      </c>
    </row>
    <row r="74965">
      <c r="A74965" s="1" t="n">
        <v>74964</v>
      </c>
      <c r="B74965">
        <f>TEXT(74964, "[$-0E0000]yyyy-mm-dd")</f>
        <v/>
      </c>
      <c r="C74965" t="inlineStr">
        <is>
          <t>2105-02-15</t>
        </is>
      </c>
    </row>
    <row r="74966">
      <c r="A74966" s="1" t="n">
        <v>74965</v>
      </c>
      <c r="B74966">
        <f>TEXT(74965, "[$-0E0000]yyyy-mm-dd")</f>
        <v/>
      </c>
      <c r="C74966" t="inlineStr">
        <is>
          <t>2105-02-16</t>
        </is>
      </c>
    </row>
    <row r="74967">
      <c r="A74967" s="1" t="n">
        <v>74966</v>
      </c>
      <c r="B74967">
        <f>TEXT(74966, "[$-0E0000]yyyy-mm-dd")</f>
        <v/>
      </c>
      <c r="C74967" t="inlineStr">
        <is>
          <t>2105-02-17</t>
        </is>
      </c>
    </row>
    <row r="74968">
      <c r="A74968" s="1" t="n">
        <v>74967</v>
      </c>
      <c r="B74968">
        <f>TEXT(74967, "[$-0E0000]yyyy-mm-dd")</f>
        <v/>
      </c>
      <c r="C74968" t="inlineStr">
        <is>
          <t>2105-02-18</t>
        </is>
      </c>
    </row>
    <row r="74969">
      <c r="A74969" s="1" t="n">
        <v>74968</v>
      </c>
      <c r="B74969">
        <f>TEXT(74968, "[$-0E0000]yyyy-mm-dd")</f>
        <v/>
      </c>
      <c r="C74969" t="inlineStr">
        <is>
          <t>2105-02-19</t>
        </is>
      </c>
    </row>
    <row r="74970">
      <c r="A74970" s="1" t="n">
        <v>74969</v>
      </c>
      <c r="B74970">
        <f>TEXT(74969, "[$-0E0000]yyyy-mm-dd")</f>
        <v/>
      </c>
      <c r="C74970" t="inlineStr">
        <is>
          <t>2105-02-20</t>
        </is>
      </c>
    </row>
    <row r="74971">
      <c r="A74971" s="1" t="n">
        <v>74970</v>
      </c>
      <c r="B74971">
        <f>TEXT(74970, "[$-0E0000]yyyy-mm-dd")</f>
        <v/>
      </c>
      <c r="C74971" t="inlineStr">
        <is>
          <t>2105-02-21</t>
        </is>
      </c>
    </row>
    <row r="74972">
      <c r="A74972" s="1" t="n">
        <v>74971</v>
      </c>
      <c r="B74972">
        <f>TEXT(74971, "[$-0E0000]yyyy-mm-dd")</f>
        <v/>
      </c>
      <c r="C74972" t="inlineStr">
        <is>
          <t>2105-02-22</t>
        </is>
      </c>
    </row>
    <row r="74973">
      <c r="A74973" s="1" t="n">
        <v>74972</v>
      </c>
      <c r="B74973">
        <f>TEXT(74972, "[$-0E0000]yyyy-mm-dd")</f>
        <v/>
      </c>
      <c r="C74973" t="inlineStr">
        <is>
          <t>2105-02-23</t>
        </is>
      </c>
    </row>
    <row r="74974">
      <c r="A74974" s="1" t="n">
        <v>74973</v>
      </c>
      <c r="B74974">
        <f>TEXT(74973, "[$-0E0000]yyyy-mm-dd")</f>
        <v/>
      </c>
      <c r="C74974" t="inlineStr">
        <is>
          <t>2105-02-24</t>
        </is>
      </c>
    </row>
    <row r="74975">
      <c r="A74975" s="1" t="n">
        <v>74974</v>
      </c>
      <c r="B74975">
        <f>TEXT(74974, "[$-0E0000]yyyy-mm-dd")</f>
        <v/>
      </c>
      <c r="C74975" t="inlineStr">
        <is>
          <t>2105-02-25</t>
        </is>
      </c>
    </row>
    <row r="74976">
      <c r="A74976" s="1" t="n">
        <v>74975</v>
      </c>
      <c r="B74976">
        <f>TEXT(74975, "[$-0E0000]yyyy-mm-dd")</f>
        <v/>
      </c>
      <c r="C74976" t="inlineStr">
        <is>
          <t>2105-02-26</t>
        </is>
      </c>
    </row>
    <row r="74977">
      <c r="A74977" s="1" t="n">
        <v>74976</v>
      </c>
      <c r="B74977">
        <f>TEXT(74976, "[$-0E0000]yyyy-mm-dd")</f>
        <v/>
      </c>
      <c r="C74977" t="inlineStr">
        <is>
          <t>2105-02-27</t>
        </is>
      </c>
    </row>
    <row r="74978">
      <c r="A74978" s="1" t="n">
        <v>74977</v>
      </c>
      <c r="B74978">
        <f>TEXT(74977, "[$-0E0000]yyyy-mm-dd")</f>
        <v/>
      </c>
      <c r="C74978" t="inlineStr">
        <is>
          <t>2105-02-28</t>
        </is>
      </c>
    </row>
    <row r="74979">
      <c r="A74979" s="1" t="n">
        <v>74978</v>
      </c>
      <c r="B74979">
        <f>TEXT(74978, "[$-0E0000]yyyy-mm-dd")</f>
        <v/>
      </c>
      <c r="C74979" t="inlineStr">
        <is>
          <t>2105-02-29</t>
        </is>
      </c>
    </row>
    <row r="74980">
      <c r="A74980" s="1" t="n">
        <v>74979</v>
      </c>
      <c r="B74980">
        <f>TEXT(74979, "[$-0E0000]yyyy-mm-dd")</f>
        <v/>
      </c>
      <c r="C74980" t="inlineStr">
        <is>
          <t>2105-02-30</t>
        </is>
      </c>
    </row>
    <row r="74981">
      <c r="A74981" s="1" t="n">
        <v>74980</v>
      </c>
      <c r="B74981">
        <f>TEXT(74980, "[$-0E0000]yyyy-mm-dd")</f>
        <v/>
      </c>
      <c r="C74981" t="inlineStr">
        <is>
          <t>2105-03-01</t>
        </is>
      </c>
    </row>
    <row r="74982">
      <c r="A74982" s="1" t="n">
        <v>74981</v>
      </c>
      <c r="B74982">
        <f>TEXT(74981, "[$-0E0000]yyyy-mm-dd")</f>
        <v/>
      </c>
      <c r="C74982" t="inlineStr">
        <is>
          <t>2105-03-02</t>
        </is>
      </c>
    </row>
    <row r="74983">
      <c r="A74983" s="1" t="n">
        <v>74982</v>
      </c>
      <c r="B74983">
        <f>TEXT(74982, "[$-0E0000]yyyy-mm-dd")</f>
        <v/>
      </c>
      <c r="C74983" t="inlineStr">
        <is>
          <t>2105-03-03</t>
        </is>
      </c>
    </row>
    <row r="74984">
      <c r="A74984" s="1" t="n">
        <v>74983</v>
      </c>
      <c r="B74984">
        <f>TEXT(74983, "[$-0E0000]yyyy-mm-dd")</f>
        <v/>
      </c>
      <c r="C74984" t="inlineStr">
        <is>
          <t>2105-03-04</t>
        </is>
      </c>
    </row>
    <row r="74985">
      <c r="A74985" s="1" t="n">
        <v>74984</v>
      </c>
      <c r="B74985">
        <f>TEXT(74984, "[$-0E0000]yyyy-mm-dd")</f>
        <v/>
      </c>
      <c r="C74985" t="inlineStr">
        <is>
          <t>2105-03-05</t>
        </is>
      </c>
    </row>
    <row r="74986">
      <c r="A74986" s="1" t="n">
        <v>74985</v>
      </c>
      <c r="B74986">
        <f>TEXT(74985, "[$-0E0000]yyyy-mm-dd")</f>
        <v/>
      </c>
      <c r="C74986" t="inlineStr">
        <is>
          <t>2105-03-06</t>
        </is>
      </c>
    </row>
    <row r="74987">
      <c r="A74987" s="1" t="n">
        <v>74986</v>
      </c>
      <c r="B74987">
        <f>TEXT(74986, "[$-0E0000]yyyy-mm-dd")</f>
        <v/>
      </c>
      <c r="C74987" t="inlineStr">
        <is>
          <t>2105-03-07</t>
        </is>
      </c>
    </row>
    <row r="74988">
      <c r="A74988" s="1" t="n">
        <v>74987</v>
      </c>
      <c r="B74988">
        <f>TEXT(74987, "[$-0E0000]yyyy-mm-dd")</f>
        <v/>
      </c>
      <c r="C74988" t="inlineStr">
        <is>
          <t>2105-03-08</t>
        </is>
      </c>
    </row>
    <row r="74989">
      <c r="A74989" s="1" t="n">
        <v>74988</v>
      </c>
      <c r="B74989">
        <f>TEXT(74988, "[$-0E0000]yyyy-mm-dd")</f>
        <v/>
      </c>
      <c r="C74989" t="inlineStr">
        <is>
          <t>2105-03-09</t>
        </is>
      </c>
    </row>
    <row r="74990">
      <c r="A74990" s="1" t="n">
        <v>74989</v>
      </c>
      <c r="B74990">
        <f>TEXT(74989, "[$-0E0000]yyyy-mm-dd")</f>
        <v/>
      </c>
      <c r="C74990" t="inlineStr">
        <is>
          <t>2105-03-10</t>
        </is>
      </c>
    </row>
    <row r="74991">
      <c r="A74991" s="1" t="n">
        <v>74990</v>
      </c>
      <c r="B74991">
        <f>TEXT(74990, "[$-0E0000]yyyy-mm-dd")</f>
        <v/>
      </c>
      <c r="C74991" t="inlineStr">
        <is>
          <t>2105-03-11</t>
        </is>
      </c>
    </row>
    <row r="74992">
      <c r="A74992" s="1" t="n">
        <v>74991</v>
      </c>
      <c r="B74992">
        <f>TEXT(74991, "[$-0E0000]yyyy-mm-dd")</f>
        <v/>
      </c>
      <c r="C74992" t="inlineStr">
        <is>
          <t>2105-03-12</t>
        </is>
      </c>
    </row>
    <row r="74993">
      <c r="A74993" s="1" t="n">
        <v>74992</v>
      </c>
      <c r="B74993">
        <f>TEXT(74992, "[$-0E0000]yyyy-mm-dd")</f>
        <v/>
      </c>
      <c r="C74993" t="inlineStr">
        <is>
          <t>2105-03-13</t>
        </is>
      </c>
    </row>
    <row r="74994">
      <c r="A74994" s="1" t="n">
        <v>74993</v>
      </c>
      <c r="B74994">
        <f>TEXT(74993, "[$-0E0000]yyyy-mm-dd")</f>
        <v/>
      </c>
      <c r="C74994" t="inlineStr">
        <is>
          <t>2105-03-14</t>
        </is>
      </c>
    </row>
    <row r="74995">
      <c r="A74995" s="1" t="n">
        <v>74994</v>
      </c>
      <c r="B74995">
        <f>TEXT(74994, "[$-0E0000]yyyy-mm-dd")</f>
        <v/>
      </c>
      <c r="C74995" t="inlineStr">
        <is>
          <t>2105-03-15</t>
        </is>
      </c>
    </row>
    <row r="74996">
      <c r="A74996" s="1" t="n">
        <v>74995</v>
      </c>
      <c r="B74996">
        <f>TEXT(74995, "[$-0E0000]yyyy-mm-dd")</f>
        <v/>
      </c>
      <c r="C74996" t="inlineStr">
        <is>
          <t>2105-03-16</t>
        </is>
      </c>
    </row>
    <row r="74997">
      <c r="A74997" s="1" t="n">
        <v>74996</v>
      </c>
      <c r="B74997">
        <f>TEXT(74996, "[$-0E0000]yyyy-mm-dd")</f>
        <v/>
      </c>
      <c r="C74997" t="inlineStr">
        <is>
          <t>2105-03-17</t>
        </is>
      </c>
    </row>
    <row r="74998">
      <c r="A74998" s="1" t="n">
        <v>74997</v>
      </c>
      <c r="B74998">
        <f>TEXT(74997, "[$-0E0000]yyyy-mm-dd")</f>
        <v/>
      </c>
      <c r="C74998" t="inlineStr">
        <is>
          <t>2105-03-18</t>
        </is>
      </c>
    </row>
    <row r="74999">
      <c r="A74999" s="1" t="n">
        <v>74998</v>
      </c>
      <c r="B74999">
        <f>TEXT(74998, "[$-0E0000]yyyy-mm-dd")</f>
        <v/>
      </c>
      <c r="C74999" t="inlineStr">
        <is>
          <t>2105-03-19</t>
        </is>
      </c>
    </row>
    <row r="75000">
      <c r="A75000" s="1" t="n">
        <v>74999</v>
      </c>
      <c r="B75000">
        <f>TEXT(74999, "[$-0E0000]yyyy-mm-dd")</f>
        <v/>
      </c>
      <c r="C75000" t="inlineStr">
        <is>
          <t>2105-03-20</t>
        </is>
      </c>
    </row>
    <row r="75001">
      <c r="A75001" s="1" t="n">
        <v>75000</v>
      </c>
      <c r="B75001">
        <f>TEXT(75000, "[$-0E0000]yyyy-mm-dd")</f>
        <v/>
      </c>
      <c r="C75001" t="inlineStr">
        <is>
          <t>2105-03-21</t>
        </is>
      </c>
    </row>
    <row r="75002">
      <c r="A75002" s="1" t="n">
        <v>75001</v>
      </c>
      <c r="B75002">
        <f>TEXT(75001, "[$-0E0000]yyyy-mm-dd")</f>
        <v/>
      </c>
      <c r="C75002" t="inlineStr">
        <is>
          <t>2105-03-22</t>
        </is>
      </c>
    </row>
    <row r="75003">
      <c r="A75003" s="1" t="n">
        <v>75002</v>
      </c>
      <c r="B75003">
        <f>TEXT(75002, "[$-0E0000]yyyy-mm-dd")</f>
        <v/>
      </c>
      <c r="C75003" t="inlineStr">
        <is>
          <t>2105-03-23</t>
        </is>
      </c>
    </row>
    <row r="75004">
      <c r="A75004" s="1" t="n">
        <v>75003</v>
      </c>
      <c r="B75004">
        <f>TEXT(75003, "[$-0E0000]yyyy-mm-dd")</f>
        <v/>
      </c>
      <c r="C75004" t="inlineStr">
        <is>
          <t>2105-03-24</t>
        </is>
      </c>
    </row>
    <row r="75005">
      <c r="A75005" s="1" t="n">
        <v>75004</v>
      </c>
      <c r="B75005">
        <f>TEXT(75004, "[$-0E0000]yyyy-mm-dd")</f>
        <v/>
      </c>
      <c r="C75005" t="inlineStr">
        <is>
          <t>2105-03-25</t>
        </is>
      </c>
    </row>
    <row r="75006">
      <c r="A75006" s="1" t="n">
        <v>75005</v>
      </c>
      <c r="B75006">
        <f>TEXT(75005, "[$-0E0000]yyyy-mm-dd")</f>
        <v/>
      </c>
      <c r="C75006" t="inlineStr">
        <is>
          <t>2105-03-26</t>
        </is>
      </c>
    </row>
    <row r="75007">
      <c r="A75007" s="1" t="n">
        <v>75006</v>
      </c>
      <c r="B75007">
        <f>TEXT(75006, "[$-0E0000]yyyy-mm-dd")</f>
        <v/>
      </c>
      <c r="C75007" t="inlineStr">
        <is>
          <t>2105-03-27</t>
        </is>
      </c>
    </row>
    <row r="75008">
      <c r="A75008" s="1" t="n">
        <v>75007</v>
      </c>
      <c r="B75008">
        <f>TEXT(75007, "[$-0E0000]yyyy-mm-dd")</f>
        <v/>
      </c>
      <c r="C75008" t="inlineStr">
        <is>
          <t>2105-03-28</t>
        </is>
      </c>
    </row>
    <row r="75009">
      <c r="A75009" s="1" t="n">
        <v>75008</v>
      </c>
      <c r="B75009">
        <f>TEXT(75008, "[$-0E0000]yyyy-mm-dd")</f>
        <v/>
      </c>
      <c r="C75009" t="inlineStr">
        <is>
          <t>2105-03-29</t>
        </is>
      </c>
    </row>
    <row r="75010">
      <c r="A75010" s="1" t="n">
        <v>75009</v>
      </c>
      <c r="B75010">
        <f>TEXT(75009, "[$-0E0000]yyyy-mm-dd")</f>
        <v/>
      </c>
      <c r="C75010" t="inlineStr">
        <is>
          <t>2105-04-01</t>
        </is>
      </c>
    </row>
    <row r="75011">
      <c r="A75011" s="1" t="n">
        <v>75010</v>
      </c>
      <c r="B75011">
        <f>TEXT(75010, "[$-0E0000]yyyy-mm-dd")</f>
        <v/>
      </c>
      <c r="C75011" t="inlineStr">
        <is>
          <t>2105-04-02</t>
        </is>
      </c>
    </row>
    <row r="75012">
      <c r="A75012" s="1" t="n">
        <v>75011</v>
      </c>
      <c r="B75012">
        <f>TEXT(75011, "[$-0E0000]yyyy-mm-dd")</f>
        <v/>
      </c>
      <c r="C75012" t="inlineStr">
        <is>
          <t>2105-04-03</t>
        </is>
      </c>
    </row>
    <row r="75013">
      <c r="A75013" s="1" t="n">
        <v>75012</v>
      </c>
      <c r="B75013">
        <f>TEXT(75012, "[$-0E0000]yyyy-mm-dd")</f>
        <v/>
      </c>
      <c r="C75013" t="inlineStr">
        <is>
          <t>2105-04-04</t>
        </is>
      </c>
    </row>
    <row r="75014">
      <c r="A75014" s="1" t="n">
        <v>75013</v>
      </c>
      <c r="B75014">
        <f>TEXT(75013, "[$-0E0000]yyyy-mm-dd")</f>
        <v/>
      </c>
      <c r="C75014" t="inlineStr">
        <is>
          <t>2105-04-05</t>
        </is>
      </c>
    </row>
    <row r="75015">
      <c r="A75015" s="1" t="n">
        <v>75014</v>
      </c>
      <c r="B75015">
        <f>TEXT(75014, "[$-0E0000]yyyy-mm-dd")</f>
        <v/>
      </c>
      <c r="C75015" t="inlineStr">
        <is>
          <t>2105-04-06</t>
        </is>
      </c>
    </row>
    <row r="75016">
      <c r="A75016" s="1" t="n">
        <v>75015</v>
      </c>
      <c r="B75016">
        <f>TEXT(75015, "[$-0E0000]yyyy-mm-dd")</f>
        <v/>
      </c>
      <c r="C75016" t="inlineStr">
        <is>
          <t>2105-04-07</t>
        </is>
      </c>
    </row>
    <row r="75017">
      <c r="A75017" s="1" t="n">
        <v>75016</v>
      </c>
      <c r="B75017">
        <f>TEXT(75016, "[$-0E0000]yyyy-mm-dd")</f>
        <v/>
      </c>
      <c r="C75017" t="inlineStr">
        <is>
          <t>2105-04-08</t>
        </is>
      </c>
    </row>
    <row r="75018">
      <c r="A75018" s="1" t="n">
        <v>75017</v>
      </c>
      <c r="B75018">
        <f>TEXT(75017, "[$-0E0000]yyyy-mm-dd")</f>
        <v/>
      </c>
      <c r="C75018" t="inlineStr">
        <is>
          <t>2105-04-09</t>
        </is>
      </c>
    </row>
    <row r="75019">
      <c r="A75019" s="1" t="n">
        <v>75018</v>
      </c>
      <c r="B75019">
        <f>TEXT(75018, "[$-0E0000]yyyy-mm-dd")</f>
        <v/>
      </c>
      <c r="C75019" t="inlineStr">
        <is>
          <t>2105-04-10</t>
        </is>
      </c>
    </row>
    <row r="75020">
      <c r="A75020" s="1" t="n">
        <v>75019</v>
      </c>
      <c r="B75020">
        <f>TEXT(75019, "[$-0E0000]yyyy-mm-dd")</f>
        <v/>
      </c>
      <c r="C75020" t="inlineStr">
        <is>
          <t>2105-04-11</t>
        </is>
      </c>
    </row>
    <row r="75021">
      <c r="A75021" s="1" t="n">
        <v>75020</v>
      </c>
      <c r="B75021">
        <f>TEXT(75020, "[$-0E0000]yyyy-mm-dd")</f>
        <v/>
      </c>
      <c r="C75021" t="inlineStr">
        <is>
          <t>2105-04-12</t>
        </is>
      </c>
    </row>
    <row r="75022">
      <c r="A75022" s="1" t="n">
        <v>75021</v>
      </c>
      <c r="B75022">
        <f>TEXT(75021, "[$-0E0000]yyyy-mm-dd")</f>
        <v/>
      </c>
      <c r="C75022" t="inlineStr">
        <is>
          <t>2105-04-13</t>
        </is>
      </c>
    </row>
    <row r="75023">
      <c r="A75023" s="1" t="n">
        <v>75022</v>
      </c>
      <c r="B75023">
        <f>TEXT(75022, "[$-0E0000]yyyy-mm-dd")</f>
        <v/>
      </c>
      <c r="C75023" t="inlineStr">
        <is>
          <t>2105-04-14</t>
        </is>
      </c>
    </row>
    <row r="75024">
      <c r="A75024" s="1" t="n">
        <v>75023</v>
      </c>
      <c r="B75024">
        <f>TEXT(75023, "[$-0E0000]yyyy-mm-dd")</f>
        <v/>
      </c>
      <c r="C75024" t="inlineStr">
        <is>
          <t>2105-04-15</t>
        </is>
      </c>
    </row>
    <row r="75025">
      <c r="A75025" s="1" t="n">
        <v>75024</v>
      </c>
      <c r="B75025">
        <f>TEXT(75024, "[$-0E0000]yyyy-mm-dd")</f>
        <v/>
      </c>
      <c r="C75025" t="inlineStr">
        <is>
          <t>2105-04-16</t>
        </is>
      </c>
    </row>
    <row r="75026">
      <c r="A75026" s="1" t="n">
        <v>75025</v>
      </c>
      <c r="B75026">
        <f>TEXT(75025, "[$-0E0000]yyyy-mm-dd")</f>
        <v/>
      </c>
      <c r="C75026" t="inlineStr">
        <is>
          <t>2105-04-17</t>
        </is>
      </c>
    </row>
    <row r="75027">
      <c r="A75027" s="1" t="n">
        <v>75026</v>
      </c>
      <c r="B75027">
        <f>TEXT(75026, "[$-0E0000]yyyy-mm-dd")</f>
        <v/>
      </c>
      <c r="C75027" t="inlineStr">
        <is>
          <t>2105-04-18</t>
        </is>
      </c>
    </row>
    <row r="75028">
      <c r="A75028" s="1" t="n">
        <v>75027</v>
      </c>
      <c r="B75028">
        <f>TEXT(75027, "[$-0E0000]yyyy-mm-dd")</f>
        <v/>
      </c>
      <c r="C75028" t="inlineStr">
        <is>
          <t>2105-04-19</t>
        </is>
      </c>
    </row>
    <row r="75029">
      <c r="A75029" s="1" t="n">
        <v>75028</v>
      </c>
      <c r="B75029">
        <f>TEXT(75028, "[$-0E0000]yyyy-mm-dd")</f>
        <v/>
      </c>
      <c r="C75029" t="inlineStr">
        <is>
          <t>2105-04-20</t>
        </is>
      </c>
    </row>
    <row r="75030">
      <c r="A75030" s="1" t="n">
        <v>75029</v>
      </c>
      <c r="B75030">
        <f>TEXT(75029, "[$-0E0000]yyyy-mm-dd")</f>
        <v/>
      </c>
      <c r="C75030" t="inlineStr">
        <is>
          <t>2105-04-21</t>
        </is>
      </c>
    </row>
    <row r="75031">
      <c r="A75031" s="1" t="n">
        <v>75030</v>
      </c>
      <c r="B75031">
        <f>TEXT(75030, "[$-0E0000]yyyy-mm-dd")</f>
        <v/>
      </c>
      <c r="C75031" t="inlineStr">
        <is>
          <t>2105-04-22</t>
        </is>
      </c>
    </row>
    <row r="75032">
      <c r="A75032" s="1" t="n">
        <v>75031</v>
      </c>
      <c r="B75032">
        <f>TEXT(75031, "[$-0E0000]yyyy-mm-dd")</f>
        <v/>
      </c>
      <c r="C75032" t="inlineStr">
        <is>
          <t>2105-04-23</t>
        </is>
      </c>
    </row>
    <row r="75033">
      <c r="A75033" s="1" t="n">
        <v>75032</v>
      </c>
      <c r="B75033">
        <f>TEXT(75032, "[$-0E0000]yyyy-mm-dd")</f>
        <v/>
      </c>
      <c r="C75033" t="inlineStr">
        <is>
          <t>2105-04-24</t>
        </is>
      </c>
    </row>
    <row r="75034">
      <c r="A75034" s="1" t="n">
        <v>75033</v>
      </c>
      <c r="B75034">
        <f>TEXT(75033, "[$-0E0000]yyyy-mm-dd")</f>
        <v/>
      </c>
      <c r="C75034" t="inlineStr">
        <is>
          <t>2105-04-25</t>
        </is>
      </c>
    </row>
    <row r="75035">
      <c r="A75035" s="1" t="n">
        <v>75034</v>
      </c>
      <c r="B75035">
        <f>TEXT(75034, "[$-0E0000]yyyy-mm-dd")</f>
        <v/>
      </c>
      <c r="C75035" t="inlineStr">
        <is>
          <t>2105-04-26</t>
        </is>
      </c>
    </row>
    <row r="75036">
      <c r="A75036" s="1" t="n">
        <v>75035</v>
      </c>
      <c r="B75036">
        <f>TEXT(75035, "[$-0E0000]yyyy-mm-dd")</f>
        <v/>
      </c>
      <c r="C75036" t="inlineStr">
        <is>
          <t>2105-04-27</t>
        </is>
      </c>
    </row>
    <row r="75037">
      <c r="A75037" s="1" t="n">
        <v>75036</v>
      </c>
      <c r="B75037">
        <f>TEXT(75036, "[$-0E0000]yyyy-mm-dd")</f>
        <v/>
      </c>
      <c r="C75037" t="inlineStr">
        <is>
          <t>2105-04-28</t>
        </is>
      </c>
    </row>
    <row r="75038">
      <c r="A75038" s="1" t="n">
        <v>75037</v>
      </c>
      <c r="B75038">
        <f>TEXT(75037, "[$-0E0000]yyyy-mm-dd")</f>
        <v/>
      </c>
      <c r="C75038" t="inlineStr">
        <is>
          <t>2105-04-29</t>
        </is>
      </c>
    </row>
    <row r="75039">
      <c r="A75039" s="1" t="n">
        <v>75038</v>
      </c>
      <c r="B75039">
        <f>TEXT(75038, "[$-0E0000]yyyy-mm-dd")</f>
        <v/>
      </c>
      <c r="C75039" t="inlineStr">
        <is>
          <t>2105-05-01</t>
        </is>
      </c>
    </row>
    <row r="75040">
      <c r="A75040" s="1" t="n">
        <v>75039</v>
      </c>
      <c r="B75040">
        <f>TEXT(75039, "[$-0E0000]yyyy-mm-dd")</f>
        <v/>
      </c>
      <c r="C75040" t="inlineStr">
        <is>
          <t>2105-05-02</t>
        </is>
      </c>
    </row>
    <row r="75041">
      <c r="A75041" s="1" t="n">
        <v>75040</v>
      </c>
      <c r="B75041">
        <f>TEXT(75040, "[$-0E0000]yyyy-mm-dd")</f>
        <v/>
      </c>
      <c r="C75041" t="inlineStr">
        <is>
          <t>2105-05-03</t>
        </is>
      </c>
    </row>
    <row r="75042">
      <c r="A75042" s="1" t="n">
        <v>75041</v>
      </c>
      <c r="B75042">
        <f>TEXT(75041, "[$-0E0000]yyyy-mm-dd")</f>
        <v/>
      </c>
      <c r="C75042" t="inlineStr">
        <is>
          <t>2105-05-04</t>
        </is>
      </c>
    </row>
    <row r="75043">
      <c r="A75043" s="1" t="n">
        <v>75042</v>
      </c>
      <c r="B75043">
        <f>TEXT(75042, "[$-0E0000]yyyy-mm-dd")</f>
        <v/>
      </c>
      <c r="C75043" t="inlineStr">
        <is>
          <t>2105-05-05</t>
        </is>
      </c>
    </row>
    <row r="75044">
      <c r="A75044" s="1" t="n">
        <v>75043</v>
      </c>
      <c r="B75044">
        <f>TEXT(75043, "[$-0E0000]yyyy-mm-dd")</f>
        <v/>
      </c>
      <c r="C75044" t="inlineStr">
        <is>
          <t>2105-05-06</t>
        </is>
      </c>
    </row>
    <row r="75045">
      <c r="A75045" s="1" t="n">
        <v>75044</v>
      </c>
      <c r="B75045">
        <f>TEXT(75044, "[$-0E0000]yyyy-mm-dd")</f>
        <v/>
      </c>
      <c r="C75045" t="inlineStr">
        <is>
          <t>2105-05-07</t>
        </is>
      </c>
    </row>
    <row r="75046">
      <c r="A75046" s="1" t="n">
        <v>75045</v>
      </c>
      <c r="B75046">
        <f>TEXT(75045, "[$-0E0000]yyyy-mm-dd")</f>
        <v/>
      </c>
      <c r="C75046" t="inlineStr">
        <is>
          <t>2105-05-08</t>
        </is>
      </c>
    </row>
    <row r="75047">
      <c r="A75047" s="1" t="n">
        <v>75046</v>
      </c>
      <c r="B75047">
        <f>TEXT(75046, "[$-0E0000]yyyy-mm-dd")</f>
        <v/>
      </c>
      <c r="C75047" t="inlineStr">
        <is>
          <t>2105-05-09</t>
        </is>
      </c>
    </row>
    <row r="75048">
      <c r="A75048" s="1" t="n">
        <v>75047</v>
      </c>
      <c r="B75048">
        <f>TEXT(75047, "[$-0E0000]yyyy-mm-dd")</f>
        <v/>
      </c>
      <c r="C75048" t="inlineStr">
        <is>
          <t>2105-05-10</t>
        </is>
      </c>
    </row>
    <row r="75049">
      <c r="A75049" s="1" t="n">
        <v>75048</v>
      </c>
      <c r="B75049">
        <f>TEXT(75048, "[$-0E0000]yyyy-mm-dd")</f>
        <v/>
      </c>
      <c r="C75049" t="inlineStr">
        <is>
          <t>2105-05-11</t>
        </is>
      </c>
    </row>
    <row r="75050">
      <c r="A75050" s="1" t="n">
        <v>75049</v>
      </c>
      <c r="B75050">
        <f>TEXT(75049, "[$-0E0000]yyyy-mm-dd")</f>
        <v/>
      </c>
      <c r="C75050" t="inlineStr">
        <is>
          <t>2105-05-12</t>
        </is>
      </c>
    </row>
    <row r="75051">
      <c r="A75051" s="1" t="n">
        <v>75050</v>
      </c>
      <c r="B75051">
        <f>TEXT(75050, "[$-0E0000]yyyy-mm-dd")</f>
        <v/>
      </c>
      <c r="C75051" t="inlineStr">
        <is>
          <t>2105-05-13</t>
        </is>
      </c>
    </row>
    <row r="75052">
      <c r="A75052" s="1" t="n">
        <v>75051</v>
      </c>
      <c r="B75052">
        <f>TEXT(75051, "[$-0E0000]yyyy-mm-dd")</f>
        <v/>
      </c>
      <c r="C75052" t="inlineStr">
        <is>
          <t>2105-05-14</t>
        </is>
      </c>
    </row>
    <row r="75053">
      <c r="A75053" s="1" t="n">
        <v>75052</v>
      </c>
      <c r="B75053">
        <f>TEXT(75052, "[$-0E0000]yyyy-mm-dd")</f>
        <v/>
      </c>
      <c r="C75053" t="inlineStr">
        <is>
          <t>2105-05-15</t>
        </is>
      </c>
    </row>
    <row r="75054">
      <c r="A75054" s="1" t="n">
        <v>75053</v>
      </c>
      <c r="B75054">
        <f>TEXT(75053, "[$-0E0000]yyyy-mm-dd")</f>
        <v/>
      </c>
      <c r="C75054" t="inlineStr">
        <is>
          <t>2105-05-16</t>
        </is>
      </c>
    </row>
    <row r="75055">
      <c r="A75055" s="1" t="n">
        <v>75054</v>
      </c>
      <c r="B75055">
        <f>TEXT(75054, "[$-0E0000]yyyy-mm-dd")</f>
        <v/>
      </c>
      <c r="C75055" t="inlineStr">
        <is>
          <t>2105-05-17</t>
        </is>
      </c>
    </row>
    <row r="75056">
      <c r="A75056" s="1" t="n">
        <v>75055</v>
      </c>
      <c r="B75056">
        <f>TEXT(75055, "[$-0E0000]yyyy-mm-dd")</f>
        <v/>
      </c>
      <c r="C75056" t="inlineStr">
        <is>
          <t>2105-05-18</t>
        </is>
      </c>
    </row>
    <row r="75057">
      <c r="A75057" s="1" t="n">
        <v>75056</v>
      </c>
      <c r="B75057">
        <f>TEXT(75056, "[$-0E0000]yyyy-mm-dd")</f>
        <v/>
      </c>
      <c r="C75057" t="inlineStr">
        <is>
          <t>2105-05-19</t>
        </is>
      </c>
    </row>
    <row r="75058">
      <c r="A75058" s="1" t="n">
        <v>75057</v>
      </c>
      <c r="B75058">
        <f>TEXT(75057, "[$-0E0000]yyyy-mm-dd")</f>
        <v/>
      </c>
      <c r="C75058" t="inlineStr">
        <is>
          <t>2105-05-20</t>
        </is>
      </c>
    </row>
    <row r="75059">
      <c r="A75059" s="1" t="n">
        <v>75058</v>
      </c>
      <c r="B75059">
        <f>TEXT(75058, "[$-0E0000]yyyy-mm-dd")</f>
        <v/>
      </c>
      <c r="C75059" t="inlineStr">
        <is>
          <t>2105-05-21</t>
        </is>
      </c>
    </row>
    <row r="75060">
      <c r="A75060" s="1" t="n">
        <v>75059</v>
      </c>
      <c r="B75060">
        <f>TEXT(75059, "[$-0E0000]yyyy-mm-dd")</f>
        <v/>
      </c>
      <c r="C75060" t="inlineStr">
        <is>
          <t>2105-05-22</t>
        </is>
      </c>
    </row>
    <row r="75061">
      <c r="A75061" s="1" t="n">
        <v>75060</v>
      </c>
      <c r="B75061">
        <f>TEXT(75060, "[$-0E0000]yyyy-mm-dd")</f>
        <v/>
      </c>
      <c r="C75061" t="inlineStr">
        <is>
          <t>2105-05-23</t>
        </is>
      </c>
    </row>
    <row r="75062">
      <c r="A75062" s="1" t="n">
        <v>75061</v>
      </c>
      <c r="B75062">
        <f>TEXT(75061, "[$-0E0000]yyyy-mm-dd")</f>
        <v/>
      </c>
      <c r="C75062" t="inlineStr">
        <is>
          <t>2105-05-24</t>
        </is>
      </c>
    </row>
    <row r="75063">
      <c r="A75063" s="1" t="n">
        <v>75062</v>
      </c>
      <c r="B75063">
        <f>TEXT(75062, "[$-0E0000]yyyy-mm-dd")</f>
        <v/>
      </c>
      <c r="C75063" t="inlineStr">
        <is>
          <t>2105-05-25</t>
        </is>
      </c>
    </row>
    <row r="75064">
      <c r="A75064" s="1" t="n">
        <v>75063</v>
      </c>
      <c r="B75064">
        <f>TEXT(75063, "[$-0E0000]yyyy-mm-dd")</f>
        <v/>
      </c>
      <c r="C75064" t="inlineStr">
        <is>
          <t>2105-05-26</t>
        </is>
      </c>
    </row>
    <row r="75065">
      <c r="A75065" s="1" t="n">
        <v>75064</v>
      </c>
      <c r="B75065">
        <f>TEXT(75064, "[$-0E0000]yyyy-mm-dd")</f>
        <v/>
      </c>
      <c r="C75065" t="inlineStr">
        <is>
          <t>2105-05-27</t>
        </is>
      </c>
    </row>
    <row r="75066">
      <c r="A75066" s="1" t="n">
        <v>75065</v>
      </c>
      <c r="B75066">
        <f>TEXT(75065, "[$-0E0000]yyyy-mm-dd")</f>
        <v/>
      </c>
      <c r="C75066" t="inlineStr">
        <is>
          <t>2105-05-28</t>
        </is>
      </c>
    </row>
    <row r="75067">
      <c r="A75067" s="1" t="n">
        <v>75066</v>
      </c>
      <c r="B75067">
        <f>TEXT(75066, "[$-0E0000]yyyy-mm-dd")</f>
        <v/>
      </c>
      <c r="C75067" t="inlineStr">
        <is>
          <t>2105-05-29</t>
        </is>
      </c>
    </row>
    <row r="75068">
      <c r="A75068" s="1" t="n">
        <v>75067</v>
      </c>
      <c r="B75068">
        <f>TEXT(75067, "[$-0E0000]yyyy-mm-dd")</f>
        <v/>
      </c>
      <c r="C75068" t="inlineStr">
        <is>
          <t>2105-05-30</t>
        </is>
      </c>
    </row>
    <row r="75069">
      <c r="A75069" s="1" t="n">
        <v>75068</v>
      </c>
      <c r="B75069">
        <f>TEXT(75068, "[$-0E0000]yyyy-mm-dd")</f>
        <v/>
      </c>
      <c r="C75069" t="inlineStr">
        <is>
          <t>2105-06-01</t>
        </is>
      </c>
    </row>
    <row r="75070">
      <c r="A75070" s="1" t="n">
        <v>75069</v>
      </c>
      <c r="B75070">
        <f>TEXT(75069, "[$-0E0000]yyyy-mm-dd")</f>
        <v/>
      </c>
      <c r="C75070" t="inlineStr">
        <is>
          <t>2105-06-02</t>
        </is>
      </c>
    </row>
    <row r="75071">
      <c r="A75071" s="1" t="n">
        <v>75070</v>
      </c>
      <c r="B75071">
        <f>TEXT(75070, "[$-0E0000]yyyy-mm-dd")</f>
        <v/>
      </c>
      <c r="C75071" t="inlineStr">
        <is>
          <t>2105-06-03</t>
        </is>
      </c>
    </row>
    <row r="75072">
      <c r="A75072" s="1" t="n">
        <v>75071</v>
      </c>
      <c r="B75072">
        <f>TEXT(75071, "[$-0E0000]yyyy-mm-dd")</f>
        <v/>
      </c>
      <c r="C75072" t="inlineStr">
        <is>
          <t>2105-06-04</t>
        </is>
      </c>
    </row>
    <row r="75073">
      <c r="A75073" s="1" t="n">
        <v>75072</v>
      </c>
      <c r="B75073">
        <f>TEXT(75072, "[$-0E0000]yyyy-mm-dd")</f>
        <v/>
      </c>
      <c r="C75073" t="inlineStr">
        <is>
          <t>2105-06-05</t>
        </is>
      </c>
    </row>
    <row r="75074">
      <c r="A75074" s="1" t="n">
        <v>75073</v>
      </c>
      <c r="B75074">
        <f>TEXT(75073, "[$-0E0000]yyyy-mm-dd")</f>
        <v/>
      </c>
      <c r="C75074" t="inlineStr">
        <is>
          <t>2105-06-06</t>
        </is>
      </c>
    </row>
    <row r="75075">
      <c r="A75075" s="1" t="n">
        <v>75074</v>
      </c>
      <c r="B75075">
        <f>TEXT(75074, "[$-0E0000]yyyy-mm-dd")</f>
        <v/>
      </c>
      <c r="C75075" t="inlineStr">
        <is>
          <t>2105-06-07</t>
        </is>
      </c>
    </row>
    <row r="75076">
      <c r="A75076" s="1" t="n">
        <v>75075</v>
      </c>
      <c r="B75076">
        <f>TEXT(75075, "[$-0E0000]yyyy-mm-dd")</f>
        <v/>
      </c>
      <c r="C75076" t="inlineStr">
        <is>
          <t>2105-06-08</t>
        </is>
      </c>
    </row>
    <row r="75077">
      <c r="A75077" s="1" t="n">
        <v>75076</v>
      </c>
      <c r="B75077">
        <f>TEXT(75076, "[$-0E0000]yyyy-mm-dd")</f>
        <v/>
      </c>
      <c r="C75077" t="inlineStr">
        <is>
          <t>2105-06-09</t>
        </is>
      </c>
    </row>
    <row r="75078">
      <c r="A75078" s="1" t="n">
        <v>75077</v>
      </c>
      <c r="B75078">
        <f>TEXT(75077, "[$-0E0000]yyyy-mm-dd")</f>
        <v/>
      </c>
      <c r="C75078" t="inlineStr">
        <is>
          <t>2105-06-10</t>
        </is>
      </c>
    </row>
    <row r="75079">
      <c r="A75079" s="1" t="n">
        <v>75078</v>
      </c>
      <c r="B75079">
        <f>TEXT(75078, "[$-0E0000]yyyy-mm-dd")</f>
        <v/>
      </c>
      <c r="C75079" t="inlineStr">
        <is>
          <t>2105-06-11</t>
        </is>
      </c>
    </row>
    <row r="75080">
      <c r="A75080" s="1" t="n">
        <v>75079</v>
      </c>
      <c r="B75080">
        <f>TEXT(75079, "[$-0E0000]yyyy-mm-dd")</f>
        <v/>
      </c>
      <c r="C75080" t="inlineStr">
        <is>
          <t>2105-06-12</t>
        </is>
      </c>
    </row>
    <row r="75081">
      <c r="A75081" s="1" t="n">
        <v>75080</v>
      </c>
      <c r="B75081">
        <f>TEXT(75080, "[$-0E0000]yyyy-mm-dd")</f>
        <v/>
      </c>
      <c r="C75081" t="inlineStr">
        <is>
          <t>2105-06-13</t>
        </is>
      </c>
    </row>
    <row r="75082">
      <c r="A75082" s="1" t="n">
        <v>75081</v>
      </c>
      <c r="B75082">
        <f>TEXT(75081, "[$-0E0000]yyyy-mm-dd")</f>
        <v/>
      </c>
      <c r="C75082" t="inlineStr">
        <is>
          <t>2105-06-14</t>
        </is>
      </c>
    </row>
    <row r="75083">
      <c r="A75083" s="1" t="n">
        <v>75082</v>
      </c>
      <c r="B75083">
        <f>TEXT(75082, "[$-0E0000]yyyy-mm-dd")</f>
        <v/>
      </c>
      <c r="C75083" t="inlineStr">
        <is>
          <t>2105-06-15</t>
        </is>
      </c>
    </row>
    <row r="75084">
      <c r="A75084" s="1" t="n">
        <v>75083</v>
      </c>
      <c r="B75084">
        <f>TEXT(75083, "[$-0E0000]yyyy-mm-dd")</f>
        <v/>
      </c>
      <c r="C75084" t="inlineStr">
        <is>
          <t>2105-06-16</t>
        </is>
      </c>
    </row>
    <row r="75085">
      <c r="A75085" s="1" t="n">
        <v>75084</v>
      </c>
      <c r="B75085">
        <f>TEXT(75084, "[$-0E0000]yyyy-mm-dd")</f>
        <v/>
      </c>
      <c r="C75085" t="inlineStr">
        <is>
          <t>2105-06-17</t>
        </is>
      </c>
    </row>
    <row r="75086">
      <c r="A75086" s="1" t="n">
        <v>75085</v>
      </c>
      <c r="B75086">
        <f>TEXT(75085, "[$-0E0000]yyyy-mm-dd")</f>
        <v/>
      </c>
      <c r="C75086" t="inlineStr">
        <is>
          <t>2105-06-18</t>
        </is>
      </c>
    </row>
    <row r="75087">
      <c r="A75087" s="1" t="n">
        <v>75086</v>
      </c>
      <c r="B75087">
        <f>TEXT(75086, "[$-0E0000]yyyy-mm-dd")</f>
        <v/>
      </c>
      <c r="C75087" t="inlineStr">
        <is>
          <t>2105-06-19</t>
        </is>
      </c>
    </row>
    <row r="75088">
      <c r="A75088" s="1" t="n">
        <v>75087</v>
      </c>
      <c r="B75088">
        <f>TEXT(75087, "[$-0E0000]yyyy-mm-dd")</f>
        <v/>
      </c>
      <c r="C75088" t="inlineStr">
        <is>
          <t>2105-06-20</t>
        </is>
      </c>
    </row>
    <row r="75089">
      <c r="A75089" s="1" t="n">
        <v>75088</v>
      </c>
      <c r="B75089">
        <f>TEXT(75088, "[$-0E0000]yyyy-mm-dd")</f>
        <v/>
      </c>
      <c r="C75089" t="inlineStr">
        <is>
          <t>2105-06-21</t>
        </is>
      </c>
    </row>
    <row r="75090">
      <c r="A75090" s="1" t="n">
        <v>75089</v>
      </c>
      <c r="B75090">
        <f>TEXT(75089, "[$-0E0000]yyyy-mm-dd")</f>
        <v/>
      </c>
      <c r="C75090" t="inlineStr">
        <is>
          <t>2105-06-22</t>
        </is>
      </c>
    </row>
    <row r="75091">
      <c r="A75091" s="1" t="n">
        <v>75090</v>
      </c>
      <c r="B75091">
        <f>TEXT(75090, "[$-0E0000]yyyy-mm-dd")</f>
        <v/>
      </c>
      <c r="C75091" t="inlineStr">
        <is>
          <t>2105-06-23</t>
        </is>
      </c>
    </row>
    <row r="75092">
      <c r="A75092" s="1" t="n">
        <v>75091</v>
      </c>
      <c r="B75092">
        <f>TEXT(75091, "[$-0E0000]yyyy-mm-dd")</f>
        <v/>
      </c>
      <c r="C75092" t="inlineStr">
        <is>
          <t>2105-06-24</t>
        </is>
      </c>
    </row>
    <row r="75093">
      <c r="A75093" s="1" t="n">
        <v>75092</v>
      </c>
      <c r="B75093">
        <f>TEXT(75092, "[$-0E0000]yyyy-mm-dd")</f>
        <v/>
      </c>
      <c r="C75093" t="inlineStr">
        <is>
          <t>2105-06-25</t>
        </is>
      </c>
    </row>
    <row r="75094">
      <c r="A75094" s="1" t="n">
        <v>75093</v>
      </c>
      <c r="B75094">
        <f>TEXT(75093, "[$-0E0000]yyyy-mm-dd")</f>
        <v/>
      </c>
      <c r="C75094" t="inlineStr">
        <is>
          <t>2105-06-26</t>
        </is>
      </c>
    </row>
    <row r="75095">
      <c r="A75095" s="1" t="n">
        <v>75094</v>
      </c>
      <c r="B75095">
        <f>TEXT(75094, "[$-0E0000]yyyy-mm-dd")</f>
        <v/>
      </c>
      <c r="C75095" t="inlineStr">
        <is>
          <t>2105-06-27</t>
        </is>
      </c>
    </row>
    <row r="75096">
      <c r="A75096" s="1" t="n">
        <v>75095</v>
      </c>
      <c r="B75096">
        <f>TEXT(75095, "[$-0E0000]yyyy-mm-dd")</f>
        <v/>
      </c>
      <c r="C75096" t="inlineStr">
        <is>
          <t>2105-06-28</t>
        </is>
      </c>
    </row>
    <row r="75097">
      <c r="A75097" s="1" t="n">
        <v>75096</v>
      </c>
      <c r="B75097">
        <f>TEXT(75096, "[$-0E0000]yyyy-mm-dd")</f>
        <v/>
      </c>
      <c r="C75097" t="inlineStr">
        <is>
          <t>2105-06-29</t>
        </is>
      </c>
    </row>
    <row r="75098">
      <c r="A75098" s="1" t="n">
        <v>75097</v>
      </c>
      <c r="B75098">
        <f>TEXT(75097, "[$-0E0000]yyyy-mm-dd")</f>
        <v/>
      </c>
      <c r="C75098" t="inlineStr">
        <is>
          <t>2105-07-01</t>
        </is>
      </c>
    </row>
    <row r="75099">
      <c r="A75099" s="1" t="n">
        <v>75098</v>
      </c>
      <c r="B75099">
        <f>TEXT(75098, "[$-0E0000]yyyy-mm-dd")</f>
        <v/>
      </c>
      <c r="C75099" t="inlineStr">
        <is>
          <t>2105-07-02</t>
        </is>
      </c>
    </row>
    <row r="75100">
      <c r="A75100" s="1" t="n">
        <v>75099</v>
      </c>
      <c r="B75100">
        <f>TEXT(75099, "[$-0E0000]yyyy-mm-dd")</f>
        <v/>
      </c>
      <c r="C75100" t="inlineStr">
        <is>
          <t>2105-07-03</t>
        </is>
      </c>
    </row>
    <row r="75101">
      <c r="A75101" s="1" t="n">
        <v>75100</v>
      </c>
      <c r="B75101">
        <f>TEXT(75100, "[$-0E0000]yyyy-mm-dd")</f>
        <v/>
      </c>
      <c r="C75101" t="inlineStr">
        <is>
          <t>2105-07-04</t>
        </is>
      </c>
    </row>
    <row r="75102">
      <c r="A75102" s="1" t="n">
        <v>75101</v>
      </c>
      <c r="B75102">
        <f>TEXT(75101, "[$-0E0000]yyyy-mm-dd")</f>
        <v/>
      </c>
      <c r="C75102" t="inlineStr">
        <is>
          <t>2105-07-05</t>
        </is>
      </c>
    </row>
    <row r="75103">
      <c r="A75103" s="1" t="n">
        <v>75102</v>
      </c>
      <c r="B75103">
        <f>TEXT(75102, "[$-0E0000]yyyy-mm-dd")</f>
        <v/>
      </c>
      <c r="C75103" t="inlineStr">
        <is>
          <t>2105-07-06</t>
        </is>
      </c>
    </row>
    <row r="75104">
      <c r="A75104" s="1" t="n">
        <v>75103</v>
      </c>
      <c r="B75104">
        <f>TEXT(75103, "[$-0E0000]yyyy-mm-dd")</f>
        <v/>
      </c>
      <c r="C75104" t="inlineStr">
        <is>
          <t>2105-07-07</t>
        </is>
      </c>
    </row>
    <row r="75105">
      <c r="A75105" s="1" t="n">
        <v>75104</v>
      </c>
      <c r="B75105">
        <f>TEXT(75104, "[$-0E0000]yyyy-mm-dd")</f>
        <v/>
      </c>
      <c r="C75105" t="inlineStr">
        <is>
          <t>2105-07-08</t>
        </is>
      </c>
    </row>
    <row r="75106">
      <c r="A75106" s="1" t="n">
        <v>75105</v>
      </c>
      <c r="B75106">
        <f>TEXT(75105, "[$-0E0000]yyyy-mm-dd")</f>
        <v/>
      </c>
      <c r="C75106" t="inlineStr">
        <is>
          <t>2105-07-09</t>
        </is>
      </c>
    </row>
    <row r="75107">
      <c r="A75107" s="1" t="n">
        <v>75106</v>
      </c>
      <c r="B75107">
        <f>TEXT(75106, "[$-0E0000]yyyy-mm-dd")</f>
        <v/>
      </c>
      <c r="C75107" t="inlineStr">
        <is>
          <t>2105-07-10</t>
        </is>
      </c>
    </row>
    <row r="75108">
      <c r="A75108" s="1" t="n">
        <v>75107</v>
      </c>
      <c r="B75108">
        <f>TEXT(75107, "[$-0E0000]yyyy-mm-dd")</f>
        <v/>
      </c>
      <c r="C75108" t="inlineStr">
        <is>
          <t>2105-07-11</t>
        </is>
      </c>
    </row>
    <row r="75109">
      <c r="A75109" s="1" t="n">
        <v>75108</v>
      </c>
      <c r="B75109">
        <f>TEXT(75108, "[$-0E0000]yyyy-mm-dd")</f>
        <v/>
      </c>
      <c r="C75109" t="inlineStr">
        <is>
          <t>2105-07-12</t>
        </is>
      </c>
    </row>
    <row r="75110">
      <c r="A75110" s="1" t="n">
        <v>75109</v>
      </c>
      <c r="B75110">
        <f>TEXT(75109, "[$-0E0000]yyyy-mm-dd")</f>
        <v/>
      </c>
      <c r="C75110" t="inlineStr">
        <is>
          <t>2105-07-13</t>
        </is>
      </c>
    </row>
    <row r="75111">
      <c r="A75111" s="1" t="n">
        <v>75110</v>
      </c>
      <c r="B75111">
        <f>TEXT(75110, "[$-0E0000]yyyy-mm-dd")</f>
        <v/>
      </c>
      <c r="C75111" t="inlineStr">
        <is>
          <t>2105-07-14</t>
        </is>
      </c>
    </row>
    <row r="75112">
      <c r="A75112" s="1" t="n">
        <v>75111</v>
      </c>
      <c r="B75112">
        <f>TEXT(75111, "[$-0E0000]yyyy-mm-dd")</f>
        <v/>
      </c>
      <c r="C75112" t="inlineStr">
        <is>
          <t>2105-07-15</t>
        </is>
      </c>
    </row>
    <row r="75113">
      <c r="A75113" s="1" t="n">
        <v>75112</v>
      </c>
      <c r="B75113">
        <f>TEXT(75112, "[$-0E0000]yyyy-mm-dd")</f>
        <v/>
      </c>
      <c r="C75113" t="inlineStr">
        <is>
          <t>2105-07-16</t>
        </is>
      </c>
    </row>
    <row r="75114">
      <c r="A75114" s="1" t="n">
        <v>75113</v>
      </c>
      <c r="B75114">
        <f>TEXT(75113, "[$-0E0000]yyyy-mm-dd")</f>
        <v/>
      </c>
      <c r="C75114" t="inlineStr">
        <is>
          <t>2105-07-17</t>
        </is>
      </c>
    </row>
    <row r="75115">
      <c r="A75115" s="1" t="n">
        <v>75114</v>
      </c>
      <c r="B75115">
        <f>TEXT(75114, "[$-0E0000]yyyy-mm-dd")</f>
        <v/>
      </c>
      <c r="C75115" t="inlineStr">
        <is>
          <t>2105-07-18</t>
        </is>
      </c>
    </row>
    <row r="75116">
      <c r="A75116" s="1" t="n">
        <v>75115</v>
      </c>
      <c r="B75116">
        <f>TEXT(75115, "[$-0E0000]yyyy-mm-dd")</f>
        <v/>
      </c>
      <c r="C75116" t="inlineStr">
        <is>
          <t>2105-07-19</t>
        </is>
      </c>
    </row>
    <row r="75117">
      <c r="A75117" s="1" t="n">
        <v>75116</v>
      </c>
      <c r="B75117">
        <f>TEXT(75116, "[$-0E0000]yyyy-mm-dd")</f>
        <v/>
      </c>
      <c r="C75117" t="inlineStr">
        <is>
          <t>2105-07-20</t>
        </is>
      </c>
    </row>
    <row r="75118">
      <c r="A75118" s="1" t="n">
        <v>75117</v>
      </c>
      <c r="B75118">
        <f>TEXT(75117, "[$-0E0000]yyyy-mm-dd")</f>
        <v/>
      </c>
      <c r="C75118" t="inlineStr">
        <is>
          <t>2105-07-21</t>
        </is>
      </c>
    </row>
    <row r="75119">
      <c r="A75119" s="1" t="n">
        <v>75118</v>
      </c>
      <c r="B75119">
        <f>TEXT(75118, "[$-0E0000]yyyy-mm-dd")</f>
        <v/>
      </c>
      <c r="C75119" t="inlineStr">
        <is>
          <t>2105-07-22</t>
        </is>
      </c>
    </row>
    <row r="75120">
      <c r="A75120" s="1" t="n">
        <v>75119</v>
      </c>
      <c r="B75120">
        <f>TEXT(75119, "[$-0E0000]yyyy-mm-dd")</f>
        <v/>
      </c>
      <c r="C75120" t="inlineStr">
        <is>
          <t>2105-07-23</t>
        </is>
      </c>
    </row>
    <row r="75121">
      <c r="A75121" s="1" t="n">
        <v>75120</v>
      </c>
      <c r="B75121">
        <f>TEXT(75120, "[$-0E0000]yyyy-mm-dd")</f>
        <v/>
      </c>
      <c r="C75121" t="inlineStr">
        <is>
          <t>2105-07-24</t>
        </is>
      </c>
    </row>
    <row r="75122">
      <c r="A75122" s="1" t="n">
        <v>75121</v>
      </c>
      <c r="B75122">
        <f>TEXT(75121, "[$-0E0000]yyyy-mm-dd")</f>
        <v/>
      </c>
      <c r="C75122" t="inlineStr">
        <is>
          <t>2105-07-25</t>
        </is>
      </c>
    </row>
    <row r="75123">
      <c r="A75123" s="1" t="n">
        <v>75122</v>
      </c>
      <c r="B75123">
        <f>TEXT(75122, "[$-0E0000]yyyy-mm-dd")</f>
        <v/>
      </c>
      <c r="C75123" t="inlineStr">
        <is>
          <t>2105-07-26</t>
        </is>
      </c>
    </row>
    <row r="75124">
      <c r="A75124" s="1" t="n">
        <v>75123</v>
      </c>
      <c r="B75124">
        <f>TEXT(75123, "[$-0E0000]yyyy-mm-dd")</f>
        <v/>
      </c>
      <c r="C75124" t="inlineStr">
        <is>
          <t>2105-07-27</t>
        </is>
      </c>
    </row>
    <row r="75125">
      <c r="A75125" s="1" t="n">
        <v>75124</v>
      </c>
      <c r="B75125">
        <f>TEXT(75124, "[$-0E0000]yyyy-mm-dd")</f>
        <v/>
      </c>
      <c r="C75125" t="inlineStr">
        <is>
          <t>2105-07-28</t>
        </is>
      </c>
    </row>
    <row r="75126">
      <c r="A75126" s="1" t="n">
        <v>75125</v>
      </c>
      <c r="B75126">
        <f>TEXT(75125, "[$-0E0000]yyyy-mm-dd")</f>
        <v/>
      </c>
      <c r="C75126" t="inlineStr">
        <is>
          <t>2105-07-29</t>
        </is>
      </c>
    </row>
    <row r="75127">
      <c r="A75127" s="1" t="n">
        <v>75126</v>
      </c>
      <c r="B75127">
        <f>TEXT(75126, "[$-0E0000]yyyy-mm-dd")</f>
        <v/>
      </c>
      <c r="C75127" t="inlineStr">
        <is>
          <t>2105-08-01</t>
        </is>
      </c>
    </row>
    <row r="75128">
      <c r="A75128" s="1" t="n">
        <v>75127</v>
      </c>
      <c r="B75128">
        <f>TEXT(75127, "[$-0E0000]yyyy-mm-dd")</f>
        <v/>
      </c>
      <c r="C75128" t="inlineStr">
        <is>
          <t>2105-08-02</t>
        </is>
      </c>
    </row>
    <row r="75129">
      <c r="A75129" s="1" t="n">
        <v>75128</v>
      </c>
      <c r="B75129">
        <f>TEXT(75128, "[$-0E0000]yyyy-mm-dd")</f>
        <v/>
      </c>
      <c r="C75129" t="inlineStr">
        <is>
          <t>2105-08-03</t>
        </is>
      </c>
    </row>
    <row r="75130">
      <c r="A75130" s="1" t="n">
        <v>75129</v>
      </c>
      <c r="B75130">
        <f>TEXT(75129, "[$-0E0000]yyyy-mm-dd")</f>
        <v/>
      </c>
      <c r="C75130" t="inlineStr">
        <is>
          <t>2105-08-04</t>
        </is>
      </c>
    </row>
    <row r="75131">
      <c r="A75131" s="1" t="n">
        <v>75130</v>
      </c>
      <c r="B75131">
        <f>TEXT(75130, "[$-0E0000]yyyy-mm-dd")</f>
        <v/>
      </c>
      <c r="C75131" t="inlineStr">
        <is>
          <t>2105-08-05</t>
        </is>
      </c>
    </row>
    <row r="75132">
      <c r="A75132" s="1" t="n">
        <v>75131</v>
      </c>
      <c r="B75132">
        <f>TEXT(75131, "[$-0E0000]yyyy-mm-dd")</f>
        <v/>
      </c>
      <c r="C75132" t="inlineStr">
        <is>
          <t>2105-08-06</t>
        </is>
      </c>
    </row>
    <row r="75133">
      <c r="A75133" s="1" t="n">
        <v>75132</v>
      </c>
      <c r="B75133">
        <f>TEXT(75132, "[$-0E0000]yyyy-mm-dd")</f>
        <v/>
      </c>
      <c r="C75133" t="inlineStr">
        <is>
          <t>2105-08-07</t>
        </is>
      </c>
    </row>
    <row r="75134">
      <c r="A75134" s="1" t="n">
        <v>75133</v>
      </c>
      <c r="B75134">
        <f>TEXT(75133, "[$-0E0000]yyyy-mm-dd")</f>
        <v/>
      </c>
      <c r="C75134" t="inlineStr">
        <is>
          <t>2105-08-08</t>
        </is>
      </c>
    </row>
    <row r="75135">
      <c r="A75135" s="1" t="n">
        <v>75134</v>
      </c>
      <c r="B75135">
        <f>TEXT(75134, "[$-0E0000]yyyy-mm-dd")</f>
        <v/>
      </c>
      <c r="C75135" t="inlineStr">
        <is>
          <t>2105-08-09</t>
        </is>
      </c>
    </row>
    <row r="75136">
      <c r="A75136" s="1" t="n">
        <v>75135</v>
      </c>
      <c r="B75136">
        <f>TEXT(75135, "[$-0E0000]yyyy-mm-dd")</f>
        <v/>
      </c>
      <c r="C75136" t="inlineStr">
        <is>
          <t>2105-08-10</t>
        </is>
      </c>
    </row>
    <row r="75137">
      <c r="A75137" s="1" t="n">
        <v>75136</v>
      </c>
      <c r="B75137">
        <f>TEXT(75136, "[$-0E0000]yyyy-mm-dd")</f>
        <v/>
      </c>
      <c r="C75137" t="inlineStr">
        <is>
          <t>2105-08-11</t>
        </is>
      </c>
    </row>
    <row r="75138">
      <c r="A75138" s="1" t="n">
        <v>75137</v>
      </c>
      <c r="B75138">
        <f>TEXT(75137, "[$-0E0000]yyyy-mm-dd")</f>
        <v/>
      </c>
      <c r="C75138" t="inlineStr">
        <is>
          <t>2105-08-12</t>
        </is>
      </c>
    </row>
    <row r="75139">
      <c r="A75139" s="1" t="n">
        <v>75138</v>
      </c>
      <c r="B75139">
        <f>TEXT(75138, "[$-0E0000]yyyy-mm-dd")</f>
        <v/>
      </c>
      <c r="C75139" t="inlineStr">
        <is>
          <t>2105-08-13</t>
        </is>
      </c>
    </row>
    <row r="75140">
      <c r="A75140" s="1" t="n">
        <v>75139</v>
      </c>
      <c r="B75140">
        <f>TEXT(75139, "[$-0E0000]yyyy-mm-dd")</f>
        <v/>
      </c>
      <c r="C75140" t="inlineStr">
        <is>
          <t>2105-08-14</t>
        </is>
      </c>
    </row>
    <row r="75141">
      <c r="A75141" s="1" t="n">
        <v>75140</v>
      </c>
      <c r="B75141">
        <f>TEXT(75140, "[$-0E0000]yyyy-mm-dd")</f>
        <v/>
      </c>
      <c r="C75141" t="inlineStr">
        <is>
          <t>2105-08-15</t>
        </is>
      </c>
    </row>
    <row r="75142">
      <c r="A75142" s="1" t="n">
        <v>75141</v>
      </c>
      <c r="B75142">
        <f>TEXT(75141, "[$-0E0000]yyyy-mm-dd")</f>
        <v/>
      </c>
      <c r="C75142" t="inlineStr">
        <is>
          <t>2105-08-16</t>
        </is>
      </c>
    </row>
    <row r="75143">
      <c r="A75143" s="1" t="n">
        <v>75142</v>
      </c>
      <c r="B75143">
        <f>TEXT(75142, "[$-0E0000]yyyy-mm-dd")</f>
        <v/>
      </c>
      <c r="C75143" t="inlineStr">
        <is>
          <t>2105-08-17</t>
        </is>
      </c>
    </row>
    <row r="75144">
      <c r="A75144" s="1" t="n">
        <v>75143</v>
      </c>
      <c r="B75144">
        <f>TEXT(75143, "[$-0E0000]yyyy-mm-dd")</f>
        <v/>
      </c>
      <c r="C75144" t="inlineStr">
        <is>
          <t>2105-08-18</t>
        </is>
      </c>
    </row>
    <row r="75145">
      <c r="A75145" s="1" t="n">
        <v>75144</v>
      </c>
      <c r="B75145">
        <f>TEXT(75144, "[$-0E0000]yyyy-mm-dd")</f>
        <v/>
      </c>
      <c r="C75145" t="inlineStr">
        <is>
          <t>2105-08-19</t>
        </is>
      </c>
    </row>
    <row r="75146">
      <c r="A75146" s="1" t="n">
        <v>75145</v>
      </c>
      <c r="B75146">
        <f>TEXT(75145, "[$-0E0000]yyyy-mm-dd")</f>
        <v/>
      </c>
      <c r="C75146" t="inlineStr">
        <is>
          <t>2105-08-20</t>
        </is>
      </c>
    </row>
    <row r="75147">
      <c r="A75147" s="1" t="n">
        <v>75146</v>
      </c>
      <c r="B75147">
        <f>TEXT(75146, "[$-0E0000]yyyy-mm-dd")</f>
        <v/>
      </c>
      <c r="C75147" t="inlineStr">
        <is>
          <t>2105-08-21</t>
        </is>
      </c>
    </row>
    <row r="75148">
      <c r="A75148" s="1" t="n">
        <v>75147</v>
      </c>
      <c r="B75148">
        <f>TEXT(75147, "[$-0E0000]yyyy-mm-dd")</f>
        <v/>
      </c>
      <c r="C75148" t="inlineStr">
        <is>
          <t>2105-08-22</t>
        </is>
      </c>
    </row>
    <row r="75149">
      <c r="A75149" s="1" t="n">
        <v>75148</v>
      </c>
      <c r="B75149">
        <f>TEXT(75148, "[$-0E0000]yyyy-mm-dd")</f>
        <v/>
      </c>
      <c r="C75149" t="inlineStr">
        <is>
          <t>2105-08-23</t>
        </is>
      </c>
    </row>
    <row r="75150">
      <c r="A75150" s="1" t="n">
        <v>75149</v>
      </c>
      <c r="B75150">
        <f>TEXT(75149, "[$-0E0000]yyyy-mm-dd")</f>
        <v/>
      </c>
      <c r="C75150" t="inlineStr">
        <is>
          <t>2105-08-24</t>
        </is>
      </c>
    </row>
    <row r="75151">
      <c r="A75151" s="1" t="n">
        <v>75150</v>
      </c>
      <c r="B75151">
        <f>TEXT(75150, "[$-0E0000]yyyy-mm-dd")</f>
        <v/>
      </c>
      <c r="C75151" t="inlineStr">
        <is>
          <t>2105-08-25</t>
        </is>
      </c>
    </row>
    <row r="75152">
      <c r="A75152" s="1" t="n">
        <v>75151</v>
      </c>
      <c r="B75152">
        <f>TEXT(75151, "[$-0E0000]yyyy-mm-dd")</f>
        <v/>
      </c>
      <c r="C75152" t="inlineStr">
        <is>
          <t>2105-08-26</t>
        </is>
      </c>
    </row>
    <row r="75153">
      <c r="A75153" s="1" t="n">
        <v>75152</v>
      </c>
      <c r="B75153">
        <f>TEXT(75152, "[$-0E0000]yyyy-mm-dd")</f>
        <v/>
      </c>
      <c r="C75153" t="inlineStr">
        <is>
          <t>2105-08-27</t>
        </is>
      </c>
    </row>
    <row r="75154">
      <c r="A75154" s="1" t="n">
        <v>75153</v>
      </c>
      <c r="B75154">
        <f>TEXT(75153, "[$-0E0000]yyyy-mm-dd")</f>
        <v/>
      </c>
      <c r="C75154" t="inlineStr">
        <is>
          <t>2105-08-28</t>
        </is>
      </c>
    </row>
    <row r="75155">
      <c r="A75155" s="1" t="n">
        <v>75154</v>
      </c>
      <c r="B75155">
        <f>TEXT(75154, "[$-0E0000]yyyy-mm-dd")</f>
        <v/>
      </c>
      <c r="C75155" t="inlineStr">
        <is>
          <t>2105-08-29</t>
        </is>
      </c>
    </row>
    <row r="75156">
      <c r="A75156" s="1" t="n">
        <v>75155</v>
      </c>
      <c r="B75156">
        <f>TEXT(75155, "[$-0E0000]yyyy-mm-dd")</f>
        <v/>
      </c>
      <c r="C75156" t="inlineStr">
        <is>
          <t>2105-08-30</t>
        </is>
      </c>
    </row>
    <row r="75157">
      <c r="A75157" s="1" t="n">
        <v>75156</v>
      </c>
      <c r="B75157">
        <f>TEXT(75156, "[$-0E0000]yyyy-mm-dd")</f>
        <v/>
      </c>
      <c r="C75157" t="inlineStr">
        <is>
          <t>2105-09-01</t>
        </is>
      </c>
    </row>
    <row r="75158">
      <c r="A75158" s="1" t="n">
        <v>75157</v>
      </c>
      <c r="B75158">
        <f>TEXT(75157, "[$-0E0000]yyyy-mm-dd")</f>
        <v/>
      </c>
      <c r="C75158" t="inlineStr">
        <is>
          <t>2105-09-02</t>
        </is>
      </c>
    </row>
    <row r="75159">
      <c r="A75159" s="1" t="n">
        <v>75158</v>
      </c>
      <c r="B75159">
        <f>TEXT(75158, "[$-0E0000]yyyy-mm-dd")</f>
        <v/>
      </c>
      <c r="C75159" t="inlineStr">
        <is>
          <t>2105-09-03</t>
        </is>
      </c>
    </row>
    <row r="75160">
      <c r="A75160" s="1" t="n">
        <v>75159</v>
      </c>
      <c r="B75160">
        <f>TEXT(75159, "[$-0E0000]yyyy-mm-dd")</f>
        <v/>
      </c>
      <c r="C75160" t="inlineStr">
        <is>
          <t>2105-09-04</t>
        </is>
      </c>
    </row>
    <row r="75161">
      <c r="A75161" s="1" t="n">
        <v>75160</v>
      </c>
      <c r="B75161">
        <f>TEXT(75160, "[$-0E0000]yyyy-mm-dd")</f>
        <v/>
      </c>
      <c r="C75161" t="inlineStr">
        <is>
          <t>2105-09-05</t>
        </is>
      </c>
    </row>
    <row r="75162">
      <c r="A75162" s="1" t="n">
        <v>75161</v>
      </c>
      <c r="B75162">
        <f>TEXT(75161, "[$-0E0000]yyyy-mm-dd")</f>
        <v/>
      </c>
      <c r="C75162" t="inlineStr">
        <is>
          <t>2105-09-06</t>
        </is>
      </c>
    </row>
    <row r="75163">
      <c r="A75163" s="1" t="n">
        <v>75162</v>
      </c>
      <c r="B75163">
        <f>TEXT(75162, "[$-0E0000]yyyy-mm-dd")</f>
        <v/>
      </c>
      <c r="C75163" t="inlineStr">
        <is>
          <t>2105-09-07</t>
        </is>
      </c>
    </row>
    <row r="75164">
      <c r="A75164" s="1" t="n">
        <v>75163</v>
      </c>
      <c r="B75164">
        <f>TEXT(75163, "[$-0E0000]yyyy-mm-dd")</f>
        <v/>
      </c>
      <c r="C75164" t="inlineStr">
        <is>
          <t>2105-09-08</t>
        </is>
      </c>
    </row>
    <row r="75165">
      <c r="A75165" s="1" t="n">
        <v>75164</v>
      </c>
      <c r="B75165">
        <f>TEXT(75164, "[$-0E0000]yyyy-mm-dd")</f>
        <v/>
      </c>
      <c r="C75165" t="inlineStr">
        <is>
          <t>2105-09-09</t>
        </is>
      </c>
    </row>
    <row r="75166">
      <c r="A75166" s="1" t="n">
        <v>75165</v>
      </c>
      <c r="B75166">
        <f>TEXT(75165, "[$-0E0000]yyyy-mm-dd")</f>
        <v/>
      </c>
      <c r="C75166" t="inlineStr">
        <is>
          <t>2105-09-10</t>
        </is>
      </c>
    </row>
    <row r="75167">
      <c r="A75167" s="1" t="n">
        <v>75166</v>
      </c>
      <c r="B75167">
        <f>TEXT(75166, "[$-0E0000]yyyy-mm-dd")</f>
        <v/>
      </c>
      <c r="C75167" t="inlineStr">
        <is>
          <t>2105-09-11</t>
        </is>
      </c>
    </row>
    <row r="75168">
      <c r="A75168" s="1" t="n">
        <v>75167</v>
      </c>
      <c r="B75168">
        <f>TEXT(75167, "[$-0E0000]yyyy-mm-dd")</f>
        <v/>
      </c>
      <c r="C75168" t="inlineStr">
        <is>
          <t>2105-09-12</t>
        </is>
      </c>
    </row>
    <row r="75169">
      <c r="A75169" s="1" t="n">
        <v>75168</v>
      </c>
      <c r="B75169">
        <f>TEXT(75168, "[$-0E0000]yyyy-mm-dd")</f>
        <v/>
      </c>
      <c r="C75169" t="inlineStr">
        <is>
          <t>2105-09-13</t>
        </is>
      </c>
    </row>
    <row r="75170">
      <c r="A75170" s="1" t="n">
        <v>75169</v>
      </c>
      <c r="B75170">
        <f>TEXT(75169, "[$-0E0000]yyyy-mm-dd")</f>
        <v/>
      </c>
      <c r="C75170" t="inlineStr">
        <is>
          <t>2105-09-14</t>
        </is>
      </c>
    </row>
    <row r="75171">
      <c r="A75171" s="1" t="n">
        <v>75170</v>
      </c>
      <c r="B75171">
        <f>TEXT(75170, "[$-0E0000]yyyy-mm-dd")</f>
        <v/>
      </c>
      <c r="C75171" t="inlineStr">
        <is>
          <t>2105-09-15</t>
        </is>
      </c>
    </row>
    <row r="75172">
      <c r="A75172" s="1" t="n">
        <v>75171</v>
      </c>
      <c r="B75172">
        <f>TEXT(75171, "[$-0E0000]yyyy-mm-dd")</f>
        <v/>
      </c>
      <c r="C75172" t="inlineStr">
        <is>
          <t>2105-09-16</t>
        </is>
      </c>
    </row>
    <row r="75173">
      <c r="A75173" s="1" t="n">
        <v>75172</v>
      </c>
      <c r="B75173">
        <f>TEXT(75172, "[$-0E0000]yyyy-mm-dd")</f>
        <v/>
      </c>
      <c r="C75173" t="inlineStr">
        <is>
          <t>2105-09-17</t>
        </is>
      </c>
    </row>
    <row r="75174">
      <c r="A75174" s="1" t="n">
        <v>75173</v>
      </c>
      <c r="B75174">
        <f>TEXT(75173, "[$-0E0000]yyyy-mm-dd")</f>
        <v/>
      </c>
      <c r="C75174" t="inlineStr">
        <is>
          <t>2105-09-18</t>
        </is>
      </c>
    </row>
    <row r="75175">
      <c r="A75175" s="1" t="n">
        <v>75174</v>
      </c>
      <c r="B75175">
        <f>TEXT(75174, "[$-0E0000]yyyy-mm-dd")</f>
        <v/>
      </c>
      <c r="C75175" t="inlineStr">
        <is>
          <t>2105-09-19</t>
        </is>
      </c>
    </row>
    <row r="75176">
      <c r="A75176" s="1" t="n">
        <v>75175</v>
      </c>
      <c r="B75176">
        <f>TEXT(75175, "[$-0E0000]yyyy-mm-dd")</f>
        <v/>
      </c>
      <c r="C75176" t="inlineStr">
        <is>
          <t>2105-09-20</t>
        </is>
      </c>
    </row>
    <row r="75177">
      <c r="A75177" s="1" t="n">
        <v>75176</v>
      </c>
      <c r="B75177">
        <f>TEXT(75176, "[$-0E0000]yyyy-mm-dd")</f>
        <v/>
      </c>
      <c r="C75177" t="inlineStr">
        <is>
          <t>2105-09-21</t>
        </is>
      </c>
    </row>
    <row r="75178">
      <c r="A75178" s="1" t="n">
        <v>75177</v>
      </c>
      <c r="B75178">
        <f>TEXT(75177, "[$-0E0000]yyyy-mm-dd")</f>
        <v/>
      </c>
      <c r="C75178" t="inlineStr">
        <is>
          <t>2105-09-22</t>
        </is>
      </c>
    </row>
    <row r="75179">
      <c r="A75179" s="1" t="n">
        <v>75178</v>
      </c>
      <c r="B75179">
        <f>TEXT(75178, "[$-0E0000]yyyy-mm-dd")</f>
        <v/>
      </c>
      <c r="C75179" t="inlineStr">
        <is>
          <t>2105-09-23</t>
        </is>
      </c>
    </row>
    <row r="75180">
      <c r="A75180" s="1" t="n">
        <v>75179</v>
      </c>
      <c r="B75180">
        <f>TEXT(75179, "[$-0E0000]yyyy-mm-dd")</f>
        <v/>
      </c>
      <c r="C75180" t="inlineStr">
        <is>
          <t>2105-09-24</t>
        </is>
      </c>
    </row>
    <row r="75181">
      <c r="A75181" s="1" t="n">
        <v>75180</v>
      </c>
      <c r="B75181">
        <f>TEXT(75180, "[$-0E0000]yyyy-mm-dd")</f>
        <v/>
      </c>
      <c r="C75181" t="inlineStr">
        <is>
          <t>2105-09-25</t>
        </is>
      </c>
    </row>
    <row r="75182">
      <c r="A75182" s="1" t="n">
        <v>75181</v>
      </c>
      <c r="B75182">
        <f>TEXT(75181, "[$-0E0000]yyyy-mm-dd")</f>
        <v/>
      </c>
      <c r="C75182" t="inlineStr">
        <is>
          <t>2105-09-26</t>
        </is>
      </c>
    </row>
    <row r="75183">
      <c r="A75183" s="1" t="n">
        <v>75182</v>
      </c>
      <c r="B75183">
        <f>TEXT(75182, "[$-0E0000]yyyy-mm-dd")</f>
        <v/>
      </c>
      <c r="C75183" t="inlineStr">
        <is>
          <t>2105-09-27</t>
        </is>
      </c>
    </row>
    <row r="75184">
      <c r="A75184" s="1" t="n">
        <v>75183</v>
      </c>
      <c r="B75184">
        <f>TEXT(75183, "[$-0E0000]yyyy-mm-dd")</f>
        <v/>
      </c>
      <c r="C75184" t="inlineStr">
        <is>
          <t>2105-09-28</t>
        </is>
      </c>
    </row>
    <row r="75185">
      <c r="A75185" s="1" t="n">
        <v>75184</v>
      </c>
      <c r="B75185">
        <f>TEXT(75184, "[$-0E0000]yyyy-mm-dd")</f>
        <v/>
      </c>
      <c r="C75185" t="inlineStr">
        <is>
          <t>2105-09-29</t>
        </is>
      </c>
    </row>
    <row r="75186">
      <c r="A75186" s="1" t="n">
        <v>75185</v>
      </c>
      <c r="B75186">
        <f>TEXT(75185, "[$-0E0000]yyyy-mm-dd")</f>
        <v/>
      </c>
      <c r="C75186" t="inlineStr">
        <is>
          <t>2105-09-30</t>
        </is>
      </c>
    </row>
    <row r="75187">
      <c r="A75187" s="1" t="n">
        <v>75186</v>
      </c>
      <c r="B75187">
        <f>TEXT(75186, "[$-0E0000]yyyy-mm-dd")</f>
        <v/>
      </c>
      <c r="C75187" t="inlineStr">
        <is>
          <t>2105-10-01</t>
        </is>
      </c>
    </row>
    <row r="75188">
      <c r="A75188" s="1" t="n">
        <v>75187</v>
      </c>
      <c r="B75188">
        <f>TEXT(75187, "[$-0E0000]yyyy-mm-dd")</f>
        <v/>
      </c>
      <c r="C75188" t="inlineStr">
        <is>
          <t>2105-10-02</t>
        </is>
      </c>
    </row>
    <row r="75189">
      <c r="A75189" s="1" t="n">
        <v>75188</v>
      </c>
      <c r="B75189">
        <f>TEXT(75188, "[$-0E0000]yyyy-mm-dd")</f>
        <v/>
      </c>
      <c r="C75189" t="inlineStr">
        <is>
          <t>2105-10-03</t>
        </is>
      </c>
    </row>
    <row r="75190">
      <c r="A75190" s="1" t="n">
        <v>75189</v>
      </c>
      <c r="B75190">
        <f>TEXT(75189, "[$-0E0000]yyyy-mm-dd")</f>
        <v/>
      </c>
      <c r="C75190" t="inlineStr">
        <is>
          <t>2105-10-04</t>
        </is>
      </c>
    </row>
    <row r="75191">
      <c r="A75191" s="1" t="n">
        <v>75190</v>
      </c>
      <c r="B75191">
        <f>TEXT(75190, "[$-0E0000]yyyy-mm-dd")</f>
        <v/>
      </c>
      <c r="C75191" t="inlineStr">
        <is>
          <t>2105-10-05</t>
        </is>
      </c>
    </row>
    <row r="75192">
      <c r="A75192" s="1" t="n">
        <v>75191</v>
      </c>
      <c r="B75192">
        <f>TEXT(75191, "[$-0E0000]yyyy-mm-dd")</f>
        <v/>
      </c>
      <c r="C75192" t="inlineStr">
        <is>
          <t>2105-10-06</t>
        </is>
      </c>
    </row>
    <row r="75193">
      <c r="A75193" s="1" t="n">
        <v>75192</v>
      </c>
      <c r="B75193">
        <f>TEXT(75192, "[$-0E0000]yyyy-mm-dd")</f>
        <v/>
      </c>
      <c r="C75193" t="inlineStr">
        <is>
          <t>2105-10-07</t>
        </is>
      </c>
    </row>
    <row r="75194">
      <c r="A75194" s="1" t="n">
        <v>75193</v>
      </c>
      <c r="B75194">
        <f>TEXT(75193, "[$-0E0000]yyyy-mm-dd")</f>
        <v/>
      </c>
      <c r="C75194" t="inlineStr">
        <is>
          <t>2105-10-08</t>
        </is>
      </c>
    </row>
    <row r="75195">
      <c r="A75195" s="1" t="n">
        <v>75194</v>
      </c>
      <c r="B75195">
        <f>TEXT(75194, "[$-0E0000]yyyy-mm-dd")</f>
        <v/>
      </c>
      <c r="C75195" t="inlineStr">
        <is>
          <t>2105-10-09</t>
        </is>
      </c>
    </row>
    <row r="75196">
      <c r="A75196" s="1" t="n">
        <v>75195</v>
      </c>
      <c r="B75196">
        <f>TEXT(75195, "[$-0E0000]yyyy-mm-dd")</f>
        <v/>
      </c>
      <c r="C75196" t="inlineStr">
        <is>
          <t>2105-10-10</t>
        </is>
      </c>
    </row>
    <row r="75197">
      <c r="A75197" s="1" t="n">
        <v>75196</v>
      </c>
      <c r="B75197">
        <f>TEXT(75196, "[$-0E0000]yyyy-mm-dd")</f>
        <v/>
      </c>
      <c r="C75197" t="inlineStr">
        <is>
          <t>2105-10-11</t>
        </is>
      </c>
    </row>
    <row r="75198">
      <c r="A75198" s="1" t="n">
        <v>75197</v>
      </c>
      <c r="B75198">
        <f>TEXT(75197, "[$-0E0000]yyyy-mm-dd")</f>
        <v/>
      </c>
      <c r="C75198" t="inlineStr">
        <is>
          <t>2105-10-12</t>
        </is>
      </c>
    </row>
    <row r="75199">
      <c r="A75199" s="1" t="n">
        <v>75198</v>
      </c>
      <c r="B75199">
        <f>TEXT(75198, "[$-0E0000]yyyy-mm-dd")</f>
        <v/>
      </c>
      <c r="C75199" t="inlineStr">
        <is>
          <t>2105-10-13</t>
        </is>
      </c>
    </row>
    <row r="75200">
      <c r="A75200" s="1" t="n">
        <v>75199</v>
      </c>
      <c r="B75200">
        <f>TEXT(75199, "[$-0E0000]yyyy-mm-dd")</f>
        <v/>
      </c>
      <c r="C75200" t="inlineStr">
        <is>
          <t>2105-10-14</t>
        </is>
      </c>
    </row>
    <row r="75201">
      <c r="A75201" s="1" t="n">
        <v>75200</v>
      </c>
      <c r="B75201">
        <f>TEXT(75200, "[$-0E0000]yyyy-mm-dd")</f>
        <v/>
      </c>
      <c r="C75201" t="inlineStr">
        <is>
          <t>2105-10-15</t>
        </is>
      </c>
    </row>
    <row r="75202">
      <c r="A75202" s="1" t="n">
        <v>75201</v>
      </c>
      <c r="B75202">
        <f>TEXT(75201, "[$-0E0000]yyyy-mm-dd")</f>
        <v/>
      </c>
      <c r="C75202" t="inlineStr">
        <is>
          <t>2105-10-16</t>
        </is>
      </c>
    </row>
    <row r="75203">
      <c r="A75203" s="1" t="n">
        <v>75202</v>
      </c>
      <c r="B75203">
        <f>TEXT(75202, "[$-0E0000]yyyy-mm-dd")</f>
        <v/>
      </c>
      <c r="C75203" t="inlineStr">
        <is>
          <t>2105-10-17</t>
        </is>
      </c>
    </row>
    <row r="75204">
      <c r="A75204" s="1" t="n">
        <v>75203</v>
      </c>
      <c r="B75204">
        <f>TEXT(75203, "[$-0E0000]yyyy-mm-dd")</f>
        <v/>
      </c>
      <c r="C75204" t="inlineStr">
        <is>
          <t>2105-10-18</t>
        </is>
      </c>
    </row>
    <row r="75205">
      <c r="A75205" s="1" t="n">
        <v>75204</v>
      </c>
      <c r="B75205">
        <f>TEXT(75204, "[$-0E0000]yyyy-mm-dd")</f>
        <v/>
      </c>
      <c r="C75205" t="inlineStr">
        <is>
          <t>2105-10-19</t>
        </is>
      </c>
    </row>
    <row r="75206">
      <c r="A75206" s="1" t="n">
        <v>75205</v>
      </c>
      <c r="B75206">
        <f>TEXT(75205, "[$-0E0000]yyyy-mm-dd")</f>
        <v/>
      </c>
      <c r="C75206" t="inlineStr">
        <is>
          <t>2105-10-20</t>
        </is>
      </c>
    </row>
    <row r="75207">
      <c r="A75207" s="1" t="n">
        <v>75206</v>
      </c>
      <c r="B75207">
        <f>TEXT(75206, "[$-0E0000]yyyy-mm-dd")</f>
        <v/>
      </c>
      <c r="C75207" t="inlineStr">
        <is>
          <t>2105-10-21</t>
        </is>
      </c>
    </row>
    <row r="75208">
      <c r="A75208" s="1" t="n">
        <v>75207</v>
      </c>
      <c r="B75208">
        <f>TEXT(75207, "[$-0E0000]yyyy-mm-dd")</f>
        <v/>
      </c>
      <c r="C75208" t="inlineStr">
        <is>
          <t>2105-10-22</t>
        </is>
      </c>
    </row>
    <row r="75209">
      <c r="A75209" s="1" t="n">
        <v>75208</v>
      </c>
      <c r="B75209">
        <f>TEXT(75208, "[$-0E0000]yyyy-mm-dd")</f>
        <v/>
      </c>
      <c r="C75209" t="inlineStr">
        <is>
          <t>2105-10-23</t>
        </is>
      </c>
    </row>
    <row r="75210">
      <c r="A75210" s="1" t="n">
        <v>75209</v>
      </c>
      <c r="B75210">
        <f>TEXT(75209, "[$-0E0000]yyyy-mm-dd")</f>
        <v/>
      </c>
      <c r="C75210" t="inlineStr">
        <is>
          <t>2105-10-24</t>
        </is>
      </c>
    </row>
    <row r="75211">
      <c r="A75211" s="1" t="n">
        <v>75210</v>
      </c>
      <c r="B75211">
        <f>TEXT(75210, "[$-0E0000]yyyy-mm-dd")</f>
        <v/>
      </c>
      <c r="C75211" t="inlineStr">
        <is>
          <t>2105-10-25</t>
        </is>
      </c>
    </row>
    <row r="75212">
      <c r="A75212" s="1" t="n">
        <v>75211</v>
      </c>
      <c r="B75212">
        <f>TEXT(75211, "[$-0E0000]yyyy-mm-dd")</f>
        <v/>
      </c>
      <c r="C75212" t="inlineStr">
        <is>
          <t>2105-10-26</t>
        </is>
      </c>
    </row>
    <row r="75213">
      <c r="A75213" s="1" t="n">
        <v>75212</v>
      </c>
      <c r="B75213">
        <f>TEXT(75212, "[$-0E0000]yyyy-mm-dd")</f>
        <v/>
      </c>
      <c r="C75213" t="inlineStr">
        <is>
          <t>2105-10-27</t>
        </is>
      </c>
    </row>
    <row r="75214">
      <c r="A75214" s="1" t="n">
        <v>75213</v>
      </c>
      <c r="B75214">
        <f>TEXT(75213, "[$-0E0000]yyyy-mm-dd")</f>
        <v/>
      </c>
      <c r="C75214" t="inlineStr">
        <is>
          <t>2105-10-28</t>
        </is>
      </c>
    </row>
    <row r="75215">
      <c r="A75215" s="1" t="n">
        <v>75214</v>
      </c>
      <c r="B75215">
        <f>TEXT(75214, "[$-0E0000]yyyy-mm-dd")</f>
        <v/>
      </c>
      <c r="C75215" t="inlineStr">
        <is>
          <t>2105-10-29</t>
        </is>
      </c>
    </row>
    <row r="75216">
      <c r="A75216" s="1" t="n">
        <v>75215</v>
      </c>
      <c r="B75216">
        <f>TEXT(75215, "[$-0E0000]yyyy-mm-dd")</f>
        <v/>
      </c>
      <c r="C75216" t="inlineStr">
        <is>
          <t>2105-11-01</t>
        </is>
      </c>
    </row>
    <row r="75217">
      <c r="A75217" s="1" t="n">
        <v>75216</v>
      </c>
      <c r="B75217">
        <f>TEXT(75216, "[$-0E0000]yyyy-mm-dd")</f>
        <v/>
      </c>
      <c r="C75217" t="inlineStr">
        <is>
          <t>2105-11-02</t>
        </is>
      </c>
    </row>
    <row r="75218">
      <c r="A75218" s="1" t="n">
        <v>75217</v>
      </c>
      <c r="B75218">
        <f>TEXT(75217, "[$-0E0000]yyyy-mm-dd")</f>
        <v/>
      </c>
      <c r="C75218" t="inlineStr">
        <is>
          <t>2105-11-03</t>
        </is>
      </c>
    </row>
    <row r="75219">
      <c r="A75219" s="1" t="n">
        <v>75218</v>
      </c>
      <c r="B75219">
        <f>TEXT(75218, "[$-0E0000]yyyy-mm-dd")</f>
        <v/>
      </c>
      <c r="C75219" t="inlineStr">
        <is>
          <t>2105-11-04</t>
        </is>
      </c>
    </row>
    <row r="75220">
      <c r="A75220" s="1" t="n">
        <v>75219</v>
      </c>
      <c r="B75220">
        <f>TEXT(75219, "[$-0E0000]yyyy-mm-dd")</f>
        <v/>
      </c>
      <c r="C75220" t="inlineStr">
        <is>
          <t>2105-11-05</t>
        </is>
      </c>
    </row>
    <row r="75221">
      <c r="A75221" s="1" t="n">
        <v>75220</v>
      </c>
      <c r="B75221">
        <f>TEXT(75220, "[$-0E0000]yyyy-mm-dd")</f>
        <v/>
      </c>
      <c r="C75221" t="inlineStr">
        <is>
          <t>2105-11-06</t>
        </is>
      </c>
    </row>
    <row r="75222">
      <c r="A75222" s="1" t="n">
        <v>75221</v>
      </c>
      <c r="B75222">
        <f>TEXT(75221, "[$-0E0000]yyyy-mm-dd")</f>
        <v/>
      </c>
      <c r="C75222" t="inlineStr">
        <is>
          <t>2105-11-07</t>
        </is>
      </c>
    </row>
    <row r="75223">
      <c r="A75223" s="1" t="n">
        <v>75222</v>
      </c>
      <c r="B75223">
        <f>TEXT(75222, "[$-0E0000]yyyy-mm-dd")</f>
        <v/>
      </c>
      <c r="C75223" t="inlineStr">
        <is>
          <t>2105-11-08</t>
        </is>
      </c>
    </row>
    <row r="75224">
      <c r="A75224" s="1" t="n">
        <v>75223</v>
      </c>
      <c r="B75224">
        <f>TEXT(75223, "[$-0E0000]yyyy-mm-dd")</f>
        <v/>
      </c>
      <c r="C75224" t="inlineStr">
        <is>
          <t>2105-11-09</t>
        </is>
      </c>
    </row>
    <row r="75225">
      <c r="A75225" s="1" t="n">
        <v>75224</v>
      </c>
      <c r="B75225">
        <f>TEXT(75224, "[$-0E0000]yyyy-mm-dd")</f>
        <v/>
      </c>
      <c r="C75225" t="inlineStr">
        <is>
          <t>2105-11-10</t>
        </is>
      </c>
    </row>
    <row r="75226">
      <c r="A75226" s="1" t="n">
        <v>75225</v>
      </c>
      <c r="B75226">
        <f>TEXT(75225, "[$-0E0000]yyyy-mm-dd")</f>
        <v/>
      </c>
      <c r="C75226" t="inlineStr">
        <is>
          <t>2105-11-11</t>
        </is>
      </c>
    </row>
    <row r="75227">
      <c r="A75227" s="1" t="n">
        <v>75226</v>
      </c>
      <c r="B75227">
        <f>TEXT(75226, "[$-0E0000]yyyy-mm-dd")</f>
        <v/>
      </c>
      <c r="C75227" t="inlineStr">
        <is>
          <t>2105-11-12</t>
        </is>
      </c>
    </row>
    <row r="75228">
      <c r="A75228" s="1" t="n">
        <v>75227</v>
      </c>
      <c r="B75228">
        <f>TEXT(75227, "[$-0E0000]yyyy-mm-dd")</f>
        <v/>
      </c>
      <c r="C75228" t="inlineStr">
        <is>
          <t>2105-11-13</t>
        </is>
      </c>
    </row>
    <row r="75229">
      <c r="A75229" s="1" t="n">
        <v>75228</v>
      </c>
      <c r="B75229">
        <f>TEXT(75228, "[$-0E0000]yyyy-mm-dd")</f>
        <v/>
      </c>
      <c r="C75229" t="inlineStr">
        <is>
          <t>2105-11-14</t>
        </is>
      </c>
    </row>
    <row r="75230">
      <c r="A75230" s="1" t="n">
        <v>75229</v>
      </c>
      <c r="B75230">
        <f>TEXT(75229, "[$-0E0000]yyyy-mm-dd")</f>
        <v/>
      </c>
      <c r="C75230" t="inlineStr">
        <is>
          <t>2105-11-15</t>
        </is>
      </c>
    </row>
    <row r="75231">
      <c r="A75231" s="1" t="n">
        <v>75230</v>
      </c>
      <c r="B75231">
        <f>TEXT(75230, "[$-0E0000]yyyy-mm-dd")</f>
        <v/>
      </c>
      <c r="C75231" t="inlineStr">
        <is>
          <t>2105-11-16</t>
        </is>
      </c>
    </row>
    <row r="75232">
      <c r="A75232" s="1" t="n">
        <v>75231</v>
      </c>
      <c r="B75232">
        <f>TEXT(75231, "[$-0E0000]yyyy-mm-dd")</f>
        <v/>
      </c>
      <c r="C75232" t="inlineStr">
        <is>
          <t>2105-11-17</t>
        </is>
      </c>
    </row>
    <row r="75233">
      <c r="A75233" s="1" t="n">
        <v>75232</v>
      </c>
      <c r="B75233">
        <f>TEXT(75232, "[$-0E0000]yyyy-mm-dd")</f>
        <v/>
      </c>
      <c r="C75233" t="inlineStr">
        <is>
          <t>2105-11-18</t>
        </is>
      </c>
    </row>
    <row r="75234">
      <c r="A75234" s="1" t="n">
        <v>75233</v>
      </c>
      <c r="B75234">
        <f>TEXT(75233, "[$-0E0000]yyyy-mm-dd")</f>
        <v/>
      </c>
      <c r="C75234" t="inlineStr">
        <is>
          <t>2105-11-19</t>
        </is>
      </c>
    </row>
    <row r="75235">
      <c r="A75235" s="1" t="n">
        <v>75234</v>
      </c>
      <c r="B75235">
        <f>TEXT(75234, "[$-0E0000]yyyy-mm-dd")</f>
        <v/>
      </c>
      <c r="C75235" t="inlineStr">
        <is>
          <t>2105-11-20</t>
        </is>
      </c>
    </row>
    <row r="75236">
      <c r="A75236" s="1" t="n">
        <v>75235</v>
      </c>
      <c r="B75236">
        <f>TEXT(75235, "[$-0E0000]yyyy-mm-dd")</f>
        <v/>
      </c>
      <c r="C75236" t="inlineStr">
        <is>
          <t>2105-11-21</t>
        </is>
      </c>
    </row>
    <row r="75237">
      <c r="A75237" s="1" t="n">
        <v>75236</v>
      </c>
      <c r="B75237">
        <f>TEXT(75236, "[$-0E0000]yyyy-mm-dd")</f>
        <v/>
      </c>
      <c r="C75237" t="inlineStr">
        <is>
          <t>2105-11-22</t>
        </is>
      </c>
    </row>
    <row r="75238">
      <c r="A75238" s="1" t="n">
        <v>75237</v>
      </c>
      <c r="B75238">
        <f>TEXT(75237, "[$-0E0000]yyyy-mm-dd")</f>
        <v/>
      </c>
      <c r="C75238" t="inlineStr">
        <is>
          <t>2105-11-23</t>
        </is>
      </c>
    </row>
    <row r="75239">
      <c r="A75239" s="1" t="n">
        <v>75238</v>
      </c>
      <c r="B75239">
        <f>TEXT(75238, "[$-0E0000]yyyy-mm-dd")</f>
        <v/>
      </c>
      <c r="C75239" t="inlineStr">
        <is>
          <t>2105-11-24</t>
        </is>
      </c>
    </row>
    <row r="75240">
      <c r="A75240" s="1" t="n">
        <v>75239</v>
      </c>
      <c r="B75240">
        <f>TEXT(75239, "[$-0E0000]yyyy-mm-dd")</f>
        <v/>
      </c>
      <c r="C75240" t="inlineStr">
        <is>
          <t>2105-11-25</t>
        </is>
      </c>
    </row>
    <row r="75241">
      <c r="A75241" s="1" t="n">
        <v>75240</v>
      </c>
      <c r="B75241">
        <f>TEXT(75240, "[$-0E0000]yyyy-mm-dd")</f>
        <v/>
      </c>
      <c r="C75241" t="inlineStr">
        <is>
          <t>2105-11-26</t>
        </is>
      </c>
    </row>
    <row r="75242">
      <c r="A75242" s="1" t="n">
        <v>75241</v>
      </c>
      <c r="B75242">
        <f>TEXT(75241, "[$-0E0000]yyyy-mm-dd")</f>
        <v/>
      </c>
      <c r="C75242" t="inlineStr">
        <is>
          <t>2105-11-27</t>
        </is>
      </c>
    </row>
    <row r="75243">
      <c r="A75243" s="1" t="n">
        <v>75242</v>
      </c>
      <c r="B75243">
        <f>TEXT(75242, "[$-0E0000]yyyy-mm-dd")</f>
        <v/>
      </c>
      <c r="C75243" t="inlineStr">
        <is>
          <t>2105-11-28</t>
        </is>
      </c>
    </row>
    <row r="75244">
      <c r="A75244" s="1" t="n">
        <v>75243</v>
      </c>
      <c r="B75244">
        <f>TEXT(75243, "[$-0E0000]yyyy-mm-dd")</f>
        <v/>
      </c>
      <c r="C75244" t="inlineStr">
        <is>
          <t>2105-11-29</t>
        </is>
      </c>
    </row>
    <row r="75245">
      <c r="A75245" s="1" t="n">
        <v>75244</v>
      </c>
      <c r="B75245">
        <f>TEXT(75244, "[$-0E0000]yyyy-mm-dd")</f>
        <v/>
      </c>
      <c r="C75245" t="inlineStr">
        <is>
          <t>2105-11-30</t>
        </is>
      </c>
    </row>
    <row r="75246">
      <c r="A75246" s="1" t="n">
        <v>75245</v>
      </c>
      <c r="B75246">
        <f>TEXT(75245, "[$-0E0000]yyyy-mm-dd")</f>
        <v/>
      </c>
      <c r="C75246" t="inlineStr">
        <is>
          <t>2105-12-01</t>
        </is>
      </c>
    </row>
    <row r="75247">
      <c r="A75247" s="1" t="n">
        <v>75246</v>
      </c>
      <c r="B75247">
        <f>TEXT(75246, "[$-0E0000]yyyy-mm-dd")</f>
        <v/>
      </c>
      <c r="C75247" t="inlineStr">
        <is>
          <t>2105-12-02</t>
        </is>
      </c>
    </row>
    <row r="75248">
      <c r="A75248" s="1" t="n">
        <v>75247</v>
      </c>
      <c r="B75248">
        <f>TEXT(75247, "[$-0E0000]yyyy-mm-dd")</f>
        <v/>
      </c>
      <c r="C75248" t="inlineStr">
        <is>
          <t>2105-12-03</t>
        </is>
      </c>
    </row>
    <row r="75249">
      <c r="A75249" s="1" t="n">
        <v>75248</v>
      </c>
      <c r="B75249">
        <f>TEXT(75248, "[$-0E0000]yyyy-mm-dd")</f>
        <v/>
      </c>
      <c r="C75249" t="inlineStr">
        <is>
          <t>2105-12-04</t>
        </is>
      </c>
    </row>
    <row r="75250">
      <c r="A75250" s="1" t="n">
        <v>75249</v>
      </c>
      <c r="B75250">
        <f>TEXT(75249, "[$-0E0000]yyyy-mm-dd")</f>
        <v/>
      </c>
      <c r="C75250" t="inlineStr">
        <is>
          <t>2105-12-05</t>
        </is>
      </c>
    </row>
    <row r="75251">
      <c r="A75251" s="1" t="n">
        <v>75250</v>
      </c>
      <c r="B75251">
        <f>TEXT(75250, "[$-0E0000]yyyy-mm-dd")</f>
        <v/>
      </c>
      <c r="C75251" t="inlineStr">
        <is>
          <t>2105-12-06</t>
        </is>
      </c>
    </row>
    <row r="75252">
      <c r="A75252" s="1" t="n">
        <v>75251</v>
      </c>
      <c r="B75252">
        <f>TEXT(75251, "[$-0E0000]yyyy-mm-dd")</f>
        <v/>
      </c>
      <c r="C75252" t="inlineStr">
        <is>
          <t>2105-12-07</t>
        </is>
      </c>
    </row>
    <row r="75253">
      <c r="A75253" s="1" t="n">
        <v>75252</v>
      </c>
      <c r="B75253">
        <f>TEXT(75252, "[$-0E0000]yyyy-mm-dd")</f>
        <v/>
      </c>
      <c r="C75253" t="inlineStr">
        <is>
          <t>2105-12-08</t>
        </is>
      </c>
    </row>
    <row r="75254">
      <c r="A75254" s="1" t="n">
        <v>75253</v>
      </c>
      <c r="B75254">
        <f>TEXT(75253, "[$-0E0000]yyyy-mm-dd")</f>
        <v/>
      </c>
      <c r="C75254" t="inlineStr">
        <is>
          <t>2105-12-09</t>
        </is>
      </c>
    </row>
    <row r="75255">
      <c r="A75255" s="1" t="n">
        <v>75254</v>
      </c>
      <c r="B75255">
        <f>TEXT(75254, "[$-0E0000]yyyy-mm-dd")</f>
        <v/>
      </c>
      <c r="C75255" t="inlineStr">
        <is>
          <t>2105-12-10</t>
        </is>
      </c>
    </row>
    <row r="75256">
      <c r="A75256" s="1" t="n">
        <v>75255</v>
      </c>
      <c r="B75256">
        <f>TEXT(75255, "[$-0E0000]yyyy-mm-dd")</f>
        <v/>
      </c>
      <c r="C75256" t="inlineStr">
        <is>
          <t>2105-12-11</t>
        </is>
      </c>
    </row>
    <row r="75257">
      <c r="A75257" s="1" t="n">
        <v>75256</v>
      </c>
      <c r="B75257">
        <f>TEXT(75256, "[$-0E0000]yyyy-mm-dd")</f>
        <v/>
      </c>
      <c r="C75257" t="inlineStr">
        <is>
          <t>2105-12-12</t>
        </is>
      </c>
    </row>
    <row r="75258">
      <c r="A75258" s="1" t="n">
        <v>75257</v>
      </c>
      <c r="B75258">
        <f>TEXT(75257, "[$-0E0000]yyyy-mm-dd")</f>
        <v/>
      </c>
      <c r="C75258" t="inlineStr">
        <is>
          <t>2105-12-13</t>
        </is>
      </c>
    </row>
    <row r="75259">
      <c r="A75259" s="1" t="n">
        <v>75258</v>
      </c>
      <c r="B75259">
        <f>TEXT(75258, "[$-0E0000]yyyy-mm-dd")</f>
        <v/>
      </c>
      <c r="C75259" t="inlineStr">
        <is>
          <t>2105-12-14</t>
        </is>
      </c>
    </row>
    <row r="75260">
      <c r="A75260" s="1" t="n">
        <v>75259</v>
      </c>
      <c r="B75260">
        <f>TEXT(75259, "[$-0E0000]yyyy-mm-dd")</f>
        <v/>
      </c>
      <c r="C75260" t="inlineStr">
        <is>
          <t>2105-12-15</t>
        </is>
      </c>
    </row>
    <row r="75261">
      <c r="A75261" s="1" t="n">
        <v>75260</v>
      </c>
      <c r="B75261">
        <f>TEXT(75260, "[$-0E0000]yyyy-mm-dd")</f>
        <v/>
      </c>
      <c r="C75261" t="inlineStr">
        <is>
          <t>2105-12-16</t>
        </is>
      </c>
    </row>
    <row r="75262">
      <c r="A75262" s="1" t="n">
        <v>75261</v>
      </c>
      <c r="B75262">
        <f>TEXT(75261, "[$-0E0000]yyyy-mm-dd")</f>
        <v/>
      </c>
      <c r="C75262" t="inlineStr">
        <is>
          <t>2105-12-17</t>
        </is>
      </c>
    </row>
    <row r="75263">
      <c r="A75263" s="1" t="n">
        <v>75262</v>
      </c>
      <c r="B75263">
        <f>TEXT(75262, "[$-0E0000]yyyy-mm-dd")</f>
        <v/>
      </c>
      <c r="C75263" t="inlineStr">
        <is>
          <t>2105-12-18</t>
        </is>
      </c>
    </row>
    <row r="75264">
      <c r="A75264" s="1" t="n">
        <v>75263</v>
      </c>
      <c r="B75264">
        <f>TEXT(75263, "[$-0E0000]yyyy-mm-dd")</f>
        <v/>
      </c>
      <c r="C75264" t="inlineStr">
        <is>
          <t>2105-12-19</t>
        </is>
      </c>
    </row>
    <row r="75265">
      <c r="A75265" s="1" t="n">
        <v>75264</v>
      </c>
      <c r="B75265">
        <f>TEXT(75264, "[$-0E0000]yyyy-mm-dd")</f>
        <v/>
      </c>
      <c r="C75265" t="inlineStr">
        <is>
          <t>2105-12-20</t>
        </is>
      </c>
    </row>
    <row r="75266">
      <c r="A75266" s="1" t="n">
        <v>75265</v>
      </c>
      <c r="B75266">
        <f>TEXT(75265, "[$-0E0000]yyyy-mm-dd")</f>
        <v/>
      </c>
      <c r="C75266" t="inlineStr">
        <is>
          <t>2105-12-21</t>
        </is>
      </c>
    </row>
    <row r="75267">
      <c r="A75267" s="1" t="n">
        <v>75266</v>
      </c>
      <c r="B75267">
        <f>TEXT(75266, "[$-0E0000]yyyy-mm-dd")</f>
        <v/>
      </c>
      <c r="C75267" t="inlineStr">
        <is>
          <t>2105-12-22</t>
        </is>
      </c>
    </row>
    <row r="75268">
      <c r="A75268" s="1" t="n">
        <v>75267</v>
      </c>
      <c r="B75268">
        <f>TEXT(75267, "[$-0E0000]yyyy-mm-dd")</f>
        <v/>
      </c>
      <c r="C75268" t="inlineStr">
        <is>
          <t>2105-12-23</t>
        </is>
      </c>
    </row>
    <row r="75269">
      <c r="A75269" s="1" t="n">
        <v>75268</v>
      </c>
      <c r="B75269">
        <f>TEXT(75268, "[$-0E0000]yyyy-mm-dd")</f>
        <v/>
      </c>
      <c r="C75269" t="inlineStr">
        <is>
          <t>2105-12-24</t>
        </is>
      </c>
    </row>
    <row r="75270">
      <c r="A75270" s="1" t="n">
        <v>75269</v>
      </c>
      <c r="B75270">
        <f>TEXT(75269, "[$-0E0000]yyyy-mm-dd")</f>
        <v/>
      </c>
      <c r="C75270" t="inlineStr">
        <is>
          <t>2105-12-25</t>
        </is>
      </c>
    </row>
    <row r="75271">
      <c r="A75271" s="1" t="n">
        <v>75270</v>
      </c>
      <c r="B75271">
        <f>TEXT(75270, "[$-0E0000]yyyy-mm-dd")</f>
        <v/>
      </c>
      <c r="C75271" t="inlineStr">
        <is>
          <t>2105-12-26</t>
        </is>
      </c>
    </row>
    <row r="75272">
      <c r="A75272" s="1" t="n">
        <v>75271</v>
      </c>
      <c r="B75272">
        <f>TEXT(75271, "[$-0E0000]yyyy-mm-dd")</f>
        <v/>
      </c>
      <c r="C75272" t="inlineStr">
        <is>
          <t>2105-12-27</t>
        </is>
      </c>
    </row>
    <row r="75273">
      <c r="A75273" s="1" t="n">
        <v>75272</v>
      </c>
      <c r="B75273">
        <f>TEXT(75272, "[$-0E0000]yyyy-mm-dd")</f>
        <v/>
      </c>
      <c r="C75273" t="inlineStr">
        <is>
          <t>2105-12-28</t>
        </is>
      </c>
    </row>
    <row r="75274">
      <c r="A75274" s="1" t="n">
        <v>75273</v>
      </c>
      <c r="B75274">
        <f>TEXT(75273, "[$-0E0000]yyyy-mm-dd")</f>
        <v/>
      </c>
      <c r="C75274" t="inlineStr">
        <is>
          <t>2105-12-29</t>
        </is>
      </c>
    </row>
    <row r="75275">
      <c r="A75275" s="1" t="n">
        <v>75274</v>
      </c>
      <c r="B75275">
        <f>TEXT(75274, "[$-0E0000]yyyy-mm-dd")</f>
        <v/>
      </c>
      <c r="C75275" t="inlineStr">
        <is>
          <t>2105-12-30</t>
        </is>
      </c>
    </row>
    <row r="75276">
      <c r="A75276" s="1" t="n">
        <v>75275</v>
      </c>
      <c r="B75276">
        <f>TEXT(75275, "[$-0E0000]yyyy-mm-dd")</f>
        <v/>
      </c>
      <c r="C75276" t="inlineStr">
        <is>
          <t>2106-01-01</t>
        </is>
      </c>
    </row>
    <row r="75277">
      <c r="A75277" s="1" t="n">
        <v>75276</v>
      </c>
      <c r="B75277">
        <f>TEXT(75276, "[$-0E0000]yyyy-mm-dd")</f>
        <v/>
      </c>
      <c r="C75277" t="inlineStr">
        <is>
          <t>2106-01-02</t>
        </is>
      </c>
    </row>
    <row r="75278">
      <c r="A75278" s="1" t="n">
        <v>75277</v>
      </c>
      <c r="B75278">
        <f>TEXT(75277, "[$-0E0000]yyyy-mm-dd")</f>
        <v/>
      </c>
      <c r="C75278" t="inlineStr">
        <is>
          <t>2106-01-03</t>
        </is>
      </c>
    </row>
    <row r="75279">
      <c r="A75279" s="1" t="n">
        <v>75278</v>
      </c>
      <c r="B75279">
        <f>TEXT(75278, "[$-0E0000]yyyy-mm-dd")</f>
        <v/>
      </c>
      <c r="C75279" t="inlineStr">
        <is>
          <t>2106-01-04</t>
        </is>
      </c>
    </row>
    <row r="75280">
      <c r="A75280" s="1" t="n">
        <v>75279</v>
      </c>
      <c r="B75280">
        <f>TEXT(75279, "[$-0E0000]yyyy-mm-dd")</f>
        <v/>
      </c>
      <c r="C75280" t="inlineStr">
        <is>
          <t>2106-01-05</t>
        </is>
      </c>
    </row>
    <row r="75281">
      <c r="A75281" s="1" t="n">
        <v>75280</v>
      </c>
      <c r="B75281">
        <f>TEXT(75280, "[$-0E0000]yyyy-mm-dd")</f>
        <v/>
      </c>
      <c r="C75281" t="inlineStr">
        <is>
          <t>2106-01-06</t>
        </is>
      </c>
    </row>
    <row r="75282">
      <c r="A75282" s="1" t="n">
        <v>75281</v>
      </c>
      <c r="B75282">
        <f>TEXT(75281, "[$-0E0000]yyyy-mm-dd")</f>
        <v/>
      </c>
      <c r="C75282" t="inlineStr">
        <is>
          <t>2106-01-07</t>
        </is>
      </c>
    </row>
    <row r="75283">
      <c r="A75283" s="1" t="n">
        <v>75282</v>
      </c>
      <c r="B75283">
        <f>TEXT(75282, "[$-0E0000]yyyy-mm-dd")</f>
        <v/>
      </c>
      <c r="C75283" t="inlineStr">
        <is>
          <t>2106-01-08</t>
        </is>
      </c>
    </row>
    <row r="75284">
      <c r="A75284" s="1" t="n">
        <v>75283</v>
      </c>
      <c r="B75284">
        <f>TEXT(75283, "[$-0E0000]yyyy-mm-dd")</f>
        <v/>
      </c>
      <c r="C75284" t="inlineStr">
        <is>
          <t>2106-01-09</t>
        </is>
      </c>
    </row>
    <row r="75285">
      <c r="A75285" s="1" t="n">
        <v>75284</v>
      </c>
      <c r="B75285">
        <f>TEXT(75284, "[$-0E0000]yyyy-mm-dd")</f>
        <v/>
      </c>
      <c r="C75285" t="inlineStr">
        <is>
          <t>2106-01-10</t>
        </is>
      </c>
    </row>
    <row r="75286">
      <c r="A75286" s="1" t="n">
        <v>75285</v>
      </c>
      <c r="B75286">
        <f>TEXT(75285, "[$-0E0000]yyyy-mm-dd")</f>
        <v/>
      </c>
      <c r="C75286" t="inlineStr">
        <is>
          <t>2106-01-11</t>
        </is>
      </c>
    </row>
    <row r="75287">
      <c r="A75287" s="1" t="n">
        <v>75286</v>
      </c>
      <c r="B75287">
        <f>TEXT(75286, "[$-0E0000]yyyy-mm-dd")</f>
        <v/>
      </c>
      <c r="C75287" t="inlineStr">
        <is>
          <t>2106-01-12</t>
        </is>
      </c>
    </row>
    <row r="75288">
      <c r="A75288" s="1" t="n">
        <v>75287</v>
      </c>
      <c r="B75288">
        <f>TEXT(75287, "[$-0E0000]yyyy-mm-dd")</f>
        <v/>
      </c>
      <c r="C75288" t="inlineStr">
        <is>
          <t>2106-01-13</t>
        </is>
      </c>
    </row>
    <row r="75289">
      <c r="A75289" s="1" t="n">
        <v>75288</v>
      </c>
      <c r="B75289">
        <f>TEXT(75288, "[$-0E0000]yyyy-mm-dd")</f>
        <v/>
      </c>
      <c r="C75289" t="inlineStr">
        <is>
          <t>2106-01-14</t>
        </is>
      </c>
    </row>
    <row r="75290">
      <c r="A75290" s="1" t="n">
        <v>75289</v>
      </c>
      <c r="B75290">
        <f>TEXT(75289, "[$-0E0000]yyyy-mm-dd")</f>
        <v/>
      </c>
      <c r="C75290" t="inlineStr">
        <is>
          <t>2106-01-15</t>
        </is>
      </c>
    </row>
    <row r="75291">
      <c r="A75291" s="1" t="n">
        <v>75290</v>
      </c>
      <c r="B75291">
        <f>TEXT(75290, "[$-0E0000]yyyy-mm-dd")</f>
        <v/>
      </c>
      <c r="C75291" t="inlineStr">
        <is>
          <t>2106-01-16</t>
        </is>
      </c>
    </row>
    <row r="75292">
      <c r="A75292" s="1" t="n">
        <v>75291</v>
      </c>
      <c r="B75292">
        <f>TEXT(75291, "[$-0E0000]yyyy-mm-dd")</f>
        <v/>
      </c>
      <c r="C75292" t="inlineStr">
        <is>
          <t>2106-01-17</t>
        </is>
      </c>
    </row>
    <row r="75293">
      <c r="A75293" s="1" t="n">
        <v>75292</v>
      </c>
      <c r="B75293">
        <f>TEXT(75292, "[$-0E0000]yyyy-mm-dd")</f>
        <v/>
      </c>
      <c r="C75293" t="inlineStr">
        <is>
          <t>2106-01-18</t>
        </is>
      </c>
    </row>
    <row r="75294">
      <c r="A75294" s="1" t="n">
        <v>75293</v>
      </c>
      <c r="B75294">
        <f>TEXT(75293, "[$-0E0000]yyyy-mm-dd")</f>
        <v/>
      </c>
      <c r="C75294" t="inlineStr">
        <is>
          <t>2106-01-19</t>
        </is>
      </c>
    </row>
    <row r="75295">
      <c r="A75295" s="1" t="n">
        <v>75294</v>
      </c>
      <c r="B75295">
        <f>TEXT(75294, "[$-0E0000]yyyy-mm-dd")</f>
        <v/>
      </c>
      <c r="C75295" t="inlineStr">
        <is>
          <t>2106-01-20</t>
        </is>
      </c>
    </row>
    <row r="75296">
      <c r="A75296" s="1" t="n">
        <v>75295</v>
      </c>
      <c r="B75296">
        <f>TEXT(75295, "[$-0E0000]yyyy-mm-dd")</f>
        <v/>
      </c>
      <c r="C75296" t="inlineStr">
        <is>
          <t>2106-01-21</t>
        </is>
      </c>
    </row>
    <row r="75297">
      <c r="A75297" s="1" t="n">
        <v>75296</v>
      </c>
      <c r="B75297">
        <f>TEXT(75296, "[$-0E0000]yyyy-mm-dd")</f>
        <v/>
      </c>
      <c r="C75297" t="inlineStr">
        <is>
          <t>2106-01-22</t>
        </is>
      </c>
    </row>
    <row r="75298">
      <c r="A75298" s="1" t="n">
        <v>75297</v>
      </c>
      <c r="B75298">
        <f>TEXT(75297, "[$-0E0000]yyyy-mm-dd")</f>
        <v/>
      </c>
      <c r="C75298" t="inlineStr">
        <is>
          <t>2106-01-23</t>
        </is>
      </c>
    </row>
    <row r="75299">
      <c r="A75299" s="1" t="n">
        <v>75298</v>
      </c>
      <c r="B75299">
        <f>TEXT(75298, "[$-0E0000]yyyy-mm-dd")</f>
        <v/>
      </c>
      <c r="C75299" t="inlineStr">
        <is>
          <t>2106-01-24</t>
        </is>
      </c>
    </row>
    <row r="75300">
      <c r="A75300" s="1" t="n">
        <v>75299</v>
      </c>
      <c r="B75300">
        <f>TEXT(75299, "[$-0E0000]yyyy-mm-dd")</f>
        <v/>
      </c>
      <c r="C75300" t="inlineStr">
        <is>
          <t>2106-01-25</t>
        </is>
      </c>
    </row>
    <row r="75301">
      <c r="A75301" s="1" t="n">
        <v>75300</v>
      </c>
      <c r="B75301">
        <f>TEXT(75300, "[$-0E0000]yyyy-mm-dd")</f>
        <v/>
      </c>
      <c r="C75301" t="inlineStr">
        <is>
          <t>2106-01-26</t>
        </is>
      </c>
    </row>
    <row r="75302">
      <c r="A75302" s="1" t="n">
        <v>75301</v>
      </c>
      <c r="B75302">
        <f>TEXT(75301, "[$-0E0000]yyyy-mm-dd")</f>
        <v/>
      </c>
      <c r="C75302" t="inlineStr">
        <is>
          <t>2106-01-27</t>
        </is>
      </c>
    </row>
    <row r="75303">
      <c r="A75303" s="1" t="n">
        <v>75302</v>
      </c>
      <c r="B75303">
        <f>TEXT(75302, "[$-0E0000]yyyy-mm-dd")</f>
        <v/>
      </c>
      <c r="C75303" t="inlineStr">
        <is>
          <t>2106-01-28</t>
        </is>
      </c>
    </row>
    <row r="75304">
      <c r="A75304" s="1" t="n">
        <v>75303</v>
      </c>
      <c r="B75304">
        <f>TEXT(75303, "[$-0E0000]yyyy-mm-dd")</f>
        <v/>
      </c>
      <c r="C75304" t="inlineStr">
        <is>
          <t>2106-01-29</t>
        </is>
      </c>
    </row>
    <row r="75305">
      <c r="A75305" s="1" t="n">
        <v>75304</v>
      </c>
      <c r="B75305">
        <f>TEXT(75304, "[$-0E0000]yyyy-mm-dd")</f>
        <v/>
      </c>
      <c r="C75305" t="inlineStr">
        <is>
          <t>2106-01-30</t>
        </is>
      </c>
    </row>
    <row r="75306">
      <c r="A75306" s="1" t="n">
        <v>75305</v>
      </c>
      <c r="B75306">
        <f>TEXT(75305, "[$-0E0000]yyyy-mm-dd")</f>
        <v/>
      </c>
      <c r="C75306" t="inlineStr">
        <is>
          <t>2106-02-01</t>
        </is>
      </c>
    </row>
    <row r="75307">
      <c r="A75307" s="1" t="n">
        <v>75306</v>
      </c>
      <c r="B75307">
        <f>TEXT(75306, "[$-0E0000]yyyy-mm-dd")</f>
        <v/>
      </c>
      <c r="C75307" t="inlineStr">
        <is>
          <t>2106-02-02</t>
        </is>
      </c>
    </row>
    <row r="75308">
      <c r="A75308" s="1" t="n">
        <v>75307</v>
      </c>
      <c r="B75308">
        <f>TEXT(75307, "[$-0E0000]yyyy-mm-dd")</f>
        <v/>
      </c>
      <c r="C75308" t="inlineStr">
        <is>
          <t>2106-02-03</t>
        </is>
      </c>
    </row>
    <row r="75309">
      <c r="A75309" s="1" t="n">
        <v>75308</v>
      </c>
      <c r="B75309">
        <f>TEXT(75308, "[$-0E0000]yyyy-mm-dd")</f>
        <v/>
      </c>
      <c r="C75309" t="inlineStr">
        <is>
          <t>2106-02-04</t>
        </is>
      </c>
    </row>
    <row r="75310">
      <c r="A75310" s="1" t="n">
        <v>75309</v>
      </c>
      <c r="B75310">
        <f>TEXT(75309, "[$-0E0000]yyyy-mm-dd")</f>
        <v/>
      </c>
      <c r="C75310" t="inlineStr">
        <is>
          <t>2106-02-05</t>
        </is>
      </c>
    </row>
    <row r="75311">
      <c r="A75311" s="1" t="n">
        <v>75310</v>
      </c>
      <c r="B75311">
        <f>TEXT(75310, "[$-0E0000]yyyy-mm-dd")</f>
        <v/>
      </c>
      <c r="C75311" t="inlineStr">
        <is>
          <t>2106-02-06</t>
        </is>
      </c>
    </row>
    <row r="75312">
      <c r="A75312" s="1" t="n">
        <v>75311</v>
      </c>
      <c r="B75312">
        <f>TEXT(75311, "[$-0E0000]yyyy-mm-dd")</f>
        <v/>
      </c>
      <c r="C75312" t="inlineStr">
        <is>
          <t>2106-02-07</t>
        </is>
      </c>
    </row>
    <row r="75313">
      <c r="A75313" s="1" t="n">
        <v>75312</v>
      </c>
      <c r="B75313">
        <f>TEXT(75312, "[$-0E0000]yyyy-mm-dd")</f>
        <v/>
      </c>
      <c r="C75313" t="inlineStr">
        <is>
          <t>2106-02-08</t>
        </is>
      </c>
    </row>
    <row r="75314">
      <c r="A75314" s="1" t="n">
        <v>75313</v>
      </c>
      <c r="B75314">
        <f>TEXT(75313, "[$-0E0000]yyyy-mm-dd")</f>
        <v/>
      </c>
      <c r="C75314" t="inlineStr">
        <is>
          <t>2106-02-09</t>
        </is>
      </c>
    </row>
    <row r="75315">
      <c r="A75315" s="1" t="n">
        <v>75314</v>
      </c>
      <c r="B75315">
        <f>TEXT(75314, "[$-0E0000]yyyy-mm-dd")</f>
        <v/>
      </c>
      <c r="C75315" t="inlineStr">
        <is>
          <t>2106-02-10</t>
        </is>
      </c>
    </row>
    <row r="75316">
      <c r="A75316" s="1" t="n">
        <v>75315</v>
      </c>
      <c r="B75316">
        <f>TEXT(75315, "[$-0E0000]yyyy-mm-dd")</f>
        <v/>
      </c>
      <c r="C75316" t="inlineStr">
        <is>
          <t>2106-02-11</t>
        </is>
      </c>
    </row>
    <row r="75317">
      <c r="A75317" s="1" t="n">
        <v>75316</v>
      </c>
      <c r="B75317">
        <f>TEXT(75316, "[$-0E0000]yyyy-mm-dd")</f>
        <v/>
      </c>
      <c r="C75317" t="inlineStr">
        <is>
          <t>2106-02-12</t>
        </is>
      </c>
    </row>
    <row r="75318">
      <c r="A75318" s="1" t="n">
        <v>75317</v>
      </c>
      <c r="B75318">
        <f>TEXT(75317, "[$-0E0000]yyyy-mm-dd")</f>
        <v/>
      </c>
      <c r="C75318" t="inlineStr">
        <is>
          <t>2106-02-13</t>
        </is>
      </c>
    </row>
    <row r="75319">
      <c r="A75319" s="1" t="n">
        <v>75318</v>
      </c>
      <c r="B75319">
        <f>TEXT(75318, "[$-0E0000]yyyy-mm-dd")</f>
        <v/>
      </c>
      <c r="C75319" t="inlineStr">
        <is>
          <t>2106-02-14</t>
        </is>
      </c>
    </row>
    <row r="75320">
      <c r="A75320" s="1" t="n">
        <v>75319</v>
      </c>
      <c r="B75320">
        <f>TEXT(75319, "[$-0E0000]yyyy-mm-dd")</f>
        <v/>
      </c>
      <c r="C75320" t="inlineStr">
        <is>
          <t>2106-02-15</t>
        </is>
      </c>
    </row>
    <row r="75321">
      <c r="A75321" s="1" t="n">
        <v>75320</v>
      </c>
      <c r="B75321">
        <f>TEXT(75320, "[$-0E0000]yyyy-mm-dd")</f>
        <v/>
      </c>
      <c r="C75321" t="inlineStr">
        <is>
          <t>2106-02-16</t>
        </is>
      </c>
    </row>
    <row r="75322">
      <c r="A75322" s="1" t="n">
        <v>75321</v>
      </c>
      <c r="B75322">
        <f>TEXT(75321, "[$-0E0000]yyyy-mm-dd")</f>
        <v/>
      </c>
      <c r="C75322" t="inlineStr">
        <is>
          <t>2106-02-17</t>
        </is>
      </c>
    </row>
    <row r="75323">
      <c r="A75323" s="1" t="n">
        <v>75322</v>
      </c>
      <c r="B75323">
        <f>TEXT(75322, "[$-0E0000]yyyy-mm-dd")</f>
        <v/>
      </c>
      <c r="C75323" t="inlineStr">
        <is>
          <t>2106-02-18</t>
        </is>
      </c>
    </row>
    <row r="75324">
      <c r="A75324" s="1" t="n">
        <v>75323</v>
      </c>
      <c r="B75324">
        <f>TEXT(75323, "[$-0E0000]yyyy-mm-dd")</f>
        <v/>
      </c>
      <c r="C75324" t="inlineStr">
        <is>
          <t>2106-02-19</t>
        </is>
      </c>
    </row>
    <row r="75325">
      <c r="A75325" s="1" t="n">
        <v>75324</v>
      </c>
      <c r="B75325">
        <f>TEXT(75324, "[$-0E0000]yyyy-mm-dd")</f>
        <v/>
      </c>
      <c r="C75325" t="inlineStr">
        <is>
          <t>2106-02-20</t>
        </is>
      </c>
    </row>
    <row r="75326">
      <c r="A75326" s="1" t="n">
        <v>75325</v>
      </c>
      <c r="B75326">
        <f>TEXT(75325, "[$-0E0000]yyyy-mm-dd")</f>
        <v/>
      </c>
      <c r="C75326" t="inlineStr">
        <is>
          <t>2106-02-21</t>
        </is>
      </c>
    </row>
    <row r="75327">
      <c r="A75327" s="1" t="n">
        <v>75326</v>
      </c>
      <c r="B75327">
        <f>TEXT(75326, "[$-0E0000]yyyy-mm-dd")</f>
        <v/>
      </c>
      <c r="C75327" t="inlineStr">
        <is>
          <t>2106-02-22</t>
        </is>
      </c>
    </row>
    <row r="75328">
      <c r="A75328" s="1" t="n">
        <v>75327</v>
      </c>
      <c r="B75328">
        <f>TEXT(75327, "[$-0E0000]yyyy-mm-dd")</f>
        <v/>
      </c>
      <c r="C75328" t="inlineStr">
        <is>
          <t>2106-02-23</t>
        </is>
      </c>
    </row>
    <row r="75329">
      <c r="A75329" s="1" t="n">
        <v>75328</v>
      </c>
      <c r="B75329">
        <f>TEXT(75328, "[$-0E0000]yyyy-mm-dd")</f>
        <v/>
      </c>
      <c r="C75329" t="inlineStr">
        <is>
          <t>2106-02-24</t>
        </is>
      </c>
    </row>
    <row r="75330">
      <c r="A75330" s="1" t="n">
        <v>75329</v>
      </c>
      <c r="B75330">
        <f>TEXT(75329, "[$-0E0000]yyyy-mm-dd")</f>
        <v/>
      </c>
      <c r="C75330" t="inlineStr">
        <is>
          <t>2106-02-25</t>
        </is>
      </c>
    </row>
    <row r="75331">
      <c r="A75331" s="1" t="n">
        <v>75330</v>
      </c>
      <c r="B75331">
        <f>TEXT(75330, "[$-0E0000]yyyy-mm-dd")</f>
        <v/>
      </c>
      <c r="C75331" t="inlineStr">
        <is>
          <t>2106-02-26</t>
        </is>
      </c>
    </row>
    <row r="75332">
      <c r="A75332" s="1" t="n">
        <v>75331</v>
      </c>
      <c r="B75332">
        <f>TEXT(75331, "[$-0E0000]yyyy-mm-dd")</f>
        <v/>
      </c>
      <c r="C75332" t="inlineStr">
        <is>
          <t>2106-02-27</t>
        </is>
      </c>
    </row>
    <row r="75333">
      <c r="A75333" s="1" t="n">
        <v>75332</v>
      </c>
      <c r="B75333">
        <f>TEXT(75332, "[$-0E0000]yyyy-mm-dd")</f>
        <v/>
      </c>
      <c r="C75333" t="inlineStr">
        <is>
          <t>2106-02-28</t>
        </is>
      </c>
    </row>
    <row r="75334">
      <c r="A75334" s="1" t="n">
        <v>75333</v>
      </c>
      <c r="B75334">
        <f>TEXT(75333, "[$-0E0000]yyyy-mm-dd")</f>
        <v/>
      </c>
      <c r="C75334" t="inlineStr">
        <is>
          <t>2106-02-29</t>
        </is>
      </c>
    </row>
    <row r="75335">
      <c r="A75335" s="1" t="n">
        <v>75334</v>
      </c>
      <c r="B75335">
        <f>TEXT(75334, "[$-0E0000]yyyy-mm-dd")</f>
        <v/>
      </c>
      <c r="C75335" t="inlineStr">
        <is>
          <t>2106-03-01</t>
        </is>
      </c>
    </row>
    <row r="75336">
      <c r="A75336" s="1" t="n">
        <v>75335</v>
      </c>
      <c r="B75336">
        <f>TEXT(75335, "[$-0E0000]yyyy-mm-dd")</f>
        <v/>
      </c>
      <c r="C75336" t="inlineStr">
        <is>
          <t>2106-03-02</t>
        </is>
      </c>
    </row>
    <row r="75337">
      <c r="A75337" s="1" t="n">
        <v>75336</v>
      </c>
      <c r="B75337">
        <f>TEXT(75336, "[$-0E0000]yyyy-mm-dd")</f>
        <v/>
      </c>
      <c r="C75337" t="inlineStr">
        <is>
          <t>2106-03-03</t>
        </is>
      </c>
    </row>
    <row r="75338">
      <c r="A75338" s="1" t="n">
        <v>75337</v>
      </c>
      <c r="B75338">
        <f>TEXT(75337, "[$-0E0000]yyyy-mm-dd")</f>
        <v/>
      </c>
      <c r="C75338" t="inlineStr">
        <is>
          <t>2106-03-04</t>
        </is>
      </c>
    </row>
    <row r="75339">
      <c r="A75339" s="1" t="n">
        <v>75338</v>
      </c>
      <c r="B75339">
        <f>TEXT(75338, "[$-0E0000]yyyy-mm-dd")</f>
        <v/>
      </c>
      <c r="C75339" t="inlineStr">
        <is>
          <t>2106-03-05</t>
        </is>
      </c>
    </row>
    <row r="75340">
      <c r="A75340" s="1" t="n">
        <v>75339</v>
      </c>
      <c r="B75340">
        <f>TEXT(75339, "[$-0E0000]yyyy-mm-dd")</f>
        <v/>
      </c>
      <c r="C75340" t="inlineStr">
        <is>
          <t>2106-03-06</t>
        </is>
      </c>
    </row>
    <row r="75341">
      <c r="A75341" s="1" t="n">
        <v>75340</v>
      </c>
      <c r="B75341">
        <f>TEXT(75340, "[$-0E0000]yyyy-mm-dd")</f>
        <v/>
      </c>
      <c r="C75341" t="inlineStr">
        <is>
          <t>2106-03-07</t>
        </is>
      </c>
    </row>
    <row r="75342">
      <c r="A75342" s="1" t="n">
        <v>75341</v>
      </c>
      <c r="B75342">
        <f>TEXT(75341, "[$-0E0000]yyyy-mm-dd")</f>
        <v/>
      </c>
      <c r="C75342" t="inlineStr">
        <is>
          <t>2106-03-08</t>
        </is>
      </c>
    </row>
    <row r="75343">
      <c r="A75343" s="1" t="n">
        <v>75342</v>
      </c>
      <c r="B75343">
        <f>TEXT(75342, "[$-0E0000]yyyy-mm-dd")</f>
        <v/>
      </c>
      <c r="C75343" t="inlineStr">
        <is>
          <t>2106-03-09</t>
        </is>
      </c>
    </row>
    <row r="75344">
      <c r="A75344" s="1" t="n">
        <v>75343</v>
      </c>
      <c r="B75344">
        <f>TEXT(75343, "[$-0E0000]yyyy-mm-dd")</f>
        <v/>
      </c>
      <c r="C75344" t="inlineStr">
        <is>
          <t>2106-03-10</t>
        </is>
      </c>
    </row>
    <row r="75345">
      <c r="A75345" s="1" t="n">
        <v>75344</v>
      </c>
      <c r="B75345">
        <f>TEXT(75344, "[$-0E0000]yyyy-mm-dd")</f>
        <v/>
      </c>
      <c r="C75345" t="inlineStr">
        <is>
          <t>2106-03-11</t>
        </is>
      </c>
    </row>
    <row r="75346">
      <c r="A75346" s="1" t="n">
        <v>75345</v>
      </c>
      <c r="B75346">
        <f>TEXT(75345, "[$-0E0000]yyyy-mm-dd")</f>
        <v/>
      </c>
      <c r="C75346" t="inlineStr">
        <is>
          <t>2106-03-12</t>
        </is>
      </c>
    </row>
    <row r="75347">
      <c r="A75347" s="1" t="n">
        <v>75346</v>
      </c>
      <c r="B75347">
        <f>TEXT(75346, "[$-0E0000]yyyy-mm-dd")</f>
        <v/>
      </c>
      <c r="C75347" t="inlineStr">
        <is>
          <t>2106-03-13</t>
        </is>
      </c>
    </row>
    <row r="75348">
      <c r="A75348" s="1" t="n">
        <v>75347</v>
      </c>
      <c r="B75348">
        <f>TEXT(75347, "[$-0E0000]yyyy-mm-dd")</f>
        <v/>
      </c>
      <c r="C75348" t="inlineStr">
        <is>
          <t>2106-03-14</t>
        </is>
      </c>
    </row>
    <row r="75349">
      <c r="A75349" s="1" t="n">
        <v>75348</v>
      </c>
      <c r="B75349">
        <f>TEXT(75348, "[$-0E0000]yyyy-mm-dd")</f>
        <v/>
      </c>
      <c r="C75349" t="inlineStr">
        <is>
          <t>2106-03-15</t>
        </is>
      </c>
    </row>
    <row r="75350">
      <c r="A75350" s="1" t="n">
        <v>75349</v>
      </c>
      <c r="B75350">
        <f>TEXT(75349, "[$-0E0000]yyyy-mm-dd")</f>
        <v/>
      </c>
      <c r="C75350" t="inlineStr">
        <is>
          <t>2106-03-16</t>
        </is>
      </c>
    </row>
    <row r="75351">
      <c r="A75351" s="1" t="n">
        <v>75350</v>
      </c>
      <c r="B75351">
        <f>TEXT(75350, "[$-0E0000]yyyy-mm-dd")</f>
        <v/>
      </c>
      <c r="C75351" t="inlineStr">
        <is>
          <t>2106-03-17</t>
        </is>
      </c>
    </row>
    <row r="75352">
      <c r="A75352" s="1" t="n">
        <v>75351</v>
      </c>
      <c r="B75352">
        <f>TEXT(75351, "[$-0E0000]yyyy-mm-dd")</f>
        <v/>
      </c>
      <c r="C75352" t="inlineStr">
        <is>
          <t>2106-03-18</t>
        </is>
      </c>
    </row>
    <row r="75353">
      <c r="A75353" s="1" t="n">
        <v>75352</v>
      </c>
      <c r="B75353">
        <f>TEXT(75352, "[$-0E0000]yyyy-mm-dd")</f>
        <v/>
      </c>
      <c r="C75353" t="inlineStr">
        <is>
          <t>2106-03-19</t>
        </is>
      </c>
    </row>
    <row r="75354">
      <c r="A75354" s="1" t="n">
        <v>75353</v>
      </c>
      <c r="B75354">
        <f>TEXT(75353, "[$-0E0000]yyyy-mm-dd")</f>
        <v/>
      </c>
      <c r="C75354" t="inlineStr">
        <is>
          <t>2106-03-20</t>
        </is>
      </c>
    </row>
    <row r="75355">
      <c r="A75355" s="1" t="n">
        <v>75354</v>
      </c>
      <c r="B75355">
        <f>TEXT(75354, "[$-0E0000]yyyy-mm-dd")</f>
        <v/>
      </c>
      <c r="C75355" t="inlineStr">
        <is>
          <t>2106-03-21</t>
        </is>
      </c>
    </row>
    <row r="75356">
      <c r="A75356" s="1" t="n">
        <v>75355</v>
      </c>
      <c r="B75356">
        <f>TEXT(75355, "[$-0E0000]yyyy-mm-dd")</f>
        <v/>
      </c>
      <c r="C75356" t="inlineStr">
        <is>
          <t>2106-03-22</t>
        </is>
      </c>
    </row>
    <row r="75357">
      <c r="A75357" s="1" t="n">
        <v>75356</v>
      </c>
      <c r="B75357">
        <f>TEXT(75356, "[$-0E0000]yyyy-mm-dd")</f>
        <v/>
      </c>
      <c r="C75357" t="inlineStr">
        <is>
          <t>2106-03-23</t>
        </is>
      </c>
    </row>
    <row r="75358">
      <c r="A75358" s="1" t="n">
        <v>75357</v>
      </c>
      <c r="B75358">
        <f>TEXT(75357, "[$-0E0000]yyyy-mm-dd")</f>
        <v/>
      </c>
      <c r="C75358" t="inlineStr">
        <is>
          <t>2106-03-24</t>
        </is>
      </c>
    </row>
    <row r="75359">
      <c r="A75359" s="1" t="n">
        <v>75358</v>
      </c>
      <c r="B75359">
        <f>TEXT(75358, "[$-0E0000]yyyy-mm-dd")</f>
        <v/>
      </c>
      <c r="C75359" t="inlineStr">
        <is>
          <t>2106-03-25</t>
        </is>
      </c>
    </row>
    <row r="75360">
      <c r="A75360" s="1" t="n">
        <v>75359</v>
      </c>
      <c r="B75360">
        <f>TEXT(75359, "[$-0E0000]yyyy-mm-dd")</f>
        <v/>
      </c>
      <c r="C75360" t="inlineStr">
        <is>
          <t>2106-03-26</t>
        </is>
      </c>
    </row>
    <row r="75361">
      <c r="A75361" s="1" t="n">
        <v>75360</v>
      </c>
      <c r="B75361">
        <f>TEXT(75360, "[$-0E0000]yyyy-mm-dd")</f>
        <v/>
      </c>
      <c r="C75361" t="inlineStr">
        <is>
          <t>2106-03-27</t>
        </is>
      </c>
    </row>
    <row r="75362">
      <c r="A75362" s="1" t="n">
        <v>75361</v>
      </c>
      <c r="B75362">
        <f>TEXT(75361, "[$-0E0000]yyyy-mm-dd")</f>
        <v/>
      </c>
      <c r="C75362" t="inlineStr">
        <is>
          <t>2106-03-28</t>
        </is>
      </c>
    </row>
    <row r="75363">
      <c r="A75363" s="1" t="n">
        <v>75362</v>
      </c>
      <c r="B75363">
        <f>TEXT(75362, "[$-0E0000]yyyy-mm-dd")</f>
        <v/>
      </c>
      <c r="C75363" t="inlineStr">
        <is>
          <t>2106-03-29</t>
        </is>
      </c>
    </row>
    <row r="75364">
      <c r="A75364" s="1" t="n">
        <v>75363</v>
      </c>
      <c r="B75364">
        <f>TEXT(75363, "[$-0E0000]yyyy-mm-dd")</f>
        <v/>
      </c>
      <c r="C75364" t="inlineStr">
        <is>
          <t>2106-03-30</t>
        </is>
      </c>
    </row>
    <row r="75365">
      <c r="A75365" s="1" t="n">
        <v>75364</v>
      </c>
      <c r="B75365">
        <f>TEXT(75364, "[$-0E0000]yyyy-mm-dd")</f>
        <v/>
      </c>
      <c r="C75365" t="inlineStr">
        <is>
          <t>2106-04-01</t>
        </is>
      </c>
    </row>
    <row r="75366">
      <c r="A75366" s="1" t="n">
        <v>75365</v>
      </c>
      <c r="B75366">
        <f>TEXT(75365, "[$-0E0000]yyyy-mm-dd")</f>
        <v/>
      </c>
      <c r="C75366" t="inlineStr">
        <is>
          <t>2106-04-02</t>
        </is>
      </c>
    </row>
    <row r="75367">
      <c r="A75367" s="1" t="n">
        <v>75366</v>
      </c>
      <c r="B75367">
        <f>TEXT(75366, "[$-0E0000]yyyy-mm-dd")</f>
        <v/>
      </c>
      <c r="C75367" t="inlineStr">
        <is>
          <t>2106-04-03</t>
        </is>
      </c>
    </row>
    <row r="75368">
      <c r="A75368" s="1" t="n">
        <v>75367</v>
      </c>
      <c r="B75368">
        <f>TEXT(75367, "[$-0E0000]yyyy-mm-dd")</f>
        <v/>
      </c>
      <c r="C75368" t="inlineStr">
        <is>
          <t>2106-04-04</t>
        </is>
      </c>
    </row>
    <row r="75369">
      <c r="A75369" s="1" t="n">
        <v>75368</v>
      </c>
      <c r="B75369">
        <f>TEXT(75368, "[$-0E0000]yyyy-mm-dd")</f>
        <v/>
      </c>
      <c r="C75369" t="inlineStr">
        <is>
          <t>2106-04-05</t>
        </is>
      </c>
    </row>
    <row r="75370">
      <c r="A75370" s="1" t="n">
        <v>75369</v>
      </c>
      <c r="B75370">
        <f>TEXT(75369, "[$-0E0000]yyyy-mm-dd")</f>
        <v/>
      </c>
      <c r="C75370" t="inlineStr">
        <is>
          <t>2106-04-06</t>
        </is>
      </c>
    </row>
    <row r="75371">
      <c r="A75371" s="1" t="n">
        <v>75370</v>
      </c>
      <c r="B75371">
        <f>TEXT(75370, "[$-0E0000]yyyy-mm-dd")</f>
        <v/>
      </c>
      <c r="C75371" t="inlineStr">
        <is>
          <t>2106-04-07</t>
        </is>
      </c>
    </row>
    <row r="75372">
      <c r="A75372" s="1" t="n">
        <v>75371</v>
      </c>
      <c r="B75372">
        <f>TEXT(75371, "[$-0E0000]yyyy-mm-dd")</f>
        <v/>
      </c>
      <c r="C75372" t="inlineStr">
        <is>
          <t>2106-04-08</t>
        </is>
      </c>
    </row>
    <row r="75373">
      <c r="A75373" s="1" t="n">
        <v>75372</v>
      </c>
      <c r="B75373">
        <f>TEXT(75372, "[$-0E0000]yyyy-mm-dd")</f>
        <v/>
      </c>
      <c r="C75373" t="inlineStr">
        <is>
          <t>2106-04-09</t>
        </is>
      </c>
    </row>
    <row r="75374">
      <c r="A75374" s="1" t="n">
        <v>75373</v>
      </c>
      <c r="B75374">
        <f>TEXT(75373, "[$-0E0000]yyyy-mm-dd")</f>
        <v/>
      </c>
      <c r="C75374" t="inlineStr">
        <is>
          <t>2106-04-10</t>
        </is>
      </c>
    </row>
    <row r="75375">
      <c r="A75375" s="1" t="n">
        <v>75374</v>
      </c>
      <c r="B75375">
        <f>TEXT(75374, "[$-0E0000]yyyy-mm-dd")</f>
        <v/>
      </c>
      <c r="C75375" t="inlineStr">
        <is>
          <t>2106-04-11</t>
        </is>
      </c>
    </row>
    <row r="75376">
      <c r="A75376" s="1" t="n">
        <v>75375</v>
      </c>
      <c r="B75376">
        <f>TEXT(75375, "[$-0E0000]yyyy-mm-dd")</f>
        <v/>
      </c>
      <c r="C75376" t="inlineStr">
        <is>
          <t>2106-04-12</t>
        </is>
      </c>
    </row>
    <row r="75377">
      <c r="A75377" s="1" t="n">
        <v>75376</v>
      </c>
      <c r="B75377">
        <f>TEXT(75376, "[$-0E0000]yyyy-mm-dd")</f>
        <v/>
      </c>
      <c r="C75377" t="inlineStr">
        <is>
          <t>2106-04-13</t>
        </is>
      </c>
    </row>
    <row r="75378">
      <c r="A75378" s="1" t="n">
        <v>75377</v>
      </c>
      <c r="B75378">
        <f>TEXT(75377, "[$-0E0000]yyyy-mm-dd")</f>
        <v/>
      </c>
      <c r="C75378" t="inlineStr">
        <is>
          <t>2106-04-14</t>
        </is>
      </c>
    </row>
    <row r="75379">
      <c r="A75379" s="1" t="n">
        <v>75378</v>
      </c>
      <c r="B75379">
        <f>TEXT(75378, "[$-0E0000]yyyy-mm-dd")</f>
        <v/>
      </c>
      <c r="C75379" t="inlineStr">
        <is>
          <t>2106-04-15</t>
        </is>
      </c>
    </row>
    <row r="75380">
      <c r="A75380" s="1" t="n">
        <v>75379</v>
      </c>
      <c r="B75380">
        <f>TEXT(75379, "[$-0E0000]yyyy-mm-dd")</f>
        <v/>
      </c>
      <c r="C75380" t="inlineStr">
        <is>
          <t>2106-04-16</t>
        </is>
      </c>
    </row>
    <row r="75381">
      <c r="A75381" s="1" t="n">
        <v>75380</v>
      </c>
      <c r="B75381">
        <f>TEXT(75380, "[$-0E0000]yyyy-mm-dd")</f>
        <v/>
      </c>
      <c r="C75381" t="inlineStr">
        <is>
          <t>2106-04-17</t>
        </is>
      </c>
    </row>
    <row r="75382">
      <c r="A75382" s="1" t="n">
        <v>75381</v>
      </c>
      <c r="B75382">
        <f>TEXT(75381, "[$-0E0000]yyyy-mm-dd")</f>
        <v/>
      </c>
      <c r="C75382" t="inlineStr">
        <is>
          <t>2106-04-18</t>
        </is>
      </c>
    </row>
    <row r="75383">
      <c r="A75383" s="1" t="n">
        <v>75382</v>
      </c>
      <c r="B75383">
        <f>TEXT(75382, "[$-0E0000]yyyy-mm-dd")</f>
        <v/>
      </c>
      <c r="C75383" t="inlineStr">
        <is>
          <t>2106-04-19</t>
        </is>
      </c>
    </row>
    <row r="75384">
      <c r="A75384" s="1" t="n">
        <v>75383</v>
      </c>
      <c r="B75384">
        <f>TEXT(75383, "[$-0E0000]yyyy-mm-dd")</f>
        <v/>
      </c>
      <c r="C75384" t="inlineStr">
        <is>
          <t>2106-04-20</t>
        </is>
      </c>
    </row>
    <row r="75385">
      <c r="A75385" s="1" t="n">
        <v>75384</v>
      </c>
      <c r="B75385">
        <f>TEXT(75384, "[$-0E0000]yyyy-mm-dd")</f>
        <v/>
      </c>
      <c r="C75385" t="inlineStr">
        <is>
          <t>2106-04-21</t>
        </is>
      </c>
    </row>
    <row r="75386">
      <c r="A75386" s="1" t="n">
        <v>75385</v>
      </c>
      <c r="B75386">
        <f>TEXT(75385, "[$-0E0000]yyyy-mm-dd")</f>
        <v/>
      </c>
      <c r="C75386" t="inlineStr">
        <is>
          <t>2106-04-22</t>
        </is>
      </c>
    </row>
    <row r="75387">
      <c r="A75387" s="1" t="n">
        <v>75386</v>
      </c>
      <c r="B75387">
        <f>TEXT(75386, "[$-0E0000]yyyy-mm-dd")</f>
        <v/>
      </c>
      <c r="C75387" t="inlineStr">
        <is>
          <t>2106-04-23</t>
        </is>
      </c>
    </row>
    <row r="75388">
      <c r="A75388" s="1" t="n">
        <v>75387</v>
      </c>
      <c r="B75388">
        <f>TEXT(75387, "[$-0E0000]yyyy-mm-dd")</f>
        <v/>
      </c>
      <c r="C75388" t="inlineStr">
        <is>
          <t>2106-04-24</t>
        </is>
      </c>
    </row>
    <row r="75389">
      <c r="A75389" s="1" t="n">
        <v>75388</v>
      </c>
      <c r="B75389">
        <f>TEXT(75388, "[$-0E0000]yyyy-mm-dd")</f>
        <v/>
      </c>
      <c r="C75389" t="inlineStr">
        <is>
          <t>2106-04-25</t>
        </is>
      </c>
    </row>
    <row r="75390">
      <c r="A75390" s="1" t="n">
        <v>75389</v>
      </c>
      <c r="B75390">
        <f>TEXT(75389, "[$-0E0000]yyyy-mm-dd")</f>
        <v/>
      </c>
      <c r="C75390" t="inlineStr">
        <is>
          <t>2106-04-26</t>
        </is>
      </c>
    </row>
    <row r="75391">
      <c r="A75391" s="1" t="n">
        <v>75390</v>
      </c>
      <c r="B75391">
        <f>TEXT(75390, "[$-0E0000]yyyy-mm-dd")</f>
        <v/>
      </c>
      <c r="C75391" t="inlineStr">
        <is>
          <t>2106-04-27</t>
        </is>
      </c>
    </row>
    <row r="75392">
      <c r="A75392" s="1" t="n">
        <v>75391</v>
      </c>
      <c r="B75392">
        <f>TEXT(75391, "[$-0E0000]yyyy-mm-dd")</f>
        <v/>
      </c>
      <c r="C75392" t="inlineStr">
        <is>
          <t>2106-04-28</t>
        </is>
      </c>
    </row>
    <row r="75393">
      <c r="A75393" s="1" t="n">
        <v>75392</v>
      </c>
      <c r="B75393">
        <f>TEXT(75392, "[$-0E0000]yyyy-mm-dd")</f>
        <v/>
      </c>
      <c r="C75393" t="inlineStr">
        <is>
          <t>2106-04-29</t>
        </is>
      </c>
    </row>
    <row r="75394">
      <c r="A75394" s="1" t="n">
        <v>75393</v>
      </c>
      <c r="B75394">
        <f>TEXT(75393, "[$-0E0000]yyyy-mm-dd")</f>
        <v/>
      </c>
      <c r="C75394" t="inlineStr">
        <is>
          <t>2106-05-01</t>
        </is>
      </c>
    </row>
    <row r="75395">
      <c r="A75395" s="1" t="n">
        <v>75394</v>
      </c>
      <c r="B75395">
        <f>TEXT(75394, "[$-0E0000]yyyy-mm-dd")</f>
        <v/>
      </c>
      <c r="C75395" t="inlineStr">
        <is>
          <t>2106-05-02</t>
        </is>
      </c>
    </row>
    <row r="75396">
      <c r="A75396" s="1" t="n">
        <v>75395</v>
      </c>
      <c r="B75396">
        <f>TEXT(75395, "[$-0E0000]yyyy-mm-dd")</f>
        <v/>
      </c>
      <c r="C75396" t="inlineStr">
        <is>
          <t>2106-05-03</t>
        </is>
      </c>
    </row>
    <row r="75397">
      <c r="A75397" s="1" t="n">
        <v>75396</v>
      </c>
      <c r="B75397">
        <f>TEXT(75396, "[$-0E0000]yyyy-mm-dd")</f>
        <v/>
      </c>
      <c r="C75397" t="inlineStr">
        <is>
          <t>2106-05-04</t>
        </is>
      </c>
    </row>
    <row r="75398">
      <c r="A75398" s="1" t="n">
        <v>75397</v>
      </c>
      <c r="B75398">
        <f>TEXT(75397, "[$-0E0000]yyyy-mm-dd")</f>
        <v/>
      </c>
      <c r="C75398" t="inlineStr">
        <is>
          <t>2106-05-05</t>
        </is>
      </c>
    </row>
    <row r="75399">
      <c r="A75399" s="1" t="n">
        <v>75398</v>
      </c>
      <c r="B75399">
        <f>TEXT(75398, "[$-0E0000]yyyy-mm-dd")</f>
        <v/>
      </c>
      <c r="C75399" t="inlineStr">
        <is>
          <t>2106-05-06</t>
        </is>
      </c>
    </row>
    <row r="75400">
      <c r="A75400" s="1" t="n">
        <v>75399</v>
      </c>
      <c r="B75400">
        <f>TEXT(75399, "[$-0E0000]yyyy-mm-dd")</f>
        <v/>
      </c>
      <c r="C75400" t="inlineStr">
        <is>
          <t>2106-05-07</t>
        </is>
      </c>
    </row>
    <row r="75401">
      <c r="A75401" s="1" t="n">
        <v>75400</v>
      </c>
      <c r="B75401">
        <f>TEXT(75400, "[$-0E0000]yyyy-mm-dd")</f>
        <v/>
      </c>
      <c r="C75401" t="inlineStr">
        <is>
          <t>2106-05-08</t>
        </is>
      </c>
    </row>
    <row r="75402">
      <c r="A75402" s="1" t="n">
        <v>75401</v>
      </c>
      <c r="B75402">
        <f>TEXT(75401, "[$-0E0000]yyyy-mm-dd")</f>
        <v/>
      </c>
      <c r="C75402" t="inlineStr">
        <is>
          <t>2106-05-09</t>
        </is>
      </c>
    </row>
    <row r="75403">
      <c r="A75403" s="1" t="n">
        <v>75402</v>
      </c>
      <c r="B75403">
        <f>TEXT(75402, "[$-0E0000]yyyy-mm-dd")</f>
        <v/>
      </c>
      <c r="C75403" t="inlineStr">
        <is>
          <t>2106-05-10</t>
        </is>
      </c>
    </row>
    <row r="75404">
      <c r="A75404" s="1" t="n">
        <v>75403</v>
      </c>
      <c r="B75404">
        <f>TEXT(75403, "[$-0E0000]yyyy-mm-dd")</f>
        <v/>
      </c>
      <c r="C75404" t="inlineStr">
        <is>
          <t>2106-05-11</t>
        </is>
      </c>
    </row>
    <row r="75405">
      <c r="A75405" s="1" t="n">
        <v>75404</v>
      </c>
      <c r="B75405">
        <f>TEXT(75404, "[$-0E0000]yyyy-mm-dd")</f>
        <v/>
      </c>
      <c r="C75405" t="inlineStr">
        <is>
          <t>2106-05-12</t>
        </is>
      </c>
    </row>
    <row r="75406">
      <c r="A75406" s="1" t="n">
        <v>75405</v>
      </c>
      <c r="B75406">
        <f>TEXT(75405, "[$-0E0000]yyyy-mm-dd")</f>
        <v/>
      </c>
      <c r="C75406" t="inlineStr">
        <is>
          <t>2106-05-13</t>
        </is>
      </c>
    </row>
    <row r="75407">
      <c r="A75407" s="1" t="n">
        <v>75406</v>
      </c>
      <c r="B75407">
        <f>TEXT(75406, "[$-0E0000]yyyy-mm-dd")</f>
        <v/>
      </c>
      <c r="C75407" t="inlineStr">
        <is>
          <t>2106-05-14</t>
        </is>
      </c>
    </row>
    <row r="75408">
      <c r="A75408" s="1" t="n">
        <v>75407</v>
      </c>
      <c r="B75408">
        <f>TEXT(75407, "[$-0E0000]yyyy-mm-dd")</f>
        <v/>
      </c>
      <c r="C75408" t="inlineStr">
        <is>
          <t>2106-05-15</t>
        </is>
      </c>
    </row>
    <row r="75409">
      <c r="A75409" s="1" t="n">
        <v>75408</v>
      </c>
      <c r="B75409">
        <f>TEXT(75408, "[$-0E0000]yyyy-mm-dd")</f>
        <v/>
      </c>
      <c r="C75409" t="inlineStr">
        <is>
          <t>2106-05-16</t>
        </is>
      </c>
    </row>
    <row r="75410">
      <c r="A75410" s="1" t="n">
        <v>75409</v>
      </c>
      <c r="B75410">
        <f>TEXT(75409, "[$-0E0000]yyyy-mm-dd")</f>
        <v/>
      </c>
      <c r="C75410" t="inlineStr">
        <is>
          <t>2106-05-17</t>
        </is>
      </c>
    </row>
    <row r="75411">
      <c r="A75411" s="1" t="n">
        <v>75410</v>
      </c>
      <c r="B75411">
        <f>TEXT(75410, "[$-0E0000]yyyy-mm-dd")</f>
        <v/>
      </c>
      <c r="C75411" t="inlineStr">
        <is>
          <t>2106-05-18</t>
        </is>
      </c>
    </row>
    <row r="75412">
      <c r="A75412" s="1" t="n">
        <v>75411</v>
      </c>
      <c r="B75412">
        <f>TEXT(75411, "[$-0E0000]yyyy-mm-dd")</f>
        <v/>
      </c>
      <c r="C75412" t="inlineStr">
        <is>
          <t>2106-05-19</t>
        </is>
      </c>
    </row>
    <row r="75413">
      <c r="A75413" s="1" t="n">
        <v>75412</v>
      </c>
      <c r="B75413">
        <f>TEXT(75412, "[$-0E0000]yyyy-mm-dd")</f>
        <v/>
      </c>
      <c r="C75413" t="inlineStr">
        <is>
          <t>2106-05-20</t>
        </is>
      </c>
    </row>
    <row r="75414">
      <c r="A75414" s="1" t="n">
        <v>75413</v>
      </c>
      <c r="B75414">
        <f>TEXT(75413, "[$-0E0000]yyyy-mm-dd")</f>
        <v/>
      </c>
      <c r="C75414" t="inlineStr">
        <is>
          <t>2106-05-21</t>
        </is>
      </c>
    </row>
    <row r="75415">
      <c r="A75415" s="1" t="n">
        <v>75414</v>
      </c>
      <c r="B75415">
        <f>TEXT(75414, "[$-0E0000]yyyy-mm-dd")</f>
        <v/>
      </c>
      <c r="C75415" t="inlineStr">
        <is>
          <t>2106-05-22</t>
        </is>
      </c>
    </row>
    <row r="75416">
      <c r="A75416" s="1" t="n">
        <v>75415</v>
      </c>
      <c r="B75416">
        <f>TEXT(75415, "[$-0E0000]yyyy-mm-dd")</f>
        <v/>
      </c>
      <c r="C75416" t="inlineStr">
        <is>
          <t>2106-05-23</t>
        </is>
      </c>
    </row>
    <row r="75417">
      <c r="A75417" s="1" t="n">
        <v>75416</v>
      </c>
      <c r="B75417">
        <f>TEXT(75416, "[$-0E0000]yyyy-mm-dd")</f>
        <v/>
      </c>
      <c r="C75417" t="inlineStr">
        <is>
          <t>2106-05-24</t>
        </is>
      </c>
    </row>
    <row r="75418">
      <c r="A75418" s="1" t="n">
        <v>75417</v>
      </c>
      <c r="B75418">
        <f>TEXT(75417, "[$-0E0000]yyyy-mm-dd")</f>
        <v/>
      </c>
      <c r="C75418" t="inlineStr">
        <is>
          <t>2106-05-25</t>
        </is>
      </c>
    </row>
    <row r="75419">
      <c r="A75419" s="1" t="n">
        <v>75418</v>
      </c>
      <c r="B75419">
        <f>TEXT(75418, "[$-0E0000]yyyy-mm-dd")</f>
        <v/>
      </c>
      <c r="C75419" t="inlineStr">
        <is>
          <t>2106-05-26</t>
        </is>
      </c>
    </row>
    <row r="75420">
      <c r="A75420" s="1" t="n">
        <v>75419</v>
      </c>
      <c r="B75420">
        <f>TEXT(75419, "[$-0E0000]yyyy-mm-dd")</f>
        <v/>
      </c>
      <c r="C75420" t="inlineStr">
        <is>
          <t>2106-05-27</t>
        </is>
      </c>
    </row>
    <row r="75421">
      <c r="A75421" s="1" t="n">
        <v>75420</v>
      </c>
      <c r="B75421">
        <f>TEXT(75420, "[$-0E0000]yyyy-mm-dd")</f>
        <v/>
      </c>
      <c r="C75421" t="inlineStr">
        <is>
          <t>2106-05-28</t>
        </is>
      </c>
    </row>
    <row r="75422">
      <c r="A75422" s="1" t="n">
        <v>75421</v>
      </c>
      <c r="B75422">
        <f>TEXT(75421, "[$-0E0000]yyyy-mm-dd")</f>
        <v/>
      </c>
      <c r="C75422" t="inlineStr">
        <is>
          <t>2106-05-29</t>
        </is>
      </c>
    </row>
    <row r="75423">
      <c r="A75423" s="1" t="n">
        <v>75422</v>
      </c>
      <c r="B75423">
        <f>TEXT(75422, "[$-0E0000]yyyy-mm-dd")</f>
        <v/>
      </c>
      <c r="C75423" t="inlineStr">
        <is>
          <t>2106-06-01</t>
        </is>
      </c>
    </row>
    <row r="75424">
      <c r="A75424" s="1" t="n">
        <v>75423</v>
      </c>
      <c r="B75424">
        <f>TEXT(75423, "[$-0E0000]yyyy-mm-dd")</f>
        <v/>
      </c>
      <c r="C75424" t="inlineStr">
        <is>
          <t>2106-06-02</t>
        </is>
      </c>
    </row>
    <row r="75425">
      <c r="A75425" s="1" t="n">
        <v>75424</v>
      </c>
      <c r="B75425">
        <f>TEXT(75424, "[$-0E0000]yyyy-mm-dd")</f>
        <v/>
      </c>
      <c r="C75425" t="inlineStr">
        <is>
          <t>2106-06-03</t>
        </is>
      </c>
    </row>
    <row r="75426">
      <c r="A75426" s="1" t="n">
        <v>75425</v>
      </c>
      <c r="B75426">
        <f>TEXT(75425, "[$-0E0000]yyyy-mm-dd")</f>
        <v/>
      </c>
      <c r="C75426" t="inlineStr">
        <is>
          <t>2106-06-04</t>
        </is>
      </c>
    </row>
    <row r="75427">
      <c r="A75427" s="1" t="n">
        <v>75426</v>
      </c>
      <c r="B75427">
        <f>TEXT(75426, "[$-0E0000]yyyy-mm-dd")</f>
        <v/>
      </c>
      <c r="C75427" t="inlineStr">
        <is>
          <t>2106-06-05</t>
        </is>
      </c>
    </row>
    <row r="75428">
      <c r="A75428" s="1" t="n">
        <v>75427</v>
      </c>
      <c r="B75428">
        <f>TEXT(75427, "[$-0E0000]yyyy-mm-dd")</f>
        <v/>
      </c>
      <c r="C75428" t="inlineStr">
        <is>
          <t>2106-06-06</t>
        </is>
      </c>
    </row>
    <row r="75429">
      <c r="A75429" s="1" t="n">
        <v>75428</v>
      </c>
      <c r="B75429">
        <f>TEXT(75428, "[$-0E0000]yyyy-mm-dd")</f>
        <v/>
      </c>
      <c r="C75429" t="inlineStr">
        <is>
          <t>2106-06-07</t>
        </is>
      </c>
    </row>
    <row r="75430">
      <c r="A75430" s="1" t="n">
        <v>75429</v>
      </c>
      <c r="B75430">
        <f>TEXT(75429, "[$-0E0000]yyyy-mm-dd")</f>
        <v/>
      </c>
      <c r="C75430" t="inlineStr">
        <is>
          <t>2106-06-08</t>
        </is>
      </c>
    </row>
    <row r="75431">
      <c r="A75431" s="1" t="n">
        <v>75430</v>
      </c>
      <c r="B75431">
        <f>TEXT(75430, "[$-0E0000]yyyy-mm-dd")</f>
        <v/>
      </c>
      <c r="C75431" t="inlineStr">
        <is>
          <t>2106-06-09</t>
        </is>
      </c>
    </row>
    <row r="75432">
      <c r="A75432" s="1" t="n">
        <v>75431</v>
      </c>
      <c r="B75432">
        <f>TEXT(75431, "[$-0E0000]yyyy-mm-dd")</f>
        <v/>
      </c>
      <c r="C75432" t="inlineStr">
        <is>
          <t>2106-06-10</t>
        </is>
      </c>
    </row>
    <row r="75433">
      <c r="A75433" s="1" t="n">
        <v>75432</v>
      </c>
      <c r="B75433">
        <f>TEXT(75432, "[$-0E0000]yyyy-mm-dd")</f>
        <v/>
      </c>
      <c r="C75433" t="inlineStr">
        <is>
          <t>2106-06-11</t>
        </is>
      </c>
    </row>
    <row r="75434">
      <c r="A75434" s="1" t="n">
        <v>75433</v>
      </c>
      <c r="B75434">
        <f>TEXT(75433, "[$-0E0000]yyyy-mm-dd")</f>
        <v/>
      </c>
      <c r="C75434" t="inlineStr">
        <is>
          <t>2106-06-12</t>
        </is>
      </c>
    </row>
    <row r="75435">
      <c r="A75435" s="1" t="n">
        <v>75434</v>
      </c>
      <c r="B75435">
        <f>TEXT(75434, "[$-0E0000]yyyy-mm-dd")</f>
        <v/>
      </c>
      <c r="C75435" t="inlineStr">
        <is>
          <t>2106-06-13</t>
        </is>
      </c>
    </row>
    <row r="75436">
      <c r="A75436" s="1" t="n">
        <v>75435</v>
      </c>
      <c r="B75436">
        <f>TEXT(75435, "[$-0E0000]yyyy-mm-dd")</f>
        <v/>
      </c>
      <c r="C75436" t="inlineStr">
        <is>
          <t>2106-06-14</t>
        </is>
      </c>
    </row>
    <row r="75437">
      <c r="A75437" s="1" t="n">
        <v>75436</v>
      </c>
      <c r="B75437">
        <f>TEXT(75436, "[$-0E0000]yyyy-mm-dd")</f>
        <v/>
      </c>
      <c r="C75437" t="inlineStr">
        <is>
          <t>2106-06-15</t>
        </is>
      </c>
    </row>
    <row r="75438">
      <c r="A75438" s="1" t="n">
        <v>75437</v>
      </c>
      <c r="B75438">
        <f>TEXT(75437, "[$-0E0000]yyyy-mm-dd")</f>
        <v/>
      </c>
      <c r="C75438" t="inlineStr">
        <is>
          <t>2106-06-16</t>
        </is>
      </c>
    </row>
    <row r="75439">
      <c r="A75439" s="1" t="n">
        <v>75438</v>
      </c>
      <c r="B75439">
        <f>TEXT(75438, "[$-0E0000]yyyy-mm-dd")</f>
        <v/>
      </c>
      <c r="C75439" t="inlineStr">
        <is>
          <t>2106-06-17</t>
        </is>
      </c>
    </row>
    <row r="75440">
      <c r="A75440" s="1" t="n">
        <v>75439</v>
      </c>
      <c r="B75440">
        <f>TEXT(75439, "[$-0E0000]yyyy-mm-dd")</f>
        <v/>
      </c>
      <c r="C75440" t="inlineStr">
        <is>
          <t>2106-06-18</t>
        </is>
      </c>
    </row>
    <row r="75441">
      <c r="A75441" s="1" t="n">
        <v>75440</v>
      </c>
      <c r="B75441">
        <f>TEXT(75440, "[$-0E0000]yyyy-mm-dd")</f>
        <v/>
      </c>
      <c r="C75441" t="inlineStr">
        <is>
          <t>2106-06-19</t>
        </is>
      </c>
    </row>
    <row r="75442">
      <c r="A75442" s="1" t="n">
        <v>75441</v>
      </c>
      <c r="B75442">
        <f>TEXT(75441, "[$-0E0000]yyyy-mm-dd")</f>
        <v/>
      </c>
      <c r="C75442" t="inlineStr">
        <is>
          <t>2106-06-20</t>
        </is>
      </c>
    </row>
    <row r="75443">
      <c r="A75443" s="1" t="n">
        <v>75442</v>
      </c>
      <c r="B75443">
        <f>TEXT(75442, "[$-0E0000]yyyy-mm-dd")</f>
        <v/>
      </c>
      <c r="C75443" t="inlineStr">
        <is>
          <t>2106-06-21</t>
        </is>
      </c>
    </row>
    <row r="75444">
      <c r="A75444" s="1" t="n">
        <v>75443</v>
      </c>
      <c r="B75444">
        <f>TEXT(75443, "[$-0E0000]yyyy-mm-dd")</f>
        <v/>
      </c>
      <c r="C75444" t="inlineStr">
        <is>
          <t>2106-06-22</t>
        </is>
      </c>
    </row>
    <row r="75445">
      <c r="A75445" s="1" t="n">
        <v>75444</v>
      </c>
      <c r="B75445">
        <f>TEXT(75444, "[$-0E0000]yyyy-mm-dd")</f>
        <v/>
      </c>
      <c r="C75445" t="inlineStr">
        <is>
          <t>2106-06-23</t>
        </is>
      </c>
    </row>
    <row r="75446">
      <c r="A75446" s="1" t="n">
        <v>75445</v>
      </c>
      <c r="B75446">
        <f>TEXT(75445, "[$-0E0000]yyyy-mm-dd")</f>
        <v/>
      </c>
      <c r="C75446" t="inlineStr">
        <is>
          <t>2106-06-24</t>
        </is>
      </c>
    </row>
    <row r="75447">
      <c r="A75447" s="1" t="n">
        <v>75446</v>
      </c>
      <c r="B75447">
        <f>TEXT(75446, "[$-0E0000]yyyy-mm-dd")</f>
        <v/>
      </c>
      <c r="C75447" t="inlineStr">
        <is>
          <t>2106-06-25</t>
        </is>
      </c>
    </row>
    <row r="75448">
      <c r="A75448" s="1" t="n">
        <v>75447</v>
      </c>
      <c r="B75448">
        <f>TEXT(75447, "[$-0E0000]yyyy-mm-dd")</f>
        <v/>
      </c>
      <c r="C75448" t="inlineStr">
        <is>
          <t>2106-06-26</t>
        </is>
      </c>
    </row>
    <row r="75449">
      <c r="A75449" s="1" t="n">
        <v>75448</v>
      </c>
      <c r="B75449">
        <f>TEXT(75448, "[$-0E0000]yyyy-mm-dd")</f>
        <v/>
      </c>
      <c r="C75449" t="inlineStr">
        <is>
          <t>2106-06-27</t>
        </is>
      </c>
    </row>
    <row r="75450">
      <c r="A75450" s="1" t="n">
        <v>75449</v>
      </c>
      <c r="B75450">
        <f>TEXT(75449, "[$-0E0000]yyyy-mm-dd")</f>
        <v/>
      </c>
      <c r="C75450" t="inlineStr">
        <is>
          <t>2106-06-28</t>
        </is>
      </c>
    </row>
    <row r="75451">
      <c r="A75451" s="1" t="n">
        <v>75450</v>
      </c>
      <c r="B75451">
        <f>TEXT(75450, "[$-0E0000]yyyy-mm-dd")</f>
        <v/>
      </c>
      <c r="C75451" t="inlineStr">
        <is>
          <t>2106-06-29</t>
        </is>
      </c>
    </row>
    <row r="75452">
      <c r="A75452" s="1" t="n">
        <v>75451</v>
      </c>
      <c r="B75452">
        <f>TEXT(75451, "[$-0E0000]yyyy-mm-dd")</f>
        <v/>
      </c>
      <c r="C75452" t="inlineStr">
        <is>
          <t>2106-06-30</t>
        </is>
      </c>
    </row>
    <row r="75453">
      <c r="A75453" s="1" t="n">
        <v>75452</v>
      </c>
      <c r="B75453">
        <f>TEXT(75452, "[$-0E0000]yyyy-mm-dd")</f>
        <v/>
      </c>
      <c r="C75453" t="inlineStr">
        <is>
          <t>2106-07-01</t>
        </is>
      </c>
    </row>
    <row r="75454">
      <c r="A75454" s="1" t="n">
        <v>75453</v>
      </c>
      <c r="B75454">
        <f>TEXT(75453, "[$-0E0000]yyyy-mm-dd")</f>
        <v/>
      </c>
      <c r="C75454" t="inlineStr">
        <is>
          <t>2106-07-02</t>
        </is>
      </c>
    </row>
    <row r="75455">
      <c r="A75455" s="1" t="n">
        <v>75454</v>
      </c>
      <c r="B75455">
        <f>TEXT(75454, "[$-0E0000]yyyy-mm-dd")</f>
        <v/>
      </c>
      <c r="C75455" t="inlineStr">
        <is>
          <t>2106-07-03</t>
        </is>
      </c>
    </row>
    <row r="75456">
      <c r="A75456" s="1" t="n">
        <v>75455</v>
      </c>
      <c r="B75456">
        <f>TEXT(75455, "[$-0E0000]yyyy-mm-dd")</f>
        <v/>
      </c>
      <c r="C75456" t="inlineStr">
        <is>
          <t>2106-07-04</t>
        </is>
      </c>
    </row>
    <row r="75457">
      <c r="A75457" s="1" t="n">
        <v>75456</v>
      </c>
      <c r="B75457">
        <f>TEXT(75456, "[$-0E0000]yyyy-mm-dd")</f>
        <v/>
      </c>
      <c r="C75457" t="inlineStr">
        <is>
          <t>2106-07-05</t>
        </is>
      </c>
    </row>
    <row r="75458">
      <c r="A75458" s="1" t="n">
        <v>75457</v>
      </c>
      <c r="B75458">
        <f>TEXT(75457, "[$-0E0000]yyyy-mm-dd")</f>
        <v/>
      </c>
      <c r="C75458" t="inlineStr">
        <is>
          <t>2106-07-06</t>
        </is>
      </c>
    </row>
    <row r="75459">
      <c r="A75459" s="1" t="n">
        <v>75458</v>
      </c>
      <c r="B75459">
        <f>TEXT(75458, "[$-0E0000]yyyy-mm-dd")</f>
        <v/>
      </c>
      <c r="C75459" t="inlineStr">
        <is>
          <t>2106-07-07</t>
        </is>
      </c>
    </row>
    <row r="75460">
      <c r="A75460" s="1" t="n">
        <v>75459</v>
      </c>
      <c r="B75460">
        <f>TEXT(75459, "[$-0E0000]yyyy-mm-dd")</f>
        <v/>
      </c>
      <c r="C75460" t="inlineStr">
        <is>
          <t>2106-07-08</t>
        </is>
      </c>
    </row>
    <row r="75461">
      <c r="A75461" s="1" t="n">
        <v>75460</v>
      </c>
      <c r="B75461">
        <f>TEXT(75460, "[$-0E0000]yyyy-mm-dd")</f>
        <v/>
      </c>
      <c r="C75461" t="inlineStr">
        <is>
          <t>2106-07-09</t>
        </is>
      </c>
    </row>
    <row r="75462">
      <c r="A75462" s="1" t="n">
        <v>75461</v>
      </c>
      <c r="B75462">
        <f>TEXT(75461, "[$-0E0000]yyyy-mm-dd")</f>
        <v/>
      </c>
      <c r="C75462" t="inlineStr">
        <is>
          <t>2106-07-10</t>
        </is>
      </c>
    </row>
    <row r="75463">
      <c r="A75463" s="1" t="n">
        <v>75462</v>
      </c>
      <c r="B75463">
        <f>TEXT(75462, "[$-0E0000]yyyy-mm-dd")</f>
        <v/>
      </c>
      <c r="C75463" t="inlineStr">
        <is>
          <t>2106-07-11</t>
        </is>
      </c>
    </row>
    <row r="75464">
      <c r="A75464" s="1" t="n">
        <v>75463</v>
      </c>
      <c r="B75464">
        <f>TEXT(75463, "[$-0E0000]yyyy-mm-dd")</f>
        <v/>
      </c>
      <c r="C75464" t="inlineStr">
        <is>
          <t>2106-07-12</t>
        </is>
      </c>
    </row>
    <row r="75465">
      <c r="A75465" s="1" t="n">
        <v>75464</v>
      </c>
      <c r="B75465">
        <f>TEXT(75464, "[$-0E0000]yyyy-mm-dd")</f>
        <v/>
      </c>
      <c r="C75465" t="inlineStr">
        <is>
          <t>2106-07-13</t>
        </is>
      </c>
    </row>
    <row r="75466">
      <c r="A75466" s="1" t="n">
        <v>75465</v>
      </c>
      <c r="B75466">
        <f>TEXT(75465, "[$-0E0000]yyyy-mm-dd")</f>
        <v/>
      </c>
      <c r="C75466" t="inlineStr">
        <is>
          <t>2106-07-14</t>
        </is>
      </c>
    </row>
    <row r="75467">
      <c r="A75467" s="1" t="n">
        <v>75466</v>
      </c>
      <c r="B75467">
        <f>TEXT(75466, "[$-0E0000]yyyy-mm-dd")</f>
        <v/>
      </c>
      <c r="C75467" t="inlineStr">
        <is>
          <t>2106-07-15</t>
        </is>
      </c>
    </row>
    <row r="75468">
      <c r="A75468" s="1" t="n">
        <v>75467</v>
      </c>
      <c r="B75468">
        <f>TEXT(75467, "[$-0E0000]yyyy-mm-dd")</f>
        <v/>
      </c>
      <c r="C75468" t="inlineStr">
        <is>
          <t>2106-07-16</t>
        </is>
      </c>
    </row>
    <row r="75469">
      <c r="A75469" s="1" t="n">
        <v>75468</v>
      </c>
      <c r="B75469">
        <f>TEXT(75468, "[$-0E0000]yyyy-mm-dd")</f>
        <v/>
      </c>
      <c r="C75469" t="inlineStr">
        <is>
          <t>2106-07-17</t>
        </is>
      </c>
    </row>
    <row r="75470">
      <c r="A75470" s="1" t="n">
        <v>75469</v>
      </c>
      <c r="B75470">
        <f>TEXT(75469, "[$-0E0000]yyyy-mm-dd")</f>
        <v/>
      </c>
      <c r="C75470" t="inlineStr">
        <is>
          <t>2106-07-18</t>
        </is>
      </c>
    </row>
    <row r="75471">
      <c r="A75471" s="1" t="n">
        <v>75470</v>
      </c>
      <c r="B75471">
        <f>TEXT(75470, "[$-0E0000]yyyy-mm-dd")</f>
        <v/>
      </c>
      <c r="C75471" t="inlineStr">
        <is>
          <t>2106-07-19</t>
        </is>
      </c>
    </row>
    <row r="75472">
      <c r="A75472" s="1" t="n">
        <v>75471</v>
      </c>
      <c r="B75472">
        <f>TEXT(75471, "[$-0E0000]yyyy-mm-dd")</f>
        <v/>
      </c>
      <c r="C75472" t="inlineStr">
        <is>
          <t>2106-07-20</t>
        </is>
      </c>
    </row>
    <row r="75473">
      <c r="A75473" s="1" t="n">
        <v>75472</v>
      </c>
      <c r="B75473">
        <f>TEXT(75472, "[$-0E0000]yyyy-mm-dd")</f>
        <v/>
      </c>
      <c r="C75473" t="inlineStr">
        <is>
          <t>2106-07-21</t>
        </is>
      </c>
    </row>
    <row r="75474">
      <c r="A75474" s="1" t="n">
        <v>75473</v>
      </c>
      <c r="B75474">
        <f>TEXT(75473, "[$-0E0000]yyyy-mm-dd")</f>
        <v/>
      </c>
      <c r="C75474" t="inlineStr">
        <is>
          <t>2106-07-22</t>
        </is>
      </c>
    </row>
    <row r="75475">
      <c r="A75475" s="1" t="n">
        <v>75474</v>
      </c>
      <c r="B75475">
        <f>TEXT(75474, "[$-0E0000]yyyy-mm-dd")</f>
        <v/>
      </c>
      <c r="C75475" t="inlineStr">
        <is>
          <t>2106-07-23</t>
        </is>
      </c>
    </row>
    <row r="75476">
      <c r="A75476" s="1" t="n">
        <v>75475</v>
      </c>
      <c r="B75476">
        <f>TEXT(75475, "[$-0E0000]yyyy-mm-dd")</f>
        <v/>
      </c>
      <c r="C75476" t="inlineStr">
        <is>
          <t>2106-07-24</t>
        </is>
      </c>
    </row>
    <row r="75477">
      <c r="A75477" s="1" t="n">
        <v>75476</v>
      </c>
      <c r="B75477">
        <f>TEXT(75476, "[$-0E0000]yyyy-mm-dd")</f>
        <v/>
      </c>
      <c r="C75477" t="inlineStr">
        <is>
          <t>2106-07-25</t>
        </is>
      </c>
    </row>
    <row r="75478">
      <c r="A75478" s="1" t="n">
        <v>75477</v>
      </c>
      <c r="B75478">
        <f>TEXT(75477, "[$-0E0000]yyyy-mm-dd")</f>
        <v/>
      </c>
      <c r="C75478" t="inlineStr">
        <is>
          <t>2106-07-26</t>
        </is>
      </c>
    </row>
    <row r="75479">
      <c r="A75479" s="1" t="n">
        <v>75478</v>
      </c>
      <c r="B75479">
        <f>TEXT(75478, "[$-0E0000]yyyy-mm-dd")</f>
        <v/>
      </c>
      <c r="C75479" t="inlineStr">
        <is>
          <t>2106-07-27</t>
        </is>
      </c>
    </row>
    <row r="75480">
      <c r="A75480" s="1" t="n">
        <v>75479</v>
      </c>
      <c r="B75480">
        <f>TEXT(75479, "[$-0E0000]yyyy-mm-dd")</f>
        <v/>
      </c>
      <c r="C75480" t="inlineStr">
        <is>
          <t>2106-07-28</t>
        </is>
      </c>
    </row>
    <row r="75481">
      <c r="A75481" s="1" t="n">
        <v>75480</v>
      </c>
      <c r="B75481">
        <f>TEXT(75480, "[$-0E0000]yyyy-mm-dd")</f>
        <v/>
      </c>
      <c r="C75481" t="inlineStr">
        <is>
          <t>2106-07-29</t>
        </is>
      </c>
    </row>
    <row r="75482">
      <c r="A75482" s="1" t="n">
        <v>75481</v>
      </c>
      <c r="B75482">
        <f>TEXT(75481, "[$-0E0000]yyyy-mm-dd")</f>
        <v/>
      </c>
      <c r="C75482" t="inlineStr">
        <is>
          <t>2106-08-01</t>
        </is>
      </c>
    </row>
    <row r="75483">
      <c r="A75483" s="1" t="n">
        <v>75482</v>
      </c>
      <c r="B75483">
        <f>TEXT(75482, "[$-0E0000]yyyy-mm-dd")</f>
        <v/>
      </c>
      <c r="C75483" t="inlineStr">
        <is>
          <t>2106-08-02</t>
        </is>
      </c>
    </row>
    <row r="75484">
      <c r="A75484" s="1" t="n">
        <v>75483</v>
      </c>
      <c r="B75484">
        <f>TEXT(75483, "[$-0E0000]yyyy-mm-dd")</f>
        <v/>
      </c>
      <c r="C75484" t="inlineStr">
        <is>
          <t>2106-08-03</t>
        </is>
      </c>
    </row>
    <row r="75485">
      <c r="A75485" s="1" t="n">
        <v>75484</v>
      </c>
      <c r="B75485">
        <f>TEXT(75484, "[$-0E0000]yyyy-mm-dd")</f>
        <v/>
      </c>
      <c r="C75485" t="inlineStr">
        <is>
          <t>2106-08-04</t>
        </is>
      </c>
    </row>
    <row r="75486">
      <c r="A75486" s="1" t="n">
        <v>75485</v>
      </c>
      <c r="B75486">
        <f>TEXT(75485, "[$-0E0000]yyyy-mm-dd")</f>
        <v/>
      </c>
      <c r="C75486" t="inlineStr">
        <is>
          <t>2106-08-05</t>
        </is>
      </c>
    </row>
    <row r="75487">
      <c r="A75487" s="1" t="n">
        <v>75486</v>
      </c>
      <c r="B75487">
        <f>TEXT(75486, "[$-0E0000]yyyy-mm-dd")</f>
        <v/>
      </c>
      <c r="C75487" t="inlineStr">
        <is>
          <t>2106-08-06</t>
        </is>
      </c>
    </row>
    <row r="75488">
      <c r="A75488" s="1" t="n">
        <v>75487</v>
      </c>
      <c r="B75488">
        <f>TEXT(75487, "[$-0E0000]yyyy-mm-dd")</f>
        <v/>
      </c>
      <c r="C75488" t="inlineStr">
        <is>
          <t>2106-08-07</t>
        </is>
      </c>
    </row>
    <row r="75489">
      <c r="A75489" s="1" t="n">
        <v>75488</v>
      </c>
      <c r="B75489">
        <f>TEXT(75488, "[$-0E0000]yyyy-mm-dd")</f>
        <v/>
      </c>
      <c r="C75489" t="inlineStr">
        <is>
          <t>2106-08-08</t>
        </is>
      </c>
    </row>
    <row r="75490">
      <c r="A75490" s="1" t="n">
        <v>75489</v>
      </c>
      <c r="B75490">
        <f>TEXT(75489, "[$-0E0000]yyyy-mm-dd")</f>
        <v/>
      </c>
      <c r="C75490" t="inlineStr">
        <is>
          <t>2106-08-09</t>
        </is>
      </c>
    </row>
    <row r="75491">
      <c r="A75491" s="1" t="n">
        <v>75490</v>
      </c>
      <c r="B75491">
        <f>TEXT(75490, "[$-0E0000]yyyy-mm-dd")</f>
        <v/>
      </c>
      <c r="C75491" t="inlineStr">
        <is>
          <t>2106-08-10</t>
        </is>
      </c>
    </row>
    <row r="75492">
      <c r="A75492" s="1" t="n">
        <v>75491</v>
      </c>
      <c r="B75492">
        <f>TEXT(75491, "[$-0E0000]yyyy-mm-dd")</f>
        <v/>
      </c>
      <c r="C75492" t="inlineStr">
        <is>
          <t>2106-08-11</t>
        </is>
      </c>
    </row>
    <row r="75493">
      <c r="A75493" s="1" t="n">
        <v>75492</v>
      </c>
      <c r="B75493">
        <f>TEXT(75492, "[$-0E0000]yyyy-mm-dd")</f>
        <v/>
      </c>
      <c r="C75493" t="inlineStr">
        <is>
          <t>2106-08-12</t>
        </is>
      </c>
    </row>
    <row r="75494">
      <c r="A75494" s="1" t="n">
        <v>75493</v>
      </c>
      <c r="B75494">
        <f>TEXT(75493, "[$-0E0000]yyyy-mm-dd")</f>
        <v/>
      </c>
      <c r="C75494" t="inlineStr">
        <is>
          <t>2106-08-13</t>
        </is>
      </c>
    </row>
    <row r="75495">
      <c r="A75495" s="1" t="n">
        <v>75494</v>
      </c>
      <c r="B75495">
        <f>TEXT(75494, "[$-0E0000]yyyy-mm-dd")</f>
        <v/>
      </c>
      <c r="C75495" t="inlineStr">
        <is>
          <t>2106-08-14</t>
        </is>
      </c>
    </row>
    <row r="75496">
      <c r="A75496" s="1" t="n">
        <v>75495</v>
      </c>
      <c r="B75496">
        <f>TEXT(75495, "[$-0E0000]yyyy-mm-dd")</f>
        <v/>
      </c>
      <c r="C75496" t="inlineStr">
        <is>
          <t>2106-08-15</t>
        </is>
      </c>
    </row>
    <row r="75497">
      <c r="A75497" s="1" t="n">
        <v>75496</v>
      </c>
      <c r="B75497">
        <f>TEXT(75496, "[$-0E0000]yyyy-mm-dd")</f>
        <v/>
      </c>
      <c r="C75497" t="inlineStr">
        <is>
          <t>2106-08-16</t>
        </is>
      </c>
    </row>
    <row r="75498">
      <c r="A75498" s="1" t="n">
        <v>75497</v>
      </c>
      <c r="B75498">
        <f>TEXT(75497, "[$-0E0000]yyyy-mm-dd")</f>
        <v/>
      </c>
      <c r="C75498" t="inlineStr">
        <is>
          <t>2106-08-17</t>
        </is>
      </c>
    </row>
    <row r="75499">
      <c r="A75499" s="1" t="n">
        <v>75498</v>
      </c>
      <c r="B75499">
        <f>TEXT(75498, "[$-0E0000]yyyy-mm-dd")</f>
        <v/>
      </c>
      <c r="C75499" t="inlineStr">
        <is>
          <t>2106-08-18</t>
        </is>
      </c>
    </row>
    <row r="75500">
      <c r="A75500" s="1" t="n">
        <v>75499</v>
      </c>
      <c r="B75500">
        <f>TEXT(75499, "[$-0E0000]yyyy-mm-dd")</f>
        <v/>
      </c>
      <c r="C75500" t="inlineStr">
        <is>
          <t>2106-08-19</t>
        </is>
      </c>
    </row>
    <row r="75501">
      <c r="A75501" s="1" t="n">
        <v>75500</v>
      </c>
      <c r="B75501">
        <f>TEXT(75500, "[$-0E0000]yyyy-mm-dd")</f>
        <v/>
      </c>
      <c r="C75501" t="inlineStr">
        <is>
          <t>2106-08-20</t>
        </is>
      </c>
    </row>
    <row r="75502">
      <c r="A75502" s="1" t="n">
        <v>75501</v>
      </c>
      <c r="B75502">
        <f>TEXT(75501, "[$-0E0000]yyyy-mm-dd")</f>
        <v/>
      </c>
      <c r="C75502" t="inlineStr">
        <is>
          <t>2106-08-21</t>
        </is>
      </c>
    </row>
    <row r="75503">
      <c r="A75503" s="1" t="n">
        <v>75502</v>
      </c>
      <c r="B75503">
        <f>TEXT(75502, "[$-0E0000]yyyy-mm-dd")</f>
        <v/>
      </c>
      <c r="C75503" t="inlineStr">
        <is>
          <t>2106-08-22</t>
        </is>
      </c>
    </row>
    <row r="75504">
      <c r="A75504" s="1" t="n">
        <v>75503</v>
      </c>
      <c r="B75504">
        <f>TEXT(75503, "[$-0E0000]yyyy-mm-dd")</f>
        <v/>
      </c>
      <c r="C75504" t="inlineStr">
        <is>
          <t>2106-08-23</t>
        </is>
      </c>
    </row>
    <row r="75505">
      <c r="A75505" s="1" t="n">
        <v>75504</v>
      </c>
      <c r="B75505">
        <f>TEXT(75504, "[$-0E0000]yyyy-mm-dd")</f>
        <v/>
      </c>
      <c r="C75505" t="inlineStr">
        <is>
          <t>2106-08-24</t>
        </is>
      </c>
    </row>
    <row r="75506">
      <c r="A75506" s="1" t="n">
        <v>75505</v>
      </c>
      <c r="B75506">
        <f>TEXT(75505, "[$-0E0000]yyyy-mm-dd")</f>
        <v/>
      </c>
      <c r="C75506" t="inlineStr">
        <is>
          <t>2106-08-25</t>
        </is>
      </c>
    </row>
    <row r="75507">
      <c r="A75507" s="1" t="n">
        <v>75506</v>
      </c>
      <c r="B75507">
        <f>TEXT(75506, "[$-0E0000]yyyy-mm-dd")</f>
        <v/>
      </c>
      <c r="C75507" t="inlineStr">
        <is>
          <t>2106-08-26</t>
        </is>
      </c>
    </row>
    <row r="75508">
      <c r="A75508" s="1" t="n">
        <v>75507</v>
      </c>
      <c r="B75508">
        <f>TEXT(75507, "[$-0E0000]yyyy-mm-dd")</f>
        <v/>
      </c>
      <c r="C75508" t="inlineStr">
        <is>
          <t>2106-08-27</t>
        </is>
      </c>
    </row>
    <row r="75509">
      <c r="A75509" s="1" t="n">
        <v>75508</v>
      </c>
      <c r="B75509">
        <f>TEXT(75508, "[$-0E0000]yyyy-mm-dd")</f>
        <v/>
      </c>
      <c r="C75509" t="inlineStr">
        <is>
          <t>2106-08-28</t>
        </is>
      </c>
    </row>
    <row r="75510">
      <c r="A75510" s="1" t="n">
        <v>75509</v>
      </c>
      <c r="B75510">
        <f>TEXT(75509, "[$-0E0000]yyyy-mm-dd")</f>
        <v/>
      </c>
      <c r="C75510" t="inlineStr">
        <is>
          <t>2106-08-29</t>
        </is>
      </c>
    </row>
    <row r="75511">
      <c r="A75511" s="1" t="n">
        <v>75510</v>
      </c>
      <c r="B75511">
        <f>TEXT(75510, "[$-0E0000]yyyy-mm-dd")</f>
        <v/>
      </c>
      <c r="C75511" t="inlineStr">
        <is>
          <t>2106-09-01</t>
        </is>
      </c>
    </row>
    <row r="75512">
      <c r="A75512" s="1" t="n">
        <v>75511</v>
      </c>
      <c r="B75512">
        <f>TEXT(75511, "[$-0E0000]yyyy-mm-dd")</f>
        <v/>
      </c>
      <c r="C75512" t="inlineStr">
        <is>
          <t>2106-09-02</t>
        </is>
      </c>
    </row>
    <row r="75513">
      <c r="A75513" s="1" t="n">
        <v>75512</v>
      </c>
      <c r="B75513">
        <f>TEXT(75512, "[$-0E0000]yyyy-mm-dd")</f>
        <v/>
      </c>
      <c r="C75513" t="inlineStr">
        <is>
          <t>2106-09-03</t>
        </is>
      </c>
    </row>
    <row r="75514">
      <c r="A75514" s="1" t="n">
        <v>75513</v>
      </c>
      <c r="B75514">
        <f>TEXT(75513, "[$-0E0000]yyyy-mm-dd")</f>
        <v/>
      </c>
      <c r="C75514" t="inlineStr">
        <is>
          <t>2106-09-04</t>
        </is>
      </c>
    </row>
    <row r="75515">
      <c r="A75515" s="1" t="n">
        <v>75514</v>
      </c>
      <c r="B75515">
        <f>TEXT(75514, "[$-0E0000]yyyy-mm-dd")</f>
        <v/>
      </c>
      <c r="C75515" t="inlineStr">
        <is>
          <t>2106-09-05</t>
        </is>
      </c>
    </row>
    <row r="75516">
      <c r="A75516" s="1" t="n">
        <v>75515</v>
      </c>
      <c r="B75516">
        <f>TEXT(75515, "[$-0E0000]yyyy-mm-dd")</f>
        <v/>
      </c>
      <c r="C75516" t="inlineStr">
        <is>
          <t>2106-09-06</t>
        </is>
      </c>
    </row>
    <row r="75517">
      <c r="A75517" s="1" t="n">
        <v>75516</v>
      </c>
      <c r="B75517">
        <f>TEXT(75516, "[$-0E0000]yyyy-mm-dd")</f>
        <v/>
      </c>
      <c r="C75517" t="inlineStr">
        <is>
          <t>2106-09-07</t>
        </is>
      </c>
    </row>
    <row r="75518">
      <c r="A75518" s="1" t="n">
        <v>75517</v>
      </c>
      <c r="B75518">
        <f>TEXT(75517, "[$-0E0000]yyyy-mm-dd")</f>
        <v/>
      </c>
      <c r="C75518" t="inlineStr">
        <is>
          <t>2106-09-08</t>
        </is>
      </c>
    </row>
    <row r="75519">
      <c r="A75519" s="1" t="n">
        <v>75518</v>
      </c>
      <c r="B75519">
        <f>TEXT(75518, "[$-0E0000]yyyy-mm-dd")</f>
        <v/>
      </c>
      <c r="C75519" t="inlineStr">
        <is>
          <t>2106-09-09</t>
        </is>
      </c>
    </row>
    <row r="75520">
      <c r="A75520" s="1" t="n">
        <v>75519</v>
      </c>
      <c r="B75520">
        <f>TEXT(75519, "[$-0E0000]yyyy-mm-dd")</f>
        <v/>
      </c>
      <c r="C75520" t="inlineStr">
        <is>
          <t>2106-09-10</t>
        </is>
      </c>
    </row>
    <row r="75521">
      <c r="A75521" s="1" t="n">
        <v>75520</v>
      </c>
      <c r="B75521">
        <f>TEXT(75520, "[$-0E0000]yyyy-mm-dd")</f>
        <v/>
      </c>
      <c r="C75521" t="inlineStr">
        <is>
          <t>2106-09-11</t>
        </is>
      </c>
    </row>
    <row r="75522">
      <c r="A75522" s="1" t="n">
        <v>75521</v>
      </c>
      <c r="B75522">
        <f>TEXT(75521, "[$-0E0000]yyyy-mm-dd")</f>
        <v/>
      </c>
      <c r="C75522" t="inlineStr">
        <is>
          <t>2106-09-12</t>
        </is>
      </c>
    </row>
    <row r="75523">
      <c r="A75523" s="1" t="n">
        <v>75522</v>
      </c>
      <c r="B75523">
        <f>TEXT(75522, "[$-0E0000]yyyy-mm-dd")</f>
        <v/>
      </c>
      <c r="C75523" t="inlineStr">
        <is>
          <t>2106-09-13</t>
        </is>
      </c>
    </row>
    <row r="75524">
      <c r="A75524" s="1" t="n">
        <v>75523</v>
      </c>
      <c r="B75524">
        <f>TEXT(75523, "[$-0E0000]yyyy-mm-dd")</f>
        <v/>
      </c>
      <c r="C75524" t="inlineStr">
        <is>
          <t>2106-09-14</t>
        </is>
      </c>
    </row>
    <row r="75525">
      <c r="A75525" s="1" t="n">
        <v>75524</v>
      </c>
      <c r="B75525">
        <f>TEXT(75524, "[$-0E0000]yyyy-mm-dd")</f>
        <v/>
      </c>
      <c r="C75525" t="inlineStr">
        <is>
          <t>2106-09-15</t>
        </is>
      </c>
    </row>
    <row r="75526">
      <c r="A75526" s="1" t="n">
        <v>75525</v>
      </c>
      <c r="B75526">
        <f>TEXT(75525, "[$-0E0000]yyyy-mm-dd")</f>
        <v/>
      </c>
      <c r="C75526" t="inlineStr">
        <is>
          <t>2106-09-16</t>
        </is>
      </c>
    </row>
    <row r="75527">
      <c r="A75527" s="1" t="n">
        <v>75526</v>
      </c>
      <c r="B75527">
        <f>TEXT(75526, "[$-0E0000]yyyy-mm-dd")</f>
        <v/>
      </c>
      <c r="C75527" t="inlineStr">
        <is>
          <t>2106-09-17</t>
        </is>
      </c>
    </row>
    <row r="75528">
      <c r="A75528" s="1" t="n">
        <v>75527</v>
      </c>
      <c r="B75528">
        <f>TEXT(75527, "[$-0E0000]yyyy-mm-dd")</f>
        <v/>
      </c>
      <c r="C75528" t="inlineStr">
        <is>
          <t>2106-09-18</t>
        </is>
      </c>
    </row>
    <row r="75529">
      <c r="A75529" s="1" t="n">
        <v>75528</v>
      </c>
      <c r="B75529">
        <f>TEXT(75528, "[$-0E0000]yyyy-mm-dd")</f>
        <v/>
      </c>
      <c r="C75529" t="inlineStr">
        <is>
          <t>2106-09-19</t>
        </is>
      </c>
    </row>
    <row r="75530">
      <c r="A75530" s="1" t="n">
        <v>75529</v>
      </c>
      <c r="B75530">
        <f>TEXT(75529, "[$-0E0000]yyyy-mm-dd")</f>
        <v/>
      </c>
      <c r="C75530" t="inlineStr">
        <is>
          <t>2106-09-20</t>
        </is>
      </c>
    </row>
    <row r="75531">
      <c r="A75531" s="1" t="n">
        <v>75530</v>
      </c>
      <c r="B75531">
        <f>TEXT(75530, "[$-0E0000]yyyy-mm-dd")</f>
        <v/>
      </c>
      <c r="C75531" t="inlineStr">
        <is>
          <t>2106-09-21</t>
        </is>
      </c>
    </row>
    <row r="75532">
      <c r="A75532" s="1" t="n">
        <v>75531</v>
      </c>
      <c r="B75532">
        <f>TEXT(75531, "[$-0E0000]yyyy-mm-dd")</f>
        <v/>
      </c>
      <c r="C75532" t="inlineStr">
        <is>
          <t>2106-09-22</t>
        </is>
      </c>
    </row>
    <row r="75533">
      <c r="A75533" s="1" t="n">
        <v>75532</v>
      </c>
      <c r="B75533">
        <f>TEXT(75532, "[$-0E0000]yyyy-mm-dd")</f>
        <v/>
      </c>
      <c r="C75533" t="inlineStr">
        <is>
          <t>2106-09-23</t>
        </is>
      </c>
    </row>
    <row r="75534">
      <c r="A75534" s="1" t="n">
        <v>75533</v>
      </c>
      <c r="B75534">
        <f>TEXT(75533, "[$-0E0000]yyyy-mm-dd")</f>
        <v/>
      </c>
      <c r="C75534" t="inlineStr">
        <is>
          <t>2106-09-24</t>
        </is>
      </c>
    </row>
    <row r="75535">
      <c r="A75535" s="1" t="n">
        <v>75534</v>
      </c>
      <c r="B75535">
        <f>TEXT(75534, "[$-0E0000]yyyy-mm-dd")</f>
        <v/>
      </c>
      <c r="C75535" t="inlineStr">
        <is>
          <t>2106-09-25</t>
        </is>
      </c>
    </row>
    <row r="75536">
      <c r="A75536" s="1" t="n">
        <v>75535</v>
      </c>
      <c r="B75536">
        <f>TEXT(75535, "[$-0E0000]yyyy-mm-dd")</f>
        <v/>
      </c>
      <c r="C75536" t="inlineStr">
        <is>
          <t>2106-09-26</t>
        </is>
      </c>
    </row>
    <row r="75537">
      <c r="A75537" s="1" t="n">
        <v>75536</v>
      </c>
      <c r="B75537">
        <f>TEXT(75536, "[$-0E0000]yyyy-mm-dd")</f>
        <v/>
      </c>
      <c r="C75537" t="inlineStr">
        <is>
          <t>2106-09-27</t>
        </is>
      </c>
    </row>
    <row r="75538">
      <c r="A75538" s="1" t="n">
        <v>75537</v>
      </c>
      <c r="B75538">
        <f>TEXT(75537, "[$-0E0000]yyyy-mm-dd")</f>
        <v/>
      </c>
      <c r="C75538" t="inlineStr">
        <is>
          <t>2106-09-28</t>
        </is>
      </c>
    </row>
    <row r="75539">
      <c r="A75539" s="1" t="n">
        <v>75538</v>
      </c>
      <c r="B75539">
        <f>TEXT(75538, "[$-0E0000]yyyy-mm-dd")</f>
        <v/>
      </c>
      <c r="C75539" t="inlineStr">
        <is>
          <t>2106-09-29</t>
        </is>
      </c>
    </row>
    <row r="75540">
      <c r="A75540" s="1" t="n">
        <v>75539</v>
      </c>
      <c r="B75540">
        <f>TEXT(75539, "[$-0E0000]yyyy-mm-dd")</f>
        <v/>
      </c>
      <c r="C75540" t="inlineStr">
        <is>
          <t>2106-09-30</t>
        </is>
      </c>
    </row>
    <row r="75541">
      <c r="A75541" s="1" t="n">
        <v>75540</v>
      </c>
      <c r="B75541">
        <f>TEXT(75540, "[$-0E0000]yyyy-mm-dd")</f>
        <v/>
      </c>
      <c r="C75541" t="inlineStr">
        <is>
          <t>2106-10-01</t>
        </is>
      </c>
    </row>
    <row r="75542">
      <c r="A75542" s="1" t="n">
        <v>75541</v>
      </c>
      <c r="B75542">
        <f>TEXT(75541, "[$-0E0000]yyyy-mm-dd")</f>
        <v/>
      </c>
      <c r="C75542" t="inlineStr">
        <is>
          <t>2106-10-02</t>
        </is>
      </c>
    </row>
    <row r="75543">
      <c r="A75543" s="1" t="n">
        <v>75542</v>
      </c>
      <c r="B75543">
        <f>TEXT(75542, "[$-0E0000]yyyy-mm-dd")</f>
        <v/>
      </c>
      <c r="C75543" t="inlineStr">
        <is>
          <t>2106-10-03</t>
        </is>
      </c>
    </row>
    <row r="75544">
      <c r="A75544" s="1" t="n">
        <v>75543</v>
      </c>
      <c r="B75544">
        <f>TEXT(75543, "[$-0E0000]yyyy-mm-dd")</f>
        <v/>
      </c>
      <c r="C75544" t="inlineStr">
        <is>
          <t>2106-10-04</t>
        </is>
      </c>
    </row>
    <row r="75545">
      <c r="A75545" s="1" t="n">
        <v>75544</v>
      </c>
      <c r="B75545">
        <f>TEXT(75544, "[$-0E0000]yyyy-mm-dd")</f>
        <v/>
      </c>
      <c r="C75545" t="inlineStr">
        <is>
          <t>2106-10-05</t>
        </is>
      </c>
    </row>
    <row r="75546">
      <c r="A75546" s="1" t="n">
        <v>75545</v>
      </c>
      <c r="B75546">
        <f>TEXT(75545, "[$-0E0000]yyyy-mm-dd")</f>
        <v/>
      </c>
      <c r="C75546" t="inlineStr">
        <is>
          <t>2106-10-06</t>
        </is>
      </c>
    </row>
    <row r="75547">
      <c r="A75547" s="1" t="n">
        <v>75546</v>
      </c>
      <c r="B75547">
        <f>TEXT(75546, "[$-0E0000]yyyy-mm-dd")</f>
        <v/>
      </c>
      <c r="C75547" t="inlineStr">
        <is>
          <t>2106-10-07</t>
        </is>
      </c>
    </row>
    <row r="75548">
      <c r="A75548" s="1" t="n">
        <v>75547</v>
      </c>
      <c r="B75548">
        <f>TEXT(75547, "[$-0E0000]yyyy-mm-dd")</f>
        <v/>
      </c>
      <c r="C75548" t="inlineStr">
        <is>
          <t>2106-10-08</t>
        </is>
      </c>
    </row>
    <row r="75549">
      <c r="A75549" s="1" t="n">
        <v>75548</v>
      </c>
      <c r="B75549">
        <f>TEXT(75548, "[$-0E0000]yyyy-mm-dd")</f>
        <v/>
      </c>
      <c r="C75549" t="inlineStr">
        <is>
          <t>2106-10-09</t>
        </is>
      </c>
    </row>
    <row r="75550">
      <c r="A75550" s="1" t="n">
        <v>75549</v>
      </c>
      <c r="B75550">
        <f>TEXT(75549, "[$-0E0000]yyyy-mm-dd")</f>
        <v/>
      </c>
      <c r="C75550" t="inlineStr">
        <is>
          <t>2106-10-10</t>
        </is>
      </c>
    </row>
    <row r="75551">
      <c r="A75551" s="1" t="n">
        <v>75550</v>
      </c>
      <c r="B75551">
        <f>TEXT(75550, "[$-0E0000]yyyy-mm-dd")</f>
        <v/>
      </c>
      <c r="C75551" t="inlineStr">
        <is>
          <t>2106-10-11</t>
        </is>
      </c>
    </row>
    <row r="75552">
      <c r="A75552" s="1" t="n">
        <v>75551</v>
      </c>
      <c r="B75552">
        <f>TEXT(75551, "[$-0E0000]yyyy-mm-dd")</f>
        <v/>
      </c>
      <c r="C75552" t="inlineStr">
        <is>
          <t>2106-10-12</t>
        </is>
      </c>
    </row>
    <row r="75553">
      <c r="A75553" s="1" t="n">
        <v>75552</v>
      </c>
      <c r="B75553">
        <f>TEXT(75552, "[$-0E0000]yyyy-mm-dd")</f>
        <v/>
      </c>
      <c r="C75553" t="inlineStr">
        <is>
          <t>2106-10-13</t>
        </is>
      </c>
    </row>
    <row r="75554">
      <c r="A75554" s="1" t="n">
        <v>75553</v>
      </c>
      <c r="B75554">
        <f>TEXT(75553, "[$-0E0000]yyyy-mm-dd")</f>
        <v/>
      </c>
      <c r="C75554" t="inlineStr">
        <is>
          <t>2106-10-14</t>
        </is>
      </c>
    </row>
    <row r="75555">
      <c r="A75555" s="1" t="n">
        <v>75554</v>
      </c>
      <c r="B75555">
        <f>TEXT(75554, "[$-0E0000]yyyy-mm-dd")</f>
        <v/>
      </c>
      <c r="C75555" t="inlineStr">
        <is>
          <t>2106-10-15</t>
        </is>
      </c>
    </row>
    <row r="75556">
      <c r="A75556" s="1" t="n">
        <v>75555</v>
      </c>
      <c r="B75556">
        <f>TEXT(75555, "[$-0E0000]yyyy-mm-dd")</f>
        <v/>
      </c>
      <c r="C75556" t="inlineStr">
        <is>
          <t>2106-10-16</t>
        </is>
      </c>
    </row>
    <row r="75557">
      <c r="A75557" s="1" t="n">
        <v>75556</v>
      </c>
      <c r="B75557">
        <f>TEXT(75556, "[$-0E0000]yyyy-mm-dd")</f>
        <v/>
      </c>
      <c r="C75557" t="inlineStr">
        <is>
          <t>2106-10-17</t>
        </is>
      </c>
    </row>
    <row r="75558">
      <c r="A75558" s="1" t="n">
        <v>75557</v>
      </c>
      <c r="B75558">
        <f>TEXT(75557, "[$-0E0000]yyyy-mm-dd")</f>
        <v/>
      </c>
      <c r="C75558" t="inlineStr">
        <is>
          <t>2106-10-18</t>
        </is>
      </c>
    </row>
    <row r="75559">
      <c r="A75559" s="1" t="n">
        <v>75558</v>
      </c>
      <c r="B75559">
        <f>TEXT(75558, "[$-0E0000]yyyy-mm-dd")</f>
        <v/>
      </c>
      <c r="C75559" t="inlineStr">
        <is>
          <t>2106-10-19</t>
        </is>
      </c>
    </row>
    <row r="75560">
      <c r="A75560" s="1" t="n">
        <v>75559</v>
      </c>
      <c r="B75560">
        <f>TEXT(75559, "[$-0E0000]yyyy-mm-dd")</f>
        <v/>
      </c>
      <c r="C75560" t="inlineStr">
        <is>
          <t>2106-10-20</t>
        </is>
      </c>
    </row>
    <row r="75561">
      <c r="A75561" s="1" t="n">
        <v>75560</v>
      </c>
      <c r="B75561">
        <f>TEXT(75560, "[$-0E0000]yyyy-mm-dd")</f>
        <v/>
      </c>
      <c r="C75561" t="inlineStr">
        <is>
          <t>2106-10-21</t>
        </is>
      </c>
    </row>
    <row r="75562">
      <c r="A75562" s="1" t="n">
        <v>75561</v>
      </c>
      <c r="B75562">
        <f>TEXT(75561, "[$-0E0000]yyyy-mm-dd")</f>
        <v/>
      </c>
      <c r="C75562" t="inlineStr">
        <is>
          <t>2106-10-22</t>
        </is>
      </c>
    </row>
    <row r="75563">
      <c r="A75563" s="1" t="n">
        <v>75562</v>
      </c>
      <c r="B75563">
        <f>TEXT(75562, "[$-0E0000]yyyy-mm-dd")</f>
        <v/>
      </c>
      <c r="C75563" t="inlineStr">
        <is>
          <t>2106-10-23</t>
        </is>
      </c>
    </row>
    <row r="75564">
      <c r="A75564" s="1" t="n">
        <v>75563</v>
      </c>
      <c r="B75564">
        <f>TEXT(75563, "[$-0E0000]yyyy-mm-dd")</f>
        <v/>
      </c>
      <c r="C75564" t="inlineStr">
        <is>
          <t>2106-10-24</t>
        </is>
      </c>
    </row>
    <row r="75565">
      <c r="A75565" s="1" t="n">
        <v>75564</v>
      </c>
      <c r="B75565">
        <f>TEXT(75564, "[$-0E0000]yyyy-mm-dd")</f>
        <v/>
      </c>
      <c r="C75565" t="inlineStr">
        <is>
          <t>2106-10-25</t>
        </is>
      </c>
    </row>
    <row r="75566">
      <c r="A75566" s="1" t="n">
        <v>75565</v>
      </c>
      <c r="B75566">
        <f>TEXT(75565, "[$-0E0000]yyyy-mm-dd")</f>
        <v/>
      </c>
      <c r="C75566" t="inlineStr">
        <is>
          <t>2106-10-26</t>
        </is>
      </c>
    </row>
    <row r="75567">
      <c r="A75567" s="1" t="n">
        <v>75566</v>
      </c>
      <c r="B75567">
        <f>TEXT(75566, "[$-0E0000]yyyy-mm-dd")</f>
        <v/>
      </c>
      <c r="C75567" t="inlineStr">
        <is>
          <t>2106-10-27</t>
        </is>
      </c>
    </row>
    <row r="75568">
      <c r="A75568" s="1" t="n">
        <v>75567</v>
      </c>
      <c r="B75568">
        <f>TEXT(75567, "[$-0E0000]yyyy-mm-dd")</f>
        <v/>
      </c>
      <c r="C75568" t="inlineStr">
        <is>
          <t>2106-10-28</t>
        </is>
      </c>
    </row>
    <row r="75569">
      <c r="A75569" s="1" t="n">
        <v>75568</v>
      </c>
      <c r="B75569">
        <f>TEXT(75568, "[$-0E0000]yyyy-mm-dd")</f>
        <v/>
      </c>
      <c r="C75569" t="inlineStr">
        <is>
          <t>2106-10-29</t>
        </is>
      </c>
    </row>
    <row r="75570">
      <c r="A75570" s="1" t="n">
        <v>75569</v>
      </c>
      <c r="B75570">
        <f>TEXT(75569, "[$-0E0000]yyyy-mm-dd")</f>
        <v/>
      </c>
      <c r="C75570" t="inlineStr">
        <is>
          <t>2106-11-01</t>
        </is>
      </c>
    </row>
    <row r="75571">
      <c r="A75571" s="1" t="n">
        <v>75570</v>
      </c>
      <c r="B75571">
        <f>TEXT(75570, "[$-0E0000]yyyy-mm-dd")</f>
        <v/>
      </c>
      <c r="C75571" t="inlineStr">
        <is>
          <t>2106-11-02</t>
        </is>
      </c>
    </row>
    <row r="75572">
      <c r="A75572" s="1" t="n">
        <v>75571</v>
      </c>
      <c r="B75572">
        <f>TEXT(75571, "[$-0E0000]yyyy-mm-dd")</f>
        <v/>
      </c>
      <c r="C75572" t="inlineStr">
        <is>
          <t>2106-11-03</t>
        </is>
      </c>
    </row>
    <row r="75573">
      <c r="A75573" s="1" t="n">
        <v>75572</v>
      </c>
      <c r="B75573">
        <f>TEXT(75572, "[$-0E0000]yyyy-mm-dd")</f>
        <v/>
      </c>
      <c r="C75573" t="inlineStr">
        <is>
          <t>2106-11-04</t>
        </is>
      </c>
    </row>
    <row r="75574">
      <c r="A75574" s="1" t="n">
        <v>75573</v>
      </c>
      <c r="B75574">
        <f>TEXT(75573, "[$-0E0000]yyyy-mm-dd")</f>
        <v/>
      </c>
      <c r="C75574" t="inlineStr">
        <is>
          <t>2106-11-05</t>
        </is>
      </c>
    </row>
    <row r="75575">
      <c r="A75575" s="1" t="n">
        <v>75574</v>
      </c>
      <c r="B75575">
        <f>TEXT(75574, "[$-0E0000]yyyy-mm-dd")</f>
        <v/>
      </c>
      <c r="C75575" t="inlineStr">
        <is>
          <t>2106-11-06</t>
        </is>
      </c>
    </row>
    <row r="75576">
      <c r="A75576" s="1" t="n">
        <v>75575</v>
      </c>
      <c r="B75576">
        <f>TEXT(75575, "[$-0E0000]yyyy-mm-dd")</f>
        <v/>
      </c>
      <c r="C75576" t="inlineStr">
        <is>
          <t>2106-11-07</t>
        </is>
      </c>
    </row>
    <row r="75577">
      <c r="A75577" s="1" t="n">
        <v>75576</v>
      </c>
      <c r="B75577">
        <f>TEXT(75576, "[$-0E0000]yyyy-mm-dd")</f>
        <v/>
      </c>
      <c r="C75577" t="inlineStr">
        <is>
          <t>2106-11-08</t>
        </is>
      </c>
    </row>
    <row r="75578">
      <c r="A75578" s="1" t="n">
        <v>75577</v>
      </c>
      <c r="B75578">
        <f>TEXT(75577, "[$-0E0000]yyyy-mm-dd")</f>
        <v/>
      </c>
      <c r="C75578" t="inlineStr">
        <is>
          <t>2106-11-09</t>
        </is>
      </c>
    </row>
    <row r="75579">
      <c r="A75579" s="1" t="n">
        <v>75578</v>
      </c>
      <c r="B75579">
        <f>TEXT(75578, "[$-0E0000]yyyy-mm-dd")</f>
        <v/>
      </c>
      <c r="C75579" t="inlineStr">
        <is>
          <t>2106-11-10</t>
        </is>
      </c>
    </row>
    <row r="75580">
      <c r="A75580" s="1" t="n">
        <v>75579</v>
      </c>
      <c r="B75580">
        <f>TEXT(75579, "[$-0E0000]yyyy-mm-dd")</f>
        <v/>
      </c>
      <c r="C75580" t="inlineStr">
        <is>
          <t>2106-11-11</t>
        </is>
      </c>
    </row>
    <row r="75581">
      <c r="A75581" s="1" t="n">
        <v>75580</v>
      </c>
      <c r="B75581">
        <f>TEXT(75580, "[$-0E0000]yyyy-mm-dd")</f>
        <v/>
      </c>
      <c r="C75581" t="inlineStr">
        <is>
          <t>2106-11-12</t>
        </is>
      </c>
    </row>
    <row r="75582">
      <c r="A75582" s="1" t="n">
        <v>75581</v>
      </c>
      <c r="B75582">
        <f>TEXT(75581, "[$-0E0000]yyyy-mm-dd")</f>
        <v/>
      </c>
      <c r="C75582" t="inlineStr">
        <is>
          <t>2106-11-13</t>
        </is>
      </c>
    </row>
    <row r="75583">
      <c r="A75583" s="1" t="n">
        <v>75582</v>
      </c>
      <c r="B75583">
        <f>TEXT(75582, "[$-0E0000]yyyy-mm-dd")</f>
        <v/>
      </c>
      <c r="C75583" t="inlineStr">
        <is>
          <t>2106-11-14</t>
        </is>
      </c>
    </row>
    <row r="75584">
      <c r="A75584" s="1" t="n">
        <v>75583</v>
      </c>
      <c r="B75584">
        <f>TEXT(75583, "[$-0E0000]yyyy-mm-dd")</f>
        <v/>
      </c>
      <c r="C75584" t="inlineStr">
        <is>
          <t>2106-11-15</t>
        </is>
      </c>
    </row>
    <row r="75585">
      <c r="A75585" s="1" t="n">
        <v>75584</v>
      </c>
      <c r="B75585">
        <f>TEXT(75584, "[$-0E0000]yyyy-mm-dd")</f>
        <v/>
      </c>
      <c r="C75585" t="inlineStr">
        <is>
          <t>2106-11-16</t>
        </is>
      </c>
    </row>
    <row r="75586">
      <c r="A75586" s="1" t="n">
        <v>75585</v>
      </c>
      <c r="B75586">
        <f>TEXT(75585, "[$-0E0000]yyyy-mm-dd")</f>
        <v/>
      </c>
      <c r="C75586" t="inlineStr">
        <is>
          <t>2106-11-17</t>
        </is>
      </c>
    </row>
    <row r="75587">
      <c r="A75587" s="1" t="n">
        <v>75586</v>
      </c>
      <c r="B75587">
        <f>TEXT(75586, "[$-0E0000]yyyy-mm-dd")</f>
        <v/>
      </c>
      <c r="C75587" t="inlineStr">
        <is>
          <t>2106-11-18</t>
        </is>
      </c>
    </row>
    <row r="75588">
      <c r="A75588" s="1" t="n">
        <v>75587</v>
      </c>
      <c r="B75588">
        <f>TEXT(75587, "[$-0E0000]yyyy-mm-dd")</f>
        <v/>
      </c>
      <c r="C75588" t="inlineStr">
        <is>
          <t>2106-11-19</t>
        </is>
      </c>
    </row>
    <row r="75589">
      <c r="A75589" s="1" t="n">
        <v>75588</v>
      </c>
      <c r="B75589">
        <f>TEXT(75588, "[$-0E0000]yyyy-mm-dd")</f>
        <v/>
      </c>
      <c r="C75589" t="inlineStr">
        <is>
          <t>2106-11-20</t>
        </is>
      </c>
    </row>
    <row r="75590">
      <c r="A75590" s="1" t="n">
        <v>75589</v>
      </c>
      <c r="B75590">
        <f>TEXT(75589, "[$-0E0000]yyyy-mm-dd")</f>
        <v/>
      </c>
      <c r="C75590" t="inlineStr">
        <is>
          <t>2106-11-21</t>
        </is>
      </c>
    </row>
    <row r="75591">
      <c r="A75591" s="1" t="n">
        <v>75590</v>
      </c>
      <c r="B75591">
        <f>TEXT(75590, "[$-0E0000]yyyy-mm-dd")</f>
        <v/>
      </c>
      <c r="C75591" t="inlineStr">
        <is>
          <t>2106-11-22</t>
        </is>
      </c>
    </row>
    <row r="75592">
      <c r="A75592" s="1" t="n">
        <v>75591</v>
      </c>
      <c r="B75592">
        <f>TEXT(75591, "[$-0E0000]yyyy-mm-dd")</f>
        <v/>
      </c>
      <c r="C75592" t="inlineStr">
        <is>
          <t>2106-11-23</t>
        </is>
      </c>
    </row>
    <row r="75593">
      <c r="A75593" s="1" t="n">
        <v>75592</v>
      </c>
      <c r="B75593">
        <f>TEXT(75592, "[$-0E0000]yyyy-mm-dd")</f>
        <v/>
      </c>
      <c r="C75593" t="inlineStr">
        <is>
          <t>2106-11-24</t>
        </is>
      </c>
    </row>
    <row r="75594">
      <c r="A75594" s="1" t="n">
        <v>75593</v>
      </c>
      <c r="B75594">
        <f>TEXT(75593, "[$-0E0000]yyyy-mm-dd")</f>
        <v/>
      </c>
      <c r="C75594" t="inlineStr">
        <is>
          <t>2106-11-25</t>
        </is>
      </c>
    </row>
    <row r="75595">
      <c r="A75595" s="1" t="n">
        <v>75594</v>
      </c>
      <c r="B75595">
        <f>TEXT(75594, "[$-0E0000]yyyy-mm-dd")</f>
        <v/>
      </c>
      <c r="C75595" t="inlineStr">
        <is>
          <t>2106-11-26</t>
        </is>
      </c>
    </row>
    <row r="75596">
      <c r="A75596" s="1" t="n">
        <v>75595</v>
      </c>
      <c r="B75596">
        <f>TEXT(75595, "[$-0E0000]yyyy-mm-dd")</f>
        <v/>
      </c>
      <c r="C75596" t="inlineStr">
        <is>
          <t>2106-11-27</t>
        </is>
      </c>
    </row>
    <row r="75597">
      <c r="A75597" s="1" t="n">
        <v>75596</v>
      </c>
      <c r="B75597">
        <f>TEXT(75596, "[$-0E0000]yyyy-mm-dd")</f>
        <v/>
      </c>
      <c r="C75597" t="inlineStr">
        <is>
          <t>2106-11-28</t>
        </is>
      </c>
    </row>
    <row r="75598">
      <c r="A75598" s="1" t="n">
        <v>75597</v>
      </c>
      <c r="B75598">
        <f>TEXT(75597, "[$-0E0000]yyyy-mm-dd")</f>
        <v/>
      </c>
      <c r="C75598" t="inlineStr">
        <is>
          <t>2106-11-29</t>
        </is>
      </c>
    </row>
    <row r="75599">
      <c r="A75599" s="1" t="n">
        <v>75598</v>
      </c>
      <c r="B75599">
        <f>TEXT(75598, "[$-0E0000]yyyy-mm-dd")</f>
        <v/>
      </c>
      <c r="C75599" t="inlineStr">
        <is>
          <t>2106-11-30</t>
        </is>
      </c>
    </row>
    <row r="75600">
      <c r="A75600" s="1" t="n">
        <v>75599</v>
      </c>
      <c r="B75600">
        <f>TEXT(75599, "[$-0E0000]yyyy-mm-dd")</f>
        <v/>
      </c>
      <c r="C75600" t="inlineStr">
        <is>
          <t>2106-12-01</t>
        </is>
      </c>
    </row>
    <row r="75601">
      <c r="A75601" s="1" t="n">
        <v>75600</v>
      </c>
      <c r="B75601">
        <f>TEXT(75600, "[$-0E0000]yyyy-mm-dd")</f>
        <v/>
      </c>
      <c r="C75601" t="inlineStr">
        <is>
          <t>2106-12-02</t>
        </is>
      </c>
    </row>
    <row r="75602">
      <c r="A75602" s="1" t="n">
        <v>75601</v>
      </c>
      <c r="B75602">
        <f>TEXT(75601, "[$-0E0000]yyyy-mm-dd")</f>
        <v/>
      </c>
      <c r="C75602" t="inlineStr">
        <is>
          <t>2106-12-03</t>
        </is>
      </c>
    </row>
    <row r="75603">
      <c r="A75603" s="1" t="n">
        <v>75602</v>
      </c>
      <c r="B75603">
        <f>TEXT(75602, "[$-0E0000]yyyy-mm-dd")</f>
        <v/>
      </c>
      <c r="C75603" t="inlineStr">
        <is>
          <t>2106-12-04</t>
        </is>
      </c>
    </row>
    <row r="75604">
      <c r="A75604" s="1" t="n">
        <v>75603</v>
      </c>
      <c r="B75604">
        <f>TEXT(75603, "[$-0E0000]yyyy-mm-dd")</f>
        <v/>
      </c>
      <c r="C75604" t="inlineStr">
        <is>
          <t>2106-12-05</t>
        </is>
      </c>
    </row>
    <row r="75605">
      <c r="A75605" s="1" t="n">
        <v>75604</v>
      </c>
      <c r="B75605">
        <f>TEXT(75604, "[$-0E0000]yyyy-mm-dd")</f>
        <v/>
      </c>
      <c r="C75605" t="inlineStr">
        <is>
          <t>2106-12-06</t>
        </is>
      </c>
    </row>
    <row r="75606">
      <c r="A75606" s="1" t="n">
        <v>75605</v>
      </c>
      <c r="B75606">
        <f>TEXT(75605, "[$-0E0000]yyyy-mm-dd")</f>
        <v/>
      </c>
      <c r="C75606" t="inlineStr">
        <is>
          <t>2106-12-07</t>
        </is>
      </c>
    </row>
    <row r="75607">
      <c r="A75607" s="1" t="n">
        <v>75606</v>
      </c>
      <c r="B75607">
        <f>TEXT(75606, "[$-0E0000]yyyy-mm-dd")</f>
        <v/>
      </c>
      <c r="C75607" t="inlineStr">
        <is>
          <t>2106-12-08</t>
        </is>
      </c>
    </row>
    <row r="75608">
      <c r="A75608" s="1" t="n">
        <v>75607</v>
      </c>
      <c r="B75608">
        <f>TEXT(75607, "[$-0E0000]yyyy-mm-dd")</f>
        <v/>
      </c>
      <c r="C75608" t="inlineStr">
        <is>
          <t>2106-12-09</t>
        </is>
      </c>
    </row>
    <row r="75609">
      <c r="A75609" s="1" t="n">
        <v>75608</v>
      </c>
      <c r="B75609">
        <f>TEXT(75608, "[$-0E0000]yyyy-mm-dd")</f>
        <v/>
      </c>
      <c r="C75609" t="inlineStr">
        <is>
          <t>2106-12-10</t>
        </is>
      </c>
    </row>
    <row r="75610">
      <c r="A75610" s="1" t="n">
        <v>75609</v>
      </c>
      <c r="B75610">
        <f>TEXT(75609, "[$-0E0000]yyyy-mm-dd")</f>
        <v/>
      </c>
      <c r="C75610" t="inlineStr">
        <is>
          <t>2106-12-11</t>
        </is>
      </c>
    </row>
    <row r="75611">
      <c r="A75611" s="1" t="n">
        <v>75610</v>
      </c>
      <c r="B75611">
        <f>TEXT(75610, "[$-0E0000]yyyy-mm-dd")</f>
        <v/>
      </c>
      <c r="C75611" t="inlineStr">
        <is>
          <t>2106-12-12</t>
        </is>
      </c>
    </row>
    <row r="75612">
      <c r="A75612" s="1" t="n">
        <v>75611</v>
      </c>
      <c r="B75612">
        <f>TEXT(75611, "[$-0E0000]yyyy-mm-dd")</f>
        <v/>
      </c>
      <c r="C75612" t="inlineStr">
        <is>
          <t>2106-12-13</t>
        </is>
      </c>
    </row>
    <row r="75613">
      <c r="A75613" s="1" t="n">
        <v>75612</v>
      </c>
      <c r="B75613">
        <f>TEXT(75612, "[$-0E0000]yyyy-mm-dd")</f>
        <v/>
      </c>
      <c r="C75613" t="inlineStr">
        <is>
          <t>2106-12-14</t>
        </is>
      </c>
    </row>
    <row r="75614">
      <c r="A75614" s="1" t="n">
        <v>75613</v>
      </c>
      <c r="B75614">
        <f>TEXT(75613, "[$-0E0000]yyyy-mm-dd")</f>
        <v/>
      </c>
      <c r="C75614" t="inlineStr">
        <is>
          <t>2106-12-15</t>
        </is>
      </c>
    </row>
    <row r="75615">
      <c r="A75615" s="1" t="n">
        <v>75614</v>
      </c>
      <c r="B75615">
        <f>TEXT(75614, "[$-0E0000]yyyy-mm-dd")</f>
        <v/>
      </c>
      <c r="C75615" t="inlineStr">
        <is>
          <t>2106-12-16</t>
        </is>
      </c>
    </row>
    <row r="75616">
      <c r="A75616" s="1" t="n">
        <v>75615</v>
      </c>
      <c r="B75616">
        <f>TEXT(75615, "[$-0E0000]yyyy-mm-dd")</f>
        <v/>
      </c>
      <c r="C75616" t="inlineStr">
        <is>
          <t>2106-12-17</t>
        </is>
      </c>
    </row>
    <row r="75617">
      <c r="A75617" s="1" t="n">
        <v>75616</v>
      </c>
      <c r="B75617">
        <f>TEXT(75616, "[$-0E0000]yyyy-mm-dd")</f>
        <v/>
      </c>
      <c r="C75617" t="inlineStr">
        <is>
          <t>2106-12-18</t>
        </is>
      </c>
    </row>
    <row r="75618">
      <c r="A75618" s="1" t="n">
        <v>75617</v>
      </c>
      <c r="B75618">
        <f>TEXT(75617, "[$-0E0000]yyyy-mm-dd")</f>
        <v/>
      </c>
      <c r="C75618" t="inlineStr">
        <is>
          <t>2106-12-19</t>
        </is>
      </c>
    </row>
    <row r="75619">
      <c r="A75619" s="1" t="n">
        <v>75618</v>
      </c>
      <c r="B75619">
        <f>TEXT(75618, "[$-0E0000]yyyy-mm-dd")</f>
        <v/>
      </c>
      <c r="C75619" t="inlineStr">
        <is>
          <t>2106-12-20</t>
        </is>
      </c>
    </row>
    <row r="75620">
      <c r="A75620" s="1" t="n">
        <v>75619</v>
      </c>
      <c r="B75620">
        <f>TEXT(75619, "[$-0E0000]yyyy-mm-dd")</f>
        <v/>
      </c>
      <c r="C75620" t="inlineStr">
        <is>
          <t>2106-12-21</t>
        </is>
      </c>
    </row>
    <row r="75621">
      <c r="A75621" s="1" t="n">
        <v>75620</v>
      </c>
      <c r="B75621">
        <f>TEXT(75620, "[$-0E0000]yyyy-mm-dd")</f>
        <v/>
      </c>
      <c r="C75621" t="inlineStr">
        <is>
          <t>2106-12-22</t>
        </is>
      </c>
    </row>
    <row r="75622">
      <c r="A75622" s="1" t="n">
        <v>75621</v>
      </c>
      <c r="B75622">
        <f>TEXT(75621, "[$-0E0000]yyyy-mm-dd")</f>
        <v/>
      </c>
      <c r="C75622" t="inlineStr">
        <is>
          <t>2106-12-23</t>
        </is>
      </c>
    </row>
    <row r="75623">
      <c r="A75623" s="1" t="n">
        <v>75622</v>
      </c>
      <c r="B75623">
        <f>TEXT(75622, "[$-0E0000]yyyy-mm-dd")</f>
        <v/>
      </c>
      <c r="C75623" t="inlineStr">
        <is>
          <t>2106-12-24</t>
        </is>
      </c>
    </row>
    <row r="75624">
      <c r="A75624" s="1" t="n">
        <v>75623</v>
      </c>
      <c r="B75624">
        <f>TEXT(75623, "[$-0E0000]yyyy-mm-dd")</f>
        <v/>
      </c>
      <c r="C75624" t="inlineStr">
        <is>
          <t>2106-12-25</t>
        </is>
      </c>
    </row>
    <row r="75625">
      <c r="A75625" s="1" t="n">
        <v>75624</v>
      </c>
      <c r="B75625">
        <f>TEXT(75624, "[$-0E0000]yyyy-mm-dd")</f>
        <v/>
      </c>
      <c r="C75625" t="inlineStr">
        <is>
          <t>2106-12-26</t>
        </is>
      </c>
    </row>
    <row r="75626">
      <c r="A75626" s="1" t="n">
        <v>75625</v>
      </c>
      <c r="B75626">
        <f>TEXT(75625, "[$-0E0000]yyyy-mm-dd")</f>
        <v/>
      </c>
      <c r="C75626" t="inlineStr">
        <is>
          <t>2106-12-27</t>
        </is>
      </c>
    </row>
    <row r="75627">
      <c r="A75627" s="1" t="n">
        <v>75626</v>
      </c>
      <c r="B75627">
        <f>TEXT(75626, "[$-0E0000]yyyy-mm-dd")</f>
        <v/>
      </c>
      <c r="C75627" t="inlineStr">
        <is>
          <t>2106-12-28</t>
        </is>
      </c>
    </row>
    <row r="75628">
      <c r="A75628" s="1" t="n">
        <v>75627</v>
      </c>
      <c r="B75628">
        <f>TEXT(75627, "[$-0E0000]yyyy-mm-dd")</f>
        <v/>
      </c>
      <c r="C75628" t="inlineStr">
        <is>
          <t>2106-12-29</t>
        </is>
      </c>
    </row>
    <row r="75629">
      <c r="A75629" s="1" t="n">
        <v>75628</v>
      </c>
      <c r="B75629">
        <f>TEXT(75628, "[$-0E0000]yyyy-mm-dd")</f>
        <v/>
      </c>
      <c r="C75629" t="inlineStr">
        <is>
          <t>2106-12-30</t>
        </is>
      </c>
    </row>
    <row r="75630">
      <c r="A75630" s="1" t="n">
        <v>75629</v>
      </c>
      <c r="B75630">
        <f>TEXT(75629, "[$-0E0000]yyyy-mm-dd")</f>
        <v/>
      </c>
      <c r="C75630" t="inlineStr">
        <is>
          <t>2107-01-01</t>
        </is>
      </c>
    </row>
    <row r="75631">
      <c r="A75631" s="1" t="n">
        <v>75630</v>
      </c>
      <c r="B75631">
        <f>TEXT(75630, "[$-0E0000]yyyy-mm-dd")</f>
        <v/>
      </c>
      <c r="C75631" t="inlineStr">
        <is>
          <t>2107-01-02</t>
        </is>
      </c>
    </row>
    <row r="75632">
      <c r="A75632" s="1" t="n">
        <v>75631</v>
      </c>
      <c r="B75632">
        <f>TEXT(75631, "[$-0E0000]yyyy-mm-dd")</f>
        <v/>
      </c>
      <c r="C75632" t="inlineStr">
        <is>
          <t>2107-01-03</t>
        </is>
      </c>
    </row>
    <row r="75633">
      <c r="A75633" s="1" t="n">
        <v>75632</v>
      </c>
      <c r="B75633">
        <f>TEXT(75632, "[$-0E0000]yyyy-mm-dd")</f>
        <v/>
      </c>
      <c r="C75633" t="inlineStr">
        <is>
          <t>2107-01-04</t>
        </is>
      </c>
    </row>
    <row r="75634">
      <c r="A75634" s="1" t="n">
        <v>75633</v>
      </c>
      <c r="B75634">
        <f>TEXT(75633, "[$-0E0000]yyyy-mm-dd")</f>
        <v/>
      </c>
      <c r="C75634" t="inlineStr">
        <is>
          <t>2107-01-05</t>
        </is>
      </c>
    </row>
    <row r="75635">
      <c r="A75635" s="1" t="n">
        <v>75634</v>
      </c>
      <c r="B75635">
        <f>TEXT(75634, "[$-0E0000]yyyy-mm-dd")</f>
        <v/>
      </c>
      <c r="C75635" t="inlineStr">
        <is>
          <t>2107-01-06</t>
        </is>
      </c>
    </row>
    <row r="75636">
      <c r="A75636" s="1" t="n">
        <v>75635</v>
      </c>
      <c r="B75636">
        <f>TEXT(75635, "[$-0E0000]yyyy-mm-dd")</f>
        <v/>
      </c>
      <c r="C75636" t="inlineStr">
        <is>
          <t>2107-01-07</t>
        </is>
      </c>
    </row>
    <row r="75637">
      <c r="A75637" s="1" t="n">
        <v>75636</v>
      </c>
      <c r="B75637">
        <f>TEXT(75636, "[$-0E0000]yyyy-mm-dd")</f>
        <v/>
      </c>
      <c r="C75637" t="inlineStr">
        <is>
          <t>2107-01-08</t>
        </is>
      </c>
    </row>
    <row r="75638">
      <c r="A75638" s="1" t="n">
        <v>75637</v>
      </c>
      <c r="B75638">
        <f>TEXT(75637, "[$-0E0000]yyyy-mm-dd")</f>
        <v/>
      </c>
      <c r="C75638" t="inlineStr">
        <is>
          <t>2107-01-09</t>
        </is>
      </c>
    </row>
    <row r="75639">
      <c r="A75639" s="1" t="n">
        <v>75638</v>
      </c>
      <c r="B75639">
        <f>TEXT(75638, "[$-0E0000]yyyy-mm-dd")</f>
        <v/>
      </c>
      <c r="C75639" t="inlineStr">
        <is>
          <t>2107-01-10</t>
        </is>
      </c>
    </row>
    <row r="75640">
      <c r="A75640" s="1" t="n">
        <v>75639</v>
      </c>
      <c r="B75640">
        <f>TEXT(75639, "[$-0E0000]yyyy-mm-dd")</f>
        <v/>
      </c>
      <c r="C75640" t="inlineStr">
        <is>
          <t>2107-01-11</t>
        </is>
      </c>
    </row>
    <row r="75641">
      <c r="A75641" s="1" t="n">
        <v>75640</v>
      </c>
      <c r="B75641">
        <f>TEXT(75640, "[$-0E0000]yyyy-mm-dd")</f>
        <v/>
      </c>
      <c r="C75641" t="inlineStr">
        <is>
          <t>2107-01-12</t>
        </is>
      </c>
    </row>
    <row r="75642">
      <c r="A75642" s="1" t="n">
        <v>75641</v>
      </c>
      <c r="B75642">
        <f>TEXT(75641, "[$-0E0000]yyyy-mm-dd")</f>
        <v/>
      </c>
      <c r="C75642" t="inlineStr">
        <is>
          <t>2107-01-13</t>
        </is>
      </c>
    </row>
    <row r="75643">
      <c r="A75643" s="1" t="n">
        <v>75642</v>
      </c>
      <c r="B75643">
        <f>TEXT(75642, "[$-0E0000]yyyy-mm-dd")</f>
        <v/>
      </c>
      <c r="C75643" t="inlineStr">
        <is>
          <t>2107-01-14</t>
        </is>
      </c>
    </row>
    <row r="75644">
      <c r="A75644" s="1" t="n">
        <v>75643</v>
      </c>
      <c r="B75644">
        <f>TEXT(75643, "[$-0E0000]yyyy-mm-dd")</f>
        <v/>
      </c>
      <c r="C75644" t="inlineStr">
        <is>
          <t>2107-01-15</t>
        </is>
      </c>
    </row>
    <row r="75645">
      <c r="A75645" s="1" t="n">
        <v>75644</v>
      </c>
      <c r="B75645">
        <f>TEXT(75644, "[$-0E0000]yyyy-mm-dd")</f>
        <v/>
      </c>
      <c r="C75645" t="inlineStr">
        <is>
          <t>2107-01-16</t>
        </is>
      </c>
    </row>
    <row r="75646">
      <c r="A75646" s="1" t="n">
        <v>75645</v>
      </c>
      <c r="B75646">
        <f>TEXT(75645, "[$-0E0000]yyyy-mm-dd")</f>
        <v/>
      </c>
      <c r="C75646" t="inlineStr">
        <is>
          <t>2107-01-17</t>
        </is>
      </c>
    </row>
    <row r="75647">
      <c r="A75647" s="1" t="n">
        <v>75646</v>
      </c>
      <c r="B75647">
        <f>TEXT(75646, "[$-0E0000]yyyy-mm-dd")</f>
        <v/>
      </c>
      <c r="C75647" t="inlineStr">
        <is>
          <t>2107-01-18</t>
        </is>
      </c>
    </row>
    <row r="75648">
      <c r="A75648" s="1" t="n">
        <v>75647</v>
      </c>
      <c r="B75648">
        <f>TEXT(75647, "[$-0E0000]yyyy-mm-dd")</f>
        <v/>
      </c>
      <c r="C75648" t="inlineStr">
        <is>
          <t>2107-01-19</t>
        </is>
      </c>
    </row>
    <row r="75649">
      <c r="A75649" s="1" t="n">
        <v>75648</v>
      </c>
      <c r="B75649">
        <f>TEXT(75648, "[$-0E0000]yyyy-mm-dd")</f>
        <v/>
      </c>
      <c r="C75649" t="inlineStr">
        <is>
          <t>2107-01-20</t>
        </is>
      </c>
    </row>
    <row r="75650">
      <c r="A75650" s="1" t="n">
        <v>75649</v>
      </c>
      <c r="B75650">
        <f>TEXT(75649, "[$-0E0000]yyyy-mm-dd")</f>
        <v/>
      </c>
      <c r="C75650" t="inlineStr">
        <is>
          <t>2107-01-21</t>
        </is>
      </c>
    </row>
    <row r="75651">
      <c r="A75651" s="1" t="n">
        <v>75650</v>
      </c>
      <c r="B75651">
        <f>TEXT(75650, "[$-0E0000]yyyy-mm-dd")</f>
        <v/>
      </c>
      <c r="C75651" t="inlineStr">
        <is>
          <t>2107-01-22</t>
        </is>
      </c>
    </row>
    <row r="75652">
      <c r="A75652" s="1" t="n">
        <v>75651</v>
      </c>
      <c r="B75652">
        <f>TEXT(75651, "[$-0E0000]yyyy-mm-dd")</f>
        <v/>
      </c>
      <c r="C75652" t="inlineStr">
        <is>
          <t>2107-01-23</t>
        </is>
      </c>
    </row>
    <row r="75653">
      <c r="A75653" s="1" t="n">
        <v>75652</v>
      </c>
      <c r="B75653">
        <f>TEXT(75652, "[$-0E0000]yyyy-mm-dd")</f>
        <v/>
      </c>
      <c r="C75653" t="inlineStr">
        <is>
          <t>2107-01-24</t>
        </is>
      </c>
    </row>
    <row r="75654">
      <c r="A75654" s="1" t="n">
        <v>75653</v>
      </c>
      <c r="B75654">
        <f>TEXT(75653, "[$-0E0000]yyyy-mm-dd")</f>
        <v/>
      </c>
      <c r="C75654" t="inlineStr">
        <is>
          <t>2107-01-25</t>
        </is>
      </c>
    </row>
    <row r="75655">
      <c r="A75655" s="1" t="n">
        <v>75654</v>
      </c>
      <c r="B75655">
        <f>TEXT(75654, "[$-0E0000]yyyy-mm-dd")</f>
        <v/>
      </c>
      <c r="C75655" t="inlineStr">
        <is>
          <t>2107-01-26</t>
        </is>
      </c>
    </row>
    <row r="75656">
      <c r="A75656" s="1" t="n">
        <v>75655</v>
      </c>
      <c r="B75656">
        <f>TEXT(75655, "[$-0E0000]yyyy-mm-dd")</f>
        <v/>
      </c>
      <c r="C75656" t="inlineStr">
        <is>
          <t>2107-01-27</t>
        </is>
      </c>
    </row>
    <row r="75657">
      <c r="A75657" s="1" t="n">
        <v>75656</v>
      </c>
      <c r="B75657">
        <f>TEXT(75656, "[$-0E0000]yyyy-mm-dd")</f>
        <v/>
      </c>
      <c r="C75657" t="inlineStr">
        <is>
          <t>2107-01-28</t>
        </is>
      </c>
    </row>
    <row r="75658">
      <c r="A75658" s="1" t="n">
        <v>75657</v>
      </c>
      <c r="B75658">
        <f>TEXT(75657, "[$-0E0000]yyyy-mm-dd")</f>
        <v/>
      </c>
      <c r="C75658" t="inlineStr">
        <is>
          <t>2107-01-29</t>
        </is>
      </c>
    </row>
    <row r="75659">
      <c r="A75659" s="1" t="n">
        <v>75658</v>
      </c>
      <c r="B75659">
        <f>TEXT(75658, "[$-0E0000]yyyy-mm-dd")</f>
        <v/>
      </c>
      <c r="C75659" t="inlineStr">
        <is>
          <t>2107-01-30</t>
        </is>
      </c>
    </row>
    <row r="75660">
      <c r="A75660" s="1" t="n">
        <v>75659</v>
      </c>
      <c r="B75660">
        <f>TEXT(75659, "[$-0E0000]yyyy-mm-dd")</f>
        <v/>
      </c>
      <c r="C75660" t="inlineStr">
        <is>
          <t>2107-02-01</t>
        </is>
      </c>
    </row>
    <row r="75661">
      <c r="A75661" s="1" t="n">
        <v>75660</v>
      </c>
      <c r="B75661">
        <f>TEXT(75660, "[$-0E0000]yyyy-mm-dd")</f>
        <v/>
      </c>
      <c r="C75661" t="inlineStr">
        <is>
          <t>2107-02-02</t>
        </is>
      </c>
    </row>
    <row r="75662">
      <c r="A75662" s="1" t="n">
        <v>75661</v>
      </c>
      <c r="B75662">
        <f>TEXT(75661, "[$-0E0000]yyyy-mm-dd")</f>
        <v/>
      </c>
      <c r="C75662" t="inlineStr">
        <is>
          <t>2107-02-03</t>
        </is>
      </c>
    </row>
    <row r="75663">
      <c r="A75663" s="1" t="n">
        <v>75662</v>
      </c>
      <c r="B75663">
        <f>TEXT(75662, "[$-0E0000]yyyy-mm-dd")</f>
        <v/>
      </c>
      <c r="C75663" t="inlineStr">
        <is>
          <t>2107-02-04</t>
        </is>
      </c>
    </row>
    <row r="75664">
      <c r="A75664" s="1" t="n">
        <v>75663</v>
      </c>
      <c r="B75664">
        <f>TEXT(75663, "[$-0E0000]yyyy-mm-dd")</f>
        <v/>
      </c>
      <c r="C75664" t="inlineStr">
        <is>
          <t>2107-02-05</t>
        </is>
      </c>
    </row>
    <row r="75665">
      <c r="A75665" s="1" t="n">
        <v>75664</v>
      </c>
      <c r="B75665">
        <f>TEXT(75664, "[$-0E0000]yyyy-mm-dd")</f>
        <v/>
      </c>
      <c r="C75665" t="inlineStr">
        <is>
          <t>2107-02-06</t>
        </is>
      </c>
    </row>
    <row r="75666">
      <c r="A75666" s="1" t="n">
        <v>75665</v>
      </c>
      <c r="B75666">
        <f>TEXT(75665, "[$-0E0000]yyyy-mm-dd")</f>
        <v/>
      </c>
      <c r="C75666" t="inlineStr">
        <is>
          <t>2107-02-07</t>
        </is>
      </c>
    </row>
    <row r="75667">
      <c r="A75667" s="1" t="n">
        <v>75666</v>
      </c>
      <c r="B75667">
        <f>TEXT(75666, "[$-0E0000]yyyy-mm-dd")</f>
        <v/>
      </c>
      <c r="C75667" t="inlineStr">
        <is>
          <t>2107-02-08</t>
        </is>
      </c>
    </row>
    <row r="75668">
      <c r="A75668" s="1" t="n">
        <v>75667</v>
      </c>
      <c r="B75668">
        <f>TEXT(75667, "[$-0E0000]yyyy-mm-dd")</f>
        <v/>
      </c>
      <c r="C75668" t="inlineStr">
        <is>
          <t>2107-02-09</t>
        </is>
      </c>
    </row>
    <row r="75669">
      <c r="A75669" s="1" t="n">
        <v>75668</v>
      </c>
      <c r="B75669">
        <f>TEXT(75668, "[$-0E0000]yyyy-mm-dd")</f>
        <v/>
      </c>
      <c r="C75669" t="inlineStr">
        <is>
          <t>2107-02-10</t>
        </is>
      </c>
    </row>
    <row r="75670">
      <c r="A75670" s="1" t="n">
        <v>75669</v>
      </c>
      <c r="B75670">
        <f>TEXT(75669, "[$-0E0000]yyyy-mm-dd")</f>
        <v/>
      </c>
      <c r="C75670" t="inlineStr">
        <is>
          <t>2107-02-11</t>
        </is>
      </c>
    </row>
    <row r="75671">
      <c r="A75671" s="1" t="n">
        <v>75670</v>
      </c>
      <c r="B75671">
        <f>TEXT(75670, "[$-0E0000]yyyy-mm-dd")</f>
        <v/>
      </c>
      <c r="C75671" t="inlineStr">
        <is>
          <t>2107-02-12</t>
        </is>
      </c>
    </row>
    <row r="75672">
      <c r="A75672" s="1" t="n">
        <v>75671</v>
      </c>
      <c r="B75672">
        <f>TEXT(75671, "[$-0E0000]yyyy-mm-dd")</f>
        <v/>
      </c>
      <c r="C75672" t="inlineStr">
        <is>
          <t>2107-02-13</t>
        </is>
      </c>
    </row>
    <row r="75673">
      <c r="A75673" s="1" t="n">
        <v>75672</v>
      </c>
      <c r="B75673">
        <f>TEXT(75672, "[$-0E0000]yyyy-mm-dd")</f>
        <v/>
      </c>
      <c r="C75673" t="inlineStr">
        <is>
          <t>2107-02-14</t>
        </is>
      </c>
    </row>
    <row r="75674">
      <c r="A75674" s="1" t="n">
        <v>75673</v>
      </c>
      <c r="B75674">
        <f>TEXT(75673, "[$-0E0000]yyyy-mm-dd")</f>
        <v/>
      </c>
      <c r="C75674" t="inlineStr">
        <is>
          <t>2107-02-15</t>
        </is>
      </c>
    </row>
    <row r="75675">
      <c r="A75675" s="1" t="n">
        <v>75674</v>
      </c>
      <c r="B75675">
        <f>TEXT(75674, "[$-0E0000]yyyy-mm-dd")</f>
        <v/>
      </c>
      <c r="C75675" t="inlineStr">
        <is>
          <t>2107-02-16</t>
        </is>
      </c>
    </row>
    <row r="75676">
      <c r="A75676" s="1" t="n">
        <v>75675</v>
      </c>
      <c r="B75676">
        <f>TEXT(75675, "[$-0E0000]yyyy-mm-dd")</f>
        <v/>
      </c>
      <c r="C75676" t="inlineStr">
        <is>
          <t>2107-02-17</t>
        </is>
      </c>
    </row>
    <row r="75677">
      <c r="A75677" s="1" t="n">
        <v>75676</v>
      </c>
      <c r="B75677">
        <f>TEXT(75676, "[$-0E0000]yyyy-mm-dd")</f>
        <v/>
      </c>
      <c r="C75677" t="inlineStr">
        <is>
          <t>2107-02-18</t>
        </is>
      </c>
    </row>
    <row r="75678">
      <c r="A75678" s="1" t="n">
        <v>75677</v>
      </c>
      <c r="B75678">
        <f>TEXT(75677, "[$-0E0000]yyyy-mm-dd")</f>
        <v/>
      </c>
      <c r="C75678" t="inlineStr">
        <is>
          <t>2107-02-19</t>
        </is>
      </c>
    </row>
    <row r="75679">
      <c r="A75679" s="1" t="n">
        <v>75678</v>
      </c>
      <c r="B75679">
        <f>TEXT(75678, "[$-0E0000]yyyy-mm-dd")</f>
        <v/>
      </c>
      <c r="C75679" t="inlineStr">
        <is>
          <t>2107-02-20</t>
        </is>
      </c>
    </row>
    <row r="75680">
      <c r="A75680" s="1" t="n">
        <v>75679</v>
      </c>
      <c r="B75680">
        <f>TEXT(75679, "[$-0E0000]yyyy-mm-dd")</f>
        <v/>
      </c>
      <c r="C75680" t="inlineStr">
        <is>
          <t>2107-02-21</t>
        </is>
      </c>
    </row>
    <row r="75681">
      <c r="A75681" s="1" t="n">
        <v>75680</v>
      </c>
      <c r="B75681">
        <f>TEXT(75680, "[$-0E0000]yyyy-mm-dd")</f>
        <v/>
      </c>
      <c r="C75681" t="inlineStr">
        <is>
          <t>2107-02-22</t>
        </is>
      </c>
    </row>
    <row r="75682">
      <c r="A75682" s="1" t="n">
        <v>75681</v>
      </c>
      <c r="B75682">
        <f>TEXT(75681, "[$-0E0000]yyyy-mm-dd")</f>
        <v/>
      </c>
      <c r="C75682" t="inlineStr">
        <is>
          <t>2107-02-23</t>
        </is>
      </c>
    </row>
    <row r="75683">
      <c r="A75683" s="1" t="n">
        <v>75682</v>
      </c>
      <c r="B75683">
        <f>TEXT(75682, "[$-0E0000]yyyy-mm-dd")</f>
        <v/>
      </c>
      <c r="C75683" t="inlineStr">
        <is>
          <t>2107-02-24</t>
        </is>
      </c>
    </row>
    <row r="75684">
      <c r="A75684" s="1" t="n">
        <v>75683</v>
      </c>
      <c r="B75684">
        <f>TEXT(75683, "[$-0E0000]yyyy-mm-dd")</f>
        <v/>
      </c>
      <c r="C75684" t="inlineStr">
        <is>
          <t>2107-02-25</t>
        </is>
      </c>
    </row>
    <row r="75685">
      <c r="A75685" s="1" t="n">
        <v>75684</v>
      </c>
      <c r="B75685">
        <f>TEXT(75684, "[$-0E0000]yyyy-mm-dd")</f>
        <v/>
      </c>
      <c r="C75685" t="inlineStr">
        <is>
          <t>2107-02-26</t>
        </is>
      </c>
    </row>
    <row r="75686">
      <c r="A75686" s="1" t="n">
        <v>75685</v>
      </c>
      <c r="B75686">
        <f>TEXT(75685, "[$-0E0000]yyyy-mm-dd")</f>
        <v/>
      </c>
      <c r="C75686" t="inlineStr">
        <is>
          <t>2107-02-27</t>
        </is>
      </c>
    </row>
    <row r="75687">
      <c r="A75687" s="1" t="n">
        <v>75686</v>
      </c>
      <c r="B75687">
        <f>TEXT(75686, "[$-0E0000]yyyy-mm-dd")</f>
        <v/>
      </c>
      <c r="C75687" t="inlineStr">
        <is>
          <t>2107-02-28</t>
        </is>
      </c>
    </row>
    <row r="75688">
      <c r="A75688" s="1" t="n">
        <v>75687</v>
      </c>
      <c r="B75688">
        <f>TEXT(75687, "[$-0E0000]yyyy-mm-dd")</f>
        <v/>
      </c>
      <c r="C75688" t="inlineStr">
        <is>
          <t>2107-02-29</t>
        </is>
      </c>
    </row>
    <row r="75689">
      <c r="A75689" s="1" t="n">
        <v>75688</v>
      </c>
      <c r="B75689">
        <f>TEXT(75688, "[$-0E0000]yyyy-mm-dd")</f>
        <v/>
      </c>
      <c r="C75689" t="inlineStr">
        <is>
          <t>2107-02-30</t>
        </is>
      </c>
    </row>
    <row r="75690">
      <c r="A75690" s="1" t="n">
        <v>75689</v>
      </c>
      <c r="B75690">
        <f>TEXT(75689, "[$-0E0000]yyyy-mm-dd")</f>
        <v/>
      </c>
      <c r="C75690" t="inlineStr">
        <is>
          <t>2107-03-01</t>
        </is>
      </c>
    </row>
    <row r="75691">
      <c r="A75691" s="1" t="n">
        <v>75690</v>
      </c>
      <c r="B75691">
        <f>TEXT(75690, "[$-0E0000]yyyy-mm-dd")</f>
        <v/>
      </c>
      <c r="C75691" t="inlineStr">
        <is>
          <t>2107-03-02</t>
        </is>
      </c>
    </row>
    <row r="75692">
      <c r="A75692" s="1" t="n">
        <v>75691</v>
      </c>
      <c r="B75692">
        <f>TEXT(75691, "[$-0E0000]yyyy-mm-dd")</f>
        <v/>
      </c>
      <c r="C75692" t="inlineStr">
        <is>
          <t>2107-03-03</t>
        </is>
      </c>
    </row>
    <row r="75693">
      <c r="A75693" s="1" t="n">
        <v>75692</v>
      </c>
      <c r="B75693">
        <f>TEXT(75692, "[$-0E0000]yyyy-mm-dd")</f>
        <v/>
      </c>
      <c r="C75693" t="inlineStr">
        <is>
          <t>2107-03-04</t>
        </is>
      </c>
    </row>
    <row r="75694">
      <c r="A75694" s="1" t="n">
        <v>75693</v>
      </c>
      <c r="B75694">
        <f>TEXT(75693, "[$-0E0000]yyyy-mm-dd")</f>
        <v/>
      </c>
      <c r="C75694" t="inlineStr">
        <is>
          <t>2107-03-05</t>
        </is>
      </c>
    </row>
    <row r="75695">
      <c r="A75695" s="1" t="n">
        <v>75694</v>
      </c>
      <c r="B75695">
        <f>TEXT(75694, "[$-0E0000]yyyy-mm-dd")</f>
        <v/>
      </c>
      <c r="C75695" t="inlineStr">
        <is>
          <t>2107-03-06</t>
        </is>
      </c>
    </row>
    <row r="75696">
      <c r="A75696" s="1" t="n">
        <v>75695</v>
      </c>
      <c r="B75696">
        <f>TEXT(75695, "[$-0E0000]yyyy-mm-dd")</f>
        <v/>
      </c>
      <c r="C75696" t="inlineStr">
        <is>
          <t>2107-03-07</t>
        </is>
      </c>
    </row>
    <row r="75697">
      <c r="A75697" s="1" t="n">
        <v>75696</v>
      </c>
      <c r="B75697">
        <f>TEXT(75696, "[$-0E0000]yyyy-mm-dd")</f>
        <v/>
      </c>
      <c r="C75697" t="inlineStr">
        <is>
          <t>2107-03-08</t>
        </is>
      </c>
    </row>
    <row r="75698">
      <c r="A75698" s="1" t="n">
        <v>75697</v>
      </c>
      <c r="B75698">
        <f>TEXT(75697, "[$-0E0000]yyyy-mm-dd")</f>
        <v/>
      </c>
      <c r="C75698" t="inlineStr">
        <is>
          <t>2107-03-09</t>
        </is>
      </c>
    </row>
    <row r="75699">
      <c r="A75699" s="1" t="n">
        <v>75698</v>
      </c>
      <c r="B75699">
        <f>TEXT(75698, "[$-0E0000]yyyy-mm-dd")</f>
        <v/>
      </c>
      <c r="C75699" t="inlineStr">
        <is>
          <t>2107-03-10</t>
        </is>
      </c>
    </row>
    <row r="75700">
      <c r="A75700" s="1" t="n">
        <v>75699</v>
      </c>
      <c r="B75700">
        <f>TEXT(75699, "[$-0E0000]yyyy-mm-dd")</f>
        <v/>
      </c>
      <c r="C75700" t="inlineStr">
        <is>
          <t>2107-03-11</t>
        </is>
      </c>
    </row>
    <row r="75701">
      <c r="A75701" s="1" t="n">
        <v>75700</v>
      </c>
      <c r="B75701">
        <f>TEXT(75700, "[$-0E0000]yyyy-mm-dd")</f>
        <v/>
      </c>
      <c r="C75701" t="inlineStr">
        <is>
          <t>2107-03-12</t>
        </is>
      </c>
    </row>
    <row r="75702">
      <c r="A75702" s="1" t="n">
        <v>75701</v>
      </c>
      <c r="B75702">
        <f>TEXT(75701, "[$-0E0000]yyyy-mm-dd")</f>
        <v/>
      </c>
      <c r="C75702" t="inlineStr">
        <is>
          <t>2107-03-13</t>
        </is>
      </c>
    </row>
    <row r="75703">
      <c r="A75703" s="1" t="n">
        <v>75702</v>
      </c>
      <c r="B75703">
        <f>TEXT(75702, "[$-0E0000]yyyy-mm-dd")</f>
        <v/>
      </c>
      <c r="C75703" t="inlineStr">
        <is>
          <t>2107-03-14</t>
        </is>
      </c>
    </row>
    <row r="75704">
      <c r="A75704" s="1" t="n">
        <v>75703</v>
      </c>
      <c r="B75704">
        <f>TEXT(75703, "[$-0E0000]yyyy-mm-dd")</f>
        <v/>
      </c>
      <c r="C75704" t="inlineStr">
        <is>
          <t>2107-03-15</t>
        </is>
      </c>
    </row>
    <row r="75705">
      <c r="A75705" s="1" t="n">
        <v>75704</v>
      </c>
      <c r="B75705">
        <f>TEXT(75704, "[$-0E0000]yyyy-mm-dd")</f>
        <v/>
      </c>
      <c r="C75705" t="inlineStr">
        <is>
          <t>2107-03-16</t>
        </is>
      </c>
    </row>
    <row r="75706">
      <c r="A75706" s="1" t="n">
        <v>75705</v>
      </c>
      <c r="B75706">
        <f>TEXT(75705, "[$-0E0000]yyyy-mm-dd")</f>
        <v/>
      </c>
      <c r="C75706" t="inlineStr">
        <is>
          <t>2107-03-17</t>
        </is>
      </c>
    </row>
    <row r="75707">
      <c r="A75707" s="1" t="n">
        <v>75706</v>
      </c>
      <c r="B75707">
        <f>TEXT(75706, "[$-0E0000]yyyy-mm-dd")</f>
        <v/>
      </c>
      <c r="C75707" t="inlineStr">
        <is>
          <t>2107-03-18</t>
        </is>
      </c>
    </row>
    <row r="75708">
      <c r="A75708" s="1" t="n">
        <v>75707</v>
      </c>
      <c r="B75708">
        <f>TEXT(75707, "[$-0E0000]yyyy-mm-dd")</f>
        <v/>
      </c>
      <c r="C75708" t="inlineStr">
        <is>
          <t>2107-03-19</t>
        </is>
      </c>
    </row>
    <row r="75709">
      <c r="A75709" s="1" t="n">
        <v>75708</v>
      </c>
      <c r="B75709">
        <f>TEXT(75708, "[$-0E0000]yyyy-mm-dd")</f>
        <v/>
      </c>
      <c r="C75709" t="inlineStr">
        <is>
          <t>2107-03-20</t>
        </is>
      </c>
    </row>
    <row r="75710">
      <c r="A75710" s="1" t="n">
        <v>75709</v>
      </c>
      <c r="B75710">
        <f>TEXT(75709, "[$-0E0000]yyyy-mm-dd")</f>
        <v/>
      </c>
      <c r="C75710" t="inlineStr">
        <is>
          <t>2107-03-21</t>
        </is>
      </c>
    </row>
    <row r="75711">
      <c r="A75711" s="1" t="n">
        <v>75710</v>
      </c>
      <c r="B75711">
        <f>TEXT(75710, "[$-0E0000]yyyy-mm-dd")</f>
        <v/>
      </c>
      <c r="C75711" t="inlineStr">
        <is>
          <t>2107-03-22</t>
        </is>
      </c>
    </row>
    <row r="75712">
      <c r="A75712" s="1" t="n">
        <v>75711</v>
      </c>
      <c r="B75712">
        <f>TEXT(75711, "[$-0E0000]yyyy-mm-dd")</f>
        <v/>
      </c>
      <c r="C75712" t="inlineStr">
        <is>
          <t>2107-03-23</t>
        </is>
      </c>
    </row>
    <row r="75713">
      <c r="A75713" s="1" t="n">
        <v>75712</v>
      </c>
      <c r="B75713">
        <f>TEXT(75712, "[$-0E0000]yyyy-mm-dd")</f>
        <v/>
      </c>
      <c r="C75713" t="inlineStr">
        <is>
          <t>2107-03-24</t>
        </is>
      </c>
    </row>
    <row r="75714">
      <c r="A75714" s="1" t="n">
        <v>75713</v>
      </c>
      <c r="B75714">
        <f>TEXT(75713, "[$-0E0000]yyyy-mm-dd")</f>
        <v/>
      </c>
      <c r="C75714" t="inlineStr">
        <is>
          <t>2107-03-25</t>
        </is>
      </c>
    </row>
    <row r="75715">
      <c r="A75715" s="1" t="n">
        <v>75714</v>
      </c>
      <c r="B75715">
        <f>TEXT(75714, "[$-0E0000]yyyy-mm-dd")</f>
        <v/>
      </c>
      <c r="C75715" t="inlineStr">
        <is>
          <t>2107-03-26</t>
        </is>
      </c>
    </row>
    <row r="75716">
      <c r="A75716" s="1" t="n">
        <v>75715</v>
      </c>
      <c r="B75716">
        <f>TEXT(75715, "[$-0E0000]yyyy-mm-dd")</f>
        <v/>
      </c>
      <c r="C75716" t="inlineStr">
        <is>
          <t>2107-03-27</t>
        </is>
      </c>
    </row>
    <row r="75717">
      <c r="A75717" s="1" t="n">
        <v>75716</v>
      </c>
      <c r="B75717">
        <f>TEXT(75716, "[$-0E0000]yyyy-mm-dd")</f>
        <v/>
      </c>
      <c r="C75717" t="inlineStr">
        <is>
          <t>2107-03-28</t>
        </is>
      </c>
    </row>
    <row r="75718">
      <c r="A75718" s="1" t="n">
        <v>75717</v>
      </c>
      <c r="B75718">
        <f>TEXT(75717, "[$-0E0000]yyyy-mm-dd")</f>
        <v/>
      </c>
      <c r="C75718" t="inlineStr">
        <is>
          <t>2107-03-29</t>
        </is>
      </c>
    </row>
    <row r="75719">
      <c r="A75719" s="1" t="n">
        <v>75718</v>
      </c>
      <c r="B75719">
        <f>TEXT(75718, "[$-0E0000]yyyy-mm-dd")</f>
        <v/>
      </c>
      <c r="C75719" t="inlineStr">
        <is>
          <t>2107-04-01</t>
        </is>
      </c>
    </row>
    <row r="75720">
      <c r="A75720" s="1" t="n">
        <v>75719</v>
      </c>
      <c r="B75720">
        <f>TEXT(75719, "[$-0E0000]yyyy-mm-dd")</f>
        <v/>
      </c>
      <c r="C75720" t="inlineStr">
        <is>
          <t>2107-04-02</t>
        </is>
      </c>
    </row>
    <row r="75721">
      <c r="A75721" s="1" t="n">
        <v>75720</v>
      </c>
      <c r="B75721">
        <f>TEXT(75720, "[$-0E0000]yyyy-mm-dd")</f>
        <v/>
      </c>
      <c r="C75721" t="inlineStr">
        <is>
          <t>2107-04-03</t>
        </is>
      </c>
    </row>
    <row r="75722">
      <c r="A75722" s="1" t="n">
        <v>75721</v>
      </c>
      <c r="B75722">
        <f>TEXT(75721, "[$-0E0000]yyyy-mm-dd")</f>
        <v/>
      </c>
      <c r="C75722" t="inlineStr">
        <is>
          <t>2107-04-04</t>
        </is>
      </c>
    </row>
    <row r="75723">
      <c r="A75723" s="1" t="n">
        <v>75722</v>
      </c>
      <c r="B75723">
        <f>TEXT(75722, "[$-0E0000]yyyy-mm-dd")</f>
        <v/>
      </c>
      <c r="C75723" t="inlineStr">
        <is>
          <t>2107-04-05</t>
        </is>
      </c>
    </row>
    <row r="75724">
      <c r="A75724" s="1" t="n">
        <v>75723</v>
      </c>
      <c r="B75724">
        <f>TEXT(75723, "[$-0E0000]yyyy-mm-dd")</f>
        <v/>
      </c>
      <c r="C75724" t="inlineStr">
        <is>
          <t>2107-04-06</t>
        </is>
      </c>
    </row>
    <row r="75725">
      <c r="A75725" s="1" t="n">
        <v>75724</v>
      </c>
      <c r="B75725">
        <f>TEXT(75724, "[$-0E0000]yyyy-mm-dd")</f>
        <v/>
      </c>
      <c r="C75725" t="inlineStr">
        <is>
          <t>2107-04-07</t>
        </is>
      </c>
    </row>
    <row r="75726">
      <c r="A75726" s="1" t="n">
        <v>75725</v>
      </c>
      <c r="B75726">
        <f>TEXT(75725, "[$-0E0000]yyyy-mm-dd")</f>
        <v/>
      </c>
      <c r="C75726" t="inlineStr">
        <is>
          <t>2107-04-08</t>
        </is>
      </c>
    </row>
    <row r="75727">
      <c r="A75727" s="1" t="n">
        <v>75726</v>
      </c>
      <c r="B75727">
        <f>TEXT(75726, "[$-0E0000]yyyy-mm-dd")</f>
        <v/>
      </c>
      <c r="C75727" t="inlineStr">
        <is>
          <t>2107-04-09</t>
        </is>
      </c>
    </row>
    <row r="75728">
      <c r="A75728" s="1" t="n">
        <v>75727</v>
      </c>
      <c r="B75728">
        <f>TEXT(75727, "[$-0E0000]yyyy-mm-dd")</f>
        <v/>
      </c>
      <c r="C75728" t="inlineStr">
        <is>
          <t>2107-04-10</t>
        </is>
      </c>
    </row>
    <row r="75729">
      <c r="A75729" s="1" t="n">
        <v>75728</v>
      </c>
      <c r="B75729">
        <f>TEXT(75728, "[$-0E0000]yyyy-mm-dd")</f>
        <v/>
      </c>
      <c r="C75729" t="inlineStr">
        <is>
          <t>2107-04-11</t>
        </is>
      </c>
    </row>
    <row r="75730">
      <c r="A75730" s="1" t="n">
        <v>75729</v>
      </c>
      <c r="B75730">
        <f>TEXT(75729, "[$-0E0000]yyyy-mm-dd")</f>
        <v/>
      </c>
      <c r="C75730" t="inlineStr">
        <is>
          <t>2107-04-12</t>
        </is>
      </c>
    </row>
    <row r="75731">
      <c r="A75731" s="1" t="n">
        <v>75730</v>
      </c>
      <c r="B75731">
        <f>TEXT(75730, "[$-0E0000]yyyy-mm-dd")</f>
        <v/>
      </c>
      <c r="C75731" t="inlineStr">
        <is>
          <t>2107-04-13</t>
        </is>
      </c>
    </row>
    <row r="75732">
      <c r="A75732" s="1" t="n">
        <v>75731</v>
      </c>
      <c r="B75732">
        <f>TEXT(75731, "[$-0E0000]yyyy-mm-dd")</f>
        <v/>
      </c>
      <c r="C75732" t="inlineStr">
        <is>
          <t>2107-04-14</t>
        </is>
      </c>
    </row>
    <row r="75733">
      <c r="A75733" s="1" t="n">
        <v>75732</v>
      </c>
      <c r="B75733">
        <f>TEXT(75732, "[$-0E0000]yyyy-mm-dd")</f>
        <v/>
      </c>
      <c r="C75733" t="inlineStr">
        <is>
          <t>2107-04-15</t>
        </is>
      </c>
    </row>
    <row r="75734">
      <c r="A75734" s="1" t="n">
        <v>75733</v>
      </c>
      <c r="B75734">
        <f>TEXT(75733, "[$-0E0000]yyyy-mm-dd")</f>
        <v/>
      </c>
      <c r="C75734" t="inlineStr">
        <is>
          <t>2107-04-16</t>
        </is>
      </c>
    </row>
    <row r="75735">
      <c r="A75735" s="1" t="n">
        <v>75734</v>
      </c>
      <c r="B75735">
        <f>TEXT(75734, "[$-0E0000]yyyy-mm-dd")</f>
        <v/>
      </c>
      <c r="C75735" t="inlineStr">
        <is>
          <t>2107-04-17</t>
        </is>
      </c>
    </row>
    <row r="75736">
      <c r="A75736" s="1" t="n">
        <v>75735</v>
      </c>
      <c r="B75736">
        <f>TEXT(75735, "[$-0E0000]yyyy-mm-dd")</f>
        <v/>
      </c>
      <c r="C75736" t="inlineStr">
        <is>
          <t>2107-04-18</t>
        </is>
      </c>
    </row>
    <row r="75737">
      <c r="A75737" s="1" t="n">
        <v>75736</v>
      </c>
      <c r="B75737">
        <f>TEXT(75736, "[$-0E0000]yyyy-mm-dd")</f>
        <v/>
      </c>
      <c r="C75737" t="inlineStr">
        <is>
          <t>2107-04-19</t>
        </is>
      </c>
    </row>
    <row r="75738">
      <c r="A75738" s="1" t="n">
        <v>75737</v>
      </c>
      <c r="B75738">
        <f>TEXT(75737, "[$-0E0000]yyyy-mm-dd")</f>
        <v/>
      </c>
      <c r="C75738" t="inlineStr">
        <is>
          <t>2107-04-20</t>
        </is>
      </c>
    </row>
    <row r="75739">
      <c r="A75739" s="1" t="n">
        <v>75738</v>
      </c>
      <c r="B75739">
        <f>TEXT(75738, "[$-0E0000]yyyy-mm-dd")</f>
        <v/>
      </c>
      <c r="C75739" t="inlineStr">
        <is>
          <t>2107-04-21</t>
        </is>
      </c>
    </row>
    <row r="75740">
      <c r="A75740" s="1" t="n">
        <v>75739</v>
      </c>
      <c r="B75740">
        <f>TEXT(75739, "[$-0E0000]yyyy-mm-dd")</f>
        <v/>
      </c>
      <c r="C75740" t="inlineStr">
        <is>
          <t>2107-04-22</t>
        </is>
      </c>
    </row>
    <row r="75741">
      <c r="A75741" s="1" t="n">
        <v>75740</v>
      </c>
      <c r="B75741">
        <f>TEXT(75740, "[$-0E0000]yyyy-mm-dd")</f>
        <v/>
      </c>
      <c r="C75741" t="inlineStr">
        <is>
          <t>2107-04-23</t>
        </is>
      </c>
    </row>
    <row r="75742">
      <c r="A75742" s="1" t="n">
        <v>75741</v>
      </c>
      <c r="B75742">
        <f>TEXT(75741, "[$-0E0000]yyyy-mm-dd")</f>
        <v/>
      </c>
      <c r="C75742" t="inlineStr">
        <is>
          <t>2107-04-24</t>
        </is>
      </c>
    </row>
    <row r="75743">
      <c r="A75743" s="1" t="n">
        <v>75742</v>
      </c>
      <c r="B75743">
        <f>TEXT(75742, "[$-0E0000]yyyy-mm-dd")</f>
        <v/>
      </c>
      <c r="C75743" t="inlineStr">
        <is>
          <t>2107-04-25</t>
        </is>
      </c>
    </row>
    <row r="75744">
      <c r="A75744" s="1" t="n">
        <v>75743</v>
      </c>
      <c r="B75744">
        <f>TEXT(75743, "[$-0E0000]yyyy-mm-dd")</f>
        <v/>
      </c>
      <c r="C75744" t="inlineStr">
        <is>
          <t>2107-04-26</t>
        </is>
      </c>
    </row>
    <row r="75745">
      <c r="A75745" s="1" t="n">
        <v>75744</v>
      </c>
      <c r="B75745">
        <f>TEXT(75744, "[$-0E0000]yyyy-mm-dd")</f>
        <v/>
      </c>
      <c r="C75745" t="inlineStr">
        <is>
          <t>2107-04-27</t>
        </is>
      </c>
    </row>
    <row r="75746">
      <c r="A75746" s="1" t="n">
        <v>75745</v>
      </c>
      <c r="B75746">
        <f>TEXT(75745, "[$-0E0000]yyyy-mm-dd")</f>
        <v/>
      </c>
      <c r="C75746" t="inlineStr">
        <is>
          <t>2107-04-28</t>
        </is>
      </c>
    </row>
    <row r="75747">
      <c r="A75747" s="1" t="n">
        <v>75746</v>
      </c>
      <c r="B75747">
        <f>TEXT(75746, "[$-0E0000]yyyy-mm-dd")</f>
        <v/>
      </c>
      <c r="C75747" t="inlineStr">
        <is>
          <t>2107-04-29</t>
        </is>
      </c>
    </row>
    <row r="75748">
      <c r="A75748" s="1" t="n">
        <v>75747</v>
      </c>
      <c r="B75748">
        <f>TEXT(75747, "[$-0E0000]yyyy-mm-dd")</f>
        <v/>
      </c>
      <c r="C75748" t="inlineStr">
        <is>
          <t>2107-04-30</t>
        </is>
      </c>
    </row>
    <row r="75749">
      <c r="A75749" s="1" t="n">
        <v>75748</v>
      </c>
      <c r="B75749">
        <f>TEXT(75748, "[$-0E0000]yyyy-mm-dd")</f>
        <v/>
      </c>
      <c r="C75749" t="inlineStr">
        <is>
          <t>2107-04-01</t>
        </is>
      </c>
    </row>
    <row r="75750">
      <c r="A75750" s="1" t="n">
        <v>75749</v>
      </c>
      <c r="B75750">
        <f>TEXT(75749, "[$-0E0000]yyyy-mm-dd")</f>
        <v/>
      </c>
      <c r="C75750" t="inlineStr">
        <is>
          <t>2107-04-02</t>
        </is>
      </c>
    </row>
    <row r="75751">
      <c r="A75751" s="1" t="n">
        <v>75750</v>
      </c>
      <c r="B75751">
        <f>TEXT(75750, "[$-0E0000]yyyy-mm-dd")</f>
        <v/>
      </c>
      <c r="C75751" t="inlineStr">
        <is>
          <t>2107-04-03</t>
        </is>
      </c>
    </row>
    <row r="75752">
      <c r="A75752" s="1" t="n">
        <v>75751</v>
      </c>
      <c r="B75752">
        <f>TEXT(75751, "[$-0E0000]yyyy-mm-dd")</f>
        <v/>
      </c>
      <c r="C75752" t="inlineStr">
        <is>
          <t>2107-04-04</t>
        </is>
      </c>
    </row>
    <row r="75753">
      <c r="A75753" s="1" t="n">
        <v>75752</v>
      </c>
      <c r="B75753">
        <f>TEXT(75752, "[$-0E0000]yyyy-mm-dd")</f>
        <v/>
      </c>
      <c r="C75753" t="inlineStr">
        <is>
          <t>2107-04-05</t>
        </is>
      </c>
    </row>
    <row r="75754">
      <c r="A75754" s="1" t="n">
        <v>75753</v>
      </c>
      <c r="B75754">
        <f>TEXT(75753, "[$-0E0000]yyyy-mm-dd")</f>
        <v/>
      </c>
      <c r="C75754" t="inlineStr">
        <is>
          <t>2107-04-06</t>
        </is>
      </c>
    </row>
    <row r="75755">
      <c r="A75755" s="1" t="n">
        <v>75754</v>
      </c>
      <c r="B75755">
        <f>TEXT(75754, "[$-0E0000]yyyy-mm-dd")</f>
        <v/>
      </c>
      <c r="C75755" t="inlineStr">
        <is>
          <t>2107-04-07</t>
        </is>
      </c>
    </row>
    <row r="75756">
      <c r="A75756" s="1" t="n">
        <v>75755</v>
      </c>
      <c r="B75756">
        <f>TEXT(75755, "[$-0E0000]yyyy-mm-dd")</f>
        <v/>
      </c>
      <c r="C75756" t="inlineStr">
        <is>
          <t>2107-04-08</t>
        </is>
      </c>
    </row>
    <row r="75757">
      <c r="A75757" s="1" t="n">
        <v>75756</v>
      </c>
      <c r="B75757">
        <f>TEXT(75756, "[$-0E0000]yyyy-mm-dd")</f>
        <v/>
      </c>
      <c r="C75757" t="inlineStr">
        <is>
          <t>2107-04-09</t>
        </is>
      </c>
    </row>
    <row r="75758">
      <c r="A75758" s="1" t="n">
        <v>75757</v>
      </c>
      <c r="B75758">
        <f>TEXT(75757, "[$-0E0000]yyyy-mm-dd")</f>
        <v/>
      </c>
      <c r="C75758" t="inlineStr">
        <is>
          <t>2107-04-10</t>
        </is>
      </c>
    </row>
    <row r="75759">
      <c r="A75759" s="1" t="n">
        <v>75758</v>
      </c>
      <c r="B75759">
        <f>TEXT(75758, "[$-0E0000]yyyy-mm-dd")</f>
        <v/>
      </c>
      <c r="C75759" t="inlineStr">
        <is>
          <t>2107-04-11</t>
        </is>
      </c>
    </row>
    <row r="75760">
      <c r="A75760" s="1" t="n">
        <v>75759</v>
      </c>
      <c r="B75760">
        <f>TEXT(75759, "[$-0E0000]yyyy-mm-dd")</f>
        <v/>
      </c>
      <c r="C75760" t="inlineStr">
        <is>
          <t>2107-04-12</t>
        </is>
      </c>
    </row>
    <row r="75761">
      <c r="A75761" s="1" t="n">
        <v>75760</v>
      </c>
      <c r="B75761">
        <f>TEXT(75760, "[$-0E0000]yyyy-mm-dd")</f>
        <v/>
      </c>
      <c r="C75761" t="inlineStr">
        <is>
          <t>2107-04-13</t>
        </is>
      </c>
    </row>
    <row r="75762">
      <c r="A75762" s="1" t="n">
        <v>75761</v>
      </c>
      <c r="B75762">
        <f>TEXT(75761, "[$-0E0000]yyyy-mm-dd")</f>
        <v/>
      </c>
      <c r="C75762" t="inlineStr">
        <is>
          <t>2107-04-14</t>
        </is>
      </c>
    </row>
    <row r="75763">
      <c r="A75763" s="1" t="n">
        <v>75762</v>
      </c>
      <c r="B75763">
        <f>TEXT(75762, "[$-0E0000]yyyy-mm-dd")</f>
        <v/>
      </c>
      <c r="C75763" t="inlineStr">
        <is>
          <t>2107-04-15</t>
        </is>
      </c>
    </row>
    <row r="75764">
      <c r="A75764" s="1" t="n">
        <v>75763</v>
      </c>
      <c r="B75764">
        <f>TEXT(75763, "[$-0E0000]yyyy-mm-dd")</f>
        <v/>
      </c>
      <c r="C75764" t="inlineStr">
        <is>
          <t>2107-04-16</t>
        </is>
      </c>
    </row>
    <row r="75765">
      <c r="A75765" s="1" t="n">
        <v>75764</v>
      </c>
      <c r="B75765">
        <f>TEXT(75764, "[$-0E0000]yyyy-mm-dd")</f>
        <v/>
      </c>
      <c r="C75765" t="inlineStr">
        <is>
          <t>2107-04-17</t>
        </is>
      </c>
    </row>
    <row r="75766">
      <c r="A75766" s="1" t="n">
        <v>75765</v>
      </c>
      <c r="B75766">
        <f>TEXT(75765, "[$-0E0000]yyyy-mm-dd")</f>
        <v/>
      </c>
      <c r="C75766" t="inlineStr">
        <is>
          <t>2107-04-18</t>
        </is>
      </c>
    </row>
    <row r="75767">
      <c r="A75767" s="1" t="n">
        <v>75766</v>
      </c>
      <c r="B75767">
        <f>TEXT(75766, "[$-0E0000]yyyy-mm-dd")</f>
        <v/>
      </c>
      <c r="C75767" t="inlineStr">
        <is>
          <t>2107-04-19</t>
        </is>
      </c>
    </row>
    <row r="75768">
      <c r="A75768" s="1" t="n">
        <v>75767</v>
      </c>
      <c r="B75768">
        <f>TEXT(75767, "[$-0E0000]yyyy-mm-dd")</f>
        <v/>
      </c>
      <c r="C75768" t="inlineStr">
        <is>
          <t>2107-04-20</t>
        </is>
      </c>
    </row>
    <row r="75769">
      <c r="A75769" s="1" t="n">
        <v>75768</v>
      </c>
      <c r="B75769">
        <f>TEXT(75768, "[$-0E0000]yyyy-mm-dd")</f>
        <v/>
      </c>
      <c r="C75769" t="inlineStr">
        <is>
          <t>2107-04-21</t>
        </is>
      </c>
    </row>
    <row r="75770">
      <c r="A75770" s="1" t="n">
        <v>75769</v>
      </c>
      <c r="B75770">
        <f>TEXT(75769, "[$-0E0000]yyyy-mm-dd")</f>
        <v/>
      </c>
      <c r="C75770" t="inlineStr">
        <is>
          <t>2107-04-22</t>
        </is>
      </c>
    </row>
    <row r="75771">
      <c r="A75771" s="1" t="n">
        <v>75770</v>
      </c>
      <c r="B75771">
        <f>TEXT(75770, "[$-0E0000]yyyy-mm-dd")</f>
        <v/>
      </c>
      <c r="C75771" t="inlineStr">
        <is>
          <t>2107-04-23</t>
        </is>
      </c>
    </row>
    <row r="75772">
      <c r="A75772" s="1" t="n">
        <v>75771</v>
      </c>
      <c r="B75772">
        <f>TEXT(75771, "[$-0E0000]yyyy-mm-dd")</f>
        <v/>
      </c>
      <c r="C75772" t="inlineStr">
        <is>
          <t>2107-04-24</t>
        </is>
      </c>
    </row>
    <row r="75773">
      <c r="A75773" s="1" t="n">
        <v>75772</v>
      </c>
      <c r="B75773">
        <f>TEXT(75772, "[$-0E0000]yyyy-mm-dd")</f>
        <v/>
      </c>
      <c r="C75773" t="inlineStr">
        <is>
          <t>2107-04-25</t>
        </is>
      </c>
    </row>
    <row r="75774">
      <c r="A75774" s="1" t="n">
        <v>75773</v>
      </c>
      <c r="B75774">
        <f>TEXT(75773, "[$-0E0000]yyyy-mm-dd")</f>
        <v/>
      </c>
      <c r="C75774" t="inlineStr">
        <is>
          <t>2107-04-26</t>
        </is>
      </c>
    </row>
    <row r="75775">
      <c r="A75775" s="1" t="n">
        <v>75774</v>
      </c>
      <c r="B75775">
        <f>TEXT(75774, "[$-0E0000]yyyy-mm-dd")</f>
        <v/>
      </c>
      <c r="C75775" t="inlineStr">
        <is>
          <t>2107-04-27</t>
        </is>
      </c>
    </row>
    <row r="75776">
      <c r="A75776" s="1" t="n">
        <v>75775</v>
      </c>
      <c r="B75776">
        <f>TEXT(75775, "[$-0E0000]yyyy-mm-dd")</f>
        <v/>
      </c>
      <c r="C75776" t="inlineStr">
        <is>
          <t>2107-04-28</t>
        </is>
      </c>
    </row>
    <row r="75777">
      <c r="A75777" s="1" t="n">
        <v>75776</v>
      </c>
      <c r="B75777">
        <f>TEXT(75776, "[$-0E0000]yyyy-mm-dd")</f>
        <v/>
      </c>
      <c r="C75777" t="inlineStr">
        <is>
          <t>2107-04-29</t>
        </is>
      </c>
    </row>
    <row r="75778">
      <c r="A75778" s="1" t="n">
        <v>75777</v>
      </c>
      <c r="B75778">
        <f>TEXT(75777, "[$-0E0000]yyyy-mm-dd")</f>
        <v/>
      </c>
      <c r="C75778" t="inlineStr">
        <is>
          <t>2107-05-01</t>
        </is>
      </c>
    </row>
    <row r="75779">
      <c r="A75779" s="1" t="n">
        <v>75778</v>
      </c>
      <c r="B75779">
        <f>TEXT(75778, "[$-0E0000]yyyy-mm-dd")</f>
        <v/>
      </c>
      <c r="C75779" t="inlineStr">
        <is>
          <t>2107-05-02</t>
        </is>
      </c>
    </row>
    <row r="75780">
      <c r="A75780" s="1" t="n">
        <v>75779</v>
      </c>
      <c r="B75780">
        <f>TEXT(75779, "[$-0E0000]yyyy-mm-dd")</f>
        <v/>
      </c>
      <c r="C75780" t="inlineStr">
        <is>
          <t>2107-05-03</t>
        </is>
      </c>
    </row>
    <row r="75781">
      <c r="A75781" s="1" t="n">
        <v>75780</v>
      </c>
      <c r="B75781">
        <f>TEXT(75780, "[$-0E0000]yyyy-mm-dd")</f>
        <v/>
      </c>
      <c r="C75781" t="inlineStr">
        <is>
          <t>2107-05-04</t>
        </is>
      </c>
    </row>
    <row r="75782">
      <c r="A75782" s="1" t="n">
        <v>75781</v>
      </c>
      <c r="B75782">
        <f>TEXT(75781, "[$-0E0000]yyyy-mm-dd")</f>
        <v/>
      </c>
      <c r="C75782" t="inlineStr">
        <is>
          <t>2107-05-05</t>
        </is>
      </c>
    </row>
    <row r="75783">
      <c r="A75783" s="1" t="n">
        <v>75782</v>
      </c>
      <c r="B75783">
        <f>TEXT(75782, "[$-0E0000]yyyy-mm-dd")</f>
        <v/>
      </c>
      <c r="C75783" t="inlineStr">
        <is>
          <t>2107-05-06</t>
        </is>
      </c>
    </row>
    <row r="75784">
      <c r="A75784" s="1" t="n">
        <v>75783</v>
      </c>
      <c r="B75784">
        <f>TEXT(75783, "[$-0E0000]yyyy-mm-dd")</f>
        <v/>
      </c>
      <c r="C75784" t="inlineStr">
        <is>
          <t>2107-05-07</t>
        </is>
      </c>
    </row>
    <row r="75785">
      <c r="A75785" s="1" t="n">
        <v>75784</v>
      </c>
      <c r="B75785">
        <f>TEXT(75784, "[$-0E0000]yyyy-mm-dd")</f>
        <v/>
      </c>
      <c r="C75785" t="inlineStr">
        <is>
          <t>2107-05-08</t>
        </is>
      </c>
    </row>
    <row r="75786">
      <c r="A75786" s="1" t="n">
        <v>75785</v>
      </c>
      <c r="B75786">
        <f>TEXT(75785, "[$-0E0000]yyyy-mm-dd")</f>
        <v/>
      </c>
      <c r="C75786" t="inlineStr">
        <is>
          <t>2107-05-09</t>
        </is>
      </c>
    </row>
    <row r="75787">
      <c r="A75787" s="1" t="n">
        <v>75786</v>
      </c>
      <c r="B75787">
        <f>TEXT(75786, "[$-0E0000]yyyy-mm-dd")</f>
        <v/>
      </c>
      <c r="C75787" t="inlineStr">
        <is>
          <t>2107-05-10</t>
        </is>
      </c>
    </row>
    <row r="75788">
      <c r="A75788" s="1" t="n">
        <v>75787</v>
      </c>
      <c r="B75788">
        <f>TEXT(75787, "[$-0E0000]yyyy-mm-dd")</f>
        <v/>
      </c>
      <c r="C75788" t="inlineStr">
        <is>
          <t>2107-05-11</t>
        </is>
      </c>
    </row>
    <row r="75789">
      <c r="A75789" s="1" t="n">
        <v>75788</v>
      </c>
      <c r="B75789">
        <f>TEXT(75788, "[$-0E0000]yyyy-mm-dd")</f>
        <v/>
      </c>
      <c r="C75789" t="inlineStr">
        <is>
          <t>2107-05-12</t>
        </is>
      </c>
    </row>
    <row r="75790">
      <c r="A75790" s="1" t="n">
        <v>75789</v>
      </c>
      <c r="B75790">
        <f>TEXT(75789, "[$-0E0000]yyyy-mm-dd")</f>
        <v/>
      </c>
      <c r="C75790" t="inlineStr">
        <is>
          <t>2107-05-13</t>
        </is>
      </c>
    </row>
    <row r="75791">
      <c r="A75791" s="1" t="n">
        <v>75790</v>
      </c>
      <c r="B75791">
        <f>TEXT(75790, "[$-0E0000]yyyy-mm-dd")</f>
        <v/>
      </c>
      <c r="C75791" t="inlineStr">
        <is>
          <t>2107-05-14</t>
        </is>
      </c>
    </row>
    <row r="75792">
      <c r="A75792" s="1" t="n">
        <v>75791</v>
      </c>
      <c r="B75792">
        <f>TEXT(75791, "[$-0E0000]yyyy-mm-dd")</f>
        <v/>
      </c>
      <c r="C75792" t="inlineStr">
        <is>
          <t>2107-05-15</t>
        </is>
      </c>
    </row>
    <row r="75793">
      <c r="A75793" s="1" t="n">
        <v>75792</v>
      </c>
      <c r="B75793">
        <f>TEXT(75792, "[$-0E0000]yyyy-mm-dd")</f>
        <v/>
      </c>
      <c r="C75793" t="inlineStr">
        <is>
          <t>2107-05-16</t>
        </is>
      </c>
    </row>
    <row r="75794">
      <c r="A75794" s="1" t="n">
        <v>75793</v>
      </c>
      <c r="B75794">
        <f>TEXT(75793, "[$-0E0000]yyyy-mm-dd")</f>
        <v/>
      </c>
      <c r="C75794" t="inlineStr">
        <is>
          <t>2107-05-17</t>
        </is>
      </c>
    </row>
    <row r="75795">
      <c r="A75795" s="1" t="n">
        <v>75794</v>
      </c>
      <c r="B75795">
        <f>TEXT(75794, "[$-0E0000]yyyy-mm-dd")</f>
        <v/>
      </c>
      <c r="C75795" t="inlineStr">
        <is>
          <t>2107-05-18</t>
        </is>
      </c>
    </row>
    <row r="75796">
      <c r="A75796" s="1" t="n">
        <v>75795</v>
      </c>
      <c r="B75796">
        <f>TEXT(75795, "[$-0E0000]yyyy-mm-dd")</f>
        <v/>
      </c>
      <c r="C75796" t="inlineStr">
        <is>
          <t>2107-05-19</t>
        </is>
      </c>
    </row>
    <row r="75797">
      <c r="A75797" s="1" t="n">
        <v>75796</v>
      </c>
      <c r="B75797">
        <f>TEXT(75796, "[$-0E0000]yyyy-mm-dd")</f>
        <v/>
      </c>
      <c r="C75797" t="inlineStr">
        <is>
          <t>2107-05-20</t>
        </is>
      </c>
    </row>
    <row r="75798">
      <c r="A75798" s="1" t="n">
        <v>75797</v>
      </c>
      <c r="B75798">
        <f>TEXT(75797, "[$-0E0000]yyyy-mm-dd")</f>
        <v/>
      </c>
      <c r="C75798" t="inlineStr">
        <is>
          <t>2107-05-21</t>
        </is>
      </c>
    </row>
    <row r="75799">
      <c r="A75799" s="1" t="n">
        <v>75798</v>
      </c>
      <c r="B75799">
        <f>TEXT(75798, "[$-0E0000]yyyy-mm-dd")</f>
        <v/>
      </c>
      <c r="C75799" t="inlineStr">
        <is>
          <t>2107-05-22</t>
        </is>
      </c>
    </row>
    <row r="75800">
      <c r="A75800" s="1" t="n">
        <v>75799</v>
      </c>
      <c r="B75800">
        <f>TEXT(75799, "[$-0E0000]yyyy-mm-dd")</f>
        <v/>
      </c>
      <c r="C75800" t="inlineStr">
        <is>
          <t>2107-05-23</t>
        </is>
      </c>
    </row>
    <row r="75801">
      <c r="A75801" s="1" t="n">
        <v>75800</v>
      </c>
      <c r="B75801">
        <f>TEXT(75800, "[$-0E0000]yyyy-mm-dd")</f>
        <v/>
      </c>
      <c r="C75801" t="inlineStr">
        <is>
          <t>2107-05-24</t>
        </is>
      </c>
    </row>
    <row r="75802">
      <c r="A75802" s="1" t="n">
        <v>75801</v>
      </c>
      <c r="B75802">
        <f>TEXT(75801, "[$-0E0000]yyyy-mm-dd")</f>
        <v/>
      </c>
      <c r="C75802" t="inlineStr">
        <is>
          <t>2107-05-25</t>
        </is>
      </c>
    </row>
    <row r="75803">
      <c r="A75803" s="1" t="n">
        <v>75802</v>
      </c>
      <c r="B75803">
        <f>TEXT(75802, "[$-0E0000]yyyy-mm-dd")</f>
        <v/>
      </c>
      <c r="C75803" t="inlineStr">
        <is>
          <t>2107-05-26</t>
        </is>
      </c>
    </row>
    <row r="75804">
      <c r="A75804" s="1" t="n">
        <v>75803</v>
      </c>
      <c r="B75804">
        <f>TEXT(75803, "[$-0E0000]yyyy-mm-dd")</f>
        <v/>
      </c>
      <c r="C75804" t="inlineStr">
        <is>
          <t>2107-05-27</t>
        </is>
      </c>
    </row>
    <row r="75805">
      <c r="A75805" s="1" t="n">
        <v>75804</v>
      </c>
      <c r="B75805">
        <f>TEXT(75804, "[$-0E0000]yyyy-mm-dd")</f>
        <v/>
      </c>
      <c r="C75805" t="inlineStr">
        <is>
          <t>2107-05-28</t>
        </is>
      </c>
    </row>
    <row r="75806">
      <c r="A75806" s="1" t="n">
        <v>75805</v>
      </c>
      <c r="B75806">
        <f>TEXT(75805, "[$-0E0000]yyyy-mm-dd")</f>
        <v/>
      </c>
      <c r="C75806" t="inlineStr">
        <is>
          <t>2107-05-29</t>
        </is>
      </c>
    </row>
    <row r="75807">
      <c r="A75807" s="1" t="n">
        <v>75806</v>
      </c>
      <c r="B75807">
        <f>TEXT(75806, "[$-0E0000]yyyy-mm-dd")</f>
        <v/>
      </c>
      <c r="C75807" t="inlineStr">
        <is>
          <t>2107-06-01</t>
        </is>
      </c>
    </row>
    <row r="75808">
      <c r="A75808" s="1" t="n">
        <v>75807</v>
      </c>
      <c r="B75808">
        <f>TEXT(75807, "[$-0E0000]yyyy-mm-dd")</f>
        <v/>
      </c>
      <c r="C75808" t="inlineStr">
        <is>
          <t>2107-06-02</t>
        </is>
      </c>
    </row>
    <row r="75809">
      <c r="A75809" s="1" t="n">
        <v>75808</v>
      </c>
      <c r="B75809">
        <f>TEXT(75808, "[$-0E0000]yyyy-mm-dd")</f>
        <v/>
      </c>
      <c r="C75809" t="inlineStr">
        <is>
          <t>2107-06-03</t>
        </is>
      </c>
    </row>
    <row r="75810">
      <c r="A75810" s="1" t="n">
        <v>75809</v>
      </c>
      <c r="B75810">
        <f>TEXT(75809, "[$-0E0000]yyyy-mm-dd")</f>
        <v/>
      </c>
      <c r="C75810" t="inlineStr">
        <is>
          <t>2107-06-04</t>
        </is>
      </c>
    </row>
    <row r="75811">
      <c r="A75811" s="1" t="n">
        <v>75810</v>
      </c>
      <c r="B75811">
        <f>TEXT(75810, "[$-0E0000]yyyy-mm-dd")</f>
        <v/>
      </c>
      <c r="C75811" t="inlineStr">
        <is>
          <t>2107-06-05</t>
        </is>
      </c>
    </row>
    <row r="75812">
      <c r="A75812" s="1" t="n">
        <v>75811</v>
      </c>
      <c r="B75812">
        <f>TEXT(75811, "[$-0E0000]yyyy-mm-dd")</f>
        <v/>
      </c>
      <c r="C75812" t="inlineStr">
        <is>
          <t>2107-06-06</t>
        </is>
      </c>
    </row>
    <row r="75813">
      <c r="A75813" s="1" t="n">
        <v>75812</v>
      </c>
      <c r="B75813">
        <f>TEXT(75812, "[$-0E0000]yyyy-mm-dd")</f>
        <v/>
      </c>
      <c r="C75813" t="inlineStr">
        <is>
          <t>2107-06-07</t>
        </is>
      </c>
    </row>
    <row r="75814">
      <c r="A75814" s="1" t="n">
        <v>75813</v>
      </c>
      <c r="B75814">
        <f>TEXT(75813, "[$-0E0000]yyyy-mm-dd")</f>
        <v/>
      </c>
      <c r="C75814" t="inlineStr">
        <is>
          <t>2107-06-08</t>
        </is>
      </c>
    </row>
    <row r="75815">
      <c r="A75815" s="1" t="n">
        <v>75814</v>
      </c>
      <c r="B75815">
        <f>TEXT(75814, "[$-0E0000]yyyy-mm-dd")</f>
        <v/>
      </c>
      <c r="C75815" t="inlineStr">
        <is>
          <t>2107-06-09</t>
        </is>
      </c>
    </row>
    <row r="75816">
      <c r="A75816" s="1" t="n">
        <v>75815</v>
      </c>
      <c r="B75816">
        <f>TEXT(75815, "[$-0E0000]yyyy-mm-dd")</f>
        <v/>
      </c>
      <c r="C75816" t="inlineStr">
        <is>
          <t>2107-06-10</t>
        </is>
      </c>
    </row>
    <row r="75817">
      <c r="A75817" s="1" t="n">
        <v>75816</v>
      </c>
      <c r="B75817">
        <f>TEXT(75816, "[$-0E0000]yyyy-mm-dd")</f>
        <v/>
      </c>
      <c r="C75817" t="inlineStr">
        <is>
          <t>2107-06-11</t>
        </is>
      </c>
    </row>
    <row r="75818">
      <c r="A75818" s="1" t="n">
        <v>75817</v>
      </c>
      <c r="B75818">
        <f>TEXT(75817, "[$-0E0000]yyyy-mm-dd")</f>
        <v/>
      </c>
      <c r="C75818" t="inlineStr">
        <is>
          <t>2107-06-12</t>
        </is>
      </c>
    </row>
    <row r="75819">
      <c r="A75819" s="1" t="n">
        <v>75818</v>
      </c>
      <c r="B75819">
        <f>TEXT(75818, "[$-0E0000]yyyy-mm-dd")</f>
        <v/>
      </c>
      <c r="C75819" t="inlineStr">
        <is>
          <t>2107-06-13</t>
        </is>
      </c>
    </row>
    <row r="75820">
      <c r="A75820" s="1" t="n">
        <v>75819</v>
      </c>
      <c r="B75820">
        <f>TEXT(75819, "[$-0E0000]yyyy-mm-dd")</f>
        <v/>
      </c>
      <c r="C75820" t="inlineStr">
        <is>
          <t>2107-06-14</t>
        </is>
      </c>
    </row>
    <row r="75821">
      <c r="A75821" s="1" t="n">
        <v>75820</v>
      </c>
      <c r="B75821">
        <f>TEXT(75820, "[$-0E0000]yyyy-mm-dd")</f>
        <v/>
      </c>
      <c r="C75821" t="inlineStr">
        <is>
          <t>2107-06-15</t>
        </is>
      </c>
    </row>
    <row r="75822">
      <c r="A75822" s="1" t="n">
        <v>75821</v>
      </c>
      <c r="B75822">
        <f>TEXT(75821, "[$-0E0000]yyyy-mm-dd")</f>
        <v/>
      </c>
      <c r="C75822" t="inlineStr">
        <is>
          <t>2107-06-16</t>
        </is>
      </c>
    </row>
    <row r="75823">
      <c r="A75823" s="1" t="n">
        <v>75822</v>
      </c>
      <c r="B75823">
        <f>TEXT(75822, "[$-0E0000]yyyy-mm-dd")</f>
        <v/>
      </c>
      <c r="C75823" t="inlineStr">
        <is>
          <t>2107-06-17</t>
        </is>
      </c>
    </row>
    <row r="75824">
      <c r="A75824" s="1" t="n">
        <v>75823</v>
      </c>
      <c r="B75824">
        <f>TEXT(75823, "[$-0E0000]yyyy-mm-dd")</f>
        <v/>
      </c>
      <c r="C75824" t="inlineStr">
        <is>
          <t>2107-06-18</t>
        </is>
      </c>
    </row>
    <row r="75825">
      <c r="A75825" s="1" t="n">
        <v>75824</v>
      </c>
      <c r="B75825">
        <f>TEXT(75824, "[$-0E0000]yyyy-mm-dd")</f>
        <v/>
      </c>
      <c r="C75825" t="inlineStr">
        <is>
          <t>2107-06-19</t>
        </is>
      </c>
    </row>
    <row r="75826">
      <c r="A75826" s="1" t="n">
        <v>75825</v>
      </c>
      <c r="B75826">
        <f>TEXT(75825, "[$-0E0000]yyyy-mm-dd")</f>
        <v/>
      </c>
      <c r="C75826" t="inlineStr">
        <is>
          <t>2107-06-20</t>
        </is>
      </c>
    </row>
    <row r="75827">
      <c r="A75827" s="1" t="n">
        <v>75826</v>
      </c>
      <c r="B75827">
        <f>TEXT(75826, "[$-0E0000]yyyy-mm-dd")</f>
        <v/>
      </c>
      <c r="C75827" t="inlineStr">
        <is>
          <t>2107-06-21</t>
        </is>
      </c>
    </row>
    <row r="75828">
      <c r="A75828" s="1" t="n">
        <v>75827</v>
      </c>
      <c r="B75828">
        <f>TEXT(75827, "[$-0E0000]yyyy-mm-dd")</f>
        <v/>
      </c>
      <c r="C75828" t="inlineStr">
        <is>
          <t>2107-06-22</t>
        </is>
      </c>
    </row>
    <row r="75829">
      <c r="A75829" s="1" t="n">
        <v>75828</v>
      </c>
      <c r="B75829">
        <f>TEXT(75828, "[$-0E0000]yyyy-mm-dd")</f>
        <v/>
      </c>
      <c r="C75829" t="inlineStr">
        <is>
          <t>2107-06-23</t>
        </is>
      </c>
    </row>
    <row r="75830">
      <c r="A75830" s="1" t="n">
        <v>75829</v>
      </c>
      <c r="B75830">
        <f>TEXT(75829, "[$-0E0000]yyyy-mm-dd")</f>
        <v/>
      </c>
      <c r="C75830" t="inlineStr">
        <is>
          <t>2107-06-24</t>
        </is>
      </c>
    </row>
    <row r="75831">
      <c r="A75831" s="1" t="n">
        <v>75830</v>
      </c>
      <c r="B75831">
        <f>TEXT(75830, "[$-0E0000]yyyy-mm-dd")</f>
        <v/>
      </c>
      <c r="C75831" t="inlineStr">
        <is>
          <t>2107-06-25</t>
        </is>
      </c>
    </row>
    <row r="75832">
      <c r="A75832" s="1" t="n">
        <v>75831</v>
      </c>
      <c r="B75832">
        <f>TEXT(75831, "[$-0E0000]yyyy-mm-dd")</f>
        <v/>
      </c>
      <c r="C75832" t="inlineStr">
        <is>
          <t>2107-06-26</t>
        </is>
      </c>
    </row>
    <row r="75833">
      <c r="A75833" s="1" t="n">
        <v>75832</v>
      </c>
      <c r="B75833">
        <f>TEXT(75832, "[$-0E0000]yyyy-mm-dd")</f>
        <v/>
      </c>
      <c r="C75833" t="inlineStr">
        <is>
          <t>2107-06-27</t>
        </is>
      </c>
    </row>
    <row r="75834">
      <c r="A75834" s="1" t="n">
        <v>75833</v>
      </c>
      <c r="B75834">
        <f>TEXT(75833, "[$-0E0000]yyyy-mm-dd")</f>
        <v/>
      </c>
      <c r="C75834" t="inlineStr">
        <is>
          <t>2107-06-28</t>
        </is>
      </c>
    </row>
    <row r="75835">
      <c r="A75835" s="1" t="n">
        <v>75834</v>
      </c>
      <c r="B75835">
        <f>TEXT(75834, "[$-0E0000]yyyy-mm-dd")</f>
        <v/>
      </c>
      <c r="C75835" t="inlineStr">
        <is>
          <t>2107-06-29</t>
        </is>
      </c>
    </row>
    <row r="75836">
      <c r="A75836" s="1" t="n">
        <v>75835</v>
      </c>
      <c r="B75836">
        <f>TEXT(75835, "[$-0E0000]yyyy-mm-dd")</f>
        <v/>
      </c>
      <c r="C75836" t="inlineStr">
        <is>
          <t>2107-06-30</t>
        </is>
      </c>
    </row>
    <row r="75837">
      <c r="A75837" s="1" t="n">
        <v>75836</v>
      </c>
      <c r="B75837">
        <f>TEXT(75836, "[$-0E0000]yyyy-mm-dd")</f>
        <v/>
      </c>
      <c r="C75837" t="inlineStr">
        <is>
          <t>2107-07-01</t>
        </is>
      </c>
    </row>
    <row r="75838">
      <c r="A75838" s="1" t="n">
        <v>75837</v>
      </c>
      <c r="B75838">
        <f>TEXT(75837, "[$-0E0000]yyyy-mm-dd")</f>
        <v/>
      </c>
      <c r="C75838" t="inlineStr">
        <is>
          <t>2107-07-02</t>
        </is>
      </c>
    </row>
    <row r="75839">
      <c r="A75839" s="1" t="n">
        <v>75838</v>
      </c>
      <c r="B75839">
        <f>TEXT(75838, "[$-0E0000]yyyy-mm-dd")</f>
        <v/>
      </c>
      <c r="C75839" t="inlineStr">
        <is>
          <t>2107-07-03</t>
        </is>
      </c>
    </row>
    <row r="75840">
      <c r="A75840" s="1" t="n">
        <v>75839</v>
      </c>
      <c r="B75840">
        <f>TEXT(75839, "[$-0E0000]yyyy-mm-dd")</f>
        <v/>
      </c>
      <c r="C75840" t="inlineStr">
        <is>
          <t>2107-07-04</t>
        </is>
      </c>
    </row>
    <row r="75841">
      <c r="A75841" s="1" t="n">
        <v>75840</v>
      </c>
      <c r="B75841">
        <f>TEXT(75840, "[$-0E0000]yyyy-mm-dd")</f>
        <v/>
      </c>
      <c r="C75841" t="inlineStr">
        <is>
          <t>2107-07-05</t>
        </is>
      </c>
    </row>
    <row r="75842">
      <c r="A75842" s="1" t="n">
        <v>75841</v>
      </c>
      <c r="B75842">
        <f>TEXT(75841, "[$-0E0000]yyyy-mm-dd")</f>
        <v/>
      </c>
      <c r="C75842" t="inlineStr">
        <is>
          <t>2107-07-06</t>
        </is>
      </c>
    </row>
    <row r="75843">
      <c r="A75843" s="1" t="n">
        <v>75842</v>
      </c>
      <c r="B75843">
        <f>TEXT(75842, "[$-0E0000]yyyy-mm-dd")</f>
        <v/>
      </c>
      <c r="C75843" t="inlineStr">
        <is>
          <t>2107-07-07</t>
        </is>
      </c>
    </row>
    <row r="75844">
      <c r="A75844" s="1" t="n">
        <v>75843</v>
      </c>
      <c r="B75844">
        <f>TEXT(75843, "[$-0E0000]yyyy-mm-dd")</f>
        <v/>
      </c>
      <c r="C75844" t="inlineStr">
        <is>
          <t>2107-07-08</t>
        </is>
      </c>
    </row>
    <row r="75845">
      <c r="A75845" s="1" t="n">
        <v>75844</v>
      </c>
      <c r="B75845">
        <f>TEXT(75844, "[$-0E0000]yyyy-mm-dd")</f>
        <v/>
      </c>
      <c r="C75845" t="inlineStr">
        <is>
          <t>2107-07-09</t>
        </is>
      </c>
    </row>
    <row r="75846">
      <c r="A75846" s="1" t="n">
        <v>75845</v>
      </c>
      <c r="B75846">
        <f>TEXT(75845, "[$-0E0000]yyyy-mm-dd")</f>
        <v/>
      </c>
      <c r="C75846" t="inlineStr">
        <is>
          <t>2107-07-10</t>
        </is>
      </c>
    </row>
    <row r="75847">
      <c r="A75847" s="1" t="n">
        <v>75846</v>
      </c>
      <c r="B75847">
        <f>TEXT(75846, "[$-0E0000]yyyy-mm-dd")</f>
        <v/>
      </c>
      <c r="C75847" t="inlineStr">
        <is>
          <t>2107-07-11</t>
        </is>
      </c>
    </row>
    <row r="75848">
      <c r="A75848" s="1" t="n">
        <v>75847</v>
      </c>
      <c r="B75848">
        <f>TEXT(75847, "[$-0E0000]yyyy-mm-dd")</f>
        <v/>
      </c>
      <c r="C75848" t="inlineStr">
        <is>
          <t>2107-07-12</t>
        </is>
      </c>
    </row>
    <row r="75849">
      <c r="A75849" s="1" t="n">
        <v>75848</v>
      </c>
      <c r="B75849">
        <f>TEXT(75848, "[$-0E0000]yyyy-mm-dd")</f>
        <v/>
      </c>
      <c r="C75849" t="inlineStr">
        <is>
          <t>2107-07-13</t>
        </is>
      </c>
    </row>
    <row r="75850">
      <c r="A75850" s="1" t="n">
        <v>75849</v>
      </c>
      <c r="B75850">
        <f>TEXT(75849, "[$-0E0000]yyyy-mm-dd")</f>
        <v/>
      </c>
      <c r="C75850" t="inlineStr">
        <is>
          <t>2107-07-14</t>
        </is>
      </c>
    </row>
    <row r="75851">
      <c r="A75851" s="1" t="n">
        <v>75850</v>
      </c>
      <c r="B75851">
        <f>TEXT(75850, "[$-0E0000]yyyy-mm-dd")</f>
        <v/>
      </c>
      <c r="C75851" t="inlineStr">
        <is>
          <t>2107-07-15</t>
        </is>
      </c>
    </row>
    <row r="75852">
      <c r="A75852" s="1" t="n">
        <v>75851</v>
      </c>
      <c r="B75852">
        <f>TEXT(75851, "[$-0E0000]yyyy-mm-dd")</f>
        <v/>
      </c>
      <c r="C75852" t="inlineStr">
        <is>
          <t>2107-07-16</t>
        </is>
      </c>
    </row>
    <row r="75853">
      <c r="A75853" s="1" t="n">
        <v>75852</v>
      </c>
      <c r="B75853">
        <f>TEXT(75852, "[$-0E0000]yyyy-mm-dd")</f>
        <v/>
      </c>
      <c r="C75853" t="inlineStr">
        <is>
          <t>2107-07-17</t>
        </is>
      </c>
    </row>
    <row r="75854">
      <c r="A75854" s="1" t="n">
        <v>75853</v>
      </c>
      <c r="B75854">
        <f>TEXT(75853, "[$-0E0000]yyyy-mm-dd")</f>
        <v/>
      </c>
      <c r="C75854" t="inlineStr">
        <is>
          <t>2107-07-18</t>
        </is>
      </c>
    </row>
    <row r="75855">
      <c r="A75855" s="1" t="n">
        <v>75854</v>
      </c>
      <c r="B75855">
        <f>TEXT(75854, "[$-0E0000]yyyy-mm-dd")</f>
        <v/>
      </c>
      <c r="C75855" t="inlineStr">
        <is>
          <t>2107-07-19</t>
        </is>
      </c>
    </row>
    <row r="75856">
      <c r="A75856" s="1" t="n">
        <v>75855</v>
      </c>
      <c r="B75856">
        <f>TEXT(75855, "[$-0E0000]yyyy-mm-dd")</f>
        <v/>
      </c>
      <c r="C75856" t="inlineStr">
        <is>
          <t>2107-07-20</t>
        </is>
      </c>
    </row>
    <row r="75857">
      <c r="A75857" s="1" t="n">
        <v>75856</v>
      </c>
      <c r="B75857">
        <f>TEXT(75856, "[$-0E0000]yyyy-mm-dd")</f>
        <v/>
      </c>
      <c r="C75857" t="inlineStr">
        <is>
          <t>2107-07-21</t>
        </is>
      </c>
    </row>
    <row r="75858">
      <c r="A75858" s="1" t="n">
        <v>75857</v>
      </c>
      <c r="B75858">
        <f>TEXT(75857, "[$-0E0000]yyyy-mm-dd")</f>
        <v/>
      </c>
      <c r="C75858" t="inlineStr">
        <is>
          <t>2107-07-22</t>
        </is>
      </c>
    </row>
    <row r="75859">
      <c r="A75859" s="1" t="n">
        <v>75858</v>
      </c>
      <c r="B75859">
        <f>TEXT(75858, "[$-0E0000]yyyy-mm-dd")</f>
        <v/>
      </c>
      <c r="C75859" t="inlineStr">
        <is>
          <t>2107-07-23</t>
        </is>
      </c>
    </row>
    <row r="75860">
      <c r="A75860" s="1" t="n">
        <v>75859</v>
      </c>
      <c r="B75860">
        <f>TEXT(75859, "[$-0E0000]yyyy-mm-dd")</f>
        <v/>
      </c>
      <c r="C75860" t="inlineStr">
        <is>
          <t>2107-07-24</t>
        </is>
      </c>
    </row>
    <row r="75861">
      <c r="A75861" s="1" t="n">
        <v>75860</v>
      </c>
      <c r="B75861">
        <f>TEXT(75860, "[$-0E0000]yyyy-mm-dd")</f>
        <v/>
      </c>
      <c r="C75861" t="inlineStr">
        <is>
          <t>2107-07-25</t>
        </is>
      </c>
    </row>
    <row r="75862">
      <c r="A75862" s="1" t="n">
        <v>75861</v>
      </c>
      <c r="B75862">
        <f>TEXT(75861, "[$-0E0000]yyyy-mm-dd")</f>
        <v/>
      </c>
      <c r="C75862" t="inlineStr">
        <is>
          <t>2107-07-26</t>
        </is>
      </c>
    </row>
    <row r="75863">
      <c r="A75863" s="1" t="n">
        <v>75862</v>
      </c>
      <c r="B75863">
        <f>TEXT(75862, "[$-0E0000]yyyy-mm-dd")</f>
        <v/>
      </c>
      <c r="C75863" t="inlineStr">
        <is>
          <t>2107-07-27</t>
        </is>
      </c>
    </row>
    <row r="75864">
      <c r="A75864" s="1" t="n">
        <v>75863</v>
      </c>
      <c r="B75864">
        <f>TEXT(75863, "[$-0E0000]yyyy-mm-dd")</f>
        <v/>
      </c>
      <c r="C75864" t="inlineStr">
        <is>
          <t>2107-07-28</t>
        </is>
      </c>
    </row>
    <row r="75865">
      <c r="A75865" s="1" t="n">
        <v>75864</v>
      </c>
      <c r="B75865">
        <f>TEXT(75864, "[$-0E0000]yyyy-mm-dd")</f>
        <v/>
      </c>
      <c r="C75865" t="inlineStr">
        <is>
          <t>2107-07-29</t>
        </is>
      </c>
    </row>
    <row r="75866">
      <c r="A75866" s="1" t="n">
        <v>75865</v>
      </c>
      <c r="B75866">
        <f>TEXT(75865, "[$-0E0000]yyyy-mm-dd")</f>
        <v/>
      </c>
      <c r="C75866" t="inlineStr">
        <is>
          <t>2107-08-01</t>
        </is>
      </c>
    </row>
    <row r="75867">
      <c r="A75867" s="1" t="n">
        <v>75866</v>
      </c>
      <c r="B75867">
        <f>TEXT(75866, "[$-0E0000]yyyy-mm-dd")</f>
        <v/>
      </c>
      <c r="C75867" t="inlineStr">
        <is>
          <t>2107-08-02</t>
        </is>
      </c>
    </row>
    <row r="75868">
      <c r="A75868" s="1" t="n">
        <v>75867</v>
      </c>
      <c r="B75868">
        <f>TEXT(75867, "[$-0E0000]yyyy-mm-dd")</f>
        <v/>
      </c>
      <c r="C75868" t="inlineStr">
        <is>
          <t>2107-08-03</t>
        </is>
      </c>
    </row>
    <row r="75869">
      <c r="A75869" s="1" t="n">
        <v>75868</v>
      </c>
      <c r="B75869">
        <f>TEXT(75868, "[$-0E0000]yyyy-mm-dd")</f>
        <v/>
      </c>
      <c r="C75869" t="inlineStr">
        <is>
          <t>2107-08-04</t>
        </is>
      </c>
    </row>
    <row r="75870">
      <c r="A75870" s="1" t="n">
        <v>75869</v>
      </c>
      <c r="B75870">
        <f>TEXT(75869, "[$-0E0000]yyyy-mm-dd")</f>
        <v/>
      </c>
      <c r="C75870" t="inlineStr">
        <is>
          <t>2107-08-05</t>
        </is>
      </c>
    </row>
    <row r="75871">
      <c r="A75871" s="1" t="n">
        <v>75870</v>
      </c>
      <c r="B75871">
        <f>TEXT(75870, "[$-0E0000]yyyy-mm-dd")</f>
        <v/>
      </c>
      <c r="C75871" t="inlineStr">
        <is>
          <t>2107-08-06</t>
        </is>
      </c>
    </row>
    <row r="75872">
      <c r="A75872" s="1" t="n">
        <v>75871</v>
      </c>
      <c r="B75872">
        <f>TEXT(75871, "[$-0E0000]yyyy-mm-dd")</f>
        <v/>
      </c>
      <c r="C75872" t="inlineStr">
        <is>
          <t>2107-08-07</t>
        </is>
      </c>
    </row>
    <row r="75873">
      <c r="A75873" s="1" t="n">
        <v>75872</v>
      </c>
      <c r="B75873">
        <f>TEXT(75872, "[$-0E0000]yyyy-mm-dd")</f>
        <v/>
      </c>
      <c r="C75873" t="inlineStr">
        <is>
          <t>2107-08-08</t>
        </is>
      </c>
    </row>
    <row r="75874">
      <c r="A75874" s="1" t="n">
        <v>75873</v>
      </c>
      <c r="B75874">
        <f>TEXT(75873, "[$-0E0000]yyyy-mm-dd")</f>
        <v/>
      </c>
      <c r="C75874" t="inlineStr">
        <is>
          <t>2107-08-09</t>
        </is>
      </c>
    </row>
    <row r="75875">
      <c r="A75875" s="1" t="n">
        <v>75874</v>
      </c>
      <c r="B75875">
        <f>TEXT(75874, "[$-0E0000]yyyy-mm-dd")</f>
        <v/>
      </c>
      <c r="C75875" t="inlineStr">
        <is>
          <t>2107-08-10</t>
        </is>
      </c>
    </row>
    <row r="75876">
      <c r="A75876" s="1" t="n">
        <v>75875</v>
      </c>
      <c r="B75876">
        <f>TEXT(75875, "[$-0E0000]yyyy-mm-dd")</f>
        <v/>
      </c>
      <c r="C75876" t="inlineStr">
        <is>
          <t>2107-08-11</t>
        </is>
      </c>
    </row>
    <row r="75877">
      <c r="A75877" s="1" t="n">
        <v>75876</v>
      </c>
      <c r="B75877">
        <f>TEXT(75876, "[$-0E0000]yyyy-mm-dd")</f>
        <v/>
      </c>
      <c r="C75877" t="inlineStr">
        <is>
          <t>2107-08-12</t>
        </is>
      </c>
    </row>
    <row r="75878">
      <c r="A75878" s="1" t="n">
        <v>75877</v>
      </c>
      <c r="B75878">
        <f>TEXT(75877, "[$-0E0000]yyyy-mm-dd")</f>
        <v/>
      </c>
      <c r="C75878" t="inlineStr">
        <is>
          <t>2107-08-13</t>
        </is>
      </c>
    </row>
    <row r="75879">
      <c r="A75879" s="1" t="n">
        <v>75878</v>
      </c>
      <c r="B75879">
        <f>TEXT(75878, "[$-0E0000]yyyy-mm-dd")</f>
        <v/>
      </c>
      <c r="C75879" t="inlineStr">
        <is>
          <t>2107-08-14</t>
        </is>
      </c>
    </row>
    <row r="75880">
      <c r="A75880" s="1" t="n">
        <v>75879</v>
      </c>
      <c r="B75880">
        <f>TEXT(75879, "[$-0E0000]yyyy-mm-dd")</f>
        <v/>
      </c>
      <c r="C75880" t="inlineStr">
        <is>
          <t>2107-08-15</t>
        </is>
      </c>
    </row>
    <row r="75881">
      <c r="A75881" s="1" t="n">
        <v>75880</v>
      </c>
      <c r="B75881">
        <f>TEXT(75880, "[$-0E0000]yyyy-mm-dd")</f>
        <v/>
      </c>
      <c r="C75881" t="inlineStr">
        <is>
          <t>2107-08-16</t>
        </is>
      </c>
    </row>
    <row r="75882">
      <c r="A75882" s="1" t="n">
        <v>75881</v>
      </c>
      <c r="B75882">
        <f>TEXT(75881, "[$-0E0000]yyyy-mm-dd")</f>
        <v/>
      </c>
      <c r="C75882" t="inlineStr">
        <is>
          <t>2107-08-17</t>
        </is>
      </c>
    </row>
    <row r="75883">
      <c r="A75883" s="1" t="n">
        <v>75882</v>
      </c>
      <c r="B75883">
        <f>TEXT(75882, "[$-0E0000]yyyy-mm-dd")</f>
        <v/>
      </c>
      <c r="C75883" t="inlineStr">
        <is>
          <t>2107-08-18</t>
        </is>
      </c>
    </row>
    <row r="75884">
      <c r="A75884" s="1" t="n">
        <v>75883</v>
      </c>
      <c r="B75884">
        <f>TEXT(75883, "[$-0E0000]yyyy-mm-dd")</f>
        <v/>
      </c>
      <c r="C75884" t="inlineStr">
        <is>
          <t>2107-08-19</t>
        </is>
      </c>
    </row>
    <row r="75885">
      <c r="A75885" s="1" t="n">
        <v>75884</v>
      </c>
      <c r="B75885">
        <f>TEXT(75884, "[$-0E0000]yyyy-mm-dd")</f>
        <v/>
      </c>
      <c r="C75885" t="inlineStr">
        <is>
          <t>2107-08-20</t>
        </is>
      </c>
    </row>
    <row r="75886">
      <c r="A75886" s="1" t="n">
        <v>75885</v>
      </c>
      <c r="B75886">
        <f>TEXT(75885, "[$-0E0000]yyyy-mm-dd")</f>
        <v/>
      </c>
      <c r="C75886" t="inlineStr">
        <is>
          <t>2107-08-21</t>
        </is>
      </c>
    </row>
    <row r="75887">
      <c r="A75887" s="1" t="n">
        <v>75886</v>
      </c>
      <c r="B75887">
        <f>TEXT(75886, "[$-0E0000]yyyy-mm-dd")</f>
        <v/>
      </c>
      <c r="C75887" t="inlineStr">
        <is>
          <t>2107-08-22</t>
        </is>
      </c>
    </row>
    <row r="75888">
      <c r="A75888" s="1" t="n">
        <v>75887</v>
      </c>
      <c r="B75888">
        <f>TEXT(75887, "[$-0E0000]yyyy-mm-dd")</f>
        <v/>
      </c>
      <c r="C75888" t="inlineStr">
        <is>
          <t>2107-08-23</t>
        </is>
      </c>
    </row>
    <row r="75889">
      <c r="A75889" s="1" t="n">
        <v>75888</v>
      </c>
      <c r="B75889">
        <f>TEXT(75888, "[$-0E0000]yyyy-mm-dd")</f>
        <v/>
      </c>
      <c r="C75889" t="inlineStr">
        <is>
          <t>2107-08-24</t>
        </is>
      </c>
    </row>
    <row r="75890">
      <c r="A75890" s="1" t="n">
        <v>75889</v>
      </c>
      <c r="B75890">
        <f>TEXT(75889, "[$-0E0000]yyyy-mm-dd")</f>
        <v/>
      </c>
      <c r="C75890" t="inlineStr">
        <is>
          <t>2107-08-25</t>
        </is>
      </c>
    </row>
    <row r="75891">
      <c r="A75891" s="1" t="n">
        <v>75890</v>
      </c>
      <c r="B75891">
        <f>TEXT(75890, "[$-0E0000]yyyy-mm-dd")</f>
        <v/>
      </c>
      <c r="C75891" t="inlineStr">
        <is>
          <t>2107-08-26</t>
        </is>
      </c>
    </row>
    <row r="75892">
      <c r="A75892" s="1" t="n">
        <v>75891</v>
      </c>
      <c r="B75892">
        <f>TEXT(75891, "[$-0E0000]yyyy-mm-dd")</f>
        <v/>
      </c>
      <c r="C75892" t="inlineStr">
        <is>
          <t>2107-08-27</t>
        </is>
      </c>
    </row>
    <row r="75893">
      <c r="A75893" s="1" t="n">
        <v>75892</v>
      </c>
      <c r="B75893">
        <f>TEXT(75892, "[$-0E0000]yyyy-mm-dd")</f>
        <v/>
      </c>
      <c r="C75893" t="inlineStr">
        <is>
          <t>2107-08-28</t>
        </is>
      </c>
    </row>
    <row r="75894">
      <c r="A75894" s="1" t="n">
        <v>75893</v>
      </c>
      <c r="B75894">
        <f>TEXT(75893, "[$-0E0000]yyyy-mm-dd")</f>
        <v/>
      </c>
      <c r="C75894" t="inlineStr">
        <is>
          <t>2107-08-29</t>
        </is>
      </c>
    </row>
    <row r="75895">
      <c r="A75895" s="1" t="n">
        <v>75894</v>
      </c>
      <c r="B75895">
        <f>TEXT(75894, "[$-0E0000]yyyy-mm-dd")</f>
        <v/>
      </c>
      <c r="C75895" t="inlineStr">
        <is>
          <t>2107-09-01</t>
        </is>
      </c>
    </row>
    <row r="75896">
      <c r="A75896" s="1" t="n">
        <v>75895</v>
      </c>
      <c r="B75896">
        <f>TEXT(75895, "[$-0E0000]yyyy-mm-dd")</f>
        <v/>
      </c>
      <c r="C75896" t="inlineStr">
        <is>
          <t>2107-09-02</t>
        </is>
      </c>
    </row>
    <row r="75897">
      <c r="A75897" s="1" t="n">
        <v>75896</v>
      </c>
      <c r="B75897">
        <f>TEXT(75896, "[$-0E0000]yyyy-mm-dd")</f>
        <v/>
      </c>
      <c r="C75897" t="inlineStr">
        <is>
          <t>2107-09-03</t>
        </is>
      </c>
    </row>
    <row r="75898">
      <c r="A75898" s="1" t="n">
        <v>75897</v>
      </c>
      <c r="B75898">
        <f>TEXT(75897, "[$-0E0000]yyyy-mm-dd")</f>
        <v/>
      </c>
      <c r="C75898" t="inlineStr">
        <is>
          <t>2107-09-04</t>
        </is>
      </c>
    </row>
    <row r="75899">
      <c r="A75899" s="1" t="n">
        <v>75898</v>
      </c>
      <c r="B75899">
        <f>TEXT(75898, "[$-0E0000]yyyy-mm-dd")</f>
        <v/>
      </c>
      <c r="C75899" t="inlineStr">
        <is>
          <t>2107-09-05</t>
        </is>
      </c>
    </row>
    <row r="75900">
      <c r="A75900" s="1" t="n">
        <v>75899</v>
      </c>
      <c r="B75900">
        <f>TEXT(75899, "[$-0E0000]yyyy-mm-dd")</f>
        <v/>
      </c>
      <c r="C75900" t="inlineStr">
        <is>
          <t>2107-09-06</t>
        </is>
      </c>
    </row>
    <row r="75901">
      <c r="A75901" s="1" t="n">
        <v>75900</v>
      </c>
      <c r="B75901">
        <f>TEXT(75900, "[$-0E0000]yyyy-mm-dd")</f>
        <v/>
      </c>
      <c r="C75901" t="inlineStr">
        <is>
          <t>2107-09-07</t>
        </is>
      </c>
    </row>
    <row r="75902">
      <c r="A75902" s="1" t="n">
        <v>75901</v>
      </c>
      <c r="B75902">
        <f>TEXT(75901, "[$-0E0000]yyyy-mm-dd")</f>
        <v/>
      </c>
      <c r="C75902" t="inlineStr">
        <is>
          <t>2107-09-08</t>
        </is>
      </c>
    </row>
    <row r="75903">
      <c r="A75903" s="1" t="n">
        <v>75902</v>
      </c>
      <c r="B75903">
        <f>TEXT(75902, "[$-0E0000]yyyy-mm-dd")</f>
        <v/>
      </c>
      <c r="C75903" t="inlineStr">
        <is>
          <t>2107-09-09</t>
        </is>
      </c>
    </row>
    <row r="75904">
      <c r="A75904" s="1" t="n">
        <v>75903</v>
      </c>
      <c r="B75904">
        <f>TEXT(75903, "[$-0E0000]yyyy-mm-dd")</f>
        <v/>
      </c>
      <c r="C75904" t="inlineStr">
        <is>
          <t>2107-09-10</t>
        </is>
      </c>
    </row>
    <row r="75905">
      <c r="A75905" s="1" t="n">
        <v>75904</v>
      </c>
      <c r="B75905">
        <f>TEXT(75904, "[$-0E0000]yyyy-mm-dd")</f>
        <v/>
      </c>
      <c r="C75905" t="inlineStr">
        <is>
          <t>2107-09-11</t>
        </is>
      </c>
    </row>
    <row r="75906">
      <c r="A75906" s="1" t="n">
        <v>75905</v>
      </c>
      <c r="B75906">
        <f>TEXT(75905, "[$-0E0000]yyyy-mm-dd")</f>
        <v/>
      </c>
      <c r="C75906" t="inlineStr">
        <is>
          <t>2107-09-12</t>
        </is>
      </c>
    </row>
    <row r="75907">
      <c r="A75907" s="1" t="n">
        <v>75906</v>
      </c>
      <c r="B75907">
        <f>TEXT(75906, "[$-0E0000]yyyy-mm-dd")</f>
        <v/>
      </c>
      <c r="C75907" t="inlineStr">
        <is>
          <t>2107-09-13</t>
        </is>
      </c>
    </row>
    <row r="75908">
      <c r="A75908" s="1" t="n">
        <v>75907</v>
      </c>
      <c r="B75908">
        <f>TEXT(75907, "[$-0E0000]yyyy-mm-dd")</f>
        <v/>
      </c>
      <c r="C75908" t="inlineStr">
        <is>
          <t>2107-09-14</t>
        </is>
      </c>
    </row>
    <row r="75909">
      <c r="A75909" s="1" t="n">
        <v>75908</v>
      </c>
      <c r="B75909">
        <f>TEXT(75908, "[$-0E0000]yyyy-mm-dd")</f>
        <v/>
      </c>
      <c r="C75909" t="inlineStr">
        <is>
          <t>2107-09-15</t>
        </is>
      </c>
    </row>
    <row r="75910">
      <c r="A75910" s="1" t="n">
        <v>75909</v>
      </c>
      <c r="B75910">
        <f>TEXT(75909, "[$-0E0000]yyyy-mm-dd")</f>
        <v/>
      </c>
      <c r="C75910" t="inlineStr">
        <is>
          <t>2107-09-16</t>
        </is>
      </c>
    </row>
    <row r="75911">
      <c r="A75911" s="1" t="n">
        <v>75910</v>
      </c>
      <c r="B75911">
        <f>TEXT(75910, "[$-0E0000]yyyy-mm-dd")</f>
        <v/>
      </c>
      <c r="C75911" t="inlineStr">
        <is>
          <t>2107-09-17</t>
        </is>
      </c>
    </row>
    <row r="75912">
      <c r="A75912" s="1" t="n">
        <v>75911</v>
      </c>
      <c r="B75912">
        <f>TEXT(75911, "[$-0E0000]yyyy-mm-dd")</f>
        <v/>
      </c>
      <c r="C75912" t="inlineStr">
        <is>
          <t>2107-09-18</t>
        </is>
      </c>
    </row>
    <row r="75913">
      <c r="A75913" s="1" t="n">
        <v>75912</v>
      </c>
      <c r="B75913">
        <f>TEXT(75912, "[$-0E0000]yyyy-mm-dd")</f>
        <v/>
      </c>
      <c r="C75913" t="inlineStr">
        <is>
          <t>2107-09-19</t>
        </is>
      </c>
    </row>
    <row r="75914">
      <c r="A75914" s="1" t="n">
        <v>75913</v>
      </c>
      <c r="B75914">
        <f>TEXT(75913, "[$-0E0000]yyyy-mm-dd")</f>
        <v/>
      </c>
      <c r="C75914" t="inlineStr">
        <is>
          <t>2107-09-20</t>
        </is>
      </c>
    </row>
    <row r="75915">
      <c r="A75915" s="1" t="n">
        <v>75914</v>
      </c>
      <c r="B75915">
        <f>TEXT(75914, "[$-0E0000]yyyy-mm-dd")</f>
        <v/>
      </c>
      <c r="C75915" t="inlineStr">
        <is>
          <t>2107-09-21</t>
        </is>
      </c>
    </row>
    <row r="75916">
      <c r="A75916" s="1" t="n">
        <v>75915</v>
      </c>
      <c r="B75916">
        <f>TEXT(75915, "[$-0E0000]yyyy-mm-dd")</f>
        <v/>
      </c>
      <c r="C75916" t="inlineStr">
        <is>
          <t>2107-09-22</t>
        </is>
      </c>
    </row>
    <row r="75917">
      <c r="A75917" s="1" t="n">
        <v>75916</v>
      </c>
      <c r="B75917">
        <f>TEXT(75916, "[$-0E0000]yyyy-mm-dd")</f>
        <v/>
      </c>
      <c r="C75917" t="inlineStr">
        <is>
          <t>2107-09-23</t>
        </is>
      </c>
    </row>
    <row r="75918">
      <c r="A75918" s="1" t="n">
        <v>75917</v>
      </c>
      <c r="B75918">
        <f>TEXT(75917, "[$-0E0000]yyyy-mm-dd")</f>
        <v/>
      </c>
      <c r="C75918" t="inlineStr">
        <is>
          <t>2107-09-24</t>
        </is>
      </c>
    </row>
    <row r="75919">
      <c r="A75919" s="1" t="n">
        <v>75918</v>
      </c>
      <c r="B75919">
        <f>TEXT(75918, "[$-0E0000]yyyy-mm-dd")</f>
        <v/>
      </c>
      <c r="C75919" t="inlineStr">
        <is>
          <t>2107-09-25</t>
        </is>
      </c>
    </row>
    <row r="75920">
      <c r="A75920" s="1" t="n">
        <v>75919</v>
      </c>
      <c r="B75920">
        <f>TEXT(75919, "[$-0E0000]yyyy-mm-dd")</f>
        <v/>
      </c>
      <c r="C75920" t="inlineStr">
        <is>
          <t>2107-09-26</t>
        </is>
      </c>
    </row>
    <row r="75921">
      <c r="A75921" s="1" t="n">
        <v>75920</v>
      </c>
      <c r="B75921">
        <f>TEXT(75920, "[$-0E0000]yyyy-mm-dd")</f>
        <v/>
      </c>
      <c r="C75921" t="inlineStr">
        <is>
          <t>2107-09-27</t>
        </is>
      </c>
    </row>
    <row r="75922">
      <c r="A75922" s="1" t="n">
        <v>75921</v>
      </c>
      <c r="B75922">
        <f>TEXT(75921, "[$-0E0000]yyyy-mm-dd")</f>
        <v/>
      </c>
      <c r="C75922" t="inlineStr">
        <is>
          <t>2107-09-28</t>
        </is>
      </c>
    </row>
    <row r="75923">
      <c r="A75923" s="1" t="n">
        <v>75922</v>
      </c>
      <c r="B75923">
        <f>TEXT(75922, "[$-0E0000]yyyy-mm-dd")</f>
        <v/>
      </c>
      <c r="C75923" t="inlineStr">
        <is>
          <t>2107-09-29</t>
        </is>
      </c>
    </row>
    <row r="75924">
      <c r="A75924" s="1" t="n">
        <v>75923</v>
      </c>
      <c r="B75924">
        <f>TEXT(75923, "[$-0E0000]yyyy-mm-dd")</f>
        <v/>
      </c>
      <c r="C75924" t="inlineStr">
        <is>
          <t>2107-09-30</t>
        </is>
      </c>
    </row>
    <row r="75925">
      <c r="A75925" s="1" t="n">
        <v>75924</v>
      </c>
      <c r="B75925">
        <f>TEXT(75924, "[$-0E0000]yyyy-mm-dd")</f>
        <v/>
      </c>
      <c r="C75925" t="inlineStr">
        <is>
          <t>2107-10-01</t>
        </is>
      </c>
    </row>
    <row r="75926">
      <c r="A75926" s="1" t="n">
        <v>75925</v>
      </c>
      <c r="B75926">
        <f>TEXT(75925, "[$-0E0000]yyyy-mm-dd")</f>
        <v/>
      </c>
      <c r="C75926" t="inlineStr">
        <is>
          <t>2107-10-02</t>
        </is>
      </c>
    </row>
    <row r="75927">
      <c r="A75927" s="1" t="n">
        <v>75926</v>
      </c>
      <c r="B75927">
        <f>TEXT(75926, "[$-0E0000]yyyy-mm-dd")</f>
        <v/>
      </c>
      <c r="C75927" t="inlineStr">
        <is>
          <t>2107-10-03</t>
        </is>
      </c>
    </row>
    <row r="75928">
      <c r="A75928" s="1" t="n">
        <v>75927</v>
      </c>
      <c r="B75928">
        <f>TEXT(75927, "[$-0E0000]yyyy-mm-dd")</f>
        <v/>
      </c>
      <c r="C75928" t="inlineStr">
        <is>
          <t>2107-10-04</t>
        </is>
      </c>
    </row>
    <row r="75929">
      <c r="A75929" s="1" t="n">
        <v>75928</v>
      </c>
      <c r="B75929">
        <f>TEXT(75928, "[$-0E0000]yyyy-mm-dd")</f>
        <v/>
      </c>
      <c r="C75929" t="inlineStr">
        <is>
          <t>2107-10-05</t>
        </is>
      </c>
    </row>
    <row r="75930">
      <c r="A75930" s="1" t="n">
        <v>75929</v>
      </c>
      <c r="B75930">
        <f>TEXT(75929, "[$-0E0000]yyyy-mm-dd")</f>
        <v/>
      </c>
      <c r="C75930" t="inlineStr">
        <is>
          <t>2107-10-06</t>
        </is>
      </c>
    </row>
    <row r="75931">
      <c r="A75931" s="1" t="n">
        <v>75930</v>
      </c>
      <c r="B75931">
        <f>TEXT(75930, "[$-0E0000]yyyy-mm-dd")</f>
        <v/>
      </c>
      <c r="C75931" t="inlineStr">
        <is>
          <t>2107-10-07</t>
        </is>
      </c>
    </row>
    <row r="75932">
      <c r="A75932" s="1" t="n">
        <v>75931</v>
      </c>
      <c r="B75932">
        <f>TEXT(75931, "[$-0E0000]yyyy-mm-dd")</f>
        <v/>
      </c>
      <c r="C75932" t="inlineStr">
        <is>
          <t>2107-10-08</t>
        </is>
      </c>
    </row>
    <row r="75933">
      <c r="A75933" s="1" t="n">
        <v>75932</v>
      </c>
      <c r="B75933">
        <f>TEXT(75932, "[$-0E0000]yyyy-mm-dd")</f>
        <v/>
      </c>
      <c r="C75933" t="inlineStr">
        <is>
          <t>2107-10-09</t>
        </is>
      </c>
    </row>
    <row r="75934">
      <c r="A75934" s="1" t="n">
        <v>75933</v>
      </c>
      <c r="B75934">
        <f>TEXT(75933, "[$-0E0000]yyyy-mm-dd")</f>
        <v/>
      </c>
      <c r="C75934" t="inlineStr">
        <is>
          <t>2107-10-10</t>
        </is>
      </c>
    </row>
    <row r="75935">
      <c r="A75935" s="1" t="n">
        <v>75934</v>
      </c>
      <c r="B75935">
        <f>TEXT(75934, "[$-0E0000]yyyy-mm-dd")</f>
        <v/>
      </c>
      <c r="C75935" t="inlineStr">
        <is>
          <t>2107-10-11</t>
        </is>
      </c>
    </row>
    <row r="75936">
      <c r="A75936" s="1" t="n">
        <v>75935</v>
      </c>
      <c r="B75936">
        <f>TEXT(75935, "[$-0E0000]yyyy-mm-dd")</f>
        <v/>
      </c>
      <c r="C75936" t="inlineStr">
        <is>
          <t>2107-10-12</t>
        </is>
      </c>
    </row>
    <row r="75937">
      <c r="A75937" s="1" t="n">
        <v>75936</v>
      </c>
      <c r="B75937">
        <f>TEXT(75936, "[$-0E0000]yyyy-mm-dd")</f>
        <v/>
      </c>
      <c r="C75937" t="inlineStr">
        <is>
          <t>2107-10-13</t>
        </is>
      </c>
    </row>
    <row r="75938">
      <c r="A75938" s="1" t="n">
        <v>75937</v>
      </c>
      <c r="B75938">
        <f>TEXT(75937, "[$-0E0000]yyyy-mm-dd")</f>
        <v/>
      </c>
      <c r="C75938" t="inlineStr">
        <is>
          <t>2107-10-14</t>
        </is>
      </c>
    </row>
    <row r="75939">
      <c r="A75939" s="1" t="n">
        <v>75938</v>
      </c>
      <c r="B75939">
        <f>TEXT(75938, "[$-0E0000]yyyy-mm-dd")</f>
        <v/>
      </c>
      <c r="C75939" t="inlineStr">
        <is>
          <t>2107-10-15</t>
        </is>
      </c>
    </row>
    <row r="75940">
      <c r="A75940" s="1" t="n">
        <v>75939</v>
      </c>
      <c r="B75940">
        <f>TEXT(75939, "[$-0E0000]yyyy-mm-dd")</f>
        <v/>
      </c>
      <c r="C75940" t="inlineStr">
        <is>
          <t>2107-10-16</t>
        </is>
      </c>
    </row>
    <row r="75941">
      <c r="A75941" s="1" t="n">
        <v>75940</v>
      </c>
      <c r="B75941">
        <f>TEXT(75940, "[$-0E0000]yyyy-mm-dd")</f>
        <v/>
      </c>
      <c r="C75941" t="inlineStr">
        <is>
          <t>2107-10-17</t>
        </is>
      </c>
    </row>
    <row r="75942">
      <c r="A75942" s="1" t="n">
        <v>75941</v>
      </c>
      <c r="B75942">
        <f>TEXT(75941, "[$-0E0000]yyyy-mm-dd")</f>
        <v/>
      </c>
      <c r="C75942" t="inlineStr">
        <is>
          <t>2107-10-18</t>
        </is>
      </c>
    </row>
    <row r="75943">
      <c r="A75943" s="1" t="n">
        <v>75942</v>
      </c>
      <c r="B75943">
        <f>TEXT(75942, "[$-0E0000]yyyy-mm-dd")</f>
        <v/>
      </c>
      <c r="C75943" t="inlineStr">
        <is>
          <t>2107-10-19</t>
        </is>
      </c>
    </row>
    <row r="75944">
      <c r="A75944" s="1" t="n">
        <v>75943</v>
      </c>
      <c r="B75944">
        <f>TEXT(75943, "[$-0E0000]yyyy-mm-dd")</f>
        <v/>
      </c>
      <c r="C75944" t="inlineStr">
        <is>
          <t>2107-10-20</t>
        </is>
      </c>
    </row>
    <row r="75945">
      <c r="A75945" s="1" t="n">
        <v>75944</v>
      </c>
      <c r="B75945">
        <f>TEXT(75944, "[$-0E0000]yyyy-mm-dd")</f>
        <v/>
      </c>
      <c r="C75945" t="inlineStr">
        <is>
          <t>2107-10-21</t>
        </is>
      </c>
    </row>
    <row r="75946">
      <c r="A75946" s="1" t="n">
        <v>75945</v>
      </c>
      <c r="B75946">
        <f>TEXT(75945, "[$-0E0000]yyyy-mm-dd")</f>
        <v/>
      </c>
      <c r="C75946" t="inlineStr">
        <is>
          <t>2107-10-22</t>
        </is>
      </c>
    </row>
    <row r="75947">
      <c r="A75947" s="1" t="n">
        <v>75946</v>
      </c>
      <c r="B75947">
        <f>TEXT(75946, "[$-0E0000]yyyy-mm-dd")</f>
        <v/>
      </c>
      <c r="C75947" t="inlineStr">
        <is>
          <t>2107-10-23</t>
        </is>
      </c>
    </row>
    <row r="75948">
      <c r="A75948" s="1" t="n">
        <v>75947</v>
      </c>
      <c r="B75948">
        <f>TEXT(75947, "[$-0E0000]yyyy-mm-dd")</f>
        <v/>
      </c>
      <c r="C75948" t="inlineStr">
        <is>
          <t>2107-10-24</t>
        </is>
      </c>
    </row>
    <row r="75949">
      <c r="A75949" s="1" t="n">
        <v>75948</v>
      </c>
      <c r="B75949">
        <f>TEXT(75948, "[$-0E0000]yyyy-mm-dd")</f>
        <v/>
      </c>
      <c r="C75949" t="inlineStr">
        <is>
          <t>2107-10-25</t>
        </is>
      </c>
    </row>
    <row r="75950">
      <c r="A75950" s="1" t="n">
        <v>75949</v>
      </c>
      <c r="B75950">
        <f>TEXT(75949, "[$-0E0000]yyyy-mm-dd")</f>
        <v/>
      </c>
      <c r="C75950" t="inlineStr">
        <is>
          <t>2107-10-26</t>
        </is>
      </c>
    </row>
    <row r="75951">
      <c r="A75951" s="1" t="n">
        <v>75950</v>
      </c>
      <c r="B75951">
        <f>TEXT(75950, "[$-0E0000]yyyy-mm-dd")</f>
        <v/>
      </c>
      <c r="C75951" t="inlineStr">
        <is>
          <t>2107-10-27</t>
        </is>
      </c>
    </row>
    <row r="75952">
      <c r="A75952" s="1" t="n">
        <v>75951</v>
      </c>
      <c r="B75952">
        <f>TEXT(75951, "[$-0E0000]yyyy-mm-dd")</f>
        <v/>
      </c>
      <c r="C75952" t="inlineStr">
        <is>
          <t>2107-10-28</t>
        </is>
      </c>
    </row>
    <row r="75953">
      <c r="A75953" s="1" t="n">
        <v>75952</v>
      </c>
      <c r="B75953">
        <f>TEXT(75952, "[$-0E0000]yyyy-mm-dd")</f>
        <v/>
      </c>
      <c r="C75953" t="inlineStr">
        <is>
          <t>2107-10-29</t>
        </is>
      </c>
    </row>
    <row r="75954">
      <c r="A75954" s="1" t="n">
        <v>75953</v>
      </c>
      <c r="B75954">
        <f>TEXT(75953, "[$-0E0000]yyyy-mm-dd")</f>
        <v/>
      </c>
      <c r="C75954" t="inlineStr">
        <is>
          <t>2107-11-01</t>
        </is>
      </c>
    </row>
    <row r="75955">
      <c r="A75955" s="1" t="n">
        <v>75954</v>
      </c>
      <c r="B75955">
        <f>TEXT(75954, "[$-0E0000]yyyy-mm-dd")</f>
        <v/>
      </c>
      <c r="C75955" t="inlineStr">
        <is>
          <t>2107-11-02</t>
        </is>
      </c>
    </row>
    <row r="75956">
      <c r="A75956" s="1" t="n">
        <v>75955</v>
      </c>
      <c r="B75956">
        <f>TEXT(75955, "[$-0E0000]yyyy-mm-dd")</f>
        <v/>
      </c>
      <c r="C75956" t="inlineStr">
        <is>
          <t>2107-11-03</t>
        </is>
      </c>
    </row>
    <row r="75957">
      <c r="A75957" s="1" t="n">
        <v>75956</v>
      </c>
      <c r="B75957">
        <f>TEXT(75956, "[$-0E0000]yyyy-mm-dd")</f>
        <v/>
      </c>
      <c r="C75957" t="inlineStr">
        <is>
          <t>2107-11-04</t>
        </is>
      </c>
    </row>
    <row r="75958">
      <c r="A75958" s="1" t="n">
        <v>75957</v>
      </c>
      <c r="B75958">
        <f>TEXT(75957, "[$-0E0000]yyyy-mm-dd")</f>
        <v/>
      </c>
      <c r="C75958" t="inlineStr">
        <is>
          <t>2107-11-05</t>
        </is>
      </c>
    </row>
    <row r="75959">
      <c r="A75959" s="1" t="n">
        <v>75958</v>
      </c>
      <c r="B75959">
        <f>TEXT(75958, "[$-0E0000]yyyy-mm-dd")</f>
        <v/>
      </c>
      <c r="C75959" t="inlineStr">
        <is>
          <t>2107-11-06</t>
        </is>
      </c>
    </row>
    <row r="75960">
      <c r="A75960" s="1" t="n">
        <v>75959</v>
      </c>
      <c r="B75960">
        <f>TEXT(75959, "[$-0E0000]yyyy-mm-dd")</f>
        <v/>
      </c>
      <c r="C75960" t="inlineStr">
        <is>
          <t>2107-11-07</t>
        </is>
      </c>
    </row>
    <row r="75961">
      <c r="A75961" s="1" t="n">
        <v>75960</v>
      </c>
      <c r="B75961">
        <f>TEXT(75960, "[$-0E0000]yyyy-mm-dd")</f>
        <v/>
      </c>
      <c r="C75961" t="inlineStr">
        <is>
          <t>2107-11-08</t>
        </is>
      </c>
    </row>
    <row r="75962">
      <c r="A75962" s="1" t="n">
        <v>75961</v>
      </c>
      <c r="B75962">
        <f>TEXT(75961, "[$-0E0000]yyyy-mm-dd")</f>
        <v/>
      </c>
      <c r="C75962" t="inlineStr">
        <is>
          <t>2107-11-09</t>
        </is>
      </c>
    </row>
    <row r="75963">
      <c r="A75963" s="1" t="n">
        <v>75962</v>
      </c>
      <c r="B75963">
        <f>TEXT(75962, "[$-0E0000]yyyy-mm-dd")</f>
        <v/>
      </c>
      <c r="C75963" t="inlineStr">
        <is>
          <t>2107-11-10</t>
        </is>
      </c>
    </row>
    <row r="75964">
      <c r="A75964" s="1" t="n">
        <v>75963</v>
      </c>
      <c r="B75964">
        <f>TEXT(75963, "[$-0E0000]yyyy-mm-dd")</f>
        <v/>
      </c>
      <c r="C75964" t="inlineStr">
        <is>
          <t>2107-11-11</t>
        </is>
      </c>
    </row>
    <row r="75965">
      <c r="A75965" s="1" t="n">
        <v>75964</v>
      </c>
      <c r="B75965">
        <f>TEXT(75964, "[$-0E0000]yyyy-mm-dd")</f>
        <v/>
      </c>
      <c r="C75965" t="inlineStr">
        <is>
          <t>2107-11-12</t>
        </is>
      </c>
    </row>
    <row r="75966">
      <c r="A75966" s="1" t="n">
        <v>75965</v>
      </c>
      <c r="B75966">
        <f>TEXT(75965, "[$-0E0000]yyyy-mm-dd")</f>
        <v/>
      </c>
      <c r="C75966" t="inlineStr">
        <is>
          <t>2107-11-13</t>
        </is>
      </c>
    </row>
    <row r="75967">
      <c r="A75967" s="1" t="n">
        <v>75966</v>
      </c>
      <c r="B75967">
        <f>TEXT(75966, "[$-0E0000]yyyy-mm-dd")</f>
        <v/>
      </c>
      <c r="C75967" t="inlineStr">
        <is>
          <t>2107-11-14</t>
        </is>
      </c>
    </row>
    <row r="75968">
      <c r="A75968" s="1" t="n">
        <v>75967</v>
      </c>
      <c r="B75968">
        <f>TEXT(75967, "[$-0E0000]yyyy-mm-dd")</f>
        <v/>
      </c>
      <c r="C75968" t="inlineStr">
        <is>
          <t>2107-11-15</t>
        </is>
      </c>
    </row>
    <row r="75969">
      <c r="A75969" s="1" t="n">
        <v>75968</v>
      </c>
      <c r="B75969">
        <f>TEXT(75968, "[$-0E0000]yyyy-mm-dd")</f>
        <v/>
      </c>
      <c r="C75969" t="inlineStr">
        <is>
          <t>2107-11-16</t>
        </is>
      </c>
    </row>
    <row r="75970">
      <c r="A75970" s="1" t="n">
        <v>75969</v>
      </c>
      <c r="B75970">
        <f>TEXT(75969, "[$-0E0000]yyyy-mm-dd")</f>
        <v/>
      </c>
      <c r="C75970" t="inlineStr">
        <is>
          <t>2107-11-17</t>
        </is>
      </c>
    </row>
    <row r="75971">
      <c r="A75971" s="1" t="n">
        <v>75970</v>
      </c>
      <c r="B75971">
        <f>TEXT(75970, "[$-0E0000]yyyy-mm-dd")</f>
        <v/>
      </c>
      <c r="C75971" t="inlineStr">
        <is>
          <t>2107-11-18</t>
        </is>
      </c>
    </row>
    <row r="75972">
      <c r="A75972" s="1" t="n">
        <v>75971</v>
      </c>
      <c r="B75972">
        <f>TEXT(75971, "[$-0E0000]yyyy-mm-dd")</f>
        <v/>
      </c>
      <c r="C75972" t="inlineStr">
        <is>
          <t>2107-11-19</t>
        </is>
      </c>
    </row>
    <row r="75973">
      <c r="A75973" s="1" t="n">
        <v>75972</v>
      </c>
      <c r="B75973">
        <f>TEXT(75972, "[$-0E0000]yyyy-mm-dd")</f>
        <v/>
      </c>
      <c r="C75973" t="inlineStr">
        <is>
          <t>2107-11-20</t>
        </is>
      </c>
    </row>
    <row r="75974">
      <c r="A75974" s="1" t="n">
        <v>75973</v>
      </c>
      <c r="B75974">
        <f>TEXT(75973, "[$-0E0000]yyyy-mm-dd")</f>
        <v/>
      </c>
      <c r="C75974" t="inlineStr">
        <is>
          <t>2107-11-21</t>
        </is>
      </c>
    </row>
    <row r="75975">
      <c r="A75975" s="1" t="n">
        <v>75974</v>
      </c>
      <c r="B75975">
        <f>TEXT(75974, "[$-0E0000]yyyy-mm-dd")</f>
        <v/>
      </c>
      <c r="C75975" t="inlineStr">
        <is>
          <t>2107-11-22</t>
        </is>
      </c>
    </row>
    <row r="75976">
      <c r="A75976" s="1" t="n">
        <v>75975</v>
      </c>
      <c r="B75976">
        <f>TEXT(75975, "[$-0E0000]yyyy-mm-dd")</f>
        <v/>
      </c>
      <c r="C75976" t="inlineStr">
        <is>
          <t>2107-11-23</t>
        </is>
      </c>
    </row>
    <row r="75977">
      <c r="A75977" s="1" t="n">
        <v>75976</v>
      </c>
      <c r="B75977">
        <f>TEXT(75976, "[$-0E0000]yyyy-mm-dd")</f>
        <v/>
      </c>
      <c r="C75977" t="inlineStr">
        <is>
          <t>2107-11-24</t>
        </is>
      </c>
    </row>
    <row r="75978">
      <c r="A75978" s="1" t="n">
        <v>75977</v>
      </c>
      <c r="B75978">
        <f>TEXT(75977, "[$-0E0000]yyyy-mm-dd")</f>
        <v/>
      </c>
      <c r="C75978" t="inlineStr">
        <is>
          <t>2107-11-25</t>
        </is>
      </c>
    </row>
    <row r="75979">
      <c r="A75979" s="1" t="n">
        <v>75978</v>
      </c>
      <c r="B75979">
        <f>TEXT(75978, "[$-0E0000]yyyy-mm-dd")</f>
        <v/>
      </c>
      <c r="C75979" t="inlineStr">
        <is>
          <t>2107-11-26</t>
        </is>
      </c>
    </row>
    <row r="75980">
      <c r="A75980" s="1" t="n">
        <v>75979</v>
      </c>
      <c r="B75980">
        <f>TEXT(75979, "[$-0E0000]yyyy-mm-dd")</f>
        <v/>
      </c>
      <c r="C75980" t="inlineStr">
        <is>
          <t>2107-11-27</t>
        </is>
      </c>
    </row>
    <row r="75981">
      <c r="A75981" s="1" t="n">
        <v>75980</v>
      </c>
      <c r="B75981">
        <f>TEXT(75980, "[$-0E0000]yyyy-mm-dd")</f>
        <v/>
      </c>
      <c r="C75981" t="inlineStr">
        <is>
          <t>2107-11-28</t>
        </is>
      </c>
    </row>
    <row r="75982">
      <c r="A75982" s="1" t="n">
        <v>75981</v>
      </c>
      <c r="B75982">
        <f>TEXT(75981, "[$-0E0000]yyyy-mm-dd")</f>
        <v/>
      </c>
      <c r="C75982" t="inlineStr">
        <is>
          <t>2107-11-29</t>
        </is>
      </c>
    </row>
    <row r="75983">
      <c r="A75983" s="1" t="n">
        <v>75982</v>
      </c>
      <c r="B75983">
        <f>TEXT(75982, "[$-0E0000]yyyy-mm-dd")</f>
        <v/>
      </c>
      <c r="C75983" t="inlineStr">
        <is>
          <t>2107-11-30</t>
        </is>
      </c>
    </row>
    <row r="75984">
      <c r="A75984" s="1" t="n">
        <v>75983</v>
      </c>
      <c r="B75984">
        <f>TEXT(75983, "[$-0E0000]yyyy-mm-dd")</f>
        <v/>
      </c>
      <c r="C75984" t="inlineStr">
        <is>
          <t>2107-12-01</t>
        </is>
      </c>
    </row>
    <row r="75985">
      <c r="A75985" s="1" t="n">
        <v>75984</v>
      </c>
      <c r="B75985">
        <f>TEXT(75984, "[$-0E0000]yyyy-mm-dd")</f>
        <v/>
      </c>
      <c r="C75985" t="inlineStr">
        <is>
          <t>2107-12-02</t>
        </is>
      </c>
    </row>
    <row r="75986">
      <c r="A75986" s="1" t="n">
        <v>75985</v>
      </c>
      <c r="B75986">
        <f>TEXT(75985, "[$-0E0000]yyyy-mm-dd")</f>
        <v/>
      </c>
      <c r="C75986" t="inlineStr">
        <is>
          <t>2107-12-03</t>
        </is>
      </c>
    </row>
    <row r="75987">
      <c r="A75987" s="1" t="n">
        <v>75986</v>
      </c>
      <c r="B75987">
        <f>TEXT(75986, "[$-0E0000]yyyy-mm-dd")</f>
        <v/>
      </c>
      <c r="C75987" t="inlineStr">
        <is>
          <t>2107-12-04</t>
        </is>
      </c>
    </row>
    <row r="75988">
      <c r="A75988" s="1" t="n">
        <v>75987</v>
      </c>
      <c r="B75988">
        <f>TEXT(75987, "[$-0E0000]yyyy-mm-dd")</f>
        <v/>
      </c>
      <c r="C75988" t="inlineStr">
        <is>
          <t>2107-12-05</t>
        </is>
      </c>
    </row>
    <row r="75989">
      <c r="A75989" s="1" t="n">
        <v>75988</v>
      </c>
      <c r="B75989">
        <f>TEXT(75988, "[$-0E0000]yyyy-mm-dd")</f>
        <v/>
      </c>
      <c r="C75989" t="inlineStr">
        <is>
          <t>2107-12-06</t>
        </is>
      </c>
    </row>
    <row r="75990">
      <c r="A75990" s="1" t="n">
        <v>75989</v>
      </c>
      <c r="B75990">
        <f>TEXT(75989, "[$-0E0000]yyyy-mm-dd")</f>
        <v/>
      </c>
      <c r="C75990" t="inlineStr">
        <is>
          <t>2107-12-07</t>
        </is>
      </c>
    </row>
    <row r="75991">
      <c r="A75991" s="1" t="n">
        <v>75990</v>
      </c>
      <c r="B75991">
        <f>TEXT(75990, "[$-0E0000]yyyy-mm-dd")</f>
        <v/>
      </c>
      <c r="C75991" t="inlineStr">
        <is>
          <t>2107-12-08</t>
        </is>
      </c>
    </row>
    <row r="75992">
      <c r="A75992" s="1" t="n">
        <v>75991</v>
      </c>
      <c r="B75992">
        <f>TEXT(75991, "[$-0E0000]yyyy-mm-dd")</f>
        <v/>
      </c>
      <c r="C75992" t="inlineStr">
        <is>
          <t>2107-12-09</t>
        </is>
      </c>
    </row>
    <row r="75993">
      <c r="A75993" s="1" t="n">
        <v>75992</v>
      </c>
      <c r="B75993">
        <f>TEXT(75992, "[$-0E0000]yyyy-mm-dd")</f>
        <v/>
      </c>
      <c r="C75993" t="inlineStr">
        <is>
          <t>2107-12-10</t>
        </is>
      </c>
    </row>
    <row r="75994">
      <c r="A75994" s="1" t="n">
        <v>75993</v>
      </c>
      <c r="B75994">
        <f>TEXT(75993, "[$-0E0000]yyyy-mm-dd")</f>
        <v/>
      </c>
      <c r="C75994" t="inlineStr">
        <is>
          <t>2107-12-11</t>
        </is>
      </c>
    </row>
    <row r="75995">
      <c r="A75995" s="1" t="n">
        <v>75994</v>
      </c>
      <c r="B75995">
        <f>TEXT(75994, "[$-0E0000]yyyy-mm-dd")</f>
        <v/>
      </c>
      <c r="C75995" t="inlineStr">
        <is>
          <t>2107-12-12</t>
        </is>
      </c>
    </row>
    <row r="75996">
      <c r="A75996" s="1" t="n">
        <v>75995</v>
      </c>
      <c r="B75996">
        <f>TEXT(75995, "[$-0E0000]yyyy-mm-dd")</f>
        <v/>
      </c>
      <c r="C75996" t="inlineStr">
        <is>
          <t>2107-12-13</t>
        </is>
      </c>
    </row>
    <row r="75997">
      <c r="A75997" s="1" t="n">
        <v>75996</v>
      </c>
      <c r="B75997">
        <f>TEXT(75996, "[$-0E0000]yyyy-mm-dd")</f>
        <v/>
      </c>
      <c r="C75997" t="inlineStr">
        <is>
          <t>2107-12-14</t>
        </is>
      </c>
    </row>
    <row r="75998">
      <c r="A75998" s="1" t="n">
        <v>75997</v>
      </c>
      <c r="B75998">
        <f>TEXT(75997, "[$-0E0000]yyyy-mm-dd")</f>
        <v/>
      </c>
      <c r="C75998" t="inlineStr">
        <is>
          <t>2107-12-15</t>
        </is>
      </c>
    </row>
    <row r="75999">
      <c r="A75999" s="1" t="n">
        <v>75998</v>
      </c>
      <c r="B75999">
        <f>TEXT(75998, "[$-0E0000]yyyy-mm-dd")</f>
        <v/>
      </c>
      <c r="C75999" t="inlineStr">
        <is>
          <t>2107-12-16</t>
        </is>
      </c>
    </row>
    <row r="76000">
      <c r="A76000" s="1" t="n">
        <v>75999</v>
      </c>
      <c r="B76000">
        <f>TEXT(75999, "[$-0E0000]yyyy-mm-dd")</f>
        <v/>
      </c>
      <c r="C76000" t="inlineStr">
        <is>
          <t>2107-12-17</t>
        </is>
      </c>
    </row>
    <row r="76001">
      <c r="A76001" s="1" t="n">
        <v>76000</v>
      </c>
      <c r="B76001">
        <f>TEXT(76000, "[$-0E0000]yyyy-mm-dd")</f>
        <v/>
      </c>
      <c r="C76001" t="inlineStr">
        <is>
          <t>2107-12-18</t>
        </is>
      </c>
    </row>
    <row r="76002">
      <c r="A76002" s="1" t="n">
        <v>76001</v>
      </c>
      <c r="B76002">
        <f>TEXT(76001, "[$-0E0000]yyyy-mm-dd")</f>
        <v/>
      </c>
      <c r="C76002" t="inlineStr">
        <is>
          <t>2107-12-19</t>
        </is>
      </c>
    </row>
    <row r="76003">
      <c r="A76003" s="1" t="n">
        <v>76002</v>
      </c>
      <c r="B76003">
        <f>TEXT(76002, "[$-0E0000]yyyy-mm-dd")</f>
        <v/>
      </c>
      <c r="C76003" t="inlineStr">
        <is>
          <t>2107-12-20</t>
        </is>
      </c>
    </row>
    <row r="76004">
      <c r="A76004" s="1" t="n">
        <v>76003</v>
      </c>
      <c r="B76004">
        <f>TEXT(76003, "[$-0E0000]yyyy-mm-dd")</f>
        <v/>
      </c>
      <c r="C76004" t="inlineStr">
        <is>
          <t>2107-12-21</t>
        </is>
      </c>
    </row>
    <row r="76005">
      <c r="A76005" s="1" t="n">
        <v>76004</v>
      </c>
      <c r="B76005">
        <f>TEXT(76004, "[$-0E0000]yyyy-mm-dd")</f>
        <v/>
      </c>
      <c r="C76005" t="inlineStr">
        <is>
          <t>2107-12-22</t>
        </is>
      </c>
    </row>
    <row r="76006">
      <c r="A76006" s="1" t="n">
        <v>76005</v>
      </c>
      <c r="B76006">
        <f>TEXT(76005, "[$-0E0000]yyyy-mm-dd")</f>
        <v/>
      </c>
      <c r="C76006" t="inlineStr">
        <is>
          <t>2107-12-23</t>
        </is>
      </c>
    </row>
    <row r="76007">
      <c r="A76007" s="1" t="n">
        <v>76006</v>
      </c>
      <c r="B76007">
        <f>TEXT(76006, "[$-0E0000]yyyy-mm-dd")</f>
        <v/>
      </c>
      <c r="C76007" t="inlineStr">
        <is>
          <t>2107-12-24</t>
        </is>
      </c>
    </row>
    <row r="76008">
      <c r="A76008" s="1" t="n">
        <v>76007</v>
      </c>
      <c r="B76008">
        <f>TEXT(76007, "[$-0E0000]yyyy-mm-dd")</f>
        <v/>
      </c>
      <c r="C76008" t="inlineStr">
        <is>
          <t>2107-12-25</t>
        </is>
      </c>
    </row>
    <row r="76009">
      <c r="A76009" s="1" t="n">
        <v>76008</v>
      </c>
      <c r="B76009">
        <f>TEXT(76008, "[$-0E0000]yyyy-mm-dd")</f>
        <v/>
      </c>
      <c r="C76009" t="inlineStr">
        <is>
          <t>2107-12-26</t>
        </is>
      </c>
    </row>
    <row r="76010">
      <c r="A76010" s="1" t="n">
        <v>76009</v>
      </c>
      <c r="B76010">
        <f>TEXT(76009, "[$-0E0000]yyyy-mm-dd")</f>
        <v/>
      </c>
      <c r="C76010" t="inlineStr">
        <is>
          <t>2107-12-27</t>
        </is>
      </c>
    </row>
    <row r="76011">
      <c r="A76011" s="1" t="n">
        <v>76010</v>
      </c>
      <c r="B76011">
        <f>TEXT(76010, "[$-0E0000]yyyy-mm-dd")</f>
        <v/>
      </c>
      <c r="C76011" t="inlineStr">
        <is>
          <t>2107-12-28</t>
        </is>
      </c>
    </row>
    <row r="76012">
      <c r="A76012" s="1" t="n">
        <v>76011</v>
      </c>
      <c r="B76012">
        <f>TEXT(76011, "[$-0E0000]yyyy-mm-dd")</f>
        <v/>
      </c>
      <c r="C76012" t="inlineStr">
        <is>
          <t>2107-12-29</t>
        </is>
      </c>
    </row>
    <row r="76013">
      <c r="A76013" s="1" t="n">
        <v>76012</v>
      </c>
      <c r="B76013">
        <f>TEXT(76012, "[$-0E0000]yyyy-mm-dd")</f>
        <v/>
      </c>
      <c r="C76013" t="inlineStr">
        <is>
          <t>2107-12-30</t>
        </is>
      </c>
    </row>
    <row r="76014">
      <c r="A76014" s="1" t="n">
        <v>76013</v>
      </c>
      <c r="B76014">
        <f>TEXT(76013, "[$-0E0000]yyyy-mm-dd")</f>
        <v/>
      </c>
      <c r="C76014" t="inlineStr">
        <is>
          <t>2108-01-01</t>
        </is>
      </c>
    </row>
    <row r="76015">
      <c r="A76015" s="1" t="n">
        <v>76014</v>
      </c>
      <c r="B76015">
        <f>TEXT(76014, "[$-0E0000]yyyy-mm-dd")</f>
        <v/>
      </c>
      <c r="C76015" t="inlineStr">
        <is>
          <t>2108-01-02</t>
        </is>
      </c>
    </row>
    <row r="76016">
      <c r="A76016" s="1" t="n">
        <v>76015</v>
      </c>
      <c r="B76016">
        <f>TEXT(76015, "[$-0E0000]yyyy-mm-dd")</f>
        <v/>
      </c>
      <c r="C76016" t="inlineStr">
        <is>
          <t>2108-01-03</t>
        </is>
      </c>
    </row>
    <row r="76017">
      <c r="A76017" s="1" t="n">
        <v>76016</v>
      </c>
      <c r="B76017">
        <f>TEXT(76016, "[$-0E0000]yyyy-mm-dd")</f>
        <v/>
      </c>
      <c r="C76017" t="inlineStr">
        <is>
          <t>2108-01-04</t>
        </is>
      </c>
    </row>
    <row r="76018">
      <c r="A76018" s="1" t="n">
        <v>76017</v>
      </c>
      <c r="B76018">
        <f>TEXT(76017, "[$-0E0000]yyyy-mm-dd")</f>
        <v/>
      </c>
      <c r="C76018" t="inlineStr">
        <is>
          <t>2108-01-05</t>
        </is>
      </c>
    </row>
    <row r="76019">
      <c r="A76019" s="1" t="n">
        <v>76018</v>
      </c>
      <c r="B76019">
        <f>TEXT(76018, "[$-0E0000]yyyy-mm-dd")</f>
        <v/>
      </c>
      <c r="C76019" t="inlineStr">
        <is>
          <t>2108-01-06</t>
        </is>
      </c>
    </row>
    <row r="76020">
      <c r="A76020" s="1" t="n">
        <v>76019</v>
      </c>
      <c r="B76020">
        <f>TEXT(76019, "[$-0E0000]yyyy-mm-dd")</f>
        <v/>
      </c>
      <c r="C76020" t="inlineStr">
        <is>
          <t>2108-01-07</t>
        </is>
      </c>
    </row>
    <row r="76021">
      <c r="A76021" s="1" t="n">
        <v>76020</v>
      </c>
      <c r="B76021">
        <f>TEXT(76020, "[$-0E0000]yyyy-mm-dd")</f>
        <v/>
      </c>
      <c r="C76021" t="inlineStr">
        <is>
          <t>2108-01-08</t>
        </is>
      </c>
    </row>
    <row r="76022">
      <c r="A76022" s="1" t="n">
        <v>76021</v>
      </c>
      <c r="B76022">
        <f>TEXT(76021, "[$-0E0000]yyyy-mm-dd")</f>
        <v/>
      </c>
      <c r="C76022" t="inlineStr">
        <is>
          <t>2108-01-09</t>
        </is>
      </c>
    </row>
    <row r="76023">
      <c r="A76023" s="1" t="n">
        <v>76022</v>
      </c>
      <c r="B76023">
        <f>TEXT(76022, "[$-0E0000]yyyy-mm-dd")</f>
        <v/>
      </c>
      <c r="C76023" t="inlineStr">
        <is>
          <t>2108-01-10</t>
        </is>
      </c>
    </row>
    <row r="76024">
      <c r="A76024" s="1" t="n">
        <v>76023</v>
      </c>
      <c r="B76024">
        <f>TEXT(76023, "[$-0E0000]yyyy-mm-dd")</f>
        <v/>
      </c>
      <c r="C76024" t="inlineStr">
        <is>
          <t>2108-01-11</t>
        </is>
      </c>
    </row>
    <row r="76025">
      <c r="A76025" s="1" t="n">
        <v>76024</v>
      </c>
      <c r="B76025">
        <f>TEXT(76024, "[$-0E0000]yyyy-mm-dd")</f>
        <v/>
      </c>
      <c r="C76025" t="inlineStr">
        <is>
          <t>2108-01-12</t>
        </is>
      </c>
    </row>
    <row r="76026">
      <c r="A76026" s="1" t="n">
        <v>76025</v>
      </c>
      <c r="B76026">
        <f>TEXT(76025, "[$-0E0000]yyyy-mm-dd")</f>
        <v/>
      </c>
      <c r="C76026" t="inlineStr">
        <is>
          <t>2108-01-13</t>
        </is>
      </c>
    </row>
    <row r="76027">
      <c r="A76027" s="1" t="n">
        <v>76026</v>
      </c>
      <c r="B76027">
        <f>TEXT(76026, "[$-0E0000]yyyy-mm-dd")</f>
        <v/>
      </c>
      <c r="C76027" t="inlineStr">
        <is>
          <t>2108-01-14</t>
        </is>
      </c>
    </row>
    <row r="76028">
      <c r="A76028" s="1" t="n">
        <v>76027</v>
      </c>
      <c r="B76028">
        <f>TEXT(76027, "[$-0E0000]yyyy-mm-dd")</f>
        <v/>
      </c>
      <c r="C76028" t="inlineStr">
        <is>
          <t>2108-01-15</t>
        </is>
      </c>
    </row>
    <row r="76029">
      <c r="A76029" s="1" t="n">
        <v>76028</v>
      </c>
      <c r="B76029">
        <f>TEXT(76028, "[$-0E0000]yyyy-mm-dd")</f>
        <v/>
      </c>
      <c r="C76029" t="inlineStr">
        <is>
          <t>2108-01-16</t>
        </is>
      </c>
    </row>
    <row r="76030">
      <c r="A76030" s="1" t="n">
        <v>76029</v>
      </c>
      <c r="B76030">
        <f>TEXT(76029, "[$-0E0000]yyyy-mm-dd")</f>
        <v/>
      </c>
      <c r="C76030" t="inlineStr">
        <is>
          <t>2108-01-17</t>
        </is>
      </c>
    </row>
    <row r="76031">
      <c r="A76031" s="1" t="n">
        <v>76030</v>
      </c>
      <c r="B76031">
        <f>TEXT(76030, "[$-0E0000]yyyy-mm-dd")</f>
        <v/>
      </c>
      <c r="C76031" t="inlineStr">
        <is>
          <t>2108-01-18</t>
        </is>
      </c>
    </row>
    <row r="76032">
      <c r="A76032" s="1" t="n">
        <v>76031</v>
      </c>
      <c r="B76032">
        <f>TEXT(76031, "[$-0E0000]yyyy-mm-dd")</f>
        <v/>
      </c>
      <c r="C76032" t="inlineStr">
        <is>
          <t>2108-01-19</t>
        </is>
      </c>
    </row>
    <row r="76033">
      <c r="A76033" s="1" t="n">
        <v>76032</v>
      </c>
      <c r="B76033">
        <f>TEXT(76032, "[$-0E0000]yyyy-mm-dd")</f>
        <v/>
      </c>
      <c r="C76033" t="inlineStr">
        <is>
          <t>2108-01-20</t>
        </is>
      </c>
    </row>
    <row r="76034">
      <c r="A76034" s="1" t="n">
        <v>76033</v>
      </c>
      <c r="B76034">
        <f>TEXT(76033, "[$-0E0000]yyyy-mm-dd")</f>
        <v/>
      </c>
      <c r="C76034" t="inlineStr">
        <is>
          <t>2108-01-21</t>
        </is>
      </c>
    </row>
    <row r="76035">
      <c r="A76035" s="1" t="n">
        <v>76034</v>
      </c>
      <c r="B76035">
        <f>TEXT(76034, "[$-0E0000]yyyy-mm-dd")</f>
        <v/>
      </c>
      <c r="C76035" t="inlineStr">
        <is>
          <t>2108-01-22</t>
        </is>
      </c>
    </row>
    <row r="76036">
      <c r="A76036" s="1" t="n">
        <v>76035</v>
      </c>
      <c r="B76036">
        <f>TEXT(76035, "[$-0E0000]yyyy-mm-dd")</f>
        <v/>
      </c>
      <c r="C76036" t="inlineStr">
        <is>
          <t>2108-01-23</t>
        </is>
      </c>
    </row>
    <row r="76037">
      <c r="A76037" s="1" t="n">
        <v>76036</v>
      </c>
      <c r="B76037">
        <f>TEXT(76036, "[$-0E0000]yyyy-mm-dd")</f>
        <v/>
      </c>
      <c r="C76037" t="inlineStr">
        <is>
          <t>2108-01-24</t>
        </is>
      </c>
    </row>
    <row r="76038">
      <c r="A76038" s="1" t="n">
        <v>76037</v>
      </c>
      <c r="B76038">
        <f>TEXT(76037, "[$-0E0000]yyyy-mm-dd")</f>
        <v/>
      </c>
      <c r="C76038" t="inlineStr">
        <is>
          <t>2108-01-25</t>
        </is>
      </c>
    </row>
    <row r="76039">
      <c r="A76039" s="1" t="n">
        <v>76038</v>
      </c>
      <c r="B76039">
        <f>TEXT(76038, "[$-0E0000]yyyy-mm-dd")</f>
        <v/>
      </c>
      <c r="C76039" t="inlineStr">
        <is>
          <t>2108-01-26</t>
        </is>
      </c>
    </row>
    <row r="76040">
      <c r="A76040" s="1" t="n">
        <v>76039</v>
      </c>
      <c r="B76040">
        <f>TEXT(76039, "[$-0E0000]yyyy-mm-dd")</f>
        <v/>
      </c>
      <c r="C76040" t="inlineStr">
        <is>
          <t>2108-01-27</t>
        </is>
      </c>
    </row>
    <row r="76041">
      <c r="A76041" s="1" t="n">
        <v>76040</v>
      </c>
      <c r="B76041">
        <f>TEXT(76040, "[$-0E0000]yyyy-mm-dd")</f>
        <v/>
      </c>
      <c r="C76041" t="inlineStr">
        <is>
          <t>2108-01-28</t>
        </is>
      </c>
    </row>
    <row r="76042">
      <c r="A76042" s="1" t="n">
        <v>76041</v>
      </c>
      <c r="B76042">
        <f>TEXT(76041, "[$-0E0000]yyyy-mm-dd")</f>
        <v/>
      </c>
      <c r="C76042" t="inlineStr">
        <is>
          <t>2108-01-29</t>
        </is>
      </c>
    </row>
    <row r="76043">
      <c r="A76043" s="1" t="n">
        <v>76042</v>
      </c>
      <c r="B76043">
        <f>TEXT(76042, "[$-0E0000]yyyy-mm-dd")</f>
        <v/>
      </c>
      <c r="C76043" t="inlineStr">
        <is>
          <t>2108-01-30</t>
        </is>
      </c>
    </row>
    <row r="76044">
      <c r="A76044" s="1" t="n">
        <v>76043</v>
      </c>
      <c r="B76044">
        <f>TEXT(76043, "[$-0E0000]yyyy-mm-dd")</f>
        <v/>
      </c>
      <c r="C76044" t="inlineStr">
        <is>
          <t>2108-02-01</t>
        </is>
      </c>
    </row>
    <row r="76045">
      <c r="A76045" s="1" t="n">
        <v>76044</v>
      </c>
      <c r="B76045">
        <f>TEXT(76044, "[$-0E0000]yyyy-mm-dd")</f>
        <v/>
      </c>
      <c r="C76045" t="inlineStr">
        <is>
          <t>2108-02-02</t>
        </is>
      </c>
    </row>
    <row r="76046">
      <c r="A76046" s="1" t="n">
        <v>76045</v>
      </c>
      <c r="B76046">
        <f>TEXT(76045, "[$-0E0000]yyyy-mm-dd")</f>
        <v/>
      </c>
      <c r="C76046" t="inlineStr">
        <is>
          <t>2108-02-03</t>
        </is>
      </c>
    </row>
    <row r="76047">
      <c r="A76047" s="1" t="n">
        <v>76046</v>
      </c>
      <c r="B76047">
        <f>TEXT(76046, "[$-0E0000]yyyy-mm-dd")</f>
        <v/>
      </c>
      <c r="C76047" t="inlineStr">
        <is>
          <t>2108-02-04</t>
        </is>
      </c>
    </row>
    <row r="76048">
      <c r="A76048" s="1" t="n">
        <v>76047</v>
      </c>
      <c r="B76048">
        <f>TEXT(76047, "[$-0E0000]yyyy-mm-dd")</f>
        <v/>
      </c>
      <c r="C76048" t="inlineStr">
        <is>
          <t>2108-02-05</t>
        </is>
      </c>
    </row>
    <row r="76049">
      <c r="A76049" s="1" t="n">
        <v>76048</v>
      </c>
      <c r="B76049">
        <f>TEXT(76048, "[$-0E0000]yyyy-mm-dd")</f>
        <v/>
      </c>
      <c r="C76049" t="inlineStr">
        <is>
          <t>2108-02-06</t>
        </is>
      </c>
    </row>
    <row r="76050">
      <c r="A76050" s="1" t="n">
        <v>76049</v>
      </c>
      <c r="B76050">
        <f>TEXT(76049, "[$-0E0000]yyyy-mm-dd")</f>
        <v/>
      </c>
      <c r="C76050" t="inlineStr">
        <is>
          <t>2108-02-07</t>
        </is>
      </c>
    </row>
    <row r="76051">
      <c r="A76051" s="1" t="n">
        <v>76050</v>
      </c>
      <c r="B76051">
        <f>TEXT(76050, "[$-0E0000]yyyy-mm-dd")</f>
        <v/>
      </c>
      <c r="C76051" t="inlineStr">
        <is>
          <t>2108-02-08</t>
        </is>
      </c>
    </row>
    <row r="76052">
      <c r="A76052" s="1" t="n">
        <v>76051</v>
      </c>
      <c r="B76052">
        <f>TEXT(76051, "[$-0E0000]yyyy-mm-dd")</f>
        <v/>
      </c>
      <c r="C76052" t="inlineStr">
        <is>
          <t>2108-02-09</t>
        </is>
      </c>
    </row>
    <row r="76053">
      <c r="A76053" s="1" t="n">
        <v>76052</v>
      </c>
      <c r="B76053">
        <f>TEXT(76052, "[$-0E0000]yyyy-mm-dd")</f>
        <v/>
      </c>
      <c r="C76053" t="inlineStr">
        <is>
          <t>2108-02-10</t>
        </is>
      </c>
    </row>
    <row r="76054">
      <c r="A76054" s="1" t="n">
        <v>76053</v>
      </c>
      <c r="B76054">
        <f>TEXT(76053, "[$-0E0000]yyyy-mm-dd")</f>
        <v/>
      </c>
      <c r="C76054" t="inlineStr">
        <is>
          <t>2108-02-11</t>
        </is>
      </c>
    </row>
    <row r="76055">
      <c r="A76055" s="1" t="n">
        <v>76054</v>
      </c>
      <c r="B76055">
        <f>TEXT(76054, "[$-0E0000]yyyy-mm-dd")</f>
        <v/>
      </c>
      <c r="C76055" t="inlineStr">
        <is>
          <t>2108-02-12</t>
        </is>
      </c>
    </row>
    <row r="76056">
      <c r="A76056" s="1" t="n">
        <v>76055</v>
      </c>
      <c r="B76056">
        <f>TEXT(76055, "[$-0E0000]yyyy-mm-dd")</f>
        <v/>
      </c>
      <c r="C76056" t="inlineStr">
        <is>
          <t>2108-02-13</t>
        </is>
      </c>
    </row>
    <row r="76057">
      <c r="A76057" s="1" t="n">
        <v>76056</v>
      </c>
      <c r="B76057">
        <f>TEXT(76056, "[$-0E0000]yyyy-mm-dd")</f>
        <v/>
      </c>
      <c r="C76057" t="inlineStr">
        <is>
          <t>2108-02-14</t>
        </is>
      </c>
    </row>
    <row r="76058">
      <c r="A76058" s="1" t="n">
        <v>76057</v>
      </c>
      <c r="B76058">
        <f>TEXT(76057, "[$-0E0000]yyyy-mm-dd")</f>
        <v/>
      </c>
      <c r="C76058" t="inlineStr">
        <is>
          <t>2108-02-15</t>
        </is>
      </c>
    </row>
    <row r="76059">
      <c r="A76059" s="1" t="n">
        <v>76058</v>
      </c>
      <c r="B76059">
        <f>TEXT(76058, "[$-0E0000]yyyy-mm-dd")</f>
        <v/>
      </c>
      <c r="C76059" t="inlineStr">
        <is>
          <t>2108-02-16</t>
        </is>
      </c>
    </row>
    <row r="76060">
      <c r="A76060" s="1" t="n">
        <v>76059</v>
      </c>
      <c r="B76060">
        <f>TEXT(76059, "[$-0E0000]yyyy-mm-dd")</f>
        <v/>
      </c>
      <c r="C76060" t="inlineStr">
        <is>
          <t>2108-02-17</t>
        </is>
      </c>
    </row>
    <row r="76061">
      <c r="A76061" s="1" t="n">
        <v>76060</v>
      </c>
      <c r="B76061">
        <f>TEXT(76060, "[$-0E0000]yyyy-mm-dd")</f>
        <v/>
      </c>
      <c r="C76061" t="inlineStr">
        <is>
          <t>2108-02-18</t>
        </is>
      </c>
    </row>
    <row r="76062">
      <c r="A76062" s="1" t="n">
        <v>76061</v>
      </c>
      <c r="B76062">
        <f>TEXT(76061, "[$-0E0000]yyyy-mm-dd")</f>
        <v/>
      </c>
      <c r="C76062" t="inlineStr">
        <is>
          <t>2108-02-19</t>
        </is>
      </c>
    </row>
    <row r="76063">
      <c r="A76063" s="1" t="n">
        <v>76062</v>
      </c>
      <c r="B76063">
        <f>TEXT(76062, "[$-0E0000]yyyy-mm-dd")</f>
        <v/>
      </c>
      <c r="C76063" t="inlineStr">
        <is>
          <t>2108-02-20</t>
        </is>
      </c>
    </row>
    <row r="76064">
      <c r="A76064" s="1" t="n">
        <v>76063</v>
      </c>
      <c r="B76064">
        <f>TEXT(76063, "[$-0E0000]yyyy-mm-dd")</f>
        <v/>
      </c>
      <c r="C76064" t="inlineStr">
        <is>
          <t>2108-02-21</t>
        </is>
      </c>
    </row>
    <row r="76065">
      <c r="A76065" s="1" t="n">
        <v>76064</v>
      </c>
      <c r="B76065">
        <f>TEXT(76064, "[$-0E0000]yyyy-mm-dd")</f>
        <v/>
      </c>
      <c r="C76065" t="inlineStr">
        <is>
          <t>2108-02-22</t>
        </is>
      </c>
    </row>
    <row r="76066">
      <c r="A76066" s="1" t="n">
        <v>76065</v>
      </c>
      <c r="B76066">
        <f>TEXT(76065, "[$-0E0000]yyyy-mm-dd")</f>
        <v/>
      </c>
      <c r="C76066" t="inlineStr">
        <is>
          <t>2108-02-23</t>
        </is>
      </c>
    </row>
    <row r="76067">
      <c r="A76067" s="1" t="n">
        <v>76066</v>
      </c>
      <c r="B76067">
        <f>TEXT(76066, "[$-0E0000]yyyy-mm-dd")</f>
        <v/>
      </c>
      <c r="C76067" t="inlineStr">
        <is>
          <t>2108-02-24</t>
        </is>
      </c>
    </row>
    <row r="76068">
      <c r="A76068" s="1" t="n">
        <v>76067</v>
      </c>
      <c r="B76068">
        <f>TEXT(76067, "[$-0E0000]yyyy-mm-dd")</f>
        <v/>
      </c>
      <c r="C76068" t="inlineStr">
        <is>
          <t>2108-02-25</t>
        </is>
      </c>
    </row>
    <row r="76069">
      <c r="A76069" s="1" t="n">
        <v>76068</v>
      </c>
      <c r="B76069">
        <f>TEXT(76068, "[$-0E0000]yyyy-mm-dd")</f>
        <v/>
      </c>
      <c r="C76069" t="inlineStr">
        <is>
          <t>2108-02-26</t>
        </is>
      </c>
    </row>
    <row r="76070">
      <c r="A76070" s="1" t="n">
        <v>76069</v>
      </c>
      <c r="B76070">
        <f>TEXT(76069, "[$-0E0000]yyyy-mm-dd")</f>
        <v/>
      </c>
      <c r="C76070" t="inlineStr">
        <is>
          <t>2108-02-27</t>
        </is>
      </c>
    </row>
    <row r="76071">
      <c r="A76071" s="1" t="n">
        <v>76070</v>
      </c>
      <c r="B76071">
        <f>TEXT(76070, "[$-0E0000]yyyy-mm-dd")</f>
        <v/>
      </c>
      <c r="C76071" t="inlineStr">
        <is>
          <t>2108-02-28</t>
        </is>
      </c>
    </row>
    <row r="76072">
      <c r="A76072" s="1" t="n">
        <v>76071</v>
      </c>
      <c r="B76072">
        <f>TEXT(76071, "[$-0E0000]yyyy-mm-dd")</f>
        <v/>
      </c>
      <c r="C76072" t="inlineStr">
        <is>
          <t>2108-02-29</t>
        </is>
      </c>
    </row>
    <row r="76073">
      <c r="A76073" s="1" t="n">
        <v>76072</v>
      </c>
      <c r="B76073">
        <f>TEXT(76072, "[$-0E0000]yyyy-mm-dd")</f>
        <v/>
      </c>
      <c r="C76073" t="inlineStr">
        <is>
          <t>2108-03-01</t>
        </is>
      </c>
    </row>
    <row r="76074">
      <c r="A76074" s="1" t="n">
        <v>76073</v>
      </c>
      <c r="B76074">
        <f>TEXT(76073, "[$-0E0000]yyyy-mm-dd")</f>
        <v/>
      </c>
      <c r="C76074" t="inlineStr">
        <is>
          <t>2108-03-02</t>
        </is>
      </c>
    </row>
    <row r="76075">
      <c r="A76075" s="1" t="n">
        <v>76074</v>
      </c>
      <c r="B76075">
        <f>TEXT(76074, "[$-0E0000]yyyy-mm-dd")</f>
        <v/>
      </c>
      <c r="C76075" t="inlineStr">
        <is>
          <t>2108-03-03</t>
        </is>
      </c>
    </row>
    <row r="76076">
      <c r="A76076" s="1" t="n">
        <v>76075</v>
      </c>
      <c r="B76076">
        <f>TEXT(76075, "[$-0E0000]yyyy-mm-dd")</f>
        <v/>
      </c>
      <c r="C76076" t="inlineStr">
        <is>
          <t>2108-03-04</t>
        </is>
      </c>
    </row>
    <row r="76077">
      <c r="A76077" s="1" t="n">
        <v>76076</v>
      </c>
      <c r="B76077">
        <f>TEXT(76076, "[$-0E0000]yyyy-mm-dd")</f>
        <v/>
      </c>
      <c r="C76077" t="inlineStr">
        <is>
          <t>2108-03-05</t>
        </is>
      </c>
    </row>
    <row r="76078">
      <c r="A76078" s="1" t="n">
        <v>76077</v>
      </c>
      <c r="B76078">
        <f>TEXT(76077, "[$-0E0000]yyyy-mm-dd")</f>
        <v/>
      </c>
      <c r="C76078" t="inlineStr">
        <is>
          <t>2108-03-06</t>
        </is>
      </c>
    </row>
    <row r="76079">
      <c r="A76079" s="1" t="n">
        <v>76078</v>
      </c>
      <c r="B76079">
        <f>TEXT(76078, "[$-0E0000]yyyy-mm-dd")</f>
        <v/>
      </c>
      <c r="C76079" t="inlineStr">
        <is>
          <t>2108-03-07</t>
        </is>
      </c>
    </row>
    <row r="76080">
      <c r="A76080" s="1" t="n">
        <v>76079</v>
      </c>
      <c r="B76080">
        <f>TEXT(76079, "[$-0E0000]yyyy-mm-dd")</f>
        <v/>
      </c>
      <c r="C76080" t="inlineStr">
        <is>
          <t>2108-03-08</t>
        </is>
      </c>
    </row>
    <row r="76081">
      <c r="A76081" s="1" t="n">
        <v>76080</v>
      </c>
      <c r="B76081">
        <f>TEXT(76080, "[$-0E0000]yyyy-mm-dd")</f>
        <v/>
      </c>
      <c r="C76081" t="inlineStr">
        <is>
          <t>2108-03-09</t>
        </is>
      </c>
    </row>
    <row r="76082">
      <c r="A76082" s="1" t="n">
        <v>76081</v>
      </c>
      <c r="B76082">
        <f>TEXT(76081, "[$-0E0000]yyyy-mm-dd")</f>
        <v/>
      </c>
      <c r="C76082" t="inlineStr">
        <is>
          <t>2108-03-10</t>
        </is>
      </c>
    </row>
    <row r="76083">
      <c r="A76083" s="1" t="n">
        <v>76082</v>
      </c>
      <c r="B76083">
        <f>TEXT(76082, "[$-0E0000]yyyy-mm-dd")</f>
        <v/>
      </c>
      <c r="C76083" t="inlineStr">
        <is>
          <t>2108-03-11</t>
        </is>
      </c>
    </row>
    <row r="76084">
      <c r="A76084" s="1" t="n">
        <v>76083</v>
      </c>
      <c r="B76084">
        <f>TEXT(76083, "[$-0E0000]yyyy-mm-dd")</f>
        <v/>
      </c>
      <c r="C76084" t="inlineStr">
        <is>
          <t>2108-03-12</t>
        </is>
      </c>
    </row>
    <row r="76085">
      <c r="A76085" s="1" t="n">
        <v>76084</v>
      </c>
      <c r="B76085">
        <f>TEXT(76084, "[$-0E0000]yyyy-mm-dd")</f>
        <v/>
      </c>
      <c r="C76085" t="inlineStr">
        <is>
          <t>2108-03-13</t>
        </is>
      </c>
    </row>
    <row r="76086">
      <c r="A76086" s="1" t="n">
        <v>76085</v>
      </c>
      <c r="B76086">
        <f>TEXT(76085, "[$-0E0000]yyyy-mm-dd")</f>
        <v/>
      </c>
      <c r="C76086" t="inlineStr">
        <is>
          <t>2108-03-14</t>
        </is>
      </c>
    </row>
    <row r="76087">
      <c r="A76087" s="1" t="n">
        <v>76086</v>
      </c>
      <c r="B76087">
        <f>TEXT(76086, "[$-0E0000]yyyy-mm-dd")</f>
        <v/>
      </c>
      <c r="C76087" t="inlineStr">
        <is>
          <t>2108-03-15</t>
        </is>
      </c>
    </row>
    <row r="76088">
      <c r="A76088" s="1" t="n">
        <v>76087</v>
      </c>
      <c r="B76088">
        <f>TEXT(76087, "[$-0E0000]yyyy-mm-dd")</f>
        <v/>
      </c>
      <c r="C76088" t="inlineStr">
        <is>
          <t>2108-03-16</t>
        </is>
      </c>
    </row>
    <row r="76089">
      <c r="A76089" s="1" t="n">
        <v>76088</v>
      </c>
      <c r="B76089">
        <f>TEXT(76088, "[$-0E0000]yyyy-mm-dd")</f>
        <v/>
      </c>
      <c r="C76089" t="inlineStr">
        <is>
          <t>2108-03-17</t>
        </is>
      </c>
    </row>
    <row r="76090">
      <c r="A76090" s="1" t="n">
        <v>76089</v>
      </c>
      <c r="B76090">
        <f>TEXT(76089, "[$-0E0000]yyyy-mm-dd")</f>
        <v/>
      </c>
      <c r="C76090" t="inlineStr">
        <is>
          <t>2108-03-18</t>
        </is>
      </c>
    </row>
    <row r="76091">
      <c r="A76091" s="1" t="n">
        <v>76090</v>
      </c>
      <c r="B76091">
        <f>TEXT(76090, "[$-0E0000]yyyy-mm-dd")</f>
        <v/>
      </c>
      <c r="C76091" t="inlineStr">
        <is>
          <t>2108-03-19</t>
        </is>
      </c>
    </row>
    <row r="76092">
      <c r="A76092" s="1" t="n">
        <v>76091</v>
      </c>
      <c r="B76092">
        <f>TEXT(76091, "[$-0E0000]yyyy-mm-dd")</f>
        <v/>
      </c>
      <c r="C76092" t="inlineStr">
        <is>
          <t>2108-03-20</t>
        </is>
      </c>
    </row>
    <row r="76093">
      <c r="A76093" s="1" t="n">
        <v>76092</v>
      </c>
      <c r="B76093">
        <f>TEXT(76092, "[$-0E0000]yyyy-mm-dd")</f>
        <v/>
      </c>
      <c r="C76093" t="inlineStr">
        <is>
          <t>2108-03-21</t>
        </is>
      </c>
    </row>
    <row r="76094">
      <c r="A76094" s="1" t="n">
        <v>76093</v>
      </c>
      <c r="B76094">
        <f>TEXT(76093, "[$-0E0000]yyyy-mm-dd")</f>
        <v/>
      </c>
      <c r="C76094" t="inlineStr">
        <is>
          <t>2108-03-22</t>
        </is>
      </c>
    </row>
    <row r="76095">
      <c r="A76095" s="1" t="n">
        <v>76094</v>
      </c>
      <c r="B76095">
        <f>TEXT(76094, "[$-0E0000]yyyy-mm-dd")</f>
        <v/>
      </c>
      <c r="C76095" t="inlineStr">
        <is>
          <t>2108-03-23</t>
        </is>
      </c>
    </row>
    <row r="76096">
      <c r="A76096" s="1" t="n">
        <v>76095</v>
      </c>
      <c r="B76096">
        <f>TEXT(76095, "[$-0E0000]yyyy-mm-dd")</f>
        <v/>
      </c>
      <c r="C76096" t="inlineStr">
        <is>
          <t>2108-03-24</t>
        </is>
      </c>
    </row>
    <row r="76097">
      <c r="A76097" s="1" t="n">
        <v>76096</v>
      </c>
      <c r="B76097">
        <f>TEXT(76096, "[$-0E0000]yyyy-mm-dd")</f>
        <v/>
      </c>
      <c r="C76097" t="inlineStr">
        <is>
          <t>2108-03-25</t>
        </is>
      </c>
    </row>
    <row r="76098">
      <c r="A76098" s="1" t="n">
        <v>76097</v>
      </c>
      <c r="B76098">
        <f>TEXT(76097, "[$-0E0000]yyyy-mm-dd")</f>
        <v/>
      </c>
      <c r="C76098" t="inlineStr">
        <is>
          <t>2108-03-26</t>
        </is>
      </c>
    </row>
    <row r="76099">
      <c r="A76099" s="1" t="n">
        <v>76098</v>
      </c>
      <c r="B76099">
        <f>TEXT(76098, "[$-0E0000]yyyy-mm-dd")</f>
        <v/>
      </c>
      <c r="C76099" t="inlineStr">
        <is>
          <t>2108-03-27</t>
        </is>
      </c>
    </row>
    <row r="76100">
      <c r="A76100" s="1" t="n">
        <v>76099</v>
      </c>
      <c r="B76100">
        <f>TEXT(76099, "[$-0E0000]yyyy-mm-dd")</f>
        <v/>
      </c>
      <c r="C76100" t="inlineStr">
        <is>
          <t>2108-03-28</t>
        </is>
      </c>
    </row>
    <row r="76101">
      <c r="A76101" s="1" t="n">
        <v>76100</v>
      </c>
      <c r="B76101">
        <f>TEXT(76100, "[$-0E0000]yyyy-mm-dd")</f>
        <v/>
      </c>
      <c r="C76101" t="inlineStr">
        <is>
          <t>2108-03-29</t>
        </is>
      </c>
    </row>
    <row r="76102">
      <c r="A76102" s="1" t="n">
        <v>76101</v>
      </c>
      <c r="B76102">
        <f>TEXT(76101, "[$-0E0000]yyyy-mm-dd")</f>
        <v/>
      </c>
      <c r="C76102" t="inlineStr">
        <is>
          <t>2108-03-30</t>
        </is>
      </c>
    </row>
    <row r="76103">
      <c r="A76103" s="1" t="n">
        <v>76102</v>
      </c>
      <c r="B76103">
        <f>TEXT(76102, "[$-0E0000]yyyy-mm-dd")</f>
        <v/>
      </c>
      <c r="C76103" t="inlineStr">
        <is>
          <t>2108-04-01</t>
        </is>
      </c>
    </row>
    <row r="76104">
      <c r="A76104" s="1" t="n">
        <v>76103</v>
      </c>
      <c r="B76104">
        <f>TEXT(76103, "[$-0E0000]yyyy-mm-dd")</f>
        <v/>
      </c>
      <c r="C76104" t="inlineStr">
        <is>
          <t>2108-04-02</t>
        </is>
      </c>
    </row>
    <row r="76105">
      <c r="A76105" s="1" t="n">
        <v>76104</v>
      </c>
      <c r="B76105">
        <f>TEXT(76104, "[$-0E0000]yyyy-mm-dd")</f>
        <v/>
      </c>
      <c r="C76105" t="inlineStr">
        <is>
          <t>2108-04-03</t>
        </is>
      </c>
    </row>
    <row r="76106">
      <c r="A76106" s="1" t="n">
        <v>76105</v>
      </c>
      <c r="B76106">
        <f>TEXT(76105, "[$-0E0000]yyyy-mm-dd")</f>
        <v/>
      </c>
      <c r="C76106" t="inlineStr">
        <is>
          <t>2108-04-04</t>
        </is>
      </c>
    </row>
    <row r="76107">
      <c r="A76107" s="1" t="n">
        <v>76106</v>
      </c>
      <c r="B76107">
        <f>TEXT(76106, "[$-0E0000]yyyy-mm-dd")</f>
        <v/>
      </c>
      <c r="C76107" t="inlineStr">
        <is>
          <t>2108-04-05</t>
        </is>
      </c>
    </row>
    <row r="76108">
      <c r="A76108" s="1" t="n">
        <v>76107</v>
      </c>
      <c r="B76108">
        <f>TEXT(76107, "[$-0E0000]yyyy-mm-dd")</f>
        <v/>
      </c>
      <c r="C76108" t="inlineStr">
        <is>
          <t>2108-04-06</t>
        </is>
      </c>
    </row>
    <row r="76109">
      <c r="A76109" s="1" t="n">
        <v>76108</v>
      </c>
      <c r="B76109">
        <f>TEXT(76108, "[$-0E0000]yyyy-mm-dd")</f>
        <v/>
      </c>
      <c r="C76109" t="inlineStr">
        <is>
          <t>2108-04-07</t>
        </is>
      </c>
    </row>
    <row r="76110">
      <c r="A76110" s="1" t="n">
        <v>76109</v>
      </c>
      <c r="B76110">
        <f>TEXT(76109, "[$-0E0000]yyyy-mm-dd")</f>
        <v/>
      </c>
      <c r="C76110" t="inlineStr">
        <is>
          <t>2108-04-08</t>
        </is>
      </c>
    </row>
    <row r="76111">
      <c r="A76111" s="1" t="n">
        <v>76110</v>
      </c>
      <c r="B76111">
        <f>TEXT(76110, "[$-0E0000]yyyy-mm-dd")</f>
        <v/>
      </c>
      <c r="C76111" t="inlineStr">
        <is>
          <t>2108-04-09</t>
        </is>
      </c>
    </row>
    <row r="76112">
      <c r="A76112" s="1" t="n">
        <v>76111</v>
      </c>
      <c r="B76112">
        <f>TEXT(76111, "[$-0E0000]yyyy-mm-dd")</f>
        <v/>
      </c>
      <c r="C76112" t="inlineStr">
        <is>
          <t>2108-04-10</t>
        </is>
      </c>
    </row>
    <row r="76113">
      <c r="A76113" s="1" t="n">
        <v>76112</v>
      </c>
      <c r="B76113">
        <f>TEXT(76112, "[$-0E0000]yyyy-mm-dd")</f>
        <v/>
      </c>
      <c r="C76113" t="inlineStr">
        <is>
          <t>2108-04-11</t>
        </is>
      </c>
    </row>
    <row r="76114">
      <c r="A76114" s="1" t="n">
        <v>76113</v>
      </c>
      <c r="B76114">
        <f>TEXT(76113, "[$-0E0000]yyyy-mm-dd")</f>
        <v/>
      </c>
      <c r="C76114" t="inlineStr">
        <is>
          <t>2108-04-12</t>
        </is>
      </c>
    </row>
    <row r="76115">
      <c r="A76115" s="1" t="n">
        <v>76114</v>
      </c>
      <c r="B76115">
        <f>TEXT(76114, "[$-0E0000]yyyy-mm-dd")</f>
        <v/>
      </c>
      <c r="C76115" t="inlineStr">
        <is>
          <t>2108-04-13</t>
        </is>
      </c>
    </row>
    <row r="76116">
      <c r="A76116" s="1" t="n">
        <v>76115</v>
      </c>
      <c r="B76116">
        <f>TEXT(76115, "[$-0E0000]yyyy-mm-dd")</f>
        <v/>
      </c>
      <c r="C76116" t="inlineStr">
        <is>
          <t>2108-04-14</t>
        </is>
      </c>
    </row>
    <row r="76117">
      <c r="A76117" s="1" t="n">
        <v>76116</v>
      </c>
      <c r="B76117">
        <f>TEXT(76116, "[$-0E0000]yyyy-mm-dd")</f>
        <v/>
      </c>
      <c r="C76117" t="inlineStr">
        <is>
          <t>2108-04-15</t>
        </is>
      </c>
    </row>
    <row r="76118">
      <c r="A76118" s="1" t="n">
        <v>76117</v>
      </c>
      <c r="B76118">
        <f>TEXT(76117, "[$-0E0000]yyyy-mm-dd")</f>
        <v/>
      </c>
      <c r="C76118" t="inlineStr">
        <is>
          <t>2108-04-16</t>
        </is>
      </c>
    </row>
    <row r="76119">
      <c r="A76119" s="1" t="n">
        <v>76118</v>
      </c>
      <c r="B76119">
        <f>TEXT(76118, "[$-0E0000]yyyy-mm-dd")</f>
        <v/>
      </c>
      <c r="C76119" t="inlineStr">
        <is>
          <t>2108-04-17</t>
        </is>
      </c>
    </row>
    <row r="76120">
      <c r="A76120" s="1" t="n">
        <v>76119</v>
      </c>
      <c r="B76120">
        <f>TEXT(76119, "[$-0E0000]yyyy-mm-dd")</f>
        <v/>
      </c>
      <c r="C76120" t="inlineStr">
        <is>
          <t>2108-04-18</t>
        </is>
      </c>
    </row>
    <row r="76121">
      <c r="A76121" s="1" t="n">
        <v>76120</v>
      </c>
      <c r="B76121">
        <f>TEXT(76120, "[$-0E0000]yyyy-mm-dd")</f>
        <v/>
      </c>
      <c r="C76121" t="inlineStr">
        <is>
          <t>2108-04-19</t>
        </is>
      </c>
    </row>
    <row r="76122">
      <c r="A76122" s="1" t="n">
        <v>76121</v>
      </c>
      <c r="B76122">
        <f>TEXT(76121, "[$-0E0000]yyyy-mm-dd")</f>
        <v/>
      </c>
      <c r="C76122" t="inlineStr">
        <is>
          <t>2108-04-20</t>
        </is>
      </c>
    </row>
    <row r="76123">
      <c r="A76123" s="1" t="n">
        <v>76122</v>
      </c>
      <c r="B76123">
        <f>TEXT(76122, "[$-0E0000]yyyy-mm-dd")</f>
        <v/>
      </c>
      <c r="C76123" t="inlineStr">
        <is>
          <t>2108-04-21</t>
        </is>
      </c>
    </row>
    <row r="76124">
      <c r="A76124" s="1" t="n">
        <v>76123</v>
      </c>
      <c r="B76124">
        <f>TEXT(76123, "[$-0E0000]yyyy-mm-dd")</f>
        <v/>
      </c>
      <c r="C76124" t="inlineStr">
        <is>
          <t>2108-04-22</t>
        </is>
      </c>
    </row>
    <row r="76125">
      <c r="A76125" s="1" t="n">
        <v>76124</v>
      </c>
      <c r="B76125">
        <f>TEXT(76124, "[$-0E0000]yyyy-mm-dd")</f>
        <v/>
      </c>
      <c r="C76125" t="inlineStr">
        <is>
          <t>2108-04-23</t>
        </is>
      </c>
    </row>
    <row r="76126">
      <c r="A76126" s="1" t="n">
        <v>76125</v>
      </c>
      <c r="B76126">
        <f>TEXT(76125, "[$-0E0000]yyyy-mm-dd")</f>
        <v/>
      </c>
      <c r="C76126" t="inlineStr">
        <is>
          <t>2108-04-24</t>
        </is>
      </c>
    </row>
    <row r="76127">
      <c r="A76127" s="1" t="n">
        <v>76126</v>
      </c>
      <c r="B76127">
        <f>TEXT(76126, "[$-0E0000]yyyy-mm-dd")</f>
        <v/>
      </c>
      <c r="C76127" t="inlineStr">
        <is>
          <t>2108-04-25</t>
        </is>
      </c>
    </row>
    <row r="76128">
      <c r="A76128" s="1" t="n">
        <v>76127</v>
      </c>
      <c r="B76128">
        <f>TEXT(76127, "[$-0E0000]yyyy-mm-dd")</f>
        <v/>
      </c>
      <c r="C76128" t="inlineStr">
        <is>
          <t>2108-04-26</t>
        </is>
      </c>
    </row>
    <row r="76129">
      <c r="A76129" s="1" t="n">
        <v>76128</v>
      </c>
      <c r="B76129">
        <f>TEXT(76128, "[$-0E0000]yyyy-mm-dd")</f>
        <v/>
      </c>
      <c r="C76129" t="inlineStr">
        <is>
          <t>2108-04-27</t>
        </is>
      </c>
    </row>
    <row r="76130">
      <c r="A76130" s="1" t="n">
        <v>76129</v>
      </c>
      <c r="B76130">
        <f>TEXT(76129, "[$-0E0000]yyyy-mm-dd")</f>
        <v/>
      </c>
      <c r="C76130" t="inlineStr">
        <is>
          <t>2108-04-28</t>
        </is>
      </c>
    </row>
    <row r="76131">
      <c r="A76131" s="1" t="n">
        <v>76130</v>
      </c>
      <c r="B76131">
        <f>TEXT(76130, "[$-0E0000]yyyy-mm-dd")</f>
        <v/>
      </c>
      <c r="C76131" t="inlineStr">
        <is>
          <t>2108-04-29</t>
        </is>
      </c>
    </row>
    <row r="76132">
      <c r="A76132" s="1" t="n">
        <v>76131</v>
      </c>
      <c r="B76132">
        <f>TEXT(76131, "[$-0E0000]yyyy-mm-dd")</f>
        <v/>
      </c>
      <c r="C76132" t="inlineStr">
        <is>
          <t>2108-05-01</t>
        </is>
      </c>
    </row>
    <row r="76133">
      <c r="A76133" s="1" t="n">
        <v>76132</v>
      </c>
      <c r="B76133">
        <f>TEXT(76132, "[$-0E0000]yyyy-mm-dd")</f>
        <v/>
      </c>
      <c r="C76133" t="inlineStr">
        <is>
          <t>2108-05-02</t>
        </is>
      </c>
    </row>
    <row r="76134">
      <c r="A76134" s="1" t="n">
        <v>76133</v>
      </c>
      <c r="B76134">
        <f>TEXT(76133, "[$-0E0000]yyyy-mm-dd")</f>
        <v/>
      </c>
      <c r="C76134" t="inlineStr">
        <is>
          <t>2108-05-03</t>
        </is>
      </c>
    </row>
    <row r="76135">
      <c r="A76135" s="1" t="n">
        <v>76134</v>
      </c>
      <c r="B76135">
        <f>TEXT(76134, "[$-0E0000]yyyy-mm-dd")</f>
        <v/>
      </c>
      <c r="C76135" t="inlineStr">
        <is>
          <t>2108-05-04</t>
        </is>
      </c>
    </row>
    <row r="76136">
      <c r="A76136" s="1" t="n">
        <v>76135</v>
      </c>
      <c r="B76136">
        <f>TEXT(76135, "[$-0E0000]yyyy-mm-dd")</f>
        <v/>
      </c>
      <c r="C76136" t="inlineStr">
        <is>
          <t>2108-05-05</t>
        </is>
      </c>
    </row>
    <row r="76137">
      <c r="A76137" s="1" t="n">
        <v>76136</v>
      </c>
      <c r="B76137">
        <f>TEXT(76136, "[$-0E0000]yyyy-mm-dd")</f>
        <v/>
      </c>
      <c r="C76137" t="inlineStr">
        <is>
          <t>2108-05-06</t>
        </is>
      </c>
    </row>
    <row r="76138">
      <c r="A76138" s="1" t="n">
        <v>76137</v>
      </c>
      <c r="B76138">
        <f>TEXT(76137, "[$-0E0000]yyyy-mm-dd")</f>
        <v/>
      </c>
      <c r="C76138" t="inlineStr">
        <is>
          <t>2108-05-07</t>
        </is>
      </c>
    </row>
    <row r="76139">
      <c r="A76139" s="1" t="n">
        <v>76138</v>
      </c>
      <c r="B76139">
        <f>TEXT(76138, "[$-0E0000]yyyy-mm-dd")</f>
        <v/>
      </c>
      <c r="C76139" t="inlineStr">
        <is>
          <t>2108-05-08</t>
        </is>
      </c>
    </row>
    <row r="76140">
      <c r="A76140" s="1" t="n">
        <v>76139</v>
      </c>
      <c r="B76140">
        <f>TEXT(76139, "[$-0E0000]yyyy-mm-dd")</f>
        <v/>
      </c>
      <c r="C76140" t="inlineStr">
        <is>
          <t>2108-05-09</t>
        </is>
      </c>
    </row>
    <row r="76141">
      <c r="A76141" s="1" t="n">
        <v>76140</v>
      </c>
      <c r="B76141">
        <f>TEXT(76140, "[$-0E0000]yyyy-mm-dd")</f>
        <v/>
      </c>
      <c r="C76141" t="inlineStr">
        <is>
          <t>2108-05-10</t>
        </is>
      </c>
    </row>
    <row r="76142">
      <c r="A76142" s="1" t="n">
        <v>76141</v>
      </c>
      <c r="B76142">
        <f>TEXT(76141, "[$-0E0000]yyyy-mm-dd")</f>
        <v/>
      </c>
      <c r="C76142" t="inlineStr">
        <is>
          <t>2108-05-11</t>
        </is>
      </c>
    </row>
    <row r="76143">
      <c r="A76143" s="1" t="n">
        <v>76142</v>
      </c>
      <c r="B76143">
        <f>TEXT(76142, "[$-0E0000]yyyy-mm-dd")</f>
        <v/>
      </c>
      <c r="C76143" t="inlineStr">
        <is>
          <t>2108-05-12</t>
        </is>
      </c>
    </row>
    <row r="76144">
      <c r="A76144" s="1" t="n">
        <v>76143</v>
      </c>
      <c r="B76144">
        <f>TEXT(76143, "[$-0E0000]yyyy-mm-dd")</f>
        <v/>
      </c>
      <c r="C76144" t="inlineStr">
        <is>
          <t>2108-05-13</t>
        </is>
      </c>
    </row>
    <row r="76145">
      <c r="A76145" s="1" t="n">
        <v>76144</v>
      </c>
      <c r="B76145">
        <f>TEXT(76144, "[$-0E0000]yyyy-mm-dd")</f>
        <v/>
      </c>
      <c r="C76145" t="inlineStr">
        <is>
          <t>2108-05-14</t>
        </is>
      </c>
    </row>
    <row r="76146">
      <c r="A76146" s="1" t="n">
        <v>76145</v>
      </c>
      <c r="B76146">
        <f>TEXT(76145, "[$-0E0000]yyyy-mm-dd")</f>
        <v/>
      </c>
      <c r="C76146" t="inlineStr">
        <is>
          <t>2108-05-15</t>
        </is>
      </c>
    </row>
    <row r="76147">
      <c r="A76147" s="1" t="n">
        <v>76146</v>
      </c>
      <c r="B76147">
        <f>TEXT(76146, "[$-0E0000]yyyy-mm-dd")</f>
        <v/>
      </c>
      <c r="C76147" t="inlineStr">
        <is>
          <t>2108-05-16</t>
        </is>
      </c>
    </row>
    <row r="76148">
      <c r="A76148" s="1" t="n">
        <v>76147</v>
      </c>
      <c r="B76148">
        <f>TEXT(76147, "[$-0E0000]yyyy-mm-dd")</f>
        <v/>
      </c>
      <c r="C76148" t="inlineStr">
        <is>
          <t>2108-05-17</t>
        </is>
      </c>
    </row>
    <row r="76149">
      <c r="A76149" s="1" t="n">
        <v>76148</v>
      </c>
      <c r="B76149">
        <f>TEXT(76148, "[$-0E0000]yyyy-mm-dd")</f>
        <v/>
      </c>
      <c r="C76149" t="inlineStr">
        <is>
          <t>2108-05-18</t>
        </is>
      </c>
    </row>
    <row r="76150">
      <c r="A76150" s="1" t="n">
        <v>76149</v>
      </c>
      <c r="B76150">
        <f>TEXT(76149, "[$-0E0000]yyyy-mm-dd")</f>
        <v/>
      </c>
      <c r="C76150" t="inlineStr">
        <is>
          <t>2108-05-19</t>
        </is>
      </c>
    </row>
    <row r="76151">
      <c r="A76151" s="1" t="n">
        <v>76150</v>
      </c>
      <c r="B76151">
        <f>TEXT(76150, "[$-0E0000]yyyy-mm-dd")</f>
        <v/>
      </c>
      <c r="C76151" t="inlineStr">
        <is>
          <t>2108-05-20</t>
        </is>
      </c>
    </row>
    <row r="76152">
      <c r="A76152" s="1" t="n">
        <v>76151</v>
      </c>
      <c r="B76152">
        <f>TEXT(76151, "[$-0E0000]yyyy-mm-dd")</f>
        <v/>
      </c>
      <c r="C76152" t="inlineStr">
        <is>
          <t>2108-05-21</t>
        </is>
      </c>
    </row>
    <row r="76153">
      <c r="A76153" s="1" t="n">
        <v>76152</v>
      </c>
      <c r="B76153">
        <f>TEXT(76152, "[$-0E0000]yyyy-mm-dd")</f>
        <v/>
      </c>
      <c r="C76153" t="inlineStr">
        <is>
          <t>2108-05-22</t>
        </is>
      </c>
    </row>
    <row r="76154">
      <c r="A76154" s="1" t="n">
        <v>76153</v>
      </c>
      <c r="B76154">
        <f>TEXT(76153, "[$-0E0000]yyyy-mm-dd")</f>
        <v/>
      </c>
      <c r="C76154" t="inlineStr">
        <is>
          <t>2108-05-23</t>
        </is>
      </c>
    </row>
    <row r="76155">
      <c r="A76155" s="1" t="n">
        <v>76154</v>
      </c>
      <c r="B76155">
        <f>TEXT(76154, "[$-0E0000]yyyy-mm-dd")</f>
        <v/>
      </c>
      <c r="C76155" t="inlineStr">
        <is>
          <t>2108-05-24</t>
        </is>
      </c>
    </row>
    <row r="76156">
      <c r="A76156" s="1" t="n">
        <v>76155</v>
      </c>
      <c r="B76156">
        <f>TEXT(76155, "[$-0E0000]yyyy-mm-dd")</f>
        <v/>
      </c>
      <c r="C76156" t="inlineStr">
        <is>
          <t>2108-05-25</t>
        </is>
      </c>
    </row>
    <row r="76157">
      <c r="A76157" s="1" t="n">
        <v>76156</v>
      </c>
      <c r="B76157">
        <f>TEXT(76156, "[$-0E0000]yyyy-mm-dd")</f>
        <v/>
      </c>
      <c r="C76157" t="inlineStr">
        <is>
          <t>2108-05-26</t>
        </is>
      </c>
    </row>
    <row r="76158">
      <c r="A76158" s="1" t="n">
        <v>76157</v>
      </c>
      <c r="B76158">
        <f>TEXT(76157, "[$-0E0000]yyyy-mm-dd")</f>
        <v/>
      </c>
      <c r="C76158" t="inlineStr">
        <is>
          <t>2108-05-27</t>
        </is>
      </c>
    </row>
    <row r="76159">
      <c r="A76159" s="1" t="n">
        <v>76158</v>
      </c>
      <c r="B76159">
        <f>TEXT(76158, "[$-0E0000]yyyy-mm-dd")</f>
        <v/>
      </c>
      <c r="C76159" t="inlineStr">
        <is>
          <t>2108-05-28</t>
        </is>
      </c>
    </row>
    <row r="76160">
      <c r="A76160" s="1" t="n">
        <v>76159</v>
      </c>
      <c r="B76160">
        <f>TEXT(76159, "[$-0E0000]yyyy-mm-dd")</f>
        <v/>
      </c>
      <c r="C76160" t="inlineStr">
        <is>
          <t>2108-05-29</t>
        </is>
      </c>
    </row>
    <row r="76161">
      <c r="A76161" s="1" t="n">
        <v>76160</v>
      </c>
      <c r="B76161">
        <f>TEXT(76160, "[$-0E0000]yyyy-mm-dd")</f>
        <v/>
      </c>
      <c r="C76161" t="inlineStr">
        <is>
          <t>2108-05-30</t>
        </is>
      </c>
    </row>
    <row r="76162">
      <c r="A76162" s="1" t="n">
        <v>76161</v>
      </c>
      <c r="B76162">
        <f>TEXT(76161, "[$-0E0000]yyyy-mm-dd")</f>
        <v/>
      </c>
      <c r="C76162" t="inlineStr">
        <is>
          <t>2108-06-01</t>
        </is>
      </c>
    </row>
    <row r="76163">
      <c r="A76163" s="1" t="n">
        <v>76162</v>
      </c>
      <c r="B76163">
        <f>TEXT(76162, "[$-0E0000]yyyy-mm-dd")</f>
        <v/>
      </c>
      <c r="C76163" t="inlineStr">
        <is>
          <t>2108-06-02</t>
        </is>
      </c>
    </row>
    <row r="76164">
      <c r="A76164" s="1" t="n">
        <v>76163</v>
      </c>
      <c r="B76164">
        <f>TEXT(76163, "[$-0E0000]yyyy-mm-dd")</f>
        <v/>
      </c>
      <c r="C76164" t="inlineStr">
        <is>
          <t>2108-06-03</t>
        </is>
      </c>
    </row>
    <row r="76165">
      <c r="A76165" s="1" t="n">
        <v>76164</v>
      </c>
      <c r="B76165">
        <f>TEXT(76164, "[$-0E0000]yyyy-mm-dd")</f>
        <v/>
      </c>
      <c r="C76165" t="inlineStr">
        <is>
          <t>2108-06-04</t>
        </is>
      </c>
    </row>
    <row r="76166">
      <c r="A76166" s="1" t="n">
        <v>76165</v>
      </c>
      <c r="B76166">
        <f>TEXT(76165, "[$-0E0000]yyyy-mm-dd")</f>
        <v/>
      </c>
      <c r="C76166" t="inlineStr">
        <is>
          <t>2108-06-05</t>
        </is>
      </c>
    </row>
    <row r="76167">
      <c r="A76167" s="1" t="n">
        <v>76166</v>
      </c>
      <c r="B76167">
        <f>TEXT(76166, "[$-0E0000]yyyy-mm-dd")</f>
        <v/>
      </c>
      <c r="C76167" t="inlineStr">
        <is>
          <t>2108-06-06</t>
        </is>
      </c>
    </row>
    <row r="76168">
      <c r="A76168" s="1" t="n">
        <v>76167</v>
      </c>
      <c r="B76168">
        <f>TEXT(76167, "[$-0E0000]yyyy-mm-dd")</f>
        <v/>
      </c>
      <c r="C76168" t="inlineStr">
        <is>
          <t>2108-06-07</t>
        </is>
      </c>
    </row>
    <row r="76169">
      <c r="A76169" s="1" t="n">
        <v>76168</v>
      </c>
      <c r="B76169">
        <f>TEXT(76168, "[$-0E0000]yyyy-mm-dd")</f>
        <v/>
      </c>
      <c r="C76169" t="inlineStr">
        <is>
          <t>2108-06-08</t>
        </is>
      </c>
    </row>
    <row r="76170">
      <c r="A76170" s="1" t="n">
        <v>76169</v>
      </c>
      <c r="B76170">
        <f>TEXT(76169, "[$-0E0000]yyyy-mm-dd")</f>
        <v/>
      </c>
      <c r="C76170" t="inlineStr">
        <is>
          <t>2108-06-09</t>
        </is>
      </c>
    </row>
    <row r="76171">
      <c r="A76171" s="1" t="n">
        <v>76170</v>
      </c>
      <c r="B76171">
        <f>TEXT(76170, "[$-0E0000]yyyy-mm-dd")</f>
        <v/>
      </c>
      <c r="C76171" t="inlineStr">
        <is>
          <t>2108-06-10</t>
        </is>
      </c>
    </row>
    <row r="76172">
      <c r="A76172" s="1" t="n">
        <v>76171</v>
      </c>
      <c r="B76172">
        <f>TEXT(76171, "[$-0E0000]yyyy-mm-dd")</f>
        <v/>
      </c>
      <c r="C76172" t="inlineStr">
        <is>
          <t>2108-06-11</t>
        </is>
      </c>
    </row>
    <row r="76173">
      <c r="A76173" s="1" t="n">
        <v>76172</v>
      </c>
      <c r="B76173">
        <f>TEXT(76172, "[$-0E0000]yyyy-mm-dd")</f>
        <v/>
      </c>
      <c r="C76173" t="inlineStr">
        <is>
          <t>2108-06-12</t>
        </is>
      </c>
    </row>
    <row r="76174">
      <c r="A76174" s="1" t="n">
        <v>76173</v>
      </c>
      <c r="B76174">
        <f>TEXT(76173, "[$-0E0000]yyyy-mm-dd")</f>
        <v/>
      </c>
      <c r="C76174" t="inlineStr">
        <is>
          <t>2108-06-13</t>
        </is>
      </c>
    </row>
    <row r="76175">
      <c r="A76175" s="1" t="n">
        <v>76174</v>
      </c>
      <c r="B76175">
        <f>TEXT(76174, "[$-0E0000]yyyy-mm-dd")</f>
        <v/>
      </c>
      <c r="C76175" t="inlineStr">
        <is>
          <t>2108-06-14</t>
        </is>
      </c>
    </row>
    <row r="76176">
      <c r="A76176" s="1" t="n">
        <v>76175</v>
      </c>
      <c r="B76176">
        <f>TEXT(76175, "[$-0E0000]yyyy-mm-dd")</f>
        <v/>
      </c>
      <c r="C76176" t="inlineStr">
        <is>
          <t>2108-06-15</t>
        </is>
      </c>
    </row>
    <row r="76177">
      <c r="A76177" s="1" t="n">
        <v>76176</v>
      </c>
      <c r="B76177">
        <f>TEXT(76176, "[$-0E0000]yyyy-mm-dd")</f>
        <v/>
      </c>
      <c r="C76177" t="inlineStr">
        <is>
          <t>2108-06-16</t>
        </is>
      </c>
    </row>
    <row r="76178">
      <c r="A76178" s="1" t="n">
        <v>76177</v>
      </c>
      <c r="B76178">
        <f>TEXT(76177, "[$-0E0000]yyyy-mm-dd")</f>
        <v/>
      </c>
      <c r="C76178" t="inlineStr">
        <is>
          <t>2108-06-17</t>
        </is>
      </c>
    </row>
    <row r="76179">
      <c r="A76179" s="1" t="n">
        <v>76178</v>
      </c>
      <c r="B76179">
        <f>TEXT(76178, "[$-0E0000]yyyy-mm-dd")</f>
        <v/>
      </c>
      <c r="C76179" t="inlineStr">
        <is>
          <t>2108-06-18</t>
        </is>
      </c>
    </row>
    <row r="76180">
      <c r="A76180" s="1" t="n">
        <v>76179</v>
      </c>
      <c r="B76180">
        <f>TEXT(76179, "[$-0E0000]yyyy-mm-dd")</f>
        <v/>
      </c>
      <c r="C76180" t="inlineStr">
        <is>
          <t>2108-06-19</t>
        </is>
      </c>
    </row>
    <row r="76181">
      <c r="A76181" s="1" t="n">
        <v>76180</v>
      </c>
      <c r="B76181">
        <f>TEXT(76180, "[$-0E0000]yyyy-mm-dd")</f>
        <v/>
      </c>
      <c r="C76181" t="inlineStr">
        <is>
          <t>2108-06-20</t>
        </is>
      </c>
    </row>
    <row r="76182">
      <c r="A76182" s="1" t="n">
        <v>76181</v>
      </c>
      <c r="B76182">
        <f>TEXT(76181, "[$-0E0000]yyyy-mm-dd")</f>
        <v/>
      </c>
      <c r="C76182" t="inlineStr">
        <is>
          <t>2108-06-21</t>
        </is>
      </c>
    </row>
    <row r="76183">
      <c r="A76183" s="1" t="n">
        <v>76182</v>
      </c>
      <c r="B76183">
        <f>TEXT(76182, "[$-0E0000]yyyy-mm-dd")</f>
        <v/>
      </c>
      <c r="C76183" t="inlineStr">
        <is>
          <t>2108-06-22</t>
        </is>
      </c>
    </row>
    <row r="76184">
      <c r="A76184" s="1" t="n">
        <v>76183</v>
      </c>
      <c r="B76184">
        <f>TEXT(76183, "[$-0E0000]yyyy-mm-dd")</f>
        <v/>
      </c>
      <c r="C76184" t="inlineStr">
        <is>
          <t>2108-06-23</t>
        </is>
      </c>
    </row>
    <row r="76185">
      <c r="A76185" s="1" t="n">
        <v>76184</v>
      </c>
      <c r="B76185">
        <f>TEXT(76184, "[$-0E0000]yyyy-mm-dd")</f>
        <v/>
      </c>
      <c r="C76185" t="inlineStr">
        <is>
          <t>2108-06-24</t>
        </is>
      </c>
    </row>
    <row r="76186">
      <c r="A76186" s="1" t="n">
        <v>76185</v>
      </c>
      <c r="B76186">
        <f>TEXT(76185, "[$-0E0000]yyyy-mm-dd")</f>
        <v/>
      </c>
      <c r="C76186" t="inlineStr">
        <is>
          <t>2108-06-25</t>
        </is>
      </c>
    </row>
    <row r="76187">
      <c r="A76187" s="1" t="n">
        <v>76186</v>
      </c>
      <c r="B76187">
        <f>TEXT(76186, "[$-0E0000]yyyy-mm-dd")</f>
        <v/>
      </c>
      <c r="C76187" t="inlineStr">
        <is>
          <t>2108-06-26</t>
        </is>
      </c>
    </row>
    <row r="76188">
      <c r="A76188" s="1" t="n">
        <v>76187</v>
      </c>
      <c r="B76188">
        <f>TEXT(76187, "[$-0E0000]yyyy-mm-dd")</f>
        <v/>
      </c>
      <c r="C76188" t="inlineStr">
        <is>
          <t>2108-06-27</t>
        </is>
      </c>
    </row>
    <row r="76189">
      <c r="A76189" s="1" t="n">
        <v>76188</v>
      </c>
      <c r="B76189">
        <f>TEXT(76188, "[$-0E0000]yyyy-mm-dd")</f>
        <v/>
      </c>
      <c r="C76189" t="inlineStr">
        <is>
          <t>2108-06-28</t>
        </is>
      </c>
    </row>
    <row r="76190">
      <c r="A76190" s="1" t="n">
        <v>76189</v>
      </c>
      <c r="B76190">
        <f>TEXT(76189, "[$-0E0000]yyyy-mm-dd")</f>
        <v/>
      </c>
      <c r="C76190" t="inlineStr">
        <is>
          <t>2108-06-29</t>
        </is>
      </c>
    </row>
    <row r="76191">
      <c r="A76191" s="1" t="n">
        <v>76190</v>
      </c>
      <c r="B76191">
        <f>TEXT(76190, "[$-0E0000]yyyy-mm-dd")</f>
        <v/>
      </c>
      <c r="C76191" t="inlineStr">
        <is>
          <t>2108-07-01</t>
        </is>
      </c>
    </row>
    <row r="76192">
      <c r="A76192" s="1" t="n">
        <v>76191</v>
      </c>
      <c r="B76192">
        <f>TEXT(76191, "[$-0E0000]yyyy-mm-dd")</f>
        <v/>
      </c>
      <c r="C76192" t="inlineStr">
        <is>
          <t>2108-07-02</t>
        </is>
      </c>
    </row>
    <row r="76193">
      <c r="A76193" s="1" t="n">
        <v>76192</v>
      </c>
      <c r="B76193">
        <f>TEXT(76192, "[$-0E0000]yyyy-mm-dd")</f>
        <v/>
      </c>
      <c r="C76193" t="inlineStr">
        <is>
          <t>2108-07-03</t>
        </is>
      </c>
    </row>
    <row r="76194">
      <c r="A76194" s="1" t="n">
        <v>76193</v>
      </c>
      <c r="B76194">
        <f>TEXT(76193, "[$-0E0000]yyyy-mm-dd")</f>
        <v/>
      </c>
      <c r="C76194" t="inlineStr">
        <is>
          <t>2108-07-04</t>
        </is>
      </c>
    </row>
    <row r="76195">
      <c r="A76195" s="1" t="n">
        <v>76194</v>
      </c>
      <c r="B76195">
        <f>TEXT(76194, "[$-0E0000]yyyy-mm-dd")</f>
        <v/>
      </c>
      <c r="C76195" t="inlineStr">
        <is>
          <t>2108-07-05</t>
        </is>
      </c>
    </row>
    <row r="76196">
      <c r="A76196" s="1" t="n">
        <v>76195</v>
      </c>
      <c r="B76196">
        <f>TEXT(76195, "[$-0E0000]yyyy-mm-dd")</f>
        <v/>
      </c>
      <c r="C76196" t="inlineStr">
        <is>
          <t>2108-07-06</t>
        </is>
      </c>
    </row>
    <row r="76197">
      <c r="A76197" s="1" t="n">
        <v>76196</v>
      </c>
      <c r="B76197">
        <f>TEXT(76196, "[$-0E0000]yyyy-mm-dd")</f>
        <v/>
      </c>
      <c r="C76197" t="inlineStr">
        <is>
          <t>2108-07-07</t>
        </is>
      </c>
    </row>
    <row r="76198">
      <c r="A76198" s="1" t="n">
        <v>76197</v>
      </c>
      <c r="B76198">
        <f>TEXT(76197, "[$-0E0000]yyyy-mm-dd")</f>
        <v/>
      </c>
      <c r="C76198" t="inlineStr">
        <is>
          <t>2108-07-08</t>
        </is>
      </c>
    </row>
    <row r="76199">
      <c r="A76199" s="1" t="n">
        <v>76198</v>
      </c>
      <c r="B76199">
        <f>TEXT(76198, "[$-0E0000]yyyy-mm-dd")</f>
        <v/>
      </c>
      <c r="C76199" t="inlineStr">
        <is>
          <t>2108-07-09</t>
        </is>
      </c>
    </row>
    <row r="76200">
      <c r="A76200" s="1" t="n">
        <v>76199</v>
      </c>
      <c r="B76200">
        <f>TEXT(76199, "[$-0E0000]yyyy-mm-dd")</f>
        <v/>
      </c>
      <c r="C76200" t="inlineStr">
        <is>
          <t>2108-07-10</t>
        </is>
      </c>
    </row>
    <row r="76201">
      <c r="A76201" s="1" t="n">
        <v>76200</v>
      </c>
      <c r="B76201">
        <f>TEXT(76200, "[$-0E0000]yyyy-mm-dd")</f>
        <v/>
      </c>
      <c r="C76201" t="inlineStr">
        <is>
          <t>2108-07-11</t>
        </is>
      </c>
    </row>
    <row r="76202">
      <c r="A76202" s="1" t="n">
        <v>76201</v>
      </c>
      <c r="B76202">
        <f>TEXT(76201, "[$-0E0000]yyyy-mm-dd")</f>
        <v/>
      </c>
      <c r="C76202" t="inlineStr">
        <is>
          <t>2108-07-12</t>
        </is>
      </c>
    </row>
    <row r="76203">
      <c r="A76203" s="1" t="n">
        <v>76202</v>
      </c>
      <c r="B76203">
        <f>TEXT(76202, "[$-0E0000]yyyy-mm-dd")</f>
        <v/>
      </c>
      <c r="C76203" t="inlineStr">
        <is>
          <t>2108-07-13</t>
        </is>
      </c>
    </row>
    <row r="76204">
      <c r="A76204" s="1" t="n">
        <v>76203</v>
      </c>
      <c r="B76204">
        <f>TEXT(76203, "[$-0E0000]yyyy-mm-dd")</f>
        <v/>
      </c>
      <c r="C76204" t="inlineStr">
        <is>
          <t>2108-07-14</t>
        </is>
      </c>
    </row>
    <row r="76205">
      <c r="A76205" s="1" t="n">
        <v>76204</v>
      </c>
      <c r="B76205">
        <f>TEXT(76204, "[$-0E0000]yyyy-mm-dd")</f>
        <v/>
      </c>
      <c r="C76205" t="inlineStr">
        <is>
          <t>2108-07-15</t>
        </is>
      </c>
    </row>
    <row r="76206">
      <c r="A76206" s="1" t="n">
        <v>76205</v>
      </c>
      <c r="B76206">
        <f>TEXT(76205, "[$-0E0000]yyyy-mm-dd")</f>
        <v/>
      </c>
      <c r="C76206" t="inlineStr">
        <is>
          <t>2108-07-16</t>
        </is>
      </c>
    </row>
    <row r="76207">
      <c r="A76207" s="1" t="n">
        <v>76206</v>
      </c>
      <c r="B76207">
        <f>TEXT(76206, "[$-0E0000]yyyy-mm-dd")</f>
        <v/>
      </c>
      <c r="C76207" t="inlineStr">
        <is>
          <t>2108-07-17</t>
        </is>
      </c>
    </row>
    <row r="76208">
      <c r="A76208" s="1" t="n">
        <v>76207</v>
      </c>
      <c r="B76208">
        <f>TEXT(76207, "[$-0E0000]yyyy-mm-dd")</f>
        <v/>
      </c>
      <c r="C76208" t="inlineStr">
        <is>
          <t>2108-07-18</t>
        </is>
      </c>
    </row>
    <row r="76209">
      <c r="A76209" s="1" t="n">
        <v>76208</v>
      </c>
      <c r="B76209">
        <f>TEXT(76208, "[$-0E0000]yyyy-mm-dd")</f>
        <v/>
      </c>
      <c r="C76209" t="inlineStr">
        <is>
          <t>2108-07-19</t>
        </is>
      </c>
    </row>
    <row r="76210">
      <c r="A76210" s="1" t="n">
        <v>76209</v>
      </c>
      <c r="B76210">
        <f>TEXT(76209, "[$-0E0000]yyyy-mm-dd")</f>
        <v/>
      </c>
      <c r="C76210" t="inlineStr">
        <is>
          <t>2108-07-20</t>
        </is>
      </c>
    </row>
    <row r="76211">
      <c r="A76211" s="1" t="n">
        <v>76210</v>
      </c>
      <c r="B76211">
        <f>TEXT(76210, "[$-0E0000]yyyy-mm-dd")</f>
        <v/>
      </c>
      <c r="C76211" t="inlineStr">
        <is>
          <t>2108-07-21</t>
        </is>
      </c>
    </row>
    <row r="76212">
      <c r="A76212" s="1" t="n">
        <v>76211</v>
      </c>
      <c r="B76212">
        <f>TEXT(76211, "[$-0E0000]yyyy-mm-dd")</f>
        <v/>
      </c>
      <c r="C76212" t="inlineStr">
        <is>
          <t>2108-07-22</t>
        </is>
      </c>
    </row>
    <row r="76213">
      <c r="A76213" s="1" t="n">
        <v>76212</v>
      </c>
      <c r="B76213">
        <f>TEXT(76212, "[$-0E0000]yyyy-mm-dd")</f>
        <v/>
      </c>
      <c r="C76213" t="inlineStr">
        <is>
          <t>2108-07-23</t>
        </is>
      </c>
    </row>
    <row r="76214">
      <c r="A76214" s="1" t="n">
        <v>76213</v>
      </c>
      <c r="B76214">
        <f>TEXT(76213, "[$-0E0000]yyyy-mm-dd")</f>
        <v/>
      </c>
      <c r="C76214" t="inlineStr">
        <is>
          <t>2108-07-24</t>
        </is>
      </c>
    </row>
    <row r="76215">
      <c r="A76215" s="1" t="n">
        <v>76214</v>
      </c>
      <c r="B76215">
        <f>TEXT(76214, "[$-0E0000]yyyy-mm-dd")</f>
        <v/>
      </c>
      <c r="C76215" t="inlineStr">
        <is>
          <t>2108-07-25</t>
        </is>
      </c>
    </row>
    <row r="76216">
      <c r="A76216" s="1" t="n">
        <v>76215</v>
      </c>
      <c r="B76216">
        <f>TEXT(76215, "[$-0E0000]yyyy-mm-dd")</f>
        <v/>
      </c>
      <c r="C76216" t="inlineStr">
        <is>
          <t>2108-07-26</t>
        </is>
      </c>
    </row>
    <row r="76217">
      <c r="A76217" s="1" t="n">
        <v>76216</v>
      </c>
      <c r="B76217">
        <f>TEXT(76216, "[$-0E0000]yyyy-mm-dd")</f>
        <v/>
      </c>
      <c r="C76217" t="inlineStr">
        <is>
          <t>2108-07-27</t>
        </is>
      </c>
    </row>
    <row r="76218">
      <c r="A76218" s="1" t="n">
        <v>76217</v>
      </c>
      <c r="B76218">
        <f>TEXT(76217, "[$-0E0000]yyyy-mm-dd")</f>
        <v/>
      </c>
      <c r="C76218" t="inlineStr">
        <is>
          <t>2108-07-28</t>
        </is>
      </c>
    </row>
    <row r="76219">
      <c r="A76219" s="1" t="n">
        <v>76218</v>
      </c>
      <c r="B76219">
        <f>TEXT(76218, "[$-0E0000]yyyy-mm-dd")</f>
        <v/>
      </c>
      <c r="C76219" t="inlineStr">
        <is>
          <t>2108-07-29</t>
        </is>
      </c>
    </row>
    <row r="76220">
      <c r="A76220" s="1" t="n">
        <v>76219</v>
      </c>
      <c r="B76220">
        <f>TEXT(76219, "[$-0E0000]yyyy-mm-dd")</f>
        <v/>
      </c>
      <c r="C76220" t="inlineStr">
        <is>
          <t>2108-07-30</t>
        </is>
      </c>
    </row>
    <row r="76221">
      <c r="A76221" s="1" t="n">
        <v>76220</v>
      </c>
      <c r="B76221">
        <f>TEXT(76220, "[$-0E0000]yyyy-mm-dd")</f>
        <v/>
      </c>
      <c r="C76221" t="inlineStr">
        <is>
          <t>2108-08-01</t>
        </is>
      </c>
    </row>
    <row r="76222">
      <c r="A76222" s="1" t="n">
        <v>76221</v>
      </c>
      <c r="B76222">
        <f>TEXT(76221, "[$-0E0000]yyyy-mm-dd")</f>
        <v/>
      </c>
      <c r="C76222" t="inlineStr">
        <is>
          <t>2108-08-02</t>
        </is>
      </c>
    </row>
    <row r="76223">
      <c r="A76223" s="1" t="n">
        <v>76222</v>
      </c>
      <c r="B76223">
        <f>TEXT(76222, "[$-0E0000]yyyy-mm-dd")</f>
        <v/>
      </c>
      <c r="C76223" t="inlineStr">
        <is>
          <t>2108-08-03</t>
        </is>
      </c>
    </row>
    <row r="76224">
      <c r="A76224" s="1" t="n">
        <v>76223</v>
      </c>
      <c r="B76224">
        <f>TEXT(76223, "[$-0E0000]yyyy-mm-dd")</f>
        <v/>
      </c>
      <c r="C76224" t="inlineStr">
        <is>
          <t>2108-08-04</t>
        </is>
      </c>
    </row>
    <row r="76225">
      <c r="A76225" s="1" t="n">
        <v>76224</v>
      </c>
      <c r="B76225">
        <f>TEXT(76224, "[$-0E0000]yyyy-mm-dd")</f>
        <v/>
      </c>
      <c r="C76225" t="inlineStr">
        <is>
          <t>2108-08-05</t>
        </is>
      </c>
    </row>
    <row r="76226">
      <c r="A76226" s="1" t="n">
        <v>76225</v>
      </c>
      <c r="B76226">
        <f>TEXT(76225, "[$-0E0000]yyyy-mm-dd")</f>
        <v/>
      </c>
      <c r="C76226" t="inlineStr">
        <is>
          <t>2108-08-06</t>
        </is>
      </c>
    </row>
    <row r="76227">
      <c r="A76227" s="1" t="n">
        <v>76226</v>
      </c>
      <c r="B76227">
        <f>TEXT(76226, "[$-0E0000]yyyy-mm-dd")</f>
        <v/>
      </c>
      <c r="C76227" t="inlineStr">
        <is>
          <t>2108-08-07</t>
        </is>
      </c>
    </row>
    <row r="76228">
      <c r="A76228" s="1" t="n">
        <v>76227</v>
      </c>
      <c r="B76228">
        <f>TEXT(76227, "[$-0E0000]yyyy-mm-dd")</f>
        <v/>
      </c>
      <c r="C76228" t="inlineStr">
        <is>
          <t>2108-08-08</t>
        </is>
      </c>
    </row>
    <row r="76229">
      <c r="A76229" s="1" t="n">
        <v>76228</v>
      </c>
      <c r="B76229">
        <f>TEXT(76228, "[$-0E0000]yyyy-mm-dd")</f>
        <v/>
      </c>
      <c r="C76229" t="inlineStr">
        <is>
          <t>2108-08-09</t>
        </is>
      </c>
    </row>
    <row r="76230">
      <c r="A76230" s="1" t="n">
        <v>76229</v>
      </c>
      <c r="B76230">
        <f>TEXT(76229, "[$-0E0000]yyyy-mm-dd")</f>
        <v/>
      </c>
      <c r="C76230" t="inlineStr">
        <is>
          <t>2108-08-10</t>
        </is>
      </c>
    </row>
    <row r="76231">
      <c r="A76231" s="1" t="n">
        <v>76230</v>
      </c>
      <c r="B76231">
        <f>TEXT(76230, "[$-0E0000]yyyy-mm-dd")</f>
        <v/>
      </c>
      <c r="C76231" t="inlineStr">
        <is>
          <t>2108-08-11</t>
        </is>
      </c>
    </row>
    <row r="76232">
      <c r="A76232" s="1" t="n">
        <v>76231</v>
      </c>
      <c r="B76232">
        <f>TEXT(76231, "[$-0E0000]yyyy-mm-dd")</f>
        <v/>
      </c>
      <c r="C76232" t="inlineStr">
        <is>
          <t>2108-08-12</t>
        </is>
      </c>
    </row>
    <row r="76233">
      <c r="A76233" s="1" t="n">
        <v>76232</v>
      </c>
      <c r="B76233">
        <f>TEXT(76232, "[$-0E0000]yyyy-mm-dd")</f>
        <v/>
      </c>
      <c r="C76233" t="inlineStr">
        <is>
          <t>2108-08-13</t>
        </is>
      </c>
    </row>
    <row r="76234">
      <c r="A76234" s="1" t="n">
        <v>76233</v>
      </c>
      <c r="B76234">
        <f>TEXT(76233, "[$-0E0000]yyyy-mm-dd")</f>
        <v/>
      </c>
      <c r="C76234" t="inlineStr">
        <is>
          <t>2108-08-14</t>
        </is>
      </c>
    </row>
    <row r="76235">
      <c r="A76235" s="1" t="n">
        <v>76234</v>
      </c>
      <c r="B76235">
        <f>TEXT(76234, "[$-0E0000]yyyy-mm-dd")</f>
        <v/>
      </c>
      <c r="C76235" t="inlineStr">
        <is>
          <t>2108-08-15</t>
        </is>
      </c>
    </row>
    <row r="76236">
      <c r="A76236" s="1" t="n">
        <v>76235</v>
      </c>
      <c r="B76236">
        <f>TEXT(76235, "[$-0E0000]yyyy-mm-dd")</f>
        <v/>
      </c>
      <c r="C76236" t="inlineStr">
        <is>
          <t>2108-08-16</t>
        </is>
      </c>
    </row>
    <row r="76237">
      <c r="A76237" s="1" t="n">
        <v>76236</v>
      </c>
      <c r="B76237">
        <f>TEXT(76236, "[$-0E0000]yyyy-mm-dd")</f>
        <v/>
      </c>
      <c r="C76237" t="inlineStr">
        <is>
          <t>2108-08-17</t>
        </is>
      </c>
    </row>
    <row r="76238">
      <c r="A76238" s="1" t="n">
        <v>76237</v>
      </c>
      <c r="B76238">
        <f>TEXT(76237, "[$-0E0000]yyyy-mm-dd")</f>
        <v/>
      </c>
      <c r="C76238" t="inlineStr">
        <is>
          <t>2108-08-18</t>
        </is>
      </c>
    </row>
    <row r="76239">
      <c r="A76239" s="1" t="n">
        <v>76238</v>
      </c>
      <c r="B76239">
        <f>TEXT(76238, "[$-0E0000]yyyy-mm-dd")</f>
        <v/>
      </c>
      <c r="C76239" t="inlineStr">
        <is>
          <t>2108-08-19</t>
        </is>
      </c>
    </row>
    <row r="76240">
      <c r="A76240" s="1" t="n">
        <v>76239</v>
      </c>
      <c r="B76240">
        <f>TEXT(76239, "[$-0E0000]yyyy-mm-dd")</f>
        <v/>
      </c>
      <c r="C76240" t="inlineStr">
        <is>
          <t>2108-08-20</t>
        </is>
      </c>
    </row>
    <row r="76241">
      <c r="A76241" s="1" t="n">
        <v>76240</v>
      </c>
      <c r="B76241">
        <f>TEXT(76240, "[$-0E0000]yyyy-mm-dd")</f>
        <v/>
      </c>
      <c r="C76241" t="inlineStr">
        <is>
          <t>2108-08-21</t>
        </is>
      </c>
    </row>
    <row r="76242">
      <c r="A76242" s="1" t="n">
        <v>76241</v>
      </c>
      <c r="B76242">
        <f>TEXT(76241, "[$-0E0000]yyyy-mm-dd")</f>
        <v/>
      </c>
      <c r="C76242" t="inlineStr">
        <is>
          <t>2108-08-22</t>
        </is>
      </c>
    </row>
    <row r="76243">
      <c r="A76243" s="1" t="n">
        <v>76242</v>
      </c>
      <c r="B76243">
        <f>TEXT(76242, "[$-0E0000]yyyy-mm-dd")</f>
        <v/>
      </c>
      <c r="C76243" t="inlineStr">
        <is>
          <t>2108-08-23</t>
        </is>
      </c>
    </row>
    <row r="76244">
      <c r="A76244" s="1" t="n">
        <v>76243</v>
      </c>
      <c r="B76244">
        <f>TEXT(76243, "[$-0E0000]yyyy-mm-dd")</f>
        <v/>
      </c>
      <c r="C76244" t="inlineStr">
        <is>
          <t>2108-08-24</t>
        </is>
      </c>
    </row>
    <row r="76245">
      <c r="A76245" s="1" t="n">
        <v>76244</v>
      </c>
      <c r="B76245">
        <f>TEXT(76244, "[$-0E0000]yyyy-mm-dd")</f>
        <v/>
      </c>
      <c r="C76245" t="inlineStr">
        <is>
          <t>2108-08-25</t>
        </is>
      </c>
    </row>
    <row r="76246">
      <c r="A76246" s="1" t="n">
        <v>76245</v>
      </c>
      <c r="B76246">
        <f>TEXT(76245, "[$-0E0000]yyyy-mm-dd")</f>
        <v/>
      </c>
      <c r="C76246" t="inlineStr">
        <is>
          <t>2108-08-26</t>
        </is>
      </c>
    </row>
    <row r="76247">
      <c r="A76247" s="1" t="n">
        <v>76246</v>
      </c>
      <c r="B76247">
        <f>TEXT(76246, "[$-0E0000]yyyy-mm-dd")</f>
        <v/>
      </c>
      <c r="C76247" t="inlineStr">
        <is>
          <t>2108-08-27</t>
        </is>
      </c>
    </row>
    <row r="76248">
      <c r="A76248" s="1" t="n">
        <v>76247</v>
      </c>
      <c r="B76248">
        <f>TEXT(76247, "[$-0E0000]yyyy-mm-dd")</f>
        <v/>
      </c>
      <c r="C76248" t="inlineStr">
        <is>
          <t>2108-08-28</t>
        </is>
      </c>
    </row>
    <row r="76249">
      <c r="A76249" s="1" t="n">
        <v>76248</v>
      </c>
      <c r="B76249">
        <f>TEXT(76248, "[$-0E0000]yyyy-mm-dd")</f>
        <v/>
      </c>
      <c r="C76249" t="inlineStr">
        <is>
          <t>2108-08-29</t>
        </is>
      </c>
    </row>
    <row r="76250">
      <c r="A76250" s="1" t="n">
        <v>76249</v>
      </c>
      <c r="B76250">
        <f>TEXT(76249, "[$-0E0000]yyyy-mm-dd")</f>
        <v/>
      </c>
      <c r="C76250" t="inlineStr">
        <is>
          <t>2108-09-01</t>
        </is>
      </c>
    </row>
    <row r="76251">
      <c r="A76251" s="1" t="n">
        <v>76250</v>
      </c>
      <c r="B76251">
        <f>TEXT(76250, "[$-0E0000]yyyy-mm-dd")</f>
        <v/>
      </c>
      <c r="C76251" t="inlineStr">
        <is>
          <t>2108-09-02</t>
        </is>
      </c>
    </row>
    <row r="76252">
      <c r="A76252" s="1" t="n">
        <v>76251</v>
      </c>
      <c r="B76252">
        <f>TEXT(76251, "[$-0E0000]yyyy-mm-dd")</f>
        <v/>
      </c>
      <c r="C76252" t="inlineStr">
        <is>
          <t>2108-09-03</t>
        </is>
      </c>
    </row>
    <row r="76253">
      <c r="A76253" s="1" t="n">
        <v>76252</v>
      </c>
      <c r="B76253">
        <f>TEXT(76252, "[$-0E0000]yyyy-mm-dd")</f>
        <v/>
      </c>
      <c r="C76253" t="inlineStr">
        <is>
          <t>2108-09-04</t>
        </is>
      </c>
    </row>
    <row r="76254">
      <c r="A76254" s="1" t="n">
        <v>76253</v>
      </c>
      <c r="B76254">
        <f>TEXT(76253, "[$-0E0000]yyyy-mm-dd")</f>
        <v/>
      </c>
      <c r="C76254" t="inlineStr">
        <is>
          <t>2108-09-05</t>
        </is>
      </c>
    </row>
    <row r="76255">
      <c r="A76255" s="1" t="n">
        <v>76254</v>
      </c>
      <c r="B76255">
        <f>TEXT(76254, "[$-0E0000]yyyy-mm-dd")</f>
        <v/>
      </c>
      <c r="C76255" t="inlineStr">
        <is>
          <t>2108-09-06</t>
        </is>
      </c>
    </row>
    <row r="76256">
      <c r="A76256" s="1" t="n">
        <v>76255</v>
      </c>
      <c r="B76256">
        <f>TEXT(76255, "[$-0E0000]yyyy-mm-dd")</f>
        <v/>
      </c>
      <c r="C76256" t="inlineStr">
        <is>
          <t>2108-09-07</t>
        </is>
      </c>
    </row>
    <row r="76257">
      <c r="A76257" s="1" t="n">
        <v>76256</v>
      </c>
      <c r="B76257">
        <f>TEXT(76256, "[$-0E0000]yyyy-mm-dd")</f>
        <v/>
      </c>
      <c r="C76257" t="inlineStr">
        <is>
          <t>2108-09-08</t>
        </is>
      </c>
    </row>
    <row r="76258">
      <c r="A76258" s="1" t="n">
        <v>76257</v>
      </c>
      <c r="B76258">
        <f>TEXT(76257, "[$-0E0000]yyyy-mm-dd")</f>
        <v/>
      </c>
      <c r="C76258" t="inlineStr">
        <is>
          <t>2108-09-09</t>
        </is>
      </c>
    </row>
    <row r="76259">
      <c r="A76259" s="1" t="n">
        <v>76258</v>
      </c>
      <c r="B76259">
        <f>TEXT(76258, "[$-0E0000]yyyy-mm-dd")</f>
        <v/>
      </c>
      <c r="C76259" t="inlineStr">
        <is>
          <t>2108-09-10</t>
        </is>
      </c>
    </row>
    <row r="76260">
      <c r="A76260" s="1" t="n">
        <v>76259</v>
      </c>
      <c r="B76260">
        <f>TEXT(76259, "[$-0E0000]yyyy-mm-dd")</f>
        <v/>
      </c>
      <c r="C76260" t="inlineStr">
        <is>
          <t>2108-09-11</t>
        </is>
      </c>
    </row>
    <row r="76261">
      <c r="A76261" s="1" t="n">
        <v>76260</v>
      </c>
      <c r="B76261">
        <f>TEXT(76260, "[$-0E0000]yyyy-mm-dd")</f>
        <v/>
      </c>
      <c r="C76261" t="inlineStr">
        <is>
          <t>2108-09-12</t>
        </is>
      </c>
    </row>
    <row r="76262">
      <c r="A76262" s="1" t="n">
        <v>76261</v>
      </c>
      <c r="B76262">
        <f>TEXT(76261, "[$-0E0000]yyyy-mm-dd")</f>
        <v/>
      </c>
      <c r="C76262" t="inlineStr">
        <is>
          <t>2108-09-13</t>
        </is>
      </c>
    </row>
    <row r="76263">
      <c r="A76263" s="1" t="n">
        <v>76262</v>
      </c>
      <c r="B76263">
        <f>TEXT(76262, "[$-0E0000]yyyy-mm-dd")</f>
        <v/>
      </c>
      <c r="C76263" t="inlineStr">
        <is>
          <t>2108-09-14</t>
        </is>
      </c>
    </row>
    <row r="76264">
      <c r="A76264" s="1" t="n">
        <v>76263</v>
      </c>
      <c r="B76264">
        <f>TEXT(76263, "[$-0E0000]yyyy-mm-dd")</f>
        <v/>
      </c>
      <c r="C76264" t="inlineStr">
        <is>
          <t>2108-09-15</t>
        </is>
      </c>
    </row>
    <row r="76265">
      <c r="A76265" s="1" t="n">
        <v>76264</v>
      </c>
      <c r="B76265">
        <f>TEXT(76264, "[$-0E0000]yyyy-mm-dd")</f>
        <v/>
      </c>
      <c r="C76265" t="inlineStr">
        <is>
          <t>2108-09-16</t>
        </is>
      </c>
    </row>
    <row r="76266">
      <c r="A76266" s="1" t="n">
        <v>76265</v>
      </c>
      <c r="B76266">
        <f>TEXT(76265, "[$-0E0000]yyyy-mm-dd")</f>
        <v/>
      </c>
      <c r="C76266" t="inlineStr">
        <is>
          <t>2108-09-17</t>
        </is>
      </c>
    </row>
    <row r="76267">
      <c r="A76267" s="1" t="n">
        <v>76266</v>
      </c>
      <c r="B76267">
        <f>TEXT(76266, "[$-0E0000]yyyy-mm-dd")</f>
        <v/>
      </c>
      <c r="C76267" t="inlineStr">
        <is>
          <t>2108-09-18</t>
        </is>
      </c>
    </row>
    <row r="76268">
      <c r="A76268" s="1" t="n">
        <v>76267</v>
      </c>
      <c r="B76268">
        <f>TEXT(76267, "[$-0E0000]yyyy-mm-dd")</f>
        <v/>
      </c>
      <c r="C76268" t="inlineStr">
        <is>
          <t>2108-09-19</t>
        </is>
      </c>
    </row>
    <row r="76269">
      <c r="A76269" s="1" t="n">
        <v>76268</v>
      </c>
      <c r="B76269">
        <f>TEXT(76268, "[$-0E0000]yyyy-mm-dd")</f>
        <v/>
      </c>
      <c r="C76269" t="inlineStr">
        <is>
          <t>2108-09-20</t>
        </is>
      </c>
    </row>
    <row r="76270">
      <c r="A76270" s="1" t="n">
        <v>76269</v>
      </c>
      <c r="B76270">
        <f>TEXT(76269, "[$-0E0000]yyyy-mm-dd")</f>
        <v/>
      </c>
      <c r="C76270" t="inlineStr">
        <is>
          <t>2108-09-21</t>
        </is>
      </c>
    </row>
    <row r="76271">
      <c r="A76271" s="1" t="n">
        <v>76270</v>
      </c>
      <c r="B76271">
        <f>TEXT(76270, "[$-0E0000]yyyy-mm-dd")</f>
        <v/>
      </c>
      <c r="C76271" t="inlineStr">
        <is>
          <t>2108-09-22</t>
        </is>
      </c>
    </row>
    <row r="76272">
      <c r="A76272" s="1" t="n">
        <v>76271</v>
      </c>
      <c r="B76272">
        <f>TEXT(76271, "[$-0E0000]yyyy-mm-dd")</f>
        <v/>
      </c>
      <c r="C76272" t="inlineStr">
        <is>
          <t>2108-09-23</t>
        </is>
      </c>
    </row>
    <row r="76273">
      <c r="A76273" s="1" t="n">
        <v>76272</v>
      </c>
      <c r="B76273">
        <f>TEXT(76272, "[$-0E0000]yyyy-mm-dd")</f>
        <v/>
      </c>
      <c r="C76273" t="inlineStr">
        <is>
          <t>2108-09-24</t>
        </is>
      </c>
    </row>
    <row r="76274">
      <c r="A76274" s="1" t="n">
        <v>76273</v>
      </c>
      <c r="B76274">
        <f>TEXT(76273, "[$-0E0000]yyyy-mm-dd")</f>
        <v/>
      </c>
      <c r="C76274" t="inlineStr">
        <is>
          <t>2108-09-25</t>
        </is>
      </c>
    </row>
    <row r="76275">
      <c r="A76275" s="1" t="n">
        <v>76274</v>
      </c>
      <c r="B76275">
        <f>TEXT(76274, "[$-0E0000]yyyy-mm-dd")</f>
        <v/>
      </c>
      <c r="C76275" t="inlineStr">
        <is>
          <t>2108-09-26</t>
        </is>
      </c>
    </row>
    <row r="76276">
      <c r="A76276" s="1" t="n">
        <v>76275</v>
      </c>
      <c r="B76276">
        <f>TEXT(76275, "[$-0E0000]yyyy-mm-dd")</f>
        <v/>
      </c>
      <c r="C76276" t="inlineStr">
        <is>
          <t>2108-09-27</t>
        </is>
      </c>
    </row>
    <row r="76277">
      <c r="A76277" s="1" t="n">
        <v>76276</v>
      </c>
      <c r="B76277">
        <f>TEXT(76276, "[$-0E0000]yyyy-mm-dd")</f>
        <v/>
      </c>
      <c r="C76277" t="inlineStr">
        <is>
          <t>2108-09-28</t>
        </is>
      </c>
    </row>
    <row r="76278">
      <c r="A76278" s="1" t="n">
        <v>76277</v>
      </c>
      <c r="B76278">
        <f>TEXT(76277, "[$-0E0000]yyyy-mm-dd")</f>
        <v/>
      </c>
      <c r="C76278" t="inlineStr">
        <is>
          <t>2108-09-29</t>
        </is>
      </c>
    </row>
    <row r="76279">
      <c r="A76279" s="1" t="n">
        <v>76278</v>
      </c>
      <c r="B76279">
        <f>TEXT(76278, "[$-0E0000]yyyy-mm-dd")</f>
        <v/>
      </c>
      <c r="C76279" t="inlineStr">
        <is>
          <t>2108-10-01</t>
        </is>
      </c>
    </row>
    <row r="76280">
      <c r="A76280" s="1" t="n">
        <v>76279</v>
      </c>
      <c r="B76280">
        <f>TEXT(76279, "[$-0E0000]yyyy-mm-dd")</f>
        <v/>
      </c>
      <c r="C76280" t="inlineStr">
        <is>
          <t>2108-10-02</t>
        </is>
      </c>
    </row>
    <row r="76281">
      <c r="A76281" s="1" t="n">
        <v>76280</v>
      </c>
      <c r="B76281">
        <f>TEXT(76280, "[$-0E0000]yyyy-mm-dd")</f>
        <v/>
      </c>
      <c r="C76281" t="inlineStr">
        <is>
          <t>2108-10-03</t>
        </is>
      </c>
    </row>
    <row r="76282">
      <c r="A76282" s="1" t="n">
        <v>76281</v>
      </c>
      <c r="B76282">
        <f>TEXT(76281, "[$-0E0000]yyyy-mm-dd")</f>
        <v/>
      </c>
      <c r="C76282" t="inlineStr">
        <is>
          <t>2108-10-04</t>
        </is>
      </c>
    </row>
    <row r="76283">
      <c r="A76283" s="1" t="n">
        <v>76282</v>
      </c>
      <c r="B76283">
        <f>TEXT(76282, "[$-0E0000]yyyy-mm-dd")</f>
        <v/>
      </c>
      <c r="C76283" t="inlineStr">
        <is>
          <t>2108-10-05</t>
        </is>
      </c>
    </row>
    <row r="76284">
      <c r="A76284" s="1" t="n">
        <v>76283</v>
      </c>
      <c r="B76284">
        <f>TEXT(76283, "[$-0E0000]yyyy-mm-dd")</f>
        <v/>
      </c>
      <c r="C76284" t="inlineStr">
        <is>
          <t>2108-10-06</t>
        </is>
      </c>
    </row>
    <row r="76285">
      <c r="A76285" s="1" t="n">
        <v>76284</v>
      </c>
      <c r="B76285">
        <f>TEXT(76284, "[$-0E0000]yyyy-mm-dd")</f>
        <v/>
      </c>
      <c r="C76285" t="inlineStr">
        <is>
          <t>2108-10-07</t>
        </is>
      </c>
    </row>
    <row r="76286">
      <c r="A76286" s="1" t="n">
        <v>76285</v>
      </c>
      <c r="B76286">
        <f>TEXT(76285, "[$-0E0000]yyyy-mm-dd")</f>
        <v/>
      </c>
      <c r="C76286" t="inlineStr">
        <is>
          <t>2108-10-08</t>
        </is>
      </c>
    </row>
    <row r="76287">
      <c r="A76287" s="1" t="n">
        <v>76286</v>
      </c>
      <c r="B76287">
        <f>TEXT(76286, "[$-0E0000]yyyy-mm-dd")</f>
        <v/>
      </c>
      <c r="C76287" t="inlineStr">
        <is>
          <t>2108-10-09</t>
        </is>
      </c>
    </row>
    <row r="76288">
      <c r="A76288" s="1" t="n">
        <v>76287</v>
      </c>
      <c r="B76288">
        <f>TEXT(76287, "[$-0E0000]yyyy-mm-dd")</f>
        <v/>
      </c>
      <c r="C76288" t="inlineStr">
        <is>
          <t>2108-10-10</t>
        </is>
      </c>
    </row>
    <row r="76289">
      <c r="A76289" s="1" t="n">
        <v>76288</v>
      </c>
      <c r="B76289">
        <f>TEXT(76288, "[$-0E0000]yyyy-mm-dd")</f>
        <v/>
      </c>
      <c r="C76289" t="inlineStr">
        <is>
          <t>2108-10-11</t>
        </is>
      </c>
    </row>
    <row r="76290">
      <c r="A76290" s="1" t="n">
        <v>76289</v>
      </c>
      <c r="B76290">
        <f>TEXT(76289, "[$-0E0000]yyyy-mm-dd")</f>
        <v/>
      </c>
      <c r="C76290" t="inlineStr">
        <is>
          <t>2108-10-12</t>
        </is>
      </c>
    </row>
    <row r="76291">
      <c r="A76291" s="1" t="n">
        <v>76290</v>
      </c>
      <c r="B76291">
        <f>TEXT(76290, "[$-0E0000]yyyy-mm-dd")</f>
        <v/>
      </c>
      <c r="C76291" t="inlineStr">
        <is>
          <t>2108-10-13</t>
        </is>
      </c>
    </row>
    <row r="76292">
      <c r="A76292" s="1" t="n">
        <v>76291</v>
      </c>
      <c r="B76292">
        <f>TEXT(76291, "[$-0E0000]yyyy-mm-dd")</f>
        <v/>
      </c>
      <c r="C76292" t="inlineStr">
        <is>
          <t>2108-10-14</t>
        </is>
      </c>
    </row>
    <row r="76293">
      <c r="A76293" s="1" t="n">
        <v>76292</v>
      </c>
      <c r="B76293">
        <f>TEXT(76292, "[$-0E0000]yyyy-mm-dd")</f>
        <v/>
      </c>
      <c r="C76293" t="inlineStr">
        <is>
          <t>2108-10-15</t>
        </is>
      </c>
    </row>
    <row r="76294">
      <c r="A76294" s="1" t="n">
        <v>76293</v>
      </c>
      <c r="B76294">
        <f>TEXT(76293, "[$-0E0000]yyyy-mm-dd")</f>
        <v/>
      </c>
      <c r="C76294" t="inlineStr">
        <is>
          <t>2108-10-16</t>
        </is>
      </c>
    </row>
    <row r="76295">
      <c r="A76295" s="1" t="n">
        <v>76294</v>
      </c>
      <c r="B76295">
        <f>TEXT(76294, "[$-0E0000]yyyy-mm-dd")</f>
        <v/>
      </c>
      <c r="C76295" t="inlineStr">
        <is>
          <t>2108-10-17</t>
        </is>
      </c>
    </row>
    <row r="76296">
      <c r="A76296" s="1" t="n">
        <v>76295</v>
      </c>
      <c r="B76296">
        <f>TEXT(76295, "[$-0E0000]yyyy-mm-dd")</f>
        <v/>
      </c>
      <c r="C76296" t="inlineStr">
        <is>
          <t>2108-10-18</t>
        </is>
      </c>
    </row>
    <row r="76297">
      <c r="A76297" s="1" t="n">
        <v>76296</v>
      </c>
      <c r="B76297">
        <f>TEXT(76296, "[$-0E0000]yyyy-mm-dd")</f>
        <v/>
      </c>
      <c r="C76297" t="inlineStr">
        <is>
          <t>2108-10-19</t>
        </is>
      </c>
    </row>
    <row r="76298">
      <c r="A76298" s="1" t="n">
        <v>76297</v>
      </c>
      <c r="B76298">
        <f>TEXT(76297, "[$-0E0000]yyyy-mm-dd")</f>
        <v/>
      </c>
      <c r="C76298" t="inlineStr">
        <is>
          <t>2108-10-20</t>
        </is>
      </c>
    </row>
    <row r="76299">
      <c r="A76299" s="1" t="n">
        <v>76298</v>
      </c>
      <c r="B76299">
        <f>TEXT(76298, "[$-0E0000]yyyy-mm-dd")</f>
        <v/>
      </c>
      <c r="C76299" t="inlineStr">
        <is>
          <t>2108-10-21</t>
        </is>
      </c>
    </row>
    <row r="76300">
      <c r="A76300" s="1" t="n">
        <v>76299</v>
      </c>
      <c r="B76300">
        <f>TEXT(76299, "[$-0E0000]yyyy-mm-dd")</f>
        <v/>
      </c>
      <c r="C76300" t="inlineStr">
        <is>
          <t>2108-10-22</t>
        </is>
      </c>
    </row>
    <row r="76301">
      <c r="A76301" s="1" t="n">
        <v>76300</v>
      </c>
      <c r="B76301">
        <f>TEXT(76300, "[$-0E0000]yyyy-mm-dd")</f>
        <v/>
      </c>
      <c r="C76301" t="inlineStr">
        <is>
          <t>2108-10-23</t>
        </is>
      </c>
    </row>
    <row r="76302">
      <c r="A76302" s="1" t="n">
        <v>76301</v>
      </c>
      <c r="B76302">
        <f>TEXT(76301, "[$-0E0000]yyyy-mm-dd")</f>
        <v/>
      </c>
      <c r="C76302" t="inlineStr">
        <is>
          <t>2108-10-24</t>
        </is>
      </c>
    </row>
    <row r="76303">
      <c r="A76303" s="1" t="n">
        <v>76302</v>
      </c>
      <c r="B76303">
        <f>TEXT(76302, "[$-0E0000]yyyy-mm-dd")</f>
        <v/>
      </c>
      <c r="C76303" t="inlineStr">
        <is>
          <t>2108-10-25</t>
        </is>
      </c>
    </row>
    <row r="76304">
      <c r="A76304" s="1" t="n">
        <v>76303</v>
      </c>
      <c r="B76304">
        <f>TEXT(76303, "[$-0E0000]yyyy-mm-dd")</f>
        <v/>
      </c>
      <c r="C76304" t="inlineStr">
        <is>
          <t>2108-10-26</t>
        </is>
      </c>
    </row>
    <row r="76305">
      <c r="A76305" s="1" t="n">
        <v>76304</v>
      </c>
      <c r="B76305">
        <f>TEXT(76304, "[$-0E0000]yyyy-mm-dd")</f>
        <v/>
      </c>
      <c r="C76305" t="inlineStr">
        <is>
          <t>2108-10-27</t>
        </is>
      </c>
    </row>
    <row r="76306">
      <c r="A76306" s="1" t="n">
        <v>76305</v>
      </c>
      <c r="B76306">
        <f>TEXT(76305, "[$-0E0000]yyyy-mm-dd")</f>
        <v/>
      </c>
      <c r="C76306" t="inlineStr">
        <is>
          <t>2108-10-28</t>
        </is>
      </c>
    </row>
    <row r="76307">
      <c r="A76307" s="1" t="n">
        <v>76306</v>
      </c>
      <c r="B76307">
        <f>TEXT(76306, "[$-0E0000]yyyy-mm-dd")</f>
        <v/>
      </c>
      <c r="C76307" t="inlineStr">
        <is>
          <t>2108-10-29</t>
        </is>
      </c>
    </row>
    <row r="76308">
      <c r="A76308" s="1" t="n">
        <v>76307</v>
      </c>
      <c r="B76308">
        <f>TEXT(76307, "[$-0E0000]yyyy-mm-dd")</f>
        <v/>
      </c>
      <c r="C76308" t="inlineStr">
        <is>
          <t>2108-10-30</t>
        </is>
      </c>
    </row>
    <row r="76309">
      <c r="A76309" s="1" t="n">
        <v>76308</v>
      </c>
      <c r="B76309">
        <f>TEXT(76308, "[$-0E0000]yyyy-mm-dd")</f>
        <v/>
      </c>
      <c r="C76309" t="inlineStr">
        <is>
          <t>2108-11-01</t>
        </is>
      </c>
    </row>
    <row r="76310">
      <c r="A76310" s="1" t="n">
        <v>76309</v>
      </c>
      <c r="B76310">
        <f>TEXT(76309, "[$-0E0000]yyyy-mm-dd")</f>
        <v/>
      </c>
      <c r="C76310" t="inlineStr">
        <is>
          <t>2108-11-02</t>
        </is>
      </c>
    </row>
    <row r="76311">
      <c r="A76311" s="1" t="n">
        <v>76310</v>
      </c>
      <c r="B76311">
        <f>TEXT(76310, "[$-0E0000]yyyy-mm-dd")</f>
        <v/>
      </c>
      <c r="C76311" t="inlineStr">
        <is>
          <t>2108-11-03</t>
        </is>
      </c>
    </row>
    <row r="76312">
      <c r="A76312" s="1" t="n">
        <v>76311</v>
      </c>
      <c r="B76312">
        <f>TEXT(76311, "[$-0E0000]yyyy-mm-dd")</f>
        <v/>
      </c>
      <c r="C76312" t="inlineStr">
        <is>
          <t>2108-11-04</t>
        </is>
      </c>
    </row>
    <row r="76313">
      <c r="A76313" s="1" t="n">
        <v>76312</v>
      </c>
      <c r="B76313">
        <f>TEXT(76312, "[$-0E0000]yyyy-mm-dd")</f>
        <v/>
      </c>
      <c r="C76313" t="inlineStr">
        <is>
          <t>2108-11-05</t>
        </is>
      </c>
    </row>
    <row r="76314">
      <c r="A76314" s="1" t="n">
        <v>76313</v>
      </c>
      <c r="B76314">
        <f>TEXT(76313, "[$-0E0000]yyyy-mm-dd")</f>
        <v/>
      </c>
      <c r="C76314" t="inlineStr">
        <is>
          <t>2108-11-06</t>
        </is>
      </c>
    </row>
    <row r="76315">
      <c r="A76315" s="1" t="n">
        <v>76314</v>
      </c>
      <c r="B76315">
        <f>TEXT(76314, "[$-0E0000]yyyy-mm-dd")</f>
        <v/>
      </c>
      <c r="C76315" t="inlineStr">
        <is>
          <t>2108-11-07</t>
        </is>
      </c>
    </row>
    <row r="76316">
      <c r="A76316" s="1" t="n">
        <v>76315</v>
      </c>
      <c r="B76316">
        <f>TEXT(76315, "[$-0E0000]yyyy-mm-dd")</f>
        <v/>
      </c>
      <c r="C76316" t="inlineStr">
        <is>
          <t>2108-11-08</t>
        </is>
      </c>
    </row>
    <row r="76317">
      <c r="A76317" s="1" t="n">
        <v>76316</v>
      </c>
      <c r="B76317">
        <f>TEXT(76316, "[$-0E0000]yyyy-mm-dd")</f>
        <v/>
      </c>
      <c r="C76317" t="inlineStr">
        <is>
          <t>2108-11-09</t>
        </is>
      </c>
    </row>
    <row r="76318">
      <c r="A76318" s="1" t="n">
        <v>76317</v>
      </c>
      <c r="B76318">
        <f>TEXT(76317, "[$-0E0000]yyyy-mm-dd")</f>
        <v/>
      </c>
      <c r="C76318" t="inlineStr">
        <is>
          <t>2108-11-10</t>
        </is>
      </c>
    </row>
    <row r="76319">
      <c r="A76319" s="1" t="n">
        <v>76318</v>
      </c>
      <c r="B76319">
        <f>TEXT(76318, "[$-0E0000]yyyy-mm-dd")</f>
        <v/>
      </c>
      <c r="C76319" t="inlineStr">
        <is>
          <t>2108-11-11</t>
        </is>
      </c>
    </row>
    <row r="76320">
      <c r="A76320" s="1" t="n">
        <v>76319</v>
      </c>
      <c r="B76320">
        <f>TEXT(76319, "[$-0E0000]yyyy-mm-dd")</f>
        <v/>
      </c>
      <c r="C76320" t="inlineStr">
        <is>
          <t>2108-11-12</t>
        </is>
      </c>
    </row>
    <row r="76321">
      <c r="A76321" s="1" t="n">
        <v>76320</v>
      </c>
      <c r="B76321">
        <f>TEXT(76320, "[$-0E0000]yyyy-mm-dd")</f>
        <v/>
      </c>
      <c r="C76321" t="inlineStr">
        <is>
          <t>2108-11-13</t>
        </is>
      </c>
    </row>
    <row r="76322">
      <c r="A76322" s="1" t="n">
        <v>76321</v>
      </c>
      <c r="B76322">
        <f>TEXT(76321, "[$-0E0000]yyyy-mm-dd")</f>
        <v/>
      </c>
      <c r="C76322" t="inlineStr">
        <is>
          <t>2108-11-14</t>
        </is>
      </c>
    </row>
    <row r="76323">
      <c r="A76323" s="1" t="n">
        <v>76322</v>
      </c>
      <c r="B76323">
        <f>TEXT(76322, "[$-0E0000]yyyy-mm-dd")</f>
        <v/>
      </c>
      <c r="C76323" t="inlineStr">
        <is>
          <t>2108-11-15</t>
        </is>
      </c>
    </row>
    <row r="76324">
      <c r="A76324" s="1" t="n">
        <v>76323</v>
      </c>
      <c r="B76324">
        <f>TEXT(76323, "[$-0E0000]yyyy-mm-dd")</f>
        <v/>
      </c>
      <c r="C76324" t="inlineStr">
        <is>
          <t>2108-11-16</t>
        </is>
      </c>
    </row>
    <row r="76325">
      <c r="A76325" s="1" t="n">
        <v>76324</v>
      </c>
      <c r="B76325">
        <f>TEXT(76324, "[$-0E0000]yyyy-mm-dd")</f>
        <v/>
      </c>
      <c r="C76325" t="inlineStr">
        <is>
          <t>2108-11-17</t>
        </is>
      </c>
    </row>
    <row r="76326">
      <c r="A76326" s="1" t="n">
        <v>76325</v>
      </c>
      <c r="B76326">
        <f>TEXT(76325, "[$-0E0000]yyyy-mm-dd")</f>
        <v/>
      </c>
      <c r="C76326" t="inlineStr">
        <is>
          <t>2108-11-18</t>
        </is>
      </c>
    </row>
    <row r="76327">
      <c r="A76327" s="1" t="n">
        <v>76326</v>
      </c>
      <c r="B76327">
        <f>TEXT(76326, "[$-0E0000]yyyy-mm-dd")</f>
        <v/>
      </c>
      <c r="C76327" t="inlineStr">
        <is>
          <t>2108-11-19</t>
        </is>
      </c>
    </row>
    <row r="76328">
      <c r="A76328" s="1" t="n">
        <v>76327</v>
      </c>
      <c r="B76328">
        <f>TEXT(76327, "[$-0E0000]yyyy-mm-dd")</f>
        <v/>
      </c>
      <c r="C76328" t="inlineStr">
        <is>
          <t>2108-11-20</t>
        </is>
      </c>
    </row>
    <row r="76329">
      <c r="A76329" s="1" t="n">
        <v>76328</v>
      </c>
      <c r="B76329">
        <f>TEXT(76328, "[$-0E0000]yyyy-mm-dd")</f>
        <v/>
      </c>
      <c r="C76329" t="inlineStr">
        <is>
          <t>2108-11-21</t>
        </is>
      </c>
    </row>
    <row r="76330">
      <c r="A76330" s="1" t="n">
        <v>76329</v>
      </c>
      <c r="B76330">
        <f>TEXT(76329, "[$-0E0000]yyyy-mm-dd")</f>
        <v/>
      </c>
      <c r="C76330" t="inlineStr">
        <is>
          <t>2108-11-22</t>
        </is>
      </c>
    </row>
    <row r="76331">
      <c r="A76331" s="1" t="n">
        <v>76330</v>
      </c>
      <c r="B76331">
        <f>TEXT(76330, "[$-0E0000]yyyy-mm-dd")</f>
        <v/>
      </c>
      <c r="C76331" t="inlineStr">
        <is>
          <t>2108-11-23</t>
        </is>
      </c>
    </row>
    <row r="76332">
      <c r="A76332" s="1" t="n">
        <v>76331</v>
      </c>
      <c r="B76332">
        <f>TEXT(76331, "[$-0E0000]yyyy-mm-dd")</f>
        <v/>
      </c>
      <c r="C76332" t="inlineStr">
        <is>
          <t>2108-11-24</t>
        </is>
      </c>
    </row>
    <row r="76333">
      <c r="A76333" s="1" t="n">
        <v>76332</v>
      </c>
      <c r="B76333">
        <f>TEXT(76332, "[$-0E0000]yyyy-mm-dd")</f>
        <v/>
      </c>
      <c r="C76333" t="inlineStr">
        <is>
          <t>2108-11-25</t>
        </is>
      </c>
    </row>
    <row r="76334">
      <c r="A76334" s="1" t="n">
        <v>76333</v>
      </c>
      <c r="B76334">
        <f>TEXT(76333, "[$-0E0000]yyyy-mm-dd")</f>
        <v/>
      </c>
      <c r="C76334" t="inlineStr">
        <is>
          <t>2108-11-26</t>
        </is>
      </c>
    </row>
    <row r="76335">
      <c r="A76335" s="1" t="n">
        <v>76334</v>
      </c>
      <c r="B76335">
        <f>TEXT(76334, "[$-0E0000]yyyy-mm-dd")</f>
        <v/>
      </c>
      <c r="C76335" t="inlineStr">
        <is>
          <t>2108-11-27</t>
        </is>
      </c>
    </row>
    <row r="76336">
      <c r="A76336" s="1" t="n">
        <v>76335</v>
      </c>
      <c r="B76336">
        <f>TEXT(76335, "[$-0E0000]yyyy-mm-dd")</f>
        <v/>
      </c>
      <c r="C76336" t="inlineStr">
        <is>
          <t>2108-11-28</t>
        </is>
      </c>
    </row>
    <row r="76337">
      <c r="A76337" s="1" t="n">
        <v>76336</v>
      </c>
      <c r="B76337">
        <f>TEXT(76336, "[$-0E0000]yyyy-mm-dd")</f>
        <v/>
      </c>
      <c r="C76337" t="inlineStr">
        <is>
          <t>2108-11-29</t>
        </is>
      </c>
    </row>
    <row r="76338">
      <c r="A76338" s="1" t="n">
        <v>76337</v>
      </c>
      <c r="B76338">
        <f>TEXT(76337, "[$-0E0000]yyyy-mm-dd")</f>
        <v/>
      </c>
      <c r="C76338" t="inlineStr">
        <is>
          <t>2108-12-01</t>
        </is>
      </c>
    </row>
    <row r="76339">
      <c r="A76339" s="1" t="n">
        <v>76338</v>
      </c>
      <c r="B76339">
        <f>TEXT(76338, "[$-0E0000]yyyy-mm-dd")</f>
        <v/>
      </c>
      <c r="C76339" t="inlineStr">
        <is>
          <t>2108-12-02</t>
        </is>
      </c>
    </row>
    <row r="76340">
      <c r="A76340" s="1" t="n">
        <v>76339</v>
      </c>
      <c r="B76340">
        <f>TEXT(76339, "[$-0E0000]yyyy-mm-dd")</f>
        <v/>
      </c>
      <c r="C76340" t="inlineStr">
        <is>
          <t>2108-12-03</t>
        </is>
      </c>
    </row>
    <row r="76341">
      <c r="A76341" s="1" t="n">
        <v>76340</v>
      </c>
      <c r="B76341">
        <f>TEXT(76340, "[$-0E0000]yyyy-mm-dd")</f>
        <v/>
      </c>
      <c r="C76341" t="inlineStr">
        <is>
          <t>2108-12-04</t>
        </is>
      </c>
    </row>
    <row r="76342">
      <c r="A76342" s="1" t="n">
        <v>76341</v>
      </c>
      <c r="B76342">
        <f>TEXT(76341, "[$-0E0000]yyyy-mm-dd")</f>
        <v/>
      </c>
      <c r="C76342" t="inlineStr">
        <is>
          <t>2108-12-05</t>
        </is>
      </c>
    </row>
    <row r="76343">
      <c r="A76343" s="1" t="n">
        <v>76342</v>
      </c>
      <c r="B76343">
        <f>TEXT(76342, "[$-0E0000]yyyy-mm-dd")</f>
        <v/>
      </c>
      <c r="C76343" t="inlineStr">
        <is>
          <t>2108-12-06</t>
        </is>
      </c>
    </row>
    <row r="76344">
      <c r="A76344" s="1" t="n">
        <v>76343</v>
      </c>
      <c r="B76344">
        <f>TEXT(76343, "[$-0E0000]yyyy-mm-dd")</f>
        <v/>
      </c>
      <c r="C76344" t="inlineStr">
        <is>
          <t>2108-12-07</t>
        </is>
      </c>
    </row>
    <row r="76345">
      <c r="A76345" s="1" t="n">
        <v>76344</v>
      </c>
      <c r="B76345">
        <f>TEXT(76344, "[$-0E0000]yyyy-mm-dd")</f>
        <v/>
      </c>
      <c r="C76345" t="inlineStr">
        <is>
          <t>2108-12-08</t>
        </is>
      </c>
    </row>
    <row r="76346">
      <c r="A76346" s="1" t="n">
        <v>76345</v>
      </c>
      <c r="B76346">
        <f>TEXT(76345, "[$-0E0000]yyyy-mm-dd")</f>
        <v/>
      </c>
      <c r="C76346" t="inlineStr">
        <is>
          <t>2108-12-09</t>
        </is>
      </c>
    </row>
    <row r="76347">
      <c r="A76347" s="1" t="n">
        <v>76346</v>
      </c>
      <c r="B76347">
        <f>TEXT(76346, "[$-0E0000]yyyy-mm-dd")</f>
        <v/>
      </c>
      <c r="C76347" t="inlineStr">
        <is>
          <t>2108-12-10</t>
        </is>
      </c>
    </row>
    <row r="76348">
      <c r="A76348" s="1" t="n">
        <v>76347</v>
      </c>
      <c r="B76348">
        <f>TEXT(76347, "[$-0E0000]yyyy-mm-dd")</f>
        <v/>
      </c>
      <c r="C76348" t="inlineStr">
        <is>
          <t>2108-12-11</t>
        </is>
      </c>
    </row>
    <row r="76349">
      <c r="A76349" s="1" t="n">
        <v>76348</v>
      </c>
      <c r="B76349">
        <f>TEXT(76348, "[$-0E0000]yyyy-mm-dd")</f>
        <v/>
      </c>
      <c r="C76349" t="inlineStr">
        <is>
          <t>2108-12-12</t>
        </is>
      </c>
    </row>
    <row r="76350">
      <c r="A76350" s="1" t="n">
        <v>76349</v>
      </c>
      <c r="B76350">
        <f>TEXT(76349, "[$-0E0000]yyyy-mm-dd")</f>
        <v/>
      </c>
      <c r="C76350" t="inlineStr">
        <is>
          <t>2108-12-13</t>
        </is>
      </c>
    </row>
    <row r="76351">
      <c r="A76351" s="1" t="n">
        <v>76350</v>
      </c>
      <c r="B76351">
        <f>TEXT(76350, "[$-0E0000]yyyy-mm-dd")</f>
        <v/>
      </c>
      <c r="C76351" t="inlineStr">
        <is>
          <t>2108-12-14</t>
        </is>
      </c>
    </row>
    <row r="76352">
      <c r="A76352" s="1" t="n">
        <v>76351</v>
      </c>
      <c r="B76352">
        <f>TEXT(76351, "[$-0E0000]yyyy-mm-dd")</f>
        <v/>
      </c>
      <c r="C76352" t="inlineStr">
        <is>
          <t>2108-12-15</t>
        </is>
      </c>
    </row>
    <row r="76353">
      <c r="A76353" s="1" t="n">
        <v>76352</v>
      </c>
      <c r="B76353">
        <f>TEXT(76352, "[$-0E0000]yyyy-mm-dd")</f>
        <v/>
      </c>
      <c r="C76353" t="inlineStr">
        <is>
          <t>2108-12-16</t>
        </is>
      </c>
    </row>
    <row r="76354">
      <c r="A76354" s="1" t="n">
        <v>76353</v>
      </c>
      <c r="B76354">
        <f>TEXT(76353, "[$-0E0000]yyyy-mm-dd")</f>
        <v/>
      </c>
      <c r="C76354" t="inlineStr">
        <is>
          <t>2108-12-17</t>
        </is>
      </c>
    </row>
    <row r="76355">
      <c r="A76355" s="1" t="n">
        <v>76354</v>
      </c>
      <c r="B76355">
        <f>TEXT(76354, "[$-0E0000]yyyy-mm-dd")</f>
        <v/>
      </c>
      <c r="C76355" t="inlineStr">
        <is>
          <t>2108-12-18</t>
        </is>
      </c>
    </row>
    <row r="76356">
      <c r="A76356" s="1" t="n">
        <v>76355</v>
      </c>
      <c r="B76356">
        <f>TEXT(76355, "[$-0E0000]yyyy-mm-dd")</f>
        <v/>
      </c>
      <c r="C76356" t="inlineStr">
        <is>
          <t>2108-12-19</t>
        </is>
      </c>
    </row>
    <row r="76357">
      <c r="A76357" s="1" t="n">
        <v>76356</v>
      </c>
      <c r="B76357">
        <f>TEXT(76356, "[$-0E0000]yyyy-mm-dd")</f>
        <v/>
      </c>
      <c r="C76357" t="inlineStr">
        <is>
          <t>2108-12-20</t>
        </is>
      </c>
    </row>
    <row r="76358">
      <c r="A76358" s="1" t="n">
        <v>76357</v>
      </c>
      <c r="B76358">
        <f>TEXT(76357, "[$-0E0000]yyyy-mm-dd")</f>
        <v/>
      </c>
      <c r="C76358" t="inlineStr">
        <is>
          <t>2108-12-21</t>
        </is>
      </c>
    </row>
    <row r="76359">
      <c r="A76359" s="1" t="n">
        <v>76358</v>
      </c>
      <c r="B76359">
        <f>TEXT(76358, "[$-0E0000]yyyy-mm-dd")</f>
        <v/>
      </c>
      <c r="C76359" t="inlineStr">
        <is>
          <t>2108-12-22</t>
        </is>
      </c>
    </row>
    <row r="76360">
      <c r="A76360" s="1" t="n">
        <v>76359</v>
      </c>
      <c r="B76360">
        <f>TEXT(76359, "[$-0E0000]yyyy-mm-dd")</f>
        <v/>
      </c>
      <c r="C76360" t="inlineStr">
        <is>
          <t>2108-12-23</t>
        </is>
      </c>
    </row>
    <row r="76361">
      <c r="A76361" s="1" t="n">
        <v>76360</v>
      </c>
      <c r="B76361">
        <f>TEXT(76360, "[$-0E0000]yyyy-mm-dd")</f>
        <v/>
      </c>
      <c r="C76361" t="inlineStr">
        <is>
          <t>2108-12-24</t>
        </is>
      </c>
    </row>
    <row r="76362">
      <c r="A76362" s="1" t="n">
        <v>76361</v>
      </c>
      <c r="B76362">
        <f>TEXT(76361, "[$-0E0000]yyyy-mm-dd")</f>
        <v/>
      </c>
      <c r="C76362" t="inlineStr">
        <is>
          <t>2108-12-25</t>
        </is>
      </c>
    </row>
    <row r="76363">
      <c r="A76363" s="1" t="n">
        <v>76362</v>
      </c>
      <c r="B76363">
        <f>TEXT(76362, "[$-0E0000]yyyy-mm-dd")</f>
        <v/>
      </c>
      <c r="C76363" t="inlineStr">
        <is>
          <t>2108-12-26</t>
        </is>
      </c>
    </row>
    <row r="76364">
      <c r="A76364" s="1" t="n">
        <v>76363</v>
      </c>
      <c r="B76364">
        <f>TEXT(76363, "[$-0E0000]yyyy-mm-dd")</f>
        <v/>
      </c>
      <c r="C76364" t="inlineStr">
        <is>
          <t>2108-12-27</t>
        </is>
      </c>
    </row>
    <row r="76365">
      <c r="A76365" s="1" t="n">
        <v>76364</v>
      </c>
      <c r="B76365">
        <f>TEXT(76364, "[$-0E0000]yyyy-mm-dd")</f>
        <v/>
      </c>
      <c r="C76365" t="inlineStr">
        <is>
          <t>2108-12-28</t>
        </is>
      </c>
    </row>
    <row r="76366">
      <c r="A76366" s="1" t="n">
        <v>76365</v>
      </c>
      <c r="B76366">
        <f>TEXT(76365, "[$-0E0000]yyyy-mm-dd")</f>
        <v/>
      </c>
      <c r="C76366" t="inlineStr">
        <is>
          <t>2108-12-29</t>
        </is>
      </c>
    </row>
    <row r="76367">
      <c r="A76367" s="1" t="n">
        <v>76366</v>
      </c>
      <c r="B76367">
        <f>TEXT(76366, "[$-0E0000]yyyy-mm-dd")</f>
        <v/>
      </c>
      <c r="C76367" t="inlineStr">
        <is>
          <t>2108-12-30</t>
        </is>
      </c>
    </row>
    <row r="76368">
      <c r="A76368" s="1" t="n">
        <v>76367</v>
      </c>
      <c r="B76368">
        <f>TEXT(76367, "[$-0E0000]yyyy-mm-dd")</f>
        <v/>
      </c>
      <c r="C76368" t="inlineStr">
        <is>
          <t>2109-01-01</t>
        </is>
      </c>
    </row>
    <row r="76369">
      <c r="A76369" s="1" t="n">
        <v>76368</v>
      </c>
      <c r="B76369">
        <f>TEXT(76368, "[$-0E0000]yyyy-mm-dd")</f>
        <v/>
      </c>
      <c r="C76369" t="inlineStr">
        <is>
          <t>2109-01-02</t>
        </is>
      </c>
    </row>
    <row r="76370">
      <c r="A76370" s="1" t="n">
        <v>76369</v>
      </c>
      <c r="B76370">
        <f>TEXT(76369, "[$-0E0000]yyyy-mm-dd")</f>
        <v/>
      </c>
      <c r="C76370" t="inlineStr">
        <is>
          <t>2109-01-03</t>
        </is>
      </c>
    </row>
    <row r="76371">
      <c r="A76371" s="1" t="n">
        <v>76370</v>
      </c>
      <c r="B76371">
        <f>TEXT(76370, "[$-0E0000]yyyy-mm-dd")</f>
        <v/>
      </c>
      <c r="C76371" t="inlineStr">
        <is>
          <t>2109-01-04</t>
        </is>
      </c>
    </row>
    <row r="76372">
      <c r="A76372" s="1" t="n">
        <v>76371</v>
      </c>
      <c r="B76372">
        <f>TEXT(76371, "[$-0E0000]yyyy-mm-dd")</f>
        <v/>
      </c>
      <c r="C76372" t="inlineStr">
        <is>
          <t>2109-01-05</t>
        </is>
      </c>
    </row>
    <row r="76373">
      <c r="A76373" s="1" t="n">
        <v>76372</v>
      </c>
      <c r="B76373">
        <f>TEXT(76372, "[$-0E0000]yyyy-mm-dd")</f>
        <v/>
      </c>
      <c r="C76373" t="inlineStr">
        <is>
          <t>2109-01-06</t>
        </is>
      </c>
    </row>
    <row r="76374">
      <c r="A76374" s="1" t="n">
        <v>76373</v>
      </c>
      <c r="B76374">
        <f>TEXT(76373, "[$-0E0000]yyyy-mm-dd")</f>
        <v/>
      </c>
      <c r="C76374" t="inlineStr">
        <is>
          <t>2109-01-07</t>
        </is>
      </c>
    </row>
    <row r="76375">
      <c r="A76375" s="1" t="n">
        <v>76374</v>
      </c>
      <c r="B76375">
        <f>TEXT(76374, "[$-0E0000]yyyy-mm-dd")</f>
        <v/>
      </c>
      <c r="C76375" t="inlineStr">
        <is>
          <t>2109-01-08</t>
        </is>
      </c>
    </row>
    <row r="76376">
      <c r="A76376" s="1" t="n">
        <v>76375</v>
      </c>
      <c r="B76376">
        <f>TEXT(76375, "[$-0E0000]yyyy-mm-dd")</f>
        <v/>
      </c>
      <c r="C76376" t="inlineStr">
        <is>
          <t>2109-01-09</t>
        </is>
      </c>
    </row>
    <row r="76377">
      <c r="A76377" s="1" t="n">
        <v>76376</v>
      </c>
      <c r="B76377">
        <f>TEXT(76376, "[$-0E0000]yyyy-mm-dd")</f>
        <v/>
      </c>
      <c r="C76377" t="inlineStr">
        <is>
          <t>2109-01-10</t>
        </is>
      </c>
    </row>
    <row r="76378">
      <c r="A76378" s="1" t="n">
        <v>76377</v>
      </c>
      <c r="B76378">
        <f>TEXT(76377, "[$-0E0000]yyyy-mm-dd")</f>
        <v/>
      </c>
      <c r="C76378" t="inlineStr">
        <is>
          <t>2109-01-11</t>
        </is>
      </c>
    </row>
    <row r="76379">
      <c r="A76379" s="1" t="n">
        <v>76378</v>
      </c>
      <c r="B76379">
        <f>TEXT(76378, "[$-0E0000]yyyy-mm-dd")</f>
        <v/>
      </c>
      <c r="C76379" t="inlineStr">
        <is>
          <t>2109-01-12</t>
        </is>
      </c>
    </row>
    <row r="76380">
      <c r="A76380" s="1" t="n">
        <v>76379</v>
      </c>
      <c r="B76380">
        <f>TEXT(76379, "[$-0E0000]yyyy-mm-dd")</f>
        <v/>
      </c>
      <c r="C76380" t="inlineStr">
        <is>
          <t>2109-01-13</t>
        </is>
      </c>
    </row>
    <row r="76381">
      <c r="A76381" s="1" t="n">
        <v>76380</v>
      </c>
      <c r="B76381">
        <f>TEXT(76380, "[$-0E0000]yyyy-mm-dd")</f>
        <v/>
      </c>
      <c r="C76381" t="inlineStr">
        <is>
          <t>2109-01-14</t>
        </is>
      </c>
    </row>
    <row r="76382">
      <c r="A76382" s="1" t="n">
        <v>76381</v>
      </c>
      <c r="B76382">
        <f>TEXT(76381, "[$-0E0000]yyyy-mm-dd")</f>
        <v/>
      </c>
      <c r="C76382" t="inlineStr">
        <is>
          <t>2109-01-15</t>
        </is>
      </c>
    </row>
    <row r="76383">
      <c r="A76383" s="1" t="n">
        <v>76382</v>
      </c>
      <c r="B76383">
        <f>TEXT(76382, "[$-0E0000]yyyy-mm-dd")</f>
        <v/>
      </c>
      <c r="C76383" t="inlineStr">
        <is>
          <t>2109-01-16</t>
        </is>
      </c>
    </row>
    <row r="76384">
      <c r="A76384" s="1" t="n">
        <v>76383</v>
      </c>
      <c r="B76384">
        <f>TEXT(76383, "[$-0E0000]yyyy-mm-dd")</f>
        <v/>
      </c>
      <c r="C76384" t="inlineStr">
        <is>
          <t>2109-01-17</t>
        </is>
      </c>
    </row>
    <row r="76385">
      <c r="A76385" s="1" t="n">
        <v>76384</v>
      </c>
      <c r="B76385">
        <f>TEXT(76384, "[$-0E0000]yyyy-mm-dd")</f>
        <v/>
      </c>
      <c r="C76385" t="inlineStr">
        <is>
          <t>2109-01-18</t>
        </is>
      </c>
    </row>
    <row r="76386">
      <c r="A76386" s="1" t="n">
        <v>76385</v>
      </c>
      <c r="B76386">
        <f>TEXT(76385, "[$-0E0000]yyyy-mm-dd")</f>
        <v/>
      </c>
      <c r="C76386" t="inlineStr">
        <is>
          <t>2109-01-19</t>
        </is>
      </c>
    </row>
    <row r="76387">
      <c r="A76387" s="1" t="n">
        <v>76386</v>
      </c>
      <c r="B76387">
        <f>TEXT(76386, "[$-0E0000]yyyy-mm-dd")</f>
        <v/>
      </c>
      <c r="C76387" t="inlineStr">
        <is>
          <t>2109-01-20</t>
        </is>
      </c>
    </row>
    <row r="76388">
      <c r="A76388" s="1" t="n">
        <v>76387</v>
      </c>
      <c r="B76388">
        <f>TEXT(76387, "[$-0E0000]yyyy-mm-dd")</f>
        <v/>
      </c>
      <c r="C76388" t="inlineStr">
        <is>
          <t>2109-01-21</t>
        </is>
      </c>
    </row>
    <row r="76389">
      <c r="A76389" s="1" t="n">
        <v>76388</v>
      </c>
      <c r="B76389">
        <f>TEXT(76388, "[$-0E0000]yyyy-mm-dd")</f>
        <v/>
      </c>
      <c r="C76389" t="inlineStr">
        <is>
          <t>2109-01-22</t>
        </is>
      </c>
    </row>
    <row r="76390">
      <c r="A76390" s="1" t="n">
        <v>76389</v>
      </c>
      <c r="B76390">
        <f>TEXT(76389, "[$-0E0000]yyyy-mm-dd")</f>
        <v/>
      </c>
      <c r="C76390" t="inlineStr">
        <is>
          <t>2109-01-23</t>
        </is>
      </c>
    </row>
    <row r="76391">
      <c r="A76391" s="1" t="n">
        <v>76390</v>
      </c>
      <c r="B76391">
        <f>TEXT(76390, "[$-0E0000]yyyy-mm-dd")</f>
        <v/>
      </c>
      <c r="C76391" t="inlineStr">
        <is>
          <t>2109-01-24</t>
        </is>
      </c>
    </row>
    <row r="76392">
      <c r="A76392" s="1" t="n">
        <v>76391</v>
      </c>
      <c r="B76392">
        <f>TEXT(76391, "[$-0E0000]yyyy-mm-dd")</f>
        <v/>
      </c>
      <c r="C76392" t="inlineStr">
        <is>
          <t>2109-01-25</t>
        </is>
      </c>
    </row>
    <row r="76393">
      <c r="A76393" s="1" t="n">
        <v>76392</v>
      </c>
      <c r="B76393">
        <f>TEXT(76392, "[$-0E0000]yyyy-mm-dd")</f>
        <v/>
      </c>
      <c r="C76393" t="inlineStr">
        <is>
          <t>2109-01-26</t>
        </is>
      </c>
    </row>
    <row r="76394">
      <c r="A76394" s="1" t="n">
        <v>76393</v>
      </c>
      <c r="B76394">
        <f>TEXT(76393, "[$-0E0000]yyyy-mm-dd")</f>
        <v/>
      </c>
      <c r="C76394" t="inlineStr">
        <is>
          <t>2109-01-27</t>
        </is>
      </c>
    </row>
    <row r="76395">
      <c r="A76395" s="1" t="n">
        <v>76394</v>
      </c>
      <c r="B76395">
        <f>TEXT(76394, "[$-0E0000]yyyy-mm-dd")</f>
        <v/>
      </c>
      <c r="C76395" t="inlineStr">
        <is>
          <t>2109-01-28</t>
        </is>
      </c>
    </row>
    <row r="76396">
      <c r="A76396" s="1" t="n">
        <v>76395</v>
      </c>
      <c r="B76396">
        <f>TEXT(76395, "[$-0E0000]yyyy-mm-dd")</f>
        <v/>
      </c>
      <c r="C76396" t="inlineStr">
        <is>
          <t>2109-01-29</t>
        </is>
      </c>
    </row>
    <row r="76397">
      <c r="A76397" s="1" t="n">
        <v>76396</v>
      </c>
      <c r="B76397">
        <f>TEXT(76396, "[$-0E0000]yyyy-mm-dd")</f>
        <v/>
      </c>
      <c r="C76397" t="inlineStr">
        <is>
          <t>2109-01-30</t>
        </is>
      </c>
    </row>
    <row r="76398">
      <c r="A76398" s="1" t="n">
        <v>76397</v>
      </c>
      <c r="B76398">
        <f>TEXT(76397, "[$-0E0000]yyyy-mm-dd")</f>
        <v/>
      </c>
      <c r="C76398" t="inlineStr">
        <is>
          <t>2109-02-01</t>
        </is>
      </c>
    </row>
    <row r="76399">
      <c r="A76399" s="1" t="n">
        <v>76398</v>
      </c>
      <c r="B76399">
        <f>TEXT(76398, "[$-0E0000]yyyy-mm-dd")</f>
        <v/>
      </c>
      <c r="C76399" t="inlineStr">
        <is>
          <t>2109-02-02</t>
        </is>
      </c>
    </row>
    <row r="76400">
      <c r="A76400" s="1" t="n">
        <v>76399</v>
      </c>
      <c r="B76400">
        <f>TEXT(76399, "[$-0E0000]yyyy-mm-dd")</f>
        <v/>
      </c>
      <c r="C76400" t="inlineStr">
        <is>
          <t>2109-02-03</t>
        </is>
      </c>
    </row>
    <row r="76401">
      <c r="A76401" s="1" t="n">
        <v>76400</v>
      </c>
      <c r="B76401">
        <f>TEXT(76400, "[$-0E0000]yyyy-mm-dd")</f>
        <v/>
      </c>
      <c r="C76401" t="inlineStr">
        <is>
          <t>2109-02-04</t>
        </is>
      </c>
    </row>
    <row r="76402">
      <c r="A76402" s="1" t="n">
        <v>76401</v>
      </c>
      <c r="B76402">
        <f>TEXT(76401, "[$-0E0000]yyyy-mm-dd")</f>
        <v/>
      </c>
      <c r="C76402" t="inlineStr">
        <is>
          <t>2109-02-05</t>
        </is>
      </c>
    </row>
    <row r="76403">
      <c r="A76403" s="1" t="n">
        <v>76402</v>
      </c>
      <c r="B76403">
        <f>TEXT(76402, "[$-0E0000]yyyy-mm-dd")</f>
        <v/>
      </c>
      <c r="C76403" t="inlineStr">
        <is>
          <t>2109-02-06</t>
        </is>
      </c>
    </row>
    <row r="76404">
      <c r="A76404" s="1" t="n">
        <v>76403</v>
      </c>
      <c r="B76404">
        <f>TEXT(76403, "[$-0E0000]yyyy-mm-dd")</f>
        <v/>
      </c>
      <c r="C76404" t="inlineStr">
        <is>
          <t>2109-02-07</t>
        </is>
      </c>
    </row>
    <row r="76405">
      <c r="A76405" s="1" t="n">
        <v>76404</v>
      </c>
      <c r="B76405">
        <f>TEXT(76404, "[$-0E0000]yyyy-mm-dd")</f>
        <v/>
      </c>
      <c r="C76405" t="inlineStr">
        <is>
          <t>2109-02-08</t>
        </is>
      </c>
    </row>
    <row r="76406">
      <c r="A76406" s="1" t="n">
        <v>76405</v>
      </c>
      <c r="B76406">
        <f>TEXT(76405, "[$-0E0000]yyyy-mm-dd")</f>
        <v/>
      </c>
      <c r="C76406" t="inlineStr">
        <is>
          <t>2109-02-09</t>
        </is>
      </c>
    </row>
    <row r="76407">
      <c r="A76407" s="1" t="n">
        <v>76406</v>
      </c>
      <c r="B76407">
        <f>TEXT(76406, "[$-0E0000]yyyy-mm-dd")</f>
        <v/>
      </c>
      <c r="C76407" t="inlineStr">
        <is>
          <t>2109-02-10</t>
        </is>
      </c>
    </row>
    <row r="76408">
      <c r="A76408" s="1" t="n">
        <v>76407</v>
      </c>
      <c r="B76408">
        <f>TEXT(76407, "[$-0E0000]yyyy-mm-dd")</f>
        <v/>
      </c>
      <c r="C76408" t="inlineStr">
        <is>
          <t>2109-02-11</t>
        </is>
      </c>
    </row>
    <row r="76409">
      <c r="A76409" s="1" t="n">
        <v>76408</v>
      </c>
      <c r="B76409">
        <f>TEXT(76408, "[$-0E0000]yyyy-mm-dd")</f>
        <v/>
      </c>
      <c r="C76409" t="inlineStr">
        <is>
          <t>2109-02-12</t>
        </is>
      </c>
    </row>
    <row r="76410">
      <c r="A76410" s="1" t="n">
        <v>76409</v>
      </c>
      <c r="B76410">
        <f>TEXT(76409, "[$-0E0000]yyyy-mm-dd")</f>
        <v/>
      </c>
      <c r="C76410" t="inlineStr">
        <is>
          <t>2109-02-13</t>
        </is>
      </c>
    </row>
    <row r="76411">
      <c r="A76411" s="1" t="n">
        <v>76410</v>
      </c>
      <c r="B76411">
        <f>TEXT(76410, "[$-0E0000]yyyy-mm-dd")</f>
        <v/>
      </c>
      <c r="C76411" t="inlineStr">
        <is>
          <t>2109-02-14</t>
        </is>
      </c>
    </row>
    <row r="76412">
      <c r="A76412" s="1" t="n">
        <v>76411</v>
      </c>
      <c r="B76412">
        <f>TEXT(76411, "[$-0E0000]yyyy-mm-dd")</f>
        <v/>
      </c>
      <c r="C76412" t="inlineStr">
        <is>
          <t>2109-02-15</t>
        </is>
      </c>
    </row>
    <row r="76413">
      <c r="A76413" s="1" t="n">
        <v>76412</v>
      </c>
      <c r="B76413">
        <f>TEXT(76412, "[$-0E0000]yyyy-mm-dd")</f>
        <v/>
      </c>
      <c r="C76413" t="inlineStr">
        <is>
          <t>2109-02-16</t>
        </is>
      </c>
    </row>
    <row r="76414">
      <c r="A76414" s="1" t="n">
        <v>76413</v>
      </c>
      <c r="B76414">
        <f>TEXT(76413, "[$-0E0000]yyyy-mm-dd")</f>
        <v/>
      </c>
      <c r="C76414" t="inlineStr">
        <is>
          <t>2109-02-17</t>
        </is>
      </c>
    </row>
    <row r="76415">
      <c r="A76415" s="1" t="n">
        <v>76414</v>
      </c>
      <c r="B76415">
        <f>TEXT(76414, "[$-0E0000]yyyy-mm-dd")</f>
        <v/>
      </c>
      <c r="C76415" t="inlineStr">
        <is>
          <t>2109-02-18</t>
        </is>
      </c>
    </row>
    <row r="76416">
      <c r="A76416" s="1" t="n">
        <v>76415</v>
      </c>
      <c r="B76416">
        <f>TEXT(76415, "[$-0E0000]yyyy-mm-dd")</f>
        <v/>
      </c>
      <c r="C76416" t="inlineStr">
        <is>
          <t>2109-02-19</t>
        </is>
      </c>
    </row>
    <row r="76417">
      <c r="A76417" s="1" t="n">
        <v>76416</v>
      </c>
      <c r="B76417">
        <f>TEXT(76416, "[$-0E0000]yyyy-mm-dd")</f>
        <v/>
      </c>
      <c r="C76417" t="inlineStr">
        <is>
          <t>2109-02-20</t>
        </is>
      </c>
    </row>
    <row r="76418">
      <c r="A76418" s="1" t="n">
        <v>76417</v>
      </c>
      <c r="B76418">
        <f>TEXT(76417, "[$-0E0000]yyyy-mm-dd")</f>
        <v/>
      </c>
      <c r="C76418" t="inlineStr">
        <is>
          <t>2109-02-21</t>
        </is>
      </c>
    </row>
    <row r="76419">
      <c r="A76419" s="1" t="n">
        <v>76418</v>
      </c>
      <c r="B76419">
        <f>TEXT(76418, "[$-0E0000]yyyy-mm-dd")</f>
        <v/>
      </c>
      <c r="C76419" t="inlineStr">
        <is>
          <t>2109-02-22</t>
        </is>
      </c>
    </row>
    <row r="76420">
      <c r="A76420" s="1" t="n">
        <v>76419</v>
      </c>
      <c r="B76420">
        <f>TEXT(76419, "[$-0E0000]yyyy-mm-dd")</f>
        <v/>
      </c>
      <c r="C76420" t="inlineStr">
        <is>
          <t>2109-02-23</t>
        </is>
      </c>
    </row>
    <row r="76421">
      <c r="A76421" s="1" t="n">
        <v>76420</v>
      </c>
      <c r="B76421">
        <f>TEXT(76420, "[$-0E0000]yyyy-mm-dd")</f>
        <v/>
      </c>
      <c r="C76421" t="inlineStr">
        <is>
          <t>2109-02-24</t>
        </is>
      </c>
    </row>
    <row r="76422">
      <c r="A76422" s="1" t="n">
        <v>76421</v>
      </c>
      <c r="B76422">
        <f>TEXT(76421, "[$-0E0000]yyyy-mm-dd")</f>
        <v/>
      </c>
      <c r="C76422" t="inlineStr">
        <is>
          <t>2109-02-25</t>
        </is>
      </c>
    </row>
    <row r="76423">
      <c r="A76423" s="1" t="n">
        <v>76422</v>
      </c>
      <c r="B76423">
        <f>TEXT(76422, "[$-0E0000]yyyy-mm-dd")</f>
        <v/>
      </c>
      <c r="C76423" t="inlineStr">
        <is>
          <t>2109-02-26</t>
        </is>
      </c>
    </row>
    <row r="76424">
      <c r="A76424" s="1" t="n">
        <v>76423</v>
      </c>
      <c r="B76424">
        <f>TEXT(76423, "[$-0E0000]yyyy-mm-dd")</f>
        <v/>
      </c>
      <c r="C76424" t="inlineStr">
        <is>
          <t>2109-02-27</t>
        </is>
      </c>
    </row>
    <row r="76425">
      <c r="A76425" s="1" t="n">
        <v>76424</v>
      </c>
      <c r="B76425">
        <f>TEXT(76424, "[$-0E0000]yyyy-mm-dd")</f>
        <v/>
      </c>
      <c r="C76425" t="inlineStr">
        <is>
          <t>2109-02-28</t>
        </is>
      </c>
    </row>
    <row r="76426">
      <c r="A76426" s="1" t="n">
        <v>76425</v>
      </c>
      <c r="B76426">
        <f>TEXT(76425, "[$-0E0000]yyyy-mm-dd")</f>
        <v/>
      </c>
      <c r="C76426" t="inlineStr">
        <is>
          <t>2109-02-29</t>
        </is>
      </c>
    </row>
    <row r="76427">
      <c r="A76427" s="1" t="n">
        <v>76426</v>
      </c>
      <c r="B76427">
        <f>TEXT(76426, "[$-0E0000]yyyy-mm-dd")</f>
        <v/>
      </c>
      <c r="C76427" t="inlineStr">
        <is>
          <t>2109-03-01</t>
        </is>
      </c>
    </row>
    <row r="76428">
      <c r="A76428" s="1" t="n">
        <v>76427</v>
      </c>
      <c r="B76428">
        <f>TEXT(76427, "[$-0E0000]yyyy-mm-dd")</f>
        <v/>
      </c>
      <c r="C76428" t="inlineStr">
        <is>
          <t>2109-03-02</t>
        </is>
      </c>
    </row>
    <row r="76429">
      <c r="A76429" s="1" t="n">
        <v>76428</v>
      </c>
      <c r="B76429">
        <f>TEXT(76428, "[$-0E0000]yyyy-mm-dd")</f>
        <v/>
      </c>
      <c r="C76429" t="inlineStr">
        <is>
          <t>2109-03-03</t>
        </is>
      </c>
    </row>
    <row r="76430">
      <c r="A76430" s="1" t="n">
        <v>76429</v>
      </c>
      <c r="B76430">
        <f>TEXT(76429, "[$-0E0000]yyyy-mm-dd")</f>
        <v/>
      </c>
      <c r="C76430" t="inlineStr">
        <is>
          <t>2109-03-04</t>
        </is>
      </c>
    </row>
    <row r="76431">
      <c r="A76431" s="1" t="n">
        <v>76430</v>
      </c>
      <c r="B76431">
        <f>TEXT(76430, "[$-0E0000]yyyy-mm-dd")</f>
        <v/>
      </c>
      <c r="C76431" t="inlineStr">
        <is>
          <t>2109-03-05</t>
        </is>
      </c>
    </row>
    <row r="76432">
      <c r="A76432" s="1" t="n">
        <v>76431</v>
      </c>
      <c r="B76432">
        <f>TEXT(76431, "[$-0E0000]yyyy-mm-dd")</f>
        <v/>
      </c>
      <c r="C76432" t="inlineStr">
        <is>
          <t>2109-03-06</t>
        </is>
      </c>
    </row>
    <row r="76433">
      <c r="A76433" s="1" t="n">
        <v>76432</v>
      </c>
      <c r="B76433">
        <f>TEXT(76432, "[$-0E0000]yyyy-mm-dd")</f>
        <v/>
      </c>
      <c r="C76433" t="inlineStr">
        <is>
          <t>2109-03-07</t>
        </is>
      </c>
    </row>
    <row r="76434">
      <c r="A76434" s="1" t="n">
        <v>76433</v>
      </c>
      <c r="B76434">
        <f>TEXT(76433, "[$-0E0000]yyyy-mm-dd")</f>
        <v/>
      </c>
      <c r="C76434" t="inlineStr">
        <is>
          <t>2109-03-08</t>
        </is>
      </c>
    </row>
    <row r="76435">
      <c r="A76435" s="1" t="n">
        <v>76434</v>
      </c>
      <c r="B76435">
        <f>TEXT(76434, "[$-0E0000]yyyy-mm-dd")</f>
        <v/>
      </c>
      <c r="C76435" t="inlineStr">
        <is>
          <t>2109-03-09</t>
        </is>
      </c>
    </row>
    <row r="76436">
      <c r="A76436" s="1" t="n">
        <v>76435</v>
      </c>
      <c r="B76436">
        <f>TEXT(76435, "[$-0E0000]yyyy-mm-dd")</f>
        <v/>
      </c>
      <c r="C76436" t="inlineStr">
        <is>
          <t>2109-03-10</t>
        </is>
      </c>
    </row>
    <row r="76437">
      <c r="A76437" s="1" t="n">
        <v>76436</v>
      </c>
      <c r="B76437">
        <f>TEXT(76436, "[$-0E0000]yyyy-mm-dd")</f>
        <v/>
      </c>
      <c r="C76437" t="inlineStr">
        <is>
          <t>2109-03-11</t>
        </is>
      </c>
    </row>
    <row r="76438">
      <c r="A76438" s="1" t="n">
        <v>76437</v>
      </c>
      <c r="B76438">
        <f>TEXT(76437, "[$-0E0000]yyyy-mm-dd")</f>
        <v/>
      </c>
      <c r="C76438" t="inlineStr">
        <is>
          <t>2109-03-12</t>
        </is>
      </c>
    </row>
    <row r="76439">
      <c r="A76439" s="1" t="n">
        <v>76438</v>
      </c>
      <c r="B76439">
        <f>TEXT(76438, "[$-0E0000]yyyy-mm-dd")</f>
        <v/>
      </c>
      <c r="C76439" t="inlineStr">
        <is>
          <t>2109-03-13</t>
        </is>
      </c>
    </row>
    <row r="76440">
      <c r="A76440" s="1" t="n">
        <v>76439</v>
      </c>
      <c r="B76440">
        <f>TEXT(76439, "[$-0E0000]yyyy-mm-dd")</f>
        <v/>
      </c>
      <c r="C76440" t="inlineStr">
        <is>
          <t>2109-03-14</t>
        </is>
      </c>
    </row>
    <row r="76441">
      <c r="A76441" s="1" t="n">
        <v>76440</v>
      </c>
      <c r="B76441">
        <f>TEXT(76440, "[$-0E0000]yyyy-mm-dd")</f>
        <v/>
      </c>
      <c r="C76441" t="inlineStr">
        <is>
          <t>2109-03-15</t>
        </is>
      </c>
    </row>
    <row r="76442">
      <c r="A76442" s="1" t="n">
        <v>76441</v>
      </c>
      <c r="B76442">
        <f>TEXT(76441, "[$-0E0000]yyyy-mm-dd")</f>
        <v/>
      </c>
      <c r="C76442" t="inlineStr">
        <is>
          <t>2109-03-16</t>
        </is>
      </c>
    </row>
    <row r="76443">
      <c r="A76443" s="1" t="n">
        <v>76442</v>
      </c>
      <c r="B76443">
        <f>TEXT(76442, "[$-0E0000]yyyy-mm-dd")</f>
        <v/>
      </c>
      <c r="C76443" t="inlineStr">
        <is>
          <t>2109-03-17</t>
        </is>
      </c>
    </row>
    <row r="76444">
      <c r="A76444" s="1" t="n">
        <v>76443</v>
      </c>
      <c r="B76444">
        <f>TEXT(76443, "[$-0E0000]yyyy-mm-dd")</f>
        <v/>
      </c>
      <c r="C76444" t="inlineStr">
        <is>
          <t>2109-03-18</t>
        </is>
      </c>
    </row>
    <row r="76445">
      <c r="A76445" s="1" t="n">
        <v>76444</v>
      </c>
      <c r="B76445">
        <f>TEXT(76444, "[$-0E0000]yyyy-mm-dd")</f>
        <v/>
      </c>
      <c r="C76445" t="inlineStr">
        <is>
          <t>2109-03-19</t>
        </is>
      </c>
    </row>
    <row r="76446">
      <c r="A76446" s="1" t="n">
        <v>76445</v>
      </c>
      <c r="B76446">
        <f>TEXT(76445, "[$-0E0000]yyyy-mm-dd")</f>
        <v/>
      </c>
      <c r="C76446" t="inlineStr">
        <is>
          <t>2109-03-20</t>
        </is>
      </c>
    </row>
    <row r="76447">
      <c r="A76447" s="1" t="n">
        <v>76446</v>
      </c>
      <c r="B76447">
        <f>TEXT(76446, "[$-0E0000]yyyy-mm-dd")</f>
        <v/>
      </c>
      <c r="C76447" t="inlineStr">
        <is>
          <t>2109-03-21</t>
        </is>
      </c>
    </row>
    <row r="76448">
      <c r="A76448" s="1" t="n">
        <v>76447</v>
      </c>
      <c r="B76448">
        <f>TEXT(76447, "[$-0E0000]yyyy-mm-dd")</f>
        <v/>
      </c>
      <c r="C76448" t="inlineStr">
        <is>
          <t>2109-03-22</t>
        </is>
      </c>
    </row>
    <row r="76449">
      <c r="A76449" s="1" t="n">
        <v>76448</v>
      </c>
      <c r="B76449">
        <f>TEXT(76448, "[$-0E0000]yyyy-mm-dd")</f>
        <v/>
      </c>
      <c r="C76449" t="inlineStr">
        <is>
          <t>2109-03-23</t>
        </is>
      </c>
    </row>
    <row r="76450">
      <c r="A76450" s="1" t="n">
        <v>76449</v>
      </c>
      <c r="B76450">
        <f>TEXT(76449, "[$-0E0000]yyyy-mm-dd")</f>
        <v/>
      </c>
      <c r="C76450" t="inlineStr">
        <is>
          <t>2109-03-24</t>
        </is>
      </c>
    </row>
    <row r="76451">
      <c r="A76451" s="1" t="n">
        <v>76450</v>
      </c>
      <c r="B76451">
        <f>TEXT(76450, "[$-0E0000]yyyy-mm-dd")</f>
        <v/>
      </c>
      <c r="C76451" t="inlineStr">
        <is>
          <t>2109-03-25</t>
        </is>
      </c>
    </row>
    <row r="76452">
      <c r="A76452" s="1" t="n">
        <v>76451</v>
      </c>
      <c r="B76452">
        <f>TEXT(76451, "[$-0E0000]yyyy-mm-dd")</f>
        <v/>
      </c>
      <c r="C76452" t="inlineStr">
        <is>
          <t>2109-03-26</t>
        </is>
      </c>
    </row>
    <row r="76453">
      <c r="A76453" s="1" t="n">
        <v>76452</v>
      </c>
      <c r="B76453">
        <f>TEXT(76452, "[$-0E0000]yyyy-mm-dd")</f>
        <v/>
      </c>
      <c r="C76453" t="inlineStr">
        <is>
          <t>2109-03-27</t>
        </is>
      </c>
    </row>
    <row r="76454">
      <c r="A76454" s="1" t="n">
        <v>76453</v>
      </c>
      <c r="B76454">
        <f>TEXT(76453, "[$-0E0000]yyyy-mm-dd")</f>
        <v/>
      </c>
      <c r="C76454" t="inlineStr">
        <is>
          <t>2109-03-28</t>
        </is>
      </c>
    </row>
    <row r="76455">
      <c r="A76455" s="1" t="n">
        <v>76454</v>
      </c>
      <c r="B76455">
        <f>TEXT(76454, "[$-0E0000]yyyy-mm-dd")</f>
        <v/>
      </c>
      <c r="C76455" t="inlineStr">
        <is>
          <t>2109-03-29</t>
        </is>
      </c>
    </row>
    <row r="76456">
      <c r="A76456" s="1" t="n">
        <v>76455</v>
      </c>
      <c r="B76456">
        <f>TEXT(76455, "[$-0E0000]yyyy-mm-dd")</f>
        <v/>
      </c>
      <c r="C76456" t="inlineStr">
        <is>
          <t>2109-03-30</t>
        </is>
      </c>
    </row>
    <row r="76457">
      <c r="A76457" s="1" t="n">
        <v>76456</v>
      </c>
      <c r="B76457">
        <f>TEXT(76456, "[$-0E0000]yyyy-mm-dd")</f>
        <v/>
      </c>
      <c r="C76457" t="inlineStr">
        <is>
          <t>2109-04-01</t>
        </is>
      </c>
    </row>
    <row r="76458">
      <c r="A76458" s="1" t="n">
        <v>76457</v>
      </c>
      <c r="B76458">
        <f>TEXT(76457, "[$-0E0000]yyyy-mm-dd")</f>
        <v/>
      </c>
      <c r="C76458" t="inlineStr">
        <is>
          <t>2109-04-02</t>
        </is>
      </c>
    </row>
    <row r="76459">
      <c r="A76459" s="1" t="n">
        <v>76458</v>
      </c>
      <c r="B76459">
        <f>TEXT(76458, "[$-0E0000]yyyy-mm-dd")</f>
        <v/>
      </c>
      <c r="C76459" t="inlineStr">
        <is>
          <t>2109-04-03</t>
        </is>
      </c>
    </row>
    <row r="76460">
      <c r="A76460" s="1" t="n">
        <v>76459</v>
      </c>
      <c r="B76460">
        <f>TEXT(76459, "[$-0E0000]yyyy-mm-dd")</f>
        <v/>
      </c>
      <c r="C76460" t="inlineStr">
        <is>
          <t>2109-04-04</t>
        </is>
      </c>
    </row>
    <row r="76461">
      <c r="A76461" s="1" t="n">
        <v>76460</v>
      </c>
      <c r="B76461">
        <f>TEXT(76460, "[$-0E0000]yyyy-mm-dd")</f>
        <v/>
      </c>
      <c r="C76461" t="inlineStr">
        <is>
          <t>2109-04-05</t>
        </is>
      </c>
    </row>
    <row r="76462">
      <c r="A76462" s="1" t="n">
        <v>76461</v>
      </c>
      <c r="B76462">
        <f>TEXT(76461, "[$-0E0000]yyyy-mm-dd")</f>
        <v/>
      </c>
      <c r="C76462" t="inlineStr">
        <is>
          <t>2109-04-06</t>
        </is>
      </c>
    </row>
    <row r="76463">
      <c r="A76463" s="1" t="n">
        <v>76462</v>
      </c>
      <c r="B76463">
        <f>TEXT(76462, "[$-0E0000]yyyy-mm-dd")</f>
        <v/>
      </c>
      <c r="C76463" t="inlineStr">
        <is>
          <t>2109-04-07</t>
        </is>
      </c>
    </row>
    <row r="76464">
      <c r="A76464" s="1" t="n">
        <v>76463</v>
      </c>
      <c r="B76464">
        <f>TEXT(76463, "[$-0E0000]yyyy-mm-dd")</f>
        <v/>
      </c>
      <c r="C76464" t="inlineStr">
        <is>
          <t>2109-04-08</t>
        </is>
      </c>
    </row>
    <row r="76465">
      <c r="A76465" s="1" t="n">
        <v>76464</v>
      </c>
      <c r="B76465">
        <f>TEXT(76464, "[$-0E0000]yyyy-mm-dd")</f>
        <v/>
      </c>
      <c r="C76465" t="inlineStr">
        <is>
          <t>2109-04-09</t>
        </is>
      </c>
    </row>
    <row r="76466">
      <c r="A76466" s="1" t="n">
        <v>76465</v>
      </c>
      <c r="B76466">
        <f>TEXT(76465, "[$-0E0000]yyyy-mm-dd")</f>
        <v/>
      </c>
      <c r="C76466" t="inlineStr">
        <is>
          <t>2109-04-10</t>
        </is>
      </c>
    </row>
    <row r="76467">
      <c r="A76467" s="1" t="n">
        <v>76466</v>
      </c>
      <c r="B76467">
        <f>TEXT(76466, "[$-0E0000]yyyy-mm-dd")</f>
        <v/>
      </c>
      <c r="C76467" t="inlineStr">
        <is>
          <t>2109-04-11</t>
        </is>
      </c>
    </row>
    <row r="76468">
      <c r="A76468" s="1" t="n">
        <v>76467</v>
      </c>
      <c r="B76468">
        <f>TEXT(76467, "[$-0E0000]yyyy-mm-dd")</f>
        <v/>
      </c>
      <c r="C76468" t="inlineStr">
        <is>
          <t>2109-04-12</t>
        </is>
      </c>
    </row>
    <row r="76469">
      <c r="A76469" s="1" t="n">
        <v>76468</v>
      </c>
      <c r="B76469">
        <f>TEXT(76468, "[$-0E0000]yyyy-mm-dd")</f>
        <v/>
      </c>
      <c r="C76469" t="inlineStr">
        <is>
          <t>2109-04-13</t>
        </is>
      </c>
    </row>
    <row r="76470">
      <c r="A76470" s="1" t="n">
        <v>76469</v>
      </c>
      <c r="B76470">
        <f>TEXT(76469, "[$-0E0000]yyyy-mm-dd")</f>
        <v/>
      </c>
      <c r="C76470" t="inlineStr">
        <is>
          <t>2109-04-14</t>
        </is>
      </c>
    </row>
    <row r="76471">
      <c r="A76471" s="1" t="n">
        <v>76470</v>
      </c>
      <c r="B76471">
        <f>TEXT(76470, "[$-0E0000]yyyy-mm-dd")</f>
        <v/>
      </c>
      <c r="C76471" t="inlineStr">
        <is>
          <t>2109-04-15</t>
        </is>
      </c>
    </row>
    <row r="76472">
      <c r="A76472" s="1" t="n">
        <v>76471</v>
      </c>
      <c r="B76472">
        <f>TEXT(76471, "[$-0E0000]yyyy-mm-dd")</f>
        <v/>
      </c>
      <c r="C76472" t="inlineStr">
        <is>
          <t>2109-04-16</t>
        </is>
      </c>
    </row>
    <row r="76473">
      <c r="A76473" s="1" t="n">
        <v>76472</v>
      </c>
      <c r="B76473">
        <f>TEXT(76472, "[$-0E0000]yyyy-mm-dd")</f>
        <v/>
      </c>
      <c r="C76473" t="inlineStr">
        <is>
          <t>2109-04-17</t>
        </is>
      </c>
    </row>
    <row r="76474">
      <c r="A76474" s="1" t="n">
        <v>76473</v>
      </c>
      <c r="B76474">
        <f>TEXT(76473, "[$-0E0000]yyyy-mm-dd")</f>
        <v/>
      </c>
      <c r="C76474" t="inlineStr">
        <is>
          <t>2109-04-18</t>
        </is>
      </c>
    </row>
    <row r="76475">
      <c r="A76475" s="1" t="n">
        <v>76474</v>
      </c>
      <c r="B76475">
        <f>TEXT(76474, "[$-0E0000]yyyy-mm-dd")</f>
        <v/>
      </c>
      <c r="C76475" t="inlineStr">
        <is>
          <t>2109-04-19</t>
        </is>
      </c>
    </row>
    <row r="76476">
      <c r="A76476" s="1" t="n">
        <v>76475</v>
      </c>
      <c r="B76476">
        <f>TEXT(76475, "[$-0E0000]yyyy-mm-dd")</f>
        <v/>
      </c>
      <c r="C76476" t="inlineStr">
        <is>
          <t>2109-04-20</t>
        </is>
      </c>
    </row>
    <row r="76477">
      <c r="A76477" s="1" t="n">
        <v>76476</v>
      </c>
      <c r="B76477">
        <f>TEXT(76476, "[$-0E0000]yyyy-mm-dd")</f>
        <v/>
      </c>
      <c r="C76477" t="inlineStr">
        <is>
          <t>2109-04-21</t>
        </is>
      </c>
    </row>
    <row r="76478">
      <c r="A76478" s="1" t="n">
        <v>76477</v>
      </c>
      <c r="B76478">
        <f>TEXT(76477, "[$-0E0000]yyyy-mm-dd")</f>
        <v/>
      </c>
      <c r="C76478" t="inlineStr">
        <is>
          <t>2109-04-22</t>
        </is>
      </c>
    </row>
    <row r="76479">
      <c r="A76479" s="1" t="n">
        <v>76478</v>
      </c>
      <c r="B76479">
        <f>TEXT(76478, "[$-0E0000]yyyy-mm-dd")</f>
        <v/>
      </c>
      <c r="C76479" t="inlineStr">
        <is>
          <t>2109-04-23</t>
        </is>
      </c>
    </row>
    <row r="76480">
      <c r="A76480" s="1" t="n">
        <v>76479</v>
      </c>
      <c r="B76480">
        <f>TEXT(76479, "[$-0E0000]yyyy-mm-dd")</f>
        <v/>
      </c>
      <c r="C76480" t="inlineStr">
        <is>
          <t>2109-04-24</t>
        </is>
      </c>
    </row>
    <row r="76481">
      <c r="A76481" s="1" t="n">
        <v>76480</v>
      </c>
      <c r="B76481">
        <f>TEXT(76480, "[$-0E0000]yyyy-mm-dd")</f>
        <v/>
      </c>
      <c r="C76481" t="inlineStr">
        <is>
          <t>2109-04-25</t>
        </is>
      </c>
    </row>
    <row r="76482">
      <c r="A76482" s="1" t="n">
        <v>76481</v>
      </c>
      <c r="B76482">
        <f>TEXT(76481, "[$-0E0000]yyyy-mm-dd")</f>
        <v/>
      </c>
      <c r="C76482" t="inlineStr">
        <is>
          <t>2109-04-26</t>
        </is>
      </c>
    </row>
    <row r="76483">
      <c r="A76483" s="1" t="n">
        <v>76482</v>
      </c>
      <c r="B76483">
        <f>TEXT(76482, "[$-0E0000]yyyy-mm-dd")</f>
        <v/>
      </c>
      <c r="C76483" t="inlineStr">
        <is>
          <t>2109-04-27</t>
        </is>
      </c>
    </row>
    <row r="76484">
      <c r="A76484" s="1" t="n">
        <v>76483</v>
      </c>
      <c r="B76484">
        <f>TEXT(76483, "[$-0E0000]yyyy-mm-dd")</f>
        <v/>
      </c>
      <c r="C76484" t="inlineStr">
        <is>
          <t>2109-04-28</t>
        </is>
      </c>
    </row>
    <row r="76485">
      <c r="A76485" s="1" t="n">
        <v>76484</v>
      </c>
      <c r="B76485">
        <f>TEXT(76484, "[$-0E0000]yyyy-mm-dd")</f>
        <v/>
      </c>
      <c r="C76485" t="inlineStr">
        <is>
          <t>2109-04-29</t>
        </is>
      </c>
    </row>
    <row r="76486">
      <c r="A76486" s="1" t="n">
        <v>76485</v>
      </c>
      <c r="B76486">
        <f>TEXT(76485, "[$-0E0000]yyyy-mm-dd")</f>
        <v/>
      </c>
      <c r="C76486" t="inlineStr">
        <is>
          <t>2109-04-30</t>
        </is>
      </c>
    </row>
    <row r="76487">
      <c r="A76487" s="1" t="n">
        <v>76486</v>
      </c>
      <c r="B76487">
        <f>TEXT(76486, "[$-0E0000]yyyy-mm-dd")</f>
        <v/>
      </c>
      <c r="C76487" t="inlineStr">
        <is>
          <t>2109-05-01</t>
        </is>
      </c>
    </row>
    <row r="76488">
      <c r="A76488" s="1" t="n">
        <v>76487</v>
      </c>
      <c r="B76488">
        <f>TEXT(76487, "[$-0E0000]yyyy-mm-dd")</f>
        <v/>
      </c>
      <c r="C76488" t="inlineStr">
        <is>
          <t>2109-05-02</t>
        </is>
      </c>
    </row>
    <row r="76489">
      <c r="A76489" s="1" t="n">
        <v>76488</v>
      </c>
      <c r="B76489">
        <f>TEXT(76488, "[$-0E0000]yyyy-mm-dd")</f>
        <v/>
      </c>
      <c r="C76489" t="inlineStr">
        <is>
          <t>2109-05-03</t>
        </is>
      </c>
    </row>
    <row r="76490">
      <c r="A76490" s="1" t="n">
        <v>76489</v>
      </c>
      <c r="B76490">
        <f>TEXT(76489, "[$-0E0000]yyyy-mm-dd")</f>
        <v/>
      </c>
      <c r="C76490" t="inlineStr">
        <is>
          <t>2109-05-04</t>
        </is>
      </c>
    </row>
    <row r="76491">
      <c r="A76491" s="1" t="n">
        <v>76490</v>
      </c>
      <c r="B76491">
        <f>TEXT(76490, "[$-0E0000]yyyy-mm-dd")</f>
        <v/>
      </c>
      <c r="C76491" t="inlineStr">
        <is>
          <t>2109-05-05</t>
        </is>
      </c>
    </row>
    <row r="76492">
      <c r="A76492" s="1" t="n">
        <v>76491</v>
      </c>
      <c r="B76492">
        <f>TEXT(76491, "[$-0E0000]yyyy-mm-dd")</f>
        <v/>
      </c>
      <c r="C76492" t="inlineStr">
        <is>
          <t>2109-05-06</t>
        </is>
      </c>
    </row>
    <row r="76493">
      <c r="A76493" s="1" t="n">
        <v>76492</v>
      </c>
      <c r="B76493">
        <f>TEXT(76492, "[$-0E0000]yyyy-mm-dd")</f>
        <v/>
      </c>
      <c r="C76493" t="inlineStr">
        <is>
          <t>2109-05-07</t>
        </is>
      </c>
    </row>
    <row r="76494">
      <c r="A76494" s="1" t="n">
        <v>76493</v>
      </c>
      <c r="B76494">
        <f>TEXT(76493, "[$-0E0000]yyyy-mm-dd")</f>
        <v/>
      </c>
      <c r="C76494" t="inlineStr">
        <is>
          <t>2109-05-08</t>
        </is>
      </c>
    </row>
    <row r="76495">
      <c r="A76495" s="1" t="n">
        <v>76494</v>
      </c>
      <c r="B76495">
        <f>TEXT(76494, "[$-0E0000]yyyy-mm-dd")</f>
        <v/>
      </c>
      <c r="C76495" t="inlineStr">
        <is>
          <t>2109-05-09</t>
        </is>
      </c>
    </row>
    <row r="76496">
      <c r="A76496" s="1" t="n">
        <v>76495</v>
      </c>
      <c r="B76496">
        <f>TEXT(76495, "[$-0E0000]yyyy-mm-dd")</f>
        <v/>
      </c>
      <c r="C76496" t="inlineStr">
        <is>
          <t>2109-05-10</t>
        </is>
      </c>
    </row>
    <row r="76497">
      <c r="A76497" s="1" t="n">
        <v>76496</v>
      </c>
      <c r="B76497">
        <f>TEXT(76496, "[$-0E0000]yyyy-mm-dd")</f>
        <v/>
      </c>
      <c r="C76497" t="inlineStr">
        <is>
          <t>2109-05-11</t>
        </is>
      </c>
    </row>
    <row r="76498">
      <c r="A76498" s="1" t="n">
        <v>76497</v>
      </c>
      <c r="B76498">
        <f>TEXT(76497, "[$-0E0000]yyyy-mm-dd")</f>
        <v/>
      </c>
      <c r="C76498" t="inlineStr">
        <is>
          <t>2109-05-12</t>
        </is>
      </c>
    </row>
    <row r="76499">
      <c r="A76499" s="1" t="n">
        <v>76498</v>
      </c>
      <c r="B76499">
        <f>TEXT(76498, "[$-0E0000]yyyy-mm-dd")</f>
        <v/>
      </c>
      <c r="C76499" t="inlineStr">
        <is>
          <t>2109-05-13</t>
        </is>
      </c>
    </row>
    <row r="76500">
      <c r="A76500" s="1" t="n">
        <v>76499</v>
      </c>
      <c r="B76500">
        <f>TEXT(76499, "[$-0E0000]yyyy-mm-dd")</f>
        <v/>
      </c>
      <c r="C76500" t="inlineStr">
        <is>
          <t>2109-05-14</t>
        </is>
      </c>
    </row>
    <row r="76501">
      <c r="A76501" s="1" t="n">
        <v>76500</v>
      </c>
      <c r="B76501">
        <f>TEXT(76500, "[$-0E0000]yyyy-mm-dd")</f>
        <v/>
      </c>
      <c r="C76501" t="inlineStr">
        <is>
          <t>2109-05-15</t>
        </is>
      </c>
    </row>
    <row r="76502">
      <c r="A76502" s="1" t="n">
        <v>76501</v>
      </c>
      <c r="B76502">
        <f>TEXT(76501, "[$-0E0000]yyyy-mm-dd")</f>
        <v/>
      </c>
      <c r="C76502" t="inlineStr">
        <is>
          <t>2109-05-16</t>
        </is>
      </c>
    </row>
    <row r="76503">
      <c r="A76503" s="1" t="n">
        <v>76502</v>
      </c>
      <c r="B76503">
        <f>TEXT(76502, "[$-0E0000]yyyy-mm-dd")</f>
        <v/>
      </c>
      <c r="C76503" t="inlineStr">
        <is>
          <t>2109-05-17</t>
        </is>
      </c>
    </row>
    <row r="76504">
      <c r="A76504" s="1" t="n">
        <v>76503</v>
      </c>
      <c r="B76504">
        <f>TEXT(76503, "[$-0E0000]yyyy-mm-dd")</f>
        <v/>
      </c>
      <c r="C76504" t="inlineStr">
        <is>
          <t>2109-05-18</t>
        </is>
      </c>
    </row>
    <row r="76505">
      <c r="A76505" s="1" t="n">
        <v>76504</v>
      </c>
      <c r="B76505">
        <f>TEXT(76504, "[$-0E0000]yyyy-mm-dd")</f>
        <v/>
      </c>
      <c r="C76505" t="inlineStr">
        <is>
          <t>2109-05-19</t>
        </is>
      </c>
    </row>
    <row r="76506">
      <c r="A76506" s="1" t="n">
        <v>76505</v>
      </c>
      <c r="B76506">
        <f>TEXT(76505, "[$-0E0000]yyyy-mm-dd")</f>
        <v/>
      </c>
      <c r="C76506" t="inlineStr">
        <is>
          <t>2109-05-20</t>
        </is>
      </c>
    </row>
    <row r="76507">
      <c r="A76507" s="1" t="n">
        <v>76506</v>
      </c>
      <c r="B76507">
        <f>TEXT(76506, "[$-0E0000]yyyy-mm-dd")</f>
        <v/>
      </c>
      <c r="C76507" t="inlineStr">
        <is>
          <t>2109-05-21</t>
        </is>
      </c>
    </row>
    <row r="76508">
      <c r="A76508" s="1" t="n">
        <v>76507</v>
      </c>
      <c r="B76508">
        <f>TEXT(76507, "[$-0E0000]yyyy-mm-dd")</f>
        <v/>
      </c>
      <c r="C76508" t="inlineStr">
        <is>
          <t>2109-05-22</t>
        </is>
      </c>
    </row>
    <row r="76509">
      <c r="A76509" s="1" t="n">
        <v>76508</v>
      </c>
      <c r="B76509">
        <f>TEXT(76508, "[$-0E0000]yyyy-mm-dd")</f>
        <v/>
      </c>
      <c r="C76509" t="inlineStr">
        <is>
          <t>2109-05-23</t>
        </is>
      </c>
    </row>
    <row r="76510">
      <c r="A76510" s="1" t="n">
        <v>76509</v>
      </c>
      <c r="B76510">
        <f>TEXT(76509, "[$-0E0000]yyyy-mm-dd")</f>
        <v/>
      </c>
      <c r="C76510" t="inlineStr">
        <is>
          <t>2109-05-24</t>
        </is>
      </c>
    </row>
    <row r="76511">
      <c r="A76511" s="1" t="n">
        <v>76510</v>
      </c>
      <c r="B76511">
        <f>TEXT(76510, "[$-0E0000]yyyy-mm-dd")</f>
        <v/>
      </c>
      <c r="C76511" t="inlineStr">
        <is>
          <t>2109-05-25</t>
        </is>
      </c>
    </row>
    <row r="76512">
      <c r="A76512" s="1" t="n">
        <v>76511</v>
      </c>
      <c r="B76512">
        <f>TEXT(76511, "[$-0E0000]yyyy-mm-dd")</f>
        <v/>
      </c>
      <c r="C76512" t="inlineStr">
        <is>
          <t>2109-05-26</t>
        </is>
      </c>
    </row>
    <row r="76513">
      <c r="A76513" s="1" t="n">
        <v>76512</v>
      </c>
      <c r="B76513">
        <f>TEXT(76512, "[$-0E0000]yyyy-mm-dd")</f>
        <v/>
      </c>
      <c r="C76513" t="inlineStr">
        <is>
          <t>2109-05-27</t>
        </is>
      </c>
    </row>
    <row r="76514">
      <c r="A76514" s="1" t="n">
        <v>76513</v>
      </c>
      <c r="B76514">
        <f>TEXT(76513, "[$-0E0000]yyyy-mm-dd")</f>
        <v/>
      </c>
      <c r="C76514" t="inlineStr">
        <is>
          <t>2109-05-28</t>
        </is>
      </c>
    </row>
    <row r="76515">
      <c r="A76515" s="1" t="n">
        <v>76514</v>
      </c>
      <c r="B76515">
        <f>TEXT(76514, "[$-0E0000]yyyy-mm-dd")</f>
        <v/>
      </c>
      <c r="C76515" t="inlineStr">
        <is>
          <t>2109-05-29</t>
        </is>
      </c>
    </row>
    <row r="76516">
      <c r="A76516" s="1" t="n">
        <v>76515</v>
      </c>
      <c r="B76516">
        <f>TEXT(76515, "[$-0E0000]yyyy-mm-dd")</f>
        <v/>
      </c>
      <c r="C76516" t="inlineStr">
        <is>
          <t>2109-06-01</t>
        </is>
      </c>
    </row>
    <row r="76517">
      <c r="A76517" s="1" t="n">
        <v>76516</v>
      </c>
      <c r="B76517">
        <f>TEXT(76516, "[$-0E0000]yyyy-mm-dd")</f>
        <v/>
      </c>
      <c r="C76517" t="inlineStr">
        <is>
          <t>2109-06-02</t>
        </is>
      </c>
    </row>
    <row r="76518">
      <c r="A76518" s="1" t="n">
        <v>76517</v>
      </c>
      <c r="B76518">
        <f>TEXT(76517, "[$-0E0000]yyyy-mm-dd")</f>
        <v/>
      </c>
      <c r="C76518" t="inlineStr">
        <is>
          <t>2109-06-03</t>
        </is>
      </c>
    </row>
    <row r="76519">
      <c r="A76519" s="1" t="n">
        <v>76518</v>
      </c>
      <c r="B76519">
        <f>TEXT(76518, "[$-0E0000]yyyy-mm-dd")</f>
        <v/>
      </c>
      <c r="C76519" t="inlineStr">
        <is>
          <t>2109-06-04</t>
        </is>
      </c>
    </row>
    <row r="76520">
      <c r="A76520" s="1" t="n">
        <v>76519</v>
      </c>
      <c r="B76520">
        <f>TEXT(76519, "[$-0E0000]yyyy-mm-dd")</f>
        <v/>
      </c>
      <c r="C76520" t="inlineStr">
        <is>
          <t>2109-06-05</t>
        </is>
      </c>
    </row>
    <row r="76521">
      <c r="A76521" s="1" t="n">
        <v>76520</v>
      </c>
      <c r="B76521">
        <f>TEXT(76520, "[$-0E0000]yyyy-mm-dd")</f>
        <v/>
      </c>
      <c r="C76521" t="inlineStr">
        <is>
          <t>2109-06-06</t>
        </is>
      </c>
    </row>
    <row r="76522">
      <c r="A76522" s="1" t="n">
        <v>76521</v>
      </c>
      <c r="B76522">
        <f>TEXT(76521, "[$-0E0000]yyyy-mm-dd")</f>
        <v/>
      </c>
      <c r="C76522" t="inlineStr">
        <is>
          <t>2109-06-07</t>
        </is>
      </c>
    </row>
    <row r="76523">
      <c r="A76523" s="1" t="n">
        <v>76522</v>
      </c>
      <c r="B76523">
        <f>TEXT(76522, "[$-0E0000]yyyy-mm-dd")</f>
        <v/>
      </c>
      <c r="C76523" t="inlineStr">
        <is>
          <t>2109-06-08</t>
        </is>
      </c>
    </row>
    <row r="76524">
      <c r="A76524" s="1" t="n">
        <v>76523</v>
      </c>
      <c r="B76524">
        <f>TEXT(76523, "[$-0E0000]yyyy-mm-dd")</f>
        <v/>
      </c>
      <c r="C76524" t="inlineStr">
        <is>
          <t>2109-06-09</t>
        </is>
      </c>
    </row>
    <row r="76525">
      <c r="A76525" s="1" t="n">
        <v>76524</v>
      </c>
      <c r="B76525">
        <f>TEXT(76524, "[$-0E0000]yyyy-mm-dd")</f>
        <v/>
      </c>
      <c r="C76525" t="inlineStr">
        <is>
          <t>2109-06-10</t>
        </is>
      </c>
    </row>
    <row r="76526">
      <c r="A76526" s="1" t="n">
        <v>76525</v>
      </c>
      <c r="B76526">
        <f>TEXT(76525, "[$-0E0000]yyyy-mm-dd")</f>
        <v/>
      </c>
      <c r="C76526" t="inlineStr">
        <is>
          <t>2109-06-11</t>
        </is>
      </c>
    </row>
    <row r="76527">
      <c r="A76527" s="1" t="n">
        <v>76526</v>
      </c>
      <c r="B76527">
        <f>TEXT(76526, "[$-0E0000]yyyy-mm-dd")</f>
        <v/>
      </c>
      <c r="C76527" t="inlineStr">
        <is>
          <t>2109-06-12</t>
        </is>
      </c>
    </row>
    <row r="76528">
      <c r="A76528" s="1" t="n">
        <v>76527</v>
      </c>
      <c r="B76528">
        <f>TEXT(76527, "[$-0E0000]yyyy-mm-dd")</f>
        <v/>
      </c>
      <c r="C76528" t="inlineStr">
        <is>
          <t>2109-06-13</t>
        </is>
      </c>
    </row>
    <row r="76529">
      <c r="A76529" s="1" t="n">
        <v>76528</v>
      </c>
      <c r="B76529">
        <f>TEXT(76528, "[$-0E0000]yyyy-mm-dd")</f>
        <v/>
      </c>
      <c r="C76529" t="inlineStr">
        <is>
          <t>2109-06-14</t>
        </is>
      </c>
    </row>
    <row r="76530">
      <c r="A76530" s="1" t="n">
        <v>76529</v>
      </c>
      <c r="B76530">
        <f>TEXT(76529, "[$-0E0000]yyyy-mm-dd")</f>
        <v/>
      </c>
      <c r="C76530" t="inlineStr">
        <is>
          <t>2109-06-15</t>
        </is>
      </c>
    </row>
    <row r="76531">
      <c r="A76531" s="1" t="n">
        <v>76530</v>
      </c>
      <c r="B76531">
        <f>TEXT(76530, "[$-0E0000]yyyy-mm-dd")</f>
        <v/>
      </c>
      <c r="C76531" t="inlineStr">
        <is>
          <t>2109-06-16</t>
        </is>
      </c>
    </row>
    <row r="76532">
      <c r="A76532" s="1" t="n">
        <v>76531</v>
      </c>
      <c r="B76532">
        <f>TEXT(76531, "[$-0E0000]yyyy-mm-dd")</f>
        <v/>
      </c>
      <c r="C76532" t="inlineStr">
        <is>
          <t>2109-06-17</t>
        </is>
      </c>
    </row>
    <row r="76533">
      <c r="A76533" s="1" t="n">
        <v>76532</v>
      </c>
      <c r="B76533">
        <f>TEXT(76532, "[$-0E0000]yyyy-mm-dd")</f>
        <v/>
      </c>
      <c r="C76533" t="inlineStr">
        <is>
          <t>2109-06-18</t>
        </is>
      </c>
    </row>
    <row r="76534">
      <c r="A76534" s="1" t="n">
        <v>76533</v>
      </c>
      <c r="B76534">
        <f>TEXT(76533, "[$-0E0000]yyyy-mm-dd")</f>
        <v/>
      </c>
      <c r="C76534" t="inlineStr">
        <is>
          <t>2109-06-19</t>
        </is>
      </c>
    </row>
    <row r="76535">
      <c r="A76535" s="1" t="n">
        <v>76534</v>
      </c>
      <c r="B76535">
        <f>TEXT(76534, "[$-0E0000]yyyy-mm-dd")</f>
        <v/>
      </c>
      <c r="C76535" t="inlineStr">
        <is>
          <t>2109-06-20</t>
        </is>
      </c>
    </row>
    <row r="76536">
      <c r="A76536" s="1" t="n">
        <v>76535</v>
      </c>
      <c r="B76536">
        <f>TEXT(76535, "[$-0E0000]yyyy-mm-dd")</f>
        <v/>
      </c>
      <c r="C76536" t="inlineStr">
        <is>
          <t>2109-06-21</t>
        </is>
      </c>
    </row>
    <row r="76537">
      <c r="A76537" s="1" t="n">
        <v>76536</v>
      </c>
      <c r="B76537">
        <f>TEXT(76536, "[$-0E0000]yyyy-mm-dd")</f>
        <v/>
      </c>
      <c r="C76537" t="inlineStr">
        <is>
          <t>2109-06-22</t>
        </is>
      </c>
    </row>
    <row r="76538">
      <c r="A76538" s="1" t="n">
        <v>76537</v>
      </c>
      <c r="B76538">
        <f>TEXT(76537, "[$-0E0000]yyyy-mm-dd")</f>
        <v/>
      </c>
      <c r="C76538" t="inlineStr">
        <is>
          <t>2109-06-23</t>
        </is>
      </c>
    </row>
    <row r="76539">
      <c r="A76539" s="1" t="n">
        <v>76538</v>
      </c>
      <c r="B76539">
        <f>TEXT(76538, "[$-0E0000]yyyy-mm-dd")</f>
        <v/>
      </c>
      <c r="C76539" t="inlineStr">
        <is>
          <t>2109-06-24</t>
        </is>
      </c>
    </row>
    <row r="76540">
      <c r="A76540" s="1" t="n">
        <v>76539</v>
      </c>
      <c r="B76540">
        <f>TEXT(76539, "[$-0E0000]yyyy-mm-dd")</f>
        <v/>
      </c>
      <c r="C76540" t="inlineStr">
        <is>
          <t>2109-06-25</t>
        </is>
      </c>
    </row>
    <row r="76541">
      <c r="A76541" s="1" t="n">
        <v>76540</v>
      </c>
      <c r="B76541">
        <f>TEXT(76540, "[$-0E0000]yyyy-mm-dd")</f>
        <v/>
      </c>
      <c r="C76541" t="inlineStr">
        <is>
          <t>2109-06-26</t>
        </is>
      </c>
    </row>
    <row r="76542">
      <c r="A76542" s="1" t="n">
        <v>76541</v>
      </c>
      <c r="B76542">
        <f>TEXT(76541, "[$-0E0000]yyyy-mm-dd")</f>
        <v/>
      </c>
      <c r="C76542" t="inlineStr">
        <is>
          <t>2109-06-27</t>
        </is>
      </c>
    </row>
    <row r="76543">
      <c r="A76543" s="1" t="n">
        <v>76542</v>
      </c>
      <c r="B76543">
        <f>TEXT(76542, "[$-0E0000]yyyy-mm-dd")</f>
        <v/>
      </c>
      <c r="C76543" t="inlineStr">
        <is>
          <t>2109-06-28</t>
        </is>
      </c>
    </row>
    <row r="76544">
      <c r="A76544" s="1" t="n">
        <v>76543</v>
      </c>
      <c r="B76544">
        <f>TEXT(76543, "[$-0E0000]yyyy-mm-dd")</f>
        <v/>
      </c>
      <c r="C76544" t="inlineStr">
        <is>
          <t>2109-06-29</t>
        </is>
      </c>
    </row>
    <row r="76545">
      <c r="A76545" s="1" t="n">
        <v>76544</v>
      </c>
      <c r="B76545">
        <f>TEXT(76544, "[$-0E0000]yyyy-mm-dd")</f>
        <v/>
      </c>
      <c r="C76545" t="inlineStr">
        <is>
          <t>2109-06-30</t>
        </is>
      </c>
    </row>
    <row r="76546">
      <c r="A76546" s="1" t="n">
        <v>76545</v>
      </c>
      <c r="B76546">
        <f>TEXT(76545, "[$-0E0000]yyyy-mm-dd")</f>
        <v/>
      </c>
      <c r="C76546" t="inlineStr">
        <is>
          <t>2109-07-01</t>
        </is>
      </c>
    </row>
    <row r="76547">
      <c r="A76547" s="1" t="n">
        <v>76546</v>
      </c>
      <c r="B76547">
        <f>TEXT(76546, "[$-0E0000]yyyy-mm-dd")</f>
        <v/>
      </c>
      <c r="C76547" t="inlineStr">
        <is>
          <t>2109-07-02</t>
        </is>
      </c>
    </row>
    <row r="76548">
      <c r="A76548" s="1" t="n">
        <v>76547</v>
      </c>
      <c r="B76548">
        <f>TEXT(76547, "[$-0E0000]yyyy-mm-dd")</f>
        <v/>
      </c>
      <c r="C76548" t="inlineStr">
        <is>
          <t>2109-07-03</t>
        </is>
      </c>
    </row>
    <row r="76549">
      <c r="A76549" s="1" t="n">
        <v>76548</v>
      </c>
      <c r="B76549">
        <f>TEXT(76548, "[$-0E0000]yyyy-mm-dd")</f>
        <v/>
      </c>
      <c r="C76549" t="inlineStr">
        <is>
          <t>2109-07-04</t>
        </is>
      </c>
    </row>
    <row r="76550">
      <c r="A76550" s="1" t="n">
        <v>76549</v>
      </c>
      <c r="B76550">
        <f>TEXT(76549, "[$-0E0000]yyyy-mm-dd")</f>
        <v/>
      </c>
      <c r="C76550" t="inlineStr">
        <is>
          <t>2109-07-05</t>
        </is>
      </c>
    </row>
    <row r="76551">
      <c r="A76551" s="1" t="n">
        <v>76550</v>
      </c>
      <c r="B76551">
        <f>TEXT(76550, "[$-0E0000]yyyy-mm-dd")</f>
        <v/>
      </c>
      <c r="C76551" t="inlineStr">
        <is>
          <t>2109-07-06</t>
        </is>
      </c>
    </row>
    <row r="76552">
      <c r="A76552" s="1" t="n">
        <v>76551</v>
      </c>
      <c r="B76552">
        <f>TEXT(76551, "[$-0E0000]yyyy-mm-dd")</f>
        <v/>
      </c>
      <c r="C76552" t="inlineStr">
        <is>
          <t>2109-07-07</t>
        </is>
      </c>
    </row>
    <row r="76553">
      <c r="A76553" s="1" t="n">
        <v>76552</v>
      </c>
      <c r="B76553">
        <f>TEXT(76552, "[$-0E0000]yyyy-mm-dd")</f>
        <v/>
      </c>
      <c r="C76553" t="inlineStr">
        <is>
          <t>2109-07-08</t>
        </is>
      </c>
    </row>
    <row r="76554">
      <c r="A76554" s="1" t="n">
        <v>76553</v>
      </c>
      <c r="B76554">
        <f>TEXT(76553, "[$-0E0000]yyyy-mm-dd")</f>
        <v/>
      </c>
      <c r="C76554" t="inlineStr">
        <is>
          <t>2109-07-09</t>
        </is>
      </c>
    </row>
    <row r="76555">
      <c r="A76555" s="1" t="n">
        <v>76554</v>
      </c>
      <c r="B76555">
        <f>TEXT(76554, "[$-0E0000]yyyy-mm-dd")</f>
        <v/>
      </c>
      <c r="C76555" t="inlineStr">
        <is>
          <t>2109-07-10</t>
        </is>
      </c>
    </row>
    <row r="76556">
      <c r="A76556" s="1" t="n">
        <v>76555</v>
      </c>
      <c r="B76556">
        <f>TEXT(76555, "[$-0E0000]yyyy-mm-dd")</f>
        <v/>
      </c>
      <c r="C76556" t="inlineStr">
        <is>
          <t>2109-07-11</t>
        </is>
      </c>
    </row>
    <row r="76557">
      <c r="A76557" s="1" t="n">
        <v>76556</v>
      </c>
      <c r="B76557">
        <f>TEXT(76556, "[$-0E0000]yyyy-mm-dd")</f>
        <v/>
      </c>
      <c r="C76557" t="inlineStr">
        <is>
          <t>2109-07-12</t>
        </is>
      </c>
    </row>
    <row r="76558">
      <c r="A76558" s="1" t="n">
        <v>76557</v>
      </c>
      <c r="B76558">
        <f>TEXT(76557, "[$-0E0000]yyyy-mm-dd")</f>
        <v/>
      </c>
      <c r="C76558" t="inlineStr">
        <is>
          <t>2109-07-13</t>
        </is>
      </c>
    </row>
    <row r="76559">
      <c r="A76559" s="1" t="n">
        <v>76558</v>
      </c>
      <c r="B76559">
        <f>TEXT(76558, "[$-0E0000]yyyy-mm-dd")</f>
        <v/>
      </c>
      <c r="C76559" t="inlineStr">
        <is>
          <t>2109-07-14</t>
        </is>
      </c>
    </row>
    <row r="76560">
      <c r="A76560" s="1" t="n">
        <v>76559</v>
      </c>
      <c r="B76560">
        <f>TEXT(76559, "[$-0E0000]yyyy-mm-dd")</f>
        <v/>
      </c>
      <c r="C76560" t="inlineStr">
        <is>
          <t>2109-07-15</t>
        </is>
      </c>
    </row>
    <row r="76561">
      <c r="A76561" s="1" t="n">
        <v>76560</v>
      </c>
      <c r="B76561">
        <f>TEXT(76560, "[$-0E0000]yyyy-mm-dd")</f>
        <v/>
      </c>
      <c r="C76561" t="inlineStr">
        <is>
          <t>2109-07-16</t>
        </is>
      </c>
    </row>
    <row r="76562">
      <c r="A76562" s="1" t="n">
        <v>76561</v>
      </c>
      <c r="B76562">
        <f>TEXT(76561, "[$-0E0000]yyyy-mm-dd")</f>
        <v/>
      </c>
      <c r="C76562" t="inlineStr">
        <is>
          <t>2109-07-17</t>
        </is>
      </c>
    </row>
    <row r="76563">
      <c r="A76563" s="1" t="n">
        <v>76562</v>
      </c>
      <c r="B76563">
        <f>TEXT(76562, "[$-0E0000]yyyy-mm-dd")</f>
        <v/>
      </c>
      <c r="C76563" t="inlineStr">
        <is>
          <t>2109-07-18</t>
        </is>
      </c>
    </row>
    <row r="76564">
      <c r="A76564" s="1" t="n">
        <v>76563</v>
      </c>
      <c r="B76564">
        <f>TEXT(76563, "[$-0E0000]yyyy-mm-dd")</f>
        <v/>
      </c>
      <c r="C76564" t="inlineStr">
        <is>
          <t>2109-07-19</t>
        </is>
      </c>
    </row>
    <row r="76565">
      <c r="A76565" s="1" t="n">
        <v>76564</v>
      </c>
      <c r="B76565">
        <f>TEXT(76564, "[$-0E0000]yyyy-mm-dd")</f>
        <v/>
      </c>
      <c r="C76565" t="inlineStr">
        <is>
          <t>2109-07-20</t>
        </is>
      </c>
    </row>
    <row r="76566">
      <c r="A76566" s="1" t="n">
        <v>76565</v>
      </c>
      <c r="B76566">
        <f>TEXT(76565, "[$-0E0000]yyyy-mm-dd")</f>
        <v/>
      </c>
      <c r="C76566" t="inlineStr">
        <is>
          <t>2109-07-21</t>
        </is>
      </c>
    </row>
    <row r="76567">
      <c r="A76567" s="1" t="n">
        <v>76566</v>
      </c>
      <c r="B76567">
        <f>TEXT(76566, "[$-0E0000]yyyy-mm-dd")</f>
        <v/>
      </c>
      <c r="C76567" t="inlineStr">
        <is>
          <t>2109-07-22</t>
        </is>
      </c>
    </row>
    <row r="76568">
      <c r="A76568" s="1" t="n">
        <v>76567</v>
      </c>
      <c r="B76568">
        <f>TEXT(76567, "[$-0E0000]yyyy-mm-dd")</f>
        <v/>
      </c>
      <c r="C76568" t="inlineStr">
        <is>
          <t>2109-07-23</t>
        </is>
      </c>
    </row>
    <row r="76569">
      <c r="A76569" s="1" t="n">
        <v>76568</v>
      </c>
      <c r="B76569">
        <f>TEXT(76568, "[$-0E0000]yyyy-mm-dd")</f>
        <v/>
      </c>
      <c r="C76569" t="inlineStr">
        <is>
          <t>2109-07-24</t>
        </is>
      </c>
    </row>
    <row r="76570">
      <c r="A76570" s="1" t="n">
        <v>76569</v>
      </c>
      <c r="B76570">
        <f>TEXT(76569, "[$-0E0000]yyyy-mm-dd")</f>
        <v/>
      </c>
      <c r="C76570" t="inlineStr">
        <is>
          <t>2109-07-25</t>
        </is>
      </c>
    </row>
    <row r="76571">
      <c r="A76571" s="1" t="n">
        <v>76570</v>
      </c>
      <c r="B76571">
        <f>TEXT(76570, "[$-0E0000]yyyy-mm-dd")</f>
        <v/>
      </c>
      <c r="C76571" t="inlineStr">
        <is>
          <t>2109-07-26</t>
        </is>
      </c>
    </row>
    <row r="76572">
      <c r="A76572" s="1" t="n">
        <v>76571</v>
      </c>
      <c r="B76572">
        <f>TEXT(76571, "[$-0E0000]yyyy-mm-dd")</f>
        <v/>
      </c>
      <c r="C76572" t="inlineStr">
        <is>
          <t>2109-07-27</t>
        </is>
      </c>
    </row>
    <row r="76573">
      <c r="A76573" s="1" t="n">
        <v>76572</v>
      </c>
      <c r="B76573">
        <f>TEXT(76572, "[$-0E0000]yyyy-mm-dd")</f>
        <v/>
      </c>
      <c r="C76573" t="inlineStr">
        <is>
          <t>2109-07-28</t>
        </is>
      </c>
    </row>
    <row r="76574">
      <c r="A76574" s="1" t="n">
        <v>76573</v>
      </c>
      <c r="B76574">
        <f>TEXT(76573, "[$-0E0000]yyyy-mm-dd")</f>
        <v/>
      </c>
      <c r="C76574" t="inlineStr">
        <is>
          <t>2109-07-29</t>
        </is>
      </c>
    </row>
    <row r="76575">
      <c r="A76575" s="1" t="n">
        <v>76574</v>
      </c>
      <c r="B76575">
        <f>TEXT(76574, "[$-0E0000]yyyy-mm-dd")</f>
        <v/>
      </c>
      <c r="C76575" t="inlineStr">
        <is>
          <t>2109-08-01</t>
        </is>
      </c>
    </row>
    <row r="76576">
      <c r="A76576" s="1" t="n">
        <v>76575</v>
      </c>
      <c r="B76576">
        <f>TEXT(76575, "[$-0E0000]yyyy-mm-dd")</f>
        <v/>
      </c>
      <c r="C76576" t="inlineStr">
        <is>
          <t>2109-08-02</t>
        </is>
      </c>
    </row>
    <row r="76577">
      <c r="A76577" s="1" t="n">
        <v>76576</v>
      </c>
      <c r="B76577">
        <f>TEXT(76576, "[$-0E0000]yyyy-mm-dd")</f>
        <v/>
      </c>
      <c r="C76577" t="inlineStr">
        <is>
          <t>2109-08-03</t>
        </is>
      </c>
    </row>
    <row r="76578">
      <c r="A76578" s="1" t="n">
        <v>76577</v>
      </c>
      <c r="B76578">
        <f>TEXT(76577, "[$-0E0000]yyyy-mm-dd")</f>
        <v/>
      </c>
      <c r="C76578" t="inlineStr">
        <is>
          <t>2109-08-04</t>
        </is>
      </c>
    </row>
    <row r="76579">
      <c r="A76579" s="1" t="n">
        <v>76578</v>
      </c>
      <c r="B76579">
        <f>TEXT(76578, "[$-0E0000]yyyy-mm-dd")</f>
        <v/>
      </c>
      <c r="C76579" t="inlineStr">
        <is>
          <t>2109-08-05</t>
        </is>
      </c>
    </row>
    <row r="76580">
      <c r="A76580" s="1" t="n">
        <v>76579</v>
      </c>
      <c r="B76580">
        <f>TEXT(76579, "[$-0E0000]yyyy-mm-dd")</f>
        <v/>
      </c>
      <c r="C76580" t="inlineStr">
        <is>
          <t>2109-08-06</t>
        </is>
      </c>
    </row>
    <row r="76581">
      <c r="A76581" s="1" t="n">
        <v>76580</v>
      </c>
      <c r="B76581">
        <f>TEXT(76580, "[$-0E0000]yyyy-mm-dd")</f>
        <v/>
      </c>
      <c r="C76581" t="inlineStr">
        <is>
          <t>2109-08-07</t>
        </is>
      </c>
    </row>
    <row r="76582">
      <c r="A76582" s="1" t="n">
        <v>76581</v>
      </c>
      <c r="B76582">
        <f>TEXT(76581, "[$-0E0000]yyyy-mm-dd")</f>
        <v/>
      </c>
      <c r="C76582" t="inlineStr">
        <is>
          <t>2109-08-08</t>
        </is>
      </c>
    </row>
    <row r="76583">
      <c r="A76583" s="1" t="n">
        <v>76582</v>
      </c>
      <c r="B76583">
        <f>TEXT(76582, "[$-0E0000]yyyy-mm-dd")</f>
        <v/>
      </c>
      <c r="C76583" t="inlineStr">
        <is>
          <t>2109-08-09</t>
        </is>
      </c>
    </row>
    <row r="76584">
      <c r="A76584" s="1" t="n">
        <v>76583</v>
      </c>
      <c r="B76584">
        <f>TEXT(76583, "[$-0E0000]yyyy-mm-dd")</f>
        <v/>
      </c>
      <c r="C76584" t="inlineStr">
        <is>
          <t>2109-08-10</t>
        </is>
      </c>
    </row>
    <row r="76585">
      <c r="A76585" s="1" t="n">
        <v>76584</v>
      </c>
      <c r="B76585">
        <f>TEXT(76584, "[$-0E0000]yyyy-mm-dd")</f>
        <v/>
      </c>
      <c r="C76585" t="inlineStr">
        <is>
          <t>2109-08-11</t>
        </is>
      </c>
    </row>
    <row r="76586">
      <c r="A76586" s="1" t="n">
        <v>76585</v>
      </c>
      <c r="B76586">
        <f>TEXT(76585, "[$-0E0000]yyyy-mm-dd")</f>
        <v/>
      </c>
      <c r="C76586" t="inlineStr">
        <is>
          <t>2109-08-12</t>
        </is>
      </c>
    </row>
    <row r="76587">
      <c r="A76587" s="1" t="n">
        <v>76586</v>
      </c>
      <c r="B76587">
        <f>TEXT(76586, "[$-0E0000]yyyy-mm-dd")</f>
        <v/>
      </c>
      <c r="C76587" t="inlineStr">
        <is>
          <t>2109-08-13</t>
        </is>
      </c>
    </row>
    <row r="76588">
      <c r="A76588" s="1" t="n">
        <v>76587</v>
      </c>
      <c r="B76588">
        <f>TEXT(76587, "[$-0E0000]yyyy-mm-dd")</f>
        <v/>
      </c>
      <c r="C76588" t="inlineStr">
        <is>
          <t>2109-08-14</t>
        </is>
      </c>
    </row>
    <row r="76589">
      <c r="A76589" s="1" t="n">
        <v>76588</v>
      </c>
      <c r="B76589">
        <f>TEXT(76588, "[$-0E0000]yyyy-mm-dd")</f>
        <v/>
      </c>
      <c r="C76589" t="inlineStr">
        <is>
          <t>2109-08-15</t>
        </is>
      </c>
    </row>
    <row r="76590">
      <c r="A76590" s="1" t="n">
        <v>76589</v>
      </c>
      <c r="B76590">
        <f>TEXT(76589, "[$-0E0000]yyyy-mm-dd")</f>
        <v/>
      </c>
      <c r="C76590" t="inlineStr">
        <is>
          <t>2109-08-16</t>
        </is>
      </c>
    </row>
    <row r="76591">
      <c r="A76591" s="1" t="n">
        <v>76590</v>
      </c>
      <c r="B76591">
        <f>TEXT(76590, "[$-0E0000]yyyy-mm-dd")</f>
        <v/>
      </c>
      <c r="C76591" t="inlineStr">
        <is>
          <t>2109-08-17</t>
        </is>
      </c>
    </row>
    <row r="76592">
      <c r="A76592" s="1" t="n">
        <v>76591</v>
      </c>
      <c r="B76592">
        <f>TEXT(76591, "[$-0E0000]yyyy-mm-dd")</f>
        <v/>
      </c>
      <c r="C76592" t="inlineStr">
        <is>
          <t>2109-08-18</t>
        </is>
      </c>
    </row>
    <row r="76593">
      <c r="A76593" s="1" t="n">
        <v>76592</v>
      </c>
      <c r="B76593">
        <f>TEXT(76592, "[$-0E0000]yyyy-mm-dd")</f>
        <v/>
      </c>
      <c r="C76593" t="inlineStr">
        <is>
          <t>2109-08-19</t>
        </is>
      </c>
    </row>
    <row r="76594">
      <c r="A76594" s="1" t="n">
        <v>76593</v>
      </c>
      <c r="B76594">
        <f>TEXT(76593, "[$-0E0000]yyyy-mm-dd")</f>
        <v/>
      </c>
      <c r="C76594" t="inlineStr">
        <is>
          <t>2109-08-20</t>
        </is>
      </c>
    </row>
    <row r="76595">
      <c r="A76595" s="1" t="n">
        <v>76594</v>
      </c>
      <c r="B76595">
        <f>TEXT(76594, "[$-0E0000]yyyy-mm-dd")</f>
        <v/>
      </c>
      <c r="C76595" t="inlineStr">
        <is>
          <t>2109-08-21</t>
        </is>
      </c>
    </row>
    <row r="76596">
      <c r="A76596" s="1" t="n">
        <v>76595</v>
      </c>
      <c r="B76596">
        <f>TEXT(76595, "[$-0E0000]yyyy-mm-dd")</f>
        <v/>
      </c>
      <c r="C76596" t="inlineStr">
        <is>
          <t>2109-08-22</t>
        </is>
      </c>
    </row>
    <row r="76597">
      <c r="A76597" s="1" t="n">
        <v>76596</v>
      </c>
      <c r="B76597">
        <f>TEXT(76596, "[$-0E0000]yyyy-mm-dd")</f>
        <v/>
      </c>
      <c r="C76597" t="inlineStr">
        <is>
          <t>2109-08-23</t>
        </is>
      </c>
    </row>
    <row r="76598">
      <c r="A76598" s="1" t="n">
        <v>76597</v>
      </c>
      <c r="B76598">
        <f>TEXT(76597, "[$-0E0000]yyyy-mm-dd")</f>
        <v/>
      </c>
      <c r="C76598" t="inlineStr">
        <is>
          <t>2109-08-24</t>
        </is>
      </c>
    </row>
    <row r="76599">
      <c r="A76599" s="1" t="n">
        <v>76598</v>
      </c>
      <c r="B76599">
        <f>TEXT(76598, "[$-0E0000]yyyy-mm-dd")</f>
        <v/>
      </c>
      <c r="C76599" t="inlineStr">
        <is>
          <t>2109-08-25</t>
        </is>
      </c>
    </row>
    <row r="76600">
      <c r="A76600" s="1" t="n">
        <v>76599</v>
      </c>
      <c r="B76600">
        <f>TEXT(76599, "[$-0E0000]yyyy-mm-dd")</f>
        <v/>
      </c>
      <c r="C76600" t="inlineStr">
        <is>
          <t>2109-08-26</t>
        </is>
      </c>
    </row>
    <row r="76601">
      <c r="A76601" s="1" t="n">
        <v>76600</v>
      </c>
      <c r="B76601">
        <f>TEXT(76600, "[$-0E0000]yyyy-mm-dd")</f>
        <v/>
      </c>
      <c r="C76601" t="inlineStr">
        <is>
          <t>2109-08-27</t>
        </is>
      </c>
    </row>
    <row r="76602">
      <c r="A76602" s="1" t="n">
        <v>76601</v>
      </c>
      <c r="B76602">
        <f>TEXT(76601, "[$-0E0000]yyyy-mm-dd")</f>
        <v/>
      </c>
      <c r="C76602" t="inlineStr">
        <is>
          <t>2109-08-28</t>
        </is>
      </c>
    </row>
    <row r="76603">
      <c r="A76603" s="1" t="n">
        <v>76602</v>
      </c>
      <c r="B76603">
        <f>TEXT(76602, "[$-0E0000]yyyy-mm-dd")</f>
        <v/>
      </c>
      <c r="C76603" t="inlineStr">
        <is>
          <t>2109-08-29</t>
        </is>
      </c>
    </row>
    <row r="76604">
      <c r="A76604" s="1" t="n">
        <v>76603</v>
      </c>
      <c r="B76604">
        <f>TEXT(76603, "[$-0E0000]yyyy-mm-dd")</f>
        <v/>
      </c>
      <c r="C76604" t="inlineStr">
        <is>
          <t>2109-08-30</t>
        </is>
      </c>
    </row>
    <row r="76605">
      <c r="A76605" s="1" t="n">
        <v>76604</v>
      </c>
      <c r="B76605">
        <f>TEXT(76604, "[$-0E0000]yyyy-mm-dd")</f>
        <v/>
      </c>
      <c r="C76605" t="inlineStr">
        <is>
          <t>2109-09-01</t>
        </is>
      </c>
    </row>
    <row r="76606">
      <c r="A76606" s="1" t="n">
        <v>76605</v>
      </c>
      <c r="B76606">
        <f>TEXT(76605, "[$-0E0000]yyyy-mm-dd")</f>
        <v/>
      </c>
      <c r="C76606" t="inlineStr">
        <is>
          <t>2109-09-02</t>
        </is>
      </c>
    </row>
    <row r="76607">
      <c r="A76607" s="1" t="n">
        <v>76606</v>
      </c>
      <c r="B76607">
        <f>TEXT(76606, "[$-0E0000]yyyy-mm-dd")</f>
        <v/>
      </c>
      <c r="C76607" t="inlineStr">
        <is>
          <t>2109-09-03</t>
        </is>
      </c>
    </row>
    <row r="76608">
      <c r="A76608" s="1" t="n">
        <v>76607</v>
      </c>
      <c r="B76608">
        <f>TEXT(76607, "[$-0E0000]yyyy-mm-dd")</f>
        <v/>
      </c>
      <c r="C76608" t="inlineStr">
        <is>
          <t>2109-09-04</t>
        </is>
      </c>
    </row>
    <row r="76609">
      <c r="A76609" s="1" t="n">
        <v>76608</v>
      </c>
      <c r="B76609">
        <f>TEXT(76608, "[$-0E0000]yyyy-mm-dd")</f>
        <v/>
      </c>
      <c r="C76609" t="inlineStr">
        <is>
          <t>2109-09-05</t>
        </is>
      </c>
    </row>
    <row r="76610">
      <c r="A76610" s="1" t="n">
        <v>76609</v>
      </c>
      <c r="B76610">
        <f>TEXT(76609, "[$-0E0000]yyyy-mm-dd")</f>
        <v/>
      </c>
      <c r="C76610" t="inlineStr">
        <is>
          <t>2109-09-06</t>
        </is>
      </c>
    </row>
    <row r="76611">
      <c r="A76611" s="1" t="n">
        <v>76610</v>
      </c>
      <c r="B76611">
        <f>TEXT(76610, "[$-0E0000]yyyy-mm-dd")</f>
        <v/>
      </c>
      <c r="C76611" t="inlineStr">
        <is>
          <t>2109-09-07</t>
        </is>
      </c>
    </row>
    <row r="76612">
      <c r="A76612" s="1" t="n">
        <v>76611</v>
      </c>
      <c r="B76612">
        <f>TEXT(76611, "[$-0E0000]yyyy-mm-dd")</f>
        <v/>
      </c>
      <c r="C76612" t="inlineStr">
        <is>
          <t>2109-09-08</t>
        </is>
      </c>
    </row>
    <row r="76613">
      <c r="A76613" s="1" t="n">
        <v>76612</v>
      </c>
      <c r="B76613">
        <f>TEXT(76612, "[$-0E0000]yyyy-mm-dd")</f>
        <v/>
      </c>
      <c r="C76613" t="inlineStr">
        <is>
          <t>2109-09-09</t>
        </is>
      </c>
    </row>
    <row r="76614">
      <c r="A76614" s="1" t="n">
        <v>76613</v>
      </c>
      <c r="B76614">
        <f>TEXT(76613, "[$-0E0000]yyyy-mm-dd")</f>
        <v/>
      </c>
      <c r="C76614" t="inlineStr">
        <is>
          <t>2109-09-10</t>
        </is>
      </c>
    </row>
    <row r="76615">
      <c r="A76615" s="1" t="n">
        <v>76614</v>
      </c>
      <c r="B76615">
        <f>TEXT(76614, "[$-0E0000]yyyy-mm-dd")</f>
        <v/>
      </c>
      <c r="C76615" t="inlineStr">
        <is>
          <t>2109-09-11</t>
        </is>
      </c>
    </row>
    <row r="76616">
      <c r="A76616" s="1" t="n">
        <v>76615</v>
      </c>
      <c r="B76616">
        <f>TEXT(76615, "[$-0E0000]yyyy-mm-dd")</f>
        <v/>
      </c>
      <c r="C76616" t="inlineStr">
        <is>
          <t>2109-09-12</t>
        </is>
      </c>
    </row>
    <row r="76617">
      <c r="A76617" s="1" t="n">
        <v>76616</v>
      </c>
      <c r="B76617">
        <f>TEXT(76616, "[$-0E0000]yyyy-mm-dd")</f>
        <v/>
      </c>
      <c r="C76617" t="inlineStr">
        <is>
          <t>2109-09-13</t>
        </is>
      </c>
    </row>
    <row r="76618">
      <c r="A76618" s="1" t="n">
        <v>76617</v>
      </c>
      <c r="B76618">
        <f>TEXT(76617, "[$-0E0000]yyyy-mm-dd")</f>
        <v/>
      </c>
      <c r="C76618" t="inlineStr">
        <is>
          <t>2109-09-14</t>
        </is>
      </c>
    </row>
    <row r="76619">
      <c r="A76619" s="1" t="n">
        <v>76618</v>
      </c>
      <c r="B76619">
        <f>TEXT(76618, "[$-0E0000]yyyy-mm-dd")</f>
        <v/>
      </c>
      <c r="C76619" t="inlineStr">
        <is>
          <t>2109-09-15</t>
        </is>
      </c>
    </row>
    <row r="76620">
      <c r="A76620" s="1" t="n">
        <v>76619</v>
      </c>
      <c r="B76620">
        <f>TEXT(76619, "[$-0E0000]yyyy-mm-dd")</f>
        <v/>
      </c>
      <c r="C76620" t="inlineStr">
        <is>
          <t>2109-09-16</t>
        </is>
      </c>
    </row>
    <row r="76621">
      <c r="A76621" s="1" t="n">
        <v>76620</v>
      </c>
      <c r="B76621">
        <f>TEXT(76620, "[$-0E0000]yyyy-mm-dd")</f>
        <v/>
      </c>
      <c r="C76621" t="inlineStr">
        <is>
          <t>2109-09-17</t>
        </is>
      </c>
    </row>
    <row r="76622">
      <c r="A76622" s="1" t="n">
        <v>76621</v>
      </c>
      <c r="B76622">
        <f>TEXT(76621, "[$-0E0000]yyyy-mm-dd")</f>
        <v/>
      </c>
      <c r="C76622" t="inlineStr">
        <is>
          <t>2109-09-18</t>
        </is>
      </c>
    </row>
    <row r="76623">
      <c r="A76623" s="1" t="n">
        <v>76622</v>
      </c>
      <c r="B76623">
        <f>TEXT(76622, "[$-0E0000]yyyy-mm-dd")</f>
        <v/>
      </c>
      <c r="C76623" t="inlineStr">
        <is>
          <t>2109-09-19</t>
        </is>
      </c>
    </row>
    <row r="76624">
      <c r="A76624" s="1" t="n">
        <v>76623</v>
      </c>
      <c r="B76624">
        <f>TEXT(76623, "[$-0E0000]yyyy-mm-dd")</f>
        <v/>
      </c>
      <c r="C76624" t="inlineStr">
        <is>
          <t>2109-09-20</t>
        </is>
      </c>
    </row>
    <row r="76625">
      <c r="A76625" s="1" t="n">
        <v>76624</v>
      </c>
      <c r="B76625">
        <f>TEXT(76624, "[$-0E0000]yyyy-mm-dd")</f>
        <v/>
      </c>
      <c r="C76625" t="inlineStr">
        <is>
          <t>2109-09-21</t>
        </is>
      </c>
    </row>
    <row r="76626">
      <c r="A76626" s="1" t="n">
        <v>76625</v>
      </c>
      <c r="B76626">
        <f>TEXT(76625, "[$-0E0000]yyyy-mm-dd")</f>
        <v/>
      </c>
      <c r="C76626" t="inlineStr">
        <is>
          <t>2109-09-22</t>
        </is>
      </c>
    </row>
    <row r="76627">
      <c r="A76627" s="1" t="n">
        <v>76626</v>
      </c>
      <c r="B76627">
        <f>TEXT(76626, "[$-0E0000]yyyy-mm-dd")</f>
        <v/>
      </c>
      <c r="C76627" t="inlineStr">
        <is>
          <t>2109-09-23</t>
        </is>
      </c>
    </row>
    <row r="76628">
      <c r="A76628" s="1" t="n">
        <v>76627</v>
      </c>
      <c r="B76628">
        <f>TEXT(76627, "[$-0E0000]yyyy-mm-dd")</f>
        <v/>
      </c>
      <c r="C76628" t="inlineStr">
        <is>
          <t>2109-09-24</t>
        </is>
      </c>
    </row>
    <row r="76629">
      <c r="A76629" s="1" t="n">
        <v>76628</v>
      </c>
      <c r="B76629">
        <f>TEXT(76628, "[$-0E0000]yyyy-mm-dd")</f>
        <v/>
      </c>
      <c r="C76629" t="inlineStr">
        <is>
          <t>2109-09-25</t>
        </is>
      </c>
    </row>
    <row r="76630">
      <c r="A76630" s="1" t="n">
        <v>76629</v>
      </c>
      <c r="B76630">
        <f>TEXT(76629, "[$-0E0000]yyyy-mm-dd")</f>
        <v/>
      </c>
      <c r="C76630" t="inlineStr">
        <is>
          <t>2109-09-26</t>
        </is>
      </c>
    </row>
    <row r="76631">
      <c r="A76631" s="1" t="n">
        <v>76630</v>
      </c>
      <c r="B76631">
        <f>TEXT(76630, "[$-0E0000]yyyy-mm-dd")</f>
        <v/>
      </c>
      <c r="C76631" t="inlineStr">
        <is>
          <t>2109-09-27</t>
        </is>
      </c>
    </row>
    <row r="76632">
      <c r="A76632" s="1" t="n">
        <v>76631</v>
      </c>
      <c r="B76632">
        <f>TEXT(76631, "[$-0E0000]yyyy-mm-dd")</f>
        <v/>
      </c>
      <c r="C76632" t="inlineStr">
        <is>
          <t>2109-09-28</t>
        </is>
      </c>
    </row>
    <row r="76633">
      <c r="A76633" s="1" t="n">
        <v>76632</v>
      </c>
      <c r="B76633">
        <f>TEXT(76632, "[$-0E0000]yyyy-mm-dd")</f>
        <v/>
      </c>
      <c r="C76633" t="inlineStr">
        <is>
          <t>2109-09-29</t>
        </is>
      </c>
    </row>
    <row r="76634">
      <c r="A76634" s="1" t="n">
        <v>76633</v>
      </c>
      <c r="B76634">
        <f>TEXT(76633, "[$-0E0000]yyyy-mm-dd")</f>
        <v/>
      </c>
      <c r="C76634" t="inlineStr">
        <is>
          <t>2109-09-01</t>
        </is>
      </c>
    </row>
    <row r="76635">
      <c r="A76635" s="1" t="n">
        <v>76634</v>
      </c>
      <c r="B76635">
        <f>TEXT(76634, "[$-0E0000]yyyy-mm-dd")</f>
        <v/>
      </c>
      <c r="C76635" t="inlineStr">
        <is>
          <t>2109-09-02</t>
        </is>
      </c>
    </row>
    <row r="76636">
      <c r="A76636" s="1" t="n">
        <v>76635</v>
      </c>
      <c r="B76636">
        <f>TEXT(76635, "[$-0E0000]yyyy-mm-dd")</f>
        <v/>
      </c>
      <c r="C76636" t="inlineStr">
        <is>
          <t>2109-09-03</t>
        </is>
      </c>
    </row>
    <row r="76637">
      <c r="A76637" s="1" t="n">
        <v>76636</v>
      </c>
      <c r="B76637">
        <f>TEXT(76636, "[$-0E0000]yyyy-mm-dd")</f>
        <v/>
      </c>
      <c r="C76637" t="inlineStr">
        <is>
          <t>2109-09-04</t>
        </is>
      </c>
    </row>
    <row r="76638">
      <c r="A76638" s="1" t="n">
        <v>76637</v>
      </c>
      <c r="B76638">
        <f>TEXT(76637, "[$-0E0000]yyyy-mm-dd")</f>
        <v/>
      </c>
      <c r="C76638" t="inlineStr">
        <is>
          <t>2109-09-05</t>
        </is>
      </c>
    </row>
    <row r="76639">
      <c r="A76639" s="1" t="n">
        <v>76638</v>
      </c>
      <c r="B76639">
        <f>TEXT(76638, "[$-0E0000]yyyy-mm-dd")</f>
        <v/>
      </c>
      <c r="C76639" t="inlineStr">
        <is>
          <t>2109-09-06</t>
        </is>
      </c>
    </row>
    <row r="76640">
      <c r="A76640" s="1" t="n">
        <v>76639</v>
      </c>
      <c r="B76640">
        <f>TEXT(76639, "[$-0E0000]yyyy-mm-dd")</f>
        <v/>
      </c>
      <c r="C76640" t="inlineStr">
        <is>
          <t>2109-09-07</t>
        </is>
      </c>
    </row>
    <row r="76641">
      <c r="A76641" s="1" t="n">
        <v>76640</v>
      </c>
      <c r="B76641">
        <f>TEXT(76640, "[$-0E0000]yyyy-mm-dd")</f>
        <v/>
      </c>
      <c r="C76641" t="inlineStr">
        <is>
          <t>2109-09-08</t>
        </is>
      </c>
    </row>
    <row r="76642">
      <c r="A76642" s="1" t="n">
        <v>76641</v>
      </c>
      <c r="B76642">
        <f>TEXT(76641, "[$-0E0000]yyyy-mm-dd")</f>
        <v/>
      </c>
      <c r="C76642" t="inlineStr">
        <is>
          <t>2109-09-09</t>
        </is>
      </c>
    </row>
    <row r="76643">
      <c r="A76643" s="1" t="n">
        <v>76642</v>
      </c>
      <c r="B76643">
        <f>TEXT(76642, "[$-0E0000]yyyy-mm-dd")</f>
        <v/>
      </c>
      <c r="C76643" t="inlineStr">
        <is>
          <t>2109-09-10</t>
        </is>
      </c>
    </row>
    <row r="76644">
      <c r="A76644" s="1" t="n">
        <v>76643</v>
      </c>
      <c r="B76644">
        <f>TEXT(76643, "[$-0E0000]yyyy-mm-dd")</f>
        <v/>
      </c>
      <c r="C76644" t="inlineStr">
        <is>
          <t>2109-09-11</t>
        </is>
      </c>
    </row>
    <row r="76645">
      <c r="A76645" s="1" t="n">
        <v>76644</v>
      </c>
      <c r="B76645">
        <f>TEXT(76644, "[$-0E0000]yyyy-mm-dd")</f>
        <v/>
      </c>
      <c r="C76645" t="inlineStr">
        <is>
          <t>2109-09-12</t>
        </is>
      </c>
    </row>
    <row r="76646">
      <c r="A76646" s="1" t="n">
        <v>76645</v>
      </c>
      <c r="B76646">
        <f>TEXT(76645, "[$-0E0000]yyyy-mm-dd")</f>
        <v/>
      </c>
      <c r="C76646" t="inlineStr">
        <is>
          <t>2109-09-13</t>
        </is>
      </c>
    </row>
    <row r="76647">
      <c r="A76647" s="1" t="n">
        <v>76646</v>
      </c>
      <c r="B76647">
        <f>TEXT(76646, "[$-0E0000]yyyy-mm-dd")</f>
        <v/>
      </c>
      <c r="C76647" t="inlineStr">
        <is>
          <t>2109-09-14</t>
        </is>
      </c>
    </row>
    <row r="76648">
      <c r="A76648" s="1" t="n">
        <v>76647</v>
      </c>
      <c r="B76648">
        <f>TEXT(76647, "[$-0E0000]yyyy-mm-dd")</f>
        <v/>
      </c>
      <c r="C76648" t="inlineStr">
        <is>
          <t>2109-09-15</t>
        </is>
      </c>
    </row>
    <row r="76649">
      <c r="A76649" s="1" t="n">
        <v>76648</v>
      </c>
      <c r="B76649">
        <f>TEXT(76648, "[$-0E0000]yyyy-mm-dd")</f>
        <v/>
      </c>
      <c r="C76649" t="inlineStr">
        <is>
          <t>2109-09-16</t>
        </is>
      </c>
    </row>
    <row r="76650">
      <c r="A76650" s="1" t="n">
        <v>76649</v>
      </c>
      <c r="B76650">
        <f>TEXT(76649, "[$-0E0000]yyyy-mm-dd")</f>
        <v/>
      </c>
      <c r="C76650" t="inlineStr">
        <is>
          <t>2109-09-17</t>
        </is>
      </c>
    </row>
    <row r="76651">
      <c r="A76651" s="1" t="n">
        <v>76650</v>
      </c>
      <c r="B76651">
        <f>TEXT(76650, "[$-0E0000]yyyy-mm-dd")</f>
        <v/>
      </c>
      <c r="C76651" t="inlineStr">
        <is>
          <t>2109-09-18</t>
        </is>
      </c>
    </row>
    <row r="76652">
      <c r="A76652" s="1" t="n">
        <v>76651</v>
      </c>
      <c r="B76652">
        <f>TEXT(76651, "[$-0E0000]yyyy-mm-dd")</f>
        <v/>
      </c>
      <c r="C76652" t="inlineStr">
        <is>
          <t>2109-09-19</t>
        </is>
      </c>
    </row>
    <row r="76653">
      <c r="A76653" s="1" t="n">
        <v>76652</v>
      </c>
      <c r="B76653">
        <f>TEXT(76652, "[$-0E0000]yyyy-mm-dd")</f>
        <v/>
      </c>
      <c r="C76653" t="inlineStr">
        <is>
          <t>2109-09-20</t>
        </is>
      </c>
    </row>
    <row r="76654">
      <c r="A76654" s="1" t="n">
        <v>76653</v>
      </c>
      <c r="B76654">
        <f>TEXT(76653, "[$-0E0000]yyyy-mm-dd")</f>
        <v/>
      </c>
      <c r="C76654" t="inlineStr">
        <is>
          <t>2109-09-21</t>
        </is>
      </c>
    </row>
    <row r="76655">
      <c r="A76655" s="1" t="n">
        <v>76654</v>
      </c>
      <c r="B76655">
        <f>TEXT(76654, "[$-0E0000]yyyy-mm-dd")</f>
        <v/>
      </c>
      <c r="C76655" t="inlineStr">
        <is>
          <t>2109-09-22</t>
        </is>
      </c>
    </row>
    <row r="76656">
      <c r="A76656" s="1" t="n">
        <v>76655</v>
      </c>
      <c r="B76656">
        <f>TEXT(76655, "[$-0E0000]yyyy-mm-dd")</f>
        <v/>
      </c>
      <c r="C76656" t="inlineStr">
        <is>
          <t>2109-09-23</t>
        </is>
      </c>
    </row>
    <row r="76657">
      <c r="A76657" s="1" t="n">
        <v>76656</v>
      </c>
      <c r="B76657">
        <f>TEXT(76656, "[$-0E0000]yyyy-mm-dd")</f>
        <v/>
      </c>
      <c r="C76657" t="inlineStr">
        <is>
          <t>2109-09-24</t>
        </is>
      </c>
    </row>
    <row r="76658">
      <c r="A76658" s="1" t="n">
        <v>76657</v>
      </c>
      <c r="B76658">
        <f>TEXT(76657, "[$-0E0000]yyyy-mm-dd")</f>
        <v/>
      </c>
      <c r="C76658" t="inlineStr">
        <is>
          <t>2109-09-25</t>
        </is>
      </c>
    </row>
    <row r="76659">
      <c r="A76659" s="1" t="n">
        <v>76658</v>
      </c>
      <c r="B76659">
        <f>TEXT(76658, "[$-0E0000]yyyy-mm-dd")</f>
        <v/>
      </c>
      <c r="C76659" t="inlineStr">
        <is>
          <t>2109-09-26</t>
        </is>
      </c>
    </row>
    <row r="76660">
      <c r="A76660" s="1" t="n">
        <v>76659</v>
      </c>
      <c r="B76660">
        <f>TEXT(76659, "[$-0E0000]yyyy-mm-dd")</f>
        <v/>
      </c>
      <c r="C76660" t="inlineStr">
        <is>
          <t>2109-09-27</t>
        </is>
      </c>
    </row>
    <row r="76661">
      <c r="A76661" s="1" t="n">
        <v>76660</v>
      </c>
      <c r="B76661">
        <f>TEXT(76660, "[$-0E0000]yyyy-mm-dd")</f>
        <v/>
      </c>
      <c r="C76661" t="inlineStr">
        <is>
          <t>2109-09-28</t>
        </is>
      </c>
    </row>
    <row r="76662">
      <c r="A76662" s="1" t="n">
        <v>76661</v>
      </c>
      <c r="B76662">
        <f>TEXT(76661, "[$-0E0000]yyyy-mm-dd")</f>
        <v/>
      </c>
      <c r="C76662" t="inlineStr">
        <is>
          <t>2109-09-29</t>
        </is>
      </c>
    </row>
    <row r="76663">
      <c r="A76663" s="1" t="n">
        <v>76662</v>
      </c>
      <c r="B76663">
        <f>TEXT(76662, "[$-0E0000]yyyy-mm-dd")</f>
        <v/>
      </c>
      <c r="C76663" t="inlineStr">
        <is>
          <t>2109-10-01</t>
        </is>
      </c>
    </row>
    <row r="76664">
      <c r="A76664" s="1" t="n">
        <v>76663</v>
      </c>
      <c r="B76664">
        <f>TEXT(76663, "[$-0E0000]yyyy-mm-dd")</f>
        <v/>
      </c>
      <c r="C76664" t="inlineStr">
        <is>
          <t>2109-10-02</t>
        </is>
      </c>
    </row>
    <row r="76665">
      <c r="A76665" s="1" t="n">
        <v>76664</v>
      </c>
      <c r="B76665">
        <f>TEXT(76664, "[$-0E0000]yyyy-mm-dd")</f>
        <v/>
      </c>
      <c r="C76665" t="inlineStr">
        <is>
          <t>2109-10-03</t>
        </is>
      </c>
    </row>
    <row r="76666">
      <c r="A76666" s="1" t="n">
        <v>76665</v>
      </c>
      <c r="B76666">
        <f>TEXT(76665, "[$-0E0000]yyyy-mm-dd")</f>
        <v/>
      </c>
      <c r="C76666" t="inlineStr">
        <is>
          <t>2109-10-04</t>
        </is>
      </c>
    </row>
    <row r="76667">
      <c r="A76667" s="1" t="n">
        <v>76666</v>
      </c>
      <c r="B76667">
        <f>TEXT(76666, "[$-0E0000]yyyy-mm-dd")</f>
        <v/>
      </c>
      <c r="C76667" t="inlineStr">
        <is>
          <t>2109-10-05</t>
        </is>
      </c>
    </row>
    <row r="76668">
      <c r="A76668" s="1" t="n">
        <v>76667</v>
      </c>
      <c r="B76668">
        <f>TEXT(76667, "[$-0E0000]yyyy-mm-dd")</f>
        <v/>
      </c>
      <c r="C76668" t="inlineStr">
        <is>
          <t>2109-10-06</t>
        </is>
      </c>
    </row>
    <row r="76669">
      <c r="A76669" s="1" t="n">
        <v>76668</v>
      </c>
      <c r="B76669">
        <f>TEXT(76668, "[$-0E0000]yyyy-mm-dd")</f>
        <v/>
      </c>
      <c r="C76669" t="inlineStr">
        <is>
          <t>2109-10-07</t>
        </is>
      </c>
    </row>
    <row r="76670">
      <c r="A76670" s="1" t="n">
        <v>76669</v>
      </c>
      <c r="B76670">
        <f>TEXT(76669, "[$-0E0000]yyyy-mm-dd")</f>
        <v/>
      </c>
      <c r="C76670" t="inlineStr">
        <is>
          <t>2109-10-08</t>
        </is>
      </c>
    </row>
    <row r="76671">
      <c r="A76671" s="1" t="n">
        <v>76670</v>
      </c>
      <c r="B76671">
        <f>TEXT(76670, "[$-0E0000]yyyy-mm-dd")</f>
        <v/>
      </c>
      <c r="C76671" t="inlineStr">
        <is>
          <t>2109-10-09</t>
        </is>
      </c>
    </row>
    <row r="76672">
      <c r="A76672" s="1" t="n">
        <v>76671</v>
      </c>
      <c r="B76672">
        <f>TEXT(76671, "[$-0E0000]yyyy-mm-dd")</f>
        <v/>
      </c>
      <c r="C76672" t="inlineStr">
        <is>
          <t>2109-10-10</t>
        </is>
      </c>
    </row>
    <row r="76673">
      <c r="A76673" s="1" t="n">
        <v>76672</v>
      </c>
      <c r="B76673">
        <f>TEXT(76672, "[$-0E0000]yyyy-mm-dd")</f>
        <v/>
      </c>
      <c r="C76673" t="inlineStr">
        <is>
          <t>2109-10-11</t>
        </is>
      </c>
    </row>
    <row r="76674">
      <c r="A76674" s="1" t="n">
        <v>76673</v>
      </c>
      <c r="B76674">
        <f>TEXT(76673, "[$-0E0000]yyyy-mm-dd")</f>
        <v/>
      </c>
      <c r="C76674" t="inlineStr">
        <is>
          <t>2109-10-12</t>
        </is>
      </c>
    </row>
    <row r="76675">
      <c r="A76675" s="1" t="n">
        <v>76674</v>
      </c>
      <c r="B76675">
        <f>TEXT(76674, "[$-0E0000]yyyy-mm-dd")</f>
        <v/>
      </c>
      <c r="C76675" t="inlineStr">
        <is>
          <t>2109-10-13</t>
        </is>
      </c>
    </row>
    <row r="76676">
      <c r="A76676" s="1" t="n">
        <v>76675</v>
      </c>
      <c r="B76676">
        <f>TEXT(76675, "[$-0E0000]yyyy-mm-dd")</f>
        <v/>
      </c>
      <c r="C76676" t="inlineStr">
        <is>
          <t>2109-10-14</t>
        </is>
      </c>
    </row>
    <row r="76677">
      <c r="A76677" s="1" t="n">
        <v>76676</v>
      </c>
      <c r="B76677">
        <f>TEXT(76676, "[$-0E0000]yyyy-mm-dd")</f>
        <v/>
      </c>
      <c r="C76677" t="inlineStr">
        <is>
          <t>2109-10-15</t>
        </is>
      </c>
    </row>
    <row r="76678">
      <c r="A76678" s="1" t="n">
        <v>76677</v>
      </c>
      <c r="B76678">
        <f>TEXT(76677, "[$-0E0000]yyyy-mm-dd")</f>
        <v/>
      </c>
      <c r="C76678" t="inlineStr">
        <is>
          <t>2109-10-16</t>
        </is>
      </c>
    </row>
    <row r="76679">
      <c r="A76679" s="1" t="n">
        <v>76678</v>
      </c>
      <c r="B76679">
        <f>TEXT(76678, "[$-0E0000]yyyy-mm-dd")</f>
        <v/>
      </c>
      <c r="C76679" t="inlineStr">
        <is>
          <t>2109-10-17</t>
        </is>
      </c>
    </row>
    <row r="76680">
      <c r="A76680" s="1" t="n">
        <v>76679</v>
      </c>
      <c r="B76680">
        <f>TEXT(76679, "[$-0E0000]yyyy-mm-dd")</f>
        <v/>
      </c>
      <c r="C76680" t="inlineStr">
        <is>
          <t>2109-10-18</t>
        </is>
      </c>
    </row>
    <row r="76681">
      <c r="A76681" s="1" t="n">
        <v>76680</v>
      </c>
      <c r="B76681">
        <f>TEXT(76680, "[$-0E0000]yyyy-mm-dd")</f>
        <v/>
      </c>
      <c r="C76681" t="inlineStr">
        <is>
          <t>2109-10-19</t>
        </is>
      </c>
    </row>
    <row r="76682">
      <c r="A76682" s="1" t="n">
        <v>76681</v>
      </c>
      <c r="B76682">
        <f>TEXT(76681, "[$-0E0000]yyyy-mm-dd")</f>
        <v/>
      </c>
      <c r="C76682" t="inlineStr">
        <is>
          <t>2109-10-20</t>
        </is>
      </c>
    </row>
    <row r="76683">
      <c r="A76683" s="1" t="n">
        <v>76682</v>
      </c>
      <c r="B76683">
        <f>TEXT(76682, "[$-0E0000]yyyy-mm-dd")</f>
        <v/>
      </c>
      <c r="C76683" t="inlineStr">
        <is>
          <t>2109-10-21</t>
        </is>
      </c>
    </row>
    <row r="76684">
      <c r="A76684" s="1" t="n">
        <v>76683</v>
      </c>
      <c r="B76684">
        <f>TEXT(76683, "[$-0E0000]yyyy-mm-dd")</f>
        <v/>
      </c>
      <c r="C76684" t="inlineStr">
        <is>
          <t>2109-10-22</t>
        </is>
      </c>
    </row>
    <row r="76685">
      <c r="A76685" s="1" t="n">
        <v>76684</v>
      </c>
      <c r="B76685">
        <f>TEXT(76684, "[$-0E0000]yyyy-mm-dd")</f>
        <v/>
      </c>
      <c r="C76685" t="inlineStr">
        <is>
          <t>2109-10-23</t>
        </is>
      </c>
    </row>
    <row r="76686">
      <c r="A76686" s="1" t="n">
        <v>76685</v>
      </c>
      <c r="B76686">
        <f>TEXT(76685, "[$-0E0000]yyyy-mm-dd")</f>
        <v/>
      </c>
      <c r="C76686" t="inlineStr">
        <is>
          <t>2109-10-24</t>
        </is>
      </c>
    </row>
    <row r="76687">
      <c r="A76687" s="1" t="n">
        <v>76686</v>
      </c>
      <c r="B76687">
        <f>TEXT(76686, "[$-0E0000]yyyy-mm-dd")</f>
        <v/>
      </c>
      <c r="C76687" t="inlineStr">
        <is>
          <t>2109-10-25</t>
        </is>
      </c>
    </row>
    <row r="76688">
      <c r="A76688" s="1" t="n">
        <v>76687</v>
      </c>
      <c r="B76688">
        <f>TEXT(76687, "[$-0E0000]yyyy-mm-dd")</f>
        <v/>
      </c>
      <c r="C76688" t="inlineStr">
        <is>
          <t>2109-10-26</t>
        </is>
      </c>
    </row>
    <row r="76689">
      <c r="A76689" s="1" t="n">
        <v>76688</v>
      </c>
      <c r="B76689">
        <f>TEXT(76688, "[$-0E0000]yyyy-mm-dd")</f>
        <v/>
      </c>
      <c r="C76689" t="inlineStr">
        <is>
          <t>2109-10-27</t>
        </is>
      </c>
    </row>
    <row r="76690">
      <c r="A76690" s="1" t="n">
        <v>76689</v>
      </c>
      <c r="B76690">
        <f>TEXT(76689, "[$-0E0000]yyyy-mm-dd")</f>
        <v/>
      </c>
      <c r="C76690" t="inlineStr">
        <is>
          <t>2109-10-28</t>
        </is>
      </c>
    </row>
    <row r="76691">
      <c r="A76691" s="1" t="n">
        <v>76690</v>
      </c>
      <c r="B76691">
        <f>TEXT(76690, "[$-0E0000]yyyy-mm-dd")</f>
        <v/>
      </c>
      <c r="C76691" t="inlineStr">
        <is>
          <t>2109-10-29</t>
        </is>
      </c>
    </row>
    <row r="76692">
      <c r="A76692" s="1" t="n">
        <v>76691</v>
      </c>
      <c r="B76692">
        <f>TEXT(76691, "[$-0E0000]yyyy-mm-dd")</f>
        <v/>
      </c>
      <c r="C76692" t="inlineStr">
        <is>
          <t>2109-10-30</t>
        </is>
      </c>
    </row>
    <row r="76693">
      <c r="A76693" s="1" t="n">
        <v>76692</v>
      </c>
      <c r="B76693">
        <f>TEXT(76692, "[$-0E0000]yyyy-mm-dd")</f>
        <v/>
      </c>
      <c r="C76693" t="inlineStr">
        <is>
          <t>2109-11-01</t>
        </is>
      </c>
    </row>
    <row r="76694">
      <c r="A76694" s="1" t="n">
        <v>76693</v>
      </c>
      <c r="B76694">
        <f>TEXT(76693, "[$-0E0000]yyyy-mm-dd")</f>
        <v/>
      </c>
      <c r="C76694" t="inlineStr">
        <is>
          <t>2109-11-02</t>
        </is>
      </c>
    </row>
    <row r="76695">
      <c r="A76695" s="1" t="n">
        <v>76694</v>
      </c>
      <c r="B76695">
        <f>TEXT(76694, "[$-0E0000]yyyy-mm-dd")</f>
        <v/>
      </c>
      <c r="C76695" t="inlineStr">
        <is>
          <t>2109-11-03</t>
        </is>
      </c>
    </row>
    <row r="76696">
      <c r="A76696" s="1" t="n">
        <v>76695</v>
      </c>
      <c r="B76696">
        <f>TEXT(76695, "[$-0E0000]yyyy-mm-dd")</f>
        <v/>
      </c>
      <c r="C76696" t="inlineStr">
        <is>
          <t>2109-11-04</t>
        </is>
      </c>
    </row>
    <row r="76697">
      <c r="A76697" s="1" t="n">
        <v>76696</v>
      </c>
      <c r="B76697">
        <f>TEXT(76696, "[$-0E0000]yyyy-mm-dd")</f>
        <v/>
      </c>
      <c r="C76697" t="inlineStr">
        <is>
          <t>2109-11-05</t>
        </is>
      </c>
    </row>
    <row r="76698">
      <c r="A76698" s="1" t="n">
        <v>76697</v>
      </c>
      <c r="B76698">
        <f>TEXT(76697, "[$-0E0000]yyyy-mm-dd")</f>
        <v/>
      </c>
      <c r="C76698" t="inlineStr">
        <is>
          <t>2109-11-06</t>
        </is>
      </c>
    </row>
    <row r="76699">
      <c r="A76699" s="1" t="n">
        <v>76698</v>
      </c>
      <c r="B76699">
        <f>TEXT(76698, "[$-0E0000]yyyy-mm-dd")</f>
        <v/>
      </c>
      <c r="C76699" t="inlineStr">
        <is>
          <t>2109-11-07</t>
        </is>
      </c>
    </row>
    <row r="76700">
      <c r="A76700" s="1" t="n">
        <v>76699</v>
      </c>
      <c r="B76700">
        <f>TEXT(76699, "[$-0E0000]yyyy-mm-dd")</f>
        <v/>
      </c>
      <c r="C76700" t="inlineStr">
        <is>
          <t>2109-11-08</t>
        </is>
      </c>
    </row>
    <row r="76701">
      <c r="A76701" s="1" t="n">
        <v>76700</v>
      </c>
      <c r="B76701">
        <f>TEXT(76700, "[$-0E0000]yyyy-mm-dd")</f>
        <v/>
      </c>
      <c r="C76701" t="inlineStr">
        <is>
          <t>2109-11-09</t>
        </is>
      </c>
    </row>
    <row r="76702">
      <c r="A76702" s="1" t="n">
        <v>76701</v>
      </c>
      <c r="B76702">
        <f>TEXT(76701, "[$-0E0000]yyyy-mm-dd")</f>
        <v/>
      </c>
      <c r="C76702" t="inlineStr">
        <is>
          <t>2109-11-10</t>
        </is>
      </c>
    </row>
    <row r="76703">
      <c r="A76703" s="1" t="n">
        <v>76702</v>
      </c>
      <c r="B76703">
        <f>TEXT(76702, "[$-0E0000]yyyy-mm-dd")</f>
        <v/>
      </c>
      <c r="C76703" t="inlineStr">
        <is>
          <t>2109-11-11</t>
        </is>
      </c>
    </row>
    <row r="76704">
      <c r="A76704" s="1" t="n">
        <v>76703</v>
      </c>
      <c r="B76704">
        <f>TEXT(76703, "[$-0E0000]yyyy-mm-dd")</f>
        <v/>
      </c>
      <c r="C76704" t="inlineStr">
        <is>
          <t>2109-11-12</t>
        </is>
      </c>
    </row>
    <row r="76705">
      <c r="A76705" s="1" t="n">
        <v>76704</v>
      </c>
      <c r="B76705">
        <f>TEXT(76704, "[$-0E0000]yyyy-mm-dd")</f>
        <v/>
      </c>
      <c r="C76705" t="inlineStr">
        <is>
          <t>2109-11-13</t>
        </is>
      </c>
    </row>
    <row r="76706">
      <c r="A76706" s="1" t="n">
        <v>76705</v>
      </c>
      <c r="B76706">
        <f>TEXT(76705, "[$-0E0000]yyyy-mm-dd")</f>
        <v/>
      </c>
      <c r="C76706" t="inlineStr">
        <is>
          <t>2109-11-14</t>
        </is>
      </c>
    </row>
    <row r="76707">
      <c r="A76707" s="1" t="n">
        <v>76706</v>
      </c>
      <c r="B76707">
        <f>TEXT(76706, "[$-0E0000]yyyy-mm-dd")</f>
        <v/>
      </c>
      <c r="C76707" t="inlineStr">
        <is>
          <t>2109-11-15</t>
        </is>
      </c>
    </row>
    <row r="76708">
      <c r="A76708" s="1" t="n">
        <v>76707</v>
      </c>
      <c r="B76708">
        <f>TEXT(76707, "[$-0E0000]yyyy-mm-dd")</f>
        <v/>
      </c>
      <c r="C76708" t="inlineStr">
        <is>
          <t>2109-11-16</t>
        </is>
      </c>
    </row>
    <row r="76709">
      <c r="A76709" s="1" t="n">
        <v>76708</v>
      </c>
      <c r="B76709">
        <f>TEXT(76708, "[$-0E0000]yyyy-mm-dd")</f>
        <v/>
      </c>
      <c r="C76709" t="inlineStr">
        <is>
          <t>2109-11-17</t>
        </is>
      </c>
    </row>
    <row r="76710">
      <c r="A76710" s="1" t="n">
        <v>76709</v>
      </c>
      <c r="B76710">
        <f>TEXT(76709, "[$-0E0000]yyyy-mm-dd")</f>
        <v/>
      </c>
      <c r="C76710" t="inlineStr">
        <is>
          <t>2109-11-18</t>
        </is>
      </c>
    </row>
    <row r="76711">
      <c r="A76711" s="1" t="n">
        <v>76710</v>
      </c>
      <c r="B76711">
        <f>TEXT(76710, "[$-0E0000]yyyy-mm-dd")</f>
        <v/>
      </c>
      <c r="C76711" t="inlineStr">
        <is>
          <t>2109-11-19</t>
        </is>
      </c>
    </row>
    <row r="76712">
      <c r="A76712" s="1" t="n">
        <v>76711</v>
      </c>
      <c r="B76712">
        <f>TEXT(76711, "[$-0E0000]yyyy-mm-dd")</f>
        <v/>
      </c>
      <c r="C76712" t="inlineStr">
        <is>
          <t>2109-11-20</t>
        </is>
      </c>
    </row>
    <row r="76713">
      <c r="A76713" s="1" t="n">
        <v>76712</v>
      </c>
      <c r="B76713">
        <f>TEXT(76712, "[$-0E0000]yyyy-mm-dd")</f>
        <v/>
      </c>
      <c r="C76713" t="inlineStr">
        <is>
          <t>2109-11-21</t>
        </is>
      </c>
    </row>
    <row r="76714">
      <c r="A76714" s="1" t="n">
        <v>76713</v>
      </c>
      <c r="B76714">
        <f>TEXT(76713, "[$-0E0000]yyyy-mm-dd")</f>
        <v/>
      </c>
      <c r="C76714" t="inlineStr">
        <is>
          <t>2109-11-22</t>
        </is>
      </c>
    </row>
    <row r="76715">
      <c r="A76715" s="1" t="n">
        <v>76714</v>
      </c>
      <c r="B76715">
        <f>TEXT(76714, "[$-0E0000]yyyy-mm-dd")</f>
        <v/>
      </c>
      <c r="C76715" t="inlineStr">
        <is>
          <t>2109-11-23</t>
        </is>
      </c>
    </row>
    <row r="76716">
      <c r="A76716" s="1" t="n">
        <v>76715</v>
      </c>
      <c r="B76716">
        <f>TEXT(76715, "[$-0E0000]yyyy-mm-dd")</f>
        <v/>
      </c>
      <c r="C76716" t="inlineStr">
        <is>
          <t>2109-11-24</t>
        </is>
      </c>
    </row>
    <row r="76717">
      <c r="A76717" s="1" t="n">
        <v>76716</v>
      </c>
      <c r="B76717">
        <f>TEXT(76716, "[$-0E0000]yyyy-mm-dd")</f>
        <v/>
      </c>
      <c r="C76717" t="inlineStr">
        <is>
          <t>2109-11-25</t>
        </is>
      </c>
    </row>
    <row r="76718">
      <c r="A76718" s="1" t="n">
        <v>76717</v>
      </c>
      <c r="B76718">
        <f>TEXT(76717, "[$-0E0000]yyyy-mm-dd")</f>
        <v/>
      </c>
      <c r="C76718" t="inlineStr">
        <is>
          <t>2109-11-26</t>
        </is>
      </c>
    </row>
    <row r="76719">
      <c r="A76719" s="1" t="n">
        <v>76718</v>
      </c>
      <c r="B76719">
        <f>TEXT(76718, "[$-0E0000]yyyy-mm-dd")</f>
        <v/>
      </c>
      <c r="C76719" t="inlineStr">
        <is>
          <t>2109-11-27</t>
        </is>
      </c>
    </row>
    <row r="76720">
      <c r="A76720" s="1" t="n">
        <v>76719</v>
      </c>
      <c r="B76720">
        <f>TEXT(76719, "[$-0E0000]yyyy-mm-dd")</f>
        <v/>
      </c>
      <c r="C76720" t="inlineStr">
        <is>
          <t>2109-11-28</t>
        </is>
      </c>
    </row>
    <row r="76721">
      <c r="A76721" s="1" t="n">
        <v>76720</v>
      </c>
      <c r="B76721">
        <f>TEXT(76720, "[$-0E0000]yyyy-mm-dd")</f>
        <v/>
      </c>
      <c r="C76721" t="inlineStr">
        <is>
          <t>2109-11-29</t>
        </is>
      </c>
    </row>
    <row r="76722">
      <c r="A76722" s="1" t="n">
        <v>76721</v>
      </c>
      <c r="B76722">
        <f>TEXT(76721, "[$-0E0000]yyyy-mm-dd")</f>
        <v/>
      </c>
      <c r="C76722" t="inlineStr">
        <is>
          <t>2109-12-01</t>
        </is>
      </c>
    </row>
    <row r="76723">
      <c r="A76723" s="1" t="n">
        <v>76722</v>
      </c>
      <c r="B76723">
        <f>TEXT(76722, "[$-0E0000]yyyy-mm-dd")</f>
        <v/>
      </c>
      <c r="C76723" t="inlineStr">
        <is>
          <t>2109-12-02</t>
        </is>
      </c>
    </row>
    <row r="76724">
      <c r="A76724" s="1" t="n">
        <v>76723</v>
      </c>
      <c r="B76724">
        <f>TEXT(76723, "[$-0E0000]yyyy-mm-dd")</f>
        <v/>
      </c>
      <c r="C76724" t="inlineStr">
        <is>
          <t>2109-12-03</t>
        </is>
      </c>
    </row>
    <row r="76725">
      <c r="A76725" s="1" t="n">
        <v>76724</v>
      </c>
      <c r="B76725">
        <f>TEXT(76724, "[$-0E0000]yyyy-mm-dd")</f>
        <v/>
      </c>
      <c r="C76725" t="inlineStr">
        <is>
          <t>2109-12-04</t>
        </is>
      </c>
    </row>
    <row r="76726">
      <c r="A76726" s="1" t="n">
        <v>76725</v>
      </c>
      <c r="B76726">
        <f>TEXT(76725, "[$-0E0000]yyyy-mm-dd")</f>
        <v/>
      </c>
      <c r="C76726" t="inlineStr">
        <is>
          <t>2109-12-05</t>
        </is>
      </c>
    </row>
    <row r="76727">
      <c r="A76727" s="1" t="n">
        <v>76726</v>
      </c>
      <c r="B76727">
        <f>TEXT(76726, "[$-0E0000]yyyy-mm-dd")</f>
        <v/>
      </c>
      <c r="C76727" t="inlineStr">
        <is>
          <t>2109-12-06</t>
        </is>
      </c>
    </row>
    <row r="76728">
      <c r="A76728" s="1" t="n">
        <v>76727</v>
      </c>
      <c r="B76728">
        <f>TEXT(76727, "[$-0E0000]yyyy-mm-dd")</f>
        <v/>
      </c>
      <c r="C76728" t="inlineStr">
        <is>
          <t>2109-12-07</t>
        </is>
      </c>
    </row>
    <row r="76729">
      <c r="A76729" s="1" t="n">
        <v>76728</v>
      </c>
      <c r="B76729">
        <f>TEXT(76728, "[$-0E0000]yyyy-mm-dd")</f>
        <v/>
      </c>
      <c r="C76729" t="inlineStr">
        <is>
          <t>2109-12-08</t>
        </is>
      </c>
    </row>
    <row r="76730">
      <c r="A76730" s="1" t="n">
        <v>76729</v>
      </c>
      <c r="B76730">
        <f>TEXT(76729, "[$-0E0000]yyyy-mm-dd")</f>
        <v/>
      </c>
      <c r="C76730" t="inlineStr">
        <is>
          <t>2109-12-09</t>
        </is>
      </c>
    </row>
    <row r="76731">
      <c r="A76731" s="1" t="n">
        <v>76730</v>
      </c>
      <c r="B76731">
        <f>TEXT(76730, "[$-0E0000]yyyy-mm-dd")</f>
        <v/>
      </c>
      <c r="C76731" t="inlineStr">
        <is>
          <t>2109-12-10</t>
        </is>
      </c>
    </row>
    <row r="76732">
      <c r="A76732" s="1" t="n">
        <v>76731</v>
      </c>
      <c r="B76732">
        <f>TEXT(76731, "[$-0E0000]yyyy-mm-dd")</f>
        <v/>
      </c>
      <c r="C76732" t="inlineStr">
        <is>
          <t>2109-12-11</t>
        </is>
      </c>
    </row>
    <row r="76733">
      <c r="A76733" s="1" t="n">
        <v>76732</v>
      </c>
      <c r="B76733">
        <f>TEXT(76732, "[$-0E0000]yyyy-mm-dd")</f>
        <v/>
      </c>
      <c r="C76733" t="inlineStr">
        <is>
          <t>2109-12-12</t>
        </is>
      </c>
    </row>
    <row r="76734">
      <c r="A76734" s="1" t="n">
        <v>76733</v>
      </c>
      <c r="B76734">
        <f>TEXT(76733, "[$-0E0000]yyyy-mm-dd")</f>
        <v/>
      </c>
      <c r="C76734" t="inlineStr">
        <is>
          <t>2109-12-13</t>
        </is>
      </c>
    </row>
    <row r="76735">
      <c r="A76735" s="1" t="n">
        <v>76734</v>
      </c>
      <c r="B76735">
        <f>TEXT(76734, "[$-0E0000]yyyy-mm-dd")</f>
        <v/>
      </c>
      <c r="C76735" t="inlineStr">
        <is>
          <t>2109-12-14</t>
        </is>
      </c>
    </row>
    <row r="76736">
      <c r="A76736" s="1" t="n">
        <v>76735</v>
      </c>
      <c r="B76736">
        <f>TEXT(76735, "[$-0E0000]yyyy-mm-dd")</f>
        <v/>
      </c>
      <c r="C76736" t="inlineStr">
        <is>
          <t>2109-12-15</t>
        </is>
      </c>
    </row>
    <row r="76737">
      <c r="A76737" s="1" t="n">
        <v>76736</v>
      </c>
      <c r="B76737">
        <f>TEXT(76736, "[$-0E0000]yyyy-mm-dd")</f>
        <v/>
      </c>
      <c r="C76737" t="inlineStr">
        <is>
          <t>2109-12-16</t>
        </is>
      </c>
    </row>
    <row r="76738">
      <c r="A76738" s="1" t="n">
        <v>76737</v>
      </c>
      <c r="B76738">
        <f>TEXT(76737, "[$-0E0000]yyyy-mm-dd")</f>
        <v/>
      </c>
      <c r="C76738" t="inlineStr">
        <is>
          <t>2109-12-17</t>
        </is>
      </c>
    </row>
    <row r="76739">
      <c r="A76739" s="1" t="n">
        <v>76738</v>
      </c>
      <c r="B76739">
        <f>TEXT(76738, "[$-0E0000]yyyy-mm-dd")</f>
        <v/>
      </c>
      <c r="C76739" t="inlineStr">
        <is>
          <t>2109-12-18</t>
        </is>
      </c>
    </row>
    <row r="76740">
      <c r="A76740" s="1" t="n">
        <v>76739</v>
      </c>
      <c r="B76740">
        <f>TEXT(76739, "[$-0E0000]yyyy-mm-dd")</f>
        <v/>
      </c>
      <c r="C76740" t="inlineStr">
        <is>
          <t>2109-12-19</t>
        </is>
      </c>
    </row>
    <row r="76741">
      <c r="A76741" s="1" t="n">
        <v>76740</v>
      </c>
      <c r="B76741">
        <f>TEXT(76740, "[$-0E0000]yyyy-mm-dd")</f>
        <v/>
      </c>
      <c r="C76741" t="inlineStr">
        <is>
          <t>2109-12-20</t>
        </is>
      </c>
    </row>
    <row r="76742">
      <c r="A76742" s="1" t="n">
        <v>76741</v>
      </c>
      <c r="B76742">
        <f>TEXT(76741, "[$-0E0000]yyyy-mm-dd")</f>
        <v/>
      </c>
      <c r="C76742" t="inlineStr">
        <is>
          <t>2109-12-21</t>
        </is>
      </c>
    </row>
    <row r="76743">
      <c r="A76743" s="1" t="n">
        <v>76742</v>
      </c>
      <c r="B76743">
        <f>TEXT(76742, "[$-0E0000]yyyy-mm-dd")</f>
        <v/>
      </c>
      <c r="C76743" t="inlineStr">
        <is>
          <t>2109-12-22</t>
        </is>
      </c>
    </row>
    <row r="76744">
      <c r="A76744" s="1" t="n">
        <v>76743</v>
      </c>
      <c r="B76744">
        <f>TEXT(76743, "[$-0E0000]yyyy-mm-dd")</f>
        <v/>
      </c>
      <c r="C76744" t="inlineStr">
        <is>
          <t>2109-12-23</t>
        </is>
      </c>
    </row>
    <row r="76745">
      <c r="A76745" s="1" t="n">
        <v>76744</v>
      </c>
      <c r="B76745">
        <f>TEXT(76744, "[$-0E0000]yyyy-mm-dd")</f>
        <v/>
      </c>
      <c r="C76745" t="inlineStr">
        <is>
          <t>2109-12-24</t>
        </is>
      </c>
    </row>
    <row r="76746">
      <c r="A76746" s="1" t="n">
        <v>76745</v>
      </c>
      <c r="B76746">
        <f>TEXT(76745, "[$-0E0000]yyyy-mm-dd")</f>
        <v/>
      </c>
      <c r="C76746" t="inlineStr">
        <is>
          <t>2109-12-25</t>
        </is>
      </c>
    </row>
    <row r="76747">
      <c r="A76747" s="1" t="n">
        <v>76746</v>
      </c>
      <c r="B76747">
        <f>TEXT(76746, "[$-0E0000]yyyy-mm-dd")</f>
        <v/>
      </c>
      <c r="C76747" t="inlineStr">
        <is>
          <t>2109-12-26</t>
        </is>
      </c>
    </row>
    <row r="76748">
      <c r="A76748" s="1" t="n">
        <v>76747</v>
      </c>
      <c r="B76748">
        <f>TEXT(76747, "[$-0E0000]yyyy-mm-dd")</f>
        <v/>
      </c>
      <c r="C76748" t="inlineStr">
        <is>
          <t>2109-12-27</t>
        </is>
      </c>
    </row>
    <row r="76749">
      <c r="A76749" s="1" t="n">
        <v>76748</v>
      </c>
      <c r="B76749">
        <f>TEXT(76748, "[$-0E0000]yyyy-mm-dd")</f>
        <v/>
      </c>
      <c r="C76749" t="inlineStr">
        <is>
          <t>2109-12-28</t>
        </is>
      </c>
    </row>
    <row r="76750">
      <c r="A76750" s="1" t="n">
        <v>76749</v>
      </c>
      <c r="B76750">
        <f>TEXT(76749, "[$-0E0000]yyyy-mm-dd")</f>
        <v/>
      </c>
      <c r="C76750" t="inlineStr">
        <is>
          <t>2109-12-29</t>
        </is>
      </c>
    </row>
    <row r="76751">
      <c r="A76751" s="1" t="n">
        <v>76750</v>
      </c>
      <c r="B76751">
        <f>TEXT(76750, "[$-0E0000]yyyy-mm-dd")</f>
        <v/>
      </c>
      <c r="C76751" t="inlineStr">
        <is>
          <t>2109-12-30</t>
        </is>
      </c>
    </row>
    <row r="76752">
      <c r="A76752" s="1" t="n">
        <v>76751</v>
      </c>
      <c r="B76752">
        <f>TEXT(76751, "[$-0E0000]yyyy-mm-dd")</f>
        <v/>
      </c>
      <c r="C76752" t="inlineStr">
        <is>
          <t>2110-01-01</t>
        </is>
      </c>
    </row>
    <row r="76753">
      <c r="A76753" s="1" t="n">
        <v>76752</v>
      </c>
      <c r="B76753">
        <f>TEXT(76752, "[$-0E0000]yyyy-mm-dd")</f>
        <v/>
      </c>
      <c r="C76753" t="inlineStr">
        <is>
          <t>2110-01-02</t>
        </is>
      </c>
    </row>
    <row r="76754">
      <c r="A76754" s="1" t="n">
        <v>76753</v>
      </c>
      <c r="B76754">
        <f>TEXT(76753, "[$-0E0000]yyyy-mm-dd")</f>
        <v/>
      </c>
      <c r="C76754" t="inlineStr">
        <is>
          <t>2110-01-03</t>
        </is>
      </c>
    </row>
    <row r="76755">
      <c r="A76755" s="1" t="n">
        <v>76754</v>
      </c>
      <c r="B76755">
        <f>TEXT(76754, "[$-0E0000]yyyy-mm-dd")</f>
        <v/>
      </c>
      <c r="C76755" t="inlineStr">
        <is>
          <t>2110-01-04</t>
        </is>
      </c>
    </row>
    <row r="76756">
      <c r="A76756" s="1" t="n">
        <v>76755</v>
      </c>
      <c r="B76756">
        <f>TEXT(76755, "[$-0E0000]yyyy-mm-dd")</f>
        <v/>
      </c>
      <c r="C76756" t="inlineStr">
        <is>
          <t>2110-01-05</t>
        </is>
      </c>
    </row>
    <row r="76757">
      <c r="A76757" s="1" t="n">
        <v>76756</v>
      </c>
      <c r="B76757">
        <f>TEXT(76756, "[$-0E0000]yyyy-mm-dd")</f>
        <v/>
      </c>
      <c r="C76757" t="inlineStr">
        <is>
          <t>2110-01-06</t>
        </is>
      </c>
    </row>
    <row r="76758">
      <c r="A76758" s="1" t="n">
        <v>76757</v>
      </c>
      <c r="B76758">
        <f>TEXT(76757, "[$-0E0000]yyyy-mm-dd")</f>
        <v/>
      </c>
      <c r="C76758" t="inlineStr">
        <is>
          <t>2110-01-07</t>
        </is>
      </c>
    </row>
    <row r="76759">
      <c r="A76759" s="1" t="n">
        <v>76758</v>
      </c>
      <c r="B76759">
        <f>TEXT(76758, "[$-0E0000]yyyy-mm-dd")</f>
        <v/>
      </c>
      <c r="C76759" t="inlineStr">
        <is>
          <t>2110-01-08</t>
        </is>
      </c>
    </row>
    <row r="76760">
      <c r="A76760" s="1" t="n">
        <v>76759</v>
      </c>
      <c r="B76760">
        <f>TEXT(76759, "[$-0E0000]yyyy-mm-dd")</f>
        <v/>
      </c>
      <c r="C76760" t="inlineStr">
        <is>
          <t>2110-01-09</t>
        </is>
      </c>
    </row>
    <row r="76761">
      <c r="A76761" s="1" t="n">
        <v>76760</v>
      </c>
      <c r="B76761">
        <f>TEXT(76760, "[$-0E0000]yyyy-mm-dd")</f>
        <v/>
      </c>
      <c r="C76761" t="inlineStr">
        <is>
          <t>2110-01-10</t>
        </is>
      </c>
    </row>
    <row r="76762">
      <c r="A76762" s="1" t="n">
        <v>76761</v>
      </c>
      <c r="B76762">
        <f>TEXT(76761, "[$-0E0000]yyyy-mm-dd")</f>
        <v/>
      </c>
      <c r="C76762" t="inlineStr">
        <is>
          <t>2110-01-11</t>
        </is>
      </c>
    </row>
    <row r="76763">
      <c r="A76763" s="1" t="n">
        <v>76762</v>
      </c>
      <c r="B76763">
        <f>TEXT(76762, "[$-0E0000]yyyy-mm-dd")</f>
        <v/>
      </c>
      <c r="C76763" t="inlineStr">
        <is>
          <t>2110-01-12</t>
        </is>
      </c>
    </row>
    <row r="76764">
      <c r="A76764" s="1" t="n">
        <v>76763</v>
      </c>
      <c r="B76764">
        <f>TEXT(76763, "[$-0E0000]yyyy-mm-dd")</f>
        <v/>
      </c>
      <c r="C76764" t="inlineStr">
        <is>
          <t>2110-01-13</t>
        </is>
      </c>
    </row>
    <row r="76765">
      <c r="A76765" s="1" t="n">
        <v>76764</v>
      </c>
      <c r="B76765">
        <f>TEXT(76764, "[$-0E0000]yyyy-mm-dd")</f>
        <v/>
      </c>
      <c r="C76765" t="inlineStr">
        <is>
          <t>2110-01-14</t>
        </is>
      </c>
    </row>
    <row r="76766">
      <c r="A76766" s="1" t="n">
        <v>76765</v>
      </c>
      <c r="B76766">
        <f>TEXT(76765, "[$-0E0000]yyyy-mm-dd")</f>
        <v/>
      </c>
      <c r="C76766" t="inlineStr">
        <is>
          <t>2110-01-15</t>
        </is>
      </c>
    </row>
    <row r="76767">
      <c r="A76767" s="1" t="n">
        <v>76766</v>
      </c>
      <c r="B76767">
        <f>TEXT(76766, "[$-0E0000]yyyy-mm-dd")</f>
        <v/>
      </c>
      <c r="C76767" t="inlineStr">
        <is>
          <t>2110-01-16</t>
        </is>
      </c>
    </row>
    <row r="76768">
      <c r="A76768" s="1" t="n">
        <v>76767</v>
      </c>
      <c r="B76768">
        <f>TEXT(76767, "[$-0E0000]yyyy-mm-dd")</f>
        <v/>
      </c>
      <c r="C76768" t="inlineStr">
        <is>
          <t>2110-01-17</t>
        </is>
      </c>
    </row>
    <row r="76769">
      <c r="A76769" s="1" t="n">
        <v>76768</v>
      </c>
      <c r="B76769">
        <f>TEXT(76768, "[$-0E0000]yyyy-mm-dd")</f>
        <v/>
      </c>
      <c r="C76769" t="inlineStr">
        <is>
          <t>2110-01-18</t>
        </is>
      </c>
    </row>
    <row r="76770">
      <c r="A76770" s="1" t="n">
        <v>76769</v>
      </c>
      <c r="B76770">
        <f>TEXT(76769, "[$-0E0000]yyyy-mm-dd")</f>
        <v/>
      </c>
      <c r="C76770" t="inlineStr">
        <is>
          <t>2110-01-19</t>
        </is>
      </c>
    </row>
    <row r="76771">
      <c r="A76771" s="1" t="n">
        <v>76770</v>
      </c>
      <c r="B76771">
        <f>TEXT(76770, "[$-0E0000]yyyy-mm-dd")</f>
        <v/>
      </c>
      <c r="C76771" t="inlineStr">
        <is>
          <t>2110-01-20</t>
        </is>
      </c>
    </row>
    <row r="76772">
      <c r="A76772" s="1" t="n">
        <v>76771</v>
      </c>
      <c r="B76772">
        <f>TEXT(76771, "[$-0E0000]yyyy-mm-dd")</f>
        <v/>
      </c>
      <c r="C76772" t="inlineStr">
        <is>
          <t>2110-01-21</t>
        </is>
      </c>
    </row>
    <row r="76773">
      <c r="A76773" s="1" t="n">
        <v>76772</v>
      </c>
      <c r="B76773">
        <f>TEXT(76772, "[$-0E0000]yyyy-mm-dd")</f>
        <v/>
      </c>
      <c r="C76773" t="inlineStr">
        <is>
          <t>2110-01-22</t>
        </is>
      </c>
    </row>
    <row r="76774">
      <c r="A76774" s="1" t="n">
        <v>76773</v>
      </c>
      <c r="B76774">
        <f>TEXT(76773, "[$-0E0000]yyyy-mm-dd")</f>
        <v/>
      </c>
      <c r="C76774" t="inlineStr">
        <is>
          <t>2110-01-23</t>
        </is>
      </c>
    </row>
    <row r="76775">
      <c r="A76775" s="1" t="n">
        <v>76774</v>
      </c>
      <c r="B76775">
        <f>TEXT(76774, "[$-0E0000]yyyy-mm-dd")</f>
        <v/>
      </c>
      <c r="C76775" t="inlineStr">
        <is>
          <t>2110-01-24</t>
        </is>
      </c>
    </row>
    <row r="76776">
      <c r="A76776" s="1" t="n">
        <v>76775</v>
      </c>
      <c r="B76776">
        <f>TEXT(76775, "[$-0E0000]yyyy-mm-dd")</f>
        <v/>
      </c>
      <c r="C76776" t="inlineStr">
        <is>
          <t>2110-01-25</t>
        </is>
      </c>
    </row>
    <row r="76777">
      <c r="A76777" s="1" t="n">
        <v>76776</v>
      </c>
      <c r="B76777">
        <f>TEXT(76776, "[$-0E0000]yyyy-mm-dd")</f>
        <v/>
      </c>
      <c r="C76777" t="inlineStr">
        <is>
          <t>2110-01-26</t>
        </is>
      </c>
    </row>
    <row r="76778">
      <c r="A76778" s="1" t="n">
        <v>76777</v>
      </c>
      <c r="B76778">
        <f>TEXT(76777, "[$-0E0000]yyyy-mm-dd")</f>
        <v/>
      </c>
      <c r="C76778" t="inlineStr">
        <is>
          <t>2110-01-27</t>
        </is>
      </c>
    </row>
    <row r="76779">
      <c r="A76779" s="1" t="n">
        <v>76778</v>
      </c>
      <c r="B76779">
        <f>TEXT(76778, "[$-0E0000]yyyy-mm-dd")</f>
        <v/>
      </c>
      <c r="C76779" t="inlineStr">
        <is>
          <t>2110-01-28</t>
        </is>
      </c>
    </row>
    <row r="76780">
      <c r="A76780" s="1" t="n">
        <v>76779</v>
      </c>
      <c r="B76780">
        <f>TEXT(76779, "[$-0E0000]yyyy-mm-dd")</f>
        <v/>
      </c>
      <c r="C76780" t="inlineStr">
        <is>
          <t>2110-01-29</t>
        </is>
      </c>
    </row>
    <row r="76781">
      <c r="A76781" s="1" t="n">
        <v>76780</v>
      </c>
      <c r="B76781">
        <f>TEXT(76780, "[$-0E0000]yyyy-mm-dd")</f>
        <v/>
      </c>
      <c r="C76781" t="inlineStr">
        <is>
          <t>2110-02-01</t>
        </is>
      </c>
    </row>
    <row r="76782">
      <c r="A76782" s="1" t="n">
        <v>76781</v>
      </c>
      <c r="B76782">
        <f>TEXT(76781, "[$-0E0000]yyyy-mm-dd")</f>
        <v/>
      </c>
      <c r="C76782" t="inlineStr">
        <is>
          <t>2110-02-02</t>
        </is>
      </c>
    </row>
    <row r="76783">
      <c r="A76783" s="1" t="n">
        <v>76782</v>
      </c>
      <c r="B76783">
        <f>TEXT(76782, "[$-0E0000]yyyy-mm-dd")</f>
        <v/>
      </c>
      <c r="C76783" t="inlineStr">
        <is>
          <t>2110-02-03</t>
        </is>
      </c>
    </row>
    <row r="76784">
      <c r="A76784" s="1" t="n">
        <v>76783</v>
      </c>
      <c r="B76784">
        <f>TEXT(76783, "[$-0E0000]yyyy-mm-dd")</f>
        <v/>
      </c>
      <c r="C76784" t="inlineStr">
        <is>
          <t>2110-02-04</t>
        </is>
      </c>
    </row>
    <row r="76785">
      <c r="A76785" s="1" t="n">
        <v>76784</v>
      </c>
      <c r="B76785">
        <f>TEXT(76784, "[$-0E0000]yyyy-mm-dd")</f>
        <v/>
      </c>
      <c r="C76785" t="inlineStr">
        <is>
          <t>2110-02-05</t>
        </is>
      </c>
    </row>
    <row r="76786">
      <c r="A76786" s="1" t="n">
        <v>76785</v>
      </c>
      <c r="B76786">
        <f>TEXT(76785, "[$-0E0000]yyyy-mm-dd")</f>
        <v/>
      </c>
      <c r="C76786" t="inlineStr">
        <is>
          <t>2110-02-06</t>
        </is>
      </c>
    </row>
    <row r="76787">
      <c r="A76787" s="1" t="n">
        <v>76786</v>
      </c>
      <c r="B76787">
        <f>TEXT(76786, "[$-0E0000]yyyy-mm-dd")</f>
        <v/>
      </c>
      <c r="C76787" t="inlineStr">
        <is>
          <t>2110-02-07</t>
        </is>
      </c>
    </row>
    <row r="76788">
      <c r="A76788" s="1" t="n">
        <v>76787</v>
      </c>
      <c r="B76788">
        <f>TEXT(76787, "[$-0E0000]yyyy-mm-dd")</f>
        <v/>
      </c>
      <c r="C76788" t="inlineStr">
        <is>
          <t>2110-02-08</t>
        </is>
      </c>
    </row>
    <row r="76789">
      <c r="A76789" s="1" t="n">
        <v>76788</v>
      </c>
      <c r="B76789">
        <f>TEXT(76788, "[$-0E0000]yyyy-mm-dd")</f>
        <v/>
      </c>
      <c r="C76789" t="inlineStr">
        <is>
          <t>2110-02-09</t>
        </is>
      </c>
    </row>
    <row r="76790">
      <c r="A76790" s="1" t="n">
        <v>76789</v>
      </c>
      <c r="B76790">
        <f>TEXT(76789, "[$-0E0000]yyyy-mm-dd")</f>
        <v/>
      </c>
      <c r="C76790" t="inlineStr">
        <is>
          <t>2110-02-10</t>
        </is>
      </c>
    </row>
    <row r="76791">
      <c r="A76791" s="1" t="n">
        <v>76790</v>
      </c>
      <c r="B76791">
        <f>TEXT(76790, "[$-0E0000]yyyy-mm-dd")</f>
        <v/>
      </c>
      <c r="C76791" t="inlineStr">
        <is>
          <t>2110-02-11</t>
        </is>
      </c>
    </row>
    <row r="76792">
      <c r="A76792" s="1" t="n">
        <v>76791</v>
      </c>
      <c r="B76792">
        <f>TEXT(76791, "[$-0E0000]yyyy-mm-dd")</f>
        <v/>
      </c>
      <c r="C76792" t="inlineStr">
        <is>
          <t>2110-02-12</t>
        </is>
      </c>
    </row>
    <row r="76793">
      <c r="A76793" s="1" t="n">
        <v>76792</v>
      </c>
      <c r="B76793">
        <f>TEXT(76792, "[$-0E0000]yyyy-mm-dd")</f>
        <v/>
      </c>
      <c r="C76793" t="inlineStr">
        <is>
          <t>2110-02-13</t>
        </is>
      </c>
    </row>
    <row r="76794">
      <c r="A76794" s="1" t="n">
        <v>76793</v>
      </c>
      <c r="B76794">
        <f>TEXT(76793, "[$-0E0000]yyyy-mm-dd")</f>
        <v/>
      </c>
      <c r="C76794" t="inlineStr">
        <is>
          <t>2110-02-14</t>
        </is>
      </c>
    </row>
    <row r="76795">
      <c r="A76795" s="1" t="n">
        <v>76794</v>
      </c>
      <c r="B76795">
        <f>TEXT(76794, "[$-0E0000]yyyy-mm-dd")</f>
        <v/>
      </c>
      <c r="C76795" t="inlineStr">
        <is>
          <t>2110-02-15</t>
        </is>
      </c>
    </row>
    <row r="76796">
      <c r="A76796" s="1" t="n">
        <v>76795</v>
      </c>
      <c r="B76796">
        <f>TEXT(76795, "[$-0E0000]yyyy-mm-dd")</f>
        <v/>
      </c>
      <c r="C76796" t="inlineStr">
        <is>
          <t>2110-02-16</t>
        </is>
      </c>
    </row>
    <row r="76797">
      <c r="A76797" s="1" t="n">
        <v>76796</v>
      </c>
      <c r="B76797">
        <f>TEXT(76796, "[$-0E0000]yyyy-mm-dd")</f>
        <v/>
      </c>
      <c r="C76797" t="inlineStr">
        <is>
          <t>2110-02-17</t>
        </is>
      </c>
    </row>
    <row r="76798">
      <c r="A76798" s="1" t="n">
        <v>76797</v>
      </c>
      <c r="B76798">
        <f>TEXT(76797, "[$-0E0000]yyyy-mm-dd")</f>
        <v/>
      </c>
      <c r="C76798" t="inlineStr">
        <is>
          <t>2110-02-18</t>
        </is>
      </c>
    </row>
    <row r="76799">
      <c r="A76799" s="1" t="n">
        <v>76798</v>
      </c>
      <c r="B76799">
        <f>TEXT(76798, "[$-0E0000]yyyy-mm-dd")</f>
        <v/>
      </c>
      <c r="C76799" t="inlineStr">
        <is>
          <t>2110-02-19</t>
        </is>
      </c>
    </row>
    <row r="76800">
      <c r="A76800" s="1" t="n">
        <v>76799</v>
      </c>
      <c r="B76800">
        <f>TEXT(76799, "[$-0E0000]yyyy-mm-dd")</f>
        <v/>
      </c>
      <c r="C76800" t="inlineStr">
        <is>
          <t>2110-02-20</t>
        </is>
      </c>
    </row>
    <row r="76801">
      <c r="A76801" s="1" t="n">
        <v>76800</v>
      </c>
      <c r="B76801">
        <f>TEXT(76800, "[$-0E0000]yyyy-mm-dd")</f>
        <v/>
      </c>
      <c r="C76801" t="inlineStr">
        <is>
          <t>2110-02-21</t>
        </is>
      </c>
    </row>
    <row r="76802">
      <c r="A76802" s="1" t="n">
        <v>76801</v>
      </c>
      <c r="B76802">
        <f>TEXT(76801, "[$-0E0000]yyyy-mm-dd")</f>
        <v/>
      </c>
      <c r="C76802" t="inlineStr">
        <is>
          <t>2110-02-22</t>
        </is>
      </c>
    </row>
    <row r="76803">
      <c r="A76803" s="1" t="n">
        <v>76802</v>
      </c>
      <c r="B76803">
        <f>TEXT(76802, "[$-0E0000]yyyy-mm-dd")</f>
        <v/>
      </c>
      <c r="C76803" t="inlineStr">
        <is>
          <t>2110-02-23</t>
        </is>
      </c>
    </row>
    <row r="76804">
      <c r="A76804" s="1" t="n">
        <v>76803</v>
      </c>
      <c r="B76804">
        <f>TEXT(76803, "[$-0E0000]yyyy-mm-dd")</f>
        <v/>
      </c>
      <c r="C76804" t="inlineStr">
        <is>
          <t>2110-02-24</t>
        </is>
      </c>
    </row>
    <row r="76805">
      <c r="A76805" s="1" t="n">
        <v>76804</v>
      </c>
      <c r="B76805">
        <f>TEXT(76804, "[$-0E0000]yyyy-mm-dd")</f>
        <v/>
      </c>
      <c r="C76805" t="inlineStr">
        <is>
          <t>2110-02-25</t>
        </is>
      </c>
    </row>
    <row r="76806">
      <c r="A76806" s="1" t="n">
        <v>76805</v>
      </c>
      <c r="B76806">
        <f>TEXT(76805, "[$-0E0000]yyyy-mm-dd")</f>
        <v/>
      </c>
      <c r="C76806" t="inlineStr">
        <is>
          <t>2110-02-26</t>
        </is>
      </c>
    </row>
    <row r="76807">
      <c r="A76807" s="1" t="n">
        <v>76806</v>
      </c>
      <c r="B76807">
        <f>TEXT(76806, "[$-0E0000]yyyy-mm-dd")</f>
        <v/>
      </c>
      <c r="C76807" t="inlineStr">
        <is>
          <t>2110-02-27</t>
        </is>
      </c>
    </row>
    <row r="76808">
      <c r="A76808" s="1" t="n">
        <v>76807</v>
      </c>
      <c r="B76808">
        <f>TEXT(76807, "[$-0E0000]yyyy-mm-dd")</f>
        <v/>
      </c>
      <c r="C76808" t="inlineStr">
        <is>
          <t>2110-02-28</t>
        </is>
      </c>
    </row>
    <row r="76809">
      <c r="A76809" s="1" t="n">
        <v>76808</v>
      </c>
      <c r="B76809">
        <f>TEXT(76808, "[$-0E0000]yyyy-mm-dd")</f>
        <v/>
      </c>
      <c r="C76809" t="inlineStr">
        <is>
          <t>2110-02-29</t>
        </is>
      </c>
    </row>
    <row r="76810">
      <c r="A76810" s="1" t="n">
        <v>76809</v>
      </c>
      <c r="B76810">
        <f>TEXT(76809, "[$-0E0000]yyyy-mm-dd")</f>
        <v/>
      </c>
      <c r="C76810" t="inlineStr">
        <is>
          <t>2110-02-30</t>
        </is>
      </c>
    </row>
    <row r="76811">
      <c r="A76811" s="1" t="n">
        <v>76810</v>
      </c>
      <c r="B76811">
        <f>TEXT(76810, "[$-0E0000]yyyy-mm-dd")</f>
        <v/>
      </c>
      <c r="C76811" t="inlineStr">
        <is>
          <t>2110-03-01</t>
        </is>
      </c>
    </row>
    <row r="76812">
      <c r="A76812" s="1" t="n">
        <v>76811</v>
      </c>
      <c r="B76812">
        <f>TEXT(76811, "[$-0E0000]yyyy-mm-dd")</f>
        <v/>
      </c>
      <c r="C76812" t="inlineStr">
        <is>
          <t>2110-03-02</t>
        </is>
      </c>
    </row>
    <row r="76813">
      <c r="A76813" s="1" t="n">
        <v>76812</v>
      </c>
      <c r="B76813">
        <f>TEXT(76812, "[$-0E0000]yyyy-mm-dd")</f>
        <v/>
      </c>
      <c r="C76813" t="inlineStr">
        <is>
          <t>2110-03-03</t>
        </is>
      </c>
    </row>
    <row r="76814">
      <c r="A76814" s="1" t="n">
        <v>76813</v>
      </c>
      <c r="B76814">
        <f>TEXT(76813, "[$-0E0000]yyyy-mm-dd")</f>
        <v/>
      </c>
      <c r="C76814" t="inlineStr">
        <is>
          <t>2110-03-04</t>
        </is>
      </c>
    </row>
    <row r="76815">
      <c r="A76815" s="1" t="n">
        <v>76814</v>
      </c>
      <c r="B76815">
        <f>TEXT(76814, "[$-0E0000]yyyy-mm-dd")</f>
        <v/>
      </c>
      <c r="C76815" t="inlineStr">
        <is>
          <t>2110-03-05</t>
        </is>
      </c>
    </row>
    <row r="76816">
      <c r="A76816" s="1" t="n">
        <v>76815</v>
      </c>
      <c r="B76816">
        <f>TEXT(76815, "[$-0E0000]yyyy-mm-dd")</f>
        <v/>
      </c>
      <c r="C76816" t="inlineStr">
        <is>
          <t>2110-03-06</t>
        </is>
      </c>
    </row>
    <row r="76817">
      <c r="A76817" s="1" t="n">
        <v>76816</v>
      </c>
      <c r="B76817">
        <f>TEXT(76816, "[$-0E0000]yyyy-mm-dd")</f>
        <v/>
      </c>
      <c r="C76817" t="inlineStr">
        <is>
          <t>2110-03-07</t>
        </is>
      </c>
    </row>
    <row r="76818">
      <c r="A76818" s="1" t="n">
        <v>76817</v>
      </c>
      <c r="B76818">
        <f>TEXT(76817, "[$-0E0000]yyyy-mm-dd")</f>
        <v/>
      </c>
      <c r="C76818" t="inlineStr">
        <is>
          <t>2110-03-08</t>
        </is>
      </c>
    </row>
    <row r="76819">
      <c r="A76819" s="1" t="n">
        <v>76818</v>
      </c>
      <c r="B76819">
        <f>TEXT(76818, "[$-0E0000]yyyy-mm-dd")</f>
        <v/>
      </c>
      <c r="C76819" t="inlineStr">
        <is>
          <t>2110-03-09</t>
        </is>
      </c>
    </row>
    <row r="76820">
      <c r="A76820" s="1" t="n">
        <v>76819</v>
      </c>
      <c r="B76820">
        <f>TEXT(76819, "[$-0E0000]yyyy-mm-dd")</f>
        <v/>
      </c>
      <c r="C76820" t="inlineStr">
        <is>
          <t>2110-03-10</t>
        </is>
      </c>
    </row>
    <row r="76821">
      <c r="A76821" s="1" t="n">
        <v>76820</v>
      </c>
      <c r="B76821">
        <f>TEXT(76820, "[$-0E0000]yyyy-mm-dd")</f>
        <v/>
      </c>
      <c r="C76821" t="inlineStr">
        <is>
          <t>2110-03-11</t>
        </is>
      </c>
    </row>
    <row r="76822">
      <c r="A76822" s="1" t="n">
        <v>76821</v>
      </c>
      <c r="B76822">
        <f>TEXT(76821, "[$-0E0000]yyyy-mm-dd")</f>
        <v/>
      </c>
      <c r="C76822" t="inlineStr">
        <is>
          <t>2110-03-12</t>
        </is>
      </c>
    </row>
    <row r="76823">
      <c r="A76823" s="1" t="n">
        <v>76822</v>
      </c>
      <c r="B76823">
        <f>TEXT(76822, "[$-0E0000]yyyy-mm-dd")</f>
        <v/>
      </c>
      <c r="C76823" t="inlineStr">
        <is>
          <t>2110-03-13</t>
        </is>
      </c>
    </row>
    <row r="76824">
      <c r="A76824" s="1" t="n">
        <v>76823</v>
      </c>
      <c r="B76824">
        <f>TEXT(76823, "[$-0E0000]yyyy-mm-dd")</f>
        <v/>
      </c>
      <c r="C76824" t="inlineStr">
        <is>
          <t>2110-03-14</t>
        </is>
      </c>
    </row>
    <row r="76825">
      <c r="A76825" s="1" t="n">
        <v>76824</v>
      </c>
      <c r="B76825">
        <f>TEXT(76824, "[$-0E0000]yyyy-mm-dd")</f>
        <v/>
      </c>
      <c r="C76825" t="inlineStr">
        <is>
          <t>2110-03-15</t>
        </is>
      </c>
    </row>
    <row r="76826">
      <c r="A76826" s="1" t="n">
        <v>76825</v>
      </c>
      <c r="B76826">
        <f>TEXT(76825, "[$-0E0000]yyyy-mm-dd")</f>
        <v/>
      </c>
      <c r="C76826" t="inlineStr">
        <is>
          <t>2110-03-16</t>
        </is>
      </c>
    </row>
    <row r="76827">
      <c r="A76827" s="1" t="n">
        <v>76826</v>
      </c>
      <c r="B76827">
        <f>TEXT(76826, "[$-0E0000]yyyy-mm-dd")</f>
        <v/>
      </c>
      <c r="C76827" t="inlineStr">
        <is>
          <t>2110-03-17</t>
        </is>
      </c>
    </row>
    <row r="76828">
      <c r="A76828" s="1" t="n">
        <v>76827</v>
      </c>
      <c r="B76828">
        <f>TEXT(76827, "[$-0E0000]yyyy-mm-dd")</f>
        <v/>
      </c>
      <c r="C76828" t="inlineStr">
        <is>
          <t>2110-03-18</t>
        </is>
      </c>
    </row>
    <row r="76829">
      <c r="A76829" s="1" t="n">
        <v>76828</v>
      </c>
      <c r="B76829">
        <f>TEXT(76828, "[$-0E0000]yyyy-mm-dd")</f>
        <v/>
      </c>
      <c r="C76829" t="inlineStr">
        <is>
          <t>2110-03-19</t>
        </is>
      </c>
    </row>
    <row r="76830">
      <c r="A76830" s="1" t="n">
        <v>76829</v>
      </c>
      <c r="B76830">
        <f>TEXT(76829, "[$-0E0000]yyyy-mm-dd")</f>
        <v/>
      </c>
      <c r="C76830" t="inlineStr">
        <is>
          <t>2110-03-20</t>
        </is>
      </c>
    </row>
    <row r="76831">
      <c r="A76831" s="1" t="n">
        <v>76830</v>
      </c>
      <c r="B76831">
        <f>TEXT(76830, "[$-0E0000]yyyy-mm-dd")</f>
        <v/>
      </c>
      <c r="C76831" t="inlineStr">
        <is>
          <t>2110-03-21</t>
        </is>
      </c>
    </row>
    <row r="76832">
      <c r="A76832" s="1" t="n">
        <v>76831</v>
      </c>
      <c r="B76832">
        <f>TEXT(76831, "[$-0E0000]yyyy-mm-dd")</f>
        <v/>
      </c>
      <c r="C76832" t="inlineStr">
        <is>
          <t>2110-03-22</t>
        </is>
      </c>
    </row>
    <row r="76833">
      <c r="A76833" s="1" t="n">
        <v>76832</v>
      </c>
      <c r="B76833">
        <f>TEXT(76832, "[$-0E0000]yyyy-mm-dd")</f>
        <v/>
      </c>
      <c r="C76833" t="inlineStr">
        <is>
          <t>2110-03-23</t>
        </is>
      </c>
    </row>
    <row r="76834">
      <c r="A76834" s="1" t="n">
        <v>76833</v>
      </c>
      <c r="B76834">
        <f>TEXT(76833, "[$-0E0000]yyyy-mm-dd")</f>
        <v/>
      </c>
      <c r="C76834" t="inlineStr">
        <is>
          <t>2110-03-24</t>
        </is>
      </c>
    </row>
    <row r="76835">
      <c r="A76835" s="1" t="n">
        <v>76834</v>
      </c>
      <c r="B76835">
        <f>TEXT(76834, "[$-0E0000]yyyy-mm-dd")</f>
        <v/>
      </c>
      <c r="C76835" t="inlineStr">
        <is>
          <t>2110-03-25</t>
        </is>
      </c>
    </row>
    <row r="76836">
      <c r="A76836" s="1" t="n">
        <v>76835</v>
      </c>
      <c r="B76836">
        <f>TEXT(76835, "[$-0E0000]yyyy-mm-dd")</f>
        <v/>
      </c>
      <c r="C76836" t="inlineStr">
        <is>
          <t>2110-03-26</t>
        </is>
      </c>
    </row>
    <row r="76837">
      <c r="A76837" s="1" t="n">
        <v>76836</v>
      </c>
      <c r="B76837">
        <f>TEXT(76836, "[$-0E0000]yyyy-mm-dd")</f>
        <v/>
      </c>
      <c r="C76837" t="inlineStr">
        <is>
          <t>2110-03-27</t>
        </is>
      </c>
    </row>
    <row r="76838">
      <c r="A76838" s="1" t="n">
        <v>76837</v>
      </c>
      <c r="B76838">
        <f>TEXT(76837, "[$-0E0000]yyyy-mm-dd")</f>
        <v/>
      </c>
      <c r="C76838" t="inlineStr">
        <is>
          <t>2110-03-28</t>
        </is>
      </c>
    </row>
    <row r="76839">
      <c r="A76839" s="1" t="n">
        <v>76838</v>
      </c>
      <c r="B76839">
        <f>TEXT(76838, "[$-0E0000]yyyy-mm-dd")</f>
        <v/>
      </c>
      <c r="C76839" t="inlineStr">
        <is>
          <t>2110-03-29</t>
        </is>
      </c>
    </row>
    <row r="76840">
      <c r="A76840" s="1" t="n">
        <v>76839</v>
      </c>
      <c r="B76840">
        <f>TEXT(76839, "[$-0E0000]yyyy-mm-dd")</f>
        <v/>
      </c>
      <c r="C76840" t="inlineStr">
        <is>
          <t>2110-03-30</t>
        </is>
      </c>
    </row>
    <row r="76841">
      <c r="A76841" s="1" t="n">
        <v>76840</v>
      </c>
      <c r="B76841">
        <f>TEXT(76840, "[$-0E0000]yyyy-mm-dd")</f>
        <v/>
      </c>
      <c r="C76841" t="inlineStr">
        <is>
          <t>2110-04-01</t>
        </is>
      </c>
    </row>
    <row r="76842">
      <c r="A76842" s="1" t="n">
        <v>76841</v>
      </c>
      <c r="B76842">
        <f>TEXT(76841, "[$-0E0000]yyyy-mm-dd")</f>
        <v/>
      </c>
      <c r="C76842" t="inlineStr">
        <is>
          <t>2110-04-02</t>
        </is>
      </c>
    </row>
    <row r="76843">
      <c r="A76843" s="1" t="n">
        <v>76842</v>
      </c>
      <c r="B76843">
        <f>TEXT(76842, "[$-0E0000]yyyy-mm-dd")</f>
        <v/>
      </c>
      <c r="C76843" t="inlineStr">
        <is>
          <t>2110-04-03</t>
        </is>
      </c>
    </row>
    <row r="76844">
      <c r="A76844" s="1" t="n">
        <v>76843</v>
      </c>
      <c r="B76844">
        <f>TEXT(76843, "[$-0E0000]yyyy-mm-dd")</f>
        <v/>
      </c>
      <c r="C76844" t="inlineStr">
        <is>
          <t>2110-04-04</t>
        </is>
      </c>
    </row>
    <row r="76845">
      <c r="A76845" s="1" t="n">
        <v>76844</v>
      </c>
      <c r="B76845">
        <f>TEXT(76844, "[$-0E0000]yyyy-mm-dd")</f>
        <v/>
      </c>
      <c r="C76845" t="inlineStr">
        <is>
          <t>2110-04-05</t>
        </is>
      </c>
    </row>
    <row r="76846">
      <c r="A76846" s="1" t="n">
        <v>76845</v>
      </c>
      <c r="B76846">
        <f>TEXT(76845, "[$-0E0000]yyyy-mm-dd")</f>
        <v/>
      </c>
      <c r="C76846" t="inlineStr">
        <is>
          <t>2110-04-06</t>
        </is>
      </c>
    </row>
    <row r="76847">
      <c r="A76847" s="1" t="n">
        <v>76846</v>
      </c>
      <c r="B76847">
        <f>TEXT(76846, "[$-0E0000]yyyy-mm-dd")</f>
        <v/>
      </c>
      <c r="C76847" t="inlineStr">
        <is>
          <t>2110-04-07</t>
        </is>
      </c>
    </row>
    <row r="76848">
      <c r="A76848" s="1" t="n">
        <v>76847</v>
      </c>
      <c r="B76848">
        <f>TEXT(76847, "[$-0E0000]yyyy-mm-dd")</f>
        <v/>
      </c>
      <c r="C76848" t="inlineStr">
        <is>
          <t>2110-04-08</t>
        </is>
      </c>
    </row>
    <row r="76849">
      <c r="A76849" s="1" t="n">
        <v>76848</v>
      </c>
      <c r="B76849">
        <f>TEXT(76848, "[$-0E0000]yyyy-mm-dd")</f>
        <v/>
      </c>
      <c r="C76849" t="inlineStr">
        <is>
          <t>2110-04-09</t>
        </is>
      </c>
    </row>
    <row r="76850">
      <c r="A76850" s="1" t="n">
        <v>76849</v>
      </c>
      <c r="B76850">
        <f>TEXT(76849, "[$-0E0000]yyyy-mm-dd")</f>
        <v/>
      </c>
      <c r="C76850" t="inlineStr">
        <is>
          <t>2110-04-10</t>
        </is>
      </c>
    </row>
    <row r="76851">
      <c r="A76851" s="1" t="n">
        <v>76850</v>
      </c>
      <c r="B76851">
        <f>TEXT(76850, "[$-0E0000]yyyy-mm-dd")</f>
        <v/>
      </c>
      <c r="C76851" t="inlineStr">
        <is>
          <t>2110-04-11</t>
        </is>
      </c>
    </row>
    <row r="76852">
      <c r="A76852" s="1" t="n">
        <v>76851</v>
      </c>
      <c r="B76852">
        <f>TEXT(76851, "[$-0E0000]yyyy-mm-dd")</f>
        <v/>
      </c>
      <c r="C76852" t="inlineStr">
        <is>
          <t>2110-04-12</t>
        </is>
      </c>
    </row>
    <row r="76853">
      <c r="A76853" s="1" t="n">
        <v>76852</v>
      </c>
      <c r="B76853">
        <f>TEXT(76852, "[$-0E0000]yyyy-mm-dd")</f>
        <v/>
      </c>
      <c r="C76853" t="inlineStr">
        <is>
          <t>2110-04-13</t>
        </is>
      </c>
    </row>
    <row r="76854">
      <c r="A76854" s="1" t="n">
        <v>76853</v>
      </c>
      <c r="B76854">
        <f>TEXT(76853, "[$-0E0000]yyyy-mm-dd")</f>
        <v/>
      </c>
      <c r="C76854" t="inlineStr">
        <is>
          <t>2110-04-14</t>
        </is>
      </c>
    </row>
    <row r="76855">
      <c r="A76855" s="1" t="n">
        <v>76854</v>
      </c>
      <c r="B76855">
        <f>TEXT(76854, "[$-0E0000]yyyy-mm-dd")</f>
        <v/>
      </c>
      <c r="C76855" t="inlineStr">
        <is>
          <t>2110-04-15</t>
        </is>
      </c>
    </row>
    <row r="76856">
      <c r="A76856" s="1" t="n">
        <v>76855</v>
      </c>
      <c r="B76856">
        <f>TEXT(76855, "[$-0E0000]yyyy-mm-dd")</f>
        <v/>
      </c>
      <c r="C76856" t="inlineStr">
        <is>
          <t>2110-04-16</t>
        </is>
      </c>
    </row>
    <row r="76857">
      <c r="A76857" s="1" t="n">
        <v>76856</v>
      </c>
      <c r="B76857">
        <f>TEXT(76856, "[$-0E0000]yyyy-mm-dd")</f>
        <v/>
      </c>
      <c r="C76857" t="inlineStr">
        <is>
          <t>2110-04-17</t>
        </is>
      </c>
    </row>
    <row r="76858">
      <c r="A76858" s="1" t="n">
        <v>76857</v>
      </c>
      <c r="B76858">
        <f>TEXT(76857, "[$-0E0000]yyyy-mm-dd")</f>
        <v/>
      </c>
      <c r="C76858" t="inlineStr">
        <is>
          <t>2110-04-18</t>
        </is>
      </c>
    </row>
    <row r="76859">
      <c r="A76859" s="1" t="n">
        <v>76858</v>
      </c>
      <c r="B76859">
        <f>TEXT(76858, "[$-0E0000]yyyy-mm-dd")</f>
        <v/>
      </c>
      <c r="C76859" t="inlineStr">
        <is>
          <t>2110-04-19</t>
        </is>
      </c>
    </row>
    <row r="76860">
      <c r="A76860" s="1" t="n">
        <v>76859</v>
      </c>
      <c r="B76860">
        <f>TEXT(76859, "[$-0E0000]yyyy-mm-dd")</f>
        <v/>
      </c>
      <c r="C76860" t="inlineStr">
        <is>
          <t>2110-04-20</t>
        </is>
      </c>
    </row>
    <row r="76861">
      <c r="A76861" s="1" t="n">
        <v>76860</v>
      </c>
      <c r="B76861">
        <f>TEXT(76860, "[$-0E0000]yyyy-mm-dd")</f>
        <v/>
      </c>
      <c r="C76861" t="inlineStr">
        <is>
          <t>2110-04-21</t>
        </is>
      </c>
    </row>
    <row r="76862">
      <c r="A76862" s="1" t="n">
        <v>76861</v>
      </c>
      <c r="B76862">
        <f>TEXT(76861, "[$-0E0000]yyyy-mm-dd")</f>
        <v/>
      </c>
      <c r="C76862" t="inlineStr">
        <is>
          <t>2110-04-22</t>
        </is>
      </c>
    </row>
    <row r="76863">
      <c r="A76863" s="1" t="n">
        <v>76862</v>
      </c>
      <c r="B76863">
        <f>TEXT(76862, "[$-0E0000]yyyy-mm-dd")</f>
        <v/>
      </c>
      <c r="C76863" t="inlineStr">
        <is>
          <t>2110-04-23</t>
        </is>
      </c>
    </row>
    <row r="76864">
      <c r="A76864" s="1" t="n">
        <v>76863</v>
      </c>
      <c r="B76864">
        <f>TEXT(76863, "[$-0E0000]yyyy-mm-dd")</f>
        <v/>
      </c>
      <c r="C76864" t="inlineStr">
        <is>
          <t>2110-04-24</t>
        </is>
      </c>
    </row>
    <row r="76865">
      <c r="A76865" s="1" t="n">
        <v>76864</v>
      </c>
      <c r="B76865">
        <f>TEXT(76864, "[$-0E0000]yyyy-mm-dd")</f>
        <v/>
      </c>
      <c r="C76865" t="inlineStr">
        <is>
          <t>2110-04-25</t>
        </is>
      </c>
    </row>
    <row r="76866">
      <c r="A76866" s="1" t="n">
        <v>76865</v>
      </c>
      <c r="B76866">
        <f>TEXT(76865, "[$-0E0000]yyyy-mm-dd")</f>
        <v/>
      </c>
      <c r="C76866" t="inlineStr">
        <is>
          <t>2110-04-26</t>
        </is>
      </c>
    </row>
    <row r="76867">
      <c r="A76867" s="1" t="n">
        <v>76866</v>
      </c>
      <c r="B76867">
        <f>TEXT(76866, "[$-0E0000]yyyy-mm-dd")</f>
        <v/>
      </c>
      <c r="C76867" t="inlineStr">
        <is>
          <t>2110-04-27</t>
        </is>
      </c>
    </row>
    <row r="76868">
      <c r="A76868" s="1" t="n">
        <v>76867</v>
      </c>
      <c r="B76868">
        <f>TEXT(76867, "[$-0E0000]yyyy-mm-dd")</f>
        <v/>
      </c>
      <c r="C76868" t="inlineStr">
        <is>
          <t>2110-04-28</t>
        </is>
      </c>
    </row>
    <row r="76869">
      <c r="A76869" s="1" t="n">
        <v>76868</v>
      </c>
      <c r="B76869">
        <f>TEXT(76868, "[$-0E0000]yyyy-mm-dd")</f>
        <v/>
      </c>
      <c r="C76869" t="inlineStr">
        <is>
          <t>2110-04-29</t>
        </is>
      </c>
    </row>
    <row r="76870">
      <c r="A76870" s="1" t="n">
        <v>76869</v>
      </c>
      <c r="B76870">
        <f>TEXT(76869, "[$-0E0000]yyyy-mm-dd")</f>
        <v/>
      </c>
      <c r="C76870" t="inlineStr">
        <is>
          <t>2110-05-01</t>
        </is>
      </c>
    </row>
    <row r="76871">
      <c r="A76871" s="1" t="n">
        <v>76870</v>
      </c>
      <c r="B76871">
        <f>TEXT(76870, "[$-0E0000]yyyy-mm-dd")</f>
        <v/>
      </c>
      <c r="C76871" t="inlineStr">
        <is>
          <t>2110-05-02</t>
        </is>
      </c>
    </row>
    <row r="76872">
      <c r="A76872" s="1" t="n">
        <v>76871</v>
      </c>
      <c r="B76872">
        <f>TEXT(76871, "[$-0E0000]yyyy-mm-dd")</f>
        <v/>
      </c>
      <c r="C76872" t="inlineStr">
        <is>
          <t>2110-05-03</t>
        </is>
      </c>
    </row>
    <row r="76873">
      <c r="A76873" s="1" t="n">
        <v>76872</v>
      </c>
      <c r="B76873">
        <f>TEXT(76872, "[$-0E0000]yyyy-mm-dd")</f>
        <v/>
      </c>
      <c r="C76873" t="inlineStr">
        <is>
          <t>2110-05-04</t>
        </is>
      </c>
    </row>
    <row r="76874">
      <c r="A76874" s="1" t="n">
        <v>76873</v>
      </c>
      <c r="B76874">
        <f>TEXT(76873, "[$-0E0000]yyyy-mm-dd")</f>
        <v/>
      </c>
      <c r="C76874" t="inlineStr">
        <is>
          <t>2110-05-05</t>
        </is>
      </c>
    </row>
    <row r="76875">
      <c r="A76875" s="1" t="n">
        <v>76874</v>
      </c>
      <c r="B76875">
        <f>TEXT(76874, "[$-0E0000]yyyy-mm-dd")</f>
        <v/>
      </c>
      <c r="C76875" t="inlineStr">
        <is>
          <t>2110-05-06</t>
        </is>
      </c>
    </row>
    <row r="76876">
      <c r="A76876" s="1" t="n">
        <v>76875</v>
      </c>
      <c r="B76876">
        <f>TEXT(76875, "[$-0E0000]yyyy-mm-dd")</f>
        <v/>
      </c>
      <c r="C76876" t="inlineStr">
        <is>
          <t>2110-05-07</t>
        </is>
      </c>
    </row>
    <row r="76877">
      <c r="A76877" s="1" t="n">
        <v>76876</v>
      </c>
      <c r="B76877">
        <f>TEXT(76876, "[$-0E0000]yyyy-mm-dd")</f>
        <v/>
      </c>
      <c r="C76877" t="inlineStr">
        <is>
          <t>2110-05-08</t>
        </is>
      </c>
    </row>
    <row r="76878">
      <c r="A76878" s="1" t="n">
        <v>76877</v>
      </c>
      <c r="B76878">
        <f>TEXT(76877, "[$-0E0000]yyyy-mm-dd")</f>
        <v/>
      </c>
      <c r="C76878" t="inlineStr">
        <is>
          <t>2110-05-09</t>
        </is>
      </c>
    </row>
    <row r="76879">
      <c r="A76879" s="1" t="n">
        <v>76878</v>
      </c>
      <c r="B76879">
        <f>TEXT(76878, "[$-0E0000]yyyy-mm-dd")</f>
        <v/>
      </c>
      <c r="C76879" t="inlineStr">
        <is>
          <t>2110-05-10</t>
        </is>
      </c>
    </row>
    <row r="76880">
      <c r="A76880" s="1" t="n">
        <v>76879</v>
      </c>
      <c r="B76880">
        <f>TEXT(76879, "[$-0E0000]yyyy-mm-dd")</f>
        <v/>
      </c>
      <c r="C76880" t="inlineStr">
        <is>
          <t>2110-05-11</t>
        </is>
      </c>
    </row>
    <row r="76881">
      <c r="A76881" s="1" t="n">
        <v>76880</v>
      </c>
      <c r="B76881">
        <f>TEXT(76880, "[$-0E0000]yyyy-mm-dd")</f>
        <v/>
      </c>
      <c r="C76881" t="inlineStr">
        <is>
          <t>2110-05-12</t>
        </is>
      </c>
    </row>
    <row r="76882">
      <c r="A76882" s="1" t="n">
        <v>76881</v>
      </c>
      <c r="B76882">
        <f>TEXT(76881, "[$-0E0000]yyyy-mm-dd")</f>
        <v/>
      </c>
      <c r="C76882" t="inlineStr">
        <is>
          <t>2110-05-13</t>
        </is>
      </c>
    </row>
    <row r="76883">
      <c r="A76883" s="1" t="n">
        <v>76882</v>
      </c>
      <c r="B76883">
        <f>TEXT(76882, "[$-0E0000]yyyy-mm-dd")</f>
        <v/>
      </c>
      <c r="C76883" t="inlineStr">
        <is>
          <t>2110-05-14</t>
        </is>
      </c>
    </row>
    <row r="76884">
      <c r="A76884" s="1" t="n">
        <v>76883</v>
      </c>
      <c r="B76884">
        <f>TEXT(76883, "[$-0E0000]yyyy-mm-dd")</f>
        <v/>
      </c>
      <c r="C76884" t="inlineStr">
        <is>
          <t>2110-05-15</t>
        </is>
      </c>
    </row>
    <row r="76885">
      <c r="A76885" s="1" t="n">
        <v>76884</v>
      </c>
      <c r="B76885">
        <f>TEXT(76884, "[$-0E0000]yyyy-mm-dd")</f>
        <v/>
      </c>
      <c r="C76885" t="inlineStr">
        <is>
          <t>2110-05-16</t>
        </is>
      </c>
    </row>
    <row r="76886">
      <c r="A76886" s="1" t="n">
        <v>76885</v>
      </c>
      <c r="B76886">
        <f>TEXT(76885, "[$-0E0000]yyyy-mm-dd")</f>
        <v/>
      </c>
      <c r="C76886" t="inlineStr">
        <is>
          <t>2110-05-17</t>
        </is>
      </c>
    </row>
    <row r="76887">
      <c r="A76887" s="1" t="n">
        <v>76886</v>
      </c>
      <c r="B76887">
        <f>TEXT(76886, "[$-0E0000]yyyy-mm-dd")</f>
        <v/>
      </c>
      <c r="C76887" t="inlineStr">
        <is>
          <t>2110-05-18</t>
        </is>
      </c>
    </row>
    <row r="76888">
      <c r="A76888" s="1" t="n">
        <v>76887</v>
      </c>
      <c r="B76888">
        <f>TEXT(76887, "[$-0E0000]yyyy-mm-dd")</f>
        <v/>
      </c>
      <c r="C76888" t="inlineStr">
        <is>
          <t>2110-05-19</t>
        </is>
      </c>
    </row>
    <row r="76889">
      <c r="A76889" s="1" t="n">
        <v>76888</v>
      </c>
      <c r="B76889">
        <f>TEXT(76888, "[$-0E0000]yyyy-mm-dd")</f>
        <v/>
      </c>
      <c r="C76889" t="inlineStr">
        <is>
          <t>2110-05-20</t>
        </is>
      </c>
    </row>
    <row r="76890">
      <c r="A76890" s="1" t="n">
        <v>76889</v>
      </c>
      <c r="B76890">
        <f>TEXT(76889, "[$-0E0000]yyyy-mm-dd")</f>
        <v/>
      </c>
      <c r="C76890" t="inlineStr">
        <is>
          <t>2110-05-21</t>
        </is>
      </c>
    </row>
    <row r="76891">
      <c r="A76891" s="1" t="n">
        <v>76890</v>
      </c>
      <c r="B76891">
        <f>TEXT(76890, "[$-0E0000]yyyy-mm-dd")</f>
        <v/>
      </c>
      <c r="C76891" t="inlineStr">
        <is>
          <t>2110-05-22</t>
        </is>
      </c>
    </row>
    <row r="76892">
      <c r="A76892" s="1" t="n">
        <v>76891</v>
      </c>
      <c r="B76892">
        <f>TEXT(76891, "[$-0E0000]yyyy-mm-dd")</f>
        <v/>
      </c>
      <c r="C76892" t="inlineStr">
        <is>
          <t>2110-05-23</t>
        </is>
      </c>
    </row>
    <row r="76893">
      <c r="A76893" s="1" t="n">
        <v>76892</v>
      </c>
      <c r="B76893">
        <f>TEXT(76892, "[$-0E0000]yyyy-mm-dd")</f>
        <v/>
      </c>
      <c r="C76893" t="inlineStr">
        <is>
          <t>2110-05-24</t>
        </is>
      </c>
    </row>
    <row r="76894">
      <c r="A76894" s="1" t="n">
        <v>76893</v>
      </c>
      <c r="B76894">
        <f>TEXT(76893, "[$-0E0000]yyyy-mm-dd")</f>
        <v/>
      </c>
      <c r="C76894" t="inlineStr">
        <is>
          <t>2110-05-25</t>
        </is>
      </c>
    </row>
    <row r="76895">
      <c r="A76895" s="1" t="n">
        <v>76894</v>
      </c>
      <c r="B76895">
        <f>TEXT(76894, "[$-0E0000]yyyy-mm-dd")</f>
        <v/>
      </c>
      <c r="C76895" t="inlineStr">
        <is>
          <t>2110-05-26</t>
        </is>
      </c>
    </row>
    <row r="76896">
      <c r="A76896" s="1" t="n">
        <v>76895</v>
      </c>
      <c r="B76896">
        <f>TEXT(76895, "[$-0E0000]yyyy-mm-dd")</f>
        <v/>
      </c>
      <c r="C76896" t="inlineStr">
        <is>
          <t>2110-05-27</t>
        </is>
      </c>
    </row>
    <row r="76897">
      <c r="A76897" s="1" t="n">
        <v>76896</v>
      </c>
      <c r="B76897">
        <f>TEXT(76896, "[$-0E0000]yyyy-mm-dd")</f>
        <v/>
      </c>
      <c r="C76897" t="inlineStr">
        <is>
          <t>2110-05-28</t>
        </is>
      </c>
    </row>
    <row r="76898">
      <c r="A76898" s="1" t="n">
        <v>76897</v>
      </c>
      <c r="B76898">
        <f>TEXT(76897, "[$-0E0000]yyyy-mm-dd")</f>
        <v/>
      </c>
      <c r="C76898" t="inlineStr">
        <is>
          <t>2110-05-29</t>
        </is>
      </c>
    </row>
    <row r="76899">
      <c r="A76899" s="1" t="n">
        <v>76898</v>
      </c>
      <c r="B76899">
        <f>TEXT(76898, "[$-0E0000]yyyy-mm-dd")</f>
        <v/>
      </c>
      <c r="C76899" t="inlineStr">
        <is>
          <t>2110-05-30</t>
        </is>
      </c>
    </row>
    <row r="76900">
      <c r="A76900" s="1" t="n">
        <v>76899</v>
      </c>
      <c r="B76900">
        <f>TEXT(76899, "[$-0E0000]yyyy-mm-dd")</f>
        <v/>
      </c>
      <c r="C76900" t="inlineStr">
        <is>
          <t>2110-06-01</t>
        </is>
      </c>
    </row>
    <row r="76901">
      <c r="A76901" s="1" t="n">
        <v>76900</v>
      </c>
      <c r="B76901">
        <f>TEXT(76900, "[$-0E0000]yyyy-mm-dd")</f>
        <v/>
      </c>
      <c r="C76901" t="inlineStr">
        <is>
          <t>2110-06-02</t>
        </is>
      </c>
    </row>
    <row r="76902">
      <c r="A76902" s="1" t="n">
        <v>76901</v>
      </c>
      <c r="B76902">
        <f>TEXT(76901, "[$-0E0000]yyyy-mm-dd")</f>
        <v/>
      </c>
      <c r="C76902" t="inlineStr">
        <is>
          <t>2110-06-03</t>
        </is>
      </c>
    </row>
    <row r="76903">
      <c r="A76903" s="1" t="n">
        <v>76902</v>
      </c>
      <c r="B76903">
        <f>TEXT(76902, "[$-0E0000]yyyy-mm-dd")</f>
        <v/>
      </c>
      <c r="C76903" t="inlineStr">
        <is>
          <t>2110-06-04</t>
        </is>
      </c>
    </row>
    <row r="76904">
      <c r="A76904" s="1" t="n">
        <v>76903</v>
      </c>
      <c r="B76904">
        <f>TEXT(76903, "[$-0E0000]yyyy-mm-dd")</f>
        <v/>
      </c>
      <c r="C76904" t="inlineStr">
        <is>
          <t>2110-06-05</t>
        </is>
      </c>
    </row>
    <row r="76905">
      <c r="A76905" s="1" t="n">
        <v>76904</v>
      </c>
      <c r="B76905">
        <f>TEXT(76904, "[$-0E0000]yyyy-mm-dd")</f>
        <v/>
      </c>
      <c r="C76905" t="inlineStr">
        <is>
          <t>2110-06-06</t>
        </is>
      </c>
    </row>
    <row r="76906">
      <c r="A76906" s="1" t="n">
        <v>76905</v>
      </c>
      <c r="B76906">
        <f>TEXT(76905, "[$-0E0000]yyyy-mm-dd")</f>
        <v/>
      </c>
      <c r="C76906" t="inlineStr">
        <is>
          <t>2110-06-07</t>
        </is>
      </c>
    </row>
    <row r="76907">
      <c r="A76907" s="1" t="n">
        <v>76906</v>
      </c>
      <c r="B76907">
        <f>TEXT(76906, "[$-0E0000]yyyy-mm-dd")</f>
        <v/>
      </c>
      <c r="C76907" t="inlineStr">
        <is>
          <t>2110-06-08</t>
        </is>
      </c>
    </row>
    <row r="76908">
      <c r="A76908" s="1" t="n">
        <v>76907</v>
      </c>
      <c r="B76908">
        <f>TEXT(76907, "[$-0E0000]yyyy-mm-dd")</f>
        <v/>
      </c>
      <c r="C76908" t="inlineStr">
        <is>
          <t>2110-06-09</t>
        </is>
      </c>
    </row>
    <row r="76909">
      <c r="A76909" s="1" t="n">
        <v>76908</v>
      </c>
      <c r="B76909">
        <f>TEXT(76908, "[$-0E0000]yyyy-mm-dd")</f>
        <v/>
      </c>
      <c r="C76909" t="inlineStr">
        <is>
          <t>2110-06-10</t>
        </is>
      </c>
    </row>
    <row r="76910">
      <c r="A76910" s="1" t="n">
        <v>76909</v>
      </c>
      <c r="B76910">
        <f>TEXT(76909, "[$-0E0000]yyyy-mm-dd")</f>
        <v/>
      </c>
      <c r="C76910" t="inlineStr">
        <is>
          <t>2110-06-11</t>
        </is>
      </c>
    </row>
    <row r="76911">
      <c r="A76911" s="1" t="n">
        <v>76910</v>
      </c>
      <c r="B76911">
        <f>TEXT(76910, "[$-0E0000]yyyy-mm-dd")</f>
        <v/>
      </c>
      <c r="C76911" t="inlineStr">
        <is>
          <t>2110-06-12</t>
        </is>
      </c>
    </row>
    <row r="76912">
      <c r="A76912" s="1" t="n">
        <v>76911</v>
      </c>
      <c r="B76912">
        <f>TEXT(76911, "[$-0E0000]yyyy-mm-dd")</f>
        <v/>
      </c>
      <c r="C76912" t="inlineStr">
        <is>
          <t>2110-06-13</t>
        </is>
      </c>
    </row>
    <row r="76913">
      <c r="A76913" s="1" t="n">
        <v>76912</v>
      </c>
      <c r="B76913">
        <f>TEXT(76912, "[$-0E0000]yyyy-mm-dd")</f>
        <v/>
      </c>
      <c r="C76913" t="inlineStr">
        <is>
          <t>2110-06-14</t>
        </is>
      </c>
    </row>
    <row r="76914">
      <c r="A76914" s="1" t="n">
        <v>76913</v>
      </c>
      <c r="B76914">
        <f>TEXT(76913, "[$-0E0000]yyyy-mm-dd")</f>
        <v/>
      </c>
      <c r="C76914" t="inlineStr">
        <is>
          <t>2110-06-15</t>
        </is>
      </c>
    </row>
    <row r="76915">
      <c r="A76915" s="1" t="n">
        <v>76914</v>
      </c>
      <c r="B76915">
        <f>TEXT(76914, "[$-0E0000]yyyy-mm-dd")</f>
        <v/>
      </c>
      <c r="C76915" t="inlineStr">
        <is>
          <t>2110-06-16</t>
        </is>
      </c>
    </row>
    <row r="76916">
      <c r="A76916" s="1" t="n">
        <v>76915</v>
      </c>
      <c r="B76916">
        <f>TEXT(76915, "[$-0E0000]yyyy-mm-dd")</f>
        <v/>
      </c>
      <c r="C76916" t="inlineStr">
        <is>
          <t>2110-06-17</t>
        </is>
      </c>
    </row>
    <row r="76917">
      <c r="A76917" s="1" t="n">
        <v>76916</v>
      </c>
      <c r="B76917">
        <f>TEXT(76916, "[$-0E0000]yyyy-mm-dd")</f>
        <v/>
      </c>
      <c r="C76917" t="inlineStr">
        <is>
          <t>2110-06-18</t>
        </is>
      </c>
    </row>
    <row r="76918">
      <c r="A76918" s="1" t="n">
        <v>76917</v>
      </c>
      <c r="B76918">
        <f>TEXT(76917, "[$-0E0000]yyyy-mm-dd")</f>
        <v/>
      </c>
      <c r="C76918" t="inlineStr">
        <is>
          <t>2110-06-19</t>
        </is>
      </c>
    </row>
    <row r="76919">
      <c r="A76919" s="1" t="n">
        <v>76918</v>
      </c>
      <c r="B76919">
        <f>TEXT(76918, "[$-0E0000]yyyy-mm-dd")</f>
        <v/>
      </c>
      <c r="C76919" t="inlineStr">
        <is>
          <t>2110-06-20</t>
        </is>
      </c>
    </row>
    <row r="76920">
      <c r="A76920" s="1" t="n">
        <v>76919</v>
      </c>
      <c r="B76920">
        <f>TEXT(76919, "[$-0E0000]yyyy-mm-dd")</f>
        <v/>
      </c>
      <c r="C76920" t="inlineStr">
        <is>
          <t>2110-06-21</t>
        </is>
      </c>
    </row>
    <row r="76921">
      <c r="A76921" s="1" t="n">
        <v>76920</v>
      </c>
      <c r="B76921">
        <f>TEXT(76920, "[$-0E0000]yyyy-mm-dd")</f>
        <v/>
      </c>
      <c r="C76921" t="inlineStr">
        <is>
          <t>2110-06-22</t>
        </is>
      </c>
    </row>
    <row r="76922">
      <c r="A76922" s="1" t="n">
        <v>76921</v>
      </c>
      <c r="B76922">
        <f>TEXT(76921, "[$-0E0000]yyyy-mm-dd")</f>
        <v/>
      </c>
      <c r="C76922" t="inlineStr">
        <is>
          <t>2110-06-23</t>
        </is>
      </c>
    </row>
    <row r="76923">
      <c r="A76923" s="1" t="n">
        <v>76922</v>
      </c>
      <c r="B76923">
        <f>TEXT(76922, "[$-0E0000]yyyy-mm-dd")</f>
        <v/>
      </c>
      <c r="C76923" t="inlineStr">
        <is>
          <t>2110-06-24</t>
        </is>
      </c>
    </row>
    <row r="76924">
      <c r="A76924" s="1" t="n">
        <v>76923</v>
      </c>
      <c r="B76924">
        <f>TEXT(76923, "[$-0E0000]yyyy-mm-dd")</f>
        <v/>
      </c>
      <c r="C76924" t="inlineStr">
        <is>
          <t>2110-06-25</t>
        </is>
      </c>
    </row>
    <row r="76925">
      <c r="A76925" s="1" t="n">
        <v>76924</v>
      </c>
      <c r="B76925">
        <f>TEXT(76924, "[$-0E0000]yyyy-mm-dd")</f>
        <v/>
      </c>
      <c r="C76925" t="inlineStr">
        <is>
          <t>2110-06-26</t>
        </is>
      </c>
    </row>
    <row r="76926">
      <c r="A76926" s="1" t="n">
        <v>76925</v>
      </c>
      <c r="B76926">
        <f>TEXT(76925, "[$-0E0000]yyyy-mm-dd")</f>
        <v/>
      </c>
      <c r="C76926" t="inlineStr">
        <is>
          <t>2110-06-27</t>
        </is>
      </c>
    </row>
    <row r="76927">
      <c r="A76927" s="1" t="n">
        <v>76926</v>
      </c>
      <c r="B76927">
        <f>TEXT(76926, "[$-0E0000]yyyy-mm-dd")</f>
        <v/>
      </c>
      <c r="C76927" t="inlineStr">
        <is>
          <t>2110-06-28</t>
        </is>
      </c>
    </row>
    <row r="76928">
      <c r="A76928" s="1" t="n">
        <v>76927</v>
      </c>
      <c r="B76928">
        <f>TEXT(76927, "[$-0E0000]yyyy-mm-dd")</f>
        <v/>
      </c>
      <c r="C76928" t="inlineStr">
        <is>
          <t>2110-06-29</t>
        </is>
      </c>
    </row>
    <row r="76929">
      <c r="A76929" s="1" t="n">
        <v>76928</v>
      </c>
      <c r="B76929">
        <f>TEXT(76928, "[$-0E0000]yyyy-mm-dd")</f>
        <v/>
      </c>
      <c r="C76929" t="inlineStr">
        <is>
          <t>2110-06-30</t>
        </is>
      </c>
    </row>
    <row r="76930">
      <c r="A76930" s="1" t="n">
        <v>76929</v>
      </c>
      <c r="B76930">
        <f>TEXT(76929, "[$-0E0000]yyyy-mm-dd")</f>
        <v/>
      </c>
      <c r="C76930" t="inlineStr">
        <is>
          <t>2110-07-01</t>
        </is>
      </c>
    </row>
    <row r="76931">
      <c r="A76931" s="1" t="n">
        <v>76930</v>
      </c>
      <c r="B76931">
        <f>TEXT(76930, "[$-0E0000]yyyy-mm-dd")</f>
        <v/>
      </c>
      <c r="C76931" t="inlineStr">
        <is>
          <t>2110-07-02</t>
        </is>
      </c>
    </row>
    <row r="76932">
      <c r="A76932" s="1" t="n">
        <v>76931</v>
      </c>
      <c r="B76932">
        <f>TEXT(76931, "[$-0E0000]yyyy-mm-dd")</f>
        <v/>
      </c>
      <c r="C76932" t="inlineStr">
        <is>
          <t>2110-07-03</t>
        </is>
      </c>
    </row>
    <row r="76933">
      <c r="A76933" s="1" t="n">
        <v>76932</v>
      </c>
      <c r="B76933">
        <f>TEXT(76932, "[$-0E0000]yyyy-mm-dd")</f>
        <v/>
      </c>
      <c r="C76933" t="inlineStr">
        <is>
          <t>2110-07-04</t>
        </is>
      </c>
    </row>
    <row r="76934">
      <c r="A76934" s="1" t="n">
        <v>76933</v>
      </c>
      <c r="B76934">
        <f>TEXT(76933, "[$-0E0000]yyyy-mm-dd")</f>
        <v/>
      </c>
      <c r="C76934" t="inlineStr">
        <is>
          <t>2110-07-05</t>
        </is>
      </c>
    </row>
    <row r="76935">
      <c r="A76935" s="1" t="n">
        <v>76934</v>
      </c>
      <c r="B76935">
        <f>TEXT(76934, "[$-0E0000]yyyy-mm-dd")</f>
        <v/>
      </c>
      <c r="C76935" t="inlineStr">
        <is>
          <t>2110-07-06</t>
        </is>
      </c>
    </row>
    <row r="76936">
      <c r="A76936" s="1" t="n">
        <v>76935</v>
      </c>
      <c r="B76936">
        <f>TEXT(76935, "[$-0E0000]yyyy-mm-dd")</f>
        <v/>
      </c>
      <c r="C76936" t="inlineStr">
        <is>
          <t>2110-07-07</t>
        </is>
      </c>
    </row>
    <row r="76937">
      <c r="A76937" s="1" t="n">
        <v>76936</v>
      </c>
      <c r="B76937">
        <f>TEXT(76936, "[$-0E0000]yyyy-mm-dd")</f>
        <v/>
      </c>
      <c r="C76937" t="inlineStr">
        <is>
          <t>2110-07-08</t>
        </is>
      </c>
    </row>
    <row r="76938">
      <c r="A76938" s="1" t="n">
        <v>76937</v>
      </c>
      <c r="B76938">
        <f>TEXT(76937, "[$-0E0000]yyyy-mm-dd")</f>
        <v/>
      </c>
      <c r="C76938" t="inlineStr">
        <is>
          <t>2110-07-09</t>
        </is>
      </c>
    </row>
    <row r="76939">
      <c r="A76939" s="1" t="n">
        <v>76938</v>
      </c>
      <c r="B76939">
        <f>TEXT(76938, "[$-0E0000]yyyy-mm-dd")</f>
        <v/>
      </c>
      <c r="C76939" t="inlineStr">
        <is>
          <t>2110-07-10</t>
        </is>
      </c>
    </row>
    <row r="76940">
      <c r="A76940" s="1" t="n">
        <v>76939</v>
      </c>
      <c r="B76940">
        <f>TEXT(76939, "[$-0E0000]yyyy-mm-dd")</f>
        <v/>
      </c>
      <c r="C76940" t="inlineStr">
        <is>
          <t>2110-07-11</t>
        </is>
      </c>
    </row>
    <row r="76941">
      <c r="A76941" s="1" t="n">
        <v>76940</v>
      </c>
      <c r="B76941">
        <f>TEXT(76940, "[$-0E0000]yyyy-mm-dd")</f>
        <v/>
      </c>
      <c r="C76941" t="inlineStr">
        <is>
          <t>2110-07-12</t>
        </is>
      </c>
    </row>
    <row r="76942">
      <c r="A76942" s="1" t="n">
        <v>76941</v>
      </c>
      <c r="B76942">
        <f>TEXT(76941, "[$-0E0000]yyyy-mm-dd")</f>
        <v/>
      </c>
      <c r="C76942" t="inlineStr">
        <is>
          <t>2110-07-13</t>
        </is>
      </c>
    </row>
    <row r="76943">
      <c r="A76943" s="1" t="n">
        <v>76942</v>
      </c>
      <c r="B76943">
        <f>TEXT(76942, "[$-0E0000]yyyy-mm-dd")</f>
        <v/>
      </c>
      <c r="C76943" t="inlineStr">
        <is>
          <t>2110-07-14</t>
        </is>
      </c>
    </row>
    <row r="76944">
      <c r="A76944" s="1" t="n">
        <v>76943</v>
      </c>
      <c r="B76944">
        <f>TEXT(76943, "[$-0E0000]yyyy-mm-dd")</f>
        <v/>
      </c>
      <c r="C76944" t="inlineStr">
        <is>
          <t>2110-07-15</t>
        </is>
      </c>
    </row>
    <row r="76945">
      <c r="A76945" s="1" t="n">
        <v>76944</v>
      </c>
      <c r="B76945">
        <f>TEXT(76944, "[$-0E0000]yyyy-mm-dd")</f>
        <v/>
      </c>
      <c r="C76945" t="inlineStr">
        <is>
          <t>2110-07-16</t>
        </is>
      </c>
    </row>
    <row r="76946">
      <c r="A76946" s="1" t="n">
        <v>76945</v>
      </c>
      <c r="B76946">
        <f>TEXT(76945, "[$-0E0000]yyyy-mm-dd")</f>
        <v/>
      </c>
      <c r="C76946" t="inlineStr">
        <is>
          <t>2110-07-17</t>
        </is>
      </c>
    </row>
    <row r="76947">
      <c r="A76947" s="1" t="n">
        <v>76946</v>
      </c>
      <c r="B76947">
        <f>TEXT(76946, "[$-0E0000]yyyy-mm-dd")</f>
        <v/>
      </c>
      <c r="C76947" t="inlineStr">
        <is>
          <t>2110-07-18</t>
        </is>
      </c>
    </row>
    <row r="76948">
      <c r="A76948" s="1" t="n">
        <v>76947</v>
      </c>
      <c r="B76948">
        <f>TEXT(76947, "[$-0E0000]yyyy-mm-dd")</f>
        <v/>
      </c>
      <c r="C76948" t="inlineStr">
        <is>
          <t>2110-07-19</t>
        </is>
      </c>
    </row>
    <row r="76949">
      <c r="A76949" s="1" t="n">
        <v>76948</v>
      </c>
      <c r="B76949">
        <f>TEXT(76948, "[$-0E0000]yyyy-mm-dd")</f>
        <v/>
      </c>
      <c r="C76949" t="inlineStr">
        <is>
          <t>2110-07-20</t>
        </is>
      </c>
    </row>
    <row r="76950">
      <c r="A76950" s="1" t="n">
        <v>76949</v>
      </c>
      <c r="B76950">
        <f>TEXT(76949, "[$-0E0000]yyyy-mm-dd")</f>
        <v/>
      </c>
      <c r="C76950" t="inlineStr">
        <is>
          <t>2110-07-21</t>
        </is>
      </c>
    </row>
    <row r="76951">
      <c r="A76951" s="1" t="n">
        <v>76950</v>
      </c>
      <c r="B76951">
        <f>TEXT(76950, "[$-0E0000]yyyy-mm-dd")</f>
        <v/>
      </c>
      <c r="C76951" t="inlineStr">
        <is>
          <t>2110-07-22</t>
        </is>
      </c>
    </row>
    <row r="76952">
      <c r="A76952" s="1" t="n">
        <v>76951</v>
      </c>
      <c r="B76952">
        <f>TEXT(76951, "[$-0E0000]yyyy-mm-dd")</f>
        <v/>
      </c>
      <c r="C76952" t="inlineStr">
        <is>
          <t>2110-07-23</t>
        </is>
      </c>
    </row>
    <row r="76953">
      <c r="A76953" s="1" t="n">
        <v>76952</v>
      </c>
      <c r="B76953">
        <f>TEXT(76952, "[$-0E0000]yyyy-mm-dd")</f>
        <v/>
      </c>
      <c r="C76953" t="inlineStr">
        <is>
          <t>2110-07-24</t>
        </is>
      </c>
    </row>
    <row r="76954">
      <c r="A76954" s="1" t="n">
        <v>76953</v>
      </c>
      <c r="B76954">
        <f>TEXT(76953, "[$-0E0000]yyyy-mm-dd")</f>
        <v/>
      </c>
      <c r="C76954" t="inlineStr">
        <is>
          <t>2110-07-25</t>
        </is>
      </c>
    </row>
    <row r="76955">
      <c r="A76955" s="1" t="n">
        <v>76954</v>
      </c>
      <c r="B76955">
        <f>TEXT(76954, "[$-0E0000]yyyy-mm-dd")</f>
        <v/>
      </c>
      <c r="C76955" t="inlineStr">
        <is>
          <t>2110-07-26</t>
        </is>
      </c>
    </row>
    <row r="76956">
      <c r="A76956" s="1" t="n">
        <v>76955</v>
      </c>
      <c r="B76956">
        <f>TEXT(76955, "[$-0E0000]yyyy-mm-dd")</f>
        <v/>
      </c>
      <c r="C76956" t="inlineStr">
        <is>
          <t>2110-07-27</t>
        </is>
      </c>
    </row>
    <row r="76957">
      <c r="A76957" s="1" t="n">
        <v>76956</v>
      </c>
      <c r="B76957">
        <f>TEXT(76956, "[$-0E0000]yyyy-mm-dd")</f>
        <v/>
      </c>
      <c r="C76957" t="inlineStr">
        <is>
          <t>2110-07-28</t>
        </is>
      </c>
    </row>
    <row r="76958">
      <c r="A76958" s="1" t="n">
        <v>76957</v>
      </c>
      <c r="B76958">
        <f>TEXT(76957, "[$-0E0000]yyyy-mm-dd")</f>
        <v/>
      </c>
      <c r="C76958" t="inlineStr">
        <is>
          <t>2110-07-29</t>
        </is>
      </c>
    </row>
    <row r="76959">
      <c r="A76959" s="1" t="n">
        <v>76958</v>
      </c>
      <c r="B76959">
        <f>TEXT(76958, "[$-0E0000]yyyy-mm-dd")</f>
        <v/>
      </c>
      <c r="C76959" t="inlineStr">
        <is>
          <t>2110-08-01</t>
        </is>
      </c>
    </row>
    <row r="76960">
      <c r="A76960" s="1" t="n">
        <v>76959</v>
      </c>
      <c r="B76960">
        <f>TEXT(76959, "[$-0E0000]yyyy-mm-dd")</f>
        <v/>
      </c>
      <c r="C76960" t="inlineStr">
        <is>
          <t>2110-08-02</t>
        </is>
      </c>
    </row>
    <row r="76961">
      <c r="A76961" s="1" t="n">
        <v>76960</v>
      </c>
      <c r="B76961">
        <f>TEXT(76960, "[$-0E0000]yyyy-mm-dd")</f>
        <v/>
      </c>
      <c r="C76961" t="inlineStr">
        <is>
          <t>2110-08-03</t>
        </is>
      </c>
    </row>
    <row r="76962">
      <c r="A76962" s="1" t="n">
        <v>76961</v>
      </c>
      <c r="B76962">
        <f>TEXT(76961, "[$-0E0000]yyyy-mm-dd")</f>
        <v/>
      </c>
      <c r="C76962" t="inlineStr">
        <is>
          <t>2110-08-04</t>
        </is>
      </c>
    </row>
    <row r="76963">
      <c r="A76963" s="1" t="n">
        <v>76962</v>
      </c>
      <c r="B76963">
        <f>TEXT(76962, "[$-0E0000]yyyy-mm-dd")</f>
        <v/>
      </c>
      <c r="C76963" t="inlineStr">
        <is>
          <t>2110-08-05</t>
        </is>
      </c>
    </row>
    <row r="76964">
      <c r="A76964" s="1" t="n">
        <v>76963</v>
      </c>
      <c r="B76964">
        <f>TEXT(76963, "[$-0E0000]yyyy-mm-dd")</f>
        <v/>
      </c>
      <c r="C76964" t="inlineStr">
        <is>
          <t>2110-08-06</t>
        </is>
      </c>
    </row>
    <row r="76965">
      <c r="A76965" s="1" t="n">
        <v>76964</v>
      </c>
      <c r="B76965">
        <f>TEXT(76964, "[$-0E0000]yyyy-mm-dd")</f>
        <v/>
      </c>
      <c r="C76965" t="inlineStr">
        <is>
          <t>2110-08-07</t>
        </is>
      </c>
    </row>
    <row r="76966">
      <c r="A76966" s="1" t="n">
        <v>76965</v>
      </c>
      <c r="B76966">
        <f>TEXT(76965, "[$-0E0000]yyyy-mm-dd")</f>
        <v/>
      </c>
      <c r="C76966" t="inlineStr">
        <is>
          <t>2110-08-08</t>
        </is>
      </c>
    </row>
    <row r="76967">
      <c r="A76967" s="1" t="n">
        <v>76966</v>
      </c>
      <c r="B76967">
        <f>TEXT(76966, "[$-0E0000]yyyy-mm-dd")</f>
        <v/>
      </c>
      <c r="C76967" t="inlineStr">
        <is>
          <t>2110-08-09</t>
        </is>
      </c>
    </row>
    <row r="76968">
      <c r="A76968" s="1" t="n">
        <v>76967</v>
      </c>
      <c r="B76968">
        <f>TEXT(76967, "[$-0E0000]yyyy-mm-dd")</f>
        <v/>
      </c>
      <c r="C76968" t="inlineStr">
        <is>
          <t>2110-08-10</t>
        </is>
      </c>
    </row>
    <row r="76969">
      <c r="A76969" s="1" t="n">
        <v>76968</v>
      </c>
      <c r="B76969">
        <f>TEXT(76968, "[$-0E0000]yyyy-mm-dd")</f>
        <v/>
      </c>
      <c r="C76969" t="inlineStr">
        <is>
          <t>2110-08-11</t>
        </is>
      </c>
    </row>
    <row r="76970">
      <c r="A76970" s="1" t="n">
        <v>76969</v>
      </c>
      <c r="B76970">
        <f>TEXT(76969, "[$-0E0000]yyyy-mm-dd")</f>
        <v/>
      </c>
      <c r="C76970" t="inlineStr">
        <is>
          <t>2110-08-12</t>
        </is>
      </c>
    </row>
    <row r="76971">
      <c r="A76971" s="1" t="n">
        <v>76970</v>
      </c>
      <c r="B76971">
        <f>TEXT(76970, "[$-0E0000]yyyy-mm-dd")</f>
        <v/>
      </c>
      <c r="C76971" t="inlineStr">
        <is>
          <t>2110-08-13</t>
        </is>
      </c>
    </row>
    <row r="76972">
      <c r="A76972" s="1" t="n">
        <v>76971</v>
      </c>
      <c r="B76972">
        <f>TEXT(76971, "[$-0E0000]yyyy-mm-dd")</f>
        <v/>
      </c>
      <c r="C76972" t="inlineStr">
        <is>
          <t>2110-08-14</t>
        </is>
      </c>
    </row>
    <row r="76973">
      <c r="A76973" s="1" t="n">
        <v>76972</v>
      </c>
      <c r="B76973">
        <f>TEXT(76972, "[$-0E0000]yyyy-mm-dd")</f>
        <v/>
      </c>
      <c r="C76973" t="inlineStr">
        <is>
          <t>2110-08-15</t>
        </is>
      </c>
    </row>
    <row r="76974">
      <c r="A76974" s="1" t="n">
        <v>76973</v>
      </c>
      <c r="B76974">
        <f>TEXT(76973, "[$-0E0000]yyyy-mm-dd")</f>
        <v/>
      </c>
      <c r="C76974" t="inlineStr">
        <is>
          <t>2110-08-16</t>
        </is>
      </c>
    </row>
    <row r="76975">
      <c r="A76975" s="1" t="n">
        <v>76974</v>
      </c>
      <c r="B76975">
        <f>TEXT(76974, "[$-0E0000]yyyy-mm-dd")</f>
        <v/>
      </c>
      <c r="C76975" t="inlineStr">
        <is>
          <t>2110-08-17</t>
        </is>
      </c>
    </row>
    <row r="76976">
      <c r="A76976" s="1" t="n">
        <v>76975</v>
      </c>
      <c r="B76976">
        <f>TEXT(76975, "[$-0E0000]yyyy-mm-dd")</f>
        <v/>
      </c>
      <c r="C76976" t="inlineStr">
        <is>
          <t>2110-08-18</t>
        </is>
      </c>
    </row>
    <row r="76977">
      <c r="A76977" s="1" t="n">
        <v>76976</v>
      </c>
      <c r="B76977">
        <f>TEXT(76976, "[$-0E0000]yyyy-mm-dd")</f>
        <v/>
      </c>
      <c r="C76977" t="inlineStr">
        <is>
          <t>2110-08-19</t>
        </is>
      </c>
    </row>
    <row r="76978">
      <c r="A76978" s="1" t="n">
        <v>76977</v>
      </c>
      <c r="B76978">
        <f>TEXT(76977, "[$-0E0000]yyyy-mm-dd")</f>
        <v/>
      </c>
      <c r="C76978" t="inlineStr">
        <is>
          <t>2110-08-20</t>
        </is>
      </c>
    </row>
    <row r="76979">
      <c r="A76979" s="1" t="n">
        <v>76978</v>
      </c>
      <c r="B76979">
        <f>TEXT(76978, "[$-0E0000]yyyy-mm-dd")</f>
        <v/>
      </c>
      <c r="C76979" t="inlineStr">
        <is>
          <t>2110-08-21</t>
        </is>
      </c>
    </row>
    <row r="76980">
      <c r="A76980" s="1" t="n">
        <v>76979</v>
      </c>
      <c r="B76980">
        <f>TEXT(76979, "[$-0E0000]yyyy-mm-dd")</f>
        <v/>
      </c>
      <c r="C76980" t="inlineStr">
        <is>
          <t>2110-08-22</t>
        </is>
      </c>
    </row>
    <row r="76981">
      <c r="A76981" s="1" t="n">
        <v>76980</v>
      </c>
      <c r="B76981">
        <f>TEXT(76980, "[$-0E0000]yyyy-mm-dd")</f>
        <v/>
      </c>
      <c r="C76981" t="inlineStr">
        <is>
          <t>2110-08-23</t>
        </is>
      </c>
    </row>
    <row r="76982">
      <c r="A76982" s="1" t="n">
        <v>76981</v>
      </c>
      <c r="B76982">
        <f>TEXT(76981, "[$-0E0000]yyyy-mm-dd")</f>
        <v/>
      </c>
      <c r="C76982" t="inlineStr">
        <is>
          <t>2110-08-24</t>
        </is>
      </c>
    </row>
    <row r="76983">
      <c r="A76983" s="1" t="n">
        <v>76982</v>
      </c>
      <c r="B76983">
        <f>TEXT(76982, "[$-0E0000]yyyy-mm-dd")</f>
        <v/>
      </c>
      <c r="C76983" t="inlineStr">
        <is>
          <t>2110-08-25</t>
        </is>
      </c>
    </row>
    <row r="76984">
      <c r="A76984" s="1" t="n">
        <v>76983</v>
      </c>
      <c r="B76984">
        <f>TEXT(76983, "[$-0E0000]yyyy-mm-dd")</f>
        <v/>
      </c>
      <c r="C76984" t="inlineStr">
        <is>
          <t>2110-08-26</t>
        </is>
      </c>
    </row>
    <row r="76985">
      <c r="A76985" s="1" t="n">
        <v>76984</v>
      </c>
      <c r="B76985">
        <f>TEXT(76984, "[$-0E0000]yyyy-mm-dd")</f>
        <v/>
      </c>
      <c r="C76985" t="inlineStr">
        <is>
          <t>2110-08-27</t>
        </is>
      </c>
    </row>
    <row r="76986">
      <c r="A76986" s="1" t="n">
        <v>76985</v>
      </c>
      <c r="B76986">
        <f>TEXT(76985, "[$-0E0000]yyyy-mm-dd")</f>
        <v/>
      </c>
      <c r="C76986" t="inlineStr">
        <is>
          <t>2110-08-28</t>
        </is>
      </c>
    </row>
    <row r="76987">
      <c r="A76987" s="1" t="n">
        <v>76986</v>
      </c>
      <c r="B76987">
        <f>TEXT(76986, "[$-0E0000]yyyy-mm-dd")</f>
        <v/>
      </c>
      <c r="C76987" t="inlineStr">
        <is>
          <t>2110-08-29</t>
        </is>
      </c>
    </row>
    <row r="76988">
      <c r="A76988" s="1" t="n">
        <v>76987</v>
      </c>
      <c r="B76988">
        <f>TEXT(76987, "[$-0E0000]yyyy-mm-dd")</f>
        <v/>
      </c>
      <c r="C76988" t="inlineStr">
        <is>
          <t>2110-08-30</t>
        </is>
      </c>
    </row>
    <row r="76989">
      <c r="A76989" s="1" t="n">
        <v>76988</v>
      </c>
      <c r="B76989">
        <f>TEXT(76988, "[$-0E0000]yyyy-mm-dd")</f>
        <v/>
      </c>
      <c r="C76989" t="inlineStr">
        <is>
          <t>2110-09-01</t>
        </is>
      </c>
    </row>
    <row r="76990">
      <c r="A76990" s="1" t="n">
        <v>76989</v>
      </c>
      <c r="B76990">
        <f>TEXT(76989, "[$-0E0000]yyyy-mm-dd")</f>
        <v/>
      </c>
      <c r="C76990" t="inlineStr">
        <is>
          <t>2110-09-02</t>
        </is>
      </c>
    </row>
    <row r="76991">
      <c r="A76991" s="1" t="n">
        <v>76990</v>
      </c>
      <c r="B76991">
        <f>TEXT(76990, "[$-0E0000]yyyy-mm-dd")</f>
        <v/>
      </c>
      <c r="C76991" t="inlineStr">
        <is>
          <t>2110-09-03</t>
        </is>
      </c>
    </row>
    <row r="76992">
      <c r="A76992" s="1" t="n">
        <v>76991</v>
      </c>
      <c r="B76992">
        <f>TEXT(76991, "[$-0E0000]yyyy-mm-dd")</f>
        <v/>
      </c>
      <c r="C76992" t="inlineStr">
        <is>
          <t>2110-09-04</t>
        </is>
      </c>
    </row>
    <row r="76993">
      <c r="A76993" s="1" t="n">
        <v>76992</v>
      </c>
      <c r="B76993">
        <f>TEXT(76992, "[$-0E0000]yyyy-mm-dd")</f>
        <v/>
      </c>
      <c r="C76993" t="inlineStr">
        <is>
          <t>2110-09-05</t>
        </is>
      </c>
    </row>
    <row r="76994">
      <c r="A76994" s="1" t="n">
        <v>76993</v>
      </c>
      <c r="B76994">
        <f>TEXT(76993, "[$-0E0000]yyyy-mm-dd")</f>
        <v/>
      </c>
      <c r="C76994" t="inlineStr">
        <is>
          <t>2110-09-06</t>
        </is>
      </c>
    </row>
    <row r="76995">
      <c r="A76995" s="1" t="n">
        <v>76994</v>
      </c>
      <c r="B76995">
        <f>TEXT(76994, "[$-0E0000]yyyy-mm-dd")</f>
        <v/>
      </c>
      <c r="C76995" t="inlineStr">
        <is>
          <t>2110-09-07</t>
        </is>
      </c>
    </row>
    <row r="76996">
      <c r="A76996" s="1" t="n">
        <v>76995</v>
      </c>
      <c r="B76996">
        <f>TEXT(76995, "[$-0E0000]yyyy-mm-dd")</f>
        <v/>
      </c>
      <c r="C76996" t="inlineStr">
        <is>
          <t>2110-09-08</t>
        </is>
      </c>
    </row>
    <row r="76997">
      <c r="A76997" s="1" t="n">
        <v>76996</v>
      </c>
      <c r="B76997">
        <f>TEXT(76996, "[$-0E0000]yyyy-mm-dd")</f>
        <v/>
      </c>
      <c r="C76997" t="inlineStr">
        <is>
          <t>2110-09-09</t>
        </is>
      </c>
    </row>
    <row r="76998">
      <c r="A76998" s="1" t="n">
        <v>76997</v>
      </c>
      <c r="B76998">
        <f>TEXT(76997, "[$-0E0000]yyyy-mm-dd")</f>
        <v/>
      </c>
      <c r="C76998" t="inlineStr">
        <is>
          <t>2110-09-10</t>
        </is>
      </c>
    </row>
    <row r="76999">
      <c r="A76999" s="1" t="n">
        <v>76998</v>
      </c>
      <c r="B76999">
        <f>TEXT(76998, "[$-0E0000]yyyy-mm-dd")</f>
        <v/>
      </c>
      <c r="C76999" t="inlineStr">
        <is>
          <t>2110-09-11</t>
        </is>
      </c>
    </row>
    <row r="77000">
      <c r="A77000" s="1" t="n">
        <v>76999</v>
      </c>
      <c r="B77000">
        <f>TEXT(76999, "[$-0E0000]yyyy-mm-dd")</f>
        <v/>
      </c>
      <c r="C77000" t="inlineStr">
        <is>
          <t>2110-09-12</t>
        </is>
      </c>
    </row>
    <row r="77001">
      <c r="A77001" s="1" t="n">
        <v>77000</v>
      </c>
      <c r="B77001">
        <f>TEXT(77000, "[$-0E0000]yyyy-mm-dd")</f>
        <v/>
      </c>
      <c r="C77001" t="inlineStr">
        <is>
          <t>2110-09-13</t>
        </is>
      </c>
    </row>
    <row r="77002">
      <c r="A77002" s="1" t="n">
        <v>77001</v>
      </c>
      <c r="B77002">
        <f>TEXT(77001, "[$-0E0000]yyyy-mm-dd")</f>
        <v/>
      </c>
      <c r="C77002" t="inlineStr">
        <is>
          <t>2110-09-14</t>
        </is>
      </c>
    </row>
    <row r="77003">
      <c r="A77003" s="1" t="n">
        <v>77002</v>
      </c>
      <c r="B77003">
        <f>TEXT(77002, "[$-0E0000]yyyy-mm-dd")</f>
        <v/>
      </c>
      <c r="C77003" t="inlineStr">
        <is>
          <t>2110-09-15</t>
        </is>
      </c>
    </row>
    <row r="77004">
      <c r="A77004" s="1" t="n">
        <v>77003</v>
      </c>
      <c r="B77004">
        <f>TEXT(77003, "[$-0E0000]yyyy-mm-dd")</f>
        <v/>
      </c>
      <c r="C77004" t="inlineStr">
        <is>
          <t>2110-09-16</t>
        </is>
      </c>
    </row>
    <row r="77005">
      <c r="A77005" s="1" t="n">
        <v>77004</v>
      </c>
      <c r="B77005">
        <f>TEXT(77004, "[$-0E0000]yyyy-mm-dd")</f>
        <v/>
      </c>
      <c r="C77005" t="inlineStr">
        <is>
          <t>2110-09-17</t>
        </is>
      </c>
    </row>
    <row r="77006">
      <c r="A77006" s="1" t="n">
        <v>77005</v>
      </c>
      <c r="B77006">
        <f>TEXT(77005, "[$-0E0000]yyyy-mm-dd")</f>
        <v/>
      </c>
      <c r="C77006" t="inlineStr">
        <is>
          <t>2110-09-18</t>
        </is>
      </c>
    </row>
    <row r="77007">
      <c r="A77007" s="1" t="n">
        <v>77006</v>
      </c>
      <c r="B77007">
        <f>TEXT(77006, "[$-0E0000]yyyy-mm-dd")</f>
        <v/>
      </c>
      <c r="C77007" t="inlineStr">
        <is>
          <t>2110-09-19</t>
        </is>
      </c>
    </row>
    <row r="77008">
      <c r="A77008" s="1" t="n">
        <v>77007</v>
      </c>
      <c r="B77008">
        <f>TEXT(77007, "[$-0E0000]yyyy-mm-dd")</f>
        <v/>
      </c>
      <c r="C77008" t="inlineStr">
        <is>
          <t>2110-09-20</t>
        </is>
      </c>
    </row>
    <row r="77009">
      <c r="A77009" s="1" t="n">
        <v>77008</v>
      </c>
      <c r="B77009">
        <f>TEXT(77008, "[$-0E0000]yyyy-mm-dd")</f>
        <v/>
      </c>
      <c r="C77009" t="inlineStr">
        <is>
          <t>2110-09-21</t>
        </is>
      </c>
    </row>
    <row r="77010">
      <c r="A77010" s="1" t="n">
        <v>77009</v>
      </c>
      <c r="B77010">
        <f>TEXT(77009, "[$-0E0000]yyyy-mm-dd")</f>
        <v/>
      </c>
      <c r="C77010" t="inlineStr">
        <is>
          <t>2110-09-22</t>
        </is>
      </c>
    </row>
    <row r="77011">
      <c r="A77011" s="1" t="n">
        <v>77010</v>
      </c>
      <c r="B77011">
        <f>TEXT(77010, "[$-0E0000]yyyy-mm-dd")</f>
        <v/>
      </c>
      <c r="C77011" t="inlineStr">
        <is>
          <t>2110-09-23</t>
        </is>
      </c>
    </row>
    <row r="77012">
      <c r="A77012" s="1" t="n">
        <v>77011</v>
      </c>
      <c r="B77012">
        <f>TEXT(77011, "[$-0E0000]yyyy-mm-dd")</f>
        <v/>
      </c>
      <c r="C77012" t="inlineStr">
        <is>
          <t>2110-09-24</t>
        </is>
      </c>
    </row>
    <row r="77013">
      <c r="A77013" s="1" t="n">
        <v>77012</v>
      </c>
      <c r="B77013">
        <f>TEXT(77012, "[$-0E0000]yyyy-mm-dd")</f>
        <v/>
      </c>
      <c r="C77013" t="inlineStr">
        <is>
          <t>2110-09-25</t>
        </is>
      </c>
    </row>
    <row r="77014">
      <c r="A77014" s="1" t="n">
        <v>77013</v>
      </c>
      <c r="B77014">
        <f>TEXT(77013, "[$-0E0000]yyyy-mm-dd")</f>
        <v/>
      </c>
      <c r="C77014" t="inlineStr">
        <is>
          <t>2110-09-26</t>
        </is>
      </c>
    </row>
    <row r="77015">
      <c r="A77015" s="1" t="n">
        <v>77014</v>
      </c>
      <c r="B77015">
        <f>TEXT(77014, "[$-0E0000]yyyy-mm-dd")</f>
        <v/>
      </c>
      <c r="C77015" t="inlineStr">
        <is>
          <t>2110-09-27</t>
        </is>
      </c>
    </row>
    <row r="77016">
      <c r="A77016" s="1" t="n">
        <v>77015</v>
      </c>
      <c r="B77016">
        <f>TEXT(77015, "[$-0E0000]yyyy-mm-dd")</f>
        <v/>
      </c>
      <c r="C77016" t="inlineStr">
        <is>
          <t>2110-09-28</t>
        </is>
      </c>
    </row>
    <row r="77017">
      <c r="A77017" s="1" t="n">
        <v>77016</v>
      </c>
      <c r="B77017">
        <f>TEXT(77016, "[$-0E0000]yyyy-mm-dd")</f>
        <v/>
      </c>
      <c r="C77017" t="inlineStr">
        <is>
          <t>2110-09-29</t>
        </is>
      </c>
    </row>
    <row r="77018">
      <c r="A77018" s="1" t="n">
        <v>77017</v>
      </c>
      <c r="B77018">
        <f>TEXT(77017, "[$-0E0000]yyyy-mm-dd")</f>
        <v/>
      </c>
      <c r="C77018" t="inlineStr">
        <is>
          <t>2110-10-01</t>
        </is>
      </c>
    </row>
    <row r="77019">
      <c r="A77019" s="1" t="n">
        <v>77018</v>
      </c>
      <c r="B77019">
        <f>TEXT(77018, "[$-0E0000]yyyy-mm-dd")</f>
        <v/>
      </c>
      <c r="C77019" t="inlineStr">
        <is>
          <t>2110-10-02</t>
        </is>
      </c>
    </row>
    <row r="77020">
      <c r="A77020" s="1" t="n">
        <v>77019</v>
      </c>
      <c r="B77020">
        <f>TEXT(77019, "[$-0E0000]yyyy-mm-dd")</f>
        <v/>
      </c>
      <c r="C77020" t="inlineStr">
        <is>
          <t>2110-10-03</t>
        </is>
      </c>
    </row>
    <row r="77021">
      <c r="A77021" s="1" t="n">
        <v>77020</v>
      </c>
      <c r="B77021">
        <f>TEXT(77020, "[$-0E0000]yyyy-mm-dd")</f>
        <v/>
      </c>
      <c r="C77021" t="inlineStr">
        <is>
          <t>2110-10-04</t>
        </is>
      </c>
    </row>
    <row r="77022">
      <c r="A77022" s="1" t="n">
        <v>77021</v>
      </c>
      <c r="B77022">
        <f>TEXT(77021, "[$-0E0000]yyyy-mm-dd")</f>
        <v/>
      </c>
      <c r="C77022" t="inlineStr">
        <is>
          <t>2110-10-05</t>
        </is>
      </c>
    </row>
    <row r="77023">
      <c r="A77023" s="1" t="n">
        <v>77022</v>
      </c>
      <c r="B77023">
        <f>TEXT(77022, "[$-0E0000]yyyy-mm-dd")</f>
        <v/>
      </c>
      <c r="C77023" t="inlineStr">
        <is>
          <t>2110-10-06</t>
        </is>
      </c>
    </row>
    <row r="77024">
      <c r="A77024" s="1" t="n">
        <v>77023</v>
      </c>
      <c r="B77024">
        <f>TEXT(77023, "[$-0E0000]yyyy-mm-dd")</f>
        <v/>
      </c>
      <c r="C77024" t="inlineStr">
        <is>
          <t>2110-10-07</t>
        </is>
      </c>
    </row>
    <row r="77025">
      <c r="A77025" s="1" t="n">
        <v>77024</v>
      </c>
      <c r="B77025">
        <f>TEXT(77024, "[$-0E0000]yyyy-mm-dd")</f>
        <v/>
      </c>
      <c r="C77025" t="inlineStr">
        <is>
          <t>2110-10-08</t>
        </is>
      </c>
    </row>
    <row r="77026">
      <c r="A77026" s="1" t="n">
        <v>77025</v>
      </c>
      <c r="B77026">
        <f>TEXT(77025, "[$-0E0000]yyyy-mm-dd")</f>
        <v/>
      </c>
      <c r="C77026" t="inlineStr">
        <is>
          <t>2110-10-09</t>
        </is>
      </c>
    </row>
    <row r="77027">
      <c r="A77027" s="1" t="n">
        <v>77026</v>
      </c>
      <c r="B77027">
        <f>TEXT(77026, "[$-0E0000]yyyy-mm-dd")</f>
        <v/>
      </c>
      <c r="C77027" t="inlineStr">
        <is>
          <t>2110-10-10</t>
        </is>
      </c>
    </row>
    <row r="77028">
      <c r="A77028" s="1" t="n">
        <v>77027</v>
      </c>
      <c r="B77028">
        <f>TEXT(77027, "[$-0E0000]yyyy-mm-dd")</f>
        <v/>
      </c>
      <c r="C77028" t="inlineStr">
        <is>
          <t>2110-10-11</t>
        </is>
      </c>
    </row>
    <row r="77029">
      <c r="A77029" s="1" t="n">
        <v>77028</v>
      </c>
      <c r="B77029">
        <f>TEXT(77028, "[$-0E0000]yyyy-mm-dd")</f>
        <v/>
      </c>
      <c r="C77029" t="inlineStr">
        <is>
          <t>2110-10-12</t>
        </is>
      </c>
    </row>
    <row r="77030">
      <c r="A77030" s="1" t="n">
        <v>77029</v>
      </c>
      <c r="B77030">
        <f>TEXT(77029, "[$-0E0000]yyyy-mm-dd")</f>
        <v/>
      </c>
      <c r="C77030" t="inlineStr">
        <is>
          <t>2110-10-13</t>
        </is>
      </c>
    </row>
    <row r="77031">
      <c r="A77031" s="1" t="n">
        <v>77030</v>
      </c>
      <c r="B77031">
        <f>TEXT(77030, "[$-0E0000]yyyy-mm-dd")</f>
        <v/>
      </c>
      <c r="C77031" t="inlineStr">
        <is>
          <t>2110-10-14</t>
        </is>
      </c>
    </row>
    <row r="77032">
      <c r="A77032" s="1" t="n">
        <v>77031</v>
      </c>
      <c r="B77032">
        <f>TEXT(77031, "[$-0E0000]yyyy-mm-dd")</f>
        <v/>
      </c>
      <c r="C77032" t="inlineStr">
        <is>
          <t>2110-10-15</t>
        </is>
      </c>
    </row>
    <row r="77033">
      <c r="A77033" s="1" t="n">
        <v>77032</v>
      </c>
      <c r="B77033">
        <f>TEXT(77032, "[$-0E0000]yyyy-mm-dd")</f>
        <v/>
      </c>
      <c r="C77033" t="inlineStr">
        <is>
          <t>2110-10-16</t>
        </is>
      </c>
    </row>
    <row r="77034">
      <c r="A77034" s="1" t="n">
        <v>77033</v>
      </c>
      <c r="B77034">
        <f>TEXT(77033, "[$-0E0000]yyyy-mm-dd")</f>
        <v/>
      </c>
      <c r="C77034" t="inlineStr">
        <is>
          <t>2110-10-17</t>
        </is>
      </c>
    </row>
    <row r="77035">
      <c r="A77035" s="1" t="n">
        <v>77034</v>
      </c>
      <c r="B77035">
        <f>TEXT(77034, "[$-0E0000]yyyy-mm-dd")</f>
        <v/>
      </c>
      <c r="C77035" t="inlineStr">
        <is>
          <t>2110-10-18</t>
        </is>
      </c>
    </row>
    <row r="77036">
      <c r="A77036" s="1" t="n">
        <v>77035</v>
      </c>
      <c r="B77036">
        <f>TEXT(77035, "[$-0E0000]yyyy-mm-dd")</f>
        <v/>
      </c>
      <c r="C77036" t="inlineStr">
        <is>
          <t>2110-10-19</t>
        </is>
      </c>
    </row>
    <row r="77037">
      <c r="A77037" s="1" t="n">
        <v>77036</v>
      </c>
      <c r="B77037">
        <f>TEXT(77036, "[$-0E0000]yyyy-mm-dd")</f>
        <v/>
      </c>
      <c r="C77037" t="inlineStr">
        <is>
          <t>2110-10-20</t>
        </is>
      </c>
    </row>
    <row r="77038">
      <c r="A77038" s="1" t="n">
        <v>77037</v>
      </c>
      <c r="B77038">
        <f>TEXT(77037, "[$-0E0000]yyyy-mm-dd")</f>
        <v/>
      </c>
      <c r="C77038" t="inlineStr">
        <is>
          <t>2110-10-21</t>
        </is>
      </c>
    </row>
    <row r="77039">
      <c r="A77039" s="1" t="n">
        <v>77038</v>
      </c>
      <c r="B77039">
        <f>TEXT(77038, "[$-0E0000]yyyy-mm-dd")</f>
        <v/>
      </c>
      <c r="C77039" t="inlineStr">
        <is>
          <t>2110-10-22</t>
        </is>
      </c>
    </row>
    <row r="77040">
      <c r="A77040" s="1" t="n">
        <v>77039</v>
      </c>
      <c r="B77040">
        <f>TEXT(77039, "[$-0E0000]yyyy-mm-dd")</f>
        <v/>
      </c>
      <c r="C77040" t="inlineStr">
        <is>
          <t>2110-10-23</t>
        </is>
      </c>
    </row>
    <row r="77041">
      <c r="A77041" s="1" t="n">
        <v>77040</v>
      </c>
      <c r="B77041">
        <f>TEXT(77040, "[$-0E0000]yyyy-mm-dd")</f>
        <v/>
      </c>
      <c r="C77041" t="inlineStr">
        <is>
          <t>2110-10-24</t>
        </is>
      </c>
    </row>
    <row r="77042">
      <c r="A77042" s="1" t="n">
        <v>77041</v>
      </c>
      <c r="B77042">
        <f>TEXT(77041, "[$-0E0000]yyyy-mm-dd")</f>
        <v/>
      </c>
      <c r="C77042" t="inlineStr">
        <is>
          <t>2110-10-25</t>
        </is>
      </c>
    </row>
    <row r="77043">
      <c r="A77043" s="1" t="n">
        <v>77042</v>
      </c>
      <c r="B77043">
        <f>TEXT(77042, "[$-0E0000]yyyy-mm-dd")</f>
        <v/>
      </c>
      <c r="C77043" t="inlineStr">
        <is>
          <t>2110-10-26</t>
        </is>
      </c>
    </row>
    <row r="77044">
      <c r="A77044" s="1" t="n">
        <v>77043</v>
      </c>
      <c r="B77044">
        <f>TEXT(77043, "[$-0E0000]yyyy-mm-dd")</f>
        <v/>
      </c>
      <c r="C77044" t="inlineStr">
        <is>
          <t>2110-10-27</t>
        </is>
      </c>
    </row>
    <row r="77045">
      <c r="A77045" s="1" t="n">
        <v>77044</v>
      </c>
      <c r="B77045">
        <f>TEXT(77044, "[$-0E0000]yyyy-mm-dd")</f>
        <v/>
      </c>
      <c r="C77045" t="inlineStr">
        <is>
          <t>2110-10-28</t>
        </is>
      </c>
    </row>
    <row r="77046">
      <c r="A77046" s="1" t="n">
        <v>77045</v>
      </c>
      <c r="B77046">
        <f>TEXT(77045, "[$-0E0000]yyyy-mm-dd")</f>
        <v/>
      </c>
      <c r="C77046" t="inlineStr">
        <is>
          <t>2110-10-29</t>
        </is>
      </c>
    </row>
    <row r="77047">
      <c r="A77047" s="1" t="n">
        <v>77046</v>
      </c>
      <c r="B77047">
        <f>TEXT(77046, "[$-0E0000]yyyy-mm-dd")</f>
        <v/>
      </c>
      <c r="C77047" t="inlineStr">
        <is>
          <t>2110-11-01</t>
        </is>
      </c>
    </row>
    <row r="77048">
      <c r="A77048" s="1" t="n">
        <v>77047</v>
      </c>
      <c r="B77048">
        <f>TEXT(77047, "[$-0E0000]yyyy-mm-dd")</f>
        <v/>
      </c>
      <c r="C77048" t="inlineStr">
        <is>
          <t>2110-11-02</t>
        </is>
      </c>
    </row>
    <row r="77049">
      <c r="A77049" s="1" t="n">
        <v>77048</v>
      </c>
      <c r="B77049">
        <f>TEXT(77048, "[$-0E0000]yyyy-mm-dd")</f>
        <v/>
      </c>
      <c r="C77049" t="inlineStr">
        <is>
          <t>2110-11-03</t>
        </is>
      </c>
    </row>
    <row r="77050">
      <c r="A77050" s="1" t="n">
        <v>77049</v>
      </c>
      <c r="B77050">
        <f>TEXT(77049, "[$-0E0000]yyyy-mm-dd")</f>
        <v/>
      </c>
      <c r="C77050" t="inlineStr">
        <is>
          <t>2110-11-04</t>
        </is>
      </c>
    </row>
    <row r="77051">
      <c r="A77051" s="1" t="n">
        <v>77050</v>
      </c>
      <c r="B77051">
        <f>TEXT(77050, "[$-0E0000]yyyy-mm-dd")</f>
        <v/>
      </c>
      <c r="C77051" t="inlineStr">
        <is>
          <t>2110-11-05</t>
        </is>
      </c>
    </row>
    <row r="77052">
      <c r="A77052" s="1" t="n">
        <v>77051</v>
      </c>
      <c r="B77052">
        <f>TEXT(77051, "[$-0E0000]yyyy-mm-dd")</f>
        <v/>
      </c>
      <c r="C77052" t="inlineStr">
        <is>
          <t>2110-11-06</t>
        </is>
      </c>
    </row>
    <row r="77053">
      <c r="A77053" s="1" t="n">
        <v>77052</v>
      </c>
      <c r="B77053">
        <f>TEXT(77052, "[$-0E0000]yyyy-mm-dd")</f>
        <v/>
      </c>
      <c r="C77053" t="inlineStr">
        <is>
          <t>2110-11-07</t>
        </is>
      </c>
    </row>
    <row r="77054">
      <c r="A77054" s="1" t="n">
        <v>77053</v>
      </c>
      <c r="B77054">
        <f>TEXT(77053, "[$-0E0000]yyyy-mm-dd")</f>
        <v/>
      </c>
      <c r="C77054" t="inlineStr">
        <is>
          <t>2110-11-08</t>
        </is>
      </c>
    </row>
    <row r="77055">
      <c r="A77055" s="1" t="n">
        <v>77054</v>
      </c>
      <c r="B77055">
        <f>TEXT(77054, "[$-0E0000]yyyy-mm-dd")</f>
        <v/>
      </c>
      <c r="C77055" t="inlineStr">
        <is>
          <t>2110-11-09</t>
        </is>
      </c>
    </row>
    <row r="77056">
      <c r="A77056" s="1" t="n">
        <v>77055</v>
      </c>
      <c r="B77056">
        <f>TEXT(77055, "[$-0E0000]yyyy-mm-dd")</f>
        <v/>
      </c>
      <c r="C77056" t="inlineStr">
        <is>
          <t>2110-11-10</t>
        </is>
      </c>
    </row>
    <row r="77057">
      <c r="A77057" s="1" t="n">
        <v>77056</v>
      </c>
      <c r="B77057">
        <f>TEXT(77056, "[$-0E0000]yyyy-mm-dd")</f>
        <v/>
      </c>
      <c r="C77057" t="inlineStr">
        <is>
          <t>2110-11-11</t>
        </is>
      </c>
    </row>
    <row r="77058">
      <c r="A77058" s="1" t="n">
        <v>77057</v>
      </c>
      <c r="B77058">
        <f>TEXT(77057, "[$-0E0000]yyyy-mm-dd")</f>
        <v/>
      </c>
      <c r="C77058" t="inlineStr">
        <is>
          <t>2110-11-12</t>
        </is>
      </c>
    </row>
    <row r="77059">
      <c r="A77059" s="1" t="n">
        <v>77058</v>
      </c>
      <c r="B77059">
        <f>TEXT(77058, "[$-0E0000]yyyy-mm-dd")</f>
        <v/>
      </c>
      <c r="C77059" t="inlineStr">
        <is>
          <t>2110-11-13</t>
        </is>
      </c>
    </row>
    <row r="77060">
      <c r="A77060" s="1" t="n">
        <v>77059</v>
      </c>
      <c r="B77060">
        <f>TEXT(77059, "[$-0E0000]yyyy-mm-dd")</f>
        <v/>
      </c>
      <c r="C77060" t="inlineStr">
        <is>
          <t>2110-11-14</t>
        </is>
      </c>
    </row>
    <row r="77061">
      <c r="A77061" s="1" t="n">
        <v>77060</v>
      </c>
      <c r="B77061">
        <f>TEXT(77060, "[$-0E0000]yyyy-mm-dd")</f>
        <v/>
      </c>
      <c r="C77061" t="inlineStr">
        <is>
          <t>2110-11-15</t>
        </is>
      </c>
    </row>
    <row r="77062">
      <c r="A77062" s="1" t="n">
        <v>77061</v>
      </c>
      <c r="B77062">
        <f>TEXT(77061, "[$-0E0000]yyyy-mm-dd")</f>
        <v/>
      </c>
      <c r="C77062" t="inlineStr">
        <is>
          <t>2110-11-16</t>
        </is>
      </c>
    </row>
    <row r="77063">
      <c r="A77063" s="1" t="n">
        <v>77062</v>
      </c>
      <c r="B77063">
        <f>TEXT(77062, "[$-0E0000]yyyy-mm-dd")</f>
        <v/>
      </c>
      <c r="C77063" t="inlineStr">
        <is>
          <t>2110-11-17</t>
        </is>
      </c>
    </row>
    <row r="77064">
      <c r="A77064" s="1" t="n">
        <v>77063</v>
      </c>
      <c r="B77064">
        <f>TEXT(77063, "[$-0E0000]yyyy-mm-dd")</f>
        <v/>
      </c>
      <c r="C77064" t="inlineStr">
        <is>
          <t>2110-11-18</t>
        </is>
      </c>
    </row>
    <row r="77065">
      <c r="A77065" s="1" t="n">
        <v>77064</v>
      </c>
      <c r="B77065">
        <f>TEXT(77064, "[$-0E0000]yyyy-mm-dd")</f>
        <v/>
      </c>
      <c r="C77065" t="inlineStr">
        <is>
          <t>2110-11-19</t>
        </is>
      </c>
    </row>
    <row r="77066">
      <c r="A77066" s="1" t="n">
        <v>77065</v>
      </c>
      <c r="B77066">
        <f>TEXT(77065, "[$-0E0000]yyyy-mm-dd")</f>
        <v/>
      </c>
      <c r="C77066" t="inlineStr">
        <is>
          <t>2110-11-20</t>
        </is>
      </c>
    </row>
    <row r="77067">
      <c r="A77067" s="1" t="n">
        <v>77066</v>
      </c>
      <c r="B77067">
        <f>TEXT(77066, "[$-0E0000]yyyy-mm-dd")</f>
        <v/>
      </c>
      <c r="C77067" t="inlineStr">
        <is>
          <t>2110-11-21</t>
        </is>
      </c>
    </row>
    <row r="77068">
      <c r="A77068" s="1" t="n">
        <v>77067</v>
      </c>
      <c r="B77068">
        <f>TEXT(77067, "[$-0E0000]yyyy-mm-dd")</f>
        <v/>
      </c>
      <c r="C77068" t="inlineStr">
        <is>
          <t>2110-11-22</t>
        </is>
      </c>
    </row>
    <row r="77069">
      <c r="A77069" s="1" t="n">
        <v>77068</v>
      </c>
      <c r="B77069">
        <f>TEXT(77068, "[$-0E0000]yyyy-mm-dd")</f>
        <v/>
      </c>
      <c r="C77069" t="inlineStr">
        <is>
          <t>2110-11-23</t>
        </is>
      </c>
    </row>
    <row r="77070">
      <c r="A77070" s="1" t="n">
        <v>77069</v>
      </c>
      <c r="B77070">
        <f>TEXT(77069, "[$-0E0000]yyyy-mm-dd")</f>
        <v/>
      </c>
      <c r="C77070" t="inlineStr">
        <is>
          <t>2110-11-24</t>
        </is>
      </c>
    </row>
    <row r="77071">
      <c r="A77071" s="1" t="n">
        <v>77070</v>
      </c>
      <c r="B77071">
        <f>TEXT(77070, "[$-0E0000]yyyy-mm-dd")</f>
        <v/>
      </c>
      <c r="C77071" t="inlineStr">
        <is>
          <t>2110-11-25</t>
        </is>
      </c>
    </row>
    <row r="77072">
      <c r="A77072" s="1" t="n">
        <v>77071</v>
      </c>
      <c r="B77072">
        <f>TEXT(77071, "[$-0E0000]yyyy-mm-dd")</f>
        <v/>
      </c>
      <c r="C77072" t="inlineStr">
        <is>
          <t>2110-11-26</t>
        </is>
      </c>
    </row>
    <row r="77073">
      <c r="A77073" s="1" t="n">
        <v>77072</v>
      </c>
      <c r="B77073">
        <f>TEXT(77072, "[$-0E0000]yyyy-mm-dd")</f>
        <v/>
      </c>
      <c r="C77073" t="inlineStr">
        <is>
          <t>2110-11-27</t>
        </is>
      </c>
    </row>
    <row r="77074">
      <c r="A77074" s="1" t="n">
        <v>77073</v>
      </c>
      <c r="B77074">
        <f>TEXT(77073, "[$-0E0000]yyyy-mm-dd")</f>
        <v/>
      </c>
      <c r="C77074" t="inlineStr">
        <is>
          <t>2110-11-28</t>
        </is>
      </c>
    </row>
    <row r="77075">
      <c r="A77075" s="1" t="n">
        <v>77074</v>
      </c>
      <c r="B77075">
        <f>TEXT(77074, "[$-0E0000]yyyy-mm-dd")</f>
        <v/>
      </c>
      <c r="C77075" t="inlineStr">
        <is>
          <t>2110-11-29</t>
        </is>
      </c>
    </row>
    <row r="77076">
      <c r="A77076" s="1" t="n">
        <v>77075</v>
      </c>
      <c r="B77076">
        <f>TEXT(77075, "[$-0E0000]yyyy-mm-dd")</f>
        <v/>
      </c>
      <c r="C77076" t="inlineStr">
        <is>
          <t>2110-11-30</t>
        </is>
      </c>
    </row>
    <row r="77077">
      <c r="A77077" s="1" t="n">
        <v>77076</v>
      </c>
      <c r="B77077">
        <f>TEXT(77076, "[$-0E0000]yyyy-mm-dd")</f>
        <v/>
      </c>
      <c r="C77077" t="inlineStr">
        <is>
          <t>2110-12-01</t>
        </is>
      </c>
    </row>
    <row r="77078">
      <c r="A77078" s="1" t="n">
        <v>77077</v>
      </c>
      <c r="B77078">
        <f>TEXT(77077, "[$-0E0000]yyyy-mm-dd")</f>
        <v/>
      </c>
      <c r="C77078" t="inlineStr">
        <is>
          <t>2110-12-02</t>
        </is>
      </c>
    </row>
    <row r="77079">
      <c r="A77079" s="1" t="n">
        <v>77078</v>
      </c>
      <c r="B77079">
        <f>TEXT(77078, "[$-0E0000]yyyy-mm-dd")</f>
        <v/>
      </c>
      <c r="C77079" t="inlineStr">
        <is>
          <t>2110-12-03</t>
        </is>
      </c>
    </row>
    <row r="77080">
      <c r="A77080" s="1" t="n">
        <v>77079</v>
      </c>
      <c r="B77080">
        <f>TEXT(77079, "[$-0E0000]yyyy-mm-dd")</f>
        <v/>
      </c>
      <c r="C77080" t="inlineStr">
        <is>
          <t>2110-12-04</t>
        </is>
      </c>
    </row>
    <row r="77081">
      <c r="A77081" s="1" t="n">
        <v>77080</v>
      </c>
      <c r="B77081">
        <f>TEXT(77080, "[$-0E0000]yyyy-mm-dd")</f>
        <v/>
      </c>
      <c r="C77081" t="inlineStr">
        <is>
          <t>2110-12-05</t>
        </is>
      </c>
    </row>
    <row r="77082">
      <c r="A77082" s="1" t="n">
        <v>77081</v>
      </c>
      <c r="B77082">
        <f>TEXT(77081, "[$-0E0000]yyyy-mm-dd")</f>
        <v/>
      </c>
      <c r="C77082" t="inlineStr">
        <is>
          <t>2110-12-06</t>
        </is>
      </c>
    </row>
    <row r="77083">
      <c r="A77083" s="1" t="n">
        <v>77082</v>
      </c>
      <c r="B77083">
        <f>TEXT(77082, "[$-0E0000]yyyy-mm-dd")</f>
        <v/>
      </c>
      <c r="C77083" t="inlineStr">
        <is>
          <t>2110-12-07</t>
        </is>
      </c>
    </row>
    <row r="77084">
      <c r="A77084" s="1" t="n">
        <v>77083</v>
      </c>
      <c r="B77084">
        <f>TEXT(77083, "[$-0E0000]yyyy-mm-dd")</f>
        <v/>
      </c>
      <c r="C77084" t="inlineStr">
        <is>
          <t>2110-12-08</t>
        </is>
      </c>
    </row>
    <row r="77085">
      <c r="A77085" s="1" t="n">
        <v>77084</v>
      </c>
      <c r="B77085">
        <f>TEXT(77084, "[$-0E0000]yyyy-mm-dd")</f>
        <v/>
      </c>
      <c r="C77085" t="inlineStr">
        <is>
          <t>2110-12-09</t>
        </is>
      </c>
    </row>
    <row r="77086">
      <c r="A77086" s="1" t="n">
        <v>77085</v>
      </c>
      <c r="B77086">
        <f>TEXT(77085, "[$-0E0000]yyyy-mm-dd")</f>
        <v/>
      </c>
      <c r="C77086" t="inlineStr">
        <is>
          <t>2110-12-10</t>
        </is>
      </c>
    </row>
    <row r="77087">
      <c r="A77087" s="1" t="n">
        <v>77086</v>
      </c>
      <c r="B77087">
        <f>TEXT(77086, "[$-0E0000]yyyy-mm-dd")</f>
        <v/>
      </c>
      <c r="C77087" t="inlineStr">
        <is>
          <t>2110-12-11</t>
        </is>
      </c>
    </row>
    <row r="77088">
      <c r="A77088" s="1" t="n">
        <v>77087</v>
      </c>
      <c r="B77088">
        <f>TEXT(77087, "[$-0E0000]yyyy-mm-dd")</f>
        <v/>
      </c>
      <c r="C77088" t="inlineStr">
        <is>
          <t>2110-12-12</t>
        </is>
      </c>
    </row>
    <row r="77089">
      <c r="A77089" s="1" t="n">
        <v>77088</v>
      </c>
      <c r="B77089">
        <f>TEXT(77088, "[$-0E0000]yyyy-mm-dd")</f>
        <v/>
      </c>
      <c r="C77089" t="inlineStr">
        <is>
          <t>2110-12-13</t>
        </is>
      </c>
    </row>
    <row r="77090">
      <c r="A77090" s="1" t="n">
        <v>77089</v>
      </c>
      <c r="B77090">
        <f>TEXT(77089, "[$-0E0000]yyyy-mm-dd")</f>
        <v/>
      </c>
      <c r="C77090" t="inlineStr">
        <is>
          <t>2110-12-14</t>
        </is>
      </c>
    </row>
    <row r="77091">
      <c r="A77091" s="1" t="n">
        <v>77090</v>
      </c>
      <c r="B77091">
        <f>TEXT(77090, "[$-0E0000]yyyy-mm-dd")</f>
        <v/>
      </c>
      <c r="C77091" t="inlineStr">
        <is>
          <t>2110-12-15</t>
        </is>
      </c>
    </row>
    <row r="77092">
      <c r="A77092" s="1" t="n">
        <v>77091</v>
      </c>
      <c r="B77092">
        <f>TEXT(77091, "[$-0E0000]yyyy-mm-dd")</f>
        <v/>
      </c>
      <c r="C77092" t="inlineStr">
        <is>
          <t>2110-12-16</t>
        </is>
      </c>
    </row>
    <row r="77093">
      <c r="A77093" s="1" t="n">
        <v>77092</v>
      </c>
      <c r="B77093">
        <f>TEXT(77092, "[$-0E0000]yyyy-mm-dd")</f>
        <v/>
      </c>
      <c r="C77093" t="inlineStr">
        <is>
          <t>2110-12-17</t>
        </is>
      </c>
    </row>
    <row r="77094">
      <c r="A77094" s="1" t="n">
        <v>77093</v>
      </c>
      <c r="B77094">
        <f>TEXT(77093, "[$-0E0000]yyyy-mm-dd")</f>
        <v/>
      </c>
      <c r="C77094" t="inlineStr">
        <is>
          <t>2110-12-18</t>
        </is>
      </c>
    </row>
    <row r="77095">
      <c r="A77095" s="1" t="n">
        <v>77094</v>
      </c>
      <c r="B77095">
        <f>TEXT(77094, "[$-0E0000]yyyy-mm-dd")</f>
        <v/>
      </c>
      <c r="C77095" t="inlineStr">
        <is>
          <t>2110-12-19</t>
        </is>
      </c>
    </row>
    <row r="77096">
      <c r="A77096" s="1" t="n">
        <v>77095</v>
      </c>
      <c r="B77096">
        <f>TEXT(77095, "[$-0E0000]yyyy-mm-dd")</f>
        <v/>
      </c>
      <c r="C77096" t="inlineStr">
        <is>
          <t>2110-12-20</t>
        </is>
      </c>
    </row>
    <row r="77097">
      <c r="A77097" s="1" t="n">
        <v>77096</v>
      </c>
      <c r="B77097">
        <f>TEXT(77096, "[$-0E0000]yyyy-mm-dd")</f>
        <v/>
      </c>
      <c r="C77097" t="inlineStr">
        <is>
          <t>2110-12-21</t>
        </is>
      </c>
    </row>
    <row r="77098">
      <c r="A77098" s="1" t="n">
        <v>77097</v>
      </c>
      <c r="B77098">
        <f>TEXT(77097, "[$-0E0000]yyyy-mm-dd")</f>
        <v/>
      </c>
      <c r="C77098" t="inlineStr">
        <is>
          <t>2110-12-22</t>
        </is>
      </c>
    </row>
    <row r="77099">
      <c r="A77099" s="1" t="n">
        <v>77098</v>
      </c>
      <c r="B77099">
        <f>TEXT(77098, "[$-0E0000]yyyy-mm-dd")</f>
        <v/>
      </c>
      <c r="C77099" t="inlineStr">
        <is>
          <t>2110-12-23</t>
        </is>
      </c>
    </row>
    <row r="77100">
      <c r="A77100" s="1" t="n">
        <v>77099</v>
      </c>
      <c r="B77100">
        <f>TEXT(77099, "[$-0E0000]yyyy-mm-dd")</f>
        <v/>
      </c>
      <c r="C77100" t="inlineStr">
        <is>
          <t>2110-12-24</t>
        </is>
      </c>
    </row>
    <row r="77101">
      <c r="A77101" s="1" t="n">
        <v>77100</v>
      </c>
      <c r="B77101">
        <f>TEXT(77100, "[$-0E0000]yyyy-mm-dd")</f>
        <v/>
      </c>
      <c r="C77101" t="inlineStr">
        <is>
          <t>2110-12-25</t>
        </is>
      </c>
    </row>
    <row r="77102">
      <c r="A77102" s="1" t="n">
        <v>77101</v>
      </c>
      <c r="B77102">
        <f>TEXT(77101, "[$-0E0000]yyyy-mm-dd")</f>
        <v/>
      </c>
      <c r="C77102" t="inlineStr">
        <is>
          <t>2110-12-26</t>
        </is>
      </c>
    </row>
    <row r="77103">
      <c r="A77103" s="1" t="n">
        <v>77102</v>
      </c>
      <c r="B77103">
        <f>TEXT(77102, "[$-0E0000]yyyy-mm-dd")</f>
        <v/>
      </c>
      <c r="C77103" t="inlineStr">
        <is>
          <t>2110-12-27</t>
        </is>
      </c>
    </row>
    <row r="77104">
      <c r="A77104" s="1" t="n">
        <v>77103</v>
      </c>
      <c r="B77104">
        <f>TEXT(77103, "[$-0E0000]yyyy-mm-dd")</f>
        <v/>
      </c>
      <c r="C77104" t="inlineStr">
        <is>
          <t>2110-12-28</t>
        </is>
      </c>
    </row>
    <row r="77105">
      <c r="A77105" s="1" t="n">
        <v>77104</v>
      </c>
      <c r="B77105">
        <f>TEXT(77104, "[$-0E0000]yyyy-mm-dd")</f>
        <v/>
      </c>
      <c r="C77105" t="inlineStr">
        <is>
          <t>2110-12-29</t>
        </is>
      </c>
    </row>
    <row r="77106">
      <c r="A77106" s="1" t="n">
        <v>77105</v>
      </c>
      <c r="B77106">
        <f>TEXT(77105, "[$-0E0000]yyyy-mm-dd")</f>
        <v/>
      </c>
      <c r="C77106" t="inlineStr">
        <is>
          <t>2111-01-01</t>
        </is>
      </c>
    </row>
    <row r="77107">
      <c r="A77107" s="1" t="n">
        <v>77106</v>
      </c>
      <c r="B77107">
        <f>TEXT(77106, "[$-0E0000]yyyy-mm-dd")</f>
        <v/>
      </c>
      <c r="C77107" t="inlineStr">
        <is>
          <t>2111-01-02</t>
        </is>
      </c>
    </row>
    <row r="77108">
      <c r="A77108" s="1" t="n">
        <v>77107</v>
      </c>
      <c r="B77108">
        <f>TEXT(77107, "[$-0E0000]yyyy-mm-dd")</f>
        <v/>
      </c>
      <c r="C77108" t="inlineStr">
        <is>
          <t>2111-01-03</t>
        </is>
      </c>
    </row>
    <row r="77109">
      <c r="A77109" s="1" t="n">
        <v>77108</v>
      </c>
      <c r="B77109">
        <f>TEXT(77108, "[$-0E0000]yyyy-mm-dd")</f>
        <v/>
      </c>
      <c r="C77109" t="inlineStr">
        <is>
          <t>2111-01-04</t>
        </is>
      </c>
    </row>
    <row r="77110">
      <c r="A77110" s="1" t="n">
        <v>77109</v>
      </c>
      <c r="B77110">
        <f>TEXT(77109, "[$-0E0000]yyyy-mm-dd")</f>
        <v/>
      </c>
      <c r="C77110" t="inlineStr">
        <is>
          <t>2111-01-05</t>
        </is>
      </c>
    </row>
    <row r="77111">
      <c r="A77111" s="1" t="n">
        <v>77110</v>
      </c>
      <c r="B77111">
        <f>TEXT(77110, "[$-0E0000]yyyy-mm-dd")</f>
        <v/>
      </c>
      <c r="C77111" t="inlineStr">
        <is>
          <t>2111-01-06</t>
        </is>
      </c>
    </row>
    <row r="77112">
      <c r="A77112" s="1" t="n">
        <v>77111</v>
      </c>
      <c r="B77112">
        <f>TEXT(77111, "[$-0E0000]yyyy-mm-dd")</f>
        <v/>
      </c>
      <c r="C77112" t="inlineStr">
        <is>
          <t>2111-01-07</t>
        </is>
      </c>
    </row>
    <row r="77113">
      <c r="A77113" s="1" t="n">
        <v>77112</v>
      </c>
      <c r="B77113">
        <f>TEXT(77112, "[$-0E0000]yyyy-mm-dd")</f>
        <v/>
      </c>
      <c r="C77113" t="inlineStr">
        <is>
          <t>2111-01-08</t>
        </is>
      </c>
    </row>
    <row r="77114">
      <c r="A77114" s="1" t="n">
        <v>77113</v>
      </c>
      <c r="B77114">
        <f>TEXT(77113, "[$-0E0000]yyyy-mm-dd")</f>
        <v/>
      </c>
      <c r="C77114" t="inlineStr">
        <is>
          <t>2111-01-09</t>
        </is>
      </c>
    </row>
    <row r="77115">
      <c r="A77115" s="1" t="n">
        <v>77114</v>
      </c>
      <c r="B77115">
        <f>TEXT(77114, "[$-0E0000]yyyy-mm-dd")</f>
        <v/>
      </c>
      <c r="C77115" t="inlineStr">
        <is>
          <t>2111-01-10</t>
        </is>
      </c>
    </row>
    <row r="77116">
      <c r="A77116" s="1" t="n">
        <v>77115</v>
      </c>
      <c r="B77116">
        <f>TEXT(77115, "[$-0E0000]yyyy-mm-dd")</f>
        <v/>
      </c>
      <c r="C77116" t="inlineStr">
        <is>
          <t>2111-01-11</t>
        </is>
      </c>
    </row>
    <row r="77117">
      <c r="A77117" s="1" t="n">
        <v>77116</v>
      </c>
      <c r="B77117">
        <f>TEXT(77116, "[$-0E0000]yyyy-mm-dd")</f>
        <v/>
      </c>
      <c r="C77117" t="inlineStr">
        <is>
          <t>2111-01-12</t>
        </is>
      </c>
    </row>
    <row r="77118">
      <c r="A77118" s="1" t="n">
        <v>77117</v>
      </c>
      <c r="B77118">
        <f>TEXT(77117, "[$-0E0000]yyyy-mm-dd")</f>
        <v/>
      </c>
      <c r="C77118" t="inlineStr">
        <is>
          <t>2111-01-13</t>
        </is>
      </c>
    </row>
    <row r="77119">
      <c r="A77119" s="1" t="n">
        <v>77118</v>
      </c>
      <c r="B77119">
        <f>TEXT(77118, "[$-0E0000]yyyy-mm-dd")</f>
        <v/>
      </c>
      <c r="C77119" t="inlineStr">
        <is>
          <t>2111-01-14</t>
        </is>
      </c>
    </row>
    <row r="77120">
      <c r="A77120" s="1" t="n">
        <v>77119</v>
      </c>
      <c r="B77120">
        <f>TEXT(77119, "[$-0E0000]yyyy-mm-dd")</f>
        <v/>
      </c>
      <c r="C77120" t="inlineStr">
        <is>
          <t>2111-01-15</t>
        </is>
      </c>
    </row>
    <row r="77121">
      <c r="A77121" s="1" t="n">
        <v>77120</v>
      </c>
      <c r="B77121">
        <f>TEXT(77120, "[$-0E0000]yyyy-mm-dd")</f>
        <v/>
      </c>
      <c r="C77121" t="inlineStr">
        <is>
          <t>2111-01-16</t>
        </is>
      </c>
    </row>
    <row r="77122">
      <c r="A77122" s="1" t="n">
        <v>77121</v>
      </c>
      <c r="B77122">
        <f>TEXT(77121, "[$-0E0000]yyyy-mm-dd")</f>
        <v/>
      </c>
      <c r="C77122" t="inlineStr">
        <is>
          <t>2111-01-17</t>
        </is>
      </c>
    </row>
    <row r="77123">
      <c r="A77123" s="1" t="n">
        <v>77122</v>
      </c>
      <c r="B77123">
        <f>TEXT(77122, "[$-0E0000]yyyy-mm-dd")</f>
        <v/>
      </c>
      <c r="C77123" t="inlineStr">
        <is>
          <t>2111-01-18</t>
        </is>
      </c>
    </row>
    <row r="77124">
      <c r="A77124" s="1" t="n">
        <v>77123</v>
      </c>
      <c r="B77124">
        <f>TEXT(77123, "[$-0E0000]yyyy-mm-dd")</f>
        <v/>
      </c>
      <c r="C77124" t="inlineStr">
        <is>
          <t>2111-01-19</t>
        </is>
      </c>
    </row>
    <row r="77125">
      <c r="A77125" s="1" t="n">
        <v>77124</v>
      </c>
      <c r="B77125">
        <f>TEXT(77124, "[$-0E0000]yyyy-mm-dd")</f>
        <v/>
      </c>
      <c r="C77125" t="inlineStr">
        <is>
          <t>2111-01-20</t>
        </is>
      </c>
    </row>
    <row r="77126">
      <c r="A77126" s="1" t="n">
        <v>77125</v>
      </c>
      <c r="B77126">
        <f>TEXT(77125, "[$-0E0000]yyyy-mm-dd")</f>
        <v/>
      </c>
      <c r="C77126" t="inlineStr">
        <is>
          <t>2111-01-21</t>
        </is>
      </c>
    </row>
    <row r="77127">
      <c r="A77127" s="1" t="n">
        <v>77126</v>
      </c>
      <c r="B77127">
        <f>TEXT(77126, "[$-0E0000]yyyy-mm-dd")</f>
        <v/>
      </c>
      <c r="C77127" t="inlineStr">
        <is>
          <t>2111-01-22</t>
        </is>
      </c>
    </row>
    <row r="77128">
      <c r="A77128" s="1" t="n">
        <v>77127</v>
      </c>
      <c r="B77128">
        <f>TEXT(77127, "[$-0E0000]yyyy-mm-dd")</f>
        <v/>
      </c>
      <c r="C77128" t="inlineStr">
        <is>
          <t>2111-01-23</t>
        </is>
      </c>
    </row>
    <row r="77129">
      <c r="A77129" s="1" t="n">
        <v>77128</v>
      </c>
      <c r="B77129">
        <f>TEXT(77128, "[$-0E0000]yyyy-mm-dd")</f>
        <v/>
      </c>
      <c r="C77129" t="inlineStr">
        <is>
          <t>2111-01-24</t>
        </is>
      </c>
    </row>
    <row r="77130">
      <c r="A77130" s="1" t="n">
        <v>77129</v>
      </c>
      <c r="B77130">
        <f>TEXT(77129, "[$-0E0000]yyyy-mm-dd")</f>
        <v/>
      </c>
      <c r="C77130" t="inlineStr">
        <is>
          <t>2111-01-25</t>
        </is>
      </c>
    </row>
    <row r="77131">
      <c r="A77131" s="1" t="n">
        <v>77130</v>
      </c>
      <c r="B77131">
        <f>TEXT(77130, "[$-0E0000]yyyy-mm-dd")</f>
        <v/>
      </c>
      <c r="C77131" t="inlineStr">
        <is>
          <t>2111-01-26</t>
        </is>
      </c>
    </row>
    <row r="77132">
      <c r="A77132" s="1" t="n">
        <v>77131</v>
      </c>
      <c r="B77132">
        <f>TEXT(77131, "[$-0E0000]yyyy-mm-dd")</f>
        <v/>
      </c>
      <c r="C77132" t="inlineStr">
        <is>
          <t>2111-01-27</t>
        </is>
      </c>
    </row>
    <row r="77133">
      <c r="A77133" s="1" t="n">
        <v>77132</v>
      </c>
      <c r="B77133">
        <f>TEXT(77132, "[$-0E0000]yyyy-mm-dd")</f>
        <v/>
      </c>
      <c r="C77133" t="inlineStr">
        <is>
          <t>2111-01-28</t>
        </is>
      </c>
    </row>
    <row r="77134">
      <c r="A77134" s="1" t="n">
        <v>77133</v>
      </c>
      <c r="B77134">
        <f>TEXT(77133, "[$-0E0000]yyyy-mm-dd")</f>
        <v/>
      </c>
      <c r="C77134" t="inlineStr">
        <is>
          <t>2111-01-29</t>
        </is>
      </c>
    </row>
    <row r="77135">
      <c r="A77135" s="1" t="n">
        <v>77134</v>
      </c>
      <c r="B77135">
        <f>TEXT(77134, "[$-0E0000]yyyy-mm-dd")</f>
        <v/>
      </c>
      <c r="C77135" t="inlineStr">
        <is>
          <t>2111-01-30</t>
        </is>
      </c>
    </row>
    <row r="77136">
      <c r="A77136" s="1" t="n">
        <v>77135</v>
      </c>
      <c r="B77136">
        <f>TEXT(77135, "[$-0E0000]yyyy-mm-dd")</f>
        <v/>
      </c>
      <c r="C77136" t="inlineStr">
        <is>
          <t>2111-02-01</t>
        </is>
      </c>
    </row>
    <row r="77137">
      <c r="A77137" s="1" t="n">
        <v>77136</v>
      </c>
      <c r="B77137">
        <f>TEXT(77136, "[$-0E0000]yyyy-mm-dd")</f>
        <v/>
      </c>
      <c r="C77137" t="inlineStr">
        <is>
          <t>2111-02-02</t>
        </is>
      </c>
    </row>
    <row r="77138">
      <c r="A77138" s="1" t="n">
        <v>77137</v>
      </c>
      <c r="B77138">
        <f>TEXT(77137, "[$-0E0000]yyyy-mm-dd")</f>
        <v/>
      </c>
      <c r="C77138" t="inlineStr">
        <is>
          <t>2111-02-03</t>
        </is>
      </c>
    </row>
    <row r="77139">
      <c r="A77139" s="1" t="n">
        <v>77138</v>
      </c>
      <c r="B77139">
        <f>TEXT(77138, "[$-0E0000]yyyy-mm-dd")</f>
        <v/>
      </c>
      <c r="C77139" t="inlineStr">
        <is>
          <t>2111-02-04</t>
        </is>
      </c>
    </row>
    <row r="77140">
      <c r="A77140" s="1" t="n">
        <v>77139</v>
      </c>
      <c r="B77140">
        <f>TEXT(77139, "[$-0E0000]yyyy-mm-dd")</f>
        <v/>
      </c>
      <c r="C77140" t="inlineStr">
        <is>
          <t>2111-02-05</t>
        </is>
      </c>
    </row>
    <row r="77141">
      <c r="A77141" s="1" t="n">
        <v>77140</v>
      </c>
      <c r="B77141">
        <f>TEXT(77140, "[$-0E0000]yyyy-mm-dd")</f>
        <v/>
      </c>
      <c r="C77141" t="inlineStr">
        <is>
          <t>2111-02-06</t>
        </is>
      </c>
    </row>
    <row r="77142">
      <c r="A77142" s="1" t="n">
        <v>77141</v>
      </c>
      <c r="B77142">
        <f>TEXT(77141, "[$-0E0000]yyyy-mm-dd")</f>
        <v/>
      </c>
      <c r="C77142" t="inlineStr">
        <is>
          <t>2111-02-07</t>
        </is>
      </c>
    </row>
    <row r="77143">
      <c r="A77143" s="1" t="n">
        <v>77142</v>
      </c>
      <c r="B77143">
        <f>TEXT(77142, "[$-0E0000]yyyy-mm-dd")</f>
        <v/>
      </c>
      <c r="C77143" t="inlineStr">
        <is>
          <t>2111-02-08</t>
        </is>
      </c>
    </row>
    <row r="77144">
      <c r="A77144" s="1" t="n">
        <v>77143</v>
      </c>
      <c r="B77144">
        <f>TEXT(77143, "[$-0E0000]yyyy-mm-dd")</f>
        <v/>
      </c>
      <c r="C77144" t="inlineStr">
        <is>
          <t>2111-02-09</t>
        </is>
      </c>
    </row>
    <row r="77145">
      <c r="A77145" s="1" t="n">
        <v>77144</v>
      </c>
      <c r="B77145">
        <f>TEXT(77144, "[$-0E0000]yyyy-mm-dd")</f>
        <v/>
      </c>
      <c r="C77145" t="inlineStr">
        <is>
          <t>2111-02-10</t>
        </is>
      </c>
    </row>
    <row r="77146">
      <c r="A77146" s="1" t="n">
        <v>77145</v>
      </c>
      <c r="B77146">
        <f>TEXT(77145, "[$-0E0000]yyyy-mm-dd")</f>
        <v/>
      </c>
      <c r="C77146" t="inlineStr">
        <is>
          <t>2111-02-11</t>
        </is>
      </c>
    </row>
    <row r="77147">
      <c r="A77147" s="1" t="n">
        <v>77146</v>
      </c>
      <c r="B77147">
        <f>TEXT(77146, "[$-0E0000]yyyy-mm-dd")</f>
        <v/>
      </c>
      <c r="C77147" t="inlineStr">
        <is>
          <t>2111-02-12</t>
        </is>
      </c>
    </row>
    <row r="77148">
      <c r="A77148" s="1" t="n">
        <v>77147</v>
      </c>
      <c r="B77148">
        <f>TEXT(77147, "[$-0E0000]yyyy-mm-dd")</f>
        <v/>
      </c>
      <c r="C77148" t="inlineStr">
        <is>
          <t>2111-02-13</t>
        </is>
      </c>
    </row>
    <row r="77149">
      <c r="A77149" s="1" t="n">
        <v>77148</v>
      </c>
      <c r="B77149">
        <f>TEXT(77148, "[$-0E0000]yyyy-mm-dd")</f>
        <v/>
      </c>
      <c r="C77149" t="inlineStr">
        <is>
          <t>2111-02-14</t>
        </is>
      </c>
    </row>
    <row r="77150">
      <c r="A77150" s="1" t="n">
        <v>77149</v>
      </c>
      <c r="B77150">
        <f>TEXT(77149, "[$-0E0000]yyyy-mm-dd")</f>
        <v/>
      </c>
      <c r="C77150" t="inlineStr">
        <is>
          <t>2111-02-15</t>
        </is>
      </c>
    </row>
    <row r="77151">
      <c r="A77151" s="1" t="n">
        <v>77150</v>
      </c>
      <c r="B77151">
        <f>TEXT(77150, "[$-0E0000]yyyy-mm-dd")</f>
        <v/>
      </c>
      <c r="C77151" t="inlineStr">
        <is>
          <t>2111-02-16</t>
        </is>
      </c>
    </row>
    <row r="77152">
      <c r="A77152" s="1" t="n">
        <v>77151</v>
      </c>
      <c r="B77152">
        <f>TEXT(77151, "[$-0E0000]yyyy-mm-dd")</f>
        <v/>
      </c>
      <c r="C77152" t="inlineStr">
        <is>
          <t>2111-02-17</t>
        </is>
      </c>
    </row>
    <row r="77153">
      <c r="A77153" s="1" t="n">
        <v>77152</v>
      </c>
      <c r="B77153">
        <f>TEXT(77152, "[$-0E0000]yyyy-mm-dd")</f>
        <v/>
      </c>
      <c r="C77153" t="inlineStr">
        <is>
          <t>2111-02-18</t>
        </is>
      </c>
    </row>
    <row r="77154">
      <c r="A77154" s="1" t="n">
        <v>77153</v>
      </c>
      <c r="B77154">
        <f>TEXT(77153, "[$-0E0000]yyyy-mm-dd")</f>
        <v/>
      </c>
      <c r="C77154" t="inlineStr">
        <is>
          <t>2111-02-19</t>
        </is>
      </c>
    </row>
    <row r="77155">
      <c r="A77155" s="1" t="n">
        <v>77154</v>
      </c>
      <c r="B77155">
        <f>TEXT(77154, "[$-0E0000]yyyy-mm-dd")</f>
        <v/>
      </c>
      <c r="C77155" t="inlineStr">
        <is>
          <t>2111-02-20</t>
        </is>
      </c>
    </row>
    <row r="77156">
      <c r="A77156" s="1" t="n">
        <v>77155</v>
      </c>
      <c r="B77156">
        <f>TEXT(77155, "[$-0E0000]yyyy-mm-dd")</f>
        <v/>
      </c>
      <c r="C77156" t="inlineStr">
        <is>
          <t>2111-02-21</t>
        </is>
      </c>
    </row>
    <row r="77157">
      <c r="A77157" s="1" t="n">
        <v>77156</v>
      </c>
      <c r="B77157">
        <f>TEXT(77156, "[$-0E0000]yyyy-mm-dd")</f>
        <v/>
      </c>
      <c r="C77157" t="inlineStr">
        <is>
          <t>2111-02-22</t>
        </is>
      </c>
    </row>
    <row r="77158">
      <c r="A77158" s="1" t="n">
        <v>77157</v>
      </c>
      <c r="B77158">
        <f>TEXT(77157, "[$-0E0000]yyyy-mm-dd")</f>
        <v/>
      </c>
      <c r="C77158" t="inlineStr">
        <is>
          <t>2111-02-23</t>
        </is>
      </c>
    </row>
    <row r="77159">
      <c r="A77159" s="1" t="n">
        <v>77158</v>
      </c>
      <c r="B77159">
        <f>TEXT(77158, "[$-0E0000]yyyy-mm-dd")</f>
        <v/>
      </c>
      <c r="C77159" t="inlineStr">
        <is>
          <t>2111-02-24</t>
        </is>
      </c>
    </row>
    <row r="77160">
      <c r="A77160" s="1" t="n">
        <v>77159</v>
      </c>
      <c r="B77160">
        <f>TEXT(77159, "[$-0E0000]yyyy-mm-dd")</f>
        <v/>
      </c>
      <c r="C77160" t="inlineStr">
        <is>
          <t>2111-02-25</t>
        </is>
      </c>
    </row>
    <row r="77161">
      <c r="A77161" s="1" t="n">
        <v>77160</v>
      </c>
      <c r="B77161">
        <f>TEXT(77160, "[$-0E0000]yyyy-mm-dd")</f>
        <v/>
      </c>
      <c r="C77161" t="inlineStr">
        <is>
          <t>2111-02-26</t>
        </is>
      </c>
    </row>
    <row r="77162">
      <c r="A77162" s="1" t="n">
        <v>77161</v>
      </c>
      <c r="B77162">
        <f>TEXT(77161, "[$-0E0000]yyyy-mm-dd")</f>
        <v/>
      </c>
      <c r="C77162" t="inlineStr">
        <is>
          <t>2111-02-27</t>
        </is>
      </c>
    </row>
    <row r="77163">
      <c r="A77163" s="1" t="n">
        <v>77162</v>
      </c>
      <c r="B77163">
        <f>TEXT(77162, "[$-0E0000]yyyy-mm-dd")</f>
        <v/>
      </c>
      <c r="C77163" t="inlineStr">
        <is>
          <t>2111-02-28</t>
        </is>
      </c>
    </row>
    <row r="77164">
      <c r="A77164" s="1" t="n">
        <v>77163</v>
      </c>
      <c r="B77164">
        <f>TEXT(77163, "[$-0E0000]yyyy-mm-dd")</f>
        <v/>
      </c>
      <c r="C77164" t="inlineStr">
        <is>
          <t>2111-02-29</t>
        </is>
      </c>
    </row>
    <row r="77165">
      <c r="A77165" s="1" t="n">
        <v>77164</v>
      </c>
      <c r="B77165">
        <f>TEXT(77164, "[$-0E0000]yyyy-mm-dd")</f>
        <v/>
      </c>
      <c r="C77165" t="inlineStr">
        <is>
          <t>2111-03-01</t>
        </is>
      </c>
    </row>
    <row r="77166">
      <c r="A77166" s="1" t="n">
        <v>77165</v>
      </c>
      <c r="B77166">
        <f>TEXT(77165, "[$-0E0000]yyyy-mm-dd")</f>
        <v/>
      </c>
      <c r="C77166" t="inlineStr">
        <is>
          <t>2111-03-02</t>
        </is>
      </c>
    </row>
    <row r="77167">
      <c r="A77167" s="1" t="n">
        <v>77166</v>
      </c>
      <c r="B77167">
        <f>TEXT(77166, "[$-0E0000]yyyy-mm-dd")</f>
        <v/>
      </c>
      <c r="C77167" t="inlineStr">
        <is>
          <t>2111-03-03</t>
        </is>
      </c>
    </row>
    <row r="77168">
      <c r="A77168" s="1" t="n">
        <v>77167</v>
      </c>
      <c r="B77168">
        <f>TEXT(77167, "[$-0E0000]yyyy-mm-dd")</f>
        <v/>
      </c>
      <c r="C77168" t="inlineStr">
        <is>
          <t>2111-03-04</t>
        </is>
      </c>
    </row>
    <row r="77169">
      <c r="A77169" s="1" t="n">
        <v>77168</v>
      </c>
      <c r="B77169">
        <f>TEXT(77168, "[$-0E0000]yyyy-mm-dd")</f>
        <v/>
      </c>
      <c r="C77169" t="inlineStr">
        <is>
          <t>2111-03-05</t>
        </is>
      </c>
    </row>
    <row r="77170">
      <c r="A77170" s="1" t="n">
        <v>77169</v>
      </c>
      <c r="B77170">
        <f>TEXT(77169, "[$-0E0000]yyyy-mm-dd")</f>
        <v/>
      </c>
      <c r="C77170" t="inlineStr">
        <is>
          <t>2111-03-06</t>
        </is>
      </c>
    </row>
    <row r="77171">
      <c r="A77171" s="1" t="n">
        <v>77170</v>
      </c>
      <c r="B77171">
        <f>TEXT(77170, "[$-0E0000]yyyy-mm-dd")</f>
        <v/>
      </c>
      <c r="C77171" t="inlineStr">
        <is>
          <t>2111-03-07</t>
        </is>
      </c>
    </row>
    <row r="77172">
      <c r="A77172" s="1" t="n">
        <v>77171</v>
      </c>
      <c r="B77172">
        <f>TEXT(77171, "[$-0E0000]yyyy-mm-dd")</f>
        <v/>
      </c>
      <c r="C77172" t="inlineStr">
        <is>
          <t>2111-03-08</t>
        </is>
      </c>
    </row>
    <row r="77173">
      <c r="A77173" s="1" t="n">
        <v>77172</v>
      </c>
      <c r="B77173">
        <f>TEXT(77172, "[$-0E0000]yyyy-mm-dd")</f>
        <v/>
      </c>
      <c r="C77173" t="inlineStr">
        <is>
          <t>2111-03-09</t>
        </is>
      </c>
    </row>
    <row r="77174">
      <c r="A77174" s="1" t="n">
        <v>77173</v>
      </c>
      <c r="B77174">
        <f>TEXT(77173, "[$-0E0000]yyyy-mm-dd")</f>
        <v/>
      </c>
      <c r="C77174" t="inlineStr">
        <is>
          <t>2111-03-10</t>
        </is>
      </c>
    </row>
    <row r="77175">
      <c r="A77175" s="1" t="n">
        <v>77174</v>
      </c>
      <c r="B77175">
        <f>TEXT(77174, "[$-0E0000]yyyy-mm-dd")</f>
        <v/>
      </c>
      <c r="C77175" t="inlineStr">
        <is>
          <t>2111-03-11</t>
        </is>
      </c>
    </row>
    <row r="77176">
      <c r="A77176" s="1" t="n">
        <v>77175</v>
      </c>
      <c r="B77176">
        <f>TEXT(77175, "[$-0E0000]yyyy-mm-dd")</f>
        <v/>
      </c>
      <c r="C77176" t="inlineStr">
        <is>
          <t>2111-03-12</t>
        </is>
      </c>
    </row>
    <row r="77177">
      <c r="A77177" s="1" t="n">
        <v>77176</v>
      </c>
      <c r="B77177">
        <f>TEXT(77176, "[$-0E0000]yyyy-mm-dd")</f>
        <v/>
      </c>
      <c r="C77177" t="inlineStr">
        <is>
          <t>2111-03-13</t>
        </is>
      </c>
    </row>
    <row r="77178">
      <c r="A77178" s="1" t="n">
        <v>77177</v>
      </c>
      <c r="B77178">
        <f>TEXT(77177, "[$-0E0000]yyyy-mm-dd")</f>
        <v/>
      </c>
      <c r="C77178" t="inlineStr">
        <is>
          <t>2111-03-14</t>
        </is>
      </c>
    </row>
    <row r="77179">
      <c r="A77179" s="1" t="n">
        <v>77178</v>
      </c>
      <c r="B77179">
        <f>TEXT(77178, "[$-0E0000]yyyy-mm-dd")</f>
        <v/>
      </c>
      <c r="C77179" t="inlineStr">
        <is>
          <t>2111-03-15</t>
        </is>
      </c>
    </row>
    <row r="77180">
      <c r="A77180" s="1" t="n">
        <v>77179</v>
      </c>
      <c r="B77180">
        <f>TEXT(77179, "[$-0E0000]yyyy-mm-dd")</f>
        <v/>
      </c>
      <c r="C77180" t="inlineStr">
        <is>
          <t>2111-03-16</t>
        </is>
      </c>
    </row>
    <row r="77181">
      <c r="A77181" s="1" t="n">
        <v>77180</v>
      </c>
      <c r="B77181">
        <f>TEXT(77180, "[$-0E0000]yyyy-mm-dd")</f>
        <v/>
      </c>
      <c r="C77181" t="inlineStr">
        <is>
          <t>2111-03-17</t>
        </is>
      </c>
    </row>
    <row r="77182">
      <c r="A77182" s="1" t="n">
        <v>77181</v>
      </c>
      <c r="B77182">
        <f>TEXT(77181, "[$-0E0000]yyyy-mm-dd")</f>
        <v/>
      </c>
      <c r="C77182" t="inlineStr">
        <is>
          <t>2111-03-18</t>
        </is>
      </c>
    </row>
    <row r="77183">
      <c r="A77183" s="1" t="n">
        <v>77182</v>
      </c>
      <c r="B77183">
        <f>TEXT(77182, "[$-0E0000]yyyy-mm-dd")</f>
        <v/>
      </c>
      <c r="C77183" t="inlineStr">
        <is>
          <t>2111-03-19</t>
        </is>
      </c>
    </row>
    <row r="77184">
      <c r="A77184" s="1" t="n">
        <v>77183</v>
      </c>
      <c r="B77184">
        <f>TEXT(77183, "[$-0E0000]yyyy-mm-dd")</f>
        <v/>
      </c>
      <c r="C77184" t="inlineStr">
        <is>
          <t>2111-03-20</t>
        </is>
      </c>
    </row>
    <row r="77185">
      <c r="A77185" s="1" t="n">
        <v>77184</v>
      </c>
      <c r="B77185">
        <f>TEXT(77184, "[$-0E0000]yyyy-mm-dd")</f>
        <v/>
      </c>
      <c r="C77185" t="inlineStr">
        <is>
          <t>2111-03-21</t>
        </is>
      </c>
    </row>
    <row r="77186">
      <c r="A77186" s="1" t="n">
        <v>77185</v>
      </c>
      <c r="B77186">
        <f>TEXT(77185, "[$-0E0000]yyyy-mm-dd")</f>
        <v/>
      </c>
      <c r="C77186" t="inlineStr">
        <is>
          <t>2111-03-22</t>
        </is>
      </c>
    </row>
    <row r="77187">
      <c r="A77187" s="1" t="n">
        <v>77186</v>
      </c>
      <c r="B77187">
        <f>TEXT(77186, "[$-0E0000]yyyy-mm-dd")</f>
        <v/>
      </c>
      <c r="C77187" t="inlineStr">
        <is>
          <t>2111-03-23</t>
        </is>
      </c>
    </row>
    <row r="77188">
      <c r="A77188" s="1" t="n">
        <v>77187</v>
      </c>
      <c r="B77188">
        <f>TEXT(77187, "[$-0E0000]yyyy-mm-dd")</f>
        <v/>
      </c>
      <c r="C77188" t="inlineStr">
        <is>
          <t>2111-03-24</t>
        </is>
      </c>
    </row>
    <row r="77189">
      <c r="A77189" s="1" t="n">
        <v>77188</v>
      </c>
      <c r="B77189">
        <f>TEXT(77188, "[$-0E0000]yyyy-mm-dd")</f>
        <v/>
      </c>
      <c r="C77189" t="inlineStr">
        <is>
          <t>2111-03-25</t>
        </is>
      </c>
    </row>
    <row r="77190">
      <c r="A77190" s="1" t="n">
        <v>77189</v>
      </c>
      <c r="B77190">
        <f>TEXT(77189, "[$-0E0000]yyyy-mm-dd")</f>
        <v/>
      </c>
      <c r="C77190" t="inlineStr">
        <is>
          <t>2111-03-26</t>
        </is>
      </c>
    </row>
    <row r="77191">
      <c r="A77191" s="1" t="n">
        <v>77190</v>
      </c>
      <c r="B77191">
        <f>TEXT(77190, "[$-0E0000]yyyy-mm-dd")</f>
        <v/>
      </c>
      <c r="C77191" t="inlineStr">
        <is>
          <t>2111-03-27</t>
        </is>
      </c>
    </row>
    <row r="77192">
      <c r="A77192" s="1" t="n">
        <v>77191</v>
      </c>
      <c r="B77192">
        <f>TEXT(77191, "[$-0E0000]yyyy-mm-dd")</f>
        <v/>
      </c>
      <c r="C77192" t="inlineStr">
        <is>
          <t>2111-03-28</t>
        </is>
      </c>
    </row>
    <row r="77193">
      <c r="A77193" s="1" t="n">
        <v>77192</v>
      </c>
      <c r="B77193">
        <f>TEXT(77192, "[$-0E0000]yyyy-mm-dd")</f>
        <v/>
      </c>
      <c r="C77193" t="inlineStr">
        <is>
          <t>2111-03-29</t>
        </is>
      </c>
    </row>
    <row r="77194">
      <c r="A77194" s="1" t="n">
        <v>77193</v>
      </c>
      <c r="B77194">
        <f>TEXT(77193, "[$-0E0000]yyyy-mm-dd")</f>
        <v/>
      </c>
      <c r="C77194" t="inlineStr">
        <is>
          <t>2111-03-30</t>
        </is>
      </c>
    </row>
    <row r="77195">
      <c r="A77195" s="1" t="n">
        <v>77194</v>
      </c>
      <c r="B77195">
        <f>TEXT(77194, "[$-0E0000]yyyy-mm-dd")</f>
        <v/>
      </c>
      <c r="C77195" t="inlineStr">
        <is>
          <t>2111-04-01</t>
        </is>
      </c>
    </row>
    <row r="77196">
      <c r="A77196" s="1" t="n">
        <v>77195</v>
      </c>
      <c r="B77196">
        <f>TEXT(77195, "[$-0E0000]yyyy-mm-dd")</f>
        <v/>
      </c>
      <c r="C77196" t="inlineStr">
        <is>
          <t>2111-04-02</t>
        </is>
      </c>
    </row>
    <row r="77197">
      <c r="A77197" s="1" t="n">
        <v>77196</v>
      </c>
      <c r="B77197">
        <f>TEXT(77196, "[$-0E0000]yyyy-mm-dd")</f>
        <v/>
      </c>
      <c r="C77197" t="inlineStr">
        <is>
          <t>2111-04-03</t>
        </is>
      </c>
    </row>
    <row r="77198">
      <c r="A77198" s="1" t="n">
        <v>77197</v>
      </c>
      <c r="B77198">
        <f>TEXT(77197, "[$-0E0000]yyyy-mm-dd")</f>
        <v/>
      </c>
      <c r="C77198" t="inlineStr">
        <is>
          <t>2111-04-04</t>
        </is>
      </c>
    </row>
    <row r="77199">
      <c r="A77199" s="1" t="n">
        <v>77198</v>
      </c>
      <c r="B77199">
        <f>TEXT(77198, "[$-0E0000]yyyy-mm-dd")</f>
        <v/>
      </c>
      <c r="C77199" t="inlineStr">
        <is>
          <t>2111-04-05</t>
        </is>
      </c>
    </row>
    <row r="77200">
      <c r="A77200" s="1" t="n">
        <v>77199</v>
      </c>
      <c r="B77200">
        <f>TEXT(77199, "[$-0E0000]yyyy-mm-dd")</f>
        <v/>
      </c>
      <c r="C77200" t="inlineStr">
        <is>
          <t>2111-04-06</t>
        </is>
      </c>
    </row>
    <row r="77201">
      <c r="A77201" s="1" t="n">
        <v>77200</v>
      </c>
      <c r="B77201">
        <f>TEXT(77200, "[$-0E0000]yyyy-mm-dd")</f>
        <v/>
      </c>
      <c r="C77201" t="inlineStr">
        <is>
          <t>2111-04-07</t>
        </is>
      </c>
    </row>
    <row r="77202">
      <c r="A77202" s="1" t="n">
        <v>77201</v>
      </c>
      <c r="B77202">
        <f>TEXT(77201, "[$-0E0000]yyyy-mm-dd")</f>
        <v/>
      </c>
      <c r="C77202" t="inlineStr">
        <is>
          <t>2111-04-08</t>
        </is>
      </c>
    </row>
    <row r="77203">
      <c r="A77203" s="1" t="n">
        <v>77202</v>
      </c>
      <c r="B77203">
        <f>TEXT(77202, "[$-0E0000]yyyy-mm-dd")</f>
        <v/>
      </c>
      <c r="C77203" t="inlineStr">
        <is>
          <t>2111-04-09</t>
        </is>
      </c>
    </row>
    <row r="77204">
      <c r="A77204" s="1" t="n">
        <v>77203</v>
      </c>
      <c r="B77204">
        <f>TEXT(77203, "[$-0E0000]yyyy-mm-dd")</f>
        <v/>
      </c>
      <c r="C77204" t="inlineStr">
        <is>
          <t>2111-04-10</t>
        </is>
      </c>
    </row>
    <row r="77205">
      <c r="A77205" s="1" t="n">
        <v>77204</v>
      </c>
      <c r="B77205">
        <f>TEXT(77204, "[$-0E0000]yyyy-mm-dd")</f>
        <v/>
      </c>
      <c r="C77205" t="inlineStr">
        <is>
          <t>2111-04-11</t>
        </is>
      </c>
    </row>
    <row r="77206">
      <c r="A77206" s="1" t="n">
        <v>77205</v>
      </c>
      <c r="B77206">
        <f>TEXT(77205, "[$-0E0000]yyyy-mm-dd")</f>
        <v/>
      </c>
      <c r="C77206" t="inlineStr">
        <is>
          <t>2111-04-12</t>
        </is>
      </c>
    </row>
    <row r="77207">
      <c r="A77207" s="1" t="n">
        <v>77206</v>
      </c>
      <c r="B77207">
        <f>TEXT(77206, "[$-0E0000]yyyy-mm-dd")</f>
        <v/>
      </c>
      <c r="C77207" t="inlineStr">
        <is>
          <t>2111-04-13</t>
        </is>
      </c>
    </row>
    <row r="77208">
      <c r="A77208" s="1" t="n">
        <v>77207</v>
      </c>
      <c r="B77208">
        <f>TEXT(77207, "[$-0E0000]yyyy-mm-dd")</f>
        <v/>
      </c>
      <c r="C77208" t="inlineStr">
        <is>
          <t>2111-04-14</t>
        </is>
      </c>
    </row>
    <row r="77209">
      <c r="A77209" s="1" t="n">
        <v>77208</v>
      </c>
      <c r="B77209">
        <f>TEXT(77208, "[$-0E0000]yyyy-mm-dd")</f>
        <v/>
      </c>
      <c r="C77209" t="inlineStr">
        <is>
          <t>2111-04-15</t>
        </is>
      </c>
    </row>
    <row r="77210">
      <c r="A77210" s="1" t="n">
        <v>77209</v>
      </c>
      <c r="B77210">
        <f>TEXT(77209, "[$-0E0000]yyyy-mm-dd")</f>
        <v/>
      </c>
      <c r="C77210" t="inlineStr">
        <is>
          <t>2111-04-16</t>
        </is>
      </c>
    </row>
    <row r="77211">
      <c r="A77211" s="1" t="n">
        <v>77210</v>
      </c>
      <c r="B77211">
        <f>TEXT(77210, "[$-0E0000]yyyy-mm-dd")</f>
        <v/>
      </c>
      <c r="C77211" t="inlineStr">
        <is>
          <t>2111-04-17</t>
        </is>
      </c>
    </row>
    <row r="77212">
      <c r="A77212" s="1" t="n">
        <v>77211</v>
      </c>
      <c r="B77212">
        <f>TEXT(77211, "[$-0E0000]yyyy-mm-dd")</f>
        <v/>
      </c>
      <c r="C77212" t="inlineStr">
        <is>
          <t>2111-04-18</t>
        </is>
      </c>
    </row>
    <row r="77213">
      <c r="A77213" s="1" t="n">
        <v>77212</v>
      </c>
      <c r="B77213">
        <f>TEXT(77212, "[$-0E0000]yyyy-mm-dd")</f>
        <v/>
      </c>
      <c r="C77213" t="inlineStr">
        <is>
          <t>2111-04-19</t>
        </is>
      </c>
    </row>
    <row r="77214">
      <c r="A77214" s="1" t="n">
        <v>77213</v>
      </c>
      <c r="B77214">
        <f>TEXT(77213, "[$-0E0000]yyyy-mm-dd")</f>
        <v/>
      </c>
      <c r="C77214" t="inlineStr">
        <is>
          <t>2111-04-20</t>
        </is>
      </c>
    </row>
    <row r="77215">
      <c r="A77215" s="1" t="n">
        <v>77214</v>
      </c>
      <c r="B77215">
        <f>TEXT(77214, "[$-0E0000]yyyy-mm-dd")</f>
        <v/>
      </c>
      <c r="C77215" t="inlineStr">
        <is>
          <t>2111-04-21</t>
        </is>
      </c>
    </row>
    <row r="77216">
      <c r="A77216" s="1" t="n">
        <v>77215</v>
      </c>
      <c r="B77216">
        <f>TEXT(77215, "[$-0E0000]yyyy-mm-dd")</f>
        <v/>
      </c>
      <c r="C77216" t="inlineStr">
        <is>
          <t>2111-04-22</t>
        </is>
      </c>
    </row>
    <row r="77217">
      <c r="A77217" s="1" t="n">
        <v>77216</v>
      </c>
      <c r="B77217">
        <f>TEXT(77216, "[$-0E0000]yyyy-mm-dd")</f>
        <v/>
      </c>
      <c r="C77217" t="inlineStr">
        <is>
          <t>2111-04-23</t>
        </is>
      </c>
    </row>
    <row r="77218">
      <c r="A77218" s="1" t="n">
        <v>77217</v>
      </c>
      <c r="B77218">
        <f>TEXT(77217, "[$-0E0000]yyyy-mm-dd")</f>
        <v/>
      </c>
      <c r="C77218" t="inlineStr">
        <is>
          <t>2111-04-24</t>
        </is>
      </c>
    </row>
    <row r="77219">
      <c r="A77219" s="1" t="n">
        <v>77218</v>
      </c>
      <c r="B77219">
        <f>TEXT(77218, "[$-0E0000]yyyy-mm-dd")</f>
        <v/>
      </c>
      <c r="C77219" t="inlineStr">
        <is>
          <t>2111-04-25</t>
        </is>
      </c>
    </row>
    <row r="77220">
      <c r="A77220" s="1" t="n">
        <v>77219</v>
      </c>
      <c r="B77220">
        <f>TEXT(77219, "[$-0E0000]yyyy-mm-dd")</f>
        <v/>
      </c>
      <c r="C77220" t="inlineStr">
        <is>
          <t>2111-04-26</t>
        </is>
      </c>
    </row>
    <row r="77221">
      <c r="A77221" s="1" t="n">
        <v>77220</v>
      </c>
      <c r="B77221">
        <f>TEXT(77220, "[$-0E0000]yyyy-mm-dd")</f>
        <v/>
      </c>
      <c r="C77221" t="inlineStr">
        <is>
          <t>2111-04-27</t>
        </is>
      </c>
    </row>
    <row r="77222">
      <c r="A77222" s="1" t="n">
        <v>77221</v>
      </c>
      <c r="B77222">
        <f>TEXT(77221, "[$-0E0000]yyyy-mm-dd")</f>
        <v/>
      </c>
      <c r="C77222" t="inlineStr">
        <is>
          <t>2111-04-28</t>
        </is>
      </c>
    </row>
    <row r="77223">
      <c r="A77223" s="1" t="n">
        <v>77222</v>
      </c>
      <c r="B77223">
        <f>TEXT(77222, "[$-0E0000]yyyy-mm-dd")</f>
        <v/>
      </c>
      <c r="C77223" t="inlineStr">
        <is>
          <t>2111-04-29</t>
        </is>
      </c>
    </row>
    <row r="77224">
      <c r="A77224" s="1" t="n">
        <v>77223</v>
      </c>
      <c r="B77224">
        <f>TEXT(77223, "[$-0E0000]yyyy-mm-dd")</f>
        <v/>
      </c>
      <c r="C77224" t="inlineStr">
        <is>
          <t>2111-05-01</t>
        </is>
      </c>
    </row>
    <row r="77225">
      <c r="A77225" s="1" t="n">
        <v>77224</v>
      </c>
      <c r="B77225">
        <f>TEXT(77224, "[$-0E0000]yyyy-mm-dd")</f>
        <v/>
      </c>
      <c r="C77225" t="inlineStr">
        <is>
          <t>2111-05-02</t>
        </is>
      </c>
    </row>
    <row r="77226">
      <c r="A77226" s="1" t="n">
        <v>77225</v>
      </c>
      <c r="B77226">
        <f>TEXT(77225, "[$-0E0000]yyyy-mm-dd")</f>
        <v/>
      </c>
      <c r="C77226" t="inlineStr">
        <is>
          <t>2111-05-03</t>
        </is>
      </c>
    </row>
    <row r="77227">
      <c r="A77227" s="1" t="n">
        <v>77226</v>
      </c>
      <c r="B77227">
        <f>TEXT(77226, "[$-0E0000]yyyy-mm-dd")</f>
        <v/>
      </c>
      <c r="C77227" t="inlineStr">
        <is>
          <t>2111-05-04</t>
        </is>
      </c>
    </row>
    <row r="77228">
      <c r="A77228" s="1" t="n">
        <v>77227</v>
      </c>
      <c r="B77228">
        <f>TEXT(77227, "[$-0E0000]yyyy-mm-dd")</f>
        <v/>
      </c>
      <c r="C77228" t="inlineStr">
        <is>
          <t>2111-05-05</t>
        </is>
      </c>
    </row>
    <row r="77229">
      <c r="A77229" s="1" t="n">
        <v>77228</v>
      </c>
      <c r="B77229">
        <f>TEXT(77228, "[$-0E0000]yyyy-mm-dd")</f>
        <v/>
      </c>
      <c r="C77229" t="inlineStr">
        <is>
          <t>2111-05-06</t>
        </is>
      </c>
    </row>
    <row r="77230">
      <c r="A77230" s="1" t="n">
        <v>77229</v>
      </c>
      <c r="B77230">
        <f>TEXT(77229, "[$-0E0000]yyyy-mm-dd")</f>
        <v/>
      </c>
      <c r="C77230" t="inlineStr">
        <is>
          <t>2111-05-07</t>
        </is>
      </c>
    </row>
    <row r="77231">
      <c r="A77231" s="1" t="n">
        <v>77230</v>
      </c>
      <c r="B77231">
        <f>TEXT(77230, "[$-0E0000]yyyy-mm-dd")</f>
        <v/>
      </c>
      <c r="C77231" t="inlineStr">
        <is>
          <t>2111-05-08</t>
        </is>
      </c>
    </row>
    <row r="77232">
      <c r="A77232" s="1" t="n">
        <v>77231</v>
      </c>
      <c r="B77232">
        <f>TEXT(77231, "[$-0E0000]yyyy-mm-dd")</f>
        <v/>
      </c>
      <c r="C77232" t="inlineStr">
        <is>
          <t>2111-05-09</t>
        </is>
      </c>
    </row>
    <row r="77233">
      <c r="A77233" s="1" t="n">
        <v>77232</v>
      </c>
      <c r="B77233">
        <f>TEXT(77232, "[$-0E0000]yyyy-mm-dd")</f>
        <v/>
      </c>
      <c r="C77233" t="inlineStr">
        <is>
          <t>2111-05-10</t>
        </is>
      </c>
    </row>
    <row r="77234">
      <c r="A77234" s="1" t="n">
        <v>77233</v>
      </c>
      <c r="B77234">
        <f>TEXT(77233, "[$-0E0000]yyyy-mm-dd")</f>
        <v/>
      </c>
      <c r="C77234" t="inlineStr">
        <is>
          <t>2111-05-11</t>
        </is>
      </c>
    </row>
    <row r="77235">
      <c r="A77235" s="1" t="n">
        <v>77234</v>
      </c>
      <c r="B77235">
        <f>TEXT(77234, "[$-0E0000]yyyy-mm-dd")</f>
        <v/>
      </c>
      <c r="C77235" t="inlineStr">
        <is>
          <t>2111-05-12</t>
        </is>
      </c>
    </row>
    <row r="77236">
      <c r="A77236" s="1" t="n">
        <v>77235</v>
      </c>
      <c r="B77236">
        <f>TEXT(77235, "[$-0E0000]yyyy-mm-dd")</f>
        <v/>
      </c>
      <c r="C77236" t="inlineStr">
        <is>
          <t>2111-05-13</t>
        </is>
      </c>
    </row>
    <row r="77237">
      <c r="A77237" s="1" t="n">
        <v>77236</v>
      </c>
      <c r="B77237">
        <f>TEXT(77236, "[$-0E0000]yyyy-mm-dd")</f>
        <v/>
      </c>
      <c r="C77237" t="inlineStr">
        <is>
          <t>2111-05-14</t>
        </is>
      </c>
    </row>
    <row r="77238">
      <c r="A77238" s="1" t="n">
        <v>77237</v>
      </c>
      <c r="B77238">
        <f>TEXT(77237, "[$-0E0000]yyyy-mm-dd")</f>
        <v/>
      </c>
      <c r="C77238" t="inlineStr">
        <is>
          <t>2111-05-15</t>
        </is>
      </c>
    </row>
    <row r="77239">
      <c r="A77239" s="1" t="n">
        <v>77238</v>
      </c>
      <c r="B77239">
        <f>TEXT(77238, "[$-0E0000]yyyy-mm-dd")</f>
        <v/>
      </c>
      <c r="C77239" t="inlineStr">
        <is>
          <t>2111-05-16</t>
        </is>
      </c>
    </row>
    <row r="77240">
      <c r="A77240" s="1" t="n">
        <v>77239</v>
      </c>
      <c r="B77240">
        <f>TEXT(77239, "[$-0E0000]yyyy-mm-dd")</f>
        <v/>
      </c>
      <c r="C77240" t="inlineStr">
        <is>
          <t>2111-05-17</t>
        </is>
      </c>
    </row>
    <row r="77241">
      <c r="A77241" s="1" t="n">
        <v>77240</v>
      </c>
      <c r="B77241">
        <f>TEXT(77240, "[$-0E0000]yyyy-mm-dd")</f>
        <v/>
      </c>
      <c r="C77241" t="inlineStr">
        <is>
          <t>2111-05-18</t>
        </is>
      </c>
    </row>
    <row r="77242">
      <c r="A77242" s="1" t="n">
        <v>77241</v>
      </c>
      <c r="B77242">
        <f>TEXT(77241, "[$-0E0000]yyyy-mm-dd")</f>
        <v/>
      </c>
      <c r="C77242" t="inlineStr">
        <is>
          <t>2111-05-19</t>
        </is>
      </c>
    </row>
    <row r="77243">
      <c r="A77243" s="1" t="n">
        <v>77242</v>
      </c>
      <c r="B77243">
        <f>TEXT(77242, "[$-0E0000]yyyy-mm-dd")</f>
        <v/>
      </c>
      <c r="C77243" t="inlineStr">
        <is>
          <t>2111-05-20</t>
        </is>
      </c>
    </row>
    <row r="77244">
      <c r="A77244" s="1" t="n">
        <v>77243</v>
      </c>
      <c r="B77244">
        <f>TEXT(77243, "[$-0E0000]yyyy-mm-dd")</f>
        <v/>
      </c>
      <c r="C77244" t="inlineStr">
        <is>
          <t>2111-05-21</t>
        </is>
      </c>
    </row>
    <row r="77245">
      <c r="A77245" s="1" t="n">
        <v>77244</v>
      </c>
      <c r="B77245">
        <f>TEXT(77244, "[$-0E0000]yyyy-mm-dd")</f>
        <v/>
      </c>
      <c r="C77245" t="inlineStr">
        <is>
          <t>2111-05-22</t>
        </is>
      </c>
    </row>
    <row r="77246">
      <c r="A77246" s="1" t="n">
        <v>77245</v>
      </c>
      <c r="B77246">
        <f>TEXT(77245, "[$-0E0000]yyyy-mm-dd")</f>
        <v/>
      </c>
      <c r="C77246" t="inlineStr">
        <is>
          <t>2111-05-23</t>
        </is>
      </c>
    </row>
    <row r="77247">
      <c r="A77247" s="1" t="n">
        <v>77246</v>
      </c>
      <c r="B77247">
        <f>TEXT(77246, "[$-0E0000]yyyy-mm-dd")</f>
        <v/>
      </c>
      <c r="C77247" t="inlineStr">
        <is>
          <t>2111-05-24</t>
        </is>
      </c>
    </row>
    <row r="77248">
      <c r="A77248" s="1" t="n">
        <v>77247</v>
      </c>
      <c r="B77248">
        <f>TEXT(77247, "[$-0E0000]yyyy-mm-dd")</f>
        <v/>
      </c>
      <c r="C77248" t="inlineStr">
        <is>
          <t>2111-05-25</t>
        </is>
      </c>
    </row>
    <row r="77249">
      <c r="A77249" s="1" t="n">
        <v>77248</v>
      </c>
      <c r="B77249">
        <f>TEXT(77248, "[$-0E0000]yyyy-mm-dd")</f>
        <v/>
      </c>
      <c r="C77249" t="inlineStr">
        <is>
          <t>2111-05-26</t>
        </is>
      </c>
    </row>
    <row r="77250">
      <c r="A77250" s="1" t="n">
        <v>77249</v>
      </c>
      <c r="B77250">
        <f>TEXT(77249, "[$-0E0000]yyyy-mm-dd")</f>
        <v/>
      </c>
      <c r="C77250" t="inlineStr">
        <is>
          <t>2111-05-27</t>
        </is>
      </c>
    </row>
    <row r="77251">
      <c r="A77251" s="1" t="n">
        <v>77250</v>
      </c>
      <c r="B77251">
        <f>TEXT(77250, "[$-0E0000]yyyy-mm-dd")</f>
        <v/>
      </c>
      <c r="C77251" t="inlineStr">
        <is>
          <t>2111-05-28</t>
        </is>
      </c>
    </row>
    <row r="77252">
      <c r="A77252" s="1" t="n">
        <v>77251</v>
      </c>
      <c r="B77252">
        <f>TEXT(77251, "[$-0E0000]yyyy-mm-dd")</f>
        <v/>
      </c>
      <c r="C77252" t="inlineStr">
        <is>
          <t>2111-05-29</t>
        </is>
      </c>
    </row>
    <row r="77253">
      <c r="A77253" s="1" t="n">
        <v>77252</v>
      </c>
      <c r="B77253">
        <f>TEXT(77252, "[$-0E0000]yyyy-mm-dd")</f>
        <v/>
      </c>
      <c r="C77253" t="inlineStr">
        <is>
          <t>2111-05-30</t>
        </is>
      </c>
    </row>
    <row r="77254">
      <c r="A77254" s="1" t="n">
        <v>77253</v>
      </c>
      <c r="B77254">
        <f>TEXT(77253, "[$-0E0000]yyyy-mm-dd")</f>
        <v/>
      </c>
      <c r="C77254" t="inlineStr">
        <is>
          <t>2111-06-01</t>
        </is>
      </c>
    </row>
    <row r="77255">
      <c r="A77255" s="1" t="n">
        <v>77254</v>
      </c>
      <c r="B77255">
        <f>TEXT(77254, "[$-0E0000]yyyy-mm-dd")</f>
        <v/>
      </c>
      <c r="C77255" t="inlineStr">
        <is>
          <t>2111-06-02</t>
        </is>
      </c>
    </row>
    <row r="77256">
      <c r="A77256" s="1" t="n">
        <v>77255</v>
      </c>
      <c r="B77256">
        <f>TEXT(77255, "[$-0E0000]yyyy-mm-dd")</f>
        <v/>
      </c>
      <c r="C77256" t="inlineStr">
        <is>
          <t>2111-06-03</t>
        </is>
      </c>
    </row>
    <row r="77257">
      <c r="A77257" s="1" t="n">
        <v>77256</v>
      </c>
      <c r="B77257">
        <f>TEXT(77256, "[$-0E0000]yyyy-mm-dd")</f>
        <v/>
      </c>
      <c r="C77257" t="inlineStr">
        <is>
          <t>2111-06-04</t>
        </is>
      </c>
    </row>
    <row r="77258">
      <c r="A77258" s="1" t="n">
        <v>77257</v>
      </c>
      <c r="B77258">
        <f>TEXT(77257, "[$-0E0000]yyyy-mm-dd")</f>
        <v/>
      </c>
      <c r="C77258" t="inlineStr">
        <is>
          <t>2111-06-05</t>
        </is>
      </c>
    </row>
    <row r="77259">
      <c r="A77259" s="1" t="n">
        <v>77258</v>
      </c>
      <c r="B77259">
        <f>TEXT(77258, "[$-0E0000]yyyy-mm-dd")</f>
        <v/>
      </c>
      <c r="C77259" t="inlineStr">
        <is>
          <t>2111-06-06</t>
        </is>
      </c>
    </row>
    <row r="77260">
      <c r="A77260" s="1" t="n">
        <v>77259</v>
      </c>
      <c r="B77260">
        <f>TEXT(77259, "[$-0E0000]yyyy-mm-dd")</f>
        <v/>
      </c>
      <c r="C77260" t="inlineStr">
        <is>
          <t>2111-06-07</t>
        </is>
      </c>
    </row>
    <row r="77261">
      <c r="A77261" s="1" t="n">
        <v>77260</v>
      </c>
      <c r="B77261">
        <f>TEXT(77260, "[$-0E0000]yyyy-mm-dd")</f>
        <v/>
      </c>
      <c r="C77261" t="inlineStr">
        <is>
          <t>2111-06-08</t>
        </is>
      </c>
    </row>
    <row r="77262">
      <c r="A77262" s="1" t="n">
        <v>77261</v>
      </c>
      <c r="B77262">
        <f>TEXT(77261, "[$-0E0000]yyyy-mm-dd")</f>
        <v/>
      </c>
      <c r="C77262" t="inlineStr">
        <is>
          <t>2111-06-09</t>
        </is>
      </c>
    </row>
    <row r="77263">
      <c r="A77263" s="1" t="n">
        <v>77262</v>
      </c>
      <c r="B77263">
        <f>TEXT(77262, "[$-0E0000]yyyy-mm-dd")</f>
        <v/>
      </c>
      <c r="C77263" t="inlineStr">
        <is>
          <t>2111-06-10</t>
        </is>
      </c>
    </row>
    <row r="77264">
      <c r="A77264" s="1" t="n">
        <v>77263</v>
      </c>
      <c r="B77264">
        <f>TEXT(77263, "[$-0E0000]yyyy-mm-dd")</f>
        <v/>
      </c>
      <c r="C77264" t="inlineStr">
        <is>
          <t>2111-06-11</t>
        </is>
      </c>
    </row>
    <row r="77265">
      <c r="A77265" s="1" t="n">
        <v>77264</v>
      </c>
      <c r="B77265">
        <f>TEXT(77264, "[$-0E0000]yyyy-mm-dd")</f>
        <v/>
      </c>
      <c r="C77265" t="inlineStr">
        <is>
          <t>2111-06-12</t>
        </is>
      </c>
    </row>
    <row r="77266">
      <c r="A77266" s="1" t="n">
        <v>77265</v>
      </c>
      <c r="B77266">
        <f>TEXT(77265, "[$-0E0000]yyyy-mm-dd")</f>
        <v/>
      </c>
      <c r="C77266" t="inlineStr">
        <is>
          <t>2111-06-13</t>
        </is>
      </c>
    </row>
    <row r="77267">
      <c r="A77267" s="1" t="n">
        <v>77266</v>
      </c>
      <c r="B77267">
        <f>TEXT(77266, "[$-0E0000]yyyy-mm-dd")</f>
        <v/>
      </c>
      <c r="C77267" t="inlineStr">
        <is>
          <t>2111-06-14</t>
        </is>
      </c>
    </row>
    <row r="77268">
      <c r="A77268" s="1" t="n">
        <v>77267</v>
      </c>
      <c r="B77268">
        <f>TEXT(77267, "[$-0E0000]yyyy-mm-dd")</f>
        <v/>
      </c>
      <c r="C77268" t="inlineStr">
        <is>
          <t>2111-06-15</t>
        </is>
      </c>
    </row>
    <row r="77269">
      <c r="A77269" s="1" t="n">
        <v>77268</v>
      </c>
      <c r="B77269">
        <f>TEXT(77268, "[$-0E0000]yyyy-mm-dd")</f>
        <v/>
      </c>
      <c r="C77269" t="inlineStr">
        <is>
          <t>2111-06-16</t>
        </is>
      </c>
    </row>
    <row r="77270">
      <c r="A77270" s="1" t="n">
        <v>77269</v>
      </c>
      <c r="B77270">
        <f>TEXT(77269, "[$-0E0000]yyyy-mm-dd")</f>
        <v/>
      </c>
      <c r="C77270" t="inlineStr">
        <is>
          <t>2111-06-17</t>
        </is>
      </c>
    </row>
    <row r="77271">
      <c r="A77271" s="1" t="n">
        <v>77270</v>
      </c>
      <c r="B77271">
        <f>TEXT(77270, "[$-0E0000]yyyy-mm-dd")</f>
        <v/>
      </c>
      <c r="C77271" t="inlineStr">
        <is>
          <t>2111-06-18</t>
        </is>
      </c>
    </row>
    <row r="77272">
      <c r="A77272" s="1" t="n">
        <v>77271</v>
      </c>
      <c r="B77272">
        <f>TEXT(77271, "[$-0E0000]yyyy-mm-dd")</f>
        <v/>
      </c>
      <c r="C77272" t="inlineStr">
        <is>
          <t>2111-06-19</t>
        </is>
      </c>
    </row>
    <row r="77273">
      <c r="A77273" s="1" t="n">
        <v>77272</v>
      </c>
      <c r="B77273">
        <f>TEXT(77272, "[$-0E0000]yyyy-mm-dd")</f>
        <v/>
      </c>
      <c r="C77273" t="inlineStr">
        <is>
          <t>2111-06-20</t>
        </is>
      </c>
    </row>
    <row r="77274">
      <c r="A77274" s="1" t="n">
        <v>77273</v>
      </c>
      <c r="B77274">
        <f>TEXT(77273, "[$-0E0000]yyyy-mm-dd")</f>
        <v/>
      </c>
      <c r="C77274" t="inlineStr">
        <is>
          <t>2111-06-21</t>
        </is>
      </c>
    </row>
    <row r="77275">
      <c r="A77275" s="1" t="n">
        <v>77274</v>
      </c>
      <c r="B77275">
        <f>TEXT(77274, "[$-0E0000]yyyy-mm-dd")</f>
        <v/>
      </c>
      <c r="C77275" t="inlineStr">
        <is>
          <t>2111-06-22</t>
        </is>
      </c>
    </row>
    <row r="77276">
      <c r="A77276" s="1" t="n">
        <v>77275</v>
      </c>
      <c r="B77276">
        <f>TEXT(77275, "[$-0E0000]yyyy-mm-dd")</f>
        <v/>
      </c>
      <c r="C77276" t="inlineStr">
        <is>
          <t>2111-06-23</t>
        </is>
      </c>
    </row>
    <row r="77277">
      <c r="A77277" s="1" t="n">
        <v>77276</v>
      </c>
      <c r="B77277">
        <f>TEXT(77276, "[$-0E0000]yyyy-mm-dd")</f>
        <v/>
      </c>
      <c r="C77277" t="inlineStr">
        <is>
          <t>2111-06-24</t>
        </is>
      </c>
    </row>
    <row r="77278">
      <c r="A77278" s="1" t="n">
        <v>77277</v>
      </c>
      <c r="B77278">
        <f>TEXT(77277, "[$-0E0000]yyyy-mm-dd")</f>
        <v/>
      </c>
      <c r="C77278" t="inlineStr">
        <is>
          <t>2111-06-25</t>
        </is>
      </c>
    </row>
    <row r="77279">
      <c r="A77279" s="1" t="n">
        <v>77278</v>
      </c>
      <c r="B77279">
        <f>TEXT(77278, "[$-0E0000]yyyy-mm-dd")</f>
        <v/>
      </c>
      <c r="C77279" t="inlineStr">
        <is>
          <t>2111-06-26</t>
        </is>
      </c>
    </row>
    <row r="77280">
      <c r="A77280" s="1" t="n">
        <v>77279</v>
      </c>
      <c r="B77280">
        <f>TEXT(77279, "[$-0E0000]yyyy-mm-dd")</f>
        <v/>
      </c>
      <c r="C77280" t="inlineStr">
        <is>
          <t>2111-06-27</t>
        </is>
      </c>
    </row>
    <row r="77281">
      <c r="A77281" s="1" t="n">
        <v>77280</v>
      </c>
      <c r="B77281">
        <f>TEXT(77280, "[$-0E0000]yyyy-mm-dd")</f>
        <v/>
      </c>
      <c r="C77281" t="inlineStr">
        <is>
          <t>2111-06-28</t>
        </is>
      </c>
    </row>
    <row r="77282">
      <c r="A77282" s="1" t="n">
        <v>77281</v>
      </c>
      <c r="B77282">
        <f>TEXT(77281, "[$-0E0000]yyyy-mm-dd")</f>
        <v/>
      </c>
      <c r="C77282" t="inlineStr">
        <is>
          <t>2111-06-29</t>
        </is>
      </c>
    </row>
    <row r="77283">
      <c r="A77283" s="1" t="n">
        <v>77282</v>
      </c>
      <c r="B77283">
        <f>TEXT(77282, "[$-0E0000]yyyy-mm-dd")</f>
        <v/>
      </c>
      <c r="C77283" t="inlineStr">
        <is>
          <t>2111-06-30</t>
        </is>
      </c>
    </row>
    <row r="77284">
      <c r="A77284" s="1" t="n">
        <v>77283</v>
      </c>
      <c r="B77284">
        <f>TEXT(77283, "[$-0E0000]yyyy-mm-dd")</f>
        <v/>
      </c>
      <c r="C77284" t="inlineStr">
        <is>
          <t>2111-07-01</t>
        </is>
      </c>
    </row>
    <row r="77285">
      <c r="A77285" s="1" t="n">
        <v>77284</v>
      </c>
      <c r="B77285">
        <f>TEXT(77284, "[$-0E0000]yyyy-mm-dd")</f>
        <v/>
      </c>
      <c r="C77285" t="inlineStr">
        <is>
          <t>2111-07-02</t>
        </is>
      </c>
    </row>
    <row r="77286">
      <c r="A77286" s="1" t="n">
        <v>77285</v>
      </c>
      <c r="B77286">
        <f>TEXT(77285, "[$-0E0000]yyyy-mm-dd")</f>
        <v/>
      </c>
      <c r="C77286" t="inlineStr">
        <is>
          <t>2111-07-03</t>
        </is>
      </c>
    </row>
    <row r="77287">
      <c r="A77287" s="1" t="n">
        <v>77286</v>
      </c>
      <c r="B77287">
        <f>TEXT(77286, "[$-0E0000]yyyy-mm-dd")</f>
        <v/>
      </c>
      <c r="C77287" t="inlineStr">
        <is>
          <t>2111-07-04</t>
        </is>
      </c>
    </row>
    <row r="77288">
      <c r="A77288" s="1" t="n">
        <v>77287</v>
      </c>
      <c r="B77288">
        <f>TEXT(77287, "[$-0E0000]yyyy-mm-dd")</f>
        <v/>
      </c>
      <c r="C77288" t="inlineStr">
        <is>
          <t>2111-07-05</t>
        </is>
      </c>
    </row>
    <row r="77289">
      <c r="A77289" s="1" t="n">
        <v>77288</v>
      </c>
      <c r="B77289">
        <f>TEXT(77288, "[$-0E0000]yyyy-mm-dd")</f>
        <v/>
      </c>
      <c r="C77289" t="inlineStr">
        <is>
          <t>2111-07-06</t>
        </is>
      </c>
    </row>
    <row r="77290">
      <c r="A77290" s="1" t="n">
        <v>77289</v>
      </c>
      <c r="B77290">
        <f>TEXT(77289, "[$-0E0000]yyyy-mm-dd")</f>
        <v/>
      </c>
      <c r="C77290" t="inlineStr">
        <is>
          <t>2111-07-07</t>
        </is>
      </c>
    </row>
    <row r="77291">
      <c r="A77291" s="1" t="n">
        <v>77290</v>
      </c>
      <c r="B77291">
        <f>TEXT(77290, "[$-0E0000]yyyy-mm-dd")</f>
        <v/>
      </c>
      <c r="C77291" t="inlineStr">
        <is>
          <t>2111-07-08</t>
        </is>
      </c>
    </row>
    <row r="77292">
      <c r="A77292" s="1" t="n">
        <v>77291</v>
      </c>
      <c r="B77292">
        <f>TEXT(77291, "[$-0E0000]yyyy-mm-dd")</f>
        <v/>
      </c>
      <c r="C77292" t="inlineStr">
        <is>
          <t>2111-07-09</t>
        </is>
      </c>
    </row>
    <row r="77293">
      <c r="A77293" s="1" t="n">
        <v>77292</v>
      </c>
      <c r="B77293">
        <f>TEXT(77292, "[$-0E0000]yyyy-mm-dd")</f>
        <v/>
      </c>
      <c r="C77293" t="inlineStr">
        <is>
          <t>2111-07-10</t>
        </is>
      </c>
    </row>
    <row r="77294">
      <c r="A77294" s="1" t="n">
        <v>77293</v>
      </c>
      <c r="B77294">
        <f>TEXT(77293, "[$-0E0000]yyyy-mm-dd")</f>
        <v/>
      </c>
      <c r="C77294" t="inlineStr">
        <is>
          <t>2111-07-11</t>
        </is>
      </c>
    </row>
    <row r="77295">
      <c r="A77295" s="1" t="n">
        <v>77294</v>
      </c>
      <c r="B77295">
        <f>TEXT(77294, "[$-0E0000]yyyy-mm-dd")</f>
        <v/>
      </c>
      <c r="C77295" t="inlineStr">
        <is>
          <t>2111-07-12</t>
        </is>
      </c>
    </row>
    <row r="77296">
      <c r="A77296" s="1" t="n">
        <v>77295</v>
      </c>
      <c r="B77296">
        <f>TEXT(77295, "[$-0E0000]yyyy-mm-dd")</f>
        <v/>
      </c>
      <c r="C77296" t="inlineStr">
        <is>
          <t>2111-07-13</t>
        </is>
      </c>
    </row>
    <row r="77297">
      <c r="A77297" s="1" t="n">
        <v>77296</v>
      </c>
      <c r="B77297">
        <f>TEXT(77296, "[$-0E0000]yyyy-mm-dd")</f>
        <v/>
      </c>
      <c r="C77297" t="inlineStr">
        <is>
          <t>2111-07-14</t>
        </is>
      </c>
    </row>
    <row r="77298">
      <c r="A77298" s="1" t="n">
        <v>77297</v>
      </c>
      <c r="B77298">
        <f>TEXT(77297, "[$-0E0000]yyyy-mm-dd")</f>
        <v/>
      </c>
      <c r="C77298" t="inlineStr">
        <is>
          <t>2111-07-15</t>
        </is>
      </c>
    </row>
    <row r="77299">
      <c r="A77299" s="1" t="n">
        <v>77298</v>
      </c>
      <c r="B77299">
        <f>TEXT(77298, "[$-0E0000]yyyy-mm-dd")</f>
        <v/>
      </c>
      <c r="C77299" t="inlineStr">
        <is>
          <t>2111-07-16</t>
        </is>
      </c>
    </row>
    <row r="77300">
      <c r="A77300" s="1" t="n">
        <v>77299</v>
      </c>
      <c r="B77300">
        <f>TEXT(77299, "[$-0E0000]yyyy-mm-dd")</f>
        <v/>
      </c>
      <c r="C77300" t="inlineStr">
        <is>
          <t>2111-07-17</t>
        </is>
      </c>
    </row>
    <row r="77301">
      <c r="A77301" s="1" t="n">
        <v>77300</v>
      </c>
      <c r="B77301">
        <f>TEXT(77300, "[$-0E0000]yyyy-mm-dd")</f>
        <v/>
      </c>
      <c r="C77301" t="inlineStr">
        <is>
          <t>2111-07-18</t>
        </is>
      </c>
    </row>
    <row r="77302">
      <c r="A77302" s="1" t="n">
        <v>77301</v>
      </c>
      <c r="B77302">
        <f>TEXT(77301, "[$-0E0000]yyyy-mm-dd")</f>
        <v/>
      </c>
      <c r="C77302" t="inlineStr">
        <is>
          <t>2111-07-19</t>
        </is>
      </c>
    </row>
    <row r="77303">
      <c r="A77303" s="1" t="n">
        <v>77302</v>
      </c>
      <c r="B77303">
        <f>TEXT(77302, "[$-0E0000]yyyy-mm-dd")</f>
        <v/>
      </c>
      <c r="C77303" t="inlineStr">
        <is>
          <t>2111-07-20</t>
        </is>
      </c>
    </row>
    <row r="77304">
      <c r="A77304" s="1" t="n">
        <v>77303</v>
      </c>
      <c r="B77304">
        <f>TEXT(77303, "[$-0E0000]yyyy-mm-dd")</f>
        <v/>
      </c>
      <c r="C77304" t="inlineStr">
        <is>
          <t>2111-07-21</t>
        </is>
      </c>
    </row>
    <row r="77305">
      <c r="A77305" s="1" t="n">
        <v>77304</v>
      </c>
      <c r="B77305">
        <f>TEXT(77304, "[$-0E0000]yyyy-mm-dd")</f>
        <v/>
      </c>
      <c r="C77305" t="inlineStr">
        <is>
          <t>2111-07-22</t>
        </is>
      </c>
    </row>
    <row r="77306">
      <c r="A77306" s="1" t="n">
        <v>77305</v>
      </c>
      <c r="B77306">
        <f>TEXT(77305, "[$-0E0000]yyyy-mm-dd")</f>
        <v/>
      </c>
      <c r="C77306" t="inlineStr">
        <is>
          <t>2111-07-23</t>
        </is>
      </c>
    </row>
    <row r="77307">
      <c r="A77307" s="1" t="n">
        <v>77306</v>
      </c>
      <c r="B77307">
        <f>TEXT(77306, "[$-0E0000]yyyy-mm-dd")</f>
        <v/>
      </c>
      <c r="C77307" t="inlineStr">
        <is>
          <t>2111-07-24</t>
        </is>
      </c>
    </row>
    <row r="77308">
      <c r="A77308" s="1" t="n">
        <v>77307</v>
      </c>
      <c r="B77308">
        <f>TEXT(77307, "[$-0E0000]yyyy-mm-dd")</f>
        <v/>
      </c>
      <c r="C77308" t="inlineStr">
        <is>
          <t>2111-07-25</t>
        </is>
      </c>
    </row>
    <row r="77309">
      <c r="A77309" s="1" t="n">
        <v>77308</v>
      </c>
      <c r="B77309">
        <f>TEXT(77308, "[$-0E0000]yyyy-mm-dd")</f>
        <v/>
      </c>
      <c r="C77309" t="inlineStr">
        <is>
          <t>2111-07-26</t>
        </is>
      </c>
    </row>
    <row r="77310">
      <c r="A77310" s="1" t="n">
        <v>77309</v>
      </c>
      <c r="B77310">
        <f>TEXT(77309, "[$-0E0000]yyyy-mm-dd")</f>
        <v/>
      </c>
      <c r="C77310" t="inlineStr">
        <is>
          <t>2111-07-27</t>
        </is>
      </c>
    </row>
    <row r="77311">
      <c r="A77311" s="1" t="n">
        <v>77310</v>
      </c>
      <c r="B77311">
        <f>TEXT(77310, "[$-0E0000]yyyy-mm-dd")</f>
        <v/>
      </c>
      <c r="C77311" t="inlineStr">
        <is>
          <t>2111-07-28</t>
        </is>
      </c>
    </row>
    <row r="77312">
      <c r="A77312" s="1" t="n">
        <v>77311</v>
      </c>
      <c r="B77312">
        <f>TEXT(77311, "[$-0E0000]yyyy-mm-dd")</f>
        <v/>
      </c>
      <c r="C77312" t="inlineStr">
        <is>
          <t>2111-07-29</t>
        </is>
      </c>
    </row>
    <row r="77313">
      <c r="A77313" s="1" t="n">
        <v>77312</v>
      </c>
      <c r="B77313">
        <f>TEXT(77312, "[$-0E0000]yyyy-mm-dd")</f>
        <v/>
      </c>
      <c r="C77313" t="inlineStr">
        <is>
          <t>2111-08-01</t>
        </is>
      </c>
    </row>
    <row r="77314">
      <c r="A77314" s="1" t="n">
        <v>77313</v>
      </c>
      <c r="B77314">
        <f>TEXT(77313, "[$-0E0000]yyyy-mm-dd")</f>
        <v/>
      </c>
      <c r="C77314" t="inlineStr">
        <is>
          <t>2111-08-02</t>
        </is>
      </c>
    </row>
    <row r="77315">
      <c r="A77315" s="1" t="n">
        <v>77314</v>
      </c>
      <c r="B77315">
        <f>TEXT(77314, "[$-0E0000]yyyy-mm-dd")</f>
        <v/>
      </c>
      <c r="C77315" t="inlineStr">
        <is>
          <t>2111-08-03</t>
        </is>
      </c>
    </row>
    <row r="77316">
      <c r="A77316" s="1" t="n">
        <v>77315</v>
      </c>
      <c r="B77316">
        <f>TEXT(77315, "[$-0E0000]yyyy-mm-dd")</f>
        <v/>
      </c>
      <c r="C77316" t="inlineStr">
        <is>
          <t>2111-08-04</t>
        </is>
      </c>
    </row>
    <row r="77317">
      <c r="A77317" s="1" t="n">
        <v>77316</v>
      </c>
      <c r="B77317">
        <f>TEXT(77316, "[$-0E0000]yyyy-mm-dd")</f>
        <v/>
      </c>
      <c r="C77317" t="inlineStr">
        <is>
          <t>2111-08-05</t>
        </is>
      </c>
    </row>
    <row r="77318">
      <c r="A77318" s="1" t="n">
        <v>77317</v>
      </c>
      <c r="B77318">
        <f>TEXT(77317, "[$-0E0000]yyyy-mm-dd")</f>
        <v/>
      </c>
      <c r="C77318" t="inlineStr">
        <is>
          <t>2111-08-06</t>
        </is>
      </c>
    </row>
    <row r="77319">
      <c r="A77319" s="1" t="n">
        <v>77318</v>
      </c>
      <c r="B77319">
        <f>TEXT(77318, "[$-0E0000]yyyy-mm-dd")</f>
        <v/>
      </c>
      <c r="C77319" t="inlineStr">
        <is>
          <t>2111-08-07</t>
        </is>
      </c>
    </row>
    <row r="77320">
      <c r="A77320" s="1" t="n">
        <v>77319</v>
      </c>
      <c r="B77320">
        <f>TEXT(77319, "[$-0E0000]yyyy-mm-dd")</f>
        <v/>
      </c>
      <c r="C77320" t="inlineStr">
        <is>
          <t>2111-08-08</t>
        </is>
      </c>
    </row>
    <row r="77321">
      <c r="A77321" s="1" t="n">
        <v>77320</v>
      </c>
      <c r="B77321">
        <f>TEXT(77320, "[$-0E0000]yyyy-mm-dd")</f>
        <v/>
      </c>
      <c r="C77321" t="inlineStr">
        <is>
          <t>2111-08-09</t>
        </is>
      </c>
    </row>
    <row r="77322">
      <c r="A77322" s="1" t="n">
        <v>77321</v>
      </c>
      <c r="B77322">
        <f>TEXT(77321, "[$-0E0000]yyyy-mm-dd")</f>
        <v/>
      </c>
      <c r="C77322" t="inlineStr">
        <is>
          <t>2111-08-10</t>
        </is>
      </c>
    </row>
    <row r="77323">
      <c r="A77323" s="1" t="n">
        <v>77322</v>
      </c>
      <c r="B77323">
        <f>TEXT(77322, "[$-0E0000]yyyy-mm-dd")</f>
        <v/>
      </c>
      <c r="C77323" t="inlineStr">
        <is>
          <t>2111-08-11</t>
        </is>
      </c>
    </row>
    <row r="77324">
      <c r="A77324" s="1" t="n">
        <v>77323</v>
      </c>
      <c r="B77324">
        <f>TEXT(77323, "[$-0E0000]yyyy-mm-dd")</f>
        <v/>
      </c>
      <c r="C77324" t="inlineStr">
        <is>
          <t>2111-08-12</t>
        </is>
      </c>
    </row>
    <row r="77325">
      <c r="A77325" s="1" t="n">
        <v>77324</v>
      </c>
      <c r="B77325">
        <f>TEXT(77324, "[$-0E0000]yyyy-mm-dd")</f>
        <v/>
      </c>
      <c r="C77325" t="inlineStr">
        <is>
          <t>2111-08-13</t>
        </is>
      </c>
    </row>
    <row r="77326">
      <c r="A77326" s="1" t="n">
        <v>77325</v>
      </c>
      <c r="B77326">
        <f>TEXT(77325, "[$-0E0000]yyyy-mm-dd")</f>
        <v/>
      </c>
      <c r="C77326" t="inlineStr">
        <is>
          <t>2111-08-14</t>
        </is>
      </c>
    </row>
    <row r="77327">
      <c r="A77327" s="1" t="n">
        <v>77326</v>
      </c>
      <c r="B77327">
        <f>TEXT(77326, "[$-0E0000]yyyy-mm-dd")</f>
        <v/>
      </c>
      <c r="C77327" t="inlineStr">
        <is>
          <t>2111-08-15</t>
        </is>
      </c>
    </row>
    <row r="77328">
      <c r="A77328" s="1" t="n">
        <v>77327</v>
      </c>
      <c r="B77328">
        <f>TEXT(77327, "[$-0E0000]yyyy-mm-dd")</f>
        <v/>
      </c>
      <c r="C77328" t="inlineStr">
        <is>
          <t>2111-08-16</t>
        </is>
      </c>
    </row>
    <row r="77329">
      <c r="A77329" s="1" t="n">
        <v>77328</v>
      </c>
      <c r="B77329">
        <f>TEXT(77328, "[$-0E0000]yyyy-mm-dd")</f>
        <v/>
      </c>
      <c r="C77329" t="inlineStr">
        <is>
          <t>2111-08-17</t>
        </is>
      </c>
    </row>
    <row r="77330">
      <c r="A77330" s="1" t="n">
        <v>77329</v>
      </c>
      <c r="B77330">
        <f>TEXT(77329, "[$-0E0000]yyyy-mm-dd")</f>
        <v/>
      </c>
      <c r="C77330" t="inlineStr">
        <is>
          <t>2111-08-18</t>
        </is>
      </c>
    </row>
    <row r="77331">
      <c r="A77331" s="1" t="n">
        <v>77330</v>
      </c>
      <c r="B77331">
        <f>TEXT(77330, "[$-0E0000]yyyy-mm-dd")</f>
        <v/>
      </c>
      <c r="C77331" t="inlineStr">
        <is>
          <t>2111-08-19</t>
        </is>
      </c>
    </row>
    <row r="77332">
      <c r="A77332" s="1" t="n">
        <v>77331</v>
      </c>
      <c r="B77332">
        <f>TEXT(77331, "[$-0E0000]yyyy-mm-dd")</f>
        <v/>
      </c>
      <c r="C77332" t="inlineStr">
        <is>
          <t>2111-08-20</t>
        </is>
      </c>
    </row>
    <row r="77333">
      <c r="A77333" s="1" t="n">
        <v>77332</v>
      </c>
      <c r="B77333">
        <f>TEXT(77332, "[$-0E0000]yyyy-mm-dd")</f>
        <v/>
      </c>
      <c r="C77333" t="inlineStr">
        <is>
          <t>2111-08-21</t>
        </is>
      </c>
    </row>
    <row r="77334">
      <c r="A77334" s="1" t="n">
        <v>77333</v>
      </c>
      <c r="B77334">
        <f>TEXT(77333, "[$-0E0000]yyyy-mm-dd")</f>
        <v/>
      </c>
      <c r="C77334" t="inlineStr">
        <is>
          <t>2111-08-22</t>
        </is>
      </c>
    </row>
    <row r="77335">
      <c r="A77335" s="1" t="n">
        <v>77334</v>
      </c>
      <c r="B77335">
        <f>TEXT(77334, "[$-0E0000]yyyy-mm-dd")</f>
        <v/>
      </c>
      <c r="C77335" t="inlineStr">
        <is>
          <t>2111-08-23</t>
        </is>
      </c>
    </row>
    <row r="77336">
      <c r="A77336" s="1" t="n">
        <v>77335</v>
      </c>
      <c r="B77336">
        <f>TEXT(77335, "[$-0E0000]yyyy-mm-dd")</f>
        <v/>
      </c>
      <c r="C77336" t="inlineStr">
        <is>
          <t>2111-08-24</t>
        </is>
      </c>
    </row>
    <row r="77337">
      <c r="A77337" s="1" t="n">
        <v>77336</v>
      </c>
      <c r="B77337">
        <f>TEXT(77336, "[$-0E0000]yyyy-mm-dd")</f>
        <v/>
      </c>
      <c r="C77337" t="inlineStr">
        <is>
          <t>2111-08-25</t>
        </is>
      </c>
    </row>
    <row r="77338">
      <c r="A77338" s="1" t="n">
        <v>77337</v>
      </c>
      <c r="B77338">
        <f>TEXT(77337, "[$-0E0000]yyyy-mm-dd")</f>
        <v/>
      </c>
      <c r="C77338" t="inlineStr">
        <is>
          <t>2111-08-26</t>
        </is>
      </c>
    </row>
    <row r="77339">
      <c r="A77339" s="1" t="n">
        <v>77338</v>
      </c>
      <c r="B77339">
        <f>TEXT(77338, "[$-0E0000]yyyy-mm-dd")</f>
        <v/>
      </c>
      <c r="C77339" t="inlineStr">
        <is>
          <t>2111-08-27</t>
        </is>
      </c>
    </row>
    <row r="77340">
      <c r="A77340" s="1" t="n">
        <v>77339</v>
      </c>
      <c r="B77340">
        <f>TEXT(77339, "[$-0E0000]yyyy-mm-dd")</f>
        <v/>
      </c>
      <c r="C77340" t="inlineStr">
        <is>
          <t>2111-08-28</t>
        </is>
      </c>
    </row>
    <row r="77341">
      <c r="A77341" s="1" t="n">
        <v>77340</v>
      </c>
      <c r="B77341">
        <f>TEXT(77340, "[$-0E0000]yyyy-mm-dd")</f>
        <v/>
      </c>
      <c r="C77341" t="inlineStr">
        <is>
          <t>2111-08-29</t>
        </is>
      </c>
    </row>
    <row r="77342">
      <c r="A77342" s="1" t="n">
        <v>77341</v>
      </c>
      <c r="B77342">
        <f>TEXT(77341, "[$-0E0000]yyyy-mm-dd")</f>
        <v/>
      </c>
      <c r="C77342" t="inlineStr">
        <is>
          <t>2111-08-30</t>
        </is>
      </c>
    </row>
    <row r="77343">
      <c r="A77343" s="1" t="n">
        <v>77342</v>
      </c>
      <c r="B77343">
        <f>TEXT(77342, "[$-0E0000]yyyy-mm-dd")</f>
        <v/>
      </c>
      <c r="C77343" t="inlineStr">
        <is>
          <t>2111-09-01</t>
        </is>
      </c>
    </row>
    <row r="77344">
      <c r="A77344" s="1" t="n">
        <v>77343</v>
      </c>
      <c r="B77344">
        <f>TEXT(77343, "[$-0E0000]yyyy-mm-dd")</f>
        <v/>
      </c>
      <c r="C77344" t="inlineStr">
        <is>
          <t>2111-09-02</t>
        </is>
      </c>
    </row>
    <row r="77345">
      <c r="A77345" s="1" t="n">
        <v>77344</v>
      </c>
      <c r="B77345">
        <f>TEXT(77344, "[$-0E0000]yyyy-mm-dd")</f>
        <v/>
      </c>
      <c r="C77345" t="inlineStr">
        <is>
          <t>2111-09-03</t>
        </is>
      </c>
    </row>
    <row r="77346">
      <c r="A77346" s="1" t="n">
        <v>77345</v>
      </c>
      <c r="B77346">
        <f>TEXT(77345, "[$-0E0000]yyyy-mm-dd")</f>
        <v/>
      </c>
      <c r="C77346" t="inlineStr">
        <is>
          <t>2111-09-04</t>
        </is>
      </c>
    </row>
    <row r="77347">
      <c r="A77347" s="1" t="n">
        <v>77346</v>
      </c>
      <c r="B77347">
        <f>TEXT(77346, "[$-0E0000]yyyy-mm-dd")</f>
        <v/>
      </c>
      <c r="C77347" t="inlineStr">
        <is>
          <t>2111-09-05</t>
        </is>
      </c>
    </row>
    <row r="77348">
      <c r="A77348" s="1" t="n">
        <v>77347</v>
      </c>
      <c r="B77348">
        <f>TEXT(77347, "[$-0E0000]yyyy-mm-dd")</f>
        <v/>
      </c>
      <c r="C77348" t="inlineStr">
        <is>
          <t>2111-09-06</t>
        </is>
      </c>
    </row>
    <row r="77349">
      <c r="A77349" s="1" t="n">
        <v>77348</v>
      </c>
      <c r="B77349">
        <f>TEXT(77348, "[$-0E0000]yyyy-mm-dd")</f>
        <v/>
      </c>
      <c r="C77349" t="inlineStr">
        <is>
          <t>2111-09-07</t>
        </is>
      </c>
    </row>
    <row r="77350">
      <c r="A77350" s="1" t="n">
        <v>77349</v>
      </c>
      <c r="B77350">
        <f>TEXT(77349, "[$-0E0000]yyyy-mm-dd")</f>
        <v/>
      </c>
      <c r="C77350" t="inlineStr">
        <is>
          <t>2111-09-08</t>
        </is>
      </c>
    </row>
    <row r="77351">
      <c r="A77351" s="1" t="n">
        <v>77350</v>
      </c>
      <c r="B77351">
        <f>TEXT(77350, "[$-0E0000]yyyy-mm-dd")</f>
        <v/>
      </c>
      <c r="C77351" t="inlineStr">
        <is>
          <t>2111-09-09</t>
        </is>
      </c>
    </row>
    <row r="77352">
      <c r="A77352" s="1" t="n">
        <v>77351</v>
      </c>
      <c r="B77352">
        <f>TEXT(77351, "[$-0E0000]yyyy-mm-dd")</f>
        <v/>
      </c>
      <c r="C77352" t="inlineStr">
        <is>
          <t>2111-09-10</t>
        </is>
      </c>
    </row>
    <row r="77353">
      <c r="A77353" s="1" t="n">
        <v>77352</v>
      </c>
      <c r="B77353">
        <f>TEXT(77352, "[$-0E0000]yyyy-mm-dd")</f>
        <v/>
      </c>
      <c r="C77353" t="inlineStr">
        <is>
          <t>2111-09-11</t>
        </is>
      </c>
    </row>
    <row r="77354">
      <c r="A77354" s="1" t="n">
        <v>77353</v>
      </c>
      <c r="B77354">
        <f>TEXT(77353, "[$-0E0000]yyyy-mm-dd")</f>
        <v/>
      </c>
      <c r="C77354" t="inlineStr">
        <is>
          <t>2111-09-12</t>
        </is>
      </c>
    </row>
    <row r="77355">
      <c r="A77355" s="1" t="n">
        <v>77354</v>
      </c>
      <c r="B77355">
        <f>TEXT(77354, "[$-0E0000]yyyy-mm-dd")</f>
        <v/>
      </c>
      <c r="C77355" t="inlineStr">
        <is>
          <t>2111-09-13</t>
        </is>
      </c>
    </row>
    <row r="77356">
      <c r="A77356" s="1" t="n">
        <v>77355</v>
      </c>
      <c r="B77356">
        <f>TEXT(77355, "[$-0E0000]yyyy-mm-dd")</f>
        <v/>
      </c>
      <c r="C77356" t="inlineStr">
        <is>
          <t>2111-09-14</t>
        </is>
      </c>
    </row>
    <row r="77357">
      <c r="A77357" s="1" t="n">
        <v>77356</v>
      </c>
      <c r="B77357">
        <f>TEXT(77356, "[$-0E0000]yyyy-mm-dd")</f>
        <v/>
      </c>
      <c r="C77357" t="inlineStr">
        <is>
          <t>2111-09-15</t>
        </is>
      </c>
    </row>
    <row r="77358">
      <c r="A77358" s="1" t="n">
        <v>77357</v>
      </c>
      <c r="B77358">
        <f>TEXT(77357, "[$-0E0000]yyyy-mm-dd")</f>
        <v/>
      </c>
      <c r="C77358" t="inlineStr">
        <is>
          <t>2111-09-16</t>
        </is>
      </c>
    </row>
    <row r="77359">
      <c r="A77359" s="1" t="n">
        <v>77358</v>
      </c>
      <c r="B77359">
        <f>TEXT(77358, "[$-0E0000]yyyy-mm-dd")</f>
        <v/>
      </c>
      <c r="C77359" t="inlineStr">
        <is>
          <t>2111-09-17</t>
        </is>
      </c>
    </row>
    <row r="77360">
      <c r="A77360" s="1" t="n">
        <v>77359</v>
      </c>
      <c r="B77360">
        <f>TEXT(77359, "[$-0E0000]yyyy-mm-dd")</f>
        <v/>
      </c>
      <c r="C77360" t="inlineStr">
        <is>
          <t>2111-09-18</t>
        </is>
      </c>
    </row>
    <row r="77361">
      <c r="A77361" s="1" t="n">
        <v>77360</v>
      </c>
      <c r="B77361">
        <f>TEXT(77360, "[$-0E0000]yyyy-mm-dd")</f>
        <v/>
      </c>
      <c r="C77361" t="inlineStr">
        <is>
          <t>2111-09-19</t>
        </is>
      </c>
    </row>
    <row r="77362">
      <c r="A77362" s="1" t="n">
        <v>77361</v>
      </c>
      <c r="B77362">
        <f>TEXT(77361, "[$-0E0000]yyyy-mm-dd")</f>
        <v/>
      </c>
      <c r="C77362" t="inlineStr">
        <is>
          <t>2111-09-20</t>
        </is>
      </c>
    </row>
    <row r="77363">
      <c r="A77363" s="1" t="n">
        <v>77362</v>
      </c>
      <c r="B77363">
        <f>TEXT(77362, "[$-0E0000]yyyy-mm-dd")</f>
        <v/>
      </c>
      <c r="C77363" t="inlineStr">
        <is>
          <t>2111-09-21</t>
        </is>
      </c>
    </row>
    <row r="77364">
      <c r="A77364" s="1" t="n">
        <v>77363</v>
      </c>
      <c r="B77364">
        <f>TEXT(77363, "[$-0E0000]yyyy-mm-dd")</f>
        <v/>
      </c>
      <c r="C77364" t="inlineStr">
        <is>
          <t>2111-09-22</t>
        </is>
      </c>
    </row>
    <row r="77365">
      <c r="A77365" s="1" t="n">
        <v>77364</v>
      </c>
      <c r="B77365">
        <f>TEXT(77364, "[$-0E0000]yyyy-mm-dd")</f>
        <v/>
      </c>
      <c r="C77365" t="inlineStr">
        <is>
          <t>2111-09-23</t>
        </is>
      </c>
    </row>
    <row r="77366">
      <c r="A77366" s="1" t="n">
        <v>77365</v>
      </c>
      <c r="B77366">
        <f>TEXT(77365, "[$-0E0000]yyyy-mm-dd")</f>
        <v/>
      </c>
      <c r="C77366" t="inlineStr">
        <is>
          <t>2111-09-24</t>
        </is>
      </c>
    </row>
    <row r="77367">
      <c r="A77367" s="1" t="n">
        <v>77366</v>
      </c>
      <c r="B77367">
        <f>TEXT(77366, "[$-0E0000]yyyy-mm-dd")</f>
        <v/>
      </c>
      <c r="C77367" t="inlineStr">
        <is>
          <t>2111-09-25</t>
        </is>
      </c>
    </row>
    <row r="77368">
      <c r="A77368" s="1" t="n">
        <v>77367</v>
      </c>
      <c r="B77368">
        <f>TEXT(77367, "[$-0E0000]yyyy-mm-dd")</f>
        <v/>
      </c>
      <c r="C77368" t="inlineStr">
        <is>
          <t>2111-09-26</t>
        </is>
      </c>
    </row>
    <row r="77369">
      <c r="A77369" s="1" t="n">
        <v>77368</v>
      </c>
      <c r="B77369">
        <f>TEXT(77368, "[$-0E0000]yyyy-mm-dd")</f>
        <v/>
      </c>
      <c r="C77369" t="inlineStr">
        <is>
          <t>2111-09-27</t>
        </is>
      </c>
    </row>
    <row r="77370">
      <c r="A77370" s="1" t="n">
        <v>77369</v>
      </c>
      <c r="B77370">
        <f>TEXT(77369, "[$-0E0000]yyyy-mm-dd")</f>
        <v/>
      </c>
      <c r="C77370" t="inlineStr">
        <is>
          <t>2111-09-28</t>
        </is>
      </c>
    </row>
    <row r="77371">
      <c r="A77371" s="1" t="n">
        <v>77370</v>
      </c>
      <c r="B77371">
        <f>TEXT(77370, "[$-0E0000]yyyy-mm-dd")</f>
        <v/>
      </c>
      <c r="C77371" t="inlineStr">
        <is>
          <t>2111-09-29</t>
        </is>
      </c>
    </row>
    <row r="77372">
      <c r="A77372" s="1" t="n">
        <v>77371</v>
      </c>
      <c r="B77372">
        <f>TEXT(77371, "[$-0E0000]yyyy-mm-dd")</f>
        <v/>
      </c>
      <c r="C77372" t="inlineStr">
        <is>
          <t>2111-10-01</t>
        </is>
      </c>
    </row>
    <row r="77373">
      <c r="A77373" s="1" t="n">
        <v>77372</v>
      </c>
      <c r="B77373">
        <f>TEXT(77372, "[$-0E0000]yyyy-mm-dd")</f>
        <v/>
      </c>
      <c r="C77373" t="inlineStr">
        <is>
          <t>2111-10-02</t>
        </is>
      </c>
    </row>
    <row r="77374">
      <c r="A77374" s="1" t="n">
        <v>77373</v>
      </c>
      <c r="B77374">
        <f>TEXT(77373, "[$-0E0000]yyyy-mm-dd")</f>
        <v/>
      </c>
      <c r="C77374" t="inlineStr">
        <is>
          <t>2111-10-03</t>
        </is>
      </c>
    </row>
    <row r="77375">
      <c r="A77375" s="1" t="n">
        <v>77374</v>
      </c>
      <c r="B77375">
        <f>TEXT(77374, "[$-0E0000]yyyy-mm-dd")</f>
        <v/>
      </c>
      <c r="C77375" t="inlineStr">
        <is>
          <t>2111-10-04</t>
        </is>
      </c>
    </row>
    <row r="77376">
      <c r="A77376" s="1" t="n">
        <v>77375</v>
      </c>
      <c r="B77376">
        <f>TEXT(77375, "[$-0E0000]yyyy-mm-dd")</f>
        <v/>
      </c>
      <c r="C77376" t="inlineStr">
        <is>
          <t>2111-10-05</t>
        </is>
      </c>
    </row>
    <row r="77377">
      <c r="A77377" s="1" t="n">
        <v>77376</v>
      </c>
      <c r="B77377">
        <f>TEXT(77376, "[$-0E0000]yyyy-mm-dd")</f>
        <v/>
      </c>
      <c r="C77377" t="inlineStr">
        <is>
          <t>2111-10-06</t>
        </is>
      </c>
    </row>
    <row r="77378">
      <c r="A77378" s="1" t="n">
        <v>77377</v>
      </c>
      <c r="B77378">
        <f>TEXT(77377, "[$-0E0000]yyyy-mm-dd")</f>
        <v/>
      </c>
      <c r="C77378" t="inlineStr">
        <is>
          <t>2111-10-07</t>
        </is>
      </c>
    </row>
    <row r="77379">
      <c r="A77379" s="1" t="n">
        <v>77378</v>
      </c>
      <c r="B77379">
        <f>TEXT(77378, "[$-0E0000]yyyy-mm-dd")</f>
        <v/>
      </c>
      <c r="C77379" t="inlineStr">
        <is>
          <t>2111-10-08</t>
        </is>
      </c>
    </row>
    <row r="77380">
      <c r="A77380" s="1" t="n">
        <v>77379</v>
      </c>
      <c r="B77380">
        <f>TEXT(77379, "[$-0E0000]yyyy-mm-dd")</f>
        <v/>
      </c>
      <c r="C77380" t="inlineStr">
        <is>
          <t>2111-10-09</t>
        </is>
      </c>
    </row>
    <row r="77381">
      <c r="A77381" s="1" t="n">
        <v>77380</v>
      </c>
      <c r="B77381">
        <f>TEXT(77380, "[$-0E0000]yyyy-mm-dd")</f>
        <v/>
      </c>
      <c r="C77381" t="inlineStr">
        <is>
          <t>2111-10-10</t>
        </is>
      </c>
    </row>
    <row r="77382">
      <c r="A77382" s="1" t="n">
        <v>77381</v>
      </c>
      <c r="B77382">
        <f>TEXT(77381, "[$-0E0000]yyyy-mm-dd")</f>
        <v/>
      </c>
      <c r="C77382" t="inlineStr">
        <is>
          <t>2111-10-11</t>
        </is>
      </c>
    </row>
    <row r="77383">
      <c r="A77383" s="1" t="n">
        <v>77382</v>
      </c>
      <c r="B77383">
        <f>TEXT(77382, "[$-0E0000]yyyy-mm-dd")</f>
        <v/>
      </c>
      <c r="C77383" t="inlineStr">
        <is>
          <t>2111-10-12</t>
        </is>
      </c>
    </row>
    <row r="77384">
      <c r="A77384" s="1" t="n">
        <v>77383</v>
      </c>
      <c r="B77384">
        <f>TEXT(77383, "[$-0E0000]yyyy-mm-dd")</f>
        <v/>
      </c>
      <c r="C77384" t="inlineStr">
        <is>
          <t>2111-10-13</t>
        </is>
      </c>
    </row>
    <row r="77385">
      <c r="A77385" s="1" t="n">
        <v>77384</v>
      </c>
      <c r="B77385">
        <f>TEXT(77384, "[$-0E0000]yyyy-mm-dd")</f>
        <v/>
      </c>
      <c r="C77385" t="inlineStr">
        <is>
          <t>2111-10-14</t>
        </is>
      </c>
    </row>
    <row r="77386">
      <c r="A77386" s="1" t="n">
        <v>77385</v>
      </c>
      <c r="B77386">
        <f>TEXT(77385, "[$-0E0000]yyyy-mm-dd")</f>
        <v/>
      </c>
      <c r="C77386" t="inlineStr">
        <is>
          <t>2111-10-15</t>
        </is>
      </c>
    </row>
    <row r="77387">
      <c r="A77387" s="1" t="n">
        <v>77386</v>
      </c>
      <c r="B77387">
        <f>TEXT(77386, "[$-0E0000]yyyy-mm-dd")</f>
        <v/>
      </c>
      <c r="C77387" t="inlineStr">
        <is>
          <t>2111-10-16</t>
        </is>
      </c>
    </row>
    <row r="77388">
      <c r="A77388" s="1" t="n">
        <v>77387</v>
      </c>
      <c r="B77388">
        <f>TEXT(77387, "[$-0E0000]yyyy-mm-dd")</f>
        <v/>
      </c>
      <c r="C77388" t="inlineStr">
        <is>
          <t>2111-10-17</t>
        </is>
      </c>
    </row>
    <row r="77389">
      <c r="A77389" s="1" t="n">
        <v>77388</v>
      </c>
      <c r="B77389">
        <f>TEXT(77388, "[$-0E0000]yyyy-mm-dd")</f>
        <v/>
      </c>
      <c r="C77389" t="inlineStr">
        <is>
          <t>2111-10-18</t>
        </is>
      </c>
    </row>
    <row r="77390">
      <c r="A77390" s="1" t="n">
        <v>77389</v>
      </c>
      <c r="B77390">
        <f>TEXT(77389, "[$-0E0000]yyyy-mm-dd")</f>
        <v/>
      </c>
      <c r="C77390" t="inlineStr">
        <is>
          <t>2111-10-19</t>
        </is>
      </c>
    </row>
    <row r="77391">
      <c r="A77391" s="1" t="n">
        <v>77390</v>
      </c>
      <c r="B77391">
        <f>TEXT(77390, "[$-0E0000]yyyy-mm-dd")</f>
        <v/>
      </c>
      <c r="C77391" t="inlineStr">
        <is>
          <t>2111-10-20</t>
        </is>
      </c>
    </row>
    <row r="77392">
      <c r="A77392" s="1" t="n">
        <v>77391</v>
      </c>
      <c r="B77392">
        <f>TEXT(77391, "[$-0E0000]yyyy-mm-dd")</f>
        <v/>
      </c>
      <c r="C77392" t="inlineStr">
        <is>
          <t>2111-10-21</t>
        </is>
      </c>
    </row>
    <row r="77393">
      <c r="A77393" s="1" t="n">
        <v>77392</v>
      </c>
      <c r="B77393">
        <f>TEXT(77392, "[$-0E0000]yyyy-mm-dd")</f>
        <v/>
      </c>
      <c r="C77393" t="inlineStr">
        <is>
          <t>2111-10-22</t>
        </is>
      </c>
    </row>
    <row r="77394">
      <c r="A77394" s="1" t="n">
        <v>77393</v>
      </c>
      <c r="B77394">
        <f>TEXT(77393, "[$-0E0000]yyyy-mm-dd")</f>
        <v/>
      </c>
      <c r="C77394" t="inlineStr">
        <is>
          <t>2111-10-23</t>
        </is>
      </c>
    </row>
    <row r="77395">
      <c r="A77395" s="1" t="n">
        <v>77394</v>
      </c>
      <c r="B77395">
        <f>TEXT(77394, "[$-0E0000]yyyy-mm-dd")</f>
        <v/>
      </c>
      <c r="C77395" t="inlineStr">
        <is>
          <t>2111-10-24</t>
        </is>
      </c>
    </row>
    <row r="77396">
      <c r="A77396" s="1" t="n">
        <v>77395</v>
      </c>
      <c r="B77396">
        <f>TEXT(77395, "[$-0E0000]yyyy-mm-dd")</f>
        <v/>
      </c>
      <c r="C77396" t="inlineStr">
        <is>
          <t>2111-10-25</t>
        </is>
      </c>
    </row>
    <row r="77397">
      <c r="A77397" s="1" t="n">
        <v>77396</v>
      </c>
      <c r="B77397">
        <f>TEXT(77396, "[$-0E0000]yyyy-mm-dd")</f>
        <v/>
      </c>
      <c r="C77397" t="inlineStr">
        <is>
          <t>2111-10-26</t>
        </is>
      </c>
    </row>
    <row r="77398">
      <c r="A77398" s="1" t="n">
        <v>77397</v>
      </c>
      <c r="B77398">
        <f>TEXT(77397, "[$-0E0000]yyyy-mm-dd")</f>
        <v/>
      </c>
      <c r="C77398" t="inlineStr">
        <is>
          <t>2111-10-27</t>
        </is>
      </c>
    </row>
    <row r="77399">
      <c r="A77399" s="1" t="n">
        <v>77398</v>
      </c>
      <c r="B77399">
        <f>TEXT(77398, "[$-0E0000]yyyy-mm-dd")</f>
        <v/>
      </c>
      <c r="C77399" t="inlineStr">
        <is>
          <t>2111-10-28</t>
        </is>
      </c>
    </row>
    <row r="77400">
      <c r="A77400" s="1" t="n">
        <v>77399</v>
      </c>
      <c r="B77400">
        <f>TEXT(77399, "[$-0E0000]yyyy-mm-dd")</f>
        <v/>
      </c>
      <c r="C77400" t="inlineStr">
        <is>
          <t>2111-10-29</t>
        </is>
      </c>
    </row>
    <row r="77401">
      <c r="A77401" s="1" t="n">
        <v>77400</v>
      </c>
      <c r="B77401">
        <f>TEXT(77400, "[$-0E0000]yyyy-mm-dd")</f>
        <v/>
      </c>
      <c r="C77401" t="inlineStr">
        <is>
          <t>2111-10-30</t>
        </is>
      </c>
    </row>
    <row r="77402">
      <c r="A77402" s="1" t="n">
        <v>77401</v>
      </c>
      <c r="B77402">
        <f>TEXT(77401, "[$-0E0000]yyyy-mm-dd")</f>
        <v/>
      </c>
      <c r="C77402" t="inlineStr">
        <is>
          <t>2111-11-01</t>
        </is>
      </c>
    </row>
    <row r="77403">
      <c r="A77403" s="1" t="n">
        <v>77402</v>
      </c>
      <c r="B77403">
        <f>TEXT(77402, "[$-0E0000]yyyy-mm-dd")</f>
        <v/>
      </c>
      <c r="C77403" t="inlineStr">
        <is>
          <t>2111-11-02</t>
        </is>
      </c>
    </row>
    <row r="77404">
      <c r="A77404" s="1" t="n">
        <v>77403</v>
      </c>
      <c r="B77404">
        <f>TEXT(77403, "[$-0E0000]yyyy-mm-dd")</f>
        <v/>
      </c>
      <c r="C77404" t="inlineStr">
        <is>
          <t>2111-11-03</t>
        </is>
      </c>
    </row>
    <row r="77405">
      <c r="A77405" s="1" t="n">
        <v>77404</v>
      </c>
      <c r="B77405">
        <f>TEXT(77404, "[$-0E0000]yyyy-mm-dd")</f>
        <v/>
      </c>
      <c r="C77405" t="inlineStr">
        <is>
          <t>2111-11-04</t>
        </is>
      </c>
    </row>
    <row r="77406">
      <c r="A77406" s="1" t="n">
        <v>77405</v>
      </c>
      <c r="B77406">
        <f>TEXT(77405, "[$-0E0000]yyyy-mm-dd")</f>
        <v/>
      </c>
      <c r="C77406" t="inlineStr">
        <is>
          <t>2111-11-05</t>
        </is>
      </c>
    </row>
    <row r="77407">
      <c r="A77407" s="1" t="n">
        <v>77406</v>
      </c>
      <c r="B77407">
        <f>TEXT(77406, "[$-0E0000]yyyy-mm-dd")</f>
        <v/>
      </c>
      <c r="C77407" t="inlineStr">
        <is>
          <t>2111-11-06</t>
        </is>
      </c>
    </row>
    <row r="77408">
      <c r="A77408" s="1" t="n">
        <v>77407</v>
      </c>
      <c r="B77408">
        <f>TEXT(77407, "[$-0E0000]yyyy-mm-dd")</f>
        <v/>
      </c>
      <c r="C77408" t="inlineStr">
        <is>
          <t>2111-11-07</t>
        </is>
      </c>
    </row>
    <row r="77409">
      <c r="A77409" s="1" t="n">
        <v>77408</v>
      </c>
      <c r="B77409">
        <f>TEXT(77408, "[$-0E0000]yyyy-mm-dd")</f>
        <v/>
      </c>
      <c r="C77409" t="inlineStr">
        <is>
          <t>2111-11-08</t>
        </is>
      </c>
    </row>
    <row r="77410">
      <c r="A77410" s="1" t="n">
        <v>77409</v>
      </c>
      <c r="B77410">
        <f>TEXT(77409, "[$-0E0000]yyyy-mm-dd")</f>
        <v/>
      </c>
      <c r="C77410" t="inlineStr">
        <is>
          <t>2111-11-09</t>
        </is>
      </c>
    </row>
    <row r="77411">
      <c r="A77411" s="1" t="n">
        <v>77410</v>
      </c>
      <c r="B77411">
        <f>TEXT(77410, "[$-0E0000]yyyy-mm-dd")</f>
        <v/>
      </c>
      <c r="C77411" t="inlineStr">
        <is>
          <t>2111-11-10</t>
        </is>
      </c>
    </row>
    <row r="77412">
      <c r="A77412" s="1" t="n">
        <v>77411</v>
      </c>
      <c r="B77412">
        <f>TEXT(77411, "[$-0E0000]yyyy-mm-dd")</f>
        <v/>
      </c>
      <c r="C77412" t="inlineStr">
        <is>
          <t>2111-11-11</t>
        </is>
      </c>
    </row>
    <row r="77413">
      <c r="A77413" s="1" t="n">
        <v>77412</v>
      </c>
      <c r="B77413">
        <f>TEXT(77412, "[$-0E0000]yyyy-mm-dd")</f>
        <v/>
      </c>
      <c r="C77413" t="inlineStr">
        <is>
          <t>2111-11-12</t>
        </is>
      </c>
    </row>
    <row r="77414">
      <c r="A77414" s="1" t="n">
        <v>77413</v>
      </c>
      <c r="B77414">
        <f>TEXT(77413, "[$-0E0000]yyyy-mm-dd")</f>
        <v/>
      </c>
      <c r="C77414" t="inlineStr">
        <is>
          <t>2111-11-13</t>
        </is>
      </c>
    </row>
    <row r="77415">
      <c r="A77415" s="1" t="n">
        <v>77414</v>
      </c>
      <c r="B77415">
        <f>TEXT(77414, "[$-0E0000]yyyy-mm-dd")</f>
        <v/>
      </c>
      <c r="C77415" t="inlineStr">
        <is>
          <t>2111-11-14</t>
        </is>
      </c>
    </row>
    <row r="77416">
      <c r="A77416" s="1" t="n">
        <v>77415</v>
      </c>
      <c r="B77416">
        <f>TEXT(77415, "[$-0E0000]yyyy-mm-dd")</f>
        <v/>
      </c>
      <c r="C77416" t="inlineStr">
        <is>
          <t>2111-11-15</t>
        </is>
      </c>
    </row>
    <row r="77417">
      <c r="A77417" s="1" t="n">
        <v>77416</v>
      </c>
      <c r="B77417">
        <f>TEXT(77416, "[$-0E0000]yyyy-mm-dd")</f>
        <v/>
      </c>
      <c r="C77417" t="inlineStr">
        <is>
          <t>2111-11-16</t>
        </is>
      </c>
    </row>
    <row r="77418">
      <c r="A77418" s="1" t="n">
        <v>77417</v>
      </c>
      <c r="B77418">
        <f>TEXT(77417, "[$-0E0000]yyyy-mm-dd")</f>
        <v/>
      </c>
      <c r="C77418" t="inlineStr">
        <is>
          <t>2111-11-17</t>
        </is>
      </c>
    </row>
    <row r="77419">
      <c r="A77419" s="1" t="n">
        <v>77418</v>
      </c>
      <c r="B77419">
        <f>TEXT(77418, "[$-0E0000]yyyy-mm-dd")</f>
        <v/>
      </c>
      <c r="C77419" t="inlineStr">
        <is>
          <t>2111-11-18</t>
        </is>
      </c>
    </row>
    <row r="77420">
      <c r="A77420" s="1" t="n">
        <v>77419</v>
      </c>
      <c r="B77420">
        <f>TEXT(77419, "[$-0E0000]yyyy-mm-dd")</f>
        <v/>
      </c>
      <c r="C77420" t="inlineStr">
        <is>
          <t>2111-11-19</t>
        </is>
      </c>
    </row>
    <row r="77421">
      <c r="A77421" s="1" t="n">
        <v>77420</v>
      </c>
      <c r="B77421">
        <f>TEXT(77420, "[$-0E0000]yyyy-mm-dd")</f>
        <v/>
      </c>
      <c r="C77421" t="inlineStr">
        <is>
          <t>2111-11-20</t>
        </is>
      </c>
    </row>
    <row r="77422">
      <c r="A77422" s="1" t="n">
        <v>77421</v>
      </c>
      <c r="B77422">
        <f>TEXT(77421, "[$-0E0000]yyyy-mm-dd")</f>
        <v/>
      </c>
      <c r="C77422" t="inlineStr">
        <is>
          <t>2111-11-21</t>
        </is>
      </c>
    </row>
    <row r="77423">
      <c r="A77423" s="1" t="n">
        <v>77422</v>
      </c>
      <c r="B77423">
        <f>TEXT(77422, "[$-0E0000]yyyy-mm-dd")</f>
        <v/>
      </c>
      <c r="C77423" t="inlineStr">
        <is>
          <t>2111-11-22</t>
        </is>
      </c>
    </row>
    <row r="77424">
      <c r="A77424" s="1" t="n">
        <v>77423</v>
      </c>
      <c r="B77424">
        <f>TEXT(77423, "[$-0E0000]yyyy-mm-dd")</f>
        <v/>
      </c>
      <c r="C77424" t="inlineStr">
        <is>
          <t>2111-11-23</t>
        </is>
      </c>
    </row>
    <row r="77425">
      <c r="A77425" s="1" t="n">
        <v>77424</v>
      </c>
      <c r="B77425">
        <f>TEXT(77424, "[$-0E0000]yyyy-mm-dd")</f>
        <v/>
      </c>
      <c r="C77425" t="inlineStr">
        <is>
          <t>2111-11-24</t>
        </is>
      </c>
    </row>
    <row r="77426">
      <c r="A77426" s="1" t="n">
        <v>77425</v>
      </c>
      <c r="B77426">
        <f>TEXT(77425, "[$-0E0000]yyyy-mm-dd")</f>
        <v/>
      </c>
      <c r="C77426" t="inlineStr">
        <is>
          <t>2111-11-25</t>
        </is>
      </c>
    </row>
    <row r="77427">
      <c r="A77427" s="1" t="n">
        <v>77426</v>
      </c>
      <c r="B77427">
        <f>TEXT(77426, "[$-0E0000]yyyy-mm-dd")</f>
        <v/>
      </c>
      <c r="C77427" t="inlineStr">
        <is>
          <t>2111-11-26</t>
        </is>
      </c>
    </row>
    <row r="77428">
      <c r="A77428" s="1" t="n">
        <v>77427</v>
      </c>
      <c r="B77428">
        <f>TEXT(77427, "[$-0E0000]yyyy-mm-dd")</f>
        <v/>
      </c>
      <c r="C77428" t="inlineStr">
        <is>
          <t>2111-11-27</t>
        </is>
      </c>
    </row>
    <row r="77429">
      <c r="A77429" s="1" t="n">
        <v>77428</v>
      </c>
      <c r="B77429">
        <f>TEXT(77428, "[$-0E0000]yyyy-mm-dd")</f>
        <v/>
      </c>
      <c r="C77429" t="inlineStr">
        <is>
          <t>2111-11-28</t>
        </is>
      </c>
    </row>
    <row r="77430">
      <c r="A77430" s="1" t="n">
        <v>77429</v>
      </c>
      <c r="B77430">
        <f>TEXT(77429, "[$-0E0000]yyyy-mm-dd")</f>
        <v/>
      </c>
      <c r="C77430" t="inlineStr">
        <is>
          <t>2111-11-29</t>
        </is>
      </c>
    </row>
    <row r="77431">
      <c r="A77431" s="1" t="n">
        <v>77430</v>
      </c>
      <c r="B77431">
        <f>TEXT(77430, "[$-0E0000]yyyy-mm-dd")</f>
        <v/>
      </c>
      <c r="C77431" t="inlineStr">
        <is>
          <t>2111-11-30</t>
        </is>
      </c>
    </row>
    <row r="77432">
      <c r="A77432" s="1" t="n">
        <v>77431</v>
      </c>
      <c r="B77432">
        <f>TEXT(77431, "[$-0E0000]yyyy-mm-dd")</f>
        <v/>
      </c>
      <c r="C77432" t="inlineStr">
        <is>
          <t>2111-12-01</t>
        </is>
      </c>
    </row>
    <row r="77433">
      <c r="A77433" s="1" t="n">
        <v>77432</v>
      </c>
      <c r="B77433">
        <f>TEXT(77432, "[$-0E0000]yyyy-mm-dd")</f>
        <v/>
      </c>
    </row>
    <row r="77434">
      <c r="A77434" s="1" t="n">
        <v>77433</v>
      </c>
      <c r="B77434">
        <f>TEXT(77433, "[$-0E0000]yyyy-mm-dd")</f>
        <v/>
      </c>
    </row>
    <row r="77435">
      <c r="A77435" s="1" t="n">
        <v>77434</v>
      </c>
      <c r="B77435">
        <f>TEXT(77434, "[$-0E0000]yyyy-mm-dd")</f>
        <v/>
      </c>
    </row>
    <row r="77436">
      <c r="A77436" s="1" t="n">
        <v>77435</v>
      </c>
      <c r="B77436">
        <f>TEXT(77435, "[$-0E0000]yyyy-mm-dd")</f>
        <v/>
      </c>
    </row>
    <row r="77437">
      <c r="A77437" s="1" t="n">
        <v>77436</v>
      </c>
      <c r="B77437">
        <f>TEXT(77436, "[$-0E0000]yyyy-mm-dd")</f>
        <v/>
      </c>
    </row>
    <row r="77438">
      <c r="A77438" s="1" t="n">
        <v>77437</v>
      </c>
      <c r="B77438">
        <f>TEXT(77437, "[$-0E0000]yyyy-mm-dd")</f>
        <v/>
      </c>
    </row>
    <row r="77439">
      <c r="A77439" s="1" t="n">
        <v>77438</v>
      </c>
      <c r="B77439">
        <f>TEXT(77438, "[$-0E0000]yyyy-mm-dd")</f>
        <v/>
      </c>
    </row>
    <row r="77440">
      <c r="A77440" s="1" t="n">
        <v>77439</v>
      </c>
      <c r="B77440">
        <f>TEXT(77439, "[$-0E0000]yyyy-mm-dd")</f>
        <v/>
      </c>
    </row>
    <row r="77441">
      <c r="A77441" s="1" t="n">
        <v>77440</v>
      </c>
      <c r="B77441">
        <f>TEXT(77440, "[$-0E0000]yyyy-mm-dd")</f>
        <v/>
      </c>
    </row>
    <row r="77442">
      <c r="A77442" s="1" t="n">
        <v>77441</v>
      </c>
      <c r="B77442">
        <f>TEXT(77441, "[$-0E0000]yyyy-mm-dd")</f>
        <v/>
      </c>
    </row>
    <row r="77443">
      <c r="A77443" s="1" t="n">
        <v>77442</v>
      </c>
      <c r="B77443">
        <f>TEXT(77442, "[$-0E0000]yyyy-mm-dd")</f>
        <v/>
      </c>
    </row>
    <row r="77444">
      <c r="A77444" s="1" t="n">
        <v>77443</v>
      </c>
      <c r="B77444">
        <f>TEXT(77443, "[$-0E0000]yyyy-mm-dd")</f>
        <v/>
      </c>
    </row>
    <row r="77445">
      <c r="A77445" s="1" t="n">
        <v>77444</v>
      </c>
      <c r="B77445">
        <f>TEXT(77444, "[$-0E0000]yyyy-mm-dd")</f>
        <v/>
      </c>
    </row>
    <row r="77446">
      <c r="A77446" s="1" t="n">
        <v>77445</v>
      </c>
      <c r="B77446">
        <f>TEXT(77445, "[$-0E0000]yyyy-mm-dd")</f>
        <v/>
      </c>
    </row>
    <row r="77447">
      <c r="A77447" s="1" t="n">
        <v>77446</v>
      </c>
      <c r="B77447">
        <f>TEXT(77446, "[$-0E0000]yyyy-mm-dd")</f>
        <v/>
      </c>
    </row>
    <row r="77448">
      <c r="A77448" s="1" t="n">
        <v>77447</v>
      </c>
      <c r="B77448">
        <f>TEXT(77447, "[$-0E0000]yyyy-mm-dd")</f>
        <v/>
      </c>
    </row>
    <row r="77449">
      <c r="A77449" s="1" t="n">
        <v>77448</v>
      </c>
      <c r="B77449">
        <f>TEXT(77448, "[$-0E0000]yyyy-mm-dd")</f>
        <v/>
      </c>
    </row>
    <row r="77450">
      <c r="A77450" s="1" t="n">
        <v>77449</v>
      </c>
      <c r="B77450">
        <f>TEXT(77449, "[$-0E0000]yyyy-mm-dd")</f>
        <v/>
      </c>
    </row>
    <row r="77451">
      <c r="A77451" s="1" t="n">
        <v>77450</v>
      </c>
      <c r="B77451">
        <f>TEXT(77450, "[$-0E0000]yyyy-mm-dd")</f>
        <v/>
      </c>
    </row>
    <row r="77452">
      <c r="A77452" s="1" t="n">
        <v>77451</v>
      </c>
      <c r="B77452">
        <f>TEXT(77451, "[$-0E0000]yyyy-mm-dd")</f>
        <v/>
      </c>
    </row>
    <row r="77453">
      <c r="A77453" s="1" t="n">
        <v>77452</v>
      </c>
      <c r="B77453">
        <f>TEXT(77452, "[$-0E0000]yyyy-mm-dd")</f>
        <v/>
      </c>
    </row>
    <row r="77454">
      <c r="A77454" s="1" t="n">
        <v>77453</v>
      </c>
      <c r="B77454">
        <f>TEXT(77453, "[$-0E0000]yyyy-mm-dd")</f>
        <v/>
      </c>
    </row>
    <row r="77455">
      <c r="A77455" s="1" t="n">
        <v>77454</v>
      </c>
      <c r="B77455">
        <f>TEXT(77454, "[$-0E0000]yyyy-mm-dd")</f>
        <v/>
      </c>
    </row>
    <row r="77456">
      <c r="A77456" s="1" t="n">
        <v>77455</v>
      </c>
      <c r="B77456">
        <f>TEXT(77455, "[$-0E0000]yyyy-mm-dd")</f>
        <v/>
      </c>
    </row>
    <row r="77457">
      <c r="A77457" s="1" t="n">
        <v>77456</v>
      </c>
      <c r="B77457">
        <f>TEXT(77456, "[$-0E0000]yyyy-mm-dd")</f>
        <v/>
      </c>
    </row>
    <row r="77458">
      <c r="A77458" s="1" t="n">
        <v>77457</v>
      </c>
      <c r="B77458">
        <f>TEXT(77457, "[$-0E0000]yyyy-mm-dd")</f>
        <v/>
      </c>
    </row>
    <row r="77459">
      <c r="A77459" s="1" t="n">
        <v>77458</v>
      </c>
      <c r="B77459">
        <f>TEXT(77458, "[$-0E0000]yyyy-mm-dd")</f>
        <v/>
      </c>
    </row>
    <row r="77460">
      <c r="A77460" s="1" t="n">
        <v>77459</v>
      </c>
      <c r="B77460">
        <f>TEXT(77459, "[$-0E0000]yyyy-mm-dd")</f>
        <v/>
      </c>
    </row>
    <row r="77461">
      <c r="A77461" s="1" t="n">
        <v>77460</v>
      </c>
      <c r="B77461">
        <f>TEXT(77460, "[$-0E0000]yyyy-mm-dd")</f>
        <v/>
      </c>
    </row>
    <row r="77462">
      <c r="A77462" s="1" t="n">
        <v>77461</v>
      </c>
      <c r="B77462">
        <f>TEXT(77461, "[$-0E0000]yyyy-mm-dd")</f>
        <v/>
      </c>
    </row>
    <row r="77463">
      <c r="A77463" s="1" t="n">
        <v>77462</v>
      </c>
      <c r="B77463">
        <f>TEXT(77462, "[$-0E0000]yyyy-mm-dd")</f>
        <v/>
      </c>
    </row>
    <row r="77464">
      <c r="A77464" s="1" t="n">
        <v>77463</v>
      </c>
      <c r="B77464">
        <f>TEXT(77463, "[$-0E0000]yyyy-mm-dd")</f>
        <v/>
      </c>
    </row>
    <row r="77465">
      <c r="A77465" s="1" t="n">
        <v>77464</v>
      </c>
      <c r="B77465">
        <f>TEXT(77464, "[$-0E0000]yyyy-mm-dd")</f>
        <v/>
      </c>
    </row>
    <row r="77466">
      <c r="A77466" s="1" t="n">
        <v>77465</v>
      </c>
      <c r="B77466">
        <f>TEXT(77465, "[$-0E0000]yyyy-mm-dd")</f>
        <v/>
      </c>
    </row>
    <row r="77467">
      <c r="A77467" s="1" t="n">
        <v>77466</v>
      </c>
      <c r="B77467">
        <f>TEXT(77466, "[$-0E0000]yyyy-mm-dd")</f>
        <v/>
      </c>
    </row>
    <row r="77468">
      <c r="A77468" s="1" t="n">
        <v>77467</v>
      </c>
      <c r="B77468">
        <f>TEXT(77467, "[$-0E0000]yyyy-mm-dd")</f>
        <v/>
      </c>
    </row>
    <row r="77469">
      <c r="A77469" s="1" t="n">
        <v>77468</v>
      </c>
      <c r="B77469">
        <f>TEXT(77468, "[$-0E0000]yyyy-mm-dd")</f>
        <v/>
      </c>
    </row>
    <row r="77470">
      <c r="A77470" s="1" t="n">
        <v>77469</v>
      </c>
      <c r="B77470">
        <f>TEXT(77469, "[$-0E0000]yyyy-mm-dd")</f>
        <v/>
      </c>
    </row>
    <row r="77471">
      <c r="A77471" s="1" t="n">
        <v>77470</v>
      </c>
      <c r="B77471">
        <f>TEXT(77470, "[$-0E0000]yyyy-mm-dd")</f>
        <v/>
      </c>
    </row>
    <row r="77472">
      <c r="A77472" s="1" t="n">
        <v>77471</v>
      </c>
      <c r="B77472">
        <f>TEXT(77471, "[$-0E0000]yyyy-mm-dd")</f>
        <v/>
      </c>
    </row>
    <row r="77473">
      <c r="A77473" s="1" t="n">
        <v>77472</v>
      </c>
      <c r="B77473">
        <f>TEXT(77472, "[$-0E0000]yyyy-mm-dd")</f>
        <v/>
      </c>
    </row>
    <row r="77474">
      <c r="A77474" s="1" t="n">
        <v>77473</v>
      </c>
      <c r="B77474">
        <f>TEXT(77473, "[$-0E0000]yyyy-mm-dd")</f>
        <v/>
      </c>
    </row>
    <row r="77475">
      <c r="A77475" s="1" t="n">
        <v>77474</v>
      </c>
      <c r="B77475">
        <f>TEXT(77474, "[$-0E0000]yyyy-mm-dd")</f>
        <v/>
      </c>
    </row>
    <row r="77476">
      <c r="A77476" s="1" t="n">
        <v>77475</v>
      </c>
      <c r="B77476">
        <f>TEXT(77475, "[$-0E0000]yyyy-mm-dd")</f>
        <v/>
      </c>
    </row>
    <row r="77477">
      <c r="A77477" s="1" t="n">
        <v>77476</v>
      </c>
      <c r="B77477">
        <f>TEXT(77476, "[$-0E0000]yyyy-mm-dd")</f>
        <v/>
      </c>
    </row>
    <row r="77478">
      <c r="A77478" s="1" t="n">
        <v>77477</v>
      </c>
      <c r="B77478">
        <f>TEXT(77477, "[$-0E0000]yyyy-mm-dd")</f>
        <v/>
      </c>
    </row>
    <row r="77479">
      <c r="A77479" s="1" t="n">
        <v>77478</v>
      </c>
      <c r="B77479">
        <f>TEXT(77478, "[$-0E0000]yyyy-mm-dd")</f>
        <v/>
      </c>
    </row>
    <row r="77480">
      <c r="A77480" s="1" t="n">
        <v>77479</v>
      </c>
      <c r="B77480">
        <f>TEXT(77479, "[$-0E0000]yyyy-mm-dd")</f>
        <v/>
      </c>
    </row>
    <row r="77481">
      <c r="A77481" s="1" t="n">
        <v>77480</v>
      </c>
      <c r="B77481">
        <f>TEXT(77480, "[$-0E0000]yyyy-mm-dd")</f>
        <v/>
      </c>
    </row>
    <row r="77482">
      <c r="A77482" s="1" t="n">
        <v>77481</v>
      </c>
      <c r="B77482">
        <f>TEXT(77481, "[$-0E0000]yyyy-mm-dd")</f>
        <v/>
      </c>
    </row>
    <row r="77483">
      <c r="A77483" s="1" t="n">
        <v>77482</v>
      </c>
      <c r="B77483">
        <f>TEXT(77482, "[$-0E0000]yyyy-mm-dd")</f>
        <v/>
      </c>
    </row>
    <row r="77484">
      <c r="A77484" s="1" t="n">
        <v>77483</v>
      </c>
      <c r="B77484">
        <f>TEXT(77483, "[$-0E0000]yyyy-mm-dd")</f>
        <v/>
      </c>
    </row>
    <row r="77485">
      <c r="A77485" s="1" t="n">
        <v>77484</v>
      </c>
      <c r="B77485">
        <f>TEXT(77484, "[$-0E0000]yyyy-mm-dd")</f>
        <v/>
      </c>
    </row>
    <row r="77486">
      <c r="A77486" s="1" t="n">
        <v>77485</v>
      </c>
      <c r="B77486">
        <f>TEXT(77485, "[$-0E0000]yyyy-mm-dd")</f>
        <v/>
      </c>
    </row>
    <row r="77487">
      <c r="A77487" s="1" t="n">
        <v>77486</v>
      </c>
      <c r="B77487">
        <f>TEXT(77486, "[$-0E0000]yyyy-mm-dd")</f>
        <v/>
      </c>
    </row>
    <row r="77488">
      <c r="A77488" s="1" t="n">
        <v>77487</v>
      </c>
      <c r="B77488">
        <f>TEXT(77487, "[$-0E0000]yyyy-mm-dd")</f>
        <v/>
      </c>
    </row>
    <row r="77489">
      <c r="A77489" s="1" t="n">
        <v>77488</v>
      </c>
      <c r="B77489">
        <f>TEXT(77488, "[$-0E0000]yyyy-mm-dd")</f>
        <v/>
      </c>
    </row>
    <row r="77490">
      <c r="A77490" s="1" t="n">
        <v>77489</v>
      </c>
      <c r="B77490">
        <f>TEXT(77489, "[$-0E0000]yyyy-mm-dd")</f>
        <v/>
      </c>
    </row>
    <row r="77491">
      <c r="A77491" s="1" t="n">
        <v>77490</v>
      </c>
      <c r="B77491">
        <f>TEXT(77490, "[$-0E0000]yyyy-mm-dd")</f>
        <v/>
      </c>
    </row>
    <row r="77492">
      <c r="A77492" s="1" t="n">
        <v>77491</v>
      </c>
      <c r="B77492">
        <f>TEXT(77491, "[$-0E0000]yyyy-mm-dd")</f>
        <v/>
      </c>
    </row>
    <row r="77493">
      <c r="A77493" s="1" t="n">
        <v>77492</v>
      </c>
      <c r="B77493">
        <f>TEXT(77492, "[$-0E0000]yyyy-mm-dd")</f>
        <v/>
      </c>
    </row>
    <row r="77494">
      <c r="A77494" s="1" t="n">
        <v>77493</v>
      </c>
      <c r="B77494">
        <f>TEXT(77493, "[$-0E0000]yyyy-mm-dd")</f>
        <v/>
      </c>
    </row>
    <row r="77495">
      <c r="A77495" s="1" t="n">
        <v>77494</v>
      </c>
      <c r="B77495">
        <f>TEXT(77494, "[$-0E0000]yyyy-mm-dd")</f>
        <v/>
      </c>
    </row>
    <row r="77496">
      <c r="A77496" s="1" t="n">
        <v>77495</v>
      </c>
      <c r="B77496">
        <f>TEXT(77495, "[$-0E0000]yyyy-mm-dd")</f>
        <v/>
      </c>
    </row>
    <row r="77497">
      <c r="A77497" s="1" t="n">
        <v>77496</v>
      </c>
      <c r="B77497">
        <f>TEXT(77496, "[$-0E0000]yyyy-mm-dd")</f>
        <v/>
      </c>
    </row>
    <row r="77498">
      <c r="A77498" s="1" t="n">
        <v>77497</v>
      </c>
      <c r="B77498">
        <f>TEXT(77497, "[$-0E0000]yyyy-mm-dd")</f>
        <v/>
      </c>
    </row>
    <row r="77499">
      <c r="A77499" s="1" t="n">
        <v>77498</v>
      </c>
      <c r="B77499">
        <f>TEXT(77498, "[$-0E0000]yyyy-mm-dd")</f>
        <v/>
      </c>
    </row>
    <row r="77500">
      <c r="A77500" s="1" t="n">
        <v>77499</v>
      </c>
      <c r="B77500">
        <f>TEXT(77499, "[$-0E0000]yyyy-mm-dd")</f>
        <v/>
      </c>
    </row>
    <row r="77501">
      <c r="A77501" s="1" t="n">
        <v>77500</v>
      </c>
      <c r="B77501">
        <f>TEXT(77500, "[$-0E0000]yyyy-mm-dd")</f>
        <v/>
      </c>
    </row>
    <row r="77502">
      <c r="A77502" s="1" t="n">
        <v>77501</v>
      </c>
      <c r="B77502">
        <f>TEXT(77501, "[$-0E0000]yyyy-mm-dd")</f>
        <v/>
      </c>
    </row>
    <row r="77503">
      <c r="A77503" s="1" t="n">
        <v>77502</v>
      </c>
      <c r="B77503">
        <f>TEXT(77502, "[$-0E0000]yyyy-mm-dd")</f>
        <v/>
      </c>
    </row>
    <row r="77504">
      <c r="A77504" s="1" t="n">
        <v>77503</v>
      </c>
      <c r="B77504">
        <f>TEXT(77503, "[$-0E0000]yyyy-mm-dd")</f>
        <v/>
      </c>
    </row>
    <row r="77505">
      <c r="A77505" s="1" t="n">
        <v>77504</v>
      </c>
      <c r="B77505">
        <f>TEXT(77504, "[$-0E0000]yyyy-mm-dd")</f>
        <v/>
      </c>
    </row>
    <row r="77506">
      <c r="A77506" s="1" t="n">
        <v>77505</v>
      </c>
      <c r="B77506">
        <f>TEXT(77505, "[$-0E0000]yyyy-mm-dd")</f>
        <v/>
      </c>
    </row>
    <row r="77507">
      <c r="A77507" s="1" t="n">
        <v>77506</v>
      </c>
      <c r="B77507">
        <f>TEXT(77506, "[$-0E0000]yyyy-mm-dd")</f>
        <v/>
      </c>
    </row>
    <row r="77508">
      <c r="A77508" s="1" t="n">
        <v>77507</v>
      </c>
      <c r="B77508">
        <f>TEXT(77507, "[$-0E0000]yyyy-mm-dd")</f>
        <v/>
      </c>
    </row>
    <row r="77509">
      <c r="A77509" s="1" t="n">
        <v>77508</v>
      </c>
      <c r="B77509">
        <f>TEXT(77508, "[$-0E0000]yyyy-mm-dd")</f>
        <v/>
      </c>
    </row>
    <row r="77510">
      <c r="A77510" s="1" t="n">
        <v>77509</v>
      </c>
      <c r="B77510">
        <f>TEXT(77509, "[$-0E0000]yyyy-mm-dd")</f>
        <v/>
      </c>
    </row>
    <row r="77511">
      <c r="A77511" s="1" t="n">
        <v>77510</v>
      </c>
      <c r="B77511">
        <f>TEXT(77510, "[$-0E0000]yyyy-mm-dd")</f>
        <v/>
      </c>
    </row>
    <row r="77512">
      <c r="A77512" s="1" t="n">
        <v>77511</v>
      </c>
      <c r="B77512">
        <f>TEXT(77511, "[$-0E0000]yyyy-mm-dd")</f>
        <v/>
      </c>
    </row>
    <row r="77513">
      <c r="A77513" s="1" t="n">
        <v>77512</v>
      </c>
      <c r="B77513">
        <f>TEXT(77512, "[$-0E0000]yyyy-mm-dd")</f>
        <v/>
      </c>
    </row>
    <row r="77514">
      <c r="A77514" s="1" t="n">
        <v>77513</v>
      </c>
      <c r="B77514">
        <f>TEXT(77513, "[$-0E0000]yyyy-mm-dd")</f>
        <v/>
      </c>
    </row>
    <row r="77515">
      <c r="A77515" s="1" t="n">
        <v>77514</v>
      </c>
      <c r="B77515">
        <f>TEXT(77514, "[$-0E0000]yyyy-mm-dd")</f>
        <v/>
      </c>
    </row>
    <row r="77516">
      <c r="A77516" s="1" t="n">
        <v>77515</v>
      </c>
      <c r="B77516">
        <f>TEXT(77515, "[$-0E0000]yyyy-mm-dd")</f>
        <v/>
      </c>
    </row>
    <row r="77517">
      <c r="A77517" s="1" t="n">
        <v>77516</v>
      </c>
      <c r="B77517">
        <f>TEXT(77516, "[$-0E0000]yyyy-mm-dd")</f>
        <v/>
      </c>
    </row>
    <row r="77518">
      <c r="A77518" s="1" t="n">
        <v>77517</v>
      </c>
      <c r="B77518">
        <f>TEXT(77517, "[$-0E0000]yyyy-mm-dd")</f>
        <v/>
      </c>
    </row>
    <row r="77519">
      <c r="A77519" s="1" t="n">
        <v>77518</v>
      </c>
      <c r="B77519">
        <f>TEXT(77518, "[$-0E0000]yyyy-mm-dd")</f>
        <v/>
      </c>
    </row>
    <row r="77520">
      <c r="A77520" s="1" t="n">
        <v>77519</v>
      </c>
      <c r="B77520">
        <f>TEXT(77519, "[$-0E0000]yyyy-mm-dd")</f>
        <v/>
      </c>
    </row>
    <row r="77521">
      <c r="A77521" s="1" t="n">
        <v>77520</v>
      </c>
      <c r="B77521">
        <f>TEXT(77520, "[$-0E0000]yyyy-mm-dd")</f>
        <v/>
      </c>
    </row>
    <row r="77522">
      <c r="A77522" s="1" t="n">
        <v>77521</v>
      </c>
      <c r="B77522">
        <f>TEXT(77521, "[$-0E0000]yyyy-mm-dd")</f>
        <v/>
      </c>
    </row>
    <row r="77523">
      <c r="A77523" s="1" t="n">
        <v>77522</v>
      </c>
      <c r="B77523">
        <f>TEXT(77522, "[$-0E0000]yyyy-mm-dd")</f>
        <v/>
      </c>
    </row>
    <row r="77524">
      <c r="A77524" s="1" t="n">
        <v>77523</v>
      </c>
      <c r="B77524">
        <f>TEXT(77523, "[$-0E0000]yyyy-mm-dd")</f>
        <v/>
      </c>
    </row>
    <row r="77525">
      <c r="A77525" s="1" t="n">
        <v>77524</v>
      </c>
      <c r="B77525">
        <f>TEXT(77524, "[$-0E0000]yyyy-mm-dd")</f>
        <v/>
      </c>
    </row>
    <row r="77526">
      <c r="A77526" s="1" t="n">
        <v>77525</v>
      </c>
      <c r="B77526">
        <f>TEXT(77525, "[$-0E0000]yyyy-mm-dd")</f>
        <v/>
      </c>
    </row>
    <row r="77527">
      <c r="A77527" s="1" t="n">
        <v>77526</v>
      </c>
      <c r="B77527">
        <f>TEXT(77526, "[$-0E0000]yyyy-mm-dd")</f>
        <v/>
      </c>
    </row>
    <row r="77528">
      <c r="A77528" s="1" t="n">
        <v>77527</v>
      </c>
      <c r="B77528">
        <f>TEXT(77527, "[$-0E0000]yyyy-mm-dd")</f>
        <v/>
      </c>
    </row>
    <row r="77529">
      <c r="A77529" s="1" t="n">
        <v>77528</v>
      </c>
      <c r="B77529">
        <f>TEXT(77528, "[$-0E0000]yyyy-mm-dd")</f>
        <v/>
      </c>
    </row>
    <row r="77530">
      <c r="A77530" s="1" t="n">
        <v>77529</v>
      </c>
      <c r="B77530">
        <f>TEXT(77529, "[$-0E0000]yyyy-mm-dd")</f>
        <v/>
      </c>
    </row>
    <row r="77531">
      <c r="A77531" s="1" t="n">
        <v>77530</v>
      </c>
      <c r="B77531">
        <f>TEXT(77530, "[$-0E0000]yyyy-mm-dd")</f>
        <v/>
      </c>
    </row>
    <row r="77532">
      <c r="A77532" s="1" t="n">
        <v>77531</v>
      </c>
      <c r="B77532">
        <f>TEXT(77531, "[$-0E0000]yyyy-mm-dd")</f>
        <v/>
      </c>
    </row>
    <row r="77533">
      <c r="A77533" s="1" t="n">
        <v>77532</v>
      </c>
      <c r="B77533">
        <f>TEXT(77532, "[$-0E0000]yyyy-mm-dd")</f>
        <v/>
      </c>
    </row>
    <row r="77534">
      <c r="A77534" s="1" t="n">
        <v>77533</v>
      </c>
      <c r="B77534">
        <f>TEXT(77533, "[$-0E0000]yyyy-mm-dd")</f>
        <v/>
      </c>
    </row>
    <row r="77535">
      <c r="A77535" s="1" t="n">
        <v>77534</v>
      </c>
      <c r="B77535">
        <f>TEXT(77534, "[$-0E0000]yyyy-mm-dd")</f>
        <v/>
      </c>
    </row>
    <row r="77536">
      <c r="A77536" s="1" t="n">
        <v>77535</v>
      </c>
      <c r="B77536">
        <f>TEXT(77535, "[$-0E0000]yyyy-mm-dd")</f>
        <v/>
      </c>
    </row>
    <row r="77537">
      <c r="A77537" s="1" t="n">
        <v>77536</v>
      </c>
      <c r="B77537">
        <f>TEXT(77536, "[$-0E0000]yyyy-mm-dd")</f>
        <v/>
      </c>
    </row>
    <row r="77538">
      <c r="A77538" s="1" t="n">
        <v>77537</v>
      </c>
      <c r="B77538">
        <f>TEXT(77537, "[$-0E0000]yyyy-mm-dd")</f>
        <v/>
      </c>
    </row>
    <row r="77539">
      <c r="A77539" s="1" t="n">
        <v>77538</v>
      </c>
      <c r="B77539">
        <f>TEXT(77538, "[$-0E0000]yyyy-mm-dd")</f>
        <v/>
      </c>
    </row>
    <row r="77540">
      <c r="A77540" s="1" t="n">
        <v>77539</v>
      </c>
      <c r="B77540">
        <f>TEXT(77539, "[$-0E0000]yyyy-mm-dd")</f>
        <v/>
      </c>
    </row>
    <row r="77541">
      <c r="A77541" s="1" t="n">
        <v>77540</v>
      </c>
      <c r="B77541">
        <f>TEXT(77540, "[$-0E0000]yyyy-mm-dd")</f>
        <v/>
      </c>
    </row>
    <row r="77542">
      <c r="A77542" s="1" t="n">
        <v>77541</v>
      </c>
      <c r="B77542">
        <f>TEXT(77541, "[$-0E0000]yyyy-mm-dd")</f>
        <v/>
      </c>
    </row>
    <row r="77543">
      <c r="A77543" s="1" t="n">
        <v>77542</v>
      </c>
      <c r="B77543">
        <f>TEXT(77542, "[$-0E0000]yyyy-mm-dd")</f>
        <v/>
      </c>
    </row>
    <row r="77544">
      <c r="A77544" s="1" t="n">
        <v>77543</v>
      </c>
      <c r="B77544">
        <f>TEXT(77543, "[$-0E0000]yyyy-mm-dd")</f>
        <v/>
      </c>
    </row>
    <row r="77545">
      <c r="A77545" s="1" t="n">
        <v>77544</v>
      </c>
      <c r="B77545">
        <f>TEXT(77544, "[$-0E0000]yyyy-mm-dd")</f>
        <v/>
      </c>
    </row>
    <row r="77546">
      <c r="A77546" s="1" t="n">
        <v>77545</v>
      </c>
      <c r="B77546">
        <f>TEXT(77545, "[$-0E0000]yyyy-mm-dd")</f>
        <v/>
      </c>
    </row>
    <row r="77547">
      <c r="A77547" s="1" t="n">
        <v>77546</v>
      </c>
      <c r="B77547">
        <f>TEXT(77546, "[$-0E0000]yyyy-mm-dd")</f>
        <v/>
      </c>
    </row>
    <row r="77548">
      <c r="A77548" s="1" t="n">
        <v>77547</v>
      </c>
      <c r="B77548">
        <f>TEXT(77547, "[$-0E0000]yyyy-mm-dd")</f>
        <v/>
      </c>
    </row>
    <row r="77549">
      <c r="A77549" s="1" t="n">
        <v>77548</v>
      </c>
      <c r="B77549">
        <f>TEXT(77548, "[$-0E0000]yyyy-mm-dd")</f>
        <v/>
      </c>
    </row>
    <row r="77550">
      <c r="A77550" s="1" t="n">
        <v>77549</v>
      </c>
      <c r="B77550">
        <f>TEXT(77549, "[$-0E0000]yyyy-mm-dd")</f>
        <v/>
      </c>
    </row>
    <row r="77551">
      <c r="A77551" s="1" t="n">
        <v>77550</v>
      </c>
      <c r="B77551">
        <f>TEXT(77550, "[$-0E0000]yyyy-mm-dd")</f>
        <v/>
      </c>
    </row>
    <row r="77552">
      <c r="A77552" s="1" t="n">
        <v>77551</v>
      </c>
      <c r="B77552">
        <f>TEXT(77551, "[$-0E0000]yyyy-mm-dd")</f>
        <v/>
      </c>
    </row>
    <row r="77553">
      <c r="A77553" s="1" t="n">
        <v>77552</v>
      </c>
      <c r="B77553">
        <f>TEXT(77552, "[$-0E0000]yyyy-mm-dd")</f>
        <v/>
      </c>
    </row>
    <row r="77554">
      <c r="A77554" s="1" t="n">
        <v>77553</v>
      </c>
      <c r="B77554">
        <f>TEXT(77553, "[$-0E0000]yyyy-mm-dd")</f>
        <v/>
      </c>
    </row>
    <row r="77555">
      <c r="A77555" s="1" t="n">
        <v>77554</v>
      </c>
      <c r="B77555">
        <f>TEXT(77554, "[$-0E0000]yyyy-mm-dd")</f>
        <v/>
      </c>
    </row>
    <row r="77556">
      <c r="A77556" s="1" t="n">
        <v>77555</v>
      </c>
      <c r="B77556">
        <f>TEXT(77555, "[$-0E0000]yyyy-mm-dd")</f>
        <v/>
      </c>
    </row>
    <row r="77557">
      <c r="A77557" s="1" t="n">
        <v>77556</v>
      </c>
      <c r="B77557">
        <f>TEXT(77556, "[$-0E0000]yyyy-mm-dd")</f>
        <v/>
      </c>
    </row>
    <row r="77558">
      <c r="A77558" s="1" t="n">
        <v>77557</v>
      </c>
      <c r="B77558">
        <f>TEXT(77557, "[$-0E0000]yyyy-mm-dd")</f>
        <v/>
      </c>
    </row>
    <row r="77559">
      <c r="A77559" s="1" t="n">
        <v>77558</v>
      </c>
      <c r="B77559">
        <f>TEXT(77558, "[$-0E0000]yyyy-mm-dd")</f>
        <v/>
      </c>
    </row>
    <row r="77560">
      <c r="A77560" s="1" t="n">
        <v>77559</v>
      </c>
      <c r="B77560">
        <f>TEXT(77559, "[$-0E0000]yyyy-mm-dd")</f>
        <v/>
      </c>
    </row>
    <row r="77561">
      <c r="A77561" s="1" t="n">
        <v>77560</v>
      </c>
      <c r="B77561">
        <f>TEXT(77560, "[$-0E0000]yyyy-mm-dd")</f>
        <v/>
      </c>
    </row>
    <row r="77562">
      <c r="A77562" s="1" t="n">
        <v>77561</v>
      </c>
      <c r="B77562">
        <f>TEXT(77561, "[$-0E0000]yyyy-mm-dd")</f>
        <v/>
      </c>
    </row>
    <row r="77563">
      <c r="A77563" s="1" t="n">
        <v>77562</v>
      </c>
      <c r="B77563">
        <f>TEXT(77562, "[$-0E0000]yyyy-mm-dd")</f>
        <v/>
      </c>
    </row>
    <row r="77564">
      <c r="A77564" s="1" t="n">
        <v>77563</v>
      </c>
      <c r="B77564">
        <f>TEXT(77563, "[$-0E0000]yyyy-mm-dd")</f>
        <v/>
      </c>
    </row>
    <row r="77565">
      <c r="A77565" s="1" t="n">
        <v>77564</v>
      </c>
      <c r="B77565">
        <f>TEXT(77564, "[$-0E0000]yyyy-mm-dd")</f>
        <v/>
      </c>
    </row>
    <row r="77566">
      <c r="A77566" s="1" t="n">
        <v>77565</v>
      </c>
      <c r="B77566">
        <f>TEXT(77565, "[$-0E0000]yyyy-mm-dd")</f>
        <v/>
      </c>
    </row>
    <row r="77567">
      <c r="A77567" s="1" t="n">
        <v>77566</v>
      </c>
      <c r="B77567">
        <f>TEXT(77566, "[$-0E0000]yyyy-mm-dd")</f>
        <v/>
      </c>
    </row>
    <row r="77568">
      <c r="A77568" s="1" t="n">
        <v>77567</v>
      </c>
      <c r="B77568">
        <f>TEXT(77567, "[$-0E0000]yyyy-mm-dd")</f>
        <v/>
      </c>
    </row>
    <row r="77569">
      <c r="A77569" s="1" t="n">
        <v>77568</v>
      </c>
      <c r="B77569">
        <f>TEXT(77568, "[$-0E0000]yyyy-mm-dd")</f>
        <v/>
      </c>
    </row>
    <row r="77570">
      <c r="A77570" s="1" t="n">
        <v>77569</v>
      </c>
      <c r="B77570">
        <f>TEXT(77569, "[$-0E0000]yyyy-mm-dd")</f>
        <v/>
      </c>
    </row>
    <row r="77571">
      <c r="A77571" s="1" t="n">
        <v>77570</v>
      </c>
      <c r="B77571">
        <f>TEXT(77570, "[$-0E0000]yyyy-mm-dd")</f>
        <v/>
      </c>
    </row>
    <row r="77572">
      <c r="A77572" s="1" t="n">
        <v>77571</v>
      </c>
      <c r="B77572">
        <f>TEXT(77571, "[$-0E0000]yyyy-mm-dd")</f>
        <v/>
      </c>
    </row>
    <row r="77573">
      <c r="A77573" s="1" t="n">
        <v>77572</v>
      </c>
      <c r="B77573">
        <f>TEXT(77572, "[$-0E0000]yyyy-mm-dd")</f>
        <v/>
      </c>
    </row>
    <row r="77574">
      <c r="A77574" s="1" t="n">
        <v>77573</v>
      </c>
      <c r="B77574">
        <f>TEXT(77573, "[$-0E0000]yyyy-mm-dd")</f>
        <v/>
      </c>
    </row>
    <row r="77575">
      <c r="A77575" s="1" t="n">
        <v>77574</v>
      </c>
      <c r="B77575">
        <f>TEXT(77574, "[$-0E0000]yyyy-mm-dd")</f>
        <v/>
      </c>
    </row>
    <row r="77576">
      <c r="A77576" s="1" t="n">
        <v>77575</v>
      </c>
      <c r="B77576">
        <f>TEXT(77575, "[$-0E0000]yyyy-mm-dd")</f>
        <v/>
      </c>
    </row>
    <row r="77577">
      <c r="A77577" s="1" t="n">
        <v>77576</v>
      </c>
      <c r="B77577">
        <f>TEXT(77576, "[$-0E0000]yyyy-mm-dd")</f>
        <v/>
      </c>
    </row>
    <row r="77578">
      <c r="A77578" s="1" t="n">
        <v>77577</v>
      </c>
      <c r="B77578">
        <f>TEXT(77577, "[$-0E0000]yyyy-mm-dd")</f>
        <v/>
      </c>
    </row>
    <row r="77579">
      <c r="A77579" s="1" t="n">
        <v>77578</v>
      </c>
      <c r="B77579">
        <f>TEXT(77578, "[$-0E0000]yyyy-mm-dd")</f>
        <v/>
      </c>
    </row>
    <row r="77580">
      <c r="A77580" s="1" t="n">
        <v>77579</v>
      </c>
      <c r="B77580">
        <f>TEXT(77579, "[$-0E0000]yyyy-mm-dd")</f>
        <v/>
      </c>
    </row>
    <row r="77581">
      <c r="A77581" s="1" t="n">
        <v>77580</v>
      </c>
      <c r="B77581">
        <f>TEXT(77580, "[$-0E0000]yyyy-mm-dd")</f>
        <v/>
      </c>
    </row>
    <row r="77582">
      <c r="A77582" s="1" t="n">
        <v>77581</v>
      </c>
      <c r="B77582">
        <f>TEXT(77581, "[$-0E0000]yyyy-mm-dd")</f>
        <v/>
      </c>
    </row>
    <row r="77583">
      <c r="A77583" s="1" t="n">
        <v>77582</v>
      </c>
      <c r="B77583">
        <f>TEXT(77582, "[$-0E0000]yyyy-mm-dd")</f>
        <v/>
      </c>
    </row>
    <row r="77584">
      <c r="A77584" s="1" t="n">
        <v>77583</v>
      </c>
      <c r="B77584">
        <f>TEXT(77583, "[$-0E0000]yyyy-mm-dd")</f>
        <v/>
      </c>
    </row>
    <row r="77585">
      <c r="A77585" s="1" t="n">
        <v>77584</v>
      </c>
      <c r="B77585">
        <f>TEXT(77584, "[$-0E0000]yyyy-mm-dd")</f>
        <v/>
      </c>
    </row>
    <row r="77586">
      <c r="A77586" s="1" t="n">
        <v>77585</v>
      </c>
      <c r="B77586">
        <f>TEXT(77585, "[$-0E0000]yyyy-mm-dd")</f>
        <v/>
      </c>
    </row>
    <row r="77587">
      <c r="A77587" s="1" t="n">
        <v>77586</v>
      </c>
      <c r="B77587">
        <f>TEXT(77586, "[$-0E0000]yyyy-mm-dd")</f>
        <v/>
      </c>
    </row>
    <row r="77588">
      <c r="A77588" s="1" t="n">
        <v>77587</v>
      </c>
      <c r="B77588">
        <f>TEXT(77587, "[$-0E0000]yyyy-mm-dd")</f>
        <v/>
      </c>
    </row>
    <row r="77589">
      <c r="A77589" s="1" t="n">
        <v>77588</v>
      </c>
      <c r="B77589">
        <f>TEXT(77588, "[$-0E0000]yyyy-mm-dd")</f>
        <v/>
      </c>
    </row>
    <row r="77590">
      <c r="A77590" s="1" t="n">
        <v>77589</v>
      </c>
      <c r="B77590">
        <f>TEXT(77589, "[$-0E0000]yyyy-mm-dd")</f>
        <v/>
      </c>
    </row>
    <row r="77591">
      <c r="A77591" s="1" t="n">
        <v>77590</v>
      </c>
      <c r="B77591">
        <f>TEXT(77590, "[$-0E0000]yyyy-mm-dd")</f>
        <v/>
      </c>
    </row>
    <row r="77592">
      <c r="A77592" s="1" t="n">
        <v>77591</v>
      </c>
      <c r="B77592">
        <f>TEXT(77591, "[$-0E0000]yyyy-mm-dd")</f>
        <v/>
      </c>
    </row>
    <row r="77593">
      <c r="A77593" s="1" t="n">
        <v>77592</v>
      </c>
      <c r="B77593">
        <f>TEXT(77592, "[$-0E0000]yyyy-mm-dd")</f>
        <v/>
      </c>
    </row>
    <row r="77594">
      <c r="A77594" s="1" t="n">
        <v>77593</v>
      </c>
      <c r="B77594">
        <f>TEXT(77593, "[$-0E0000]yyyy-mm-dd")</f>
        <v/>
      </c>
    </row>
    <row r="77595">
      <c r="A77595" s="1" t="n">
        <v>77594</v>
      </c>
      <c r="B77595">
        <f>TEXT(77594, "[$-0E0000]yyyy-mm-dd")</f>
        <v/>
      </c>
    </row>
    <row r="77596">
      <c r="A77596" s="1" t="n">
        <v>77595</v>
      </c>
      <c r="B77596">
        <f>TEXT(77595, "[$-0E0000]yyyy-mm-dd")</f>
        <v/>
      </c>
    </row>
    <row r="77597">
      <c r="A77597" s="1" t="n">
        <v>77596</v>
      </c>
      <c r="B77597">
        <f>TEXT(77596, "[$-0E0000]yyyy-mm-dd")</f>
        <v/>
      </c>
    </row>
    <row r="77598">
      <c r="A77598" s="1" t="n">
        <v>77597</v>
      </c>
      <c r="B77598">
        <f>TEXT(77597, "[$-0E0000]yyyy-mm-dd")</f>
        <v/>
      </c>
    </row>
    <row r="77599">
      <c r="A77599" s="1" t="n">
        <v>77598</v>
      </c>
      <c r="B77599">
        <f>TEXT(77598, "[$-0E0000]yyyy-mm-dd")</f>
        <v/>
      </c>
    </row>
    <row r="77600">
      <c r="A77600" s="1" t="n">
        <v>77599</v>
      </c>
      <c r="B77600">
        <f>TEXT(77599, "[$-0E0000]yyyy-mm-dd")</f>
        <v/>
      </c>
    </row>
    <row r="77601">
      <c r="A77601" s="1" t="n">
        <v>77600</v>
      </c>
      <c r="B77601">
        <f>TEXT(77600, "[$-0E0000]yyyy-mm-dd")</f>
        <v/>
      </c>
    </row>
    <row r="77602">
      <c r="A77602" s="1" t="n">
        <v>77601</v>
      </c>
      <c r="B77602">
        <f>TEXT(77601, "[$-0E0000]yyyy-mm-dd")</f>
        <v/>
      </c>
    </row>
    <row r="77603">
      <c r="A77603" s="1" t="n">
        <v>77602</v>
      </c>
      <c r="B77603">
        <f>TEXT(77602, "[$-0E0000]yyyy-mm-dd")</f>
        <v/>
      </c>
    </row>
    <row r="77604">
      <c r="A77604" s="1" t="n">
        <v>77603</v>
      </c>
      <c r="B77604">
        <f>TEXT(77603, "[$-0E0000]yyyy-mm-dd")</f>
        <v/>
      </c>
    </row>
    <row r="77605">
      <c r="A77605" s="1" t="n">
        <v>77604</v>
      </c>
      <c r="B77605">
        <f>TEXT(77604, "[$-0E0000]yyyy-mm-dd")</f>
        <v/>
      </c>
    </row>
    <row r="77606">
      <c r="A77606" s="1" t="n">
        <v>77605</v>
      </c>
      <c r="B77606">
        <f>TEXT(77605, "[$-0E0000]yyyy-mm-dd")</f>
        <v/>
      </c>
    </row>
    <row r="77607">
      <c r="A77607" s="1" t="n">
        <v>77606</v>
      </c>
      <c r="B77607">
        <f>TEXT(77606, "[$-0E0000]yyyy-mm-dd")</f>
        <v/>
      </c>
    </row>
    <row r="77608">
      <c r="A77608" s="1" t="n">
        <v>77607</v>
      </c>
      <c r="B77608">
        <f>TEXT(77607, "[$-0E0000]yyyy-mm-dd")</f>
        <v/>
      </c>
    </row>
    <row r="77609">
      <c r="A77609" s="1" t="n">
        <v>77608</v>
      </c>
      <c r="B77609">
        <f>TEXT(77608, "[$-0E0000]yyyy-mm-dd")</f>
        <v/>
      </c>
    </row>
    <row r="77610">
      <c r="A77610" s="1" t="n">
        <v>77609</v>
      </c>
      <c r="B77610">
        <f>TEXT(77609, "[$-0E0000]yyyy-mm-dd")</f>
        <v/>
      </c>
    </row>
    <row r="77611">
      <c r="A77611" s="1" t="n">
        <v>77610</v>
      </c>
      <c r="B77611">
        <f>TEXT(77610, "[$-0E0000]yyyy-mm-dd")</f>
        <v/>
      </c>
    </row>
    <row r="77612">
      <c r="A77612" s="1" t="n">
        <v>77611</v>
      </c>
      <c r="B77612">
        <f>TEXT(77611, "[$-0E0000]yyyy-mm-dd")</f>
        <v/>
      </c>
    </row>
    <row r="77613">
      <c r="A77613" s="1" t="n">
        <v>77612</v>
      </c>
      <c r="B77613">
        <f>TEXT(77612, "[$-0E0000]yyyy-mm-dd")</f>
        <v/>
      </c>
    </row>
    <row r="77614">
      <c r="A77614" s="1" t="n">
        <v>77613</v>
      </c>
      <c r="B77614">
        <f>TEXT(77613, "[$-0E0000]yyyy-mm-dd")</f>
        <v/>
      </c>
    </row>
    <row r="77615">
      <c r="A77615" s="1" t="n">
        <v>77614</v>
      </c>
      <c r="B77615">
        <f>TEXT(77614, "[$-0E0000]yyyy-mm-dd")</f>
        <v/>
      </c>
    </row>
    <row r="77616">
      <c r="A77616" s="1" t="n">
        <v>77615</v>
      </c>
      <c r="B77616">
        <f>TEXT(77615, "[$-0E0000]yyyy-mm-dd")</f>
        <v/>
      </c>
    </row>
    <row r="77617">
      <c r="A77617" s="1" t="n">
        <v>77616</v>
      </c>
      <c r="B77617">
        <f>TEXT(77616, "[$-0E0000]yyyy-mm-dd")</f>
        <v/>
      </c>
    </row>
    <row r="77618">
      <c r="A77618" s="1" t="n">
        <v>77617</v>
      </c>
      <c r="B77618">
        <f>TEXT(77617, "[$-0E0000]yyyy-mm-dd")</f>
        <v/>
      </c>
    </row>
    <row r="77619">
      <c r="A77619" s="1" t="n">
        <v>77618</v>
      </c>
      <c r="B77619">
        <f>TEXT(77618, "[$-0E0000]yyyy-mm-dd")</f>
        <v/>
      </c>
    </row>
    <row r="77620">
      <c r="A77620" s="1" t="n">
        <v>77619</v>
      </c>
      <c r="B77620">
        <f>TEXT(77619, "[$-0E0000]yyyy-mm-dd")</f>
        <v/>
      </c>
    </row>
    <row r="77621">
      <c r="A77621" s="1" t="n">
        <v>77620</v>
      </c>
      <c r="B77621">
        <f>TEXT(77620, "[$-0E0000]yyyy-mm-dd")</f>
        <v/>
      </c>
    </row>
    <row r="77622">
      <c r="A77622" s="1" t="n">
        <v>77621</v>
      </c>
      <c r="B77622">
        <f>TEXT(77621, "[$-0E0000]yyyy-mm-dd")</f>
        <v/>
      </c>
    </row>
    <row r="77623">
      <c r="A77623" s="1" t="n">
        <v>77622</v>
      </c>
      <c r="B77623">
        <f>TEXT(77622, "[$-0E0000]yyyy-mm-dd")</f>
        <v/>
      </c>
    </row>
    <row r="77624">
      <c r="A77624" s="1" t="n">
        <v>77623</v>
      </c>
      <c r="B77624">
        <f>TEXT(77623, "[$-0E0000]yyyy-mm-dd")</f>
        <v/>
      </c>
    </row>
    <row r="77625">
      <c r="A77625" s="1" t="n">
        <v>77624</v>
      </c>
      <c r="B77625">
        <f>TEXT(77624, "[$-0E0000]yyyy-mm-dd")</f>
        <v/>
      </c>
    </row>
    <row r="77626">
      <c r="A77626" s="1" t="n">
        <v>77625</v>
      </c>
      <c r="B77626">
        <f>TEXT(77625, "[$-0E0000]yyyy-mm-dd")</f>
        <v/>
      </c>
    </row>
    <row r="77627">
      <c r="A77627" s="1" t="n">
        <v>77626</v>
      </c>
      <c r="B77627">
        <f>TEXT(77626, "[$-0E0000]yyyy-mm-dd")</f>
        <v/>
      </c>
    </row>
    <row r="77628">
      <c r="A77628" s="1" t="n">
        <v>77627</v>
      </c>
      <c r="B77628">
        <f>TEXT(77627, "[$-0E0000]yyyy-mm-dd")</f>
        <v/>
      </c>
    </row>
    <row r="77629">
      <c r="A77629" s="1" t="n">
        <v>77628</v>
      </c>
      <c r="B77629">
        <f>TEXT(77628, "[$-0E0000]yyyy-mm-dd")</f>
        <v/>
      </c>
    </row>
    <row r="77630">
      <c r="A77630" s="1" t="n">
        <v>77629</v>
      </c>
      <c r="B77630">
        <f>TEXT(77629, "[$-0E0000]yyyy-mm-dd")</f>
        <v/>
      </c>
    </row>
    <row r="77631">
      <c r="A77631" s="1" t="n">
        <v>77630</v>
      </c>
      <c r="B77631">
        <f>TEXT(77630, "[$-0E0000]yyyy-mm-dd")</f>
        <v/>
      </c>
    </row>
    <row r="77632">
      <c r="A77632" s="1" t="n">
        <v>77631</v>
      </c>
      <c r="B77632">
        <f>TEXT(77631, "[$-0E0000]yyyy-mm-dd")</f>
        <v/>
      </c>
    </row>
    <row r="77633">
      <c r="A77633" s="1" t="n">
        <v>77632</v>
      </c>
      <c r="B77633">
        <f>TEXT(77632, "[$-0E0000]yyyy-mm-dd")</f>
        <v/>
      </c>
    </row>
    <row r="77634">
      <c r="A77634" s="1" t="n">
        <v>77633</v>
      </c>
      <c r="B77634">
        <f>TEXT(77633, "[$-0E0000]yyyy-mm-dd")</f>
        <v/>
      </c>
    </row>
    <row r="77635">
      <c r="A77635" s="1" t="n">
        <v>77634</v>
      </c>
      <c r="B77635">
        <f>TEXT(77634, "[$-0E0000]yyyy-mm-dd")</f>
        <v/>
      </c>
    </row>
    <row r="77636">
      <c r="A77636" s="1" t="n">
        <v>77635</v>
      </c>
      <c r="B77636">
        <f>TEXT(77635, "[$-0E0000]yyyy-mm-dd")</f>
        <v/>
      </c>
    </row>
    <row r="77637">
      <c r="A77637" s="1" t="n">
        <v>77636</v>
      </c>
      <c r="B77637">
        <f>TEXT(77636, "[$-0E0000]yyyy-mm-dd")</f>
        <v/>
      </c>
    </row>
    <row r="77638">
      <c r="A77638" s="1" t="n">
        <v>77637</v>
      </c>
      <c r="B77638">
        <f>TEXT(77637, "[$-0E0000]yyyy-mm-dd")</f>
        <v/>
      </c>
    </row>
    <row r="77639">
      <c r="A77639" s="1" t="n">
        <v>77638</v>
      </c>
      <c r="B77639">
        <f>TEXT(77638, "[$-0E0000]yyyy-mm-dd")</f>
        <v/>
      </c>
    </row>
    <row r="77640">
      <c r="A77640" s="1" t="n">
        <v>77639</v>
      </c>
      <c r="B77640">
        <f>TEXT(77639, "[$-0E0000]yyyy-mm-dd")</f>
        <v/>
      </c>
    </row>
    <row r="77641">
      <c r="A77641" s="1" t="n">
        <v>77640</v>
      </c>
      <c r="B77641">
        <f>TEXT(77640, "[$-0E0000]yyyy-mm-dd")</f>
        <v/>
      </c>
    </row>
    <row r="77642">
      <c r="A77642" s="1" t="n">
        <v>77641</v>
      </c>
      <c r="B77642">
        <f>TEXT(77641, "[$-0E0000]yyyy-mm-dd")</f>
        <v/>
      </c>
    </row>
    <row r="77643">
      <c r="A77643" s="1" t="n">
        <v>77642</v>
      </c>
      <c r="B77643">
        <f>TEXT(77642, "[$-0E0000]yyyy-mm-dd")</f>
        <v/>
      </c>
    </row>
    <row r="77644">
      <c r="A77644" s="1" t="n">
        <v>77643</v>
      </c>
      <c r="B77644">
        <f>TEXT(77643, "[$-0E0000]yyyy-mm-dd")</f>
        <v/>
      </c>
    </row>
    <row r="77645">
      <c r="A77645" s="1" t="n">
        <v>77644</v>
      </c>
      <c r="B77645">
        <f>TEXT(77644, "[$-0E0000]yyyy-mm-dd")</f>
        <v/>
      </c>
    </row>
    <row r="77646">
      <c r="A77646" s="1" t="n">
        <v>77645</v>
      </c>
      <c r="B77646">
        <f>TEXT(77645, "[$-0E0000]yyyy-mm-dd")</f>
        <v/>
      </c>
    </row>
    <row r="77647">
      <c r="A77647" s="1" t="n">
        <v>77646</v>
      </c>
      <c r="B77647">
        <f>TEXT(77646, "[$-0E0000]yyyy-mm-dd")</f>
        <v/>
      </c>
    </row>
    <row r="77648">
      <c r="A77648" s="1" t="n">
        <v>77647</v>
      </c>
      <c r="B77648">
        <f>TEXT(77647, "[$-0E0000]yyyy-mm-dd")</f>
        <v/>
      </c>
    </row>
    <row r="77649">
      <c r="A77649" s="1" t="n">
        <v>77648</v>
      </c>
      <c r="B77649">
        <f>TEXT(77648, "[$-0E0000]yyyy-mm-dd")</f>
        <v/>
      </c>
    </row>
    <row r="77650">
      <c r="A77650" s="1" t="n">
        <v>77649</v>
      </c>
      <c r="B77650">
        <f>TEXT(77649, "[$-0E0000]yyyy-mm-dd")</f>
        <v/>
      </c>
    </row>
    <row r="77651">
      <c r="A77651" s="1" t="n">
        <v>77650</v>
      </c>
      <c r="B77651">
        <f>TEXT(77650, "[$-0E0000]yyyy-mm-dd")</f>
        <v/>
      </c>
    </row>
    <row r="77652">
      <c r="A77652" s="1" t="n">
        <v>77651</v>
      </c>
      <c r="B77652">
        <f>TEXT(77651, "[$-0E0000]yyyy-mm-dd")</f>
        <v/>
      </c>
    </row>
    <row r="77653">
      <c r="A77653" s="1" t="n">
        <v>77652</v>
      </c>
      <c r="B77653">
        <f>TEXT(77652, "[$-0E0000]yyyy-mm-dd")</f>
        <v/>
      </c>
    </row>
    <row r="77654">
      <c r="A77654" s="1" t="n">
        <v>77653</v>
      </c>
      <c r="B77654">
        <f>TEXT(77653, "[$-0E0000]yyyy-mm-dd")</f>
        <v/>
      </c>
    </row>
    <row r="77655">
      <c r="A77655" s="1" t="n">
        <v>77654</v>
      </c>
      <c r="B77655">
        <f>TEXT(77654, "[$-0E0000]yyyy-mm-dd")</f>
        <v/>
      </c>
    </row>
    <row r="77656">
      <c r="A77656" s="1" t="n">
        <v>77655</v>
      </c>
      <c r="B77656">
        <f>TEXT(77655, "[$-0E0000]yyyy-mm-dd")</f>
        <v/>
      </c>
    </row>
    <row r="77657">
      <c r="A77657" s="1" t="n">
        <v>77656</v>
      </c>
      <c r="B77657">
        <f>TEXT(77656, "[$-0E0000]yyyy-mm-dd")</f>
        <v/>
      </c>
    </row>
    <row r="77658">
      <c r="A77658" s="1" t="n">
        <v>77657</v>
      </c>
      <c r="B77658">
        <f>TEXT(77657, "[$-0E0000]yyyy-mm-dd")</f>
        <v/>
      </c>
    </row>
    <row r="77659">
      <c r="A77659" s="1" t="n">
        <v>77658</v>
      </c>
      <c r="B77659">
        <f>TEXT(77658, "[$-0E0000]yyyy-mm-dd")</f>
        <v/>
      </c>
    </row>
    <row r="77660">
      <c r="A77660" s="1" t="n">
        <v>77659</v>
      </c>
      <c r="B77660">
        <f>TEXT(77659, "[$-0E0000]yyyy-mm-dd")</f>
        <v/>
      </c>
    </row>
    <row r="77661">
      <c r="A77661" s="1" t="n">
        <v>77660</v>
      </c>
      <c r="B77661">
        <f>TEXT(77660, "[$-0E0000]yyyy-mm-dd")</f>
        <v/>
      </c>
    </row>
    <row r="77662">
      <c r="A77662" s="1" t="n">
        <v>77661</v>
      </c>
      <c r="B77662">
        <f>TEXT(77661, "[$-0E0000]yyyy-mm-dd")</f>
        <v/>
      </c>
    </row>
    <row r="77663">
      <c r="A77663" s="1" t="n">
        <v>77662</v>
      </c>
      <c r="B77663">
        <f>TEXT(77662, "[$-0E0000]yyyy-mm-dd")</f>
        <v/>
      </c>
    </row>
    <row r="77664">
      <c r="A77664" s="1" t="n">
        <v>77663</v>
      </c>
      <c r="B77664">
        <f>TEXT(77663, "[$-0E0000]yyyy-mm-dd")</f>
        <v/>
      </c>
    </row>
    <row r="77665">
      <c r="A77665" s="1" t="n">
        <v>77664</v>
      </c>
      <c r="B77665">
        <f>TEXT(77664, "[$-0E0000]yyyy-mm-dd")</f>
        <v/>
      </c>
    </row>
    <row r="77666">
      <c r="A77666" s="1" t="n">
        <v>77665</v>
      </c>
      <c r="B77666">
        <f>TEXT(77665, "[$-0E0000]yyyy-mm-dd")</f>
        <v/>
      </c>
    </row>
    <row r="77667">
      <c r="A77667" s="1" t="n">
        <v>77666</v>
      </c>
      <c r="B77667">
        <f>TEXT(77666, "[$-0E0000]yyyy-mm-dd")</f>
        <v/>
      </c>
    </row>
    <row r="77668">
      <c r="A77668" s="1" t="n">
        <v>77667</v>
      </c>
      <c r="B77668">
        <f>TEXT(77667, "[$-0E0000]yyyy-mm-dd")</f>
        <v/>
      </c>
    </row>
    <row r="77669">
      <c r="A77669" s="1" t="n">
        <v>77668</v>
      </c>
      <c r="B77669">
        <f>TEXT(77668, "[$-0E0000]yyyy-mm-dd")</f>
        <v/>
      </c>
    </row>
    <row r="77670">
      <c r="A77670" s="1" t="n">
        <v>77669</v>
      </c>
      <c r="B77670">
        <f>TEXT(77669, "[$-0E0000]yyyy-mm-dd")</f>
        <v/>
      </c>
    </row>
    <row r="77671">
      <c r="A77671" s="1" t="n">
        <v>77670</v>
      </c>
      <c r="B77671">
        <f>TEXT(77670, "[$-0E0000]yyyy-mm-dd")</f>
        <v/>
      </c>
    </row>
    <row r="77672">
      <c r="A77672" s="1" t="n">
        <v>77671</v>
      </c>
      <c r="B77672">
        <f>TEXT(77671, "[$-0E0000]yyyy-mm-dd")</f>
        <v/>
      </c>
    </row>
    <row r="77673">
      <c r="A77673" s="1" t="n">
        <v>77672</v>
      </c>
      <c r="B77673">
        <f>TEXT(77672, "[$-0E0000]yyyy-mm-dd")</f>
        <v/>
      </c>
    </row>
    <row r="77674">
      <c r="A77674" s="1" t="n">
        <v>77673</v>
      </c>
      <c r="B77674">
        <f>TEXT(77673, "[$-0E0000]yyyy-mm-dd")</f>
        <v/>
      </c>
    </row>
    <row r="77675">
      <c r="A77675" s="1" t="n">
        <v>77674</v>
      </c>
      <c r="B77675">
        <f>TEXT(77674, "[$-0E0000]yyyy-mm-dd")</f>
        <v/>
      </c>
    </row>
    <row r="77676">
      <c r="A77676" s="1" t="n">
        <v>77675</v>
      </c>
      <c r="B77676">
        <f>TEXT(77675, "[$-0E0000]yyyy-mm-dd")</f>
        <v/>
      </c>
    </row>
    <row r="77677">
      <c r="A77677" s="1" t="n">
        <v>77676</v>
      </c>
      <c r="B77677">
        <f>TEXT(77676, "[$-0E0000]yyyy-mm-dd")</f>
        <v/>
      </c>
    </row>
    <row r="77678">
      <c r="A77678" s="1" t="n">
        <v>77677</v>
      </c>
      <c r="B77678">
        <f>TEXT(77677, "[$-0E0000]yyyy-mm-dd")</f>
        <v/>
      </c>
    </row>
    <row r="77679">
      <c r="A77679" s="1" t="n">
        <v>77678</v>
      </c>
      <c r="B77679">
        <f>TEXT(77678, "[$-0E0000]yyyy-mm-dd")</f>
        <v/>
      </c>
    </row>
    <row r="77680">
      <c r="A77680" s="1" t="n">
        <v>77679</v>
      </c>
      <c r="B77680">
        <f>TEXT(77679, "[$-0E0000]yyyy-mm-dd")</f>
        <v/>
      </c>
    </row>
    <row r="77681">
      <c r="A77681" s="1" t="n">
        <v>77680</v>
      </c>
      <c r="B77681">
        <f>TEXT(77680, "[$-0E0000]yyyy-mm-dd")</f>
        <v/>
      </c>
    </row>
    <row r="77682">
      <c r="A77682" s="1" t="n">
        <v>77681</v>
      </c>
      <c r="B77682">
        <f>TEXT(77681, "[$-0E0000]yyyy-mm-dd")</f>
        <v/>
      </c>
    </row>
    <row r="77683">
      <c r="A77683" s="1" t="n">
        <v>77682</v>
      </c>
      <c r="B77683">
        <f>TEXT(77682, "[$-0E0000]yyyy-mm-dd")</f>
        <v/>
      </c>
    </row>
    <row r="77684">
      <c r="A77684" s="1" t="n">
        <v>77683</v>
      </c>
      <c r="B77684">
        <f>TEXT(77683, "[$-0E0000]yyyy-mm-dd")</f>
        <v/>
      </c>
    </row>
    <row r="77685">
      <c r="A77685" s="1" t="n">
        <v>77684</v>
      </c>
      <c r="B77685">
        <f>TEXT(77684, "[$-0E0000]yyyy-mm-dd")</f>
        <v/>
      </c>
    </row>
    <row r="77686">
      <c r="A77686" s="1" t="n">
        <v>77685</v>
      </c>
      <c r="B77686">
        <f>TEXT(77685, "[$-0E0000]yyyy-mm-dd")</f>
        <v/>
      </c>
    </row>
    <row r="77687">
      <c r="A77687" s="1" t="n">
        <v>77686</v>
      </c>
      <c r="B77687">
        <f>TEXT(77686, "[$-0E0000]yyyy-mm-dd")</f>
        <v/>
      </c>
    </row>
    <row r="77688">
      <c r="A77688" s="1" t="n">
        <v>77687</v>
      </c>
      <c r="B77688">
        <f>TEXT(77687, "[$-0E0000]yyyy-mm-dd")</f>
        <v/>
      </c>
    </row>
    <row r="77689">
      <c r="A77689" s="1" t="n">
        <v>77688</v>
      </c>
      <c r="B77689">
        <f>TEXT(77688, "[$-0E0000]yyyy-mm-dd")</f>
        <v/>
      </c>
    </row>
    <row r="77690">
      <c r="A77690" s="1" t="n">
        <v>77689</v>
      </c>
      <c r="B77690">
        <f>TEXT(77689, "[$-0E0000]yyyy-mm-dd")</f>
        <v/>
      </c>
    </row>
    <row r="77691">
      <c r="A77691" s="1" t="n">
        <v>77690</v>
      </c>
      <c r="B77691">
        <f>TEXT(77690, "[$-0E0000]yyyy-mm-dd")</f>
        <v/>
      </c>
    </row>
    <row r="77692">
      <c r="A77692" s="1" t="n">
        <v>77691</v>
      </c>
      <c r="B77692">
        <f>TEXT(77691, "[$-0E0000]yyyy-mm-dd")</f>
        <v/>
      </c>
    </row>
    <row r="77693">
      <c r="A77693" s="1" t="n">
        <v>77692</v>
      </c>
      <c r="B77693">
        <f>TEXT(77692, "[$-0E0000]yyyy-mm-dd")</f>
        <v/>
      </c>
    </row>
    <row r="77694">
      <c r="A77694" s="1" t="n">
        <v>77693</v>
      </c>
      <c r="B77694">
        <f>TEXT(77693, "[$-0E0000]yyyy-mm-dd")</f>
        <v/>
      </c>
    </row>
    <row r="77695">
      <c r="A77695" s="1" t="n">
        <v>77694</v>
      </c>
      <c r="B77695">
        <f>TEXT(77694, "[$-0E0000]yyyy-mm-dd")</f>
        <v/>
      </c>
    </row>
    <row r="77696">
      <c r="A77696" s="1" t="n">
        <v>77695</v>
      </c>
      <c r="B77696">
        <f>TEXT(77695, "[$-0E0000]yyyy-mm-dd")</f>
        <v/>
      </c>
    </row>
    <row r="77697">
      <c r="A77697" s="1" t="n">
        <v>77696</v>
      </c>
      <c r="B77697">
        <f>TEXT(77696, "[$-0E0000]yyyy-mm-dd")</f>
        <v/>
      </c>
    </row>
    <row r="77698">
      <c r="A77698" s="1" t="n">
        <v>77697</v>
      </c>
      <c r="B77698">
        <f>TEXT(77697, "[$-0E0000]yyyy-mm-dd")</f>
        <v/>
      </c>
    </row>
    <row r="77699">
      <c r="A77699" s="1" t="n">
        <v>77698</v>
      </c>
      <c r="B77699">
        <f>TEXT(77698, "[$-0E0000]yyyy-mm-dd")</f>
        <v/>
      </c>
    </row>
    <row r="77700">
      <c r="A77700" s="1" t="n">
        <v>77699</v>
      </c>
      <c r="B77700">
        <f>TEXT(77699, "[$-0E0000]yyyy-mm-dd")</f>
        <v/>
      </c>
    </row>
    <row r="77701">
      <c r="A77701" s="1" t="n">
        <v>77700</v>
      </c>
      <c r="B77701">
        <f>TEXT(77700, "[$-0E0000]yyyy-mm-dd")</f>
        <v/>
      </c>
    </row>
    <row r="77702">
      <c r="A77702" s="1" t="n">
        <v>77701</v>
      </c>
      <c r="B77702">
        <f>TEXT(77701, "[$-0E0000]yyyy-mm-dd")</f>
        <v/>
      </c>
    </row>
    <row r="77703">
      <c r="A77703" s="1" t="n">
        <v>77702</v>
      </c>
      <c r="B77703">
        <f>TEXT(77702, "[$-0E0000]yyyy-mm-dd")</f>
        <v/>
      </c>
    </row>
    <row r="77704">
      <c r="A77704" s="1" t="n">
        <v>77703</v>
      </c>
      <c r="B77704">
        <f>TEXT(77703, "[$-0E0000]yyyy-mm-dd")</f>
        <v/>
      </c>
    </row>
    <row r="77705">
      <c r="A77705" s="1" t="n">
        <v>77704</v>
      </c>
      <c r="B77705">
        <f>TEXT(77704, "[$-0E0000]yyyy-mm-dd")</f>
        <v/>
      </c>
    </row>
    <row r="77706">
      <c r="A77706" s="1" t="n">
        <v>77705</v>
      </c>
      <c r="B77706">
        <f>TEXT(77705, "[$-0E0000]yyyy-mm-dd")</f>
        <v/>
      </c>
    </row>
    <row r="77707">
      <c r="A77707" s="1" t="n">
        <v>77706</v>
      </c>
      <c r="B77707">
        <f>TEXT(77706, "[$-0E0000]yyyy-mm-dd")</f>
        <v/>
      </c>
    </row>
    <row r="77708">
      <c r="A77708" s="1" t="n">
        <v>77707</v>
      </c>
      <c r="B77708">
        <f>TEXT(77707, "[$-0E0000]yyyy-mm-dd")</f>
        <v/>
      </c>
    </row>
    <row r="77709">
      <c r="A77709" s="1" t="n">
        <v>77708</v>
      </c>
      <c r="B77709">
        <f>TEXT(77708, "[$-0E0000]yyyy-mm-dd")</f>
        <v/>
      </c>
    </row>
    <row r="77710">
      <c r="A77710" s="1" t="n">
        <v>77709</v>
      </c>
      <c r="B77710">
        <f>TEXT(77709, "[$-0E0000]yyyy-mm-dd")</f>
        <v/>
      </c>
    </row>
    <row r="77711">
      <c r="A77711" s="1" t="n">
        <v>77710</v>
      </c>
      <c r="B77711">
        <f>TEXT(77710, "[$-0E0000]yyyy-mm-dd")</f>
        <v/>
      </c>
    </row>
    <row r="77712">
      <c r="A77712" s="1" t="n">
        <v>77711</v>
      </c>
      <c r="B77712">
        <f>TEXT(77711, "[$-0E0000]yyyy-mm-dd")</f>
        <v/>
      </c>
    </row>
    <row r="77713">
      <c r="A77713" s="1" t="n">
        <v>77712</v>
      </c>
      <c r="B77713">
        <f>TEXT(77712, "[$-0E0000]yyyy-mm-dd")</f>
        <v/>
      </c>
    </row>
    <row r="77714">
      <c r="A77714" s="1" t="n">
        <v>77713</v>
      </c>
      <c r="B77714">
        <f>TEXT(77713, "[$-0E0000]yyyy-mm-dd")</f>
        <v/>
      </c>
    </row>
    <row r="77715">
      <c r="A77715" s="1" t="n">
        <v>77714</v>
      </c>
      <c r="B77715">
        <f>TEXT(77714, "[$-0E0000]yyyy-mm-dd")</f>
        <v/>
      </c>
    </row>
    <row r="77716">
      <c r="A77716" s="1" t="n">
        <v>77715</v>
      </c>
      <c r="B77716">
        <f>TEXT(77715, "[$-0E0000]yyyy-mm-dd")</f>
        <v/>
      </c>
    </row>
    <row r="77717">
      <c r="A77717" s="1" t="n">
        <v>77716</v>
      </c>
      <c r="B77717">
        <f>TEXT(77716, "[$-0E0000]yyyy-mm-dd")</f>
        <v/>
      </c>
    </row>
    <row r="77718">
      <c r="A77718" s="1" t="n">
        <v>77717</v>
      </c>
      <c r="B77718">
        <f>TEXT(77717, "[$-0E0000]yyyy-mm-dd")</f>
        <v/>
      </c>
    </row>
    <row r="77719">
      <c r="A77719" s="1" t="n">
        <v>77718</v>
      </c>
      <c r="B77719">
        <f>TEXT(77718, "[$-0E0000]yyyy-mm-dd")</f>
        <v/>
      </c>
    </row>
    <row r="77720">
      <c r="A77720" s="1" t="n">
        <v>77719</v>
      </c>
      <c r="B77720">
        <f>TEXT(77719, "[$-0E0000]yyyy-mm-dd")</f>
        <v/>
      </c>
    </row>
    <row r="77721">
      <c r="A77721" s="1" t="n">
        <v>77720</v>
      </c>
      <c r="B77721">
        <f>TEXT(77720, "[$-0E0000]yyyy-mm-dd")</f>
        <v/>
      </c>
    </row>
    <row r="77722">
      <c r="A77722" s="1" t="n">
        <v>77721</v>
      </c>
      <c r="B77722">
        <f>TEXT(77721, "[$-0E0000]yyyy-mm-dd")</f>
        <v/>
      </c>
    </row>
    <row r="77723">
      <c r="A77723" s="1" t="n">
        <v>77722</v>
      </c>
      <c r="B77723">
        <f>TEXT(77722, "[$-0E0000]yyyy-mm-dd")</f>
        <v/>
      </c>
    </row>
    <row r="77724">
      <c r="A77724" s="1" t="n">
        <v>77723</v>
      </c>
      <c r="B77724">
        <f>TEXT(77723, "[$-0E0000]yyyy-mm-dd")</f>
        <v/>
      </c>
    </row>
    <row r="77725">
      <c r="A77725" s="1" t="n">
        <v>77724</v>
      </c>
      <c r="B77725">
        <f>TEXT(77724, "[$-0E0000]yyyy-mm-dd")</f>
        <v/>
      </c>
    </row>
    <row r="77726">
      <c r="A77726" s="1" t="n">
        <v>77725</v>
      </c>
      <c r="B77726">
        <f>TEXT(77725, "[$-0E0000]yyyy-mm-dd")</f>
        <v/>
      </c>
    </row>
    <row r="77727">
      <c r="A77727" s="1" t="n">
        <v>77726</v>
      </c>
      <c r="B77727">
        <f>TEXT(77726, "[$-0E0000]yyyy-mm-dd")</f>
        <v/>
      </c>
    </row>
    <row r="77728">
      <c r="A77728" s="1" t="n">
        <v>77727</v>
      </c>
      <c r="B77728">
        <f>TEXT(77727, "[$-0E0000]yyyy-mm-dd")</f>
        <v/>
      </c>
    </row>
    <row r="77729">
      <c r="A77729" s="1" t="n">
        <v>77728</v>
      </c>
      <c r="B77729">
        <f>TEXT(77728, "[$-0E0000]yyyy-mm-dd")</f>
        <v/>
      </c>
    </row>
    <row r="77730">
      <c r="A77730" s="1" t="n">
        <v>77729</v>
      </c>
      <c r="B77730">
        <f>TEXT(77729, "[$-0E0000]yyyy-mm-dd")</f>
        <v/>
      </c>
    </row>
    <row r="77731">
      <c r="A77731" s="1" t="n">
        <v>77730</v>
      </c>
      <c r="B77731">
        <f>TEXT(77730, "[$-0E0000]yyyy-mm-dd")</f>
        <v/>
      </c>
    </row>
    <row r="77732">
      <c r="A77732" s="1" t="n">
        <v>77731</v>
      </c>
      <c r="B77732">
        <f>TEXT(77731, "[$-0E0000]yyyy-mm-dd")</f>
        <v/>
      </c>
    </row>
    <row r="77733">
      <c r="A77733" s="1" t="n">
        <v>77732</v>
      </c>
      <c r="B77733">
        <f>TEXT(77732, "[$-0E0000]yyyy-mm-dd")</f>
        <v/>
      </c>
    </row>
    <row r="77734">
      <c r="A77734" s="1" t="n">
        <v>77733</v>
      </c>
      <c r="B77734">
        <f>TEXT(77733, "[$-0E0000]yyyy-mm-dd")</f>
        <v/>
      </c>
    </row>
    <row r="77735">
      <c r="A77735" s="1" t="n">
        <v>77734</v>
      </c>
      <c r="B77735">
        <f>TEXT(77734, "[$-0E0000]yyyy-mm-dd")</f>
        <v/>
      </c>
    </row>
    <row r="77736">
      <c r="A77736" s="1" t="n">
        <v>77735</v>
      </c>
      <c r="B77736">
        <f>TEXT(77735, "[$-0E0000]yyyy-mm-dd")</f>
        <v/>
      </c>
    </row>
    <row r="77737">
      <c r="A77737" s="1" t="n">
        <v>77736</v>
      </c>
      <c r="B77737">
        <f>TEXT(77736, "[$-0E0000]yyyy-mm-dd")</f>
        <v/>
      </c>
    </row>
    <row r="77738">
      <c r="A77738" s="1" t="n">
        <v>77737</v>
      </c>
      <c r="B77738">
        <f>TEXT(77737, "[$-0E0000]yyyy-mm-dd")</f>
        <v/>
      </c>
    </row>
    <row r="77739">
      <c r="A77739" s="1" t="n">
        <v>77738</v>
      </c>
      <c r="B77739">
        <f>TEXT(77738, "[$-0E0000]yyyy-mm-dd")</f>
        <v/>
      </c>
    </row>
    <row r="77740">
      <c r="A77740" s="1" t="n">
        <v>77739</v>
      </c>
      <c r="B77740">
        <f>TEXT(77739, "[$-0E0000]yyyy-mm-dd")</f>
        <v/>
      </c>
    </row>
    <row r="77741">
      <c r="A77741" s="1" t="n">
        <v>77740</v>
      </c>
      <c r="B77741">
        <f>TEXT(77740, "[$-0E0000]yyyy-mm-dd")</f>
        <v/>
      </c>
    </row>
    <row r="77742">
      <c r="A77742" s="1" t="n">
        <v>77741</v>
      </c>
      <c r="B77742">
        <f>TEXT(77741, "[$-0E0000]yyyy-mm-dd")</f>
        <v/>
      </c>
    </row>
    <row r="77743">
      <c r="A77743" s="1" t="n">
        <v>77742</v>
      </c>
      <c r="B77743">
        <f>TEXT(77742, "[$-0E0000]yyyy-mm-dd")</f>
        <v/>
      </c>
    </row>
    <row r="77744">
      <c r="A77744" s="1" t="n">
        <v>77743</v>
      </c>
      <c r="B77744">
        <f>TEXT(77743, "[$-0E0000]yyyy-mm-dd")</f>
        <v/>
      </c>
    </row>
    <row r="77745">
      <c r="A77745" s="1" t="n">
        <v>77744</v>
      </c>
      <c r="B77745">
        <f>TEXT(77744, "[$-0E0000]yyyy-mm-dd")</f>
        <v/>
      </c>
    </row>
    <row r="77746">
      <c r="A77746" s="1" t="n">
        <v>77745</v>
      </c>
      <c r="B77746">
        <f>TEXT(77745, "[$-0E0000]yyyy-mm-dd")</f>
        <v/>
      </c>
    </row>
    <row r="77747">
      <c r="A77747" s="1" t="n">
        <v>77746</v>
      </c>
      <c r="B77747">
        <f>TEXT(77746, "[$-0E0000]yyyy-mm-dd")</f>
        <v/>
      </c>
    </row>
    <row r="77748">
      <c r="A77748" s="1" t="n">
        <v>77747</v>
      </c>
      <c r="B77748">
        <f>TEXT(77747, "[$-0E0000]yyyy-mm-dd")</f>
        <v/>
      </c>
    </row>
    <row r="77749">
      <c r="A77749" s="1" t="n">
        <v>77748</v>
      </c>
      <c r="B77749">
        <f>TEXT(77748, "[$-0E0000]yyyy-mm-dd")</f>
        <v/>
      </c>
    </row>
    <row r="77750">
      <c r="A77750" s="1" t="n">
        <v>77749</v>
      </c>
      <c r="B77750">
        <f>TEXT(77749, "[$-0E0000]yyyy-mm-dd")</f>
        <v/>
      </c>
    </row>
    <row r="77751">
      <c r="A77751" s="1" t="n">
        <v>77750</v>
      </c>
      <c r="B77751">
        <f>TEXT(77750, "[$-0E0000]yyyy-mm-dd")</f>
        <v/>
      </c>
    </row>
    <row r="77752">
      <c r="A77752" s="1" t="n">
        <v>77751</v>
      </c>
      <c r="B77752">
        <f>TEXT(77751, "[$-0E0000]yyyy-mm-dd")</f>
        <v/>
      </c>
    </row>
    <row r="77753">
      <c r="A77753" s="1" t="n">
        <v>77752</v>
      </c>
      <c r="B77753">
        <f>TEXT(77752, "[$-0E0000]yyyy-mm-dd")</f>
        <v/>
      </c>
    </row>
    <row r="77754">
      <c r="A77754" s="1" t="n">
        <v>77753</v>
      </c>
      <c r="B77754">
        <f>TEXT(77753, "[$-0E0000]yyyy-mm-dd")</f>
        <v/>
      </c>
    </row>
    <row r="77755">
      <c r="A77755" s="1" t="n">
        <v>77754</v>
      </c>
      <c r="B77755">
        <f>TEXT(77754, "[$-0E0000]yyyy-mm-dd")</f>
        <v/>
      </c>
    </row>
    <row r="77756">
      <c r="A77756" s="1" t="n">
        <v>77755</v>
      </c>
      <c r="B77756">
        <f>TEXT(77755, "[$-0E0000]yyyy-mm-dd")</f>
        <v/>
      </c>
    </row>
    <row r="77757">
      <c r="A77757" s="1" t="n">
        <v>77756</v>
      </c>
      <c r="B77757">
        <f>TEXT(77756, "[$-0E0000]yyyy-mm-dd")</f>
        <v/>
      </c>
    </row>
    <row r="77758">
      <c r="A77758" s="1" t="n">
        <v>77757</v>
      </c>
      <c r="B77758">
        <f>TEXT(77757, "[$-0E0000]yyyy-mm-dd")</f>
        <v/>
      </c>
    </row>
    <row r="77759">
      <c r="A77759" s="1" t="n">
        <v>77758</v>
      </c>
      <c r="B77759">
        <f>TEXT(77758, "[$-0E0000]yyyy-mm-dd")</f>
        <v/>
      </c>
    </row>
    <row r="77760">
      <c r="A77760" s="1" t="n">
        <v>77759</v>
      </c>
      <c r="B77760">
        <f>TEXT(77759, "[$-0E0000]yyyy-mm-dd")</f>
        <v/>
      </c>
    </row>
    <row r="77761">
      <c r="A77761" s="1" t="n">
        <v>77760</v>
      </c>
      <c r="B77761">
        <f>TEXT(77760, "[$-0E0000]yyyy-mm-dd")</f>
        <v/>
      </c>
    </row>
    <row r="77762">
      <c r="A77762" s="1" t="n">
        <v>77761</v>
      </c>
      <c r="B77762">
        <f>TEXT(77761, "[$-0E0000]yyyy-mm-dd")</f>
        <v/>
      </c>
    </row>
    <row r="77763">
      <c r="A77763" s="1" t="n">
        <v>77762</v>
      </c>
      <c r="B77763">
        <f>TEXT(77762, "[$-0E0000]yyyy-mm-dd")</f>
        <v/>
      </c>
    </row>
    <row r="77764">
      <c r="A77764" s="1" t="n">
        <v>77763</v>
      </c>
      <c r="B77764">
        <f>TEXT(77763, "[$-0E0000]yyyy-mm-dd")</f>
        <v/>
      </c>
    </row>
    <row r="77765">
      <c r="A77765" s="1" t="n">
        <v>77764</v>
      </c>
      <c r="B77765">
        <f>TEXT(77764, "[$-0E0000]yyyy-mm-dd")</f>
        <v/>
      </c>
    </row>
    <row r="77766">
      <c r="A77766" s="1" t="n">
        <v>77765</v>
      </c>
      <c r="B77766">
        <f>TEXT(77765, "[$-0E0000]yyyy-mm-dd")</f>
        <v/>
      </c>
    </row>
    <row r="77767">
      <c r="A77767" s="1" t="n">
        <v>77766</v>
      </c>
      <c r="B77767">
        <f>TEXT(77766, "[$-0E0000]yyyy-mm-dd")</f>
        <v/>
      </c>
    </row>
    <row r="77768">
      <c r="A77768" s="1" t="n">
        <v>77767</v>
      </c>
      <c r="B77768">
        <f>TEXT(77767, "[$-0E0000]yyyy-mm-dd")</f>
        <v/>
      </c>
    </row>
    <row r="77769">
      <c r="A77769" s="1" t="n">
        <v>77768</v>
      </c>
      <c r="B77769">
        <f>TEXT(77768, "[$-0E0000]yyyy-mm-dd")</f>
        <v/>
      </c>
    </row>
    <row r="77770">
      <c r="A77770" s="1" t="n">
        <v>77769</v>
      </c>
      <c r="B77770">
        <f>TEXT(77769, "[$-0E0000]yyyy-mm-dd")</f>
        <v/>
      </c>
    </row>
    <row r="77771">
      <c r="A77771" s="1" t="n">
        <v>77770</v>
      </c>
      <c r="B77771">
        <f>TEXT(77770, "[$-0E0000]yyyy-mm-dd")</f>
        <v/>
      </c>
    </row>
    <row r="77772">
      <c r="A77772" s="1" t="n">
        <v>77771</v>
      </c>
      <c r="B77772">
        <f>TEXT(77771, "[$-0E0000]yyyy-mm-dd")</f>
        <v/>
      </c>
    </row>
    <row r="77773">
      <c r="A77773" s="1" t="n">
        <v>77772</v>
      </c>
      <c r="B77773">
        <f>TEXT(77772, "[$-0E0000]yyyy-mm-dd")</f>
        <v/>
      </c>
    </row>
    <row r="77774">
      <c r="A77774" s="1" t="n">
        <v>77773</v>
      </c>
      <c r="B77774">
        <f>TEXT(77773, "[$-0E0000]yyyy-mm-dd")</f>
        <v/>
      </c>
    </row>
    <row r="77775">
      <c r="A77775" s="1" t="n">
        <v>77774</v>
      </c>
      <c r="B77775">
        <f>TEXT(77774, "[$-0E0000]yyyy-mm-dd")</f>
        <v/>
      </c>
    </row>
    <row r="77776">
      <c r="A77776" s="1" t="n">
        <v>77775</v>
      </c>
      <c r="B77776">
        <f>TEXT(77775, "[$-0E0000]yyyy-mm-dd")</f>
        <v/>
      </c>
    </row>
    <row r="77777">
      <c r="A77777" s="1" t="n">
        <v>77776</v>
      </c>
      <c r="B77777">
        <f>TEXT(77776, "[$-0E0000]yyyy-mm-dd")</f>
        <v/>
      </c>
    </row>
    <row r="77778">
      <c r="A77778" s="1" t="n">
        <v>77777</v>
      </c>
      <c r="B77778">
        <f>TEXT(77777, "[$-0E0000]yyyy-mm-dd")</f>
        <v/>
      </c>
    </row>
    <row r="77779">
      <c r="A77779" s="1" t="n">
        <v>77778</v>
      </c>
      <c r="B77779">
        <f>TEXT(77778, "[$-0E0000]yyyy-mm-dd")</f>
        <v/>
      </c>
    </row>
    <row r="77780">
      <c r="A77780" s="1" t="n">
        <v>77779</v>
      </c>
      <c r="B77780">
        <f>TEXT(77779, "[$-0E0000]yyyy-mm-dd")</f>
        <v/>
      </c>
    </row>
    <row r="77781">
      <c r="A77781" s="1" t="n">
        <v>77780</v>
      </c>
      <c r="B77781">
        <f>TEXT(77780, "[$-0E0000]yyyy-mm-dd")</f>
        <v/>
      </c>
    </row>
    <row r="77782">
      <c r="A77782" s="1" t="n">
        <v>77781</v>
      </c>
      <c r="B77782">
        <f>TEXT(77781, "[$-0E0000]yyyy-mm-dd")</f>
        <v/>
      </c>
    </row>
    <row r="77783">
      <c r="A77783" s="1" t="n">
        <v>77782</v>
      </c>
      <c r="B77783">
        <f>TEXT(77782, "[$-0E0000]yyyy-mm-dd")</f>
        <v/>
      </c>
    </row>
    <row r="77784">
      <c r="A77784" s="1" t="n">
        <v>77783</v>
      </c>
      <c r="B77784">
        <f>TEXT(77783, "[$-0E0000]yyyy-mm-dd")</f>
        <v/>
      </c>
    </row>
    <row r="77785">
      <c r="A77785" s="1" t="n">
        <v>77784</v>
      </c>
      <c r="B77785">
        <f>TEXT(77784, "[$-0E0000]yyyy-mm-dd")</f>
        <v/>
      </c>
    </row>
    <row r="77786">
      <c r="A77786" s="1" t="n">
        <v>77785</v>
      </c>
      <c r="B77786">
        <f>TEXT(77785, "[$-0E0000]yyyy-mm-dd")</f>
        <v/>
      </c>
    </row>
    <row r="77787">
      <c r="A77787" s="1" t="n">
        <v>77786</v>
      </c>
      <c r="B77787">
        <f>TEXT(77786, "[$-0E0000]yyyy-mm-dd")</f>
        <v/>
      </c>
    </row>
    <row r="77788">
      <c r="A77788" s="1" t="n">
        <v>77787</v>
      </c>
      <c r="B77788">
        <f>TEXT(77787, "[$-0E0000]yyyy-mm-dd")</f>
        <v/>
      </c>
    </row>
    <row r="77789">
      <c r="A77789" s="1" t="n">
        <v>77788</v>
      </c>
      <c r="B77789">
        <f>TEXT(77788, "[$-0E0000]yyyy-mm-dd")</f>
        <v/>
      </c>
    </row>
    <row r="77790">
      <c r="A77790" s="1" t="n">
        <v>77789</v>
      </c>
      <c r="B77790">
        <f>TEXT(77789, "[$-0E0000]yyyy-mm-dd")</f>
        <v/>
      </c>
    </row>
    <row r="77791">
      <c r="A77791" s="1" t="n">
        <v>77790</v>
      </c>
      <c r="B77791">
        <f>TEXT(77790, "[$-0E0000]yyyy-mm-dd")</f>
        <v/>
      </c>
    </row>
    <row r="77792">
      <c r="A77792" s="1" t="n">
        <v>77791</v>
      </c>
      <c r="B77792">
        <f>TEXT(77791, "[$-0E0000]yyyy-mm-dd")</f>
        <v/>
      </c>
    </row>
    <row r="77793">
      <c r="A77793" s="1" t="n">
        <v>77792</v>
      </c>
      <c r="B77793">
        <f>TEXT(77792, "[$-0E0000]yyyy-mm-dd")</f>
        <v/>
      </c>
    </row>
    <row r="77794">
      <c r="A77794" s="1" t="n">
        <v>77793</v>
      </c>
      <c r="B77794">
        <f>TEXT(77793, "[$-0E0000]yyyy-mm-dd")</f>
        <v/>
      </c>
    </row>
    <row r="77795">
      <c r="A77795" s="1" t="n">
        <v>77794</v>
      </c>
      <c r="B77795">
        <f>TEXT(77794, "[$-0E0000]yyyy-mm-dd")</f>
        <v/>
      </c>
    </row>
    <row r="77796">
      <c r="A77796" s="1" t="n">
        <v>77795</v>
      </c>
      <c r="B77796">
        <f>TEXT(77795, "[$-0E0000]yyyy-mm-dd")</f>
        <v/>
      </c>
    </row>
    <row r="77797">
      <c r="A77797" s="1" t="n">
        <v>77796</v>
      </c>
      <c r="B77797">
        <f>TEXT(77796, "[$-0E0000]yyyy-mm-dd")</f>
        <v/>
      </c>
    </row>
    <row r="77798">
      <c r="A77798" s="1" t="n">
        <v>77797</v>
      </c>
      <c r="B77798">
        <f>TEXT(77797, "[$-0E0000]yyyy-mm-dd")</f>
        <v/>
      </c>
    </row>
    <row r="77799">
      <c r="A77799" s="1" t="n">
        <v>77798</v>
      </c>
      <c r="B77799">
        <f>TEXT(77798, "[$-0E0000]yyyy-mm-dd")</f>
        <v/>
      </c>
    </row>
    <row r="77800">
      <c r="A77800" s="1" t="n">
        <v>77799</v>
      </c>
      <c r="B77800">
        <f>TEXT(77799, "[$-0E0000]yyyy-mm-dd")</f>
        <v/>
      </c>
    </row>
    <row r="77801">
      <c r="A77801" s="1" t="n">
        <v>77800</v>
      </c>
      <c r="B77801">
        <f>TEXT(77800, "[$-0E0000]yyyy-mm-dd")</f>
        <v/>
      </c>
    </row>
    <row r="77802">
      <c r="A77802" s="1" t="n">
        <v>77801</v>
      </c>
      <c r="B77802">
        <f>TEXT(77801, "[$-0E0000]yyyy-mm-dd")</f>
        <v/>
      </c>
    </row>
    <row r="77803">
      <c r="A77803" s="1" t="n">
        <v>77802</v>
      </c>
      <c r="B77803">
        <f>TEXT(77802, "[$-0E0000]yyyy-mm-dd")</f>
        <v/>
      </c>
    </row>
    <row r="77804">
      <c r="A77804" s="1" t="n">
        <v>77803</v>
      </c>
      <c r="B77804">
        <f>TEXT(77803, "[$-0E0000]yyyy-mm-dd")</f>
        <v/>
      </c>
    </row>
    <row r="77805">
      <c r="A77805" s="1" t="n">
        <v>77804</v>
      </c>
      <c r="B77805">
        <f>TEXT(77804, "[$-0E0000]yyyy-mm-dd")</f>
        <v/>
      </c>
    </row>
    <row r="77806">
      <c r="A77806" s="1" t="n">
        <v>77805</v>
      </c>
      <c r="B77806">
        <f>TEXT(77805, "[$-0E0000]yyyy-mm-dd")</f>
        <v/>
      </c>
    </row>
    <row r="77807">
      <c r="A77807" s="1" t="n">
        <v>77806</v>
      </c>
      <c r="B77807">
        <f>TEXT(77806, "[$-0E0000]yyyy-mm-dd")</f>
        <v/>
      </c>
    </row>
    <row r="77808">
      <c r="A77808" s="1" t="n">
        <v>77807</v>
      </c>
      <c r="B77808">
        <f>TEXT(77807, "[$-0E0000]yyyy-mm-dd")</f>
        <v/>
      </c>
    </row>
    <row r="77809">
      <c r="A77809" s="1" t="n">
        <v>77808</v>
      </c>
      <c r="B77809">
        <f>TEXT(77808, "[$-0E0000]yyyy-mm-dd")</f>
        <v/>
      </c>
    </row>
    <row r="77810">
      <c r="A77810" s="1" t="n">
        <v>77809</v>
      </c>
      <c r="B77810">
        <f>TEXT(77809, "[$-0E0000]yyyy-mm-dd")</f>
        <v/>
      </c>
    </row>
    <row r="77811">
      <c r="A77811" s="1" t="n">
        <v>77810</v>
      </c>
      <c r="B77811">
        <f>TEXT(77810, "[$-0E0000]yyyy-mm-dd")</f>
        <v/>
      </c>
    </row>
    <row r="77812">
      <c r="A77812" s="1" t="n">
        <v>77811</v>
      </c>
      <c r="B77812">
        <f>TEXT(77811, "[$-0E0000]yyyy-mm-dd")</f>
        <v/>
      </c>
    </row>
    <row r="77813">
      <c r="A77813" s="1" t="n">
        <v>77812</v>
      </c>
      <c r="B77813">
        <f>TEXT(77812, "[$-0E0000]yyyy-mm-dd")</f>
        <v/>
      </c>
    </row>
    <row r="77814">
      <c r="A77814" s="1" t="n">
        <v>77813</v>
      </c>
      <c r="B77814">
        <f>TEXT(77813, "[$-0E0000]yyyy-mm-dd")</f>
        <v/>
      </c>
    </row>
    <row r="77815">
      <c r="A77815" s="1" t="n">
        <v>77814</v>
      </c>
      <c r="B77815">
        <f>TEXT(77814, "[$-0E0000]yyyy-mm-dd")</f>
        <v/>
      </c>
    </row>
    <row r="77816">
      <c r="A77816" s="1" t="n">
        <v>77815</v>
      </c>
      <c r="B77816">
        <f>TEXT(77815, "[$-0E0000]yyyy-mm-dd")</f>
        <v/>
      </c>
    </row>
    <row r="77817">
      <c r="A77817" s="1" t="n">
        <v>77816</v>
      </c>
      <c r="B77817">
        <f>TEXT(77816, "[$-0E0000]yyyy-mm-dd")</f>
        <v/>
      </c>
    </row>
    <row r="77818">
      <c r="A77818" s="1" t="n">
        <v>77817</v>
      </c>
      <c r="B77818">
        <f>TEXT(77817, "[$-0E0000]yyyy-mm-dd")</f>
        <v/>
      </c>
    </row>
    <row r="77819">
      <c r="A77819" s="1" t="n">
        <v>77818</v>
      </c>
      <c r="B77819">
        <f>TEXT(77818, "[$-0E0000]yyyy-mm-dd")</f>
        <v/>
      </c>
    </row>
    <row r="77820">
      <c r="A77820" s="1" t="n">
        <v>77819</v>
      </c>
      <c r="B77820">
        <f>TEXT(77819, "[$-0E0000]yyyy-mm-dd")</f>
        <v/>
      </c>
    </row>
    <row r="77821">
      <c r="A77821" s="1" t="n">
        <v>77820</v>
      </c>
      <c r="B77821">
        <f>TEXT(77820, "[$-0E0000]yyyy-mm-dd")</f>
        <v/>
      </c>
    </row>
    <row r="77822">
      <c r="A77822" s="1" t="n">
        <v>77821</v>
      </c>
      <c r="B77822">
        <f>TEXT(77821, "[$-0E0000]yyyy-mm-dd")</f>
        <v/>
      </c>
    </row>
    <row r="77823">
      <c r="A77823" s="1" t="n">
        <v>77822</v>
      </c>
      <c r="B77823">
        <f>TEXT(77822, "[$-0E0000]yyyy-mm-dd")</f>
        <v/>
      </c>
    </row>
    <row r="77824">
      <c r="A77824" s="1" t="n">
        <v>77823</v>
      </c>
      <c r="B77824">
        <f>TEXT(77823, "[$-0E0000]yyyy-mm-dd")</f>
        <v/>
      </c>
    </row>
    <row r="77825">
      <c r="A77825" s="1" t="n">
        <v>77824</v>
      </c>
      <c r="B77825">
        <f>TEXT(77824, "[$-0E0000]yyyy-mm-dd")</f>
        <v/>
      </c>
    </row>
    <row r="77826">
      <c r="A77826" s="1" t="n">
        <v>77825</v>
      </c>
      <c r="B77826">
        <f>TEXT(77825, "[$-0E0000]yyyy-mm-dd")</f>
        <v/>
      </c>
    </row>
    <row r="77827">
      <c r="A77827" s="1" t="n">
        <v>77826</v>
      </c>
      <c r="B77827">
        <f>TEXT(77826, "[$-0E0000]yyyy-mm-dd")</f>
        <v/>
      </c>
    </row>
    <row r="77828">
      <c r="A77828" s="1" t="n">
        <v>77827</v>
      </c>
      <c r="B77828">
        <f>TEXT(77827, "[$-0E0000]yyyy-mm-dd")</f>
        <v/>
      </c>
    </row>
    <row r="77829">
      <c r="A77829" s="1" t="n">
        <v>77828</v>
      </c>
      <c r="B77829">
        <f>TEXT(77828, "[$-0E0000]yyyy-mm-dd")</f>
        <v/>
      </c>
    </row>
    <row r="77830">
      <c r="A77830" s="1" t="n">
        <v>77829</v>
      </c>
      <c r="B77830">
        <f>TEXT(77829, "[$-0E0000]yyyy-mm-dd")</f>
        <v/>
      </c>
    </row>
    <row r="77831">
      <c r="A77831" s="1" t="n">
        <v>77830</v>
      </c>
      <c r="B77831">
        <f>TEXT(77830, "[$-0E0000]yyyy-mm-dd")</f>
        <v/>
      </c>
    </row>
    <row r="77832">
      <c r="A77832" s="1" t="n">
        <v>77831</v>
      </c>
      <c r="B77832">
        <f>TEXT(77831, "[$-0E0000]yyyy-mm-dd")</f>
        <v/>
      </c>
    </row>
    <row r="77833">
      <c r="A77833" s="1" t="n">
        <v>77832</v>
      </c>
      <c r="B77833">
        <f>TEXT(77832, "[$-0E0000]yyyy-mm-dd")</f>
        <v/>
      </c>
    </row>
    <row r="77834">
      <c r="A77834" s="1" t="n">
        <v>77833</v>
      </c>
      <c r="B77834">
        <f>TEXT(77833, "[$-0E0000]yyyy-mm-dd")</f>
        <v/>
      </c>
    </row>
    <row r="77835">
      <c r="A77835" s="1" t="n">
        <v>77834</v>
      </c>
      <c r="B77835">
        <f>TEXT(77834, "[$-0E0000]yyyy-mm-dd")</f>
        <v/>
      </c>
    </row>
    <row r="77836">
      <c r="A77836" s="1" t="n">
        <v>77835</v>
      </c>
      <c r="B77836">
        <f>TEXT(77835, "[$-0E0000]yyyy-mm-dd")</f>
        <v/>
      </c>
    </row>
    <row r="77837">
      <c r="A77837" s="1" t="n">
        <v>77836</v>
      </c>
      <c r="B77837">
        <f>TEXT(77836, "[$-0E0000]yyyy-mm-dd")</f>
        <v/>
      </c>
    </row>
    <row r="77838">
      <c r="A77838" s="1" t="n">
        <v>77837</v>
      </c>
      <c r="B77838">
        <f>TEXT(77837, "[$-0E0000]yyyy-mm-dd")</f>
        <v/>
      </c>
    </row>
    <row r="77839">
      <c r="A77839" s="1" t="n">
        <v>77838</v>
      </c>
      <c r="B77839">
        <f>TEXT(77838, "[$-0E0000]yyyy-mm-dd")</f>
        <v/>
      </c>
    </row>
    <row r="77840">
      <c r="A77840" s="1" t="n">
        <v>77839</v>
      </c>
      <c r="B77840">
        <f>TEXT(77839, "[$-0E0000]yyyy-mm-dd")</f>
        <v/>
      </c>
    </row>
    <row r="77841">
      <c r="A77841" s="1" t="n">
        <v>77840</v>
      </c>
      <c r="B77841">
        <f>TEXT(77840, "[$-0E0000]yyyy-mm-dd")</f>
        <v/>
      </c>
    </row>
    <row r="77842">
      <c r="A77842" s="1" t="n">
        <v>77841</v>
      </c>
      <c r="B77842">
        <f>TEXT(77841, "[$-0E0000]yyyy-mm-dd")</f>
        <v/>
      </c>
    </row>
    <row r="77843">
      <c r="A77843" s="1" t="n">
        <v>77842</v>
      </c>
      <c r="B77843">
        <f>TEXT(77842, "[$-0E0000]yyyy-mm-dd")</f>
        <v/>
      </c>
    </row>
    <row r="77844">
      <c r="A77844" s="1" t="n">
        <v>77843</v>
      </c>
      <c r="B77844">
        <f>TEXT(77843, "[$-0E0000]yyyy-mm-dd")</f>
        <v/>
      </c>
    </row>
    <row r="77845">
      <c r="A77845" s="1" t="n">
        <v>77844</v>
      </c>
      <c r="B77845">
        <f>TEXT(77844, "[$-0E0000]yyyy-mm-dd")</f>
        <v/>
      </c>
    </row>
    <row r="77846">
      <c r="A77846" s="1" t="n">
        <v>77845</v>
      </c>
      <c r="B77846">
        <f>TEXT(77845, "[$-0E0000]yyyy-mm-dd")</f>
        <v/>
      </c>
    </row>
    <row r="77847">
      <c r="A77847" s="1" t="n">
        <v>77846</v>
      </c>
      <c r="B77847">
        <f>TEXT(77846, "[$-0E0000]yyyy-mm-dd")</f>
        <v/>
      </c>
    </row>
    <row r="77848">
      <c r="A77848" s="1" t="n">
        <v>77847</v>
      </c>
      <c r="B77848">
        <f>TEXT(77847, "[$-0E0000]yyyy-mm-dd")</f>
        <v/>
      </c>
    </row>
    <row r="77849">
      <c r="A77849" s="1" t="n">
        <v>77848</v>
      </c>
      <c r="B77849">
        <f>TEXT(77848, "[$-0E0000]yyyy-mm-dd")</f>
        <v/>
      </c>
    </row>
    <row r="77850">
      <c r="A77850" s="1" t="n">
        <v>77849</v>
      </c>
      <c r="B77850">
        <f>TEXT(77849, "[$-0E0000]yyyy-mm-dd")</f>
        <v/>
      </c>
    </row>
    <row r="77851">
      <c r="A77851" s="1" t="n">
        <v>77850</v>
      </c>
      <c r="B77851">
        <f>TEXT(77850, "[$-0E0000]yyyy-mm-dd")</f>
        <v/>
      </c>
    </row>
    <row r="77852">
      <c r="A77852" s="1" t="n">
        <v>77851</v>
      </c>
      <c r="B77852">
        <f>TEXT(77851, "[$-0E0000]yyyy-mm-dd")</f>
        <v/>
      </c>
    </row>
    <row r="77853">
      <c r="A77853" s="1" t="n">
        <v>77852</v>
      </c>
      <c r="B77853">
        <f>TEXT(77852, "[$-0E0000]yyyy-mm-dd")</f>
        <v/>
      </c>
    </row>
    <row r="77854">
      <c r="A77854" s="1" t="n">
        <v>77853</v>
      </c>
      <c r="B77854">
        <f>TEXT(77853, "[$-0E0000]yyyy-mm-dd")</f>
        <v/>
      </c>
    </row>
    <row r="77855">
      <c r="A77855" s="1" t="n">
        <v>77854</v>
      </c>
      <c r="B77855">
        <f>TEXT(77854, "[$-0E0000]yyyy-mm-dd")</f>
        <v/>
      </c>
    </row>
    <row r="77856">
      <c r="A77856" s="1" t="n">
        <v>77855</v>
      </c>
      <c r="B77856">
        <f>TEXT(77855, "[$-0E0000]yyyy-mm-dd")</f>
        <v/>
      </c>
    </row>
    <row r="77857">
      <c r="A77857" s="1" t="n">
        <v>77856</v>
      </c>
      <c r="B77857">
        <f>TEXT(77856, "[$-0E0000]yyyy-mm-dd")</f>
        <v/>
      </c>
    </row>
    <row r="77858">
      <c r="A77858" s="1" t="n">
        <v>77857</v>
      </c>
      <c r="B77858">
        <f>TEXT(77857, "[$-0E0000]yyyy-mm-dd")</f>
        <v/>
      </c>
    </row>
    <row r="77859">
      <c r="A77859" s="1" t="n">
        <v>77858</v>
      </c>
      <c r="B77859">
        <f>TEXT(77858, "[$-0E0000]yyyy-mm-dd")</f>
        <v/>
      </c>
    </row>
    <row r="77860">
      <c r="A77860" s="1" t="n">
        <v>77859</v>
      </c>
      <c r="B77860">
        <f>TEXT(77859, "[$-0E0000]yyyy-mm-dd")</f>
        <v/>
      </c>
    </row>
    <row r="77861">
      <c r="A77861" s="1" t="n">
        <v>77860</v>
      </c>
      <c r="B77861">
        <f>TEXT(77860, "[$-0E0000]yyyy-mm-dd")</f>
        <v/>
      </c>
    </row>
    <row r="77862">
      <c r="A77862" s="1" t="n">
        <v>77861</v>
      </c>
      <c r="B77862">
        <f>TEXT(77861, "[$-0E0000]yyyy-mm-dd")</f>
        <v/>
      </c>
    </row>
    <row r="77863">
      <c r="A77863" s="1" t="n">
        <v>77862</v>
      </c>
      <c r="B77863">
        <f>TEXT(77862, "[$-0E0000]yyyy-mm-dd")</f>
        <v/>
      </c>
    </row>
    <row r="77864">
      <c r="A77864" s="1" t="n">
        <v>77863</v>
      </c>
      <c r="B77864">
        <f>TEXT(77863, "[$-0E0000]yyyy-mm-dd")</f>
        <v/>
      </c>
    </row>
    <row r="77865">
      <c r="A77865" s="1" t="n">
        <v>77864</v>
      </c>
      <c r="B77865">
        <f>TEXT(77864, "[$-0E0000]yyyy-mm-dd")</f>
        <v/>
      </c>
    </row>
    <row r="77866">
      <c r="A77866" s="1" t="n">
        <v>77865</v>
      </c>
      <c r="B77866">
        <f>TEXT(77865, "[$-0E0000]yyyy-mm-dd")</f>
        <v/>
      </c>
    </row>
    <row r="77867">
      <c r="A77867" s="1" t="n">
        <v>77866</v>
      </c>
      <c r="B77867">
        <f>TEXT(77866, "[$-0E0000]yyyy-mm-dd")</f>
        <v/>
      </c>
    </row>
    <row r="77868">
      <c r="A77868" s="1" t="n">
        <v>77867</v>
      </c>
      <c r="B77868">
        <f>TEXT(77867, "[$-0E0000]yyyy-mm-dd")</f>
        <v/>
      </c>
    </row>
    <row r="77869">
      <c r="A77869" s="1" t="n">
        <v>77868</v>
      </c>
      <c r="B77869">
        <f>TEXT(77868, "[$-0E0000]yyyy-mm-dd")</f>
        <v/>
      </c>
    </row>
    <row r="77870">
      <c r="A77870" s="1" t="n">
        <v>77869</v>
      </c>
      <c r="B77870">
        <f>TEXT(77869, "[$-0E0000]yyyy-mm-dd")</f>
        <v/>
      </c>
    </row>
    <row r="77871">
      <c r="A77871" s="1" t="n">
        <v>77870</v>
      </c>
      <c r="B77871">
        <f>TEXT(77870, "[$-0E0000]yyyy-mm-dd")</f>
        <v/>
      </c>
    </row>
    <row r="77872">
      <c r="A77872" s="1" t="n">
        <v>77871</v>
      </c>
      <c r="B77872">
        <f>TEXT(77871, "[$-0E0000]yyyy-mm-dd")</f>
        <v/>
      </c>
    </row>
    <row r="77873">
      <c r="A77873" s="1" t="n">
        <v>77872</v>
      </c>
      <c r="B77873">
        <f>TEXT(77872, "[$-0E0000]yyyy-mm-dd")</f>
        <v/>
      </c>
    </row>
    <row r="77874">
      <c r="A77874" s="1" t="n">
        <v>77873</v>
      </c>
      <c r="B77874">
        <f>TEXT(77873, "[$-0E0000]yyyy-mm-dd")</f>
        <v/>
      </c>
    </row>
    <row r="77875">
      <c r="A77875" s="1" t="n">
        <v>77874</v>
      </c>
      <c r="B77875">
        <f>TEXT(77874, "[$-0E0000]yyyy-mm-dd")</f>
        <v/>
      </c>
    </row>
    <row r="77876">
      <c r="A77876" s="1" t="n">
        <v>77875</v>
      </c>
      <c r="B77876">
        <f>TEXT(77875, "[$-0E0000]yyyy-mm-dd")</f>
        <v/>
      </c>
    </row>
    <row r="77877">
      <c r="A77877" s="1" t="n">
        <v>77876</v>
      </c>
      <c r="B77877">
        <f>TEXT(77876, "[$-0E0000]yyyy-mm-dd")</f>
        <v/>
      </c>
    </row>
    <row r="77878">
      <c r="A77878" s="1" t="n">
        <v>77877</v>
      </c>
      <c r="B77878">
        <f>TEXT(77877, "[$-0E0000]yyyy-mm-dd")</f>
        <v/>
      </c>
    </row>
    <row r="77879">
      <c r="A77879" s="1" t="n">
        <v>77878</v>
      </c>
      <c r="B77879">
        <f>TEXT(77878, "[$-0E0000]yyyy-mm-dd")</f>
        <v/>
      </c>
    </row>
    <row r="77880">
      <c r="A77880" s="1" t="n">
        <v>77879</v>
      </c>
      <c r="B77880">
        <f>TEXT(77879, "[$-0E0000]yyyy-mm-dd")</f>
        <v/>
      </c>
    </row>
    <row r="77881">
      <c r="A77881" s="1" t="n">
        <v>77880</v>
      </c>
      <c r="B77881">
        <f>TEXT(77880, "[$-0E0000]yyyy-mm-dd")</f>
        <v/>
      </c>
    </row>
    <row r="77882">
      <c r="A77882" s="1" t="n">
        <v>77881</v>
      </c>
      <c r="B77882">
        <f>TEXT(77881, "[$-0E0000]yyyy-mm-dd")</f>
        <v/>
      </c>
    </row>
    <row r="77883">
      <c r="A77883" s="1" t="n">
        <v>77882</v>
      </c>
      <c r="B77883">
        <f>TEXT(77882, "[$-0E0000]yyyy-mm-dd")</f>
        <v/>
      </c>
    </row>
    <row r="77884">
      <c r="A77884" s="1" t="n">
        <v>77883</v>
      </c>
      <c r="B77884">
        <f>TEXT(77883, "[$-0E0000]yyyy-mm-dd")</f>
        <v/>
      </c>
    </row>
    <row r="77885">
      <c r="A77885" s="1" t="n">
        <v>77884</v>
      </c>
      <c r="B77885">
        <f>TEXT(77884, "[$-0E0000]yyyy-mm-dd")</f>
        <v/>
      </c>
    </row>
    <row r="77886">
      <c r="A77886" s="1" t="n">
        <v>77885</v>
      </c>
      <c r="B77886">
        <f>TEXT(77885, "[$-0E0000]yyyy-mm-dd")</f>
        <v/>
      </c>
    </row>
    <row r="77887">
      <c r="A77887" s="1" t="n">
        <v>77886</v>
      </c>
      <c r="B77887">
        <f>TEXT(77886, "[$-0E0000]yyyy-mm-dd")</f>
        <v/>
      </c>
    </row>
    <row r="77888">
      <c r="A77888" s="1" t="n">
        <v>77887</v>
      </c>
      <c r="B77888">
        <f>TEXT(77887, "[$-0E0000]yyyy-mm-dd")</f>
        <v/>
      </c>
    </row>
    <row r="77889">
      <c r="A77889" s="1" t="n">
        <v>77888</v>
      </c>
      <c r="B77889">
        <f>TEXT(77888, "[$-0E0000]yyyy-mm-dd")</f>
        <v/>
      </c>
    </row>
    <row r="77890">
      <c r="A77890" s="1" t="n">
        <v>77889</v>
      </c>
      <c r="B77890">
        <f>TEXT(77889, "[$-0E0000]yyyy-mm-dd")</f>
        <v/>
      </c>
    </row>
    <row r="77891">
      <c r="A77891" s="1" t="n">
        <v>77890</v>
      </c>
      <c r="B77891">
        <f>TEXT(77890, "[$-0E0000]yyyy-mm-dd")</f>
        <v/>
      </c>
    </row>
    <row r="77892">
      <c r="A77892" s="1" t="n">
        <v>77891</v>
      </c>
      <c r="B77892">
        <f>TEXT(77891, "[$-0E0000]yyyy-mm-dd")</f>
        <v/>
      </c>
    </row>
    <row r="77893">
      <c r="A77893" s="1" t="n">
        <v>77892</v>
      </c>
      <c r="B77893">
        <f>TEXT(77892, "[$-0E0000]yyyy-mm-dd")</f>
        <v/>
      </c>
    </row>
    <row r="77894">
      <c r="A77894" s="1" t="n">
        <v>77893</v>
      </c>
      <c r="B77894">
        <f>TEXT(77893, "[$-0E0000]yyyy-mm-dd")</f>
        <v/>
      </c>
    </row>
    <row r="77895">
      <c r="A77895" s="1" t="n">
        <v>77894</v>
      </c>
      <c r="B77895">
        <f>TEXT(77894, "[$-0E0000]yyyy-mm-dd")</f>
        <v/>
      </c>
    </row>
    <row r="77896">
      <c r="A77896" s="1" t="n">
        <v>77895</v>
      </c>
      <c r="B77896">
        <f>TEXT(77895, "[$-0E0000]yyyy-mm-dd")</f>
        <v/>
      </c>
    </row>
    <row r="77897">
      <c r="A77897" s="1" t="n">
        <v>77896</v>
      </c>
      <c r="B77897">
        <f>TEXT(77896, "[$-0E0000]yyyy-mm-dd")</f>
        <v/>
      </c>
    </row>
    <row r="77898">
      <c r="A77898" s="1" t="n">
        <v>77897</v>
      </c>
      <c r="B77898">
        <f>TEXT(77897, "[$-0E0000]yyyy-mm-dd")</f>
        <v/>
      </c>
    </row>
    <row r="77899">
      <c r="A77899" s="1" t="n">
        <v>77898</v>
      </c>
      <c r="B77899">
        <f>TEXT(77898, "[$-0E0000]yyyy-mm-dd")</f>
        <v/>
      </c>
    </row>
    <row r="77900">
      <c r="A77900" s="1" t="n">
        <v>77899</v>
      </c>
      <c r="B77900">
        <f>TEXT(77899, "[$-0E0000]yyyy-mm-dd")</f>
        <v/>
      </c>
    </row>
    <row r="77901">
      <c r="A77901" s="1" t="n">
        <v>77900</v>
      </c>
      <c r="B77901">
        <f>TEXT(77900, "[$-0E0000]yyyy-mm-dd")</f>
        <v/>
      </c>
    </row>
    <row r="77902">
      <c r="A77902" s="1" t="n">
        <v>77901</v>
      </c>
      <c r="B77902">
        <f>TEXT(77901, "[$-0E0000]yyyy-mm-dd")</f>
        <v/>
      </c>
    </row>
    <row r="77903">
      <c r="A77903" s="1" t="n">
        <v>77902</v>
      </c>
      <c r="B77903">
        <f>TEXT(77902, "[$-0E0000]yyyy-mm-dd")</f>
        <v/>
      </c>
    </row>
    <row r="77904">
      <c r="A77904" s="1" t="n">
        <v>77903</v>
      </c>
      <c r="B77904">
        <f>TEXT(77903, "[$-0E0000]yyyy-mm-dd")</f>
        <v/>
      </c>
    </row>
    <row r="77905">
      <c r="A77905" s="1" t="n">
        <v>77904</v>
      </c>
      <c r="B77905">
        <f>TEXT(77904, "[$-0E0000]yyyy-mm-dd")</f>
        <v/>
      </c>
    </row>
    <row r="77906">
      <c r="A77906" s="1" t="n">
        <v>77905</v>
      </c>
      <c r="B77906">
        <f>TEXT(77905, "[$-0E0000]yyyy-mm-dd")</f>
        <v/>
      </c>
    </row>
    <row r="77907">
      <c r="A77907" s="1" t="n">
        <v>77906</v>
      </c>
      <c r="B77907">
        <f>TEXT(77906, "[$-0E0000]yyyy-mm-dd")</f>
        <v/>
      </c>
    </row>
    <row r="77908">
      <c r="A77908" s="1" t="n">
        <v>77907</v>
      </c>
      <c r="B77908">
        <f>TEXT(77907, "[$-0E0000]yyyy-mm-dd")</f>
        <v/>
      </c>
    </row>
    <row r="77909">
      <c r="A77909" s="1" t="n">
        <v>77908</v>
      </c>
      <c r="B77909">
        <f>TEXT(77908, "[$-0E0000]yyyy-mm-dd")</f>
        <v/>
      </c>
    </row>
    <row r="77910">
      <c r="A77910" s="1" t="n">
        <v>77909</v>
      </c>
      <c r="B77910">
        <f>TEXT(77909, "[$-0E0000]yyyy-mm-dd")</f>
        <v/>
      </c>
    </row>
    <row r="77911">
      <c r="A77911" s="1" t="n">
        <v>77910</v>
      </c>
      <c r="B77911">
        <f>TEXT(77910, "[$-0E0000]yyyy-mm-dd")</f>
        <v/>
      </c>
    </row>
    <row r="77912">
      <c r="A77912" s="1" t="n">
        <v>77911</v>
      </c>
      <c r="B77912">
        <f>TEXT(77911, "[$-0E0000]yyyy-mm-dd")</f>
        <v/>
      </c>
    </row>
    <row r="77913">
      <c r="A77913" s="1" t="n">
        <v>77912</v>
      </c>
      <c r="B77913">
        <f>TEXT(77912, "[$-0E0000]yyyy-mm-dd")</f>
        <v/>
      </c>
    </row>
    <row r="77914">
      <c r="A77914" s="1" t="n">
        <v>77913</v>
      </c>
      <c r="B77914">
        <f>TEXT(77913, "[$-0E0000]yyyy-mm-dd")</f>
        <v/>
      </c>
    </row>
    <row r="77915">
      <c r="A77915" s="1" t="n">
        <v>77914</v>
      </c>
      <c r="B77915">
        <f>TEXT(77914, "[$-0E0000]yyyy-mm-dd")</f>
        <v/>
      </c>
    </row>
    <row r="77916">
      <c r="A77916" s="1" t="n">
        <v>77915</v>
      </c>
      <c r="B77916">
        <f>TEXT(77915, "[$-0E0000]yyyy-mm-dd")</f>
        <v/>
      </c>
    </row>
    <row r="77917">
      <c r="A77917" s="1" t="n">
        <v>77916</v>
      </c>
      <c r="B77917">
        <f>TEXT(77916, "[$-0E0000]yyyy-mm-dd")</f>
        <v/>
      </c>
    </row>
    <row r="77918">
      <c r="A77918" s="1" t="n">
        <v>77917</v>
      </c>
      <c r="B77918">
        <f>TEXT(77917, "[$-0E0000]yyyy-mm-dd")</f>
        <v/>
      </c>
    </row>
    <row r="77919">
      <c r="A77919" s="1" t="n">
        <v>77918</v>
      </c>
      <c r="B77919">
        <f>TEXT(77918, "[$-0E0000]yyyy-mm-dd")</f>
        <v/>
      </c>
    </row>
    <row r="77920">
      <c r="A77920" s="1" t="n">
        <v>77919</v>
      </c>
      <c r="B77920">
        <f>TEXT(77919, "[$-0E0000]yyyy-mm-dd")</f>
        <v/>
      </c>
    </row>
    <row r="77921">
      <c r="A77921" s="1" t="n">
        <v>77920</v>
      </c>
      <c r="B77921">
        <f>TEXT(77920, "[$-0E0000]yyyy-mm-dd")</f>
        <v/>
      </c>
    </row>
    <row r="77922">
      <c r="A77922" s="1" t="n">
        <v>77921</v>
      </c>
      <c r="B77922">
        <f>TEXT(77921, "[$-0E0000]yyyy-mm-dd")</f>
        <v/>
      </c>
    </row>
    <row r="77923">
      <c r="A77923" s="1" t="n">
        <v>77922</v>
      </c>
      <c r="B77923">
        <f>TEXT(77922, "[$-0E0000]yyyy-mm-dd")</f>
        <v/>
      </c>
    </row>
    <row r="77924">
      <c r="A77924" s="1" t="n">
        <v>77923</v>
      </c>
      <c r="B77924">
        <f>TEXT(77923, "[$-0E0000]yyyy-mm-dd")</f>
        <v/>
      </c>
    </row>
    <row r="77925">
      <c r="A77925" s="1" t="n">
        <v>77924</v>
      </c>
      <c r="B77925">
        <f>TEXT(77924, "[$-0E0000]yyyy-mm-dd")</f>
        <v/>
      </c>
    </row>
    <row r="77926">
      <c r="A77926" s="1" t="n">
        <v>77925</v>
      </c>
      <c r="B77926">
        <f>TEXT(77925, "[$-0E0000]yyyy-mm-dd")</f>
        <v/>
      </c>
    </row>
    <row r="77927">
      <c r="A77927" s="1" t="n">
        <v>77926</v>
      </c>
      <c r="B77927">
        <f>TEXT(77926, "[$-0E0000]yyyy-mm-dd")</f>
        <v/>
      </c>
    </row>
    <row r="77928">
      <c r="A77928" s="1" t="n">
        <v>77927</v>
      </c>
      <c r="B77928">
        <f>TEXT(77927, "[$-0E0000]yyyy-mm-dd")</f>
        <v/>
      </c>
    </row>
    <row r="77929">
      <c r="A77929" s="1" t="n">
        <v>77928</v>
      </c>
      <c r="B77929">
        <f>TEXT(77928, "[$-0E0000]yyyy-mm-dd")</f>
        <v/>
      </c>
    </row>
    <row r="77930">
      <c r="A77930" s="1" t="n">
        <v>77929</v>
      </c>
      <c r="B77930">
        <f>TEXT(77929, "[$-0E0000]yyyy-mm-dd")</f>
        <v/>
      </c>
    </row>
    <row r="77931">
      <c r="A77931" s="1" t="n">
        <v>77930</v>
      </c>
      <c r="B77931">
        <f>TEXT(77930, "[$-0E0000]yyyy-mm-dd")</f>
        <v/>
      </c>
    </row>
    <row r="77932">
      <c r="A77932" s="1" t="n">
        <v>77931</v>
      </c>
      <c r="B77932">
        <f>TEXT(77931, "[$-0E0000]yyyy-mm-dd")</f>
        <v/>
      </c>
    </row>
    <row r="77933">
      <c r="A77933" s="1" t="n">
        <v>77932</v>
      </c>
      <c r="B77933">
        <f>TEXT(77932, "[$-0E0000]yyyy-mm-dd")</f>
        <v/>
      </c>
    </row>
    <row r="77934">
      <c r="A77934" s="1" t="n">
        <v>77933</v>
      </c>
      <c r="B77934">
        <f>TEXT(77933, "[$-0E0000]yyyy-mm-dd")</f>
        <v/>
      </c>
    </row>
    <row r="77935">
      <c r="A77935" s="1" t="n">
        <v>77934</v>
      </c>
      <c r="B77935">
        <f>TEXT(77934, "[$-0E0000]yyyy-mm-dd")</f>
        <v/>
      </c>
    </row>
    <row r="77936">
      <c r="A77936" s="1" t="n">
        <v>77935</v>
      </c>
      <c r="B77936">
        <f>TEXT(77935, "[$-0E0000]yyyy-mm-dd")</f>
        <v/>
      </c>
    </row>
    <row r="77937">
      <c r="A77937" s="1" t="n">
        <v>77936</v>
      </c>
      <c r="B77937">
        <f>TEXT(77936, "[$-0E0000]yyyy-mm-dd")</f>
        <v/>
      </c>
    </row>
    <row r="77938">
      <c r="A77938" s="1" t="n">
        <v>77937</v>
      </c>
      <c r="B77938">
        <f>TEXT(77937, "[$-0E0000]yyyy-mm-dd")</f>
        <v/>
      </c>
    </row>
    <row r="77939">
      <c r="A77939" s="1" t="n">
        <v>77938</v>
      </c>
      <c r="B77939">
        <f>TEXT(77938, "[$-0E0000]yyyy-mm-dd")</f>
        <v/>
      </c>
    </row>
    <row r="77940">
      <c r="A77940" s="1" t="n">
        <v>77939</v>
      </c>
      <c r="B77940">
        <f>TEXT(77939, "[$-0E0000]yyyy-mm-dd")</f>
        <v/>
      </c>
    </row>
    <row r="77941">
      <c r="A77941" s="1" t="n">
        <v>77940</v>
      </c>
      <c r="B77941">
        <f>TEXT(77940, "[$-0E0000]yyyy-mm-dd")</f>
        <v/>
      </c>
    </row>
    <row r="77942">
      <c r="A77942" s="1" t="n">
        <v>77941</v>
      </c>
      <c r="B77942">
        <f>TEXT(77941, "[$-0E0000]yyyy-mm-dd")</f>
        <v/>
      </c>
    </row>
    <row r="77943">
      <c r="A77943" s="1" t="n">
        <v>77942</v>
      </c>
      <c r="B77943">
        <f>TEXT(77942, "[$-0E0000]yyyy-mm-dd")</f>
        <v/>
      </c>
    </row>
    <row r="77944">
      <c r="A77944" s="1" t="n">
        <v>77943</v>
      </c>
      <c r="B77944">
        <f>TEXT(77943, "[$-0E0000]yyyy-mm-dd")</f>
        <v/>
      </c>
    </row>
    <row r="77945">
      <c r="A77945" s="1" t="n">
        <v>77944</v>
      </c>
      <c r="B77945">
        <f>TEXT(77944, "[$-0E0000]yyyy-mm-dd")</f>
        <v/>
      </c>
    </row>
    <row r="77946">
      <c r="A77946" s="1" t="n">
        <v>77945</v>
      </c>
      <c r="B77946">
        <f>TEXT(77945, "[$-0E0000]yyyy-mm-dd")</f>
        <v/>
      </c>
    </row>
    <row r="77947">
      <c r="A77947" s="1" t="n">
        <v>77946</v>
      </c>
      <c r="B77947">
        <f>TEXT(77946, "[$-0E0000]yyyy-mm-dd")</f>
        <v/>
      </c>
    </row>
    <row r="77948">
      <c r="A77948" s="1" t="n">
        <v>77947</v>
      </c>
      <c r="B77948">
        <f>TEXT(77947, "[$-0E0000]yyyy-mm-dd")</f>
        <v/>
      </c>
    </row>
    <row r="77949">
      <c r="A77949" s="1" t="n">
        <v>77948</v>
      </c>
      <c r="B77949">
        <f>TEXT(77948, "[$-0E0000]yyyy-mm-dd")</f>
        <v/>
      </c>
    </row>
    <row r="77950">
      <c r="A77950" s="1" t="n">
        <v>77949</v>
      </c>
      <c r="B77950">
        <f>TEXT(77949, "[$-0E0000]yyyy-mm-dd")</f>
        <v/>
      </c>
    </row>
    <row r="77951">
      <c r="A77951" s="1" t="n">
        <v>77950</v>
      </c>
      <c r="B77951">
        <f>TEXT(77950, "[$-0E0000]yyyy-mm-dd")</f>
        <v/>
      </c>
    </row>
    <row r="77952">
      <c r="A77952" s="1" t="n">
        <v>77951</v>
      </c>
      <c r="B77952">
        <f>TEXT(77951, "[$-0E0000]yyyy-mm-dd")</f>
        <v/>
      </c>
    </row>
    <row r="77953">
      <c r="A77953" s="1" t="n">
        <v>77952</v>
      </c>
      <c r="B77953">
        <f>TEXT(77952, "[$-0E0000]yyyy-mm-dd")</f>
        <v/>
      </c>
    </row>
    <row r="77954">
      <c r="A77954" s="1" t="n">
        <v>77953</v>
      </c>
      <c r="B77954">
        <f>TEXT(77953, "[$-0E0000]yyyy-mm-dd")</f>
        <v/>
      </c>
    </row>
    <row r="77955">
      <c r="A77955" s="1" t="n">
        <v>77954</v>
      </c>
      <c r="B77955">
        <f>TEXT(77954, "[$-0E0000]yyyy-mm-dd")</f>
        <v/>
      </c>
    </row>
    <row r="77956">
      <c r="A77956" s="1" t="n">
        <v>77955</v>
      </c>
      <c r="B77956">
        <f>TEXT(77955, "[$-0E0000]yyyy-mm-dd")</f>
        <v/>
      </c>
    </row>
    <row r="77957">
      <c r="A77957" s="1" t="n">
        <v>77956</v>
      </c>
      <c r="B77957">
        <f>TEXT(77956, "[$-0E0000]yyyy-mm-dd")</f>
        <v/>
      </c>
    </row>
    <row r="77958">
      <c r="A77958" s="1" t="n">
        <v>77957</v>
      </c>
      <c r="B77958">
        <f>TEXT(77957, "[$-0E0000]yyyy-mm-dd")</f>
        <v/>
      </c>
    </row>
    <row r="77959">
      <c r="A77959" s="1" t="n">
        <v>77958</v>
      </c>
      <c r="B77959">
        <f>TEXT(77958, "[$-0E0000]yyyy-mm-dd")</f>
        <v/>
      </c>
    </row>
    <row r="77960">
      <c r="A77960" s="1" t="n">
        <v>77959</v>
      </c>
      <c r="B77960">
        <f>TEXT(77959, "[$-0E0000]yyyy-mm-dd")</f>
        <v/>
      </c>
    </row>
    <row r="77961">
      <c r="A77961" s="1" t="n">
        <v>77960</v>
      </c>
      <c r="B77961">
        <f>TEXT(77960, "[$-0E0000]yyyy-mm-dd")</f>
        <v/>
      </c>
    </row>
    <row r="77962">
      <c r="A77962" s="1" t="n">
        <v>77961</v>
      </c>
      <c r="B77962">
        <f>TEXT(77961, "[$-0E0000]yyyy-mm-dd")</f>
        <v/>
      </c>
    </row>
    <row r="77963">
      <c r="A77963" s="1" t="n">
        <v>77962</v>
      </c>
      <c r="B77963">
        <f>TEXT(77962, "[$-0E0000]yyyy-mm-dd")</f>
        <v/>
      </c>
    </row>
    <row r="77964">
      <c r="A77964" s="1" t="n">
        <v>77963</v>
      </c>
      <c r="B77964">
        <f>TEXT(77963, "[$-0E0000]yyyy-mm-dd")</f>
        <v/>
      </c>
    </row>
    <row r="77965">
      <c r="A77965" s="1" t="n">
        <v>77964</v>
      </c>
      <c r="B77965">
        <f>TEXT(77964, "[$-0E0000]yyyy-mm-dd")</f>
        <v/>
      </c>
    </row>
    <row r="77966">
      <c r="A77966" s="1" t="n">
        <v>77965</v>
      </c>
      <c r="B77966">
        <f>TEXT(77965, "[$-0E0000]yyyy-mm-dd")</f>
        <v/>
      </c>
    </row>
    <row r="77967">
      <c r="A77967" s="1" t="n">
        <v>77966</v>
      </c>
      <c r="B77967">
        <f>TEXT(77966, "[$-0E0000]yyyy-mm-dd")</f>
        <v/>
      </c>
    </row>
    <row r="77968">
      <c r="A77968" s="1" t="n">
        <v>77967</v>
      </c>
      <c r="B77968">
        <f>TEXT(77967, "[$-0E0000]yyyy-mm-dd")</f>
        <v/>
      </c>
    </row>
    <row r="77969">
      <c r="A77969" s="1" t="n">
        <v>77968</v>
      </c>
      <c r="B77969">
        <f>TEXT(77968, "[$-0E0000]yyyy-mm-dd")</f>
        <v/>
      </c>
    </row>
    <row r="77970">
      <c r="A77970" s="1" t="n">
        <v>77969</v>
      </c>
      <c r="B77970">
        <f>TEXT(77969, "[$-0E0000]yyyy-mm-dd")</f>
        <v/>
      </c>
    </row>
    <row r="77971">
      <c r="A77971" s="1" t="n">
        <v>77970</v>
      </c>
      <c r="B77971">
        <f>TEXT(77970, "[$-0E0000]yyyy-mm-dd")</f>
        <v/>
      </c>
    </row>
    <row r="77972">
      <c r="A77972" s="1" t="n">
        <v>77971</v>
      </c>
      <c r="B77972">
        <f>TEXT(77971, "[$-0E0000]yyyy-mm-dd")</f>
        <v/>
      </c>
    </row>
    <row r="77973">
      <c r="A77973" s="1" t="n">
        <v>77972</v>
      </c>
      <c r="B77973">
        <f>TEXT(77972, "[$-0E0000]yyyy-mm-dd")</f>
        <v/>
      </c>
    </row>
    <row r="77974">
      <c r="A77974" s="1" t="n">
        <v>77973</v>
      </c>
      <c r="B77974">
        <f>TEXT(77973, "[$-0E0000]yyyy-mm-dd")</f>
        <v/>
      </c>
    </row>
    <row r="77975">
      <c r="A77975" s="1" t="n">
        <v>77974</v>
      </c>
      <c r="B77975">
        <f>TEXT(77974, "[$-0E0000]yyyy-mm-dd")</f>
        <v/>
      </c>
    </row>
    <row r="77976">
      <c r="A77976" s="1" t="n">
        <v>77975</v>
      </c>
      <c r="B77976">
        <f>TEXT(77975, "[$-0E0000]yyyy-mm-dd")</f>
        <v/>
      </c>
    </row>
    <row r="77977">
      <c r="A77977" s="1" t="n">
        <v>77976</v>
      </c>
      <c r="B77977">
        <f>TEXT(77976, "[$-0E0000]yyyy-mm-dd")</f>
        <v/>
      </c>
    </row>
    <row r="77978">
      <c r="A77978" s="1" t="n">
        <v>77977</v>
      </c>
      <c r="B77978">
        <f>TEXT(77977, "[$-0E0000]yyyy-mm-dd")</f>
        <v/>
      </c>
    </row>
    <row r="77979">
      <c r="A77979" s="1" t="n">
        <v>77978</v>
      </c>
      <c r="B77979">
        <f>TEXT(77978, "[$-0E0000]yyyy-mm-dd")</f>
        <v/>
      </c>
    </row>
    <row r="77980">
      <c r="A77980" s="1" t="n">
        <v>77979</v>
      </c>
      <c r="B77980">
        <f>TEXT(77979, "[$-0E0000]yyyy-mm-dd")</f>
        <v/>
      </c>
    </row>
    <row r="77981">
      <c r="A77981" s="1" t="n">
        <v>77980</v>
      </c>
      <c r="B77981">
        <f>TEXT(77980, "[$-0E0000]yyyy-mm-dd")</f>
        <v/>
      </c>
    </row>
    <row r="77982">
      <c r="A77982" s="1" t="n">
        <v>77981</v>
      </c>
      <c r="B77982">
        <f>TEXT(77981, "[$-0E0000]yyyy-mm-dd")</f>
        <v/>
      </c>
    </row>
    <row r="77983">
      <c r="A77983" s="1" t="n">
        <v>77982</v>
      </c>
      <c r="B77983">
        <f>TEXT(77982, "[$-0E0000]yyyy-mm-dd")</f>
        <v/>
      </c>
    </row>
    <row r="77984">
      <c r="A77984" s="1" t="n">
        <v>77983</v>
      </c>
      <c r="B77984">
        <f>TEXT(77983, "[$-0E0000]yyyy-mm-dd")</f>
        <v/>
      </c>
    </row>
    <row r="77985">
      <c r="A77985" s="1" t="n">
        <v>77984</v>
      </c>
      <c r="B77985">
        <f>TEXT(77984, "[$-0E0000]yyyy-mm-dd")</f>
        <v/>
      </c>
    </row>
    <row r="77986">
      <c r="A77986" s="1" t="n">
        <v>77985</v>
      </c>
      <c r="B77986">
        <f>TEXT(77985, "[$-0E0000]yyyy-mm-dd")</f>
        <v/>
      </c>
    </row>
    <row r="77987">
      <c r="A77987" s="1" t="n">
        <v>77986</v>
      </c>
      <c r="B77987">
        <f>TEXT(77986, "[$-0E0000]yyyy-mm-dd")</f>
        <v/>
      </c>
    </row>
    <row r="77988">
      <c r="A77988" s="1" t="n">
        <v>77987</v>
      </c>
      <c r="B77988">
        <f>TEXT(77987, "[$-0E0000]yyyy-mm-dd")</f>
        <v/>
      </c>
    </row>
    <row r="77989">
      <c r="A77989" s="1" t="n">
        <v>77988</v>
      </c>
      <c r="B77989">
        <f>TEXT(77988, "[$-0E0000]yyyy-mm-dd")</f>
        <v/>
      </c>
    </row>
    <row r="77990">
      <c r="A77990" s="1" t="n">
        <v>77989</v>
      </c>
      <c r="B77990">
        <f>TEXT(77989, "[$-0E0000]yyyy-mm-dd")</f>
        <v/>
      </c>
    </row>
    <row r="77991">
      <c r="A77991" s="1" t="n">
        <v>77990</v>
      </c>
      <c r="B77991">
        <f>TEXT(77990, "[$-0E0000]yyyy-mm-dd")</f>
        <v/>
      </c>
    </row>
    <row r="77992">
      <c r="A77992" s="1" t="n">
        <v>77991</v>
      </c>
      <c r="B77992">
        <f>TEXT(77991, "[$-0E0000]yyyy-mm-dd")</f>
        <v/>
      </c>
    </row>
    <row r="77993">
      <c r="A77993" s="1" t="n">
        <v>77992</v>
      </c>
      <c r="B77993">
        <f>TEXT(77992, "[$-0E0000]yyyy-mm-dd")</f>
        <v/>
      </c>
    </row>
    <row r="77994">
      <c r="A77994" s="1" t="n">
        <v>77993</v>
      </c>
      <c r="B77994">
        <f>TEXT(77993, "[$-0E0000]yyyy-mm-dd")</f>
        <v/>
      </c>
    </row>
    <row r="77995">
      <c r="A77995" s="1" t="n">
        <v>77994</v>
      </c>
      <c r="B77995">
        <f>TEXT(77994, "[$-0E0000]yyyy-mm-dd")</f>
        <v/>
      </c>
    </row>
    <row r="77996">
      <c r="A77996" s="1" t="n">
        <v>77995</v>
      </c>
      <c r="B77996">
        <f>TEXT(77995, "[$-0E0000]yyyy-mm-dd")</f>
        <v/>
      </c>
    </row>
    <row r="77997">
      <c r="A77997" s="1" t="n">
        <v>77996</v>
      </c>
      <c r="B77997">
        <f>TEXT(77996, "[$-0E0000]yyyy-mm-dd")</f>
        <v/>
      </c>
    </row>
    <row r="77998">
      <c r="A77998" s="1" t="n">
        <v>77997</v>
      </c>
      <c r="B77998">
        <f>TEXT(77997, "[$-0E0000]yyyy-mm-dd")</f>
        <v/>
      </c>
    </row>
    <row r="77999">
      <c r="A77999" s="1" t="n">
        <v>77998</v>
      </c>
      <c r="B77999">
        <f>TEXT(77998, "[$-0E0000]yyyy-mm-dd")</f>
        <v/>
      </c>
    </row>
    <row r="78000">
      <c r="A78000" s="1" t="n">
        <v>77999</v>
      </c>
      <c r="B78000">
        <f>TEXT(77999, "[$-0E0000]yyyy-mm-dd")</f>
        <v/>
      </c>
    </row>
    <row r="78001">
      <c r="A78001" s="1" t="n">
        <v>78000</v>
      </c>
      <c r="B78001">
        <f>TEXT(78000, "[$-0E0000]yyyy-mm-dd")</f>
        <v/>
      </c>
    </row>
    <row r="78002">
      <c r="A78002" s="1" t="n">
        <v>78001</v>
      </c>
      <c r="B78002">
        <f>TEXT(78001, "[$-0E0000]yyyy-mm-dd")</f>
        <v/>
      </c>
    </row>
    <row r="78003">
      <c r="A78003" s="1" t="n">
        <v>78002</v>
      </c>
      <c r="B78003">
        <f>TEXT(78002, "[$-0E0000]yyyy-mm-dd")</f>
        <v/>
      </c>
    </row>
    <row r="78004">
      <c r="A78004" s="1" t="n">
        <v>78003</v>
      </c>
      <c r="B78004">
        <f>TEXT(78003, "[$-0E0000]yyyy-mm-dd")</f>
        <v/>
      </c>
    </row>
    <row r="78005">
      <c r="A78005" s="1" t="n">
        <v>78004</v>
      </c>
      <c r="B78005">
        <f>TEXT(78004, "[$-0E0000]yyyy-mm-dd")</f>
        <v/>
      </c>
    </row>
    <row r="78006">
      <c r="A78006" s="1" t="n">
        <v>78005</v>
      </c>
      <c r="B78006">
        <f>TEXT(78005, "[$-0E0000]yyyy-mm-dd")</f>
        <v/>
      </c>
    </row>
    <row r="78007">
      <c r="A78007" s="1" t="n">
        <v>78006</v>
      </c>
      <c r="B78007">
        <f>TEXT(78006, "[$-0E0000]yyyy-mm-dd")</f>
        <v/>
      </c>
    </row>
    <row r="78008">
      <c r="A78008" s="1" t="n">
        <v>78007</v>
      </c>
      <c r="B78008">
        <f>TEXT(78007, "[$-0E0000]yyyy-mm-dd")</f>
        <v/>
      </c>
    </row>
    <row r="78009">
      <c r="A78009" s="1" t="n">
        <v>78008</v>
      </c>
      <c r="B78009">
        <f>TEXT(78008, "[$-0E0000]yyyy-mm-dd")</f>
        <v/>
      </c>
    </row>
    <row r="78010">
      <c r="A78010" s="1" t="n">
        <v>78009</v>
      </c>
      <c r="B78010">
        <f>TEXT(78009, "[$-0E0000]yyyy-mm-dd")</f>
        <v/>
      </c>
    </row>
    <row r="78011">
      <c r="A78011" s="1" t="n">
        <v>78010</v>
      </c>
      <c r="B78011">
        <f>TEXT(78010, "[$-0E0000]yyyy-mm-dd")</f>
        <v/>
      </c>
    </row>
    <row r="78012">
      <c r="A78012" s="1" t="n">
        <v>78011</v>
      </c>
      <c r="B78012">
        <f>TEXT(78011, "[$-0E0000]yyyy-mm-dd")</f>
        <v/>
      </c>
    </row>
    <row r="78013">
      <c r="A78013" s="1" t="n">
        <v>78012</v>
      </c>
      <c r="B78013">
        <f>TEXT(78012, "[$-0E0000]yyyy-mm-dd")</f>
        <v/>
      </c>
    </row>
    <row r="78014">
      <c r="A78014" s="1" t="n">
        <v>78013</v>
      </c>
      <c r="B78014">
        <f>TEXT(78013, "[$-0E0000]yyyy-mm-dd")</f>
        <v/>
      </c>
    </row>
    <row r="78015">
      <c r="A78015" s="1" t="n">
        <v>78014</v>
      </c>
      <c r="B78015">
        <f>TEXT(78014, "[$-0E0000]yyyy-mm-dd")</f>
        <v/>
      </c>
    </row>
    <row r="78016">
      <c r="A78016" s="1" t="n">
        <v>78015</v>
      </c>
      <c r="B78016">
        <f>TEXT(78015, "[$-0E0000]yyyy-mm-dd")</f>
        <v/>
      </c>
    </row>
    <row r="78017">
      <c r="A78017" s="1" t="n">
        <v>78016</v>
      </c>
      <c r="B78017">
        <f>TEXT(78016, "[$-0E0000]yyyy-mm-dd")</f>
        <v/>
      </c>
    </row>
    <row r="78018">
      <c r="A78018" s="1" t="n">
        <v>78017</v>
      </c>
      <c r="B78018">
        <f>TEXT(78017, "[$-0E0000]yyyy-mm-dd")</f>
        <v/>
      </c>
    </row>
    <row r="78019">
      <c r="A78019" s="1" t="n">
        <v>78018</v>
      </c>
      <c r="B78019">
        <f>TEXT(78018, "[$-0E0000]yyyy-mm-dd")</f>
        <v/>
      </c>
    </row>
    <row r="78020">
      <c r="A78020" s="1" t="n">
        <v>78019</v>
      </c>
      <c r="B78020">
        <f>TEXT(78019, "[$-0E0000]yyyy-mm-dd")</f>
        <v/>
      </c>
    </row>
    <row r="78021">
      <c r="A78021" s="1" t="n">
        <v>78020</v>
      </c>
      <c r="B78021">
        <f>TEXT(78020, "[$-0E0000]yyyy-mm-dd")</f>
        <v/>
      </c>
    </row>
    <row r="78022">
      <c r="A78022" s="1" t="n">
        <v>78021</v>
      </c>
      <c r="B78022">
        <f>TEXT(78021, "[$-0E0000]yyyy-mm-dd")</f>
        <v/>
      </c>
    </row>
    <row r="78023">
      <c r="A78023" s="1" t="n">
        <v>78022</v>
      </c>
      <c r="B78023">
        <f>TEXT(78022, "[$-0E0000]yyyy-mm-dd")</f>
        <v/>
      </c>
    </row>
    <row r="78024">
      <c r="A78024" s="1" t="n">
        <v>78023</v>
      </c>
      <c r="B78024">
        <f>TEXT(78023, "[$-0E0000]yyyy-mm-dd")</f>
        <v/>
      </c>
    </row>
    <row r="78025">
      <c r="A78025" s="1" t="n">
        <v>78024</v>
      </c>
      <c r="B78025">
        <f>TEXT(78024, "[$-0E0000]yyyy-mm-dd")</f>
        <v/>
      </c>
    </row>
    <row r="78026">
      <c r="A78026" s="1" t="n">
        <v>78025</v>
      </c>
      <c r="B78026">
        <f>TEXT(78025, "[$-0E0000]yyyy-mm-dd")</f>
        <v/>
      </c>
    </row>
    <row r="78027">
      <c r="A78027" s="1" t="n">
        <v>78026</v>
      </c>
      <c r="B78027">
        <f>TEXT(78026, "[$-0E0000]yyyy-mm-dd")</f>
        <v/>
      </c>
    </row>
    <row r="78028">
      <c r="A78028" s="1" t="n">
        <v>78027</v>
      </c>
      <c r="B78028">
        <f>TEXT(78027, "[$-0E0000]yyyy-mm-dd")</f>
        <v/>
      </c>
    </row>
    <row r="78029">
      <c r="A78029" s="1" t="n">
        <v>78028</v>
      </c>
      <c r="B78029">
        <f>TEXT(78028, "[$-0E0000]yyyy-mm-dd")</f>
        <v/>
      </c>
    </row>
    <row r="78030">
      <c r="A78030" s="1" t="n">
        <v>78029</v>
      </c>
      <c r="B78030">
        <f>TEXT(78029, "[$-0E0000]yyyy-mm-dd")</f>
        <v/>
      </c>
    </row>
    <row r="78031">
      <c r="A78031" s="1" t="n">
        <v>78030</v>
      </c>
      <c r="B78031">
        <f>TEXT(78030, "[$-0E0000]yyyy-mm-dd")</f>
        <v/>
      </c>
    </row>
    <row r="78032">
      <c r="A78032" s="1" t="n">
        <v>78031</v>
      </c>
      <c r="B78032">
        <f>TEXT(78031, "[$-0E0000]yyyy-mm-dd")</f>
        <v/>
      </c>
    </row>
    <row r="78033">
      <c r="A78033" s="1" t="n">
        <v>78032</v>
      </c>
      <c r="B78033">
        <f>TEXT(78032, "[$-0E0000]yyyy-mm-dd")</f>
        <v/>
      </c>
    </row>
    <row r="78034">
      <c r="A78034" s="1" t="n">
        <v>78033</v>
      </c>
      <c r="B78034">
        <f>TEXT(78033, "[$-0E0000]yyyy-mm-dd")</f>
        <v/>
      </c>
    </row>
    <row r="78035">
      <c r="A78035" s="1" t="n">
        <v>78034</v>
      </c>
      <c r="B78035">
        <f>TEXT(78034, "[$-0E0000]yyyy-mm-dd")</f>
        <v/>
      </c>
    </row>
    <row r="78036">
      <c r="A78036" s="1" t="n">
        <v>78035</v>
      </c>
      <c r="B78036">
        <f>TEXT(78035, "[$-0E0000]yyyy-mm-dd")</f>
        <v/>
      </c>
    </row>
    <row r="78037">
      <c r="A78037" s="1" t="n">
        <v>78036</v>
      </c>
      <c r="B78037">
        <f>TEXT(78036, "[$-0E0000]yyyy-mm-dd")</f>
        <v/>
      </c>
    </row>
    <row r="78038">
      <c r="A78038" s="1" t="n">
        <v>78037</v>
      </c>
      <c r="B78038">
        <f>TEXT(78037, "[$-0E0000]yyyy-mm-dd")</f>
        <v/>
      </c>
    </row>
    <row r="78039">
      <c r="A78039" s="1" t="n">
        <v>78038</v>
      </c>
      <c r="B78039">
        <f>TEXT(78038, "[$-0E0000]yyyy-mm-dd")</f>
        <v/>
      </c>
    </row>
    <row r="78040">
      <c r="A78040" s="1" t="n">
        <v>78039</v>
      </c>
      <c r="B78040">
        <f>TEXT(78039, "[$-0E0000]yyyy-mm-dd")</f>
        <v/>
      </c>
    </row>
    <row r="78041">
      <c r="A78041" s="1" t="n">
        <v>78040</v>
      </c>
      <c r="B78041">
        <f>TEXT(78040, "[$-0E0000]yyyy-mm-dd")</f>
        <v/>
      </c>
    </row>
    <row r="78042">
      <c r="A78042" s="1" t="n">
        <v>78041</v>
      </c>
      <c r="B78042">
        <f>TEXT(78041, "[$-0E0000]yyyy-mm-dd")</f>
        <v/>
      </c>
    </row>
    <row r="78043">
      <c r="A78043" s="1" t="n">
        <v>78042</v>
      </c>
      <c r="B78043">
        <f>TEXT(78042, "[$-0E0000]yyyy-mm-dd")</f>
        <v/>
      </c>
    </row>
    <row r="78044">
      <c r="A78044" s="1" t="n">
        <v>78043</v>
      </c>
      <c r="B78044">
        <f>TEXT(78043, "[$-0E0000]yyyy-mm-dd")</f>
        <v/>
      </c>
    </row>
    <row r="78045">
      <c r="A78045" s="1" t="n">
        <v>78044</v>
      </c>
      <c r="B78045">
        <f>TEXT(78044, "[$-0E0000]yyyy-mm-dd")</f>
        <v/>
      </c>
    </row>
    <row r="78046">
      <c r="A78046" s="1" t="n">
        <v>78045</v>
      </c>
      <c r="B78046">
        <f>TEXT(78045, "[$-0E0000]yyyy-mm-dd")</f>
        <v/>
      </c>
    </row>
    <row r="78047">
      <c r="A78047" s="1" t="n">
        <v>78046</v>
      </c>
      <c r="B78047">
        <f>TEXT(78046, "[$-0E0000]yyyy-mm-dd")</f>
        <v/>
      </c>
    </row>
    <row r="78048">
      <c r="A78048" s="1" t="n">
        <v>78047</v>
      </c>
      <c r="B78048">
        <f>TEXT(78047, "[$-0E0000]yyyy-mm-dd")</f>
        <v/>
      </c>
    </row>
    <row r="78049">
      <c r="A78049" s="1" t="n">
        <v>78048</v>
      </c>
      <c r="B78049">
        <f>TEXT(78048, "[$-0E0000]yyyy-mm-dd")</f>
        <v/>
      </c>
    </row>
    <row r="78050">
      <c r="A78050" s="1" t="n">
        <v>78049</v>
      </c>
      <c r="B78050">
        <f>TEXT(78049, "[$-0E0000]yyyy-mm-dd")</f>
        <v/>
      </c>
    </row>
    <row r="78051">
      <c r="A78051" s="1" t="n">
        <v>78050</v>
      </c>
      <c r="B78051">
        <f>TEXT(78050, "[$-0E0000]yyyy-mm-dd")</f>
        <v/>
      </c>
    </row>
    <row r="78052">
      <c r="A78052" s="1" t="n">
        <v>78051</v>
      </c>
      <c r="B78052">
        <f>TEXT(78051, "[$-0E0000]yyyy-mm-dd")</f>
        <v/>
      </c>
    </row>
    <row r="78053">
      <c r="A78053" s="1" t="n">
        <v>78052</v>
      </c>
      <c r="B78053">
        <f>TEXT(78052, "[$-0E0000]yyyy-mm-dd")</f>
        <v/>
      </c>
    </row>
    <row r="78054">
      <c r="A78054" s="1" t="n">
        <v>78053</v>
      </c>
      <c r="B78054">
        <f>TEXT(78053, "[$-0E0000]yyyy-mm-dd")</f>
        <v/>
      </c>
    </row>
    <row r="78055">
      <c r="A78055" s="1" t="n">
        <v>78054</v>
      </c>
      <c r="B78055">
        <f>TEXT(78054, "[$-0E0000]yyyy-mm-dd")</f>
        <v/>
      </c>
    </row>
    <row r="78056">
      <c r="A78056" s="1" t="n">
        <v>78055</v>
      </c>
      <c r="B78056">
        <f>TEXT(78055, "[$-0E0000]yyyy-mm-dd")</f>
        <v/>
      </c>
    </row>
    <row r="78057">
      <c r="A78057" s="1" t="n">
        <v>78056</v>
      </c>
      <c r="B78057">
        <f>TEXT(78056, "[$-0E0000]yyyy-mm-dd")</f>
        <v/>
      </c>
    </row>
    <row r="78058">
      <c r="A78058" s="1" t="n">
        <v>78057</v>
      </c>
      <c r="B78058">
        <f>TEXT(78057, "[$-0E0000]yyyy-mm-dd")</f>
        <v/>
      </c>
    </row>
    <row r="78059">
      <c r="A78059" s="1" t="n">
        <v>78058</v>
      </c>
      <c r="B78059">
        <f>TEXT(78058, "[$-0E0000]yyyy-mm-dd")</f>
        <v/>
      </c>
    </row>
    <row r="78060">
      <c r="A78060" s="1" t="n">
        <v>78059</v>
      </c>
      <c r="B78060">
        <f>TEXT(78059, "[$-0E0000]yyyy-mm-dd")</f>
        <v/>
      </c>
    </row>
    <row r="78061">
      <c r="A78061" s="1" t="n">
        <v>78060</v>
      </c>
      <c r="B78061">
        <f>TEXT(78060, "[$-0E0000]yyyy-mm-dd")</f>
        <v/>
      </c>
    </row>
    <row r="78062">
      <c r="A78062" s="1" t="n">
        <v>78061</v>
      </c>
      <c r="B78062">
        <f>TEXT(78061, "[$-0E0000]yyyy-mm-dd")</f>
        <v/>
      </c>
    </row>
    <row r="78063">
      <c r="A78063" s="1" t="n">
        <v>78062</v>
      </c>
      <c r="B78063">
        <f>TEXT(78062, "[$-0E0000]yyyy-mm-dd")</f>
        <v/>
      </c>
    </row>
    <row r="78064">
      <c r="A78064" s="1" t="n">
        <v>78063</v>
      </c>
      <c r="B78064">
        <f>TEXT(78063, "[$-0E0000]yyyy-mm-dd")</f>
        <v/>
      </c>
    </row>
    <row r="78065">
      <c r="A78065" s="1" t="n">
        <v>78064</v>
      </c>
      <c r="B78065">
        <f>TEXT(78064, "[$-0E0000]yyyy-mm-dd")</f>
        <v/>
      </c>
    </row>
    <row r="78066">
      <c r="A78066" s="1" t="n">
        <v>78065</v>
      </c>
      <c r="B78066">
        <f>TEXT(78065, "[$-0E0000]yyyy-mm-dd")</f>
        <v/>
      </c>
    </row>
    <row r="78067">
      <c r="A78067" s="1" t="n">
        <v>78066</v>
      </c>
      <c r="B78067">
        <f>TEXT(78066, "[$-0E0000]yyyy-mm-dd")</f>
        <v/>
      </c>
    </row>
    <row r="78068">
      <c r="A78068" s="1" t="n">
        <v>78067</v>
      </c>
      <c r="B78068">
        <f>TEXT(78067, "[$-0E0000]yyyy-mm-dd")</f>
        <v/>
      </c>
    </row>
    <row r="78069">
      <c r="A78069" s="1" t="n">
        <v>78068</v>
      </c>
      <c r="B78069">
        <f>TEXT(78068, "[$-0E0000]yyyy-mm-dd")</f>
        <v/>
      </c>
    </row>
    <row r="78070">
      <c r="A78070" s="1" t="n">
        <v>78069</v>
      </c>
      <c r="B78070">
        <f>TEXT(78069, "[$-0E0000]yyyy-mm-dd")</f>
        <v/>
      </c>
    </row>
    <row r="78071">
      <c r="A78071" s="1" t="n">
        <v>78070</v>
      </c>
      <c r="B78071">
        <f>TEXT(78070, "[$-0E0000]yyyy-mm-dd")</f>
        <v/>
      </c>
    </row>
    <row r="78072">
      <c r="A78072" s="1" t="n">
        <v>78071</v>
      </c>
      <c r="B78072">
        <f>TEXT(78071, "[$-0E0000]yyyy-mm-dd")</f>
        <v/>
      </c>
    </row>
    <row r="78073">
      <c r="A78073" s="1" t="n">
        <v>78072</v>
      </c>
      <c r="B78073">
        <f>TEXT(78072, "[$-0E0000]yyyy-mm-dd")</f>
        <v/>
      </c>
    </row>
    <row r="78074">
      <c r="A78074" s="1" t="n">
        <v>78073</v>
      </c>
      <c r="B78074">
        <f>TEXT(78073, "[$-0E0000]yyyy-mm-dd")</f>
        <v/>
      </c>
    </row>
    <row r="78075">
      <c r="A78075" s="1" t="n">
        <v>78074</v>
      </c>
      <c r="B78075">
        <f>TEXT(78074, "[$-0E0000]yyyy-mm-dd")</f>
        <v/>
      </c>
    </row>
    <row r="78076">
      <c r="A78076" s="1" t="n">
        <v>78075</v>
      </c>
      <c r="B78076">
        <f>TEXT(78075, "[$-0E0000]yyyy-mm-dd")</f>
        <v/>
      </c>
    </row>
    <row r="78077">
      <c r="A78077" s="1" t="n">
        <v>78076</v>
      </c>
      <c r="B78077">
        <f>TEXT(78076, "[$-0E0000]yyyy-mm-dd")</f>
        <v/>
      </c>
    </row>
    <row r="78078">
      <c r="A78078" s="1" t="n">
        <v>78077</v>
      </c>
      <c r="B78078">
        <f>TEXT(78077, "[$-0E0000]yyyy-mm-dd")</f>
        <v/>
      </c>
    </row>
    <row r="78079">
      <c r="A78079" s="1" t="n">
        <v>78078</v>
      </c>
      <c r="B78079">
        <f>TEXT(78078, "[$-0E0000]yyyy-mm-dd")</f>
        <v/>
      </c>
    </row>
    <row r="78080">
      <c r="A78080" s="1" t="n">
        <v>78079</v>
      </c>
      <c r="B78080">
        <f>TEXT(78079, "[$-0E0000]yyyy-mm-dd")</f>
        <v/>
      </c>
    </row>
    <row r="78081">
      <c r="A78081" s="1" t="n">
        <v>78080</v>
      </c>
      <c r="B78081">
        <f>TEXT(78080, "[$-0E0000]yyyy-mm-dd")</f>
        <v/>
      </c>
    </row>
    <row r="78082">
      <c r="A78082" s="1" t="n">
        <v>78081</v>
      </c>
      <c r="B78082">
        <f>TEXT(78081, "[$-0E0000]yyyy-mm-dd")</f>
        <v/>
      </c>
    </row>
    <row r="78083">
      <c r="A78083" s="1" t="n">
        <v>78082</v>
      </c>
      <c r="B78083">
        <f>TEXT(78082, "[$-0E0000]yyyy-mm-dd")</f>
        <v/>
      </c>
    </row>
    <row r="78084">
      <c r="A78084" s="1" t="n">
        <v>78083</v>
      </c>
      <c r="B78084">
        <f>TEXT(78083, "[$-0E0000]yyyy-mm-dd")</f>
        <v/>
      </c>
    </row>
    <row r="78085">
      <c r="A78085" s="1" t="n">
        <v>78084</v>
      </c>
      <c r="B78085">
        <f>TEXT(78084, "[$-0E0000]yyyy-mm-dd")</f>
        <v/>
      </c>
    </row>
    <row r="78086">
      <c r="A78086" s="1" t="n">
        <v>78085</v>
      </c>
      <c r="B78086">
        <f>TEXT(78085, "[$-0E0000]yyyy-mm-dd")</f>
        <v/>
      </c>
    </row>
    <row r="78087">
      <c r="A78087" s="1" t="n">
        <v>78086</v>
      </c>
      <c r="B78087">
        <f>TEXT(78086, "[$-0E0000]yyyy-mm-dd")</f>
        <v/>
      </c>
    </row>
    <row r="78088">
      <c r="A78088" s="1" t="n">
        <v>78087</v>
      </c>
      <c r="B78088">
        <f>TEXT(78087, "[$-0E0000]yyyy-mm-dd")</f>
        <v/>
      </c>
    </row>
    <row r="78089">
      <c r="A78089" s="1" t="n">
        <v>78088</v>
      </c>
      <c r="B78089">
        <f>TEXT(78088, "[$-0E0000]yyyy-mm-dd")</f>
        <v/>
      </c>
    </row>
    <row r="78090">
      <c r="A78090" s="1" t="n">
        <v>78089</v>
      </c>
      <c r="B78090">
        <f>TEXT(78089, "[$-0E0000]yyyy-mm-dd")</f>
        <v/>
      </c>
    </row>
    <row r="78091">
      <c r="A78091" s="1" t="n">
        <v>78090</v>
      </c>
      <c r="B78091">
        <f>TEXT(78090, "[$-0E0000]yyyy-mm-dd")</f>
        <v/>
      </c>
    </row>
    <row r="78092">
      <c r="A78092" s="1" t="n">
        <v>78091</v>
      </c>
      <c r="B78092">
        <f>TEXT(78091, "[$-0E0000]yyyy-mm-dd")</f>
        <v/>
      </c>
    </row>
    <row r="78093">
      <c r="A78093" s="1" t="n">
        <v>78092</v>
      </c>
      <c r="B78093">
        <f>TEXT(78092, "[$-0E0000]yyyy-mm-dd")</f>
        <v/>
      </c>
    </row>
    <row r="78094">
      <c r="A78094" s="1" t="n">
        <v>78093</v>
      </c>
      <c r="B78094">
        <f>TEXT(78093, "[$-0E0000]yyyy-mm-dd")</f>
        <v/>
      </c>
    </row>
    <row r="78095">
      <c r="A78095" s="1" t="n">
        <v>78094</v>
      </c>
      <c r="B78095">
        <f>TEXT(78094, "[$-0E0000]yyyy-mm-dd")</f>
        <v/>
      </c>
    </row>
    <row r="78096">
      <c r="A78096" s="1" t="n">
        <v>78095</v>
      </c>
      <c r="B78096">
        <f>TEXT(78095, "[$-0E0000]yyyy-mm-dd")</f>
        <v/>
      </c>
    </row>
    <row r="78097">
      <c r="A78097" s="1" t="n">
        <v>78096</v>
      </c>
      <c r="B78097">
        <f>TEXT(78096, "[$-0E0000]yyyy-mm-dd")</f>
        <v/>
      </c>
    </row>
    <row r="78098">
      <c r="A78098" s="1" t="n">
        <v>78097</v>
      </c>
      <c r="B78098">
        <f>TEXT(78097, "[$-0E0000]yyyy-mm-dd")</f>
        <v/>
      </c>
    </row>
    <row r="78099">
      <c r="A78099" s="1" t="n">
        <v>78098</v>
      </c>
      <c r="B78099">
        <f>TEXT(78098, "[$-0E0000]yyyy-mm-dd")</f>
        <v/>
      </c>
    </row>
    <row r="78100">
      <c r="A78100" s="1" t="n">
        <v>78099</v>
      </c>
      <c r="B78100">
        <f>TEXT(78099, "[$-0E0000]yyyy-mm-dd")</f>
        <v/>
      </c>
    </row>
    <row r="78101">
      <c r="A78101" s="1" t="n">
        <v>78100</v>
      </c>
      <c r="B78101">
        <f>TEXT(78100, "[$-0E0000]yyyy-mm-dd")</f>
        <v/>
      </c>
    </row>
    <row r="78102">
      <c r="A78102" s="1" t="n">
        <v>78101</v>
      </c>
      <c r="B78102">
        <f>TEXT(78101, "[$-0E0000]yyyy-mm-dd")</f>
        <v/>
      </c>
    </row>
    <row r="78103">
      <c r="A78103" s="1" t="n">
        <v>78102</v>
      </c>
      <c r="B78103">
        <f>TEXT(78102, "[$-0E0000]yyyy-mm-dd")</f>
        <v/>
      </c>
    </row>
    <row r="78104">
      <c r="A78104" s="1" t="n">
        <v>78103</v>
      </c>
      <c r="B78104">
        <f>TEXT(78103, "[$-0E0000]yyyy-mm-dd")</f>
        <v/>
      </c>
    </row>
    <row r="78105">
      <c r="A78105" s="1" t="n">
        <v>78104</v>
      </c>
      <c r="B78105">
        <f>TEXT(78104, "[$-0E0000]yyyy-mm-dd")</f>
        <v/>
      </c>
    </row>
    <row r="78106">
      <c r="A78106" s="1" t="n">
        <v>78105</v>
      </c>
      <c r="B78106">
        <f>TEXT(78105, "[$-0E0000]yyyy-mm-dd")</f>
        <v/>
      </c>
    </row>
    <row r="78107">
      <c r="A78107" s="1" t="n">
        <v>78106</v>
      </c>
      <c r="B78107">
        <f>TEXT(78106, "[$-0E0000]yyyy-mm-dd")</f>
        <v/>
      </c>
    </row>
    <row r="78108">
      <c r="A78108" s="1" t="n">
        <v>78107</v>
      </c>
      <c r="B78108">
        <f>TEXT(78107, "[$-0E0000]yyyy-mm-dd")</f>
        <v/>
      </c>
    </row>
    <row r="78109">
      <c r="A78109" s="1" t="n">
        <v>78108</v>
      </c>
      <c r="B78109">
        <f>TEXT(78108, "[$-0E0000]yyyy-mm-dd")</f>
        <v/>
      </c>
    </row>
    <row r="78110">
      <c r="A78110" s="1" t="n">
        <v>78109</v>
      </c>
      <c r="B78110">
        <f>TEXT(78109, "[$-0E0000]yyyy-mm-dd")</f>
        <v/>
      </c>
    </row>
    <row r="78111">
      <c r="A78111" s="1" t="n">
        <v>78110</v>
      </c>
      <c r="B78111">
        <f>TEXT(78110, "[$-0E0000]yyyy-mm-dd")</f>
        <v/>
      </c>
    </row>
    <row r="78112">
      <c r="A78112" s="1" t="n">
        <v>78111</v>
      </c>
      <c r="B78112">
        <f>TEXT(78111, "[$-0E0000]yyyy-mm-dd")</f>
        <v/>
      </c>
    </row>
    <row r="78113">
      <c r="A78113" s="1" t="n">
        <v>78112</v>
      </c>
      <c r="B78113">
        <f>TEXT(78112, "[$-0E0000]yyyy-mm-dd")</f>
        <v/>
      </c>
    </row>
    <row r="78114">
      <c r="A78114" s="1" t="n">
        <v>78113</v>
      </c>
      <c r="B78114">
        <f>TEXT(78113, "[$-0E0000]yyyy-mm-dd")</f>
        <v/>
      </c>
    </row>
    <row r="78115">
      <c r="A78115" s="1" t="n">
        <v>78114</v>
      </c>
      <c r="B78115">
        <f>TEXT(78114, "[$-0E0000]yyyy-mm-dd")</f>
        <v/>
      </c>
    </row>
    <row r="78116">
      <c r="A78116" s="1" t="n">
        <v>78115</v>
      </c>
      <c r="B78116">
        <f>TEXT(78115, "[$-0E0000]yyyy-mm-dd")</f>
        <v/>
      </c>
    </row>
    <row r="78117">
      <c r="A78117" s="1" t="n">
        <v>78116</v>
      </c>
      <c r="B78117">
        <f>TEXT(78116, "[$-0E0000]yyyy-mm-dd")</f>
        <v/>
      </c>
    </row>
    <row r="78118">
      <c r="A78118" s="1" t="n">
        <v>78117</v>
      </c>
      <c r="B78118">
        <f>TEXT(78117, "[$-0E0000]yyyy-mm-dd")</f>
        <v/>
      </c>
    </row>
    <row r="78119">
      <c r="A78119" s="1" t="n">
        <v>78118</v>
      </c>
      <c r="B78119">
        <f>TEXT(78118, "[$-0E0000]yyyy-mm-dd")</f>
        <v/>
      </c>
    </row>
    <row r="78120">
      <c r="A78120" s="1" t="n">
        <v>78119</v>
      </c>
      <c r="B78120">
        <f>TEXT(78119, "[$-0E0000]yyyy-mm-dd")</f>
        <v/>
      </c>
    </row>
    <row r="78121">
      <c r="A78121" s="1" t="n">
        <v>78120</v>
      </c>
      <c r="B78121">
        <f>TEXT(78120, "[$-0E0000]yyyy-mm-dd")</f>
        <v/>
      </c>
    </row>
    <row r="78122">
      <c r="A78122" s="1" t="n">
        <v>78121</v>
      </c>
      <c r="B78122">
        <f>TEXT(78121, "[$-0E0000]yyyy-mm-dd")</f>
        <v/>
      </c>
    </row>
    <row r="78123">
      <c r="A78123" s="1" t="n">
        <v>78122</v>
      </c>
      <c r="B78123">
        <f>TEXT(78122, "[$-0E0000]yyyy-mm-dd")</f>
        <v/>
      </c>
    </row>
    <row r="78124">
      <c r="A78124" s="1" t="n">
        <v>78123</v>
      </c>
      <c r="B78124">
        <f>TEXT(78123, "[$-0E0000]yyyy-mm-dd")</f>
        <v/>
      </c>
    </row>
    <row r="78125">
      <c r="A78125" s="1" t="n">
        <v>78124</v>
      </c>
      <c r="B78125">
        <f>TEXT(78124, "[$-0E0000]yyyy-mm-dd")</f>
        <v/>
      </c>
    </row>
    <row r="78126">
      <c r="A78126" s="1" t="n">
        <v>78125</v>
      </c>
      <c r="B78126">
        <f>TEXT(78125, "[$-0E0000]yyyy-mm-dd")</f>
        <v/>
      </c>
    </row>
    <row r="78127">
      <c r="A78127" s="1" t="n">
        <v>78126</v>
      </c>
      <c r="B78127">
        <f>TEXT(78126, "[$-0E0000]yyyy-mm-dd")</f>
        <v/>
      </c>
    </row>
    <row r="78128">
      <c r="A78128" s="1" t="n">
        <v>78127</v>
      </c>
      <c r="B78128">
        <f>TEXT(78127, "[$-0E0000]yyyy-mm-dd")</f>
        <v/>
      </c>
    </row>
    <row r="78129">
      <c r="A78129" s="1" t="n">
        <v>78128</v>
      </c>
      <c r="B78129">
        <f>TEXT(78128, "[$-0E0000]yyyy-mm-dd")</f>
        <v/>
      </c>
    </row>
    <row r="78130">
      <c r="A78130" s="1" t="n">
        <v>78129</v>
      </c>
      <c r="B78130">
        <f>TEXT(78129, "[$-0E0000]yyyy-mm-dd")</f>
        <v/>
      </c>
    </row>
    <row r="78131">
      <c r="A78131" s="1" t="n">
        <v>78130</v>
      </c>
      <c r="B78131">
        <f>TEXT(78130, "[$-0E0000]yyyy-mm-dd")</f>
        <v/>
      </c>
    </row>
    <row r="78132">
      <c r="A78132" s="1" t="n">
        <v>78131</v>
      </c>
      <c r="B78132">
        <f>TEXT(78131, "[$-0E0000]yyyy-mm-dd")</f>
        <v/>
      </c>
    </row>
    <row r="78133">
      <c r="A78133" s="1" t="n">
        <v>78132</v>
      </c>
      <c r="B78133">
        <f>TEXT(78132, "[$-0E0000]yyyy-mm-dd")</f>
        <v/>
      </c>
    </row>
    <row r="78134">
      <c r="A78134" s="1" t="n">
        <v>78133</v>
      </c>
      <c r="B78134">
        <f>TEXT(78133, "[$-0E0000]yyyy-mm-dd")</f>
        <v/>
      </c>
    </row>
    <row r="78135">
      <c r="A78135" s="1" t="n">
        <v>78134</v>
      </c>
      <c r="B78135">
        <f>TEXT(78134, "[$-0E0000]yyyy-mm-dd")</f>
        <v/>
      </c>
    </row>
    <row r="78136">
      <c r="A78136" s="1" t="n">
        <v>78135</v>
      </c>
      <c r="B78136">
        <f>TEXT(78135, "[$-0E0000]yyyy-mm-dd")</f>
        <v/>
      </c>
    </row>
    <row r="78137">
      <c r="A78137" s="1" t="n">
        <v>78136</v>
      </c>
      <c r="B78137">
        <f>TEXT(78136, "[$-0E0000]yyyy-mm-dd")</f>
        <v/>
      </c>
    </row>
    <row r="78138">
      <c r="A78138" s="1" t="n">
        <v>78137</v>
      </c>
      <c r="B78138">
        <f>TEXT(78137, "[$-0E0000]yyyy-mm-dd")</f>
        <v/>
      </c>
    </row>
    <row r="78139">
      <c r="A78139" s="1" t="n">
        <v>78138</v>
      </c>
      <c r="B78139">
        <f>TEXT(78138, "[$-0E0000]yyyy-mm-dd")</f>
        <v/>
      </c>
    </row>
    <row r="78140">
      <c r="A78140" s="1" t="n">
        <v>78139</v>
      </c>
      <c r="B78140">
        <f>TEXT(78139, "[$-0E0000]yyyy-mm-dd")</f>
        <v/>
      </c>
    </row>
    <row r="78141">
      <c r="A78141" s="1" t="n">
        <v>78140</v>
      </c>
      <c r="B78141">
        <f>TEXT(78140, "[$-0E0000]yyyy-mm-dd")</f>
        <v/>
      </c>
    </row>
    <row r="78142">
      <c r="A78142" s="1" t="n">
        <v>78141</v>
      </c>
      <c r="B78142">
        <f>TEXT(78141, "[$-0E0000]yyyy-mm-dd")</f>
        <v/>
      </c>
    </row>
    <row r="78143">
      <c r="A78143" s="1" t="n">
        <v>78142</v>
      </c>
      <c r="B78143">
        <f>TEXT(78142, "[$-0E0000]yyyy-mm-dd")</f>
        <v/>
      </c>
    </row>
    <row r="78144">
      <c r="A78144" s="1" t="n">
        <v>78143</v>
      </c>
      <c r="B78144">
        <f>TEXT(78143, "[$-0E0000]yyyy-mm-dd")</f>
        <v/>
      </c>
    </row>
    <row r="78145">
      <c r="A78145" s="1" t="n">
        <v>78144</v>
      </c>
      <c r="B78145">
        <f>TEXT(78144, "[$-0E0000]yyyy-mm-dd")</f>
        <v/>
      </c>
    </row>
    <row r="78146">
      <c r="A78146" s="1" t="n">
        <v>78145</v>
      </c>
      <c r="B78146">
        <f>TEXT(78145, "[$-0E0000]yyyy-mm-dd")</f>
        <v/>
      </c>
    </row>
    <row r="78147">
      <c r="A78147" s="1" t="n">
        <v>78146</v>
      </c>
      <c r="B78147">
        <f>TEXT(78146, "[$-0E0000]yyyy-mm-dd")</f>
        <v/>
      </c>
    </row>
    <row r="78148">
      <c r="A78148" s="1" t="n">
        <v>78147</v>
      </c>
      <c r="B78148">
        <f>TEXT(78147, "[$-0E0000]yyyy-mm-dd")</f>
        <v/>
      </c>
    </row>
    <row r="78149">
      <c r="A78149" s="1" t="n">
        <v>78148</v>
      </c>
      <c r="B78149">
        <f>TEXT(78148, "[$-0E0000]yyyy-mm-dd")</f>
        <v/>
      </c>
    </row>
    <row r="78150">
      <c r="A78150" s="1" t="n">
        <v>78149</v>
      </c>
      <c r="B78150">
        <f>TEXT(78149, "[$-0E0000]yyyy-mm-dd")</f>
        <v/>
      </c>
    </row>
    <row r="78151">
      <c r="A78151" s="1" t="n">
        <v>78150</v>
      </c>
      <c r="B78151">
        <f>TEXT(78150, "[$-0E0000]yyyy-mm-dd")</f>
        <v/>
      </c>
    </row>
    <row r="78152">
      <c r="A78152" s="1" t="n">
        <v>78151</v>
      </c>
      <c r="B78152">
        <f>TEXT(78151, "[$-0E0000]yyyy-mm-dd")</f>
        <v/>
      </c>
    </row>
    <row r="78153">
      <c r="A78153" s="1" t="n">
        <v>78152</v>
      </c>
      <c r="B78153">
        <f>TEXT(78152, "[$-0E0000]yyyy-mm-dd")</f>
        <v/>
      </c>
    </row>
    <row r="78154">
      <c r="A78154" s="1" t="n">
        <v>78153</v>
      </c>
      <c r="B78154">
        <f>TEXT(78153, "[$-0E0000]yyyy-mm-dd")</f>
        <v/>
      </c>
    </row>
    <row r="78155">
      <c r="A78155" s="1" t="n">
        <v>78154</v>
      </c>
      <c r="B78155">
        <f>TEXT(78154, "[$-0E0000]yyyy-mm-dd")</f>
        <v/>
      </c>
    </row>
    <row r="78156">
      <c r="A78156" s="1" t="n">
        <v>78155</v>
      </c>
      <c r="B78156">
        <f>TEXT(78155, "[$-0E0000]yyyy-mm-dd")</f>
        <v/>
      </c>
    </row>
    <row r="78157">
      <c r="A78157" s="1" t="n">
        <v>78156</v>
      </c>
      <c r="B78157">
        <f>TEXT(78156, "[$-0E0000]yyyy-mm-dd")</f>
        <v/>
      </c>
    </row>
    <row r="78158">
      <c r="A78158" s="1" t="n">
        <v>78157</v>
      </c>
      <c r="B78158">
        <f>TEXT(78157, "[$-0E0000]yyyy-mm-dd")</f>
        <v/>
      </c>
    </row>
    <row r="78159">
      <c r="A78159" s="1" t="n">
        <v>78158</v>
      </c>
      <c r="B78159">
        <f>TEXT(78158, "[$-0E0000]yyyy-mm-dd")</f>
        <v/>
      </c>
    </row>
    <row r="78160">
      <c r="A78160" s="1" t="n">
        <v>78159</v>
      </c>
      <c r="B78160">
        <f>TEXT(78159, "[$-0E0000]yyyy-mm-dd")</f>
        <v/>
      </c>
    </row>
    <row r="78161">
      <c r="A78161" s="1" t="n">
        <v>78160</v>
      </c>
      <c r="B78161">
        <f>TEXT(78160, "[$-0E0000]yyyy-mm-dd")</f>
        <v/>
      </c>
    </row>
    <row r="78162">
      <c r="A78162" s="1" t="n">
        <v>78161</v>
      </c>
      <c r="B78162">
        <f>TEXT(78161, "[$-0E0000]yyyy-mm-dd")</f>
        <v/>
      </c>
    </row>
    <row r="78163">
      <c r="A78163" s="1" t="n">
        <v>78162</v>
      </c>
      <c r="B78163">
        <f>TEXT(78162, "[$-0E0000]yyyy-mm-dd")</f>
        <v/>
      </c>
    </row>
    <row r="78164">
      <c r="A78164" s="1" t="n">
        <v>78163</v>
      </c>
      <c r="B78164">
        <f>TEXT(78163, "[$-0E0000]yyyy-mm-dd")</f>
        <v/>
      </c>
    </row>
    <row r="78165">
      <c r="A78165" s="1" t="n">
        <v>78164</v>
      </c>
      <c r="B78165">
        <f>TEXT(78164, "[$-0E0000]yyyy-mm-dd")</f>
        <v/>
      </c>
    </row>
    <row r="78166">
      <c r="A78166" s="1" t="n">
        <v>78165</v>
      </c>
      <c r="B78166">
        <f>TEXT(78165, "[$-0E0000]yyyy-mm-dd")</f>
        <v/>
      </c>
    </row>
    <row r="78167">
      <c r="A78167" s="1" t="n">
        <v>78166</v>
      </c>
      <c r="B78167">
        <f>TEXT(78166, "[$-0E0000]yyyy-mm-dd")</f>
        <v/>
      </c>
    </row>
    <row r="78168">
      <c r="A78168" s="1" t="n">
        <v>78167</v>
      </c>
      <c r="B78168">
        <f>TEXT(78167, "[$-0E0000]yyyy-mm-dd")</f>
        <v/>
      </c>
    </row>
    <row r="78169">
      <c r="A78169" s="1" t="n">
        <v>78168</v>
      </c>
      <c r="B78169">
        <f>TEXT(78168, "[$-0E0000]yyyy-mm-dd")</f>
        <v/>
      </c>
    </row>
    <row r="78170">
      <c r="A78170" s="1" t="n">
        <v>78169</v>
      </c>
      <c r="B78170">
        <f>TEXT(78169, "[$-0E0000]yyyy-mm-dd")</f>
        <v/>
      </c>
    </row>
    <row r="78171">
      <c r="A78171" s="1" t="n">
        <v>78170</v>
      </c>
      <c r="B78171">
        <f>TEXT(78170, "[$-0E0000]yyyy-mm-dd")</f>
        <v/>
      </c>
    </row>
    <row r="78172">
      <c r="A78172" s="1" t="n">
        <v>78171</v>
      </c>
      <c r="B78172">
        <f>TEXT(78171, "[$-0E0000]yyyy-mm-dd")</f>
        <v/>
      </c>
    </row>
    <row r="78173">
      <c r="A78173" s="1" t="n">
        <v>78172</v>
      </c>
      <c r="B78173">
        <f>TEXT(78172, "[$-0E0000]yyyy-mm-dd")</f>
        <v/>
      </c>
    </row>
    <row r="78174">
      <c r="A78174" s="1" t="n">
        <v>78173</v>
      </c>
      <c r="B78174">
        <f>TEXT(78173, "[$-0E0000]yyyy-mm-dd")</f>
        <v/>
      </c>
    </row>
    <row r="78175">
      <c r="A78175" s="1" t="n">
        <v>78174</v>
      </c>
      <c r="B78175">
        <f>TEXT(78174, "[$-0E0000]yyyy-mm-dd")</f>
        <v/>
      </c>
    </row>
    <row r="78176">
      <c r="A78176" s="1" t="n">
        <v>78175</v>
      </c>
      <c r="B78176">
        <f>TEXT(78175, "[$-0E0000]yyyy-mm-dd")</f>
        <v/>
      </c>
    </row>
    <row r="78177">
      <c r="A78177" s="1" t="n">
        <v>78176</v>
      </c>
      <c r="B78177">
        <f>TEXT(78176, "[$-0E0000]yyyy-mm-dd")</f>
        <v/>
      </c>
    </row>
    <row r="78178">
      <c r="A78178" s="1" t="n">
        <v>78177</v>
      </c>
      <c r="B78178">
        <f>TEXT(78177, "[$-0E0000]yyyy-mm-dd")</f>
        <v/>
      </c>
    </row>
    <row r="78179">
      <c r="A78179" s="1" t="n">
        <v>78178</v>
      </c>
      <c r="B78179">
        <f>TEXT(78178, "[$-0E0000]yyyy-mm-dd")</f>
        <v/>
      </c>
    </row>
    <row r="78180">
      <c r="A78180" s="1" t="n">
        <v>78179</v>
      </c>
      <c r="B78180">
        <f>TEXT(78179, "[$-0E0000]yyyy-mm-dd")</f>
        <v/>
      </c>
    </row>
    <row r="78181">
      <c r="A78181" s="1" t="n">
        <v>78180</v>
      </c>
      <c r="B78181">
        <f>TEXT(78180, "[$-0E0000]yyyy-mm-dd")</f>
        <v/>
      </c>
    </row>
    <row r="78182">
      <c r="A78182" s="1" t="n">
        <v>78181</v>
      </c>
      <c r="B78182">
        <f>TEXT(78181, "[$-0E0000]yyyy-mm-dd")</f>
        <v/>
      </c>
    </row>
    <row r="78183">
      <c r="A78183" s="1" t="n">
        <v>78182</v>
      </c>
      <c r="B78183">
        <f>TEXT(78182, "[$-0E0000]yyyy-mm-dd")</f>
        <v/>
      </c>
    </row>
    <row r="78184">
      <c r="A78184" s="1" t="n">
        <v>78183</v>
      </c>
      <c r="B78184">
        <f>TEXT(78183, "[$-0E0000]yyyy-mm-dd")</f>
        <v/>
      </c>
    </row>
    <row r="78185">
      <c r="A78185" s="1" t="n">
        <v>78184</v>
      </c>
      <c r="B78185">
        <f>TEXT(78184, "[$-0E0000]yyyy-mm-dd")</f>
        <v/>
      </c>
    </row>
    <row r="78186">
      <c r="A78186" s="1" t="n">
        <v>78185</v>
      </c>
      <c r="B78186">
        <f>TEXT(78185, "[$-0E0000]yyyy-mm-dd")</f>
        <v/>
      </c>
    </row>
    <row r="78187">
      <c r="A78187" s="1" t="n">
        <v>78186</v>
      </c>
      <c r="B78187">
        <f>TEXT(78186, "[$-0E0000]yyyy-mm-dd")</f>
        <v/>
      </c>
    </row>
    <row r="78188">
      <c r="A78188" s="1" t="n">
        <v>78187</v>
      </c>
      <c r="B78188">
        <f>TEXT(78187, "[$-0E0000]yyyy-mm-dd")</f>
        <v/>
      </c>
    </row>
    <row r="78189">
      <c r="A78189" s="1" t="n">
        <v>78188</v>
      </c>
      <c r="B78189">
        <f>TEXT(78188, "[$-0E0000]yyyy-mm-dd")</f>
        <v/>
      </c>
    </row>
    <row r="78190">
      <c r="A78190" s="1" t="n">
        <v>78189</v>
      </c>
      <c r="B78190">
        <f>TEXT(78189, "[$-0E0000]yyyy-mm-dd")</f>
        <v/>
      </c>
    </row>
    <row r="78191">
      <c r="A78191" s="1" t="n">
        <v>78190</v>
      </c>
      <c r="B78191">
        <f>TEXT(78190, "[$-0E0000]yyyy-mm-dd")</f>
        <v/>
      </c>
    </row>
    <row r="78192">
      <c r="A78192" s="1" t="n">
        <v>78191</v>
      </c>
      <c r="B78192">
        <f>TEXT(78191, "[$-0E0000]yyyy-mm-dd")</f>
        <v/>
      </c>
    </row>
    <row r="78193">
      <c r="A78193" s="1" t="n">
        <v>78192</v>
      </c>
      <c r="B78193">
        <f>TEXT(78192, "[$-0E0000]yyyy-mm-dd")</f>
        <v/>
      </c>
    </row>
    <row r="78194">
      <c r="A78194" s="1" t="n">
        <v>78193</v>
      </c>
      <c r="B78194">
        <f>TEXT(78193, "[$-0E0000]yyyy-mm-dd")</f>
        <v/>
      </c>
    </row>
    <row r="78195">
      <c r="A78195" s="1" t="n">
        <v>78194</v>
      </c>
      <c r="B78195">
        <f>TEXT(78194, "[$-0E0000]yyyy-mm-dd")</f>
        <v/>
      </c>
    </row>
    <row r="78196">
      <c r="A78196" s="1" t="n">
        <v>78195</v>
      </c>
      <c r="B78196">
        <f>TEXT(78195, "[$-0E0000]yyyy-mm-dd")</f>
        <v/>
      </c>
    </row>
    <row r="78197">
      <c r="A78197" s="1" t="n">
        <v>78196</v>
      </c>
      <c r="B78197">
        <f>TEXT(78196, "[$-0E0000]yyyy-mm-dd")</f>
        <v/>
      </c>
    </row>
    <row r="78198">
      <c r="A78198" s="1" t="n">
        <v>78197</v>
      </c>
      <c r="B78198">
        <f>TEXT(78197, "[$-0E0000]yyyy-mm-dd")</f>
        <v/>
      </c>
    </row>
    <row r="78199">
      <c r="A78199" s="1" t="n">
        <v>78198</v>
      </c>
      <c r="B78199">
        <f>TEXT(78198, "[$-0E0000]yyyy-mm-dd")</f>
        <v/>
      </c>
    </row>
    <row r="78200">
      <c r="A78200" s="1" t="n">
        <v>78199</v>
      </c>
      <c r="B78200">
        <f>TEXT(78199, "[$-0E0000]yyyy-mm-dd")</f>
        <v/>
      </c>
    </row>
    <row r="78201">
      <c r="A78201" s="1" t="n">
        <v>78200</v>
      </c>
      <c r="B78201">
        <f>TEXT(78200, "[$-0E0000]yyyy-mm-dd")</f>
        <v/>
      </c>
    </row>
    <row r="78202">
      <c r="A78202" s="1" t="n">
        <v>78201</v>
      </c>
      <c r="B78202">
        <f>TEXT(78201, "[$-0E0000]yyyy-mm-dd")</f>
        <v/>
      </c>
    </row>
    <row r="78203">
      <c r="A78203" s="1" t="n">
        <v>78202</v>
      </c>
      <c r="B78203">
        <f>TEXT(78202, "[$-0E0000]yyyy-mm-dd")</f>
        <v/>
      </c>
    </row>
    <row r="78204">
      <c r="A78204" s="1" t="n">
        <v>78203</v>
      </c>
      <c r="B78204">
        <f>TEXT(78203, "[$-0E0000]yyyy-mm-dd")</f>
        <v/>
      </c>
    </row>
    <row r="78205">
      <c r="A78205" s="1" t="n">
        <v>78204</v>
      </c>
      <c r="B78205">
        <f>TEXT(78204, "[$-0E0000]yyyy-mm-dd")</f>
        <v/>
      </c>
    </row>
    <row r="78206">
      <c r="A78206" s="1" t="n">
        <v>78205</v>
      </c>
      <c r="B78206">
        <f>TEXT(78205, "[$-0E0000]yyyy-mm-dd")</f>
        <v/>
      </c>
    </row>
    <row r="78207">
      <c r="A78207" s="1" t="n">
        <v>78206</v>
      </c>
      <c r="B78207">
        <f>TEXT(78206, "[$-0E0000]yyyy-mm-dd")</f>
        <v/>
      </c>
    </row>
    <row r="78208">
      <c r="A78208" s="1" t="n">
        <v>78207</v>
      </c>
      <c r="B78208">
        <f>TEXT(78207, "[$-0E0000]yyyy-mm-dd")</f>
        <v/>
      </c>
    </row>
    <row r="78209">
      <c r="A78209" s="1" t="n">
        <v>78208</v>
      </c>
      <c r="B78209">
        <f>TEXT(78208, "[$-0E0000]yyyy-mm-dd")</f>
        <v/>
      </c>
    </row>
    <row r="78210">
      <c r="A78210" s="1" t="n">
        <v>78209</v>
      </c>
      <c r="B78210">
        <f>TEXT(78209, "[$-0E0000]yyyy-mm-dd")</f>
        <v/>
      </c>
    </row>
    <row r="78211">
      <c r="A78211" s="1" t="n">
        <v>78210</v>
      </c>
      <c r="B78211">
        <f>TEXT(78210, "[$-0E0000]yyyy-mm-dd")</f>
        <v/>
      </c>
    </row>
    <row r="78212">
      <c r="A78212" s="1" t="n">
        <v>78211</v>
      </c>
      <c r="B78212">
        <f>TEXT(78211, "[$-0E0000]yyyy-mm-dd")</f>
        <v/>
      </c>
    </row>
    <row r="78213">
      <c r="A78213" s="1" t="n">
        <v>78212</v>
      </c>
      <c r="B78213">
        <f>TEXT(78212, "[$-0E0000]yyyy-mm-dd")</f>
        <v/>
      </c>
    </row>
    <row r="78214">
      <c r="A78214" s="1" t="n">
        <v>78213</v>
      </c>
      <c r="B78214">
        <f>TEXT(78213, "[$-0E0000]yyyy-mm-dd")</f>
        <v/>
      </c>
    </row>
    <row r="78215">
      <c r="A78215" s="1" t="n">
        <v>78214</v>
      </c>
      <c r="B78215">
        <f>TEXT(78214, "[$-0E0000]yyyy-mm-dd")</f>
        <v/>
      </c>
    </row>
    <row r="78216">
      <c r="A78216" s="1" t="n">
        <v>78215</v>
      </c>
      <c r="B78216">
        <f>TEXT(78215, "[$-0E0000]yyyy-mm-dd")</f>
        <v/>
      </c>
    </row>
    <row r="78217">
      <c r="A78217" s="1" t="n">
        <v>78216</v>
      </c>
      <c r="B78217">
        <f>TEXT(78216, "[$-0E0000]yyyy-mm-dd")</f>
        <v/>
      </c>
    </row>
    <row r="78218">
      <c r="A78218" s="1" t="n">
        <v>78217</v>
      </c>
      <c r="B78218">
        <f>TEXT(78217, "[$-0E0000]yyyy-mm-dd")</f>
        <v/>
      </c>
    </row>
    <row r="78219">
      <c r="A78219" s="1" t="n">
        <v>78218</v>
      </c>
      <c r="B78219">
        <f>TEXT(78218, "[$-0E0000]yyyy-mm-dd")</f>
        <v/>
      </c>
    </row>
    <row r="78220">
      <c r="A78220" s="1" t="n">
        <v>78219</v>
      </c>
      <c r="B78220">
        <f>TEXT(78219, "[$-0E0000]yyyy-mm-dd")</f>
        <v/>
      </c>
    </row>
    <row r="78221">
      <c r="A78221" s="1" t="n">
        <v>78220</v>
      </c>
      <c r="B78221">
        <f>TEXT(78220, "[$-0E0000]yyyy-mm-dd")</f>
        <v/>
      </c>
    </row>
    <row r="78222">
      <c r="A78222" s="1" t="n">
        <v>78221</v>
      </c>
      <c r="B78222">
        <f>TEXT(78221, "[$-0E0000]yyyy-mm-dd")</f>
        <v/>
      </c>
    </row>
    <row r="78223">
      <c r="A78223" s="1" t="n">
        <v>78222</v>
      </c>
      <c r="B78223">
        <f>TEXT(78222, "[$-0E0000]yyyy-mm-dd")</f>
        <v/>
      </c>
    </row>
    <row r="78224">
      <c r="A78224" s="1" t="n">
        <v>78223</v>
      </c>
      <c r="B78224">
        <f>TEXT(78223, "[$-0E0000]yyyy-mm-dd")</f>
        <v/>
      </c>
    </row>
    <row r="78225">
      <c r="A78225" s="1" t="n">
        <v>78224</v>
      </c>
      <c r="B78225">
        <f>TEXT(78224, "[$-0E0000]yyyy-mm-dd")</f>
        <v/>
      </c>
    </row>
    <row r="78226">
      <c r="A78226" s="1" t="n">
        <v>78225</v>
      </c>
      <c r="B78226">
        <f>TEXT(78225, "[$-0E0000]yyyy-mm-dd")</f>
        <v/>
      </c>
    </row>
    <row r="78227">
      <c r="A78227" s="1" t="n">
        <v>78226</v>
      </c>
      <c r="B78227">
        <f>TEXT(78226, "[$-0E0000]yyyy-mm-dd")</f>
        <v/>
      </c>
    </row>
    <row r="78228">
      <c r="A78228" s="1" t="n">
        <v>78227</v>
      </c>
      <c r="B78228">
        <f>TEXT(78227, "[$-0E0000]yyyy-mm-dd")</f>
        <v/>
      </c>
    </row>
    <row r="78229">
      <c r="A78229" s="1" t="n">
        <v>78228</v>
      </c>
      <c r="B78229">
        <f>TEXT(78228, "[$-0E0000]yyyy-mm-dd")</f>
        <v/>
      </c>
    </row>
    <row r="78230">
      <c r="A78230" s="1" t="n">
        <v>78229</v>
      </c>
      <c r="B78230">
        <f>TEXT(78229, "[$-0E0000]yyyy-mm-dd")</f>
        <v/>
      </c>
    </row>
    <row r="78231">
      <c r="A78231" s="1" t="n">
        <v>78230</v>
      </c>
      <c r="B78231">
        <f>TEXT(78230, "[$-0E0000]yyyy-mm-dd")</f>
        <v/>
      </c>
    </row>
    <row r="78232">
      <c r="A78232" s="1" t="n">
        <v>78231</v>
      </c>
      <c r="B78232">
        <f>TEXT(78231, "[$-0E0000]yyyy-mm-dd")</f>
        <v/>
      </c>
    </row>
    <row r="78233">
      <c r="A78233" s="1" t="n">
        <v>78232</v>
      </c>
      <c r="B78233">
        <f>TEXT(78232, "[$-0E0000]yyyy-mm-dd")</f>
        <v/>
      </c>
    </row>
    <row r="78234">
      <c r="A78234" s="1" t="n">
        <v>78233</v>
      </c>
      <c r="B78234">
        <f>TEXT(78233, "[$-0E0000]yyyy-mm-dd")</f>
        <v/>
      </c>
    </row>
    <row r="78235">
      <c r="A78235" s="1" t="n">
        <v>78234</v>
      </c>
      <c r="B78235">
        <f>TEXT(78234, "[$-0E0000]yyyy-mm-dd")</f>
        <v/>
      </c>
    </row>
    <row r="78236">
      <c r="A78236" s="1" t="n">
        <v>78235</v>
      </c>
      <c r="B78236">
        <f>TEXT(78235, "[$-0E0000]yyyy-mm-dd")</f>
        <v/>
      </c>
    </row>
    <row r="78237">
      <c r="A78237" s="1" t="n">
        <v>78236</v>
      </c>
      <c r="B78237">
        <f>TEXT(78236, "[$-0E0000]yyyy-mm-dd")</f>
        <v/>
      </c>
    </row>
    <row r="78238">
      <c r="A78238" s="1" t="n">
        <v>78237</v>
      </c>
      <c r="B78238">
        <f>TEXT(78237, "[$-0E0000]yyyy-mm-dd")</f>
        <v/>
      </c>
    </row>
    <row r="78239">
      <c r="A78239" s="1" t="n">
        <v>78238</v>
      </c>
      <c r="B78239">
        <f>TEXT(78238, "[$-0E0000]yyyy-mm-dd")</f>
        <v/>
      </c>
    </row>
    <row r="78240">
      <c r="A78240" s="1" t="n">
        <v>78239</v>
      </c>
      <c r="B78240">
        <f>TEXT(78239, "[$-0E0000]yyyy-mm-dd")</f>
        <v/>
      </c>
    </row>
    <row r="78241">
      <c r="A78241" s="1" t="n">
        <v>78240</v>
      </c>
      <c r="B78241">
        <f>TEXT(78240, "[$-0E0000]yyyy-mm-dd")</f>
        <v/>
      </c>
    </row>
    <row r="78242">
      <c r="A78242" s="1" t="n">
        <v>78241</v>
      </c>
      <c r="B78242">
        <f>TEXT(78241, "[$-0E0000]yyyy-mm-dd")</f>
        <v/>
      </c>
    </row>
    <row r="78243">
      <c r="A78243" s="1" t="n">
        <v>78242</v>
      </c>
      <c r="B78243">
        <f>TEXT(78242, "[$-0E0000]yyyy-mm-dd")</f>
        <v/>
      </c>
    </row>
    <row r="78244">
      <c r="A78244" s="1" t="n">
        <v>78243</v>
      </c>
      <c r="B78244">
        <f>TEXT(78243, "[$-0E0000]yyyy-mm-dd")</f>
        <v/>
      </c>
    </row>
    <row r="78245">
      <c r="A78245" s="1" t="n">
        <v>78244</v>
      </c>
      <c r="B78245">
        <f>TEXT(78244, "[$-0E0000]yyyy-mm-dd")</f>
        <v/>
      </c>
    </row>
    <row r="78246">
      <c r="A78246" s="1" t="n">
        <v>78245</v>
      </c>
      <c r="B78246">
        <f>TEXT(78245, "[$-0E0000]yyyy-mm-dd")</f>
        <v/>
      </c>
    </row>
    <row r="78247">
      <c r="A78247" s="1" t="n">
        <v>78246</v>
      </c>
      <c r="B78247">
        <f>TEXT(78246, "[$-0E0000]yyyy-mm-dd")</f>
        <v/>
      </c>
    </row>
    <row r="78248">
      <c r="A78248" s="1" t="n">
        <v>78247</v>
      </c>
      <c r="B78248">
        <f>TEXT(78247, "[$-0E0000]yyyy-mm-dd")</f>
        <v/>
      </c>
    </row>
    <row r="78249">
      <c r="A78249" s="1" t="n">
        <v>78248</v>
      </c>
      <c r="B78249">
        <f>TEXT(78248, "[$-0E0000]yyyy-mm-dd")</f>
        <v/>
      </c>
    </row>
    <row r="78250">
      <c r="A78250" s="1" t="n">
        <v>78249</v>
      </c>
      <c r="B78250">
        <f>TEXT(78249, "[$-0E0000]yyyy-mm-dd")</f>
        <v/>
      </c>
    </row>
    <row r="78251">
      <c r="A78251" s="1" t="n">
        <v>78250</v>
      </c>
      <c r="B78251">
        <f>TEXT(78250, "[$-0E0000]yyyy-mm-dd")</f>
        <v/>
      </c>
    </row>
    <row r="78252">
      <c r="A78252" s="1" t="n">
        <v>78251</v>
      </c>
      <c r="B78252">
        <f>TEXT(78251, "[$-0E0000]yyyy-mm-dd")</f>
        <v/>
      </c>
    </row>
    <row r="78253">
      <c r="A78253" s="1" t="n">
        <v>78252</v>
      </c>
      <c r="B78253">
        <f>TEXT(78252, "[$-0E0000]yyyy-mm-dd")</f>
        <v/>
      </c>
    </row>
    <row r="78254">
      <c r="A78254" s="1" t="n">
        <v>78253</v>
      </c>
      <c r="B78254">
        <f>TEXT(78253, "[$-0E0000]yyyy-mm-dd")</f>
        <v/>
      </c>
    </row>
    <row r="78255">
      <c r="A78255" s="1" t="n">
        <v>78254</v>
      </c>
      <c r="B78255">
        <f>TEXT(78254, "[$-0E0000]yyyy-mm-dd")</f>
        <v/>
      </c>
    </row>
    <row r="78256">
      <c r="A78256" s="1" t="n">
        <v>78255</v>
      </c>
      <c r="B78256">
        <f>TEXT(78255, "[$-0E0000]yyyy-mm-dd")</f>
        <v/>
      </c>
    </row>
    <row r="78257">
      <c r="A78257" s="1" t="n">
        <v>78256</v>
      </c>
      <c r="B78257">
        <f>TEXT(78256, "[$-0E0000]yyyy-mm-dd")</f>
        <v/>
      </c>
    </row>
    <row r="78258">
      <c r="A78258" s="1" t="n">
        <v>78257</v>
      </c>
      <c r="B78258">
        <f>TEXT(78257, "[$-0E0000]yyyy-mm-dd")</f>
        <v/>
      </c>
    </row>
    <row r="78259">
      <c r="A78259" s="1" t="n">
        <v>78258</v>
      </c>
      <c r="B78259">
        <f>TEXT(78258, "[$-0E0000]yyyy-mm-dd")</f>
        <v/>
      </c>
    </row>
    <row r="78260">
      <c r="A78260" s="1" t="n">
        <v>78259</v>
      </c>
      <c r="B78260">
        <f>TEXT(78259, "[$-0E0000]yyyy-mm-dd")</f>
        <v/>
      </c>
    </row>
    <row r="78261">
      <c r="A78261" s="1" t="n">
        <v>78260</v>
      </c>
      <c r="B78261">
        <f>TEXT(78260, "[$-0E0000]yyyy-mm-dd")</f>
        <v/>
      </c>
    </row>
    <row r="78262">
      <c r="A78262" s="1" t="n">
        <v>78261</v>
      </c>
      <c r="B78262">
        <f>TEXT(78261, "[$-0E0000]yyyy-mm-dd")</f>
        <v/>
      </c>
    </row>
    <row r="78263">
      <c r="A78263" s="1" t="n">
        <v>78262</v>
      </c>
      <c r="B78263">
        <f>TEXT(78262, "[$-0E0000]yyyy-mm-dd")</f>
        <v/>
      </c>
    </row>
    <row r="78264">
      <c r="A78264" s="1" t="n">
        <v>78263</v>
      </c>
      <c r="B78264">
        <f>TEXT(78263, "[$-0E0000]yyyy-mm-dd")</f>
        <v/>
      </c>
    </row>
    <row r="78265">
      <c r="A78265" s="1" t="n">
        <v>78264</v>
      </c>
      <c r="B78265">
        <f>TEXT(78264, "[$-0E0000]yyyy-mm-dd")</f>
        <v/>
      </c>
    </row>
    <row r="78266">
      <c r="A78266" s="1" t="n">
        <v>78265</v>
      </c>
      <c r="B78266">
        <f>TEXT(78265, "[$-0E0000]yyyy-mm-dd")</f>
        <v/>
      </c>
    </row>
    <row r="78267">
      <c r="A78267" s="1" t="n">
        <v>78266</v>
      </c>
      <c r="B78267">
        <f>TEXT(78266, "[$-0E0000]yyyy-mm-dd")</f>
        <v/>
      </c>
    </row>
    <row r="78268">
      <c r="A78268" s="1" t="n">
        <v>78267</v>
      </c>
      <c r="B78268">
        <f>TEXT(78267, "[$-0E0000]yyyy-mm-dd")</f>
        <v/>
      </c>
    </row>
    <row r="78269">
      <c r="A78269" s="1" t="n">
        <v>78268</v>
      </c>
      <c r="B78269">
        <f>TEXT(78268, "[$-0E0000]yyyy-mm-dd")</f>
        <v/>
      </c>
    </row>
    <row r="78270">
      <c r="A78270" s="1" t="n">
        <v>78269</v>
      </c>
      <c r="B78270">
        <f>TEXT(78269, "[$-0E0000]yyyy-mm-dd")</f>
        <v/>
      </c>
    </row>
    <row r="78271">
      <c r="A78271" s="1" t="n">
        <v>78270</v>
      </c>
      <c r="B78271">
        <f>TEXT(78270, "[$-0E0000]yyyy-mm-dd")</f>
        <v/>
      </c>
    </row>
    <row r="78272">
      <c r="A78272" s="1" t="n">
        <v>78271</v>
      </c>
      <c r="B78272">
        <f>TEXT(78271, "[$-0E0000]yyyy-mm-dd")</f>
        <v/>
      </c>
    </row>
    <row r="78273">
      <c r="A78273" s="1" t="n">
        <v>78272</v>
      </c>
      <c r="B78273">
        <f>TEXT(78272, "[$-0E0000]yyyy-mm-dd")</f>
        <v/>
      </c>
    </row>
    <row r="78274">
      <c r="A78274" s="1" t="n">
        <v>78273</v>
      </c>
      <c r="B78274">
        <f>TEXT(78273, "[$-0E0000]yyyy-mm-dd")</f>
        <v/>
      </c>
    </row>
    <row r="78275">
      <c r="A78275" s="1" t="n">
        <v>78274</v>
      </c>
      <c r="B78275">
        <f>TEXT(78274, "[$-0E0000]yyyy-mm-dd")</f>
        <v/>
      </c>
    </row>
    <row r="78276">
      <c r="A78276" s="1" t="n">
        <v>78275</v>
      </c>
      <c r="B78276">
        <f>TEXT(78275, "[$-0E0000]yyyy-mm-dd")</f>
        <v/>
      </c>
    </row>
    <row r="78277">
      <c r="A78277" s="1" t="n">
        <v>78276</v>
      </c>
      <c r="B78277">
        <f>TEXT(78276, "[$-0E0000]yyyy-mm-dd")</f>
        <v/>
      </c>
    </row>
    <row r="78278">
      <c r="A78278" s="1" t="n">
        <v>78277</v>
      </c>
      <c r="B78278">
        <f>TEXT(78277, "[$-0E0000]yyyy-mm-dd")</f>
        <v/>
      </c>
    </row>
    <row r="78279">
      <c r="A78279" s="1" t="n">
        <v>78278</v>
      </c>
      <c r="B78279">
        <f>TEXT(78278, "[$-0E0000]yyyy-mm-dd")</f>
        <v/>
      </c>
    </row>
    <row r="78280">
      <c r="A78280" s="1" t="n">
        <v>78279</v>
      </c>
      <c r="B78280">
        <f>TEXT(78279, "[$-0E0000]yyyy-mm-dd")</f>
        <v/>
      </c>
    </row>
    <row r="78281">
      <c r="A78281" s="1" t="n">
        <v>78280</v>
      </c>
      <c r="B78281">
        <f>TEXT(78280, "[$-0E0000]yyyy-mm-dd")</f>
        <v/>
      </c>
    </row>
    <row r="78282">
      <c r="A78282" s="1" t="n">
        <v>78281</v>
      </c>
      <c r="B78282">
        <f>TEXT(78281, "[$-0E0000]yyyy-mm-dd")</f>
        <v/>
      </c>
    </row>
    <row r="78283">
      <c r="A78283" s="1" t="n">
        <v>78282</v>
      </c>
      <c r="B78283">
        <f>TEXT(78282, "[$-0E0000]yyyy-mm-dd")</f>
        <v/>
      </c>
    </row>
    <row r="78284">
      <c r="A78284" s="1" t="n">
        <v>78283</v>
      </c>
      <c r="B78284">
        <f>TEXT(78283, "[$-0E0000]yyyy-mm-dd")</f>
        <v/>
      </c>
    </row>
    <row r="78285">
      <c r="A78285" s="1" t="n">
        <v>78284</v>
      </c>
      <c r="B78285">
        <f>TEXT(78284, "[$-0E0000]yyyy-mm-dd")</f>
        <v/>
      </c>
    </row>
    <row r="78286">
      <c r="A78286" s="1" t="n">
        <v>78285</v>
      </c>
      <c r="B78286">
        <f>TEXT(78285, "[$-0E0000]yyyy-mm-dd")</f>
        <v/>
      </c>
    </row>
    <row r="78287">
      <c r="A78287" s="1" t="n">
        <v>78286</v>
      </c>
      <c r="B78287">
        <f>TEXT(78286, "[$-0E0000]yyyy-mm-dd")</f>
        <v/>
      </c>
    </row>
    <row r="78288">
      <c r="A78288" s="1" t="n">
        <v>78287</v>
      </c>
      <c r="B78288">
        <f>TEXT(78287, "[$-0E0000]yyyy-mm-dd")</f>
        <v/>
      </c>
    </row>
    <row r="78289">
      <c r="A78289" s="1" t="n">
        <v>78288</v>
      </c>
      <c r="B78289">
        <f>TEXT(78288, "[$-0E0000]yyyy-mm-dd")</f>
        <v/>
      </c>
    </row>
    <row r="78290">
      <c r="A78290" s="1" t="n">
        <v>78289</v>
      </c>
      <c r="B78290">
        <f>TEXT(78289, "[$-0E0000]yyyy-mm-dd")</f>
        <v/>
      </c>
    </row>
    <row r="78291">
      <c r="A78291" s="1" t="n">
        <v>78290</v>
      </c>
      <c r="B78291">
        <f>TEXT(78290, "[$-0E0000]yyyy-mm-dd")</f>
        <v/>
      </c>
    </row>
    <row r="78292">
      <c r="A78292" s="1" t="n">
        <v>78291</v>
      </c>
      <c r="B78292">
        <f>TEXT(78291, "[$-0E0000]yyyy-mm-dd")</f>
        <v/>
      </c>
    </row>
    <row r="78293">
      <c r="A78293" s="1" t="n">
        <v>78292</v>
      </c>
      <c r="B78293">
        <f>TEXT(78292, "[$-0E0000]yyyy-mm-dd")</f>
        <v/>
      </c>
    </row>
    <row r="78294">
      <c r="A78294" s="1" t="n">
        <v>78293</v>
      </c>
      <c r="B78294">
        <f>TEXT(78293, "[$-0E0000]yyyy-mm-dd")</f>
        <v/>
      </c>
    </row>
    <row r="78295">
      <c r="A78295" s="1" t="n">
        <v>78294</v>
      </c>
      <c r="B78295">
        <f>TEXT(78294, "[$-0E0000]yyyy-mm-dd")</f>
        <v/>
      </c>
    </row>
    <row r="78296">
      <c r="A78296" s="1" t="n">
        <v>78295</v>
      </c>
      <c r="B78296">
        <f>TEXT(78295, "[$-0E0000]yyyy-mm-dd")</f>
        <v/>
      </c>
    </row>
    <row r="78297">
      <c r="A78297" s="1" t="n">
        <v>78296</v>
      </c>
      <c r="B78297">
        <f>TEXT(78296, "[$-0E0000]yyyy-mm-dd")</f>
        <v/>
      </c>
    </row>
    <row r="78298">
      <c r="A78298" s="1" t="n">
        <v>78297</v>
      </c>
      <c r="B78298">
        <f>TEXT(78297, "[$-0E0000]yyyy-mm-dd")</f>
        <v/>
      </c>
    </row>
    <row r="78299">
      <c r="A78299" s="1" t="n">
        <v>78298</v>
      </c>
      <c r="B78299">
        <f>TEXT(78298, "[$-0E0000]yyyy-mm-dd")</f>
        <v/>
      </c>
    </row>
    <row r="78300">
      <c r="A78300" s="1" t="n">
        <v>78299</v>
      </c>
      <c r="B78300">
        <f>TEXT(78299, "[$-0E0000]yyyy-mm-dd")</f>
        <v/>
      </c>
    </row>
    <row r="78301">
      <c r="A78301" s="1" t="n">
        <v>78300</v>
      </c>
      <c r="B78301">
        <f>TEXT(78300, "[$-0E0000]yyyy-mm-dd")</f>
        <v/>
      </c>
    </row>
    <row r="78302">
      <c r="A78302" s="1" t="n">
        <v>78301</v>
      </c>
      <c r="B78302">
        <f>TEXT(78301, "[$-0E0000]yyyy-mm-dd")</f>
        <v/>
      </c>
    </row>
    <row r="78303">
      <c r="A78303" s="1" t="n">
        <v>78302</v>
      </c>
      <c r="B78303">
        <f>TEXT(78302, "[$-0E0000]yyyy-mm-dd")</f>
        <v/>
      </c>
    </row>
    <row r="78304">
      <c r="A78304" s="1" t="n">
        <v>78303</v>
      </c>
      <c r="B78304">
        <f>TEXT(78303, "[$-0E0000]yyyy-mm-dd")</f>
        <v/>
      </c>
    </row>
    <row r="78305">
      <c r="A78305" s="1" t="n">
        <v>78304</v>
      </c>
      <c r="B78305">
        <f>TEXT(78304, "[$-0E0000]yyyy-mm-dd")</f>
        <v/>
      </c>
    </row>
    <row r="78306">
      <c r="A78306" s="1" t="n">
        <v>78305</v>
      </c>
      <c r="B78306">
        <f>TEXT(78305, "[$-0E0000]yyyy-mm-dd")</f>
        <v/>
      </c>
    </row>
    <row r="78307">
      <c r="A78307" s="1" t="n">
        <v>78306</v>
      </c>
      <c r="B78307">
        <f>TEXT(78306, "[$-0E0000]yyyy-mm-dd")</f>
        <v/>
      </c>
    </row>
    <row r="78308">
      <c r="A78308" s="1" t="n">
        <v>78307</v>
      </c>
      <c r="B78308">
        <f>TEXT(78307, "[$-0E0000]yyyy-mm-dd")</f>
        <v/>
      </c>
    </row>
    <row r="78309">
      <c r="A78309" s="1" t="n">
        <v>78308</v>
      </c>
      <c r="B78309">
        <f>TEXT(78308, "[$-0E0000]yyyy-mm-dd")</f>
        <v/>
      </c>
    </row>
    <row r="78310">
      <c r="A78310" s="1" t="n">
        <v>78309</v>
      </c>
      <c r="B78310">
        <f>TEXT(78309, "[$-0E0000]yyyy-mm-dd")</f>
        <v/>
      </c>
    </row>
    <row r="78311">
      <c r="A78311" s="1" t="n">
        <v>78310</v>
      </c>
      <c r="B78311">
        <f>TEXT(78310, "[$-0E0000]yyyy-mm-dd")</f>
        <v/>
      </c>
    </row>
    <row r="78312">
      <c r="A78312" s="1" t="n">
        <v>78311</v>
      </c>
      <c r="B78312">
        <f>TEXT(78311, "[$-0E0000]yyyy-mm-dd")</f>
        <v/>
      </c>
    </row>
    <row r="78313">
      <c r="A78313" s="1" t="n">
        <v>78312</v>
      </c>
      <c r="B78313">
        <f>TEXT(78312, "[$-0E0000]yyyy-mm-dd")</f>
        <v/>
      </c>
    </row>
    <row r="78314">
      <c r="A78314" s="1" t="n">
        <v>78313</v>
      </c>
      <c r="B78314">
        <f>TEXT(78313, "[$-0E0000]yyyy-mm-dd")</f>
        <v/>
      </c>
    </row>
    <row r="78315">
      <c r="A78315" s="1" t="n">
        <v>78314</v>
      </c>
      <c r="B78315">
        <f>TEXT(78314, "[$-0E0000]yyyy-mm-dd")</f>
        <v/>
      </c>
    </row>
    <row r="78316">
      <c r="A78316" s="1" t="n">
        <v>78315</v>
      </c>
      <c r="B78316">
        <f>TEXT(78315, "[$-0E0000]yyyy-mm-dd")</f>
        <v/>
      </c>
    </row>
    <row r="78317">
      <c r="A78317" s="1" t="n">
        <v>78316</v>
      </c>
      <c r="B78317">
        <f>TEXT(78316, "[$-0E0000]yyyy-mm-dd")</f>
        <v/>
      </c>
    </row>
    <row r="78318">
      <c r="A78318" s="1" t="n">
        <v>78317</v>
      </c>
      <c r="B78318">
        <f>TEXT(78317, "[$-0E0000]yyyy-mm-dd")</f>
        <v/>
      </c>
    </row>
    <row r="78319">
      <c r="A78319" s="1" t="n">
        <v>78318</v>
      </c>
      <c r="B78319">
        <f>TEXT(78318, "[$-0E0000]yyyy-mm-dd")</f>
        <v/>
      </c>
    </row>
    <row r="78320">
      <c r="A78320" s="1" t="n">
        <v>78319</v>
      </c>
      <c r="B78320">
        <f>TEXT(78319, "[$-0E0000]yyyy-mm-dd")</f>
        <v/>
      </c>
    </row>
    <row r="78321">
      <c r="A78321" s="1" t="n">
        <v>78320</v>
      </c>
      <c r="B78321">
        <f>TEXT(78320, "[$-0E0000]yyyy-mm-dd")</f>
        <v/>
      </c>
    </row>
    <row r="78322">
      <c r="A78322" s="1" t="n">
        <v>78321</v>
      </c>
      <c r="B78322">
        <f>TEXT(78321, "[$-0E0000]yyyy-mm-dd")</f>
        <v/>
      </c>
    </row>
    <row r="78323">
      <c r="A78323" s="1" t="n">
        <v>78322</v>
      </c>
      <c r="B78323">
        <f>TEXT(78322, "[$-0E0000]yyyy-mm-dd")</f>
        <v/>
      </c>
    </row>
    <row r="78324">
      <c r="A78324" s="1" t="n">
        <v>78323</v>
      </c>
      <c r="B78324">
        <f>TEXT(78323, "[$-0E0000]yyyy-mm-dd")</f>
        <v/>
      </c>
    </row>
    <row r="78325">
      <c r="A78325" s="1" t="n">
        <v>78324</v>
      </c>
      <c r="B78325">
        <f>TEXT(78324, "[$-0E0000]yyyy-mm-dd")</f>
        <v/>
      </c>
    </row>
    <row r="78326">
      <c r="A78326" s="1" t="n">
        <v>78325</v>
      </c>
      <c r="B78326">
        <f>TEXT(78325, "[$-0E0000]yyyy-mm-dd")</f>
        <v/>
      </c>
    </row>
    <row r="78327">
      <c r="A78327" s="1" t="n">
        <v>78326</v>
      </c>
      <c r="B78327">
        <f>TEXT(78326, "[$-0E0000]yyyy-mm-dd")</f>
        <v/>
      </c>
    </row>
    <row r="78328">
      <c r="A78328" s="1" t="n">
        <v>78327</v>
      </c>
      <c r="B78328">
        <f>TEXT(78327, "[$-0E0000]yyyy-mm-dd")</f>
        <v/>
      </c>
    </row>
    <row r="78329">
      <c r="A78329" s="1" t="n">
        <v>78328</v>
      </c>
      <c r="B78329">
        <f>TEXT(78328, "[$-0E0000]yyyy-mm-dd")</f>
        <v/>
      </c>
    </row>
    <row r="78330">
      <c r="A78330" s="1" t="n">
        <v>78329</v>
      </c>
      <c r="B78330">
        <f>TEXT(78329, "[$-0E0000]yyyy-mm-dd")</f>
        <v/>
      </c>
    </row>
    <row r="78331">
      <c r="A78331" s="1" t="n">
        <v>78330</v>
      </c>
      <c r="B78331">
        <f>TEXT(78330, "[$-0E0000]yyyy-mm-dd")</f>
        <v/>
      </c>
    </row>
    <row r="78332">
      <c r="A78332" s="1" t="n">
        <v>78331</v>
      </c>
      <c r="B78332">
        <f>TEXT(78331, "[$-0E0000]yyyy-mm-dd")</f>
        <v/>
      </c>
    </row>
    <row r="78333">
      <c r="A78333" s="1" t="n">
        <v>78332</v>
      </c>
      <c r="B78333">
        <f>TEXT(78332, "[$-0E0000]yyyy-mm-dd")</f>
        <v/>
      </c>
    </row>
    <row r="78334">
      <c r="A78334" s="1" t="n">
        <v>78333</v>
      </c>
      <c r="B78334">
        <f>TEXT(78333, "[$-0E0000]yyyy-mm-dd")</f>
        <v/>
      </c>
    </row>
    <row r="78335">
      <c r="A78335" s="1" t="n">
        <v>78334</v>
      </c>
      <c r="B78335">
        <f>TEXT(78334, "[$-0E0000]yyyy-mm-dd")</f>
        <v/>
      </c>
    </row>
    <row r="78336">
      <c r="A78336" s="1" t="n">
        <v>78335</v>
      </c>
      <c r="B78336">
        <f>TEXT(78335, "[$-0E0000]yyyy-mm-dd")</f>
        <v/>
      </c>
    </row>
    <row r="78337">
      <c r="A78337" s="1" t="n">
        <v>78336</v>
      </c>
      <c r="B78337">
        <f>TEXT(78336, "[$-0E0000]yyyy-mm-dd")</f>
        <v/>
      </c>
    </row>
    <row r="78338">
      <c r="A78338" s="1" t="n">
        <v>78337</v>
      </c>
      <c r="B78338">
        <f>TEXT(78337, "[$-0E0000]yyyy-mm-dd")</f>
        <v/>
      </c>
    </row>
    <row r="78339">
      <c r="A78339" s="1" t="n">
        <v>78338</v>
      </c>
      <c r="B78339">
        <f>TEXT(78338, "[$-0E0000]yyyy-mm-dd")</f>
        <v/>
      </c>
    </row>
    <row r="78340">
      <c r="A78340" s="1" t="n">
        <v>78339</v>
      </c>
      <c r="B78340">
        <f>TEXT(78339, "[$-0E0000]yyyy-mm-dd")</f>
        <v/>
      </c>
    </row>
    <row r="78341">
      <c r="A78341" s="1" t="n">
        <v>78340</v>
      </c>
      <c r="B78341">
        <f>TEXT(78340, "[$-0E0000]yyyy-mm-dd")</f>
        <v/>
      </c>
    </row>
    <row r="78342">
      <c r="A78342" s="1" t="n">
        <v>78341</v>
      </c>
      <c r="B78342">
        <f>TEXT(78341, "[$-0E0000]yyyy-mm-dd")</f>
        <v/>
      </c>
    </row>
    <row r="78343">
      <c r="A78343" s="1" t="n">
        <v>78342</v>
      </c>
      <c r="B78343">
        <f>TEXT(78342, "[$-0E0000]yyyy-mm-dd")</f>
        <v/>
      </c>
    </row>
    <row r="78344">
      <c r="A78344" s="1" t="n">
        <v>78343</v>
      </c>
      <c r="B78344">
        <f>TEXT(78343, "[$-0E0000]yyyy-mm-dd")</f>
        <v/>
      </c>
    </row>
    <row r="78345">
      <c r="A78345" s="1" t="n">
        <v>78344</v>
      </c>
      <c r="B78345">
        <f>TEXT(78344, "[$-0E0000]yyyy-mm-dd")</f>
        <v/>
      </c>
    </row>
    <row r="78346">
      <c r="A78346" s="1" t="n">
        <v>78345</v>
      </c>
      <c r="B78346">
        <f>TEXT(78345, "[$-0E0000]yyyy-mm-dd")</f>
        <v/>
      </c>
    </row>
    <row r="78347">
      <c r="A78347" s="1" t="n">
        <v>78346</v>
      </c>
      <c r="B78347">
        <f>TEXT(78346, "[$-0E0000]yyyy-mm-dd")</f>
        <v/>
      </c>
    </row>
    <row r="78348">
      <c r="A78348" s="1" t="n">
        <v>78347</v>
      </c>
      <c r="B78348">
        <f>TEXT(78347, "[$-0E0000]yyyy-mm-dd")</f>
        <v/>
      </c>
    </row>
    <row r="78349">
      <c r="A78349" s="1" t="n">
        <v>78348</v>
      </c>
      <c r="B78349">
        <f>TEXT(78348, "[$-0E0000]yyyy-mm-dd")</f>
        <v/>
      </c>
    </row>
    <row r="78350">
      <c r="A78350" s="1" t="n">
        <v>78349</v>
      </c>
      <c r="B78350">
        <f>TEXT(78349, "[$-0E0000]yyyy-mm-dd")</f>
        <v/>
      </c>
    </row>
    <row r="78351">
      <c r="A78351" s="1" t="n">
        <v>78350</v>
      </c>
      <c r="B78351">
        <f>TEXT(78350, "[$-0E0000]yyyy-mm-dd")</f>
        <v/>
      </c>
    </row>
    <row r="78352">
      <c r="A78352" s="1" t="n">
        <v>78351</v>
      </c>
      <c r="B78352">
        <f>TEXT(78351, "[$-0E0000]yyyy-mm-dd")</f>
        <v/>
      </c>
    </row>
    <row r="78353">
      <c r="A78353" s="1" t="n">
        <v>78352</v>
      </c>
      <c r="B78353">
        <f>TEXT(78352, "[$-0E0000]yyyy-mm-dd")</f>
        <v/>
      </c>
    </row>
    <row r="78354">
      <c r="A78354" s="1" t="n">
        <v>78353</v>
      </c>
      <c r="B78354">
        <f>TEXT(78353, "[$-0E0000]yyyy-mm-dd")</f>
        <v/>
      </c>
    </row>
    <row r="78355">
      <c r="A78355" s="1" t="n">
        <v>78354</v>
      </c>
      <c r="B78355">
        <f>TEXT(78354, "[$-0E0000]yyyy-mm-dd")</f>
        <v/>
      </c>
    </row>
    <row r="78356">
      <c r="A78356" s="1" t="n">
        <v>78355</v>
      </c>
      <c r="B78356">
        <f>TEXT(78355, "[$-0E0000]yyyy-mm-dd")</f>
        <v/>
      </c>
    </row>
    <row r="78357">
      <c r="A78357" s="1" t="n">
        <v>78356</v>
      </c>
      <c r="B78357">
        <f>TEXT(78356, "[$-0E0000]yyyy-mm-dd")</f>
        <v/>
      </c>
    </row>
    <row r="78358">
      <c r="A78358" s="1" t="n">
        <v>78357</v>
      </c>
      <c r="B78358">
        <f>TEXT(78357, "[$-0E0000]yyyy-mm-dd")</f>
        <v/>
      </c>
    </row>
    <row r="78359">
      <c r="A78359" s="1" t="n">
        <v>78358</v>
      </c>
      <c r="B78359">
        <f>TEXT(78358, "[$-0E0000]yyyy-mm-dd")</f>
        <v/>
      </c>
    </row>
    <row r="78360">
      <c r="A78360" s="1" t="n">
        <v>78359</v>
      </c>
      <c r="B78360">
        <f>TEXT(78359, "[$-0E0000]yyyy-mm-dd")</f>
        <v/>
      </c>
    </row>
    <row r="78361">
      <c r="A78361" s="1" t="n">
        <v>78360</v>
      </c>
      <c r="B78361">
        <f>TEXT(78360, "[$-0E0000]yyyy-mm-dd")</f>
        <v/>
      </c>
    </row>
    <row r="78362">
      <c r="A78362" s="1" t="n">
        <v>78361</v>
      </c>
      <c r="B78362">
        <f>TEXT(78361, "[$-0E0000]yyyy-mm-dd")</f>
        <v/>
      </c>
    </row>
    <row r="78363">
      <c r="A78363" s="1" t="n">
        <v>78362</v>
      </c>
      <c r="B78363">
        <f>TEXT(78362, "[$-0E0000]yyyy-mm-dd")</f>
        <v/>
      </c>
    </row>
    <row r="78364">
      <c r="A78364" s="1" t="n">
        <v>78363</v>
      </c>
      <c r="B78364">
        <f>TEXT(78363, "[$-0E0000]yyyy-mm-dd")</f>
        <v/>
      </c>
    </row>
    <row r="78365">
      <c r="A78365" s="1" t="n">
        <v>78364</v>
      </c>
      <c r="B78365">
        <f>TEXT(78364, "[$-0E0000]yyyy-mm-dd")</f>
        <v/>
      </c>
    </row>
    <row r="78366">
      <c r="A78366" s="1" t="n">
        <v>78365</v>
      </c>
      <c r="B78366">
        <f>TEXT(78365, "[$-0E0000]yyyy-mm-dd")</f>
        <v/>
      </c>
    </row>
    <row r="78367">
      <c r="A78367" s="1" t="n">
        <v>78366</v>
      </c>
      <c r="B78367">
        <f>TEXT(78366, "[$-0E0000]yyyy-mm-dd")</f>
        <v/>
      </c>
    </row>
    <row r="78368">
      <c r="A78368" s="1" t="n">
        <v>78367</v>
      </c>
      <c r="B78368">
        <f>TEXT(78367, "[$-0E0000]yyyy-mm-dd")</f>
        <v/>
      </c>
    </row>
    <row r="78369">
      <c r="A78369" s="1" t="n">
        <v>78368</v>
      </c>
      <c r="B78369">
        <f>TEXT(78368, "[$-0E0000]yyyy-mm-dd")</f>
        <v/>
      </c>
    </row>
    <row r="78370">
      <c r="A78370" s="1" t="n">
        <v>78369</v>
      </c>
      <c r="B78370">
        <f>TEXT(78369, "[$-0E0000]yyyy-mm-dd")</f>
        <v/>
      </c>
    </row>
    <row r="78371">
      <c r="A78371" s="1" t="n">
        <v>78370</v>
      </c>
      <c r="B78371">
        <f>TEXT(78370, "[$-0E0000]yyyy-mm-dd")</f>
        <v/>
      </c>
    </row>
    <row r="78372">
      <c r="A78372" s="1" t="n">
        <v>78371</v>
      </c>
      <c r="B78372">
        <f>TEXT(78371, "[$-0E0000]yyyy-mm-dd")</f>
        <v/>
      </c>
    </row>
    <row r="78373">
      <c r="A78373" s="1" t="n">
        <v>78372</v>
      </c>
      <c r="B78373">
        <f>TEXT(78372, "[$-0E0000]yyyy-mm-dd")</f>
        <v/>
      </c>
    </row>
    <row r="78374">
      <c r="A78374" s="1" t="n">
        <v>78373</v>
      </c>
      <c r="B78374">
        <f>TEXT(78373, "[$-0E0000]yyyy-mm-dd")</f>
        <v/>
      </c>
    </row>
    <row r="78375">
      <c r="A78375" s="1" t="n">
        <v>78374</v>
      </c>
      <c r="B78375">
        <f>TEXT(78374, "[$-0E0000]yyyy-mm-dd")</f>
        <v/>
      </c>
    </row>
    <row r="78376">
      <c r="A78376" s="1" t="n">
        <v>78375</v>
      </c>
      <c r="B78376">
        <f>TEXT(78375, "[$-0E0000]yyyy-mm-dd")</f>
        <v/>
      </c>
    </row>
    <row r="78377">
      <c r="A78377" s="1" t="n">
        <v>78376</v>
      </c>
      <c r="B78377">
        <f>TEXT(78376, "[$-0E0000]yyyy-mm-dd")</f>
        <v/>
      </c>
    </row>
    <row r="78378">
      <c r="A78378" s="1" t="n">
        <v>78377</v>
      </c>
      <c r="B78378">
        <f>TEXT(78377, "[$-0E0000]yyyy-mm-dd")</f>
        <v/>
      </c>
    </row>
    <row r="78379">
      <c r="A78379" s="1" t="n">
        <v>78378</v>
      </c>
      <c r="B78379">
        <f>TEXT(78378, "[$-0E0000]yyyy-mm-dd")</f>
        <v/>
      </c>
    </row>
    <row r="78380">
      <c r="A78380" s="1" t="n">
        <v>78379</v>
      </c>
      <c r="B78380">
        <f>TEXT(78379, "[$-0E0000]yyyy-mm-dd")</f>
        <v/>
      </c>
    </row>
    <row r="78381">
      <c r="A78381" s="1" t="n">
        <v>78380</v>
      </c>
      <c r="B78381">
        <f>TEXT(78380, "[$-0E0000]yyyy-mm-dd")</f>
        <v/>
      </c>
    </row>
    <row r="78382">
      <c r="A78382" s="1" t="n">
        <v>78381</v>
      </c>
      <c r="B78382">
        <f>TEXT(78381, "[$-0E0000]yyyy-mm-dd")</f>
        <v/>
      </c>
    </row>
    <row r="78383">
      <c r="A78383" s="1" t="n">
        <v>78382</v>
      </c>
      <c r="B78383">
        <f>TEXT(78382, "[$-0E0000]yyyy-mm-dd")</f>
        <v/>
      </c>
    </row>
    <row r="78384">
      <c r="A78384" s="1" t="n">
        <v>78383</v>
      </c>
      <c r="B78384">
        <f>TEXT(78383, "[$-0E0000]yyyy-mm-dd")</f>
        <v/>
      </c>
    </row>
    <row r="78385">
      <c r="A78385" s="1" t="n">
        <v>78384</v>
      </c>
      <c r="B78385">
        <f>TEXT(78384, "[$-0E0000]yyyy-mm-dd")</f>
        <v/>
      </c>
    </row>
    <row r="78386">
      <c r="A78386" s="1" t="n">
        <v>78385</v>
      </c>
      <c r="B78386">
        <f>TEXT(78385, "[$-0E0000]yyyy-mm-dd")</f>
        <v/>
      </c>
    </row>
    <row r="78387">
      <c r="A78387" s="1" t="n">
        <v>78386</v>
      </c>
      <c r="B78387">
        <f>TEXT(78386, "[$-0E0000]yyyy-mm-dd")</f>
        <v/>
      </c>
    </row>
    <row r="78388">
      <c r="A78388" s="1" t="n">
        <v>78387</v>
      </c>
      <c r="B78388">
        <f>TEXT(78387, "[$-0E0000]yyyy-mm-dd")</f>
        <v/>
      </c>
    </row>
    <row r="78389">
      <c r="A78389" s="1" t="n">
        <v>78388</v>
      </c>
      <c r="B78389">
        <f>TEXT(78388, "[$-0E0000]yyyy-mm-dd")</f>
        <v/>
      </c>
    </row>
    <row r="78390">
      <c r="A78390" s="1" t="n">
        <v>78389</v>
      </c>
      <c r="B78390">
        <f>TEXT(78389, "[$-0E0000]yyyy-mm-dd")</f>
        <v/>
      </c>
    </row>
    <row r="78391">
      <c r="A78391" s="1" t="n">
        <v>78390</v>
      </c>
      <c r="B78391">
        <f>TEXT(78390, "[$-0E0000]yyyy-mm-dd")</f>
        <v/>
      </c>
    </row>
    <row r="78392">
      <c r="A78392" s="1" t="n">
        <v>78391</v>
      </c>
      <c r="B78392">
        <f>TEXT(78391, "[$-0E0000]yyyy-mm-dd")</f>
        <v/>
      </c>
    </row>
    <row r="78393">
      <c r="A78393" s="1" t="n">
        <v>78392</v>
      </c>
      <c r="B78393">
        <f>TEXT(78392, "[$-0E0000]yyyy-mm-dd")</f>
        <v/>
      </c>
    </row>
    <row r="78394">
      <c r="A78394" s="1" t="n">
        <v>78393</v>
      </c>
      <c r="B78394">
        <f>TEXT(78393, "[$-0E0000]yyyy-mm-dd")</f>
        <v/>
      </c>
    </row>
    <row r="78395">
      <c r="A78395" s="1" t="n">
        <v>78394</v>
      </c>
      <c r="B78395">
        <f>TEXT(78394, "[$-0E0000]yyyy-mm-dd")</f>
        <v/>
      </c>
    </row>
    <row r="78396">
      <c r="A78396" s="1" t="n">
        <v>78395</v>
      </c>
      <c r="B78396">
        <f>TEXT(78395, "[$-0E0000]yyyy-mm-dd")</f>
        <v/>
      </c>
    </row>
    <row r="78397">
      <c r="A78397" s="1" t="n">
        <v>78396</v>
      </c>
      <c r="B78397">
        <f>TEXT(78396, "[$-0E0000]yyyy-mm-dd")</f>
        <v/>
      </c>
    </row>
    <row r="78398">
      <c r="A78398" s="1" t="n">
        <v>78397</v>
      </c>
      <c r="B78398">
        <f>TEXT(78397, "[$-0E0000]yyyy-mm-dd")</f>
        <v/>
      </c>
    </row>
    <row r="78399">
      <c r="A78399" s="1" t="n">
        <v>78398</v>
      </c>
      <c r="B78399">
        <f>TEXT(78398, "[$-0E0000]yyyy-mm-dd")</f>
        <v/>
      </c>
    </row>
    <row r="78400">
      <c r="A78400" s="1" t="n">
        <v>78399</v>
      </c>
      <c r="B78400">
        <f>TEXT(78399, "[$-0E0000]yyyy-mm-dd")</f>
        <v/>
      </c>
    </row>
    <row r="78401">
      <c r="A78401" s="1" t="n">
        <v>78400</v>
      </c>
      <c r="B78401">
        <f>TEXT(78400, "[$-0E0000]yyyy-mm-dd")</f>
        <v/>
      </c>
    </row>
    <row r="78402">
      <c r="A78402" s="1" t="n">
        <v>78401</v>
      </c>
      <c r="B78402">
        <f>TEXT(78401, "[$-0E0000]yyyy-mm-dd")</f>
        <v/>
      </c>
    </row>
    <row r="78403">
      <c r="A78403" s="1" t="n">
        <v>78402</v>
      </c>
      <c r="B78403">
        <f>TEXT(78402, "[$-0E0000]yyyy-mm-dd")</f>
        <v/>
      </c>
    </row>
    <row r="78404">
      <c r="A78404" s="1" t="n">
        <v>78403</v>
      </c>
      <c r="B78404">
        <f>TEXT(78403, "[$-0E0000]yyyy-mm-dd")</f>
        <v/>
      </c>
    </row>
    <row r="78405">
      <c r="A78405" s="1" t="n">
        <v>78404</v>
      </c>
      <c r="B78405">
        <f>TEXT(78404, "[$-0E0000]yyyy-mm-dd")</f>
        <v/>
      </c>
    </row>
    <row r="78406">
      <c r="A78406" s="1" t="n">
        <v>78405</v>
      </c>
      <c r="B78406">
        <f>TEXT(78405, "[$-0E0000]yyyy-mm-dd")</f>
        <v/>
      </c>
    </row>
    <row r="78407">
      <c r="A78407" s="1" t="n">
        <v>78406</v>
      </c>
      <c r="B78407">
        <f>TEXT(78406, "[$-0E0000]yyyy-mm-dd")</f>
        <v/>
      </c>
    </row>
    <row r="78408">
      <c r="A78408" s="1" t="n">
        <v>78407</v>
      </c>
      <c r="B78408">
        <f>TEXT(78407, "[$-0E0000]yyyy-mm-dd")</f>
        <v/>
      </c>
    </row>
    <row r="78409">
      <c r="A78409" s="1" t="n">
        <v>78408</v>
      </c>
      <c r="B78409">
        <f>TEXT(78408, "[$-0E0000]yyyy-mm-dd")</f>
        <v/>
      </c>
    </row>
    <row r="78410">
      <c r="A78410" s="1" t="n">
        <v>78409</v>
      </c>
      <c r="B78410">
        <f>TEXT(78409, "[$-0E0000]yyyy-mm-dd")</f>
        <v/>
      </c>
    </row>
    <row r="78411">
      <c r="A78411" s="1" t="n">
        <v>78410</v>
      </c>
      <c r="B78411">
        <f>TEXT(78410, "[$-0E0000]yyyy-mm-dd")</f>
        <v/>
      </c>
    </row>
    <row r="78412">
      <c r="A78412" s="1" t="n">
        <v>78411</v>
      </c>
      <c r="B78412">
        <f>TEXT(78411, "[$-0E0000]yyyy-mm-dd")</f>
        <v/>
      </c>
    </row>
    <row r="78413">
      <c r="A78413" s="1" t="n">
        <v>78412</v>
      </c>
      <c r="B78413">
        <f>TEXT(78412, "[$-0E0000]yyyy-mm-dd")</f>
        <v/>
      </c>
    </row>
    <row r="78414">
      <c r="A78414" s="1" t="n">
        <v>78413</v>
      </c>
      <c r="B78414">
        <f>TEXT(78413, "[$-0E0000]yyyy-mm-dd")</f>
        <v/>
      </c>
    </row>
    <row r="78415">
      <c r="A78415" s="1" t="n">
        <v>78414</v>
      </c>
      <c r="B78415">
        <f>TEXT(78414, "[$-0E0000]yyyy-mm-dd")</f>
        <v/>
      </c>
    </row>
    <row r="78416">
      <c r="A78416" s="1" t="n">
        <v>78415</v>
      </c>
      <c r="B78416">
        <f>TEXT(78415, "[$-0E0000]yyyy-mm-dd")</f>
        <v/>
      </c>
    </row>
    <row r="78417">
      <c r="A78417" s="1" t="n">
        <v>78416</v>
      </c>
      <c r="B78417">
        <f>TEXT(78416, "[$-0E0000]yyyy-mm-dd")</f>
        <v/>
      </c>
    </row>
    <row r="78418">
      <c r="A78418" s="1" t="n">
        <v>78417</v>
      </c>
      <c r="B78418">
        <f>TEXT(78417, "[$-0E0000]yyyy-mm-dd")</f>
        <v/>
      </c>
    </row>
    <row r="78419">
      <c r="A78419" s="1" t="n">
        <v>78418</v>
      </c>
      <c r="B78419">
        <f>TEXT(78418, "[$-0E0000]yyyy-mm-dd")</f>
        <v/>
      </c>
    </row>
    <row r="78420">
      <c r="A78420" s="1" t="n">
        <v>78419</v>
      </c>
      <c r="B78420">
        <f>TEXT(78419, "[$-0E0000]yyyy-mm-dd")</f>
        <v/>
      </c>
    </row>
    <row r="78421">
      <c r="A78421" s="1" t="n">
        <v>78420</v>
      </c>
      <c r="B78421">
        <f>TEXT(78420, "[$-0E0000]yyyy-mm-dd")</f>
        <v/>
      </c>
    </row>
    <row r="78422">
      <c r="A78422" s="1" t="n">
        <v>78421</v>
      </c>
      <c r="B78422">
        <f>TEXT(78421, "[$-0E0000]yyyy-mm-dd")</f>
        <v/>
      </c>
    </row>
    <row r="78423">
      <c r="A78423" s="1" t="n">
        <v>78422</v>
      </c>
      <c r="B78423">
        <f>TEXT(78422, "[$-0E0000]yyyy-mm-dd")</f>
        <v/>
      </c>
    </row>
    <row r="78424">
      <c r="A78424" s="1" t="n">
        <v>78423</v>
      </c>
      <c r="B78424">
        <f>TEXT(78423, "[$-0E0000]yyyy-mm-dd")</f>
        <v/>
      </c>
    </row>
    <row r="78425">
      <c r="A78425" s="1" t="n">
        <v>78424</v>
      </c>
      <c r="B78425">
        <f>TEXT(78424, "[$-0E0000]yyyy-mm-dd")</f>
        <v/>
      </c>
    </row>
    <row r="78426">
      <c r="A78426" s="1" t="n">
        <v>78425</v>
      </c>
      <c r="B78426">
        <f>TEXT(78425, "[$-0E0000]yyyy-mm-dd")</f>
        <v/>
      </c>
    </row>
    <row r="78427">
      <c r="A78427" s="1" t="n">
        <v>78426</v>
      </c>
      <c r="B78427">
        <f>TEXT(78426, "[$-0E0000]yyyy-mm-dd")</f>
        <v/>
      </c>
    </row>
    <row r="78428">
      <c r="A78428" s="1" t="n">
        <v>78427</v>
      </c>
      <c r="B78428">
        <f>TEXT(78427, "[$-0E0000]yyyy-mm-dd")</f>
        <v/>
      </c>
    </row>
    <row r="78429">
      <c r="A78429" s="1" t="n">
        <v>78428</v>
      </c>
      <c r="B78429">
        <f>TEXT(78428, "[$-0E0000]yyyy-mm-dd")</f>
        <v/>
      </c>
    </row>
    <row r="78430">
      <c r="A78430" s="1" t="n">
        <v>78429</v>
      </c>
      <c r="B78430">
        <f>TEXT(78429, "[$-0E0000]yyyy-mm-dd")</f>
        <v/>
      </c>
    </row>
    <row r="78431">
      <c r="A78431" s="1" t="n">
        <v>78430</v>
      </c>
      <c r="B78431">
        <f>TEXT(78430, "[$-0E0000]yyyy-mm-dd")</f>
        <v/>
      </c>
    </row>
    <row r="78432">
      <c r="A78432" s="1" t="n">
        <v>78431</v>
      </c>
      <c r="B78432">
        <f>TEXT(78431, "[$-0E0000]yyyy-mm-dd")</f>
        <v/>
      </c>
    </row>
    <row r="78433">
      <c r="A78433" s="1" t="n">
        <v>78432</v>
      </c>
      <c r="B78433">
        <f>TEXT(78432, "[$-0E0000]yyyy-mm-dd")</f>
        <v/>
      </c>
    </row>
    <row r="78434">
      <c r="A78434" s="1" t="n">
        <v>78433</v>
      </c>
      <c r="B78434">
        <f>TEXT(78433, "[$-0E0000]yyyy-mm-dd")</f>
        <v/>
      </c>
    </row>
    <row r="78435">
      <c r="A78435" s="1" t="n">
        <v>78434</v>
      </c>
      <c r="B78435">
        <f>TEXT(78434, "[$-0E0000]yyyy-mm-dd")</f>
        <v/>
      </c>
    </row>
    <row r="78436">
      <c r="A78436" s="1" t="n">
        <v>78435</v>
      </c>
      <c r="B78436">
        <f>TEXT(78435, "[$-0E0000]yyyy-mm-dd")</f>
        <v/>
      </c>
    </row>
    <row r="78437">
      <c r="A78437" s="1" t="n">
        <v>78436</v>
      </c>
      <c r="B78437">
        <f>TEXT(78436, "[$-0E0000]yyyy-mm-dd")</f>
        <v/>
      </c>
    </row>
    <row r="78438">
      <c r="A78438" s="1" t="n">
        <v>78437</v>
      </c>
      <c r="B78438">
        <f>TEXT(78437, "[$-0E0000]yyyy-mm-dd")</f>
        <v/>
      </c>
    </row>
    <row r="78439">
      <c r="A78439" s="1" t="n">
        <v>78438</v>
      </c>
      <c r="B78439">
        <f>TEXT(78438, "[$-0E0000]yyyy-mm-dd")</f>
        <v/>
      </c>
    </row>
    <row r="78440">
      <c r="A78440" s="1" t="n">
        <v>78439</v>
      </c>
      <c r="B78440">
        <f>TEXT(78439, "[$-0E0000]yyyy-mm-dd")</f>
        <v/>
      </c>
    </row>
    <row r="78441">
      <c r="A78441" s="1" t="n">
        <v>78440</v>
      </c>
      <c r="B78441">
        <f>TEXT(78440, "[$-0E0000]yyyy-mm-dd")</f>
        <v/>
      </c>
    </row>
    <row r="78442">
      <c r="A78442" s="1" t="n">
        <v>78441</v>
      </c>
      <c r="B78442">
        <f>TEXT(78441, "[$-0E0000]yyyy-mm-dd")</f>
        <v/>
      </c>
    </row>
    <row r="78443">
      <c r="A78443" s="1" t="n">
        <v>78442</v>
      </c>
      <c r="B78443">
        <f>TEXT(78442, "[$-0E0000]yyyy-mm-dd")</f>
        <v/>
      </c>
    </row>
    <row r="78444">
      <c r="A78444" s="1" t="n">
        <v>78443</v>
      </c>
      <c r="B78444">
        <f>TEXT(78443, "[$-0E0000]yyyy-mm-dd")</f>
        <v/>
      </c>
    </row>
    <row r="78445">
      <c r="A78445" s="1" t="n">
        <v>78444</v>
      </c>
      <c r="B78445">
        <f>TEXT(78444, "[$-0E0000]yyyy-mm-dd")</f>
        <v/>
      </c>
    </row>
    <row r="78446">
      <c r="A78446" s="1" t="n">
        <v>78445</v>
      </c>
      <c r="B78446">
        <f>TEXT(78445, "[$-0E0000]yyyy-mm-dd")</f>
        <v/>
      </c>
    </row>
    <row r="78447">
      <c r="A78447" s="1" t="n">
        <v>78446</v>
      </c>
      <c r="B78447">
        <f>TEXT(78446, "[$-0E0000]yyyy-mm-dd")</f>
        <v/>
      </c>
    </row>
    <row r="78448">
      <c r="A78448" s="1" t="n">
        <v>78447</v>
      </c>
      <c r="B78448">
        <f>TEXT(78447, "[$-0E0000]yyyy-mm-dd")</f>
        <v/>
      </c>
    </row>
    <row r="78449">
      <c r="A78449" s="1" t="n">
        <v>78448</v>
      </c>
      <c r="B78449">
        <f>TEXT(78448, "[$-0E0000]yyyy-mm-dd")</f>
        <v/>
      </c>
    </row>
    <row r="78450">
      <c r="A78450" s="1" t="n">
        <v>78449</v>
      </c>
      <c r="B78450">
        <f>TEXT(78449, "[$-0E0000]yyyy-mm-dd")</f>
        <v/>
      </c>
    </row>
    <row r="78451">
      <c r="A78451" s="1" t="n">
        <v>78450</v>
      </c>
      <c r="B78451">
        <f>TEXT(78450, "[$-0E0000]yyyy-mm-dd")</f>
        <v/>
      </c>
    </row>
    <row r="78452">
      <c r="A78452" s="1" t="n">
        <v>78451</v>
      </c>
      <c r="B78452">
        <f>TEXT(78451, "[$-0E0000]yyyy-mm-dd")</f>
        <v/>
      </c>
    </row>
    <row r="78453">
      <c r="A78453" s="1" t="n">
        <v>78452</v>
      </c>
      <c r="B78453">
        <f>TEXT(78452, "[$-0E0000]yyyy-mm-dd")</f>
        <v/>
      </c>
    </row>
    <row r="78454">
      <c r="A78454" s="1" t="n">
        <v>78453</v>
      </c>
      <c r="B78454">
        <f>TEXT(78453, "[$-0E0000]yyyy-mm-dd")</f>
        <v/>
      </c>
    </row>
    <row r="78455">
      <c r="A78455" s="1" t="n">
        <v>78454</v>
      </c>
      <c r="B78455">
        <f>TEXT(78454, "[$-0E0000]yyyy-mm-dd")</f>
        <v/>
      </c>
    </row>
    <row r="78456">
      <c r="A78456" s="1" t="n">
        <v>78455</v>
      </c>
      <c r="B78456">
        <f>TEXT(78455, "[$-0E0000]yyyy-mm-dd")</f>
        <v/>
      </c>
    </row>
    <row r="78457">
      <c r="A78457" s="1" t="n">
        <v>78456</v>
      </c>
      <c r="B78457">
        <f>TEXT(78456, "[$-0E0000]yyyy-mm-dd")</f>
        <v/>
      </c>
    </row>
    <row r="78458">
      <c r="A78458" s="1" t="n">
        <v>78457</v>
      </c>
      <c r="B78458">
        <f>TEXT(78457, "[$-0E0000]yyyy-mm-dd")</f>
        <v/>
      </c>
    </row>
    <row r="78459">
      <c r="A78459" s="1" t="n">
        <v>78458</v>
      </c>
      <c r="B78459">
        <f>TEXT(78458, "[$-0E0000]yyyy-mm-dd")</f>
        <v/>
      </c>
    </row>
    <row r="78460">
      <c r="A78460" s="1" t="n">
        <v>78459</v>
      </c>
      <c r="B78460">
        <f>TEXT(78459, "[$-0E0000]yyyy-mm-dd")</f>
        <v/>
      </c>
    </row>
    <row r="78461">
      <c r="A78461" s="1" t="n">
        <v>78460</v>
      </c>
      <c r="B78461">
        <f>TEXT(78460, "[$-0E0000]yyyy-mm-dd")</f>
        <v/>
      </c>
    </row>
    <row r="78462">
      <c r="A78462" s="1" t="n">
        <v>78461</v>
      </c>
      <c r="B78462">
        <f>TEXT(78461, "[$-0E0000]yyyy-mm-dd")</f>
        <v/>
      </c>
    </row>
    <row r="78463">
      <c r="A78463" s="1" t="n">
        <v>78462</v>
      </c>
      <c r="B78463">
        <f>TEXT(78462, "[$-0E0000]yyyy-mm-dd")</f>
        <v/>
      </c>
    </row>
    <row r="78464">
      <c r="A78464" s="1" t="n">
        <v>78463</v>
      </c>
      <c r="B78464">
        <f>TEXT(78463, "[$-0E0000]yyyy-mm-dd")</f>
        <v/>
      </c>
    </row>
    <row r="78465">
      <c r="A78465" s="1" t="n">
        <v>78464</v>
      </c>
      <c r="B78465">
        <f>TEXT(78464, "[$-0E0000]yyyy-mm-dd")</f>
        <v/>
      </c>
    </row>
    <row r="78466">
      <c r="A78466" s="1" t="n">
        <v>78465</v>
      </c>
      <c r="B78466">
        <f>TEXT(78465, "[$-0E0000]yyyy-mm-dd")</f>
        <v/>
      </c>
    </row>
    <row r="78467">
      <c r="A78467" s="1" t="n">
        <v>78466</v>
      </c>
      <c r="B78467">
        <f>TEXT(78466, "[$-0E0000]yyyy-mm-dd")</f>
        <v/>
      </c>
    </row>
    <row r="78468">
      <c r="A78468" s="1" t="n">
        <v>78467</v>
      </c>
      <c r="B78468">
        <f>TEXT(78467, "[$-0E0000]yyyy-mm-dd")</f>
        <v/>
      </c>
    </row>
    <row r="78469">
      <c r="A78469" s="1" t="n">
        <v>78468</v>
      </c>
      <c r="B78469">
        <f>TEXT(78468, "[$-0E0000]yyyy-mm-dd")</f>
        <v/>
      </c>
    </row>
    <row r="78470">
      <c r="A78470" s="1" t="n">
        <v>78469</v>
      </c>
      <c r="B78470">
        <f>TEXT(78469, "[$-0E0000]yyyy-mm-dd")</f>
        <v/>
      </c>
    </row>
    <row r="78471">
      <c r="A78471" s="1" t="n">
        <v>78470</v>
      </c>
      <c r="B78471">
        <f>TEXT(78470, "[$-0E0000]yyyy-mm-dd")</f>
        <v/>
      </c>
    </row>
    <row r="78472">
      <c r="A78472" s="1" t="n">
        <v>78471</v>
      </c>
      <c r="B78472">
        <f>TEXT(78471, "[$-0E0000]yyyy-mm-dd")</f>
        <v/>
      </c>
    </row>
    <row r="78473">
      <c r="A78473" s="1" t="n">
        <v>78472</v>
      </c>
      <c r="B78473">
        <f>TEXT(78472, "[$-0E0000]yyyy-mm-dd")</f>
        <v/>
      </c>
    </row>
    <row r="78474">
      <c r="A78474" s="1" t="n">
        <v>78473</v>
      </c>
      <c r="B78474">
        <f>TEXT(78473, "[$-0E0000]yyyy-mm-dd")</f>
        <v/>
      </c>
    </row>
    <row r="78475">
      <c r="A78475" s="1" t="n">
        <v>78474</v>
      </c>
      <c r="B78475">
        <f>TEXT(78474, "[$-0E0000]yyyy-mm-dd")</f>
        <v/>
      </c>
    </row>
    <row r="78476">
      <c r="A78476" s="1" t="n">
        <v>78475</v>
      </c>
      <c r="B78476">
        <f>TEXT(78475, "[$-0E0000]yyyy-mm-dd")</f>
        <v/>
      </c>
    </row>
    <row r="78477">
      <c r="A78477" s="1" t="n">
        <v>78476</v>
      </c>
      <c r="B78477">
        <f>TEXT(78476, "[$-0E0000]yyyy-mm-dd")</f>
        <v/>
      </c>
    </row>
    <row r="78478">
      <c r="A78478" s="1" t="n">
        <v>78477</v>
      </c>
      <c r="B78478">
        <f>TEXT(78477, "[$-0E0000]yyyy-mm-dd")</f>
        <v/>
      </c>
    </row>
    <row r="78479">
      <c r="A78479" s="1" t="n">
        <v>78478</v>
      </c>
      <c r="B78479">
        <f>TEXT(78478, "[$-0E0000]yyyy-mm-dd")</f>
        <v/>
      </c>
    </row>
    <row r="78480">
      <c r="A78480" s="1" t="n">
        <v>78479</v>
      </c>
      <c r="B78480">
        <f>TEXT(78479, "[$-0E0000]yyyy-mm-dd")</f>
        <v/>
      </c>
    </row>
    <row r="78481">
      <c r="A78481" s="1" t="n">
        <v>78480</v>
      </c>
      <c r="B78481">
        <f>TEXT(78480, "[$-0E0000]yyyy-mm-dd")</f>
        <v/>
      </c>
    </row>
    <row r="78482">
      <c r="A78482" s="1" t="n">
        <v>78481</v>
      </c>
      <c r="B78482">
        <f>TEXT(78481, "[$-0E0000]yyyy-mm-dd")</f>
        <v/>
      </c>
    </row>
    <row r="78483">
      <c r="A78483" s="1" t="n">
        <v>78482</v>
      </c>
      <c r="B78483">
        <f>TEXT(78482, "[$-0E0000]yyyy-mm-dd")</f>
        <v/>
      </c>
    </row>
    <row r="78484">
      <c r="A78484" s="1" t="n">
        <v>78483</v>
      </c>
      <c r="B78484">
        <f>TEXT(78483, "[$-0E0000]yyyy-mm-dd")</f>
        <v/>
      </c>
    </row>
    <row r="78485">
      <c r="A78485" s="1" t="n">
        <v>78484</v>
      </c>
      <c r="B78485">
        <f>TEXT(78484, "[$-0E0000]yyyy-mm-dd")</f>
        <v/>
      </c>
    </row>
    <row r="78486">
      <c r="A78486" s="1" t="n">
        <v>78485</v>
      </c>
      <c r="B78486">
        <f>TEXT(78485, "[$-0E0000]yyyy-mm-dd")</f>
        <v/>
      </c>
    </row>
    <row r="78487">
      <c r="A78487" s="1" t="n">
        <v>78486</v>
      </c>
      <c r="B78487">
        <f>TEXT(78486, "[$-0E0000]yyyy-mm-dd")</f>
        <v/>
      </c>
    </row>
    <row r="78488">
      <c r="A78488" s="1" t="n">
        <v>78487</v>
      </c>
      <c r="B78488">
        <f>TEXT(78487, "[$-0E0000]yyyy-mm-dd")</f>
        <v/>
      </c>
    </row>
    <row r="78489">
      <c r="A78489" s="1" t="n">
        <v>78488</v>
      </c>
      <c r="B78489">
        <f>TEXT(78488, "[$-0E0000]yyyy-mm-dd")</f>
        <v/>
      </c>
    </row>
    <row r="78490">
      <c r="A78490" s="1" t="n">
        <v>78489</v>
      </c>
      <c r="B78490">
        <f>TEXT(78489, "[$-0E0000]yyyy-mm-dd")</f>
        <v/>
      </c>
    </row>
    <row r="78491">
      <c r="A78491" s="1" t="n">
        <v>78490</v>
      </c>
      <c r="B78491">
        <f>TEXT(78490, "[$-0E0000]yyyy-mm-dd")</f>
        <v/>
      </c>
    </row>
    <row r="78492">
      <c r="A78492" s="1" t="n">
        <v>78491</v>
      </c>
      <c r="B78492">
        <f>TEXT(78491, "[$-0E0000]yyyy-mm-dd")</f>
        <v/>
      </c>
    </row>
    <row r="78493">
      <c r="A78493" s="1" t="n">
        <v>78492</v>
      </c>
      <c r="B78493">
        <f>TEXT(78492, "[$-0E0000]yyyy-mm-dd")</f>
        <v/>
      </c>
    </row>
    <row r="78494">
      <c r="A78494" s="1" t="n">
        <v>78493</v>
      </c>
      <c r="B78494">
        <f>TEXT(78493, "[$-0E0000]yyyy-mm-dd")</f>
        <v/>
      </c>
    </row>
    <row r="78495">
      <c r="A78495" s="1" t="n">
        <v>78494</v>
      </c>
      <c r="B78495">
        <f>TEXT(78494, "[$-0E0000]yyyy-mm-dd")</f>
        <v/>
      </c>
    </row>
    <row r="78496">
      <c r="A78496" s="1" t="n">
        <v>78495</v>
      </c>
      <c r="B78496">
        <f>TEXT(78495, "[$-0E0000]yyyy-mm-dd")</f>
        <v/>
      </c>
    </row>
    <row r="78497">
      <c r="A78497" s="1" t="n">
        <v>78496</v>
      </c>
      <c r="B78497">
        <f>TEXT(78496, "[$-0E0000]yyyy-mm-dd")</f>
        <v/>
      </c>
    </row>
    <row r="78498">
      <c r="A78498" s="1" t="n">
        <v>78497</v>
      </c>
      <c r="B78498">
        <f>TEXT(78497, "[$-0E0000]yyyy-mm-dd")</f>
        <v/>
      </c>
    </row>
    <row r="78499">
      <c r="A78499" s="1" t="n">
        <v>78498</v>
      </c>
      <c r="B78499">
        <f>TEXT(78498, "[$-0E0000]yyyy-mm-dd")</f>
        <v/>
      </c>
    </row>
    <row r="78500">
      <c r="A78500" s="1" t="n">
        <v>78499</v>
      </c>
      <c r="B78500">
        <f>TEXT(78499, "[$-0E0000]yyyy-mm-dd")</f>
        <v/>
      </c>
    </row>
    <row r="78501">
      <c r="A78501" s="1" t="n">
        <v>78500</v>
      </c>
      <c r="B78501">
        <f>TEXT(78500, "[$-0E0000]yyyy-mm-dd")</f>
        <v/>
      </c>
    </row>
    <row r="78502">
      <c r="A78502" s="1" t="n">
        <v>78501</v>
      </c>
      <c r="B78502">
        <f>TEXT(78501, "[$-0E0000]yyyy-mm-dd")</f>
        <v/>
      </c>
    </row>
    <row r="78503">
      <c r="A78503" s="1" t="n">
        <v>78502</v>
      </c>
      <c r="B78503">
        <f>TEXT(78502, "[$-0E0000]yyyy-mm-dd")</f>
        <v/>
      </c>
    </row>
    <row r="78504">
      <c r="A78504" s="1" t="n">
        <v>78503</v>
      </c>
      <c r="B78504">
        <f>TEXT(78503, "[$-0E0000]yyyy-mm-dd")</f>
        <v/>
      </c>
    </row>
    <row r="78505">
      <c r="A78505" s="1" t="n">
        <v>78504</v>
      </c>
      <c r="B78505">
        <f>TEXT(78504, "[$-0E0000]yyyy-mm-dd")</f>
        <v/>
      </c>
    </row>
    <row r="78506">
      <c r="A78506" s="1" t="n">
        <v>78505</v>
      </c>
      <c r="B78506">
        <f>TEXT(78505, "[$-0E0000]yyyy-mm-dd")</f>
        <v/>
      </c>
    </row>
    <row r="78507">
      <c r="A78507" s="1" t="n">
        <v>78506</v>
      </c>
      <c r="B78507">
        <f>TEXT(78506, "[$-0E0000]yyyy-mm-dd")</f>
        <v/>
      </c>
    </row>
    <row r="78508">
      <c r="A78508" s="1" t="n">
        <v>78507</v>
      </c>
      <c r="B78508">
        <f>TEXT(78507, "[$-0E0000]yyyy-mm-dd")</f>
        <v/>
      </c>
    </row>
    <row r="78509">
      <c r="A78509" s="1" t="n">
        <v>78508</v>
      </c>
      <c r="B78509">
        <f>TEXT(78508, "[$-0E0000]yyyy-mm-dd")</f>
        <v/>
      </c>
    </row>
    <row r="78510">
      <c r="A78510" s="1" t="n">
        <v>78509</v>
      </c>
      <c r="B78510">
        <f>TEXT(78509, "[$-0E0000]yyyy-mm-dd")</f>
        <v/>
      </c>
    </row>
    <row r="78511">
      <c r="A78511" s="1" t="n">
        <v>78510</v>
      </c>
      <c r="B78511">
        <f>TEXT(78510, "[$-0E0000]yyyy-mm-dd")</f>
        <v/>
      </c>
    </row>
    <row r="78512">
      <c r="A78512" s="1" t="n">
        <v>78511</v>
      </c>
      <c r="B78512">
        <f>TEXT(78511, "[$-0E0000]yyyy-mm-dd")</f>
        <v/>
      </c>
    </row>
    <row r="78513">
      <c r="A78513" s="1" t="n">
        <v>78512</v>
      </c>
      <c r="B78513">
        <f>TEXT(78512, "[$-0E0000]yyyy-mm-dd")</f>
        <v/>
      </c>
    </row>
    <row r="78514">
      <c r="A78514" s="1" t="n">
        <v>78513</v>
      </c>
      <c r="B78514">
        <f>TEXT(78513, "[$-0E0000]yyyy-mm-dd")</f>
        <v/>
      </c>
    </row>
    <row r="78515">
      <c r="A78515" s="1" t="n">
        <v>78514</v>
      </c>
      <c r="B78515">
        <f>TEXT(78514, "[$-0E0000]yyyy-mm-dd")</f>
        <v/>
      </c>
    </row>
    <row r="78516">
      <c r="A78516" s="1" t="n">
        <v>78515</v>
      </c>
      <c r="B78516">
        <f>TEXT(78515, "[$-0E0000]yyyy-mm-dd")</f>
        <v/>
      </c>
    </row>
    <row r="78517">
      <c r="A78517" s="1" t="n">
        <v>78516</v>
      </c>
      <c r="B78517">
        <f>TEXT(78516, "[$-0E0000]yyyy-mm-dd")</f>
        <v/>
      </c>
    </row>
    <row r="78518">
      <c r="A78518" s="1" t="n">
        <v>78517</v>
      </c>
      <c r="B78518">
        <f>TEXT(78517, "[$-0E0000]yyyy-mm-dd")</f>
        <v/>
      </c>
    </row>
    <row r="78519">
      <c r="A78519" s="1" t="n">
        <v>78518</v>
      </c>
      <c r="B78519">
        <f>TEXT(78518, "[$-0E0000]yyyy-mm-dd")</f>
        <v/>
      </c>
    </row>
    <row r="78520">
      <c r="A78520" s="1" t="n">
        <v>78519</v>
      </c>
      <c r="B78520">
        <f>TEXT(78519, "[$-0E0000]yyyy-mm-dd")</f>
        <v/>
      </c>
    </row>
    <row r="78521">
      <c r="A78521" s="1" t="n">
        <v>78520</v>
      </c>
      <c r="B78521">
        <f>TEXT(78520, "[$-0E0000]yyyy-mm-dd")</f>
        <v/>
      </c>
    </row>
    <row r="78522">
      <c r="A78522" s="1" t="n">
        <v>78521</v>
      </c>
      <c r="B78522">
        <f>TEXT(78521, "[$-0E0000]yyyy-mm-dd")</f>
        <v/>
      </c>
    </row>
    <row r="78523">
      <c r="A78523" s="1" t="n">
        <v>78522</v>
      </c>
      <c r="B78523">
        <f>TEXT(78522, "[$-0E0000]yyyy-mm-dd")</f>
        <v/>
      </c>
    </row>
    <row r="78524">
      <c r="A78524" s="1" t="n">
        <v>78523</v>
      </c>
      <c r="B78524">
        <f>TEXT(78523, "[$-0E0000]yyyy-mm-dd")</f>
        <v/>
      </c>
    </row>
    <row r="78525">
      <c r="A78525" s="1" t="n">
        <v>78524</v>
      </c>
      <c r="B78525">
        <f>TEXT(78524, "[$-0E0000]yyyy-mm-dd")</f>
        <v/>
      </c>
    </row>
    <row r="78526">
      <c r="A78526" s="1" t="n">
        <v>78525</v>
      </c>
      <c r="B78526">
        <f>TEXT(78525, "[$-0E0000]yyyy-mm-dd")</f>
        <v/>
      </c>
    </row>
    <row r="78527">
      <c r="A78527" s="1" t="n">
        <v>78526</v>
      </c>
      <c r="B78527">
        <f>TEXT(78526, "[$-0E0000]yyyy-mm-dd")</f>
        <v/>
      </c>
    </row>
    <row r="78528">
      <c r="A78528" s="1" t="n">
        <v>78527</v>
      </c>
      <c r="B78528">
        <f>TEXT(78527, "[$-0E0000]yyyy-mm-dd")</f>
        <v/>
      </c>
    </row>
    <row r="78529">
      <c r="A78529" s="1" t="n">
        <v>78528</v>
      </c>
      <c r="B78529">
        <f>TEXT(78528, "[$-0E0000]yyyy-mm-dd")</f>
        <v/>
      </c>
    </row>
    <row r="78530">
      <c r="A78530" s="1" t="n">
        <v>78529</v>
      </c>
      <c r="B78530">
        <f>TEXT(78529, "[$-0E0000]yyyy-mm-dd")</f>
        <v/>
      </c>
    </row>
    <row r="78531">
      <c r="A78531" s="1" t="n">
        <v>78530</v>
      </c>
      <c r="B78531">
        <f>TEXT(78530, "[$-0E0000]yyyy-mm-dd")</f>
        <v/>
      </c>
    </row>
    <row r="78532">
      <c r="A78532" s="1" t="n">
        <v>78531</v>
      </c>
      <c r="B78532">
        <f>TEXT(78531, "[$-0E0000]yyyy-mm-dd")</f>
        <v/>
      </c>
    </row>
    <row r="78533">
      <c r="A78533" s="1" t="n">
        <v>78532</v>
      </c>
      <c r="B78533">
        <f>TEXT(78532, "[$-0E0000]yyyy-mm-dd")</f>
        <v/>
      </c>
    </row>
    <row r="78534">
      <c r="A78534" s="1" t="n">
        <v>78533</v>
      </c>
      <c r="B78534">
        <f>TEXT(78533, "[$-0E0000]yyyy-mm-dd")</f>
        <v/>
      </c>
    </row>
    <row r="78535">
      <c r="A78535" s="1" t="n">
        <v>78534</v>
      </c>
      <c r="B78535">
        <f>TEXT(78534, "[$-0E0000]yyyy-mm-dd")</f>
        <v/>
      </c>
    </row>
    <row r="78536">
      <c r="A78536" s="1" t="n">
        <v>78535</v>
      </c>
      <c r="B78536">
        <f>TEXT(78535, "[$-0E0000]yyyy-mm-dd")</f>
        <v/>
      </c>
    </row>
    <row r="78537">
      <c r="A78537" s="1" t="n">
        <v>78536</v>
      </c>
      <c r="B78537">
        <f>TEXT(78536, "[$-0E0000]yyyy-mm-dd")</f>
        <v/>
      </c>
    </row>
    <row r="78538">
      <c r="A78538" s="1" t="n">
        <v>78537</v>
      </c>
      <c r="B78538">
        <f>TEXT(78537, "[$-0E0000]yyyy-mm-dd")</f>
        <v/>
      </c>
    </row>
    <row r="78539">
      <c r="A78539" s="1" t="n">
        <v>78538</v>
      </c>
      <c r="B78539">
        <f>TEXT(78538, "[$-0E0000]yyyy-mm-dd")</f>
        <v/>
      </c>
    </row>
    <row r="78540">
      <c r="A78540" s="1" t="n">
        <v>78539</v>
      </c>
      <c r="B78540">
        <f>TEXT(78539, "[$-0E0000]yyyy-mm-dd")</f>
        <v/>
      </c>
    </row>
    <row r="78541">
      <c r="A78541" s="1" t="n">
        <v>78540</v>
      </c>
      <c r="B78541">
        <f>TEXT(78540, "[$-0E0000]yyyy-mm-dd")</f>
        <v/>
      </c>
    </row>
    <row r="78542">
      <c r="A78542" s="1" t="n">
        <v>78541</v>
      </c>
      <c r="B78542">
        <f>TEXT(78541, "[$-0E0000]yyyy-mm-dd")</f>
        <v/>
      </c>
    </row>
    <row r="78543">
      <c r="A78543" s="1" t="n">
        <v>78542</v>
      </c>
      <c r="B78543">
        <f>TEXT(78542, "[$-0E0000]yyyy-mm-dd")</f>
        <v/>
      </c>
    </row>
    <row r="78544">
      <c r="A78544" s="1" t="n">
        <v>78543</v>
      </c>
      <c r="B78544">
        <f>TEXT(78543, "[$-0E0000]yyyy-mm-dd")</f>
        <v/>
      </c>
    </row>
    <row r="78545">
      <c r="A78545" s="1" t="n">
        <v>78544</v>
      </c>
      <c r="B78545">
        <f>TEXT(78544, "[$-0E0000]yyyy-mm-dd")</f>
        <v/>
      </c>
    </row>
    <row r="78546">
      <c r="A78546" s="1" t="n">
        <v>78545</v>
      </c>
      <c r="B78546">
        <f>TEXT(78545, "[$-0E0000]yyyy-mm-dd")</f>
        <v/>
      </c>
    </row>
    <row r="78547">
      <c r="A78547" s="1" t="n">
        <v>78546</v>
      </c>
      <c r="B78547">
        <f>TEXT(78546, "[$-0E0000]yyyy-mm-dd")</f>
        <v/>
      </c>
    </row>
    <row r="78548">
      <c r="A78548" s="1" t="n">
        <v>78547</v>
      </c>
      <c r="B78548">
        <f>TEXT(78547, "[$-0E0000]yyyy-mm-dd")</f>
        <v/>
      </c>
    </row>
    <row r="78549">
      <c r="A78549" s="1" t="n">
        <v>78548</v>
      </c>
      <c r="B78549">
        <f>TEXT(78548, "[$-0E0000]yyyy-mm-dd")</f>
        <v/>
      </c>
    </row>
    <row r="78550">
      <c r="A78550" s="1" t="n">
        <v>78549</v>
      </c>
      <c r="B78550">
        <f>TEXT(78549, "[$-0E0000]yyyy-mm-dd")</f>
        <v/>
      </c>
    </row>
    <row r="78551">
      <c r="A78551" s="1" t="n">
        <v>78550</v>
      </c>
      <c r="B78551">
        <f>TEXT(78550, "[$-0E0000]yyyy-mm-dd")</f>
        <v/>
      </c>
    </row>
    <row r="78552">
      <c r="A78552" s="1" t="n">
        <v>78551</v>
      </c>
      <c r="B78552">
        <f>TEXT(78551, "[$-0E0000]yyyy-mm-dd")</f>
        <v/>
      </c>
    </row>
    <row r="78553">
      <c r="A78553" s="1" t="n">
        <v>78552</v>
      </c>
      <c r="B78553">
        <f>TEXT(78552, "[$-0E0000]yyyy-mm-dd")</f>
        <v/>
      </c>
    </row>
    <row r="78554">
      <c r="A78554" s="1" t="n">
        <v>78553</v>
      </c>
      <c r="B78554">
        <f>TEXT(78553, "[$-0E0000]yyyy-mm-dd")</f>
        <v/>
      </c>
    </row>
    <row r="78555">
      <c r="A78555" s="1" t="n">
        <v>78554</v>
      </c>
      <c r="B78555">
        <f>TEXT(78554, "[$-0E0000]yyyy-mm-dd")</f>
        <v/>
      </c>
    </row>
    <row r="78556">
      <c r="A78556" s="1" t="n">
        <v>78555</v>
      </c>
      <c r="B78556">
        <f>TEXT(78555, "[$-0E0000]yyyy-mm-dd")</f>
        <v/>
      </c>
    </row>
    <row r="78557">
      <c r="A78557" s="1" t="n">
        <v>78556</v>
      </c>
      <c r="B78557">
        <f>TEXT(78556, "[$-0E0000]yyyy-mm-dd")</f>
        <v/>
      </c>
    </row>
    <row r="78558">
      <c r="A78558" s="1" t="n">
        <v>78557</v>
      </c>
      <c r="B78558">
        <f>TEXT(78557, "[$-0E0000]yyyy-mm-dd")</f>
        <v/>
      </c>
    </row>
    <row r="78559">
      <c r="A78559" s="1" t="n">
        <v>78558</v>
      </c>
      <c r="B78559">
        <f>TEXT(78558, "[$-0E0000]yyyy-mm-dd")</f>
        <v/>
      </c>
    </row>
    <row r="78560">
      <c r="A78560" s="1" t="n">
        <v>78559</v>
      </c>
      <c r="B78560">
        <f>TEXT(78559, "[$-0E0000]yyyy-mm-dd")</f>
        <v/>
      </c>
    </row>
    <row r="78561">
      <c r="A78561" s="1" t="n">
        <v>78560</v>
      </c>
      <c r="B78561">
        <f>TEXT(78560, "[$-0E0000]yyyy-mm-dd")</f>
        <v/>
      </c>
    </row>
    <row r="78562">
      <c r="A78562" s="1" t="n">
        <v>78561</v>
      </c>
      <c r="B78562">
        <f>TEXT(78561, "[$-0E0000]yyyy-mm-dd")</f>
        <v/>
      </c>
    </row>
    <row r="78563">
      <c r="A78563" s="1" t="n">
        <v>78562</v>
      </c>
      <c r="B78563">
        <f>TEXT(78562, "[$-0E0000]yyyy-mm-dd")</f>
        <v/>
      </c>
    </row>
    <row r="78564">
      <c r="A78564" s="1" t="n">
        <v>78563</v>
      </c>
      <c r="B78564">
        <f>TEXT(78563, "[$-0E0000]yyyy-mm-dd")</f>
        <v/>
      </c>
    </row>
    <row r="78565">
      <c r="A78565" s="1" t="n">
        <v>78564</v>
      </c>
      <c r="B78565">
        <f>TEXT(78564, "[$-0E0000]yyyy-mm-dd")</f>
        <v/>
      </c>
    </row>
    <row r="78566">
      <c r="A78566" s="1" t="n">
        <v>78565</v>
      </c>
      <c r="B78566">
        <f>TEXT(78565, "[$-0E0000]yyyy-mm-dd")</f>
        <v/>
      </c>
    </row>
    <row r="78567">
      <c r="A78567" s="1" t="n">
        <v>78566</v>
      </c>
      <c r="B78567">
        <f>TEXT(78566, "[$-0E0000]yyyy-mm-dd")</f>
        <v/>
      </c>
    </row>
    <row r="78568">
      <c r="A78568" s="1" t="n">
        <v>78567</v>
      </c>
      <c r="B78568">
        <f>TEXT(78567, "[$-0E0000]yyyy-mm-dd")</f>
        <v/>
      </c>
    </row>
    <row r="78569">
      <c r="A78569" s="1" t="n">
        <v>78568</v>
      </c>
      <c r="B78569">
        <f>TEXT(78568, "[$-0E0000]yyyy-mm-dd")</f>
        <v/>
      </c>
    </row>
    <row r="78570">
      <c r="A78570" s="1" t="n">
        <v>78569</v>
      </c>
      <c r="B78570">
        <f>TEXT(78569, "[$-0E0000]yyyy-mm-dd")</f>
        <v/>
      </c>
    </row>
    <row r="78571">
      <c r="A78571" s="1" t="n">
        <v>78570</v>
      </c>
      <c r="B78571">
        <f>TEXT(78570, "[$-0E0000]yyyy-mm-dd")</f>
        <v/>
      </c>
    </row>
    <row r="78572">
      <c r="A78572" s="1" t="n">
        <v>78571</v>
      </c>
      <c r="B78572">
        <f>TEXT(78571, "[$-0E0000]yyyy-mm-dd")</f>
        <v/>
      </c>
    </row>
    <row r="78573">
      <c r="A78573" s="1" t="n">
        <v>78572</v>
      </c>
      <c r="B78573">
        <f>TEXT(78572, "[$-0E0000]yyyy-mm-dd")</f>
        <v/>
      </c>
    </row>
    <row r="78574">
      <c r="A78574" s="1" t="n">
        <v>78573</v>
      </c>
      <c r="B78574">
        <f>TEXT(78573, "[$-0E0000]yyyy-mm-dd")</f>
        <v/>
      </c>
    </row>
    <row r="78575">
      <c r="A78575" s="1" t="n">
        <v>78574</v>
      </c>
      <c r="B78575">
        <f>TEXT(78574, "[$-0E0000]yyyy-mm-dd")</f>
        <v/>
      </c>
    </row>
    <row r="78576">
      <c r="A78576" s="1" t="n">
        <v>78575</v>
      </c>
      <c r="B78576">
        <f>TEXT(78575, "[$-0E0000]yyyy-mm-dd")</f>
        <v/>
      </c>
    </row>
    <row r="78577">
      <c r="A78577" s="1" t="n">
        <v>78576</v>
      </c>
      <c r="B78577">
        <f>TEXT(78576, "[$-0E0000]yyyy-mm-dd")</f>
        <v/>
      </c>
    </row>
    <row r="78578">
      <c r="A78578" s="1" t="n">
        <v>78577</v>
      </c>
      <c r="B78578">
        <f>TEXT(78577, "[$-0E0000]yyyy-mm-dd")</f>
        <v/>
      </c>
    </row>
    <row r="78579">
      <c r="A78579" s="1" t="n">
        <v>78578</v>
      </c>
      <c r="B78579">
        <f>TEXT(78578, "[$-0E0000]yyyy-mm-dd")</f>
        <v/>
      </c>
    </row>
    <row r="78580">
      <c r="A78580" s="1" t="n">
        <v>78579</v>
      </c>
      <c r="B78580">
        <f>TEXT(78579, "[$-0E0000]yyyy-mm-dd")</f>
        <v/>
      </c>
    </row>
    <row r="78581">
      <c r="A78581" s="1" t="n">
        <v>78580</v>
      </c>
      <c r="B78581">
        <f>TEXT(78580, "[$-0E0000]yyyy-mm-dd")</f>
        <v/>
      </c>
    </row>
    <row r="78582">
      <c r="A78582" s="1" t="n">
        <v>78581</v>
      </c>
      <c r="B78582">
        <f>TEXT(78581, "[$-0E0000]yyyy-mm-dd")</f>
        <v/>
      </c>
    </row>
    <row r="78583">
      <c r="A78583" s="1" t="n">
        <v>78582</v>
      </c>
      <c r="B78583">
        <f>TEXT(78582, "[$-0E0000]yyyy-mm-dd")</f>
        <v/>
      </c>
    </row>
    <row r="78584">
      <c r="A78584" s="1" t="n">
        <v>78583</v>
      </c>
      <c r="B78584">
        <f>TEXT(78583, "[$-0E0000]yyyy-mm-dd")</f>
        <v/>
      </c>
    </row>
    <row r="78585">
      <c r="A78585" s="1" t="n">
        <v>78584</v>
      </c>
      <c r="B78585">
        <f>TEXT(78584, "[$-0E0000]yyyy-mm-dd")</f>
        <v/>
      </c>
    </row>
    <row r="78586">
      <c r="A78586" s="1" t="n">
        <v>78585</v>
      </c>
      <c r="B78586">
        <f>TEXT(78585, "[$-0E0000]yyyy-mm-dd")</f>
        <v/>
      </c>
    </row>
    <row r="78587">
      <c r="A78587" s="1" t="n">
        <v>78586</v>
      </c>
      <c r="B78587">
        <f>TEXT(78586, "[$-0E0000]yyyy-mm-dd")</f>
        <v/>
      </c>
    </row>
    <row r="78588">
      <c r="A78588" s="1" t="n">
        <v>78587</v>
      </c>
      <c r="B78588">
        <f>TEXT(78587, "[$-0E0000]yyyy-mm-dd")</f>
        <v/>
      </c>
    </row>
    <row r="78589">
      <c r="A78589" s="1" t="n">
        <v>78588</v>
      </c>
      <c r="B78589">
        <f>TEXT(78588, "[$-0E0000]yyyy-mm-dd")</f>
        <v/>
      </c>
    </row>
    <row r="78590">
      <c r="A78590" s="1" t="n">
        <v>78589</v>
      </c>
      <c r="B78590">
        <f>TEXT(78589, "[$-0E0000]yyyy-mm-dd")</f>
        <v/>
      </c>
    </row>
    <row r="78591">
      <c r="A78591" s="1" t="n">
        <v>78590</v>
      </c>
      <c r="B78591">
        <f>TEXT(78590, "[$-0E0000]yyyy-mm-dd")</f>
        <v/>
      </c>
    </row>
    <row r="78592">
      <c r="A78592" s="1" t="n">
        <v>78591</v>
      </c>
      <c r="B78592">
        <f>TEXT(78591, "[$-0E0000]yyyy-mm-dd")</f>
        <v/>
      </c>
    </row>
    <row r="78593">
      <c r="A78593" s="1" t="n">
        <v>78592</v>
      </c>
      <c r="B78593">
        <f>TEXT(78592, "[$-0E0000]yyyy-mm-dd")</f>
        <v/>
      </c>
    </row>
    <row r="78594">
      <c r="A78594" s="1" t="n">
        <v>78593</v>
      </c>
      <c r="B78594">
        <f>TEXT(78593, "[$-0E0000]yyyy-mm-dd")</f>
        <v/>
      </c>
    </row>
    <row r="78595">
      <c r="A78595" s="1" t="n">
        <v>78594</v>
      </c>
      <c r="B78595">
        <f>TEXT(78594, "[$-0E0000]yyyy-mm-dd")</f>
        <v/>
      </c>
    </row>
    <row r="78596">
      <c r="A78596" s="1" t="n">
        <v>78595</v>
      </c>
      <c r="B78596">
        <f>TEXT(78595, "[$-0E0000]yyyy-mm-dd")</f>
        <v/>
      </c>
    </row>
    <row r="78597">
      <c r="A78597" s="1" t="n">
        <v>78596</v>
      </c>
      <c r="B78597">
        <f>TEXT(78596, "[$-0E0000]yyyy-mm-dd")</f>
        <v/>
      </c>
    </row>
    <row r="78598">
      <c r="A78598" s="1" t="n">
        <v>78597</v>
      </c>
      <c r="B78598">
        <f>TEXT(78597, "[$-0E0000]yyyy-mm-dd")</f>
        <v/>
      </c>
    </row>
    <row r="78599">
      <c r="A78599" s="1" t="n">
        <v>78598</v>
      </c>
      <c r="B78599">
        <f>TEXT(78598, "[$-0E0000]yyyy-mm-dd")</f>
        <v/>
      </c>
    </row>
    <row r="78600">
      <c r="A78600" s="1" t="n">
        <v>78599</v>
      </c>
      <c r="B78600">
        <f>TEXT(78599, "[$-0E0000]yyyy-mm-dd")</f>
        <v/>
      </c>
    </row>
    <row r="78601">
      <c r="A78601" s="1" t="n">
        <v>78600</v>
      </c>
      <c r="B78601">
        <f>TEXT(78600, "[$-0E0000]yyyy-mm-dd")</f>
        <v/>
      </c>
    </row>
    <row r="78602">
      <c r="A78602" s="1" t="n">
        <v>78601</v>
      </c>
      <c r="B78602">
        <f>TEXT(78601, "[$-0E0000]yyyy-mm-dd")</f>
        <v/>
      </c>
    </row>
    <row r="78603">
      <c r="A78603" s="1" t="n">
        <v>78602</v>
      </c>
      <c r="B78603">
        <f>TEXT(78602, "[$-0E0000]yyyy-mm-dd")</f>
        <v/>
      </c>
    </row>
    <row r="78604">
      <c r="A78604" s="1" t="n">
        <v>78603</v>
      </c>
      <c r="B78604">
        <f>TEXT(78603, "[$-0E0000]yyyy-mm-dd")</f>
        <v/>
      </c>
    </row>
    <row r="78605">
      <c r="A78605" s="1" t="n">
        <v>78604</v>
      </c>
      <c r="B78605">
        <f>TEXT(78604, "[$-0E0000]yyyy-mm-dd")</f>
        <v/>
      </c>
    </row>
    <row r="78606">
      <c r="A78606" s="1" t="n">
        <v>78605</v>
      </c>
      <c r="B78606">
        <f>TEXT(78605, "[$-0E0000]yyyy-mm-dd")</f>
        <v/>
      </c>
    </row>
    <row r="78607">
      <c r="A78607" s="1" t="n">
        <v>78606</v>
      </c>
      <c r="B78607">
        <f>TEXT(78606, "[$-0E0000]yyyy-mm-dd")</f>
        <v/>
      </c>
    </row>
    <row r="78608">
      <c r="A78608" s="1" t="n">
        <v>78607</v>
      </c>
      <c r="B78608">
        <f>TEXT(78607, "[$-0E0000]yyyy-mm-dd")</f>
        <v/>
      </c>
    </row>
    <row r="78609">
      <c r="A78609" s="1" t="n">
        <v>78608</v>
      </c>
      <c r="B78609">
        <f>TEXT(78608, "[$-0E0000]yyyy-mm-dd")</f>
        <v/>
      </c>
    </row>
    <row r="78610">
      <c r="A78610" s="1" t="n">
        <v>78609</v>
      </c>
      <c r="B78610">
        <f>TEXT(78609, "[$-0E0000]yyyy-mm-dd")</f>
        <v/>
      </c>
    </row>
    <row r="78611">
      <c r="A78611" s="1" t="n">
        <v>78610</v>
      </c>
      <c r="B78611">
        <f>TEXT(78610, "[$-0E0000]yyyy-mm-dd")</f>
        <v/>
      </c>
    </row>
    <row r="78612">
      <c r="A78612" s="1" t="n">
        <v>78611</v>
      </c>
      <c r="B78612">
        <f>TEXT(78611, "[$-0E0000]yyyy-mm-dd")</f>
        <v/>
      </c>
    </row>
    <row r="78613">
      <c r="A78613" s="1" t="n">
        <v>78612</v>
      </c>
      <c r="B78613">
        <f>TEXT(78612, "[$-0E0000]yyyy-mm-dd")</f>
        <v/>
      </c>
    </row>
    <row r="78614">
      <c r="A78614" s="1" t="n">
        <v>78613</v>
      </c>
      <c r="B78614">
        <f>TEXT(78613, "[$-0E0000]yyyy-mm-dd")</f>
        <v/>
      </c>
    </row>
    <row r="78615">
      <c r="A78615" s="1" t="n">
        <v>78614</v>
      </c>
      <c r="B78615">
        <f>TEXT(78614, "[$-0E0000]yyyy-mm-dd")</f>
        <v/>
      </c>
    </row>
    <row r="78616">
      <c r="A78616" s="1" t="n">
        <v>78615</v>
      </c>
      <c r="B78616">
        <f>TEXT(78615, "[$-0E0000]yyyy-mm-dd")</f>
        <v/>
      </c>
    </row>
    <row r="78617">
      <c r="A78617" s="1" t="n">
        <v>78616</v>
      </c>
      <c r="B78617">
        <f>TEXT(78616, "[$-0E0000]yyyy-mm-dd")</f>
        <v/>
      </c>
    </row>
    <row r="78618">
      <c r="A78618" s="1" t="n">
        <v>78617</v>
      </c>
      <c r="B78618">
        <f>TEXT(78617, "[$-0E0000]yyyy-mm-dd")</f>
        <v/>
      </c>
    </row>
    <row r="78619">
      <c r="A78619" s="1" t="n">
        <v>78618</v>
      </c>
      <c r="B78619">
        <f>TEXT(78618, "[$-0E0000]yyyy-mm-dd")</f>
        <v/>
      </c>
    </row>
    <row r="78620">
      <c r="A78620" s="1" t="n">
        <v>78619</v>
      </c>
      <c r="B78620">
        <f>TEXT(78619, "[$-0E0000]yyyy-mm-dd")</f>
        <v/>
      </c>
    </row>
    <row r="78621">
      <c r="A78621" s="1" t="n">
        <v>78620</v>
      </c>
      <c r="B78621">
        <f>TEXT(78620, "[$-0E0000]yyyy-mm-dd")</f>
        <v/>
      </c>
    </row>
    <row r="78622">
      <c r="A78622" s="1" t="n">
        <v>78621</v>
      </c>
      <c r="B78622">
        <f>TEXT(78621, "[$-0E0000]yyyy-mm-dd")</f>
        <v/>
      </c>
    </row>
    <row r="78623">
      <c r="A78623" s="1" t="n">
        <v>78622</v>
      </c>
      <c r="B78623">
        <f>TEXT(78622, "[$-0E0000]yyyy-mm-dd")</f>
        <v/>
      </c>
    </row>
    <row r="78624">
      <c r="A78624" s="1" t="n">
        <v>78623</v>
      </c>
      <c r="B78624">
        <f>TEXT(78623, "[$-0E0000]yyyy-mm-dd")</f>
        <v/>
      </c>
    </row>
    <row r="78625">
      <c r="A78625" s="1" t="n">
        <v>78624</v>
      </c>
      <c r="B78625">
        <f>TEXT(78624, "[$-0E0000]yyyy-mm-dd")</f>
        <v/>
      </c>
    </row>
    <row r="78626">
      <c r="A78626" s="1" t="n">
        <v>78625</v>
      </c>
      <c r="B78626">
        <f>TEXT(78625, "[$-0E0000]yyyy-mm-dd")</f>
        <v/>
      </c>
    </row>
    <row r="78627">
      <c r="A78627" s="1" t="n">
        <v>78626</v>
      </c>
      <c r="B78627">
        <f>TEXT(78626, "[$-0E0000]yyyy-mm-dd")</f>
        <v/>
      </c>
    </row>
    <row r="78628">
      <c r="A78628" s="1" t="n">
        <v>78627</v>
      </c>
      <c r="B78628">
        <f>TEXT(78627, "[$-0E0000]yyyy-mm-dd")</f>
        <v/>
      </c>
    </row>
    <row r="78629">
      <c r="A78629" s="1" t="n">
        <v>78628</v>
      </c>
      <c r="B78629">
        <f>TEXT(78628, "[$-0E0000]yyyy-mm-dd")</f>
        <v/>
      </c>
    </row>
    <row r="78630">
      <c r="A78630" s="1" t="n">
        <v>78629</v>
      </c>
      <c r="B78630">
        <f>TEXT(78629, "[$-0E0000]yyyy-mm-dd")</f>
        <v/>
      </c>
    </row>
    <row r="78631">
      <c r="A78631" s="1" t="n">
        <v>78630</v>
      </c>
      <c r="B78631">
        <f>TEXT(78630, "[$-0E0000]yyyy-mm-dd")</f>
        <v/>
      </c>
    </row>
    <row r="78632">
      <c r="A78632" s="1" t="n">
        <v>78631</v>
      </c>
      <c r="B78632">
        <f>TEXT(78631, "[$-0E0000]yyyy-mm-dd")</f>
        <v/>
      </c>
    </row>
    <row r="78633">
      <c r="A78633" s="1" t="n">
        <v>78632</v>
      </c>
      <c r="B78633">
        <f>TEXT(78632, "[$-0E0000]yyyy-mm-dd")</f>
        <v/>
      </c>
    </row>
    <row r="78634">
      <c r="A78634" s="1" t="n">
        <v>78633</v>
      </c>
      <c r="B78634">
        <f>TEXT(78633, "[$-0E0000]yyyy-mm-dd")</f>
        <v/>
      </c>
    </row>
    <row r="78635">
      <c r="A78635" s="1" t="n">
        <v>78634</v>
      </c>
      <c r="B78635">
        <f>TEXT(78634, "[$-0E0000]yyyy-mm-dd")</f>
        <v/>
      </c>
    </row>
    <row r="78636">
      <c r="A78636" s="1" t="n">
        <v>78635</v>
      </c>
      <c r="B78636">
        <f>TEXT(78635, "[$-0E0000]yyyy-mm-dd")</f>
        <v/>
      </c>
    </row>
    <row r="78637">
      <c r="A78637" s="1" t="n">
        <v>78636</v>
      </c>
      <c r="B78637">
        <f>TEXT(78636, "[$-0E0000]yyyy-mm-dd")</f>
        <v/>
      </c>
    </row>
    <row r="78638">
      <c r="A78638" s="1" t="n">
        <v>78637</v>
      </c>
      <c r="B78638">
        <f>TEXT(78637, "[$-0E0000]yyyy-mm-dd")</f>
        <v/>
      </c>
    </row>
    <row r="78639">
      <c r="A78639" s="1" t="n">
        <v>78638</v>
      </c>
      <c r="B78639">
        <f>TEXT(78638, "[$-0E0000]yyyy-mm-dd")</f>
        <v/>
      </c>
    </row>
    <row r="78640">
      <c r="A78640" s="1" t="n">
        <v>78639</v>
      </c>
      <c r="B78640">
        <f>TEXT(78639, "[$-0E0000]yyyy-mm-dd")</f>
        <v/>
      </c>
    </row>
    <row r="78641">
      <c r="A78641" s="1" t="n">
        <v>78640</v>
      </c>
      <c r="B78641">
        <f>TEXT(78640, "[$-0E0000]yyyy-mm-dd")</f>
        <v/>
      </c>
    </row>
    <row r="78642">
      <c r="A78642" s="1" t="n">
        <v>78641</v>
      </c>
      <c r="B78642">
        <f>TEXT(78641, "[$-0E0000]yyyy-mm-dd")</f>
        <v/>
      </c>
    </row>
    <row r="78643">
      <c r="A78643" s="1" t="n">
        <v>78642</v>
      </c>
      <c r="B78643">
        <f>TEXT(78642, "[$-0E0000]yyyy-mm-dd")</f>
        <v/>
      </c>
    </row>
    <row r="78644">
      <c r="A78644" s="1" t="n">
        <v>78643</v>
      </c>
      <c r="B78644">
        <f>TEXT(78643, "[$-0E0000]yyyy-mm-dd")</f>
        <v/>
      </c>
    </row>
    <row r="78645">
      <c r="A78645" s="1" t="n">
        <v>78644</v>
      </c>
      <c r="B78645">
        <f>TEXT(78644, "[$-0E0000]yyyy-mm-dd")</f>
        <v/>
      </c>
    </row>
    <row r="78646">
      <c r="A78646" s="1" t="n">
        <v>78645</v>
      </c>
      <c r="B78646">
        <f>TEXT(78645, "[$-0E0000]yyyy-mm-dd")</f>
        <v/>
      </c>
    </row>
    <row r="78647">
      <c r="A78647" s="1" t="n">
        <v>78646</v>
      </c>
      <c r="B78647">
        <f>TEXT(78646, "[$-0E0000]yyyy-mm-dd")</f>
        <v/>
      </c>
    </row>
    <row r="78648">
      <c r="A78648" s="1" t="n">
        <v>78647</v>
      </c>
      <c r="B78648">
        <f>TEXT(78647, "[$-0E0000]yyyy-mm-dd")</f>
        <v/>
      </c>
    </row>
    <row r="78649">
      <c r="A78649" s="1" t="n">
        <v>78648</v>
      </c>
      <c r="B78649">
        <f>TEXT(78648, "[$-0E0000]yyyy-mm-dd")</f>
        <v/>
      </c>
    </row>
    <row r="78650">
      <c r="A78650" s="1" t="n">
        <v>78649</v>
      </c>
      <c r="B78650">
        <f>TEXT(78649, "[$-0E0000]yyyy-mm-dd")</f>
        <v/>
      </c>
    </row>
    <row r="78651">
      <c r="A78651" s="1" t="n">
        <v>78650</v>
      </c>
      <c r="B78651">
        <f>TEXT(78650, "[$-0E0000]yyyy-mm-dd")</f>
        <v/>
      </c>
    </row>
    <row r="78652">
      <c r="A78652" s="1" t="n">
        <v>78651</v>
      </c>
      <c r="B78652">
        <f>TEXT(78651, "[$-0E0000]yyyy-mm-dd")</f>
        <v/>
      </c>
    </row>
    <row r="78653">
      <c r="A78653" s="1" t="n">
        <v>78652</v>
      </c>
      <c r="B78653">
        <f>TEXT(78652, "[$-0E0000]yyyy-mm-dd")</f>
        <v/>
      </c>
    </row>
    <row r="78654">
      <c r="A78654" s="1" t="n">
        <v>78653</v>
      </c>
      <c r="B78654">
        <f>TEXT(78653, "[$-0E0000]yyyy-mm-dd")</f>
        <v/>
      </c>
    </row>
    <row r="78655">
      <c r="A78655" s="1" t="n">
        <v>78654</v>
      </c>
      <c r="B78655">
        <f>TEXT(78654, "[$-0E0000]yyyy-mm-dd")</f>
        <v/>
      </c>
    </row>
    <row r="78656">
      <c r="A78656" s="1" t="n">
        <v>78655</v>
      </c>
      <c r="B78656">
        <f>TEXT(78655, "[$-0E0000]yyyy-mm-dd")</f>
        <v/>
      </c>
    </row>
    <row r="78657">
      <c r="A78657" s="1" t="n">
        <v>78656</v>
      </c>
      <c r="B78657">
        <f>TEXT(78656, "[$-0E0000]yyyy-mm-dd")</f>
        <v/>
      </c>
    </row>
    <row r="78658">
      <c r="A78658" s="1" t="n">
        <v>78657</v>
      </c>
      <c r="B78658">
        <f>TEXT(78657, "[$-0E0000]yyyy-mm-dd")</f>
        <v/>
      </c>
    </row>
    <row r="78659">
      <c r="A78659" s="1" t="n">
        <v>78658</v>
      </c>
      <c r="B78659">
        <f>TEXT(78658, "[$-0E0000]yyyy-mm-dd")</f>
        <v/>
      </c>
    </row>
    <row r="78660">
      <c r="A78660" s="1" t="n">
        <v>78659</v>
      </c>
      <c r="B78660">
        <f>TEXT(78659, "[$-0E0000]yyyy-mm-dd")</f>
        <v/>
      </c>
    </row>
    <row r="78661">
      <c r="A78661" s="1" t="n">
        <v>78660</v>
      </c>
      <c r="B78661">
        <f>TEXT(78660, "[$-0E0000]yyyy-mm-dd")</f>
        <v/>
      </c>
    </row>
    <row r="78662">
      <c r="A78662" s="1" t="n">
        <v>78661</v>
      </c>
      <c r="B78662">
        <f>TEXT(78661, "[$-0E0000]yyyy-mm-dd")</f>
        <v/>
      </c>
    </row>
    <row r="78663">
      <c r="A78663" s="1" t="n">
        <v>78662</v>
      </c>
      <c r="B78663">
        <f>TEXT(78662, "[$-0E0000]yyyy-mm-dd")</f>
        <v/>
      </c>
    </row>
    <row r="78664">
      <c r="A78664" s="1" t="n">
        <v>78663</v>
      </c>
      <c r="B78664">
        <f>TEXT(78663, "[$-0E0000]yyyy-mm-dd")</f>
        <v/>
      </c>
    </row>
    <row r="78665">
      <c r="A78665" s="1" t="n">
        <v>78664</v>
      </c>
      <c r="B78665">
        <f>TEXT(78664, "[$-0E0000]yyyy-mm-dd")</f>
        <v/>
      </c>
    </row>
    <row r="78666">
      <c r="A78666" s="1" t="n">
        <v>78665</v>
      </c>
      <c r="B78666">
        <f>TEXT(78665, "[$-0E0000]yyyy-mm-dd")</f>
        <v/>
      </c>
    </row>
    <row r="78667">
      <c r="A78667" s="1" t="n">
        <v>78666</v>
      </c>
      <c r="B78667">
        <f>TEXT(78666, "[$-0E0000]yyyy-mm-dd")</f>
        <v/>
      </c>
    </row>
    <row r="78668">
      <c r="A78668" s="1" t="n">
        <v>78667</v>
      </c>
      <c r="B78668">
        <f>TEXT(78667, "[$-0E0000]yyyy-mm-dd")</f>
        <v/>
      </c>
    </row>
    <row r="78669">
      <c r="A78669" s="1" t="n">
        <v>78668</v>
      </c>
      <c r="B78669">
        <f>TEXT(78668, "[$-0E0000]yyyy-mm-dd")</f>
        <v/>
      </c>
    </row>
    <row r="78670">
      <c r="A78670" s="1" t="n">
        <v>78669</v>
      </c>
      <c r="B78670">
        <f>TEXT(78669, "[$-0E0000]yyyy-mm-dd")</f>
        <v/>
      </c>
    </row>
    <row r="78671">
      <c r="A78671" s="1" t="n">
        <v>78670</v>
      </c>
      <c r="B78671">
        <f>TEXT(78670, "[$-0E0000]yyyy-mm-dd")</f>
        <v/>
      </c>
    </row>
    <row r="78672">
      <c r="A78672" s="1" t="n">
        <v>78671</v>
      </c>
      <c r="B78672">
        <f>TEXT(78671, "[$-0E0000]yyyy-mm-dd")</f>
        <v/>
      </c>
    </row>
    <row r="78673">
      <c r="A78673" s="1" t="n">
        <v>78672</v>
      </c>
      <c r="B78673">
        <f>TEXT(78672, "[$-0E0000]yyyy-mm-dd")</f>
        <v/>
      </c>
    </row>
    <row r="78674">
      <c r="A78674" s="1" t="n">
        <v>78673</v>
      </c>
      <c r="B78674">
        <f>TEXT(78673, "[$-0E0000]yyyy-mm-dd")</f>
        <v/>
      </c>
    </row>
    <row r="78675">
      <c r="A78675" s="1" t="n">
        <v>78674</v>
      </c>
      <c r="B78675">
        <f>TEXT(78674, "[$-0E0000]yyyy-mm-dd")</f>
        <v/>
      </c>
    </row>
    <row r="78676">
      <c r="A78676" s="1" t="n">
        <v>78675</v>
      </c>
      <c r="B78676">
        <f>TEXT(78675, "[$-0E0000]yyyy-mm-dd")</f>
        <v/>
      </c>
    </row>
    <row r="78677">
      <c r="A78677" s="1" t="n">
        <v>78676</v>
      </c>
      <c r="B78677">
        <f>TEXT(78676, "[$-0E0000]yyyy-mm-dd")</f>
        <v/>
      </c>
    </row>
    <row r="78678">
      <c r="A78678" s="1" t="n">
        <v>78677</v>
      </c>
      <c r="B78678">
        <f>TEXT(78677, "[$-0E0000]yyyy-mm-dd")</f>
        <v/>
      </c>
    </row>
    <row r="78679">
      <c r="A78679" s="1" t="n">
        <v>78678</v>
      </c>
      <c r="B78679">
        <f>TEXT(78678, "[$-0E0000]yyyy-mm-dd")</f>
        <v/>
      </c>
    </row>
    <row r="78680">
      <c r="A78680" s="1" t="n">
        <v>78679</v>
      </c>
      <c r="B78680">
        <f>TEXT(78679, "[$-0E0000]yyyy-mm-dd")</f>
        <v/>
      </c>
    </row>
    <row r="78681">
      <c r="A78681" s="1" t="n">
        <v>78680</v>
      </c>
      <c r="B78681">
        <f>TEXT(78680, "[$-0E0000]yyyy-mm-dd")</f>
        <v/>
      </c>
    </row>
    <row r="78682">
      <c r="A78682" s="1" t="n">
        <v>78681</v>
      </c>
      <c r="B78682">
        <f>TEXT(78681, "[$-0E0000]yyyy-mm-dd")</f>
        <v/>
      </c>
    </row>
    <row r="78683">
      <c r="A78683" s="1" t="n">
        <v>78682</v>
      </c>
      <c r="B78683">
        <f>TEXT(78682, "[$-0E0000]yyyy-mm-dd")</f>
        <v/>
      </c>
    </row>
    <row r="78684">
      <c r="A78684" s="1" t="n">
        <v>78683</v>
      </c>
      <c r="B78684">
        <f>TEXT(78683, "[$-0E0000]yyyy-mm-dd")</f>
        <v/>
      </c>
    </row>
    <row r="78685">
      <c r="A78685" s="1" t="n">
        <v>78684</v>
      </c>
      <c r="B78685">
        <f>TEXT(78684, "[$-0E0000]yyyy-mm-dd")</f>
        <v/>
      </c>
    </row>
    <row r="78686">
      <c r="A78686" s="1" t="n">
        <v>78685</v>
      </c>
      <c r="B78686">
        <f>TEXT(78685, "[$-0E0000]yyyy-mm-dd")</f>
        <v/>
      </c>
    </row>
    <row r="78687">
      <c r="A78687" s="1" t="n">
        <v>78686</v>
      </c>
      <c r="B78687">
        <f>TEXT(78686, "[$-0E0000]yyyy-mm-dd")</f>
        <v/>
      </c>
    </row>
    <row r="78688">
      <c r="A78688" s="1" t="n">
        <v>78687</v>
      </c>
      <c r="B78688">
        <f>TEXT(78687, "[$-0E0000]yyyy-mm-dd")</f>
        <v/>
      </c>
    </row>
    <row r="78689">
      <c r="A78689" s="1" t="n">
        <v>78688</v>
      </c>
      <c r="B78689">
        <f>TEXT(78688, "[$-0E0000]yyyy-mm-dd")</f>
        <v/>
      </c>
    </row>
    <row r="78690">
      <c r="A78690" s="1" t="n">
        <v>78689</v>
      </c>
      <c r="B78690">
        <f>TEXT(78689, "[$-0E0000]yyyy-mm-dd")</f>
        <v/>
      </c>
    </row>
    <row r="78691">
      <c r="A78691" s="1" t="n">
        <v>78690</v>
      </c>
      <c r="B78691">
        <f>TEXT(78690, "[$-0E0000]yyyy-mm-dd")</f>
        <v/>
      </c>
    </row>
    <row r="78692">
      <c r="A78692" s="1" t="n">
        <v>78691</v>
      </c>
      <c r="B78692">
        <f>TEXT(78691, "[$-0E0000]yyyy-mm-dd")</f>
        <v/>
      </c>
    </row>
    <row r="78693">
      <c r="A78693" s="1" t="n">
        <v>78692</v>
      </c>
      <c r="B78693">
        <f>TEXT(78692, "[$-0E0000]yyyy-mm-dd")</f>
        <v/>
      </c>
    </row>
    <row r="78694">
      <c r="A78694" s="1" t="n">
        <v>78693</v>
      </c>
      <c r="B78694">
        <f>TEXT(78693, "[$-0E0000]yyyy-mm-dd")</f>
        <v/>
      </c>
    </row>
    <row r="78695">
      <c r="A78695" s="1" t="n">
        <v>78694</v>
      </c>
      <c r="B78695">
        <f>TEXT(78694, "[$-0E0000]yyyy-mm-dd")</f>
        <v/>
      </c>
    </row>
    <row r="78696">
      <c r="A78696" s="1" t="n">
        <v>78695</v>
      </c>
      <c r="B78696">
        <f>TEXT(78695, "[$-0E0000]yyyy-mm-dd")</f>
        <v/>
      </c>
    </row>
    <row r="78697">
      <c r="A78697" s="1" t="n">
        <v>78696</v>
      </c>
      <c r="B78697">
        <f>TEXT(78696, "[$-0E0000]yyyy-mm-dd")</f>
        <v/>
      </c>
    </row>
    <row r="78698">
      <c r="A78698" s="1" t="n">
        <v>78697</v>
      </c>
      <c r="B78698">
        <f>TEXT(78697, "[$-0E0000]yyyy-mm-dd")</f>
        <v/>
      </c>
    </row>
    <row r="78699">
      <c r="A78699" s="1" t="n">
        <v>78698</v>
      </c>
      <c r="B78699">
        <f>TEXT(78698, "[$-0E0000]yyyy-mm-dd")</f>
        <v/>
      </c>
    </row>
    <row r="78700">
      <c r="A78700" s="1" t="n">
        <v>78699</v>
      </c>
      <c r="B78700">
        <f>TEXT(78699, "[$-0E0000]yyyy-mm-dd")</f>
        <v/>
      </c>
    </row>
    <row r="78701">
      <c r="A78701" s="1" t="n">
        <v>78700</v>
      </c>
      <c r="B78701">
        <f>TEXT(78700, "[$-0E0000]yyyy-mm-dd")</f>
        <v/>
      </c>
    </row>
    <row r="78702">
      <c r="A78702" s="1" t="n">
        <v>78701</v>
      </c>
      <c r="B78702">
        <f>TEXT(78701, "[$-0E0000]yyyy-mm-dd")</f>
        <v/>
      </c>
    </row>
    <row r="78703">
      <c r="A78703" s="1" t="n">
        <v>78702</v>
      </c>
      <c r="B78703">
        <f>TEXT(78702, "[$-0E0000]yyyy-mm-dd")</f>
        <v/>
      </c>
    </row>
    <row r="78704">
      <c r="A78704" s="1" t="n">
        <v>78703</v>
      </c>
      <c r="B78704">
        <f>TEXT(78703, "[$-0E0000]yyyy-mm-dd")</f>
        <v/>
      </c>
    </row>
    <row r="78705">
      <c r="A78705" s="1" t="n">
        <v>78704</v>
      </c>
      <c r="B78705">
        <f>TEXT(78704, "[$-0E0000]yyyy-mm-dd")</f>
        <v/>
      </c>
    </row>
    <row r="78706">
      <c r="A78706" s="1" t="n">
        <v>78705</v>
      </c>
      <c r="B78706">
        <f>TEXT(78705, "[$-0E0000]yyyy-mm-dd")</f>
        <v/>
      </c>
    </row>
    <row r="78707">
      <c r="A78707" s="1" t="n">
        <v>78706</v>
      </c>
      <c r="B78707">
        <f>TEXT(78706, "[$-0E0000]yyyy-mm-dd")</f>
        <v/>
      </c>
    </row>
    <row r="78708">
      <c r="A78708" s="1" t="n">
        <v>78707</v>
      </c>
      <c r="B78708">
        <f>TEXT(78707, "[$-0E0000]yyyy-mm-dd")</f>
        <v/>
      </c>
    </row>
    <row r="78709">
      <c r="A78709" s="1" t="n">
        <v>78708</v>
      </c>
      <c r="B78709">
        <f>TEXT(78708, "[$-0E0000]yyyy-mm-dd")</f>
        <v/>
      </c>
    </row>
    <row r="78710">
      <c r="A78710" s="1" t="n">
        <v>78709</v>
      </c>
      <c r="B78710">
        <f>TEXT(78709, "[$-0E0000]yyyy-mm-dd")</f>
        <v/>
      </c>
    </row>
    <row r="78711">
      <c r="A78711" s="1" t="n">
        <v>78710</v>
      </c>
      <c r="B78711">
        <f>TEXT(78710, "[$-0E0000]yyyy-mm-dd")</f>
        <v/>
      </c>
    </row>
    <row r="78712">
      <c r="A78712" s="1" t="n">
        <v>78711</v>
      </c>
      <c r="B78712">
        <f>TEXT(78711, "[$-0E0000]yyyy-mm-dd")</f>
        <v/>
      </c>
    </row>
    <row r="78713">
      <c r="A78713" s="1" t="n">
        <v>78712</v>
      </c>
      <c r="B78713">
        <f>TEXT(78712, "[$-0E0000]yyyy-mm-dd")</f>
        <v/>
      </c>
    </row>
    <row r="78714">
      <c r="A78714" s="1" t="n">
        <v>78713</v>
      </c>
      <c r="B78714">
        <f>TEXT(78713, "[$-0E0000]yyyy-mm-dd")</f>
        <v/>
      </c>
    </row>
    <row r="78715">
      <c r="A78715" s="1" t="n">
        <v>78714</v>
      </c>
      <c r="B78715">
        <f>TEXT(78714, "[$-0E0000]yyyy-mm-dd")</f>
        <v/>
      </c>
    </row>
    <row r="78716">
      <c r="A78716" s="1" t="n">
        <v>78715</v>
      </c>
      <c r="B78716">
        <f>TEXT(78715, "[$-0E0000]yyyy-mm-dd")</f>
        <v/>
      </c>
    </row>
    <row r="78717">
      <c r="A78717" s="1" t="n">
        <v>78716</v>
      </c>
      <c r="B78717">
        <f>TEXT(78716, "[$-0E0000]yyyy-mm-dd")</f>
        <v/>
      </c>
    </row>
    <row r="78718">
      <c r="A78718" s="1" t="n">
        <v>78717</v>
      </c>
      <c r="B78718">
        <f>TEXT(78717, "[$-0E0000]yyyy-mm-dd")</f>
        <v/>
      </c>
    </row>
    <row r="78719">
      <c r="A78719" s="1" t="n">
        <v>78718</v>
      </c>
      <c r="B78719">
        <f>TEXT(78718, "[$-0E0000]yyyy-mm-dd")</f>
        <v/>
      </c>
    </row>
    <row r="78720">
      <c r="A78720" s="1" t="n">
        <v>78719</v>
      </c>
      <c r="B78720">
        <f>TEXT(78719, "[$-0E0000]yyyy-mm-dd")</f>
        <v/>
      </c>
    </row>
    <row r="78721">
      <c r="A78721" s="1" t="n">
        <v>78720</v>
      </c>
      <c r="B78721">
        <f>TEXT(78720, "[$-0E0000]yyyy-mm-dd")</f>
        <v/>
      </c>
    </row>
    <row r="78722">
      <c r="A78722" s="1" t="n">
        <v>78721</v>
      </c>
      <c r="B78722">
        <f>TEXT(78721, "[$-0E0000]yyyy-mm-dd")</f>
        <v/>
      </c>
    </row>
    <row r="78723">
      <c r="A78723" s="1" t="n">
        <v>78722</v>
      </c>
      <c r="B78723">
        <f>TEXT(78722, "[$-0E0000]yyyy-mm-dd")</f>
        <v/>
      </c>
    </row>
    <row r="78724">
      <c r="A78724" s="1" t="n">
        <v>78723</v>
      </c>
      <c r="B78724">
        <f>TEXT(78723, "[$-0E0000]yyyy-mm-dd")</f>
        <v/>
      </c>
    </row>
    <row r="78725">
      <c r="A78725" s="1" t="n">
        <v>78724</v>
      </c>
      <c r="B78725">
        <f>TEXT(78724, "[$-0E0000]yyyy-mm-dd")</f>
        <v/>
      </c>
    </row>
    <row r="78726">
      <c r="A78726" s="1" t="n">
        <v>78725</v>
      </c>
      <c r="B78726">
        <f>TEXT(78725, "[$-0E0000]yyyy-mm-dd")</f>
        <v/>
      </c>
    </row>
    <row r="78727">
      <c r="A78727" s="1" t="n">
        <v>78726</v>
      </c>
      <c r="B78727">
        <f>TEXT(78726, "[$-0E0000]yyyy-mm-dd")</f>
        <v/>
      </c>
    </row>
    <row r="78728">
      <c r="A78728" s="1" t="n">
        <v>78727</v>
      </c>
      <c r="B78728">
        <f>TEXT(78727, "[$-0E0000]yyyy-mm-dd")</f>
        <v/>
      </c>
    </row>
    <row r="78729">
      <c r="A78729" s="1" t="n">
        <v>78728</v>
      </c>
      <c r="B78729">
        <f>TEXT(78728, "[$-0E0000]yyyy-mm-dd")</f>
        <v/>
      </c>
    </row>
    <row r="78730">
      <c r="A78730" s="1" t="n">
        <v>78729</v>
      </c>
      <c r="B78730">
        <f>TEXT(78729, "[$-0E0000]yyyy-mm-dd")</f>
        <v/>
      </c>
    </row>
    <row r="78731">
      <c r="A78731" s="1" t="n">
        <v>78730</v>
      </c>
      <c r="B78731">
        <f>TEXT(78730, "[$-0E0000]yyyy-mm-dd")</f>
        <v/>
      </c>
    </row>
    <row r="78732">
      <c r="A78732" s="1" t="n">
        <v>78731</v>
      </c>
      <c r="B78732">
        <f>TEXT(78731, "[$-0E0000]yyyy-mm-dd")</f>
        <v/>
      </c>
    </row>
    <row r="78733">
      <c r="A78733" s="1" t="n">
        <v>78732</v>
      </c>
      <c r="B78733">
        <f>TEXT(78732, "[$-0E0000]yyyy-mm-dd")</f>
        <v/>
      </c>
    </row>
    <row r="78734">
      <c r="A78734" s="1" t="n">
        <v>78733</v>
      </c>
      <c r="B78734">
        <f>TEXT(78733, "[$-0E0000]yyyy-mm-dd")</f>
        <v/>
      </c>
    </row>
    <row r="78735">
      <c r="A78735" s="1" t="n">
        <v>78734</v>
      </c>
      <c r="B78735">
        <f>TEXT(78734, "[$-0E0000]yyyy-mm-dd")</f>
        <v/>
      </c>
    </row>
    <row r="78736">
      <c r="A78736" s="1" t="n">
        <v>78735</v>
      </c>
      <c r="B78736">
        <f>TEXT(78735, "[$-0E0000]yyyy-mm-dd")</f>
        <v/>
      </c>
    </row>
    <row r="78737">
      <c r="A78737" s="1" t="n">
        <v>78736</v>
      </c>
      <c r="B78737">
        <f>TEXT(78736, "[$-0E0000]yyyy-mm-dd")</f>
        <v/>
      </c>
    </row>
    <row r="78738">
      <c r="A78738" s="1" t="n">
        <v>78737</v>
      </c>
      <c r="B78738">
        <f>TEXT(78737, "[$-0E0000]yyyy-mm-dd")</f>
        <v/>
      </c>
    </row>
    <row r="78739">
      <c r="A78739" s="1" t="n">
        <v>78738</v>
      </c>
      <c r="B78739">
        <f>TEXT(78738, "[$-0E0000]yyyy-mm-dd")</f>
        <v/>
      </c>
    </row>
    <row r="78740">
      <c r="A78740" s="1" t="n">
        <v>78739</v>
      </c>
      <c r="B78740">
        <f>TEXT(78739, "[$-0E0000]yyyy-mm-dd")</f>
        <v/>
      </c>
    </row>
    <row r="78741">
      <c r="A78741" s="1" t="n">
        <v>78740</v>
      </c>
      <c r="B78741">
        <f>TEXT(78740, "[$-0E0000]yyyy-mm-dd")</f>
        <v/>
      </c>
    </row>
    <row r="78742">
      <c r="A78742" s="1" t="n">
        <v>78741</v>
      </c>
      <c r="B78742">
        <f>TEXT(78741, "[$-0E0000]yyyy-mm-dd")</f>
        <v/>
      </c>
    </row>
    <row r="78743">
      <c r="A78743" s="1" t="n">
        <v>78742</v>
      </c>
      <c r="B78743">
        <f>TEXT(78742, "[$-0E0000]yyyy-mm-dd")</f>
        <v/>
      </c>
    </row>
    <row r="78744">
      <c r="A78744" s="1" t="n">
        <v>78743</v>
      </c>
      <c r="B78744">
        <f>TEXT(78743, "[$-0E0000]yyyy-mm-dd")</f>
        <v/>
      </c>
    </row>
    <row r="78745">
      <c r="A78745" s="1" t="n">
        <v>78744</v>
      </c>
      <c r="B78745">
        <f>TEXT(78744, "[$-0E0000]yyyy-mm-dd")</f>
        <v/>
      </c>
    </row>
    <row r="78746">
      <c r="A78746" s="1" t="n">
        <v>78745</v>
      </c>
      <c r="B78746">
        <f>TEXT(78745, "[$-0E0000]yyyy-mm-dd")</f>
        <v/>
      </c>
    </row>
    <row r="78747">
      <c r="A78747" s="1" t="n">
        <v>78746</v>
      </c>
      <c r="B78747">
        <f>TEXT(78746, "[$-0E0000]yyyy-mm-dd")</f>
        <v/>
      </c>
    </row>
    <row r="78748">
      <c r="A78748" s="1" t="n">
        <v>78747</v>
      </c>
      <c r="B78748">
        <f>TEXT(78747, "[$-0E0000]yyyy-mm-dd")</f>
        <v/>
      </c>
    </row>
    <row r="78749">
      <c r="A78749" s="1" t="n">
        <v>78748</v>
      </c>
      <c r="B78749">
        <f>TEXT(78748, "[$-0E0000]yyyy-mm-dd")</f>
        <v/>
      </c>
    </row>
    <row r="78750">
      <c r="A78750" s="1" t="n">
        <v>78749</v>
      </c>
      <c r="B78750">
        <f>TEXT(78749, "[$-0E0000]yyyy-mm-dd")</f>
        <v/>
      </c>
    </row>
    <row r="78751">
      <c r="A78751" s="1" t="n">
        <v>78750</v>
      </c>
      <c r="B78751">
        <f>TEXT(78750, "[$-0E0000]yyyy-mm-dd")</f>
        <v/>
      </c>
    </row>
    <row r="78752">
      <c r="A78752" s="1" t="n">
        <v>78751</v>
      </c>
      <c r="B78752">
        <f>TEXT(78751, "[$-0E0000]yyyy-mm-dd")</f>
        <v/>
      </c>
    </row>
    <row r="78753">
      <c r="A78753" s="1" t="n">
        <v>78752</v>
      </c>
      <c r="B78753">
        <f>TEXT(78752, "[$-0E0000]yyyy-mm-dd")</f>
        <v/>
      </c>
    </row>
    <row r="78754">
      <c r="A78754" s="1" t="n">
        <v>78753</v>
      </c>
      <c r="B78754">
        <f>TEXT(78753, "[$-0E0000]yyyy-mm-dd")</f>
        <v/>
      </c>
    </row>
    <row r="78755">
      <c r="A78755" s="1" t="n">
        <v>78754</v>
      </c>
      <c r="B78755">
        <f>TEXT(78754, "[$-0E0000]yyyy-mm-dd")</f>
        <v/>
      </c>
    </row>
    <row r="78756">
      <c r="A78756" s="1" t="n">
        <v>78755</v>
      </c>
      <c r="B78756">
        <f>TEXT(78755, "[$-0E0000]yyyy-mm-dd")</f>
        <v/>
      </c>
    </row>
    <row r="78757">
      <c r="A78757" s="1" t="n">
        <v>78756</v>
      </c>
      <c r="B78757">
        <f>TEXT(78756, "[$-0E0000]yyyy-mm-dd")</f>
        <v/>
      </c>
    </row>
    <row r="78758">
      <c r="A78758" s="1" t="n">
        <v>78757</v>
      </c>
      <c r="B78758">
        <f>TEXT(78757, "[$-0E0000]yyyy-mm-dd")</f>
        <v/>
      </c>
    </row>
    <row r="78759">
      <c r="A78759" s="1" t="n">
        <v>78758</v>
      </c>
      <c r="B78759">
        <f>TEXT(78758, "[$-0E0000]yyyy-mm-dd")</f>
        <v/>
      </c>
    </row>
    <row r="78760">
      <c r="A78760" s="1" t="n">
        <v>78759</v>
      </c>
      <c r="B78760">
        <f>TEXT(78759, "[$-0E0000]yyyy-mm-dd")</f>
        <v/>
      </c>
    </row>
    <row r="78761">
      <c r="A78761" s="1" t="n">
        <v>78760</v>
      </c>
      <c r="B78761">
        <f>TEXT(78760, "[$-0E0000]yyyy-mm-dd")</f>
        <v/>
      </c>
    </row>
    <row r="78762">
      <c r="A78762" s="1" t="n">
        <v>78761</v>
      </c>
      <c r="B78762">
        <f>TEXT(78761, "[$-0E0000]yyyy-mm-dd")</f>
        <v/>
      </c>
    </row>
    <row r="78763">
      <c r="A78763" s="1" t="n">
        <v>78762</v>
      </c>
      <c r="B78763">
        <f>TEXT(78762, "[$-0E0000]yyyy-mm-dd")</f>
        <v/>
      </c>
    </row>
    <row r="78764">
      <c r="A78764" s="1" t="n">
        <v>78763</v>
      </c>
      <c r="B78764">
        <f>TEXT(78763, "[$-0E0000]yyyy-mm-dd")</f>
        <v/>
      </c>
    </row>
    <row r="78765">
      <c r="A78765" s="1" t="n">
        <v>78764</v>
      </c>
      <c r="B78765">
        <f>TEXT(78764, "[$-0E0000]yyyy-mm-dd")</f>
        <v/>
      </c>
    </row>
    <row r="78766">
      <c r="A78766" s="1" t="n">
        <v>78765</v>
      </c>
      <c r="B78766">
        <f>TEXT(78765, "[$-0E0000]yyyy-mm-dd")</f>
        <v/>
      </c>
    </row>
    <row r="78767">
      <c r="A78767" s="1" t="n">
        <v>78766</v>
      </c>
      <c r="B78767">
        <f>TEXT(78766, "[$-0E0000]yyyy-mm-dd")</f>
        <v/>
      </c>
    </row>
    <row r="78768">
      <c r="A78768" s="1" t="n">
        <v>78767</v>
      </c>
      <c r="B78768">
        <f>TEXT(78767, "[$-0E0000]yyyy-mm-dd")</f>
        <v/>
      </c>
    </row>
    <row r="78769">
      <c r="A78769" s="1" t="n">
        <v>78768</v>
      </c>
      <c r="B78769">
        <f>TEXT(78768, "[$-0E0000]yyyy-mm-dd")</f>
        <v/>
      </c>
    </row>
    <row r="78770">
      <c r="A78770" s="1" t="n">
        <v>78769</v>
      </c>
      <c r="B78770">
        <f>TEXT(78769, "[$-0E0000]yyyy-mm-dd")</f>
        <v/>
      </c>
    </row>
    <row r="78771">
      <c r="A78771" s="1" t="n">
        <v>78770</v>
      </c>
      <c r="B78771">
        <f>TEXT(78770, "[$-0E0000]yyyy-mm-dd")</f>
        <v/>
      </c>
    </row>
    <row r="78772">
      <c r="A78772" s="1" t="n">
        <v>78771</v>
      </c>
      <c r="B78772">
        <f>TEXT(78771, "[$-0E0000]yyyy-mm-dd")</f>
        <v/>
      </c>
    </row>
    <row r="78773">
      <c r="A78773" s="1" t="n">
        <v>78772</v>
      </c>
      <c r="B78773">
        <f>TEXT(78772, "[$-0E0000]yyyy-mm-dd")</f>
        <v/>
      </c>
    </row>
    <row r="78774">
      <c r="A78774" s="1" t="n">
        <v>78773</v>
      </c>
      <c r="B78774">
        <f>TEXT(78773, "[$-0E0000]yyyy-mm-dd")</f>
        <v/>
      </c>
    </row>
    <row r="78775">
      <c r="A78775" s="1" t="n">
        <v>78774</v>
      </c>
      <c r="B78775">
        <f>TEXT(78774, "[$-0E0000]yyyy-mm-dd")</f>
        <v/>
      </c>
    </row>
    <row r="78776">
      <c r="A78776" s="1" t="n">
        <v>78775</v>
      </c>
      <c r="B78776">
        <f>TEXT(78775, "[$-0E0000]yyyy-mm-dd")</f>
        <v/>
      </c>
    </row>
    <row r="78777">
      <c r="A78777" s="1" t="n">
        <v>78776</v>
      </c>
      <c r="B78777">
        <f>TEXT(78776, "[$-0E0000]yyyy-mm-dd")</f>
        <v/>
      </c>
    </row>
    <row r="78778">
      <c r="A78778" s="1" t="n">
        <v>78777</v>
      </c>
      <c r="B78778">
        <f>TEXT(78777, "[$-0E0000]yyyy-mm-dd")</f>
        <v/>
      </c>
    </row>
    <row r="78779">
      <c r="A78779" s="1" t="n">
        <v>78778</v>
      </c>
      <c r="B78779">
        <f>TEXT(78778, "[$-0E0000]yyyy-mm-dd")</f>
        <v/>
      </c>
    </row>
    <row r="78780">
      <c r="A78780" s="1" t="n">
        <v>78779</v>
      </c>
      <c r="B78780">
        <f>TEXT(78779, "[$-0E0000]yyyy-mm-dd")</f>
        <v/>
      </c>
    </row>
    <row r="78781">
      <c r="A78781" s="1" t="n">
        <v>78780</v>
      </c>
      <c r="B78781">
        <f>TEXT(78780, "[$-0E0000]yyyy-mm-dd")</f>
        <v/>
      </c>
    </row>
    <row r="78782">
      <c r="A78782" s="1" t="n">
        <v>78781</v>
      </c>
      <c r="B78782">
        <f>TEXT(78781, "[$-0E0000]yyyy-mm-dd")</f>
        <v/>
      </c>
    </row>
    <row r="78783">
      <c r="A78783" s="1" t="n">
        <v>78782</v>
      </c>
      <c r="B78783">
        <f>TEXT(78782, "[$-0E0000]yyyy-mm-dd")</f>
        <v/>
      </c>
    </row>
    <row r="78784">
      <c r="A78784" s="1" t="n">
        <v>78783</v>
      </c>
      <c r="B78784">
        <f>TEXT(78783, "[$-0E0000]yyyy-mm-dd")</f>
        <v/>
      </c>
    </row>
    <row r="78785">
      <c r="A78785" s="1" t="n">
        <v>78784</v>
      </c>
      <c r="B78785">
        <f>TEXT(78784, "[$-0E0000]yyyy-mm-dd")</f>
        <v/>
      </c>
    </row>
    <row r="78786">
      <c r="A78786" s="1" t="n">
        <v>78785</v>
      </c>
      <c r="B78786">
        <f>TEXT(78785, "[$-0E0000]yyyy-mm-dd")</f>
        <v/>
      </c>
    </row>
    <row r="78787">
      <c r="A78787" s="1" t="n">
        <v>78786</v>
      </c>
      <c r="B78787">
        <f>TEXT(78786, "[$-0E0000]yyyy-mm-dd")</f>
        <v/>
      </c>
    </row>
    <row r="78788">
      <c r="A78788" s="1" t="n">
        <v>78787</v>
      </c>
      <c r="B78788">
        <f>TEXT(78787, "[$-0E0000]yyyy-mm-dd")</f>
        <v/>
      </c>
    </row>
    <row r="78789">
      <c r="A78789" s="1" t="n">
        <v>78788</v>
      </c>
      <c r="B78789">
        <f>TEXT(78788, "[$-0E0000]yyyy-mm-dd")</f>
        <v/>
      </c>
    </row>
    <row r="78790">
      <c r="A78790" s="1" t="n">
        <v>78789</v>
      </c>
      <c r="B78790">
        <f>TEXT(78789, "[$-0E0000]yyyy-mm-dd")</f>
        <v/>
      </c>
    </row>
    <row r="78791">
      <c r="A78791" s="1" t="n">
        <v>78790</v>
      </c>
      <c r="B78791">
        <f>TEXT(78790, "[$-0E0000]yyyy-mm-dd")</f>
        <v/>
      </c>
    </row>
    <row r="78792">
      <c r="A78792" s="1" t="n">
        <v>78791</v>
      </c>
      <c r="B78792">
        <f>TEXT(78791, "[$-0E0000]yyyy-mm-dd")</f>
        <v/>
      </c>
    </row>
    <row r="78793">
      <c r="A78793" s="1" t="n">
        <v>78792</v>
      </c>
      <c r="B78793">
        <f>TEXT(78792, "[$-0E0000]yyyy-mm-dd")</f>
        <v/>
      </c>
    </row>
    <row r="78794">
      <c r="A78794" s="1" t="n">
        <v>78793</v>
      </c>
      <c r="B78794">
        <f>TEXT(78793, "[$-0E0000]yyyy-mm-dd")</f>
        <v/>
      </c>
    </row>
    <row r="78795">
      <c r="A78795" s="1" t="n">
        <v>78794</v>
      </c>
      <c r="B78795">
        <f>TEXT(78794, "[$-0E0000]yyyy-mm-dd")</f>
        <v/>
      </c>
    </row>
    <row r="78796">
      <c r="A78796" s="1" t="n">
        <v>78795</v>
      </c>
      <c r="B78796">
        <f>TEXT(78795, "[$-0E0000]yyyy-mm-dd")</f>
        <v/>
      </c>
    </row>
    <row r="78797">
      <c r="A78797" s="1" t="n">
        <v>78796</v>
      </c>
      <c r="B78797">
        <f>TEXT(78796, "[$-0E0000]yyyy-mm-dd")</f>
        <v/>
      </c>
    </row>
    <row r="78798">
      <c r="A78798" s="1" t="n">
        <v>78797</v>
      </c>
      <c r="B78798">
        <f>TEXT(78797, "[$-0E0000]yyyy-mm-dd")</f>
        <v/>
      </c>
    </row>
    <row r="78799">
      <c r="A78799" s="1" t="n">
        <v>78798</v>
      </c>
      <c r="B78799">
        <f>TEXT(78798, "[$-0E0000]yyyy-mm-dd")</f>
        <v/>
      </c>
    </row>
    <row r="78800">
      <c r="A78800" s="1" t="n">
        <v>78799</v>
      </c>
      <c r="B78800">
        <f>TEXT(78799, "[$-0E0000]yyyy-mm-dd")</f>
        <v/>
      </c>
    </row>
    <row r="78801">
      <c r="A78801" s="1" t="n">
        <v>78800</v>
      </c>
      <c r="B78801">
        <f>TEXT(78800, "[$-0E0000]yyyy-mm-dd")</f>
        <v/>
      </c>
    </row>
    <row r="78802">
      <c r="A78802" s="1" t="n">
        <v>78801</v>
      </c>
      <c r="B78802">
        <f>TEXT(78801, "[$-0E0000]yyyy-mm-dd")</f>
        <v/>
      </c>
    </row>
    <row r="78803">
      <c r="A78803" s="1" t="n">
        <v>78802</v>
      </c>
      <c r="B78803">
        <f>TEXT(78802, "[$-0E0000]yyyy-mm-dd")</f>
        <v/>
      </c>
    </row>
    <row r="78804">
      <c r="A78804" s="1" t="n">
        <v>78803</v>
      </c>
      <c r="B78804">
        <f>TEXT(78803, "[$-0E0000]yyyy-mm-dd")</f>
        <v/>
      </c>
    </row>
    <row r="78805">
      <c r="A78805" s="1" t="n">
        <v>78804</v>
      </c>
      <c r="B78805">
        <f>TEXT(78804, "[$-0E0000]yyyy-mm-dd")</f>
        <v/>
      </c>
    </row>
    <row r="78806">
      <c r="A78806" s="1" t="n">
        <v>78805</v>
      </c>
      <c r="B78806">
        <f>TEXT(78805, "[$-0E0000]yyyy-mm-dd")</f>
        <v/>
      </c>
    </row>
    <row r="78807">
      <c r="A78807" s="1" t="n">
        <v>78806</v>
      </c>
      <c r="B78807">
        <f>TEXT(78806, "[$-0E0000]yyyy-mm-dd")</f>
        <v/>
      </c>
    </row>
    <row r="78808">
      <c r="A78808" s="1" t="n">
        <v>78807</v>
      </c>
      <c r="B78808">
        <f>TEXT(78807, "[$-0E0000]yyyy-mm-dd")</f>
        <v/>
      </c>
    </row>
    <row r="78809">
      <c r="A78809" s="1" t="n">
        <v>78808</v>
      </c>
      <c r="B78809">
        <f>TEXT(78808, "[$-0E0000]yyyy-mm-dd")</f>
        <v/>
      </c>
    </row>
    <row r="78810">
      <c r="A78810" s="1" t="n">
        <v>78809</v>
      </c>
      <c r="B78810">
        <f>TEXT(78809, "[$-0E0000]yyyy-mm-dd")</f>
        <v/>
      </c>
    </row>
    <row r="78811">
      <c r="A78811" s="1" t="n">
        <v>78810</v>
      </c>
      <c r="B78811">
        <f>TEXT(78810, "[$-0E0000]yyyy-mm-dd")</f>
        <v/>
      </c>
    </row>
    <row r="78812">
      <c r="A78812" s="1" t="n">
        <v>78811</v>
      </c>
      <c r="B78812">
        <f>TEXT(78811, "[$-0E0000]yyyy-mm-dd")</f>
        <v/>
      </c>
    </row>
    <row r="78813">
      <c r="A78813" s="1" t="n">
        <v>78812</v>
      </c>
      <c r="B78813">
        <f>TEXT(78812, "[$-0E0000]yyyy-mm-dd")</f>
        <v/>
      </c>
    </row>
    <row r="78814">
      <c r="A78814" s="1" t="n">
        <v>78813</v>
      </c>
      <c r="B78814">
        <f>TEXT(78813, "[$-0E0000]yyyy-mm-dd")</f>
        <v/>
      </c>
    </row>
    <row r="78815">
      <c r="A78815" s="1" t="n">
        <v>78814</v>
      </c>
      <c r="B78815">
        <f>TEXT(78814, "[$-0E0000]yyyy-mm-dd")</f>
        <v/>
      </c>
    </row>
    <row r="78816">
      <c r="A78816" s="1" t="n">
        <v>78815</v>
      </c>
      <c r="B78816">
        <f>TEXT(78815, "[$-0E0000]yyyy-mm-dd")</f>
        <v/>
      </c>
    </row>
    <row r="78817">
      <c r="A78817" s="1" t="n">
        <v>78816</v>
      </c>
      <c r="B78817">
        <f>TEXT(78816, "[$-0E0000]yyyy-mm-dd")</f>
        <v/>
      </c>
    </row>
    <row r="78818">
      <c r="A78818" s="1" t="n">
        <v>78817</v>
      </c>
      <c r="B78818">
        <f>TEXT(78817, "[$-0E0000]yyyy-mm-dd")</f>
        <v/>
      </c>
    </row>
    <row r="78819">
      <c r="A78819" s="1" t="n">
        <v>78818</v>
      </c>
      <c r="B78819">
        <f>TEXT(78818, "[$-0E0000]yyyy-mm-dd")</f>
        <v/>
      </c>
    </row>
    <row r="78820">
      <c r="A78820" s="1" t="n">
        <v>78819</v>
      </c>
      <c r="B78820">
        <f>TEXT(78819, "[$-0E0000]yyyy-mm-dd")</f>
        <v/>
      </c>
    </row>
    <row r="78821">
      <c r="A78821" s="1" t="n">
        <v>78820</v>
      </c>
      <c r="B78821">
        <f>TEXT(78820, "[$-0E0000]yyyy-mm-dd")</f>
        <v/>
      </c>
    </row>
    <row r="78822">
      <c r="A78822" s="1" t="n">
        <v>78821</v>
      </c>
      <c r="B78822">
        <f>TEXT(78821, "[$-0E0000]yyyy-mm-dd")</f>
        <v/>
      </c>
    </row>
    <row r="78823">
      <c r="A78823" s="1" t="n">
        <v>78822</v>
      </c>
      <c r="B78823">
        <f>TEXT(78822, "[$-0E0000]yyyy-mm-dd")</f>
        <v/>
      </c>
    </row>
    <row r="78824">
      <c r="A78824" s="1" t="n">
        <v>78823</v>
      </c>
      <c r="B78824">
        <f>TEXT(78823, "[$-0E0000]yyyy-mm-dd")</f>
        <v/>
      </c>
    </row>
    <row r="78825">
      <c r="A78825" s="1" t="n">
        <v>78824</v>
      </c>
      <c r="B78825">
        <f>TEXT(78824, "[$-0E0000]yyyy-mm-dd")</f>
        <v/>
      </c>
    </row>
    <row r="78826">
      <c r="A78826" s="1" t="n">
        <v>78825</v>
      </c>
      <c r="B78826">
        <f>TEXT(78825, "[$-0E0000]yyyy-mm-dd")</f>
        <v/>
      </c>
    </row>
    <row r="78827">
      <c r="A78827" s="1" t="n">
        <v>78826</v>
      </c>
      <c r="B78827">
        <f>TEXT(78826, "[$-0E0000]yyyy-mm-dd")</f>
        <v/>
      </c>
    </row>
    <row r="78828">
      <c r="A78828" s="1" t="n">
        <v>78827</v>
      </c>
      <c r="B78828">
        <f>TEXT(78827, "[$-0E0000]yyyy-mm-dd")</f>
        <v/>
      </c>
    </row>
    <row r="78829">
      <c r="A78829" s="1" t="n">
        <v>78828</v>
      </c>
      <c r="B78829">
        <f>TEXT(78828, "[$-0E0000]yyyy-mm-dd")</f>
        <v/>
      </c>
    </row>
    <row r="78830">
      <c r="A78830" s="1" t="n">
        <v>78829</v>
      </c>
      <c r="B78830">
        <f>TEXT(78829, "[$-0E0000]yyyy-mm-dd")</f>
        <v/>
      </c>
    </row>
    <row r="78831">
      <c r="A78831" s="1" t="n">
        <v>78830</v>
      </c>
      <c r="B78831">
        <f>TEXT(78830, "[$-0E0000]yyyy-mm-dd")</f>
        <v/>
      </c>
    </row>
    <row r="78832">
      <c r="A78832" s="1" t="n">
        <v>78831</v>
      </c>
      <c r="B78832">
        <f>TEXT(78831, "[$-0E0000]yyyy-mm-dd")</f>
        <v/>
      </c>
    </row>
    <row r="78833">
      <c r="A78833" s="1" t="n">
        <v>78832</v>
      </c>
      <c r="B78833">
        <f>TEXT(78832, "[$-0E0000]yyyy-mm-dd")</f>
        <v/>
      </c>
    </row>
    <row r="78834">
      <c r="A78834" s="1" t="n">
        <v>78833</v>
      </c>
      <c r="B78834">
        <f>TEXT(78833, "[$-0E0000]yyyy-mm-dd")</f>
        <v/>
      </c>
    </row>
    <row r="78835">
      <c r="A78835" s="1" t="n">
        <v>78834</v>
      </c>
      <c r="B78835">
        <f>TEXT(78834, "[$-0E0000]yyyy-mm-dd")</f>
        <v/>
      </c>
    </row>
    <row r="78836">
      <c r="A78836" s="1" t="n">
        <v>78835</v>
      </c>
      <c r="B78836">
        <f>TEXT(78835, "[$-0E0000]yyyy-mm-dd")</f>
        <v/>
      </c>
    </row>
    <row r="78837">
      <c r="A78837" s="1" t="n">
        <v>78836</v>
      </c>
      <c r="B78837">
        <f>TEXT(78836, "[$-0E0000]yyyy-mm-dd")</f>
        <v/>
      </c>
    </row>
    <row r="78838">
      <c r="A78838" s="1" t="n">
        <v>78837</v>
      </c>
      <c r="B78838">
        <f>TEXT(78837, "[$-0E0000]yyyy-mm-dd")</f>
        <v/>
      </c>
    </row>
    <row r="78839">
      <c r="A78839" s="1" t="n">
        <v>78838</v>
      </c>
      <c r="B78839">
        <f>TEXT(78838, "[$-0E0000]yyyy-mm-dd")</f>
        <v/>
      </c>
    </row>
    <row r="78840">
      <c r="A78840" s="1" t="n">
        <v>78839</v>
      </c>
      <c r="B78840">
        <f>TEXT(78839, "[$-0E0000]yyyy-mm-dd")</f>
        <v/>
      </c>
    </row>
    <row r="78841">
      <c r="A78841" s="1" t="n">
        <v>78840</v>
      </c>
      <c r="B78841">
        <f>TEXT(78840, "[$-0E0000]yyyy-mm-dd")</f>
        <v/>
      </c>
    </row>
    <row r="78842">
      <c r="A78842" s="1" t="n">
        <v>78841</v>
      </c>
      <c r="B78842">
        <f>TEXT(78841, "[$-0E0000]yyyy-mm-dd")</f>
        <v/>
      </c>
    </row>
    <row r="78843">
      <c r="A78843" s="1" t="n">
        <v>78842</v>
      </c>
      <c r="B78843">
        <f>TEXT(78842, "[$-0E0000]yyyy-mm-dd")</f>
        <v/>
      </c>
    </row>
    <row r="78844">
      <c r="A78844" s="1" t="n">
        <v>78843</v>
      </c>
      <c r="B78844">
        <f>TEXT(78843, "[$-0E0000]yyyy-mm-dd")</f>
        <v/>
      </c>
    </row>
    <row r="78845">
      <c r="A78845" s="1" t="n">
        <v>78844</v>
      </c>
      <c r="B78845">
        <f>TEXT(78844, "[$-0E0000]yyyy-mm-dd")</f>
        <v/>
      </c>
    </row>
    <row r="78846">
      <c r="A78846" s="1" t="n">
        <v>78845</v>
      </c>
      <c r="B78846">
        <f>TEXT(78845, "[$-0E0000]yyyy-mm-dd")</f>
        <v/>
      </c>
    </row>
    <row r="78847">
      <c r="A78847" s="1" t="n">
        <v>78846</v>
      </c>
      <c r="B78847">
        <f>TEXT(78846, "[$-0E0000]yyyy-mm-dd")</f>
        <v/>
      </c>
    </row>
    <row r="78848">
      <c r="A78848" s="1" t="n">
        <v>78847</v>
      </c>
      <c r="B78848">
        <f>TEXT(78847, "[$-0E0000]yyyy-mm-dd")</f>
        <v/>
      </c>
    </row>
    <row r="78849">
      <c r="A78849" s="1" t="n">
        <v>78848</v>
      </c>
      <c r="B78849">
        <f>TEXT(78848, "[$-0E0000]yyyy-mm-dd")</f>
        <v/>
      </c>
    </row>
    <row r="78850">
      <c r="A78850" s="1" t="n">
        <v>78849</v>
      </c>
      <c r="B78850">
        <f>TEXT(78849, "[$-0E0000]yyyy-mm-dd")</f>
        <v/>
      </c>
    </row>
    <row r="78851">
      <c r="A78851" s="1" t="n">
        <v>78850</v>
      </c>
      <c r="B78851">
        <f>TEXT(78850, "[$-0E0000]yyyy-mm-dd")</f>
        <v/>
      </c>
    </row>
    <row r="78852">
      <c r="A78852" s="1" t="n">
        <v>78851</v>
      </c>
      <c r="B78852">
        <f>TEXT(78851, "[$-0E0000]yyyy-mm-dd")</f>
        <v/>
      </c>
    </row>
    <row r="78853">
      <c r="A78853" s="1" t="n">
        <v>78852</v>
      </c>
      <c r="B78853">
        <f>TEXT(78852, "[$-0E0000]yyyy-mm-dd")</f>
        <v/>
      </c>
    </row>
    <row r="78854">
      <c r="A78854" s="1" t="n">
        <v>78853</v>
      </c>
      <c r="B78854">
        <f>TEXT(78853, "[$-0E0000]yyyy-mm-dd")</f>
        <v/>
      </c>
    </row>
    <row r="78855">
      <c r="A78855" s="1" t="n">
        <v>78854</v>
      </c>
      <c r="B78855">
        <f>TEXT(78854, "[$-0E0000]yyyy-mm-dd")</f>
        <v/>
      </c>
    </row>
    <row r="78856">
      <c r="A78856" s="1" t="n">
        <v>78855</v>
      </c>
      <c r="B78856">
        <f>TEXT(78855, "[$-0E0000]yyyy-mm-dd")</f>
        <v/>
      </c>
    </row>
    <row r="78857">
      <c r="A78857" s="1" t="n">
        <v>78856</v>
      </c>
      <c r="B78857">
        <f>TEXT(78856, "[$-0E0000]yyyy-mm-dd")</f>
        <v/>
      </c>
    </row>
    <row r="78858">
      <c r="A78858" s="1" t="n">
        <v>78857</v>
      </c>
      <c r="B78858">
        <f>TEXT(78857, "[$-0E0000]yyyy-mm-dd")</f>
        <v/>
      </c>
    </row>
    <row r="78859">
      <c r="A78859" s="1" t="n">
        <v>78858</v>
      </c>
      <c r="B78859">
        <f>TEXT(78858, "[$-0E0000]yyyy-mm-dd")</f>
        <v/>
      </c>
    </row>
    <row r="78860">
      <c r="A78860" s="1" t="n">
        <v>78859</v>
      </c>
      <c r="B78860">
        <f>TEXT(78859, "[$-0E0000]yyyy-mm-dd")</f>
        <v/>
      </c>
    </row>
    <row r="78861">
      <c r="A78861" s="1" t="n">
        <v>78860</v>
      </c>
      <c r="B78861">
        <f>TEXT(78860, "[$-0E0000]yyyy-mm-dd")</f>
        <v/>
      </c>
    </row>
    <row r="78862">
      <c r="A78862" s="1" t="n">
        <v>78861</v>
      </c>
      <c r="B78862">
        <f>TEXT(78861, "[$-0E0000]yyyy-mm-dd")</f>
        <v/>
      </c>
    </row>
    <row r="78863">
      <c r="A78863" s="1" t="n">
        <v>78862</v>
      </c>
      <c r="B78863">
        <f>TEXT(78862, "[$-0E0000]yyyy-mm-dd")</f>
        <v/>
      </c>
    </row>
    <row r="78864">
      <c r="A78864" s="1" t="n">
        <v>78863</v>
      </c>
      <c r="B78864">
        <f>TEXT(78863, "[$-0E0000]yyyy-mm-dd")</f>
        <v/>
      </c>
    </row>
    <row r="78865">
      <c r="A78865" s="1" t="n">
        <v>78864</v>
      </c>
      <c r="B78865">
        <f>TEXT(78864, "[$-0E0000]yyyy-mm-dd")</f>
        <v/>
      </c>
    </row>
    <row r="78866">
      <c r="A78866" s="1" t="n">
        <v>78865</v>
      </c>
      <c r="B78866">
        <f>TEXT(78865, "[$-0E0000]yyyy-mm-dd")</f>
        <v/>
      </c>
    </row>
    <row r="78867">
      <c r="A78867" s="1" t="n">
        <v>78866</v>
      </c>
      <c r="B78867">
        <f>TEXT(78866, "[$-0E0000]yyyy-mm-dd")</f>
        <v/>
      </c>
    </row>
    <row r="78868">
      <c r="A78868" s="1" t="n">
        <v>78867</v>
      </c>
      <c r="B78868">
        <f>TEXT(78867, "[$-0E0000]yyyy-mm-dd")</f>
        <v/>
      </c>
    </row>
    <row r="78869">
      <c r="A78869" s="1" t="n">
        <v>78868</v>
      </c>
      <c r="B78869">
        <f>TEXT(78868, "[$-0E0000]yyyy-mm-dd")</f>
        <v/>
      </c>
    </row>
    <row r="78870">
      <c r="A78870" s="1" t="n">
        <v>78869</v>
      </c>
      <c r="B78870">
        <f>TEXT(78869, "[$-0E0000]yyyy-mm-dd")</f>
        <v/>
      </c>
    </row>
    <row r="78871">
      <c r="A78871" s="1" t="n">
        <v>78870</v>
      </c>
      <c r="B78871">
        <f>TEXT(78870, "[$-0E0000]yyyy-mm-dd")</f>
        <v/>
      </c>
    </row>
    <row r="78872">
      <c r="A78872" s="1" t="n">
        <v>78871</v>
      </c>
      <c r="B78872">
        <f>TEXT(78871, "[$-0E0000]yyyy-mm-dd")</f>
        <v/>
      </c>
    </row>
    <row r="78873">
      <c r="A78873" s="1" t="n">
        <v>78872</v>
      </c>
      <c r="B78873">
        <f>TEXT(78872, "[$-0E0000]yyyy-mm-dd")</f>
        <v/>
      </c>
    </row>
    <row r="78874">
      <c r="A78874" s="1" t="n">
        <v>78873</v>
      </c>
      <c r="B78874">
        <f>TEXT(78873, "[$-0E0000]yyyy-mm-dd")</f>
        <v/>
      </c>
    </row>
    <row r="78875">
      <c r="A78875" s="1" t="n">
        <v>78874</v>
      </c>
      <c r="B78875">
        <f>TEXT(78874, "[$-0E0000]yyyy-mm-dd")</f>
        <v/>
      </c>
    </row>
    <row r="78876">
      <c r="A78876" s="1" t="n">
        <v>78875</v>
      </c>
      <c r="B78876">
        <f>TEXT(78875, "[$-0E0000]yyyy-mm-dd")</f>
        <v/>
      </c>
    </row>
    <row r="78877">
      <c r="A78877" s="1" t="n">
        <v>78876</v>
      </c>
      <c r="B78877">
        <f>TEXT(78876, "[$-0E0000]yyyy-mm-dd")</f>
        <v/>
      </c>
    </row>
    <row r="78878">
      <c r="A78878" s="1" t="n">
        <v>78877</v>
      </c>
      <c r="B78878">
        <f>TEXT(78877, "[$-0E0000]yyyy-mm-dd")</f>
        <v/>
      </c>
    </row>
    <row r="78879">
      <c r="A78879" s="1" t="n">
        <v>78878</v>
      </c>
      <c r="B78879">
        <f>TEXT(78878, "[$-0E0000]yyyy-mm-dd")</f>
        <v/>
      </c>
    </row>
    <row r="78880">
      <c r="A78880" s="1" t="n">
        <v>78879</v>
      </c>
      <c r="B78880">
        <f>TEXT(78879, "[$-0E0000]yyyy-mm-dd")</f>
        <v/>
      </c>
    </row>
    <row r="78881">
      <c r="A78881" s="1" t="n">
        <v>78880</v>
      </c>
      <c r="B78881">
        <f>TEXT(78880, "[$-0E0000]yyyy-mm-dd")</f>
        <v/>
      </c>
    </row>
    <row r="78882">
      <c r="A78882" s="1" t="n">
        <v>78881</v>
      </c>
      <c r="B78882">
        <f>TEXT(78881, "[$-0E0000]yyyy-mm-dd")</f>
        <v/>
      </c>
    </row>
    <row r="78883">
      <c r="A78883" s="1" t="n">
        <v>78882</v>
      </c>
      <c r="B78883">
        <f>TEXT(78882, "[$-0E0000]yyyy-mm-dd")</f>
        <v/>
      </c>
    </row>
    <row r="78884">
      <c r="A78884" s="1" t="n">
        <v>78883</v>
      </c>
      <c r="B78884">
        <f>TEXT(78883, "[$-0E0000]yyyy-mm-dd")</f>
        <v/>
      </c>
    </row>
    <row r="78885">
      <c r="A78885" s="1" t="n">
        <v>78884</v>
      </c>
      <c r="B78885">
        <f>TEXT(78884, "[$-0E0000]yyyy-mm-dd")</f>
        <v/>
      </c>
    </row>
    <row r="78886">
      <c r="A78886" s="1" t="n">
        <v>78885</v>
      </c>
      <c r="B78886">
        <f>TEXT(78885, "[$-0E0000]yyyy-mm-dd")</f>
        <v/>
      </c>
    </row>
    <row r="78887">
      <c r="A78887" s="1" t="n">
        <v>78886</v>
      </c>
      <c r="B78887">
        <f>TEXT(78886, "[$-0E0000]yyyy-mm-dd")</f>
        <v/>
      </c>
    </row>
    <row r="78888">
      <c r="A78888" s="1" t="n">
        <v>78887</v>
      </c>
      <c r="B78888">
        <f>TEXT(78887, "[$-0E0000]yyyy-mm-dd")</f>
        <v/>
      </c>
    </row>
    <row r="78889">
      <c r="A78889" s="1" t="n">
        <v>78888</v>
      </c>
      <c r="B78889">
        <f>TEXT(78888, "[$-0E0000]yyyy-mm-dd")</f>
        <v/>
      </c>
    </row>
    <row r="78890">
      <c r="A78890" s="1" t="n">
        <v>78889</v>
      </c>
      <c r="B78890">
        <f>TEXT(78889, "[$-0E0000]yyyy-mm-dd")</f>
        <v/>
      </c>
    </row>
    <row r="78891">
      <c r="A78891" s="1" t="n">
        <v>78890</v>
      </c>
      <c r="B78891">
        <f>TEXT(78890, "[$-0E0000]yyyy-mm-dd")</f>
        <v/>
      </c>
    </row>
    <row r="78892">
      <c r="A78892" s="1" t="n">
        <v>78891</v>
      </c>
      <c r="B78892">
        <f>TEXT(78891, "[$-0E0000]yyyy-mm-dd")</f>
        <v/>
      </c>
    </row>
    <row r="78893">
      <c r="A78893" s="1" t="n">
        <v>78892</v>
      </c>
      <c r="B78893">
        <f>TEXT(78892, "[$-0E0000]yyyy-mm-dd")</f>
        <v/>
      </c>
    </row>
    <row r="78894">
      <c r="A78894" s="1" t="n">
        <v>78893</v>
      </c>
      <c r="B78894">
        <f>TEXT(78893, "[$-0E0000]yyyy-mm-dd")</f>
        <v/>
      </c>
    </row>
    <row r="78895">
      <c r="A78895" s="1" t="n">
        <v>78894</v>
      </c>
      <c r="B78895">
        <f>TEXT(78894, "[$-0E0000]yyyy-mm-dd")</f>
        <v/>
      </c>
    </row>
    <row r="78896">
      <c r="A78896" s="1" t="n">
        <v>78895</v>
      </c>
      <c r="B78896">
        <f>TEXT(78895, "[$-0E0000]yyyy-mm-dd")</f>
        <v/>
      </c>
    </row>
    <row r="78897">
      <c r="A78897" s="1" t="n">
        <v>78896</v>
      </c>
      <c r="B78897">
        <f>TEXT(78896, "[$-0E0000]yyyy-mm-dd")</f>
        <v/>
      </c>
    </row>
    <row r="78898">
      <c r="A78898" s="1" t="n">
        <v>78897</v>
      </c>
      <c r="B78898">
        <f>TEXT(78897, "[$-0E0000]yyyy-mm-dd")</f>
        <v/>
      </c>
    </row>
    <row r="78899">
      <c r="A78899" s="1" t="n">
        <v>78898</v>
      </c>
      <c r="B78899">
        <f>TEXT(78898, "[$-0E0000]yyyy-mm-dd")</f>
        <v/>
      </c>
    </row>
    <row r="78900">
      <c r="A78900" s="1" t="n">
        <v>78899</v>
      </c>
      <c r="B78900">
        <f>TEXT(78899, "[$-0E0000]yyyy-mm-dd")</f>
        <v/>
      </c>
    </row>
    <row r="78901">
      <c r="A78901" s="1" t="n">
        <v>78900</v>
      </c>
      <c r="B78901">
        <f>TEXT(78900, "[$-0E0000]yyyy-mm-dd")</f>
        <v/>
      </c>
    </row>
    <row r="78902">
      <c r="A78902" s="1" t="n">
        <v>78901</v>
      </c>
      <c r="B78902">
        <f>TEXT(78901, "[$-0E0000]yyyy-mm-dd")</f>
        <v/>
      </c>
    </row>
    <row r="78903">
      <c r="A78903" s="1" t="n">
        <v>78902</v>
      </c>
      <c r="B78903">
        <f>TEXT(78902, "[$-0E0000]yyyy-mm-dd")</f>
        <v/>
      </c>
    </row>
    <row r="78904">
      <c r="A78904" s="1" t="n">
        <v>78903</v>
      </c>
      <c r="B78904">
        <f>TEXT(78903, "[$-0E0000]yyyy-mm-dd")</f>
        <v/>
      </c>
    </row>
    <row r="78905">
      <c r="A78905" s="1" t="n">
        <v>78904</v>
      </c>
      <c r="B78905">
        <f>TEXT(78904, "[$-0E0000]yyyy-mm-dd")</f>
        <v/>
      </c>
    </row>
    <row r="78906">
      <c r="A78906" s="1" t="n">
        <v>78905</v>
      </c>
      <c r="B78906">
        <f>TEXT(78905, "[$-0E0000]yyyy-mm-dd")</f>
        <v/>
      </c>
    </row>
    <row r="78907">
      <c r="A78907" s="1" t="n">
        <v>78906</v>
      </c>
      <c r="B78907">
        <f>TEXT(78906, "[$-0E0000]yyyy-mm-dd")</f>
        <v/>
      </c>
    </row>
    <row r="78908">
      <c r="A78908" s="1" t="n">
        <v>78907</v>
      </c>
      <c r="B78908">
        <f>TEXT(78907, "[$-0E0000]yyyy-mm-dd")</f>
        <v/>
      </c>
    </row>
    <row r="78909">
      <c r="A78909" s="1" t="n">
        <v>78908</v>
      </c>
      <c r="B78909">
        <f>TEXT(78908, "[$-0E0000]yyyy-mm-dd")</f>
        <v/>
      </c>
    </row>
    <row r="78910">
      <c r="A78910" s="1" t="n">
        <v>78909</v>
      </c>
      <c r="B78910">
        <f>TEXT(78909, "[$-0E0000]yyyy-mm-dd")</f>
        <v/>
      </c>
    </row>
    <row r="78911">
      <c r="A78911" s="1" t="n">
        <v>78910</v>
      </c>
      <c r="B78911">
        <f>TEXT(78910, "[$-0E0000]yyyy-mm-dd")</f>
        <v/>
      </c>
    </row>
    <row r="78912">
      <c r="A78912" s="1" t="n">
        <v>78911</v>
      </c>
      <c r="B78912">
        <f>TEXT(78911, "[$-0E0000]yyyy-mm-dd")</f>
        <v/>
      </c>
    </row>
    <row r="78913">
      <c r="A78913" s="1" t="n">
        <v>78912</v>
      </c>
      <c r="B78913">
        <f>TEXT(78912, "[$-0E0000]yyyy-mm-dd")</f>
        <v/>
      </c>
    </row>
    <row r="78914">
      <c r="A78914" s="1" t="n">
        <v>78913</v>
      </c>
      <c r="B78914">
        <f>TEXT(78913, "[$-0E0000]yyyy-mm-dd")</f>
        <v/>
      </c>
    </row>
    <row r="78915">
      <c r="A78915" s="1" t="n">
        <v>78914</v>
      </c>
      <c r="B78915">
        <f>TEXT(78914, "[$-0E0000]yyyy-mm-dd")</f>
        <v/>
      </c>
    </row>
    <row r="78916">
      <c r="A78916" s="1" t="n">
        <v>78915</v>
      </c>
      <c r="B78916">
        <f>TEXT(78915, "[$-0E0000]yyyy-mm-dd")</f>
        <v/>
      </c>
    </row>
    <row r="78917">
      <c r="A78917" s="1" t="n">
        <v>78916</v>
      </c>
      <c r="B78917">
        <f>TEXT(78916, "[$-0E0000]yyyy-mm-dd")</f>
        <v/>
      </c>
    </row>
    <row r="78918">
      <c r="A78918" s="1" t="n">
        <v>78917</v>
      </c>
      <c r="B78918">
        <f>TEXT(78917, "[$-0E0000]yyyy-mm-dd")</f>
        <v/>
      </c>
    </row>
    <row r="78919">
      <c r="A78919" s="1" t="n">
        <v>78918</v>
      </c>
      <c r="B78919">
        <f>TEXT(78918, "[$-0E0000]yyyy-mm-dd")</f>
        <v/>
      </c>
    </row>
    <row r="78920">
      <c r="A78920" s="1" t="n">
        <v>78919</v>
      </c>
      <c r="B78920">
        <f>TEXT(78919, "[$-0E0000]yyyy-mm-dd")</f>
        <v/>
      </c>
    </row>
    <row r="78921">
      <c r="A78921" s="1" t="n">
        <v>78920</v>
      </c>
      <c r="B78921">
        <f>TEXT(78920, "[$-0E0000]yyyy-mm-dd")</f>
        <v/>
      </c>
    </row>
    <row r="78922">
      <c r="A78922" s="1" t="n">
        <v>78921</v>
      </c>
      <c r="B78922">
        <f>TEXT(78921, "[$-0E0000]yyyy-mm-dd")</f>
        <v/>
      </c>
    </row>
    <row r="78923">
      <c r="A78923" s="1" t="n">
        <v>78922</v>
      </c>
      <c r="B78923">
        <f>TEXT(78922, "[$-0E0000]yyyy-mm-dd")</f>
        <v/>
      </c>
    </row>
    <row r="78924">
      <c r="A78924" s="1" t="n">
        <v>78923</v>
      </c>
      <c r="B78924">
        <f>TEXT(78923, "[$-0E0000]yyyy-mm-dd")</f>
        <v/>
      </c>
    </row>
    <row r="78925">
      <c r="A78925" s="1" t="n">
        <v>78924</v>
      </c>
      <c r="B78925">
        <f>TEXT(78924, "[$-0E0000]yyyy-mm-dd")</f>
        <v/>
      </c>
    </row>
    <row r="78926">
      <c r="A78926" s="1" t="n">
        <v>78925</v>
      </c>
      <c r="B78926">
        <f>TEXT(78925, "[$-0E0000]yyyy-mm-dd")</f>
        <v/>
      </c>
    </row>
    <row r="78927">
      <c r="A78927" s="1" t="n">
        <v>78926</v>
      </c>
      <c r="B78927">
        <f>TEXT(78926, "[$-0E0000]yyyy-mm-dd")</f>
        <v/>
      </c>
    </row>
    <row r="78928">
      <c r="A78928" s="1" t="n">
        <v>78927</v>
      </c>
      <c r="B78928">
        <f>TEXT(78927, "[$-0E0000]yyyy-mm-dd")</f>
        <v/>
      </c>
    </row>
    <row r="78929">
      <c r="A78929" s="1" t="n">
        <v>78928</v>
      </c>
      <c r="B78929">
        <f>TEXT(78928, "[$-0E0000]yyyy-mm-dd")</f>
        <v/>
      </c>
    </row>
    <row r="78930">
      <c r="A78930" s="1" t="n">
        <v>78929</v>
      </c>
      <c r="B78930">
        <f>TEXT(78929, "[$-0E0000]yyyy-mm-dd")</f>
        <v/>
      </c>
    </row>
    <row r="78931">
      <c r="A78931" s="1" t="n">
        <v>78930</v>
      </c>
      <c r="B78931">
        <f>TEXT(78930, "[$-0E0000]yyyy-mm-dd")</f>
        <v/>
      </c>
    </row>
    <row r="78932">
      <c r="A78932" s="1" t="n">
        <v>78931</v>
      </c>
      <c r="B78932">
        <f>TEXT(78931, "[$-0E0000]yyyy-mm-dd")</f>
        <v/>
      </c>
    </row>
    <row r="78933">
      <c r="A78933" s="1" t="n">
        <v>78932</v>
      </c>
      <c r="B78933">
        <f>TEXT(78932, "[$-0E0000]yyyy-mm-dd")</f>
        <v/>
      </c>
    </row>
    <row r="78934">
      <c r="A78934" s="1" t="n">
        <v>78933</v>
      </c>
      <c r="B78934">
        <f>TEXT(78933, "[$-0E0000]yyyy-mm-dd")</f>
        <v/>
      </c>
    </row>
    <row r="78935">
      <c r="A78935" s="1" t="n">
        <v>78934</v>
      </c>
      <c r="B78935">
        <f>TEXT(78934, "[$-0E0000]yyyy-mm-dd")</f>
        <v/>
      </c>
    </row>
    <row r="78936">
      <c r="A78936" s="1" t="n">
        <v>78935</v>
      </c>
      <c r="B78936">
        <f>TEXT(78935, "[$-0E0000]yyyy-mm-dd")</f>
        <v/>
      </c>
    </row>
    <row r="78937">
      <c r="A78937" s="1" t="n">
        <v>78936</v>
      </c>
      <c r="B78937">
        <f>TEXT(78936, "[$-0E0000]yyyy-mm-dd")</f>
        <v/>
      </c>
    </row>
    <row r="78938">
      <c r="A78938" s="1" t="n">
        <v>78937</v>
      </c>
      <c r="B78938">
        <f>TEXT(78937, "[$-0E0000]yyyy-mm-dd")</f>
        <v/>
      </c>
    </row>
    <row r="78939">
      <c r="A78939" s="1" t="n">
        <v>78938</v>
      </c>
      <c r="B78939">
        <f>TEXT(78938, "[$-0E0000]yyyy-mm-dd")</f>
        <v/>
      </c>
    </row>
    <row r="78940">
      <c r="A78940" s="1" t="n">
        <v>78939</v>
      </c>
      <c r="B78940">
        <f>TEXT(78939, "[$-0E0000]yyyy-mm-dd")</f>
        <v/>
      </c>
    </row>
    <row r="78941">
      <c r="A78941" s="1" t="n">
        <v>78940</v>
      </c>
      <c r="B78941">
        <f>TEXT(78940, "[$-0E0000]yyyy-mm-dd")</f>
        <v/>
      </c>
    </row>
    <row r="78942">
      <c r="A78942" s="1" t="n">
        <v>78941</v>
      </c>
      <c r="B78942">
        <f>TEXT(78941, "[$-0E0000]yyyy-mm-dd")</f>
        <v/>
      </c>
    </row>
    <row r="78943">
      <c r="A78943" s="1" t="n">
        <v>78942</v>
      </c>
      <c r="B78943">
        <f>TEXT(78942, "[$-0E0000]yyyy-mm-dd")</f>
        <v/>
      </c>
    </row>
    <row r="78944">
      <c r="A78944" s="1" t="n">
        <v>78943</v>
      </c>
      <c r="B78944">
        <f>TEXT(78943, "[$-0E0000]yyyy-mm-dd")</f>
        <v/>
      </c>
    </row>
    <row r="78945">
      <c r="A78945" s="1" t="n">
        <v>78944</v>
      </c>
      <c r="B78945">
        <f>TEXT(78944, "[$-0E0000]yyyy-mm-dd")</f>
        <v/>
      </c>
    </row>
    <row r="78946">
      <c r="A78946" s="1" t="n">
        <v>78945</v>
      </c>
      <c r="B78946">
        <f>TEXT(78945, "[$-0E0000]yyyy-mm-dd")</f>
        <v/>
      </c>
    </row>
    <row r="78947">
      <c r="A78947" s="1" t="n">
        <v>78946</v>
      </c>
      <c r="B78947">
        <f>TEXT(78946, "[$-0E0000]yyyy-mm-dd")</f>
        <v/>
      </c>
    </row>
    <row r="78948">
      <c r="A78948" s="1" t="n">
        <v>78947</v>
      </c>
      <c r="B78948">
        <f>TEXT(78947, "[$-0E0000]yyyy-mm-dd")</f>
        <v/>
      </c>
    </row>
    <row r="78949">
      <c r="A78949" s="1" t="n">
        <v>78948</v>
      </c>
      <c r="B78949">
        <f>TEXT(78948, "[$-0E0000]yyyy-mm-dd")</f>
        <v/>
      </c>
    </row>
    <row r="78950">
      <c r="A78950" s="1" t="n">
        <v>78949</v>
      </c>
      <c r="B78950">
        <f>TEXT(78949, "[$-0E0000]yyyy-mm-dd")</f>
        <v/>
      </c>
    </row>
    <row r="78951">
      <c r="A78951" s="1" t="n">
        <v>78950</v>
      </c>
      <c r="B78951">
        <f>TEXT(78950, "[$-0E0000]yyyy-mm-dd")</f>
        <v/>
      </c>
    </row>
    <row r="78952">
      <c r="A78952" s="1" t="n">
        <v>78951</v>
      </c>
      <c r="B78952">
        <f>TEXT(78951, "[$-0E0000]yyyy-mm-dd")</f>
        <v/>
      </c>
    </row>
    <row r="78953">
      <c r="A78953" s="1" t="n">
        <v>78952</v>
      </c>
      <c r="B78953">
        <f>TEXT(78952, "[$-0E0000]yyyy-mm-dd")</f>
        <v/>
      </c>
    </row>
    <row r="78954">
      <c r="A78954" s="1" t="n">
        <v>78953</v>
      </c>
      <c r="B78954">
        <f>TEXT(78953, "[$-0E0000]yyyy-mm-dd")</f>
        <v/>
      </c>
    </row>
    <row r="78955">
      <c r="A78955" s="1" t="n">
        <v>78954</v>
      </c>
      <c r="B78955">
        <f>TEXT(78954, "[$-0E0000]yyyy-mm-dd")</f>
        <v/>
      </c>
    </row>
    <row r="78956">
      <c r="A78956" s="1" t="n">
        <v>78955</v>
      </c>
      <c r="B78956">
        <f>TEXT(78955, "[$-0E0000]yyyy-mm-dd")</f>
        <v/>
      </c>
    </row>
    <row r="78957">
      <c r="A78957" s="1" t="n">
        <v>78956</v>
      </c>
      <c r="B78957">
        <f>TEXT(78956, "[$-0E0000]yyyy-mm-dd")</f>
        <v/>
      </c>
    </row>
    <row r="78958">
      <c r="A78958" s="1" t="n">
        <v>78957</v>
      </c>
      <c r="B78958">
        <f>TEXT(78957, "[$-0E0000]yyyy-mm-dd")</f>
        <v/>
      </c>
    </row>
    <row r="78959">
      <c r="A78959" s="1" t="n">
        <v>78958</v>
      </c>
      <c r="B78959">
        <f>TEXT(78958, "[$-0E0000]yyyy-mm-dd")</f>
        <v/>
      </c>
    </row>
    <row r="78960">
      <c r="A78960" s="1" t="n">
        <v>78959</v>
      </c>
      <c r="B78960">
        <f>TEXT(78959, "[$-0E0000]yyyy-mm-dd")</f>
        <v/>
      </c>
    </row>
    <row r="78961">
      <c r="A78961" s="1" t="n">
        <v>78960</v>
      </c>
      <c r="B78961">
        <f>TEXT(78960, "[$-0E0000]yyyy-mm-dd")</f>
        <v/>
      </c>
    </row>
    <row r="78962">
      <c r="A78962" s="1" t="n">
        <v>78961</v>
      </c>
      <c r="B78962">
        <f>TEXT(78961, "[$-0E0000]yyyy-mm-dd")</f>
        <v/>
      </c>
    </row>
    <row r="78963">
      <c r="A78963" s="1" t="n">
        <v>78962</v>
      </c>
      <c r="B78963">
        <f>TEXT(78962, "[$-0E0000]yyyy-mm-dd")</f>
        <v/>
      </c>
    </row>
    <row r="78964">
      <c r="A78964" s="1" t="n">
        <v>78963</v>
      </c>
      <c r="B78964">
        <f>TEXT(78963, "[$-0E0000]yyyy-mm-dd")</f>
        <v/>
      </c>
    </row>
    <row r="78965">
      <c r="A78965" s="1" t="n">
        <v>78964</v>
      </c>
      <c r="B78965">
        <f>TEXT(78964, "[$-0E0000]yyyy-mm-dd")</f>
        <v/>
      </c>
    </row>
    <row r="78966">
      <c r="A78966" s="1" t="n">
        <v>78965</v>
      </c>
      <c r="B78966">
        <f>TEXT(78965, "[$-0E0000]yyyy-mm-dd")</f>
        <v/>
      </c>
    </row>
    <row r="78967">
      <c r="A78967" s="1" t="n">
        <v>78966</v>
      </c>
      <c r="B78967">
        <f>TEXT(78966, "[$-0E0000]yyyy-mm-dd")</f>
        <v/>
      </c>
    </row>
    <row r="78968">
      <c r="A78968" s="1" t="n">
        <v>78967</v>
      </c>
      <c r="B78968">
        <f>TEXT(78967, "[$-0E0000]yyyy-mm-dd")</f>
        <v/>
      </c>
    </row>
    <row r="78969">
      <c r="A78969" s="1" t="n">
        <v>78968</v>
      </c>
      <c r="B78969">
        <f>TEXT(78968, "[$-0E0000]yyyy-mm-dd")</f>
        <v/>
      </c>
    </row>
    <row r="78970">
      <c r="A78970" s="1" t="n">
        <v>78969</v>
      </c>
      <c r="B78970">
        <f>TEXT(78969, "[$-0E0000]yyyy-mm-dd")</f>
        <v/>
      </c>
    </row>
    <row r="78971">
      <c r="A78971" s="1" t="n">
        <v>78970</v>
      </c>
      <c r="B78971">
        <f>TEXT(78970, "[$-0E0000]yyyy-mm-dd")</f>
        <v/>
      </c>
    </row>
    <row r="78972">
      <c r="A78972" s="1" t="n">
        <v>78971</v>
      </c>
      <c r="B78972">
        <f>TEXT(78971, "[$-0E0000]yyyy-mm-dd")</f>
        <v/>
      </c>
    </row>
    <row r="78973">
      <c r="A78973" s="1" t="n">
        <v>78972</v>
      </c>
      <c r="B78973">
        <f>TEXT(78972, "[$-0E0000]yyyy-mm-dd")</f>
        <v/>
      </c>
    </row>
    <row r="78974">
      <c r="A78974" s="1" t="n">
        <v>78973</v>
      </c>
      <c r="B78974">
        <f>TEXT(78973, "[$-0E0000]yyyy-mm-dd")</f>
        <v/>
      </c>
    </row>
    <row r="78975">
      <c r="A78975" s="1" t="n">
        <v>78974</v>
      </c>
      <c r="B78975">
        <f>TEXT(78974, "[$-0E0000]yyyy-mm-dd")</f>
        <v/>
      </c>
    </row>
    <row r="78976">
      <c r="A78976" s="1" t="n">
        <v>78975</v>
      </c>
      <c r="B78976">
        <f>TEXT(78975, "[$-0E0000]yyyy-mm-dd")</f>
        <v/>
      </c>
    </row>
    <row r="78977">
      <c r="A78977" s="1" t="n">
        <v>78976</v>
      </c>
      <c r="B78977">
        <f>TEXT(78976, "[$-0E0000]yyyy-mm-dd")</f>
        <v/>
      </c>
    </row>
    <row r="78978">
      <c r="A78978" s="1" t="n">
        <v>78977</v>
      </c>
      <c r="B78978">
        <f>TEXT(78977, "[$-0E0000]yyyy-mm-dd")</f>
        <v/>
      </c>
    </row>
    <row r="78979">
      <c r="A78979" s="1" t="n">
        <v>78978</v>
      </c>
      <c r="B78979">
        <f>TEXT(78978, "[$-0E0000]yyyy-mm-dd")</f>
        <v/>
      </c>
    </row>
    <row r="78980">
      <c r="A78980" s="1" t="n">
        <v>78979</v>
      </c>
      <c r="B78980">
        <f>TEXT(78979, "[$-0E0000]yyyy-mm-dd")</f>
        <v/>
      </c>
    </row>
    <row r="78981">
      <c r="A78981" s="1" t="n">
        <v>78980</v>
      </c>
      <c r="B78981">
        <f>TEXT(78980, "[$-0E0000]yyyy-mm-dd")</f>
        <v/>
      </c>
    </row>
    <row r="78982">
      <c r="A78982" s="1" t="n">
        <v>78981</v>
      </c>
      <c r="B78982">
        <f>TEXT(78981, "[$-0E0000]yyyy-mm-dd")</f>
        <v/>
      </c>
    </row>
    <row r="78983">
      <c r="A78983" s="1" t="n">
        <v>78982</v>
      </c>
      <c r="B78983">
        <f>TEXT(78982, "[$-0E0000]yyyy-mm-dd")</f>
        <v/>
      </c>
    </row>
    <row r="78984">
      <c r="A78984" s="1" t="n">
        <v>78983</v>
      </c>
      <c r="B78984">
        <f>TEXT(78983, "[$-0E0000]yyyy-mm-dd")</f>
        <v/>
      </c>
    </row>
    <row r="78985">
      <c r="A78985" s="1" t="n">
        <v>78984</v>
      </c>
      <c r="B78985">
        <f>TEXT(78984, "[$-0E0000]yyyy-mm-dd")</f>
        <v/>
      </c>
    </row>
    <row r="78986">
      <c r="A78986" s="1" t="n">
        <v>78985</v>
      </c>
      <c r="B78986">
        <f>TEXT(78985, "[$-0E0000]yyyy-mm-dd")</f>
        <v/>
      </c>
    </row>
    <row r="78987">
      <c r="A78987" s="1" t="n">
        <v>78986</v>
      </c>
      <c r="B78987">
        <f>TEXT(78986, "[$-0E0000]yyyy-mm-dd")</f>
        <v/>
      </c>
    </row>
    <row r="78988">
      <c r="A78988" s="1" t="n">
        <v>78987</v>
      </c>
      <c r="B78988">
        <f>TEXT(78987, "[$-0E0000]yyyy-mm-dd")</f>
        <v/>
      </c>
    </row>
    <row r="78989">
      <c r="A78989" s="1" t="n">
        <v>78988</v>
      </c>
      <c r="B78989">
        <f>TEXT(78988, "[$-0E0000]yyyy-mm-dd")</f>
        <v/>
      </c>
    </row>
    <row r="78990">
      <c r="A78990" s="1" t="n">
        <v>78989</v>
      </c>
      <c r="B78990">
        <f>TEXT(78989, "[$-0E0000]yyyy-mm-dd")</f>
        <v/>
      </c>
    </row>
    <row r="78991">
      <c r="A78991" s="1" t="n">
        <v>78990</v>
      </c>
      <c r="B78991">
        <f>TEXT(78990, "[$-0E0000]yyyy-mm-dd")</f>
        <v/>
      </c>
    </row>
    <row r="78992">
      <c r="A78992" s="1" t="n">
        <v>78991</v>
      </c>
      <c r="B78992">
        <f>TEXT(78991, "[$-0E0000]yyyy-mm-dd")</f>
        <v/>
      </c>
    </row>
    <row r="78993">
      <c r="A78993" s="1" t="n">
        <v>78992</v>
      </c>
      <c r="B78993">
        <f>TEXT(78992, "[$-0E0000]yyyy-mm-dd")</f>
        <v/>
      </c>
    </row>
    <row r="78994">
      <c r="A78994" s="1" t="n">
        <v>78993</v>
      </c>
      <c r="B78994">
        <f>TEXT(78993, "[$-0E0000]yyyy-mm-dd")</f>
        <v/>
      </c>
    </row>
    <row r="78995">
      <c r="A78995" s="1" t="n">
        <v>78994</v>
      </c>
      <c r="B78995">
        <f>TEXT(78994, "[$-0E0000]yyyy-mm-dd")</f>
        <v/>
      </c>
    </row>
    <row r="78996">
      <c r="A78996" s="1" t="n">
        <v>78995</v>
      </c>
      <c r="B78996">
        <f>TEXT(78995, "[$-0E0000]yyyy-mm-dd")</f>
        <v/>
      </c>
    </row>
    <row r="78997">
      <c r="A78997" s="1" t="n">
        <v>78996</v>
      </c>
      <c r="B78997">
        <f>TEXT(78996, "[$-0E0000]yyyy-mm-dd")</f>
        <v/>
      </c>
    </row>
    <row r="78998">
      <c r="A78998" s="1" t="n">
        <v>78997</v>
      </c>
      <c r="B78998">
        <f>TEXT(78997, "[$-0E0000]yyyy-mm-dd")</f>
        <v/>
      </c>
    </row>
    <row r="78999">
      <c r="A78999" s="1" t="n">
        <v>78998</v>
      </c>
      <c r="B78999">
        <f>TEXT(78998, "[$-0E0000]yyyy-mm-dd")</f>
        <v/>
      </c>
    </row>
    <row r="79000">
      <c r="A79000" s="1" t="n">
        <v>78999</v>
      </c>
      <c r="B79000">
        <f>TEXT(78999, "[$-0E0000]yyyy-mm-dd")</f>
        <v/>
      </c>
    </row>
    <row r="79001">
      <c r="A79001" s="1" t="n">
        <v>79000</v>
      </c>
      <c r="B79001">
        <f>TEXT(79000, "[$-0E0000]yyyy-mm-dd")</f>
        <v/>
      </c>
    </row>
    <row r="79002">
      <c r="A79002" s="1" t="n">
        <v>79001</v>
      </c>
      <c r="B79002">
        <f>TEXT(79001, "[$-0E0000]yyyy-mm-dd")</f>
        <v/>
      </c>
    </row>
    <row r="79003">
      <c r="A79003" s="1" t="n">
        <v>79002</v>
      </c>
      <c r="B79003">
        <f>TEXT(79002, "[$-0E0000]yyyy-mm-dd")</f>
        <v/>
      </c>
    </row>
    <row r="79004">
      <c r="A79004" s="1" t="n">
        <v>79003</v>
      </c>
      <c r="B79004">
        <f>TEXT(79003, "[$-0E0000]yyyy-mm-dd")</f>
        <v/>
      </c>
    </row>
    <row r="79005">
      <c r="A79005" s="1" t="n">
        <v>79004</v>
      </c>
      <c r="B79005">
        <f>TEXT(79004, "[$-0E0000]yyyy-mm-dd")</f>
        <v/>
      </c>
    </row>
    <row r="79006">
      <c r="A79006" s="1" t="n">
        <v>79005</v>
      </c>
      <c r="B79006">
        <f>TEXT(79005, "[$-0E0000]yyyy-mm-dd")</f>
        <v/>
      </c>
    </row>
    <row r="79007">
      <c r="A79007" s="1" t="n">
        <v>79006</v>
      </c>
      <c r="B79007">
        <f>TEXT(79006, "[$-0E0000]yyyy-mm-dd")</f>
        <v/>
      </c>
    </row>
    <row r="79008">
      <c r="A79008" s="1" t="n">
        <v>79007</v>
      </c>
      <c r="B79008">
        <f>TEXT(79007, "[$-0E0000]yyyy-mm-dd")</f>
        <v/>
      </c>
    </row>
    <row r="79009">
      <c r="A79009" s="1" t="n">
        <v>79008</v>
      </c>
      <c r="B79009">
        <f>TEXT(79008, "[$-0E0000]yyyy-mm-dd")</f>
        <v/>
      </c>
    </row>
    <row r="79010">
      <c r="A79010" s="1" t="n">
        <v>79009</v>
      </c>
      <c r="B79010">
        <f>TEXT(79009, "[$-0E0000]yyyy-mm-dd")</f>
        <v/>
      </c>
    </row>
    <row r="79011">
      <c r="A79011" s="1" t="n">
        <v>79010</v>
      </c>
      <c r="B79011">
        <f>TEXT(79010, "[$-0E0000]yyyy-mm-dd")</f>
        <v/>
      </c>
    </row>
    <row r="79012">
      <c r="A79012" s="1" t="n">
        <v>79011</v>
      </c>
      <c r="B79012">
        <f>TEXT(79011, "[$-0E0000]yyyy-mm-dd")</f>
        <v/>
      </c>
    </row>
    <row r="79013">
      <c r="A79013" s="1" t="n">
        <v>79012</v>
      </c>
      <c r="B79013">
        <f>TEXT(79012, "[$-0E0000]yyyy-mm-dd")</f>
        <v/>
      </c>
    </row>
    <row r="79014">
      <c r="A79014" s="1" t="n">
        <v>79013</v>
      </c>
      <c r="B79014">
        <f>TEXT(79013, "[$-0E0000]yyyy-mm-dd")</f>
        <v/>
      </c>
    </row>
    <row r="79015">
      <c r="A79015" s="1" t="n">
        <v>79014</v>
      </c>
      <c r="B79015">
        <f>TEXT(79014, "[$-0E0000]yyyy-mm-dd")</f>
        <v/>
      </c>
    </row>
    <row r="79016">
      <c r="A79016" s="1" t="n">
        <v>79015</v>
      </c>
      <c r="B79016">
        <f>TEXT(79015, "[$-0E0000]yyyy-mm-dd")</f>
        <v/>
      </c>
    </row>
    <row r="79017">
      <c r="A79017" s="1" t="n">
        <v>79016</v>
      </c>
      <c r="B79017">
        <f>TEXT(79016, "[$-0E0000]yyyy-mm-dd")</f>
        <v/>
      </c>
    </row>
    <row r="79018">
      <c r="A79018" s="1" t="n">
        <v>79017</v>
      </c>
      <c r="B79018">
        <f>TEXT(79017, "[$-0E0000]yyyy-mm-dd")</f>
        <v/>
      </c>
    </row>
    <row r="79019">
      <c r="A79019" s="1" t="n">
        <v>79018</v>
      </c>
      <c r="B79019">
        <f>TEXT(79018, "[$-0E0000]yyyy-mm-dd")</f>
        <v/>
      </c>
    </row>
    <row r="79020">
      <c r="A79020" s="1" t="n">
        <v>79019</v>
      </c>
      <c r="B79020">
        <f>TEXT(79019, "[$-0E0000]yyyy-mm-dd")</f>
        <v/>
      </c>
    </row>
    <row r="79021">
      <c r="A79021" s="1" t="n">
        <v>79020</v>
      </c>
      <c r="B79021">
        <f>TEXT(79020, "[$-0E0000]yyyy-mm-dd")</f>
        <v/>
      </c>
    </row>
    <row r="79022">
      <c r="A79022" s="1" t="n">
        <v>79021</v>
      </c>
      <c r="B79022">
        <f>TEXT(79021, "[$-0E0000]yyyy-mm-dd")</f>
        <v/>
      </c>
    </row>
    <row r="79023">
      <c r="A79023" s="1" t="n">
        <v>79022</v>
      </c>
      <c r="B79023">
        <f>TEXT(79022, "[$-0E0000]yyyy-mm-dd")</f>
        <v/>
      </c>
    </row>
    <row r="79024">
      <c r="A79024" s="1" t="n">
        <v>79023</v>
      </c>
      <c r="B79024">
        <f>TEXT(79023, "[$-0E0000]yyyy-mm-dd")</f>
        <v/>
      </c>
    </row>
    <row r="79025">
      <c r="A79025" s="1" t="n">
        <v>79024</v>
      </c>
      <c r="B79025">
        <f>TEXT(79024, "[$-0E0000]yyyy-mm-dd")</f>
        <v/>
      </c>
    </row>
    <row r="79026">
      <c r="A79026" s="1" t="n">
        <v>79025</v>
      </c>
      <c r="B79026">
        <f>TEXT(79025, "[$-0E0000]yyyy-mm-dd")</f>
        <v/>
      </c>
    </row>
    <row r="79027">
      <c r="A79027" s="1" t="n">
        <v>79026</v>
      </c>
      <c r="B79027">
        <f>TEXT(79026, "[$-0E0000]yyyy-mm-dd")</f>
        <v/>
      </c>
    </row>
    <row r="79028">
      <c r="A79028" s="1" t="n">
        <v>79027</v>
      </c>
      <c r="B79028">
        <f>TEXT(79027, "[$-0E0000]yyyy-mm-dd")</f>
        <v/>
      </c>
    </row>
    <row r="79029">
      <c r="A79029" s="1" t="n">
        <v>79028</v>
      </c>
      <c r="B79029">
        <f>TEXT(79028, "[$-0E0000]yyyy-mm-dd")</f>
        <v/>
      </c>
    </row>
    <row r="79030">
      <c r="A79030" s="1" t="n">
        <v>79029</v>
      </c>
      <c r="B79030">
        <f>TEXT(79029, "[$-0E0000]yyyy-mm-dd")</f>
        <v/>
      </c>
    </row>
    <row r="79031">
      <c r="A79031" s="1" t="n">
        <v>79030</v>
      </c>
      <c r="B79031">
        <f>TEXT(79030, "[$-0E0000]yyyy-mm-dd")</f>
        <v/>
      </c>
    </row>
    <row r="79032">
      <c r="A79032" s="1" t="n">
        <v>79031</v>
      </c>
      <c r="B79032">
        <f>TEXT(79031, "[$-0E0000]yyyy-mm-dd")</f>
        <v/>
      </c>
    </row>
    <row r="79033">
      <c r="A79033" s="1" t="n">
        <v>79032</v>
      </c>
      <c r="B79033">
        <f>TEXT(79032, "[$-0E0000]yyyy-mm-dd")</f>
        <v/>
      </c>
    </row>
    <row r="79034">
      <c r="A79034" s="1" t="n">
        <v>79033</v>
      </c>
      <c r="B79034">
        <f>TEXT(79033, "[$-0E0000]yyyy-mm-dd")</f>
        <v/>
      </c>
    </row>
    <row r="79035">
      <c r="A79035" s="1" t="n">
        <v>79034</v>
      </c>
      <c r="B79035">
        <f>TEXT(79034, "[$-0E0000]yyyy-mm-dd")</f>
        <v/>
      </c>
    </row>
    <row r="79036">
      <c r="A79036" s="1" t="n">
        <v>79035</v>
      </c>
      <c r="B79036">
        <f>TEXT(79035, "[$-0E0000]yyyy-mm-dd")</f>
        <v/>
      </c>
    </row>
    <row r="79037">
      <c r="A79037" s="1" t="n">
        <v>79036</v>
      </c>
      <c r="B79037">
        <f>TEXT(79036, "[$-0E0000]yyyy-mm-dd")</f>
        <v/>
      </c>
    </row>
    <row r="79038">
      <c r="A79038" s="1" t="n">
        <v>79037</v>
      </c>
      <c r="B79038">
        <f>TEXT(79037, "[$-0E0000]yyyy-mm-dd")</f>
        <v/>
      </c>
    </row>
    <row r="79039">
      <c r="A79039" s="1" t="n">
        <v>79038</v>
      </c>
      <c r="B79039">
        <f>TEXT(79038, "[$-0E0000]yyyy-mm-dd")</f>
        <v/>
      </c>
    </row>
    <row r="79040">
      <c r="A79040" s="1" t="n">
        <v>79039</v>
      </c>
      <c r="B79040">
        <f>TEXT(79039, "[$-0E0000]yyyy-mm-dd")</f>
        <v/>
      </c>
    </row>
    <row r="79041">
      <c r="A79041" s="1" t="n">
        <v>79040</v>
      </c>
      <c r="B79041">
        <f>TEXT(79040, "[$-0E0000]yyyy-mm-dd")</f>
        <v/>
      </c>
    </row>
    <row r="79042">
      <c r="A79042" s="1" t="n">
        <v>79041</v>
      </c>
      <c r="B79042">
        <f>TEXT(79041, "[$-0E0000]yyyy-mm-dd")</f>
        <v/>
      </c>
    </row>
    <row r="79043">
      <c r="A79043" s="1" t="n">
        <v>79042</v>
      </c>
      <c r="B79043">
        <f>TEXT(79042, "[$-0E0000]yyyy-mm-dd")</f>
        <v/>
      </c>
    </row>
    <row r="79044">
      <c r="A79044" s="1" t="n">
        <v>79043</v>
      </c>
      <c r="B79044">
        <f>TEXT(79043, "[$-0E0000]yyyy-mm-dd")</f>
        <v/>
      </c>
    </row>
    <row r="79045">
      <c r="A79045" s="1" t="n">
        <v>79044</v>
      </c>
      <c r="B79045">
        <f>TEXT(79044, "[$-0E0000]yyyy-mm-dd")</f>
        <v/>
      </c>
    </row>
    <row r="79046">
      <c r="A79046" s="1" t="n">
        <v>79045</v>
      </c>
      <c r="B79046">
        <f>TEXT(79045, "[$-0E0000]yyyy-mm-dd")</f>
        <v/>
      </c>
    </row>
    <row r="79047">
      <c r="A79047" s="1" t="n">
        <v>79046</v>
      </c>
      <c r="B79047">
        <f>TEXT(79046, "[$-0E0000]yyyy-mm-dd")</f>
        <v/>
      </c>
    </row>
    <row r="79048">
      <c r="A79048" s="1" t="n">
        <v>79047</v>
      </c>
      <c r="B79048">
        <f>TEXT(79047, "[$-0E0000]yyyy-mm-dd")</f>
        <v/>
      </c>
    </row>
    <row r="79049">
      <c r="A79049" s="1" t="n">
        <v>79048</v>
      </c>
      <c r="B79049">
        <f>TEXT(79048, "[$-0E0000]yyyy-mm-dd")</f>
        <v/>
      </c>
    </row>
    <row r="79050">
      <c r="A79050" s="1" t="n">
        <v>79049</v>
      </c>
      <c r="B79050">
        <f>TEXT(79049, "[$-0E0000]yyyy-mm-dd")</f>
        <v/>
      </c>
    </row>
    <row r="79051">
      <c r="A79051" s="1" t="n">
        <v>79050</v>
      </c>
      <c r="B79051">
        <f>TEXT(79050, "[$-0E0000]yyyy-mm-dd")</f>
        <v/>
      </c>
    </row>
    <row r="79052">
      <c r="A79052" s="1" t="n">
        <v>79051</v>
      </c>
      <c r="B79052">
        <f>TEXT(79051, "[$-0E0000]yyyy-mm-dd")</f>
        <v/>
      </c>
    </row>
    <row r="79053">
      <c r="A79053" s="1" t="n">
        <v>79052</v>
      </c>
      <c r="B79053">
        <f>TEXT(79052, "[$-0E0000]yyyy-mm-dd")</f>
        <v/>
      </c>
    </row>
    <row r="79054">
      <c r="A79054" s="1" t="n">
        <v>79053</v>
      </c>
      <c r="B79054">
        <f>TEXT(79053, "[$-0E0000]yyyy-mm-dd")</f>
        <v/>
      </c>
    </row>
    <row r="79055">
      <c r="A79055" s="1" t="n">
        <v>79054</v>
      </c>
      <c r="B79055">
        <f>TEXT(79054, "[$-0E0000]yyyy-mm-dd")</f>
        <v/>
      </c>
    </row>
    <row r="79056">
      <c r="A79056" s="1" t="n">
        <v>79055</v>
      </c>
      <c r="B79056">
        <f>TEXT(79055, "[$-0E0000]yyyy-mm-dd")</f>
        <v/>
      </c>
    </row>
    <row r="79057">
      <c r="A79057" s="1" t="n">
        <v>79056</v>
      </c>
      <c r="B79057">
        <f>TEXT(79056, "[$-0E0000]yyyy-mm-dd")</f>
        <v/>
      </c>
    </row>
    <row r="79058">
      <c r="A79058" s="1" t="n">
        <v>79057</v>
      </c>
      <c r="B79058">
        <f>TEXT(79057, "[$-0E0000]yyyy-mm-dd")</f>
        <v/>
      </c>
    </row>
    <row r="79059">
      <c r="A79059" s="1" t="n">
        <v>79058</v>
      </c>
      <c r="B79059">
        <f>TEXT(79058, "[$-0E0000]yyyy-mm-dd")</f>
        <v/>
      </c>
    </row>
    <row r="79060">
      <c r="A79060" s="1" t="n">
        <v>79059</v>
      </c>
      <c r="B79060">
        <f>TEXT(79059, "[$-0E0000]yyyy-mm-dd")</f>
        <v/>
      </c>
    </row>
    <row r="79061">
      <c r="A79061" s="1" t="n">
        <v>79060</v>
      </c>
      <c r="B79061">
        <f>TEXT(79060, "[$-0E0000]yyyy-mm-dd")</f>
        <v/>
      </c>
    </row>
    <row r="79062">
      <c r="A79062" s="1" t="n">
        <v>79061</v>
      </c>
      <c r="B79062">
        <f>TEXT(79061, "[$-0E0000]yyyy-mm-dd")</f>
        <v/>
      </c>
    </row>
    <row r="79063">
      <c r="A79063" s="1" t="n">
        <v>79062</v>
      </c>
      <c r="B79063">
        <f>TEXT(79062, "[$-0E0000]yyyy-mm-dd")</f>
        <v/>
      </c>
    </row>
    <row r="79064">
      <c r="A79064" s="1" t="n">
        <v>79063</v>
      </c>
      <c r="B79064">
        <f>TEXT(79063, "[$-0E0000]yyyy-mm-dd")</f>
        <v/>
      </c>
    </row>
    <row r="79065">
      <c r="A79065" s="1" t="n">
        <v>79064</v>
      </c>
      <c r="B79065">
        <f>TEXT(79064, "[$-0E0000]yyyy-mm-dd")</f>
        <v/>
      </c>
    </row>
    <row r="79066">
      <c r="A79066" s="1" t="n">
        <v>79065</v>
      </c>
      <c r="B79066">
        <f>TEXT(79065, "[$-0E0000]yyyy-mm-dd")</f>
        <v/>
      </c>
    </row>
    <row r="79067">
      <c r="A79067" s="1" t="n">
        <v>79066</v>
      </c>
      <c r="B79067">
        <f>TEXT(79066, "[$-0E0000]yyyy-mm-dd")</f>
        <v/>
      </c>
    </row>
    <row r="79068">
      <c r="A79068" s="1" t="n">
        <v>79067</v>
      </c>
      <c r="B79068">
        <f>TEXT(79067, "[$-0E0000]yyyy-mm-dd")</f>
        <v/>
      </c>
    </row>
    <row r="79069">
      <c r="A79069" s="1" t="n">
        <v>79068</v>
      </c>
      <c r="B79069">
        <f>TEXT(79068, "[$-0E0000]yyyy-mm-dd")</f>
        <v/>
      </c>
    </row>
    <row r="79070">
      <c r="A79070" s="1" t="n">
        <v>79069</v>
      </c>
      <c r="B79070">
        <f>TEXT(79069, "[$-0E0000]yyyy-mm-dd")</f>
        <v/>
      </c>
    </row>
    <row r="79071">
      <c r="A79071" s="1" t="n">
        <v>79070</v>
      </c>
      <c r="B79071">
        <f>TEXT(79070, "[$-0E0000]yyyy-mm-dd")</f>
        <v/>
      </c>
    </row>
    <row r="79072">
      <c r="A79072" s="1" t="n">
        <v>79071</v>
      </c>
      <c r="B79072">
        <f>TEXT(79071, "[$-0E0000]yyyy-mm-dd")</f>
        <v/>
      </c>
    </row>
    <row r="79073">
      <c r="A79073" s="1" t="n">
        <v>79072</v>
      </c>
      <c r="B79073">
        <f>TEXT(79072, "[$-0E0000]yyyy-mm-dd")</f>
        <v/>
      </c>
    </row>
    <row r="79074">
      <c r="A79074" s="1" t="n">
        <v>79073</v>
      </c>
      <c r="B79074">
        <f>TEXT(79073, "[$-0E0000]yyyy-mm-dd")</f>
        <v/>
      </c>
    </row>
    <row r="79075">
      <c r="A79075" s="1" t="n">
        <v>79074</v>
      </c>
      <c r="B79075">
        <f>TEXT(79074, "[$-0E0000]yyyy-mm-dd")</f>
        <v/>
      </c>
    </row>
    <row r="79076">
      <c r="A79076" s="1" t="n">
        <v>79075</v>
      </c>
      <c r="B79076">
        <f>TEXT(79075, "[$-0E0000]yyyy-mm-dd")</f>
        <v/>
      </c>
    </row>
    <row r="79077">
      <c r="A79077" s="1" t="n">
        <v>79076</v>
      </c>
      <c r="B79077">
        <f>TEXT(79076, "[$-0E0000]yyyy-mm-dd")</f>
        <v/>
      </c>
    </row>
    <row r="79078">
      <c r="A79078" s="1" t="n">
        <v>79077</v>
      </c>
      <c r="B79078">
        <f>TEXT(79077, "[$-0E0000]yyyy-mm-dd")</f>
        <v/>
      </c>
    </row>
    <row r="79079">
      <c r="A79079" s="1" t="n">
        <v>79078</v>
      </c>
      <c r="B79079">
        <f>TEXT(79078, "[$-0E0000]yyyy-mm-dd")</f>
        <v/>
      </c>
    </row>
    <row r="79080">
      <c r="A79080" s="1" t="n">
        <v>79079</v>
      </c>
      <c r="B79080">
        <f>TEXT(79079, "[$-0E0000]yyyy-mm-dd")</f>
        <v/>
      </c>
    </row>
    <row r="79081">
      <c r="A79081" s="1" t="n">
        <v>79080</v>
      </c>
      <c r="B79081">
        <f>TEXT(79080, "[$-0E0000]yyyy-mm-dd")</f>
        <v/>
      </c>
    </row>
    <row r="79082">
      <c r="A79082" s="1" t="n">
        <v>79081</v>
      </c>
      <c r="B79082">
        <f>TEXT(79081, "[$-0E0000]yyyy-mm-dd")</f>
        <v/>
      </c>
    </row>
    <row r="79083">
      <c r="A79083" s="1" t="n">
        <v>79082</v>
      </c>
      <c r="B79083">
        <f>TEXT(79082, "[$-0E0000]yyyy-mm-dd")</f>
        <v/>
      </c>
    </row>
    <row r="79084">
      <c r="A79084" s="1" t="n">
        <v>79083</v>
      </c>
      <c r="B79084">
        <f>TEXT(79083, "[$-0E0000]yyyy-mm-dd")</f>
        <v/>
      </c>
    </row>
    <row r="79085">
      <c r="A79085" s="1" t="n">
        <v>79084</v>
      </c>
      <c r="B79085">
        <f>TEXT(79084, "[$-0E0000]yyyy-mm-dd")</f>
        <v/>
      </c>
    </row>
    <row r="79086">
      <c r="A79086" s="1" t="n">
        <v>79085</v>
      </c>
      <c r="B79086">
        <f>TEXT(79085, "[$-0E0000]yyyy-mm-dd")</f>
        <v/>
      </c>
    </row>
    <row r="79087">
      <c r="A79087" s="1" t="n">
        <v>79086</v>
      </c>
      <c r="B79087">
        <f>TEXT(79086, "[$-0E0000]yyyy-mm-dd")</f>
        <v/>
      </c>
    </row>
    <row r="79088">
      <c r="A79088" s="1" t="n">
        <v>79087</v>
      </c>
      <c r="B79088">
        <f>TEXT(79087, "[$-0E0000]yyyy-mm-dd")</f>
        <v/>
      </c>
    </row>
    <row r="79089">
      <c r="A79089" s="1" t="n">
        <v>79088</v>
      </c>
      <c r="B79089">
        <f>TEXT(79088, "[$-0E0000]yyyy-mm-dd")</f>
        <v/>
      </c>
    </row>
    <row r="79090">
      <c r="A79090" s="1" t="n">
        <v>79089</v>
      </c>
      <c r="B79090">
        <f>TEXT(79089, "[$-0E0000]yyyy-mm-dd")</f>
        <v/>
      </c>
    </row>
    <row r="79091">
      <c r="A79091" s="1" t="n">
        <v>79090</v>
      </c>
      <c r="B79091">
        <f>TEXT(79090, "[$-0E0000]yyyy-mm-dd")</f>
        <v/>
      </c>
    </row>
    <row r="79092">
      <c r="A79092" s="1" t="n">
        <v>79091</v>
      </c>
      <c r="B79092">
        <f>TEXT(79091, "[$-0E0000]yyyy-mm-dd")</f>
        <v/>
      </c>
    </row>
    <row r="79093">
      <c r="A79093" s="1" t="n">
        <v>79092</v>
      </c>
      <c r="B79093">
        <f>TEXT(79092, "[$-0E0000]yyyy-mm-dd")</f>
        <v/>
      </c>
    </row>
    <row r="79094">
      <c r="A79094" s="1" t="n">
        <v>79093</v>
      </c>
      <c r="B79094">
        <f>TEXT(79093, "[$-0E0000]yyyy-mm-dd")</f>
        <v/>
      </c>
    </row>
    <row r="79095">
      <c r="A79095" s="1" t="n">
        <v>79094</v>
      </c>
      <c r="B79095">
        <f>TEXT(79094, "[$-0E0000]yyyy-mm-dd")</f>
        <v/>
      </c>
    </row>
    <row r="79096">
      <c r="A79096" s="1" t="n">
        <v>79095</v>
      </c>
      <c r="B79096">
        <f>TEXT(79095, "[$-0E0000]yyyy-mm-dd")</f>
        <v/>
      </c>
    </row>
    <row r="79097">
      <c r="A79097" s="1" t="n">
        <v>79096</v>
      </c>
      <c r="B79097">
        <f>TEXT(79096, "[$-0E0000]yyyy-mm-dd")</f>
        <v/>
      </c>
    </row>
    <row r="79098">
      <c r="A79098" s="1" t="n">
        <v>79097</v>
      </c>
      <c r="B79098">
        <f>TEXT(79097, "[$-0E0000]yyyy-mm-dd")</f>
        <v/>
      </c>
    </row>
    <row r="79099">
      <c r="A79099" s="1" t="n">
        <v>79098</v>
      </c>
      <c r="B79099">
        <f>TEXT(79098, "[$-0E0000]yyyy-mm-dd")</f>
        <v/>
      </c>
    </row>
    <row r="79100">
      <c r="A79100" s="1" t="n">
        <v>79099</v>
      </c>
      <c r="B79100">
        <f>TEXT(79099, "[$-0E0000]yyyy-mm-dd")</f>
        <v/>
      </c>
    </row>
    <row r="79101">
      <c r="A79101" s="1" t="n">
        <v>79100</v>
      </c>
      <c r="B79101">
        <f>TEXT(79100, "[$-0E0000]yyyy-mm-dd")</f>
        <v/>
      </c>
    </row>
    <row r="79102">
      <c r="A79102" s="1" t="n">
        <v>79101</v>
      </c>
      <c r="B79102">
        <f>TEXT(79101, "[$-0E0000]yyyy-mm-dd")</f>
        <v/>
      </c>
    </row>
    <row r="79103">
      <c r="A79103" s="1" t="n">
        <v>79102</v>
      </c>
      <c r="B79103">
        <f>TEXT(79102, "[$-0E0000]yyyy-mm-dd")</f>
        <v/>
      </c>
    </row>
    <row r="79104">
      <c r="A79104" s="1" t="n">
        <v>79103</v>
      </c>
      <c r="B79104">
        <f>TEXT(79103, "[$-0E0000]yyyy-mm-dd")</f>
        <v/>
      </c>
    </row>
    <row r="79105">
      <c r="A79105" s="1" t="n">
        <v>79104</v>
      </c>
      <c r="B79105">
        <f>TEXT(79104, "[$-0E0000]yyyy-mm-dd")</f>
        <v/>
      </c>
    </row>
    <row r="79106">
      <c r="A79106" s="1" t="n">
        <v>79105</v>
      </c>
      <c r="B79106">
        <f>TEXT(79105, "[$-0E0000]yyyy-mm-dd")</f>
        <v/>
      </c>
    </row>
    <row r="79107">
      <c r="A79107" s="1" t="n">
        <v>79106</v>
      </c>
      <c r="B79107">
        <f>TEXT(79106, "[$-0E0000]yyyy-mm-dd")</f>
        <v/>
      </c>
    </row>
    <row r="79108">
      <c r="A79108" s="1" t="n">
        <v>79107</v>
      </c>
      <c r="B79108">
        <f>TEXT(79107, "[$-0E0000]yyyy-mm-dd")</f>
        <v/>
      </c>
    </row>
    <row r="79109">
      <c r="A79109" s="1" t="n">
        <v>79108</v>
      </c>
      <c r="B79109">
        <f>TEXT(79108, "[$-0E0000]yyyy-mm-dd")</f>
        <v/>
      </c>
    </row>
    <row r="79110">
      <c r="A79110" s="1" t="n">
        <v>79109</v>
      </c>
      <c r="B79110">
        <f>TEXT(79109, "[$-0E0000]yyyy-mm-dd")</f>
        <v/>
      </c>
    </row>
    <row r="79111">
      <c r="A79111" s="1" t="n">
        <v>79110</v>
      </c>
      <c r="B79111">
        <f>TEXT(79110, "[$-0E0000]yyyy-mm-dd")</f>
        <v/>
      </c>
    </row>
    <row r="79112">
      <c r="A79112" s="1" t="n">
        <v>79111</v>
      </c>
      <c r="B79112">
        <f>TEXT(79111, "[$-0E0000]yyyy-mm-dd")</f>
        <v/>
      </c>
    </row>
    <row r="79113">
      <c r="A79113" s="1" t="n">
        <v>79112</v>
      </c>
      <c r="B79113">
        <f>TEXT(79112, "[$-0E0000]yyyy-mm-dd")</f>
        <v/>
      </c>
    </row>
    <row r="79114">
      <c r="A79114" s="1" t="n">
        <v>79113</v>
      </c>
      <c r="B79114">
        <f>TEXT(79113, "[$-0E0000]yyyy-mm-dd")</f>
        <v/>
      </c>
    </row>
    <row r="79115">
      <c r="A79115" s="1" t="n">
        <v>79114</v>
      </c>
      <c r="B79115">
        <f>TEXT(79114, "[$-0E0000]yyyy-mm-dd")</f>
        <v/>
      </c>
    </row>
    <row r="79116">
      <c r="A79116" s="1" t="n">
        <v>79115</v>
      </c>
      <c r="B79116">
        <f>TEXT(79115, "[$-0E0000]yyyy-mm-dd")</f>
        <v/>
      </c>
    </row>
    <row r="79117">
      <c r="A79117" s="1" t="n">
        <v>79116</v>
      </c>
      <c r="B79117">
        <f>TEXT(79116, "[$-0E0000]yyyy-mm-dd")</f>
        <v/>
      </c>
    </row>
    <row r="79118">
      <c r="A79118" s="1" t="n">
        <v>79117</v>
      </c>
      <c r="B79118">
        <f>TEXT(79117, "[$-0E0000]yyyy-mm-dd")</f>
        <v/>
      </c>
    </row>
    <row r="79119">
      <c r="A79119" s="1" t="n">
        <v>79118</v>
      </c>
      <c r="B79119">
        <f>TEXT(79118, "[$-0E0000]yyyy-mm-dd")</f>
        <v/>
      </c>
    </row>
    <row r="79120">
      <c r="A79120" s="1" t="n">
        <v>79119</v>
      </c>
      <c r="B79120">
        <f>TEXT(79119, "[$-0E0000]yyyy-mm-dd")</f>
        <v/>
      </c>
    </row>
    <row r="79121">
      <c r="A79121" s="1" t="n">
        <v>79120</v>
      </c>
      <c r="B79121">
        <f>TEXT(79120, "[$-0E0000]yyyy-mm-dd")</f>
        <v/>
      </c>
    </row>
    <row r="79122">
      <c r="A79122" s="1" t="n">
        <v>79121</v>
      </c>
      <c r="B79122">
        <f>TEXT(79121, "[$-0E0000]yyyy-mm-dd")</f>
        <v/>
      </c>
    </row>
    <row r="79123">
      <c r="A79123" s="1" t="n">
        <v>79122</v>
      </c>
      <c r="B79123">
        <f>TEXT(79122, "[$-0E0000]yyyy-mm-dd")</f>
        <v/>
      </c>
    </row>
    <row r="79124">
      <c r="A79124" s="1" t="n">
        <v>79123</v>
      </c>
      <c r="B79124">
        <f>TEXT(79123, "[$-0E0000]yyyy-mm-dd")</f>
        <v/>
      </c>
    </row>
    <row r="79125">
      <c r="A79125" s="1" t="n">
        <v>79124</v>
      </c>
      <c r="B79125">
        <f>TEXT(79124, "[$-0E0000]yyyy-mm-dd")</f>
        <v/>
      </c>
    </row>
    <row r="79126">
      <c r="A79126" s="1" t="n">
        <v>79125</v>
      </c>
      <c r="B79126">
        <f>TEXT(79125, "[$-0E0000]yyyy-mm-dd")</f>
        <v/>
      </c>
    </row>
    <row r="79127">
      <c r="A79127" s="1" t="n">
        <v>79126</v>
      </c>
      <c r="B79127">
        <f>TEXT(79126, "[$-0E0000]yyyy-mm-dd")</f>
        <v/>
      </c>
    </row>
    <row r="79128">
      <c r="A79128" s="1" t="n">
        <v>79127</v>
      </c>
      <c r="B79128">
        <f>TEXT(79127, "[$-0E0000]yyyy-mm-dd")</f>
        <v/>
      </c>
    </row>
    <row r="79129">
      <c r="A79129" s="1" t="n">
        <v>79128</v>
      </c>
      <c r="B79129">
        <f>TEXT(79128, "[$-0E0000]yyyy-mm-dd")</f>
        <v/>
      </c>
    </row>
    <row r="79130">
      <c r="A79130" s="1" t="n">
        <v>79129</v>
      </c>
      <c r="B79130">
        <f>TEXT(79129, "[$-0E0000]yyyy-mm-dd")</f>
        <v/>
      </c>
    </row>
    <row r="79131">
      <c r="A79131" s="1" t="n">
        <v>79130</v>
      </c>
      <c r="B79131">
        <f>TEXT(79130, "[$-0E0000]yyyy-mm-dd")</f>
        <v/>
      </c>
    </row>
    <row r="79132">
      <c r="A79132" s="1" t="n">
        <v>79131</v>
      </c>
      <c r="B79132">
        <f>TEXT(79131, "[$-0E0000]yyyy-mm-dd")</f>
        <v/>
      </c>
    </row>
    <row r="79133">
      <c r="A79133" s="1" t="n">
        <v>79132</v>
      </c>
      <c r="B79133">
        <f>TEXT(79132, "[$-0E0000]yyyy-mm-dd")</f>
        <v/>
      </c>
    </row>
    <row r="79134">
      <c r="A79134" s="1" t="n">
        <v>79133</v>
      </c>
      <c r="B79134">
        <f>TEXT(79133, "[$-0E0000]yyyy-mm-dd")</f>
        <v/>
      </c>
    </row>
    <row r="79135">
      <c r="A79135" s="1" t="n">
        <v>79134</v>
      </c>
      <c r="B79135">
        <f>TEXT(79134, "[$-0E0000]yyyy-mm-dd")</f>
        <v/>
      </c>
    </row>
    <row r="79136">
      <c r="A79136" s="1" t="n">
        <v>79135</v>
      </c>
      <c r="B79136">
        <f>TEXT(79135, "[$-0E0000]yyyy-mm-dd")</f>
        <v/>
      </c>
    </row>
    <row r="79137">
      <c r="A79137" s="1" t="n">
        <v>79136</v>
      </c>
      <c r="B79137">
        <f>TEXT(79136, "[$-0E0000]yyyy-mm-dd")</f>
        <v/>
      </c>
    </row>
    <row r="79138">
      <c r="A79138" s="1" t="n">
        <v>79137</v>
      </c>
      <c r="B79138">
        <f>TEXT(79137, "[$-0E0000]yyyy-mm-dd")</f>
        <v/>
      </c>
    </row>
    <row r="79139">
      <c r="A79139" s="1" t="n">
        <v>79138</v>
      </c>
      <c r="B79139">
        <f>TEXT(79138, "[$-0E0000]yyyy-mm-dd")</f>
        <v/>
      </c>
    </row>
    <row r="79140">
      <c r="A79140" s="1" t="n">
        <v>79139</v>
      </c>
      <c r="B79140">
        <f>TEXT(79139, "[$-0E0000]yyyy-mm-dd")</f>
        <v/>
      </c>
    </row>
    <row r="79141">
      <c r="A79141" s="1" t="n">
        <v>79140</v>
      </c>
      <c r="B79141">
        <f>TEXT(79140, "[$-0E0000]yyyy-mm-dd")</f>
        <v/>
      </c>
    </row>
    <row r="79142">
      <c r="A79142" s="1" t="n">
        <v>79141</v>
      </c>
      <c r="B79142">
        <f>TEXT(79141, "[$-0E0000]yyyy-mm-dd")</f>
        <v/>
      </c>
    </row>
    <row r="79143">
      <c r="A79143" s="1" t="n">
        <v>79142</v>
      </c>
      <c r="B79143">
        <f>TEXT(79142, "[$-0E0000]yyyy-mm-dd")</f>
        <v/>
      </c>
    </row>
    <row r="79144">
      <c r="A79144" s="1" t="n">
        <v>79143</v>
      </c>
      <c r="B79144">
        <f>TEXT(79143, "[$-0E0000]yyyy-mm-dd")</f>
        <v/>
      </c>
    </row>
    <row r="79145">
      <c r="A79145" s="1" t="n">
        <v>79144</v>
      </c>
      <c r="B79145">
        <f>TEXT(79144, "[$-0E0000]yyyy-mm-dd")</f>
        <v/>
      </c>
    </row>
    <row r="79146">
      <c r="A79146" s="1" t="n">
        <v>79145</v>
      </c>
      <c r="B79146">
        <f>TEXT(79145, "[$-0E0000]yyyy-mm-dd")</f>
        <v/>
      </c>
    </row>
    <row r="79147">
      <c r="A79147" s="1" t="n">
        <v>79146</v>
      </c>
      <c r="B79147">
        <f>TEXT(79146, "[$-0E0000]yyyy-mm-dd")</f>
        <v/>
      </c>
    </row>
    <row r="79148">
      <c r="A79148" s="1" t="n">
        <v>79147</v>
      </c>
      <c r="B79148">
        <f>TEXT(79147, "[$-0E0000]yyyy-mm-dd")</f>
        <v/>
      </c>
    </row>
    <row r="79149">
      <c r="A79149" s="1" t="n">
        <v>79148</v>
      </c>
      <c r="B79149">
        <f>TEXT(79148, "[$-0E0000]yyyy-mm-dd")</f>
        <v/>
      </c>
    </row>
    <row r="79150">
      <c r="A79150" s="1" t="n">
        <v>79149</v>
      </c>
      <c r="B79150">
        <f>TEXT(79149, "[$-0E0000]yyyy-mm-dd")</f>
        <v/>
      </c>
    </row>
    <row r="79151">
      <c r="A79151" s="1" t="n">
        <v>79150</v>
      </c>
      <c r="B79151">
        <f>TEXT(79150, "[$-0E0000]yyyy-mm-dd")</f>
        <v/>
      </c>
    </row>
    <row r="79152">
      <c r="A79152" s="1" t="n">
        <v>79151</v>
      </c>
      <c r="B79152">
        <f>TEXT(79151, "[$-0E0000]yyyy-mm-dd")</f>
        <v/>
      </c>
    </row>
    <row r="79153">
      <c r="A79153" s="1" t="n">
        <v>79152</v>
      </c>
      <c r="B79153">
        <f>TEXT(79152, "[$-0E0000]yyyy-mm-dd")</f>
        <v/>
      </c>
    </row>
    <row r="79154">
      <c r="A79154" s="1" t="n">
        <v>79153</v>
      </c>
      <c r="B79154">
        <f>TEXT(79153, "[$-0E0000]yyyy-mm-dd")</f>
        <v/>
      </c>
    </row>
    <row r="79155">
      <c r="A79155" s="1" t="n">
        <v>79154</v>
      </c>
      <c r="B79155">
        <f>TEXT(79154, "[$-0E0000]yyyy-mm-dd")</f>
        <v/>
      </c>
    </row>
    <row r="79156">
      <c r="A79156" s="1" t="n">
        <v>79155</v>
      </c>
      <c r="B79156">
        <f>TEXT(79155, "[$-0E0000]yyyy-mm-dd")</f>
        <v/>
      </c>
    </row>
    <row r="79157">
      <c r="A79157" s="1" t="n">
        <v>79156</v>
      </c>
      <c r="B79157">
        <f>TEXT(79156, "[$-0E0000]yyyy-mm-dd")</f>
        <v/>
      </c>
    </row>
    <row r="79158">
      <c r="A79158" s="1" t="n">
        <v>79157</v>
      </c>
      <c r="B79158">
        <f>TEXT(79157, "[$-0E0000]yyyy-mm-dd")</f>
        <v/>
      </c>
    </row>
    <row r="79159">
      <c r="A79159" s="1" t="n">
        <v>79158</v>
      </c>
      <c r="B79159">
        <f>TEXT(79158, "[$-0E0000]yyyy-mm-dd")</f>
        <v/>
      </c>
    </row>
    <row r="79160">
      <c r="A79160" s="1" t="n">
        <v>79159</v>
      </c>
      <c r="B79160">
        <f>TEXT(79159, "[$-0E0000]yyyy-mm-dd")</f>
        <v/>
      </c>
    </row>
    <row r="79161">
      <c r="A79161" s="1" t="n">
        <v>79160</v>
      </c>
      <c r="B79161">
        <f>TEXT(79160, "[$-0E0000]yyyy-mm-dd")</f>
        <v/>
      </c>
    </row>
    <row r="79162">
      <c r="A79162" s="1" t="n">
        <v>79161</v>
      </c>
      <c r="B79162">
        <f>TEXT(79161, "[$-0E0000]yyyy-mm-dd")</f>
        <v/>
      </c>
    </row>
    <row r="79163">
      <c r="A79163" s="1" t="n">
        <v>79162</v>
      </c>
      <c r="B79163">
        <f>TEXT(79162, "[$-0E0000]yyyy-mm-dd")</f>
        <v/>
      </c>
    </row>
    <row r="79164">
      <c r="A79164" s="1" t="n">
        <v>79163</v>
      </c>
      <c r="B79164">
        <f>TEXT(79163, "[$-0E0000]yyyy-mm-dd")</f>
        <v/>
      </c>
    </row>
    <row r="79165">
      <c r="A79165" s="1" t="n">
        <v>79164</v>
      </c>
      <c r="B79165">
        <f>TEXT(79164, "[$-0E0000]yyyy-mm-dd")</f>
        <v/>
      </c>
    </row>
    <row r="79166">
      <c r="A79166" s="1" t="n">
        <v>79165</v>
      </c>
      <c r="B79166">
        <f>TEXT(79165, "[$-0E0000]yyyy-mm-dd")</f>
        <v/>
      </c>
    </row>
    <row r="79167">
      <c r="A79167" s="1" t="n">
        <v>79166</v>
      </c>
      <c r="B79167">
        <f>TEXT(79166, "[$-0E0000]yyyy-mm-dd")</f>
        <v/>
      </c>
    </row>
    <row r="79168">
      <c r="A79168" s="1" t="n">
        <v>79167</v>
      </c>
      <c r="B79168">
        <f>TEXT(79167, "[$-0E0000]yyyy-mm-dd")</f>
        <v/>
      </c>
    </row>
    <row r="79169">
      <c r="A79169" s="1" t="n">
        <v>79168</v>
      </c>
      <c r="B79169">
        <f>TEXT(79168, "[$-0E0000]yyyy-mm-dd")</f>
        <v/>
      </c>
    </row>
    <row r="79170">
      <c r="A79170" s="1" t="n">
        <v>79169</v>
      </c>
      <c r="B79170">
        <f>TEXT(79169, "[$-0E0000]yyyy-mm-dd")</f>
        <v/>
      </c>
    </row>
    <row r="79171">
      <c r="A79171" s="1" t="n">
        <v>79170</v>
      </c>
      <c r="B79171">
        <f>TEXT(79170, "[$-0E0000]yyyy-mm-dd")</f>
        <v/>
      </c>
    </row>
    <row r="79172">
      <c r="A79172" s="1" t="n">
        <v>79171</v>
      </c>
      <c r="B79172">
        <f>TEXT(79171, "[$-0E0000]yyyy-mm-dd")</f>
        <v/>
      </c>
    </row>
    <row r="79173">
      <c r="A79173" s="1" t="n">
        <v>79172</v>
      </c>
      <c r="B79173">
        <f>TEXT(79172, "[$-0E0000]yyyy-mm-dd")</f>
        <v/>
      </c>
    </row>
    <row r="79174">
      <c r="A79174" s="1" t="n">
        <v>79173</v>
      </c>
      <c r="B79174">
        <f>TEXT(79173, "[$-0E0000]yyyy-mm-dd")</f>
        <v/>
      </c>
    </row>
    <row r="79175">
      <c r="A79175" s="1" t="n">
        <v>79174</v>
      </c>
      <c r="B79175">
        <f>TEXT(79174, "[$-0E0000]yyyy-mm-dd")</f>
        <v/>
      </c>
    </row>
    <row r="79176">
      <c r="A79176" s="1" t="n">
        <v>79175</v>
      </c>
      <c r="B79176">
        <f>TEXT(79175, "[$-0E0000]yyyy-mm-dd")</f>
        <v/>
      </c>
    </row>
    <row r="79177">
      <c r="A79177" s="1" t="n">
        <v>79176</v>
      </c>
      <c r="B79177">
        <f>TEXT(79176, "[$-0E0000]yyyy-mm-dd")</f>
        <v/>
      </c>
    </row>
    <row r="79178">
      <c r="A79178" s="1" t="n">
        <v>79177</v>
      </c>
      <c r="B79178">
        <f>TEXT(79177, "[$-0E0000]yyyy-mm-dd")</f>
        <v/>
      </c>
    </row>
    <row r="79179">
      <c r="A79179" s="1" t="n">
        <v>79178</v>
      </c>
      <c r="B79179">
        <f>TEXT(79178, "[$-0E0000]yyyy-mm-dd")</f>
        <v/>
      </c>
    </row>
    <row r="79180">
      <c r="A79180" s="1" t="n">
        <v>79179</v>
      </c>
      <c r="B79180">
        <f>TEXT(79179, "[$-0E0000]yyyy-mm-dd")</f>
        <v/>
      </c>
    </row>
    <row r="79181">
      <c r="A79181" s="1" t="n">
        <v>79180</v>
      </c>
      <c r="B79181">
        <f>TEXT(79180, "[$-0E0000]yyyy-mm-dd")</f>
        <v/>
      </c>
    </row>
    <row r="79182">
      <c r="A79182" s="1" t="n">
        <v>79181</v>
      </c>
      <c r="B79182">
        <f>TEXT(79181, "[$-0E0000]yyyy-mm-dd")</f>
        <v/>
      </c>
    </row>
    <row r="79183">
      <c r="A79183" s="1" t="n">
        <v>79182</v>
      </c>
      <c r="B79183">
        <f>TEXT(79182, "[$-0E0000]yyyy-mm-dd")</f>
        <v/>
      </c>
    </row>
    <row r="79184">
      <c r="A79184" s="1" t="n">
        <v>79183</v>
      </c>
      <c r="B79184">
        <f>TEXT(79183, "[$-0E0000]yyyy-mm-dd")</f>
        <v/>
      </c>
    </row>
    <row r="79185">
      <c r="A79185" s="1" t="n">
        <v>79184</v>
      </c>
      <c r="B79185">
        <f>TEXT(79184, "[$-0E0000]yyyy-mm-dd")</f>
        <v/>
      </c>
    </row>
    <row r="79186">
      <c r="A79186" s="1" t="n">
        <v>79185</v>
      </c>
      <c r="B79186">
        <f>TEXT(79185, "[$-0E0000]yyyy-mm-dd")</f>
        <v/>
      </c>
    </row>
    <row r="79187">
      <c r="A79187" s="1" t="n">
        <v>79186</v>
      </c>
      <c r="B79187">
        <f>TEXT(79186, "[$-0E0000]yyyy-mm-dd")</f>
        <v/>
      </c>
    </row>
    <row r="79188">
      <c r="A79188" s="1" t="n">
        <v>79187</v>
      </c>
      <c r="B79188">
        <f>TEXT(79187, "[$-0E0000]yyyy-mm-dd")</f>
        <v/>
      </c>
    </row>
    <row r="79189">
      <c r="A79189" s="1" t="n">
        <v>79188</v>
      </c>
      <c r="B79189">
        <f>TEXT(79188, "[$-0E0000]yyyy-mm-dd")</f>
        <v/>
      </c>
    </row>
    <row r="79190">
      <c r="A79190" s="1" t="n">
        <v>79189</v>
      </c>
      <c r="B79190">
        <f>TEXT(79189, "[$-0E0000]yyyy-mm-dd")</f>
        <v/>
      </c>
    </row>
    <row r="79191">
      <c r="A79191" s="1" t="n">
        <v>79190</v>
      </c>
      <c r="B79191">
        <f>TEXT(79190, "[$-0E0000]yyyy-mm-dd")</f>
        <v/>
      </c>
    </row>
    <row r="79192">
      <c r="A79192" s="1" t="n">
        <v>79191</v>
      </c>
      <c r="B79192">
        <f>TEXT(79191, "[$-0E0000]yyyy-mm-dd")</f>
        <v/>
      </c>
    </row>
    <row r="79193">
      <c r="A79193" s="1" t="n">
        <v>79192</v>
      </c>
      <c r="B79193">
        <f>TEXT(79192, "[$-0E0000]yyyy-mm-dd")</f>
        <v/>
      </c>
    </row>
    <row r="79194">
      <c r="A79194" s="1" t="n">
        <v>79193</v>
      </c>
      <c r="B79194">
        <f>TEXT(79193, "[$-0E0000]yyyy-mm-dd")</f>
        <v/>
      </c>
    </row>
    <row r="79195">
      <c r="A79195" s="1" t="n">
        <v>79194</v>
      </c>
      <c r="B79195">
        <f>TEXT(79194, "[$-0E0000]yyyy-mm-dd")</f>
        <v/>
      </c>
    </row>
    <row r="79196">
      <c r="A79196" s="1" t="n">
        <v>79195</v>
      </c>
      <c r="B79196">
        <f>TEXT(79195, "[$-0E0000]yyyy-mm-dd")</f>
        <v/>
      </c>
    </row>
    <row r="79197">
      <c r="A79197" s="1" t="n">
        <v>79196</v>
      </c>
      <c r="B79197">
        <f>TEXT(79196, "[$-0E0000]yyyy-mm-dd")</f>
        <v/>
      </c>
    </row>
    <row r="79198">
      <c r="A79198" s="1" t="n">
        <v>79197</v>
      </c>
      <c r="B79198">
        <f>TEXT(79197, "[$-0E0000]yyyy-mm-dd")</f>
        <v/>
      </c>
    </row>
    <row r="79199">
      <c r="A79199" s="1" t="n">
        <v>79198</v>
      </c>
      <c r="B79199">
        <f>TEXT(79198, "[$-0E0000]yyyy-mm-dd")</f>
        <v/>
      </c>
    </row>
    <row r="79200">
      <c r="A79200" s="1" t="n">
        <v>79199</v>
      </c>
      <c r="B79200">
        <f>TEXT(79199, "[$-0E0000]yyyy-mm-dd")</f>
        <v/>
      </c>
    </row>
    <row r="79201">
      <c r="A79201" s="1" t="n">
        <v>79200</v>
      </c>
      <c r="B79201">
        <f>TEXT(79200, "[$-0E0000]yyyy-mm-dd")</f>
        <v/>
      </c>
    </row>
    <row r="79202">
      <c r="A79202" s="1" t="n">
        <v>79201</v>
      </c>
      <c r="B79202">
        <f>TEXT(79201, "[$-0E0000]yyyy-mm-dd")</f>
        <v/>
      </c>
    </row>
    <row r="79203">
      <c r="A79203" s="1" t="n">
        <v>79202</v>
      </c>
      <c r="B79203">
        <f>TEXT(79202, "[$-0E0000]yyyy-mm-dd")</f>
        <v/>
      </c>
    </row>
    <row r="79204">
      <c r="A79204" s="1" t="n">
        <v>79203</v>
      </c>
      <c r="B79204">
        <f>TEXT(79203, "[$-0E0000]yyyy-mm-dd")</f>
        <v/>
      </c>
    </row>
    <row r="79205">
      <c r="A79205" s="1" t="n">
        <v>79204</v>
      </c>
      <c r="B79205">
        <f>TEXT(79204, "[$-0E0000]yyyy-mm-dd")</f>
        <v/>
      </c>
    </row>
    <row r="79206">
      <c r="A79206" s="1" t="n">
        <v>79205</v>
      </c>
      <c r="B79206">
        <f>TEXT(79205, "[$-0E0000]yyyy-mm-dd")</f>
        <v/>
      </c>
    </row>
    <row r="79207">
      <c r="A79207" s="1" t="n">
        <v>79206</v>
      </c>
      <c r="B79207">
        <f>TEXT(79206, "[$-0E0000]yyyy-mm-dd")</f>
        <v/>
      </c>
    </row>
    <row r="79208">
      <c r="A79208" s="1" t="n">
        <v>79207</v>
      </c>
      <c r="B79208">
        <f>TEXT(79207, "[$-0E0000]yyyy-mm-dd")</f>
        <v/>
      </c>
    </row>
    <row r="79209">
      <c r="A79209" s="1" t="n">
        <v>79208</v>
      </c>
      <c r="B79209">
        <f>TEXT(79208, "[$-0E0000]yyyy-mm-dd")</f>
        <v/>
      </c>
    </row>
    <row r="79210">
      <c r="A79210" s="1" t="n">
        <v>79209</v>
      </c>
      <c r="B79210">
        <f>TEXT(79209, "[$-0E0000]yyyy-mm-dd")</f>
        <v/>
      </c>
    </row>
    <row r="79211">
      <c r="A79211" s="1" t="n">
        <v>79210</v>
      </c>
      <c r="B79211">
        <f>TEXT(79210, "[$-0E0000]yyyy-mm-dd")</f>
        <v/>
      </c>
    </row>
    <row r="79212">
      <c r="A79212" s="1" t="n">
        <v>79211</v>
      </c>
      <c r="B79212">
        <f>TEXT(79211, "[$-0E0000]yyyy-mm-dd")</f>
        <v/>
      </c>
    </row>
    <row r="79213">
      <c r="A79213" s="1" t="n">
        <v>79212</v>
      </c>
      <c r="B79213">
        <f>TEXT(79212, "[$-0E0000]yyyy-mm-dd")</f>
        <v/>
      </c>
    </row>
    <row r="79214">
      <c r="A79214" s="1" t="n">
        <v>79213</v>
      </c>
      <c r="B79214">
        <f>TEXT(79213, "[$-0E0000]yyyy-mm-dd")</f>
        <v/>
      </c>
    </row>
    <row r="79215">
      <c r="A79215" s="1" t="n">
        <v>79214</v>
      </c>
      <c r="B79215">
        <f>TEXT(79214, "[$-0E0000]yyyy-mm-dd")</f>
        <v/>
      </c>
    </row>
    <row r="79216">
      <c r="A79216" s="1" t="n">
        <v>79215</v>
      </c>
      <c r="B79216">
        <f>TEXT(79215, "[$-0E0000]yyyy-mm-dd")</f>
        <v/>
      </c>
    </row>
    <row r="79217">
      <c r="A79217" s="1" t="n">
        <v>79216</v>
      </c>
      <c r="B79217">
        <f>TEXT(79216, "[$-0E0000]yyyy-mm-dd")</f>
        <v/>
      </c>
    </row>
    <row r="79218">
      <c r="A79218" s="1" t="n">
        <v>79217</v>
      </c>
      <c r="B79218">
        <f>TEXT(79217, "[$-0E0000]yyyy-mm-dd")</f>
        <v/>
      </c>
    </row>
    <row r="79219">
      <c r="A79219" s="1" t="n">
        <v>79218</v>
      </c>
      <c r="B79219">
        <f>TEXT(79218, "[$-0E0000]yyyy-mm-dd")</f>
        <v/>
      </c>
    </row>
    <row r="79220">
      <c r="A79220" s="1" t="n">
        <v>79219</v>
      </c>
      <c r="B79220">
        <f>TEXT(79219, "[$-0E0000]yyyy-mm-dd")</f>
        <v/>
      </c>
    </row>
    <row r="79221">
      <c r="A79221" s="1" t="n">
        <v>79220</v>
      </c>
      <c r="B79221">
        <f>TEXT(79220, "[$-0E0000]yyyy-mm-dd")</f>
        <v/>
      </c>
    </row>
    <row r="79222">
      <c r="A79222" s="1" t="n">
        <v>79221</v>
      </c>
      <c r="B79222">
        <f>TEXT(79221, "[$-0E0000]yyyy-mm-dd")</f>
        <v/>
      </c>
    </row>
    <row r="79223">
      <c r="A79223" s="1" t="n">
        <v>79222</v>
      </c>
      <c r="B79223">
        <f>TEXT(79222, "[$-0E0000]yyyy-mm-dd")</f>
        <v/>
      </c>
    </row>
    <row r="79224">
      <c r="A79224" s="1" t="n">
        <v>79223</v>
      </c>
      <c r="B79224">
        <f>TEXT(79223, "[$-0E0000]yyyy-mm-dd")</f>
        <v/>
      </c>
    </row>
    <row r="79225">
      <c r="A79225" s="1" t="n">
        <v>79224</v>
      </c>
      <c r="B79225">
        <f>TEXT(79224, "[$-0E0000]yyyy-mm-dd")</f>
        <v/>
      </c>
    </row>
    <row r="79226">
      <c r="A79226" s="1" t="n">
        <v>79225</v>
      </c>
      <c r="B79226">
        <f>TEXT(79225, "[$-0E0000]yyyy-mm-dd")</f>
        <v/>
      </c>
    </row>
    <row r="79227">
      <c r="A79227" s="1" t="n">
        <v>79226</v>
      </c>
      <c r="B79227">
        <f>TEXT(79226, "[$-0E0000]yyyy-mm-dd")</f>
        <v/>
      </c>
    </row>
    <row r="79228">
      <c r="A79228" s="1" t="n">
        <v>79227</v>
      </c>
      <c r="B79228">
        <f>TEXT(79227, "[$-0E0000]yyyy-mm-dd")</f>
        <v/>
      </c>
    </row>
    <row r="79229">
      <c r="A79229" s="1" t="n">
        <v>79228</v>
      </c>
      <c r="B79229">
        <f>TEXT(79228, "[$-0E0000]yyyy-mm-dd")</f>
        <v/>
      </c>
    </row>
    <row r="79230">
      <c r="A79230" s="1" t="n">
        <v>79229</v>
      </c>
      <c r="B79230">
        <f>TEXT(79229, "[$-0E0000]yyyy-mm-dd")</f>
        <v/>
      </c>
    </row>
    <row r="79231">
      <c r="A79231" s="1" t="n">
        <v>79230</v>
      </c>
      <c r="B79231">
        <f>TEXT(79230, "[$-0E0000]yyyy-mm-dd")</f>
        <v/>
      </c>
    </row>
    <row r="79232">
      <c r="A79232" s="1" t="n">
        <v>79231</v>
      </c>
      <c r="B79232">
        <f>TEXT(79231, "[$-0E0000]yyyy-mm-dd")</f>
        <v/>
      </c>
    </row>
    <row r="79233">
      <c r="A79233" s="1" t="n">
        <v>79232</v>
      </c>
      <c r="B79233">
        <f>TEXT(79232, "[$-0E0000]yyyy-mm-dd")</f>
        <v/>
      </c>
    </row>
    <row r="79234">
      <c r="A79234" s="1" t="n">
        <v>79233</v>
      </c>
      <c r="B79234">
        <f>TEXT(79233, "[$-0E0000]yyyy-mm-dd")</f>
        <v/>
      </c>
    </row>
    <row r="79235">
      <c r="A79235" s="1" t="n">
        <v>79234</v>
      </c>
      <c r="B79235">
        <f>TEXT(79234, "[$-0E0000]yyyy-mm-dd")</f>
        <v/>
      </c>
    </row>
    <row r="79236">
      <c r="A79236" s="1" t="n">
        <v>79235</v>
      </c>
      <c r="B79236">
        <f>TEXT(79235, "[$-0E0000]yyyy-mm-dd")</f>
        <v/>
      </c>
    </row>
    <row r="79237">
      <c r="A79237" s="1" t="n">
        <v>79236</v>
      </c>
      <c r="B79237">
        <f>TEXT(79236, "[$-0E0000]yyyy-mm-dd")</f>
        <v/>
      </c>
    </row>
    <row r="79238">
      <c r="A79238" s="1" t="n">
        <v>79237</v>
      </c>
      <c r="B79238">
        <f>TEXT(79237, "[$-0E0000]yyyy-mm-dd")</f>
        <v/>
      </c>
    </row>
    <row r="79239">
      <c r="A79239" s="1" t="n">
        <v>79238</v>
      </c>
      <c r="B79239">
        <f>TEXT(79238, "[$-0E0000]yyyy-mm-dd")</f>
        <v/>
      </c>
    </row>
    <row r="79240">
      <c r="A79240" s="1" t="n">
        <v>79239</v>
      </c>
      <c r="B79240">
        <f>TEXT(79239, "[$-0E0000]yyyy-mm-dd")</f>
        <v/>
      </c>
    </row>
    <row r="79241">
      <c r="A79241" s="1" t="n">
        <v>79240</v>
      </c>
      <c r="B79241">
        <f>TEXT(79240, "[$-0E0000]yyyy-mm-dd")</f>
        <v/>
      </c>
    </row>
    <row r="79242">
      <c r="A79242" s="1" t="n">
        <v>79241</v>
      </c>
      <c r="B79242">
        <f>TEXT(79241, "[$-0E0000]yyyy-mm-dd")</f>
        <v/>
      </c>
    </row>
    <row r="79243">
      <c r="A79243" s="1" t="n">
        <v>79242</v>
      </c>
      <c r="B79243">
        <f>TEXT(79242, "[$-0E0000]yyyy-mm-dd")</f>
        <v/>
      </c>
    </row>
    <row r="79244">
      <c r="A79244" s="1" t="n">
        <v>79243</v>
      </c>
      <c r="B79244">
        <f>TEXT(79243, "[$-0E0000]yyyy-mm-dd")</f>
        <v/>
      </c>
    </row>
    <row r="79245">
      <c r="A79245" s="1" t="n">
        <v>79244</v>
      </c>
      <c r="B79245">
        <f>TEXT(79244, "[$-0E0000]yyyy-mm-dd")</f>
        <v/>
      </c>
    </row>
    <row r="79246">
      <c r="A79246" s="1" t="n">
        <v>79245</v>
      </c>
      <c r="B79246">
        <f>TEXT(79245, "[$-0E0000]yyyy-mm-dd")</f>
        <v/>
      </c>
    </row>
    <row r="79247">
      <c r="A79247" s="1" t="n">
        <v>79246</v>
      </c>
      <c r="B79247">
        <f>TEXT(79246, "[$-0E0000]yyyy-mm-dd")</f>
        <v/>
      </c>
    </row>
    <row r="79248">
      <c r="A79248" s="1" t="n">
        <v>79247</v>
      </c>
      <c r="B79248">
        <f>TEXT(79247, "[$-0E0000]yyyy-mm-dd")</f>
        <v/>
      </c>
    </row>
    <row r="79249">
      <c r="A79249" s="1" t="n">
        <v>79248</v>
      </c>
      <c r="B79249">
        <f>TEXT(79248, "[$-0E0000]yyyy-mm-dd")</f>
        <v/>
      </c>
    </row>
    <row r="79250">
      <c r="A79250" s="1" t="n">
        <v>79249</v>
      </c>
      <c r="B79250">
        <f>TEXT(79249, "[$-0E0000]yyyy-mm-dd")</f>
        <v/>
      </c>
    </row>
    <row r="79251">
      <c r="A79251" s="1" t="n">
        <v>79250</v>
      </c>
      <c r="B79251">
        <f>TEXT(79250, "[$-0E0000]yyyy-mm-dd")</f>
        <v/>
      </c>
    </row>
    <row r="79252">
      <c r="A79252" s="1" t="n">
        <v>79251</v>
      </c>
      <c r="B79252">
        <f>TEXT(79251, "[$-0E0000]yyyy-mm-dd")</f>
        <v/>
      </c>
    </row>
    <row r="79253">
      <c r="A79253" s="1" t="n">
        <v>79252</v>
      </c>
      <c r="B79253">
        <f>TEXT(79252, "[$-0E0000]yyyy-mm-dd")</f>
        <v/>
      </c>
    </row>
    <row r="79254">
      <c r="A79254" s="1" t="n">
        <v>79253</v>
      </c>
      <c r="B79254">
        <f>TEXT(79253, "[$-0E0000]yyyy-mm-dd")</f>
        <v/>
      </c>
    </row>
    <row r="79255">
      <c r="A79255" s="1" t="n">
        <v>79254</v>
      </c>
      <c r="B79255">
        <f>TEXT(79254, "[$-0E0000]yyyy-mm-dd")</f>
        <v/>
      </c>
    </row>
    <row r="79256">
      <c r="A79256" s="1" t="n">
        <v>79255</v>
      </c>
      <c r="B79256">
        <f>TEXT(79255, "[$-0E0000]yyyy-mm-dd")</f>
        <v/>
      </c>
    </row>
    <row r="79257">
      <c r="A79257" s="1" t="n">
        <v>79256</v>
      </c>
      <c r="B79257">
        <f>TEXT(79256, "[$-0E0000]yyyy-mm-dd")</f>
        <v/>
      </c>
    </row>
    <row r="79258">
      <c r="A79258" s="1" t="n">
        <v>79257</v>
      </c>
      <c r="B79258">
        <f>TEXT(79257, "[$-0E0000]yyyy-mm-dd")</f>
        <v/>
      </c>
    </row>
    <row r="79259">
      <c r="A79259" s="1" t="n">
        <v>79258</v>
      </c>
      <c r="B79259">
        <f>TEXT(79258, "[$-0E0000]yyyy-mm-dd")</f>
        <v/>
      </c>
    </row>
    <row r="79260">
      <c r="A79260" s="1" t="n">
        <v>79259</v>
      </c>
      <c r="B79260">
        <f>TEXT(79259, "[$-0E0000]yyyy-mm-dd")</f>
        <v/>
      </c>
    </row>
    <row r="79261">
      <c r="A79261" s="1" t="n">
        <v>79260</v>
      </c>
      <c r="B79261">
        <f>TEXT(79260, "[$-0E0000]yyyy-mm-dd")</f>
        <v/>
      </c>
    </row>
    <row r="79262">
      <c r="A79262" s="1" t="n">
        <v>79261</v>
      </c>
      <c r="B79262">
        <f>TEXT(79261, "[$-0E0000]yyyy-mm-dd")</f>
        <v/>
      </c>
    </row>
    <row r="79263">
      <c r="A79263" s="1" t="n">
        <v>79262</v>
      </c>
      <c r="B79263">
        <f>TEXT(79262, "[$-0E0000]yyyy-mm-dd")</f>
        <v/>
      </c>
    </row>
    <row r="79264">
      <c r="A79264" s="1" t="n">
        <v>79263</v>
      </c>
      <c r="B79264">
        <f>TEXT(79263, "[$-0E0000]yyyy-mm-dd")</f>
        <v/>
      </c>
    </row>
    <row r="79265">
      <c r="A79265" s="1" t="n">
        <v>79264</v>
      </c>
      <c r="B79265">
        <f>TEXT(79264, "[$-0E0000]yyyy-mm-dd")</f>
        <v/>
      </c>
    </row>
    <row r="79266">
      <c r="A79266" s="1" t="n">
        <v>79265</v>
      </c>
      <c r="B79266">
        <f>TEXT(79265, "[$-0E0000]yyyy-mm-dd")</f>
        <v/>
      </c>
    </row>
    <row r="79267">
      <c r="A79267" s="1" t="n">
        <v>79266</v>
      </c>
      <c r="B79267">
        <f>TEXT(79266, "[$-0E0000]yyyy-mm-dd")</f>
        <v/>
      </c>
    </row>
    <row r="79268">
      <c r="A79268" s="1" t="n">
        <v>79267</v>
      </c>
      <c r="B79268">
        <f>TEXT(79267, "[$-0E0000]yyyy-mm-dd")</f>
        <v/>
      </c>
    </row>
    <row r="79269">
      <c r="A79269" s="1" t="n">
        <v>79268</v>
      </c>
      <c r="B79269">
        <f>TEXT(79268, "[$-0E0000]yyyy-mm-dd")</f>
        <v/>
      </c>
    </row>
    <row r="79270">
      <c r="A79270" s="1" t="n">
        <v>79269</v>
      </c>
      <c r="B79270">
        <f>TEXT(79269, "[$-0E0000]yyyy-mm-dd")</f>
        <v/>
      </c>
    </row>
    <row r="79271">
      <c r="A79271" s="1" t="n">
        <v>79270</v>
      </c>
      <c r="B79271">
        <f>TEXT(79270, "[$-0E0000]yyyy-mm-dd")</f>
        <v/>
      </c>
    </row>
    <row r="79272">
      <c r="A79272" s="1" t="n">
        <v>79271</v>
      </c>
      <c r="B79272">
        <f>TEXT(79271, "[$-0E0000]yyyy-mm-dd")</f>
        <v/>
      </c>
    </row>
    <row r="79273">
      <c r="A79273" s="1" t="n">
        <v>79272</v>
      </c>
      <c r="B79273">
        <f>TEXT(79272, "[$-0E0000]yyyy-mm-dd")</f>
        <v/>
      </c>
    </row>
    <row r="79274">
      <c r="A79274" s="1" t="n">
        <v>79273</v>
      </c>
      <c r="B79274">
        <f>TEXT(79273, "[$-0E0000]yyyy-mm-dd")</f>
        <v/>
      </c>
    </row>
    <row r="79275">
      <c r="A79275" s="1" t="n">
        <v>79274</v>
      </c>
      <c r="B79275">
        <f>TEXT(79274, "[$-0E0000]yyyy-mm-dd")</f>
        <v/>
      </c>
    </row>
    <row r="79276">
      <c r="A79276" s="1" t="n">
        <v>79275</v>
      </c>
      <c r="B79276">
        <f>TEXT(79275, "[$-0E0000]yyyy-mm-dd")</f>
        <v/>
      </c>
    </row>
    <row r="79277">
      <c r="A79277" s="1" t="n">
        <v>79276</v>
      </c>
      <c r="B79277">
        <f>TEXT(79276, "[$-0E0000]yyyy-mm-dd")</f>
        <v/>
      </c>
    </row>
    <row r="79278">
      <c r="A79278" s="1" t="n">
        <v>79277</v>
      </c>
      <c r="B79278">
        <f>TEXT(79277, "[$-0E0000]yyyy-mm-dd")</f>
        <v/>
      </c>
    </row>
    <row r="79279">
      <c r="A79279" s="1" t="n">
        <v>79278</v>
      </c>
      <c r="B79279">
        <f>TEXT(79278, "[$-0E0000]yyyy-mm-dd")</f>
        <v/>
      </c>
    </row>
    <row r="79280">
      <c r="A79280" s="1" t="n">
        <v>79279</v>
      </c>
      <c r="B79280">
        <f>TEXT(79279, "[$-0E0000]yyyy-mm-dd")</f>
        <v/>
      </c>
    </row>
    <row r="79281">
      <c r="A79281" s="1" t="n">
        <v>79280</v>
      </c>
      <c r="B79281">
        <f>TEXT(79280, "[$-0E0000]yyyy-mm-dd")</f>
        <v/>
      </c>
    </row>
    <row r="79282">
      <c r="A79282" s="1" t="n">
        <v>79281</v>
      </c>
      <c r="B79282">
        <f>TEXT(79281, "[$-0E0000]yyyy-mm-dd")</f>
        <v/>
      </c>
    </row>
    <row r="79283">
      <c r="A79283" s="1" t="n">
        <v>79282</v>
      </c>
      <c r="B79283">
        <f>TEXT(79282, "[$-0E0000]yyyy-mm-dd")</f>
        <v/>
      </c>
    </row>
    <row r="79284">
      <c r="A79284" s="1" t="n">
        <v>79283</v>
      </c>
      <c r="B79284">
        <f>TEXT(79283, "[$-0E0000]yyyy-mm-dd")</f>
        <v/>
      </c>
    </row>
    <row r="79285">
      <c r="A79285" s="1" t="n">
        <v>79284</v>
      </c>
      <c r="B79285">
        <f>TEXT(79284, "[$-0E0000]yyyy-mm-dd")</f>
        <v/>
      </c>
    </row>
    <row r="79286">
      <c r="A79286" s="1" t="n">
        <v>79285</v>
      </c>
      <c r="B79286">
        <f>TEXT(79285, "[$-0E0000]yyyy-mm-dd")</f>
        <v/>
      </c>
    </row>
    <row r="79287">
      <c r="A79287" s="1" t="n">
        <v>79286</v>
      </c>
      <c r="B79287">
        <f>TEXT(79286, "[$-0E0000]yyyy-mm-dd")</f>
        <v/>
      </c>
    </row>
    <row r="79288">
      <c r="A79288" s="1" t="n">
        <v>79287</v>
      </c>
      <c r="B79288">
        <f>TEXT(79287, "[$-0E0000]yyyy-mm-dd")</f>
        <v/>
      </c>
    </row>
    <row r="79289">
      <c r="A79289" s="1" t="n">
        <v>79288</v>
      </c>
      <c r="B79289">
        <f>TEXT(79288, "[$-0E0000]yyyy-mm-dd")</f>
        <v/>
      </c>
    </row>
    <row r="79290">
      <c r="A79290" s="1" t="n">
        <v>79289</v>
      </c>
      <c r="B79290">
        <f>TEXT(79289, "[$-0E0000]yyyy-mm-dd")</f>
        <v/>
      </c>
    </row>
    <row r="79291">
      <c r="A79291" s="1" t="n">
        <v>79290</v>
      </c>
      <c r="B79291">
        <f>TEXT(79290, "[$-0E0000]yyyy-mm-dd")</f>
        <v/>
      </c>
    </row>
    <row r="79292">
      <c r="A79292" s="1" t="n">
        <v>79291</v>
      </c>
      <c r="B79292">
        <f>TEXT(79291, "[$-0E0000]yyyy-mm-dd")</f>
        <v/>
      </c>
    </row>
    <row r="79293">
      <c r="A79293" s="1" t="n">
        <v>79292</v>
      </c>
      <c r="B79293">
        <f>TEXT(79292, "[$-0E0000]yyyy-mm-dd")</f>
        <v/>
      </c>
    </row>
    <row r="79294">
      <c r="A79294" s="1" t="n">
        <v>79293</v>
      </c>
      <c r="B79294">
        <f>TEXT(79293, "[$-0E0000]yyyy-mm-dd")</f>
        <v/>
      </c>
    </row>
    <row r="79295">
      <c r="A79295" s="1" t="n">
        <v>79294</v>
      </c>
      <c r="B79295">
        <f>TEXT(79294, "[$-0E0000]yyyy-mm-dd")</f>
        <v/>
      </c>
    </row>
    <row r="79296">
      <c r="A79296" s="1" t="n">
        <v>79295</v>
      </c>
      <c r="B79296">
        <f>TEXT(79295, "[$-0E0000]yyyy-mm-dd")</f>
        <v/>
      </c>
    </row>
    <row r="79297">
      <c r="A79297" s="1" t="n">
        <v>79296</v>
      </c>
      <c r="B79297">
        <f>TEXT(79296, "[$-0E0000]yyyy-mm-dd")</f>
        <v/>
      </c>
    </row>
    <row r="79298">
      <c r="A79298" s="1" t="n">
        <v>79297</v>
      </c>
      <c r="B79298">
        <f>TEXT(79297, "[$-0E0000]yyyy-mm-dd")</f>
        <v/>
      </c>
    </row>
    <row r="79299">
      <c r="A79299" s="1" t="n">
        <v>79298</v>
      </c>
      <c r="B79299">
        <f>TEXT(79298, "[$-0E0000]yyyy-mm-dd")</f>
        <v/>
      </c>
    </row>
    <row r="79300">
      <c r="A79300" s="1" t="n">
        <v>79299</v>
      </c>
      <c r="B79300">
        <f>TEXT(79299, "[$-0E0000]yyyy-mm-dd")</f>
        <v/>
      </c>
    </row>
    <row r="79301">
      <c r="A79301" s="1" t="n">
        <v>79300</v>
      </c>
      <c r="B79301">
        <f>TEXT(79300, "[$-0E0000]yyyy-mm-dd")</f>
        <v/>
      </c>
    </row>
    <row r="79302">
      <c r="A79302" s="1" t="n">
        <v>79301</v>
      </c>
      <c r="B79302">
        <f>TEXT(79301, "[$-0E0000]yyyy-mm-dd")</f>
        <v/>
      </c>
    </row>
    <row r="79303">
      <c r="A79303" s="1" t="n">
        <v>79302</v>
      </c>
      <c r="B79303">
        <f>TEXT(79302, "[$-0E0000]yyyy-mm-dd")</f>
        <v/>
      </c>
    </row>
    <row r="79304">
      <c r="A79304" s="1" t="n">
        <v>79303</v>
      </c>
      <c r="B79304">
        <f>TEXT(79303, "[$-0E0000]yyyy-mm-dd")</f>
        <v/>
      </c>
    </row>
    <row r="79305">
      <c r="A79305" s="1" t="n">
        <v>79304</v>
      </c>
      <c r="B79305">
        <f>TEXT(79304, "[$-0E0000]yyyy-mm-dd")</f>
        <v/>
      </c>
    </row>
    <row r="79306">
      <c r="A79306" s="1" t="n">
        <v>79305</v>
      </c>
      <c r="B79306">
        <f>TEXT(79305, "[$-0E0000]yyyy-mm-dd")</f>
        <v/>
      </c>
    </row>
    <row r="79307">
      <c r="A79307" s="1" t="n">
        <v>79306</v>
      </c>
      <c r="B79307">
        <f>TEXT(79306, "[$-0E0000]yyyy-mm-dd")</f>
        <v/>
      </c>
    </row>
    <row r="79308">
      <c r="A79308" s="1" t="n">
        <v>79307</v>
      </c>
      <c r="B79308">
        <f>TEXT(79307, "[$-0E0000]yyyy-mm-dd")</f>
        <v/>
      </c>
    </row>
    <row r="79309">
      <c r="A79309" s="1" t="n">
        <v>79308</v>
      </c>
      <c r="B79309">
        <f>TEXT(79308, "[$-0E0000]yyyy-mm-dd")</f>
        <v/>
      </c>
    </row>
    <row r="79310">
      <c r="A79310" s="1" t="n">
        <v>79309</v>
      </c>
      <c r="B79310">
        <f>TEXT(79309, "[$-0E0000]yyyy-mm-dd")</f>
        <v/>
      </c>
    </row>
    <row r="79311">
      <c r="A79311" s="1" t="n">
        <v>79310</v>
      </c>
      <c r="B79311">
        <f>TEXT(79310, "[$-0E0000]yyyy-mm-dd")</f>
        <v/>
      </c>
    </row>
    <row r="79312">
      <c r="A79312" s="1" t="n">
        <v>79311</v>
      </c>
      <c r="B79312">
        <f>TEXT(79311, "[$-0E0000]yyyy-mm-dd")</f>
        <v/>
      </c>
    </row>
    <row r="79313">
      <c r="A79313" s="1" t="n">
        <v>79312</v>
      </c>
      <c r="B79313">
        <f>TEXT(79312, "[$-0E0000]yyyy-mm-dd")</f>
        <v/>
      </c>
    </row>
    <row r="79314">
      <c r="A79314" s="1" t="n">
        <v>79313</v>
      </c>
      <c r="B79314">
        <f>TEXT(79313, "[$-0E0000]yyyy-mm-dd")</f>
        <v/>
      </c>
    </row>
    <row r="79315">
      <c r="A79315" s="1" t="n">
        <v>79314</v>
      </c>
      <c r="B79315">
        <f>TEXT(79314, "[$-0E0000]yyyy-mm-dd")</f>
        <v/>
      </c>
    </row>
    <row r="79316">
      <c r="A79316" s="1" t="n">
        <v>79315</v>
      </c>
      <c r="B79316">
        <f>TEXT(79315, "[$-0E0000]yyyy-mm-dd")</f>
        <v/>
      </c>
    </row>
    <row r="79317">
      <c r="A79317" s="1" t="n">
        <v>79316</v>
      </c>
      <c r="B79317">
        <f>TEXT(79316, "[$-0E0000]yyyy-mm-dd")</f>
        <v/>
      </c>
    </row>
    <row r="79318">
      <c r="A79318" s="1" t="n">
        <v>79317</v>
      </c>
      <c r="B79318">
        <f>TEXT(79317, "[$-0E0000]yyyy-mm-dd")</f>
        <v/>
      </c>
    </row>
    <row r="79319">
      <c r="A79319" s="1" t="n">
        <v>79318</v>
      </c>
      <c r="B79319">
        <f>TEXT(79318, "[$-0E0000]yyyy-mm-dd")</f>
        <v/>
      </c>
    </row>
    <row r="79320">
      <c r="A79320" s="1" t="n">
        <v>79319</v>
      </c>
      <c r="B79320">
        <f>TEXT(79319, "[$-0E0000]yyyy-mm-dd")</f>
        <v/>
      </c>
    </row>
    <row r="79321">
      <c r="A79321" s="1" t="n">
        <v>79320</v>
      </c>
      <c r="B79321">
        <f>TEXT(79320, "[$-0E0000]yyyy-mm-dd")</f>
        <v/>
      </c>
    </row>
    <row r="79322">
      <c r="A79322" s="1" t="n">
        <v>79321</v>
      </c>
      <c r="B79322">
        <f>TEXT(79321, "[$-0E0000]yyyy-mm-dd")</f>
        <v/>
      </c>
    </row>
    <row r="79323">
      <c r="A79323" s="1" t="n">
        <v>79322</v>
      </c>
      <c r="B79323">
        <f>TEXT(79322, "[$-0E0000]yyyy-mm-dd")</f>
        <v/>
      </c>
    </row>
    <row r="79324">
      <c r="A79324" s="1" t="n">
        <v>79323</v>
      </c>
      <c r="B79324">
        <f>TEXT(79323, "[$-0E0000]yyyy-mm-dd")</f>
        <v/>
      </c>
    </row>
    <row r="79325">
      <c r="A79325" s="1" t="n">
        <v>79324</v>
      </c>
      <c r="B79325">
        <f>TEXT(79324, "[$-0E0000]yyyy-mm-dd")</f>
        <v/>
      </c>
    </row>
    <row r="79326">
      <c r="A79326" s="1" t="n">
        <v>79325</v>
      </c>
      <c r="B79326">
        <f>TEXT(79325, "[$-0E0000]yyyy-mm-dd")</f>
        <v/>
      </c>
    </row>
    <row r="79327">
      <c r="A79327" s="1" t="n">
        <v>79326</v>
      </c>
      <c r="B79327">
        <f>TEXT(79326, "[$-0E0000]yyyy-mm-dd")</f>
        <v/>
      </c>
    </row>
    <row r="79328">
      <c r="A79328" s="1" t="n">
        <v>79327</v>
      </c>
      <c r="B79328">
        <f>TEXT(79327, "[$-0E0000]yyyy-mm-dd")</f>
        <v/>
      </c>
    </row>
    <row r="79329">
      <c r="A79329" s="1" t="n">
        <v>79328</v>
      </c>
      <c r="B79329">
        <f>TEXT(79328, "[$-0E0000]yyyy-mm-dd")</f>
        <v/>
      </c>
    </row>
    <row r="79330">
      <c r="A79330" s="1" t="n">
        <v>79329</v>
      </c>
      <c r="B79330">
        <f>TEXT(79329, "[$-0E0000]yyyy-mm-dd")</f>
        <v/>
      </c>
    </row>
    <row r="79331">
      <c r="A79331" s="1" t="n">
        <v>79330</v>
      </c>
      <c r="B79331">
        <f>TEXT(79330, "[$-0E0000]yyyy-mm-dd")</f>
        <v/>
      </c>
    </row>
    <row r="79332">
      <c r="A79332" s="1" t="n">
        <v>79331</v>
      </c>
      <c r="B79332">
        <f>TEXT(79331, "[$-0E0000]yyyy-mm-dd")</f>
        <v/>
      </c>
    </row>
    <row r="79333">
      <c r="A79333" s="1" t="n">
        <v>79332</v>
      </c>
      <c r="B79333">
        <f>TEXT(79332, "[$-0E0000]yyyy-mm-dd")</f>
        <v/>
      </c>
    </row>
    <row r="79334">
      <c r="A79334" s="1" t="n">
        <v>79333</v>
      </c>
      <c r="B79334">
        <f>TEXT(79333, "[$-0E0000]yyyy-mm-dd")</f>
        <v/>
      </c>
    </row>
    <row r="79335">
      <c r="A79335" s="1" t="n">
        <v>79334</v>
      </c>
      <c r="B79335">
        <f>TEXT(79334, "[$-0E0000]yyyy-mm-dd")</f>
        <v/>
      </c>
    </row>
    <row r="79336">
      <c r="A79336" s="1" t="n">
        <v>79335</v>
      </c>
      <c r="B79336">
        <f>TEXT(79335, "[$-0E0000]yyyy-mm-dd")</f>
        <v/>
      </c>
    </row>
    <row r="79337">
      <c r="A79337" s="1" t="n">
        <v>79336</v>
      </c>
      <c r="B79337">
        <f>TEXT(79336, "[$-0E0000]yyyy-mm-dd")</f>
        <v/>
      </c>
    </row>
    <row r="79338">
      <c r="A79338" s="1" t="n">
        <v>79337</v>
      </c>
      <c r="B79338">
        <f>TEXT(79337, "[$-0E0000]yyyy-mm-dd")</f>
        <v/>
      </c>
    </row>
    <row r="79339">
      <c r="A79339" s="1" t="n">
        <v>79338</v>
      </c>
      <c r="B79339">
        <f>TEXT(79338, "[$-0E0000]yyyy-mm-dd")</f>
        <v/>
      </c>
    </row>
    <row r="79340">
      <c r="A79340" s="1" t="n">
        <v>79339</v>
      </c>
      <c r="B79340">
        <f>TEXT(79339, "[$-0E0000]yyyy-mm-dd")</f>
        <v/>
      </c>
    </row>
    <row r="79341">
      <c r="A79341" s="1" t="n">
        <v>79340</v>
      </c>
      <c r="B79341">
        <f>TEXT(79340, "[$-0E0000]yyyy-mm-dd")</f>
        <v/>
      </c>
    </row>
    <row r="79342">
      <c r="A79342" s="1" t="n">
        <v>79341</v>
      </c>
      <c r="B79342">
        <f>TEXT(79341, "[$-0E0000]yyyy-mm-dd")</f>
        <v/>
      </c>
    </row>
    <row r="79343">
      <c r="A79343" s="1" t="n">
        <v>79342</v>
      </c>
      <c r="B79343">
        <f>TEXT(79342, "[$-0E0000]yyyy-mm-dd")</f>
        <v/>
      </c>
    </row>
    <row r="79344">
      <c r="A79344" s="1" t="n">
        <v>79343</v>
      </c>
      <c r="B79344">
        <f>TEXT(79343, "[$-0E0000]yyyy-mm-dd")</f>
        <v/>
      </c>
    </row>
    <row r="79345">
      <c r="A79345" s="1" t="n">
        <v>79344</v>
      </c>
      <c r="B79345">
        <f>TEXT(79344, "[$-0E0000]yyyy-mm-dd")</f>
        <v/>
      </c>
    </row>
    <row r="79346">
      <c r="A79346" s="1" t="n">
        <v>79345</v>
      </c>
      <c r="B79346">
        <f>TEXT(79345, "[$-0E0000]yyyy-mm-dd")</f>
        <v/>
      </c>
    </row>
    <row r="79347">
      <c r="A79347" s="1" t="n">
        <v>79346</v>
      </c>
      <c r="B79347">
        <f>TEXT(79346, "[$-0E0000]yyyy-mm-dd")</f>
        <v/>
      </c>
    </row>
    <row r="79348">
      <c r="A79348" s="1" t="n">
        <v>79347</v>
      </c>
      <c r="B79348">
        <f>TEXT(79347, "[$-0E0000]yyyy-mm-dd")</f>
        <v/>
      </c>
    </row>
    <row r="79349">
      <c r="A79349" s="1" t="n">
        <v>79348</v>
      </c>
      <c r="B79349">
        <f>TEXT(79348, "[$-0E0000]yyyy-mm-dd")</f>
        <v/>
      </c>
    </row>
    <row r="79350">
      <c r="A79350" s="1" t="n">
        <v>79349</v>
      </c>
      <c r="B79350">
        <f>TEXT(79349, "[$-0E0000]yyyy-mm-dd")</f>
        <v/>
      </c>
    </row>
    <row r="79351">
      <c r="A79351" s="1" t="n">
        <v>79350</v>
      </c>
      <c r="B79351">
        <f>TEXT(79350, "[$-0E0000]yyyy-mm-dd")</f>
        <v/>
      </c>
    </row>
    <row r="79352">
      <c r="A79352" s="1" t="n">
        <v>79351</v>
      </c>
      <c r="B79352">
        <f>TEXT(79351, "[$-0E0000]yyyy-mm-dd")</f>
        <v/>
      </c>
    </row>
    <row r="79353">
      <c r="A79353" s="1" t="n">
        <v>79352</v>
      </c>
      <c r="B79353">
        <f>TEXT(79352, "[$-0E0000]yyyy-mm-dd")</f>
        <v/>
      </c>
    </row>
    <row r="79354">
      <c r="A79354" s="1" t="n">
        <v>79353</v>
      </c>
      <c r="B79354">
        <f>TEXT(79353, "[$-0E0000]yyyy-mm-dd")</f>
        <v/>
      </c>
    </row>
    <row r="79355">
      <c r="A79355" s="1" t="n">
        <v>79354</v>
      </c>
      <c r="B79355">
        <f>TEXT(79354, "[$-0E0000]yyyy-mm-dd")</f>
        <v/>
      </c>
    </row>
    <row r="79356">
      <c r="A79356" s="1" t="n">
        <v>79355</v>
      </c>
      <c r="B79356">
        <f>TEXT(79355, "[$-0E0000]yyyy-mm-dd")</f>
        <v/>
      </c>
    </row>
    <row r="79357">
      <c r="A79357" s="1" t="n">
        <v>79356</v>
      </c>
      <c r="B79357">
        <f>TEXT(79356, "[$-0E0000]yyyy-mm-dd")</f>
        <v/>
      </c>
    </row>
    <row r="79358">
      <c r="A79358" s="1" t="n">
        <v>79357</v>
      </c>
      <c r="B79358">
        <f>TEXT(79357, "[$-0E0000]yyyy-mm-dd")</f>
        <v/>
      </c>
    </row>
    <row r="79359">
      <c r="A79359" s="1" t="n">
        <v>79358</v>
      </c>
      <c r="B79359">
        <f>TEXT(79358, "[$-0E0000]yyyy-mm-dd")</f>
        <v/>
      </c>
    </row>
    <row r="79360">
      <c r="A79360" s="1" t="n">
        <v>79359</v>
      </c>
      <c r="B79360">
        <f>TEXT(79359, "[$-0E0000]yyyy-mm-dd")</f>
        <v/>
      </c>
    </row>
    <row r="79361">
      <c r="A79361" s="1" t="n">
        <v>79360</v>
      </c>
      <c r="B79361">
        <f>TEXT(79360, "[$-0E0000]yyyy-mm-dd")</f>
        <v/>
      </c>
    </row>
    <row r="79362">
      <c r="A79362" s="1" t="n">
        <v>79361</v>
      </c>
      <c r="B79362">
        <f>TEXT(79361, "[$-0E0000]yyyy-mm-dd")</f>
        <v/>
      </c>
    </row>
    <row r="79363">
      <c r="A79363" s="1" t="n">
        <v>79362</v>
      </c>
      <c r="B79363">
        <f>TEXT(79362, "[$-0E0000]yyyy-mm-dd")</f>
        <v/>
      </c>
    </row>
    <row r="79364">
      <c r="A79364" s="1" t="n">
        <v>79363</v>
      </c>
      <c r="B79364">
        <f>TEXT(79363, "[$-0E0000]yyyy-mm-dd")</f>
        <v/>
      </c>
    </row>
    <row r="79365">
      <c r="A79365" s="1" t="n">
        <v>79364</v>
      </c>
      <c r="B79365">
        <f>TEXT(79364, "[$-0E0000]yyyy-mm-dd")</f>
        <v/>
      </c>
    </row>
    <row r="79366">
      <c r="A79366" s="1" t="n">
        <v>79365</v>
      </c>
      <c r="B79366">
        <f>TEXT(79365, "[$-0E0000]yyyy-mm-dd")</f>
        <v/>
      </c>
    </row>
    <row r="79367">
      <c r="A79367" s="1" t="n">
        <v>79366</v>
      </c>
      <c r="B79367">
        <f>TEXT(79366, "[$-0E0000]yyyy-mm-dd")</f>
        <v/>
      </c>
    </row>
    <row r="79368">
      <c r="A79368" s="1" t="n">
        <v>79367</v>
      </c>
      <c r="B79368">
        <f>TEXT(79367, "[$-0E0000]yyyy-mm-dd")</f>
        <v/>
      </c>
    </row>
    <row r="79369">
      <c r="A79369" s="1" t="n">
        <v>79368</v>
      </c>
      <c r="B79369">
        <f>TEXT(79368, "[$-0E0000]yyyy-mm-dd")</f>
        <v/>
      </c>
    </row>
    <row r="79370">
      <c r="A79370" s="1" t="n">
        <v>79369</v>
      </c>
      <c r="B79370">
        <f>TEXT(79369, "[$-0E0000]yyyy-mm-dd")</f>
        <v/>
      </c>
    </row>
    <row r="79371">
      <c r="A79371" s="1" t="n">
        <v>79370</v>
      </c>
      <c r="B79371">
        <f>TEXT(79370, "[$-0E0000]yyyy-mm-dd")</f>
        <v/>
      </c>
    </row>
    <row r="79372">
      <c r="A79372" s="1" t="n">
        <v>79371</v>
      </c>
      <c r="B79372">
        <f>TEXT(79371, "[$-0E0000]yyyy-mm-dd")</f>
        <v/>
      </c>
    </row>
    <row r="79373">
      <c r="A79373" s="1" t="n">
        <v>79372</v>
      </c>
      <c r="B79373">
        <f>TEXT(79372, "[$-0E0000]yyyy-mm-dd")</f>
        <v/>
      </c>
    </row>
    <row r="79374">
      <c r="A79374" s="1" t="n">
        <v>79373</v>
      </c>
      <c r="B79374">
        <f>TEXT(79373, "[$-0E0000]yyyy-mm-dd")</f>
        <v/>
      </c>
    </row>
    <row r="79375">
      <c r="A79375" s="1" t="n">
        <v>79374</v>
      </c>
      <c r="B79375">
        <f>TEXT(79374, "[$-0E0000]yyyy-mm-dd")</f>
        <v/>
      </c>
    </row>
    <row r="79376">
      <c r="A79376" s="1" t="n">
        <v>79375</v>
      </c>
      <c r="B79376">
        <f>TEXT(79375, "[$-0E0000]yyyy-mm-dd")</f>
        <v/>
      </c>
    </row>
    <row r="79377">
      <c r="A79377" s="1" t="n">
        <v>79376</v>
      </c>
      <c r="B79377">
        <f>TEXT(79376, "[$-0E0000]yyyy-mm-dd")</f>
        <v/>
      </c>
    </row>
    <row r="79378">
      <c r="A79378" s="1" t="n">
        <v>79377</v>
      </c>
      <c r="B79378">
        <f>TEXT(79377, "[$-0E0000]yyyy-mm-dd")</f>
        <v/>
      </c>
    </row>
    <row r="79379">
      <c r="A79379" s="1" t="n">
        <v>79378</v>
      </c>
      <c r="B79379">
        <f>TEXT(79378, "[$-0E0000]yyyy-mm-dd")</f>
        <v/>
      </c>
    </row>
    <row r="79380">
      <c r="A79380" s="1" t="n">
        <v>79379</v>
      </c>
      <c r="B79380">
        <f>TEXT(79379, "[$-0E0000]yyyy-mm-dd")</f>
        <v/>
      </c>
    </row>
    <row r="79381">
      <c r="A79381" s="1" t="n">
        <v>79380</v>
      </c>
      <c r="B79381">
        <f>TEXT(79380, "[$-0E0000]yyyy-mm-dd")</f>
        <v/>
      </c>
    </row>
    <row r="79382">
      <c r="A79382" s="1" t="n">
        <v>79381</v>
      </c>
      <c r="B79382">
        <f>TEXT(79381, "[$-0E0000]yyyy-mm-dd")</f>
        <v/>
      </c>
    </row>
    <row r="79383">
      <c r="A79383" s="1" t="n">
        <v>79382</v>
      </c>
      <c r="B79383">
        <f>TEXT(79382, "[$-0E0000]yyyy-mm-dd")</f>
        <v/>
      </c>
    </row>
    <row r="79384">
      <c r="A79384" s="1" t="n">
        <v>79383</v>
      </c>
      <c r="B79384">
        <f>TEXT(79383, "[$-0E0000]yyyy-mm-dd")</f>
        <v/>
      </c>
    </row>
    <row r="79385">
      <c r="A79385" s="1" t="n">
        <v>79384</v>
      </c>
      <c r="B79385">
        <f>TEXT(79384, "[$-0E0000]yyyy-mm-dd")</f>
        <v/>
      </c>
    </row>
    <row r="79386">
      <c r="A79386" s="1" t="n">
        <v>79385</v>
      </c>
      <c r="B79386">
        <f>TEXT(79385, "[$-0E0000]yyyy-mm-dd")</f>
        <v/>
      </c>
    </row>
    <row r="79387">
      <c r="A79387" s="1" t="n">
        <v>79386</v>
      </c>
      <c r="B79387">
        <f>TEXT(79386, "[$-0E0000]yyyy-mm-dd")</f>
        <v/>
      </c>
    </row>
    <row r="79388">
      <c r="A79388" s="1" t="n">
        <v>79387</v>
      </c>
      <c r="B79388">
        <f>TEXT(79387, "[$-0E0000]yyyy-mm-dd")</f>
        <v/>
      </c>
    </row>
    <row r="79389">
      <c r="A79389" s="1" t="n">
        <v>79388</v>
      </c>
      <c r="B79389">
        <f>TEXT(79388, "[$-0E0000]yyyy-mm-dd")</f>
        <v/>
      </c>
    </row>
    <row r="79390">
      <c r="A79390" s="1" t="n">
        <v>79389</v>
      </c>
      <c r="B79390">
        <f>TEXT(79389, "[$-0E0000]yyyy-mm-dd")</f>
        <v/>
      </c>
    </row>
    <row r="79391">
      <c r="A79391" s="1" t="n">
        <v>79390</v>
      </c>
      <c r="B79391">
        <f>TEXT(79390, "[$-0E0000]yyyy-mm-dd")</f>
        <v/>
      </c>
    </row>
    <row r="79392">
      <c r="A79392" s="1" t="n">
        <v>79391</v>
      </c>
      <c r="B79392">
        <f>TEXT(79391, "[$-0E0000]yyyy-mm-dd")</f>
        <v/>
      </c>
    </row>
    <row r="79393">
      <c r="A79393" s="1" t="n">
        <v>79392</v>
      </c>
      <c r="B79393">
        <f>TEXT(79392, "[$-0E0000]yyyy-mm-dd")</f>
        <v/>
      </c>
    </row>
    <row r="79394">
      <c r="A79394" s="1" t="n">
        <v>79393</v>
      </c>
      <c r="B79394">
        <f>TEXT(79393, "[$-0E0000]yyyy-mm-dd")</f>
        <v/>
      </c>
    </row>
    <row r="79395">
      <c r="A79395" s="1" t="n">
        <v>79394</v>
      </c>
      <c r="B79395">
        <f>TEXT(79394, "[$-0E0000]yyyy-mm-dd")</f>
        <v/>
      </c>
    </row>
    <row r="79396">
      <c r="A79396" s="1" t="n">
        <v>79395</v>
      </c>
      <c r="B79396">
        <f>TEXT(79395, "[$-0E0000]yyyy-mm-dd")</f>
        <v/>
      </c>
    </row>
    <row r="79397">
      <c r="A79397" s="1" t="n">
        <v>79396</v>
      </c>
      <c r="B79397">
        <f>TEXT(79396, "[$-0E0000]yyyy-mm-dd")</f>
        <v/>
      </c>
    </row>
    <row r="79398">
      <c r="A79398" s="1" t="n">
        <v>79397</v>
      </c>
      <c r="B79398">
        <f>TEXT(79397, "[$-0E0000]yyyy-mm-dd")</f>
        <v/>
      </c>
    </row>
    <row r="79399">
      <c r="A79399" s="1" t="n">
        <v>79398</v>
      </c>
      <c r="B79399">
        <f>TEXT(79398, "[$-0E0000]yyyy-mm-dd")</f>
        <v/>
      </c>
    </row>
    <row r="79400">
      <c r="A79400" s="1" t="n">
        <v>79399</v>
      </c>
      <c r="B79400">
        <f>TEXT(79399, "[$-0E0000]yyyy-mm-dd")</f>
        <v/>
      </c>
    </row>
    <row r="79401">
      <c r="A79401" s="1" t="n">
        <v>79400</v>
      </c>
      <c r="B79401">
        <f>TEXT(79400, "[$-0E0000]yyyy-mm-dd")</f>
        <v/>
      </c>
    </row>
    <row r="79402">
      <c r="A79402" s="1" t="n">
        <v>79401</v>
      </c>
      <c r="B79402">
        <f>TEXT(79401, "[$-0E0000]yyyy-mm-dd")</f>
        <v/>
      </c>
    </row>
    <row r="79403">
      <c r="A79403" s="1" t="n">
        <v>79402</v>
      </c>
      <c r="B79403">
        <f>TEXT(79402, "[$-0E0000]yyyy-mm-dd")</f>
        <v/>
      </c>
    </row>
    <row r="79404">
      <c r="A79404" s="1" t="n">
        <v>79403</v>
      </c>
      <c r="B79404">
        <f>TEXT(79403, "[$-0E0000]yyyy-mm-dd")</f>
        <v/>
      </c>
    </row>
    <row r="79405">
      <c r="A79405" s="1" t="n">
        <v>79404</v>
      </c>
      <c r="B79405">
        <f>TEXT(79404, "[$-0E0000]yyyy-mm-dd")</f>
        <v/>
      </c>
    </row>
    <row r="79406">
      <c r="A79406" s="1" t="n">
        <v>79405</v>
      </c>
      <c r="B79406">
        <f>TEXT(79405, "[$-0E0000]yyyy-mm-dd")</f>
        <v/>
      </c>
    </row>
    <row r="79407">
      <c r="A79407" s="1" t="n">
        <v>79406</v>
      </c>
      <c r="B79407">
        <f>TEXT(79406, "[$-0E0000]yyyy-mm-dd")</f>
        <v/>
      </c>
    </row>
    <row r="79408">
      <c r="A79408" s="1" t="n">
        <v>79407</v>
      </c>
      <c r="B79408">
        <f>TEXT(79407, "[$-0E0000]yyyy-mm-dd")</f>
        <v/>
      </c>
    </row>
    <row r="79409">
      <c r="A79409" s="1" t="n">
        <v>79408</v>
      </c>
      <c r="B79409">
        <f>TEXT(79408, "[$-0E0000]yyyy-mm-dd")</f>
        <v/>
      </c>
    </row>
    <row r="79410">
      <c r="A79410" s="1" t="n">
        <v>79409</v>
      </c>
      <c r="B79410">
        <f>TEXT(79409, "[$-0E0000]yyyy-mm-dd")</f>
        <v/>
      </c>
    </row>
    <row r="79411">
      <c r="A79411" s="1" t="n">
        <v>79410</v>
      </c>
      <c r="B79411">
        <f>TEXT(79410, "[$-0E0000]yyyy-mm-dd")</f>
        <v/>
      </c>
    </row>
    <row r="79412">
      <c r="A79412" s="1" t="n">
        <v>79411</v>
      </c>
      <c r="B79412">
        <f>TEXT(79411, "[$-0E0000]yyyy-mm-dd")</f>
        <v/>
      </c>
    </row>
    <row r="79413">
      <c r="A79413" s="1" t="n">
        <v>79412</v>
      </c>
      <c r="B79413">
        <f>TEXT(79412, "[$-0E0000]yyyy-mm-dd")</f>
        <v/>
      </c>
    </row>
    <row r="79414">
      <c r="A79414" s="1" t="n">
        <v>79413</v>
      </c>
      <c r="B79414">
        <f>TEXT(79413, "[$-0E0000]yyyy-mm-dd")</f>
        <v/>
      </c>
    </row>
    <row r="79415">
      <c r="A79415" s="1" t="n">
        <v>79414</v>
      </c>
      <c r="B79415">
        <f>TEXT(79414, "[$-0E0000]yyyy-mm-dd")</f>
        <v/>
      </c>
    </row>
    <row r="79416">
      <c r="A79416" s="1" t="n">
        <v>79415</v>
      </c>
      <c r="B79416">
        <f>TEXT(79415, "[$-0E0000]yyyy-mm-dd")</f>
        <v/>
      </c>
    </row>
    <row r="79417">
      <c r="A79417" s="1" t="n">
        <v>79416</v>
      </c>
      <c r="B79417">
        <f>TEXT(79416, "[$-0E0000]yyyy-mm-dd")</f>
        <v/>
      </c>
    </row>
    <row r="79418">
      <c r="A79418" s="1" t="n">
        <v>79417</v>
      </c>
      <c r="B79418">
        <f>TEXT(79417, "[$-0E0000]yyyy-mm-dd")</f>
        <v/>
      </c>
    </row>
    <row r="79419">
      <c r="A79419" s="1" t="n">
        <v>79418</v>
      </c>
      <c r="B79419">
        <f>TEXT(79418, "[$-0E0000]yyyy-mm-dd")</f>
        <v/>
      </c>
    </row>
    <row r="79420">
      <c r="A79420" s="1" t="n">
        <v>79419</v>
      </c>
      <c r="B79420">
        <f>TEXT(79419, "[$-0E0000]yyyy-mm-dd")</f>
        <v/>
      </c>
    </row>
    <row r="79421">
      <c r="A79421" s="1" t="n">
        <v>79420</v>
      </c>
      <c r="B79421">
        <f>TEXT(79420, "[$-0E0000]yyyy-mm-dd")</f>
        <v/>
      </c>
    </row>
    <row r="79422">
      <c r="A79422" s="1" t="n">
        <v>79421</v>
      </c>
      <c r="B79422">
        <f>TEXT(79421, "[$-0E0000]yyyy-mm-dd")</f>
        <v/>
      </c>
    </row>
    <row r="79423">
      <c r="A79423" s="1" t="n">
        <v>79422</v>
      </c>
      <c r="B79423">
        <f>TEXT(79422, "[$-0E0000]yyyy-mm-dd")</f>
        <v/>
      </c>
    </row>
    <row r="79424">
      <c r="A79424" s="1" t="n">
        <v>79423</v>
      </c>
      <c r="B79424">
        <f>TEXT(79423, "[$-0E0000]yyyy-mm-dd")</f>
        <v/>
      </c>
    </row>
    <row r="79425">
      <c r="A79425" s="1" t="n">
        <v>79424</v>
      </c>
      <c r="B79425">
        <f>TEXT(79424, "[$-0E0000]yyyy-mm-dd")</f>
        <v/>
      </c>
    </row>
    <row r="79426">
      <c r="A79426" s="1" t="n">
        <v>79425</v>
      </c>
      <c r="B79426">
        <f>TEXT(79425, "[$-0E0000]yyyy-mm-dd")</f>
        <v/>
      </c>
    </row>
    <row r="79427">
      <c r="A79427" s="1" t="n">
        <v>79426</v>
      </c>
      <c r="B79427">
        <f>TEXT(79426, "[$-0E0000]yyyy-mm-dd")</f>
        <v/>
      </c>
    </row>
    <row r="79428">
      <c r="A79428" s="1" t="n">
        <v>79427</v>
      </c>
      <c r="B79428">
        <f>TEXT(79427, "[$-0E0000]yyyy-mm-dd")</f>
        <v/>
      </c>
    </row>
    <row r="79429">
      <c r="A79429" s="1" t="n">
        <v>79428</v>
      </c>
      <c r="B79429">
        <f>TEXT(79428, "[$-0E0000]yyyy-mm-dd")</f>
        <v/>
      </c>
    </row>
    <row r="79430">
      <c r="A79430" s="1" t="n">
        <v>79429</v>
      </c>
      <c r="B79430">
        <f>TEXT(79429, "[$-0E0000]yyyy-mm-dd")</f>
        <v/>
      </c>
    </row>
    <row r="79431">
      <c r="A79431" s="1" t="n">
        <v>79430</v>
      </c>
      <c r="B79431">
        <f>TEXT(79430, "[$-0E0000]yyyy-mm-dd")</f>
        <v/>
      </c>
    </row>
    <row r="79432">
      <c r="A79432" s="1" t="n">
        <v>79431</v>
      </c>
      <c r="B79432">
        <f>TEXT(79431, "[$-0E0000]yyyy-mm-dd")</f>
        <v/>
      </c>
    </row>
    <row r="79433">
      <c r="A79433" s="1" t="n">
        <v>79432</v>
      </c>
      <c r="B79433">
        <f>TEXT(79432, "[$-0E0000]yyyy-mm-dd")</f>
        <v/>
      </c>
    </row>
    <row r="79434">
      <c r="A79434" s="1" t="n">
        <v>79433</v>
      </c>
      <c r="B79434">
        <f>TEXT(79433, "[$-0E0000]yyyy-mm-dd")</f>
        <v/>
      </c>
    </row>
    <row r="79435">
      <c r="A79435" s="1" t="n">
        <v>79434</v>
      </c>
      <c r="B79435">
        <f>TEXT(79434, "[$-0E0000]yyyy-mm-dd")</f>
        <v/>
      </c>
    </row>
    <row r="79436">
      <c r="A79436" s="1" t="n">
        <v>79435</v>
      </c>
      <c r="B79436">
        <f>TEXT(79435, "[$-0E0000]yyyy-mm-dd")</f>
        <v/>
      </c>
    </row>
    <row r="79437">
      <c r="A79437" s="1" t="n">
        <v>79436</v>
      </c>
      <c r="B79437">
        <f>TEXT(79436, "[$-0E0000]yyyy-mm-dd")</f>
        <v/>
      </c>
    </row>
    <row r="79438">
      <c r="A79438" s="1" t="n">
        <v>79437</v>
      </c>
      <c r="B79438">
        <f>TEXT(79437, "[$-0E0000]yyyy-mm-dd")</f>
        <v/>
      </c>
    </row>
    <row r="79439">
      <c r="A79439" s="1" t="n">
        <v>79438</v>
      </c>
      <c r="B79439">
        <f>TEXT(79438, "[$-0E0000]yyyy-mm-dd")</f>
        <v/>
      </c>
    </row>
    <row r="79440">
      <c r="A79440" s="1" t="n">
        <v>79439</v>
      </c>
      <c r="B79440">
        <f>TEXT(79439, "[$-0E0000]yyyy-mm-dd")</f>
        <v/>
      </c>
    </row>
    <row r="79441">
      <c r="A79441" s="1" t="n">
        <v>79440</v>
      </c>
      <c r="B79441">
        <f>TEXT(79440, "[$-0E0000]yyyy-mm-dd")</f>
        <v/>
      </c>
    </row>
    <row r="79442">
      <c r="A79442" s="1" t="n">
        <v>79441</v>
      </c>
      <c r="B79442">
        <f>TEXT(79441, "[$-0E0000]yyyy-mm-dd")</f>
        <v/>
      </c>
    </row>
    <row r="79443">
      <c r="A79443" s="1" t="n">
        <v>79442</v>
      </c>
      <c r="B79443">
        <f>TEXT(79442, "[$-0E0000]yyyy-mm-dd")</f>
        <v/>
      </c>
    </row>
    <row r="79444">
      <c r="A79444" s="1" t="n">
        <v>79443</v>
      </c>
      <c r="B79444">
        <f>TEXT(79443, "[$-0E0000]yyyy-mm-dd")</f>
        <v/>
      </c>
    </row>
    <row r="79445">
      <c r="A79445" s="1" t="n">
        <v>79444</v>
      </c>
      <c r="B79445">
        <f>TEXT(79444, "[$-0E0000]yyyy-mm-dd")</f>
        <v/>
      </c>
    </row>
    <row r="79446">
      <c r="A79446" s="1" t="n">
        <v>79445</v>
      </c>
      <c r="B79446">
        <f>TEXT(79445, "[$-0E0000]yyyy-mm-dd")</f>
        <v/>
      </c>
    </row>
    <row r="79447">
      <c r="A79447" s="1" t="n">
        <v>79446</v>
      </c>
      <c r="B79447">
        <f>TEXT(79446, "[$-0E0000]yyyy-mm-dd")</f>
        <v/>
      </c>
    </row>
    <row r="79448">
      <c r="A79448" s="1" t="n">
        <v>79447</v>
      </c>
      <c r="B79448">
        <f>TEXT(79447, "[$-0E0000]yyyy-mm-dd")</f>
        <v/>
      </c>
    </row>
    <row r="79449">
      <c r="A79449" s="1" t="n">
        <v>79448</v>
      </c>
      <c r="B79449">
        <f>TEXT(79448, "[$-0E0000]yyyy-mm-dd")</f>
        <v/>
      </c>
    </row>
    <row r="79450">
      <c r="A79450" s="1" t="n">
        <v>79449</v>
      </c>
      <c r="B79450">
        <f>TEXT(79449, "[$-0E0000]yyyy-mm-dd")</f>
        <v/>
      </c>
    </row>
    <row r="79451">
      <c r="A79451" s="1" t="n">
        <v>79450</v>
      </c>
      <c r="B79451">
        <f>TEXT(79450, "[$-0E0000]yyyy-mm-dd")</f>
        <v/>
      </c>
    </row>
    <row r="79452">
      <c r="A79452" s="1" t="n">
        <v>79451</v>
      </c>
      <c r="B79452">
        <f>TEXT(79451, "[$-0E0000]yyyy-mm-dd")</f>
        <v/>
      </c>
    </row>
    <row r="79453">
      <c r="A79453" s="1" t="n">
        <v>79452</v>
      </c>
      <c r="B79453">
        <f>TEXT(79452, "[$-0E0000]yyyy-mm-dd")</f>
        <v/>
      </c>
    </row>
    <row r="79454">
      <c r="A79454" s="1" t="n">
        <v>79453</v>
      </c>
      <c r="B79454">
        <f>TEXT(79453, "[$-0E0000]yyyy-mm-dd")</f>
        <v/>
      </c>
    </row>
    <row r="79455">
      <c r="A79455" s="1" t="n">
        <v>79454</v>
      </c>
      <c r="B79455">
        <f>TEXT(79454, "[$-0E0000]yyyy-mm-dd")</f>
        <v/>
      </c>
    </row>
    <row r="79456">
      <c r="A79456" s="1" t="n">
        <v>79455</v>
      </c>
      <c r="B79456">
        <f>TEXT(79455, "[$-0E0000]yyyy-mm-dd")</f>
        <v/>
      </c>
    </row>
    <row r="79457">
      <c r="A79457" s="1" t="n">
        <v>79456</v>
      </c>
      <c r="B79457">
        <f>TEXT(79456, "[$-0E0000]yyyy-mm-dd")</f>
        <v/>
      </c>
    </row>
    <row r="79458">
      <c r="A79458" s="1" t="n">
        <v>79457</v>
      </c>
      <c r="B79458">
        <f>TEXT(79457, "[$-0E0000]yyyy-mm-dd")</f>
        <v/>
      </c>
    </row>
    <row r="79459">
      <c r="A79459" s="1" t="n">
        <v>79458</v>
      </c>
      <c r="B79459">
        <f>TEXT(79458, "[$-0E0000]yyyy-mm-dd")</f>
        <v/>
      </c>
    </row>
    <row r="79460">
      <c r="A79460" s="1" t="n">
        <v>79459</v>
      </c>
      <c r="B79460">
        <f>TEXT(79459, "[$-0E0000]yyyy-mm-dd")</f>
        <v/>
      </c>
    </row>
    <row r="79461">
      <c r="A79461" s="1" t="n">
        <v>79460</v>
      </c>
      <c r="B79461">
        <f>TEXT(79460, "[$-0E0000]yyyy-mm-dd")</f>
        <v/>
      </c>
    </row>
    <row r="79462">
      <c r="A79462" s="1" t="n">
        <v>79461</v>
      </c>
      <c r="B79462">
        <f>TEXT(79461, "[$-0E0000]yyyy-mm-dd")</f>
        <v/>
      </c>
    </row>
    <row r="79463">
      <c r="A79463" s="1" t="n">
        <v>79462</v>
      </c>
      <c r="B79463">
        <f>TEXT(79462, "[$-0E0000]yyyy-mm-dd")</f>
        <v/>
      </c>
    </row>
    <row r="79464">
      <c r="A79464" s="1" t="n">
        <v>79463</v>
      </c>
      <c r="B79464">
        <f>TEXT(79463, "[$-0E0000]yyyy-mm-dd")</f>
        <v/>
      </c>
    </row>
    <row r="79465">
      <c r="A79465" s="1" t="n">
        <v>79464</v>
      </c>
      <c r="B79465">
        <f>TEXT(79464, "[$-0E0000]yyyy-mm-dd")</f>
        <v/>
      </c>
    </row>
    <row r="79466">
      <c r="A79466" s="1" t="n">
        <v>79465</v>
      </c>
      <c r="B79466">
        <f>TEXT(79465, "[$-0E0000]yyyy-mm-dd")</f>
        <v/>
      </c>
    </row>
    <row r="79467">
      <c r="A79467" s="1" t="n">
        <v>79466</v>
      </c>
      <c r="B79467">
        <f>TEXT(79466, "[$-0E0000]yyyy-mm-dd")</f>
        <v/>
      </c>
    </row>
    <row r="79468">
      <c r="A79468" s="1" t="n">
        <v>79467</v>
      </c>
      <c r="B79468">
        <f>TEXT(79467, "[$-0E0000]yyyy-mm-dd")</f>
        <v/>
      </c>
    </row>
    <row r="79469">
      <c r="A79469" s="1" t="n">
        <v>79468</v>
      </c>
      <c r="B79469">
        <f>TEXT(79468, "[$-0E0000]yyyy-mm-dd")</f>
        <v/>
      </c>
    </row>
    <row r="79470">
      <c r="A79470" s="1" t="n">
        <v>79469</v>
      </c>
      <c r="B79470">
        <f>TEXT(79469, "[$-0E0000]yyyy-mm-dd")</f>
        <v/>
      </c>
    </row>
    <row r="79471">
      <c r="A79471" s="1" t="n">
        <v>79470</v>
      </c>
      <c r="B79471">
        <f>TEXT(79470, "[$-0E0000]yyyy-mm-dd")</f>
        <v/>
      </c>
    </row>
    <row r="79472">
      <c r="A79472" s="1" t="n">
        <v>79471</v>
      </c>
      <c r="B79472">
        <f>TEXT(79471, "[$-0E0000]yyyy-mm-dd")</f>
        <v/>
      </c>
    </row>
    <row r="79473">
      <c r="A79473" s="1" t="n">
        <v>79472</v>
      </c>
      <c r="B79473">
        <f>TEXT(79472, "[$-0E0000]yyyy-mm-dd")</f>
        <v/>
      </c>
    </row>
    <row r="79474">
      <c r="A79474" s="1" t="n">
        <v>79473</v>
      </c>
      <c r="B79474">
        <f>TEXT(79473, "[$-0E0000]yyyy-mm-dd")</f>
        <v/>
      </c>
    </row>
    <row r="79475">
      <c r="A79475" s="1" t="n">
        <v>79474</v>
      </c>
      <c r="B79475">
        <f>TEXT(79474, "[$-0E0000]yyyy-mm-dd")</f>
        <v/>
      </c>
    </row>
    <row r="79476">
      <c r="A79476" s="1" t="n">
        <v>79475</v>
      </c>
      <c r="B79476">
        <f>TEXT(79475, "[$-0E0000]yyyy-mm-dd")</f>
        <v/>
      </c>
    </row>
    <row r="79477">
      <c r="A79477" s="1" t="n">
        <v>79476</v>
      </c>
      <c r="B79477">
        <f>TEXT(79476, "[$-0E0000]yyyy-mm-dd")</f>
        <v/>
      </c>
    </row>
    <row r="79478">
      <c r="A79478" s="1" t="n">
        <v>79477</v>
      </c>
      <c r="B79478">
        <f>TEXT(79477, "[$-0E0000]yyyy-mm-dd")</f>
        <v/>
      </c>
    </row>
    <row r="79479">
      <c r="A79479" s="1" t="n">
        <v>79478</v>
      </c>
      <c r="B79479">
        <f>TEXT(79478, "[$-0E0000]yyyy-mm-dd")</f>
        <v/>
      </c>
    </row>
    <row r="79480">
      <c r="A79480" s="1" t="n">
        <v>79479</v>
      </c>
      <c r="B79480">
        <f>TEXT(79479, "[$-0E0000]yyyy-mm-dd")</f>
        <v/>
      </c>
    </row>
    <row r="79481">
      <c r="A79481" s="1" t="n">
        <v>79480</v>
      </c>
      <c r="B79481">
        <f>TEXT(79480, "[$-0E0000]yyyy-mm-dd")</f>
        <v/>
      </c>
    </row>
    <row r="79482">
      <c r="A79482" s="1" t="n">
        <v>79481</v>
      </c>
      <c r="B79482">
        <f>TEXT(79481, "[$-0E0000]yyyy-mm-dd")</f>
        <v/>
      </c>
    </row>
    <row r="79483">
      <c r="A79483" s="1" t="n">
        <v>79482</v>
      </c>
      <c r="B79483">
        <f>TEXT(79482, "[$-0E0000]yyyy-mm-dd")</f>
        <v/>
      </c>
    </row>
    <row r="79484">
      <c r="A79484" s="1" t="n">
        <v>79483</v>
      </c>
      <c r="B79484">
        <f>TEXT(79483, "[$-0E0000]yyyy-mm-dd")</f>
        <v/>
      </c>
    </row>
    <row r="79485">
      <c r="A79485" s="1" t="n">
        <v>79484</v>
      </c>
      <c r="B79485">
        <f>TEXT(79484, "[$-0E0000]yyyy-mm-dd")</f>
        <v/>
      </c>
    </row>
    <row r="79486">
      <c r="A79486" s="1" t="n">
        <v>79485</v>
      </c>
      <c r="B79486">
        <f>TEXT(79485, "[$-0E0000]yyyy-mm-dd")</f>
        <v/>
      </c>
    </row>
    <row r="79487">
      <c r="A79487" s="1" t="n">
        <v>79486</v>
      </c>
      <c r="B79487">
        <f>TEXT(79486, "[$-0E0000]yyyy-mm-dd")</f>
        <v/>
      </c>
    </row>
    <row r="79488">
      <c r="A79488" s="1" t="n">
        <v>79487</v>
      </c>
      <c r="B79488">
        <f>TEXT(79487, "[$-0E0000]yyyy-mm-dd")</f>
        <v/>
      </c>
    </row>
    <row r="79489">
      <c r="A79489" s="1" t="n">
        <v>79488</v>
      </c>
      <c r="B79489">
        <f>TEXT(79488, "[$-0E0000]yyyy-mm-dd")</f>
        <v/>
      </c>
    </row>
    <row r="79490">
      <c r="A79490" s="1" t="n">
        <v>79489</v>
      </c>
      <c r="B79490">
        <f>TEXT(79489, "[$-0E0000]yyyy-mm-dd")</f>
        <v/>
      </c>
    </row>
    <row r="79491">
      <c r="A79491" s="1" t="n">
        <v>79490</v>
      </c>
      <c r="B79491">
        <f>TEXT(79490, "[$-0E0000]yyyy-mm-dd")</f>
        <v/>
      </c>
    </row>
    <row r="79492">
      <c r="A79492" s="1" t="n">
        <v>79491</v>
      </c>
      <c r="B79492">
        <f>TEXT(79491, "[$-0E0000]yyyy-mm-dd")</f>
        <v/>
      </c>
    </row>
    <row r="79493">
      <c r="A79493" s="1" t="n">
        <v>79492</v>
      </c>
      <c r="B79493">
        <f>TEXT(79492, "[$-0E0000]yyyy-mm-dd")</f>
        <v/>
      </c>
    </row>
    <row r="79494">
      <c r="A79494" s="1" t="n">
        <v>79493</v>
      </c>
      <c r="B79494">
        <f>TEXT(79493, "[$-0E0000]yyyy-mm-dd")</f>
        <v/>
      </c>
    </row>
    <row r="79495">
      <c r="A79495" s="1" t="n">
        <v>79494</v>
      </c>
      <c r="B79495">
        <f>TEXT(79494, "[$-0E0000]yyyy-mm-dd")</f>
        <v/>
      </c>
    </row>
    <row r="79496">
      <c r="A79496" s="1" t="n">
        <v>79495</v>
      </c>
      <c r="B79496">
        <f>TEXT(79495, "[$-0E0000]yyyy-mm-dd")</f>
        <v/>
      </c>
    </row>
    <row r="79497">
      <c r="A79497" s="1" t="n">
        <v>79496</v>
      </c>
      <c r="B79497">
        <f>TEXT(79496, "[$-0E0000]yyyy-mm-dd")</f>
        <v/>
      </c>
    </row>
    <row r="79498">
      <c r="A79498" s="1" t="n">
        <v>79497</v>
      </c>
      <c r="B79498">
        <f>TEXT(79497, "[$-0E0000]yyyy-mm-dd")</f>
        <v/>
      </c>
    </row>
    <row r="79499">
      <c r="A79499" s="1" t="n">
        <v>79498</v>
      </c>
      <c r="B79499">
        <f>TEXT(79498, "[$-0E0000]yyyy-mm-dd")</f>
        <v/>
      </c>
    </row>
    <row r="79500">
      <c r="A79500" s="1" t="n">
        <v>79499</v>
      </c>
      <c r="B79500">
        <f>TEXT(79499, "[$-0E0000]yyyy-mm-dd")</f>
        <v/>
      </c>
    </row>
    <row r="79501">
      <c r="A79501" s="1" t="n">
        <v>79500</v>
      </c>
      <c r="B79501">
        <f>TEXT(79500, "[$-0E0000]yyyy-mm-dd")</f>
        <v/>
      </c>
    </row>
    <row r="79502">
      <c r="A79502" s="1" t="n">
        <v>79501</v>
      </c>
      <c r="B79502">
        <f>TEXT(79501, "[$-0E0000]yyyy-mm-dd")</f>
        <v/>
      </c>
    </row>
    <row r="79503">
      <c r="A79503" s="1" t="n">
        <v>79502</v>
      </c>
      <c r="B79503">
        <f>TEXT(79502, "[$-0E0000]yyyy-mm-dd")</f>
        <v/>
      </c>
    </row>
    <row r="79504">
      <c r="A79504" s="1" t="n">
        <v>79503</v>
      </c>
      <c r="B79504">
        <f>TEXT(79503, "[$-0E0000]yyyy-mm-dd")</f>
        <v/>
      </c>
    </row>
    <row r="79505">
      <c r="A79505" s="1" t="n">
        <v>79504</v>
      </c>
      <c r="B79505">
        <f>TEXT(79504, "[$-0E0000]yyyy-mm-dd")</f>
        <v/>
      </c>
    </row>
    <row r="79506">
      <c r="A79506" s="1" t="n">
        <v>79505</v>
      </c>
      <c r="B79506">
        <f>TEXT(79505, "[$-0E0000]yyyy-mm-dd")</f>
        <v/>
      </c>
    </row>
    <row r="79507">
      <c r="A79507" s="1" t="n">
        <v>79506</v>
      </c>
      <c r="B79507">
        <f>TEXT(79506, "[$-0E0000]yyyy-mm-dd")</f>
        <v/>
      </c>
    </row>
    <row r="79508">
      <c r="A79508" s="1" t="n">
        <v>79507</v>
      </c>
      <c r="B79508">
        <f>TEXT(79507, "[$-0E0000]yyyy-mm-dd")</f>
        <v/>
      </c>
    </row>
    <row r="79509">
      <c r="A79509" s="1" t="n">
        <v>79508</v>
      </c>
      <c r="B79509">
        <f>TEXT(79508, "[$-0E0000]yyyy-mm-dd")</f>
        <v/>
      </c>
    </row>
    <row r="79510">
      <c r="A79510" s="1" t="n">
        <v>79509</v>
      </c>
      <c r="B79510">
        <f>TEXT(79509, "[$-0E0000]yyyy-mm-dd")</f>
        <v/>
      </c>
    </row>
    <row r="79511">
      <c r="A79511" s="1" t="n">
        <v>79510</v>
      </c>
      <c r="B79511">
        <f>TEXT(79510, "[$-0E0000]yyyy-mm-dd")</f>
        <v/>
      </c>
    </row>
    <row r="79512">
      <c r="A79512" s="1" t="n">
        <v>79511</v>
      </c>
      <c r="B79512">
        <f>TEXT(79511, "[$-0E0000]yyyy-mm-dd")</f>
        <v/>
      </c>
    </row>
    <row r="79513">
      <c r="A79513" s="1" t="n">
        <v>79512</v>
      </c>
      <c r="B79513">
        <f>TEXT(79512, "[$-0E0000]yyyy-mm-dd")</f>
        <v/>
      </c>
    </row>
    <row r="79514">
      <c r="A79514" s="1" t="n">
        <v>79513</v>
      </c>
      <c r="B79514">
        <f>TEXT(79513, "[$-0E0000]yyyy-mm-dd")</f>
        <v/>
      </c>
    </row>
    <row r="79515">
      <c r="A79515" s="1" t="n">
        <v>79514</v>
      </c>
      <c r="B79515">
        <f>TEXT(79514, "[$-0E0000]yyyy-mm-dd")</f>
        <v/>
      </c>
    </row>
    <row r="79516">
      <c r="A79516" s="1" t="n">
        <v>79515</v>
      </c>
      <c r="B79516">
        <f>TEXT(79515, "[$-0E0000]yyyy-mm-dd")</f>
        <v/>
      </c>
    </row>
    <row r="79517">
      <c r="A79517" s="1" t="n">
        <v>79516</v>
      </c>
      <c r="B79517">
        <f>TEXT(79516, "[$-0E0000]yyyy-mm-dd")</f>
        <v/>
      </c>
    </row>
    <row r="79518">
      <c r="A79518" s="1" t="n">
        <v>79517</v>
      </c>
      <c r="B79518">
        <f>TEXT(79517, "[$-0E0000]yyyy-mm-dd")</f>
        <v/>
      </c>
    </row>
    <row r="79519">
      <c r="A79519" s="1" t="n">
        <v>79518</v>
      </c>
      <c r="B79519">
        <f>TEXT(79518, "[$-0E0000]yyyy-mm-dd")</f>
        <v/>
      </c>
    </row>
    <row r="79520">
      <c r="A79520" s="1" t="n">
        <v>79519</v>
      </c>
      <c r="B79520">
        <f>TEXT(79519, "[$-0E0000]yyyy-mm-dd")</f>
        <v/>
      </c>
    </row>
    <row r="79521">
      <c r="A79521" s="1" t="n">
        <v>79520</v>
      </c>
      <c r="B79521">
        <f>TEXT(79520, "[$-0E0000]yyyy-mm-dd")</f>
        <v/>
      </c>
    </row>
    <row r="79522">
      <c r="A79522" s="1" t="n">
        <v>79521</v>
      </c>
      <c r="B79522">
        <f>TEXT(79521, "[$-0E0000]yyyy-mm-dd")</f>
        <v/>
      </c>
    </row>
    <row r="79523">
      <c r="A79523" s="1" t="n">
        <v>79522</v>
      </c>
      <c r="B79523">
        <f>TEXT(79522, "[$-0E0000]yyyy-mm-dd")</f>
        <v/>
      </c>
    </row>
    <row r="79524">
      <c r="A79524" s="1" t="n">
        <v>79523</v>
      </c>
      <c r="B79524">
        <f>TEXT(79523, "[$-0E0000]yyyy-mm-dd")</f>
        <v/>
      </c>
    </row>
    <row r="79525">
      <c r="A79525" s="1" t="n">
        <v>79524</v>
      </c>
      <c r="B79525">
        <f>TEXT(79524, "[$-0E0000]yyyy-mm-dd")</f>
        <v/>
      </c>
    </row>
    <row r="79526">
      <c r="A79526" s="1" t="n">
        <v>79525</v>
      </c>
      <c r="B79526">
        <f>TEXT(79525, "[$-0E0000]yyyy-mm-dd")</f>
        <v/>
      </c>
    </row>
    <row r="79527">
      <c r="A79527" s="1" t="n">
        <v>79526</v>
      </c>
      <c r="B79527">
        <f>TEXT(79526, "[$-0E0000]yyyy-mm-dd")</f>
        <v/>
      </c>
    </row>
    <row r="79528">
      <c r="A79528" s="1" t="n">
        <v>79527</v>
      </c>
      <c r="B79528">
        <f>TEXT(79527, "[$-0E0000]yyyy-mm-dd")</f>
        <v/>
      </c>
    </row>
    <row r="79529">
      <c r="A79529" s="1" t="n">
        <v>79528</v>
      </c>
      <c r="B79529">
        <f>TEXT(79528, "[$-0E0000]yyyy-mm-dd")</f>
        <v/>
      </c>
    </row>
    <row r="79530">
      <c r="A79530" s="1" t="n">
        <v>79529</v>
      </c>
      <c r="B79530">
        <f>TEXT(79529, "[$-0E0000]yyyy-mm-dd")</f>
        <v/>
      </c>
    </row>
    <row r="79531">
      <c r="A79531" s="1" t="n">
        <v>79530</v>
      </c>
      <c r="B79531">
        <f>TEXT(79530, "[$-0E0000]yyyy-mm-dd")</f>
        <v/>
      </c>
    </row>
    <row r="79532">
      <c r="A79532" s="1" t="n">
        <v>79531</v>
      </c>
      <c r="B79532">
        <f>TEXT(79531, "[$-0E0000]yyyy-mm-dd")</f>
        <v/>
      </c>
    </row>
    <row r="79533">
      <c r="A79533" s="1" t="n">
        <v>79532</v>
      </c>
      <c r="B79533">
        <f>TEXT(79532, "[$-0E0000]yyyy-mm-dd")</f>
        <v/>
      </c>
    </row>
    <row r="79534">
      <c r="A79534" s="1" t="n">
        <v>79533</v>
      </c>
      <c r="B79534">
        <f>TEXT(79533, "[$-0E0000]yyyy-mm-dd")</f>
        <v/>
      </c>
    </row>
    <row r="79535">
      <c r="A79535" s="1" t="n">
        <v>79534</v>
      </c>
      <c r="B79535">
        <f>TEXT(79534, "[$-0E0000]yyyy-mm-dd")</f>
        <v/>
      </c>
    </row>
    <row r="79536">
      <c r="A79536" s="1" t="n">
        <v>79535</v>
      </c>
      <c r="B79536">
        <f>TEXT(79535, "[$-0E0000]yyyy-mm-dd")</f>
        <v/>
      </c>
    </row>
    <row r="79537">
      <c r="A79537" s="1" t="n">
        <v>79536</v>
      </c>
      <c r="B79537">
        <f>TEXT(79536, "[$-0E0000]yyyy-mm-dd")</f>
        <v/>
      </c>
    </row>
    <row r="79538">
      <c r="A79538" s="1" t="n">
        <v>79537</v>
      </c>
      <c r="B79538">
        <f>TEXT(79537, "[$-0E0000]yyyy-mm-dd")</f>
        <v/>
      </c>
    </row>
    <row r="79539">
      <c r="A79539" s="1" t="n">
        <v>79538</v>
      </c>
      <c r="B79539">
        <f>TEXT(79538, "[$-0E0000]yyyy-mm-dd")</f>
        <v/>
      </c>
    </row>
    <row r="79540">
      <c r="A79540" s="1" t="n">
        <v>79539</v>
      </c>
      <c r="B79540">
        <f>TEXT(79539, "[$-0E0000]yyyy-mm-dd")</f>
        <v/>
      </c>
    </row>
    <row r="79541">
      <c r="A79541" s="1" t="n">
        <v>79540</v>
      </c>
      <c r="B79541">
        <f>TEXT(79540, "[$-0E0000]yyyy-mm-dd")</f>
        <v/>
      </c>
    </row>
    <row r="79542">
      <c r="A79542" s="1" t="n">
        <v>79541</v>
      </c>
      <c r="B79542">
        <f>TEXT(79541, "[$-0E0000]yyyy-mm-dd")</f>
        <v/>
      </c>
    </row>
    <row r="79543">
      <c r="A79543" s="1" t="n">
        <v>79542</v>
      </c>
      <c r="B79543">
        <f>TEXT(79542, "[$-0E0000]yyyy-mm-dd")</f>
        <v/>
      </c>
    </row>
    <row r="79544">
      <c r="A79544" s="1" t="n">
        <v>79543</v>
      </c>
      <c r="B79544">
        <f>TEXT(79543, "[$-0E0000]yyyy-mm-dd")</f>
        <v/>
      </c>
    </row>
    <row r="79545">
      <c r="A79545" s="1" t="n">
        <v>79544</v>
      </c>
      <c r="B79545">
        <f>TEXT(79544, "[$-0E0000]yyyy-mm-dd")</f>
        <v/>
      </c>
    </row>
    <row r="79546">
      <c r="A79546" s="1" t="n">
        <v>79545</v>
      </c>
      <c r="B79546">
        <f>TEXT(79545, "[$-0E0000]yyyy-mm-dd")</f>
        <v/>
      </c>
    </row>
    <row r="79547">
      <c r="A79547" s="1" t="n">
        <v>79546</v>
      </c>
      <c r="B79547">
        <f>TEXT(79546, "[$-0E0000]yyyy-mm-dd")</f>
        <v/>
      </c>
    </row>
    <row r="79548">
      <c r="A79548" s="1" t="n">
        <v>79547</v>
      </c>
      <c r="B79548">
        <f>TEXT(79547, "[$-0E0000]yyyy-mm-dd")</f>
        <v/>
      </c>
    </row>
    <row r="79549">
      <c r="A79549" s="1" t="n">
        <v>79548</v>
      </c>
      <c r="B79549">
        <f>TEXT(79548, "[$-0E0000]yyyy-mm-dd")</f>
        <v/>
      </c>
    </row>
    <row r="79550">
      <c r="A79550" s="1" t="n">
        <v>79549</v>
      </c>
      <c r="B79550">
        <f>TEXT(79549, "[$-0E0000]yyyy-mm-dd")</f>
        <v/>
      </c>
    </row>
    <row r="79551">
      <c r="A79551" s="1" t="n">
        <v>79550</v>
      </c>
      <c r="B79551">
        <f>TEXT(79550, "[$-0E0000]yyyy-mm-dd")</f>
        <v/>
      </c>
    </row>
    <row r="79552">
      <c r="A79552" s="1" t="n">
        <v>79551</v>
      </c>
      <c r="B79552">
        <f>TEXT(79551, "[$-0E0000]yyyy-mm-dd")</f>
        <v/>
      </c>
    </row>
    <row r="79553">
      <c r="A79553" s="1" t="n">
        <v>79552</v>
      </c>
      <c r="B79553">
        <f>TEXT(79552, "[$-0E0000]yyyy-mm-dd")</f>
        <v/>
      </c>
    </row>
    <row r="79554">
      <c r="A79554" s="1" t="n">
        <v>79553</v>
      </c>
      <c r="B79554">
        <f>TEXT(79553, "[$-0E0000]yyyy-mm-dd")</f>
        <v/>
      </c>
    </row>
    <row r="79555">
      <c r="A79555" s="1" t="n">
        <v>79554</v>
      </c>
      <c r="B79555">
        <f>TEXT(79554, "[$-0E0000]yyyy-mm-dd")</f>
        <v/>
      </c>
    </row>
    <row r="79556">
      <c r="A79556" s="1" t="n">
        <v>79555</v>
      </c>
      <c r="B79556">
        <f>TEXT(79555, "[$-0E0000]yyyy-mm-dd")</f>
        <v/>
      </c>
    </row>
    <row r="79557">
      <c r="A79557" s="1" t="n">
        <v>79556</v>
      </c>
      <c r="B79557">
        <f>TEXT(79556, "[$-0E0000]yyyy-mm-dd")</f>
        <v/>
      </c>
    </row>
    <row r="79558">
      <c r="A79558" s="1" t="n">
        <v>79557</v>
      </c>
      <c r="B79558">
        <f>TEXT(79557, "[$-0E0000]yyyy-mm-dd")</f>
        <v/>
      </c>
    </row>
    <row r="79559">
      <c r="A79559" s="1" t="n">
        <v>79558</v>
      </c>
      <c r="B79559">
        <f>TEXT(79558, "[$-0E0000]yyyy-mm-dd")</f>
        <v/>
      </c>
    </row>
    <row r="79560">
      <c r="A79560" s="1" t="n">
        <v>79559</v>
      </c>
      <c r="B79560">
        <f>TEXT(79559, "[$-0E0000]yyyy-mm-dd")</f>
        <v/>
      </c>
    </row>
    <row r="79561">
      <c r="A79561" s="1" t="n">
        <v>79560</v>
      </c>
      <c r="B79561">
        <f>TEXT(79560, "[$-0E0000]yyyy-mm-dd")</f>
        <v/>
      </c>
    </row>
    <row r="79562">
      <c r="A79562" s="1" t="n">
        <v>79561</v>
      </c>
      <c r="B79562">
        <f>TEXT(79561, "[$-0E0000]yyyy-mm-dd")</f>
        <v/>
      </c>
    </row>
    <row r="79563">
      <c r="A79563" s="1" t="n">
        <v>79562</v>
      </c>
      <c r="B79563">
        <f>TEXT(79562, "[$-0E0000]yyyy-mm-dd")</f>
        <v/>
      </c>
    </row>
    <row r="79564">
      <c r="A79564" s="1" t="n">
        <v>79563</v>
      </c>
      <c r="B79564">
        <f>TEXT(79563, "[$-0E0000]yyyy-mm-dd")</f>
        <v/>
      </c>
    </row>
    <row r="79565">
      <c r="A79565" s="1" t="n">
        <v>79564</v>
      </c>
      <c r="B79565">
        <f>TEXT(79564, "[$-0E0000]yyyy-mm-dd")</f>
        <v/>
      </c>
    </row>
    <row r="79566">
      <c r="A79566" s="1" t="n">
        <v>79565</v>
      </c>
      <c r="B79566">
        <f>TEXT(79565, "[$-0E0000]yyyy-mm-dd")</f>
        <v/>
      </c>
    </row>
    <row r="79567">
      <c r="A79567" s="1" t="n">
        <v>79566</v>
      </c>
      <c r="B79567">
        <f>TEXT(79566, "[$-0E0000]yyyy-mm-dd")</f>
        <v/>
      </c>
    </row>
    <row r="79568">
      <c r="A79568" s="1" t="n">
        <v>79567</v>
      </c>
      <c r="B79568">
        <f>TEXT(79567, "[$-0E0000]yyyy-mm-dd")</f>
        <v/>
      </c>
    </row>
    <row r="79569">
      <c r="A79569" s="1" t="n">
        <v>79568</v>
      </c>
      <c r="B79569">
        <f>TEXT(79568, "[$-0E0000]yyyy-mm-dd")</f>
        <v/>
      </c>
    </row>
    <row r="79570">
      <c r="A79570" s="1" t="n">
        <v>79569</v>
      </c>
      <c r="B79570">
        <f>TEXT(79569, "[$-0E0000]yyyy-mm-dd")</f>
        <v/>
      </c>
    </row>
    <row r="79571">
      <c r="A79571" s="1" t="n">
        <v>79570</v>
      </c>
      <c r="B79571">
        <f>TEXT(79570, "[$-0E0000]yyyy-mm-dd")</f>
        <v/>
      </c>
    </row>
    <row r="79572">
      <c r="A79572" s="1" t="n">
        <v>79571</v>
      </c>
      <c r="B79572">
        <f>TEXT(79571, "[$-0E0000]yyyy-mm-dd")</f>
        <v/>
      </c>
    </row>
    <row r="79573">
      <c r="A79573" s="1" t="n">
        <v>79572</v>
      </c>
      <c r="B79573">
        <f>TEXT(79572, "[$-0E0000]yyyy-mm-dd")</f>
        <v/>
      </c>
    </row>
    <row r="79574">
      <c r="A79574" s="1" t="n">
        <v>79573</v>
      </c>
      <c r="B79574">
        <f>TEXT(79573, "[$-0E0000]yyyy-mm-dd")</f>
        <v/>
      </c>
    </row>
    <row r="79575">
      <c r="A79575" s="1" t="n">
        <v>79574</v>
      </c>
      <c r="B79575">
        <f>TEXT(79574, "[$-0E0000]yyyy-mm-dd")</f>
        <v/>
      </c>
    </row>
    <row r="79576">
      <c r="A79576" s="1" t="n">
        <v>79575</v>
      </c>
      <c r="B79576">
        <f>TEXT(79575, "[$-0E0000]yyyy-mm-dd")</f>
        <v/>
      </c>
    </row>
    <row r="79577">
      <c r="A79577" s="1" t="n">
        <v>79576</v>
      </c>
      <c r="B79577">
        <f>TEXT(79576, "[$-0E0000]yyyy-mm-dd")</f>
        <v/>
      </c>
    </row>
    <row r="79578">
      <c r="A79578" s="1" t="n">
        <v>79577</v>
      </c>
      <c r="B79578">
        <f>TEXT(79577, "[$-0E0000]yyyy-mm-dd")</f>
        <v/>
      </c>
    </row>
    <row r="79579">
      <c r="A79579" s="1" t="n">
        <v>79578</v>
      </c>
      <c r="B79579">
        <f>TEXT(79578, "[$-0E0000]yyyy-mm-dd")</f>
        <v/>
      </c>
    </row>
    <row r="79580">
      <c r="A79580" s="1" t="n">
        <v>79579</v>
      </c>
      <c r="B79580">
        <f>TEXT(79579, "[$-0E0000]yyyy-mm-dd")</f>
        <v/>
      </c>
    </row>
    <row r="79581">
      <c r="A79581" s="1" t="n">
        <v>79580</v>
      </c>
      <c r="B79581">
        <f>TEXT(79580, "[$-0E0000]yyyy-mm-dd")</f>
        <v/>
      </c>
    </row>
    <row r="79582">
      <c r="A79582" s="1" t="n">
        <v>79581</v>
      </c>
      <c r="B79582">
        <f>TEXT(79581, "[$-0E0000]yyyy-mm-dd")</f>
        <v/>
      </c>
    </row>
    <row r="79583">
      <c r="A79583" s="1" t="n">
        <v>79582</v>
      </c>
      <c r="B79583">
        <f>TEXT(79582, "[$-0E0000]yyyy-mm-dd")</f>
        <v/>
      </c>
    </row>
    <row r="79584">
      <c r="A79584" s="1" t="n">
        <v>79583</v>
      </c>
      <c r="B79584">
        <f>TEXT(79583, "[$-0E0000]yyyy-mm-dd")</f>
        <v/>
      </c>
    </row>
    <row r="79585">
      <c r="A79585" s="1" t="n">
        <v>79584</v>
      </c>
      <c r="B79585">
        <f>TEXT(79584, "[$-0E0000]yyyy-mm-dd")</f>
        <v/>
      </c>
    </row>
    <row r="79586">
      <c r="A79586" s="1" t="n">
        <v>79585</v>
      </c>
      <c r="B79586">
        <f>TEXT(79585, "[$-0E0000]yyyy-mm-dd")</f>
        <v/>
      </c>
    </row>
    <row r="79587">
      <c r="A79587" s="1" t="n">
        <v>79586</v>
      </c>
      <c r="B79587">
        <f>TEXT(79586, "[$-0E0000]yyyy-mm-dd")</f>
        <v/>
      </c>
    </row>
    <row r="79588">
      <c r="A79588" s="1" t="n">
        <v>79587</v>
      </c>
      <c r="B79588">
        <f>TEXT(79587, "[$-0E0000]yyyy-mm-dd")</f>
        <v/>
      </c>
    </row>
    <row r="79589">
      <c r="A79589" s="1" t="n">
        <v>79588</v>
      </c>
      <c r="B79589">
        <f>TEXT(79588, "[$-0E0000]yyyy-mm-dd")</f>
        <v/>
      </c>
    </row>
    <row r="79590">
      <c r="A79590" s="1" t="n">
        <v>79589</v>
      </c>
      <c r="B79590">
        <f>TEXT(79589, "[$-0E0000]yyyy-mm-dd")</f>
        <v/>
      </c>
    </row>
    <row r="79591">
      <c r="A79591" s="1" t="n">
        <v>79590</v>
      </c>
      <c r="B79591">
        <f>TEXT(79590, "[$-0E0000]yyyy-mm-dd")</f>
        <v/>
      </c>
    </row>
    <row r="79592">
      <c r="A79592" s="1" t="n">
        <v>79591</v>
      </c>
      <c r="B79592">
        <f>TEXT(79591, "[$-0E0000]yyyy-mm-dd")</f>
        <v/>
      </c>
    </row>
    <row r="79593">
      <c r="A79593" s="1" t="n">
        <v>79592</v>
      </c>
      <c r="B79593">
        <f>TEXT(79592, "[$-0E0000]yyyy-mm-dd")</f>
        <v/>
      </c>
    </row>
    <row r="79594">
      <c r="A79594" s="1" t="n">
        <v>79593</v>
      </c>
      <c r="B79594">
        <f>TEXT(79593, "[$-0E0000]yyyy-mm-dd")</f>
        <v/>
      </c>
    </row>
    <row r="79595">
      <c r="A79595" s="1" t="n">
        <v>79594</v>
      </c>
      <c r="B79595">
        <f>TEXT(79594, "[$-0E0000]yyyy-mm-dd")</f>
        <v/>
      </c>
    </row>
    <row r="79596">
      <c r="A79596" s="1" t="n">
        <v>79595</v>
      </c>
      <c r="B79596">
        <f>TEXT(79595, "[$-0E0000]yyyy-mm-dd")</f>
        <v/>
      </c>
    </row>
    <row r="79597">
      <c r="A79597" s="1" t="n">
        <v>79596</v>
      </c>
      <c r="B79597">
        <f>TEXT(79596, "[$-0E0000]yyyy-mm-dd")</f>
        <v/>
      </c>
    </row>
    <row r="79598">
      <c r="A79598" s="1" t="n">
        <v>79597</v>
      </c>
      <c r="B79598">
        <f>TEXT(79597, "[$-0E0000]yyyy-mm-dd")</f>
        <v/>
      </c>
    </row>
    <row r="79599">
      <c r="A79599" s="1" t="n">
        <v>79598</v>
      </c>
      <c r="B79599">
        <f>TEXT(79598, "[$-0E0000]yyyy-mm-dd")</f>
        <v/>
      </c>
    </row>
    <row r="79600">
      <c r="A79600" s="1" t="n">
        <v>79599</v>
      </c>
      <c r="B79600">
        <f>TEXT(79599, "[$-0E0000]yyyy-mm-dd")</f>
        <v/>
      </c>
    </row>
    <row r="79601">
      <c r="A79601" s="1" t="n">
        <v>79600</v>
      </c>
      <c r="B79601">
        <f>TEXT(79600, "[$-0E0000]yyyy-mm-dd")</f>
        <v/>
      </c>
    </row>
    <row r="79602">
      <c r="A79602" s="1" t="n">
        <v>79601</v>
      </c>
      <c r="B79602">
        <f>TEXT(79601, "[$-0E0000]yyyy-mm-dd")</f>
        <v/>
      </c>
    </row>
    <row r="79603">
      <c r="A79603" s="1" t="n">
        <v>79602</v>
      </c>
      <c r="B79603">
        <f>TEXT(79602, "[$-0E0000]yyyy-mm-dd")</f>
        <v/>
      </c>
    </row>
    <row r="79604">
      <c r="A79604" s="1" t="n">
        <v>79603</v>
      </c>
      <c r="B79604">
        <f>TEXT(79603, "[$-0E0000]yyyy-mm-dd")</f>
        <v/>
      </c>
    </row>
    <row r="79605">
      <c r="A79605" s="1" t="n">
        <v>79604</v>
      </c>
      <c r="B79605">
        <f>TEXT(79604, "[$-0E0000]yyyy-mm-dd")</f>
        <v/>
      </c>
    </row>
    <row r="79606">
      <c r="A79606" s="1" t="n">
        <v>79605</v>
      </c>
      <c r="B79606">
        <f>TEXT(79605, "[$-0E0000]yyyy-mm-dd")</f>
        <v/>
      </c>
    </row>
    <row r="79607">
      <c r="A79607" s="1" t="n">
        <v>79606</v>
      </c>
      <c r="B79607">
        <f>TEXT(79606, "[$-0E0000]yyyy-mm-dd")</f>
        <v/>
      </c>
    </row>
    <row r="79608">
      <c r="A79608" s="1" t="n">
        <v>79607</v>
      </c>
      <c r="B79608">
        <f>TEXT(79607, "[$-0E0000]yyyy-mm-dd")</f>
        <v/>
      </c>
    </row>
    <row r="79609">
      <c r="A79609" s="1" t="n">
        <v>79608</v>
      </c>
      <c r="B79609">
        <f>TEXT(79608, "[$-0E0000]yyyy-mm-dd")</f>
        <v/>
      </c>
    </row>
    <row r="79610">
      <c r="A79610" s="1" t="n">
        <v>79609</v>
      </c>
      <c r="B79610">
        <f>TEXT(79609, "[$-0E0000]yyyy-mm-dd")</f>
        <v/>
      </c>
    </row>
    <row r="79611">
      <c r="A79611" s="1" t="n">
        <v>79610</v>
      </c>
      <c r="B79611">
        <f>TEXT(79610, "[$-0E0000]yyyy-mm-dd")</f>
        <v/>
      </c>
    </row>
    <row r="79612">
      <c r="A79612" s="1" t="n">
        <v>79611</v>
      </c>
      <c r="B79612">
        <f>TEXT(79611, "[$-0E0000]yyyy-mm-dd")</f>
        <v/>
      </c>
    </row>
    <row r="79613">
      <c r="A79613" s="1" t="n">
        <v>79612</v>
      </c>
      <c r="B79613">
        <f>TEXT(79612, "[$-0E0000]yyyy-mm-dd")</f>
        <v/>
      </c>
    </row>
    <row r="79614">
      <c r="A79614" s="1" t="n">
        <v>79613</v>
      </c>
      <c r="B79614">
        <f>TEXT(79613, "[$-0E0000]yyyy-mm-dd")</f>
        <v/>
      </c>
    </row>
    <row r="79615">
      <c r="A79615" s="1" t="n">
        <v>79614</v>
      </c>
      <c r="B79615">
        <f>TEXT(79614, "[$-0E0000]yyyy-mm-dd")</f>
        <v/>
      </c>
    </row>
    <row r="79616">
      <c r="A79616" s="1" t="n">
        <v>79615</v>
      </c>
      <c r="B79616">
        <f>TEXT(79615, "[$-0E0000]yyyy-mm-dd")</f>
        <v/>
      </c>
    </row>
    <row r="79617">
      <c r="A79617" s="1" t="n">
        <v>79616</v>
      </c>
      <c r="B79617">
        <f>TEXT(79616, "[$-0E0000]yyyy-mm-dd")</f>
        <v/>
      </c>
    </row>
    <row r="79618">
      <c r="A79618" s="1" t="n">
        <v>79617</v>
      </c>
      <c r="B79618">
        <f>TEXT(79617, "[$-0E0000]yyyy-mm-dd")</f>
        <v/>
      </c>
    </row>
    <row r="79619">
      <c r="A79619" s="1" t="n">
        <v>79618</v>
      </c>
      <c r="B79619">
        <f>TEXT(79618, "[$-0E0000]yyyy-mm-dd")</f>
        <v/>
      </c>
    </row>
    <row r="79620">
      <c r="A79620" s="1" t="n">
        <v>79619</v>
      </c>
      <c r="B79620">
        <f>TEXT(79619, "[$-0E0000]yyyy-mm-dd")</f>
        <v/>
      </c>
    </row>
    <row r="79621">
      <c r="A79621" s="1" t="n">
        <v>79620</v>
      </c>
      <c r="B79621">
        <f>TEXT(79620, "[$-0E0000]yyyy-mm-dd")</f>
        <v/>
      </c>
    </row>
    <row r="79622">
      <c r="A79622" s="1" t="n">
        <v>79621</v>
      </c>
      <c r="B79622">
        <f>TEXT(79621, "[$-0E0000]yyyy-mm-dd")</f>
        <v/>
      </c>
    </row>
    <row r="79623">
      <c r="A79623" s="1" t="n">
        <v>79622</v>
      </c>
      <c r="B79623">
        <f>TEXT(79622, "[$-0E0000]yyyy-mm-dd")</f>
        <v/>
      </c>
    </row>
    <row r="79624">
      <c r="A79624" s="1" t="n">
        <v>79623</v>
      </c>
      <c r="B79624">
        <f>TEXT(79623, "[$-0E0000]yyyy-mm-dd")</f>
        <v/>
      </c>
    </row>
    <row r="79625">
      <c r="A79625" s="1" t="n">
        <v>79624</v>
      </c>
      <c r="B79625">
        <f>TEXT(79624, "[$-0E0000]yyyy-mm-dd")</f>
        <v/>
      </c>
    </row>
    <row r="79626">
      <c r="A79626" s="1" t="n">
        <v>79625</v>
      </c>
      <c r="B79626">
        <f>TEXT(79625, "[$-0E0000]yyyy-mm-dd")</f>
        <v/>
      </c>
    </row>
    <row r="79627">
      <c r="A79627" s="1" t="n">
        <v>79626</v>
      </c>
      <c r="B79627">
        <f>TEXT(79626, "[$-0E0000]yyyy-mm-dd")</f>
        <v/>
      </c>
    </row>
    <row r="79628">
      <c r="A79628" s="1" t="n">
        <v>79627</v>
      </c>
      <c r="B79628">
        <f>TEXT(79627, "[$-0E0000]yyyy-mm-dd")</f>
        <v/>
      </c>
    </row>
    <row r="79629">
      <c r="A79629" s="1" t="n">
        <v>79628</v>
      </c>
      <c r="B79629">
        <f>TEXT(79628, "[$-0E0000]yyyy-mm-dd")</f>
        <v/>
      </c>
    </row>
    <row r="79630">
      <c r="A79630" s="1" t="n">
        <v>79629</v>
      </c>
      <c r="B79630">
        <f>TEXT(79629, "[$-0E0000]yyyy-mm-dd")</f>
        <v/>
      </c>
    </row>
    <row r="79631">
      <c r="A79631" s="1" t="n">
        <v>79630</v>
      </c>
      <c r="B79631">
        <f>TEXT(79630, "[$-0E0000]yyyy-mm-dd")</f>
        <v/>
      </c>
    </row>
    <row r="79632">
      <c r="A79632" s="1" t="n">
        <v>79631</v>
      </c>
      <c r="B79632">
        <f>TEXT(79631, "[$-0E0000]yyyy-mm-dd")</f>
        <v/>
      </c>
    </row>
    <row r="79633">
      <c r="A79633" s="1" t="n">
        <v>79632</v>
      </c>
      <c r="B79633">
        <f>TEXT(79632, "[$-0E0000]yyyy-mm-dd")</f>
        <v/>
      </c>
    </row>
    <row r="79634">
      <c r="A79634" s="1" t="n">
        <v>79633</v>
      </c>
      <c r="B79634">
        <f>TEXT(79633, "[$-0E0000]yyyy-mm-dd")</f>
        <v/>
      </c>
    </row>
    <row r="79635">
      <c r="A79635" s="1" t="n">
        <v>79634</v>
      </c>
      <c r="B79635">
        <f>TEXT(79634, "[$-0E0000]yyyy-mm-dd")</f>
        <v/>
      </c>
    </row>
    <row r="79636">
      <c r="A79636" s="1" t="n">
        <v>79635</v>
      </c>
      <c r="B79636">
        <f>TEXT(79635, "[$-0E0000]yyyy-mm-dd")</f>
        <v/>
      </c>
    </row>
    <row r="79637">
      <c r="A79637" s="1" t="n">
        <v>79636</v>
      </c>
      <c r="B79637">
        <f>TEXT(79636, "[$-0E0000]yyyy-mm-dd")</f>
        <v/>
      </c>
    </row>
    <row r="79638">
      <c r="A79638" s="1" t="n">
        <v>79637</v>
      </c>
      <c r="B79638">
        <f>TEXT(79637, "[$-0E0000]yyyy-mm-dd")</f>
        <v/>
      </c>
    </row>
    <row r="79639">
      <c r="A79639" s="1" t="n">
        <v>79638</v>
      </c>
      <c r="B79639">
        <f>TEXT(79638, "[$-0E0000]yyyy-mm-dd")</f>
        <v/>
      </c>
    </row>
    <row r="79640">
      <c r="A79640" s="1" t="n">
        <v>79639</v>
      </c>
      <c r="B79640">
        <f>TEXT(79639, "[$-0E0000]yyyy-mm-dd")</f>
        <v/>
      </c>
    </row>
    <row r="79641">
      <c r="A79641" s="1" t="n">
        <v>79640</v>
      </c>
      <c r="B79641">
        <f>TEXT(79640, "[$-0E0000]yyyy-mm-dd")</f>
        <v/>
      </c>
    </row>
    <row r="79642">
      <c r="A79642" s="1" t="n">
        <v>79641</v>
      </c>
      <c r="B79642">
        <f>TEXT(79641, "[$-0E0000]yyyy-mm-dd")</f>
        <v/>
      </c>
    </row>
    <row r="79643">
      <c r="A79643" s="1" t="n">
        <v>79642</v>
      </c>
      <c r="B79643">
        <f>TEXT(79642, "[$-0E0000]yyyy-mm-dd")</f>
        <v/>
      </c>
    </row>
    <row r="79644">
      <c r="A79644" s="1" t="n">
        <v>79643</v>
      </c>
      <c r="B79644">
        <f>TEXT(79643, "[$-0E0000]yyyy-mm-dd")</f>
        <v/>
      </c>
    </row>
    <row r="79645">
      <c r="A79645" s="1" t="n">
        <v>79644</v>
      </c>
      <c r="B79645">
        <f>TEXT(79644, "[$-0E0000]yyyy-mm-dd")</f>
        <v/>
      </c>
    </row>
    <row r="79646">
      <c r="A79646" s="1" t="n">
        <v>79645</v>
      </c>
      <c r="B79646">
        <f>TEXT(79645, "[$-0E0000]yyyy-mm-dd")</f>
        <v/>
      </c>
    </row>
    <row r="79647">
      <c r="A79647" s="1" t="n">
        <v>79646</v>
      </c>
      <c r="B79647">
        <f>TEXT(79646, "[$-0E0000]yyyy-mm-dd")</f>
        <v/>
      </c>
    </row>
    <row r="79648">
      <c r="A79648" s="1" t="n">
        <v>79647</v>
      </c>
      <c r="B79648">
        <f>TEXT(79647, "[$-0E0000]yyyy-mm-dd")</f>
        <v/>
      </c>
    </row>
    <row r="79649">
      <c r="A79649" s="1" t="n">
        <v>79648</v>
      </c>
      <c r="B79649">
        <f>TEXT(79648, "[$-0E0000]yyyy-mm-dd")</f>
        <v/>
      </c>
    </row>
    <row r="79650">
      <c r="A79650" s="1" t="n">
        <v>79649</v>
      </c>
      <c r="B79650">
        <f>TEXT(79649, "[$-0E0000]yyyy-mm-dd")</f>
        <v/>
      </c>
    </row>
    <row r="79651">
      <c r="A79651" s="1" t="n">
        <v>79650</v>
      </c>
      <c r="B79651">
        <f>TEXT(79650, "[$-0E0000]yyyy-mm-dd")</f>
        <v/>
      </c>
    </row>
    <row r="79652">
      <c r="A79652" s="1" t="n">
        <v>79651</v>
      </c>
      <c r="B79652">
        <f>TEXT(79651, "[$-0E0000]yyyy-mm-dd")</f>
        <v/>
      </c>
    </row>
    <row r="79653">
      <c r="A79653" s="1" t="n">
        <v>79652</v>
      </c>
      <c r="B79653">
        <f>TEXT(79652, "[$-0E0000]yyyy-mm-dd")</f>
        <v/>
      </c>
    </row>
    <row r="79654">
      <c r="A79654" s="1" t="n">
        <v>79653</v>
      </c>
      <c r="B79654">
        <f>TEXT(79653, "[$-0E0000]yyyy-mm-dd")</f>
        <v/>
      </c>
    </row>
    <row r="79655">
      <c r="A79655" s="1" t="n">
        <v>79654</v>
      </c>
      <c r="B79655">
        <f>TEXT(79654, "[$-0E0000]yyyy-mm-dd")</f>
        <v/>
      </c>
    </row>
    <row r="79656">
      <c r="A79656" s="1" t="n">
        <v>79655</v>
      </c>
      <c r="B79656">
        <f>TEXT(79655, "[$-0E0000]yyyy-mm-dd")</f>
        <v/>
      </c>
    </row>
    <row r="79657">
      <c r="A79657" s="1" t="n">
        <v>79656</v>
      </c>
      <c r="B79657">
        <f>TEXT(79656, "[$-0E0000]yyyy-mm-dd")</f>
        <v/>
      </c>
    </row>
    <row r="79658">
      <c r="A79658" s="1" t="n">
        <v>79657</v>
      </c>
      <c r="B79658">
        <f>TEXT(79657, "[$-0E0000]yyyy-mm-dd")</f>
        <v/>
      </c>
    </row>
    <row r="79659">
      <c r="A79659" s="1" t="n">
        <v>79658</v>
      </c>
      <c r="B79659">
        <f>TEXT(79658, "[$-0E0000]yyyy-mm-dd")</f>
        <v/>
      </c>
    </row>
    <row r="79660">
      <c r="A79660" s="1" t="n">
        <v>79659</v>
      </c>
      <c r="B79660">
        <f>TEXT(79659, "[$-0E0000]yyyy-mm-dd")</f>
        <v/>
      </c>
    </row>
    <row r="79661">
      <c r="A79661" s="1" t="n">
        <v>79660</v>
      </c>
      <c r="B79661">
        <f>TEXT(79660, "[$-0E0000]yyyy-mm-dd")</f>
        <v/>
      </c>
    </row>
    <row r="79662">
      <c r="A79662" s="1" t="n">
        <v>79661</v>
      </c>
      <c r="B79662">
        <f>TEXT(79661, "[$-0E0000]yyyy-mm-dd")</f>
        <v/>
      </c>
    </row>
    <row r="79663">
      <c r="A79663" s="1" t="n">
        <v>79662</v>
      </c>
      <c r="B79663">
        <f>TEXT(79662, "[$-0E0000]yyyy-mm-dd")</f>
        <v/>
      </c>
    </row>
    <row r="79664">
      <c r="A79664" s="1" t="n">
        <v>79663</v>
      </c>
      <c r="B79664">
        <f>TEXT(79663, "[$-0E0000]yyyy-mm-dd")</f>
        <v/>
      </c>
    </row>
    <row r="79665">
      <c r="A79665" s="1" t="n">
        <v>79664</v>
      </c>
      <c r="B79665">
        <f>TEXT(79664, "[$-0E0000]yyyy-mm-dd")</f>
        <v/>
      </c>
    </row>
    <row r="79666">
      <c r="A79666" s="1" t="n">
        <v>79665</v>
      </c>
      <c r="B79666">
        <f>TEXT(79665, "[$-0E0000]yyyy-mm-dd")</f>
        <v/>
      </c>
    </row>
    <row r="79667">
      <c r="A79667" s="1" t="n">
        <v>79666</v>
      </c>
      <c r="B79667">
        <f>TEXT(79666, "[$-0E0000]yyyy-mm-dd")</f>
        <v/>
      </c>
    </row>
    <row r="79668">
      <c r="A79668" s="1" t="n">
        <v>79667</v>
      </c>
      <c r="B79668">
        <f>TEXT(79667, "[$-0E0000]yyyy-mm-dd")</f>
        <v/>
      </c>
    </row>
    <row r="79669">
      <c r="A79669" s="1" t="n">
        <v>79668</v>
      </c>
      <c r="B79669">
        <f>TEXT(79668, "[$-0E0000]yyyy-mm-dd")</f>
        <v/>
      </c>
    </row>
    <row r="79670">
      <c r="A79670" s="1" t="n">
        <v>79669</v>
      </c>
      <c r="B79670">
        <f>TEXT(79669, "[$-0E0000]yyyy-mm-dd")</f>
        <v/>
      </c>
    </row>
    <row r="79671">
      <c r="A79671" s="1" t="n">
        <v>79670</v>
      </c>
      <c r="B79671">
        <f>TEXT(79670, "[$-0E0000]yyyy-mm-dd")</f>
        <v/>
      </c>
    </row>
    <row r="79672">
      <c r="A79672" s="1" t="n">
        <v>79671</v>
      </c>
      <c r="B79672">
        <f>TEXT(79671, "[$-0E0000]yyyy-mm-dd")</f>
        <v/>
      </c>
    </row>
    <row r="79673">
      <c r="A79673" s="1" t="n">
        <v>79672</v>
      </c>
      <c r="B79673">
        <f>TEXT(79672, "[$-0E0000]yyyy-mm-dd")</f>
        <v/>
      </c>
    </row>
    <row r="79674">
      <c r="A79674" s="1" t="n">
        <v>79673</v>
      </c>
      <c r="B79674">
        <f>TEXT(79673, "[$-0E0000]yyyy-mm-dd")</f>
        <v/>
      </c>
    </row>
    <row r="79675">
      <c r="A79675" s="1" t="n">
        <v>79674</v>
      </c>
      <c r="B79675">
        <f>TEXT(79674, "[$-0E0000]yyyy-mm-dd")</f>
        <v/>
      </c>
    </row>
    <row r="79676">
      <c r="A79676" s="1" t="n">
        <v>79675</v>
      </c>
      <c r="B79676">
        <f>TEXT(79675, "[$-0E0000]yyyy-mm-dd")</f>
        <v/>
      </c>
    </row>
    <row r="79677">
      <c r="A79677" s="1" t="n">
        <v>79676</v>
      </c>
      <c r="B79677">
        <f>TEXT(79676, "[$-0E0000]yyyy-mm-dd")</f>
        <v/>
      </c>
    </row>
    <row r="79678">
      <c r="A79678" s="1" t="n">
        <v>79677</v>
      </c>
      <c r="B79678">
        <f>TEXT(79677, "[$-0E0000]yyyy-mm-dd")</f>
        <v/>
      </c>
    </row>
    <row r="79679">
      <c r="A79679" s="1" t="n">
        <v>79678</v>
      </c>
      <c r="B79679">
        <f>TEXT(79678, "[$-0E0000]yyyy-mm-dd")</f>
        <v/>
      </c>
    </row>
    <row r="79680">
      <c r="A79680" s="1" t="n">
        <v>79679</v>
      </c>
      <c r="B79680">
        <f>TEXT(79679, "[$-0E0000]yyyy-mm-dd")</f>
        <v/>
      </c>
    </row>
    <row r="79681">
      <c r="A79681" s="1" t="n">
        <v>79680</v>
      </c>
      <c r="B79681">
        <f>TEXT(79680, "[$-0E0000]yyyy-mm-dd")</f>
        <v/>
      </c>
    </row>
    <row r="79682">
      <c r="A79682" s="1" t="n">
        <v>79681</v>
      </c>
      <c r="B79682">
        <f>TEXT(79681, "[$-0E0000]yyyy-mm-dd")</f>
        <v/>
      </c>
    </row>
    <row r="79683">
      <c r="A79683" s="1" t="n">
        <v>79682</v>
      </c>
      <c r="B79683">
        <f>TEXT(79682, "[$-0E0000]yyyy-mm-dd")</f>
        <v/>
      </c>
    </row>
    <row r="79684">
      <c r="A79684" s="1" t="n">
        <v>79683</v>
      </c>
      <c r="B79684">
        <f>TEXT(79683, "[$-0E0000]yyyy-mm-dd")</f>
        <v/>
      </c>
    </row>
    <row r="79685">
      <c r="A79685" s="1" t="n">
        <v>79684</v>
      </c>
      <c r="B79685">
        <f>TEXT(79684, "[$-0E0000]yyyy-mm-dd")</f>
        <v/>
      </c>
    </row>
    <row r="79686">
      <c r="A79686" s="1" t="n">
        <v>79685</v>
      </c>
      <c r="B79686">
        <f>TEXT(79685, "[$-0E0000]yyyy-mm-dd")</f>
        <v/>
      </c>
    </row>
    <row r="79687">
      <c r="A79687" s="1" t="n">
        <v>79686</v>
      </c>
      <c r="B79687">
        <f>TEXT(79686, "[$-0E0000]yyyy-mm-dd")</f>
        <v/>
      </c>
    </row>
    <row r="79688">
      <c r="A79688" s="1" t="n">
        <v>79687</v>
      </c>
      <c r="B79688">
        <f>TEXT(79687, "[$-0E0000]yyyy-mm-dd")</f>
        <v/>
      </c>
    </row>
    <row r="79689">
      <c r="A79689" s="1" t="n">
        <v>79688</v>
      </c>
      <c r="B79689">
        <f>TEXT(79688, "[$-0E0000]yyyy-mm-dd")</f>
        <v/>
      </c>
    </row>
    <row r="79690">
      <c r="A79690" s="1" t="n">
        <v>79689</v>
      </c>
      <c r="B79690">
        <f>TEXT(79689, "[$-0E0000]yyyy-mm-dd")</f>
        <v/>
      </c>
    </row>
    <row r="79691">
      <c r="A79691" s="1" t="n">
        <v>79690</v>
      </c>
      <c r="B79691">
        <f>TEXT(79690, "[$-0E0000]yyyy-mm-dd")</f>
        <v/>
      </c>
    </row>
    <row r="79692">
      <c r="A79692" s="1" t="n">
        <v>79691</v>
      </c>
      <c r="B79692">
        <f>TEXT(79691, "[$-0E0000]yyyy-mm-dd")</f>
        <v/>
      </c>
    </row>
    <row r="79693">
      <c r="A79693" s="1" t="n">
        <v>79692</v>
      </c>
      <c r="B79693">
        <f>TEXT(79692, "[$-0E0000]yyyy-mm-dd")</f>
        <v/>
      </c>
    </row>
    <row r="79694">
      <c r="A79694" s="1" t="n">
        <v>79693</v>
      </c>
      <c r="B79694">
        <f>TEXT(79693, "[$-0E0000]yyyy-mm-dd")</f>
        <v/>
      </c>
    </row>
    <row r="79695">
      <c r="A79695" s="1" t="n">
        <v>79694</v>
      </c>
      <c r="B79695">
        <f>TEXT(79694, "[$-0E0000]yyyy-mm-dd")</f>
        <v/>
      </c>
    </row>
    <row r="79696">
      <c r="A79696" s="1" t="n">
        <v>79695</v>
      </c>
      <c r="B79696">
        <f>TEXT(79695, "[$-0E0000]yyyy-mm-dd")</f>
        <v/>
      </c>
    </row>
    <row r="79697">
      <c r="A79697" s="1" t="n">
        <v>79696</v>
      </c>
      <c r="B79697">
        <f>TEXT(79696, "[$-0E0000]yyyy-mm-dd")</f>
        <v/>
      </c>
    </row>
    <row r="79698">
      <c r="A79698" s="1" t="n">
        <v>79697</v>
      </c>
      <c r="B79698">
        <f>TEXT(79697, "[$-0E0000]yyyy-mm-dd")</f>
        <v/>
      </c>
    </row>
    <row r="79699">
      <c r="A79699" s="1" t="n">
        <v>79698</v>
      </c>
      <c r="B79699">
        <f>TEXT(79698, "[$-0E0000]yyyy-mm-dd")</f>
        <v/>
      </c>
    </row>
    <row r="79700">
      <c r="A79700" s="1" t="n">
        <v>79699</v>
      </c>
      <c r="B79700">
        <f>TEXT(79699, "[$-0E0000]yyyy-mm-dd")</f>
        <v/>
      </c>
    </row>
    <row r="79701">
      <c r="A79701" s="1" t="n">
        <v>79700</v>
      </c>
      <c r="B79701">
        <f>TEXT(79700, "[$-0E0000]yyyy-mm-dd")</f>
        <v/>
      </c>
    </row>
    <row r="79702">
      <c r="A79702" s="1" t="n">
        <v>79701</v>
      </c>
      <c r="B79702">
        <f>TEXT(79701, "[$-0E0000]yyyy-mm-dd")</f>
        <v/>
      </c>
    </row>
    <row r="79703">
      <c r="A79703" s="1" t="n">
        <v>79702</v>
      </c>
      <c r="B79703">
        <f>TEXT(79702, "[$-0E0000]yyyy-mm-dd")</f>
        <v/>
      </c>
    </row>
    <row r="79704">
      <c r="A79704" s="1" t="n">
        <v>79703</v>
      </c>
      <c r="B79704">
        <f>TEXT(79703, "[$-0E0000]yyyy-mm-dd")</f>
        <v/>
      </c>
    </row>
    <row r="79705">
      <c r="A79705" s="1" t="n">
        <v>79704</v>
      </c>
      <c r="B79705">
        <f>TEXT(79704, "[$-0E0000]yyyy-mm-dd")</f>
        <v/>
      </c>
    </row>
    <row r="79706">
      <c r="A79706" s="1" t="n">
        <v>79705</v>
      </c>
      <c r="B79706">
        <f>TEXT(79705, "[$-0E0000]yyyy-mm-dd")</f>
        <v/>
      </c>
    </row>
    <row r="79707">
      <c r="A79707" s="1" t="n">
        <v>79706</v>
      </c>
      <c r="B79707">
        <f>TEXT(79706, "[$-0E0000]yyyy-mm-dd")</f>
        <v/>
      </c>
    </row>
    <row r="79708">
      <c r="A79708" s="1" t="n">
        <v>79707</v>
      </c>
      <c r="B79708">
        <f>TEXT(79707, "[$-0E0000]yyyy-mm-dd")</f>
        <v/>
      </c>
    </row>
    <row r="79709">
      <c r="A79709" s="1" t="n">
        <v>79708</v>
      </c>
      <c r="B79709">
        <f>TEXT(79708, "[$-0E0000]yyyy-mm-dd")</f>
        <v/>
      </c>
    </row>
    <row r="79710">
      <c r="A79710" s="1" t="n">
        <v>79709</v>
      </c>
      <c r="B79710">
        <f>TEXT(79709, "[$-0E0000]yyyy-mm-dd")</f>
        <v/>
      </c>
    </row>
    <row r="79711">
      <c r="A79711" s="1" t="n">
        <v>79710</v>
      </c>
      <c r="B79711">
        <f>TEXT(79710, "[$-0E0000]yyyy-mm-dd")</f>
        <v/>
      </c>
    </row>
    <row r="79712">
      <c r="A79712" s="1" t="n">
        <v>79711</v>
      </c>
      <c r="B79712">
        <f>TEXT(79711, "[$-0E0000]yyyy-mm-dd")</f>
        <v/>
      </c>
    </row>
    <row r="79713">
      <c r="A79713" s="1" t="n">
        <v>79712</v>
      </c>
      <c r="B79713">
        <f>TEXT(79712, "[$-0E0000]yyyy-mm-dd")</f>
        <v/>
      </c>
    </row>
    <row r="79714">
      <c r="A79714" s="1" t="n">
        <v>79713</v>
      </c>
      <c r="B79714">
        <f>TEXT(79713, "[$-0E0000]yyyy-mm-dd")</f>
        <v/>
      </c>
    </row>
    <row r="79715">
      <c r="A79715" s="1" t="n">
        <v>79714</v>
      </c>
      <c r="B79715">
        <f>TEXT(79714, "[$-0E0000]yyyy-mm-dd")</f>
        <v/>
      </c>
    </row>
    <row r="79716">
      <c r="A79716" s="1" t="n">
        <v>79715</v>
      </c>
      <c r="B79716">
        <f>TEXT(79715, "[$-0E0000]yyyy-mm-dd")</f>
        <v/>
      </c>
    </row>
    <row r="79717">
      <c r="A79717" s="1" t="n">
        <v>79716</v>
      </c>
      <c r="B79717">
        <f>TEXT(79716, "[$-0E0000]yyyy-mm-dd")</f>
        <v/>
      </c>
    </row>
    <row r="79718">
      <c r="A79718" s="1" t="n">
        <v>79717</v>
      </c>
      <c r="B79718">
        <f>TEXT(79717, "[$-0E0000]yyyy-mm-dd")</f>
        <v/>
      </c>
    </row>
    <row r="79719">
      <c r="A79719" s="1" t="n">
        <v>79718</v>
      </c>
      <c r="B79719">
        <f>TEXT(79718, "[$-0E0000]yyyy-mm-dd")</f>
        <v/>
      </c>
    </row>
    <row r="79720">
      <c r="A79720" s="1" t="n">
        <v>79719</v>
      </c>
      <c r="B79720">
        <f>TEXT(79719, "[$-0E0000]yyyy-mm-dd")</f>
        <v/>
      </c>
    </row>
    <row r="79721">
      <c r="A79721" s="1" t="n">
        <v>79720</v>
      </c>
      <c r="B79721">
        <f>TEXT(79720, "[$-0E0000]yyyy-mm-dd")</f>
        <v/>
      </c>
    </row>
    <row r="79722">
      <c r="A79722" s="1" t="n">
        <v>79721</v>
      </c>
      <c r="B79722">
        <f>TEXT(79721, "[$-0E0000]yyyy-mm-dd")</f>
        <v/>
      </c>
    </row>
    <row r="79723">
      <c r="A79723" s="1" t="n">
        <v>79722</v>
      </c>
      <c r="B79723">
        <f>TEXT(79722, "[$-0E0000]yyyy-mm-dd")</f>
        <v/>
      </c>
    </row>
    <row r="79724">
      <c r="A79724" s="1" t="n">
        <v>79723</v>
      </c>
      <c r="B79724">
        <f>TEXT(79723, "[$-0E0000]yyyy-mm-dd")</f>
        <v/>
      </c>
    </row>
    <row r="79725">
      <c r="A79725" s="1" t="n">
        <v>79724</v>
      </c>
      <c r="B79725">
        <f>TEXT(79724, "[$-0E0000]yyyy-mm-dd")</f>
        <v/>
      </c>
    </row>
    <row r="79726">
      <c r="A79726" s="1" t="n">
        <v>79725</v>
      </c>
      <c r="B79726">
        <f>TEXT(79725, "[$-0E0000]yyyy-mm-dd")</f>
        <v/>
      </c>
    </row>
    <row r="79727">
      <c r="A79727" s="1" t="n">
        <v>79726</v>
      </c>
      <c r="B79727">
        <f>TEXT(79726, "[$-0E0000]yyyy-mm-dd")</f>
        <v/>
      </c>
    </row>
    <row r="79728">
      <c r="A79728" s="1" t="n">
        <v>79727</v>
      </c>
      <c r="B79728">
        <f>TEXT(79727, "[$-0E0000]yyyy-mm-dd")</f>
        <v/>
      </c>
    </row>
    <row r="79729">
      <c r="A79729" s="1" t="n">
        <v>79728</v>
      </c>
      <c r="B79729">
        <f>TEXT(79728, "[$-0E0000]yyyy-mm-dd")</f>
        <v/>
      </c>
    </row>
    <row r="79730">
      <c r="A79730" s="1" t="n">
        <v>79729</v>
      </c>
      <c r="B79730">
        <f>TEXT(79729, "[$-0E0000]yyyy-mm-dd")</f>
        <v/>
      </c>
    </row>
    <row r="79731">
      <c r="A79731" s="1" t="n">
        <v>79730</v>
      </c>
      <c r="B79731">
        <f>TEXT(79730, "[$-0E0000]yyyy-mm-dd")</f>
        <v/>
      </c>
    </row>
    <row r="79732">
      <c r="A79732" s="1" t="n">
        <v>79731</v>
      </c>
      <c r="B79732">
        <f>TEXT(79731, "[$-0E0000]yyyy-mm-dd")</f>
        <v/>
      </c>
    </row>
    <row r="79733">
      <c r="A79733" s="1" t="n">
        <v>79732</v>
      </c>
      <c r="B79733">
        <f>TEXT(79732, "[$-0E0000]yyyy-mm-dd")</f>
        <v/>
      </c>
    </row>
    <row r="79734">
      <c r="A79734" s="1" t="n">
        <v>79733</v>
      </c>
      <c r="B79734">
        <f>TEXT(79733, "[$-0E0000]yyyy-mm-dd")</f>
        <v/>
      </c>
    </row>
    <row r="79735">
      <c r="A79735" s="1" t="n">
        <v>79734</v>
      </c>
      <c r="B79735">
        <f>TEXT(79734, "[$-0E0000]yyyy-mm-dd")</f>
        <v/>
      </c>
    </row>
    <row r="79736">
      <c r="A79736" s="1" t="n">
        <v>79735</v>
      </c>
      <c r="B79736">
        <f>TEXT(79735, "[$-0E0000]yyyy-mm-dd")</f>
        <v/>
      </c>
    </row>
    <row r="79737">
      <c r="A79737" s="1" t="n">
        <v>79736</v>
      </c>
      <c r="B79737">
        <f>TEXT(79736, "[$-0E0000]yyyy-mm-dd")</f>
        <v/>
      </c>
    </row>
    <row r="79738">
      <c r="A79738" s="1" t="n">
        <v>79737</v>
      </c>
      <c r="B79738">
        <f>TEXT(79737, "[$-0E0000]yyyy-mm-dd")</f>
        <v/>
      </c>
    </row>
    <row r="79739">
      <c r="A79739" s="1" t="n">
        <v>79738</v>
      </c>
      <c r="B79739">
        <f>TEXT(79738, "[$-0E0000]yyyy-mm-dd")</f>
        <v/>
      </c>
    </row>
    <row r="79740">
      <c r="A79740" s="1" t="n">
        <v>79739</v>
      </c>
      <c r="B79740">
        <f>TEXT(79739, "[$-0E0000]yyyy-mm-dd")</f>
        <v/>
      </c>
    </row>
    <row r="79741">
      <c r="A79741" s="1" t="n">
        <v>79740</v>
      </c>
      <c r="B79741">
        <f>TEXT(79740, "[$-0E0000]yyyy-mm-dd")</f>
        <v/>
      </c>
    </row>
    <row r="79742">
      <c r="A79742" s="1" t="n">
        <v>79741</v>
      </c>
      <c r="B79742">
        <f>TEXT(79741, "[$-0E0000]yyyy-mm-dd")</f>
        <v/>
      </c>
    </row>
    <row r="79743">
      <c r="A79743" s="1" t="n">
        <v>79742</v>
      </c>
      <c r="B79743">
        <f>TEXT(79742, "[$-0E0000]yyyy-mm-dd")</f>
        <v/>
      </c>
    </row>
    <row r="79744">
      <c r="A79744" s="1" t="n">
        <v>79743</v>
      </c>
      <c r="B79744">
        <f>TEXT(79743, "[$-0E0000]yyyy-mm-dd")</f>
        <v/>
      </c>
    </row>
    <row r="79745">
      <c r="A79745" s="1" t="n">
        <v>79744</v>
      </c>
      <c r="B79745">
        <f>TEXT(79744, "[$-0E0000]yyyy-mm-dd")</f>
        <v/>
      </c>
    </row>
    <row r="79746">
      <c r="A79746" s="1" t="n">
        <v>79745</v>
      </c>
      <c r="B79746">
        <f>TEXT(79745, "[$-0E0000]yyyy-mm-dd")</f>
        <v/>
      </c>
    </row>
    <row r="79747">
      <c r="A79747" s="1" t="n">
        <v>79746</v>
      </c>
      <c r="B79747">
        <f>TEXT(79746, "[$-0E0000]yyyy-mm-dd")</f>
        <v/>
      </c>
    </row>
    <row r="79748">
      <c r="A79748" s="1" t="n">
        <v>79747</v>
      </c>
      <c r="B79748">
        <f>TEXT(79747, "[$-0E0000]yyyy-mm-dd")</f>
        <v/>
      </c>
    </row>
    <row r="79749">
      <c r="A79749" s="1" t="n">
        <v>79748</v>
      </c>
      <c r="B79749">
        <f>TEXT(79748, "[$-0E0000]yyyy-mm-dd")</f>
        <v/>
      </c>
    </row>
    <row r="79750">
      <c r="A79750" s="1" t="n">
        <v>79749</v>
      </c>
      <c r="B79750">
        <f>TEXT(79749, "[$-0E0000]yyyy-mm-dd")</f>
        <v/>
      </c>
    </row>
    <row r="79751">
      <c r="A79751" s="1" t="n">
        <v>79750</v>
      </c>
      <c r="B79751">
        <f>TEXT(79750, "[$-0E0000]yyyy-mm-dd")</f>
        <v/>
      </c>
    </row>
    <row r="79752">
      <c r="A79752" s="1" t="n">
        <v>79751</v>
      </c>
      <c r="B79752">
        <f>TEXT(79751, "[$-0E0000]yyyy-mm-dd")</f>
        <v/>
      </c>
    </row>
    <row r="79753">
      <c r="A79753" s="1" t="n">
        <v>79752</v>
      </c>
      <c r="B79753">
        <f>TEXT(79752, "[$-0E0000]yyyy-mm-dd")</f>
        <v/>
      </c>
    </row>
    <row r="79754">
      <c r="A79754" s="1" t="n">
        <v>79753</v>
      </c>
      <c r="B79754">
        <f>TEXT(79753, "[$-0E0000]yyyy-mm-dd")</f>
        <v/>
      </c>
    </row>
    <row r="79755">
      <c r="A79755" s="1" t="n">
        <v>79754</v>
      </c>
      <c r="B79755">
        <f>TEXT(79754, "[$-0E0000]yyyy-mm-dd")</f>
        <v/>
      </c>
    </row>
    <row r="79756">
      <c r="A79756" s="1" t="n">
        <v>79755</v>
      </c>
      <c r="B79756">
        <f>TEXT(79755, "[$-0E0000]yyyy-mm-dd")</f>
        <v/>
      </c>
    </row>
    <row r="79757">
      <c r="A79757" s="1" t="n">
        <v>79756</v>
      </c>
      <c r="B79757">
        <f>TEXT(79756, "[$-0E0000]yyyy-mm-dd")</f>
        <v/>
      </c>
    </row>
    <row r="79758">
      <c r="A79758" s="1" t="n">
        <v>79757</v>
      </c>
      <c r="B79758">
        <f>TEXT(79757, "[$-0E0000]yyyy-mm-dd")</f>
        <v/>
      </c>
    </row>
    <row r="79759">
      <c r="A79759" s="1" t="n">
        <v>79758</v>
      </c>
      <c r="B79759">
        <f>TEXT(79758, "[$-0E0000]yyyy-mm-dd")</f>
        <v/>
      </c>
    </row>
    <row r="79760">
      <c r="A79760" s="1" t="n">
        <v>79759</v>
      </c>
      <c r="B79760">
        <f>TEXT(79759, "[$-0E0000]yyyy-mm-dd")</f>
        <v/>
      </c>
    </row>
    <row r="79761">
      <c r="A79761" s="1" t="n">
        <v>79760</v>
      </c>
      <c r="B79761">
        <f>TEXT(79760, "[$-0E0000]yyyy-mm-dd")</f>
        <v/>
      </c>
    </row>
    <row r="79762">
      <c r="A79762" s="1" t="n">
        <v>79761</v>
      </c>
      <c r="B79762">
        <f>TEXT(79761, "[$-0E0000]yyyy-mm-dd")</f>
        <v/>
      </c>
    </row>
    <row r="79763">
      <c r="A79763" s="1" t="n">
        <v>79762</v>
      </c>
      <c r="B79763">
        <f>TEXT(79762, "[$-0E0000]yyyy-mm-dd")</f>
        <v/>
      </c>
    </row>
    <row r="79764">
      <c r="A79764" s="1" t="n">
        <v>79763</v>
      </c>
      <c r="B79764">
        <f>TEXT(79763, "[$-0E0000]yyyy-mm-dd")</f>
        <v/>
      </c>
    </row>
    <row r="79765">
      <c r="A79765" s="1" t="n">
        <v>79764</v>
      </c>
      <c r="B79765">
        <f>TEXT(79764, "[$-0E0000]yyyy-mm-dd")</f>
        <v/>
      </c>
    </row>
    <row r="79766">
      <c r="A79766" s="1" t="n">
        <v>79765</v>
      </c>
      <c r="B79766">
        <f>TEXT(79765, "[$-0E0000]yyyy-mm-dd")</f>
        <v/>
      </c>
    </row>
    <row r="79767">
      <c r="A79767" s="1" t="n">
        <v>79766</v>
      </c>
      <c r="B79767">
        <f>TEXT(79766, "[$-0E0000]yyyy-mm-dd")</f>
        <v/>
      </c>
    </row>
    <row r="79768">
      <c r="A79768" s="1" t="n">
        <v>79767</v>
      </c>
      <c r="B79768">
        <f>TEXT(79767, "[$-0E0000]yyyy-mm-dd")</f>
        <v/>
      </c>
    </row>
    <row r="79769">
      <c r="A79769" s="1" t="n">
        <v>79768</v>
      </c>
      <c r="B79769">
        <f>TEXT(79768, "[$-0E0000]yyyy-mm-dd")</f>
        <v/>
      </c>
    </row>
    <row r="79770">
      <c r="A79770" s="1" t="n">
        <v>79769</v>
      </c>
      <c r="B79770">
        <f>TEXT(79769, "[$-0E0000]yyyy-mm-dd")</f>
        <v/>
      </c>
    </row>
    <row r="79771">
      <c r="A79771" s="1" t="n">
        <v>79770</v>
      </c>
      <c r="B79771">
        <f>TEXT(79770, "[$-0E0000]yyyy-mm-dd")</f>
        <v/>
      </c>
    </row>
    <row r="79772">
      <c r="A79772" s="1" t="n">
        <v>79771</v>
      </c>
      <c r="B79772">
        <f>TEXT(79771, "[$-0E0000]yyyy-mm-dd")</f>
        <v/>
      </c>
    </row>
    <row r="79773">
      <c r="A79773" s="1" t="n">
        <v>79772</v>
      </c>
      <c r="B79773">
        <f>TEXT(79772, "[$-0E0000]yyyy-mm-dd")</f>
        <v/>
      </c>
    </row>
    <row r="79774">
      <c r="A79774" s="1" t="n">
        <v>79773</v>
      </c>
      <c r="B79774">
        <f>TEXT(79773, "[$-0E0000]yyyy-mm-dd")</f>
        <v/>
      </c>
    </row>
    <row r="79775">
      <c r="A79775" s="1" t="n">
        <v>79774</v>
      </c>
      <c r="B79775">
        <f>TEXT(79774, "[$-0E0000]yyyy-mm-dd")</f>
        <v/>
      </c>
    </row>
    <row r="79776">
      <c r="A79776" s="1" t="n">
        <v>79775</v>
      </c>
      <c r="B79776">
        <f>TEXT(79775, "[$-0E0000]yyyy-mm-dd")</f>
        <v/>
      </c>
    </row>
    <row r="79777">
      <c r="A79777" s="1" t="n">
        <v>79776</v>
      </c>
      <c r="B79777">
        <f>TEXT(79776, "[$-0E0000]yyyy-mm-dd")</f>
        <v/>
      </c>
    </row>
    <row r="79778">
      <c r="A79778" s="1" t="n">
        <v>79777</v>
      </c>
      <c r="B79778">
        <f>TEXT(79777, "[$-0E0000]yyyy-mm-dd")</f>
        <v/>
      </c>
    </row>
    <row r="79779">
      <c r="A79779" s="1" t="n">
        <v>79778</v>
      </c>
      <c r="B79779">
        <f>TEXT(79778, "[$-0E0000]yyyy-mm-dd")</f>
        <v/>
      </c>
    </row>
    <row r="79780">
      <c r="A79780" s="1" t="n">
        <v>79779</v>
      </c>
      <c r="B79780">
        <f>TEXT(79779, "[$-0E0000]yyyy-mm-dd")</f>
        <v/>
      </c>
    </row>
    <row r="79781">
      <c r="A79781" s="1" t="n">
        <v>79780</v>
      </c>
      <c r="B79781">
        <f>TEXT(79780, "[$-0E0000]yyyy-mm-dd")</f>
        <v/>
      </c>
    </row>
    <row r="79782">
      <c r="A79782" s="1" t="n">
        <v>79781</v>
      </c>
      <c r="B79782">
        <f>TEXT(79781, "[$-0E0000]yyyy-mm-dd")</f>
        <v/>
      </c>
    </row>
    <row r="79783">
      <c r="A79783" s="1" t="n">
        <v>79782</v>
      </c>
      <c r="B79783">
        <f>TEXT(79782, "[$-0E0000]yyyy-mm-dd")</f>
        <v/>
      </c>
    </row>
    <row r="79784">
      <c r="A79784" s="1" t="n">
        <v>79783</v>
      </c>
      <c r="B79784">
        <f>TEXT(79783, "[$-0E0000]yyyy-mm-dd")</f>
        <v/>
      </c>
    </row>
    <row r="79785">
      <c r="A79785" s="1" t="n">
        <v>79784</v>
      </c>
      <c r="B79785">
        <f>TEXT(79784, "[$-0E0000]yyyy-mm-dd")</f>
        <v/>
      </c>
    </row>
    <row r="79786">
      <c r="A79786" s="1" t="n">
        <v>79785</v>
      </c>
      <c r="B79786">
        <f>TEXT(79785, "[$-0E0000]yyyy-mm-dd")</f>
        <v/>
      </c>
    </row>
    <row r="79787">
      <c r="A79787" s="1" t="n">
        <v>79786</v>
      </c>
      <c r="B79787">
        <f>TEXT(79786, "[$-0E0000]yyyy-mm-dd")</f>
        <v/>
      </c>
    </row>
    <row r="79788">
      <c r="A79788" s="1" t="n">
        <v>79787</v>
      </c>
      <c r="B79788">
        <f>TEXT(79787, "[$-0E0000]yyyy-mm-dd")</f>
        <v/>
      </c>
    </row>
    <row r="79789">
      <c r="A79789" s="1" t="n">
        <v>79788</v>
      </c>
      <c r="B79789">
        <f>TEXT(79788, "[$-0E0000]yyyy-mm-dd")</f>
        <v/>
      </c>
    </row>
    <row r="79790">
      <c r="A79790" s="1" t="n">
        <v>79789</v>
      </c>
      <c r="B79790">
        <f>TEXT(79789, "[$-0E0000]yyyy-mm-dd")</f>
        <v/>
      </c>
    </row>
    <row r="79791">
      <c r="A79791" s="1" t="n">
        <v>79790</v>
      </c>
      <c r="B79791">
        <f>TEXT(79790, "[$-0E0000]yyyy-mm-dd")</f>
        <v/>
      </c>
    </row>
    <row r="79792">
      <c r="A79792" s="1" t="n">
        <v>79791</v>
      </c>
      <c r="B79792">
        <f>TEXT(79791, "[$-0E0000]yyyy-mm-dd")</f>
        <v/>
      </c>
    </row>
    <row r="79793">
      <c r="A79793" s="1" t="n">
        <v>79792</v>
      </c>
      <c r="B79793">
        <f>TEXT(79792, "[$-0E0000]yyyy-mm-dd")</f>
        <v/>
      </c>
    </row>
    <row r="79794">
      <c r="A79794" s="1" t="n">
        <v>79793</v>
      </c>
      <c r="B79794">
        <f>TEXT(79793, "[$-0E0000]yyyy-mm-dd")</f>
        <v/>
      </c>
    </row>
    <row r="79795">
      <c r="A79795" s="1" t="n">
        <v>79794</v>
      </c>
      <c r="B79795">
        <f>TEXT(79794, "[$-0E0000]yyyy-mm-dd")</f>
        <v/>
      </c>
    </row>
    <row r="79796">
      <c r="A79796" s="1" t="n">
        <v>79795</v>
      </c>
      <c r="B79796">
        <f>TEXT(79795, "[$-0E0000]yyyy-mm-dd")</f>
        <v/>
      </c>
    </row>
    <row r="79797">
      <c r="A79797" s="1" t="n">
        <v>79796</v>
      </c>
      <c r="B79797">
        <f>TEXT(79796, "[$-0E0000]yyyy-mm-dd")</f>
        <v/>
      </c>
    </row>
    <row r="79798">
      <c r="A79798" s="1" t="n">
        <v>79797</v>
      </c>
      <c r="B79798">
        <f>TEXT(79797, "[$-0E0000]yyyy-mm-dd")</f>
        <v/>
      </c>
    </row>
    <row r="79799">
      <c r="A79799" s="1" t="n">
        <v>79798</v>
      </c>
      <c r="B79799">
        <f>TEXT(79798, "[$-0E0000]yyyy-mm-dd")</f>
        <v/>
      </c>
    </row>
    <row r="79800">
      <c r="A79800" s="1" t="n">
        <v>79799</v>
      </c>
      <c r="B79800">
        <f>TEXT(79799, "[$-0E0000]yyyy-mm-dd")</f>
        <v/>
      </c>
    </row>
    <row r="79801">
      <c r="A79801" s="1" t="n">
        <v>79800</v>
      </c>
      <c r="B79801">
        <f>TEXT(79800, "[$-0E0000]yyyy-mm-dd")</f>
        <v/>
      </c>
    </row>
    <row r="79802">
      <c r="A79802" s="1" t="n">
        <v>79801</v>
      </c>
      <c r="B79802">
        <f>TEXT(79801, "[$-0E0000]yyyy-mm-dd")</f>
        <v/>
      </c>
    </row>
    <row r="79803">
      <c r="A79803" s="1" t="n">
        <v>79802</v>
      </c>
      <c r="B79803">
        <f>TEXT(79802, "[$-0E0000]yyyy-mm-dd")</f>
        <v/>
      </c>
    </row>
    <row r="79804">
      <c r="A79804" s="1" t="n">
        <v>79803</v>
      </c>
      <c r="B79804">
        <f>TEXT(79803, "[$-0E0000]yyyy-mm-dd")</f>
        <v/>
      </c>
    </row>
    <row r="79805">
      <c r="A79805" s="1" t="n">
        <v>79804</v>
      </c>
      <c r="B79805">
        <f>TEXT(79804, "[$-0E0000]yyyy-mm-dd")</f>
        <v/>
      </c>
    </row>
    <row r="79806">
      <c r="A79806" s="1" t="n">
        <v>79805</v>
      </c>
      <c r="B79806">
        <f>TEXT(79805, "[$-0E0000]yyyy-mm-dd")</f>
        <v/>
      </c>
    </row>
    <row r="79807">
      <c r="A79807" s="1" t="n">
        <v>79806</v>
      </c>
      <c r="B79807">
        <f>TEXT(79806, "[$-0E0000]yyyy-mm-dd")</f>
        <v/>
      </c>
    </row>
    <row r="79808">
      <c r="A79808" s="1" t="n">
        <v>79807</v>
      </c>
      <c r="B79808">
        <f>TEXT(79807, "[$-0E0000]yyyy-mm-dd")</f>
        <v/>
      </c>
    </row>
    <row r="79809">
      <c r="A79809" s="1" t="n">
        <v>79808</v>
      </c>
      <c r="B79809">
        <f>TEXT(79808, "[$-0E0000]yyyy-mm-dd")</f>
        <v/>
      </c>
    </row>
    <row r="79810">
      <c r="A79810" s="1" t="n">
        <v>79809</v>
      </c>
      <c r="B79810">
        <f>TEXT(79809, "[$-0E0000]yyyy-mm-dd")</f>
        <v/>
      </c>
    </row>
    <row r="79811">
      <c r="A79811" s="1" t="n">
        <v>79810</v>
      </c>
      <c r="B79811">
        <f>TEXT(79810, "[$-0E0000]yyyy-mm-dd")</f>
        <v/>
      </c>
    </row>
    <row r="79812">
      <c r="A79812" s="1" t="n">
        <v>79811</v>
      </c>
      <c r="B79812">
        <f>TEXT(79811, "[$-0E0000]yyyy-mm-dd")</f>
        <v/>
      </c>
    </row>
    <row r="79813">
      <c r="A79813" s="1" t="n">
        <v>79812</v>
      </c>
      <c r="B79813">
        <f>TEXT(79812, "[$-0E0000]yyyy-mm-dd")</f>
        <v/>
      </c>
    </row>
    <row r="79814">
      <c r="A79814" s="1" t="n">
        <v>79813</v>
      </c>
      <c r="B79814">
        <f>TEXT(79813, "[$-0E0000]yyyy-mm-dd")</f>
        <v/>
      </c>
    </row>
    <row r="79815">
      <c r="A79815" s="1" t="n">
        <v>79814</v>
      </c>
      <c r="B79815">
        <f>TEXT(79814, "[$-0E0000]yyyy-mm-dd")</f>
        <v/>
      </c>
    </row>
    <row r="79816">
      <c r="A79816" s="1" t="n">
        <v>79815</v>
      </c>
      <c r="B79816">
        <f>TEXT(79815, "[$-0E0000]yyyy-mm-dd")</f>
        <v/>
      </c>
    </row>
    <row r="79817">
      <c r="A79817" s="1" t="n">
        <v>79816</v>
      </c>
      <c r="B79817">
        <f>TEXT(79816, "[$-0E0000]yyyy-mm-dd")</f>
        <v/>
      </c>
    </row>
    <row r="79818">
      <c r="A79818" s="1" t="n">
        <v>79817</v>
      </c>
      <c r="B79818">
        <f>TEXT(79817, "[$-0E0000]yyyy-mm-dd")</f>
        <v/>
      </c>
    </row>
    <row r="79819">
      <c r="A79819" s="1" t="n">
        <v>79818</v>
      </c>
      <c r="B79819">
        <f>TEXT(79818, "[$-0E0000]yyyy-mm-dd")</f>
        <v/>
      </c>
    </row>
    <row r="79820">
      <c r="A79820" s="1" t="n">
        <v>79819</v>
      </c>
      <c r="B79820">
        <f>TEXT(79819, "[$-0E0000]yyyy-mm-dd")</f>
        <v/>
      </c>
    </row>
    <row r="79821">
      <c r="A79821" s="1" t="n">
        <v>79820</v>
      </c>
      <c r="B79821">
        <f>TEXT(79820, "[$-0E0000]yyyy-mm-dd")</f>
        <v/>
      </c>
    </row>
    <row r="79822">
      <c r="A79822" s="1" t="n">
        <v>79821</v>
      </c>
      <c r="B79822">
        <f>TEXT(79821, "[$-0E0000]yyyy-mm-dd")</f>
        <v/>
      </c>
    </row>
    <row r="79823">
      <c r="A79823" s="1" t="n">
        <v>79822</v>
      </c>
      <c r="B79823">
        <f>TEXT(79822, "[$-0E0000]yyyy-mm-dd")</f>
        <v/>
      </c>
    </row>
    <row r="79824">
      <c r="A79824" s="1" t="n">
        <v>79823</v>
      </c>
      <c r="B79824">
        <f>TEXT(79823, "[$-0E0000]yyyy-mm-dd")</f>
        <v/>
      </c>
    </row>
    <row r="79825">
      <c r="A79825" s="1" t="n">
        <v>79824</v>
      </c>
      <c r="B79825">
        <f>TEXT(79824, "[$-0E0000]yyyy-mm-dd")</f>
        <v/>
      </c>
    </row>
    <row r="79826">
      <c r="A79826" s="1" t="n">
        <v>79825</v>
      </c>
      <c r="B79826">
        <f>TEXT(79825, "[$-0E0000]yyyy-mm-dd")</f>
        <v/>
      </c>
    </row>
    <row r="79827">
      <c r="A79827" s="1" t="n">
        <v>79826</v>
      </c>
      <c r="B79827">
        <f>TEXT(79826, "[$-0E0000]yyyy-mm-dd")</f>
        <v/>
      </c>
    </row>
    <row r="79828">
      <c r="A79828" s="1" t="n">
        <v>79827</v>
      </c>
      <c r="B79828">
        <f>TEXT(79827, "[$-0E0000]yyyy-mm-dd")</f>
        <v/>
      </c>
    </row>
    <row r="79829">
      <c r="A79829" s="1" t="n">
        <v>79828</v>
      </c>
      <c r="B79829">
        <f>TEXT(79828, "[$-0E0000]yyyy-mm-dd")</f>
        <v/>
      </c>
    </row>
    <row r="79830">
      <c r="A79830" s="1" t="n">
        <v>79829</v>
      </c>
      <c r="B79830">
        <f>TEXT(79829, "[$-0E0000]yyyy-mm-dd")</f>
        <v/>
      </c>
    </row>
    <row r="79831">
      <c r="A79831" s="1" t="n">
        <v>79830</v>
      </c>
      <c r="B79831">
        <f>TEXT(79830, "[$-0E0000]yyyy-mm-dd")</f>
        <v/>
      </c>
    </row>
    <row r="79832">
      <c r="A79832" s="1" t="n">
        <v>79831</v>
      </c>
      <c r="B79832">
        <f>TEXT(79831, "[$-0E0000]yyyy-mm-dd")</f>
        <v/>
      </c>
    </row>
    <row r="79833">
      <c r="A79833" s="1" t="n">
        <v>79832</v>
      </c>
      <c r="B79833">
        <f>TEXT(79832, "[$-0E0000]yyyy-mm-dd")</f>
        <v/>
      </c>
    </row>
    <row r="79834">
      <c r="A79834" s="1" t="n">
        <v>79833</v>
      </c>
      <c r="B79834">
        <f>TEXT(79833, "[$-0E0000]yyyy-mm-dd")</f>
        <v/>
      </c>
    </row>
    <row r="79835">
      <c r="A79835" s="1" t="n">
        <v>79834</v>
      </c>
      <c r="B79835">
        <f>TEXT(79834, "[$-0E0000]yyyy-mm-dd")</f>
        <v/>
      </c>
    </row>
    <row r="79836">
      <c r="A79836" s="1" t="n">
        <v>79835</v>
      </c>
      <c r="B79836">
        <f>TEXT(79835, "[$-0E0000]yyyy-mm-dd")</f>
        <v/>
      </c>
    </row>
    <row r="79837">
      <c r="A79837" s="1" t="n">
        <v>79836</v>
      </c>
      <c r="B79837">
        <f>TEXT(79836, "[$-0E0000]yyyy-mm-dd")</f>
        <v/>
      </c>
    </row>
    <row r="79838">
      <c r="A79838" s="1" t="n">
        <v>79837</v>
      </c>
      <c r="B79838">
        <f>TEXT(79837, "[$-0E0000]yyyy-mm-dd")</f>
        <v/>
      </c>
    </row>
    <row r="79839">
      <c r="A79839" s="1" t="n">
        <v>79838</v>
      </c>
      <c r="B79839">
        <f>TEXT(79838, "[$-0E0000]yyyy-mm-dd")</f>
        <v/>
      </c>
    </row>
    <row r="79840">
      <c r="A79840" s="1" t="n">
        <v>79839</v>
      </c>
      <c r="B79840">
        <f>TEXT(79839, "[$-0E0000]yyyy-mm-dd")</f>
        <v/>
      </c>
    </row>
    <row r="79841">
      <c r="A79841" s="1" t="n">
        <v>79840</v>
      </c>
      <c r="B79841">
        <f>TEXT(79840, "[$-0E0000]yyyy-mm-dd")</f>
        <v/>
      </c>
    </row>
    <row r="79842">
      <c r="A79842" s="1" t="n">
        <v>79841</v>
      </c>
      <c r="B79842">
        <f>TEXT(79841, "[$-0E0000]yyyy-mm-dd")</f>
        <v/>
      </c>
    </row>
    <row r="79843">
      <c r="A79843" s="1" t="n">
        <v>79842</v>
      </c>
      <c r="B79843">
        <f>TEXT(79842, "[$-0E0000]yyyy-mm-dd")</f>
        <v/>
      </c>
    </row>
    <row r="79844">
      <c r="A79844" s="1" t="n">
        <v>79843</v>
      </c>
      <c r="B79844">
        <f>TEXT(79843, "[$-0E0000]yyyy-mm-dd")</f>
        <v/>
      </c>
    </row>
    <row r="79845">
      <c r="A79845" s="1" t="n">
        <v>79844</v>
      </c>
      <c r="B79845">
        <f>TEXT(79844, "[$-0E0000]yyyy-mm-dd")</f>
        <v/>
      </c>
    </row>
    <row r="79846">
      <c r="A79846" s="1" t="n">
        <v>79845</v>
      </c>
      <c r="B79846">
        <f>TEXT(79845, "[$-0E0000]yyyy-mm-dd")</f>
        <v/>
      </c>
    </row>
    <row r="79847">
      <c r="A79847" s="1" t="n">
        <v>79846</v>
      </c>
      <c r="B79847">
        <f>TEXT(79846, "[$-0E0000]yyyy-mm-dd")</f>
        <v/>
      </c>
    </row>
    <row r="79848">
      <c r="A79848" s="1" t="n">
        <v>79847</v>
      </c>
      <c r="B79848">
        <f>TEXT(79847, "[$-0E0000]yyyy-mm-dd")</f>
        <v/>
      </c>
    </row>
    <row r="79849">
      <c r="A79849" s="1" t="n">
        <v>79848</v>
      </c>
      <c r="B79849">
        <f>TEXT(79848, "[$-0E0000]yyyy-mm-dd")</f>
        <v/>
      </c>
    </row>
    <row r="79850">
      <c r="A79850" s="1" t="n">
        <v>79849</v>
      </c>
      <c r="B79850">
        <f>TEXT(79849, "[$-0E0000]yyyy-mm-dd")</f>
        <v/>
      </c>
    </row>
    <row r="79851">
      <c r="A79851" s="1" t="n">
        <v>79850</v>
      </c>
      <c r="B79851">
        <f>TEXT(79850, "[$-0E0000]yyyy-mm-dd")</f>
        <v/>
      </c>
    </row>
    <row r="79852">
      <c r="A79852" s="1" t="n">
        <v>79851</v>
      </c>
      <c r="B79852">
        <f>TEXT(79851, "[$-0E0000]yyyy-mm-dd")</f>
        <v/>
      </c>
    </row>
    <row r="79853">
      <c r="A79853" s="1" t="n">
        <v>79852</v>
      </c>
      <c r="B79853">
        <f>TEXT(79852, "[$-0E0000]yyyy-mm-dd")</f>
        <v/>
      </c>
    </row>
    <row r="79854">
      <c r="A79854" s="1" t="n">
        <v>79853</v>
      </c>
      <c r="B79854">
        <f>TEXT(79853, "[$-0E0000]yyyy-mm-dd")</f>
        <v/>
      </c>
    </row>
    <row r="79855">
      <c r="A79855" s="1" t="n">
        <v>79854</v>
      </c>
      <c r="B79855">
        <f>TEXT(79854, "[$-0E0000]yyyy-mm-dd")</f>
        <v/>
      </c>
    </row>
    <row r="79856">
      <c r="A79856" s="1" t="n">
        <v>79855</v>
      </c>
      <c r="B79856">
        <f>TEXT(79855, "[$-0E0000]yyyy-mm-dd")</f>
        <v/>
      </c>
    </row>
    <row r="79857">
      <c r="A79857" s="1" t="n">
        <v>79856</v>
      </c>
      <c r="B79857">
        <f>TEXT(79856, "[$-0E0000]yyyy-mm-dd")</f>
        <v/>
      </c>
    </row>
    <row r="79858">
      <c r="A79858" s="1" t="n">
        <v>79857</v>
      </c>
      <c r="B79858">
        <f>TEXT(79857, "[$-0E0000]yyyy-mm-dd")</f>
        <v/>
      </c>
    </row>
    <row r="79859">
      <c r="A79859" s="1" t="n">
        <v>79858</v>
      </c>
      <c r="B79859">
        <f>TEXT(79858, "[$-0E0000]yyyy-mm-dd")</f>
        <v/>
      </c>
    </row>
    <row r="79860">
      <c r="A79860" s="1" t="n">
        <v>79859</v>
      </c>
      <c r="B79860">
        <f>TEXT(79859, "[$-0E0000]yyyy-mm-dd")</f>
        <v/>
      </c>
    </row>
    <row r="79861">
      <c r="A79861" s="1" t="n">
        <v>79860</v>
      </c>
      <c r="B79861">
        <f>TEXT(79860, "[$-0E0000]yyyy-mm-dd")</f>
        <v/>
      </c>
    </row>
    <row r="79862">
      <c r="A79862" s="1" t="n">
        <v>79861</v>
      </c>
      <c r="B79862">
        <f>TEXT(79861, "[$-0E0000]yyyy-mm-dd")</f>
        <v/>
      </c>
    </row>
    <row r="79863">
      <c r="A79863" s="1" t="n">
        <v>79862</v>
      </c>
      <c r="B79863">
        <f>TEXT(79862, "[$-0E0000]yyyy-mm-dd")</f>
        <v/>
      </c>
    </row>
    <row r="79864">
      <c r="A79864" s="1" t="n">
        <v>79863</v>
      </c>
      <c r="B79864">
        <f>TEXT(79863, "[$-0E0000]yyyy-mm-dd")</f>
        <v/>
      </c>
    </row>
    <row r="79865">
      <c r="A79865" s="1" t="n">
        <v>79864</v>
      </c>
      <c r="B79865">
        <f>TEXT(79864, "[$-0E0000]yyyy-mm-dd")</f>
        <v/>
      </c>
    </row>
    <row r="79866">
      <c r="A79866" s="1" t="n">
        <v>79865</v>
      </c>
      <c r="B79866">
        <f>TEXT(79865, "[$-0E0000]yyyy-mm-dd")</f>
        <v/>
      </c>
    </row>
    <row r="79867">
      <c r="A79867" s="1" t="n">
        <v>79866</v>
      </c>
      <c r="B79867">
        <f>TEXT(79866, "[$-0E0000]yyyy-mm-dd")</f>
        <v/>
      </c>
    </row>
    <row r="79868">
      <c r="A79868" s="1" t="n">
        <v>79867</v>
      </c>
      <c r="B79868">
        <f>TEXT(79867, "[$-0E0000]yyyy-mm-dd")</f>
        <v/>
      </c>
    </row>
    <row r="79869">
      <c r="A79869" s="1" t="n">
        <v>79868</v>
      </c>
      <c r="B79869">
        <f>TEXT(79868, "[$-0E0000]yyyy-mm-dd")</f>
        <v/>
      </c>
    </row>
    <row r="79870">
      <c r="A79870" s="1" t="n">
        <v>79869</v>
      </c>
      <c r="B79870">
        <f>TEXT(79869, "[$-0E0000]yyyy-mm-dd")</f>
        <v/>
      </c>
    </row>
    <row r="79871">
      <c r="A79871" s="1" t="n">
        <v>79870</v>
      </c>
      <c r="B79871">
        <f>TEXT(79870, "[$-0E0000]yyyy-mm-dd")</f>
        <v/>
      </c>
    </row>
    <row r="79872">
      <c r="A79872" s="1" t="n">
        <v>79871</v>
      </c>
      <c r="B79872">
        <f>TEXT(79871, "[$-0E0000]yyyy-mm-dd")</f>
        <v/>
      </c>
    </row>
    <row r="79873">
      <c r="A79873" s="1" t="n">
        <v>79872</v>
      </c>
      <c r="B79873">
        <f>TEXT(79872, "[$-0E0000]yyyy-mm-dd")</f>
        <v/>
      </c>
    </row>
    <row r="79874">
      <c r="A79874" s="1" t="n">
        <v>79873</v>
      </c>
      <c r="B79874">
        <f>TEXT(79873, "[$-0E0000]yyyy-mm-dd")</f>
        <v/>
      </c>
    </row>
    <row r="79875">
      <c r="A79875" s="1" t="n">
        <v>79874</v>
      </c>
      <c r="B79875">
        <f>TEXT(79874, "[$-0E0000]yyyy-mm-dd")</f>
        <v/>
      </c>
    </row>
    <row r="79876">
      <c r="A79876" s="1" t="n">
        <v>79875</v>
      </c>
      <c r="B79876">
        <f>TEXT(79875, "[$-0E0000]yyyy-mm-dd")</f>
        <v/>
      </c>
    </row>
    <row r="79877">
      <c r="A79877" s="1" t="n">
        <v>79876</v>
      </c>
      <c r="B79877">
        <f>TEXT(79876, "[$-0E0000]yyyy-mm-dd")</f>
        <v/>
      </c>
    </row>
    <row r="79878">
      <c r="A79878" s="1" t="n">
        <v>79877</v>
      </c>
      <c r="B79878">
        <f>TEXT(79877, "[$-0E0000]yyyy-mm-dd")</f>
        <v/>
      </c>
    </row>
    <row r="79879">
      <c r="A79879" s="1" t="n">
        <v>79878</v>
      </c>
      <c r="B79879">
        <f>TEXT(79878, "[$-0E0000]yyyy-mm-dd")</f>
        <v/>
      </c>
    </row>
    <row r="79880">
      <c r="A79880" s="1" t="n">
        <v>79879</v>
      </c>
      <c r="B79880">
        <f>TEXT(79879, "[$-0E0000]yyyy-mm-dd")</f>
        <v/>
      </c>
    </row>
    <row r="79881">
      <c r="A79881" s="1" t="n">
        <v>79880</v>
      </c>
      <c r="B79881">
        <f>TEXT(79880, "[$-0E0000]yyyy-mm-dd")</f>
        <v/>
      </c>
    </row>
    <row r="79882">
      <c r="A79882" s="1" t="n">
        <v>79881</v>
      </c>
      <c r="B79882">
        <f>TEXT(79881, "[$-0E0000]yyyy-mm-dd")</f>
        <v/>
      </c>
    </row>
    <row r="79883">
      <c r="A79883" s="1" t="n">
        <v>79882</v>
      </c>
      <c r="B79883">
        <f>TEXT(79882, "[$-0E0000]yyyy-mm-dd")</f>
        <v/>
      </c>
    </row>
    <row r="79884">
      <c r="A79884" s="1" t="n">
        <v>79883</v>
      </c>
      <c r="B79884">
        <f>TEXT(79883, "[$-0E0000]yyyy-mm-dd")</f>
        <v/>
      </c>
    </row>
    <row r="79885">
      <c r="A79885" s="1" t="n">
        <v>79884</v>
      </c>
      <c r="B79885">
        <f>TEXT(79884, "[$-0E0000]yyyy-mm-dd")</f>
        <v/>
      </c>
    </row>
    <row r="79886">
      <c r="A79886" s="1" t="n">
        <v>79885</v>
      </c>
      <c r="B79886">
        <f>TEXT(79885, "[$-0E0000]yyyy-mm-dd")</f>
        <v/>
      </c>
    </row>
    <row r="79887">
      <c r="A79887" s="1" t="n">
        <v>79886</v>
      </c>
      <c r="B79887">
        <f>TEXT(79886, "[$-0E0000]yyyy-mm-dd")</f>
        <v/>
      </c>
    </row>
    <row r="79888">
      <c r="A79888" s="1" t="n">
        <v>79887</v>
      </c>
      <c r="B79888">
        <f>TEXT(79887, "[$-0E0000]yyyy-mm-dd")</f>
        <v/>
      </c>
    </row>
    <row r="79889">
      <c r="A79889" s="1" t="n">
        <v>79888</v>
      </c>
      <c r="B79889">
        <f>TEXT(79888, "[$-0E0000]yyyy-mm-dd")</f>
        <v/>
      </c>
    </row>
    <row r="79890">
      <c r="A79890" s="1" t="n">
        <v>79889</v>
      </c>
      <c r="B79890">
        <f>TEXT(79889, "[$-0E0000]yyyy-mm-dd")</f>
        <v/>
      </c>
    </row>
    <row r="79891">
      <c r="A79891" s="1" t="n">
        <v>79890</v>
      </c>
      <c r="B79891">
        <f>TEXT(79890, "[$-0E0000]yyyy-mm-dd")</f>
        <v/>
      </c>
    </row>
    <row r="79892">
      <c r="A79892" s="1" t="n">
        <v>79891</v>
      </c>
      <c r="B79892">
        <f>TEXT(79891, "[$-0E0000]yyyy-mm-dd")</f>
        <v/>
      </c>
    </row>
    <row r="79893">
      <c r="A79893" s="1" t="n">
        <v>79892</v>
      </c>
      <c r="B79893">
        <f>TEXT(79892, "[$-0E0000]yyyy-mm-dd")</f>
        <v/>
      </c>
    </row>
    <row r="79894">
      <c r="A79894" s="1" t="n">
        <v>79893</v>
      </c>
      <c r="B79894">
        <f>TEXT(79893, "[$-0E0000]yyyy-mm-dd")</f>
        <v/>
      </c>
    </row>
    <row r="79895">
      <c r="A79895" s="1" t="n">
        <v>79894</v>
      </c>
      <c r="B79895">
        <f>TEXT(79894, "[$-0E0000]yyyy-mm-dd")</f>
        <v/>
      </c>
    </row>
    <row r="79896">
      <c r="A79896" s="1" t="n">
        <v>79895</v>
      </c>
      <c r="B79896">
        <f>TEXT(79895, "[$-0E0000]yyyy-mm-dd")</f>
        <v/>
      </c>
    </row>
    <row r="79897">
      <c r="A79897" s="1" t="n">
        <v>79896</v>
      </c>
      <c r="B79897">
        <f>TEXT(79896, "[$-0E0000]yyyy-mm-dd")</f>
        <v/>
      </c>
    </row>
    <row r="79898">
      <c r="A79898" s="1" t="n">
        <v>79897</v>
      </c>
      <c r="B79898">
        <f>TEXT(79897, "[$-0E0000]yyyy-mm-dd")</f>
        <v/>
      </c>
    </row>
    <row r="79899">
      <c r="A79899" s="1" t="n">
        <v>79898</v>
      </c>
      <c r="B79899">
        <f>TEXT(79898, "[$-0E0000]yyyy-mm-dd")</f>
        <v/>
      </c>
    </row>
    <row r="79900">
      <c r="A79900" s="1" t="n">
        <v>79899</v>
      </c>
      <c r="B79900">
        <f>TEXT(79899, "[$-0E0000]yyyy-mm-dd")</f>
        <v/>
      </c>
    </row>
    <row r="79901">
      <c r="A79901" s="1" t="n">
        <v>79900</v>
      </c>
      <c r="B79901">
        <f>TEXT(79900, "[$-0E0000]yyyy-mm-dd")</f>
        <v/>
      </c>
    </row>
    <row r="79902">
      <c r="A79902" s="1" t="n">
        <v>79901</v>
      </c>
      <c r="B79902">
        <f>TEXT(79901, "[$-0E0000]yyyy-mm-dd")</f>
        <v/>
      </c>
    </row>
    <row r="79903">
      <c r="A79903" s="1" t="n">
        <v>79902</v>
      </c>
      <c r="B79903">
        <f>TEXT(79902, "[$-0E0000]yyyy-mm-dd")</f>
        <v/>
      </c>
    </row>
    <row r="79904">
      <c r="A79904" s="1" t="n">
        <v>79903</v>
      </c>
      <c r="B79904">
        <f>TEXT(79903, "[$-0E0000]yyyy-mm-dd")</f>
        <v/>
      </c>
    </row>
    <row r="79905">
      <c r="A79905" s="1" t="n">
        <v>79904</v>
      </c>
      <c r="B79905">
        <f>TEXT(79904, "[$-0E0000]yyyy-mm-dd")</f>
        <v/>
      </c>
    </row>
    <row r="79906">
      <c r="A79906" s="1" t="n">
        <v>79905</v>
      </c>
      <c r="B79906">
        <f>TEXT(79905, "[$-0E0000]yyyy-mm-dd")</f>
        <v/>
      </c>
    </row>
    <row r="79907">
      <c r="A79907" s="1" t="n">
        <v>79906</v>
      </c>
      <c r="B79907">
        <f>TEXT(79906, "[$-0E0000]yyyy-mm-dd")</f>
        <v/>
      </c>
    </row>
    <row r="79908">
      <c r="A79908" s="1" t="n">
        <v>79907</v>
      </c>
      <c r="B79908">
        <f>TEXT(79907, "[$-0E0000]yyyy-mm-dd")</f>
        <v/>
      </c>
    </row>
    <row r="79909">
      <c r="A79909" s="1" t="n">
        <v>79908</v>
      </c>
      <c r="B79909">
        <f>TEXT(79908, "[$-0E0000]yyyy-mm-dd")</f>
        <v/>
      </c>
    </row>
    <row r="79910">
      <c r="A79910" s="1" t="n">
        <v>79909</v>
      </c>
      <c r="B79910">
        <f>TEXT(79909, "[$-0E0000]yyyy-mm-dd")</f>
        <v/>
      </c>
    </row>
    <row r="79911">
      <c r="A79911" s="1" t="n">
        <v>79910</v>
      </c>
      <c r="B79911">
        <f>TEXT(79910, "[$-0E0000]yyyy-mm-dd")</f>
        <v/>
      </c>
    </row>
    <row r="79912">
      <c r="A79912" s="1" t="n">
        <v>79911</v>
      </c>
      <c r="B79912">
        <f>TEXT(79911, "[$-0E0000]yyyy-mm-dd")</f>
        <v/>
      </c>
    </row>
    <row r="79913">
      <c r="A79913" s="1" t="n">
        <v>79912</v>
      </c>
      <c r="B79913">
        <f>TEXT(79912, "[$-0E0000]yyyy-mm-dd")</f>
        <v/>
      </c>
    </row>
    <row r="79914">
      <c r="A79914" s="1" t="n">
        <v>79913</v>
      </c>
      <c r="B79914">
        <f>TEXT(79913, "[$-0E0000]yyyy-mm-dd")</f>
        <v/>
      </c>
    </row>
    <row r="79915">
      <c r="A79915" s="1" t="n">
        <v>79914</v>
      </c>
      <c r="B79915">
        <f>TEXT(79914, "[$-0E0000]yyyy-mm-dd")</f>
        <v/>
      </c>
    </row>
    <row r="79916">
      <c r="A79916" s="1" t="n">
        <v>79915</v>
      </c>
      <c r="B79916">
        <f>TEXT(79915, "[$-0E0000]yyyy-mm-dd")</f>
        <v/>
      </c>
    </row>
    <row r="79917">
      <c r="A79917" s="1" t="n">
        <v>79916</v>
      </c>
      <c r="B79917">
        <f>TEXT(79916, "[$-0E0000]yyyy-mm-dd")</f>
        <v/>
      </c>
    </row>
    <row r="79918">
      <c r="A79918" s="1" t="n">
        <v>79917</v>
      </c>
      <c r="B79918">
        <f>TEXT(79917, "[$-0E0000]yyyy-mm-dd")</f>
        <v/>
      </c>
    </row>
    <row r="79919">
      <c r="A79919" s="1" t="n">
        <v>79918</v>
      </c>
      <c r="B79919">
        <f>TEXT(79918, "[$-0E0000]yyyy-mm-dd")</f>
        <v/>
      </c>
    </row>
    <row r="79920">
      <c r="A79920" s="1" t="n">
        <v>79919</v>
      </c>
      <c r="B79920">
        <f>TEXT(79919, "[$-0E0000]yyyy-mm-dd")</f>
        <v/>
      </c>
    </row>
    <row r="79921">
      <c r="A79921" s="1" t="n">
        <v>79920</v>
      </c>
      <c r="B79921">
        <f>TEXT(79920, "[$-0E0000]yyyy-mm-dd")</f>
        <v/>
      </c>
    </row>
    <row r="79922">
      <c r="A79922" s="1" t="n">
        <v>79921</v>
      </c>
      <c r="B79922">
        <f>TEXT(79921, "[$-0E0000]yyyy-mm-dd")</f>
        <v/>
      </c>
    </row>
    <row r="79923">
      <c r="A79923" s="1" t="n">
        <v>79922</v>
      </c>
      <c r="B79923">
        <f>TEXT(79922, "[$-0E0000]yyyy-mm-dd")</f>
        <v/>
      </c>
    </row>
    <row r="79924">
      <c r="A79924" s="1" t="n">
        <v>79923</v>
      </c>
      <c r="B79924">
        <f>TEXT(79923, "[$-0E0000]yyyy-mm-dd")</f>
        <v/>
      </c>
    </row>
    <row r="79925">
      <c r="A79925" s="1" t="n">
        <v>79924</v>
      </c>
      <c r="B79925">
        <f>TEXT(79924, "[$-0E0000]yyyy-mm-dd")</f>
        <v/>
      </c>
    </row>
    <row r="79926">
      <c r="A79926" s="1" t="n">
        <v>79925</v>
      </c>
      <c r="B79926">
        <f>TEXT(79925, "[$-0E0000]yyyy-mm-dd")</f>
        <v/>
      </c>
    </row>
    <row r="79927">
      <c r="A79927" s="1" t="n">
        <v>79926</v>
      </c>
      <c r="B79927">
        <f>TEXT(79926, "[$-0E0000]yyyy-mm-dd")</f>
        <v/>
      </c>
    </row>
    <row r="79928">
      <c r="A79928" s="1" t="n">
        <v>79927</v>
      </c>
      <c r="B79928">
        <f>TEXT(79927, "[$-0E0000]yyyy-mm-dd")</f>
        <v/>
      </c>
    </row>
    <row r="79929">
      <c r="A79929" s="1" t="n">
        <v>79928</v>
      </c>
      <c r="B79929">
        <f>TEXT(79928, "[$-0E0000]yyyy-mm-dd")</f>
        <v/>
      </c>
    </row>
    <row r="79930">
      <c r="A79930" s="1" t="n">
        <v>79929</v>
      </c>
      <c r="B79930">
        <f>TEXT(79929, "[$-0E0000]yyyy-mm-dd")</f>
        <v/>
      </c>
    </row>
    <row r="79931">
      <c r="A79931" s="1" t="n">
        <v>79930</v>
      </c>
      <c r="B79931">
        <f>TEXT(79930, "[$-0E0000]yyyy-mm-dd")</f>
        <v/>
      </c>
    </row>
    <row r="79932">
      <c r="A79932" s="1" t="n">
        <v>79931</v>
      </c>
      <c r="B79932">
        <f>TEXT(79931, "[$-0E0000]yyyy-mm-dd")</f>
        <v/>
      </c>
    </row>
    <row r="79933">
      <c r="A79933" s="1" t="n">
        <v>79932</v>
      </c>
      <c r="B79933">
        <f>TEXT(79932, "[$-0E0000]yyyy-mm-dd")</f>
        <v/>
      </c>
    </row>
    <row r="79934">
      <c r="A79934" s="1" t="n">
        <v>79933</v>
      </c>
      <c r="B79934">
        <f>TEXT(79933, "[$-0E0000]yyyy-mm-dd")</f>
        <v/>
      </c>
    </row>
    <row r="79935">
      <c r="A79935" s="1" t="n">
        <v>79934</v>
      </c>
      <c r="B79935">
        <f>TEXT(79934, "[$-0E0000]yyyy-mm-dd")</f>
        <v/>
      </c>
    </row>
    <row r="79936">
      <c r="A79936" s="1" t="n">
        <v>79935</v>
      </c>
      <c r="B79936">
        <f>TEXT(79935, "[$-0E0000]yyyy-mm-dd")</f>
        <v/>
      </c>
    </row>
    <row r="79937">
      <c r="A79937" s="1" t="n">
        <v>79936</v>
      </c>
      <c r="B79937">
        <f>TEXT(79936, "[$-0E0000]yyyy-mm-dd")</f>
        <v/>
      </c>
    </row>
    <row r="79938">
      <c r="A79938" s="1" t="n">
        <v>79937</v>
      </c>
      <c r="B79938">
        <f>TEXT(79937, "[$-0E0000]yyyy-mm-dd")</f>
        <v/>
      </c>
    </row>
    <row r="79939">
      <c r="A79939" s="1" t="n">
        <v>79938</v>
      </c>
      <c r="B79939">
        <f>TEXT(79938, "[$-0E0000]yyyy-mm-dd")</f>
        <v/>
      </c>
    </row>
    <row r="79940">
      <c r="A79940" s="1" t="n">
        <v>79939</v>
      </c>
      <c r="B79940">
        <f>TEXT(79939, "[$-0E0000]yyyy-mm-dd")</f>
        <v/>
      </c>
    </row>
    <row r="79941">
      <c r="A79941" s="1" t="n">
        <v>79940</v>
      </c>
      <c r="B79941">
        <f>TEXT(79940, "[$-0E0000]yyyy-mm-dd")</f>
        <v/>
      </c>
    </row>
    <row r="79942">
      <c r="A79942" s="1" t="n">
        <v>79941</v>
      </c>
      <c r="B79942">
        <f>TEXT(79941, "[$-0E0000]yyyy-mm-dd")</f>
        <v/>
      </c>
    </row>
    <row r="79943">
      <c r="A79943" s="1" t="n">
        <v>79942</v>
      </c>
      <c r="B79943">
        <f>TEXT(79942, "[$-0E0000]yyyy-mm-dd")</f>
        <v/>
      </c>
    </row>
    <row r="79944">
      <c r="A79944" s="1" t="n">
        <v>79943</v>
      </c>
      <c r="B79944">
        <f>TEXT(79943, "[$-0E0000]yyyy-mm-dd")</f>
        <v/>
      </c>
    </row>
    <row r="79945">
      <c r="A79945" s="1" t="n">
        <v>79944</v>
      </c>
      <c r="B79945">
        <f>TEXT(79944, "[$-0E0000]yyyy-mm-dd")</f>
        <v/>
      </c>
    </row>
    <row r="79946">
      <c r="A79946" s="1" t="n">
        <v>79945</v>
      </c>
      <c r="B79946">
        <f>TEXT(79945, "[$-0E0000]yyyy-mm-dd")</f>
        <v/>
      </c>
    </row>
    <row r="79947">
      <c r="A79947" s="1" t="n">
        <v>79946</v>
      </c>
      <c r="B79947">
        <f>TEXT(79946, "[$-0E0000]yyyy-mm-dd")</f>
        <v/>
      </c>
    </row>
    <row r="79948">
      <c r="A79948" s="1" t="n">
        <v>79947</v>
      </c>
      <c r="B79948">
        <f>TEXT(79947, "[$-0E0000]yyyy-mm-dd")</f>
        <v/>
      </c>
    </row>
    <row r="79949">
      <c r="A79949" s="1" t="n">
        <v>79948</v>
      </c>
      <c r="B79949">
        <f>TEXT(79948, "[$-0E0000]yyyy-mm-dd")</f>
        <v/>
      </c>
    </row>
    <row r="79950">
      <c r="A79950" s="1" t="n">
        <v>79949</v>
      </c>
      <c r="B79950">
        <f>TEXT(79949, "[$-0E0000]yyyy-mm-dd")</f>
        <v/>
      </c>
    </row>
    <row r="79951">
      <c r="A79951" s="1" t="n">
        <v>79950</v>
      </c>
      <c r="B79951">
        <f>TEXT(79950, "[$-0E0000]yyyy-mm-dd")</f>
        <v/>
      </c>
    </row>
    <row r="79952">
      <c r="A79952" s="1" t="n">
        <v>79951</v>
      </c>
      <c r="B79952">
        <f>TEXT(79951, "[$-0E0000]yyyy-mm-dd")</f>
        <v/>
      </c>
    </row>
    <row r="79953">
      <c r="A79953" s="1" t="n">
        <v>79952</v>
      </c>
      <c r="B79953">
        <f>TEXT(79952, "[$-0E0000]yyyy-mm-dd")</f>
        <v/>
      </c>
    </row>
    <row r="79954">
      <c r="A79954" s="1" t="n">
        <v>79953</v>
      </c>
      <c r="B79954">
        <f>TEXT(79953, "[$-0E0000]yyyy-mm-dd")</f>
        <v/>
      </c>
    </row>
    <row r="79955">
      <c r="A79955" s="1" t="n">
        <v>79954</v>
      </c>
      <c r="B79955">
        <f>TEXT(79954, "[$-0E0000]yyyy-mm-dd")</f>
        <v/>
      </c>
    </row>
    <row r="79956">
      <c r="A79956" s="1" t="n">
        <v>79955</v>
      </c>
      <c r="B79956">
        <f>TEXT(79955, "[$-0E0000]yyyy-mm-dd")</f>
        <v/>
      </c>
    </row>
    <row r="79957">
      <c r="A79957" s="1" t="n">
        <v>79956</v>
      </c>
      <c r="B79957">
        <f>TEXT(79956, "[$-0E0000]yyyy-mm-dd")</f>
        <v/>
      </c>
    </row>
    <row r="79958">
      <c r="A79958" s="1" t="n">
        <v>79957</v>
      </c>
      <c r="B79958">
        <f>TEXT(79957, "[$-0E0000]yyyy-mm-dd")</f>
        <v/>
      </c>
    </row>
    <row r="79959">
      <c r="A79959" s="1" t="n">
        <v>79958</v>
      </c>
      <c r="B79959">
        <f>TEXT(79958, "[$-0E0000]yyyy-mm-dd")</f>
        <v/>
      </c>
    </row>
    <row r="79960">
      <c r="A79960" s="1" t="n">
        <v>79959</v>
      </c>
      <c r="B79960">
        <f>TEXT(79959, "[$-0E0000]yyyy-mm-dd")</f>
        <v/>
      </c>
    </row>
    <row r="79961">
      <c r="A79961" s="1" t="n">
        <v>79960</v>
      </c>
      <c r="B79961">
        <f>TEXT(79960, "[$-0E0000]yyyy-mm-dd")</f>
        <v/>
      </c>
    </row>
    <row r="79962">
      <c r="A79962" s="1" t="n">
        <v>79961</v>
      </c>
      <c r="B79962">
        <f>TEXT(79961, "[$-0E0000]yyyy-mm-dd")</f>
        <v/>
      </c>
    </row>
    <row r="79963">
      <c r="A79963" s="1" t="n">
        <v>79962</v>
      </c>
      <c r="B79963">
        <f>TEXT(79962, "[$-0E0000]yyyy-mm-dd")</f>
        <v/>
      </c>
    </row>
    <row r="79964">
      <c r="A79964" s="1" t="n">
        <v>79963</v>
      </c>
      <c r="B79964">
        <f>TEXT(79963, "[$-0E0000]yyyy-mm-dd")</f>
        <v/>
      </c>
    </row>
    <row r="79965">
      <c r="A79965" s="1" t="n">
        <v>79964</v>
      </c>
      <c r="B79965">
        <f>TEXT(79964, "[$-0E0000]yyyy-mm-dd")</f>
        <v/>
      </c>
    </row>
    <row r="79966">
      <c r="A79966" s="1" t="n">
        <v>79965</v>
      </c>
      <c r="B79966">
        <f>TEXT(79965, "[$-0E0000]yyyy-mm-dd")</f>
        <v/>
      </c>
    </row>
    <row r="79967">
      <c r="A79967" s="1" t="n">
        <v>79966</v>
      </c>
      <c r="B79967">
        <f>TEXT(79966, "[$-0E0000]yyyy-mm-dd")</f>
        <v/>
      </c>
    </row>
    <row r="79968">
      <c r="A79968" s="1" t="n">
        <v>79967</v>
      </c>
      <c r="B79968">
        <f>TEXT(79967, "[$-0E0000]yyyy-mm-dd")</f>
        <v/>
      </c>
    </row>
    <row r="79969">
      <c r="A79969" s="1" t="n">
        <v>79968</v>
      </c>
      <c r="B79969">
        <f>TEXT(79968, "[$-0E0000]yyyy-mm-dd")</f>
        <v/>
      </c>
    </row>
    <row r="79970">
      <c r="A79970" s="1" t="n">
        <v>79969</v>
      </c>
      <c r="B79970">
        <f>TEXT(79969, "[$-0E0000]yyyy-mm-dd")</f>
        <v/>
      </c>
    </row>
    <row r="79971">
      <c r="A79971" s="1" t="n">
        <v>79970</v>
      </c>
      <c r="B79971">
        <f>TEXT(79970, "[$-0E0000]yyyy-mm-dd")</f>
        <v/>
      </c>
    </row>
    <row r="79972">
      <c r="A79972" s="1" t="n">
        <v>79971</v>
      </c>
      <c r="B79972">
        <f>TEXT(79971, "[$-0E0000]yyyy-mm-dd")</f>
        <v/>
      </c>
    </row>
    <row r="79973">
      <c r="A79973" s="1" t="n">
        <v>79972</v>
      </c>
      <c r="B79973">
        <f>TEXT(79972, "[$-0E0000]yyyy-mm-dd")</f>
        <v/>
      </c>
    </row>
    <row r="79974">
      <c r="A79974" s="1" t="n">
        <v>79973</v>
      </c>
      <c r="B79974">
        <f>TEXT(79973, "[$-0E0000]yyyy-mm-dd")</f>
        <v/>
      </c>
    </row>
    <row r="79975">
      <c r="A79975" s="1" t="n">
        <v>79974</v>
      </c>
      <c r="B79975">
        <f>TEXT(79974, "[$-0E0000]yyyy-mm-dd")</f>
        <v/>
      </c>
    </row>
    <row r="79976">
      <c r="A79976" s="1" t="n">
        <v>79975</v>
      </c>
      <c r="B79976">
        <f>TEXT(79975, "[$-0E0000]yyyy-mm-dd")</f>
        <v/>
      </c>
    </row>
    <row r="79977">
      <c r="A79977" s="1" t="n">
        <v>79976</v>
      </c>
      <c r="B79977">
        <f>TEXT(79976, "[$-0E0000]yyyy-mm-dd")</f>
        <v/>
      </c>
    </row>
    <row r="79978">
      <c r="A79978" s="1" t="n">
        <v>79977</v>
      </c>
      <c r="B79978">
        <f>TEXT(79977, "[$-0E0000]yyyy-mm-dd")</f>
        <v/>
      </c>
    </row>
    <row r="79979">
      <c r="A79979" s="1" t="n">
        <v>79978</v>
      </c>
      <c r="B79979">
        <f>TEXT(79978, "[$-0E0000]yyyy-mm-dd")</f>
        <v/>
      </c>
    </row>
    <row r="79980">
      <c r="A79980" s="1" t="n">
        <v>79979</v>
      </c>
      <c r="B79980">
        <f>TEXT(79979, "[$-0E0000]yyyy-mm-dd")</f>
        <v/>
      </c>
    </row>
    <row r="79981">
      <c r="A79981" s="1" t="n">
        <v>79980</v>
      </c>
      <c r="B79981">
        <f>TEXT(79980, "[$-0E0000]yyyy-mm-dd")</f>
        <v/>
      </c>
    </row>
    <row r="79982">
      <c r="A79982" s="1" t="n">
        <v>79981</v>
      </c>
      <c r="B79982">
        <f>TEXT(79981, "[$-0E0000]yyyy-mm-dd")</f>
        <v/>
      </c>
    </row>
    <row r="79983">
      <c r="A79983" s="1" t="n">
        <v>79982</v>
      </c>
      <c r="B79983">
        <f>TEXT(79982, "[$-0E0000]yyyy-mm-dd")</f>
        <v/>
      </c>
    </row>
    <row r="79984">
      <c r="A79984" s="1" t="n">
        <v>79983</v>
      </c>
      <c r="B79984">
        <f>TEXT(79983, "[$-0E0000]yyyy-mm-dd")</f>
        <v/>
      </c>
    </row>
    <row r="79985">
      <c r="A79985" s="1" t="n">
        <v>79984</v>
      </c>
      <c r="B79985">
        <f>TEXT(79984, "[$-0E0000]yyyy-mm-dd")</f>
        <v/>
      </c>
    </row>
    <row r="79986">
      <c r="A79986" s="1" t="n">
        <v>79985</v>
      </c>
      <c r="B79986">
        <f>TEXT(79985, "[$-0E0000]yyyy-mm-dd")</f>
        <v/>
      </c>
    </row>
    <row r="79987">
      <c r="A79987" s="1" t="n">
        <v>79986</v>
      </c>
      <c r="B79987">
        <f>TEXT(79986, "[$-0E0000]yyyy-mm-dd")</f>
        <v/>
      </c>
    </row>
    <row r="79988">
      <c r="A79988" s="1" t="n">
        <v>79987</v>
      </c>
      <c r="B79988">
        <f>TEXT(79987, "[$-0E0000]yyyy-mm-dd")</f>
        <v/>
      </c>
    </row>
    <row r="79989">
      <c r="A79989" s="1" t="n">
        <v>79988</v>
      </c>
      <c r="B79989">
        <f>TEXT(79988, "[$-0E0000]yyyy-mm-dd")</f>
        <v/>
      </c>
    </row>
    <row r="79990">
      <c r="A79990" s="1" t="n">
        <v>79989</v>
      </c>
      <c r="B79990">
        <f>TEXT(79989, "[$-0E0000]yyyy-mm-dd")</f>
        <v/>
      </c>
    </row>
    <row r="79991">
      <c r="A79991" s="1" t="n">
        <v>79990</v>
      </c>
      <c r="B79991">
        <f>TEXT(79990, "[$-0E0000]yyyy-mm-dd")</f>
        <v/>
      </c>
    </row>
    <row r="79992">
      <c r="A79992" s="1" t="n">
        <v>79991</v>
      </c>
      <c r="B79992">
        <f>TEXT(79991, "[$-0E0000]yyyy-mm-dd")</f>
        <v/>
      </c>
    </row>
    <row r="79993">
      <c r="A79993" s="1" t="n">
        <v>79992</v>
      </c>
      <c r="B79993">
        <f>TEXT(79992, "[$-0E0000]yyyy-mm-dd")</f>
        <v/>
      </c>
    </row>
    <row r="79994">
      <c r="A79994" s="1" t="n">
        <v>79993</v>
      </c>
      <c r="B79994">
        <f>TEXT(79993, "[$-0E0000]yyyy-mm-dd")</f>
        <v/>
      </c>
    </row>
    <row r="79995">
      <c r="A79995" s="1" t="n">
        <v>79994</v>
      </c>
      <c r="B79995">
        <f>TEXT(79994, "[$-0E0000]yyyy-mm-dd")</f>
        <v/>
      </c>
    </row>
    <row r="79996">
      <c r="A79996" s="1" t="n">
        <v>79995</v>
      </c>
      <c r="B79996">
        <f>TEXT(79995, "[$-0E0000]yyyy-mm-dd")</f>
        <v/>
      </c>
    </row>
    <row r="79997">
      <c r="A79997" s="1" t="n">
        <v>79996</v>
      </c>
      <c r="B79997">
        <f>TEXT(79996, "[$-0E0000]yyyy-mm-dd")</f>
        <v/>
      </c>
    </row>
    <row r="79998">
      <c r="A79998" s="1" t="n">
        <v>79997</v>
      </c>
      <c r="B79998">
        <f>TEXT(79997, "[$-0E0000]yyyy-mm-dd")</f>
        <v/>
      </c>
    </row>
    <row r="79999">
      <c r="A79999" s="1" t="n">
        <v>79998</v>
      </c>
      <c r="B79999">
        <f>TEXT(79998, "[$-0E0000]yyyy-mm-dd")</f>
        <v/>
      </c>
    </row>
    <row r="80000">
      <c r="A80000" s="1" t="n">
        <v>79999</v>
      </c>
      <c r="B80000">
        <f>TEXT(79999, "[$-0E0000]yyyy-mm-dd")</f>
        <v/>
      </c>
    </row>
    <row r="80001">
      <c r="A80001" s="1" t="n">
        <v>80000</v>
      </c>
      <c r="B80001">
        <f>TEXT(80000, "[$-0E0000]yyyy-mm-dd")</f>
        <v/>
      </c>
    </row>
    <row r="80002">
      <c r="A80002" s="1" t="n">
        <v>80001</v>
      </c>
      <c r="B80002">
        <f>TEXT(80001, "[$-0E0000]yyyy-mm-dd")</f>
        <v/>
      </c>
    </row>
    <row r="80003">
      <c r="A80003" s="1" t="n">
        <v>80002</v>
      </c>
      <c r="B80003">
        <f>TEXT(80002, "[$-0E0000]yyyy-mm-dd")</f>
        <v/>
      </c>
    </row>
    <row r="80004">
      <c r="A80004" s="1" t="n">
        <v>80003</v>
      </c>
      <c r="B80004">
        <f>TEXT(80003, "[$-0E0000]yyyy-mm-dd")</f>
        <v/>
      </c>
    </row>
    <row r="80005">
      <c r="A80005" s="1" t="n">
        <v>80004</v>
      </c>
      <c r="B80005">
        <f>TEXT(80004, "[$-0E0000]yyyy-mm-dd")</f>
        <v/>
      </c>
    </row>
    <row r="80006">
      <c r="A80006" s="1" t="n">
        <v>80005</v>
      </c>
      <c r="B80006">
        <f>TEXT(80005, "[$-0E0000]yyyy-mm-dd")</f>
        <v/>
      </c>
    </row>
    <row r="80007">
      <c r="A80007" s="1" t="n">
        <v>80006</v>
      </c>
      <c r="B80007">
        <f>TEXT(80006, "[$-0E0000]yyyy-mm-dd")</f>
        <v/>
      </c>
    </row>
    <row r="80008">
      <c r="A80008" s="1" t="n">
        <v>80007</v>
      </c>
      <c r="B80008">
        <f>TEXT(80007, "[$-0E0000]yyyy-mm-dd")</f>
        <v/>
      </c>
    </row>
    <row r="80009">
      <c r="A80009" s="1" t="n">
        <v>80008</v>
      </c>
      <c r="B80009">
        <f>TEXT(80008, "[$-0E0000]yyyy-mm-dd")</f>
        <v/>
      </c>
    </row>
    <row r="80010">
      <c r="A80010" s="1" t="n">
        <v>80009</v>
      </c>
      <c r="B80010">
        <f>TEXT(80009, "[$-0E0000]yyyy-mm-dd")</f>
        <v/>
      </c>
    </row>
    <row r="80011">
      <c r="A80011" s="1" t="n">
        <v>80010</v>
      </c>
      <c r="B80011">
        <f>TEXT(80010, "[$-0E0000]yyyy-mm-dd")</f>
        <v/>
      </c>
    </row>
    <row r="80012">
      <c r="A80012" s="1" t="n">
        <v>80011</v>
      </c>
      <c r="B80012">
        <f>TEXT(80011, "[$-0E0000]yyyy-mm-dd")</f>
        <v/>
      </c>
    </row>
    <row r="80013">
      <c r="A80013" s="1" t="n">
        <v>80012</v>
      </c>
      <c r="B80013">
        <f>TEXT(80012, "[$-0E0000]yyyy-mm-dd")</f>
        <v/>
      </c>
    </row>
    <row r="80014">
      <c r="A80014" s="1" t="n">
        <v>80013</v>
      </c>
      <c r="B80014">
        <f>TEXT(80013, "[$-0E0000]yyyy-mm-dd")</f>
        <v/>
      </c>
    </row>
    <row r="80015">
      <c r="A80015" s="1" t="n">
        <v>80014</v>
      </c>
      <c r="B80015">
        <f>TEXT(80014, "[$-0E0000]yyyy-mm-dd")</f>
        <v/>
      </c>
    </row>
    <row r="80016">
      <c r="A80016" s="1" t="n">
        <v>80015</v>
      </c>
      <c r="B80016">
        <f>TEXT(80015, "[$-0E0000]yyyy-mm-dd")</f>
        <v/>
      </c>
    </row>
    <row r="80017">
      <c r="A80017" s="1" t="n">
        <v>80016</v>
      </c>
      <c r="B80017">
        <f>TEXT(80016, "[$-0E0000]yyyy-mm-dd")</f>
        <v/>
      </c>
    </row>
    <row r="80018">
      <c r="A80018" s="1" t="n">
        <v>80017</v>
      </c>
      <c r="B80018">
        <f>TEXT(80017, "[$-0E0000]yyyy-mm-dd")</f>
        <v/>
      </c>
    </row>
    <row r="80019">
      <c r="A80019" s="1" t="n">
        <v>80018</v>
      </c>
      <c r="B80019">
        <f>TEXT(80018, "[$-0E0000]yyyy-mm-dd")</f>
        <v/>
      </c>
    </row>
    <row r="80020">
      <c r="A80020" s="1" t="n">
        <v>80019</v>
      </c>
      <c r="B80020">
        <f>TEXT(80019, "[$-0E0000]yyyy-mm-dd")</f>
        <v/>
      </c>
    </row>
    <row r="80021">
      <c r="A80021" s="1" t="n">
        <v>80020</v>
      </c>
      <c r="B80021">
        <f>TEXT(80020, "[$-0E0000]yyyy-mm-dd")</f>
        <v/>
      </c>
    </row>
    <row r="80022">
      <c r="A80022" s="1" t="n">
        <v>80021</v>
      </c>
      <c r="B80022">
        <f>TEXT(80021, "[$-0E0000]yyyy-mm-dd")</f>
        <v/>
      </c>
    </row>
    <row r="80023">
      <c r="A80023" s="1" t="n">
        <v>80022</v>
      </c>
      <c r="B80023">
        <f>TEXT(80022, "[$-0E0000]yyyy-mm-dd")</f>
        <v/>
      </c>
    </row>
    <row r="80024">
      <c r="A80024" s="1" t="n">
        <v>80023</v>
      </c>
      <c r="B80024">
        <f>TEXT(80023, "[$-0E0000]yyyy-mm-dd")</f>
        <v/>
      </c>
    </row>
    <row r="80025">
      <c r="A80025" s="1" t="n">
        <v>80024</v>
      </c>
      <c r="B80025">
        <f>TEXT(80024, "[$-0E0000]yyyy-mm-dd")</f>
        <v/>
      </c>
    </row>
    <row r="80026">
      <c r="A80026" s="1" t="n">
        <v>80025</v>
      </c>
      <c r="B80026">
        <f>TEXT(80025, "[$-0E0000]yyyy-mm-dd")</f>
        <v/>
      </c>
    </row>
    <row r="80027">
      <c r="A80027" s="1" t="n">
        <v>80026</v>
      </c>
      <c r="B80027">
        <f>TEXT(80026, "[$-0E0000]yyyy-mm-dd")</f>
        <v/>
      </c>
    </row>
    <row r="80028">
      <c r="A80028" s="1" t="n">
        <v>80027</v>
      </c>
      <c r="B80028">
        <f>TEXT(80027, "[$-0E0000]yyyy-mm-dd")</f>
        <v/>
      </c>
    </row>
    <row r="80029">
      <c r="A80029" s="1" t="n">
        <v>80028</v>
      </c>
      <c r="B80029">
        <f>TEXT(80028, "[$-0E0000]yyyy-mm-dd")</f>
        <v/>
      </c>
    </row>
    <row r="80030">
      <c r="A80030" s="1" t="n">
        <v>80029</v>
      </c>
      <c r="B80030">
        <f>TEXT(80029, "[$-0E0000]yyyy-mm-dd")</f>
        <v/>
      </c>
    </row>
    <row r="80031">
      <c r="A80031" s="1" t="n">
        <v>80030</v>
      </c>
      <c r="B80031">
        <f>TEXT(80030, "[$-0E0000]yyyy-mm-dd")</f>
        <v/>
      </c>
    </row>
    <row r="80032">
      <c r="A80032" s="1" t="n">
        <v>80031</v>
      </c>
      <c r="B80032">
        <f>TEXT(80031, "[$-0E0000]yyyy-mm-dd")</f>
        <v/>
      </c>
    </row>
    <row r="80033">
      <c r="A80033" s="1" t="n">
        <v>80032</v>
      </c>
      <c r="B80033">
        <f>TEXT(80032, "[$-0E0000]yyyy-mm-dd")</f>
        <v/>
      </c>
    </row>
    <row r="80034">
      <c r="A80034" s="1" t="n">
        <v>80033</v>
      </c>
      <c r="B80034">
        <f>TEXT(80033, "[$-0E0000]yyyy-mm-dd")</f>
        <v/>
      </c>
    </row>
    <row r="80035">
      <c r="A80035" s="1" t="n">
        <v>80034</v>
      </c>
      <c r="B80035">
        <f>TEXT(80034, "[$-0E0000]yyyy-mm-dd")</f>
        <v/>
      </c>
    </row>
    <row r="80036">
      <c r="A80036" s="1" t="n">
        <v>80035</v>
      </c>
      <c r="B80036">
        <f>TEXT(80035, "[$-0E0000]yyyy-mm-dd")</f>
        <v/>
      </c>
    </row>
    <row r="80037">
      <c r="A80037" s="1" t="n">
        <v>80036</v>
      </c>
      <c r="B80037">
        <f>TEXT(80036, "[$-0E0000]yyyy-mm-dd")</f>
        <v/>
      </c>
    </row>
    <row r="80038">
      <c r="A80038" s="1" t="n">
        <v>80037</v>
      </c>
      <c r="B80038">
        <f>TEXT(80037, "[$-0E0000]yyyy-mm-dd")</f>
        <v/>
      </c>
    </row>
    <row r="80039">
      <c r="A80039" s="1" t="n">
        <v>80038</v>
      </c>
      <c r="B80039">
        <f>TEXT(80038, "[$-0E0000]yyyy-mm-dd")</f>
        <v/>
      </c>
    </row>
    <row r="80040">
      <c r="A80040" s="1" t="n">
        <v>80039</v>
      </c>
      <c r="B80040">
        <f>TEXT(80039, "[$-0E0000]yyyy-mm-dd")</f>
        <v/>
      </c>
    </row>
    <row r="80041">
      <c r="A80041" s="1" t="n">
        <v>80040</v>
      </c>
      <c r="B80041">
        <f>TEXT(80040, "[$-0E0000]yyyy-mm-dd")</f>
        <v/>
      </c>
    </row>
    <row r="80042">
      <c r="A80042" s="1" t="n">
        <v>80041</v>
      </c>
      <c r="B80042">
        <f>TEXT(80041, "[$-0E0000]yyyy-mm-dd")</f>
        <v/>
      </c>
    </row>
    <row r="80043">
      <c r="A80043" s="1" t="n">
        <v>80042</v>
      </c>
      <c r="B80043">
        <f>TEXT(80042, "[$-0E0000]yyyy-mm-dd")</f>
        <v/>
      </c>
    </row>
    <row r="80044">
      <c r="A80044" s="1" t="n">
        <v>80043</v>
      </c>
      <c r="B80044">
        <f>TEXT(80043, "[$-0E0000]yyyy-mm-dd")</f>
        <v/>
      </c>
    </row>
    <row r="80045">
      <c r="A80045" s="1" t="n">
        <v>80044</v>
      </c>
      <c r="B80045">
        <f>TEXT(80044, "[$-0E0000]yyyy-mm-dd")</f>
        <v/>
      </c>
    </row>
    <row r="80046">
      <c r="A80046" s="1" t="n">
        <v>80045</v>
      </c>
      <c r="B80046">
        <f>TEXT(80045, "[$-0E0000]yyyy-mm-dd")</f>
        <v/>
      </c>
    </row>
    <row r="80047">
      <c r="A80047" s="1" t="n">
        <v>80046</v>
      </c>
      <c r="B80047">
        <f>TEXT(80046, "[$-0E0000]yyyy-mm-dd")</f>
        <v/>
      </c>
    </row>
    <row r="80048">
      <c r="A80048" s="1" t="n">
        <v>80047</v>
      </c>
      <c r="B80048">
        <f>TEXT(80047, "[$-0E0000]yyyy-mm-dd")</f>
        <v/>
      </c>
    </row>
    <row r="80049">
      <c r="A80049" s="1" t="n">
        <v>80048</v>
      </c>
      <c r="B80049">
        <f>TEXT(80048, "[$-0E0000]yyyy-mm-dd")</f>
        <v/>
      </c>
    </row>
    <row r="80050">
      <c r="A80050" s="1" t="n">
        <v>80049</v>
      </c>
      <c r="B80050">
        <f>TEXT(80049, "[$-0E0000]yyyy-mm-dd")</f>
        <v/>
      </c>
    </row>
    <row r="80051">
      <c r="A80051" s="1" t="n">
        <v>80050</v>
      </c>
      <c r="B80051">
        <f>TEXT(80050, "[$-0E0000]yyyy-mm-dd")</f>
        <v/>
      </c>
    </row>
    <row r="80052">
      <c r="A80052" s="1" t="n">
        <v>80051</v>
      </c>
      <c r="B80052">
        <f>TEXT(80051, "[$-0E0000]yyyy-mm-dd")</f>
        <v/>
      </c>
    </row>
    <row r="80053">
      <c r="A80053" s="1" t="n">
        <v>80052</v>
      </c>
      <c r="B80053">
        <f>TEXT(80052, "[$-0E0000]yyyy-mm-dd")</f>
        <v/>
      </c>
    </row>
    <row r="80054">
      <c r="A80054" s="1" t="n">
        <v>80053</v>
      </c>
      <c r="B80054">
        <f>TEXT(80053, "[$-0E0000]yyyy-mm-dd")</f>
        <v/>
      </c>
    </row>
    <row r="80055">
      <c r="A80055" s="1" t="n">
        <v>80054</v>
      </c>
      <c r="B80055">
        <f>TEXT(80054, "[$-0E0000]yyyy-mm-dd")</f>
        <v/>
      </c>
    </row>
    <row r="80056">
      <c r="A80056" s="1" t="n">
        <v>80055</v>
      </c>
      <c r="B80056">
        <f>TEXT(80055, "[$-0E0000]yyyy-mm-dd")</f>
        <v/>
      </c>
    </row>
    <row r="80057">
      <c r="A80057" s="1" t="n">
        <v>80056</v>
      </c>
      <c r="B80057">
        <f>TEXT(80056, "[$-0E0000]yyyy-mm-dd")</f>
        <v/>
      </c>
    </row>
    <row r="80058">
      <c r="A80058" s="1" t="n">
        <v>80057</v>
      </c>
      <c r="B80058">
        <f>TEXT(80057, "[$-0E0000]yyyy-mm-dd")</f>
        <v/>
      </c>
    </row>
    <row r="80059">
      <c r="A80059" s="1" t="n">
        <v>80058</v>
      </c>
      <c r="B80059">
        <f>TEXT(80058, "[$-0E0000]yyyy-mm-dd")</f>
        <v/>
      </c>
    </row>
    <row r="80060">
      <c r="A80060" s="1" t="n">
        <v>80059</v>
      </c>
      <c r="B80060">
        <f>TEXT(80059, "[$-0E0000]yyyy-mm-dd")</f>
        <v/>
      </c>
    </row>
    <row r="80061">
      <c r="A80061" s="1" t="n">
        <v>80060</v>
      </c>
      <c r="B80061">
        <f>TEXT(80060, "[$-0E0000]yyyy-mm-dd")</f>
        <v/>
      </c>
    </row>
    <row r="80062">
      <c r="A80062" s="1" t="n">
        <v>80061</v>
      </c>
      <c r="B80062">
        <f>TEXT(80061, "[$-0E0000]yyyy-mm-dd")</f>
        <v/>
      </c>
    </row>
    <row r="80063">
      <c r="A80063" s="1" t="n">
        <v>80062</v>
      </c>
      <c r="B80063">
        <f>TEXT(80062, "[$-0E0000]yyyy-mm-dd")</f>
        <v/>
      </c>
    </row>
    <row r="80064">
      <c r="A80064" s="1" t="n">
        <v>80063</v>
      </c>
      <c r="B80064">
        <f>TEXT(80063, "[$-0E0000]yyyy-mm-dd")</f>
        <v/>
      </c>
    </row>
    <row r="80065">
      <c r="A80065" s="1" t="n">
        <v>80064</v>
      </c>
      <c r="B80065">
        <f>TEXT(80064, "[$-0E0000]yyyy-mm-dd")</f>
        <v/>
      </c>
    </row>
    <row r="80066">
      <c r="A80066" s="1" t="n">
        <v>80065</v>
      </c>
      <c r="B80066">
        <f>TEXT(80065, "[$-0E0000]yyyy-mm-dd")</f>
        <v/>
      </c>
    </row>
    <row r="80067">
      <c r="A80067" s="1" t="n">
        <v>80066</v>
      </c>
      <c r="B80067">
        <f>TEXT(80066, "[$-0E0000]yyyy-mm-dd")</f>
        <v/>
      </c>
    </row>
    <row r="80068">
      <c r="A80068" s="1" t="n">
        <v>80067</v>
      </c>
      <c r="B80068">
        <f>TEXT(80067, "[$-0E0000]yyyy-mm-dd")</f>
        <v/>
      </c>
    </row>
    <row r="80069">
      <c r="A80069" s="1" t="n">
        <v>80068</v>
      </c>
      <c r="B80069">
        <f>TEXT(80068, "[$-0E0000]yyyy-mm-dd")</f>
        <v/>
      </c>
    </row>
    <row r="80070">
      <c r="A80070" s="1" t="n">
        <v>80069</v>
      </c>
      <c r="B80070">
        <f>TEXT(80069, "[$-0E0000]yyyy-mm-dd")</f>
        <v/>
      </c>
    </row>
    <row r="80071">
      <c r="A80071" s="1" t="n">
        <v>80070</v>
      </c>
      <c r="B80071">
        <f>TEXT(80070, "[$-0E0000]yyyy-mm-dd")</f>
        <v/>
      </c>
    </row>
    <row r="80072">
      <c r="A80072" s="1" t="n">
        <v>80071</v>
      </c>
      <c r="B80072">
        <f>TEXT(80071, "[$-0E0000]yyyy-mm-dd")</f>
        <v/>
      </c>
    </row>
    <row r="80073">
      <c r="A80073" s="1" t="n">
        <v>80072</v>
      </c>
      <c r="B80073">
        <f>TEXT(80072, "[$-0E0000]yyyy-mm-dd")</f>
        <v/>
      </c>
    </row>
    <row r="80074">
      <c r="A80074" s="1" t="n">
        <v>80073</v>
      </c>
      <c r="B80074">
        <f>TEXT(80073, "[$-0E0000]yyyy-mm-dd")</f>
        <v/>
      </c>
    </row>
    <row r="80075">
      <c r="A80075" s="1" t="n">
        <v>80074</v>
      </c>
      <c r="B80075">
        <f>TEXT(80074, "[$-0E0000]yyyy-mm-dd")</f>
        <v/>
      </c>
    </row>
    <row r="80076">
      <c r="A80076" s="1" t="n">
        <v>80075</v>
      </c>
      <c r="B80076">
        <f>TEXT(80075, "[$-0E0000]yyyy-mm-dd")</f>
        <v/>
      </c>
    </row>
    <row r="80077">
      <c r="A80077" s="1" t="n">
        <v>80076</v>
      </c>
      <c r="B80077">
        <f>TEXT(80076, "[$-0E0000]yyyy-mm-dd")</f>
        <v/>
      </c>
    </row>
    <row r="80078">
      <c r="A80078" s="1" t="n">
        <v>80077</v>
      </c>
      <c r="B80078">
        <f>TEXT(80077, "[$-0E0000]yyyy-mm-dd")</f>
        <v/>
      </c>
    </row>
    <row r="80079">
      <c r="A80079" s="1" t="n">
        <v>80078</v>
      </c>
      <c r="B80079">
        <f>TEXT(80078, "[$-0E0000]yyyy-mm-dd")</f>
        <v/>
      </c>
    </row>
    <row r="80080">
      <c r="A80080" s="1" t="n">
        <v>80079</v>
      </c>
      <c r="B80080">
        <f>TEXT(80079, "[$-0E0000]yyyy-mm-dd")</f>
        <v/>
      </c>
    </row>
    <row r="80081">
      <c r="A80081" s="1" t="n">
        <v>80080</v>
      </c>
      <c r="B80081">
        <f>TEXT(80080, "[$-0E0000]yyyy-mm-dd")</f>
        <v/>
      </c>
    </row>
    <row r="80082">
      <c r="A80082" s="1" t="n">
        <v>80081</v>
      </c>
      <c r="B80082">
        <f>TEXT(80081, "[$-0E0000]yyyy-mm-dd")</f>
        <v/>
      </c>
    </row>
    <row r="80083">
      <c r="A80083" s="1" t="n">
        <v>80082</v>
      </c>
      <c r="B80083">
        <f>TEXT(80082, "[$-0E0000]yyyy-mm-dd")</f>
        <v/>
      </c>
    </row>
    <row r="80084">
      <c r="A80084" s="1" t="n">
        <v>80083</v>
      </c>
      <c r="B80084">
        <f>TEXT(80083, "[$-0E0000]yyyy-mm-dd")</f>
        <v/>
      </c>
    </row>
    <row r="80085">
      <c r="A80085" s="1" t="n">
        <v>80084</v>
      </c>
      <c r="B80085">
        <f>TEXT(80084, "[$-0E0000]yyyy-mm-dd")</f>
        <v/>
      </c>
    </row>
    <row r="80086">
      <c r="A80086" s="1" t="n">
        <v>80085</v>
      </c>
      <c r="B80086">
        <f>TEXT(80085, "[$-0E0000]yyyy-mm-dd")</f>
        <v/>
      </c>
    </row>
    <row r="80087">
      <c r="A80087" s="1" t="n">
        <v>80086</v>
      </c>
      <c r="B80087">
        <f>TEXT(80086, "[$-0E0000]yyyy-mm-dd")</f>
        <v/>
      </c>
    </row>
    <row r="80088">
      <c r="A80088" s="1" t="n">
        <v>80087</v>
      </c>
      <c r="B80088">
        <f>TEXT(80087, "[$-0E0000]yyyy-mm-dd")</f>
        <v/>
      </c>
    </row>
    <row r="80089">
      <c r="A80089" s="1" t="n">
        <v>80088</v>
      </c>
      <c r="B80089">
        <f>TEXT(80088, "[$-0E0000]yyyy-mm-dd")</f>
        <v/>
      </c>
    </row>
    <row r="80090">
      <c r="A80090" s="1" t="n">
        <v>80089</v>
      </c>
      <c r="B80090">
        <f>TEXT(80089, "[$-0E0000]yyyy-mm-dd")</f>
        <v/>
      </c>
    </row>
    <row r="80091">
      <c r="A80091" s="1" t="n">
        <v>80090</v>
      </c>
      <c r="B80091">
        <f>TEXT(80090, "[$-0E0000]yyyy-mm-dd")</f>
        <v/>
      </c>
    </row>
    <row r="80092">
      <c r="A80092" s="1" t="n">
        <v>80091</v>
      </c>
      <c r="B80092">
        <f>TEXT(80091, "[$-0E0000]yyyy-mm-dd")</f>
        <v/>
      </c>
    </row>
    <row r="80093">
      <c r="A80093" s="1" t="n">
        <v>80092</v>
      </c>
      <c r="B80093">
        <f>TEXT(80092, "[$-0E0000]yyyy-mm-dd")</f>
        <v/>
      </c>
    </row>
    <row r="80094">
      <c r="A80094" s="1" t="n">
        <v>80093</v>
      </c>
      <c r="B80094">
        <f>TEXT(80093, "[$-0E0000]yyyy-mm-dd")</f>
        <v/>
      </c>
    </row>
    <row r="80095">
      <c r="A80095" s="1" t="n">
        <v>80094</v>
      </c>
      <c r="B80095">
        <f>TEXT(80094, "[$-0E0000]yyyy-mm-dd")</f>
        <v/>
      </c>
    </row>
    <row r="80096">
      <c r="A80096" s="1" t="n">
        <v>80095</v>
      </c>
      <c r="B80096">
        <f>TEXT(80095, "[$-0E0000]yyyy-mm-dd")</f>
        <v/>
      </c>
    </row>
    <row r="80097">
      <c r="A80097" s="1" t="n">
        <v>80096</v>
      </c>
      <c r="B80097">
        <f>TEXT(80096, "[$-0E0000]yyyy-mm-dd")</f>
        <v/>
      </c>
    </row>
    <row r="80098">
      <c r="A80098" s="1" t="n">
        <v>80097</v>
      </c>
      <c r="B80098">
        <f>TEXT(80097, "[$-0E0000]yyyy-mm-dd")</f>
        <v/>
      </c>
    </row>
    <row r="80099">
      <c r="A80099" s="1" t="n">
        <v>80098</v>
      </c>
      <c r="B80099">
        <f>TEXT(80098, "[$-0E0000]yyyy-mm-dd")</f>
        <v/>
      </c>
    </row>
    <row r="80100">
      <c r="A80100" s="1" t="n">
        <v>80099</v>
      </c>
      <c r="B80100">
        <f>TEXT(80099, "[$-0E0000]yyyy-mm-dd")</f>
        <v/>
      </c>
    </row>
    <row r="80101">
      <c r="A80101" s="1" t="n">
        <v>80100</v>
      </c>
      <c r="B80101">
        <f>TEXT(80100, "[$-0E0000]yyyy-mm-dd")</f>
        <v/>
      </c>
    </row>
    <row r="80102">
      <c r="A80102" s="1" t="n">
        <v>80101</v>
      </c>
      <c r="B80102">
        <f>TEXT(80101, "[$-0E0000]yyyy-mm-dd")</f>
        <v/>
      </c>
    </row>
    <row r="80103">
      <c r="A80103" s="1" t="n">
        <v>80102</v>
      </c>
      <c r="B80103">
        <f>TEXT(80102, "[$-0E0000]yyyy-mm-dd")</f>
        <v/>
      </c>
    </row>
    <row r="80104">
      <c r="A80104" s="1" t="n">
        <v>80103</v>
      </c>
      <c r="B80104">
        <f>TEXT(80103, "[$-0E0000]yyyy-mm-dd")</f>
        <v/>
      </c>
    </row>
    <row r="80105">
      <c r="A80105" s="1" t="n">
        <v>80104</v>
      </c>
      <c r="B80105">
        <f>TEXT(80104, "[$-0E0000]yyyy-mm-dd")</f>
        <v/>
      </c>
    </row>
    <row r="80106">
      <c r="A80106" s="1" t="n">
        <v>80105</v>
      </c>
      <c r="B80106">
        <f>TEXT(80105, "[$-0E0000]yyyy-mm-dd")</f>
        <v/>
      </c>
    </row>
    <row r="80107">
      <c r="A80107" s="1" t="n">
        <v>80106</v>
      </c>
      <c r="B80107">
        <f>TEXT(80106, "[$-0E0000]yyyy-mm-dd")</f>
        <v/>
      </c>
    </row>
    <row r="80108">
      <c r="A80108" s="1" t="n">
        <v>80107</v>
      </c>
      <c r="B80108">
        <f>TEXT(80107, "[$-0E0000]yyyy-mm-dd")</f>
        <v/>
      </c>
    </row>
    <row r="80109">
      <c r="A80109" s="1" t="n">
        <v>80108</v>
      </c>
      <c r="B80109">
        <f>TEXT(80108, "[$-0E0000]yyyy-mm-dd")</f>
        <v/>
      </c>
    </row>
    <row r="80110">
      <c r="A80110" s="1" t="n">
        <v>80109</v>
      </c>
      <c r="B80110">
        <f>TEXT(80109, "[$-0E0000]yyyy-mm-dd")</f>
        <v/>
      </c>
    </row>
    <row r="80111">
      <c r="A80111" s="1" t="n">
        <v>80110</v>
      </c>
      <c r="B80111">
        <f>TEXT(80110, "[$-0E0000]yyyy-mm-dd")</f>
        <v/>
      </c>
    </row>
    <row r="80112">
      <c r="A80112" s="1" t="n">
        <v>80111</v>
      </c>
      <c r="B80112">
        <f>TEXT(80111, "[$-0E0000]yyyy-mm-dd")</f>
        <v/>
      </c>
    </row>
    <row r="80113">
      <c r="A80113" s="1" t="n">
        <v>80112</v>
      </c>
      <c r="B80113">
        <f>TEXT(80112, "[$-0E0000]yyyy-mm-dd")</f>
        <v/>
      </c>
    </row>
    <row r="80114">
      <c r="A80114" s="1" t="n">
        <v>80113</v>
      </c>
      <c r="B80114">
        <f>TEXT(80113, "[$-0E0000]yyyy-mm-dd")</f>
        <v/>
      </c>
    </row>
    <row r="80115">
      <c r="A80115" s="1" t="n">
        <v>80114</v>
      </c>
      <c r="B80115">
        <f>TEXT(80114, "[$-0E0000]yyyy-mm-dd")</f>
        <v/>
      </c>
    </row>
    <row r="80116">
      <c r="A80116" s="1" t="n">
        <v>80115</v>
      </c>
      <c r="B80116">
        <f>TEXT(80115, "[$-0E0000]yyyy-mm-dd")</f>
        <v/>
      </c>
    </row>
    <row r="80117">
      <c r="A80117" s="1" t="n">
        <v>80116</v>
      </c>
      <c r="B80117">
        <f>TEXT(80116, "[$-0E0000]yyyy-mm-dd")</f>
        <v/>
      </c>
    </row>
    <row r="80118">
      <c r="A80118" s="1" t="n">
        <v>80117</v>
      </c>
      <c r="B80118">
        <f>TEXT(80117, "[$-0E0000]yyyy-mm-dd")</f>
        <v/>
      </c>
    </row>
    <row r="80119">
      <c r="A80119" s="1" t="n">
        <v>80118</v>
      </c>
      <c r="B80119">
        <f>TEXT(80118, "[$-0E0000]yyyy-mm-dd")</f>
        <v/>
      </c>
    </row>
    <row r="80120">
      <c r="A80120" s="1" t="n">
        <v>80119</v>
      </c>
      <c r="B80120">
        <f>TEXT(80119, "[$-0E0000]yyyy-mm-dd")</f>
        <v/>
      </c>
    </row>
    <row r="80121">
      <c r="A80121" s="1" t="n">
        <v>80120</v>
      </c>
      <c r="B80121">
        <f>TEXT(80120, "[$-0E0000]yyyy-mm-dd")</f>
        <v/>
      </c>
    </row>
    <row r="80122">
      <c r="A80122" s="1" t="n">
        <v>80121</v>
      </c>
      <c r="B80122">
        <f>TEXT(80121, "[$-0E0000]yyyy-mm-dd")</f>
        <v/>
      </c>
    </row>
    <row r="80123">
      <c r="A80123" s="1" t="n">
        <v>80122</v>
      </c>
      <c r="B80123">
        <f>TEXT(80122, "[$-0E0000]yyyy-mm-dd")</f>
        <v/>
      </c>
    </row>
    <row r="80124">
      <c r="A80124" s="1" t="n">
        <v>80123</v>
      </c>
      <c r="B80124">
        <f>TEXT(80123, "[$-0E0000]yyyy-mm-dd")</f>
        <v/>
      </c>
    </row>
    <row r="80125">
      <c r="A80125" s="1" t="n">
        <v>80124</v>
      </c>
      <c r="B80125">
        <f>TEXT(80124, "[$-0E0000]yyyy-mm-dd")</f>
        <v/>
      </c>
    </row>
    <row r="80126">
      <c r="A80126" s="1" t="n">
        <v>80125</v>
      </c>
      <c r="B80126">
        <f>TEXT(80125, "[$-0E0000]yyyy-mm-dd")</f>
        <v/>
      </c>
    </row>
    <row r="80127">
      <c r="A80127" s="1" t="n">
        <v>80126</v>
      </c>
      <c r="B80127">
        <f>TEXT(80126, "[$-0E0000]yyyy-mm-dd")</f>
        <v/>
      </c>
    </row>
    <row r="80128">
      <c r="A80128" s="1" t="n">
        <v>80127</v>
      </c>
      <c r="B80128">
        <f>TEXT(80127, "[$-0E0000]yyyy-mm-dd")</f>
        <v/>
      </c>
    </row>
    <row r="80129">
      <c r="A80129" s="1" t="n">
        <v>80128</v>
      </c>
      <c r="B80129">
        <f>TEXT(80128, "[$-0E0000]yyyy-mm-dd")</f>
        <v/>
      </c>
    </row>
    <row r="80130">
      <c r="A80130" s="1" t="n">
        <v>80129</v>
      </c>
      <c r="B80130">
        <f>TEXT(80129, "[$-0E0000]yyyy-mm-dd")</f>
        <v/>
      </c>
    </row>
    <row r="80131">
      <c r="A80131" s="1" t="n">
        <v>80130</v>
      </c>
      <c r="B80131">
        <f>TEXT(80130, "[$-0E0000]yyyy-mm-dd")</f>
        <v/>
      </c>
    </row>
    <row r="80132">
      <c r="A80132" s="1" t="n">
        <v>80131</v>
      </c>
      <c r="B80132">
        <f>TEXT(80131, "[$-0E0000]yyyy-mm-dd")</f>
        <v/>
      </c>
    </row>
    <row r="80133">
      <c r="A80133" s="1" t="n">
        <v>80132</v>
      </c>
      <c r="B80133">
        <f>TEXT(80132, "[$-0E0000]yyyy-mm-dd")</f>
        <v/>
      </c>
    </row>
    <row r="80134">
      <c r="A80134" s="1" t="n">
        <v>80133</v>
      </c>
      <c r="B80134">
        <f>TEXT(80133, "[$-0E0000]yyyy-mm-dd")</f>
        <v/>
      </c>
    </row>
    <row r="80135">
      <c r="A80135" s="1" t="n">
        <v>80134</v>
      </c>
      <c r="B80135">
        <f>TEXT(80134, "[$-0E0000]yyyy-mm-dd")</f>
        <v/>
      </c>
    </row>
    <row r="80136">
      <c r="A80136" s="1" t="n">
        <v>80135</v>
      </c>
      <c r="B80136">
        <f>TEXT(80135, "[$-0E0000]yyyy-mm-dd")</f>
        <v/>
      </c>
    </row>
    <row r="80137">
      <c r="A80137" s="1" t="n">
        <v>80136</v>
      </c>
      <c r="B80137">
        <f>TEXT(80136, "[$-0E0000]yyyy-mm-dd")</f>
        <v/>
      </c>
    </row>
    <row r="80138">
      <c r="A80138" s="1" t="n">
        <v>80137</v>
      </c>
      <c r="B80138">
        <f>TEXT(80137, "[$-0E0000]yyyy-mm-dd")</f>
        <v/>
      </c>
    </row>
    <row r="80139">
      <c r="A80139" s="1" t="n">
        <v>80138</v>
      </c>
      <c r="B80139">
        <f>TEXT(80138, "[$-0E0000]yyyy-mm-dd")</f>
        <v/>
      </c>
    </row>
    <row r="80140">
      <c r="A80140" s="1" t="n">
        <v>80139</v>
      </c>
      <c r="B80140">
        <f>TEXT(80139, "[$-0E0000]yyyy-mm-dd")</f>
        <v/>
      </c>
    </row>
    <row r="80141">
      <c r="A80141" s="1" t="n">
        <v>80140</v>
      </c>
      <c r="B80141">
        <f>TEXT(80140, "[$-0E0000]yyyy-mm-dd")</f>
        <v/>
      </c>
    </row>
    <row r="80142">
      <c r="A80142" s="1" t="n">
        <v>80141</v>
      </c>
      <c r="B80142">
        <f>TEXT(80141, "[$-0E0000]yyyy-mm-dd")</f>
        <v/>
      </c>
    </row>
    <row r="80143">
      <c r="A80143" s="1" t="n">
        <v>80142</v>
      </c>
      <c r="B80143">
        <f>TEXT(80142, "[$-0E0000]yyyy-mm-dd")</f>
        <v/>
      </c>
    </row>
    <row r="80144">
      <c r="A80144" s="1" t="n">
        <v>80143</v>
      </c>
      <c r="B80144">
        <f>TEXT(80143, "[$-0E0000]yyyy-mm-dd")</f>
        <v/>
      </c>
    </row>
    <row r="80145">
      <c r="A80145" s="1" t="n">
        <v>80144</v>
      </c>
      <c r="B80145">
        <f>TEXT(80144, "[$-0E0000]yyyy-mm-dd")</f>
        <v/>
      </c>
    </row>
    <row r="80146">
      <c r="A80146" s="1" t="n">
        <v>80145</v>
      </c>
      <c r="B80146">
        <f>TEXT(80145, "[$-0E0000]yyyy-mm-dd")</f>
        <v/>
      </c>
    </row>
    <row r="80147">
      <c r="A80147" s="1" t="n">
        <v>80146</v>
      </c>
      <c r="B80147">
        <f>TEXT(80146, "[$-0E0000]yyyy-mm-dd")</f>
        <v/>
      </c>
    </row>
    <row r="80148">
      <c r="A80148" s="1" t="n">
        <v>80147</v>
      </c>
      <c r="B80148">
        <f>TEXT(80147, "[$-0E0000]yyyy-mm-dd")</f>
        <v/>
      </c>
    </row>
    <row r="80149">
      <c r="A80149" s="1" t="n">
        <v>80148</v>
      </c>
      <c r="B80149">
        <f>TEXT(80148, "[$-0E0000]yyyy-mm-dd")</f>
        <v/>
      </c>
    </row>
    <row r="80150">
      <c r="A80150" s="1" t="n">
        <v>80149</v>
      </c>
      <c r="B80150">
        <f>TEXT(80149, "[$-0E0000]yyyy-mm-dd")</f>
        <v/>
      </c>
    </row>
    <row r="80151">
      <c r="A80151" s="1" t="n">
        <v>80150</v>
      </c>
      <c r="B80151">
        <f>TEXT(80150, "[$-0E0000]yyyy-mm-dd")</f>
        <v/>
      </c>
    </row>
    <row r="80152">
      <c r="A80152" s="1" t="n">
        <v>80151</v>
      </c>
      <c r="B80152">
        <f>TEXT(80151, "[$-0E0000]yyyy-mm-dd")</f>
        <v/>
      </c>
    </row>
    <row r="80153">
      <c r="A80153" s="1" t="n">
        <v>80152</v>
      </c>
      <c r="B80153">
        <f>TEXT(80152, "[$-0E0000]yyyy-mm-dd")</f>
        <v/>
      </c>
    </row>
    <row r="80154">
      <c r="A80154" s="1" t="n">
        <v>80153</v>
      </c>
      <c r="B80154">
        <f>TEXT(80153, "[$-0E0000]yyyy-mm-dd")</f>
        <v/>
      </c>
    </row>
    <row r="80155">
      <c r="A80155" s="1" t="n">
        <v>80154</v>
      </c>
      <c r="B80155">
        <f>TEXT(80154, "[$-0E0000]yyyy-mm-dd")</f>
        <v/>
      </c>
    </row>
    <row r="80156">
      <c r="A80156" s="1" t="n">
        <v>80155</v>
      </c>
      <c r="B80156">
        <f>TEXT(80155, "[$-0E0000]yyyy-mm-dd")</f>
        <v/>
      </c>
    </row>
    <row r="80157">
      <c r="A80157" s="1" t="n">
        <v>80156</v>
      </c>
      <c r="B80157">
        <f>TEXT(80156, "[$-0E0000]yyyy-mm-dd")</f>
        <v/>
      </c>
    </row>
    <row r="80158">
      <c r="A80158" s="1" t="n">
        <v>80157</v>
      </c>
      <c r="B80158">
        <f>TEXT(80157, "[$-0E0000]yyyy-mm-dd")</f>
        <v/>
      </c>
    </row>
    <row r="80159">
      <c r="A80159" s="1" t="n">
        <v>80158</v>
      </c>
      <c r="B80159">
        <f>TEXT(80158, "[$-0E0000]yyyy-mm-dd")</f>
        <v/>
      </c>
    </row>
    <row r="80160">
      <c r="A80160" s="1" t="n">
        <v>80159</v>
      </c>
      <c r="B80160">
        <f>TEXT(80159, "[$-0E0000]yyyy-mm-dd")</f>
        <v/>
      </c>
    </row>
    <row r="80161">
      <c r="A80161" s="1" t="n">
        <v>80160</v>
      </c>
      <c r="B80161">
        <f>TEXT(80160, "[$-0E0000]yyyy-mm-dd")</f>
        <v/>
      </c>
    </row>
    <row r="80162">
      <c r="A80162" s="1" t="n">
        <v>80161</v>
      </c>
      <c r="B80162">
        <f>TEXT(80161, "[$-0E0000]yyyy-mm-dd")</f>
        <v/>
      </c>
    </row>
    <row r="80163">
      <c r="A80163" s="1" t="n">
        <v>80162</v>
      </c>
      <c r="B80163">
        <f>TEXT(80162, "[$-0E0000]yyyy-mm-dd")</f>
        <v/>
      </c>
    </row>
    <row r="80164">
      <c r="A80164" s="1" t="n">
        <v>80163</v>
      </c>
      <c r="B80164">
        <f>TEXT(80163, "[$-0E0000]yyyy-mm-dd")</f>
        <v/>
      </c>
    </row>
    <row r="80165">
      <c r="A80165" s="1" t="n">
        <v>80164</v>
      </c>
      <c r="B80165">
        <f>TEXT(80164, "[$-0E0000]yyyy-mm-dd")</f>
        <v/>
      </c>
    </row>
    <row r="80166">
      <c r="A80166" s="1" t="n">
        <v>80165</v>
      </c>
      <c r="B80166">
        <f>TEXT(80165, "[$-0E0000]yyyy-mm-dd")</f>
        <v/>
      </c>
    </row>
    <row r="80167">
      <c r="A80167" s="1" t="n">
        <v>80166</v>
      </c>
      <c r="B80167">
        <f>TEXT(80166, "[$-0E0000]yyyy-mm-dd")</f>
        <v/>
      </c>
    </row>
    <row r="80168">
      <c r="A80168" s="1" t="n">
        <v>80167</v>
      </c>
      <c r="B80168">
        <f>TEXT(80167, "[$-0E0000]yyyy-mm-dd")</f>
        <v/>
      </c>
    </row>
    <row r="80169">
      <c r="A80169" s="1" t="n">
        <v>80168</v>
      </c>
      <c r="B80169">
        <f>TEXT(80168, "[$-0E0000]yyyy-mm-dd")</f>
        <v/>
      </c>
    </row>
    <row r="80170">
      <c r="A80170" s="1" t="n">
        <v>80169</v>
      </c>
      <c r="B80170">
        <f>TEXT(80169, "[$-0E0000]yyyy-mm-dd")</f>
        <v/>
      </c>
    </row>
    <row r="80171">
      <c r="A80171" s="1" t="n">
        <v>80170</v>
      </c>
      <c r="B80171">
        <f>TEXT(80170, "[$-0E0000]yyyy-mm-dd")</f>
        <v/>
      </c>
    </row>
    <row r="80172">
      <c r="A80172" s="1" t="n">
        <v>80171</v>
      </c>
      <c r="B80172">
        <f>TEXT(80171, "[$-0E0000]yyyy-mm-dd")</f>
        <v/>
      </c>
    </row>
    <row r="80173">
      <c r="A80173" s="1" t="n">
        <v>80172</v>
      </c>
      <c r="B80173">
        <f>TEXT(80172, "[$-0E0000]yyyy-mm-dd")</f>
        <v/>
      </c>
    </row>
    <row r="80174">
      <c r="A80174" s="1" t="n">
        <v>80173</v>
      </c>
      <c r="B80174">
        <f>TEXT(80173, "[$-0E0000]yyyy-mm-dd")</f>
        <v/>
      </c>
    </row>
    <row r="80175">
      <c r="A80175" s="1" t="n">
        <v>80174</v>
      </c>
      <c r="B80175">
        <f>TEXT(80174, "[$-0E0000]yyyy-mm-dd")</f>
        <v/>
      </c>
    </row>
    <row r="80176">
      <c r="A80176" s="1" t="n">
        <v>80175</v>
      </c>
      <c r="B80176">
        <f>TEXT(80175, "[$-0E0000]yyyy-mm-dd")</f>
        <v/>
      </c>
    </row>
    <row r="80177">
      <c r="A80177" s="1" t="n">
        <v>80176</v>
      </c>
      <c r="B80177">
        <f>TEXT(80176, "[$-0E0000]yyyy-mm-dd")</f>
        <v/>
      </c>
    </row>
    <row r="80178">
      <c r="A80178" s="1" t="n">
        <v>80177</v>
      </c>
      <c r="B80178">
        <f>TEXT(80177, "[$-0E0000]yyyy-mm-dd")</f>
        <v/>
      </c>
    </row>
    <row r="80179">
      <c r="A80179" s="1" t="n">
        <v>80178</v>
      </c>
      <c r="B80179">
        <f>TEXT(80178, "[$-0E0000]yyyy-mm-dd")</f>
        <v/>
      </c>
    </row>
    <row r="80180">
      <c r="A80180" s="1" t="n">
        <v>80179</v>
      </c>
      <c r="B80180">
        <f>TEXT(80179, "[$-0E0000]yyyy-mm-dd")</f>
        <v/>
      </c>
    </row>
    <row r="80181">
      <c r="A80181" s="1" t="n">
        <v>80180</v>
      </c>
      <c r="B80181">
        <f>TEXT(80180, "[$-0E0000]yyyy-mm-dd")</f>
        <v/>
      </c>
    </row>
    <row r="80182">
      <c r="A80182" s="1" t="n">
        <v>80181</v>
      </c>
      <c r="B80182">
        <f>TEXT(80181, "[$-0E0000]yyyy-mm-dd")</f>
        <v/>
      </c>
    </row>
    <row r="80183">
      <c r="A80183" s="1" t="n">
        <v>80182</v>
      </c>
      <c r="B80183">
        <f>TEXT(80182, "[$-0E0000]yyyy-mm-dd")</f>
        <v/>
      </c>
    </row>
    <row r="80184">
      <c r="A80184" s="1" t="n">
        <v>80183</v>
      </c>
      <c r="B80184">
        <f>TEXT(80183, "[$-0E0000]yyyy-mm-dd")</f>
        <v/>
      </c>
    </row>
    <row r="80185">
      <c r="A80185" s="1" t="n">
        <v>80184</v>
      </c>
      <c r="B80185">
        <f>TEXT(80184, "[$-0E0000]yyyy-mm-dd")</f>
        <v/>
      </c>
    </row>
    <row r="80186">
      <c r="A80186" s="1" t="n">
        <v>80185</v>
      </c>
      <c r="B80186">
        <f>TEXT(80185, "[$-0E0000]yyyy-mm-dd")</f>
        <v/>
      </c>
    </row>
    <row r="80187">
      <c r="A80187" s="1" t="n">
        <v>80186</v>
      </c>
      <c r="B80187">
        <f>TEXT(80186, "[$-0E0000]yyyy-mm-dd")</f>
        <v/>
      </c>
    </row>
    <row r="80188">
      <c r="A80188" s="1" t="n">
        <v>80187</v>
      </c>
      <c r="B80188">
        <f>TEXT(80187, "[$-0E0000]yyyy-mm-dd")</f>
        <v/>
      </c>
    </row>
    <row r="80189">
      <c r="A80189" s="1" t="n">
        <v>80188</v>
      </c>
      <c r="B80189">
        <f>TEXT(80188, "[$-0E0000]yyyy-mm-dd")</f>
        <v/>
      </c>
    </row>
    <row r="80190">
      <c r="A80190" s="1" t="n">
        <v>80189</v>
      </c>
      <c r="B80190">
        <f>TEXT(80189, "[$-0E0000]yyyy-mm-dd")</f>
        <v/>
      </c>
    </row>
    <row r="80191">
      <c r="A80191" s="1" t="n">
        <v>80190</v>
      </c>
      <c r="B80191">
        <f>TEXT(80190, "[$-0E0000]yyyy-mm-dd")</f>
        <v/>
      </c>
    </row>
    <row r="80192">
      <c r="A80192" s="1" t="n">
        <v>80191</v>
      </c>
      <c r="B80192">
        <f>TEXT(80191, "[$-0E0000]yyyy-mm-dd")</f>
        <v/>
      </c>
    </row>
    <row r="80193">
      <c r="A80193" s="1" t="n">
        <v>80192</v>
      </c>
      <c r="B80193">
        <f>TEXT(80192, "[$-0E0000]yyyy-mm-dd")</f>
        <v/>
      </c>
    </row>
    <row r="80194">
      <c r="A80194" s="1" t="n">
        <v>80193</v>
      </c>
      <c r="B80194">
        <f>TEXT(80193, "[$-0E0000]yyyy-mm-dd")</f>
        <v/>
      </c>
    </row>
    <row r="80195">
      <c r="A80195" s="1" t="n">
        <v>80194</v>
      </c>
      <c r="B80195">
        <f>TEXT(80194, "[$-0E0000]yyyy-mm-dd")</f>
        <v/>
      </c>
    </row>
    <row r="80196">
      <c r="A80196" s="1" t="n">
        <v>80195</v>
      </c>
      <c r="B80196">
        <f>TEXT(80195, "[$-0E0000]yyyy-mm-dd")</f>
        <v/>
      </c>
    </row>
    <row r="80197">
      <c r="A80197" s="1" t="n">
        <v>80196</v>
      </c>
      <c r="B80197">
        <f>TEXT(80196, "[$-0E0000]yyyy-mm-dd")</f>
        <v/>
      </c>
    </row>
    <row r="80198">
      <c r="A80198" s="1" t="n">
        <v>80197</v>
      </c>
      <c r="B80198">
        <f>TEXT(80197, "[$-0E0000]yyyy-mm-dd")</f>
        <v/>
      </c>
    </row>
    <row r="80199">
      <c r="A80199" s="1" t="n">
        <v>80198</v>
      </c>
      <c r="B80199">
        <f>TEXT(80198, "[$-0E0000]yyyy-mm-dd")</f>
        <v/>
      </c>
    </row>
    <row r="80200">
      <c r="A80200" s="1" t="n">
        <v>80199</v>
      </c>
      <c r="B80200">
        <f>TEXT(80199, "[$-0E0000]yyyy-mm-dd")</f>
        <v/>
      </c>
    </row>
    <row r="80201">
      <c r="A80201" s="1" t="n">
        <v>80200</v>
      </c>
      <c r="B80201">
        <f>TEXT(80200, "[$-0E0000]yyyy-mm-dd")</f>
        <v/>
      </c>
    </row>
    <row r="80202">
      <c r="A80202" s="1" t="n">
        <v>80201</v>
      </c>
      <c r="B80202">
        <f>TEXT(80201, "[$-0E0000]yyyy-mm-dd")</f>
        <v/>
      </c>
    </row>
    <row r="80203">
      <c r="A80203" s="1" t="n">
        <v>80202</v>
      </c>
      <c r="B80203">
        <f>TEXT(80202, "[$-0E0000]yyyy-mm-dd")</f>
        <v/>
      </c>
    </row>
    <row r="80204">
      <c r="A80204" s="1" t="n">
        <v>80203</v>
      </c>
      <c r="B80204">
        <f>TEXT(80203, "[$-0E0000]yyyy-mm-dd")</f>
        <v/>
      </c>
    </row>
    <row r="80205">
      <c r="A80205" s="1" t="n">
        <v>80204</v>
      </c>
      <c r="B80205">
        <f>TEXT(80204, "[$-0E0000]yyyy-mm-dd")</f>
        <v/>
      </c>
    </row>
    <row r="80206">
      <c r="A80206" s="1" t="n">
        <v>80205</v>
      </c>
      <c r="B80206">
        <f>TEXT(80205, "[$-0E0000]yyyy-mm-dd")</f>
        <v/>
      </c>
    </row>
    <row r="80207">
      <c r="A80207" s="1" t="n">
        <v>80206</v>
      </c>
      <c r="B80207">
        <f>TEXT(80206, "[$-0E0000]yyyy-mm-dd")</f>
        <v/>
      </c>
    </row>
    <row r="80208">
      <c r="A80208" s="1" t="n">
        <v>80207</v>
      </c>
      <c r="B80208">
        <f>TEXT(80207, "[$-0E0000]yyyy-mm-dd")</f>
        <v/>
      </c>
    </row>
    <row r="80209">
      <c r="A80209" s="1" t="n">
        <v>80208</v>
      </c>
      <c r="B80209">
        <f>TEXT(80208, "[$-0E0000]yyyy-mm-dd")</f>
        <v/>
      </c>
    </row>
    <row r="80210">
      <c r="A80210" s="1" t="n">
        <v>80209</v>
      </c>
      <c r="B80210">
        <f>TEXT(80209, "[$-0E0000]yyyy-mm-dd")</f>
        <v/>
      </c>
    </row>
    <row r="80211">
      <c r="A80211" s="1" t="n">
        <v>80210</v>
      </c>
      <c r="B80211">
        <f>TEXT(80210, "[$-0E0000]yyyy-mm-dd")</f>
        <v/>
      </c>
    </row>
    <row r="80212">
      <c r="A80212" s="1" t="n">
        <v>80211</v>
      </c>
      <c r="B80212">
        <f>TEXT(80211, "[$-0E0000]yyyy-mm-dd")</f>
        <v/>
      </c>
    </row>
    <row r="80213">
      <c r="A80213" s="1" t="n">
        <v>80212</v>
      </c>
      <c r="B80213">
        <f>TEXT(80212, "[$-0E0000]yyyy-mm-dd")</f>
        <v/>
      </c>
    </row>
    <row r="80214">
      <c r="A80214" s="1" t="n">
        <v>80213</v>
      </c>
      <c r="B80214">
        <f>TEXT(80213, "[$-0E0000]yyyy-mm-dd")</f>
        <v/>
      </c>
    </row>
    <row r="80215">
      <c r="A80215" s="1" t="n">
        <v>80214</v>
      </c>
      <c r="B80215">
        <f>TEXT(80214, "[$-0E0000]yyyy-mm-dd")</f>
        <v/>
      </c>
    </row>
    <row r="80216">
      <c r="A80216" s="1" t="n">
        <v>80215</v>
      </c>
      <c r="B80216">
        <f>TEXT(80215, "[$-0E0000]yyyy-mm-dd")</f>
        <v/>
      </c>
    </row>
    <row r="80217">
      <c r="A80217" s="1" t="n">
        <v>80216</v>
      </c>
      <c r="B80217">
        <f>TEXT(80216, "[$-0E0000]yyyy-mm-dd")</f>
        <v/>
      </c>
    </row>
    <row r="80218">
      <c r="A80218" s="1" t="n">
        <v>80217</v>
      </c>
      <c r="B80218">
        <f>TEXT(80217, "[$-0E0000]yyyy-mm-dd")</f>
        <v/>
      </c>
    </row>
    <row r="80219">
      <c r="A80219" s="1" t="n">
        <v>80218</v>
      </c>
      <c r="B80219">
        <f>TEXT(80218, "[$-0E0000]yyyy-mm-dd")</f>
        <v/>
      </c>
    </row>
    <row r="80220">
      <c r="A80220" s="1" t="n">
        <v>80219</v>
      </c>
      <c r="B80220">
        <f>TEXT(80219, "[$-0E0000]yyyy-mm-dd")</f>
        <v/>
      </c>
    </row>
    <row r="80221">
      <c r="A80221" s="1" t="n">
        <v>80220</v>
      </c>
      <c r="B80221">
        <f>TEXT(80220, "[$-0E0000]yyyy-mm-dd")</f>
        <v/>
      </c>
    </row>
    <row r="80222">
      <c r="A80222" s="1" t="n">
        <v>80221</v>
      </c>
      <c r="B80222">
        <f>TEXT(80221, "[$-0E0000]yyyy-mm-dd")</f>
        <v/>
      </c>
    </row>
    <row r="80223">
      <c r="A80223" s="1" t="n">
        <v>80222</v>
      </c>
      <c r="B80223">
        <f>TEXT(80222, "[$-0E0000]yyyy-mm-dd")</f>
        <v/>
      </c>
    </row>
    <row r="80224">
      <c r="A80224" s="1" t="n">
        <v>80223</v>
      </c>
      <c r="B80224">
        <f>TEXT(80223, "[$-0E0000]yyyy-mm-dd")</f>
        <v/>
      </c>
    </row>
    <row r="80225">
      <c r="A80225" s="1" t="n">
        <v>80224</v>
      </c>
      <c r="B80225">
        <f>TEXT(80224, "[$-0E0000]yyyy-mm-dd")</f>
        <v/>
      </c>
    </row>
    <row r="80226">
      <c r="A80226" s="1" t="n">
        <v>80225</v>
      </c>
      <c r="B80226">
        <f>TEXT(80225, "[$-0E0000]yyyy-mm-dd")</f>
        <v/>
      </c>
    </row>
    <row r="80227">
      <c r="A80227" s="1" t="n">
        <v>80226</v>
      </c>
      <c r="B80227">
        <f>TEXT(80226, "[$-0E0000]yyyy-mm-dd")</f>
        <v/>
      </c>
    </row>
    <row r="80228">
      <c r="A80228" s="1" t="n">
        <v>80227</v>
      </c>
      <c r="B80228">
        <f>TEXT(80227, "[$-0E0000]yyyy-mm-dd")</f>
        <v/>
      </c>
    </row>
    <row r="80229">
      <c r="A80229" s="1" t="n">
        <v>80228</v>
      </c>
      <c r="B80229">
        <f>TEXT(80228, "[$-0E0000]yyyy-mm-dd")</f>
        <v/>
      </c>
    </row>
    <row r="80230">
      <c r="A80230" s="1" t="n">
        <v>80229</v>
      </c>
      <c r="B80230">
        <f>TEXT(80229, "[$-0E0000]yyyy-mm-dd")</f>
        <v/>
      </c>
    </row>
    <row r="80231">
      <c r="A80231" s="1" t="n">
        <v>80230</v>
      </c>
      <c r="B80231">
        <f>TEXT(80230, "[$-0E0000]yyyy-mm-dd")</f>
        <v/>
      </c>
    </row>
    <row r="80232">
      <c r="A80232" s="1" t="n">
        <v>80231</v>
      </c>
      <c r="B80232">
        <f>TEXT(80231, "[$-0E0000]yyyy-mm-dd")</f>
        <v/>
      </c>
    </row>
    <row r="80233">
      <c r="A80233" s="1" t="n">
        <v>80232</v>
      </c>
      <c r="B80233">
        <f>TEXT(80232, "[$-0E0000]yyyy-mm-dd")</f>
        <v/>
      </c>
    </row>
    <row r="80234">
      <c r="A80234" s="1" t="n">
        <v>80233</v>
      </c>
      <c r="B80234">
        <f>TEXT(80233, "[$-0E0000]yyyy-mm-dd")</f>
        <v/>
      </c>
    </row>
    <row r="80235">
      <c r="A80235" s="1" t="n">
        <v>80234</v>
      </c>
      <c r="B80235">
        <f>TEXT(80234, "[$-0E0000]yyyy-mm-dd")</f>
        <v/>
      </c>
    </row>
    <row r="80236">
      <c r="A80236" s="1" t="n">
        <v>80235</v>
      </c>
      <c r="B80236">
        <f>TEXT(80235, "[$-0E0000]yyyy-mm-dd")</f>
        <v/>
      </c>
    </row>
    <row r="80237">
      <c r="A80237" s="1" t="n">
        <v>80236</v>
      </c>
      <c r="B80237">
        <f>TEXT(80236, "[$-0E0000]yyyy-mm-dd")</f>
        <v/>
      </c>
    </row>
    <row r="80238">
      <c r="A80238" s="1" t="n">
        <v>80237</v>
      </c>
      <c r="B80238">
        <f>TEXT(80237, "[$-0E0000]yyyy-mm-dd")</f>
        <v/>
      </c>
    </row>
    <row r="80239">
      <c r="A80239" s="1" t="n">
        <v>80238</v>
      </c>
      <c r="B80239">
        <f>TEXT(80238, "[$-0E0000]yyyy-mm-dd")</f>
        <v/>
      </c>
    </row>
    <row r="80240">
      <c r="A80240" s="1" t="n">
        <v>80239</v>
      </c>
      <c r="B80240">
        <f>TEXT(80239, "[$-0E0000]yyyy-mm-dd")</f>
        <v/>
      </c>
    </row>
    <row r="80241">
      <c r="A80241" s="1" t="n">
        <v>80240</v>
      </c>
      <c r="B80241">
        <f>TEXT(80240, "[$-0E0000]yyyy-mm-dd")</f>
        <v/>
      </c>
    </row>
    <row r="80242">
      <c r="A80242" s="1" t="n">
        <v>80241</v>
      </c>
      <c r="B80242">
        <f>TEXT(80241, "[$-0E0000]yyyy-mm-dd")</f>
        <v/>
      </c>
    </row>
    <row r="80243">
      <c r="A80243" s="1" t="n">
        <v>80242</v>
      </c>
      <c r="B80243">
        <f>TEXT(80242, "[$-0E0000]yyyy-mm-dd")</f>
        <v/>
      </c>
    </row>
    <row r="80244">
      <c r="A80244" s="1" t="n">
        <v>80243</v>
      </c>
      <c r="B80244">
        <f>TEXT(80243, "[$-0E0000]yyyy-mm-dd")</f>
        <v/>
      </c>
    </row>
    <row r="80245">
      <c r="A80245" s="1" t="n">
        <v>80244</v>
      </c>
      <c r="B80245">
        <f>TEXT(80244, "[$-0E0000]yyyy-mm-dd")</f>
        <v/>
      </c>
    </row>
    <row r="80246">
      <c r="A80246" s="1" t="n">
        <v>80245</v>
      </c>
      <c r="B80246">
        <f>TEXT(80245, "[$-0E0000]yyyy-mm-dd")</f>
        <v/>
      </c>
    </row>
    <row r="80247">
      <c r="A80247" s="1" t="n">
        <v>80246</v>
      </c>
      <c r="B80247">
        <f>TEXT(80246, "[$-0E0000]yyyy-mm-dd")</f>
        <v/>
      </c>
    </row>
    <row r="80248">
      <c r="A80248" s="1" t="n">
        <v>80247</v>
      </c>
      <c r="B80248">
        <f>TEXT(80247, "[$-0E0000]yyyy-mm-dd")</f>
        <v/>
      </c>
    </row>
    <row r="80249">
      <c r="A80249" s="1" t="n">
        <v>80248</v>
      </c>
      <c r="B80249">
        <f>TEXT(80248, "[$-0E0000]yyyy-mm-dd")</f>
        <v/>
      </c>
    </row>
    <row r="80250">
      <c r="A80250" s="1" t="n">
        <v>80249</v>
      </c>
      <c r="B80250">
        <f>TEXT(80249, "[$-0E0000]yyyy-mm-dd")</f>
        <v/>
      </c>
    </row>
    <row r="80251">
      <c r="A80251" s="1" t="n">
        <v>80250</v>
      </c>
      <c r="B80251">
        <f>TEXT(80250, "[$-0E0000]yyyy-mm-dd")</f>
        <v/>
      </c>
    </row>
    <row r="80252">
      <c r="A80252" s="1" t="n">
        <v>80251</v>
      </c>
      <c r="B80252">
        <f>TEXT(80251, "[$-0E0000]yyyy-mm-dd")</f>
        <v/>
      </c>
    </row>
    <row r="80253">
      <c r="A80253" s="1" t="n">
        <v>80252</v>
      </c>
      <c r="B80253">
        <f>TEXT(80252, "[$-0E0000]yyyy-mm-dd")</f>
        <v/>
      </c>
    </row>
    <row r="80254">
      <c r="A80254" s="1" t="n">
        <v>80253</v>
      </c>
      <c r="B80254">
        <f>TEXT(80253, "[$-0E0000]yyyy-mm-dd")</f>
        <v/>
      </c>
    </row>
    <row r="80255">
      <c r="A80255" s="1" t="n">
        <v>80254</v>
      </c>
      <c r="B80255">
        <f>TEXT(80254, "[$-0E0000]yyyy-mm-dd")</f>
        <v/>
      </c>
    </row>
    <row r="80256">
      <c r="A80256" s="1" t="n">
        <v>80255</v>
      </c>
      <c r="B80256">
        <f>TEXT(80255, "[$-0E0000]yyyy-mm-dd")</f>
        <v/>
      </c>
    </row>
    <row r="80257">
      <c r="A80257" s="1" t="n">
        <v>80256</v>
      </c>
      <c r="B80257">
        <f>TEXT(80256, "[$-0E0000]yyyy-mm-dd")</f>
        <v/>
      </c>
    </row>
    <row r="80258">
      <c r="A80258" s="1" t="n">
        <v>80257</v>
      </c>
      <c r="B80258">
        <f>TEXT(80257, "[$-0E0000]yyyy-mm-dd")</f>
        <v/>
      </c>
    </row>
    <row r="80259">
      <c r="A80259" s="1" t="n">
        <v>80258</v>
      </c>
      <c r="B80259">
        <f>TEXT(80258, "[$-0E0000]yyyy-mm-dd")</f>
        <v/>
      </c>
    </row>
    <row r="80260">
      <c r="A80260" s="1" t="n">
        <v>80259</v>
      </c>
      <c r="B80260">
        <f>TEXT(80259, "[$-0E0000]yyyy-mm-dd")</f>
        <v/>
      </c>
    </row>
    <row r="80261">
      <c r="A80261" s="1" t="n">
        <v>80260</v>
      </c>
      <c r="B80261">
        <f>TEXT(80260, "[$-0E0000]yyyy-mm-dd")</f>
        <v/>
      </c>
    </row>
    <row r="80262">
      <c r="A80262" s="1" t="n">
        <v>80261</v>
      </c>
      <c r="B80262">
        <f>TEXT(80261, "[$-0E0000]yyyy-mm-dd")</f>
        <v/>
      </c>
    </row>
    <row r="80263">
      <c r="A80263" s="1" t="n">
        <v>80262</v>
      </c>
      <c r="B80263">
        <f>TEXT(80262, "[$-0E0000]yyyy-mm-dd")</f>
        <v/>
      </c>
    </row>
    <row r="80264">
      <c r="A80264" s="1" t="n">
        <v>80263</v>
      </c>
      <c r="B80264">
        <f>TEXT(80263, "[$-0E0000]yyyy-mm-dd")</f>
        <v/>
      </c>
    </row>
    <row r="80265">
      <c r="A80265" s="1" t="n">
        <v>80264</v>
      </c>
      <c r="B80265">
        <f>TEXT(80264, "[$-0E0000]yyyy-mm-dd")</f>
        <v/>
      </c>
    </row>
    <row r="80266">
      <c r="A80266" s="1" t="n">
        <v>80265</v>
      </c>
      <c r="B80266">
        <f>TEXT(80265, "[$-0E0000]yyyy-mm-dd")</f>
        <v/>
      </c>
    </row>
    <row r="80267">
      <c r="A80267" s="1" t="n">
        <v>80266</v>
      </c>
      <c r="B80267">
        <f>TEXT(80266, "[$-0E0000]yyyy-mm-dd")</f>
        <v/>
      </c>
    </row>
    <row r="80268">
      <c r="A80268" s="1" t="n">
        <v>80267</v>
      </c>
      <c r="B80268">
        <f>TEXT(80267, "[$-0E0000]yyyy-mm-dd")</f>
        <v/>
      </c>
    </row>
    <row r="80269">
      <c r="A80269" s="1" t="n">
        <v>80268</v>
      </c>
      <c r="B80269">
        <f>TEXT(80268, "[$-0E0000]yyyy-mm-dd")</f>
        <v/>
      </c>
    </row>
    <row r="80270">
      <c r="A80270" s="1" t="n">
        <v>80269</v>
      </c>
      <c r="B80270">
        <f>TEXT(80269, "[$-0E0000]yyyy-mm-dd")</f>
        <v/>
      </c>
    </row>
    <row r="80271">
      <c r="A80271" s="1" t="n">
        <v>80270</v>
      </c>
      <c r="B80271">
        <f>TEXT(80270, "[$-0E0000]yyyy-mm-dd")</f>
        <v/>
      </c>
    </row>
    <row r="80272">
      <c r="A80272" s="1" t="n">
        <v>80271</v>
      </c>
      <c r="B80272">
        <f>TEXT(80271, "[$-0E0000]yyyy-mm-dd")</f>
        <v/>
      </c>
    </row>
    <row r="80273">
      <c r="A80273" s="1" t="n">
        <v>80272</v>
      </c>
      <c r="B80273">
        <f>TEXT(80272, "[$-0E0000]yyyy-mm-dd")</f>
        <v/>
      </c>
    </row>
    <row r="80274">
      <c r="A80274" s="1" t="n">
        <v>80273</v>
      </c>
      <c r="B80274">
        <f>TEXT(80273, "[$-0E0000]yyyy-mm-dd")</f>
        <v/>
      </c>
    </row>
    <row r="80275">
      <c r="A80275" s="1" t="n">
        <v>80274</v>
      </c>
      <c r="B80275">
        <f>TEXT(80274, "[$-0E0000]yyyy-mm-dd")</f>
        <v/>
      </c>
    </row>
    <row r="80276">
      <c r="A80276" s="1" t="n">
        <v>80275</v>
      </c>
      <c r="B80276">
        <f>TEXT(80275, "[$-0E0000]yyyy-mm-dd")</f>
        <v/>
      </c>
    </row>
    <row r="80277">
      <c r="A80277" s="1" t="n">
        <v>80276</v>
      </c>
      <c r="B80277">
        <f>TEXT(80276, "[$-0E0000]yyyy-mm-dd")</f>
        <v/>
      </c>
    </row>
    <row r="80278">
      <c r="A80278" s="1" t="n">
        <v>80277</v>
      </c>
      <c r="B80278">
        <f>TEXT(80277, "[$-0E0000]yyyy-mm-dd")</f>
        <v/>
      </c>
    </row>
    <row r="80279">
      <c r="A80279" s="1" t="n">
        <v>80278</v>
      </c>
      <c r="B80279">
        <f>TEXT(80278, "[$-0E0000]yyyy-mm-dd")</f>
        <v/>
      </c>
    </row>
    <row r="80280">
      <c r="A80280" s="1" t="n">
        <v>80279</v>
      </c>
      <c r="B80280">
        <f>TEXT(80279, "[$-0E0000]yyyy-mm-dd")</f>
        <v/>
      </c>
    </row>
    <row r="80281">
      <c r="A80281" s="1" t="n">
        <v>80280</v>
      </c>
      <c r="B80281">
        <f>TEXT(80280, "[$-0E0000]yyyy-mm-dd")</f>
        <v/>
      </c>
    </row>
    <row r="80282">
      <c r="A80282" s="1" t="n">
        <v>80281</v>
      </c>
      <c r="B80282">
        <f>TEXT(80281, "[$-0E0000]yyyy-mm-dd")</f>
        <v/>
      </c>
    </row>
    <row r="80283">
      <c r="A80283" s="1" t="n">
        <v>80282</v>
      </c>
      <c r="B80283">
        <f>TEXT(80282, "[$-0E0000]yyyy-mm-dd")</f>
        <v/>
      </c>
    </row>
    <row r="80284">
      <c r="A80284" s="1" t="n">
        <v>80283</v>
      </c>
      <c r="B80284">
        <f>TEXT(80283, "[$-0E0000]yyyy-mm-dd")</f>
        <v/>
      </c>
    </row>
    <row r="80285">
      <c r="A80285" s="1" t="n">
        <v>80284</v>
      </c>
      <c r="B80285">
        <f>TEXT(80284, "[$-0E0000]yyyy-mm-dd")</f>
        <v/>
      </c>
    </row>
    <row r="80286">
      <c r="A80286" s="1" t="n">
        <v>80285</v>
      </c>
      <c r="B80286">
        <f>TEXT(80285, "[$-0E0000]yyyy-mm-dd")</f>
        <v/>
      </c>
    </row>
    <row r="80287">
      <c r="A80287" s="1" t="n">
        <v>80286</v>
      </c>
      <c r="B80287">
        <f>TEXT(80286, "[$-0E0000]yyyy-mm-dd")</f>
        <v/>
      </c>
    </row>
    <row r="80288">
      <c r="A80288" s="1" t="n">
        <v>80287</v>
      </c>
      <c r="B80288">
        <f>TEXT(80287, "[$-0E0000]yyyy-mm-dd")</f>
        <v/>
      </c>
    </row>
    <row r="80289">
      <c r="A80289" s="1" t="n">
        <v>80288</v>
      </c>
      <c r="B80289">
        <f>TEXT(80288, "[$-0E0000]yyyy-mm-dd")</f>
        <v/>
      </c>
    </row>
    <row r="80290">
      <c r="A80290" s="1" t="n">
        <v>80289</v>
      </c>
      <c r="B80290">
        <f>TEXT(80289, "[$-0E0000]yyyy-mm-dd")</f>
        <v/>
      </c>
    </row>
    <row r="80291">
      <c r="A80291" s="1" t="n">
        <v>80290</v>
      </c>
      <c r="B80291">
        <f>TEXT(80290, "[$-0E0000]yyyy-mm-dd")</f>
        <v/>
      </c>
    </row>
    <row r="80292">
      <c r="A80292" s="1" t="n">
        <v>80291</v>
      </c>
      <c r="B80292">
        <f>TEXT(80291, "[$-0E0000]yyyy-mm-dd")</f>
        <v/>
      </c>
    </row>
    <row r="80293">
      <c r="A80293" s="1" t="n">
        <v>80292</v>
      </c>
      <c r="B80293">
        <f>TEXT(80292, "[$-0E0000]yyyy-mm-dd")</f>
        <v/>
      </c>
    </row>
    <row r="80294">
      <c r="A80294" s="1" t="n">
        <v>80293</v>
      </c>
      <c r="B80294">
        <f>TEXT(80293, "[$-0E0000]yyyy-mm-dd")</f>
        <v/>
      </c>
    </row>
    <row r="80295">
      <c r="A80295" s="1" t="n">
        <v>80294</v>
      </c>
      <c r="B80295">
        <f>TEXT(80294, "[$-0E0000]yyyy-mm-dd")</f>
        <v/>
      </c>
    </row>
    <row r="80296">
      <c r="A80296" s="1" t="n">
        <v>80295</v>
      </c>
      <c r="B80296">
        <f>TEXT(80295, "[$-0E0000]yyyy-mm-dd")</f>
        <v/>
      </c>
    </row>
    <row r="80297">
      <c r="A80297" s="1" t="n">
        <v>80296</v>
      </c>
      <c r="B80297">
        <f>TEXT(80296, "[$-0E0000]yyyy-mm-dd")</f>
        <v/>
      </c>
    </row>
    <row r="80298">
      <c r="A80298" s="1" t="n">
        <v>80297</v>
      </c>
      <c r="B80298">
        <f>TEXT(80297, "[$-0E0000]yyyy-mm-dd")</f>
        <v/>
      </c>
    </row>
    <row r="80299">
      <c r="A80299" s="1" t="n">
        <v>80298</v>
      </c>
      <c r="B80299">
        <f>TEXT(80298, "[$-0E0000]yyyy-mm-dd")</f>
        <v/>
      </c>
    </row>
    <row r="80300">
      <c r="A80300" s="1" t="n">
        <v>80299</v>
      </c>
      <c r="B80300">
        <f>TEXT(80299, "[$-0E0000]yyyy-mm-dd")</f>
        <v/>
      </c>
    </row>
    <row r="80301">
      <c r="A80301" s="1" t="n">
        <v>80300</v>
      </c>
      <c r="B80301">
        <f>TEXT(80300, "[$-0E0000]yyyy-mm-dd")</f>
        <v/>
      </c>
    </row>
    <row r="80302">
      <c r="A80302" s="1" t="n">
        <v>80301</v>
      </c>
      <c r="B80302">
        <f>TEXT(80301, "[$-0E0000]yyyy-mm-dd")</f>
        <v/>
      </c>
    </row>
    <row r="80303">
      <c r="A80303" s="1" t="n">
        <v>80302</v>
      </c>
      <c r="B80303">
        <f>TEXT(80302, "[$-0E0000]yyyy-mm-dd")</f>
        <v/>
      </c>
    </row>
    <row r="80304">
      <c r="A80304" s="1" t="n">
        <v>80303</v>
      </c>
      <c r="B80304">
        <f>TEXT(80303, "[$-0E0000]yyyy-mm-dd")</f>
        <v/>
      </c>
    </row>
    <row r="80305">
      <c r="A80305" s="1" t="n">
        <v>80304</v>
      </c>
      <c r="B80305">
        <f>TEXT(80304, "[$-0E0000]yyyy-mm-dd")</f>
        <v/>
      </c>
    </row>
    <row r="80306">
      <c r="A80306" s="1" t="n">
        <v>80305</v>
      </c>
      <c r="B80306">
        <f>TEXT(80305, "[$-0E0000]yyyy-mm-dd")</f>
        <v/>
      </c>
    </row>
    <row r="80307">
      <c r="A80307" s="1" t="n">
        <v>80306</v>
      </c>
      <c r="B80307">
        <f>TEXT(80306, "[$-0E0000]yyyy-mm-dd")</f>
        <v/>
      </c>
    </row>
    <row r="80308">
      <c r="A80308" s="1" t="n">
        <v>80307</v>
      </c>
      <c r="B80308">
        <f>TEXT(80307, "[$-0E0000]yyyy-mm-dd")</f>
        <v/>
      </c>
    </row>
    <row r="80309">
      <c r="A80309" s="1" t="n">
        <v>80308</v>
      </c>
      <c r="B80309">
        <f>TEXT(80308, "[$-0E0000]yyyy-mm-dd")</f>
        <v/>
      </c>
    </row>
    <row r="80310">
      <c r="A80310" s="1" t="n">
        <v>80309</v>
      </c>
      <c r="B80310">
        <f>TEXT(80309, "[$-0E0000]yyyy-mm-dd")</f>
        <v/>
      </c>
    </row>
    <row r="80311">
      <c r="A80311" s="1" t="n">
        <v>80310</v>
      </c>
      <c r="B80311">
        <f>TEXT(80310, "[$-0E0000]yyyy-mm-dd")</f>
        <v/>
      </c>
    </row>
    <row r="80312">
      <c r="A80312" s="1" t="n">
        <v>80311</v>
      </c>
      <c r="B80312">
        <f>TEXT(80311, "[$-0E0000]yyyy-mm-dd")</f>
        <v/>
      </c>
    </row>
    <row r="80313">
      <c r="A80313" s="1" t="n">
        <v>80312</v>
      </c>
      <c r="B80313">
        <f>TEXT(80312, "[$-0E0000]yyyy-mm-dd")</f>
        <v/>
      </c>
    </row>
    <row r="80314">
      <c r="A80314" s="1" t="n">
        <v>80313</v>
      </c>
      <c r="B80314">
        <f>TEXT(80313, "[$-0E0000]yyyy-mm-dd")</f>
        <v/>
      </c>
    </row>
    <row r="80315">
      <c r="A80315" s="1" t="n">
        <v>80314</v>
      </c>
      <c r="B80315">
        <f>TEXT(80314, "[$-0E0000]yyyy-mm-dd")</f>
        <v/>
      </c>
    </row>
    <row r="80316">
      <c r="A80316" s="1" t="n">
        <v>80315</v>
      </c>
      <c r="B80316">
        <f>TEXT(80315, "[$-0E0000]yyyy-mm-dd")</f>
        <v/>
      </c>
    </row>
    <row r="80317">
      <c r="A80317" s="1" t="n">
        <v>80316</v>
      </c>
      <c r="B80317">
        <f>TEXT(80316, "[$-0E0000]yyyy-mm-dd")</f>
        <v/>
      </c>
    </row>
    <row r="80318">
      <c r="A80318" s="1" t="n">
        <v>80317</v>
      </c>
      <c r="B80318">
        <f>TEXT(80317, "[$-0E0000]yyyy-mm-dd")</f>
        <v/>
      </c>
    </row>
    <row r="80319">
      <c r="A80319" s="1" t="n">
        <v>80318</v>
      </c>
      <c r="B80319">
        <f>TEXT(80318, "[$-0E0000]yyyy-mm-dd")</f>
        <v/>
      </c>
    </row>
    <row r="80320">
      <c r="A80320" s="1" t="n">
        <v>80319</v>
      </c>
      <c r="B80320">
        <f>TEXT(80319, "[$-0E0000]yyyy-mm-dd")</f>
        <v/>
      </c>
    </row>
    <row r="80321">
      <c r="A80321" s="1" t="n">
        <v>80320</v>
      </c>
      <c r="B80321">
        <f>TEXT(80320, "[$-0E0000]yyyy-mm-dd")</f>
        <v/>
      </c>
    </row>
    <row r="80322">
      <c r="A80322" s="1" t="n">
        <v>80321</v>
      </c>
      <c r="B80322">
        <f>TEXT(80321, "[$-0E0000]yyyy-mm-dd")</f>
        <v/>
      </c>
    </row>
    <row r="80323">
      <c r="A80323" s="1" t="n">
        <v>80322</v>
      </c>
      <c r="B80323">
        <f>TEXT(80322, "[$-0E0000]yyyy-mm-dd")</f>
        <v/>
      </c>
    </row>
    <row r="80324">
      <c r="A80324" s="1" t="n">
        <v>80323</v>
      </c>
      <c r="B80324">
        <f>TEXT(80323, "[$-0E0000]yyyy-mm-dd")</f>
        <v/>
      </c>
    </row>
    <row r="80325">
      <c r="A80325" s="1" t="n">
        <v>80324</v>
      </c>
      <c r="B80325">
        <f>TEXT(80324, "[$-0E0000]yyyy-mm-dd")</f>
        <v/>
      </c>
    </row>
    <row r="80326">
      <c r="A80326" s="1" t="n">
        <v>80325</v>
      </c>
      <c r="B80326">
        <f>TEXT(80325, "[$-0E0000]yyyy-mm-dd")</f>
        <v/>
      </c>
    </row>
    <row r="80327">
      <c r="A80327" s="1" t="n">
        <v>80326</v>
      </c>
      <c r="B80327">
        <f>TEXT(80326, "[$-0E0000]yyyy-mm-dd")</f>
        <v/>
      </c>
    </row>
    <row r="80328">
      <c r="A80328" s="1" t="n">
        <v>80327</v>
      </c>
      <c r="B80328">
        <f>TEXT(80327, "[$-0E0000]yyyy-mm-dd")</f>
        <v/>
      </c>
    </row>
    <row r="80329">
      <c r="A80329" s="1" t="n">
        <v>80328</v>
      </c>
      <c r="B80329">
        <f>TEXT(80328, "[$-0E0000]yyyy-mm-dd")</f>
        <v/>
      </c>
    </row>
    <row r="80330">
      <c r="A80330" s="1" t="n">
        <v>80329</v>
      </c>
      <c r="B80330">
        <f>TEXT(80329, "[$-0E0000]yyyy-mm-dd")</f>
        <v/>
      </c>
    </row>
    <row r="80331">
      <c r="A80331" s="1" t="n">
        <v>80330</v>
      </c>
      <c r="B80331">
        <f>TEXT(80330, "[$-0E0000]yyyy-mm-dd")</f>
        <v/>
      </c>
    </row>
    <row r="80332">
      <c r="A80332" s="1" t="n">
        <v>80331</v>
      </c>
      <c r="B80332">
        <f>TEXT(80331, "[$-0E0000]yyyy-mm-dd")</f>
        <v/>
      </c>
    </row>
    <row r="80333">
      <c r="A80333" s="1" t="n">
        <v>80332</v>
      </c>
      <c r="B80333">
        <f>TEXT(80332, "[$-0E0000]yyyy-mm-dd")</f>
        <v/>
      </c>
    </row>
    <row r="80334">
      <c r="A80334" s="1" t="n">
        <v>80333</v>
      </c>
      <c r="B80334">
        <f>TEXT(80333, "[$-0E0000]yyyy-mm-dd")</f>
        <v/>
      </c>
    </row>
    <row r="80335">
      <c r="A80335" s="1" t="n">
        <v>80334</v>
      </c>
      <c r="B80335">
        <f>TEXT(80334, "[$-0E0000]yyyy-mm-dd")</f>
        <v/>
      </c>
    </row>
    <row r="80336">
      <c r="A80336" s="1" t="n">
        <v>80335</v>
      </c>
      <c r="B80336">
        <f>TEXT(80335, "[$-0E0000]yyyy-mm-dd")</f>
        <v/>
      </c>
    </row>
    <row r="80337">
      <c r="A80337" s="1" t="n">
        <v>80336</v>
      </c>
      <c r="B80337">
        <f>TEXT(80336, "[$-0E0000]yyyy-mm-dd")</f>
        <v/>
      </c>
    </row>
    <row r="80338">
      <c r="A80338" s="1" t="n">
        <v>80337</v>
      </c>
      <c r="B80338">
        <f>TEXT(80337, "[$-0E0000]yyyy-mm-dd")</f>
        <v/>
      </c>
    </row>
    <row r="80339">
      <c r="A80339" s="1" t="n">
        <v>80338</v>
      </c>
      <c r="B80339">
        <f>TEXT(80338, "[$-0E0000]yyyy-mm-dd")</f>
        <v/>
      </c>
    </row>
    <row r="80340">
      <c r="A80340" s="1" t="n">
        <v>80339</v>
      </c>
      <c r="B80340">
        <f>TEXT(80339, "[$-0E0000]yyyy-mm-dd")</f>
        <v/>
      </c>
    </row>
    <row r="80341">
      <c r="A80341" s="1" t="n">
        <v>80340</v>
      </c>
      <c r="B80341">
        <f>TEXT(80340, "[$-0E0000]yyyy-mm-dd")</f>
        <v/>
      </c>
    </row>
    <row r="80342">
      <c r="A80342" s="1" t="n">
        <v>80341</v>
      </c>
      <c r="B80342">
        <f>TEXT(80341, "[$-0E0000]yyyy-mm-dd")</f>
        <v/>
      </c>
    </row>
    <row r="80343">
      <c r="A80343" s="1" t="n">
        <v>80342</v>
      </c>
      <c r="B80343">
        <f>TEXT(80342, "[$-0E0000]yyyy-mm-dd")</f>
        <v/>
      </c>
    </row>
    <row r="80344">
      <c r="A80344" s="1" t="n">
        <v>80343</v>
      </c>
      <c r="B80344">
        <f>TEXT(80343, "[$-0E0000]yyyy-mm-dd")</f>
        <v/>
      </c>
    </row>
    <row r="80345">
      <c r="A80345" s="1" t="n">
        <v>80344</v>
      </c>
      <c r="B80345">
        <f>TEXT(80344, "[$-0E0000]yyyy-mm-dd")</f>
        <v/>
      </c>
    </row>
    <row r="80346">
      <c r="A80346" s="1" t="n">
        <v>80345</v>
      </c>
      <c r="B80346">
        <f>TEXT(80345, "[$-0E0000]yyyy-mm-dd")</f>
        <v/>
      </c>
    </row>
    <row r="80347">
      <c r="A80347" s="1" t="n">
        <v>80346</v>
      </c>
      <c r="B80347">
        <f>TEXT(80346, "[$-0E0000]yyyy-mm-dd")</f>
        <v/>
      </c>
    </row>
    <row r="80348">
      <c r="A80348" s="1" t="n">
        <v>80347</v>
      </c>
      <c r="B80348">
        <f>TEXT(80347, "[$-0E0000]yyyy-mm-dd")</f>
        <v/>
      </c>
    </row>
    <row r="80349">
      <c r="A80349" s="1" t="n">
        <v>80348</v>
      </c>
      <c r="B80349">
        <f>TEXT(80348, "[$-0E0000]yyyy-mm-dd")</f>
        <v/>
      </c>
    </row>
    <row r="80350">
      <c r="A80350" s="1" t="n">
        <v>80349</v>
      </c>
      <c r="B80350">
        <f>TEXT(80349, "[$-0E0000]yyyy-mm-dd")</f>
        <v/>
      </c>
    </row>
    <row r="80351">
      <c r="A80351" s="1" t="n">
        <v>80350</v>
      </c>
      <c r="B80351">
        <f>TEXT(80350, "[$-0E0000]yyyy-mm-dd")</f>
        <v/>
      </c>
    </row>
    <row r="80352">
      <c r="A80352" s="1" t="n">
        <v>80351</v>
      </c>
      <c r="B80352">
        <f>TEXT(80351, "[$-0E0000]yyyy-mm-dd")</f>
        <v/>
      </c>
    </row>
    <row r="80353">
      <c r="A80353" s="1" t="n">
        <v>80352</v>
      </c>
      <c r="B80353">
        <f>TEXT(80352, "[$-0E0000]yyyy-mm-dd")</f>
        <v/>
      </c>
    </row>
    <row r="80354">
      <c r="A80354" s="1" t="n">
        <v>80353</v>
      </c>
      <c r="B80354">
        <f>TEXT(80353, "[$-0E0000]yyyy-mm-dd")</f>
        <v/>
      </c>
    </row>
    <row r="80355">
      <c r="A80355" s="1" t="n">
        <v>80354</v>
      </c>
      <c r="B80355">
        <f>TEXT(80354, "[$-0E0000]yyyy-mm-dd")</f>
        <v/>
      </c>
    </row>
    <row r="80356">
      <c r="A80356" s="1" t="n">
        <v>80355</v>
      </c>
      <c r="B80356">
        <f>TEXT(80355, "[$-0E0000]yyyy-mm-dd")</f>
        <v/>
      </c>
    </row>
    <row r="80357">
      <c r="A80357" s="1" t="n">
        <v>80356</v>
      </c>
      <c r="B80357">
        <f>TEXT(80356, "[$-0E0000]yyyy-mm-dd")</f>
        <v/>
      </c>
    </row>
    <row r="80358">
      <c r="A80358" s="1" t="n">
        <v>80357</v>
      </c>
      <c r="B80358">
        <f>TEXT(80357, "[$-0E0000]yyyy-mm-dd")</f>
        <v/>
      </c>
    </row>
    <row r="80359">
      <c r="A80359" s="1" t="n">
        <v>80358</v>
      </c>
      <c r="B80359">
        <f>TEXT(80358, "[$-0E0000]yyyy-mm-dd")</f>
        <v/>
      </c>
    </row>
    <row r="80360">
      <c r="A80360" s="1" t="n">
        <v>80359</v>
      </c>
      <c r="B80360">
        <f>TEXT(80359, "[$-0E0000]yyyy-mm-dd")</f>
        <v/>
      </c>
    </row>
    <row r="80361">
      <c r="A80361" s="1" t="n">
        <v>80360</v>
      </c>
      <c r="B80361">
        <f>TEXT(80360, "[$-0E0000]yyyy-mm-dd")</f>
        <v/>
      </c>
    </row>
    <row r="80362">
      <c r="A80362" s="1" t="n">
        <v>80361</v>
      </c>
      <c r="B80362">
        <f>TEXT(80361, "[$-0E0000]yyyy-mm-dd")</f>
        <v/>
      </c>
    </row>
    <row r="80363">
      <c r="A80363" s="1" t="n">
        <v>80362</v>
      </c>
      <c r="B80363">
        <f>TEXT(80362, "[$-0E0000]yyyy-mm-dd")</f>
        <v/>
      </c>
    </row>
    <row r="80364">
      <c r="A80364" s="1" t="n">
        <v>80363</v>
      </c>
      <c r="B80364">
        <f>TEXT(80363, "[$-0E0000]yyyy-mm-dd")</f>
        <v/>
      </c>
    </row>
    <row r="80365">
      <c r="A80365" s="1" t="n">
        <v>80364</v>
      </c>
      <c r="B80365">
        <f>TEXT(80364, "[$-0E0000]yyyy-mm-dd")</f>
        <v/>
      </c>
    </row>
    <row r="80366">
      <c r="A80366" s="1" t="n">
        <v>80365</v>
      </c>
      <c r="B80366">
        <f>TEXT(80365, "[$-0E0000]yyyy-mm-dd")</f>
        <v/>
      </c>
    </row>
    <row r="80367">
      <c r="A80367" s="1" t="n">
        <v>80366</v>
      </c>
      <c r="B80367">
        <f>TEXT(80366, "[$-0E0000]yyyy-mm-dd")</f>
        <v/>
      </c>
    </row>
    <row r="80368">
      <c r="A80368" s="1" t="n">
        <v>80367</v>
      </c>
      <c r="B80368">
        <f>TEXT(80367, "[$-0E0000]yyyy-mm-dd")</f>
        <v/>
      </c>
    </row>
    <row r="80369">
      <c r="A80369" s="1" t="n">
        <v>80368</v>
      </c>
      <c r="B80369">
        <f>TEXT(80368, "[$-0E0000]yyyy-mm-dd")</f>
        <v/>
      </c>
    </row>
    <row r="80370">
      <c r="A80370" s="1" t="n">
        <v>80369</v>
      </c>
      <c r="B80370">
        <f>TEXT(80369, "[$-0E0000]yyyy-mm-dd")</f>
        <v/>
      </c>
    </row>
    <row r="80371">
      <c r="A80371" s="1" t="n">
        <v>80370</v>
      </c>
      <c r="B80371">
        <f>TEXT(80370, "[$-0E0000]yyyy-mm-dd")</f>
        <v/>
      </c>
    </row>
    <row r="80372">
      <c r="A80372" s="1" t="n">
        <v>80371</v>
      </c>
      <c r="B80372">
        <f>TEXT(80371, "[$-0E0000]yyyy-mm-dd")</f>
        <v/>
      </c>
    </row>
    <row r="80373">
      <c r="A80373" s="1" t="n">
        <v>80372</v>
      </c>
      <c r="B80373">
        <f>TEXT(80372, "[$-0E0000]yyyy-mm-dd")</f>
        <v/>
      </c>
    </row>
    <row r="80374">
      <c r="A80374" s="1" t="n">
        <v>80373</v>
      </c>
      <c r="B80374">
        <f>TEXT(80373, "[$-0E0000]yyyy-mm-dd")</f>
        <v/>
      </c>
    </row>
    <row r="80375">
      <c r="A80375" s="1" t="n">
        <v>80374</v>
      </c>
      <c r="B80375">
        <f>TEXT(80374, "[$-0E0000]yyyy-mm-dd")</f>
        <v/>
      </c>
    </row>
    <row r="80376">
      <c r="A80376" s="1" t="n">
        <v>80375</v>
      </c>
      <c r="B80376">
        <f>TEXT(80375, "[$-0E0000]yyyy-mm-dd")</f>
        <v/>
      </c>
    </row>
    <row r="80377">
      <c r="A80377" s="1" t="n">
        <v>80376</v>
      </c>
      <c r="B80377">
        <f>TEXT(80376, "[$-0E0000]yyyy-mm-dd")</f>
        <v/>
      </c>
    </row>
    <row r="80378">
      <c r="A80378" s="1" t="n">
        <v>80377</v>
      </c>
      <c r="B80378">
        <f>TEXT(80377, "[$-0E0000]yyyy-mm-dd")</f>
        <v/>
      </c>
    </row>
    <row r="80379">
      <c r="A80379" s="1" t="n">
        <v>80378</v>
      </c>
      <c r="B80379">
        <f>TEXT(80378, "[$-0E0000]yyyy-mm-dd")</f>
        <v/>
      </c>
    </row>
    <row r="80380">
      <c r="A80380" s="1" t="n">
        <v>80379</v>
      </c>
      <c r="B80380">
        <f>TEXT(80379, "[$-0E0000]yyyy-mm-dd")</f>
        <v/>
      </c>
    </row>
    <row r="80381">
      <c r="A80381" s="1" t="n">
        <v>80380</v>
      </c>
      <c r="B80381">
        <f>TEXT(80380, "[$-0E0000]yyyy-mm-dd")</f>
        <v/>
      </c>
    </row>
    <row r="80382">
      <c r="A80382" s="1" t="n">
        <v>80381</v>
      </c>
      <c r="B80382">
        <f>TEXT(80381, "[$-0E0000]yyyy-mm-dd")</f>
        <v/>
      </c>
    </row>
    <row r="80383">
      <c r="A80383" s="1" t="n">
        <v>80382</v>
      </c>
      <c r="B80383">
        <f>TEXT(80382, "[$-0E0000]yyyy-mm-dd")</f>
        <v/>
      </c>
    </row>
    <row r="80384">
      <c r="A80384" s="1" t="n">
        <v>80383</v>
      </c>
      <c r="B80384">
        <f>TEXT(80383, "[$-0E0000]yyyy-mm-dd")</f>
        <v/>
      </c>
    </row>
    <row r="80385">
      <c r="A80385" s="1" t="n">
        <v>80384</v>
      </c>
      <c r="B80385">
        <f>TEXT(80384, "[$-0E0000]yyyy-mm-dd")</f>
        <v/>
      </c>
    </row>
    <row r="80386">
      <c r="A80386" s="1" t="n">
        <v>80385</v>
      </c>
      <c r="B80386">
        <f>TEXT(80385, "[$-0E0000]yyyy-mm-dd")</f>
        <v/>
      </c>
    </row>
    <row r="80387">
      <c r="A80387" s="1" t="n">
        <v>80386</v>
      </c>
      <c r="B80387">
        <f>TEXT(80386, "[$-0E0000]yyyy-mm-dd")</f>
        <v/>
      </c>
    </row>
    <row r="80388">
      <c r="A80388" s="1" t="n">
        <v>80387</v>
      </c>
      <c r="B80388">
        <f>TEXT(80387, "[$-0E0000]yyyy-mm-dd")</f>
        <v/>
      </c>
    </row>
    <row r="80389">
      <c r="A80389" s="1" t="n">
        <v>80388</v>
      </c>
      <c r="B80389">
        <f>TEXT(80388, "[$-0E0000]yyyy-mm-dd")</f>
        <v/>
      </c>
    </row>
    <row r="80390">
      <c r="A80390" s="1" t="n">
        <v>80389</v>
      </c>
      <c r="B80390">
        <f>TEXT(80389, "[$-0E0000]yyyy-mm-dd")</f>
        <v/>
      </c>
    </row>
    <row r="80391">
      <c r="A80391" s="1" t="n">
        <v>80390</v>
      </c>
      <c r="B80391">
        <f>TEXT(80390, "[$-0E0000]yyyy-mm-dd")</f>
        <v/>
      </c>
    </row>
    <row r="80392">
      <c r="A80392" s="1" t="n">
        <v>80391</v>
      </c>
      <c r="B80392">
        <f>TEXT(80391, "[$-0E0000]yyyy-mm-dd")</f>
        <v/>
      </c>
    </row>
    <row r="80393">
      <c r="A80393" s="1" t="n">
        <v>80392</v>
      </c>
      <c r="B80393">
        <f>TEXT(80392, "[$-0E0000]yyyy-mm-dd")</f>
        <v/>
      </c>
    </row>
    <row r="80394">
      <c r="A80394" s="1" t="n">
        <v>80393</v>
      </c>
      <c r="B80394">
        <f>TEXT(80393, "[$-0E0000]yyyy-mm-dd")</f>
        <v/>
      </c>
    </row>
    <row r="80395">
      <c r="A80395" s="1" t="n">
        <v>80394</v>
      </c>
      <c r="B80395">
        <f>TEXT(80394, "[$-0E0000]yyyy-mm-dd")</f>
        <v/>
      </c>
    </row>
    <row r="80396">
      <c r="A80396" s="1" t="n">
        <v>80395</v>
      </c>
      <c r="B80396">
        <f>TEXT(80395, "[$-0E0000]yyyy-mm-dd")</f>
        <v/>
      </c>
    </row>
    <row r="80397">
      <c r="A80397" s="1" t="n">
        <v>80396</v>
      </c>
      <c r="B80397">
        <f>TEXT(80396, "[$-0E0000]yyyy-mm-dd")</f>
        <v/>
      </c>
    </row>
    <row r="80398">
      <c r="A80398" s="1" t="n">
        <v>80397</v>
      </c>
      <c r="B80398">
        <f>TEXT(80397, "[$-0E0000]yyyy-mm-dd")</f>
        <v/>
      </c>
    </row>
    <row r="80399">
      <c r="A80399" s="1" t="n">
        <v>80398</v>
      </c>
      <c r="B80399">
        <f>TEXT(80398, "[$-0E0000]yyyy-mm-dd")</f>
        <v/>
      </c>
    </row>
    <row r="80400">
      <c r="A80400" s="1" t="n">
        <v>80399</v>
      </c>
      <c r="B80400">
        <f>TEXT(80399, "[$-0E0000]yyyy-mm-dd")</f>
        <v/>
      </c>
    </row>
    <row r="80401">
      <c r="A80401" s="1" t="n">
        <v>80400</v>
      </c>
      <c r="B80401">
        <f>TEXT(80400, "[$-0E0000]yyyy-mm-dd")</f>
        <v/>
      </c>
    </row>
    <row r="80402">
      <c r="A80402" s="1" t="n">
        <v>80401</v>
      </c>
      <c r="B80402">
        <f>TEXT(80401, "[$-0E0000]yyyy-mm-dd")</f>
        <v/>
      </c>
    </row>
    <row r="80403">
      <c r="A80403" s="1" t="n">
        <v>80402</v>
      </c>
      <c r="B80403">
        <f>TEXT(80402, "[$-0E0000]yyyy-mm-dd")</f>
        <v/>
      </c>
    </row>
    <row r="80404">
      <c r="A80404" s="1" t="n">
        <v>80403</v>
      </c>
      <c r="B80404">
        <f>TEXT(80403, "[$-0E0000]yyyy-mm-dd")</f>
        <v/>
      </c>
    </row>
    <row r="80405">
      <c r="A80405" s="1" t="n">
        <v>80404</v>
      </c>
      <c r="B80405">
        <f>TEXT(80404, "[$-0E0000]yyyy-mm-dd")</f>
        <v/>
      </c>
    </row>
    <row r="80406">
      <c r="A80406" s="1" t="n">
        <v>80405</v>
      </c>
      <c r="B80406">
        <f>TEXT(80405, "[$-0E0000]yyyy-mm-dd")</f>
        <v/>
      </c>
    </row>
    <row r="80407">
      <c r="A80407" s="1" t="n">
        <v>80406</v>
      </c>
      <c r="B80407">
        <f>TEXT(80406, "[$-0E0000]yyyy-mm-dd")</f>
        <v/>
      </c>
    </row>
    <row r="80408">
      <c r="A80408" s="1" t="n">
        <v>80407</v>
      </c>
      <c r="B80408">
        <f>TEXT(80407, "[$-0E0000]yyyy-mm-dd")</f>
        <v/>
      </c>
    </row>
    <row r="80409">
      <c r="A80409" s="1" t="n">
        <v>80408</v>
      </c>
      <c r="B80409">
        <f>TEXT(80408, "[$-0E0000]yyyy-mm-dd")</f>
        <v/>
      </c>
    </row>
    <row r="80410">
      <c r="A80410" s="1" t="n">
        <v>80409</v>
      </c>
      <c r="B80410">
        <f>TEXT(80409, "[$-0E0000]yyyy-mm-dd")</f>
        <v/>
      </c>
    </row>
    <row r="80411">
      <c r="A80411" s="1" t="n">
        <v>80410</v>
      </c>
      <c r="B80411">
        <f>TEXT(80410, "[$-0E0000]yyyy-mm-dd")</f>
        <v/>
      </c>
    </row>
    <row r="80412">
      <c r="A80412" s="1" t="n">
        <v>80411</v>
      </c>
      <c r="B80412">
        <f>TEXT(80411, "[$-0E0000]yyyy-mm-dd")</f>
        <v/>
      </c>
    </row>
    <row r="80413">
      <c r="A80413" s="1" t="n">
        <v>80412</v>
      </c>
      <c r="B80413">
        <f>TEXT(80412, "[$-0E0000]yyyy-mm-dd")</f>
        <v/>
      </c>
    </row>
    <row r="80414">
      <c r="A80414" s="1" t="n">
        <v>80413</v>
      </c>
      <c r="B80414">
        <f>TEXT(80413, "[$-0E0000]yyyy-mm-dd")</f>
        <v/>
      </c>
    </row>
    <row r="80415">
      <c r="A80415" s="1" t="n">
        <v>80414</v>
      </c>
      <c r="B80415">
        <f>TEXT(80414, "[$-0E0000]yyyy-mm-dd")</f>
        <v/>
      </c>
    </row>
    <row r="80416">
      <c r="A80416" s="1" t="n">
        <v>80415</v>
      </c>
      <c r="B80416">
        <f>TEXT(80415, "[$-0E0000]yyyy-mm-dd")</f>
        <v/>
      </c>
    </row>
    <row r="80417">
      <c r="A80417" s="1" t="n">
        <v>80416</v>
      </c>
      <c r="B80417">
        <f>TEXT(80416, "[$-0E0000]yyyy-mm-dd")</f>
        <v/>
      </c>
    </row>
    <row r="80418">
      <c r="A80418" s="1" t="n">
        <v>80417</v>
      </c>
      <c r="B80418">
        <f>TEXT(80417, "[$-0E0000]yyyy-mm-dd")</f>
        <v/>
      </c>
    </row>
    <row r="80419">
      <c r="A80419" s="1" t="n">
        <v>80418</v>
      </c>
      <c r="B80419">
        <f>TEXT(80418, "[$-0E0000]yyyy-mm-dd")</f>
        <v/>
      </c>
    </row>
    <row r="80420">
      <c r="A80420" s="1" t="n">
        <v>80419</v>
      </c>
      <c r="B80420">
        <f>TEXT(80419, "[$-0E0000]yyyy-mm-dd")</f>
        <v/>
      </c>
    </row>
    <row r="80421">
      <c r="A80421" s="1" t="n">
        <v>80420</v>
      </c>
      <c r="B80421">
        <f>TEXT(80420, "[$-0E0000]yyyy-mm-dd")</f>
        <v/>
      </c>
    </row>
    <row r="80422">
      <c r="A80422" s="1" t="n">
        <v>80421</v>
      </c>
      <c r="B80422">
        <f>TEXT(80421, "[$-0E0000]yyyy-mm-dd")</f>
        <v/>
      </c>
    </row>
    <row r="80423">
      <c r="A80423" s="1" t="n">
        <v>80422</v>
      </c>
      <c r="B80423">
        <f>TEXT(80422, "[$-0E0000]yyyy-mm-dd")</f>
        <v/>
      </c>
    </row>
    <row r="80424">
      <c r="A80424" s="1" t="n">
        <v>80423</v>
      </c>
      <c r="B80424">
        <f>TEXT(80423, "[$-0E0000]yyyy-mm-dd")</f>
        <v/>
      </c>
    </row>
    <row r="80425">
      <c r="A80425" s="1" t="n">
        <v>80424</v>
      </c>
      <c r="B80425">
        <f>TEXT(80424, "[$-0E0000]yyyy-mm-dd")</f>
        <v/>
      </c>
    </row>
    <row r="80426">
      <c r="A80426" s="1" t="n">
        <v>80425</v>
      </c>
      <c r="B80426">
        <f>TEXT(80425, "[$-0E0000]yyyy-mm-dd")</f>
        <v/>
      </c>
    </row>
    <row r="80427">
      <c r="A80427" s="1" t="n">
        <v>80426</v>
      </c>
      <c r="B80427">
        <f>TEXT(80426, "[$-0E0000]yyyy-mm-dd")</f>
        <v/>
      </c>
    </row>
    <row r="80428">
      <c r="A80428" s="1" t="n">
        <v>80427</v>
      </c>
      <c r="B80428">
        <f>TEXT(80427, "[$-0E0000]yyyy-mm-dd")</f>
        <v/>
      </c>
    </row>
    <row r="80429">
      <c r="A80429" s="1" t="n">
        <v>80428</v>
      </c>
      <c r="B80429">
        <f>TEXT(80428, "[$-0E0000]yyyy-mm-dd")</f>
        <v/>
      </c>
    </row>
    <row r="80430">
      <c r="A80430" s="1" t="n">
        <v>80429</v>
      </c>
      <c r="B80430">
        <f>TEXT(80429, "[$-0E0000]yyyy-mm-dd")</f>
        <v/>
      </c>
    </row>
    <row r="80431">
      <c r="A80431" s="1" t="n">
        <v>80430</v>
      </c>
      <c r="B80431">
        <f>TEXT(80430, "[$-0E0000]yyyy-mm-dd")</f>
        <v/>
      </c>
    </row>
    <row r="80432">
      <c r="A80432" s="1" t="n">
        <v>80431</v>
      </c>
      <c r="B80432">
        <f>TEXT(80431, "[$-0E0000]yyyy-mm-dd")</f>
        <v/>
      </c>
    </row>
    <row r="80433">
      <c r="A80433" s="1" t="n">
        <v>80432</v>
      </c>
      <c r="B80433">
        <f>TEXT(80432, "[$-0E0000]yyyy-mm-dd")</f>
        <v/>
      </c>
    </row>
    <row r="80434">
      <c r="A80434" s="1" t="n">
        <v>80433</v>
      </c>
      <c r="B80434">
        <f>TEXT(80433, "[$-0E0000]yyyy-mm-dd")</f>
        <v/>
      </c>
    </row>
    <row r="80435">
      <c r="A80435" s="1" t="n">
        <v>80434</v>
      </c>
      <c r="B80435">
        <f>TEXT(80434, "[$-0E0000]yyyy-mm-dd")</f>
        <v/>
      </c>
    </row>
    <row r="80436">
      <c r="A80436" s="1" t="n">
        <v>80435</v>
      </c>
      <c r="B80436">
        <f>TEXT(80435, "[$-0E0000]yyyy-mm-dd")</f>
        <v/>
      </c>
    </row>
    <row r="80437">
      <c r="A80437" s="1" t="n">
        <v>80436</v>
      </c>
      <c r="B80437">
        <f>TEXT(80436, "[$-0E0000]yyyy-mm-dd")</f>
        <v/>
      </c>
    </row>
    <row r="80438">
      <c r="A80438" s="1" t="n">
        <v>80437</v>
      </c>
      <c r="B80438">
        <f>TEXT(80437, "[$-0E0000]yyyy-mm-dd")</f>
        <v/>
      </c>
    </row>
    <row r="80439">
      <c r="A80439" s="1" t="n">
        <v>80438</v>
      </c>
      <c r="B80439">
        <f>TEXT(80438, "[$-0E0000]yyyy-mm-dd")</f>
        <v/>
      </c>
    </row>
    <row r="80440">
      <c r="A80440" s="1" t="n">
        <v>80439</v>
      </c>
      <c r="B80440">
        <f>TEXT(80439, "[$-0E0000]yyyy-mm-dd")</f>
        <v/>
      </c>
    </row>
    <row r="80441">
      <c r="A80441" s="1" t="n">
        <v>80440</v>
      </c>
      <c r="B80441">
        <f>TEXT(80440, "[$-0E0000]yyyy-mm-dd")</f>
        <v/>
      </c>
    </row>
    <row r="80442">
      <c r="A80442" s="1" t="n">
        <v>80441</v>
      </c>
      <c r="B80442">
        <f>TEXT(80441, "[$-0E0000]yyyy-mm-dd")</f>
        <v/>
      </c>
    </row>
    <row r="80443">
      <c r="A80443" s="1" t="n">
        <v>80442</v>
      </c>
      <c r="B80443">
        <f>TEXT(80442, "[$-0E0000]yyyy-mm-dd")</f>
        <v/>
      </c>
    </row>
    <row r="80444">
      <c r="A80444" s="1" t="n">
        <v>80443</v>
      </c>
      <c r="B80444">
        <f>TEXT(80443, "[$-0E0000]yyyy-mm-dd")</f>
        <v/>
      </c>
    </row>
    <row r="80445">
      <c r="A80445" s="1" t="n">
        <v>80444</v>
      </c>
      <c r="B80445">
        <f>TEXT(80444, "[$-0E0000]yyyy-mm-dd")</f>
        <v/>
      </c>
    </row>
    <row r="80446">
      <c r="A80446" s="1" t="n">
        <v>80445</v>
      </c>
      <c r="B80446">
        <f>TEXT(80445, "[$-0E0000]yyyy-mm-dd")</f>
        <v/>
      </c>
    </row>
    <row r="80447">
      <c r="A80447" s="1" t="n">
        <v>80446</v>
      </c>
      <c r="B80447">
        <f>TEXT(80446, "[$-0E0000]yyyy-mm-dd")</f>
        <v/>
      </c>
    </row>
    <row r="80448">
      <c r="A80448" s="1" t="n">
        <v>80447</v>
      </c>
      <c r="B80448">
        <f>TEXT(80447, "[$-0E0000]yyyy-mm-dd")</f>
        <v/>
      </c>
    </row>
    <row r="80449">
      <c r="A80449" s="1" t="n">
        <v>80448</v>
      </c>
      <c r="B80449">
        <f>TEXT(80448, "[$-0E0000]yyyy-mm-dd")</f>
        <v/>
      </c>
    </row>
    <row r="80450">
      <c r="A80450" s="1" t="n">
        <v>80449</v>
      </c>
      <c r="B80450">
        <f>TEXT(80449, "[$-0E0000]yyyy-mm-dd")</f>
        <v/>
      </c>
    </row>
    <row r="80451">
      <c r="A80451" s="1" t="n">
        <v>80450</v>
      </c>
      <c r="B80451">
        <f>TEXT(80450, "[$-0E0000]yyyy-mm-dd")</f>
        <v/>
      </c>
    </row>
    <row r="80452">
      <c r="A80452" s="1" t="n">
        <v>80451</v>
      </c>
      <c r="B80452">
        <f>TEXT(80451, "[$-0E0000]yyyy-mm-dd")</f>
        <v/>
      </c>
    </row>
    <row r="80453">
      <c r="A80453" s="1" t="n">
        <v>80452</v>
      </c>
      <c r="B80453">
        <f>TEXT(80452, "[$-0E0000]yyyy-mm-dd")</f>
        <v/>
      </c>
    </row>
    <row r="80454">
      <c r="A80454" s="1" t="n">
        <v>80453</v>
      </c>
      <c r="B80454">
        <f>TEXT(80453, "[$-0E0000]yyyy-mm-dd")</f>
        <v/>
      </c>
    </row>
    <row r="80455">
      <c r="A80455" s="1" t="n">
        <v>80454</v>
      </c>
      <c r="B80455">
        <f>TEXT(80454, "[$-0E0000]yyyy-mm-dd")</f>
        <v/>
      </c>
    </row>
    <row r="80456">
      <c r="A80456" s="1" t="n">
        <v>80455</v>
      </c>
      <c r="B80456">
        <f>TEXT(80455, "[$-0E0000]yyyy-mm-dd")</f>
        <v/>
      </c>
    </row>
    <row r="80457">
      <c r="A80457" s="1" t="n">
        <v>80456</v>
      </c>
      <c r="B80457">
        <f>TEXT(80456, "[$-0E0000]yyyy-mm-dd")</f>
        <v/>
      </c>
    </row>
    <row r="80458">
      <c r="A80458" s="1" t="n">
        <v>80457</v>
      </c>
      <c r="B80458">
        <f>TEXT(80457, "[$-0E0000]yyyy-mm-dd")</f>
        <v/>
      </c>
    </row>
    <row r="80459">
      <c r="A80459" s="1" t="n">
        <v>80458</v>
      </c>
      <c r="B80459">
        <f>TEXT(80458, "[$-0E0000]yyyy-mm-dd")</f>
        <v/>
      </c>
    </row>
    <row r="80460">
      <c r="A80460" s="1" t="n">
        <v>80459</v>
      </c>
      <c r="B80460">
        <f>TEXT(80459, "[$-0E0000]yyyy-mm-dd")</f>
        <v/>
      </c>
    </row>
    <row r="80461">
      <c r="A80461" s="1" t="n">
        <v>80460</v>
      </c>
      <c r="B80461">
        <f>TEXT(80460, "[$-0E0000]yyyy-mm-dd")</f>
        <v/>
      </c>
    </row>
    <row r="80462">
      <c r="A80462" s="1" t="n">
        <v>80461</v>
      </c>
      <c r="B80462">
        <f>TEXT(80461, "[$-0E0000]yyyy-mm-dd")</f>
        <v/>
      </c>
    </row>
    <row r="80463">
      <c r="A80463" s="1" t="n">
        <v>80462</v>
      </c>
      <c r="B80463">
        <f>TEXT(80462, "[$-0E0000]yyyy-mm-dd")</f>
        <v/>
      </c>
    </row>
    <row r="80464">
      <c r="A80464" s="1" t="n">
        <v>80463</v>
      </c>
      <c r="B80464">
        <f>TEXT(80463, "[$-0E0000]yyyy-mm-dd")</f>
        <v/>
      </c>
    </row>
    <row r="80465">
      <c r="A80465" s="1" t="n">
        <v>80464</v>
      </c>
      <c r="B80465">
        <f>TEXT(80464, "[$-0E0000]yyyy-mm-dd")</f>
        <v/>
      </c>
    </row>
    <row r="80466">
      <c r="A80466" s="1" t="n">
        <v>80465</v>
      </c>
      <c r="B80466">
        <f>TEXT(80465, "[$-0E0000]yyyy-mm-dd")</f>
        <v/>
      </c>
    </row>
    <row r="80467">
      <c r="A80467" s="1" t="n">
        <v>80466</v>
      </c>
      <c r="B80467">
        <f>TEXT(80466, "[$-0E0000]yyyy-mm-dd")</f>
        <v/>
      </c>
    </row>
    <row r="80468">
      <c r="A80468" s="1" t="n">
        <v>80467</v>
      </c>
      <c r="B80468">
        <f>TEXT(80467, "[$-0E0000]yyyy-mm-dd")</f>
        <v/>
      </c>
    </row>
    <row r="80469">
      <c r="A80469" s="1" t="n">
        <v>80468</v>
      </c>
      <c r="B80469">
        <f>TEXT(80468, "[$-0E0000]yyyy-mm-dd")</f>
        <v/>
      </c>
    </row>
    <row r="80470">
      <c r="A80470" s="1" t="n">
        <v>80469</v>
      </c>
      <c r="B80470">
        <f>TEXT(80469, "[$-0E0000]yyyy-mm-dd")</f>
        <v/>
      </c>
    </row>
    <row r="80471">
      <c r="A80471" s="1" t="n">
        <v>80470</v>
      </c>
      <c r="B80471">
        <f>TEXT(80470, "[$-0E0000]yyyy-mm-dd")</f>
        <v/>
      </c>
    </row>
    <row r="80472">
      <c r="A80472" s="1" t="n">
        <v>80471</v>
      </c>
      <c r="B80472">
        <f>TEXT(80471, "[$-0E0000]yyyy-mm-dd")</f>
        <v/>
      </c>
    </row>
    <row r="80473">
      <c r="A80473" s="1" t="n">
        <v>80472</v>
      </c>
      <c r="B80473">
        <f>TEXT(80472, "[$-0E0000]yyyy-mm-dd")</f>
        <v/>
      </c>
    </row>
    <row r="80474">
      <c r="A80474" s="1" t="n">
        <v>80473</v>
      </c>
      <c r="B80474">
        <f>TEXT(80473, "[$-0E0000]yyyy-mm-dd")</f>
        <v/>
      </c>
    </row>
    <row r="80475">
      <c r="A80475" s="1" t="n">
        <v>80474</v>
      </c>
      <c r="B80475">
        <f>TEXT(80474, "[$-0E0000]yyyy-mm-dd")</f>
        <v/>
      </c>
    </row>
    <row r="80476">
      <c r="A80476" s="1" t="n">
        <v>80475</v>
      </c>
      <c r="B80476">
        <f>TEXT(80475, "[$-0E0000]yyyy-mm-dd")</f>
        <v/>
      </c>
    </row>
    <row r="80477">
      <c r="A80477" s="1" t="n">
        <v>80476</v>
      </c>
      <c r="B80477">
        <f>TEXT(80476, "[$-0E0000]yyyy-mm-dd")</f>
        <v/>
      </c>
    </row>
    <row r="80478">
      <c r="A80478" s="1" t="n">
        <v>80477</v>
      </c>
      <c r="B80478">
        <f>TEXT(80477, "[$-0E0000]yyyy-mm-dd")</f>
        <v/>
      </c>
    </row>
    <row r="80479">
      <c r="A80479" s="1" t="n">
        <v>80478</v>
      </c>
      <c r="B80479">
        <f>TEXT(80478, "[$-0E0000]yyyy-mm-dd")</f>
        <v/>
      </c>
    </row>
    <row r="80480">
      <c r="A80480" s="1" t="n">
        <v>80479</v>
      </c>
      <c r="B80480">
        <f>TEXT(80479, "[$-0E0000]yyyy-mm-dd")</f>
        <v/>
      </c>
    </row>
    <row r="80481">
      <c r="A80481" s="1" t="n">
        <v>80480</v>
      </c>
      <c r="B80481">
        <f>TEXT(80480, "[$-0E0000]yyyy-mm-dd")</f>
        <v/>
      </c>
    </row>
    <row r="80482">
      <c r="A80482" s="1" t="n">
        <v>80481</v>
      </c>
      <c r="B80482">
        <f>TEXT(80481, "[$-0E0000]yyyy-mm-dd")</f>
        <v/>
      </c>
    </row>
    <row r="80483">
      <c r="A80483" s="1" t="n">
        <v>80482</v>
      </c>
      <c r="B80483">
        <f>TEXT(80482, "[$-0E0000]yyyy-mm-dd")</f>
        <v/>
      </c>
    </row>
    <row r="80484">
      <c r="A80484" s="1" t="n">
        <v>80483</v>
      </c>
      <c r="B80484">
        <f>TEXT(80483, "[$-0E0000]yyyy-mm-dd")</f>
        <v/>
      </c>
    </row>
    <row r="80485">
      <c r="A80485" s="1" t="n">
        <v>80484</v>
      </c>
      <c r="B80485">
        <f>TEXT(80484, "[$-0E0000]yyyy-mm-dd")</f>
        <v/>
      </c>
    </row>
    <row r="80486">
      <c r="A80486" s="1" t="n">
        <v>80485</v>
      </c>
      <c r="B80486">
        <f>TEXT(80485, "[$-0E0000]yyyy-mm-dd")</f>
        <v/>
      </c>
    </row>
    <row r="80487">
      <c r="A80487" s="1" t="n">
        <v>80486</v>
      </c>
      <c r="B80487">
        <f>TEXT(80486, "[$-0E0000]yyyy-mm-dd")</f>
        <v/>
      </c>
    </row>
    <row r="80488">
      <c r="A80488" s="1" t="n">
        <v>80487</v>
      </c>
      <c r="B80488">
        <f>TEXT(80487, "[$-0E0000]yyyy-mm-dd")</f>
        <v/>
      </c>
    </row>
    <row r="80489">
      <c r="A80489" s="1" t="n">
        <v>80488</v>
      </c>
      <c r="B80489">
        <f>TEXT(80488, "[$-0E0000]yyyy-mm-dd")</f>
        <v/>
      </c>
    </row>
    <row r="80490">
      <c r="A80490" s="1" t="n">
        <v>80489</v>
      </c>
      <c r="B80490">
        <f>TEXT(80489, "[$-0E0000]yyyy-mm-dd")</f>
        <v/>
      </c>
    </row>
    <row r="80491">
      <c r="A80491" s="1" t="n">
        <v>80490</v>
      </c>
      <c r="B80491">
        <f>TEXT(80490, "[$-0E0000]yyyy-mm-dd")</f>
        <v/>
      </c>
    </row>
    <row r="80492">
      <c r="A80492" s="1" t="n">
        <v>80491</v>
      </c>
      <c r="B80492">
        <f>TEXT(80491, "[$-0E0000]yyyy-mm-dd")</f>
        <v/>
      </c>
    </row>
    <row r="80493">
      <c r="A80493" s="1" t="n">
        <v>80492</v>
      </c>
      <c r="B80493">
        <f>TEXT(80492, "[$-0E0000]yyyy-mm-dd")</f>
        <v/>
      </c>
    </row>
    <row r="80494">
      <c r="A80494" s="1" t="n">
        <v>80493</v>
      </c>
      <c r="B80494">
        <f>TEXT(80493, "[$-0E0000]yyyy-mm-dd")</f>
        <v/>
      </c>
    </row>
    <row r="80495">
      <c r="A80495" s="1" t="n">
        <v>80494</v>
      </c>
      <c r="B80495">
        <f>TEXT(80494, "[$-0E0000]yyyy-mm-dd")</f>
        <v/>
      </c>
    </row>
    <row r="80496">
      <c r="A80496" s="1" t="n">
        <v>80495</v>
      </c>
      <c r="B80496">
        <f>TEXT(80495, "[$-0E0000]yyyy-mm-dd")</f>
        <v/>
      </c>
    </row>
    <row r="80497">
      <c r="A80497" s="1" t="n">
        <v>80496</v>
      </c>
      <c r="B80497">
        <f>TEXT(80496, "[$-0E0000]yyyy-mm-dd")</f>
        <v/>
      </c>
    </row>
    <row r="80498">
      <c r="A80498" s="1" t="n">
        <v>80497</v>
      </c>
      <c r="B80498">
        <f>TEXT(80497, "[$-0E0000]yyyy-mm-dd")</f>
        <v/>
      </c>
    </row>
    <row r="80499">
      <c r="A80499" s="1" t="n">
        <v>80498</v>
      </c>
      <c r="B80499">
        <f>TEXT(80498, "[$-0E0000]yyyy-mm-dd")</f>
        <v/>
      </c>
    </row>
    <row r="80500">
      <c r="A80500" s="1" t="n">
        <v>80499</v>
      </c>
      <c r="B80500">
        <f>TEXT(80499, "[$-0E0000]yyyy-mm-dd")</f>
        <v/>
      </c>
    </row>
    <row r="80501">
      <c r="A80501" s="1" t="n">
        <v>80500</v>
      </c>
      <c r="B80501">
        <f>TEXT(80500, "[$-0E0000]yyyy-mm-dd")</f>
        <v/>
      </c>
    </row>
    <row r="80502">
      <c r="A80502" s="1" t="n">
        <v>80501</v>
      </c>
      <c r="B80502">
        <f>TEXT(80501, "[$-0E0000]yyyy-mm-dd")</f>
        <v/>
      </c>
    </row>
    <row r="80503">
      <c r="A80503" s="1" t="n">
        <v>80502</v>
      </c>
      <c r="B80503">
        <f>TEXT(80502, "[$-0E0000]yyyy-mm-dd")</f>
        <v/>
      </c>
    </row>
    <row r="80504">
      <c r="A80504" s="1" t="n">
        <v>80503</v>
      </c>
      <c r="B80504">
        <f>TEXT(80503, "[$-0E0000]yyyy-mm-dd")</f>
        <v/>
      </c>
    </row>
    <row r="80505">
      <c r="A80505" s="1" t="n">
        <v>80504</v>
      </c>
      <c r="B80505">
        <f>TEXT(80504, "[$-0E0000]yyyy-mm-dd")</f>
        <v/>
      </c>
    </row>
    <row r="80506">
      <c r="A80506" s="1" t="n">
        <v>80505</v>
      </c>
      <c r="B80506">
        <f>TEXT(80505, "[$-0E0000]yyyy-mm-dd")</f>
        <v/>
      </c>
    </row>
    <row r="80507">
      <c r="A80507" s="1" t="n">
        <v>80506</v>
      </c>
      <c r="B80507">
        <f>TEXT(80506, "[$-0E0000]yyyy-mm-dd")</f>
        <v/>
      </c>
    </row>
    <row r="80508">
      <c r="A80508" s="1" t="n">
        <v>80507</v>
      </c>
      <c r="B80508">
        <f>TEXT(80507, "[$-0E0000]yyyy-mm-dd")</f>
        <v/>
      </c>
    </row>
    <row r="80509">
      <c r="A80509" s="1" t="n">
        <v>80508</v>
      </c>
      <c r="B80509">
        <f>TEXT(80508, "[$-0E0000]yyyy-mm-dd")</f>
        <v/>
      </c>
    </row>
    <row r="80510">
      <c r="A80510" s="1" t="n">
        <v>80509</v>
      </c>
      <c r="B80510">
        <f>TEXT(80509, "[$-0E0000]yyyy-mm-dd")</f>
        <v/>
      </c>
    </row>
    <row r="80511">
      <c r="A80511" s="1" t="n">
        <v>80510</v>
      </c>
      <c r="B80511">
        <f>TEXT(80510, "[$-0E0000]yyyy-mm-dd")</f>
        <v/>
      </c>
    </row>
    <row r="80512">
      <c r="A80512" s="1" t="n">
        <v>80511</v>
      </c>
      <c r="B80512">
        <f>TEXT(80511, "[$-0E0000]yyyy-mm-dd")</f>
        <v/>
      </c>
    </row>
    <row r="80513">
      <c r="A80513" s="1" t="n">
        <v>80512</v>
      </c>
      <c r="B80513">
        <f>TEXT(80512, "[$-0E0000]yyyy-mm-dd")</f>
        <v/>
      </c>
    </row>
    <row r="80514">
      <c r="A80514" s="1" t="n">
        <v>80513</v>
      </c>
      <c r="B80514">
        <f>TEXT(80513, "[$-0E0000]yyyy-mm-dd")</f>
        <v/>
      </c>
    </row>
    <row r="80515">
      <c r="A80515" s="1" t="n">
        <v>80514</v>
      </c>
      <c r="B80515">
        <f>TEXT(80514, "[$-0E0000]yyyy-mm-dd")</f>
        <v/>
      </c>
    </row>
    <row r="80516">
      <c r="A80516" s="1" t="n">
        <v>80515</v>
      </c>
      <c r="B80516">
        <f>TEXT(80515, "[$-0E0000]yyyy-mm-dd")</f>
        <v/>
      </c>
    </row>
    <row r="80517">
      <c r="A80517" s="1" t="n">
        <v>80516</v>
      </c>
      <c r="B80517">
        <f>TEXT(80516, "[$-0E0000]yyyy-mm-dd")</f>
        <v/>
      </c>
    </row>
    <row r="80518">
      <c r="A80518" s="1" t="n">
        <v>80517</v>
      </c>
      <c r="B80518">
        <f>TEXT(80517, "[$-0E0000]yyyy-mm-dd")</f>
        <v/>
      </c>
    </row>
    <row r="80519">
      <c r="A80519" s="1" t="n">
        <v>80518</v>
      </c>
      <c r="B80519">
        <f>TEXT(80518, "[$-0E0000]yyyy-mm-dd")</f>
        <v/>
      </c>
    </row>
    <row r="80520">
      <c r="A80520" s="1" t="n">
        <v>80519</v>
      </c>
      <c r="B80520">
        <f>TEXT(80519, "[$-0E0000]yyyy-mm-dd")</f>
        <v/>
      </c>
    </row>
    <row r="80521">
      <c r="A80521" s="1" t="n">
        <v>80520</v>
      </c>
      <c r="B80521">
        <f>TEXT(80520, "[$-0E0000]yyyy-mm-dd")</f>
        <v/>
      </c>
    </row>
    <row r="80522">
      <c r="A80522" s="1" t="n">
        <v>80521</v>
      </c>
      <c r="B80522">
        <f>TEXT(80521, "[$-0E0000]yyyy-mm-dd")</f>
        <v/>
      </c>
    </row>
    <row r="80523">
      <c r="A80523" s="1" t="n">
        <v>80522</v>
      </c>
      <c r="B80523">
        <f>TEXT(80522, "[$-0E0000]yyyy-mm-dd")</f>
        <v/>
      </c>
    </row>
    <row r="80524">
      <c r="A80524" s="1" t="n">
        <v>80523</v>
      </c>
      <c r="B80524">
        <f>TEXT(80523, "[$-0E0000]yyyy-mm-dd")</f>
        <v/>
      </c>
    </row>
    <row r="80525">
      <c r="A80525" s="1" t="n">
        <v>80524</v>
      </c>
      <c r="B80525">
        <f>TEXT(80524, "[$-0E0000]yyyy-mm-dd")</f>
        <v/>
      </c>
    </row>
    <row r="80526">
      <c r="A80526" s="1" t="n">
        <v>80525</v>
      </c>
      <c r="B80526">
        <f>TEXT(80525, "[$-0E0000]yyyy-mm-dd")</f>
        <v/>
      </c>
    </row>
    <row r="80527">
      <c r="A80527" s="1" t="n">
        <v>80526</v>
      </c>
      <c r="B80527">
        <f>TEXT(80526, "[$-0E0000]yyyy-mm-dd")</f>
        <v/>
      </c>
    </row>
    <row r="80528">
      <c r="A80528" s="1" t="n">
        <v>80527</v>
      </c>
      <c r="B80528">
        <f>TEXT(80527, "[$-0E0000]yyyy-mm-dd")</f>
        <v/>
      </c>
    </row>
    <row r="80529">
      <c r="A80529" s="1" t="n">
        <v>80528</v>
      </c>
      <c r="B80529">
        <f>TEXT(80528, "[$-0E0000]yyyy-mm-dd")</f>
        <v/>
      </c>
    </row>
    <row r="80530">
      <c r="A80530" s="1" t="n">
        <v>80529</v>
      </c>
      <c r="B80530">
        <f>TEXT(80529, "[$-0E0000]yyyy-mm-dd")</f>
        <v/>
      </c>
    </row>
    <row r="80531">
      <c r="A80531" s="1" t="n">
        <v>80530</v>
      </c>
      <c r="B80531">
        <f>TEXT(80530, "[$-0E0000]yyyy-mm-dd")</f>
        <v/>
      </c>
    </row>
    <row r="80532">
      <c r="A80532" s="1" t="n">
        <v>80531</v>
      </c>
      <c r="B80532">
        <f>TEXT(80531, "[$-0E0000]yyyy-mm-dd")</f>
        <v/>
      </c>
    </row>
    <row r="80533">
      <c r="A80533" s="1" t="n">
        <v>80532</v>
      </c>
      <c r="B80533">
        <f>TEXT(80532, "[$-0E0000]yyyy-mm-dd")</f>
        <v/>
      </c>
    </row>
    <row r="80534">
      <c r="A80534" s="1" t="n">
        <v>80533</v>
      </c>
      <c r="B80534">
        <f>TEXT(80533, "[$-0E0000]yyyy-mm-dd")</f>
        <v/>
      </c>
    </row>
    <row r="80535">
      <c r="A80535" s="1" t="n">
        <v>80534</v>
      </c>
      <c r="B80535">
        <f>TEXT(80534, "[$-0E0000]yyyy-mm-dd")</f>
        <v/>
      </c>
    </row>
    <row r="80536">
      <c r="A80536" s="1" t="n">
        <v>80535</v>
      </c>
      <c r="B80536">
        <f>TEXT(80535, "[$-0E0000]yyyy-mm-dd")</f>
        <v/>
      </c>
    </row>
    <row r="80537">
      <c r="A80537" s="1" t="n">
        <v>80536</v>
      </c>
      <c r="B80537">
        <f>TEXT(80536, "[$-0E0000]yyyy-mm-dd")</f>
        <v/>
      </c>
    </row>
    <row r="80538">
      <c r="A80538" s="1" t="n">
        <v>80537</v>
      </c>
      <c r="B80538">
        <f>TEXT(80537, "[$-0E0000]yyyy-mm-dd")</f>
        <v/>
      </c>
    </row>
    <row r="80539">
      <c r="A80539" s="1" t="n">
        <v>80538</v>
      </c>
      <c r="B80539">
        <f>TEXT(80538, "[$-0E0000]yyyy-mm-dd")</f>
        <v/>
      </c>
    </row>
    <row r="80540">
      <c r="A80540" s="1" t="n">
        <v>80539</v>
      </c>
      <c r="B80540">
        <f>TEXT(80539, "[$-0E0000]yyyy-mm-dd")</f>
        <v/>
      </c>
    </row>
    <row r="80541">
      <c r="A80541" s="1" t="n">
        <v>80540</v>
      </c>
      <c r="B80541">
        <f>TEXT(80540, "[$-0E0000]yyyy-mm-dd")</f>
        <v/>
      </c>
    </row>
    <row r="80542">
      <c r="A80542" s="1" t="n">
        <v>80541</v>
      </c>
      <c r="B80542">
        <f>TEXT(80541, "[$-0E0000]yyyy-mm-dd")</f>
        <v/>
      </c>
    </row>
    <row r="80543">
      <c r="A80543" s="1" t="n">
        <v>80542</v>
      </c>
      <c r="B80543">
        <f>TEXT(80542, "[$-0E0000]yyyy-mm-dd")</f>
        <v/>
      </c>
    </row>
    <row r="80544">
      <c r="A80544" s="1" t="n">
        <v>80543</v>
      </c>
      <c r="B80544">
        <f>TEXT(80543, "[$-0E0000]yyyy-mm-dd")</f>
        <v/>
      </c>
    </row>
    <row r="80545">
      <c r="A80545" s="1" t="n">
        <v>80544</v>
      </c>
      <c r="B80545">
        <f>TEXT(80544, "[$-0E0000]yyyy-mm-dd")</f>
        <v/>
      </c>
    </row>
    <row r="80546">
      <c r="A80546" s="1" t="n">
        <v>80545</v>
      </c>
      <c r="B80546">
        <f>TEXT(80545, "[$-0E0000]yyyy-mm-dd")</f>
        <v/>
      </c>
    </row>
    <row r="80547">
      <c r="A80547" s="1" t="n">
        <v>80546</v>
      </c>
      <c r="B80547">
        <f>TEXT(80546, "[$-0E0000]yyyy-mm-dd")</f>
        <v/>
      </c>
    </row>
    <row r="80548">
      <c r="A80548" s="1" t="n">
        <v>80547</v>
      </c>
      <c r="B80548">
        <f>TEXT(80547, "[$-0E0000]yyyy-mm-dd")</f>
        <v/>
      </c>
    </row>
    <row r="80549">
      <c r="A80549" s="1" t="n">
        <v>80548</v>
      </c>
      <c r="B80549">
        <f>TEXT(80548, "[$-0E0000]yyyy-mm-dd")</f>
        <v/>
      </c>
    </row>
    <row r="80550">
      <c r="A80550" s="1" t="n">
        <v>80549</v>
      </c>
      <c r="B80550">
        <f>TEXT(80549, "[$-0E0000]yyyy-mm-dd")</f>
        <v/>
      </c>
    </row>
    <row r="80551">
      <c r="A80551" s="1" t="n">
        <v>80550</v>
      </c>
      <c r="B80551">
        <f>TEXT(80550, "[$-0E0000]yyyy-mm-dd")</f>
        <v/>
      </c>
    </row>
    <row r="80552">
      <c r="A80552" s="1" t="n">
        <v>80551</v>
      </c>
      <c r="B80552">
        <f>TEXT(80551, "[$-0E0000]yyyy-mm-dd")</f>
        <v/>
      </c>
    </row>
    <row r="80553">
      <c r="A80553" s="1" t="n">
        <v>80552</v>
      </c>
      <c r="B80553">
        <f>TEXT(80552, "[$-0E0000]yyyy-mm-dd")</f>
        <v/>
      </c>
    </row>
    <row r="80554">
      <c r="A80554" s="1" t="n">
        <v>80553</v>
      </c>
      <c r="B80554">
        <f>TEXT(80553, "[$-0E0000]yyyy-mm-dd")</f>
        <v/>
      </c>
    </row>
    <row r="80555">
      <c r="A80555" s="1" t="n">
        <v>80554</v>
      </c>
      <c r="B80555">
        <f>TEXT(80554, "[$-0E0000]yyyy-mm-dd")</f>
        <v/>
      </c>
    </row>
    <row r="80556">
      <c r="A80556" s="1" t="n">
        <v>80555</v>
      </c>
      <c r="B80556">
        <f>TEXT(80555, "[$-0E0000]yyyy-mm-dd")</f>
        <v/>
      </c>
    </row>
    <row r="80557">
      <c r="A80557" s="1" t="n">
        <v>80556</v>
      </c>
      <c r="B80557">
        <f>TEXT(80556, "[$-0E0000]yyyy-mm-dd")</f>
        <v/>
      </c>
    </row>
    <row r="80558">
      <c r="A80558" s="1" t="n">
        <v>80557</v>
      </c>
      <c r="B80558">
        <f>TEXT(80557, "[$-0E0000]yyyy-mm-dd")</f>
        <v/>
      </c>
    </row>
    <row r="80559">
      <c r="A80559" s="1" t="n">
        <v>80558</v>
      </c>
      <c r="B80559">
        <f>TEXT(80558, "[$-0E0000]yyyy-mm-dd")</f>
        <v/>
      </c>
    </row>
    <row r="80560">
      <c r="A80560" s="1" t="n">
        <v>80559</v>
      </c>
      <c r="B80560">
        <f>TEXT(80559, "[$-0E0000]yyyy-mm-dd")</f>
        <v/>
      </c>
    </row>
    <row r="80561">
      <c r="A80561" s="1" t="n">
        <v>80560</v>
      </c>
      <c r="B80561">
        <f>TEXT(80560, "[$-0E0000]yyyy-mm-dd")</f>
        <v/>
      </c>
    </row>
    <row r="80562">
      <c r="A80562" s="1" t="n">
        <v>80561</v>
      </c>
      <c r="B80562">
        <f>TEXT(80561, "[$-0E0000]yyyy-mm-dd")</f>
        <v/>
      </c>
    </row>
    <row r="80563">
      <c r="A80563" s="1" t="n">
        <v>80562</v>
      </c>
      <c r="B80563">
        <f>TEXT(80562, "[$-0E0000]yyyy-mm-dd")</f>
        <v/>
      </c>
    </row>
    <row r="80564">
      <c r="A80564" s="1" t="n">
        <v>80563</v>
      </c>
      <c r="B80564">
        <f>TEXT(80563, "[$-0E0000]yyyy-mm-dd")</f>
        <v/>
      </c>
    </row>
    <row r="80565">
      <c r="A80565" s="1" t="n">
        <v>80564</v>
      </c>
      <c r="B80565">
        <f>TEXT(80564, "[$-0E0000]yyyy-mm-dd")</f>
        <v/>
      </c>
    </row>
    <row r="80566">
      <c r="A80566" s="1" t="n">
        <v>80565</v>
      </c>
      <c r="B80566">
        <f>TEXT(80565, "[$-0E0000]yyyy-mm-dd")</f>
        <v/>
      </c>
    </row>
    <row r="80567">
      <c r="A80567" s="1" t="n">
        <v>80566</v>
      </c>
      <c r="B80567">
        <f>TEXT(80566, "[$-0E0000]yyyy-mm-dd")</f>
        <v/>
      </c>
    </row>
    <row r="80568">
      <c r="A80568" s="1" t="n">
        <v>80567</v>
      </c>
      <c r="B80568">
        <f>TEXT(80567, "[$-0E0000]yyyy-mm-dd")</f>
        <v/>
      </c>
    </row>
    <row r="80569">
      <c r="A80569" s="1" t="n">
        <v>80568</v>
      </c>
      <c r="B80569">
        <f>TEXT(80568, "[$-0E0000]yyyy-mm-dd")</f>
        <v/>
      </c>
    </row>
    <row r="80570">
      <c r="A80570" s="1" t="n">
        <v>80569</v>
      </c>
      <c r="B80570">
        <f>TEXT(80569, "[$-0E0000]yyyy-mm-dd")</f>
        <v/>
      </c>
    </row>
    <row r="80571">
      <c r="A80571" s="1" t="n">
        <v>80570</v>
      </c>
      <c r="B80571">
        <f>TEXT(80570, "[$-0E0000]yyyy-mm-dd")</f>
        <v/>
      </c>
    </row>
    <row r="80572">
      <c r="A80572" s="1" t="n">
        <v>80571</v>
      </c>
      <c r="B80572">
        <f>TEXT(80571, "[$-0E0000]yyyy-mm-dd")</f>
        <v/>
      </c>
    </row>
    <row r="80573">
      <c r="A80573" s="1" t="n">
        <v>80572</v>
      </c>
      <c r="B80573">
        <f>TEXT(80572, "[$-0E0000]yyyy-mm-dd")</f>
        <v/>
      </c>
    </row>
    <row r="80574">
      <c r="A80574" s="1" t="n">
        <v>80573</v>
      </c>
      <c r="B80574">
        <f>TEXT(80573, "[$-0E0000]yyyy-mm-dd")</f>
        <v/>
      </c>
    </row>
    <row r="80575">
      <c r="A80575" s="1" t="n">
        <v>80574</v>
      </c>
      <c r="B80575">
        <f>TEXT(80574, "[$-0E0000]yyyy-mm-dd")</f>
        <v/>
      </c>
    </row>
    <row r="80576">
      <c r="A80576" s="1" t="n">
        <v>80575</v>
      </c>
      <c r="B80576">
        <f>TEXT(80575, "[$-0E0000]yyyy-mm-dd")</f>
        <v/>
      </c>
    </row>
    <row r="80577">
      <c r="A80577" s="1" t="n">
        <v>80576</v>
      </c>
      <c r="B80577">
        <f>TEXT(80576, "[$-0E0000]yyyy-mm-dd")</f>
        <v/>
      </c>
    </row>
    <row r="80578">
      <c r="A80578" s="1" t="n">
        <v>80577</v>
      </c>
      <c r="B80578">
        <f>TEXT(80577, "[$-0E0000]yyyy-mm-dd")</f>
        <v/>
      </c>
    </row>
    <row r="80579">
      <c r="A80579" s="1" t="n">
        <v>80578</v>
      </c>
      <c r="B80579">
        <f>TEXT(80578, "[$-0E0000]yyyy-mm-dd")</f>
        <v/>
      </c>
    </row>
    <row r="80580">
      <c r="A80580" s="1" t="n">
        <v>80579</v>
      </c>
      <c r="B80580">
        <f>TEXT(80579, "[$-0E0000]yyyy-mm-dd")</f>
        <v/>
      </c>
    </row>
    <row r="80581">
      <c r="A80581" s="1" t="n">
        <v>80580</v>
      </c>
      <c r="B80581">
        <f>TEXT(80580, "[$-0E0000]yyyy-mm-dd")</f>
        <v/>
      </c>
    </row>
    <row r="80582">
      <c r="A80582" s="1" t="n">
        <v>80581</v>
      </c>
      <c r="B80582">
        <f>TEXT(80581, "[$-0E0000]yyyy-mm-dd")</f>
        <v/>
      </c>
    </row>
    <row r="80583">
      <c r="A80583" s="1" t="n">
        <v>80582</v>
      </c>
      <c r="B80583">
        <f>TEXT(80582, "[$-0E0000]yyyy-mm-dd")</f>
        <v/>
      </c>
    </row>
    <row r="80584">
      <c r="A80584" s="1" t="n">
        <v>80583</v>
      </c>
      <c r="B80584">
        <f>TEXT(80583, "[$-0E0000]yyyy-mm-dd")</f>
        <v/>
      </c>
    </row>
    <row r="80585">
      <c r="A80585" s="1" t="n">
        <v>80584</v>
      </c>
      <c r="B80585">
        <f>TEXT(80584, "[$-0E0000]yyyy-mm-dd")</f>
        <v/>
      </c>
    </row>
    <row r="80586">
      <c r="A80586" s="1" t="n">
        <v>80585</v>
      </c>
      <c r="B80586">
        <f>TEXT(80585, "[$-0E0000]yyyy-mm-dd")</f>
        <v/>
      </c>
    </row>
    <row r="80587">
      <c r="A80587" s="1" t="n">
        <v>80586</v>
      </c>
      <c r="B80587">
        <f>TEXT(80586, "[$-0E0000]yyyy-mm-dd")</f>
        <v/>
      </c>
    </row>
    <row r="80588">
      <c r="A80588" s="1" t="n">
        <v>80587</v>
      </c>
      <c r="B80588">
        <f>TEXT(80587, "[$-0E0000]yyyy-mm-dd")</f>
        <v/>
      </c>
    </row>
    <row r="80589">
      <c r="A80589" s="1" t="n">
        <v>80588</v>
      </c>
      <c r="B80589">
        <f>TEXT(80588, "[$-0E0000]yyyy-mm-dd")</f>
        <v/>
      </c>
    </row>
    <row r="80590">
      <c r="A80590" s="1" t="n">
        <v>80589</v>
      </c>
      <c r="B80590">
        <f>TEXT(80589, "[$-0E0000]yyyy-mm-dd")</f>
        <v/>
      </c>
    </row>
    <row r="80591">
      <c r="A80591" s="1" t="n">
        <v>80590</v>
      </c>
      <c r="B80591">
        <f>TEXT(80590, "[$-0E0000]yyyy-mm-dd")</f>
        <v/>
      </c>
    </row>
    <row r="80592">
      <c r="A80592" s="1" t="n">
        <v>80591</v>
      </c>
      <c r="B80592">
        <f>TEXT(80591, "[$-0E0000]yyyy-mm-dd")</f>
        <v/>
      </c>
    </row>
    <row r="80593">
      <c r="A80593" s="1" t="n">
        <v>80592</v>
      </c>
      <c r="B80593">
        <f>TEXT(80592, "[$-0E0000]yyyy-mm-dd")</f>
        <v/>
      </c>
    </row>
    <row r="80594">
      <c r="A80594" s="1" t="n">
        <v>80593</v>
      </c>
      <c r="B80594">
        <f>TEXT(80593, "[$-0E0000]yyyy-mm-dd")</f>
        <v/>
      </c>
    </row>
    <row r="80595">
      <c r="A80595" s="1" t="n">
        <v>80594</v>
      </c>
      <c r="B80595">
        <f>TEXT(80594, "[$-0E0000]yyyy-mm-dd")</f>
        <v/>
      </c>
    </row>
    <row r="80596">
      <c r="A80596" s="1" t="n">
        <v>80595</v>
      </c>
      <c r="B80596">
        <f>TEXT(80595, "[$-0E0000]yyyy-mm-dd")</f>
        <v/>
      </c>
    </row>
    <row r="80597">
      <c r="A80597" s="1" t="n">
        <v>80596</v>
      </c>
      <c r="B80597">
        <f>TEXT(80596, "[$-0E0000]yyyy-mm-dd")</f>
        <v/>
      </c>
    </row>
    <row r="80598">
      <c r="A80598" s="1" t="n">
        <v>80597</v>
      </c>
      <c r="B80598">
        <f>TEXT(80597, "[$-0E0000]yyyy-mm-dd")</f>
        <v/>
      </c>
    </row>
    <row r="80599">
      <c r="A80599" s="1" t="n">
        <v>80598</v>
      </c>
      <c r="B80599">
        <f>TEXT(80598, "[$-0E0000]yyyy-mm-dd")</f>
        <v/>
      </c>
    </row>
    <row r="80600">
      <c r="A80600" s="1" t="n">
        <v>80599</v>
      </c>
      <c r="B80600">
        <f>TEXT(80599, "[$-0E0000]yyyy-mm-dd")</f>
        <v/>
      </c>
    </row>
    <row r="80601">
      <c r="A80601" s="1" t="n">
        <v>80600</v>
      </c>
      <c r="B80601">
        <f>TEXT(80600, "[$-0E0000]yyyy-mm-dd")</f>
        <v/>
      </c>
    </row>
    <row r="80602">
      <c r="A80602" s="1" t="n">
        <v>80601</v>
      </c>
      <c r="B80602">
        <f>TEXT(80601, "[$-0E0000]yyyy-mm-dd")</f>
        <v/>
      </c>
    </row>
    <row r="80603">
      <c r="A80603" s="1" t="n">
        <v>80602</v>
      </c>
      <c r="B80603">
        <f>TEXT(80602, "[$-0E0000]yyyy-mm-dd")</f>
        <v/>
      </c>
    </row>
    <row r="80604">
      <c r="A80604" s="1" t="n">
        <v>80603</v>
      </c>
      <c r="B80604">
        <f>TEXT(80603, "[$-0E0000]yyyy-mm-dd")</f>
        <v/>
      </c>
    </row>
    <row r="80605">
      <c r="A80605" s="1" t="n">
        <v>80604</v>
      </c>
      <c r="B80605">
        <f>TEXT(80604, "[$-0E0000]yyyy-mm-dd")</f>
        <v/>
      </c>
    </row>
    <row r="80606">
      <c r="A80606" s="1" t="n">
        <v>80605</v>
      </c>
      <c r="B80606">
        <f>TEXT(80605, "[$-0E0000]yyyy-mm-dd")</f>
        <v/>
      </c>
    </row>
    <row r="80607">
      <c r="A80607" s="1" t="n">
        <v>80606</v>
      </c>
      <c r="B80607">
        <f>TEXT(80606, "[$-0E0000]yyyy-mm-dd")</f>
        <v/>
      </c>
    </row>
    <row r="80608">
      <c r="A80608" s="1" t="n">
        <v>80607</v>
      </c>
      <c r="B80608">
        <f>TEXT(80607, "[$-0E0000]yyyy-mm-dd")</f>
        <v/>
      </c>
    </row>
    <row r="80609">
      <c r="A80609" s="1" t="n">
        <v>80608</v>
      </c>
      <c r="B80609">
        <f>TEXT(80608, "[$-0E0000]yyyy-mm-dd")</f>
        <v/>
      </c>
    </row>
    <row r="80610">
      <c r="A80610" s="1" t="n">
        <v>80609</v>
      </c>
      <c r="B80610">
        <f>TEXT(80609, "[$-0E0000]yyyy-mm-dd")</f>
        <v/>
      </c>
    </row>
    <row r="80611">
      <c r="A80611" s="1" t="n">
        <v>80610</v>
      </c>
      <c r="B80611">
        <f>TEXT(80610, "[$-0E0000]yyyy-mm-dd")</f>
        <v/>
      </c>
    </row>
    <row r="80612">
      <c r="A80612" s="1" t="n">
        <v>80611</v>
      </c>
      <c r="B80612">
        <f>TEXT(80611, "[$-0E0000]yyyy-mm-dd")</f>
        <v/>
      </c>
    </row>
    <row r="80613">
      <c r="A80613" s="1" t="n">
        <v>80612</v>
      </c>
      <c r="B80613">
        <f>TEXT(80612, "[$-0E0000]yyyy-mm-dd")</f>
        <v/>
      </c>
    </row>
    <row r="80614">
      <c r="A80614" s="1" t="n">
        <v>80613</v>
      </c>
      <c r="B80614">
        <f>TEXT(80613, "[$-0E0000]yyyy-mm-dd")</f>
        <v/>
      </c>
    </row>
    <row r="80615">
      <c r="A80615" s="1" t="n">
        <v>80614</v>
      </c>
      <c r="B80615">
        <f>TEXT(80614, "[$-0E0000]yyyy-mm-dd")</f>
        <v/>
      </c>
    </row>
    <row r="80616">
      <c r="A80616" s="1" t="n">
        <v>80615</v>
      </c>
      <c r="B80616">
        <f>TEXT(80615, "[$-0E0000]yyyy-mm-dd")</f>
        <v/>
      </c>
    </row>
    <row r="80617">
      <c r="A80617" s="1" t="n">
        <v>80616</v>
      </c>
      <c r="B80617">
        <f>TEXT(80616, "[$-0E0000]yyyy-mm-dd")</f>
        <v/>
      </c>
    </row>
    <row r="80618">
      <c r="A80618" s="1" t="n">
        <v>80617</v>
      </c>
      <c r="B80618">
        <f>TEXT(80617, "[$-0E0000]yyyy-mm-dd")</f>
        <v/>
      </c>
    </row>
    <row r="80619">
      <c r="A80619" s="1" t="n">
        <v>80618</v>
      </c>
      <c r="B80619">
        <f>TEXT(80618, "[$-0E0000]yyyy-mm-dd")</f>
        <v/>
      </c>
    </row>
    <row r="80620">
      <c r="A80620" s="1" t="n">
        <v>80619</v>
      </c>
      <c r="B80620">
        <f>TEXT(80619, "[$-0E0000]yyyy-mm-dd")</f>
        <v/>
      </c>
    </row>
    <row r="80621">
      <c r="A80621" s="1" t="n">
        <v>80620</v>
      </c>
      <c r="B80621">
        <f>TEXT(80620, "[$-0E0000]yyyy-mm-dd")</f>
        <v/>
      </c>
    </row>
    <row r="80622">
      <c r="A80622" s="1" t="n">
        <v>80621</v>
      </c>
      <c r="B80622">
        <f>TEXT(80621, "[$-0E0000]yyyy-mm-dd")</f>
        <v/>
      </c>
    </row>
    <row r="80623">
      <c r="A80623" s="1" t="n">
        <v>80622</v>
      </c>
      <c r="B80623">
        <f>TEXT(80622, "[$-0E0000]yyyy-mm-dd")</f>
        <v/>
      </c>
    </row>
    <row r="80624">
      <c r="A80624" s="1" t="n">
        <v>80623</v>
      </c>
      <c r="B80624">
        <f>TEXT(80623, "[$-0E0000]yyyy-mm-dd")</f>
        <v/>
      </c>
    </row>
    <row r="80625">
      <c r="A80625" s="1" t="n">
        <v>80624</v>
      </c>
      <c r="B80625">
        <f>TEXT(80624, "[$-0E0000]yyyy-mm-dd")</f>
        <v/>
      </c>
    </row>
    <row r="80626">
      <c r="A80626" s="1" t="n">
        <v>80625</v>
      </c>
      <c r="B80626">
        <f>TEXT(80625, "[$-0E0000]yyyy-mm-dd")</f>
        <v/>
      </c>
    </row>
    <row r="80627">
      <c r="A80627" s="1" t="n">
        <v>80626</v>
      </c>
      <c r="B80627">
        <f>TEXT(80626, "[$-0E0000]yyyy-mm-dd")</f>
        <v/>
      </c>
    </row>
    <row r="80628">
      <c r="A80628" s="1" t="n">
        <v>80627</v>
      </c>
      <c r="B80628">
        <f>TEXT(80627, "[$-0E0000]yyyy-mm-dd")</f>
        <v/>
      </c>
    </row>
    <row r="80629">
      <c r="A80629" s="1" t="n">
        <v>80628</v>
      </c>
      <c r="B80629">
        <f>TEXT(80628, "[$-0E0000]yyyy-mm-dd")</f>
        <v/>
      </c>
    </row>
    <row r="80630">
      <c r="A80630" s="1" t="n">
        <v>80629</v>
      </c>
      <c r="B80630">
        <f>TEXT(80629, "[$-0E0000]yyyy-mm-dd")</f>
        <v/>
      </c>
    </row>
    <row r="80631">
      <c r="A80631" s="1" t="n">
        <v>80630</v>
      </c>
      <c r="B80631">
        <f>TEXT(80630, "[$-0E0000]yyyy-mm-dd")</f>
        <v/>
      </c>
    </row>
    <row r="80632">
      <c r="A80632" s="1" t="n">
        <v>80631</v>
      </c>
      <c r="B80632">
        <f>TEXT(80631, "[$-0E0000]yyyy-mm-dd")</f>
        <v/>
      </c>
    </row>
    <row r="80633">
      <c r="A80633" s="1" t="n">
        <v>80632</v>
      </c>
      <c r="B80633">
        <f>TEXT(80632, "[$-0E0000]yyyy-mm-dd")</f>
        <v/>
      </c>
    </row>
    <row r="80634">
      <c r="A80634" s="1" t="n">
        <v>80633</v>
      </c>
      <c r="B80634">
        <f>TEXT(80633, "[$-0E0000]yyyy-mm-dd")</f>
        <v/>
      </c>
    </row>
    <row r="80635">
      <c r="A80635" s="1" t="n">
        <v>80634</v>
      </c>
      <c r="B80635">
        <f>TEXT(80634, "[$-0E0000]yyyy-mm-dd")</f>
        <v/>
      </c>
    </row>
    <row r="80636">
      <c r="A80636" s="1" t="n">
        <v>80635</v>
      </c>
      <c r="B80636">
        <f>TEXT(80635, "[$-0E0000]yyyy-mm-dd")</f>
        <v/>
      </c>
    </row>
    <row r="80637">
      <c r="A80637" s="1" t="n">
        <v>80636</v>
      </c>
      <c r="B80637">
        <f>TEXT(80636, "[$-0E0000]yyyy-mm-dd")</f>
        <v/>
      </c>
    </row>
    <row r="80638">
      <c r="A80638" s="1" t="n">
        <v>80637</v>
      </c>
      <c r="B80638">
        <f>TEXT(80637, "[$-0E0000]yyyy-mm-dd")</f>
        <v/>
      </c>
    </row>
    <row r="80639">
      <c r="A80639" s="1" t="n">
        <v>80638</v>
      </c>
      <c r="B80639">
        <f>TEXT(80638, "[$-0E0000]yyyy-mm-dd")</f>
        <v/>
      </c>
    </row>
    <row r="80640">
      <c r="A80640" s="1" t="n">
        <v>80639</v>
      </c>
      <c r="B80640">
        <f>TEXT(80639, "[$-0E0000]yyyy-mm-dd")</f>
        <v/>
      </c>
    </row>
    <row r="80641">
      <c r="A80641" s="1" t="n">
        <v>80640</v>
      </c>
      <c r="B80641">
        <f>TEXT(80640, "[$-0E0000]yyyy-mm-dd")</f>
        <v/>
      </c>
    </row>
    <row r="80642">
      <c r="A80642" s="1" t="n">
        <v>80641</v>
      </c>
      <c r="B80642">
        <f>TEXT(80641, "[$-0E0000]yyyy-mm-dd")</f>
        <v/>
      </c>
    </row>
    <row r="80643">
      <c r="A80643" s="1" t="n">
        <v>80642</v>
      </c>
      <c r="B80643">
        <f>TEXT(80642, "[$-0E0000]yyyy-mm-dd")</f>
        <v/>
      </c>
    </row>
    <row r="80644">
      <c r="A80644" s="1" t="n">
        <v>80643</v>
      </c>
      <c r="B80644">
        <f>TEXT(80643, "[$-0E0000]yyyy-mm-dd")</f>
        <v/>
      </c>
    </row>
    <row r="80645">
      <c r="A80645" s="1" t="n">
        <v>80644</v>
      </c>
      <c r="B80645">
        <f>TEXT(80644, "[$-0E0000]yyyy-mm-dd")</f>
        <v/>
      </c>
    </row>
    <row r="80646">
      <c r="A80646" s="1" t="n">
        <v>80645</v>
      </c>
      <c r="B80646">
        <f>TEXT(80645, "[$-0E0000]yyyy-mm-dd")</f>
        <v/>
      </c>
    </row>
    <row r="80647">
      <c r="A80647" s="1" t="n">
        <v>80646</v>
      </c>
      <c r="B80647">
        <f>TEXT(80646, "[$-0E0000]yyyy-mm-dd")</f>
        <v/>
      </c>
    </row>
    <row r="80648">
      <c r="A80648" s="1" t="n">
        <v>80647</v>
      </c>
      <c r="B80648">
        <f>TEXT(80647, "[$-0E0000]yyyy-mm-dd")</f>
        <v/>
      </c>
    </row>
    <row r="80649">
      <c r="A80649" s="1" t="n">
        <v>80648</v>
      </c>
      <c r="B80649">
        <f>TEXT(80648, "[$-0E0000]yyyy-mm-dd")</f>
        <v/>
      </c>
    </row>
    <row r="80650">
      <c r="A80650" s="1" t="n">
        <v>80649</v>
      </c>
      <c r="B80650">
        <f>TEXT(80649, "[$-0E0000]yyyy-mm-dd")</f>
        <v/>
      </c>
    </row>
    <row r="80651">
      <c r="A80651" s="1" t="n">
        <v>80650</v>
      </c>
      <c r="B80651">
        <f>TEXT(80650, "[$-0E0000]yyyy-mm-dd")</f>
        <v/>
      </c>
    </row>
    <row r="80652">
      <c r="A80652" s="1" t="n">
        <v>80651</v>
      </c>
      <c r="B80652">
        <f>TEXT(80651, "[$-0E0000]yyyy-mm-dd")</f>
        <v/>
      </c>
    </row>
    <row r="80653">
      <c r="A80653" s="1" t="n">
        <v>80652</v>
      </c>
      <c r="B80653">
        <f>TEXT(80652, "[$-0E0000]yyyy-mm-dd")</f>
        <v/>
      </c>
    </row>
    <row r="80654">
      <c r="A80654" s="1" t="n">
        <v>80653</v>
      </c>
      <c r="B80654">
        <f>TEXT(80653, "[$-0E0000]yyyy-mm-dd")</f>
        <v/>
      </c>
    </row>
    <row r="80655">
      <c r="A80655" s="1" t="n">
        <v>80654</v>
      </c>
      <c r="B80655">
        <f>TEXT(80654, "[$-0E0000]yyyy-mm-dd")</f>
        <v/>
      </c>
    </row>
    <row r="80656">
      <c r="A80656" s="1" t="n">
        <v>80655</v>
      </c>
      <c r="B80656">
        <f>TEXT(80655, "[$-0E0000]yyyy-mm-dd")</f>
        <v/>
      </c>
    </row>
    <row r="80657">
      <c r="A80657" s="1" t="n">
        <v>80656</v>
      </c>
      <c r="B80657">
        <f>TEXT(80656, "[$-0E0000]yyyy-mm-dd")</f>
        <v/>
      </c>
    </row>
    <row r="80658">
      <c r="A80658" s="1" t="n">
        <v>80657</v>
      </c>
      <c r="B80658">
        <f>TEXT(80657, "[$-0E0000]yyyy-mm-dd")</f>
        <v/>
      </c>
    </row>
    <row r="80659">
      <c r="A80659" s="1" t="n">
        <v>80658</v>
      </c>
      <c r="B80659">
        <f>TEXT(80658, "[$-0E0000]yyyy-mm-dd")</f>
        <v/>
      </c>
    </row>
    <row r="80660">
      <c r="A80660" s="1" t="n">
        <v>80659</v>
      </c>
      <c r="B80660">
        <f>TEXT(80659, "[$-0E0000]yyyy-mm-dd")</f>
        <v/>
      </c>
    </row>
    <row r="80661">
      <c r="A80661" s="1" t="n">
        <v>80660</v>
      </c>
      <c r="B80661">
        <f>TEXT(80660, "[$-0E0000]yyyy-mm-dd")</f>
        <v/>
      </c>
    </row>
    <row r="80662">
      <c r="A80662" s="1" t="n">
        <v>80661</v>
      </c>
      <c r="B80662">
        <f>TEXT(80661, "[$-0E0000]yyyy-mm-dd")</f>
        <v/>
      </c>
    </row>
    <row r="80663">
      <c r="A80663" s="1" t="n">
        <v>80662</v>
      </c>
      <c r="B80663">
        <f>TEXT(80662, "[$-0E0000]yyyy-mm-dd")</f>
        <v/>
      </c>
    </row>
    <row r="80664">
      <c r="A80664" s="1" t="n">
        <v>80663</v>
      </c>
      <c r="B80664">
        <f>TEXT(80663, "[$-0E0000]yyyy-mm-dd")</f>
        <v/>
      </c>
    </row>
    <row r="80665">
      <c r="A80665" s="1" t="n">
        <v>80664</v>
      </c>
      <c r="B80665">
        <f>TEXT(80664, "[$-0E0000]yyyy-mm-dd")</f>
        <v/>
      </c>
    </row>
    <row r="80666">
      <c r="A80666" s="1" t="n">
        <v>80665</v>
      </c>
      <c r="B80666">
        <f>TEXT(80665, "[$-0E0000]yyyy-mm-dd")</f>
        <v/>
      </c>
    </row>
    <row r="80667">
      <c r="A80667" s="1" t="n">
        <v>80666</v>
      </c>
      <c r="B80667">
        <f>TEXT(80666, "[$-0E0000]yyyy-mm-dd")</f>
        <v/>
      </c>
    </row>
    <row r="80668">
      <c r="A80668" s="1" t="n">
        <v>80667</v>
      </c>
      <c r="B80668">
        <f>TEXT(80667, "[$-0E0000]yyyy-mm-dd")</f>
        <v/>
      </c>
    </row>
    <row r="80669">
      <c r="A80669" s="1" t="n">
        <v>80668</v>
      </c>
      <c r="B80669">
        <f>TEXT(80668, "[$-0E0000]yyyy-mm-dd")</f>
        <v/>
      </c>
    </row>
    <row r="80670">
      <c r="A80670" s="1" t="n">
        <v>80669</v>
      </c>
      <c r="B80670">
        <f>TEXT(80669, "[$-0E0000]yyyy-mm-dd")</f>
        <v/>
      </c>
    </row>
    <row r="80671">
      <c r="A80671" s="1" t="n">
        <v>80670</v>
      </c>
      <c r="B80671">
        <f>TEXT(80670, "[$-0E0000]yyyy-mm-dd")</f>
        <v/>
      </c>
    </row>
    <row r="80672">
      <c r="A80672" s="1" t="n">
        <v>80671</v>
      </c>
      <c r="B80672">
        <f>TEXT(80671, "[$-0E0000]yyyy-mm-dd")</f>
        <v/>
      </c>
    </row>
    <row r="80673">
      <c r="A80673" s="1" t="n">
        <v>80672</v>
      </c>
      <c r="B80673">
        <f>TEXT(80672, "[$-0E0000]yyyy-mm-dd")</f>
        <v/>
      </c>
    </row>
    <row r="80674">
      <c r="A80674" s="1" t="n">
        <v>80673</v>
      </c>
      <c r="B80674">
        <f>TEXT(80673, "[$-0E0000]yyyy-mm-dd")</f>
        <v/>
      </c>
    </row>
    <row r="80675">
      <c r="A80675" s="1" t="n">
        <v>80674</v>
      </c>
      <c r="B80675">
        <f>TEXT(80674, "[$-0E0000]yyyy-mm-dd")</f>
        <v/>
      </c>
    </row>
    <row r="80676">
      <c r="A80676" s="1" t="n">
        <v>80675</v>
      </c>
      <c r="B80676">
        <f>TEXT(80675, "[$-0E0000]yyyy-mm-dd")</f>
        <v/>
      </c>
    </row>
    <row r="80677">
      <c r="A80677" s="1" t="n">
        <v>80676</v>
      </c>
      <c r="B80677">
        <f>TEXT(80676, "[$-0E0000]yyyy-mm-dd")</f>
        <v/>
      </c>
    </row>
    <row r="80678">
      <c r="A80678" s="1" t="n">
        <v>80677</v>
      </c>
      <c r="B80678">
        <f>TEXT(80677, "[$-0E0000]yyyy-mm-dd")</f>
        <v/>
      </c>
    </row>
    <row r="80679">
      <c r="A80679" s="1" t="n">
        <v>80678</v>
      </c>
      <c r="B80679">
        <f>TEXT(80678, "[$-0E0000]yyyy-mm-dd")</f>
        <v/>
      </c>
    </row>
    <row r="80680">
      <c r="A80680" s="1" t="n">
        <v>80679</v>
      </c>
      <c r="B80680">
        <f>TEXT(80679, "[$-0E0000]yyyy-mm-dd")</f>
        <v/>
      </c>
    </row>
    <row r="80681">
      <c r="A80681" s="1" t="n">
        <v>80680</v>
      </c>
      <c r="B80681">
        <f>TEXT(80680, "[$-0E0000]yyyy-mm-dd")</f>
        <v/>
      </c>
    </row>
    <row r="80682">
      <c r="A80682" s="1" t="n">
        <v>80681</v>
      </c>
      <c r="B80682">
        <f>TEXT(80681, "[$-0E0000]yyyy-mm-dd")</f>
        <v/>
      </c>
    </row>
    <row r="80683">
      <c r="A80683" s="1" t="n">
        <v>80682</v>
      </c>
      <c r="B80683">
        <f>TEXT(80682, "[$-0E0000]yyyy-mm-dd")</f>
        <v/>
      </c>
    </row>
    <row r="80684">
      <c r="A80684" s="1" t="n">
        <v>80683</v>
      </c>
      <c r="B80684">
        <f>TEXT(80683, "[$-0E0000]yyyy-mm-dd")</f>
        <v/>
      </c>
    </row>
    <row r="80685">
      <c r="A80685" s="1" t="n">
        <v>80684</v>
      </c>
      <c r="B80685">
        <f>TEXT(80684, "[$-0E0000]yyyy-mm-dd")</f>
        <v/>
      </c>
    </row>
    <row r="80686">
      <c r="A80686" s="1" t="n">
        <v>80685</v>
      </c>
      <c r="B80686">
        <f>TEXT(80685, "[$-0E0000]yyyy-mm-dd")</f>
        <v/>
      </c>
    </row>
    <row r="80687">
      <c r="A80687" s="1" t="n">
        <v>80686</v>
      </c>
      <c r="B80687">
        <f>TEXT(80686, "[$-0E0000]yyyy-mm-dd")</f>
        <v/>
      </c>
    </row>
    <row r="80688">
      <c r="A80688" s="1" t="n">
        <v>80687</v>
      </c>
      <c r="B80688">
        <f>TEXT(80687, "[$-0E0000]yyyy-mm-dd")</f>
        <v/>
      </c>
    </row>
    <row r="80689">
      <c r="A80689" s="1" t="n">
        <v>80688</v>
      </c>
      <c r="B80689">
        <f>TEXT(80688, "[$-0E0000]yyyy-mm-dd")</f>
        <v/>
      </c>
    </row>
    <row r="80690">
      <c r="A80690" s="1" t="n">
        <v>80689</v>
      </c>
      <c r="B80690">
        <f>TEXT(80689, "[$-0E0000]yyyy-mm-dd")</f>
        <v/>
      </c>
    </row>
    <row r="80691">
      <c r="A80691" s="1" t="n">
        <v>80690</v>
      </c>
      <c r="B80691">
        <f>TEXT(80690, "[$-0E0000]yyyy-mm-dd")</f>
        <v/>
      </c>
    </row>
    <row r="80692">
      <c r="A80692" s="1" t="n">
        <v>80691</v>
      </c>
      <c r="B80692">
        <f>TEXT(80691, "[$-0E0000]yyyy-mm-dd")</f>
        <v/>
      </c>
    </row>
    <row r="80693">
      <c r="A80693" s="1" t="n">
        <v>80692</v>
      </c>
      <c r="B80693">
        <f>TEXT(80692, "[$-0E0000]yyyy-mm-dd")</f>
        <v/>
      </c>
    </row>
    <row r="80694">
      <c r="A80694" s="1" t="n">
        <v>80693</v>
      </c>
      <c r="B80694">
        <f>TEXT(80693, "[$-0E0000]yyyy-mm-dd")</f>
        <v/>
      </c>
    </row>
    <row r="80695">
      <c r="A80695" s="1" t="n">
        <v>80694</v>
      </c>
      <c r="B80695">
        <f>TEXT(80694, "[$-0E0000]yyyy-mm-dd")</f>
        <v/>
      </c>
    </row>
    <row r="80696">
      <c r="A80696" s="1" t="n">
        <v>80695</v>
      </c>
      <c r="B80696">
        <f>TEXT(80695, "[$-0E0000]yyyy-mm-dd")</f>
        <v/>
      </c>
    </row>
    <row r="80697">
      <c r="A80697" s="1" t="n">
        <v>80696</v>
      </c>
      <c r="B80697">
        <f>TEXT(80696, "[$-0E0000]yyyy-mm-dd")</f>
        <v/>
      </c>
    </row>
    <row r="80698">
      <c r="A80698" s="1" t="n">
        <v>80697</v>
      </c>
      <c r="B80698">
        <f>TEXT(80697, "[$-0E0000]yyyy-mm-dd")</f>
        <v/>
      </c>
    </row>
    <row r="80699">
      <c r="A80699" s="1" t="n">
        <v>80698</v>
      </c>
      <c r="B80699">
        <f>TEXT(80698, "[$-0E0000]yyyy-mm-dd")</f>
        <v/>
      </c>
    </row>
    <row r="80700">
      <c r="A80700" s="1" t="n">
        <v>80699</v>
      </c>
      <c r="B80700">
        <f>TEXT(80699, "[$-0E0000]yyyy-mm-dd")</f>
        <v/>
      </c>
    </row>
    <row r="80701">
      <c r="A80701" s="1" t="n">
        <v>80700</v>
      </c>
      <c r="B80701">
        <f>TEXT(80700, "[$-0E0000]yyyy-mm-dd")</f>
        <v/>
      </c>
    </row>
    <row r="80702">
      <c r="A80702" s="1" t="n">
        <v>80701</v>
      </c>
      <c r="B80702">
        <f>TEXT(80701, "[$-0E0000]yyyy-mm-dd")</f>
        <v/>
      </c>
    </row>
    <row r="80703">
      <c r="A80703" s="1" t="n">
        <v>80702</v>
      </c>
      <c r="B80703">
        <f>TEXT(80702, "[$-0E0000]yyyy-mm-dd")</f>
        <v/>
      </c>
    </row>
    <row r="80704">
      <c r="A80704" s="1" t="n">
        <v>80703</v>
      </c>
      <c r="B80704">
        <f>TEXT(80703, "[$-0E0000]yyyy-mm-dd")</f>
        <v/>
      </c>
    </row>
    <row r="80705">
      <c r="A80705" s="1" t="n">
        <v>80704</v>
      </c>
      <c r="B80705">
        <f>TEXT(80704, "[$-0E0000]yyyy-mm-dd")</f>
        <v/>
      </c>
    </row>
    <row r="80706">
      <c r="A80706" s="1" t="n">
        <v>80705</v>
      </c>
      <c r="B80706">
        <f>TEXT(80705, "[$-0E0000]yyyy-mm-dd")</f>
        <v/>
      </c>
    </row>
    <row r="80707">
      <c r="A80707" s="1" t="n">
        <v>80706</v>
      </c>
      <c r="B80707">
        <f>TEXT(80706, "[$-0E0000]yyyy-mm-dd")</f>
        <v/>
      </c>
    </row>
    <row r="80708">
      <c r="A80708" s="1" t="n">
        <v>80707</v>
      </c>
      <c r="B80708">
        <f>TEXT(80707, "[$-0E0000]yyyy-mm-dd")</f>
        <v/>
      </c>
    </row>
    <row r="80709">
      <c r="A80709" s="1" t="n">
        <v>80708</v>
      </c>
      <c r="B80709">
        <f>TEXT(80708, "[$-0E0000]yyyy-mm-dd")</f>
        <v/>
      </c>
    </row>
    <row r="80710">
      <c r="A80710" s="1" t="n">
        <v>80709</v>
      </c>
      <c r="B80710">
        <f>TEXT(80709, "[$-0E0000]yyyy-mm-dd")</f>
        <v/>
      </c>
    </row>
    <row r="80711">
      <c r="A80711" s="1" t="n">
        <v>80710</v>
      </c>
      <c r="B80711">
        <f>TEXT(80710, "[$-0E0000]yyyy-mm-dd")</f>
        <v/>
      </c>
    </row>
    <row r="80712">
      <c r="A80712" s="1" t="n">
        <v>80711</v>
      </c>
      <c r="B80712">
        <f>TEXT(80711, "[$-0E0000]yyyy-mm-dd")</f>
        <v/>
      </c>
    </row>
    <row r="80713">
      <c r="A80713" s="1" t="n">
        <v>80712</v>
      </c>
      <c r="B80713">
        <f>TEXT(80712, "[$-0E0000]yyyy-mm-dd")</f>
        <v/>
      </c>
    </row>
    <row r="80714">
      <c r="A80714" s="1" t="n">
        <v>80713</v>
      </c>
      <c r="B80714">
        <f>TEXT(80713, "[$-0E0000]yyyy-mm-dd")</f>
        <v/>
      </c>
    </row>
    <row r="80715">
      <c r="A80715" s="1" t="n">
        <v>80714</v>
      </c>
      <c r="B80715">
        <f>TEXT(80714, "[$-0E0000]yyyy-mm-dd")</f>
        <v/>
      </c>
    </row>
    <row r="80716">
      <c r="A80716" s="1" t="n">
        <v>80715</v>
      </c>
      <c r="B80716">
        <f>TEXT(80715, "[$-0E0000]yyyy-mm-dd")</f>
        <v/>
      </c>
    </row>
    <row r="80717">
      <c r="A80717" s="1" t="n">
        <v>80716</v>
      </c>
      <c r="B80717">
        <f>TEXT(80716, "[$-0E0000]yyyy-mm-dd")</f>
        <v/>
      </c>
    </row>
    <row r="80718">
      <c r="A80718" s="1" t="n">
        <v>80717</v>
      </c>
      <c r="B80718">
        <f>TEXT(80717, "[$-0E0000]yyyy-mm-dd")</f>
        <v/>
      </c>
    </row>
    <row r="80719">
      <c r="A80719" s="1" t="n">
        <v>80718</v>
      </c>
      <c r="B80719">
        <f>TEXT(80718, "[$-0E0000]yyyy-mm-dd")</f>
        <v/>
      </c>
    </row>
    <row r="80720">
      <c r="A80720" s="1" t="n">
        <v>80719</v>
      </c>
      <c r="B80720">
        <f>TEXT(80719, "[$-0E0000]yyyy-mm-dd")</f>
        <v/>
      </c>
    </row>
    <row r="80721">
      <c r="A80721" s="1" t="n">
        <v>80720</v>
      </c>
      <c r="B80721">
        <f>TEXT(80720, "[$-0E0000]yyyy-mm-dd")</f>
        <v/>
      </c>
    </row>
    <row r="80722">
      <c r="A80722" s="1" t="n">
        <v>80721</v>
      </c>
      <c r="B80722">
        <f>TEXT(80721, "[$-0E0000]yyyy-mm-dd")</f>
        <v/>
      </c>
    </row>
    <row r="80723">
      <c r="A80723" s="1" t="n">
        <v>80722</v>
      </c>
      <c r="B80723">
        <f>TEXT(80722, "[$-0E0000]yyyy-mm-dd")</f>
        <v/>
      </c>
    </row>
    <row r="80724">
      <c r="A80724" s="1" t="n">
        <v>80723</v>
      </c>
      <c r="B80724">
        <f>TEXT(80723, "[$-0E0000]yyyy-mm-dd")</f>
        <v/>
      </c>
    </row>
    <row r="80725">
      <c r="A80725" s="1" t="n">
        <v>80724</v>
      </c>
      <c r="B80725">
        <f>TEXT(80724, "[$-0E0000]yyyy-mm-dd")</f>
        <v/>
      </c>
    </row>
    <row r="80726">
      <c r="A80726" s="1" t="n">
        <v>80725</v>
      </c>
      <c r="B80726">
        <f>TEXT(80725, "[$-0E0000]yyyy-mm-dd")</f>
        <v/>
      </c>
    </row>
    <row r="80727">
      <c r="A80727" s="1" t="n">
        <v>80726</v>
      </c>
      <c r="B80727">
        <f>TEXT(80726, "[$-0E0000]yyyy-mm-dd")</f>
        <v/>
      </c>
    </row>
    <row r="80728">
      <c r="A80728" s="1" t="n">
        <v>80727</v>
      </c>
      <c r="B80728">
        <f>TEXT(80727, "[$-0E0000]yyyy-mm-dd")</f>
        <v/>
      </c>
    </row>
    <row r="80729">
      <c r="A80729" s="1" t="n">
        <v>80728</v>
      </c>
      <c r="B80729">
        <f>TEXT(80728, "[$-0E0000]yyyy-mm-dd")</f>
        <v/>
      </c>
    </row>
    <row r="80730">
      <c r="A80730" s="1" t="n">
        <v>80729</v>
      </c>
      <c r="B80730">
        <f>TEXT(80729, "[$-0E0000]yyyy-mm-dd")</f>
        <v/>
      </c>
    </row>
    <row r="80731">
      <c r="A80731" s="1" t="n">
        <v>80730</v>
      </c>
      <c r="B80731">
        <f>TEXT(80730, "[$-0E0000]yyyy-mm-dd")</f>
        <v/>
      </c>
    </row>
    <row r="80732">
      <c r="A80732" s="1" t="n">
        <v>80731</v>
      </c>
      <c r="B80732">
        <f>TEXT(80731, "[$-0E0000]yyyy-mm-dd")</f>
        <v/>
      </c>
    </row>
    <row r="80733">
      <c r="A80733" s="1" t="n">
        <v>80732</v>
      </c>
      <c r="B80733">
        <f>TEXT(80732, "[$-0E0000]yyyy-mm-dd")</f>
        <v/>
      </c>
    </row>
    <row r="80734">
      <c r="A80734" s="1" t="n">
        <v>80733</v>
      </c>
      <c r="B80734">
        <f>TEXT(80733, "[$-0E0000]yyyy-mm-dd")</f>
        <v/>
      </c>
    </row>
    <row r="80735">
      <c r="A80735" s="1" t="n">
        <v>80734</v>
      </c>
      <c r="B80735">
        <f>TEXT(80734, "[$-0E0000]yyyy-mm-dd")</f>
        <v/>
      </c>
    </row>
    <row r="80736">
      <c r="A80736" s="1" t="n">
        <v>80735</v>
      </c>
      <c r="B80736">
        <f>TEXT(80735, "[$-0E0000]yyyy-mm-dd")</f>
        <v/>
      </c>
    </row>
    <row r="80737">
      <c r="A80737" s="1" t="n">
        <v>80736</v>
      </c>
      <c r="B80737">
        <f>TEXT(80736, "[$-0E0000]yyyy-mm-dd")</f>
        <v/>
      </c>
    </row>
    <row r="80738">
      <c r="A80738" s="1" t="n">
        <v>80737</v>
      </c>
      <c r="B80738">
        <f>TEXT(80737, "[$-0E0000]yyyy-mm-dd")</f>
        <v/>
      </c>
    </row>
    <row r="80739">
      <c r="A80739" s="1" t="n">
        <v>80738</v>
      </c>
      <c r="B80739">
        <f>TEXT(80738, "[$-0E0000]yyyy-mm-dd")</f>
        <v/>
      </c>
    </row>
    <row r="80740">
      <c r="A80740" s="1" t="n">
        <v>80739</v>
      </c>
      <c r="B80740">
        <f>TEXT(80739, "[$-0E0000]yyyy-mm-dd")</f>
        <v/>
      </c>
    </row>
    <row r="80741">
      <c r="A80741" s="1" t="n">
        <v>80740</v>
      </c>
      <c r="B80741">
        <f>TEXT(80740, "[$-0E0000]yyyy-mm-dd")</f>
        <v/>
      </c>
    </row>
    <row r="80742">
      <c r="A80742" s="1" t="n">
        <v>80741</v>
      </c>
      <c r="B80742">
        <f>TEXT(80741, "[$-0E0000]yyyy-mm-dd")</f>
        <v/>
      </c>
    </row>
    <row r="80743">
      <c r="A80743" s="1" t="n">
        <v>80742</v>
      </c>
      <c r="B80743">
        <f>TEXT(80742, "[$-0E0000]yyyy-mm-dd")</f>
        <v/>
      </c>
    </row>
    <row r="80744">
      <c r="A80744" s="1" t="n">
        <v>80743</v>
      </c>
      <c r="B80744">
        <f>TEXT(80743, "[$-0E0000]yyyy-mm-dd")</f>
        <v/>
      </c>
    </row>
    <row r="80745">
      <c r="A80745" s="1" t="n">
        <v>80744</v>
      </c>
      <c r="B80745">
        <f>TEXT(80744, "[$-0E0000]yyyy-mm-dd")</f>
        <v/>
      </c>
    </row>
    <row r="80746">
      <c r="A80746" s="1" t="n">
        <v>80745</v>
      </c>
      <c r="B80746">
        <f>TEXT(80745, "[$-0E0000]yyyy-mm-dd")</f>
        <v/>
      </c>
    </row>
    <row r="80747">
      <c r="A80747" s="1" t="n">
        <v>80746</v>
      </c>
      <c r="B80747">
        <f>TEXT(80746, "[$-0E0000]yyyy-mm-dd")</f>
        <v/>
      </c>
    </row>
    <row r="80748">
      <c r="A80748" s="1" t="n">
        <v>80747</v>
      </c>
      <c r="B80748">
        <f>TEXT(80747, "[$-0E0000]yyyy-mm-dd")</f>
        <v/>
      </c>
    </row>
    <row r="80749">
      <c r="A80749" s="1" t="n">
        <v>80748</v>
      </c>
      <c r="B80749">
        <f>TEXT(80748, "[$-0E0000]yyyy-mm-dd")</f>
        <v/>
      </c>
    </row>
    <row r="80750">
      <c r="A80750" s="1" t="n">
        <v>80749</v>
      </c>
      <c r="B80750">
        <f>TEXT(80749, "[$-0E0000]yyyy-mm-dd")</f>
        <v/>
      </c>
    </row>
    <row r="80751">
      <c r="A80751" s="1" t="n">
        <v>80750</v>
      </c>
      <c r="B80751">
        <f>TEXT(80750, "[$-0E0000]yyyy-mm-dd")</f>
        <v/>
      </c>
    </row>
    <row r="80752">
      <c r="A80752" s="1" t="n">
        <v>80751</v>
      </c>
      <c r="B80752">
        <f>TEXT(80751, "[$-0E0000]yyyy-mm-dd")</f>
        <v/>
      </c>
    </row>
    <row r="80753">
      <c r="A80753" s="1" t="n">
        <v>80752</v>
      </c>
      <c r="B80753">
        <f>TEXT(80752, "[$-0E0000]yyyy-mm-dd")</f>
        <v/>
      </c>
    </row>
    <row r="80754">
      <c r="A80754" s="1" t="n">
        <v>80753</v>
      </c>
      <c r="B80754">
        <f>TEXT(80753, "[$-0E0000]yyyy-mm-dd")</f>
        <v/>
      </c>
    </row>
    <row r="80755">
      <c r="A80755" s="1" t="n">
        <v>80754</v>
      </c>
      <c r="B80755">
        <f>TEXT(80754, "[$-0E0000]yyyy-mm-dd")</f>
        <v/>
      </c>
    </row>
    <row r="80756">
      <c r="A80756" s="1" t="n">
        <v>80755</v>
      </c>
      <c r="B80756">
        <f>TEXT(80755, "[$-0E0000]yyyy-mm-dd")</f>
        <v/>
      </c>
    </row>
    <row r="80757">
      <c r="A80757" s="1" t="n">
        <v>80756</v>
      </c>
      <c r="B80757">
        <f>TEXT(80756, "[$-0E0000]yyyy-mm-dd")</f>
        <v/>
      </c>
    </row>
    <row r="80758">
      <c r="A80758" s="1" t="n">
        <v>80757</v>
      </c>
      <c r="B80758">
        <f>TEXT(80757, "[$-0E0000]yyyy-mm-dd")</f>
        <v/>
      </c>
    </row>
    <row r="80759">
      <c r="A80759" s="1" t="n">
        <v>80758</v>
      </c>
      <c r="B80759">
        <f>TEXT(80758, "[$-0E0000]yyyy-mm-dd")</f>
        <v/>
      </c>
    </row>
    <row r="80760">
      <c r="A80760" s="1" t="n">
        <v>80759</v>
      </c>
      <c r="B80760">
        <f>TEXT(80759, "[$-0E0000]yyyy-mm-dd")</f>
        <v/>
      </c>
    </row>
    <row r="80761">
      <c r="A80761" s="1" t="n">
        <v>80760</v>
      </c>
      <c r="B80761">
        <f>TEXT(80760, "[$-0E0000]yyyy-mm-dd")</f>
        <v/>
      </c>
    </row>
    <row r="80762">
      <c r="A80762" s="1" t="n">
        <v>80761</v>
      </c>
      <c r="B80762">
        <f>TEXT(80761, "[$-0E0000]yyyy-mm-dd")</f>
        <v/>
      </c>
    </row>
    <row r="80763">
      <c r="A80763" s="1" t="n">
        <v>80762</v>
      </c>
      <c r="B80763">
        <f>TEXT(80762, "[$-0E0000]yyyy-mm-dd")</f>
        <v/>
      </c>
    </row>
    <row r="80764">
      <c r="A80764" s="1" t="n">
        <v>80763</v>
      </c>
      <c r="B80764">
        <f>TEXT(80763, "[$-0E0000]yyyy-mm-dd")</f>
        <v/>
      </c>
    </row>
    <row r="80765">
      <c r="A80765" s="1" t="n">
        <v>80764</v>
      </c>
      <c r="B80765">
        <f>TEXT(80764, "[$-0E0000]yyyy-mm-dd")</f>
        <v/>
      </c>
    </row>
    <row r="80766">
      <c r="A80766" s="1" t="n">
        <v>80765</v>
      </c>
      <c r="B80766">
        <f>TEXT(80765, "[$-0E0000]yyyy-mm-dd")</f>
        <v/>
      </c>
    </row>
    <row r="80767">
      <c r="A80767" s="1" t="n">
        <v>80766</v>
      </c>
      <c r="B80767">
        <f>TEXT(80766, "[$-0E0000]yyyy-mm-dd")</f>
        <v/>
      </c>
    </row>
    <row r="80768">
      <c r="A80768" s="1" t="n">
        <v>80767</v>
      </c>
      <c r="B80768">
        <f>TEXT(80767, "[$-0E0000]yyyy-mm-dd")</f>
        <v/>
      </c>
    </row>
    <row r="80769">
      <c r="A80769" s="1" t="n">
        <v>80768</v>
      </c>
      <c r="B80769">
        <f>TEXT(80768, "[$-0E0000]yyyy-mm-dd")</f>
        <v/>
      </c>
    </row>
    <row r="80770">
      <c r="A80770" s="1" t="n">
        <v>80769</v>
      </c>
      <c r="B80770">
        <f>TEXT(80769, "[$-0E0000]yyyy-mm-dd")</f>
        <v/>
      </c>
    </row>
    <row r="80771">
      <c r="A80771" s="1" t="n">
        <v>80770</v>
      </c>
      <c r="B80771">
        <f>TEXT(80770, "[$-0E0000]yyyy-mm-dd")</f>
        <v/>
      </c>
    </row>
    <row r="80772">
      <c r="A80772" s="1" t="n">
        <v>80771</v>
      </c>
      <c r="B80772">
        <f>TEXT(80771, "[$-0E0000]yyyy-mm-dd")</f>
        <v/>
      </c>
    </row>
    <row r="80773">
      <c r="A80773" s="1" t="n">
        <v>80772</v>
      </c>
      <c r="B80773">
        <f>TEXT(80772, "[$-0E0000]yyyy-mm-dd")</f>
        <v/>
      </c>
    </row>
    <row r="80774">
      <c r="A80774" s="1" t="n">
        <v>80773</v>
      </c>
      <c r="B80774">
        <f>TEXT(80773, "[$-0E0000]yyyy-mm-dd")</f>
        <v/>
      </c>
    </row>
    <row r="80775">
      <c r="A80775" s="1" t="n">
        <v>80774</v>
      </c>
      <c r="B80775">
        <f>TEXT(80774, "[$-0E0000]yyyy-mm-dd")</f>
        <v/>
      </c>
    </row>
    <row r="80776">
      <c r="A80776" s="1" t="n">
        <v>80775</v>
      </c>
      <c r="B80776">
        <f>TEXT(80775, "[$-0E0000]yyyy-mm-dd")</f>
        <v/>
      </c>
    </row>
    <row r="80777">
      <c r="A80777" s="1" t="n">
        <v>80776</v>
      </c>
      <c r="B80777">
        <f>TEXT(80776, "[$-0E0000]yyyy-mm-dd")</f>
        <v/>
      </c>
    </row>
    <row r="80778">
      <c r="A80778" s="1" t="n">
        <v>80777</v>
      </c>
      <c r="B80778">
        <f>TEXT(80777, "[$-0E0000]yyyy-mm-dd")</f>
        <v/>
      </c>
    </row>
    <row r="80779">
      <c r="A80779" s="1" t="n">
        <v>80778</v>
      </c>
      <c r="B80779">
        <f>TEXT(80778, "[$-0E0000]yyyy-mm-dd")</f>
        <v/>
      </c>
    </row>
    <row r="80780">
      <c r="A80780" s="1" t="n">
        <v>80779</v>
      </c>
      <c r="B80780">
        <f>TEXT(80779, "[$-0E0000]yyyy-mm-dd")</f>
        <v/>
      </c>
    </row>
    <row r="80781">
      <c r="A80781" s="1" t="n">
        <v>80780</v>
      </c>
      <c r="B80781">
        <f>TEXT(80780, "[$-0E0000]yyyy-mm-dd")</f>
        <v/>
      </c>
    </row>
    <row r="80782">
      <c r="A80782" s="1" t="n">
        <v>80781</v>
      </c>
      <c r="B80782">
        <f>TEXT(80781, "[$-0E0000]yyyy-mm-dd")</f>
        <v/>
      </c>
    </row>
    <row r="80783">
      <c r="A80783" s="1" t="n">
        <v>80782</v>
      </c>
      <c r="B80783">
        <f>TEXT(80782, "[$-0E0000]yyyy-mm-dd")</f>
        <v/>
      </c>
    </row>
    <row r="80784">
      <c r="A80784" s="1" t="n">
        <v>80783</v>
      </c>
      <c r="B80784">
        <f>TEXT(80783, "[$-0E0000]yyyy-mm-dd")</f>
        <v/>
      </c>
    </row>
    <row r="80785">
      <c r="A80785" s="1" t="n">
        <v>80784</v>
      </c>
      <c r="B80785">
        <f>TEXT(80784, "[$-0E0000]yyyy-mm-dd")</f>
        <v/>
      </c>
    </row>
    <row r="80786">
      <c r="A80786" s="1" t="n">
        <v>80785</v>
      </c>
      <c r="B80786">
        <f>TEXT(80785, "[$-0E0000]yyyy-mm-dd")</f>
        <v/>
      </c>
    </row>
    <row r="80787">
      <c r="A80787" s="1" t="n">
        <v>80786</v>
      </c>
      <c r="B80787">
        <f>TEXT(80786, "[$-0E0000]yyyy-mm-dd")</f>
        <v/>
      </c>
    </row>
    <row r="80788">
      <c r="A80788" s="1" t="n">
        <v>80787</v>
      </c>
      <c r="B80788">
        <f>TEXT(80787, "[$-0E0000]yyyy-mm-dd")</f>
        <v/>
      </c>
    </row>
    <row r="80789">
      <c r="A80789" s="1" t="n">
        <v>80788</v>
      </c>
      <c r="B80789">
        <f>TEXT(80788, "[$-0E0000]yyyy-mm-dd")</f>
        <v/>
      </c>
    </row>
    <row r="80790">
      <c r="A80790" s="1" t="n">
        <v>80789</v>
      </c>
      <c r="B80790">
        <f>TEXT(80789, "[$-0E0000]yyyy-mm-dd")</f>
        <v/>
      </c>
    </row>
    <row r="80791">
      <c r="A80791" s="1" t="n">
        <v>80790</v>
      </c>
      <c r="B80791">
        <f>TEXT(80790, "[$-0E0000]yyyy-mm-dd")</f>
        <v/>
      </c>
    </row>
    <row r="80792">
      <c r="A80792" s="1" t="n">
        <v>80791</v>
      </c>
      <c r="B80792">
        <f>TEXT(80791, "[$-0E0000]yyyy-mm-dd")</f>
        <v/>
      </c>
    </row>
    <row r="80793">
      <c r="A80793" s="1" t="n">
        <v>80792</v>
      </c>
      <c r="B80793">
        <f>TEXT(80792, "[$-0E0000]yyyy-mm-dd")</f>
        <v/>
      </c>
    </row>
    <row r="80794">
      <c r="A80794" s="1" t="n">
        <v>80793</v>
      </c>
      <c r="B80794">
        <f>TEXT(80793, "[$-0E0000]yyyy-mm-dd")</f>
        <v/>
      </c>
    </row>
    <row r="80795">
      <c r="A80795" s="1" t="n">
        <v>80794</v>
      </c>
      <c r="B80795">
        <f>TEXT(80794, "[$-0E0000]yyyy-mm-dd")</f>
        <v/>
      </c>
    </row>
    <row r="80796">
      <c r="A80796" s="1" t="n">
        <v>80795</v>
      </c>
      <c r="B80796">
        <f>TEXT(80795, "[$-0E0000]yyyy-mm-dd")</f>
        <v/>
      </c>
    </row>
    <row r="80797">
      <c r="A80797" s="1" t="n">
        <v>80796</v>
      </c>
      <c r="B80797">
        <f>TEXT(80796, "[$-0E0000]yyyy-mm-dd")</f>
        <v/>
      </c>
    </row>
    <row r="80798">
      <c r="A80798" s="1" t="n">
        <v>80797</v>
      </c>
      <c r="B80798">
        <f>TEXT(80797, "[$-0E0000]yyyy-mm-dd")</f>
        <v/>
      </c>
    </row>
    <row r="80799">
      <c r="A80799" s="1" t="n">
        <v>80798</v>
      </c>
      <c r="B80799">
        <f>TEXT(80798, "[$-0E0000]yyyy-mm-dd")</f>
        <v/>
      </c>
    </row>
    <row r="80800">
      <c r="A80800" s="1" t="n">
        <v>80799</v>
      </c>
      <c r="B80800">
        <f>TEXT(80799, "[$-0E0000]yyyy-mm-dd")</f>
        <v/>
      </c>
    </row>
    <row r="80801">
      <c r="A80801" s="1" t="n">
        <v>80800</v>
      </c>
      <c r="B80801">
        <f>TEXT(80800, "[$-0E0000]yyyy-mm-dd")</f>
        <v/>
      </c>
    </row>
    <row r="80802">
      <c r="A80802" s="1" t="n">
        <v>80801</v>
      </c>
      <c r="B80802">
        <f>TEXT(80801, "[$-0E0000]yyyy-mm-dd")</f>
        <v/>
      </c>
    </row>
    <row r="80803">
      <c r="A80803" s="1" t="n">
        <v>80802</v>
      </c>
      <c r="B80803">
        <f>TEXT(80802, "[$-0E0000]yyyy-mm-dd")</f>
        <v/>
      </c>
    </row>
    <row r="80804">
      <c r="A80804" s="1" t="n">
        <v>80803</v>
      </c>
      <c r="B80804">
        <f>TEXT(80803, "[$-0E0000]yyyy-mm-dd")</f>
        <v/>
      </c>
    </row>
    <row r="80805">
      <c r="A80805" s="1" t="n">
        <v>80804</v>
      </c>
      <c r="B80805">
        <f>TEXT(80804, "[$-0E0000]yyyy-mm-dd")</f>
        <v/>
      </c>
    </row>
    <row r="80806">
      <c r="A80806" s="1" t="n">
        <v>80805</v>
      </c>
      <c r="B80806">
        <f>TEXT(80805, "[$-0E0000]yyyy-mm-dd")</f>
        <v/>
      </c>
    </row>
    <row r="80807">
      <c r="A80807" s="1" t="n">
        <v>80806</v>
      </c>
      <c r="B80807">
        <f>TEXT(80806, "[$-0E0000]yyyy-mm-dd")</f>
        <v/>
      </c>
    </row>
    <row r="80808">
      <c r="A80808" s="1" t="n">
        <v>80807</v>
      </c>
      <c r="B80808">
        <f>TEXT(80807, "[$-0E0000]yyyy-mm-dd")</f>
        <v/>
      </c>
    </row>
    <row r="80809">
      <c r="A80809" s="1" t="n">
        <v>80808</v>
      </c>
      <c r="B80809">
        <f>TEXT(80808, "[$-0E0000]yyyy-mm-dd")</f>
        <v/>
      </c>
    </row>
    <row r="80810">
      <c r="A80810" s="1" t="n">
        <v>80809</v>
      </c>
      <c r="B80810">
        <f>TEXT(80809, "[$-0E0000]yyyy-mm-dd")</f>
        <v/>
      </c>
    </row>
    <row r="80811">
      <c r="A80811" s="1" t="n">
        <v>80810</v>
      </c>
      <c r="B80811">
        <f>TEXT(80810, "[$-0E0000]yyyy-mm-dd")</f>
        <v/>
      </c>
    </row>
    <row r="80812">
      <c r="A80812" s="1" t="n">
        <v>80811</v>
      </c>
      <c r="B80812">
        <f>TEXT(80811, "[$-0E0000]yyyy-mm-dd")</f>
        <v/>
      </c>
    </row>
    <row r="80813">
      <c r="A80813" s="1" t="n">
        <v>80812</v>
      </c>
      <c r="B80813">
        <f>TEXT(80812, "[$-0E0000]yyyy-mm-dd")</f>
        <v/>
      </c>
    </row>
    <row r="80814">
      <c r="A80814" s="1" t="n">
        <v>80813</v>
      </c>
      <c r="B80814">
        <f>TEXT(80813, "[$-0E0000]yyyy-mm-dd")</f>
        <v/>
      </c>
    </row>
    <row r="80815">
      <c r="A80815" s="1" t="n">
        <v>80814</v>
      </c>
      <c r="B80815">
        <f>TEXT(80814, "[$-0E0000]yyyy-mm-dd")</f>
        <v/>
      </c>
    </row>
    <row r="80816">
      <c r="A80816" s="1" t="n">
        <v>80815</v>
      </c>
      <c r="B80816">
        <f>TEXT(80815, "[$-0E0000]yyyy-mm-dd")</f>
        <v/>
      </c>
    </row>
    <row r="80817">
      <c r="A80817" s="1" t="n">
        <v>80816</v>
      </c>
      <c r="B80817">
        <f>TEXT(80816, "[$-0E0000]yyyy-mm-dd")</f>
        <v/>
      </c>
    </row>
    <row r="80818">
      <c r="A80818" s="1" t="n">
        <v>80817</v>
      </c>
      <c r="B80818">
        <f>TEXT(80817, "[$-0E0000]yyyy-mm-dd")</f>
        <v/>
      </c>
    </row>
    <row r="80819">
      <c r="A80819" s="1" t="n">
        <v>80818</v>
      </c>
      <c r="B80819">
        <f>TEXT(80818, "[$-0E0000]yyyy-mm-dd")</f>
        <v/>
      </c>
    </row>
    <row r="80820">
      <c r="A80820" s="1" t="n">
        <v>80819</v>
      </c>
      <c r="B80820">
        <f>TEXT(80819, "[$-0E0000]yyyy-mm-dd")</f>
        <v/>
      </c>
    </row>
    <row r="80821">
      <c r="A80821" s="1" t="n">
        <v>80820</v>
      </c>
      <c r="B80821">
        <f>TEXT(80820, "[$-0E0000]yyyy-mm-dd")</f>
        <v/>
      </c>
    </row>
    <row r="80822">
      <c r="A80822" s="1" t="n">
        <v>80821</v>
      </c>
      <c r="B80822">
        <f>TEXT(80821, "[$-0E0000]yyyy-mm-dd")</f>
        <v/>
      </c>
    </row>
    <row r="80823">
      <c r="A80823" s="1" t="n">
        <v>80822</v>
      </c>
      <c r="B80823">
        <f>TEXT(80822, "[$-0E0000]yyyy-mm-dd")</f>
        <v/>
      </c>
    </row>
    <row r="80824">
      <c r="A80824" s="1" t="n">
        <v>80823</v>
      </c>
      <c r="B80824">
        <f>TEXT(80823, "[$-0E0000]yyyy-mm-dd")</f>
        <v/>
      </c>
    </row>
    <row r="80825">
      <c r="A80825" s="1" t="n">
        <v>80824</v>
      </c>
      <c r="B80825">
        <f>TEXT(80824, "[$-0E0000]yyyy-mm-dd")</f>
        <v/>
      </c>
    </row>
    <row r="80826">
      <c r="A80826" s="1" t="n">
        <v>80825</v>
      </c>
      <c r="B80826">
        <f>TEXT(80825, "[$-0E0000]yyyy-mm-dd")</f>
        <v/>
      </c>
    </row>
    <row r="80827">
      <c r="A80827" s="1" t="n">
        <v>80826</v>
      </c>
      <c r="B80827">
        <f>TEXT(80826, "[$-0E0000]yyyy-mm-dd")</f>
        <v/>
      </c>
    </row>
    <row r="80828">
      <c r="A80828" s="1" t="n">
        <v>80827</v>
      </c>
      <c r="B80828">
        <f>TEXT(80827, "[$-0E0000]yyyy-mm-dd")</f>
        <v/>
      </c>
    </row>
    <row r="80829">
      <c r="A80829" s="1" t="n">
        <v>80828</v>
      </c>
      <c r="B80829">
        <f>TEXT(80828, "[$-0E0000]yyyy-mm-dd")</f>
        <v/>
      </c>
    </row>
    <row r="80830">
      <c r="A80830" s="1" t="n">
        <v>80829</v>
      </c>
      <c r="B80830">
        <f>TEXT(80829, "[$-0E0000]yyyy-mm-dd")</f>
        <v/>
      </c>
    </row>
    <row r="80831">
      <c r="A80831" s="1" t="n">
        <v>80830</v>
      </c>
      <c r="B80831">
        <f>TEXT(80830, "[$-0E0000]yyyy-mm-dd")</f>
        <v/>
      </c>
    </row>
    <row r="80832">
      <c r="A80832" s="1" t="n">
        <v>80831</v>
      </c>
      <c r="B80832">
        <f>TEXT(80831, "[$-0E0000]yyyy-mm-dd")</f>
        <v/>
      </c>
    </row>
    <row r="80833">
      <c r="A80833" s="1" t="n">
        <v>80832</v>
      </c>
      <c r="B80833">
        <f>TEXT(80832, "[$-0E0000]yyyy-mm-dd")</f>
        <v/>
      </c>
    </row>
    <row r="80834">
      <c r="A80834" s="1" t="n">
        <v>80833</v>
      </c>
      <c r="B80834">
        <f>TEXT(80833, "[$-0E0000]yyyy-mm-dd")</f>
        <v/>
      </c>
    </row>
    <row r="80835">
      <c r="A80835" s="1" t="n">
        <v>80834</v>
      </c>
      <c r="B80835">
        <f>TEXT(80834, "[$-0E0000]yyyy-mm-dd")</f>
        <v/>
      </c>
    </row>
    <row r="80836">
      <c r="A80836" s="1" t="n">
        <v>80835</v>
      </c>
      <c r="B80836">
        <f>TEXT(80835, "[$-0E0000]yyyy-mm-dd")</f>
        <v/>
      </c>
    </row>
    <row r="80837">
      <c r="A80837" s="1" t="n">
        <v>80836</v>
      </c>
      <c r="B80837">
        <f>TEXT(80836, "[$-0E0000]yyyy-mm-dd")</f>
        <v/>
      </c>
    </row>
    <row r="80838">
      <c r="A80838" s="1" t="n">
        <v>80837</v>
      </c>
      <c r="B80838">
        <f>TEXT(80837, "[$-0E0000]yyyy-mm-dd")</f>
        <v/>
      </c>
    </row>
    <row r="80839">
      <c r="A80839" s="1" t="n">
        <v>80838</v>
      </c>
      <c r="B80839">
        <f>TEXT(80838, "[$-0E0000]yyyy-mm-dd")</f>
        <v/>
      </c>
    </row>
    <row r="80840">
      <c r="A80840" s="1" t="n">
        <v>80839</v>
      </c>
      <c r="B80840">
        <f>TEXT(80839, "[$-0E0000]yyyy-mm-dd")</f>
        <v/>
      </c>
    </row>
    <row r="80841">
      <c r="A80841" s="1" t="n">
        <v>80840</v>
      </c>
      <c r="B80841">
        <f>TEXT(80840, "[$-0E0000]yyyy-mm-dd")</f>
        <v/>
      </c>
    </row>
    <row r="80842">
      <c r="A80842" s="1" t="n">
        <v>80841</v>
      </c>
      <c r="B80842">
        <f>TEXT(80841, "[$-0E0000]yyyy-mm-dd")</f>
        <v/>
      </c>
    </row>
    <row r="80843">
      <c r="A80843" s="1" t="n">
        <v>80842</v>
      </c>
      <c r="B80843">
        <f>TEXT(80842, "[$-0E0000]yyyy-mm-dd")</f>
        <v/>
      </c>
    </row>
    <row r="80844">
      <c r="A80844" s="1" t="n">
        <v>80843</v>
      </c>
      <c r="B80844">
        <f>TEXT(80843, "[$-0E0000]yyyy-mm-dd")</f>
        <v/>
      </c>
    </row>
    <row r="80845">
      <c r="A80845" s="1" t="n">
        <v>80844</v>
      </c>
      <c r="B80845">
        <f>TEXT(80844, "[$-0E0000]yyyy-mm-dd")</f>
        <v/>
      </c>
    </row>
    <row r="80846">
      <c r="A80846" s="1" t="n">
        <v>80845</v>
      </c>
      <c r="B80846">
        <f>TEXT(80845, "[$-0E0000]yyyy-mm-dd")</f>
        <v/>
      </c>
    </row>
    <row r="80847">
      <c r="A80847" s="1" t="n">
        <v>80846</v>
      </c>
      <c r="B80847">
        <f>TEXT(80846, "[$-0E0000]yyyy-mm-dd")</f>
        <v/>
      </c>
    </row>
    <row r="80848">
      <c r="A80848" s="1" t="n">
        <v>80847</v>
      </c>
      <c r="B80848">
        <f>TEXT(80847, "[$-0E0000]yyyy-mm-dd")</f>
        <v/>
      </c>
    </row>
    <row r="80849">
      <c r="A80849" s="1" t="n">
        <v>80848</v>
      </c>
      <c r="B80849">
        <f>TEXT(80848, "[$-0E0000]yyyy-mm-dd")</f>
        <v/>
      </c>
    </row>
    <row r="80850">
      <c r="A80850" s="1" t="n">
        <v>80849</v>
      </c>
      <c r="B80850">
        <f>TEXT(80849, "[$-0E0000]yyyy-mm-dd")</f>
        <v/>
      </c>
    </row>
    <row r="80851">
      <c r="A80851" s="1" t="n">
        <v>80850</v>
      </c>
      <c r="B80851">
        <f>TEXT(80850, "[$-0E0000]yyyy-mm-dd")</f>
        <v/>
      </c>
    </row>
    <row r="80852">
      <c r="A80852" s="1" t="n">
        <v>80851</v>
      </c>
      <c r="B80852">
        <f>TEXT(80851, "[$-0E0000]yyyy-mm-dd")</f>
        <v/>
      </c>
    </row>
    <row r="80853">
      <c r="A80853" s="1" t="n">
        <v>80852</v>
      </c>
      <c r="B80853">
        <f>TEXT(80852, "[$-0E0000]yyyy-mm-dd")</f>
        <v/>
      </c>
    </row>
    <row r="80854">
      <c r="A80854" s="1" t="n">
        <v>80853</v>
      </c>
      <c r="B80854">
        <f>TEXT(80853, "[$-0E0000]yyyy-mm-dd")</f>
        <v/>
      </c>
    </row>
    <row r="80855">
      <c r="A80855" s="1" t="n">
        <v>80854</v>
      </c>
      <c r="B80855">
        <f>TEXT(80854, "[$-0E0000]yyyy-mm-dd")</f>
        <v/>
      </c>
    </row>
    <row r="80856">
      <c r="A80856" s="1" t="n">
        <v>80855</v>
      </c>
      <c r="B80856">
        <f>TEXT(80855, "[$-0E0000]yyyy-mm-dd")</f>
        <v/>
      </c>
    </row>
    <row r="80857">
      <c r="A80857" s="1" t="n">
        <v>80856</v>
      </c>
      <c r="B80857">
        <f>TEXT(80856, "[$-0E0000]yyyy-mm-dd")</f>
        <v/>
      </c>
    </row>
    <row r="80858">
      <c r="A80858" s="1" t="n">
        <v>80857</v>
      </c>
      <c r="B80858">
        <f>TEXT(80857, "[$-0E0000]yyyy-mm-dd")</f>
        <v/>
      </c>
    </row>
    <row r="80859">
      <c r="A80859" s="1" t="n">
        <v>80858</v>
      </c>
      <c r="B80859">
        <f>TEXT(80858, "[$-0E0000]yyyy-mm-dd")</f>
        <v/>
      </c>
    </row>
    <row r="80860">
      <c r="A80860" s="1" t="n">
        <v>80859</v>
      </c>
      <c r="B80860">
        <f>TEXT(80859, "[$-0E0000]yyyy-mm-dd")</f>
        <v/>
      </c>
    </row>
    <row r="80861">
      <c r="A80861" s="1" t="n">
        <v>80860</v>
      </c>
      <c r="B80861">
        <f>TEXT(80860, "[$-0E0000]yyyy-mm-dd")</f>
        <v/>
      </c>
    </row>
    <row r="80862">
      <c r="A80862" s="1" t="n">
        <v>80861</v>
      </c>
      <c r="B80862">
        <f>TEXT(80861, "[$-0E0000]yyyy-mm-dd")</f>
        <v/>
      </c>
    </row>
    <row r="80863">
      <c r="A80863" s="1" t="n">
        <v>80862</v>
      </c>
      <c r="B80863">
        <f>TEXT(80862, "[$-0E0000]yyyy-mm-dd")</f>
        <v/>
      </c>
    </row>
    <row r="80864">
      <c r="A80864" s="1" t="n">
        <v>80863</v>
      </c>
      <c r="B80864">
        <f>TEXT(80863, "[$-0E0000]yyyy-mm-dd")</f>
        <v/>
      </c>
    </row>
    <row r="80865">
      <c r="A80865" s="1" t="n">
        <v>80864</v>
      </c>
      <c r="B80865">
        <f>TEXT(80864, "[$-0E0000]yyyy-mm-dd")</f>
        <v/>
      </c>
    </row>
    <row r="80866">
      <c r="A80866" s="1" t="n">
        <v>80865</v>
      </c>
      <c r="B80866">
        <f>TEXT(80865, "[$-0E0000]yyyy-mm-dd")</f>
        <v/>
      </c>
    </row>
    <row r="80867">
      <c r="A80867" s="1" t="n">
        <v>80866</v>
      </c>
      <c r="B80867">
        <f>TEXT(80866, "[$-0E0000]yyyy-mm-dd")</f>
        <v/>
      </c>
    </row>
    <row r="80868">
      <c r="A80868" s="1" t="n">
        <v>80867</v>
      </c>
      <c r="B80868">
        <f>TEXT(80867, "[$-0E0000]yyyy-mm-dd")</f>
        <v/>
      </c>
    </row>
    <row r="80869">
      <c r="A80869" s="1" t="n">
        <v>80868</v>
      </c>
      <c r="B80869">
        <f>TEXT(80868, "[$-0E0000]yyyy-mm-dd")</f>
        <v/>
      </c>
    </row>
    <row r="80870">
      <c r="A80870" s="1" t="n">
        <v>80869</v>
      </c>
      <c r="B80870">
        <f>TEXT(80869, "[$-0E0000]yyyy-mm-dd")</f>
        <v/>
      </c>
    </row>
    <row r="80871">
      <c r="A80871" s="1" t="n">
        <v>80870</v>
      </c>
      <c r="B80871">
        <f>TEXT(80870, "[$-0E0000]yyyy-mm-dd")</f>
        <v/>
      </c>
    </row>
    <row r="80872">
      <c r="A80872" s="1" t="n">
        <v>80871</v>
      </c>
      <c r="B80872">
        <f>TEXT(80871, "[$-0E0000]yyyy-mm-dd")</f>
        <v/>
      </c>
    </row>
    <row r="80873">
      <c r="A80873" s="1" t="n">
        <v>80872</v>
      </c>
      <c r="B80873">
        <f>TEXT(80872, "[$-0E0000]yyyy-mm-dd")</f>
        <v/>
      </c>
    </row>
    <row r="80874">
      <c r="A80874" s="1" t="n">
        <v>80873</v>
      </c>
      <c r="B80874">
        <f>TEXT(80873, "[$-0E0000]yyyy-mm-dd")</f>
        <v/>
      </c>
    </row>
    <row r="80875">
      <c r="A80875" s="1" t="n">
        <v>80874</v>
      </c>
      <c r="B80875">
        <f>TEXT(80874, "[$-0E0000]yyyy-mm-dd")</f>
        <v/>
      </c>
    </row>
    <row r="80876">
      <c r="A80876" s="1" t="n">
        <v>80875</v>
      </c>
      <c r="B80876">
        <f>TEXT(80875, "[$-0E0000]yyyy-mm-dd")</f>
        <v/>
      </c>
    </row>
    <row r="80877">
      <c r="A80877" s="1" t="n">
        <v>80876</v>
      </c>
      <c r="B80877">
        <f>TEXT(80876, "[$-0E0000]yyyy-mm-dd")</f>
        <v/>
      </c>
    </row>
    <row r="80878">
      <c r="A80878" s="1" t="n">
        <v>80877</v>
      </c>
      <c r="B80878">
        <f>TEXT(80877, "[$-0E0000]yyyy-mm-dd")</f>
        <v/>
      </c>
    </row>
    <row r="80879">
      <c r="A80879" s="1" t="n">
        <v>80878</v>
      </c>
      <c r="B80879">
        <f>TEXT(80878, "[$-0E0000]yyyy-mm-dd")</f>
        <v/>
      </c>
    </row>
    <row r="80880">
      <c r="A80880" s="1" t="n">
        <v>80879</v>
      </c>
      <c r="B80880">
        <f>TEXT(80879, "[$-0E0000]yyyy-mm-dd")</f>
        <v/>
      </c>
    </row>
    <row r="80881">
      <c r="A80881" s="1" t="n">
        <v>80880</v>
      </c>
      <c r="B80881">
        <f>TEXT(80880, "[$-0E0000]yyyy-mm-dd")</f>
        <v/>
      </c>
    </row>
    <row r="80882">
      <c r="A80882" s="1" t="n">
        <v>80881</v>
      </c>
      <c r="B80882">
        <f>TEXT(80881, "[$-0E0000]yyyy-mm-dd")</f>
        <v/>
      </c>
    </row>
    <row r="80883">
      <c r="A80883" s="1" t="n">
        <v>80882</v>
      </c>
      <c r="B80883">
        <f>TEXT(80882, "[$-0E0000]yyyy-mm-dd")</f>
        <v/>
      </c>
    </row>
    <row r="80884">
      <c r="A80884" s="1" t="n">
        <v>80883</v>
      </c>
      <c r="B80884">
        <f>TEXT(80883, "[$-0E0000]yyyy-mm-dd")</f>
        <v/>
      </c>
    </row>
    <row r="80885">
      <c r="A80885" s="1" t="n">
        <v>80884</v>
      </c>
      <c r="B80885">
        <f>TEXT(80884, "[$-0E0000]yyyy-mm-dd")</f>
        <v/>
      </c>
    </row>
    <row r="80886">
      <c r="A80886" s="1" t="n">
        <v>80885</v>
      </c>
      <c r="B80886">
        <f>TEXT(80885, "[$-0E0000]yyyy-mm-dd")</f>
        <v/>
      </c>
    </row>
    <row r="80887">
      <c r="A80887" s="1" t="n">
        <v>80886</v>
      </c>
      <c r="B80887">
        <f>TEXT(80886, "[$-0E0000]yyyy-mm-dd")</f>
        <v/>
      </c>
    </row>
    <row r="80888">
      <c r="A80888" s="1" t="n">
        <v>80887</v>
      </c>
      <c r="B80888">
        <f>TEXT(80887, "[$-0E0000]yyyy-mm-dd")</f>
        <v/>
      </c>
    </row>
    <row r="80889">
      <c r="A80889" s="1" t="n">
        <v>80888</v>
      </c>
      <c r="B80889">
        <f>TEXT(80888, "[$-0E0000]yyyy-mm-dd")</f>
        <v/>
      </c>
    </row>
    <row r="80890">
      <c r="A80890" s="1" t="n">
        <v>80889</v>
      </c>
      <c r="B80890">
        <f>TEXT(80889, "[$-0E0000]yyyy-mm-dd")</f>
        <v/>
      </c>
    </row>
    <row r="80891">
      <c r="A80891" s="1" t="n">
        <v>80890</v>
      </c>
      <c r="B80891">
        <f>TEXT(80890, "[$-0E0000]yyyy-mm-dd")</f>
        <v/>
      </c>
    </row>
    <row r="80892">
      <c r="A80892" s="1" t="n">
        <v>80891</v>
      </c>
      <c r="B80892">
        <f>TEXT(80891, "[$-0E0000]yyyy-mm-dd")</f>
        <v/>
      </c>
    </row>
    <row r="80893">
      <c r="A80893" s="1" t="n">
        <v>80892</v>
      </c>
      <c r="B80893">
        <f>TEXT(80892, "[$-0E0000]yyyy-mm-dd")</f>
        <v/>
      </c>
    </row>
    <row r="80894">
      <c r="A80894" s="1" t="n">
        <v>80893</v>
      </c>
      <c r="B80894">
        <f>TEXT(80893, "[$-0E0000]yyyy-mm-dd")</f>
        <v/>
      </c>
    </row>
    <row r="80895">
      <c r="A80895" s="1" t="n">
        <v>80894</v>
      </c>
      <c r="B80895">
        <f>TEXT(80894, "[$-0E0000]yyyy-mm-dd")</f>
        <v/>
      </c>
    </row>
    <row r="80896">
      <c r="A80896" s="1" t="n">
        <v>80895</v>
      </c>
      <c r="B80896">
        <f>TEXT(80895, "[$-0E0000]yyyy-mm-dd")</f>
        <v/>
      </c>
    </row>
    <row r="80897">
      <c r="A80897" s="1" t="n">
        <v>80896</v>
      </c>
      <c r="B80897">
        <f>TEXT(80896, "[$-0E0000]yyyy-mm-dd")</f>
        <v/>
      </c>
    </row>
    <row r="80898">
      <c r="A80898" s="1" t="n">
        <v>80897</v>
      </c>
      <c r="B80898">
        <f>TEXT(80897, "[$-0E0000]yyyy-mm-dd")</f>
        <v/>
      </c>
    </row>
    <row r="80899">
      <c r="A80899" s="1" t="n">
        <v>80898</v>
      </c>
      <c r="B80899">
        <f>TEXT(80898, "[$-0E0000]yyyy-mm-dd")</f>
        <v/>
      </c>
    </row>
    <row r="80900">
      <c r="A80900" s="1" t="n">
        <v>80899</v>
      </c>
      <c r="B80900">
        <f>TEXT(80899, "[$-0E0000]yyyy-mm-dd")</f>
        <v/>
      </c>
    </row>
    <row r="80901">
      <c r="A80901" s="1" t="n">
        <v>80900</v>
      </c>
      <c r="B80901">
        <f>TEXT(80900, "[$-0E0000]yyyy-mm-dd")</f>
        <v/>
      </c>
    </row>
    <row r="80902">
      <c r="A80902" s="1" t="n">
        <v>80901</v>
      </c>
      <c r="B80902">
        <f>TEXT(80901, "[$-0E0000]yyyy-mm-dd")</f>
        <v/>
      </c>
    </row>
    <row r="80903">
      <c r="A80903" s="1" t="n">
        <v>80902</v>
      </c>
      <c r="B80903">
        <f>TEXT(80902, "[$-0E0000]yyyy-mm-dd")</f>
        <v/>
      </c>
    </row>
    <row r="80904">
      <c r="A80904" s="1" t="n">
        <v>80903</v>
      </c>
      <c r="B80904">
        <f>TEXT(80903, "[$-0E0000]yyyy-mm-dd")</f>
        <v/>
      </c>
    </row>
    <row r="80905">
      <c r="A80905" s="1" t="n">
        <v>80904</v>
      </c>
      <c r="B80905">
        <f>TEXT(80904, "[$-0E0000]yyyy-mm-dd")</f>
        <v/>
      </c>
    </row>
    <row r="80906">
      <c r="A80906" s="1" t="n">
        <v>80905</v>
      </c>
      <c r="B80906">
        <f>TEXT(80905, "[$-0E0000]yyyy-mm-dd")</f>
        <v/>
      </c>
    </row>
    <row r="80907">
      <c r="A80907" s="1" t="n">
        <v>80906</v>
      </c>
      <c r="B80907">
        <f>TEXT(80906, "[$-0E0000]yyyy-mm-dd")</f>
        <v/>
      </c>
    </row>
    <row r="80908">
      <c r="A80908" s="1" t="n">
        <v>80907</v>
      </c>
      <c r="B80908">
        <f>TEXT(80907, "[$-0E0000]yyyy-mm-dd")</f>
        <v/>
      </c>
    </row>
    <row r="80909">
      <c r="A80909" s="1" t="n">
        <v>80908</v>
      </c>
      <c r="B80909">
        <f>TEXT(80908, "[$-0E0000]yyyy-mm-dd")</f>
        <v/>
      </c>
    </row>
    <row r="80910">
      <c r="A80910" s="1" t="n">
        <v>80909</v>
      </c>
      <c r="B80910">
        <f>TEXT(80909, "[$-0E0000]yyyy-mm-dd")</f>
        <v/>
      </c>
    </row>
    <row r="80911">
      <c r="A80911" s="1" t="n">
        <v>80910</v>
      </c>
      <c r="B80911">
        <f>TEXT(80910, "[$-0E0000]yyyy-mm-dd")</f>
        <v/>
      </c>
    </row>
    <row r="80912">
      <c r="A80912" s="1" t="n">
        <v>80911</v>
      </c>
      <c r="B80912">
        <f>TEXT(80911, "[$-0E0000]yyyy-mm-dd")</f>
        <v/>
      </c>
    </row>
    <row r="80913">
      <c r="A80913" s="1" t="n">
        <v>80912</v>
      </c>
      <c r="B80913">
        <f>TEXT(80912, "[$-0E0000]yyyy-mm-dd")</f>
        <v/>
      </c>
    </row>
    <row r="80914">
      <c r="A80914" s="1" t="n">
        <v>80913</v>
      </c>
      <c r="B80914">
        <f>TEXT(80913, "[$-0E0000]yyyy-mm-dd")</f>
        <v/>
      </c>
    </row>
    <row r="80915">
      <c r="A80915" s="1" t="n">
        <v>80914</v>
      </c>
      <c r="B80915">
        <f>TEXT(80914, "[$-0E0000]yyyy-mm-dd")</f>
        <v/>
      </c>
    </row>
    <row r="80916">
      <c r="A80916" s="1" t="n">
        <v>80915</v>
      </c>
      <c r="B80916">
        <f>TEXT(80915, "[$-0E0000]yyyy-mm-dd")</f>
        <v/>
      </c>
    </row>
    <row r="80917">
      <c r="A80917" s="1" t="n">
        <v>80916</v>
      </c>
      <c r="B80917">
        <f>TEXT(80916, "[$-0E0000]yyyy-mm-dd")</f>
        <v/>
      </c>
    </row>
    <row r="80918">
      <c r="A80918" s="1" t="n">
        <v>80917</v>
      </c>
      <c r="B80918">
        <f>TEXT(80917, "[$-0E0000]yyyy-mm-dd")</f>
        <v/>
      </c>
    </row>
    <row r="80919">
      <c r="A80919" s="1" t="n">
        <v>80918</v>
      </c>
      <c r="B80919">
        <f>TEXT(80918, "[$-0E0000]yyyy-mm-dd")</f>
        <v/>
      </c>
    </row>
    <row r="80920">
      <c r="A80920" s="1" t="n">
        <v>80919</v>
      </c>
      <c r="B80920">
        <f>TEXT(80919, "[$-0E0000]yyyy-mm-dd")</f>
        <v/>
      </c>
    </row>
    <row r="80921">
      <c r="A80921" s="1" t="n">
        <v>80920</v>
      </c>
      <c r="B80921">
        <f>TEXT(80920, "[$-0E0000]yyyy-mm-dd")</f>
        <v/>
      </c>
    </row>
    <row r="80922">
      <c r="A80922" s="1" t="n">
        <v>80921</v>
      </c>
      <c r="B80922">
        <f>TEXT(80921, "[$-0E0000]yyyy-mm-dd")</f>
        <v/>
      </c>
    </row>
    <row r="80923">
      <c r="A80923" s="1" t="n">
        <v>80922</v>
      </c>
      <c r="B80923">
        <f>TEXT(80922, "[$-0E0000]yyyy-mm-dd")</f>
        <v/>
      </c>
    </row>
    <row r="80924">
      <c r="A80924" s="1" t="n">
        <v>80923</v>
      </c>
      <c r="B80924">
        <f>TEXT(80923, "[$-0E0000]yyyy-mm-dd")</f>
        <v/>
      </c>
    </row>
    <row r="80925">
      <c r="A80925" s="1" t="n">
        <v>80924</v>
      </c>
      <c r="B80925">
        <f>TEXT(80924, "[$-0E0000]yyyy-mm-dd")</f>
        <v/>
      </c>
    </row>
    <row r="80926">
      <c r="A80926" s="1" t="n">
        <v>80925</v>
      </c>
      <c r="B80926">
        <f>TEXT(80925, "[$-0E0000]yyyy-mm-dd")</f>
        <v/>
      </c>
    </row>
    <row r="80927">
      <c r="A80927" s="1" t="n">
        <v>80926</v>
      </c>
      <c r="B80927">
        <f>TEXT(80926, "[$-0E0000]yyyy-mm-dd")</f>
        <v/>
      </c>
    </row>
    <row r="80928">
      <c r="A80928" s="1" t="n">
        <v>80927</v>
      </c>
      <c r="B80928">
        <f>TEXT(80927, "[$-0E0000]yyyy-mm-dd")</f>
        <v/>
      </c>
    </row>
    <row r="80929">
      <c r="A80929" s="1" t="n">
        <v>80928</v>
      </c>
      <c r="B80929">
        <f>TEXT(80928, "[$-0E0000]yyyy-mm-dd")</f>
        <v/>
      </c>
    </row>
    <row r="80930">
      <c r="A80930" s="1" t="n">
        <v>80929</v>
      </c>
      <c r="B80930">
        <f>TEXT(80929, "[$-0E0000]yyyy-mm-dd")</f>
        <v/>
      </c>
    </row>
    <row r="80931">
      <c r="A80931" s="1" t="n">
        <v>80930</v>
      </c>
      <c r="B80931">
        <f>TEXT(80930, "[$-0E0000]yyyy-mm-dd")</f>
        <v/>
      </c>
    </row>
    <row r="80932">
      <c r="A80932" s="1" t="n">
        <v>80931</v>
      </c>
      <c r="B80932">
        <f>TEXT(80931, "[$-0E0000]yyyy-mm-dd")</f>
        <v/>
      </c>
    </row>
    <row r="80933">
      <c r="A80933" s="1" t="n">
        <v>80932</v>
      </c>
      <c r="B80933">
        <f>TEXT(80932, "[$-0E0000]yyyy-mm-dd")</f>
        <v/>
      </c>
    </row>
    <row r="80934">
      <c r="A80934" s="1" t="n">
        <v>80933</v>
      </c>
      <c r="B80934">
        <f>TEXT(80933, "[$-0E0000]yyyy-mm-dd")</f>
        <v/>
      </c>
    </row>
    <row r="80935">
      <c r="A80935" s="1" t="n">
        <v>80934</v>
      </c>
      <c r="B80935">
        <f>TEXT(80934, "[$-0E0000]yyyy-mm-dd")</f>
        <v/>
      </c>
    </row>
    <row r="80936">
      <c r="A80936" s="1" t="n">
        <v>80935</v>
      </c>
      <c r="B80936">
        <f>TEXT(80935, "[$-0E0000]yyyy-mm-dd")</f>
        <v/>
      </c>
    </row>
    <row r="80937">
      <c r="A80937" s="1" t="n">
        <v>80936</v>
      </c>
      <c r="B80937">
        <f>TEXT(80936, "[$-0E0000]yyyy-mm-dd")</f>
        <v/>
      </c>
    </row>
    <row r="80938">
      <c r="A80938" s="1" t="n">
        <v>80937</v>
      </c>
      <c r="B80938">
        <f>TEXT(80937, "[$-0E0000]yyyy-mm-dd")</f>
        <v/>
      </c>
    </row>
    <row r="80939">
      <c r="A80939" s="1" t="n">
        <v>80938</v>
      </c>
      <c r="B80939">
        <f>TEXT(80938, "[$-0E0000]yyyy-mm-dd")</f>
        <v/>
      </c>
    </row>
    <row r="80940">
      <c r="A80940" s="1" t="n">
        <v>80939</v>
      </c>
      <c r="B80940">
        <f>TEXT(80939, "[$-0E0000]yyyy-mm-dd")</f>
        <v/>
      </c>
    </row>
    <row r="80941">
      <c r="A80941" s="1" t="n">
        <v>80940</v>
      </c>
      <c r="B80941">
        <f>TEXT(80940, "[$-0E0000]yyyy-mm-dd")</f>
        <v/>
      </c>
    </row>
    <row r="80942">
      <c r="A80942" s="1" t="n">
        <v>80941</v>
      </c>
      <c r="B80942">
        <f>TEXT(80941, "[$-0E0000]yyyy-mm-dd")</f>
        <v/>
      </c>
    </row>
    <row r="80943">
      <c r="A80943" s="1" t="n">
        <v>80942</v>
      </c>
      <c r="B80943">
        <f>TEXT(80942, "[$-0E0000]yyyy-mm-dd")</f>
        <v/>
      </c>
    </row>
    <row r="80944">
      <c r="A80944" s="1" t="n">
        <v>80943</v>
      </c>
      <c r="B80944">
        <f>TEXT(80943, "[$-0E0000]yyyy-mm-dd")</f>
        <v/>
      </c>
    </row>
    <row r="80945">
      <c r="A80945" s="1" t="n">
        <v>80944</v>
      </c>
      <c r="B80945">
        <f>TEXT(80944, "[$-0E0000]yyyy-mm-dd")</f>
        <v/>
      </c>
    </row>
    <row r="80946">
      <c r="A80946" s="1" t="n">
        <v>80945</v>
      </c>
      <c r="B80946">
        <f>TEXT(80945, "[$-0E0000]yyyy-mm-dd")</f>
        <v/>
      </c>
    </row>
    <row r="80947">
      <c r="A80947" s="1" t="n">
        <v>80946</v>
      </c>
      <c r="B80947">
        <f>TEXT(80946, "[$-0E0000]yyyy-mm-dd")</f>
        <v/>
      </c>
    </row>
    <row r="80948">
      <c r="A80948" s="1" t="n">
        <v>80947</v>
      </c>
      <c r="B80948">
        <f>TEXT(80947, "[$-0E0000]yyyy-mm-dd")</f>
        <v/>
      </c>
    </row>
    <row r="80949">
      <c r="A80949" s="1" t="n">
        <v>80948</v>
      </c>
      <c r="B80949">
        <f>TEXT(80948, "[$-0E0000]yyyy-mm-dd")</f>
        <v/>
      </c>
    </row>
    <row r="80950">
      <c r="A80950" s="1" t="n">
        <v>80949</v>
      </c>
      <c r="B80950">
        <f>TEXT(80949, "[$-0E0000]yyyy-mm-dd")</f>
        <v/>
      </c>
    </row>
    <row r="80951">
      <c r="A80951" s="1" t="n">
        <v>80950</v>
      </c>
      <c r="B80951">
        <f>TEXT(80950, "[$-0E0000]yyyy-mm-dd")</f>
        <v/>
      </c>
    </row>
    <row r="80952">
      <c r="A80952" s="1" t="n">
        <v>80951</v>
      </c>
      <c r="B80952">
        <f>TEXT(80951, "[$-0E0000]yyyy-mm-dd")</f>
        <v/>
      </c>
    </row>
    <row r="80953">
      <c r="A80953" s="1" t="n">
        <v>80952</v>
      </c>
      <c r="B80953">
        <f>TEXT(80952, "[$-0E0000]yyyy-mm-dd")</f>
        <v/>
      </c>
    </row>
    <row r="80954">
      <c r="A80954" s="1" t="n">
        <v>80953</v>
      </c>
      <c r="B80954">
        <f>TEXT(80953, "[$-0E0000]yyyy-mm-dd")</f>
        <v/>
      </c>
    </row>
    <row r="80955">
      <c r="A80955" s="1" t="n">
        <v>80954</v>
      </c>
      <c r="B80955">
        <f>TEXT(80954, "[$-0E0000]yyyy-mm-dd")</f>
        <v/>
      </c>
    </row>
    <row r="80956">
      <c r="A80956" s="1" t="n">
        <v>80955</v>
      </c>
      <c r="B80956">
        <f>TEXT(80955, "[$-0E0000]yyyy-mm-dd")</f>
        <v/>
      </c>
    </row>
    <row r="80957">
      <c r="A80957" s="1" t="n">
        <v>80956</v>
      </c>
      <c r="B80957">
        <f>TEXT(80956, "[$-0E0000]yyyy-mm-dd")</f>
        <v/>
      </c>
    </row>
    <row r="80958">
      <c r="A80958" s="1" t="n">
        <v>80957</v>
      </c>
      <c r="B80958">
        <f>TEXT(80957, "[$-0E0000]yyyy-mm-dd")</f>
        <v/>
      </c>
    </row>
    <row r="80959">
      <c r="A80959" s="1" t="n">
        <v>80958</v>
      </c>
      <c r="B80959">
        <f>TEXT(80958, "[$-0E0000]yyyy-mm-dd")</f>
        <v/>
      </c>
    </row>
    <row r="80960">
      <c r="A80960" s="1" t="n">
        <v>80959</v>
      </c>
      <c r="B80960">
        <f>TEXT(80959, "[$-0E0000]yyyy-mm-dd")</f>
        <v/>
      </c>
    </row>
    <row r="80961">
      <c r="A80961" s="1" t="n">
        <v>80960</v>
      </c>
      <c r="B80961">
        <f>TEXT(80960, "[$-0E0000]yyyy-mm-dd")</f>
        <v/>
      </c>
    </row>
    <row r="80962">
      <c r="A80962" s="1" t="n">
        <v>80961</v>
      </c>
      <c r="B80962">
        <f>TEXT(80961, "[$-0E0000]yyyy-mm-dd")</f>
        <v/>
      </c>
    </row>
    <row r="80963">
      <c r="A80963" s="1" t="n">
        <v>80962</v>
      </c>
      <c r="B80963">
        <f>TEXT(80962, "[$-0E0000]yyyy-mm-dd")</f>
        <v/>
      </c>
    </row>
    <row r="80964">
      <c r="A80964" s="1" t="n">
        <v>80963</v>
      </c>
      <c r="B80964">
        <f>TEXT(80963, "[$-0E0000]yyyy-mm-dd")</f>
        <v/>
      </c>
    </row>
    <row r="80965">
      <c r="A80965" s="1" t="n">
        <v>80964</v>
      </c>
      <c r="B80965">
        <f>TEXT(80964, "[$-0E0000]yyyy-mm-dd")</f>
        <v/>
      </c>
    </row>
    <row r="80966">
      <c r="A80966" s="1" t="n">
        <v>80965</v>
      </c>
      <c r="B80966">
        <f>TEXT(80965, "[$-0E0000]yyyy-mm-dd")</f>
        <v/>
      </c>
    </row>
    <row r="80967">
      <c r="A80967" s="1" t="n">
        <v>80966</v>
      </c>
      <c r="B80967">
        <f>TEXT(80966, "[$-0E0000]yyyy-mm-dd")</f>
        <v/>
      </c>
    </row>
    <row r="80968">
      <c r="A80968" s="1" t="n">
        <v>80967</v>
      </c>
      <c r="B80968">
        <f>TEXT(80967, "[$-0E0000]yyyy-mm-dd")</f>
        <v/>
      </c>
    </row>
    <row r="80969">
      <c r="A80969" s="1" t="n">
        <v>80968</v>
      </c>
      <c r="B80969">
        <f>TEXT(80968, "[$-0E0000]yyyy-mm-dd")</f>
        <v/>
      </c>
    </row>
    <row r="80970">
      <c r="A80970" s="1" t="n">
        <v>80969</v>
      </c>
      <c r="B80970">
        <f>TEXT(80969, "[$-0E0000]yyyy-mm-dd")</f>
        <v/>
      </c>
    </row>
    <row r="80971">
      <c r="A80971" s="1" t="n">
        <v>80970</v>
      </c>
      <c r="B80971">
        <f>TEXT(80970, "[$-0E0000]yyyy-mm-dd")</f>
        <v/>
      </c>
    </row>
    <row r="80972">
      <c r="A80972" s="1" t="n">
        <v>80971</v>
      </c>
      <c r="B80972">
        <f>TEXT(80971, "[$-0E0000]yyyy-mm-dd")</f>
        <v/>
      </c>
    </row>
    <row r="80973">
      <c r="A80973" s="1" t="n">
        <v>80972</v>
      </c>
      <c r="B80973">
        <f>TEXT(80972, "[$-0E0000]yyyy-mm-dd")</f>
        <v/>
      </c>
    </row>
    <row r="80974">
      <c r="A80974" s="1" t="n">
        <v>80973</v>
      </c>
      <c r="B80974">
        <f>TEXT(80973, "[$-0E0000]yyyy-mm-dd")</f>
        <v/>
      </c>
    </row>
    <row r="80975">
      <c r="A80975" s="1" t="n">
        <v>80974</v>
      </c>
      <c r="B80975">
        <f>TEXT(80974, "[$-0E0000]yyyy-mm-dd")</f>
        <v/>
      </c>
    </row>
    <row r="80976">
      <c r="A80976" s="1" t="n">
        <v>80975</v>
      </c>
      <c r="B80976">
        <f>TEXT(80975, "[$-0E0000]yyyy-mm-dd")</f>
        <v/>
      </c>
    </row>
    <row r="80977">
      <c r="A80977" s="1" t="n">
        <v>80976</v>
      </c>
      <c r="B80977">
        <f>TEXT(80976, "[$-0E0000]yyyy-mm-dd")</f>
        <v/>
      </c>
    </row>
    <row r="80978">
      <c r="A80978" s="1" t="n">
        <v>80977</v>
      </c>
      <c r="B80978">
        <f>TEXT(80977, "[$-0E0000]yyyy-mm-dd")</f>
        <v/>
      </c>
    </row>
    <row r="80979">
      <c r="A80979" s="1" t="n">
        <v>80978</v>
      </c>
      <c r="B80979">
        <f>TEXT(80978, "[$-0E0000]yyyy-mm-dd")</f>
        <v/>
      </c>
    </row>
    <row r="80980">
      <c r="A80980" s="1" t="n">
        <v>80979</v>
      </c>
      <c r="B80980">
        <f>TEXT(80979, "[$-0E0000]yyyy-mm-dd")</f>
        <v/>
      </c>
    </row>
    <row r="80981">
      <c r="A80981" s="1" t="n">
        <v>80980</v>
      </c>
      <c r="B80981">
        <f>TEXT(80980, "[$-0E0000]yyyy-mm-dd")</f>
        <v/>
      </c>
    </row>
    <row r="80982">
      <c r="A80982" s="1" t="n">
        <v>80981</v>
      </c>
      <c r="B80982">
        <f>TEXT(80981, "[$-0E0000]yyyy-mm-dd")</f>
        <v/>
      </c>
    </row>
    <row r="80983">
      <c r="A80983" s="1" t="n">
        <v>80982</v>
      </c>
      <c r="B80983">
        <f>TEXT(80982, "[$-0E0000]yyyy-mm-dd")</f>
        <v/>
      </c>
    </row>
    <row r="80984">
      <c r="A80984" s="1" t="n">
        <v>80983</v>
      </c>
      <c r="B80984">
        <f>TEXT(80983, "[$-0E0000]yyyy-mm-dd")</f>
        <v/>
      </c>
    </row>
    <row r="80985">
      <c r="A80985" s="1" t="n">
        <v>80984</v>
      </c>
      <c r="B80985">
        <f>TEXT(80984, "[$-0E0000]yyyy-mm-dd")</f>
        <v/>
      </c>
    </row>
    <row r="80986">
      <c r="A80986" s="1" t="n">
        <v>80985</v>
      </c>
      <c r="B80986">
        <f>TEXT(80985, "[$-0E0000]yyyy-mm-dd")</f>
        <v/>
      </c>
    </row>
    <row r="80987">
      <c r="A80987" s="1" t="n">
        <v>80986</v>
      </c>
      <c r="B80987">
        <f>TEXT(80986, "[$-0E0000]yyyy-mm-dd")</f>
        <v/>
      </c>
    </row>
    <row r="80988">
      <c r="A80988" s="1" t="n">
        <v>80987</v>
      </c>
      <c r="B80988">
        <f>TEXT(80987, "[$-0E0000]yyyy-mm-dd")</f>
        <v/>
      </c>
    </row>
    <row r="80989">
      <c r="A80989" s="1" t="n">
        <v>80988</v>
      </c>
      <c r="B80989">
        <f>TEXT(80988, "[$-0E0000]yyyy-mm-dd")</f>
        <v/>
      </c>
    </row>
    <row r="80990">
      <c r="A80990" s="1" t="n">
        <v>80989</v>
      </c>
      <c r="B80990">
        <f>TEXT(80989, "[$-0E0000]yyyy-mm-dd")</f>
        <v/>
      </c>
    </row>
    <row r="80991">
      <c r="A80991" s="1" t="n">
        <v>80990</v>
      </c>
      <c r="B80991">
        <f>TEXT(80990, "[$-0E0000]yyyy-mm-dd")</f>
        <v/>
      </c>
    </row>
    <row r="80992">
      <c r="A80992" s="1" t="n">
        <v>80991</v>
      </c>
      <c r="B80992">
        <f>TEXT(80991, "[$-0E0000]yyyy-mm-dd")</f>
        <v/>
      </c>
    </row>
    <row r="80993">
      <c r="A80993" s="1" t="n">
        <v>80992</v>
      </c>
      <c r="B80993">
        <f>TEXT(80992, "[$-0E0000]yyyy-mm-dd")</f>
        <v/>
      </c>
    </row>
    <row r="80994">
      <c r="A80994" s="1" t="n">
        <v>80993</v>
      </c>
      <c r="B80994">
        <f>TEXT(80993, "[$-0E0000]yyyy-mm-dd")</f>
        <v/>
      </c>
    </row>
    <row r="80995">
      <c r="A80995" s="1" t="n">
        <v>80994</v>
      </c>
      <c r="B80995">
        <f>TEXT(80994, "[$-0E0000]yyyy-mm-dd")</f>
        <v/>
      </c>
    </row>
    <row r="80996">
      <c r="A80996" s="1" t="n">
        <v>80995</v>
      </c>
      <c r="B80996">
        <f>TEXT(80995, "[$-0E0000]yyyy-mm-dd")</f>
        <v/>
      </c>
    </row>
    <row r="80997">
      <c r="A80997" s="1" t="n">
        <v>80996</v>
      </c>
      <c r="B80997">
        <f>TEXT(80996, "[$-0E0000]yyyy-mm-dd")</f>
        <v/>
      </c>
    </row>
    <row r="80998">
      <c r="A80998" s="1" t="n">
        <v>80997</v>
      </c>
      <c r="B80998">
        <f>TEXT(80997, "[$-0E0000]yyyy-mm-dd")</f>
        <v/>
      </c>
    </row>
    <row r="80999">
      <c r="A80999" s="1" t="n">
        <v>80998</v>
      </c>
      <c r="B80999">
        <f>TEXT(80998, "[$-0E0000]yyyy-mm-dd")</f>
        <v/>
      </c>
    </row>
    <row r="81000">
      <c r="A81000" s="1" t="n">
        <v>80999</v>
      </c>
      <c r="B81000">
        <f>TEXT(80999, "[$-0E0000]yyyy-mm-dd")</f>
        <v/>
      </c>
    </row>
    <row r="81001">
      <c r="A81001" s="1" t="n">
        <v>81000</v>
      </c>
      <c r="B81001">
        <f>TEXT(81000, "[$-0E0000]yyyy-mm-dd")</f>
        <v/>
      </c>
    </row>
    <row r="81002">
      <c r="A81002" s="1" t="n">
        <v>81001</v>
      </c>
      <c r="B81002">
        <f>TEXT(81001, "[$-0E0000]yyyy-mm-dd")</f>
        <v/>
      </c>
    </row>
    <row r="81003">
      <c r="A81003" s="1" t="n">
        <v>81002</v>
      </c>
      <c r="B81003">
        <f>TEXT(81002, "[$-0E0000]yyyy-mm-dd")</f>
        <v/>
      </c>
    </row>
    <row r="81004">
      <c r="A81004" s="1" t="n">
        <v>81003</v>
      </c>
      <c r="B81004">
        <f>TEXT(81003, "[$-0E0000]yyyy-mm-dd")</f>
        <v/>
      </c>
    </row>
    <row r="81005">
      <c r="A81005" s="1" t="n">
        <v>81004</v>
      </c>
      <c r="B81005">
        <f>TEXT(81004, "[$-0E0000]yyyy-mm-dd")</f>
        <v/>
      </c>
    </row>
    <row r="81006">
      <c r="A81006" s="1" t="n">
        <v>81005</v>
      </c>
      <c r="B81006">
        <f>TEXT(81005, "[$-0E0000]yyyy-mm-dd")</f>
        <v/>
      </c>
    </row>
    <row r="81007">
      <c r="A81007" s="1" t="n">
        <v>81006</v>
      </c>
      <c r="B81007">
        <f>TEXT(81006, "[$-0E0000]yyyy-mm-dd")</f>
        <v/>
      </c>
    </row>
    <row r="81008">
      <c r="A81008" s="1" t="n">
        <v>81007</v>
      </c>
      <c r="B81008">
        <f>TEXT(81007, "[$-0E0000]yyyy-mm-dd")</f>
        <v/>
      </c>
    </row>
    <row r="81009">
      <c r="A81009" s="1" t="n">
        <v>81008</v>
      </c>
      <c r="B81009">
        <f>TEXT(81008, "[$-0E0000]yyyy-mm-dd")</f>
        <v/>
      </c>
    </row>
    <row r="81010">
      <c r="A81010" s="1" t="n">
        <v>81009</v>
      </c>
      <c r="B81010">
        <f>TEXT(81009, "[$-0E0000]yyyy-mm-dd")</f>
        <v/>
      </c>
    </row>
    <row r="81011">
      <c r="A81011" s="1" t="n">
        <v>81010</v>
      </c>
      <c r="B81011">
        <f>TEXT(81010, "[$-0E0000]yyyy-mm-dd")</f>
        <v/>
      </c>
    </row>
    <row r="81012">
      <c r="A81012" s="1" t="n">
        <v>81011</v>
      </c>
      <c r="B81012">
        <f>TEXT(81011, "[$-0E0000]yyyy-mm-dd")</f>
        <v/>
      </c>
    </row>
    <row r="81013">
      <c r="A81013" s="1" t="n">
        <v>81012</v>
      </c>
      <c r="B81013">
        <f>TEXT(81012, "[$-0E0000]yyyy-mm-dd")</f>
        <v/>
      </c>
    </row>
    <row r="81014">
      <c r="A81014" s="1" t="n">
        <v>81013</v>
      </c>
      <c r="B81014">
        <f>TEXT(81013, "[$-0E0000]yyyy-mm-dd")</f>
        <v/>
      </c>
    </row>
    <row r="81015">
      <c r="A81015" s="1" t="n">
        <v>81014</v>
      </c>
      <c r="B81015">
        <f>TEXT(81014, "[$-0E0000]yyyy-mm-dd")</f>
        <v/>
      </c>
    </row>
    <row r="81016">
      <c r="A81016" s="1" t="n">
        <v>81015</v>
      </c>
      <c r="B81016">
        <f>TEXT(81015, "[$-0E0000]yyyy-mm-dd")</f>
        <v/>
      </c>
    </row>
    <row r="81017">
      <c r="A81017" s="1" t="n">
        <v>81016</v>
      </c>
      <c r="B81017">
        <f>TEXT(81016, "[$-0E0000]yyyy-mm-dd")</f>
        <v/>
      </c>
    </row>
    <row r="81018">
      <c r="A81018" s="1" t="n">
        <v>81017</v>
      </c>
      <c r="B81018">
        <f>TEXT(81017, "[$-0E0000]yyyy-mm-dd")</f>
        <v/>
      </c>
    </row>
    <row r="81019">
      <c r="A81019" s="1" t="n">
        <v>81018</v>
      </c>
      <c r="B81019">
        <f>TEXT(81018, "[$-0E0000]yyyy-mm-dd")</f>
        <v/>
      </c>
    </row>
    <row r="81020">
      <c r="A81020" s="1" t="n">
        <v>81019</v>
      </c>
      <c r="B81020">
        <f>TEXT(81019, "[$-0E0000]yyyy-mm-dd")</f>
        <v/>
      </c>
    </row>
    <row r="81021">
      <c r="A81021" s="1" t="n">
        <v>81020</v>
      </c>
      <c r="B81021">
        <f>TEXT(81020, "[$-0E0000]yyyy-mm-dd")</f>
        <v/>
      </c>
    </row>
    <row r="81022">
      <c r="A81022" s="1" t="n">
        <v>81021</v>
      </c>
      <c r="B81022">
        <f>TEXT(81021, "[$-0E0000]yyyy-mm-dd")</f>
        <v/>
      </c>
    </row>
    <row r="81023">
      <c r="A81023" s="1" t="n">
        <v>81022</v>
      </c>
      <c r="B81023">
        <f>TEXT(81022, "[$-0E0000]yyyy-mm-dd")</f>
        <v/>
      </c>
    </row>
    <row r="81024">
      <c r="A81024" s="1" t="n">
        <v>81023</v>
      </c>
      <c r="B81024">
        <f>TEXT(81023, "[$-0E0000]yyyy-mm-dd")</f>
        <v/>
      </c>
    </row>
    <row r="81025">
      <c r="A81025" s="1" t="n">
        <v>81024</v>
      </c>
      <c r="B81025">
        <f>TEXT(81024, "[$-0E0000]yyyy-mm-dd")</f>
        <v/>
      </c>
    </row>
    <row r="81026">
      <c r="A81026" s="1" t="n">
        <v>81025</v>
      </c>
      <c r="B81026">
        <f>TEXT(81025, "[$-0E0000]yyyy-mm-dd")</f>
        <v/>
      </c>
    </row>
    <row r="81027">
      <c r="A81027" s="1" t="n">
        <v>81026</v>
      </c>
      <c r="B81027">
        <f>TEXT(81026, "[$-0E0000]yyyy-mm-dd")</f>
        <v/>
      </c>
    </row>
    <row r="81028">
      <c r="A81028" s="1" t="n">
        <v>81027</v>
      </c>
      <c r="B81028">
        <f>TEXT(81027, "[$-0E0000]yyyy-mm-dd")</f>
        <v/>
      </c>
    </row>
    <row r="81029">
      <c r="A81029" s="1" t="n">
        <v>81028</v>
      </c>
      <c r="B81029">
        <f>TEXT(81028, "[$-0E0000]yyyy-mm-dd")</f>
        <v/>
      </c>
    </row>
    <row r="81030">
      <c r="A81030" s="1" t="n">
        <v>81029</v>
      </c>
      <c r="B81030">
        <f>TEXT(81029, "[$-0E0000]yyyy-mm-dd")</f>
        <v/>
      </c>
    </row>
    <row r="81031">
      <c r="A81031" s="1" t="n">
        <v>81030</v>
      </c>
      <c r="B81031">
        <f>TEXT(81030, "[$-0E0000]yyyy-mm-dd")</f>
        <v/>
      </c>
    </row>
    <row r="81032">
      <c r="A81032" s="1" t="n">
        <v>81031</v>
      </c>
      <c r="B81032">
        <f>TEXT(81031, "[$-0E0000]yyyy-mm-dd")</f>
        <v/>
      </c>
    </row>
    <row r="81033">
      <c r="A81033" s="1" t="n">
        <v>81032</v>
      </c>
      <c r="B81033">
        <f>TEXT(81032, "[$-0E0000]yyyy-mm-dd")</f>
        <v/>
      </c>
    </row>
    <row r="81034">
      <c r="A81034" s="1" t="n">
        <v>81033</v>
      </c>
      <c r="B81034">
        <f>TEXT(81033, "[$-0E0000]yyyy-mm-dd")</f>
        <v/>
      </c>
    </row>
    <row r="81035">
      <c r="A81035" s="1" t="n">
        <v>81034</v>
      </c>
      <c r="B81035">
        <f>TEXT(81034, "[$-0E0000]yyyy-mm-dd")</f>
        <v/>
      </c>
    </row>
    <row r="81036">
      <c r="A81036" s="1" t="n">
        <v>81035</v>
      </c>
      <c r="B81036">
        <f>TEXT(81035, "[$-0E0000]yyyy-mm-dd")</f>
        <v/>
      </c>
    </row>
    <row r="81037">
      <c r="A81037" s="1" t="n">
        <v>81036</v>
      </c>
      <c r="B81037">
        <f>TEXT(81036, "[$-0E0000]yyyy-mm-dd")</f>
        <v/>
      </c>
    </row>
    <row r="81038">
      <c r="A81038" s="1" t="n">
        <v>81037</v>
      </c>
      <c r="B81038">
        <f>TEXT(81037, "[$-0E0000]yyyy-mm-dd")</f>
        <v/>
      </c>
    </row>
    <row r="81039">
      <c r="A81039" s="1" t="n">
        <v>81038</v>
      </c>
      <c r="B81039">
        <f>TEXT(81038, "[$-0E0000]yyyy-mm-dd")</f>
        <v/>
      </c>
    </row>
    <row r="81040">
      <c r="A81040" s="1" t="n">
        <v>81039</v>
      </c>
      <c r="B81040">
        <f>TEXT(81039, "[$-0E0000]yyyy-mm-dd")</f>
        <v/>
      </c>
    </row>
    <row r="81041">
      <c r="A81041" s="1" t="n">
        <v>81040</v>
      </c>
      <c r="B81041">
        <f>TEXT(81040, "[$-0E0000]yyyy-mm-dd")</f>
        <v/>
      </c>
    </row>
    <row r="81042">
      <c r="A81042" s="1" t="n">
        <v>81041</v>
      </c>
      <c r="B81042">
        <f>TEXT(81041, "[$-0E0000]yyyy-mm-dd")</f>
        <v/>
      </c>
    </row>
    <row r="81043">
      <c r="A81043" s="1" t="n">
        <v>81042</v>
      </c>
      <c r="B81043">
        <f>TEXT(81042, "[$-0E0000]yyyy-mm-dd")</f>
        <v/>
      </c>
    </row>
    <row r="81044">
      <c r="A81044" s="1" t="n">
        <v>81043</v>
      </c>
      <c r="B81044">
        <f>TEXT(81043, "[$-0E0000]yyyy-mm-dd")</f>
        <v/>
      </c>
    </row>
    <row r="81045">
      <c r="A81045" s="1" t="n">
        <v>81044</v>
      </c>
      <c r="B81045">
        <f>TEXT(81044, "[$-0E0000]yyyy-mm-dd")</f>
        <v/>
      </c>
    </row>
    <row r="81046">
      <c r="A81046" s="1" t="n">
        <v>81045</v>
      </c>
      <c r="B81046">
        <f>TEXT(81045, "[$-0E0000]yyyy-mm-dd")</f>
        <v/>
      </c>
    </row>
    <row r="81047">
      <c r="A81047" s="1" t="n">
        <v>81046</v>
      </c>
      <c r="B81047">
        <f>TEXT(81046, "[$-0E0000]yyyy-mm-dd")</f>
        <v/>
      </c>
    </row>
    <row r="81048">
      <c r="A81048" s="1" t="n">
        <v>81047</v>
      </c>
      <c r="B81048">
        <f>TEXT(81047, "[$-0E0000]yyyy-mm-dd")</f>
        <v/>
      </c>
    </row>
    <row r="81049">
      <c r="A81049" s="1" t="n">
        <v>81048</v>
      </c>
      <c r="B81049">
        <f>TEXT(81048, "[$-0E0000]yyyy-mm-dd")</f>
        <v/>
      </c>
    </row>
    <row r="81050">
      <c r="A81050" s="1" t="n">
        <v>81049</v>
      </c>
      <c r="B81050">
        <f>TEXT(81049, "[$-0E0000]yyyy-mm-dd")</f>
        <v/>
      </c>
    </row>
    <row r="81051">
      <c r="A81051" s="1" t="n">
        <v>81050</v>
      </c>
      <c r="B81051">
        <f>TEXT(81050, "[$-0E0000]yyyy-mm-dd")</f>
        <v/>
      </c>
    </row>
    <row r="81052">
      <c r="A81052" s="1" t="n">
        <v>81051</v>
      </c>
      <c r="B81052">
        <f>TEXT(81051, "[$-0E0000]yyyy-mm-dd")</f>
        <v/>
      </c>
    </row>
    <row r="81053">
      <c r="A81053" s="1" t="n">
        <v>81052</v>
      </c>
      <c r="B81053">
        <f>TEXT(81052, "[$-0E0000]yyyy-mm-dd")</f>
        <v/>
      </c>
    </row>
    <row r="81054">
      <c r="A81054" s="1" t="n">
        <v>81053</v>
      </c>
      <c r="B81054">
        <f>TEXT(81053, "[$-0E0000]yyyy-mm-dd")</f>
        <v/>
      </c>
    </row>
    <row r="81055">
      <c r="A81055" s="1" t="n">
        <v>81054</v>
      </c>
      <c r="B81055">
        <f>TEXT(81054, "[$-0E0000]yyyy-mm-dd")</f>
        <v/>
      </c>
    </row>
    <row r="81056">
      <c r="A81056" s="1" t="n">
        <v>81055</v>
      </c>
      <c r="B81056">
        <f>TEXT(81055, "[$-0E0000]yyyy-mm-dd")</f>
        <v/>
      </c>
    </row>
    <row r="81057">
      <c r="A81057" s="1" t="n">
        <v>81056</v>
      </c>
      <c r="B81057">
        <f>TEXT(81056, "[$-0E0000]yyyy-mm-dd")</f>
        <v/>
      </c>
    </row>
    <row r="81058">
      <c r="A81058" s="1" t="n">
        <v>81057</v>
      </c>
      <c r="B81058">
        <f>TEXT(81057, "[$-0E0000]yyyy-mm-dd")</f>
        <v/>
      </c>
    </row>
    <row r="81059">
      <c r="A81059" s="1" t="n">
        <v>81058</v>
      </c>
      <c r="B81059">
        <f>TEXT(81058, "[$-0E0000]yyyy-mm-dd")</f>
        <v/>
      </c>
    </row>
    <row r="81060">
      <c r="A81060" s="1" t="n">
        <v>81059</v>
      </c>
      <c r="B81060">
        <f>TEXT(81059, "[$-0E0000]yyyy-mm-dd")</f>
        <v/>
      </c>
    </row>
    <row r="81061">
      <c r="A81061" s="1" t="n">
        <v>81060</v>
      </c>
      <c r="B81061">
        <f>TEXT(81060, "[$-0E0000]yyyy-mm-dd")</f>
        <v/>
      </c>
    </row>
    <row r="81062">
      <c r="A81062" s="1" t="n">
        <v>81061</v>
      </c>
      <c r="B81062">
        <f>TEXT(81061, "[$-0E0000]yyyy-mm-dd")</f>
        <v/>
      </c>
    </row>
    <row r="81063">
      <c r="A81063" s="1" t="n">
        <v>81062</v>
      </c>
      <c r="B81063">
        <f>TEXT(81062, "[$-0E0000]yyyy-mm-dd")</f>
        <v/>
      </c>
    </row>
    <row r="81064">
      <c r="A81064" s="1" t="n">
        <v>81063</v>
      </c>
      <c r="B81064">
        <f>TEXT(81063, "[$-0E0000]yyyy-mm-dd")</f>
        <v/>
      </c>
    </row>
    <row r="81065">
      <c r="A81065" s="1" t="n">
        <v>81064</v>
      </c>
      <c r="B81065">
        <f>TEXT(81064, "[$-0E0000]yyyy-mm-dd")</f>
        <v/>
      </c>
    </row>
    <row r="81066">
      <c r="A81066" s="1" t="n">
        <v>81065</v>
      </c>
      <c r="B81066">
        <f>TEXT(81065, "[$-0E0000]yyyy-mm-dd")</f>
        <v/>
      </c>
    </row>
    <row r="81067">
      <c r="A81067" s="1" t="n">
        <v>81066</v>
      </c>
      <c r="B81067">
        <f>TEXT(81066, "[$-0E0000]yyyy-mm-dd")</f>
        <v/>
      </c>
    </row>
    <row r="81068">
      <c r="A81068" s="1" t="n">
        <v>81067</v>
      </c>
      <c r="B81068">
        <f>TEXT(81067, "[$-0E0000]yyyy-mm-dd")</f>
        <v/>
      </c>
    </row>
    <row r="81069">
      <c r="A81069" s="1" t="n">
        <v>81068</v>
      </c>
      <c r="B81069">
        <f>TEXT(81068, "[$-0E0000]yyyy-mm-dd")</f>
        <v/>
      </c>
    </row>
    <row r="81070">
      <c r="A81070" s="1" t="n">
        <v>81069</v>
      </c>
      <c r="B81070">
        <f>TEXT(81069, "[$-0E0000]yyyy-mm-dd")</f>
        <v/>
      </c>
    </row>
    <row r="81071">
      <c r="A81071" s="1" t="n">
        <v>81070</v>
      </c>
      <c r="B81071">
        <f>TEXT(81070, "[$-0E0000]yyyy-mm-dd")</f>
        <v/>
      </c>
    </row>
    <row r="81072">
      <c r="A81072" s="1" t="n">
        <v>81071</v>
      </c>
      <c r="B81072">
        <f>TEXT(81071, "[$-0E0000]yyyy-mm-dd")</f>
        <v/>
      </c>
    </row>
    <row r="81073">
      <c r="A81073" s="1" t="n">
        <v>81072</v>
      </c>
      <c r="B81073">
        <f>TEXT(81072, "[$-0E0000]yyyy-mm-dd")</f>
        <v/>
      </c>
    </row>
    <row r="81074">
      <c r="A81074" s="1" t="n">
        <v>81073</v>
      </c>
      <c r="B81074">
        <f>TEXT(81073, "[$-0E0000]yyyy-mm-dd")</f>
        <v/>
      </c>
    </row>
    <row r="81075">
      <c r="A81075" s="1" t="n">
        <v>81074</v>
      </c>
      <c r="B81075">
        <f>TEXT(81074, "[$-0E0000]yyyy-mm-dd")</f>
        <v/>
      </c>
    </row>
    <row r="81076">
      <c r="A81076" s="1" t="n">
        <v>81075</v>
      </c>
      <c r="B81076">
        <f>TEXT(81075, "[$-0E0000]yyyy-mm-dd")</f>
        <v/>
      </c>
    </row>
    <row r="81077">
      <c r="A81077" s="1" t="n">
        <v>81076</v>
      </c>
      <c r="B81077">
        <f>TEXT(81076, "[$-0E0000]yyyy-mm-dd")</f>
        <v/>
      </c>
    </row>
    <row r="81078">
      <c r="A81078" s="1" t="n">
        <v>81077</v>
      </c>
      <c r="B81078">
        <f>TEXT(81077, "[$-0E0000]yyyy-mm-dd")</f>
        <v/>
      </c>
    </row>
    <row r="81079">
      <c r="A81079" s="1" t="n">
        <v>81078</v>
      </c>
      <c r="B81079">
        <f>TEXT(81078, "[$-0E0000]yyyy-mm-dd")</f>
        <v/>
      </c>
    </row>
    <row r="81080">
      <c r="A81080" s="1" t="n">
        <v>81079</v>
      </c>
      <c r="B81080">
        <f>TEXT(81079, "[$-0E0000]yyyy-mm-dd")</f>
        <v/>
      </c>
    </row>
    <row r="81081">
      <c r="A81081" s="1" t="n">
        <v>81080</v>
      </c>
      <c r="B81081">
        <f>TEXT(81080, "[$-0E0000]yyyy-mm-dd")</f>
        <v/>
      </c>
    </row>
    <row r="81082">
      <c r="A81082" s="1" t="n">
        <v>81081</v>
      </c>
      <c r="B81082">
        <f>TEXT(81081, "[$-0E0000]yyyy-mm-dd")</f>
        <v/>
      </c>
    </row>
    <row r="81083">
      <c r="A81083" s="1" t="n">
        <v>81082</v>
      </c>
      <c r="B81083">
        <f>TEXT(81082, "[$-0E0000]yyyy-mm-dd")</f>
        <v/>
      </c>
    </row>
    <row r="81084">
      <c r="A81084" s="1" t="n">
        <v>81083</v>
      </c>
      <c r="B81084">
        <f>TEXT(81083, "[$-0E0000]yyyy-mm-dd")</f>
        <v/>
      </c>
    </row>
    <row r="81085">
      <c r="A81085" s="1" t="n">
        <v>81084</v>
      </c>
      <c r="B81085">
        <f>TEXT(81084, "[$-0E0000]yyyy-mm-dd")</f>
        <v/>
      </c>
    </row>
    <row r="81086">
      <c r="A81086" s="1" t="n">
        <v>81085</v>
      </c>
      <c r="B81086">
        <f>TEXT(81085, "[$-0E0000]yyyy-mm-dd")</f>
        <v/>
      </c>
    </row>
    <row r="81087">
      <c r="A81087" s="1" t="n">
        <v>81086</v>
      </c>
      <c r="B81087">
        <f>TEXT(81086, "[$-0E0000]yyyy-mm-dd")</f>
        <v/>
      </c>
    </row>
    <row r="81088">
      <c r="A81088" s="1" t="n">
        <v>81087</v>
      </c>
      <c r="B81088">
        <f>TEXT(81087, "[$-0E0000]yyyy-mm-dd")</f>
        <v/>
      </c>
    </row>
    <row r="81089">
      <c r="A81089" s="1" t="n">
        <v>81088</v>
      </c>
      <c r="B81089">
        <f>TEXT(81088, "[$-0E0000]yyyy-mm-dd")</f>
        <v/>
      </c>
    </row>
    <row r="81090">
      <c r="A81090" s="1" t="n">
        <v>81089</v>
      </c>
      <c r="B81090">
        <f>TEXT(81089, "[$-0E0000]yyyy-mm-dd")</f>
        <v/>
      </c>
    </row>
    <row r="81091">
      <c r="A81091" s="1" t="n">
        <v>81090</v>
      </c>
      <c r="B81091">
        <f>TEXT(81090, "[$-0E0000]yyyy-mm-dd")</f>
        <v/>
      </c>
    </row>
    <row r="81092">
      <c r="A81092" s="1" t="n">
        <v>81091</v>
      </c>
      <c r="B81092">
        <f>TEXT(81091, "[$-0E0000]yyyy-mm-dd")</f>
        <v/>
      </c>
    </row>
    <row r="81093">
      <c r="A81093" s="1" t="n">
        <v>81092</v>
      </c>
      <c r="B81093">
        <f>TEXT(81092, "[$-0E0000]yyyy-mm-dd")</f>
        <v/>
      </c>
    </row>
    <row r="81094">
      <c r="A81094" s="1" t="n">
        <v>81093</v>
      </c>
      <c r="B81094">
        <f>TEXT(81093, "[$-0E0000]yyyy-mm-dd")</f>
        <v/>
      </c>
    </row>
    <row r="81095">
      <c r="A81095" s="1" t="n">
        <v>81094</v>
      </c>
      <c r="B81095">
        <f>TEXT(81094, "[$-0E0000]yyyy-mm-dd")</f>
        <v/>
      </c>
    </row>
    <row r="81096">
      <c r="A81096" s="1" t="n">
        <v>81095</v>
      </c>
      <c r="B81096">
        <f>TEXT(81095, "[$-0E0000]yyyy-mm-dd")</f>
        <v/>
      </c>
    </row>
    <row r="81097">
      <c r="A81097" s="1" t="n">
        <v>81096</v>
      </c>
      <c r="B81097">
        <f>TEXT(81096, "[$-0E0000]yyyy-mm-dd")</f>
        <v/>
      </c>
    </row>
    <row r="81098">
      <c r="A81098" s="1" t="n">
        <v>81097</v>
      </c>
      <c r="B81098">
        <f>TEXT(81097, "[$-0E0000]yyyy-mm-dd")</f>
        <v/>
      </c>
    </row>
    <row r="81099">
      <c r="A81099" s="1" t="n">
        <v>81098</v>
      </c>
      <c r="B81099">
        <f>TEXT(81098, "[$-0E0000]yyyy-mm-dd")</f>
        <v/>
      </c>
    </row>
    <row r="81100">
      <c r="A81100" s="1" t="n">
        <v>81099</v>
      </c>
      <c r="B81100">
        <f>TEXT(81099, "[$-0E0000]yyyy-mm-dd")</f>
        <v/>
      </c>
    </row>
    <row r="81101">
      <c r="A81101" s="1" t="n">
        <v>81100</v>
      </c>
      <c r="B81101">
        <f>TEXT(81100, "[$-0E0000]yyyy-mm-dd")</f>
        <v/>
      </c>
    </row>
    <row r="81102">
      <c r="A81102" s="1" t="n">
        <v>81101</v>
      </c>
      <c r="B81102">
        <f>TEXT(81101, "[$-0E0000]yyyy-mm-dd")</f>
        <v/>
      </c>
    </row>
    <row r="81103">
      <c r="A81103" s="1" t="n">
        <v>81102</v>
      </c>
      <c r="B81103">
        <f>TEXT(81102, "[$-0E0000]yyyy-mm-dd")</f>
        <v/>
      </c>
    </row>
    <row r="81104">
      <c r="A81104" s="1" t="n">
        <v>81103</v>
      </c>
      <c r="B81104">
        <f>TEXT(81103, "[$-0E0000]yyyy-mm-dd")</f>
        <v/>
      </c>
    </row>
    <row r="81105">
      <c r="A81105" s="1" t="n">
        <v>81104</v>
      </c>
      <c r="B81105">
        <f>TEXT(81104, "[$-0E0000]yyyy-mm-dd")</f>
        <v/>
      </c>
    </row>
    <row r="81106">
      <c r="A81106" s="1" t="n">
        <v>81105</v>
      </c>
      <c r="B81106">
        <f>TEXT(81105, "[$-0E0000]yyyy-mm-dd")</f>
        <v/>
      </c>
    </row>
    <row r="81107">
      <c r="A81107" s="1" t="n">
        <v>81106</v>
      </c>
      <c r="B81107">
        <f>TEXT(81106, "[$-0E0000]yyyy-mm-dd")</f>
        <v/>
      </c>
    </row>
    <row r="81108">
      <c r="A81108" s="1" t="n">
        <v>81107</v>
      </c>
      <c r="B81108">
        <f>TEXT(81107, "[$-0E0000]yyyy-mm-dd")</f>
        <v/>
      </c>
    </row>
    <row r="81109">
      <c r="A81109" s="1" t="n">
        <v>81108</v>
      </c>
      <c r="B81109">
        <f>TEXT(81108, "[$-0E0000]yyyy-mm-dd")</f>
        <v/>
      </c>
    </row>
    <row r="81110">
      <c r="A81110" s="1" t="n">
        <v>81109</v>
      </c>
      <c r="B81110">
        <f>TEXT(81109, "[$-0E0000]yyyy-mm-dd")</f>
        <v/>
      </c>
    </row>
    <row r="81111">
      <c r="A81111" s="1" t="n">
        <v>81110</v>
      </c>
      <c r="B81111">
        <f>TEXT(81110, "[$-0E0000]yyyy-mm-dd")</f>
        <v/>
      </c>
    </row>
    <row r="81112">
      <c r="A81112" s="1" t="n">
        <v>81111</v>
      </c>
      <c r="B81112">
        <f>TEXT(81111, "[$-0E0000]yyyy-mm-dd")</f>
        <v/>
      </c>
    </row>
    <row r="81113">
      <c r="A81113" s="1" t="n">
        <v>81112</v>
      </c>
      <c r="B81113">
        <f>TEXT(81112, "[$-0E0000]yyyy-mm-dd")</f>
        <v/>
      </c>
    </row>
    <row r="81114">
      <c r="A81114" s="1" t="n">
        <v>81113</v>
      </c>
      <c r="B81114">
        <f>TEXT(81113, "[$-0E0000]yyyy-mm-dd")</f>
        <v/>
      </c>
    </row>
    <row r="81115">
      <c r="A81115" s="1" t="n">
        <v>81114</v>
      </c>
      <c r="B81115">
        <f>TEXT(81114, "[$-0E0000]yyyy-mm-dd")</f>
        <v/>
      </c>
    </row>
    <row r="81116">
      <c r="A81116" s="1" t="n">
        <v>81115</v>
      </c>
      <c r="B81116">
        <f>TEXT(81115, "[$-0E0000]yyyy-mm-dd")</f>
        <v/>
      </c>
    </row>
    <row r="81117">
      <c r="A81117" s="1" t="n">
        <v>81116</v>
      </c>
      <c r="B81117">
        <f>TEXT(81116, "[$-0E0000]yyyy-mm-dd")</f>
        <v/>
      </c>
    </row>
    <row r="81118">
      <c r="A81118" s="1" t="n">
        <v>81117</v>
      </c>
      <c r="B81118">
        <f>TEXT(81117, "[$-0E0000]yyyy-mm-dd")</f>
        <v/>
      </c>
    </row>
    <row r="81119">
      <c r="A81119" s="1" t="n">
        <v>81118</v>
      </c>
      <c r="B81119">
        <f>TEXT(81118, "[$-0E0000]yyyy-mm-dd")</f>
        <v/>
      </c>
    </row>
    <row r="81120">
      <c r="A81120" s="1" t="n">
        <v>81119</v>
      </c>
      <c r="B81120">
        <f>TEXT(81119, "[$-0E0000]yyyy-mm-dd")</f>
        <v/>
      </c>
    </row>
    <row r="81121">
      <c r="A81121" s="1" t="n">
        <v>81120</v>
      </c>
      <c r="B81121">
        <f>TEXT(81120, "[$-0E0000]yyyy-mm-dd")</f>
        <v/>
      </c>
    </row>
    <row r="81122">
      <c r="A81122" s="1" t="n">
        <v>81121</v>
      </c>
      <c r="B81122">
        <f>TEXT(81121, "[$-0E0000]yyyy-mm-dd")</f>
        <v/>
      </c>
    </row>
    <row r="81123">
      <c r="A81123" s="1" t="n">
        <v>81122</v>
      </c>
      <c r="B81123">
        <f>TEXT(81122, "[$-0E0000]yyyy-mm-dd")</f>
        <v/>
      </c>
    </row>
    <row r="81124">
      <c r="A81124" s="1" t="n">
        <v>81123</v>
      </c>
      <c r="B81124">
        <f>TEXT(81123, "[$-0E0000]yyyy-mm-dd")</f>
        <v/>
      </c>
    </row>
    <row r="81125">
      <c r="A81125" s="1" t="n">
        <v>81124</v>
      </c>
      <c r="B81125">
        <f>TEXT(81124, "[$-0E0000]yyyy-mm-dd")</f>
        <v/>
      </c>
    </row>
    <row r="81126">
      <c r="A81126" s="1" t="n">
        <v>81125</v>
      </c>
      <c r="B81126">
        <f>TEXT(81125, "[$-0E0000]yyyy-mm-dd")</f>
        <v/>
      </c>
    </row>
    <row r="81127">
      <c r="A81127" s="1" t="n">
        <v>81126</v>
      </c>
      <c r="B81127">
        <f>TEXT(81126, "[$-0E0000]yyyy-mm-dd")</f>
        <v/>
      </c>
    </row>
    <row r="81128">
      <c r="A81128" s="1" t="n">
        <v>81127</v>
      </c>
      <c r="B81128">
        <f>TEXT(81127, "[$-0E0000]yyyy-mm-dd")</f>
        <v/>
      </c>
    </row>
    <row r="81129">
      <c r="A81129" s="1" t="n">
        <v>81128</v>
      </c>
      <c r="B81129">
        <f>TEXT(81128, "[$-0E0000]yyyy-mm-dd")</f>
        <v/>
      </c>
    </row>
    <row r="81130">
      <c r="A81130" s="1" t="n">
        <v>81129</v>
      </c>
      <c r="B81130">
        <f>TEXT(81129, "[$-0E0000]yyyy-mm-dd")</f>
        <v/>
      </c>
    </row>
    <row r="81131">
      <c r="A81131" s="1" t="n">
        <v>81130</v>
      </c>
      <c r="B81131">
        <f>TEXT(81130, "[$-0E0000]yyyy-mm-dd")</f>
        <v/>
      </c>
    </row>
    <row r="81132">
      <c r="A81132" s="1" t="n">
        <v>81131</v>
      </c>
      <c r="B81132">
        <f>TEXT(81131, "[$-0E0000]yyyy-mm-dd")</f>
        <v/>
      </c>
    </row>
    <row r="81133">
      <c r="A81133" s="1" t="n">
        <v>81132</v>
      </c>
      <c r="B81133">
        <f>TEXT(81132, "[$-0E0000]yyyy-mm-dd")</f>
        <v/>
      </c>
    </row>
    <row r="81134">
      <c r="A81134" s="1" t="n">
        <v>81133</v>
      </c>
      <c r="B81134">
        <f>TEXT(81133, "[$-0E0000]yyyy-mm-dd")</f>
        <v/>
      </c>
    </row>
    <row r="81135">
      <c r="A81135" s="1" t="n">
        <v>81134</v>
      </c>
      <c r="B81135">
        <f>TEXT(81134, "[$-0E0000]yyyy-mm-dd")</f>
        <v/>
      </c>
    </row>
    <row r="81136">
      <c r="A81136" s="1" t="n">
        <v>81135</v>
      </c>
      <c r="B81136">
        <f>TEXT(81135, "[$-0E0000]yyyy-mm-dd")</f>
        <v/>
      </c>
    </row>
    <row r="81137">
      <c r="A81137" s="1" t="n">
        <v>81136</v>
      </c>
      <c r="B81137">
        <f>TEXT(81136, "[$-0E0000]yyyy-mm-dd")</f>
        <v/>
      </c>
    </row>
    <row r="81138">
      <c r="A81138" s="1" t="n">
        <v>81137</v>
      </c>
      <c r="B81138">
        <f>TEXT(81137, "[$-0E0000]yyyy-mm-dd")</f>
        <v/>
      </c>
    </row>
    <row r="81139">
      <c r="A81139" s="1" t="n">
        <v>81138</v>
      </c>
      <c r="B81139">
        <f>TEXT(81138, "[$-0E0000]yyyy-mm-dd")</f>
        <v/>
      </c>
    </row>
    <row r="81140">
      <c r="A81140" s="1" t="n">
        <v>81139</v>
      </c>
      <c r="B81140">
        <f>TEXT(81139, "[$-0E0000]yyyy-mm-dd")</f>
        <v/>
      </c>
    </row>
    <row r="81141">
      <c r="A81141" s="1" t="n">
        <v>81140</v>
      </c>
      <c r="B81141">
        <f>TEXT(81140, "[$-0E0000]yyyy-mm-dd")</f>
        <v/>
      </c>
    </row>
    <row r="81142">
      <c r="A81142" s="1" t="n">
        <v>81141</v>
      </c>
      <c r="B81142">
        <f>TEXT(81141, "[$-0E0000]yyyy-mm-dd")</f>
        <v/>
      </c>
    </row>
    <row r="81143">
      <c r="A81143" s="1" t="n">
        <v>81142</v>
      </c>
      <c r="B81143">
        <f>TEXT(81142, "[$-0E0000]yyyy-mm-dd")</f>
        <v/>
      </c>
    </row>
    <row r="81144">
      <c r="A81144" s="1" t="n">
        <v>81143</v>
      </c>
      <c r="B81144">
        <f>TEXT(81143, "[$-0E0000]yyyy-mm-dd")</f>
        <v/>
      </c>
    </row>
    <row r="81145">
      <c r="A81145" s="1" t="n">
        <v>81144</v>
      </c>
      <c r="B81145">
        <f>TEXT(81144, "[$-0E0000]yyyy-mm-dd")</f>
        <v/>
      </c>
    </row>
    <row r="81146">
      <c r="A81146" s="1" t="n">
        <v>81145</v>
      </c>
      <c r="B81146">
        <f>TEXT(81145, "[$-0E0000]yyyy-mm-dd")</f>
        <v/>
      </c>
    </row>
    <row r="81147">
      <c r="A81147" s="1" t="n">
        <v>81146</v>
      </c>
      <c r="B81147">
        <f>TEXT(81146, "[$-0E0000]yyyy-mm-dd")</f>
        <v/>
      </c>
    </row>
    <row r="81148">
      <c r="A81148" s="1" t="n">
        <v>81147</v>
      </c>
      <c r="B81148">
        <f>TEXT(81147, "[$-0E0000]yyyy-mm-dd")</f>
        <v/>
      </c>
    </row>
    <row r="81149">
      <c r="A81149" s="1" t="n">
        <v>81148</v>
      </c>
      <c r="B81149">
        <f>TEXT(81148, "[$-0E0000]yyyy-mm-dd")</f>
        <v/>
      </c>
    </row>
    <row r="81150">
      <c r="A81150" s="1" t="n">
        <v>81149</v>
      </c>
      <c r="B81150">
        <f>TEXT(81149, "[$-0E0000]yyyy-mm-dd")</f>
        <v/>
      </c>
    </row>
    <row r="81151">
      <c r="A81151" s="1" t="n">
        <v>81150</v>
      </c>
      <c r="B81151">
        <f>TEXT(81150, "[$-0E0000]yyyy-mm-dd")</f>
        <v/>
      </c>
    </row>
    <row r="81152">
      <c r="A81152" s="1" t="n">
        <v>81151</v>
      </c>
      <c r="B81152">
        <f>TEXT(81151, "[$-0E0000]yyyy-mm-dd")</f>
        <v/>
      </c>
    </row>
    <row r="81153">
      <c r="A81153" s="1" t="n">
        <v>81152</v>
      </c>
      <c r="B81153">
        <f>TEXT(81152, "[$-0E0000]yyyy-mm-dd")</f>
        <v/>
      </c>
    </row>
    <row r="81154">
      <c r="A81154" s="1" t="n">
        <v>81153</v>
      </c>
      <c r="B81154">
        <f>TEXT(81153, "[$-0E0000]yyyy-mm-dd")</f>
        <v/>
      </c>
    </row>
    <row r="81155">
      <c r="A81155" s="1" t="n">
        <v>81154</v>
      </c>
      <c r="B81155">
        <f>TEXT(81154, "[$-0E0000]yyyy-mm-dd")</f>
        <v/>
      </c>
    </row>
    <row r="81156">
      <c r="A81156" s="1" t="n">
        <v>81155</v>
      </c>
      <c r="B81156">
        <f>TEXT(81155, "[$-0E0000]yyyy-mm-dd")</f>
        <v/>
      </c>
    </row>
    <row r="81157">
      <c r="A81157" s="1" t="n">
        <v>81156</v>
      </c>
      <c r="B81157">
        <f>TEXT(81156, "[$-0E0000]yyyy-mm-dd")</f>
        <v/>
      </c>
    </row>
    <row r="81158">
      <c r="A81158" s="1" t="n">
        <v>81157</v>
      </c>
      <c r="B81158">
        <f>TEXT(81157, "[$-0E0000]yyyy-mm-dd")</f>
        <v/>
      </c>
    </row>
    <row r="81159">
      <c r="A81159" s="1" t="n">
        <v>81158</v>
      </c>
      <c r="B81159">
        <f>TEXT(81158, "[$-0E0000]yyyy-mm-dd")</f>
        <v/>
      </c>
    </row>
    <row r="81160">
      <c r="A81160" s="1" t="n">
        <v>81159</v>
      </c>
      <c r="B81160">
        <f>TEXT(81159, "[$-0E0000]yyyy-mm-dd")</f>
        <v/>
      </c>
    </row>
    <row r="81161">
      <c r="A81161" s="1" t="n">
        <v>81160</v>
      </c>
      <c r="B81161">
        <f>TEXT(81160, "[$-0E0000]yyyy-mm-dd")</f>
        <v/>
      </c>
    </row>
    <row r="81162">
      <c r="A81162" s="1" t="n">
        <v>81161</v>
      </c>
      <c r="B81162">
        <f>TEXT(81161, "[$-0E0000]yyyy-mm-dd")</f>
        <v/>
      </c>
    </row>
    <row r="81163">
      <c r="A81163" s="1" t="n">
        <v>81162</v>
      </c>
      <c r="B81163">
        <f>TEXT(81162, "[$-0E0000]yyyy-mm-dd")</f>
        <v/>
      </c>
    </row>
    <row r="81164">
      <c r="A81164" s="1" t="n">
        <v>81163</v>
      </c>
      <c r="B81164">
        <f>TEXT(81163, "[$-0E0000]yyyy-mm-dd")</f>
        <v/>
      </c>
    </row>
    <row r="81165">
      <c r="A81165" s="1" t="n">
        <v>81164</v>
      </c>
      <c r="B81165">
        <f>TEXT(81164, "[$-0E0000]yyyy-mm-dd")</f>
        <v/>
      </c>
    </row>
    <row r="81166">
      <c r="A81166" s="1" t="n">
        <v>81165</v>
      </c>
      <c r="B81166">
        <f>TEXT(81165, "[$-0E0000]yyyy-mm-dd")</f>
        <v/>
      </c>
    </row>
    <row r="81167">
      <c r="A81167" s="1" t="n">
        <v>81166</v>
      </c>
      <c r="B81167">
        <f>TEXT(81166, "[$-0E0000]yyyy-mm-dd")</f>
        <v/>
      </c>
    </row>
    <row r="81168">
      <c r="A81168" s="1" t="n">
        <v>81167</v>
      </c>
      <c r="B81168">
        <f>TEXT(81167, "[$-0E0000]yyyy-mm-dd")</f>
        <v/>
      </c>
    </row>
    <row r="81169">
      <c r="A81169" s="1" t="n">
        <v>81168</v>
      </c>
      <c r="B81169">
        <f>TEXT(81168, "[$-0E0000]yyyy-mm-dd")</f>
        <v/>
      </c>
    </row>
    <row r="81170">
      <c r="A81170" s="1" t="n">
        <v>81169</v>
      </c>
      <c r="B81170">
        <f>TEXT(81169, "[$-0E0000]yyyy-mm-dd")</f>
        <v/>
      </c>
    </row>
    <row r="81171">
      <c r="A81171" s="1" t="n">
        <v>81170</v>
      </c>
      <c r="B81171">
        <f>TEXT(81170, "[$-0E0000]yyyy-mm-dd")</f>
        <v/>
      </c>
    </row>
    <row r="81172">
      <c r="A81172" s="1" t="n">
        <v>81171</v>
      </c>
      <c r="B81172">
        <f>TEXT(81171, "[$-0E0000]yyyy-mm-dd")</f>
        <v/>
      </c>
    </row>
    <row r="81173">
      <c r="A81173" s="1" t="n">
        <v>81172</v>
      </c>
      <c r="B81173">
        <f>TEXT(81172, "[$-0E0000]yyyy-mm-dd")</f>
        <v/>
      </c>
    </row>
    <row r="81174">
      <c r="A81174" s="1" t="n">
        <v>81173</v>
      </c>
      <c r="B81174">
        <f>TEXT(81173, "[$-0E0000]yyyy-mm-dd")</f>
        <v/>
      </c>
    </row>
    <row r="81175">
      <c r="A81175" s="1" t="n">
        <v>81174</v>
      </c>
      <c r="B81175">
        <f>TEXT(81174, "[$-0E0000]yyyy-mm-dd")</f>
        <v/>
      </c>
    </row>
    <row r="81176">
      <c r="A81176" s="1" t="n">
        <v>81175</v>
      </c>
      <c r="B81176">
        <f>TEXT(81175, "[$-0E0000]yyyy-mm-dd")</f>
        <v/>
      </c>
    </row>
    <row r="81177">
      <c r="A81177" s="1" t="n">
        <v>81176</v>
      </c>
      <c r="B81177">
        <f>TEXT(81176, "[$-0E0000]yyyy-mm-dd")</f>
        <v/>
      </c>
    </row>
    <row r="81178">
      <c r="A81178" s="1" t="n">
        <v>81177</v>
      </c>
      <c r="B81178">
        <f>TEXT(81177, "[$-0E0000]yyyy-mm-dd")</f>
        <v/>
      </c>
    </row>
    <row r="81179">
      <c r="A81179" s="1" t="n">
        <v>81178</v>
      </c>
      <c r="B81179">
        <f>TEXT(81178, "[$-0E0000]yyyy-mm-dd")</f>
        <v/>
      </c>
    </row>
    <row r="81180">
      <c r="A81180" s="1" t="n">
        <v>81179</v>
      </c>
      <c r="B81180">
        <f>TEXT(81179, "[$-0E0000]yyyy-mm-dd")</f>
        <v/>
      </c>
    </row>
    <row r="81181">
      <c r="A81181" s="1" t="n">
        <v>81180</v>
      </c>
      <c r="B81181">
        <f>TEXT(81180, "[$-0E0000]yyyy-mm-dd")</f>
        <v/>
      </c>
    </row>
    <row r="81182">
      <c r="A81182" s="1" t="n">
        <v>81181</v>
      </c>
      <c r="B81182">
        <f>TEXT(81181, "[$-0E0000]yyyy-mm-dd")</f>
        <v/>
      </c>
    </row>
    <row r="81183">
      <c r="A81183" s="1" t="n">
        <v>81182</v>
      </c>
      <c r="B81183">
        <f>TEXT(81182, "[$-0E0000]yyyy-mm-dd")</f>
        <v/>
      </c>
    </row>
    <row r="81184">
      <c r="A81184" s="1" t="n">
        <v>81183</v>
      </c>
      <c r="B81184">
        <f>TEXT(81183, "[$-0E0000]yyyy-mm-dd")</f>
        <v/>
      </c>
    </row>
    <row r="81185">
      <c r="A81185" s="1" t="n">
        <v>81184</v>
      </c>
      <c r="B81185">
        <f>TEXT(81184, "[$-0E0000]yyyy-mm-dd")</f>
        <v/>
      </c>
    </row>
    <row r="81186">
      <c r="A81186" s="1" t="n">
        <v>81185</v>
      </c>
      <c r="B81186">
        <f>TEXT(81185, "[$-0E0000]yyyy-mm-dd")</f>
        <v/>
      </c>
    </row>
    <row r="81187">
      <c r="A81187" s="1" t="n">
        <v>81186</v>
      </c>
      <c r="B81187">
        <f>TEXT(81186, "[$-0E0000]yyyy-mm-dd")</f>
        <v/>
      </c>
    </row>
    <row r="81188">
      <c r="A81188" s="1" t="n">
        <v>81187</v>
      </c>
      <c r="B81188">
        <f>TEXT(81187, "[$-0E0000]yyyy-mm-dd")</f>
        <v/>
      </c>
    </row>
    <row r="81189">
      <c r="A81189" s="1" t="n">
        <v>81188</v>
      </c>
      <c r="B81189">
        <f>TEXT(81188, "[$-0E0000]yyyy-mm-dd")</f>
        <v/>
      </c>
    </row>
    <row r="81190">
      <c r="A81190" s="1" t="n">
        <v>81189</v>
      </c>
      <c r="B81190">
        <f>TEXT(81189, "[$-0E0000]yyyy-mm-dd")</f>
        <v/>
      </c>
    </row>
    <row r="81191">
      <c r="A81191" s="1" t="n">
        <v>81190</v>
      </c>
      <c r="B81191">
        <f>TEXT(81190, "[$-0E0000]yyyy-mm-dd")</f>
        <v/>
      </c>
    </row>
    <row r="81192">
      <c r="A81192" s="1" t="n">
        <v>81191</v>
      </c>
      <c r="B81192">
        <f>TEXT(81191, "[$-0E0000]yyyy-mm-dd")</f>
        <v/>
      </c>
    </row>
    <row r="81193">
      <c r="A81193" s="1" t="n">
        <v>81192</v>
      </c>
      <c r="B81193">
        <f>TEXT(81192, "[$-0E0000]yyyy-mm-dd")</f>
        <v/>
      </c>
    </row>
    <row r="81194">
      <c r="A81194" s="1" t="n">
        <v>81193</v>
      </c>
      <c r="B81194">
        <f>TEXT(81193, "[$-0E0000]yyyy-mm-dd")</f>
        <v/>
      </c>
    </row>
    <row r="81195">
      <c r="A81195" s="1" t="n">
        <v>81194</v>
      </c>
      <c r="B81195">
        <f>TEXT(81194, "[$-0E0000]yyyy-mm-dd")</f>
        <v/>
      </c>
    </row>
    <row r="81196">
      <c r="A81196" s="1" t="n">
        <v>81195</v>
      </c>
      <c r="B81196">
        <f>TEXT(81195, "[$-0E0000]yyyy-mm-dd")</f>
        <v/>
      </c>
    </row>
    <row r="81197">
      <c r="A81197" s="1" t="n">
        <v>81196</v>
      </c>
      <c r="B81197">
        <f>TEXT(81196, "[$-0E0000]yyyy-mm-dd")</f>
        <v/>
      </c>
    </row>
    <row r="81198">
      <c r="A81198" s="1" t="n">
        <v>81197</v>
      </c>
      <c r="B81198">
        <f>TEXT(81197, "[$-0E0000]yyyy-mm-dd")</f>
        <v/>
      </c>
    </row>
    <row r="81199">
      <c r="A81199" s="1" t="n">
        <v>81198</v>
      </c>
      <c r="B81199">
        <f>TEXT(81198, "[$-0E0000]yyyy-mm-dd")</f>
        <v/>
      </c>
    </row>
    <row r="81200">
      <c r="A81200" s="1" t="n">
        <v>81199</v>
      </c>
      <c r="B81200">
        <f>TEXT(81199, "[$-0E0000]yyyy-mm-dd")</f>
        <v/>
      </c>
    </row>
    <row r="81201">
      <c r="A81201" s="1" t="n">
        <v>81200</v>
      </c>
      <c r="B81201">
        <f>TEXT(81200, "[$-0E0000]yyyy-mm-dd")</f>
        <v/>
      </c>
    </row>
    <row r="81202">
      <c r="A81202" s="1" t="n">
        <v>81201</v>
      </c>
      <c r="B81202">
        <f>TEXT(81201, "[$-0E0000]yyyy-mm-dd")</f>
        <v/>
      </c>
    </row>
    <row r="81203">
      <c r="A81203" s="1" t="n">
        <v>81202</v>
      </c>
      <c r="B81203">
        <f>TEXT(81202, "[$-0E0000]yyyy-mm-dd")</f>
        <v/>
      </c>
    </row>
    <row r="81204">
      <c r="A81204" s="1" t="n">
        <v>81203</v>
      </c>
      <c r="B81204">
        <f>TEXT(81203, "[$-0E0000]yyyy-mm-dd")</f>
        <v/>
      </c>
    </row>
    <row r="81205">
      <c r="A81205" s="1" t="n">
        <v>81204</v>
      </c>
      <c r="B81205">
        <f>TEXT(81204, "[$-0E0000]yyyy-mm-dd")</f>
        <v/>
      </c>
    </row>
    <row r="81206">
      <c r="A81206" s="1" t="n">
        <v>81205</v>
      </c>
      <c r="B81206">
        <f>TEXT(81205, "[$-0E0000]yyyy-mm-dd")</f>
        <v/>
      </c>
    </row>
    <row r="81207">
      <c r="A81207" s="1" t="n">
        <v>81206</v>
      </c>
      <c r="B81207">
        <f>TEXT(81206, "[$-0E0000]yyyy-mm-dd")</f>
        <v/>
      </c>
    </row>
    <row r="81208">
      <c r="A81208" s="1" t="n">
        <v>81207</v>
      </c>
      <c r="B81208">
        <f>TEXT(81207, "[$-0E0000]yyyy-mm-dd")</f>
        <v/>
      </c>
    </row>
    <row r="81209">
      <c r="A81209" s="1" t="n">
        <v>81208</v>
      </c>
      <c r="B81209">
        <f>TEXT(81208, "[$-0E0000]yyyy-mm-dd")</f>
        <v/>
      </c>
    </row>
    <row r="81210">
      <c r="A81210" s="1" t="n">
        <v>81209</v>
      </c>
      <c r="B81210">
        <f>TEXT(81209, "[$-0E0000]yyyy-mm-dd")</f>
        <v/>
      </c>
    </row>
    <row r="81211">
      <c r="A81211" s="1" t="n">
        <v>81210</v>
      </c>
      <c r="B81211">
        <f>TEXT(81210, "[$-0E0000]yyyy-mm-dd")</f>
        <v/>
      </c>
    </row>
    <row r="81212">
      <c r="A81212" s="1" t="n">
        <v>81211</v>
      </c>
      <c r="B81212">
        <f>TEXT(81211, "[$-0E0000]yyyy-mm-dd")</f>
        <v/>
      </c>
    </row>
    <row r="81213">
      <c r="A81213" s="1" t="n">
        <v>81212</v>
      </c>
      <c r="B81213">
        <f>TEXT(81212, "[$-0E0000]yyyy-mm-dd")</f>
        <v/>
      </c>
    </row>
    <row r="81214">
      <c r="A81214" s="1" t="n">
        <v>81213</v>
      </c>
      <c r="B81214">
        <f>TEXT(81213, "[$-0E0000]yyyy-mm-dd")</f>
        <v/>
      </c>
    </row>
    <row r="81215">
      <c r="A81215" s="1" t="n">
        <v>81214</v>
      </c>
      <c r="B81215">
        <f>TEXT(81214, "[$-0E0000]yyyy-mm-dd")</f>
        <v/>
      </c>
    </row>
    <row r="81216">
      <c r="A81216" s="1" t="n">
        <v>81215</v>
      </c>
      <c r="B81216">
        <f>TEXT(81215, "[$-0E0000]yyyy-mm-dd")</f>
        <v/>
      </c>
    </row>
    <row r="81217">
      <c r="A81217" s="1" t="n">
        <v>81216</v>
      </c>
      <c r="B81217">
        <f>TEXT(81216, "[$-0E0000]yyyy-mm-dd")</f>
        <v/>
      </c>
    </row>
    <row r="81218">
      <c r="A81218" s="1" t="n">
        <v>81217</v>
      </c>
      <c r="B81218">
        <f>TEXT(81217, "[$-0E0000]yyyy-mm-dd")</f>
        <v/>
      </c>
    </row>
    <row r="81219">
      <c r="A81219" s="1" t="n">
        <v>81218</v>
      </c>
      <c r="B81219">
        <f>TEXT(81218, "[$-0E0000]yyyy-mm-dd")</f>
        <v/>
      </c>
    </row>
    <row r="81220">
      <c r="A81220" s="1" t="n">
        <v>81219</v>
      </c>
      <c r="B81220">
        <f>TEXT(81219, "[$-0E0000]yyyy-mm-dd")</f>
        <v/>
      </c>
    </row>
    <row r="81221">
      <c r="A81221" s="1" t="n">
        <v>81220</v>
      </c>
      <c r="B81221">
        <f>TEXT(81220, "[$-0E0000]yyyy-mm-dd")</f>
        <v/>
      </c>
    </row>
    <row r="81222">
      <c r="A81222" s="1" t="n">
        <v>81221</v>
      </c>
      <c r="B81222">
        <f>TEXT(81221, "[$-0E0000]yyyy-mm-dd")</f>
        <v/>
      </c>
    </row>
    <row r="81223">
      <c r="A81223" s="1" t="n">
        <v>81222</v>
      </c>
      <c r="B81223">
        <f>TEXT(81222, "[$-0E0000]yyyy-mm-dd")</f>
        <v/>
      </c>
    </row>
    <row r="81224">
      <c r="A81224" s="1" t="n">
        <v>81223</v>
      </c>
      <c r="B81224">
        <f>TEXT(81223, "[$-0E0000]yyyy-mm-dd")</f>
        <v/>
      </c>
    </row>
    <row r="81225">
      <c r="A81225" s="1" t="n">
        <v>81224</v>
      </c>
      <c r="B81225">
        <f>TEXT(81224, "[$-0E0000]yyyy-mm-dd")</f>
        <v/>
      </c>
    </row>
    <row r="81226">
      <c r="A81226" s="1" t="n">
        <v>81225</v>
      </c>
      <c r="B81226">
        <f>TEXT(81225, "[$-0E0000]yyyy-mm-dd")</f>
        <v/>
      </c>
    </row>
    <row r="81227">
      <c r="A81227" s="1" t="n">
        <v>81226</v>
      </c>
      <c r="B81227">
        <f>TEXT(81226, "[$-0E0000]yyyy-mm-dd")</f>
        <v/>
      </c>
    </row>
    <row r="81228">
      <c r="A81228" s="1" t="n">
        <v>81227</v>
      </c>
      <c r="B81228">
        <f>TEXT(81227, "[$-0E0000]yyyy-mm-dd")</f>
        <v/>
      </c>
    </row>
    <row r="81229">
      <c r="A81229" s="1" t="n">
        <v>81228</v>
      </c>
      <c r="B81229">
        <f>TEXT(81228, "[$-0E0000]yyyy-mm-dd")</f>
        <v/>
      </c>
    </row>
    <row r="81230">
      <c r="A81230" s="1" t="n">
        <v>81229</v>
      </c>
      <c r="B81230">
        <f>TEXT(81229, "[$-0E0000]yyyy-mm-dd")</f>
        <v/>
      </c>
    </row>
    <row r="81231">
      <c r="A81231" s="1" t="n">
        <v>81230</v>
      </c>
      <c r="B81231">
        <f>TEXT(81230, "[$-0E0000]yyyy-mm-dd")</f>
        <v/>
      </c>
    </row>
    <row r="81232">
      <c r="A81232" s="1" t="n">
        <v>81231</v>
      </c>
      <c r="B81232">
        <f>TEXT(81231, "[$-0E0000]yyyy-mm-dd")</f>
        <v/>
      </c>
    </row>
    <row r="81233">
      <c r="A81233" s="1" t="n">
        <v>81232</v>
      </c>
      <c r="B81233">
        <f>TEXT(81232, "[$-0E0000]yyyy-mm-dd")</f>
        <v/>
      </c>
    </row>
    <row r="81234">
      <c r="A81234" s="1" t="n">
        <v>81233</v>
      </c>
      <c r="B81234">
        <f>TEXT(81233, "[$-0E0000]yyyy-mm-dd")</f>
        <v/>
      </c>
    </row>
    <row r="81235">
      <c r="A81235" s="1" t="n">
        <v>81234</v>
      </c>
      <c r="B81235">
        <f>TEXT(81234, "[$-0E0000]yyyy-mm-dd")</f>
        <v/>
      </c>
    </row>
    <row r="81236">
      <c r="A81236" s="1" t="n">
        <v>81235</v>
      </c>
      <c r="B81236">
        <f>TEXT(81235, "[$-0E0000]yyyy-mm-dd")</f>
        <v/>
      </c>
    </row>
    <row r="81237">
      <c r="A81237" s="1" t="n">
        <v>81236</v>
      </c>
      <c r="B81237">
        <f>TEXT(81236, "[$-0E0000]yyyy-mm-dd")</f>
        <v/>
      </c>
    </row>
    <row r="81238">
      <c r="A81238" s="1" t="n">
        <v>81237</v>
      </c>
      <c r="B81238">
        <f>TEXT(81237, "[$-0E0000]yyyy-mm-dd")</f>
        <v/>
      </c>
    </row>
    <row r="81239">
      <c r="A81239" s="1" t="n">
        <v>81238</v>
      </c>
      <c r="B81239">
        <f>TEXT(81238, "[$-0E0000]yyyy-mm-dd")</f>
        <v/>
      </c>
    </row>
    <row r="81240">
      <c r="A81240" s="1" t="n">
        <v>81239</v>
      </c>
      <c r="B81240">
        <f>TEXT(81239, "[$-0E0000]yyyy-mm-dd")</f>
        <v/>
      </c>
    </row>
    <row r="81241">
      <c r="A81241" s="1" t="n">
        <v>81240</v>
      </c>
      <c r="B81241">
        <f>TEXT(81240, "[$-0E0000]yyyy-mm-dd")</f>
        <v/>
      </c>
    </row>
    <row r="81242">
      <c r="A81242" s="1" t="n">
        <v>81241</v>
      </c>
      <c r="B81242">
        <f>TEXT(81241, "[$-0E0000]yyyy-mm-dd")</f>
        <v/>
      </c>
    </row>
    <row r="81243">
      <c r="A81243" s="1" t="n">
        <v>81242</v>
      </c>
      <c r="B81243">
        <f>TEXT(81242, "[$-0E0000]yyyy-mm-dd")</f>
        <v/>
      </c>
    </row>
    <row r="81244">
      <c r="A81244" s="1" t="n">
        <v>81243</v>
      </c>
      <c r="B81244">
        <f>TEXT(81243, "[$-0E0000]yyyy-mm-dd")</f>
        <v/>
      </c>
    </row>
    <row r="81245">
      <c r="A81245" s="1" t="n">
        <v>81244</v>
      </c>
      <c r="B81245">
        <f>TEXT(81244, "[$-0E0000]yyyy-mm-dd")</f>
        <v/>
      </c>
    </row>
    <row r="81246">
      <c r="A81246" s="1" t="n">
        <v>81245</v>
      </c>
      <c r="B81246">
        <f>TEXT(81245, "[$-0E0000]yyyy-mm-dd")</f>
        <v/>
      </c>
    </row>
    <row r="81247">
      <c r="A81247" s="1" t="n">
        <v>81246</v>
      </c>
      <c r="B81247">
        <f>TEXT(81246, "[$-0E0000]yyyy-mm-dd")</f>
        <v/>
      </c>
    </row>
    <row r="81248">
      <c r="A81248" s="1" t="n">
        <v>81247</v>
      </c>
      <c r="B81248">
        <f>TEXT(81247, "[$-0E0000]yyyy-mm-dd")</f>
        <v/>
      </c>
    </row>
    <row r="81249">
      <c r="A81249" s="1" t="n">
        <v>81248</v>
      </c>
      <c r="B81249">
        <f>TEXT(81248, "[$-0E0000]yyyy-mm-dd")</f>
        <v/>
      </c>
    </row>
    <row r="81250">
      <c r="A81250" s="1" t="n">
        <v>81249</v>
      </c>
      <c r="B81250">
        <f>TEXT(81249, "[$-0E0000]yyyy-mm-dd")</f>
        <v/>
      </c>
    </row>
    <row r="81251">
      <c r="A81251" s="1" t="n">
        <v>81250</v>
      </c>
      <c r="B81251">
        <f>TEXT(81250, "[$-0E0000]yyyy-mm-dd")</f>
        <v/>
      </c>
    </row>
    <row r="81252">
      <c r="A81252" s="1" t="n">
        <v>81251</v>
      </c>
      <c r="B81252">
        <f>TEXT(81251, "[$-0E0000]yyyy-mm-dd")</f>
        <v/>
      </c>
    </row>
    <row r="81253">
      <c r="A81253" s="1" t="n">
        <v>81252</v>
      </c>
      <c r="B81253">
        <f>TEXT(81252, "[$-0E0000]yyyy-mm-dd")</f>
        <v/>
      </c>
    </row>
    <row r="81254">
      <c r="A81254" s="1" t="n">
        <v>81253</v>
      </c>
      <c r="B81254">
        <f>TEXT(81253, "[$-0E0000]yyyy-mm-dd")</f>
        <v/>
      </c>
    </row>
    <row r="81255">
      <c r="A81255" s="1" t="n">
        <v>81254</v>
      </c>
      <c r="B81255">
        <f>TEXT(81254, "[$-0E0000]yyyy-mm-dd")</f>
        <v/>
      </c>
    </row>
    <row r="81256">
      <c r="A81256" s="1" t="n">
        <v>81255</v>
      </c>
      <c r="B81256">
        <f>TEXT(81255, "[$-0E0000]yyyy-mm-dd")</f>
        <v/>
      </c>
    </row>
    <row r="81257">
      <c r="A81257" s="1" t="n">
        <v>81256</v>
      </c>
      <c r="B81257">
        <f>TEXT(81256, "[$-0E0000]yyyy-mm-dd")</f>
        <v/>
      </c>
    </row>
    <row r="81258">
      <c r="A81258" s="1" t="n">
        <v>81257</v>
      </c>
      <c r="B81258">
        <f>TEXT(81257, "[$-0E0000]yyyy-mm-dd")</f>
        <v/>
      </c>
    </row>
    <row r="81259">
      <c r="A81259" s="1" t="n">
        <v>81258</v>
      </c>
      <c r="B81259">
        <f>TEXT(81258, "[$-0E0000]yyyy-mm-dd")</f>
        <v/>
      </c>
    </row>
    <row r="81260">
      <c r="A81260" s="1" t="n">
        <v>81259</v>
      </c>
      <c r="B81260">
        <f>TEXT(81259, "[$-0E0000]yyyy-mm-dd")</f>
        <v/>
      </c>
    </row>
    <row r="81261">
      <c r="A81261" s="1" t="n">
        <v>81260</v>
      </c>
      <c r="B81261">
        <f>TEXT(81260, "[$-0E0000]yyyy-mm-dd")</f>
        <v/>
      </c>
    </row>
    <row r="81262">
      <c r="A81262" s="1" t="n">
        <v>81261</v>
      </c>
      <c r="B81262">
        <f>TEXT(81261, "[$-0E0000]yyyy-mm-dd")</f>
        <v/>
      </c>
    </row>
    <row r="81263">
      <c r="A81263" s="1" t="n">
        <v>81262</v>
      </c>
      <c r="B81263">
        <f>TEXT(81262, "[$-0E0000]yyyy-mm-dd")</f>
        <v/>
      </c>
    </row>
    <row r="81264">
      <c r="A81264" s="1" t="n">
        <v>81263</v>
      </c>
      <c r="B81264">
        <f>TEXT(81263, "[$-0E0000]yyyy-mm-dd")</f>
        <v/>
      </c>
    </row>
    <row r="81265">
      <c r="A81265" s="1" t="n">
        <v>81264</v>
      </c>
      <c r="B81265">
        <f>TEXT(81264, "[$-0E0000]yyyy-mm-dd")</f>
        <v/>
      </c>
    </row>
    <row r="81266">
      <c r="A81266" s="1" t="n">
        <v>81265</v>
      </c>
      <c r="B81266">
        <f>TEXT(81265, "[$-0E0000]yyyy-mm-dd")</f>
        <v/>
      </c>
    </row>
    <row r="81267">
      <c r="A81267" s="1" t="n">
        <v>81266</v>
      </c>
      <c r="B81267">
        <f>TEXT(81266, "[$-0E0000]yyyy-mm-dd")</f>
        <v/>
      </c>
    </row>
    <row r="81268">
      <c r="A81268" s="1" t="n">
        <v>81267</v>
      </c>
      <c r="B81268">
        <f>TEXT(81267, "[$-0E0000]yyyy-mm-dd")</f>
        <v/>
      </c>
    </row>
    <row r="81269">
      <c r="A81269" s="1" t="n">
        <v>81268</v>
      </c>
      <c r="B81269">
        <f>TEXT(81268, "[$-0E0000]yyyy-mm-dd")</f>
        <v/>
      </c>
    </row>
    <row r="81270">
      <c r="A81270" s="1" t="n">
        <v>81269</v>
      </c>
      <c r="B81270">
        <f>TEXT(81269, "[$-0E0000]yyyy-mm-dd")</f>
        <v/>
      </c>
    </row>
    <row r="81271">
      <c r="A81271" s="1" t="n">
        <v>81270</v>
      </c>
      <c r="B81271">
        <f>TEXT(81270, "[$-0E0000]yyyy-mm-dd")</f>
        <v/>
      </c>
    </row>
    <row r="81272">
      <c r="A81272" s="1" t="n">
        <v>81271</v>
      </c>
      <c r="B81272">
        <f>TEXT(81271, "[$-0E0000]yyyy-mm-dd")</f>
        <v/>
      </c>
    </row>
    <row r="81273">
      <c r="A81273" s="1" t="n">
        <v>81272</v>
      </c>
      <c r="B81273">
        <f>TEXT(81272, "[$-0E0000]yyyy-mm-dd")</f>
        <v/>
      </c>
    </row>
    <row r="81274">
      <c r="A81274" s="1" t="n">
        <v>81273</v>
      </c>
      <c r="B81274">
        <f>TEXT(81273, "[$-0E0000]yyyy-mm-dd")</f>
        <v/>
      </c>
    </row>
    <row r="81275">
      <c r="A81275" s="1" t="n">
        <v>81274</v>
      </c>
      <c r="B81275">
        <f>TEXT(81274, "[$-0E0000]yyyy-mm-dd")</f>
        <v/>
      </c>
    </row>
    <row r="81276">
      <c r="A81276" s="1" t="n">
        <v>81275</v>
      </c>
      <c r="B81276">
        <f>TEXT(81275, "[$-0E0000]yyyy-mm-dd")</f>
        <v/>
      </c>
    </row>
    <row r="81277">
      <c r="A81277" s="1" t="n">
        <v>81276</v>
      </c>
      <c r="B81277">
        <f>TEXT(81276, "[$-0E0000]yyyy-mm-dd")</f>
        <v/>
      </c>
    </row>
    <row r="81278">
      <c r="A81278" s="1" t="n">
        <v>81277</v>
      </c>
      <c r="B81278">
        <f>TEXT(81277, "[$-0E0000]yyyy-mm-dd")</f>
        <v/>
      </c>
    </row>
    <row r="81279">
      <c r="A81279" s="1" t="n">
        <v>81278</v>
      </c>
      <c r="B81279">
        <f>TEXT(81278, "[$-0E0000]yyyy-mm-dd")</f>
        <v/>
      </c>
    </row>
    <row r="81280">
      <c r="A81280" s="1" t="n">
        <v>81279</v>
      </c>
      <c r="B81280">
        <f>TEXT(81279, "[$-0E0000]yyyy-mm-dd")</f>
        <v/>
      </c>
    </row>
    <row r="81281">
      <c r="A81281" s="1" t="n">
        <v>81280</v>
      </c>
      <c r="B81281">
        <f>TEXT(81280, "[$-0E0000]yyyy-mm-dd")</f>
        <v/>
      </c>
    </row>
    <row r="81282">
      <c r="A81282" s="1" t="n">
        <v>81281</v>
      </c>
      <c r="B81282">
        <f>TEXT(81281, "[$-0E0000]yyyy-mm-dd")</f>
        <v/>
      </c>
    </row>
    <row r="81283">
      <c r="A81283" s="1" t="n">
        <v>81282</v>
      </c>
      <c r="B81283">
        <f>TEXT(81282, "[$-0E0000]yyyy-mm-dd")</f>
        <v/>
      </c>
    </row>
    <row r="81284">
      <c r="A81284" s="1" t="n">
        <v>81283</v>
      </c>
      <c r="B81284">
        <f>TEXT(81283, "[$-0E0000]yyyy-mm-dd")</f>
        <v/>
      </c>
    </row>
    <row r="81285">
      <c r="A81285" s="1" t="n">
        <v>81284</v>
      </c>
      <c r="B81285">
        <f>TEXT(81284, "[$-0E0000]yyyy-mm-dd")</f>
        <v/>
      </c>
    </row>
    <row r="81286">
      <c r="A81286" s="1" t="n">
        <v>81285</v>
      </c>
      <c r="B81286">
        <f>TEXT(81285, "[$-0E0000]yyyy-mm-dd")</f>
        <v/>
      </c>
    </row>
    <row r="81287">
      <c r="A81287" s="1" t="n">
        <v>81286</v>
      </c>
      <c r="B81287">
        <f>TEXT(81286, "[$-0E0000]yyyy-mm-dd")</f>
        <v/>
      </c>
    </row>
    <row r="81288">
      <c r="A81288" s="1" t="n">
        <v>81287</v>
      </c>
      <c r="B81288">
        <f>TEXT(81287, "[$-0E0000]yyyy-mm-dd")</f>
        <v/>
      </c>
    </row>
    <row r="81289">
      <c r="A81289" s="1" t="n">
        <v>81288</v>
      </c>
      <c r="B81289">
        <f>TEXT(81288, "[$-0E0000]yyyy-mm-dd")</f>
        <v/>
      </c>
    </row>
    <row r="81290">
      <c r="A81290" s="1" t="n">
        <v>81289</v>
      </c>
      <c r="B81290">
        <f>TEXT(81289, "[$-0E0000]yyyy-mm-dd")</f>
        <v/>
      </c>
    </row>
    <row r="81291">
      <c r="A81291" s="1" t="n">
        <v>81290</v>
      </c>
      <c r="B81291">
        <f>TEXT(81290, "[$-0E0000]yyyy-mm-dd")</f>
        <v/>
      </c>
    </row>
    <row r="81292">
      <c r="A81292" s="1" t="n">
        <v>81291</v>
      </c>
      <c r="B81292">
        <f>TEXT(81291, "[$-0E0000]yyyy-mm-dd")</f>
        <v/>
      </c>
    </row>
    <row r="81293">
      <c r="A81293" s="1" t="n">
        <v>81292</v>
      </c>
      <c r="B81293">
        <f>TEXT(81292, "[$-0E0000]yyyy-mm-dd")</f>
        <v/>
      </c>
    </row>
    <row r="81294">
      <c r="A81294" s="1" t="n">
        <v>81293</v>
      </c>
      <c r="B81294">
        <f>TEXT(81293, "[$-0E0000]yyyy-mm-dd")</f>
        <v/>
      </c>
    </row>
    <row r="81295">
      <c r="A81295" s="1" t="n">
        <v>81294</v>
      </c>
      <c r="B81295">
        <f>TEXT(81294, "[$-0E0000]yyyy-mm-dd")</f>
        <v/>
      </c>
    </row>
    <row r="81296">
      <c r="A81296" s="1" t="n">
        <v>81295</v>
      </c>
      <c r="B81296">
        <f>TEXT(81295, "[$-0E0000]yyyy-mm-dd")</f>
        <v/>
      </c>
    </row>
    <row r="81297">
      <c r="A81297" s="1" t="n">
        <v>81296</v>
      </c>
      <c r="B81297">
        <f>TEXT(81296, "[$-0E0000]yyyy-mm-dd")</f>
        <v/>
      </c>
    </row>
    <row r="81298">
      <c r="A81298" s="1" t="n">
        <v>81297</v>
      </c>
      <c r="B81298">
        <f>TEXT(81297, "[$-0E0000]yyyy-mm-dd")</f>
        <v/>
      </c>
    </row>
    <row r="81299">
      <c r="A81299" s="1" t="n">
        <v>81298</v>
      </c>
      <c r="B81299">
        <f>TEXT(81298, "[$-0E0000]yyyy-mm-dd")</f>
        <v/>
      </c>
    </row>
    <row r="81300">
      <c r="A81300" s="1" t="n">
        <v>81299</v>
      </c>
      <c r="B81300">
        <f>TEXT(81299, "[$-0E0000]yyyy-mm-dd")</f>
        <v/>
      </c>
    </row>
    <row r="81301">
      <c r="A81301" s="1" t="n">
        <v>81300</v>
      </c>
      <c r="B81301">
        <f>TEXT(81300, "[$-0E0000]yyyy-mm-dd")</f>
        <v/>
      </c>
    </row>
    <row r="81302">
      <c r="A81302" s="1" t="n">
        <v>81301</v>
      </c>
      <c r="B81302">
        <f>TEXT(81301, "[$-0E0000]yyyy-mm-dd")</f>
        <v/>
      </c>
    </row>
    <row r="81303">
      <c r="A81303" s="1" t="n">
        <v>81302</v>
      </c>
      <c r="B81303">
        <f>TEXT(81302, "[$-0E0000]yyyy-mm-dd")</f>
        <v/>
      </c>
    </row>
    <row r="81304">
      <c r="A81304" s="1" t="n">
        <v>81303</v>
      </c>
      <c r="B81304">
        <f>TEXT(81303, "[$-0E0000]yyyy-mm-dd")</f>
        <v/>
      </c>
    </row>
    <row r="81305">
      <c r="A81305" s="1" t="n">
        <v>81304</v>
      </c>
      <c r="B81305">
        <f>TEXT(81304, "[$-0E0000]yyyy-mm-dd")</f>
        <v/>
      </c>
    </row>
    <row r="81306">
      <c r="A81306" s="1" t="n">
        <v>81305</v>
      </c>
      <c r="B81306">
        <f>TEXT(81305, "[$-0E0000]yyyy-mm-dd")</f>
        <v/>
      </c>
    </row>
    <row r="81307">
      <c r="A81307" s="1" t="n">
        <v>81306</v>
      </c>
      <c r="B81307">
        <f>TEXT(81306, "[$-0E0000]yyyy-mm-dd")</f>
        <v/>
      </c>
    </row>
    <row r="81308">
      <c r="A81308" s="1" t="n">
        <v>81307</v>
      </c>
      <c r="B81308">
        <f>TEXT(81307, "[$-0E0000]yyyy-mm-dd")</f>
        <v/>
      </c>
    </row>
    <row r="81309">
      <c r="A81309" s="1" t="n">
        <v>81308</v>
      </c>
      <c r="B81309">
        <f>TEXT(81308, "[$-0E0000]yyyy-mm-dd")</f>
        <v/>
      </c>
    </row>
    <row r="81310">
      <c r="A81310" s="1" t="n">
        <v>81309</v>
      </c>
      <c r="B81310">
        <f>TEXT(81309, "[$-0E0000]yyyy-mm-dd")</f>
        <v/>
      </c>
    </row>
    <row r="81311">
      <c r="A81311" s="1" t="n">
        <v>81310</v>
      </c>
      <c r="B81311">
        <f>TEXT(81310, "[$-0E0000]yyyy-mm-dd")</f>
        <v/>
      </c>
    </row>
    <row r="81312">
      <c r="A81312" s="1" t="n">
        <v>81311</v>
      </c>
      <c r="B81312">
        <f>TEXT(81311, "[$-0E0000]yyyy-mm-dd")</f>
        <v/>
      </c>
    </row>
    <row r="81313">
      <c r="A81313" s="1" t="n">
        <v>81312</v>
      </c>
      <c r="B81313">
        <f>TEXT(81312, "[$-0E0000]yyyy-mm-dd")</f>
        <v/>
      </c>
    </row>
    <row r="81314">
      <c r="A81314" s="1" t="n">
        <v>81313</v>
      </c>
      <c r="B81314">
        <f>TEXT(81313, "[$-0E0000]yyyy-mm-dd")</f>
        <v/>
      </c>
    </row>
    <row r="81315">
      <c r="A81315" s="1" t="n">
        <v>81314</v>
      </c>
      <c r="B81315">
        <f>TEXT(81314, "[$-0E0000]yyyy-mm-dd")</f>
        <v/>
      </c>
    </row>
    <row r="81316">
      <c r="A81316" s="1" t="n">
        <v>81315</v>
      </c>
      <c r="B81316">
        <f>TEXT(81315, "[$-0E0000]yyyy-mm-dd")</f>
        <v/>
      </c>
    </row>
    <row r="81317">
      <c r="A81317" s="1" t="n">
        <v>81316</v>
      </c>
      <c r="B81317">
        <f>TEXT(81316, "[$-0E0000]yyyy-mm-dd")</f>
        <v/>
      </c>
    </row>
    <row r="81318">
      <c r="A81318" s="1" t="n">
        <v>81317</v>
      </c>
      <c r="B81318">
        <f>TEXT(81317, "[$-0E0000]yyyy-mm-dd")</f>
        <v/>
      </c>
    </row>
    <row r="81319">
      <c r="A81319" s="1" t="n">
        <v>81318</v>
      </c>
      <c r="B81319">
        <f>TEXT(81318, "[$-0E0000]yyyy-mm-dd")</f>
        <v/>
      </c>
    </row>
    <row r="81320">
      <c r="A81320" s="1" t="n">
        <v>81319</v>
      </c>
      <c r="B81320">
        <f>TEXT(81319, "[$-0E0000]yyyy-mm-dd")</f>
        <v/>
      </c>
    </row>
    <row r="81321">
      <c r="A81321" s="1" t="n">
        <v>81320</v>
      </c>
      <c r="B81321">
        <f>TEXT(81320, "[$-0E0000]yyyy-mm-dd")</f>
        <v/>
      </c>
    </row>
    <row r="81322">
      <c r="A81322" s="1" t="n">
        <v>81321</v>
      </c>
      <c r="B81322">
        <f>TEXT(81321, "[$-0E0000]yyyy-mm-dd")</f>
        <v/>
      </c>
    </row>
    <row r="81323">
      <c r="A81323" s="1" t="n">
        <v>81322</v>
      </c>
      <c r="B81323">
        <f>TEXT(81322, "[$-0E0000]yyyy-mm-dd")</f>
        <v/>
      </c>
    </row>
    <row r="81324">
      <c r="A81324" s="1" t="n">
        <v>81323</v>
      </c>
      <c r="B81324">
        <f>TEXT(81323, "[$-0E0000]yyyy-mm-dd")</f>
        <v/>
      </c>
    </row>
    <row r="81325">
      <c r="A81325" s="1" t="n">
        <v>81324</v>
      </c>
      <c r="B81325">
        <f>TEXT(81324, "[$-0E0000]yyyy-mm-dd")</f>
        <v/>
      </c>
    </row>
    <row r="81326">
      <c r="A81326" s="1" t="n">
        <v>81325</v>
      </c>
      <c r="B81326">
        <f>TEXT(81325, "[$-0E0000]yyyy-mm-dd")</f>
        <v/>
      </c>
    </row>
    <row r="81327">
      <c r="A81327" s="1" t="n">
        <v>81326</v>
      </c>
      <c r="B81327">
        <f>TEXT(81326, "[$-0E0000]yyyy-mm-dd")</f>
        <v/>
      </c>
    </row>
    <row r="81328">
      <c r="A81328" s="1" t="n">
        <v>81327</v>
      </c>
      <c r="B81328">
        <f>TEXT(81327, "[$-0E0000]yyyy-mm-dd")</f>
        <v/>
      </c>
    </row>
    <row r="81329">
      <c r="A81329" s="1" t="n">
        <v>81328</v>
      </c>
      <c r="B81329">
        <f>TEXT(81328, "[$-0E0000]yyyy-mm-dd")</f>
        <v/>
      </c>
    </row>
    <row r="81330">
      <c r="A81330" s="1" t="n">
        <v>81329</v>
      </c>
      <c r="B81330">
        <f>TEXT(81329, "[$-0E0000]yyyy-mm-dd")</f>
        <v/>
      </c>
    </row>
    <row r="81331">
      <c r="A81331" s="1" t="n">
        <v>81330</v>
      </c>
      <c r="B81331">
        <f>TEXT(81330, "[$-0E0000]yyyy-mm-dd")</f>
        <v/>
      </c>
    </row>
    <row r="81332">
      <c r="A81332" s="1" t="n">
        <v>81331</v>
      </c>
      <c r="B81332">
        <f>TEXT(81331, "[$-0E0000]yyyy-mm-dd")</f>
        <v/>
      </c>
    </row>
    <row r="81333">
      <c r="A81333" s="1" t="n">
        <v>81332</v>
      </c>
      <c r="B81333">
        <f>TEXT(81332, "[$-0E0000]yyyy-mm-dd")</f>
        <v/>
      </c>
    </row>
    <row r="81334">
      <c r="A81334" s="1" t="n">
        <v>81333</v>
      </c>
      <c r="B81334">
        <f>TEXT(81333, "[$-0E0000]yyyy-mm-dd")</f>
        <v/>
      </c>
    </row>
    <row r="81335">
      <c r="A81335" s="1" t="n">
        <v>81334</v>
      </c>
      <c r="B81335">
        <f>TEXT(81334, "[$-0E0000]yyyy-mm-dd")</f>
        <v/>
      </c>
    </row>
    <row r="81336">
      <c r="A81336" s="1" t="n">
        <v>81335</v>
      </c>
      <c r="B81336">
        <f>TEXT(81335, "[$-0E0000]yyyy-mm-dd")</f>
        <v/>
      </c>
    </row>
    <row r="81337">
      <c r="A81337" s="1" t="n">
        <v>81336</v>
      </c>
      <c r="B81337">
        <f>TEXT(81336, "[$-0E0000]yyyy-mm-dd")</f>
        <v/>
      </c>
    </row>
    <row r="81338">
      <c r="A81338" s="1" t="n">
        <v>81337</v>
      </c>
      <c r="B81338">
        <f>TEXT(81337, "[$-0E0000]yyyy-mm-dd")</f>
        <v/>
      </c>
    </row>
    <row r="81339">
      <c r="A81339" s="1" t="n">
        <v>81338</v>
      </c>
      <c r="B81339">
        <f>TEXT(81338, "[$-0E0000]yyyy-mm-dd")</f>
        <v/>
      </c>
    </row>
    <row r="81340">
      <c r="A81340" s="1" t="n">
        <v>81339</v>
      </c>
      <c r="B81340">
        <f>TEXT(81339, "[$-0E0000]yyyy-mm-dd")</f>
        <v/>
      </c>
    </row>
    <row r="81341">
      <c r="A81341" s="1" t="n">
        <v>81340</v>
      </c>
      <c r="B81341">
        <f>TEXT(81340, "[$-0E0000]yyyy-mm-dd")</f>
        <v/>
      </c>
    </row>
    <row r="81342">
      <c r="A81342" s="1" t="n">
        <v>81341</v>
      </c>
      <c r="B81342">
        <f>TEXT(81341, "[$-0E0000]yyyy-mm-dd")</f>
        <v/>
      </c>
    </row>
    <row r="81343">
      <c r="A81343" s="1" t="n">
        <v>81342</v>
      </c>
      <c r="B81343">
        <f>TEXT(81342, "[$-0E0000]yyyy-mm-dd")</f>
        <v/>
      </c>
    </row>
    <row r="81344">
      <c r="A81344" s="1" t="n">
        <v>81343</v>
      </c>
      <c r="B81344">
        <f>TEXT(81343, "[$-0E0000]yyyy-mm-dd")</f>
        <v/>
      </c>
    </row>
    <row r="81345">
      <c r="A81345" s="1" t="n">
        <v>81344</v>
      </c>
      <c r="B81345">
        <f>TEXT(81344, "[$-0E0000]yyyy-mm-dd")</f>
        <v/>
      </c>
    </row>
    <row r="81346">
      <c r="A81346" s="1" t="n">
        <v>81345</v>
      </c>
      <c r="B81346">
        <f>TEXT(81345, "[$-0E0000]yyyy-mm-dd")</f>
        <v/>
      </c>
    </row>
    <row r="81347">
      <c r="A81347" s="1" t="n">
        <v>81346</v>
      </c>
      <c r="B81347">
        <f>TEXT(81346, "[$-0E0000]yyyy-mm-dd")</f>
        <v/>
      </c>
    </row>
    <row r="81348">
      <c r="A81348" s="1" t="n">
        <v>81347</v>
      </c>
      <c r="B81348">
        <f>TEXT(81347, "[$-0E0000]yyyy-mm-dd")</f>
        <v/>
      </c>
    </row>
    <row r="81349">
      <c r="A81349" s="1" t="n">
        <v>81348</v>
      </c>
      <c r="B81349">
        <f>TEXT(81348, "[$-0E0000]yyyy-mm-dd")</f>
        <v/>
      </c>
    </row>
    <row r="81350">
      <c r="A81350" s="1" t="n">
        <v>81349</v>
      </c>
      <c r="B81350">
        <f>TEXT(81349, "[$-0E0000]yyyy-mm-dd")</f>
        <v/>
      </c>
    </row>
    <row r="81351">
      <c r="A81351" s="1" t="n">
        <v>81350</v>
      </c>
      <c r="B81351">
        <f>TEXT(81350, "[$-0E0000]yyyy-mm-dd")</f>
        <v/>
      </c>
    </row>
    <row r="81352">
      <c r="A81352" s="1" t="n">
        <v>81351</v>
      </c>
      <c r="B81352">
        <f>TEXT(81351, "[$-0E0000]yyyy-mm-dd")</f>
        <v/>
      </c>
    </row>
    <row r="81353">
      <c r="A81353" s="1" t="n">
        <v>81352</v>
      </c>
      <c r="B81353">
        <f>TEXT(81352, "[$-0E0000]yyyy-mm-dd")</f>
        <v/>
      </c>
    </row>
    <row r="81354">
      <c r="A81354" s="1" t="n">
        <v>81353</v>
      </c>
      <c r="B81354">
        <f>TEXT(81353, "[$-0E0000]yyyy-mm-dd")</f>
        <v/>
      </c>
    </row>
    <row r="81355">
      <c r="A81355" s="1" t="n">
        <v>81354</v>
      </c>
      <c r="B81355">
        <f>TEXT(81354, "[$-0E0000]yyyy-mm-dd")</f>
        <v/>
      </c>
    </row>
    <row r="81356">
      <c r="A81356" s="1" t="n">
        <v>81355</v>
      </c>
      <c r="B81356">
        <f>TEXT(81355, "[$-0E0000]yyyy-mm-dd")</f>
        <v/>
      </c>
    </row>
    <row r="81357">
      <c r="A81357" s="1" t="n">
        <v>81356</v>
      </c>
      <c r="B81357">
        <f>TEXT(81356, "[$-0E0000]yyyy-mm-dd")</f>
        <v/>
      </c>
    </row>
    <row r="81358">
      <c r="A81358" s="1" t="n">
        <v>81357</v>
      </c>
      <c r="B81358">
        <f>TEXT(81357, "[$-0E0000]yyyy-mm-dd")</f>
        <v/>
      </c>
    </row>
    <row r="81359">
      <c r="A81359" s="1" t="n">
        <v>81358</v>
      </c>
      <c r="B81359">
        <f>TEXT(81358, "[$-0E0000]yyyy-mm-dd")</f>
        <v/>
      </c>
    </row>
    <row r="81360">
      <c r="A81360" s="1" t="n">
        <v>81359</v>
      </c>
      <c r="B81360">
        <f>TEXT(81359, "[$-0E0000]yyyy-mm-dd")</f>
        <v/>
      </c>
    </row>
    <row r="81361">
      <c r="A81361" s="1" t="n">
        <v>81360</v>
      </c>
      <c r="B81361">
        <f>TEXT(81360, "[$-0E0000]yyyy-mm-dd")</f>
        <v/>
      </c>
    </row>
    <row r="81362">
      <c r="A81362" s="1" t="n">
        <v>81361</v>
      </c>
      <c r="B81362">
        <f>TEXT(81361, "[$-0E0000]yyyy-mm-dd")</f>
        <v/>
      </c>
    </row>
    <row r="81363">
      <c r="A81363" s="1" t="n">
        <v>81362</v>
      </c>
      <c r="B81363">
        <f>TEXT(81362, "[$-0E0000]yyyy-mm-dd")</f>
        <v/>
      </c>
    </row>
    <row r="81364">
      <c r="A81364" s="1" t="n">
        <v>81363</v>
      </c>
      <c r="B81364">
        <f>TEXT(81363, "[$-0E0000]yyyy-mm-dd")</f>
        <v/>
      </c>
    </row>
    <row r="81365">
      <c r="A81365" s="1" t="n">
        <v>81364</v>
      </c>
      <c r="B81365">
        <f>TEXT(81364, "[$-0E0000]yyyy-mm-dd")</f>
        <v/>
      </c>
    </row>
    <row r="81366">
      <c r="A81366" s="1" t="n">
        <v>81365</v>
      </c>
      <c r="B81366">
        <f>TEXT(81365, "[$-0E0000]yyyy-mm-dd")</f>
        <v/>
      </c>
    </row>
    <row r="81367">
      <c r="A81367" s="1" t="n">
        <v>81366</v>
      </c>
      <c r="B81367">
        <f>TEXT(81366, "[$-0E0000]yyyy-mm-dd")</f>
        <v/>
      </c>
    </row>
    <row r="81368">
      <c r="A81368" s="1" t="n">
        <v>81367</v>
      </c>
      <c r="B81368">
        <f>TEXT(81367, "[$-0E0000]yyyy-mm-dd")</f>
        <v/>
      </c>
    </row>
    <row r="81369">
      <c r="A81369" s="1" t="n">
        <v>81368</v>
      </c>
      <c r="B81369">
        <f>TEXT(81368, "[$-0E0000]yyyy-mm-dd")</f>
        <v/>
      </c>
    </row>
    <row r="81370">
      <c r="A81370" s="1" t="n">
        <v>81369</v>
      </c>
      <c r="B81370">
        <f>TEXT(81369, "[$-0E0000]yyyy-mm-dd")</f>
        <v/>
      </c>
    </row>
    <row r="81371">
      <c r="A81371" s="1" t="n">
        <v>81370</v>
      </c>
      <c r="B81371">
        <f>TEXT(81370, "[$-0E0000]yyyy-mm-dd")</f>
        <v/>
      </c>
    </row>
    <row r="81372">
      <c r="A81372" s="1" t="n">
        <v>81371</v>
      </c>
      <c r="B81372">
        <f>TEXT(81371, "[$-0E0000]yyyy-mm-dd")</f>
        <v/>
      </c>
    </row>
    <row r="81373">
      <c r="A81373" s="1" t="n">
        <v>81372</v>
      </c>
      <c r="B81373">
        <f>TEXT(81372, "[$-0E0000]yyyy-mm-dd")</f>
        <v/>
      </c>
    </row>
    <row r="81374">
      <c r="A81374" s="1" t="n">
        <v>81373</v>
      </c>
      <c r="B81374">
        <f>TEXT(81373, "[$-0E0000]yyyy-mm-dd")</f>
        <v/>
      </c>
    </row>
    <row r="81375">
      <c r="A81375" s="1" t="n">
        <v>81374</v>
      </c>
      <c r="B81375">
        <f>TEXT(81374, "[$-0E0000]yyyy-mm-dd")</f>
        <v/>
      </c>
    </row>
    <row r="81376">
      <c r="A81376" s="1" t="n">
        <v>81375</v>
      </c>
      <c r="B81376">
        <f>TEXT(81375, "[$-0E0000]yyyy-mm-dd")</f>
        <v/>
      </c>
    </row>
    <row r="81377">
      <c r="A81377" s="1" t="n">
        <v>81376</v>
      </c>
      <c r="B81377">
        <f>TEXT(81376, "[$-0E0000]yyyy-mm-dd")</f>
        <v/>
      </c>
    </row>
    <row r="81378">
      <c r="A81378" s="1" t="n">
        <v>81377</v>
      </c>
      <c r="B81378">
        <f>TEXT(81377, "[$-0E0000]yyyy-mm-dd")</f>
        <v/>
      </c>
    </row>
    <row r="81379">
      <c r="A81379" s="1" t="n">
        <v>81378</v>
      </c>
      <c r="B81379">
        <f>TEXT(81378, "[$-0E0000]yyyy-mm-dd")</f>
        <v/>
      </c>
    </row>
    <row r="81380">
      <c r="A81380" s="1" t="n">
        <v>81379</v>
      </c>
      <c r="B81380">
        <f>TEXT(81379, "[$-0E0000]yyyy-mm-dd")</f>
        <v/>
      </c>
    </row>
    <row r="81381">
      <c r="A81381" s="1" t="n">
        <v>81380</v>
      </c>
      <c r="B81381">
        <f>TEXT(81380, "[$-0E0000]yyyy-mm-dd")</f>
        <v/>
      </c>
    </row>
    <row r="81382">
      <c r="A81382" s="1" t="n">
        <v>81381</v>
      </c>
      <c r="B81382">
        <f>TEXT(81381, "[$-0E0000]yyyy-mm-dd")</f>
        <v/>
      </c>
    </row>
    <row r="81383">
      <c r="A81383" s="1" t="n">
        <v>81382</v>
      </c>
      <c r="B81383">
        <f>TEXT(81382, "[$-0E0000]yyyy-mm-dd")</f>
        <v/>
      </c>
    </row>
    <row r="81384">
      <c r="A81384" s="1" t="n">
        <v>81383</v>
      </c>
      <c r="B81384">
        <f>TEXT(81383, "[$-0E0000]yyyy-mm-dd")</f>
        <v/>
      </c>
    </row>
    <row r="81385">
      <c r="A81385" s="1" t="n">
        <v>81384</v>
      </c>
      <c r="B81385">
        <f>TEXT(81384, "[$-0E0000]yyyy-mm-dd")</f>
        <v/>
      </c>
    </row>
    <row r="81386">
      <c r="A81386" s="1" t="n">
        <v>81385</v>
      </c>
      <c r="B81386">
        <f>TEXT(81385, "[$-0E0000]yyyy-mm-dd")</f>
        <v/>
      </c>
    </row>
    <row r="81387">
      <c r="A81387" s="1" t="n">
        <v>81386</v>
      </c>
      <c r="B81387">
        <f>TEXT(81386, "[$-0E0000]yyyy-mm-dd")</f>
        <v/>
      </c>
    </row>
    <row r="81388">
      <c r="A81388" s="1" t="n">
        <v>81387</v>
      </c>
      <c r="B81388">
        <f>TEXT(81387, "[$-0E0000]yyyy-mm-dd")</f>
        <v/>
      </c>
    </row>
    <row r="81389">
      <c r="A81389" s="1" t="n">
        <v>81388</v>
      </c>
      <c r="B81389">
        <f>TEXT(81388, "[$-0E0000]yyyy-mm-dd")</f>
        <v/>
      </c>
    </row>
    <row r="81390">
      <c r="A81390" s="1" t="n">
        <v>81389</v>
      </c>
      <c r="B81390">
        <f>TEXT(81389, "[$-0E0000]yyyy-mm-dd")</f>
        <v/>
      </c>
    </row>
    <row r="81391">
      <c r="A81391" s="1" t="n">
        <v>81390</v>
      </c>
      <c r="B81391">
        <f>TEXT(81390, "[$-0E0000]yyyy-mm-dd")</f>
        <v/>
      </c>
    </row>
    <row r="81392">
      <c r="A81392" s="1" t="n">
        <v>81391</v>
      </c>
      <c r="B81392">
        <f>TEXT(81391, "[$-0E0000]yyyy-mm-dd")</f>
        <v/>
      </c>
    </row>
    <row r="81393">
      <c r="A81393" s="1" t="n">
        <v>81392</v>
      </c>
      <c r="B81393">
        <f>TEXT(81392, "[$-0E0000]yyyy-mm-dd")</f>
        <v/>
      </c>
    </row>
    <row r="81394">
      <c r="A81394" s="1" t="n">
        <v>81393</v>
      </c>
      <c r="B81394">
        <f>TEXT(81393, "[$-0E0000]yyyy-mm-dd")</f>
        <v/>
      </c>
    </row>
    <row r="81395">
      <c r="A81395" s="1" t="n">
        <v>81394</v>
      </c>
      <c r="B81395">
        <f>TEXT(81394, "[$-0E0000]yyyy-mm-dd")</f>
        <v/>
      </c>
    </row>
    <row r="81396">
      <c r="A81396" s="1" t="n">
        <v>81395</v>
      </c>
      <c r="B81396">
        <f>TEXT(81395, "[$-0E0000]yyyy-mm-dd")</f>
        <v/>
      </c>
    </row>
    <row r="81397">
      <c r="A81397" s="1" t="n">
        <v>81396</v>
      </c>
      <c r="B81397">
        <f>TEXT(81396, "[$-0E0000]yyyy-mm-dd")</f>
        <v/>
      </c>
    </row>
    <row r="81398">
      <c r="A81398" s="1" t="n">
        <v>81397</v>
      </c>
      <c r="B81398">
        <f>TEXT(81397, "[$-0E0000]yyyy-mm-dd")</f>
        <v/>
      </c>
    </row>
    <row r="81399">
      <c r="A81399" s="1" t="n">
        <v>81398</v>
      </c>
      <c r="B81399">
        <f>TEXT(81398, "[$-0E0000]yyyy-mm-dd")</f>
        <v/>
      </c>
    </row>
    <row r="81400">
      <c r="A81400" s="1" t="n">
        <v>81399</v>
      </c>
      <c r="B81400">
        <f>TEXT(81399, "[$-0E0000]yyyy-mm-dd")</f>
        <v/>
      </c>
    </row>
    <row r="81401">
      <c r="A81401" s="1" t="n">
        <v>81400</v>
      </c>
      <c r="B81401">
        <f>TEXT(81400, "[$-0E0000]yyyy-mm-dd")</f>
        <v/>
      </c>
    </row>
    <row r="81402">
      <c r="A81402" s="1" t="n">
        <v>81401</v>
      </c>
      <c r="B81402">
        <f>TEXT(81401, "[$-0E0000]yyyy-mm-dd")</f>
        <v/>
      </c>
    </row>
    <row r="81403">
      <c r="A81403" s="1" t="n">
        <v>81402</v>
      </c>
      <c r="B81403">
        <f>TEXT(81402, "[$-0E0000]yyyy-mm-dd")</f>
        <v/>
      </c>
    </row>
    <row r="81404">
      <c r="A81404" s="1" t="n">
        <v>81403</v>
      </c>
      <c r="B81404">
        <f>TEXT(81403, "[$-0E0000]yyyy-mm-dd")</f>
        <v/>
      </c>
    </row>
    <row r="81405">
      <c r="A81405" s="1" t="n">
        <v>81404</v>
      </c>
      <c r="B81405">
        <f>TEXT(81404, "[$-0E0000]yyyy-mm-dd")</f>
        <v/>
      </c>
    </row>
    <row r="81406">
      <c r="A81406" s="1" t="n">
        <v>81405</v>
      </c>
      <c r="B81406">
        <f>TEXT(81405, "[$-0E0000]yyyy-mm-dd")</f>
        <v/>
      </c>
    </row>
    <row r="81407">
      <c r="A81407" s="1" t="n">
        <v>81406</v>
      </c>
      <c r="B81407">
        <f>TEXT(81406, "[$-0E0000]yyyy-mm-dd")</f>
        <v/>
      </c>
    </row>
    <row r="81408">
      <c r="A81408" s="1" t="n">
        <v>81407</v>
      </c>
      <c r="B81408">
        <f>TEXT(81407, "[$-0E0000]yyyy-mm-dd")</f>
        <v/>
      </c>
    </row>
    <row r="81409">
      <c r="A81409" s="1" t="n">
        <v>81408</v>
      </c>
      <c r="B81409">
        <f>TEXT(81408, "[$-0E0000]yyyy-mm-dd")</f>
        <v/>
      </c>
    </row>
    <row r="81410">
      <c r="A81410" s="1" t="n">
        <v>81409</v>
      </c>
      <c r="B81410">
        <f>TEXT(81409, "[$-0E0000]yyyy-mm-dd")</f>
        <v/>
      </c>
    </row>
    <row r="81411">
      <c r="A81411" s="1" t="n">
        <v>81410</v>
      </c>
      <c r="B81411">
        <f>TEXT(81410, "[$-0E0000]yyyy-mm-dd")</f>
        <v/>
      </c>
    </row>
    <row r="81412">
      <c r="A81412" s="1" t="n">
        <v>81411</v>
      </c>
      <c r="B81412">
        <f>TEXT(81411, "[$-0E0000]yyyy-mm-dd")</f>
        <v/>
      </c>
    </row>
    <row r="81413">
      <c r="A81413" s="1" t="n">
        <v>81412</v>
      </c>
      <c r="B81413">
        <f>TEXT(81412, "[$-0E0000]yyyy-mm-dd")</f>
        <v/>
      </c>
    </row>
    <row r="81414">
      <c r="A81414" s="1" t="n">
        <v>81413</v>
      </c>
      <c r="B81414">
        <f>TEXT(81413, "[$-0E0000]yyyy-mm-dd")</f>
        <v/>
      </c>
    </row>
    <row r="81415">
      <c r="A81415" s="1" t="n">
        <v>81414</v>
      </c>
      <c r="B81415">
        <f>TEXT(81414, "[$-0E0000]yyyy-mm-dd")</f>
        <v/>
      </c>
    </row>
    <row r="81416">
      <c r="A81416" s="1" t="n">
        <v>81415</v>
      </c>
      <c r="B81416">
        <f>TEXT(81415, "[$-0E0000]yyyy-mm-dd")</f>
        <v/>
      </c>
    </row>
    <row r="81417">
      <c r="A81417" s="1" t="n">
        <v>81416</v>
      </c>
      <c r="B81417">
        <f>TEXT(81416, "[$-0E0000]yyyy-mm-dd")</f>
        <v/>
      </c>
    </row>
    <row r="81418">
      <c r="A81418" s="1" t="n">
        <v>81417</v>
      </c>
      <c r="B81418">
        <f>TEXT(81417, "[$-0E0000]yyyy-mm-dd")</f>
        <v/>
      </c>
    </row>
    <row r="81419">
      <c r="A81419" s="1" t="n">
        <v>81418</v>
      </c>
      <c r="B81419">
        <f>TEXT(81418, "[$-0E0000]yyyy-mm-dd")</f>
        <v/>
      </c>
    </row>
    <row r="81420">
      <c r="A81420" s="1" t="n">
        <v>81419</v>
      </c>
      <c r="B81420">
        <f>TEXT(81419, "[$-0E0000]yyyy-mm-dd")</f>
        <v/>
      </c>
    </row>
    <row r="81421">
      <c r="A81421" s="1" t="n">
        <v>81420</v>
      </c>
      <c r="B81421">
        <f>TEXT(81420, "[$-0E0000]yyyy-mm-dd")</f>
        <v/>
      </c>
    </row>
    <row r="81422">
      <c r="A81422" s="1" t="n">
        <v>81421</v>
      </c>
      <c r="B81422">
        <f>TEXT(81421, "[$-0E0000]yyyy-mm-dd")</f>
        <v/>
      </c>
    </row>
    <row r="81423">
      <c r="A81423" s="1" t="n">
        <v>81422</v>
      </c>
      <c r="B81423">
        <f>TEXT(81422, "[$-0E0000]yyyy-mm-dd")</f>
        <v/>
      </c>
    </row>
    <row r="81424">
      <c r="A81424" s="1" t="n">
        <v>81423</v>
      </c>
      <c r="B81424">
        <f>TEXT(81423, "[$-0E0000]yyyy-mm-dd")</f>
        <v/>
      </c>
    </row>
    <row r="81425">
      <c r="A81425" s="1" t="n">
        <v>81424</v>
      </c>
      <c r="B81425">
        <f>TEXT(81424, "[$-0E0000]yyyy-mm-dd")</f>
        <v/>
      </c>
    </row>
    <row r="81426">
      <c r="A81426" s="1" t="n">
        <v>81425</v>
      </c>
      <c r="B81426">
        <f>TEXT(81425, "[$-0E0000]yyyy-mm-dd")</f>
        <v/>
      </c>
    </row>
    <row r="81427">
      <c r="A81427" s="1" t="n">
        <v>81426</v>
      </c>
      <c r="B81427">
        <f>TEXT(81426, "[$-0E0000]yyyy-mm-dd")</f>
        <v/>
      </c>
    </row>
    <row r="81428">
      <c r="A81428" s="1" t="n">
        <v>81427</v>
      </c>
      <c r="B81428">
        <f>TEXT(81427, "[$-0E0000]yyyy-mm-dd")</f>
        <v/>
      </c>
    </row>
    <row r="81429">
      <c r="A81429" s="1" t="n">
        <v>81428</v>
      </c>
      <c r="B81429">
        <f>TEXT(81428, "[$-0E0000]yyyy-mm-dd")</f>
        <v/>
      </c>
    </row>
    <row r="81430">
      <c r="A81430" s="1" t="n">
        <v>81429</v>
      </c>
      <c r="B81430">
        <f>TEXT(81429, "[$-0E0000]yyyy-mm-dd")</f>
        <v/>
      </c>
    </row>
    <row r="81431">
      <c r="A81431" s="1" t="n">
        <v>81430</v>
      </c>
      <c r="B81431">
        <f>TEXT(81430, "[$-0E0000]yyyy-mm-dd")</f>
        <v/>
      </c>
    </row>
    <row r="81432">
      <c r="A81432" s="1" t="n">
        <v>81431</v>
      </c>
      <c r="B81432">
        <f>TEXT(81431, "[$-0E0000]yyyy-mm-dd")</f>
        <v/>
      </c>
    </row>
    <row r="81433">
      <c r="A81433" s="1" t="n">
        <v>81432</v>
      </c>
      <c r="B81433">
        <f>TEXT(81432, "[$-0E0000]yyyy-mm-dd")</f>
        <v/>
      </c>
    </row>
    <row r="81434">
      <c r="A81434" s="1" t="n">
        <v>81433</v>
      </c>
      <c r="B81434">
        <f>TEXT(81433, "[$-0E0000]yyyy-mm-dd")</f>
        <v/>
      </c>
    </row>
    <row r="81435">
      <c r="A81435" s="1" t="n">
        <v>81434</v>
      </c>
      <c r="B81435">
        <f>TEXT(81434, "[$-0E0000]yyyy-mm-dd")</f>
        <v/>
      </c>
    </row>
    <row r="81436">
      <c r="A81436" s="1" t="n">
        <v>81435</v>
      </c>
      <c r="B81436">
        <f>TEXT(81435, "[$-0E0000]yyyy-mm-dd")</f>
        <v/>
      </c>
    </row>
    <row r="81437">
      <c r="A81437" s="1" t="n">
        <v>81436</v>
      </c>
      <c r="B81437">
        <f>TEXT(81436, "[$-0E0000]yyyy-mm-dd")</f>
        <v/>
      </c>
    </row>
    <row r="81438">
      <c r="A81438" s="1" t="n">
        <v>81437</v>
      </c>
      <c r="B81438">
        <f>TEXT(81437, "[$-0E0000]yyyy-mm-dd")</f>
        <v/>
      </c>
    </row>
    <row r="81439">
      <c r="A81439" s="1" t="n">
        <v>81438</v>
      </c>
      <c r="B81439">
        <f>TEXT(81438, "[$-0E0000]yyyy-mm-dd")</f>
        <v/>
      </c>
    </row>
    <row r="81440">
      <c r="A81440" s="1" t="n">
        <v>81439</v>
      </c>
      <c r="B81440">
        <f>TEXT(81439, "[$-0E0000]yyyy-mm-dd")</f>
        <v/>
      </c>
    </row>
    <row r="81441">
      <c r="A81441" s="1" t="n">
        <v>81440</v>
      </c>
      <c r="B81441">
        <f>TEXT(81440, "[$-0E0000]yyyy-mm-dd")</f>
        <v/>
      </c>
    </row>
    <row r="81442">
      <c r="A81442" s="1" t="n">
        <v>81441</v>
      </c>
      <c r="B81442">
        <f>TEXT(81441, "[$-0E0000]yyyy-mm-dd")</f>
        <v/>
      </c>
    </row>
    <row r="81443">
      <c r="A81443" s="1" t="n">
        <v>81442</v>
      </c>
      <c r="B81443">
        <f>TEXT(81442, "[$-0E0000]yyyy-mm-dd")</f>
        <v/>
      </c>
    </row>
    <row r="81444">
      <c r="A81444" s="1" t="n">
        <v>81443</v>
      </c>
      <c r="B81444">
        <f>TEXT(81443, "[$-0E0000]yyyy-mm-dd")</f>
        <v/>
      </c>
    </row>
    <row r="81445">
      <c r="A81445" s="1" t="n">
        <v>81444</v>
      </c>
      <c r="B81445">
        <f>TEXT(81444, "[$-0E0000]yyyy-mm-dd")</f>
        <v/>
      </c>
    </row>
    <row r="81446">
      <c r="A81446" s="1" t="n">
        <v>81445</v>
      </c>
      <c r="B81446">
        <f>TEXT(81445, "[$-0E0000]yyyy-mm-dd")</f>
        <v/>
      </c>
    </row>
    <row r="81447">
      <c r="A81447" s="1" t="n">
        <v>81446</v>
      </c>
      <c r="B81447">
        <f>TEXT(81446, "[$-0E0000]yyyy-mm-dd")</f>
        <v/>
      </c>
    </row>
    <row r="81448">
      <c r="A81448" s="1" t="n">
        <v>81447</v>
      </c>
      <c r="B81448">
        <f>TEXT(81447, "[$-0E0000]yyyy-mm-dd")</f>
        <v/>
      </c>
    </row>
    <row r="81449">
      <c r="A81449" s="1" t="n">
        <v>81448</v>
      </c>
      <c r="B81449">
        <f>TEXT(81448, "[$-0E0000]yyyy-mm-dd")</f>
        <v/>
      </c>
    </row>
    <row r="81450">
      <c r="A81450" s="1" t="n">
        <v>81449</v>
      </c>
      <c r="B81450">
        <f>TEXT(81449, "[$-0E0000]yyyy-mm-dd")</f>
        <v/>
      </c>
    </row>
    <row r="81451">
      <c r="A81451" s="1" t="n">
        <v>81450</v>
      </c>
      <c r="B81451">
        <f>TEXT(81450, "[$-0E0000]yyyy-mm-dd")</f>
        <v/>
      </c>
    </row>
    <row r="81452">
      <c r="A81452" s="1" t="n">
        <v>81451</v>
      </c>
      <c r="B81452">
        <f>TEXT(81451, "[$-0E0000]yyyy-mm-dd")</f>
        <v/>
      </c>
    </row>
    <row r="81453">
      <c r="A81453" s="1" t="n">
        <v>81452</v>
      </c>
      <c r="B81453">
        <f>TEXT(81452, "[$-0E0000]yyyy-mm-dd")</f>
        <v/>
      </c>
    </row>
    <row r="81454">
      <c r="A81454" s="1" t="n">
        <v>81453</v>
      </c>
      <c r="B81454">
        <f>TEXT(81453, "[$-0E0000]yyyy-mm-dd")</f>
        <v/>
      </c>
    </row>
    <row r="81455">
      <c r="A81455" s="1" t="n">
        <v>81454</v>
      </c>
      <c r="B81455">
        <f>TEXT(81454, "[$-0E0000]yyyy-mm-dd")</f>
        <v/>
      </c>
    </row>
    <row r="81456">
      <c r="A81456" s="1" t="n">
        <v>81455</v>
      </c>
      <c r="B81456">
        <f>TEXT(81455, "[$-0E0000]yyyy-mm-dd")</f>
        <v/>
      </c>
    </row>
    <row r="81457">
      <c r="A81457" s="1" t="n">
        <v>81456</v>
      </c>
      <c r="B81457">
        <f>TEXT(81456, "[$-0E0000]yyyy-mm-dd")</f>
        <v/>
      </c>
    </row>
    <row r="81458">
      <c r="A81458" s="1" t="n">
        <v>81457</v>
      </c>
      <c r="B81458">
        <f>TEXT(81457, "[$-0E0000]yyyy-mm-dd")</f>
        <v/>
      </c>
    </row>
    <row r="81459">
      <c r="A81459" s="1" t="n">
        <v>81458</v>
      </c>
      <c r="B81459">
        <f>TEXT(81458, "[$-0E0000]yyyy-mm-dd")</f>
        <v/>
      </c>
    </row>
    <row r="81460">
      <c r="A81460" s="1" t="n">
        <v>81459</v>
      </c>
      <c r="B81460">
        <f>TEXT(81459, "[$-0E0000]yyyy-mm-dd")</f>
        <v/>
      </c>
    </row>
    <row r="81461">
      <c r="A81461" s="1" t="n">
        <v>81460</v>
      </c>
      <c r="B81461">
        <f>TEXT(81460, "[$-0E0000]yyyy-mm-dd")</f>
        <v/>
      </c>
    </row>
    <row r="81462">
      <c r="A81462" s="1" t="n">
        <v>81461</v>
      </c>
      <c r="B81462">
        <f>TEXT(81461, "[$-0E0000]yyyy-mm-dd")</f>
        <v/>
      </c>
    </row>
    <row r="81463">
      <c r="A81463" s="1" t="n">
        <v>81462</v>
      </c>
      <c r="B81463">
        <f>TEXT(81462, "[$-0E0000]yyyy-mm-dd")</f>
        <v/>
      </c>
    </row>
    <row r="81464">
      <c r="A81464" s="1" t="n">
        <v>81463</v>
      </c>
      <c r="B81464">
        <f>TEXT(81463, "[$-0E0000]yyyy-mm-dd")</f>
        <v/>
      </c>
    </row>
    <row r="81465">
      <c r="A81465" s="1" t="n">
        <v>81464</v>
      </c>
      <c r="B81465">
        <f>TEXT(81464, "[$-0E0000]yyyy-mm-dd")</f>
        <v/>
      </c>
    </row>
    <row r="81466">
      <c r="A81466" s="1" t="n">
        <v>81465</v>
      </c>
      <c r="B81466">
        <f>TEXT(81465, "[$-0E0000]yyyy-mm-dd")</f>
        <v/>
      </c>
    </row>
    <row r="81467">
      <c r="A81467" s="1" t="n">
        <v>81466</v>
      </c>
      <c r="B81467">
        <f>TEXT(81466, "[$-0E0000]yyyy-mm-dd")</f>
        <v/>
      </c>
    </row>
    <row r="81468">
      <c r="A81468" s="1" t="n">
        <v>81467</v>
      </c>
      <c r="B81468">
        <f>TEXT(81467, "[$-0E0000]yyyy-mm-dd")</f>
        <v/>
      </c>
    </row>
    <row r="81469">
      <c r="A81469" s="1" t="n">
        <v>81468</v>
      </c>
      <c r="B81469">
        <f>TEXT(81468, "[$-0E0000]yyyy-mm-dd")</f>
        <v/>
      </c>
    </row>
    <row r="81470">
      <c r="A81470" s="1" t="n">
        <v>81469</v>
      </c>
      <c r="B81470">
        <f>TEXT(81469, "[$-0E0000]yyyy-mm-dd")</f>
        <v/>
      </c>
    </row>
    <row r="81471">
      <c r="A81471" s="1" t="n">
        <v>81470</v>
      </c>
      <c r="B81471">
        <f>TEXT(81470, "[$-0E0000]yyyy-mm-dd")</f>
        <v/>
      </c>
    </row>
    <row r="81472">
      <c r="A81472" s="1" t="n">
        <v>81471</v>
      </c>
      <c r="B81472">
        <f>TEXT(81471, "[$-0E0000]yyyy-mm-dd")</f>
        <v/>
      </c>
    </row>
    <row r="81473">
      <c r="A81473" s="1" t="n">
        <v>81472</v>
      </c>
      <c r="B81473">
        <f>TEXT(81472, "[$-0E0000]yyyy-mm-dd")</f>
        <v/>
      </c>
    </row>
    <row r="81474">
      <c r="A81474" s="1" t="n">
        <v>81473</v>
      </c>
      <c r="B81474">
        <f>TEXT(81473, "[$-0E0000]yyyy-mm-dd")</f>
        <v/>
      </c>
    </row>
    <row r="81475">
      <c r="A81475" s="1" t="n">
        <v>81474</v>
      </c>
      <c r="B81475">
        <f>TEXT(81474, "[$-0E0000]yyyy-mm-dd")</f>
        <v/>
      </c>
    </row>
    <row r="81476">
      <c r="A81476" s="1" t="n">
        <v>81475</v>
      </c>
      <c r="B81476">
        <f>TEXT(81475, "[$-0E0000]yyyy-mm-dd")</f>
        <v/>
      </c>
    </row>
    <row r="81477">
      <c r="A81477" s="1" t="n">
        <v>81476</v>
      </c>
      <c r="B81477">
        <f>TEXT(81476, "[$-0E0000]yyyy-mm-dd")</f>
        <v/>
      </c>
    </row>
    <row r="81478">
      <c r="A81478" s="1" t="n">
        <v>81477</v>
      </c>
      <c r="B81478">
        <f>TEXT(81477, "[$-0E0000]yyyy-mm-dd")</f>
        <v/>
      </c>
    </row>
    <row r="81479">
      <c r="A81479" s="1" t="n">
        <v>81478</v>
      </c>
      <c r="B81479">
        <f>TEXT(81478, "[$-0E0000]yyyy-mm-dd")</f>
        <v/>
      </c>
    </row>
    <row r="81480">
      <c r="A81480" s="1" t="n">
        <v>81479</v>
      </c>
      <c r="B81480">
        <f>TEXT(81479, "[$-0E0000]yyyy-mm-dd")</f>
        <v/>
      </c>
    </row>
    <row r="81481">
      <c r="A81481" s="1" t="n">
        <v>81480</v>
      </c>
      <c r="B81481">
        <f>TEXT(81480, "[$-0E0000]yyyy-mm-dd")</f>
        <v/>
      </c>
    </row>
    <row r="81482">
      <c r="A81482" s="1" t="n">
        <v>81481</v>
      </c>
      <c r="B81482">
        <f>TEXT(81481, "[$-0E0000]yyyy-mm-dd")</f>
        <v/>
      </c>
    </row>
    <row r="81483">
      <c r="A81483" s="1" t="n">
        <v>81482</v>
      </c>
      <c r="B81483">
        <f>TEXT(81482, "[$-0E0000]yyyy-mm-dd")</f>
        <v/>
      </c>
    </row>
    <row r="81484">
      <c r="A81484" s="1" t="n">
        <v>81483</v>
      </c>
      <c r="B81484">
        <f>TEXT(81483, "[$-0E0000]yyyy-mm-dd")</f>
        <v/>
      </c>
    </row>
    <row r="81485">
      <c r="A81485" s="1" t="n">
        <v>81484</v>
      </c>
      <c r="B81485">
        <f>TEXT(81484, "[$-0E0000]yyyy-mm-dd")</f>
        <v/>
      </c>
    </row>
    <row r="81486">
      <c r="A81486" s="1" t="n">
        <v>81485</v>
      </c>
      <c r="B81486">
        <f>TEXT(81485, "[$-0E0000]yyyy-mm-dd")</f>
        <v/>
      </c>
    </row>
    <row r="81487">
      <c r="A81487" s="1" t="n">
        <v>81486</v>
      </c>
      <c r="B81487">
        <f>TEXT(81486, "[$-0E0000]yyyy-mm-dd")</f>
        <v/>
      </c>
    </row>
    <row r="81488">
      <c r="A81488" s="1" t="n">
        <v>81487</v>
      </c>
      <c r="B81488">
        <f>TEXT(81487, "[$-0E0000]yyyy-mm-dd")</f>
        <v/>
      </c>
    </row>
    <row r="81489">
      <c r="A81489" s="1" t="n">
        <v>81488</v>
      </c>
      <c r="B81489">
        <f>TEXT(81488, "[$-0E0000]yyyy-mm-dd")</f>
        <v/>
      </c>
    </row>
    <row r="81490">
      <c r="A81490" s="1" t="n">
        <v>81489</v>
      </c>
      <c r="B81490">
        <f>TEXT(81489, "[$-0E0000]yyyy-mm-dd")</f>
        <v/>
      </c>
    </row>
    <row r="81491">
      <c r="A81491" s="1" t="n">
        <v>81490</v>
      </c>
      <c r="B81491">
        <f>TEXT(81490, "[$-0E0000]yyyy-mm-dd")</f>
        <v/>
      </c>
    </row>
    <row r="81492">
      <c r="A81492" s="1" t="n">
        <v>81491</v>
      </c>
      <c r="B81492">
        <f>TEXT(81491, "[$-0E0000]yyyy-mm-dd")</f>
        <v/>
      </c>
    </row>
    <row r="81493">
      <c r="A81493" s="1" t="n">
        <v>81492</v>
      </c>
      <c r="B81493">
        <f>TEXT(81492, "[$-0E0000]yyyy-mm-dd")</f>
        <v/>
      </c>
    </row>
    <row r="81494">
      <c r="A81494" s="1" t="n">
        <v>81493</v>
      </c>
      <c r="B81494">
        <f>TEXT(81493, "[$-0E0000]yyyy-mm-dd")</f>
        <v/>
      </c>
    </row>
    <row r="81495">
      <c r="A81495" s="1" t="n">
        <v>81494</v>
      </c>
      <c r="B81495">
        <f>TEXT(81494, "[$-0E0000]yyyy-mm-dd")</f>
        <v/>
      </c>
    </row>
    <row r="81496">
      <c r="A81496" s="1" t="n">
        <v>81495</v>
      </c>
      <c r="B81496">
        <f>TEXT(81495, "[$-0E0000]yyyy-mm-dd")</f>
        <v/>
      </c>
    </row>
    <row r="81497">
      <c r="A81497" s="1" t="n">
        <v>81496</v>
      </c>
      <c r="B81497">
        <f>TEXT(81496, "[$-0E0000]yyyy-mm-dd")</f>
        <v/>
      </c>
    </row>
    <row r="81498">
      <c r="A81498" s="1" t="n">
        <v>81497</v>
      </c>
      <c r="B81498">
        <f>TEXT(81497, "[$-0E0000]yyyy-mm-dd")</f>
        <v/>
      </c>
    </row>
    <row r="81499">
      <c r="A81499" s="1" t="n">
        <v>81498</v>
      </c>
      <c r="B81499">
        <f>TEXT(81498, "[$-0E0000]yyyy-mm-dd")</f>
        <v/>
      </c>
    </row>
    <row r="81500">
      <c r="A81500" s="1" t="n">
        <v>81499</v>
      </c>
      <c r="B81500">
        <f>TEXT(81499, "[$-0E0000]yyyy-mm-dd")</f>
        <v/>
      </c>
    </row>
    <row r="81501">
      <c r="A81501" s="1" t="n">
        <v>81500</v>
      </c>
      <c r="B81501">
        <f>TEXT(81500, "[$-0E0000]yyyy-mm-dd")</f>
        <v/>
      </c>
    </row>
    <row r="81502">
      <c r="A81502" s="1" t="n">
        <v>81501</v>
      </c>
      <c r="B81502">
        <f>TEXT(81501, "[$-0E0000]yyyy-mm-dd")</f>
        <v/>
      </c>
    </row>
    <row r="81503">
      <c r="A81503" s="1" t="n">
        <v>81502</v>
      </c>
      <c r="B81503">
        <f>TEXT(81502, "[$-0E0000]yyyy-mm-dd")</f>
        <v/>
      </c>
    </row>
    <row r="81504">
      <c r="A81504" s="1" t="n">
        <v>81503</v>
      </c>
      <c r="B81504">
        <f>TEXT(81503, "[$-0E0000]yyyy-mm-dd")</f>
        <v/>
      </c>
    </row>
    <row r="81505">
      <c r="A81505" s="1" t="n">
        <v>81504</v>
      </c>
      <c r="B81505">
        <f>TEXT(81504, "[$-0E0000]yyyy-mm-dd")</f>
        <v/>
      </c>
    </row>
    <row r="81506">
      <c r="A81506" s="1" t="n">
        <v>81505</v>
      </c>
      <c r="B81506">
        <f>TEXT(81505, "[$-0E0000]yyyy-mm-dd")</f>
        <v/>
      </c>
    </row>
    <row r="81507">
      <c r="A81507" s="1" t="n">
        <v>81506</v>
      </c>
      <c r="B81507">
        <f>TEXT(81506, "[$-0E0000]yyyy-mm-dd")</f>
        <v/>
      </c>
    </row>
    <row r="81508">
      <c r="A81508" s="1" t="n">
        <v>81507</v>
      </c>
      <c r="B81508">
        <f>TEXT(81507, "[$-0E0000]yyyy-mm-dd")</f>
        <v/>
      </c>
    </row>
    <row r="81509">
      <c r="A81509" s="1" t="n">
        <v>81508</v>
      </c>
      <c r="B81509">
        <f>TEXT(81508, "[$-0E0000]yyyy-mm-dd")</f>
        <v/>
      </c>
    </row>
    <row r="81510">
      <c r="A81510" s="1" t="n">
        <v>81509</v>
      </c>
      <c r="B81510">
        <f>TEXT(81509, "[$-0E0000]yyyy-mm-dd")</f>
        <v/>
      </c>
    </row>
    <row r="81511">
      <c r="A81511" s="1" t="n">
        <v>81510</v>
      </c>
      <c r="B81511">
        <f>TEXT(81510, "[$-0E0000]yyyy-mm-dd")</f>
        <v/>
      </c>
    </row>
    <row r="81512">
      <c r="A81512" s="1" t="n">
        <v>81511</v>
      </c>
      <c r="B81512">
        <f>TEXT(81511, "[$-0E0000]yyyy-mm-dd")</f>
        <v/>
      </c>
    </row>
    <row r="81513">
      <c r="A81513" s="1" t="n">
        <v>81512</v>
      </c>
      <c r="B81513">
        <f>TEXT(81512, "[$-0E0000]yyyy-mm-dd")</f>
        <v/>
      </c>
    </row>
    <row r="81514">
      <c r="A81514" s="1" t="n">
        <v>81513</v>
      </c>
      <c r="B81514">
        <f>TEXT(81513, "[$-0E0000]yyyy-mm-dd")</f>
        <v/>
      </c>
    </row>
    <row r="81515">
      <c r="A81515" s="1" t="n">
        <v>81514</v>
      </c>
      <c r="B81515">
        <f>TEXT(81514, "[$-0E0000]yyyy-mm-dd")</f>
        <v/>
      </c>
    </row>
    <row r="81516">
      <c r="A81516" s="1" t="n">
        <v>81515</v>
      </c>
      <c r="B81516">
        <f>TEXT(81515, "[$-0E0000]yyyy-mm-dd")</f>
        <v/>
      </c>
    </row>
    <row r="81517">
      <c r="A81517" s="1" t="n">
        <v>81516</v>
      </c>
      <c r="B81517">
        <f>TEXT(81516, "[$-0E0000]yyyy-mm-dd")</f>
        <v/>
      </c>
    </row>
    <row r="81518">
      <c r="A81518" s="1" t="n">
        <v>81517</v>
      </c>
      <c r="B81518">
        <f>TEXT(81517, "[$-0E0000]yyyy-mm-dd")</f>
        <v/>
      </c>
    </row>
    <row r="81519">
      <c r="A81519" s="1" t="n">
        <v>81518</v>
      </c>
      <c r="B81519">
        <f>TEXT(81518, "[$-0E0000]yyyy-mm-dd")</f>
        <v/>
      </c>
    </row>
    <row r="81520">
      <c r="A81520" s="1" t="n">
        <v>81519</v>
      </c>
      <c r="B81520">
        <f>TEXT(81519, "[$-0E0000]yyyy-mm-dd")</f>
        <v/>
      </c>
    </row>
    <row r="81521">
      <c r="A81521" s="1" t="n">
        <v>81520</v>
      </c>
      <c r="B81521">
        <f>TEXT(81520, "[$-0E0000]yyyy-mm-dd")</f>
        <v/>
      </c>
    </row>
    <row r="81522">
      <c r="A81522" s="1" t="n">
        <v>81521</v>
      </c>
      <c r="B81522">
        <f>TEXT(81521, "[$-0E0000]yyyy-mm-dd")</f>
        <v/>
      </c>
    </row>
    <row r="81523">
      <c r="A81523" s="1" t="n">
        <v>81522</v>
      </c>
      <c r="B81523">
        <f>TEXT(81522, "[$-0E0000]yyyy-mm-dd")</f>
        <v/>
      </c>
    </row>
    <row r="81524">
      <c r="A81524" s="1" t="n">
        <v>81523</v>
      </c>
      <c r="B81524">
        <f>TEXT(81523, "[$-0E0000]yyyy-mm-dd")</f>
        <v/>
      </c>
    </row>
    <row r="81525">
      <c r="A81525" s="1" t="n">
        <v>81524</v>
      </c>
      <c r="B81525">
        <f>TEXT(81524, "[$-0E0000]yyyy-mm-dd")</f>
        <v/>
      </c>
    </row>
    <row r="81526">
      <c r="A81526" s="1" t="n">
        <v>81525</v>
      </c>
      <c r="B81526">
        <f>TEXT(81525, "[$-0E0000]yyyy-mm-dd")</f>
        <v/>
      </c>
    </row>
    <row r="81527">
      <c r="A81527" s="1" t="n">
        <v>81526</v>
      </c>
      <c r="B81527">
        <f>TEXT(81526, "[$-0E0000]yyyy-mm-dd")</f>
        <v/>
      </c>
    </row>
    <row r="81528">
      <c r="A81528" s="1" t="n">
        <v>81527</v>
      </c>
      <c r="B81528">
        <f>TEXT(81527, "[$-0E0000]yyyy-mm-dd")</f>
        <v/>
      </c>
    </row>
    <row r="81529">
      <c r="A81529" s="1" t="n">
        <v>81528</v>
      </c>
      <c r="B81529">
        <f>TEXT(81528, "[$-0E0000]yyyy-mm-dd")</f>
        <v/>
      </c>
    </row>
    <row r="81530">
      <c r="A81530" s="1" t="n">
        <v>81529</v>
      </c>
      <c r="B81530">
        <f>TEXT(81529, "[$-0E0000]yyyy-mm-dd")</f>
        <v/>
      </c>
    </row>
    <row r="81531">
      <c r="A81531" s="1" t="n">
        <v>81530</v>
      </c>
      <c r="B81531">
        <f>TEXT(81530, "[$-0E0000]yyyy-mm-dd")</f>
        <v/>
      </c>
    </row>
    <row r="81532">
      <c r="A81532" s="1" t="n">
        <v>81531</v>
      </c>
      <c r="B81532">
        <f>TEXT(81531, "[$-0E0000]yyyy-mm-dd")</f>
        <v/>
      </c>
    </row>
    <row r="81533">
      <c r="A81533" s="1" t="n">
        <v>81532</v>
      </c>
      <c r="B81533">
        <f>TEXT(81532, "[$-0E0000]yyyy-mm-dd")</f>
        <v/>
      </c>
    </row>
    <row r="81534">
      <c r="A81534" s="1" t="n">
        <v>81533</v>
      </c>
      <c r="B81534">
        <f>TEXT(81533, "[$-0E0000]yyyy-mm-dd")</f>
        <v/>
      </c>
    </row>
    <row r="81535">
      <c r="A81535" s="1" t="n">
        <v>81534</v>
      </c>
      <c r="B81535">
        <f>TEXT(81534, "[$-0E0000]yyyy-mm-dd")</f>
        <v/>
      </c>
    </row>
    <row r="81536">
      <c r="A81536" s="1" t="n">
        <v>81535</v>
      </c>
      <c r="B81536">
        <f>TEXT(81535, "[$-0E0000]yyyy-mm-dd")</f>
        <v/>
      </c>
    </row>
    <row r="81537">
      <c r="A81537" s="1" t="n">
        <v>81536</v>
      </c>
      <c r="B81537">
        <f>TEXT(81536, "[$-0E0000]yyyy-mm-dd")</f>
        <v/>
      </c>
    </row>
    <row r="81538">
      <c r="A81538" s="1" t="n">
        <v>81537</v>
      </c>
      <c r="B81538">
        <f>TEXT(81537, "[$-0E0000]yyyy-mm-dd")</f>
        <v/>
      </c>
    </row>
    <row r="81539">
      <c r="A81539" s="1" t="n">
        <v>81538</v>
      </c>
      <c r="B81539">
        <f>TEXT(81538, "[$-0E0000]yyyy-mm-dd")</f>
        <v/>
      </c>
    </row>
    <row r="81540">
      <c r="A81540" s="1" t="n">
        <v>81539</v>
      </c>
      <c r="B81540">
        <f>TEXT(81539, "[$-0E0000]yyyy-mm-dd")</f>
        <v/>
      </c>
    </row>
    <row r="81541">
      <c r="A81541" s="1" t="n">
        <v>81540</v>
      </c>
      <c r="B81541">
        <f>TEXT(81540, "[$-0E0000]yyyy-mm-dd")</f>
        <v/>
      </c>
    </row>
    <row r="81542">
      <c r="A81542" s="1" t="n">
        <v>81541</v>
      </c>
      <c r="B81542">
        <f>TEXT(81541, "[$-0E0000]yyyy-mm-dd")</f>
        <v/>
      </c>
    </row>
    <row r="81543">
      <c r="A81543" s="1" t="n">
        <v>81542</v>
      </c>
      <c r="B81543">
        <f>TEXT(81542, "[$-0E0000]yyyy-mm-dd")</f>
        <v/>
      </c>
    </row>
    <row r="81544">
      <c r="A81544" s="1" t="n">
        <v>81543</v>
      </c>
      <c r="B81544">
        <f>TEXT(81543, "[$-0E0000]yyyy-mm-dd")</f>
        <v/>
      </c>
    </row>
    <row r="81545">
      <c r="A81545" s="1" t="n">
        <v>81544</v>
      </c>
      <c r="B81545">
        <f>TEXT(81544, "[$-0E0000]yyyy-mm-dd")</f>
        <v/>
      </c>
    </row>
    <row r="81546">
      <c r="A81546" s="1" t="n">
        <v>81545</v>
      </c>
      <c r="B81546">
        <f>TEXT(81545, "[$-0E0000]yyyy-mm-dd")</f>
        <v/>
      </c>
    </row>
    <row r="81547">
      <c r="A81547" s="1" t="n">
        <v>81546</v>
      </c>
      <c r="B81547">
        <f>TEXT(81546, "[$-0E0000]yyyy-mm-dd")</f>
        <v/>
      </c>
    </row>
    <row r="81548">
      <c r="A81548" s="1" t="n">
        <v>81547</v>
      </c>
      <c r="B81548">
        <f>TEXT(81547, "[$-0E0000]yyyy-mm-dd")</f>
        <v/>
      </c>
    </row>
    <row r="81549">
      <c r="A81549" s="1" t="n">
        <v>81548</v>
      </c>
      <c r="B81549">
        <f>TEXT(81548, "[$-0E0000]yyyy-mm-dd")</f>
        <v/>
      </c>
    </row>
    <row r="81550">
      <c r="A81550" s="1" t="n">
        <v>81549</v>
      </c>
      <c r="B81550">
        <f>TEXT(81549, "[$-0E0000]yyyy-mm-dd")</f>
        <v/>
      </c>
    </row>
    <row r="81551">
      <c r="A81551" s="1" t="n">
        <v>81550</v>
      </c>
      <c r="B81551">
        <f>TEXT(81550, "[$-0E0000]yyyy-mm-dd")</f>
        <v/>
      </c>
    </row>
    <row r="81552">
      <c r="A81552" s="1" t="n">
        <v>81551</v>
      </c>
      <c r="B81552">
        <f>TEXT(81551, "[$-0E0000]yyyy-mm-dd")</f>
        <v/>
      </c>
    </row>
    <row r="81553">
      <c r="A81553" s="1" t="n">
        <v>81552</v>
      </c>
      <c r="B81553">
        <f>TEXT(81552, "[$-0E0000]yyyy-mm-dd")</f>
        <v/>
      </c>
    </row>
    <row r="81554">
      <c r="A81554" s="1" t="n">
        <v>81553</v>
      </c>
      <c r="B81554">
        <f>TEXT(81553, "[$-0E0000]yyyy-mm-dd")</f>
        <v/>
      </c>
    </row>
    <row r="81555">
      <c r="A81555" s="1" t="n">
        <v>81554</v>
      </c>
      <c r="B81555">
        <f>TEXT(81554, "[$-0E0000]yyyy-mm-dd")</f>
        <v/>
      </c>
    </row>
    <row r="81556">
      <c r="A81556" s="1" t="n">
        <v>81555</v>
      </c>
      <c r="B81556">
        <f>TEXT(81555, "[$-0E0000]yyyy-mm-dd")</f>
        <v/>
      </c>
    </row>
    <row r="81557">
      <c r="A81557" s="1" t="n">
        <v>81556</v>
      </c>
      <c r="B81557">
        <f>TEXT(81556, "[$-0E0000]yyyy-mm-dd")</f>
        <v/>
      </c>
    </row>
    <row r="81558">
      <c r="A81558" s="1" t="n">
        <v>81557</v>
      </c>
      <c r="B81558">
        <f>TEXT(81557, "[$-0E0000]yyyy-mm-dd")</f>
        <v/>
      </c>
    </row>
    <row r="81559">
      <c r="A81559" s="1" t="n">
        <v>81558</v>
      </c>
      <c r="B81559">
        <f>TEXT(81558, "[$-0E0000]yyyy-mm-dd")</f>
        <v/>
      </c>
    </row>
    <row r="81560">
      <c r="A81560" s="1" t="n">
        <v>81559</v>
      </c>
      <c r="B81560">
        <f>TEXT(81559, "[$-0E0000]yyyy-mm-dd")</f>
        <v/>
      </c>
    </row>
    <row r="81561">
      <c r="A81561" s="1" t="n">
        <v>81560</v>
      </c>
      <c r="B81561">
        <f>TEXT(81560, "[$-0E0000]yyyy-mm-dd")</f>
        <v/>
      </c>
    </row>
    <row r="81562">
      <c r="A81562" s="1" t="n">
        <v>81561</v>
      </c>
      <c r="B81562">
        <f>TEXT(81561, "[$-0E0000]yyyy-mm-dd")</f>
        <v/>
      </c>
    </row>
    <row r="81563">
      <c r="A81563" s="1" t="n">
        <v>81562</v>
      </c>
      <c r="B81563">
        <f>TEXT(81562, "[$-0E0000]yyyy-mm-dd")</f>
        <v/>
      </c>
    </row>
    <row r="81564">
      <c r="A81564" s="1" t="n">
        <v>81563</v>
      </c>
      <c r="B81564">
        <f>TEXT(81563, "[$-0E0000]yyyy-mm-dd")</f>
        <v/>
      </c>
    </row>
    <row r="81565">
      <c r="A81565" s="1" t="n">
        <v>81564</v>
      </c>
      <c r="B81565">
        <f>TEXT(81564, "[$-0E0000]yyyy-mm-dd")</f>
        <v/>
      </c>
    </row>
    <row r="81566">
      <c r="A81566" s="1" t="n">
        <v>81565</v>
      </c>
      <c r="B81566">
        <f>TEXT(81565, "[$-0E0000]yyyy-mm-dd")</f>
        <v/>
      </c>
    </row>
    <row r="81567">
      <c r="A81567" s="1" t="n">
        <v>81566</v>
      </c>
      <c r="B81567">
        <f>TEXT(81566, "[$-0E0000]yyyy-mm-dd")</f>
        <v/>
      </c>
    </row>
    <row r="81568">
      <c r="A81568" s="1" t="n">
        <v>81567</v>
      </c>
      <c r="B81568">
        <f>TEXT(81567, "[$-0E0000]yyyy-mm-dd")</f>
        <v/>
      </c>
    </row>
    <row r="81569">
      <c r="A81569" s="1" t="n">
        <v>81568</v>
      </c>
      <c r="B81569">
        <f>TEXT(81568, "[$-0E0000]yyyy-mm-dd")</f>
        <v/>
      </c>
    </row>
    <row r="81570">
      <c r="A81570" s="1" t="n">
        <v>81569</v>
      </c>
      <c r="B81570">
        <f>TEXT(81569, "[$-0E0000]yyyy-mm-dd")</f>
        <v/>
      </c>
    </row>
    <row r="81571">
      <c r="A81571" s="1" t="n">
        <v>81570</v>
      </c>
      <c r="B81571">
        <f>TEXT(81570, "[$-0E0000]yyyy-mm-dd")</f>
        <v/>
      </c>
    </row>
    <row r="81572">
      <c r="A81572" s="1" t="n">
        <v>81571</v>
      </c>
      <c r="B81572">
        <f>TEXT(81571, "[$-0E0000]yyyy-mm-dd")</f>
        <v/>
      </c>
    </row>
    <row r="81573">
      <c r="A81573" s="1" t="n">
        <v>81572</v>
      </c>
      <c r="B81573">
        <f>TEXT(81572, "[$-0E0000]yyyy-mm-dd")</f>
        <v/>
      </c>
    </row>
    <row r="81574">
      <c r="A81574" s="1" t="n">
        <v>81573</v>
      </c>
      <c r="B81574">
        <f>TEXT(81573, "[$-0E0000]yyyy-mm-dd")</f>
        <v/>
      </c>
    </row>
    <row r="81575">
      <c r="A81575" s="1" t="n">
        <v>81574</v>
      </c>
      <c r="B81575">
        <f>TEXT(81574, "[$-0E0000]yyyy-mm-dd")</f>
        <v/>
      </c>
    </row>
    <row r="81576">
      <c r="A81576" s="1" t="n">
        <v>81575</v>
      </c>
      <c r="B81576">
        <f>TEXT(81575, "[$-0E0000]yyyy-mm-dd")</f>
        <v/>
      </c>
    </row>
    <row r="81577">
      <c r="A81577" s="1" t="n">
        <v>81576</v>
      </c>
      <c r="B81577">
        <f>TEXT(81576, "[$-0E0000]yyyy-mm-dd")</f>
        <v/>
      </c>
    </row>
    <row r="81578">
      <c r="A81578" s="1" t="n">
        <v>81577</v>
      </c>
      <c r="B81578">
        <f>TEXT(81577, "[$-0E0000]yyyy-mm-dd")</f>
        <v/>
      </c>
    </row>
    <row r="81579">
      <c r="A81579" s="1" t="n">
        <v>81578</v>
      </c>
      <c r="B81579">
        <f>TEXT(81578, "[$-0E0000]yyyy-mm-dd")</f>
        <v/>
      </c>
    </row>
    <row r="81580">
      <c r="A81580" s="1" t="n">
        <v>81579</v>
      </c>
      <c r="B81580">
        <f>TEXT(81579, "[$-0E0000]yyyy-mm-dd")</f>
        <v/>
      </c>
    </row>
    <row r="81581">
      <c r="A81581" s="1" t="n">
        <v>81580</v>
      </c>
      <c r="B81581">
        <f>TEXT(81580, "[$-0E0000]yyyy-mm-dd")</f>
        <v/>
      </c>
    </row>
    <row r="81582">
      <c r="A81582" s="1" t="n">
        <v>81581</v>
      </c>
      <c r="B81582">
        <f>TEXT(81581, "[$-0E0000]yyyy-mm-dd")</f>
        <v/>
      </c>
    </row>
    <row r="81583">
      <c r="A81583" s="1" t="n">
        <v>81582</v>
      </c>
      <c r="B81583">
        <f>TEXT(81582, "[$-0E0000]yyyy-mm-dd")</f>
        <v/>
      </c>
    </row>
    <row r="81584">
      <c r="A81584" s="1" t="n">
        <v>81583</v>
      </c>
      <c r="B81584">
        <f>TEXT(81583, "[$-0E0000]yyyy-mm-dd")</f>
        <v/>
      </c>
    </row>
    <row r="81585">
      <c r="A81585" s="1" t="n">
        <v>81584</v>
      </c>
      <c r="B81585">
        <f>TEXT(81584, "[$-0E0000]yyyy-mm-dd")</f>
        <v/>
      </c>
    </row>
    <row r="81586">
      <c r="A81586" s="1" t="n">
        <v>81585</v>
      </c>
      <c r="B81586">
        <f>TEXT(81585, "[$-0E0000]yyyy-mm-dd")</f>
        <v/>
      </c>
    </row>
    <row r="81587">
      <c r="A81587" s="1" t="n">
        <v>81586</v>
      </c>
      <c r="B81587">
        <f>TEXT(81586, "[$-0E0000]yyyy-mm-dd")</f>
        <v/>
      </c>
    </row>
    <row r="81588">
      <c r="A81588" s="1" t="n">
        <v>81587</v>
      </c>
      <c r="B81588">
        <f>TEXT(81587, "[$-0E0000]yyyy-mm-dd")</f>
        <v/>
      </c>
    </row>
    <row r="81589">
      <c r="A81589" s="1" t="n">
        <v>81588</v>
      </c>
      <c r="B81589">
        <f>TEXT(81588, "[$-0E0000]yyyy-mm-dd")</f>
        <v/>
      </c>
    </row>
    <row r="81590">
      <c r="A81590" s="1" t="n">
        <v>81589</v>
      </c>
      <c r="B81590">
        <f>TEXT(81589, "[$-0E0000]yyyy-mm-dd")</f>
        <v/>
      </c>
    </row>
    <row r="81591">
      <c r="A81591" s="1" t="n">
        <v>81590</v>
      </c>
      <c r="B81591">
        <f>TEXT(81590, "[$-0E0000]yyyy-mm-dd")</f>
        <v/>
      </c>
    </row>
    <row r="81592">
      <c r="A81592" s="1" t="n">
        <v>81591</v>
      </c>
      <c r="B81592">
        <f>TEXT(81591, "[$-0E0000]yyyy-mm-dd")</f>
        <v/>
      </c>
    </row>
    <row r="81593">
      <c r="A81593" s="1" t="n">
        <v>81592</v>
      </c>
      <c r="B81593">
        <f>TEXT(81592, "[$-0E0000]yyyy-mm-dd")</f>
        <v/>
      </c>
    </row>
    <row r="81594">
      <c r="A81594" s="1" t="n">
        <v>81593</v>
      </c>
      <c r="B81594">
        <f>TEXT(81593, "[$-0E0000]yyyy-mm-dd")</f>
        <v/>
      </c>
    </row>
    <row r="81595">
      <c r="A81595" s="1" t="n">
        <v>81594</v>
      </c>
      <c r="B81595">
        <f>TEXT(81594, "[$-0E0000]yyyy-mm-dd")</f>
        <v/>
      </c>
    </row>
    <row r="81596">
      <c r="A81596" s="1" t="n">
        <v>81595</v>
      </c>
      <c r="B81596">
        <f>TEXT(81595, "[$-0E0000]yyyy-mm-dd")</f>
        <v/>
      </c>
    </row>
    <row r="81597">
      <c r="A81597" s="1" t="n">
        <v>81596</v>
      </c>
      <c r="B81597">
        <f>TEXT(81596, "[$-0E0000]yyyy-mm-dd")</f>
        <v/>
      </c>
    </row>
    <row r="81598">
      <c r="A81598" s="1" t="n">
        <v>81597</v>
      </c>
      <c r="B81598">
        <f>TEXT(81597, "[$-0E0000]yyyy-mm-dd")</f>
        <v/>
      </c>
    </row>
    <row r="81599">
      <c r="A81599" s="1" t="n">
        <v>81598</v>
      </c>
      <c r="B81599">
        <f>TEXT(81598, "[$-0E0000]yyyy-mm-dd")</f>
        <v/>
      </c>
    </row>
    <row r="81600">
      <c r="A81600" s="1" t="n">
        <v>81599</v>
      </c>
      <c r="B81600">
        <f>TEXT(81599, "[$-0E0000]yyyy-mm-dd")</f>
        <v/>
      </c>
    </row>
    <row r="81601">
      <c r="A81601" s="1" t="n">
        <v>81600</v>
      </c>
      <c r="B81601">
        <f>TEXT(81600, "[$-0E0000]yyyy-mm-dd")</f>
        <v/>
      </c>
    </row>
    <row r="81602">
      <c r="A81602" s="1" t="n">
        <v>81601</v>
      </c>
      <c r="B81602">
        <f>TEXT(81601, "[$-0E0000]yyyy-mm-dd")</f>
        <v/>
      </c>
    </row>
    <row r="81603">
      <c r="A81603" s="1" t="n">
        <v>81602</v>
      </c>
      <c r="B81603">
        <f>TEXT(81602, "[$-0E0000]yyyy-mm-dd")</f>
        <v/>
      </c>
    </row>
    <row r="81604">
      <c r="A81604" s="1" t="n">
        <v>81603</v>
      </c>
      <c r="B81604">
        <f>TEXT(81603, "[$-0E0000]yyyy-mm-dd")</f>
        <v/>
      </c>
    </row>
    <row r="81605">
      <c r="A81605" s="1" t="n">
        <v>81604</v>
      </c>
      <c r="B81605">
        <f>TEXT(81604, "[$-0E0000]yyyy-mm-dd")</f>
        <v/>
      </c>
    </row>
    <row r="81606">
      <c r="A81606" s="1" t="n">
        <v>81605</v>
      </c>
      <c r="B81606">
        <f>TEXT(81605, "[$-0E0000]yyyy-mm-dd")</f>
        <v/>
      </c>
    </row>
    <row r="81607">
      <c r="A81607" s="1" t="n">
        <v>81606</v>
      </c>
      <c r="B81607">
        <f>TEXT(81606, "[$-0E0000]yyyy-mm-dd")</f>
        <v/>
      </c>
    </row>
    <row r="81608">
      <c r="A81608" s="1" t="n">
        <v>81607</v>
      </c>
      <c r="B81608">
        <f>TEXT(81607, "[$-0E0000]yyyy-mm-dd")</f>
        <v/>
      </c>
    </row>
    <row r="81609">
      <c r="A81609" s="1" t="n">
        <v>81608</v>
      </c>
      <c r="B81609">
        <f>TEXT(81608, "[$-0E0000]yyyy-mm-dd")</f>
        <v/>
      </c>
    </row>
    <row r="81610">
      <c r="A81610" s="1" t="n">
        <v>81609</v>
      </c>
      <c r="B81610">
        <f>TEXT(81609, "[$-0E0000]yyyy-mm-dd")</f>
        <v/>
      </c>
    </row>
    <row r="81611">
      <c r="A81611" s="1" t="n">
        <v>81610</v>
      </c>
      <c r="B81611">
        <f>TEXT(81610, "[$-0E0000]yyyy-mm-dd")</f>
        <v/>
      </c>
    </row>
    <row r="81612">
      <c r="A81612" s="1" t="n">
        <v>81611</v>
      </c>
      <c r="B81612">
        <f>TEXT(81611, "[$-0E0000]yyyy-mm-dd")</f>
        <v/>
      </c>
    </row>
    <row r="81613">
      <c r="A81613" s="1" t="n">
        <v>81612</v>
      </c>
      <c r="B81613">
        <f>TEXT(81612, "[$-0E0000]yyyy-mm-dd")</f>
        <v/>
      </c>
    </row>
    <row r="81614">
      <c r="A81614" s="1" t="n">
        <v>81613</v>
      </c>
      <c r="B81614">
        <f>TEXT(81613, "[$-0E0000]yyyy-mm-dd")</f>
        <v/>
      </c>
    </row>
    <row r="81615">
      <c r="A81615" s="1" t="n">
        <v>81614</v>
      </c>
      <c r="B81615">
        <f>TEXT(81614, "[$-0E0000]yyyy-mm-dd")</f>
        <v/>
      </c>
    </row>
    <row r="81616">
      <c r="A81616" s="1" t="n">
        <v>81615</v>
      </c>
      <c r="B81616">
        <f>TEXT(81615, "[$-0E0000]yyyy-mm-dd")</f>
        <v/>
      </c>
    </row>
    <row r="81617">
      <c r="A81617" s="1" t="n">
        <v>81616</v>
      </c>
      <c r="B81617">
        <f>TEXT(81616, "[$-0E0000]yyyy-mm-dd")</f>
        <v/>
      </c>
    </row>
    <row r="81618">
      <c r="A81618" s="1" t="n">
        <v>81617</v>
      </c>
      <c r="B81618">
        <f>TEXT(81617, "[$-0E0000]yyyy-mm-dd")</f>
        <v/>
      </c>
    </row>
    <row r="81619">
      <c r="A81619" s="1" t="n">
        <v>81618</v>
      </c>
      <c r="B81619">
        <f>TEXT(81618, "[$-0E0000]yyyy-mm-dd")</f>
        <v/>
      </c>
    </row>
    <row r="81620">
      <c r="A81620" s="1" t="n">
        <v>81619</v>
      </c>
      <c r="B81620">
        <f>TEXT(81619, "[$-0E0000]yyyy-mm-dd")</f>
        <v/>
      </c>
    </row>
    <row r="81621">
      <c r="A81621" s="1" t="n">
        <v>81620</v>
      </c>
      <c r="B81621">
        <f>TEXT(81620, "[$-0E0000]yyyy-mm-dd")</f>
        <v/>
      </c>
    </row>
    <row r="81622">
      <c r="A81622" s="1" t="n">
        <v>81621</v>
      </c>
      <c r="B81622">
        <f>TEXT(81621, "[$-0E0000]yyyy-mm-dd")</f>
        <v/>
      </c>
    </row>
    <row r="81623">
      <c r="A81623" s="1" t="n">
        <v>81622</v>
      </c>
      <c r="B81623">
        <f>TEXT(81622, "[$-0E0000]yyyy-mm-dd")</f>
        <v/>
      </c>
    </row>
    <row r="81624">
      <c r="A81624" s="1" t="n">
        <v>81623</v>
      </c>
      <c r="B81624">
        <f>TEXT(81623, "[$-0E0000]yyyy-mm-dd")</f>
        <v/>
      </c>
    </row>
    <row r="81625">
      <c r="A81625" s="1" t="n">
        <v>81624</v>
      </c>
      <c r="B81625">
        <f>TEXT(81624, "[$-0E0000]yyyy-mm-dd")</f>
        <v/>
      </c>
    </row>
    <row r="81626">
      <c r="A81626" s="1" t="n">
        <v>81625</v>
      </c>
      <c r="B81626">
        <f>TEXT(81625, "[$-0E0000]yyyy-mm-dd")</f>
        <v/>
      </c>
    </row>
    <row r="81627">
      <c r="A81627" s="1" t="n">
        <v>81626</v>
      </c>
      <c r="B81627">
        <f>TEXT(81626, "[$-0E0000]yyyy-mm-dd")</f>
        <v/>
      </c>
    </row>
    <row r="81628">
      <c r="A81628" s="1" t="n">
        <v>81627</v>
      </c>
      <c r="B81628">
        <f>TEXT(81627, "[$-0E0000]yyyy-mm-dd")</f>
        <v/>
      </c>
    </row>
    <row r="81629">
      <c r="A81629" s="1" t="n">
        <v>81628</v>
      </c>
      <c r="B81629">
        <f>TEXT(81628, "[$-0E0000]yyyy-mm-dd")</f>
        <v/>
      </c>
    </row>
    <row r="81630">
      <c r="A81630" s="1" t="n">
        <v>81629</v>
      </c>
      <c r="B81630">
        <f>TEXT(81629, "[$-0E0000]yyyy-mm-dd")</f>
        <v/>
      </c>
    </row>
    <row r="81631">
      <c r="A81631" s="1" t="n">
        <v>81630</v>
      </c>
      <c r="B81631">
        <f>TEXT(81630, "[$-0E0000]yyyy-mm-dd")</f>
        <v/>
      </c>
    </row>
    <row r="81632">
      <c r="A81632" s="1" t="n">
        <v>81631</v>
      </c>
      <c r="B81632">
        <f>TEXT(81631, "[$-0E0000]yyyy-mm-dd")</f>
        <v/>
      </c>
    </row>
    <row r="81633">
      <c r="A81633" s="1" t="n">
        <v>81632</v>
      </c>
      <c r="B81633">
        <f>TEXT(81632, "[$-0E0000]yyyy-mm-dd")</f>
        <v/>
      </c>
    </row>
    <row r="81634">
      <c r="A81634" s="1" t="n">
        <v>81633</v>
      </c>
      <c r="B81634">
        <f>TEXT(81633, "[$-0E0000]yyyy-mm-dd")</f>
        <v/>
      </c>
    </row>
    <row r="81635">
      <c r="A81635" s="1" t="n">
        <v>81634</v>
      </c>
      <c r="B81635">
        <f>TEXT(81634, "[$-0E0000]yyyy-mm-dd")</f>
        <v/>
      </c>
    </row>
    <row r="81636">
      <c r="A81636" s="1" t="n">
        <v>81635</v>
      </c>
      <c r="B81636">
        <f>TEXT(81635, "[$-0E0000]yyyy-mm-dd")</f>
        <v/>
      </c>
    </row>
    <row r="81637">
      <c r="A81637" s="1" t="n">
        <v>81636</v>
      </c>
      <c r="B81637">
        <f>TEXT(81636, "[$-0E0000]yyyy-mm-dd")</f>
        <v/>
      </c>
    </row>
    <row r="81638">
      <c r="A81638" s="1" t="n">
        <v>81637</v>
      </c>
      <c r="B81638">
        <f>TEXT(81637, "[$-0E0000]yyyy-mm-dd")</f>
        <v/>
      </c>
    </row>
    <row r="81639">
      <c r="A81639" s="1" t="n">
        <v>81638</v>
      </c>
      <c r="B81639">
        <f>TEXT(81638, "[$-0E0000]yyyy-mm-dd")</f>
        <v/>
      </c>
    </row>
    <row r="81640">
      <c r="A81640" s="1" t="n">
        <v>81639</v>
      </c>
      <c r="B81640">
        <f>TEXT(81639, "[$-0E0000]yyyy-mm-dd")</f>
        <v/>
      </c>
    </row>
    <row r="81641">
      <c r="A81641" s="1" t="n">
        <v>81640</v>
      </c>
      <c r="B81641">
        <f>TEXT(81640, "[$-0E0000]yyyy-mm-dd")</f>
        <v/>
      </c>
    </row>
    <row r="81642">
      <c r="A81642" s="1" t="n">
        <v>81641</v>
      </c>
      <c r="B81642">
        <f>TEXT(81641, "[$-0E0000]yyyy-mm-dd")</f>
        <v/>
      </c>
    </row>
    <row r="81643">
      <c r="A81643" s="1" t="n">
        <v>81642</v>
      </c>
      <c r="B81643">
        <f>TEXT(81642, "[$-0E0000]yyyy-mm-dd")</f>
        <v/>
      </c>
    </row>
    <row r="81644">
      <c r="A81644" s="1" t="n">
        <v>81643</v>
      </c>
      <c r="B81644">
        <f>TEXT(81643, "[$-0E0000]yyyy-mm-dd")</f>
        <v/>
      </c>
    </row>
    <row r="81645">
      <c r="A81645" s="1" t="n">
        <v>81644</v>
      </c>
      <c r="B81645">
        <f>TEXT(81644, "[$-0E0000]yyyy-mm-dd")</f>
        <v/>
      </c>
    </row>
    <row r="81646">
      <c r="A81646" s="1" t="n">
        <v>81645</v>
      </c>
      <c r="B81646">
        <f>TEXT(81645, "[$-0E0000]yyyy-mm-dd")</f>
        <v/>
      </c>
    </row>
    <row r="81647">
      <c r="A81647" s="1" t="n">
        <v>81646</v>
      </c>
      <c r="B81647">
        <f>TEXT(81646, "[$-0E0000]yyyy-mm-dd")</f>
        <v/>
      </c>
    </row>
    <row r="81648">
      <c r="A81648" s="1" t="n">
        <v>81647</v>
      </c>
      <c r="B81648">
        <f>TEXT(81647, "[$-0E0000]yyyy-mm-dd")</f>
        <v/>
      </c>
    </row>
    <row r="81649">
      <c r="A81649" s="1" t="n">
        <v>81648</v>
      </c>
      <c r="B81649">
        <f>TEXT(81648, "[$-0E0000]yyyy-mm-dd")</f>
        <v/>
      </c>
    </row>
    <row r="81650">
      <c r="A81650" s="1" t="n">
        <v>81649</v>
      </c>
      <c r="B81650">
        <f>TEXT(81649, "[$-0E0000]yyyy-mm-dd")</f>
        <v/>
      </c>
    </row>
    <row r="81651">
      <c r="A81651" s="1" t="n">
        <v>81650</v>
      </c>
      <c r="B81651">
        <f>TEXT(81650, "[$-0E0000]yyyy-mm-dd")</f>
        <v/>
      </c>
    </row>
    <row r="81652">
      <c r="A81652" s="1" t="n">
        <v>81651</v>
      </c>
      <c r="B81652">
        <f>TEXT(81651, "[$-0E0000]yyyy-mm-dd")</f>
        <v/>
      </c>
    </row>
    <row r="81653">
      <c r="A81653" s="1" t="n">
        <v>81652</v>
      </c>
      <c r="B81653">
        <f>TEXT(81652, "[$-0E0000]yyyy-mm-dd")</f>
        <v/>
      </c>
    </row>
    <row r="81654">
      <c r="A81654" s="1" t="n">
        <v>81653</v>
      </c>
      <c r="B81654">
        <f>TEXT(81653, "[$-0E0000]yyyy-mm-dd")</f>
        <v/>
      </c>
    </row>
    <row r="81655">
      <c r="A81655" s="1" t="n">
        <v>81654</v>
      </c>
      <c r="B81655">
        <f>TEXT(81654, "[$-0E0000]yyyy-mm-dd")</f>
        <v/>
      </c>
    </row>
    <row r="81656">
      <c r="A81656" s="1" t="n">
        <v>81655</v>
      </c>
      <c r="B81656">
        <f>TEXT(81655, "[$-0E0000]yyyy-mm-dd")</f>
        <v/>
      </c>
    </row>
    <row r="81657">
      <c r="A81657" s="1" t="n">
        <v>81656</v>
      </c>
      <c r="B81657">
        <f>TEXT(81656, "[$-0E0000]yyyy-mm-dd")</f>
        <v/>
      </c>
    </row>
    <row r="81658">
      <c r="A81658" s="1" t="n">
        <v>81657</v>
      </c>
      <c r="B81658">
        <f>TEXT(81657, "[$-0E0000]yyyy-mm-dd")</f>
        <v/>
      </c>
    </row>
    <row r="81659">
      <c r="A81659" s="1" t="n">
        <v>81658</v>
      </c>
      <c r="B81659">
        <f>TEXT(81658, "[$-0E0000]yyyy-mm-dd")</f>
        <v/>
      </c>
    </row>
    <row r="81660">
      <c r="A81660" s="1" t="n">
        <v>81659</v>
      </c>
      <c r="B81660">
        <f>TEXT(81659, "[$-0E0000]yyyy-mm-dd")</f>
        <v/>
      </c>
    </row>
    <row r="81661">
      <c r="A81661" s="1" t="n">
        <v>81660</v>
      </c>
      <c r="B81661">
        <f>TEXT(81660, "[$-0E0000]yyyy-mm-dd")</f>
        <v/>
      </c>
    </row>
    <row r="81662">
      <c r="A81662" s="1" t="n">
        <v>81661</v>
      </c>
      <c r="B81662">
        <f>TEXT(81661, "[$-0E0000]yyyy-mm-dd")</f>
        <v/>
      </c>
    </row>
    <row r="81663">
      <c r="A81663" s="1" t="n">
        <v>81662</v>
      </c>
      <c r="B81663">
        <f>TEXT(81662, "[$-0E0000]yyyy-mm-dd")</f>
        <v/>
      </c>
    </row>
    <row r="81664">
      <c r="A81664" s="1" t="n">
        <v>81663</v>
      </c>
      <c r="B81664">
        <f>TEXT(81663, "[$-0E0000]yyyy-mm-dd")</f>
        <v/>
      </c>
    </row>
    <row r="81665">
      <c r="A81665" s="1" t="n">
        <v>81664</v>
      </c>
      <c r="B81665">
        <f>TEXT(81664, "[$-0E0000]yyyy-mm-dd")</f>
        <v/>
      </c>
    </row>
    <row r="81666">
      <c r="A81666" s="1" t="n">
        <v>81665</v>
      </c>
      <c r="B81666">
        <f>TEXT(81665, "[$-0E0000]yyyy-mm-dd")</f>
        <v/>
      </c>
    </row>
    <row r="81667">
      <c r="A81667" s="1" t="n">
        <v>81666</v>
      </c>
      <c r="B81667">
        <f>TEXT(81666, "[$-0E0000]yyyy-mm-dd")</f>
        <v/>
      </c>
    </row>
    <row r="81668">
      <c r="A81668" s="1" t="n">
        <v>81667</v>
      </c>
      <c r="B81668">
        <f>TEXT(81667, "[$-0E0000]yyyy-mm-dd")</f>
        <v/>
      </c>
    </row>
    <row r="81669">
      <c r="A81669" s="1" t="n">
        <v>81668</v>
      </c>
      <c r="B81669">
        <f>TEXT(81668, "[$-0E0000]yyyy-mm-dd")</f>
        <v/>
      </c>
    </row>
    <row r="81670">
      <c r="A81670" s="1" t="n">
        <v>81669</v>
      </c>
      <c r="B81670">
        <f>TEXT(81669, "[$-0E0000]yyyy-mm-dd")</f>
        <v/>
      </c>
    </row>
    <row r="81671">
      <c r="A81671" s="1" t="n">
        <v>81670</v>
      </c>
      <c r="B81671">
        <f>TEXT(81670, "[$-0E0000]yyyy-mm-dd")</f>
        <v/>
      </c>
    </row>
    <row r="81672">
      <c r="A81672" s="1" t="n">
        <v>81671</v>
      </c>
      <c r="B81672">
        <f>TEXT(81671, "[$-0E0000]yyyy-mm-dd")</f>
        <v/>
      </c>
    </row>
    <row r="81673">
      <c r="A81673" s="1" t="n">
        <v>81672</v>
      </c>
      <c r="B81673">
        <f>TEXT(81672, "[$-0E0000]yyyy-mm-dd")</f>
        <v/>
      </c>
    </row>
    <row r="81674">
      <c r="A81674" s="1" t="n">
        <v>81673</v>
      </c>
      <c r="B81674">
        <f>TEXT(81673, "[$-0E0000]yyyy-mm-dd")</f>
        <v/>
      </c>
    </row>
    <row r="81675">
      <c r="A81675" s="1" t="n">
        <v>81674</v>
      </c>
      <c r="B81675">
        <f>TEXT(81674, "[$-0E0000]yyyy-mm-dd")</f>
        <v/>
      </c>
    </row>
    <row r="81676">
      <c r="A81676" s="1" t="n">
        <v>81675</v>
      </c>
      <c r="B81676">
        <f>TEXT(81675, "[$-0E0000]yyyy-mm-dd")</f>
        <v/>
      </c>
    </row>
    <row r="81677">
      <c r="A81677" s="1" t="n">
        <v>81676</v>
      </c>
      <c r="B81677">
        <f>TEXT(81676, "[$-0E0000]yyyy-mm-dd")</f>
        <v/>
      </c>
    </row>
    <row r="81678">
      <c r="A81678" s="1" t="n">
        <v>81677</v>
      </c>
      <c r="B81678">
        <f>TEXT(81677, "[$-0E0000]yyyy-mm-dd")</f>
        <v/>
      </c>
    </row>
    <row r="81679">
      <c r="A81679" s="1" t="n">
        <v>81678</v>
      </c>
      <c r="B81679">
        <f>TEXT(81678, "[$-0E0000]yyyy-mm-dd")</f>
        <v/>
      </c>
    </row>
    <row r="81680">
      <c r="A81680" s="1" t="n">
        <v>81679</v>
      </c>
      <c r="B81680">
        <f>TEXT(81679, "[$-0E0000]yyyy-mm-dd")</f>
        <v/>
      </c>
    </row>
    <row r="81681">
      <c r="A81681" s="1" t="n">
        <v>81680</v>
      </c>
      <c r="B81681">
        <f>TEXT(81680, "[$-0E0000]yyyy-mm-dd")</f>
        <v/>
      </c>
    </row>
    <row r="81682">
      <c r="A81682" s="1" t="n">
        <v>81681</v>
      </c>
      <c r="B81682">
        <f>TEXT(81681, "[$-0E0000]yyyy-mm-dd")</f>
        <v/>
      </c>
    </row>
    <row r="81683">
      <c r="A81683" s="1" t="n">
        <v>81682</v>
      </c>
      <c r="B81683">
        <f>TEXT(81682, "[$-0E0000]yyyy-mm-dd")</f>
        <v/>
      </c>
    </row>
    <row r="81684">
      <c r="A81684" s="1" t="n">
        <v>81683</v>
      </c>
      <c r="B81684">
        <f>TEXT(81683, "[$-0E0000]yyyy-mm-dd")</f>
        <v/>
      </c>
    </row>
    <row r="81685">
      <c r="A81685" s="1" t="n">
        <v>81684</v>
      </c>
      <c r="B81685">
        <f>TEXT(81684, "[$-0E0000]yyyy-mm-dd")</f>
        <v/>
      </c>
    </row>
    <row r="81686">
      <c r="A81686" s="1" t="n">
        <v>81685</v>
      </c>
      <c r="B81686">
        <f>TEXT(81685, "[$-0E0000]yyyy-mm-dd")</f>
        <v/>
      </c>
    </row>
    <row r="81687">
      <c r="A81687" s="1" t="n">
        <v>81686</v>
      </c>
      <c r="B81687">
        <f>TEXT(81686, "[$-0E0000]yyyy-mm-dd")</f>
        <v/>
      </c>
    </row>
    <row r="81688">
      <c r="A81688" s="1" t="n">
        <v>81687</v>
      </c>
      <c r="B81688">
        <f>TEXT(81687, "[$-0E0000]yyyy-mm-dd")</f>
        <v/>
      </c>
    </row>
    <row r="81689">
      <c r="A81689" s="1" t="n">
        <v>81688</v>
      </c>
      <c r="B81689">
        <f>TEXT(81688, "[$-0E0000]yyyy-mm-dd")</f>
        <v/>
      </c>
    </row>
    <row r="81690">
      <c r="A81690" s="1" t="n">
        <v>81689</v>
      </c>
      <c r="B81690">
        <f>TEXT(81689, "[$-0E0000]yyyy-mm-dd")</f>
        <v/>
      </c>
    </row>
    <row r="81691">
      <c r="A81691" s="1" t="n">
        <v>81690</v>
      </c>
      <c r="B81691">
        <f>TEXT(81690, "[$-0E0000]yyyy-mm-dd")</f>
        <v/>
      </c>
    </row>
    <row r="81692">
      <c r="A81692" s="1" t="n">
        <v>81691</v>
      </c>
      <c r="B81692">
        <f>TEXT(81691, "[$-0E0000]yyyy-mm-dd")</f>
        <v/>
      </c>
    </row>
    <row r="81693">
      <c r="A81693" s="1" t="n">
        <v>81692</v>
      </c>
      <c r="B81693">
        <f>TEXT(81692, "[$-0E0000]yyyy-mm-dd")</f>
        <v/>
      </c>
    </row>
    <row r="81694">
      <c r="A81694" s="1" t="n">
        <v>81693</v>
      </c>
      <c r="B81694">
        <f>TEXT(81693, "[$-0E0000]yyyy-mm-dd")</f>
        <v/>
      </c>
    </row>
    <row r="81695">
      <c r="A81695" s="1" t="n">
        <v>81694</v>
      </c>
      <c r="B81695">
        <f>TEXT(81694, "[$-0E0000]yyyy-mm-dd")</f>
        <v/>
      </c>
    </row>
    <row r="81696">
      <c r="A81696" s="1" t="n">
        <v>81695</v>
      </c>
      <c r="B81696">
        <f>TEXT(81695, "[$-0E0000]yyyy-mm-dd")</f>
        <v/>
      </c>
    </row>
    <row r="81697">
      <c r="A81697" s="1" t="n">
        <v>81696</v>
      </c>
      <c r="B81697">
        <f>TEXT(81696, "[$-0E0000]yyyy-mm-dd")</f>
        <v/>
      </c>
    </row>
    <row r="81698">
      <c r="A81698" s="1" t="n">
        <v>81697</v>
      </c>
      <c r="B81698">
        <f>TEXT(81697, "[$-0E0000]yyyy-mm-dd")</f>
        <v/>
      </c>
    </row>
    <row r="81699">
      <c r="A81699" s="1" t="n">
        <v>81698</v>
      </c>
      <c r="B81699">
        <f>TEXT(81698, "[$-0E0000]yyyy-mm-dd")</f>
        <v/>
      </c>
    </row>
    <row r="81700">
      <c r="A81700" s="1" t="n">
        <v>81699</v>
      </c>
      <c r="B81700">
        <f>TEXT(81699, "[$-0E0000]yyyy-mm-dd")</f>
        <v/>
      </c>
    </row>
    <row r="81701">
      <c r="A81701" s="1" t="n">
        <v>81700</v>
      </c>
      <c r="B81701">
        <f>TEXT(81700, "[$-0E0000]yyyy-mm-dd")</f>
        <v/>
      </c>
    </row>
    <row r="81702">
      <c r="A81702" s="1" t="n">
        <v>81701</v>
      </c>
      <c r="B81702">
        <f>TEXT(81701, "[$-0E0000]yyyy-mm-dd")</f>
        <v/>
      </c>
    </row>
    <row r="81703">
      <c r="A81703" s="1" t="n">
        <v>81702</v>
      </c>
      <c r="B81703">
        <f>TEXT(81702, "[$-0E0000]yyyy-mm-dd")</f>
        <v/>
      </c>
    </row>
    <row r="81704">
      <c r="A81704" s="1" t="n">
        <v>81703</v>
      </c>
      <c r="B81704">
        <f>TEXT(81703, "[$-0E0000]yyyy-mm-dd")</f>
        <v/>
      </c>
    </row>
    <row r="81705">
      <c r="A81705" s="1" t="n">
        <v>81704</v>
      </c>
      <c r="B81705">
        <f>TEXT(81704, "[$-0E0000]yyyy-mm-dd")</f>
        <v/>
      </c>
    </row>
    <row r="81706">
      <c r="A81706" s="1" t="n">
        <v>81705</v>
      </c>
      <c r="B81706">
        <f>TEXT(81705, "[$-0E0000]yyyy-mm-dd")</f>
        <v/>
      </c>
    </row>
    <row r="81707">
      <c r="A81707" s="1" t="n">
        <v>81706</v>
      </c>
      <c r="B81707">
        <f>TEXT(81706, "[$-0E0000]yyyy-mm-dd")</f>
        <v/>
      </c>
    </row>
    <row r="81708">
      <c r="A81708" s="1" t="n">
        <v>81707</v>
      </c>
      <c r="B81708">
        <f>TEXT(81707, "[$-0E0000]yyyy-mm-dd")</f>
        <v/>
      </c>
    </row>
    <row r="81709">
      <c r="A81709" s="1" t="n">
        <v>81708</v>
      </c>
      <c r="B81709">
        <f>TEXT(81708, "[$-0E0000]yyyy-mm-dd")</f>
        <v/>
      </c>
    </row>
    <row r="81710">
      <c r="A81710" s="1" t="n">
        <v>81709</v>
      </c>
      <c r="B81710">
        <f>TEXT(81709, "[$-0E0000]yyyy-mm-dd")</f>
        <v/>
      </c>
    </row>
    <row r="81711">
      <c r="A81711" s="1" t="n">
        <v>81710</v>
      </c>
      <c r="B81711">
        <f>TEXT(81710, "[$-0E0000]yyyy-mm-dd")</f>
        <v/>
      </c>
    </row>
    <row r="81712">
      <c r="A81712" s="1" t="n">
        <v>81711</v>
      </c>
      <c r="B81712">
        <f>TEXT(81711, "[$-0E0000]yyyy-mm-dd")</f>
        <v/>
      </c>
    </row>
    <row r="81713">
      <c r="A81713" s="1" t="n">
        <v>81712</v>
      </c>
      <c r="B81713">
        <f>TEXT(81712, "[$-0E0000]yyyy-mm-dd")</f>
        <v/>
      </c>
    </row>
    <row r="81714">
      <c r="A81714" s="1" t="n">
        <v>81713</v>
      </c>
      <c r="B81714">
        <f>TEXT(81713, "[$-0E0000]yyyy-mm-dd")</f>
        <v/>
      </c>
    </row>
    <row r="81715">
      <c r="A81715" s="1" t="n">
        <v>81714</v>
      </c>
      <c r="B81715">
        <f>TEXT(81714, "[$-0E0000]yyyy-mm-dd")</f>
        <v/>
      </c>
    </row>
    <row r="81716">
      <c r="A81716" s="1" t="n">
        <v>81715</v>
      </c>
      <c r="B81716">
        <f>TEXT(81715, "[$-0E0000]yyyy-mm-dd")</f>
        <v/>
      </c>
    </row>
    <row r="81717">
      <c r="A81717" s="1" t="n">
        <v>81716</v>
      </c>
      <c r="B81717">
        <f>TEXT(81716, "[$-0E0000]yyyy-mm-dd")</f>
        <v/>
      </c>
    </row>
    <row r="81718">
      <c r="A81718" s="1" t="n">
        <v>81717</v>
      </c>
      <c r="B81718">
        <f>TEXT(81717, "[$-0E0000]yyyy-mm-dd")</f>
        <v/>
      </c>
    </row>
    <row r="81719">
      <c r="A81719" s="1" t="n">
        <v>81718</v>
      </c>
      <c r="B81719">
        <f>TEXT(81718, "[$-0E0000]yyyy-mm-dd")</f>
        <v/>
      </c>
    </row>
    <row r="81720">
      <c r="A81720" s="1" t="n">
        <v>81719</v>
      </c>
      <c r="B81720">
        <f>TEXT(81719, "[$-0E0000]yyyy-mm-dd")</f>
        <v/>
      </c>
    </row>
    <row r="81721">
      <c r="A81721" s="1" t="n">
        <v>81720</v>
      </c>
      <c r="B81721">
        <f>TEXT(81720, "[$-0E0000]yyyy-mm-dd")</f>
        <v/>
      </c>
    </row>
    <row r="81722">
      <c r="A81722" s="1" t="n">
        <v>81721</v>
      </c>
      <c r="B81722">
        <f>TEXT(81721, "[$-0E0000]yyyy-mm-dd")</f>
        <v/>
      </c>
    </row>
    <row r="81723">
      <c r="A81723" s="1" t="n">
        <v>81722</v>
      </c>
      <c r="B81723">
        <f>TEXT(81722, "[$-0E0000]yyyy-mm-dd")</f>
        <v/>
      </c>
    </row>
    <row r="81724">
      <c r="A81724" s="1" t="n">
        <v>81723</v>
      </c>
      <c r="B81724">
        <f>TEXT(81723, "[$-0E0000]yyyy-mm-dd")</f>
        <v/>
      </c>
    </row>
    <row r="81725">
      <c r="A81725" s="1" t="n">
        <v>81724</v>
      </c>
      <c r="B81725">
        <f>TEXT(81724, "[$-0E0000]yyyy-mm-dd")</f>
        <v/>
      </c>
    </row>
    <row r="81726">
      <c r="A81726" s="1" t="n">
        <v>81725</v>
      </c>
      <c r="B81726">
        <f>TEXT(81725, "[$-0E0000]yyyy-mm-dd")</f>
        <v/>
      </c>
    </row>
    <row r="81727">
      <c r="A81727" s="1" t="n">
        <v>81726</v>
      </c>
      <c r="B81727">
        <f>TEXT(81726, "[$-0E0000]yyyy-mm-dd")</f>
        <v/>
      </c>
    </row>
    <row r="81728">
      <c r="A81728" s="1" t="n">
        <v>81727</v>
      </c>
      <c r="B81728">
        <f>TEXT(81727, "[$-0E0000]yyyy-mm-dd")</f>
        <v/>
      </c>
    </row>
    <row r="81729">
      <c r="A81729" s="1" t="n">
        <v>81728</v>
      </c>
      <c r="B81729">
        <f>TEXT(81728, "[$-0E0000]yyyy-mm-dd")</f>
        <v/>
      </c>
    </row>
    <row r="81730">
      <c r="A81730" s="1" t="n">
        <v>81729</v>
      </c>
      <c r="B81730">
        <f>TEXT(81729, "[$-0E0000]yyyy-mm-dd")</f>
        <v/>
      </c>
    </row>
    <row r="81731">
      <c r="A81731" s="1" t="n">
        <v>81730</v>
      </c>
      <c r="B81731">
        <f>TEXT(81730, "[$-0E0000]yyyy-mm-dd")</f>
        <v/>
      </c>
    </row>
    <row r="81732">
      <c r="A81732" s="1" t="n">
        <v>81731</v>
      </c>
      <c r="B81732">
        <f>TEXT(81731, "[$-0E0000]yyyy-mm-dd")</f>
        <v/>
      </c>
    </row>
    <row r="81733">
      <c r="A81733" s="1" t="n">
        <v>81732</v>
      </c>
      <c r="B81733">
        <f>TEXT(81732, "[$-0E0000]yyyy-mm-dd")</f>
        <v/>
      </c>
    </row>
    <row r="81734">
      <c r="A81734" s="1" t="n">
        <v>81733</v>
      </c>
      <c r="B81734">
        <f>TEXT(81733, "[$-0E0000]yyyy-mm-dd")</f>
        <v/>
      </c>
    </row>
    <row r="81735">
      <c r="A81735" s="1" t="n">
        <v>81734</v>
      </c>
      <c r="B81735">
        <f>TEXT(81734, "[$-0E0000]yyyy-mm-dd")</f>
        <v/>
      </c>
    </row>
    <row r="81736">
      <c r="A81736" s="1" t="n">
        <v>81735</v>
      </c>
      <c r="B81736">
        <f>TEXT(81735, "[$-0E0000]yyyy-mm-dd")</f>
        <v/>
      </c>
    </row>
    <row r="81737">
      <c r="A81737" s="1" t="n">
        <v>81736</v>
      </c>
      <c r="B81737">
        <f>TEXT(81736, "[$-0E0000]yyyy-mm-dd")</f>
        <v/>
      </c>
    </row>
    <row r="81738">
      <c r="A81738" s="1" t="n">
        <v>81737</v>
      </c>
      <c r="B81738">
        <f>TEXT(81737, "[$-0E0000]yyyy-mm-dd")</f>
        <v/>
      </c>
    </row>
    <row r="81739">
      <c r="A81739" s="1" t="n">
        <v>81738</v>
      </c>
      <c r="B81739">
        <f>TEXT(81738, "[$-0E0000]yyyy-mm-dd")</f>
        <v/>
      </c>
    </row>
    <row r="81740">
      <c r="A81740" s="1" t="n">
        <v>81739</v>
      </c>
      <c r="B81740">
        <f>TEXT(81739, "[$-0E0000]yyyy-mm-dd")</f>
        <v/>
      </c>
    </row>
    <row r="81741">
      <c r="A81741" s="1" t="n">
        <v>81740</v>
      </c>
      <c r="B81741">
        <f>TEXT(81740, "[$-0E0000]yyyy-mm-dd")</f>
        <v/>
      </c>
    </row>
    <row r="81742">
      <c r="A81742" s="1" t="n">
        <v>81741</v>
      </c>
      <c r="B81742">
        <f>TEXT(81741, "[$-0E0000]yyyy-mm-dd")</f>
        <v/>
      </c>
    </row>
    <row r="81743">
      <c r="A81743" s="1" t="n">
        <v>81742</v>
      </c>
      <c r="B81743">
        <f>TEXT(81742, "[$-0E0000]yyyy-mm-dd")</f>
        <v/>
      </c>
    </row>
    <row r="81744">
      <c r="A81744" s="1" t="n">
        <v>81743</v>
      </c>
      <c r="B81744">
        <f>TEXT(81743, "[$-0E0000]yyyy-mm-dd")</f>
        <v/>
      </c>
    </row>
    <row r="81745">
      <c r="A81745" s="1" t="n">
        <v>81744</v>
      </c>
      <c r="B81745">
        <f>TEXT(81744, "[$-0E0000]yyyy-mm-dd")</f>
        <v/>
      </c>
    </row>
    <row r="81746">
      <c r="A81746" s="1" t="n">
        <v>81745</v>
      </c>
      <c r="B81746">
        <f>TEXT(81745, "[$-0E0000]yyyy-mm-dd")</f>
        <v/>
      </c>
    </row>
    <row r="81747">
      <c r="A81747" s="1" t="n">
        <v>81746</v>
      </c>
      <c r="B81747">
        <f>TEXT(81746, "[$-0E0000]yyyy-mm-dd")</f>
        <v/>
      </c>
    </row>
    <row r="81748">
      <c r="A81748" s="1" t="n">
        <v>81747</v>
      </c>
      <c r="B81748">
        <f>TEXT(81747, "[$-0E0000]yyyy-mm-dd")</f>
        <v/>
      </c>
    </row>
    <row r="81749">
      <c r="A81749" s="1" t="n">
        <v>81748</v>
      </c>
      <c r="B81749">
        <f>TEXT(81748, "[$-0E0000]yyyy-mm-dd")</f>
        <v/>
      </c>
    </row>
    <row r="81750">
      <c r="A81750" s="1" t="n">
        <v>81749</v>
      </c>
      <c r="B81750">
        <f>TEXT(81749, "[$-0E0000]yyyy-mm-dd")</f>
        <v/>
      </c>
    </row>
    <row r="81751">
      <c r="A81751" s="1" t="n">
        <v>81750</v>
      </c>
      <c r="B81751">
        <f>TEXT(81750, "[$-0E0000]yyyy-mm-dd")</f>
        <v/>
      </c>
    </row>
    <row r="81752">
      <c r="A81752" s="1" t="n">
        <v>81751</v>
      </c>
      <c r="B81752">
        <f>TEXT(81751, "[$-0E0000]yyyy-mm-dd")</f>
        <v/>
      </c>
    </row>
    <row r="81753">
      <c r="A81753" s="1" t="n">
        <v>81752</v>
      </c>
      <c r="B81753">
        <f>TEXT(81752, "[$-0E0000]yyyy-mm-dd")</f>
        <v/>
      </c>
    </row>
    <row r="81754">
      <c r="A81754" s="1" t="n">
        <v>81753</v>
      </c>
      <c r="B81754">
        <f>TEXT(81753, "[$-0E0000]yyyy-mm-dd")</f>
        <v/>
      </c>
    </row>
    <row r="81755">
      <c r="A81755" s="1" t="n">
        <v>81754</v>
      </c>
      <c r="B81755">
        <f>TEXT(81754, "[$-0E0000]yyyy-mm-dd")</f>
        <v/>
      </c>
    </row>
    <row r="81756">
      <c r="A81756" s="1" t="n">
        <v>81755</v>
      </c>
      <c r="B81756">
        <f>TEXT(81755, "[$-0E0000]yyyy-mm-dd")</f>
        <v/>
      </c>
    </row>
    <row r="81757">
      <c r="A81757" s="1" t="n">
        <v>81756</v>
      </c>
      <c r="B81757">
        <f>TEXT(81756, "[$-0E0000]yyyy-mm-dd")</f>
        <v/>
      </c>
    </row>
    <row r="81758">
      <c r="A81758" s="1" t="n">
        <v>81757</v>
      </c>
      <c r="B81758">
        <f>TEXT(81757, "[$-0E0000]yyyy-mm-dd")</f>
        <v/>
      </c>
    </row>
    <row r="81759">
      <c r="A81759" s="1" t="n">
        <v>81758</v>
      </c>
      <c r="B81759">
        <f>TEXT(81758, "[$-0E0000]yyyy-mm-dd")</f>
        <v/>
      </c>
    </row>
    <row r="81760">
      <c r="A81760" s="1" t="n">
        <v>81759</v>
      </c>
      <c r="B81760">
        <f>TEXT(81759, "[$-0E0000]yyyy-mm-dd")</f>
        <v/>
      </c>
    </row>
    <row r="81761">
      <c r="A81761" s="1" t="n">
        <v>81760</v>
      </c>
      <c r="B81761">
        <f>TEXT(81760, "[$-0E0000]yyyy-mm-dd")</f>
        <v/>
      </c>
    </row>
    <row r="81762">
      <c r="A81762" s="1" t="n">
        <v>81761</v>
      </c>
      <c r="B81762">
        <f>TEXT(81761, "[$-0E0000]yyyy-mm-dd")</f>
        <v/>
      </c>
    </row>
    <row r="81763">
      <c r="A81763" s="1" t="n">
        <v>81762</v>
      </c>
      <c r="B81763">
        <f>TEXT(81762, "[$-0E0000]yyyy-mm-dd")</f>
        <v/>
      </c>
    </row>
    <row r="81764">
      <c r="A81764" s="1" t="n">
        <v>81763</v>
      </c>
      <c r="B81764">
        <f>TEXT(81763, "[$-0E0000]yyyy-mm-dd")</f>
        <v/>
      </c>
    </row>
    <row r="81765">
      <c r="A81765" s="1" t="n">
        <v>81764</v>
      </c>
      <c r="B81765">
        <f>TEXT(81764, "[$-0E0000]yyyy-mm-dd")</f>
        <v/>
      </c>
    </row>
    <row r="81766">
      <c r="A81766" s="1" t="n">
        <v>81765</v>
      </c>
      <c r="B81766">
        <f>TEXT(81765, "[$-0E0000]yyyy-mm-dd")</f>
        <v/>
      </c>
    </row>
    <row r="81767">
      <c r="A81767" s="1" t="n">
        <v>81766</v>
      </c>
      <c r="B81767">
        <f>TEXT(81766, "[$-0E0000]yyyy-mm-dd")</f>
        <v/>
      </c>
    </row>
    <row r="81768">
      <c r="A81768" s="1" t="n">
        <v>81767</v>
      </c>
      <c r="B81768">
        <f>TEXT(81767, "[$-0E0000]yyyy-mm-dd")</f>
        <v/>
      </c>
    </row>
    <row r="81769">
      <c r="A81769" s="1" t="n">
        <v>81768</v>
      </c>
      <c r="B81769">
        <f>TEXT(81768, "[$-0E0000]yyyy-mm-dd")</f>
        <v/>
      </c>
    </row>
    <row r="81770">
      <c r="A81770" s="1" t="n">
        <v>81769</v>
      </c>
      <c r="B81770">
        <f>TEXT(81769, "[$-0E0000]yyyy-mm-dd")</f>
        <v/>
      </c>
    </row>
    <row r="81771">
      <c r="A81771" s="1" t="n">
        <v>81770</v>
      </c>
      <c r="B81771">
        <f>TEXT(81770, "[$-0E0000]yyyy-mm-dd")</f>
        <v/>
      </c>
    </row>
    <row r="81772">
      <c r="A81772" s="1" t="n">
        <v>81771</v>
      </c>
      <c r="B81772">
        <f>TEXT(81771, "[$-0E0000]yyyy-mm-dd")</f>
        <v/>
      </c>
    </row>
    <row r="81773">
      <c r="A81773" s="1" t="n">
        <v>81772</v>
      </c>
      <c r="B81773">
        <f>TEXT(81772, "[$-0E0000]yyyy-mm-dd")</f>
        <v/>
      </c>
    </row>
    <row r="81774">
      <c r="A81774" s="1" t="n">
        <v>81773</v>
      </c>
      <c r="B81774">
        <f>TEXT(81773, "[$-0E0000]yyyy-mm-dd")</f>
        <v/>
      </c>
    </row>
    <row r="81775">
      <c r="A81775" s="1" t="n">
        <v>81774</v>
      </c>
      <c r="B81775">
        <f>TEXT(81774, "[$-0E0000]yyyy-mm-dd")</f>
        <v/>
      </c>
    </row>
    <row r="81776">
      <c r="A81776" s="1" t="n">
        <v>81775</v>
      </c>
      <c r="B81776">
        <f>TEXT(81775, "[$-0E0000]yyyy-mm-dd")</f>
        <v/>
      </c>
    </row>
    <row r="81777">
      <c r="A81777" s="1" t="n">
        <v>81776</v>
      </c>
      <c r="B81777">
        <f>TEXT(81776, "[$-0E0000]yyyy-mm-dd")</f>
        <v/>
      </c>
    </row>
    <row r="81778">
      <c r="A81778" s="1" t="n">
        <v>81777</v>
      </c>
      <c r="B81778">
        <f>TEXT(81777, "[$-0E0000]yyyy-mm-dd")</f>
        <v/>
      </c>
    </row>
    <row r="81779">
      <c r="A81779" s="1" t="n">
        <v>81778</v>
      </c>
      <c r="B81779">
        <f>TEXT(81778, "[$-0E0000]yyyy-mm-dd")</f>
        <v/>
      </c>
    </row>
    <row r="81780">
      <c r="A81780" s="1" t="n">
        <v>81779</v>
      </c>
      <c r="B81780">
        <f>TEXT(81779, "[$-0E0000]yyyy-mm-dd")</f>
        <v/>
      </c>
    </row>
    <row r="81781">
      <c r="A81781" s="1" t="n">
        <v>81780</v>
      </c>
      <c r="B81781">
        <f>TEXT(81780, "[$-0E0000]yyyy-mm-dd")</f>
        <v/>
      </c>
    </row>
    <row r="81782">
      <c r="A81782" s="1" t="n">
        <v>81781</v>
      </c>
      <c r="B81782">
        <f>TEXT(81781, "[$-0E0000]yyyy-mm-dd")</f>
        <v/>
      </c>
    </row>
    <row r="81783">
      <c r="A81783" s="1" t="n">
        <v>81782</v>
      </c>
      <c r="B81783">
        <f>TEXT(81782, "[$-0E0000]yyyy-mm-dd")</f>
        <v/>
      </c>
    </row>
    <row r="81784">
      <c r="A81784" s="1" t="n">
        <v>81783</v>
      </c>
      <c r="B81784">
        <f>TEXT(81783, "[$-0E0000]yyyy-mm-dd")</f>
        <v/>
      </c>
    </row>
    <row r="81785">
      <c r="A81785" s="1" t="n">
        <v>81784</v>
      </c>
      <c r="B81785">
        <f>TEXT(81784, "[$-0E0000]yyyy-mm-dd")</f>
        <v/>
      </c>
    </row>
    <row r="81786">
      <c r="A81786" s="1" t="n">
        <v>81785</v>
      </c>
      <c r="B81786">
        <f>TEXT(81785, "[$-0E0000]yyyy-mm-dd")</f>
        <v/>
      </c>
    </row>
    <row r="81787">
      <c r="A81787" s="1" t="n">
        <v>81786</v>
      </c>
      <c r="B81787">
        <f>TEXT(81786, "[$-0E0000]yyyy-mm-dd")</f>
        <v/>
      </c>
    </row>
    <row r="81788">
      <c r="A81788" s="1" t="n">
        <v>81787</v>
      </c>
      <c r="B81788">
        <f>TEXT(81787, "[$-0E0000]yyyy-mm-dd")</f>
        <v/>
      </c>
    </row>
    <row r="81789">
      <c r="A81789" s="1" t="n">
        <v>81788</v>
      </c>
      <c r="B81789">
        <f>TEXT(81788, "[$-0E0000]yyyy-mm-dd")</f>
        <v/>
      </c>
    </row>
    <row r="81790">
      <c r="A81790" s="1" t="n">
        <v>81789</v>
      </c>
      <c r="B81790">
        <f>TEXT(81789, "[$-0E0000]yyyy-mm-dd")</f>
        <v/>
      </c>
    </row>
    <row r="81791">
      <c r="A81791" s="1" t="n">
        <v>81790</v>
      </c>
      <c r="B81791">
        <f>TEXT(81790, "[$-0E0000]yyyy-mm-dd")</f>
        <v/>
      </c>
    </row>
    <row r="81792">
      <c r="A81792" s="1" t="n">
        <v>81791</v>
      </c>
      <c r="B81792">
        <f>TEXT(81791, "[$-0E0000]yyyy-mm-dd")</f>
        <v/>
      </c>
    </row>
    <row r="81793">
      <c r="A81793" s="1" t="n">
        <v>81792</v>
      </c>
      <c r="B81793">
        <f>TEXT(81792, "[$-0E0000]yyyy-mm-dd")</f>
        <v/>
      </c>
    </row>
    <row r="81794">
      <c r="A81794" s="1" t="n">
        <v>81793</v>
      </c>
      <c r="B81794">
        <f>TEXT(81793, "[$-0E0000]yyyy-mm-dd")</f>
        <v/>
      </c>
    </row>
    <row r="81795">
      <c r="A81795" s="1" t="n">
        <v>81794</v>
      </c>
      <c r="B81795">
        <f>TEXT(81794, "[$-0E0000]yyyy-mm-dd")</f>
        <v/>
      </c>
    </row>
    <row r="81796">
      <c r="A81796" s="1" t="n">
        <v>81795</v>
      </c>
      <c r="B81796">
        <f>TEXT(81795, "[$-0E0000]yyyy-mm-dd")</f>
        <v/>
      </c>
    </row>
    <row r="81797">
      <c r="A81797" s="1" t="n">
        <v>81796</v>
      </c>
      <c r="B81797">
        <f>TEXT(81796, "[$-0E0000]yyyy-mm-dd")</f>
        <v/>
      </c>
    </row>
    <row r="81798">
      <c r="A81798" s="1" t="n">
        <v>81797</v>
      </c>
      <c r="B81798">
        <f>TEXT(81797, "[$-0E0000]yyyy-mm-dd")</f>
        <v/>
      </c>
    </row>
    <row r="81799">
      <c r="A81799" s="1" t="n">
        <v>81798</v>
      </c>
      <c r="B81799">
        <f>TEXT(81798, "[$-0E0000]yyyy-mm-dd")</f>
        <v/>
      </c>
    </row>
    <row r="81800">
      <c r="A81800" s="1" t="n">
        <v>81799</v>
      </c>
      <c r="B81800">
        <f>TEXT(81799, "[$-0E0000]yyyy-mm-dd")</f>
        <v/>
      </c>
    </row>
    <row r="81801">
      <c r="A81801" s="1" t="n">
        <v>81800</v>
      </c>
      <c r="B81801">
        <f>TEXT(81800, "[$-0E0000]yyyy-mm-dd")</f>
        <v/>
      </c>
    </row>
    <row r="81802">
      <c r="A81802" s="1" t="n">
        <v>81801</v>
      </c>
      <c r="B81802">
        <f>TEXT(81801, "[$-0E0000]yyyy-mm-dd")</f>
        <v/>
      </c>
    </row>
    <row r="81803">
      <c r="A81803" s="1" t="n">
        <v>81802</v>
      </c>
      <c r="B81803">
        <f>TEXT(81802, "[$-0E0000]yyyy-mm-dd")</f>
        <v/>
      </c>
    </row>
    <row r="81804">
      <c r="A81804" s="1" t="n">
        <v>81803</v>
      </c>
      <c r="B81804">
        <f>TEXT(81803, "[$-0E0000]yyyy-mm-dd")</f>
        <v/>
      </c>
    </row>
    <row r="81805">
      <c r="A81805" s="1" t="n">
        <v>81804</v>
      </c>
      <c r="B81805">
        <f>TEXT(81804, "[$-0E0000]yyyy-mm-dd")</f>
        <v/>
      </c>
    </row>
    <row r="81806">
      <c r="A81806" s="1" t="n">
        <v>81805</v>
      </c>
      <c r="B81806">
        <f>TEXT(81805, "[$-0E0000]yyyy-mm-dd")</f>
        <v/>
      </c>
    </row>
    <row r="81807">
      <c r="A81807" s="1" t="n">
        <v>81806</v>
      </c>
      <c r="B81807">
        <f>TEXT(81806, "[$-0E0000]yyyy-mm-dd")</f>
        <v/>
      </c>
    </row>
    <row r="81808">
      <c r="A81808" s="1" t="n">
        <v>81807</v>
      </c>
      <c r="B81808">
        <f>TEXT(81807, "[$-0E0000]yyyy-mm-dd")</f>
        <v/>
      </c>
    </row>
    <row r="81809">
      <c r="A81809" s="1" t="n">
        <v>81808</v>
      </c>
      <c r="B81809">
        <f>TEXT(81808, "[$-0E0000]yyyy-mm-dd")</f>
        <v/>
      </c>
    </row>
    <row r="81810">
      <c r="A81810" s="1" t="n">
        <v>81809</v>
      </c>
      <c r="B81810">
        <f>TEXT(81809, "[$-0E0000]yyyy-mm-dd")</f>
        <v/>
      </c>
    </row>
    <row r="81811">
      <c r="A81811" s="1" t="n">
        <v>81810</v>
      </c>
      <c r="B81811">
        <f>TEXT(81810, "[$-0E0000]yyyy-mm-dd")</f>
        <v/>
      </c>
    </row>
    <row r="81812">
      <c r="A81812" s="1" t="n">
        <v>81811</v>
      </c>
      <c r="B81812">
        <f>TEXT(81811, "[$-0E0000]yyyy-mm-dd")</f>
        <v/>
      </c>
    </row>
    <row r="81813">
      <c r="A81813" s="1" t="n">
        <v>81812</v>
      </c>
      <c r="B81813">
        <f>TEXT(81812, "[$-0E0000]yyyy-mm-dd")</f>
        <v/>
      </c>
    </row>
    <row r="81814">
      <c r="A81814" s="1" t="n">
        <v>81813</v>
      </c>
      <c r="B81814">
        <f>TEXT(81813, "[$-0E0000]yyyy-mm-dd")</f>
        <v/>
      </c>
    </row>
    <row r="81815">
      <c r="A81815" s="1" t="n">
        <v>81814</v>
      </c>
      <c r="B81815">
        <f>TEXT(81814, "[$-0E0000]yyyy-mm-dd")</f>
        <v/>
      </c>
    </row>
    <row r="81816">
      <c r="A81816" s="1" t="n">
        <v>81815</v>
      </c>
      <c r="B81816">
        <f>TEXT(81815, "[$-0E0000]yyyy-mm-dd")</f>
        <v/>
      </c>
    </row>
    <row r="81817">
      <c r="A81817" s="1" t="n">
        <v>81816</v>
      </c>
      <c r="B81817">
        <f>TEXT(81816, "[$-0E0000]yyyy-mm-dd")</f>
        <v/>
      </c>
    </row>
    <row r="81818">
      <c r="A81818" s="1" t="n">
        <v>81817</v>
      </c>
      <c r="B81818">
        <f>TEXT(81817, "[$-0E0000]yyyy-mm-dd")</f>
        <v/>
      </c>
    </row>
    <row r="81819">
      <c r="A81819" s="1" t="n">
        <v>81818</v>
      </c>
      <c r="B81819">
        <f>TEXT(81818, "[$-0E0000]yyyy-mm-dd")</f>
        <v/>
      </c>
    </row>
    <row r="81820">
      <c r="A81820" s="1" t="n">
        <v>81819</v>
      </c>
      <c r="B81820">
        <f>TEXT(81819, "[$-0E0000]yyyy-mm-dd")</f>
        <v/>
      </c>
    </row>
    <row r="81821">
      <c r="A81821" s="1" t="n">
        <v>81820</v>
      </c>
      <c r="B81821">
        <f>TEXT(81820, "[$-0E0000]yyyy-mm-dd")</f>
        <v/>
      </c>
    </row>
    <row r="81822">
      <c r="A81822" s="1" t="n">
        <v>81821</v>
      </c>
      <c r="B81822">
        <f>TEXT(81821, "[$-0E0000]yyyy-mm-dd")</f>
        <v/>
      </c>
    </row>
    <row r="81823">
      <c r="A81823" s="1" t="n">
        <v>81822</v>
      </c>
      <c r="B81823">
        <f>TEXT(81822, "[$-0E0000]yyyy-mm-dd")</f>
        <v/>
      </c>
    </row>
    <row r="81824">
      <c r="A81824" s="1" t="n">
        <v>81823</v>
      </c>
      <c r="B81824">
        <f>TEXT(81823, "[$-0E0000]yyyy-mm-dd")</f>
        <v/>
      </c>
    </row>
    <row r="81825">
      <c r="A81825" s="1" t="n">
        <v>81824</v>
      </c>
      <c r="B81825">
        <f>TEXT(81824, "[$-0E0000]yyyy-mm-dd")</f>
        <v/>
      </c>
    </row>
    <row r="81826">
      <c r="A81826" s="1" t="n">
        <v>81825</v>
      </c>
      <c r="B81826">
        <f>TEXT(81825, "[$-0E0000]yyyy-mm-dd")</f>
        <v/>
      </c>
    </row>
    <row r="81827">
      <c r="A81827" s="1" t="n">
        <v>81826</v>
      </c>
      <c r="B81827">
        <f>TEXT(81826, "[$-0E0000]yyyy-mm-dd")</f>
        <v/>
      </c>
    </row>
    <row r="81828">
      <c r="A81828" s="1" t="n">
        <v>81827</v>
      </c>
      <c r="B81828">
        <f>TEXT(81827, "[$-0E0000]yyyy-mm-dd")</f>
        <v/>
      </c>
    </row>
    <row r="81829">
      <c r="A81829" s="1" t="n">
        <v>81828</v>
      </c>
      <c r="B81829">
        <f>TEXT(81828, "[$-0E0000]yyyy-mm-dd")</f>
        <v/>
      </c>
    </row>
    <row r="81830">
      <c r="A81830" s="1" t="n">
        <v>81829</v>
      </c>
      <c r="B81830">
        <f>TEXT(81829, "[$-0E0000]yyyy-mm-dd")</f>
        <v/>
      </c>
    </row>
    <row r="81831">
      <c r="A81831" s="1" t="n">
        <v>81830</v>
      </c>
      <c r="B81831">
        <f>TEXT(81830, "[$-0E0000]yyyy-mm-dd")</f>
        <v/>
      </c>
    </row>
    <row r="81832">
      <c r="A81832" s="1" t="n">
        <v>81831</v>
      </c>
      <c r="B81832">
        <f>TEXT(81831, "[$-0E0000]yyyy-mm-dd")</f>
        <v/>
      </c>
    </row>
    <row r="81833">
      <c r="A81833" s="1" t="n">
        <v>81832</v>
      </c>
      <c r="B81833">
        <f>TEXT(81832, "[$-0E0000]yyyy-mm-dd")</f>
        <v/>
      </c>
    </row>
    <row r="81834">
      <c r="A81834" s="1" t="n">
        <v>81833</v>
      </c>
      <c r="B81834">
        <f>TEXT(81833, "[$-0E0000]yyyy-mm-dd")</f>
        <v/>
      </c>
    </row>
    <row r="81835">
      <c r="A81835" s="1" t="n">
        <v>81834</v>
      </c>
      <c r="B81835">
        <f>TEXT(81834, "[$-0E0000]yyyy-mm-dd")</f>
        <v/>
      </c>
    </row>
    <row r="81836">
      <c r="A81836" s="1" t="n">
        <v>81835</v>
      </c>
      <c r="B81836">
        <f>TEXT(81835, "[$-0E0000]yyyy-mm-dd")</f>
        <v/>
      </c>
    </row>
    <row r="81837">
      <c r="A81837" s="1" t="n">
        <v>81836</v>
      </c>
      <c r="B81837">
        <f>TEXT(81836, "[$-0E0000]yyyy-mm-dd")</f>
        <v/>
      </c>
    </row>
    <row r="81838">
      <c r="A81838" s="1" t="n">
        <v>81837</v>
      </c>
      <c r="B81838">
        <f>TEXT(81837, "[$-0E0000]yyyy-mm-dd")</f>
        <v/>
      </c>
    </row>
    <row r="81839">
      <c r="A81839" s="1" t="n">
        <v>81838</v>
      </c>
      <c r="B81839">
        <f>TEXT(81838, "[$-0E0000]yyyy-mm-dd")</f>
        <v/>
      </c>
    </row>
    <row r="81840">
      <c r="A81840" s="1" t="n">
        <v>81839</v>
      </c>
      <c r="B81840">
        <f>TEXT(81839, "[$-0E0000]yyyy-mm-dd")</f>
        <v/>
      </c>
    </row>
    <row r="81841">
      <c r="A81841" s="1" t="n">
        <v>81840</v>
      </c>
      <c r="B81841">
        <f>TEXT(81840, "[$-0E0000]yyyy-mm-dd")</f>
        <v/>
      </c>
    </row>
    <row r="81842">
      <c r="A81842" s="1" t="n">
        <v>81841</v>
      </c>
      <c r="B81842">
        <f>TEXT(81841, "[$-0E0000]yyyy-mm-dd")</f>
        <v/>
      </c>
    </row>
    <row r="81843">
      <c r="A81843" s="1" t="n">
        <v>81842</v>
      </c>
      <c r="B81843">
        <f>TEXT(81842, "[$-0E0000]yyyy-mm-dd")</f>
        <v/>
      </c>
    </row>
    <row r="81844">
      <c r="A81844" s="1" t="n">
        <v>81843</v>
      </c>
      <c r="B81844">
        <f>TEXT(81843, "[$-0E0000]yyyy-mm-dd")</f>
        <v/>
      </c>
    </row>
    <row r="81845">
      <c r="A81845" s="1" t="n">
        <v>81844</v>
      </c>
      <c r="B81845">
        <f>TEXT(81844, "[$-0E0000]yyyy-mm-dd")</f>
        <v/>
      </c>
    </row>
    <row r="81846">
      <c r="A81846" s="1" t="n">
        <v>81845</v>
      </c>
      <c r="B81846">
        <f>TEXT(81845, "[$-0E0000]yyyy-mm-dd")</f>
        <v/>
      </c>
    </row>
    <row r="81847">
      <c r="A81847" s="1" t="n">
        <v>81846</v>
      </c>
      <c r="B81847">
        <f>TEXT(81846, "[$-0E0000]yyyy-mm-dd")</f>
        <v/>
      </c>
    </row>
    <row r="81848">
      <c r="A81848" s="1" t="n">
        <v>81847</v>
      </c>
      <c r="B81848">
        <f>TEXT(81847, "[$-0E0000]yyyy-mm-dd")</f>
        <v/>
      </c>
    </row>
    <row r="81849">
      <c r="A81849" s="1" t="n">
        <v>81848</v>
      </c>
      <c r="B81849">
        <f>TEXT(81848, "[$-0E0000]yyyy-mm-dd")</f>
        <v/>
      </c>
    </row>
    <row r="81850">
      <c r="A81850" s="1" t="n">
        <v>81849</v>
      </c>
      <c r="B81850">
        <f>TEXT(81849, "[$-0E0000]yyyy-mm-dd")</f>
        <v/>
      </c>
    </row>
    <row r="81851">
      <c r="A81851" s="1" t="n">
        <v>81850</v>
      </c>
      <c r="B81851">
        <f>TEXT(81850, "[$-0E0000]yyyy-mm-dd")</f>
        <v/>
      </c>
    </row>
    <row r="81852">
      <c r="A81852" s="1" t="n">
        <v>81851</v>
      </c>
      <c r="B81852">
        <f>TEXT(81851, "[$-0E0000]yyyy-mm-dd")</f>
        <v/>
      </c>
    </row>
    <row r="81853">
      <c r="A81853" s="1" t="n">
        <v>81852</v>
      </c>
      <c r="B81853">
        <f>TEXT(81852, "[$-0E0000]yyyy-mm-dd")</f>
        <v/>
      </c>
    </row>
    <row r="81854">
      <c r="A81854" s="1" t="n">
        <v>81853</v>
      </c>
      <c r="B81854">
        <f>TEXT(81853, "[$-0E0000]yyyy-mm-dd")</f>
        <v/>
      </c>
    </row>
    <row r="81855">
      <c r="A81855" s="1" t="n">
        <v>81854</v>
      </c>
      <c r="B81855">
        <f>TEXT(81854, "[$-0E0000]yyyy-mm-dd")</f>
        <v/>
      </c>
    </row>
    <row r="81856">
      <c r="A81856" s="1" t="n">
        <v>81855</v>
      </c>
      <c r="B81856">
        <f>TEXT(81855, "[$-0E0000]yyyy-mm-dd")</f>
        <v/>
      </c>
    </row>
    <row r="81857">
      <c r="A81857" s="1" t="n">
        <v>81856</v>
      </c>
      <c r="B81857">
        <f>TEXT(81856, "[$-0E0000]yyyy-mm-dd")</f>
        <v/>
      </c>
    </row>
    <row r="81858">
      <c r="A81858" s="1" t="n">
        <v>81857</v>
      </c>
      <c r="B81858">
        <f>TEXT(81857, "[$-0E0000]yyyy-mm-dd")</f>
        <v/>
      </c>
    </row>
    <row r="81859">
      <c r="A81859" s="1" t="n">
        <v>81858</v>
      </c>
      <c r="B81859">
        <f>TEXT(81858, "[$-0E0000]yyyy-mm-dd")</f>
        <v/>
      </c>
    </row>
    <row r="81860">
      <c r="A81860" s="1" t="n">
        <v>81859</v>
      </c>
      <c r="B81860">
        <f>TEXT(81859, "[$-0E0000]yyyy-mm-dd")</f>
        <v/>
      </c>
    </row>
    <row r="81861">
      <c r="A81861" s="1" t="n">
        <v>81860</v>
      </c>
      <c r="B81861">
        <f>TEXT(81860, "[$-0E0000]yyyy-mm-dd")</f>
        <v/>
      </c>
    </row>
    <row r="81862">
      <c r="A81862" s="1" t="n">
        <v>81861</v>
      </c>
      <c r="B81862">
        <f>TEXT(81861, "[$-0E0000]yyyy-mm-dd")</f>
        <v/>
      </c>
    </row>
    <row r="81863">
      <c r="A81863" s="1" t="n">
        <v>81862</v>
      </c>
      <c r="B81863">
        <f>TEXT(81862, "[$-0E0000]yyyy-mm-dd")</f>
        <v/>
      </c>
    </row>
    <row r="81864">
      <c r="A81864" s="1" t="n">
        <v>81863</v>
      </c>
      <c r="B81864">
        <f>TEXT(81863, "[$-0E0000]yyyy-mm-dd")</f>
        <v/>
      </c>
    </row>
    <row r="81865">
      <c r="A81865" s="1" t="n">
        <v>81864</v>
      </c>
      <c r="B81865">
        <f>TEXT(81864, "[$-0E0000]yyyy-mm-dd")</f>
        <v/>
      </c>
    </row>
    <row r="81866">
      <c r="A81866" s="1" t="n">
        <v>81865</v>
      </c>
      <c r="B81866">
        <f>TEXT(81865, "[$-0E0000]yyyy-mm-dd")</f>
        <v/>
      </c>
    </row>
    <row r="81867">
      <c r="A81867" s="1" t="n">
        <v>81866</v>
      </c>
      <c r="B81867">
        <f>TEXT(81866, "[$-0E0000]yyyy-mm-dd")</f>
        <v/>
      </c>
    </row>
    <row r="81868">
      <c r="A81868" s="1" t="n">
        <v>81867</v>
      </c>
      <c r="B81868">
        <f>TEXT(81867, "[$-0E0000]yyyy-mm-dd")</f>
        <v/>
      </c>
    </row>
    <row r="81869">
      <c r="A81869" s="1" t="n">
        <v>81868</v>
      </c>
      <c r="B81869">
        <f>TEXT(81868, "[$-0E0000]yyyy-mm-dd")</f>
        <v/>
      </c>
    </row>
    <row r="81870">
      <c r="A81870" s="1" t="n">
        <v>81869</v>
      </c>
      <c r="B81870">
        <f>TEXT(81869, "[$-0E0000]yyyy-mm-dd")</f>
        <v/>
      </c>
    </row>
    <row r="81871">
      <c r="A81871" s="1" t="n">
        <v>81870</v>
      </c>
      <c r="B81871">
        <f>TEXT(81870, "[$-0E0000]yyyy-mm-dd")</f>
        <v/>
      </c>
    </row>
    <row r="81872">
      <c r="A81872" s="1" t="n">
        <v>81871</v>
      </c>
      <c r="B81872">
        <f>TEXT(81871, "[$-0E0000]yyyy-mm-dd")</f>
        <v/>
      </c>
    </row>
    <row r="81873">
      <c r="A81873" s="1" t="n">
        <v>81872</v>
      </c>
      <c r="B81873">
        <f>TEXT(81872, "[$-0E0000]yyyy-mm-dd")</f>
        <v/>
      </c>
    </row>
    <row r="81874">
      <c r="A81874" s="1" t="n">
        <v>81873</v>
      </c>
      <c r="B81874">
        <f>TEXT(81873, "[$-0E0000]yyyy-mm-dd")</f>
        <v/>
      </c>
    </row>
    <row r="81875">
      <c r="A81875" s="1" t="n">
        <v>81874</v>
      </c>
      <c r="B81875">
        <f>TEXT(81874, "[$-0E0000]yyyy-mm-dd")</f>
        <v/>
      </c>
    </row>
    <row r="81876">
      <c r="A81876" s="1" t="n">
        <v>81875</v>
      </c>
      <c r="B81876">
        <f>TEXT(81875, "[$-0E0000]yyyy-mm-dd")</f>
        <v/>
      </c>
    </row>
    <row r="81877">
      <c r="A81877" s="1" t="n">
        <v>81876</v>
      </c>
      <c r="B81877">
        <f>TEXT(81876, "[$-0E0000]yyyy-mm-dd")</f>
        <v/>
      </c>
    </row>
    <row r="81878">
      <c r="A81878" s="1" t="n">
        <v>81877</v>
      </c>
      <c r="B81878">
        <f>TEXT(81877, "[$-0E0000]yyyy-mm-dd")</f>
        <v/>
      </c>
    </row>
    <row r="81879">
      <c r="A81879" s="1" t="n">
        <v>81878</v>
      </c>
      <c r="B81879">
        <f>TEXT(81878, "[$-0E0000]yyyy-mm-dd")</f>
        <v/>
      </c>
    </row>
    <row r="81880">
      <c r="A81880" s="1" t="n">
        <v>81879</v>
      </c>
      <c r="B81880">
        <f>TEXT(81879, "[$-0E0000]yyyy-mm-dd")</f>
        <v/>
      </c>
    </row>
    <row r="81881">
      <c r="A81881" s="1" t="n">
        <v>81880</v>
      </c>
      <c r="B81881">
        <f>TEXT(81880, "[$-0E0000]yyyy-mm-dd")</f>
        <v/>
      </c>
    </row>
    <row r="81882">
      <c r="A81882" s="1" t="n">
        <v>81881</v>
      </c>
      <c r="B81882">
        <f>TEXT(81881, "[$-0E0000]yyyy-mm-dd")</f>
        <v/>
      </c>
    </row>
    <row r="81883">
      <c r="A81883" s="1" t="n">
        <v>81882</v>
      </c>
      <c r="B81883">
        <f>TEXT(81882, "[$-0E0000]yyyy-mm-dd")</f>
        <v/>
      </c>
    </row>
    <row r="81884">
      <c r="A81884" s="1" t="n">
        <v>81883</v>
      </c>
      <c r="B81884">
        <f>TEXT(81883, "[$-0E0000]yyyy-mm-dd")</f>
        <v/>
      </c>
    </row>
    <row r="81885">
      <c r="A81885" s="1" t="n">
        <v>81884</v>
      </c>
      <c r="B81885">
        <f>TEXT(81884, "[$-0E0000]yyyy-mm-dd")</f>
        <v/>
      </c>
    </row>
    <row r="81886">
      <c r="A81886" s="1" t="n">
        <v>81885</v>
      </c>
      <c r="B81886">
        <f>TEXT(81885, "[$-0E0000]yyyy-mm-dd")</f>
        <v/>
      </c>
    </row>
    <row r="81887">
      <c r="A81887" s="1" t="n">
        <v>81886</v>
      </c>
      <c r="B81887">
        <f>TEXT(81886, "[$-0E0000]yyyy-mm-dd")</f>
        <v/>
      </c>
    </row>
    <row r="81888">
      <c r="A81888" s="1" t="n">
        <v>81887</v>
      </c>
      <c r="B81888">
        <f>TEXT(81887, "[$-0E0000]yyyy-mm-dd")</f>
        <v/>
      </c>
    </row>
    <row r="81889">
      <c r="A81889" s="1" t="n">
        <v>81888</v>
      </c>
      <c r="B81889">
        <f>TEXT(81888, "[$-0E0000]yyyy-mm-dd")</f>
        <v/>
      </c>
    </row>
    <row r="81890">
      <c r="A81890" s="1" t="n">
        <v>81889</v>
      </c>
      <c r="B81890">
        <f>TEXT(81889, "[$-0E0000]yyyy-mm-dd")</f>
        <v/>
      </c>
    </row>
    <row r="81891">
      <c r="A81891" s="1" t="n">
        <v>81890</v>
      </c>
      <c r="B81891">
        <f>TEXT(81890, "[$-0E0000]yyyy-mm-dd")</f>
        <v/>
      </c>
    </row>
    <row r="81892">
      <c r="A81892" s="1" t="n">
        <v>81891</v>
      </c>
      <c r="B81892">
        <f>TEXT(81891, "[$-0E0000]yyyy-mm-dd")</f>
        <v/>
      </c>
    </row>
    <row r="81893">
      <c r="A81893" s="1" t="n">
        <v>81892</v>
      </c>
      <c r="B81893">
        <f>TEXT(81892, "[$-0E0000]yyyy-mm-dd")</f>
        <v/>
      </c>
    </row>
    <row r="81894">
      <c r="A81894" s="1" t="n">
        <v>81893</v>
      </c>
      <c r="B81894">
        <f>TEXT(81893, "[$-0E0000]yyyy-mm-dd")</f>
        <v/>
      </c>
    </row>
    <row r="81895">
      <c r="A81895" s="1" t="n">
        <v>81894</v>
      </c>
      <c r="B81895">
        <f>TEXT(81894, "[$-0E0000]yyyy-mm-dd")</f>
        <v/>
      </c>
    </row>
    <row r="81896">
      <c r="A81896" s="1" t="n">
        <v>81895</v>
      </c>
      <c r="B81896">
        <f>TEXT(81895, "[$-0E0000]yyyy-mm-dd")</f>
        <v/>
      </c>
    </row>
    <row r="81897">
      <c r="A81897" s="1" t="n">
        <v>81896</v>
      </c>
      <c r="B81897">
        <f>TEXT(81896, "[$-0E0000]yyyy-mm-dd")</f>
        <v/>
      </c>
    </row>
    <row r="81898">
      <c r="A81898" s="1" t="n">
        <v>81897</v>
      </c>
      <c r="B81898">
        <f>TEXT(81897, "[$-0E0000]yyyy-mm-dd")</f>
        <v/>
      </c>
    </row>
    <row r="81899">
      <c r="A81899" s="1" t="n">
        <v>81898</v>
      </c>
      <c r="B81899">
        <f>TEXT(81898, "[$-0E0000]yyyy-mm-dd")</f>
        <v/>
      </c>
    </row>
    <row r="81900">
      <c r="A81900" s="1" t="n">
        <v>81899</v>
      </c>
      <c r="B81900">
        <f>TEXT(81899, "[$-0E0000]yyyy-mm-dd")</f>
        <v/>
      </c>
    </row>
    <row r="81901">
      <c r="A81901" s="1" t="n">
        <v>81900</v>
      </c>
      <c r="B81901">
        <f>TEXT(81900, "[$-0E0000]yyyy-mm-dd")</f>
        <v/>
      </c>
    </row>
    <row r="81902">
      <c r="A81902" s="1" t="n">
        <v>81901</v>
      </c>
      <c r="B81902">
        <f>TEXT(81901, "[$-0E0000]yyyy-mm-dd")</f>
        <v/>
      </c>
    </row>
    <row r="81903">
      <c r="A81903" s="1" t="n">
        <v>81902</v>
      </c>
      <c r="B81903">
        <f>TEXT(81902, "[$-0E0000]yyyy-mm-dd")</f>
        <v/>
      </c>
    </row>
    <row r="81904">
      <c r="A81904" s="1" t="n">
        <v>81903</v>
      </c>
      <c r="B81904">
        <f>TEXT(81903, "[$-0E0000]yyyy-mm-dd")</f>
        <v/>
      </c>
    </row>
    <row r="81905">
      <c r="A81905" s="1" t="n">
        <v>81904</v>
      </c>
      <c r="B81905">
        <f>TEXT(81904, "[$-0E0000]yyyy-mm-dd")</f>
        <v/>
      </c>
    </row>
    <row r="81906">
      <c r="A81906" s="1" t="n">
        <v>81905</v>
      </c>
      <c r="B81906">
        <f>TEXT(81905, "[$-0E0000]yyyy-mm-dd")</f>
        <v/>
      </c>
    </row>
    <row r="81907">
      <c r="A81907" s="1" t="n">
        <v>81906</v>
      </c>
      <c r="B81907">
        <f>TEXT(81906, "[$-0E0000]yyyy-mm-dd")</f>
        <v/>
      </c>
    </row>
    <row r="81908">
      <c r="A81908" s="1" t="n">
        <v>81907</v>
      </c>
      <c r="B81908">
        <f>TEXT(81907, "[$-0E0000]yyyy-mm-dd")</f>
        <v/>
      </c>
    </row>
    <row r="81909">
      <c r="A81909" s="1" t="n">
        <v>81908</v>
      </c>
      <c r="B81909">
        <f>TEXT(81908, "[$-0E0000]yyyy-mm-dd")</f>
        <v/>
      </c>
    </row>
    <row r="81910">
      <c r="A81910" s="1" t="n">
        <v>81909</v>
      </c>
      <c r="B81910">
        <f>TEXT(81909, "[$-0E0000]yyyy-mm-dd")</f>
        <v/>
      </c>
    </row>
    <row r="81911">
      <c r="A81911" s="1" t="n">
        <v>81910</v>
      </c>
      <c r="B81911">
        <f>TEXT(81910, "[$-0E0000]yyyy-mm-dd")</f>
        <v/>
      </c>
    </row>
    <row r="81912">
      <c r="A81912" s="1" t="n">
        <v>81911</v>
      </c>
      <c r="B81912">
        <f>TEXT(81911, "[$-0E0000]yyyy-mm-dd")</f>
        <v/>
      </c>
    </row>
    <row r="81913">
      <c r="A81913" s="1" t="n">
        <v>81912</v>
      </c>
      <c r="B81913">
        <f>TEXT(81912, "[$-0E0000]yyyy-mm-dd")</f>
        <v/>
      </c>
    </row>
    <row r="81914">
      <c r="A81914" s="1" t="n">
        <v>81913</v>
      </c>
      <c r="B81914">
        <f>TEXT(81913, "[$-0E0000]yyyy-mm-dd")</f>
        <v/>
      </c>
    </row>
    <row r="81915">
      <c r="A81915" s="1" t="n">
        <v>81914</v>
      </c>
      <c r="B81915">
        <f>TEXT(81914, "[$-0E0000]yyyy-mm-dd")</f>
        <v/>
      </c>
    </row>
    <row r="81916">
      <c r="A81916" s="1" t="n">
        <v>81915</v>
      </c>
      <c r="B81916">
        <f>TEXT(81915, "[$-0E0000]yyyy-mm-dd")</f>
        <v/>
      </c>
    </row>
    <row r="81917">
      <c r="A81917" s="1" t="n">
        <v>81916</v>
      </c>
      <c r="B81917">
        <f>TEXT(81916, "[$-0E0000]yyyy-mm-dd")</f>
        <v/>
      </c>
    </row>
    <row r="81918">
      <c r="A81918" s="1" t="n">
        <v>81917</v>
      </c>
      <c r="B81918">
        <f>TEXT(81917, "[$-0E0000]yyyy-mm-dd")</f>
        <v/>
      </c>
    </row>
    <row r="81919">
      <c r="A81919" s="1" t="n">
        <v>81918</v>
      </c>
      <c r="B81919">
        <f>TEXT(81918, "[$-0E0000]yyyy-mm-dd")</f>
        <v/>
      </c>
    </row>
    <row r="81920">
      <c r="A81920" s="1" t="n">
        <v>81919</v>
      </c>
      <c r="B81920">
        <f>TEXT(81919, "[$-0E0000]yyyy-mm-dd")</f>
        <v/>
      </c>
    </row>
    <row r="81921">
      <c r="A81921" s="1" t="n">
        <v>81920</v>
      </c>
      <c r="B81921">
        <f>TEXT(81920, "[$-0E0000]yyyy-mm-dd")</f>
        <v/>
      </c>
    </row>
    <row r="81922">
      <c r="A81922" s="1" t="n">
        <v>81921</v>
      </c>
      <c r="B81922">
        <f>TEXT(81921, "[$-0E0000]yyyy-mm-dd")</f>
        <v/>
      </c>
    </row>
    <row r="81923">
      <c r="A81923" s="1" t="n">
        <v>81922</v>
      </c>
      <c r="B81923">
        <f>TEXT(81922, "[$-0E0000]yyyy-mm-dd")</f>
        <v/>
      </c>
    </row>
    <row r="81924">
      <c r="A81924" s="1" t="n">
        <v>81923</v>
      </c>
      <c r="B81924">
        <f>TEXT(81923, "[$-0E0000]yyyy-mm-dd")</f>
        <v/>
      </c>
    </row>
    <row r="81925">
      <c r="A81925" s="1" t="n">
        <v>81924</v>
      </c>
      <c r="B81925">
        <f>TEXT(81924, "[$-0E0000]yyyy-mm-dd")</f>
        <v/>
      </c>
    </row>
    <row r="81926">
      <c r="A81926" s="1" t="n">
        <v>81925</v>
      </c>
      <c r="B81926">
        <f>TEXT(81925, "[$-0E0000]yyyy-mm-dd")</f>
        <v/>
      </c>
    </row>
    <row r="81927">
      <c r="A81927" s="1" t="n">
        <v>81926</v>
      </c>
      <c r="B81927">
        <f>TEXT(81926, "[$-0E0000]yyyy-mm-dd")</f>
        <v/>
      </c>
    </row>
    <row r="81928">
      <c r="A81928" s="1" t="n">
        <v>81927</v>
      </c>
      <c r="B81928">
        <f>TEXT(81927, "[$-0E0000]yyyy-mm-dd")</f>
        <v/>
      </c>
    </row>
    <row r="81929">
      <c r="A81929" s="1" t="n">
        <v>81928</v>
      </c>
      <c r="B81929">
        <f>TEXT(81928, "[$-0E0000]yyyy-mm-dd")</f>
        <v/>
      </c>
    </row>
    <row r="81930">
      <c r="A81930" s="1" t="n">
        <v>81929</v>
      </c>
      <c r="B81930">
        <f>TEXT(81929, "[$-0E0000]yyyy-mm-dd")</f>
        <v/>
      </c>
    </row>
    <row r="81931">
      <c r="A81931" s="1" t="n">
        <v>81930</v>
      </c>
      <c r="B81931">
        <f>TEXT(81930, "[$-0E0000]yyyy-mm-dd")</f>
        <v/>
      </c>
    </row>
    <row r="81932">
      <c r="A81932" s="1" t="n">
        <v>81931</v>
      </c>
      <c r="B81932">
        <f>TEXT(81931, "[$-0E0000]yyyy-mm-dd")</f>
        <v/>
      </c>
    </row>
    <row r="81933">
      <c r="A81933" s="1" t="n">
        <v>81932</v>
      </c>
      <c r="B81933">
        <f>TEXT(81932, "[$-0E0000]yyyy-mm-dd")</f>
        <v/>
      </c>
    </row>
    <row r="81934">
      <c r="A81934" s="1" t="n">
        <v>81933</v>
      </c>
      <c r="B81934">
        <f>TEXT(81933, "[$-0E0000]yyyy-mm-dd")</f>
        <v/>
      </c>
    </row>
    <row r="81935">
      <c r="A81935" s="1" t="n">
        <v>81934</v>
      </c>
      <c r="B81935">
        <f>TEXT(81934, "[$-0E0000]yyyy-mm-dd")</f>
        <v/>
      </c>
    </row>
    <row r="81936">
      <c r="A81936" s="1" t="n">
        <v>81935</v>
      </c>
      <c r="B81936">
        <f>TEXT(81935, "[$-0E0000]yyyy-mm-dd")</f>
        <v/>
      </c>
    </row>
    <row r="81937">
      <c r="A81937" s="1" t="n">
        <v>81936</v>
      </c>
      <c r="B81937">
        <f>TEXT(81936, "[$-0E0000]yyyy-mm-dd")</f>
        <v/>
      </c>
    </row>
    <row r="81938">
      <c r="A81938" s="1" t="n">
        <v>81937</v>
      </c>
      <c r="B81938">
        <f>TEXT(81937, "[$-0E0000]yyyy-mm-dd")</f>
        <v/>
      </c>
    </row>
    <row r="81939">
      <c r="A81939" s="1" t="n">
        <v>81938</v>
      </c>
      <c r="B81939">
        <f>TEXT(81938, "[$-0E0000]yyyy-mm-dd")</f>
        <v/>
      </c>
    </row>
    <row r="81940">
      <c r="A81940" s="1" t="n">
        <v>81939</v>
      </c>
      <c r="B81940">
        <f>TEXT(81939, "[$-0E0000]yyyy-mm-dd")</f>
        <v/>
      </c>
    </row>
    <row r="81941">
      <c r="A81941" s="1" t="n">
        <v>81940</v>
      </c>
      <c r="B81941">
        <f>TEXT(81940, "[$-0E0000]yyyy-mm-dd")</f>
        <v/>
      </c>
    </row>
    <row r="81942">
      <c r="A81942" s="1" t="n">
        <v>81941</v>
      </c>
      <c r="B81942">
        <f>TEXT(81941, "[$-0E0000]yyyy-mm-dd")</f>
        <v/>
      </c>
    </row>
    <row r="81943">
      <c r="A81943" s="1" t="n">
        <v>81942</v>
      </c>
      <c r="B81943">
        <f>TEXT(81942, "[$-0E0000]yyyy-mm-dd")</f>
        <v/>
      </c>
    </row>
    <row r="81944">
      <c r="A81944" s="1" t="n">
        <v>81943</v>
      </c>
      <c r="B81944">
        <f>TEXT(81943, "[$-0E0000]yyyy-mm-dd")</f>
        <v/>
      </c>
    </row>
    <row r="81945">
      <c r="A81945" s="1" t="n">
        <v>81944</v>
      </c>
      <c r="B81945">
        <f>TEXT(81944, "[$-0E0000]yyyy-mm-dd")</f>
        <v/>
      </c>
    </row>
    <row r="81946">
      <c r="A81946" s="1" t="n">
        <v>81945</v>
      </c>
      <c r="B81946">
        <f>TEXT(81945, "[$-0E0000]yyyy-mm-dd")</f>
        <v/>
      </c>
    </row>
    <row r="81947">
      <c r="A81947" s="1" t="n">
        <v>81946</v>
      </c>
      <c r="B81947">
        <f>TEXT(81946, "[$-0E0000]yyyy-mm-dd")</f>
        <v/>
      </c>
    </row>
    <row r="81948">
      <c r="A81948" s="1" t="n">
        <v>81947</v>
      </c>
      <c r="B81948">
        <f>TEXT(81947, "[$-0E0000]yyyy-mm-dd")</f>
        <v/>
      </c>
    </row>
    <row r="81949">
      <c r="A81949" s="1" t="n">
        <v>81948</v>
      </c>
      <c r="B81949">
        <f>TEXT(81948, "[$-0E0000]yyyy-mm-dd")</f>
        <v/>
      </c>
    </row>
    <row r="81950">
      <c r="A81950" s="1" t="n">
        <v>81949</v>
      </c>
      <c r="B81950">
        <f>TEXT(81949, "[$-0E0000]yyyy-mm-dd")</f>
        <v/>
      </c>
    </row>
    <row r="81951">
      <c r="A81951" s="1" t="n">
        <v>81950</v>
      </c>
      <c r="B81951">
        <f>TEXT(81950, "[$-0E0000]yyyy-mm-dd")</f>
        <v/>
      </c>
    </row>
    <row r="81952">
      <c r="A81952" s="1" t="n">
        <v>81951</v>
      </c>
      <c r="B81952">
        <f>TEXT(81951, "[$-0E0000]yyyy-mm-dd")</f>
        <v/>
      </c>
    </row>
    <row r="81953">
      <c r="A81953" s="1" t="n">
        <v>81952</v>
      </c>
      <c r="B81953">
        <f>TEXT(81952, "[$-0E0000]yyyy-mm-dd")</f>
        <v/>
      </c>
    </row>
    <row r="81954">
      <c r="A81954" s="1" t="n">
        <v>81953</v>
      </c>
      <c r="B81954">
        <f>TEXT(81953, "[$-0E0000]yyyy-mm-dd")</f>
        <v/>
      </c>
    </row>
    <row r="81955">
      <c r="A81955" s="1" t="n">
        <v>81954</v>
      </c>
      <c r="B81955">
        <f>TEXT(81954, "[$-0E0000]yyyy-mm-dd")</f>
        <v/>
      </c>
    </row>
    <row r="81956">
      <c r="A81956" s="1" t="n">
        <v>81955</v>
      </c>
      <c r="B81956">
        <f>TEXT(81955, "[$-0E0000]yyyy-mm-dd")</f>
        <v/>
      </c>
    </row>
    <row r="81957">
      <c r="A81957" s="1" t="n">
        <v>81956</v>
      </c>
      <c r="B81957">
        <f>TEXT(81956, "[$-0E0000]yyyy-mm-dd")</f>
        <v/>
      </c>
    </row>
    <row r="81958">
      <c r="A81958" s="1" t="n">
        <v>81957</v>
      </c>
      <c r="B81958">
        <f>TEXT(81957, "[$-0E0000]yyyy-mm-dd")</f>
        <v/>
      </c>
    </row>
    <row r="81959">
      <c r="A81959" s="1" t="n">
        <v>81958</v>
      </c>
      <c r="B81959">
        <f>TEXT(81958, "[$-0E0000]yyyy-mm-dd")</f>
        <v/>
      </c>
    </row>
    <row r="81960">
      <c r="A81960" s="1" t="n">
        <v>81959</v>
      </c>
      <c r="B81960">
        <f>TEXT(81959, "[$-0E0000]yyyy-mm-dd")</f>
        <v/>
      </c>
    </row>
    <row r="81961">
      <c r="A81961" s="1" t="n">
        <v>81960</v>
      </c>
      <c r="B81961">
        <f>TEXT(81960, "[$-0E0000]yyyy-mm-dd")</f>
        <v/>
      </c>
    </row>
    <row r="81962">
      <c r="A81962" s="1" t="n">
        <v>81961</v>
      </c>
      <c r="B81962">
        <f>TEXT(81961, "[$-0E0000]yyyy-mm-dd")</f>
        <v/>
      </c>
    </row>
    <row r="81963">
      <c r="A81963" s="1" t="n">
        <v>81962</v>
      </c>
      <c r="B81963">
        <f>TEXT(81962, "[$-0E0000]yyyy-mm-dd")</f>
        <v/>
      </c>
    </row>
    <row r="81964">
      <c r="A81964" s="1" t="n">
        <v>81963</v>
      </c>
      <c r="B81964">
        <f>TEXT(81963, "[$-0E0000]yyyy-mm-dd")</f>
        <v/>
      </c>
    </row>
    <row r="81965">
      <c r="A81965" s="1" t="n">
        <v>81964</v>
      </c>
      <c r="B81965">
        <f>TEXT(81964, "[$-0E0000]yyyy-mm-dd")</f>
        <v/>
      </c>
    </row>
    <row r="81966">
      <c r="A81966" s="1" t="n">
        <v>81965</v>
      </c>
      <c r="B81966">
        <f>TEXT(81965, "[$-0E0000]yyyy-mm-dd")</f>
        <v/>
      </c>
    </row>
    <row r="81967">
      <c r="A81967" s="1" t="n">
        <v>81966</v>
      </c>
      <c r="B81967">
        <f>TEXT(81966, "[$-0E0000]yyyy-mm-dd")</f>
        <v/>
      </c>
    </row>
    <row r="81968">
      <c r="A81968" s="1" t="n">
        <v>81967</v>
      </c>
      <c r="B81968">
        <f>TEXT(81967, "[$-0E0000]yyyy-mm-dd")</f>
        <v/>
      </c>
    </row>
    <row r="81969">
      <c r="A81969" s="1" t="n">
        <v>81968</v>
      </c>
      <c r="B81969">
        <f>TEXT(81968, "[$-0E0000]yyyy-mm-dd")</f>
        <v/>
      </c>
    </row>
    <row r="81970">
      <c r="A81970" s="1" t="n">
        <v>81969</v>
      </c>
      <c r="B81970">
        <f>TEXT(81969, "[$-0E0000]yyyy-mm-dd")</f>
        <v/>
      </c>
    </row>
    <row r="81971">
      <c r="A81971" s="1" t="n">
        <v>81970</v>
      </c>
      <c r="B81971">
        <f>TEXT(81970, "[$-0E0000]yyyy-mm-dd")</f>
        <v/>
      </c>
    </row>
    <row r="81972">
      <c r="A81972" s="1" t="n">
        <v>81971</v>
      </c>
      <c r="B81972">
        <f>TEXT(81971, "[$-0E0000]yyyy-mm-dd")</f>
        <v/>
      </c>
    </row>
    <row r="81973">
      <c r="A81973" s="1" t="n">
        <v>81972</v>
      </c>
      <c r="B81973">
        <f>TEXT(81972, "[$-0E0000]yyyy-mm-dd")</f>
        <v/>
      </c>
    </row>
    <row r="81974">
      <c r="A81974" s="1" t="n">
        <v>81973</v>
      </c>
      <c r="B81974">
        <f>TEXT(81973, "[$-0E0000]yyyy-mm-dd")</f>
        <v/>
      </c>
    </row>
    <row r="81975">
      <c r="A81975" s="1" t="n">
        <v>81974</v>
      </c>
      <c r="B81975">
        <f>TEXT(81974, "[$-0E0000]yyyy-mm-dd")</f>
        <v/>
      </c>
    </row>
    <row r="81976">
      <c r="A81976" s="1" t="n">
        <v>81975</v>
      </c>
      <c r="B81976">
        <f>TEXT(81975, "[$-0E0000]yyyy-mm-dd")</f>
        <v/>
      </c>
    </row>
    <row r="81977">
      <c r="A81977" s="1" t="n">
        <v>81976</v>
      </c>
      <c r="B81977">
        <f>TEXT(81976, "[$-0E0000]yyyy-mm-dd")</f>
        <v/>
      </c>
    </row>
    <row r="81978">
      <c r="A81978" s="1" t="n">
        <v>81977</v>
      </c>
      <c r="B81978">
        <f>TEXT(81977, "[$-0E0000]yyyy-mm-dd")</f>
        <v/>
      </c>
    </row>
    <row r="81979">
      <c r="A81979" s="1" t="n">
        <v>81978</v>
      </c>
      <c r="B81979">
        <f>TEXT(81978, "[$-0E0000]yyyy-mm-dd")</f>
        <v/>
      </c>
    </row>
    <row r="81980">
      <c r="A81980" s="1" t="n">
        <v>81979</v>
      </c>
      <c r="B81980">
        <f>TEXT(81979, "[$-0E0000]yyyy-mm-dd")</f>
        <v/>
      </c>
    </row>
    <row r="81981">
      <c r="A81981" s="1" t="n">
        <v>81980</v>
      </c>
      <c r="B81981">
        <f>TEXT(81980, "[$-0E0000]yyyy-mm-dd")</f>
        <v/>
      </c>
    </row>
    <row r="81982">
      <c r="A81982" s="1" t="n">
        <v>81981</v>
      </c>
      <c r="B81982">
        <f>TEXT(81981, "[$-0E0000]yyyy-mm-dd")</f>
        <v/>
      </c>
    </row>
    <row r="81983">
      <c r="A81983" s="1" t="n">
        <v>81982</v>
      </c>
      <c r="B81983">
        <f>TEXT(81982, "[$-0E0000]yyyy-mm-dd")</f>
        <v/>
      </c>
    </row>
    <row r="81984">
      <c r="A81984" s="1" t="n">
        <v>81983</v>
      </c>
      <c r="B81984">
        <f>TEXT(81983, "[$-0E0000]yyyy-mm-dd")</f>
        <v/>
      </c>
    </row>
    <row r="81985">
      <c r="A81985" s="1" t="n">
        <v>81984</v>
      </c>
      <c r="B81985">
        <f>TEXT(81984, "[$-0E0000]yyyy-mm-dd")</f>
        <v/>
      </c>
    </row>
    <row r="81986">
      <c r="A81986" s="1" t="n">
        <v>81985</v>
      </c>
      <c r="B81986">
        <f>TEXT(81985, "[$-0E0000]yyyy-mm-dd")</f>
        <v/>
      </c>
    </row>
    <row r="81987">
      <c r="A81987" s="1" t="n">
        <v>81986</v>
      </c>
      <c r="B81987">
        <f>TEXT(81986, "[$-0E0000]yyyy-mm-dd")</f>
        <v/>
      </c>
    </row>
    <row r="81988">
      <c r="A81988" s="1" t="n">
        <v>81987</v>
      </c>
      <c r="B81988">
        <f>TEXT(81987, "[$-0E0000]yyyy-mm-dd")</f>
        <v/>
      </c>
    </row>
    <row r="81989">
      <c r="A81989" s="1" t="n">
        <v>81988</v>
      </c>
      <c r="B81989">
        <f>TEXT(81988, "[$-0E0000]yyyy-mm-dd")</f>
        <v/>
      </c>
    </row>
    <row r="81990">
      <c r="A81990" s="1" t="n">
        <v>81989</v>
      </c>
      <c r="B81990">
        <f>TEXT(81989, "[$-0E0000]yyyy-mm-dd")</f>
        <v/>
      </c>
    </row>
    <row r="81991">
      <c r="A81991" s="1" t="n">
        <v>81990</v>
      </c>
      <c r="B81991">
        <f>TEXT(81990, "[$-0E0000]yyyy-mm-dd")</f>
        <v/>
      </c>
    </row>
    <row r="81992">
      <c r="A81992" s="1" t="n">
        <v>81991</v>
      </c>
      <c r="B81992">
        <f>TEXT(81991, "[$-0E0000]yyyy-mm-dd")</f>
        <v/>
      </c>
    </row>
    <row r="81993">
      <c r="A81993" s="1" t="n">
        <v>81992</v>
      </c>
      <c r="B81993">
        <f>TEXT(81992, "[$-0E0000]yyyy-mm-dd")</f>
        <v/>
      </c>
    </row>
    <row r="81994">
      <c r="A81994" s="1" t="n">
        <v>81993</v>
      </c>
      <c r="B81994">
        <f>TEXT(81993, "[$-0E0000]yyyy-mm-dd")</f>
        <v/>
      </c>
    </row>
    <row r="81995">
      <c r="A81995" s="1" t="n">
        <v>81994</v>
      </c>
      <c r="B81995">
        <f>TEXT(81994, "[$-0E0000]yyyy-mm-dd")</f>
        <v/>
      </c>
    </row>
    <row r="81996">
      <c r="A81996" s="1" t="n">
        <v>81995</v>
      </c>
      <c r="B81996">
        <f>TEXT(81995, "[$-0E0000]yyyy-mm-dd")</f>
        <v/>
      </c>
    </row>
    <row r="81997">
      <c r="A81997" s="1" t="n">
        <v>81996</v>
      </c>
      <c r="B81997">
        <f>TEXT(81996, "[$-0E0000]yyyy-mm-dd")</f>
        <v/>
      </c>
    </row>
    <row r="81998">
      <c r="A81998" s="1" t="n">
        <v>81997</v>
      </c>
      <c r="B81998">
        <f>TEXT(81997, "[$-0E0000]yyyy-mm-dd")</f>
        <v/>
      </c>
    </row>
    <row r="81999">
      <c r="A81999" s="1" t="n">
        <v>81998</v>
      </c>
      <c r="B81999">
        <f>TEXT(81998, "[$-0E0000]yyyy-mm-dd")</f>
        <v/>
      </c>
    </row>
    <row r="82000">
      <c r="A82000" s="1" t="n">
        <v>81999</v>
      </c>
      <c r="B82000">
        <f>TEXT(81999, "[$-0E0000]yyyy-mm-dd")</f>
        <v/>
      </c>
    </row>
    <row r="82001">
      <c r="A82001" s="1" t="n">
        <v>82000</v>
      </c>
      <c r="B82001">
        <f>TEXT(82000, "[$-0E0000]yyyy-mm-dd")</f>
        <v/>
      </c>
    </row>
    <row r="82002">
      <c r="A82002" s="1" t="n">
        <v>82001</v>
      </c>
      <c r="B82002">
        <f>TEXT(82001, "[$-0E0000]yyyy-mm-dd")</f>
        <v/>
      </c>
    </row>
    <row r="82003">
      <c r="A82003" s="1" t="n">
        <v>82002</v>
      </c>
      <c r="B82003">
        <f>TEXT(82002, "[$-0E0000]yyyy-mm-dd")</f>
        <v/>
      </c>
    </row>
    <row r="82004">
      <c r="A82004" s="1" t="n">
        <v>82003</v>
      </c>
      <c r="B82004">
        <f>TEXT(82003, "[$-0E0000]yyyy-mm-dd")</f>
        <v/>
      </c>
    </row>
    <row r="82005">
      <c r="A82005" s="1" t="n">
        <v>82004</v>
      </c>
      <c r="B82005">
        <f>TEXT(82004, "[$-0E0000]yyyy-mm-dd")</f>
        <v/>
      </c>
    </row>
    <row r="82006">
      <c r="A82006" s="1" t="n">
        <v>82005</v>
      </c>
      <c r="B82006">
        <f>TEXT(82005, "[$-0E0000]yyyy-mm-dd")</f>
        <v/>
      </c>
    </row>
    <row r="82007">
      <c r="A82007" s="1" t="n">
        <v>82006</v>
      </c>
      <c r="B82007">
        <f>TEXT(82006, "[$-0E0000]yyyy-mm-dd")</f>
        <v/>
      </c>
    </row>
    <row r="82008">
      <c r="A82008" s="1" t="n">
        <v>82007</v>
      </c>
      <c r="B82008">
        <f>TEXT(82007, "[$-0E0000]yyyy-mm-dd")</f>
        <v/>
      </c>
    </row>
    <row r="82009">
      <c r="A82009" s="1" t="n">
        <v>82008</v>
      </c>
      <c r="B82009">
        <f>TEXT(82008, "[$-0E0000]yyyy-mm-dd")</f>
        <v/>
      </c>
    </row>
    <row r="82010">
      <c r="A82010" s="1" t="n">
        <v>82009</v>
      </c>
      <c r="B82010">
        <f>TEXT(82009, "[$-0E0000]yyyy-mm-dd")</f>
        <v/>
      </c>
    </row>
    <row r="82011">
      <c r="A82011" s="1" t="n">
        <v>82010</v>
      </c>
      <c r="B82011">
        <f>TEXT(82010, "[$-0E0000]yyyy-mm-dd")</f>
        <v/>
      </c>
    </row>
    <row r="82012">
      <c r="A82012" s="1" t="n">
        <v>82011</v>
      </c>
      <c r="B82012">
        <f>TEXT(82011, "[$-0E0000]yyyy-mm-dd")</f>
        <v/>
      </c>
    </row>
    <row r="82013">
      <c r="A82013" s="1" t="n">
        <v>82012</v>
      </c>
      <c r="B82013">
        <f>TEXT(82012, "[$-0E0000]yyyy-mm-dd")</f>
        <v/>
      </c>
    </row>
    <row r="82014">
      <c r="A82014" s="1" t="n">
        <v>82013</v>
      </c>
      <c r="B82014">
        <f>TEXT(82013, "[$-0E0000]yyyy-mm-dd")</f>
        <v/>
      </c>
    </row>
    <row r="82015">
      <c r="A82015" s="1" t="n">
        <v>82014</v>
      </c>
      <c r="B82015">
        <f>TEXT(82014, "[$-0E0000]yyyy-mm-dd")</f>
        <v/>
      </c>
    </row>
    <row r="82016">
      <c r="A82016" s="1" t="n">
        <v>82015</v>
      </c>
      <c r="B82016">
        <f>TEXT(82015, "[$-0E0000]yyyy-mm-dd")</f>
        <v/>
      </c>
    </row>
    <row r="82017">
      <c r="A82017" s="1" t="n">
        <v>82016</v>
      </c>
      <c r="B82017">
        <f>TEXT(82016, "[$-0E0000]yyyy-mm-dd")</f>
        <v/>
      </c>
    </row>
    <row r="82018">
      <c r="A82018" s="1" t="n">
        <v>82017</v>
      </c>
      <c r="B82018">
        <f>TEXT(82017, "[$-0E0000]yyyy-mm-dd")</f>
        <v/>
      </c>
    </row>
    <row r="82019">
      <c r="A82019" s="1" t="n">
        <v>82018</v>
      </c>
      <c r="B82019">
        <f>TEXT(82018, "[$-0E0000]yyyy-mm-dd")</f>
        <v/>
      </c>
    </row>
    <row r="82020">
      <c r="A82020" s="1" t="n">
        <v>82019</v>
      </c>
      <c r="B82020">
        <f>TEXT(82019, "[$-0E0000]yyyy-mm-dd")</f>
        <v/>
      </c>
    </row>
    <row r="82021">
      <c r="A82021" s="1" t="n">
        <v>82020</v>
      </c>
      <c r="B82021">
        <f>TEXT(82020, "[$-0E0000]yyyy-mm-dd")</f>
        <v/>
      </c>
    </row>
    <row r="82022">
      <c r="A82022" s="1" t="n">
        <v>82021</v>
      </c>
      <c r="B82022">
        <f>TEXT(82021, "[$-0E0000]yyyy-mm-dd")</f>
        <v/>
      </c>
    </row>
    <row r="82023">
      <c r="A82023" s="1" t="n">
        <v>82022</v>
      </c>
      <c r="B82023">
        <f>TEXT(82022, "[$-0E0000]yyyy-mm-dd")</f>
        <v/>
      </c>
    </row>
    <row r="82024">
      <c r="A82024" s="1" t="n">
        <v>82023</v>
      </c>
      <c r="B82024">
        <f>TEXT(82023, "[$-0E0000]yyyy-mm-dd")</f>
        <v/>
      </c>
    </row>
    <row r="82025">
      <c r="A82025" s="1" t="n">
        <v>82024</v>
      </c>
      <c r="B82025">
        <f>TEXT(82024, "[$-0E0000]yyyy-mm-dd")</f>
        <v/>
      </c>
    </row>
    <row r="82026">
      <c r="A82026" s="1" t="n">
        <v>82025</v>
      </c>
      <c r="B82026">
        <f>TEXT(82025, "[$-0E0000]yyyy-mm-dd")</f>
        <v/>
      </c>
    </row>
    <row r="82027">
      <c r="A82027" s="1" t="n">
        <v>82026</v>
      </c>
      <c r="B82027">
        <f>TEXT(82026, "[$-0E0000]yyyy-mm-dd")</f>
        <v/>
      </c>
    </row>
    <row r="82028">
      <c r="A82028" s="1" t="n">
        <v>82027</v>
      </c>
      <c r="B82028">
        <f>TEXT(82027, "[$-0E0000]yyyy-mm-dd")</f>
        <v/>
      </c>
    </row>
    <row r="82029">
      <c r="A82029" s="1" t="n">
        <v>82028</v>
      </c>
      <c r="B82029">
        <f>TEXT(82028, "[$-0E0000]yyyy-mm-dd")</f>
        <v/>
      </c>
    </row>
    <row r="82030">
      <c r="A82030" s="1" t="n">
        <v>82029</v>
      </c>
      <c r="B82030">
        <f>TEXT(82029, "[$-0E0000]yyyy-mm-dd")</f>
        <v/>
      </c>
    </row>
    <row r="82031">
      <c r="A82031" s="1" t="n">
        <v>82030</v>
      </c>
      <c r="B82031">
        <f>TEXT(82030, "[$-0E0000]yyyy-mm-dd")</f>
        <v/>
      </c>
    </row>
    <row r="82032">
      <c r="A82032" s="1" t="n">
        <v>82031</v>
      </c>
      <c r="B82032">
        <f>TEXT(82031, "[$-0E0000]yyyy-mm-dd")</f>
        <v/>
      </c>
    </row>
    <row r="82033">
      <c r="A82033" s="1" t="n">
        <v>82032</v>
      </c>
      <c r="B82033">
        <f>TEXT(82032, "[$-0E0000]yyyy-mm-dd")</f>
        <v/>
      </c>
    </row>
    <row r="82034">
      <c r="A82034" s="1" t="n">
        <v>82033</v>
      </c>
      <c r="B82034">
        <f>TEXT(82033, "[$-0E0000]yyyy-mm-dd")</f>
        <v/>
      </c>
    </row>
    <row r="82035">
      <c r="A82035" s="1" t="n">
        <v>82034</v>
      </c>
      <c r="B82035">
        <f>TEXT(82034, "[$-0E0000]yyyy-mm-dd")</f>
        <v/>
      </c>
    </row>
    <row r="82036">
      <c r="A82036" s="1" t="n">
        <v>82035</v>
      </c>
      <c r="B82036">
        <f>TEXT(82035, "[$-0E0000]yyyy-mm-dd")</f>
        <v/>
      </c>
    </row>
    <row r="82037">
      <c r="A82037" s="1" t="n">
        <v>82036</v>
      </c>
      <c r="B82037">
        <f>TEXT(82036, "[$-0E0000]yyyy-mm-dd")</f>
        <v/>
      </c>
    </row>
    <row r="82038">
      <c r="A82038" s="1" t="n">
        <v>82037</v>
      </c>
      <c r="B82038">
        <f>TEXT(82037, "[$-0E0000]yyyy-mm-dd")</f>
        <v/>
      </c>
    </row>
    <row r="82039">
      <c r="A82039" s="1" t="n">
        <v>82038</v>
      </c>
      <c r="B82039">
        <f>TEXT(82038, "[$-0E0000]yyyy-mm-dd")</f>
        <v/>
      </c>
    </row>
    <row r="82040">
      <c r="A82040" s="1" t="n">
        <v>82039</v>
      </c>
      <c r="B82040">
        <f>TEXT(82039, "[$-0E0000]yyyy-mm-dd")</f>
        <v/>
      </c>
    </row>
    <row r="82041">
      <c r="A82041" s="1" t="n">
        <v>82040</v>
      </c>
      <c r="B82041">
        <f>TEXT(82040, "[$-0E0000]yyyy-mm-dd")</f>
        <v/>
      </c>
    </row>
    <row r="82042">
      <c r="A82042" s="1" t="n">
        <v>82041</v>
      </c>
      <c r="B82042">
        <f>TEXT(82041, "[$-0E0000]yyyy-mm-dd")</f>
        <v/>
      </c>
    </row>
    <row r="82043">
      <c r="A82043" s="1" t="n">
        <v>82042</v>
      </c>
      <c r="B82043">
        <f>TEXT(82042, "[$-0E0000]yyyy-mm-dd")</f>
        <v/>
      </c>
    </row>
    <row r="82044">
      <c r="A82044" s="1" t="n">
        <v>82043</v>
      </c>
      <c r="B82044">
        <f>TEXT(82043, "[$-0E0000]yyyy-mm-dd")</f>
        <v/>
      </c>
    </row>
    <row r="82045">
      <c r="A82045" s="1" t="n">
        <v>82044</v>
      </c>
      <c r="B82045">
        <f>TEXT(82044, "[$-0E0000]yyyy-mm-dd")</f>
        <v/>
      </c>
    </row>
    <row r="82046">
      <c r="A82046" s="1" t="n">
        <v>82045</v>
      </c>
      <c r="B82046">
        <f>TEXT(82045, "[$-0E0000]yyyy-mm-dd")</f>
        <v/>
      </c>
    </row>
    <row r="82047">
      <c r="A82047" s="1" t="n">
        <v>82046</v>
      </c>
      <c r="B82047">
        <f>TEXT(82046, "[$-0E0000]yyyy-mm-dd")</f>
        <v/>
      </c>
    </row>
    <row r="82048">
      <c r="A82048" s="1" t="n">
        <v>82047</v>
      </c>
      <c r="B82048">
        <f>TEXT(82047, "[$-0E0000]yyyy-mm-dd")</f>
        <v/>
      </c>
    </row>
    <row r="82049">
      <c r="A82049" s="1" t="n">
        <v>82048</v>
      </c>
      <c r="B82049">
        <f>TEXT(82048, "[$-0E0000]yyyy-mm-dd")</f>
        <v/>
      </c>
    </row>
    <row r="82050">
      <c r="A82050" s="1" t="n">
        <v>82049</v>
      </c>
      <c r="B82050">
        <f>TEXT(82049, "[$-0E0000]yyyy-mm-dd")</f>
        <v/>
      </c>
    </row>
    <row r="82051">
      <c r="A82051" s="1" t="n">
        <v>82050</v>
      </c>
      <c r="B82051">
        <f>TEXT(82050, "[$-0E0000]yyyy-mm-dd")</f>
        <v/>
      </c>
    </row>
    <row r="82052">
      <c r="A82052" s="1" t="n">
        <v>82051</v>
      </c>
      <c r="B82052">
        <f>TEXT(82051, "[$-0E0000]yyyy-mm-dd")</f>
        <v/>
      </c>
    </row>
    <row r="82053">
      <c r="A82053" s="1" t="n">
        <v>82052</v>
      </c>
      <c r="B82053">
        <f>TEXT(82052, "[$-0E0000]yyyy-mm-dd")</f>
        <v/>
      </c>
    </row>
    <row r="82054">
      <c r="A82054" s="1" t="n">
        <v>82053</v>
      </c>
      <c r="B82054">
        <f>TEXT(82053, "[$-0E0000]yyyy-mm-dd")</f>
        <v/>
      </c>
    </row>
    <row r="82055">
      <c r="A82055" s="1" t="n">
        <v>82054</v>
      </c>
      <c r="B82055">
        <f>TEXT(82054, "[$-0E0000]yyyy-mm-dd")</f>
        <v/>
      </c>
    </row>
    <row r="82056">
      <c r="A82056" s="1" t="n">
        <v>82055</v>
      </c>
      <c r="B82056">
        <f>TEXT(82055, "[$-0E0000]yyyy-mm-dd")</f>
        <v/>
      </c>
    </row>
    <row r="82057">
      <c r="A82057" s="1" t="n">
        <v>82056</v>
      </c>
      <c r="B82057">
        <f>TEXT(82056, "[$-0E0000]yyyy-mm-dd")</f>
        <v/>
      </c>
    </row>
    <row r="82058">
      <c r="A82058" s="1" t="n">
        <v>82057</v>
      </c>
      <c r="B82058">
        <f>TEXT(82057, "[$-0E0000]yyyy-mm-dd")</f>
        <v/>
      </c>
    </row>
    <row r="82059">
      <c r="A82059" s="1" t="n">
        <v>82058</v>
      </c>
      <c r="B82059">
        <f>TEXT(82058, "[$-0E0000]yyyy-mm-dd")</f>
        <v/>
      </c>
    </row>
    <row r="82060">
      <c r="A82060" s="1" t="n">
        <v>82059</v>
      </c>
      <c r="B82060">
        <f>TEXT(82059, "[$-0E0000]yyyy-mm-dd")</f>
        <v/>
      </c>
    </row>
    <row r="82061">
      <c r="A82061" s="1" t="n">
        <v>82060</v>
      </c>
      <c r="B82061">
        <f>TEXT(82060, "[$-0E0000]yyyy-mm-dd")</f>
        <v/>
      </c>
    </row>
    <row r="82062">
      <c r="A82062" s="1" t="n">
        <v>82061</v>
      </c>
      <c r="B82062">
        <f>TEXT(82061, "[$-0E0000]yyyy-mm-dd")</f>
        <v/>
      </c>
    </row>
    <row r="82063">
      <c r="A82063" s="1" t="n">
        <v>82062</v>
      </c>
      <c r="B82063">
        <f>TEXT(82062, "[$-0E0000]yyyy-mm-dd")</f>
        <v/>
      </c>
    </row>
    <row r="82064">
      <c r="A82064" s="1" t="n">
        <v>82063</v>
      </c>
      <c r="B82064">
        <f>TEXT(82063, "[$-0E0000]yyyy-mm-dd")</f>
        <v/>
      </c>
    </row>
    <row r="82065">
      <c r="A82065" s="1" t="n">
        <v>82064</v>
      </c>
      <c r="B82065">
        <f>TEXT(82064, "[$-0E0000]yyyy-mm-dd")</f>
        <v/>
      </c>
    </row>
    <row r="82066">
      <c r="A82066" s="1" t="n">
        <v>82065</v>
      </c>
      <c r="B82066">
        <f>TEXT(82065, "[$-0E0000]yyyy-mm-dd")</f>
        <v/>
      </c>
    </row>
    <row r="82067">
      <c r="A82067" s="1" t="n">
        <v>82066</v>
      </c>
      <c r="B82067">
        <f>TEXT(82066, "[$-0E0000]yyyy-mm-dd")</f>
        <v/>
      </c>
    </row>
    <row r="82068">
      <c r="A82068" s="1" t="n">
        <v>82067</v>
      </c>
      <c r="B82068">
        <f>TEXT(82067, "[$-0E0000]yyyy-mm-dd")</f>
        <v/>
      </c>
    </row>
    <row r="82069">
      <c r="A82069" s="1" t="n">
        <v>82068</v>
      </c>
      <c r="B82069">
        <f>TEXT(82068, "[$-0E0000]yyyy-mm-dd")</f>
        <v/>
      </c>
    </row>
    <row r="82070">
      <c r="A82070" s="1" t="n">
        <v>82069</v>
      </c>
      <c r="B82070">
        <f>TEXT(82069, "[$-0E0000]yyyy-mm-dd")</f>
        <v/>
      </c>
    </row>
    <row r="82071">
      <c r="A82071" s="1" t="n">
        <v>82070</v>
      </c>
      <c r="B82071">
        <f>TEXT(82070, "[$-0E0000]yyyy-mm-dd")</f>
        <v/>
      </c>
    </row>
    <row r="82072">
      <c r="A82072" s="1" t="n">
        <v>82071</v>
      </c>
      <c r="B82072">
        <f>TEXT(82071, "[$-0E0000]yyyy-mm-dd")</f>
        <v/>
      </c>
    </row>
    <row r="82073">
      <c r="A82073" s="1" t="n">
        <v>82072</v>
      </c>
      <c r="B82073">
        <f>TEXT(82072, "[$-0E0000]yyyy-mm-dd")</f>
        <v/>
      </c>
    </row>
    <row r="82074">
      <c r="A82074" s="1" t="n">
        <v>82073</v>
      </c>
      <c r="B82074">
        <f>TEXT(82073, "[$-0E0000]yyyy-mm-dd")</f>
        <v/>
      </c>
    </row>
    <row r="82075">
      <c r="A82075" s="1" t="n">
        <v>82074</v>
      </c>
      <c r="B82075">
        <f>TEXT(82074, "[$-0E0000]yyyy-mm-dd")</f>
        <v/>
      </c>
    </row>
    <row r="82076">
      <c r="A82076" s="1" t="n">
        <v>82075</v>
      </c>
      <c r="B82076">
        <f>TEXT(82075, "[$-0E0000]yyyy-mm-dd")</f>
        <v/>
      </c>
    </row>
    <row r="82077">
      <c r="A82077" s="1" t="n">
        <v>82076</v>
      </c>
      <c r="B82077">
        <f>TEXT(82076, "[$-0E0000]yyyy-mm-dd")</f>
        <v/>
      </c>
    </row>
    <row r="82078">
      <c r="A82078" s="1" t="n">
        <v>82077</v>
      </c>
      <c r="B82078">
        <f>TEXT(82077, "[$-0E0000]yyyy-mm-dd")</f>
        <v/>
      </c>
    </row>
    <row r="82079">
      <c r="A82079" s="1" t="n">
        <v>82078</v>
      </c>
      <c r="B82079">
        <f>TEXT(82078, "[$-0E0000]yyyy-mm-dd")</f>
        <v/>
      </c>
    </row>
    <row r="82080">
      <c r="A82080" s="1" t="n">
        <v>82079</v>
      </c>
      <c r="B82080">
        <f>TEXT(82079, "[$-0E0000]yyyy-mm-dd")</f>
        <v/>
      </c>
    </row>
    <row r="82081">
      <c r="A82081" s="1" t="n">
        <v>82080</v>
      </c>
      <c r="B82081">
        <f>TEXT(82080, "[$-0E0000]yyyy-mm-dd")</f>
        <v/>
      </c>
    </row>
    <row r="82082">
      <c r="A82082" s="1" t="n">
        <v>82081</v>
      </c>
      <c r="B82082">
        <f>TEXT(82081, "[$-0E0000]yyyy-mm-dd")</f>
        <v/>
      </c>
    </row>
    <row r="82083">
      <c r="A82083" s="1" t="n">
        <v>82082</v>
      </c>
      <c r="B82083">
        <f>TEXT(82082, "[$-0E0000]yyyy-mm-dd")</f>
        <v/>
      </c>
    </row>
    <row r="82084">
      <c r="A82084" s="1" t="n">
        <v>82083</v>
      </c>
      <c r="B82084">
        <f>TEXT(82083, "[$-0E0000]yyyy-mm-dd")</f>
        <v/>
      </c>
    </row>
    <row r="82085">
      <c r="A82085" s="1" t="n">
        <v>82084</v>
      </c>
      <c r="B82085">
        <f>TEXT(82084, "[$-0E0000]yyyy-mm-dd")</f>
        <v/>
      </c>
    </row>
    <row r="82086">
      <c r="A82086" s="1" t="n">
        <v>82085</v>
      </c>
      <c r="B82086">
        <f>TEXT(82085, "[$-0E0000]yyyy-mm-dd")</f>
        <v/>
      </c>
    </row>
    <row r="82087">
      <c r="A82087" s="1" t="n">
        <v>82086</v>
      </c>
      <c r="B82087">
        <f>TEXT(82086, "[$-0E0000]yyyy-mm-dd")</f>
        <v/>
      </c>
    </row>
    <row r="82088">
      <c r="A82088" s="1" t="n">
        <v>82087</v>
      </c>
      <c r="B82088">
        <f>TEXT(82087, "[$-0E0000]yyyy-mm-dd")</f>
        <v/>
      </c>
    </row>
    <row r="82089">
      <c r="A82089" s="1" t="n">
        <v>82088</v>
      </c>
      <c r="B82089">
        <f>TEXT(82088, "[$-0E0000]yyyy-mm-dd")</f>
        <v/>
      </c>
    </row>
    <row r="82090">
      <c r="A82090" s="1" t="n">
        <v>82089</v>
      </c>
      <c r="B82090">
        <f>TEXT(82089, "[$-0E0000]yyyy-mm-dd")</f>
        <v/>
      </c>
    </row>
    <row r="82091">
      <c r="A82091" s="1" t="n">
        <v>82090</v>
      </c>
      <c r="B82091">
        <f>TEXT(82090, "[$-0E0000]yyyy-mm-dd")</f>
        <v/>
      </c>
    </row>
    <row r="82092">
      <c r="A82092" s="1" t="n">
        <v>82091</v>
      </c>
      <c r="B82092">
        <f>TEXT(82091, "[$-0E0000]yyyy-mm-dd")</f>
        <v/>
      </c>
    </row>
    <row r="82093">
      <c r="A82093" s="1" t="n">
        <v>82092</v>
      </c>
      <c r="B82093">
        <f>TEXT(82092, "[$-0E0000]yyyy-mm-dd")</f>
        <v/>
      </c>
    </row>
    <row r="82094">
      <c r="A82094" s="1" t="n">
        <v>82093</v>
      </c>
      <c r="B82094">
        <f>TEXT(82093, "[$-0E0000]yyyy-mm-dd")</f>
        <v/>
      </c>
    </row>
    <row r="82095">
      <c r="A82095" s="1" t="n">
        <v>82094</v>
      </c>
      <c r="B82095">
        <f>TEXT(82094, "[$-0E0000]yyyy-mm-dd")</f>
        <v/>
      </c>
    </row>
    <row r="82096">
      <c r="A82096" s="1" t="n">
        <v>82095</v>
      </c>
      <c r="B82096">
        <f>TEXT(82095, "[$-0E0000]yyyy-mm-dd")</f>
        <v/>
      </c>
    </row>
    <row r="82097">
      <c r="A82097" s="1" t="n">
        <v>82096</v>
      </c>
      <c r="B82097">
        <f>TEXT(82096, "[$-0E0000]yyyy-mm-dd")</f>
        <v/>
      </c>
    </row>
    <row r="82098">
      <c r="A82098" s="1" t="n">
        <v>82097</v>
      </c>
      <c r="B82098">
        <f>TEXT(82097, "[$-0E0000]yyyy-mm-dd")</f>
        <v/>
      </c>
    </row>
    <row r="82099">
      <c r="A82099" s="1" t="n">
        <v>82098</v>
      </c>
      <c r="B82099">
        <f>TEXT(82098, "[$-0E0000]yyyy-mm-dd")</f>
        <v/>
      </c>
    </row>
    <row r="82100">
      <c r="A82100" s="1" t="n">
        <v>82099</v>
      </c>
      <c r="B82100">
        <f>TEXT(82099, "[$-0E0000]yyyy-mm-dd")</f>
        <v/>
      </c>
    </row>
    <row r="82101">
      <c r="A82101" s="1" t="n">
        <v>82100</v>
      </c>
      <c r="B82101">
        <f>TEXT(82100, "[$-0E0000]yyyy-mm-dd")</f>
        <v/>
      </c>
    </row>
    <row r="82102">
      <c r="A82102" s="1" t="n">
        <v>82101</v>
      </c>
      <c r="B82102">
        <f>TEXT(82101, "[$-0E0000]yyyy-mm-dd")</f>
        <v/>
      </c>
    </row>
    <row r="82103">
      <c r="A82103" s="1" t="n">
        <v>82102</v>
      </c>
      <c r="B82103">
        <f>TEXT(82102, "[$-0E0000]yyyy-mm-dd")</f>
        <v/>
      </c>
    </row>
    <row r="82104">
      <c r="A82104" s="1" t="n">
        <v>82103</v>
      </c>
      <c r="B82104">
        <f>TEXT(82103, "[$-0E0000]yyyy-mm-dd")</f>
        <v/>
      </c>
    </row>
    <row r="82105">
      <c r="A82105" s="1" t="n">
        <v>82104</v>
      </c>
      <c r="B82105">
        <f>TEXT(82104, "[$-0E0000]yyyy-mm-dd")</f>
        <v/>
      </c>
    </row>
    <row r="82106">
      <c r="A82106" s="1" t="n">
        <v>82105</v>
      </c>
      <c r="B82106">
        <f>TEXT(82105, "[$-0E0000]yyyy-mm-dd")</f>
        <v/>
      </c>
    </row>
    <row r="82107">
      <c r="A82107" s="1" t="n">
        <v>82106</v>
      </c>
      <c r="B82107">
        <f>TEXT(82106, "[$-0E0000]yyyy-mm-dd")</f>
        <v/>
      </c>
    </row>
    <row r="82108">
      <c r="A82108" s="1" t="n">
        <v>82107</v>
      </c>
      <c r="B82108">
        <f>TEXT(82107, "[$-0E0000]yyyy-mm-dd")</f>
        <v/>
      </c>
    </row>
    <row r="82109">
      <c r="A82109" s="1" t="n">
        <v>82108</v>
      </c>
      <c r="B82109">
        <f>TEXT(82108, "[$-0E0000]yyyy-mm-dd")</f>
        <v/>
      </c>
    </row>
    <row r="82110">
      <c r="A82110" s="1" t="n">
        <v>82109</v>
      </c>
      <c r="B82110">
        <f>TEXT(82109, "[$-0E0000]yyyy-mm-dd")</f>
        <v/>
      </c>
    </row>
    <row r="82111">
      <c r="A82111" s="1" t="n">
        <v>82110</v>
      </c>
      <c r="B82111">
        <f>TEXT(82110, "[$-0E0000]yyyy-mm-dd")</f>
        <v/>
      </c>
    </row>
    <row r="82112">
      <c r="A82112" s="1" t="n">
        <v>82111</v>
      </c>
      <c r="B82112">
        <f>TEXT(82111, "[$-0E0000]yyyy-mm-dd")</f>
        <v/>
      </c>
    </row>
    <row r="82113">
      <c r="A82113" s="1" t="n">
        <v>82112</v>
      </c>
      <c r="B82113">
        <f>TEXT(82112, "[$-0E0000]yyyy-mm-dd")</f>
        <v/>
      </c>
    </row>
    <row r="82114">
      <c r="A82114" s="1" t="n">
        <v>82113</v>
      </c>
      <c r="B82114">
        <f>TEXT(82113, "[$-0E0000]yyyy-mm-dd")</f>
        <v/>
      </c>
    </row>
    <row r="82115">
      <c r="A82115" s="1" t="n">
        <v>82114</v>
      </c>
      <c r="B82115">
        <f>TEXT(82114, "[$-0E0000]yyyy-mm-dd")</f>
        <v/>
      </c>
    </row>
    <row r="82116">
      <c r="A82116" s="1" t="n">
        <v>82115</v>
      </c>
      <c r="B82116">
        <f>TEXT(82115, "[$-0E0000]yyyy-mm-dd")</f>
        <v/>
      </c>
    </row>
    <row r="82117">
      <c r="A82117" s="1" t="n">
        <v>82116</v>
      </c>
      <c r="B82117">
        <f>TEXT(82116, "[$-0E0000]yyyy-mm-dd")</f>
        <v/>
      </c>
    </row>
    <row r="82118">
      <c r="A82118" s="1" t="n">
        <v>82117</v>
      </c>
      <c r="B82118">
        <f>TEXT(82117, "[$-0E0000]yyyy-mm-dd")</f>
        <v/>
      </c>
    </row>
    <row r="82119">
      <c r="A82119" s="1" t="n">
        <v>82118</v>
      </c>
      <c r="B82119">
        <f>TEXT(82118, "[$-0E0000]yyyy-mm-dd")</f>
        <v/>
      </c>
    </row>
    <row r="82120">
      <c r="A82120" s="1" t="n">
        <v>82119</v>
      </c>
      <c r="B82120">
        <f>TEXT(82119, "[$-0E0000]yyyy-mm-dd")</f>
        <v/>
      </c>
    </row>
    <row r="82121">
      <c r="A82121" s="1" t="n">
        <v>82120</v>
      </c>
      <c r="B82121">
        <f>TEXT(82120, "[$-0E0000]yyyy-mm-dd")</f>
        <v/>
      </c>
    </row>
    <row r="82122">
      <c r="A82122" s="1" t="n">
        <v>82121</v>
      </c>
      <c r="B82122">
        <f>TEXT(82121, "[$-0E0000]yyyy-mm-dd")</f>
        <v/>
      </c>
    </row>
    <row r="82123">
      <c r="A82123" s="1" t="n">
        <v>82122</v>
      </c>
      <c r="B82123">
        <f>TEXT(82122, "[$-0E0000]yyyy-mm-dd")</f>
        <v/>
      </c>
    </row>
    <row r="82124">
      <c r="A82124" s="1" t="n">
        <v>82123</v>
      </c>
      <c r="B82124">
        <f>TEXT(82123, "[$-0E0000]yyyy-mm-dd")</f>
        <v/>
      </c>
    </row>
    <row r="82125">
      <c r="A82125" s="1" t="n">
        <v>82124</v>
      </c>
      <c r="B82125">
        <f>TEXT(82124, "[$-0E0000]yyyy-mm-dd")</f>
        <v/>
      </c>
    </row>
    <row r="82126">
      <c r="A82126" s="1" t="n">
        <v>82125</v>
      </c>
      <c r="B82126">
        <f>TEXT(82125, "[$-0E0000]yyyy-mm-dd")</f>
        <v/>
      </c>
    </row>
    <row r="82127">
      <c r="A82127" s="1" t="n">
        <v>82126</v>
      </c>
      <c r="B82127">
        <f>TEXT(82126, "[$-0E0000]yyyy-mm-dd")</f>
        <v/>
      </c>
    </row>
    <row r="82128">
      <c r="A82128" s="1" t="n">
        <v>82127</v>
      </c>
      <c r="B82128">
        <f>TEXT(82127, "[$-0E0000]yyyy-mm-dd")</f>
        <v/>
      </c>
    </row>
    <row r="82129">
      <c r="A82129" s="1" t="n">
        <v>82128</v>
      </c>
      <c r="B82129">
        <f>TEXT(82128, "[$-0E0000]yyyy-mm-dd")</f>
        <v/>
      </c>
    </row>
    <row r="82130">
      <c r="A82130" s="1" t="n">
        <v>82129</v>
      </c>
      <c r="B82130">
        <f>TEXT(82129, "[$-0E0000]yyyy-mm-dd")</f>
        <v/>
      </c>
    </row>
    <row r="82131">
      <c r="A82131" s="1" t="n">
        <v>82130</v>
      </c>
      <c r="B82131">
        <f>TEXT(82130, "[$-0E0000]yyyy-mm-dd")</f>
        <v/>
      </c>
    </row>
    <row r="82132">
      <c r="A82132" s="1" t="n">
        <v>82131</v>
      </c>
      <c r="B82132">
        <f>TEXT(82131, "[$-0E0000]yyyy-mm-dd")</f>
        <v/>
      </c>
    </row>
    <row r="82133">
      <c r="A82133" s="1" t="n">
        <v>82132</v>
      </c>
      <c r="B82133">
        <f>TEXT(82132, "[$-0E0000]yyyy-mm-dd")</f>
        <v/>
      </c>
    </row>
    <row r="82134">
      <c r="A82134" s="1" t="n">
        <v>82133</v>
      </c>
      <c r="B82134">
        <f>TEXT(82133, "[$-0E0000]yyyy-mm-dd")</f>
        <v/>
      </c>
    </row>
    <row r="82135">
      <c r="A82135" s="1" t="n">
        <v>82134</v>
      </c>
      <c r="B82135">
        <f>TEXT(82134, "[$-0E0000]yyyy-mm-dd")</f>
        <v/>
      </c>
    </row>
    <row r="82136">
      <c r="A82136" s="1" t="n">
        <v>82135</v>
      </c>
      <c r="B82136">
        <f>TEXT(82135, "[$-0E0000]yyyy-mm-dd")</f>
        <v/>
      </c>
    </row>
    <row r="82137">
      <c r="A82137" s="1" t="n">
        <v>82136</v>
      </c>
      <c r="B82137">
        <f>TEXT(82136, "[$-0E0000]yyyy-mm-dd")</f>
        <v/>
      </c>
    </row>
    <row r="82138">
      <c r="A82138" s="1" t="n">
        <v>82137</v>
      </c>
      <c r="B82138">
        <f>TEXT(82137, "[$-0E0000]yyyy-mm-dd")</f>
        <v/>
      </c>
    </row>
    <row r="82139">
      <c r="A82139" s="1" t="n">
        <v>82138</v>
      </c>
      <c r="B82139">
        <f>TEXT(82138, "[$-0E0000]yyyy-mm-dd")</f>
        <v/>
      </c>
    </row>
    <row r="82140">
      <c r="A82140" s="1" t="n">
        <v>82139</v>
      </c>
      <c r="B82140">
        <f>TEXT(82139, "[$-0E0000]yyyy-mm-dd")</f>
        <v/>
      </c>
    </row>
    <row r="82141">
      <c r="A82141" s="1" t="n">
        <v>82140</v>
      </c>
      <c r="B82141">
        <f>TEXT(82140, "[$-0E0000]yyyy-mm-dd")</f>
        <v/>
      </c>
    </row>
    <row r="82142">
      <c r="A82142" s="1" t="n">
        <v>82141</v>
      </c>
      <c r="B82142">
        <f>TEXT(82141, "[$-0E0000]yyyy-mm-dd")</f>
        <v/>
      </c>
    </row>
    <row r="82143">
      <c r="A82143" s="1" t="n">
        <v>82142</v>
      </c>
      <c r="B82143">
        <f>TEXT(82142, "[$-0E0000]yyyy-mm-dd")</f>
        <v/>
      </c>
    </row>
    <row r="82144">
      <c r="A82144" s="1" t="n">
        <v>82143</v>
      </c>
      <c r="B82144">
        <f>TEXT(82143, "[$-0E0000]yyyy-mm-dd")</f>
        <v/>
      </c>
    </row>
    <row r="82145">
      <c r="A82145" s="1" t="n">
        <v>82144</v>
      </c>
      <c r="B82145">
        <f>TEXT(82144, "[$-0E0000]yyyy-mm-dd")</f>
        <v/>
      </c>
    </row>
    <row r="82146">
      <c r="A82146" s="1" t="n">
        <v>82145</v>
      </c>
      <c r="B82146">
        <f>TEXT(82145, "[$-0E0000]yyyy-mm-dd")</f>
        <v/>
      </c>
    </row>
    <row r="82147">
      <c r="A82147" s="1" t="n">
        <v>82146</v>
      </c>
      <c r="B82147">
        <f>TEXT(82146, "[$-0E0000]yyyy-mm-dd")</f>
        <v/>
      </c>
    </row>
    <row r="82148">
      <c r="A82148" s="1" t="n">
        <v>82147</v>
      </c>
      <c r="B82148">
        <f>TEXT(82147, "[$-0E0000]yyyy-mm-dd")</f>
        <v/>
      </c>
    </row>
    <row r="82149">
      <c r="A82149" s="1" t="n">
        <v>82148</v>
      </c>
      <c r="B82149">
        <f>TEXT(82148, "[$-0E0000]yyyy-mm-dd")</f>
        <v/>
      </c>
    </row>
    <row r="82150">
      <c r="A82150" s="1" t="n">
        <v>82149</v>
      </c>
      <c r="B82150">
        <f>TEXT(82149, "[$-0E0000]yyyy-mm-dd")</f>
        <v/>
      </c>
    </row>
    <row r="82151">
      <c r="A82151" s="1" t="n">
        <v>82150</v>
      </c>
      <c r="B82151">
        <f>TEXT(82150, "[$-0E0000]yyyy-mm-dd")</f>
        <v/>
      </c>
    </row>
    <row r="82152">
      <c r="A82152" s="1" t="n">
        <v>82151</v>
      </c>
      <c r="B82152">
        <f>TEXT(82151, "[$-0E0000]yyyy-mm-dd")</f>
        <v/>
      </c>
    </row>
    <row r="82153">
      <c r="A82153" s="1" t="n">
        <v>82152</v>
      </c>
      <c r="B82153">
        <f>TEXT(82152, "[$-0E0000]yyyy-mm-dd")</f>
        <v/>
      </c>
    </row>
    <row r="82154">
      <c r="A82154" s="1" t="n">
        <v>82153</v>
      </c>
      <c r="B82154">
        <f>TEXT(82153, "[$-0E0000]yyyy-mm-dd")</f>
        <v/>
      </c>
    </row>
    <row r="82155">
      <c r="A82155" s="1" t="n">
        <v>82154</v>
      </c>
      <c r="B82155">
        <f>TEXT(82154, "[$-0E0000]yyyy-mm-dd")</f>
        <v/>
      </c>
    </row>
    <row r="82156">
      <c r="A82156" s="1" t="n">
        <v>82155</v>
      </c>
      <c r="B82156">
        <f>TEXT(82155, "[$-0E0000]yyyy-mm-dd")</f>
        <v/>
      </c>
    </row>
    <row r="82157">
      <c r="A82157" s="1" t="n">
        <v>82156</v>
      </c>
      <c r="B82157">
        <f>TEXT(82156, "[$-0E0000]yyyy-mm-dd")</f>
        <v/>
      </c>
    </row>
    <row r="82158">
      <c r="A82158" s="1" t="n">
        <v>82157</v>
      </c>
      <c r="B82158">
        <f>TEXT(82157, "[$-0E0000]yyyy-mm-dd")</f>
        <v/>
      </c>
    </row>
    <row r="82159">
      <c r="A82159" s="1" t="n">
        <v>82158</v>
      </c>
      <c r="B82159">
        <f>TEXT(82158, "[$-0E0000]yyyy-mm-dd")</f>
        <v/>
      </c>
    </row>
    <row r="82160">
      <c r="A82160" s="1" t="n">
        <v>82159</v>
      </c>
      <c r="B82160">
        <f>TEXT(82159, "[$-0E0000]yyyy-mm-dd")</f>
        <v/>
      </c>
    </row>
    <row r="82161">
      <c r="A82161" s="1" t="n">
        <v>82160</v>
      </c>
      <c r="B82161">
        <f>TEXT(82160, "[$-0E0000]yyyy-mm-dd")</f>
        <v/>
      </c>
    </row>
    <row r="82162">
      <c r="A82162" s="1" t="n">
        <v>82161</v>
      </c>
      <c r="B82162">
        <f>TEXT(82161, "[$-0E0000]yyyy-mm-dd")</f>
        <v/>
      </c>
    </row>
    <row r="82163">
      <c r="A82163" s="1" t="n">
        <v>82162</v>
      </c>
      <c r="B82163">
        <f>TEXT(82162, "[$-0E0000]yyyy-mm-dd")</f>
        <v/>
      </c>
    </row>
    <row r="82164">
      <c r="A82164" s="1" t="n">
        <v>82163</v>
      </c>
      <c r="B82164">
        <f>TEXT(82163, "[$-0E0000]yyyy-mm-dd")</f>
        <v/>
      </c>
    </row>
    <row r="82165">
      <c r="A82165" s="1" t="n">
        <v>82164</v>
      </c>
      <c r="B82165">
        <f>TEXT(82164, "[$-0E0000]yyyy-mm-dd")</f>
        <v/>
      </c>
    </row>
    <row r="82166">
      <c r="A82166" s="1" t="n">
        <v>82165</v>
      </c>
      <c r="B82166">
        <f>TEXT(82165, "[$-0E0000]yyyy-mm-dd")</f>
        <v/>
      </c>
    </row>
    <row r="82167">
      <c r="A82167" s="1" t="n">
        <v>82166</v>
      </c>
      <c r="B82167">
        <f>TEXT(82166, "[$-0E0000]yyyy-mm-dd")</f>
        <v/>
      </c>
    </row>
    <row r="82168">
      <c r="A82168" s="1" t="n">
        <v>82167</v>
      </c>
      <c r="B82168">
        <f>TEXT(82167, "[$-0E0000]yyyy-mm-dd")</f>
        <v/>
      </c>
    </row>
    <row r="82169">
      <c r="A82169" s="1" t="n">
        <v>82168</v>
      </c>
      <c r="B82169">
        <f>TEXT(82168, "[$-0E0000]yyyy-mm-dd")</f>
        <v/>
      </c>
    </row>
    <row r="82170">
      <c r="A82170" s="1" t="n">
        <v>82169</v>
      </c>
      <c r="B82170">
        <f>TEXT(82169, "[$-0E0000]yyyy-mm-dd")</f>
        <v/>
      </c>
    </row>
    <row r="82171">
      <c r="A82171" s="1" t="n">
        <v>82170</v>
      </c>
      <c r="B82171">
        <f>TEXT(82170, "[$-0E0000]yyyy-mm-dd")</f>
        <v/>
      </c>
    </row>
    <row r="82172">
      <c r="A82172" s="1" t="n">
        <v>82171</v>
      </c>
      <c r="B82172">
        <f>TEXT(82171, "[$-0E0000]yyyy-mm-dd")</f>
        <v/>
      </c>
    </row>
    <row r="82173">
      <c r="A82173" s="1" t="n">
        <v>82172</v>
      </c>
      <c r="B82173">
        <f>TEXT(82172, "[$-0E0000]yyyy-mm-dd")</f>
        <v/>
      </c>
    </row>
    <row r="82174">
      <c r="A82174" s="1" t="n">
        <v>82173</v>
      </c>
      <c r="B82174">
        <f>TEXT(82173, "[$-0E0000]yyyy-mm-dd")</f>
        <v/>
      </c>
    </row>
    <row r="82175">
      <c r="A82175" s="1" t="n">
        <v>82174</v>
      </c>
      <c r="B82175">
        <f>TEXT(82174, "[$-0E0000]yyyy-mm-dd")</f>
        <v/>
      </c>
    </row>
    <row r="82176">
      <c r="A82176" s="1" t="n">
        <v>82175</v>
      </c>
      <c r="B82176">
        <f>TEXT(82175, "[$-0E0000]yyyy-mm-dd")</f>
        <v/>
      </c>
    </row>
    <row r="82177">
      <c r="A82177" s="1" t="n">
        <v>82176</v>
      </c>
      <c r="B82177">
        <f>TEXT(82176, "[$-0E0000]yyyy-mm-dd")</f>
        <v/>
      </c>
    </row>
    <row r="82178">
      <c r="A82178" s="1" t="n">
        <v>82177</v>
      </c>
      <c r="B82178">
        <f>TEXT(82177, "[$-0E0000]yyyy-mm-dd")</f>
        <v/>
      </c>
    </row>
    <row r="82179">
      <c r="A82179" s="1" t="n">
        <v>82178</v>
      </c>
      <c r="B82179">
        <f>TEXT(82178, "[$-0E0000]yyyy-mm-dd")</f>
        <v/>
      </c>
    </row>
    <row r="82180">
      <c r="A82180" s="1" t="n">
        <v>82179</v>
      </c>
      <c r="B82180">
        <f>TEXT(82179, "[$-0E0000]yyyy-mm-dd")</f>
        <v/>
      </c>
    </row>
    <row r="82181">
      <c r="A82181" s="1" t="n">
        <v>82180</v>
      </c>
      <c r="B82181">
        <f>TEXT(82180, "[$-0E0000]yyyy-mm-dd")</f>
        <v/>
      </c>
    </row>
    <row r="82182">
      <c r="A82182" s="1" t="n">
        <v>82181</v>
      </c>
      <c r="B82182">
        <f>TEXT(82181, "[$-0E0000]yyyy-mm-dd")</f>
        <v/>
      </c>
    </row>
    <row r="82183">
      <c r="A82183" s="1" t="n">
        <v>82182</v>
      </c>
      <c r="B82183">
        <f>TEXT(82182, "[$-0E0000]yyyy-mm-dd")</f>
        <v/>
      </c>
    </row>
    <row r="82184">
      <c r="A82184" s="1" t="n">
        <v>82183</v>
      </c>
      <c r="B82184">
        <f>TEXT(82183, "[$-0E0000]yyyy-mm-dd")</f>
        <v/>
      </c>
    </row>
    <row r="82185">
      <c r="A82185" s="1" t="n">
        <v>82184</v>
      </c>
      <c r="B82185">
        <f>TEXT(82184, "[$-0E0000]yyyy-mm-dd")</f>
        <v/>
      </c>
    </row>
    <row r="82186">
      <c r="A82186" s="1" t="n">
        <v>82185</v>
      </c>
      <c r="B82186">
        <f>TEXT(82185, "[$-0E0000]yyyy-mm-dd")</f>
        <v/>
      </c>
    </row>
    <row r="82187">
      <c r="A82187" s="1" t="n">
        <v>82186</v>
      </c>
      <c r="B82187">
        <f>TEXT(82186, "[$-0E0000]yyyy-mm-dd")</f>
        <v/>
      </c>
    </row>
    <row r="82188">
      <c r="A82188" s="1" t="n">
        <v>82187</v>
      </c>
      <c r="B82188">
        <f>TEXT(82187, "[$-0E0000]yyyy-mm-dd")</f>
        <v/>
      </c>
    </row>
    <row r="82189">
      <c r="A82189" s="1" t="n">
        <v>82188</v>
      </c>
      <c r="B82189">
        <f>TEXT(82188, "[$-0E0000]yyyy-mm-dd")</f>
        <v/>
      </c>
    </row>
    <row r="82190">
      <c r="A82190" s="1" t="n">
        <v>82189</v>
      </c>
      <c r="B82190">
        <f>TEXT(82189, "[$-0E0000]yyyy-mm-dd")</f>
        <v/>
      </c>
    </row>
    <row r="82191">
      <c r="A82191" s="1" t="n">
        <v>82190</v>
      </c>
      <c r="B82191">
        <f>TEXT(82190, "[$-0E0000]yyyy-mm-dd")</f>
        <v/>
      </c>
    </row>
    <row r="82192">
      <c r="A82192" s="1" t="n">
        <v>82191</v>
      </c>
      <c r="B82192">
        <f>TEXT(82191, "[$-0E0000]yyyy-mm-dd")</f>
        <v/>
      </c>
    </row>
    <row r="82193">
      <c r="A82193" s="1" t="n">
        <v>82192</v>
      </c>
      <c r="B82193">
        <f>TEXT(82192, "[$-0E0000]yyyy-mm-dd")</f>
        <v/>
      </c>
    </row>
    <row r="82194">
      <c r="A82194" s="1" t="n">
        <v>82193</v>
      </c>
      <c r="B82194">
        <f>TEXT(82193, "[$-0E0000]yyyy-mm-dd")</f>
        <v/>
      </c>
    </row>
    <row r="82195">
      <c r="A82195" s="1" t="n">
        <v>82194</v>
      </c>
      <c r="B82195">
        <f>TEXT(82194, "[$-0E0000]yyyy-mm-dd")</f>
        <v/>
      </c>
    </row>
    <row r="82196">
      <c r="A82196" s="1" t="n">
        <v>82195</v>
      </c>
      <c r="B82196">
        <f>TEXT(82195, "[$-0E0000]yyyy-mm-dd")</f>
        <v/>
      </c>
    </row>
    <row r="82197">
      <c r="A82197" s="1" t="n">
        <v>82196</v>
      </c>
      <c r="B82197">
        <f>TEXT(82196, "[$-0E0000]yyyy-mm-dd")</f>
        <v/>
      </c>
    </row>
    <row r="82198">
      <c r="A82198" s="1" t="n">
        <v>82197</v>
      </c>
      <c r="B82198">
        <f>TEXT(82197, "[$-0E0000]yyyy-mm-dd")</f>
        <v/>
      </c>
    </row>
    <row r="82199">
      <c r="A82199" s="1" t="n">
        <v>82198</v>
      </c>
      <c r="B82199">
        <f>TEXT(82198, "[$-0E0000]yyyy-mm-dd")</f>
        <v/>
      </c>
    </row>
    <row r="82200">
      <c r="A82200" s="1" t="n">
        <v>82199</v>
      </c>
      <c r="B82200">
        <f>TEXT(82199, "[$-0E0000]yyyy-mm-dd")</f>
        <v/>
      </c>
    </row>
    <row r="82201">
      <c r="A82201" s="1" t="n">
        <v>82200</v>
      </c>
      <c r="B82201">
        <f>TEXT(82200, "[$-0E0000]yyyy-mm-dd")</f>
        <v/>
      </c>
    </row>
    <row r="82202">
      <c r="A82202" s="1" t="n">
        <v>82201</v>
      </c>
      <c r="B82202">
        <f>TEXT(82201, "[$-0E0000]yyyy-mm-dd")</f>
        <v/>
      </c>
    </row>
    <row r="82203">
      <c r="A82203" s="1" t="n">
        <v>82202</v>
      </c>
      <c r="B82203">
        <f>TEXT(82202, "[$-0E0000]yyyy-mm-dd")</f>
        <v/>
      </c>
    </row>
    <row r="82204">
      <c r="A82204" s="1" t="n">
        <v>82203</v>
      </c>
      <c r="B82204">
        <f>TEXT(82203, "[$-0E0000]yyyy-mm-dd")</f>
        <v/>
      </c>
    </row>
    <row r="82205">
      <c r="A82205" s="1" t="n">
        <v>82204</v>
      </c>
      <c r="B82205">
        <f>TEXT(82204, "[$-0E0000]yyyy-mm-dd")</f>
        <v/>
      </c>
    </row>
    <row r="82206">
      <c r="A82206" s="1" t="n">
        <v>82205</v>
      </c>
      <c r="B82206">
        <f>TEXT(82205, "[$-0E0000]yyyy-mm-dd")</f>
        <v/>
      </c>
    </row>
    <row r="82207">
      <c r="A82207" s="1" t="n">
        <v>82206</v>
      </c>
      <c r="B82207">
        <f>TEXT(82206, "[$-0E0000]yyyy-mm-dd")</f>
        <v/>
      </c>
    </row>
    <row r="82208">
      <c r="A82208" s="1" t="n">
        <v>82207</v>
      </c>
      <c r="B82208">
        <f>TEXT(82207, "[$-0E0000]yyyy-mm-dd")</f>
        <v/>
      </c>
    </row>
    <row r="82209">
      <c r="A82209" s="1" t="n">
        <v>82208</v>
      </c>
      <c r="B82209">
        <f>TEXT(82208, "[$-0E0000]yyyy-mm-dd")</f>
        <v/>
      </c>
    </row>
    <row r="82210">
      <c r="A82210" s="1" t="n">
        <v>82209</v>
      </c>
      <c r="B82210">
        <f>TEXT(82209, "[$-0E0000]yyyy-mm-dd")</f>
        <v/>
      </c>
    </row>
    <row r="82211">
      <c r="A82211" s="1" t="n">
        <v>82210</v>
      </c>
      <c r="B82211">
        <f>TEXT(82210, "[$-0E0000]yyyy-mm-dd")</f>
        <v/>
      </c>
    </row>
    <row r="82212">
      <c r="A82212" s="1" t="n">
        <v>82211</v>
      </c>
      <c r="B82212">
        <f>TEXT(82211, "[$-0E0000]yyyy-mm-dd")</f>
        <v/>
      </c>
    </row>
    <row r="82213">
      <c r="A82213" s="1" t="n">
        <v>82212</v>
      </c>
      <c r="B82213">
        <f>TEXT(82212, "[$-0E0000]yyyy-mm-dd")</f>
        <v/>
      </c>
    </row>
    <row r="82214">
      <c r="A82214" s="1" t="n">
        <v>82213</v>
      </c>
      <c r="B82214">
        <f>TEXT(82213, "[$-0E0000]yyyy-mm-dd")</f>
        <v/>
      </c>
    </row>
    <row r="82215">
      <c r="A82215" s="1" t="n">
        <v>82214</v>
      </c>
      <c r="B82215">
        <f>TEXT(82214, "[$-0E0000]yyyy-mm-dd")</f>
        <v/>
      </c>
    </row>
    <row r="82216">
      <c r="A82216" s="1" t="n">
        <v>82215</v>
      </c>
      <c r="B82216">
        <f>TEXT(82215, "[$-0E0000]yyyy-mm-dd")</f>
        <v/>
      </c>
    </row>
    <row r="82217">
      <c r="A82217" s="1" t="n">
        <v>82216</v>
      </c>
      <c r="B82217">
        <f>TEXT(82216, "[$-0E0000]yyyy-mm-dd")</f>
        <v/>
      </c>
    </row>
    <row r="82218">
      <c r="A82218" s="1" t="n">
        <v>82217</v>
      </c>
      <c r="B82218">
        <f>TEXT(82217, "[$-0E0000]yyyy-mm-dd")</f>
        <v/>
      </c>
    </row>
    <row r="82219">
      <c r="A82219" s="1" t="n">
        <v>82218</v>
      </c>
      <c r="B82219">
        <f>TEXT(82218, "[$-0E0000]yyyy-mm-dd")</f>
        <v/>
      </c>
    </row>
    <row r="82220">
      <c r="A82220" s="1" t="n">
        <v>82219</v>
      </c>
      <c r="B82220">
        <f>TEXT(82219, "[$-0E0000]yyyy-mm-dd")</f>
        <v/>
      </c>
    </row>
    <row r="82221">
      <c r="A82221" s="1" t="n">
        <v>82220</v>
      </c>
      <c r="B82221">
        <f>TEXT(82220, "[$-0E0000]yyyy-mm-dd")</f>
        <v/>
      </c>
    </row>
    <row r="82222">
      <c r="A82222" s="1" t="n">
        <v>82221</v>
      </c>
      <c r="B82222">
        <f>TEXT(82221, "[$-0E0000]yyyy-mm-dd")</f>
        <v/>
      </c>
    </row>
    <row r="82223">
      <c r="A82223" s="1" t="n">
        <v>82222</v>
      </c>
      <c r="B82223">
        <f>TEXT(82222, "[$-0E0000]yyyy-mm-dd")</f>
        <v/>
      </c>
    </row>
    <row r="82224">
      <c r="A82224" s="1" t="n">
        <v>82223</v>
      </c>
      <c r="B82224">
        <f>TEXT(82223, "[$-0E0000]yyyy-mm-dd")</f>
        <v/>
      </c>
    </row>
    <row r="82225">
      <c r="A82225" s="1" t="n">
        <v>82224</v>
      </c>
      <c r="B82225">
        <f>TEXT(82224, "[$-0E0000]yyyy-mm-dd")</f>
        <v/>
      </c>
    </row>
    <row r="82226">
      <c r="A82226" s="1" t="n">
        <v>82225</v>
      </c>
      <c r="B82226">
        <f>TEXT(82225, "[$-0E0000]yyyy-mm-dd")</f>
        <v/>
      </c>
    </row>
    <row r="82227">
      <c r="A82227" s="1" t="n">
        <v>82226</v>
      </c>
      <c r="B82227">
        <f>TEXT(82226, "[$-0E0000]yyyy-mm-dd")</f>
        <v/>
      </c>
    </row>
    <row r="82228">
      <c r="A82228" s="1" t="n">
        <v>82227</v>
      </c>
      <c r="B82228">
        <f>TEXT(82227, "[$-0E0000]yyyy-mm-dd")</f>
        <v/>
      </c>
    </row>
    <row r="82229">
      <c r="A82229" s="1" t="n">
        <v>82228</v>
      </c>
      <c r="B82229">
        <f>TEXT(82228, "[$-0E0000]yyyy-mm-dd")</f>
        <v/>
      </c>
    </row>
    <row r="82230">
      <c r="A82230" s="1" t="n">
        <v>82229</v>
      </c>
      <c r="B82230">
        <f>TEXT(82229, "[$-0E0000]yyyy-mm-dd")</f>
        <v/>
      </c>
    </row>
    <row r="82231">
      <c r="A82231" s="1" t="n">
        <v>82230</v>
      </c>
      <c r="B82231">
        <f>TEXT(82230, "[$-0E0000]yyyy-mm-dd")</f>
        <v/>
      </c>
    </row>
    <row r="82232">
      <c r="A82232" s="1" t="n">
        <v>82231</v>
      </c>
      <c r="B82232">
        <f>TEXT(82231, "[$-0E0000]yyyy-mm-dd")</f>
        <v/>
      </c>
    </row>
    <row r="82233">
      <c r="A82233" s="1" t="n">
        <v>82232</v>
      </c>
      <c r="B82233">
        <f>TEXT(82232, "[$-0E0000]yyyy-mm-dd")</f>
        <v/>
      </c>
    </row>
    <row r="82234">
      <c r="A82234" s="1" t="n">
        <v>82233</v>
      </c>
      <c r="B82234">
        <f>TEXT(82233, "[$-0E0000]yyyy-mm-dd")</f>
        <v/>
      </c>
    </row>
    <row r="82235">
      <c r="A82235" s="1" t="n">
        <v>82234</v>
      </c>
      <c r="B82235">
        <f>TEXT(82234, "[$-0E0000]yyyy-mm-dd")</f>
        <v/>
      </c>
    </row>
    <row r="82236">
      <c r="A82236" s="1" t="n">
        <v>82235</v>
      </c>
      <c r="B82236">
        <f>TEXT(82235, "[$-0E0000]yyyy-mm-dd")</f>
        <v/>
      </c>
    </row>
    <row r="82237">
      <c r="A82237" s="1" t="n">
        <v>82236</v>
      </c>
      <c r="B82237">
        <f>TEXT(82236, "[$-0E0000]yyyy-mm-dd")</f>
        <v/>
      </c>
    </row>
    <row r="82238">
      <c r="A82238" s="1" t="n">
        <v>82237</v>
      </c>
      <c r="B82238">
        <f>TEXT(82237, "[$-0E0000]yyyy-mm-dd")</f>
        <v/>
      </c>
    </row>
    <row r="82239">
      <c r="A82239" s="1" t="n">
        <v>82238</v>
      </c>
      <c r="B82239">
        <f>TEXT(82238, "[$-0E0000]yyyy-mm-dd")</f>
        <v/>
      </c>
    </row>
    <row r="82240">
      <c r="A82240" s="1" t="n">
        <v>82239</v>
      </c>
      <c r="B82240">
        <f>TEXT(82239, "[$-0E0000]yyyy-mm-dd")</f>
        <v/>
      </c>
    </row>
    <row r="82241">
      <c r="A82241" s="1" t="n">
        <v>82240</v>
      </c>
      <c r="B82241">
        <f>TEXT(82240, "[$-0E0000]yyyy-mm-dd")</f>
        <v/>
      </c>
    </row>
    <row r="82242">
      <c r="A82242" s="1" t="n">
        <v>82241</v>
      </c>
      <c r="B82242">
        <f>TEXT(82241, "[$-0E0000]yyyy-mm-dd")</f>
        <v/>
      </c>
    </row>
    <row r="82243">
      <c r="A82243" s="1" t="n">
        <v>82242</v>
      </c>
      <c r="B82243">
        <f>TEXT(82242, "[$-0E0000]yyyy-mm-dd")</f>
        <v/>
      </c>
    </row>
    <row r="82244">
      <c r="A82244" s="1" t="n">
        <v>82243</v>
      </c>
      <c r="B82244">
        <f>TEXT(82243, "[$-0E0000]yyyy-mm-dd")</f>
        <v/>
      </c>
    </row>
    <row r="82245">
      <c r="A82245" s="1" t="n">
        <v>82244</v>
      </c>
      <c r="B82245">
        <f>TEXT(82244, "[$-0E0000]yyyy-mm-dd")</f>
        <v/>
      </c>
    </row>
    <row r="82246">
      <c r="A82246" s="1" t="n">
        <v>82245</v>
      </c>
      <c r="B82246">
        <f>TEXT(82245, "[$-0E0000]yyyy-mm-dd")</f>
        <v/>
      </c>
    </row>
    <row r="82247">
      <c r="A82247" s="1" t="n">
        <v>82246</v>
      </c>
      <c r="B82247">
        <f>TEXT(82246, "[$-0E0000]yyyy-mm-dd")</f>
        <v/>
      </c>
    </row>
    <row r="82248">
      <c r="A82248" s="1" t="n">
        <v>82247</v>
      </c>
      <c r="B82248">
        <f>TEXT(82247, "[$-0E0000]yyyy-mm-dd")</f>
        <v/>
      </c>
    </row>
    <row r="82249">
      <c r="A82249" s="1" t="n">
        <v>82248</v>
      </c>
      <c r="B82249">
        <f>TEXT(82248, "[$-0E0000]yyyy-mm-dd")</f>
        <v/>
      </c>
    </row>
    <row r="82250">
      <c r="A82250" s="1" t="n">
        <v>82249</v>
      </c>
      <c r="B82250">
        <f>TEXT(82249, "[$-0E0000]yyyy-mm-dd")</f>
        <v/>
      </c>
    </row>
    <row r="82251">
      <c r="A82251" s="1" t="n">
        <v>82250</v>
      </c>
      <c r="B82251">
        <f>TEXT(82250, "[$-0E0000]yyyy-mm-dd")</f>
        <v/>
      </c>
    </row>
    <row r="82252">
      <c r="A82252" s="1" t="n">
        <v>82251</v>
      </c>
      <c r="B82252">
        <f>TEXT(82251, "[$-0E0000]yyyy-mm-dd")</f>
        <v/>
      </c>
    </row>
    <row r="82253">
      <c r="A82253" s="1" t="n">
        <v>82252</v>
      </c>
      <c r="B82253">
        <f>TEXT(82252, "[$-0E0000]yyyy-mm-dd")</f>
        <v/>
      </c>
    </row>
    <row r="82254">
      <c r="A82254" s="1" t="n">
        <v>82253</v>
      </c>
      <c r="B82254">
        <f>TEXT(82253, "[$-0E0000]yyyy-mm-dd")</f>
        <v/>
      </c>
    </row>
    <row r="82255">
      <c r="A82255" s="1" t="n">
        <v>82254</v>
      </c>
      <c r="B82255">
        <f>TEXT(82254, "[$-0E0000]yyyy-mm-dd")</f>
        <v/>
      </c>
    </row>
    <row r="82256">
      <c r="A82256" s="1" t="n">
        <v>82255</v>
      </c>
      <c r="B82256">
        <f>TEXT(82255, "[$-0E0000]yyyy-mm-dd")</f>
        <v/>
      </c>
    </row>
    <row r="82257">
      <c r="A82257" s="1" t="n">
        <v>82256</v>
      </c>
      <c r="B82257">
        <f>TEXT(82256, "[$-0E0000]yyyy-mm-dd")</f>
        <v/>
      </c>
    </row>
    <row r="82258">
      <c r="A82258" s="1" t="n">
        <v>82257</v>
      </c>
      <c r="B82258">
        <f>TEXT(82257, "[$-0E0000]yyyy-mm-dd")</f>
        <v/>
      </c>
    </row>
    <row r="82259">
      <c r="A82259" s="1" t="n">
        <v>82258</v>
      </c>
      <c r="B82259">
        <f>TEXT(82258, "[$-0E0000]yyyy-mm-dd")</f>
        <v/>
      </c>
    </row>
    <row r="82260">
      <c r="A82260" s="1" t="n">
        <v>82259</v>
      </c>
      <c r="B82260">
        <f>TEXT(82259, "[$-0E0000]yyyy-mm-dd")</f>
        <v/>
      </c>
    </row>
    <row r="82261">
      <c r="A82261" s="1" t="n">
        <v>82260</v>
      </c>
      <c r="B82261">
        <f>TEXT(82260, "[$-0E0000]yyyy-mm-dd")</f>
        <v/>
      </c>
    </row>
    <row r="82262">
      <c r="A82262" s="1" t="n">
        <v>82261</v>
      </c>
      <c r="B82262">
        <f>TEXT(82261, "[$-0E0000]yyyy-mm-dd")</f>
        <v/>
      </c>
    </row>
    <row r="82263">
      <c r="A82263" s="1" t="n">
        <v>82262</v>
      </c>
      <c r="B82263">
        <f>TEXT(82262, "[$-0E0000]yyyy-mm-dd")</f>
        <v/>
      </c>
    </row>
    <row r="82264">
      <c r="A82264" s="1" t="n">
        <v>82263</v>
      </c>
      <c r="B82264">
        <f>TEXT(82263, "[$-0E0000]yyyy-mm-dd")</f>
        <v/>
      </c>
    </row>
    <row r="82265">
      <c r="A82265" s="1" t="n">
        <v>82264</v>
      </c>
      <c r="B82265">
        <f>TEXT(82264, "[$-0E0000]yyyy-mm-dd")</f>
        <v/>
      </c>
    </row>
    <row r="82266">
      <c r="A82266" s="1" t="n">
        <v>82265</v>
      </c>
      <c r="B82266">
        <f>TEXT(82265, "[$-0E0000]yyyy-mm-dd")</f>
        <v/>
      </c>
    </row>
    <row r="82267">
      <c r="A82267" s="1" t="n">
        <v>82266</v>
      </c>
      <c r="B82267">
        <f>TEXT(82266, "[$-0E0000]yyyy-mm-dd")</f>
        <v/>
      </c>
    </row>
    <row r="82268">
      <c r="A82268" s="1" t="n">
        <v>82267</v>
      </c>
      <c r="B82268">
        <f>TEXT(82267, "[$-0E0000]yyyy-mm-dd")</f>
        <v/>
      </c>
    </row>
    <row r="82269">
      <c r="A82269" s="1" t="n">
        <v>82268</v>
      </c>
      <c r="B82269">
        <f>TEXT(82268, "[$-0E0000]yyyy-mm-dd")</f>
        <v/>
      </c>
    </row>
    <row r="82270">
      <c r="A82270" s="1" t="n">
        <v>82269</v>
      </c>
      <c r="B82270">
        <f>TEXT(82269, "[$-0E0000]yyyy-mm-dd")</f>
        <v/>
      </c>
    </row>
    <row r="82271">
      <c r="A82271" s="1" t="n">
        <v>82270</v>
      </c>
      <c r="B82271">
        <f>TEXT(82270, "[$-0E0000]yyyy-mm-dd")</f>
        <v/>
      </c>
    </row>
    <row r="82272">
      <c r="A82272" s="1" t="n">
        <v>82271</v>
      </c>
      <c r="B82272">
        <f>TEXT(82271, "[$-0E0000]yyyy-mm-dd")</f>
        <v/>
      </c>
    </row>
    <row r="82273">
      <c r="A82273" s="1" t="n">
        <v>82272</v>
      </c>
      <c r="B82273">
        <f>TEXT(82272, "[$-0E0000]yyyy-mm-dd")</f>
        <v/>
      </c>
    </row>
    <row r="82274">
      <c r="A82274" s="1" t="n">
        <v>82273</v>
      </c>
      <c r="B82274">
        <f>TEXT(82273, "[$-0E0000]yyyy-mm-dd")</f>
        <v/>
      </c>
    </row>
    <row r="82275">
      <c r="A82275" s="1" t="n">
        <v>82274</v>
      </c>
      <c r="B82275">
        <f>TEXT(82274, "[$-0E0000]yyyy-mm-dd")</f>
        <v/>
      </c>
    </row>
    <row r="82276">
      <c r="A82276" s="1" t="n">
        <v>82275</v>
      </c>
      <c r="B82276">
        <f>TEXT(82275, "[$-0E0000]yyyy-mm-dd")</f>
        <v/>
      </c>
    </row>
    <row r="82277">
      <c r="A82277" s="1" t="n">
        <v>82276</v>
      </c>
      <c r="B82277">
        <f>TEXT(82276, "[$-0E0000]yyyy-mm-dd")</f>
        <v/>
      </c>
    </row>
    <row r="82278">
      <c r="A82278" s="1" t="n">
        <v>82277</v>
      </c>
      <c r="B82278">
        <f>TEXT(82277, "[$-0E0000]yyyy-mm-dd")</f>
        <v/>
      </c>
    </row>
    <row r="82279">
      <c r="A82279" s="1" t="n">
        <v>82278</v>
      </c>
      <c r="B82279">
        <f>TEXT(82278, "[$-0E0000]yyyy-mm-dd")</f>
        <v/>
      </c>
    </row>
    <row r="82280">
      <c r="A82280" s="1" t="n">
        <v>82279</v>
      </c>
      <c r="B82280">
        <f>TEXT(82279, "[$-0E0000]yyyy-mm-dd")</f>
        <v/>
      </c>
    </row>
    <row r="82281">
      <c r="A82281" s="1" t="n">
        <v>82280</v>
      </c>
      <c r="B82281">
        <f>TEXT(82280, "[$-0E0000]yyyy-mm-dd")</f>
        <v/>
      </c>
    </row>
    <row r="82282">
      <c r="A82282" s="1" t="n">
        <v>82281</v>
      </c>
      <c r="B82282">
        <f>TEXT(82281, "[$-0E0000]yyyy-mm-dd")</f>
        <v/>
      </c>
    </row>
    <row r="82283">
      <c r="A82283" s="1" t="n">
        <v>82282</v>
      </c>
      <c r="B82283">
        <f>TEXT(82282, "[$-0E0000]yyyy-mm-dd")</f>
        <v/>
      </c>
    </row>
    <row r="82284">
      <c r="A82284" s="1" t="n">
        <v>82283</v>
      </c>
      <c r="B82284">
        <f>TEXT(82283, "[$-0E0000]yyyy-mm-dd")</f>
        <v/>
      </c>
    </row>
    <row r="82285">
      <c r="A82285" s="1" t="n">
        <v>82284</v>
      </c>
      <c r="B82285">
        <f>TEXT(82284, "[$-0E0000]yyyy-mm-dd")</f>
        <v/>
      </c>
    </row>
    <row r="82286">
      <c r="A82286" s="1" t="n">
        <v>82285</v>
      </c>
      <c r="B82286">
        <f>TEXT(82285, "[$-0E0000]yyyy-mm-dd")</f>
        <v/>
      </c>
    </row>
    <row r="82287">
      <c r="A82287" s="1" t="n">
        <v>82286</v>
      </c>
      <c r="B82287">
        <f>TEXT(82286, "[$-0E0000]yyyy-mm-dd")</f>
        <v/>
      </c>
    </row>
    <row r="82288">
      <c r="A82288" s="1" t="n">
        <v>82287</v>
      </c>
      <c r="B82288">
        <f>TEXT(82287, "[$-0E0000]yyyy-mm-dd")</f>
        <v/>
      </c>
    </row>
    <row r="82289">
      <c r="A82289" s="1" t="n">
        <v>82288</v>
      </c>
      <c r="B82289">
        <f>TEXT(82288, "[$-0E0000]yyyy-mm-dd")</f>
        <v/>
      </c>
    </row>
    <row r="82290">
      <c r="A82290" s="1" t="n">
        <v>82289</v>
      </c>
      <c r="B82290">
        <f>TEXT(82289, "[$-0E0000]yyyy-mm-dd")</f>
        <v/>
      </c>
    </row>
    <row r="82291">
      <c r="A82291" s="1" t="n">
        <v>82290</v>
      </c>
      <c r="B82291">
        <f>TEXT(82290, "[$-0E0000]yyyy-mm-dd")</f>
        <v/>
      </c>
    </row>
    <row r="82292">
      <c r="A82292" s="1" t="n">
        <v>82291</v>
      </c>
      <c r="B82292">
        <f>TEXT(82291, "[$-0E0000]yyyy-mm-dd")</f>
        <v/>
      </c>
    </row>
    <row r="82293">
      <c r="A82293" s="1" t="n">
        <v>82292</v>
      </c>
      <c r="B82293">
        <f>TEXT(82292, "[$-0E0000]yyyy-mm-dd")</f>
        <v/>
      </c>
    </row>
    <row r="82294">
      <c r="A82294" s="1" t="n">
        <v>82293</v>
      </c>
      <c r="B82294">
        <f>TEXT(82293, "[$-0E0000]yyyy-mm-dd")</f>
        <v/>
      </c>
    </row>
    <row r="82295">
      <c r="A82295" s="1" t="n">
        <v>82294</v>
      </c>
      <c r="B82295">
        <f>TEXT(82294, "[$-0E0000]yyyy-mm-dd")</f>
        <v/>
      </c>
    </row>
    <row r="82296">
      <c r="A82296" s="1" t="n">
        <v>82295</v>
      </c>
      <c r="B82296">
        <f>TEXT(82295, "[$-0E0000]yyyy-mm-dd")</f>
        <v/>
      </c>
    </row>
    <row r="82297">
      <c r="A82297" s="1" t="n">
        <v>82296</v>
      </c>
      <c r="B82297">
        <f>TEXT(82296, "[$-0E0000]yyyy-mm-dd")</f>
        <v/>
      </c>
    </row>
    <row r="82298">
      <c r="A82298" s="1" t="n">
        <v>82297</v>
      </c>
      <c r="B82298">
        <f>TEXT(82297, "[$-0E0000]yyyy-mm-dd")</f>
        <v/>
      </c>
    </row>
    <row r="82299">
      <c r="A82299" s="1" t="n">
        <v>82298</v>
      </c>
      <c r="B82299">
        <f>TEXT(82298, "[$-0E0000]yyyy-mm-dd")</f>
        <v/>
      </c>
    </row>
    <row r="82300">
      <c r="A82300" s="1" t="n">
        <v>82299</v>
      </c>
      <c r="B82300">
        <f>TEXT(82299, "[$-0E0000]yyyy-mm-dd")</f>
        <v/>
      </c>
    </row>
    <row r="82301">
      <c r="A82301" s="1" t="n">
        <v>82300</v>
      </c>
      <c r="B82301">
        <f>TEXT(82300, "[$-0E0000]yyyy-mm-dd")</f>
        <v/>
      </c>
    </row>
    <row r="82302">
      <c r="A82302" s="1" t="n">
        <v>82301</v>
      </c>
      <c r="B82302">
        <f>TEXT(82301, "[$-0E0000]yyyy-mm-dd")</f>
        <v/>
      </c>
    </row>
    <row r="82303">
      <c r="A82303" s="1" t="n">
        <v>82302</v>
      </c>
      <c r="B82303">
        <f>TEXT(82302, "[$-0E0000]yyyy-mm-dd")</f>
        <v/>
      </c>
    </row>
    <row r="82304">
      <c r="A82304" s="1" t="n">
        <v>82303</v>
      </c>
      <c r="B82304">
        <f>TEXT(82303, "[$-0E0000]yyyy-mm-dd")</f>
        <v/>
      </c>
    </row>
    <row r="82305">
      <c r="A82305" s="1" t="n">
        <v>82304</v>
      </c>
      <c r="B82305">
        <f>TEXT(82304, "[$-0E0000]yyyy-mm-dd")</f>
        <v/>
      </c>
    </row>
    <row r="82306">
      <c r="A82306" s="1" t="n">
        <v>82305</v>
      </c>
      <c r="B82306">
        <f>TEXT(82305, "[$-0E0000]yyyy-mm-dd")</f>
        <v/>
      </c>
    </row>
    <row r="82307">
      <c r="A82307" s="1" t="n">
        <v>82306</v>
      </c>
      <c r="B82307">
        <f>TEXT(82306, "[$-0E0000]yyyy-mm-dd")</f>
        <v/>
      </c>
    </row>
    <row r="82308">
      <c r="A82308" s="1" t="n">
        <v>82307</v>
      </c>
      <c r="B82308">
        <f>TEXT(82307, "[$-0E0000]yyyy-mm-dd")</f>
        <v/>
      </c>
    </row>
    <row r="82309">
      <c r="A82309" s="1" t="n">
        <v>82308</v>
      </c>
      <c r="B82309">
        <f>TEXT(82308, "[$-0E0000]yyyy-mm-dd")</f>
        <v/>
      </c>
    </row>
    <row r="82310">
      <c r="A82310" s="1" t="n">
        <v>82309</v>
      </c>
      <c r="B82310">
        <f>TEXT(82309, "[$-0E0000]yyyy-mm-dd")</f>
        <v/>
      </c>
    </row>
    <row r="82311">
      <c r="A82311" s="1" t="n">
        <v>82310</v>
      </c>
      <c r="B82311">
        <f>TEXT(82310, "[$-0E0000]yyyy-mm-dd")</f>
        <v/>
      </c>
    </row>
    <row r="82312">
      <c r="A82312" s="1" t="n">
        <v>82311</v>
      </c>
      <c r="B82312">
        <f>TEXT(82311, "[$-0E0000]yyyy-mm-dd")</f>
        <v/>
      </c>
    </row>
    <row r="82313">
      <c r="A82313" s="1" t="n">
        <v>82312</v>
      </c>
      <c r="B82313">
        <f>TEXT(82312, "[$-0E0000]yyyy-mm-dd")</f>
        <v/>
      </c>
    </row>
    <row r="82314">
      <c r="A82314" s="1" t="n">
        <v>82313</v>
      </c>
      <c r="B82314">
        <f>TEXT(82313, "[$-0E0000]yyyy-mm-dd")</f>
        <v/>
      </c>
    </row>
    <row r="82315">
      <c r="A82315" s="1" t="n">
        <v>82314</v>
      </c>
      <c r="B82315">
        <f>TEXT(82314, "[$-0E0000]yyyy-mm-dd")</f>
        <v/>
      </c>
    </row>
    <row r="82316">
      <c r="A82316" s="1" t="n">
        <v>82315</v>
      </c>
      <c r="B82316">
        <f>TEXT(82315, "[$-0E0000]yyyy-mm-dd")</f>
        <v/>
      </c>
    </row>
    <row r="82317">
      <c r="A82317" s="1" t="n">
        <v>82316</v>
      </c>
      <c r="B82317">
        <f>TEXT(82316, "[$-0E0000]yyyy-mm-dd")</f>
        <v/>
      </c>
    </row>
    <row r="82318">
      <c r="A82318" s="1" t="n">
        <v>82317</v>
      </c>
      <c r="B82318">
        <f>TEXT(82317, "[$-0E0000]yyyy-mm-dd")</f>
        <v/>
      </c>
    </row>
    <row r="82319">
      <c r="A82319" s="1" t="n">
        <v>82318</v>
      </c>
      <c r="B82319">
        <f>TEXT(82318, "[$-0E0000]yyyy-mm-dd")</f>
        <v/>
      </c>
    </row>
    <row r="82320">
      <c r="A82320" s="1" t="n">
        <v>82319</v>
      </c>
      <c r="B82320">
        <f>TEXT(82319, "[$-0E0000]yyyy-mm-dd")</f>
        <v/>
      </c>
    </row>
    <row r="82321">
      <c r="A82321" s="1" t="n">
        <v>82320</v>
      </c>
      <c r="B82321">
        <f>TEXT(82320, "[$-0E0000]yyyy-mm-dd")</f>
        <v/>
      </c>
    </row>
    <row r="82322">
      <c r="A82322" s="1" t="n">
        <v>82321</v>
      </c>
      <c r="B82322">
        <f>TEXT(82321, "[$-0E0000]yyyy-mm-dd")</f>
        <v/>
      </c>
    </row>
    <row r="82323">
      <c r="A82323" s="1" t="n">
        <v>82322</v>
      </c>
      <c r="B82323">
        <f>TEXT(82322, "[$-0E0000]yyyy-mm-dd")</f>
        <v/>
      </c>
    </row>
    <row r="82324">
      <c r="A82324" s="1" t="n">
        <v>82323</v>
      </c>
      <c r="B82324">
        <f>TEXT(82323, "[$-0E0000]yyyy-mm-dd")</f>
        <v/>
      </c>
    </row>
    <row r="82325">
      <c r="A82325" s="1" t="n">
        <v>82324</v>
      </c>
      <c r="B82325">
        <f>TEXT(82324, "[$-0E0000]yyyy-mm-dd")</f>
        <v/>
      </c>
    </row>
    <row r="82326">
      <c r="A82326" s="1" t="n">
        <v>82325</v>
      </c>
      <c r="B82326">
        <f>TEXT(82325, "[$-0E0000]yyyy-mm-dd")</f>
        <v/>
      </c>
    </row>
    <row r="82327">
      <c r="A82327" s="1" t="n">
        <v>82326</v>
      </c>
      <c r="B82327">
        <f>TEXT(82326, "[$-0E0000]yyyy-mm-dd")</f>
        <v/>
      </c>
    </row>
    <row r="82328">
      <c r="A82328" s="1" t="n">
        <v>82327</v>
      </c>
      <c r="B82328">
        <f>TEXT(82327, "[$-0E0000]yyyy-mm-dd")</f>
        <v/>
      </c>
    </row>
    <row r="82329">
      <c r="A82329" s="1" t="n">
        <v>82328</v>
      </c>
      <c r="B82329">
        <f>TEXT(82328, "[$-0E0000]yyyy-mm-dd")</f>
        <v/>
      </c>
    </row>
    <row r="82330">
      <c r="A82330" s="1" t="n">
        <v>82329</v>
      </c>
      <c r="B82330">
        <f>TEXT(82329, "[$-0E0000]yyyy-mm-dd")</f>
        <v/>
      </c>
    </row>
    <row r="82331">
      <c r="A82331" s="1" t="n">
        <v>82330</v>
      </c>
      <c r="B82331">
        <f>TEXT(82330, "[$-0E0000]yyyy-mm-dd")</f>
        <v/>
      </c>
    </row>
    <row r="82332">
      <c r="A82332" s="1" t="n">
        <v>82331</v>
      </c>
      <c r="B82332">
        <f>TEXT(82331, "[$-0E0000]yyyy-mm-dd")</f>
        <v/>
      </c>
    </row>
    <row r="82333">
      <c r="A82333" s="1" t="n">
        <v>82332</v>
      </c>
      <c r="B82333">
        <f>TEXT(82332, "[$-0E0000]yyyy-mm-dd")</f>
        <v/>
      </c>
    </row>
    <row r="82334">
      <c r="A82334" s="1" t="n">
        <v>82333</v>
      </c>
      <c r="B82334">
        <f>TEXT(82333, "[$-0E0000]yyyy-mm-dd")</f>
        <v/>
      </c>
    </row>
    <row r="82335">
      <c r="A82335" s="1" t="n">
        <v>82334</v>
      </c>
      <c r="B82335">
        <f>TEXT(82334, "[$-0E0000]yyyy-mm-dd")</f>
        <v/>
      </c>
    </row>
    <row r="82336">
      <c r="A82336" s="1" t="n">
        <v>82335</v>
      </c>
      <c r="B82336">
        <f>TEXT(82335, "[$-0E0000]yyyy-mm-dd")</f>
        <v/>
      </c>
    </row>
    <row r="82337">
      <c r="A82337" s="1" t="n">
        <v>82336</v>
      </c>
      <c r="B82337">
        <f>TEXT(82336, "[$-0E0000]yyyy-mm-dd")</f>
        <v/>
      </c>
    </row>
    <row r="82338">
      <c r="A82338" s="1" t="n">
        <v>82337</v>
      </c>
      <c r="B82338">
        <f>TEXT(82337, "[$-0E0000]yyyy-mm-dd")</f>
        <v/>
      </c>
    </row>
    <row r="82339">
      <c r="A82339" s="1" t="n">
        <v>82338</v>
      </c>
      <c r="B82339">
        <f>TEXT(82338, "[$-0E0000]yyyy-mm-dd")</f>
        <v/>
      </c>
    </row>
    <row r="82340">
      <c r="A82340" s="1" t="n">
        <v>82339</v>
      </c>
      <c r="B82340">
        <f>TEXT(82339, "[$-0E0000]yyyy-mm-dd")</f>
        <v/>
      </c>
    </row>
    <row r="82341">
      <c r="A82341" s="1" t="n">
        <v>82340</v>
      </c>
      <c r="B82341">
        <f>TEXT(82340, "[$-0E0000]yyyy-mm-dd")</f>
        <v/>
      </c>
    </row>
    <row r="82342">
      <c r="A82342" s="1" t="n">
        <v>82341</v>
      </c>
      <c r="B82342">
        <f>TEXT(82341, "[$-0E0000]yyyy-mm-dd")</f>
        <v/>
      </c>
    </row>
    <row r="82343">
      <c r="A82343" s="1" t="n">
        <v>82342</v>
      </c>
      <c r="B82343">
        <f>TEXT(82342, "[$-0E0000]yyyy-mm-dd")</f>
        <v/>
      </c>
    </row>
    <row r="82344">
      <c r="A82344" s="1" t="n">
        <v>82343</v>
      </c>
      <c r="B82344">
        <f>TEXT(82343, "[$-0E0000]yyyy-mm-dd")</f>
        <v/>
      </c>
    </row>
    <row r="82345">
      <c r="A82345" s="1" t="n">
        <v>82344</v>
      </c>
      <c r="B82345">
        <f>TEXT(82344, "[$-0E0000]yyyy-mm-dd")</f>
        <v/>
      </c>
    </row>
    <row r="82346">
      <c r="A82346" s="1" t="n">
        <v>82345</v>
      </c>
      <c r="B82346">
        <f>TEXT(82345, "[$-0E0000]yyyy-mm-dd")</f>
        <v/>
      </c>
    </row>
    <row r="82347">
      <c r="A82347" s="1" t="n">
        <v>82346</v>
      </c>
      <c r="B82347">
        <f>TEXT(82346, "[$-0E0000]yyyy-mm-dd")</f>
        <v/>
      </c>
    </row>
    <row r="82348">
      <c r="A82348" s="1" t="n">
        <v>82347</v>
      </c>
      <c r="B82348">
        <f>TEXT(82347, "[$-0E0000]yyyy-mm-dd")</f>
        <v/>
      </c>
    </row>
    <row r="82349">
      <c r="A82349" s="1" t="n">
        <v>82348</v>
      </c>
      <c r="B82349">
        <f>TEXT(82348, "[$-0E0000]yyyy-mm-dd")</f>
        <v/>
      </c>
    </row>
    <row r="82350">
      <c r="A82350" s="1" t="n">
        <v>82349</v>
      </c>
      <c r="B82350">
        <f>TEXT(82349, "[$-0E0000]yyyy-mm-dd")</f>
        <v/>
      </c>
    </row>
    <row r="82351">
      <c r="A82351" s="1" t="n">
        <v>82350</v>
      </c>
      <c r="B82351">
        <f>TEXT(82350, "[$-0E0000]yyyy-mm-dd")</f>
        <v/>
      </c>
    </row>
    <row r="82352">
      <c r="A82352" s="1" t="n">
        <v>82351</v>
      </c>
      <c r="B82352">
        <f>TEXT(82351, "[$-0E0000]yyyy-mm-dd")</f>
        <v/>
      </c>
    </row>
    <row r="82353">
      <c r="A82353" s="1" t="n">
        <v>82352</v>
      </c>
      <c r="B82353">
        <f>TEXT(82352, "[$-0E0000]yyyy-mm-dd")</f>
        <v/>
      </c>
    </row>
    <row r="82354">
      <c r="A82354" s="1" t="n">
        <v>82353</v>
      </c>
      <c r="B82354">
        <f>TEXT(82353, "[$-0E0000]yyyy-mm-dd")</f>
        <v/>
      </c>
    </row>
    <row r="82355">
      <c r="A82355" s="1" t="n">
        <v>82354</v>
      </c>
      <c r="B82355">
        <f>TEXT(82354, "[$-0E0000]yyyy-mm-dd")</f>
        <v/>
      </c>
    </row>
    <row r="82356">
      <c r="A82356" s="1" t="n">
        <v>82355</v>
      </c>
      <c r="B82356">
        <f>TEXT(82355, "[$-0E0000]yyyy-mm-dd")</f>
        <v/>
      </c>
    </row>
    <row r="82357">
      <c r="A82357" s="1" t="n">
        <v>82356</v>
      </c>
      <c r="B82357">
        <f>TEXT(82356, "[$-0E0000]yyyy-mm-dd")</f>
        <v/>
      </c>
    </row>
    <row r="82358">
      <c r="A82358" s="1" t="n">
        <v>82357</v>
      </c>
      <c r="B82358">
        <f>TEXT(82357, "[$-0E0000]yyyy-mm-dd")</f>
        <v/>
      </c>
    </row>
    <row r="82359">
      <c r="A82359" s="1" t="n">
        <v>82358</v>
      </c>
      <c r="B82359">
        <f>TEXT(82358, "[$-0E0000]yyyy-mm-dd")</f>
        <v/>
      </c>
    </row>
    <row r="82360">
      <c r="A82360" s="1" t="n">
        <v>82359</v>
      </c>
      <c r="B82360">
        <f>TEXT(82359, "[$-0E0000]yyyy-mm-dd")</f>
        <v/>
      </c>
    </row>
    <row r="82361">
      <c r="A82361" s="1" t="n">
        <v>82360</v>
      </c>
      <c r="B82361">
        <f>TEXT(82360, "[$-0E0000]yyyy-mm-dd")</f>
        <v/>
      </c>
    </row>
    <row r="82362">
      <c r="A82362" s="1" t="n">
        <v>82361</v>
      </c>
      <c r="B82362">
        <f>TEXT(82361, "[$-0E0000]yyyy-mm-dd")</f>
        <v/>
      </c>
    </row>
    <row r="82363">
      <c r="A82363" s="1" t="n">
        <v>82362</v>
      </c>
      <c r="B82363">
        <f>TEXT(82362, "[$-0E0000]yyyy-mm-dd")</f>
        <v/>
      </c>
    </row>
    <row r="82364">
      <c r="A82364" s="1" t="n">
        <v>82363</v>
      </c>
      <c r="B82364">
        <f>TEXT(82363, "[$-0E0000]yyyy-mm-dd")</f>
        <v/>
      </c>
    </row>
    <row r="82365">
      <c r="A82365" s="1" t="n">
        <v>82364</v>
      </c>
      <c r="B82365">
        <f>TEXT(82364, "[$-0E0000]yyyy-mm-dd")</f>
        <v/>
      </c>
    </row>
    <row r="82366">
      <c r="A82366" s="1" t="n">
        <v>82365</v>
      </c>
      <c r="B82366">
        <f>TEXT(82365, "[$-0E0000]yyyy-mm-dd")</f>
        <v/>
      </c>
    </row>
    <row r="82367">
      <c r="A82367" s="1" t="n">
        <v>82366</v>
      </c>
      <c r="B82367">
        <f>TEXT(82366, "[$-0E0000]yyyy-mm-dd")</f>
        <v/>
      </c>
    </row>
    <row r="82368">
      <c r="A82368" s="1" t="n">
        <v>82367</v>
      </c>
      <c r="B82368">
        <f>TEXT(82367, "[$-0E0000]yyyy-mm-dd")</f>
        <v/>
      </c>
    </row>
    <row r="82369">
      <c r="A82369" s="1" t="n">
        <v>82368</v>
      </c>
      <c r="B82369">
        <f>TEXT(82368, "[$-0E0000]yyyy-mm-dd")</f>
        <v/>
      </c>
    </row>
    <row r="82370">
      <c r="A82370" s="1" t="n">
        <v>82369</v>
      </c>
      <c r="B82370">
        <f>TEXT(82369, "[$-0E0000]yyyy-mm-dd")</f>
        <v/>
      </c>
    </row>
    <row r="82371">
      <c r="A82371" s="1" t="n">
        <v>82370</v>
      </c>
      <c r="B82371">
        <f>TEXT(82370, "[$-0E0000]yyyy-mm-dd")</f>
        <v/>
      </c>
    </row>
    <row r="82372">
      <c r="A82372" s="1" t="n">
        <v>82371</v>
      </c>
      <c r="B82372">
        <f>TEXT(82371, "[$-0E0000]yyyy-mm-dd")</f>
        <v/>
      </c>
    </row>
    <row r="82373">
      <c r="A82373" s="1" t="n">
        <v>82372</v>
      </c>
      <c r="B82373">
        <f>TEXT(82372, "[$-0E0000]yyyy-mm-dd")</f>
        <v/>
      </c>
    </row>
    <row r="82374">
      <c r="A82374" s="1" t="n">
        <v>82373</v>
      </c>
      <c r="B82374">
        <f>TEXT(82373, "[$-0E0000]yyyy-mm-dd")</f>
        <v/>
      </c>
    </row>
    <row r="82375">
      <c r="A82375" s="1" t="n">
        <v>82374</v>
      </c>
      <c r="B82375">
        <f>TEXT(82374, "[$-0E0000]yyyy-mm-dd")</f>
        <v/>
      </c>
    </row>
    <row r="82376">
      <c r="A82376" s="1" t="n">
        <v>82375</v>
      </c>
      <c r="B82376">
        <f>TEXT(82375, "[$-0E0000]yyyy-mm-dd")</f>
        <v/>
      </c>
    </row>
    <row r="82377">
      <c r="A82377" s="1" t="n">
        <v>82376</v>
      </c>
      <c r="B82377">
        <f>TEXT(82376, "[$-0E0000]yyyy-mm-dd")</f>
        <v/>
      </c>
    </row>
    <row r="82378">
      <c r="A82378" s="1" t="n">
        <v>82377</v>
      </c>
      <c r="B82378">
        <f>TEXT(82377, "[$-0E0000]yyyy-mm-dd")</f>
        <v/>
      </c>
    </row>
    <row r="82379">
      <c r="A82379" s="1" t="n">
        <v>82378</v>
      </c>
      <c r="B82379">
        <f>TEXT(82378, "[$-0E0000]yyyy-mm-dd")</f>
        <v/>
      </c>
    </row>
    <row r="82380">
      <c r="A82380" s="1" t="n">
        <v>82379</v>
      </c>
      <c r="B82380">
        <f>TEXT(82379, "[$-0E0000]yyyy-mm-dd")</f>
        <v/>
      </c>
    </row>
    <row r="82381">
      <c r="A82381" s="1" t="n">
        <v>82380</v>
      </c>
      <c r="B82381">
        <f>TEXT(82380, "[$-0E0000]yyyy-mm-dd")</f>
        <v/>
      </c>
    </row>
    <row r="82382">
      <c r="A82382" s="1" t="n">
        <v>82381</v>
      </c>
      <c r="B82382">
        <f>TEXT(82381, "[$-0E0000]yyyy-mm-dd")</f>
        <v/>
      </c>
    </row>
    <row r="82383">
      <c r="A82383" s="1" t="n">
        <v>82382</v>
      </c>
      <c r="B82383">
        <f>TEXT(82382, "[$-0E0000]yyyy-mm-dd")</f>
        <v/>
      </c>
    </row>
    <row r="82384">
      <c r="A82384" s="1" t="n">
        <v>82383</v>
      </c>
      <c r="B82384">
        <f>TEXT(82383, "[$-0E0000]yyyy-mm-dd")</f>
        <v/>
      </c>
    </row>
    <row r="82385">
      <c r="A82385" s="1" t="n">
        <v>82384</v>
      </c>
      <c r="B82385">
        <f>TEXT(82384, "[$-0E0000]yyyy-mm-dd")</f>
        <v/>
      </c>
    </row>
    <row r="82386">
      <c r="A82386" s="1" t="n">
        <v>82385</v>
      </c>
      <c r="B82386">
        <f>TEXT(82385, "[$-0E0000]yyyy-mm-dd")</f>
        <v/>
      </c>
    </row>
    <row r="82387">
      <c r="A82387" s="1" t="n">
        <v>82386</v>
      </c>
      <c r="B82387">
        <f>TEXT(82386, "[$-0E0000]yyyy-mm-dd")</f>
        <v/>
      </c>
    </row>
    <row r="82388">
      <c r="A82388" s="1" t="n">
        <v>82387</v>
      </c>
      <c r="B82388">
        <f>TEXT(82387, "[$-0E0000]yyyy-mm-dd")</f>
        <v/>
      </c>
    </row>
    <row r="82389">
      <c r="A82389" s="1" t="n">
        <v>82388</v>
      </c>
      <c r="B82389">
        <f>TEXT(82388, "[$-0E0000]yyyy-mm-dd")</f>
        <v/>
      </c>
    </row>
    <row r="82390">
      <c r="A82390" s="1" t="n">
        <v>82389</v>
      </c>
      <c r="B82390">
        <f>TEXT(82389, "[$-0E0000]yyyy-mm-dd")</f>
        <v/>
      </c>
    </row>
    <row r="82391">
      <c r="A82391" s="1" t="n">
        <v>82390</v>
      </c>
      <c r="B82391">
        <f>TEXT(82390, "[$-0E0000]yyyy-mm-dd")</f>
        <v/>
      </c>
    </row>
    <row r="82392">
      <c r="A82392" s="1" t="n">
        <v>82391</v>
      </c>
      <c r="B82392">
        <f>TEXT(82391, "[$-0E0000]yyyy-mm-dd")</f>
        <v/>
      </c>
    </row>
    <row r="82393">
      <c r="A82393" s="1" t="n">
        <v>82392</v>
      </c>
      <c r="B82393">
        <f>TEXT(82392, "[$-0E0000]yyyy-mm-dd")</f>
        <v/>
      </c>
    </row>
    <row r="82394">
      <c r="A82394" s="1" t="n">
        <v>82393</v>
      </c>
      <c r="B82394">
        <f>TEXT(82393, "[$-0E0000]yyyy-mm-dd")</f>
        <v/>
      </c>
    </row>
    <row r="82395">
      <c r="A82395" s="1" t="n">
        <v>82394</v>
      </c>
      <c r="B82395">
        <f>TEXT(82394, "[$-0E0000]yyyy-mm-dd")</f>
        <v/>
      </c>
    </row>
    <row r="82396">
      <c r="A82396" s="1" t="n">
        <v>82395</v>
      </c>
      <c r="B82396">
        <f>TEXT(82395, "[$-0E0000]yyyy-mm-dd")</f>
        <v/>
      </c>
    </row>
    <row r="82397">
      <c r="A82397" s="1" t="n">
        <v>82396</v>
      </c>
      <c r="B82397">
        <f>TEXT(82396, "[$-0E0000]yyyy-mm-dd")</f>
        <v/>
      </c>
    </row>
    <row r="82398">
      <c r="A82398" s="1" t="n">
        <v>82397</v>
      </c>
      <c r="B82398">
        <f>TEXT(82397, "[$-0E0000]yyyy-mm-dd")</f>
        <v/>
      </c>
    </row>
    <row r="82399">
      <c r="A82399" s="1" t="n">
        <v>82398</v>
      </c>
      <c r="B82399">
        <f>TEXT(82398, "[$-0E0000]yyyy-mm-dd")</f>
        <v/>
      </c>
    </row>
    <row r="82400">
      <c r="A82400" s="1" t="n">
        <v>82399</v>
      </c>
      <c r="B82400">
        <f>TEXT(82399, "[$-0E0000]yyyy-mm-dd")</f>
        <v/>
      </c>
    </row>
    <row r="82401">
      <c r="A82401" s="1" t="n">
        <v>82400</v>
      </c>
      <c r="B82401">
        <f>TEXT(82400, "[$-0E0000]yyyy-mm-dd")</f>
        <v/>
      </c>
    </row>
    <row r="82402">
      <c r="A82402" s="1" t="n">
        <v>82401</v>
      </c>
      <c r="B82402">
        <f>TEXT(82401, "[$-0E0000]yyyy-mm-dd")</f>
        <v/>
      </c>
    </row>
    <row r="82403">
      <c r="A82403" s="1" t="n">
        <v>82402</v>
      </c>
      <c r="B82403">
        <f>TEXT(82402, "[$-0E0000]yyyy-mm-dd")</f>
        <v/>
      </c>
    </row>
    <row r="82404">
      <c r="A82404" s="1" t="n">
        <v>82403</v>
      </c>
      <c r="B82404">
        <f>TEXT(82403, "[$-0E0000]yyyy-mm-dd")</f>
        <v/>
      </c>
    </row>
    <row r="82405">
      <c r="A82405" s="1" t="n">
        <v>82404</v>
      </c>
      <c r="B82405">
        <f>TEXT(82404, "[$-0E0000]yyyy-mm-dd")</f>
        <v/>
      </c>
    </row>
    <row r="82406">
      <c r="A82406" s="1" t="n">
        <v>82405</v>
      </c>
      <c r="B82406">
        <f>TEXT(82405, "[$-0E0000]yyyy-mm-dd")</f>
        <v/>
      </c>
    </row>
    <row r="82407">
      <c r="A82407" s="1" t="n">
        <v>82406</v>
      </c>
      <c r="B82407">
        <f>TEXT(82406, "[$-0E0000]yyyy-mm-dd")</f>
        <v/>
      </c>
    </row>
    <row r="82408">
      <c r="A82408" s="1" t="n">
        <v>82407</v>
      </c>
      <c r="B82408">
        <f>TEXT(82407, "[$-0E0000]yyyy-mm-dd")</f>
        <v/>
      </c>
    </row>
    <row r="82409">
      <c r="A82409" s="1" t="n">
        <v>82408</v>
      </c>
      <c r="B82409">
        <f>TEXT(82408, "[$-0E0000]yyyy-mm-dd")</f>
        <v/>
      </c>
    </row>
    <row r="82410">
      <c r="A82410" s="1" t="n">
        <v>82409</v>
      </c>
      <c r="B82410">
        <f>TEXT(82409, "[$-0E0000]yyyy-mm-dd")</f>
        <v/>
      </c>
    </row>
    <row r="82411">
      <c r="A82411" s="1" t="n">
        <v>82410</v>
      </c>
      <c r="B82411">
        <f>TEXT(82410, "[$-0E0000]yyyy-mm-dd")</f>
        <v/>
      </c>
    </row>
    <row r="82412">
      <c r="A82412" s="1" t="n">
        <v>82411</v>
      </c>
      <c r="B82412">
        <f>TEXT(82411, "[$-0E0000]yyyy-mm-dd")</f>
        <v/>
      </c>
    </row>
    <row r="82413">
      <c r="A82413" s="1" t="n">
        <v>82412</v>
      </c>
      <c r="B82413">
        <f>TEXT(82412, "[$-0E0000]yyyy-mm-dd")</f>
        <v/>
      </c>
    </row>
    <row r="82414">
      <c r="A82414" s="1" t="n">
        <v>82413</v>
      </c>
      <c r="B82414">
        <f>TEXT(82413, "[$-0E0000]yyyy-mm-dd")</f>
        <v/>
      </c>
    </row>
    <row r="82415">
      <c r="A82415" s="1" t="n">
        <v>82414</v>
      </c>
      <c r="B82415">
        <f>TEXT(82414, "[$-0E0000]yyyy-mm-dd")</f>
        <v/>
      </c>
    </row>
    <row r="82416">
      <c r="A82416" s="1" t="n">
        <v>82415</v>
      </c>
      <c r="B82416">
        <f>TEXT(82415, "[$-0E0000]yyyy-mm-dd")</f>
        <v/>
      </c>
    </row>
    <row r="82417">
      <c r="A82417" s="1" t="n">
        <v>82416</v>
      </c>
      <c r="B82417">
        <f>TEXT(82416, "[$-0E0000]yyyy-mm-dd")</f>
        <v/>
      </c>
    </row>
    <row r="82418">
      <c r="A82418" s="1" t="n">
        <v>82417</v>
      </c>
      <c r="B82418">
        <f>TEXT(82417, "[$-0E0000]yyyy-mm-dd")</f>
        <v/>
      </c>
    </row>
    <row r="82419">
      <c r="A82419" s="1" t="n">
        <v>82418</v>
      </c>
      <c r="B82419">
        <f>TEXT(82418, "[$-0E0000]yyyy-mm-dd")</f>
        <v/>
      </c>
    </row>
    <row r="82420">
      <c r="A82420" s="1" t="n">
        <v>82419</v>
      </c>
      <c r="B82420">
        <f>TEXT(82419, "[$-0E0000]yyyy-mm-dd")</f>
        <v/>
      </c>
    </row>
    <row r="82421">
      <c r="A82421" s="1" t="n">
        <v>82420</v>
      </c>
      <c r="B82421">
        <f>TEXT(82420, "[$-0E0000]yyyy-mm-dd")</f>
        <v/>
      </c>
    </row>
    <row r="82422">
      <c r="A82422" s="1" t="n">
        <v>82421</v>
      </c>
      <c r="B82422">
        <f>TEXT(82421, "[$-0E0000]yyyy-mm-dd")</f>
        <v/>
      </c>
    </row>
    <row r="82423">
      <c r="A82423" s="1" t="n">
        <v>82422</v>
      </c>
      <c r="B82423">
        <f>TEXT(82422, "[$-0E0000]yyyy-mm-dd")</f>
        <v/>
      </c>
    </row>
    <row r="82424">
      <c r="A82424" s="1" t="n">
        <v>82423</v>
      </c>
      <c r="B82424">
        <f>TEXT(82423, "[$-0E0000]yyyy-mm-dd")</f>
        <v/>
      </c>
    </row>
    <row r="82425">
      <c r="A82425" s="1" t="n">
        <v>82424</v>
      </c>
      <c r="B82425">
        <f>TEXT(82424, "[$-0E0000]yyyy-mm-dd")</f>
        <v/>
      </c>
    </row>
    <row r="82426">
      <c r="A82426" s="1" t="n">
        <v>82425</v>
      </c>
      <c r="B82426">
        <f>TEXT(82425, "[$-0E0000]yyyy-mm-dd")</f>
        <v/>
      </c>
    </row>
    <row r="82427">
      <c r="A82427" s="1" t="n">
        <v>82426</v>
      </c>
      <c r="B82427">
        <f>TEXT(82426, "[$-0E0000]yyyy-mm-dd")</f>
        <v/>
      </c>
    </row>
    <row r="82428">
      <c r="A82428" s="1" t="n">
        <v>82427</v>
      </c>
      <c r="B82428">
        <f>TEXT(82427, "[$-0E0000]yyyy-mm-dd")</f>
        <v/>
      </c>
    </row>
    <row r="82429">
      <c r="A82429" s="1" t="n">
        <v>82428</v>
      </c>
      <c r="B82429">
        <f>TEXT(82428, "[$-0E0000]yyyy-mm-dd")</f>
        <v/>
      </c>
    </row>
    <row r="82430">
      <c r="A82430" s="1" t="n">
        <v>82429</v>
      </c>
      <c r="B82430">
        <f>TEXT(82429, "[$-0E0000]yyyy-mm-dd")</f>
        <v/>
      </c>
    </row>
    <row r="82431">
      <c r="A82431" s="1" t="n">
        <v>82430</v>
      </c>
      <c r="B82431">
        <f>TEXT(82430, "[$-0E0000]yyyy-mm-dd")</f>
        <v/>
      </c>
    </row>
    <row r="82432">
      <c r="A82432" s="1" t="n">
        <v>82431</v>
      </c>
      <c r="B82432">
        <f>TEXT(82431, "[$-0E0000]yyyy-mm-dd")</f>
        <v/>
      </c>
    </row>
    <row r="82433">
      <c r="A82433" s="1" t="n">
        <v>82432</v>
      </c>
      <c r="B82433">
        <f>TEXT(82432, "[$-0E0000]yyyy-mm-dd")</f>
        <v/>
      </c>
    </row>
    <row r="82434">
      <c r="A82434" s="1" t="n">
        <v>82433</v>
      </c>
      <c r="B82434">
        <f>TEXT(82433, "[$-0E0000]yyyy-mm-dd")</f>
        <v/>
      </c>
    </row>
    <row r="82435">
      <c r="A82435" s="1" t="n">
        <v>82434</v>
      </c>
      <c r="B82435">
        <f>TEXT(82434, "[$-0E0000]yyyy-mm-dd")</f>
        <v/>
      </c>
    </row>
    <row r="82436">
      <c r="A82436" s="1" t="n">
        <v>82435</v>
      </c>
      <c r="B82436">
        <f>TEXT(82435, "[$-0E0000]yyyy-mm-dd")</f>
        <v/>
      </c>
    </row>
    <row r="82437">
      <c r="A82437" s="1" t="n">
        <v>82436</v>
      </c>
      <c r="B82437">
        <f>TEXT(82436, "[$-0E0000]yyyy-mm-dd")</f>
        <v/>
      </c>
    </row>
    <row r="82438">
      <c r="A82438" s="1" t="n">
        <v>82437</v>
      </c>
      <c r="B82438">
        <f>TEXT(82437, "[$-0E0000]yyyy-mm-dd")</f>
        <v/>
      </c>
    </row>
    <row r="82439">
      <c r="A82439" s="1" t="n">
        <v>82438</v>
      </c>
      <c r="B82439">
        <f>TEXT(82438, "[$-0E0000]yyyy-mm-dd")</f>
        <v/>
      </c>
    </row>
    <row r="82440">
      <c r="A82440" s="1" t="n">
        <v>82439</v>
      </c>
      <c r="B82440">
        <f>TEXT(82439, "[$-0E0000]yyyy-mm-dd")</f>
        <v/>
      </c>
    </row>
    <row r="82441">
      <c r="A82441" s="1" t="n">
        <v>82440</v>
      </c>
      <c r="B82441">
        <f>TEXT(82440, "[$-0E0000]yyyy-mm-dd")</f>
        <v/>
      </c>
    </row>
    <row r="82442">
      <c r="A82442" s="1" t="n">
        <v>82441</v>
      </c>
      <c r="B82442">
        <f>TEXT(82441, "[$-0E0000]yyyy-mm-dd")</f>
        <v/>
      </c>
    </row>
    <row r="82443">
      <c r="A82443" s="1" t="n">
        <v>82442</v>
      </c>
      <c r="B82443">
        <f>TEXT(82442, "[$-0E0000]yyyy-mm-dd")</f>
        <v/>
      </c>
    </row>
    <row r="82444">
      <c r="A82444" s="1" t="n">
        <v>82443</v>
      </c>
      <c r="B82444">
        <f>TEXT(82443, "[$-0E0000]yyyy-mm-dd")</f>
        <v/>
      </c>
    </row>
    <row r="82445">
      <c r="A82445" s="1" t="n">
        <v>82444</v>
      </c>
      <c r="B82445">
        <f>TEXT(82444, "[$-0E0000]yyyy-mm-dd")</f>
        <v/>
      </c>
    </row>
    <row r="82446">
      <c r="A82446" s="1" t="n">
        <v>82445</v>
      </c>
      <c r="B82446">
        <f>TEXT(82445, "[$-0E0000]yyyy-mm-dd")</f>
        <v/>
      </c>
    </row>
    <row r="82447">
      <c r="A82447" s="1" t="n">
        <v>82446</v>
      </c>
      <c r="B82447">
        <f>TEXT(82446, "[$-0E0000]yyyy-mm-dd")</f>
        <v/>
      </c>
    </row>
    <row r="82448">
      <c r="A82448" s="1" t="n">
        <v>82447</v>
      </c>
      <c r="B82448">
        <f>TEXT(82447, "[$-0E0000]yyyy-mm-dd")</f>
        <v/>
      </c>
    </row>
    <row r="82449">
      <c r="A82449" s="1" t="n">
        <v>82448</v>
      </c>
      <c r="B82449">
        <f>TEXT(82448, "[$-0E0000]yyyy-mm-dd")</f>
        <v/>
      </c>
    </row>
    <row r="82450">
      <c r="A82450" s="1" t="n">
        <v>82449</v>
      </c>
      <c r="B82450">
        <f>TEXT(82449, "[$-0E0000]yyyy-mm-dd")</f>
        <v/>
      </c>
    </row>
    <row r="82451">
      <c r="A82451" s="1" t="n">
        <v>82450</v>
      </c>
      <c r="B82451">
        <f>TEXT(82450, "[$-0E0000]yyyy-mm-dd")</f>
        <v/>
      </c>
    </row>
    <row r="82452">
      <c r="A82452" s="1" t="n">
        <v>82451</v>
      </c>
      <c r="B82452">
        <f>TEXT(82451, "[$-0E0000]yyyy-mm-dd")</f>
        <v/>
      </c>
    </row>
    <row r="82453">
      <c r="A82453" s="1" t="n">
        <v>82452</v>
      </c>
      <c r="B82453">
        <f>TEXT(82452, "[$-0E0000]yyyy-mm-dd")</f>
        <v/>
      </c>
    </row>
    <row r="82454">
      <c r="A82454" s="1" t="n">
        <v>82453</v>
      </c>
      <c r="B82454">
        <f>TEXT(82453, "[$-0E0000]yyyy-mm-dd")</f>
        <v/>
      </c>
    </row>
    <row r="82455">
      <c r="A82455" s="1" t="n">
        <v>82454</v>
      </c>
      <c r="B82455">
        <f>TEXT(82454, "[$-0E0000]yyyy-mm-dd")</f>
        <v/>
      </c>
    </row>
    <row r="82456">
      <c r="A82456" s="1" t="n">
        <v>82455</v>
      </c>
      <c r="B82456">
        <f>TEXT(82455, "[$-0E0000]yyyy-mm-dd")</f>
        <v/>
      </c>
    </row>
    <row r="82457">
      <c r="A82457" s="1" t="n">
        <v>82456</v>
      </c>
      <c r="B82457">
        <f>TEXT(82456, "[$-0E0000]yyyy-mm-dd")</f>
        <v/>
      </c>
    </row>
    <row r="82458">
      <c r="A82458" s="1" t="n">
        <v>82457</v>
      </c>
      <c r="B82458">
        <f>TEXT(82457, "[$-0E0000]yyyy-mm-dd")</f>
        <v/>
      </c>
    </row>
    <row r="82459">
      <c r="A82459" s="1" t="n">
        <v>82458</v>
      </c>
      <c r="B82459">
        <f>TEXT(82458, "[$-0E0000]yyyy-mm-dd")</f>
        <v/>
      </c>
    </row>
    <row r="82460">
      <c r="A82460" s="1" t="n">
        <v>82459</v>
      </c>
      <c r="B82460">
        <f>TEXT(82459, "[$-0E0000]yyyy-mm-dd")</f>
        <v/>
      </c>
    </row>
    <row r="82461">
      <c r="A82461" s="1" t="n">
        <v>82460</v>
      </c>
      <c r="B82461">
        <f>TEXT(82460, "[$-0E0000]yyyy-mm-dd")</f>
        <v/>
      </c>
    </row>
    <row r="82462">
      <c r="A82462" s="1" t="n">
        <v>82461</v>
      </c>
      <c r="B82462">
        <f>TEXT(82461, "[$-0E0000]yyyy-mm-dd")</f>
        <v/>
      </c>
    </row>
    <row r="82463">
      <c r="A82463" s="1" t="n">
        <v>82462</v>
      </c>
      <c r="B82463">
        <f>TEXT(82462, "[$-0E0000]yyyy-mm-dd")</f>
        <v/>
      </c>
    </row>
    <row r="82464">
      <c r="A82464" s="1" t="n">
        <v>82463</v>
      </c>
      <c r="B82464">
        <f>TEXT(82463, "[$-0E0000]yyyy-mm-dd")</f>
        <v/>
      </c>
    </row>
    <row r="82465">
      <c r="A82465" s="1" t="n">
        <v>82464</v>
      </c>
      <c r="B82465">
        <f>TEXT(82464, "[$-0E0000]yyyy-mm-dd")</f>
        <v/>
      </c>
    </row>
    <row r="82466">
      <c r="A82466" s="1" t="n">
        <v>82465</v>
      </c>
      <c r="B82466">
        <f>TEXT(82465, "[$-0E0000]yyyy-mm-dd")</f>
        <v/>
      </c>
    </row>
    <row r="82467">
      <c r="A82467" s="1" t="n">
        <v>82466</v>
      </c>
      <c r="B82467">
        <f>TEXT(82466, "[$-0E0000]yyyy-mm-dd")</f>
        <v/>
      </c>
    </row>
    <row r="82468">
      <c r="A82468" s="1" t="n">
        <v>82467</v>
      </c>
      <c r="B82468">
        <f>TEXT(82467, "[$-0E0000]yyyy-mm-dd")</f>
        <v/>
      </c>
    </row>
    <row r="82469">
      <c r="A82469" s="1" t="n">
        <v>82468</v>
      </c>
      <c r="B82469">
        <f>TEXT(82468, "[$-0E0000]yyyy-mm-dd")</f>
        <v/>
      </c>
    </row>
    <row r="82470">
      <c r="A82470" s="1" t="n">
        <v>82469</v>
      </c>
      <c r="B82470">
        <f>TEXT(82469, "[$-0E0000]yyyy-mm-dd")</f>
        <v/>
      </c>
    </row>
    <row r="82471">
      <c r="A82471" s="1" t="n">
        <v>82470</v>
      </c>
      <c r="B82471">
        <f>TEXT(82470, "[$-0E0000]yyyy-mm-dd")</f>
        <v/>
      </c>
    </row>
    <row r="82472">
      <c r="A82472" s="1" t="n">
        <v>82471</v>
      </c>
      <c r="B82472">
        <f>TEXT(82471, "[$-0E0000]yyyy-mm-dd")</f>
        <v/>
      </c>
    </row>
    <row r="82473">
      <c r="A82473" s="1" t="n">
        <v>82472</v>
      </c>
      <c r="B82473">
        <f>TEXT(82472, "[$-0E0000]yyyy-mm-dd")</f>
        <v/>
      </c>
    </row>
    <row r="82474">
      <c r="A82474" s="1" t="n">
        <v>82473</v>
      </c>
      <c r="B82474">
        <f>TEXT(82473, "[$-0E0000]yyyy-mm-dd")</f>
        <v/>
      </c>
    </row>
    <row r="82475">
      <c r="A82475" s="1" t="n">
        <v>82474</v>
      </c>
      <c r="B82475">
        <f>TEXT(82474, "[$-0E0000]yyyy-mm-dd")</f>
        <v/>
      </c>
    </row>
    <row r="82476">
      <c r="A82476" s="1" t="n">
        <v>82475</v>
      </c>
      <c r="B82476">
        <f>TEXT(82475, "[$-0E0000]yyyy-mm-dd")</f>
        <v/>
      </c>
    </row>
    <row r="82477">
      <c r="A82477" s="1" t="n">
        <v>82476</v>
      </c>
      <c r="B82477">
        <f>TEXT(82476, "[$-0E0000]yyyy-mm-dd")</f>
        <v/>
      </c>
    </row>
    <row r="82478">
      <c r="A82478" s="1" t="n">
        <v>82477</v>
      </c>
      <c r="B82478">
        <f>TEXT(82477, "[$-0E0000]yyyy-mm-dd")</f>
        <v/>
      </c>
    </row>
    <row r="82479">
      <c r="A82479" s="1" t="n">
        <v>82478</v>
      </c>
      <c r="B82479">
        <f>TEXT(82478, "[$-0E0000]yyyy-mm-dd")</f>
        <v/>
      </c>
    </row>
    <row r="82480">
      <c r="A82480" s="1" t="n">
        <v>82479</v>
      </c>
      <c r="B82480">
        <f>TEXT(82479, "[$-0E0000]yyyy-mm-dd")</f>
        <v/>
      </c>
    </row>
    <row r="82481">
      <c r="A82481" s="1" t="n">
        <v>82480</v>
      </c>
      <c r="B82481">
        <f>TEXT(82480, "[$-0E0000]yyyy-mm-dd")</f>
        <v/>
      </c>
    </row>
    <row r="82482">
      <c r="A82482" s="1" t="n">
        <v>82481</v>
      </c>
      <c r="B82482">
        <f>TEXT(82481, "[$-0E0000]yyyy-mm-dd")</f>
        <v/>
      </c>
    </row>
    <row r="82483">
      <c r="A82483" s="1" t="n">
        <v>82482</v>
      </c>
      <c r="B82483">
        <f>TEXT(82482, "[$-0E0000]yyyy-mm-dd")</f>
        <v/>
      </c>
    </row>
    <row r="82484">
      <c r="A82484" s="1" t="n">
        <v>82483</v>
      </c>
      <c r="B82484">
        <f>TEXT(82483, "[$-0E0000]yyyy-mm-dd")</f>
        <v/>
      </c>
    </row>
    <row r="82485">
      <c r="A82485" s="1" t="n">
        <v>82484</v>
      </c>
      <c r="B82485">
        <f>TEXT(82484, "[$-0E0000]yyyy-mm-dd")</f>
        <v/>
      </c>
    </row>
    <row r="82486">
      <c r="A82486" s="1" t="n">
        <v>82485</v>
      </c>
      <c r="B82486">
        <f>TEXT(82485, "[$-0E0000]yyyy-mm-dd")</f>
        <v/>
      </c>
    </row>
    <row r="82487">
      <c r="A82487" s="1" t="n">
        <v>82486</v>
      </c>
      <c r="B82487">
        <f>TEXT(82486, "[$-0E0000]yyyy-mm-dd")</f>
        <v/>
      </c>
    </row>
    <row r="82488">
      <c r="A82488" s="1" t="n">
        <v>82487</v>
      </c>
      <c r="B82488">
        <f>TEXT(82487, "[$-0E0000]yyyy-mm-dd")</f>
        <v/>
      </c>
    </row>
    <row r="82489">
      <c r="A82489" s="1" t="n">
        <v>82488</v>
      </c>
      <c r="B82489">
        <f>TEXT(82488, "[$-0E0000]yyyy-mm-dd")</f>
        <v/>
      </c>
    </row>
    <row r="82490">
      <c r="A82490" s="1" t="n">
        <v>82489</v>
      </c>
      <c r="B82490">
        <f>TEXT(82489, "[$-0E0000]yyyy-mm-dd")</f>
        <v/>
      </c>
    </row>
    <row r="82491">
      <c r="A82491" s="1" t="n">
        <v>82490</v>
      </c>
      <c r="B82491">
        <f>TEXT(82490, "[$-0E0000]yyyy-mm-dd")</f>
        <v/>
      </c>
    </row>
    <row r="82492">
      <c r="A82492" s="1" t="n">
        <v>82491</v>
      </c>
      <c r="B82492">
        <f>TEXT(82491, "[$-0E0000]yyyy-mm-dd")</f>
        <v/>
      </c>
    </row>
    <row r="82493">
      <c r="A82493" s="1" t="n">
        <v>82492</v>
      </c>
      <c r="B82493">
        <f>TEXT(82492, "[$-0E0000]yyyy-mm-dd")</f>
        <v/>
      </c>
    </row>
    <row r="82494">
      <c r="A82494" s="1" t="n">
        <v>82493</v>
      </c>
      <c r="B82494">
        <f>TEXT(82493, "[$-0E0000]yyyy-mm-dd")</f>
        <v/>
      </c>
    </row>
    <row r="82495">
      <c r="A82495" s="1" t="n">
        <v>82494</v>
      </c>
      <c r="B82495">
        <f>TEXT(82494, "[$-0E0000]yyyy-mm-dd")</f>
        <v/>
      </c>
    </row>
    <row r="82496">
      <c r="A82496" s="1" t="n">
        <v>82495</v>
      </c>
      <c r="B82496">
        <f>TEXT(82495, "[$-0E0000]yyyy-mm-dd")</f>
        <v/>
      </c>
    </row>
    <row r="82497">
      <c r="A82497" s="1" t="n">
        <v>82496</v>
      </c>
      <c r="B82497">
        <f>TEXT(82496, "[$-0E0000]yyyy-mm-dd")</f>
        <v/>
      </c>
    </row>
    <row r="82498">
      <c r="A82498" s="1" t="n">
        <v>82497</v>
      </c>
      <c r="B82498">
        <f>TEXT(82497, "[$-0E0000]yyyy-mm-dd")</f>
        <v/>
      </c>
    </row>
    <row r="82499">
      <c r="A82499" s="1" t="n">
        <v>82498</v>
      </c>
      <c r="B82499">
        <f>TEXT(82498, "[$-0E0000]yyyy-mm-dd")</f>
        <v/>
      </c>
    </row>
    <row r="82500">
      <c r="A82500" s="1" t="n">
        <v>82499</v>
      </c>
      <c r="B82500">
        <f>TEXT(82499, "[$-0E0000]yyyy-mm-dd")</f>
        <v/>
      </c>
    </row>
    <row r="82501">
      <c r="A82501" s="1" t="n">
        <v>82500</v>
      </c>
      <c r="B82501">
        <f>TEXT(82500, "[$-0E0000]yyyy-mm-dd")</f>
        <v/>
      </c>
    </row>
    <row r="82502">
      <c r="A82502" s="1" t="n">
        <v>82501</v>
      </c>
      <c r="B82502">
        <f>TEXT(82501, "[$-0E0000]yyyy-mm-dd")</f>
        <v/>
      </c>
    </row>
    <row r="82503">
      <c r="A82503" s="1" t="n">
        <v>82502</v>
      </c>
      <c r="B82503">
        <f>TEXT(82502, "[$-0E0000]yyyy-mm-dd")</f>
        <v/>
      </c>
    </row>
    <row r="82504">
      <c r="A82504" s="1" t="n">
        <v>82503</v>
      </c>
      <c r="B82504">
        <f>TEXT(82503, "[$-0E0000]yyyy-mm-dd")</f>
        <v/>
      </c>
    </row>
    <row r="82505">
      <c r="A82505" s="1" t="n">
        <v>82504</v>
      </c>
      <c r="B82505">
        <f>TEXT(82504, "[$-0E0000]yyyy-mm-dd")</f>
        <v/>
      </c>
    </row>
    <row r="82506">
      <c r="A82506" s="1" t="n">
        <v>82505</v>
      </c>
      <c r="B82506">
        <f>TEXT(82505, "[$-0E0000]yyyy-mm-dd")</f>
        <v/>
      </c>
    </row>
    <row r="82507">
      <c r="A82507" s="1" t="n">
        <v>82506</v>
      </c>
      <c r="B82507">
        <f>TEXT(82506, "[$-0E0000]yyyy-mm-dd")</f>
        <v/>
      </c>
    </row>
    <row r="82508">
      <c r="A82508" s="1" t="n">
        <v>82507</v>
      </c>
      <c r="B82508">
        <f>TEXT(82507, "[$-0E0000]yyyy-mm-dd")</f>
        <v/>
      </c>
    </row>
    <row r="82509">
      <c r="A82509" s="1" t="n">
        <v>82508</v>
      </c>
      <c r="B82509">
        <f>TEXT(82508, "[$-0E0000]yyyy-mm-dd")</f>
        <v/>
      </c>
    </row>
    <row r="82510">
      <c r="A82510" s="1" t="n">
        <v>82509</v>
      </c>
      <c r="B82510">
        <f>TEXT(82509, "[$-0E0000]yyyy-mm-dd")</f>
        <v/>
      </c>
    </row>
    <row r="82511">
      <c r="A82511" s="1" t="n">
        <v>82510</v>
      </c>
      <c r="B82511">
        <f>TEXT(82510, "[$-0E0000]yyyy-mm-dd")</f>
        <v/>
      </c>
    </row>
    <row r="82512">
      <c r="A82512" s="1" t="n">
        <v>82511</v>
      </c>
      <c r="B82512">
        <f>TEXT(82511, "[$-0E0000]yyyy-mm-dd")</f>
        <v/>
      </c>
    </row>
    <row r="82513">
      <c r="A82513" s="1" t="n">
        <v>82512</v>
      </c>
      <c r="B82513">
        <f>TEXT(82512, "[$-0E0000]yyyy-mm-dd")</f>
        <v/>
      </c>
    </row>
    <row r="82514">
      <c r="A82514" s="1" t="n">
        <v>82513</v>
      </c>
      <c r="B82514">
        <f>TEXT(82513, "[$-0E0000]yyyy-mm-dd")</f>
        <v/>
      </c>
    </row>
    <row r="82515">
      <c r="A82515" s="1" t="n">
        <v>82514</v>
      </c>
      <c r="B82515">
        <f>TEXT(82514, "[$-0E0000]yyyy-mm-dd")</f>
        <v/>
      </c>
    </row>
    <row r="82516">
      <c r="A82516" s="1" t="n">
        <v>82515</v>
      </c>
      <c r="B82516">
        <f>TEXT(82515, "[$-0E0000]yyyy-mm-dd")</f>
        <v/>
      </c>
    </row>
    <row r="82517">
      <c r="A82517" s="1" t="n">
        <v>82516</v>
      </c>
      <c r="B82517">
        <f>TEXT(82516, "[$-0E0000]yyyy-mm-dd")</f>
        <v/>
      </c>
    </row>
    <row r="82518">
      <c r="A82518" s="1" t="n">
        <v>82517</v>
      </c>
      <c r="B82518">
        <f>TEXT(82517, "[$-0E0000]yyyy-mm-dd")</f>
        <v/>
      </c>
    </row>
    <row r="82519">
      <c r="A82519" s="1" t="n">
        <v>82518</v>
      </c>
      <c r="B82519">
        <f>TEXT(82518, "[$-0E0000]yyyy-mm-dd")</f>
        <v/>
      </c>
    </row>
    <row r="82520">
      <c r="A82520" s="1" t="n">
        <v>82519</v>
      </c>
      <c r="B82520">
        <f>TEXT(82519, "[$-0E0000]yyyy-mm-dd")</f>
        <v/>
      </c>
    </row>
    <row r="82521">
      <c r="A82521" s="1" t="n">
        <v>82520</v>
      </c>
      <c r="B82521">
        <f>TEXT(82520, "[$-0E0000]yyyy-mm-dd")</f>
        <v/>
      </c>
    </row>
    <row r="82522">
      <c r="A82522" s="1" t="n">
        <v>82521</v>
      </c>
      <c r="B82522">
        <f>TEXT(82521, "[$-0E0000]yyyy-mm-dd")</f>
        <v/>
      </c>
    </row>
    <row r="82523">
      <c r="A82523" s="1" t="n">
        <v>82522</v>
      </c>
      <c r="B82523">
        <f>TEXT(82522, "[$-0E0000]yyyy-mm-dd")</f>
        <v/>
      </c>
    </row>
    <row r="82524">
      <c r="A82524" s="1" t="n">
        <v>82523</v>
      </c>
      <c r="B82524">
        <f>TEXT(82523, "[$-0E0000]yyyy-mm-dd")</f>
        <v/>
      </c>
    </row>
    <row r="82525">
      <c r="A82525" s="1" t="n">
        <v>82524</v>
      </c>
      <c r="B82525">
        <f>TEXT(82524, "[$-0E0000]yyyy-mm-dd")</f>
        <v/>
      </c>
    </row>
    <row r="82526">
      <c r="A82526" s="1" t="n">
        <v>82525</v>
      </c>
      <c r="B82526">
        <f>TEXT(82525, "[$-0E0000]yyyy-mm-dd")</f>
        <v/>
      </c>
    </row>
    <row r="82527">
      <c r="A82527" s="1" t="n">
        <v>82526</v>
      </c>
      <c r="B82527">
        <f>TEXT(82526, "[$-0E0000]yyyy-mm-dd")</f>
        <v/>
      </c>
    </row>
    <row r="82528">
      <c r="A82528" s="1" t="n">
        <v>82527</v>
      </c>
      <c r="B82528">
        <f>TEXT(82527, "[$-0E0000]yyyy-mm-dd")</f>
        <v/>
      </c>
    </row>
    <row r="82529">
      <c r="A82529" s="1" t="n">
        <v>82528</v>
      </c>
      <c r="B82529">
        <f>TEXT(82528, "[$-0E0000]yyyy-mm-dd")</f>
        <v/>
      </c>
    </row>
    <row r="82530">
      <c r="A82530" s="1" t="n">
        <v>82529</v>
      </c>
      <c r="B82530">
        <f>TEXT(82529, "[$-0E0000]yyyy-mm-dd")</f>
        <v/>
      </c>
    </row>
    <row r="82531">
      <c r="A82531" s="1" t="n">
        <v>82530</v>
      </c>
      <c r="B82531">
        <f>TEXT(82530, "[$-0E0000]yyyy-mm-dd")</f>
        <v/>
      </c>
    </row>
    <row r="82532">
      <c r="A82532" s="1" t="n">
        <v>82531</v>
      </c>
      <c r="B82532">
        <f>TEXT(82531, "[$-0E0000]yyyy-mm-dd")</f>
        <v/>
      </c>
    </row>
    <row r="82533">
      <c r="A82533" s="1" t="n">
        <v>82532</v>
      </c>
      <c r="B82533">
        <f>TEXT(82532, "[$-0E0000]yyyy-mm-dd")</f>
        <v/>
      </c>
    </row>
    <row r="82534">
      <c r="A82534" s="1" t="n">
        <v>82533</v>
      </c>
      <c r="B82534">
        <f>TEXT(82533, "[$-0E0000]yyyy-mm-dd")</f>
        <v/>
      </c>
    </row>
    <row r="82535">
      <c r="A82535" s="1" t="n">
        <v>82534</v>
      </c>
      <c r="B82535">
        <f>TEXT(82534, "[$-0E0000]yyyy-mm-dd")</f>
        <v/>
      </c>
    </row>
    <row r="82536">
      <c r="A82536" s="1" t="n">
        <v>82535</v>
      </c>
      <c r="B82536">
        <f>TEXT(82535, "[$-0E0000]yyyy-mm-dd")</f>
        <v/>
      </c>
    </row>
    <row r="82537">
      <c r="A82537" s="1" t="n">
        <v>82536</v>
      </c>
      <c r="B82537">
        <f>TEXT(82536, "[$-0E0000]yyyy-mm-dd")</f>
        <v/>
      </c>
    </row>
    <row r="82538">
      <c r="A82538" s="1" t="n">
        <v>82537</v>
      </c>
      <c r="B82538">
        <f>TEXT(82537, "[$-0E0000]yyyy-mm-dd")</f>
        <v/>
      </c>
    </row>
    <row r="82539">
      <c r="A82539" s="1" t="n">
        <v>82538</v>
      </c>
      <c r="B82539">
        <f>TEXT(82538, "[$-0E0000]yyyy-mm-dd")</f>
        <v/>
      </c>
    </row>
    <row r="82540">
      <c r="A82540" s="1" t="n">
        <v>82539</v>
      </c>
      <c r="B82540">
        <f>TEXT(82539, "[$-0E0000]yyyy-mm-dd")</f>
        <v/>
      </c>
    </row>
    <row r="82541">
      <c r="A82541" s="1" t="n">
        <v>82540</v>
      </c>
      <c r="B82541">
        <f>TEXT(82540, "[$-0E0000]yyyy-mm-dd")</f>
        <v/>
      </c>
    </row>
    <row r="82542">
      <c r="A82542" s="1" t="n">
        <v>82541</v>
      </c>
      <c r="B82542">
        <f>TEXT(82541, "[$-0E0000]yyyy-mm-dd")</f>
        <v/>
      </c>
    </row>
    <row r="82543">
      <c r="A82543" s="1" t="n">
        <v>82542</v>
      </c>
      <c r="B82543">
        <f>TEXT(82542, "[$-0E0000]yyyy-mm-dd")</f>
        <v/>
      </c>
    </row>
    <row r="82544">
      <c r="A82544" s="1" t="n">
        <v>82543</v>
      </c>
      <c r="B82544">
        <f>TEXT(82543, "[$-0E0000]yyyy-mm-dd")</f>
        <v/>
      </c>
    </row>
    <row r="82545">
      <c r="A82545" s="1" t="n">
        <v>82544</v>
      </c>
      <c r="B82545">
        <f>TEXT(82544, "[$-0E0000]yyyy-mm-dd")</f>
        <v/>
      </c>
    </row>
    <row r="82546">
      <c r="A82546" s="1" t="n">
        <v>82545</v>
      </c>
      <c r="B82546">
        <f>TEXT(82545, "[$-0E0000]yyyy-mm-dd")</f>
        <v/>
      </c>
    </row>
    <row r="82547">
      <c r="A82547" s="1" t="n">
        <v>82546</v>
      </c>
      <c r="B82547">
        <f>TEXT(82546, "[$-0E0000]yyyy-mm-dd")</f>
        <v/>
      </c>
    </row>
    <row r="82548">
      <c r="A82548" s="1" t="n">
        <v>82547</v>
      </c>
      <c r="B82548">
        <f>TEXT(82547, "[$-0E0000]yyyy-mm-dd")</f>
        <v/>
      </c>
    </row>
    <row r="82549">
      <c r="A82549" s="1" t="n">
        <v>82548</v>
      </c>
      <c r="B82549">
        <f>TEXT(82548, "[$-0E0000]yyyy-mm-dd")</f>
        <v/>
      </c>
    </row>
    <row r="82550">
      <c r="A82550" s="1" t="n">
        <v>82549</v>
      </c>
      <c r="B82550">
        <f>TEXT(82549, "[$-0E0000]yyyy-mm-dd")</f>
        <v/>
      </c>
    </row>
    <row r="82551">
      <c r="A82551" s="1" t="n">
        <v>82550</v>
      </c>
      <c r="B82551">
        <f>TEXT(82550, "[$-0E0000]yyyy-mm-dd")</f>
        <v/>
      </c>
    </row>
    <row r="82552">
      <c r="A82552" s="1" t="n">
        <v>82551</v>
      </c>
      <c r="B82552">
        <f>TEXT(82551, "[$-0E0000]yyyy-mm-dd")</f>
        <v/>
      </c>
    </row>
    <row r="82553">
      <c r="A82553" s="1" t="n">
        <v>82552</v>
      </c>
      <c r="B82553">
        <f>TEXT(82552, "[$-0E0000]yyyy-mm-dd")</f>
        <v/>
      </c>
    </row>
    <row r="82554">
      <c r="A82554" s="1" t="n">
        <v>82553</v>
      </c>
      <c r="B82554">
        <f>TEXT(82553, "[$-0E0000]yyyy-mm-dd")</f>
        <v/>
      </c>
    </row>
    <row r="82555">
      <c r="A82555" s="1" t="n">
        <v>82554</v>
      </c>
      <c r="B82555">
        <f>TEXT(82554, "[$-0E0000]yyyy-mm-dd")</f>
        <v/>
      </c>
    </row>
    <row r="82556">
      <c r="A82556" s="1" t="n">
        <v>82555</v>
      </c>
      <c r="B82556">
        <f>TEXT(82555, "[$-0E0000]yyyy-mm-dd")</f>
        <v/>
      </c>
    </row>
    <row r="82557">
      <c r="A82557" s="1" t="n">
        <v>82556</v>
      </c>
      <c r="B82557">
        <f>TEXT(82556, "[$-0E0000]yyyy-mm-dd")</f>
        <v/>
      </c>
    </row>
    <row r="82558">
      <c r="A82558" s="1" t="n">
        <v>82557</v>
      </c>
      <c r="B82558">
        <f>TEXT(82557, "[$-0E0000]yyyy-mm-dd")</f>
        <v/>
      </c>
    </row>
    <row r="82559">
      <c r="A82559" s="1" t="n">
        <v>82558</v>
      </c>
      <c r="B82559">
        <f>TEXT(82558, "[$-0E0000]yyyy-mm-dd")</f>
        <v/>
      </c>
    </row>
    <row r="82560">
      <c r="A82560" s="1" t="n">
        <v>82559</v>
      </c>
      <c r="B82560">
        <f>TEXT(82559, "[$-0E0000]yyyy-mm-dd")</f>
        <v/>
      </c>
    </row>
    <row r="82561">
      <c r="A82561" s="1" t="n">
        <v>82560</v>
      </c>
      <c r="B82561">
        <f>TEXT(82560, "[$-0E0000]yyyy-mm-dd")</f>
        <v/>
      </c>
    </row>
    <row r="82562">
      <c r="A82562" s="1" t="n">
        <v>82561</v>
      </c>
      <c r="B82562">
        <f>TEXT(82561, "[$-0E0000]yyyy-mm-dd")</f>
        <v/>
      </c>
    </row>
    <row r="82563">
      <c r="A82563" s="1" t="n">
        <v>82562</v>
      </c>
      <c r="B82563">
        <f>TEXT(82562, "[$-0E0000]yyyy-mm-dd")</f>
        <v/>
      </c>
    </row>
    <row r="82564">
      <c r="A82564" s="1" t="n">
        <v>82563</v>
      </c>
      <c r="B82564">
        <f>TEXT(82563, "[$-0E0000]yyyy-mm-dd")</f>
        <v/>
      </c>
    </row>
    <row r="82565">
      <c r="A82565" s="1" t="n">
        <v>82564</v>
      </c>
      <c r="B82565">
        <f>TEXT(82564, "[$-0E0000]yyyy-mm-dd")</f>
        <v/>
      </c>
    </row>
    <row r="82566">
      <c r="A82566" s="1" t="n">
        <v>82565</v>
      </c>
      <c r="B82566">
        <f>TEXT(82565, "[$-0E0000]yyyy-mm-dd")</f>
        <v/>
      </c>
    </row>
    <row r="82567">
      <c r="A82567" s="1" t="n">
        <v>82566</v>
      </c>
      <c r="B82567">
        <f>TEXT(82566, "[$-0E0000]yyyy-mm-dd")</f>
        <v/>
      </c>
    </row>
    <row r="82568">
      <c r="A82568" s="1" t="n">
        <v>82567</v>
      </c>
      <c r="B82568">
        <f>TEXT(82567, "[$-0E0000]yyyy-mm-dd")</f>
        <v/>
      </c>
    </row>
    <row r="82569">
      <c r="A82569" s="1" t="n">
        <v>82568</v>
      </c>
      <c r="B82569">
        <f>TEXT(82568, "[$-0E0000]yyyy-mm-dd")</f>
        <v/>
      </c>
    </row>
    <row r="82570">
      <c r="A82570" s="1" t="n">
        <v>82569</v>
      </c>
      <c r="B82570">
        <f>TEXT(82569, "[$-0E0000]yyyy-mm-dd")</f>
        <v/>
      </c>
    </row>
    <row r="82571">
      <c r="A82571" s="1" t="n">
        <v>82570</v>
      </c>
      <c r="B82571">
        <f>TEXT(82570, "[$-0E0000]yyyy-mm-dd")</f>
        <v/>
      </c>
    </row>
    <row r="82572">
      <c r="A82572" s="1" t="n">
        <v>82571</v>
      </c>
      <c r="B82572">
        <f>TEXT(82571, "[$-0E0000]yyyy-mm-dd")</f>
        <v/>
      </c>
    </row>
    <row r="82573">
      <c r="A82573" s="1" t="n">
        <v>82572</v>
      </c>
      <c r="B82573">
        <f>TEXT(82572, "[$-0E0000]yyyy-mm-dd")</f>
        <v/>
      </c>
    </row>
    <row r="82574">
      <c r="A82574" s="1" t="n">
        <v>82573</v>
      </c>
      <c r="B82574">
        <f>TEXT(82573, "[$-0E0000]yyyy-mm-dd")</f>
        <v/>
      </c>
    </row>
    <row r="82575">
      <c r="A82575" s="1" t="n">
        <v>82574</v>
      </c>
      <c r="B82575">
        <f>TEXT(82574, "[$-0E0000]yyyy-mm-dd")</f>
        <v/>
      </c>
    </row>
    <row r="82576">
      <c r="A82576" s="1" t="n">
        <v>82575</v>
      </c>
      <c r="B82576">
        <f>TEXT(82575, "[$-0E0000]yyyy-mm-dd")</f>
        <v/>
      </c>
    </row>
    <row r="82577">
      <c r="A82577" s="1" t="n">
        <v>82576</v>
      </c>
      <c r="B82577">
        <f>TEXT(82576, "[$-0E0000]yyyy-mm-dd")</f>
        <v/>
      </c>
    </row>
    <row r="82578">
      <c r="A82578" s="1" t="n">
        <v>82577</v>
      </c>
      <c r="B82578">
        <f>TEXT(82577, "[$-0E0000]yyyy-mm-dd")</f>
        <v/>
      </c>
    </row>
    <row r="82579">
      <c r="A82579" s="1" t="n">
        <v>82578</v>
      </c>
      <c r="B82579">
        <f>TEXT(82578, "[$-0E0000]yyyy-mm-dd")</f>
        <v/>
      </c>
    </row>
    <row r="82580">
      <c r="A82580" s="1" t="n">
        <v>82579</v>
      </c>
      <c r="B82580">
        <f>TEXT(82579, "[$-0E0000]yyyy-mm-dd")</f>
        <v/>
      </c>
    </row>
    <row r="82581">
      <c r="A82581" s="1" t="n">
        <v>82580</v>
      </c>
      <c r="B82581">
        <f>TEXT(82580, "[$-0E0000]yyyy-mm-dd")</f>
        <v/>
      </c>
    </row>
    <row r="82582">
      <c r="A82582" s="1" t="n">
        <v>82581</v>
      </c>
      <c r="B82582">
        <f>TEXT(82581, "[$-0E0000]yyyy-mm-dd")</f>
        <v/>
      </c>
    </row>
    <row r="82583">
      <c r="A82583" s="1" t="n">
        <v>82582</v>
      </c>
      <c r="B82583">
        <f>TEXT(82582, "[$-0E0000]yyyy-mm-dd")</f>
        <v/>
      </c>
    </row>
    <row r="82584">
      <c r="A82584" s="1" t="n">
        <v>82583</v>
      </c>
      <c r="B82584">
        <f>TEXT(82583, "[$-0E0000]yyyy-mm-dd")</f>
        <v/>
      </c>
    </row>
    <row r="82585">
      <c r="A82585" s="1" t="n">
        <v>82584</v>
      </c>
      <c r="B82585">
        <f>TEXT(82584, "[$-0E0000]yyyy-mm-dd")</f>
        <v/>
      </c>
    </row>
    <row r="82586">
      <c r="A82586" s="1" t="n">
        <v>82585</v>
      </c>
      <c r="B82586">
        <f>TEXT(82585, "[$-0E0000]yyyy-mm-dd")</f>
        <v/>
      </c>
    </row>
    <row r="82587">
      <c r="A82587" s="1" t="n">
        <v>82586</v>
      </c>
      <c r="B82587">
        <f>TEXT(82586, "[$-0E0000]yyyy-mm-dd")</f>
        <v/>
      </c>
    </row>
    <row r="82588">
      <c r="A82588" s="1" t="n">
        <v>82587</v>
      </c>
      <c r="B82588">
        <f>TEXT(82587, "[$-0E0000]yyyy-mm-dd")</f>
        <v/>
      </c>
    </row>
    <row r="82589">
      <c r="A82589" s="1" t="n">
        <v>82588</v>
      </c>
      <c r="B82589">
        <f>TEXT(82588, "[$-0E0000]yyyy-mm-dd")</f>
        <v/>
      </c>
    </row>
    <row r="82590">
      <c r="A82590" s="1" t="n">
        <v>82589</v>
      </c>
      <c r="B82590">
        <f>TEXT(82589, "[$-0E0000]yyyy-mm-dd")</f>
        <v/>
      </c>
    </row>
    <row r="82591">
      <c r="A82591" s="1" t="n">
        <v>82590</v>
      </c>
      <c r="B82591">
        <f>TEXT(82590, "[$-0E0000]yyyy-mm-dd")</f>
        <v/>
      </c>
    </row>
    <row r="82592">
      <c r="A82592" s="1" t="n">
        <v>82591</v>
      </c>
      <c r="B82592">
        <f>TEXT(82591, "[$-0E0000]yyyy-mm-dd")</f>
        <v/>
      </c>
    </row>
    <row r="82593">
      <c r="A82593" s="1" t="n">
        <v>82592</v>
      </c>
      <c r="B82593">
        <f>TEXT(82592, "[$-0E0000]yyyy-mm-dd")</f>
        <v/>
      </c>
    </row>
    <row r="82594">
      <c r="A82594" s="1" t="n">
        <v>82593</v>
      </c>
      <c r="B82594">
        <f>TEXT(82593, "[$-0E0000]yyyy-mm-dd")</f>
        <v/>
      </c>
    </row>
    <row r="82595">
      <c r="A82595" s="1" t="n">
        <v>82594</v>
      </c>
      <c r="B82595">
        <f>TEXT(82594, "[$-0E0000]yyyy-mm-dd")</f>
        <v/>
      </c>
    </row>
    <row r="82596">
      <c r="A82596" s="1" t="n">
        <v>82595</v>
      </c>
      <c r="B82596">
        <f>TEXT(82595, "[$-0E0000]yyyy-mm-dd")</f>
        <v/>
      </c>
    </row>
    <row r="82597">
      <c r="A82597" s="1" t="n">
        <v>82596</v>
      </c>
      <c r="B82597">
        <f>TEXT(82596, "[$-0E0000]yyyy-mm-dd")</f>
        <v/>
      </c>
    </row>
    <row r="82598">
      <c r="A82598" s="1" t="n">
        <v>82597</v>
      </c>
      <c r="B82598">
        <f>TEXT(82597, "[$-0E0000]yyyy-mm-dd")</f>
        <v/>
      </c>
    </row>
    <row r="82599">
      <c r="A82599" s="1" t="n">
        <v>82598</v>
      </c>
      <c r="B82599">
        <f>TEXT(82598, "[$-0E0000]yyyy-mm-dd")</f>
        <v/>
      </c>
    </row>
    <row r="82600">
      <c r="A82600" s="1" t="n">
        <v>82599</v>
      </c>
      <c r="B82600">
        <f>TEXT(82599, "[$-0E0000]yyyy-mm-dd")</f>
        <v/>
      </c>
    </row>
    <row r="82601">
      <c r="A82601" s="1" t="n">
        <v>82600</v>
      </c>
      <c r="B82601">
        <f>TEXT(82600, "[$-0E0000]yyyy-mm-dd")</f>
        <v/>
      </c>
    </row>
    <row r="82602">
      <c r="A82602" s="1" t="n">
        <v>82601</v>
      </c>
      <c r="B82602">
        <f>TEXT(82601, "[$-0E0000]yyyy-mm-dd")</f>
        <v/>
      </c>
    </row>
    <row r="82603">
      <c r="A82603" s="1" t="n">
        <v>82602</v>
      </c>
      <c r="B82603">
        <f>TEXT(82602, "[$-0E0000]yyyy-mm-dd")</f>
        <v/>
      </c>
    </row>
    <row r="82604">
      <c r="A82604" s="1" t="n">
        <v>82603</v>
      </c>
      <c r="B82604">
        <f>TEXT(82603, "[$-0E0000]yyyy-mm-dd")</f>
        <v/>
      </c>
    </row>
    <row r="82605">
      <c r="A82605" s="1" t="n">
        <v>82604</v>
      </c>
      <c r="B82605">
        <f>TEXT(82604, "[$-0E0000]yyyy-mm-dd")</f>
        <v/>
      </c>
    </row>
    <row r="82606">
      <c r="A82606" s="1" t="n">
        <v>82605</v>
      </c>
      <c r="B82606">
        <f>TEXT(82605, "[$-0E0000]yyyy-mm-dd")</f>
        <v/>
      </c>
    </row>
    <row r="82607">
      <c r="A82607" s="1" t="n">
        <v>82606</v>
      </c>
      <c r="B82607">
        <f>TEXT(82606, "[$-0E0000]yyyy-mm-dd")</f>
        <v/>
      </c>
    </row>
    <row r="82608">
      <c r="A82608" s="1" t="n">
        <v>82607</v>
      </c>
      <c r="B82608">
        <f>TEXT(82607, "[$-0E0000]yyyy-mm-dd")</f>
        <v/>
      </c>
    </row>
    <row r="82609">
      <c r="A82609" s="1" t="n">
        <v>82608</v>
      </c>
      <c r="B82609">
        <f>TEXT(82608, "[$-0E0000]yyyy-mm-dd")</f>
        <v/>
      </c>
    </row>
    <row r="82610">
      <c r="A82610" s="1" t="n">
        <v>82609</v>
      </c>
      <c r="B82610">
        <f>TEXT(82609, "[$-0E0000]yyyy-mm-dd")</f>
        <v/>
      </c>
    </row>
    <row r="82611">
      <c r="A82611" s="1" t="n">
        <v>82610</v>
      </c>
      <c r="B82611">
        <f>TEXT(82610, "[$-0E0000]yyyy-mm-dd")</f>
        <v/>
      </c>
    </row>
    <row r="82612">
      <c r="A82612" s="1" t="n">
        <v>82611</v>
      </c>
      <c r="B82612">
        <f>TEXT(82611, "[$-0E0000]yyyy-mm-dd")</f>
        <v/>
      </c>
    </row>
    <row r="82613">
      <c r="A82613" s="1" t="n">
        <v>82612</v>
      </c>
      <c r="B82613">
        <f>TEXT(82612, "[$-0E0000]yyyy-mm-dd")</f>
        <v/>
      </c>
    </row>
    <row r="82614">
      <c r="A82614" s="1" t="n">
        <v>82613</v>
      </c>
      <c r="B82614">
        <f>TEXT(82613, "[$-0E0000]yyyy-mm-dd")</f>
        <v/>
      </c>
    </row>
    <row r="82615">
      <c r="A82615" s="1" t="n">
        <v>82614</v>
      </c>
      <c r="B82615">
        <f>TEXT(82614, "[$-0E0000]yyyy-mm-dd")</f>
        <v/>
      </c>
    </row>
    <row r="82616">
      <c r="A82616" s="1" t="n">
        <v>82615</v>
      </c>
      <c r="B82616">
        <f>TEXT(82615, "[$-0E0000]yyyy-mm-dd")</f>
        <v/>
      </c>
    </row>
    <row r="82617">
      <c r="A82617" s="1" t="n">
        <v>82616</v>
      </c>
      <c r="B82617">
        <f>TEXT(82616, "[$-0E0000]yyyy-mm-dd")</f>
        <v/>
      </c>
    </row>
    <row r="82618">
      <c r="A82618" s="1" t="n">
        <v>82617</v>
      </c>
      <c r="B82618">
        <f>TEXT(82617, "[$-0E0000]yyyy-mm-dd")</f>
        <v/>
      </c>
    </row>
    <row r="82619">
      <c r="A82619" s="1" t="n">
        <v>82618</v>
      </c>
      <c r="B82619">
        <f>TEXT(82618, "[$-0E0000]yyyy-mm-dd")</f>
        <v/>
      </c>
    </row>
    <row r="82620">
      <c r="A82620" s="1" t="n">
        <v>82619</v>
      </c>
      <c r="B82620">
        <f>TEXT(82619, "[$-0E0000]yyyy-mm-dd")</f>
        <v/>
      </c>
    </row>
    <row r="82621">
      <c r="A82621" s="1" t="n">
        <v>82620</v>
      </c>
      <c r="B82621">
        <f>TEXT(82620, "[$-0E0000]yyyy-mm-dd")</f>
        <v/>
      </c>
    </row>
    <row r="82622">
      <c r="A82622" s="1" t="n">
        <v>82621</v>
      </c>
      <c r="B82622">
        <f>TEXT(82621, "[$-0E0000]yyyy-mm-dd")</f>
        <v/>
      </c>
    </row>
    <row r="82623">
      <c r="A82623" s="1" t="n">
        <v>82622</v>
      </c>
      <c r="B82623">
        <f>TEXT(82622, "[$-0E0000]yyyy-mm-dd")</f>
        <v/>
      </c>
    </row>
    <row r="82624">
      <c r="A82624" s="1" t="n">
        <v>82623</v>
      </c>
      <c r="B82624">
        <f>TEXT(82623, "[$-0E0000]yyyy-mm-dd")</f>
        <v/>
      </c>
    </row>
    <row r="82625">
      <c r="A82625" s="1" t="n">
        <v>82624</v>
      </c>
      <c r="B82625">
        <f>TEXT(82624, "[$-0E0000]yyyy-mm-dd")</f>
        <v/>
      </c>
    </row>
    <row r="82626">
      <c r="A82626" s="1" t="n">
        <v>82625</v>
      </c>
      <c r="B82626">
        <f>TEXT(82625, "[$-0E0000]yyyy-mm-dd")</f>
        <v/>
      </c>
    </row>
    <row r="82627">
      <c r="A82627" s="1" t="n">
        <v>82626</v>
      </c>
      <c r="B82627">
        <f>TEXT(82626, "[$-0E0000]yyyy-mm-dd")</f>
        <v/>
      </c>
    </row>
    <row r="82628">
      <c r="A82628" s="1" t="n">
        <v>82627</v>
      </c>
      <c r="B82628">
        <f>TEXT(82627, "[$-0E0000]yyyy-mm-dd")</f>
        <v/>
      </c>
    </row>
    <row r="82629">
      <c r="A82629" s="1" t="n">
        <v>82628</v>
      </c>
      <c r="B82629">
        <f>TEXT(82628, "[$-0E0000]yyyy-mm-dd")</f>
        <v/>
      </c>
    </row>
    <row r="82630">
      <c r="A82630" s="1" t="n">
        <v>82629</v>
      </c>
      <c r="B82630">
        <f>TEXT(82629, "[$-0E0000]yyyy-mm-dd")</f>
        <v/>
      </c>
    </row>
    <row r="82631">
      <c r="A82631" s="1" t="n">
        <v>82630</v>
      </c>
      <c r="B82631">
        <f>TEXT(82630, "[$-0E0000]yyyy-mm-dd")</f>
        <v/>
      </c>
    </row>
    <row r="82632">
      <c r="A82632" s="1" t="n">
        <v>82631</v>
      </c>
      <c r="B82632">
        <f>TEXT(82631, "[$-0E0000]yyyy-mm-dd")</f>
        <v/>
      </c>
    </row>
    <row r="82633">
      <c r="A82633" s="1" t="n">
        <v>82632</v>
      </c>
      <c r="B82633">
        <f>TEXT(82632, "[$-0E0000]yyyy-mm-dd")</f>
        <v/>
      </c>
    </row>
    <row r="82634">
      <c r="A82634" s="1" t="n">
        <v>82633</v>
      </c>
      <c r="B82634">
        <f>TEXT(82633, "[$-0E0000]yyyy-mm-dd")</f>
        <v/>
      </c>
    </row>
    <row r="82635">
      <c r="A82635" s="1" t="n">
        <v>82634</v>
      </c>
      <c r="B82635">
        <f>TEXT(82634, "[$-0E0000]yyyy-mm-dd")</f>
        <v/>
      </c>
    </row>
    <row r="82636">
      <c r="A82636" s="1" t="n">
        <v>82635</v>
      </c>
      <c r="B82636">
        <f>TEXT(82635, "[$-0E0000]yyyy-mm-dd")</f>
        <v/>
      </c>
    </row>
    <row r="82637">
      <c r="A82637" s="1" t="n">
        <v>82636</v>
      </c>
      <c r="B82637">
        <f>TEXT(82636, "[$-0E0000]yyyy-mm-dd")</f>
        <v/>
      </c>
    </row>
    <row r="82638">
      <c r="A82638" s="1" t="n">
        <v>82637</v>
      </c>
      <c r="B82638">
        <f>TEXT(82637, "[$-0E0000]yyyy-mm-dd")</f>
        <v/>
      </c>
    </row>
    <row r="82639">
      <c r="A82639" s="1" t="n">
        <v>82638</v>
      </c>
      <c r="B82639">
        <f>TEXT(82638, "[$-0E0000]yyyy-mm-dd")</f>
        <v/>
      </c>
    </row>
    <row r="82640">
      <c r="A82640" s="1" t="n">
        <v>82639</v>
      </c>
      <c r="B82640">
        <f>TEXT(82639, "[$-0E0000]yyyy-mm-dd")</f>
        <v/>
      </c>
    </row>
    <row r="82641">
      <c r="A82641" s="1" t="n">
        <v>82640</v>
      </c>
      <c r="B82641">
        <f>TEXT(82640, "[$-0E0000]yyyy-mm-dd")</f>
        <v/>
      </c>
    </row>
    <row r="82642">
      <c r="A82642" s="1" t="n">
        <v>82641</v>
      </c>
      <c r="B82642">
        <f>TEXT(82641, "[$-0E0000]yyyy-mm-dd")</f>
        <v/>
      </c>
    </row>
    <row r="82643">
      <c r="A82643" s="1" t="n">
        <v>82642</v>
      </c>
      <c r="B82643">
        <f>TEXT(82642, "[$-0E0000]yyyy-mm-dd")</f>
        <v/>
      </c>
    </row>
    <row r="82644">
      <c r="A82644" s="1" t="n">
        <v>82643</v>
      </c>
      <c r="B82644">
        <f>TEXT(82643, "[$-0E0000]yyyy-mm-dd")</f>
        <v/>
      </c>
    </row>
    <row r="82645">
      <c r="A82645" s="1" t="n">
        <v>82644</v>
      </c>
      <c r="B82645">
        <f>TEXT(82644, "[$-0E0000]yyyy-mm-dd")</f>
        <v/>
      </c>
    </row>
    <row r="82646">
      <c r="A82646" s="1" t="n">
        <v>82645</v>
      </c>
      <c r="B82646">
        <f>TEXT(82645, "[$-0E0000]yyyy-mm-dd")</f>
        <v/>
      </c>
    </row>
    <row r="82647">
      <c r="A82647" s="1" t="n">
        <v>82646</v>
      </c>
      <c r="B82647">
        <f>TEXT(82646, "[$-0E0000]yyyy-mm-dd")</f>
        <v/>
      </c>
    </row>
    <row r="82648">
      <c r="A82648" s="1" t="n">
        <v>82647</v>
      </c>
      <c r="B82648">
        <f>TEXT(82647, "[$-0E0000]yyyy-mm-dd")</f>
        <v/>
      </c>
    </row>
    <row r="82649">
      <c r="A82649" s="1" t="n">
        <v>82648</v>
      </c>
      <c r="B82649">
        <f>TEXT(82648, "[$-0E0000]yyyy-mm-dd")</f>
        <v/>
      </c>
    </row>
    <row r="82650">
      <c r="A82650" s="1" t="n">
        <v>82649</v>
      </c>
      <c r="B82650">
        <f>TEXT(82649, "[$-0E0000]yyyy-mm-dd")</f>
        <v/>
      </c>
    </row>
    <row r="82651">
      <c r="A82651" s="1" t="n">
        <v>82650</v>
      </c>
      <c r="B82651">
        <f>TEXT(82650, "[$-0E0000]yyyy-mm-dd")</f>
        <v/>
      </c>
    </row>
    <row r="82652">
      <c r="A82652" s="1" t="n">
        <v>82651</v>
      </c>
      <c r="B82652">
        <f>TEXT(82651, "[$-0E0000]yyyy-mm-dd")</f>
        <v/>
      </c>
    </row>
    <row r="82653">
      <c r="A82653" s="1" t="n">
        <v>82652</v>
      </c>
      <c r="B82653">
        <f>TEXT(82652, "[$-0E0000]yyyy-mm-dd")</f>
        <v/>
      </c>
    </row>
    <row r="82654">
      <c r="A82654" s="1" t="n">
        <v>82653</v>
      </c>
      <c r="B82654">
        <f>TEXT(82653, "[$-0E0000]yyyy-mm-dd")</f>
        <v/>
      </c>
    </row>
    <row r="82655">
      <c r="A82655" s="1" t="n">
        <v>82654</v>
      </c>
      <c r="B82655">
        <f>TEXT(82654, "[$-0E0000]yyyy-mm-dd")</f>
        <v/>
      </c>
    </row>
    <row r="82656">
      <c r="A82656" s="1" t="n">
        <v>82655</v>
      </c>
      <c r="B82656">
        <f>TEXT(82655, "[$-0E0000]yyyy-mm-dd")</f>
        <v/>
      </c>
    </row>
    <row r="82657">
      <c r="A82657" s="1" t="n">
        <v>82656</v>
      </c>
      <c r="B82657">
        <f>TEXT(82656, "[$-0E0000]yyyy-mm-dd")</f>
        <v/>
      </c>
    </row>
    <row r="82658">
      <c r="A82658" s="1" t="n">
        <v>82657</v>
      </c>
      <c r="B82658">
        <f>TEXT(82657, "[$-0E0000]yyyy-mm-dd")</f>
        <v/>
      </c>
    </row>
    <row r="82659">
      <c r="A82659" s="1" t="n">
        <v>82658</v>
      </c>
      <c r="B82659">
        <f>TEXT(82658, "[$-0E0000]yyyy-mm-dd")</f>
        <v/>
      </c>
    </row>
    <row r="82660">
      <c r="A82660" s="1" t="n">
        <v>82659</v>
      </c>
      <c r="B82660">
        <f>TEXT(82659, "[$-0E0000]yyyy-mm-dd")</f>
        <v/>
      </c>
    </row>
    <row r="82661">
      <c r="A82661" s="1" t="n">
        <v>82660</v>
      </c>
      <c r="B82661">
        <f>TEXT(82660, "[$-0E0000]yyyy-mm-dd")</f>
        <v/>
      </c>
    </row>
    <row r="82662">
      <c r="A82662" s="1" t="n">
        <v>82661</v>
      </c>
      <c r="B82662">
        <f>TEXT(82661, "[$-0E0000]yyyy-mm-dd")</f>
        <v/>
      </c>
    </row>
    <row r="82663">
      <c r="A82663" s="1" t="n">
        <v>82662</v>
      </c>
      <c r="B82663">
        <f>TEXT(82662, "[$-0E0000]yyyy-mm-dd")</f>
        <v/>
      </c>
    </row>
    <row r="82664">
      <c r="A82664" s="1" t="n">
        <v>82663</v>
      </c>
      <c r="B82664">
        <f>TEXT(82663, "[$-0E0000]yyyy-mm-dd")</f>
        <v/>
      </c>
    </row>
    <row r="82665">
      <c r="A82665" s="1" t="n">
        <v>82664</v>
      </c>
      <c r="B82665">
        <f>TEXT(82664, "[$-0E0000]yyyy-mm-dd")</f>
        <v/>
      </c>
    </row>
    <row r="82666">
      <c r="A82666" s="1" t="n">
        <v>82665</v>
      </c>
      <c r="B82666">
        <f>TEXT(82665, "[$-0E0000]yyyy-mm-dd")</f>
        <v/>
      </c>
    </row>
    <row r="82667">
      <c r="A82667" s="1" t="n">
        <v>82666</v>
      </c>
      <c r="B82667">
        <f>TEXT(82666, "[$-0E0000]yyyy-mm-dd")</f>
        <v/>
      </c>
    </row>
    <row r="82668">
      <c r="A82668" s="1" t="n">
        <v>82667</v>
      </c>
      <c r="B82668">
        <f>TEXT(82667, "[$-0E0000]yyyy-mm-dd")</f>
        <v/>
      </c>
    </row>
    <row r="82669">
      <c r="A82669" s="1" t="n">
        <v>82668</v>
      </c>
      <c r="B82669">
        <f>TEXT(82668, "[$-0E0000]yyyy-mm-dd")</f>
        <v/>
      </c>
    </row>
    <row r="82670">
      <c r="A82670" s="1" t="n">
        <v>82669</v>
      </c>
      <c r="B82670">
        <f>TEXT(82669, "[$-0E0000]yyyy-mm-dd")</f>
        <v/>
      </c>
    </row>
    <row r="82671">
      <c r="A82671" s="1" t="n">
        <v>82670</v>
      </c>
      <c r="B82671">
        <f>TEXT(82670, "[$-0E0000]yyyy-mm-dd")</f>
        <v/>
      </c>
    </row>
    <row r="82672">
      <c r="A82672" s="1" t="n">
        <v>82671</v>
      </c>
      <c r="B82672">
        <f>TEXT(82671, "[$-0E0000]yyyy-mm-dd")</f>
        <v/>
      </c>
    </row>
    <row r="82673">
      <c r="A82673" s="1" t="n">
        <v>82672</v>
      </c>
      <c r="B82673">
        <f>TEXT(82672, "[$-0E0000]yyyy-mm-dd")</f>
        <v/>
      </c>
    </row>
    <row r="82674">
      <c r="A82674" s="1" t="n">
        <v>82673</v>
      </c>
      <c r="B82674">
        <f>TEXT(82673, "[$-0E0000]yyyy-mm-dd")</f>
        <v/>
      </c>
    </row>
    <row r="82675">
      <c r="A82675" s="1" t="n">
        <v>82674</v>
      </c>
      <c r="B82675">
        <f>TEXT(82674, "[$-0E0000]yyyy-mm-dd")</f>
        <v/>
      </c>
    </row>
    <row r="82676">
      <c r="A82676" s="1" t="n">
        <v>82675</v>
      </c>
      <c r="B82676">
        <f>TEXT(82675, "[$-0E0000]yyyy-mm-dd")</f>
        <v/>
      </c>
    </row>
    <row r="82677">
      <c r="A82677" s="1" t="n">
        <v>82676</v>
      </c>
      <c r="B82677">
        <f>TEXT(82676, "[$-0E0000]yyyy-mm-dd")</f>
        <v/>
      </c>
    </row>
    <row r="82678">
      <c r="A82678" s="1" t="n">
        <v>82677</v>
      </c>
      <c r="B82678">
        <f>TEXT(82677, "[$-0E0000]yyyy-mm-dd")</f>
        <v/>
      </c>
    </row>
    <row r="82679">
      <c r="A82679" s="1" t="n">
        <v>82678</v>
      </c>
      <c r="B82679">
        <f>TEXT(82678, "[$-0E0000]yyyy-mm-dd")</f>
        <v/>
      </c>
    </row>
    <row r="82680">
      <c r="A82680" s="1" t="n">
        <v>82679</v>
      </c>
      <c r="B82680">
        <f>TEXT(82679, "[$-0E0000]yyyy-mm-dd")</f>
        <v/>
      </c>
    </row>
    <row r="82681">
      <c r="A82681" s="1" t="n">
        <v>82680</v>
      </c>
      <c r="B82681">
        <f>TEXT(82680, "[$-0E0000]yyyy-mm-dd")</f>
        <v/>
      </c>
    </row>
    <row r="82682">
      <c r="A82682" s="1" t="n">
        <v>82681</v>
      </c>
      <c r="B82682">
        <f>TEXT(82681, "[$-0E0000]yyyy-mm-dd")</f>
        <v/>
      </c>
    </row>
    <row r="82683">
      <c r="A82683" s="1" t="n">
        <v>82682</v>
      </c>
      <c r="B82683">
        <f>TEXT(82682, "[$-0E0000]yyyy-mm-dd")</f>
        <v/>
      </c>
    </row>
    <row r="82684">
      <c r="A82684" s="1" t="n">
        <v>82683</v>
      </c>
      <c r="B82684">
        <f>TEXT(82683, "[$-0E0000]yyyy-mm-dd")</f>
        <v/>
      </c>
    </row>
    <row r="82685">
      <c r="A82685" s="1" t="n">
        <v>82684</v>
      </c>
      <c r="B82685">
        <f>TEXT(82684, "[$-0E0000]yyyy-mm-dd")</f>
        <v/>
      </c>
    </row>
    <row r="82686">
      <c r="A82686" s="1" t="n">
        <v>82685</v>
      </c>
      <c r="B82686">
        <f>TEXT(82685, "[$-0E0000]yyyy-mm-dd")</f>
        <v/>
      </c>
    </row>
    <row r="82687">
      <c r="A82687" s="1" t="n">
        <v>82686</v>
      </c>
      <c r="B82687">
        <f>TEXT(82686, "[$-0E0000]yyyy-mm-dd")</f>
        <v/>
      </c>
    </row>
    <row r="82688">
      <c r="A82688" s="1" t="n">
        <v>82687</v>
      </c>
      <c r="B82688">
        <f>TEXT(82687, "[$-0E0000]yyyy-mm-dd")</f>
        <v/>
      </c>
    </row>
    <row r="82689">
      <c r="A82689" s="1" t="n">
        <v>82688</v>
      </c>
      <c r="B82689">
        <f>TEXT(82688, "[$-0E0000]yyyy-mm-dd")</f>
        <v/>
      </c>
    </row>
    <row r="82690">
      <c r="A82690" s="1" t="n">
        <v>82689</v>
      </c>
      <c r="B82690">
        <f>TEXT(82689, "[$-0E0000]yyyy-mm-dd")</f>
        <v/>
      </c>
    </row>
    <row r="82691">
      <c r="A82691" s="1" t="n">
        <v>82690</v>
      </c>
      <c r="B82691">
        <f>TEXT(82690, "[$-0E0000]yyyy-mm-dd")</f>
        <v/>
      </c>
    </row>
    <row r="82692">
      <c r="A82692" s="1" t="n">
        <v>82691</v>
      </c>
      <c r="B82692">
        <f>TEXT(82691, "[$-0E0000]yyyy-mm-dd")</f>
        <v/>
      </c>
    </row>
    <row r="82693">
      <c r="A82693" s="1" t="n">
        <v>82692</v>
      </c>
      <c r="B82693">
        <f>TEXT(82692, "[$-0E0000]yyyy-mm-dd")</f>
        <v/>
      </c>
    </row>
    <row r="82694">
      <c r="A82694" s="1" t="n">
        <v>82693</v>
      </c>
      <c r="B82694">
        <f>TEXT(82693, "[$-0E0000]yyyy-mm-dd")</f>
        <v/>
      </c>
    </row>
    <row r="82695">
      <c r="A82695" s="1" t="n">
        <v>82694</v>
      </c>
      <c r="B82695">
        <f>TEXT(82694, "[$-0E0000]yyyy-mm-dd")</f>
        <v/>
      </c>
    </row>
    <row r="82696">
      <c r="A82696" s="1" t="n">
        <v>82695</v>
      </c>
      <c r="B82696">
        <f>TEXT(82695, "[$-0E0000]yyyy-mm-dd")</f>
        <v/>
      </c>
    </row>
    <row r="82697">
      <c r="A82697" s="1" t="n">
        <v>82696</v>
      </c>
      <c r="B82697">
        <f>TEXT(82696, "[$-0E0000]yyyy-mm-dd")</f>
        <v/>
      </c>
    </row>
    <row r="82698">
      <c r="A82698" s="1" t="n">
        <v>82697</v>
      </c>
      <c r="B82698">
        <f>TEXT(82697, "[$-0E0000]yyyy-mm-dd")</f>
        <v/>
      </c>
    </row>
    <row r="82699">
      <c r="A82699" s="1" t="n">
        <v>82698</v>
      </c>
      <c r="B82699">
        <f>TEXT(82698, "[$-0E0000]yyyy-mm-dd")</f>
        <v/>
      </c>
    </row>
    <row r="82700">
      <c r="A82700" s="1" t="n">
        <v>82699</v>
      </c>
      <c r="B82700">
        <f>TEXT(82699, "[$-0E0000]yyyy-mm-dd")</f>
        <v/>
      </c>
    </row>
    <row r="82701">
      <c r="A82701" s="1" t="n">
        <v>82700</v>
      </c>
      <c r="B82701">
        <f>TEXT(82700, "[$-0E0000]yyyy-mm-dd")</f>
        <v/>
      </c>
    </row>
    <row r="82702">
      <c r="A82702" s="1" t="n">
        <v>82701</v>
      </c>
      <c r="B82702">
        <f>TEXT(82701, "[$-0E0000]yyyy-mm-dd")</f>
        <v/>
      </c>
    </row>
    <row r="82703">
      <c r="A82703" s="1" t="n">
        <v>82702</v>
      </c>
      <c r="B82703">
        <f>TEXT(82702, "[$-0E0000]yyyy-mm-dd")</f>
        <v/>
      </c>
    </row>
    <row r="82704">
      <c r="A82704" s="1" t="n">
        <v>82703</v>
      </c>
      <c r="B82704">
        <f>TEXT(82703, "[$-0E0000]yyyy-mm-dd")</f>
        <v/>
      </c>
    </row>
    <row r="82705">
      <c r="A82705" s="1" t="n">
        <v>82704</v>
      </c>
      <c r="B82705">
        <f>TEXT(82704, "[$-0E0000]yyyy-mm-dd")</f>
        <v/>
      </c>
    </row>
    <row r="82706">
      <c r="A82706" s="1" t="n">
        <v>82705</v>
      </c>
      <c r="B82706">
        <f>TEXT(82705, "[$-0E0000]yyyy-mm-dd")</f>
        <v/>
      </c>
    </row>
    <row r="82707">
      <c r="A82707" s="1" t="n">
        <v>82706</v>
      </c>
      <c r="B82707">
        <f>TEXT(82706, "[$-0E0000]yyyy-mm-dd")</f>
        <v/>
      </c>
    </row>
    <row r="82708">
      <c r="A82708" s="1" t="n">
        <v>82707</v>
      </c>
      <c r="B82708">
        <f>TEXT(82707, "[$-0E0000]yyyy-mm-dd")</f>
        <v/>
      </c>
    </row>
    <row r="82709">
      <c r="A82709" s="1" t="n">
        <v>82708</v>
      </c>
      <c r="B82709">
        <f>TEXT(82708, "[$-0E0000]yyyy-mm-dd")</f>
        <v/>
      </c>
    </row>
    <row r="82710">
      <c r="A82710" s="1" t="n">
        <v>82709</v>
      </c>
      <c r="B82710">
        <f>TEXT(82709, "[$-0E0000]yyyy-mm-dd")</f>
        <v/>
      </c>
    </row>
    <row r="82711">
      <c r="A82711" s="1" t="n">
        <v>82710</v>
      </c>
      <c r="B82711">
        <f>TEXT(82710, "[$-0E0000]yyyy-mm-dd")</f>
        <v/>
      </c>
    </row>
    <row r="82712">
      <c r="A82712" s="1" t="n">
        <v>82711</v>
      </c>
      <c r="B82712">
        <f>TEXT(82711, "[$-0E0000]yyyy-mm-dd")</f>
        <v/>
      </c>
    </row>
    <row r="82713">
      <c r="A82713" s="1" t="n">
        <v>82712</v>
      </c>
      <c r="B82713">
        <f>TEXT(82712, "[$-0E0000]yyyy-mm-dd")</f>
        <v/>
      </c>
    </row>
    <row r="82714">
      <c r="A82714" s="1" t="n">
        <v>82713</v>
      </c>
      <c r="B82714">
        <f>TEXT(82713, "[$-0E0000]yyyy-mm-dd")</f>
        <v/>
      </c>
    </row>
    <row r="82715">
      <c r="A82715" s="1" t="n">
        <v>82714</v>
      </c>
      <c r="B82715">
        <f>TEXT(82714, "[$-0E0000]yyyy-mm-dd")</f>
        <v/>
      </c>
    </row>
    <row r="82716">
      <c r="A82716" s="1" t="n">
        <v>82715</v>
      </c>
      <c r="B82716">
        <f>TEXT(82715, "[$-0E0000]yyyy-mm-dd")</f>
        <v/>
      </c>
    </row>
    <row r="82717">
      <c r="A82717" s="1" t="n">
        <v>82716</v>
      </c>
      <c r="B82717">
        <f>TEXT(82716, "[$-0E0000]yyyy-mm-dd")</f>
        <v/>
      </c>
    </row>
    <row r="82718">
      <c r="A82718" s="1" t="n">
        <v>82717</v>
      </c>
      <c r="B82718">
        <f>TEXT(82717, "[$-0E0000]yyyy-mm-dd")</f>
        <v/>
      </c>
    </row>
    <row r="82719">
      <c r="A82719" s="1" t="n">
        <v>82718</v>
      </c>
      <c r="B82719">
        <f>TEXT(82718, "[$-0E0000]yyyy-mm-dd")</f>
        <v/>
      </c>
    </row>
    <row r="82720">
      <c r="A82720" s="1" t="n">
        <v>82719</v>
      </c>
      <c r="B82720">
        <f>TEXT(82719, "[$-0E0000]yyyy-mm-dd")</f>
        <v/>
      </c>
    </row>
    <row r="82721">
      <c r="A82721" s="1" t="n">
        <v>82720</v>
      </c>
      <c r="B82721">
        <f>TEXT(82720, "[$-0E0000]yyyy-mm-dd")</f>
        <v/>
      </c>
    </row>
    <row r="82722">
      <c r="A82722" s="1" t="n">
        <v>82721</v>
      </c>
      <c r="B82722">
        <f>TEXT(82721, "[$-0E0000]yyyy-mm-dd")</f>
        <v/>
      </c>
    </row>
    <row r="82723">
      <c r="A82723" s="1" t="n">
        <v>82722</v>
      </c>
      <c r="B82723">
        <f>TEXT(82722, "[$-0E0000]yyyy-mm-dd")</f>
        <v/>
      </c>
    </row>
    <row r="82724">
      <c r="A82724" s="1" t="n">
        <v>82723</v>
      </c>
      <c r="B82724">
        <f>TEXT(82723, "[$-0E0000]yyyy-mm-dd")</f>
        <v/>
      </c>
    </row>
    <row r="82725">
      <c r="A82725" s="1" t="n">
        <v>82724</v>
      </c>
      <c r="B82725">
        <f>TEXT(82724, "[$-0E0000]yyyy-mm-dd")</f>
        <v/>
      </c>
    </row>
    <row r="82726">
      <c r="A82726" s="1" t="n">
        <v>82725</v>
      </c>
      <c r="B82726">
        <f>TEXT(82725, "[$-0E0000]yyyy-mm-dd")</f>
        <v/>
      </c>
    </row>
    <row r="82727">
      <c r="A82727" s="1" t="n">
        <v>82726</v>
      </c>
      <c r="B82727">
        <f>TEXT(82726, "[$-0E0000]yyyy-mm-dd")</f>
        <v/>
      </c>
    </row>
    <row r="82728">
      <c r="A82728" s="1" t="n">
        <v>82727</v>
      </c>
      <c r="B82728">
        <f>TEXT(82727, "[$-0E0000]yyyy-mm-dd")</f>
        <v/>
      </c>
    </row>
    <row r="82729">
      <c r="A82729" s="1" t="n">
        <v>82728</v>
      </c>
      <c r="B82729">
        <f>TEXT(82728, "[$-0E0000]yyyy-mm-dd")</f>
        <v/>
      </c>
    </row>
    <row r="82730">
      <c r="A82730" s="1" t="n">
        <v>82729</v>
      </c>
      <c r="B82730">
        <f>TEXT(82729, "[$-0E0000]yyyy-mm-dd")</f>
        <v/>
      </c>
    </row>
    <row r="82731">
      <c r="A82731" s="1" t="n">
        <v>82730</v>
      </c>
      <c r="B82731">
        <f>TEXT(82730, "[$-0E0000]yyyy-mm-dd")</f>
        <v/>
      </c>
    </row>
    <row r="82732">
      <c r="A82732" s="1" t="n">
        <v>82731</v>
      </c>
      <c r="B82732">
        <f>TEXT(82731, "[$-0E0000]yyyy-mm-dd")</f>
        <v/>
      </c>
    </row>
    <row r="82733">
      <c r="A82733" s="1" t="n">
        <v>82732</v>
      </c>
      <c r="B82733">
        <f>TEXT(82732, "[$-0E0000]yyyy-mm-dd")</f>
        <v/>
      </c>
    </row>
    <row r="82734">
      <c r="A82734" s="1" t="n">
        <v>82733</v>
      </c>
      <c r="B82734">
        <f>TEXT(82733, "[$-0E0000]yyyy-mm-dd")</f>
        <v/>
      </c>
    </row>
    <row r="82735">
      <c r="A82735" s="1" t="n">
        <v>82734</v>
      </c>
      <c r="B82735">
        <f>TEXT(82734, "[$-0E0000]yyyy-mm-dd")</f>
        <v/>
      </c>
    </row>
    <row r="82736">
      <c r="A82736" s="1" t="n">
        <v>82735</v>
      </c>
      <c r="B82736">
        <f>TEXT(82735, "[$-0E0000]yyyy-mm-dd")</f>
        <v/>
      </c>
    </row>
    <row r="82737">
      <c r="A82737" s="1" t="n">
        <v>82736</v>
      </c>
      <c r="B82737">
        <f>TEXT(82736, "[$-0E0000]yyyy-mm-dd")</f>
        <v/>
      </c>
    </row>
    <row r="82738">
      <c r="A82738" s="1" t="n">
        <v>82737</v>
      </c>
      <c r="B82738">
        <f>TEXT(82737, "[$-0E0000]yyyy-mm-dd")</f>
        <v/>
      </c>
    </row>
    <row r="82739">
      <c r="A82739" s="1" t="n">
        <v>82738</v>
      </c>
      <c r="B82739">
        <f>TEXT(82738, "[$-0E0000]yyyy-mm-dd")</f>
        <v/>
      </c>
    </row>
    <row r="82740">
      <c r="A82740" s="1" t="n">
        <v>82739</v>
      </c>
      <c r="B82740">
        <f>TEXT(82739, "[$-0E0000]yyyy-mm-dd")</f>
        <v/>
      </c>
    </row>
    <row r="82741">
      <c r="A82741" s="1" t="n">
        <v>82740</v>
      </c>
      <c r="B82741">
        <f>TEXT(82740, "[$-0E0000]yyyy-mm-dd")</f>
        <v/>
      </c>
    </row>
    <row r="82742">
      <c r="A82742" s="1" t="n">
        <v>82741</v>
      </c>
      <c r="B82742">
        <f>TEXT(82741, "[$-0E0000]yyyy-mm-dd")</f>
        <v/>
      </c>
    </row>
    <row r="82743">
      <c r="A82743" s="1" t="n">
        <v>82742</v>
      </c>
      <c r="B82743">
        <f>TEXT(82742, "[$-0E0000]yyyy-mm-dd")</f>
        <v/>
      </c>
    </row>
    <row r="82744">
      <c r="A82744" s="1" t="n">
        <v>82743</v>
      </c>
      <c r="B82744">
        <f>TEXT(82743, "[$-0E0000]yyyy-mm-dd")</f>
        <v/>
      </c>
    </row>
    <row r="82745">
      <c r="A82745" s="1" t="n">
        <v>82744</v>
      </c>
      <c r="B82745">
        <f>TEXT(82744, "[$-0E0000]yyyy-mm-dd")</f>
        <v/>
      </c>
    </row>
    <row r="82746">
      <c r="A82746" s="1" t="n">
        <v>82745</v>
      </c>
      <c r="B82746">
        <f>TEXT(82745, "[$-0E0000]yyyy-mm-dd")</f>
        <v/>
      </c>
    </row>
    <row r="82747">
      <c r="A82747" s="1" t="n">
        <v>82746</v>
      </c>
      <c r="B82747">
        <f>TEXT(82746, "[$-0E0000]yyyy-mm-dd")</f>
        <v/>
      </c>
    </row>
    <row r="82748">
      <c r="A82748" s="1" t="n">
        <v>82747</v>
      </c>
      <c r="B82748">
        <f>TEXT(82747, "[$-0E0000]yyyy-mm-dd")</f>
        <v/>
      </c>
    </row>
    <row r="82749">
      <c r="A82749" s="1" t="n">
        <v>82748</v>
      </c>
      <c r="B82749">
        <f>TEXT(82748, "[$-0E0000]yyyy-mm-dd")</f>
        <v/>
      </c>
    </row>
    <row r="82750">
      <c r="A82750" s="1" t="n">
        <v>82749</v>
      </c>
      <c r="B82750">
        <f>TEXT(82749, "[$-0E0000]yyyy-mm-dd")</f>
        <v/>
      </c>
    </row>
    <row r="82751">
      <c r="A82751" s="1" t="n">
        <v>82750</v>
      </c>
      <c r="B82751">
        <f>TEXT(82750, "[$-0E0000]yyyy-mm-dd")</f>
        <v/>
      </c>
    </row>
    <row r="82752">
      <c r="A82752" s="1" t="n">
        <v>82751</v>
      </c>
      <c r="B82752">
        <f>TEXT(82751, "[$-0E0000]yyyy-mm-dd")</f>
        <v/>
      </c>
    </row>
    <row r="82753">
      <c r="A82753" s="1" t="n">
        <v>82752</v>
      </c>
      <c r="B82753">
        <f>TEXT(82752, "[$-0E0000]yyyy-mm-dd")</f>
        <v/>
      </c>
    </row>
    <row r="82754">
      <c r="A82754" s="1" t="n">
        <v>82753</v>
      </c>
      <c r="B82754">
        <f>TEXT(82753, "[$-0E0000]yyyy-mm-dd")</f>
        <v/>
      </c>
    </row>
    <row r="82755">
      <c r="A82755" s="1" t="n">
        <v>82754</v>
      </c>
      <c r="B82755">
        <f>TEXT(82754, "[$-0E0000]yyyy-mm-dd")</f>
        <v/>
      </c>
    </row>
    <row r="82756">
      <c r="A82756" s="1" t="n">
        <v>82755</v>
      </c>
      <c r="B82756">
        <f>TEXT(82755, "[$-0E0000]yyyy-mm-dd")</f>
        <v/>
      </c>
    </row>
    <row r="82757">
      <c r="A82757" s="1" t="n">
        <v>82756</v>
      </c>
      <c r="B82757">
        <f>TEXT(82756, "[$-0E0000]yyyy-mm-dd")</f>
        <v/>
      </c>
    </row>
    <row r="82758">
      <c r="A82758" s="1" t="n">
        <v>82757</v>
      </c>
      <c r="B82758">
        <f>TEXT(82757, "[$-0E0000]yyyy-mm-dd")</f>
        <v/>
      </c>
    </row>
    <row r="82759">
      <c r="A82759" s="1" t="n">
        <v>82758</v>
      </c>
      <c r="B82759">
        <f>TEXT(82758, "[$-0E0000]yyyy-mm-dd")</f>
        <v/>
      </c>
    </row>
    <row r="82760">
      <c r="A82760" s="1" t="n">
        <v>82759</v>
      </c>
      <c r="B82760">
        <f>TEXT(82759, "[$-0E0000]yyyy-mm-dd")</f>
        <v/>
      </c>
    </row>
    <row r="82761">
      <c r="A82761" s="1" t="n">
        <v>82760</v>
      </c>
      <c r="B82761">
        <f>TEXT(82760, "[$-0E0000]yyyy-mm-dd")</f>
        <v/>
      </c>
    </row>
    <row r="82762">
      <c r="A82762" s="1" t="n">
        <v>82761</v>
      </c>
      <c r="B82762">
        <f>TEXT(82761, "[$-0E0000]yyyy-mm-dd")</f>
        <v/>
      </c>
    </row>
    <row r="82763">
      <c r="A82763" s="1" t="n">
        <v>82762</v>
      </c>
      <c r="B82763">
        <f>TEXT(82762, "[$-0E0000]yyyy-mm-dd")</f>
        <v/>
      </c>
    </row>
    <row r="82764">
      <c r="A82764" s="1" t="n">
        <v>82763</v>
      </c>
      <c r="B82764">
        <f>TEXT(82763, "[$-0E0000]yyyy-mm-dd")</f>
        <v/>
      </c>
    </row>
    <row r="82765">
      <c r="A82765" s="1" t="n">
        <v>82764</v>
      </c>
      <c r="B82765">
        <f>TEXT(82764, "[$-0E0000]yyyy-mm-dd")</f>
        <v/>
      </c>
    </row>
    <row r="82766">
      <c r="A82766" s="1" t="n">
        <v>82765</v>
      </c>
      <c r="B82766">
        <f>TEXT(82765, "[$-0E0000]yyyy-mm-dd")</f>
        <v/>
      </c>
    </row>
    <row r="82767">
      <c r="A82767" s="1" t="n">
        <v>82766</v>
      </c>
      <c r="B82767">
        <f>TEXT(82766, "[$-0E0000]yyyy-mm-dd")</f>
        <v/>
      </c>
    </row>
    <row r="82768">
      <c r="A82768" s="1" t="n">
        <v>82767</v>
      </c>
      <c r="B82768">
        <f>TEXT(82767, "[$-0E0000]yyyy-mm-dd")</f>
        <v/>
      </c>
    </row>
    <row r="82769">
      <c r="A82769" s="1" t="n">
        <v>82768</v>
      </c>
      <c r="B82769">
        <f>TEXT(82768, "[$-0E0000]yyyy-mm-dd")</f>
        <v/>
      </c>
    </row>
    <row r="82770">
      <c r="A82770" s="1" t="n">
        <v>82769</v>
      </c>
      <c r="B82770">
        <f>TEXT(82769, "[$-0E0000]yyyy-mm-dd")</f>
        <v/>
      </c>
    </row>
    <row r="82771">
      <c r="A82771" s="1" t="n">
        <v>82770</v>
      </c>
      <c r="B82771">
        <f>TEXT(82770, "[$-0E0000]yyyy-mm-dd")</f>
        <v/>
      </c>
    </row>
    <row r="82772">
      <c r="A82772" s="1" t="n">
        <v>82771</v>
      </c>
      <c r="B82772">
        <f>TEXT(82771, "[$-0E0000]yyyy-mm-dd")</f>
        <v/>
      </c>
    </row>
    <row r="82773">
      <c r="A82773" s="1" t="n">
        <v>82772</v>
      </c>
      <c r="B82773">
        <f>TEXT(82772, "[$-0E0000]yyyy-mm-dd")</f>
        <v/>
      </c>
    </row>
    <row r="82774">
      <c r="A82774" s="1" t="n">
        <v>82773</v>
      </c>
      <c r="B82774">
        <f>TEXT(82773, "[$-0E0000]yyyy-mm-dd")</f>
        <v/>
      </c>
    </row>
    <row r="82775">
      <c r="A82775" s="1" t="n">
        <v>82774</v>
      </c>
      <c r="B82775">
        <f>TEXT(82774, "[$-0E0000]yyyy-mm-dd")</f>
        <v/>
      </c>
    </row>
    <row r="82776">
      <c r="A82776" s="1" t="n">
        <v>82775</v>
      </c>
      <c r="B82776">
        <f>TEXT(82775, "[$-0E0000]yyyy-mm-dd")</f>
        <v/>
      </c>
    </row>
    <row r="82777">
      <c r="A82777" s="1" t="n">
        <v>82776</v>
      </c>
      <c r="B82777">
        <f>TEXT(82776, "[$-0E0000]yyyy-mm-dd")</f>
        <v/>
      </c>
    </row>
    <row r="82778">
      <c r="A82778" s="1" t="n">
        <v>82777</v>
      </c>
      <c r="B82778">
        <f>TEXT(82777, "[$-0E0000]yyyy-mm-dd")</f>
        <v/>
      </c>
    </row>
    <row r="82779">
      <c r="A82779" s="1" t="n">
        <v>82778</v>
      </c>
      <c r="B82779">
        <f>TEXT(82778, "[$-0E0000]yyyy-mm-dd")</f>
        <v/>
      </c>
    </row>
    <row r="82780">
      <c r="A82780" s="1" t="n">
        <v>82779</v>
      </c>
      <c r="B82780">
        <f>TEXT(82779, "[$-0E0000]yyyy-mm-dd")</f>
        <v/>
      </c>
    </row>
    <row r="82781">
      <c r="A82781" s="1" t="n">
        <v>82780</v>
      </c>
      <c r="B82781">
        <f>TEXT(82780, "[$-0E0000]yyyy-mm-dd")</f>
        <v/>
      </c>
    </row>
    <row r="82782">
      <c r="A82782" s="1" t="n">
        <v>82781</v>
      </c>
      <c r="B82782">
        <f>TEXT(82781, "[$-0E0000]yyyy-mm-dd")</f>
        <v/>
      </c>
    </row>
    <row r="82783">
      <c r="A82783" s="1" t="n">
        <v>82782</v>
      </c>
      <c r="B82783">
        <f>TEXT(82782, "[$-0E0000]yyyy-mm-dd")</f>
        <v/>
      </c>
    </row>
    <row r="82784">
      <c r="A82784" s="1" t="n">
        <v>82783</v>
      </c>
      <c r="B82784">
        <f>TEXT(82783, "[$-0E0000]yyyy-mm-dd")</f>
        <v/>
      </c>
    </row>
    <row r="82785">
      <c r="A82785" s="1" t="n">
        <v>82784</v>
      </c>
      <c r="B82785">
        <f>TEXT(82784, "[$-0E0000]yyyy-mm-dd")</f>
        <v/>
      </c>
    </row>
    <row r="82786">
      <c r="A82786" s="1" t="n">
        <v>82785</v>
      </c>
      <c r="B82786">
        <f>TEXT(82785, "[$-0E0000]yyyy-mm-dd")</f>
        <v/>
      </c>
    </row>
    <row r="82787">
      <c r="A82787" s="1" t="n">
        <v>82786</v>
      </c>
      <c r="B82787">
        <f>TEXT(82786, "[$-0E0000]yyyy-mm-dd")</f>
        <v/>
      </c>
    </row>
    <row r="82788">
      <c r="A82788" s="1" t="n">
        <v>82787</v>
      </c>
      <c r="B82788">
        <f>TEXT(82787, "[$-0E0000]yyyy-mm-dd")</f>
        <v/>
      </c>
    </row>
    <row r="82789">
      <c r="A82789" s="1" t="n">
        <v>82788</v>
      </c>
      <c r="B82789">
        <f>TEXT(82788, "[$-0E0000]yyyy-mm-dd")</f>
        <v/>
      </c>
    </row>
    <row r="82790">
      <c r="A82790" s="1" t="n">
        <v>82789</v>
      </c>
      <c r="B82790">
        <f>TEXT(82789, "[$-0E0000]yyyy-mm-dd")</f>
        <v/>
      </c>
    </row>
    <row r="82791">
      <c r="A82791" s="1" t="n">
        <v>82790</v>
      </c>
      <c r="B82791">
        <f>TEXT(82790, "[$-0E0000]yyyy-mm-dd")</f>
        <v/>
      </c>
    </row>
    <row r="82792">
      <c r="A82792" s="1" t="n">
        <v>82791</v>
      </c>
      <c r="B82792">
        <f>TEXT(82791, "[$-0E0000]yyyy-mm-dd")</f>
        <v/>
      </c>
    </row>
    <row r="82793">
      <c r="A82793" s="1" t="n">
        <v>82792</v>
      </c>
      <c r="B82793">
        <f>TEXT(82792, "[$-0E0000]yyyy-mm-dd")</f>
        <v/>
      </c>
    </row>
    <row r="82794">
      <c r="A82794" s="1" t="n">
        <v>82793</v>
      </c>
      <c r="B82794">
        <f>TEXT(82793, "[$-0E0000]yyyy-mm-dd")</f>
        <v/>
      </c>
    </row>
    <row r="82795">
      <c r="A82795" s="1" t="n">
        <v>82794</v>
      </c>
      <c r="B82795">
        <f>TEXT(82794, "[$-0E0000]yyyy-mm-dd")</f>
        <v/>
      </c>
    </row>
    <row r="82796">
      <c r="A82796" s="1" t="n">
        <v>82795</v>
      </c>
      <c r="B82796">
        <f>TEXT(82795, "[$-0E0000]yyyy-mm-dd")</f>
        <v/>
      </c>
    </row>
    <row r="82797">
      <c r="A82797" s="1" t="n">
        <v>82796</v>
      </c>
      <c r="B82797">
        <f>TEXT(82796, "[$-0E0000]yyyy-mm-dd")</f>
        <v/>
      </c>
    </row>
    <row r="82798">
      <c r="A82798" s="1" t="n">
        <v>82797</v>
      </c>
      <c r="B82798">
        <f>TEXT(82797, "[$-0E0000]yyyy-mm-dd")</f>
        <v/>
      </c>
    </row>
    <row r="82799">
      <c r="A82799" s="1" t="n">
        <v>82798</v>
      </c>
      <c r="B82799">
        <f>TEXT(82798, "[$-0E0000]yyyy-mm-dd")</f>
        <v/>
      </c>
    </row>
    <row r="82800">
      <c r="A82800" s="1" t="n">
        <v>82799</v>
      </c>
      <c r="B82800">
        <f>TEXT(82799, "[$-0E0000]yyyy-mm-dd")</f>
        <v/>
      </c>
    </row>
    <row r="82801">
      <c r="A82801" s="1" t="n">
        <v>82800</v>
      </c>
      <c r="B82801">
        <f>TEXT(82800, "[$-0E0000]yyyy-mm-dd")</f>
        <v/>
      </c>
    </row>
    <row r="82802">
      <c r="A82802" s="1" t="n">
        <v>82801</v>
      </c>
      <c r="B82802">
        <f>TEXT(82801, "[$-0E0000]yyyy-mm-dd")</f>
        <v/>
      </c>
    </row>
    <row r="82803">
      <c r="A82803" s="1" t="n">
        <v>82802</v>
      </c>
      <c r="B82803">
        <f>TEXT(82802, "[$-0E0000]yyyy-mm-dd")</f>
        <v/>
      </c>
    </row>
    <row r="82804">
      <c r="A82804" s="1" t="n">
        <v>82803</v>
      </c>
      <c r="B82804">
        <f>TEXT(82803, "[$-0E0000]yyyy-mm-dd")</f>
        <v/>
      </c>
    </row>
    <row r="82805">
      <c r="A82805" s="1" t="n">
        <v>82804</v>
      </c>
      <c r="B82805">
        <f>TEXT(82804, "[$-0E0000]yyyy-mm-dd")</f>
        <v/>
      </c>
    </row>
    <row r="82806">
      <c r="A82806" s="1" t="n">
        <v>82805</v>
      </c>
      <c r="B82806">
        <f>TEXT(82805, "[$-0E0000]yyyy-mm-dd")</f>
        <v/>
      </c>
    </row>
    <row r="82807">
      <c r="A82807" s="1" t="n">
        <v>82806</v>
      </c>
      <c r="B82807">
        <f>TEXT(82806, "[$-0E0000]yyyy-mm-dd")</f>
        <v/>
      </c>
    </row>
    <row r="82808">
      <c r="A82808" s="1" t="n">
        <v>82807</v>
      </c>
      <c r="B82808">
        <f>TEXT(82807, "[$-0E0000]yyyy-mm-dd")</f>
        <v/>
      </c>
    </row>
    <row r="82809">
      <c r="A82809" s="1" t="n">
        <v>82808</v>
      </c>
      <c r="B82809">
        <f>TEXT(82808, "[$-0E0000]yyyy-mm-dd")</f>
        <v/>
      </c>
    </row>
    <row r="82810">
      <c r="A82810" s="1" t="n">
        <v>82809</v>
      </c>
      <c r="B82810">
        <f>TEXT(82809, "[$-0E0000]yyyy-mm-dd")</f>
        <v/>
      </c>
    </row>
    <row r="82811">
      <c r="A82811" s="1" t="n">
        <v>82810</v>
      </c>
      <c r="B82811">
        <f>TEXT(82810, "[$-0E0000]yyyy-mm-dd")</f>
        <v/>
      </c>
    </row>
    <row r="82812">
      <c r="A82812" s="1" t="n">
        <v>82811</v>
      </c>
      <c r="B82812">
        <f>TEXT(82811, "[$-0E0000]yyyy-mm-dd")</f>
        <v/>
      </c>
    </row>
    <row r="82813">
      <c r="A82813" s="1" t="n">
        <v>82812</v>
      </c>
      <c r="B82813">
        <f>TEXT(82812, "[$-0E0000]yyyy-mm-dd")</f>
        <v/>
      </c>
    </row>
    <row r="82814">
      <c r="A82814" s="1" t="n">
        <v>82813</v>
      </c>
      <c r="B82814">
        <f>TEXT(82813, "[$-0E0000]yyyy-mm-dd")</f>
        <v/>
      </c>
    </row>
    <row r="82815">
      <c r="A82815" s="1" t="n">
        <v>82814</v>
      </c>
      <c r="B82815">
        <f>TEXT(82814, "[$-0E0000]yyyy-mm-dd")</f>
        <v/>
      </c>
    </row>
    <row r="82816">
      <c r="A82816" s="1" t="n">
        <v>82815</v>
      </c>
      <c r="B82816">
        <f>TEXT(82815, "[$-0E0000]yyyy-mm-dd")</f>
        <v/>
      </c>
    </row>
    <row r="82817">
      <c r="A82817" s="1" t="n">
        <v>82816</v>
      </c>
      <c r="B82817">
        <f>TEXT(82816, "[$-0E0000]yyyy-mm-dd")</f>
        <v/>
      </c>
    </row>
    <row r="82818">
      <c r="A82818" s="1" t="n">
        <v>82817</v>
      </c>
      <c r="B82818">
        <f>TEXT(82817, "[$-0E0000]yyyy-mm-dd")</f>
        <v/>
      </c>
    </row>
    <row r="82819">
      <c r="A82819" s="1" t="n">
        <v>82818</v>
      </c>
      <c r="B82819">
        <f>TEXT(82818, "[$-0E0000]yyyy-mm-dd")</f>
        <v/>
      </c>
    </row>
    <row r="82820">
      <c r="A82820" s="1" t="n">
        <v>82819</v>
      </c>
      <c r="B82820">
        <f>TEXT(82819, "[$-0E0000]yyyy-mm-dd")</f>
        <v/>
      </c>
    </row>
    <row r="82821">
      <c r="A82821" s="1" t="n">
        <v>82820</v>
      </c>
      <c r="B82821">
        <f>TEXT(82820, "[$-0E0000]yyyy-mm-dd")</f>
        <v/>
      </c>
    </row>
    <row r="82822">
      <c r="A82822" s="1" t="n">
        <v>82821</v>
      </c>
      <c r="B82822">
        <f>TEXT(82821, "[$-0E0000]yyyy-mm-dd")</f>
        <v/>
      </c>
    </row>
    <row r="82823">
      <c r="A82823" s="1" t="n">
        <v>82822</v>
      </c>
      <c r="B82823">
        <f>TEXT(82822, "[$-0E0000]yyyy-mm-dd")</f>
        <v/>
      </c>
    </row>
    <row r="82824">
      <c r="A82824" s="1" t="n">
        <v>82823</v>
      </c>
      <c r="B82824">
        <f>TEXT(82823, "[$-0E0000]yyyy-mm-dd")</f>
        <v/>
      </c>
    </row>
    <row r="82825">
      <c r="A82825" s="1" t="n">
        <v>82824</v>
      </c>
      <c r="B82825">
        <f>TEXT(82824, "[$-0E0000]yyyy-mm-dd")</f>
        <v/>
      </c>
    </row>
    <row r="82826">
      <c r="A82826" s="1" t="n">
        <v>82825</v>
      </c>
      <c r="B82826">
        <f>TEXT(82825, "[$-0E0000]yyyy-mm-dd")</f>
        <v/>
      </c>
    </row>
    <row r="82827">
      <c r="A82827" s="1" t="n">
        <v>82826</v>
      </c>
      <c r="B82827">
        <f>TEXT(82826, "[$-0E0000]yyyy-mm-dd")</f>
        <v/>
      </c>
    </row>
    <row r="82828">
      <c r="A82828" s="1" t="n">
        <v>82827</v>
      </c>
      <c r="B82828">
        <f>TEXT(82827, "[$-0E0000]yyyy-mm-dd")</f>
        <v/>
      </c>
    </row>
    <row r="82829">
      <c r="A82829" s="1" t="n">
        <v>82828</v>
      </c>
      <c r="B82829">
        <f>TEXT(82828, "[$-0E0000]yyyy-mm-dd")</f>
        <v/>
      </c>
    </row>
    <row r="82830">
      <c r="A82830" s="1" t="n">
        <v>82829</v>
      </c>
      <c r="B82830">
        <f>TEXT(82829, "[$-0E0000]yyyy-mm-dd")</f>
        <v/>
      </c>
    </row>
    <row r="82831">
      <c r="A82831" s="1" t="n">
        <v>82830</v>
      </c>
      <c r="B82831">
        <f>TEXT(82830, "[$-0E0000]yyyy-mm-dd")</f>
        <v/>
      </c>
    </row>
    <row r="82832">
      <c r="A82832" s="1" t="n">
        <v>82831</v>
      </c>
      <c r="B82832">
        <f>TEXT(82831, "[$-0E0000]yyyy-mm-dd")</f>
        <v/>
      </c>
    </row>
    <row r="82833">
      <c r="A82833" s="1" t="n">
        <v>82832</v>
      </c>
      <c r="B82833">
        <f>TEXT(82832, "[$-0E0000]yyyy-mm-dd")</f>
        <v/>
      </c>
    </row>
    <row r="82834">
      <c r="A82834" s="1" t="n">
        <v>82833</v>
      </c>
      <c r="B82834">
        <f>TEXT(82833, "[$-0E0000]yyyy-mm-dd")</f>
        <v/>
      </c>
    </row>
    <row r="82835">
      <c r="A82835" s="1" t="n">
        <v>82834</v>
      </c>
      <c r="B82835">
        <f>TEXT(82834, "[$-0E0000]yyyy-mm-dd")</f>
        <v/>
      </c>
    </row>
    <row r="82836">
      <c r="A82836" s="1" t="n">
        <v>82835</v>
      </c>
      <c r="B82836">
        <f>TEXT(82835, "[$-0E0000]yyyy-mm-dd")</f>
        <v/>
      </c>
    </row>
    <row r="82837">
      <c r="A82837" s="1" t="n">
        <v>82836</v>
      </c>
      <c r="B82837">
        <f>TEXT(82836, "[$-0E0000]yyyy-mm-dd")</f>
        <v/>
      </c>
    </row>
    <row r="82838">
      <c r="A82838" s="1" t="n">
        <v>82837</v>
      </c>
      <c r="B82838">
        <f>TEXT(82837, "[$-0E0000]yyyy-mm-dd")</f>
        <v/>
      </c>
    </row>
    <row r="82839">
      <c r="A82839" s="1" t="n">
        <v>82838</v>
      </c>
      <c r="B82839">
        <f>TEXT(82838, "[$-0E0000]yyyy-mm-dd")</f>
        <v/>
      </c>
    </row>
    <row r="82840">
      <c r="A82840" s="1" t="n">
        <v>82839</v>
      </c>
      <c r="B82840">
        <f>TEXT(82839, "[$-0E0000]yyyy-mm-dd")</f>
        <v/>
      </c>
    </row>
    <row r="82841">
      <c r="A82841" s="1" t="n">
        <v>82840</v>
      </c>
      <c r="B82841">
        <f>TEXT(82840, "[$-0E0000]yyyy-mm-dd")</f>
        <v/>
      </c>
    </row>
    <row r="82842">
      <c r="A82842" s="1" t="n">
        <v>82841</v>
      </c>
      <c r="B82842">
        <f>TEXT(82841, "[$-0E0000]yyyy-mm-dd")</f>
        <v/>
      </c>
    </row>
    <row r="82843">
      <c r="A82843" s="1" t="n">
        <v>82842</v>
      </c>
      <c r="B82843">
        <f>TEXT(82842, "[$-0E0000]yyyy-mm-dd")</f>
        <v/>
      </c>
    </row>
    <row r="82844">
      <c r="A82844" s="1" t="n">
        <v>82843</v>
      </c>
      <c r="B82844">
        <f>TEXT(82843, "[$-0E0000]yyyy-mm-dd")</f>
        <v/>
      </c>
    </row>
    <row r="82845">
      <c r="A82845" s="1" t="n">
        <v>82844</v>
      </c>
      <c r="B82845">
        <f>TEXT(82844, "[$-0E0000]yyyy-mm-dd")</f>
        <v/>
      </c>
    </row>
    <row r="82846">
      <c r="A82846" s="1" t="n">
        <v>82845</v>
      </c>
      <c r="B82846">
        <f>TEXT(82845, "[$-0E0000]yyyy-mm-dd")</f>
        <v/>
      </c>
    </row>
    <row r="82847">
      <c r="A82847" s="1" t="n">
        <v>82846</v>
      </c>
      <c r="B82847">
        <f>TEXT(82846, "[$-0E0000]yyyy-mm-dd")</f>
        <v/>
      </c>
    </row>
    <row r="82848">
      <c r="A82848" s="1" t="n">
        <v>82847</v>
      </c>
      <c r="B82848">
        <f>TEXT(82847, "[$-0E0000]yyyy-mm-dd")</f>
        <v/>
      </c>
    </row>
    <row r="82849">
      <c r="A82849" s="1" t="n">
        <v>82848</v>
      </c>
      <c r="B82849">
        <f>TEXT(82848, "[$-0E0000]yyyy-mm-dd")</f>
        <v/>
      </c>
    </row>
    <row r="82850">
      <c r="A82850" s="1" t="n">
        <v>82849</v>
      </c>
      <c r="B82850">
        <f>TEXT(82849, "[$-0E0000]yyyy-mm-dd")</f>
        <v/>
      </c>
    </row>
    <row r="82851">
      <c r="A82851" s="1" t="n">
        <v>82850</v>
      </c>
      <c r="B82851">
        <f>TEXT(82850, "[$-0E0000]yyyy-mm-dd")</f>
        <v/>
      </c>
    </row>
    <row r="82852">
      <c r="A82852" s="1" t="n">
        <v>82851</v>
      </c>
      <c r="B82852">
        <f>TEXT(82851, "[$-0E0000]yyyy-mm-dd")</f>
        <v/>
      </c>
    </row>
    <row r="82853">
      <c r="A82853" s="1" t="n">
        <v>82852</v>
      </c>
      <c r="B82853">
        <f>TEXT(82852, "[$-0E0000]yyyy-mm-dd")</f>
        <v/>
      </c>
    </row>
    <row r="82854">
      <c r="A82854" s="1" t="n">
        <v>82853</v>
      </c>
      <c r="B82854">
        <f>TEXT(82853, "[$-0E0000]yyyy-mm-dd")</f>
        <v/>
      </c>
    </row>
    <row r="82855">
      <c r="A82855" s="1" t="n">
        <v>82854</v>
      </c>
      <c r="B82855">
        <f>TEXT(82854, "[$-0E0000]yyyy-mm-dd")</f>
        <v/>
      </c>
    </row>
    <row r="82856">
      <c r="A82856" s="1" t="n">
        <v>82855</v>
      </c>
      <c r="B82856">
        <f>TEXT(82855, "[$-0E0000]yyyy-mm-dd")</f>
        <v/>
      </c>
    </row>
    <row r="82857">
      <c r="A82857" s="1" t="n">
        <v>82856</v>
      </c>
      <c r="B82857">
        <f>TEXT(82856, "[$-0E0000]yyyy-mm-dd")</f>
        <v/>
      </c>
    </row>
    <row r="82858">
      <c r="A82858" s="1" t="n">
        <v>82857</v>
      </c>
      <c r="B82858">
        <f>TEXT(82857, "[$-0E0000]yyyy-mm-dd")</f>
        <v/>
      </c>
    </row>
    <row r="82859">
      <c r="A82859" s="1" t="n">
        <v>82858</v>
      </c>
      <c r="B82859">
        <f>TEXT(82858, "[$-0E0000]yyyy-mm-dd")</f>
        <v/>
      </c>
    </row>
    <row r="82860">
      <c r="A82860" s="1" t="n">
        <v>82859</v>
      </c>
      <c r="B82860">
        <f>TEXT(82859, "[$-0E0000]yyyy-mm-dd")</f>
        <v/>
      </c>
    </row>
    <row r="82861">
      <c r="A82861" s="1" t="n">
        <v>82860</v>
      </c>
      <c r="B82861">
        <f>TEXT(82860, "[$-0E0000]yyyy-mm-dd")</f>
        <v/>
      </c>
    </row>
    <row r="82862">
      <c r="A82862" s="1" t="n">
        <v>82861</v>
      </c>
      <c r="B82862">
        <f>TEXT(82861, "[$-0E0000]yyyy-mm-dd")</f>
        <v/>
      </c>
    </row>
    <row r="82863">
      <c r="A82863" s="1" t="n">
        <v>82862</v>
      </c>
      <c r="B82863">
        <f>TEXT(82862, "[$-0E0000]yyyy-mm-dd")</f>
        <v/>
      </c>
    </row>
    <row r="82864">
      <c r="A82864" s="1" t="n">
        <v>82863</v>
      </c>
      <c r="B82864">
        <f>TEXT(82863, "[$-0E0000]yyyy-mm-dd")</f>
        <v/>
      </c>
    </row>
    <row r="82865">
      <c r="A82865" s="1" t="n">
        <v>82864</v>
      </c>
      <c r="B82865">
        <f>TEXT(82864, "[$-0E0000]yyyy-mm-dd")</f>
        <v/>
      </c>
    </row>
    <row r="82866">
      <c r="A82866" s="1" t="n">
        <v>82865</v>
      </c>
      <c r="B82866">
        <f>TEXT(82865, "[$-0E0000]yyyy-mm-dd")</f>
        <v/>
      </c>
    </row>
    <row r="82867">
      <c r="A82867" s="1" t="n">
        <v>82866</v>
      </c>
      <c r="B82867">
        <f>TEXT(82866, "[$-0E0000]yyyy-mm-dd")</f>
        <v/>
      </c>
    </row>
    <row r="82868">
      <c r="A82868" s="1" t="n">
        <v>82867</v>
      </c>
      <c r="B82868">
        <f>TEXT(82867, "[$-0E0000]yyyy-mm-dd")</f>
        <v/>
      </c>
    </row>
    <row r="82869">
      <c r="A82869" s="1" t="n">
        <v>82868</v>
      </c>
      <c r="B82869">
        <f>TEXT(82868, "[$-0E0000]yyyy-mm-dd")</f>
        <v/>
      </c>
    </row>
    <row r="82870">
      <c r="A82870" s="1" t="n">
        <v>82869</v>
      </c>
      <c r="B82870">
        <f>TEXT(82869, "[$-0E0000]yyyy-mm-dd")</f>
        <v/>
      </c>
    </row>
    <row r="82871">
      <c r="A82871" s="1" t="n">
        <v>82870</v>
      </c>
      <c r="B82871">
        <f>TEXT(82870, "[$-0E0000]yyyy-mm-dd")</f>
        <v/>
      </c>
    </row>
    <row r="82872">
      <c r="A82872" s="1" t="n">
        <v>82871</v>
      </c>
      <c r="B82872">
        <f>TEXT(82871, "[$-0E0000]yyyy-mm-dd")</f>
        <v/>
      </c>
    </row>
    <row r="82873">
      <c r="A82873" s="1" t="n">
        <v>82872</v>
      </c>
      <c r="B82873">
        <f>TEXT(82872, "[$-0E0000]yyyy-mm-dd")</f>
        <v/>
      </c>
    </row>
    <row r="82874">
      <c r="A82874" s="1" t="n">
        <v>82873</v>
      </c>
      <c r="B82874">
        <f>TEXT(82873, "[$-0E0000]yyyy-mm-dd")</f>
        <v/>
      </c>
    </row>
    <row r="82875">
      <c r="A82875" s="1" t="n">
        <v>82874</v>
      </c>
      <c r="B82875">
        <f>TEXT(82874, "[$-0E0000]yyyy-mm-dd")</f>
        <v/>
      </c>
    </row>
    <row r="82876">
      <c r="A82876" s="1" t="n">
        <v>82875</v>
      </c>
      <c r="B82876">
        <f>TEXT(82875, "[$-0E0000]yyyy-mm-dd")</f>
        <v/>
      </c>
    </row>
    <row r="82877">
      <c r="A82877" s="1" t="n">
        <v>82876</v>
      </c>
      <c r="B82877">
        <f>TEXT(82876, "[$-0E0000]yyyy-mm-dd")</f>
        <v/>
      </c>
    </row>
    <row r="82878">
      <c r="A82878" s="1" t="n">
        <v>82877</v>
      </c>
      <c r="B82878">
        <f>TEXT(82877, "[$-0E0000]yyyy-mm-dd")</f>
        <v/>
      </c>
    </row>
    <row r="82879">
      <c r="A82879" s="1" t="n">
        <v>82878</v>
      </c>
      <c r="B82879">
        <f>TEXT(82878, "[$-0E0000]yyyy-mm-dd")</f>
        <v/>
      </c>
    </row>
    <row r="82880">
      <c r="A82880" s="1" t="n">
        <v>82879</v>
      </c>
      <c r="B82880">
        <f>TEXT(82879, "[$-0E0000]yyyy-mm-dd")</f>
        <v/>
      </c>
    </row>
    <row r="82881">
      <c r="A82881" s="1" t="n">
        <v>82880</v>
      </c>
      <c r="B82881">
        <f>TEXT(82880, "[$-0E0000]yyyy-mm-dd")</f>
        <v/>
      </c>
    </row>
    <row r="82882">
      <c r="A82882" s="1" t="n">
        <v>82881</v>
      </c>
      <c r="B82882">
        <f>TEXT(82881, "[$-0E0000]yyyy-mm-dd")</f>
        <v/>
      </c>
    </row>
    <row r="82883">
      <c r="A82883" s="1" t="n">
        <v>82882</v>
      </c>
      <c r="B82883">
        <f>TEXT(82882, "[$-0E0000]yyyy-mm-dd")</f>
        <v/>
      </c>
    </row>
    <row r="82884">
      <c r="A82884" s="1" t="n">
        <v>82883</v>
      </c>
      <c r="B82884">
        <f>TEXT(82883, "[$-0E0000]yyyy-mm-dd")</f>
        <v/>
      </c>
    </row>
    <row r="82885">
      <c r="A82885" s="1" t="n">
        <v>82884</v>
      </c>
      <c r="B82885">
        <f>TEXT(82884, "[$-0E0000]yyyy-mm-dd")</f>
        <v/>
      </c>
    </row>
    <row r="82886">
      <c r="A82886" s="1" t="n">
        <v>82885</v>
      </c>
      <c r="B82886">
        <f>TEXT(82885, "[$-0E0000]yyyy-mm-dd")</f>
        <v/>
      </c>
    </row>
    <row r="82887">
      <c r="A82887" s="1" t="n">
        <v>82886</v>
      </c>
      <c r="B82887">
        <f>TEXT(82886, "[$-0E0000]yyyy-mm-dd")</f>
        <v/>
      </c>
    </row>
    <row r="82888">
      <c r="A82888" s="1" t="n">
        <v>82887</v>
      </c>
      <c r="B82888">
        <f>TEXT(82887, "[$-0E0000]yyyy-mm-dd")</f>
        <v/>
      </c>
    </row>
    <row r="82889">
      <c r="A82889" s="1" t="n">
        <v>82888</v>
      </c>
      <c r="B82889">
        <f>TEXT(82888, "[$-0E0000]yyyy-mm-dd")</f>
        <v/>
      </c>
    </row>
    <row r="82890">
      <c r="A82890" s="1" t="n">
        <v>82889</v>
      </c>
      <c r="B82890">
        <f>TEXT(82889, "[$-0E0000]yyyy-mm-dd")</f>
        <v/>
      </c>
    </row>
    <row r="82891">
      <c r="A82891" s="1" t="n">
        <v>82890</v>
      </c>
      <c r="B82891">
        <f>TEXT(82890, "[$-0E0000]yyyy-mm-dd")</f>
        <v/>
      </c>
    </row>
    <row r="82892">
      <c r="A82892" s="1" t="n">
        <v>82891</v>
      </c>
      <c r="B82892">
        <f>TEXT(82891, "[$-0E0000]yyyy-mm-dd")</f>
        <v/>
      </c>
    </row>
    <row r="82893">
      <c r="A82893" s="1" t="n">
        <v>82892</v>
      </c>
      <c r="B82893">
        <f>TEXT(82892, "[$-0E0000]yyyy-mm-dd")</f>
        <v/>
      </c>
    </row>
    <row r="82894">
      <c r="A82894" s="1" t="n">
        <v>82893</v>
      </c>
      <c r="B82894">
        <f>TEXT(82893, "[$-0E0000]yyyy-mm-dd")</f>
        <v/>
      </c>
    </row>
    <row r="82895">
      <c r="A82895" s="1" t="n">
        <v>82894</v>
      </c>
      <c r="B82895">
        <f>TEXT(82894, "[$-0E0000]yyyy-mm-dd")</f>
        <v/>
      </c>
    </row>
    <row r="82896">
      <c r="A82896" s="1" t="n">
        <v>82895</v>
      </c>
      <c r="B82896">
        <f>TEXT(82895, "[$-0E0000]yyyy-mm-dd")</f>
        <v/>
      </c>
    </row>
    <row r="82897">
      <c r="A82897" s="1" t="n">
        <v>82896</v>
      </c>
      <c r="B82897">
        <f>TEXT(82896, "[$-0E0000]yyyy-mm-dd")</f>
        <v/>
      </c>
    </row>
    <row r="82898">
      <c r="A82898" s="1" t="n">
        <v>82897</v>
      </c>
      <c r="B82898">
        <f>TEXT(82897, "[$-0E0000]yyyy-mm-dd")</f>
        <v/>
      </c>
    </row>
    <row r="82899">
      <c r="A82899" s="1" t="n">
        <v>82898</v>
      </c>
      <c r="B82899">
        <f>TEXT(82898, "[$-0E0000]yyyy-mm-dd")</f>
        <v/>
      </c>
    </row>
    <row r="82900">
      <c r="A82900" s="1" t="n">
        <v>82899</v>
      </c>
      <c r="B82900">
        <f>TEXT(82899, "[$-0E0000]yyyy-mm-dd")</f>
        <v/>
      </c>
    </row>
    <row r="82901">
      <c r="A82901" s="1" t="n">
        <v>82900</v>
      </c>
      <c r="B82901">
        <f>TEXT(82900, "[$-0E0000]yyyy-mm-dd")</f>
        <v/>
      </c>
    </row>
    <row r="82902">
      <c r="A82902" s="1" t="n">
        <v>82901</v>
      </c>
      <c r="B82902">
        <f>TEXT(82901, "[$-0E0000]yyyy-mm-dd")</f>
        <v/>
      </c>
    </row>
    <row r="82903">
      <c r="A82903" s="1" t="n">
        <v>82902</v>
      </c>
      <c r="B82903">
        <f>TEXT(82902, "[$-0E0000]yyyy-mm-dd")</f>
        <v/>
      </c>
    </row>
    <row r="82904">
      <c r="A82904" s="1" t="n">
        <v>82903</v>
      </c>
      <c r="B82904">
        <f>TEXT(82903, "[$-0E0000]yyyy-mm-dd")</f>
        <v/>
      </c>
    </row>
    <row r="82905">
      <c r="A82905" s="1" t="n">
        <v>82904</v>
      </c>
      <c r="B82905">
        <f>TEXT(82904, "[$-0E0000]yyyy-mm-dd")</f>
        <v/>
      </c>
    </row>
    <row r="82906">
      <c r="A82906" s="1" t="n">
        <v>82905</v>
      </c>
      <c r="B82906">
        <f>TEXT(82905, "[$-0E0000]yyyy-mm-dd")</f>
        <v/>
      </c>
    </row>
    <row r="82907">
      <c r="A82907" s="1" t="n">
        <v>82906</v>
      </c>
      <c r="B82907">
        <f>TEXT(82906, "[$-0E0000]yyyy-mm-dd")</f>
        <v/>
      </c>
    </row>
    <row r="82908">
      <c r="A82908" s="1" t="n">
        <v>82907</v>
      </c>
      <c r="B82908">
        <f>TEXT(82907, "[$-0E0000]yyyy-mm-dd")</f>
        <v/>
      </c>
    </row>
    <row r="82909">
      <c r="A82909" s="1" t="n">
        <v>82908</v>
      </c>
      <c r="B82909">
        <f>TEXT(82908, "[$-0E0000]yyyy-mm-dd")</f>
        <v/>
      </c>
    </row>
    <row r="82910">
      <c r="A82910" s="1" t="n">
        <v>82909</v>
      </c>
      <c r="B82910">
        <f>TEXT(82909, "[$-0E0000]yyyy-mm-dd")</f>
        <v/>
      </c>
    </row>
    <row r="82911">
      <c r="A82911" s="1" t="n">
        <v>82910</v>
      </c>
      <c r="B82911">
        <f>TEXT(82910, "[$-0E0000]yyyy-mm-dd")</f>
        <v/>
      </c>
    </row>
    <row r="82912">
      <c r="A82912" s="1" t="n">
        <v>82911</v>
      </c>
      <c r="B82912">
        <f>TEXT(82911, "[$-0E0000]yyyy-mm-dd")</f>
        <v/>
      </c>
    </row>
    <row r="82913">
      <c r="A82913" s="1" t="n">
        <v>82912</v>
      </c>
      <c r="B82913">
        <f>TEXT(82912, "[$-0E0000]yyyy-mm-dd")</f>
        <v/>
      </c>
    </row>
    <row r="82914">
      <c r="A82914" s="1" t="n">
        <v>82913</v>
      </c>
      <c r="B82914">
        <f>TEXT(82913, "[$-0E0000]yyyy-mm-dd")</f>
        <v/>
      </c>
    </row>
    <row r="82915">
      <c r="A82915" s="1" t="n">
        <v>82914</v>
      </c>
      <c r="B82915">
        <f>TEXT(82914, "[$-0E0000]yyyy-mm-dd")</f>
        <v/>
      </c>
    </row>
    <row r="82916">
      <c r="A82916" s="1" t="n">
        <v>82915</v>
      </c>
      <c r="B82916">
        <f>TEXT(82915, "[$-0E0000]yyyy-mm-dd")</f>
        <v/>
      </c>
    </row>
    <row r="82917">
      <c r="A82917" s="1" t="n">
        <v>82916</v>
      </c>
      <c r="B82917">
        <f>TEXT(82916, "[$-0E0000]yyyy-mm-dd")</f>
        <v/>
      </c>
    </row>
    <row r="82918">
      <c r="A82918" s="1" t="n">
        <v>82917</v>
      </c>
      <c r="B82918">
        <f>TEXT(82917, "[$-0E0000]yyyy-mm-dd")</f>
        <v/>
      </c>
    </row>
    <row r="82919">
      <c r="A82919" s="1" t="n">
        <v>82918</v>
      </c>
      <c r="B82919">
        <f>TEXT(82918, "[$-0E0000]yyyy-mm-dd")</f>
        <v/>
      </c>
    </row>
    <row r="82920">
      <c r="A82920" s="1" t="n">
        <v>82919</v>
      </c>
      <c r="B82920">
        <f>TEXT(82919, "[$-0E0000]yyyy-mm-dd")</f>
        <v/>
      </c>
    </row>
    <row r="82921">
      <c r="A82921" s="1" t="n">
        <v>82920</v>
      </c>
      <c r="B82921">
        <f>TEXT(82920, "[$-0E0000]yyyy-mm-dd")</f>
        <v/>
      </c>
    </row>
    <row r="82922">
      <c r="A82922" s="1" t="n">
        <v>82921</v>
      </c>
      <c r="B82922">
        <f>TEXT(82921, "[$-0E0000]yyyy-mm-dd")</f>
        <v/>
      </c>
    </row>
    <row r="82923">
      <c r="A82923" s="1" t="n">
        <v>82922</v>
      </c>
      <c r="B82923">
        <f>TEXT(82922, "[$-0E0000]yyyy-mm-dd")</f>
        <v/>
      </c>
    </row>
    <row r="82924">
      <c r="A82924" s="1" t="n">
        <v>82923</v>
      </c>
      <c r="B82924">
        <f>TEXT(82923, "[$-0E0000]yyyy-mm-dd")</f>
        <v/>
      </c>
    </row>
    <row r="82925">
      <c r="A82925" s="1" t="n">
        <v>82924</v>
      </c>
      <c r="B82925">
        <f>TEXT(82924, "[$-0E0000]yyyy-mm-dd")</f>
        <v/>
      </c>
    </row>
    <row r="82926">
      <c r="A82926" s="1" t="n">
        <v>82925</v>
      </c>
      <c r="B82926">
        <f>TEXT(82925, "[$-0E0000]yyyy-mm-dd")</f>
        <v/>
      </c>
    </row>
    <row r="82927">
      <c r="A82927" s="1" t="n">
        <v>82926</v>
      </c>
      <c r="B82927">
        <f>TEXT(82926, "[$-0E0000]yyyy-mm-dd")</f>
        <v/>
      </c>
    </row>
    <row r="82928">
      <c r="A82928" s="1" t="n">
        <v>82927</v>
      </c>
      <c r="B82928">
        <f>TEXT(82927, "[$-0E0000]yyyy-mm-dd")</f>
        <v/>
      </c>
    </row>
    <row r="82929">
      <c r="A82929" s="1" t="n">
        <v>82928</v>
      </c>
      <c r="B82929">
        <f>TEXT(82928, "[$-0E0000]yyyy-mm-dd")</f>
        <v/>
      </c>
    </row>
    <row r="82930">
      <c r="A82930" s="1" t="n">
        <v>82929</v>
      </c>
      <c r="B82930">
        <f>TEXT(82929, "[$-0E0000]yyyy-mm-dd")</f>
        <v/>
      </c>
    </row>
    <row r="82931">
      <c r="A82931" s="1" t="n">
        <v>82930</v>
      </c>
      <c r="B82931">
        <f>TEXT(82930, "[$-0E0000]yyyy-mm-dd")</f>
        <v/>
      </c>
    </row>
    <row r="82932">
      <c r="A82932" s="1" t="n">
        <v>82931</v>
      </c>
      <c r="B82932">
        <f>TEXT(82931, "[$-0E0000]yyyy-mm-dd")</f>
        <v/>
      </c>
    </row>
    <row r="82933">
      <c r="A82933" s="1" t="n">
        <v>82932</v>
      </c>
      <c r="B82933">
        <f>TEXT(82932, "[$-0E0000]yyyy-mm-dd")</f>
        <v/>
      </c>
    </row>
    <row r="82934">
      <c r="A82934" s="1" t="n">
        <v>82933</v>
      </c>
      <c r="B82934">
        <f>TEXT(82933, "[$-0E0000]yyyy-mm-dd")</f>
        <v/>
      </c>
    </row>
    <row r="82935">
      <c r="A82935" s="1" t="n">
        <v>82934</v>
      </c>
      <c r="B82935">
        <f>TEXT(82934, "[$-0E0000]yyyy-mm-dd")</f>
        <v/>
      </c>
    </row>
    <row r="82936">
      <c r="A82936" s="1" t="n">
        <v>82935</v>
      </c>
      <c r="B82936">
        <f>TEXT(82935, "[$-0E0000]yyyy-mm-dd")</f>
        <v/>
      </c>
    </row>
    <row r="82937">
      <c r="A82937" s="1" t="n">
        <v>82936</v>
      </c>
      <c r="B82937">
        <f>TEXT(82936, "[$-0E0000]yyyy-mm-dd")</f>
        <v/>
      </c>
    </row>
    <row r="82938">
      <c r="A82938" s="1" t="n">
        <v>82937</v>
      </c>
      <c r="B82938">
        <f>TEXT(82937, "[$-0E0000]yyyy-mm-dd")</f>
        <v/>
      </c>
    </row>
    <row r="82939">
      <c r="A82939" s="1" t="n">
        <v>82938</v>
      </c>
      <c r="B82939">
        <f>TEXT(82938, "[$-0E0000]yyyy-mm-dd")</f>
        <v/>
      </c>
    </row>
    <row r="82940">
      <c r="A82940" s="1" t="n">
        <v>82939</v>
      </c>
      <c r="B82940">
        <f>TEXT(82939, "[$-0E0000]yyyy-mm-dd")</f>
        <v/>
      </c>
    </row>
    <row r="82941">
      <c r="A82941" s="1" t="n">
        <v>82940</v>
      </c>
      <c r="B82941">
        <f>TEXT(82940, "[$-0E0000]yyyy-mm-dd")</f>
        <v/>
      </c>
    </row>
    <row r="82942">
      <c r="A82942" s="1" t="n">
        <v>82941</v>
      </c>
      <c r="B82942">
        <f>TEXT(82941, "[$-0E0000]yyyy-mm-dd")</f>
        <v/>
      </c>
    </row>
    <row r="82943">
      <c r="A82943" s="1" t="n">
        <v>82942</v>
      </c>
      <c r="B82943">
        <f>TEXT(82942, "[$-0E0000]yyyy-mm-dd")</f>
        <v/>
      </c>
    </row>
    <row r="82944">
      <c r="A82944" s="1" t="n">
        <v>82943</v>
      </c>
      <c r="B82944">
        <f>TEXT(82943, "[$-0E0000]yyyy-mm-dd")</f>
        <v/>
      </c>
    </row>
    <row r="82945">
      <c r="A82945" s="1" t="n">
        <v>82944</v>
      </c>
      <c r="B82945">
        <f>TEXT(82944, "[$-0E0000]yyyy-mm-dd")</f>
        <v/>
      </c>
    </row>
    <row r="82946">
      <c r="A82946" s="1" t="n">
        <v>82945</v>
      </c>
      <c r="B82946">
        <f>TEXT(82945, "[$-0E0000]yyyy-mm-dd")</f>
        <v/>
      </c>
    </row>
    <row r="82947">
      <c r="A82947" s="1" t="n">
        <v>82946</v>
      </c>
      <c r="B82947">
        <f>TEXT(82946, "[$-0E0000]yyyy-mm-dd")</f>
        <v/>
      </c>
    </row>
    <row r="82948">
      <c r="A82948" s="1" t="n">
        <v>82947</v>
      </c>
      <c r="B82948">
        <f>TEXT(82947, "[$-0E0000]yyyy-mm-dd")</f>
        <v/>
      </c>
    </row>
    <row r="82949">
      <c r="A82949" s="1" t="n">
        <v>82948</v>
      </c>
      <c r="B82949">
        <f>TEXT(82948, "[$-0E0000]yyyy-mm-dd")</f>
        <v/>
      </c>
    </row>
    <row r="82950">
      <c r="A82950" s="1" t="n">
        <v>82949</v>
      </c>
      <c r="B82950">
        <f>TEXT(82949, "[$-0E0000]yyyy-mm-dd")</f>
        <v/>
      </c>
    </row>
    <row r="82951">
      <c r="A82951" s="1" t="n">
        <v>82950</v>
      </c>
      <c r="B82951">
        <f>TEXT(82950, "[$-0E0000]yyyy-mm-dd")</f>
        <v/>
      </c>
    </row>
    <row r="82952">
      <c r="A82952" s="1" t="n">
        <v>82951</v>
      </c>
      <c r="B82952">
        <f>TEXT(82951, "[$-0E0000]yyyy-mm-dd")</f>
        <v/>
      </c>
    </row>
    <row r="82953">
      <c r="A82953" s="1" t="n">
        <v>82952</v>
      </c>
      <c r="B82953">
        <f>TEXT(82952, "[$-0E0000]yyyy-mm-dd")</f>
        <v/>
      </c>
    </row>
    <row r="82954">
      <c r="A82954" s="1" t="n">
        <v>82953</v>
      </c>
      <c r="B82954">
        <f>TEXT(82953, "[$-0E0000]yyyy-mm-dd")</f>
        <v/>
      </c>
    </row>
    <row r="82955">
      <c r="A82955" s="1" t="n">
        <v>82954</v>
      </c>
      <c r="B82955">
        <f>TEXT(82954, "[$-0E0000]yyyy-mm-dd")</f>
        <v/>
      </c>
    </row>
    <row r="82956">
      <c r="A82956" s="1" t="n">
        <v>82955</v>
      </c>
      <c r="B82956">
        <f>TEXT(82955, "[$-0E0000]yyyy-mm-dd")</f>
        <v/>
      </c>
    </row>
    <row r="82957">
      <c r="A82957" s="1" t="n">
        <v>82956</v>
      </c>
      <c r="B82957">
        <f>TEXT(82956, "[$-0E0000]yyyy-mm-dd")</f>
        <v/>
      </c>
    </row>
    <row r="82958">
      <c r="A82958" s="1" t="n">
        <v>82957</v>
      </c>
      <c r="B82958">
        <f>TEXT(82957, "[$-0E0000]yyyy-mm-dd")</f>
        <v/>
      </c>
    </row>
    <row r="82959">
      <c r="A82959" s="1" t="n">
        <v>82958</v>
      </c>
      <c r="B82959">
        <f>TEXT(82958, "[$-0E0000]yyyy-mm-dd")</f>
        <v/>
      </c>
    </row>
    <row r="82960">
      <c r="A82960" s="1" t="n">
        <v>82959</v>
      </c>
      <c r="B82960">
        <f>TEXT(82959, "[$-0E0000]yyyy-mm-dd")</f>
        <v/>
      </c>
    </row>
    <row r="82961">
      <c r="A82961" s="1" t="n">
        <v>82960</v>
      </c>
      <c r="B82961">
        <f>TEXT(82960, "[$-0E0000]yyyy-mm-dd")</f>
        <v/>
      </c>
    </row>
    <row r="82962">
      <c r="A82962" s="1" t="n">
        <v>82961</v>
      </c>
      <c r="B82962">
        <f>TEXT(82961, "[$-0E0000]yyyy-mm-dd")</f>
        <v/>
      </c>
    </row>
    <row r="82963">
      <c r="A82963" s="1" t="n">
        <v>82962</v>
      </c>
      <c r="B82963">
        <f>TEXT(82962, "[$-0E0000]yyyy-mm-dd")</f>
        <v/>
      </c>
    </row>
    <row r="82964">
      <c r="A82964" s="1" t="n">
        <v>82963</v>
      </c>
      <c r="B82964">
        <f>TEXT(82963, "[$-0E0000]yyyy-mm-dd")</f>
        <v/>
      </c>
    </row>
    <row r="82965">
      <c r="A82965" s="1" t="n">
        <v>82964</v>
      </c>
      <c r="B82965">
        <f>TEXT(82964, "[$-0E0000]yyyy-mm-dd")</f>
        <v/>
      </c>
    </row>
    <row r="82966">
      <c r="A82966" s="1" t="n">
        <v>82965</v>
      </c>
      <c r="B82966">
        <f>TEXT(82965, "[$-0E0000]yyyy-mm-dd")</f>
        <v/>
      </c>
    </row>
    <row r="82967">
      <c r="A82967" s="1" t="n">
        <v>82966</v>
      </c>
      <c r="B82967">
        <f>TEXT(82966, "[$-0E0000]yyyy-mm-dd")</f>
        <v/>
      </c>
    </row>
    <row r="82968">
      <c r="A82968" s="1" t="n">
        <v>82967</v>
      </c>
      <c r="B82968">
        <f>TEXT(82967, "[$-0E0000]yyyy-mm-dd")</f>
        <v/>
      </c>
    </row>
    <row r="82969">
      <c r="A82969" s="1" t="n">
        <v>82968</v>
      </c>
      <c r="B82969">
        <f>TEXT(82968, "[$-0E0000]yyyy-mm-dd")</f>
        <v/>
      </c>
    </row>
    <row r="82970">
      <c r="A82970" s="1" t="n">
        <v>82969</v>
      </c>
      <c r="B82970">
        <f>TEXT(82969, "[$-0E0000]yyyy-mm-dd")</f>
        <v/>
      </c>
    </row>
    <row r="82971">
      <c r="A82971" s="1" t="n">
        <v>82970</v>
      </c>
      <c r="B82971">
        <f>TEXT(82970, "[$-0E0000]yyyy-mm-dd")</f>
        <v/>
      </c>
    </row>
    <row r="82972">
      <c r="A82972" s="1" t="n">
        <v>82971</v>
      </c>
      <c r="B82972">
        <f>TEXT(82971, "[$-0E0000]yyyy-mm-dd")</f>
        <v/>
      </c>
    </row>
    <row r="82973">
      <c r="A82973" s="1" t="n">
        <v>82972</v>
      </c>
      <c r="B82973">
        <f>TEXT(82972, "[$-0E0000]yyyy-mm-dd")</f>
        <v/>
      </c>
    </row>
    <row r="82974">
      <c r="A82974" s="1" t="n">
        <v>82973</v>
      </c>
      <c r="B82974">
        <f>TEXT(82973, "[$-0E0000]yyyy-mm-dd")</f>
        <v/>
      </c>
    </row>
    <row r="82975">
      <c r="A82975" s="1" t="n">
        <v>82974</v>
      </c>
      <c r="B82975">
        <f>TEXT(82974, "[$-0E0000]yyyy-mm-dd")</f>
        <v/>
      </c>
    </row>
    <row r="82976">
      <c r="A82976" s="1" t="n">
        <v>82975</v>
      </c>
      <c r="B82976">
        <f>TEXT(82975, "[$-0E0000]yyyy-mm-dd")</f>
        <v/>
      </c>
    </row>
    <row r="82977">
      <c r="A82977" s="1" t="n">
        <v>82976</v>
      </c>
      <c r="B82977">
        <f>TEXT(82976, "[$-0E0000]yyyy-mm-dd")</f>
        <v/>
      </c>
    </row>
    <row r="82978">
      <c r="A82978" s="1" t="n">
        <v>82977</v>
      </c>
      <c r="B82978">
        <f>TEXT(82977, "[$-0E0000]yyyy-mm-dd")</f>
        <v/>
      </c>
    </row>
    <row r="82979">
      <c r="A82979" s="1" t="n">
        <v>82978</v>
      </c>
      <c r="B82979">
        <f>TEXT(82978, "[$-0E0000]yyyy-mm-dd")</f>
        <v/>
      </c>
    </row>
    <row r="82980">
      <c r="A82980" s="1" t="n">
        <v>82979</v>
      </c>
      <c r="B82980">
        <f>TEXT(82979, "[$-0E0000]yyyy-mm-dd")</f>
        <v/>
      </c>
    </row>
    <row r="82981">
      <c r="A82981" s="1" t="n">
        <v>82980</v>
      </c>
      <c r="B82981">
        <f>TEXT(82980, "[$-0E0000]yyyy-mm-dd")</f>
        <v/>
      </c>
    </row>
    <row r="82982">
      <c r="A82982" s="1" t="n">
        <v>82981</v>
      </c>
      <c r="B82982">
        <f>TEXT(82981, "[$-0E0000]yyyy-mm-dd")</f>
        <v/>
      </c>
    </row>
    <row r="82983">
      <c r="A82983" s="1" t="n">
        <v>82982</v>
      </c>
      <c r="B82983">
        <f>TEXT(82982, "[$-0E0000]yyyy-mm-dd")</f>
        <v/>
      </c>
    </row>
    <row r="82984">
      <c r="A82984" s="1" t="n">
        <v>82983</v>
      </c>
      <c r="B82984">
        <f>TEXT(82983, "[$-0E0000]yyyy-mm-dd")</f>
        <v/>
      </c>
    </row>
    <row r="82985">
      <c r="A82985" s="1" t="n">
        <v>82984</v>
      </c>
      <c r="B82985">
        <f>TEXT(82984, "[$-0E0000]yyyy-mm-dd")</f>
        <v/>
      </c>
    </row>
    <row r="82986">
      <c r="A82986" s="1" t="n">
        <v>82985</v>
      </c>
      <c r="B82986">
        <f>TEXT(82985, "[$-0E0000]yyyy-mm-dd")</f>
        <v/>
      </c>
    </row>
    <row r="82987">
      <c r="A82987" s="1" t="n">
        <v>82986</v>
      </c>
      <c r="B82987">
        <f>TEXT(82986, "[$-0E0000]yyyy-mm-dd")</f>
        <v/>
      </c>
    </row>
    <row r="82988">
      <c r="A82988" s="1" t="n">
        <v>82987</v>
      </c>
      <c r="B82988">
        <f>TEXT(82987, "[$-0E0000]yyyy-mm-dd")</f>
        <v/>
      </c>
    </row>
    <row r="82989">
      <c r="A82989" s="1" t="n">
        <v>82988</v>
      </c>
      <c r="B82989">
        <f>TEXT(82988, "[$-0E0000]yyyy-mm-dd")</f>
        <v/>
      </c>
    </row>
    <row r="82990">
      <c r="A82990" s="1" t="n">
        <v>82989</v>
      </c>
      <c r="B82990">
        <f>TEXT(82989, "[$-0E0000]yyyy-mm-dd")</f>
        <v/>
      </c>
    </row>
    <row r="82991">
      <c r="A82991" s="1" t="n">
        <v>82990</v>
      </c>
      <c r="B82991">
        <f>TEXT(82990, "[$-0E0000]yyyy-mm-dd")</f>
        <v/>
      </c>
    </row>
    <row r="82992">
      <c r="A82992" s="1" t="n">
        <v>82991</v>
      </c>
      <c r="B82992">
        <f>TEXT(82991, "[$-0E0000]yyyy-mm-dd")</f>
        <v/>
      </c>
    </row>
    <row r="82993">
      <c r="A82993" s="1" t="n">
        <v>82992</v>
      </c>
      <c r="B82993">
        <f>TEXT(82992, "[$-0E0000]yyyy-mm-dd")</f>
        <v/>
      </c>
    </row>
    <row r="82994">
      <c r="A82994" s="1" t="n">
        <v>82993</v>
      </c>
      <c r="B82994">
        <f>TEXT(82993, "[$-0E0000]yyyy-mm-dd")</f>
        <v/>
      </c>
    </row>
    <row r="82995">
      <c r="A82995" s="1" t="n">
        <v>82994</v>
      </c>
      <c r="B82995">
        <f>TEXT(82994, "[$-0E0000]yyyy-mm-dd")</f>
        <v/>
      </c>
    </row>
    <row r="82996">
      <c r="A82996" s="1" t="n">
        <v>82995</v>
      </c>
      <c r="B82996">
        <f>TEXT(82995, "[$-0E0000]yyyy-mm-dd")</f>
        <v/>
      </c>
    </row>
    <row r="82997">
      <c r="A82997" s="1" t="n">
        <v>82996</v>
      </c>
      <c r="B82997">
        <f>TEXT(82996, "[$-0E0000]yyyy-mm-dd")</f>
        <v/>
      </c>
    </row>
    <row r="82998">
      <c r="A82998" s="1" t="n">
        <v>82997</v>
      </c>
      <c r="B82998">
        <f>TEXT(82997, "[$-0E0000]yyyy-mm-dd")</f>
        <v/>
      </c>
    </row>
    <row r="82999">
      <c r="A82999" s="1" t="n">
        <v>82998</v>
      </c>
      <c r="B82999">
        <f>TEXT(82998, "[$-0E0000]yyyy-mm-dd")</f>
        <v/>
      </c>
    </row>
    <row r="83000">
      <c r="A83000" s="1" t="n">
        <v>82999</v>
      </c>
      <c r="B83000">
        <f>TEXT(82999, "[$-0E0000]yyyy-mm-dd")</f>
        <v/>
      </c>
    </row>
    <row r="83001">
      <c r="A83001" s="1" t="n">
        <v>83000</v>
      </c>
      <c r="B83001">
        <f>TEXT(83000, "[$-0E0000]yyyy-mm-dd")</f>
        <v/>
      </c>
    </row>
    <row r="83002">
      <c r="A83002" s="1" t="n">
        <v>83001</v>
      </c>
      <c r="B83002">
        <f>TEXT(83001, "[$-0E0000]yyyy-mm-dd")</f>
        <v/>
      </c>
    </row>
    <row r="83003">
      <c r="A83003" s="1" t="n">
        <v>83002</v>
      </c>
      <c r="B83003">
        <f>TEXT(83002, "[$-0E0000]yyyy-mm-dd")</f>
        <v/>
      </c>
    </row>
    <row r="83004">
      <c r="A83004" s="1" t="n">
        <v>83003</v>
      </c>
      <c r="B83004">
        <f>TEXT(83003, "[$-0E0000]yyyy-mm-dd")</f>
        <v/>
      </c>
    </row>
    <row r="83005">
      <c r="A83005" s="1" t="n">
        <v>83004</v>
      </c>
      <c r="B83005">
        <f>TEXT(83004, "[$-0E0000]yyyy-mm-dd")</f>
        <v/>
      </c>
    </row>
    <row r="83006">
      <c r="A83006" s="1" t="n">
        <v>83005</v>
      </c>
      <c r="B83006">
        <f>TEXT(83005, "[$-0E0000]yyyy-mm-dd")</f>
        <v/>
      </c>
    </row>
    <row r="83007">
      <c r="A83007" s="1" t="n">
        <v>83006</v>
      </c>
      <c r="B83007">
        <f>TEXT(83006, "[$-0E0000]yyyy-mm-dd")</f>
        <v/>
      </c>
    </row>
    <row r="83008">
      <c r="A83008" s="1" t="n">
        <v>83007</v>
      </c>
      <c r="B83008">
        <f>TEXT(83007, "[$-0E0000]yyyy-mm-dd")</f>
        <v/>
      </c>
    </row>
    <row r="83009">
      <c r="A83009" s="1" t="n">
        <v>83008</v>
      </c>
      <c r="B83009">
        <f>TEXT(83008, "[$-0E0000]yyyy-mm-dd")</f>
        <v/>
      </c>
    </row>
    <row r="83010">
      <c r="A83010" s="1" t="n">
        <v>83009</v>
      </c>
      <c r="B83010">
        <f>TEXT(83009, "[$-0E0000]yyyy-mm-dd")</f>
        <v/>
      </c>
    </row>
    <row r="83011">
      <c r="A83011" s="1" t="n">
        <v>83010</v>
      </c>
      <c r="B83011">
        <f>TEXT(83010, "[$-0E0000]yyyy-mm-dd")</f>
        <v/>
      </c>
    </row>
    <row r="83012">
      <c r="A83012" s="1" t="n">
        <v>83011</v>
      </c>
      <c r="B83012">
        <f>TEXT(83011, "[$-0E0000]yyyy-mm-dd")</f>
        <v/>
      </c>
    </row>
    <row r="83013">
      <c r="A83013" s="1" t="n">
        <v>83012</v>
      </c>
      <c r="B83013">
        <f>TEXT(83012, "[$-0E0000]yyyy-mm-dd")</f>
        <v/>
      </c>
    </row>
    <row r="83014">
      <c r="A83014" s="1" t="n">
        <v>83013</v>
      </c>
      <c r="B83014">
        <f>TEXT(83013, "[$-0E0000]yyyy-mm-dd")</f>
        <v/>
      </c>
    </row>
    <row r="83015">
      <c r="A83015" s="1" t="n">
        <v>83014</v>
      </c>
      <c r="B83015">
        <f>TEXT(83014, "[$-0E0000]yyyy-mm-dd")</f>
        <v/>
      </c>
    </row>
    <row r="83016">
      <c r="A83016" s="1" t="n">
        <v>83015</v>
      </c>
      <c r="B83016">
        <f>TEXT(83015, "[$-0E0000]yyyy-mm-dd")</f>
        <v/>
      </c>
    </row>
    <row r="83017">
      <c r="A83017" s="1" t="n">
        <v>83016</v>
      </c>
      <c r="B83017">
        <f>TEXT(83016, "[$-0E0000]yyyy-mm-dd")</f>
        <v/>
      </c>
    </row>
    <row r="83018">
      <c r="A83018" s="1" t="n">
        <v>83017</v>
      </c>
      <c r="B83018">
        <f>TEXT(83017, "[$-0E0000]yyyy-mm-dd")</f>
        <v/>
      </c>
    </row>
    <row r="83019">
      <c r="A83019" s="1" t="n">
        <v>83018</v>
      </c>
      <c r="B83019">
        <f>TEXT(83018, "[$-0E0000]yyyy-mm-dd")</f>
        <v/>
      </c>
    </row>
    <row r="83020">
      <c r="A83020" s="1" t="n">
        <v>83019</v>
      </c>
      <c r="B83020">
        <f>TEXT(83019, "[$-0E0000]yyyy-mm-dd")</f>
        <v/>
      </c>
    </row>
    <row r="83021">
      <c r="A83021" s="1" t="n">
        <v>83020</v>
      </c>
      <c r="B83021">
        <f>TEXT(83020, "[$-0E0000]yyyy-mm-dd")</f>
        <v/>
      </c>
    </row>
    <row r="83022">
      <c r="A83022" s="1" t="n">
        <v>83021</v>
      </c>
      <c r="B83022">
        <f>TEXT(83021, "[$-0E0000]yyyy-mm-dd")</f>
        <v/>
      </c>
    </row>
    <row r="83023">
      <c r="A83023" s="1" t="n">
        <v>83022</v>
      </c>
      <c r="B83023">
        <f>TEXT(83022, "[$-0E0000]yyyy-mm-dd")</f>
        <v/>
      </c>
    </row>
    <row r="83024">
      <c r="A83024" s="1" t="n">
        <v>83023</v>
      </c>
      <c r="B83024">
        <f>TEXT(83023, "[$-0E0000]yyyy-mm-dd")</f>
        <v/>
      </c>
    </row>
    <row r="83025">
      <c r="A83025" s="1" t="n">
        <v>83024</v>
      </c>
      <c r="B83025">
        <f>TEXT(83024, "[$-0E0000]yyyy-mm-dd")</f>
        <v/>
      </c>
    </row>
    <row r="83026">
      <c r="A83026" s="1" t="n">
        <v>83025</v>
      </c>
      <c r="B83026">
        <f>TEXT(83025, "[$-0E0000]yyyy-mm-dd")</f>
        <v/>
      </c>
    </row>
    <row r="83027">
      <c r="A83027" s="1" t="n">
        <v>83026</v>
      </c>
      <c r="B83027">
        <f>TEXT(83026, "[$-0E0000]yyyy-mm-dd")</f>
        <v/>
      </c>
    </row>
    <row r="83028">
      <c r="A83028" s="1" t="n">
        <v>83027</v>
      </c>
      <c r="B83028">
        <f>TEXT(83027, "[$-0E0000]yyyy-mm-dd")</f>
        <v/>
      </c>
    </row>
    <row r="83029">
      <c r="A83029" s="1" t="n">
        <v>83028</v>
      </c>
      <c r="B83029">
        <f>TEXT(83028, "[$-0E0000]yyyy-mm-dd")</f>
        <v/>
      </c>
    </row>
    <row r="83030">
      <c r="A83030" s="1" t="n">
        <v>83029</v>
      </c>
      <c r="B83030">
        <f>TEXT(83029, "[$-0E0000]yyyy-mm-dd")</f>
        <v/>
      </c>
    </row>
    <row r="83031">
      <c r="A83031" s="1" t="n">
        <v>83030</v>
      </c>
      <c r="B83031">
        <f>TEXT(83030, "[$-0E0000]yyyy-mm-dd")</f>
        <v/>
      </c>
    </row>
    <row r="83032">
      <c r="A83032" s="1" t="n">
        <v>83031</v>
      </c>
      <c r="B83032">
        <f>TEXT(83031, "[$-0E0000]yyyy-mm-dd")</f>
        <v/>
      </c>
    </row>
    <row r="83033">
      <c r="A83033" s="1" t="n">
        <v>83032</v>
      </c>
      <c r="B83033">
        <f>TEXT(83032, "[$-0E0000]yyyy-mm-dd")</f>
        <v/>
      </c>
    </row>
    <row r="83034">
      <c r="A83034" s="1" t="n">
        <v>83033</v>
      </c>
      <c r="B83034">
        <f>TEXT(83033, "[$-0E0000]yyyy-mm-dd")</f>
        <v/>
      </c>
    </row>
    <row r="83035">
      <c r="A83035" s="1" t="n">
        <v>83034</v>
      </c>
      <c r="B83035">
        <f>TEXT(83034, "[$-0E0000]yyyy-mm-dd")</f>
        <v/>
      </c>
    </row>
    <row r="83036">
      <c r="A83036" s="1" t="n">
        <v>83035</v>
      </c>
      <c r="B83036">
        <f>TEXT(83035, "[$-0E0000]yyyy-mm-dd")</f>
        <v/>
      </c>
    </row>
    <row r="83037">
      <c r="A83037" s="1" t="n">
        <v>83036</v>
      </c>
      <c r="B83037">
        <f>TEXT(83036, "[$-0E0000]yyyy-mm-dd")</f>
        <v/>
      </c>
    </row>
    <row r="83038">
      <c r="A83038" s="1" t="n">
        <v>83037</v>
      </c>
      <c r="B83038">
        <f>TEXT(83037, "[$-0E0000]yyyy-mm-dd")</f>
        <v/>
      </c>
    </row>
    <row r="83039">
      <c r="A83039" s="1" t="n">
        <v>83038</v>
      </c>
      <c r="B83039">
        <f>TEXT(83038, "[$-0E0000]yyyy-mm-dd")</f>
        <v/>
      </c>
    </row>
    <row r="83040">
      <c r="A83040" s="1" t="n">
        <v>83039</v>
      </c>
      <c r="B83040">
        <f>TEXT(83039, "[$-0E0000]yyyy-mm-dd")</f>
        <v/>
      </c>
    </row>
    <row r="83041">
      <c r="A83041" s="1" t="n">
        <v>83040</v>
      </c>
      <c r="B83041">
        <f>TEXT(83040, "[$-0E0000]yyyy-mm-dd")</f>
        <v/>
      </c>
    </row>
    <row r="83042">
      <c r="A83042" s="1" t="n">
        <v>83041</v>
      </c>
      <c r="B83042">
        <f>TEXT(83041, "[$-0E0000]yyyy-mm-dd")</f>
        <v/>
      </c>
    </row>
    <row r="83043">
      <c r="A83043" s="1" t="n">
        <v>83042</v>
      </c>
      <c r="B83043">
        <f>TEXT(83042, "[$-0E0000]yyyy-mm-dd")</f>
        <v/>
      </c>
    </row>
    <row r="83044">
      <c r="A83044" s="1" t="n">
        <v>83043</v>
      </c>
      <c r="B83044">
        <f>TEXT(83043, "[$-0E0000]yyyy-mm-dd")</f>
        <v/>
      </c>
    </row>
    <row r="83045">
      <c r="A83045" s="1" t="n">
        <v>83044</v>
      </c>
      <c r="B83045">
        <f>TEXT(83044, "[$-0E0000]yyyy-mm-dd")</f>
        <v/>
      </c>
    </row>
    <row r="83046">
      <c r="A83046" s="1" t="n">
        <v>83045</v>
      </c>
      <c r="B83046">
        <f>TEXT(83045, "[$-0E0000]yyyy-mm-dd")</f>
        <v/>
      </c>
    </row>
    <row r="83047">
      <c r="A83047" s="1" t="n">
        <v>83046</v>
      </c>
      <c r="B83047">
        <f>TEXT(83046, "[$-0E0000]yyyy-mm-dd")</f>
        <v/>
      </c>
    </row>
    <row r="83048">
      <c r="A83048" s="1" t="n">
        <v>83047</v>
      </c>
      <c r="B83048">
        <f>TEXT(83047, "[$-0E0000]yyyy-mm-dd")</f>
        <v/>
      </c>
    </row>
    <row r="83049">
      <c r="A83049" s="1" t="n">
        <v>83048</v>
      </c>
      <c r="B83049">
        <f>TEXT(83048, "[$-0E0000]yyyy-mm-dd")</f>
        <v/>
      </c>
    </row>
    <row r="83050">
      <c r="A83050" s="1" t="n">
        <v>83049</v>
      </c>
      <c r="B83050">
        <f>TEXT(83049, "[$-0E0000]yyyy-mm-dd")</f>
        <v/>
      </c>
    </row>
    <row r="83051">
      <c r="A83051" s="1" t="n">
        <v>83050</v>
      </c>
      <c r="B83051">
        <f>TEXT(83050, "[$-0E0000]yyyy-mm-dd")</f>
        <v/>
      </c>
    </row>
    <row r="83052">
      <c r="A83052" s="1" t="n">
        <v>83051</v>
      </c>
      <c r="B83052">
        <f>TEXT(83051, "[$-0E0000]yyyy-mm-dd")</f>
        <v/>
      </c>
    </row>
    <row r="83053">
      <c r="A83053" s="1" t="n">
        <v>83052</v>
      </c>
      <c r="B83053">
        <f>TEXT(83052, "[$-0E0000]yyyy-mm-dd")</f>
        <v/>
      </c>
    </row>
    <row r="83054">
      <c r="A83054" s="1" t="n">
        <v>83053</v>
      </c>
      <c r="B83054">
        <f>TEXT(83053, "[$-0E0000]yyyy-mm-dd")</f>
        <v/>
      </c>
    </row>
    <row r="83055">
      <c r="A83055" s="1" t="n">
        <v>83054</v>
      </c>
      <c r="B83055">
        <f>TEXT(83054, "[$-0E0000]yyyy-mm-dd")</f>
        <v/>
      </c>
    </row>
    <row r="83056">
      <c r="A83056" s="1" t="n">
        <v>83055</v>
      </c>
      <c r="B83056">
        <f>TEXT(83055, "[$-0E0000]yyyy-mm-dd")</f>
        <v/>
      </c>
    </row>
    <row r="83057">
      <c r="A83057" s="1" t="n">
        <v>83056</v>
      </c>
      <c r="B83057">
        <f>TEXT(83056, "[$-0E0000]yyyy-mm-dd")</f>
        <v/>
      </c>
    </row>
    <row r="83058">
      <c r="A83058" s="1" t="n">
        <v>83057</v>
      </c>
      <c r="B83058">
        <f>TEXT(83057, "[$-0E0000]yyyy-mm-dd")</f>
        <v/>
      </c>
    </row>
    <row r="83059">
      <c r="A83059" s="1" t="n">
        <v>83058</v>
      </c>
      <c r="B83059">
        <f>TEXT(83058, "[$-0E0000]yyyy-mm-dd")</f>
        <v/>
      </c>
    </row>
    <row r="83060">
      <c r="A83060" s="1" t="n">
        <v>83059</v>
      </c>
      <c r="B83060">
        <f>TEXT(83059, "[$-0E0000]yyyy-mm-dd")</f>
        <v/>
      </c>
    </row>
    <row r="83061">
      <c r="A83061" s="1" t="n">
        <v>83060</v>
      </c>
      <c r="B83061">
        <f>TEXT(83060, "[$-0E0000]yyyy-mm-dd")</f>
        <v/>
      </c>
    </row>
    <row r="83062">
      <c r="A83062" s="1" t="n">
        <v>83061</v>
      </c>
      <c r="B83062">
        <f>TEXT(83061, "[$-0E0000]yyyy-mm-dd")</f>
        <v/>
      </c>
    </row>
    <row r="83063">
      <c r="A83063" s="1" t="n">
        <v>83062</v>
      </c>
      <c r="B83063">
        <f>TEXT(83062, "[$-0E0000]yyyy-mm-dd")</f>
        <v/>
      </c>
    </row>
    <row r="83064">
      <c r="A83064" s="1" t="n">
        <v>83063</v>
      </c>
      <c r="B83064">
        <f>TEXT(83063, "[$-0E0000]yyyy-mm-dd")</f>
        <v/>
      </c>
    </row>
    <row r="83065">
      <c r="A83065" s="1" t="n">
        <v>83064</v>
      </c>
      <c r="B83065">
        <f>TEXT(83064, "[$-0E0000]yyyy-mm-dd")</f>
        <v/>
      </c>
    </row>
    <row r="83066">
      <c r="A83066" s="1" t="n">
        <v>83065</v>
      </c>
      <c r="B83066">
        <f>TEXT(83065, "[$-0E0000]yyyy-mm-dd")</f>
        <v/>
      </c>
    </row>
    <row r="83067">
      <c r="A83067" s="1" t="n">
        <v>83066</v>
      </c>
      <c r="B83067">
        <f>TEXT(83066, "[$-0E0000]yyyy-mm-dd")</f>
        <v/>
      </c>
    </row>
    <row r="83068">
      <c r="A83068" s="1" t="n">
        <v>83067</v>
      </c>
      <c r="B83068">
        <f>TEXT(83067, "[$-0E0000]yyyy-mm-dd")</f>
        <v/>
      </c>
    </row>
    <row r="83069">
      <c r="A83069" s="1" t="n">
        <v>83068</v>
      </c>
      <c r="B83069">
        <f>TEXT(83068, "[$-0E0000]yyyy-mm-dd")</f>
        <v/>
      </c>
    </row>
    <row r="83070">
      <c r="A83070" s="1" t="n">
        <v>83069</v>
      </c>
      <c r="B83070">
        <f>TEXT(83069, "[$-0E0000]yyyy-mm-dd")</f>
        <v/>
      </c>
    </row>
    <row r="83071">
      <c r="A83071" s="1" t="n">
        <v>83070</v>
      </c>
      <c r="B83071">
        <f>TEXT(83070, "[$-0E0000]yyyy-mm-dd")</f>
        <v/>
      </c>
    </row>
    <row r="83072">
      <c r="A83072" s="1" t="n">
        <v>83071</v>
      </c>
      <c r="B83072">
        <f>TEXT(83071, "[$-0E0000]yyyy-mm-dd")</f>
        <v/>
      </c>
    </row>
    <row r="83073">
      <c r="A83073" s="1" t="n">
        <v>83072</v>
      </c>
      <c r="B83073">
        <f>TEXT(83072, "[$-0E0000]yyyy-mm-dd")</f>
        <v/>
      </c>
    </row>
    <row r="83074">
      <c r="A83074" s="1" t="n">
        <v>83073</v>
      </c>
      <c r="B83074">
        <f>TEXT(83073, "[$-0E0000]yyyy-mm-dd")</f>
        <v/>
      </c>
    </row>
    <row r="83075">
      <c r="A83075" s="1" t="n">
        <v>83074</v>
      </c>
      <c r="B83075">
        <f>TEXT(83074, "[$-0E0000]yyyy-mm-dd")</f>
        <v/>
      </c>
    </row>
    <row r="83076">
      <c r="A83076" s="1" t="n">
        <v>83075</v>
      </c>
      <c r="B83076">
        <f>TEXT(83075, "[$-0E0000]yyyy-mm-dd")</f>
        <v/>
      </c>
    </row>
    <row r="83077">
      <c r="A83077" s="1" t="n">
        <v>83076</v>
      </c>
      <c r="B83077">
        <f>TEXT(83076, "[$-0E0000]yyyy-mm-dd")</f>
        <v/>
      </c>
    </row>
    <row r="83078">
      <c r="A83078" s="1" t="n">
        <v>83077</v>
      </c>
      <c r="B83078">
        <f>TEXT(83077, "[$-0E0000]yyyy-mm-dd")</f>
        <v/>
      </c>
    </row>
    <row r="83079">
      <c r="A83079" s="1" t="n">
        <v>83078</v>
      </c>
      <c r="B83079">
        <f>TEXT(83078, "[$-0E0000]yyyy-mm-dd")</f>
        <v/>
      </c>
    </row>
    <row r="83080">
      <c r="A83080" s="1" t="n">
        <v>83079</v>
      </c>
      <c r="B83080">
        <f>TEXT(83079, "[$-0E0000]yyyy-mm-dd")</f>
        <v/>
      </c>
    </row>
    <row r="83081">
      <c r="A83081" s="1" t="n">
        <v>83080</v>
      </c>
      <c r="B83081">
        <f>TEXT(83080, "[$-0E0000]yyyy-mm-dd")</f>
        <v/>
      </c>
    </row>
    <row r="83082">
      <c r="A83082" s="1" t="n">
        <v>83081</v>
      </c>
      <c r="B83082">
        <f>TEXT(83081, "[$-0E0000]yyyy-mm-dd")</f>
        <v/>
      </c>
    </row>
    <row r="83083">
      <c r="A83083" s="1" t="n">
        <v>83082</v>
      </c>
      <c r="B83083">
        <f>TEXT(83082, "[$-0E0000]yyyy-mm-dd")</f>
        <v/>
      </c>
    </row>
    <row r="83084">
      <c r="A83084" s="1" t="n">
        <v>83083</v>
      </c>
      <c r="B83084">
        <f>TEXT(83083, "[$-0E0000]yyyy-mm-dd")</f>
        <v/>
      </c>
    </row>
    <row r="83085">
      <c r="A83085" s="1" t="n">
        <v>83084</v>
      </c>
      <c r="B83085">
        <f>TEXT(83084, "[$-0E0000]yyyy-mm-dd")</f>
        <v/>
      </c>
    </row>
    <row r="83086">
      <c r="A83086" s="1" t="n">
        <v>83085</v>
      </c>
      <c r="B83086">
        <f>TEXT(83085, "[$-0E0000]yyyy-mm-dd")</f>
        <v/>
      </c>
    </row>
    <row r="83087">
      <c r="A83087" s="1" t="n">
        <v>83086</v>
      </c>
      <c r="B83087">
        <f>TEXT(83086, "[$-0E0000]yyyy-mm-dd")</f>
        <v/>
      </c>
    </row>
    <row r="83088">
      <c r="A83088" s="1" t="n">
        <v>83087</v>
      </c>
      <c r="B83088">
        <f>TEXT(83087, "[$-0E0000]yyyy-mm-dd")</f>
        <v/>
      </c>
    </row>
    <row r="83089">
      <c r="A83089" s="1" t="n">
        <v>83088</v>
      </c>
      <c r="B83089">
        <f>TEXT(83088, "[$-0E0000]yyyy-mm-dd")</f>
        <v/>
      </c>
    </row>
    <row r="83090">
      <c r="A83090" s="1" t="n">
        <v>83089</v>
      </c>
      <c r="B83090">
        <f>TEXT(83089, "[$-0E0000]yyyy-mm-dd")</f>
        <v/>
      </c>
    </row>
    <row r="83091">
      <c r="A83091" s="1" t="n">
        <v>83090</v>
      </c>
      <c r="B83091">
        <f>TEXT(83090, "[$-0E0000]yyyy-mm-dd")</f>
        <v/>
      </c>
    </row>
    <row r="83092">
      <c r="A83092" s="1" t="n">
        <v>83091</v>
      </c>
      <c r="B83092">
        <f>TEXT(83091, "[$-0E0000]yyyy-mm-dd")</f>
        <v/>
      </c>
    </row>
    <row r="83093">
      <c r="A83093" s="1" t="n">
        <v>83092</v>
      </c>
      <c r="B83093">
        <f>TEXT(83092, "[$-0E0000]yyyy-mm-dd")</f>
        <v/>
      </c>
    </row>
    <row r="83094">
      <c r="A83094" s="1" t="n">
        <v>83093</v>
      </c>
      <c r="B83094">
        <f>TEXT(83093, "[$-0E0000]yyyy-mm-dd")</f>
        <v/>
      </c>
    </row>
    <row r="83095">
      <c r="A83095" s="1" t="n">
        <v>83094</v>
      </c>
      <c r="B83095">
        <f>TEXT(83094, "[$-0E0000]yyyy-mm-dd")</f>
        <v/>
      </c>
    </row>
    <row r="83096">
      <c r="A83096" s="1" t="n">
        <v>83095</v>
      </c>
      <c r="B83096">
        <f>TEXT(83095, "[$-0E0000]yyyy-mm-dd")</f>
        <v/>
      </c>
    </row>
    <row r="83097">
      <c r="A83097" s="1" t="n">
        <v>83096</v>
      </c>
      <c r="B83097">
        <f>TEXT(83096, "[$-0E0000]yyyy-mm-dd")</f>
        <v/>
      </c>
    </row>
    <row r="83098">
      <c r="A83098" s="1" t="n">
        <v>83097</v>
      </c>
      <c r="B83098">
        <f>TEXT(83097, "[$-0E0000]yyyy-mm-dd")</f>
        <v/>
      </c>
    </row>
    <row r="83099">
      <c r="A83099" s="1" t="n">
        <v>83098</v>
      </c>
      <c r="B83099">
        <f>TEXT(83098, "[$-0E0000]yyyy-mm-dd")</f>
        <v/>
      </c>
    </row>
    <row r="83100">
      <c r="A83100" s="1" t="n">
        <v>83099</v>
      </c>
      <c r="B83100">
        <f>TEXT(83099, "[$-0E0000]yyyy-mm-dd")</f>
        <v/>
      </c>
    </row>
    <row r="83101">
      <c r="A83101" s="1" t="n">
        <v>83100</v>
      </c>
      <c r="B83101">
        <f>TEXT(83100, "[$-0E0000]yyyy-mm-dd")</f>
        <v/>
      </c>
    </row>
    <row r="83102">
      <c r="A83102" s="1" t="n">
        <v>83101</v>
      </c>
      <c r="B83102">
        <f>TEXT(83101, "[$-0E0000]yyyy-mm-dd")</f>
        <v/>
      </c>
    </row>
    <row r="83103">
      <c r="A83103" s="1" t="n">
        <v>83102</v>
      </c>
      <c r="B83103">
        <f>TEXT(83102, "[$-0E0000]yyyy-mm-dd")</f>
        <v/>
      </c>
    </row>
    <row r="83104">
      <c r="A83104" s="1" t="n">
        <v>83103</v>
      </c>
      <c r="B83104">
        <f>TEXT(83103, "[$-0E0000]yyyy-mm-dd")</f>
        <v/>
      </c>
    </row>
    <row r="83105">
      <c r="A83105" s="1" t="n">
        <v>83104</v>
      </c>
      <c r="B83105">
        <f>TEXT(83104, "[$-0E0000]yyyy-mm-dd")</f>
        <v/>
      </c>
    </row>
    <row r="83106">
      <c r="A83106" s="1" t="n">
        <v>83105</v>
      </c>
      <c r="B83106">
        <f>TEXT(83105, "[$-0E0000]yyyy-mm-dd")</f>
        <v/>
      </c>
    </row>
    <row r="83107">
      <c r="A83107" s="1" t="n">
        <v>83106</v>
      </c>
      <c r="B83107">
        <f>TEXT(83106, "[$-0E0000]yyyy-mm-dd")</f>
        <v/>
      </c>
    </row>
    <row r="83108">
      <c r="A83108" s="1" t="n">
        <v>83107</v>
      </c>
      <c r="B83108">
        <f>TEXT(83107, "[$-0E0000]yyyy-mm-dd")</f>
        <v/>
      </c>
    </row>
    <row r="83109">
      <c r="A83109" s="1" t="n">
        <v>83108</v>
      </c>
      <c r="B83109">
        <f>TEXT(83108, "[$-0E0000]yyyy-mm-dd")</f>
        <v/>
      </c>
    </row>
    <row r="83110">
      <c r="A83110" s="1" t="n">
        <v>83109</v>
      </c>
      <c r="B83110">
        <f>TEXT(83109, "[$-0E0000]yyyy-mm-dd")</f>
        <v/>
      </c>
    </row>
    <row r="83111">
      <c r="A83111" s="1" t="n">
        <v>83110</v>
      </c>
      <c r="B83111">
        <f>TEXT(83110, "[$-0E0000]yyyy-mm-dd")</f>
        <v/>
      </c>
    </row>
    <row r="83112">
      <c r="A83112" s="1" t="n">
        <v>83111</v>
      </c>
      <c r="B83112">
        <f>TEXT(83111, "[$-0E0000]yyyy-mm-dd")</f>
        <v/>
      </c>
    </row>
    <row r="83113">
      <c r="A83113" s="1" t="n">
        <v>83112</v>
      </c>
      <c r="B83113">
        <f>TEXT(83112, "[$-0E0000]yyyy-mm-dd")</f>
        <v/>
      </c>
    </row>
    <row r="83114">
      <c r="A83114" s="1" t="n">
        <v>83113</v>
      </c>
      <c r="B83114">
        <f>TEXT(83113, "[$-0E0000]yyyy-mm-dd")</f>
        <v/>
      </c>
    </row>
    <row r="83115">
      <c r="A83115" s="1" t="n">
        <v>83114</v>
      </c>
      <c r="B83115">
        <f>TEXT(83114, "[$-0E0000]yyyy-mm-dd")</f>
        <v/>
      </c>
    </row>
    <row r="83116">
      <c r="A83116" s="1" t="n">
        <v>83115</v>
      </c>
      <c r="B83116">
        <f>TEXT(83115, "[$-0E0000]yyyy-mm-dd")</f>
        <v/>
      </c>
    </row>
    <row r="83117">
      <c r="A83117" s="1" t="n">
        <v>83116</v>
      </c>
      <c r="B83117">
        <f>TEXT(83116, "[$-0E0000]yyyy-mm-dd")</f>
        <v/>
      </c>
    </row>
    <row r="83118">
      <c r="A83118" s="1" t="n">
        <v>83117</v>
      </c>
      <c r="B83118">
        <f>TEXT(83117, "[$-0E0000]yyyy-mm-dd")</f>
        <v/>
      </c>
    </row>
    <row r="83119">
      <c r="A83119" s="1" t="n">
        <v>83118</v>
      </c>
      <c r="B83119">
        <f>TEXT(83118, "[$-0E0000]yyyy-mm-dd")</f>
        <v/>
      </c>
    </row>
    <row r="83120">
      <c r="A83120" s="1" t="n">
        <v>83119</v>
      </c>
      <c r="B83120">
        <f>TEXT(83119, "[$-0E0000]yyyy-mm-dd")</f>
        <v/>
      </c>
    </row>
    <row r="83121">
      <c r="A83121" s="1" t="n">
        <v>83120</v>
      </c>
      <c r="B83121">
        <f>TEXT(83120, "[$-0E0000]yyyy-mm-dd")</f>
        <v/>
      </c>
    </row>
    <row r="83122">
      <c r="A83122" s="1" t="n">
        <v>83121</v>
      </c>
      <c r="B83122">
        <f>TEXT(83121, "[$-0E0000]yyyy-mm-dd")</f>
        <v/>
      </c>
    </row>
    <row r="83123">
      <c r="A83123" s="1" t="n">
        <v>83122</v>
      </c>
      <c r="B83123">
        <f>TEXT(83122, "[$-0E0000]yyyy-mm-dd")</f>
        <v/>
      </c>
    </row>
    <row r="83124">
      <c r="A83124" s="1" t="n">
        <v>83123</v>
      </c>
      <c r="B83124">
        <f>TEXT(83123, "[$-0E0000]yyyy-mm-dd")</f>
        <v/>
      </c>
    </row>
    <row r="83125">
      <c r="A83125" s="1" t="n">
        <v>83124</v>
      </c>
      <c r="B83125">
        <f>TEXT(83124, "[$-0E0000]yyyy-mm-dd")</f>
        <v/>
      </c>
    </row>
    <row r="83126">
      <c r="A83126" s="1" t="n">
        <v>83125</v>
      </c>
      <c r="B83126">
        <f>TEXT(83125, "[$-0E0000]yyyy-mm-dd")</f>
        <v/>
      </c>
    </row>
    <row r="83127">
      <c r="A83127" s="1" t="n">
        <v>83126</v>
      </c>
      <c r="B83127">
        <f>TEXT(83126, "[$-0E0000]yyyy-mm-dd")</f>
        <v/>
      </c>
    </row>
    <row r="83128">
      <c r="A83128" s="1" t="n">
        <v>83127</v>
      </c>
      <c r="B83128">
        <f>TEXT(83127, "[$-0E0000]yyyy-mm-dd")</f>
        <v/>
      </c>
    </row>
    <row r="83129">
      <c r="A83129" s="1" t="n">
        <v>83128</v>
      </c>
      <c r="B83129">
        <f>TEXT(83128, "[$-0E0000]yyyy-mm-dd")</f>
        <v/>
      </c>
    </row>
    <row r="83130">
      <c r="A83130" s="1" t="n">
        <v>83129</v>
      </c>
      <c r="B83130">
        <f>TEXT(83129, "[$-0E0000]yyyy-mm-dd")</f>
        <v/>
      </c>
    </row>
    <row r="83131">
      <c r="A83131" s="1" t="n">
        <v>83130</v>
      </c>
      <c r="B83131">
        <f>TEXT(83130, "[$-0E0000]yyyy-mm-dd")</f>
        <v/>
      </c>
    </row>
    <row r="83132">
      <c r="A83132" s="1" t="n">
        <v>83131</v>
      </c>
      <c r="B83132">
        <f>TEXT(83131, "[$-0E0000]yyyy-mm-dd")</f>
        <v/>
      </c>
    </row>
    <row r="83133">
      <c r="A83133" s="1" t="n">
        <v>83132</v>
      </c>
      <c r="B83133">
        <f>TEXT(83132, "[$-0E0000]yyyy-mm-dd")</f>
        <v/>
      </c>
    </row>
    <row r="83134">
      <c r="A83134" s="1" t="n">
        <v>83133</v>
      </c>
      <c r="B83134">
        <f>TEXT(83133, "[$-0E0000]yyyy-mm-dd")</f>
        <v/>
      </c>
    </row>
    <row r="83135">
      <c r="A83135" s="1" t="n">
        <v>83134</v>
      </c>
      <c r="B83135">
        <f>TEXT(83134, "[$-0E0000]yyyy-mm-dd")</f>
        <v/>
      </c>
    </row>
    <row r="83136">
      <c r="A83136" s="1" t="n">
        <v>83135</v>
      </c>
      <c r="B83136">
        <f>TEXT(83135, "[$-0E0000]yyyy-mm-dd")</f>
        <v/>
      </c>
    </row>
    <row r="83137">
      <c r="A83137" s="1" t="n">
        <v>83136</v>
      </c>
      <c r="B83137">
        <f>TEXT(83136, "[$-0E0000]yyyy-mm-dd")</f>
        <v/>
      </c>
    </row>
    <row r="83138">
      <c r="A83138" s="1" t="n">
        <v>83137</v>
      </c>
      <c r="B83138">
        <f>TEXT(83137, "[$-0E0000]yyyy-mm-dd")</f>
        <v/>
      </c>
    </row>
    <row r="83139">
      <c r="A83139" s="1" t="n">
        <v>83138</v>
      </c>
      <c r="B83139">
        <f>TEXT(83138, "[$-0E0000]yyyy-mm-dd")</f>
        <v/>
      </c>
    </row>
    <row r="83140">
      <c r="A83140" s="1" t="n">
        <v>83139</v>
      </c>
      <c r="B83140">
        <f>TEXT(83139, "[$-0E0000]yyyy-mm-dd")</f>
        <v/>
      </c>
    </row>
    <row r="83141">
      <c r="A83141" s="1" t="n">
        <v>83140</v>
      </c>
      <c r="B83141">
        <f>TEXT(83140, "[$-0E0000]yyyy-mm-dd")</f>
        <v/>
      </c>
    </row>
    <row r="83142">
      <c r="A83142" s="1" t="n">
        <v>83141</v>
      </c>
      <c r="B83142">
        <f>TEXT(83141, "[$-0E0000]yyyy-mm-dd")</f>
        <v/>
      </c>
    </row>
    <row r="83143">
      <c r="A83143" s="1" t="n">
        <v>83142</v>
      </c>
      <c r="B83143">
        <f>TEXT(83142, "[$-0E0000]yyyy-mm-dd")</f>
        <v/>
      </c>
    </row>
    <row r="83144">
      <c r="A83144" s="1" t="n">
        <v>83143</v>
      </c>
      <c r="B83144">
        <f>TEXT(83143, "[$-0E0000]yyyy-mm-dd")</f>
        <v/>
      </c>
    </row>
    <row r="83145">
      <c r="A83145" s="1" t="n">
        <v>83144</v>
      </c>
      <c r="B83145">
        <f>TEXT(83144, "[$-0E0000]yyyy-mm-dd")</f>
        <v/>
      </c>
    </row>
    <row r="83146">
      <c r="A83146" s="1" t="n">
        <v>83145</v>
      </c>
      <c r="B83146">
        <f>TEXT(83145, "[$-0E0000]yyyy-mm-dd")</f>
        <v/>
      </c>
    </row>
    <row r="83147">
      <c r="A83147" s="1" t="n">
        <v>83146</v>
      </c>
      <c r="B83147">
        <f>TEXT(83146, "[$-0E0000]yyyy-mm-dd")</f>
        <v/>
      </c>
    </row>
    <row r="83148">
      <c r="A83148" s="1" t="n">
        <v>83147</v>
      </c>
      <c r="B83148">
        <f>TEXT(83147, "[$-0E0000]yyyy-mm-dd")</f>
        <v/>
      </c>
    </row>
    <row r="83149">
      <c r="A83149" s="1" t="n">
        <v>83148</v>
      </c>
      <c r="B83149">
        <f>TEXT(83148, "[$-0E0000]yyyy-mm-dd")</f>
        <v/>
      </c>
    </row>
    <row r="83150">
      <c r="A83150" s="1" t="n">
        <v>83149</v>
      </c>
      <c r="B83150">
        <f>TEXT(83149, "[$-0E0000]yyyy-mm-dd")</f>
        <v/>
      </c>
    </row>
    <row r="83151">
      <c r="A83151" s="1" t="n">
        <v>83150</v>
      </c>
      <c r="B83151">
        <f>TEXT(83150, "[$-0E0000]yyyy-mm-dd")</f>
        <v/>
      </c>
    </row>
    <row r="83152">
      <c r="A83152" s="1" t="n">
        <v>83151</v>
      </c>
      <c r="B83152">
        <f>TEXT(83151, "[$-0E0000]yyyy-mm-dd")</f>
        <v/>
      </c>
    </row>
    <row r="83153">
      <c r="A83153" s="1" t="n">
        <v>83152</v>
      </c>
      <c r="B83153">
        <f>TEXT(83152, "[$-0E0000]yyyy-mm-dd")</f>
        <v/>
      </c>
    </row>
    <row r="83154">
      <c r="A83154" s="1" t="n">
        <v>83153</v>
      </c>
      <c r="B83154">
        <f>TEXT(83153, "[$-0E0000]yyyy-mm-dd")</f>
        <v/>
      </c>
    </row>
    <row r="83155">
      <c r="A83155" s="1" t="n">
        <v>83154</v>
      </c>
      <c r="B83155">
        <f>TEXT(83154, "[$-0E0000]yyyy-mm-dd")</f>
        <v/>
      </c>
    </row>
    <row r="83156">
      <c r="A83156" s="1" t="n">
        <v>83155</v>
      </c>
      <c r="B83156">
        <f>TEXT(83155, "[$-0E0000]yyyy-mm-dd")</f>
        <v/>
      </c>
    </row>
    <row r="83157">
      <c r="A83157" s="1" t="n">
        <v>83156</v>
      </c>
      <c r="B83157">
        <f>TEXT(83156, "[$-0E0000]yyyy-mm-dd")</f>
        <v/>
      </c>
    </row>
    <row r="83158">
      <c r="A83158" s="1" t="n">
        <v>83157</v>
      </c>
      <c r="B83158">
        <f>TEXT(83157, "[$-0E0000]yyyy-mm-dd")</f>
        <v/>
      </c>
    </row>
    <row r="83159">
      <c r="A83159" s="1" t="n">
        <v>83158</v>
      </c>
      <c r="B83159">
        <f>TEXT(83158, "[$-0E0000]yyyy-mm-dd")</f>
        <v/>
      </c>
    </row>
    <row r="83160">
      <c r="A83160" s="1" t="n">
        <v>83159</v>
      </c>
      <c r="B83160">
        <f>TEXT(83159, "[$-0E0000]yyyy-mm-dd")</f>
        <v/>
      </c>
    </row>
    <row r="83161">
      <c r="A83161" s="1" t="n">
        <v>83160</v>
      </c>
      <c r="B83161">
        <f>TEXT(83160, "[$-0E0000]yyyy-mm-dd")</f>
        <v/>
      </c>
    </row>
    <row r="83162">
      <c r="A83162" s="1" t="n">
        <v>83161</v>
      </c>
      <c r="B83162">
        <f>TEXT(83161, "[$-0E0000]yyyy-mm-dd")</f>
        <v/>
      </c>
    </row>
    <row r="83163">
      <c r="A83163" s="1" t="n">
        <v>83162</v>
      </c>
      <c r="B83163">
        <f>TEXT(83162, "[$-0E0000]yyyy-mm-dd")</f>
        <v/>
      </c>
    </row>
    <row r="83164">
      <c r="A83164" s="1" t="n">
        <v>83163</v>
      </c>
      <c r="B83164">
        <f>TEXT(83163, "[$-0E0000]yyyy-mm-dd")</f>
        <v/>
      </c>
    </row>
    <row r="83165">
      <c r="A83165" s="1" t="n">
        <v>83164</v>
      </c>
      <c r="B83165">
        <f>TEXT(83164, "[$-0E0000]yyyy-mm-dd")</f>
        <v/>
      </c>
    </row>
    <row r="83166">
      <c r="A83166" s="1" t="n">
        <v>83165</v>
      </c>
      <c r="B83166">
        <f>TEXT(83165, "[$-0E0000]yyyy-mm-dd")</f>
        <v/>
      </c>
    </row>
    <row r="83167">
      <c r="A83167" s="1" t="n">
        <v>83166</v>
      </c>
      <c r="B83167">
        <f>TEXT(83166, "[$-0E0000]yyyy-mm-dd")</f>
        <v/>
      </c>
    </row>
    <row r="83168">
      <c r="A83168" s="1" t="n">
        <v>83167</v>
      </c>
      <c r="B83168">
        <f>TEXT(83167, "[$-0E0000]yyyy-mm-dd")</f>
        <v/>
      </c>
    </row>
    <row r="83169">
      <c r="A83169" s="1" t="n">
        <v>83168</v>
      </c>
      <c r="B83169">
        <f>TEXT(83168, "[$-0E0000]yyyy-mm-dd")</f>
        <v/>
      </c>
    </row>
    <row r="83170">
      <c r="A83170" s="1" t="n">
        <v>83169</v>
      </c>
      <c r="B83170">
        <f>TEXT(83169, "[$-0E0000]yyyy-mm-dd")</f>
        <v/>
      </c>
    </row>
    <row r="83171">
      <c r="A83171" s="1" t="n">
        <v>83170</v>
      </c>
      <c r="B83171">
        <f>TEXT(83170, "[$-0E0000]yyyy-mm-dd")</f>
        <v/>
      </c>
    </row>
    <row r="83172">
      <c r="A83172" s="1" t="n">
        <v>83171</v>
      </c>
      <c r="B83172">
        <f>TEXT(83171, "[$-0E0000]yyyy-mm-dd")</f>
        <v/>
      </c>
    </row>
    <row r="83173">
      <c r="A83173" s="1" t="n">
        <v>83172</v>
      </c>
      <c r="B83173">
        <f>TEXT(83172, "[$-0E0000]yyyy-mm-dd")</f>
        <v/>
      </c>
    </row>
    <row r="83174">
      <c r="A83174" s="1" t="n">
        <v>83173</v>
      </c>
      <c r="B83174">
        <f>TEXT(83173, "[$-0E0000]yyyy-mm-dd")</f>
        <v/>
      </c>
    </row>
    <row r="83175">
      <c r="A83175" s="1" t="n">
        <v>83174</v>
      </c>
      <c r="B83175">
        <f>TEXT(83174, "[$-0E0000]yyyy-mm-dd")</f>
        <v/>
      </c>
    </row>
    <row r="83176">
      <c r="A83176" s="1" t="n">
        <v>83175</v>
      </c>
      <c r="B83176">
        <f>TEXT(83175, "[$-0E0000]yyyy-mm-dd")</f>
        <v/>
      </c>
    </row>
    <row r="83177">
      <c r="A83177" s="1" t="n">
        <v>83176</v>
      </c>
      <c r="B83177">
        <f>TEXT(83176, "[$-0E0000]yyyy-mm-dd")</f>
        <v/>
      </c>
    </row>
    <row r="83178">
      <c r="A83178" s="1" t="n">
        <v>83177</v>
      </c>
      <c r="B83178">
        <f>TEXT(83177, "[$-0E0000]yyyy-mm-dd")</f>
        <v/>
      </c>
    </row>
    <row r="83179">
      <c r="A83179" s="1" t="n">
        <v>83178</v>
      </c>
      <c r="B83179">
        <f>TEXT(83178, "[$-0E0000]yyyy-mm-dd")</f>
        <v/>
      </c>
    </row>
    <row r="83180">
      <c r="A83180" s="1" t="n">
        <v>83179</v>
      </c>
      <c r="B83180">
        <f>TEXT(83179, "[$-0E0000]yyyy-mm-dd")</f>
        <v/>
      </c>
    </row>
    <row r="83181">
      <c r="A83181" s="1" t="n">
        <v>83180</v>
      </c>
      <c r="B83181">
        <f>TEXT(83180, "[$-0E0000]yyyy-mm-dd")</f>
        <v/>
      </c>
    </row>
    <row r="83182">
      <c r="A83182" s="1" t="n">
        <v>83181</v>
      </c>
      <c r="B83182">
        <f>TEXT(83181, "[$-0E0000]yyyy-mm-dd")</f>
        <v/>
      </c>
    </row>
    <row r="83183">
      <c r="A83183" s="1" t="n">
        <v>83182</v>
      </c>
      <c r="B83183">
        <f>TEXT(83182, "[$-0E0000]yyyy-mm-dd")</f>
        <v/>
      </c>
    </row>
    <row r="83184">
      <c r="A83184" s="1" t="n">
        <v>83183</v>
      </c>
      <c r="B83184">
        <f>TEXT(83183, "[$-0E0000]yyyy-mm-dd")</f>
        <v/>
      </c>
    </row>
    <row r="83185">
      <c r="A83185" s="1" t="n">
        <v>83184</v>
      </c>
      <c r="B83185">
        <f>TEXT(83184, "[$-0E0000]yyyy-mm-dd")</f>
        <v/>
      </c>
    </row>
    <row r="83186">
      <c r="A83186" s="1" t="n">
        <v>83185</v>
      </c>
      <c r="B83186">
        <f>TEXT(83185, "[$-0E0000]yyyy-mm-dd")</f>
        <v/>
      </c>
    </row>
    <row r="83187">
      <c r="A83187" s="1" t="n">
        <v>83186</v>
      </c>
      <c r="B83187">
        <f>TEXT(83186, "[$-0E0000]yyyy-mm-dd")</f>
        <v/>
      </c>
    </row>
    <row r="83188">
      <c r="A83188" s="1" t="n">
        <v>83187</v>
      </c>
      <c r="B83188">
        <f>TEXT(83187, "[$-0E0000]yyyy-mm-dd")</f>
        <v/>
      </c>
    </row>
    <row r="83189">
      <c r="A83189" s="1" t="n">
        <v>83188</v>
      </c>
      <c r="B83189">
        <f>TEXT(83188, "[$-0E0000]yyyy-mm-dd")</f>
        <v/>
      </c>
    </row>
    <row r="83190">
      <c r="A83190" s="1" t="n">
        <v>83189</v>
      </c>
      <c r="B83190">
        <f>TEXT(83189, "[$-0E0000]yyyy-mm-dd")</f>
        <v/>
      </c>
    </row>
    <row r="83191">
      <c r="A83191" s="1" t="n">
        <v>83190</v>
      </c>
      <c r="B83191">
        <f>TEXT(83190, "[$-0E0000]yyyy-mm-dd")</f>
        <v/>
      </c>
    </row>
    <row r="83192">
      <c r="A83192" s="1" t="n">
        <v>83191</v>
      </c>
      <c r="B83192">
        <f>TEXT(83191, "[$-0E0000]yyyy-mm-dd")</f>
        <v/>
      </c>
    </row>
    <row r="83193">
      <c r="A83193" s="1" t="n">
        <v>83192</v>
      </c>
      <c r="B83193">
        <f>TEXT(83192, "[$-0E0000]yyyy-mm-dd")</f>
        <v/>
      </c>
    </row>
    <row r="83194">
      <c r="A83194" s="1" t="n">
        <v>83193</v>
      </c>
      <c r="B83194">
        <f>TEXT(83193, "[$-0E0000]yyyy-mm-dd")</f>
        <v/>
      </c>
    </row>
    <row r="83195">
      <c r="A83195" s="1" t="n">
        <v>83194</v>
      </c>
      <c r="B83195">
        <f>TEXT(83194, "[$-0E0000]yyyy-mm-dd")</f>
        <v/>
      </c>
    </row>
    <row r="83196">
      <c r="A83196" s="1" t="n">
        <v>83195</v>
      </c>
      <c r="B83196">
        <f>TEXT(83195, "[$-0E0000]yyyy-mm-dd")</f>
        <v/>
      </c>
    </row>
    <row r="83197">
      <c r="A83197" s="1" t="n">
        <v>83196</v>
      </c>
      <c r="B83197">
        <f>TEXT(83196, "[$-0E0000]yyyy-mm-dd")</f>
        <v/>
      </c>
    </row>
    <row r="83198">
      <c r="A83198" s="1" t="n">
        <v>83197</v>
      </c>
      <c r="B83198">
        <f>TEXT(83197, "[$-0E0000]yyyy-mm-dd")</f>
        <v/>
      </c>
    </row>
    <row r="83199">
      <c r="A83199" s="1" t="n">
        <v>83198</v>
      </c>
      <c r="B83199">
        <f>TEXT(83198, "[$-0E0000]yyyy-mm-dd")</f>
        <v/>
      </c>
    </row>
    <row r="83200">
      <c r="A83200" s="1" t="n">
        <v>83199</v>
      </c>
      <c r="B83200">
        <f>TEXT(83199, "[$-0E0000]yyyy-mm-dd")</f>
        <v/>
      </c>
    </row>
    <row r="83201">
      <c r="A83201" s="1" t="n">
        <v>83200</v>
      </c>
      <c r="B83201">
        <f>TEXT(83200, "[$-0E0000]yyyy-mm-dd")</f>
        <v/>
      </c>
    </row>
    <row r="83202">
      <c r="A83202" s="1" t="n">
        <v>83201</v>
      </c>
      <c r="B83202">
        <f>TEXT(83201, "[$-0E0000]yyyy-mm-dd")</f>
        <v/>
      </c>
    </row>
    <row r="83203">
      <c r="A83203" s="1" t="n">
        <v>83202</v>
      </c>
      <c r="B83203">
        <f>TEXT(83202, "[$-0E0000]yyyy-mm-dd")</f>
        <v/>
      </c>
    </row>
    <row r="83204">
      <c r="A83204" s="1" t="n">
        <v>83203</v>
      </c>
      <c r="B83204">
        <f>TEXT(83203, "[$-0E0000]yyyy-mm-dd")</f>
        <v/>
      </c>
    </row>
    <row r="83205">
      <c r="A83205" s="1" t="n">
        <v>83204</v>
      </c>
      <c r="B83205">
        <f>TEXT(83204, "[$-0E0000]yyyy-mm-dd")</f>
        <v/>
      </c>
    </row>
    <row r="83206">
      <c r="A83206" s="1" t="n">
        <v>83205</v>
      </c>
      <c r="B83206">
        <f>TEXT(83205, "[$-0E0000]yyyy-mm-dd")</f>
        <v/>
      </c>
    </row>
    <row r="83207">
      <c r="A83207" s="1" t="n">
        <v>83206</v>
      </c>
      <c r="B83207">
        <f>TEXT(83206, "[$-0E0000]yyyy-mm-dd")</f>
        <v/>
      </c>
    </row>
    <row r="83208">
      <c r="A83208" s="1" t="n">
        <v>83207</v>
      </c>
      <c r="B83208">
        <f>TEXT(83207, "[$-0E0000]yyyy-mm-dd")</f>
        <v/>
      </c>
    </row>
    <row r="83209">
      <c r="A83209" s="1" t="n">
        <v>83208</v>
      </c>
      <c r="B83209">
        <f>TEXT(83208, "[$-0E0000]yyyy-mm-dd")</f>
        <v/>
      </c>
    </row>
    <row r="83210">
      <c r="A83210" s="1" t="n">
        <v>83209</v>
      </c>
      <c r="B83210">
        <f>TEXT(83209, "[$-0E0000]yyyy-mm-dd")</f>
        <v/>
      </c>
    </row>
    <row r="83211">
      <c r="A83211" s="1" t="n">
        <v>83210</v>
      </c>
      <c r="B83211">
        <f>TEXT(83210, "[$-0E0000]yyyy-mm-dd")</f>
        <v/>
      </c>
    </row>
    <row r="83212">
      <c r="A83212" s="1" t="n">
        <v>83211</v>
      </c>
      <c r="B83212">
        <f>TEXT(83211, "[$-0E0000]yyyy-mm-dd")</f>
        <v/>
      </c>
    </row>
    <row r="83213">
      <c r="A83213" s="1" t="n">
        <v>83212</v>
      </c>
      <c r="B83213">
        <f>TEXT(83212, "[$-0E0000]yyyy-mm-dd")</f>
        <v/>
      </c>
    </row>
    <row r="83214">
      <c r="A83214" s="1" t="n">
        <v>83213</v>
      </c>
      <c r="B83214">
        <f>TEXT(83213, "[$-0E0000]yyyy-mm-dd")</f>
        <v/>
      </c>
    </row>
    <row r="83215">
      <c r="A83215" s="1" t="n">
        <v>83214</v>
      </c>
      <c r="B83215">
        <f>TEXT(83214, "[$-0E0000]yyyy-mm-dd")</f>
        <v/>
      </c>
    </row>
    <row r="83216">
      <c r="A83216" s="1" t="n">
        <v>83215</v>
      </c>
      <c r="B83216">
        <f>TEXT(83215, "[$-0E0000]yyyy-mm-dd")</f>
        <v/>
      </c>
    </row>
    <row r="83217">
      <c r="A83217" s="1" t="n">
        <v>83216</v>
      </c>
      <c r="B83217">
        <f>TEXT(83216, "[$-0E0000]yyyy-mm-dd")</f>
        <v/>
      </c>
    </row>
    <row r="83218">
      <c r="A83218" s="1" t="n">
        <v>83217</v>
      </c>
      <c r="B83218">
        <f>TEXT(83217, "[$-0E0000]yyyy-mm-dd")</f>
        <v/>
      </c>
    </row>
    <row r="83219">
      <c r="A83219" s="1" t="n">
        <v>83218</v>
      </c>
      <c r="B83219">
        <f>TEXT(83218, "[$-0E0000]yyyy-mm-dd")</f>
        <v/>
      </c>
    </row>
    <row r="83220">
      <c r="A83220" s="1" t="n">
        <v>83219</v>
      </c>
      <c r="B83220">
        <f>TEXT(83219, "[$-0E0000]yyyy-mm-dd")</f>
        <v/>
      </c>
    </row>
    <row r="83221">
      <c r="A83221" s="1" t="n">
        <v>83220</v>
      </c>
      <c r="B83221">
        <f>TEXT(83220, "[$-0E0000]yyyy-mm-dd")</f>
        <v/>
      </c>
    </row>
    <row r="83222">
      <c r="A83222" s="1" t="n">
        <v>83221</v>
      </c>
      <c r="B83222">
        <f>TEXT(83221, "[$-0E0000]yyyy-mm-dd")</f>
        <v/>
      </c>
    </row>
    <row r="83223">
      <c r="A83223" s="1" t="n">
        <v>83222</v>
      </c>
      <c r="B83223">
        <f>TEXT(83222, "[$-0E0000]yyyy-mm-dd")</f>
        <v/>
      </c>
    </row>
    <row r="83224">
      <c r="A83224" s="1" t="n">
        <v>83223</v>
      </c>
      <c r="B83224">
        <f>TEXT(83223, "[$-0E0000]yyyy-mm-dd")</f>
        <v/>
      </c>
    </row>
    <row r="83225">
      <c r="A83225" s="1" t="n">
        <v>83224</v>
      </c>
      <c r="B83225">
        <f>TEXT(83224, "[$-0E0000]yyyy-mm-dd")</f>
        <v/>
      </c>
    </row>
    <row r="83226">
      <c r="A83226" s="1" t="n">
        <v>83225</v>
      </c>
      <c r="B83226">
        <f>TEXT(83225, "[$-0E0000]yyyy-mm-dd")</f>
        <v/>
      </c>
    </row>
    <row r="83227">
      <c r="A83227" s="1" t="n">
        <v>83226</v>
      </c>
      <c r="B83227">
        <f>TEXT(83226, "[$-0E0000]yyyy-mm-dd")</f>
        <v/>
      </c>
    </row>
    <row r="83228">
      <c r="A83228" s="1" t="n">
        <v>83227</v>
      </c>
      <c r="B83228">
        <f>TEXT(83227, "[$-0E0000]yyyy-mm-dd")</f>
        <v/>
      </c>
    </row>
    <row r="83229">
      <c r="A83229" s="1" t="n">
        <v>83228</v>
      </c>
      <c r="B83229">
        <f>TEXT(83228, "[$-0E0000]yyyy-mm-dd")</f>
        <v/>
      </c>
    </row>
    <row r="83230">
      <c r="A83230" s="1" t="n">
        <v>83229</v>
      </c>
      <c r="B83230">
        <f>TEXT(83229, "[$-0E0000]yyyy-mm-dd")</f>
        <v/>
      </c>
    </row>
    <row r="83231">
      <c r="A83231" s="1" t="n">
        <v>83230</v>
      </c>
      <c r="B83231">
        <f>TEXT(83230, "[$-0E0000]yyyy-mm-dd")</f>
        <v/>
      </c>
    </row>
    <row r="83232">
      <c r="A83232" s="1" t="n">
        <v>83231</v>
      </c>
      <c r="B83232">
        <f>TEXT(83231, "[$-0E0000]yyyy-mm-dd")</f>
        <v/>
      </c>
    </row>
    <row r="83233">
      <c r="A83233" s="1" t="n">
        <v>83232</v>
      </c>
      <c r="B83233">
        <f>TEXT(83232, "[$-0E0000]yyyy-mm-dd")</f>
        <v/>
      </c>
    </row>
    <row r="83234">
      <c r="A83234" s="1" t="n">
        <v>83233</v>
      </c>
      <c r="B83234">
        <f>TEXT(83233, "[$-0E0000]yyyy-mm-dd")</f>
        <v/>
      </c>
    </row>
    <row r="83235">
      <c r="A83235" s="1" t="n">
        <v>83234</v>
      </c>
      <c r="B83235">
        <f>TEXT(83234, "[$-0E0000]yyyy-mm-dd")</f>
        <v/>
      </c>
    </row>
    <row r="83236">
      <c r="A83236" s="1" t="n">
        <v>83235</v>
      </c>
      <c r="B83236">
        <f>TEXT(83235, "[$-0E0000]yyyy-mm-dd")</f>
        <v/>
      </c>
    </row>
    <row r="83237">
      <c r="A83237" s="1" t="n">
        <v>83236</v>
      </c>
      <c r="B83237">
        <f>TEXT(83236, "[$-0E0000]yyyy-mm-dd")</f>
        <v/>
      </c>
    </row>
    <row r="83238">
      <c r="A83238" s="1" t="n">
        <v>83237</v>
      </c>
      <c r="B83238">
        <f>TEXT(83237, "[$-0E0000]yyyy-mm-dd")</f>
        <v/>
      </c>
    </row>
    <row r="83239">
      <c r="A83239" s="1" t="n">
        <v>83238</v>
      </c>
      <c r="B83239">
        <f>TEXT(83238, "[$-0E0000]yyyy-mm-dd")</f>
        <v/>
      </c>
    </row>
    <row r="83240">
      <c r="A83240" s="1" t="n">
        <v>83239</v>
      </c>
      <c r="B83240">
        <f>TEXT(83239, "[$-0E0000]yyyy-mm-dd")</f>
        <v/>
      </c>
    </row>
    <row r="83241">
      <c r="A83241" s="1" t="n">
        <v>83240</v>
      </c>
      <c r="B83241">
        <f>TEXT(83240, "[$-0E0000]yyyy-mm-dd")</f>
        <v/>
      </c>
    </row>
    <row r="83242">
      <c r="A83242" s="1" t="n">
        <v>83241</v>
      </c>
      <c r="B83242">
        <f>TEXT(83241, "[$-0E0000]yyyy-mm-dd")</f>
        <v/>
      </c>
    </row>
    <row r="83243">
      <c r="A83243" s="1" t="n">
        <v>83242</v>
      </c>
      <c r="B83243">
        <f>TEXT(83242, "[$-0E0000]yyyy-mm-dd")</f>
        <v/>
      </c>
    </row>
    <row r="83244">
      <c r="A83244" s="1" t="n">
        <v>83243</v>
      </c>
      <c r="B83244">
        <f>TEXT(83243, "[$-0E0000]yyyy-mm-dd")</f>
        <v/>
      </c>
    </row>
    <row r="83245">
      <c r="A83245" s="1" t="n">
        <v>83244</v>
      </c>
      <c r="B83245">
        <f>TEXT(83244, "[$-0E0000]yyyy-mm-dd")</f>
        <v/>
      </c>
    </row>
    <row r="83246">
      <c r="A83246" s="1" t="n">
        <v>83245</v>
      </c>
      <c r="B83246">
        <f>TEXT(83245, "[$-0E0000]yyyy-mm-dd")</f>
        <v/>
      </c>
    </row>
    <row r="83247">
      <c r="A83247" s="1" t="n">
        <v>83246</v>
      </c>
      <c r="B83247">
        <f>TEXT(83246, "[$-0E0000]yyyy-mm-dd")</f>
        <v/>
      </c>
    </row>
    <row r="83248">
      <c r="A83248" s="1" t="n">
        <v>83247</v>
      </c>
      <c r="B83248">
        <f>TEXT(83247, "[$-0E0000]yyyy-mm-dd")</f>
        <v/>
      </c>
    </row>
    <row r="83249">
      <c r="A83249" s="1" t="n">
        <v>83248</v>
      </c>
      <c r="B83249">
        <f>TEXT(83248, "[$-0E0000]yyyy-mm-dd")</f>
        <v/>
      </c>
    </row>
    <row r="83250">
      <c r="A83250" s="1" t="n">
        <v>83249</v>
      </c>
      <c r="B83250">
        <f>TEXT(83249, "[$-0E0000]yyyy-mm-dd")</f>
        <v/>
      </c>
    </row>
    <row r="83251">
      <c r="A83251" s="1" t="n">
        <v>83250</v>
      </c>
      <c r="B83251">
        <f>TEXT(83250, "[$-0E0000]yyyy-mm-dd")</f>
        <v/>
      </c>
    </row>
    <row r="83252">
      <c r="A83252" s="1" t="n">
        <v>83251</v>
      </c>
      <c r="B83252">
        <f>TEXT(83251, "[$-0E0000]yyyy-mm-dd")</f>
        <v/>
      </c>
    </row>
    <row r="83253">
      <c r="A83253" s="1" t="n">
        <v>83252</v>
      </c>
      <c r="B83253">
        <f>TEXT(83252, "[$-0E0000]yyyy-mm-dd")</f>
        <v/>
      </c>
    </row>
    <row r="83254">
      <c r="A83254" s="1" t="n">
        <v>83253</v>
      </c>
      <c r="B83254">
        <f>TEXT(83253, "[$-0E0000]yyyy-mm-dd")</f>
        <v/>
      </c>
    </row>
    <row r="83255">
      <c r="A83255" s="1" t="n">
        <v>83254</v>
      </c>
      <c r="B83255">
        <f>TEXT(83254, "[$-0E0000]yyyy-mm-dd")</f>
        <v/>
      </c>
    </row>
    <row r="83256">
      <c r="A83256" s="1" t="n">
        <v>83255</v>
      </c>
      <c r="B83256">
        <f>TEXT(83255, "[$-0E0000]yyyy-mm-dd")</f>
        <v/>
      </c>
    </row>
    <row r="83257">
      <c r="A83257" s="1" t="n">
        <v>83256</v>
      </c>
      <c r="B83257">
        <f>TEXT(83256, "[$-0E0000]yyyy-mm-dd")</f>
        <v/>
      </c>
    </row>
    <row r="83258">
      <c r="A83258" s="1" t="n">
        <v>83257</v>
      </c>
      <c r="B83258">
        <f>TEXT(83257, "[$-0E0000]yyyy-mm-dd")</f>
        <v/>
      </c>
    </row>
    <row r="83259">
      <c r="A83259" s="1" t="n">
        <v>83258</v>
      </c>
      <c r="B83259">
        <f>TEXT(83258, "[$-0E0000]yyyy-mm-dd")</f>
        <v/>
      </c>
    </row>
    <row r="83260">
      <c r="A83260" s="1" t="n">
        <v>83259</v>
      </c>
      <c r="B83260">
        <f>TEXT(83259, "[$-0E0000]yyyy-mm-dd")</f>
        <v/>
      </c>
    </row>
    <row r="83261">
      <c r="A83261" s="1" t="n">
        <v>83260</v>
      </c>
      <c r="B83261">
        <f>TEXT(83260, "[$-0E0000]yyyy-mm-dd")</f>
        <v/>
      </c>
    </row>
    <row r="83262">
      <c r="A83262" s="1" t="n">
        <v>83261</v>
      </c>
      <c r="B83262">
        <f>TEXT(83261, "[$-0E0000]yyyy-mm-dd")</f>
        <v/>
      </c>
    </row>
    <row r="83263">
      <c r="A83263" s="1" t="n">
        <v>83262</v>
      </c>
      <c r="B83263">
        <f>TEXT(83262, "[$-0E0000]yyyy-mm-dd")</f>
        <v/>
      </c>
    </row>
    <row r="83264">
      <c r="A83264" s="1" t="n">
        <v>83263</v>
      </c>
      <c r="B83264">
        <f>TEXT(83263, "[$-0E0000]yyyy-mm-dd")</f>
        <v/>
      </c>
    </row>
    <row r="83265">
      <c r="A83265" s="1" t="n">
        <v>83264</v>
      </c>
      <c r="B83265">
        <f>TEXT(83264, "[$-0E0000]yyyy-mm-dd")</f>
        <v/>
      </c>
    </row>
    <row r="83266">
      <c r="A83266" s="1" t="n">
        <v>83265</v>
      </c>
      <c r="B83266">
        <f>TEXT(83265, "[$-0E0000]yyyy-mm-dd")</f>
        <v/>
      </c>
    </row>
    <row r="83267">
      <c r="A83267" s="1" t="n">
        <v>83266</v>
      </c>
      <c r="B83267">
        <f>TEXT(83266, "[$-0E0000]yyyy-mm-dd")</f>
        <v/>
      </c>
    </row>
    <row r="83268">
      <c r="A83268" s="1" t="n">
        <v>83267</v>
      </c>
      <c r="B83268">
        <f>TEXT(83267, "[$-0E0000]yyyy-mm-dd")</f>
        <v/>
      </c>
    </row>
    <row r="83269">
      <c r="A83269" s="1" t="n">
        <v>83268</v>
      </c>
      <c r="B83269">
        <f>TEXT(83268, "[$-0E0000]yyyy-mm-dd")</f>
        <v/>
      </c>
    </row>
    <row r="83270">
      <c r="A83270" s="1" t="n">
        <v>83269</v>
      </c>
      <c r="B83270">
        <f>TEXT(83269, "[$-0E0000]yyyy-mm-dd")</f>
        <v/>
      </c>
    </row>
    <row r="83271">
      <c r="A83271" s="1" t="n">
        <v>83270</v>
      </c>
      <c r="B83271">
        <f>TEXT(83270, "[$-0E0000]yyyy-mm-dd")</f>
        <v/>
      </c>
    </row>
    <row r="83272">
      <c r="A83272" s="1" t="n">
        <v>83271</v>
      </c>
      <c r="B83272">
        <f>TEXT(83271, "[$-0E0000]yyyy-mm-dd")</f>
        <v/>
      </c>
    </row>
    <row r="83273">
      <c r="A83273" s="1" t="n">
        <v>83272</v>
      </c>
      <c r="B83273">
        <f>TEXT(83272, "[$-0E0000]yyyy-mm-dd")</f>
        <v/>
      </c>
    </row>
    <row r="83274">
      <c r="A83274" s="1" t="n">
        <v>83273</v>
      </c>
      <c r="B83274">
        <f>TEXT(83273, "[$-0E0000]yyyy-mm-dd")</f>
        <v/>
      </c>
    </row>
    <row r="83275">
      <c r="A83275" s="1" t="n">
        <v>83274</v>
      </c>
      <c r="B83275">
        <f>TEXT(83274, "[$-0E0000]yyyy-mm-dd")</f>
        <v/>
      </c>
    </row>
    <row r="83276">
      <c r="A83276" s="1" t="n">
        <v>83275</v>
      </c>
      <c r="B83276">
        <f>TEXT(83275, "[$-0E0000]yyyy-mm-dd")</f>
        <v/>
      </c>
    </row>
    <row r="83277">
      <c r="A83277" s="1" t="n">
        <v>83276</v>
      </c>
      <c r="B83277">
        <f>TEXT(83276, "[$-0E0000]yyyy-mm-dd")</f>
        <v/>
      </c>
    </row>
    <row r="83278">
      <c r="A83278" s="1" t="n">
        <v>83277</v>
      </c>
      <c r="B83278">
        <f>TEXT(83277, "[$-0E0000]yyyy-mm-dd")</f>
        <v/>
      </c>
    </row>
    <row r="83279">
      <c r="A83279" s="1" t="n">
        <v>83278</v>
      </c>
      <c r="B83279">
        <f>TEXT(83278, "[$-0E0000]yyyy-mm-dd")</f>
        <v/>
      </c>
    </row>
    <row r="83280">
      <c r="A83280" s="1" t="n">
        <v>83279</v>
      </c>
      <c r="B83280">
        <f>TEXT(83279, "[$-0E0000]yyyy-mm-dd")</f>
        <v/>
      </c>
    </row>
    <row r="83281">
      <c r="A83281" s="1" t="n">
        <v>83280</v>
      </c>
      <c r="B83281">
        <f>TEXT(83280, "[$-0E0000]yyyy-mm-dd")</f>
        <v/>
      </c>
    </row>
    <row r="83282">
      <c r="A83282" s="1" t="n">
        <v>83281</v>
      </c>
      <c r="B83282">
        <f>TEXT(83281, "[$-0E0000]yyyy-mm-dd")</f>
        <v/>
      </c>
    </row>
    <row r="83283">
      <c r="A83283" s="1" t="n">
        <v>83282</v>
      </c>
      <c r="B83283">
        <f>TEXT(83282, "[$-0E0000]yyyy-mm-dd")</f>
        <v/>
      </c>
    </row>
    <row r="83284">
      <c r="A83284" s="1" t="n">
        <v>83283</v>
      </c>
      <c r="B83284">
        <f>TEXT(83283, "[$-0E0000]yyyy-mm-dd")</f>
        <v/>
      </c>
    </row>
    <row r="83285">
      <c r="A83285" s="1" t="n">
        <v>83284</v>
      </c>
      <c r="B83285">
        <f>TEXT(83284, "[$-0E0000]yyyy-mm-dd")</f>
        <v/>
      </c>
    </row>
    <row r="83286">
      <c r="A83286" s="1" t="n">
        <v>83285</v>
      </c>
      <c r="B83286">
        <f>TEXT(83285, "[$-0E0000]yyyy-mm-dd")</f>
        <v/>
      </c>
    </row>
    <row r="83287">
      <c r="A83287" s="1" t="n">
        <v>83286</v>
      </c>
      <c r="B83287">
        <f>TEXT(83286, "[$-0E0000]yyyy-mm-dd")</f>
        <v/>
      </c>
    </row>
    <row r="83288">
      <c r="A83288" s="1" t="n">
        <v>83287</v>
      </c>
      <c r="B83288">
        <f>TEXT(83287, "[$-0E0000]yyyy-mm-dd")</f>
        <v/>
      </c>
    </row>
    <row r="83289">
      <c r="A83289" s="1" t="n">
        <v>83288</v>
      </c>
      <c r="B83289">
        <f>TEXT(83288, "[$-0E0000]yyyy-mm-dd")</f>
        <v/>
      </c>
    </row>
    <row r="83290">
      <c r="A83290" s="1" t="n">
        <v>83289</v>
      </c>
      <c r="B83290">
        <f>TEXT(83289, "[$-0E0000]yyyy-mm-dd")</f>
        <v/>
      </c>
    </row>
    <row r="83291">
      <c r="A83291" s="1" t="n">
        <v>83290</v>
      </c>
      <c r="B83291">
        <f>TEXT(83290, "[$-0E0000]yyyy-mm-dd")</f>
        <v/>
      </c>
    </row>
    <row r="83292">
      <c r="A83292" s="1" t="n">
        <v>83291</v>
      </c>
      <c r="B83292">
        <f>TEXT(83291, "[$-0E0000]yyyy-mm-dd")</f>
        <v/>
      </c>
    </row>
    <row r="83293">
      <c r="A83293" s="1" t="n">
        <v>83292</v>
      </c>
      <c r="B83293">
        <f>TEXT(83292, "[$-0E0000]yyyy-mm-dd")</f>
        <v/>
      </c>
    </row>
    <row r="83294">
      <c r="A83294" s="1" t="n">
        <v>83293</v>
      </c>
      <c r="B83294">
        <f>TEXT(83293, "[$-0E0000]yyyy-mm-dd")</f>
        <v/>
      </c>
    </row>
    <row r="83295">
      <c r="A83295" s="1" t="n">
        <v>83294</v>
      </c>
      <c r="B83295">
        <f>TEXT(83294, "[$-0E0000]yyyy-mm-dd")</f>
        <v/>
      </c>
    </row>
    <row r="83296">
      <c r="A83296" s="1" t="n">
        <v>83295</v>
      </c>
      <c r="B83296">
        <f>TEXT(83295, "[$-0E0000]yyyy-mm-dd")</f>
        <v/>
      </c>
    </row>
    <row r="83297">
      <c r="A83297" s="1" t="n">
        <v>83296</v>
      </c>
      <c r="B83297">
        <f>TEXT(83296, "[$-0E0000]yyyy-mm-dd")</f>
        <v/>
      </c>
    </row>
    <row r="83298">
      <c r="A83298" s="1" t="n">
        <v>83297</v>
      </c>
      <c r="B83298">
        <f>TEXT(83297, "[$-0E0000]yyyy-mm-dd")</f>
        <v/>
      </c>
    </row>
    <row r="83299">
      <c r="A83299" s="1" t="n">
        <v>83298</v>
      </c>
      <c r="B83299">
        <f>TEXT(83298, "[$-0E0000]yyyy-mm-dd")</f>
        <v/>
      </c>
    </row>
    <row r="83300">
      <c r="A83300" s="1" t="n">
        <v>83299</v>
      </c>
      <c r="B83300">
        <f>TEXT(83299, "[$-0E0000]yyyy-mm-dd")</f>
        <v/>
      </c>
    </row>
    <row r="83301">
      <c r="A83301" s="1" t="n">
        <v>83300</v>
      </c>
      <c r="B83301">
        <f>TEXT(83300, "[$-0E0000]yyyy-mm-dd")</f>
        <v/>
      </c>
    </row>
    <row r="83302">
      <c r="A83302" s="1" t="n">
        <v>83301</v>
      </c>
      <c r="B83302">
        <f>TEXT(83301, "[$-0E0000]yyyy-mm-dd")</f>
        <v/>
      </c>
    </row>
    <row r="83303">
      <c r="A83303" s="1" t="n">
        <v>83302</v>
      </c>
      <c r="B83303">
        <f>TEXT(83302, "[$-0E0000]yyyy-mm-dd")</f>
        <v/>
      </c>
    </row>
    <row r="83304">
      <c r="A83304" s="1" t="n">
        <v>83303</v>
      </c>
      <c r="B83304">
        <f>TEXT(83303, "[$-0E0000]yyyy-mm-dd")</f>
        <v/>
      </c>
    </row>
    <row r="83305">
      <c r="A83305" s="1" t="n">
        <v>83304</v>
      </c>
      <c r="B83305">
        <f>TEXT(83304, "[$-0E0000]yyyy-mm-dd")</f>
        <v/>
      </c>
    </row>
    <row r="83306">
      <c r="A83306" s="1" t="n">
        <v>83305</v>
      </c>
      <c r="B83306">
        <f>TEXT(83305, "[$-0E0000]yyyy-mm-dd")</f>
        <v/>
      </c>
    </row>
    <row r="83307">
      <c r="A83307" s="1" t="n">
        <v>83306</v>
      </c>
      <c r="B83307">
        <f>TEXT(83306, "[$-0E0000]yyyy-mm-dd")</f>
        <v/>
      </c>
    </row>
    <row r="83308">
      <c r="A83308" s="1" t="n">
        <v>83307</v>
      </c>
      <c r="B83308">
        <f>TEXT(83307, "[$-0E0000]yyyy-mm-dd")</f>
        <v/>
      </c>
    </row>
    <row r="83309">
      <c r="A83309" s="1" t="n">
        <v>83308</v>
      </c>
      <c r="B83309">
        <f>TEXT(83308, "[$-0E0000]yyyy-mm-dd")</f>
        <v/>
      </c>
    </row>
    <row r="83310">
      <c r="A83310" s="1" t="n">
        <v>83309</v>
      </c>
      <c r="B83310">
        <f>TEXT(83309, "[$-0E0000]yyyy-mm-dd")</f>
        <v/>
      </c>
    </row>
    <row r="83311">
      <c r="A83311" s="1" t="n">
        <v>83310</v>
      </c>
      <c r="B83311">
        <f>TEXT(83310, "[$-0E0000]yyyy-mm-dd")</f>
        <v/>
      </c>
    </row>
    <row r="83312">
      <c r="A83312" s="1" t="n">
        <v>83311</v>
      </c>
      <c r="B83312">
        <f>TEXT(83311, "[$-0E0000]yyyy-mm-dd")</f>
        <v/>
      </c>
    </row>
    <row r="83313">
      <c r="A83313" s="1" t="n">
        <v>83312</v>
      </c>
      <c r="B83313">
        <f>TEXT(83312, "[$-0E0000]yyyy-mm-dd")</f>
        <v/>
      </c>
    </row>
    <row r="83314">
      <c r="A83314" s="1" t="n">
        <v>83313</v>
      </c>
      <c r="B83314">
        <f>TEXT(83313, "[$-0E0000]yyyy-mm-dd")</f>
        <v/>
      </c>
    </row>
    <row r="83315">
      <c r="A83315" s="1" t="n">
        <v>83314</v>
      </c>
      <c r="B83315">
        <f>TEXT(83314, "[$-0E0000]yyyy-mm-dd")</f>
        <v/>
      </c>
    </row>
    <row r="83316">
      <c r="A83316" s="1" t="n">
        <v>83315</v>
      </c>
      <c r="B83316">
        <f>TEXT(83315, "[$-0E0000]yyyy-mm-dd")</f>
        <v/>
      </c>
    </row>
    <row r="83317">
      <c r="A83317" s="1" t="n">
        <v>83316</v>
      </c>
      <c r="B83317">
        <f>TEXT(83316, "[$-0E0000]yyyy-mm-dd")</f>
        <v/>
      </c>
    </row>
    <row r="83318">
      <c r="A83318" s="1" t="n">
        <v>83317</v>
      </c>
      <c r="B83318">
        <f>TEXT(83317, "[$-0E0000]yyyy-mm-dd")</f>
        <v/>
      </c>
    </row>
    <row r="83319">
      <c r="A83319" s="1" t="n">
        <v>83318</v>
      </c>
      <c r="B83319">
        <f>TEXT(83318, "[$-0E0000]yyyy-mm-dd")</f>
        <v/>
      </c>
    </row>
    <row r="83320">
      <c r="A83320" s="1" t="n">
        <v>83319</v>
      </c>
      <c r="B83320">
        <f>TEXT(83319, "[$-0E0000]yyyy-mm-dd")</f>
        <v/>
      </c>
    </row>
    <row r="83321">
      <c r="A83321" s="1" t="n">
        <v>83320</v>
      </c>
      <c r="B83321">
        <f>TEXT(83320, "[$-0E0000]yyyy-mm-dd")</f>
        <v/>
      </c>
    </row>
    <row r="83322">
      <c r="A83322" s="1" t="n">
        <v>83321</v>
      </c>
      <c r="B83322">
        <f>TEXT(83321, "[$-0E0000]yyyy-mm-dd")</f>
        <v/>
      </c>
    </row>
    <row r="83323">
      <c r="A83323" s="1" t="n">
        <v>83322</v>
      </c>
      <c r="B83323">
        <f>TEXT(83322, "[$-0E0000]yyyy-mm-dd")</f>
        <v/>
      </c>
    </row>
    <row r="83324">
      <c r="A83324" s="1" t="n">
        <v>83323</v>
      </c>
      <c r="B83324">
        <f>TEXT(83323, "[$-0E0000]yyyy-mm-dd")</f>
        <v/>
      </c>
    </row>
    <row r="83325">
      <c r="A83325" s="1" t="n">
        <v>83324</v>
      </c>
      <c r="B83325">
        <f>TEXT(83324, "[$-0E0000]yyyy-mm-dd")</f>
        <v/>
      </c>
    </row>
    <row r="83326">
      <c r="A83326" s="1" t="n">
        <v>83325</v>
      </c>
      <c r="B83326">
        <f>TEXT(83325, "[$-0E0000]yyyy-mm-dd")</f>
        <v/>
      </c>
    </row>
    <row r="83327">
      <c r="A83327" s="1" t="n">
        <v>83326</v>
      </c>
      <c r="B83327">
        <f>TEXT(83326, "[$-0E0000]yyyy-mm-dd")</f>
        <v/>
      </c>
    </row>
    <row r="83328">
      <c r="A83328" s="1" t="n">
        <v>83327</v>
      </c>
      <c r="B83328">
        <f>TEXT(83327, "[$-0E0000]yyyy-mm-dd")</f>
        <v/>
      </c>
    </row>
    <row r="83329">
      <c r="A83329" s="1" t="n">
        <v>83328</v>
      </c>
      <c r="B83329">
        <f>TEXT(83328, "[$-0E0000]yyyy-mm-dd")</f>
        <v/>
      </c>
    </row>
    <row r="83330">
      <c r="A83330" s="1" t="n">
        <v>83329</v>
      </c>
      <c r="B83330">
        <f>TEXT(83329, "[$-0E0000]yyyy-mm-dd")</f>
        <v/>
      </c>
    </row>
    <row r="83331">
      <c r="A83331" s="1" t="n">
        <v>83330</v>
      </c>
      <c r="B83331">
        <f>TEXT(83330, "[$-0E0000]yyyy-mm-dd")</f>
        <v/>
      </c>
    </row>
    <row r="83332">
      <c r="A83332" s="1" t="n">
        <v>83331</v>
      </c>
      <c r="B83332">
        <f>TEXT(83331, "[$-0E0000]yyyy-mm-dd")</f>
        <v/>
      </c>
    </row>
    <row r="83333">
      <c r="A83333" s="1" t="n">
        <v>83332</v>
      </c>
      <c r="B83333">
        <f>TEXT(83332, "[$-0E0000]yyyy-mm-dd")</f>
        <v/>
      </c>
    </row>
    <row r="83334">
      <c r="A83334" s="1" t="n">
        <v>83333</v>
      </c>
      <c r="B83334">
        <f>TEXT(83333, "[$-0E0000]yyyy-mm-dd")</f>
        <v/>
      </c>
    </row>
    <row r="83335">
      <c r="A83335" s="1" t="n">
        <v>83334</v>
      </c>
      <c r="B83335">
        <f>TEXT(83334, "[$-0E0000]yyyy-mm-dd")</f>
        <v/>
      </c>
    </row>
    <row r="83336">
      <c r="A83336" s="1" t="n">
        <v>83335</v>
      </c>
      <c r="B83336">
        <f>TEXT(83335, "[$-0E0000]yyyy-mm-dd")</f>
        <v/>
      </c>
    </row>
    <row r="83337">
      <c r="A83337" s="1" t="n">
        <v>83336</v>
      </c>
      <c r="B83337">
        <f>TEXT(83336, "[$-0E0000]yyyy-mm-dd")</f>
        <v/>
      </c>
    </row>
    <row r="83338">
      <c r="A83338" s="1" t="n">
        <v>83337</v>
      </c>
      <c r="B83338">
        <f>TEXT(83337, "[$-0E0000]yyyy-mm-dd")</f>
        <v/>
      </c>
    </row>
    <row r="83339">
      <c r="A83339" s="1" t="n">
        <v>83338</v>
      </c>
      <c r="B83339">
        <f>TEXT(83338, "[$-0E0000]yyyy-mm-dd")</f>
        <v/>
      </c>
    </row>
    <row r="83340">
      <c r="A83340" s="1" t="n">
        <v>83339</v>
      </c>
      <c r="B83340">
        <f>TEXT(83339, "[$-0E0000]yyyy-mm-dd")</f>
        <v/>
      </c>
    </row>
    <row r="83341">
      <c r="A83341" s="1" t="n">
        <v>83340</v>
      </c>
      <c r="B83341">
        <f>TEXT(83340, "[$-0E0000]yyyy-mm-dd")</f>
        <v/>
      </c>
    </row>
    <row r="83342">
      <c r="A83342" s="1" t="n">
        <v>83341</v>
      </c>
      <c r="B83342">
        <f>TEXT(83341, "[$-0E0000]yyyy-mm-dd")</f>
        <v/>
      </c>
    </row>
    <row r="83343">
      <c r="A83343" s="1" t="n">
        <v>83342</v>
      </c>
      <c r="B83343">
        <f>TEXT(83342, "[$-0E0000]yyyy-mm-dd")</f>
        <v/>
      </c>
    </row>
    <row r="83344">
      <c r="A83344" s="1" t="n">
        <v>83343</v>
      </c>
      <c r="B83344">
        <f>TEXT(83343, "[$-0E0000]yyyy-mm-dd")</f>
        <v/>
      </c>
    </row>
    <row r="83345">
      <c r="A83345" s="1" t="n">
        <v>83344</v>
      </c>
      <c r="B83345">
        <f>TEXT(83344, "[$-0E0000]yyyy-mm-dd")</f>
        <v/>
      </c>
    </row>
    <row r="83346">
      <c r="A83346" s="1" t="n">
        <v>83345</v>
      </c>
      <c r="B83346">
        <f>TEXT(83345, "[$-0E0000]yyyy-mm-dd")</f>
        <v/>
      </c>
    </row>
    <row r="83347">
      <c r="A83347" s="1" t="n">
        <v>83346</v>
      </c>
      <c r="B83347">
        <f>TEXT(83346, "[$-0E0000]yyyy-mm-dd")</f>
        <v/>
      </c>
    </row>
    <row r="83348">
      <c r="A83348" s="1" t="n">
        <v>83347</v>
      </c>
      <c r="B83348">
        <f>TEXT(83347, "[$-0E0000]yyyy-mm-dd")</f>
        <v/>
      </c>
    </row>
    <row r="83349">
      <c r="A83349" s="1" t="n">
        <v>83348</v>
      </c>
      <c r="B83349">
        <f>TEXT(83348, "[$-0E0000]yyyy-mm-dd")</f>
        <v/>
      </c>
    </row>
    <row r="83350">
      <c r="A83350" s="1" t="n">
        <v>83349</v>
      </c>
      <c r="B83350">
        <f>TEXT(83349, "[$-0E0000]yyyy-mm-dd")</f>
        <v/>
      </c>
    </row>
    <row r="83351">
      <c r="A83351" s="1" t="n">
        <v>83350</v>
      </c>
      <c r="B83351">
        <f>TEXT(83350, "[$-0E0000]yyyy-mm-dd")</f>
        <v/>
      </c>
    </row>
    <row r="83352">
      <c r="A83352" s="1" t="n">
        <v>83351</v>
      </c>
      <c r="B83352">
        <f>TEXT(83351, "[$-0E0000]yyyy-mm-dd")</f>
        <v/>
      </c>
    </row>
    <row r="83353">
      <c r="A83353" s="1" t="n">
        <v>83352</v>
      </c>
      <c r="B83353">
        <f>TEXT(83352, "[$-0E0000]yyyy-mm-dd")</f>
        <v/>
      </c>
    </row>
    <row r="83354">
      <c r="A83354" s="1" t="n">
        <v>83353</v>
      </c>
      <c r="B83354">
        <f>TEXT(83353, "[$-0E0000]yyyy-mm-dd")</f>
        <v/>
      </c>
    </row>
    <row r="83355">
      <c r="A83355" s="1" t="n">
        <v>83354</v>
      </c>
      <c r="B83355">
        <f>TEXT(83354, "[$-0E0000]yyyy-mm-dd")</f>
        <v/>
      </c>
    </row>
    <row r="83356">
      <c r="A83356" s="1" t="n">
        <v>83355</v>
      </c>
      <c r="B83356">
        <f>TEXT(83355, "[$-0E0000]yyyy-mm-dd")</f>
        <v/>
      </c>
    </row>
    <row r="83357">
      <c r="A83357" s="1" t="n">
        <v>83356</v>
      </c>
      <c r="B83357">
        <f>TEXT(83356, "[$-0E0000]yyyy-mm-dd")</f>
        <v/>
      </c>
    </row>
    <row r="83358">
      <c r="A83358" s="1" t="n">
        <v>83357</v>
      </c>
      <c r="B83358">
        <f>TEXT(83357, "[$-0E0000]yyyy-mm-dd")</f>
        <v/>
      </c>
    </row>
    <row r="83359">
      <c r="A83359" s="1" t="n">
        <v>83358</v>
      </c>
      <c r="B83359">
        <f>TEXT(83358, "[$-0E0000]yyyy-mm-dd")</f>
        <v/>
      </c>
    </row>
    <row r="83360">
      <c r="A83360" s="1" t="n">
        <v>83359</v>
      </c>
      <c r="B83360">
        <f>TEXT(83359, "[$-0E0000]yyyy-mm-dd")</f>
        <v/>
      </c>
    </row>
    <row r="83361">
      <c r="A83361" s="1" t="n">
        <v>83360</v>
      </c>
      <c r="B83361">
        <f>TEXT(83360, "[$-0E0000]yyyy-mm-dd")</f>
        <v/>
      </c>
    </row>
    <row r="83362">
      <c r="A83362" s="1" t="n">
        <v>83361</v>
      </c>
      <c r="B83362">
        <f>TEXT(83361, "[$-0E0000]yyyy-mm-dd")</f>
        <v/>
      </c>
    </row>
    <row r="83363">
      <c r="A83363" s="1" t="n">
        <v>83362</v>
      </c>
      <c r="B83363">
        <f>TEXT(83362, "[$-0E0000]yyyy-mm-dd")</f>
        <v/>
      </c>
    </row>
    <row r="83364">
      <c r="A83364" s="1" t="n">
        <v>83363</v>
      </c>
      <c r="B83364">
        <f>TEXT(83363, "[$-0E0000]yyyy-mm-dd")</f>
        <v/>
      </c>
    </row>
    <row r="83365">
      <c r="A83365" s="1" t="n">
        <v>83364</v>
      </c>
      <c r="B83365">
        <f>TEXT(83364, "[$-0E0000]yyyy-mm-dd")</f>
        <v/>
      </c>
    </row>
    <row r="83366">
      <c r="A83366" s="1" t="n">
        <v>83365</v>
      </c>
      <c r="B83366">
        <f>TEXT(83365, "[$-0E0000]yyyy-mm-dd")</f>
        <v/>
      </c>
    </row>
    <row r="83367">
      <c r="A83367" s="1" t="n">
        <v>83366</v>
      </c>
      <c r="B83367">
        <f>TEXT(83366, "[$-0E0000]yyyy-mm-dd")</f>
        <v/>
      </c>
    </row>
    <row r="83368">
      <c r="A83368" s="1" t="n">
        <v>83367</v>
      </c>
      <c r="B83368">
        <f>TEXT(83367, "[$-0E0000]yyyy-mm-dd")</f>
        <v/>
      </c>
    </row>
    <row r="83369">
      <c r="A83369" s="1" t="n">
        <v>83368</v>
      </c>
      <c r="B83369">
        <f>TEXT(83368, "[$-0E0000]yyyy-mm-dd")</f>
        <v/>
      </c>
    </row>
    <row r="83370">
      <c r="A83370" s="1" t="n">
        <v>83369</v>
      </c>
      <c r="B83370">
        <f>TEXT(83369, "[$-0E0000]yyyy-mm-dd")</f>
        <v/>
      </c>
    </row>
    <row r="83371">
      <c r="A83371" s="1" t="n">
        <v>83370</v>
      </c>
      <c r="B83371">
        <f>TEXT(83370, "[$-0E0000]yyyy-mm-dd")</f>
        <v/>
      </c>
    </row>
    <row r="83372">
      <c r="A83372" s="1" t="n">
        <v>83371</v>
      </c>
      <c r="B83372">
        <f>TEXT(83371, "[$-0E0000]yyyy-mm-dd")</f>
        <v/>
      </c>
    </row>
    <row r="83373">
      <c r="A83373" s="1" t="n">
        <v>83372</v>
      </c>
      <c r="B83373">
        <f>TEXT(83372, "[$-0E0000]yyyy-mm-dd")</f>
        <v/>
      </c>
    </row>
    <row r="83374">
      <c r="A83374" s="1" t="n">
        <v>83373</v>
      </c>
      <c r="B83374">
        <f>TEXT(83373, "[$-0E0000]yyyy-mm-dd")</f>
        <v/>
      </c>
    </row>
    <row r="83375">
      <c r="A83375" s="1" t="n">
        <v>83374</v>
      </c>
      <c r="B83375">
        <f>TEXT(83374, "[$-0E0000]yyyy-mm-dd")</f>
        <v/>
      </c>
    </row>
    <row r="83376">
      <c r="A83376" s="1" t="n">
        <v>83375</v>
      </c>
      <c r="B83376">
        <f>TEXT(83375, "[$-0E0000]yyyy-mm-dd")</f>
        <v/>
      </c>
    </row>
    <row r="83377">
      <c r="A83377" s="1" t="n">
        <v>83376</v>
      </c>
      <c r="B83377">
        <f>TEXT(83376, "[$-0E0000]yyyy-mm-dd")</f>
        <v/>
      </c>
    </row>
    <row r="83378">
      <c r="A83378" s="1" t="n">
        <v>83377</v>
      </c>
      <c r="B83378">
        <f>TEXT(83377, "[$-0E0000]yyyy-mm-dd")</f>
        <v/>
      </c>
    </row>
    <row r="83379">
      <c r="A83379" s="1" t="n">
        <v>83378</v>
      </c>
      <c r="B83379">
        <f>TEXT(83378, "[$-0E0000]yyyy-mm-dd")</f>
        <v/>
      </c>
    </row>
    <row r="83380">
      <c r="A83380" s="1" t="n">
        <v>83379</v>
      </c>
      <c r="B83380">
        <f>TEXT(83379, "[$-0E0000]yyyy-mm-dd")</f>
        <v/>
      </c>
    </row>
    <row r="83381">
      <c r="A83381" s="1" t="n">
        <v>83380</v>
      </c>
      <c r="B83381">
        <f>TEXT(83380, "[$-0E0000]yyyy-mm-dd")</f>
        <v/>
      </c>
    </row>
    <row r="83382">
      <c r="A83382" s="1" t="n">
        <v>83381</v>
      </c>
      <c r="B83382">
        <f>TEXT(83381, "[$-0E0000]yyyy-mm-dd")</f>
        <v/>
      </c>
    </row>
    <row r="83383">
      <c r="A83383" s="1" t="n">
        <v>83382</v>
      </c>
      <c r="B83383">
        <f>TEXT(83382, "[$-0E0000]yyyy-mm-dd")</f>
        <v/>
      </c>
    </row>
    <row r="83384">
      <c r="A83384" s="1" t="n">
        <v>83383</v>
      </c>
      <c r="B83384">
        <f>TEXT(83383, "[$-0E0000]yyyy-mm-dd")</f>
        <v/>
      </c>
    </row>
    <row r="83385">
      <c r="A83385" s="1" t="n">
        <v>83384</v>
      </c>
      <c r="B83385">
        <f>TEXT(83384, "[$-0E0000]yyyy-mm-dd")</f>
        <v/>
      </c>
    </row>
    <row r="83386">
      <c r="A83386" s="1" t="n">
        <v>83385</v>
      </c>
      <c r="B83386">
        <f>TEXT(83385, "[$-0E0000]yyyy-mm-dd")</f>
        <v/>
      </c>
    </row>
    <row r="83387">
      <c r="A83387" s="1" t="n">
        <v>83386</v>
      </c>
      <c r="B83387">
        <f>TEXT(83386, "[$-0E0000]yyyy-mm-dd")</f>
        <v/>
      </c>
    </row>
    <row r="83388">
      <c r="A83388" s="1" t="n">
        <v>83387</v>
      </c>
      <c r="B83388">
        <f>TEXT(83387, "[$-0E0000]yyyy-mm-dd")</f>
        <v/>
      </c>
    </row>
    <row r="83389">
      <c r="A83389" s="1" t="n">
        <v>83388</v>
      </c>
      <c r="B83389">
        <f>TEXT(83388, "[$-0E0000]yyyy-mm-dd")</f>
        <v/>
      </c>
    </row>
    <row r="83390">
      <c r="A83390" s="1" t="n">
        <v>83389</v>
      </c>
      <c r="B83390">
        <f>TEXT(83389, "[$-0E0000]yyyy-mm-dd")</f>
        <v/>
      </c>
    </row>
    <row r="83391">
      <c r="A83391" s="1" t="n">
        <v>83390</v>
      </c>
      <c r="B83391">
        <f>TEXT(83390, "[$-0E0000]yyyy-mm-dd")</f>
        <v/>
      </c>
    </row>
    <row r="83392">
      <c r="A83392" s="1" t="n">
        <v>83391</v>
      </c>
      <c r="B83392">
        <f>TEXT(83391, "[$-0E0000]yyyy-mm-dd")</f>
        <v/>
      </c>
    </row>
    <row r="83393">
      <c r="A83393" s="1" t="n">
        <v>83392</v>
      </c>
      <c r="B83393">
        <f>TEXT(83392, "[$-0E0000]yyyy-mm-dd")</f>
        <v/>
      </c>
    </row>
    <row r="83394">
      <c r="A83394" s="1" t="n">
        <v>83393</v>
      </c>
      <c r="B83394">
        <f>TEXT(83393, "[$-0E0000]yyyy-mm-dd")</f>
        <v/>
      </c>
    </row>
    <row r="83395">
      <c r="A83395" s="1" t="n">
        <v>83394</v>
      </c>
      <c r="B83395">
        <f>TEXT(83394, "[$-0E0000]yyyy-mm-dd")</f>
        <v/>
      </c>
    </row>
    <row r="83396">
      <c r="A83396" s="1" t="n">
        <v>83395</v>
      </c>
      <c r="B83396">
        <f>TEXT(83395, "[$-0E0000]yyyy-mm-dd")</f>
        <v/>
      </c>
    </row>
    <row r="83397">
      <c r="A83397" s="1" t="n">
        <v>83396</v>
      </c>
      <c r="B83397">
        <f>TEXT(83396, "[$-0E0000]yyyy-mm-dd")</f>
        <v/>
      </c>
    </row>
    <row r="83398">
      <c r="A83398" s="1" t="n">
        <v>83397</v>
      </c>
      <c r="B83398">
        <f>TEXT(83397, "[$-0E0000]yyyy-mm-dd")</f>
        <v/>
      </c>
    </row>
    <row r="83399">
      <c r="A83399" s="1" t="n">
        <v>83398</v>
      </c>
      <c r="B83399">
        <f>TEXT(83398, "[$-0E0000]yyyy-mm-dd")</f>
        <v/>
      </c>
    </row>
    <row r="83400">
      <c r="A83400" s="1" t="n">
        <v>83399</v>
      </c>
      <c r="B83400">
        <f>TEXT(83399, "[$-0E0000]yyyy-mm-dd")</f>
        <v/>
      </c>
    </row>
    <row r="83401">
      <c r="A83401" s="1" t="n">
        <v>83400</v>
      </c>
      <c r="B83401">
        <f>TEXT(83400, "[$-0E0000]yyyy-mm-dd")</f>
        <v/>
      </c>
    </row>
    <row r="83402">
      <c r="A83402" s="1" t="n">
        <v>83401</v>
      </c>
      <c r="B83402">
        <f>TEXT(83401, "[$-0E0000]yyyy-mm-dd")</f>
        <v/>
      </c>
    </row>
    <row r="83403">
      <c r="A83403" s="1" t="n">
        <v>83402</v>
      </c>
      <c r="B83403">
        <f>TEXT(83402, "[$-0E0000]yyyy-mm-dd")</f>
        <v/>
      </c>
    </row>
    <row r="83404">
      <c r="A83404" s="1" t="n">
        <v>83403</v>
      </c>
      <c r="B83404">
        <f>TEXT(83403, "[$-0E0000]yyyy-mm-dd")</f>
        <v/>
      </c>
    </row>
    <row r="83405">
      <c r="A83405" s="1" t="n">
        <v>83404</v>
      </c>
      <c r="B83405">
        <f>TEXT(83404, "[$-0E0000]yyyy-mm-dd")</f>
        <v/>
      </c>
    </row>
    <row r="83406">
      <c r="A83406" s="1" t="n">
        <v>83405</v>
      </c>
      <c r="B83406">
        <f>TEXT(83405, "[$-0E0000]yyyy-mm-dd")</f>
        <v/>
      </c>
    </row>
    <row r="83407">
      <c r="A83407" s="1" t="n">
        <v>83406</v>
      </c>
      <c r="B83407">
        <f>TEXT(83406, "[$-0E0000]yyyy-mm-dd")</f>
        <v/>
      </c>
    </row>
    <row r="83408">
      <c r="A83408" s="1" t="n">
        <v>83407</v>
      </c>
      <c r="B83408">
        <f>TEXT(83407, "[$-0E0000]yyyy-mm-dd")</f>
        <v/>
      </c>
    </row>
    <row r="83409">
      <c r="A83409" s="1" t="n">
        <v>83408</v>
      </c>
      <c r="B83409">
        <f>TEXT(83408, "[$-0E0000]yyyy-mm-dd")</f>
        <v/>
      </c>
    </row>
    <row r="83410">
      <c r="A83410" s="1" t="n">
        <v>83409</v>
      </c>
      <c r="B83410">
        <f>TEXT(83409, "[$-0E0000]yyyy-mm-dd")</f>
        <v/>
      </c>
    </row>
    <row r="83411">
      <c r="A83411" s="1" t="n">
        <v>83410</v>
      </c>
      <c r="B83411">
        <f>TEXT(83410, "[$-0E0000]yyyy-mm-dd")</f>
        <v/>
      </c>
    </row>
    <row r="83412">
      <c r="A83412" s="1" t="n">
        <v>83411</v>
      </c>
      <c r="B83412">
        <f>TEXT(83411, "[$-0E0000]yyyy-mm-dd")</f>
        <v/>
      </c>
    </row>
    <row r="83413">
      <c r="A83413" s="1" t="n">
        <v>83412</v>
      </c>
      <c r="B83413">
        <f>TEXT(83412, "[$-0E0000]yyyy-mm-dd")</f>
        <v/>
      </c>
    </row>
    <row r="83414">
      <c r="A83414" s="1" t="n">
        <v>83413</v>
      </c>
      <c r="B83414">
        <f>TEXT(83413, "[$-0E0000]yyyy-mm-dd")</f>
        <v/>
      </c>
    </row>
    <row r="83415">
      <c r="A83415" s="1" t="n">
        <v>83414</v>
      </c>
      <c r="B83415">
        <f>TEXT(83414, "[$-0E0000]yyyy-mm-dd")</f>
        <v/>
      </c>
    </row>
    <row r="83416">
      <c r="A83416" s="1" t="n">
        <v>83415</v>
      </c>
      <c r="B83416">
        <f>TEXT(83415, "[$-0E0000]yyyy-mm-dd")</f>
        <v/>
      </c>
    </row>
    <row r="83417">
      <c r="A83417" s="1" t="n">
        <v>83416</v>
      </c>
      <c r="B83417">
        <f>TEXT(83416, "[$-0E0000]yyyy-mm-dd")</f>
        <v/>
      </c>
    </row>
    <row r="83418">
      <c r="A83418" s="1" t="n">
        <v>83417</v>
      </c>
      <c r="B83418">
        <f>TEXT(83417, "[$-0E0000]yyyy-mm-dd")</f>
        <v/>
      </c>
    </row>
    <row r="83419">
      <c r="A83419" s="1" t="n">
        <v>83418</v>
      </c>
      <c r="B83419">
        <f>TEXT(83418, "[$-0E0000]yyyy-mm-dd")</f>
        <v/>
      </c>
    </row>
    <row r="83420">
      <c r="A83420" s="1" t="n">
        <v>83419</v>
      </c>
      <c r="B83420">
        <f>TEXT(83419, "[$-0E0000]yyyy-mm-dd")</f>
        <v/>
      </c>
    </row>
    <row r="83421">
      <c r="A83421" s="1" t="n">
        <v>83420</v>
      </c>
      <c r="B83421">
        <f>TEXT(83420, "[$-0E0000]yyyy-mm-dd")</f>
        <v/>
      </c>
    </row>
    <row r="83422">
      <c r="A83422" s="1" t="n">
        <v>83421</v>
      </c>
      <c r="B83422">
        <f>TEXT(83421, "[$-0E0000]yyyy-mm-dd")</f>
        <v/>
      </c>
    </row>
    <row r="83423">
      <c r="A83423" s="1" t="n">
        <v>83422</v>
      </c>
      <c r="B83423">
        <f>TEXT(83422, "[$-0E0000]yyyy-mm-dd")</f>
        <v/>
      </c>
    </row>
    <row r="83424">
      <c r="A83424" s="1" t="n">
        <v>83423</v>
      </c>
      <c r="B83424">
        <f>TEXT(83423, "[$-0E0000]yyyy-mm-dd")</f>
        <v/>
      </c>
    </row>
    <row r="83425">
      <c r="A83425" s="1" t="n">
        <v>83424</v>
      </c>
      <c r="B83425">
        <f>TEXT(83424, "[$-0E0000]yyyy-mm-dd")</f>
        <v/>
      </c>
    </row>
    <row r="83426">
      <c r="A83426" s="1" t="n">
        <v>83425</v>
      </c>
      <c r="B83426">
        <f>TEXT(83425, "[$-0E0000]yyyy-mm-dd")</f>
        <v/>
      </c>
    </row>
    <row r="83427">
      <c r="A83427" s="1" t="n">
        <v>83426</v>
      </c>
      <c r="B83427">
        <f>TEXT(83426, "[$-0E0000]yyyy-mm-dd")</f>
        <v/>
      </c>
    </row>
    <row r="83428">
      <c r="A83428" s="1" t="n">
        <v>83427</v>
      </c>
      <c r="B83428">
        <f>TEXT(83427, "[$-0E0000]yyyy-mm-dd")</f>
        <v/>
      </c>
    </row>
    <row r="83429">
      <c r="A83429" s="1" t="n">
        <v>83428</v>
      </c>
      <c r="B83429">
        <f>TEXT(83428, "[$-0E0000]yyyy-mm-dd")</f>
        <v/>
      </c>
    </row>
    <row r="83430">
      <c r="A83430" s="1" t="n">
        <v>83429</v>
      </c>
      <c r="B83430">
        <f>TEXT(83429, "[$-0E0000]yyyy-mm-dd")</f>
        <v/>
      </c>
    </row>
    <row r="83431">
      <c r="A83431" s="1" t="n">
        <v>83430</v>
      </c>
      <c r="B83431">
        <f>TEXT(83430, "[$-0E0000]yyyy-mm-dd")</f>
        <v/>
      </c>
    </row>
    <row r="83432">
      <c r="A83432" s="1" t="n">
        <v>83431</v>
      </c>
      <c r="B83432">
        <f>TEXT(83431, "[$-0E0000]yyyy-mm-dd")</f>
        <v/>
      </c>
    </row>
    <row r="83433">
      <c r="A83433" s="1" t="n">
        <v>83432</v>
      </c>
      <c r="B83433">
        <f>TEXT(83432, "[$-0E0000]yyyy-mm-dd")</f>
        <v/>
      </c>
    </row>
    <row r="83434">
      <c r="A83434" s="1" t="n">
        <v>83433</v>
      </c>
      <c r="B83434">
        <f>TEXT(83433, "[$-0E0000]yyyy-mm-dd")</f>
        <v/>
      </c>
    </row>
    <row r="83435">
      <c r="A83435" s="1" t="n">
        <v>83434</v>
      </c>
      <c r="B83435">
        <f>TEXT(83434, "[$-0E0000]yyyy-mm-dd")</f>
        <v/>
      </c>
    </row>
    <row r="83436">
      <c r="A83436" s="1" t="n">
        <v>83435</v>
      </c>
      <c r="B83436">
        <f>TEXT(83435, "[$-0E0000]yyyy-mm-dd")</f>
        <v/>
      </c>
    </row>
    <row r="83437">
      <c r="A83437" s="1" t="n">
        <v>83436</v>
      </c>
      <c r="B83437">
        <f>TEXT(83436, "[$-0E0000]yyyy-mm-dd")</f>
        <v/>
      </c>
    </row>
    <row r="83438">
      <c r="A83438" s="1" t="n">
        <v>83437</v>
      </c>
      <c r="B83438">
        <f>TEXT(83437, "[$-0E0000]yyyy-mm-dd")</f>
        <v/>
      </c>
    </row>
    <row r="83439">
      <c r="A83439" s="1" t="n">
        <v>83438</v>
      </c>
      <c r="B83439">
        <f>TEXT(83438, "[$-0E0000]yyyy-mm-dd")</f>
        <v/>
      </c>
    </row>
    <row r="83440">
      <c r="A83440" s="1" t="n">
        <v>83439</v>
      </c>
      <c r="B83440">
        <f>TEXT(83439, "[$-0E0000]yyyy-mm-dd")</f>
        <v/>
      </c>
    </row>
    <row r="83441">
      <c r="A83441" s="1" t="n">
        <v>83440</v>
      </c>
      <c r="B83441">
        <f>TEXT(83440, "[$-0E0000]yyyy-mm-dd")</f>
        <v/>
      </c>
    </row>
    <row r="83442">
      <c r="A83442" s="1" t="n">
        <v>83441</v>
      </c>
      <c r="B83442">
        <f>TEXT(83441, "[$-0E0000]yyyy-mm-dd")</f>
        <v/>
      </c>
    </row>
    <row r="83443">
      <c r="A83443" s="1" t="n">
        <v>83442</v>
      </c>
      <c r="B83443">
        <f>TEXT(83442, "[$-0E0000]yyyy-mm-dd")</f>
        <v/>
      </c>
    </row>
    <row r="83444">
      <c r="A83444" s="1" t="n">
        <v>83443</v>
      </c>
      <c r="B83444">
        <f>TEXT(83443, "[$-0E0000]yyyy-mm-dd")</f>
        <v/>
      </c>
    </row>
    <row r="83445">
      <c r="A83445" s="1" t="n">
        <v>83444</v>
      </c>
      <c r="B83445">
        <f>TEXT(83444, "[$-0E0000]yyyy-mm-dd")</f>
        <v/>
      </c>
    </row>
    <row r="83446">
      <c r="A83446" s="1" t="n">
        <v>83445</v>
      </c>
      <c r="B83446">
        <f>TEXT(83445, "[$-0E0000]yyyy-mm-dd")</f>
        <v/>
      </c>
    </row>
    <row r="83447">
      <c r="A83447" s="1" t="n">
        <v>83446</v>
      </c>
      <c r="B83447">
        <f>TEXT(83446, "[$-0E0000]yyyy-mm-dd")</f>
        <v/>
      </c>
    </row>
    <row r="83448">
      <c r="A83448" s="1" t="n">
        <v>83447</v>
      </c>
      <c r="B83448">
        <f>TEXT(83447, "[$-0E0000]yyyy-mm-dd")</f>
        <v/>
      </c>
    </row>
    <row r="83449">
      <c r="A83449" s="1" t="n">
        <v>83448</v>
      </c>
      <c r="B83449">
        <f>TEXT(83448, "[$-0E0000]yyyy-mm-dd")</f>
        <v/>
      </c>
    </row>
    <row r="83450">
      <c r="A83450" s="1" t="n">
        <v>83449</v>
      </c>
      <c r="B83450">
        <f>TEXT(83449, "[$-0E0000]yyyy-mm-dd")</f>
        <v/>
      </c>
    </row>
    <row r="83451">
      <c r="A83451" s="1" t="n">
        <v>83450</v>
      </c>
      <c r="B83451">
        <f>TEXT(83450, "[$-0E0000]yyyy-mm-dd")</f>
        <v/>
      </c>
    </row>
    <row r="83452">
      <c r="A83452" s="1" t="n">
        <v>83451</v>
      </c>
      <c r="B83452">
        <f>TEXT(83451, "[$-0E0000]yyyy-mm-dd")</f>
        <v/>
      </c>
    </row>
    <row r="83453">
      <c r="A83453" s="1" t="n">
        <v>83452</v>
      </c>
      <c r="B83453">
        <f>TEXT(83452, "[$-0E0000]yyyy-mm-dd")</f>
        <v/>
      </c>
    </row>
    <row r="83454">
      <c r="A83454" s="1" t="n">
        <v>83453</v>
      </c>
      <c r="B83454">
        <f>TEXT(83453, "[$-0E0000]yyyy-mm-dd")</f>
        <v/>
      </c>
    </row>
    <row r="83455">
      <c r="A83455" s="1" t="n">
        <v>83454</v>
      </c>
      <c r="B83455">
        <f>TEXT(83454, "[$-0E0000]yyyy-mm-dd")</f>
        <v/>
      </c>
    </row>
    <row r="83456">
      <c r="A83456" s="1" t="n">
        <v>83455</v>
      </c>
      <c r="B83456">
        <f>TEXT(83455, "[$-0E0000]yyyy-mm-dd")</f>
        <v/>
      </c>
    </row>
    <row r="83457">
      <c r="A83457" s="1" t="n">
        <v>83456</v>
      </c>
      <c r="B83457">
        <f>TEXT(83456, "[$-0E0000]yyyy-mm-dd")</f>
        <v/>
      </c>
    </row>
    <row r="83458">
      <c r="A83458" s="1" t="n">
        <v>83457</v>
      </c>
      <c r="B83458">
        <f>TEXT(83457, "[$-0E0000]yyyy-mm-dd")</f>
        <v/>
      </c>
    </row>
    <row r="83459">
      <c r="A83459" s="1" t="n">
        <v>83458</v>
      </c>
      <c r="B83459">
        <f>TEXT(83458, "[$-0E0000]yyyy-mm-dd")</f>
        <v/>
      </c>
    </row>
    <row r="83460">
      <c r="A83460" s="1" t="n">
        <v>83459</v>
      </c>
      <c r="B83460">
        <f>TEXT(83459, "[$-0E0000]yyyy-mm-dd")</f>
        <v/>
      </c>
    </row>
    <row r="83461">
      <c r="A83461" s="1" t="n">
        <v>83460</v>
      </c>
      <c r="B83461">
        <f>TEXT(83460, "[$-0E0000]yyyy-mm-dd")</f>
        <v/>
      </c>
    </row>
    <row r="83462">
      <c r="A83462" s="1" t="n">
        <v>83461</v>
      </c>
      <c r="B83462">
        <f>TEXT(83461, "[$-0E0000]yyyy-mm-dd")</f>
        <v/>
      </c>
    </row>
    <row r="83463">
      <c r="A83463" s="1" t="n">
        <v>83462</v>
      </c>
      <c r="B83463">
        <f>TEXT(83462, "[$-0E0000]yyyy-mm-dd")</f>
        <v/>
      </c>
    </row>
    <row r="83464">
      <c r="A83464" s="1" t="n">
        <v>83463</v>
      </c>
      <c r="B83464">
        <f>TEXT(83463, "[$-0E0000]yyyy-mm-dd")</f>
        <v/>
      </c>
    </row>
    <row r="83465">
      <c r="A83465" s="1" t="n">
        <v>83464</v>
      </c>
      <c r="B83465">
        <f>TEXT(83464, "[$-0E0000]yyyy-mm-dd")</f>
        <v/>
      </c>
    </row>
    <row r="83466">
      <c r="A83466" s="1" t="n">
        <v>83465</v>
      </c>
      <c r="B83466">
        <f>TEXT(83465, "[$-0E0000]yyyy-mm-dd")</f>
        <v/>
      </c>
    </row>
    <row r="83467">
      <c r="A83467" s="1" t="n">
        <v>83466</v>
      </c>
      <c r="B83467">
        <f>TEXT(83466, "[$-0E0000]yyyy-mm-dd")</f>
        <v/>
      </c>
    </row>
    <row r="83468">
      <c r="A83468" s="1" t="n">
        <v>83467</v>
      </c>
      <c r="B83468">
        <f>TEXT(83467, "[$-0E0000]yyyy-mm-dd")</f>
        <v/>
      </c>
    </row>
    <row r="83469">
      <c r="A83469" s="1" t="n">
        <v>83468</v>
      </c>
      <c r="B83469">
        <f>TEXT(83468, "[$-0E0000]yyyy-mm-dd")</f>
        <v/>
      </c>
    </row>
    <row r="83470">
      <c r="A83470" s="1" t="n">
        <v>83469</v>
      </c>
      <c r="B83470">
        <f>TEXT(83469, "[$-0E0000]yyyy-mm-dd")</f>
        <v/>
      </c>
    </row>
    <row r="83471">
      <c r="A83471" s="1" t="n">
        <v>83470</v>
      </c>
      <c r="B83471">
        <f>TEXT(83470, "[$-0E0000]yyyy-mm-dd")</f>
        <v/>
      </c>
    </row>
    <row r="83472">
      <c r="A83472" s="1" t="n">
        <v>83471</v>
      </c>
      <c r="B83472">
        <f>TEXT(83471, "[$-0E0000]yyyy-mm-dd")</f>
        <v/>
      </c>
    </row>
    <row r="83473">
      <c r="A83473" s="1" t="n">
        <v>83472</v>
      </c>
      <c r="B83473">
        <f>TEXT(83472, "[$-0E0000]yyyy-mm-dd")</f>
        <v/>
      </c>
    </row>
    <row r="83474">
      <c r="A83474" s="1" t="n">
        <v>83473</v>
      </c>
      <c r="B83474">
        <f>TEXT(83473, "[$-0E0000]yyyy-mm-dd")</f>
        <v/>
      </c>
    </row>
    <row r="83475">
      <c r="A83475" s="1" t="n">
        <v>83474</v>
      </c>
      <c r="B83475">
        <f>TEXT(83474, "[$-0E0000]yyyy-mm-dd")</f>
        <v/>
      </c>
    </row>
    <row r="83476">
      <c r="A83476" s="1" t="n">
        <v>83475</v>
      </c>
      <c r="B83476">
        <f>TEXT(83475, "[$-0E0000]yyyy-mm-dd")</f>
        <v/>
      </c>
    </row>
    <row r="83477">
      <c r="A83477" s="1" t="n">
        <v>83476</v>
      </c>
      <c r="B83477">
        <f>TEXT(83476, "[$-0E0000]yyyy-mm-dd")</f>
        <v/>
      </c>
    </row>
    <row r="83478">
      <c r="A83478" s="1" t="n">
        <v>83477</v>
      </c>
      <c r="B83478">
        <f>TEXT(83477, "[$-0E0000]yyyy-mm-dd")</f>
        <v/>
      </c>
    </row>
    <row r="83479">
      <c r="A83479" s="1" t="n">
        <v>83478</v>
      </c>
      <c r="B83479">
        <f>TEXT(83478, "[$-0E0000]yyyy-mm-dd")</f>
        <v/>
      </c>
    </row>
    <row r="83480">
      <c r="A83480" s="1" t="n">
        <v>83479</v>
      </c>
      <c r="B83480">
        <f>TEXT(83479, "[$-0E0000]yyyy-mm-dd")</f>
        <v/>
      </c>
    </row>
    <row r="83481">
      <c r="A83481" s="1" t="n">
        <v>83480</v>
      </c>
      <c r="B83481">
        <f>TEXT(83480, "[$-0E0000]yyyy-mm-dd")</f>
        <v/>
      </c>
    </row>
    <row r="83482">
      <c r="A83482" s="1" t="n">
        <v>83481</v>
      </c>
      <c r="B83482">
        <f>TEXT(83481, "[$-0E0000]yyyy-mm-dd")</f>
        <v/>
      </c>
    </row>
    <row r="83483">
      <c r="A83483" s="1" t="n">
        <v>83482</v>
      </c>
      <c r="B83483">
        <f>TEXT(83482, "[$-0E0000]yyyy-mm-dd")</f>
        <v/>
      </c>
    </row>
    <row r="83484">
      <c r="A83484" s="1" t="n">
        <v>83483</v>
      </c>
      <c r="B83484">
        <f>TEXT(83483, "[$-0E0000]yyyy-mm-dd")</f>
        <v/>
      </c>
    </row>
    <row r="83485">
      <c r="A83485" s="1" t="n">
        <v>83484</v>
      </c>
      <c r="B83485">
        <f>TEXT(83484, "[$-0E0000]yyyy-mm-dd")</f>
        <v/>
      </c>
    </row>
    <row r="83486">
      <c r="A83486" s="1" t="n">
        <v>83485</v>
      </c>
      <c r="B83486">
        <f>TEXT(83485, "[$-0E0000]yyyy-mm-dd")</f>
        <v/>
      </c>
    </row>
    <row r="83487">
      <c r="A83487" s="1" t="n">
        <v>83486</v>
      </c>
      <c r="B83487">
        <f>TEXT(83486, "[$-0E0000]yyyy-mm-dd")</f>
        <v/>
      </c>
    </row>
    <row r="83488">
      <c r="A83488" s="1" t="n">
        <v>83487</v>
      </c>
      <c r="B83488">
        <f>TEXT(83487, "[$-0E0000]yyyy-mm-dd")</f>
        <v/>
      </c>
    </row>
    <row r="83489">
      <c r="A83489" s="1" t="n">
        <v>83488</v>
      </c>
      <c r="B83489">
        <f>TEXT(83488, "[$-0E0000]yyyy-mm-dd")</f>
        <v/>
      </c>
    </row>
    <row r="83490">
      <c r="A83490" s="1" t="n">
        <v>83489</v>
      </c>
      <c r="B83490">
        <f>TEXT(83489, "[$-0E0000]yyyy-mm-dd")</f>
        <v/>
      </c>
    </row>
    <row r="83491">
      <c r="A83491" s="1" t="n">
        <v>83490</v>
      </c>
      <c r="B83491">
        <f>TEXT(83490, "[$-0E0000]yyyy-mm-dd")</f>
        <v/>
      </c>
    </row>
    <row r="83492">
      <c r="A83492" s="1" t="n">
        <v>83491</v>
      </c>
      <c r="B83492">
        <f>TEXT(83491, "[$-0E0000]yyyy-mm-dd")</f>
        <v/>
      </c>
    </row>
    <row r="83493">
      <c r="A83493" s="1" t="n">
        <v>83492</v>
      </c>
      <c r="B83493">
        <f>TEXT(83492, "[$-0E0000]yyyy-mm-dd")</f>
        <v/>
      </c>
    </row>
    <row r="83494">
      <c r="A83494" s="1" t="n">
        <v>83493</v>
      </c>
      <c r="B83494">
        <f>TEXT(83493, "[$-0E0000]yyyy-mm-dd")</f>
        <v/>
      </c>
    </row>
    <row r="83495">
      <c r="A83495" s="1" t="n">
        <v>83494</v>
      </c>
      <c r="B83495">
        <f>TEXT(83494, "[$-0E0000]yyyy-mm-dd")</f>
        <v/>
      </c>
    </row>
    <row r="83496">
      <c r="A83496" s="1" t="n">
        <v>83495</v>
      </c>
      <c r="B83496">
        <f>TEXT(83495, "[$-0E0000]yyyy-mm-dd")</f>
        <v/>
      </c>
    </row>
    <row r="83497">
      <c r="A83497" s="1" t="n">
        <v>83496</v>
      </c>
      <c r="B83497">
        <f>TEXT(83496, "[$-0E0000]yyyy-mm-dd")</f>
        <v/>
      </c>
    </row>
    <row r="83498">
      <c r="A83498" s="1" t="n">
        <v>83497</v>
      </c>
      <c r="B83498">
        <f>TEXT(83497, "[$-0E0000]yyyy-mm-dd")</f>
        <v/>
      </c>
    </row>
    <row r="83499">
      <c r="A83499" s="1" t="n">
        <v>83498</v>
      </c>
      <c r="B83499">
        <f>TEXT(83498, "[$-0E0000]yyyy-mm-dd")</f>
        <v/>
      </c>
    </row>
    <row r="83500">
      <c r="A83500" s="1" t="n">
        <v>83499</v>
      </c>
      <c r="B83500">
        <f>TEXT(83499, "[$-0E0000]yyyy-mm-dd")</f>
        <v/>
      </c>
    </row>
    <row r="83501">
      <c r="A83501" s="1" t="n">
        <v>83500</v>
      </c>
      <c r="B83501">
        <f>TEXT(83500, "[$-0E0000]yyyy-mm-dd")</f>
        <v/>
      </c>
    </row>
    <row r="83502">
      <c r="A83502" s="1" t="n">
        <v>83501</v>
      </c>
      <c r="B83502">
        <f>TEXT(83501, "[$-0E0000]yyyy-mm-dd")</f>
        <v/>
      </c>
    </row>
    <row r="83503">
      <c r="A83503" s="1" t="n">
        <v>83502</v>
      </c>
      <c r="B83503">
        <f>TEXT(83502, "[$-0E0000]yyyy-mm-dd")</f>
        <v/>
      </c>
    </row>
    <row r="83504">
      <c r="A83504" s="1" t="n">
        <v>83503</v>
      </c>
      <c r="B83504">
        <f>TEXT(83503, "[$-0E0000]yyyy-mm-dd")</f>
        <v/>
      </c>
    </row>
    <row r="83505">
      <c r="A83505" s="1" t="n">
        <v>83504</v>
      </c>
      <c r="B83505">
        <f>TEXT(83504, "[$-0E0000]yyyy-mm-dd")</f>
        <v/>
      </c>
    </row>
    <row r="83506">
      <c r="A83506" s="1" t="n">
        <v>83505</v>
      </c>
      <c r="B83506">
        <f>TEXT(83505, "[$-0E0000]yyyy-mm-dd")</f>
        <v/>
      </c>
    </row>
    <row r="83507">
      <c r="A83507" s="1" t="n">
        <v>83506</v>
      </c>
      <c r="B83507">
        <f>TEXT(83506, "[$-0E0000]yyyy-mm-dd")</f>
        <v/>
      </c>
    </row>
    <row r="83508">
      <c r="A83508" s="1" t="n">
        <v>83507</v>
      </c>
      <c r="B83508">
        <f>TEXT(83507, "[$-0E0000]yyyy-mm-dd")</f>
        <v/>
      </c>
    </row>
    <row r="83509">
      <c r="A83509" s="1" t="n">
        <v>83508</v>
      </c>
      <c r="B83509">
        <f>TEXT(83508, "[$-0E0000]yyyy-mm-dd")</f>
        <v/>
      </c>
    </row>
    <row r="83510">
      <c r="A83510" s="1" t="n">
        <v>83509</v>
      </c>
      <c r="B83510">
        <f>TEXT(83509, "[$-0E0000]yyyy-mm-dd")</f>
        <v/>
      </c>
    </row>
    <row r="83511">
      <c r="A83511" s="1" t="n">
        <v>83510</v>
      </c>
      <c r="B83511">
        <f>TEXT(83510, "[$-0E0000]yyyy-mm-dd")</f>
        <v/>
      </c>
    </row>
    <row r="83512">
      <c r="A83512" s="1" t="n">
        <v>83511</v>
      </c>
      <c r="B83512">
        <f>TEXT(83511, "[$-0E0000]yyyy-mm-dd")</f>
        <v/>
      </c>
    </row>
    <row r="83513">
      <c r="A83513" s="1" t="n">
        <v>83512</v>
      </c>
      <c r="B83513">
        <f>TEXT(83512, "[$-0E0000]yyyy-mm-dd")</f>
        <v/>
      </c>
    </row>
    <row r="83514">
      <c r="A83514" s="1" t="n">
        <v>83513</v>
      </c>
      <c r="B83514">
        <f>TEXT(83513, "[$-0E0000]yyyy-mm-dd")</f>
        <v/>
      </c>
    </row>
    <row r="83515">
      <c r="A83515" s="1" t="n">
        <v>83514</v>
      </c>
      <c r="B83515">
        <f>TEXT(83514, "[$-0E0000]yyyy-mm-dd")</f>
        <v/>
      </c>
    </row>
    <row r="83516">
      <c r="A83516" s="1" t="n">
        <v>83515</v>
      </c>
      <c r="B83516">
        <f>TEXT(83515, "[$-0E0000]yyyy-mm-dd")</f>
        <v/>
      </c>
    </row>
    <row r="83517">
      <c r="A83517" s="1" t="n">
        <v>83516</v>
      </c>
      <c r="B83517">
        <f>TEXT(83516, "[$-0E0000]yyyy-mm-dd")</f>
        <v/>
      </c>
    </row>
    <row r="83518">
      <c r="A83518" s="1" t="n">
        <v>83517</v>
      </c>
      <c r="B83518">
        <f>TEXT(83517, "[$-0E0000]yyyy-mm-dd")</f>
        <v/>
      </c>
    </row>
    <row r="83519">
      <c r="A83519" s="1" t="n">
        <v>83518</v>
      </c>
      <c r="B83519">
        <f>TEXT(83518, "[$-0E0000]yyyy-mm-dd")</f>
        <v/>
      </c>
    </row>
    <row r="83520">
      <c r="A83520" s="1" t="n">
        <v>83519</v>
      </c>
      <c r="B83520">
        <f>TEXT(83519, "[$-0E0000]yyyy-mm-dd")</f>
        <v/>
      </c>
    </row>
    <row r="83521">
      <c r="A83521" s="1" t="n">
        <v>83520</v>
      </c>
      <c r="B83521">
        <f>TEXT(83520, "[$-0E0000]yyyy-mm-dd")</f>
        <v/>
      </c>
    </row>
    <row r="83522">
      <c r="A83522" s="1" t="n">
        <v>83521</v>
      </c>
      <c r="B83522">
        <f>TEXT(83521, "[$-0E0000]yyyy-mm-dd")</f>
        <v/>
      </c>
    </row>
    <row r="83523">
      <c r="A83523" s="1" t="n">
        <v>83522</v>
      </c>
      <c r="B83523">
        <f>TEXT(83522, "[$-0E0000]yyyy-mm-dd")</f>
        <v/>
      </c>
    </row>
    <row r="83524">
      <c r="A83524" s="1" t="n">
        <v>83523</v>
      </c>
      <c r="B83524">
        <f>TEXT(83523, "[$-0E0000]yyyy-mm-dd")</f>
        <v/>
      </c>
    </row>
    <row r="83525">
      <c r="A83525" s="1" t="n">
        <v>83524</v>
      </c>
      <c r="B83525">
        <f>TEXT(83524, "[$-0E0000]yyyy-mm-dd")</f>
        <v/>
      </c>
    </row>
    <row r="83526">
      <c r="A83526" s="1" t="n">
        <v>83525</v>
      </c>
      <c r="B83526">
        <f>TEXT(83525, "[$-0E0000]yyyy-mm-dd")</f>
        <v/>
      </c>
    </row>
    <row r="83527">
      <c r="A83527" s="1" t="n">
        <v>83526</v>
      </c>
      <c r="B83527">
        <f>TEXT(83526, "[$-0E0000]yyyy-mm-dd")</f>
        <v/>
      </c>
    </row>
    <row r="83528">
      <c r="A83528" s="1" t="n">
        <v>83527</v>
      </c>
      <c r="B83528">
        <f>TEXT(83527, "[$-0E0000]yyyy-mm-dd")</f>
        <v/>
      </c>
    </row>
    <row r="83529">
      <c r="A83529" s="1" t="n">
        <v>83528</v>
      </c>
      <c r="B83529">
        <f>TEXT(83528, "[$-0E0000]yyyy-mm-dd")</f>
        <v/>
      </c>
    </row>
    <row r="83530">
      <c r="A83530" s="1" t="n">
        <v>83529</v>
      </c>
      <c r="B83530">
        <f>TEXT(83529, "[$-0E0000]yyyy-mm-dd")</f>
        <v/>
      </c>
    </row>
    <row r="83531">
      <c r="A83531" s="1" t="n">
        <v>83530</v>
      </c>
      <c r="B83531">
        <f>TEXT(83530, "[$-0E0000]yyyy-mm-dd")</f>
        <v/>
      </c>
    </row>
    <row r="83532">
      <c r="A83532" s="1" t="n">
        <v>83531</v>
      </c>
      <c r="B83532">
        <f>TEXT(83531, "[$-0E0000]yyyy-mm-dd")</f>
        <v/>
      </c>
    </row>
    <row r="83533">
      <c r="A83533" s="1" t="n">
        <v>83532</v>
      </c>
      <c r="B83533">
        <f>TEXT(83532, "[$-0E0000]yyyy-mm-dd")</f>
        <v/>
      </c>
    </row>
    <row r="83534">
      <c r="A83534" s="1" t="n">
        <v>83533</v>
      </c>
      <c r="B83534">
        <f>TEXT(83533, "[$-0E0000]yyyy-mm-dd")</f>
        <v/>
      </c>
    </row>
    <row r="83535">
      <c r="A83535" s="1" t="n">
        <v>83534</v>
      </c>
      <c r="B83535">
        <f>TEXT(83534, "[$-0E0000]yyyy-mm-dd")</f>
        <v/>
      </c>
    </row>
    <row r="83536">
      <c r="A83536" s="1" t="n">
        <v>83535</v>
      </c>
      <c r="B83536">
        <f>TEXT(83535, "[$-0E0000]yyyy-mm-dd")</f>
        <v/>
      </c>
    </row>
    <row r="83537">
      <c r="A83537" s="1" t="n">
        <v>83536</v>
      </c>
      <c r="B83537">
        <f>TEXT(83536, "[$-0E0000]yyyy-mm-dd")</f>
        <v/>
      </c>
    </row>
    <row r="83538">
      <c r="A83538" s="1" t="n">
        <v>83537</v>
      </c>
      <c r="B83538">
        <f>TEXT(83537, "[$-0E0000]yyyy-mm-dd")</f>
        <v/>
      </c>
    </row>
    <row r="83539">
      <c r="A83539" s="1" t="n">
        <v>83538</v>
      </c>
      <c r="B83539">
        <f>TEXT(83538, "[$-0E0000]yyyy-mm-dd")</f>
        <v/>
      </c>
    </row>
    <row r="83540">
      <c r="A83540" s="1" t="n">
        <v>83539</v>
      </c>
      <c r="B83540">
        <f>TEXT(83539, "[$-0E0000]yyyy-mm-dd")</f>
        <v/>
      </c>
    </row>
    <row r="83541">
      <c r="A83541" s="1" t="n">
        <v>83540</v>
      </c>
      <c r="B83541">
        <f>TEXT(83540, "[$-0E0000]yyyy-mm-dd")</f>
        <v/>
      </c>
    </row>
    <row r="83542">
      <c r="A83542" s="1" t="n">
        <v>83541</v>
      </c>
      <c r="B83542">
        <f>TEXT(83541, "[$-0E0000]yyyy-mm-dd")</f>
        <v/>
      </c>
    </row>
    <row r="83543">
      <c r="A83543" s="1" t="n">
        <v>83542</v>
      </c>
      <c r="B83543">
        <f>TEXT(83542, "[$-0E0000]yyyy-mm-dd")</f>
        <v/>
      </c>
    </row>
    <row r="83544">
      <c r="A83544" s="1" t="n">
        <v>83543</v>
      </c>
      <c r="B83544">
        <f>TEXT(83543, "[$-0E0000]yyyy-mm-dd")</f>
        <v/>
      </c>
    </row>
    <row r="83545">
      <c r="A83545" s="1" t="n">
        <v>83544</v>
      </c>
      <c r="B83545">
        <f>TEXT(83544, "[$-0E0000]yyyy-mm-dd")</f>
        <v/>
      </c>
    </row>
    <row r="83546">
      <c r="A83546" s="1" t="n">
        <v>83545</v>
      </c>
      <c r="B83546">
        <f>TEXT(83545, "[$-0E0000]yyyy-mm-dd")</f>
        <v/>
      </c>
    </row>
    <row r="83547">
      <c r="A83547" s="1" t="n">
        <v>83546</v>
      </c>
      <c r="B83547">
        <f>TEXT(83546, "[$-0E0000]yyyy-mm-dd")</f>
        <v/>
      </c>
    </row>
    <row r="83548">
      <c r="A83548" s="1" t="n">
        <v>83547</v>
      </c>
      <c r="B83548">
        <f>TEXT(83547, "[$-0E0000]yyyy-mm-dd")</f>
        <v/>
      </c>
    </row>
    <row r="83549">
      <c r="A83549" s="1" t="n">
        <v>83548</v>
      </c>
      <c r="B83549">
        <f>TEXT(83548, "[$-0E0000]yyyy-mm-dd")</f>
        <v/>
      </c>
    </row>
    <row r="83550">
      <c r="A83550" s="1" t="n">
        <v>83549</v>
      </c>
      <c r="B83550">
        <f>TEXT(83549, "[$-0E0000]yyyy-mm-dd")</f>
        <v/>
      </c>
    </row>
    <row r="83551">
      <c r="A83551" s="1" t="n">
        <v>83550</v>
      </c>
      <c r="B83551">
        <f>TEXT(83550, "[$-0E0000]yyyy-mm-dd")</f>
        <v/>
      </c>
    </row>
    <row r="83552">
      <c r="A83552" s="1" t="n">
        <v>83551</v>
      </c>
      <c r="B83552">
        <f>TEXT(83551, "[$-0E0000]yyyy-mm-dd")</f>
        <v/>
      </c>
    </row>
    <row r="83553">
      <c r="A83553" s="1" t="n">
        <v>83552</v>
      </c>
      <c r="B83553">
        <f>TEXT(83552, "[$-0E0000]yyyy-mm-dd")</f>
        <v/>
      </c>
    </row>
    <row r="83554">
      <c r="A83554" s="1" t="n">
        <v>83553</v>
      </c>
      <c r="B83554">
        <f>TEXT(83553, "[$-0E0000]yyyy-mm-dd")</f>
        <v/>
      </c>
    </row>
    <row r="83555">
      <c r="A83555" s="1" t="n">
        <v>83554</v>
      </c>
      <c r="B83555">
        <f>TEXT(83554, "[$-0E0000]yyyy-mm-dd")</f>
        <v/>
      </c>
    </row>
    <row r="83556">
      <c r="A83556" s="1" t="n">
        <v>83555</v>
      </c>
      <c r="B83556">
        <f>TEXT(83555, "[$-0E0000]yyyy-mm-dd")</f>
        <v/>
      </c>
    </row>
    <row r="83557">
      <c r="A83557" s="1" t="n">
        <v>83556</v>
      </c>
      <c r="B83557">
        <f>TEXT(83556, "[$-0E0000]yyyy-mm-dd")</f>
        <v/>
      </c>
    </row>
    <row r="83558">
      <c r="A83558" s="1" t="n">
        <v>83557</v>
      </c>
      <c r="B83558">
        <f>TEXT(83557, "[$-0E0000]yyyy-mm-dd")</f>
        <v/>
      </c>
    </row>
    <row r="83559">
      <c r="A83559" s="1" t="n">
        <v>83558</v>
      </c>
      <c r="B83559">
        <f>TEXT(83558, "[$-0E0000]yyyy-mm-dd")</f>
        <v/>
      </c>
    </row>
    <row r="83560">
      <c r="A83560" s="1" t="n">
        <v>83559</v>
      </c>
      <c r="B83560">
        <f>TEXT(83559, "[$-0E0000]yyyy-mm-dd")</f>
        <v/>
      </c>
    </row>
    <row r="83561">
      <c r="A83561" s="1" t="n">
        <v>83560</v>
      </c>
      <c r="B83561">
        <f>TEXT(83560, "[$-0E0000]yyyy-mm-dd")</f>
        <v/>
      </c>
    </row>
    <row r="83562">
      <c r="A83562" s="1" t="n">
        <v>83561</v>
      </c>
      <c r="B83562">
        <f>TEXT(83561, "[$-0E0000]yyyy-mm-dd")</f>
        <v/>
      </c>
    </row>
    <row r="83563">
      <c r="A83563" s="1" t="n">
        <v>83562</v>
      </c>
      <c r="B83563">
        <f>TEXT(83562, "[$-0E0000]yyyy-mm-dd")</f>
        <v/>
      </c>
    </row>
    <row r="83564">
      <c r="A83564" s="1" t="n">
        <v>83563</v>
      </c>
      <c r="B83564">
        <f>TEXT(83563, "[$-0E0000]yyyy-mm-dd")</f>
        <v/>
      </c>
    </row>
    <row r="83565">
      <c r="A83565" s="1" t="n">
        <v>83564</v>
      </c>
      <c r="B83565">
        <f>TEXT(83564, "[$-0E0000]yyyy-mm-dd")</f>
        <v/>
      </c>
    </row>
    <row r="83566">
      <c r="A83566" s="1" t="n">
        <v>83565</v>
      </c>
      <c r="B83566">
        <f>TEXT(83565, "[$-0E0000]yyyy-mm-dd")</f>
        <v/>
      </c>
    </row>
    <row r="83567">
      <c r="A83567" s="1" t="n">
        <v>83566</v>
      </c>
      <c r="B83567">
        <f>TEXT(83566, "[$-0E0000]yyyy-mm-dd")</f>
        <v/>
      </c>
    </row>
    <row r="83568">
      <c r="A83568" s="1" t="n">
        <v>83567</v>
      </c>
      <c r="B83568">
        <f>TEXT(83567, "[$-0E0000]yyyy-mm-dd")</f>
        <v/>
      </c>
    </row>
    <row r="83569">
      <c r="A83569" s="1" t="n">
        <v>83568</v>
      </c>
      <c r="B83569">
        <f>TEXT(83568, "[$-0E0000]yyyy-mm-dd")</f>
        <v/>
      </c>
    </row>
    <row r="83570">
      <c r="A83570" s="1" t="n">
        <v>83569</v>
      </c>
      <c r="B83570">
        <f>TEXT(83569, "[$-0E0000]yyyy-mm-dd")</f>
        <v/>
      </c>
    </row>
    <row r="83571">
      <c r="A83571" s="1" t="n">
        <v>83570</v>
      </c>
      <c r="B83571">
        <f>TEXT(83570, "[$-0E0000]yyyy-mm-dd")</f>
        <v/>
      </c>
    </row>
    <row r="83572">
      <c r="A83572" s="1" t="n">
        <v>83571</v>
      </c>
      <c r="B83572">
        <f>TEXT(83571, "[$-0E0000]yyyy-mm-dd")</f>
        <v/>
      </c>
    </row>
    <row r="83573">
      <c r="A83573" s="1" t="n">
        <v>83572</v>
      </c>
      <c r="B83573">
        <f>TEXT(83572, "[$-0E0000]yyyy-mm-dd")</f>
        <v/>
      </c>
    </row>
    <row r="83574">
      <c r="A83574" s="1" t="n">
        <v>83573</v>
      </c>
      <c r="B83574">
        <f>TEXT(83573, "[$-0E0000]yyyy-mm-dd")</f>
        <v/>
      </c>
    </row>
    <row r="83575">
      <c r="A83575" s="1" t="n">
        <v>83574</v>
      </c>
      <c r="B83575">
        <f>TEXT(83574, "[$-0E0000]yyyy-mm-dd")</f>
        <v/>
      </c>
    </row>
    <row r="83576">
      <c r="A83576" s="1" t="n">
        <v>83575</v>
      </c>
      <c r="B83576">
        <f>TEXT(83575, "[$-0E0000]yyyy-mm-dd")</f>
        <v/>
      </c>
    </row>
    <row r="83577">
      <c r="A83577" s="1" t="n">
        <v>83576</v>
      </c>
      <c r="B83577">
        <f>TEXT(83576, "[$-0E0000]yyyy-mm-dd")</f>
        <v/>
      </c>
    </row>
    <row r="83578">
      <c r="A83578" s="1" t="n">
        <v>83577</v>
      </c>
      <c r="B83578">
        <f>TEXT(83577, "[$-0E0000]yyyy-mm-dd")</f>
        <v/>
      </c>
    </row>
    <row r="83579">
      <c r="A83579" s="1" t="n">
        <v>83578</v>
      </c>
      <c r="B83579">
        <f>TEXT(83578, "[$-0E0000]yyyy-mm-dd")</f>
        <v/>
      </c>
    </row>
    <row r="83580">
      <c r="A83580" s="1" t="n">
        <v>83579</v>
      </c>
      <c r="B83580">
        <f>TEXT(83579, "[$-0E0000]yyyy-mm-dd")</f>
        <v/>
      </c>
    </row>
    <row r="83581">
      <c r="A83581" s="1" t="n">
        <v>83580</v>
      </c>
      <c r="B83581">
        <f>TEXT(83580, "[$-0E0000]yyyy-mm-dd")</f>
        <v/>
      </c>
    </row>
    <row r="83582">
      <c r="A83582" s="1" t="n">
        <v>83581</v>
      </c>
      <c r="B83582">
        <f>TEXT(83581, "[$-0E0000]yyyy-mm-dd")</f>
        <v/>
      </c>
    </row>
    <row r="83583">
      <c r="A83583" s="1" t="n">
        <v>83582</v>
      </c>
      <c r="B83583">
        <f>TEXT(83582, "[$-0E0000]yyyy-mm-dd")</f>
        <v/>
      </c>
    </row>
    <row r="83584">
      <c r="A83584" s="1" t="n">
        <v>83583</v>
      </c>
      <c r="B83584">
        <f>TEXT(83583, "[$-0E0000]yyyy-mm-dd")</f>
        <v/>
      </c>
    </row>
    <row r="83585">
      <c r="A83585" s="1" t="n">
        <v>83584</v>
      </c>
      <c r="B83585">
        <f>TEXT(83584, "[$-0E0000]yyyy-mm-dd")</f>
        <v/>
      </c>
    </row>
    <row r="83586">
      <c r="A83586" s="1" t="n">
        <v>83585</v>
      </c>
      <c r="B83586">
        <f>TEXT(83585, "[$-0E0000]yyyy-mm-dd")</f>
        <v/>
      </c>
    </row>
    <row r="83587">
      <c r="A83587" s="1" t="n">
        <v>83586</v>
      </c>
      <c r="B83587">
        <f>TEXT(83586, "[$-0E0000]yyyy-mm-dd")</f>
        <v/>
      </c>
    </row>
    <row r="83588">
      <c r="A83588" s="1" t="n">
        <v>83587</v>
      </c>
      <c r="B83588">
        <f>TEXT(83587, "[$-0E0000]yyyy-mm-dd")</f>
        <v/>
      </c>
    </row>
    <row r="83589">
      <c r="A83589" s="1" t="n">
        <v>83588</v>
      </c>
      <c r="B83589">
        <f>TEXT(83588, "[$-0E0000]yyyy-mm-dd")</f>
        <v/>
      </c>
    </row>
    <row r="83590">
      <c r="A83590" s="1" t="n">
        <v>83589</v>
      </c>
      <c r="B83590">
        <f>TEXT(83589, "[$-0E0000]yyyy-mm-dd")</f>
        <v/>
      </c>
    </row>
    <row r="83591">
      <c r="A83591" s="1" t="n">
        <v>83590</v>
      </c>
      <c r="B83591">
        <f>TEXT(83590, "[$-0E0000]yyyy-mm-dd")</f>
        <v/>
      </c>
    </row>
    <row r="83592">
      <c r="A83592" s="1" t="n">
        <v>83591</v>
      </c>
      <c r="B83592">
        <f>TEXT(83591, "[$-0E0000]yyyy-mm-dd")</f>
        <v/>
      </c>
    </row>
    <row r="83593">
      <c r="A83593" s="1" t="n">
        <v>83592</v>
      </c>
      <c r="B83593">
        <f>TEXT(83592, "[$-0E0000]yyyy-mm-dd")</f>
        <v/>
      </c>
    </row>
    <row r="83594">
      <c r="A83594" s="1" t="n">
        <v>83593</v>
      </c>
      <c r="B83594">
        <f>TEXT(83593, "[$-0E0000]yyyy-mm-dd")</f>
        <v/>
      </c>
    </row>
    <row r="83595">
      <c r="A83595" s="1" t="n">
        <v>83594</v>
      </c>
      <c r="B83595">
        <f>TEXT(83594, "[$-0E0000]yyyy-mm-dd")</f>
        <v/>
      </c>
    </row>
    <row r="83596">
      <c r="A83596" s="1" t="n">
        <v>83595</v>
      </c>
      <c r="B83596">
        <f>TEXT(83595, "[$-0E0000]yyyy-mm-dd")</f>
        <v/>
      </c>
    </row>
    <row r="83597">
      <c r="A83597" s="1" t="n">
        <v>83596</v>
      </c>
      <c r="B83597">
        <f>TEXT(83596, "[$-0E0000]yyyy-mm-dd")</f>
        <v/>
      </c>
    </row>
    <row r="83598">
      <c r="A83598" s="1" t="n">
        <v>83597</v>
      </c>
      <c r="B83598">
        <f>TEXT(83597, "[$-0E0000]yyyy-mm-dd")</f>
        <v/>
      </c>
    </row>
    <row r="83599">
      <c r="A83599" s="1" t="n">
        <v>83598</v>
      </c>
      <c r="B83599">
        <f>TEXT(83598, "[$-0E0000]yyyy-mm-dd")</f>
        <v/>
      </c>
    </row>
    <row r="83600">
      <c r="A83600" s="1" t="n">
        <v>83599</v>
      </c>
      <c r="B83600">
        <f>TEXT(83599, "[$-0E0000]yyyy-mm-dd")</f>
        <v/>
      </c>
    </row>
    <row r="83601">
      <c r="A83601" s="1" t="n">
        <v>83600</v>
      </c>
      <c r="B83601">
        <f>TEXT(83600, "[$-0E0000]yyyy-mm-dd")</f>
        <v/>
      </c>
    </row>
    <row r="83602">
      <c r="A83602" s="1" t="n">
        <v>83601</v>
      </c>
      <c r="B83602">
        <f>TEXT(83601, "[$-0E0000]yyyy-mm-dd")</f>
        <v/>
      </c>
    </row>
    <row r="83603">
      <c r="A83603" s="1" t="n">
        <v>83602</v>
      </c>
      <c r="B83603">
        <f>TEXT(83602, "[$-0E0000]yyyy-mm-dd")</f>
        <v/>
      </c>
    </row>
    <row r="83604">
      <c r="A83604" s="1" t="n">
        <v>83603</v>
      </c>
      <c r="B83604">
        <f>TEXT(83603, "[$-0E0000]yyyy-mm-dd")</f>
        <v/>
      </c>
    </row>
    <row r="83605">
      <c r="A83605" s="1" t="n">
        <v>83604</v>
      </c>
      <c r="B83605">
        <f>TEXT(83604, "[$-0E0000]yyyy-mm-dd")</f>
        <v/>
      </c>
    </row>
    <row r="83606">
      <c r="A83606" s="1" t="n">
        <v>83605</v>
      </c>
      <c r="B83606">
        <f>TEXT(83605, "[$-0E0000]yyyy-mm-dd")</f>
        <v/>
      </c>
    </row>
    <row r="83607">
      <c r="A83607" s="1" t="n">
        <v>83606</v>
      </c>
      <c r="B83607">
        <f>TEXT(83606, "[$-0E0000]yyyy-mm-dd")</f>
        <v/>
      </c>
    </row>
    <row r="83608">
      <c r="A83608" s="1" t="n">
        <v>83607</v>
      </c>
      <c r="B83608">
        <f>TEXT(83607, "[$-0E0000]yyyy-mm-dd")</f>
        <v/>
      </c>
    </row>
    <row r="83609">
      <c r="A83609" s="1" t="n">
        <v>83608</v>
      </c>
      <c r="B83609">
        <f>TEXT(83608, "[$-0E0000]yyyy-mm-dd")</f>
        <v/>
      </c>
    </row>
    <row r="83610">
      <c r="A83610" s="1" t="n">
        <v>83609</v>
      </c>
      <c r="B83610">
        <f>TEXT(83609, "[$-0E0000]yyyy-mm-dd")</f>
        <v/>
      </c>
    </row>
    <row r="83611">
      <c r="A83611" s="1" t="n">
        <v>83610</v>
      </c>
      <c r="B83611">
        <f>TEXT(83610, "[$-0E0000]yyyy-mm-dd")</f>
        <v/>
      </c>
    </row>
    <row r="83612">
      <c r="A83612" s="1" t="n">
        <v>83611</v>
      </c>
      <c r="B83612">
        <f>TEXT(83611, "[$-0E0000]yyyy-mm-dd")</f>
        <v/>
      </c>
    </row>
    <row r="83613">
      <c r="A83613" s="1" t="n">
        <v>83612</v>
      </c>
      <c r="B83613">
        <f>TEXT(83612, "[$-0E0000]yyyy-mm-dd")</f>
        <v/>
      </c>
    </row>
    <row r="83614">
      <c r="A83614" s="1" t="n">
        <v>83613</v>
      </c>
      <c r="B83614">
        <f>TEXT(83613, "[$-0E0000]yyyy-mm-dd")</f>
        <v/>
      </c>
    </row>
    <row r="83615">
      <c r="A83615" s="1" t="n">
        <v>83614</v>
      </c>
      <c r="B83615">
        <f>TEXT(83614, "[$-0E0000]yyyy-mm-dd")</f>
        <v/>
      </c>
    </row>
    <row r="83616">
      <c r="A83616" s="1" t="n">
        <v>83615</v>
      </c>
      <c r="B83616">
        <f>TEXT(83615, "[$-0E0000]yyyy-mm-dd")</f>
        <v/>
      </c>
    </row>
    <row r="83617">
      <c r="A83617" s="1" t="n">
        <v>83616</v>
      </c>
      <c r="B83617">
        <f>TEXT(83616, "[$-0E0000]yyyy-mm-dd")</f>
        <v/>
      </c>
    </row>
    <row r="83618">
      <c r="A83618" s="1" t="n">
        <v>83617</v>
      </c>
      <c r="B83618">
        <f>TEXT(83617, "[$-0E0000]yyyy-mm-dd")</f>
        <v/>
      </c>
    </row>
    <row r="83619">
      <c r="A83619" s="1" t="n">
        <v>83618</v>
      </c>
      <c r="B83619">
        <f>TEXT(83618, "[$-0E0000]yyyy-mm-dd")</f>
        <v/>
      </c>
    </row>
    <row r="83620">
      <c r="A83620" s="1" t="n">
        <v>83619</v>
      </c>
      <c r="B83620">
        <f>TEXT(83619, "[$-0E0000]yyyy-mm-dd")</f>
        <v/>
      </c>
    </row>
    <row r="83621">
      <c r="A83621" s="1" t="n">
        <v>83620</v>
      </c>
      <c r="B83621">
        <f>TEXT(83620, "[$-0E0000]yyyy-mm-dd")</f>
        <v/>
      </c>
    </row>
    <row r="83622">
      <c r="A83622" s="1" t="n">
        <v>83621</v>
      </c>
      <c r="B83622">
        <f>TEXT(83621, "[$-0E0000]yyyy-mm-dd")</f>
        <v/>
      </c>
    </row>
    <row r="83623">
      <c r="A83623" s="1" t="n">
        <v>83622</v>
      </c>
      <c r="B83623">
        <f>TEXT(83622, "[$-0E0000]yyyy-mm-dd")</f>
        <v/>
      </c>
    </row>
    <row r="83624">
      <c r="A83624" s="1" t="n">
        <v>83623</v>
      </c>
      <c r="B83624">
        <f>TEXT(83623, "[$-0E0000]yyyy-mm-dd")</f>
        <v/>
      </c>
    </row>
    <row r="83625">
      <c r="A83625" s="1" t="n">
        <v>83624</v>
      </c>
      <c r="B83625">
        <f>TEXT(83624, "[$-0E0000]yyyy-mm-dd")</f>
        <v/>
      </c>
    </row>
    <row r="83626">
      <c r="A83626" s="1" t="n">
        <v>83625</v>
      </c>
      <c r="B83626">
        <f>TEXT(83625, "[$-0E0000]yyyy-mm-dd")</f>
        <v/>
      </c>
    </row>
    <row r="83627">
      <c r="A83627" s="1" t="n">
        <v>83626</v>
      </c>
      <c r="B83627">
        <f>TEXT(83626, "[$-0E0000]yyyy-mm-dd")</f>
        <v/>
      </c>
    </row>
    <row r="83628">
      <c r="A83628" s="1" t="n">
        <v>83627</v>
      </c>
      <c r="B83628">
        <f>TEXT(83627, "[$-0E0000]yyyy-mm-dd")</f>
        <v/>
      </c>
    </row>
    <row r="83629">
      <c r="A83629" s="1" t="n">
        <v>83628</v>
      </c>
      <c r="B83629">
        <f>TEXT(83628, "[$-0E0000]yyyy-mm-dd")</f>
        <v/>
      </c>
    </row>
    <row r="83630">
      <c r="A83630" s="1" t="n">
        <v>83629</v>
      </c>
      <c r="B83630">
        <f>TEXT(83629, "[$-0E0000]yyyy-mm-dd")</f>
        <v/>
      </c>
    </row>
    <row r="83631">
      <c r="A83631" s="1" t="n">
        <v>83630</v>
      </c>
      <c r="B83631">
        <f>TEXT(83630, "[$-0E0000]yyyy-mm-dd")</f>
        <v/>
      </c>
    </row>
    <row r="83632">
      <c r="A83632" s="1" t="n">
        <v>83631</v>
      </c>
      <c r="B83632">
        <f>TEXT(83631, "[$-0E0000]yyyy-mm-dd")</f>
        <v/>
      </c>
    </row>
    <row r="83633">
      <c r="A83633" s="1" t="n">
        <v>83632</v>
      </c>
      <c r="B83633">
        <f>TEXT(83632, "[$-0E0000]yyyy-mm-dd")</f>
        <v/>
      </c>
    </row>
    <row r="83634">
      <c r="A83634" s="1" t="n">
        <v>83633</v>
      </c>
      <c r="B83634">
        <f>TEXT(83633, "[$-0E0000]yyyy-mm-dd")</f>
        <v/>
      </c>
    </row>
    <row r="83635">
      <c r="A83635" s="1" t="n">
        <v>83634</v>
      </c>
      <c r="B83635">
        <f>TEXT(83634, "[$-0E0000]yyyy-mm-dd")</f>
        <v/>
      </c>
    </row>
    <row r="83636">
      <c r="A83636" s="1" t="n">
        <v>83635</v>
      </c>
      <c r="B83636">
        <f>TEXT(83635, "[$-0E0000]yyyy-mm-dd")</f>
        <v/>
      </c>
    </row>
    <row r="83637">
      <c r="A83637" s="1" t="n">
        <v>83636</v>
      </c>
      <c r="B83637">
        <f>TEXT(83636, "[$-0E0000]yyyy-mm-dd")</f>
        <v/>
      </c>
    </row>
    <row r="83638">
      <c r="A83638" s="1" t="n">
        <v>83637</v>
      </c>
      <c r="B83638">
        <f>TEXT(83637, "[$-0E0000]yyyy-mm-dd")</f>
        <v/>
      </c>
    </row>
    <row r="83639">
      <c r="A83639" s="1" t="n">
        <v>83638</v>
      </c>
      <c r="B83639">
        <f>TEXT(83638, "[$-0E0000]yyyy-mm-dd")</f>
        <v/>
      </c>
    </row>
    <row r="83640">
      <c r="A83640" s="1" t="n">
        <v>83639</v>
      </c>
      <c r="B83640">
        <f>TEXT(83639, "[$-0E0000]yyyy-mm-dd")</f>
        <v/>
      </c>
    </row>
    <row r="83641">
      <c r="A83641" s="1" t="n">
        <v>83640</v>
      </c>
      <c r="B83641">
        <f>TEXT(83640, "[$-0E0000]yyyy-mm-dd")</f>
        <v/>
      </c>
    </row>
    <row r="83642">
      <c r="A83642" s="1" t="n">
        <v>83641</v>
      </c>
      <c r="B83642">
        <f>TEXT(83641, "[$-0E0000]yyyy-mm-dd")</f>
        <v/>
      </c>
    </row>
    <row r="83643">
      <c r="A83643" s="1" t="n">
        <v>83642</v>
      </c>
      <c r="B83643">
        <f>TEXT(83642, "[$-0E0000]yyyy-mm-dd")</f>
        <v/>
      </c>
    </row>
    <row r="83644">
      <c r="A83644" s="1" t="n">
        <v>83643</v>
      </c>
      <c r="B83644">
        <f>TEXT(83643, "[$-0E0000]yyyy-mm-dd")</f>
        <v/>
      </c>
    </row>
    <row r="83645">
      <c r="A83645" s="1" t="n">
        <v>83644</v>
      </c>
      <c r="B83645">
        <f>TEXT(83644, "[$-0E0000]yyyy-mm-dd")</f>
        <v/>
      </c>
    </row>
    <row r="83646">
      <c r="A83646" s="1" t="n">
        <v>83645</v>
      </c>
      <c r="B83646">
        <f>TEXT(83645, "[$-0E0000]yyyy-mm-dd")</f>
        <v/>
      </c>
    </row>
    <row r="83647">
      <c r="A83647" s="1" t="n">
        <v>83646</v>
      </c>
      <c r="B83647">
        <f>TEXT(83646, "[$-0E0000]yyyy-mm-dd")</f>
        <v/>
      </c>
    </row>
    <row r="83648">
      <c r="A83648" s="1" t="n">
        <v>83647</v>
      </c>
      <c r="B83648">
        <f>TEXT(83647, "[$-0E0000]yyyy-mm-dd")</f>
        <v/>
      </c>
    </row>
    <row r="83649">
      <c r="A83649" s="1" t="n">
        <v>83648</v>
      </c>
      <c r="B83649">
        <f>TEXT(83648, "[$-0E0000]yyyy-mm-dd")</f>
        <v/>
      </c>
    </row>
    <row r="83650">
      <c r="A83650" s="1" t="n">
        <v>83649</v>
      </c>
      <c r="B83650">
        <f>TEXT(83649, "[$-0E0000]yyyy-mm-dd")</f>
        <v/>
      </c>
    </row>
    <row r="83651">
      <c r="A83651" s="1" t="n">
        <v>83650</v>
      </c>
      <c r="B83651">
        <f>TEXT(83650, "[$-0E0000]yyyy-mm-dd")</f>
        <v/>
      </c>
    </row>
    <row r="83652">
      <c r="A83652" s="1" t="n">
        <v>83651</v>
      </c>
      <c r="B83652">
        <f>TEXT(83651, "[$-0E0000]yyyy-mm-dd")</f>
        <v/>
      </c>
    </row>
    <row r="83653">
      <c r="A83653" s="1" t="n">
        <v>83652</v>
      </c>
      <c r="B83653">
        <f>TEXT(83652, "[$-0E0000]yyyy-mm-dd")</f>
        <v/>
      </c>
    </row>
    <row r="83654">
      <c r="A83654" s="1" t="n">
        <v>83653</v>
      </c>
      <c r="B83654">
        <f>TEXT(83653, "[$-0E0000]yyyy-mm-dd")</f>
        <v/>
      </c>
    </row>
    <row r="83655">
      <c r="A83655" s="1" t="n">
        <v>83654</v>
      </c>
      <c r="B83655">
        <f>TEXT(83654, "[$-0E0000]yyyy-mm-dd")</f>
        <v/>
      </c>
    </row>
    <row r="83656">
      <c r="A83656" s="1" t="n">
        <v>83655</v>
      </c>
      <c r="B83656">
        <f>TEXT(83655, "[$-0E0000]yyyy-mm-dd")</f>
        <v/>
      </c>
    </row>
    <row r="83657">
      <c r="A83657" s="1" t="n">
        <v>83656</v>
      </c>
      <c r="B83657">
        <f>TEXT(83656, "[$-0E0000]yyyy-mm-dd")</f>
        <v/>
      </c>
    </row>
    <row r="83658">
      <c r="A83658" s="1" t="n">
        <v>83657</v>
      </c>
      <c r="B83658">
        <f>TEXT(83657, "[$-0E0000]yyyy-mm-dd")</f>
        <v/>
      </c>
    </row>
    <row r="83659">
      <c r="A83659" s="1" t="n">
        <v>83658</v>
      </c>
      <c r="B83659">
        <f>TEXT(83658, "[$-0E0000]yyyy-mm-dd")</f>
        <v/>
      </c>
    </row>
    <row r="83660">
      <c r="A83660" s="1" t="n">
        <v>83659</v>
      </c>
      <c r="B83660">
        <f>TEXT(83659, "[$-0E0000]yyyy-mm-dd")</f>
        <v/>
      </c>
    </row>
    <row r="83661">
      <c r="A83661" s="1" t="n">
        <v>83660</v>
      </c>
      <c r="B83661">
        <f>TEXT(83660, "[$-0E0000]yyyy-mm-dd")</f>
        <v/>
      </c>
    </row>
    <row r="83662">
      <c r="A83662" s="1" t="n">
        <v>83661</v>
      </c>
      <c r="B83662">
        <f>TEXT(83661, "[$-0E0000]yyyy-mm-dd")</f>
        <v/>
      </c>
    </row>
    <row r="83663">
      <c r="A83663" s="1" t="n">
        <v>83662</v>
      </c>
      <c r="B83663">
        <f>TEXT(83662, "[$-0E0000]yyyy-mm-dd")</f>
        <v/>
      </c>
    </row>
    <row r="83664">
      <c r="A83664" s="1" t="n">
        <v>83663</v>
      </c>
      <c r="B83664">
        <f>TEXT(83663, "[$-0E0000]yyyy-mm-dd")</f>
        <v/>
      </c>
    </row>
    <row r="83665">
      <c r="A83665" s="1" t="n">
        <v>83664</v>
      </c>
      <c r="B83665">
        <f>TEXT(83664, "[$-0E0000]yyyy-mm-dd")</f>
        <v/>
      </c>
    </row>
    <row r="83666">
      <c r="A83666" s="1" t="n">
        <v>83665</v>
      </c>
      <c r="B83666">
        <f>TEXT(83665, "[$-0E0000]yyyy-mm-dd")</f>
        <v/>
      </c>
    </row>
    <row r="83667">
      <c r="A83667" s="1" t="n">
        <v>83666</v>
      </c>
      <c r="B83667">
        <f>TEXT(83666, "[$-0E0000]yyyy-mm-dd")</f>
        <v/>
      </c>
    </row>
    <row r="83668">
      <c r="A83668" s="1" t="n">
        <v>83667</v>
      </c>
      <c r="B83668">
        <f>TEXT(83667, "[$-0E0000]yyyy-mm-dd")</f>
        <v/>
      </c>
    </row>
    <row r="83669">
      <c r="A83669" s="1" t="n">
        <v>83668</v>
      </c>
      <c r="B83669">
        <f>TEXT(83668, "[$-0E0000]yyyy-mm-dd")</f>
        <v/>
      </c>
    </row>
    <row r="83670">
      <c r="A83670" s="1" t="n">
        <v>83669</v>
      </c>
      <c r="B83670">
        <f>TEXT(83669, "[$-0E0000]yyyy-mm-dd")</f>
        <v/>
      </c>
    </row>
    <row r="83671">
      <c r="A83671" s="1" t="n">
        <v>83670</v>
      </c>
      <c r="B83671">
        <f>TEXT(83670, "[$-0E0000]yyyy-mm-dd")</f>
        <v/>
      </c>
    </row>
    <row r="83672">
      <c r="A83672" s="1" t="n">
        <v>83671</v>
      </c>
      <c r="B83672">
        <f>TEXT(83671, "[$-0E0000]yyyy-mm-dd")</f>
        <v/>
      </c>
    </row>
    <row r="83673">
      <c r="A83673" s="1" t="n">
        <v>83672</v>
      </c>
      <c r="B83673">
        <f>TEXT(83672, "[$-0E0000]yyyy-mm-dd")</f>
        <v/>
      </c>
    </row>
    <row r="83674">
      <c r="A83674" s="1" t="n">
        <v>83673</v>
      </c>
      <c r="B83674">
        <f>TEXT(83673, "[$-0E0000]yyyy-mm-dd")</f>
        <v/>
      </c>
    </row>
    <row r="83675">
      <c r="A83675" s="1" t="n">
        <v>83674</v>
      </c>
      <c r="B83675">
        <f>TEXT(83674, "[$-0E0000]yyyy-mm-dd")</f>
        <v/>
      </c>
    </row>
    <row r="83676">
      <c r="A83676" s="1" t="n">
        <v>83675</v>
      </c>
      <c r="B83676">
        <f>TEXT(83675, "[$-0E0000]yyyy-mm-dd")</f>
        <v/>
      </c>
    </row>
    <row r="83677">
      <c r="A83677" s="1" t="n">
        <v>83676</v>
      </c>
      <c r="B83677">
        <f>TEXT(83676, "[$-0E0000]yyyy-mm-dd")</f>
        <v/>
      </c>
    </row>
    <row r="83678">
      <c r="A83678" s="1" t="n">
        <v>83677</v>
      </c>
      <c r="B83678">
        <f>TEXT(83677, "[$-0E0000]yyyy-mm-dd")</f>
        <v/>
      </c>
    </row>
    <row r="83679">
      <c r="A83679" s="1" t="n">
        <v>83678</v>
      </c>
      <c r="B83679">
        <f>TEXT(83678, "[$-0E0000]yyyy-mm-dd")</f>
        <v/>
      </c>
    </row>
    <row r="83680">
      <c r="A83680" s="1" t="n">
        <v>83679</v>
      </c>
      <c r="B83680">
        <f>TEXT(83679, "[$-0E0000]yyyy-mm-dd")</f>
        <v/>
      </c>
    </row>
    <row r="83681">
      <c r="A83681" s="1" t="n">
        <v>83680</v>
      </c>
      <c r="B83681">
        <f>TEXT(83680, "[$-0E0000]yyyy-mm-dd")</f>
        <v/>
      </c>
    </row>
    <row r="83682">
      <c r="A83682" s="1" t="n">
        <v>83681</v>
      </c>
      <c r="B83682">
        <f>TEXT(83681, "[$-0E0000]yyyy-mm-dd")</f>
        <v/>
      </c>
    </row>
    <row r="83683">
      <c r="A83683" s="1" t="n">
        <v>83682</v>
      </c>
      <c r="B83683">
        <f>TEXT(83682, "[$-0E0000]yyyy-mm-dd")</f>
        <v/>
      </c>
    </row>
    <row r="83684">
      <c r="A83684" s="1" t="n">
        <v>83683</v>
      </c>
      <c r="B83684">
        <f>TEXT(83683, "[$-0E0000]yyyy-mm-dd")</f>
        <v/>
      </c>
    </row>
    <row r="83685">
      <c r="A83685" s="1" t="n">
        <v>83684</v>
      </c>
      <c r="B83685">
        <f>TEXT(83684, "[$-0E0000]yyyy-mm-dd")</f>
        <v/>
      </c>
    </row>
    <row r="83686">
      <c r="A83686" s="1" t="n">
        <v>83685</v>
      </c>
      <c r="B83686">
        <f>TEXT(83685, "[$-0E0000]yyyy-mm-dd")</f>
        <v/>
      </c>
    </row>
    <row r="83687">
      <c r="A83687" s="1" t="n">
        <v>83686</v>
      </c>
      <c r="B83687">
        <f>TEXT(83686, "[$-0E0000]yyyy-mm-dd")</f>
        <v/>
      </c>
    </row>
    <row r="83688">
      <c r="A83688" s="1" t="n">
        <v>83687</v>
      </c>
      <c r="B83688">
        <f>TEXT(83687, "[$-0E0000]yyyy-mm-dd")</f>
        <v/>
      </c>
    </row>
    <row r="83689">
      <c r="A83689" s="1" t="n">
        <v>83688</v>
      </c>
      <c r="B83689">
        <f>TEXT(83688, "[$-0E0000]yyyy-mm-dd")</f>
        <v/>
      </c>
    </row>
    <row r="83690">
      <c r="A83690" s="1" t="n">
        <v>83689</v>
      </c>
      <c r="B83690">
        <f>TEXT(83689, "[$-0E0000]yyyy-mm-dd")</f>
        <v/>
      </c>
    </row>
    <row r="83691">
      <c r="A83691" s="1" t="n">
        <v>83690</v>
      </c>
      <c r="B83691">
        <f>TEXT(83690, "[$-0E0000]yyyy-mm-dd")</f>
        <v/>
      </c>
    </row>
    <row r="83692">
      <c r="A83692" s="1" t="n">
        <v>83691</v>
      </c>
      <c r="B83692">
        <f>TEXT(83691, "[$-0E0000]yyyy-mm-dd")</f>
        <v/>
      </c>
    </row>
    <row r="83693">
      <c r="A83693" s="1" t="n">
        <v>83692</v>
      </c>
      <c r="B83693">
        <f>TEXT(83692, "[$-0E0000]yyyy-mm-dd")</f>
        <v/>
      </c>
    </row>
    <row r="83694">
      <c r="A83694" s="1" t="n">
        <v>83693</v>
      </c>
      <c r="B83694">
        <f>TEXT(83693, "[$-0E0000]yyyy-mm-dd")</f>
        <v/>
      </c>
    </row>
    <row r="83695">
      <c r="A83695" s="1" t="n">
        <v>83694</v>
      </c>
      <c r="B83695">
        <f>TEXT(83694, "[$-0E0000]yyyy-mm-dd")</f>
        <v/>
      </c>
    </row>
    <row r="83696">
      <c r="A83696" s="1" t="n">
        <v>83695</v>
      </c>
      <c r="B83696">
        <f>TEXT(83695, "[$-0E0000]yyyy-mm-dd")</f>
        <v/>
      </c>
    </row>
    <row r="83697">
      <c r="A83697" s="1" t="n">
        <v>83696</v>
      </c>
      <c r="B83697">
        <f>TEXT(83696, "[$-0E0000]yyyy-mm-dd")</f>
        <v/>
      </c>
    </row>
    <row r="83698">
      <c r="A83698" s="1" t="n">
        <v>83697</v>
      </c>
      <c r="B83698">
        <f>TEXT(83697, "[$-0E0000]yyyy-mm-dd")</f>
        <v/>
      </c>
    </row>
    <row r="83699">
      <c r="A83699" s="1" t="n">
        <v>83698</v>
      </c>
      <c r="B83699">
        <f>TEXT(83698, "[$-0E0000]yyyy-mm-dd")</f>
        <v/>
      </c>
    </row>
    <row r="83700">
      <c r="A83700" s="1" t="n">
        <v>83699</v>
      </c>
      <c r="B83700">
        <f>TEXT(83699, "[$-0E0000]yyyy-mm-dd")</f>
        <v/>
      </c>
    </row>
    <row r="83701">
      <c r="A83701" s="1" t="n">
        <v>83700</v>
      </c>
      <c r="B83701">
        <f>TEXT(83700, "[$-0E0000]yyyy-mm-dd")</f>
        <v/>
      </c>
    </row>
    <row r="83702">
      <c r="A83702" s="1" t="n">
        <v>83701</v>
      </c>
      <c r="B83702">
        <f>TEXT(83701, "[$-0E0000]yyyy-mm-dd")</f>
        <v/>
      </c>
    </row>
    <row r="83703">
      <c r="A83703" s="1" t="n">
        <v>83702</v>
      </c>
      <c r="B83703">
        <f>TEXT(83702, "[$-0E0000]yyyy-mm-dd")</f>
        <v/>
      </c>
    </row>
    <row r="83704">
      <c r="A83704" s="1" t="n">
        <v>83703</v>
      </c>
      <c r="B83704">
        <f>TEXT(83703, "[$-0E0000]yyyy-mm-dd")</f>
        <v/>
      </c>
    </row>
    <row r="83705">
      <c r="A83705" s="1" t="n">
        <v>83704</v>
      </c>
      <c r="B83705">
        <f>TEXT(83704, "[$-0E0000]yyyy-mm-dd")</f>
        <v/>
      </c>
    </row>
    <row r="83706">
      <c r="A83706" s="1" t="n">
        <v>83705</v>
      </c>
      <c r="B83706">
        <f>TEXT(83705, "[$-0E0000]yyyy-mm-dd")</f>
        <v/>
      </c>
    </row>
    <row r="83707">
      <c r="A83707" s="1" t="n">
        <v>83706</v>
      </c>
      <c r="B83707">
        <f>TEXT(83706, "[$-0E0000]yyyy-mm-dd")</f>
        <v/>
      </c>
    </row>
    <row r="83708">
      <c r="A83708" s="1" t="n">
        <v>83707</v>
      </c>
      <c r="B83708">
        <f>TEXT(83707, "[$-0E0000]yyyy-mm-dd")</f>
        <v/>
      </c>
    </row>
    <row r="83709">
      <c r="A83709" s="1" t="n">
        <v>83708</v>
      </c>
      <c r="B83709">
        <f>TEXT(83708, "[$-0E0000]yyyy-mm-dd")</f>
        <v/>
      </c>
    </row>
    <row r="83710">
      <c r="A83710" s="1" t="n">
        <v>83709</v>
      </c>
      <c r="B83710">
        <f>TEXT(83709, "[$-0E0000]yyyy-mm-dd")</f>
        <v/>
      </c>
    </row>
    <row r="83711">
      <c r="A83711" s="1" t="n">
        <v>83710</v>
      </c>
      <c r="B83711">
        <f>TEXT(83710, "[$-0E0000]yyyy-mm-dd")</f>
        <v/>
      </c>
    </row>
    <row r="83712">
      <c r="A83712" s="1" t="n">
        <v>83711</v>
      </c>
      <c r="B83712">
        <f>TEXT(83711, "[$-0E0000]yyyy-mm-dd")</f>
        <v/>
      </c>
    </row>
    <row r="83713">
      <c r="A83713" s="1" t="n">
        <v>83712</v>
      </c>
      <c r="B83713">
        <f>TEXT(83712, "[$-0E0000]yyyy-mm-dd")</f>
        <v/>
      </c>
    </row>
    <row r="83714">
      <c r="A83714" s="1" t="n">
        <v>83713</v>
      </c>
      <c r="B83714">
        <f>TEXT(83713, "[$-0E0000]yyyy-mm-dd")</f>
        <v/>
      </c>
    </row>
    <row r="83715">
      <c r="A83715" s="1" t="n">
        <v>83714</v>
      </c>
      <c r="B83715">
        <f>TEXT(83714, "[$-0E0000]yyyy-mm-dd")</f>
        <v/>
      </c>
    </row>
    <row r="83716">
      <c r="A83716" s="1" t="n">
        <v>83715</v>
      </c>
      <c r="B83716">
        <f>TEXT(83715, "[$-0E0000]yyyy-mm-dd")</f>
        <v/>
      </c>
    </row>
    <row r="83717">
      <c r="A83717" s="1" t="n">
        <v>83716</v>
      </c>
      <c r="B83717">
        <f>TEXT(83716, "[$-0E0000]yyyy-mm-dd")</f>
        <v/>
      </c>
    </row>
    <row r="83718">
      <c r="A83718" s="1" t="n">
        <v>83717</v>
      </c>
      <c r="B83718">
        <f>TEXT(83717, "[$-0E0000]yyyy-mm-dd")</f>
        <v/>
      </c>
    </row>
    <row r="83719">
      <c r="A83719" s="1" t="n">
        <v>83718</v>
      </c>
      <c r="B83719">
        <f>TEXT(83718, "[$-0E0000]yyyy-mm-dd")</f>
        <v/>
      </c>
    </row>
    <row r="83720">
      <c r="A83720" s="1" t="n">
        <v>83719</v>
      </c>
      <c r="B83720">
        <f>TEXT(83719, "[$-0E0000]yyyy-mm-dd")</f>
        <v/>
      </c>
    </row>
    <row r="83721">
      <c r="A83721" s="1" t="n">
        <v>83720</v>
      </c>
      <c r="B83721">
        <f>TEXT(83720, "[$-0E0000]yyyy-mm-dd")</f>
        <v/>
      </c>
    </row>
    <row r="83722">
      <c r="A83722" s="1" t="n">
        <v>83721</v>
      </c>
      <c r="B83722">
        <f>TEXT(83721, "[$-0E0000]yyyy-mm-dd")</f>
        <v/>
      </c>
    </row>
    <row r="83723">
      <c r="A83723" s="1" t="n">
        <v>83722</v>
      </c>
      <c r="B83723">
        <f>TEXT(83722, "[$-0E0000]yyyy-mm-dd")</f>
        <v/>
      </c>
    </row>
    <row r="83724">
      <c r="A83724" s="1" t="n">
        <v>83723</v>
      </c>
      <c r="B83724">
        <f>TEXT(83723, "[$-0E0000]yyyy-mm-dd")</f>
        <v/>
      </c>
    </row>
    <row r="83725">
      <c r="A83725" s="1" t="n">
        <v>83724</v>
      </c>
      <c r="B83725">
        <f>TEXT(83724, "[$-0E0000]yyyy-mm-dd")</f>
        <v/>
      </c>
    </row>
    <row r="83726">
      <c r="A83726" s="1" t="n">
        <v>83725</v>
      </c>
      <c r="B83726">
        <f>TEXT(83725, "[$-0E0000]yyyy-mm-dd")</f>
        <v/>
      </c>
    </row>
    <row r="83727">
      <c r="A83727" s="1" t="n">
        <v>83726</v>
      </c>
      <c r="B83727">
        <f>TEXT(83726, "[$-0E0000]yyyy-mm-dd")</f>
        <v/>
      </c>
    </row>
    <row r="83728">
      <c r="A83728" s="1" t="n">
        <v>83727</v>
      </c>
      <c r="B83728">
        <f>TEXT(83727, "[$-0E0000]yyyy-mm-dd")</f>
        <v/>
      </c>
    </row>
    <row r="83729">
      <c r="A83729" s="1" t="n">
        <v>83728</v>
      </c>
      <c r="B83729">
        <f>TEXT(83728, "[$-0E0000]yyyy-mm-dd")</f>
        <v/>
      </c>
    </row>
    <row r="83730">
      <c r="A83730" s="1" t="n">
        <v>83729</v>
      </c>
      <c r="B83730">
        <f>TEXT(83729, "[$-0E0000]yyyy-mm-dd")</f>
        <v/>
      </c>
    </row>
    <row r="83731">
      <c r="A83731" s="1" t="n">
        <v>83730</v>
      </c>
      <c r="B83731">
        <f>TEXT(83730, "[$-0E0000]yyyy-mm-dd")</f>
        <v/>
      </c>
    </row>
    <row r="83732">
      <c r="A83732" s="1" t="n">
        <v>83731</v>
      </c>
      <c r="B83732">
        <f>TEXT(83731, "[$-0E0000]yyyy-mm-dd")</f>
        <v/>
      </c>
    </row>
    <row r="83733">
      <c r="A83733" s="1" t="n">
        <v>83732</v>
      </c>
      <c r="B83733">
        <f>TEXT(83732, "[$-0E0000]yyyy-mm-dd")</f>
        <v/>
      </c>
    </row>
    <row r="83734">
      <c r="A83734" s="1" t="n">
        <v>83733</v>
      </c>
      <c r="B83734">
        <f>TEXT(83733, "[$-0E0000]yyyy-mm-dd")</f>
        <v/>
      </c>
    </row>
    <row r="83735">
      <c r="A83735" s="1" t="n">
        <v>83734</v>
      </c>
      <c r="B83735">
        <f>TEXT(83734, "[$-0E0000]yyyy-mm-dd")</f>
        <v/>
      </c>
    </row>
    <row r="83736">
      <c r="A83736" s="1" t="n">
        <v>83735</v>
      </c>
      <c r="B83736">
        <f>TEXT(83735, "[$-0E0000]yyyy-mm-dd")</f>
        <v/>
      </c>
    </row>
    <row r="83737">
      <c r="A83737" s="1" t="n">
        <v>83736</v>
      </c>
      <c r="B83737">
        <f>TEXT(83736, "[$-0E0000]yyyy-mm-dd")</f>
        <v/>
      </c>
    </row>
    <row r="83738">
      <c r="A83738" s="1" t="n">
        <v>83737</v>
      </c>
      <c r="B83738">
        <f>TEXT(83737, "[$-0E0000]yyyy-mm-dd")</f>
        <v/>
      </c>
    </row>
    <row r="83739">
      <c r="A83739" s="1" t="n">
        <v>83738</v>
      </c>
      <c r="B83739">
        <f>TEXT(83738, "[$-0E0000]yyyy-mm-dd")</f>
        <v/>
      </c>
    </row>
    <row r="83740">
      <c r="A83740" s="1" t="n">
        <v>83739</v>
      </c>
      <c r="B83740">
        <f>TEXT(83739, "[$-0E0000]yyyy-mm-dd")</f>
        <v/>
      </c>
    </row>
    <row r="83741">
      <c r="A83741" s="1" t="n">
        <v>83740</v>
      </c>
      <c r="B83741">
        <f>TEXT(83740, "[$-0E0000]yyyy-mm-dd")</f>
        <v/>
      </c>
    </row>
    <row r="83742">
      <c r="A83742" s="1" t="n">
        <v>83741</v>
      </c>
      <c r="B83742">
        <f>TEXT(83741, "[$-0E0000]yyyy-mm-dd")</f>
        <v/>
      </c>
    </row>
    <row r="83743">
      <c r="A83743" s="1" t="n">
        <v>83742</v>
      </c>
      <c r="B83743">
        <f>TEXT(83742, "[$-0E0000]yyyy-mm-dd")</f>
        <v/>
      </c>
    </row>
    <row r="83744">
      <c r="A83744" s="1" t="n">
        <v>83743</v>
      </c>
      <c r="B83744">
        <f>TEXT(83743, "[$-0E0000]yyyy-mm-dd")</f>
        <v/>
      </c>
    </row>
    <row r="83745">
      <c r="A83745" s="1" t="n">
        <v>83744</v>
      </c>
      <c r="B83745">
        <f>TEXT(83744, "[$-0E0000]yyyy-mm-dd")</f>
        <v/>
      </c>
    </row>
    <row r="83746">
      <c r="A83746" s="1" t="n">
        <v>83745</v>
      </c>
      <c r="B83746">
        <f>TEXT(83745, "[$-0E0000]yyyy-mm-dd")</f>
        <v/>
      </c>
    </row>
    <row r="83747">
      <c r="A83747" s="1" t="n">
        <v>83746</v>
      </c>
      <c r="B83747">
        <f>TEXT(83746, "[$-0E0000]yyyy-mm-dd")</f>
        <v/>
      </c>
    </row>
    <row r="83748">
      <c r="A83748" s="1" t="n">
        <v>83747</v>
      </c>
      <c r="B83748">
        <f>TEXT(83747, "[$-0E0000]yyyy-mm-dd")</f>
        <v/>
      </c>
    </row>
    <row r="83749">
      <c r="A83749" s="1" t="n">
        <v>83748</v>
      </c>
      <c r="B83749">
        <f>TEXT(83748, "[$-0E0000]yyyy-mm-dd")</f>
        <v/>
      </c>
    </row>
    <row r="83750">
      <c r="A83750" s="1" t="n">
        <v>83749</v>
      </c>
      <c r="B83750">
        <f>TEXT(83749, "[$-0E0000]yyyy-mm-dd")</f>
        <v/>
      </c>
    </row>
    <row r="83751">
      <c r="A83751" s="1" t="n">
        <v>83750</v>
      </c>
      <c r="B83751">
        <f>TEXT(83750, "[$-0E0000]yyyy-mm-dd")</f>
        <v/>
      </c>
    </row>
    <row r="83752">
      <c r="A83752" s="1" t="n">
        <v>83751</v>
      </c>
      <c r="B83752">
        <f>TEXT(83751, "[$-0E0000]yyyy-mm-dd")</f>
        <v/>
      </c>
    </row>
    <row r="83753">
      <c r="A83753" s="1" t="n">
        <v>83752</v>
      </c>
      <c r="B83753">
        <f>TEXT(83752, "[$-0E0000]yyyy-mm-dd")</f>
        <v/>
      </c>
    </row>
    <row r="83754">
      <c r="A83754" s="1" t="n">
        <v>83753</v>
      </c>
      <c r="B83754">
        <f>TEXT(83753, "[$-0E0000]yyyy-mm-dd")</f>
        <v/>
      </c>
    </row>
    <row r="83755">
      <c r="A83755" s="1" t="n">
        <v>83754</v>
      </c>
      <c r="B83755">
        <f>TEXT(83754, "[$-0E0000]yyyy-mm-dd")</f>
        <v/>
      </c>
    </row>
    <row r="83756">
      <c r="A83756" s="1" t="n">
        <v>83755</v>
      </c>
      <c r="B83756">
        <f>TEXT(83755, "[$-0E0000]yyyy-mm-dd")</f>
        <v/>
      </c>
    </row>
    <row r="83757">
      <c r="A83757" s="1" t="n">
        <v>83756</v>
      </c>
      <c r="B83757">
        <f>TEXT(83756, "[$-0E0000]yyyy-mm-dd")</f>
        <v/>
      </c>
    </row>
    <row r="83758">
      <c r="A83758" s="1" t="n">
        <v>83757</v>
      </c>
      <c r="B83758">
        <f>TEXT(83757, "[$-0E0000]yyyy-mm-dd")</f>
        <v/>
      </c>
    </row>
    <row r="83759">
      <c r="A83759" s="1" t="n">
        <v>83758</v>
      </c>
      <c r="B83759">
        <f>TEXT(83758, "[$-0E0000]yyyy-mm-dd")</f>
        <v/>
      </c>
    </row>
    <row r="83760">
      <c r="A83760" s="1" t="n">
        <v>83759</v>
      </c>
      <c r="B83760">
        <f>TEXT(83759, "[$-0E0000]yyyy-mm-dd")</f>
        <v/>
      </c>
    </row>
    <row r="83761">
      <c r="A83761" s="1" t="n">
        <v>83760</v>
      </c>
      <c r="B83761">
        <f>TEXT(83760, "[$-0E0000]yyyy-mm-dd")</f>
        <v/>
      </c>
    </row>
    <row r="83762">
      <c r="A83762" s="1" t="n">
        <v>83761</v>
      </c>
      <c r="B83762">
        <f>TEXT(83761, "[$-0E0000]yyyy-mm-dd")</f>
        <v/>
      </c>
    </row>
    <row r="83763">
      <c r="A83763" s="1" t="n">
        <v>83762</v>
      </c>
      <c r="B83763">
        <f>TEXT(83762, "[$-0E0000]yyyy-mm-dd")</f>
        <v/>
      </c>
    </row>
    <row r="83764">
      <c r="A83764" s="1" t="n">
        <v>83763</v>
      </c>
      <c r="B83764">
        <f>TEXT(83763, "[$-0E0000]yyyy-mm-dd")</f>
        <v/>
      </c>
    </row>
    <row r="83765">
      <c r="A83765" s="1" t="n">
        <v>83764</v>
      </c>
      <c r="B83765">
        <f>TEXT(83764, "[$-0E0000]yyyy-mm-dd")</f>
        <v/>
      </c>
    </row>
    <row r="83766">
      <c r="A83766" s="1" t="n">
        <v>83765</v>
      </c>
      <c r="B83766">
        <f>TEXT(83765, "[$-0E0000]yyyy-mm-dd")</f>
        <v/>
      </c>
    </row>
    <row r="83767">
      <c r="A83767" s="1" t="n">
        <v>83766</v>
      </c>
      <c r="B83767">
        <f>TEXT(83766, "[$-0E0000]yyyy-mm-dd")</f>
        <v/>
      </c>
    </row>
    <row r="83768">
      <c r="A83768" s="1" t="n">
        <v>83767</v>
      </c>
      <c r="B83768">
        <f>TEXT(83767, "[$-0E0000]yyyy-mm-dd")</f>
        <v/>
      </c>
    </row>
    <row r="83769">
      <c r="A83769" s="1" t="n">
        <v>83768</v>
      </c>
      <c r="B83769">
        <f>TEXT(83768, "[$-0E0000]yyyy-mm-dd")</f>
        <v/>
      </c>
    </row>
    <row r="83770">
      <c r="A83770" s="1" t="n">
        <v>83769</v>
      </c>
      <c r="B83770">
        <f>TEXT(83769, "[$-0E0000]yyyy-mm-dd")</f>
        <v/>
      </c>
    </row>
    <row r="83771">
      <c r="A83771" s="1" t="n">
        <v>83770</v>
      </c>
      <c r="B83771">
        <f>TEXT(83770, "[$-0E0000]yyyy-mm-dd")</f>
        <v/>
      </c>
    </row>
    <row r="83772">
      <c r="A83772" s="1" t="n">
        <v>83771</v>
      </c>
      <c r="B83772">
        <f>TEXT(83771, "[$-0E0000]yyyy-mm-dd")</f>
        <v/>
      </c>
    </row>
    <row r="83773">
      <c r="A83773" s="1" t="n">
        <v>83772</v>
      </c>
      <c r="B83773">
        <f>TEXT(83772, "[$-0E0000]yyyy-mm-dd")</f>
        <v/>
      </c>
    </row>
    <row r="83774">
      <c r="A83774" s="1" t="n">
        <v>83773</v>
      </c>
      <c r="B83774">
        <f>TEXT(83773, "[$-0E0000]yyyy-mm-dd")</f>
        <v/>
      </c>
    </row>
    <row r="83775">
      <c r="A83775" s="1" t="n">
        <v>83774</v>
      </c>
      <c r="B83775">
        <f>TEXT(83774, "[$-0E0000]yyyy-mm-dd")</f>
        <v/>
      </c>
    </row>
    <row r="83776">
      <c r="A83776" s="1" t="n">
        <v>83775</v>
      </c>
      <c r="B83776">
        <f>TEXT(83775, "[$-0E0000]yyyy-mm-dd")</f>
        <v/>
      </c>
    </row>
    <row r="83777">
      <c r="A83777" s="1" t="n">
        <v>83776</v>
      </c>
      <c r="B83777">
        <f>TEXT(83776, "[$-0E0000]yyyy-mm-dd")</f>
        <v/>
      </c>
    </row>
    <row r="83778">
      <c r="A83778" s="1" t="n">
        <v>83777</v>
      </c>
      <c r="B83778">
        <f>TEXT(83777, "[$-0E0000]yyyy-mm-dd")</f>
        <v/>
      </c>
    </row>
    <row r="83779">
      <c r="A83779" s="1" t="n">
        <v>83778</v>
      </c>
      <c r="B83779">
        <f>TEXT(83778, "[$-0E0000]yyyy-mm-dd")</f>
        <v/>
      </c>
    </row>
    <row r="83780">
      <c r="A83780" s="1" t="n">
        <v>83779</v>
      </c>
      <c r="B83780">
        <f>TEXT(83779, "[$-0E0000]yyyy-mm-dd")</f>
        <v/>
      </c>
    </row>
    <row r="83781">
      <c r="A83781" s="1" t="n">
        <v>83780</v>
      </c>
      <c r="B83781">
        <f>TEXT(83780, "[$-0E0000]yyyy-mm-dd")</f>
        <v/>
      </c>
    </row>
    <row r="83782">
      <c r="A83782" s="1" t="n">
        <v>83781</v>
      </c>
      <c r="B83782">
        <f>TEXT(83781, "[$-0E0000]yyyy-mm-dd")</f>
        <v/>
      </c>
    </row>
    <row r="83783">
      <c r="A83783" s="1" t="n">
        <v>83782</v>
      </c>
      <c r="B83783">
        <f>TEXT(83782, "[$-0E0000]yyyy-mm-dd")</f>
        <v/>
      </c>
    </row>
    <row r="83784">
      <c r="A83784" s="1" t="n">
        <v>83783</v>
      </c>
      <c r="B83784">
        <f>TEXT(83783, "[$-0E0000]yyyy-mm-dd")</f>
        <v/>
      </c>
    </row>
    <row r="83785">
      <c r="A83785" s="1" t="n">
        <v>83784</v>
      </c>
      <c r="B83785">
        <f>TEXT(83784, "[$-0E0000]yyyy-mm-dd")</f>
        <v/>
      </c>
    </row>
    <row r="83786">
      <c r="A83786" s="1" t="n">
        <v>83785</v>
      </c>
      <c r="B83786">
        <f>TEXT(83785, "[$-0E0000]yyyy-mm-dd")</f>
        <v/>
      </c>
    </row>
    <row r="83787">
      <c r="A83787" s="1" t="n">
        <v>83786</v>
      </c>
      <c r="B83787">
        <f>TEXT(83786, "[$-0E0000]yyyy-mm-dd")</f>
        <v/>
      </c>
    </row>
    <row r="83788">
      <c r="A83788" s="1" t="n">
        <v>83787</v>
      </c>
      <c r="B83788">
        <f>TEXT(83787, "[$-0E0000]yyyy-mm-dd")</f>
        <v/>
      </c>
    </row>
    <row r="83789">
      <c r="A83789" s="1" t="n">
        <v>83788</v>
      </c>
      <c r="B83789">
        <f>TEXT(83788, "[$-0E0000]yyyy-mm-dd")</f>
        <v/>
      </c>
    </row>
    <row r="83790">
      <c r="A83790" s="1" t="n">
        <v>83789</v>
      </c>
      <c r="B83790">
        <f>TEXT(83789, "[$-0E0000]yyyy-mm-dd")</f>
        <v/>
      </c>
    </row>
    <row r="83791">
      <c r="A83791" s="1" t="n">
        <v>83790</v>
      </c>
      <c r="B83791">
        <f>TEXT(83790, "[$-0E0000]yyyy-mm-dd")</f>
        <v/>
      </c>
    </row>
    <row r="83792">
      <c r="A83792" s="1" t="n">
        <v>83791</v>
      </c>
      <c r="B83792">
        <f>TEXT(83791, "[$-0E0000]yyyy-mm-dd")</f>
        <v/>
      </c>
    </row>
    <row r="83793">
      <c r="A83793" s="1" t="n">
        <v>83792</v>
      </c>
      <c r="B83793">
        <f>TEXT(83792, "[$-0E0000]yyyy-mm-dd")</f>
        <v/>
      </c>
    </row>
    <row r="83794">
      <c r="A83794" s="1" t="n">
        <v>83793</v>
      </c>
      <c r="B83794">
        <f>TEXT(83793, "[$-0E0000]yyyy-mm-dd")</f>
        <v/>
      </c>
    </row>
    <row r="83795">
      <c r="A83795" s="1" t="n">
        <v>83794</v>
      </c>
      <c r="B83795">
        <f>TEXT(83794, "[$-0E0000]yyyy-mm-dd")</f>
        <v/>
      </c>
    </row>
    <row r="83796">
      <c r="A83796" s="1" t="n">
        <v>83795</v>
      </c>
      <c r="B83796">
        <f>TEXT(83795, "[$-0E0000]yyyy-mm-dd")</f>
        <v/>
      </c>
    </row>
    <row r="83797">
      <c r="A83797" s="1" t="n">
        <v>83796</v>
      </c>
      <c r="B83797">
        <f>TEXT(83796, "[$-0E0000]yyyy-mm-dd")</f>
        <v/>
      </c>
    </row>
    <row r="83798">
      <c r="A83798" s="1" t="n">
        <v>83797</v>
      </c>
      <c r="B83798">
        <f>TEXT(83797, "[$-0E0000]yyyy-mm-dd")</f>
        <v/>
      </c>
    </row>
    <row r="83799">
      <c r="A83799" s="1" t="n">
        <v>83798</v>
      </c>
      <c r="B83799">
        <f>TEXT(83798, "[$-0E0000]yyyy-mm-dd")</f>
        <v/>
      </c>
    </row>
    <row r="83800">
      <c r="A83800" s="1" t="n">
        <v>83799</v>
      </c>
      <c r="B83800">
        <f>TEXT(83799, "[$-0E0000]yyyy-mm-dd")</f>
        <v/>
      </c>
    </row>
    <row r="83801">
      <c r="A83801" s="1" t="n">
        <v>83800</v>
      </c>
      <c r="B83801">
        <f>TEXT(83800, "[$-0E0000]yyyy-mm-dd")</f>
        <v/>
      </c>
    </row>
    <row r="83802">
      <c r="A83802" s="1" t="n">
        <v>83801</v>
      </c>
      <c r="B83802">
        <f>TEXT(83801, "[$-0E0000]yyyy-mm-dd")</f>
        <v/>
      </c>
    </row>
    <row r="83803">
      <c r="A83803" s="1" t="n">
        <v>83802</v>
      </c>
      <c r="B83803">
        <f>TEXT(83802, "[$-0E0000]yyyy-mm-dd")</f>
        <v/>
      </c>
    </row>
    <row r="83804">
      <c r="A83804" s="1" t="n">
        <v>83803</v>
      </c>
      <c r="B83804">
        <f>TEXT(83803, "[$-0E0000]yyyy-mm-dd")</f>
        <v/>
      </c>
    </row>
    <row r="83805">
      <c r="A83805" s="1" t="n">
        <v>83804</v>
      </c>
      <c r="B83805">
        <f>TEXT(83804, "[$-0E0000]yyyy-mm-dd")</f>
        <v/>
      </c>
    </row>
    <row r="83806">
      <c r="A83806" s="1" t="n">
        <v>83805</v>
      </c>
      <c r="B83806">
        <f>TEXT(83805, "[$-0E0000]yyyy-mm-dd")</f>
        <v/>
      </c>
    </row>
    <row r="83807">
      <c r="A83807" s="1" t="n">
        <v>83806</v>
      </c>
      <c r="B83807">
        <f>TEXT(83806, "[$-0E0000]yyyy-mm-dd")</f>
        <v/>
      </c>
    </row>
    <row r="83808">
      <c r="A83808" s="1" t="n">
        <v>83807</v>
      </c>
      <c r="B83808">
        <f>TEXT(83807, "[$-0E0000]yyyy-mm-dd")</f>
        <v/>
      </c>
    </row>
    <row r="83809">
      <c r="A83809" s="1" t="n">
        <v>83808</v>
      </c>
      <c r="B83809">
        <f>TEXT(83808, "[$-0E0000]yyyy-mm-dd")</f>
        <v/>
      </c>
    </row>
    <row r="83810">
      <c r="A83810" s="1" t="n">
        <v>83809</v>
      </c>
      <c r="B83810">
        <f>TEXT(83809, "[$-0E0000]yyyy-mm-dd")</f>
        <v/>
      </c>
    </row>
    <row r="83811">
      <c r="A83811" s="1" t="n">
        <v>83810</v>
      </c>
      <c r="B83811">
        <f>TEXT(83810, "[$-0E0000]yyyy-mm-dd")</f>
        <v/>
      </c>
    </row>
    <row r="83812">
      <c r="A83812" s="1" t="n">
        <v>83811</v>
      </c>
      <c r="B83812">
        <f>TEXT(83811, "[$-0E0000]yyyy-mm-dd")</f>
        <v/>
      </c>
    </row>
    <row r="83813">
      <c r="A83813" s="1" t="n">
        <v>83812</v>
      </c>
      <c r="B83813">
        <f>TEXT(83812, "[$-0E0000]yyyy-mm-dd")</f>
        <v/>
      </c>
    </row>
    <row r="83814">
      <c r="A83814" s="1" t="n">
        <v>83813</v>
      </c>
      <c r="B83814">
        <f>TEXT(83813, "[$-0E0000]yyyy-mm-dd")</f>
        <v/>
      </c>
    </row>
    <row r="83815">
      <c r="A83815" s="1" t="n">
        <v>83814</v>
      </c>
      <c r="B83815">
        <f>TEXT(83814, "[$-0E0000]yyyy-mm-dd")</f>
        <v/>
      </c>
    </row>
    <row r="83816">
      <c r="A83816" s="1" t="n">
        <v>83815</v>
      </c>
      <c r="B83816">
        <f>TEXT(83815, "[$-0E0000]yyyy-mm-dd")</f>
        <v/>
      </c>
    </row>
    <row r="83817">
      <c r="A83817" s="1" t="n">
        <v>83816</v>
      </c>
      <c r="B83817">
        <f>TEXT(83816, "[$-0E0000]yyyy-mm-dd")</f>
        <v/>
      </c>
    </row>
    <row r="83818">
      <c r="A83818" s="1" t="n">
        <v>83817</v>
      </c>
      <c r="B83818">
        <f>TEXT(83817, "[$-0E0000]yyyy-mm-dd")</f>
        <v/>
      </c>
    </row>
    <row r="83819">
      <c r="A83819" s="1" t="n">
        <v>83818</v>
      </c>
      <c r="B83819">
        <f>TEXT(83818, "[$-0E0000]yyyy-mm-dd")</f>
        <v/>
      </c>
    </row>
    <row r="83820">
      <c r="A83820" s="1" t="n">
        <v>83819</v>
      </c>
      <c r="B83820">
        <f>TEXT(83819, "[$-0E0000]yyyy-mm-dd")</f>
        <v/>
      </c>
    </row>
    <row r="83821">
      <c r="A83821" s="1" t="n">
        <v>83820</v>
      </c>
      <c r="B83821">
        <f>TEXT(83820, "[$-0E0000]yyyy-mm-dd")</f>
        <v/>
      </c>
    </row>
    <row r="83822">
      <c r="A83822" s="1" t="n">
        <v>83821</v>
      </c>
      <c r="B83822">
        <f>TEXT(83821, "[$-0E0000]yyyy-mm-dd")</f>
        <v/>
      </c>
    </row>
    <row r="83823">
      <c r="A83823" s="1" t="n">
        <v>83822</v>
      </c>
      <c r="B83823">
        <f>TEXT(83822, "[$-0E0000]yyyy-mm-dd")</f>
        <v/>
      </c>
    </row>
    <row r="83824">
      <c r="A83824" s="1" t="n">
        <v>83823</v>
      </c>
      <c r="B83824">
        <f>TEXT(83823, "[$-0E0000]yyyy-mm-dd")</f>
        <v/>
      </c>
    </row>
    <row r="83825">
      <c r="A83825" s="1" t="n">
        <v>83824</v>
      </c>
      <c r="B83825">
        <f>TEXT(83824, "[$-0E0000]yyyy-mm-dd")</f>
        <v/>
      </c>
    </row>
    <row r="83826">
      <c r="A83826" s="1" t="n">
        <v>83825</v>
      </c>
      <c r="B83826">
        <f>TEXT(83825, "[$-0E0000]yyyy-mm-dd")</f>
        <v/>
      </c>
    </row>
    <row r="83827">
      <c r="A83827" s="1" t="n">
        <v>83826</v>
      </c>
      <c r="B83827">
        <f>TEXT(83826, "[$-0E0000]yyyy-mm-dd")</f>
        <v/>
      </c>
    </row>
    <row r="83828">
      <c r="A83828" s="1" t="n">
        <v>83827</v>
      </c>
      <c r="B83828">
        <f>TEXT(83827, "[$-0E0000]yyyy-mm-dd")</f>
        <v/>
      </c>
    </row>
    <row r="83829">
      <c r="A83829" s="1" t="n">
        <v>83828</v>
      </c>
      <c r="B83829">
        <f>TEXT(83828, "[$-0E0000]yyyy-mm-dd")</f>
        <v/>
      </c>
    </row>
    <row r="83830">
      <c r="A83830" s="1" t="n">
        <v>83829</v>
      </c>
      <c r="B83830">
        <f>TEXT(83829, "[$-0E0000]yyyy-mm-dd")</f>
        <v/>
      </c>
    </row>
    <row r="83831">
      <c r="A83831" s="1" t="n">
        <v>83830</v>
      </c>
      <c r="B83831">
        <f>TEXT(83830, "[$-0E0000]yyyy-mm-dd")</f>
        <v/>
      </c>
    </row>
    <row r="83832">
      <c r="A83832" s="1" t="n">
        <v>83831</v>
      </c>
      <c r="B83832">
        <f>TEXT(83831, "[$-0E0000]yyyy-mm-dd")</f>
        <v/>
      </c>
    </row>
    <row r="83833">
      <c r="A83833" s="1" t="n">
        <v>83832</v>
      </c>
      <c r="B83833">
        <f>TEXT(83832, "[$-0E0000]yyyy-mm-dd")</f>
        <v/>
      </c>
    </row>
    <row r="83834">
      <c r="A83834" s="1" t="n">
        <v>83833</v>
      </c>
      <c r="B83834">
        <f>TEXT(83833, "[$-0E0000]yyyy-mm-dd")</f>
        <v/>
      </c>
    </row>
    <row r="83835">
      <c r="A83835" s="1" t="n">
        <v>83834</v>
      </c>
      <c r="B83835">
        <f>TEXT(83834, "[$-0E0000]yyyy-mm-dd")</f>
        <v/>
      </c>
    </row>
    <row r="83836">
      <c r="A83836" s="1" t="n">
        <v>83835</v>
      </c>
      <c r="B83836">
        <f>TEXT(83835, "[$-0E0000]yyyy-mm-dd")</f>
        <v/>
      </c>
    </row>
    <row r="83837">
      <c r="A83837" s="1" t="n">
        <v>83836</v>
      </c>
      <c r="B83837">
        <f>TEXT(83836, "[$-0E0000]yyyy-mm-dd")</f>
        <v/>
      </c>
    </row>
    <row r="83838">
      <c r="A83838" s="1" t="n">
        <v>83837</v>
      </c>
      <c r="B83838">
        <f>TEXT(83837, "[$-0E0000]yyyy-mm-dd")</f>
        <v/>
      </c>
    </row>
    <row r="83839">
      <c r="A83839" s="1" t="n">
        <v>83838</v>
      </c>
      <c r="B83839">
        <f>TEXT(83838, "[$-0E0000]yyyy-mm-dd")</f>
        <v/>
      </c>
    </row>
    <row r="83840">
      <c r="A83840" s="1" t="n">
        <v>83839</v>
      </c>
      <c r="B83840">
        <f>TEXT(83839, "[$-0E0000]yyyy-mm-dd")</f>
        <v/>
      </c>
    </row>
    <row r="83841">
      <c r="A83841" s="1" t="n">
        <v>83840</v>
      </c>
      <c r="B83841">
        <f>TEXT(83840, "[$-0E0000]yyyy-mm-dd")</f>
        <v/>
      </c>
    </row>
    <row r="83842">
      <c r="A83842" s="1" t="n">
        <v>83841</v>
      </c>
      <c r="B83842">
        <f>TEXT(83841, "[$-0E0000]yyyy-mm-dd")</f>
        <v/>
      </c>
    </row>
    <row r="83843">
      <c r="A83843" s="1" t="n">
        <v>83842</v>
      </c>
      <c r="B83843">
        <f>TEXT(83842, "[$-0E0000]yyyy-mm-dd")</f>
        <v/>
      </c>
    </row>
    <row r="83844">
      <c r="A83844" s="1" t="n">
        <v>83843</v>
      </c>
      <c r="B83844">
        <f>TEXT(83843, "[$-0E0000]yyyy-mm-dd")</f>
        <v/>
      </c>
    </row>
    <row r="83845">
      <c r="A83845" s="1" t="n">
        <v>83844</v>
      </c>
      <c r="B83845">
        <f>TEXT(83844, "[$-0E0000]yyyy-mm-dd")</f>
        <v/>
      </c>
    </row>
    <row r="83846">
      <c r="A83846" s="1" t="n">
        <v>83845</v>
      </c>
      <c r="B83846">
        <f>TEXT(83845, "[$-0E0000]yyyy-mm-dd")</f>
        <v/>
      </c>
    </row>
    <row r="83847">
      <c r="A83847" s="1" t="n">
        <v>83846</v>
      </c>
      <c r="B83847">
        <f>TEXT(83846, "[$-0E0000]yyyy-mm-dd")</f>
        <v/>
      </c>
    </row>
    <row r="83848">
      <c r="A83848" s="1" t="n">
        <v>83847</v>
      </c>
      <c r="B83848">
        <f>TEXT(83847, "[$-0E0000]yyyy-mm-dd")</f>
        <v/>
      </c>
    </row>
    <row r="83849">
      <c r="A83849" s="1" t="n">
        <v>83848</v>
      </c>
      <c r="B83849">
        <f>TEXT(83848, "[$-0E0000]yyyy-mm-dd")</f>
        <v/>
      </c>
    </row>
    <row r="83850">
      <c r="A83850" s="1" t="n">
        <v>83849</v>
      </c>
      <c r="B83850">
        <f>TEXT(83849, "[$-0E0000]yyyy-mm-dd")</f>
        <v/>
      </c>
    </row>
    <row r="83851">
      <c r="A83851" s="1" t="n">
        <v>83850</v>
      </c>
      <c r="B83851">
        <f>TEXT(83850, "[$-0E0000]yyyy-mm-dd")</f>
        <v/>
      </c>
    </row>
    <row r="83852">
      <c r="A83852" s="1" t="n">
        <v>83851</v>
      </c>
      <c r="B83852">
        <f>TEXT(83851, "[$-0E0000]yyyy-mm-dd")</f>
        <v/>
      </c>
    </row>
    <row r="83853">
      <c r="A83853" s="1" t="n">
        <v>83852</v>
      </c>
      <c r="B83853">
        <f>TEXT(83852, "[$-0E0000]yyyy-mm-dd")</f>
        <v/>
      </c>
    </row>
    <row r="83854">
      <c r="A83854" s="1" t="n">
        <v>83853</v>
      </c>
      <c r="B83854">
        <f>TEXT(83853, "[$-0E0000]yyyy-mm-dd")</f>
        <v/>
      </c>
    </row>
    <row r="83855">
      <c r="A83855" s="1" t="n">
        <v>83854</v>
      </c>
      <c r="B83855">
        <f>TEXT(83854, "[$-0E0000]yyyy-mm-dd")</f>
        <v/>
      </c>
    </row>
    <row r="83856">
      <c r="A83856" s="1" t="n">
        <v>83855</v>
      </c>
      <c r="B83856">
        <f>TEXT(83855, "[$-0E0000]yyyy-mm-dd")</f>
        <v/>
      </c>
    </row>
    <row r="83857">
      <c r="A83857" s="1" t="n">
        <v>83856</v>
      </c>
      <c r="B83857">
        <f>TEXT(83856, "[$-0E0000]yyyy-mm-dd")</f>
        <v/>
      </c>
    </row>
    <row r="83858">
      <c r="A83858" s="1" t="n">
        <v>83857</v>
      </c>
      <c r="B83858">
        <f>TEXT(83857, "[$-0E0000]yyyy-mm-dd")</f>
        <v/>
      </c>
    </row>
    <row r="83859">
      <c r="A83859" s="1" t="n">
        <v>83858</v>
      </c>
      <c r="B83859">
        <f>TEXT(83858, "[$-0E0000]yyyy-mm-dd")</f>
        <v/>
      </c>
    </row>
    <row r="83860">
      <c r="A83860" s="1" t="n">
        <v>83859</v>
      </c>
      <c r="B83860">
        <f>TEXT(83859, "[$-0E0000]yyyy-mm-dd")</f>
        <v/>
      </c>
    </row>
    <row r="83861">
      <c r="A83861" s="1" t="n">
        <v>83860</v>
      </c>
      <c r="B83861">
        <f>TEXT(83860, "[$-0E0000]yyyy-mm-dd")</f>
        <v/>
      </c>
    </row>
    <row r="83862">
      <c r="A83862" s="1" t="n">
        <v>83861</v>
      </c>
      <c r="B83862">
        <f>TEXT(83861, "[$-0E0000]yyyy-mm-dd")</f>
        <v/>
      </c>
    </row>
    <row r="83863">
      <c r="A83863" s="1" t="n">
        <v>83862</v>
      </c>
      <c r="B83863">
        <f>TEXT(83862, "[$-0E0000]yyyy-mm-dd")</f>
        <v/>
      </c>
    </row>
    <row r="83864">
      <c r="A83864" s="1" t="n">
        <v>83863</v>
      </c>
      <c r="B83864">
        <f>TEXT(83863, "[$-0E0000]yyyy-mm-dd")</f>
        <v/>
      </c>
    </row>
    <row r="83865">
      <c r="A83865" s="1" t="n">
        <v>83864</v>
      </c>
      <c r="B83865">
        <f>TEXT(83864, "[$-0E0000]yyyy-mm-dd")</f>
        <v/>
      </c>
    </row>
    <row r="83866">
      <c r="A83866" s="1" t="n">
        <v>83865</v>
      </c>
      <c r="B83866">
        <f>TEXT(83865, "[$-0E0000]yyyy-mm-dd")</f>
        <v/>
      </c>
    </row>
    <row r="83867">
      <c r="A83867" s="1" t="n">
        <v>83866</v>
      </c>
      <c r="B83867">
        <f>TEXT(83866, "[$-0E0000]yyyy-mm-dd")</f>
        <v/>
      </c>
    </row>
    <row r="83868">
      <c r="A83868" s="1" t="n">
        <v>83867</v>
      </c>
      <c r="B83868">
        <f>TEXT(83867, "[$-0E0000]yyyy-mm-dd")</f>
        <v/>
      </c>
    </row>
    <row r="83869">
      <c r="A83869" s="1" t="n">
        <v>83868</v>
      </c>
      <c r="B83869">
        <f>TEXT(83868, "[$-0E0000]yyyy-mm-dd")</f>
        <v/>
      </c>
    </row>
    <row r="83870">
      <c r="A83870" s="1" t="n">
        <v>83869</v>
      </c>
      <c r="B83870">
        <f>TEXT(83869, "[$-0E0000]yyyy-mm-dd")</f>
        <v/>
      </c>
    </row>
    <row r="83871">
      <c r="A83871" s="1" t="n">
        <v>83870</v>
      </c>
      <c r="B83871">
        <f>TEXT(83870, "[$-0E0000]yyyy-mm-dd")</f>
        <v/>
      </c>
    </row>
    <row r="83872">
      <c r="A83872" s="1" t="n">
        <v>83871</v>
      </c>
      <c r="B83872">
        <f>TEXT(83871, "[$-0E0000]yyyy-mm-dd")</f>
        <v/>
      </c>
    </row>
    <row r="83873">
      <c r="A83873" s="1" t="n">
        <v>83872</v>
      </c>
      <c r="B83873">
        <f>TEXT(83872, "[$-0E0000]yyyy-mm-dd")</f>
        <v/>
      </c>
    </row>
    <row r="83874">
      <c r="A83874" s="1" t="n">
        <v>83873</v>
      </c>
      <c r="B83874">
        <f>TEXT(83873, "[$-0E0000]yyyy-mm-dd")</f>
        <v/>
      </c>
    </row>
    <row r="83875">
      <c r="A83875" s="1" t="n">
        <v>83874</v>
      </c>
      <c r="B83875">
        <f>TEXT(83874, "[$-0E0000]yyyy-mm-dd")</f>
        <v/>
      </c>
    </row>
    <row r="83876">
      <c r="A83876" s="1" t="n">
        <v>83875</v>
      </c>
      <c r="B83876">
        <f>TEXT(83875, "[$-0E0000]yyyy-mm-dd")</f>
        <v/>
      </c>
    </row>
    <row r="83877">
      <c r="A83877" s="1" t="n">
        <v>83876</v>
      </c>
      <c r="B83877">
        <f>TEXT(83876, "[$-0E0000]yyyy-mm-dd")</f>
        <v/>
      </c>
    </row>
    <row r="83878">
      <c r="A83878" s="1" t="n">
        <v>83877</v>
      </c>
      <c r="B83878">
        <f>TEXT(83877, "[$-0E0000]yyyy-mm-dd")</f>
        <v/>
      </c>
    </row>
    <row r="83879">
      <c r="A83879" s="1" t="n">
        <v>83878</v>
      </c>
      <c r="B83879">
        <f>TEXT(83878, "[$-0E0000]yyyy-mm-dd")</f>
        <v/>
      </c>
    </row>
    <row r="83880">
      <c r="A83880" s="1" t="n">
        <v>83879</v>
      </c>
      <c r="B83880">
        <f>TEXT(83879, "[$-0E0000]yyyy-mm-dd")</f>
        <v/>
      </c>
    </row>
    <row r="83881">
      <c r="A83881" s="1" t="n">
        <v>83880</v>
      </c>
      <c r="B83881">
        <f>TEXT(83880, "[$-0E0000]yyyy-mm-dd")</f>
        <v/>
      </c>
    </row>
    <row r="83882">
      <c r="A83882" s="1" t="n">
        <v>83881</v>
      </c>
      <c r="B83882">
        <f>TEXT(83881, "[$-0E0000]yyyy-mm-dd")</f>
        <v/>
      </c>
    </row>
    <row r="83883">
      <c r="A83883" s="1" t="n">
        <v>83882</v>
      </c>
      <c r="B83883">
        <f>TEXT(83882, "[$-0E0000]yyyy-mm-dd")</f>
        <v/>
      </c>
    </row>
    <row r="83884">
      <c r="A83884" s="1" t="n">
        <v>83883</v>
      </c>
      <c r="B83884">
        <f>TEXT(83883, "[$-0E0000]yyyy-mm-dd")</f>
        <v/>
      </c>
    </row>
    <row r="83885">
      <c r="A83885" s="1" t="n">
        <v>83884</v>
      </c>
      <c r="B83885">
        <f>TEXT(83884, "[$-0E0000]yyyy-mm-dd")</f>
        <v/>
      </c>
    </row>
    <row r="83886">
      <c r="A83886" s="1" t="n">
        <v>83885</v>
      </c>
      <c r="B83886">
        <f>TEXT(83885, "[$-0E0000]yyyy-mm-dd")</f>
        <v/>
      </c>
    </row>
    <row r="83887">
      <c r="A83887" s="1" t="n">
        <v>83886</v>
      </c>
      <c r="B83887">
        <f>TEXT(83886, "[$-0E0000]yyyy-mm-dd")</f>
        <v/>
      </c>
    </row>
    <row r="83888">
      <c r="A83888" s="1" t="n">
        <v>83887</v>
      </c>
      <c r="B83888">
        <f>TEXT(83887, "[$-0E0000]yyyy-mm-dd")</f>
        <v/>
      </c>
    </row>
    <row r="83889">
      <c r="A83889" s="1" t="n">
        <v>83888</v>
      </c>
      <c r="B83889">
        <f>TEXT(83888, "[$-0E0000]yyyy-mm-dd")</f>
        <v/>
      </c>
    </row>
    <row r="83890">
      <c r="A83890" s="1" t="n">
        <v>83889</v>
      </c>
      <c r="B83890">
        <f>TEXT(83889, "[$-0E0000]yyyy-mm-dd")</f>
        <v/>
      </c>
    </row>
    <row r="83891">
      <c r="A83891" s="1" t="n">
        <v>83890</v>
      </c>
      <c r="B83891">
        <f>TEXT(83890, "[$-0E0000]yyyy-mm-dd")</f>
        <v/>
      </c>
    </row>
    <row r="83892">
      <c r="A83892" s="1" t="n">
        <v>83891</v>
      </c>
      <c r="B83892">
        <f>TEXT(83891, "[$-0E0000]yyyy-mm-dd")</f>
        <v/>
      </c>
    </row>
    <row r="83893">
      <c r="A83893" s="1" t="n">
        <v>83892</v>
      </c>
      <c r="B83893">
        <f>TEXT(83892, "[$-0E0000]yyyy-mm-dd")</f>
        <v/>
      </c>
    </row>
    <row r="83894">
      <c r="A83894" s="1" t="n">
        <v>83893</v>
      </c>
      <c r="B83894">
        <f>TEXT(83893, "[$-0E0000]yyyy-mm-dd")</f>
        <v/>
      </c>
    </row>
    <row r="83895">
      <c r="A83895" s="1" t="n">
        <v>83894</v>
      </c>
      <c r="B83895">
        <f>TEXT(83894, "[$-0E0000]yyyy-mm-dd")</f>
        <v/>
      </c>
    </row>
    <row r="83896">
      <c r="A83896" s="1" t="n">
        <v>83895</v>
      </c>
      <c r="B83896">
        <f>TEXT(83895, "[$-0E0000]yyyy-mm-dd")</f>
        <v/>
      </c>
    </row>
    <row r="83897">
      <c r="A83897" s="1" t="n">
        <v>83896</v>
      </c>
      <c r="B83897">
        <f>TEXT(83896, "[$-0E0000]yyyy-mm-dd")</f>
        <v/>
      </c>
    </row>
    <row r="83898">
      <c r="A83898" s="1" t="n">
        <v>83897</v>
      </c>
      <c r="B83898">
        <f>TEXT(83897, "[$-0E0000]yyyy-mm-dd")</f>
        <v/>
      </c>
    </row>
    <row r="83899">
      <c r="A83899" s="1" t="n">
        <v>83898</v>
      </c>
      <c r="B83899">
        <f>TEXT(83898, "[$-0E0000]yyyy-mm-dd")</f>
        <v/>
      </c>
    </row>
    <row r="83900">
      <c r="A83900" s="1" t="n">
        <v>83899</v>
      </c>
      <c r="B83900">
        <f>TEXT(83899, "[$-0E0000]yyyy-mm-dd")</f>
        <v/>
      </c>
    </row>
    <row r="83901">
      <c r="A83901" s="1" t="n">
        <v>83900</v>
      </c>
      <c r="B83901">
        <f>TEXT(83900, "[$-0E0000]yyyy-mm-dd")</f>
        <v/>
      </c>
    </row>
    <row r="83902">
      <c r="A83902" s="1" t="n">
        <v>83901</v>
      </c>
      <c r="B83902">
        <f>TEXT(83901, "[$-0E0000]yyyy-mm-dd")</f>
        <v/>
      </c>
    </row>
    <row r="83903">
      <c r="A83903" s="1" t="n">
        <v>83902</v>
      </c>
      <c r="B83903">
        <f>TEXT(83902, "[$-0E0000]yyyy-mm-dd")</f>
        <v/>
      </c>
    </row>
    <row r="83904">
      <c r="A83904" s="1" t="n">
        <v>83903</v>
      </c>
      <c r="B83904">
        <f>TEXT(83903, "[$-0E0000]yyyy-mm-dd")</f>
        <v/>
      </c>
    </row>
    <row r="83905">
      <c r="A83905" s="1" t="n">
        <v>83904</v>
      </c>
      <c r="B83905">
        <f>TEXT(83904, "[$-0E0000]yyyy-mm-dd")</f>
        <v/>
      </c>
    </row>
    <row r="83906">
      <c r="A83906" s="1" t="n">
        <v>83905</v>
      </c>
      <c r="B83906">
        <f>TEXT(83905, "[$-0E0000]yyyy-mm-dd")</f>
        <v/>
      </c>
    </row>
    <row r="83907">
      <c r="A83907" s="1" t="n">
        <v>83906</v>
      </c>
      <c r="B83907">
        <f>TEXT(83906, "[$-0E0000]yyyy-mm-dd")</f>
        <v/>
      </c>
    </row>
    <row r="83908">
      <c r="A83908" s="1" t="n">
        <v>83907</v>
      </c>
      <c r="B83908">
        <f>TEXT(83907, "[$-0E0000]yyyy-mm-dd")</f>
        <v/>
      </c>
    </row>
    <row r="83909">
      <c r="A83909" s="1" t="n">
        <v>83908</v>
      </c>
      <c r="B83909">
        <f>TEXT(83908, "[$-0E0000]yyyy-mm-dd")</f>
        <v/>
      </c>
    </row>
    <row r="83910">
      <c r="A83910" s="1" t="n">
        <v>83909</v>
      </c>
      <c r="B83910">
        <f>TEXT(83909, "[$-0E0000]yyyy-mm-dd")</f>
        <v/>
      </c>
    </row>
    <row r="83911">
      <c r="A83911" s="1" t="n">
        <v>83910</v>
      </c>
      <c r="B83911">
        <f>TEXT(83910, "[$-0E0000]yyyy-mm-dd")</f>
        <v/>
      </c>
    </row>
    <row r="83912">
      <c r="A83912" s="1" t="n">
        <v>83911</v>
      </c>
      <c r="B83912">
        <f>TEXT(83911, "[$-0E0000]yyyy-mm-dd")</f>
        <v/>
      </c>
    </row>
    <row r="83913">
      <c r="A83913" s="1" t="n">
        <v>83912</v>
      </c>
      <c r="B83913">
        <f>TEXT(83912, "[$-0E0000]yyyy-mm-dd")</f>
        <v/>
      </c>
    </row>
    <row r="83914">
      <c r="A83914" s="1" t="n">
        <v>83913</v>
      </c>
      <c r="B83914">
        <f>TEXT(83913, "[$-0E0000]yyyy-mm-dd")</f>
        <v/>
      </c>
    </row>
    <row r="83915">
      <c r="A83915" s="1" t="n">
        <v>83914</v>
      </c>
      <c r="B83915">
        <f>TEXT(83914, "[$-0E0000]yyyy-mm-dd")</f>
        <v/>
      </c>
    </row>
    <row r="83916">
      <c r="A83916" s="1" t="n">
        <v>83915</v>
      </c>
      <c r="B83916">
        <f>TEXT(83915, "[$-0E0000]yyyy-mm-dd")</f>
        <v/>
      </c>
    </row>
    <row r="83917">
      <c r="A83917" s="1" t="n">
        <v>83916</v>
      </c>
      <c r="B83917">
        <f>TEXT(83916, "[$-0E0000]yyyy-mm-dd")</f>
        <v/>
      </c>
    </row>
    <row r="83918">
      <c r="A83918" s="1" t="n">
        <v>83917</v>
      </c>
      <c r="B83918">
        <f>TEXT(83917, "[$-0E0000]yyyy-mm-dd")</f>
        <v/>
      </c>
    </row>
    <row r="83919">
      <c r="A83919" s="1" t="n">
        <v>83918</v>
      </c>
      <c r="B83919">
        <f>TEXT(83918, "[$-0E0000]yyyy-mm-dd")</f>
        <v/>
      </c>
    </row>
    <row r="83920">
      <c r="A83920" s="1" t="n">
        <v>83919</v>
      </c>
      <c r="B83920">
        <f>TEXT(83919, "[$-0E0000]yyyy-mm-dd")</f>
        <v/>
      </c>
    </row>
    <row r="83921">
      <c r="A83921" s="1" t="n">
        <v>83920</v>
      </c>
      <c r="B83921">
        <f>TEXT(83920, "[$-0E0000]yyyy-mm-dd")</f>
        <v/>
      </c>
    </row>
    <row r="83922">
      <c r="A83922" s="1" t="n">
        <v>83921</v>
      </c>
      <c r="B83922">
        <f>TEXT(83921, "[$-0E0000]yyyy-mm-dd")</f>
        <v/>
      </c>
    </row>
    <row r="83923">
      <c r="A83923" s="1" t="n">
        <v>83922</v>
      </c>
      <c r="B83923">
        <f>TEXT(83922, "[$-0E0000]yyyy-mm-dd")</f>
        <v/>
      </c>
    </row>
    <row r="83924">
      <c r="A83924" s="1" t="n">
        <v>83923</v>
      </c>
      <c r="B83924">
        <f>TEXT(83923, "[$-0E0000]yyyy-mm-dd")</f>
        <v/>
      </c>
    </row>
    <row r="83925">
      <c r="A83925" s="1" t="n">
        <v>83924</v>
      </c>
      <c r="B83925">
        <f>TEXT(83924, "[$-0E0000]yyyy-mm-dd")</f>
        <v/>
      </c>
    </row>
    <row r="83926">
      <c r="A83926" s="1" t="n">
        <v>83925</v>
      </c>
      <c r="B83926">
        <f>TEXT(83925, "[$-0E0000]yyyy-mm-dd")</f>
        <v/>
      </c>
    </row>
    <row r="83927">
      <c r="A83927" s="1" t="n">
        <v>83926</v>
      </c>
      <c r="B83927">
        <f>TEXT(83926, "[$-0E0000]yyyy-mm-dd")</f>
        <v/>
      </c>
    </row>
    <row r="83928">
      <c r="A83928" s="1" t="n">
        <v>83927</v>
      </c>
      <c r="B83928">
        <f>TEXT(83927, "[$-0E0000]yyyy-mm-dd")</f>
        <v/>
      </c>
    </row>
    <row r="83929">
      <c r="A83929" s="1" t="n">
        <v>83928</v>
      </c>
      <c r="B83929">
        <f>TEXT(83928, "[$-0E0000]yyyy-mm-dd")</f>
        <v/>
      </c>
    </row>
    <row r="83930">
      <c r="A83930" s="1" t="n">
        <v>83929</v>
      </c>
      <c r="B83930">
        <f>TEXT(83929, "[$-0E0000]yyyy-mm-dd")</f>
        <v/>
      </c>
    </row>
    <row r="83931">
      <c r="A83931" s="1" t="n">
        <v>83930</v>
      </c>
      <c r="B83931">
        <f>TEXT(83930, "[$-0E0000]yyyy-mm-dd")</f>
        <v/>
      </c>
    </row>
    <row r="83932">
      <c r="A83932" s="1" t="n">
        <v>83931</v>
      </c>
      <c r="B83932">
        <f>TEXT(83931, "[$-0E0000]yyyy-mm-dd")</f>
        <v/>
      </c>
    </row>
    <row r="83933">
      <c r="A83933" s="1" t="n">
        <v>83932</v>
      </c>
      <c r="B83933">
        <f>TEXT(83932, "[$-0E0000]yyyy-mm-dd")</f>
        <v/>
      </c>
    </row>
    <row r="83934">
      <c r="A83934" s="1" t="n">
        <v>83933</v>
      </c>
      <c r="B83934">
        <f>TEXT(83933, "[$-0E0000]yyyy-mm-dd")</f>
        <v/>
      </c>
    </row>
    <row r="83935">
      <c r="A83935" s="1" t="n">
        <v>83934</v>
      </c>
      <c r="B83935">
        <f>TEXT(83934, "[$-0E0000]yyyy-mm-dd")</f>
        <v/>
      </c>
    </row>
    <row r="83936">
      <c r="A83936" s="1" t="n">
        <v>83935</v>
      </c>
      <c r="B83936">
        <f>TEXT(83935, "[$-0E0000]yyyy-mm-dd")</f>
        <v/>
      </c>
    </row>
    <row r="83937">
      <c r="A83937" s="1" t="n">
        <v>83936</v>
      </c>
      <c r="B83937">
        <f>TEXT(83936, "[$-0E0000]yyyy-mm-dd")</f>
        <v/>
      </c>
    </row>
    <row r="83938">
      <c r="A83938" s="1" t="n">
        <v>83937</v>
      </c>
      <c r="B83938">
        <f>TEXT(83937, "[$-0E0000]yyyy-mm-dd")</f>
        <v/>
      </c>
    </row>
    <row r="83939">
      <c r="A83939" s="1" t="n">
        <v>83938</v>
      </c>
      <c r="B83939">
        <f>TEXT(83938, "[$-0E0000]yyyy-mm-dd")</f>
        <v/>
      </c>
    </row>
    <row r="83940">
      <c r="A83940" s="1" t="n">
        <v>83939</v>
      </c>
      <c r="B83940">
        <f>TEXT(83939, "[$-0E0000]yyyy-mm-dd")</f>
        <v/>
      </c>
    </row>
    <row r="83941">
      <c r="A83941" s="1" t="n">
        <v>83940</v>
      </c>
      <c r="B83941">
        <f>TEXT(83940, "[$-0E0000]yyyy-mm-dd")</f>
        <v/>
      </c>
    </row>
    <row r="83942">
      <c r="A83942" s="1" t="n">
        <v>83941</v>
      </c>
      <c r="B83942">
        <f>TEXT(83941, "[$-0E0000]yyyy-mm-dd")</f>
        <v/>
      </c>
    </row>
    <row r="83943">
      <c r="A83943" s="1" t="n">
        <v>83942</v>
      </c>
      <c r="B83943">
        <f>TEXT(83942, "[$-0E0000]yyyy-mm-dd")</f>
        <v/>
      </c>
    </row>
    <row r="83944">
      <c r="A83944" s="1" t="n">
        <v>83943</v>
      </c>
      <c r="B83944">
        <f>TEXT(83943, "[$-0E0000]yyyy-mm-dd")</f>
        <v/>
      </c>
    </row>
    <row r="83945">
      <c r="A83945" s="1" t="n">
        <v>83944</v>
      </c>
      <c r="B83945">
        <f>TEXT(83944, "[$-0E0000]yyyy-mm-dd")</f>
        <v/>
      </c>
    </row>
    <row r="83946">
      <c r="A83946" s="1" t="n">
        <v>83945</v>
      </c>
      <c r="B83946">
        <f>TEXT(83945, "[$-0E0000]yyyy-mm-dd")</f>
        <v/>
      </c>
    </row>
    <row r="83947">
      <c r="A83947" s="1" t="n">
        <v>83946</v>
      </c>
      <c r="B83947">
        <f>TEXT(83946, "[$-0E0000]yyyy-mm-dd")</f>
        <v/>
      </c>
    </row>
    <row r="83948">
      <c r="A83948" s="1" t="n">
        <v>83947</v>
      </c>
      <c r="B83948">
        <f>TEXT(83947, "[$-0E0000]yyyy-mm-dd")</f>
        <v/>
      </c>
    </row>
    <row r="83949">
      <c r="A83949" s="1" t="n">
        <v>83948</v>
      </c>
      <c r="B83949">
        <f>TEXT(83948, "[$-0E0000]yyyy-mm-dd")</f>
        <v/>
      </c>
    </row>
    <row r="83950">
      <c r="A83950" s="1" t="n">
        <v>83949</v>
      </c>
      <c r="B83950">
        <f>TEXT(83949, "[$-0E0000]yyyy-mm-dd")</f>
        <v/>
      </c>
    </row>
    <row r="83951">
      <c r="A83951" s="1" t="n">
        <v>83950</v>
      </c>
      <c r="B83951">
        <f>TEXT(83950, "[$-0E0000]yyyy-mm-dd")</f>
        <v/>
      </c>
    </row>
    <row r="83952">
      <c r="A83952" s="1" t="n">
        <v>83951</v>
      </c>
      <c r="B83952">
        <f>TEXT(83951, "[$-0E0000]yyyy-mm-dd")</f>
        <v/>
      </c>
    </row>
    <row r="83953">
      <c r="A83953" s="1" t="n">
        <v>83952</v>
      </c>
      <c r="B83953">
        <f>TEXT(83952, "[$-0E0000]yyyy-mm-dd")</f>
        <v/>
      </c>
    </row>
    <row r="83954">
      <c r="A83954" s="1" t="n">
        <v>83953</v>
      </c>
      <c r="B83954">
        <f>TEXT(83953, "[$-0E0000]yyyy-mm-dd")</f>
        <v/>
      </c>
    </row>
    <row r="83955">
      <c r="A83955" s="1" t="n">
        <v>83954</v>
      </c>
      <c r="B83955">
        <f>TEXT(83954, "[$-0E0000]yyyy-mm-dd")</f>
        <v/>
      </c>
    </row>
    <row r="83956">
      <c r="A83956" s="1" t="n">
        <v>83955</v>
      </c>
      <c r="B83956">
        <f>TEXT(83955, "[$-0E0000]yyyy-mm-dd")</f>
        <v/>
      </c>
    </row>
    <row r="83957">
      <c r="A83957" s="1" t="n">
        <v>83956</v>
      </c>
      <c r="B83957">
        <f>TEXT(83956, "[$-0E0000]yyyy-mm-dd")</f>
        <v/>
      </c>
    </row>
    <row r="83958">
      <c r="A83958" s="1" t="n">
        <v>83957</v>
      </c>
      <c r="B83958">
        <f>TEXT(83957, "[$-0E0000]yyyy-mm-dd")</f>
        <v/>
      </c>
    </row>
    <row r="83959">
      <c r="A83959" s="1" t="n">
        <v>83958</v>
      </c>
      <c r="B83959">
        <f>TEXT(83958, "[$-0E0000]yyyy-mm-dd")</f>
        <v/>
      </c>
    </row>
    <row r="83960">
      <c r="A83960" s="1" t="n">
        <v>83959</v>
      </c>
      <c r="B83960">
        <f>TEXT(83959, "[$-0E0000]yyyy-mm-dd")</f>
        <v/>
      </c>
    </row>
    <row r="83961">
      <c r="A83961" s="1" t="n">
        <v>83960</v>
      </c>
      <c r="B83961">
        <f>TEXT(83960, "[$-0E0000]yyyy-mm-dd")</f>
        <v/>
      </c>
    </row>
    <row r="83962">
      <c r="A83962" s="1" t="n">
        <v>83961</v>
      </c>
      <c r="B83962">
        <f>TEXT(83961, "[$-0E0000]yyyy-mm-dd")</f>
        <v/>
      </c>
    </row>
    <row r="83963">
      <c r="A83963" s="1" t="n">
        <v>83962</v>
      </c>
      <c r="B83963">
        <f>TEXT(83962, "[$-0E0000]yyyy-mm-dd")</f>
        <v/>
      </c>
    </row>
    <row r="83964">
      <c r="A83964" s="1" t="n">
        <v>83963</v>
      </c>
      <c r="B83964">
        <f>TEXT(83963, "[$-0E0000]yyyy-mm-dd")</f>
        <v/>
      </c>
    </row>
    <row r="83965">
      <c r="A83965" s="1" t="n">
        <v>83964</v>
      </c>
      <c r="B83965">
        <f>TEXT(83964, "[$-0E0000]yyyy-mm-dd")</f>
        <v/>
      </c>
    </row>
    <row r="83966">
      <c r="A83966" s="1" t="n">
        <v>83965</v>
      </c>
      <c r="B83966">
        <f>TEXT(83965, "[$-0E0000]yyyy-mm-dd")</f>
        <v/>
      </c>
    </row>
    <row r="83967">
      <c r="A83967" s="1" t="n">
        <v>83966</v>
      </c>
      <c r="B83967">
        <f>TEXT(83966, "[$-0E0000]yyyy-mm-dd")</f>
        <v/>
      </c>
    </row>
    <row r="83968">
      <c r="A83968" s="1" t="n">
        <v>83967</v>
      </c>
      <c r="B83968">
        <f>TEXT(83967, "[$-0E0000]yyyy-mm-dd")</f>
        <v/>
      </c>
    </row>
    <row r="83969">
      <c r="A83969" s="1" t="n">
        <v>83968</v>
      </c>
      <c r="B83969">
        <f>TEXT(83968, "[$-0E0000]yyyy-mm-dd")</f>
        <v/>
      </c>
    </row>
    <row r="83970">
      <c r="A83970" s="1" t="n">
        <v>83969</v>
      </c>
      <c r="B83970">
        <f>TEXT(83969, "[$-0E0000]yyyy-mm-dd")</f>
        <v/>
      </c>
    </row>
    <row r="83971">
      <c r="A83971" s="1" t="n">
        <v>83970</v>
      </c>
      <c r="B83971">
        <f>TEXT(83970, "[$-0E0000]yyyy-mm-dd")</f>
        <v/>
      </c>
    </row>
    <row r="83972">
      <c r="A83972" s="1" t="n">
        <v>83971</v>
      </c>
      <c r="B83972">
        <f>TEXT(83971, "[$-0E0000]yyyy-mm-dd")</f>
        <v/>
      </c>
    </row>
    <row r="83973">
      <c r="A83973" s="1" t="n">
        <v>83972</v>
      </c>
      <c r="B83973">
        <f>TEXT(83972, "[$-0E0000]yyyy-mm-dd")</f>
        <v/>
      </c>
    </row>
    <row r="83974">
      <c r="A83974" s="1" t="n">
        <v>83973</v>
      </c>
      <c r="B83974">
        <f>TEXT(83973, "[$-0E0000]yyyy-mm-dd")</f>
        <v/>
      </c>
    </row>
    <row r="83975">
      <c r="A83975" s="1" t="n">
        <v>83974</v>
      </c>
      <c r="B83975">
        <f>TEXT(83974, "[$-0E0000]yyyy-mm-dd")</f>
        <v/>
      </c>
    </row>
    <row r="83976">
      <c r="A83976" s="1" t="n">
        <v>83975</v>
      </c>
      <c r="B83976">
        <f>TEXT(83975, "[$-0E0000]yyyy-mm-dd")</f>
        <v/>
      </c>
    </row>
    <row r="83977">
      <c r="A83977" s="1" t="n">
        <v>83976</v>
      </c>
      <c r="B83977">
        <f>TEXT(83976, "[$-0E0000]yyyy-mm-dd")</f>
        <v/>
      </c>
    </row>
    <row r="83978">
      <c r="A83978" s="1" t="n">
        <v>83977</v>
      </c>
      <c r="B83978">
        <f>TEXT(83977, "[$-0E0000]yyyy-mm-dd")</f>
        <v/>
      </c>
    </row>
    <row r="83979">
      <c r="A83979" s="1" t="n">
        <v>83978</v>
      </c>
      <c r="B83979">
        <f>TEXT(83978, "[$-0E0000]yyyy-mm-dd")</f>
        <v/>
      </c>
    </row>
    <row r="83980">
      <c r="A83980" s="1" t="n">
        <v>83979</v>
      </c>
      <c r="B83980">
        <f>TEXT(83979, "[$-0E0000]yyyy-mm-dd")</f>
        <v/>
      </c>
    </row>
    <row r="83981">
      <c r="A83981" s="1" t="n">
        <v>83980</v>
      </c>
      <c r="B83981">
        <f>TEXT(83980, "[$-0E0000]yyyy-mm-dd")</f>
        <v/>
      </c>
    </row>
    <row r="83982">
      <c r="A83982" s="1" t="n">
        <v>83981</v>
      </c>
      <c r="B83982">
        <f>TEXT(83981, "[$-0E0000]yyyy-mm-dd")</f>
        <v/>
      </c>
    </row>
    <row r="83983">
      <c r="A83983" s="1" t="n">
        <v>83982</v>
      </c>
      <c r="B83983">
        <f>TEXT(83982, "[$-0E0000]yyyy-mm-dd")</f>
        <v/>
      </c>
    </row>
    <row r="83984">
      <c r="A83984" s="1" t="n">
        <v>83983</v>
      </c>
      <c r="B83984">
        <f>TEXT(83983, "[$-0E0000]yyyy-mm-dd")</f>
        <v/>
      </c>
    </row>
    <row r="83985">
      <c r="A83985" s="1" t="n">
        <v>83984</v>
      </c>
      <c r="B83985">
        <f>TEXT(83984, "[$-0E0000]yyyy-mm-dd")</f>
        <v/>
      </c>
    </row>
    <row r="83986">
      <c r="A83986" s="1" t="n">
        <v>83985</v>
      </c>
      <c r="B83986">
        <f>TEXT(83985, "[$-0E0000]yyyy-mm-dd")</f>
        <v/>
      </c>
    </row>
    <row r="83987">
      <c r="A83987" s="1" t="n">
        <v>83986</v>
      </c>
      <c r="B83987">
        <f>TEXT(83986, "[$-0E0000]yyyy-mm-dd")</f>
        <v/>
      </c>
    </row>
    <row r="83988">
      <c r="A83988" s="1" t="n">
        <v>83987</v>
      </c>
      <c r="B83988">
        <f>TEXT(83987, "[$-0E0000]yyyy-mm-dd")</f>
        <v/>
      </c>
    </row>
    <row r="83989">
      <c r="A83989" s="1" t="n">
        <v>83988</v>
      </c>
      <c r="B83989">
        <f>TEXT(83988, "[$-0E0000]yyyy-mm-dd")</f>
        <v/>
      </c>
    </row>
    <row r="83990">
      <c r="A83990" s="1" t="n">
        <v>83989</v>
      </c>
      <c r="B83990">
        <f>TEXT(83989, "[$-0E0000]yyyy-mm-dd")</f>
        <v/>
      </c>
    </row>
    <row r="83991">
      <c r="A83991" s="1" t="n">
        <v>83990</v>
      </c>
      <c r="B83991">
        <f>TEXT(83990, "[$-0E0000]yyyy-mm-dd")</f>
        <v/>
      </c>
    </row>
    <row r="83992">
      <c r="A83992" s="1" t="n">
        <v>83991</v>
      </c>
      <c r="B83992">
        <f>TEXT(83991, "[$-0E0000]yyyy-mm-dd")</f>
        <v/>
      </c>
    </row>
    <row r="83993">
      <c r="A83993" s="1" t="n">
        <v>83992</v>
      </c>
      <c r="B83993">
        <f>TEXT(83992, "[$-0E0000]yyyy-mm-dd")</f>
        <v/>
      </c>
    </row>
    <row r="83994">
      <c r="A83994" s="1" t="n">
        <v>83993</v>
      </c>
      <c r="B83994">
        <f>TEXT(83993, "[$-0E0000]yyyy-mm-dd")</f>
        <v/>
      </c>
    </row>
    <row r="83995">
      <c r="A83995" s="1" t="n">
        <v>83994</v>
      </c>
      <c r="B83995">
        <f>TEXT(83994, "[$-0E0000]yyyy-mm-dd")</f>
        <v/>
      </c>
    </row>
    <row r="83996">
      <c r="A83996" s="1" t="n">
        <v>83995</v>
      </c>
      <c r="B83996">
        <f>TEXT(83995, "[$-0E0000]yyyy-mm-dd")</f>
        <v/>
      </c>
    </row>
    <row r="83997">
      <c r="A83997" s="1" t="n">
        <v>83996</v>
      </c>
      <c r="B83997">
        <f>TEXT(83996, "[$-0E0000]yyyy-mm-dd")</f>
        <v/>
      </c>
    </row>
    <row r="83998">
      <c r="A83998" s="1" t="n">
        <v>83997</v>
      </c>
      <c r="B83998">
        <f>TEXT(83997, "[$-0E0000]yyyy-mm-dd")</f>
        <v/>
      </c>
    </row>
    <row r="83999">
      <c r="A83999" s="1" t="n">
        <v>83998</v>
      </c>
      <c r="B83999">
        <f>TEXT(83998, "[$-0E0000]yyyy-mm-dd")</f>
        <v/>
      </c>
    </row>
    <row r="84000">
      <c r="A84000" s="1" t="n">
        <v>83999</v>
      </c>
      <c r="B84000">
        <f>TEXT(83999, "[$-0E0000]yyyy-mm-dd")</f>
        <v/>
      </c>
    </row>
    <row r="84001">
      <c r="A84001" s="1" t="n">
        <v>84000</v>
      </c>
      <c r="B84001">
        <f>TEXT(84000, "[$-0E0000]yyyy-mm-dd")</f>
        <v/>
      </c>
    </row>
    <row r="84002">
      <c r="A84002" s="1" t="n">
        <v>84001</v>
      </c>
      <c r="B84002">
        <f>TEXT(84001, "[$-0E0000]yyyy-mm-dd")</f>
        <v/>
      </c>
    </row>
    <row r="84003">
      <c r="A84003" s="1" t="n">
        <v>84002</v>
      </c>
      <c r="B84003">
        <f>TEXT(84002, "[$-0E0000]yyyy-mm-dd")</f>
        <v/>
      </c>
    </row>
    <row r="84004">
      <c r="A84004" s="1" t="n">
        <v>84003</v>
      </c>
      <c r="B84004">
        <f>TEXT(84003, "[$-0E0000]yyyy-mm-dd")</f>
        <v/>
      </c>
    </row>
    <row r="84005">
      <c r="A84005" s="1" t="n">
        <v>84004</v>
      </c>
      <c r="B84005">
        <f>TEXT(84004, "[$-0E0000]yyyy-mm-dd")</f>
        <v/>
      </c>
    </row>
    <row r="84006">
      <c r="A84006" s="1" t="n">
        <v>84005</v>
      </c>
      <c r="B84006">
        <f>TEXT(84005, "[$-0E0000]yyyy-mm-dd")</f>
        <v/>
      </c>
    </row>
    <row r="84007">
      <c r="A84007" s="1" t="n">
        <v>84006</v>
      </c>
      <c r="B84007">
        <f>TEXT(84006, "[$-0E0000]yyyy-mm-dd")</f>
        <v/>
      </c>
    </row>
    <row r="84008">
      <c r="A84008" s="1" t="n">
        <v>84007</v>
      </c>
      <c r="B84008">
        <f>TEXT(84007, "[$-0E0000]yyyy-mm-dd")</f>
        <v/>
      </c>
    </row>
    <row r="84009">
      <c r="A84009" s="1" t="n">
        <v>84008</v>
      </c>
      <c r="B84009">
        <f>TEXT(84008, "[$-0E0000]yyyy-mm-dd")</f>
        <v/>
      </c>
    </row>
    <row r="84010">
      <c r="A84010" s="1" t="n">
        <v>84009</v>
      </c>
      <c r="B84010">
        <f>TEXT(84009, "[$-0E0000]yyyy-mm-dd")</f>
        <v/>
      </c>
    </row>
    <row r="84011">
      <c r="A84011" s="1" t="n">
        <v>84010</v>
      </c>
      <c r="B84011">
        <f>TEXT(84010, "[$-0E0000]yyyy-mm-dd")</f>
        <v/>
      </c>
    </row>
    <row r="84012">
      <c r="A84012" s="1" t="n">
        <v>84011</v>
      </c>
      <c r="B84012">
        <f>TEXT(84011, "[$-0E0000]yyyy-mm-dd")</f>
        <v/>
      </c>
    </row>
    <row r="84013">
      <c r="A84013" s="1" t="n">
        <v>84012</v>
      </c>
      <c r="B84013">
        <f>TEXT(84012, "[$-0E0000]yyyy-mm-dd")</f>
        <v/>
      </c>
    </row>
    <row r="84014">
      <c r="A84014" s="1" t="n">
        <v>84013</v>
      </c>
      <c r="B84014">
        <f>TEXT(84013, "[$-0E0000]yyyy-mm-dd")</f>
        <v/>
      </c>
    </row>
    <row r="84015">
      <c r="A84015" s="1" t="n">
        <v>84014</v>
      </c>
      <c r="B84015">
        <f>TEXT(84014, "[$-0E0000]yyyy-mm-dd")</f>
        <v/>
      </c>
    </row>
    <row r="84016">
      <c r="A84016" s="1" t="n">
        <v>84015</v>
      </c>
      <c r="B84016">
        <f>TEXT(84015, "[$-0E0000]yyyy-mm-dd")</f>
        <v/>
      </c>
    </row>
    <row r="84017">
      <c r="A84017" s="1" t="n">
        <v>84016</v>
      </c>
      <c r="B84017">
        <f>TEXT(84016, "[$-0E0000]yyyy-mm-dd")</f>
        <v/>
      </c>
    </row>
    <row r="84018">
      <c r="A84018" s="1" t="n">
        <v>84017</v>
      </c>
      <c r="B84018">
        <f>TEXT(84017, "[$-0E0000]yyyy-mm-dd")</f>
        <v/>
      </c>
    </row>
    <row r="84019">
      <c r="A84019" s="1" t="n">
        <v>84018</v>
      </c>
      <c r="B84019">
        <f>TEXT(84018, "[$-0E0000]yyyy-mm-dd")</f>
        <v/>
      </c>
    </row>
    <row r="84020">
      <c r="A84020" s="1" t="n">
        <v>84019</v>
      </c>
      <c r="B84020">
        <f>TEXT(84019, "[$-0E0000]yyyy-mm-dd")</f>
        <v/>
      </c>
    </row>
    <row r="84021">
      <c r="A84021" s="1" t="n">
        <v>84020</v>
      </c>
      <c r="B84021">
        <f>TEXT(84020, "[$-0E0000]yyyy-mm-dd")</f>
        <v/>
      </c>
    </row>
    <row r="84022">
      <c r="A84022" s="1" t="n">
        <v>84021</v>
      </c>
      <c r="B84022">
        <f>TEXT(84021, "[$-0E0000]yyyy-mm-dd")</f>
        <v/>
      </c>
    </row>
    <row r="84023">
      <c r="A84023" s="1" t="n">
        <v>84022</v>
      </c>
      <c r="B84023">
        <f>TEXT(84022, "[$-0E0000]yyyy-mm-dd")</f>
        <v/>
      </c>
    </row>
    <row r="84024">
      <c r="A84024" s="1" t="n">
        <v>84023</v>
      </c>
      <c r="B84024">
        <f>TEXT(84023, "[$-0E0000]yyyy-mm-dd")</f>
        <v/>
      </c>
    </row>
    <row r="84025">
      <c r="A84025" s="1" t="n">
        <v>84024</v>
      </c>
      <c r="B84025">
        <f>TEXT(84024, "[$-0E0000]yyyy-mm-dd")</f>
        <v/>
      </c>
    </row>
    <row r="84026">
      <c r="A84026" s="1" t="n">
        <v>84025</v>
      </c>
      <c r="B84026">
        <f>TEXT(84025, "[$-0E0000]yyyy-mm-dd")</f>
        <v/>
      </c>
    </row>
    <row r="84027">
      <c r="A84027" s="1" t="n">
        <v>84026</v>
      </c>
      <c r="B84027">
        <f>TEXT(84026, "[$-0E0000]yyyy-mm-dd")</f>
        <v/>
      </c>
    </row>
    <row r="84028">
      <c r="A84028" s="1" t="n">
        <v>84027</v>
      </c>
      <c r="B84028">
        <f>TEXT(84027, "[$-0E0000]yyyy-mm-dd")</f>
        <v/>
      </c>
    </row>
    <row r="84029">
      <c r="A84029" s="1" t="n">
        <v>84028</v>
      </c>
      <c r="B84029">
        <f>TEXT(84028, "[$-0E0000]yyyy-mm-dd")</f>
        <v/>
      </c>
    </row>
    <row r="84030">
      <c r="A84030" s="1" t="n">
        <v>84029</v>
      </c>
      <c r="B84030">
        <f>TEXT(84029, "[$-0E0000]yyyy-mm-dd")</f>
        <v/>
      </c>
    </row>
    <row r="84031">
      <c r="A84031" s="1" t="n">
        <v>84030</v>
      </c>
      <c r="B84031">
        <f>TEXT(84030, "[$-0E0000]yyyy-mm-dd")</f>
        <v/>
      </c>
    </row>
    <row r="84032">
      <c r="A84032" s="1" t="n">
        <v>84031</v>
      </c>
      <c r="B84032">
        <f>TEXT(84031, "[$-0E0000]yyyy-mm-dd")</f>
        <v/>
      </c>
    </row>
    <row r="84033">
      <c r="A84033" s="1" t="n">
        <v>84032</v>
      </c>
      <c r="B84033">
        <f>TEXT(84032, "[$-0E0000]yyyy-mm-dd")</f>
        <v/>
      </c>
    </row>
    <row r="84034">
      <c r="A84034" s="1" t="n">
        <v>84033</v>
      </c>
      <c r="B84034">
        <f>TEXT(84033, "[$-0E0000]yyyy-mm-dd")</f>
        <v/>
      </c>
    </row>
    <row r="84035">
      <c r="A84035" s="1" t="n">
        <v>84034</v>
      </c>
      <c r="B84035">
        <f>TEXT(84034, "[$-0E0000]yyyy-mm-dd")</f>
        <v/>
      </c>
    </row>
    <row r="84036">
      <c r="A84036" s="1" t="n">
        <v>84035</v>
      </c>
      <c r="B84036">
        <f>TEXT(84035, "[$-0E0000]yyyy-mm-dd")</f>
        <v/>
      </c>
    </row>
    <row r="84037">
      <c r="A84037" s="1" t="n">
        <v>84036</v>
      </c>
      <c r="B84037">
        <f>TEXT(84036, "[$-0E0000]yyyy-mm-dd")</f>
        <v/>
      </c>
    </row>
    <row r="84038">
      <c r="A84038" s="1" t="n">
        <v>84037</v>
      </c>
      <c r="B84038">
        <f>TEXT(84037, "[$-0E0000]yyyy-mm-dd")</f>
        <v/>
      </c>
    </row>
    <row r="84039">
      <c r="A84039" s="1" t="n">
        <v>84038</v>
      </c>
      <c r="B84039">
        <f>TEXT(84038, "[$-0E0000]yyyy-mm-dd")</f>
        <v/>
      </c>
    </row>
    <row r="84040">
      <c r="A84040" s="1" t="n">
        <v>84039</v>
      </c>
      <c r="B84040">
        <f>TEXT(84039, "[$-0E0000]yyyy-mm-dd")</f>
        <v/>
      </c>
    </row>
    <row r="84041">
      <c r="A84041" s="1" t="n">
        <v>84040</v>
      </c>
      <c r="B84041">
        <f>TEXT(84040, "[$-0E0000]yyyy-mm-dd")</f>
        <v/>
      </c>
    </row>
    <row r="84042">
      <c r="A84042" s="1" t="n">
        <v>84041</v>
      </c>
      <c r="B84042">
        <f>TEXT(84041, "[$-0E0000]yyyy-mm-dd")</f>
        <v/>
      </c>
    </row>
    <row r="84043">
      <c r="A84043" s="1" t="n">
        <v>84042</v>
      </c>
      <c r="B84043">
        <f>TEXT(84042, "[$-0E0000]yyyy-mm-dd")</f>
        <v/>
      </c>
    </row>
    <row r="84044">
      <c r="A84044" s="1" t="n">
        <v>84043</v>
      </c>
      <c r="B84044">
        <f>TEXT(84043, "[$-0E0000]yyyy-mm-dd")</f>
        <v/>
      </c>
    </row>
    <row r="84045">
      <c r="A84045" s="1" t="n">
        <v>84044</v>
      </c>
      <c r="B84045">
        <f>TEXT(84044, "[$-0E0000]yyyy-mm-dd")</f>
        <v/>
      </c>
    </row>
    <row r="84046">
      <c r="A84046" s="1" t="n">
        <v>84045</v>
      </c>
      <c r="B84046">
        <f>TEXT(84045, "[$-0E0000]yyyy-mm-dd")</f>
        <v/>
      </c>
    </row>
    <row r="84047">
      <c r="A84047" s="1" t="n">
        <v>84046</v>
      </c>
      <c r="B84047">
        <f>TEXT(84046, "[$-0E0000]yyyy-mm-dd")</f>
        <v/>
      </c>
    </row>
    <row r="84048">
      <c r="A84048" s="1" t="n">
        <v>84047</v>
      </c>
      <c r="B84048">
        <f>TEXT(84047, "[$-0E0000]yyyy-mm-dd")</f>
        <v/>
      </c>
    </row>
    <row r="84049">
      <c r="A84049" s="1" t="n">
        <v>84048</v>
      </c>
      <c r="B84049">
        <f>TEXT(84048, "[$-0E0000]yyyy-mm-dd")</f>
        <v/>
      </c>
    </row>
    <row r="84050">
      <c r="A84050" s="1" t="n">
        <v>84049</v>
      </c>
      <c r="B84050">
        <f>TEXT(84049, "[$-0E0000]yyyy-mm-dd")</f>
        <v/>
      </c>
    </row>
    <row r="84051">
      <c r="A84051" s="1" t="n">
        <v>84050</v>
      </c>
      <c r="B84051">
        <f>TEXT(84050, "[$-0E0000]yyyy-mm-dd")</f>
        <v/>
      </c>
    </row>
    <row r="84052">
      <c r="A84052" s="1" t="n">
        <v>84051</v>
      </c>
      <c r="B84052">
        <f>TEXT(84051, "[$-0E0000]yyyy-mm-dd")</f>
        <v/>
      </c>
    </row>
    <row r="84053">
      <c r="A84053" s="1" t="n">
        <v>84052</v>
      </c>
      <c r="B84053">
        <f>TEXT(84052, "[$-0E0000]yyyy-mm-dd")</f>
        <v/>
      </c>
    </row>
    <row r="84054">
      <c r="A84054" s="1" t="n">
        <v>84053</v>
      </c>
      <c r="B84054">
        <f>TEXT(84053, "[$-0E0000]yyyy-mm-dd")</f>
        <v/>
      </c>
    </row>
    <row r="84055">
      <c r="A84055" s="1" t="n">
        <v>84054</v>
      </c>
      <c r="B84055">
        <f>TEXT(84054, "[$-0E0000]yyyy-mm-dd")</f>
        <v/>
      </c>
    </row>
    <row r="84056">
      <c r="A84056" s="1" t="n">
        <v>84055</v>
      </c>
      <c r="B84056">
        <f>TEXT(84055, "[$-0E0000]yyyy-mm-dd")</f>
        <v/>
      </c>
    </row>
    <row r="84057">
      <c r="A84057" s="1" t="n">
        <v>84056</v>
      </c>
      <c r="B84057">
        <f>TEXT(84056, "[$-0E0000]yyyy-mm-dd")</f>
        <v/>
      </c>
    </row>
    <row r="84058">
      <c r="A84058" s="1" t="n">
        <v>84057</v>
      </c>
      <c r="B84058">
        <f>TEXT(84057, "[$-0E0000]yyyy-mm-dd")</f>
        <v/>
      </c>
    </row>
    <row r="84059">
      <c r="A84059" s="1" t="n">
        <v>84058</v>
      </c>
      <c r="B84059">
        <f>TEXT(84058, "[$-0E0000]yyyy-mm-dd")</f>
        <v/>
      </c>
    </row>
    <row r="84060">
      <c r="A84060" s="1" t="n">
        <v>84059</v>
      </c>
      <c r="B84060">
        <f>TEXT(84059, "[$-0E0000]yyyy-mm-dd")</f>
        <v/>
      </c>
    </row>
    <row r="84061">
      <c r="A84061" s="1" t="n">
        <v>84060</v>
      </c>
      <c r="B84061">
        <f>TEXT(84060, "[$-0E0000]yyyy-mm-dd")</f>
        <v/>
      </c>
    </row>
    <row r="84062">
      <c r="A84062" s="1" t="n">
        <v>84061</v>
      </c>
      <c r="B84062">
        <f>TEXT(84061, "[$-0E0000]yyyy-mm-dd")</f>
        <v/>
      </c>
    </row>
    <row r="84063">
      <c r="A84063" s="1" t="n">
        <v>84062</v>
      </c>
      <c r="B84063">
        <f>TEXT(84062, "[$-0E0000]yyyy-mm-dd")</f>
        <v/>
      </c>
    </row>
    <row r="84064">
      <c r="A84064" s="1" t="n">
        <v>84063</v>
      </c>
      <c r="B84064">
        <f>TEXT(84063, "[$-0E0000]yyyy-mm-dd")</f>
        <v/>
      </c>
    </row>
    <row r="84065">
      <c r="A84065" s="1" t="n">
        <v>84064</v>
      </c>
      <c r="B84065">
        <f>TEXT(84064, "[$-0E0000]yyyy-mm-dd")</f>
        <v/>
      </c>
    </row>
    <row r="84066">
      <c r="A84066" s="1" t="n">
        <v>84065</v>
      </c>
      <c r="B84066">
        <f>TEXT(84065, "[$-0E0000]yyyy-mm-dd")</f>
        <v/>
      </c>
    </row>
    <row r="84067">
      <c r="A84067" s="1" t="n">
        <v>84066</v>
      </c>
      <c r="B84067">
        <f>TEXT(84066, "[$-0E0000]yyyy-mm-dd")</f>
        <v/>
      </c>
    </row>
    <row r="84068">
      <c r="A84068" s="1" t="n">
        <v>84067</v>
      </c>
      <c r="B84068">
        <f>TEXT(84067, "[$-0E0000]yyyy-mm-dd")</f>
        <v/>
      </c>
    </row>
    <row r="84069">
      <c r="A84069" s="1" t="n">
        <v>84068</v>
      </c>
      <c r="B84069">
        <f>TEXT(84068, "[$-0E0000]yyyy-mm-dd")</f>
        <v/>
      </c>
    </row>
    <row r="84070">
      <c r="A84070" s="1" t="n">
        <v>84069</v>
      </c>
      <c r="B84070">
        <f>TEXT(84069, "[$-0E0000]yyyy-mm-dd")</f>
        <v/>
      </c>
    </row>
    <row r="84071">
      <c r="A84071" s="1" t="n">
        <v>84070</v>
      </c>
      <c r="B84071">
        <f>TEXT(84070, "[$-0E0000]yyyy-mm-dd")</f>
        <v/>
      </c>
    </row>
    <row r="84072">
      <c r="A84072" s="1" t="n">
        <v>84071</v>
      </c>
      <c r="B84072">
        <f>TEXT(84071, "[$-0E0000]yyyy-mm-dd")</f>
        <v/>
      </c>
    </row>
    <row r="84073">
      <c r="A84073" s="1" t="n">
        <v>84072</v>
      </c>
      <c r="B84073">
        <f>TEXT(84072, "[$-0E0000]yyyy-mm-dd")</f>
        <v/>
      </c>
    </row>
    <row r="84074">
      <c r="A84074" s="1" t="n">
        <v>84073</v>
      </c>
      <c r="B84074">
        <f>TEXT(84073, "[$-0E0000]yyyy-mm-dd")</f>
        <v/>
      </c>
    </row>
    <row r="84075">
      <c r="A84075" s="1" t="n">
        <v>84074</v>
      </c>
      <c r="B84075">
        <f>TEXT(84074, "[$-0E0000]yyyy-mm-dd")</f>
        <v/>
      </c>
    </row>
    <row r="84076">
      <c r="A84076" s="1" t="n">
        <v>84075</v>
      </c>
      <c r="B84076">
        <f>TEXT(84075, "[$-0E0000]yyyy-mm-dd")</f>
        <v/>
      </c>
    </row>
    <row r="84077">
      <c r="A84077" s="1" t="n">
        <v>84076</v>
      </c>
      <c r="B84077">
        <f>TEXT(84076, "[$-0E0000]yyyy-mm-dd")</f>
        <v/>
      </c>
    </row>
    <row r="84078">
      <c r="A84078" s="1" t="n">
        <v>84077</v>
      </c>
      <c r="B84078">
        <f>TEXT(84077, "[$-0E0000]yyyy-mm-dd")</f>
        <v/>
      </c>
    </row>
    <row r="84079">
      <c r="A84079" s="1" t="n">
        <v>84078</v>
      </c>
      <c r="B84079">
        <f>TEXT(84078, "[$-0E0000]yyyy-mm-dd")</f>
        <v/>
      </c>
    </row>
    <row r="84080">
      <c r="A84080" s="1" t="n">
        <v>84079</v>
      </c>
      <c r="B84080">
        <f>TEXT(84079, "[$-0E0000]yyyy-mm-dd")</f>
        <v/>
      </c>
    </row>
    <row r="84081">
      <c r="A84081" s="1" t="n">
        <v>84080</v>
      </c>
      <c r="B84081">
        <f>TEXT(84080, "[$-0E0000]yyyy-mm-dd")</f>
        <v/>
      </c>
    </row>
    <row r="84082">
      <c r="A84082" s="1" t="n">
        <v>84081</v>
      </c>
      <c r="B84082">
        <f>TEXT(84081, "[$-0E0000]yyyy-mm-dd")</f>
        <v/>
      </c>
    </row>
    <row r="84083">
      <c r="A84083" s="1" t="n">
        <v>84082</v>
      </c>
      <c r="B84083">
        <f>TEXT(84082, "[$-0E0000]yyyy-mm-dd")</f>
        <v/>
      </c>
    </row>
    <row r="84084">
      <c r="A84084" s="1" t="n">
        <v>84083</v>
      </c>
      <c r="B84084">
        <f>TEXT(84083, "[$-0E0000]yyyy-mm-dd")</f>
        <v/>
      </c>
    </row>
    <row r="84085">
      <c r="A84085" s="1" t="n">
        <v>84084</v>
      </c>
      <c r="B84085">
        <f>TEXT(84084, "[$-0E0000]yyyy-mm-dd")</f>
        <v/>
      </c>
    </row>
    <row r="84086">
      <c r="A84086" s="1" t="n">
        <v>84085</v>
      </c>
      <c r="B84086">
        <f>TEXT(84085, "[$-0E0000]yyyy-mm-dd")</f>
        <v/>
      </c>
    </row>
    <row r="84087">
      <c r="A84087" s="1" t="n">
        <v>84086</v>
      </c>
      <c r="B84087">
        <f>TEXT(84086, "[$-0E0000]yyyy-mm-dd")</f>
        <v/>
      </c>
    </row>
    <row r="84088">
      <c r="A84088" s="1" t="n">
        <v>84087</v>
      </c>
      <c r="B84088">
        <f>TEXT(84087, "[$-0E0000]yyyy-mm-dd")</f>
        <v/>
      </c>
    </row>
    <row r="84089">
      <c r="A84089" s="1" t="n">
        <v>84088</v>
      </c>
      <c r="B84089">
        <f>TEXT(84088, "[$-0E0000]yyyy-mm-dd")</f>
        <v/>
      </c>
    </row>
    <row r="84090">
      <c r="A84090" s="1" t="n">
        <v>84089</v>
      </c>
      <c r="B84090">
        <f>TEXT(84089, "[$-0E0000]yyyy-mm-dd")</f>
        <v/>
      </c>
    </row>
    <row r="84091">
      <c r="A84091" s="1" t="n">
        <v>84090</v>
      </c>
      <c r="B84091">
        <f>TEXT(84090, "[$-0E0000]yyyy-mm-dd")</f>
        <v/>
      </c>
    </row>
    <row r="84092">
      <c r="A84092" s="1" t="n">
        <v>84091</v>
      </c>
      <c r="B84092">
        <f>TEXT(84091, "[$-0E0000]yyyy-mm-dd")</f>
        <v/>
      </c>
    </row>
    <row r="84093">
      <c r="A84093" s="1" t="n">
        <v>84092</v>
      </c>
      <c r="B84093">
        <f>TEXT(84092, "[$-0E0000]yyyy-mm-dd")</f>
        <v/>
      </c>
    </row>
    <row r="84094">
      <c r="A84094" s="1" t="n">
        <v>84093</v>
      </c>
      <c r="B84094">
        <f>TEXT(84093, "[$-0E0000]yyyy-mm-dd")</f>
        <v/>
      </c>
    </row>
    <row r="84095">
      <c r="A84095" s="1" t="n">
        <v>84094</v>
      </c>
      <c r="B84095">
        <f>TEXT(84094, "[$-0E0000]yyyy-mm-dd")</f>
        <v/>
      </c>
    </row>
    <row r="84096">
      <c r="A84096" s="1" t="n">
        <v>84095</v>
      </c>
      <c r="B84096">
        <f>TEXT(84095, "[$-0E0000]yyyy-mm-dd")</f>
        <v/>
      </c>
    </row>
    <row r="84097">
      <c r="A84097" s="1" t="n">
        <v>84096</v>
      </c>
      <c r="B84097">
        <f>TEXT(84096, "[$-0E0000]yyyy-mm-dd")</f>
        <v/>
      </c>
    </row>
    <row r="84098">
      <c r="A84098" s="1" t="n">
        <v>84097</v>
      </c>
      <c r="B84098">
        <f>TEXT(84097, "[$-0E0000]yyyy-mm-dd")</f>
        <v/>
      </c>
    </row>
    <row r="84099">
      <c r="A84099" s="1" t="n">
        <v>84098</v>
      </c>
      <c r="B84099">
        <f>TEXT(84098, "[$-0E0000]yyyy-mm-dd")</f>
        <v/>
      </c>
    </row>
    <row r="84100">
      <c r="A84100" s="1" t="n">
        <v>84099</v>
      </c>
      <c r="B84100">
        <f>TEXT(84099, "[$-0E0000]yyyy-mm-dd")</f>
        <v/>
      </c>
    </row>
    <row r="84101">
      <c r="A84101" s="1" t="n">
        <v>84100</v>
      </c>
      <c r="B84101">
        <f>TEXT(84100, "[$-0E0000]yyyy-mm-dd")</f>
        <v/>
      </c>
    </row>
    <row r="84102">
      <c r="A84102" s="1" t="n">
        <v>84101</v>
      </c>
      <c r="B84102">
        <f>TEXT(84101, "[$-0E0000]yyyy-mm-dd")</f>
        <v/>
      </c>
    </row>
    <row r="84103">
      <c r="A84103" s="1" t="n">
        <v>84102</v>
      </c>
      <c r="B84103">
        <f>TEXT(84102, "[$-0E0000]yyyy-mm-dd")</f>
        <v/>
      </c>
    </row>
    <row r="84104">
      <c r="A84104" s="1" t="n">
        <v>84103</v>
      </c>
      <c r="B84104">
        <f>TEXT(84103, "[$-0E0000]yyyy-mm-dd")</f>
        <v/>
      </c>
    </row>
    <row r="84105">
      <c r="A84105" s="1" t="n">
        <v>84104</v>
      </c>
      <c r="B84105">
        <f>TEXT(84104, "[$-0E0000]yyyy-mm-dd")</f>
        <v/>
      </c>
    </row>
    <row r="84106">
      <c r="A84106" s="1" t="n">
        <v>84105</v>
      </c>
      <c r="B84106">
        <f>TEXT(84105, "[$-0E0000]yyyy-mm-dd")</f>
        <v/>
      </c>
    </row>
    <row r="84107">
      <c r="A84107" s="1" t="n">
        <v>84106</v>
      </c>
      <c r="B84107">
        <f>TEXT(84106, "[$-0E0000]yyyy-mm-dd")</f>
        <v/>
      </c>
    </row>
    <row r="84108">
      <c r="A84108" s="1" t="n">
        <v>84107</v>
      </c>
      <c r="B84108">
        <f>TEXT(84107, "[$-0E0000]yyyy-mm-dd")</f>
        <v/>
      </c>
    </row>
    <row r="84109">
      <c r="A84109" s="1" t="n">
        <v>84108</v>
      </c>
      <c r="B84109">
        <f>TEXT(84108, "[$-0E0000]yyyy-mm-dd")</f>
        <v/>
      </c>
    </row>
    <row r="84110">
      <c r="A84110" s="1" t="n">
        <v>84109</v>
      </c>
      <c r="B84110">
        <f>TEXT(84109, "[$-0E0000]yyyy-mm-dd")</f>
        <v/>
      </c>
    </row>
    <row r="84111">
      <c r="A84111" s="1" t="n">
        <v>84110</v>
      </c>
      <c r="B84111">
        <f>TEXT(84110, "[$-0E0000]yyyy-mm-dd")</f>
        <v/>
      </c>
    </row>
    <row r="84112">
      <c r="A84112" s="1" t="n">
        <v>84111</v>
      </c>
      <c r="B84112">
        <f>TEXT(84111, "[$-0E0000]yyyy-mm-dd")</f>
        <v/>
      </c>
    </row>
    <row r="84113">
      <c r="A84113" s="1" t="n">
        <v>84112</v>
      </c>
      <c r="B84113">
        <f>TEXT(84112, "[$-0E0000]yyyy-mm-dd")</f>
        <v/>
      </c>
    </row>
    <row r="84114">
      <c r="A84114" s="1" t="n">
        <v>84113</v>
      </c>
      <c r="B84114">
        <f>TEXT(84113, "[$-0E0000]yyyy-mm-dd")</f>
        <v/>
      </c>
    </row>
    <row r="84115">
      <c r="A84115" s="1" t="n">
        <v>84114</v>
      </c>
      <c r="B84115">
        <f>TEXT(84114, "[$-0E0000]yyyy-mm-dd")</f>
        <v/>
      </c>
    </row>
    <row r="84116">
      <c r="A84116" s="1" t="n">
        <v>84115</v>
      </c>
      <c r="B84116">
        <f>TEXT(84115, "[$-0E0000]yyyy-mm-dd")</f>
        <v/>
      </c>
    </row>
    <row r="84117">
      <c r="A84117" s="1" t="n">
        <v>84116</v>
      </c>
      <c r="B84117">
        <f>TEXT(84116, "[$-0E0000]yyyy-mm-dd")</f>
        <v/>
      </c>
    </row>
    <row r="84118">
      <c r="A84118" s="1" t="n">
        <v>84117</v>
      </c>
      <c r="B84118">
        <f>TEXT(84117, "[$-0E0000]yyyy-mm-dd")</f>
        <v/>
      </c>
    </row>
    <row r="84119">
      <c r="A84119" s="1" t="n">
        <v>84118</v>
      </c>
      <c r="B84119">
        <f>TEXT(84118, "[$-0E0000]yyyy-mm-dd")</f>
        <v/>
      </c>
    </row>
    <row r="84120">
      <c r="A84120" s="1" t="n">
        <v>84119</v>
      </c>
      <c r="B84120">
        <f>TEXT(84119, "[$-0E0000]yyyy-mm-dd")</f>
        <v/>
      </c>
    </row>
    <row r="84121">
      <c r="A84121" s="1" t="n">
        <v>84120</v>
      </c>
      <c r="B84121">
        <f>TEXT(84120, "[$-0E0000]yyyy-mm-dd")</f>
        <v/>
      </c>
    </row>
    <row r="84122">
      <c r="A84122" s="1" t="n">
        <v>84121</v>
      </c>
      <c r="B84122">
        <f>TEXT(84121, "[$-0E0000]yyyy-mm-dd")</f>
        <v/>
      </c>
    </row>
    <row r="84123">
      <c r="A84123" s="1" t="n">
        <v>84122</v>
      </c>
      <c r="B84123">
        <f>TEXT(84122, "[$-0E0000]yyyy-mm-dd")</f>
        <v/>
      </c>
    </row>
    <row r="84124">
      <c r="A84124" s="1" t="n">
        <v>84123</v>
      </c>
      <c r="B84124">
        <f>TEXT(84123, "[$-0E0000]yyyy-mm-dd")</f>
        <v/>
      </c>
    </row>
    <row r="84125">
      <c r="A84125" s="1" t="n">
        <v>84124</v>
      </c>
      <c r="B84125">
        <f>TEXT(84124, "[$-0E0000]yyyy-mm-dd")</f>
        <v/>
      </c>
    </row>
    <row r="84126">
      <c r="A84126" s="1" t="n">
        <v>84125</v>
      </c>
      <c r="B84126">
        <f>TEXT(84125, "[$-0E0000]yyyy-mm-dd")</f>
        <v/>
      </c>
    </row>
    <row r="84127">
      <c r="A84127" s="1" t="n">
        <v>84126</v>
      </c>
      <c r="B84127">
        <f>TEXT(84126, "[$-0E0000]yyyy-mm-dd")</f>
        <v/>
      </c>
    </row>
    <row r="84128">
      <c r="A84128" s="1" t="n">
        <v>84127</v>
      </c>
      <c r="B84128">
        <f>TEXT(84127, "[$-0E0000]yyyy-mm-dd")</f>
        <v/>
      </c>
    </row>
    <row r="84129">
      <c r="A84129" s="1" t="n">
        <v>84128</v>
      </c>
      <c r="B84129">
        <f>TEXT(84128, "[$-0E0000]yyyy-mm-dd")</f>
        <v/>
      </c>
    </row>
    <row r="84130">
      <c r="A84130" s="1" t="n">
        <v>84129</v>
      </c>
      <c r="B84130">
        <f>TEXT(84129, "[$-0E0000]yyyy-mm-dd")</f>
        <v/>
      </c>
    </row>
    <row r="84131">
      <c r="A84131" s="1" t="n">
        <v>84130</v>
      </c>
      <c r="B84131">
        <f>TEXT(84130, "[$-0E0000]yyyy-mm-dd")</f>
        <v/>
      </c>
    </row>
    <row r="84132">
      <c r="A84132" s="1" t="n">
        <v>84131</v>
      </c>
      <c r="B84132">
        <f>TEXT(84131, "[$-0E0000]yyyy-mm-dd")</f>
        <v/>
      </c>
    </row>
    <row r="84133">
      <c r="A84133" s="1" t="n">
        <v>84132</v>
      </c>
      <c r="B84133">
        <f>TEXT(84132, "[$-0E0000]yyyy-mm-dd")</f>
        <v/>
      </c>
    </row>
    <row r="84134">
      <c r="A84134" s="1" t="n">
        <v>84133</v>
      </c>
      <c r="B84134">
        <f>TEXT(84133, "[$-0E0000]yyyy-mm-dd")</f>
        <v/>
      </c>
    </row>
    <row r="84135">
      <c r="A84135" s="1" t="n">
        <v>84134</v>
      </c>
      <c r="B84135">
        <f>TEXT(84134, "[$-0E0000]yyyy-mm-dd")</f>
        <v/>
      </c>
    </row>
    <row r="84136">
      <c r="A84136" s="1" t="n">
        <v>84135</v>
      </c>
      <c r="B84136">
        <f>TEXT(84135, "[$-0E0000]yyyy-mm-dd")</f>
        <v/>
      </c>
    </row>
    <row r="84137">
      <c r="A84137" s="1" t="n">
        <v>84136</v>
      </c>
      <c r="B84137">
        <f>TEXT(84136, "[$-0E0000]yyyy-mm-dd")</f>
        <v/>
      </c>
    </row>
    <row r="84138">
      <c r="A84138" s="1" t="n">
        <v>84137</v>
      </c>
      <c r="B84138">
        <f>TEXT(84137, "[$-0E0000]yyyy-mm-dd")</f>
        <v/>
      </c>
    </row>
    <row r="84139">
      <c r="A84139" s="1" t="n">
        <v>84138</v>
      </c>
      <c r="B84139">
        <f>TEXT(84138, "[$-0E0000]yyyy-mm-dd")</f>
        <v/>
      </c>
    </row>
    <row r="84140">
      <c r="A84140" s="1" t="n">
        <v>84139</v>
      </c>
      <c r="B84140">
        <f>TEXT(84139, "[$-0E0000]yyyy-mm-dd")</f>
        <v/>
      </c>
    </row>
    <row r="84141">
      <c r="A84141" s="1" t="n">
        <v>84140</v>
      </c>
      <c r="B84141">
        <f>TEXT(84140, "[$-0E0000]yyyy-mm-dd")</f>
        <v/>
      </c>
    </row>
    <row r="84142">
      <c r="A84142" s="1" t="n">
        <v>84141</v>
      </c>
      <c r="B84142">
        <f>TEXT(84141, "[$-0E0000]yyyy-mm-dd")</f>
        <v/>
      </c>
    </row>
    <row r="84143">
      <c r="A84143" s="1" t="n">
        <v>84142</v>
      </c>
      <c r="B84143">
        <f>TEXT(84142, "[$-0E0000]yyyy-mm-dd")</f>
        <v/>
      </c>
    </row>
    <row r="84144">
      <c r="A84144" s="1" t="n">
        <v>84143</v>
      </c>
      <c r="B84144">
        <f>TEXT(84143, "[$-0E0000]yyyy-mm-dd")</f>
        <v/>
      </c>
    </row>
    <row r="84145">
      <c r="A84145" s="1" t="n">
        <v>84144</v>
      </c>
      <c r="B84145">
        <f>TEXT(84144, "[$-0E0000]yyyy-mm-dd")</f>
        <v/>
      </c>
    </row>
    <row r="84146">
      <c r="A84146" s="1" t="n">
        <v>84145</v>
      </c>
      <c r="B84146">
        <f>TEXT(84145, "[$-0E0000]yyyy-mm-dd")</f>
        <v/>
      </c>
    </row>
    <row r="84147">
      <c r="A84147" s="1" t="n">
        <v>84146</v>
      </c>
      <c r="B84147">
        <f>TEXT(84146, "[$-0E0000]yyyy-mm-dd")</f>
        <v/>
      </c>
    </row>
    <row r="84148">
      <c r="A84148" s="1" t="n">
        <v>84147</v>
      </c>
      <c r="B84148">
        <f>TEXT(84147, "[$-0E0000]yyyy-mm-dd")</f>
        <v/>
      </c>
    </row>
    <row r="84149">
      <c r="A84149" s="1" t="n">
        <v>84148</v>
      </c>
      <c r="B84149">
        <f>TEXT(84148, "[$-0E0000]yyyy-mm-dd")</f>
        <v/>
      </c>
    </row>
    <row r="84150">
      <c r="A84150" s="1" t="n">
        <v>84149</v>
      </c>
      <c r="B84150">
        <f>TEXT(84149, "[$-0E0000]yyyy-mm-dd")</f>
        <v/>
      </c>
    </row>
    <row r="84151">
      <c r="A84151" s="1" t="n">
        <v>84150</v>
      </c>
      <c r="B84151">
        <f>TEXT(84150, "[$-0E0000]yyyy-mm-dd")</f>
        <v/>
      </c>
    </row>
    <row r="84152">
      <c r="A84152" s="1" t="n">
        <v>84151</v>
      </c>
      <c r="B84152">
        <f>TEXT(84151, "[$-0E0000]yyyy-mm-dd")</f>
        <v/>
      </c>
    </row>
    <row r="84153">
      <c r="A84153" s="1" t="n">
        <v>84152</v>
      </c>
      <c r="B84153">
        <f>TEXT(84152, "[$-0E0000]yyyy-mm-dd")</f>
        <v/>
      </c>
    </row>
    <row r="84154">
      <c r="A84154" s="1" t="n">
        <v>84153</v>
      </c>
      <c r="B84154">
        <f>TEXT(84153, "[$-0E0000]yyyy-mm-dd")</f>
        <v/>
      </c>
    </row>
    <row r="84155">
      <c r="A84155" s="1" t="n">
        <v>84154</v>
      </c>
      <c r="B84155">
        <f>TEXT(84154, "[$-0E0000]yyyy-mm-dd")</f>
        <v/>
      </c>
    </row>
    <row r="84156">
      <c r="A84156" s="1" t="n">
        <v>84155</v>
      </c>
      <c r="B84156">
        <f>TEXT(84155, "[$-0E0000]yyyy-mm-dd")</f>
        <v/>
      </c>
    </row>
    <row r="84157">
      <c r="A84157" s="1" t="n">
        <v>84156</v>
      </c>
      <c r="B84157">
        <f>TEXT(84156, "[$-0E0000]yyyy-mm-dd")</f>
        <v/>
      </c>
    </row>
    <row r="84158">
      <c r="A84158" s="1" t="n">
        <v>84157</v>
      </c>
      <c r="B84158">
        <f>TEXT(84157, "[$-0E0000]yyyy-mm-dd")</f>
        <v/>
      </c>
    </row>
    <row r="84159">
      <c r="A84159" s="1" t="n">
        <v>84158</v>
      </c>
      <c r="B84159">
        <f>TEXT(84158, "[$-0E0000]yyyy-mm-dd")</f>
        <v/>
      </c>
    </row>
    <row r="84160">
      <c r="A84160" s="1" t="n">
        <v>84159</v>
      </c>
      <c r="B84160">
        <f>TEXT(84159, "[$-0E0000]yyyy-mm-dd")</f>
        <v/>
      </c>
    </row>
    <row r="84161">
      <c r="A84161" s="1" t="n">
        <v>84160</v>
      </c>
      <c r="B84161">
        <f>TEXT(84160, "[$-0E0000]yyyy-mm-dd")</f>
        <v/>
      </c>
    </row>
    <row r="84162">
      <c r="A84162" s="1" t="n">
        <v>84161</v>
      </c>
      <c r="B84162">
        <f>TEXT(84161, "[$-0E0000]yyyy-mm-dd")</f>
        <v/>
      </c>
    </row>
    <row r="84163">
      <c r="A84163" s="1" t="n">
        <v>84162</v>
      </c>
      <c r="B84163">
        <f>TEXT(84162, "[$-0E0000]yyyy-mm-dd")</f>
        <v/>
      </c>
    </row>
    <row r="84164">
      <c r="A84164" s="1" t="n">
        <v>84163</v>
      </c>
      <c r="B84164">
        <f>TEXT(84163, "[$-0E0000]yyyy-mm-dd")</f>
        <v/>
      </c>
    </row>
    <row r="84165">
      <c r="A84165" s="1" t="n">
        <v>84164</v>
      </c>
      <c r="B84165">
        <f>TEXT(84164, "[$-0E0000]yyyy-mm-dd")</f>
        <v/>
      </c>
    </row>
    <row r="84166">
      <c r="A84166" s="1" t="n">
        <v>84165</v>
      </c>
      <c r="B84166">
        <f>TEXT(84165, "[$-0E0000]yyyy-mm-dd")</f>
        <v/>
      </c>
    </row>
    <row r="84167">
      <c r="A84167" s="1" t="n">
        <v>84166</v>
      </c>
      <c r="B84167">
        <f>TEXT(84166, "[$-0E0000]yyyy-mm-dd")</f>
        <v/>
      </c>
    </row>
    <row r="84168">
      <c r="A84168" s="1" t="n">
        <v>84167</v>
      </c>
      <c r="B84168">
        <f>TEXT(84167, "[$-0E0000]yyyy-mm-dd")</f>
        <v/>
      </c>
    </row>
    <row r="84169">
      <c r="A84169" s="1" t="n">
        <v>84168</v>
      </c>
      <c r="B84169">
        <f>TEXT(84168, "[$-0E0000]yyyy-mm-dd")</f>
        <v/>
      </c>
    </row>
    <row r="84170">
      <c r="A84170" s="1" t="n">
        <v>84169</v>
      </c>
      <c r="B84170">
        <f>TEXT(84169, "[$-0E0000]yyyy-mm-dd")</f>
        <v/>
      </c>
    </row>
    <row r="84171">
      <c r="A84171" s="1" t="n">
        <v>84170</v>
      </c>
      <c r="B84171">
        <f>TEXT(84170, "[$-0E0000]yyyy-mm-dd")</f>
        <v/>
      </c>
    </row>
    <row r="84172">
      <c r="A84172" s="1" t="n">
        <v>84171</v>
      </c>
      <c r="B84172">
        <f>TEXT(84171, "[$-0E0000]yyyy-mm-dd")</f>
        <v/>
      </c>
    </row>
    <row r="84173">
      <c r="A84173" s="1" t="n">
        <v>84172</v>
      </c>
      <c r="B84173">
        <f>TEXT(84172, "[$-0E0000]yyyy-mm-dd")</f>
        <v/>
      </c>
    </row>
    <row r="84174">
      <c r="A84174" s="1" t="n">
        <v>84173</v>
      </c>
      <c r="B84174">
        <f>TEXT(84173, "[$-0E0000]yyyy-mm-dd")</f>
        <v/>
      </c>
    </row>
    <row r="84175">
      <c r="A84175" s="1" t="n">
        <v>84174</v>
      </c>
      <c r="B84175">
        <f>TEXT(84174, "[$-0E0000]yyyy-mm-dd")</f>
        <v/>
      </c>
    </row>
    <row r="84176">
      <c r="A84176" s="1" t="n">
        <v>84175</v>
      </c>
      <c r="B84176">
        <f>TEXT(84175, "[$-0E0000]yyyy-mm-dd")</f>
        <v/>
      </c>
    </row>
    <row r="84177">
      <c r="A84177" s="1" t="n">
        <v>84176</v>
      </c>
      <c r="B84177">
        <f>TEXT(84176, "[$-0E0000]yyyy-mm-dd")</f>
        <v/>
      </c>
    </row>
    <row r="84178">
      <c r="A84178" s="1" t="n">
        <v>84177</v>
      </c>
      <c r="B84178">
        <f>TEXT(84177, "[$-0E0000]yyyy-mm-dd")</f>
        <v/>
      </c>
    </row>
    <row r="84179">
      <c r="A84179" s="1" t="n">
        <v>84178</v>
      </c>
      <c r="B84179">
        <f>TEXT(84178, "[$-0E0000]yyyy-mm-dd")</f>
        <v/>
      </c>
    </row>
    <row r="84180">
      <c r="A84180" s="1" t="n">
        <v>84179</v>
      </c>
      <c r="B84180">
        <f>TEXT(84179, "[$-0E0000]yyyy-mm-dd")</f>
        <v/>
      </c>
    </row>
    <row r="84181">
      <c r="A84181" s="1" t="n">
        <v>84180</v>
      </c>
      <c r="B84181">
        <f>TEXT(84180, "[$-0E0000]yyyy-mm-dd")</f>
        <v/>
      </c>
    </row>
    <row r="84182">
      <c r="A84182" s="1" t="n">
        <v>84181</v>
      </c>
      <c r="B84182">
        <f>TEXT(84181, "[$-0E0000]yyyy-mm-dd")</f>
        <v/>
      </c>
    </row>
    <row r="84183">
      <c r="A84183" s="1" t="n">
        <v>84182</v>
      </c>
      <c r="B84183">
        <f>TEXT(84182, "[$-0E0000]yyyy-mm-dd")</f>
        <v/>
      </c>
    </row>
    <row r="84184">
      <c r="A84184" s="1" t="n">
        <v>84183</v>
      </c>
      <c r="B84184">
        <f>TEXT(84183, "[$-0E0000]yyyy-mm-dd")</f>
        <v/>
      </c>
    </row>
    <row r="84185">
      <c r="A84185" s="1" t="n">
        <v>84184</v>
      </c>
      <c r="B84185">
        <f>TEXT(84184, "[$-0E0000]yyyy-mm-dd")</f>
        <v/>
      </c>
    </row>
    <row r="84186">
      <c r="A84186" s="1" t="n">
        <v>84185</v>
      </c>
      <c r="B84186">
        <f>TEXT(84185, "[$-0E0000]yyyy-mm-dd")</f>
        <v/>
      </c>
    </row>
    <row r="84187">
      <c r="A84187" s="1" t="n">
        <v>84186</v>
      </c>
      <c r="B84187">
        <f>TEXT(84186, "[$-0E0000]yyyy-mm-dd")</f>
        <v/>
      </c>
    </row>
    <row r="84188">
      <c r="A84188" s="1" t="n">
        <v>84187</v>
      </c>
      <c r="B84188">
        <f>TEXT(84187, "[$-0E0000]yyyy-mm-dd")</f>
        <v/>
      </c>
    </row>
    <row r="84189">
      <c r="A84189" s="1" t="n">
        <v>84188</v>
      </c>
      <c r="B84189">
        <f>TEXT(84188, "[$-0E0000]yyyy-mm-dd")</f>
        <v/>
      </c>
    </row>
    <row r="84190">
      <c r="A84190" s="1" t="n">
        <v>84189</v>
      </c>
      <c r="B84190">
        <f>TEXT(84189, "[$-0E0000]yyyy-mm-dd")</f>
        <v/>
      </c>
    </row>
    <row r="84191">
      <c r="A84191" s="1" t="n">
        <v>84190</v>
      </c>
      <c r="B84191">
        <f>TEXT(84190, "[$-0E0000]yyyy-mm-dd")</f>
        <v/>
      </c>
    </row>
    <row r="84192">
      <c r="A84192" s="1" t="n">
        <v>84191</v>
      </c>
      <c r="B84192">
        <f>TEXT(84191, "[$-0E0000]yyyy-mm-dd")</f>
        <v/>
      </c>
    </row>
    <row r="84193">
      <c r="A84193" s="1" t="n">
        <v>84192</v>
      </c>
      <c r="B84193">
        <f>TEXT(84192, "[$-0E0000]yyyy-mm-dd")</f>
        <v/>
      </c>
    </row>
    <row r="84194">
      <c r="A84194" s="1" t="n">
        <v>84193</v>
      </c>
      <c r="B84194">
        <f>TEXT(84193, "[$-0E0000]yyyy-mm-dd")</f>
        <v/>
      </c>
    </row>
    <row r="84195">
      <c r="A84195" s="1" t="n">
        <v>84194</v>
      </c>
      <c r="B84195">
        <f>TEXT(84194, "[$-0E0000]yyyy-mm-dd")</f>
        <v/>
      </c>
    </row>
    <row r="84196">
      <c r="A84196" s="1" t="n">
        <v>84195</v>
      </c>
      <c r="B84196">
        <f>TEXT(84195, "[$-0E0000]yyyy-mm-dd")</f>
        <v/>
      </c>
    </row>
    <row r="84197">
      <c r="A84197" s="1" t="n">
        <v>84196</v>
      </c>
      <c r="B84197">
        <f>TEXT(84196, "[$-0E0000]yyyy-mm-dd")</f>
        <v/>
      </c>
    </row>
    <row r="84198">
      <c r="A84198" s="1" t="n">
        <v>84197</v>
      </c>
      <c r="B84198">
        <f>TEXT(84197, "[$-0E0000]yyyy-mm-dd")</f>
        <v/>
      </c>
    </row>
    <row r="84199">
      <c r="A84199" s="1" t="n">
        <v>84198</v>
      </c>
      <c r="B84199">
        <f>TEXT(84198, "[$-0E0000]yyyy-mm-dd")</f>
        <v/>
      </c>
    </row>
    <row r="84200">
      <c r="A84200" s="1" t="n">
        <v>84199</v>
      </c>
      <c r="B84200">
        <f>TEXT(84199, "[$-0E0000]yyyy-mm-dd")</f>
        <v/>
      </c>
    </row>
    <row r="84201">
      <c r="A84201" s="1" t="n">
        <v>84200</v>
      </c>
      <c r="B84201">
        <f>TEXT(84200, "[$-0E0000]yyyy-mm-dd")</f>
        <v/>
      </c>
    </row>
    <row r="84202">
      <c r="A84202" s="1" t="n">
        <v>84201</v>
      </c>
      <c r="B84202">
        <f>TEXT(84201, "[$-0E0000]yyyy-mm-dd")</f>
        <v/>
      </c>
    </row>
    <row r="84203">
      <c r="A84203" s="1" t="n">
        <v>84202</v>
      </c>
      <c r="B84203">
        <f>TEXT(84202, "[$-0E0000]yyyy-mm-dd")</f>
        <v/>
      </c>
    </row>
    <row r="84204">
      <c r="A84204" s="1" t="n">
        <v>84203</v>
      </c>
      <c r="B84204">
        <f>TEXT(84203, "[$-0E0000]yyyy-mm-dd")</f>
        <v/>
      </c>
    </row>
    <row r="84205">
      <c r="A84205" s="1" t="n">
        <v>84204</v>
      </c>
      <c r="B84205">
        <f>TEXT(84204, "[$-0E0000]yyyy-mm-dd")</f>
        <v/>
      </c>
    </row>
    <row r="84206">
      <c r="A84206" s="1" t="n">
        <v>84205</v>
      </c>
      <c r="B84206">
        <f>TEXT(84205, "[$-0E0000]yyyy-mm-dd")</f>
        <v/>
      </c>
    </row>
    <row r="84207">
      <c r="A84207" s="1" t="n">
        <v>84206</v>
      </c>
      <c r="B84207">
        <f>TEXT(84206, "[$-0E0000]yyyy-mm-dd")</f>
        <v/>
      </c>
    </row>
    <row r="84208">
      <c r="A84208" s="1" t="n">
        <v>84207</v>
      </c>
      <c r="B84208">
        <f>TEXT(84207, "[$-0E0000]yyyy-mm-dd")</f>
        <v/>
      </c>
    </row>
    <row r="84209">
      <c r="A84209" s="1" t="n">
        <v>84208</v>
      </c>
      <c r="B84209">
        <f>TEXT(84208, "[$-0E0000]yyyy-mm-dd")</f>
        <v/>
      </c>
    </row>
    <row r="84210">
      <c r="A84210" s="1" t="n">
        <v>84209</v>
      </c>
      <c r="B84210">
        <f>TEXT(84209, "[$-0E0000]yyyy-mm-dd")</f>
        <v/>
      </c>
    </row>
    <row r="84211">
      <c r="A84211" s="1" t="n">
        <v>84210</v>
      </c>
      <c r="B84211">
        <f>TEXT(84210, "[$-0E0000]yyyy-mm-dd")</f>
        <v/>
      </c>
    </row>
    <row r="84212">
      <c r="A84212" s="1" t="n">
        <v>84211</v>
      </c>
      <c r="B84212">
        <f>TEXT(84211, "[$-0E0000]yyyy-mm-dd")</f>
        <v/>
      </c>
    </row>
    <row r="84213">
      <c r="A84213" s="1" t="n">
        <v>84212</v>
      </c>
      <c r="B84213">
        <f>TEXT(84212, "[$-0E0000]yyyy-mm-dd")</f>
        <v/>
      </c>
    </row>
    <row r="84214">
      <c r="A84214" s="1" t="n">
        <v>84213</v>
      </c>
      <c r="B84214">
        <f>TEXT(84213, "[$-0E0000]yyyy-mm-dd")</f>
        <v/>
      </c>
    </row>
    <row r="84215">
      <c r="A84215" s="1" t="n">
        <v>84214</v>
      </c>
      <c r="B84215">
        <f>TEXT(84214, "[$-0E0000]yyyy-mm-dd")</f>
        <v/>
      </c>
    </row>
    <row r="84216">
      <c r="A84216" s="1" t="n">
        <v>84215</v>
      </c>
      <c r="B84216">
        <f>TEXT(84215, "[$-0E0000]yyyy-mm-dd")</f>
        <v/>
      </c>
    </row>
    <row r="84217">
      <c r="A84217" s="1" t="n">
        <v>84216</v>
      </c>
      <c r="B84217">
        <f>TEXT(84216, "[$-0E0000]yyyy-mm-dd")</f>
        <v/>
      </c>
    </row>
    <row r="84218">
      <c r="A84218" s="1" t="n">
        <v>84217</v>
      </c>
      <c r="B84218">
        <f>TEXT(84217, "[$-0E0000]yyyy-mm-dd")</f>
        <v/>
      </c>
    </row>
    <row r="84219">
      <c r="A84219" s="1" t="n">
        <v>84218</v>
      </c>
      <c r="B84219">
        <f>TEXT(84218, "[$-0E0000]yyyy-mm-dd")</f>
        <v/>
      </c>
    </row>
    <row r="84220">
      <c r="A84220" s="1" t="n">
        <v>84219</v>
      </c>
      <c r="B84220">
        <f>TEXT(84219, "[$-0E0000]yyyy-mm-dd")</f>
        <v/>
      </c>
    </row>
    <row r="84221">
      <c r="A84221" s="1" t="n">
        <v>84220</v>
      </c>
      <c r="B84221">
        <f>TEXT(84220, "[$-0E0000]yyyy-mm-dd")</f>
        <v/>
      </c>
    </row>
    <row r="84222">
      <c r="A84222" s="1" t="n">
        <v>84221</v>
      </c>
      <c r="B84222">
        <f>TEXT(84221, "[$-0E0000]yyyy-mm-dd")</f>
        <v/>
      </c>
    </row>
    <row r="84223">
      <c r="A84223" s="1" t="n">
        <v>84222</v>
      </c>
      <c r="B84223">
        <f>TEXT(84222, "[$-0E0000]yyyy-mm-dd")</f>
        <v/>
      </c>
    </row>
    <row r="84224">
      <c r="A84224" s="1" t="n">
        <v>84223</v>
      </c>
      <c r="B84224">
        <f>TEXT(84223, "[$-0E0000]yyyy-mm-dd")</f>
        <v/>
      </c>
    </row>
    <row r="84225">
      <c r="A84225" s="1" t="n">
        <v>84224</v>
      </c>
      <c r="B84225">
        <f>TEXT(84224, "[$-0E0000]yyyy-mm-dd")</f>
        <v/>
      </c>
    </row>
    <row r="84226">
      <c r="A84226" s="1" t="n">
        <v>84225</v>
      </c>
      <c r="B84226">
        <f>TEXT(84225, "[$-0E0000]yyyy-mm-dd")</f>
        <v/>
      </c>
    </row>
    <row r="84227">
      <c r="A84227" s="1" t="n">
        <v>84226</v>
      </c>
      <c r="B84227">
        <f>TEXT(84226, "[$-0E0000]yyyy-mm-dd")</f>
        <v/>
      </c>
    </row>
    <row r="84228">
      <c r="A84228" s="1" t="n">
        <v>84227</v>
      </c>
      <c r="B84228">
        <f>TEXT(84227, "[$-0E0000]yyyy-mm-dd")</f>
        <v/>
      </c>
    </row>
    <row r="84229">
      <c r="A84229" s="1" t="n">
        <v>84228</v>
      </c>
      <c r="B84229">
        <f>TEXT(84228, "[$-0E0000]yyyy-mm-dd")</f>
        <v/>
      </c>
    </row>
    <row r="84230">
      <c r="A84230" s="1" t="n">
        <v>84229</v>
      </c>
      <c r="B84230">
        <f>TEXT(84229, "[$-0E0000]yyyy-mm-dd")</f>
        <v/>
      </c>
    </row>
    <row r="84231">
      <c r="A84231" s="1" t="n">
        <v>84230</v>
      </c>
      <c r="B84231">
        <f>TEXT(84230, "[$-0E0000]yyyy-mm-dd")</f>
        <v/>
      </c>
    </row>
    <row r="84232">
      <c r="A84232" s="1" t="n">
        <v>84231</v>
      </c>
      <c r="B84232">
        <f>TEXT(84231, "[$-0E0000]yyyy-mm-dd")</f>
        <v/>
      </c>
    </row>
    <row r="84233">
      <c r="A84233" s="1" t="n">
        <v>84232</v>
      </c>
      <c r="B84233">
        <f>TEXT(84232, "[$-0E0000]yyyy-mm-dd")</f>
        <v/>
      </c>
    </row>
    <row r="84234">
      <c r="A84234" s="1" t="n">
        <v>84233</v>
      </c>
      <c r="B84234">
        <f>TEXT(84233, "[$-0E0000]yyyy-mm-dd")</f>
        <v/>
      </c>
    </row>
    <row r="84235">
      <c r="A84235" s="1" t="n">
        <v>84234</v>
      </c>
      <c r="B84235">
        <f>TEXT(84234, "[$-0E0000]yyyy-mm-dd")</f>
        <v/>
      </c>
    </row>
    <row r="84236">
      <c r="A84236" s="1" t="n">
        <v>84235</v>
      </c>
      <c r="B84236">
        <f>TEXT(84235, "[$-0E0000]yyyy-mm-dd")</f>
        <v/>
      </c>
    </row>
    <row r="84237">
      <c r="A84237" s="1" t="n">
        <v>84236</v>
      </c>
      <c r="B84237">
        <f>TEXT(84236, "[$-0E0000]yyyy-mm-dd")</f>
        <v/>
      </c>
    </row>
    <row r="84238">
      <c r="A84238" s="1" t="n">
        <v>84237</v>
      </c>
      <c r="B84238">
        <f>TEXT(84237, "[$-0E0000]yyyy-mm-dd")</f>
        <v/>
      </c>
    </row>
    <row r="84239">
      <c r="A84239" s="1" t="n">
        <v>84238</v>
      </c>
      <c r="B84239">
        <f>TEXT(84238, "[$-0E0000]yyyy-mm-dd")</f>
        <v/>
      </c>
    </row>
    <row r="84240">
      <c r="A84240" s="1" t="n">
        <v>84239</v>
      </c>
      <c r="B84240">
        <f>TEXT(84239, "[$-0E0000]yyyy-mm-dd")</f>
        <v/>
      </c>
    </row>
    <row r="84241">
      <c r="A84241" s="1" t="n">
        <v>84240</v>
      </c>
      <c r="B84241">
        <f>TEXT(84240, "[$-0E0000]yyyy-mm-dd")</f>
        <v/>
      </c>
    </row>
    <row r="84242">
      <c r="A84242" s="1" t="n">
        <v>84241</v>
      </c>
      <c r="B84242">
        <f>TEXT(84241, "[$-0E0000]yyyy-mm-dd")</f>
        <v/>
      </c>
    </row>
    <row r="84243">
      <c r="A84243" s="1" t="n">
        <v>84242</v>
      </c>
      <c r="B84243">
        <f>TEXT(84242, "[$-0E0000]yyyy-mm-dd")</f>
        <v/>
      </c>
    </row>
    <row r="84244">
      <c r="A84244" s="1" t="n">
        <v>84243</v>
      </c>
      <c r="B84244">
        <f>TEXT(84243, "[$-0E0000]yyyy-mm-dd")</f>
        <v/>
      </c>
    </row>
    <row r="84245">
      <c r="A84245" s="1" t="n">
        <v>84244</v>
      </c>
      <c r="B84245">
        <f>TEXT(84244, "[$-0E0000]yyyy-mm-dd")</f>
        <v/>
      </c>
    </row>
    <row r="84246">
      <c r="A84246" s="1" t="n">
        <v>84245</v>
      </c>
      <c r="B84246">
        <f>TEXT(84245, "[$-0E0000]yyyy-mm-dd")</f>
        <v/>
      </c>
    </row>
    <row r="84247">
      <c r="A84247" s="1" t="n">
        <v>84246</v>
      </c>
      <c r="B84247">
        <f>TEXT(84246, "[$-0E0000]yyyy-mm-dd")</f>
        <v/>
      </c>
    </row>
    <row r="84248">
      <c r="A84248" s="1" t="n">
        <v>84247</v>
      </c>
      <c r="B84248">
        <f>TEXT(84247, "[$-0E0000]yyyy-mm-dd")</f>
        <v/>
      </c>
    </row>
    <row r="84249">
      <c r="A84249" s="1" t="n">
        <v>84248</v>
      </c>
      <c r="B84249">
        <f>TEXT(84248, "[$-0E0000]yyyy-mm-dd")</f>
        <v/>
      </c>
    </row>
    <row r="84250">
      <c r="A84250" s="1" t="n">
        <v>84249</v>
      </c>
      <c r="B84250">
        <f>TEXT(84249, "[$-0E0000]yyyy-mm-dd")</f>
        <v/>
      </c>
    </row>
    <row r="84251">
      <c r="A84251" s="1" t="n">
        <v>84250</v>
      </c>
      <c r="B84251">
        <f>TEXT(84250, "[$-0E0000]yyyy-mm-dd")</f>
        <v/>
      </c>
    </row>
    <row r="84252">
      <c r="A84252" s="1" t="n">
        <v>84251</v>
      </c>
      <c r="B84252">
        <f>TEXT(84251, "[$-0E0000]yyyy-mm-dd")</f>
        <v/>
      </c>
    </row>
    <row r="84253">
      <c r="A84253" s="1" t="n">
        <v>84252</v>
      </c>
      <c r="B84253">
        <f>TEXT(84252, "[$-0E0000]yyyy-mm-dd")</f>
        <v/>
      </c>
    </row>
    <row r="84254">
      <c r="A84254" s="1" t="n">
        <v>84253</v>
      </c>
      <c r="B84254">
        <f>TEXT(84253, "[$-0E0000]yyyy-mm-dd")</f>
        <v/>
      </c>
    </row>
    <row r="84255">
      <c r="A84255" s="1" t="n">
        <v>84254</v>
      </c>
      <c r="B84255">
        <f>TEXT(84254, "[$-0E0000]yyyy-mm-dd")</f>
        <v/>
      </c>
    </row>
    <row r="84256">
      <c r="A84256" s="1" t="n">
        <v>84255</v>
      </c>
      <c r="B84256">
        <f>TEXT(84255, "[$-0E0000]yyyy-mm-dd")</f>
        <v/>
      </c>
    </row>
    <row r="84257">
      <c r="A84257" s="1" t="n">
        <v>84256</v>
      </c>
      <c r="B84257">
        <f>TEXT(84256, "[$-0E0000]yyyy-mm-dd")</f>
        <v/>
      </c>
    </row>
    <row r="84258">
      <c r="A84258" s="1" t="n">
        <v>84257</v>
      </c>
      <c r="B84258">
        <f>TEXT(84257, "[$-0E0000]yyyy-mm-dd")</f>
        <v/>
      </c>
    </row>
    <row r="84259">
      <c r="A84259" s="1" t="n">
        <v>84258</v>
      </c>
      <c r="B84259">
        <f>TEXT(84258, "[$-0E0000]yyyy-mm-dd")</f>
        <v/>
      </c>
    </row>
    <row r="84260">
      <c r="A84260" s="1" t="n">
        <v>84259</v>
      </c>
      <c r="B84260">
        <f>TEXT(84259, "[$-0E0000]yyyy-mm-dd")</f>
        <v/>
      </c>
    </row>
    <row r="84261">
      <c r="A84261" s="1" t="n">
        <v>84260</v>
      </c>
      <c r="B84261">
        <f>TEXT(84260, "[$-0E0000]yyyy-mm-dd")</f>
        <v/>
      </c>
    </row>
    <row r="84262">
      <c r="A84262" s="1" t="n">
        <v>84261</v>
      </c>
      <c r="B84262">
        <f>TEXT(84261, "[$-0E0000]yyyy-mm-dd")</f>
        <v/>
      </c>
    </row>
    <row r="84263">
      <c r="A84263" s="1" t="n">
        <v>84262</v>
      </c>
      <c r="B84263">
        <f>TEXT(84262, "[$-0E0000]yyyy-mm-dd")</f>
        <v/>
      </c>
    </row>
    <row r="84264">
      <c r="A84264" s="1" t="n">
        <v>84263</v>
      </c>
      <c r="B84264">
        <f>TEXT(84263, "[$-0E0000]yyyy-mm-dd")</f>
        <v/>
      </c>
    </row>
    <row r="84265">
      <c r="A84265" s="1" t="n">
        <v>84264</v>
      </c>
      <c r="B84265">
        <f>TEXT(84264, "[$-0E0000]yyyy-mm-dd")</f>
        <v/>
      </c>
    </row>
    <row r="84266">
      <c r="A84266" s="1" t="n">
        <v>84265</v>
      </c>
      <c r="B84266">
        <f>TEXT(84265, "[$-0E0000]yyyy-mm-dd")</f>
        <v/>
      </c>
    </row>
    <row r="84267">
      <c r="A84267" s="1" t="n">
        <v>84266</v>
      </c>
      <c r="B84267">
        <f>TEXT(84266, "[$-0E0000]yyyy-mm-dd")</f>
        <v/>
      </c>
    </row>
    <row r="84268">
      <c r="A84268" s="1" t="n">
        <v>84267</v>
      </c>
      <c r="B84268">
        <f>TEXT(84267, "[$-0E0000]yyyy-mm-dd")</f>
        <v/>
      </c>
    </row>
    <row r="84269">
      <c r="A84269" s="1" t="n">
        <v>84268</v>
      </c>
      <c r="B84269">
        <f>TEXT(84268, "[$-0E0000]yyyy-mm-dd")</f>
        <v/>
      </c>
    </row>
    <row r="84270">
      <c r="A84270" s="1" t="n">
        <v>84269</v>
      </c>
      <c r="B84270">
        <f>TEXT(84269, "[$-0E0000]yyyy-mm-dd")</f>
        <v/>
      </c>
    </row>
    <row r="84271">
      <c r="A84271" s="1" t="n">
        <v>84270</v>
      </c>
      <c r="B84271">
        <f>TEXT(84270, "[$-0E0000]yyyy-mm-dd")</f>
        <v/>
      </c>
    </row>
    <row r="84272">
      <c r="A84272" s="1" t="n">
        <v>84271</v>
      </c>
      <c r="B84272">
        <f>TEXT(84271, "[$-0E0000]yyyy-mm-dd")</f>
        <v/>
      </c>
    </row>
    <row r="84273">
      <c r="A84273" s="1" t="n">
        <v>84272</v>
      </c>
      <c r="B84273">
        <f>TEXT(84272, "[$-0E0000]yyyy-mm-dd")</f>
        <v/>
      </c>
    </row>
    <row r="84274">
      <c r="A84274" s="1" t="n">
        <v>84273</v>
      </c>
      <c r="B84274">
        <f>TEXT(84273, "[$-0E0000]yyyy-mm-dd")</f>
        <v/>
      </c>
    </row>
    <row r="84275">
      <c r="A84275" s="1" t="n">
        <v>84274</v>
      </c>
      <c r="B84275">
        <f>TEXT(84274, "[$-0E0000]yyyy-mm-dd")</f>
        <v/>
      </c>
    </row>
    <row r="84276">
      <c r="A84276" s="1" t="n">
        <v>84275</v>
      </c>
      <c r="B84276">
        <f>TEXT(84275, "[$-0E0000]yyyy-mm-dd")</f>
        <v/>
      </c>
    </row>
    <row r="84277">
      <c r="A84277" s="1" t="n">
        <v>84276</v>
      </c>
      <c r="B84277">
        <f>TEXT(84276, "[$-0E0000]yyyy-mm-dd")</f>
        <v/>
      </c>
    </row>
    <row r="84278">
      <c r="A84278" s="1" t="n">
        <v>84277</v>
      </c>
      <c r="B84278">
        <f>TEXT(84277, "[$-0E0000]yyyy-mm-dd")</f>
        <v/>
      </c>
    </row>
    <row r="84279">
      <c r="A84279" s="1" t="n">
        <v>84278</v>
      </c>
      <c r="B84279">
        <f>TEXT(84278, "[$-0E0000]yyyy-mm-dd")</f>
        <v/>
      </c>
    </row>
    <row r="84280">
      <c r="A84280" s="1" t="n">
        <v>84279</v>
      </c>
      <c r="B84280">
        <f>TEXT(84279, "[$-0E0000]yyyy-mm-dd")</f>
        <v/>
      </c>
    </row>
    <row r="84281">
      <c r="A84281" s="1" t="n">
        <v>84280</v>
      </c>
      <c r="B84281">
        <f>TEXT(84280, "[$-0E0000]yyyy-mm-dd")</f>
        <v/>
      </c>
    </row>
    <row r="84282">
      <c r="A84282" s="1" t="n">
        <v>84281</v>
      </c>
      <c r="B84282">
        <f>TEXT(84281, "[$-0E0000]yyyy-mm-dd")</f>
        <v/>
      </c>
    </row>
    <row r="84283">
      <c r="A84283" s="1" t="n">
        <v>84282</v>
      </c>
      <c r="B84283">
        <f>TEXT(84282, "[$-0E0000]yyyy-mm-dd")</f>
        <v/>
      </c>
    </row>
    <row r="84284">
      <c r="A84284" s="1" t="n">
        <v>84283</v>
      </c>
      <c r="B84284">
        <f>TEXT(84283, "[$-0E0000]yyyy-mm-dd")</f>
        <v/>
      </c>
    </row>
    <row r="84285">
      <c r="A84285" s="1" t="n">
        <v>84284</v>
      </c>
      <c r="B84285">
        <f>TEXT(84284, "[$-0E0000]yyyy-mm-dd")</f>
        <v/>
      </c>
    </row>
    <row r="84286">
      <c r="A84286" s="1" t="n">
        <v>84285</v>
      </c>
      <c r="B84286">
        <f>TEXT(84285, "[$-0E0000]yyyy-mm-dd")</f>
        <v/>
      </c>
    </row>
    <row r="84287">
      <c r="A84287" s="1" t="n">
        <v>84286</v>
      </c>
      <c r="B84287">
        <f>TEXT(84286, "[$-0E0000]yyyy-mm-dd")</f>
        <v/>
      </c>
    </row>
    <row r="84288">
      <c r="A84288" s="1" t="n">
        <v>84287</v>
      </c>
      <c r="B84288">
        <f>TEXT(84287, "[$-0E0000]yyyy-mm-dd")</f>
        <v/>
      </c>
    </row>
    <row r="84289">
      <c r="A84289" s="1" t="n">
        <v>84288</v>
      </c>
      <c r="B84289">
        <f>TEXT(84288, "[$-0E0000]yyyy-mm-dd")</f>
        <v/>
      </c>
    </row>
    <row r="84290">
      <c r="A84290" s="1" t="n">
        <v>84289</v>
      </c>
      <c r="B84290">
        <f>TEXT(84289, "[$-0E0000]yyyy-mm-dd")</f>
        <v/>
      </c>
    </row>
    <row r="84291">
      <c r="A84291" s="1" t="n">
        <v>84290</v>
      </c>
      <c r="B84291">
        <f>TEXT(84290, "[$-0E0000]yyyy-mm-dd")</f>
        <v/>
      </c>
    </row>
    <row r="84292">
      <c r="A84292" s="1" t="n">
        <v>84291</v>
      </c>
      <c r="B84292">
        <f>TEXT(84291, "[$-0E0000]yyyy-mm-dd")</f>
        <v/>
      </c>
    </row>
    <row r="84293">
      <c r="A84293" s="1" t="n">
        <v>84292</v>
      </c>
      <c r="B84293">
        <f>TEXT(84292, "[$-0E0000]yyyy-mm-dd")</f>
        <v/>
      </c>
    </row>
    <row r="84294">
      <c r="A84294" s="1" t="n">
        <v>84293</v>
      </c>
      <c r="B84294">
        <f>TEXT(84293, "[$-0E0000]yyyy-mm-dd")</f>
        <v/>
      </c>
    </row>
    <row r="84295">
      <c r="A84295" s="1" t="n">
        <v>84294</v>
      </c>
      <c r="B84295">
        <f>TEXT(84294, "[$-0E0000]yyyy-mm-dd")</f>
        <v/>
      </c>
    </row>
    <row r="84296">
      <c r="A84296" s="1" t="n">
        <v>84295</v>
      </c>
      <c r="B84296">
        <f>TEXT(84295, "[$-0E0000]yyyy-mm-dd")</f>
        <v/>
      </c>
    </row>
    <row r="84297">
      <c r="A84297" s="1" t="n">
        <v>84296</v>
      </c>
      <c r="B84297">
        <f>TEXT(84296, "[$-0E0000]yyyy-mm-dd")</f>
        <v/>
      </c>
    </row>
    <row r="84298">
      <c r="A84298" s="1" t="n">
        <v>84297</v>
      </c>
      <c r="B84298">
        <f>TEXT(84297, "[$-0E0000]yyyy-mm-dd")</f>
        <v/>
      </c>
    </row>
    <row r="84299">
      <c r="A84299" s="1" t="n">
        <v>84298</v>
      </c>
      <c r="B84299">
        <f>TEXT(84298, "[$-0E0000]yyyy-mm-dd")</f>
        <v/>
      </c>
    </row>
    <row r="84300">
      <c r="A84300" s="1" t="n">
        <v>84299</v>
      </c>
      <c r="B84300">
        <f>TEXT(84299, "[$-0E0000]yyyy-mm-dd")</f>
        <v/>
      </c>
    </row>
    <row r="84301">
      <c r="A84301" s="1" t="n">
        <v>84300</v>
      </c>
      <c r="B84301">
        <f>TEXT(84300, "[$-0E0000]yyyy-mm-dd")</f>
        <v/>
      </c>
    </row>
    <row r="84302">
      <c r="A84302" s="1" t="n">
        <v>84301</v>
      </c>
      <c r="B84302">
        <f>TEXT(84301, "[$-0E0000]yyyy-mm-dd")</f>
        <v/>
      </c>
    </row>
    <row r="84303">
      <c r="A84303" s="1" t="n">
        <v>84302</v>
      </c>
      <c r="B84303">
        <f>TEXT(84302, "[$-0E0000]yyyy-mm-dd")</f>
        <v/>
      </c>
    </row>
    <row r="84304">
      <c r="A84304" s="1" t="n">
        <v>84303</v>
      </c>
      <c r="B84304">
        <f>TEXT(84303, "[$-0E0000]yyyy-mm-dd")</f>
        <v/>
      </c>
    </row>
    <row r="84305">
      <c r="A84305" s="1" t="n">
        <v>84304</v>
      </c>
      <c r="B84305">
        <f>TEXT(84304, "[$-0E0000]yyyy-mm-dd")</f>
        <v/>
      </c>
    </row>
    <row r="84306">
      <c r="A84306" s="1" t="n">
        <v>84305</v>
      </c>
      <c r="B84306">
        <f>TEXT(84305, "[$-0E0000]yyyy-mm-dd")</f>
        <v/>
      </c>
    </row>
    <row r="84307">
      <c r="A84307" s="1" t="n">
        <v>84306</v>
      </c>
      <c r="B84307">
        <f>TEXT(84306, "[$-0E0000]yyyy-mm-dd")</f>
        <v/>
      </c>
    </row>
    <row r="84308">
      <c r="A84308" s="1" t="n">
        <v>84307</v>
      </c>
      <c r="B84308">
        <f>TEXT(84307, "[$-0E0000]yyyy-mm-dd")</f>
        <v/>
      </c>
    </row>
    <row r="84309">
      <c r="A84309" s="1" t="n">
        <v>84308</v>
      </c>
      <c r="B84309">
        <f>TEXT(84308, "[$-0E0000]yyyy-mm-dd")</f>
        <v/>
      </c>
    </row>
    <row r="84310">
      <c r="A84310" s="1" t="n">
        <v>84309</v>
      </c>
      <c r="B84310">
        <f>TEXT(84309, "[$-0E0000]yyyy-mm-dd")</f>
        <v/>
      </c>
    </row>
    <row r="84311">
      <c r="A84311" s="1" t="n">
        <v>84310</v>
      </c>
      <c r="B84311">
        <f>TEXT(84310, "[$-0E0000]yyyy-mm-dd")</f>
        <v/>
      </c>
    </row>
    <row r="84312">
      <c r="A84312" s="1" t="n">
        <v>84311</v>
      </c>
      <c r="B84312">
        <f>TEXT(84311, "[$-0E0000]yyyy-mm-dd")</f>
        <v/>
      </c>
    </row>
    <row r="84313">
      <c r="A84313" s="1" t="n">
        <v>84312</v>
      </c>
      <c r="B84313">
        <f>TEXT(84312, "[$-0E0000]yyyy-mm-dd")</f>
        <v/>
      </c>
    </row>
    <row r="84314">
      <c r="A84314" s="1" t="n">
        <v>84313</v>
      </c>
      <c r="B84314">
        <f>TEXT(84313, "[$-0E0000]yyyy-mm-dd")</f>
        <v/>
      </c>
    </row>
    <row r="84315">
      <c r="A84315" s="1" t="n">
        <v>84314</v>
      </c>
      <c r="B84315">
        <f>TEXT(84314, "[$-0E0000]yyyy-mm-dd")</f>
        <v/>
      </c>
    </row>
    <row r="84316">
      <c r="A84316" s="1" t="n">
        <v>84315</v>
      </c>
      <c r="B84316">
        <f>TEXT(84315, "[$-0E0000]yyyy-mm-dd")</f>
        <v/>
      </c>
    </row>
    <row r="84317">
      <c r="A84317" s="1" t="n">
        <v>84316</v>
      </c>
      <c r="B84317">
        <f>TEXT(84316, "[$-0E0000]yyyy-mm-dd")</f>
        <v/>
      </c>
    </row>
    <row r="84318">
      <c r="A84318" s="1" t="n">
        <v>84317</v>
      </c>
      <c r="B84318">
        <f>TEXT(84317, "[$-0E0000]yyyy-mm-dd")</f>
        <v/>
      </c>
    </row>
    <row r="84319">
      <c r="A84319" s="1" t="n">
        <v>84318</v>
      </c>
      <c r="B84319">
        <f>TEXT(84318, "[$-0E0000]yyyy-mm-dd")</f>
        <v/>
      </c>
    </row>
    <row r="84320">
      <c r="A84320" s="1" t="n">
        <v>84319</v>
      </c>
      <c r="B84320">
        <f>TEXT(84319, "[$-0E0000]yyyy-mm-dd")</f>
        <v/>
      </c>
    </row>
    <row r="84321">
      <c r="A84321" s="1" t="n">
        <v>84320</v>
      </c>
      <c r="B84321">
        <f>TEXT(84320, "[$-0E0000]yyyy-mm-dd")</f>
        <v/>
      </c>
    </row>
    <row r="84322">
      <c r="A84322" s="1" t="n">
        <v>84321</v>
      </c>
      <c r="B84322">
        <f>TEXT(84321, "[$-0E0000]yyyy-mm-dd")</f>
        <v/>
      </c>
    </row>
    <row r="84323">
      <c r="A84323" s="1" t="n">
        <v>84322</v>
      </c>
      <c r="B84323">
        <f>TEXT(84322, "[$-0E0000]yyyy-mm-dd")</f>
        <v/>
      </c>
    </row>
    <row r="84324">
      <c r="A84324" s="1" t="n">
        <v>84323</v>
      </c>
      <c r="B84324">
        <f>TEXT(84323, "[$-0E0000]yyyy-mm-dd")</f>
        <v/>
      </c>
    </row>
    <row r="84325">
      <c r="A84325" s="1" t="n">
        <v>84324</v>
      </c>
      <c r="B84325">
        <f>TEXT(84324, "[$-0E0000]yyyy-mm-dd")</f>
        <v/>
      </c>
    </row>
    <row r="84326">
      <c r="A84326" s="1" t="n">
        <v>84325</v>
      </c>
      <c r="B84326">
        <f>TEXT(84325, "[$-0E0000]yyyy-mm-dd")</f>
        <v/>
      </c>
    </row>
    <row r="84327">
      <c r="A84327" s="1" t="n">
        <v>84326</v>
      </c>
      <c r="B84327">
        <f>TEXT(84326, "[$-0E0000]yyyy-mm-dd")</f>
        <v/>
      </c>
    </row>
    <row r="84328">
      <c r="A84328" s="1" t="n">
        <v>84327</v>
      </c>
      <c r="B84328">
        <f>TEXT(84327, "[$-0E0000]yyyy-mm-dd")</f>
        <v/>
      </c>
    </row>
    <row r="84329">
      <c r="A84329" s="1" t="n">
        <v>84328</v>
      </c>
      <c r="B84329">
        <f>TEXT(84328, "[$-0E0000]yyyy-mm-dd")</f>
        <v/>
      </c>
    </row>
    <row r="84330">
      <c r="A84330" s="1" t="n">
        <v>84329</v>
      </c>
      <c r="B84330">
        <f>TEXT(84329, "[$-0E0000]yyyy-mm-dd")</f>
        <v/>
      </c>
    </row>
    <row r="84331">
      <c r="A84331" s="1" t="n">
        <v>84330</v>
      </c>
      <c r="B84331">
        <f>TEXT(84330, "[$-0E0000]yyyy-mm-dd")</f>
        <v/>
      </c>
    </row>
    <row r="84332">
      <c r="A84332" s="1" t="n">
        <v>84331</v>
      </c>
      <c r="B84332">
        <f>TEXT(84331, "[$-0E0000]yyyy-mm-dd")</f>
        <v/>
      </c>
    </row>
    <row r="84333">
      <c r="A84333" s="1" t="n">
        <v>84332</v>
      </c>
      <c r="B84333">
        <f>TEXT(84332, "[$-0E0000]yyyy-mm-dd")</f>
        <v/>
      </c>
    </row>
    <row r="84334">
      <c r="A84334" s="1" t="n">
        <v>84333</v>
      </c>
      <c r="B84334">
        <f>TEXT(84333, "[$-0E0000]yyyy-mm-dd")</f>
        <v/>
      </c>
    </row>
    <row r="84335">
      <c r="A84335" s="1" t="n">
        <v>84334</v>
      </c>
      <c r="B84335">
        <f>TEXT(84334, "[$-0E0000]yyyy-mm-dd")</f>
        <v/>
      </c>
    </row>
    <row r="84336">
      <c r="A84336" s="1" t="n">
        <v>84335</v>
      </c>
      <c r="B84336">
        <f>TEXT(84335, "[$-0E0000]yyyy-mm-dd")</f>
        <v/>
      </c>
    </row>
    <row r="84337">
      <c r="A84337" s="1" t="n">
        <v>84336</v>
      </c>
      <c r="B84337">
        <f>TEXT(84336, "[$-0E0000]yyyy-mm-dd")</f>
        <v/>
      </c>
    </row>
    <row r="84338">
      <c r="A84338" s="1" t="n">
        <v>84337</v>
      </c>
      <c r="B84338">
        <f>TEXT(84337, "[$-0E0000]yyyy-mm-dd")</f>
        <v/>
      </c>
    </row>
    <row r="84339">
      <c r="A84339" s="1" t="n">
        <v>84338</v>
      </c>
      <c r="B84339">
        <f>TEXT(84338, "[$-0E0000]yyyy-mm-dd")</f>
        <v/>
      </c>
    </row>
    <row r="84340">
      <c r="A84340" s="1" t="n">
        <v>84339</v>
      </c>
      <c r="B84340">
        <f>TEXT(84339, "[$-0E0000]yyyy-mm-dd")</f>
        <v/>
      </c>
    </row>
    <row r="84341">
      <c r="A84341" s="1" t="n">
        <v>84340</v>
      </c>
      <c r="B84341">
        <f>TEXT(84340, "[$-0E0000]yyyy-mm-dd")</f>
        <v/>
      </c>
    </row>
    <row r="84342">
      <c r="A84342" s="1" t="n">
        <v>84341</v>
      </c>
      <c r="B84342">
        <f>TEXT(84341, "[$-0E0000]yyyy-mm-dd")</f>
        <v/>
      </c>
    </row>
    <row r="84343">
      <c r="A84343" s="1" t="n">
        <v>84342</v>
      </c>
      <c r="B84343">
        <f>TEXT(84342, "[$-0E0000]yyyy-mm-dd")</f>
        <v/>
      </c>
    </row>
    <row r="84344">
      <c r="A84344" s="1" t="n">
        <v>84343</v>
      </c>
      <c r="B84344">
        <f>TEXT(84343, "[$-0E0000]yyyy-mm-dd")</f>
        <v/>
      </c>
    </row>
    <row r="84345">
      <c r="A84345" s="1" t="n">
        <v>84344</v>
      </c>
      <c r="B84345">
        <f>TEXT(84344, "[$-0E0000]yyyy-mm-dd")</f>
        <v/>
      </c>
    </row>
    <row r="84346">
      <c r="A84346" s="1" t="n">
        <v>84345</v>
      </c>
      <c r="B84346">
        <f>TEXT(84345, "[$-0E0000]yyyy-mm-dd")</f>
        <v/>
      </c>
    </row>
    <row r="84347">
      <c r="A84347" s="1" t="n">
        <v>84346</v>
      </c>
      <c r="B84347">
        <f>TEXT(84346, "[$-0E0000]yyyy-mm-dd")</f>
        <v/>
      </c>
    </row>
    <row r="84348">
      <c r="A84348" s="1" t="n">
        <v>84347</v>
      </c>
      <c r="B84348">
        <f>TEXT(84347, "[$-0E0000]yyyy-mm-dd")</f>
        <v/>
      </c>
    </row>
    <row r="84349">
      <c r="A84349" s="1" t="n">
        <v>84348</v>
      </c>
      <c r="B84349">
        <f>TEXT(84348, "[$-0E0000]yyyy-mm-dd")</f>
        <v/>
      </c>
    </row>
    <row r="84350">
      <c r="A84350" s="1" t="n">
        <v>84349</v>
      </c>
      <c r="B84350">
        <f>TEXT(84349, "[$-0E0000]yyyy-mm-dd")</f>
        <v/>
      </c>
    </row>
    <row r="84351">
      <c r="A84351" s="1" t="n">
        <v>84350</v>
      </c>
      <c r="B84351">
        <f>TEXT(84350, "[$-0E0000]yyyy-mm-dd")</f>
        <v/>
      </c>
    </row>
    <row r="84352">
      <c r="A84352" s="1" t="n">
        <v>84351</v>
      </c>
      <c r="B84352">
        <f>TEXT(84351, "[$-0E0000]yyyy-mm-dd")</f>
        <v/>
      </c>
    </row>
    <row r="84353">
      <c r="A84353" s="1" t="n">
        <v>84352</v>
      </c>
      <c r="B84353">
        <f>TEXT(84352, "[$-0E0000]yyyy-mm-dd")</f>
        <v/>
      </c>
    </row>
    <row r="84354">
      <c r="A84354" s="1" t="n">
        <v>84353</v>
      </c>
      <c r="B84354">
        <f>TEXT(84353, "[$-0E0000]yyyy-mm-dd")</f>
        <v/>
      </c>
    </row>
    <row r="84355">
      <c r="A84355" s="1" t="n">
        <v>84354</v>
      </c>
      <c r="B84355">
        <f>TEXT(84354, "[$-0E0000]yyyy-mm-dd")</f>
        <v/>
      </c>
    </row>
    <row r="84356">
      <c r="A84356" s="1" t="n">
        <v>84355</v>
      </c>
      <c r="B84356">
        <f>TEXT(84355, "[$-0E0000]yyyy-mm-dd")</f>
        <v/>
      </c>
    </row>
    <row r="84357">
      <c r="A84357" s="1" t="n">
        <v>84356</v>
      </c>
      <c r="B84357">
        <f>TEXT(84356, "[$-0E0000]yyyy-mm-dd")</f>
        <v/>
      </c>
    </row>
    <row r="84358">
      <c r="A84358" s="1" t="n">
        <v>84357</v>
      </c>
      <c r="B84358">
        <f>TEXT(84357, "[$-0E0000]yyyy-mm-dd")</f>
        <v/>
      </c>
    </row>
    <row r="84359">
      <c r="A84359" s="1" t="n">
        <v>84358</v>
      </c>
      <c r="B84359">
        <f>TEXT(84358, "[$-0E0000]yyyy-mm-dd")</f>
        <v/>
      </c>
    </row>
    <row r="84360">
      <c r="A84360" s="1" t="n">
        <v>84359</v>
      </c>
      <c r="B84360">
        <f>TEXT(84359, "[$-0E0000]yyyy-mm-dd")</f>
        <v/>
      </c>
    </row>
    <row r="84361">
      <c r="A84361" s="1" t="n">
        <v>84360</v>
      </c>
      <c r="B84361">
        <f>TEXT(84360, "[$-0E0000]yyyy-mm-dd")</f>
        <v/>
      </c>
    </row>
    <row r="84362">
      <c r="A84362" s="1" t="n">
        <v>84361</v>
      </c>
      <c r="B84362">
        <f>TEXT(84361, "[$-0E0000]yyyy-mm-dd")</f>
        <v/>
      </c>
    </row>
    <row r="84363">
      <c r="A84363" s="1" t="n">
        <v>84362</v>
      </c>
      <c r="B84363">
        <f>TEXT(84362, "[$-0E0000]yyyy-mm-dd")</f>
        <v/>
      </c>
    </row>
    <row r="84364">
      <c r="A84364" s="1" t="n">
        <v>84363</v>
      </c>
      <c r="B84364">
        <f>TEXT(84363, "[$-0E0000]yyyy-mm-dd")</f>
        <v/>
      </c>
    </row>
    <row r="84365">
      <c r="A84365" s="1" t="n">
        <v>84364</v>
      </c>
      <c r="B84365">
        <f>TEXT(84364, "[$-0E0000]yyyy-mm-dd")</f>
        <v/>
      </c>
    </row>
    <row r="84366">
      <c r="A84366" s="1" t="n">
        <v>84365</v>
      </c>
      <c r="B84366">
        <f>TEXT(84365, "[$-0E0000]yyyy-mm-dd")</f>
        <v/>
      </c>
    </row>
    <row r="84367">
      <c r="A84367" s="1" t="n">
        <v>84366</v>
      </c>
      <c r="B84367">
        <f>TEXT(84366, "[$-0E0000]yyyy-mm-dd")</f>
        <v/>
      </c>
    </row>
    <row r="84368">
      <c r="A84368" s="1" t="n">
        <v>84367</v>
      </c>
      <c r="B84368">
        <f>TEXT(84367, "[$-0E0000]yyyy-mm-dd")</f>
        <v/>
      </c>
    </row>
    <row r="84369">
      <c r="A84369" s="1" t="n">
        <v>84368</v>
      </c>
      <c r="B84369">
        <f>TEXT(84368, "[$-0E0000]yyyy-mm-dd")</f>
        <v/>
      </c>
    </row>
    <row r="84370">
      <c r="A84370" s="1" t="n">
        <v>84369</v>
      </c>
      <c r="B84370">
        <f>TEXT(84369, "[$-0E0000]yyyy-mm-dd")</f>
        <v/>
      </c>
    </row>
    <row r="84371">
      <c r="A84371" s="1" t="n">
        <v>84370</v>
      </c>
      <c r="B84371">
        <f>TEXT(84370, "[$-0E0000]yyyy-mm-dd")</f>
        <v/>
      </c>
    </row>
    <row r="84372">
      <c r="A84372" s="1" t="n">
        <v>84371</v>
      </c>
      <c r="B84372">
        <f>TEXT(84371, "[$-0E0000]yyyy-mm-dd")</f>
        <v/>
      </c>
    </row>
    <row r="84373">
      <c r="A84373" s="1" t="n">
        <v>84372</v>
      </c>
      <c r="B84373">
        <f>TEXT(84372, "[$-0E0000]yyyy-mm-dd")</f>
        <v/>
      </c>
    </row>
    <row r="84374">
      <c r="A84374" s="1" t="n">
        <v>84373</v>
      </c>
      <c r="B84374">
        <f>TEXT(84373, "[$-0E0000]yyyy-mm-dd")</f>
        <v/>
      </c>
    </row>
    <row r="84375">
      <c r="A84375" s="1" t="n">
        <v>84374</v>
      </c>
      <c r="B84375">
        <f>TEXT(84374, "[$-0E0000]yyyy-mm-dd")</f>
        <v/>
      </c>
    </row>
    <row r="84376">
      <c r="A84376" s="1" t="n">
        <v>84375</v>
      </c>
      <c r="B84376">
        <f>TEXT(84375, "[$-0E0000]yyyy-mm-dd")</f>
        <v/>
      </c>
    </row>
    <row r="84377">
      <c r="A84377" s="1" t="n">
        <v>84376</v>
      </c>
      <c r="B84377">
        <f>TEXT(84376, "[$-0E0000]yyyy-mm-dd")</f>
        <v/>
      </c>
    </row>
    <row r="84378">
      <c r="A84378" s="1" t="n">
        <v>84377</v>
      </c>
      <c r="B84378">
        <f>TEXT(84377, "[$-0E0000]yyyy-mm-dd")</f>
        <v/>
      </c>
    </row>
    <row r="84379">
      <c r="A84379" s="1" t="n">
        <v>84378</v>
      </c>
      <c r="B84379">
        <f>TEXT(84378, "[$-0E0000]yyyy-mm-dd")</f>
        <v/>
      </c>
    </row>
    <row r="84380">
      <c r="A84380" s="1" t="n">
        <v>84379</v>
      </c>
      <c r="B84380">
        <f>TEXT(84379, "[$-0E0000]yyyy-mm-dd")</f>
        <v/>
      </c>
    </row>
    <row r="84381">
      <c r="A84381" s="1" t="n">
        <v>84380</v>
      </c>
      <c r="B84381">
        <f>TEXT(84380, "[$-0E0000]yyyy-mm-dd")</f>
        <v/>
      </c>
    </row>
    <row r="84382">
      <c r="A84382" s="1" t="n">
        <v>84381</v>
      </c>
      <c r="B84382">
        <f>TEXT(84381, "[$-0E0000]yyyy-mm-dd")</f>
        <v/>
      </c>
    </row>
    <row r="84383">
      <c r="A84383" s="1" t="n">
        <v>84382</v>
      </c>
      <c r="B84383">
        <f>TEXT(84382, "[$-0E0000]yyyy-mm-dd")</f>
        <v/>
      </c>
    </row>
    <row r="84384">
      <c r="A84384" s="1" t="n">
        <v>84383</v>
      </c>
      <c r="B84384">
        <f>TEXT(84383, "[$-0E0000]yyyy-mm-dd")</f>
        <v/>
      </c>
    </row>
    <row r="84385">
      <c r="A84385" s="1" t="n">
        <v>84384</v>
      </c>
      <c r="B84385">
        <f>TEXT(84384, "[$-0E0000]yyyy-mm-dd")</f>
        <v/>
      </c>
    </row>
    <row r="84386">
      <c r="A84386" s="1" t="n">
        <v>84385</v>
      </c>
      <c r="B84386">
        <f>TEXT(84385, "[$-0E0000]yyyy-mm-dd")</f>
        <v/>
      </c>
    </row>
    <row r="84387">
      <c r="A84387" s="1" t="n">
        <v>84386</v>
      </c>
      <c r="B84387">
        <f>TEXT(84386, "[$-0E0000]yyyy-mm-dd")</f>
        <v/>
      </c>
    </row>
    <row r="84388">
      <c r="A84388" s="1" t="n">
        <v>84387</v>
      </c>
      <c r="B84388">
        <f>TEXT(84387, "[$-0E0000]yyyy-mm-dd")</f>
        <v/>
      </c>
    </row>
    <row r="84389">
      <c r="A84389" s="1" t="n">
        <v>84388</v>
      </c>
      <c r="B84389">
        <f>TEXT(84388, "[$-0E0000]yyyy-mm-dd")</f>
        <v/>
      </c>
    </row>
    <row r="84390">
      <c r="A84390" s="1" t="n">
        <v>84389</v>
      </c>
      <c r="B84390">
        <f>TEXT(84389, "[$-0E0000]yyyy-mm-dd")</f>
        <v/>
      </c>
    </row>
    <row r="84391">
      <c r="A84391" s="1" t="n">
        <v>84390</v>
      </c>
      <c r="B84391">
        <f>TEXT(84390, "[$-0E0000]yyyy-mm-dd")</f>
        <v/>
      </c>
    </row>
    <row r="84392">
      <c r="A84392" s="1" t="n">
        <v>84391</v>
      </c>
      <c r="B84392">
        <f>TEXT(84391, "[$-0E0000]yyyy-mm-dd")</f>
        <v/>
      </c>
    </row>
    <row r="84393">
      <c r="A84393" s="1" t="n">
        <v>84392</v>
      </c>
      <c r="B84393">
        <f>TEXT(84392, "[$-0E0000]yyyy-mm-dd")</f>
        <v/>
      </c>
    </row>
    <row r="84394">
      <c r="A84394" s="1" t="n">
        <v>84393</v>
      </c>
      <c r="B84394">
        <f>TEXT(84393, "[$-0E0000]yyyy-mm-dd")</f>
        <v/>
      </c>
    </row>
    <row r="84395">
      <c r="A84395" s="1" t="n">
        <v>84394</v>
      </c>
      <c r="B84395">
        <f>TEXT(84394, "[$-0E0000]yyyy-mm-dd")</f>
        <v/>
      </c>
    </row>
    <row r="84396">
      <c r="A84396" s="1" t="n">
        <v>84395</v>
      </c>
      <c r="B84396">
        <f>TEXT(84395, "[$-0E0000]yyyy-mm-dd")</f>
        <v/>
      </c>
    </row>
    <row r="84397">
      <c r="A84397" s="1" t="n">
        <v>84396</v>
      </c>
      <c r="B84397">
        <f>TEXT(84396, "[$-0E0000]yyyy-mm-dd")</f>
        <v/>
      </c>
    </row>
    <row r="84398">
      <c r="A84398" s="1" t="n">
        <v>84397</v>
      </c>
      <c r="B84398">
        <f>TEXT(84397, "[$-0E0000]yyyy-mm-dd")</f>
        <v/>
      </c>
    </row>
    <row r="84399">
      <c r="A84399" s="1" t="n">
        <v>84398</v>
      </c>
      <c r="B84399">
        <f>TEXT(84398, "[$-0E0000]yyyy-mm-dd")</f>
        <v/>
      </c>
    </row>
    <row r="84400">
      <c r="A84400" s="1" t="n">
        <v>84399</v>
      </c>
      <c r="B84400">
        <f>TEXT(84399, "[$-0E0000]yyyy-mm-dd")</f>
        <v/>
      </c>
    </row>
    <row r="84401">
      <c r="A84401" s="1" t="n">
        <v>84400</v>
      </c>
      <c r="B84401">
        <f>TEXT(84400, "[$-0E0000]yyyy-mm-dd")</f>
        <v/>
      </c>
    </row>
    <row r="84402">
      <c r="A84402" s="1" t="n">
        <v>84401</v>
      </c>
      <c r="B84402">
        <f>TEXT(84401, "[$-0E0000]yyyy-mm-dd")</f>
        <v/>
      </c>
    </row>
    <row r="84403">
      <c r="A84403" s="1" t="n">
        <v>84402</v>
      </c>
      <c r="B84403">
        <f>TEXT(84402, "[$-0E0000]yyyy-mm-dd")</f>
        <v/>
      </c>
    </row>
    <row r="84404">
      <c r="A84404" s="1" t="n">
        <v>84403</v>
      </c>
      <c r="B84404">
        <f>TEXT(84403, "[$-0E0000]yyyy-mm-dd")</f>
        <v/>
      </c>
    </row>
    <row r="84405">
      <c r="A84405" s="1" t="n">
        <v>84404</v>
      </c>
      <c r="B84405">
        <f>TEXT(84404, "[$-0E0000]yyyy-mm-dd")</f>
        <v/>
      </c>
    </row>
    <row r="84406">
      <c r="A84406" s="1" t="n">
        <v>84405</v>
      </c>
      <c r="B84406">
        <f>TEXT(84405, "[$-0E0000]yyyy-mm-dd")</f>
        <v/>
      </c>
    </row>
    <row r="84407">
      <c r="A84407" s="1" t="n">
        <v>84406</v>
      </c>
      <c r="B84407">
        <f>TEXT(84406, "[$-0E0000]yyyy-mm-dd")</f>
        <v/>
      </c>
    </row>
    <row r="84408">
      <c r="A84408" s="1" t="n">
        <v>84407</v>
      </c>
      <c r="B84408">
        <f>TEXT(84407, "[$-0E0000]yyyy-mm-dd")</f>
        <v/>
      </c>
    </row>
    <row r="84409">
      <c r="A84409" s="1" t="n">
        <v>84408</v>
      </c>
      <c r="B84409">
        <f>TEXT(84408, "[$-0E0000]yyyy-mm-dd")</f>
        <v/>
      </c>
    </row>
    <row r="84410">
      <c r="A84410" s="1" t="n">
        <v>84409</v>
      </c>
      <c r="B84410">
        <f>TEXT(84409, "[$-0E0000]yyyy-mm-dd")</f>
        <v/>
      </c>
    </row>
    <row r="84411">
      <c r="A84411" s="1" t="n">
        <v>84410</v>
      </c>
      <c r="B84411">
        <f>TEXT(84410, "[$-0E0000]yyyy-mm-dd")</f>
        <v/>
      </c>
    </row>
    <row r="84412">
      <c r="A84412" s="1" t="n">
        <v>84411</v>
      </c>
      <c r="B84412">
        <f>TEXT(84411, "[$-0E0000]yyyy-mm-dd")</f>
        <v/>
      </c>
    </row>
    <row r="84413">
      <c r="A84413" s="1" t="n">
        <v>84412</v>
      </c>
      <c r="B84413">
        <f>TEXT(84412, "[$-0E0000]yyyy-mm-dd")</f>
        <v/>
      </c>
    </row>
    <row r="84414">
      <c r="A84414" s="1" t="n">
        <v>84413</v>
      </c>
      <c r="B84414">
        <f>TEXT(84413, "[$-0E0000]yyyy-mm-dd")</f>
        <v/>
      </c>
    </row>
    <row r="84415">
      <c r="A84415" s="1" t="n">
        <v>84414</v>
      </c>
      <c r="B84415">
        <f>TEXT(84414, "[$-0E0000]yyyy-mm-dd")</f>
        <v/>
      </c>
    </row>
    <row r="84416">
      <c r="A84416" s="1" t="n">
        <v>84415</v>
      </c>
      <c r="B84416">
        <f>TEXT(84415, "[$-0E0000]yyyy-mm-dd")</f>
        <v/>
      </c>
    </row>
    <row r="84417">
      <c r="A84417" s="1" t="n">
        <v>84416</v>
      </c>
      <c r="B84417">
        <f>TEXT(84416, "[$-0E0000]yyyy-mm-dd")</f>
        <v/>
      </c>
    </row>
    <row r="84418">
      <c r="A84418" s="1" t="n">
        <v>84417</v>
      </c>
      <c r="B84418">
        <f>TEXT(84417, "[$-0E0000]yyyy-mm-dd")</f>
        <v/>
      </c>
    </row>
    <row r="84419">
      <c r="A84419" s="1" t="n">
        <v>84418</v>
      </c>
      <c r="B84419">
        <f>TEXT(84418, "[$-0E0000]yyyy-mm-dd")</f>
        <v/>
      </c>
    </row>
    <row r="84420">
      <c r="A84420" s="1" t="n">
        <v>84419</v>
      </c>
      <c r="B84420">
        <f>TEXT(84419, "[$-0E0000]yyyy-mm-dd")</f>
        <v/>
      </c>
    </row>
    <row r="84421">
      <c r="A84421" s="1" t="n">
        <v>84420</v>
      </c>
      <c r="B84421">
        <f>TEXT(84420, "[$-0E0000]yyyy-mm-dd")</f>
        <v/>
      </c>
    </row>
    <row r="84422">
      <c r="A84422" s="1" t="n">
        <v>84421</v>
      </c>
      <c r="B84422">
        <f>TEXT(84421, "[$-0E0000]yyyy-mm-dd")</f>
        <v/>
      </c>
    </row>
    <row r="84423">
      <c r="A84423" s="1" t="n">
        <v>84422</v>
      </c>
      <c r="B84423">
        <f>TEXT(84422, "[$-0E0000]yyyy-mm-dd")</f>
        <v/>
      </c>
    </row>
    <row r="84424">
      <c r="A84424" s="1" t="n">
        <v>84423</v>
      </c>
      <c r="B84424">
        <f>TEXT(84423, "[$-0E0000]yyyy-mm-dd")</f>
        <v/>
      </c>
    </row>
    <row r="84425">
      <c r="A84425" s="1" t="n">
        <v>84424</v>
      </c>
      <c r="B84425">
        <f>TEXT(84424, "[$-0E0000]yyyy-mm-dd")</f>
        <v/>
      </c>
    </row>
    <row r="84426">
      <c r="A84426" s="1" t="n">
        <v>84425</v>
      </c>
      <c r="B84426">
        <f>TEXT(84425, "[$-0E0000]yyyy-mm-dd")</f>
        <v/>
      </c>
    </row>
    <row r="84427">
      <c r="A84427" s="1" t="n">
        <v>84426</v>
      </c>
      <c r="B84427">
        <f>TEXT(84426, "[$-0E0000]yyyy-mm-dd")</f>
        <v/>
      </c>
    </row>
    <row r="84428">
      <c r="A84428" s="1" t="n">
        <v>84427</v>
      </c>
      <c r="B84428">
        <f>TEXT(84427, "[$-0E0000]yyyy-mm-dd")</f>
        <v/>
      </c>
    </row>
    <row r="84429">
      <c r="A84429" s="1" t="n">
        <v>84428</v>
      </c>
      <c r="B84429">
        <f>TEXT(84428, "[$-0E0000]yyyy-mm-dd")</f>
        <v/>
      </c>
    </row>
    <row r="84430">
      <c r="A84430" s="1" t="n">
        <v>84429</v>
      </c>
      <c r="B84430">
        <f>TEXT(84429, "[$-0E0000]yyyy-mm-dd")</f>
        <v/>
      </c>
    </row>
    <row r="84431">
      <c r="A84431" s="1" t="n">
        <v>84430</v>
      </c>
      <c r="B84431">
        <f>TEXT(84430, "[$-0E0000]yyyy-mm-dd")</f>
        <v/>
      </c>
    </row>
    <row r="84432">
      <c r="A84432" s="1" t="n">
        <v>84431</v>
      </c>
      <c r="B84432">
        <f>TEXT(84431, "[$-0E0000]yyyy-mm-dd")</f>
        <v/>
      </c>
    </row>
    <row r="84433">
      <c r="A84433" s="1" t="n">
        <v>84432</v>
      </c>
      <c r="B84433">
        <f>TEXT(84432, "[$-0E0000]yyyy-mm-dd")</f>
        <v/>
      </c>
    </row>
    <row r="84434">
      <c r="A84434" s="1" t="n">
        <v>84433</v>
      </c>
      <c r="B84434">
        <f>TEXT(84433, "[$-0E0000]yyyy-mm-dd")</f>
        <v/>
      </c>
    </row>
    <row r="84435">
      <c r="A84435" s="1" t="n">
        <v>84434</v>
      </c>
      <c r="B84435">
        <f>TEXT(84434, "[$-0E0000]yyyy-mm-dd")</f>
        <v/>
      </c>
    </row>
    <row r="84436">
      <c r="A84436" s="1" t="n">
        <v>84435</v>
      </c>
      <c r="B84436">
        <f>TEXT(84435, "[$-0E0000]yyyy-mm-dd")</f>
        <v/>
      </c>
    </row>
    <row r="84437">
      <c r="A84437" s="1" t="n">
        <v>84436</v>
      </c>
      <c r="B84437">
        <f>TEXT(84436, "[$-0E0000]yyyy-mm-dd")</f>
        <v/>
      </c>
    </row>
    <row r="84438">
      <c r="A84438" s="1" t="n">
        <v>84437</v>
      </c>
      <c r="B84438">
        <f>TEXT(84437, "[$-0E0000]yyyy-mm-dd")</f>
        <v/>
      </c>
    </row>
    <row r="84439">
      <c r="A84439" s="1" t="n">
        <v>84438</v>
      </c>
      <c r="B84439">
        <f>TEXT(84438, "[$-0E0000]yyyy-mm-dd")</f>
        <v/>
      </c>
    </row>
    <row r="84440">
      <c r="A84440" s="1" t="n">
        <v>84439</v>
      </c>
      <c r="B84440">
        <f>TEXT(84439, "[$-0E0000]yyyy-mm-dd")</f>
        <v/>
      </c>
    </row>
    <row r="84441">
      <c r="A84441" s="1" t="n">
        <v>84440</v>
      </c>
      <c r="B84441">
        <f>TEXT(84440, "[$-0E0000]yyyy-mm-dd")</f>
        <v/>
      </c>
    </row>
    <row r="84442">
      <c r="A84442" s="1" t="n">
        <v>84441</v>
      </c>
      <c r="B84442">
        <f>TEXT(84441, "[$-0E0000]yyyy-mm-dd")</f>
        <v/>
      </c>
    </row>
    <row r="84443">
      <c r="A84443" s="1" t="n">
        <v>84442</v>
      </c>
      <c r="B84443">
        <f>TEXT(84442, "[$-0E0000]yyyy-mm-dd")</f>
        <v/>
      </c>
    </row>
    <row r="84444">
      <c r="A84444" s="1" t="n">
        <v>84443</v>
      </c>
      <c r="B84444">
        <f>TEXT(84443, "[$-0E0000]yyyy-mm-dd")</f>
        <v/>
      </c>
    </row>
    <row r="84445">
      <c r="A84445" s="1" t="n">
        <v>84444</v>
      </c>
      <c r="B84445">
        <f>TEXT(84444, "[$-0E0000]yyyy-mm-dd")</f>
        <v/>
      </c>
    </row>
    <row r="84446">
      <c r="A84446" s="1" t="n">
        <v>84445</v>
      </c>
      <c r="B84446">
        <f>TEXT(84445, "[$-0E0000]yyyy-mm-dd")</f>
        <v/>
      </c>
    </row>
    <row r="84447">
      <c r="A84447" s="1" t="n">
        <v>84446</v>
      </c>
      <c r="B84447">
        <f>TEXT(84446, "[$-0E0000]yyyy-mm-dd")</f>
        <v/>
      </c>
    </row>
    <row r="84448">
      <c r="A84448" s="1" t="n">
        <v>84447</v>
      </c>
      <c r="B84448">
        <f>TEXT(84447, "[$-0E0000]yyyy-mm-dd")</f>
        <v/>
      </c>
    </row>
    <row r="84449">
      <c r="A84449" s="1" t="n">
        <v>84448</v>
      </c>
      <c r="B84449">
        <f>TEXT(84448, "[$-0E0000]yyyy-mm-dd")</f>
        <v/>
      </c>
    </row>
    <row r="84450">
      <c r="A84450" s="1" t="n">
        <v>84449</v>
      </c>
      <c r="B84450">
        <f>TEXT(84449, "[$-0E0000]yyyy-mm-dd")</f>
        <v/>
      </c>
    </row>
    <row r="84451">
      <c r="A84451" s="1" t="n">
        <v>84450</v>
      </c>
      <c r="B84451">
        <f>TEXT(84450, "[$-0E0000]yyyy-mm-dd")</f>
        <v/>
      </c>
    </row>
    <row r="84452">
      <c r="A84452" s="1" t="n">
        <v>84451</v>
      </c>
      <c r="B84452">
        <f>TEXT(84451, "[$-0E0000]yyyy-mm-dd")</f>
        <v/>
      </c>
    </row>
    <row r="84453">
      <c r="A84453" s="1" t="n">
        <v>84452</v>
      </c>
      <c r="B84453">
        <f>TEXT(84452, "[$-0E0000]yyyy-mm-dd")</f>
        <v/>
      </c>
    </row>
    <row r="84454">
      <c r="A84454" s="1" t="n">
        <v>84453</v>
      </c>
      <c r="B84454">
        <f>TEXT(84453, "[$-0E0000]yyyy-mm-dd")</f>
        <v/>
      </c>
    </row>
    <row r="84455">
      <c r="A84455" s="1" t="n">
        <v>84454</v>
      </c>
      <c r="B84455">
        <f>TEXT(84454, "[$-0E0000]yyyy-mm-dd")</f>
        <v/>
      </c>
    </row>
    <row r="84456">
      <c r="A84456" s="1" t="n">
        <v>84455</v>
      </c>
      <c r="B84456">
        <f>TEXT(84455, "[$-0E0000]yyyy-mm-dd")</f>
        <v/>
      </c>
    </row>
    <row r="84457">
      <c r="A84457" s="1" t="n">
        <v>84456</v>
      </c>
      <c r="B84457">
        <f>TEXT(84456, "[$-0E0000]yyyy-mm-dd")</f>
        <v/>
      </c>
    </row>
    <row r="84458">
      <c r="A84458" s="1" t="n">
        <v>84457</v>
      </c>
      <c r="B84458">
        <f>TEXT(84457, "[$-0E0000]yyyy-mm-dd")</f>
        <v/>
      </c>
    </row>
    <row r="84459">
      <c r="A84459" s="1" t="n">
        <v>84458</v>
      </c>
      <c r="B84459">
        <f>TEXT(84458, "[$-0E0000]yyyy-mm-dd")</f>
        <v/>
      </c>
    </row>
    <row r="84460">
      <c r="A84460" s="1" t="n">
        <v>84459</v>
      </c>
      <c r="B84460">
        <f>TEXT(84459, "[$-0E0000]yyyy-mm-dd")</f>
        <v/>
      </c>
    </row>
    <row r="84461">
      <c r="A84461" s="1" t="n">
        <v>84460</v>
      </c>
      <c r="B84461">
        <f>TEXT(84460, "[$-0E0000]yyyy-mm-dd")</f>
        <v/>
      </c>
    </row>
    <row r="84462">
      <c r="A84462" s="1" t="n">
        <v>84461</v>
      </c>
      <c r="B84462">
        <f>TEXT(84461, "[$-0E0000]yyyy-mm-dd")</f>
        <v/>
      </c>
    </row>
    <row r="84463">
      <c r="A84463" s="1" t="n">
        <v>84462</v>
      </c>
      <c r="B84463">
        <f>TEXT(84462, "[$-0E0000]yyyy-mm-dd")</f>
        <v/>
      </c>
    </row>
    <row r="84464">
      <c r="A84464" s="1" t="n">
        <v>84463</v>
      </c>
      <c r="B84464">
        <f>TEXT(84463, "[$-0E0000]yyyy-mm-dd")</f>
        <v/>
      </c>
    </row>
    <row r="84465">
      <c r="A84465" s="1" t="n">
        <v>84464</v>
      </c>
      <c r="B84465">
        <f>TEXT(84464, "[$-0E0000]yyyy-mm-dd")</f>
        <v/>
      </c>
    </row>
    <row r="84466">
      <c r="A84466" s="1" t="n">
        <v>84465</v>
      </c>
      <c r="B84466">
        <f>TEXT(84465, "[$-0E0000]yyyy-mm-dd")</f>
        <v/>
      </c>
    </row>
    <row r="84467">
      <c r="A84467" s="1" t="n">
        <v>84466</v>
      </c>
      <c r="B84467">
        <f>TEXT(84466, "[$-0E0000]yyyy-mm-dd")</f>
        <v/>
      </c>
    </row>
    <row r="84468">
      <c r="A84468" s="1" t="n">
        <v>84467</v>
      </c>
      <c r="B84468">
        <f>TEXT(84467, "[$-0E0000]yyyy-mm-dd")</f>
        <v/>
      </c>
    </row>
    <row r="84469">
      <c r="A84469" s="1" t="n">
        <v>84468</v>
      </c>
      <c r="B84469">
        <f>TEXT(84468, "[$-0E0000]yyyy-mm-dd")</f>
        <v/>
      </c>
    </row>
    <row r="84470">
      <c r="A84470" s="1" t="n">
        <v>84469</v>
      </c>
      <c r="B84470">
        <f>TEXT(84469, "[$-0E0000]yyyy-mm-dd")</f>
        <v/>
      </c>
    </row>
    <row r="84471">
      <c r="A84471" s="1" t="n">
        <v>84470</v>
      </c>
      <c r="B84471">
        <f>TEXT(84470, "[$-0E0000]yyyy-mm-dd")</f>
        <v/>
      </c>
    </row>
    <row r="84472">
      <c r="A84472" s="1" t="n">
        <v>84471</v>
      </c>
      <c r="B84472">
        <f>TEXT(84471, "[$-0E0000]yyyy-mm-dd")</f>
        <v/>
      </c>
    </row>
    <row r="84473">
      <c r="A84473" s="1" t="n">
        <v>84472</v>
      </c>
      <c r="B84473">
        <f>TEXT(84472, "[$-0E0000]yyyy-mm-dd")</f>
        <v/>
      </c>
    </row>
    <row r="84474">
      <c r="A84474" s="1" t="n">
        <v>84473</v>
      </c>
      <c r="B84474">
        <f>TEXT(84473, "[$-0E0000]yyyy-mm-dd")</f>
        <v/>
      </c>
    </row>
    <row r="84475">
      <c r="A84475" s="1" t="n">
        <v>84474</v>
      </c>
      <c r="B84475">
        <f>TEXT(84474, "[$-0E0000]yyyy-mm-dd")</f>
        <v/>
      </c>
    </row>
    <row r="84476">
      <c r="A84476" s="1" t="n">
        <v>84475</v>
      </c>
      <c r="B84476">
        <f>TEXT(84475, "[$-0E0000]yyyy-mm-dd")</f>
        <v/>
      </c>
    </row>
    <row r="84477">
      <c r="A84477" s="1" t="n">
        <v>84476</v>
      </c>
      <c r="B84477">
        <f>TEXT(84476, "[$-0E0000]yyyy-mm-dd")</f>
        <v/>
      </c>
    </row>
    <row r="84478">
      <c r="A84478" s="1" t="n">
        <v>84477</v>
      </c>
      <c r="B84478">
        <f>TEXT(84477, "[$-0E0000]yyyy-mm-dd")</f>
        <v/>
      </c>
    </row>
    <row r="84479">
      <c r="A84479" s="1" t="n">
        <v>84478</v>
      </c>
      <c r="B84479">
        <f>TEXT(84478, "[$-0E0000]yyyy-mm-dd")</f>
        <v/>
      </c>
    </row>
    <row r="84480">
      <c r="A84480" s="1" t="n">
        <v>84479</v>
      </c>
      <c r="B84480">
        <f>TEXT(84479, "[$-0E0000]yyyy-mm-dd")</f>
        <v/>
      </c>
    </row>
    <row r="84481">
      <c r="A84481" s="1" t="n">
        <v>84480</v>
      </c>
      <c r="B84481">
        <f>TEXT(84480, "[$-0E0000]yyyy-mm-dd")</f>
        <v/>
      </c>
    </row>
    <row r="84482">
      <c r="A84482" s="1" t="n">
        <v>84481</v>
      </c>
      <c r="B84482">
        <f>TEXT(84481, "[$-0E0000]yyyy-mm-dd")</f>
        <v/>
      </c>
    </row>
    <row r="84483">
      <c r="A84483" s="1" t="n">
        <v>84482</v>
      </c>
      <c r="B84483">
        <f>TEXT(84482, "[$-0E0000]yyyy-mm-dd")</f>
        <v/>
      </c>
    </row>
    <row r="84484">
      <c r="A84484" s="1" t="n">
        <v>84483</v>
      </c>
      <c r="B84484">
        <f>TEXT(84483, "[$-0E0000]yyyy-mm-dd")</f>
        <v/>
      </c>
    </row>
    <row r="84485">
      <c r="A84485" s="1" t="n">
        <v>84484</v>
      </c>
      <c r="B84485">
        <f>TEXT(84484, "[$-0E0000]yyyy-mm-dd")</f>
        <v/>
      </c>
    </row>
    <row r="84486">
      <c r="A84486" s="1" t="n">
        <v>84485</v>
      </c>
      <c r="B84486">
        <f>TEXT(84485, "[$-0E0000]yyyy-mm-dd")</f>
        <v/>
      </c>
    </row>
    <row r="84487">
      <c r="A84487" s="1" t="n">
        <v>84486</v>
      </c>
      <c r="B84487">
        <f>TEXT(84486, "[$-0E0000]yyyy-mm-dd")</f>
        <v/>
      </c>
    </row>
    <row r="84488">
      <c r="A84488" s="1" t="n">
        <v>84487</v>
      </c>
      <c r="B84488">
        <f>TEXT(84487, "[$-0E0000]yyyy-mm-dd")</f>
        <v/>
      </c>
    </row>
    <row r="84489">
      <c r="A84489" s="1" t="n">
        <v>84488</v>
      </c>
      <c r="B84489">
        <f>TEXT(84488, "[$-0E0000]yyyy-mm-dd")</f>
        <v/>
      </c>
    </row>
    <row r="84490">
      <c r="A84490" s="1" t="n">
        <v>84489</v>
      </c>
      <c r="B84490">
        <f>TEXT(84489, "[$-0E0000]yyyy-mm-dd")</f>
        <v/>
      </c>
    </row>
    <row r="84491">
      <c r="A84491" s="1" t="n">
        <v>84490</v>
      </c>
      <c r="B84491">
        <f>TEXT(84490, "[$-0E0000]yyyy-mm-dd")</f>
        <v/>
      </c>
    </row>
    <row r="84492">
      <c r="A84492" s="1" t="n">
        <v>84491</v>
      </c>
      <c r="B84492">
        <f>TEXT(84491, "[$-0E0000]yyyy-mm-dd")</f>
        <v/>
      </c>
    </row>
    <row r="84493">
      <c r="A84493" s="1" t="n">
        <v>84492</v>
      </c>
      <c r="B84493">
        <f>TEXT(84492, "[$-0E0000]yyyy-mm-dd")</f>
        <v/>
      </c>
    </row>
    <row r="84494">
      <c r="A84494" s="1" t="n">
        <v>84493</v>
      </c>
      <c r="B84494">
        <f>TEXT(84493, "[$-0E0000]yyyy-mm-dd")</f>
        <v/>
      </c>
    </row>
    <row r="84495">
      <c r="A84495" s="1" t="n">
        <v>84494</v>
      </c>
      <c r="B84495">
        <f>TEXT(84494, "[$-0E0000]yyyy-mm-dd")</f>
        <v/>
      </c>
    </row>
    <row r="84496">
      <c r="A84496" s="1" t="n">
        <v>84495</v>
      </c>
      <c r="B84496">
        <f>TEXT(84495, "[$-0E0000]yyyy-mm-dd")</f>
        <v/>
      </c>
    </row>
    <row r="84497">
      <c r="A84497" s="1" t="n">
        <v>84496</v>
      </c>
      <c r="B84497">
        <f>TEXT(84496, "[$-0E0000]yyyy-mm-dd")</f>
        <v/>
      </c>
    </row>
    <row r="84498">
      <c r="A84498" s="1" t="n">
        <v>84497</v>
      </c>
      <c r="B84498">
        <f>TEXT(84497, "[$-0E0000]yyyy-mm-dd")</f>
        <v/>
      </c>
    </row>
    <row r="84499">
      <c r="A84499" s="1" t="n">
        <v>84498</v>
      </c>
      <c r="B84499">
        <f>TEXT(84498, "[$-0E0000]yyyy-mm-dd")</f>
        <v/>
      </c>
    </row>
    <row r="84500">
      <c r="A84500" s="1" t="n">
        <v>84499</v>
      </c>
      <c r="B84500">
        <f>TEXT(84499, "[$-0E0000]yyyy-mm-dd")</f>
        <v/>
      </c>
    </row>
    <row r="84501">
      <c r="A84501" s="1" t="n">
        <v>84500</v>
      </c>
      <c r="B84501">
        <f>TEXT(84500, "[$-0E0000]yyyy-mm-dd")</f>
        <v/>
      </c>
    </row>
    <row r="84502">
      <c r="A84502" s="1" t="n">
        <v>84501</v>
      </c>
      <c r="B84502">
        <f>TEXT(84501, "[$-0E0000]yyyy-mm-dd")</f>
        <v/>
      </c>
    </row>
    <row r="84503">
      <c r="A84503" s="1" t="n">
        <v>84502</v>
      </c>
      <c r="B84503">
        <f>TEXT(84502, "[$-0E0000]yyyy-mm-dd")</f>
        <v/>
      </c>
    </row>
    <row r="84504">
      <c r="A84504" s="1" t="n">
        <v>84503</v>
      </c>
      <c r="B84504">
        <f>TEXT(84503, "[$-0E0000]yyyy-mm-dd")</f>
        <v/>
      </c>
    </row>
    <row r="84505">
      <c r="A84505" s="1" t="n">
        <v>84504</v>
      </c>
      <c r="B84505">
        <f>TEXT(84504, "[$-0E0000]yyyy-mm-dd")</f>
        <v/>
      </c>
    </row>
    <row r="84506">
      <c r="A84506" s="1" t="n">
        <v>84505</v>
      </c>
      <c r="B84506">
        <f>TEXT(84505, "[$-0E0000]yyyy-mm-dd")</f>
        <v/>
      </c>
    </row>
    <row r="84507">
      <c r="A84507" s="1" t="n">
        <v>84506</v>
      </c>
      <c r="B84507">
        <f>TEXT(84506, "[$-0E0000]yyyy-mm-dd")</f>
        <v/>
      </c>
    </row>
    <row r="84508">
      <c r="A84508" s="1" t="n">
        <v>84507</v>
      </c>
      <c r="B84508">
        <f>TEXT(84507, "[$-0E0000]yyyy-mm-dd")</f>
        <v/>
      </c>
    </row>
    <row r="84509">
      <c r="A84509" s="1" t="n">
        <v>84508</v>
      </c>
      <c r="B84509">
        <f>TEXT(84508, "[$-0E0000]yyyy-mm-dd")</f>
        <v/>
      </c>
    </row>
    <row r="84510">
      <c r="A84510" s="1" t="n">
        <v>84509</v>
      </c>
      <c r="B84510">
        <f>TEXT(84509, "[$-0E0000]yyyy-mm-dd")</f>
        <v/>
      </c>
    </row>
    <row r="84511">
      <c r="A84511" s="1" t="n">
        <v>84510</v>
      </c>
      <c r="B84511">
        <f>TEXT(84510, "[$-0E0000]yyyy-mm-dd")</f>
        <v/>
      </c>
    </row>
    <row r="84512">
      <c r="A84512" s="1" t="n">
        <v>84511</v>
      </c>
      <c r="B84512">
        <f>TEXT(84511, "[$-0E0000]yyyy-mm-dd")</f>
        <v/>
      </c>
    </row>
    <row r="84513">
      <c r="A84513" s="1" t="n">
        <v>84512</v>
      </c>
      <c r="B84513">
        <f>TEXT(84512, "[$-0E0000]yyyy-mm-dd")</f>
        <v/>
      </c>
    </row>
    <row r="84514">
      <c r="A84514" s="1" t="n">
        <v>84513</v>
      </c>
      <c r="B84514">
        <f>TEXT(84513, "[$-0E0000]yyyy-mm-dd")</f>
        <v/>
      </c>
    </row>
    <row r="84515">
      <c r="A84515" s="1" t="n">
        <v>84514</v>
      </c>
      <c r="B84515">
        <f>TEXT(84514, "[$-0E0000]yyyy-mm-dd")</f>
        <v/>
      </c>
    </row>
    <row r="84516">
      <c r="A84516" s="1" t="n">
        <v>84515</v>
      </c>
      <c r="B84516">
        <f>TEXT(84515, "[$-0E0000]yyyy-mm-dd")</f>
        <v/>
      </c>
    </row>
    <row r="84517">
      <c r="A84517" s="1" t="n">
        <v>84516</v>
      </c>
      <c r="B84517">
        <f>TEXT(84516, "[$-0E0000]yyyy-mm-dd")</f>
        <v/>
      </c>
    </row>
    <row r="84518">
      <c r="A84518" s="1" t="n">
        <v>84517</v>
      </c>
      <c r="B84518">
        <f>TEXT(84517, "[$-0E0000]yyyy-mm-dd")</f>
        <v/>
      </c>
    </row>
    <row r="84519">
      <c r="A84519" s="1" t="n">
        <v>84518</v>
      </c>
      <c r="B84519">
        <f>TEXT(84518, "[$-0E0000]yyyy-mm-dd")</f>
        <v/>
      </c>
    </row>
    <row r="84520">
      <c r="A84520" s="1" t="n">
        <v>84519</v>
      </c>
      <c r="B84520">
        <f>TEXT(84519, "[$-0E0000]yyyy-mm-dd")</f>
        <v/>
      </c>
    </row>
    <row r="84521">
      <c r="A84521" s="1" t="n">
        <v>84520</v>
      </c>
      <c r="B84521">
        <f>TEXT(84520, "[$-0E0000]yyyy-mm-dd")</f>
        <v/>
      </c>
    </row>
    <row r="84522">
      <c r="A84522" s="1" t="n">
        <v>84521</v>
      </c>
      <c r="B84522">
        <f>TEXT(84521, "[$-0E0000]yyyy-mm-dd")</f>
        <v/>
      </c>
    </row>
    <row r="84523">
      <c r="A84523" s="1" t="n">
        <v>84522</v>
      </c>
      <c r="B84523">
        <f>TEXT(84522, "[$-0E0000]yyyy-mm-dd")</f>
        <v/>
      </c>
    </row>
    <row r="84524">
      <c r="A84524" s="1" t="n">
        <v>84523</v>
      </c>
      <c r="B84524">
        <f>TEXT(84523, "[$-0E0000]yyyy-mm-dd")</f>
        <v/>
      </c>
    </row>
    <row r="84525">
      <c r="A84525" s="1" t="n">
        <v>84524</v>
      </c>
      <c r="B84525">
        <f>TEXT(84524, "[$-0E0000]yyyy-mm-dd")</f>
        <v/>
      </c>
    </row>
    <row r="84526">
      <c r="A84526" s="1" t="n">
        <v>84525</v>
      </c>
      <c r="B84526">
        <f>TEXT(84525, "[$-0E0000]yyyy-mm-dd")</f>
        <v/>
      </c>
    </row>
    <row r="84527">
      <c r="A84527" s="1" t="n">
        <v>84526</v>
      </c>
      <c r="B84527">
        <f>TEXT(84526, "[$-0E0000]yyyy-mm-dd")</f>
        <v/>
      </c>
    </row>
    <row r="84528">
      <c r="A84528" s="1" t="n">
        <v>84527</v>
      </c>
      <c r="B84528">
        <f>TEXT(84527, "[$-0E0000]yyyy-mm-dd")</f>
        <v/>
      </c>
    </row>
    <row r="84529">
      <c r="A84529" s="1" t="n">
        <v>84528</v>
      </c>
      <c r="B84529">
        <f>TEXT(84528, "[$-0E0000]yyyy-mm-dd")</f>
        <v/>
      </c>
    </row>
    <row r="84530">
      <c r="A84530" s="1" t="n">
        <v>84529</v>
      </c>
      <c r="B84530">
        <f>TEXT(84529, "[$-0E0000]yyyy-mm-dd")</f>
        <v/>
      </c>
    </row>
    <row r="84531">
      <c r="A84531" s="1" t="n">
        <v>84530</v>
      </c>
      <c r="B84531">
        <f>TEXT(84530, "[$-0E0000]yyyy-mm-dd")</f>
        <v/>
      </c>
    </row>
    <row r="84532">
      <c r="A84532" s="1" t="n">
        <v>84531</v>
      </c>
      <c r="B84532">
        <f>TEXT(84531, "[$-0E0000]yyyy-mm-dd")</f>
        <v/>
      </c>
    </row>
    <row r="84533">
      <c r="A84533" s="1" t="n">
        <v>84532</v>
      </c>
      <c r="B84533">
        <f>TEXT(84532, "[$-0E0000]yyyy-mm-dd")</f>
        <v/>
      </c>
    </row>
    <row r="84534">
      <c r="A84534" s="1" t="n">
        <v>84533</v>
      </c>
      <c r="B84534">
        <f>TEXT(84533, "[$-0E0000]yyyy-mm-dd")</f>
        <v/>
      </c>
    </row>
    <row r="84535">
      <c r="A84535" s="1" t="n">
        <v>84534</v>
      </c>
      <c r="B84535">
        <f>TEXT(84534, "[$-0E0000]yyyy-mm-dd")</f>
        <v/>
      </c>
    </row>
    <row r="84536">
      <c r="A84536" s="1" t="n">
        <v>84535</v>
      </c>
      <c r="B84536">
        <f>TEXT(84535, "[$-0E0000]yyyy-mm-dd")</f>
        <v/>
      </c>
    </row>
    <row r="84537">
      <c r="A84537" s="1" t="n">
        <v>84536</v>
      </c>
      <c r="B84537">
        <f>TEXT(84536, "[$-0E0000]yyyy-mm-dd")</f>
        <v/>
      </c>
    </row>
    <row r="84538">
      <c r="A84538" s="1" t="n">
        <v>84537</v>
      </c>
      <c r="B84538">
        <f>TEXT(84537, "[$-0E0000]yyyy-mm-dd")</f>
        <v/>
      </c>
    </row>
    <row r="84539">
      <c r="A84539" s="1" t="n">
        <v>84538</v>
      </c>
      <c r="B84539">
        <f>TEXT(84538, "[$-0E0000]yyyy-mm-dd")</f>
        <v/>
      </c>
    </row>
    <row r="84540">
      <c r="A84540" s="1" t="n">
        <v>84539</v>
      </c>
      <c r="B84540">
        <f>TEXT(84539, "[$-0E0000]yyyy-mm-dd")</f>
        <v/>
      </c>
    </row>
    <row r="84541">
      <c r="A84541" s="1" t="n">
        <v>84540</v>
      </c>
      <c r="B84541">
        <f>TEXT(84540, "[$-0E0000]yyyy-mm-dd")</f>
        <v/>
      </c>
    </row>
    <row r="84542">
      <c r="A84542" s="1" t="n">
        <v>84541</v>
      </c>
      <c r="B84542">
        <f>TEXT(84541, "[$-0E0000]yyyy-mm-dd")</f>
        <v/>
      </c>
    </row>
    <row r="84543">
      <c r="A84543" s="1" t="n">
        <v>84542</v>
      </c>
      <c r="B84543">
        <f>TEXT(84542, "[$-0E0000]yyyy-mm-dd")</f>
        <v/>
      </c>
    </row>
    <row r="84544">
      <c r="A84544" s="1" t="n">
        <v>84543</v>
      </c>
      <c r="B84544">
        <f>TEXT(84543, "[$-0E0000]yyyy-mm-dd")</f>
        <v/>
      </c>
    </row>
    <row r="84545">
      <c r="A84545" s="1" t="n">
        <v>84544</v>
      </c>
      <c r="B84545">
        <f>TEXT(84544, "[$-0E0000]yyyy-mm-dd")</f>
        <v/>
      </c>
    </row>
    <row r="84546">
      <c r="A84546" s="1" t="n">
        <v>84545</v>
      </c>
      <c r="B84546">
        <f>TEXT(84545, "[$-0E0000]yyyy-mm-dd")</f>
        <v/>
      </c>
    </row>
    <row r="84547">
      <c r="A84547" s="1" t="n">
        <v>84546</v>
      </c>
      <c r="B84547">
        <f>TEXT(84546, "[$-0E0000]yyyy-mm-dd")</f>
        <v/>
      </c>
    </row>
    <row r="84548">
      <c r="A84548" s="1" t="n">
        <v>84547</v>
      </c>
      <c r="B84548">
        <f>TEXT(84547, "[$-0E0000]yyyy-mm-dd")</f>
        <v/>
      </c>
    </row>
    <row r="84549">
      <c r="A84549" s="1" t="n">
        <v>84548</v>
      </c>
      <c r="B84549">
        <f>TEXT(84548, "[$-0E0000]yyyy-mm-dd")</f>
        <v/>
      </c>
    </row>
    <row r="84550">
      <c r="A84550" s="1" t="n">
        <v>84549</v>
      </c>
      <c r="B84550">
        <f>TEXT(84549, "[$-0E0000]yyyy-mm-dd")</f>
        <v/>
      </c>
    </row>
    <row r="84551">
      <c r="A84551" s="1" t="n">
        <v>84550</v>
      </c>
      <c r="B84551">
        <f>TEXT(84550, "[$-0E0000]yyyy-mm-dd")</f>
        <v/>
      </c>
    </row>
    <row r="84552">
      <c r="A84552" s="1" t="n">
        <v>84551</v>
      </c>
      <c r="B84552">
        <f>TEXT(84551, "[$-0E0000]yyyy-mm-dd")</f>
        <v/>
      </c>
    </row>
    <row r="84553">
      <c r="A84553" s="1" t="n">
        <v>84552</v>
      </c>
      <c r="B84553">
        <f>TEXT(84552, "[$-0E0000]yyyy-mm-dd")</f>
        <v/>
      </c>
    </row>
    <row r="84554">
      <c r="A84554" s="1" t="n">
        <v>84553</v>
      </c>
      <c r="B84554">
        <f>TEXT(84553, "[$-0E0000]yyyy-mm-dd")</f>
        <v/>
      </c>
    </row>
    <row r="84555">
      <c r="A84555" s="1" t="n">
        <v>84554</v>
      </c>
      <c r="B84555">
        <f>TEXT(84554, "[$-0E0000]yyyy-mm-dd")</f>
        <v/>
      </c>
    </row>
    <row r="84556">
      <c r="A84556" s="1" t="n">
        <v>84555</v>
      </c>
      <c r="B84556">
        <f>TEXT(84555, "[$-0E0000]yyyy-mm-dd")</f>
        <v/>
      </c>
    </row>
    <row r="84557">
      <c r="A84557" s="1" t="n">
        <v>84556</v>
      </c>
      <c r="B84557">
        <f>TEXT(84556, "[$-0E0000]yyyy-mm-dd")</f>
        <v/>
      </c>
    </row>
    <row r="84558">
      <c r="A84558" s="1" t="n">
        <v>84557</v>
      </c>
      <c r="B84558">
        <f>TEXT(84557, "[$-0E0000]yyyy-mm-dd")</f>
        <v/>
      </c>
    </row>
    <row r="84559">
      <c r="A84559" s="1" t="n">
        <v>84558</v>
      </c>
      <c r="B84559">
        <f>TEXT(84558, "[$-0E0000]yyyy-mm-dd")</f>
        <v/>
      </c>
    </row>
    <row r="84560">
      <c r="A84560" s="1" t="n">
        <v>84559</v>
      </c>
      <c r="B84560">
        <f>TEXT(84559, "[$-0E0000]yyyy-mm-dd")</f>
        <v/>
      </c>
    </row>
    <row r="84561">
      <c r="A84561" s="1" t="n">
        <v>84560</v>
      </c>
      <c r="B84561">
        <f>TEXT(84560, "[$-0E0000]yyyy-mm-dd")</f>
        <v/>
      </c>
    </row>
    <row r="84562">
      <c r="A84562" s="1" t="n">
        <v>84561</v>
      </c>
      <c r="B84562">
        <f>TEXT(84561, "[$-0E0000]yyyy-mm-dd")</f>
        <v/>
      </c>
    </row>
    <row r="84563">
      <c r="A84563" s="1" t="n">
        <v>84562</v>
      </c>
      <c r="B84563">
        <f>TEXT(84562, "[$-0E0000]yyyy-mm-dd")</f>
        <v/>
      </c>
    </row>
    <row r="84564">
      <c r="A84564" s="1" t="n">
        <v>84563</v>
      </c>
      <c r="B84564">
        <f>TEXT(84563, "[$-0E0000]yyyy-mm-dd")</f>
        <v/>
      </c>
    </row>
    <row r="84565">
      <c r="A84565" s="1" t="n">
        <v>84564</v>
      </c>
      <c r="B84565">
        <f>TEXT(84564, "[$-0E0000]yyyy-mm-dd")</f>
        <v/>
      </c>
    </row>
    <row r="84566">
      <c r="A84566" s="1" t="n">
        <v>84565</v>
      </c>
      <c r="B84566">
        <f>TEXT(84565, "[$-0E0000]yyyy-mm-dd")</f>
        <v/>
      </c>
    </row>
    <row r="84567">
      <c r="A84567" s="1" t="n">
        <v>84566</v>
      </c>
      <c r="B84567">
        <f>TEXT(84566, "[$-0E0000]yyyy-mm-dd")</f>
        <v/>
      </c>
    </row>
    <row r="84568">
      <c r="A84568" s="1" t="n">
        <v>84567</v>
      </c>
      <c r="B84568">
        <f>TEXT(84567, "[$-0E0000]yyyy-mm-dd")</f>
        <v/>
      </c>
    </row>
    <row r="84569">
      <c r="A84569" s="1" t="n">
        <v>84568</v>
      </c>
      <c r="B84569">
        <f>TEXT(84568, "[$-0E0000]yyyy-mm-dd")</f>
        <v/>
      </c>
    </row>
    <row r="84570">
      <c r="A84570" s="1" t="n">
        <v>84569</v>
      </c>
      <c r="B84570">
        <f>TEXT(84569, "[$-0E0000]yyyy-mm-dd")</f>
        <v/>
      </c>
    </row>
    <row r="84571">
      <c r="A84571" s="1" t="n">
        <v>84570</v>
      </c>
      <c r="B84571">
        <f>TEXT(84570, "[$-0E0000]yyyy-mm-dd")</f>
        <v/>
      </c>
    </row>
    <row r="84572">
      <c r="A84572" s="1" t="n">
        <v>84571</v>
      </c>
      <c r="B84572">
        <f>TEXT(84571, "[$-0E0000]yyyy-mm-dd")</f>
        <v/>
      </c>
    </row>
    <row r="84573">
      <c r="A84573" s="1" t="n">
        <v>84572</v>
      </c>
      <c r="B84573">
        <f>TEXT(84572, "[$-0E0000]yyyy-mm-dd")</f>
        <v/>
      </c>
    </row>
    <row r="84574">
      <c r="A84574" s="1" t="n">
        <v>84573</v>
      </c>
      <c r="B84574">
        <f>TEXT(84573, "[$-0E0000]yyyy-mm-dd")</f>
        <v/>
      </c>
    </row>
    <row r="84575">
      <c r="A84575" s="1" t="n">
        <v>84574</v>
      </c>
      <c r="B84575">
        <f>TEXT(84574, "[$-0E0000]yyyy-mm-dd")</f>
        <v/>
      </c>
    </row>
    <row r="84576">
      <c r="A84576" s="1" t="n">
        <v>84575</v>
      </c>
      <c r="B84576">
        <f>TEXT(84575, "[$-0E0000]yyyy-mm-dd")</f>
        <v/>
      </c>
    </row>
    <row r="84577">
      <c r="A84577" s="1" t="n">
        <v>84576</v>
      </c>
      <c r="B84577">
        <f>TEXT(84576, "[$-0E0000]yyyy-mm-dd")</f>
        <v/>
      </c>
    </row>
    <row r="84578">
      <c r="A84578" s="1" t="n">
        <v>84577</v>
      </c>
      <c r="B84578">
        <f>TEXT(84577, "[$-0E0000]yyyy-mm-dd")</f>
        <v/>
      </c>
    </row>
    <row r="84579">
      <c r="A84579" s="1" t="n">
        <v>84578</v>
      </c>
      <c r="B84579">
        <f>TEXT(84578, "[$-0E0000]yyyy-mm-dd")</f>
        <v/>
      </c>
    </row>
    <row r="84580">
      <c r="A84580" s="1" t="n">
        <v>84579</v>
      </c>
      <c r="B84580">
        <f>TEXT(84579, "[$-0E0000]yyyy-mm-dd")</f>
        <v/>
      </c>
    </row>
    <row r="84581">
      <c r="A84581" s="1" t="n">
        <v>84580</v>
      </c>
      <c r="B84581">
        <f>TEXT(84580, "[$-0E0000]yyyy-mm-dd")</f>
        <v/>
      </c>
    </row>
    <row r="84582">
      <c r="A84582" s="1" t="n">
        <v>84581</v>
      </c>
      <c r="B84582">
        <f>TEXT(84581, "[$-0E0000]yyyy-mm-dd")</f>
        <v/>
      </c>
    </row>
    <row r="84583">
      <c r="A84583" s="1" t="n">
        <v>84582</v>
      </c>
      <c r="B84583">
        <f>TEXT(84582, "[$-0E0000]yyyy-mm-dd")</f>
        <v/>
      </c>
    </row>
    <row r="84584">
      <c r="A84584" s="1" t="n">
        <v>84583</v>
      </c>
      <c r="B84584">
        <f>TEXT(84583, "[$-0E0000]yyyy-mm-dd")</f>
        <v/>
      </c>
    </row>
    <row r="84585">
      <c r="A84585" s="1" t="n">
        <v>84584</v>
      </c>
      <c r="B84585">
        <f>TEXT(84584, "[$-0E0000]yyyy-mm-dd")</f>
        <v/>
      </c>
    </row>
    <row r="84586">
      <c r="A84586" s="1" t="n">
        <v>84585</v>
      </c>
      <c r="B84586">
        <f>TEXT(84585, "[$-0E0000]yyyy-mm-dd")</f>
        <v/>
      </c>
    </row>
    <row r="84587">
      <c r="A84587" s="1" t="n">
        <v>84586</v>
      </c>
      <c r="B84587">
        <f>TEXT(84586, "[$-0E0000]yyyy-mm-dd")</f>
        <v/>
      </c>
    </row>
    <row r="84588">
      <c r="A84588" s="1" t="n">
        <v>84587</v>
      </c>
      <c r="B84588">
        <f>TEXT(84587, "[$-0E0000]yyyy-mm-dd")</f>
        <v/>
      </c>
    </row>
    <row r="84589">
      <c r="A84589" s="1" t="n">
        <v>84588</v>
      </c>
      <c r="B84589">
        <f>TEXT(84588, "[$-0E0000]yyyy-mm-dd")</f>
        <v/>
      </c>
    </row>
    <row r="84590">
      <c r="A84590" s="1" t="n">
        <v>84589</v>
      </c>
      <c r="B84590">
        <f>TEXT(84589, "[$-0E0000]yyyy-mm-dd")</f>
        <v/>
      </c>
    </row>
    <row r="84591">
      <c r="A84591" s="1" t="n">
        <v>84590</v>
      </c>
      <c r="B84591">
        <f>TEXT(84590, "[$-0E0000]yyyy-mm-dd")</f>
        <v/>
      </c>
    </row>
    <row r="84592">
      <c r="A84592" s="1" t="n">
        <v>84591</v>
      </c>
      <c r="B84592">
        <f>TEXT(84591, "[$-0E0000]yyyy-mm-dd")</f>
        <v/>
      </c>
    </row>
    <row r="84593">
      <c r="A84593" s="1" t="n">
        <v>84592</v>
      </c>
      <c r="B84593">
        <f>TEXT(84592, "[$-0E0000]yyyy-mm-dd")</f>
        <v/>
      </c>
    </row>
    <row r="84594">
      <c r="A84594" s="1" t="n">
        <v>84593</v>
      </c>
      <c r="B84594">
        <f>TEXT(84593, "[$-0E0000]yyyy-mm-dd")</f>
        <v/>
      </c>
    </row>
    <row r="84595">
      <c r="A84595" s="1" t="n">
        <v>84594</v>
      </c>
      <c r="B84595">
        <f>TEXT(84594, "[$-0E0000]yyyy-mm-dd")</f>
        <v/>
      </c>
    </row>
    <row r="84596">
      <c r="A84596" s="1" t="n">
        <v>84595</v>
      </c>
      <c r="B84596">
        <f>TEXT(84595, "[$-0E0000]yyyy-mm-dd")</f>
        <v/>
      </c>
    </row>
    <row r="84597">
      <c r="A84597" s="1" t="n">
        <v>84596</v>
      </c>
      <c r="B84597">
        <f>TEXT(84596, "[$-0E0000]yyyy-mm-dd")</f>
        <v/>
      </c>
    </row>
    <row r="84598">
      <c r="A84598" s="1" t="n">
        <v>84597</v>
      </c>
      <c r="B84598">
        <f>TEXT(84597, "[$-0E0000]yyyy-mm-dd")</f>
        <v/>
      </c>
    </row>
    <row r="84599">
      <c r="A84599" s="1" t="n">
        <v>84598</v>
      </c>
      <c r="B84599">
        <f>TEXT(84598, "[$-0E0000]yyyy-mm-dd")</f>
        <v/>
      </c>
    </row>
    <row r="84600">
      <c r="A84600" s="1" t="n">
        <v>84599</v>
      </c>
      <c r="B84600">
        <f>TEXT(84599, "[$-0E0000]yyyy-mm-dd")</f>
        <v/>
      </c>
    </row>
    <row r="84601">
      <c r="A84601" s="1" t="n">
        <v>84600</v>
      </c>
      <c r="B84601">
        <f>TEXT(84600, "[$-0E0000]yyyy-mm-dd")</f>
        <v/>
      </c>
    </row>
    <row r="84602">
      <c r="A84602" s="1" t="n">
        <v>84601</v>
      </c>
      <c r="B84602">
        <f>TEXT(84601, "[$-0E0000]yyyy-mm-dd")</f>
        <v/>
      </c>
    </row>
    <row r="84603">
      <c r="A84603" s="1" t="n">
        <v>84602</v>
      </c>
      <c r="B84603">
        <f>TEXT(84602, "[$-0E0000]yyyy-mm-dd")</f>
        <v/>
      </c>
    </row>
    <row r="84604">
      <c r="A84604" s="1" t="n">
        <v>84603</v>
      </c>
      <c r="B84604">
        <f>TEXT(84603, "[$-0E0000]yyyy-mm-dd")</f>
        <v/>
      </c>
    </row>
    <row r="84605">
      <c r="A84605" s="1" t="n">
        <v>84604</v>
      </c>
      <c r="B84605">
        <f>TEXT(84604, "[$-0E0000]yyyy-mm-dd")</f>
        <v/>
      </c>
    </row>
    <row r="84606">
      <c r="A84606" s="1" t="n">
        <v>84605</v>
      </c>
      <c r="B84606">
        <f>TEXT(84605, "[$-0E0000]yyyy-mm-dd")</f>
        <v/>
      </c>
    </row>
    <row r="84607">
      <c r="A84607" s="1" t="n">
        <v>84606</v>
      </c>
      <c r="B84607">
        <f>TEXT(84606, "[$-0E0000]yyyy-mm-dd")</f>
        <v/>
      </c>
    </row>
    <row r="84608">
      <c r="A84608" s="1" t="n">
        <v>84607</v>
      </c>
      <c r="B84608">
        <f>TEXT(84607, "[$-0E0000]yyyy-mm-dd")</f>
        <v/>
      </c>
    </row>
    <row r="84609">
      <c r="A84609" s="1" t="n">
        <v>84608</v>
      </c>
      <c r="B84609">
        <f>TEXT(84608, "[$-0E0000]yyyy-mm-dd")</f>
        <v/>
      </c>
    </row>
    <row r="84610">
      <c r="A84610" s="1" t="n">
        <v>84609</v>
      </c>
      <c r="B84610">
        <f>TEXT(84609, "[$-0E0000]yyyy-mm-dd")</f>
        <v/>
      </c>
    </row>
    <row r="84611">
      <c r="A84611" s="1" t="n">
        <v>84610</v>
      </c>
      <c r="B84611">
        <f>TEXT(84610, "[$-0E0000]yyyy-mm-dd")</f>
        <v/>
      </c>
    </row>
    <row r="84612">
      <c r="A84612" s="1" t="n">
        <v>84611</v>
      </c>
      <c r="B84612">
        <f>TEXT(84611, "[$-0E0000]yyyy-mm-dd")</f>
        <v/>
      </c>
    </row>
    <row r="84613">
      <c r="A84613" s="1" t="n">
        <v>84612</v>
      </c>
      <c r="B84613">
        <f>TEXT(84612, "[$-0E0000]yyyy-mm-dd")</f>
        <v/>
      </c>
    </row>
    <row r="84614">
      <c r="A84614" s="1" t="n">
        <v>84613</v>
      </c>
      <c r="B84614">
        <f>TEXT(84613, "[$-0E0000]yyyy-mm-dd")</f>
        <v/>
      </c>
    </row>
    <row r="84615">
      <c r="A84615" s="1" t="n">
        <v>84614</v>
      </c>
      <c r="B84615">
        <f>TEXT(84614, "[$-0E0000]yyyy-mm-dd")</f>
        <v/>
      </c>
    </row>
    <row r="84616">
      <c r="A84616" s="1" t="n">
        <v>84615</v>
      </c>
      <c r="B84616">
        <f>TEXT(84615, "[$-0E0000]yyyy-mm-dd")</f>
        <v/>
      </c>
    </row>
    <row r="84617">
      <c r="A84617" s="1" t="n">
        <v>84616</v>
      </c>
      <c r="B84617">
        <f>TEXT(84616, "[$-0E0000]yyyy-mm-dd")</f>
        <v/>
      </c>
    </row>
    <row r="84618">
      <c r="A84618" s="1" t="n">
        <v>84617</v>
      </c>
      <c r="B84618">
        <f>TEXT(84617, "[$-0E0000]yyyy-mm-dd")</f>
        <v/>
      </c>
    </row>
    <row r="84619">
      <c r="A84619" s="1" t="n">
        <v>84618</v>
      </c>
      <c r="B84619">
        <f>TEXT(84618, "[$-0E0000]yyyy-mm-dd")</f>
        <v/>
      </c>
    </row>
    <row r="84620">
      <c r="A84620" s="1" t="n">
        <v>84619</v>
      </c>
      <c r="B84620">
        <f>TEXT(84619, "[$-0E0000]yyyy-mm-dd")</f>
        <v/>
      </c>
    </row>
    <row r="84621">
      <c r="A84621" s="1" t="n">
        <v>84620</v>
      </c>
      <c r="B84621">
        <f>TEXT(84620, "[$-0E0000]yyyy-mm-dd")</f>
        <v/>
      </c>
    </row>
    <row r="84622">
      <c r="A84622" s="1" t="n">
        <v>84621</v>
      </c>
      <c r="B84622">
        <f>TEXT(84621, "[$-0E0000]yyyy-mm-dd")</f>
        <v/>
      </c>
    </row>
    <row r="84623">
      <c r="A84623" s="1" t="n">
        <v>84622</v>
      </c>
      <c r="B84623">
        <f>TEXT(84622, "[$-0E0000]yyyy-mm-dd")</f>
        <v/>
      </c>
    </row>
    <row r="84624">
      <c r="A84624" s="1" t="n">
        <v>84623</v>
      </c>
      <c r="B84624">
        <f>TEXT(84623, "[$-0E0000]yyyy-mm-dd")</f>
        <v/>
      </c>
    </row>
    <row r="84625">
      <c r="A84625" s="1" t="n">
        <v>84624</v>
      </c>
      <c r="B84625">
        <f>TEXT(84624, "[$-0E0000]yyyy-mm-dd")</f>
        <v/>
      </c>
    </row>
    <row r="84626">
      <c r="A84626" s="1" t="n">
        <v>84625</v>
      </c>
      <c r="B84626">
        <f>TEXT(84625, "[$-0E0000]yyyy-mm-dd")</f>
        <v/>
      </c>
    </row>
    <row r="84627">
      <c r="A84627" s="1" t="n">
        <v>84626</v>
      </c>
      <c r="B84627">
        <f>TEXT(84626, "[$-0E0000]yyyy-mm-dd")</f>
        <v/>
      </c>
    </row>
    <row r="84628">
      <c r="A84628" s="1" t="n">
        <v>84627</v>
      </c>
      <c r="B84628">
        <f>TEXT(84627, "[$-0E0000]yyyy-mm-dd")</f>
        <v/>
      </c>
    </row>
    <row r="84629">
      <c r="A84629" s="1" t="n">
        <v>84628</v>
      </c>
      <c r="B84629">
        <f>TEXT(84628, "[$-0E0000]yyyy-mm-dd")</f>
        <v/>
      </c>
    </row>
    <row r="84630">
      <c r="A84630" s="1" t="n">
        <v>84629</v>
      </c>
      <c r="B84630">
        <f>TEXT(84629, "[$-0E0000]yyyy-mm-dd")</f>
        <v/>
      </c>
    </row>
    <row r="84631">
      <c r="A84631" s="1" t="n">
        <v>84630</v>
      </c>
      <c r="B84631">
        <f>TEXT(84630, "[$-0E0000]yyyy-mm-dd")</f>
        <v/>
      </c>
    </row>
    <row r="84632">
      <c r="A84632" s="1" t="n">
        <v>84631</v>
      </c>
      <c r="B84632">
        <f>TEXT(84631, "[$-0E0000]yyyy-mm-dd")</f>
        <v/>
      </c>
    </row>
    <row r="84633">
      <c r="A84633" s="1" t="n">
        <v>84632</v>
      </c>
      <c r="B84633">
        <f>TEXT(84632, "[$-0E0000]yyyy-mm-dd")</f>
        <v/>
      </c>
    </row>
    <row r="84634">
      <c r="A84634" s="1" t="n">
        <v>84633</v>
      </c>
      <c r="B84634">
        <f>TEXT(84633, "[$-0E0000]yyyy-mm-dd")</f>
        <v/>
      </c>
    </row>
    <row r="84635">
      <c r="A84635" s="1" t="n">
        <v>84634</v>
      </c>
      <c r="B84635">
        <f>TEXT(84634, "[$-0E0000]yyyy-mm-dd")</f>
        <v/>
      </c>
    </row>
    <row r="84636">
      <c r="A84636" s="1" t="n">
        <v>84635</v>
      </c>
      <c r="B84636">
        <f>TEXT(84635, "[$-0E0000]yyyy-mm-dd")</f>
        <v/>
      </c>
    </row>
    <row r="84637">
      <c r="A84637" s="1" t="n">
        <v>84636</v>
      </c>
      <c r="B84637">
        <f>TEXT(84636, "[$-0E0000]yyyy-mm-dd")</f>
        <v/>
      </c>
    </row>
    <row r="84638">
      <c r="A84638" s="1" t="n">
        <v>84637</v>
      </c>
      <c r="B84638">
        <f>TEXT(84637, "[$-0E0000]yyyy-mm-dd")</f>
        <v/>
      </c>
    </row>
    <row r="84639">
      <c r="A84639" s="1" t="n">
        <v>84638</v>
      </c>
      <c r="B84639">
        <f>TEXT(84638, "[$-0E0000]yyyy-mm-dd")</f>
        <v/>
      </c>
    </row>
    <row r="84640">
      <c r="A84640" s="1" t="n">
        <v>84639</v>
      </c>
      <c r="B84640">
        <f>TEXT(84639, "[$-0E0000]yyyy-mm-dd")</f>
        <v/>
      </c>
    </row>
    <row r="84641">
      <c r="A84641" s="1" t="n">
        <v>84640</v>
      </c>
      <c r="B84641">
        <f>TEXT(84640, "[$-0E0000]yyyy-mm-dd")</f>
        <v/>
      </c>
    </row>
    <row r="84642">
      <c r="A84642" s="1" t="n">
        <v>84641</v>
      </c>
      <c r="B84642">
        <f>TEXT(84641, "[$-0E0000]yyyy-mm-dd")</f>
        <v/>
      </c>
    </row>
    <row r="84643">
      <c r="A84643" s="1" t="n">
        <v>84642</v>
      </c>
      <c r="B84643">
        <f>TEXT(84642, "[$-0E0000]yyyy-mm-dd")</f>
        <v/>
      </c>
    </row>
    <row r="84644">
      <c r="A84644" s="1" t="n">
        <v>84643</v>
      </c>
      <c r="B84644">
        <f>TEXT(84643, "[$-0E0000]yyyy-mm-dd")</f>
        <v/>
      </c>
    </row>
    <row r="84645">
      <c r="A84645" s="1" t="n">
        <v>84644</v>
      </c>
      <c r="B84645">
        <f>TEXT(84644, "[$-0E0000]yyyy-mm-dd")</f>
        <v/>
      </c>
    </row>
    <row r="84646">
      <c r="A84646" s="1" t="n">
        <v>84645</v>
      </c>
      <c r="B84646">
        <f>TEXT(84645, "[$-0E0000]yyyy-mm-dd")</f>
        <v/>
      </c>
    </row>
    <row r="84647">
      <c r="A84647" s="1" t="n">
        <v>84646</v>
      </c>
      <c r="B84647">
        <f>TEXT(84646, "[$-0E0000]yyyy-mm-dd")</f>
        <v/>
      </c>
    </row>
    <row r="84648">
      <c r="A84648" s="1" t="n">
        <v>84647</v>
      </c>
      <c r="B84648">
        <f>TEXT(84647, "[$-0E0000]yyyy-mm-dd")</f>
        <v/>
      </c>
    </row>
    <row r="84649">
      <c r="A84649" s="1" t="n">
        <v>84648</v>
      </c>
      <c r="B84649">
        <f>TEXT(84648, "[$-0E0000]yyyy-mm-dd")</f>
        <v/>
      </c>
    </row>
    <row r="84650">
      <c r="A84650" s="1" t="n">
        <v>84649</v>
      </c>
      <c r="B84650">
        <f>TEXT(84649, "[$-0E0000]yyyy-mm-dd")</f>
        <v/>
      </c>
    </row>
    <row r="84651">
      <c r="A84651" s="1" t="n">
        <v>84650</v>
      </c>
      <c r="B84651">
        <f>TEXT(84650, "[$-0E0000]yyyy-mm-dd")</f>
        <v/>
      </c>
    </row>
    <row r="84652">
      <c r="A84652" s="1" t="n">
        <v>84651</v>
      </c>
      <c r="B84652">
        <f>TEXT(84651, "[$-0E0000]yyyy-mm-dd")</f>
        <v/>
      </c>
    </row>
    <row r="84653">
      <c r="A84653" s="1" t="n">
        <v>84652</v>
      </c>
      <c r="B84653">
        <f>TEXT(84652, "[$-0E0000]yyyy-mm-dd")</f>
        <v/>
      </c>
    </row>
    <row r="84654">
      <c r="A84654" s="1" t="n">
        <v>84653</v>
      </c>
      <c r="B84654">
        <f>TEXT(84653, "[$-0E0000]yyyy-mm-dd")</f>
        <v/>
      </c>
    </row>
    <row r="84655">
      <c r="A84655" s="1" t="n">
        <v>84654</v>
      </c>
      <c r="B84655">
        <f>TEXT(84654, "[$-0E0000]yyyy-mm-dd")</f>
        <v/>
      </c>
    </row>
    <row r="84656">
      <c r="A84656" s="1" t="n">
        <v>84655</v>
      </c>
      <c r="B84656">
        <f>TEXT(84655, "[$-0E0000]yyyy-mm-dd")</f>
        <v/>
      </c>
    </row>
    <row r="84657">
      <c r="A84657" s="1" t="n">
        <v>84656</v>
      </c>
      <c r="B84657">
        <f>TEXT(84656, "[$-0E0000]yyyy-mm-dd")</f>
        <v/>
      </c>
    </row>
    <row r="84658">
      <c r="A84658" s="1" t="n">
        <v>84657</v>
      </c>
      <c r="B84658">
        <f>TEXT(84657, "[$-0E0000]yyyy-mm-dd")</f>
        <v/>
      </c>
    </row>
    <row r="84659">
      <c r="A84659" s="1" t="n">
        <v>84658</v>
      </c>
      <c r="B84659">
        <f>TEXT(84658, "[$-0E0000]yyyy-mm-dd")</f>
        <v/>
      </c>
    </row>
    <row r="84660">
      <c r="A84660" s="1" t="n">
        <v>84659</v>
      </c>
      <c r="B84660">
        <f>TEXT(84659, "[$-0E0000]yyyy-mm-dd")</f>
        <v/>
      </c>
    </row>
    <row r="84661">
      <c r="A84661" s="1" t="n">
        <v>84660</v>
      </c>
      <c r="B84661">
        <f>TEXT(84660, "[$-0E0000]yyyy-mm-dd")</f>
        <v/>
      </c>
    </row>
    <row r="84662">
      <c r="A84662" s="1" t="n">
        <v>84661</v>
      </c>
      <c r="B84662">
        <f>TEXT(84661, "[$-0E0000]yyyy-mm-dd")</f>
        <v/>
      </c>
    </row>
    <row r="84663">
      <c r="A84663" s="1" t="n">
        <v>84662</v>
      </c>
      <c r="B84663">
        <f>TEXT(84662, "[$-0E0000]yyyy-mm-dd")</f>
        <v/>
      </c>
    </row>
    <row r="84664">
      <c r="A84664" s="1" t="n">
        <v>84663</v>
      </c>
      <c r="B84664">
        <f>TEXT(84663, "[$-0E0000]yyyy-mm-dd")</f>
        <v/>
      </c>
    </row>
    <row r="84665">
      <c r="A84665" s="1" t="n">
        <v>84664</v>
      </c>
      <c r="B84665">
        <f>TEXT(84664, "[$-0E0000]yyyy-mm-dd")</f>
        <v/>
      </c>
    </row>
    <row r="84666">
      <c r="A84666" s="1" t="n">
        <v>84665</v>
      </c>
      <c r="B84666">
        <f>TEXT(84665, "[$-0E0000]yyyy-mm-dd")</f>
        <v/>
      </c>
    </row>
    <row r="84667">
      <c r="A84667" s="1" t="n">
        <v>84666</v>
      </c>
      <c r="B84667">
        <f>TEXT(84666, "[$-0E0000]yyyy-mm-dd")</f>
        <v/>
      </c>
    </row>
    <row r="84668">
      <c r="A84668" s="1" t="n">
        <v>84667</v>
      </c>
      <c r="B84668">
        <f>TEXT(84667, "[$-0E0000]yyyy-mm-dd")</f>
        <v/>
      </c>
    </row>
    <row r="84669">
      <c r="A84669" s="1" t="n">
        <v>84668</v>
      </c>
      <c r="B84669">
        <f>TEXT(84668, "[$-0E0000]yyyy-mm-dd")</f>
        <v/>
      </c>
    </row>
    <row r="84670">
      <c r="A84670" s="1" t="n">
        <v>84669</v>
      </c>
      <c r="B84670">
        <f>TEXT(84669, "[$-0E0000]yyyy-mm-dd")</f>
        <v/>
      </c>
    </row>
    <row r="84671">
      <c r="A84671" s="1" t="n">
        <v>84670</v>
      </c>
      <c r="B84671">
        <f>TEXT(84670, "[$-0E0000]yyyy-mm-dd")</f>
        <v/>
      </c>
    </row>
    <row r="84672">
      <c r="A84672" s="1" t="n">
        <v>84671</v>
      </c>
      <c r="B84672">
        <f>TEXT(84671, "[$-0E0000]yyyy-mm-dd")</f>
        <v/>
      </c>
    </row>
    <row r="84673">
      <c r="A84673" s="1" t="n">
        <v>84672</v>
      </c>
      <c r="B84673">
        <f>TEXT(84672, "[$-0E0000]yyyy-mm-dd")</f>
        <v/>
      </c>
    </row>
    <row r="84674">
      <c r="A84674" s="1" t="n">
        <v>84673</v>
      </c>
      <c r="B84674">
        <f>TEXT(84673, "[$-0E0000]yyyy-mm-dd")</f>
        <v/>
      </c>
    </row>
    <row r="84675">
      <c r="A84675" s="1" t="n">
        <v>84674</v>
      </c>
      <c r="B84675">
        <f>TEXT(84674, "[$-0E0000]yyyy-mm-dd")</f>
        <v/>
      </c>
    </row>
    <row r="84676">
      <c r="A84676" s="1" t="n">
        <v>84675</v>
      </c>
      <c r="B84676">
        <f>TEXT(84675, "[$-0E0000]yyyy-mm-dd")</f>
        <v/>
      </c>
    </row>
    <row r="84677">
      <c r="A84677" s="1" t="n">
        <v>84676</v>
      </c>
      <c r="B84677">
        <f>TEXT(84676, "[$-0E0000]yyyy-mm-dd")</f>
        <v/>
      </c>
    </row>
    <row r="84678">
      <c r="A84678" s="1" t="n">
        <v>84677</v>
      </c>
      <c r="B84678">
        <f>TEXT(84677, "[$-0E0000]yyyy-mm-dd")</f>
        <v/>
      </c>
    </row>
    <row r="84679">
      <c r="A84679" s="1" t="n">
        <v>84678</v>
      </c>
      <c r="B84679">
        <f>TEXT(84678, "[$-0E0000]yyyy-mm-dd")</f>
        <v/>
      </c>
    </row>
    <row r="84680">
      <c r="A84680" s="1" t="n">
        <v>84679</v>
      </c>
      <c r="B84680">
        <f>TEXT(84679, "[$-0E0000]yyyy-mm-dd")</f>
        <v/>
      </c>
    </row>
    <row r="84681">
      <c r="A84681" s="1" t="n">
        <v>84680</v>
      </c>
      <c r="B84681">
        <f>TEXT(84680, "[$-0E0000]yyyy-mm-dd")</f>
        <v/>
      </c>
    </row>
    <row r="84682">
      <c r="A84682" s="1" t="n">
        <v>84681</v>
      </c>
      <c r="B84682">
        <f>TEXT(84681, "[$-0E0000]yyyy-mm-dd")</f>
        <v/>
      </c>
    </row>
    <row r="84683">
      <c r="A84683" s="1" t="n">
        <v>84682</v>
      </c>
      <c r="B84683">
        <f>TEXT(84682, "[$-0E0000]yyyy-mm-dd")</f>
        <v/>
      </c>
    </row>
    <row r="84684">
      <c r="A84684" s="1" t="n">
        <v>84683</v>
      </c>
      <c r="B84684">
        <f>TEXT(84683, "[$-0E0000]yyyy-mm-dd")</f>
        <v/>
      </c>
    </row>
    <row r="84685">
      <c r="A84685" s="1" t="n">
        <v>84684</v>
      </c>
      <c r="B84685">
        <f>TEXT(84684, "[$-0E0000]yyyy-mm-dd")</f>
        <v/>
      </c>
    </row>
    <row r="84686">
      <c r="A84686" s="1" t="n">
        <v>84685</v>
      </c>
      <c r="B84686">
        <f>TEXT(84685, "[$-0E0000]yyyy-mm-dd")</f>
        <v/>
      </c>
    </row>
    <row r="84687">
      <c r="A84687" s="1" t="n">
        <v>84686</v>
      </c>
      <c r="B84687">
        <f>TEXT(84686, "[$-0E0000]yyyy-mm-dd")</f>
        <v/>
      </c>
    </row>
    <row r="84688">
      <c r="A84688" s="1" t="n">
        <v>84687</v>
      </c>
      <c r="B84688">
        <f>TEXT(84687, "[$-0E0000]yyyy-mm-dd")</f>
        <v/>
      </c>
    </row>
    <row r="84689">
      <c r="A84689" s="1" t="n">
        <v>84688</v>
      </c>
      <c r="B84689">
        <f>TEXT(84688, "[$-0E0000]yyyy-mm-dd")</f>
        <v/>
      </c>
    </row>
    <row r="84690">
      <c r="A84690" s="1" t="n">
        <v>84689</v>
      </c>
      <c r="B84690">
        <f>TEXT(84689, "[$-0E0000]yyyy-mm-dd")</f>
        <v/>
      </c>
    </row>
    <row r="84691">
      <c r="A84691" s="1" t="n">
        <v>84690</v>
      </c>
      <c r="B84691">
        <f>TEXT(84690, "[$-0E0000]yyyy-mm-dd")</f>
        <v/>
      </c>
    </row>
    <row r="84692">
      <c r="A84692" s="1" t="n">
        <v>84691</v>
      </c>
      <c r="B84692">
        <f>TEXT(84691, "[$-0E0000]yyyy-mm-dd")</f>
        <v/>
      </c>
    </row>
    <row r="84693">
      <c r="A84693" s="1" t="n">
        <v>84692</v>
      </c>
      <c r="B84693">
        <f>TEXT(84692, "[$-0E0000]yyyy-mm-dd")</f>
        <v/>
      </c>
    </row>
    <row r="84694">
      <c r="A84694" s="1" t="n">
        <v>84693</v>
      </c>
      <c r="B84694">
        <f>TEXT(84693, "[$-0E0000]yyyy-mm-dd")</f>
        <v/>
      </c>
    </row>
    <row r="84695">
      <c r="A84695" s="1" t="n">
        <v>84694</v>
      </c>
      <c r="B84695">
        <f>TEXT(84694, "[$-0E0000]yyyy-mm-dd")</f>
        <v/>
      </c>
    </row>
    <row r="84696">
      <c r="A84696" s="1" t="n">
        <v>84695</v>
      </c>
      <c r="B84696">
        <f>TEXT(84695, "[$-0E0000]yyyy-mm-dd")</f>
        <v/>
      </c>
    </row>
    <row r="84697">
      <c r="A84697" s="1" t="n">
        <v>84696</v>
      </c>
      <c r="B84697">
        <f>TEXT(84696, "[$-0E0000]yyyy-mm-dd")</f>
        <v/>
      </c>
    </row>
    <row r="84698">
      <c r="A84698" s="1" t="n">
        <v>84697</v>
      </c>
      <c r="B84698">
        <f>TEXT(84697, "[$-0E0000]yyyy-mm-dd")</f>
        <v/>
      </c>
    </row>
    <row r="84699">
      <c r="A84699" s="1" t="n">
        <v>84698</v>
      </c>
      <c r="B84699">
        <f>TEXT(84698, "[$-0E0000]yyyy-mm-dd")</f>
        <v/>
      </c>
    </row>
    <row r="84700">
      <c r="A84700" s="1" t="n">
        <v>84699</v>
      </c>
      <c r="B84700">
        <f>TEXT(84699, "[$-0E0000]yyyy-mm-dd")</f>
        <v/>
      </c>
    </row>
    <row r="84701">
      <c r="A84701" s="1" t="n">
        <v>84700</v>
      </c>
      <c r="B84701">
        <f>TEXT(84700, "[$-0E0000]yyyy-mm-dd")</f>
        <v/>
      </c>
    </row>
    <row r="84702">
      <c r="A84702" s="1" t="n">
        <v>84701</v>
      </c>
      <c r="B84702">
        <f>TEXT(84701, "[$-0E0000]yyyy-mm-dd")</f>
        <v/>
      </c>
    </row>
    <row r="84703">
      <c r="A84703" s="1" t="n">
        <v>84702</v>
      </c>
      <c r="B84703">
        <f>TEXT(84702, "[$-0E0000]yyyy-mm-dd")</f>
        <v/>
      </c>
    </row>
    <row r="84704">
      <c r="A84704" s="1" t="n">
        <v>84703</v>
      </c>
      <c r="B84704">
        <f>TEXT(84703, "[$-0E0000]yyyy-mm-dd")</f>
        <v/>
      </c>
    </row>
    <row r="84705">
      <c r="A84705" s="1" t="n">
        <v>84704</v>
      </c>
      <c r="B84705">
        <f>TEXT(84704, "[$-0E0000]yyyy-mm-dd")</f>
        <v/>
      </c>
    </row>
    <row r="84706">
      <c r="A84706" s="1" t="n">
        <v>84705</v>
      </c>
      <c r="B84706">
        <f>TEXT(84705, "[$-0E0000]yyyy-mm-dd")</f>
        <v/>
      </c>
    </row>
    <row r="84707">
      <c r="A84707" s="1" t="n">
        <v>84706</v>
      </c>
      <c r="B84707">
        <f>TEXT(84706, "[$-0E0000]yyyy-mm-dd")</f>
        <v/>
      </c>
    </row>
    <row r="84708">
      <c r="A84708" s="1" t="n">
        <v>84707</v>
      </c>
      <c r="B84708">
        <f>TEXT(84707, "[$-0E0000]yyyy-mm-dd")</f>
        <v/>
      </c>
    </row>
    <row r="84709">
      <c r="A84709" s="1" t="n">
        <v>84708</v>
      </c>
      <c r="B84709">
        <f>TEXT(84708, "[$-0E0000]yyyy-mm-dd")</f>
        <v/>
      </c>
    </row>
    <row r="84710">
      <c r="A84710" s="1" t="n">
        <v>84709</v>
      </c>
      <c r="B84710">
        <f>TEXT(84709, "[$-0E0000]yyyy-mm-dd")</f>
        <v/>
      </c>
    </row>
    <row r="84711">
      <c r="A84711" s="1" t="n">
        <v>84710</v>
      </c>
      <c r="B84711">
        <f>TEXT(84710, "[$-0E0000]yyyy-mm-dd")</f>
        <v/>
      </c>
    </row>
    <row r="84712">
      <c r="A84712" s="1" t="n">
        <v>84711</v>
      </c>
      <c r="B84712">
        <f>TEXT(84711, "[$-0E0000]yyyy-mm-dd")</f>
        <v/>
      </c>
    </row>
    <row r="84713">
      <c r="A84713" s="1" t="n">
        <v>84712</v>
      </c>
      <c r="B84713">
        <f>TEXT(84712, "[$-0E0000]yyyy-mm-dd")</f>
        <v/>
      </c>
    </row>
    <row r="84714">
      <c r="A84714" s="1" t="n">
        <v>84713</v>
      </c>
      <c r="B84714">
        <f>TEXT(84713, "[$-0E0000]yyyy-mm-dd")</f>
        <v/>
      </c>
    </row>
    <row r="84715">
      <c r="A84715" s="1" t="n">
        <v>84714</v>
      </c>
      <c r="B84715">
        <f>TEXT(84714, "[$-0E0000]yyyy-mm-dd")</f>
        <v/>
      </c>
    </row>
    <row r="84716">
      <c r="A84716" s="1" t="n">
        <v>84715</v>
      </c>
      <c r="B84716">
        <f>TEXT(84715, "[$-0E0000]yyyy-mm-dd")</f>
        <v/>
      </c>
    </row>
    <row r="84717">
      <c r="A84717" s="1" t="n">
        <v>84716</v>
      </c>
      <c r="B84717">
        <f>TEXT(84716, "[$-0E0000]yyyy-mm-dd")</f>
        <v/>
      </c>
    </row>
    <row r="84718">
      <c r="A84718" s="1" t="n">
        <v>84717</v>
      </c>
      <c r="B84718">
        <f>TEXT(84717, "[$-0E0000]yyyy-mm-dd")</f>
        <v/>
      </c>
    </row>
    <row r="84719">
      <c r="A84719" s="1" t="n">
        <v>84718</v>
      </c>
      <c r="B84719">
        <f>TEXT(84718, "[$-0E0000]yyyy-mm-dd")</f>
        <v/>
      </c>
    </row>
    <row r="84720">
      <c r="A84720" s="1" t="n">
        <v>84719</v>
      </c>
      <c r="B84720">
        <f>TEXT(84719, "[$-0E0000]yyyy-mm-dd")</f>
        <v/>
      </c>
    </row>
    <row r="84721">
      <c r="A84721" s="1" t="n">
        <v>84720</v>
      </c>
      <c r="B84721">
        <f>TEXT(84720, "[$-0E0000]yyyy-mm-dd")</f>
        <v/>
      </c>
    </row>
    <row r="84722">
      <c r="A84722" s="1" t="n">
        <v>84721</v>
      </c>
      <c r="B84722">
        <f>TEXT(84721, "[$-0E0000]yyyy-mm-dd")</f>
        <v/>
      </c>
    </row>
    <row r="84723">
      <c r="A84723" s="1" t="n">
        <v>84722</v>
      </c>
      <c r="B84723">
        <f>TEXT(84722, "[$-0E0000]yyyy-mm-dd")</f>
        <v/>
      </c>
    </row>
    <row r="84724">
      <c r="A84724" s="1" t="n">
        <v>84723</v>
      </c>
      <c r="B84724">
        <f>TEXT(84723, "[$-0E0000]yyyy-mm-dd")</f>
        <v/>
      </c>
    </row>
    <row r="84725">
      <c r="A84725" s="1" t="n">
        <v>84724</v>
      </c>
      <c r="B84725">
        <f>TEXT(84724, "[$-0E0000]yyyy-mm-dd")</f>
        <v/>
      </c>
    </row>
    <row r="84726">
      <c r="A84726" s="1" t="n">
        <v>84725</v>
      </c>
      <c r="B84726">
        <f>TEXT(84725, "[$-0E0000]yyyy-mm-dd")</f>
        <v/>
      </c>
    </row>
    <row r="84727">
      <c r="A84727" s="1" t="n">
        <v>84726</v>
      </c>
      <c r="B84727">
        <f>TEXT(84726, "[$-0E0000]yyyy-mm-dd")</f>
        <v/>
      </c>
    </row>
    <row r="84728">
      <c r="A84728" s="1" t="n">
        <v>84727</v>
      </c>
      <c r="B84728">
        <f>TEXT(84727, "[$-0E0000]yyyy-mm-dd")</f>
        <v/>
      </c>
    </row>
    <row r="84729">
      <c r="A84729" s="1" t="n">
        <v>84728</v>
      </c>
      <c r="B84729">
        <f>TEXT(84728, "[$-0E0000]yyyy-mm-dd")</f>
        <v/>
      </c>
    </row>
    <row r="84730">
      <c r="A84730" s="1" t="n">
        <v>84729</v>
      </c>
      <c r="B84730">
        <f>TEXT(84729, "[$-0E0000]yyyy-mm-dd")</f>
        <v/>
      </c>
    </row>
    <row r="84731">
      <c r="A84731" s="1" t="n">
        <v>84730</v>
      </c>
      <c r="B84731">
        <f>TEXT(84730, "[$-0E0000]yyyy-mm-dd")</f>
        <v/>
      </c>
    </row>
    <row r="84732">
      <c r="A84732" s="1" t="n">
        <v>84731</v>
      </c>
      <c r="B84732">
        <f>TEXT(84731, "[$-0E0000]yyyy-mm-dd")</f>
        <v/>
      </c>
    </row>
    <row r="84733">
      <c r="A84733" s="1" t="n">
        <v>84732</v>
      </c>
      <c r="B84733">
        <f>TEXT(84732, "[$-0E0000]yyyy-mm-dd")</f>
        <v/>
      </c>
    </row>
    <row r="84734">
      <c r="A84734" s="1" t="n">
        <v>84733</v>
      </c>
      <c r="B84734">
        <f>TEXT(84733, "[$-0E0000]yyyy-mm-dd")</f>
        <v/>
      </c>
    </row>
    <row r="84735">
      <c r="A84735" s="1" t="n">
        <v>84734</v>
      </c>
      <c r="B84735">
        <f>TEXT(84734, "[$-0E0000]yyyy-mm-dd")</f>
        <v/>
      </c>
    </row>
    <row r="84736">
      <c r="A84736" s="1" t="n">
        <v>84735</v>
      </c>
      <c r="B84736">
        <f>TEXT(84735, "[$-0E0000]yyyy-mm-dd")</f>
        <v/>
      </c>
    </row>
    <row r="84737">
      <c r="A84737" s="1" t="n">
        <v>84736</v>
      </c>
      <c r="B84737">
        <f>TEXT(84736, "[$-0E0000]yyyy-mm-dd")</f>
        <v/>
      </c>
    </row>
    <row r="84738">
      <c r="A84738" s="1" t="n">
        <v>84737</v>
      </c>
      <c r="B84738">
        <f>TEXT(84737, "[$-0E0000]yyyy-mm-dd")</f>
        <v/>
      </c>
    </row>
    <row r="84739">
      <c r="A84739" s="1" t="n">
        <v>84738</v>
      </c>
      <c r="B84739">
        <f>TEXT(84738, "[$-0E0000]yyyy-mm-dd")</f>
        <v/>
      </c>
    </row>
    <row r="84740">
      <c r="A84740" s="1" t="n">
        <v>84739</v>
      </c>
      <c r="B84740">
        <f>TEXT(84739, "[$-0E0000]yyyy-mm-dd")</f>
        <v/>
      </c>
    </row>
    <row r="84741">
      <c r="A84741" s="1" t="n">
        <v>84740</v>
      </c>
      <c r="B84741">
        <f>TEXT(84740, "[$-0E0000]yyyy-mm-dd")</f>
        <v/>
      </c>
    </row>
    <row r="84742">
      <c r="A84742" s="1" t="n">
        <v>84741</v>
      </c>
      <c r="B84742">
        <f>TEXT(84741, "[$-0E0000]yyyy-mm-dd")</f>
        <v/>
      </c>
    </row>
    <row r="84743">
      <c r="A84743" s="1" t="n">
        <v>84742</v>
      </c>
      <c r="B84743">
        <f>TEXT(84742, "[$-0E0000]yyyy-mm-dd")</f>
        <v/>
      </c>
    </row>
    <row r="84744">
      <c r="A84744" s="1" t="n">
        <v>84743</v>
      </c>
      <c r="B84744">
        <f>TEXT(84743, "[$-0E0000]yyyy-mm-dd")</f>
        <v/>
      </c>
    </row>
    <row r="84745">
      <c r="A84745" s="1" t="n">
        <v>84744</v>
      </c>
      <c r="B84745">
        <f>TEXT(84744, "[$-0E0000]yyyy-mm-dd")</f>
        <v/>
      </c>
    </row>
    <row r="84746">
      <c r="A84746" s="1" t="n">
        <v>84745</v>
      </c>
      <c r="B84746">
        <f>TEXT(84745, "[$-0E0000]yyyy-mm-dd")</f>
        <v/>
      </c>
    </row>
    <row r="84747">
      <c r="A84747" s="1" t="n">
        <v>84746</v>
      </c>
      <c r="B84747">
        <f>TEXT(84746, "[$-0E0000]yyyy-mm-dd")</f>
        <v/>
      </c>
    </row>
    <row r="84748">
      <c r="A84748" s="1" t="n">
        <v>84747</v>
      </c>
      <c r="B84748">
        <f>TEXT(84747, "[$-0E0000]yyyy-mm-dd")</f>
        <v/>
      </c>
    </row>
    <row r="84749">
      <c r="A84749" s="1" t="n">
        <v>84748</v>
      </c>
      <c r="B84749">
        <f>TEXT(84748, "[$-0E0000]yyyy-mm-dd")</f>
        <v/>
      </c>
    </row>
    <row r="84750">
      <c r="A84750" s="1" t="n">
        <v>84749</v>
      </c>
      <c r="B84750">
        <f>TEXT(84749, "[$-0E0000]yyyy-mm-dd")</f>
        <v/>
      </c>
    </row>
    <row r="84751">
      <c r="A84751" s="1" t="n">
        <v>84750</v>
      </c>
      <c r="B84751">
        <f>TEXT(84750, "[$-0E0000]yyyy-mm-dd")</f>
        <v/>
      </c>
    </row>
    <row r="84752">
      <c r="A84752" s="1" t="n">
        <v>84751</v>
      </c>
      <c r="B84752">
        <f>TEXT(84751, "[$-0E0000]yyyy-mm-dd")</f>
        <v/>
      </c>
    </row>
    <row r="84753">
      <c r="A84753" s="1" t="n">
        <v>84752</v>
      </c>
      <c r="B84753">
        <f>TEXT(84752, "[$-0E0000]yyyy-mm-dd")</f>
        <v/>
      </c>
    </row>
    <row r="84754">
      <c r="A84754" s="1" t="n">
        <v>84753</v>
      </c>
      <c r="B84754">
        <f>TEXT(84753, "[$-0E0000]yyyy-mm-dd")</f>
        <v/>
      </c>
    </row>
    <row r="84755">
      <c r="A84755" s="1" t="n">
        <v>84754</v>
      </c>
      <c r="B84755">
        <f>TEXT(84754, "[$-0E0000]yyyy-mm-dd")</f>
        <v/>
      </c>
    </row>
    <row r="84756">
      <c r="A84756" s="1" t="n">
        <v>84755</v>
      </c>
      <c r="B84756">
        <f>TEXT(84755, "[$-0E0000]yyyy-mm-dd")</f>
        <v/>
      </c>
    </row>
    <row r="84757">
      <c r="A84757" s="1" t="n">
        <v>84756</v>
      </c>
      <c r="B84757">
        <f>TEXT(84756, "[$-0E0000]yyyy-mm-dd")</f>
        <v/>
      </c>
    </row>
    <row r="84758">
      <c r="A84758" s="1" t="n">
        <v>84757</v>
      </c>
      <c r="B84758">
        <f>TEXT(84757, "[$-0E0000]yyyy-mm-dd")</f>
        <v/>
      </c>
    </row>
    <row r="84759">
      <c r="A84759" s="1" t="n">
        <v>84758</v>
      </c>
      <c r="B84759">
        <f>TEXT(84758, "[$-0E0000]yyyy-mm-dd")</f>
        <v/>
      </c>
    </row>
    <row r="84760">
      <c r="A84760" s="1" t="n">
        <v>84759</v>
      </c>
      <c r="B84760">
        <f>TEXT(84759, "[$-0E0000]yyyy-mm-dd")</f>
        <v/>
      </c>
    </row>
    <row r="84761">
      <c r="A84761" s="1" t="n">
        <v>84760</v>
      </c>
      <c r="B84761">
        <f>TEXT(84760, "[$-0E0000]yyyy-mm-dd")</f>
        <v/>
      </c>
    </row>
    <row r="84762">
      <c r="A84762" s="1" t="n">
        <v>84761</v>
      </c>
      <c r="B84762">
        <f>TEXT(84761, "[$-0E0000]yyyy-mm-dd")</f>
        <v/>
      </c>
    </row>
    <row r="84763">
      <c r="A84763" s="1" t="n">
        <v>84762</v>
      </c>
      <c r="B84763">
        <f>TEXT(84762, "[$-0E0000]yyyy-mm-dd")</f>
        <v/>
      </c>
    </row>
    <row r="84764">
      <c r="A84764" s="1" t="n">
        <v>84763</v>
      </c>
      <c r="B84764">
        <f>TEXT(84763, "[$-0E0000]yyyy-mm-dd")</f>
        <v/>
      </c>
    </row>
    <row r="84765">
      <c r="A84765" s="1" t="n">
        <v>84764</v>
      </c>
      <c r="B84765">
        <f>TEXT(84764, "[$-0E0000]yyyy-mm-dd")</f>
        <v/>
      </c>
    </row>
    <row r="84766">
      <c r="A84766" s="1" t="n">
        <v>84765</v>
      </c>
      <c r="B84766">
        <f>TEXT(84765, "[$-0E0000]yyyy-mm-dd")</f>
        <v/>
      </c>
    </row>
    <row r="84767">
      <c r="A84767" s="1" t="n">
        <v>84766</v>
      </c>
      <c r="B84767">
        <f>TEXT(84766, "[$-0E0000]yyyy-mm-dd")</f>
        <v/>
      </c>
    </row>
    <row r="84768">
      <c r="A84768" s="1" t="n">
        <v>84767</v>
      </c>
      <c r="B84768">
        <f>TEXT(84767, "[$-0E0000]yyyy-mm-dd")</f>
        <v/>
      </c>
    </row>
    <row r="84769">
      <c r="A84769" s="1" t="n">
        <v>84768</v>
      </c>
      <c r="B84769">
        <f>TEXT(84768, "[$-0E0000]yyyy-mm-dd")</f>
        <v/>
      </c>
    </row>
    <row r="84770">
      <c r="A84770" s="1" t="n">
        <v>84769</v>
      </c>
      <c r="B84770">
        <f>TEXT(84769, "[$-0E0000]yyyy-mm-dd")</f>
        <v/>
      </c>
    </row>
    <row r="84771">
      <c r="A84771" s="1" t="n">
        <v>84770</v>
      </c>
      <c r="B84771">
        <f>TEXT(84770, "[$-0E0000]yyyy-mm-dd")</f>
        <v/>
      </c>
    </row>
    <row r="84772">
      <c r="A84772" s="1" t="n">
        <v>84771</v>
      </c>
      <c r="B84772">
        <f>TEXT(84771, "[$-0E0000]yyyy-mm-dd")</f>
        <v/>
      </c>
    </row>
    <row r="84773">
      <c r="A84773" s="1" t="n">
        <v>84772</v>
      </c>
      <c r="B84773">
        <f>TEXT(84772, "[$-0E0000]yyyy-mm-dd")</f>
        <v/>
      </c>
    </row>
    <row r="84774">
      <c r="A84774" s="1" t="n">
        <v>84773</v>
      </c>
      <c r="B84774">
        <f>TEXT(84773, "[$-0E0000]yyyy-mm-dd")</f>
        <v/>
      </c>
    </row>
    <row r="84775">
      <c r="A84775" s="1" t="n">
        <v>84774</v>
      </c>
      <c r="B84775">
        <f>TEXT(84774, "[$-0E0000]yyyy-mm-dd")</f>
        <v/>
      </c>
    </row>
    <row r="84776">
      <c r="A84776" s="1" t="n">
        <v>84775</v>
      </c>
      <c r="B84776">
        <f>TEXT(84775, "[$-0E0000]yyyy-mm-dd")</f>
        <v/>
      </c>
    </row>
    <row r="84777">
      <c r="A84777" s="1" t="n">
        <v>84776</v>
      </c>
      <c r="B84777">
        <f>TEXT(84776, "[$-0E0000]yyyy-mm-dd")</f>
        <v/>
      </c>
    </row>
    <row r="84778">
      <c r="A84778" s="1" t="n">
        <v>84777</v>
      </c>
      <c r="B84778">
        <f>TEXT(84777, "[$-0E0000]yyyy-mm-dd")</f>
        <v/>
      </c>
    </row>
    <row r="84779">
      <c r="A84779" s="1" t="n">
        <v>84778</v>
      </c>
      <c r="B84779">
        <f>TEXT(84778, "[$-0E0000]yyyy-mm-dd")</f>
        <v/>
      </c>
    </row>
    <row r="84780">
      <c r="A84780" s="1" t="n">
        <v>84779</v>
      </c>
      <c r="B84780">
        <f>TEXT(84779, "[$-0E0000]yyyy-mm-dd")</f>
        <v/>
      </c>
    </row>
    <row r="84781">
      <c r="A84781" s="1" t="n">
        <v>84780</v>
      </c>
      <c r="B84781">
        <f>TEXT(84780, "[$-0E0000]yyyy-mm-dd")</f>
        <v/>
      </c>
    </row>
    <row r="84782">
      <c r="A84782" s="1" t="n">
        <v>84781</v>
      </c>
      <c r="B84782">
        <f>TEXT(84781, "[$-0E0000]yyyy-mm-dd")</f>
        <v/>
      </c>
    </row>
    <row r="84783">
      <c r="A84783" s="1" t="n">
        <v>84782</v>
      </c>
      <c r="B84783">
        <f>TEXT(84782, "[$-0E0000]yyyy-mm-dd")</f>
        <v/>
      </c>
    </row>
    <row r="84784">
      <c r="A84784" s="1" t="n">
        <v>84783</v>
      </c>
      <c r="B84784">
        <f>TEXT(84783, "[$-0E0000]yyyy-mm-dd")</f>
        <v/>
      </c>
    </row>
    <row r="84785">
      <c r="A84785" s="1" t="n">
        <v>84784</v>
      </c>
      <c r="B84785">
        <f>TEXT(84784, "[$-0E0000]yyyy-mm-dd")</f>
        <v/>
      </c>
    </row>
    <row r="84786">
      <c r="A84786" s="1" t="n">
        <v>84785</v>
      </c>
      <c r="B84786">
        <f>TEXT(84785, "[$-0E0000]yyyy-mm-dd")</f>
        <v/>
      </c>
    </row>
    <row r="84787">
      <c r="A84787" s="1" t="n">
        <v>84786</v>
      </c>
      <c r="B84787">
        <f>TEXT(84786, "[$-0E0000]yyyy-mm-dd")</f>
        <v/>
      </c>
    </row>
    <row r="84788">
      <c r="A84788" s="1" t="n">
        <v>84787</v>
      </c>
      <c r="B84788">
        <f>TEXT(84787, "[$-0E0000]yyyy-mm-dd")</f>
        <v/>
      </c>
    </row>
    <row r="84789">
      <c r="A84789" s="1" t="n">
        <v>84788</v>
      </c>
      <c r="B84789">
        <f>TEXT(84788, "[$-0E0000]yyyy-mm-dd")</f>
        <v/>
      </c>
    </row>
    <row r="84790">
      <c r="A84790" s="1" t="n">
        <v>84789</v>
      </c>
      <c r="B84790">
        <f>TEXT(84789, "[$-0E0000]yyyy-mm-dd")</f>
        <v/>
      </c>
    </row>
    <row r="84791">
      <c r="A84791" s="1" t="n">
        <v>84790</v>
      </c>
      <c r="B84791">
        <f>TEXT(84790, "[$-0E0000]yyyy-mm-dd")</f>
        <v/>
      </c>
    </row>
    <row r="84792">
      <c r="A84792" s="1" t="n">
        <v>84791</v>
      </c>
      <c r="B84792">
        <f>TEXT(84791, "[$-0E0000]yyyy-mm-dd")</f>
        <v/>
      </c>
    </row>
    <row r="84793">
      <c r="A84793" s="1" t="n">
        <v>84792</v>
      </c>
      <c r="B84793">
        <f>TEXT(84792, "[$-0E0000]yyyy-mm-dd")</f>
        <v/>
      </c>
    </row>
    <row r="84794">
      <c r="A84794" s="1" t="n">
        <v>84793</v>
      </c>
      <c r="B84794">
        <f>TEXT(84793, "[$-0E0000]yyyy-mm-dd")</f>
        <v/>
      </c>
    </row>
    <row r="84795">
      <c r="A84795" s="1" t="n">
        <v>84794</v>
      </c>
      <c r="B84795">
        <f>TEXT(84794, "[$-0E0000]yyyy-mm-dd")</f>
        <v/>
      </c>
    </row>
    <row r="84796">
      <c r="A84796" s="1" t="n">
        <v>84795</v>
      </c>
      <c r="B84796">
        <f>TEXT(84795, "[$-0E0000]yyyy-mm-dd")</f>
        <v/>
      </c>
    </row>
    <row r="84797">
      <c r="A84797" s="1" t="n">
        <v>84796</v>
      </c>
      <c r="B84797">
        <f>TEXT(84796, "[$-0E0000]yyyy-mm-dd")</f>
        <v/>
      </c>
    </row>
    <row r="84798">
      <c r="A84798" s="1" t="n">
        <v>84797</v>
      </c>
      <c r="B84798">
        <f>TEXT(84797, "[$-0E0000]yyyy-mm-dd")</f>
        <v/>
      </c>
    </row>
    <row r="84799">
      <c r="A84799" s="1" t="n">
        <v>84798</v>
      </c>
      <c r="B84799">
        <f>TEXT(84798, "[$-0E0000]yyyy-mm-dd")</f>
        <v/>
      </c>
    </row>
    <row r="84800">
      <c r="A84800" s="1" t="n">
        <v>84799</v>
      </c>
      <c r="B84800">
        <f>TEXT(84799, "[$-0E0000]yyyy-mm-dd")</f>
        <v/>
      </c>
    </row>
    <row r="84801">
      <c r="A84801" s="1" t="n">
        <v>84800</v>
      </c>
      <c r="B84801">
        <f>TEXT(84800, "[$-0E0000]yyyy-mm-dd")</f>
        <v/>
      </c>
    </row>
    <row r="84802">
      <c r="A84802" s="1" t="n">
        <v>84801</v>
      </c>
      <c r="B84802">
        <f>TEXT(84801, "[$-0E0000]yyyy-mm-dd")</f>
        <v/>
      </c>
    </row>
    <row r="84803">
      <c r="A84803" s="1" t="n">
        <v>84802</v>
      </c>
      <c r="B84803">
        <f>TEXT(84802, "[$-0E0000]yyyy-mm-dd")</f>
        <v/>
      </c>
    </row>
    <row r="84804">
      <c r="A84804" s="1" t="n">
        <v>84803</v>
      </c>
      <c r="B84804">
        <f>TEXT(84803, "[$-0E0000]yyyy-mm-dd")</f>
        <v/>
      </c>
    </row>
    <row r="84805">
      <c r="A84805" s="1" t="n">
        <v>84804</v>
      </c>
      <c r="B84805">
        <f>TEXT(84804, "[$-0E0000]yyyy-mm-dd")</f>
        <v/>
      </c>
    </row>
    <row r="84806">
      <c r="A84806" s="1" t="n">
        <v>84805</v>
      </c>
      <c r="B84806">
        <f>TEXT(84805, "[$-0E0000]yyyy-mm-dd")</f>
        <v/>
      </c>
    </row>
    <row r="84807">
      <c r="A84807" s="1" t="n">
        <v>84806</v>
      </c>
      <c r="B84807">
        <f>TEXT(84806, "[$-0E0000]yyyy-mm-dd")</f>
        <v/>
      </c>
    </row>
    <row r="84808">
      <c r="A84808" s="1" t="n">
        <v>84807</v>
      </c>
      <c r="B84808">
        <f>TEXT(84807, "[$-0E0000]yyyy-mm-dd")</f>
        <v/>
      </c>
    </row>
    <row r="84809">
      <c r="A84809" s="1" t="n">
        <v>84808</v>
      </c>
      <c r="B84809">
        <f>TEXT(84808, "[$-0E0000]yyyy-mm-dd")</f>
        <v/>
      </c>
    </row>
    <row r="84810">
      <c r="A84810" s="1" t="n">
        <v>84809</v>
      </c>
      <c r="B84810">
        <f>TEXT(84809, "[$-0E0000]yyyy-mm-dd")</f>
        <v/>
      </c>
    </row>
    <row r="84811">
      <c r="A84811" s="1" t="n">
        <v>84810</v>
      </c>
      <c r="B84811">
        <f>TEXT(84810, "[$-0E0000]yyyy-mm-dd")</f>
        <v/>
      </c>
    </row>
    <row r="84812">
      <c r="A84812" s="1" t="n">
        <v>84811</v>
      </c>
      <c r="B84812">
        <f>TEXT(84811, "[$-0E0000]yyyy-mm-dd")</f>
        <v/>
      </c>
    </row>
    <row r="84813">
      <c r="A84813" s="1" t="n">
        <v>84812</v>
      </c>
      <c r="B84813">
        <f>TEXT(84812, "[$-0E0000]yyyy-mm-dd")</f>
        <v/>
      </c>
    </row>
    <row r="84814">
      <c r="A84814" s="1" t="n">
        <v>84813</v>
      </c>
      <c r="B84814">
        <f>TEXT(84813, "[$-0E0000]yyyy-mm-dd")</f>
        <v/>
      </c>
    </row>
    <row r="84815">
      <c r="A84815" s="1" t="n">
        <v>84814</v>
      </c>
      <c r="B84815">
        <f>TEXT(84814, "[$-0E0000]yyyy-mm-dd")</f>
        <v/>
      </c>
    </row>
    <row r="84816">
      <c r="A84816" s="1" t="n">
        <v>84815</v>
      </c>
      <c r="B84816">
        <f>TEXT(84815, "[$-0E0000]yyyy-mm-dd")</f>
        <v/>
      </c>
    </row>
    <row r="84817">
      <c r="A84817" s="1" t="n">
        <v>84816</v>
      </c>
      <c r="B84817">
        <f>TEXT(84816, "[$-0E0000]yyyy-mm-dd")</f>
        <v/>
      </c>
    </row>
    <row r="84818">
      <c r="A84818" s="1" t="n">
        <v>84817</v>
      </c>
      <c r="B84818">
        <f>TEXT(84817, "[$-0E0000]yyyy-mm-dd")</f>
        <v/>
      </c>
    </row>
    <row r="84819">
      <c r="A84819" s="1" t="n">
        <v>84818</v>
      </c>
      <c r="B84819">
        <f>TEXT(84818, "[$-0E0000]yyyy-mm-dd")</f>
        <v/>
      </c>
    </row>
    <row r="84820">
      <c r="A84820" s="1" t="n">
        <v>84819</v>
      </c>
      <c r="B84820">
        <f>TEXT(84819, "[$-0E0000]yyyy-mm-dd")</f>
        <v/>
      </c>
    </row>
    <row r="84821">
      <c r="A84821" s="1" t="n">
        <v>84820</v>
      </c>
      <c r="B84821">
        <f>TEXT(84820, "[$-0E0000]yyyy-mm-dd")</f>
        <v/>
      </c>
    </row>
    <row r="84822">
      <c r="A84822" s="1" t="n">
        <v>84821</v>
      </c>
      <c r="B84822">
        <f>TEXT(84821, "[$-0E0000]yyyy-mm-dd")</f>
        <v/>
      </c>
    </row>
    <row r="84823">
      <c r="A84823" s="1" t="n">
        <v>84822</v>
      </c>
      <c r="B84823">
        <f>TEXT(84822, "[$-0E0000]yyyy-mm-dd")</f>
        <v/>
      </c>
    </row>
    <row r="84824">
      <c r="A84824" s="1" t="n">
        <v>84823</v>
      </c>
      <c r="B84824">
        <f>TEXT(84823, "[$-0E0000]yyyy-mm-dd")</f>
        <v/>
      </c>
    </row>
    <row r="84825">
      <c r="A84825" s="1" t="n">
        <v>84824</v>
      </c>
      <c r="B84825">
        <f>TEXT(84824, "[$-0E0000]yyyy-mm-dd")</f>
        <v/>
      </c>
    </row>
    <row r="84826">
      <c r="A84826" s="1" t="n">
        <v>84825</v>
      </c>
      <c r="B84826">
        <f>TEXT(84825, "[$-0E0000]yyyy-mm-dd")</f>
        <v/>
      </c>
    </row>
    <row r="84827">
      <c r="A84827" s="1" t="n">
        <v>84826</v>
      </c>
      <c r="B84827">
        <f>TEXT(84826, "[$-0E0000]yyyy-mm-dd")</f>
        <v/>
      </c>
    </row>
    <row r="84828">
      <c r="A84828" s="1" t="n">
        <v>84827</v>
      </c>
      <c r="B84828">
        <f>TEXT(84827, "[$-0E0000]yyyy-mm-dd")</f>
        <v/>
      </c>
    </row>
    <row r="84829">
      <c r="A84829" s="1" t="n">
        <v>84828</v>
      </c>
      <c r="B84829">
        <f>TEXT(84828, "[$-0E0000]yyyy-mm-dd")</f>
        <v/>
      </c>
    </row>
    <row r="84830">
      <c r="A84830" s="1" t="n">
        <v>84829</v>
      </c>
      <c r="B84830">
        <f>TEXT(84829, "[$-0E0000]yyyy-mm-dd")</f>
        <v/>
      </c>
    </row>
    <row r="84831">
      <c r="A84831" s="1" t="n">
        <v>84830</v>
      </c>
      <c r="B84831">
        <f>TEXT(84830, "[$-0E0000]yyyy-mm-dd")</f>
        <v/>
      </c>
    </row>
    <row r="84832">
      <c r="A84832" s="1" t="n">
        <v>84831</v>
      </c>
      <c r="B84832">
        <f>TEXT(84831, "[$-0E0000]yyyy-mm-dd")</f>
        <v/>
      </c>
    </row>
    <row r="84833">
      <c r="A84833" s="1" t="n">
        <v>84832</v>
      </c>
      <c r="B84833">
        <f>TEXT(84832, "[$-0E0000]yyyy-mm-dd")</f>
        <v/>
      </c>
    </row>
    <row r="84834">
      <c r="A84834" s="1" t="n">
        <v>84833</v>
      </c>
      <c r="B84834">
        <f>TEXT(84833, "[$-0E0000]yyyy-mm-dd")</f>
        <v/>
      </c>
    </row>
    <row r="84835">
      <c r="A84835" s="1" t="n">
        <v>84834</v>
      </c>
      <c r="B84835">
        <f>TEXT(84834, "[$-0E0000]yyyy-mm-dd")</f>
        <v/>
      </c>
    </row>
    <row r="84836">
      <c r="A84836" s="1" t="n">
        <v>84835</v>
      </c>
      <c r="B84836">
        <f>TEXT(84835, "[$-0E0000]yyyy-mm-dd")</f>
        <v/>
      </c>
    </row>
    <row r="84837">
      <c r="A84837" s="1" t="n">
        <v>84836</v>
      </c>
      <c r="B84837">
        <f>TEXT(84836, "[$-0E0000]yyyy-mm-dd")</f>
        <v/>
      </c>
    </row>
    <row r="84838">
      <c r="A84838" s="1" t="n">
        <v>84837</v>
      </c>
      <c r="B84838">
        <f>TEXT(84837, "[$-0E0000]yyyy-mm-dd")</f>
        <v/>
      </c>
    </row>
    <row r="84839">
      <c r="A84839" s="1" t="n">
        <v>84838</v>
      </c>
      <c r="B84839">
        <f>TEXT(84838, "[$-0E0000]yyyy-mm-dd")</f>
        <v/>
      </c>
    </row>
    <row r="84840">
      <c r="A84840" s="1" t="n">
        <v>84839</v>
      </c>
      <c r="B84840">
        <f>TEXT(84839, "[$-0E0000]yyyy-mm-dd")</f>
        <v/>
      </c>
    </row>
    <row r="84841">
      <c r="A84841" s="1" t="n">
        <v>84840</v>
      </c>
      <c r="B84841">
        <f>TEXT(84840, "[$-0E0000]yyyy-mm-dd")</f>
        <v/>
      </c>
    </row>
    <row r="84842">
      <c r="A84842" s="1" t="n">
        <v>84841</v>
      </c>
      <c r="B84842">
        <f>TEXT(84841, "[$-0E0000]yyyy-mm-dd")</f>
        <v/>
      </c>
    </row>
    <row r="84843">
      <c r="A84843" s="1" t="n">
        <v>84842</v>
      </c>
      <c r="B84843">
        <f>TEXT(84842, "[$-0E0000]yyyy-mm-dd")</f>
        <v/>
      </c>
    </row>
    <row r="84844">
      <c r="A84844" s="1" t="n">
        <v>84843</v>
      </c>
      <c r="B84844">
        <f>TEXT(84843, "[$-0E0000]yyyy-mm-dd")</f>
        <v/>
      </c>
    </row>
    <row r="84845">
      <c r="A84845" s="1" t="n">
        <v>84844</v>
      </c>
      <c r="B84845">
        <f>TEXT(84844, "[$-0E0000]yyyy-mm-dd")</f>
        <v/>
      </c>
    </row>
    <row r="84846">
      <c r="A84846" s="1" t="n">
        <v>84845</v>
      </c>
      <c r="B84846">
        <f>TEXT(84845, "[$-0E0000]yyyy-mm-dd")</f>
        <v/>
      </c>
    </row>
    <row r="84847">
      <c r="A84847" s="1" t="n">
        <v>84846</v>
      </c>
      <c r="B84847">
        <f>TEXT(84846, "[$-0E0000]yyyy-mm-dd")</f>
        <v/>
      </c>
    </row>
    <row r="84848">
      <c r="A84848" s="1" t="n">
        <v>84847</v>
      </c>
      <c r="B84848">
        <f>TEXT(84847, "[$-0E0000]yyyy-mm-dd")</f>
        <v/>
      </c>
    </row>
    <row r="84849">
      <c r="A84849" s="1" t="n">
        <v>84848</v>
      </c>
      <c r="B84849">
        <f>TEXT(84848, "[$-0E0000]yyyy-mm-dd")</f>
        <v/>
      </c>
    </row>
    <row r="84850">
      <c r="A84850" s="1" t="n">
        <v>84849</v>
      </c>
      <c r="B84850">
        <f>TEXT(84849, "[$-0E0000]yyyy-mm-dd")</f>
        <v/>
      </c>
    </row>
    <row r="84851">
      <c r="A84851" s="1" t="n">
        <v>84850</v>
      </c>
      <c r="B84851">
        <f>TEXT(84850, "[$-0E0000]yyyy-mm-dd")</f>
        <v/>
      </c>
    </row>
    <row r="84852">
      <c r="A84852" s="1" t="n">
        <v>84851</v>
      </c>
      <c r="B84852">
        <f>TEXT(84851, "[$-0E0000]yyyy-mm-dd")</f>
        <v/>
      </c>
    </row>
    <row r="84853">
      <c r="A84853" s="1" t="n">
        <v>84852</v>
      </c>
      <c r="B84853">
        <f>TEXT(84852, "[$-0E0000]yyyy-mm-dd")</f>
        <v/>
      </c>
    </row>
    <row r="84854">
      <c r="A84854" s="1" t="n">
        <v>84853</v>
      </c>
      <c r="B84854">
        <f>TEXT(84853, "[$-0E0000]yyyy-mm-dd")</f>
        <v/>
      </c>
    </row>
    <row r="84855">
      <c r="A84855" s="1" t="n">
        <v>84854</v>
      </c>
      <c r="B84855">
        <f>TEXT(84854, "[$-0E0000]yyyy-mm-dd")</f>
        <v/>
      </c>
    </row>
    <row r="84856">
      <c r="A84856" s="1" t="n">
        <v>84855</v>
      </c>
      <c r="B84856">
        <f>TEXT(84855, "[$-0E0000]yyyy-mm-dd")</f>
        <v/>
      </c>
    </row>
    <row r="84857">
      <c r="A84857" s="1" t="n">
        <v>84856</v>
      </c>
      <c r="B84857">
        <f>TEXT(84856, "[$-0E0000]yyyy-mm-dd")</f>
        <v/>
      </c>
    </row>
    <row r="84858">
      <c r="A84858" s="1" t="n">
        <v>84857</v>
      </c>
      <c r="B84858">
        <f>TEXT(84857, "[$-0E0000]yyyy-mm-dd")</f>
        <v/>
      </c>
    </row>
    <row r="84859">
      <c r="A84859" s="1" t="n">
        <v>84858</v>
      </c>
      <c r="B84859">
        <f>TEXT(84858, "[$-0E0000]yyyy-mm-dd")</f>
        <v/>
      </c>
    </row>
    <row r="84860">
      <c r="A84860" s="1" t="n">
        <v>84859</v>
      </c>
      <c r="B84860">
        <f>TEXT(84859, "[$-0E0000]yyyy-mm-dd")</f>
        <v/>
      </c>
    </row>
    <row r="84861">
      <c r="A84861" s="1" t="n">
        <v>84860</v>
      </c>
      <c r="B84861">
        <f>TEXT(84860, "[$-0E0000]yyyy-mm-dd")</f>
        <v/>
      </c>
    </row>
    <row r="84862">
      <c r="A84862" s="1" t="n">
        <v>84861</v>
      </c>
      <c r="B84862">
        <f>TEXT(84861, "[$-0E0000]yyyy-mm-dd")</f>
        <v/>
      </c>
    </row>
    <row r="84863">
      <c r="A84863" s="1" t="n">
        <v>84862</v>
      </c>
      <c r="B84863">
        <f>TEXT(84862, "[$-0E0000]yyyy-mm-dd")</f>
        <v/>
      </c>
    </row>
    <row r="84864">
      <c r="A84864" s="1" t="n">
        <v>84863</v>
      </c>
      <c r="B84864">
        <f>TEXT(84863, "[$-0E0000]yyyy-mm-dd")</f>
        <v/>
      </c>
    </row>
    <row r="84865">
      <c r="A84865" s="1" t="n">
        <v>84864</v>
      </c>
      <c r="B84865">
        <f>TEXT(84864, "[$-0E0000]yyyy-mm-dd")</f>
        <v/>
      </c>
    </row>
    <row r="84866">
      <c r="A84866" s="1" t="n">
        <v>84865</v>
      </c>
      <c r="B84866">
        <f>TEXT(84865, "[$-0E0000]yyyy-mm-dd")</f>
        <v/>
      </c>
    </row>
    <row r="84867">
      <c r="A84867" s="1" t="n">
        <v>84866</v>
      </c>
      <c r="B84867">
        <f>TEXT(84866, "[$-0E0000]yyyy-mm-dd")</f>
        <v/>
      </c>
    </row>
    <row r="84868">
      <c r="A84868" s="1" t="n">
        <v>84867</v>
      </c>
      <c r="B84868">
        <f>TEXT(84867, "[$-0E0000]yyyy-mm-dd")</f>
        <v/>
      </c>
    </row>
    <row r="84869">
      <c r="A84869" s="1" t="n">
        <v>84868</v>
      </c>
      <c r="B84869">
        <f>TEXT(84868, "[$-0E0000]yyyy-mm-dd")</f>
        <v/>
      </c>
    </row>
    <row r="84870">
      <c r="A84870" s="1" t="n">
        <v>84869</v>
      </c>
      <c r="B84870">
        <f>TEXT(84869, "[$-0E0000]yyyy-mm-dd")</f>
        <v/>
      </c>
    </row>
    <row r="84871">
      <c r="A84871" s="1" t="n">
        <v>84870</v>
      </c>
      <c r="B84871">
        <f>TEXT(84870, "[$-0E0000]yyyy-mm-dd")</f>
        <v/>
      </c>
    </row>
    <row r="84872">
      <c r="A84872" s="1" t="n">
        <v>84871</v>
      </c>
      <c r="B84872">
        <f>TEXT(84871, "[$-0E0000]yyyy-mm-dd")</f>
        <v/>
      </c>
    </row>
    <row r="84873">
      <c r="A84873" s="1" t="n">
        <v>84872</v>
      </c>
      <c r="B84873">
        <f>TEXT(84872, "[$-0E0000]yyyy-mm-dd")</f>
        <v/>
      </c>
    </row>
    <row r="84874">
      <c r="A84874" s="1" t="n">
        <v>84873</v>
      </c>
      <c r="B84874">
        <f>TEXT(84873, "[$-0E0000]yyyy-mm-dd")</f>
        <v/>
      </c>
    </row>
    <row r="84875">
      <c r="A84875" s="1" t="n">
        <v>84874</v>
      </c>
      <c r="B84875">
        <f>TEXT(84874, "[$-0E0000]yyyy-mm-dd")</f>
        <v/>
      </c>
    </row>
    <row r="84876">
      <c r="A84876" s="1" t="n">
        <v>84875</v>
      </c>
      <c r="B84876">
        <f>TEXT(84875, "[$-0E0000]yyyy-mm-dd")</f>
        <v/>
      </c>
    </row>
    <row r="84877">
      <c r="A84877" s="1" t="n">
        <v>84876</v>
      </c>
      <c r="B84877">
        <f>TEXT(84876, "[$-0E0000]yyyy-mm-dd")</f>
        <v/>
      </c>
    </row>
    <row r="84878">
      <c r="A84878" s="1" t="n">
        <v>84877</v>
      </c>
      <c r="B84878">
        <f>TEXT(84877, "[$-0E0000]yyyy-mm-dd")</f>
        <v/>
      </c>
    </row>
    <row r="84879">
      <c r="A84879" s="1" t="n">
        <v>84878</v>
      </c>
      <c r="B84879">
        <f>TEXT(84878, "[$-0E0000]yyyy-mm-dd")</f>
        <v/>
      </c>
    </row>
    <row r="84880">
      <c r="A84880" s="1" t="n">
        <v>84879</v>
      </c>
      <c r="B84880">
        <f>TEXT(84879, "[$-0E0000]yyyy-mm-dd")</f>
        <v/>
      </c>
    </row>
    <row r="84881">
      <c r="A84881" s="1" t="n">
        <v>84880</v>
      </c>
      <c r="B84881">
        <f>TEXT(84880, "[$-0E0000]yyyy-mm-dd")</f>
        <v/>
      </c>
    </row>
    <row r="84882">
      <c r="A84882" s="1" t="n">
        <v>84881</v>
      </c>
      <c r="B84882">
        <f>TEXT(84881, "[$-0E0000]yyyy-mm-dd")</f>
        <v/>
      </c>
    </row>
    <row r="84883">
      <c r="A84883" s="1" t="n">
        <v>84882</v>
      </c>
      <c r="B84883">
        <f>TEXT(84882, "[$-0E0000]yyyy-mm-dd")</f>
        <v/>
      </c>
    </row>
    <row r="84884">
      <c r="A84884" s="1" t="n">
        <v>84883</v>
      </c>
      <c r="B84884">
        <f>TEXT(84883, "[$-0E0000]yyyy-mm-dd")</f>
        <v/>
      </c>
    </row>
    <row r="84885">
      <c r="A84885" s="1" t="n">
        <v>84884</v>
      </c>
      <c r="B84885">
        <f>TEXT(84884, "[$-0E0000]yyyy-mm-dd")</f>
        <v/>
      </c>
    </row>
    <row r="84886">
      <c r="A84886" s="1" t="n">
        <v>84885</v>
      </c>
      <c r="B84886">
        <f>TEXT(84885, "[$-0E0000]yyyy-mm-dd")</f>
        <v/>
      </c>
    </row>
    <row r="84887">
      <c r="A84887" s="1" t="n">
        <v>84886</v>
      </c>
      <c r="B84887">
        <f>TEXT(84886, "[$-0E0000]yyyy-mm-dd")</f>
        <v/>
      </c>
    </row>
    <row r="84888">
      <c r="A84888" s="1" t="n">
        <v>84887</v>
      </c>
      <c r="B84888">
        <f>TEXT(84887, "[$-0E0000]yyyy-mm-dd")</f>
        <v/>
      </c>
    </row>
    <row r="84889">
      <c r="A84889" s="1" t="n">
        <v>84888</v>
      </c>
      <c r="B84889">
        <f>TEXT(84888, "[$-0E0000]yyyy-mm-dd")</f>
        <v/>
      </c>
    </row>
    <row r="84890">
      <c r="A84890" s="1" t="n">
        <v>84889</v>
      </c>
      <c r="B84890">
        <f>TEXT(84889, "[$-0E0000]yyyy-mm-dd")</f>
        <v/>
      </c>
    </row>
    <row r="84891">
      <c r="A84891" s="1" t="n">
        <v>84890</v>
      </c>
      <c r="B84891">
        <f>TEXT(84890, "[$-0E0000]yyyy-mm-dd")</f>
        <v/>
      </c>
    </row>
    <row r="84892">
      <c r="A84892" s="1" t="n">
        <v>84891</v>
      </c>
      <c r="B84892">
        <f>TEXT(84891, "[$-0E0000]yyyy-mm-dd")</f>
        <v/>
      </c>
    </row>
    <row r="84893">
      <c r="A84893" s="1" t="n">
        <v>84892</v>
      </c>
      <c r="B84893">
        <f>TEXT(84892, "[$-0E0000]yyyy-mm-dd")</f>
        <v/>
      </c>
    </row>
    <row r="84894">
      <c r="A84894" s="1" t="n">
        <v>84893</v>
      </c>
      <c r="B84894">
        <f>TEXT(84893, "[$-0E0000]yyyy-mm-dd")</f>
        <v/>
      </c>
    </row>
    <row r="84895">
      <c r="A84895" s="1" t="n">
        <v>84894</v>
      </c>
      <c r="B84895">
        <f>TEXT(84894, "[$-0E0000]yyyy-mm-dd")</f>
        <v/>
      </c>
    </row>
    <row r="84896">
      <c r="A84896" s="1" t="n">
        <v>84895</v>
      </c>
      <c r="B84896">
        <f>TEXT(84895, "[$-0E0000]yyyy-mm-dd")</f>
        <v/>
      </c>
    </row>
    <row r="84897">
      <c r="A84897" s="1" t="n">
        <v>84896</v>
      </c>
      <c r="B84897">
        <f>TEXT(84896, "[$-0E0000]yyyy-mm-dd")</f>
        <v/>
      </c>
    </row>
    <row r="84898">
      <c r="A84898" s="1" t="n">
        <v>84897</v>
      </c>
      <c r="B84898">
        <f>TEXT(84897, "[$-0E0000]yyyy-mm-dd")</f>
        <v/>
      </c>
    </row>
    <row r="84899">
      <c r="A84899" s="1" t="n">
        <v>84898</v>
      </c>
      <c r="B84899">
        <f>TEXT(84898, "[$-0E0000]yyyy-mm-dd")</f>
        <v/>
      </c>
    </row>
    <row r="84900">
      <c r="A84900" s="1" t="n">
        <v>84899</v>
      </c>
      <c r="B84900">
        <f>TEXT(84899, "[$-0E0000]yyyy-mm-dd")</f>
        <v/>
      </c>
    </row>
    <row r="84901">
      <c r="A84901" s="1" t="n">
        <v>84900</v>
      </c>
      <c r="B84901">
        <f>TEXT(84900, "[$-0E0000]yyyy-mm-dd")</f>
        <v/>
      </c>
    </row>
    <row r="84902">
      <c r="A84902" s="1" t="n">
        <v>84901</v>
      </c>
      <c r="B84902">
        <f>TEXT(84901, "[$-0E0000]yyyy-mm-dd")</f>
        <v/>
      </c>
    </row>
    <row r="84903">
      <c r="A84903" s="1" t="n">
        <v>84902</v>
      </c>
      <c r="B84903">
        <f>TEXT(84902, "[$-0E0000]yyyy-mm-dd")</f>
        <v/>
      </c>
    </row>
    <row r="84904">
      <c r="A84904" s="1" t="n">
        <v>84903</v>
      </c>
      <c r="B84904">
        <f>TEXT(84903, "[$-0E0000]yyyy-mm-dd")</f>
        <v/>
      </c>
    </row>
    <row r="84905">
      <c r="A84905" s="1" t="n">
        <v>84904</v>
      </c>
      <c r="B84905">
        <f>TEXT(84904, "[$-0E0000]yyyy-mm-dd")</f>
        <v/>
      </c>
    </row>
    <row r="84906">
      <c r="A84906" s="1" t="n">
        <v>84905</v>
      </c>
      <c r="B84906">
        <f>TEXT(84905, "[$-0E0000]yyyy-mm-dd")</f>
        <v/>
      </c>
    </row>
    <row r="84907">
      <c r="A84907" s="1" t="n">
        <v>84906</v>
      </c>
      <c r="B84907">
        <f>TEXT(84906, "[$-0E0000]yyyy-mm-dd")</f>
        <v/>
      </c>
    </row>
    <row r="84908">
      <c r="A84908" s="1" t="n">
        <v>84907</v>
      </c>
      <c r="B84908">
        <f>TEXT(84907, "[$-0E0000]yyyy-mm-dd")</f>
        <v/>
      </c>
    </row>
    <row r="84909">
      <c r="A84909" s="1" t="n">
        <v>84908</v>
      </c>
      <c r="B84909">
        <f>TEXT(84908, "[$-0E0000]yyyy-mm-dd")</f>
        <v/>
      </c>
    </row>
    <row r="84910">
      <c r="A84910" s="1" t="n">
        <v>84909</v>
      </c>
      <c r="B84910">
        <f>TEXT(84909, "[$-0E0000]yyyy-mm-dd")</f>
        <v/>
      </c>
    </row>
    <row r="84911">
      <c r="A84911" s="1" t="n">
        <v>84910</v>
      </c>
      <c r="B84911">
        <f>TEXT(84910, "[$-0E0000]yyyy-mm-dd")</f>
        <v/>
      </c>
    </row>
    <row r="84912">
      <c r="A84912" s="1" t="n">
        <v>84911</v>
      </c>
      <c r="B84912">
        <f>TEXT(84911, "[$-0E0000]yyyy-mm-dd")</f>
        <v/>
      </c>
    </row>
    <row r="84913">
      <c r="A84913" s="1" t="n">
        <v>84912</v>
      </c>
      <c r="B84913">
        <f>TEXT(84912, "[$-0E0000]yyyy-mm-dd")</f>
        <v/>
      </c>
    </row>
    <row r="84914">
      <c r="A84914" s="1" t="n">
        <v>84913</v>
      </c>
      <c r="B84914">
        <f>TEXT(84913, "[$-0E0000]yyyy-mm-dd")</f>
        <v/>
      </c>
    </row>
    <row r="84915">
      <c r="A84915" s="1" t="n">
        <v>84914</v>
      </c>
      <c r="B84915">
        <f>TEXT(84914, "[$-0E0000]yyyy-mm-dd")</f>
        <v/>
      </c>
    </row>
    <row r="84916">
      <c r="A84916" s="1" t="n">
        <v>84915</v>
      </c>
      <c r="B84916">
        <f>TEXT(84915, "[$-0E0000]yyyy-mm-dd")</f>
        <v/>
      </c>
    </row>
    <row r="84917">
      <c r="A84917" s="1" t="n">
        <v>84916</v>
      </c>
      <c r="B84917">
        <f>TEXT(84916, "[$-0E0000]yyyy-mm-dd")</f>
        <v/>
      </c>
    </row>
    <row r="84918">
      <c r="A84918" s="1" t="n">
        <v>84917</v>
      </c>
      <c r="B84918">
        <f>TEXT(84917, "[$-0E0000]yyyy-mm-dd")</f>
        <v/>
      </c>
    </row>
    <row r="84919">
      <c r="A84919" s="1" t="n">
        <v>84918</v>
      </c>
      <c r="B84919">
        <f>TEXT(84918, "[$-0E0000]yyyy-mm-dd")</f>
        <v/>
      </c>
    </row>
    <row r="84920">
      <c r="A84920" s="1" t="n">
        <v>84919</v>
      </c>
      <c r="B84920">
        <f>TEXT(84919, "[$-0E0000]yyyy-mm-dd")</f>
        <v/>
      </c>
    </row>
    <row r="84921">
      <c r="A84921" s="1" t="n">
        <v>84920</v>
      </c>
      <c r="B84921">
        <f>TEXT(84920, "[$-0E0000]yyyy-mm-dd")</f>
        <v/>
      </c>
    </row>
    <row r="84922">
      <c r="A84922" s="1" t="n">
        <v>84921</v>
      </c>
      <c r="B84922">
        <f>TEXT(84921, "[$-0E0000]yyyy-mm-dd")</f>
        <v/>
      </c>
    </row>
    <row r="84923">
      <c r="A84923" s="1" t="n">
        <v>84922</v>
      </c>
      <c r="B84923">
        <f>TEXT(84922, "[$-0E0000]yyyy-mm-dd")</f>
        <v/>
      </c>
    </row>
    <row r="84924">
      <c r="A84924" s="1" t="n">
        <v>84923</v>
      </c>
      <c r="B84924">
        <f>TEXT(84923, "[$-0E0000]yyyy-mm-dd")</f>
        <v/>
      </c>
    </row>
    <row r="84925">
      <c r="A84925" s="1" t="n">
        <v>84924</v>
      </c>
      <c r="B84925">
        <f>TEXT(84924, "[$-0E0000]yyyy-mm-dd")</f>
        <v/>
      </c>
    </row>
    <row r="84926">
      <c r="A84926" s="1" t="n">
        <v>84925</v>
      </c>
      <c r="B84926">
        <f>TEXT(84925, "[$-0E0000]yyyy-mm-dd")</f>
        <v/>
      </c>
    </row>
    <row r="84927">
      <c r="A84927" s="1" t="n">
        <v>84926</v>
      </c>
      <c r="B84927">
        <f>TEXT(84926, "[$-0E0000]yyyy-mm-dd")</f>
        <v/>
      </c>
    </row>
    <row r="84928">
      <c r="A84928" s="1" t="n">
        <v>84927</v>
      </c>
      <c r="B84928">
        <f>TEXT(84927, "[$-0E0000]yyyy-mm-dd")</f>
        <v/>
      </c>
    </row>
    <row r="84929">
      <c r="A84929" s="1" t="n">
        <v>84928</v>
      </c>
      <c r="B84929">
        <f>TEXT(84928, "[$-0E0000]yyyy-mm-dd")</f>
        <v/>
      </c>
    </row>
    <row r="84930">
      <c r="A84930" s="1" t="n">
        <v>84929</v>
      </c>
      <c r="B84930">
        <f>TEXT(84929, "[$-0E0000]yyyy-mm-dd")</f>
        <v/>
      </c>
    </row>
    <row r="84931">
      <c r="A84931" s="1" t="n">
        <v>84930</v>
      </c>
      <c r="B84931">
        <f>TEXT(84930, "[$-0E0000]yyyy-mm-dd")</f>
        <v/>
      </c>
    </row>
    <row r="84932">
      <c r="A84932" s="1" t="n">
        <v>84931</v>
      </c>
      <c r="B84932">
        <f>TEXT(84931, "[$-0E0000]yyyy-mm-dd")</f>
        <v/>
      </c>
    </row>
    <row r="84933">
      <c r="A84933" s="1" t="n">
        <v>84932</v>
      </c>
      <c r="B84933">
        <f>TEXT(84932, "[$-0E0000]yyyy-mm-dd")</f>
        <v/>
      </c>
    </row>
    <row r="84934">
      <c r="A84934" s="1" t="n">
        <v>84933</v>
      </c>
      <c r="B84934">
        <f>TEXT(84933, "[$-0E0000]yyyy-mm-dd")</f>
        <v/>
      </c>
    </row>
    <row r="84935">
      <c r="A84935" s="1" t="n">
        <v>84934</v>
      </c>
      <c r="B84935">
        <f>TEXT(84934, "[$-0E0000]yyyy-mm-dd")</f>
        <v/>
      </c>
    </row>
    <row r="84936">
      <c r="A84936" s="1" t="n">
        <v>84935</v>
      </c>
      <c r="B84936">
        <f>TEXT(84935, "[$-0E0000]yyyy-mm-dd")</f>
        <v/>
      </c>
    </row>
    <row r="84937">
      <c r="A84937" s="1" t="n">
        <v>84936</v>
      </c>
      <c r="B84937">
        <f>TEXT(84936, "[$-0E0000]yyyy-mm-dd")</f>
        <v/>
      </c>
    </row>
    <row r="84938">
      <c r="A84938" s="1" t="n">
        <v>84937</v>
      </c>
      <c r="B84938">
        <f>TEXT(84937, "[$-0E0000]yyyy-mm-dd")</f>
        <v/>
      </c>
    </row>
    <row r="84939">
      <c r="A84939" s="1" t="n">
        <v>84938</v>
      </c>
      <c r="B84939">
        <f>TEXT(84938, "[$-0E0000]yyyy-mm-dd")</f>
        <v/>
      </c>
    </row>
    <row r="84940">
      <c r="A84940" s="1" t="n">
        <v>84939</v>
      </c>
      <c r="B84940">
        <f>TEXT(84939, "[$-0E0000]yyyy-mm-dd")</f>
        <v/>
      </c>
    </row>
    <row r="84941">
      <c r="A84941" s="1" t="n">
        <v>84940</v>
      </c>
      <c r="B84941">
        <f>TEXT(84940, "[$-0E0000]yyyy-mm-dd")</f>
        <v/>
      </c>
    </row>
    <row r="84942">
      <c r="A84942" s="1" t="n">
        <v>84941</v>
      </c>
      <c r="B84942">
        <f>TEXT(84941, "[$-0E0000]yyyy-mm-dd")</f>
        <v/>
      </c>
    </row>
    <row r="84943">
      <c r="A84943" s="1" t="n">
        <v>84942</v>
      </c>
      <c r="B84943">
        <f>TEXT(84942, "[$-0E0000]yyyy-mm-dd")</f>
        <v/>
      </c>
    </row>
    <row r="84944">
      <c r="A84944" s="1" t="n">
        <v>84943</v>
      </c>
      <c r="B84944">
        <f>TEXT(84943, "[$-0E0000]yyyy-mm-dd")</f>
        <v/>
      </c>
    </row>
    <row r="84945">
      <c r="A84945" s="1" t="n">
        <v>84944</v>
      </c>
      <c r="B84945">
        <f>TEXT(84944, "[$-0E0000]yyyy-mm-dd")</f>
        <v/>
      </c>
    </row>
    <row r="84946">
      <c r="A84946" s="1" t="n">
        <v>84945</v>
      </c>
      <c r="B84946">
        <f>TEXT(84945, "[$-0E0000]yyyy-mm-dd")</f>
        <v/>
      </c>
    </row>
    <row r="84947">
      <c r="A84947" s="1" t="n">
        <v>84946</v>
      </c>
      <c r="B84947">
        <f>TEXT(84946, "[$-0E0000]yyyy-mm-dd")</f>
        <v/>
      </c>
    </row>
    <row r="84948">
      <c r="A84948" s="1" t="n">
        <v>84947</v>
      </c>
      <c r="B84948">
        <f>TEXT(84947, "[$-0E0000]yyyy-mm-dd")</f>
        <v/>
      </c>
    </row>
    <row r="84949">
      <c r="A84949" s="1" t="n">
        <v>84948</v>
      </c>
      <c r="B84949">
        <f>TEXT(84948, "[$-0E0000]yyyy-mm-dd")</f>
        <v/>
      </c>
    </row>
    <row r="84950">
      <c r="A84950" s="1" t="n">
        <v>84949</v>
      </c>
      <c r="B84950">
        <f>TEXT(84949, "[$-0E0000]yyyy-mm-dd")</f>
        <v/>
      </c>
    </row>
    <row r="84951">
      <c r="A84951" s="1" t="n">
        <v>84950</v>
      </c>
      <c r="B84951">
        <f>TEXT(84950, "[$-0E0000]yyyy-mm-dd")</f>
        <v/>
      </c>
    </row>
    <row r="84952">
      <c r="A84952" s="1" t="n">
        <v>84951</v>
      </c>
      <c r="B84952">
        <f>TEXT(84951, "[$-0E0000]yyyy-mm-dd")</f>
        <v/>
      </c>
    </row>
    <row r="84953">
      <c r="A84953" s="1" t="n">
        <v>84952</v>
      </c>
      <c r="B84953">
        <f>TEXT(84952, "[$-0E0000]yyyy-mm-dd")</f>
        <v/>
      </c>
    </row>
    <row r="84954">
      <c r="A84954" s="1" t="n">
        <v>84953</v>
      </c>
      <c r="B84954">
        <f>TEXT(84953, "[$-0E0000]yyyy-mm-dd")</f>
        <v/>
      </c>
    </row>
    <row r="84955">
      <c r="A84955" s="1" t="n">
        <v>84954</v>
      </c>
      <c r="B84955">
        <f>TEXT(84954, "[$-0E0000]yyyy-mm-dd")</f>
        <v/>
      </c>
    </row>
    <row r="84956">
      <c r="A84956" s="1" t="n">
        <v>84955</v>
      </c>
      <c r="B84956">
        <f>TEXT(84955, "[$-0E0000]yyyy-mm-dd")</f>
        <v/>
      </c>
    </row>
    <row r="84957">
      <c r="A84957" s="1" t="n">
        <v>84956</v>
      </c>
      <c r="B84957">
        <f>TEXT(84956, "[$-0E0000]yyyy-mm-dd")</f>
        <v/>
      </c>
    </row>
    <row r="84958">
      <c r="A84958" s="1" t="n">
        <v>84957</v>
      </c>
      <c r="B84958">
        <f>TEXT(84957, "[$-0E0000]yyyy-mm-dd")</f>
        <v/>
      </c>
    </row>
    <row r="84959">
      <c r="A84959" s="1" t="n">
        <v>84958</v>
      </c>
      <c r="B84959">
        <f>TEXT(84958, "[$-0E0000]yyyy-mm-dd")</f>
        <v/>
      </c>
    </row>
    <row r="84960">
      <c r="A84960" s="1" t="n">
        <v>84959</v>
      </c>
      <c r="B84960">
        <f>TEXT(84959, "[$-0E0000]yyyy-mm-dd")</f>
        <v/>
      </c>
    </row>
    <row r="84961">
      <c r="A84961" s="1" t="n">
        <v>84960</v>
      </c>
      <c r="B84961">
        <f>TEXT(84960, "[$-0E0000]yyyy-mm-dd")</f>
        <v/>
      </c>
    </row>
    <row r="84962">
      <c r="A84962" s="1" t="n">
        <v>84961</v>
      </c>
      <c r="B84962">
        <f>TEXT(84961, "[$-0E0000]yyyy-mm-dd")</f>
        <v/>
      </c>
    </row>
    <row r="84963">
      <c r="A84963" s="1" t="n">
        <v>84962</v>
      </c>
      <c r="B84963">
        <f>TEXT(84962, "[$-0E0000]yyyy-mm-dd")</f>
        <v/>
      </c>
    </row>
    <row r="84964">
      <c r="A84964" s="1" t="n">
        <v>84963</v>
      </c>
      <c r="B84964">
        <f>TEXT(84963, "[$-0E0000]yyyy-mm-dd")</f>
        <v/>
      </c>
    </row>
    <row r="84965">
      <c r="A84965" s="1" t="n">
        <v>84964</v>
      </c>
      <c r="B84965">
        <f>TEXT(84964, "[$-0E0000]yyyy-mm-dd")</f>
        <v/>
      </c>
    </row>
    <row r="84966">
      <c r="A84966" s="1" t="n">
        <v>84965</v>
      </c>
      <c r="B84966">
        <f>TEXT(84965, "[$-0E0000]yyyy-mm-dd")</f>
        <v/>
      </c>
    </row>
    <row r="84967">
      <c r="A84967" s="1" t="n">
        <v>84966</v>
      </c>
      <c r="B84967">
        <f>TEXT(84966, "[$-0E0000]yyyy-mm-dd")</f>
        <v/>
      </c>
    </row>
    <row r="84968">
      <c r="A84968" s="1" t="n">
        <v>84967</v>
      </c>
      <c r="B84968">
        <f>TEXT(84967, "[$-0E0000]yyyy-mm-dd")</f>
        <v/>
      </c>
    </row>
    <row r="84969">
      <c r="A84969" s="1" t="n">
        <v>84968</v>
      </c>
      <c r="B84969">
        <f>TEXT(84968, "[$-0E0000]yyyy-mm-dd")</f>
        <v/>
      </c>
    </row>
    <row r="84970">
      <c r="A84970" s="1" t="n">
        <v>84969</v>
      </c>
      <c r="B84970">
        <f>TEXT(84969, "[$-0E0000]yyyy-mm-dd")</f>
        <v/>
      </c>
    </row>
    <row r="84971">
      <c r="A84971" s="1" t="n">
        <v>84970</v>
      </c>
      <c r="B84971">
        <f>TEXT(84970, "[$-0E0000]yyyy-mm-dd")</f>
        <v/>
      </c>
    </row>
    <row r="84972">
      <c r="A84972" s="1" t="n">
        <v>84971</v>
      </c>
      <c r="B84972">
        <f>TEXT(84971, "[$-0E0000]yyyy-mm-dd")</f>
        <v/>
      </c>
    </row>
    <row r="84973">
      <c r="A84973" s="1" t="n">
        <v>84972</v>
      </c>
      <c r="B84973">
        <f>TEXT(84972, "[$-0E0000]yyyy-mm-dd")</f>
        <v/>
      </c>
    </row>
    <row r="84974">
      <c r="A84974" s="1" t="n">
        <v>84973</v>
      </c>
      <c r="B84974">
        <f>TEXT(84973, "[$-0E0000]yyyy-mm-dd")</f>
        <v/>
      </c>
    </row>
    <row r="84975">
      <c r="A84975" s="1" t="n">
        <v>84974</v>
      </c>
      <c r="B84975">
        <f>TEXT(84974, "[$-0E0000]yyyy-mm-dd")</f>
        <v/>
      </c>
    </row>
    <row r="84976">
      <c r="A84976" s="1" t="n">
        <v>84975</v>
      </c>
      <c r="B84976">
        <f>TEXT(84975, "[$-0E0000]yyyy-mm-dd")</f>
        <v/>
      </c>
    </row>
    <row r="84977">
      <c r="A84977" s="1" t="n">
        <v>84976</v>
      </c>
      <c r="B84977">
        <f>TEXT(84976, "[$-0E0000]yyyy-mm-dd")</f>
        <v/>
      </c>
    </row>
    <row r="84978">
      <c r="A84978" s="1" t="n">
        <v>84977</v>
      </c>
      <c r="B84978">
        <f>TEXT(84977, "[$-0E0000]yyyy-mm-dd")</f>
        <v/>
      </c>
    </row>
    <row r="84979">
      <c r="A84979" s="1" t="n">
        <v>84978</v>
      </c>
      <c r="B84979">
        <f>TEXT(84978, "[$-0E0000]yyyy-mm-dd")</f>
        <v/>
      </c>
    </row>
    <row r="84980">
      <c r="A84980" s="1" t="n">
        <v>84979</v>
      </c>
      <c r="B84980">
        <f>TEXT(84979, "[$-0E0000]yyyy-mm-dd")</f>
        <v/>
      </c>
    </row>
    <row r="84981">
      <c r="A84981" s="1" t="n">
        <v>84980</v>
      </c>
      <c r="B84981">
        <f>TEXT(84980, "[$-0E0000]yyyy-mm-dd")</f>
        <v/>
      </c>
    </row>
    <row r="84982">
      <c r="A84982" s="1" t="n">
        <v>84981</v>
      </c>
      <c r="B84982">
        <f>TEXT(84981, "[$-0E0000]yyyy-mm-dd")</f>
        <v/>
      </c>
    </row>
    <row r="84983">
      <c r="A84983" s="1" t="n">
        <v>84982</v>
      </c>
      <c r="B84983">
        <f>TEXT(84982, "[$-0E0000]yyyy-mm-dd")</f>
        <v/>
      </c>
    </row>
    <row r="84984">
      <c r="A84984" s="1" t="n">
        <v>84983</v>
      </c>
      <c r="B84984">
        <f>TEXT(84983, "[$-0E0000]yyyy-mm-dd")</f>
        <v/>
      </c>
    </row>
    <row r="84985">
      <c r="A84985" s="1" t="n">
        <v>84984</v>
      </c>
      <c r="B84985">
        <f>TEXT(84984, "[$-0E0000]yyyy-mm-dd")</f>
        <v/>
      </c>
    </row>
    <row r="84986">
      <c r="A84986" s="1" t="n">
        <v>84985</v>
      </c>
      <c r="B84986">
        <f>TEXT(84985, "[$-0E0000]yyyy-mm-dd")</f>
        <v/>
      </c>
    </row>
    <row r="84987">
      <c r="A84987" s="1" t="n">
        <v>84986</v>
      </c>
      <c r="B84987">
        <f>TEXT(84986, "[$-0E0000]yyyy-mm-dd")</f>
        <v/>
      </c>
    </row>
    <row r="84988">
      <c r="A84988" s="1" t="n">
        <v>84987</v>
      </c>
      <c r="B84988">
        <f>TEXT(84987, "[$-0E0000]yyyy-mm-dd")</f>
        <v/>
      </c>
    </row>
    <row r="84989">
      <c r="A84989" s="1" t="n">
        <v>84988</v>
      </c>
      <c r="B84989">
        <f>TEXT(84988, "[$-0E0000]yyyy-mm-dd")</f>
        <v/>
      </c>
    </row>
    <row r="84990">
      <c r="A84990" s="1" t="n">
        <v>84989</v>
      </c>
      <c r="B84990">
        <f>TEXT(84989, "[$-0E0000]yyyy-mm-dd")</f>
        <v/>
      </c>
    </row>
    <row r="84991">
      <c r="A84991" s="1" t="n">
        <v>84990</v>
      </c>
      <c r="B84991">
        <f>TEXT(84990, "[$-0E0000]yyyy-mm-dd")</f>
        <v/>
      </c>
    </row>
    <row r="84992">
      <c r="A84992" s="1" t="n">
        <v>84991</v>
      </c>
      <c r="B84992">
        <f>TEXT(84991, "[$-0E0000]yyyy-mm-dd")</f>
        <v/>
      </c>
    </row>
    <row r="84993">
      <c r="A84993" s="1" t="n">
        <v>84992</v>
      </c>
      <c r="B84993">
        <f>TEXT(84992, "[$-0E0000]yyyy-mm-dd")</f>
        <v/>
      </c>
    </row>
    <row r="84994">
      <c r="A84994" s="1" t="n">
        <v>84993</v>
      </c>
      <c r="B84994">
        <f>TEXT(84993, "[$-0E0000]yyyy-mm-dd")</f>
        <v/>
      </c>
    </row>
    <row r="84995">
      <c r="A84995" s="1" t="n">
        <v>84994</v>
      </c>
      <c r="B84995">
        <f>TEXT(84994, "[$-0E0000]yyyy-mm-dd")</f>
        <v/>
      </c>
    </row>
    <row r="84996">
      <c r="A84996" s="1" t="n">
        <v>84995</v>
      </c>
      <c r="B84996">
        <f>TEXT(84995, "[$-0E0000]yyyy-mm-dd")</f>
        <v/>
      </c>
    </row>
    <row r="84997">
      <c r="A84997" s="1" t="n">
        <v>84996</v>
      </c>
      <c r="B84997">
        <f>TEXT(84996, "[$-0E0000]yyyy-mm-dd")</f>
        <v/>
      </c>
    </row>
    <row r="84998">
      <c r="A84998" s="1" t="n">
        <v>84997</v>
      </c>
      <c r="B84998">
        <f>TEXT(84997, "[$-0E0000]yyyy-mm-dd")</f>
        <v/>
      </c>
    </row>
    <row r="84999">
      <c r="A84999" s="1" t="n">
        <v>84998</v>
      </c>
      <c r="B84999">
        <f>TEXT(84998, "[$-0E0000]yyyy-mm-dd")</f>
        <v/>
      </c>
    </row>
    <row r="85000">
      <c r="A85000" s="1" t="n">
        <v>84999</v>
      </c>
      <c r="B85000">
        <f>TEXT(84999, "[$-0E0000]yyyy-mm-dd")</f>
        <v/>
      </c>
    </row>
    <row r="85001">
      <c r="A85001" s="1" t="n">
        <v>85000</v>
      </c>
      <c r="B85001">
        <f>TEXT(85000, "[$-0E0000]yyyy-mm-dd")</f>
        <v/>
      </c>
    </row>
    <row r="85002">
      <c r="A85002" s="1" t="n">
        <v>85001</v>
      </c>
      <c r="B85002">
        <f>TEXT(85001, "[$-0E0000]yyyy-mm-dd")</f>
        <v/>
      </c>
    </row>
    <row r="85003">
      <c r="A85003" s="1" t="n">
        <v>85002</v>
      </c>
      <c r="B85003">
        <f>TEXT(85002, "[$-0E0000]yyyy-mm-dd")</f>
        <v/>
      </c>
    </row>
    <row r="85004">
      <c r="A85004" s="1" t="n">
        <v>85003</v>
      </c>
      <c r="B85004">
        <f>TEXT(85003, "[$-0E0000]yyyy-mm-dd")</f>
        <v/>
      </c>
    </row>
    <row r="85005">
      <c r="A85005" s="1" t="n">
        <v>85004</v>
      </c>
      <c r="B85005">
        <f>TEXT(85004, "[$-0E0000]yyyy-mm-dd")</f>
        <v/>
      </c>
    </row>
    <row r="85006">
      <c r="A85006" s="1" t="n">
        <v>85005</v>
      </c>
      <c r="B85006">
        <f>TEXT(85005, "[$-0E0000]yyyy-mm-dd")</f>
        <v/>
      </c>
    </row>
    <row r="85007">
      <c r="A85007" s="1" t="n">
        <v>85006</v>
      </c>
      <c r="B85007">
        <f>TEXT(85006, "[$-0E0000]yyyy-mm-dd")</f>
        <v/>
      </c>
    </row>
    <row r="85008">
      <c r="A85008" s="1" t="n">
        <v>85007</v>
      </c>
      <c r="B85008">
        <f>TEXT(85007, "[$-0E0000]yyyy-mm-dd")</f>
        <v/>
      </c>
    </row>
    <row r="85009">
      <c r="A85009" s="1" t="n">
        <v>85008</v>
      </c>
      <c r="B85009">
        <f>TEXT(85008, "[$-0E0000]yyyy-mm-dd")</f>
        <v/>
      </c>
    </row>
    <row r="85010">
      <c r="A85010" s="1" t="n">
        <v>85009</v>
      </c>
      <c r="B85010">
        <f>TEXT(85009, "[$-0E0000]yyyy-mm-dd")</f>
        <v/>
      </c>
    </row>
    <row r="85011">
      <c r="A85011" s="1" t="n">
        <v>85010</v>
      </c>
      <c r="B85011">
        <f>TEXT(85010, "[$-0E0000]yyyy-mm-dd")</f>
        <v/>
      </c>
    </row>
    <row r="85012">
      <c r="A85012" s="1" t="n">
        <v>85011</v>
      </c>
      <c r="B85012">
        <f>TEXT(85011, "[$-0E0000]yyyy-mm-dd")</f>
        <v/>
      </c>
    </row>
    <row r="85013">
      <c r="A85013" s="1" t="n">
        <v>85012</v>
      </c>
      <c r="B85013">
        <f>TEXT(85012, "[$-0E0000]yyyy-mm-dd")</f>
        <v/>
      </c>
    </row>
    <row r="85014">
      <c r="A85014" s="1" t="n">
        <v>85013</v>
      </c>
      <c r="B85014">
        <f>TEXT(85013, "[$-0E0000]yyyy-mm-dd")</f>
        <v/>
      </c>
    </row>
    <row r="85015">
      <c r="A85015" s="1" t="n">
        <v>85014</v>
      </c>
      <c r="B85015">
        <f>TEXT(85014, "[$-0E0000]yyyy-mm-dd")</f>
        <v/>
      </c>
    </row>
    <row r="85016">
      <c r="A85016" s="1" t="n">
        <v>85015</v>
      </c>
      <c r="B85016">
        <f>TEXT(85015, "[$-0E0000]yyyy-mm-dd")</f>
        <v/>
      </c>
    </row>
    <row r="85017">
      <c r="A85017" s="1" t="n">
        <v>85016</v>
      </c>
      <c r="B85017">
        <f>TEXT(85016, "[$-0E0000]yyyy-mm-dd")</f>
        <v/>
      </c>
    </row>
    <row r="85018">
      <c r="A85018" s="1" t="n">
        <v>85017</v>
      </c>
      <c r="B85018">
        <f>TEXT(85017, "[$-0E0000]yyyy-mm-dd")</f>
        <v/>
      </c>
    </row>
    <row r="85019">
      <c r="A85019" s="1" t="n">
        <v>85018</v>
      </c>
      <c r="B85019">
        <f>TEXT(85018, "[$-0E0000]yyyy-mm-dd")</f>
        <v/>
      </c>
    </row>
    <row r="85020">
      <c r="A85020" s="1" t="n">
        <v>85019</v>
      </c>
      <c r="B85020">
        <f>TEXT(85019, "[$-0E0000]yyyy-mm-dd")</f>
        <v/>
      </c>
    </row>
    <row r="85021">
      <c r="A85021" s="1" t="n">
        <v>85020</v>
      </c>
      <c r="B85021">
        <f>TEXT(85020, "[$-0E0000]yyyy-mm-dd")</f>
        <v/>
      </c>
    </row>
    <row r="85022">
      <c r="A85022" s="1" t="n">
        <v>85021</v>
      </c>
      <c r="B85022">
        <f>TEXT(85021, "[$-0E0000]yyyy-mm-dd")</f>
        <v/>
      </c>
    </row>
    <row r="85023">
      <c r="A85023" s="1" t="n">
        <v>85022</v>
      </c>
      <c r="B85023">
        <f>TEXT(85022, "[$-0E0000]yyyy-mm-dd")</f>
        <v/>
      </c>
    </row>
    <row r="85024">
      <c r="A85024" s="1" t="n">
        <v>85023</v>
      </c>
      <c r="B85024">
        <f>TEXT(85023, "[$-0E0000]yyyy-mm-dd")</f>
        <v/>
      </c>
    </row>
    <row r="85025">
      <c r="A85025" s="1" t="n">
        <v>85024</v>
      </c>
      <c r="B85025">
        <f>TEXT(85024, "[$-0E0000]yyyy-mm-dd")</f>
        <v/>
      </c>
    </row>
    <row r="85026">
      <c r="A85026" s="1" t="n">
        <v>85025</v>
      </c>
      <c r="B85026">
        <f>TEXT(85025, "[$-0E0000]yyyy-mm-dd")</f>
        <v/>
      </c>
    </row>
    <row r="85027">
      <c r="A85027" s="1" t="n">
        <v>85026</v>
      </c>
      <c r="B85027">
        <f>TEXT(85026, "[$-0E0000]yyyy-mm-dd")</f>
        <v/>
      </c>
    </row>
    <row r="85028">
      <c r="A85028" s="1" t="n">
        <v>85027</v>
      </c>
      <c r="B85028">
        <f>TEXT(85027, "[$-0E0000]yyyy-mm-dd")</f>
        <v/>
      </c>
    </row>
    <row r="85029">
      <c r="A85029" s="1" t="n">
        <v>85028</v>
      </c>
      <c r="B85029">
        <f>TEXT(85028, "[$-0E0000]yyyy-mm-dd")</f>
        <v/>
      </c>
    </row>
    <row r="85030">
      <c r="A85030" s="1" t="n">
        <v>85029</v>
      </c>
      <c r="B85030">
        <f>TEXT(85029, "[$-0E0000]yyyy-mm-dd")</f>
        <v/>
      </c>
    </row>
    <row r="85031">
      <c r="A85031" s="1" t="n">
        <v>85030</v>
      </c>
      <c r="B85031">
        <f>TEXT(85030, "[$-0E0000]yyyy-mm-dd")</f>
        <v/>
      </c>
    </row>
    <row r="85032">
      <c r="A85032" s="1" t="n">
        <v>85031</v>
      </c>
      <c r="B85032">
        <f>TEXT(85031, "[$-0E0000]yyyy-mm-dd")</f>
        <v/>
      </c>
    </row>
    <row r="85033">
      <c r="A85033" s="1" t="n">
        <v>85032</v>
      </c>
      <c r="B85033">
        <f>TEXT(85032, "[$-0E0000]yyyy-mm-dd")</f>
        <v/>
      </c>
    </row>
    <row r="85034">
      <c r="A85034" s="1" t="n">
        <v>85033</v>
      </c>
      <c r="B85034">
        <f>TEXT(85033, "[$-0E0000]yyyy-mm-dd")</f>
        <v/>
      </c>
    </row>
    <row r="85035">
      <c r="A85035" s="1" t="n">
        <v>85034</v>
      </c>
      <c r="B85035">
        <f>TEXT(85034, "[$-0E0000]yyyy-mm-dd")</f>
        <v/>
      </c>
    </row>
    <row r="85036">
      <c r="A85036" s="1" t="n">
        <v>85035</v>
      </c>
      <c r="B85036">
        <f>TEXT(85035, "[$-0E0000]yyyy-mm-dd")</f>
        <v/>
      </c>
    </row>
    <row r="85037">
      <c r="A85037" s="1" t="n">
        <v>85036</v>
      </c>
      <c r="B85037">
        <f>TEXT(85036, "[$-0E0000]yyyy-mm-dd")</f>
        <v/>
      </c>
    </row>
    <row r="85038">
      <c r="A85038" s="1" t="n">
        <v>85037</v>
      </c>
      <c r="B85038">
        <f>TEXT(85037, "[$-0E0000]yyyy-mm-dd")</f>
        <v/>
      </c>
    </row>
    <row r="85039">
      <c r="A85039" s="1" t="n">
        <v>85038</v>
      </c>
      <c r="B85039">
        <f>TEXT(85038, "[$-0E0000]yyyy-mm-dd")</f>
        <v/>
      </c>
    </row>
    <row r="85040">
      <c r="A85040" s="1" t="n">
        <v>85039</v>
      </c>
      <c r="B85040">
        <f>TEXT(85039, "[$-0E0000]yyyy-mm-dd")</f>
        <v/>
      </c>
    </row>
    <row r="85041">
      <c r="A85041" s="1" t="n">
        <v>85040</v>
      </c>
      <c r="B85041">
        <f>TEXT(85040, "[$-0E0000]yyyy-mm-dd")</f>
        <v/>
      </c>
    </row>
    <row r="85042">
      <c r="A85042" s="1" t="n">
        <v>85041</v>
      </c>
      <c r="B85042">
        <f>TEXT(85041, "[$-0E0000]yyyy-mm-dd")</f>
        <v/>
      </c>
    </row>
    <row r="85043">
      <c r="A85043" s="1" t="n">
        <v>85042</v>
      </c>
      <c r="B85043">
        <f>TEXT(85042, "[$-0E0000]yyyy-mm-dd")</f>
        <v/>
      </c>
    </row>
    <row r="85044">
      <c r="A85044" s="1" t="n">
        <v>85043</v>
      </c>
      <c r="B85044">
        <f>TEXT(85043, "[$-0E0000]yyyy-mm-dd")</f>
        <v/>
      </c>
    </row>
    <row r="85045">
      <c r="A85045" s="1" t="n">
        <v>85044</v>
      </c>
      <c r="B85045">
        <f>TEXT(85044, "[$-0E0000]yyyy-mm-dd")</f>
        <v/>
      </c>
    </row>
    <row r="85046">
      <c r="A85046" s="1" t="n">
        <v>85045</v>
      </c>
      <c r="B85046">
        <f>TEXT(85045, "[$-0E0000]yyyy-mm-dd")</f>
        <v/>
      </c>
    </row>
    <row r="85047">
      <c r="A85047" s="1" t="n">
        <v>85046</v>
      </c>
      <c r="B85047">
        <f>TEXT(85046, "[$-0E0000]yyyy-mm-dd")</f>
        <v/>
      </c>
    </row>
    <row r="85048">
      <c r="A85048" s="1" t="n">
        <v>85047</v>
      </c>
      <c r="B85048">
        <f>TEXT(85047, "[$-0E0000]yyyy-mm-dd")</f>
        <v/>
      </c>
    </row>
    <row r="85049">
      <c r="A85049" s="1" t="n">
        <v>85048</v>
      </c>
      <c r="B85049">
        <f>TEXT(85048, "[$-0E0000]yyyy-mm-dd")</f>
        <v/>
      </c>
    </row>
    <row r="85050">
      <c r="A85050" s="1" t="n">
        <v>85049</v>
      </c>
      <c r="B85050">
        <f>TEXT(85049, "[$-0E0000]yyyy-mm-dd")</f>
        <v/>
      </c>
    </row>
    <row r="85051">
      <c r="A85051" s="1" t="n">
        <v>85050</v>
      </c>
      <c r="B85051">
        <f>TEXT(85050, "[$-0E0000]yyyy-mm-dd")</f>
        <v/>
      </c>
    </row>
    <row r="85052">
      <c r="A85052" s="1" t="n">
        <v>85051</v>
      </c>
      <c r="B85052">
        <f>TEXT(85051, "[$-0E0000]yyyy-mm-dd")</f>
        <v/>
      </c>
    </row>
    <row r="85053">
      <c r="A85053" s="1" t="n">
        <v>85052</v>
      </c>
      <c r="B85053">
        <f>TEXT(85052, "[$-0E0000]yyyy-mm-dd")</f>
        <v/>
      </c>
    </row>
    <row r="85054">
      <c r="A85054" s="1" t="n">
        <v>85053</v>
      </c>
      <c r="B85054">
        <f>TEXT(85053, "[$-0E0000]yyyy-mm-dd")</f>
        <v/>
      </c>
    </row>
    <row r="85055">
      <c r="A85055" s="1" t="n">
        <v>85054</v>
      </c>
      <c r="B85055">
        <f>TEXT(85054, "[$-0E0000]yyyy-mm-dd")</f>
        <v/>
      </c>
    </row>
    <row r="85056">
      <c r="A85056" s="1" t="n">
        <v>85055</v>
      </c>
      <c r="B85056">
        <f>TEXT(85055, "[$-0E0000]yyyy-mm-dd")</f>
        <v/>
      </c>
    </row>
    <row r="85057">
      <c r="A85057" s="1" t="n">
        <v>85056</v>
      </c>
      <c r="B85057">
        <f>TEXT(85056, "[$-0E0000]yyyy-mm-dd")</f>
        <v/>
      </c>
    </row>
    <row r="85058">
      <c r="A85058" s="1" t="n">
        <v>85057</v>
      </c>
      <c r="B85058">
        <f>TEXT(85057, "[$-0E0000]yyyy-mm-dd")</f>
        <v/>
      </c>
    </row>
    <row r="85059">
      <c r="A85059" s="1" t="n">
        <v>85058</v>
      </c>
      <c r="B85059">
        <f>TEXT(85058, "[$-0E0000]yyyy-mm-dd")</f>
        <v/>
      </c>
    </row>
    <row r="85060">
      <c r="A85060" s="1" t="n">
        <v>85059</v>
      </c>
      <c r="B85060">
        <f>TEXT(85059, "[$-0E0000]yyyy-mm-dd")</f>
        <v/>
      </c>
    </row>
    <row r="85061">
      <c r="A85061" s="1" t="n">
        <v>85060</v>
      </c>
      <c r="B85061">
        <f>TEXT(85060, "[$-0E0000]yyyy-mm-dd")</f>
        <v/>
      </c>
    </row>
    <row r="85062">
      <c r="A85062" s="1" t="n">
        <v>85061</v>
      </c>
      <c r="B85062">
        <f>TEXT(85061, "[$-0E0000]yyyy-mm-dd")</f>
        <v/>
      </c>
    </row>
    <row r="85063">
      <c r="A85063" s="1" t="n">
        <v>85062</v>
      </c>
      <c r="B85063">
        <f>TEXT(85062, "[$-0E0000]yyyy-mm-dd")</f>
        <v/>
      </c>
    </row>
    <row r="85064">
      <c r="A85064" s="1" t="n">
        <v>85063</v>
      </c>
      <c r="B85064">
        <f>TEXT(85063, "[$-0E0000]yyyy-mm-dd")</f>
        <v/>
      </c>
    </row>
    <row r="85065">
      <c r="A85065" s="1" t="n">
        <v>85064</v>
      </c>
      <c r="B85065">
        <f>TEXT(85064, "[$-0E0000]yyyy-mm-dd")</f>
        <v/>
      </c>
    </row>
    <row r="85066">
      <c r="A85066" s="1" t="n">
        <v>85065</v>
      </c>
      <c r="B85066">
        <f>TEXT(85065, "[$-0E0000]yyyy-mm-dd")</f>
        <v/>
      </c>
    </row>
    <row r="85067">
      <c r="A85067" s="1" t="n">
        <v>85066</v>
      </c>
      <c r="B85067">
        <f>TEXT(85066, "[$-0E0000]yyyy-mm-dd")</f>
        <v/>
      </c>
    </row>
    <row r="85068">
      <c r="A85068" s="1" t="n">
        <v>85067</v>
      </c>
      <c r="B85068">
        <f>TEXT(85067, "[$-0E0000]yyyy-mm-dd")</f>
        <v/>
      </c>
    </row>
    <row r="85069">
      <c r="A85069" s="1" t="n">
        <v>85068</v>
      </c>
      <c r="B85069">
        <f>TEXT(85068, "[$-0E0000]yyyy-mm-dd")</f>
        <v/>
      </c>
    </row>
    <row r="85070">
      <c r="A85070" s="1" t="n">
        <v>85069</v>
      </c>
      <c r="B85070">
        <f>TEXT(85069, "[$-0E0000]yyyy-mm-dd")</f>
        <v/>
      </c>
    </row>
    <row r="85071">
      <c r="A85071" s="1" t="n">
        <v>85070</v>
      </c>
      <c r="B85071">
        <f>TEXT(85070, "[$-0E0000]yyyy-mm-dd")</f>
        <v/>
      </c>
    </row>
    <row r="85072">
      <c r="A85072" s="1" t="n">
        <v>85071</v>
      </c>
      <c r="B85072">
        <f>TEXT(85071, "[$-0E0000]yyyy-mm-dd")</f>
        <v/>
      </c>
    </row>
    <row r="85073">
      <c r="A85073" s="1" t="n">
        <v>85072</v>
      </c>
      <c r="B85073">
        <f>TEXT(85072, "[$-0E0000]yyyy-mm-dd")</f>
        <v/>
      </c>
    </row>
    <row r="85074">
      <c r="A85074" s="1" t="n">
        <v>85073</v>
      </c>
      <c r="B85074">
        <f>TEXT(85073, "[$-0E0000]yyyy-mm-dd")</f>
        <v/>
      </c>
    </row>
    <row r="85075">
      <c r="A85075" s="1" t="n">
        <v>85074</v>
      </c>
      <c r="B85075">
        <f>TEXT(85074, "[$-0E0000]yyyy-mm-dd")</f>
        <v/>
      </c>
    </row>
    <row r="85076">
      <c r="A85076" s="1" t="n">
        <v>85075</v>
      </c>
      <c r="B85076">
        <f>TEXT(85075, "[$-0E0000]yyyy-mm-dd")</f>
        <v/>
      </c>
    </row>
    <row r="85077">
      <c r="A85077" s="1" t="n">
        <v>85076</v>
      </c>
      <c r="B85077">
        <f>TEXT(85076, "[$-0E0000]yyyy-mm-dd")</f>
        <v/>
      </c>
    </row>
    <row r="85078">
      <c r="A85078" s="1" t="n">
        <v>85077</v>
      </c>
      <c r="B85078">
        <f>TEXT(85077, "[$-0E0000]yyyy-mm-dd")</f>
        <v/>
      </c>
    </row>
    <row r="85079">
      <c r="A85079" s="1" t="n">
        <v>85078</v>
      </c>
      <c r="B85079">
        <f>TEXT(85078, "[$-0E0000]yyyy-mm-dd")</f>
        <v/>
      </c>
    </row>
    <row r="85080">
      <c r="A85080" s="1" t="n">
        <v>85079</v>
      </c>
      <c r="B85080">
        <f>TEXT(85079, "[$-0E0000]yyyy-mm-dd")</f>
        <v/>
      </c>
    </row>
    <row r="85081">
      <c r="A85081" s="1" t="n">
        <v>85080</v>
      </c>
      <c r="B85081">
        <f>TEXT(85080, "[$-0E0000]yyyy-mm-dd")</f>
        <v/>
      </c>
    </row>
    <row r="85082">
      <c r="A85082" s="1" t="n">
        <v>85081</v>
      </c>
      <c r="B85082">
        <f>TEXT(85081, "[$-0E0000]yyyy-mm-dd")</f>
        <v/>
      </c>
    </row>
    <row r="85083">
      <c r="A85083" s="1" t="n">
        <v>85082</v>
      </c>
      <c r="B85083">
        <f>TEXT(85082, "[$-0E0000]yyyy-mm-dd")</f>
        <v/>
      </c>
    </row>
    <row r="85084">
      <c r="A85084" s="1" t="n">
        <v>85083</v>
      </c>
      <c r="B85084">
        <f>TEXT(85083, "[$-0E0000]yyyy-mm-dd")</f>
        <v/>
      </c>
    </row>
    <row r="85085">
      <c r="A85085" s="1" t="n">
        <v>85084</v>
      </c>
      <c r="B85085">
        <f>TEXT(85084, "[$-0E0000]yyyy-mm-dd")</f>
        <v/>
      </c>
    </row>
    <row r="85086">
      <c r="A85086" s="1" t="n">
        <v>85085</v>
      </c>
      <c r="B85086">
        <f>TEXT(85085, "[$-0E0000]yyyy-mm-dd")</f>
        <v/>
      </c>
    </row>
    <row r="85087">
      <c r="A85087" s="1" t="n">
        <v>85086</v>
      </c>
      <c r="B85087">
        <f>TEXT(85086, "[$-0E0000]yyyy-mm-dd")</f>
        <v/>
      </c>
    </row>
    <row r="85088">
      <c r="A85088" s="1" t="n">
        <v>85087</v>
      </c>
      <c r="B85088">
        <f>TEXT(85087, "[$-0E0000]yyyy-mm-dd")</f>
        <v/>
      </c>
    </row>
    <row r="85089">
      <c r="A85089" s="1" t="n">
        <v>85088</v>
      </c>
      <c r="B85089">
        <f>TEXT(85088, "[$-0E0000]yyyy-mm-dd")</f>
        <v/>
      </c>
    </row>
    <row r="85090">
      <c r="A85090" s="1" t="n">
        <v>85089</v>
      </c>
      <c r="B85090">
        <f>TEXT(85089, "[$-0E0000]yyyy-mm-dd")</f>
        <v/>
      </c>
    </row>
    <row r="85091">
      <c r="A85091" s="1" t="n">
        <v>85090</v>
      </c>
      <c r="B85091">
        <f>TEXT(85090, "[$-0E0000]yyyy-mm-dd")</f>
        <v/>
      </c>
    </row>
    <row r="85092">
      <c r="A85092" s="1" t="n">
        <v>85091</v>
      </c>
      <c r="B85092">
        <f>TEXT(85091, "[$-0E0000]yyyy-mm-dd")</f>
        <v/>
      </c>
    </row>
    <row r="85093">
      <c r="A85093" s="1" t="n">
        <v>85092</v>
      </c>
      <c r="B85093">
        <f>TEXT(85092, "[$-0E0000]yyyy-mm-dd")</f>
        <v/>
      </c>
    </row>
    <row r="85094">
      <c r="A85094" s="1" t="n">
        <v>85093</v>
      </c>
      <c r="B85094">
        <f>TEXT(85093, "[$-0E0000]yyyy-mm-dd")</f>
        <v/>
      </c>
    </row>
    <row r="85095">
      <c r="A85095" s="1" t="n">
        <v>85094</v>
      </c>
      <c r="B85095">
        <f>TEXT(85094, "[$-0E0000]yyyy-mm-dd")</f>
        <v/>
      </c>
    </row>
    <row r="85096">
      <c r="A85096" s="1" t="n">
        <v>85095</v>
      </c>
      <c r="B85096">
        <f>TEXT(85095, "[$-0E0000]yyyy-mm-dd")</f>
        <v/>
      </c>
    </row>
    <row r="85097">
      <c r="A85097" s="1" t="n">
        <v>85096</v>
      </c>
      <c r="B85097">
        <f>TEXT(85096, "[$-0E0000]yyyy-mm-dd")</f>
        <v/>
      </c>
    </row>
    <row r="85098">
      <c r="A85098" s="1" t="n">
        <v>85097</v>
      </c>
      <c r="B85098">
        <f>TEXT(85097, "[$-0E0000]yyyy-mm-dd")</f>
        <v/>
      </c>
    </row>
    <row r="85099">
      <c r="A85099" s="1" t="n">
        <v>85098</v>
      </c>
      <c r="B85099">
        <f>TEXT(85098, "[$-0E0000]yyyy-mm-dd")</f>
        <v/>
      </c>
    </row>
    <row r="85100">
      <c r="A85100" s="1" t="n">
        <v>85099</v>
      </c>
      <c r="B85100">
        <f>TEXT(85099, "[$-0E0000]yyyy-mm-dd")</f>
        <v/>
      </c>
    </row>
    <row r="85101">
      <c r="A85101" s="1" t="n">
        <v>85100</v>
      </c>
      <c r="B85101">
        <f>TEXT(85100, "[$-0E0000]yyyy-mm-dd")</f>
        <v/>
      </c>
    </row>
    <row r="85102">
      <c r="A85102" s="1" t="n">
        <v>85101</v>
      </c>
      <c r="B85102">
        <f>TEXT(85101, "[$-0E0000]yyyy-mm-dd")</f>
        <v/>
      </c>
    </row>
    <row r="85103">
      <c r="A85103" s="1" t="n">
        <v>85102</v>
      </c>
      <c r="B85103">
        <f>TEXT(85102, "[$-0E0000]yyyy-mm-dd")</f>
        <v/>
      </c>
    </row>
    <row r="85104">
      <c r="A85104" s="1" t="n">
        <v>85103</v>
      </c>
      <c r="B85104">
        <f>TEXT(85103, "[$-0E0000]yyyy-mm-dd")</f>
        <v/>
      </c>
    </row>
    <row r="85105">
      <c r="A85105" s="1" t="n">
        <v>85104</v>
      </c>
      <c r="B85105">
        <f>TEXT(85104, "[$-0E0000]yyyy-mm-dd")</f>
        <v/>
      </c>
    </row>
    <row r="85106">
      <c r="A85106" s="1" t="n">
        <v>85105</v>
      </c>
      <c r="B85106">
        <f>TEXT(85105, "[$-0E0000]yyyy-mm-dd")</f>
        <v/>
      </c>
    </row>
    <row r="85107">
      <c r="A85107" s="1" t="n">
        <v>85106</v>
      </c>
      <c r="B85107">
        <f>TEXT(85106, "[$-0E0000]yyyy-mm-dd")</f>
        <v/>
      </c>
    </row>
    <row r="85108">
      <c r="A85108" s="1" t="n">
        <v>85107</v>
      </c>
      <c r="B85108">
        <f>TEXT(85107, "[$-0E0000]yyyy-mm-dd")</f>
        <v/>
      </c>
    </row>
    <row r="85109">
      <c r="A85109" s="1" t="n">
        <v>85108</v>
      </c>
      <c r="B85109">
        <f>TEXT(85108, "[$-0E0000]yyyy-mm-dd")</f>
        <v/>
      </c>
    </row>
    <row r="85110">
      <c r="A85110" s="1" t="n">
        <v>85109</v>
      </c>
      <c r="B85110">
        <f>TEXT(85109, "[$-0E0000]yyyy-mm-dd")</f>
        <v/>
      </c>
    </row>
    <row r="85111">
      <c r="A85111" s="1" t="n">
        <v>85110</v>
      </c>
      <c r="B85111">
        <f>TEXT(85110, "[$-0E0000]yyyy-mm-dd")</f>
        <v/>
      </c>
    </row>
    <row r="85112">
      <c r="A85112" s="1" t="n">
        <v>85111</v>
      </c>
      <c r="B85112">
        <f>TEXT(85111, "[$-0E0000]yyyy-mm-dd")</f>
        <v/>
      </c>
    </row>
    <row r="85113">
      <c r="A85113" s="1" t="n">
        <v>85112</v>
      </c>
      <c r="B85113">
        <f>TEXT(85112, "[$-0E0000]yyyy-mm-dd")</f>
        <v/>
      </c>
    </row>
    <row r="85114">
      <c r="A85114" s="1" t="n">
        <v>85113</v>
      </c>
      <c r="B85114">
        <f>TEXT(85113, "[$-0E0000]yyyy-mm-dd")</f>
        <v/>
      </c>
    </row>
    <row r="85115">
      <c r="A85115" s="1" t="n">
        <v>85114</v>
      </c>
      <c r="B85115">
        <f>TEXT(85114, "[$-0E0000]yyyy-mm-dd")</f>
        <v/>
      </c>
    </row>
    <row r="85116">
      <c r="A85116" s="1" t="n">
        <v>85115</v>
      </c>
      <c r="B85116">
        <f>TEXT(85115, "[$-0E0000]yyyy-mm-dd")</f>
        <v/>
      </c>
    </row>
    <row r="85117">
      <c r="A85117" s="1" t="n">
        <v>85116</v>
      </c>
      <c r="B85117">
        <f>TEXT(85116, "[$-0E0000]yyyy-mm-dd")</f>
        <v/>
      </c>
    </row>
    <row r="85118">
      <c r="A85118" s="1" t="n">
        <v>85117</v>
      </c>
      <c r="B85118">
        <f>TEXT(85117, "[$-0E0000]yyyy-mm-dd")</f>
        <v/>
      </c>
    </row>
    <row r="85119">
      <c r="A85119" s="1" t="n">
        <v>85118</v>
      </c>
      <c r="B85119">
        <f>TEXT(85118, "[$-0E0000]yyyy-mm-dd")</f>
        <v/>
      </c>
    </row>
    <row r="85120">
      <c r="A85120" s="1" t="n">
        <v>85119</v>
      </c>
      <c r="B85120">
        <f>TEXT(85119, "[$-0E0000]yyyy-mm-dd")</f>
        <v/>
      </c>
    </row>
    <row r="85121">
      <c r="A85121" s="1" t="n">
        <v>85120</v>
      </c>
      <c r="B85121">
        <f>TEXT(85120, "[$-0E0000]yyyy-mm-dd")</f>
        <v/>
      </c>
    </row>
    <row r="85122">
      <c r="A85122" s="1" t="n">
        <v>85121</v>
      </c>
      <c r="B85122">
        <f>TEXT(85121, "[$-0E0000]yyyy-mm-dd")</f>
        <v/>
      </c>
    </row>
    <row r="85123">
      <c r="A85123" s="1" t="n">
        <v>85122</v>
      </c>
      <c r="B85123">
        <f>TEXT(85122, "[$-0E0000]yyyy-mm-dd")</f>
        <v/>
      </c>
    </row>
    <row r="85124">
      <c r="A85124" s="1" t="n">
        <v>85123</v>
      </c>
      <c r="B85124">
        <f>TEXT(85123, "[$-0E0000]yyyy-mm-dd")</f>
        <v/>
      </c>
    </row>
    <row r="85125">
      <c r="A85125" s="1" t="n">
        <v>85124</v>
      </c>
      <c r="B85125">
        <f>TEXT(85124, "[$-0E0000]yyyy-mm-dd")</f>
        <v/>
      </c>
    </row>
    <row r="85126">
      <c r="A85126" s="1" t="n">
        <v>85125</v>
      </c>
      <c r="B85126">
        <f>TEXT(85125, "[$-0E0000]yyyy-mm-dd")</f>
        <v/>
      </c>
    </row>
    <row r="85127">
      <c r="A85127" s="1" t="n">
        <v>85126</v>
      </c>
      <c r="B85127">
        <f>TEXT(85126, "[$-0E0000]yyyy-mm-dd")</f>
        <v/>
      </c>
    </row>
    <row r="85128">
      <c r="A85128" s="1" t="n">
        <v>85127</v>
      </c>
      <c r="B85128">
        <f>TEXT(85127, "[$-0E0000]yyyy-mm-dd")</f>
        <v/>
      </c>
    </row>
    <row r="85129">
      <c r="A85129" s="1" t="n">
        <v>85128</v>
      </c>
      <c r="B85129">
        <f>TEXT(85128, "[$-0E0000]yyyy-mm-dd")</f>
        <v/>
      </c>
    </row>
    <row r="85130">
      <c r="A85130" s="1" t="n">
        <v>85129</v>
      </c>
      <c r="B85130">
        <f>TEXT(85129, "[$-0E0000]yyyy-mm-dd")</f>
        <v/>
      </c>
    </row>
    <row r="85131">
      <c r="A85131" s="1" t="n">
        <v>85130</v>
      </c>
      <c r="B85131">
        <f>TEXT(85130, "[$-0E0000]yyyy-mm-dd")</f>
        <v/>
      </c>
    </row>
    <row r="85132">
      <c r="A85132" s="1" t="n">
        <v>85131</v>
      </c>
      <c r="B85132">
        <f>TEXT(85131, "[$-0E0000]yyyy-mm-dd")</f>
        <v/>
      </c>
    </row>
    <row r="85133">
      <c r="A85133" s="1" t="n">
        <v>85132</v>
      </c>
      <c r="B85133">
        <f>TEXT(85132, "[$-0E0000]yyyy-mm-dd")</f>
        <v/>
      </c>
    </row>
    <row r="85134">
      <c r="A85134" s="1" t="n">
        <v>85133</v>
      </c>
      <c r="B85134">
        <f>TEXT(85133, "[$-0E0000]yyyy-mm-dd")</f>
        <v/>
      </c>
    </row>
    <row r="85135">
      <c r="A85135" s="1" t="n">
        <v>85134</v>
      </c>
      <c r="B85135">
        <f>TEXT(85134, "[$-0E0000]yyyy-mm-dd")</f>
        <v/>
      </c>
    </row>
    <row r="85136">
      <c r="A85136" s="1" t="n">
        <v>85135</v>
      </c>
      <c r="B85136">
        <f>TEXT(85135, "[$-0E0000]yyyy-mm-dd")</f>
        <v/>
      </c>
    </row>
    <row r="85137">
      <c r="A85137" s="1" t="n">
        <v>85136</v>
      </c>
      <c r="B85137">
        <f>TEXT(85136, "[$-0E0000]yyyy-mm-dd")</f>
        <v/>
      </c>
    </row>
    <row r="85138">
      <c r="A85138" s="1" t="n">
        <v>85137</v>
      </c>
      <c r="B85138">
        <f>TEXT(85137, "[$-0E0000]yyyy-mm-dd")</f>
        <v/>
      </c>
    </row>
    <row r="85139">
      <c r="A85139" s="1" t="n">
        <v>85138</v>
      </c>
      <c r="B85139">
        <f>TEXT(85138, "[$-0E0000]yyyy-mm-dd")</f>
        <v/>
      </c>
    </row>
    <row r="85140">
      <c r="A85140" s="1" t="n">
        <v>85139</v>
      </c>
      <c r="B85140">
        <f>TEXT(85139, "[$-0E0000]yyyy-mm-dd")</f>
        <v/>
      </c>
    </row>
    <row r="85141">
      <c r="A85141" s="1" t="n">
        <v>85140</v>
      </c>
      <c r="B85141">
        <f>TEXT(85140, "[$-0E0000]yyyy-mm-dd")</f>
        <v/>
      </c>
    </row>
    <row r="85142">
      <c r="A85142" s="1" t="n">
        <v>85141</v>
      </c>
      <c r="B85142">
        <f>TEXT(85141, "[$-0E0000]yyyy-mm-dd")</f>
        <v/>
      </c>
    </row>
    <row r="85143">
      <c r="A85143" s="1" t="n">
        <v>85142</v>
      </c>
      <c r="B85143">
        <f>TEXT(85142, "[$-0E0000]yyyy-mm-dd")</f>
        <v/>
      </c>
    </row>
    <row r="85144">
      <c r="A85144" s="1" t="n">
        <v>85143</v>
      </c>
      <c r="B85144">
        <f>TEXT(85143, "[$-0E0000]yyyy-mm-dd")</f>
        <v/>
      </c>
    </row>
    <row r="85145">
      <c r="A85145" s="1" t="n">
        <v>85144</v>
      </c>
      <c r="B85145">
        <f>TEXT(85144, "[$-0E0000]yyyy-mm-dd")</f>
        <v/>
      </c>
    </row>
    <row r="85146">
      <c r="A85146" s="1" t="n">
        <v>85145</v>
      </c>
      <c r="B85146">
        <f>TEXT(85145, "[$-0E0000]yyyy-mm-dd")</f>
        <v/>
      </c>
    </row>
    <row r="85147">
      <c r="A85147" s="1" t="n">
        <v>85146</v>
      </c>
      <c r="B85147">
        <f>TEXT(85146, "[$-0E0000]yyyy-mm-dd")</f>
        <v/>
      </c>
    </row>
    <row r="85148">
      <c r="A85148" s="1" t="n">
        <v>85147</v>
      </c>
      <c r="B85148">
        <f>TEXT(85147, "[$-0E0000]yyyy-mm-dd")</f>
        <v/>
      </c>
    </row>
    <row r="85149">
      <c r="A85149" s="1" t="n">
        <v>85148</v>
      </c>
      <c r="B85149">
        <f>TEXT(85148, "[$-0E0000]yyyy-mm-dd")</f>
        <v/>
      </c>
    </row>
    <row r="85150">
      <c r="A85150" s="1" t="n">
        <v>85149</v>
      </c>
      <c r="B85150">
        <f>TEXT(85149, "[$-0E0000]yyyy-mm-dd")</f>
        <v/>
      </c>
    </row>
    <row r="85151">
      <c r="A85151" s="1" t="n">
        <v>85150</v>
      </c>
      <c r="B85151">
        <f>TEXT(85150, "[$-0E0000]yyyy-mm-dd")</f>
        <v/>
      </c>
    </row>
    <row r="85152">
      <c r="A85152" s="1" t="n">
        <v>85151</v>
      </c>
      <c r="B85152">
        <f>TEXT(85151, "[$-0E0000]yyyy-mm-dd")</f>
        <v/>
      </c>
    </row>
    <row r="85153">
      <c r="A85153" s="1" t="n">
        <v>85152</v>
      </c>
      <c r="B85153">
        <f>TEXT(85152, "[$-0E0000]yyyy-mm-dd")</f>
        <v/>
      </c>
    </row>
    <row r="85154">
      <c r="A85154" s="1" t="n">
        <v>85153</v>
      </c>
      <c r="B85154">
        <f>TEXT(85153, "[$-0E0000]yyyy-mm-dd")</f>
        <v/>
      </c>
    </row>
    <row r="85155">
      <c r="A85155" s="1" t="n">
        <v>85154</v>
      </c>
      <c r="B85155">
        <f>TEXT(85154, "[$-0E0000]yyyy-mm-dd")</f>
        <v/>
      </c>
    </row>
    <row r="85156">
      <c r="A85156" s="1" t="n">
        <v>85155</v>
      </c>
      <c r="B85156">
        <f>TEXT(85155, "[$-0E0000]yyyy-mm-dd")</f>
        <v/>
      </c>
    </row>
    <row r="85157">
      <c r="A85157" s="1" t="n">
        <v>85156</v>
      </c>
      <c r="B85157">
        <f>TEXT(85156, "[$-0E0000]yyyy-mm-dd")</f>
        <v/>
      </c>
    </row>
    <row r="85158">
      <c r="A85158" s="1" t="n">
        <v>85157</v>
      </c>
      <c r="B85158">
        <f>TEXT(85157, "[$-0E0000]yyyy-mm-dd")</f>
        <v/>
      </c>
    </row>
    <row r="85159">
      <c r="A85159" s="1" t="n">
        <v>85158</v>
      </c>
      <c r="B85159">
        <f>TEXT(85158, "[$-0E0000]yyyy-mm-dd")</f>
        <v/>
      </c>
    </row>
    <row r="85160">
      <c r="A85160" s="1" t="n">
        <v>85159</v>
      </c>
      <c r="B85160">
        <f>TEXT(85159, "[$-0E0000]yyyy-mm-dd")</f>
        <v/>
      </c>
    </row>
    <row r="85161">
      <c r="A85161" s="1" t="n">
        <v>85160</v>
      </c>
      <c r="B85161">
        <f>TEXT(85160, "[$-0E0000]yyyy-mm-dd")</f>
        <v/>
      </c>
    </row>
    <row r="85162">
      <c r="A85162" s="1" t="n">
        <v>85161</v>
      </c>
      <c r="B85162">
        <f>TEXT(85161, "[$-0E0000]yyyy-mm-dd")</f>
        <v/>
      </c>
    </row>
    <row r="85163">
      <c r="A85163" s="1" t="n">
        <v>85162</v>
      </c>
      <c r="B85163">
        <f>TEXT(85162, "[$-0E0000]yyyy-mm-dd")</f>
        <v/>
      </c>
    </row>
    <row r="85164">
      <c r="A85164" s="1" t="n">
        <v>85163</v>
      </c>
      <c r="B85164">
        <f>TEXT(85163, "[$-0E0000]yyyy-mm-dd")</f>
        <v/>
      </c>
    </row>
    <row r="85165">
      <c r="A85165" s="1" t="n">
        <v>85164</v>
      </c>
      <c r="B85165">
        <f>TEXT(85164, "[$-0E0000]yyyy-mm-dd")</f>
        <v/>
      </c>
    </row>
    <row r="85166">
      <c r="A85166" s="1" t="n">
        <v>85165</v>
      </c>
      <c r="B85166">
        <f>TEXT(85165, "[$-0E0000]yyyy-mm-dd")</f>
        <v/>
      </c>
    </row>
    <row r="85167">
      <c r="A85167" s="1" t="n">
        <v>85166</v>
      </c>
      <c r="B85167">
        <f>TEXT(85166, "[$-0E0000]yyyy-mm-dd")</f>
        <v/>
      </c>
    </row>
    <row r="85168">
      <c r="A85168" s="1" t="n">
        <v>85167</v>
      </c>
      <c r="B85168">
        <f>TEXT(85167, "[$-0E0000]yyyy-mm-dd")</f>
        <v/>
      </c>
    </row>
    <row r="85169">
      <c r="A85169" s="1" t="n">
        <v>85168</v>
      </c>
      <c r="B85169">
        <f>TEXT(85168, "[$-0E0000]yyyy-mm-dd")</f>
        <v/>
      </c>
    </row>
    <row r="85170">
      <c r="A85170" s="1" t="n">
        <v>85169</v>
      </c>
      <c r="B85170">
        <f>TEXT(85169, "[$-0E0000]yyyy-mm-dd")</f>
        <v/>
      </c>
    </row>
    <row r="85171">
      <c r="A85171" s="1" t="n">
        <v>85170</v>
      </c>
      <c r="B85171">
        <f>TEXT(85170, "[$-0E0000]yyyy-mm-dd")</f>
        <v/>
      </c>
    </row>
    <row r="85172">
      <c r="A85172" s="1" t="n">
        <v>85171</v>
      </c>
      <c r="B85172">
        <f>TEXT(85171, "[$-0E0000]yyyy-mm-dd")</f>
        <v/>
      </c>
    </row>
    <row r="85173">
      <c r="A85173" s="1" t="n">
        <v>85172</v>
      </c>
      <c r="B85173">
        <f>TEXT(85172, "[$-0E0000]yyyy-mm-dd")</f>
        <v/>
      </c>
    </row>
    <row r="85174">
      <c r="A85174" s="1" t="n">
        <v>85173</v>
      </c>
      <c r="B85174">
        <f>TEXT(85173, "[$-0E0000]yyyy-mm-dd")</f>
        <v/>
      </c>
    </row>
    <row r="85175">
      <c r="A85175" s="1" t="n">
        <v>85174</v>
      </c>
      <c r="B85175">
        <f>TEXT(85174, "[$-0E0000]yyyy-mm-dd")</f>
        <v/>
      </c>
    </row>
    <row r="85176">
      <c r="A85176" s="1" t="n">
        <v>85175</v>
      </c>
      <c r="B85176">
        <f>TEXT(85175, "[$-0E0000]yyyy-mm-dd")</f>
        <v/>
      </c>
    </row>
    <row r="85177">
      <c r="A85177" s="1" t="n">
        <v>85176</v>
      </c>
      <c r="B85177">
        <f>TEXT(85176, "[$-0E0000]yyyy-mm-dd")</f>
        <v/>
      </c>
    </row>
    <row r="85178">
      <c r="A85178" s="1" t="n">
        <v>85177</v>
      </c>
      <c r="B85178">
        <f>TEXT(85177, "[$-0E0000]yyyy-mm-dd")</f>
        <v/>
      </c>
    </row>
    <row r="85179">
      <c r="A85179" s="1" t="n">
        <v>85178</v>
      </c>
      <c r="B85179">
        <f>TEXT(85178, "[$-0E0000]yyyy-mm-dd")</f>
        <v/>
      </c>
    </row>
    <row r="85180">
      <c r="A85180" s="1" t="n">
        <v>85179</v>
      </c>
      <c r="B85180">
        <f>TEXT(85179, "[$-0E0000]yyyy-mm-dd")</f>
        <v/>
      </c>
    </row>
    <row r="85181">
      <c r="A85181" s="1" t="n">
        <v>85180</v>
      </c>
      <c r="B85181">
        <f>TEXT(85180, "[$-0E0000]yyyy-mm-dd")</f>
        <v/>
      </c>
    </row>
    <row r="85182">
      <c r="A85182" s="1" t="n">
        <v>85181</v>
      </c>
      <c r="B85182">
        <f>TEXT(85181, "[$-0E0000]yyyy-mm-dd")</f>
        <v/>
      </c>
    </row>
    <row r="85183">
      <c r="A85183" s="1" t="n">
        <v>85182</v>
      </c>
      <c r="B85183">
        <f>TEXT(85182, "[$-0E0000]yyyy-mm-dd")</f>
        <v/>
      </c>
    </row>
    <row r="85184">
      <c r="A85184" s="1" t="n">
        <v>85183</v>
      </c>
      <c r="B85184">
        <f>TEXT(85183, "[$-0E0000]yyyy-mm-dd")</f>
        <v/>
      </c>
    </row>
    <row r="85185">
      <c r="A85185" s="1" t="n">
        <v>85184</v>
      </c>
      <c r="B85185">
        <f>TEXT(85184, "[$-0E0000]yyyy-mm-dd")</f>
        <v/>
      </c>
    </row>
    <row r="85186">
      <c r="A85186" s="1" t="n">
        <v>85185</v>
      </c>
      <c r="B85186">
        <f>TEXT(85185, "[$-0E0000]yyyy-mm-dd")</f>
        <v/>
      </c>
    </row>
    <row r="85187">
      <c r="A85187" s="1" t="n">
        <v>85186</v>
      </c>
      <c r="B85187">
        <f>TEXT(85186, "[$-0E0000]yyyy-mm-dd")</f>
        <v/>
      </c>
    </row>
    <row r="85188">
      <c r="A85188" s="1" t="n">
        <v>85187</v>
      </c>
      <c r="B85188">
        <f>TEXT(85187, "[$-0E0000]yyyy-mm-dd")</f>
        <v/>
      </c>
    </row>
    <row r="85189">
      <c r="A85189" s="1" t="n">
        <v>85188</v>
      </c>
      <c r="B85189">
        <f>TEXT(85188, "[$-0E0000]yyyy-mm-dd")</f>
        <v/>
      </c>
    </row>
    <row r="85190">
      <c r="A85190" s="1" t="n">
        <v>85189</v>
      </c>
      <c r="B85190">
        <f>TEXT(85189, "[$-0E0000]yyyy-mm-dd")</f>
        <v/>
      </c>
    </row>
    <row r="85191">
      <c r="A85191" s="1" t="n">
        <v>85190</v>
      </c>
      <c r="B85191">
        <f>TEXT(85190, "[$-0E0000]yyyy-mm-dd")</f>
        <v/>
      </c>
    </row>
    <row r="85192">
      <c r="A85192" s="1" t="n">
        <v>85191</v>
      </c>
      <c r="B85192">
        <f>TEXT(85191, "[$-0E0000]yyyy-mm-dd")</f>
        <v/>
      </c>
    </row>
    <row r="85193">
      <c r="A85193" s="1" t="n">
        <v>85192</v>
      </c>
      <c r="B85193">
        <f>TEXT(85192, "[$-0E0000]yyyy-mm-dd")</f>
        <v/>
      </c>
    </row>
    <row r="85194">
      <c r="A85194" s="1" t="n">
        <v>85193</v>
      </c>
      <c r="B85194">
        <f>TEXT(85193, "[$-0E0000]yyyy-mm-dd")</f>
        <v/>
      </c>
    </row>
    <row r="85195">
      <c r="A85195" s="1" t="n">
        <v>85194</v>
      </c>
      <c r="B85195">
        <f>TEXT(85194, "[$-0E0000]yyyy-mm-dd")</f>
        <v/>
      </c>
    </row>
    <row r="85196">
      <c r="A85196" s="1" t="n">
        <v>85195</v>
      </c>
      <c r="B85196">
        <f>TEXT(85195, "[$-0E0000]yyyy-mm-dd")</f>
        <v/>
      </c>
    </row>
    <row r="85197">
      <c r="A85197" s="1" t="n">
        <v>85196</v>
      </c>
      <c r="B85197">
        <f>TEXT(85196, "[$-0E0000]yyyy-mm-dd")</f>
        <v/>
      </c>
    </row>
    <row r="85198">
      <c r="A85198" s="1" t="n">
        <v>85197</v>
      </c>
      <c r="B85198">
        <f>TEXT(85197, "[$-0E0000]yyyy-mm-dd")</f>
        <v/>
      </c>
    </row>
    <row r="85199">
      <c r="A85199" s="1" t="n">
        <v>85198</v>
      </c>
      <c r="B85199">
        <f>TEXT(85198, "[$-0E0000]yyyy-mm-dd")</f>
        <v/>
      </c>
    </row>
    <row r="85200">
      <c r="A85200" s="1" t="n">
        <v>85199</v>
      </c>
      <c r="B85200">
        <f>TEXT(85199, "[$-0E0000]yyyy-mm-dd")</f>
        <v/>
      </c>
    </row>
    <row r="85201">
      <c r="A85201" s="1" t="n">
        <v>85200</v>
      </c>
      <c r="B85201">
        <f>TEXT(85200, "[$-0E0000]yyyy-mm-dd")</f>
        <v/>
      </c>
    </row>
    <row r="85202">
      <c r="A85202" s="1" t="n">
        <v>85201</v>
      </c>
      <c r="B85202">
        <f>TEXT(85201, "[$-0E0000]yyyy-mm-dd")</f>
        <v/>
      </c>
    </row>
    <row r="85203">
      <c r="A85203" s="1" t="n">
        <v>85202</v>
      </c>
      <c r="B85203">
        <f>TEXT(85202, "[$-0E0000]yyyy-mm-dd")</f>
        <v/>
      </c>
    </row>
    <row r="85204">
      <c r="A85204" s="1" t="n">
        <v>85203</v>
      </c>
      <c r="B85204">
        <f>TEXT(85203, "[$-0E0000]yyyy-mm-dd")</f>
        <v/>
      </c>
    </row>
    <row r="85205">
      <c r="A85205" s="1" t="n">
        <v>85204</v>
      </c>
      <c r="B85205">
        <f>TEXT(85204, "[$-0E0000]yyyy-mm-dd")</f>
        <v/>
      </c>
    </row>
    <row r="85206">
      <c r="A85206" s="1" t="n">
        <v>85205</v>
      </c>
      <c r="B85206">
        <f>TEXT(85205, "[$-0E0000]yyyy-mm-dd")</f>
        <v/>
      </c>
    </row>
    <row r="85207">
      <c r="A85207" s="1" t="n">
        <v>85206</v>
      </c>
      <c r="B85207">
        <f>TEXT(85206, "[$-0E0000]yyyy-mm-dd")</f>
        <v/>
      </c>
    </row>
    <row r="85208">
      <c r="A85208" s="1" t="n">
        <v>85207</v>
      </c>
      <c r="B85208">
        <f>TEXT(85207, "[$-0E0000]yyyy-mm-dd")</f>
        <v/>
      </c>
    </row>
    <row r="85209">
      <c r="A85209" s="1" t="n">
        <v>85208</v>
      </c>
      <c r="B85209">
        <f>TEXT(85208, "[$-0E0000]yyyy-mm-dd")</f>
        <v/>
      </c>
    </row>
    <row r="85210">
      <c r="A85210" s="1" t="n">
        <v>85209</v>
      </c>
      <c r="B85210">
        <f>TEXT(85209, "[$-0E0000]yyyy-mm-dd")</f>
        <v/>
      </c>
    </row>
    <row r="85211">
      <c r="A85211" s="1" t="n">
        <v>85210</v>
      </c>
      <c r="B85211">
        <f>TEXT(85210, "[$-0E0000]yyyy-mm-dd")</f>
        <v/>
      </c>
    </row>
    <row r="85212">
      <c r="A85212" s="1" t="n">
        <v>85211</v>
      </c>
      <c r="B85212">
        <f>TEXT(85211, "[$-0E0000]yyyy-mm-dd")</f>
        <v/>
      </c>
    </row>
    <row r="85213">
      <c r="A85213" s="1" t="n">
        <v>85212</v>
      </c>
      <c r="B85213">
        <f>TEXT(85212, "[$-0E0000]yyyy-mm-dd")</f>
        <v/>
      </c>
    </row>
    <row r="85214">
      <c r="A85214" s="1" t="n">
        <v>85213</v>
      </c>
      <c r="B85214">
        <f>TEXT(85213, "[$-0E0000]yyyy-mm-dd")</f>
        <v/>
      </c>
    </row>
    <row r="85215">
      <c r="A85215" s="1" t="n">
        <v>85214</v>
      </c>
      <c r="B85215">
        <f>TEXT(85214, "[$-0E0000]yyyy-mm-dd")</f>
        <v/>
      </c>
    </row>
    <row r="85216">
      <c r="A85216" s="1" t="n">
        <v>85215</v>
      </c>
      <c r="B85216">
        <f>TEXT(85215, "[$-0E0000]yyyy-mm-dd")</f>
        <v/>
      </c>
    </row>
    <row r="85217">
      <c r="A85217" s="1" t="n">
        <v>85216</v>
      </c>
      <c r="B85217">
        <f>TEXT(85216, "[$-0E0000]yyyy-mm-dd")</f>
        <v/>
      </c>
    </row>
    <row r="85218">
      <c r="A85218" s="1" t="n">
        <v>85217</v>
      </c>
      <c r="B85218">
        <f>TEXT(85217, "[$-0E0000]yyyy-mm-dd")</f>
        <v/>
      </c>
    </row>
    <row r="85219">
      <c r="A85219" s="1" t="n">
        <v>85218</v>
      </c>
      <c r="B85219">
        <f>TEXT(85218, "[$-0E0000]yyyy-mm-dd")</f>
        <v/>
      </c>
    </row>
    <row r="85220">
      <c r="A85220" s="1" t="n">
        <v>85219</v>
      </c>
      <c r="B85220">
        <f>TEXT(85219, "[$-0E0000]yyyy-mm-dd")</f>
        <v/>
      </c>
    </row>
    <row r="85221">
      <c r="A85221" s="1" t="n">
        <v>85220</v>
      </c>
      <c r="B85221">
        <f>TEXT(85220, "[$-0E0000]yyyy-mm-dd")</f>
        <v/>
      </c>
    </row>
    <row r="85222">
      <c r="A85222" s="1" t="n">
        <v>85221</v>
      </c>
      <c r="B85222">
        <f>TEXT(85221, "[$-0E0000]yyyy-mm-dd")</f>
        <v/>
      </c>
    </row>
    <row r="85223">
      <c r="A85223" s="1" t="n">
        <v>85222</v>
      </c>
      <c r="B85223">
        <f>TEXT(85222, "[$-0E0000]yyyy-mm-dd")</f>
        <v/>
      </c>
    </row>
    <row r="85224">
      <c r="A85224" s="1" t="n">
        <v>85223</v>
      </c>
      <c r="B85224">
        <f>TEXT(85223, "[$-0E0000]yyyy-mm-dd")</f>
        <v/>
      </c>
    </row>
    <row r="85225">
      <c r="A85225" s="1" t="n">
        <v>85224</v>
      </c>
      <c r="B85225">
        <f>TEXT(85224, "[$-0E0000]yyyy-mm-dd")</f>
        <v/>
      </c>
    </row>
    <row r="85226">
      <c r="A85226" s="1" t="n">
        <v>85225</v>
      </c>
      <c r="B85226">
        <f>TEXT(85225, "[$-0E0000]yyyy-mm-dd")</f>
        <v/>
      </c>
    </row>
    <row r="85227">
      <c r="A85227" s="1" t="n">
        <v>85226</v>
      </c>
      <c r="B85227">
        <f>TEXT(85226, "[$-0E0000]yyyy-mm-dd")</f>
        <v/>
      </c>
    </row>
    <row r="85228">
      <c r="A85228" s="1" t="n">
        <v>85227</v>
      </c>
      <c r="B85228">
        <f>TEXT(85227, "[$-0E0000]yyyy-mm-dd")</f>
        <v/>
      </c>
    </row>
    <row r="85229">
      <c r="A85229" s="1" t="n">
        <v>85228</v>
      </c>
      <c r="B85229">
        <f>TEXT(85228, "[$-0E0000]yyyy-mm-dd")</f>
        <v/>
      </c>
    </row>
    <row r="85230">
      <c r="A85230" s="1" t="n">
        <v>85229</v>
      </c>
      <c r="B85230">
        <f>TEXT(85229, "[$-0E0000]yyyy-mm-dd")</f>
        <v/>
      </c>
    </row>
    <row r="85231">
      <c r="A85231" s="1" t="n">
        <v>85230</v>
      </c>
      <c r="B85231">
        <f>TEXT(85230, "[$-0E0000]yyyy-mm-dd")</f>
        <v/>
      </c>
    </row>
    <row r="85232">
      <c r="A85232" s="1" t="n">
        <v>85231</v>
      </c>
      <c r="B85232">
        <f>TEXT(85231, "[$-0E0000]yyyy-mm-dd")</f>
        <v/>
      </c>
    </row>
    <row r="85233">
      <c r="A85233" s="1" t="n">
        <v>85232</v>
      </c>
      <c r="B85233">
        <f>TEXT(85232, "[$-0E0000]yyyy-mm-dd")</f>
        <v/>
      </c>
    </row>
    <row r="85234">
      <c r="A85234" s="1" t="n">
        <v>85233</v>
      </c>
      <c r="B85234">
        <f>TEXT(85233, "[$-0E0000]yyyy-mm-dd")</f>
        <v/>
      </c>
    </row>
    <row r="85235">
      <c r="A85235" s="1" t="n">
        <v>85234</v>
      </c>
      <c r="B85235">
        <f>TEXT(85234, "[$-0E0000]yyyy-mm-dd")</f>
        <v/>
      </c>
    </row>
    <row r="85236">
      <c r="A85236" s="1" t="n">
        <v>85235</v>
      </c>
      <c r="B85236">
        <f>TEXT(85235, "[$-0E0000]yyyy-mm-dd")</f>
        <v/>
      </c>
    </row>
    <row r="85237">
      <c r="A85237" s="1" t="n">
        <v>85236</v>
      </c>
      <c r="B85237">
        <f>TEXT(85236, "[$-0E0000]yyyy-mm-dd")</f>
        <v/>
      </c>
    </row>
    <row r="85238">
      <c r="A85238" s="1" t="n">
        <v>85237</v>
      </c>
      <c r="B85238">
        <f>TEXT(85237, "[$-0E0000]yyyy-mm-dd")</f>
        <v/>
      </c>
    </row>
    <row r="85239">
      <c r="A85239" s="1" t="n">
        <v>85238</v>
      </c>
      <c r="B85239">
        <f>TEXT(85238, "[$-0E0000]yyyy-mm-dd")</f>
        <v/>
      </c>
    </row>
    <row r="85240">
      <c r="A85240" s="1" t="n">
        <v>85239</v>
      </c>
      <c r="B85240">
        <f>TEXT(85239, "[$-0E0000]yyyy-mm-dd")</f>
        <v/>
      </c>
    </row>
    <row r="85241">
      <c r="A85241" s="1" t="n">
        <v>85240</v>
      </c>
      <c r="B85241">
        <f>TEXT(85240, "[$-0E0000]yyyy-mm-dd")</f>
        <v/>
      </c>
    </row>
    <row r="85242">
      <c r="A85242" s="1" t="n">
        <v>85241</v>
      </c>
      <c r="B85242">
        <f>TEXT(85241, "[$-0E0000]yyyy-mm-dd")</f>
        <v/>
      </c>
    </row>
    <row r="85243">
      <c r="A85243" s="1" t="n">
        <v>85242</v>
      </c>
      <c r="B85243">
        <f>TEXT(85242, "[$-0E0000]yyyy-mm-dd")</f>
        <v/>
      </c>
    </row>
    <row r="85244">
      <c r="A85244" s="1" t="n">
        <v>85243</v>
      </c>
      <c r="B85244">
        <f>TEXT(85243, "[$-0E0000]yyyy-mm-dd")</f>
        <v/>
      </c>
    </row>
    <row r="85245">
      <c r="A85245" s="1" t="n">
        <v>85244</v>
      </c>
      <c r="B85245">
        <f>TEXT(85244, "[$-0E0000]yyyy-mm-dd")</f>
        <v/>
      </c>
    </row>
    <row r="85246">
      <c r="A85246" s="1" t="n">
        <v>85245</v>
      </c>
      <c r="B85246">
        <f>TEXT(85245, "[$-0E0000]yyyy-mm-dd")</f>
        <v/>
      </c>
    </row>
    <row r="85247">
      <c r="A85247" s="1" t="n">
        <v>85246</v>
      </c>
      <c r="B85247">
        <f>TEXT(85246, "[$-0E0000]yyyy-mm-dd")</f>
        <v/>
      </c>
    </row>
    <row r="85248">
      <c r="A85248" s="1" t="n">
        <v>85247</v>
      </c>
      <c r="B85248">
        <f>TEXT(85247, "[$-0E0000]yyyy-mm-dd")</f>
        <v/>
      </c>
    </row>
    <row r="85249">
      <c r="A85249" s="1" t="n">
        <v>85248</v>
      </c>
      <c r="B85249">
        <f>TEXT(85248, "[$-0E0000]yyyy-mm-dd")</f>
        <v/>
      </c>
    </row>
    <row r="85250">
      <c r="A85250" s="1" t="n">
        <v>85249</v>
      </c>
      <c r="B85250">
        <f>TEXT(85249, "[$-0E0000]yyyy-mm-dd")</f>
        <v/>
      </c>
    </row>
    <row r="85251">
      <c r="A85251" s="1" t="n">
        <v>85250</v>
      </c>
      <c r="B85251">
        <f>TEXT(85250, "[$-0E0000]yyyy-mm-dd")</f>
        <v/>
      </c>
    </row>
    <row r="85252">
      <c r="A85252" s="1" t="n">
        <v>85251</v>
      </c>
      <c r="B85252">
        <f>TEXT(85251, "[$-0E0000]yyyy-mm-dd")</f>
        <v/>
      </c>
    </row>
    <row r="85253">
      <c r="A85253" s="1" t="n">
        <v>85252</v>
      </c>
      <c r="B85253">
        <f>TEXT(85252, "[$-0E0000]yyyy-mm-dd")</f>
        <v/>
      </c>
    </row>
    <row r="85254">
      <c r="A85254" s="1" t="n">
        <v>85253</v>
      </c>
      <c r="B85254">
        <f>TEXT(85253, "[$-0E0000]yyyy-mm-dd")</f>
        <v/>
      </c>
    </row>
    <row r="85255">
      <c r="A85255" s="1" t="n">
        <v>85254</v>
      </c>
      <c r="B85255">
        <f>TEXT(85254, "[$-0E0000]yyyy-mm-dd")</f>
        <v/>
      </c>
    </row>
    <row r="85256">
      <c r="A85256" s="1" t="n">
        <v>85255</v>
      </c>
      <c r="B85256">
        <f>TEXT(85255, "[$-0E0000]yyyy-mm-dd")</f>
        <v/>
      </c>
    </row>
    <row r="85257">
      <c r="A85257" s="1" t="n">
        <v>85256</v>
      </c>
      <c r="B85257">
        <f>TEXT(85256, "[$-0E0000]yyyy-mm-dd")</f>
        <v/>
      </c>
    </row>
    <row r="85258">
      <c r="A85258" s="1" t="n">
        <v>85257</v>
      </c>
      <c r="B85258">
        <f>TEXT(85257, "[$-0E0000]yyyy-mm-dd")</f>
        <v/>
      </c>
    </row>
    <row r="85259">
      <c r="A85259" s="1" t="n">
        <v>85258</v>
      </c>
      <c r="B85259">
        <f>TEXT(85258, "[$-0E0000]yyyy-mm-dd")</f>
        <v/>
      </c>
    </row>
    <row r="85260">
      <c r="A85260" s="1" t="n">
        <v>85259</v>
      </c>
      <c r="B85260">
        <f>TEXT(85259, "[$-0E0000]yyyy-mm-dd")</f>
        <v/>
      </c>
    </row>
    <row r="85261">
      <c r="A85261" s="1" t="n">
        <v>85260</v>
      </c>
      <c r="B85261">
        <f>TEXT(85260, "[$-0E0000]yyyy-mm-dd")</f>
        <v/>
      </c>
    </row>
    <row r="85262">
      <c r="A85262" s="1" t="n">
        <v>85261</v>
      </c>
      <c r="B85262">
        <f>TEXT(85261, "[$-0E0000]yyyy-mm-dd")</f>
        <v/>
      </c>
    </row>
    <row r="85263">
      <c r="A85263" s="1" t="n">
        <v>85262</v>
      </c>
      <c r="B85263">
        <f>TEXT(85262, "[$-0E0000]yyyy-mm-dd")</f>
        <v/>
      </c>
    </row>
    <row r="85264">
      <c r="A85264" s="1" t="n">
        <v>85263</v>
      </c>
      <c r="B85264">
        <f>TEXT(85263, "[$-0E0000]yyyy-mm-dd")</f>
        <v/>
      </c>
    </row>
    <row r="85265">
      <c r="A85265" s="1" t="n">
        <v>85264</v>
      </c>
      <c r="B85265">
        <f>TEXT(85264, "[$-0E0000]yyyy-mm-dd")</f>
        <v/>
      </c>
    </row>
    <row r="85266">
      <c r="A85266" s="1" t="n">
        <v>85265</v>
      </c>
      <c r="B85266">
        <f>TEXT(85265, "[$-0E0000]yyyy-mm-dd")</f>
        <v/>
      </c>
    </row>
    <row r="85267">
      <c r="A85267" s="1" t="n">
        <v>85266</v>
      </c>
      <c r="B85267">
        <f>TEXT(85266, "[$-0E0000]yyyy-mm-dd")</f>
        <v/>
      </c>
    </row>
    <row r="85268">
      <c r="A85268" s="1" t="n">
        <v>85267</v>
      </c>
      <c r="B85268">
        <f>TEXT(85267, "[$-0E0000]yyyy-mm-dd")</f>
        <v/>
      </c>
    </row>
    <row r="85269">
      <c r="A85269" s="1" t="n">
        <v>85268</v>
      </c>
      <c r="B85269">
        <f>TEXT(85268, "[$-0E0000]yyyy-mm-dd")</f>
        <v/>
      </c>
    </row>
    <row r="85270">
      <c r="A85270" s="1" t="n">
        <v>85269</v>
      </c>
      <c r="B85270">
        <f>TEXT(85269, "[$-0E0000]yyyy-mm-dd")</f>
        <v/>
      </c>
    </row>
    <row r="85271">
      <c r="A85271" s="1" t="n">
        <v>85270</v>
      </c>
      <c r="B85271">
        <f>TEXT(85270, "[$-0E0000]yyyy-mm-dd")</f>
        <v/>
      </c>
    </row>
    <row r="85272">
      <c r="A85272" s="1" t="n">
        <v>85271</v>
      </c>
      <c r="B85272">
        <f>TEXT(85271, "[$-0E0000]yyyy-mm-dd")</f>
        <v/>
      </c>
    </row>
    <row r="85273">
      <c r="A85273" s="1" t="n">
        <v>85272</v>
      </c>
      <c r="B85273">
        <f>TEXT(85272, "[$-0E0000]yyyy-mm-dd")</f>
        <v/>
      </c>
    </row>
    <row r="85274">
      <c r="A85274" s="1" t="n">
        <v>85273</v>
      </c>
      <c r="B85274">
        <f>TEXT(85273, "[$-0E0000]yyyy-mm-dd")</f>
        <v/>
      </c>
    </row>
    <row r="85275">
      <c r="A85275" s="1" t="n">
        <v>85274</v>
      </c>
      <c r="B85275">
        <f>TEXT(85274, "[$-0E0000]yyyy-mm-dd")</f>
        <v/>
      </c>
    </row>
    <row r="85276">
      <c r="A85276" s="1" t="n">
        <v>85275</v>
      </c>
      <c r="B85276">
        <f>TEXT(85275, "[$-0E0000]yyyy-mm-dd")</f>
        <v/>
      </c>
    </row>
    <row r="85277">
      <c r="A85277" s="1" t="n">
        <v>85276</v>
      </c>
      <c r="B85277">
        <f>TEXT(85276, "[$-0E0000]yyyy-mm-dd")</f>
        <v/>
      </c>
    </row>
    <row r="85278">
      <c r="A85278" s="1" t="n">
        <v>85277</v>
      </c>
      <c r="B85278">
        <f>TEXT(85277, "[$-0E0000]yyyy-mm-dd")</f>
        <v/>
      </c>
    </row>
    <row r="85279">
      <c r="A85279" s="1" t="n">
        <v>85278</v>
      </c>
      <c r="B85279">
        <f>TEXT(85278, "[$-0E0000]yyyy-mm-dd")</f>
        <v/>
      </c>
    </row>
    <row r="85280">
      <c r="A85280" s="1" t="n">
        <v>85279</v>
      </c>
      <c r="B85280">
        <f>TEXT(85279, "[$-0E0000]yyyy-mm-dd")</f>
        <v/>
      </c>
    </row>
    <row r="85281">
      <c r="A85281" s="1" t="n">
        <v>85280</v>
      </c>
      <c r="B85281">
        <f>TEXT(85280, "[$-0E0000]yyyy-mm-dd")</f>
        <v/>
      </c>
    </row>
    <row r="85282">
      <c r="A85282" s="1" t="n">
        <v>85281</v>
      </c>
      <c r="B85282">
        <f>TEXT(85281, "[$-0E0000]yyyy-mm-dd")</f>
        <v/>
      </c>
    </row>
    <row r="85283">
      <c r="A85283" s="1" t="n">
        <v>85282</v>
      </c>
      <c r="B85283">
        <f>TEXT(85282, "[$-0E0000]yyyy-mm-dd")</f>
        <v/>
      </c>
    </row>
    <row r="85284">
      <c r="A85284" s="1" t="n">
        <v>85283</v>
      </c>
      <c r="B85284">
        <f>TEXT(85283, "[$-0E0000]yyyy-mm-dd")</f>
        <v/>
      </c>
    </row>
    <row r="85285">
      <c r="A85285" s="1" t="n">
        <v>85284</v>
      </c>
      <c r="B85285">
        <f>TEXT(85284, "[$-0E0000]yyyy-mm-dd")</f>
        <v/>
      </c>
    </row>
    <row r="85286">
      <c r="A85286" s="1" t="n">
        <v>85285</v>
      </c>
      <c r="B85286">
        <f>TEXT(85285, "[$-0E0000]yyyy-mm-dd")</f>
        <v/>
      </c>
    </row>
    <row r="85287">
      <c r="A85287" s="1" t="n">
        <v>85286</v>
      </c>
      <c r="B85287">
        <f>TEXT(85286, "[$-0E0000]yyyy-mm-dd")</f>
        <v/>
      </c>
    </row>
    <row r="85288">
      <c r="A85288" s="1" t="n">
        <v>85287</v>
      </c>
      <c r="B85288">
        <f>TEXT(85287, "[$-0E0000]yyyy-mm-dd")</f>
        <v/>
      </c>
    </row>
    <row r="85289">
      <c r="A85289" s="1" t="n">
        <v>85288</v>
      </c>
      <c r="B85289">
        <f>TEXT(85288, "[$-0E0000]yyyy-mm-dd")</f>
        <v/>
      </c>
    </row>
    <row r="85290">
      <c r="A85290" s="1" t="n">
        <v>85289</v>
      </c>
      <c r="B85290">
        <f>TEXT(85289, "[$-0E0000]yyyy-mm-dd")</f>
        <v/>
      </c>
    </row>
    <row r="85291">
      <c r="A85291" s="1" t="n">
        <v>85290</v>
      </c>
      <c r="B85291">
        <f>TEXT(85290, "[$-0E0000]yyyy-mm-dd")</f>
        <v/>
      </c>
    </row>
    <row r="85292">
      <c r="A85292" s="1" t="n">
        <v>85291</v>
      </c>
      <c r="B85292">
        <f>TEXT(85291, "[$-0E0000]yyyy-mm-dd")</f>
        <v/>
      </c>
    </row>
    <row r="85293">
      <c r="A85293" s="1" t="n">
        <v>85292</v>
      </c>
      <c r="B85293">
        <f>TEXT(85292, "[$-0E0000]yyyy-mm-dd")</f>
        <v/>
      </c>
    </row>
    <row r="85294">
      <c r="A85294" s="1" t="n">
        <v>85293</v>
      </c>
      <c r="B85294">
        <f>TEXT(85293, "[$-0E0000]yyyy-mm-dd")</f>
        <v/>
      </c>
    </row>
    <row r="85295">
      <c r="A85295" s="1" t="n">
        <v>85294</v>
      </c>
      <c r="B85295">
        <f>TEXT(85294, "[$-0E0000]yyyy-mm-dd")</f>
        <v/>
      </c>
    </row>
    <row r="85296">
      <c r="A85296" s="1" t="n">
        <v>85295</v>
      </c>
      <c r="B85296">
        <f>TEXT(85295, "[$-0E0000]yyyy-mm-dd")</f>
        <v/>
      </c>
    </row>
    <row r="85297">
      <c r="A85297" s="1" t="n">
        <v>85296</v>
      </c>
      <c r="B85297">
        <f>TEXT(85296, "[$-0E0000]yyyy-mm-dd")</f>
        <v/>
      </c>
    </row>
    <row r="85298">
      <c r="A85298" s="1" t="n">
        <v>85297</v>
      </c>
      <c r="B85298">
        <f>TEXT(85297, "[$-0E0000]yyyy-mm-dd")</f>
        <v/>
      </c>
    </row>
    <row r="85299">
      <c r="A85299" s="1" t="n">
        <v>85298</v>
      </c>
      <c r="B85299">
        <f>TEXT(85298, "[$-0E0000]yyyy-mm-dd")</f>
        <v/>
      </c>
    </row>
    <row r="85300">
      <c r="A85300" s="1" t="n">
        <v>85299</v>
      </c>
      <c r="B85300">
        <f>TEXT(85299, "[$-0E0000]yyyy-mm-dd")</f>
        <v/>
      </c>
    </row>
    <row r="85301">
      <c r="A85301" s="1" t="n">
        <v>85300</v>
      </c>
      <c r="B85301">
        <f>TEXT(85300, "[$-0E0000]yyyy-mm-dd")</f>
        <v/>
      </c>
    </row>
    <row r="85302">
      <c r="A85302" s="1" t="n">
        <v>85301</v>
      </c>
      <c r="B85302">
        <f>TEXT(85301, "[$-0E0000]yyyy-mm-dd")</f>
        <v/>
      </c>
    </row>
    <row r="85303">
      <c r="A85303" s="1" t="n">
        <v>85302</v>
      </c>
      <c r="B85303">
        <f>TEXT(85302, "[$-0E0000]yyyy-mm-dd")</f>
        <v/>
      </c>
    </row>
    <row r="85304">
      <c r="A85304" s="1" t="n">
        <v>85303</v>
      </c>
      <c r="B85304">
        <f>TEXT(85303, "[$-0E0000]yyyy-mm-dd")</f>
        <v/>
      </c>
    </row>
    <row r="85305">
      <c r="A85305" s="1" t="n">
        <v>85304</v>
      </c>
      <c r="B85305">
        <f>TEXT(85304, "[$-0E0000]yyyy-mm-dd")</f>
        <v/>
      </c>
    </row>
    <row r="85306">
      <c r="A85306" s="1" t="n">
        <v>85305</v>
      </c>
      <c r="B85306">
        <f>TEXT(85305, "[$-0E0000]yyyy-mm-dd")</f>
        <v/>
      </c>
    </row>
    <row r="85307">
      <c r="A85307" s="1" t="n">
        <v>85306</v>
      </c>
      <c r="B85307">
        <f>TEXT(85306, "[$-0E0000]yyyy-mm-dd")</f>
        <v/>
      </c>
    </row>
    <row r="85308">
      <c r="A85308" s="1" t="n">
        <v>85307</v>
      </c>
      <c r="B85308">
        <f>TEXT(85307, "[$-0E0000]yyyy-mm-dd")</f>
        <v/>
      </c>
    </row>
    <row r="85309">
      <c r="A85309" s="1" t="n">
        <v>85308</v>
      </c>
      <c r="B85309">
        <f>TEXT(85308, "[$-0E0000]yyyy-mm-dd")</f>
        <v/>
      </c>
    </row>
    <row r="85310">
      <c r="A85310" s="1" t="n">
        <v>85309</v>
      </c>
      <c r="B85310">
        <f>TEXT(85309, "[$-0E0000]yyyy-mm-dd")</f>
        <v/>
      </c>
    </row>
    <row r="85311">
      <c r="A85311" s="1" t="n">
        <v>85310</v>
      </c>
      <c r="B85311">
        <f>TEXT(85310, "[$-0E0000]yyyy-mm-dd")</f>
        <v/>
      </c>
    </row>
    <row r="85312">
      <c r="A85312" s="1" t="n">
        <v>85311</v>
      </c>
      <c r="B85312">
        <f>TEXT(85311, "[$-0E0000]yyyy-mm-dd")</f>
        <v/>
      </c>
    </row>
    <row r="85313">
      <c r="A85313" s="1" t="n">
        <v>85312</v>
      </c>
      <c r="B85313">
        <f>TEXT(85312, "[$-0E0000]yyyy-mm-dd")</f>
        <v/>
      </c>
    </row>
    <row r="85314">
      <c r="A85314" s="1" t="n">
        <v>85313</v>
      </c>
      <c r="B85314">
        <f>TEXT(85313, "[$-0E0000]yyyy-mm-dd")</f>
        <v/>
      </c>
    </row>
    <row r="85315">
      <c r="A85315" s="1" t="n">
        <v>85314</v>
      </c>
      <c r="B85315">
        <f>TEXT(85314, "[$-0E0000]yyyy-mm-dd")</f>
        <v/>
      </c>
    </row>
    <row r="85316">
      <c r="A85316" s="1" t="n">
        <v>85315</v>
      </c>
      <c r="B85316">
        <f>TEXT(85315, "[$-0E0000]yyyy-mm-dd")</f>
        <v/>
      </c>
    </row>
    <row r="85317">
      <c r="A85317" s="1" t="n">
        <v>85316</v>
      </c>
      <c r="B85317">
        <f>TEXT(85316, "[$-0E0000]yyyy-mm-dd")</f>
        <v/>
      </c>
    </row>
    <row r="85318">
      <c r="A85318" s="1" t="n">
        <v>85317</v>
      </c>
      <c r="B85318">
        <f>TEXT(85317, "[$-0E0000]yyyy-mm-dd")</f>
        <v/>
      </c>
    </row>
    <row r="85319">
      <c r="A85319" s="1" t="n">
        <v>85318</v>
      </c>
      <c r="B85319">
        <f>TEXT(85318, "[$-0E0000]yyyy-mm-dd")</f>
        <v/>
      </c>
    </row>
    <row r="85320">
      <c r="A85320" s="1" t="n">
        <v>85319</v>
      </c>
      <c r="B85320">
        <f>TEXT(85319, "[$-0E0000]yyyy-mm-dd")</f>
        <v/>
      </c>
    </row>
    <row r="85321">
      <c r="A85321" s="1" t="n">
        <v>85320</v>
      </c>
      <c r="B85321">
        <f>TEXT(85320, "[$-0E0000]yyyy-mm-dd")</f>
        <v/>
      </c>
    </row>
    <row r="85322">
      <c r="A85322" s="1" t="n">
        <v>85321</v>
      </c>
      <c r="B85322">
        <f>TEXT(85321, "[$-0E0000]yyyy-mm-dd")</f>
        <v/>
      </c>
    </row>
    <row r="85323">
      <c r="A85323" s="1" t="n">
        <v>85322</v>
      </c>
      <c r="B85323">
        <f>TEXT(85322, "[$-0E0000]yyyy-mm-dd")</f>
        <v/>
      </c>
    </row>
    <row r="85324">
      <c r="A85324" s="1" t="n">
        <v>85323</v>
      </c>
      <c r="B85324">
        <f>TEXT(85323, "[$-0E0000]yyyy-mm-dd")</f>
        <v/>
      </c>
    </row>
    <row r="85325">
      <c r="A85325" s="1" t="n">
        <v>85324</v>
      </c>
      <c r="B85325">
        <f>TEXT(85324, "[$-0E0000]yyyy-mm-dd")</f>
        <v/>
      </c>
    </row>
    <row r="85326">
      <c r="A85326" s="1" t="n">
        <v>85325</v>
      </c>
      <c r="B85326">
        <f>TEXT(85325, "[$-0E0000]yyyy-mm-dd")</f>
        <v/>
      </c>
    </row>
    <row r="85327">
      <c r="A85327" s="1" t="n">
        <v>85326</v>
      </c>
      <c r="B85327">
        <f>TEXT(85326, "[$-0E0000]yyyy-mm-dd")</f>
        <v/>
      </c>
    </row>
    <row r="85328">
      <c r="A85328" s="1" t="n">
        <v>85327</v>
      </c>
      <c r="B85328">
        <f>TEXT(85327, "[$-0E0000]yyyy-mm-dd")</f>
        <v/>
      </c>
    </row>
    <row r="85329">
      <c r="A85329" s="1" t="n">
        <v>85328</v>
      </c>
      <c r="B85329">
        <f>TEXT(85328, "[$-0E0000]yyyy-mm-dd")</f>
        <v/>
      </c>
    </row>
    <row r="85330">
      <c r="A85330" s="1" t="n">
        <v>85329</v>
      </c>
      <c r="B85330">
        <f>TEXT(85329, "[$-0E0000]yyyy-mm-dd")</f>
        <v/>
      </c>
    </row>
    <row r="85331">
      <c r="A85331" s="1" t="n">
        <v>85330</v>
      </c>
      <c r="B85331">
        <f>TEXT(85330, "[$-0E0000]yyyy-mm-dd")</f>
        <v/>
      </c>
    </row>
    <row r="85332">
      <c r="A85332" s="1" t="n">
        <v>85331</v>
      </c>
      <c r="B85332">
        <f>TEXT(85331, "[$-0E0000]yyyy-mm-dd")</f>
        <v/>
      </c>
    </row>
    <row r="85333">
      <c r="A85333" s="1" t="n">
        <v>85332</v>
      </c>
      <c r="B85333">
        <f>TEXT(85332, "[$-0E0000]yyyy-mm-dd")</f>
        <v/>
      </c>
    </row>
    <row r="85334">
      <c r="A85334" s="1" t="n">
        <v>85333</v>
      </c>
      <c r="B85334">
        <f>TEXT(85333, "[$-0E0000]yyyy-mm-dd")</f>
        <v/>
      </c>
    </row>
    <row r="85335">
      <c r="A85335" s="1" t="n">
        <v>85334</v>
      </c>
      <c r="B85335">
        <f>TEXT(85334, "[$-0E0000]yyyy-mm-dd")</f>
        <v/>
      </c>
    </row>
    <row r="85336">
      <c r="A85336" s="1" t="n">
        <v>85335</v>
      </c>
      <c r="B85336">
        <f>TEXT(85335, "[$-0E0000]yyyy-mm-dd")</f>
        <v/>
      </c>
    </row>
    <row r="85337">
      <c r="A85337" s="1" t="n">
        <v>85336</v>
      </c>
      <c r="B85337">
        <f>TEXT(85336, "[$-0E0000]yyyy-mm-dd")</f>
        <v/>
      </c>
    </row>
    <row r="85338">
      <c r="A85338" s="1" t="n">
        <v>85337</v>
      </c>
      <c r="B85338">
        <f>TEXT(85337, "[$-0E0000]yyyy-mm-dd")</f>
        <v/>
      </c>
    </row>
    <row r="85339">
      <c r="A85339" s="1" t="n">
        <v>85338</v>
      </c>
      <c r="B85339">
        <f>TEXT(85338, "[$-0E0000]yyyy-mm-dd")</f>
        <v/>
      </c>
    </row>
    <row r="85340">
      <c r="A85340" s="1" t="n">
        <v>85339</v>
      </c>
      <c r="B85340">
        <f>TEXT(85339, "[$-0E0000]yyyy-mm-dd")</f>
        <v/>
      </c>
    </row>
    <row r="85341">
      <c r="A85341" s="1" t="n">
        <v>85340</v>
      </c>
      <c r="B85341">
        <f>TEXT(85340, "[$-0E0000]yyyy-mm-dd")</f>
        <v/>
      </c>
    </row>
    <row r="85342">
      <c r="A85342" s="1" t="n">
        <v>85341</v>
      </c>
      <c r="B85342">
        <f>TEXT(85341, "[$-0E0000]yyyy-mm-dd")</f>
        <v/>
      </c>
    </row>
    <row r="85343">
      <c r="A85343" s="1" t="n">
        <v>85342</v>
      </c>
      <c r="B85343">
        <f>TEXT(85342, "[$-0E0000]yyyy-mm-dd")</f>
        <v/>
      </c>
    </row>
    <row r="85344">
      <c r="A85344" s="1" t="n">
        <v>85343</v>
      </c>
      <c r="B85344">
        <f>TEXT(85343, "[$-0E0000]yyyy-mm-dd")</f>
        <v/>
      </c>
    </row>
    <row r="85345">
      <c r="A85345" s="1" t="n">
        <v>85344</v>
      </c>
      <c r="B85345">
        <f>TEXT(85344, "[$-0E0000]yyyy-mm-dd")</f>
        <v/>
      </c>
    </row>
    <row r="85346">
      <c r="A85346" s="1" t="n">
        <v>85345</v>
      </c>
      <c r="B85346">
        <f>TEXT(85345, "[$-0E0000]yyyy-mm-dd")</f>
        <v/>
      </c>
    </row>
    <row r="85347">
      <c r="A85347" s="1" t="n">
        <v>85346</v>
      </c>
      <c r="B85347">
        <f>TEXT(85346, "[$-0E0000]yyyy-mm-dd")</f>
        <v/>
      </c>
    </row>
    <row r="85348">
      <c r="A85348" s="1" t="n">
        <v>85347</v>
      </c>
      <c r="B85348">
        <f>TEXT(85347, "[$-0E0000]yyyy-mm-dd")</f>
        <v/>
      </c>
    </row>
    <row r="85349">
      <c r="A85349" s="1" t="n">
        <v>85348</v>
      </c>
      <c r="B85349">
        <f>TEXT(85348, "[$-0E0000]yyyy-mm-dd")</f>
        <v/>
      </c>
    </row>
    <row r="85350">
      <c r="A85350" s="1" t="n">
        <v>85349</v>
      </c>
      <c r="B85350">
        <f>TEXT(85349, "[$-0E0000]yyyy-mm-dd")</f>
        <v/>
      </c>
    </row>
    <row r="85351">
      <c r="A85351" s="1" t="n">
        <v>85350</v>
      </c>
      <c r="B85351">
        <f>TEXT(85350, "[$-0E0000]yyyy-mm-dd")</f>
        <v/>
      </c>
    </row>
    <row r="85352">
      <c r="A85352" s="1" t="n">
        <v>85351</v>
      </c>
      <c r="B85352">
        <f>TEXT(85351, "[$-0E0000]yyyy-mm-dd")</f>
        <v/>
      </c>
    </row>
    <row r="85353">
      <c r="A85353" s="1" t="n">
        <v>85352</v>
      </c>
      <c r="B85353">
        <f>TEXT(85352, "[$-0E0000]yyyy-mm-dd")</f>
        <v/>
      </c>
    </row>
    <row r="85354">
      <c r="A85354" s="1" t="n">
        <v>85353</v>
      </c>
      <c r="B85354">
        <f>TEXT(85353, "[$-0E0000]yyyy-mm-dd")</f>
        <v/>
      </c>
    </row>
    <row r="85355">
      <c r="A85355" s="1" t="n">
        <v>85354</v>
      </c>
      <c r="B85355">
        <f>TEXT(85354, "[$-0E0000]yyyy-mm-dd")</f>
        <v/>
      </c>
    </row>
    <row r="85356">
      <c r="A85356" s="1" t="n">
        <v>85355</v>
      </c>
      <c r="B85356">
        <f>TEXT(85355, "[$-0E0000]yyyy-mm-dd")</f>
        <v/>
      </c>
    </row>
    <row r="85357">
      <c r="A85357" s="1" t="n">
        <v>85356</v>
      </c>
      <c r="B85357">
        <f>TEXT(85356, "[$-0E0000]yyyy-mm-dd")</f>
        <v/>
      </c>
    </row>
    <row r="85358">
      <c r="A85358" s="1" t="n">
        <v>85357</v>
      </c>
      <c r="B85358">
        <f>TEXT(85357, "[$-0E0000]yyyy-mm-dd")</f>
        <v/>
      </c>
    </row>
    <row r="85359">
      <c r="A85359" s="1" t="n">
        <v>85358</v>
      </c>
      <c r="B85359">
        <f>TEXT(85358, "[$-0E0000]yyyy-mm-dd")</f>
        <v/>
      </c>
    </row>
    <row r="85360">
      <c r="A85360" s="1" t="n">
        <v>85359</v>
      </c>
      <c r="B85360">
        <f>TEXT(85359, "[$-0E0000]yyyy-mm-dd")</f>
        <v/>
      </c>
    </row>
    <row r="85361">
      <c r="A85361" s="1" t="n">
        <v>85360</v>
      </c>
      <c r="B85361">
        <f>TEXT(85360, "[$-0E0000]yyyy-mm-dd")</f>
        <v/>
      </c>
    </row>
    <row r="85362">
      <c r="A85362" s="1" t="n">
        <v>85361</v>
      </c>
      <c r="B85362">
        <f>TEXT(85361, "[$-0E0000]yyyy-mm-dd")</f>
        <v/>
      </c>
    </row>
    <row r="85363">
      <c r="A85363" s="1" t="n">
        <v>85362</v>
      </c>
      <c r="B85363">
        <f>TEXT(85362, "[$-0E0000]yyyy-mm-dd")</f>
        <v/>
      </c>
    </row>
    <row r="85364">
      <c r="A85364" s="1" t="n">
        <v>85363</v>
      </c>
      <c r="B85364">
        <f>TEXT(85363, "[$-0E0000]yyyy-mm-dd")</f>
        <v/>
      </c>
    </row>
    <row r="85365">
      <c r="A85365" s="1" t="n">
        <v>85364</v>
      </c>
      <c r="B85365">
        <f>TEXT(85364, "[$-0E0000]yyyy-mm-dd")</f>
        <v/>
      </c>
    </row>
    <row r="85366">
      <c r="A85366" s="1" t="n">
        <v>85365</v>
      </c>
      <c r="B85366">
        <f>TEXT(85365, "[$-0E0000]yyyy-mm-dd")</f>
        <v/>
      </c>
    </row>
    <row r="85367">
      <c r="A85367" s="1" t="n">
        <v>85366</v>
      </c>
      <c r="B85367">
        <f>TEXT(85366, "[$-0E0000]yyyy-mm-dd")</f>
        <v/>
      </c>
    </row>
    <row r="85368">
      <c r="A85368" s="1" t="n">
        <v>85367</v>
      </c>
      <c r="B85368">
        <f>TEXT(85367, "[$-0E0000]yyyy-mm-dd")</f>
        <v/>
      </c>
    </row>
    <row r="85369">
      <c r="A85369" s="1" t="n">
        <v>85368</v>
      </c>
      <c r="B85369">
        <f>TEXT(85368, "[$-0E0000]yyyy-mm-dd")</f>
        <v/>
      </c>
    </row>
    <row r="85370">
      <c r="A85370" s="1" t="n">
        <v>85369</v>
      </c>
      <c r="B85370">
        <f>TEXT(85369, "[$-0E0000]yyyy-mm-dd")</f>
        <v/>
      </c>
    </row>
    <row r="85371">
      <c r="A85371" s="1" t="n">
        <v>85370</v>
      </c>
      <c r="B85371">
        <f>TEXT(85370, "[$-0E0000]yyyy-mm-dd")</f>
        <v/>
      </c>
    </row>
    <row r="85372">
      <c r="A85372" s="1" t="n">
        <v>85371</v>
      </c>
      <c r="B85372">
        <f>TEXT(85371, "[$-0E0000]yyyy-mm-dd")</f>
        <v/>
      </c>
    </row>
    <row r="85373">
      <c r="A85373" s="1" t="n">
        <v>85372</v>
      </c>
      <c r="B85373">
        <f>TEXT(85372, "[$-0E0000]yyyy-mm-dd")</f>
        <v/>
      </c>
    </row>
    <row r="85374">
      <c r="A85374" s="1" t="n">
        <v>85373</v>
      </c>
      <c r="B85374">
        <f>TEXT(85373, "[$-0E0000]yyyy-mm-dd")</f>
        <v/>
      </c>
    </row>
    <row r="85375">
      <c r="A85375" s="1" t="n">
        <v>85374</v>
      </c>
      <c r="B85375">
        <f>TEXT(85374, "[$-0E0000]yyyy-mm-dd")</f>
        <v/>
      </c>
    </row>
    <row r="85376">
      <c r="A85376" s="1" t="n">
        <v>85375</v>
      </c>
      <c r="B85376">
        <f>TEXT(85375, "[$-0E0000]yyyy-mm-dd")</f>
        <v/>
      </c>
    </row>
    <row r="85377">
      <c r="A85377" s="1" t="n">
        <v>85376</v>
      </c>
      <c r="B85377">
        <f>TEXT(85376, "[$-0E0000]yyyy-mm-dd")</f>
        <v/>
      </c>
    </row>
    <row r="85378">
      <c r="A85378" s="1" t="n">
        <v>85377</v>
      </c>
      <c r="B85378">
        <f>TEXT(85377, "[$-0E0000]yyyy-mm-dd")</f>
        <v/>
      </c>
    </row>
    <row r="85379">
      <c r="A85379" s="1" t="n">
        <v>85378</v>
      </c>
      <c r="B85379">
        <f>TEXT(85378, "[$-0E0000]yyyy-mm-dd")</f>
        <v/>
      </c>
    </row>
    <row r="85380">
      <c r="A85380" s="1" t="n">
        <v>85379</v>
      </c>
      <c r="B85380">
        <f>TEXT(85379, "[$-0E0000]yyyy-mm-dd")</f>
        <v/>
      </c>
    </row>
    <row r="85381">
      <c r="A85381" s="1" t="n">
        <v>85380</v>
      </c>
      <c r="B85381">
        <f>TEXT(85380, "[$-0E0000]yyyy-mm-dd")</f>
        <v/>
      </c>
    </row>
    <row r="85382">
      <c r="A85382" s="1" t="n">
        <v>85381</v>
      </c>
      <c r="B85382">
        <f>TEXT(85381, "[$-0E0000]yyyy-mm-dd")</f>
        <v/>
      </c>
    </row>
    <row r="85383">
      <c r="A85383" s="1" t="n">
        <v>85382</v>
      </c>
      <c r="B85383">
        <f>TEXT(85382, "[$-0E0000]yyyy-mm-dd")</f>
        <v/>
      </c>
    </row>
    <row r="85384">
      <c r="A85384" s="1" t="n">
        <v>85383</v>
      </c>
      <c r="B85384">
        <f>TEXT(85383, "[$-0E0000]yyyy-mm-dd")</f>
        <v/>
      </c>
    </row>
    <row r="85385">
      <c r="A85385" s="1" t="n">
        <v>85384</v>
      </c>
      <c r="B85385">
        <f>TEXT(85384, "[$-0E0000]yyyy-mm-dd")</f>
        <v/>
      </c>
    </row>
    <row r="85386">
      <c r="A85386" s="1" t="n">
        <v>85385</v>
      </c>
      <c r="B85386">
        <f>TEXT(85385, "[$-0E0000]yyyy-mm-dd")</f>
        <v/>
      </c>
    </row>
    <row r="85387">
      <c r="A85387" s="1" t="n">
        <v>85386</v>
      </c>
      <c r="B85387">
        <f>TEXT(85386, "[$-0E0000]yyyy-mm-dd")</f>
        <v/>
      </c>
    </row>
    <row r="85388">
      <c r="A85388" s="1" t="n">
        <v>85387</v>
      </c>
      <c r="B85388">
        <f>TEXT(85387, "[$-0E0000]yyyy-mm-dd")</f>
        <v/>
      </c>
    </row>
    <row r="85389">
      <c r="A85389" s="1" t="n">
        <v>85388</v>
      </c>
      <c r="B85389">
        <f>TEXT(85388, "[$-0E0000]yyyy-mm-dd")</f>
        <v/>
      </c>
    </row>
    <row r="85390">
      <c r="A85390" s="1" t="n">
        <v>85389</v>
      </c>
      <c r="B85390">
        <f>TEXT(85389, "[$-0E0000]yyyy-mm-dd")</f>
        <v/>
      </c>
    </row>
    <row r="85391">
      <c r="A85391" s="1" t="n">
        <v>85390</v>
      </c>
      <c r="B85391">
        <f>TEXT(85390, "[$-0E0000]yyyy-mm-dd")</f>
        <v/>
      </c>
    </row>
    <row r="85392">
      <c r="A85392" s="1" t="n">
        <v>85391</v>
      </c>
      <c r="B85392">
        <f>TEXT(85391, "[$-0E0000]yyyy-mm-dd")</f>
        <v/>
      </c>
    </row>
    <row r="85393">
      <c r="A85393" s="1" t="n">
        <v>85392</v>
      </c>
      <c r="B85393">
        <f>TEXT(85392, "[$-0E0000]yyyy-mm-dd")</f>
        <v/>
      </c>
    </row>
    <row r="85394">
      <c r="A85394" s="1" t="n">
        <v>85393</v>
      </c>
      <c r="B85394">
        <f>TEXT(85393, "[$-0E0000]yyyy-mm-dd")</f>
        <v/>
      </c>
    </row>
    <row r="85395">
      <c r="A85395" s="1" t="n">
        <v>85394</v>
      </c>
      <c r="B85395">
        <f>TEXT(85394, "[$-0E0000]yyyy-mm-dd")</f>
        <v/>
      </c>
    </row>
    <row r="85396">
      <c r="A85396" s="1" t="n">
        <v>85395</v>
      </c>
      <c r="B85396">
        <f>TEXT(85395, "[$-0E0000]yyyy-mm-dd")</f>
        <v/>
      </c>
    </row>
    <row r="85397">
      <c r="A85397" s="1" t="n">
        <v>85396</v>
      </c>
      <c r="B85397">
        <f>TEXT(85396, "[$-0E0000]yyyy-mm-dd")</f>
        <v/>
      </c>
    </row>
    <row r="85398">
      <c r="A85398" s="1" t="n">
        <v>85397</v>
      </c>
      <c r="B85398">
        <f>TEXT(85397, "[$-0E0000]yyyy-mm-dd")</f>
        <v/>
      </c>
    </row>
    <row r="85399">
      <c r="A85399" s="1" t="n">
        <v>85398</v>
      </c>
      <c r="B85399">
        <f>TEXT(85398, "[$-0E0000]yyyy-mm-dd")</f>
        <v/>
      </c>
    </row>
    <row r="85400">
      <c r="A85400" s="1" t="n">
        <v>85399</v>
      </c>
      <c r="B85400">
        <f>TEXT(85399, "[$-0E0000]yyyy-mm-dd")</f>
        <v/>
      </c>
    </row>
    <row r="85401">
      <c r="A85401" s="1" t="n">
        <v>85400</v>
      </c>
      <c r="B85401">
        <f>TEXT(85400, "[$-0E0000]yyyy-mm-dd")</f>
        <v/>
      </c>
    </row>
    <row r="85402">
      <c r="A85402" s="1" t="n">
        <v>85401</v>
      </c>
      <c r="B85402">
        <f>TEXT(85401, "[$-0E0000]yyyy-mm-dd")</f>
        <v/>
      </c>
    </row>
    <row r="85403">
      <c r="A85403" s="1" t="n">
        <v>85402</v>
      </c>
      <c r="B85403">
        <f>TEXT(85402, "[$-0E0000]yyyy-mm-dd")</f>
        <v/>
      </c>
    </row>
    <row r="85404">
      <c r="A85404" s="1" t="n">
        <v>85403</v>
      </c>
      <c r="B85404">
        <f>TEXT(85403, "[$-0E0000]yyyy-mm-dd")</f>
        <v/>
      </c>
    </row>
    <row r="85405">
      <c r="A85405" s="1" t="n">
        <v>85404</v>
      </c>
      <c r="B85405">
        <f>TEXT(85404, "[$-0E0000]yyyy-mm-dd")</f>
        <v/>
      </c>
    </row>
    <row r="85406">
      <c r="A85406" s="1" t="n">
        <v>85405</v>
      </c>
      <c r="B85406">
        <f>TEXT(85405, "[$-0E0000]yyyy-mm-dd")</f>
        <v/>
      </c>
    </row>
    <row r="85407">
      <c r="A85407" s="1" t="n">
        <v>85406</v>
      </c>
      <c r="B85407">
        <f>TEXT(85406, "[$-0E0000]yyyy-mm-dd")</f>
        <v/>
      </c>
    </row>
    <row r="85408">
      <c r="A85408" s="1" t="n">
        <v>85407</v>
      </c>
      <c r="B85408">
        <f>TEXT(85407, "[$-0E0000]yyyy-mm-dd")</f>
        <v/>
      </c>
    </row>
    <row r="85409">
      <c r="A85409" s="1" t="n">
        <v>85408</v>
      </c>
      <c r="B85409">
        <f>TEXT(85408, "[$-0E0000]yyyy-mm-dd")</f>
        <v/>
      </c>
    </row>
    <row r="85410">
      <c r="A85410" s="1" t="n">
        <v>85409</v>
      </c>
      <c r="B85410">
        <f>TEXT(85409, "[$-0E0000]yyyy-mm-dd")</f>
        <v/>
      </c>
    </row>
    <row r="85411">
      <c r="A85411" s="1" t="n">
        <v>85410</v>
      </c>
      <c r="B85411">
        <f>TEXT(85410, "[$-0E0000]yyyy-mm-dd")</f>
        <v/>
      </c>
    </row>
    <row r="85412">
      <c r="A85412" s="1" t="n">
        <v>85411</v>
      </c>
      <c r="B85412">
        <f>TEXT(85411, "[$-0E0000]yyyy-mm-dd")</f>
        <v/>
      </c>
    </row>
    <row r="85413">
      <c r="A85413" s="1" t="n">
        <v>85412</v>
      </c>
      <c r="B85413">
        <f>TEXT(85412, "[$-0E0000]yyyy-mm-dd")</f>
        <v/>
      </c>
    </row>
    <row r="85414">
      <c r="A85414" s="1" t="n">
        <v>85413</v>
      </c>
      <c r="B85414">
        <f>TEXT(85413, "[$-0E0000]yyyy-mm-dd")</f>
        <v/>
      </c>
    </row>
    <row r="85415">
      <c r="A85415" s="1" t="n">
        <v>85414</v>
      </c>
      <c r="B85415">
        <f>TEXT(85414, "[$-0E0000]yyyy-mm-dd")</f>
        <v/>
      </c>
    </row>
    <row r="85416">
      <c r="A85416" s="1" t="n">
        <v>85415</v>
      </c>
      <c r="B85416">
        <f>TEXT(85415, "[$-0E0000]yyyy-mm-dd")</f>
        <v/>
      </c>
    </row>
    <row r="85417">
      <c r="A85417" s="1" t="n">
        <v>85416</v>
      </c>
      <c r="B85417">
        <f>TEXT(85416, "[$-0E0000]yyyy-mm-dd")</f>
        <v/>
      </c>
    </row>
    <row r="85418">
      <c r="A85418" s="1" t="n">
        <v>85417</v>
      </c>
      <c r="B85418">
        <f>TEXT(85417, "[$-0E0000]yyyy-mm-dd")</f>
        <v/>
      </c>
    </row>
    <row r="85419">
      <c r="A85419" s="1" t="n">
        <v>85418</v>
      </c>
      <c r="B85419">
        <f>TEXT(85418, "[$-0E0000]yyyy-mm-dd")</f>
        <v/>
      </c>
    </row>
    <row r="85420">
      <c r="A85420" s="1" t="n">
        <v>85419</v>
      </c>
      <c r="B85420">
        <f>TEXT(85419, "[$-0E0000]yyyy-mm-dd")</f>
        <v/>
      </c>
    </row>
    <row r="85421">
      <c r="A85421" s="1" t="n">
        <v>85420</v>
      </c>
      <c r="B85421">
        <f>TEXT(85420, "[$-0E0000]yyyy-mm-dd")</f>
        <v/>
      </c>
    </row>
    <row r="85422">
      <c r="A85422" s="1" t="n">
        <v>85421</v>
      </c>
      <c r="B85422">
        <f>TEXT(85421, "[$-0E0000]yyyy-mm-dd")</f>
        <v/>
      </c>
    </row>
    <row r="85423">
      <c r="A85423" s="1" t="n">
        <v>85422</v>
      </c>
      <c r="B85423">
        <f>TEXT(85422, "[$-0E0000]yyyy-mm-dd")</f>
        <v/>
      </c>
    </row>
    <row r="85424">
      <c r="A85424" s="1" t="n">
        <v>85423</v>
      </c>
      <c r="B85424">
        <f>TEXT(85423, "[$-0E0000]yyyy-mm-dd")</f>
        <v/>
      </c>
    </row>
    <row r="85425">
      <c r="A85425" s="1" t="n">
        <v>85424</v>
      </c>
      <c r="B85425">
        <f>TEXT(85424, "[$-0E0000]yyyy-mm-dd")</f>
        <v/>
      </c>
    </row>
    <row r="85426">
      <c r="A85426" s="1" t="n">
        <v>85425</v>
      </c>
      <c r="B85426">
        <f>TEXT(85425, "[$-0E0000]yyyy-mm-dd")</f>
        <v/>
      </c>
    </row>
    <row r="85427">
      <c r="A85427" s="1" t="n">
        <v>85426</v>
      </c>
      <c r="B85427">
        <f>TEXT(85426, "[$-0E0000]yyyy-mm-dd")</f>
        <v/>
      </c>
    </row>
    <row r="85428">
      <c r="A85428" s="1" t="n">
        <v>85427</v>
      </c>
      <c r="B85428">
        <f>TEXT(85427, "[$-0E0000]yyyy-mm-dd")</f>
        <v/>
      </c>
    </row>
    <row r="85429">
      <c r="A85429" s="1" t="n">
        <v>85428</v>
      </c>
      <c r="B85429">
        <f>TEXT(85428, "[$-0E0000]yyyy-mm-dd")</f>
        <v/>
      </c>
    </row>
    <row r="85430">
      <c r="A85430" s="1" t="n">
        <v>85429</v>
      </c>
      <c r="B85430">
        <f>TEXT(85429, "[$-0E0000]yyyy-mm-dd")</f>
        <v/>
      </c>
    </row>
    <row r="85431">
      <c r="A85431" s="1" t="n">
        <v>85430</v>
      </c>
      <c r="B85431">
        <f>TEXT(85430, "[$-0E0000]yyyy-mm-dd")</f>
        <v/>
      </c>
    </row>
    <row r="85432">
      <c r="A85432" s="1" t="n">
        <v>85431</v>
      </c>
      <c r="B85432">
        <f>TEXT(85431, "[$-0E0000]yyyy-mm-dd")</f>
        <v/>
      </c>
    </row>
    <row r="85433">
      <c r="A85433" s="1" t="n">
        <v>85432</v>
      </c>
      <c r="B85433">
        <f>TEXT(85432, "[$-0E0000]yyyy-mm-dd")</f>
        <v/>
      </c>
    </row>
    <row r="85434">
      <c r="A85434" s="1" t="n">
        <v>85433</v>
      </c>
      <c r="B85434">
        <f>TEXT(85433, "[$-0E0000]yyyy-mm-dd")</f>
        <v/>
      </c>
    </row>
    <row r="85435">
      <c r="A85435" s="1" t="n">
        <v>85434</v>
      </c>
      <c r="B85435">
        <f>TEXT(85434, "[$-0E0000]yyyy-mm-dd")</f>
        <v/>
      </c>
    </row>
    <row r="85436">
      <c r="A85436" s="1" t="n">
        <v>85435</v>
      </c>
      <c r="B85436">
        <f>TEXT(85435, "[$-0E0000]yyyy-mm-dd")</f>
        <v/>
      </c>
    </row>
    <row r="85437">
      <c r="A85437" s="1" t="n">
        <v>85436</v>
      </c>
      <c r="B85437">
        <f>TEXT(85436, "[$-0E0000]yyyy-mm-dd")</f>
        <v/>
      </c>
    </row>
    <row r="85438">
      <c r="A85438" s="1" t="n">
        <v>85437</v>
      </c>
      <c r="B85438">
        <f>TEXT(85437, "[$-0E0000]yyyy-mm-dd")</f>
        <v/>
      </c>
    </row>
    <row r="85439">
      <c r="A85439" s="1" t="n">
        <v>85438</v>
      </c>
      <c r="B85439">
        <f>TEXT(85438, "[$-0E0000]yyyy-mm-dd")</f>
        <v/>
      </c>
    </row>
    <row r="85440">
      <c r="A85440" s="1" t="n">
        <v>85439</v>
      </c>
      <c r="B85440">
        <f>TEXT(85439, "[$-0E0000]yyyy-mm-dd")</f>
        <v/>
      </c>
    </row>
    <row r="85441">
      <c r="A85441" s="1" t="n">
        <v>85440</v>
      </c>
      <c r="B85441">
        <f>TEXT(85440, "[$-0E0000]yyyy-mm-dd")</f>
        <v/>
      </c>
    </row>
    <row r="85442">
      <c r="A85442" s="1" t="n">
        <v>85441</v>
      </c>
      <c r="B85442">
        <f>TEXT(85441, "[$-0E0000]yyyy-mm-dd")</f>
        <v/>
      </c>
    </row>
    <row r="85443">
      <c r="A85443" s="1" t="n">
        <v>85442</v>
      </c>
      <c r="B85443">
        <f>TEXT(85442, "[$-0E0000]yyyy-mm-dd")</f>
        <v/>
      </c>
    </row>
    <row r="85444">
      <c r="A85444" s="1" t="n">
        <v>85443</v>
      </c>
      <c r="B85444">
        <f>TEXT(85443, "[$-0E0000]yyyy-mm-dd")</f>
        <v/>
      </c>
    </row>
    <row r="85445">
      <c r="A85445" s="1" t="n">
        <v>85444</v>
      </c>
      <c r="B85445">
        <f>TEXT(85444, "[$-0E0000]yyyy-mm-dd")</f>
        <v/>
      </c>
    </row>
    <row r="85446">
      <c r="A85446" s="1" t="n">
        <v>85445</v>
      </c>
      <c r="B85446">
        <f>TEXT(85445, "[$-0E0000]yyyy-mm-dd")</f>
        <v/>
      </c>
    </row>
    <row r="85447">
      <c r="A85447" s="1" t="n">
        <v>85446</v>
      </c>
      <c r="B85447">
        <f>TEXT(85446, "[$-0E0000]yyyy-mm-dd")</f>
        <v/>
      </c>
    </row>
    <row r="85448">
      <c r="A85448" s="1" t="n">
        <v>85447</v>
      </c>
      <c r="B85448">
        <f>TEXT(85447, "[$-0E0000]yyyy-mm-dd")</f>
        <v/>
      </c>
    </row>
    <row r="85449">
      <c r="A85449" s="1" t="n">
        <v>85448</v>
      </c>
      <c r="B85449">
        <f>TEXT(85448, "[$-0E0000]yyyy-mm-dd")</f>
        <v/>
      </c>
    </row>
    <row r="85450">
      <c r="A85450" s="1" t="n">
        <v>85449</v>
      </c>
      <c r="B85450">
        <f>TEXT(85449, "[$-0E0000]yyyy-mm-dd")</f>
        <v/>
      </c>
    </row>
    <row r="85451">
      <c r="A85451" s="1" t="n">
        <v>85450</v>
      </c>
      <c r="B85451">
        <f>TEXT(85450, "[$-0E0000]yyyy-mm-dd")</f>
        <v/>
      </c>
    </row>
    <row r="85452">
      <c r="A85452" s="1" t="n">
        <v>85451</v>
      </c>
      <c r="B85452">
        <f>TEXT(85451, "[$-0E0000]yyyy-mm-dd")</f>
        <v/>
      </c>
    </row>
    <row r="85453">
      <c r="A85453" s="1" t="n">
        <v>85452</v>
      </c>
      <c r="B85453">
        <f>TEXT(85452, "[$-0E0000]yyyy-mm-dd")</f>
        <v/>
      </c>
    </row>
    <row r="85454">
      <c r="A85454" s="1" t="n">
        <v>85453</v>
      </c>
      <c r="B85454">
        <f>TEXT(85453, "[$-0E0000]yyyy-mm-dd")</f>
        <v/>
      </c>
    </row>
    <row r="85455">
      <c r="A85455" s="1" t="n">
        <v>85454</v>
      </c>
      <c r="B85455">
        <f>TEXT(85454, "[$-0E0000]yyyy-mm-dd")</f>
        <v/>
      </c>
    </row>
    <row r="85456">
      <c r="A85456" s="1" t="n">
        <v>85455</v>
      </c>
      <c r="B85456">
        <f>TEXT(85455, "[$-0E0000]yyyy-mm-dd")</f>
        <v/>
      </c>
    </row>
    <row r="85457">
      <c r="A85457" s="1" t="n">
        <v>85456</v>
      </c>
      <c r="B85457">
        <f>TEXT(85456, "[$-0E0000]yyyy-mm-dd")</f>
        <v/>
      </c>
    </row>
    <row r="85458">
      <c r="A85458" s="1" t="n">
        <v>85457</v>
      </c>
      <c r="B85458">
        <f>TEXT(85457, "[$-0E0000]yyyy-mm-dd")</f>
        <v/>
      </c>
    </row>
    <row r="85459">
      <c r="A85459" s="1" t="n">
        <v>85458</v>
      </c>
      <c r="B85459">
        <f>TEXT(85458, "[$-0E0000]yyyy-mm-dd")</f>
        <v/>
      </c>
    </row>
    <row r="85460">
      <c r="A85460" s="1" t="n">
        <v>85459</v>
      </c>
      <c r="B85460">
        <f>TEXT(85459, "[$-0E0000]yyyy-mm-dd")</f>
        <v/>
      </c>
    </row>
    <row r="85461">
      <c r="A85461" s="1" t="n">
        <v>85460</v>
      </c>
      <c r="B85461">
        <f>TEXT(85460, "[$-0E0000]yyyy-mm-dd")</f>
        <v/>
      </c>
    </row>
    <row r="85462">
      <c r="A85462" s="1" t="n">
        <v>85461</v>
      </c>
      <c r="B85462">
        <f>TEXT(85461, "[$-0E0000]yyyy-mm-dd")</f>
        <v/>
      </c>
    </row>
    <row r="85463">
      <c r="A85463" s="1" t="n">
        <v>85462</v>
      </c>
      <c r="B85463">
        <f>TEXT(85462, "[$-0E0000]yyyy-mm-dd")</f>
        <v/>
      </c>
    </row>
    <row r="85464">
      <c r="A85464" s="1" t="n">
        <v>85463</v>
      </c>
      <c r="B85464">
        <f>TEXT(85463, "[$-0E0000]yyyy-mm-dd")</f>
        <v/>
      </c>
    </row>
    <row r="85465">
      <c r="A85465" s="1" t="n">
        <v>85464</v>
      </c>
      <c r="B85465">
        <f>TEXT(85464, "[$-0E0000]yyyy-mm-dd")</f>
        <v/>
      </c>
    </row>
    <row r="85466">
      <c r="A85466" s="1" t="n">
        <v>85465</v>
      </c>
      <c r="B85466">
        <f>TEXT(85465, "[$-0E0000]yyyy-mm-dd")</f>
        <v/>
      </c>
    </row>
    <row r="85467">
      <c r="A85467" s="1" t="n">
        <v>85466</v>
      </c>
      <c r="B85467">
        <f>TEXT(85466, "[$-0E0000]yyyy-mm-dd")</f>
        <v/>
      </c>
    </row>
    <row r="85468">
      <c r="A85468" s="1" t="n">
        <v>85467</v>
      </c>
      <c r="B85468">
        <f>TEXT(85467, "[$-0E0000]yyyy-mm-dd")</f>
        <v/>
      </c>
    </row>
    <row r="85469">
      <c r="A85469" s="1" t="n">
        <v>85468</v>
      </c>
      <c r="B85469">
        <f>TEXT(85468, "[$-0E0000]yyyy-mm-dd")</f>
        <v/>
      </c>
    </row>
    <row r="85470">
      <c r="A85470" s="1" t="n">
        <v>85469</v>
      </c>
      <c r="B85470">
        <f>TEXT(85469, "[$-0E0000]yyyy-mm-dd")</f>
        <v/>
      </c>
    </row>
    <row r="85471">
      <c r="A85471" s="1" t="n">
        <v>85470</v>
      </c>
      <c r="B85471">
        <f>TEXT(85470, "[$-0E0000]yyyy-mm-dd")</f>
        <v/>
      </c>
    </row>
    <row r="85472">
      <c r="A85472" s="1" t="n">
        <v>85471</v>
      </c>
      <c r="B85472">
        <f>TEXT(85471, "[$-0E0000]yyyy-mm-dd")</f>
        <v/>
      </c>
    </row>
    <row r="85473">
      <c r="A85473" s="1" t="n">
        <v>85472</v>
      </c>
      <c r="B85473">
        <f>TEXT(85472, "[$-0E0000]yyyy-mm-dd")</f>
        <v/>
      </c>
    </row>
    <row r="85474">
      <c r="A85474" s="1" t="n">
        <v>85473</v>
      </c>
      <c r="B85474">
        <f>TEXT(85473, "[$-0E0000]yyyy-mm-dd")</f>
        <v/>
      </c>
    </row>
    <row r="85475">
      <c r="A85475" s="1" t="n">
        <v>85474</v>
      </c>
      <c r="B85475">
        <f>TEXT(85474, "[$-0E0000]yyyy-mm-dd")</f>
        <v/>
      </c>
    </row>
    <row r="85476">
      <c r="A85476" s="1" t="n">
        <v>85475</v>
      </c>
      <c r="B85476">
        <f>TEXT(85475, "[$-0E0000]yyyy-mm-dd")</f>
        <v/>
      </c>
    </row>
    <row r="85477">
      <c r="A85477" s="1" t="n">
        <v>85476</v>
      </c>
      <c r="B85477">
        <f>TEXT(85476, "[$-0E0000]yyyy-mm-dd")</f>
        <v/>
      </c>
    </row>
    <row r="85478">
      <c r="A85478" s="1" t="n">
        <v>85477</v>
      </c>
      <c r="B85478">
        <f>TEXT(85477, "[$-0E0000]yyyy-mm-dd")</f>
        <v/>
      </c>
    </row>
    <row r="85479">
      <c r="A85479" s="1" t="n">
        <v>85478</v>
      </c>
      <c r="B85479">
        <f>TEXT(85478, "[$-0E0000]yyyy-mm-dd")</f>
        <v/>
      </c>
    </row>
    <row r="85480">
      <c r="A85480" s="1" t="n">
        <v>85479</v>
      </c>
      <c r="B85480">
        <f>TEXT(85479, "[$-0E0000]yyyy-mm-dd")</f>
        <v/>
      </c>
    </row>
    <row r="85481">
      <c r="A85481" s="1" t="n">
        <v>85480</v>
      </c>
      <c r="B85481">
        <f>TEXT(85480, "[$-0E0000]yyyy-mm-dd")</f>
        <v/>
      </c>
    </row>
    <row r="85482">
      <c r="A85482" s="1" t="n">
        <v>85481</v>
      </c>
      <c r="B85482">
        <f>TEXT(85481, "[$-0E0000]yyyy-mm-dd")</f>
        <v/>
      </c>
    </row>
    <row r="85483">
      <c r="A85483" s="1" t="n">
        <v>85482</v>
      </c>
      <c r="B85483">
        <f>TEXT(85482, "[$-0E0000]yyyy-mm-dd")</f>
        <v/>
      </c>
    </row>
    <row r="85484">
      <c r="A85484" s="1" t="n">
        <v>85483</v>
      </c>
      <c r="B85484">
        <f>TEXT(85483, "[$-0E0000]yyyy-mm-dd")</f>
        <v/>
      </c>
    </row>
    <row r="85485">
      <c r="A85485" s="1" t="n">
        <v>85484</v>
      </c>
      <c r="B85485">
        <f>TEXT(85484, "[$-0E0000]yyyy-mm-dd")</f>
        <v/>
      </c>
    </row>
    <row r="85486">
      <c r="A85486" s="1" t="n">
        <v>85485</v>
      </c>
      <c r="B85486">
        <f>TEXT(85485, "[$-0E0000]yyyy-mm-dd")</f>
        <v/>
      </c>
    </row>
    <row r="85487">
      <c r="A85487" s="1" t="n">
        <v>85486</v>
      </c>
      <c r="B85487">
        <f>TEXT(85486, "[$-0E0000]yyyy-mm-dd")</f>
        <v/>
      </c>
    </row>
    <row r="85488">
      <c r="A85488" s="1" t="n">
        <v>85487</v>
      </c>
      <c r="B85488">
        <f>TEXT(85487, "[$-0E0000]yyyy-mm-dd")</f>
        <v/>
      </c>
    </row>
    <row r="85489">
      <c r="A85489" s="1" t="n">
        <v>85488</v>
      </c>
      <c r="B85489">
        <f>TEXT(85488, "[$-0E0000]yyyy-mm-dd")</f>
        <v/>
      </c>
    </row>
    <row r="85490">
      <c r="A85490" s="1" t="n">
        <v>85489</v>
      </c>
      <c r="B85490">
        <f>TEXT(85489, "[$-0E0000]yyyy-mm-dd")</f>
        <v/>
      </c>
    </row>
    <row r="85491">
      <c r="A85491" s="1" t="n">
        <v>85490</v>
      </c>
      <c r="B85491">
        <f>TEXT(85490, "[$-0E0000]yyyy-mm-dd")</f>
        <v/>
      </c>
    </row>
    <row r="85492">
      <c r="A85492" s="1" t="n">
        <v>85491</v>
      </c>
      <c r="B85492">
        <f>TEXT(85491, "[$-0E0000]yyyy-mm-dd")</f>
        <v/>
      </c>
    </row>
    <row r="85493">
      <c r="A85493" s="1" t="n">
        <v>85492</v>
      </c>
      <c r="B85493">
        <f>TEXT(85492, "[$-0E0000]yyyy-mm-dd")</f>
        <v/>
      </c>
    </row>
    <row r="85494">
      <c r="A85494" s="1" t="n">
        <v>85493</v>
      </c>
      <c r="B85494">
        <f>TEXT(85493, "[$-0E0000]yyyy-mm-dd")</f>
        <v/>
      </c>
    </row>
    <row r="85495">
      <c r="A85495" s="1" t="n">
        <v>85494</v>
      </c>
      <c r="B85495">
        <f>TEXT(85494, "[$-0E0000]yyyy-mm-dd")</f>
        <v/>
      </c>
    </row>
    <row r="85496">
      <c r="A85496" s="1" t="n">
        <v>85495</v>
      </c>
      <c r="B85496">
        <f>TEXT(85495, "[$-0E0000]yyyy-mm-dd")</f>
        <v/>
      </c>
    </row>
    <row r="85497">
      <c r="A85497" s="1" t="n">
        <v>85496</v>
      </c>
      <c r="B85497">
        <f>TEXT(85496, "[$-0E0000]yyyy-mm-dd")</f>
        <v/>
      </c>
    </row>
    <row r="85498">
      <c r="A85498" s="1" t="n">
        <v>85497</v>
      </c>
      <c r="B85498">
        <f>TEXT(85497, "[$-0E0000]yyyy-mm-dd")</f>
        <v/>
      </c>
    </row>
    <row r="85499">
      <c r="A85499" s="1" t="n">
        <v>85498</v>
      </c>
      <c r="B85499">
        <f>TEXT(85498, "[$-0E0000]yyyy-mm-dd")</f>
        <v/>
      </c>
    </row>
    <row r="85500">
      <c r="A85500" s="1" t="n">
        <v>85499</v>
      </c>
      <c r="B85500">
        <f>TEXT(85499, "[$-0E0000]yyyy-mm-dd")</f>
        <v/>
      </c>
    </row>
    <row r="85501">
      <c r="A85501" s="1" t="n">
        <v>85500</v>
      </c>
      <c r="B85501">
        <f>TEXT(85500, "[$-0E0000]yyyy-mm-dd")</f>
        <v/>
      </c>
    </row>
    <row r="85502">
      <c r="A85502" s="1" t="n">
        <v>85501</v>
      </c>
      <c r="B85502">
        <f>TEXT(85501, "[$-0E0000]yyyy-mm-dd")</f>
        <v/>
      </c>
    </row>
    <row r="85503">
      <c r="A85503" s="1" t="n">
        <v>85502</v>
      </c>
      <c r="B85503">
        <f>TEXT(85502, "[$-0E0000]yyyy-mm-dd")</f>
        <v/>
      </c>
    </row>
    <row r="85504">
      <c r="A85504" s="1" t="n">
        <v>85503</v>
      </c>
      <c r="B85504">
        <f>TEXT(85503, "[$-0E0000]yyyy-mm-dd")</f>
        <v/>
      </c>
    </row>
    <row r="85505">
      <c r="A85505" s="1" t="n">
        <v>85504</v>
      </c>
      <c r="B85505">
        <f>TEXT(85504, "[$-0E0000]yyyy-mm-dd")</f>
        <v/>
      </c>
    </row>
    <row r="85506">
      <c r="A85506" s="1" t="n">
        <v>85505</v>
      </c>
      <c r="B85506">
        <f>TEXT(85505, "[$-0E0000]yyyy-mm-dd")</f>
        <v/>
      </c>
    </row>
    <row r="85507">
      <c r="A85507" s="1" t="n">
        <v>85506</v>
      </c>
      <c r="B85507">
        <f>TEXT(85506, "[$-0E0000]yyyy-mm-dd")</f>
        <v/>
      </c>
    </row>
    <row r="85508">
      <c r="A85508" s="1" t="n">
        <v>85507</v>
      </c>
      <c r="B85508">
        <f>TEXT(85507, "[$-0E0000]yyyy-mm-dd")</f>
        <v/>
      </c>
    </row>
    <row r="85509">
      <c r="A85509" s="1" t="n">
        <v>85508</v>
      </c>
      <c r="B85509">
        <f>TEXT(85508, "[$-0E0000]yyyy-mm-dd")</f>
        <v/>
      </c>
    </row>
    <row r="85510">
      <c r="A85510" s="1" t="n">
        <v>85509</v>
      </c>
      <c r="B85510">
        <f>TEXT(85509, "[$-0E0000]yyyy-mm-dd")</f>
        <v/>
      </c>
    </row>
    <row r="85511">
      <c r="A85511" s="1" t="n">
        <v>85510</v>
      </c>
      <c r="B85511">
        <f>TEXT(85510, "[$-0E0000]yyyy-mm-dd")</f>
        <v/>
      </c>
    </row>
    <row r="85512">
      <c r="A85512" s="1" t="n">
        <v>85511</v>
      </c>
      <c r="B85512">
        <f>TEXT(85511, "[$-0E0000]yyyy-mm-dd")</f>
        <v/>
      </c>
    </row>
    <row r="85513">
      <c r="A85513" s="1" t="n">
        <v>85512</v>
      </c>
      <c r="B85513">
        <f>TEXT(85512, "[$-0E0000]yyyy-mm-dd")</f>
        <v/>
      </c>
    </row>
    <row r="85514">
      <c r="A85514" s="1" t="n">
        <v>85513</v>
      </c>
      <c r="B85514">
        <f>TEXT(85513, "[$-0E0000]yyyy-mm-dd")</f>
        <v/>
      </c>
    </row>
    <row r="85515">
      <c r="A85515" s="1" t="n">
        <v>85514</v>
      </c>
      <c r="B85515">
        <f>TEXT(85514, "[$-0E0000]yyyy-mm-dd")</f>
        <v/>
      </c>
    </row>
    <row r="85516">
      <c r="A85516" s="1" t="n">
        <v>85515</v>
      </c>
      <c r="B85516">
        <f>TEXT(85515, "[$-0E0000]yyyy-mm-dd")</f>
        <v/>
      </c>
    </row>
    <row r="85517">
      <c r="A85517" s="1" t="n">
        <v>85516</v>
      </c>
      <c r="B85517">
        <f>TEXT(85516, "[$-0E0000]yyyy-mm-dd")</f>
        <v/>
      </c>
    </row>
    <row r="85518">
      <c r="A85518" s="1" t="n">
        <v>85517</v>
      </c>
      <c r="B85518">
        <f>TEXT(85517, "[$-0E0000]yyyy-mm-dd")</f>
        <v/>
      </c>
    </row>
    <row r="85519">
      <c r="A85519" s="1" t="n">
        <v>85518</v>
      </c>
      <c r="B85519">
        <f>TEXT(85518, "[$-0E0000]yyyy-mm-dd")</f>
        <v/>
      </c>
    </row>
    <row r="85520">
      <c r="A85520" s="1" t="n">
        <v>85519</v>
      </c>
      <c r="B85520">
        <f>TEXT(85519, "[$-0E0000]yyyy-mm-dd")</f>
        <v/>
      </c>
    </row>
    <row r="85521">
      <c r="A85521" s="1" t="n">
        <v>85520</v>
      </c>
      <c r="B85521">
        <f>TEXT(85520, "[$-0E0000]yyyy-mm-dd")</f>
        <v/>
      </c>
    </row>
    <row r="85522">
      <c r="A85522" s="1" t="n">
        <v>85521</v>
      </c>
      <c r="B85522">
        <f>TEXT(85521, "[$-0E0000]yyyy-mm-dd")</f>
        <v/>
      </c>
    </row>
    <row r="85523">
      <c r="A85523" s="1" t="n">
        <v>85522</v>
      </c>
      <c r="B85523">
        <f>TEXT(85522, "[$-0E0000]yyyy-mm-dd")</f>
        <v/>
      </c>
    </row>
    <row r="85524">
      <c r="A85524" s="1" t="n">
        <v>85523</v>
      </c>
      <c r="B85524">
        <f>TEXT(85523, "[$-0E0000]yyyy-mm-dd")</f>
        <v/>
      </c>
    </row>
    <row r="85525">
      <c r="A85525" s="1" t="n">
        <v>85524</v>
      </c>
      <c r="B85525">
        <f>TEXT(85524, "[$-0E0000]yyyy-mm-dd")</f>
        <v/>
      </c>
    </row>
    <row r="85526">
      <c r="A85526" s="1" t="n">
        <v>85525</v>
      </c>
      <c r="B85526">
        <f>TEXT(85525, "[$-0E0000]yyyy-mm-dd")</f>
        <v/>
      </c>
    </row>
    <row r="85527">
      <c r="A85527" s="1" t="n">
        <v>85526</v>
      </c>
      <c r="B85527">
        <f>TEXT(85526, "[$-0E0000]yyyy-mm-dd")</f>
        <v/>
      </c>
    </row>
    <row r="85528">
      <c r="A85528" s="1" t="n">
        <v>85527</v>
      </c>
      <c r="B85528">
        <f>TEXT(85527, "[$-0E0000]yyyy-mm-dd")</f>
        <v/>
      </c>
    </row>
    <row r="85529">
      <c r="A85529" s="1" t="n">
        <v>85528</v>
      </c>
      <c r="B85529">
        <f>TEXT(85528, "[$-0E0000]yyyy-mm-dd")</f>
        <v/>
      </c>
    </row>
    <row r="85530">
      <c r="A85530" s="1" t="n">
        <v>85529</v>
      </c>
      <c r="B85530">
        <f>TEXT(85529, "[$-0E0000]yyyy-mm-dd")</f>
        <v/>
      </c>
    </row>
    <row r="85531">
      <c r="A85531" s="1" t="n">
        <v>85530</v>
      </c>
      <c r="B85531">
        <f>TEXT(85530, "[$-0E0000]yyyy-mm-dd")</f>
        <v/>
      </c>
    </row>
    <row r="85532">
      <c r="A85532" s="1" t="n">
        <v>85531</v>
      </c>
      <c r="B85532">
        <f>TEXT(85531, "[$-0E0000]yyyy-mm-dd")</f>
        <v/>
      </c>
    </row>
    <row r="85533">
      <c r="A85533" s="1" t="n">
        <v>85532</v>
      </c>
      <c r="B85533">
        <f>TEXT(85532, "[$-0E0000]yyyy-mm-dd")</f>
        <v/>
      </c>
    </row>
    <row r="85534">
      <c r="A85534" s="1" t="n">
        <v>85533</v>
      </c>
      <c r="B85534">
        <f>TEXT(85533, "[$-0E0000]yyyy-mm-dd")</f>
        <v/>
      </c>
    </row>
    <row r="85535">
      <c r="A85535" s="1" t="n">
        <v>85534</v>
      </c>
      <c r="B85535">
        <f>TEXT(85534, "[$-0E0000]yyyy-mm-dd")</f>
        <v/>
      </c>
    </row>
    <row r="85536">
      <c r="A85536" s="1" t="n">
        <v>85535</v>
      </c>
      <c r="B85536">
        <f>TEXT(85535, "[$-0E0000]yyyy-mm-dd")</f>
        <v/>
      </c>
    </row>
    <row r="85537">
      <c r="A85537" s="1" t="n">
        <v>85536</v>
      </c>
      <c r="B85537">
        <f>TEXT(85536, "[$-0E0000]yyyy-mm-dd")</f>
        <v/>
      </c>
    </row>
    <row r="85538">
      <c r="A85538" s="1" t="n">
        <v>85537</v>
      </c>
      <c r="B85538">
        <f>TEXT(85537, "[$-0E0000]yyyy-mm-dd")</f>
        <v/>
      </c>
    </row>
    <row r="85539">
      <c r="A85539" s="1" t="n">
        <v>85538</v>
      </c>
      <c r="B85539">
        <f>TEXT(85538, "[$-0E0000]yyyy-mm-dd")</f>
        <v/>
      </c>
    </row>
    <row r="85540">
      <c r="A85540" s="1" t="n">
        <v>85539</v>
      </c>
      <c r="B85540">
        <f>TEXT(85539, "[$-0E0000]yyyy-mm-dd")</f>
        <v/>
      </c>
    </row>
    <row r="85541">
      <c r="A85541" s="1" t="n">
        <v>85540</v>
      </c>
      <c r="B85541">
        <f>TEXT(85540, "[$-0E0000]yyyy-mm-dd")</f>
        <v/>
      </c>
    </row>
    <row r="85542">
      <c r="A85542" s="1" t="n">
        <v>85541</v>
      </c>
      <c r="B85542">
        <f>TEXT(85541, "[$-0E0000]yyyy-mm-dd")</f>
        <v/>
      </c>
    </row>
    <row r="85543">
      <c r="A85543" s="1" t="n">
        <v>85542</v>
      </c>
      <c r="B85543">
        <f>TEXT(85542, "[$-0E0000]yyyy-mm-dd")</f>
        <v/>
      </c>
    </row>
    <row r="85544">
      <c r="A85544" s="1" t="n">
        <v>85543</v>
      </c>
      <c r="B85544">
        <f>TEXT(85543, "[$-0E0000]yyyy-mm-dd")</f>
        <v/>
      </c>
    </row>
    <row r="85545">
      <c r="A85545" s="1" t="n">
        <v>85544</v>
      </c>
      <c r="B85545">
        <f>TEXT(85544, "[$-0E0000]yyyy-mm-dd")</f>
        <v/>
      </c>
    </row>
    <row r="85546">
      <c r="A85546" s="1" t="n">
        <v>85545</v>
      </c>
      <c r="B85546">
        <f>TEXT(85545, "[$-0E0000]yyyy-mm-dd")</f>
        <v/>
      </c>
    </row>
    <row r="85547">
      <c r="A85547" s="1" t="n">
        <v>85546</v>
      </c>
      <c r="B85547">
        <f>TEXT(85546, "[$-0E0000]yyyy-mm-dd")</f>
        <v/>
      </c>
    </row>
    <row r="85548">
      <c r="A85548" s="1" t="n">
        <v>85547</v>
      </c>
      <c r="B85548">
        <f>TEXT(85547, "[$-0E0000]yyyy-mm-dd")</f>
        <v/>
      </c>
    </row>
    <row r="85549">
      <c r="A85549" s="1" t="n">
        <v>85548</v>
      </c>
      <c r="B85549">
        <f>TEXT(85548, "[$-0E0000]yyyy-mm-dd")</f>
        <v/>
      </c>
    </row>
    <row r="85550">
      <c r="A85550" s="1" t="n">
        <v>85549</v>
      </c>
      <c r="B85550">
        <f>TEXT(85549, "[$-0E0000]yyyy-mm-dd")</f>
        <v/>
      </c>
    </row>
    <row r="85551">
      <c r="A85551" s="1" t="n">
        <v>85550</v>
      </c>
      <c r="B85551">
        <f>TEXT(85550, "[$-0E0000]yyyy-mm-dd")</f>
        <v/>
      </c>
    </row>
    <row r="85552">
      <c r="A85552" s="1" t="n">
        <v>85551</v>
      </c>
      <c r="B85552">
        <f>TEXT(85551, "[$-0E0000]yyyy-mm-dd")</f>
        <v/>
      </c>
    </row>
    <row r="85553">
      <c r="A85553" s="1" t="n">
        <v>85552</v>
      </c>
      <c r="B85553">
        <f>TEXT(85552, "[$-0E0000]yyyy-mm-dd")</f>
        <v/>
      </c>
    </row>
    <row r="85554">
      <c r="A85554" s="1" t="n">
        <v>85553</v>
      </c>
      <c r="B85554">
        <f>TEXT(85553, "[$-0E0000]yyyy-mm-dd")</f>
        <v/>
      </c>
    </row>
    <row r="85555">
      <c r="A85555" s="1" t="n">
        <v>85554</v>
      </c>
      <c r="B85555">
        <f>TEXT(85554, "[$-0E0000]yyyy-mm-dd")</f>
        <v/>
      </c>
    </row>
    <row r="85556">
      <c r="A85556" s="1" t="n">
        <v>85555</v>
      </c>
      <c r="B85556">
        <f>TEXT(85555, "[$-0E0000]yyyy-mm-dd")</f>
        <v/>
      </c>
    </row>
    <row r="85557">
      <c r="A85557" s="1" t="n">
        <v>85556</v>
      </c>
      <c r="B85557">
        <f>TEXT(85556, "[$-0E0000]yyyy-mm-dd")</f>
        <v/>
      </c>
    </row>
    <row r="85558">
      <c r="A85558" s="1" t="n">
        <v>85557</v>
      </c>
      <c r="B85558">
        <f>TEXT(85557, "[$-0E0000]yyyy-mm-dd")</f>
        <v/>
      </c>
    </row>
    <row r="85559">
      <c r="A85559" s="1" t="n">
        <v>85558</v>
      </c>
      <c r="B85559">
        <f>TEXT(85558, "[$-0E0000]yyyy-mm-dd")</f>
        <v/>
      </c>
    </row>
    <row r="85560">
      <c r="A85560" s="1" t="n">
        <v>85559</v>
      </c>
      <c r="B85560">
        <f>TEXT(85559, "[$-0E0000]yyyy-mm-dd")</f>
        <v/>
      </c>
    </row>
    <row r="85561">
      <c r="A85561" s="1" t="n">
        <v>85560</v>
      </c>
      <c r="B85561">
        <f>TEXT(85560, "[$-0E0000]yyyy-mm-dd")</f>
        <v/>
      </c>
    </row>
    <row r="85562">
      <c r="A85562" s="1" t="n">
        <v>85561</v>
      </c>
      <c r="B85562">
        <f>TEXT(85561, "[$-0E0000]yyyy-mm-dd")</f>
        <v/>
      </c>
    </row>
    <row r="85563">
      <c r="A85563" s="1" t="n">
        <v>85562</v>
      </c>
      <c r="B85563">
        <f>TEXT(85562, "[$-0E0000]yyyy-mm-dd")</f>
        <v/>
      </c>
    </row>
    <row r="85564">
      <c r="A85564" s="1" t="n">
        <v>85563</v>
      </c>
      <c r="B85564">
        <f>TEXT(85563, "[$-0E0000]yyyy-mm-dd")</f>
        <v/>
      </c>
    </row>
    <row r="85565">
      <c r="A85565" s="1" t="n">
        <v>85564</v>
      </c>
      <c r="B85565">
        <f>TEXT(85564, "[$-0E0000]yyyy-mm-dd")</f>
        <v/>
      </c>
    </row>
    <row r="85566">
      <c r="A85566" s="1" t="n">
        <v>85565</v>
      </c>
      <c r="B85566">
        <f>TEXT(85565, "[$-0E0000]yyyy-mm-dd")</f>
        <v/>
      </c>
    </row>
    <row r="85567">
      <c r="A85567" s="1" t="n">
        <v>85566</v>
      </c>
      <c r="B85567">
        <f>TEXT(85566, "[$-0E0000]yyyy-mm-dd")</f>
        <v/>
      </c>
    </row>
    <row r="85568">
      <c r="A85568" s="1" t="n">
        <v>85567</v>
      </c>
      <c r="B85568">
        <f>TEXT(85567, "[$-0E0000]yyyy-mm-dd")</f>
        <v/>
      </c>
    </row>
    <row r="85569">
      <c r="A85569" s="1" t="n">
        <v>85568</v>
      </c>
      <c r="B85569">
        <f>TEXT(85568, "[$-0E0000]yyyy-mm-dd")</f>
        <v/>
      </c>
    </row>
    <row r="85570">
      <c r="A85570" s="1" t="n">
        <v>85569</v>
      </c>
      <c r="B85570">
        <f>TEXT(85569, "[$-0E0000]yyyy-mm-dd")</f>
        <v/>
      </c>
    </row>
    <row r="85571">
      <c r="A85571" s="1" t="n">
        <v>85570</v>
      </c>
      <c r="B85571">
        <f>TEXT(85570, "[$-0E0000]yyyy-mm-dd")</f>
        <v/>
      </c>
    </row>
    <row r="85572">
      <c r="A85572" s="1" t="n">
        <v>85571</v>
      </c>
      <c r="B85572">
        <f>TEXT(85571, "[$-0E0000]yyyy-mm-dd")</f>
        <v/>
      </c>
    </row>
    <row r="85573">
      <c r="A85573" s="1" t="n">
        <v>85572</v>
      </c>
      <c r="B85573">
        <f>TEXT(85572, "[$-0E0000]yyyy-mm-dd")</f>
        <v/>
      </c>
    </row>
    <row r="85574">
      <c r="A85574" s="1" t="n">
        <v>85573</v>
      </c>
      <c r="B85574">
        <f>TEXT(85573, "[$-0E0000]yyyy-mm-dd")</f>
        <v/>
      </c>
    </row>
    <row r="85575">
      <c r="A85575" s="1" t="n">
        <v>85574</v>
      </c>
      <c r="B85575">
        <f>TEXT(85574, "[$-0E0000]yyyy-mm-dd")</f>
        <v/>
      </c>
    </row>
    <row r="85576">
      <c r="A85576" s="1" t="n">
        <v>85575</v>
      </c>
      <c r="B85576">
        <f>TEXT(85575, "[$-0E0000]yyyy-mm-dd")</f>
        <v/>
      </c>
    </row>
    <row r="85577">
      <c r="A85577" s="1" t="n">
        <v>85576</v>
      </c>
      <c r="B85577">
        <f>TEXT(85576, "[$-0E0000]yyyy-mm-dd")</f>
        <v/>
      </c>
    </row>
    <row r="85578">
      <c r="A85578" s="1" t="n">
        <v>85577</v>
      </c>
      <c r="B85578">
        <f>TEXT(85577, "[$-0E0000]yyyy-mm-dd")</f>
        <v/>
      </c>
    </row>
    <row r="85579">
      <c r="A85579" s="1" t="n">
        <v>85578</v>
      </c>
      <c r="B85579">
        <f>TEXT(85578, "[$-0E0000]yyyy-mm-dd")</f>
        <v/>
      </c>
    </row>
    <row r="85580">
      <c r="A85580" s="1" t="n">
        <v>85579</v>
      </c>
      <c r="B85580">
        <f>TEXT(85579, "[$-0E0000]yyyy-mm-dd")</f>
        <v/>
      </c>
    </row>
    <row r="85581">
      <c r="A85581" s="1" t="n">
        <v>85580</v>
      </c>
      <c r="B85581">
        <f>TEXT(85580, "[$-0E0000]yyyy-mm-dd")</f>
        <v/>
      </c>
    </row>
    <row r="85582">
      <c r="A85582" s="1" t="n">
        <v>85581</v>
      </c>
      <c r="B85582">
        <f>TEXT(85581, "[$-0E0000]yyyy-mm-dd")</f>
        <v/>
      </c>
    </row>
    <row r="85583">
      <c r="A85583" s="1" t="n">
        <v>85582</v>
      </c>
      <c r="B85583">
        <f>TEXT(85582, "[$-0E0000]yyyy-mm-dd")</f>
        <v/>
      </c>
    </row>
    <row r="85584">
      <c r="A85584" s="1" t="n">
        <v>85583</v>
      </c>
      <c r="B85584">
        <f>TEXT(85583, "[$-0E0000]yyyy-mm-dd")</f>
        <v/>
      </c>
    </row>
    <row r="85585">
      <c r="A85585" s="1" t="n">
        <v>85584</v>
      </c>
      <c r="B85585">
        <f>TEXT(85584, "[$-0E0000]yyyy-mm-dd")</f>
        <v/>
      </c>
    </row>
    <row r="85586">
      <c r="A85586" s="1" t="n">
        <v>85585</v>
      </c>
      <c r="B85586">
        <f>TEXT(85585, "[$-0E0000]yyyy-mm-dd")</f>
        <v/>
      </c>
    </row>
    <row r="85587">
      <c r="A85587" s="1" t="n">
        <v>85586</v>
      </c>
      <c r="B85587">
        <f>TEXT(85586, "[$-0E0000]yyyy-mm-dd")</f>
        <v/>
      </c>
    </row>
    <row r="85588">
      <c r="A85588" s="1" t="n">
        <v>85587</v>
      </c>
      <c r="B85588">
        <f>TEXT(85587, "[$-0E0000]yyyy-mm-dd")</f>
        <v/>
      </c>
    </row>
    <row r="85589">
      <c r="A85589" s="1" t="n">
        <v>85588</v>
      </c>
      <c r="B85589">
        <f>TEXT(85588, "[$-0E0000]yyyy-mm-dd")</f>
        <v/>
      </c>
    </row>
    <row r="85590">
      <c r="A85590" s="1" t="n">
        <v>85589</v>
      </c>
      <c r="B85590">
        <f>TEXT(85589, "[$-0E0000]yyyy-mm-dd")</f>
        <v/>
      </c>
    </row>
    <row r="85591">
      <c r="A85591" s="1" t="n">
        <v>85590</v>
      </c>
      <c r="B85591">
        <f>TEXT(85590, "[$-0E0000]yyyy-mm-dd")</f>
        <v/>
      </c>
    </row>
    <row r="85592">
      <c r="A85592" s="1" t="n">
        <v>85591</v>
      </c>
      <c r="B85592">
        <f>TEXT(85591, "[$-0E0000]yyyy-mm-dd")</f>
        <v/>
      </c>
    </row>
    <row r="85593">
      <c r="A85593" s="1" t="n">
        <v>85592</v>
      </c>
      <c r="B85593">
        <f>TEXT(85592, "[$-0E0000]yyyy-mm-dd")</f>
        <v/>
      </c>
    </row>
    <row r="85594">
      <c r="A85594" s="1" t="n">
        <v>85593</v>
      </c>
      <c r="B85594">
        <f>TEXT(85593, "[$-0E0000]yyyy-mm-dd")</f>
        <v/>
      </c>
    </row>
    <row r="85595">
      <c r="A85595" s="1" t="n">
        <v>85594</v>
      </c>
      <c r="B85595">
        <f>TEXT(85594, "[$-0E0000]yyyy-mm-dd")</f>
        <v/>
      </c>
    </row>
    <row r="85596">
      <c r="A85596" s="1" t="n">
        <v>85595</v>
      </c>
      <c r="B85596">
        <f>TEXT(85595, "[$-0E0000]yyyy-mm-dd")</f>
        <v/>
      </c>
    </row>
    <row r="85597">
      <c r="A85597" s="1" t="n">
        <v>85596</v>
      </c>
      <c r="B85597">
        <f>TEXT(85596, "[$-0E0000]yyyy-mm-dd")</f>
        <v/>
      </c>
    </row>
    <row r="85598">
      <c r="A85598" s="1" t="n">
        <v>85597</v>
      </c>
      <c r="B85598">
        <f>TEXT(85597, "[$-0E0000]yyyy-mm-dd")</f>
        <v/>
      </c>
    </row>
    <row r="85599">
      <c r="A85599" s="1" t="n">
        <v>85598</v>
      </c>
      <c r="B85599">
        <f>TEXT(85598, "[$-0E0000]yyyy-mm-dd")</f>
        <v/>
      </c>
    </row>
    <row r="85600">
      <c r="A85600" s="1" t="n">
        <v>85599</v>
      </c>
      <c r="B85600">
        <f>TEXT(85599, "[$-0E0000]yyyy-mm-dd")</f>
        <v/>
      </c>
    </row>
    <row r="85601">
      <c r="A85601" s="1" t="n">
        <v>85600</v>
      </c>
      <c r="B85601">
        <f>TEXT(85600, "[$-0E0000]yyyy-mm-dd")</f>
        <v/>
      </c>
    </row>
    <row r="85602">
      <c r="A85602" s="1" t="n">
        <v>85601</v>
      </c>
      <c r="B85602">
        <f>TEXT(85601, "[$-0E0000]yyyy-mm-dd")</f>
        <v/>
      </c>
    </row>
    <row r="85603">
      <c r="A85603" s="1" t="n">
        <v>85602</v>
      </c>
      <c r="B85603">
        <f>TEXT(85602, "[$-0E0000]yyyy-mm-dd")</f>
        <v/>
      </c>
    </row>
    <row r="85604">
      <c r="A85604" s="1" t="n">
        <v>85603</v>
      </c>
      <c r="B85604">
        <f>TEXT(85603, "[$-0E0000]yyyy-mm-dd")</f>
        <v/>
      </c>
    </row>
    <row r="85605">
      <c r="A85605" s="1" t="n">
        <v>85604</v>
      </c>
      <c r="B85605">
        <f>TEXT(85604, "[$-0E0000]yyyy-mm-dd")</f>
        <v/>
      </c>
    </row>
    <row r="85606">
      <c r="A85606" s="1" t="n">
        <v>85605</v>
      </c>
      <c r="B85606">
        <f>TEXT(85605, "[$-0E0000]yyyy-mm-dd")</f>
        <v/>
      </c>
    </row>
    <row r="85607">
      <c r="A85607" s="1" t="n">
        <v>85606</v>
      </c>
      <c r="B85607">
        <f>TEXT(85606, "[$-0E0000]yyyy-mm-dd")</f>
        <v/>
      </c>
    </row>
    <row r="85608">
      <c r="A85608" s="1" t="n">
        <v>85607</v>
      </c>
      <c r="B85608">
        <f>TEXT(85607, "[$-0E0000]yyyy-mm-dd")</f>
        <v/>
      </c>
    </row>
    <row r="85609">
      <c r="A85609" s="1" t="n">
        <v>85608</v>
      </c>
      <c r="B85609">
        <f>TEXT(85608, "[$-0E0000]yyyy-mm-dd")</f>
        <v/>
      </c>
    </row>
    <row r="85610">
      <c r="A85610" s="1" t="n">
        <v>85609</v>
      </c>
      <c r="B85610">
        <f>TEXT(85609, "[$-0E0000]yyyy-mm-dd")</f>
        <v/>
      </c>
    </row>
    <row r="85611">
      <c r="A85611" s="1" t="n">
        <v>85610</v>
      </c>
      <c r="B85611">
        <f>TEXT(85610, "[$-0E0000]yyyy-mm-dd")</f>
        <v/>
      </c>
    </row>
    <row r="85612">
      <c r="A85612" s="1" t="n">
        <v>85611</v>
      </c>
      <c r="B85612">
        <f>TEXT(85611, "[$-0E0000]yyyy-mm-dd")</f>
        <v/>
      </c>
    </row>
    <row r="85613">
      <c r="A85613" s="1" t="n">
        <v>85612</v>
      </c>
      <c r="B85613">
        <f>TEXT(85612, "[$-0E0000]yyyy-mm-dd")</f>
        <v/>
      </c>
    </row>
    <row r="85614">
      <c r="A85614" s="1" t="n">
        <v>85613</v>
      </c>
      <c r="B85614">
        <f>TEXT(85613, "[$-0E0000]yyyy-mm-dd")</f>
        <v/>
      </c>
    </row>
    <row r="85615">
      <c r="A85615" s="1" t="n">
        <v>85614</v>
      </c>
      <c r="B85615">
        <f>TEXT(85614, "[$-0E0000]yyyy-mm-dd")</f>
        <v/>
      </c>
    </row>
    <row r="85616">
      <c r="A85616" s="1" t="n">
        <v>85615</v>
      </c>
      <c r="B85616">
        <f>TEXT(85615, "[$-0E0000]yyyy-mm-dd")</f>
        <v/>
      </c>
    </row>
    <row r="85617">
      <c r="A85617" s="1" t="n">
        <v>85616</v>
      </c>
      <c r="B85617">
        <f>TEXT(85616, "[$-0E0000]yyyy-mm-dd")</f>
        <v/>
      </c>
    </row>
    <row r="85618">
      <c r="A85618" s="1" t="n">
        <v>85617</v>
      </c>
      <c r="B85618">
        <f>TEXT(85617, "[$-0E0000]yyyy-mm-dd")</f>
        <v/>
      </c>
    </row>
    <row r="85619">
      <c r="A85619" s="1" t="n">
        <v>85618</v>
      </c>
      <c r="B85619">
        <f>TEXT(85618, "[$-0E0000]yyyy-mm-dd")</f>
        <v/>
      </c>
    </row>
    <row r="85620">
      <c r="A85620" s="1" t="n">
        <v>85619</v>
      </c>
      <c r="B85620">
        <f>TEXT(85619, "[$-0E0000]yyyy-mm-dd")</f>
        <v/>
      </c>
    </row>
    <row r="85621">
      <c r="A85621" s="1" t="n">
        <v>85620</v>
      </c>
      <c r="B85621">
        <f>TEXT(85620, "[$-0E0000]yyyy-mm-dd")</f>
        <v/>
      </c>
    </row>
    <row r="85622">
      <c r="A85622" s="1" t="n">
        <v>85621</v>
      </c>
      <c r="B85622">
        <f>TEXT(85621, "[$-0E0000]yyyy-mm-dd")</f>
        <v/>
      </c>
    </row>
    <row r="85623">
      <c r="A85623" s="1" t="n">
        <v>85622</v>
      </c>
      <c r="B85623">
        <f>TEXT(85622, "[$-0E0000]yyyy-mm-dd")</f>
        <v/>
      </c>
    </row>
    <row r="85624">
      <c r="A85624" s="1" t="n">
        <v>85623</v>
      </c>
      <c r="B85624">
        <f>TEXT(85623, "[$-0E0000]yyyy-mm-dd")</f>
        <v/>
      </c>
    </row>
    <row r="85625">
      <c r="A85625" s="1" t="n">
        <v>85624</v>
      </c>
      <c r="B85625">
        <f>TEXT(85624, "[$-0E0000]yyyy-mm-dd")</f>
        <v/>
      </c>
    </row>
    <row r="85626">
      <c r="A85626" s="1" t="n">
        <v>85625</v>
      </c>
      <c r="B85626">
        <f>TEXT(85625, "[$-0E0000]yyyy-mm-dd")</f>
        <v/>
      </c>
    </row>
    <row r="85627">
      <c r="A85627" s="1" t="n">
        <v>85626</v>
      </c>
      <c r="B85627">
        <f>TEXT(85626, "[$-0E0000]yyyy-mm-dd")</f>
        <v/>
      </c>
    </row>
    <row r="85628">
      <c r="A85628" s="1" t="n">
        <v>85627</v>
      </c>
      <c r="B85628">
        <f>TEXT(85627, "[$-0E0000]yyyy-mm-dd")</f>
        <v/>
      </c>
    </row>
    <row r="85629">
      <c r="A85629" s="1" t="n">
        <v>85628</v>
      </c>
      <c r="B85629">
        <f>TEXT(85628, "[$-0E0000]yyyy-mm-dd")</f>
        <v/>
      </c>
    </row>
    <row r="85630">
      <c r="A85630" s="1" t="n">
        <v>85629</v>
      </c>
      <c r="B85630">
        <f>TEXT(85629, "[$-0E0000]yyyy-mm-dd")</f>
        <v/>
      </c>
    </row>
    <row r="85631">
      <c r="A85631" s="1" t="n">
        <v>85630</v>
      </c>
      <c r="B85631">
        <f>TEXT(85630, "[$-0E0000]yyyy-mm-dd")</f>
        <v/>
      </c>
    </row>
    <row r="85632">
      <c r="A85632" s="1" t="n">
        <v>85631</v>
      </c>
      <c r="B85632">
        <f>TEXT(85631, "[$-0E0000]yyyy-mm-dd")</f>
        <v/>
      </c>
    </row>
    <row r="85633">
      <c r="A85633" s="1" t="n">
        <v>85632</v>
      </c>
      <c r="B85633">
        <f>TEXT(85632, "[$-0E0000]yyyy-mm-dd")</f>
        <v/>
      </c>
    </row>
    <row r="85634">
      <c r="A85634" s="1" t="n">
        <v>85633</v>
      </c>
      <c r="B85634">
        <f>TEXT(85633, "[$-0E0000]yyyy-mm-dd")</f>
        <v/>
      </c>
    </row>
    <row r="85635">
      <c r="A85635" s="1" t="n">
        <v>85634</v>
      </c>
      <c r="B85635">
        <f>TEXT(85634, "[$-0E0000]yyyy-mm-dd")</f>
        <v/>
      </c>
    </row>
    <row r="85636">
      <c r="A85636" s="1" t="n">
        <v>85635</v>
      </c>
      <c r="B85636">
        <f>TEXT(85635, "[$-0E0000]yyyy-mm-dd")</f>
        <v/>
      </c>
    </row>
    <row r="85637">
      <c r="A85637" s="1" t="n">
        <v>85636</v>
      </c>
      <c r="B85637">
        <f>TEXT(85636, "[$-0E0000]yyyy-mm-dd")</f>
        <v/>
      </c>
    </row>
    <row r="85638">
      <c r="A85638" s="1" t="n">
        <v>85637</v>
      </c>
      <c r="B85638">
        <f>TEXT(85637, "[$-0E0000]yyyy-mm-dd")</f>
        <v/>
      </c>
    </row>
    <row r="85639">
      <c r="A85639" s="1" t="n">
        <v>85638</v>
      </c>
      <c r="B85639">
        <f>TEXT(85638, "[$-0E0000]yyyy-mm-dd")</f>
        <v/>
      </c>
    </row>
    <row r="85640">
      <c r="A85640" s="1" t="n">
        <v>85639</v>
      </c>
      <c r="B85640">
        <f>TEXT(85639, "[$-0E0000]yyyy-mm-dd")</f>
        <v/>
      </c>
    </row>
    <row r="85641">
      <c r="A85641" s="1" t="n">
        <v>85640</v>
      </c>
      <c r="B85641">
        <f>TEXT(85640, "[$-0E0000]yyyy-mm-dd")</f>
        <v/>
      </c>
    </row>
    <row r="85642">
      <c r="A85642" s="1" t="n">
        <v>85641</v>
      </c>
      <c r="B85642">
        <f>TEXT(85641, "[$-0E0000]yyyy-mm-dd")</f>
        <v/>
      </c>
    </row>
    <row r="85643">
      <c r="A85643" s="1" t="n">
        <v>85642</v>
      </c>
      <c r="B85643">
        <f>TEXT(85642, "[$-0E0000]yyyy-mm-dd")</f>
        <v/>
      </c>
    </row>
    <row r="85644">
      <c r="A85644" s="1" t="n">
        <v>85643</v>
      </c>
      <c r="B85644">
        <f>TEXT(85643, "[$-0E0000]yyyy-mm-dd")</f>
        <v/>
      </c>
    </row>
    <row r="85645">
      <c r="A85645" s="1" t="n">
        <v>85644</v>
      </c>
      <c r="B85645">
        <f>TEXT(85644, "[$-0E0000]yyyy-mm-dd")</f>
        <v/>
      </c>
    </row>
    <row r="85646">
      <c r="A85646" s="1" t="n">
        <v>85645</v>
      </c>
      <c r="B85646">
        <f>TEXT(85645, "[$-0E0000]yyyy-mm-dd")</f>
        <v/>
      </c>
    </row>
    <row r="85647">
      <c r="A85647" s="1" t="n">
        <v>85646</v>
      </c>
      <c r="B85647">
        <f>TEXT(85646, "[$-0E0000]yyyy-mm-dd")</f>
        <v/>
      </c>
    </row>
    <row r="85648">
      <c r="A85648" s="1" t="n">
        <v>85647</v>
      </c>
      <c r="B85648">
        <f>TEXT(85647, "[$-0E0000]yyyy-mm-dd")</f>
        <v/>
      </c>
    </row>
    <row r="85649">
      <c r="A85649" s="1" t="n">
        <v>85648</v>
      </c>
      <c r="B85649">
        <f>TEXT(85648, "[$-0E0000]yyyy-mm-dd")</f>
        <v/>
      </c>
    </row>
    <row r="85650">
      <c r="A85650" s="1" t="n">
        <v>85649</v>
      </c>
      <c r="B85650">
        <f>TEXT(85649, "[$-0E0000]yyyy-mm-dd")</f>
        <v/>
      </c>
    </row>
    <row r="85651">
      <c r="A85651" s="1" t="n">
        <v>85650</v>
      </c>
      <c r="B85651">
        <f>TEXT(85650, "[$-0E0000]yyyy-mm-dd")</f>
        <v/>
      </c>
    </row>
    <row r="85652">
      <c r="A85652" s="1" t="n">
        <v>85651</v>
      </c>
      <c r="B85652">
        <f>TEXT(85651, "[$-0E0000]yyyy-mm-dd")</f>
        <v/>
      </c>
    </row>
    <row r="85653">
      <c r="A85653" s="1" t="n">
        <v>85652</v>
      </c>
      <c r="B85653">
        <f>TEXT(85652, "[$-0E0000]yyyy-mm-dd")</f>
        <v/>
      </c>
    </row>
    <row r="85654">
      <c r="A85654" s="1" t="n">
        <v>85653</v>
      </c>
      <c r="B85654">
        <f>TEXT(85653, "[$-0E0000]yyyy-mm-dd")</f>
        <v/>
      </c>
    </row>
    <row r="85655">
      <c r="A85655" s="1" t="n">
        <v>85654</v>
      </c>
      <c r="B85655">
        <f>TEXT(85654, "[$-0E0000]yyyy-mm-dd")</f>
        <v/>
      </c>
    </row>
    <row r="85656">
      <c r="A85656" s="1" t="n">
        <v>85655</v>
      </c>
      <c r="B85656">
        <f>TEXT(85655, "[$-0E0000]yyyy-mm-dd")</f>
        <v/>
      </c>
    </row>
    <row r="85657">
      <c r="A85657" s="1" t="n">
        <v>85656</v>
      </c>
      <c r="B85657">
        <f>TEXT(85656, "[$-0E0000]yyyy-mm-dd")</f>
        <v/>
      </c>
    </row>
    <row r="85658">
      <c r="A85658" s="1" t="n">
        <v>85657</v>
      </c>
      <c r="B85658">
        <f>TEXT(85657, "[$-0E0000]yyyy-mm-dd")</f>
        <v/>
      </c>
    </row>
    <row r="85659">
      <c r="A85659" s="1" t="n">
        <v>85658</v>
      </c>
      <c r="B85659">
        <f>TEXT(85658, "[$-0E0000]yyyy-mm-dd")</f>
        <v/>
      </c>
    </row>
    <row r="85660">
      <c r="A85660" s="1" t="n">
        <v>85659</v>
      </c>
      <c r="B85660">
        <f>TEXT(85659, "[$-0E0000]yyyy-mm-dd")</f>
        <v/>
      </c>
    </row>
    <row r="85661">
      <c r="A85661" s="1" t="n">
        <v>85660</v>
      </c>
      <c r="B85661">
        <f>TEXT(85660, "[$-0E0000]yyyy-mm-dd")</f>
        <v/>
      </c>
    </row>
    <row r="85662">
      <c r="A85662" s="1" t="n">
        <v>85661</v>
      </c>
      <c r="B85662">
        <f>TEXT(85661, "[$-0E0000]yyyy-mm-dd")</f>
        <v/>
      </c>
    </row>
    <row r="85663">
      <c r="A85663" s="1" t="n">
        <v>85662</v>
      </c>
      <c r="B85663">
        <f>TEXT(85662, "[$-0E0000]yyyy-mm-dd")</f>
        <v/>
      </c>
    </row>
    <row r="85664">
      <c r="A85664" s="1" t="n">
        <v>85663</v>
      </c>
      <c r="B85664">
        <f>TEXT(85663, "[$-0E0000]yyyy-mm-dd")</f>
        <v/>
      </c>
    </row>
    <row r="85665">
      <c r="A85665" s="1" t="n">
        <v>85664</v>
      </c>
      <c r="B85665">
        <f>TEXT(85664, "[$-0E0000]yyyy-mm-dd")</f>
        <v/>
      </c>
    </row>
    <row r="85666">
      <c r="A85666" s="1" t="n">
        <v>85665</v>
      </c>
      <c r="B85666">
        <f>TEXT(85665, "[$-0E0000]yyyy-mm-dd")</f>
        <v/>
      </c>
    </row>
    <row r="85667">
      <c r="A85667" s="1" t="n">
        <v>85666</v>
      </c>
      <c r="B85667">
        <f>TEXT(85666, "[$-0E0000]yyyy-mm-dd")</f>
        <v/>
      </c>
    </row>
    <row r="85668">
      <c r="A85668" s="1" t="n">
        <v>85667</v>
      </c>
      <c r="B85668">
        <f>TEXT(85667, "[$-0E0000]yyyy-mm-dd")</f>
        <v/>
      </c>
    </row>
    <row r="85669">
      <c r="A85669" s="1" t="n">
        <v>85668</v>
      </c>
      <c r="B85669">
        <f>TEXT(85668, "[$-0E0000]yyyy-mm-dd")</f>
        <v/>
      </c>
    </row>
    <row r="85670">
      <c r="A85670" s="1" t="n">
        <v>85669</v>
      </c>
      <c r="B85670">
        <f>TEXT(85669, "[$-0E0000]yyyy-mm-dd")</f>
        <v/>
      </c>
    </row>
    <row r="85671">
      <c r="A85671" s="1" t="n">
        <v>85670</v>
      </c>
      <c r="B85671">
        <f>TEXT(85670, "[$-0E0000]yyyy-mm-dd")</f>
        <v/>
      </c>
    </row>
    <row r="85672">
      <c r="A85672" s="1" t="n">
        <v>85671</v>
      </c>
      <c r="B85672">
        <f>TEXT(85671, "[$-0E0000]yyyy-mm-dd")</f>
        <v/>
      </c>
    </row>
    <row r="85673">
      <c r="A85673" s="1" t="n">
        <v>85672</v>
      </c>
      <c r="B85673">
        <f>TEXT(85672, "[$-0E0000]yyyy-mm-dd")</f>
        <v/>
      </c>
    </row>
    <row r="85674">
      <c r="A85674" s="1" t="n">
        <v>85673</v>
      </c>
      <c r="B85674">
        <f>TEXT(85673, "[$-0E0000]yyyy-mm-dd")</f>
        <v/>
      </c>
    </row>
    <row r="85675">
      <c r="A85675" s="1" t="n">
        <v>85674</v>
      </c>
      <c r="B85675">
        <f>TEXT(85674, "[$-0E0000]yyyy-mm-dd")</f>
        <v/>
      </c>
    </row>
    <row r="85676">
      <c r="A85676" s="1" t="n">
        <v>85675</v>
      </c>
      <c r="B85676">
        <f>TEXT(85675, "[$-0E0000]yyyy-mm-dd")</f>
        <v/>
      </c>
    </row>
    <row r="85677">
      <c r="A85677" s="1" t="n">
        <v>85676</v>
      </c>
      <c r="B85677">
        <f>TEXT(85676, "[$-0E0000]yyyy-mm-dd")</f>
        <v/>
      </c>
    </row>
    <row r="85678">
      <c r="A85678" s="1" t="n">
        <v>85677</v>
      </c>
      <c r="B85678">
        <f>TEXT(85677, "[$-0E0000]yyyy-mm-dd")</f>
        <v/>
      </c>
    </row>
    <row r="85679">
      <c r="A85679" s="1" t="n">
        <v>85678</v>
      </c>
      <c r="B85679">
        <f>TEXT(85678, "[$-0E0000]yyyy-mm-dd")</f>
        <v/>
      </c>
    </row>
    <row r="85680">
      <c r="A85680" s="1" t="n">
        <v>85679</v>
      </c>
      <c r="B85680">
        <f>TEXT(85679, "[$-0E0000]yyyy-mm-dd")</f>
        <v/>
      </c>
    </row>
    <row r="85681">
      <c r="A85681" s="1" t="n">
        <v>85680</v>
      </c>
      <c r="B85681">
        <f>TEXT(85680, "[$-0E0000]yyyy-mm-dd")</f>
        <v/>
      </c>
    </row>
    <row r="85682">
      <c r="A85682" s="1" t="n">
        <v>85681</v>
      </c>
      <c r="B85682">
        <f>TEXT(85681, "[$-0E0000]yyyy-mm-dd")</f>
        <v/>
      </c>
    </row>
    <row r="85683">
      <c r="A85683" s="1" t="n">
        <v>85682</v>
      </c>
      <c r="B85683">
        <f>TEXT(85682, "[$-0E0000]yyyy-mm-dd")</f>
        <v/>
      </c>
    </row>
    <row r="85684">
      <c r="A85684" s="1" t="n">
        <v>85683</v>
      </c>
      <c r="B85684">
        <f>TEXT(85683, "[$-0E0000]yyyy-mm-dd")</f>
        <v/>
      </c>
    </row>
    <row r="85685">
      <c r="A85685" s="1" t="n">
        <v>85684</v>
      </c>
      <c r="B85685">
        <f>TEXT(85684, "[$-0E0000]yyyy-mm-dd")</f>
        <v/>
      </c>
    </row>
    <row r="85686">
      <c r="A85686" s="1" t="n">
        <v>85685</v>
      </c>
      <c r="B85686">
        <f>TEXT(85685, "[$-0E0000]yyyy-mm-dd")</f>
        <v/>
      </c>
    </row>
    <row r="85687">
      <c r="A85687" s="1" t="n">
        <v>85686</v>
      </c>
      <c r="B85687">
        <f>TEXT(85686, "[$-0E0000]yyyy-mm-dd")</f>
        <v/>
      </c>
    </row>
    <row r="85688">
      <c r="A85688" s="1" t="n">
        <v>85687</v>
      </c>
      <c r="B85688">
        <f>TEXT(85687, "[$-0E0000]yyyy-mm-dd")</f>
        <v/>
      </c>
    </row>
    <row r="85689">
      <c r="A85689" s="1" t="n">
        <v>85688</v>
      </c>
      <c r="B85689">
        <f>TEXT(85688, "[$-0E0000]yyyy-mm-dd")</f>
        <v/>
      </c>
    </row>
    <row r="85690">
      <c r="A85690" s="1" t="n">
        <v>85689</v>
      </c>
      <c r="B85690">
        <f>TEXT(85689, "[$-0E0000]yyyy-mm-dd")</f>
        <v/>
      </c>
    </row>
    <row r="85691">
      <c r="A85691" s="1" t="n">
        <v>85690</v>
      </c>
      <c r="B85691">
        <f>TEXT(85690, "[$-0E0000]yyyy-mm-dd")</f>
        <v/>
      </c>
    </row>
    <row r="85692">
      <c r="A85692" s="1" t="n">
        <v>85691</v>
      </c>
      <c r="B85692">
        <f>TEXT(85691, "[$-0E0000]yyyy-mm-dd")</f>
        <v/>
      </c>
    </row>
    <row r="85693">
      <c r="A85693" s="1" t="n">
        <v>85692</v>
      </c>
      <c r="B85693">
        <f>TEXT(85692, "[$-0E0000]yyyy-mm-dd")</f>
        <v/>
      </c>
    </row>
    <row r="85694">
      <c r="A85694" s="1" t="n">
        <v>85693</v>
      </c>
      <c r="B85694">
        <f>TEXT(85693, "[$-0E0000]yyyy-mm-dd")</f>
        <v/>
      </c>
    </row>
    <row r="85695">
      <c r="A85695" s="1" t="n">
        <v>85694</v>
      </c>
      <c r="B85695">
        <f>TEXT(85694, "[$-0E0000]yyyy-mm-dd")</f>
        <v/>
      </c>
    </row>
    <row r="85696">
      <c r="A85696" s="1" t="n">
        <v>85695</v>
      </c>
      <c r="B85696">
        <f>TEXT(85695, "[$-0E0000]yyyy-mm-dd")</f>
        <v/>
      </c>
    </row>
    <row r="85697">
      <c r="A85697" s="1" t="n">
        <v>85696</v>
      </c>
      <c r="B85697">
        <f>TEXT(85696, "[$-0E0000]yyyy-mm-dd")</f>
        <v/>
      </c>
    </row>
    <row r="85698">
      <c r="A85698" s="1" t="n">
        <v>85697</v>
      </c>
      <c r="B85698">
        <f>TEXT(85697, "[$-0E0000]yyyy-mm-dd")</f>
        <v/>
      </c>
    </row>
    <row r="85699">
      <c r="A85699" s="1" t="n">
        <v>85698</v>
      </c>
      <c r="B85699">
        <f>TEXT(85698, "[$-0E0000]yyyy-mm-dd")</f>
        <v/>
      </c>
    </row>
    <row r="85700">
      <c r="A85700" s="1" t="n">
        <v>85699</v>
      </c>
      <c r="B85700">
        <f>TEXT(85699, "[$-0E0000]yyyy-mm-dd")</f>
        <v/>
      </c>
    </row>
    <row r="85701">
      <c r="A85701" s="1" t="n">
        <v>85700</v>
      </c>
      <c r="B85701">
        <f>TEXT(85700, "[$-0E0000]yyyy-mm-dd")</f>
        <v/>
      </c>
    </row>
    <row r="85702">
      <c r="A85702" s="1" t="n">
        <v>85701</v>
      </c>
      <c r="B85702">
        <f>TEXT(85701, "[$-0E0000]yyyy-mm-dd")</f>
        <v/>
      </c>
    </row>
    <row r="85703">
      <c r="A85703" s="1" t="n">
        <v>85702</v>
      </c>
      <c r="B85703">
        <f>TEXT(85702, "[$-0E0000]yyyy-mm-dd")</f>
        <v/>
      </c>
    </row>
    <row r="85704">
      <c r="A85704" s="1" t="n">
        <v>85703</v>
      </c>
      <c r="B85704">
        <f>TEXT(85703, "[$-0E0000]yyyy-mm-dd")</f>
        <v/>
      </c>
    </row>
    <row r="85705">
      <c r="A85705" s="1" t="n">
        <v>85704</v>
      </c>
      <c r="B85705">
        <f>TEXT(85704, "[$-0E0000]yyyy-mm-dd")</f>
        <v/>
      </c>
    </row>
    <row r="85706">
      <c r="A85706" s="1" t="n">
        <v>85705</v>
      </c>
      <c r="B85706">
        <f>TEXT(85705, "[$-0E0000]yyyy-mm-dd")</f>
        <v/>
      </c>
    </row>
    <row r="85707">
      <c r="A85707" s="1" t="n">
        <v>85706</v>
      </c>
      <c r="B85707">
        <f>TEXT(85706, "[$-0E0000]yyyy-mm-dd")</f>
        <v/>
      </c>
    </row>
    <row r="85708">
      <c r="A85708" s="1" t="n">
        <v>85707</v>
      </c>
      <c r="B85708">
        <f>TEXT(85707, "[$-0E0000]yyyy-mm-dd")</f>
        <v/>
      </c>
    </row>
    <row r="85709">
      <c r="A85709" s="1" t="n">
        <v>85708</v>
      </c>
      <c r="B85709">
        <f>TEXT(85708, "[$-0E0000]yyyy-mm-dd")</f>
        <v/>
      </c>
    </row>
    <row r="85710">
      <c r="A85710" s="1" t="n">
        <v>85709</v>
      </c>
      <c r="B85710">
        <f>TEXT(85709, "[$-0E0000]yyyy-mm-dd")</f>
        <v/>
      </c>
    </row>
    <row r="85711">
      <c r="A85711" s="1" t="n">
        <v>85710</v>
      </c>
      <c r="B85711">
        <f>TEXT(85710, "[$-0E0000]yyyy-mm-dd")</f>
        <v/>
      </c>
    </row>
    <row r="85712">
      <c r="A85712" s="1" t="n">
        <v>85711</v>
      </c>
      <c r="B85712">
        <f>TEXT(85711, "[$-0E0000]yyyy-mm-dd")</f>
        <v/>
      </c>
    </row>
    <row r="85713">
      <c r="A85713" s="1" t="n">
        <v>85712</v>
      </c>
      <c r="B85713">
        <f>TEXT(85712, "[$-0E0000]yyyy-mm-dd")</f>
        <v/>
      </c>
    </row>
    <row r="85714">
      <c r="A85714" s="1" t="n">
        <v>85713</v>
      </c>
      <c r="B85714">
        <f>TEXT(85713, "[$-0E0000]yyyy-mm-dd")</f>
        <v/>
      </c>
    </row>
    <row r="85715">
      <c r="A85715" s="1" t="n">
        <v>85714</v>
      </c>
      <c r="B85715">
        <f>TEXT(85714, "[$-0E0000]yyyy-mm-dd")</f>
        <v/>
      </c>
    </row>
    <row r="85716">
      <c r="A85716" s="1" t="n">
        <v>85715</v>
      </c>
      <c r="B85716">
        <f>TEXT(85715, "[$-0E0000]yyyy-mm-dd")</f>
        <v/>
      </c>
    </row>
    <row r="85717">
      <c r="A85717" s="1" t="n">
        <v>85716</v>
      </c>
      <c r="B85717">
        <f>TEXT(85716, "[$-0E0000]yyyy-mm-dd")</f>
        <v/>
      </c>
    </row>
    <row r="85718">
      <c r="A85718" s="1" t="n">
        <v>85717</v>
      </c>
      <c r="B85718">
        <f>TEXT(85717, "[$-0E0000]yyyy-mm-dd")</f>
        <v/>
      </c>
    </row>
    <row r="85719">
      <c r="A85719" s="1" t="n">
        <v>85718</v>
      </c>
      <c r="B85719">
        <f>TEXT(85718, "[$-0E0000]yyyy-mm-dd")</f>
        <v/>
      </c>
    </row>
    <row r="85720">
      <c r="A85720" s="1" t="n">
        <v>85719</v>
      </c>
      <c r="B85720">
        <f>TEXT(85719, "[$-0E0000]yyyy-mm-dd")</f>
        <v/>
      </c>
    </row>
    <row r="85721">
      <c r="A85721" s="1" t="n">
        <v>85720</v>
      </c>
      <c r="B85721">
        <f>TEXT(85720, "[$-0E0000]yyyy-mm-dd")</f>
        <v/>
      </c>
    </row>
    <row r="85722">
      <c r="A85722" s="1" t="n">
        <v>85721</v>
      </c>
      <c r="B85722">
        <f>TEXT(85721, "[$-0E0000]yyyy-mm-dd")</f>
        <v/>
      </c>
    </row>
    <row r="85723">
      <c r="A85723" s="1" t="n">
        <v>85722</v>
      </c>
      <c r="B85723">
        <f>TEXT(85722, "[$-0E0000]yyyy-mm-dd")</f>
        <v/>
      </c>
    </row>
    <row r="85724">
      <c r="A85724" s="1" t="n">
        <v>85723</v>
      </c>
      <c r="B85724">
        <f>TEXT(85723, "[$-0E0000]yyyy-mm-dd")</f>
        <v/>
      </c>
    </row>
    <row r="85725">
      <c r="A85725" s="1" t="n">
        <v>85724</v>
      </c>
      <c r="B85725">
        <f>TEXT(85724, "[$-0E0000]yyyy-mm-dd")</f>
        <v/>
      </c>
    </row>
    <row r="85726">
      <c r="A85726" s="1" t="n">
        <v>85725</v>
      </c>
      <c r="B85726">
        <f>TEXT(85725, "[$-0E0000]yyyy-mm-dd")</f>
        <v/>
      </c>
    </row>
    <row r="85727">
      <c r="A85727" s="1" t="n">
        <v>85726</v>
      </c>
      <c r="B85727">
        <f>TEXT(85726, "[$-0E0000]yyyy-mm-dd")</f>
        <v/>
      </c>
    </row>
    <row r="85728">
      <c r="A85728" s="1" t="n">
        <v>85727</v>
      </c>
      <c r="B85728">
        <f>TEXT(85727, "[$-0E0000]yyyy-mm-dd")</f>
        <v/>
      </c>
    </row>
    <row r="85729">
      <c r="A85729" s="1" t="n">
        <v>85728</v>
      </c>
      <c r="B85729">
        <f>TEXT(85728, "[$-0E0000]yyyy-mm-dd")</f>
        <v/>
      </c>
    </row>
    <row r="85730">
      <c r="A85730" s="1" t="n">
        <v>85729</v>
      </c>
      <c r="B85730">
        <f>TEXT(85729, "[$-0E0000]yyyy-mm-dd")</f>
        <v/>
      </c>
    </row>
    <row r="85731">
      <c r="A85731" s="1" t="n">
        <v>85730</v>
      </c>
      <c r="B85731">
        <f>TEXT(85730, "[$-0E0000]yyyy-mm-dd")</f>
        <v/>
      </c>
    </row>
    <row r="85732">
      <c r="A85732" s="1" t="n">
        <v>85731</v>
      </c>
      <c r="B85732">
        <f>TEXT(85731, "[$-0E0000]yyyy-mm-dd")</f>
        <v/>
      </c>
    </row>
    <row r="85733">
      <c r="A85733" s="1" t="n">
        <v>85732</v>
      </c>
      <c r="B85733">
        <f>TEXT(85732, "[$-0E0000]yyyy-mm-dd")</f>
        <v/>
      </c>
    </row>
    <row r="85734">
      <c r="A85734" s="1" t="n">
        <v>85733</v>
      </c>
      <c r="B85734">
        <f>TEXT(85733, "[$-0E0000]yyyy-mm-dd")</f>
        <v/>
      </c>
    </row>
    <row r="85735">
      <c r="A85735" s="1" t="n">
        <v>85734</v>
      </c>
      <c r="B85735">
        <f>TEXT(85734, "[$-0E0000]yyyy-mm-dd")</f>
        <v/>
      </c>
    </row>
    <row r="85736">
      <c r="A85736" s="1" t="n">
        <v>85735</v>
      </c>
      <c r="B85736">
        <f>TEXT(85735, "[$-0E0000]yyyy-mm-dd")</f>
        <v/>
      </c>
    </row>
    <row r="85737">
      <c r="A85737" s="1" t="n">
        <v>85736</v>
      </c>
      <c r="B85737">
        <f>TEXT(85736, "[$-0E0000]yyyy-mm-dd")</f>
        <v/>
      </c>
    </row>
    <row r="85738">
      <c r="A85738" s="1" t="n">
        <v>85737</v>
      </c>
      <c r="B85738">
        <f>TEXT(85737, "[$-0E0000]yyyy-mm-dd")</f>
        <v/>
      </c>
    </row>
    <row r="85739">
      <c r="A85739" s="1" t="n">
        <v>85738</v>
      </c>
      <c r="B85739">
        <f>TEXT(85738, "[$-0E0000]yyyy-mm-dd")</f>
        <v/>
      </c>
    </row>
    <row r="85740">
      <c r="A85740" s="1" t="n">
        <v>85739</v>
      </c>
      <c r="B85740">
        <f>TEXT(85739, "[$-0E0000]yyyy-mm-dd")</f>
        <v/>
      </c>
    </row>
    <row r="85741">
      <c r="A85741" s="1" t="n">
        <v>85740</v>
      </c>
      <c r="B85741">
        <f>TEXT(85740, "[$-0E0000]yyyy-mm-dd")</f>
        <v/>
      </c>
    </row>
    <row r="85742">
      <c r="A85742" s="1" t="n">
        <v>85741</v>
      </c>
      <c r="B85742">
        <f>TEXT(85741, "[$-0E0000]yyyy-mm-dd")</f>
        <v/>
      </c>
    </row>
    <row r="85743">
      <c r="A85743" s="1" t="n">
        <v>85742</v>
      </c>
      <c r="B85743">
        <f>TEXT(85742, "[$-0E0000]yyyy-mm-dd")</f>
        <v/>
      </c>
    </row>
    <row r="85744">
      <c r="A85744" s="1" t="n">
        <v>85743</v>
      </c>
      <c r="B85744">
        <f>TEXT(85743, "[$-0E0000]yyyy-mm-dd")</f>
        <v/>
      </c>
    </row>
    <row r="85745">
      <c r="A85745" s="1" t="n">
        <v>85744</v>
      </c>
      <c r="B85745">
        <f>TEXT(85744, "[$-0E0000]yyyy-mm-dd")</f>
        <v/>
      </c>
    </row>
    <row r="85746">
      <c r="A85746" s="1" t="n">
        <v>85745</v>
      </c>
      <c r="B85746">
        <f>TEXT(85745, "[$-0E0000]yyyy-mm-dd")</f>
        <v/>
      </c>
    </row>
    <row r="85747">
      <c r="A85747" s="1" t="n">
        <v>85746</v>
      </c>
      <c r="B85747">
        <f>TEXT(85746, "[$-0E0000]yyyy-mm-dd")</f>
        <v/>
      </c>
    </row>
    <row r="85748">
      <c r="A85748" s="1" t="n">
        <v>85747</v>
      </c>
      <c r="B85748">
        <f>TEXT(85747, "[$-0E0000]yyyy-mm-dd")</f>
        <v/>
      </c>
    </row>
    <row r="85749">
      <c r="A85749" s="1" t="n">
        <v>85748</v>
      </c>
      <c r="B85749">
        <f>TEXT(85748, "[$-0E0000]yyyy-mm-dd")</f>
        <v/>
      </c>
    </row>
    <row r="85750">
      <c r="A85750" s="1" t="n">
        <v>85749</v>
      </c>
      <c r="B85750">
        <f>TEXT(85749, "[$-0E0000]yyyy-mm-dd")</f>
        <v/>
      </c>
    </row>
    <row r="85751">
      <c r="A85751" s="1" t="n">
        <v>85750</v>
      </c>
      <c r="B85751">
        <f>TEXT(85750, "[$-0E0000]yyyy-mm-dd")</f>
        <v/>
      </c>
    </row>
    <row r="85752">
      <c r="A85752" s="1" t="n">
        <v>85751</v>
      </c>
      <c r="B85752">
        <f>TEXT(85751, "[$-0E0000]yyyy-mm-dd")</f>
        <v/>
      </c>
    </row>
    <row r="85753">
      <c r="A85753" s="1" t="n">
        <v>85752</v>
      </c>
      <c r="B85753">
        <f>TEXT(85752, "[$-0E0000]yyyy-mm-dd")</f>
        <v/>
      </c>
    </row>
    <row r="85754">
      <c r="A85754" s="1" t="n">
        <v>85753</v>
      </c>
      <c r="B85754">
        <f>TEXT(85753, "[$-0E0000]yyyy-mm-dd")</f>
        <v/>
      </c>
    </row>
    <row r="85755">
      <c r="A85755" s="1" t="n">
        <v>85754</v>
      </c>
      <c r="B85755">
        <f>TEXT(85754, "[$-0E0000]yyyy-mm-dd")</f>
        <v/>
      </c>
    </row>
    <row r="85756">
      <c r="A85756" s="1" t="n">
        <v>85755</v>
      </c>
      <c r="B85756">
        <f>TEXT(85755, "[$-0E0000]yyyy-mm-dd")</f>
        <v/>
      </c>
    </row>
    <row r="85757">
      <c r="A85757" s="1" t="n">
        <v>85756</v>
      </c>
      <c r="B85757">
        <f>TEXT(85756, "[$-0E0000]yyyy-mm-dd")</f>
        <v/>
      </c>
    </row>
    <row r="85758">
      <c r="A85758" s="1" t="n">
        <v>85757</v>
      </c>
      <c r="B85758">
        <f>TEXT(85757, "[$-0E0000]yyyy-mm-dd")</f>
        <v/>
      </c>
    </row>
    <row r="85759">
      <c r="A85759" s="1" t="n">
        <v>85758</v>
      </c>
      <c r="B85759">
        <f>TEXT(85758, "[$-0E0000]yyyy-mm-dd")</f>
        <v/>
      </c>
    </row>
    <row r="85760">
      <c r="A85760" s="1" t="n">
        <v>85759</v>
      </c>
      <c r="B85760">
        <f>TEXT(85759, "[$-0E0000]yyyy-mm-dd")</f>
        <v/>
      </c>
    </row>
    <row r="85761">
      <c r="A85761" s="1" t="n">
        <v>85760</v>
      </c>
      <c r="B85761">
        <f>TEXT(85760, "[$-0E0000]yyyy-mm-dd")</f>
        <v/>
      </c>
    </row>
    <row r="85762">
      <c r="A85762" s="1" t="n">
        <v>85761</v>
      </c>
      <c r="B85762">
        <f>TEXT(85761, "[$-0E0000]yyyy-mm-dd")</f>
        <v/>
      </c>
    </row>
    <row r="85763">
      <c r="A85763" s="1" t="n">
        <v>85762</v>
      </c>
      <c r="B85763">
        <f>TEXT(85762, "[$-0E0000]yyyy-mm-dd")</f>
        <v/>
      </c>
    </row>
    <row r="85764">
      <c r="A85764" s="1" t="n">
        <v>85763</v>
      </c>
      <c r="B85764">
        <f>TEXT(85763, "[$-0E0000]yyyy-mm-dd")</f>
        <v/>
      </c>
    </row>
    <row r="85765">
      <c r="A85765" s="1" t="n">
        <v>85764</v>
      </c>
      <c r="B85765">
        <f>TEXT(85764, "[$-0E0000]yyyy-mm-dd")</f>
        <v/>
      </c>
    </row>
    <row r="85766">
      <c r="A85766" s="1" t="n">
        <v>85765</v>
      </c>
      <c r="B85766">
        <f>TEXT(85765, "[$-0E0000]yyyy-mm-dd")</f>
        <v/>
      </c>
    </row>
    <row r="85767">
      <c r="A85767" s="1" t="n">
        <v>85766</v>
      </c>
      <c r="B85767">
        <f>TEXT(85766, "[$-0E0000]yyyy-mm-dd")</f>
        <v/>
      </c>
    </row>
    <row r="85768">
      <c r="A85768" s="1" t="n">
        <v>85767</v>
      </c>
      <c r="B85768">
        <f>TEXT(85767, "[$-0E0000]yyyy-mm-dd")</f>
        <v/>
      </c>
    </row>
    <row r="85769">
      <c r="A85769" s="1" t="n">
        <v>85768</v>
      </c>
      <c r="B85769">
        <f>TEXT(85768, "[$-0E0000]yyyy-mm-dd")</f>
        <v/>
      </c>
    </row>
    <row r="85770">
      <c r="A85770" s="1" t="n">
        <v>85769</v>
      </c>
      <c r="B85770">
        <f>TEXT(85769, "[$-0E0000]yyyy-mm-dd")</f>
        <v/>
      </c>
    </row>
    <row r="85771">
      <c r="A85771" s="1" t="n">
        <v>85770</v>
      </c>
      <c r="B85771">
        <f>TEXT(85770, "[$-0E0000]yyyy-mm-dd")</f>
        <v/>
      </c>
    </row>
    <row r="85772">
      <c r="A85772" s="1" t="n">
        <v>85771</v>
      </c>
      <c r="B85772">
        <f>TEXT(85771, "[$-0E0000]yyyy-mm-dd")</f>
        <v/>
      </c>
    </row>
    <row r="85773">
      <c r="A85773" s="1" t="n">
        <v>85772</v>
      </c>
      <c r="B85773">
        <f>TEXT(85772, "[$-0E0000]yyyy-mm-dd")</f>
        <v/>
      </c>
    </row>
    <row r="85774">
      <c r="A85774" s="1" t="n">
        <v>85773</v>
      </c>
      <c r="B85774">
        <f>TEXT(85773, "[$-0E0000]yyyy-mm-dd")</f>
        <v/>
      </c>
    </row>
    <row r="85775">
      <c r="A85775" s="1" t="n">
        <v>85774</v>
      </c>
      <c r="B85775">
        <f>TEXT(85774, "[$-0E0000]yyyy-mm-dd")</f>
        <v/>
      </c>
    </row>
    <row r="85776">
      <c r="A85776" s="1" t="n">
        <v>85775</v>
      </c>
      <c r="B85776">
        <f>TEXT(85775, "[$-0E0000]yyyy-mm-dd")</f>
        <v/>
      </c>
    </row>
    <row r="85777">
      <c r="A85777" s="1" t="n">
        <v>85776</v>
      </c>
      <c r="B85777">
        <f>TEXT(85776, "[$-0E0000]yyyy-mm-dd")</f>
        <v/>
      </c>
    </row>
    <row r="85778">
      <c r="A85778" s="1" t="n">
        <v>85777</v>
      </c>
      <c r="B85778">
        <f>TEXT(85777, "[$-0E0000]yyyy-mm-dd")</f>
        <v/>
      </c>
    </row>
    <row r="85779">
      <c r="A85779" s="1" t="n">
        <v>85778</v>
      </c>
      <c r="B85779">
        <f>TEXT(85778, "[$-0E0000]yyyy-mm-dd")</f>
        <v/>
      </c>
    </row>
    <row r="85780">
      <c r="A85780" s="1" t="n">
        <v>85779</v>
      </c>
      <c r="B85780">
        <f>TEXT(85779, "[$-0E0000]yyyy-mm-dd")</f>
        <v/>
      </c>
    </row>
    <row r="85781">
      <c r="A85781" s="1" t="n">
        <v>85780</v>
      </c>
      <c r="B85781">
        <f>TEXT(85780, "[$-0E0000]yyyy-mm-dd")</f>
        <v/>
      </c>
    </row>
    <row r="85782">
      <c r="A85782" s="1" t="n">
        <v>85781</v>
      </c>
      <c r="B85782">
        <f>TEXT(85781, "[$-0E0000]yyyy-mm-dd")</f>
        <v/>
      </c>
    </row>
    <row r="85783">
      <c r="A85783" s="1" t="n">
        <v>85782</v>
      </c>
      <c r="B85783">
        <f>TEXT(85782, "[$-0E0000]yyyy-mm-dd")</f>
        <v/>
      </c>
    </row>
    <row r="85784">
      <c r="A85784" s="1" t="n">
        <v>85783</v>
      </c>
      <c r="B85784">
        <f>TEXT(85783, "[$-0E0000]yyyy-mm-dd")</f>
        <v/>
      </c>
    </row>
    <row r="85785">
      <c r="A85785" s="1" t="n">
        <v>85784</v>
      </c>
      <c r="B85785">
        <f>TEXT(85784, "[$-0E0000]yyyy-mm-dd")</f>
        <v/>
      </c>
    </row>
    <row r="85786">
      <c r="A85786" s="1" t="n">
        <v>85785</v>
      </c>
      <c r="B85786">
        <f>TEXT(85785, "[$-0E0000]yyyy-mm-dd")</f>
        <v/>
      </c>
    </row>
    <row r="85787">
      <c r="A85787" s="1" t="n">
        <v>85786</v>
      </c>
      <c r="B85787">
        <f>TEXT(85786, "[$-0E0000]yyyy-mm-dd")</f>
        <v/>
      </c>
    </row>
    <row r="85788">
      <c r="A85788" s="1" t="n">
        <v>85787</v>
      </c>
      <c r="B85788">
        <f>TEXT(85787, "[$-0E0000]yyyy-mm-dd")</f>
        <v/>
      </c>
    </row>
    <row r="85789">
      <c r="A85789" s="1" t="n">
        <v>85788</v>
      </c>
      <c r="B85789">
        <f>TEXT(85788, "[$-0E0000]yyyy-mm-dd")</f>
        <v/>
      </c>
    </row>
    <row r="85790">
      <c r="A85790" s="1" t="n">
        <v>85789</v>
      </c>
      <c r="B85790">
        <f>TEXT(85789, "[$-0E0000]yyyy-mm-dd")</f>
        <v/>
      </c>
    </row>
    <row r="85791">
      <c r="A85791" s="1" t="n">
        <v>85790</v>
      </c>
      <c r="B85791">
        <f>TEXT(85790, "[$-0E0000]yyyy-mm-dd")</f>
        <v/>
      </c>
    </row>
    <row r="85792">
      <c r="A85792" s="1" t="n">
        <v>85791</v>
      </c>
      <c r="B85792">
        <f>TEXT(85791, "[$-0E0000]yyyy-mm-dd")</f>
        <v/>
      </c>
    </row>
    <row r="85793">
      <c r="A85793" s="1" t="n">
        <v>85792</v>
      </c>
      <c r="B85793">
        <f>TEXT(85792, "[$-0E0000]yyyy-mm-dd")</f>
        <v/>
      </c>
    </row>
    <row r="85794">
      <c r="A85794" s="1" t="n">
        <v>85793</v>
      </c>
      <c r="B85794">
        <f>TEXT(85793, "[$-0E0000]yyyy-mm-dd")</f>
        <v/>
      </c>
    </row>
    <row r="85795">
      <c r="A85795" s="1" t="n">
        <v>85794</v>
      </c>
      <c r="B85795">
        <f>TEXT(85794, "[$-0E0000]yyyy-mm-dd")</f>
        <v/>
      </c>
    </row>
    <row r="85796">
      <c r="A85796" s="1" t="n">
        <v>85795</v>
      </c>
      <c r="B85796">
        <f>TEXT(85795, "[$-0E0000]yyyy-mm-dd")</f>
        <v/>
      </c>
    </row>
    <row r="85797">
      <c r="A85797" s="1" t="n">
        <v>85796</v>
      </c>
      <c r="B85797">
        <f>TEXT(85796, "[$-0E0000]yyyy-mm-dd")</f>
        <v/>
      </c>
    </row>
    <row r="85798">
      <c r="A85798" s="1" t="n">
        <v>85797</v>
      </c>
      <c r="B85798">
        <f>TEXT(85797, "[$-0E0000]yyyy-mm-dd")</f>
        <v/>
      </c>
    </row>
    <row r="85799">
      <c r="A85799" s="1" t="n">
        <v>85798</v>
      </c>
      <c r="B85799">
        <f>TEXT(85798, "[$-0E0000]yyyy-mm-dd")</f>
        <v/>
      </c>
    </row>
    <row r="85800">
      <c r="A85800" s="1" t="n">
        <v>85799</v>
      </c>
      <c r="B85800">
        <f>TEXT(85799, "[$-0E0000]yyyy-mm-dd")</f>
        <v/>
      </c>
    </row>
    <row r="85801">
      <c r="A85801" s="1" t="n">
        <v>85800</v>
      </c>
      <c r="B85801">
        <f>TEXT(85800, "[$-0E0000]yyyy-mm-dd")</f>
        <v/>
      </c>
    </row>
    <row r="85802">
      <c r="A85802" s="1" t="n">
        <v>85801</v>
      </c>
      <c r="B85802">
        <f>TEXT(85801, "[$-0E0000]yyyy-mm-dd")</f>
        <v/>
      </c>
    </row>
    <row r="85803">
      <c r="A85803" s="1" t="n">
        <v>85802</v>
      </c>
      <c r="B85803">
        <f>TEXT(85802, "[$-0E0000]yyyy-mm-dd")</f>
        <v/>
      </c>
    </row>
    <row r="85804">
      <c r="A85804" s="1" t="n">
        <v>85803</v>
      </c>
      <c r="B85804">
        <f>TEXT(85803, "[$-0E0000]yyyy-mm-dd")</f>
        <v/>
      </c>
    </row>
    <row r="85805">
      <c r="A85805" s="1" t="n">
        <v>85804</v>
      </c>
      <c r="B85805">
        <f>TEXT(85804, "[$-0E0000]yyyy-mm-dd")</f>
        <v/>
      </c>
    </row>
    <row r="85806">
      <c r="A85806" s="1" t="n">
        <v>85805</v>
      </c>
      <c r="B85806">
        <f>TEXT(85805, "[$-0E0000]yyyy-mm-dd")</f>
        <v/>
      </c>
    </row>
    <row r="85807">
      <c r="A85807" s="1" t="n">
        <v>85806</v>
      </c>
      <c r="B85807">
        <f>TEXT(85806, "[$-0E0000]yyyy-mm-dd")</f>
        <v/>
      </c>
    </row>
    <row r="85808">
      <c r="A85808" s="1" t="n">
        <v>85807</v>
      </c>
      <c r="B85808">
        <f>TEXT(85807, "[$-0E0000]yyyy-mm-dd")</f>
        <v/>
      </c>
    </row>
    <row r="85809">
      <c r="A85809" s="1" t="n">
        <v>85808</v>
      </c>
      <c r="B85809">
        <f>TEXT(85808, "[$-0E0000]yyyy-mm-dd")</f>
        <v/>
      </c>
    </row>
    <row r="85810">
      <c r="A85810" s="1" t="n">
        <v>85809</v>
      </c>
      <c r="B85810">
        <f>TEXT(85809, "[$-0E0000]yyyy-mm-dd")</f>
        <v/>
      </c>
    </row>
    <row r="85811">
      <c r="A85811" s="1" t="n">
        <v>85810</v>
      </c>
      <c r="B85811">
        <f>TEXT(85810, "[$-0E0000]yyyy-mm-dd")</f>
        <v/>
      </c>
    </row>
    <row r="85812">
      <c r="A85812" s="1" t="n">
        <v>85811</v>
      </c>
      <c r="B85812">
        <f>TEXT(85811, "[$-0E0000]yyyy-mm-dd")</f>
        <v/>
      </c>
    </row>
    <row r="85813">
      <c r="A85813" s="1" t="n">
        <v>85812</v>
      </c>
      <c r="B85813">
        <f>TEXT(85812, "[$-0E0000]yyyy-mm-dd")</f>
        <v/>
      </c>
    </row>
    <row r="85814">
      <c r="A85814" s="1" t="n">
        <v>85813</v>
      </c>
      <c r="B85814">
        <f>TEXT(85813, "[$-0E0000]yyyy-mm-dd")</f>
        <v/>
      </c>
    </row>
    <row r="85815">
      <c r="A85815" s="1" t="n">
        <v>85814</v>
      </c>
      <c r="B85815">
        <f>TEXT(85814, "[$-0E0000]yyyy-mm-dd")</f>
        <v/>
      </c>
    </row>
    <row r="85816">
      <c r="A85816" s="1" t="n">
        <v>85815</v>
      </c>
      <c r="B85816">
        <f>TEXT(85815, "[$-0E0000]yyyy-mm-dd")</f>
        <v/>
      </c>
    </row>
    <row r="85817">
      <c r="A85817" s="1" t="n">
        <v>85816</v>
      </c>
      <c r="B85817">
        <f>TEXT(85816, "[$-0E0000]yyyy-mm-dd")</f>
        <v/>
      </c>
    </row>
    <row r="85818">
      <c r="A85818" s="1" t="n">
        <v>85817</v>
      </c>
      <c r="B85818">
        <f>TEXT(85817, "[$-0E0000]yyyy-mm-dd")</f>
        <v/>
      </c>
    </row>
    <row r="85819">
      <c r="A85819" s="1" t="n">
        <v>85818</v>
      </c>
      <c r="B85819">
        <f>TEXT(85818, "[$-0E0000]yyyy-mm-dd")</f>
        <v/>
      </c>
    </row>
    <row r="85820">
      <c r="A85820" s="1" t="n">
        <v>85819</v>
      </c>
      <c r="B85820">
        <f>TEXT(85819, "[$-0E0000]yyyy-mm-dd")</f>
        <v/>
      </c>
    </row>
    <row r="85821">
      <c r="A85821" s="1" t="n">
        <v>85820</v>
      </c>
      <c r="B85821">
        <f>TEXT(85820, "[$-0E0000]yyyy-mm-dd")</f>
        <v/>
      </c>
    </row>
    <row r="85822">
      <c r="A85822" s="1" t="n">
        <v>85821</v>
      </c>
      <c r="B85822">
        <f>TEXT(85821, "[$-0E0000]yyyy-mm-dd")</f>
        <v/>
      </c>
    </row>
    <row r="85823">
      <c r="A85823" s="1" t="n">
        <v>85822</v>
      </c>
      <c r="B85823">
        <f>TEXT(85822, "[$-0E0000]yyyy-mm-dd")</f>
        <v/>
      </c>
    </row>
    <row r="85824">
      <c r="A85824" s="1" t="n">
        <v>85823</v>
      </c>
      <c r="B85824">
        <f>TEXT(85823, "[$-0E0000]yyyy-mm-dd")</f>
        <v/>
      </c>
    </row>
    <row r="85825">
      <c r="A85825" s="1" t="n">
        <v>85824</v>
      </c>
      <c r="B85825">
        <f>TEXT(85824, "[$-0E0000]yyyy-mm-dd")</f>
        <v/>
      </c>
    </row>
    <row r="85826">
      <c r="A85826" s="1" t="n">
        <v>85825</v>
      </c>
      <c r="B85826">
        <f>TEXT(85825, "[$-0E0000]yyyy-mm-dd")</f>
        <v/>
      </c>
    </row>
    <row r="85827">
      <c r="A85827" s="1" t="n">
        <v>85826</v>
      </c>
      <c r="B85827">
        <f>TEXT(85826, "[$-0E0000]yyyy-mm-dd")</f>
        <v/>
      </c>
    </row>
    <row r="85828">
      <c r="A85828" s="1" t="n">
        <v>85827</v>
      </c>
      <c r="B85828">
        <f>TEXT(85827, "[$-0E0000]yyyy-mm-dd")</f>
        <v/>
      </c>
    </row>
    <row r="85829">
      <c r="A85829" s="1" t="n">
        <v>85828</v>
      </c>
      <c r="B85829">
        <f>TEXT(85828, "[$-0E0000]yyyy-mm-dd")</f>
        <v/>
      </c>
    </row>
    <row r="85830">
      <c r="A85830" s="1" t="n">
        <v>85829</v>
      </c>
      <c r="B85830">
        <f>TEXT(85829, "[$-0E0000]yyyy-mm-dd")</f>
        <v/>
      </c>
    </row>
    <row r="85831">
      <c r="A85831" s="1" t="n">
        <v>85830</v>
      </c>
      <c r="B85831">
        <f>TEXT(85830, "[$-0E0000]yyyy-mm-dd")</f>
        <v/>
      </c>
    </row>
    <row r="85832">
      <c r="A85832" s="1" t="n">
        <v>85831</v>
      </c>
      <c r="B85832">
        <f>TEXT(85831, "[$-0E0000]yyyy-mm-dd")</f>
        <v/>
      </c>
    </row>
    <row r="85833">
      <c r="A85833" s="1" t="n">
        <v>85832</v>
      </c>
      <c r="B85833">
        <f>TEXT(85832, "[$-0E0000]yyyy-mm-dd")</f>
        <v/>
      </c>
    </row>
    <row r="85834">
      <c r="A85834" s="1" t="n">
        <v>85833</v>
      </c>
      <c r="B85834">
        <f>TEXT(85833, "[$-0E0000]yyyy-mm-dd")</f>
        <v/>
      </c>
    </row>
    <row r="85835">
      <c r="A85835" s="1" t="n">
        <v>85834</v>
      </c>
      <c r="B85835">
        <f>TEXT(85834, "[$-0E0000]yyyy-mm-dd")</f>
        <v/>
      </c>
    </row>
    <row r="85836">
      <c r="A85836" s="1" t="n">
        <v>85835</v>
      </c>
      <c r="B85836">
        <f>TEXT(85835, "[$-0E0000]yyyy-mm-dd")</f>
        <v/>
      </c>
    </row>
    <row r="85837">
      <c r="A85837" s="1" t="n">
        <v>85836</v>
      </c>
      <c r="B85837">
        <f>TEXT(85836, "[$-0E0000]yyyy-mm-dd")</f>
        <v/>
      </c>
    </row>
    <row r="85838">
      <c r="A85838" s="1" t="n">
        <v>85837</v>
      </c>
      <c r="B85838">
        <f>TEXT(85837, "[$-0E0000]yyyy-mm-dd")</f>
        <v/>
      </c>
    </row>
    <row r="85839">
      <c r="A85839" s="1" t="n">
        <v>85838</v>
      </c>
      <c r="B85839">
        <f>TEXT(85838, "[$-0E0000]yyyy-mm-dd")</f>
        <v/>
      </c>
    </row>
    <row r="85840">
      <c r="A85840" s="1" t="n">
        <v>85839</v>
      </c>
      <c r="B85840">
        <f>TEXT(85839, "[$-0E0000]yyyy-mm-dd")</f>
        <v/>
      </c>
    </row>
    <row r="85841">
      <c r="A85841" s="1" t="n">
        <v>85840</v>
      </c>
      <c r="B85841">
        <f>TEXT(85840, "[$-0E0000]yyyy-mm-dd")</f>
        <v/>
      </c>
    </row>
    <row r="85842">
      <c r="A85842" s="1" t="n">
        <v>85841</v>
      </c>
      <c r="B85842">
        <f>TEXT(85841, "[$-0E0000]yyyy-mm-dd")</f>
        <v/>
      </c>
    </row>
    <row r="85843">
      <c r="A85843" s="1" t="n">
        <v>85842</v>
      </c>
      <c r="B85843">
        <f>TEXT(85842, "[$-0E0000]yyyy-mm-dd")</f>
        <v/>
      </c>
    </row>
    <row r="85844">
      <c r="A85844" s="1" t="n">
        <v>85843</v>
      </c>
      <c r="B85844">
        <f>TEXT(85843, "[$-0E0000]yyyy-mm-dd")</f>
        <v/>
      </c>
    </row>
    <row r="85845">
      <c r="A85845" s="1" t="n">
        <v>85844</v>
      </c>
      <c r="B85845">
        <f>TEXT(85844, "[$-0E0000]yyyy-mm-dd")</f>
        <v/>
      </c>
    </row>
    <row r="85846">
      <c r="A85846" s="1" t="n">
        <v>85845</v>
      </c>
      <c r="B85846">
        <f>TEXT(85845, "[$-0E0000]yyyy-mm-dd")</f>
        <v/>
      </c>
    </row>
    <row r="85847">
      <c r="A85847" s="1" t="n">
        <v>85846</v>
      </c>
      <c r="B85847">
        <f>TEXT(85846, "[$-0E0000]yyyy-mm-dd")</f>
        <v/>
      </c>
    </row>
    <row r="85848">
      <c r="A85848" s="1" t="n">
        <v>85847</v>
      </c>
      <c r="B85848">
        <f>TEXT(85847, "[$-0E0000]yyyy-mm-dd")</f>
        <v/>
      </c>
    </row>
    <row r="85849">
      <c r="A85849" s="1" t="n">
        <v>85848</v>
      </c>
      <c r="B85849">
        <f>TEXT(85848, "[$-0E0000]yyyy-mm-dd")</f>
        <v/>
      </c>
    </row>
    <row r="85850">
      <c r="A85850" s="1" t="n">
        <v>85849</v>
      </c>
      <c r="B85850">
        <f>TEXT(85849, "[$-0E0000]yyyy-mm-dd")</f>
        <v/>
      </c>
    </row>
    <row r="85851">
      <c r="A85851" s="1" t="n">
        <v>85850</v>
      </c>
      <c r="B85851">
        <f>TEXT(85850, "[$-0E0000]yyyy-mm-dd")</f>
        <v/>
      </c>
    </row>
    <row r="85852">
      <c r="A85852" s="1" t="n">
        <v>85851</v>
      </c>
      <c r="B85852">
        <f>TEXT(85851, "[$-0E0000]yyyy-mm-dd")</f>
        <v/>
      </c>
    </row>
    <row r="85853">
      <c r="A85853" s="1" t="n">
        <v>85852</v>
      </c>
      <c r="B85853">
        <f>TEXT(85852, "[$-0E0000]yyyy-mm-dd")</f>
        <v/>
      </c>
    </row>
    <row r="85854">
      <c r="A85854" s="1" t="n">
        <v>85853</v>
      </c>
      <c r="B85854">
        <f>TEXT(85853, "[$-0E0000]yyyy-mm-dd")</f>
        <v/>
      </c>
    </row>
    <row r="85855">
      <c r="A85855" s="1" t="n">
        <v>85854</v>
      </c>
      <c r="B85855">
        <f>TEXT(85854, "[$-0E0000]yyyy-mm-dd")</f>
        <v/>
      </c>
    </row>
    <row r="85856">
      <c r="A85856" s="1" t="n">
        <v>85855</v>
      </c>
      <c r="B85856">
        <f>TEXT(85855, "[$-0E0000]yyyy-mm-dd")</f>
        <v/>
      </c>
    </row>
    <row r="85857">
      <c r="A85857" s="1" t="n">
        <v>85856</v>
      </c>
      <c r="B85857">
        <f>TEXT(85856, "[$-0E0000]yyyy-mm-dd")</f>
        <v/>
      </c>
    </row>
    <row r="85858">
      <c r="A85858" s="1" t="n">
        <v>85857</v>
      </c>
      <c r="B85858">
        <f>TEXT(85857, "[$-0E0000]yyyy-mm-dd")</f>
        <v/>
      </c>
    </row>
    <row r="85859">
      <c r="A85859" s="1" t="n">
        <v>85858</v>
      </c>
      <c r="B85859">
        <f>TEXT(85858, "[$-0E0000]yyyy-mm-dd")</f>
        <v/>
      </c>
    </row>
    <row r="85860">
      <c r="A85860" s="1" t="n">
        <v>85859</v>
      </c>
      <c r="B85860">
        <f>TEXT(85859, "[$-0E0000]yyyy-mm-dd")</f>
        <v/>
      </c>
    </row>
    <row r="85861">
      <c r="A85861" s="1" t="n">
        <v>85860</v>
      </c>
      <c r="B85861">
        <f>TEXT(85860, "[$-0E0000]yyyy-mm-dd")</f>
        <v/>
      </c>
    </row>
    <row r="85862">
      <c r="A85862" s="1" t="n">
        <v>85861</v>
      </c>
      <c r="B85862">
        <f>TEXT(85861, "[$-0E0000]yyyy-mm-dd")</f>
        <v/>
      </c>
    </row>
    <row r="85863">
      <c r="A85863" s="1" t="n">
        <v>85862</v>
      </c>
      <c r="B85863">
        <f>TEXT(85862, "[$-0E0000]yyyy-mm-dd")</f>
        <v/>
      </c>
    </row>
    <row r="85864">
      <c r="A85864" s="1" t="n">
        <v>85863</v>
      </c>
      <c r="B85864">
        <f>TEXT(85863, "[$-0E0000]yyyy-mm-dd")</f>
        <v/>
      </c>
    </row>
    <row r="85865">
      <c r="A85865" s="1" t="n">
        <v>85864</v>
      </c>
      <c r="B85865">
        <f>TEXT(85864, "[$-0E0000]yyyy-mm-dd")</f>
        <v/>
      </c>
    </row>
    <row r="85866">
      <c r="A85866" s="1" t="n">
        <v>85865</v>
      </c>
      <c r="B85866">
        <f>TEXT(85865, "[$-0E0000]yyyy-mm-dd")</f>
        <v/>
      </c>
    </row>
    <row r="85867">
      <c r="A85867" s="1" t="n">
        <v>85866</v>
      </c>
      <c r="B85867">
        <f>TEXT(85866, "[$-0E0000]yyyy-mm-dd")</f>
        <v/>
      </c>
    </row>
    <row r="85868">
      <c r="A85868" s="1" t="n">
        <v>85867</v>
      </c>
      <c r="B85868">
        <f>TEXT(85867, "[$-0E0000]yyyy-mm-dd")</f>
        <v/>
      </c>
    </row>
    <row r="85869">
      <c r="A85869" s="1" t="n">
        <v>85868</v>
      </c>
      <c r="B85869">
        <f>TEXT(85868, "[$-0E0000]yyyy-mm-dd")</f>
        <v/>
      </c>
    </row>
    <row r="85870">
      <c r="A85870" s="1" t="n">
        <v>85869</v>
      </c>
      <c r="B85870">
        <f>TEXT(85869, "[$-0E0000]yyyy-mm-dd")</f>
        <v/>
      </c>
    </row>
    <row r="85871">
      <c r="A85871" s="1" t="n">
        <v>85870</v>
      </c>
      <c r="B85871">
        <f>TEXT(85870, "[$-0E0000]yyyy-mm-dd")</f>
        <v/>
      </c>
    </row>
    <row r="85872">
      <c r="A85872" s="1" t="n">
        <v>85871</v>
      </c>
      <c r="B85872">
        <f>TEXT(85871, "[$-0E0000]yyyy-mm-dd")</f>
        <v/>
      </c>
    </row>
    <row r="85873">
      <c r="A85873" s="1" t="n">
        <v>85872</v>
      </c>
      <c r="B85873">
        <f>TEXT(85872, "[$-0E0000]yyyy-mm-dd")</f>
        <v/>
      </c>
    </row>
    <row r="85874">
      <c r="A85874" s="1" t="n">
        <v>85873</v>
      </c>
      <c r="B85874">
        <f>TEXT(85873, "[$-0E0000]yyyy-mm-dd")</f>
        <v/>
      </c>
    </row>
    <row r="85875">
      <c r="A85875" s="1" t="n">
        <v>85874</v>
      </c>
      <c r="B85875">
        <f>TEXT(85874, "[$-0E0000]yyyy-mm-dd")</f>
        <v/>
      </c>
    </row>
    <row r="85876">
      <c r="A85876" s="1" t="n">
        <v>85875</v>
      </c>
      <c r="B85876">
        <f>TEXT(85875, "[$-0E0000]yyyy-mm-dd")</f>
        <v/>
      </c>
    </row>
    <row r="85877">
      <c r="A85877" s="1" t="n">
        <v>85876</v>
      </c>
      <c r="B85877">
        <f>TEXT(85876, "[$-0E0000]yyyy-mm-dd")</f>
        <v/>
      </c>
    </row>
    <row r="85878">
      <c r="A85878" s="1" t="n">
        <v>85877</v>
      </c>
      <c r="B85878">
        <f>TEXT(85877, "[$-0E0000]yyyy-mm-dd")</f>
        <v/>
      </c>
    </row>
    <row r="85879">
      <c r="A85879" s="1" t="n">
        <v>85878</v>
      </c>
      <c r="B85879">
        <f>TEXT(85878, "[$-0E0000]yyyy-mm-dd")</f>
        <v/>
      </c>
    </row>
    <row r="85880">
      <c r="A85880" s="1" t="n">
        <v>85879</v>
      </c>
      <c r="B85880">
        <f>TEXT(85879, "[$-0E0000]yyyy-mm-dd")</f>
        <v/>
      </c>
    </row>
    <row r="85881">
      <c r="A85881" s="1" t="n">
        <v>85880</v>
      </c>
      <c r="B85881">
        <f>TEXT(85880, "[$-0E0000]yyyy-mm-dd")</f>
        <v/>
      </c>
    </row>
    <row r="85882">
      <c r="A85882" s="1" t="n">
        <v>85881</v>
      </c>
      <c r="B85882">
        <f>TEXT(85881, "[$-0E0000]yyyy-mm-dd")</f>
        <v/>
      </c>
    </row>
    <row r="85883">
      <c r="A85883" s="1" t="n">
        <v>85882</v>
      </c>
      <c r="B85883">
        <f>TEXT(85882, "[$-0E0000]yyyy-mm-dd")</f>
        <v/>
      </c>
    </row>
    <row r="85884">
      <c r="A85884" s="1" t="n">
        <v>85883</v>
      </c>
      <c r="B85884">
        <f>TEXT(85883, "[$-0E0000]yyyy-mm-dd")</f>
        <v/>
      </c>
    </row>
    <row r="85885">
      <c r="A85885" s="1" t="n">
        <v>85884</v>
      </c>
      <c r="B85885">
        <f>TEXT(85884, "[$-0E0000]yyyy-mm-dd")</f>
        <v/>
      </c>
    </row>
    <row r="85886">
      <c r="A85886" s="1" t="n">
        <v>85885</v>
      </c>
      <c r="B85886">
        <f>TEXT(85885, "[$-0E0000]yyyy-mm-dd")</f>
        <v/>
      </c>
    </row>
    <row r="85887">
      <c r="A85887" s="1" t="n">
        <v>85886</v>
      </c>
      <c r="B85887">
        <f>TEXT(85886, "[$-0E0000]yyyy-mm-dd")</f>
        <v/>
      </c>
    </row>
    <row r="85888">
      <c r="A85888" s="1" t="n">
        <v>85887</v>
      </c>
      <c r="B85888">
        <f>TEXT(85887, "[$-0E0000]yyyy-mm-dd")</f>
        <v/>
      </c>
    </row>
    <row r="85889">
      <c r="A85889" s="1" t="n">
        <v>85888</v>
      </c>
      <c r="B85889">
        <f>TEXT(85888, "[$-0E0000]yyyy-mm-dd")</f>
        <v/>
      </c>
    </row>
    <row r="85890">
      <c r="A85890" s="1" t="n">
        <v>85889</v>
      </c>
      <c r="B85890">
        <f>TEXT(85889, "[$-0E0000]yyyy-mm-dd")</f>
        <v/>
      </c>
    </row>
    <row r="85891">
      <c r="A85891" s="1" t="n">
        <v>85890</v>
      </c>
      <c r="B85891">
        <f>TEXT(85890, "[$-0E0000]yyyy-mm-dd")</f>
        <v/>
      </c>
    </row>
    <row r="85892">
      <c r="A85892" s="1" t="n">
        <v>85891</v>
      </c>
      <c r="B85892">
        <f>TEXT(85891, "[$-0E0000]yyyy-mm-dd")</f>
        <v/>
      </c>
    </row>
    <row r="85893">
      <c r="A85893" s="1" t="n">
        <v>85892</v>
      </c>
      <c r="B85893">
        <f>TEXT(85892, "[$-0E0000]yyyy-mm-dd")</f>
        <v/>
      </c>
    </row>
    <row r="85894">
      <c r="A85894" s="1" t="n">
        <v>85893</v>
      </c>
      <c r="B85894">
        <f>TEXT(85893, "[$-0E0000]yyyy-mm-dd")</f>
        <v/>
      </c>
    </row>
    <row r="85895">
      <c r="A85895" s="1" t="n">
        <v>85894</v>
      </c>
      <c r="B85895">
        <f>TEXT(85894, "[$-0E0000]yyyy-mm-dd")</f>
        <v/>
      </c>
    </row>
    <row r="85896">
      <c r="A85896" s="1" t="n">
        <v>85895</v>
      </c>
      <c r="B85896">
        <f>TEXT(85895, "[$-0E0000]yyyy-mm-dd")</f>
        <v/>
      </c>
    </row>
    <row r="85897">
      <c r="A85897" s="1" t="n">
        <v>85896</v>
      </c>
      <c r="B85897">
        <f>TEXT(85896, "[$-0E0000]yyyy-mm-dd")</f>
        <v/>
      </c>
    </row>
    <row r="85898">
      <c r="A85898" s="1" t="n">
        <v>85897</v>
      </c>
      <c r="B85898">
        <f>TEXT(85897, "[$-0E0000]yyyy-mm-dd")</f>
        <v/>
      </c>
    </row>
    <row r="85899">
      <c r="A85899" s="1" t="n">
        <v>85898</v>
      </c>
      <c r="B85899">
        <f>TEXT(85898, "[$-0E0000]yyyy-mm-dd")</f>
        <v/>
      </c>
    </row>
    <row r="85900">
      <c r="A85900" s="1" t="n">
        <v>85899</v>
      </c>
      <c r="B85900">
        <f>TEXT(85899, "[$-0E0000]yyyy-mm-dd")</f>
        <v/>
      </c>
    </row>
    <row r="85901">
      <c r="A85901" s="1" t="n">
        <v>85900</v>
      </c>
      <c r="B85901">
        <f>TEXT(85900, "[$-0E0000]yyyy-mm-dd")</f>
        <v/>
      </c>
    </row>
    <row r="85902">
      <c r="A85902" s="1" t="n">
        <v>85901</v>
      </c>
      <c r="B85902">
        <f>TEXT(85901, "[$-0E0000]yyyy-mm-dd")</f>
        <v/>
      </c>
    </row>
    <row r="85903">
      <c r="A85903" s="1" t="n">
        <v>85902</v>
      </c>
      <c r="B85903">
        <f>TEXT(85902, "[$-0E0000]yyyy-mm-dd")</f>
        <v/>
      </c>
    </row>
    <row r="85904">
      <c r="A85904" s="1" t="n">
        <v>85903</v>
      </c>
      <c r="B85904">
        <f>TEXT(85903, "[$-0E0000]yyyy-mm-dd")</f>
        <v/>
      </c>
    </row>
    <row r="85905">
      <c r="A85905" s="1" t="n">
        <v>85904</v>
      </c>
      <c r="B85905">
        <f>TEXT(85904, "[$-0E0000]yyyy-mm-dd")</f>
        <v/>
      </c>
    </row>
    <row r="85906">
      <c r="A85906" s="1" t="n">
        <v>85905</v>
      </c>
      <c r="B85906">
        <f>TEXT(85905, "[$-0E0000]yyyy-mm-dd")</f>
        <v/>
      </c>
    </row>
    <row r="85907">
      <c r="A85907" s="1" t="n">
        <v>85906</v>
      </c>
      <c r="B85907">
        <f>TEXT(85906, "[$-0E0000]yyyy-mm-dd")</f>
        <v/>
      </c>
    </row>
    <row r="85908">
      <c r="A85908" s="1" t="n">
        <v>85907</v>
      </c>
      <c r="B85908">
        <f>TEXT(85907, "[$-0E0000]yyyy-mm-dd")</f>
        <v/>
      </c>
    </row>
    <row r="85909">
      <c r="A85909" s="1" t="n">
        <v>85908</v>
      </c>
      <c r="B85909">
        <f>TEXT(85908, "[$-0E0000]yyyy-mm-dd")</f>
        <v/>
      </c>
    </row>
    <row r="85910">
      <c r="A85910" s="1" t="n">
        <v>85909</v>
      </c>
      <c r="B85910">
        <f>TEXT(85909, "[$-0E0000]yyyy-mm-dd")</f>
        <v/>
      </c>
    </row>
    <row r="85911">
      <c r="A85911" s="1" t="n">
        <v>85910</v>
      </c>
      <c r="B85911">
        <f>TEXT(85910, "[$-0E0000]yyyy-mm-dd")</f>
        <v/>
      </c>
    </row>
    <row r="85912">
      <c r="A85912" s="1" t="n">
        <v>85911</v>
      </c>
      <c r="B85912">
        <f>TEXT(85911, "[$-0E0000]yyyy-mm-dd")</f>
        <v/>
      </c>
    </row>
    <row r="85913">
      <c r="A85913" s="1" t="n">
        <v>85912</v>
      </c>
      <c r="B85913">
        <f>TEXT(85912, "[$-0E0000]yyyy-mm-dd")</f>
        <v/>
      </c>
    </row>
    <row r="85914">
      <c r="A85914" s="1" t="n">
        <v>85913</v>
      </c>
      <c r="B85914">
        <f>TEXT(85913, "[$-0E0000]yyyy-mm-dd")</f>
        <v/>
      </c>
    </row>
    <row r="85915">
      <c r="A85915" s="1" t="n">
        <v>85914</v>
      </c>
      <c r="B85915">
        <f>TEXT(85914, "[$-0E0000]yyyy-mm-dd")</f>
        <v/>
      </c>
    </row>
    <row r="85916">
      <c r="A85916" s="1" t="n">
        <v>85915</v>
      </c>
      <c r="B85916">
        <f>TEXT(85915, "[$-0E0000]yyyy-mm-dd")</f>
        <v/>
      </c>
    </row>
    <row r="85917">
      <c r="A85917" s="1" t="n">
        <v>85916</v>
      </c>
      <c r="B85917">
        <f>TEXT(85916, "[$-0E0000]yyyy-mm-dd")</f>
        <v/>
      </c>
    </row>
    <row r="85918">
      <c r="A85918" s="1" t="n">
        <v>85917</v>
      </c>
      <c r="B85918">
        <f>TEXT(85917, "[$-0E0000]yyyy-mm-dd")</f>
        <v/>
      </c>
    </row>
    <row r="85919">
      <c r="A85919" s="1" t="n">
        <v>85918</v>
      </c>
      <c r="B85919">
        <f>TEXT(85918, "[$-0E0000]yyyy-mm-dd")</f>
        <v/>
      </c>
    </row>
    <row r="85920">
      <c r="A85920" s="1" t="n">
        <v>85919</v>
      </c>
      <c r="B85920">
        <f>TEXT(85919, "[$-0E0000]yyyy-mm-dd")</f>
        <v/>
      </c>
    </row>
    <row r="85921">
      <c r="A85921" s="1" t="n">
        <v>85920</v>
      </c>
      <c r="B85921">
        <f>TEXT(85920, "[$-0E0000]yyyy-mm-dd")</f>
        <v/>
      </c>
    </row>
    <row r="85922">
      <c r="A85922" s="1" t="n">
        <v>85921</v>
      </c>
      <c r="B85922">
        <f>TEXT(85921, "[$-0E0000]yyyy-mm-dd")</f>
        <v/>
      </c>
    </row>
    <row r="85923">
      <c r="A85923" s="1" t="n">
        <v>85922</v>
      </c>
      <c r="B85923">
        <f>TEXT(85922, "[$-0E0000]yyyy-mm-dd")</f>
        <v/>
      </c>
    </row>
    <row r="85924">
      <c r="A85924" s="1" t="n">
        <v>85923</v>
      </c>
      <c r="B85924">
        <f>TEXT(85923, "[$-0E0000]yyyy-mm-dd")</f>
        <v/>
      </c>
    </row>
    <row r="85925">
      <c r="A85925" s="1" t="n">
        <v>85924</v>
      </c>
      <c r="B85925">
        <f>TEXT(85924, "[$-0E0000]yyyy-mm-dd")</f>
        <v/>
      </c>
    </row>
    <row r="85926">
      <c r="A85926" s="1" t="n">
        <v>85925</v>
      </c>
      <c r="B85926">
        <f>TEXT(85925, "[$-0E0000]yyyy-mm-dd")</f>
        <v/>
      </c>
    </row>
    <row r="85927">
      <c r="A85927" s="1" t="n">
        <v>85926</v>
      </c>
      <c r="B85927">
        <f>TEXT(85926, "[$-0E0000]yyyy-mm-dd")</f>
        <v/>
      </c>
    </row>
    <row r="85928">
      <c r="A85928" s="1" t="n">
        <v>85927</v>
      </c>
      <c r="B85928">
        <f>TEXT(85927, "[$-0E0000]yyyy-mm-dd")</f>
        <v/>
      </c>
    </row>
    <row r="85929">
      <c r="A85929" s="1" t="n">
        <v>85928</v>
      </c>
      <c r="B85929">
        <f>TEXT(85928, "[$-0E0000]yyyy-mm-dd")</f>
        <v/>
      </c>
    </row>
    <row r="85930">
      <c r="A85930" s="1" t="n">
        <v>85929</v>
      </c>
      <c r="B85930">
        <f>TEXT(85929, "[$-0E0000]yyyy-mm-dd")</f>
        <v/>
      </c>
    </row>
    <row r="85931">
      <c r="A85931" s="1" t="n">
        <v>85930</v>
      </c>
      <c r="B85931">
        <f>TEXT(85930, "[$-0E0000]yyyy-mm-dd")</f>
        <v/>
      </c>
    </row>
    <row r="85932">
      <c r="A85932" s="1" t="n">
        <v>85931</v>
      </c>
      <c r="B85932">
        <f>TEXT(85931, "[$-0E0000]yyyy-mm-dd")</f>
        <v/>
      </c>
    </row>
    <row r="85933">
      <c r="A85933" s="1" t="n">
        <v>85932</v>
      </c>
      <c r="B85933">
        <f>TEXT(85932, "[$-0E0000]yyyy-mm-dd")</f>
        <v/>
      </c>
    </row>
    <row r="85934">
      <c r="A85934" s="1" t="n">
        <v>85933</v>
      </c>
      <c r="B85934">
        <f>TEXT(85933, "[$-0E0000]yyyy-mm-dd")</f>
        <v/>
      </c>
    </row>
    <row r="85935">
      <c r="A85935" s="1" t="n">
        <v>85934</v>
      </c>
      <c r="B85935">
        <f>TEXT(85934, "[$-0E0000]yyyy-mm-dd")</f>
        <v/>
      </c>
    </row>
    <row r="85936">
      <c r="A85936" s="1" t="n">
        <v>85935</v>
      </c>
      <c r="B85936">
        <f>TEXT(85935, "[$-0E0000]yyyy-mm-dd")</f>
        <v/>
      </c>
    </row>
    <row r="85937">
      <c r="A85937" s="1" t="n">
        <v>85936</v>
      </c>
      <c r="B85937">
        <f>TEXT(85936, "[$-0E0000]yyyy-mm-dd")</f>
        <v/>
      </c>
    </row>
    <row r="85938">
      <c r="A85938" s="1" t="n">
        <v>85937</v>
      </c>
      <c r="B85938">
        <f>TEXT(85937, "[$-0E0000]yyyy-mm-dd")</f>
        <v/>
      </c>
    </row>
    <row r="85939">
      <c r="A85939" s="1" t="n">
        <v>85938</v>
      </c>
      <c r="B85939">
        <f>TEXT(85938, "[$-0E0000]yyyy-mm-dd")</f>
        <v/>
      </c>
    </row>
    <row r="85940">
      <c r="A85940" s="1" t="n">
        <v>85939</v>
      </c>
      <c r="B85940">
        <f>TEXT(85939, "[$-0E0000]yyyy-mm-dd")</f>
        <v/>
      </c>
    </row>
    <row r="85941">
      <c r="A85941" s="1" t="n">
        <v>85940</v>
      </c>
      <c r="B85941">
        <f>TEXT(85940, "[$-0E0000]yyyy-mm-dd")</f>
        <v/>
      </c>
    </row>
    <row r="85942">
      <c r="A85942" s="1" t="n">
        <v>85941</v>
      </c>
      <c r="B85942">
        <f>TEXT(85941, "[$-0E0000]yyyy-mm-dd")</f>
        <v/>
      </c>
    </row>
    <row r="85943">
      <c r="A85943" s="1" t="n">
        <v>85942</v>
      </c>
      <c r="B85943">
        <f>TEXT(85942, "[$-0E0000]yyyy-mm-dd")</f>
        <v/>
      </c>
    </row>
    <row r="85944">
      <c r="A85944" s="1" t="n">
        <v>85943</v>
      </c>
      <c r="B85944">
        <f>TEXT(85943, "[$-0E0000]yyyy-mm-dd")</f>
        <v/>
      </c>
    </row>
    <row r="85945">
      <c r="A85945" s="1" t="n">
        <v>85944</v>
      </c>
      <c r="B85945">
        <f>TEXT(85944, "[$-0E0000]yyyy-mm-dd")</f>
        <v/>
      </c>
    </row>
    <row r="85946">
      <c r="A85946" s="1" t="n">
        <v>85945</v>
      </c>
      <c r="B85946">
        <f>TEXT(85945, "[$-0E0000]yyyy-mm-dd")</f>
        <v/>
      </c>
    </row>
    <row r="85947">
      <c r="A85947" s="1" t="n">
        <v>85946</v>
      </c>
      <c r="B85947">
        <f>TEXT(85946, "[$-0E0000]yyyy-mm-dd")</f>
        <v/>
      </c>
    </row>
    <row r="85948">
      <c r="A85948" s="1" t="n">
        <v>85947</v>
      </c>
      <c r="B85948">
        <f>TEXT(85947, "[$-0E0000]yyyy-mm-dd")</f>
        <v/>
      </c>
    </row>
    <row r="85949">
      <c r="A85949" s="1" t="n">
        <v>85948</v>
      </c>
      <c r="B85949">
        <f>TEXT(85948, "[$-0E0000]yyyy-mm-dd")</f>
        <v/>
      </c>
    </row>
    <row r="85950">
      <c r="A85950" s="1" t="n">
        <v>85949</v>
      </c>
      <c r="B85950">
        <f>TEXT(85949, "[$-0E0000]yyyy-mm-dd")</f>
        <v/>
      </c>
    </row>
    <row r="85951">
      <c r="A85951" s="1" t="n">
        <v>85950</v>
      </c>
      <c r="B85951">
        <f>TEXT(85950, "[$-0E0000]yyyy-mm-dd")</f>
        <v/>
      </c>
    </row>
    <row r="85952">
      <c r="A85952" s="1" t="n">
        <v>85951</v>
      </c>
      <c r="B85952">
        <f>TEXT(85951, "[$-0E0000]yyyy-mm-dd")</f>
        <v/>
      </c>
    </row>
    <row r="85953">
      <c r="A85953" s="1" t="n">
        <v>85952</v>
      </c>
      <c r="B85953">
        <f>TEXT(85952, "[$-0E0000]yyyy-mm-dd")</f>
        <v/>
      </c>
    </row>
    <row r="85954">
      <c r="A85954" s="1" t="n">
        <v>85953</v>
      </c>
      <c r="B85954">
        <f>TEXT(85953, "[$-0E0000]yyyy-mm-dd")</f>
        <v/>
      </c>
    </row>
    <row r="85955">
      <c r="A85955" s="1" t="n">
        <v>85954</v>
      </c>
      <c r="B85955">
        <f>TEXT(85954, "[$-0E0000]yyyy-mm-dd")</f>
        <v/>
      </c>
    </row>
    <row r="85956">
      <c r="A85956" s="1" t="n">
        <v>85955</v>
      </c>
      <c r="B85956">
        <f>TEXT(85955, "[$-0E0000]yyyy-mm-dd")</f>
        <v/>
      </c>
    </row>
    <row r="85957">
      <c r="A85957" s="1" t="n">
        <v>85956</v>
      </c>
      <c r="B85957">
        <f>TEXT(85956, "[$-0E0000]yyyy-mm-dd")</f>
        <v/>
      </c>
    </row>
    <row r="85958">
      <c r="A85958" s="1" t="n">
        <v>85957</v>
      </c>
      <c r="B85958">
        <f>TEXT(85957, "[$-0E0000]yyyy-mm-dd")</f>
        <v/>
      </c>
    </row>
    <row r="85959">
      <c r="A85959" s="1" t="n">
        <v>85958</v>
      </c>
      <c r="B85959">
        <f>TEXT(85958, "[$-0E0000]yyyy-mm-dd")</f>
        <v/>
      </c>
    </row>
    <row r="85960">
      <c r="A85960" s="1" t="n">
        <v>85959</v>
      </c>
      <c r="B85960">
        <f>TEXT(85959, "[$-0E0000]yyyy-mm-dd")</f>
        <v/>
      </c>
    </row>
    <row r="85961">
      <c r="A85961" s="1" t="n">
        <v>85960</v>
      </c>
      <c r="B85961">
        <f>TEXT(85960, "[$-0E0000]yyyy-mm-dd")</f>
        <v/>
      </c>
    </row>
    <row r="85962">
      <c r="A85962" s="1" t="n">
        <v>85961</v>
      </c>
      <c r="B85962">
        <f>TEXT(85961, "[$-0E0000]yyyy-mm-dd")</f>
        <v/>
      </c>
    </row>
    <row r="85963">
      <c r="A85963" s="1" t="n">
        <v>85962</v>
      </c>
      <c r="B85963">
        <f>TEXT(85962, "[$-0E0000]yyyy-mm-dd")</f>
        <v/>
      </c>
    </row>
    <row r="85964">
      <c r="A85964" s="1" t="n">
        <v>85963</v>
      </c>
      <c r="B85964">
        <f>TEXT(85963, "[$-0E0000]yyyy-mm-dd")</f>
        <v/>
      </c>
    </row>
    <row r="85965">
      <c r="A85965" s="1" t="n">
        <v>85964</v>
      </c>
      <c r="B85965">
        <f>TEXT(85964, "[$-0E0000]yyyy-mm-dd")</f>
        <v/>
      </c>
    </row>
    <row r="85966">
      <c r="A85966" s="1" t="n">
        <v>85965</v>
      </c>
      <c r="B85966">
        <f>TEXT(85965, "[$-0E0000]yyyy-mm-dd")</f>
        <v/>
      </c>
    </row>
    <row r="85967">
      <c r="A85967" s="1" t="n">
        <v>85966</v>
      </c>
      <c r="B85967">
        <f>TEXT(85966, "[$-0E0000]yyyy-mm-dd")</f>
        <v/>
      </c>
    </row>
    <row r="85968">
      <c r="A85968" s="1" t="n">
        <v>85967</v>
      </c>
      <c r="B85968">
        <f>TEXT(85967, "[$-0E0000]yyyy-mm-dd")</f>
        <v/>
      </c>
    </row>
    <row r="85969">
      <c r="A85969" s="1" t="n">
        <v>85968</v>
      </c>
      <c r="B85969">
        <f>TEXT(85968, "[$-0E0000]yyyy-mm-dd")</f>
        <v/>
      </c>
    </row>
    <row r="85970">
      <c r="A85970" s="1" t="n">
        <v>85969</v>
      </c>
      <c r="B85970">
        <f>TEXT(85969, "[$-0E0000]yyyy-mm-dd")</f>
        <v/>
      </c>
    </row>
    <row r="85971">
      <c r="A85971" s="1" t="n">
        <v>85970</v>
      </c>
      <c r="B85971">
        <f>TEXT(85970, "[$-0E0000]yyyy-mm-dd")</f>
        <v/>
      </c>
    </row>
    <row r="85972">
      <c r="A85972" s="1" t="n">
        <v>85971</v>
      </c>
      <c r="B85972">
        <f>TEXT(85971, "[$-0E0000]yyyy-mm-dd")</f>
        <v/>
      </c>
    </row>
    <row r="85973">
      <c r="A85973" s="1" t="n">
        <v>85972</v>
      </c>
      <c r="B85973">
        <f>TEXT(85972, "[$-0E0000]yyyy-mm-dd")</f>
        <v/>
      </c>
    </row>
    <row r="85974">
      <c r="A85974" s="1" t="n">
        <v>85973</v>
      </c>
      <c r="B85974">
        <f>TEXT(85973, "[$-0E0000]yyyy-mm-dd")</f>
        <v/>
      </c>
    </row>
    <row r="85975">
      <c r="A85975" s="1" t="n">
        <v>85974</v>
      </c>
      <c r="B85975">
        <f>TEXT(85974, "[$-0E0000]yyyy-mm-dd")</f>
        <v/>
      </c>
    </row>
    <row r="85976">
      <c r="A85976" s="1" t="n">
        <v>85975</v>
      </c>
      <c r="B85976">
        <f>TEXT(85975, "[$-0E0000]yyyy-mm-dd")</f>
        <v/>
      </c>
    </row>
    <row r="85977">
      <c r="A85977" s="1" t="n">
        <v>85976</v>
      </c>
      <c r="B85977">
        <f>TEXT(85976, "[$-0E0000]yyyy-mm-dd")</f>
        <v/>
      </c>
    </row>
    <row r="85978">
      <c r="A85978" s="1" t="n">
        <v>85977</v>
      </c>
      <c r="B85978">
        <f>TEXT(85977, "[$-0E0000]yyyy-mm-dd")</f>
        <v/>
      </c>
    </row>
    <row r="85979">
      <c r="A85979" s="1" t="n">
        <v>85978</v>
      </c>
      <c r="B85979">
        <f>TEXT(85978, "[$-0E0000]yyyy-mm-dd")</f>
        <v/>
      </c>
    </row>
    <row r="85980">
      <c r="A85980" s="1" t="n">
        <v>85979</v>
      </c>
      <c r="B85980">
        <f>TEXT(85979, "[$-0E0000]yyyy-mm-dd")</f>
        <v/>
      </c>
    </row>
    <row r="85981">
      <c r="A85981" s="1" t="n">
        <v>85980</v>
      </c>
      <c r="B85981">
        <f>TEXT(85980, "[$-0E0000]yyyy-mm-dd")</f>
        <v/>
      </c>
    </row>
    <row r="85982">
      <c r="A85982" s="1" t="n">
        <v>85981</v>
      </c>
      <c r="B85982">
        <f>TEXT(85981, "[$-0E0000]yyyy-mm-dd")</f>
        <v/>
      </c>
    </row>
    <row r="85983">
      <c r="A85983" s="1" t="n">
        <v>85982</v>
      </c>
      <c r="B85983">
        <f>TEXT(85982, "[$-0E0000]yyyy-mm-dd")</f>
        <v/>
      </c>
    </row>
    <row r="85984">
      <c r="A85984" s="1" t="n">
        <v>85983</v>
      </c>
      <c r="B85984">
        <f>TEXT(85983, "[$-0E0000]yyyy-mm-dd")</f>
        <v/>
      </c>
    </row>
    <row r="85985">
      <c r="A85985" s="1" t="n">
        <v>85984</v>
      </c>
      <c r="B85985">
        <f>TEXT(85984, "[$-0E0000]yyyy-mm-dd")</f>
        <v/>
      </c>
    </row>
    <row r="85986">
      <c r="A85986" s="1" t="n">
        <v>85985</v>
      </c>
      <c r="B85986">
        <f>TEXT(85985, "[$-0E0000]yyyy-mm-dd")</f>
        <v/>
      </c>
    </row>
    <row r="85987">
      <c r="A85987" s="1" t="n">
        <v>85986</v>
      </c>
      <c r="B85987">
        <f>TEXT(85986, "[$-0E0000]yyyy-mm-dd")</f>
        <v/>
      </c>
    </row>
    <row r="85988">
      <c r="A85988" s="1" t="n">
        <v>85987</v>
      </c>
      <c r="B85988">
        <f>TEXT(85987, "[$-0E0000]yyyy-mm-dd")</f>
        <v/>
      </c>
    </row>
    <row r="85989">
      <c r="A85989" s="1" t="n">
        <v>85988</v>
      </c>
      <c r="B85989">
        <f>TEXT(85988, "[$-0E0000]yyyy-mm-dd")</f>
        <v/>
      </c>
    </row>
    <row r="85990">
      <c r="A85990" s="1" t="n">
        <v>85989</v>
      </c>
      <c r="B85990">
        <f>TEXT(85989, "[$-0E0000]yyyy-mm-dd")</f>
        <v/>
      </c>
    </row>
    <row r="85991">
      <c r="A85991" s="1" t="n">
        <v>85990</v>
      </c>
      <c r="B85991">
        <f>TEXT(85990, "[$-0E0000]yyyy-mm-dd")</f>
        <v/>
      </c>
    </row>
    <row r="85992">
      <c r="A85992" s="1" t="n">
        <v>85991</v>
      </c>
      <c r="B85992">
        <f>TEXT(85991, "[$-0E0000]yyyy-mm-dd")</f>
        <v/>
      </c>
    </row>
    <row r="85993">
      <c r="A85993" s="1" t="n">
        <v>85992</v>
      </c>
      <c r="B85993">
        <f>TEXT(85992, "[$-0E0000]yyyy-mm-dd")</f>
        <v/>
      </c>
    </row>
    <row r="85994">
      <c r="A85994" s="1" t="n">
        <v>85993</v>
      </c>
      <c r="B85994">
        <f>TEXT(85993, "[$-0E0000]yyyy-mm-dd")</f>
        <v/>
      </c>
    </row>
    <row r="85995">
      <c r="A85995" s="1" t="n">
        <v>85994</v>
      </c>
      <c r="B85995">
        <f>TEXT(85994, "[$-0E0000]yyyy-mm-dd")</f>
        <v/>
      </c>
    </row>
    <row r="85996">
      <c r="A85996" s="1" t="n">
        <v>85995</v>
      </c>
      <c r="B85996">
        <f>TEXT(85995, "[$-0E0000]yyyy-mm-dd")</f>
        <v/>
      </c>
    </row>
    <row r="85997">
      <c r="A85997" s="1" t="n">
        <v>85996</v>
      </c>
      <c r="B85997">
        <f>TEXT(85996, "[$-0E0000]yyyy-mm-dd")</f>
        <v/>
      </c>
    </row>
    <row r="85998">
      <c r="A85998" s="1" t="n">
        <v>85997</v>
      </c>
      <c r="B85998">
        <f>TEXT(85997, "[$-0E0000]yyyy-mm-dd")</f>
        <v/>
      </c>
    </row>
    <row r="85999">
      <c r="A85999" s="1" t="n">
        <v>85998</v>
      </c>
      <c r="B85999">
        <f>TEXT(85998, "[$-0E0000]yyyy-mm-dd")</f>
        <v/>
      </c>
    </row>
    <row r="86000">
      <c r="A86000" s="1" t="n">
        <v>85999</v>
      </c>
      <c r="B86000">
        <f>TEXT(85999, "[$-0E0000]yyyy-mm-dd")</f>
        <v/>
      </c>
    </row>
    <row r="86001">
      <c r="A86001" s="1" t="n">
        <v>86000</v>
      </c>
      <c r="B86001">
        <f>TEXT(86000, "[$-0E0000]yyyy-mm-dd")</f>
        <v/>
      </c>
    </row>
    <row r="86002">
      <c r="A86002" s="1" t="n">
        <v>86001</v>
      </c>
      <c r="B86002">
        <f>TEXT(86001, "[$-0E0000]yyyy-mm-dd")</f>
        <v/>
      </c>
    </row>
    <row r="86003">
      <c r="A86003" s="1" t="n">
        <v>86002</v>
      </c>
      <c r="B86003">
        <f>TEXT(86002, "[$-0E0000]yyyy-mm-dd")</f>
        <v/>
      </c>
    </row>
    <row r="86004">
      <c r="A86004" s="1" t="n">
        <v>86003</v>
      </c>
      <c r="B86004">
        <f>TEXT(86003, "[$-0E0000]yyyy-mm-dd")</f>
        <v/>
      </c>
    </row>
    <row r="86005">
      <c r="A86005" s="1" t="n">
        <v>86004</v>
      </c>
      <c r="B86005">
        <f>TEXT(86004, "[$-0E0000]yyyy-mm-dd")</f>
        <v/>
      </c>
    </row>
    <row r="86006">
      <c r="A86006" s="1" t="n">
        <v>86005</v>
      </c>
      <c r="B86006">
        <f>TEXT(86005, "[$-0E0000]yyyy-mm-dd")</f>
        <v/>
      </c>
    </row>
    <row r="86007">
      <c r="A86007" s="1" t="n">
        <v>86006</v>
      </c>
      <c r="B86007">
        <f>TEXT(86006, "[$-0E0000]yyyy-mm-dd")</f>
        <v/>
      </c>
    </row>
    <row r="86008">
      <c r="A86008" s="1" t="n">
        <v>86007</v>
      </c>
      <c r="B86008">
        <f>TEXT(86007, "[$-0E0000]yyyy-mm-dd")</f>
        <v/>
      </c>
    </row>
    <row r="86009">
      <c r="A86009" s="1" t="n">
        <v>86008</v>
      </c>
      <c r="B86009">
        <f>TEXT(86008, "[$-0E0000]yyyy-mm-dd")</f>
        <v/>
      </c>
    </row>
    <row r="86010">
      <c r="A86010" s="1" t="n">
        <v>86009</v>
      </c>
      <c r="B86010">
        <f>TEXT(86009, "[$-0E0000]yyyy-mm-dd")</f>
        <v/>
      </c>
    </row>
    <row r="86011">
      <c r="A86011" s="1" t="n">
        <v>86010</v>
      </c>
      <c r="B86011">
        <f>TEXT(86010, "[$-0E0000]yyyy-mm-dd")</f>
        <v/>
      </c>
    </row>
    <row r="86012">
      <c r="A86012" s="1" t="n">
        <v>86011</v>
      </c>
      <c r="B86012">
        <f>TEXT(86011, "[$-0E0000]yyyy-mm-dd")</f>
        <v/>
      </c>
    </row>
    <row r="86013">
      <c r="A86013" s="1" t="n">
        <v>86012</v>
      </c>
      <c r="B86013">
        <f>TEXT(86012, "[$-0E0000]yyyy-mm-dd")</f>
        <v/>
      </c>
    </row>
    <row r="86014">
      <c r="A86014" s="1" t="n">
        <v>86013</v>
      </c>
      <c r="B86014">
        <f>TEXT(86013, "[$-0E0000]yyyy-mm-dd")</f>
        <v/>
      </c>
    </row>
    <row r="86015">
      <c r="A86015" s="1" t="n">
        <v>86014</v>
      </c>
      <c r="B86015">
        <f>TEXT(86014, "[$-0E0000]yyyy-mm-dd")</f>
        <v/>
      </c>
    </row>
    <row r="86016">
      <c r="A86016" s="1" t="n">
        <v>86015</v>
      </c>
      <c r="B86016">
        <f>TEXT(86015, "[$-0E0000]yyyy-mm-dd")</f>
        <v/>
      </c>
    </row>
    <row r="86017">
      <c r="A86017" s="1" t="n">
        <v>86016</v>
      </c>
      <c r="B86017">
        <f>TEXT(86016, "[$-0E0000]yyyy-mm-dd")</f>
        <v/>
      </c>
    </row>
    <row r="86018">
      <c r="A86018" s="1" t="n">
        <v>86017</v>
      </c>
      <c r="B86018">
        <f>TEXT(86017, "[$-0E0000]yyyy-mm-dd")</f>
        <v/>
      </c>
    </row>
    <row r="86019">
      <c r="A86019" s="1" t="n">
        <v>86018</v>
      </c>
      <c r="B86019">
        <f>TEXT(86018, "[$-0E0000]yyyy-mm-dd")</f>
        <v/>
      </c>
    </row>
    <row r="86020">
      <c r="A86020" s="1" t="n">
        <v>86019</v>
      </c>
      <c r="B86020">
        <f>TEXT(86019, "[$-0E0000]yyyy-mm-dd")</f>
        <v/>
      </c>
    </row>
    <row r="86021">
      <c r="A86021" s="1" t="n">
        <v>86020</v>
      </c>
      <c r="B86021">
        <f>TEXT(86020, "[$-0E0000]yyyy-mm-dd")</f>
        <v/>
      </c>
    </row>
    <row r="86022">
      <c r="A86022" s="1" t="n">
        <v>86021</v>
      </c>
      <c r="B86022">
        <f>TEXT(86021, "[$-0E0000]yyyy-mm-dd")</f>
        <v/>
      </c>
    </row>
    <row r="86023">
      <c r="A86023" s="1" t="n">
        <v>86022</v>
      </c>
      <c r="B86023">
        <f>TEXT(86022, "[$-0E0000]yyyy-mm-dd")</f>
        <v/>
      </c>
    </row>
    <row r="86024">
      <c r="A86024" s="1" t="n">
        <v>86023</v>
      </c>
      <c r="B86024">
        <f>TEXT(86023, "[$-0E0000]yyyy-mm-dd")</f>
        <v/>
      </c>
    </row>
    <row r="86025">
      <c r="A86025" s="1" t="n">
        <v>86024</v>
      </c>
      <c r="B86025">
        <f>TEXT(86024, "[$-0E0000]yyyy-mm-dd")</f>
        <v/>
      </c>
    </row>
    <row r="86026">
      <c r="A86026" s="1" t="n">
        <v>86025</v>
      </c>
      <c r="B86026">
        <f>TEXT(86025, "[$-0E0000]yyyy-mm-dd")</f>
        <v/>
      </c>
    </row>
    <row r="86027">
      <c r="A86027" s="1" t="n">
        <v>86026</v>
      </c>
      <c r="B86027">
        <f>TEXT(86026, "[$-0E0000]yyyy-mm-dd")</f>
        <v/>
      </c>
    </row>
    <row r="86028">
      <c r="A86028" s="1" t="n">
        <v>86027</v>
      </c>
      <c r="B86028">
        <f>TEXT(86027, "[$-0E0000]yyyy-mm-dd")</f>
        <v/>
      </c>
    </row>
    <row r="86029">
      <c r="A86029" s="1" t="n">
        <v>86028</v>
      </c>
      <c r="B86029">
        <f>TEXT(86028, "[$-0E0000]yyyy-mm-dd")</f>
        <v/>
      </c>
    </row>
    <row r="86030">
      <c r="A86030" s="1" t="n">
        <v>86029</v>
      </c>
      <c r="B86030">
        <f>TEXT(86029, "[$-0E0000]yyyy-mm-dd")</f>
        <v/>
      </c>
    </row>
    <row r="86031">
      <c r="A86031" s="1" t="n">
        <v>86030</v>
      </c>
      <c r="B86031">
        <f>TEXT(86030, "[$-0E0000]yyyy-mm-dd")</f>
        <v/>
      </c>
    </row>
    <row r="86032">
      <c r="A86032" s="1" t="n">
        <v>86031</v>
      </c>
      <c r="B86032">
        <f>TEXT(86031, "[$-0E0000]yyyy-mm-dd")</f>
        <v/>
      </c>
    </row>
    <row r="86033">
      <c r="A86033" s="1" t="n">
        <v>86032</v>
      </c>
      <c r="B86033">
        <f>TEXT(86032, "[$-0E0000]yyyy-mm-dd")</f>
        <v/>
      </c>
    </row>
    <row r="86034">
      <c r="A86034" s="1" t="n">
        <v>86033</v>
      </c>
      <c r="B86034">
        <f>TEXT(86033, "[$-0E0000]yyyy-mm-dd")</f>
        <v/>
      </c>
    </row>
    <row r="86035">
      <c r="A86035" s="1" t="n">
        <v>86034</v>
      </c>
      <c r="B86035">
        <f>TEXT(86034, "[$-0E0000]yyyy-mm-dd")</f>
        <v/>
      </c>
    </row>
    <row r="86036">
      <c r="A86036" s="1" t="n">
        <v>86035</v>
      </c>
      <c r="B86036">
        <f>TEXT(86035, "[$-0E0000]yyyy-mm-dd")</f>
        <v/>
      </c>
    </row>
    <row r="86037">
      <c r="A86037" s="1" t="n">
        <v>86036</v>
      </c>
      <c r="B86037">
        <f>TEXT(86036, "[$-0E0000]yyyy-mm-dd")</f>
        <v/>
      </c>
    </row>
    <row r="86038">
      <c r="A86038" s="1" t="n">
        <v>86037</v>
      </c>
      <c r="B86038">
        <f>TEXT(86037, "[$-0E0000]yyyy-mm-dd")</f>
        <v/>
      </c>
    </row>
    <row r="86039">
      <c r="A86039" s="1" t="n">
        <v>86038</v>
      </c>
      <c r="B86039">
        <f>TEXT(86038, "[$-0E0000]yyyy-mm-dd")</f>
        <v/>
      </c>
    </row>
    <row r="86040">
      <c r="A86040" s="1" t="n">
        <v>86039</v>
      </c>
      <c r="B86040">
        <f>TEXT(86039, "[$-0E0000]yyyy-mm-dd")</f>
        <v/>
      </c>
    </row>
    <row r="86041">
      <c r="A86041" s="1" t="n">
        <v>86040</v>
      </c>
      <c r="B86041">
        <f>TEXT(86040, "[$-0E0000]yyyy-mm-dd")</f>
        <v/>
      </c>
    </row>
    <row r="86042">
      <c r="A86042" s="1" t="n">
        <v>86041</v>
      </c>
      <c r="B86042">
        <f>TEXT(86041, "[$-0E0000]yyyy-mm-dd")</f>
        <v/>
      </c>
    </row>
    <row r="86043">
      <c r="A86043" s="1" t="n">
        <v>86042</v>
      </c>
      <c r="B86043">
        <f>TEXT(86042, "[$-0E0000]yyyy-mm-dd")</f>
        <v/>
      </c>
    </row>
    <row r="86044">
      <c r="A86044" s="1" t="n">
        <v>86043</v>
      </c>
      <c r="B86044">
        <f>TEXT(86043, "[$-0E0000]yyyy-mm-dd")</f>
        <v/>
      </c>
    </row>
    <row r="86045">
      <c r="A86045" s="1" t="n">
        <v>86044</v>
      </c>
      <c r="B86045">
        <f>TEXT(86044, "[$-0E0000]yyyy-mm-dd")</f>
        <v/>
      </c>
    </row>
    <row r="86046">
      <c r="A86046" s="1" t="n">
        <v>86045</v>
      </c>
      <c r="B86046">
        <f>TEXT(86045, "[$-0E0000]yyyy-mm-dd")</f>
        <v/>
      </c>
    </row>
    <row r="86047">
      <c r="A86047" s="1" t="n">
        <v>86046</v>
      </c>
      <c r="B86047">
        <f>TEXT(86046, "[$-0E0000]yyyy-mm-dd")</f>
        <v/>
      </c>
    </row>
    <row r="86048">
      <c r="A86048" s="1" t="n">
        <v>86047</v>
      </c>
      <c r="B86048">
        <f>TEXT(86047, "[$-0E0000]yyyy-mm-dd")</f>
        <v/>
      </c>
    </row>
    <row r="86049">
      <c r="A86049" s="1" t="n">
        <v>86048</v>
      </c>
      <c r="B86049">
        <f>TEXT(86048, "[$-0E0000]yyyy-mm-dd")</f>
        <v/>
      </c>
    </row>
    <row r="86050">
      <c r="A86050" s="1" t="n">
        <v>86049</v>
      </c>
      <c r="B86050">
        <f>TEXT(86049, "[$-0E0000]yyyy-mm-dd")</f>
        <v/>
      </c>
    </row>
    <row r="86051">
      <c r="A86051" s="1" t="n">
        <v>86050</v>
      </c>
      <c r="B86051">
        <f>TEXT(86050, "[$-0E0000]yyyy-mm-dd")</f>
        <v/>
      </c>
    </row>
    <row r="86052">
      <c r="A86052" s="1" t="n">
        <v>86051</v>
      </c>
      <c r="B86052">
        <f>TEXT(86051, "[$-0E0000]yyyy-mm-dd")</f>
        <v/>
      </c>
    </row>
    <row r="86053">
      <c r="A86053" s="1" t="n">
        <v>86052</v>
      </c>
      <c r="B86053">
        <f>TEXT(86052, "[$-0E0000]yyyy-mm-dd")</f>
        <v/>
      </c>
    </row>
    <row r="86054">
      <c r="A86054" s="1" t="n">
        <v>86053</v>
      </c>
      <c r="B86054">
        <f>TEXT(86053, "[$-0E0000]yyyy-mm-dd")</f>
        <v/>
      </c>
    </row>
    <row r="86055">
      <c r="A86055" s="1" t="n">
        <v>86054</v>
      </c>
      <c r="B86055">
        <f>TEXT(86054, "[$-0E0000]yyyy-mm-dd")</f>
        <v/>
      </c>
    </row>
    <row r="86056">
      <c r="A86056" s="1" t="n">
        <v>86055</v>
      </c>
      <c r="B86056">
        <f>TEXT(86055, "[$-0E0000]yyyy-mm-dd")</f>
        <v/>
      </c>
    </row>
    <row r="86057">
      <c r="A86057" s="1" t="n">
        <v>86056</v>
      </c>
      <c r="B86057">
        <f>TEXT(86056, "[$-0E0000]yyyy-mm-dd")</f>
        <v/>
      </c>
    </row>
    <row r="86058">
      <c r="A86058" s="1" t="n">
        <v>86057</v>
      </c>
      <c r="B86058">
        <f>TEXT(86057, "[$-0E0000]yyyy-mm-dd")</f>
        <v/>
      </c>
    </row>
    <row r="86059">
      <c r="A86059" s="1" t="n">
        <v>86058</v>
      </c>
      <c r="B86059">
        <f>TEXT(86058, "[$-0E0000]yyyy-mm-dd")</f>
        <v/>
      </c>
    </row>
    <row r="86060">
      <c r="A86060" s="1" t="n">
        <v>86059</v>
      </c>
      <c r="B86060">
        <f>TEXT(86059, "[$-0E0000]yyyy-mm-dd")</f>
        <v/>
      </c>
    </row>
    <row r="86061">
      <c r="A86061" s="1" t="n">
        <v>86060</v>
      </c>
      <c r="B86061">
        <f>TEXT(86060, "[$-0E0000]yyyy-mm-dd")</f>
        <v/>
      </c>
    </row>
    <row r="86062">
      <c r="A86062" s="1" t="n">
        <v>86061</v>
      </c>
      <c r="B86062">
        <f>TEXT(86061, "[$-0E0000]yyyy-mm-dd")</f>
        <v/>
      </c>
    </row>
    <row r="86063">
      <c r="A86063" s="1" t="n">
        <v>86062</v>
      </c>
      <c r="B86063">
        <f>TEXT(86062, "[$-0E0000]yyyy-mm-dd")</f>
        <v/>
      </c>
    </row>
    <row r="86064">
      <c r="A86064" s="1" t="n">
        <v>86063</v>
      </c>
      <c r="B86064">
        <f>TEXT(86063, "[$-0E0000]yyyy-mm-dd")</f>
        <v/>
      </c>
    </row>
    <row r="86065">
      <c r="A86065" s="1" t="n">
        <v>86064</v>
      </c>
      <c r="B86065">
        <f>TEXT(86064, "[$-0E0000]yyyy-mm-dd")</f>
        <v/>
      </c>
    </row>
    <row r="86066">
      <c r="A86066" s="1" t="n">
        <v>86065</v>
      </c>
      <c r="B86066">
        <f>TEXT(86065, "[$-0E0000]yyyy-mm-dd")</f>
        <v/>
      </c>
    </row>
    <row r="86067">
      <c r="A86067" s="1" t="n">
        <v>86066</v>
      </c>
      <c r="B86067">
        <f>TEXT(86066, "[$-0E0000]yyyy-mm-dd")</f>
        <v/>
      </c>
    </row>
    <row r="86068">
      <c r="A86068" s="1" t="n">
        <v>86067</v>
      </c>
      <c r="B86068">
        <f>TEXT(86067, "[$-0E0000]yyyy-mm-dd")</f>
        <v/>
      </c>
    </row>
    <row r="86069">
      <c r="A86069" s="1" t="n">
        <v>86068</v>
      </c>
      <c r="B86069">
        <f>TEXT(86068, "[$-0E0000]yyyy-mm-dd")</f>
        <v/>
      </c>
    </row>
    <row r="86070">
      <c r="A86070" s="1" t="n">
        <v>86069</v>
      </c>
      <c r="B86070">
        <f>TEXT(86069, "[$-0E0000]yyyy-mm-dd")</f>
        <v/>
      </c>
    </row>
    <row r="86071">
      <c r="A86071" s="1" t="n">
        <v>86070</v>
      </c>
      <c r="B86071">
        <f>TEXT(86070, "[$-0E0000]yyyy-mm-dd")</f>
        <v/>
      </c>
    </row>
    <row r="86072">
      <c r="A86072" s="1" t="n">
        <v>86071</v>
      </c>
      <c r="B86072">
        <f>TEXT(86071, "[$-0E0000]yyyy-mm-dd")</f>
        <v/>
      </c>
    </row>
    <row r="86073">
      <c r="A86073" s="1" t="n">
        <v>86072</v>
      </c>
      <c r="B86073">
        <f>TEXT(86072, "[$-0E0000]yyyy-mm-dd")</f>
        <v/>
      </c>
    </row>
    <row r="86074">
      <c r="A86074" s="1" t="n">
        <v>86073</v>
      </c>
      <c r="B86074">
        <f>TEXT(86073, "[$-0E0000]yyyy-mm-dd")</f>
        <v/>
      </c>
    </row>
    <row r="86075">
      <c r="A86075" s="1" t="n">
        <v>86074</v>
      </c>
      <c r="B86075">
        <f>TEXT(86074, "[$-0E0000]yyyy-mm-dd")</f>
        <v/>
      </c>
    </row>
    <row r="86076">
      <c r="A86076" s="1" t="n">
        <v>86075</v>
      </c>
      <c r="B86076">
        <f>TEXT(86075, "[$-0E0000]yyyy-mm-dd")</f>
        <v/>
      </c>
    </row>
    <row r="86077">
      <c r="A86077" s="1" t="n">
        <v>86076</v>
      </c>
      <c r="B86077">
        <f>TEXT(86076, "[$-0E0000]yyyy-mm-dd")</f>
        <v/>
      </c>
    </row>
    <row r="86078">
      <c r="A86078" s="1" t="n">
        <v>86077</v>
      </c>
      <c r="B86078">
        <f>TEXT(86077, "[$-0E0000]yyyy-mm-dd")</f>
        <v/>
      </c>
    </row>
    <row r="86079">
      <c r="A86079" s="1" t="n">
        <v>86078</v>
      </c>
      <c r="B86079">
        <f>TEXT(86078, "[$-0E0000]yyyy-mm-dd")</f>
        <v/>
      </c>
    </row>
    <row r="86080">
      <c r="A86080" s="1" t="n">
        <v>86079</v>
      </c>
      <c r="B86080">
        <f>TEXT(86079, "[$-0E0000]yyyy-mm-dd")</f>
        <v/>
      </c>
    </row>
    <row r="86081">
      <c r="A86081" s="1" t="n">
        <v>86080</v>
      </c>
      <c r="B86081">
        <f>TEXT(86080, "[$-0E0000]yyyy-mm-dd")</f>
        <v/>
      </c>
    </row>
    <row r="86082">
      <c r="A86082" s="1" t="n">
        <v>86081</v>
      </c>
      <c r="B86082">
        <f>TEXT(86081, "[$-0E0000]yyyy-mm-dd")</f>
        <v/>
      </c>
    </row>
    <row r="86083">
      <c r="A86083" s="1" t="n">
        <v>86082</v>
      </c>
      <c r="B86083">
        <f>TEXT(86082, "[$-0E0000]yyyy-mm-dd")</f>
        <v/>
      </c>
    </row>
    <row r="86084">
      <c r="A86084" s="1" t="n">
        <v>86083</v>
      </c>
      <c r="B86084">
        <f>TEXT(86083, "[$-0E0000]yyyy-mm-dd")</f>
        <v/>
      </c>
    </row>
    <row r="86085">
      <c r="A86085" s="1" t="n">
        <v>86084</v>
      </c>
      <c r="B86085">
        <f>TEXT(86084, "[$-0E0000]yyyy-mm-dd")</f>
        <v/>
      </c>
    </row>
    <row r="86086">
      <c r="A86086" s="1" t="n">
        <v>86085</v>
      </c>
      <c r="B86086">
        <f>TEXT(86085, "[$-0E0000]yyyy-mm-dd")</f>
        <v/>
      </c>
    </row>
    <row r="86087">
      <c r="A86087" s="1" t="n">
        <v>86086</v>
      </c>
      <c r="B86087">
        <f>TEXT(86086, "[$-0E0000]yyyy-mm-dd")</f>
        <v/>
      </c>
    </row>
    <row r="86088">
      <c r="A86088" s="1" t="n">
        <v>86087</v>
      </c>
      <c r="B86088">
        <f>TEXT(86087, "[$-0E0000]yyyy-mm-dd")</f>
        <v/>
      </c>
    </row>
    <row r="86089">
      <c r="A86089" s="1" t="n">
        <v>86088</v>
      </c>
      <c r="B86089">
        <f>TEXT(86088, "[$-0E0000]yyyy-mm-dd")</f>
        <v/>
      </c>
    </row>
    <row r="86090">
      <c r="A86090" s="1" t="n">
        <v>86089</v>
      </c>
      <c r="B86090">
        <f>TEXT(86089, "[$-0E0000]yyyy-mm-dd")</f>
        <v/>
      </c>
    </row>
    <row r="86091">
      <c r="A86091" s="1" t="n">
        <v>86090</v>
      </c>
      <c r="B86091">
        <f>TEXT(86090, "[$-0E0000]yyyy-mm-dd")</f>
        <v/>
      </c>
    </row>
    <row r="86092">
      <c r="A86092" s="1" t="n">
        <v>86091</v>
      </c>
      <c r="B86092">
        <f>TEXT(86091, "[$-0E0000]yyyy-mm-dd")</f>
        <v/>
      </c>
    </row>
    <row r="86093">
      <c r="A86093" s="1" t="n">
        <v>86092</v>
      </c>
      <c r="B86093">
        <f>TEXT(86092, "[$-0E0000]yyyy-mm-dd")</f>
        <v/>
      </c>
    </row>
    <row r="86094">
      <c r="A86094" s="1" t="n">
        <v>86093</v>
      </c>
      <c r="B86094">
        <f>TEXT(86093, "[$-0E0000]yyyy-mm-dd")</f>
        <v/>
      </c>
    </row>
    <row r="86095">
      <c r="A86095" s="1" t="n">
        <v>86094</v>
      </c>
      <c r="B86095">
        <f>TEXT(86094, "[$-0E0000]yyyy-mm-dd")</f>
        <v/>
      </c>
    </row>
    <row r="86096">
      <c r="A86096" s="1" t="n">
        <v>86095</v>
      </c>
      <c r="B86096">
        <f>TEXT(86095, "[$-0E0000]yyyy-mm-dd")</f>
        <v/>
      </c>
    </row>
    <row r="86097">
      <c r="A86097" s="1" t="n">
        <v>86096</v>
      </c>
      <c r="B86097">
        <f>TEXT(86096, "[$-0E0000]yyyy-mm-dd")</f>
        <v/>
      </c>
    </row>
    <row r="86098">
      <c r="A86098" s="1" t="n">
        <v>86097</v>
      </c>
      <c r="B86098">
        <f>TEXT(86097, "[$-0E0000]yyyy-mm-dd")</f>
        <v/>
      </c>
    </row>
    <row r="86099">
      <c r="A86099" s="1" t="n">
        <v>86098</v>
      </c>
      <c r="B86099">
        <f>TEXT(86098, "[$-0E0000]yyyy-mm-dd")</f>
        <v/>
      </c>
    </row>
    <row r="86100">
      <c r="A86100" s="1" t="n">
        <v>86099</v>
      </c>
      <c r="B86100">
        <f>TEXT(86099, "[$-0E0000]yyyy-mm-dd")</f>
        <v/>
      </c>
    </row>
    <row r="86101">
      <c r="A86101" s="1" t="n">
        <v>86100</v>
      </c>
      <c r="B86101">
        <f>TEXT(86100, "[$-0E0000]yyyy-mm-dd")</f>
        <v/>
      </c>
    </row>
    <row r="86102">
      <c r="A86102" s="1" t="n">
        <v>86101</v>
      </c>
      <c r="B86102">
        <f>TEXT(86101, "[$-0E0000]yyyy-mm-dd")</f>
        <v/>
      </c>
    </row>
    <row r="86103">
      <c r="A86103" s="1" t="n">
        <v>86102</v>
      </c>
      <c r="B86103">
        <f>TEXT(86102, "[$-0E0000]yyyy-mm-dd")</f>
        <v/>
      </c>
    </row>
    <row r="86104">
      <c r="A86104" s="1" t="n">
        <v>86103</v>
      </c>
      <c r="B86104">
        <f>TEXT(86103, "[$-0E0000]yyyy-mm-dd")</f>
        <v/>
      </c>
    </row>
    <row r="86105">
      <c r="A86105" s="1" t="n">
        <v>86104</v>
      </c>
      <c r="B86105">
        <f>TEXT(86104, "[$-0E0000]yyyy-mm-dd")</f>
        <v/>
      </c>
    </row>
    <row r="86106">
      <c r="A86106" s="1" t="n">
        <v>86105</v>
      </c>
      <c r="B86106">
        <f>TEXT(86105, "[$-0E0000]yyyy-mm-dd")</f>
        <v/>
      </c>
    </row>
    <row r="86107">
      <c r="A86107" s="1" t="n">
        <v>86106</v>
      </c>
      <c r="B86107">
        <f>TEXT(86106, "[$-0E0000]yyyy-mm-dd")</f>
        <v/>
      </c>
    </row>
    <row r="86108">
      <c r="A86108" s="1" t="n">
        <v>86107</v>
      </c>
      <c r="B86108">
        <f>TEXT(86107, "[$-0E0000]yyyy-mm-dd")</f>
        <v/>
      </c>
    </row>
    <row r="86109">
      <c r="A86109" s="1" t="n">
        <v>86108</v>
      </c>
      <c r="B86109">
        <f>TEXT(86108, "[$-0E0000]yyyy-mm-dd")</f>
        <v/>
      </c>
    </row>
    <row r="86110">
      <c r="A86110" s="1" t="n">
        <v>86109</v>
      </c>
      <c r="B86110">
        <f>TEXT(86109, "[$-0E0000]yyyy-mm-dd")</f>
        <v/>
      </c>
    </row>
    <row r="86111">
      <c r="A86111" s="1" t="n">
        <v>86110</v>
      </c>
      <c r="B86111">
        <f>TEXT(86110, "[$-0E0000]yyyy-mm-dd")</f>
        <v/>
      </c>
    </row>
    <row r="86112">
      <c r="A86112" s="1" t="n">
        <v>86111</v>
      </c>
      <c r="B86112">
        <f>TEXT(86111, "[$-0E0000]yyyy-mm-dd")</f>
        <v/>
      </c>
    </row>
    <row r="86113">
      <c r="A86113" s="1" t="n">
        <v>86112</v>
      </c>
      <c r="B86113">
        <f>TEXT(86112, "[$-0E0000]yyyy-mm-dd")</f>
        <v/>
      </c>
    </row>
    <row r="86114">
      <c r="A86114" s="1" t="n">
        <v>86113</v>
      </c>
      <c r="B86114">
        <f>TEXT(86113, "[$-0E0000]yyyy-mm-dd")</f>
        <v/>
      </c>
    </row>
    <row r="86115">
      <c r="A86115" s="1" t="n">
        <v>86114</v>
      </c>
      <c r="B86115">
        <f>TEXT(86114, "[$-0E0000]yyyy-mm-dd")</f>
        <v/>
      </c>
    </row>
    <row r="86116">
      <c r="A86116" s="1" t="n">
        <v>86115</v>
      </c>
      <c r="B86116">
        <f>TEXT(86115, "[$-0E0000]yyyy-mm-dd")</f>
        <v/>
      </c>
    </row>
    <row r="86117">
      <c r="A86117" s="1" t="n">
        <v>86116</v>
      </c>
      <c r="B86117">
        <f>TEXT(86116, "[$-0E0000]yyyy-mm-dd")</f>
        <v/>
      </c>
    </row>
    <row r="86118">
      <c r="A86118" s="1" t="n">
        <v>86117</v>
      </c>
      <c r="B86118">
        <f>TEXT(86117, "[$-0E0000]yyyy-mm-dd")</f>
        <v/>
      </c>
    </row>
    <row r="86119">
      <c r="A86119" s="1" t="n">
        <v>86118</v>
      </c>
      <c r="B86119">
        <f>TEXT(86118, "[$-0E0000]yyyy-mm-dd")</f>
        <v/>
      </c>
    </row>
    <row r="86120">
      <c r="A86120" s="1" t="n">
        <v>86119</v>
      </c>
      <c r="B86120">
        <f>TEXT(86119, "[$-0E0000]yyyy-mm-dd")</f>
        <v/>
      </c>
    </row>
    <row r="86121">
      <c r="A86121" s="1" t="n">
        <v>86120</v>
      </c>
      <c r="B86121">
        <f>TEXT(86120, "[$-0E0000]yyyy-mm-dd")</f>
        <v/>
      </c>
    </row>
    <row r="86122">
      <c r="A86122" s="1" t="n">
        <v>86121</v>
      </c>
      <c r="B86122">
        <f>TEXT(86121, "[$-0E0000]yyyy-mm-dd")</f>
        <v/>
      </c>
    </row>
    <row r="86123">
      <c r="A86123" s="1" t="n">
        <v>86122</v>
      </c>
      <c r="B86123">
        <f>TEXT(86122, "[$-0E0000]yyyy-mm-dd")</f>
        <v/>
      </c>
    </row>
    <row r="86124">
      <c r="A86124" s="1" t="n">
        <v>86123</v>
      </c>
      <c r="B86124">
        <f>TEXT(86123, "[$-0E0000]yyyy-mm-dd")</f>
        <v/>
      </c>
    </row>
    <row r="86125">
      <c r="A86125" s="1" t="n">
        <v>86124</v>
      </c>
      <c r="B86125">
        <f>TEXT(86124, "[$-0E0000]yyyy-mm-dd")</f>
        <v/>
      </c>
    </row>
    <row r="86126">
      <c r="A86126" s="1" t="n">
        <v>86125</v>
      </c>
      <c r="B86126">
        <f>TEXT(86125, "[$-0E0000]yyyy-mm-dd")</f>
        <v/>
      </c>
    </row>
    <row r="86127">
      <c r="A86127" s="1" t="n">
        <v>86126</v>
      </c>
      <c r="B86127">
        <f>TEXT(86126, "[$-0E0000]yyyy-mm-dd")</f>
        <v/>
      </c>
    </row>
    <row r="86128">
      <c r="A86128" s="1" t="n">
        <v>86127</v>
      </c>
      <c r="B86128">
        <f>TEXT(86127, "[$-0E0000]yyyy-mm-dd")</f>
        <v/>
      </c>
    </row>
    <row r="86129">
      <c r="A86129" s="1" t="n">
        <v>86128</v>
      </c>
      <c r="B86129">
        <f>TEXT(86128, "[$-0E0000]yyyy-mm-dd")</f>
        <v/>
      </c>
    </row>
    <row r="86130">
      <c r="A86130" s="1" t="n">
        <v>86129</v>
      </c>
      <c r="B86130">
        <f>TEXT(86129, "[$-0E0000]yyyy-mm-dd")</f>
        <v/>
      </c>
    </row>
    <row r="86131">
      <c r="A86131" s="1" t="n">
        <v>86130</v>
      </c>
      <c r="B86131">
        <f>TEXT(86130, "[$-0E0000]yyyy-mm-dd")</f>
        <v/>
      </c>
    </row>
    <row r="86132">
      <c r="A86132" s="1" t="n">
        <v>86131</v>
      </c>
      <c r="B86132">
        <f>TEXT(86131, "[$-0E0000]yyyy-mm-dd")</f>
        <v/>
      </c>
    </row>
    <row r="86133">
      <c r="A86133" s="1" t="n">
        <v>86132</v>
      </c>
      <c r="B86133">
        <f>TEXT(86132, "[$-0E0000]yyyy-mm-dd")</f>
        <v/>
      </c>
    </row>
    <row r="86134">
      <c r="A86134" s="1" t="n">
        <v>86133</v>
      </c>
      <c r="B86134">
        <f>TEXT(86133, "[$-0E0000]yyyy-mm-dd")</f>
        <v/>
      </c>
    </row>
    <row r="86135">
      <c r="A86135" s="1" t="n">
        <v>86134</v>
      </c>
      <c r="B86135">
        <f>TEXT(86134, "[$-0E0000]yyyy-mm-dd")</f>
        <v/>
      </c>
    </row>
    <row r="86136">
      <c r="A86136" s="1" t="n">
        <v>86135</v>
      </c>
      <c r="B86136">
        <f>TEXT(86135, "[$-0E0000]yyyy-mm-dd")</f>
        <v/>
      </c>
    </row>
    <row r="86137">
      <c r="A86137" s="1" t="n">
        <v>86136</v>
      </c>
      <c r="B86137">
        <f>TEXT(86136, "[$-0E0000]yyyy-mm-dd")</f>
        <v/>
      </c>
    </row>
    <row r="86138">
      <c r="A86138" s="1" t="n">
        <v>86137</v>
      </c>
      <c r="B86138">
        <f>TEXT(86137, "[$-0E0000]yyyy-mm-dd")</f>
        <v/>
      </c>
    </row>
    <row r="86139">
      <c r="A86139" s="1" t="n">
        <v>86138</v>
      </c>
      <c r="B86139">
        <f>TEXT(86138, "[$-0E0000]yyyy-mm-dd")</f>
        <v/>
      </c>
    </row>
    <row r="86140">
      <c r="A86140" s="1" t="n">
        <v>86139</v>
      </c>
      <c r="B86140">
        <f>TEXT(86139, "[$-0E0000]yyyy-mm-dd")</f>
        <v/>
      </c>
    </row>
    <row r="86141">
      <c r="A86141" s="1" t="n">
        <v>86140</v>
      </c>
      <c r="B86141">
        <f>TEXT(86140, "[$-0E0000]yyyy-mm-dd")</f>
        <v/>
      </c>
    </row>
    <row r="86142">
      <c r="A86142" s="1" t="n">
        <v>86141</v>
      </c>
      <c r="B86142">
        <f>TEXT(86141, "[$-0E0000]yyyy-mm-dd")</f>
        <v/>
      </c>
    </row>
    <row r="86143">
      <c r="A86143" s="1" t="n">
        <v>86142</v>
      </c>
      <c r="B86143">
        <f>TEXT(86142, "[$-0E0000]yyyy-mm-dd")</f>
        <v/>
      </c>
    </row>
    <row r="86144">
      <c r="A86144" s="1" t="n">
        <v>86143</v>
      </c>
      <c r="B86144">
        <f>TEXT(86143, "[$-0E0000]yyyy-mm-dd")</f>
        <v/>
      </c>
    </row>
    <row r="86145">
      <c r="A86145" s="1" t="n">
        <v>86144</v>
      </c>
      <c r="B86145">
        <f>TEXT(86144, "[$-0E0000]yyyy-mm-dd")</f>
        <v/>
      </c>
    </row>
    <row r="86146">
      <c r="A86146" s="1" t="n">
        <v>86145</v>
      </c>
      <c r="B86146">
        <f>TEXT(86145, "[$-0E0000]yyyy-mm-dd")</f>
        <v/>
      </c>
    </row>
    <row r="86147">
      <c r="A86147" s="1" t="n">
        <v>86146</v>
      </c>
      <c r="B86147">
        <f>TEXT(86146, "[$-0E0000]yyyy-mm-dd")</f>
        <v/>
      </c>
    </row>
    <row r="86148">
      <c r="A86148" s="1" t="n">
        <v>86147</v>
      </c>
      <c r="B86148">
        <f>TEXT(86147, "[$-0E0000]yyyy-mm-dd")</f>
        <v/>
      </c>
    </row>
    <row r="86149">
      <c r="A86149" s="1" t="n">
        <v>86148</v>
      </c>
      <c r="B86149">
        <f>TEXT(86148, "[$-0E0000]yyyy-mm-dd")</f>
        <v/>
      </c>
    </row>
    <row r="86150">
      <c r="A86150" s="1" t="n">
        <v>86149</v>
      </c>
      <c r="B86150">
        <f>TEXT(86149, "[$-0E0000]yyyy-mm-dd")</f>
        <v/>
      </c>
    </row>
    <row r="86151">
      <c r="A86151" s="1" t="n">
        <v>86150</v>
      </c>
      <c r="B86151">
        <f>TEXT(86150, "[$-0E0000]yyyy-mm-dd")</f>
        <v/>
      </c>
    </row>
    <row r="86152">
      <c r="A86152" s="1" t="n">
        <v>86151</v>
      </c>
      <c r="B86152">
        <f>TEXT(86151, "[$-0E0000]yyyy-mm-dd")</f>
        <v/>
      </c>
    </row>
    <row r="86153">
      <c r="A86153" s="1" t="n">
        <v>86152</v>
      </c>
      <c r="B86153">
        <f>TEXT(86152, "[$-0E0000]yyyy-mm-dd")</f>
        <v/>
      </c>
    </row>
    <row r="86154">
      <c r="A86154" s="1" t="n">
        <v>86153</v>
      </c>
      <c r="B86154">
        <f>TEXT(86153, "[$-0E0000]yyyy-mm-dd")</f>
        <v/>
      </c>
    </row>
    <row r="86155">
      <c r="A86155" s="1" t="n">
        <v>86154</v>
      </c>
      <c r="B86155">
        <f>TEXT(86154, "[$-0E0000]yyyy-mm-dd")</f>
        <v/>
      </c>
    </row>
    <row r="86156">
      <c r="A86156" s="1" t="n">
        <v>86155</v>
      </c>
      <c r="B86156">
        <f>TEXT(86155, "[$-0E0000]yyyy-mm-dd")</f>
        <v/>
      </c>
    </row>
    <row r="86157">
      <c r="A86157" s="1" t="n">
        <v>86156</v>
      </c>
      <c r="B86157">
        <f>TEXT(86156, "[$-0E0000]yyyy-mm-dd")</f>
        <v/>
      </c>
    </row>
    <row r="86158">
      <c r="A86158" s="1" t="n">
        <v>86157</v>
      </c>
      <c r="B86158">
        <f>TEXT(86157, "[$-0E0000]yyyy-mm-dd")</f>
        <v/>
      </c>
    </row>
    <row r="86159">
      <c r="A86159" s="1" t="n">
        <v>86158</v>
      </c>
      <c r="B86159">
        <f>TEXT(86158, "[$-0E0000]yyyy-mm-dd")</f>
        <v/>
      </c>
    </row>
    <row r="86160">
      <c r="A86160" s="1" t="n">
        <v>86159</v>
      </c>
      <c r="B86160">
        <f>TEXT(86159, "[$-0E0000]yyyy-mm-dd")</f>
        <v/>
      </c>
    </row>
    <row r="86161">
      <c r="A86161" s="1" t="n">
        <v>86160</v>
      </c>
      <c r="B86161">
        <f>TEXT(86160, "[$-0E0000]yyyy-mm-dd")</f>
        <v/>
      </c>
    </row>
    <row r="86162">
      <c r="A86162" s="1" t="n">
        <v>86161</v>
      </c>
      <c r="B86162">
        <f>TEXT(86161, "[$-0E0000]yyyy-mm-dd")</f>
        <v/>
      </c>
    </row>
    <row r="86163">
      <c r="A86163" s="1" t="n">
        <v>86162</v>
      </c>
      <c r="B86163">
        <f>TEXT(86162, "[$-0E0000]yyyy-mm-dd")</f>
        <v/>
      </c>
    </row>
    <row r="86164">
      <c r="A86164" s="1" t="n">
        <v>86163</v>
      </c>
      <c r="B86164">
        <f>TEXT(86163, "[$-0E0000]yyyy-mm-dd")</f>
        <v/>
      </c>
    </row>
    <row r="86165">
      <c r="A86165" s="1" t="n">
        <v>86164</v>
      </c>
      <c r="B86165">
        <f>TEXT(86164, "[$-0E0000]yyyy-mm-dd")</f>
        <v/>
      </c>
    </row>
    <row r="86166">
      <c r="A86166" s="1" t="n">
        <v>86165</v>
      </c>
      <c r="B86166">
        <f>TEXT(86165, "[$-0E0000]yyyy-mm-dd")</f>
        <v/>
      </c>
    </row>
    <row r="86167">
      <c r="A86167" s="1" t="n">
        <v>86166</v>
      </c>
      <c r="B86167">
        <f>TEXT(86166, "[$-0E0000]yyyy-mm-dd")</f>
        <v/>
      </c>
    </row>
    <row r="86168">
      <c r="A86168" s="1" t="n">
        <v>86167</v>
      </c>
      <c r="B86168">
        <f>TEXT(86167, "[$-0E0000]yyyy-mm-dd")</f>
        <v/>
      </c>
    </row>
    <row r="86169">
      <c r="A86169" s="1" t="n">
        <v>86168</v>
      </c>
      <c r="B86169">
        <f>TEXT(86168, "[$-0E0000]yyyy-mm-dd")</f>
        <v/>
      </c>
    </row>
    <row r="86170">
      <c r="A86170" s="1" t="n">
        <v>86169</v>
      </c>
      <c r="B86170">
        <f>TEXT(86169, "[$-0E0000]yyyy-mm-dd")</f>
        <v/>
      </c>
    </row>
    <row r="86171">
      <c r="A86171" s="1" t="n">
        <v>86170</v>
      </c>
      <c r="B86171">
        <f>TEXT(86170, "[$-0E0000]yyyy-mm-dd")</f>
        <v/>
      </c>
    </row>
    <row r="86172">
      <c r="A86172" s="1" t="n">
        <v>86171</v>
      </c>
      <c r="B86172">
        <f>TEXT(86171, "[$-0E0000]yyyy-mm-dd")</f>
        <v/>
      </c>
    </row>
    <row r="86173">
      <c r="A86173" s="1" t="n">
        <v>86172</v>
      </c>
      <c r="B86173">
        <f>TEXT(86172, "[$-0E0000]yyyy-mm-dd")</f>
        <v/>
      </c>
    </row>
    <row r="86174">
      <c r="A86174" s="1" t="n">
        <v>86173</v>
      </c>
      <c r="B86174">
        <f>TEXT(86173, "[$-0E0000]yyyy-mm-dd")</f>
        <v/>
      </c>
    </row>
    <row r="86175">
      <c r="A86175" s="1" t="n">
        <v>86174</v>
      </c>
      <c r="B86175">
        <f>TEXT(86174, "[$-0E0000]yyyy-mm-dd")</f>
        <v/>
      </c>
    </row>
    <row r="86176">
      <c r="A86176" s="1" t="n">
        <v>86175</v>
      </c>
      <c r="B86176">
        <f>TEXT(86175, "[$-0E0000]yyyy-mm-dd")</f>
        <v/>
      </c>
    </row>
    <row r="86177">
      <c r="A86177" s="1" t="n">
        <v>86176</v>
      </c>
      <c r="B86177">
        <f>TEXT(86176, "[$-0E0000]yyyy-mm-dd")</f>
        <v/>
      </c>
    </row>
    <row r="86178">
      <c r="A86178" s="1" t="n">
        <v>86177</v>
      </c>
      <c r="B86178">
        <f>TEXT(86177, "[$-0E0000]yyyy-mm-dd")</f>
        <v/>
      </c>
    </row>
    <row r="86179">
      <c r="A86179" s="1" t="n">
        <v>86178</v>
      </c>
      <c r="B86179">
        <f>TEXT(86178, "[$-0E0000]yyyy-mm-dd")</f>
        <v/>
      </c>
    </row>
    <row r="86180">
      <c r="A86180" s="1" t="n">
        <v>86179</v>
      </c>
      <c r="B86180">
        <f>TEXT(86179, "[$-0E0000]yyyy-mm-dd")</f>
        <v/>
      </c>
    </row>
    <row r="86181">
      <c r="A86181" s="1" t="n">
        <v>86180</v>
      </c>
      <c r="B86181">
        <f>TEXT(86180, "[$-0E0000]yyyy-mm-dd")</f>
        <v/>
      </c>
    </row>
    <row r="86182">
      <c r="A86182" s="1" t="n">
        <v>86181</v>
      </c>
      <c r="B86182">
        <f>TEXT(86181, "[$-0E0000]yyyy-mm-dd")</f>
        <v/>
      </c>
    </row>
    <row r="86183">
      <c r="A86183" s="1" t="n">
        <v>86182</v>
      </c>
      <c r="B86183">
        <f>TEXT(86182, "[$-0E0000]yyyy-mm-dd")</f>
        <v/>
      </c>
    </row>
    <row r="86184">
      <c r="A86184" s="1" t="n">
        <v>86183</v>
      </c>
      <c r="B86184">
        <f>TEXT(86183, "[$-0E0000]yyyy-mm-dd")</f>
        <v/>
      </c>
    </row>
    <row r="86185">
      <c r="A86185" s="1" t="n">
        <v>86184</v>
      </c>
      <c r="B86185">
        <f>TEXT(86184, "[$-0E0000]yyyy-mm-dd")</f>
        <v/>
      </c>
    </row>
    <row r="86186">
      <c r="A86186" s="1" t="n">
        <v>86185</v>
      </c>
      <c r="B86186">
        <f>TEXT(86185, "[$-0E0000]yyyy-mm-dd")</f>
        <v/>
      </c>
    </row>
    <row r="86187">
      <c r="A86187" s="1" t="n">
        <v>86186</v>
      </c>
      <c r="B86187">
        <f>TEXT(86186, "[$-0E0000]yyyy-mm-dd")</f>
        <v/>
      </c>
    </row>
    <row r="86188">
      <c r="A86188" s="1" t="n">
        <v>86187</v>
      </c>
      <c r="B86188">
        <f>TEXT(86187, "[$-0E0000]yyyy-mm-dd")</f>
        <v/>
      </c>
    </row>
    <row r="86189">
      <c r="A86189" s="1" t="n">
        <v>86188</v>
      </c>
      <c r="B86189">
        <f>TEXT(86188, "[$-0E0000]yyyy-mm-dd")</f>
        <v/>
      </c>
    </row>
    <row r="86190">
      <c r="A86190" s="1" t="n">
        <v>86189</v>
      </c>
      <c r="B86190">
        <f>TEXT(86189, "[$-0E0000]yyyy-mm-dd")</f>
        <v/>
      </c>
    </row>
    <row r="86191">
      <c r="A86191" s="1" t="n">
        <v>86190</v>
      </c>
      <c r="B86191">
        <f>TEXT(86190, "[$-0E0000]yyyy-mm-dd")</f>
        <v/>
      </c>
    </row>
    <row r="86192">
      <c r="A86192" s="1" t="n">
        <v>86191</v>
      </c>
      <c r="B86192">
        <f>TEXT(86191, "[$-0E0000]yyyy-mm-dd")</f>
        <v/>
      </c>
    </row>
    <row r="86193">
      <c r="A86193" s="1" t="n">
        <v>86192</v>
      </c>
      <c r="B86193">
        <f>TEXT(86192, "[$-0E0000]yyyy-mm-dd")</f>
        <v/>
      </c>
    </row>
    <row r="86194">
      <c r="A86194" s="1" t="n">
        <v>86193</v>
      </c>
      <c r="B86194">
        <f>TEXT(86193, "[$-0E0000]yyyy-mm-dd")</f>
        <v/>
      </c>
    </row>
    <row r="86195">
      <c r="A86195" s="1" t="n">
        <v>86194</v>
      </c>
      <c r="B86195">
        <f>TEXT(86194, "[$-0E0000]yyyy-mm-dd")</f>
        <v/>
      </c>
    </row>
    <row r="86196">
      <c r="A86196" s="1" t="n">
        <v>86195</v>
      </c>
      <c r="B86196">
        <f>TEXT(86195, "[$-0E0000]yyyy-mm-dd")</f>
        <v/>
      </c>
    </row>
    <row r="86197">
      <c r="A86197" s="1" t="n">
        <v>86196</v>
      </c>
      <c r="B86197">
        <f>TEXT(86196, "[$-0E0000]yyyy-mm-dd")</f>
        <v/>
      </c>
    </row>
    <row r="86198">
      <c r="A86198" s="1" t="n">
        <v>86197</v>
      </c>
      <c r="B86198">
        <f>TEXT(86197, "[$-0E0000]yyyy-mm-dd")</f>
        <v/>
      </c>
    </row>
    <row r="86199">
      <c r="A86199" s="1" t="n">
        <v>86198</v>
      </c>
      <c r="B86199">
        <f>TEXT(86198, "[$-0E0000]yyyy-mm-dd")</f>
        <v/>
      </c>
    </row>
    <row r="86200">
      <c r="A86200" s="1" t="n">
        <v>86199</v>
      </c>
      <c r="B86200">
        <f>TEXT(86199, "[$-0E0000]yyyy-mm-dd")</f>
        <v/>
      </c>
    </row>
    <row r="86201">
      <c r="A86201" s="1" t="n">
        <v>86200</v>
      </c>
      <c r="B86201">
        <f>TEXT(86200, "[$-0E0000]yyyy-mm-dd")</f>
        <v/>
      </c>
    </row>
    <row r="86202">
      <c r="A86202" s="1" t="n">
        <v>86201</v>
      </c>
      <c r="B86202">
        <f>TEXT(86201, "[$-0E0000]yyyy-mm-dd")</f>
        <v/>
      </c>
    </row>
    <row r="86203">
      <c r="A86203" s="1" t="n">
        <v>86202</v>
      </c>
      <c r="B86203">
        <f>TEXT(86202, "[$-0E0000]yyyy-mm-dd")</f>
        <v/>
      </c>
    </row>
    <row r="86204">
      <c r="A86204" s="1" t="n">
        <v>86203</v>
      </c>
      <c r="B86204">
        <f>TEXT(86203, "[$-0E0000]yyyy-mm-dd")</f>
        <v/>
      </c>
    </row>
    <row r="86205">
      <c r="A86205" s="1" t="n">
        <v>86204</v>
      </c>
      <c r="B86205">
        <f>TEXT(86204, "[$-0E0000]yyyy-mm-dd")</f>
        <v/>
      </c>
    </row>
    <row r="86206">
      <c r="A86206" s="1" t="n">
        <v>86205</v>
      </c>
      <c r="B86206">
        <f>TEXT(86205, "[$-0E0000]yyyy-mm-dd")</f>
        <v/>
      </c>
    </row>
    <row r="86207">
      <c r="A86207" s="1" t="n">
        <v>86206</v>
      </c>
      <c r="B86207">
        <f>TEXT(86206, "[$-0E0000]yyyy-mm-dd")</f>
        <v/>
      </c>
    </row>
    <row r="86208">
      <c r="A86208" s="1" t="n">
        <v>86207</v>
      </c>
      <c r="B86208">
        <f>TEXT(86207, "[$-0E0000]yyyy-mm-dd")</f>
        <v/>
      </c>
    </row>
    <row r="86209">
      <c r="A86209" s="1" t="n">
        <v>86208</v>
      </c>
      <c r="B86209">
        <f>TEXT(86208, "[$-0E0000]yyyy-mm-dd")</f>
        <v/>
      </c>
    </row>
    <row r="86210">
      <c r="A86210" s="1" t="n">
        <v>86209</v>
      </c>
      <c r="B86210">
        <f>TEXT(86209, "[$-0E0000]yyyy-mm-dd")</f>
        <v/>
      </c>
    </row>
    <row r="86211">
      <c r="A86211" s="1" t="n">
        <v>86210</v>
      </c>
      <c r="B86211">
        <f>TEXT(86210, "[$-0E0000]yyyy-mm-dd")</f>
        <v/>
      </c>
    </row>
    <row r="86212">
      <c r="A86212" s="1" t="n">
        <v>86211</v>
      </c>
      <c r="B86212">
        <f>TEXT(86211, "[$-0E0000]yyyy-mm-dd")</f>
        <v/>
      </c>
    </row>
    <row r="86213">
      <c r="A86213" s="1" t="n">
        <v>86212</v>
      </c>
      <c r="B86213">
        <f>TEXT(86212, "[$-0E0000]yyyy-mm-dd")</f>
        <v/>
      </c>
    </row>
    <row r="86214">
      <c r="A86214" s="1" t="n">
        <v>86213</v>
      </c>
      <c r="B86214">
        <f>TEXT(86213, "[$-0E0000]yyyy-mm-dd")</f>
        <v/>
      </c>
    </row>
    <row r="86215">
      <c r="A86215" s="1" t="n">
        <v>86214</v>
      </c>
      <c r="B86215">
        <f>TEXT(86214, "[$-0E0000]yyyy-mm-dd")</f>
        <v/>
      </c>
    </row>
    <row r="86216">
      <c r="A86216" s="1" t="n">
        <v>86215</v>
      </c>
      <c r="B86216">
        <f>TEXT(86215, "[$-0E0000]yyyy-mm-dd")</f>
        <v/>
      </c>
    </row>
    <row r="86217">
      <c r="A86217" s="1" t="n">
        <v>86216</v>
      </c>
      <c r="B86217">
        <f>TEXT(86216, "[$-0E0000]yyyy-mm-dd")</f>
        <v/>
      </c>
    </row>
    <row r="86218">
      <c r="A86218" s="1" t="n">
        <v>86217</v>
      </c>
      <c r="B86218">
        <f>TEXT(86217, "[$-0E0000]yyyy-mm-dd")</f>
        <v/>
      </c>
    </row>
    <row r="86219">
      <c r="A86219" s="1" t="n">
        <v>86218</v>
      </c>
      <c r="B86219">
        <f>TEXT(86218, "[$-0E0000]yyyy-mm-dd")</f>
        <v/>
      </c>
    </row>
    <row r="86220">
      <c r="A86220" s="1" t="n">
        <v>86219</v>
      </c>
      <c r="B86220">
        <f>TEXT(86219, "[$-0E0000]yyyy-mm-dd")</f>
        <v/>
      </c>
    </row>
    <row r="86221">
      <c r="A86221" s="1" t="n">
        <v>86220</v>
      </c>
      <c r="B86221">
        <f>TEXT(86220, "[$-0E0000]yyyy-mm-dd")</f>
        <v/>
      </c>
    </row>
    <row r="86222">
      <c r="A86222" s="1" t="n">
        <v>86221</v>
      </c>
      <c r="B86222">
        <f>TEXT(86221, "[$-0E0000]yyyy-mm-dd")</f>
        <v/>
      </c>
    </row>
    <row r="86223">
      <c r="A86223" s="1" t="n">
        <v>86222</v>
      </c>
      <c r="B86223">
        <f>TEXT(86222, "[$-0E0000]yyyy-mm-dd")</f>
        <v/>
      </c>
    </row>
    <row r="86224">
      <c r="A86224" s="1" t="n">
        <v>86223</v>
      </c>
      <c r="B86224">
        <f>TEXT(86223, "[$-0E0000]yyyy-mm-dd")</f>
        <v/>
      </c>
    </row>
    <row r="86225">
      <c r="A86225" s="1" t="n">
        <v>86224</v>
      </c>
      <c r="B86225">
        <f>TEXT(86224, "[$-0E0000]yyyy-mm-dd")</f>
        <v/>
      </c>
    </row>
    <row r="86226">
      <c r="A86226" s="1" t="n">
        <v>86225</v>
      </c>
      <c r="B86226">
        <f>TEXT(86225, "[$-0E0000]yyyy-mm-dd")</f>
        <v/>
      </c>
    </row>
    <row r="86227">
      <c r="A86227" s="1" t="n">
        <v>86226</v>
      </c>
      <c r="B86227">
        <f>TEXT(86226, "[$-0E0000]yyyy-mm-dd")</f>
        <v/>
      </c>
    </row>
    <row r="86228">
      <c r="A86228" s="1" t="n">
        <v>86227</v>
      </c>
      <c r="B86228">
        <f>TEXT(86227, "[$-0E0000]yyyy-mm-dd")</f>
        <v/>
      </c>
    </row>
    <row r="86229">
      <c r="A86229" s="1" t="n">
        <v>86228</v>
      </c>
      <c r="B86229">
        <f>TEXT(86228, "[$-0E0000]yyyy-mm-dd")</f>
        <v/>
      </c>
    </row>
    <row r="86230">
      <c r="A86230" s="1" t="n">
        <v>86229</v>
      </c>
      <c r="B86230">
        <f>TEXT(86229, "[$-0E0000]yyyy-mm-dd")</f>
        <v/>
      </c>
    </row>
    <row r="86231">
      <c r="A86231" s="1" t="n">
        <v>86230</v>
      </c>
      <c r="B86231">
        <f>TEXT(86230, "[$-0E0000]yyyy-mm-dd")</f>
        <v/>
      </c>
    </row>
    <row r="86232">
      <c r="A86232" s="1" t="n">
        <v>86231</v>
      </c>
      <c r="B86232">
        <f>TEXT(86231, "[$-0E0000]yyyy-mm-dd")</f>
        <v/>
      </c>
    </row>
    <row r="86233">
      <c r="A86233" s="1" t="n">
        <v>86232</v>
      </c>
      <c r="B86233">
        <f>TEXT(86232, "[$-0E0000]yyyy-mm-dd")</f>
        <v/>
      </c>
    </row>
    <row r="86234">
      <c r="A86234" s="1" t="n">
        <v>86233</v>
      </c>
      <c r="B86234">
        <f>TEXT(86233, "[$-0E0000]yyyy-mm-dd")</f>
        <v/>
      </c>
    </row>
    <row r="86235">
      <c r="A86235" s="1" t="n">
        <v>86234</v>
      </c>
      <c r="B86235">
        <f>TEXT(86234, "[$-0E0000]yyyy-mm-dd")</f>
        <v/>
      </c>
    </row>
    <row r="86236">
      <c r="A86236" s="1" t="n">
        <v>86235</v>
      </c>
      <c r="B86236">
        <f>TEXT(86235, "[$-0E0000]yyyy-mm-dd")</f>
        <v/>
      </c>
    </row>
    <row r="86237">
      <c r="A86237" s="1" t="n">
        <v>86236</v>
      </c>
      <c r="B86237">
        <f>TEXT(86236, "[$-0E0000]yyyy-mm-dd")</f>
        <v/>
      </c>
    </row>
    <row r="86238">
      <c r="A86238" s="1" t="n">
        <v>86237</v>
      </c>
      <c r="B86238">
        <f>TEXT(86237, "[$-0E0000]yyyy-mm-dd")</f>
        <v/>
      </c>
    </row>
    <row r="86239">
      <c r="A86239" s="1" t="n">
        <v>86238</v>
      </c>
      <c r="B86239">
        <f>TEXT(86238, "[$-0E0000]yyyy-mm-dd")</f>
        <v/>
      </c>
    </row>
    <row r="86240">
      <c r="A86240" s="1" t="n">
        <v>86239</v>
      </c>
      <c r="B86240">
        <f>TEXT(86239, "[$-0E0000]yyyy-mm-dd")</f>
        <v/>
      </c>
    </row>
    <row r="86241">
      <c r="A86241" s="1" t="n">
        <v>86240</v>
      </c>
      <c r="B86241">
        <f>TEXT(86240, "[$-0E0000]yyyy-mm-dd")</f>
        <v/>
      </c>
    </row>
    <row r="86242">
      <c r="A86242" s="1" t="n">
        <v>86241</v>
      </c>
      <c r="B86242">
        <f>TEXT(86241, "[$-0E0000]yyyy-mm-dd")</f>
        <v/>
      </c>
    </row>
    <row r="86243">
      <c r="A86243" s="1" t="n">
        <v>86242</v>
      </c>
      <c r="B86243">
        <f>TEXT(86242, "[$-0E0000]yyyy-mm-dd")</f>
        <v/>
      </c>
    </row>
    <row r="86244">
      <c r="A86244" s="1" t="n">
        <v>86243</v>
      </c>
      <c r="B86244">
        <f>TEXT(86243, "[$-0E0000]yyyy-mm-dd")</f>
        <v/>
      </c>
    </row>
    <row r="86245">
      <c r="A86245" s="1" t="n">
        <v>86244</v>
      </c>
      <c r="B86245">
        <f>TEXT(86244, "[$-0E0000]yyyy-mm-dd")</f>
        <v/>
      </c>
    </row>
    <row r="86246">
      <c r="A86246" s="1" t="n">
        <v>86245</v>
      </c>
      <c r="B86246">
        <f>TEXT(86245, "[$-0E0000]yyyy-mm-dd")</f>
        <v/>
      </c>
    </row>
    <row r="86247">
      <c r="A86247" s="1" t="n">
        <v>86246</v>
      </c>
      <c r="B86247">
        <f>TEXT(86246, "[$-0E0000]yyyy-mm-dd")</f>
        <v/>
      </c>
    </row>
    <row r="86248">
      <c r="A86248" s="1" t="n">
        <v>86247</v>
      </c>
      <c r="B86248">
        <f>TEXT(86247, "[$-0E0000]yyyy-mm-dd")</f>
        <v/>
      </c>
    </row>
    <row r="86249">
      <c r="A86249" s="1" t="n">
        <v>86248</v>
      </c>
      <c r="B86249">
        <f>TEXT(86248, "[$-0E0000]yyyy-mm-dd")</f>
        <v/>
      </c>
    </row>
    <row r="86250">
      <c r="A86250" s="1" t="n">
        <v>86249</v>
      </c>
      <c r="B86250">
        <f>TEXT(86249, "[$-0E0000]yyyy-mm-dd")</f>
        <v/>
      </c>
    </row>
    <row r="86251">
      <c r="A86251" s="1" t="n">
        <v>86250</v>
      </c>
      <c r="B86251">
        <f>TEXT(86250, "[$-0E0000]yyyy-mm-dd")</f>
        <v/>
      </c>
    </row>
    <row r="86252">
      <c r="A86252" s="1" t="n">
        <v>86251</v>
      </c>
      <c r="B86252">
        <f>TEXT(86251, "[$-0E0000]yyyy-mm-dd")</f>
        <v/>
      </c>
    </row>
    <row r="86253">
      <c r="A86253" s="1" t="n">
        <v>86252</v>
      </c>
      <c r="B86253">
        <f>TEXT(86252, "[$-0E0000]yyyy-mm-dd")</f>
        <v/>
      </c>
    </row>
    <row r="86254">
      <c r="A86254" s="1" t="n">
        <v>86253</v>
      </c>
      <c r="B86254">
        <f>TEXT(86253, "[$-0E0000]yyyy-mm-dd")</f>
        <v/>
      </c>
    </row>
    <row r="86255">
      <c r="A86255" s="1" t="n">
        <v>86254</v>
      </c>
      <c r="B86255">
        <f>TEXT(86254, "[$-0E0000]yyyy-mm-dd")</f>
        <v/>
      </c>
    </row>
    <row r="86256">
      <c r="A86256" s="1" t="n">
        <v>86255</v>
      </c>
      <c r="B86256">
        <f>TEXT(86255, "[$-0E0000]yyyy-mm-dd")</f>
        <v/>
      </c>
    </row>
    <row r="86257">
      <c r="A86257" s="1" t="n">
        <v>86256</v>
      </c>
      <c r="B86257">
        <f>TEXT(86256, "[$-0E0000]yyyy-mm-dd")</f>
        <v/>
      </c>
    </row>
    <row r="86258">
      <c r="A86258" s="1" t="n">
        <v>86257</v>
      </c>
      <c r="B86258">
        <f>TEXT(86257, "[$-0E0000]yyyy-mm-dd")</f>
        <v/>
      </c>
    </row>
    <row r="86259">
      <c r="A86259" s="1" t="n">
        <v>86258</v>
      </c>
      <c r="B86259">
        <f>TEXT(86258, "[$-0E0000]yyyy-mm-dd")</f>
        <v/>
      </c>
    </row>
    <row r="86260">
      <c r="A86260" s="1" t="n">
        <v>86259</v>
      </c>
      <c r="B86260">
        <f>TEXT(86259, "[$-0E0000]yyyy-mm-dd")</f>
        <v/>
      </c>
    </row>
    <row r="86261">
      <c r="A86261" s="1" t="n">
        <v>86260</v>
      </c>
      <c r="B86261">
        <f>TEXT(86260, "[$-0E0000]yyyy-mm-dd")</f>
        <v/>
      </c>
    </row>
    <row r="86262">
      <c r="A86262" s="1" t="n">
        <v>86261</v>
      </c>
      <c r="B86262">
        <f>TEXT(86261, "[$-0E0000]yyyy-mm-dd")</f>
        <v/>
      </c>
    </row>
    <row r="86263">
      <c r="A86263" s="1" t="n">
        <v>86262</v>
      </c>
      <c r="B86263">
        <f>TEXT(86262, "[$-0E0000]yyyy-mm-dd")</f>
        <v/>
      </c>
    </row>
    <row r="86264">
      <c r="A86264" s="1" t="n">
        <v>86263</v>
      </c>
      <c r="B86264">
        <f>TEXT(86263, "[$-0E0000]yyyy-mm-dd")</f>
        <v/>
      </c>
    </row>
    <row r="86265">
      <c r="A86265" s="1" t="n">
        <v>86264</v>
      </c>
      <c r="B86265">
        <f>TEXT(86264, "[$-0E0000]yyyy-mm-dd")</f>
        <v/>
      </c>
    </row>
    <row r="86266">
      <c r="A86266" s="1" t="n">
        <v>86265</v>
      </c>
      <c r="B86266">
        <f>TEXT(86265, "[$-0E0000]yyyy-mm-dd")</f>
        <v/>
      </c>
    </row>
    <row r="86267">
      <c r="A86267" s="1" t="n">
        <v>86266</v>
      </c>
      <c r="B86267">
        <f>TEXT(86266, "[$-0E0000]yyyy-mm-dd")</f>
        <v/>
      </c>
    </row>
    <row r="86268">
      <c r="A86268" s="1" t="n">
        <v>86267</v>
      </c>
      <c r="B86268">
        <f>TEXT(86267, "[$-0E0000]yyyy-mm-dd")</f>
        <v/>
      </c>
    </row>
    <row r="86269">
      <c r="A86269" s="1" t="n">
        <v>86268</v>
      </c>
      <c r="B86269">
        <f>TEXT(86268, "[$-0E0000]yyyy-mm-dd")</f>
        <v/>
      </c>
    </row>
    <row r="86270">
      <c r="A86270" s="1" t="n">
        <v>86269</v>
      </c>
      <c r="B86270">
        <f>TEXT(86269, "[$-0E0000]yyyy-mm-dd")</f>
        <v/>
      </c>
    </row>
    <row r="86271">
      <c r="A86271" s="1" t="n">
        <v>86270</v>
      </c>
      <c r="B86271">
        <f>TEXT(86270, "[$-0E0000]yyyy-mm-dd")</f>
        <v/>
      </c>
    </row>
    <row r="86272">
      <c r="A86272" s="1" t="n">
        <v>86271</v>
      </c>
      <c r="B86272">
        <f>TEXT(86271, "[$-0E0000]yyyy-mm-dd")</f>
        <v/>
      </c>
    </row>
    <row r="86273">
      <c r="A86273" s="1" t="n">
        <v>86272</v>
      </c>
      <c r="B86273">
        <f>TEXT(86272, "[$-0E0000]yyyy-mm-dd")</f>
        <v/>
      </c>
    </row>
    <row r="86274">
      <c r="A86274" s="1" t="n">
        <v>86273</v>
      </c>
      <c r="B86274">
        <f>TEXT(86273, "[$-0E0000]yyyy-mm-dd")</f>
        <v/>
      </c>
    </row>
    <row r="86275">
      <c r="A86275" s="1" t="n">
        <v>86274</v>
      </c>
      <c r="B86275">
        <f>TEXT(86274, "[$-0E0000]yyyy-mm-dd")</f>
        <v/>
      </c>
    </row>
    <row r="86276">
      <c r="A86276" s="1" t="n">
        <v>86275</v>
      </c>
      <c r="B86276">
        <f>TEXT(86275, "[$-0E0000]yyyy-mm-dd")</f>
        <v/>
      </c>
    </row>
    <row r="86277">
      <c r="A86277" s="1" t="n">
        <v>86276</v>
      </c>
      <c r="B86277">
        <f>TEXT(86276, "[$-0E0000]yyyy-mm-dd")</f>
        <v/>
      </c>
    </row>
    <row r="86278">
      <c r="A86278" s="1" t="n">
        <v>86277</v>
      </c>
      <c r="B86278">
        <f>TEXT(86277, "[$-0E0000]yyyy-mm-dd")</f>
        <v/>
      </c>
    </row>
    <row r="86279">
      <c r="A86279" s="1" t="n">
        <v>86278</v>
      </c>
      <c r="B86279">
        <f>TEXT(86278, "[$-0E0000]yyyy-mm-dd")</f>
        <v/>
      </c>
    </row>
    <row r="86280">
      <c r="A86280" s="1" t="n">
        <v>86279</v>
      </c>
      <c r="B86280">
        <f>TEXT(86279, "[$-0E0000]yyyy-mm-dd")</f>
        <v/>
      </c>
    </row>
    <row r="86281">
      <c r="A86281" s="1" t="n">
        <v>86280</v>
      </c>
      <c r="B86281">
        <f>TEXT(86280, "[$-0E0000]yyyy-mm-dd")</f>
        <v/>
      </c>
    </row>
    <row r="86282">
      <c r="A86282" s="1" t="n">
        <v>86281</v>
      </c>
      <c r="B86282">
        <f>TEXT(86281, "[$-0E0000]yyyy-mm-dd")</f>
        <v/>
      </c>
    </row>
    <row r="86283">
      <c r="A86283" s="1" t="n">
        <v>86282</v>
      </c>
      <c r="B86283">
        <f>TEXT(86282, "[$-0E0000]yyyy-mm-dd")</f>
        <v/>
      </c>
    </row>
    <row r="86284">
      <c r="A86284" s="1" t="n">
        <v>86283</v>
      </c>
      <c r="B86284">
        <f>TEXT(86283, "[$-0E0000]yyyy-mm-dd")</f>
        <v/>
      </c>
    </row>
    <row r="86285">
      <c r="A86285" s="1" t="n">
        <v>86284</v>
      </c>
      <c r="B86285">
        <f>TEXT(86284, "[$-0E0000]yyyy-mm-dd")</f>
        <v/>
      </c>
    </row>
    <row r="86286">
      <c r="A86286" s="1" t="n">
        <v>86285</v>
      </c>
      <c r="B86286">
        <f>TEXT(86285, "[$-0E0000]yyyy-mm-dd")</f>
        <v/>
      </c>
    </row>
    <row r="86287">
      <c r="A86287" s="1" t="n">
        <v>86286</v>
      </c>
      <c r="B86287">
        <f>TEXT(86286, "[$-0E0000]yyyy-mm-dd")</f>
        <v/>
      </c>
    </row>
    <row r="86288">
      <c r="A86288" s="1" t="n">
        <v>86287</v>
      </c>
      <c r="B86288">
        <f>TEXT(86287, "[$-0E0000]yyyy-mm-dd")</f>
        <v/>
      </c>
    </row>
    <row r="86289">
      <c r="A86289" s="1" t="n">
        <v>86288</v>
      </c>
      <c r="B86289">
        <f>TEXT(86288, "[$-0E0000]yyyy-mm-dd")</f>
        <v/>
      </c>
    </row>
    <row r="86290">
      <c r="A86290" s="1" t="n">
        <v>86289</v>
      </c>
      <c r="B86290">
        <f>TEXT(86289, "[$-0E0000]yyyy-mm-dd")</f>
        <v/>
      </c>
    </row>
    <row r="86291">
      <c r="A86291" s="1" t="n">
        <v>86290</v>
      </c>
      <c r="B86291">
        <f>TEXT(86290, "[$-0E0000]yyyy-mm-dd")</f>
        <v/>
      </c>
    </row>
    <row r="86292">
      <c r="A86292" s="1" t="n">
        <v>86291</v>
      </c>
      <c r="B86292">
        <f>TEXT(86291, "[$-0E0000]yyyy-mm-dd")</f>
        <v/>
      </c>
    </row>
    <row r="86293">
      <c r="A86293" s="1" t="n">
        <v>86292</v>
      </c>
      <c r="B86293">
        <f>TEXT(86292, "[$-0E0000]yyyy-mm-dd")</f>
        <v/>
      </c>
    </row>
    <row r="86294">
      <c r="A86294" s="1" t="n">
        <v>86293</v>
      </c>
      <c r="B86294">
        <f>TEXT(86293, "[$-0E0000]yyyy-mm-dd")</f>
        <v/>
      </c>
    </row>
    <row r="86295">
      <c r="A86295" s="1" t="n">
        <v>86294</v>
      </c>
      <c r="B86295">
        <f>TEXT(86294, "[$-0E0000]yyyy-mm-dd")</f>
        <v/>
      </c>
    </row>
    <row r="86296">
      <c r="A86296" s="1" t="n">
        <v>86295</v>
      </c>
      <c r="B86296">
        <f>TEXT(86295, "[$-0E0000]yyyy-mm-dd")</f>
        <v/>
      </c>
    </row>
    <row r="86297">
      <c r="A86297" s="1" t="n">
        <v>86296</v>
      </c>
      <c r="B86297">
        <f>TEXT(86296, "[$-0E0000]yyyy-mm-dd")</f>
        <v/>
      </c>
    </row>
    <row r="86298">
      <c r="A86298" s="1" t="n">
        <v>86297</v>
      </c>
      <c r="B86298">
        <f>TEXT(86297, "[$-0E0000]yyyy-mm-dd")</f>
        <v/>
      </c>
    </row>
    <row r="86299">
      <c r="A86299" s="1" t="n">
        <v>86298</v>
      </c>
      <c r="B86299">
        <f>TEXT(86298, "[$-0E0000]yyyy-mm-dd")</f>
        <v/>
      </c>
    </row>
    <row r="86300">
      <c r="A86300" s="1" t="n">
        <v>86299</v>
      </c>
      <c r="B86300">
        <f>TEXT(86299, "[$-0E0000]yyyy-mm-dd")</f>
        <v/>
      </c>
    </row>
    <row r="86301">
      <c r="A86301" s="1" t="n">
        <v>86300</v>
      </c>
      <c r="B86301">
        <f>TEXT(86300, "[$-0E0000]yyyy-mm-dd")</f>
        <v/>
      </c>
    </row>
    <row r="86302">
      <c r="A86302" s="1" t="n">
        <v>86301</v>
      </c>
      <c r="B86302">
        <f>TEXT(86301, "[$-0E0000]yyyy-mm-dd")</f>
        <v/>
      </c>
    </row>
    <row r="86303">
      <c r="A86303" s="1" t="n">
        <v>86302</v>
      </c>
      <c r="B86303">
        <f>TEXT(86302, "[$-0E0000]yyyy-mm-dd")</f>
        <v/>
      </c>
    </row>
    <row r="86304">
      <c r="A86304" s="1" t="n">
        <v>86303</v>
      </c>
      <c r="B86304">
        <f>TEXT(86303, "[$-0E0000]yyyy-mm-dd")</f>
        <v/>
      </c>
    </row>
    <row r="86305">
      <c r="A86305" s="1" t="n">
        <v>86304</v>
      </c>
      <c r="B86305">
        <f>TEXT(86304, "[$-0E0000]yyyy-mm-dd")</f>
        <v/>
      </c>
    </row>
    <row r="86306">
      <c r="A86306" s="1" t="n">
        <v>86305</v>
      </c>
      <c r="B86306">
        <f>TEXT(86305, "[$-0E0000]yyyy-mm-dd")</f>
        <v/>
      </c>
    </row>
    <row r="86307">
      <c r="A86307" s="1" t="n">
        <v>86306</v>
      </c>
      <c r="B86307">
        <f>TEXT(86306, "[$-0E0000]yyyy-mm-dd")</f>
        <v/>
      </c>
    </row>
    <row r="86308">
      <c r="A86308" s="1" t="n">
        <v>86307</v>
      </c>
      <c r="B86308">
        <f>TEXT(86307, "[$-0E0000]yyyy-mm-dd")</f>
        <v/>
      </c>
    </row>
    <row r="86309">
      <c r="A86309" s="1" t="n">
        <v>86308</v>
      </c>
      <c r="B86309">
        <f>TEXT(86308, "[$-0E0000]yyyy-mm-dd")</f>
        <v/>
      </c>
    </row>
    <row r="86310">
      <c r="A86310" s="1" t="n">
        <v>86309</v>
      </c>
      <c r="B86310">
        <f>TEXT(86309, "[$-0E0000]yyyy-mm-dd")</f>
        <v/>
      </c>
    </row>
    <row r="86311">
      <c r="A86311" s="1" t="n">
        <v>86310</v>
      </c>
      <c r="B86311">
        <f>TEXT(86310, "[$-0E0000]yyyy-mm-dd")</f>
        <v/>
      </c>
    </row>
    <row r="86312">
      <c r="A86312" s="1" t="n">
        <v>86311</v>
      </c>
      <c r="B86312">
        <f>TEXT(86311, "[$-0E0000]yyyy-mm-dd")</f>
        <v/>
      </c>
    </row>
    <row r="86313">
      <c r="A86313" s="1" t="n">
        <v>86312</v>
      </c>
      <c r="B86313">
        <f>TEXT(86312, "[$-0E0000]yyyy-mm-dd")</f>
        <v/>
      </c>
    </row>
    <row r="86314">
      <c r="A86314" s="1" t="n">
        <v>86313</v>
      </c>
      <c r="B86314">
        <f>TEXT(86313, "[$-0E0000]yyyy-mm-dd")</f>
        <v/>
      </c>
    </row>
    <row r="86315">
      <c r="A86315" s="1" t="n">
        <v>86314</v>
      </c>
      <c r="B86315">
        <f>TEXT(86314, "[$-0E0000]yyyy-mm-dd")</f>
        <v/>
      </c>
    </row>
    <row r="86316">
      <c r="A86316" s="1" t="n">
        <v>86315</v>
      </c>
      <c r="B86316">
        <f>TEXT(86315, "[$-0E0000]yyyy-mm-dd")</f>
        <v/>
      </c>
    </row>
    <row r="86317">
      <c r="A86317" s="1" t="n">
        <v>86316</v>
      </c>
      <c r="B86317">
        <f>TEXT(86316, "[$-0E0000]yyyy-mm-dd")</f>
        <v/>
      </c>
    </row>
    <row r="86318">
      <c r="A86318" s="1" t="n">
        <v>86317</v>
      </c>
      <c r="B86318">
        <f>TEXT(86317, "[$-0E0000]yyyy-mm-dd")</f>
        <v/>
      </c>
    </row>
    <row r="86319">
      <c r="A86319" s="1" t="n">
        <v>86318</v>
      </c>
      <c r="B86319">
        <f>TEXT(86318, "[$-0E0000]yyyy-mm-dd")</f>
        <v/>
      </c>
    </row>
    <row r="86320">
      <c r="A86320" s="1" t="n">
        <v>86319</v>
      </c>
      <c r="B86320">
        <f>TEXT(86319, "[$-0E0000]yyyy-mm-dd")</f>
        <v/>
      </c>
    </row>
    <row r="86321">
      <c r="A86321" s="1" t="n">
        <v>86320</v>
      </c>
      <c r="B86321">
        <f>TEXT(86320, "[$-0E0000]yyyy-mm-dd")</f>
        <v/>
      </c>
    </row>
    <row r="86322">
      <c r="A86322" s="1" t="n">
        <v>86321</v>
      </c>
      <c r="B86322">
        <f>TEXT(86321, "[$-0E0000]yyyy-mm-dd")</f>
        <v/>
      </c>
    </row>
    <row r="86323">
      <c r="A86323" s="1" t="n">
        <v>86322</v>
      </c>
      <c r="B86323">
        <f>TEXT(86322, "[$-0E0000]yyyy-mm-dd")</f>
        <v/>
      </c>
    </row>
    <row r="86324">
      <c r="A86324" s="1" t="n">
        <v>86323</v>
      </c>
      <c r="B86324">
        <f>TEXT(86323, "[$-0E0000]yyyy-mm-dd")</f>
        <v/>
      </c>
    </row>
    <row r="86325">
      <c r="A86325" s="1" t="n">
        <v>86324</v>
      </c>
      <c r="B86325">
        <f>TEXT(86324, "[$-0E0000]yyyy-mm-dd")</f>
        <v/>
      </c>
    </row>
    <row r="86326">
      <c r="A86326" s="1" t="n">
        <v>86325</v>
      </c>
      <c r="B86326">
        <f>TEXT(86325, "[$-0E0000]yyyy-mm-dd")</f>
        <v/>
      </c>
    </row>
    <row r="86327">
      <c r="A86327" s="1" t="n">
        <v>86326</v>
      </c>
      <c r="B86327">
        <f>TEXT(86326, "[$-0E0000]yyyy-mm-dd")</f>
        <v/>
      </c>
    </row>
    <row r="86328">
      <c r="A86328" s="1" t="n">
        <v>86327</v>
      </c>
      <c r="B86328">
        <f>TEXT(86327, "[$-0E0000]yyyy-mm-dd")</f>
        <v/>
      </c>
    </row>
    <row r="86329">
      <c r="A86329" s="1" t="n">
        <v>86328</v>
      </c>
      <c r="B86329">
        <f>TEXT(86328, "[$-0E0000]yyyy-mm-dd")</f>
        <v/>
      </c>
    </row>
    <row r="86330">
      <c r="A86330" s="1" t="n">
        <v>86329</v>
      </c>
      <c r="B86330">
        <f>TEXT(86329, "[$-0E0000]yyyy-mm-dd")</f>
        <v/>
      </c>
    </row>
    <row r="86331">
      <c r="A86331" s="1" t="n">
        <v>86330</v>
      </c>
      <c r="B86331">
        <f>TEXT(86330, "[$-0E0000]yyyy-mm-dd")</f>
        <v/>
      </c>
    </row>
    <row r="86332">
      <c r="A86332" s="1" t="n">
        <v>86331</v>
      </c>
      <c r="B86332">
        <f>TEXT(86331, "[$-0E0000]yyyy-mm-dd")</f>
        <v/>
      </c>
    </row>
    <row r="86333">
      <c r="A86333" s="1" t="n">
        <v>86332</v>
      </c>
      <c r="B86333">
        <f>TEXT(86332, "[$-0E0000]yyyy-mm-dd")</f>
        <v/>
      </c>
    </row>
    <row r="86334">
      <c r="A86334" s="1" t="n">
        <v>86333</v>
      </c>
      <c r="B86334">
        <f>TEXT(86333, "[$-0E0000]yyyy-mm-dd")</f>
        <v/>
      </c>
    </row>
    <row r="86335">
      <c r="A86335" s="1" t="n">
        <v>86334</v>
      </c>
      <c r="B86335">
        <f>TEXT(86334, "[$-0E0000]yyyy-mm-dd")</f>
        <v/>
      </c>
    </row>
    <row r="86336">
      <c r="A86336" s="1" t="n">
        <v>86335</v>
      </c>
      <c r="B86336">
        <f>TEXT(86335, "[$-0E0000]yyyy-mm-dd")</f>
        <v/>
      </c>
    </row>
    <row r="86337">
      <c r="A86337" s="1" t="n">
        <v>86336</v>
      </c>
      <c r="B86337">
        <f>TEXT(86336, "[$-0E0000]yyyy-mm-dd")</f>
        <v/>
      </c>
    </row>
    <row r="86338">
      <c r="A86338" s="1" t="n">
        <v>86337</v>
      </c>
      <c r="B86338">
        <f>TEXT(86337, "[$-0E0000]yyyy-mm-dd")</f>
        <v/>
      </c>
    </row>
    <row r="86339">
      <c r="A86339" s="1" t="n">
        <v>86338</v>
      </c>
      <c r="B86339">
        <f>TEXT(86338, "[$-0E0000]yyyy-mm-dd")</f>
        <v/>
      </c>
    </row>
    <row r="86340">
      <c r="A86340" s="1" t="n">
        <v>86339</v>
      </c>
      <c r="B86340">
        <f>TEXT(86339, "[$-0E0000]yyyy-mm-dd")</f>
        <v/>
      </c>
    </row>
    <row r="86341">
      <c r="A86341" s="1" t="n">
        <v>86340</v>
      </c>
      <c r="B86341">
        <f>TEXT(86340, "[$-0E0000]yyyy-mm-dd")</f>
        <v/>
      </c>
    </row>
    <row r="86342">
      <c r="A86342" s="1" t="n">
        <v>86341</v>
      </c>
      <c r="B86342">
        <f>TEXT(86341, "[$-0E0000]yyyy-mm-dd")</f>
        <v/>
      </c>
    </row>
    <row r="86343">
      <c r="A86343" s="1" t="n">
        <v>86342</v>
      </c>
      <c r="B86343">
        <f>TEXT(86342, "[$-0E0000]yyyy-mm-dd")</f>
        <v/>
      </c>
    </row>
    <row r="86344">
      <c r="A86344" s="1" t="n">
        <v>86343</v>
      </c>
      <c r="B86344">
        <f>TEXT(86343, "[$-0E0000]yyyy-mm-dd")</f>
        <v/>
      </c>
    </row>
    <row r="86345">
      <c r="A86345" s="1" t="n">
        <v>86344</v>
      </c>
      <c r="B86345">
        <f>TEXT(86344, "[$-0E0000]yyyy-mm-dd")</f>
        <v/>
      </c>
    </row>
    <row r="86346">
      <c r="A86346" s="1" t="n">
        <v>86345</v>
      </c>
      <c r="B86346">
        <f>TEXT(86345, "[$-0E0000]yyyy-mm-dd")</f>
        <v/>
      </c>
    </row>
    <row r="86347">
      <c r="A86347" s="1" t="n">
        <v>86346</v>
      </c>
      <c r="B86347">
        <f>TEXT(86346, "[$-0E0000]yyyy-mm-dd")</f>
        <v/>
      </c>
    </row>
    <row r="86348">
      <c r="A86348" s="1" t="n">
        <v>86347</v>
      </c>
      <c r="B86348">
        <f>TEXT(86347, "[$-0E0000]yyyy-mm-dd")</f>
        <v/>
      </c>
    </row>
    <row r="86349">
      <c r="A86349" s="1" t="n">
        <v>86348</v>
      </c>
      <c r="B86349">
        <f>TEXT(86348, "[$-0E0000]yyyy-mm-dd")</f>
        <v/>
      </c>
    </row>
    <row r="86350">
      <c r="A86350" s="1" t="n">
        <v>86349</v>
      </c>
      <c r="B86350">
        <f>TEXT(86349, "[$-0E0000]yyyy-mm-dd")</f>
        <v/>
      </c>
    </row>
    <row r="86351">
      <c r="A86351" s="1" t="n">
        <v>86350</v>
      </c>
      <c r="B86351">
        <f>TEXT(86350, "[$-0E0000]yyyy-mm-dd")</f>
        <v/>
      </c>
    </row>
    <row r="86352">
      <c r="A86352" s="1" t="n">
        <v>86351</v>
      </c>
      <c r="B86352">
        <f>TEXT(86351, "[$-0E0000]yyyy-mm-dd")</f>
        <v/>
      </c>
    </row>
    <row r="86353">
      <c r="A86353" s="1" t="n">
        <v>86352</v>
      </c>
      <c r="B86353">
        <f>TEXT(86352, "[$-0E0000]yyyy-mm-dd")</f>
        <v/>
      </c>
    </row>
    <row r="86354">
      <c r="A86354" s="1" t="n">
        <v>86353</v>
      </c>
      <c r="B86354">
        <f>TEXT(86353, "[$-0E0000]yyyy-mm-dd")</f>
        <v/>
      </c>
    </row>
    <row r="86355">
      <c r="A86355" s="1" t="n">
        <v>86354</v>
      </c>
      <c r="B86355">
        <f>TEXT(86354, "[$-0E0000]yyyy-mm-dd")</f>
        <v/>
      </c>
    </row>
    <row r="86356">
      <c r="A86356" s="1" t="n">
        <v>86355</v>
      </c>
      <c r="B86356">
        <f>TEXT(86355, "[$-0E0000]yyyy-mm-dd")</f>
        <v/>
      </c>
    </row>
    <row r="86357">
      <c r="A86357" s="1" t="n">
        <v>86356</v>
      </c>
      <c r="B86357">
        <f>TEXT(86356, "[$-0E0000]yyyy-mm-dd")</f>
        <v/>
      </c>
    </row>
    <row r="86358">
      <c r="A86358" s="1" t="n">
        <v>86357</v>
      </c>
      <c r="B86358">
        <f>TEXT(86357, "[$-0E0000]yyyy-mm-dd")</f>
        <v/>
      </c>
    </row>
    <row r="86359">
      <c r="A86359" s="1" t="n">
        <v>86358</v>
      </c>
      <c r="B86359">
        <f>TEXT(86358, "[$-0E0000]yyyy-mm-dd")</f>
        <v/>
      </c>
    </row>
    <row r="86360">
      <c r="A86360" s="1" t="n">
        <v>86359</v>
      </c>
      <c r="B86360">
        <f>TEXT(86359, "[$-0E0000]yyyy-mm-dd")</f>
        <v/>
      </c>
    </row>
    <row r="86361">
      <c r="A86361" s="1" t="n">
        <v>86360</v>
      </c>
      <c r="B86361">
        <f>TEXT(86360, "[$-0E0000]yyyy-mm-dd")</f>
        <v/>
      </c>
    </row>
    <row r="86362">
      <c r="A86362" s="1" t="n">
        <v>86361</v>
      </c>
      <c r="B86362">
        <f>TEXT(86361, "[$-0E0000]yyyy-mm-dd")</f>
        <v/>
      </c>
    </row>
    <row r="86363">
      <c r="A86363" s="1" t="n">
        <v>86362</v>
      </c>
      <c r="B86363">
        <f>TEXT(86362, "[$-0E0000]yyyy-mm-dd")</f>
        <v/>
      </c>
    </row>
    <row r="86364">
      <c r="A86364" s="1" t="n">
        <v>86363</v>
      </c>
      <c r="B86364">
        <f>TEXT(86363, "[$-0E0000]yyyy-mm-dd")</f>
        <v/>
      </c>
    </row>
    <row r="86365">
      <c r="A86365" s="1" t="n">
        <v>86364</v>
      </c>
      <c r="B86365">
        <f>TEXT(86364, "[$-0E0000]yyyy-mm-dd")</f>
        <v/>
      </c>
    </row>
    <row r="86366">
      <c r="A86366" s="1" t="n">
        <v>86365</v>
      </c>
      <c r="B86366">
        <f>TEXT(86365, "[$-0E0000]yyyy-mm-dd")</f>
        <v/>
      </c>
    </row>
    <row r="86367">
      <c r="A86367" s="1" t="n">
        <v>86366</v>
      </c>
      <c r="B86367">
        <f>TEXT(86366, "[$-0E0000]yyyy-mm-dd")</f>
        <v/>
      </c>
    </row>
    <row r="86368">
      <c r="A86368" s="1" t="n">
        <v>86367</v>
      </c>
      <c r="B86368">
        <f>TEXT(86367, "[$-0E0000]yyyy-mm-dd")</f>
        <v/>
      </c>
    </row>
    <row r="86369">
      <c r="A86369" s="1" t="n">
        <v>86368</v>
      </c>
      <c r="B86369">
        <f>TEXT(86368, "[$-0E0000]yyyy-mm-dd")</f>
        <v/>
      </c>
    </row>
    <row r="86370">
      <c r="A86370" s="1" t="n">
        <v>86369</v>
      </c>
      <c r="B86370">
        <f>TEXT(86369, "[$-0E0000]yyyy-mm-dd")</f>
        <v/>
      </c>
    </row>
    <row r="86371">
      <c r="A86371" s="1" t="n">
        <v>86370</v>
      </c>
      <c r="B86371">
        <f>TEXT(86370, "[$-0E0000]yyyy-mm-dd")</f>
        <v/>
      </c>
    </row>
    <row r="86372">
      <c r="A86372" s="1" t="n">
        <v>86371</v>
      </c>
      <c r="B86372">
        <f>TEXT(86371, "[$-0E0000]yyyy-mm-dd")</f>
        <v/>
      </c>
    </row>
    <row r="86373">
      <c r="A86373" s="1" t="n">
        <v>86372</v>
      </c>
      <c r="B86373">
        <f>TEXT(86372, "[$-0E0000]yyyy-mm-dd")</f>
        <v/>
      </c>
    </row>
    <row r="86374">
      <c r="A86374" s="1" t="n">
        <v>86373</v>
      </c>
      <c r="B86374">
        <f>TEXT(86373, "[$-0E0000]yyyy-mm-dd")</f>
        <v/>
      </c>
    </row>
    <row r="86375">
      <c r="A86375" s="1" t="n">
        <v>86374</v>
      </c>
      <c r="B86375">
        <f>TEXT(86374, "[$-0E0000]yyyy-mm-dd")</f>
        <v/>
      </c>
    </row>
    <row r="86376">
      <c r="A86376" s="1" t="n">
        <v>86375</v>
      </c>
      <c r="B86376">
        <f>TEXT(86375, "[$-0E0000]yyyy-mm-dd")</f>
        <v/>
      </c>
    </row>
    <row r="86377">
      <c r="A86377" s="1" t="n">
        <v>86376</v>
      </c>
      <c r="B86377">
        <f>TEXT(86376, "[$-0E0000]yyyy-mm-dd")</f>
        <v/>
      </c>
    </row>
    <row r="86378">
      <c r="A86378" s="1" t="n">
        <v>86377</v>
      </c>
      <c r="B86378">
        <f>TEXT(86377, "[$-0E0000]yyyy-mm-dd")</f>
        <v/>
      </c>
    </row>
    <row r="86379">
      <c r="A86379" s="1" t="n">
        <v>86378</v>
      </c>
      <c r="B86379">
        <f>TEXT(86378, "[$-0E0000]yyyy-mm-dd")</f>
        <v/>
      </c>
    </row>
    <row r="86380">
      <c r="A86380" s="1" t="n">
        <v>86379</v>
      </c>
      <c r="B86380">
        <f>TEXT(86379, "[$-0E0000]yyyy-mm-dd")</f>
        <v/>
      </c>
    </row>
    <row r="86381">
      <c r="A86381" s="1" t="n">
        <v>86380</v>
      </c>
      <c r="B86381">
        <f>TEXT(86380, "[$-0E0000]yyyy-mm-dd")</f>
        <v/>
      </c>
    </row>
    <row r="86382">
      <c r="A86382" s="1" t="n">
        <v>86381</v>
      </c>
      <c r="B86382">
        <f>TEXT(86381, "[$-0E0000]yyyy-mm-dd")</f>
        <v/>
      </c>
    </row>
    <row r="86383">
      <c r="A86383" s="1" t="n">
        <v>86382</v>
      </c>
      <c r="B86383">
        <f>TEXT(86382, "[$-0E0000]yyyy-mm-dd")</f>
        <v/>
      </c>
    </row>
    <row r="86384">
      <c r="A86384" s="1" t="n">
        <v>86383</v>
      </c>
      <c r="B86384">
        <f>TEXT(86383, "[$-0E0000]yyyy-mm-dd")</f>
        <v/>
      </c>
    </row>
    <row r="86385">
      <c r="A86385" s="1" t="n">
        <v>86384</v>
      </c>
      <c r="B86385">
        <f>TEXT(86384, "[$-0E0000]yyyy-mm-dd")</f>
        <v/>
      </c>
    </row>
    <row r="86386">
      <c r="A86386" s="1" t="n">
        <v>86385</v>
      </c>
      <c r="B86386">
        <f>TEXT(86385, "[$-0E0000]yyyy-mm-dd")</f>
        <v/>
      </c>
    </row>
    <row r="86387">
      <c r="A86387" s="1" t="n">
        <v>86386</v>
      </c>
      <c r="B86387">
        <f>TEXT(86386, "[$-0E0000]yyyy-mm-dd")</f>
        <v/>
      </c>
    </row>
    <row r="86388">
      <c r="A86388" s="1" t="n">
        <v>86387</v>
      </c>
      <c r="B86388">
        <f>TEXT(86387, "[$-0E0000]yyyy-mm-dd")</f>
        <v/>
      </c>
    </row>
    <row r="86389">
      <c r="A86389" s="1" t="n">
        <v>86388</v>
      </c>
      <c r="B86389">
        <f>TEXT(86388, "[$-0E0000]yyyy-mm-dd")</f>
        <v/>
      </c>
    </row>
    <row r="86390">
      <c r="A86390" s="1" t="n">
        <v>86389</v>
      </c>
      <c r="B86390">
        <f>TEXT(86389, "[$-0E0000]yyyy-mm-dd")</f>
        <v/>
      </c>
    </row>
    <row r="86391">
      <c r="A86391" s="1" t="n">
        <v>86390</v>
      </c>
      <c r="B86391">
        <f>TEXT(86390, "[$-0E0000]yyyy-mm-dd")</f>
        <v/>
      </c>
    </row>
    <row r="86392">
      <c r="A86392" s="1" t="n">
        <v>86391</v>
      </c>
      <c r="B86392">
        <f>TEXT(86391, "[$-0E0000]yyyy-mm-dd")</f>
        <v/>
      </c>
    </row>
    <row r="86393">
      <c r="A86393" s="1" t="n">
        <v>86392</v>
      </c>
      <c r="B86393">
        <f>TEXT(86392, "[$-0E0000]yyyy-mm-dd")</f>
        <v/>
      </c>
    </row>
    <row r="86394">
      <c r="A86394" s="1" t="n">
        <v>86393</v>
      </c>
      <c r="B86394">
        <f>TEXT(86393, "[$-0E0000]yyyy-mm-dd")</f>
        <v/>
      </c>
    </row>
    <row r="86395">
      <c r="A86395" s="1" t="n">
        <v>86394</v>
      </c>
      <c r="B86395">
        <f>TEXT(86394, "[$-0E0000]yyyy-mm-dd")</f>
        <v/>
      </c>
    </row>
    <row r="86396">
      <c r="A86396" s="1" t="n">
        <v>86395</v>
      </c>
      <c r="B86396">
        <f>TEXT(86395, "[$-0E0000]yyyy-mm-dd")</f>
        <v/>
      </c>
    </row>
    <row r="86397">
      <c r="A86397" s="1" t="n">
        <v>86396</v>
      </c>
      <c r="B86397">
        <f>TEXT(86396, "[$-0E0000]yyyy-mm-dd")</f>
        <v/>
      </c>
    </row>
    <row r="86398">
      <c r="A86398" s="1" t="n">
        <v>86397</v>
      </c>
      <c r="B86398">
        <f>TEXT(86397, "[$-0E0000]yyyy-mm-dd")</f>
        <v/>
      </c>
    </row>
    <row r="86399">
      <c r="A86399" s="1" t="n">
        <v>86398</v>
      </c>
      <c r="B86399">
        <f>TEXT(86398, "[$-0E0000]yyyy-mm-dd")</f>
        <v/>
      </c>
    </row>
    <row r="86400">
      <c r="A86400" s="1" t="n">
        <v>86399</v>
      </c>
      <c r="B86400">
        <f>TEXT(86399, "[$-0E0000]yyyy-mm-dd")</f>
        <v/>
      </c>
    </row>
    <row r="86401">
      <c r="A86401" s="1" t="n">
        <v>86400</v>
      </c>
      <c r="B86401">
        <f>TEXT(86400, "[$-0E0000]yyyy-mm-dd")</f>
        <v/>
      </c>
    </row>
    <row r="86402">
      <c r="A86402" s="1" t="n">
        <v>86401</v>
      </c>
      <c r="B86402">
        <f>TEXT(86401, "[$-0E0000]yyyy-mm-dd")</f>
        <v/>
      </c>
    </row>
    <row r="86403">
      <c r="A86403" s="1" t="n">
        <v>86402</v>
      </c>
      <c r="B86403">
        <f>TEXT(86402, "[$-0E0000]yyyy-mm-dd")</f>
        <v/>
      </c>
    </row>
    <row r="86404">
      <c r="A86404" s="1" t="n">
        <v>86403</v>
      </c>
      <c r="B86404">
        <f>TEXT(86403, "[$-0E0000]yyyy-mm-dd")</f>
        <v/>
      </c>
    </row>
    <row r="86405">
      <c r="A86405" s="1" t="n">
        <v>86404</v>
      </c>
      <c r="B86405">
        <f>TEXT(86404, "[$-0E0000]yyyy-mm-dd")</f>
        <v/>
      </c>
    </row>
    <row r="86406">
      <c r="A86406" s="1" t="n">
        <v>86405</v>
      </c>
      <c r="B86406">
        <f>TEXT(86405, "[$-0E0000]yyyy-mm-dd")</f>
        <v/>
      </c>
    </row>
    <row r="86407">
      <c r="A86407" s="1" t="n">
        <v>86406</v>
      </c>
      <c r="B86407">
        <f>TEXT(86406, "[$-0E0000]yyyy-mm-dd")</f>
        <v/>
      </c>
    </row>
    <row r="86408">
      <c r="A86408" s="1" t="n">
        <v>86407</v>
      </c>
      <c r="B86408">
        <f>TEXT(86407, "[$-0E0000]yyyy-mm-dd")</f>
        <v/>
      </c>
    </row>
    <row r="86409">
      <c r="A86409" s="1" t="n">
        <v>86408</v>
      </c>
      <c r="B86409">
        <f>TEXT(86408, "[$-0E0000]yyyy-mm-dd")</f>
        <v/>
      </c>
    </row>
    <row r="86410">
      <c r="A86410" s="1" t="n">
        <v>86409</v>
      </c>
      <c r="B86410">
        <f>TEXT(86409, "[$-0E0000]yyyy-mm-dd")</f>
        <v/>
      </c>
    </row>
    <row r="86411">
      <c r="A86411" s="1" t="n">
        <v>86410</v>
      </c>
      <c r="B86411">
        <f>TEXT(86410, "[$-0E0000]yyyy-mm-dd")</f>
        <v/>
      </c>
    </row>
    <row r="86412">
      <c r="A86412" s="1" t="n">
        <v>86411</v>
      </c>
      <c r="B86412">
        <f>TEXT(86411, "[$-0E0000]yyyy-mm-dd")</f>
        <v/>
      </c>
    </row>
    <row r="86413">
      <c r="A86413" s="1" t="n">
        <v>86412</v>
      </c>
      <c r="B86413">
        <f>TEXT(86412, "[$-0E0000]yyyy-mm-dd")</f>
        <v/>
      </c>
    </row>
    <row r="86414">
      <c r="A86414" s="1" t="n">
        <v>86413</v>
      </c>
      <c r="B86414">
        <f>TEXT(86413, "[$-0E0000]yyyy-mm-dd")</f>
        <v/>
      </c>
    </row>
    <row r="86415">
      <c r="A86415" s="1" t="n">
        <v>86414</v>
      </c>
      <c r="B86415">
        <f>TEXT(86414, "[$-0E0000]yyyy-mm-dd")</f>
        <v/>
      </c>
    </row>
    <row r="86416">
      <c r="A86416" s="1" t="n">
        <v>86415</v>
      </c>
      <c r="B86416">
        <f>TEXT(86415, "[$-0E0000]yyyy-mm-dd")</f>
        <v/>
      </c>
    </row>
    <row r="86417">
      <c r="A86417" s="1" t="n">
        <v>86416</v>
      </c>
      <c r="B86417">
        <f>TEXT(86416, "[$-0E0000]yyyy-mm-dd")</f>
        <v/>
      </c>
    </row>
    <row r="86418">
      <c r="A86418" s="1" t="n">
        <v>86417</v>
      </c>
      <c r="B86418">
        <f>TEXT(86417, "[$-0E0000]yyyy-mm-dd")</f>
        <v/>
      </c>
    </row>
    <row r="86419">
      <c r="A86419" s="1" t="n">
        <v>86418</v>
      </c>
      <c r="B86419">
        <f>TEXT(86418, "[$-0E0000]yyyy-mm-dd")</f>
        <v/>
      </c>
    </row>
    <row r="86420">
      <c r="A86420" s="1" t="n">
        <v>86419</v>
      </c>
      <c r="B86420">
        <f>TEXT(86419, "[$-0E0000]yyyy-mm-dd")</f>
        <v/>
      </c>
    </row>
    <row r="86421">
      <c r="A86421" s="1" t="n">
        <v>86420</v>
      </c>
      <c r="B86421">
        <f>TEXT(86420, "[$-0E0000]yyyy-mm-dd")</f>
        <v/>
      </c>
    </row>
    <row r="86422">
      <c r="A86422" s="1" t="n">
        <v>86421</v>
      </c>
      <c r="B86422">
        <f>TEXT(86421, "[$-0E0000]yyyy-mm-dd")</f>
        <v/>
      </c>
    </row>
    <row r="86423">
      <c r="A86423" s="1" t="n">
        <v>86422</v>
      </c>
      <c r="B86423">
        <f>TEXT(86422, "[$-0E0000]yyyy-mm-dd")</f>
        <v/>
      </c>
    </row>
    <row r="86424">
      <c r="A86424" s="1" t="n">
        <v>86423</v>
      </c>
      <c r="B86424">
        <f>TEXT(86423, "[$-0E0000]yyyy-mm-dd")</f>
        <v/>
      </c>
    </row>
    <row r="86425">
      <c r="A86425" s="1" t="n">
        <v>86424</v>
      </c>
      <c r="B86425">
        <f>TEXT(86424, "[$-0E0000]yyyy-mm-dd")</f>
        <v/>
      </c>
    </row>
    <row r="86426">
      <c r="A86426" s="1" t="n">
        <v>86425</v>
      </c>
      <c r="B86426">
        <f>TEXT(86425, "[$-0E0000]yyyy-mm-dd")</f>
        <v/>
      </c>
    </row>
    <row r="86427">
      <c r="A86427" s="1" t="n">
        <v>86426</v>
      </c>
      <c r="B86427">
        <f>TEXT(86426, "[$-0E0000]yyyy-mm-dd")</f>
        <v/>
      </c>
    </row>
    <row r="86428">
      <c r="A86428" s="1" t="n">
        <v>86427</v>
      </c>
      <c r="B86428">
        <f>TEXT(86427, "[$-0E0000]yyyy-mm-dd")</f>
        <v/>
      </c>
    </row>
    <row r="86429">
      <c r="A86429" s="1" t="n">
        <v>86428</v>
      </c>
      <c r="B86429">
        <f>TEXT(86428, "[$-0E0000]yyyy-mm-dd")</f>
        <v/>
      </c>
    </row>
    <row r="86430">
      <c r="A86430" s="1" t="n">
        <v>86429</v>
      </c>
      <c r="B86430">
        <f>TEXT(86429, "[$-0E0000]yyyy-mm-dd")</f>
        <v/>
      </c>
    </row>
    <row r="86431">
      <c r="A86431" s="1" t="n">
        <v>86430</v>
      </c>
      <c r="B86431">
        <f>TEXT(86430, "[$-0E0000]yyyy-mm-dd")</f>
        <v/>
      </c>
    </row>
    <row r="86432">
      <c r="A86432" s="1" t="n">
        <v>86431</v>
      </c>
      <c r="B86432">
        <f>TEXT(86431, "[$-0E0000]yyyy-mm-dd")</f>
        <v/>
      </c>
    </row>
    <row r="86433">
      <c r="A86433" s="1" t="n">
        <v>86432</v>
      </c>
      <c r="B86433">
        <f>TEXT(86432, "[$-0E0000]yyyy-mm-dd")</f>
        <v/>
      </c>
    </row>
    <row r="86434">
      <c r="A86434" s="1" t="n">
        <v>86433</v>
      </c>
      <c r="B86434">
        <f>TEXT(86433, "[$-0E0000]yyyy-mm-dd")</f>
        <v/>
      </c>
    </row>
    <row r="86435">
      <c r="A86435" s="1" t="n">
        <v>86434</v>
      </c>
      <c r="B86435">
        <f>TEXT(86434, "[$-0E0000]yyyy-mm-dd")</f>
        <v/>
      </c>
    </row>
    <row r="86436">
      <c r="A86436" s="1" t="n">
        <v>86435</v>
      </c>
      <c r="B86436">
        <f>TEXT(86435, "[$-0E0000]yyyy-mm-dd")</f>
        <v/>
      </c>
    </row>
    <row r="86437">
      <c r="A86437" s="1" t="n">
        <v>86436</v>
      </c>
      <c r="B86437">
        <f>TEXT(86436, "[$-0E0000]yyyy-mm-dd")</f>
        <v/>
      </c>
    </row>
    <row r="86438">
      <c r="A86438" s="1" t="n">
        <v>86437</v>
      </c>
      <c r="B86438">
        <f>TEXT(86437, "[$-0E0000]yyyy-mm-dd")</f>
        <v/>
      </c>
    </row>
    <row r="86439">
      <c r="A86439" s="1" t="n">
        <v>86438</v>
      </c>
      <c r="B86439">
        <f>TEXT(86438, "[$-0E0000]yyyy-mm-dd")</f>
        <v/>
      </c>
    </row>
    <row r="86440">
      <c r="A86440" s="1" t="n">
        <v>86439</v>
      </c>
      <c r="B86440">
        <f>TEXT(86439, "[$-0E0000]yyyy-mm-dd")</f>
        <v/>
      </c>
    </row>
    <row r="86441">
      <c r="A86441" s="1" t="n">
        <v>86440</v>
      </c>
      <c r="B86441">
        <f>TEXT(86440, "[$-0E0000]yyyy-mm-dd")</f>
        <v/>
      </c>
    </row>
    <row r="86442">
      <c r="A86442" s="1" t="n">
        <v>86441</v>
      </c>
      <c r="B86442">
        <f>TEXT(86441, "[$-0E0000]yyyy-mm-dd")</f>
        <v/>
      </c>
    </row>
    <row r="86443">
      <c r="A86443" s="1" t="n">
        <v>86442</v>
      </c>
      <c r="B86443">
        <f>TEXT(86442, "[$-0E0000]yyyy-mm-dd")</f>
        <v/>
      </c>
    </row>
    <row r="86444">
      <c r="A86444" s="1" t="n">
        <v>86443</v>
      </c>
      <c r="B86444">
        <f>TEXT(86443, "[$-0E0000]yyyy-mm-dd")</f>
        <v/>
      </c>
    </row>
    <row r="86445">
      <c r="A86445" s="1" t="n">
        <v>86444</v>
      </c>
      <c r="B86445">
        <f>TEXT(86444, "[$-0E0000]yyyy-mm-dd")</f>
        <v/>
      </c>
    </row>
    <row r="86446">
      <c r="A86446" s="1" t="n">
        <v>86445</v>
      </c>
      <c r="B86446">
        <f>TEXT(86445, "[$-0E0000]yyyy-mm-dd")</f>
        <v/>
      </c>
    </row>
    <row r="86447">
      <c r="A86447" s="1" t="n">
        <v>86446</v>
      </c>
      <c r="B86447">
        <f>TEXT(86446, "[$-0E0000]yyyy-mm-dd")</f>
        <v/>
      </c>
    </row>
    <row r="86448">
      <c r="A86448" s="1" t="n">
        <v>86447</v>
      </c>
      <c r="B86448">
        <f>TEXT(86447, "[$-0E0000]yyyy-mm-dd")</f>
        <v/>
      </c>
    </row>
    <row r="86449">
      <c r="A86449" s="1" t="n">
        <v>86448</v>
      </c>
      <c r="B86449">
        <f>TEXT(86448, "[$-0E0000]yyyy-mm-dd")</f>
        <v/>
      </c>
    </row>
    <row r="86450">
      <c r="A86450" s="1" t="n">
        <v>86449</v>
      </c>
      <c r="B86450">
        <f>TEXT(86449, "[$-0E0000]yyyy-mm-dd")</f>
        <v/>
      </c>
    </row>
    <row r="86451">
      <c r="A86451" s="1" t="n">
        <v>86450</v>
      </c>
      <c r="B86451">
        <f>TEXT(86450, "[$-0E0000]yyyy-mm-dd")</f>
        <v/>
      </c>
    </row>
    <row r="86452">
      <c r="A86452" s="1" t="n">
        <v>86451</v>
      </c>
      <c r="B86452">
        <f>TEXT(86451, "[$-0E0000]yyyy-mm-dd")</f>
        <v/>
      </c>
    </row>
    <row r="86453">
      <c r="A86453" s="1" t="n">
        <v>86452</v>
      </c>
      <c r="B86453">
        <f>TEXT(86452, "[$-0E0000]yyyy-mm-dd")</f>
        <v/>
      </c>
    </row>
    <row r="86454">
      <c r="A86454" s="1" t="n">
        <v>86453</v>
      </c>
      <c r="B86454">
        <f>TEXT(86453, "[$-0E0000]yyyy-mm-dd")</f>
        <v/>
      </c>
    </row>
    <row r="86455">
      <c r="A86455" s="1" t="n">
        <v>86454</v>
      </c>
      <c r="B86455">
        <f>TEXT(86454, "[$-0E0000]yyyy-mm-dd")</f>
        <v/>
      </c>
    </row>
    <row r="86456">
      <c r="A86456" s="1" t="n">
        <v>86455</v>
      </c>
      <c r="B86456">
        <f>TEXT(86455, "[$-0E0000]yyyy-mm-dd")</f>
        <v/>
      </c>
    </row>
    <row r="86457">
      <c r="A86457" s="1" t="n">
        <v>86456</v>
      </c>
      <c r="B86457">
        <f>TEXT(86456, "[$-0E0000]yyyy-mm-dd")</f>
        <v/>
      </c>
    </row>
    <row r="86458">
      <c r="A86458" s="1" t="n">
        <v>86457</v>
      </c>
      <c r="B86458">
        <f>TEXT(86457, "[$-0E0000]yyyy-mm-dd")</f>
        <v/>
      </c>
    </row>
    <row r="86459">
      <c r="A86459" s="1" t="n">
        <v>86458</v>
      </c>
      <c r="B86459">
        <f>TEXT(86458, "[$-0E0000]yyyy-mm-dd")</f>
        <v/>
      </c>
    </row>
    <row r="86460">
      <c r="A86460" s="1" t="n">
        <v>86459</v>
      </c>
      <c r="B86460">
        <f>TEXT(86459, "[$-0E0000]yyyy-mm-dd")</f>
        <v/>
      </c>
    </row>
    <row r="86461">
      <c r="A86461" s="1" t="n">
        <v>86460</v>
      </c>
      <c r="B86461">
        <f>TEXT(86460, "[$-0E0000]yyyy-mm-dd")</f>
        <v/>
      </c>
    </row>
    <row r="86462">
      <c r="A86462" s="1" t="n">
        <v>86461</v>
      </c>
      <c r="B86462">
        <f>TEXT(86461, "[$-0E0000]yyyy-mm-dd")</f>
        <v/>
      </c>
    </row>
    <row r="86463">
      <c r="A86463" s="1" t="n">
        <v>86462</v>
      </c>
      <c r="B86463">
        <f>TEXT(86462, "[$-0E0000]yyyy-mm-dd")</f>
        <v/>
      </c>
    </row>
    <row r="86464">
      <c r="A86464" s="1" t="n">
        <v>86463</v>
      </c>
      <c r="B86464">
        <f>TEXT(86463, "[$-0E0000]yyyy-mm-dd")</f>
        <v/>
      </c>
    </row>
    <row r="86465">
      <c r="A86465" s="1" t="n">
        <v>86464</v>
      </c>
      <c r="B86465">
        <f>TEXT(86464, "[$-0E0000]yyyy-mm-dd")</f>
        <v/>
      </c>
    </row>
    <row r="86466">
      <c r="A86466" s="1" t="n">
        <v>86465</v>
      </c>
      <c r="B86466">
        <f>TEXT(86465, "[$-0E0000]yyyy-mm-dd")</f>
        <v/>
      </c>
    </row>
    <row r="86467">
      <c r="A86467" s="1" t="n">
        <v>86466</v>
      </c>
      <c r="B86467">
        <f>TEXT(86466, "[$-0E0000]yyyy-mm-dd")</f>
        <v/>
      </c>
    </row>
    <row r="86468">
      <c r="A86468" s="1" t="n">
        <v>86467</v>
      </c>
      <c r="B86468">
        <f>TEXT(86467, "[$-0E0000]yyyy-mm-dd")</f>
        <v/>
      </c>
    </row>
    <row r="86469">
      <c r="A86469" s="1" t="n">
        <v>86468</v>
      </c>
      <c r="B86469">
        <f>TEXT(86468, "[$-0E0000]yyyy-mm-dd")</f>
        <v/>
      </c>
    </row>
    <row r="86470">
      <c r="A86470" s="1" t="n">
        <v>86469</v>
      </c>
      <c r="B86470">
        <f>TEXT(86469, "[$-0E0000]yyyy-mm-dd")</f>
        <v/>
      </c>
    </row>
    <row r="86471">
      <c r="A86471" s="1" t="n">
        <v>86470</v>
      </c>
      <c r="B86471">
        <f>TEXT(86470, "[$-0E0000]yyyy-mm-dd")</f>
        <v/>
      </c>
    </row>
    <row r="86472">
      <c r="A86472" s="1" t="n">
        <v>86471</v>
      </c>
      <c r="B86472">
        <f>TEXT(86471, "[$-0E0000]yyyy-mm-dd")</f>
        <v/>
      </c>
    </row>
    <row r="86473">
      <c r="A86473" s="1" t="n">
        <v>86472</v>
      </c>
      <c r="B86473">
        <f>TEXT(86472, "[$-0E0000]yyyy-mm-dd")</f>
        <v/>
      </c>
    </row>
    <row r="86474">
      <c r="A86474" s="1" t="n">
        <v>86473</v>
      </c>
      <c r="B86474">
        <f>TEXT(86473, "[$-0E0000]yyyy-mm-dd")</f>
        <v/>
      </c>
    </row>
    <row r="86475">
      <c r="A86475" s="1" t="n">
        <v>86474</v>
      </c>
      <c r="B86475">
        <f>TEXT(86474, "[$-0E0000]yyyy-mm-dd")</f>
        <v/>
      </c>
    </row>
    <row r="86476">
      <c r="A86476" s="1" t="n">
        <v>86475</v>
      </c>
      <c r="B86476">
        <f>TEXT(86475, "[$-0E0000]yyyy-mm-dd")</f>
        <v/>
      </c>
    </row>
    <row r="86477">
      <c r="A86477" s="1" t="n">
        <v>86476</v>
      </c>
      <c r="B86477">
        <f>TEXT(86476, "[$-0E0000]yyyy-mm-dd")</f>
        <v/>
      </c>
    </row>
    <row r="86478">
      <c r="A86478" s="1" t="n">
        <v>86477</v>
      </c>
      <c r="B86478">
        <f>TEXT(86477, "[$-0E0000]yyyy-mm-dd")</f>
        <v/>
      </c>
    </row>
    <row r="86479">
      <c r="A86479" s="1" t="n">
        <v>86478</v>
      </c>
      <c r="B86479">
        <f>TEXT(86478, "[$-0E0000]yyyy-mm-dd")</f>
        <v/>
      </c>
    </row>
    <row r="86480">
      <c r="A86480" s="1" t="n">
        <v>86479</v>
      </c>
      <c r="B86480">
        <f>TEXT(86479, "[$-0E0000]yyyy-mm-dd")</f>
        <v/>
      </c>
    </row>
    <row r="86481">
      <c r="A86481" s="1" t="n">
        <v>86480</v>
      </c>
      <c r="B86481">
        <f>TEXT(86480, "[$-0E0000]yyyy-mm-dd")</f>
        <v/>
      </c>
    </row>
    <row r="86482">
      <c r="A86482" s="1" t="n">
        <v>86481</v>
      </c>
      <c r="B86482">
        <f>TEXT(86481, "[$-0E0000]yyyy-mm-dd")</f>
        <v/>
      </c>
    </row>
    <row r="86483">
      <c r="A86483" s="1" t="n">
        <v>86482</v>
      </c>
      <c r="B86483">
        <f>TEXT(86482, "[$-0E0000]yyyy-mm-dd")</f>
        <v/>
      </c>
    </row>
    <row r="86484">
      <c r="A86484" s="1" t="n">
        <v>86483</v>
      </c>
      <c r="B86484">
        <f>TEXT(86483, "[$-0E0000]yyyy-mm-dd")</f>
        <v/>
      </c>
    </row>
    <row r="86485">
      <c r="A86485" s="1" t="n">
        <v>86484</v>
      </c>
      <c r="B86485">
        <f>TEXT(86484, "[$-0E0000]yyyy-mm-dd")</f>
        <v/>
      </c>
    </row>
    <row r="86486">
      <c r="A86486" s="1" t="n">
        <v>86485</v>
      </c>
      <c r="B86486">
        <f>TEXT(86485, "[$-0E0000]yyyy-mm-dd")</f>
        <v/>
      </c>
    </row>
    <row r="86487">
      <c r="A86487" s="1" t="n">
        <v>86486</v>
      </c>
      <c r="B86487">
        <f>TEXT(86486, "[$-0E0000]yyyy-mm-dd")</f>
        <v/>
      </c>
    </row>
    <row r="86488">
      <c r="A86488" s="1" t="n">
        <v>86487</v>
      </c>
      <c r="B86488">
        <f>TEXT(86487, "[$-0E0000]yyyy-mm-dd")</f>
        <v/>
      </c>
    </row>
    <row r="86489">
      <c r="A86489" s="1" t="n">
        <v>86488</v>
      </c>
      <c r="B86489">
        <f>TEXT(86488, "[$-0E0000]yyyy-mm-dd")</f>
        <v/>
      </c>
    </row>
    <row r="86490">
      <c r="A86490" s="1" t="n">
        <v>86489</v>
      </c>
      <c r="B86490">
        <f>TEXT(86489, "[$-0E0000]yyyy-mm-dd")</f>
        <v/>
      </c>
    </row>
    <row r="86491">
      <c r="A86491" s="1" t="n">
        <v>86490</v>
      </c>
      <c r="B86491">
        <f>TEXT(86490, "[$-0E0000]yyyy-mm-dd")</f>
        <v/>
      </c>
    </row>
    <row r="86492">
      <c r="A86492" s="1" t="n">
        <v>86491</v>
      </c>
      <c r="B86492">
        <f>TEXT(86491, "[$-0E0000]yyyy-mm-dd")</f>
        <v/>
      </c>
    </row>
    <row r="86493">
      <c r="A86493" s="1" t="n">
        <v>86492</v>
      </c>
      <c r="B86493">
        <f>TEXT(86492, "[$-0E0000]yyyy-mm-dd")</f>
        <v/>
      </c>
    </row>
    <row r="86494">
      <c r="A86494" s="1" t="n">
        <v>86493</v>
      </c>
      <c r="B86494">
        <f>TEXT(86493, "[$-0E0000]yyyy-mm-dd")</f>
        <v/>
      </c>
    </row>
    <row r="86495">
      <c r="A86495" s="1" t="n">
        <v>86494</v>
      </c>
      <c r="B86495">
        <f>TEXT(86494, "[$-0E0000]yyyy-mm-dd")</f>
        <v/>
      </c>
    </row>
    <row r="86496">
      <c r="A86496" s="1" t="n">
        <v>86495</v>
      </c>
      <c r="B86496">
        <f>TEXT(86495, "[$-0E0000]yyyy-mm-dd")</f>
        <v/>
      </c>
    </row>
    <row r="86497">
      <c r="A86497" s="1" t="n">
        <v>86496</v>
      </c>
      <c r="B86497">
        <f>TEXT(86496, "[$-0E0000]yyyy-mm-dd")</f>
        <v/>
      </c>
    </row>
    <row r="86498">
      <c r="A86498" s="1" t="n">
        <v>86497</v>
      </c>
      <c r="B86498">
        <f>TEXT(86497, "[$-0E0000]yyyy-mm-dd")</f>
        <v/>
      </c>
    </row>
    <row r="86499">
      <c r="A86499" s="1" t="n">
        <v>86498</v>
      </c>
      <c r="B86499">
        <f>TEXT(86498, "[$-0E0000]yyyy-mm-dd")</f>
        <v/>
      </c>
    </row>
    <row r="86500">
      <c r="A86500" s="1" t="n">
        <v>86499</v>
      </c>
      <c r="B86500">
        <f>TEXT(86499, "[$-0E0000]yyyy-mm-dd")</f>
        <v/>
      </c>
    </row>
    <row r="86501">
      <c r="A86501" s="1" t="n">
        <v>86500</v>
      </c>
      <c r="B86501">
        <f>TEXT(86500, "[$-0E0000]yyyy-mm-dd")</f>
        <v/>
      </c>
    </row>
    <row r="86502">
      <c r="A86502" s="1" t="n">
        <v>86501</v>
      </c>
      <c r="B86502">
        <f>TEXT(86501, "[$-0E0000]yyyy-mm-dd")</f>
        <v/>
      </c>
    </row>
    <row r="86503">
      <c r="A86503" s="1" t="n">
        <v>86502</v>
      </c>
      <c r="B86503">
        <f>TEXT(86502, "[$-0E0000]yyyy-mm-dd")</f>
        <v/>
      </c>
    </row>
    <row r="86504">
      <c r="A86504" s="1" t="n">
        <v>86503</v>
      </c>
      <c r="B86504">
        <f>TEXT(86503, "[$-0E0000]yyyy-mm-dd")</f>
        <v/>
      </c>
    </row>
    <row r="86505">
      <c r="A86505" s="1" t="n">
        <v>86504</v>
      </c>
      <c r="B86505">
        <f>TEXT(86504, "[$-0E0000]yyyy-mm-dd")</f>
        <v/>
      </c>
    </row>
    <row r="86506">
      <c r="A86506" s="1" t="n">
        <v>86505</v>
      </c>
      <c r="B86506">
        <f>TEXT(86505, "[$-0E0000]yyyy-mm-dd")</f>
        <v/>
      </c>
    </row>
    <row r="86507">
      <c r="A86507" s="1" t="n">
        <v>86506</v>
      </c>
      <c r="B86507">
        <f>TEXT(86506, "[$-0E0000]yyyy-mm-dd")</f>
        <v/>
      </c>
    </row>
    <row r="86508">
      <c r="A86508" s="1" t="n">
        <v>86507</v>
      </c>
      <c r="B86508">
        <f>TEXT(86507, "[$-0E0000]yyyy-mm-dd")</f>
        <v/>
      </c>
    </row>
    <row r="86509">
      <c r="A86509" s="1" t="n">
        <v>86508</v>
      </c>
      <c r="B86509">
        <f>TEXT(86508, "[$-0E0000]yyyy-mm-dd")</f>
        <v/>
      </c>
    </row>
    <row r="86510">
      <c r="A86510" s="1" t="n">
        <v>86509</v>
      </c>
      <c r="B86510">
        <f>TEXT(86509, "[$-0E0000]yyyy-mm-dd")</f>
        <v/>
      </c>
    </row>
    <row r="86511">
      <c r="A86511" s="1" t="n">
        <v>86510</v>
      </c>
      <c r="B86511">
        <f>TEXT(86510, "[$-0E0000]yyyy-mm-dd")</f>
        <v/>
      </c>
    </row>
    <row r="86512">
      <c r="A86512" s="1" t="n">
        <v>86511</v>
      </c>
      <c r="B86512">
        <f>TEXT(86511, "[$-0E0000]yyyy-mm-dd")</f>
        <v/>
      </c>
    </row>
    <row r="86513">
      <c r="A86513" s="1" t="n">
        <v>86512</v>
      </c>
      <c r="B86513">
        <f>TEXT(86512, "[$-0E0000]yyyy-mm-dd")</f>
        <v/>
      </c>
    </row>
    <row r="86514">
      <c r="A86514" s="1" t="n">
        <v>86513</v>
      </c>
      <c r="B86514">
        <f>TEXT(86513, "[$-0E0000]yyyy-mm-dd")</f>
        <v/>
      </c>
    </row>
    <row r="86515">
      <c r="A86515" s="1" t="n">
        <v>86514</v>
      </c>
      <c r="B86515">
        <f>TEXT(86514, "[$-0E0000]yyyy-mm-dd")</f>
        <v/>
      </c>
    </row>
    <row r="86516">
      <c r="A86516" s="1" t="n">
        <v>86515</v>
      </c>
      <c r="B86516">
        <f>TEXT(86515, "[$-0E0000]yyyy-mm-dd")</f>
        <v/>
      </c>
    </row>
    <row r="86517">
      <c r="A86517" s="1" t="n">
        <v>86516</v>
      </c>
      <c r="B86517">
        <f>TEXT(86516, "[$-0E0000]yyyy-mm-dd")</f>
        <v/>
      </c>
    </row>
    <row r="86518">
      <c r="A86518" s="1" t="n">
        <v>86517</v>
      </c>
      <c r="B86518">
        <f>TEXT(86517, "[$-0E0000]yyyy-mm-dd")</f>
        <v/>
      </c>
    </row>
    <row r="86519">
      <c r="A86519" s="1" t="n">
        <v>86518</v>
      </c>
      <c r="B86519">
        <f>TEXT(86518, "[$-0E0000]yyyy-mm-dd")</f>
        <v/>
      </c>
    </row>
    <row r="86520">
      <c r="A86520" s="1" t="n">
        <v>86519</v>
      </c>
      <c r="B86520">
        <f>TEXT(86519, "[$-0E0000]yyyy-mm-dd")</f>
        <v/>
      </c>
    </row>
    <row r="86521">
      <c r="A86521" s="1" t="n">
        <v>86520</v>
      </c>
      <c r="B86521">
        <f>TEXT(86520, "[$-0E0000]yyyy-mm-dd")</f>
        <v/>
      </c>
    </row>
    <row r="86522">
      <c r="A86522" s="1" t="n">
        <v>86521</v>
      </c>
      <c r="B86522">
        <f>TEXT(86521, "[$-0E0000]yyyy-mm-dd")</f>
        <v/>
      </c>
    </row>
    <row r="86523">
      <c r="A86523" s="1" t="n">
        <v>86522</v>
      </c>
      <c r="B86523">
        <f>TEXT(86522, "[$-0E0000]yyyy-mm-dd")</f>
        <v/>
      </c>
    </row>
    <row r="86524">
      <c r="A86524" s="1" t="n">
        <v>86523</v>
      </c>
      <c r="B86524">
        <f>TEXT(86523, "[$-0E0000]yyyy-mm-dd")</f>
        <v/>
      </c>
    </row>
    <row r="86525">
      <c r="A86525" s="1" t="n">
        <v>86524</v>
      </c>
      <c r="B86525">
        <f>TEXT(86524, "[$-0E0000]yyyy-mm-dd")</f>
        <v/>
      </c>
    </row>
    <row r="86526">
      <c r="A86526" s="1" t="n">
        <v>86525</v>
      </c>
      <c r="B86526">
        <f>TEXT(86525, "[$-0E0000]yyyy-mm-dd")</f>
        <v/>
      </c>
    </row>
    <row r="86527">
      <c r="A86527" s="1" t="n">
        <v>86526</v>
      </c>
      <c r="B86527">
        <f>TEXT(86526, "[$-0E0000]yyyy-mm-dd")</f>
        <v/>
      </c>
    </row>
    <row r="86528">
      <c r="A86528" s="1" t="n">
        <v>86527</v>
      </c>
      <c r="B86528">
        <f>TEXT(86527, "[$-0E0000]yyyy-mm-dd")</f>
        <v/>
      </c>
    </row>
    <row r="86529">
      <c r="A86529" s="1" t="n">
        <v>86528</v>
      </c>
      <c r="B86529">
        <f>TEXT(86528, "[$-0E0000]yyyy-mm-dd")</f>
        <v/>
      </c>
    </row>
    <row r="86530">
      <c r="A86530" s="1" t="n">
        <v>86529</v>
      </c>
      <c r="B86530">
        <f>TEXT(86529, "[$-0E0000]yyyy-mm-dd")</f>
        <v/>
      </c>
    </row>
    <row r="86531">
      <c r="A86531" s="1" t="n">
        <v>86530</v>
      </c>
      <c r="B86531">
        <f>TEXT(86530, "[$-0E0000]yyyy-mm-dd")</f>
        <v/>
      </c>
    </row>
    <row r="86532">
      <c r="A86532" s="1" t="n">
        <v>86531</v>
      </c>
      <c r="B86532">
        <f>TEXT(86531, "[$-0E0000]yyyy-mm-dd")</f>
        <v/>
      </c>
    </row>
    <row r="86533">
      <c r="A86533" s="1" t="n">
        <v>86532</v>
      </c>
      <c r="B86533">
        <f>TEXT(86532, "[$-0E0000]yyyy-mm-dd")</f>
        <v/>
      </c>
    </row>
    <row r="86534">
      <c r="A86534" s="1" t="n">
        <v>86533</v>
      </c>
      <c r="B86534">
        <f>TEXT(86533, "[$-0E0000]yyyy-mm-dd")</f>
        <v/>
      </c>
    </row>
    <row r="86535">
      <c r="A86535" s="1" t="n">
        <v>86534</v>
      </c>
      <c r="B86535">
        <f>TEXT(86534, "[$-0E0000]yyyy-mm-dd")</f>
        <v/>
      </c>
    </row>
    <row r="86536">
      <c r="A86536" s="1" t="n">
        <v>86535</v>
      </c>
      <c r="B86536">
        <f>TEXT(86535, "[$-0E0000]yyyy-mm-dd")</f>
        <v/>
      </c>
    </row>
    <row r="86537">
      <c r="A86537" s="1" t="n">
        <v>86536</v>
      </c>
      <c r="B86537">
        <f>TEXT(86536, "[$-0E0000]yyyy-mm-dd")</f>
        <v/>
      </c>
    </row>
    <row r="86538">
      <c r="A86538" s="1" t="n">
        <v>86537</v>
      </c>
      <c r="B86538">
        <f>TEXT(86537, "[$-0E0000]yyyy-mm-dd")</f>
        <v/>
      </c>
    </row>
    <row r="86539">
      <c r="A86539" s="1" t="n">
        <v>86538</v>
      </c>
      <c r="B86539">
        <f>TEXT(86538, "[$-0E0000]yyyy-mm-dd")</f>
        <v/>
      </c>
    </row>
    <row r="86540">
      <c r="A86540" s="1" t="n">
        <v>86539</v>
      </c>
      <c r="B86540">
        <f>TEXT(86539, "[$-0E0000]yyyy-mm-dd")</f>
        <v/>
      </c>
    </row>
    <row r="86541">
      <c r="A86541" s="1" t="n">
        <v>86540</v>
      </c>
      <c r="B86541">
        <f>TEXT(86540, "[$-0E0000]yyyy-mm-dd")</f>
        <v/>
      </c>
    </row>
    <row r="86542">
      <c r="A86542" s="1" t="n">
        <v>86541</v>
      </c>
      <c r="B86542">
        <f>TEXT(86541, "[$-0E0000]yyyy-mm-dd")</f>
        <v/>
      </c>
    </row>
    <row r="86543">
      <c r="A86543" s="1" t="n">
        <v>86542</v>
      </c>
      <c r="B86543">
        <f>TEXT(86542, "[$-0E0000]yyyy-mm-dd")</f>
        <v/>
      </c>
    </row>
    <row r="86544">
      <c r="A86544" s="1" t="n">
        <v>86543</v>
      </c>
      <c r="B86544">
        <f>TEXT(86543, "[$-0E0000]yyyy-mm-dd")</f>
        <v/>
      </c>
    </row>
    <row r="86545">
      <c r="A86545" s="1" t="n">
        <v>86544</v>
      </c>
      <c r="B86545">
        <f>TEXT(86544, "[$-0E0000]yyyy-mm-dd")</f>
        <v/>
      </c>
    </row>
    <row r="86546">
      <c r="A86546" s="1" t="n">
        <v>86545</v>
      </c>
      <c r="B86546">
        <f>TEXT(86545, "[$-0E0000]yyyy-mm-dd")</f>
        <v/>
      </c>
    </row>
    <row r="86547">
      <c r="A86547" s="1" t="n">
        <v>86546</v>
      </c>
      <c r="B86547">
        <f>TEXT(86546, "[$-0E0000]yyyy-mm-dd")</f>
        <v/>
      </c>
    </row>
    <row r="86548">
      <c r="A86548" s="1" t="n">
        <v>86547</v>
      </c>
      <c r="B86548">
        <f>TEXT(86547, "[$-0E0000]yyyy-mm-dd")</f>
        <v/>
      </c>
    </row>
    <row r="86549">
      <c r="A86549" s="1" t="n">
        <v>86548</v>
      </c>
      <c r="B86549">
        <f>TEXT(86548, "[$-0E0000]yyyy-mm-dd")</f>
        <v/>
      </c>
    </row>
    <row r="86550">
      <c r="A86550" s="1" t="n">
        <v>86549</v>
      </c>
      <c r="B86550">
        <f>TEXT(86549, "[$-0E0000]yyyy-mm-dd")</f>
        <v/>
      </c>
    </row>
    <row r="86551">
      <c r="A86551" s="1" t="n">
        <v>86550</v>
      </c>
      <c r="B86551">
        <f>TEXT(86550, "[$-0E0000]yyyy-mm-dd")</f>
        <v/>
      </c>
    </row>
    <row r="86552">
      <c r="A86552" s="1" t="n">
        <v>86551</v>
      </c>
      <c r="B86552">
        <f>TEXT(86551, "[$-0E0000]yyyy-mm-dd")</f>
        <v/>
      </c>
    </row>
    <row r="86553">
      <c r="A86553" s="1" t="n">
        <v>86552</v>
      </c>
      <c r="B86553">
        <f>TEXT(86552, "[$-0E0000]yyyy-mm-dd")</f>
        <v/>
      </c>
    </row>
    <row r="86554">
      <c r="A86554" s="1" t="n">
        <v>86553</v>
      </c>
      <c r="B86554">
        <f>TEXT(86553, "[$-0E0000]yyyy-mm-dd")</f>
        <v/>
      </c>
    </row>
    <row r="86555">
      <c r="A86555" s="1" t="n">
        <v>86554</v>
      </c>
      <c r="B86555">
        <f>TEXT(86554, "[$-0E0000]yyyy-mm-dd")</f>
        <v/>
      </c>
    </row>
    <row r="86556">
      <c r="A86556" s="1" t="n">
        <v>86555</v>
      </c>
      <c r="B86556">
        <f>TEXT(86555, "[$-0E0000]yyyy-mm-dd")</f>
        <v/>
      </c>
    </row>
    <row r="86557">
      <c r="A86557" s="1" t="n">
        <v>86556</v>
      </c>
      <c r="B86557">
        <f>TEXT(86556, "[$-0E0000]yyyy-mm-dd")</f>
        <v/>
      </c>
    </row>
    <row r="86558">
      <c r="A86558" s="1" t="n">
        <v>86557</v>
      </c>
      <c r="B86558">
        <f>TEXT(86557, "[$-0E0000]yyyy-mm-dd")</f>
        <v/>
      </c>
    </row>
    <row r="86559">
      <c r="A86559" s="1" t="n">
        <v>86558</v>
      </c>
      <c r="B86559">
        <f>TEXT(86558, "[$-0E0000]yyyy-mm-dd")</f>
        <v/>
      </c>
    </row>
    <row r="86560">
      <c r="A86560" s="1" t="n">
        <v>86559</v>
      </c>
      <c r="B86560">
        <f>TEXT(86559, "[$-0E0000]yyyy-mm-dd")</f>
        <v/>
      </c>
    </row>
    <row r="86561">
      <c r="A86561" s="1" t="n">
        <v>86560</v>
      </c>
      <c r="B86561">
        <f>TEXT(86560, "[$-0E0000]yyyy-mm-dd")</f>
        <v/>
      </c>
    </row>
    <row r="86562">
      <c r="A86562" s="1" t="n">
        <v>86561</v>
      </c>
      <c r="B86562">
        <f>TEXT(86561, "[$-0E0000]yyyy-mm-dd")</f>
        <v/>
      </c>
    </row>
    <row r="86563">
      <c r="A86563" s="1" t="n">
        <v>86562</v>
      </c>
      <c r="B86563">
        <f>TEXT(86562, "[$-0E0000]yyyy-mm-dd")</f>
        <v/>
      </c>
    </row>
    <row r="86564">
      <c r="A86564" s="1" t="n">
        <v>86563</v>
      </c>
      <c r="B86564">
        <f>TEXT(86563, "[$-0E0000]yyyy-mm-dd")</f>
        <v/>
      </c>
    </row>
    <row r="86565">
      <c r="A86565" s="1" t="n">
        <v>86564</v>
      </c>
      <c r="B86565">
        <f>TEXT(86564, "[$-0E0000]yyyy-mm-dd")</f>
        <v/>
      </c>
    </row>
    <row r="86566">
      <c r="A86566" s="1" t="n">
        <v>86565</v>
      </c>
      <c r="B86566">
        <f>TEXT(86565, "[$-0E0000]yyyy-mm-dd")</f>
        <v/>
      </c>
    </row>
    <row r="86567">
      <c r="A86567" s="1" t="n">
        <v>86566</v>
      </c>
      <c r="B86567">
        <f>TEXT(86566, "[$-0E0000]yyyy-mm-dd")</f>
        <v/>
      </c>
    </row>
    <row r="86568">
      <c r="A86568" s="1" t="n">
        <v>86567</v>
      </c>
      <c r="B86568">
        <f>TEXT(86567, "[$-0E0000]yyyy-mm-dd")</f>
        <v/>
      </c>
    </row>
    <row r="86569">
      <c r="A86569" s="1" t="n">
        <v>86568</v>
      </c>
      <c r="B86569">
        <f>TEXT(86568, "[$-0E0000]yyyy-mm-dd")</f>
        <v/>
      </c>
    </row>
    <row r="86570">
      <c r="A86570" s="1" t="n">
        <v>86569</v>
      </c>
      <c r="B86570">
        <f>TEXT(86569, "[$-0E0000]yyyy-mm-dd")</f>
        <v/>
      </c>
    </row>
    <row r="86571">
      <c r="A86571" s="1" t="n">
        <v>86570</v>
      </c>
      <c r="B86571">
        <f>TEXT(86570, "[$-0E0000]yyyy-mm-dd")</f>
        <v/>
      </c>
    </row>
    <row r="86572">
      <c r="A86572" s="1" t="n">
        <v>86571</v>
      </c>
      <c r="B86572">
        <f>TEXT(86571, "[$-0E0000]yyyy-mm-dd")</f>
        <v/>
      </c>
    </row>
    <row r="86573">
      <c r="A86573" s="1" t="n">
        <v>86572</v>
      </c>
      <c r="B86573">
        <f>TEXT(86572, "[$-0E0000]yyyy-mm-dd")</f>
        <v/>
      </c>
    </row>
    <row r="86574">
      <c r="A86574" s="1" t="n">
        <v>86573</v>
      </c>
      <c r="B86574">
        <f>TEXT(86573, "[$-0E0000]yyyy-mm-dd")</f>
        <v/>
      </c>
    </row>
    <row r="86575">
      <c r="A86575" s="1" t="n">
        <v>86574</v>
      </c>
      <c r="B86575">
        <f>TEXT(86574, "[$-0E0000]yyyy-mm-dd")</f>
        <v/>
      </c>
    </row>
    <row r="86576">
      <c r="A86576" s="1" t="n">
        <v>86575</v>
      </c>
      <c r="B86576">
        <f>TEXT(86575, "[$-0E0000]yyyy-mm-dd")</f>
        <v/>
      </c>
    </row>
    <row r="86577">
      <c r="A86577" s="1" t="n">
        <v>86576</v>
      </c>
      <c r="B86577">
        <f>TEXT(86576, "[$-0E0000]yyyy-mm-dd")</f>
        <v/>
      </c>
    </row>
    <row r="86578">
      <c r="A86578" s="1" t="n">
        <v>86577</v>
      </c>
      <c r="B86578">
        <f>TEXT(86577, "[$-0E0000]yyyy-mm-dd")</f>
        <v/>
      </c>
    </row>
    <row r="86579">
      <c r="A86579" s="1" t="n">
        <v>86578</v>
      </c>
      <c r="B86579">
        <f>TEXT(86578, "[$-0E0000]yyyy-mm-dd")</f>
        <v/>
      </c>
    </row>
    <row r="86580">
      <c r="A86580" s="1" t="n">
        <v>86579</v>
      </c>
      <c r="B86580">
        <f>TEXT(86579, "[$-0E0000]yyyy-mm-dd")</f>
        <v/>
      </c>
    </row>
    <row r="86581">
      <c r="A86581" s="1" t="n">
        <v>86580</v>
      </c>
      <c r="B86581">
        <f>TEXT(86580, "[$-0E0000]yyyy-mm-dd")</f>
        <v/>
      </c>
    </row>
    <row r="86582">
      <c r="A86582" s="1" t="n">
        <v>86581</v>
      </c>
      <c r="B86582">
        <f>TEXT(86581, "[$-0E0000]yyyy-mm-dd")</f>
        <v/>
      </c>
    </row>
    <row r="86583">
      <c r="A86583" s="1" t="n">
        <v>86582</v>
      </c>
      <c r="B86583">
        <f>TEXT(86582, "[$-0E0000]yyyy-mm-dd")</f>
        <v/>
      </c>
    </row>
    <row r="86584">
      <c r="A86584" s="1" t="n">
        <v>86583</v>
      </c>
      <c r="B86584">
        <f>TEXT(86583, "[$-0E0000]yyyy-mm-dd")</f>
        <v/>
      </c>
    </row>
    <row r="86585">
      <c r="A86585" s="1" t="n">
        <v>86584</v>
      </c>
      <c r="B86585">
        <f>TEXT(86584, "[$-0E0000]yyyy-mm-dd")</f>
        <v/>
      </c>
    </row>
    <row r="86586">
      <c r="A86586" s="1" t="n">
        <v>86585</v>
      </c>
      <c r="B86586">
        <f>TEXT(86585, "[$-0E0000]yyyy-mm-dd")</f>
        <v/>
      </c>
    </row>
    <row r="86587">
      <c r="A86587" s="1" t="n">
        <v>86586</v>
      </c>
      <c r="B86587">
        <f>TEXT(86586, "[$-0E0000]yyyy-mm-dd")</f>
        <v/>
      </c>
    </row>
    <row r="86588">
      <c r="A86588" s="1" t="n">
        <v>86587</v>
      </c>
      <c r="B86588">
        <f>TEXT(86587, "[$-0E0000]yyyy-mm-dd")</f>
        <v/>
      </c>
    </row>
    <row r="86589">
      <c r="A86589" s="1" t="n">
        <v>86588</v>
      </c>
      <c r="B86589">
        <f>TEXT(86588, "[$-0E0000]yyyy-mm-dd")</f>
        <v/>
      </c>
    </row>
    <row r="86590">
      <c r="A86590" s="1" t="n">
        <v>86589</v>
      </c>
      <c r="B86590">
        <f>TEXT(86589, "[$-0E0000]yyyy-mm-dd")</f>
        <v/>
      </c>
    </row>
    <row r="86591">
      <c r="A86591" s="1" t="n">
        <v>86590</v>
      </c>
      <c r="B86591">
        <f>TEXT(86590, "[$-0E0000]yyyy-mm-dd")</f>
        <v/>
      </c>
    </row>
    <row r="86592">
      <c r="A86592" s="1" t="n">
        <v>86591</v>
      </c>
      <c r="B86592">
        <f>TEXT(86591, "[$-0E0000]yyyy-mm-dd")</f>
        <v/>
      </c>
    </row>
    <row r="86593">
      <c r="A86593" s="1" t="n">
        <v>86592</v>
      </c>
      <c r="B86593">
        <f>TEXT(86592, "[$-0E0000]yyyy-mm-dd")</f>
        <v/>
      </c>
    </row>
    <row r="86594">
      <c r="A86594" s="1" t="n">
        <v>86593</v>
      </c>
      <c r="B86594">
        <f>TEXT(86593, "[$-0E0000]yyyy-mm-dd")</f>
        <v/>
      </c>
    </row>
    <row r="86595">
      <c r="A86595" s="1" t="n">
        <v>86594</v>
      </c>
      <c r="B86595">
        <f>TEXT(86594, "[$-0E0000]yyyy-mm-dd")</f>
        <v/>
      </c>
    </row>
    <row r="86596">
      <c r="A86596" s="1" t="n">
        <v>86595</v>
      </c>
      <c r="B86596">
        <f>TEXT(86595, "[$-0E0000]yyyy-mm-dd")</f>
        <v/>
      </c>
    </row>
    <row r="86597">
      <c r="A86597" s="1" t="n">
        <v>86596</v>
      </c>
      <c r="B86597">
        <f>TEXT(86596, "[$-0E0000]yyyy-mm-dd")</f>
        <v/>
      </c>
    </row>
    <row r="86598">
      <c r="A86598" s="1" t="n">
        <v>86597</v>
      </c>
      <c r="B86598">
        <f>TEXT(86597, "[$-0E0000]yyyy-mm-dd")</f>
        <v/>
      </c>
    </row>
    <row r="86599">
      <c r="A86599" s="1" t="n">
        <v>86598</v>
      </c>
      <c r="B86599">
        <f>TEXT(86598, "[$-0E0000]yyyy-mm-dd")</f>
        <v/>
      </c>
    </row>
    <row r="86600">
      <c r="A86600" s="1" t="n">
        <v>86599</v>
      </c>
      <c r="B86600">
        <f>TEXT(86599, "[$-0E0000]yyyy-mm-dd")</f>
        <v/>
      </c>
    </row>
    <row r="86601">
      <c r="A86601" s="1" t="n">
        <v>86600</v>
      </c>
      <c r="B86601">
        <f>TEXT(86600, "[$-0E0000]yyyy-mm-dd")</f>
        <v/>
      </c>
    </row>
    <row r="86602">
      <c r="A86602" s="1" t="n">
        <v>86601</v>
      </c>
      <c r="B86602">
        <f>TEXT(86601, "[$-0E0000]yyyy-mm-dd")</f>
        <v/>
      </c>
    </row>
    <row r="86603">
      <c r="A86603" s="1" t="n">
        <v>86602</v>
      </c>
      <c r="B86603">
        <f>TEXT(86602, "[$-0E0000]yyyy-mm-dd")</f>
        <v/>
      </c>
    </row>
    <row r="86604">
      <c r="A86604" s="1" t="n">
        <v>86603</v>
      </c>
      <c r="B86604">
        <f>TEXT(86603, "[$-0E0000]yyyy-mm-dd")</f>
        <v/>
      </c>
    </row>
    <row r="86605">
      <c r="A86605" s="1" t="n">
        <v>86604</v>
      </c>
      <c r="B86605">
        <f>TEXT(86604, "[$-0E0000]yyyy-mm-dd")</f>
        <v/>
      </c>
    </row>
    <row r="86606">
      <c r="A86606" s="1" t="n">
        <v>86605</v>
      </c>
      <c r="B86606">
        <f>TEXT(86605, "[$-0E0000]yyyy-mm-dd")</f>
        <v/>
      </c>
    </row>
    <row r="86607">
      <c r="A86607" s="1" t="n">
        <v>86606</v>
      </c>
      <c r="B86607">
        <f>TEXT(86606, "[$-0E0000]yyyy-mm-dd")</f>
        <v/>
      </c>
    </row>
    <row r="86608">
      <c r="A86608" s="1" t="n">
        <v>86607</v>
      </c>
      <c r="B86608">
        <f>TEXT(86607, "[$-0E0000]yyyy-mm-dd")</f>
        <v/>
      </c>
    </row>
    <row r="86609">
      <c r="A86609" s="1" t="n">
        <v>86608</v>
      </c>
      <c r="B86609">
        <f>TEXT(86608, "[$-0E0000]yyyy-mm-dd")</f>
        <v/>
      </c>
    </row>
    <row r="86610">
      <c r="A86610" s="1" t="n">
        <v>86609</v>
      </c>
      <c r="B86610">
        <f>TEXT(86609, "[$-0E0000]yyyy-mm-dd")</f>
        <v/>
      </c>
    </row>
    <row r="86611">
      <c r="A86611" s="1" t="n">
        <v>86610</v>
      </c>
      <c r="B86611">
        <f>TEXT(86610, "[$-0E0000]yyyy-mm-dd")</f>
        <v/>
      </c>
    </row>
    <row r="86612">
      <c r="A86612" s="1" t="n">
        <v>86611</v>
      </c>
      <c r="B86612">
        <f>TEXT(86611, "[$-0E0000]yyyy-mm-dd")</f>
        <v/>
      </c>
    </row>
    <row r="86613">
      <c r="A86613" s="1" t="n">
        <v>86612</v>
      </c>
      <c r="B86613">
        <f>TEXT(86612, "[$-0E0000]yyyy-mm-dd")</f>
        <v/>
      </c>
    </row>
    <row r="86614">
      <c r="A86614" s="1" t="n">
        <v>86613</v>
      </c>
      <c r="B86614">
        <f>TEXT(86613, "[$-0E0000]yyyy-mm-dd")</f>
        <v/>
      </c>
    </row>
    <row r="86615">
      <c r="A86615" s="1" t="n">
        <v>86614</v>
      </c>
      <c r="B86615">
        <f>TEXT(86614, "[$-0E0000]yyyy-mm-dd")</f>
        <v/>
      </c>
    </row>
    <row r="86616">
      <c r="A86616" s="1" t="n">
        <v>86615</v>
      </c>
      <c r="B86616">
        <f>TEXT(86615, "[$-0E0000]yyyy-mm-dd")</f>
        <v/>
      </c>
    </row>
    <row r="86617">
      <c r="A86617" s="1" t="n">
        <v>86616</v>
      </c>
      <c r="B86617">
        <f>TEXT(86616, "[$-0E0000]yyyy-mm-dd")</f>
        <v/>
      </c>
    </row>
    <row r="86618">
      <c r="A86618" s="1" t="n">
        <v>86617</v>
      </c>
      <c r="B86618">
        <f>TEXT(86617, "[$-0E0000]yyyy-mm-dd")</f>
        <v/>
      </c>
    </row>
    <row r="86619">
      <c r="A86619" s="1" t="n">
        <v>86618</v>
      </c>
      <c r="B86619">
        <f>TEXT(86618, "[$-0E0000]yyyy-mm-dd")</f>
        <v/>
      </c>
    </row>
    <row r="86620">
      <c r="A86620" s="1" t="n">
        <v>86619</v>
      </c>
      <c r="B86620">
        <f>TEXT(86619, "[$-0E0000]yyyy-mm-dd")</f>
        <v/>
      </c>
    </row>
    <row r="86621">
      <c r="A86621" s="1" t="n">
        <v>86620</v>
      </c>
      <c r="B86621">
        <f>TEXT(86620, "[$-0E0000]yyyy-mm-dd")</f>
        <v/>
      </c>
    </row>
    <row r="86622">
      <c r="A86622" s="1" t="n">
        <v>86621</v>
      </c>
      <c r="B86622">
        <f>TEXT(86621, "[$-0E0000]yyyy-mm-dd")</f>
        <v/>
      </c>
    </row>
    <row r="86623">
      <c r="A86623" s="1" t="n">
        <v>86622</v>
      </c>
      <c r="B86623">
        <f>TEXT(86622, "[$-0E0000]yyyy-mm-dd")</f>
        <v/>
      </c>
    </row>
    <row r="86624">
      <c r="A86624" s="1" t="n">
        <v>86623</v>
      </c>
      <c r="B86624">
        <f>TEXT(86623, "[$-0E0000]yyyy-mm-dd")</f>
        <v/>
      </c>
    </row>
    <row r="86625">
      <c r="A86625" s="1" t="n">
        <v>86624</v>
      </c>
      <c r="B86625">
        <f>TEXT(86624, "[$-0E0000]yyyy-mm-dd")</f>
        <v/>
      </c>
    </row>
    <row r="86626">
      <c r="A86626" s="1" t="n">
        <v>86625</v>
      </c>
      <c r="B86626">
        <f>TEXT(86625, "[$-0E0000]yyyy-mm-dd")</f>
        <v/>
      </c>
    </row>
    <row r="86627">
      <c r="A86627" s="1" t="n">
        <v>86626</v>
      </c>
      <c r="B86627">
        <f>TEXT(86626, "[$-0E0000]yyyy-mm-dd")</f>
        <v/>
      </c>
    </row>
    <row r="86628">
      <c r="A86628" s="1" t="n">
        <v>86627</v>
      </c>
      <c r="B86628">
        <f>TEXT(86627, "[$-0E0000]yyyy-mm-dd")</f>
        <v/>
      </c>
    </row>
    <row r="86629">
      <c r="A86629" s="1" t="n">
        <v>86628</v>
      </c>
      <c r="B86629">
        <f>TEXT(86628, "[$-0E0000]yyyy-mm-dd")</f>
        <v/>
      </c>
    </row>
    <row r="86630">
      <c r="A86630" s="1" t="n">
        <v>86629</v>
      </c>
      <c r="B86630">
        <f>TEXT(86629, "[$-0E0000]yyyy-mm-dd")</f>
        <v/>
      </c>
    </row>
    <row r="86631">
      <c r="A86631" s="1" t="n">
        <v>86630</v>
      </c>
      <c r="B86631">
        <f>TEXT(86630, "[$-0E0000]yyyy-mm-dd")</f>
        <v/>
      </c>
    </row>
    <row r="86632">
      <c r="A86632" s="1" t="n">
        <v>86631</v>
      </c>
      <c r="B86632">
        <f>TEXT(86631, "[$-0E0000]yyyy-mm-dd")</f>
        <v/>
      </c>
    </row>
    <row r="86633">
      <c r="A86633" s="1" t="n">
        <v>86632</v>
      </c>
      <c r="B86633">
        <f>TEXT(86632, "[$-0E0000]yyyy-mm-dd")</f>
        <v/>
      </c>
    </row>
    <row r="86634">
      <c r="A86634" s="1" t="n">
        <v>86633</v>
      </c>
      <c r="B86634">
        <f>TEXT(86633, "[$-0E0000]yyyy-mm-dd")</f>
        <v/>
      </c>
    </row>
    <row r="86635">
      <c r="A86635" s="1" t="n">
        <v>86634</v>
      </c>
      <c r="B86635">
        <f>TEXT(86634, "[$-0E0000]yyyy-mm-dd")</f>
        <v/>
      </c>
    </row>
    <row r="86636">
      <c r="A86636" s="1" t="n">
        <v>86635</v>
      </c>
      <c r="B86636">
        <f>TEXT(86635, "[$-0E0000]yyyy-mm-dd")</f>
        <v/>
      </c>
    </row>
    <row r="86637">
      <c r="A86637" s="1" t="n">
        <v>86636</v>
      </c>
      <c r="B86637">
        <f>TEXT(86636, "[$-0E0000]yyyy-mm-dd")</f>
        <v/>
      </c>
    </row>
    <row r="86638">
      <c r="A86638" s="1" t="n">
        <v>86637</v>
      </c>
      <c r="B86638">
        <f>TEXT(86637, "[$-0E0000]yyyy-mm-dd")</f>
        <v/>
      </c>
    </row>
    <row r="86639">
      <c r="A86639" s="1" t="n">
        <v>86638</v>
      </c>
      <c r="B86639">
        <f>TEXT(86638, "[$-0E0000]yyyy-mm-dd")</f>
        <v/>
      </c>
    </row>
    <row r="86640">
      <c r="A86640" s="1" t="n">
        <v>86639</v>
      </c>
      <c r="B86640">
        <f>TEXT(86639, "[$-0E0000]yyyy-mm-dd")</f>
        <v/>
      </c>
    </row>
    <row r="86641">
      <c r="A86641" s="1" t="n">
        <v>86640</v>
      </c>
      <c r="B86641">
        <f>TEXT(86640, "[$-0E0000]yyyy-mm-dd")</f>
        <v/>
      </c>
    </row>
    <row r="86642">
      <c r="A86642" s="1" t="n">
        <v>86641</v>
      </c>
      <c r="B86642">
        <f>TEXT(86641, "[$-0E0000]yyyy-mm-dd")</f>
        <v/>
      </c>
    </row>
    <row r="86643">
      <c r="A86643" s="1" t="n">
        <v>86642</v>
      </c>
      <c r="B86643">
        <f>TEXT(86642, "[$-0E0000]yyyy-mm-dd")</f>
        <v/>
      </c>
    </row>
    <row r="86644">
      <c r="A86644" s="1" t="n">
        <v>86643</v>
      </c>
      <c r="B86644">
        <f>TEXT(86643, "[$-0E0000]yyyy-mm-dd")</f>
        <v/>
      </c>
    </row>
    <row r="86645">
      <c r="A86645" s="1" t="n">
        <v>86644</v>
      </c>
      <c r="B86645">
        <f>TEXT(86644, "[$-0E0000]yyyy-mm-dd")</f>
        <v/>
      </c>
    </row>
    <row r="86646">
      <c r="A86646" s="1" t="n">
        <v>86645</v>
      </c>
      <c r="B86646">
        <f>TEXT(86645, "[$-0E0000]yyyy-mm-dd")</f>
        <v/>
      </c>
    </row>
    <row r="86647">
      <c r="A86647" s="1" t="n">
        <v>86646</v>
      </c>
      <c r="B86647">
        <f>TEXT(86646, "[$-0E0000]yyyy-mm-dd")</f>
        <v/>
      </c>
    </row>
    <row r="86648">
      <c r="A86648" s="1" t="n">
        <v>86647</v>
      </c>
      <c r="B86648">
        <f>TEXT(86647, "[$-0E0000]yyyy-mm-dd")</f>
        <v/>
      </c>
    </row>
    <row r="86649">
      <c r="A86649" s="1" t="n">
        <v>86648</v>
      </c>
      <c r="B86649">
        <f>TEXT(86648, "[$-0E0000]yyyy-mm-dd")</f>
        <v/>
      </c>
    </row>
    <row r="86650">
      <c r="A86650" s="1" t="n">
        <v>86649</v>
      </c>
      <c r="B86650">
        <f>TEXT(86649, "[$-0E0000]yyyy-mm-dd")</f>
        <v/>
      </c>
    </row>
    <row r="86651">
      <c r="A86651" s="1" t="n">
        <v>86650</v>
      </c>
      <c r="B86651">
        <f>TEXT(86650, "[$-0E0000]yyyy-mm-dd")</f>
        <v/>
      </c>
    </row>
    <row r="86652">
      <c r="A86652" s="1" t="n">
        <v>86651</v>
      </c>
      <c r="B86652">
        <f>TEXT(86651, "[$-0E0000]yyyy-mm-dd")</f>
        <v/>
      </c>
    </row>
    <row r="86653">
      <c r="A86653" s="1" t="n">
        <v>86652</v>
      </c>
      <c r="B86653">
        <f>TEXT(86652, "[$-0E0000]yyyy-mm-dd")</f>
        <v/>
      </c>
    </row>
    <row r="86654">
      <c r="A86654" s="1" t="n">
        <v>86653</v>
      </c>
      <c r="B86654">
        <f>TEXT(86653, "[$-0E0000]yyyy-mm-dd")</f>
        <v/>
      </c>
    </row>
    <row r="86655">
      <c r="A86655" s="1" t="n">
        <v>86654</v>
      </c>
      <c r="B86655">
        <f>TEXT(86654, "[$-0E0000]yyyy-mm-dd")</f>
        <v/>
      </c>
    </row>
    <row r="86656">
      <c r="A86656" s="1" t="n">
        <v>86655</v>
      </c>
      <c r="B86656">
        <f>TEXT(86655, "[$-0E0000]yyyy-mm-dd")</f>
        <v/>
      </c>
    </row>
    <row r="86657">
      <c r="A86657" s="1" t="n">
        <v>86656</v>
      </c>
      <c r="B86657">
        <f>TEXT(86656, "[$-0E0000]yyyy-mm-dd")</f>
        <v/>
      </c>
    </row>
    <row r="86658">
      <c r="A86658" s="1" t="n">
        <v>86657</v>
      </c>
      <c r="B86658">
        <f>TEXT(86657, "[$-0E0000]yyyy-mm-dd")</f>
        <v/>
      </c>
    </row>
    <row r="86659">
      <c r="A86659" s="1" t="n">
        <v>86658</v>
      </c>
      <c r="B86659">
        <f>TEXT(86658, "[$-0E0000]yyyy-mm-dd")</f>
        <v/>
      </c>
    </row>
    <row r="86660">
      <c r="A86660" s="1" t="n">
        <v>86659</v>
      </c>
      <c r="B86660">
        <f>TEXT(86659, "[$-0E0000]yyyy-mm-dd")</f>
        <v/>
      </c>
    </row>
    <row r="86661">
      <c r="A86661" s="1" t="n">
        <v>86660</v>
      </c>
      <c r="B86661">
        <f>TEXT(86660, "[$-0E0000]yyyy-mm-dd")</f>
        <v/>
      </c>
    </row>
    <row r="86662">
      <c r="A86662" s="1" t="n">
        <v>86661</v>
      </c>
      <c r="B86662">
        <f>TEXT(86661, "[$-0E0000]yyyy-mm-dd")</f>
        <v/>
      </c>
    </row>
    <row r="86663">
      <c r="A86663" s="1" t="n">
        <v>86662</v>
      </c>
      <c r="B86663">
        <f>TEXT(86662, "[$-0E0000]yyyy-mm-dd")</f>
        <v/>
      </c>
    </row>
    <row r="86664">
      <c r="A86664" s="1" t="n">
        <v>86663</v>
      </c>
      <c r="B86664">
        <f>TEXT(86663, "[$-0E0000]yyyy-mm-dd")</f>
        <v/>
      </c>
    </row>
    <row r="86665">
      <c r="A86665" s="1" t="n">
        <v>86664</v>
      </c>
      <c r="B86665">
        <f>TEXT(86664, "[$-0E0000]yyyy-mm-dd")</f>
        <v/>
      </c>
    </row>
    <row r="86666">
      <c r="A86666" s="1" t="n">
        <v>86665</v>
      </c>
      <c r="B86666">
        <f>TEXT(86665, "[$-0E0000]yyyy-mm-dd")</f>
        <v/>
      </c>
    </row>
    <row r="86667">
      <c r="A86667" s="1" t="n">
        <v>86666</v>
      </c>
      <c r="B86667">
        <f>TEXT(86666, "[$-0E0000]yyyy-mm-dd")</f>
        <v/>
      </c>
    </row>
    <row r="86668">
      <c r="A86668" s="1" t="n">
        <v>86667</v>
      </c>
      <c r="B86668">
        <f>TEXT(86667, "[$-0E0000]yyyy-mm-dd")</f>
        <v/>
      </c>
    </row>
    <row r="86669">
      <c r="A86669" s="1" t="n">
        <v>86668</v>
      </c>
      <c r="B86669">
        <f>TEXT(86668, "[$-0E0000]yyyy-mm-dd")</f>
        <v/>
      </c>
    </row>
    <row r="86670">
      <c r="A86670" s="1" t="n">
        <v>86669</v>
      </c>
      <c r="B86670">
        <f>TEXT(86669, "[$-0E0000]yyyy-mm-dd")</f>
        <v/>
      </c>
    </row>
    <row r="86671">
      <c r="A86671" s="1" t="n">
        <v>86670</v>
      </c>
      <c r="B86671">
        <f>TEXT(86670, "[$-0E0000]yyyy-mm-dd")</f>
        <v/>
      </c>
    </row>
    <row r="86672">
      <c r="A86672" s="1" t="n">
        <v>86671</v>
      </c>
      <c r="B86672">
        <f>TEXT(86671, "[$-0E0000]yyyy-mm-dd")</f>
        <v/>
      </c>
    </row>
    <row r="86673">
      <c r="A86673" s="1" t="n">
        <v>86672</v>
      </c>
      <c r="B86673">
        <f>TEXT(86672, "[$-0E0000]yyyy-mm-dd")</f>
        <v/>
      </c>
    </row>
    <row r="86674">
      <c r="A86674" s="1" t="n">
        <v>86673</v>
      </c>
      <c r="B86674">
        <f>TEXT(86673, "[$-0E0000]yyyy-mm-dd")</f>
        <v/>
      </c>
    </row>
    <row r="86675">
      <c r="A86675" s="1" t="n">
        <v>86674</v>
      </c>
      <c r="B86675">
        <f>TEXT(86674, "[$-0E0000]yyyy-mm-dd")</f>
        <v/>
      </c>
    </row>
    <row r="86676">
      <c r="A86676" s="1" t="n">
        <v>86675</v>
      </c>
      <c r="B86676">
        <f>TEXT(86675, "[$-0E0000]yyyy-mm-dd")</f>
        <v/>
      </c>
    </row>
    <row r="86677">
      <c r="A86677" s="1" t="n">
        <v>86676</v>
      </c>
      <c r="B86677">
        <f>TEXT(86676, "[$-0E0000]yyyy-mm-dd")</f>
        <v/>
      </c>
    </row>
    <row r="86678">
      <c r="A86678" s="1" t="n">
        <v>86677</v>
      </c>
      <c r="B86678">
        <f>TEXT(86677, "[$-0E0000]yyyy-mm-dd")</f>
        <v/>
      </c>
    </row>
    <row r="86679">
      <c r="A86679" s="1" t="n">
        <v>86678</v>
      </c>
      <c r="B86679">
        <f>TEXT(86678, "[$-0E0000]yyyy-mm-dd")</f>
        <v/>
      </c>
    </row>
    <row r="86680">
      <c r="A86680" s="1" t="n">
        <v>86679</v>
      </c>
      <c r="B86680">
        <f>TEXT(86679, "[$-0E0000]yyyy-mm-dd")</f>
        <v/>
      </c>
    </row>
    <row r="86681">
      <c r="A86681" s="1" t="n">
        <v>86680</v>
      </c>
      <c r="B86681">
        <f>TEXT(86680, "[$-0E0000]yyyy-mm-dd")</f>
        <v/>
      </c>
    </row>
    <row r="86682">
      <c r="A86682" s="1" t="n">
        <v>86681</v>
      </c>
      <c r="B86682">
        <f>TEXT(86681, "[$-0E0000]yyyy-mm-dd")</f>
        <v/>
      </c>
    </row>
    <row r="86683">
      <c r="A86683" s="1" t="n">
        <v>86682</v>
      </c>
      <c r="B86683">
        <f>TEXT(86682, "[$-0E0000]yyyy-mm-dd")</f>
        <v/>
      </c>
    </row>
    <row r="86684">
      <c r="A86684" s="1" t="n">
        <v>86683</v>
      </c>
      <c r="B86684">
        <f>TEXT(86683, "[$-0E0000]yyyy-mm-dd")</f>
        <v/>
      </c>
    </row>
    <row r="86685">
      <c r="A86685" s="1" t="n">
        <v>86684</v>
      </c>
      <c r="B86685">
        <f>TEXT(86684, "[$-0E0000]yyyy-mm-dd")</f>
        <v/>
      </c>
    </row>
    <row r="86686">
      <c r="A86686" s="1" t="n">
        <v>86685</v>
      </c>
      <c r="B86686">
        <f>TEXT(86685, "[$-0E0000]yyyy-mm-dd")</f>
        <v/>
      </c>
    </row>
    <row r="86687">
      <c r="A86687" s="1" t="n">
        <v>86686</v>
      </c>
      <c r="B86687">
        <f>TEXT(86686, "[$-0E0000]yyyy-mm-dd")</f>
        <v/>
      </c>
    </row>
    <row r="86688">
      <c r="A86688" s="1" t="n">
        <v>86687</v>
      </c>
      <c r="B86688">
        <f>TEXT(86687, "[$-0E0000]yyyy-mm-dd")</f>
        <v/>
      </c>
    </row>
    <row r="86689">
      <c r="A86689" s="1" t="n">
        <v>86688</v>
      </c>
      <c r="B86689">
        <f>TEXT(86688, "[$-0E0000]yyyy-mm-dd")</f>
        <v/>
      </c>
    </row>
    <row r="86690">
      <c r="A86690" s="1" t="n">
        <v>86689</v>
      </c>
      <c r="B86690">
        <f>TEXT(86689, "[$-0E0000]yyyy-mm-dd")</f>
        <v/>
      </c>
    </row>
    <row r="86691">
      <c r="A86691" s="1" t="n">
        <v>86690</v>
      </c>
      <c r="B86691">
        <f>TEXT(86690, "[$-0E0000]yyyy-mm-dd")</f>
        <v/>
      </c>
    </row>
    <row r="86692">
      <c r="A86692" s="1" t="n">
        <v>86691</v>
      </c>
      <c r="B86692">
        <f>TEXT(86691, "[$-0E0000]yyyy-mm-dd")</f>
        <v/>
      </c>
    </row>
    <row r="86693">
      <c r="A86693" s="1" t="n">
        <v>86692</v>
      </c>
      <c r="B86693">
        <f>TEXT(86692, "[$-0E0000]yyyy-mm-dd")</f>
        <v/>
      </c>
    </row>
    <row r="86694">
      <c r="A86694" s="1" t="n">
        <v>86693</v>
      </c>
      <c r="B86694">
        <f>TEXT(86693, "[$-0E0000]yyyy-mm-dd")</f>
        <v/>
      </c>
    </row>
    <row r="86695">
      <c r="A86695" s="1" t="n">
        <v>86694</v>
      </c>
      <c r="B86695">
        <f>TEXT(86694, "[$-0E0000]yyyy-mm-dd")</f>
        <v/>
      </c>
    </row>
    <row r="86696">
      <c r="A86696" s="1" t="n">
        <v>86695</v>
      </c>
      <c r="B86696">
        <f>TEXT(86695, "[$-0E0000]yyyy-mm-dd")</f>
        <v/>
      </c>
    </row>
    <row r="86697">
      <c r="A86697" s="1" t="n">
        <v>86696</v>
      </c>
      <c r="B86697">
        <f>TEXT(86696, "[$-0E0000]yyyy-mm-dd")</f>
        <v/>
      </c>
    </row>
    <row r="86698">
      <c r="A86698" s="1" t="n">
        <v>86697</v>
      </c>
      <c r="B86698">
        <f>TEXT(86697, "[$-0E0000]yyyy-mm-dd")</f>
        <v/>
      </c>
    </row>
    <row r="86699">
      <c r="A86699" s="1" t="n">
        <v>86698</v>
      </c>
      <c r="B86699">
        <f>TEXT(86698, "[$-0E0000]yyyy-mm-dd")</f>
        <v/>
      </c>
    </row>
    <row r="86700">
      <c r="A86700" s="1" t="n">
        <v>86699</v>
      </c>
      <c r="B86700">
        <f>TEXT(86699, "[$-0E0000]yyyy-mm-dd")</f>
        <v/>
      </c>
    </row>
    <row r="86701">
      <c r="A86701" s="1" t="n">
        <v>86700</v>
      </c>
      <c r="B86701">
        <f>TEXT(86700, "[$-0E0000]yyyy-mm-dd")</f>
        <v/>
      </c>
    </row>
    <row r="86702">
      <c r="A86702" s="1" t="n">
        <v>86701</v>
      </c>
      <c r="B86702">
        <f>TEXT(86701, "[$-0E0000]yyyy-mm-dd")</f>
        <v/>
      </c>
    </row>
    <row r="86703">
      <c r="A86703" s="1" t="n">
        <v>86702</v>
      </c>
      <c r="B86703">
        <f>TEXT(86702, "[$-0E0000]yyyy-mm-dd")</f>
        <v/>
      </c>
    </row>
    <row r="86704">
      <c r="A86704" s="1" t="n">
        <v>86703</v>
      </c>
      <c r="B86704">
        <f>TEXT(86703, "[$-0E0000]yyyy-mm-dd")</f>
        <v/>
      </c>
    </row>
    <row r="86705">
      <c r="A86705" s="1" t="n">
        <v>86704</v>
      </c>
      <c r="B86705">
        <f>TEXT(86704, "[$-0E0000]yyyy-mm-dd")</f>
        <v/>
      </c>
    </row>
    <row r="86706">
      <c r="A86706" s="1" t="n">
        <v>86705</v>
      </c>
      <c r="B86706">
        <f>TEXT(86705, "[$-0E0000]yyyy-mm-dd")</f>
        <v/>
      </c>
    </row>
    <row r="86707">
      <c r="A86707" s="1" t="n">
        <v>86706</v>
      </c>
      <c r="B86707">
        <f>TEXT(86706, "[$-0E0000]yyyy-mm-dd")</f>
        <v/>
      </c>
    </row>
    <row r="86708">
      <c r="A86708" s="1" t="n">
        <v>86707</v>
      </c>
      <c r="B86708">
        <f>TEXT(86707, "[$-0E0000]yyyy-mm-dd")</f>
        <v/>
      </c>
    </row>
    <row r="86709">
      <c r="A86709" s="1" t="n">
        <v>86708</v>
      </c>
      <c r="B86709">
        <f>TEXT(86708, "[$-0E0000]yyyy-mm-dd")</f>
        <v/>
      </c>
    </row>
    <row r="86710">
      <c r="A86710" s="1" t="n">
        <v>86709</v>
      </c>
      <c r="B86710">
        <f>TEXT(86709, "[$-0E0000]yyyy-mm-dd")</f>
        <v/>
      </c>
    </row>
    <row r="86711">
      <c r="A86711" s="1" t="n">
        <v>86710</v>
      </c>
      <c r="B86711">
        <f>TEXT(86710, "[$-0E0000]yyyy-mm-dd")</f>
        <v/>
      </c>
    </row>
    <row r="86712">
      <c r="A86712" s="1" t="n">
        <v>86711</v>
      </c>
      <c r="B86712">
        <f>TEXT(86711, "[$-0E0000]yyyy-mm-dd")</f>
        <v/>
      </c>
    </row>
    <row r="86713">
      <c r="A86713" s="1" t="n">
        <v>86712</v>
      </c>
      <c r="B86713">
        <f>TEXT(86712, "[$-0E0000]yyyy-mm-dd")</f>
        <v/>
      </c>
    </row>
    <row r="86714">
      <c r="A86714" s="1" t="n">
        <v>86713</v>
      </c>
      <c r="B86714">
        <f>TEXT(86713, "[$-0E0000]yyyy-mm-dd")</f>
        <v/>
      </c>
    </row>
    <row r="86715">
      <c r="A86715" s="1" t="n">
        <v>86714</v>
      </c>
      <c r="B86715">
        <f>TEXT(86714, "[$-0E0000]yyyy-mm-dd")</f>
        <v/>
      </c>
    </row>
    <row r="86716">
      <c r="A86716" s="1" t="n">
        <v>86715</v>
      </c>
      <c r="B86716">
        <f>TEXT(86715, "[$-0E0000]yyyy-mm-dd")</f>
        <v/>
      </c>
    </row>
    <row r="86717">
      <c r="A86717" s="1" t="n">
        <v>86716</v>
      </c>
      <c r="B86717">
        <f>TEXT(86716, "[$-0E0000]yyyy-mm-dd")</f>
        <v/>
      </c>
    </row>
    <row r="86718">
      <c r="A86718" s="1" t="n">
        <v>86717</v>
      </c>
      <c r="B86718">
        <f>TEXT(86717, "[$-0E0000]yyyy-mm-dd")</f>
        <v/>
      </c>
    </row>
    <row r="86719">
      <c r="A86719" s="1" t="n">
        <v>86718</v>
      </c>
      <c r="B86719">
        <f>TEXT(86718, "[$-0E0000]yyyy-mm-dd")</f>
        <v/>
      </c>
    </row>
    <row r="86720">
      <c r="A86720" s="1" t="n">
        <v>86719</v>
      </c>
      <c r="B86720">
        <f>TEXT(86719, "[$-0E0000]yyyy-mm-dd")</f>
        <v/>
      </c>
    </row>
    <row r="86721">
      <c r="A86721" s="1" t="n">
        <v>86720</v>
      </c>
      <c r="B86721">
        <f>TEXT(86720, "[$-0E0000]yyyy-mm-dd")</f>
        <v/>
      </c>
    </row>
    <row r="86722">
      <c r="A86722" s="1" t="n">
        <v>86721</v>
      </c>
      <c r="B86722">
        <f>TEXT(86721, "[$-0E0000]yyyy-mm-dd")</f>
        <v/>
      </c>
    </row>
    <row r="86723">
      <c r="A86723" s="1" t="n">
        <v>86722</v>
      </c>
      <c r="B86723">
        <f>TEXT(86722, "[$-0E0000]yyyy-mm-dd")</f>
        <v/>
      </c>
    </row>
    <row r="86724">
      <c r="A86724" s="1" t="n">
        <v>86723</v>
      </c>
      <c r="B86724">
        <f>TEXT(86723, "[$-0E0000]yyyy-mm-dd")</f>
        <v/>
      </c>
    </row>
    <row r="86725">
      <c r="A86725" s="1" t="n">
        <v>86724</v>
      </c>
      <c r="B86725">
        <f>TEXT(86724, "[$-0E0000]yyyy-mm-dd")</f>
        <v/>
      </c>
    </row>
    <row r="86726">
      <c r="A86726" s="1" t="n">
        <v>86725</v>
      </c>
      <c r="B86726">
        <f>TEXT(86725, "[$-0E0000]yyyy-mm-dd")</f>
        <v/>
      </c>
    </row>
    <row r="86727">
      <c r="A86727" s="1" t="n">
        <v>86726</v>
      </c>
      <c r="B86727">
        <f>TEXT(86726, "[$-0E0000]yyyy-mm-dd")</f>
        <v/>
      </c>
    </row>
    <row r="86728">
      <c r="A86728" s="1" t="n">
        <v>86727</v>
      </c>
      <c r="B86728">
        <f>TEXT(86727, "[$-0E0000]yyyy-mm-dd")</f>
        <v/>
      </c>
    </row>
    <row r="86729">
      <c r="A86729" s="1" t="n">
        <v>86728</v>
      </c>
      <c r="B86729">
        <f>TEXT(86728, "[$-0E0000]yyyy-mm-dd")</f>
        <v/>
      </c>
    </row>
    <row r="86730">
      <c r="A86730" s="1" t="n">
        <v>86729</v>
      </c>
      <c r="B86730">
        <f>TEXT(86729, "[$-0E0000]yyyy-mm-dd")</f>
        <v/>
      </c>
    </row>
    <row r="86731">
      <c r="A86731" s="1" t="n">
        <v>86730</v>
      </c>
      <c r="B86731">
        <f>TEXT(86730, "[$-0E0000]yyyy-mm-dd")</f>
        <v/>
      </c>
    </row>
    <row r="86732">
      <c r="A86732" s="1" t="n">
        <v>86731</v>
      </c>
      <c r="B86732">
        <f>TEXT(86731, "[$-0E0000]yyyy-mm-dd")</f>
        <v/>
      </c>
    </row>
    <row r="86733">
      <c r="A86733" s="1" t="n">
        <v>86732</v>
      </c>
      <c r="B86733">
        <f>TEXT(86732, "[$-0E0000]yyyy-mm-dd")</f>
        <v/>
      </c>
    </row>
    <row r="86734">
      <c r="A86734" s="1" t="n">
        <v>86733</v>
      </c>
      <c r="B86734">
        <f>TEXT(86733, "[$-0E0000]yyyy-mm-dd")</f>
        <v/>
      </c>
    </row>
    <row r="86735">
      <c r="A86735" s="1" t="n">
        <v>86734</v>
      </c>
      <c r="B86735">
        <f>TEXT(86734, "[$-0E0000]yyyy-mm-dd")</f>
        <v/>
      </c>
    </row>
    <row r="86736">
      <c r="A86736" s="1" t="n">
        <v>86735</v>
      </c>
      <c r="B86736">
        <f>TEXT(86735, "[$-0E0000]yyyy-mm-dd")</f>
        <v/>
      </c>
    </row>
    <row r="86737">
      <c r="A86737" s="1" t="n">
        <v>86736</v>
      </c>
      <c r="B86737">
        <f>TEXT(86736, "[$-0E0000]yyyy-mm-dd")</f>
        <v/>
      </c>
    </row>
    <row r="86738">
      <c r="A86738" s="1" t="n">
        <v>86737</v>
      </c>
      <c r="B86738">
        <f>TEXT(86737, "[$-0E0000]yyyy-mm-dd")</f>
        <v/>
      </c>
    </row>
    <row r="86739">
      <c r="A86739" s="1" t="n">
        <v>86738</v>
      </c>
      <c r="B86739">
        <f>TEXT(86738, "[$-0E0000]yyyy-mm-dd")</f>
        <v/>
      </c>
    </row>
    <row r="86740">
      <c r="A86740" s="1" t="n">
        <v>86739</v>
      </c>
      <c r="B86740">
        <f>TEXT(86739, "[$-0E0000]yyyy-mm-dd")</f>
        <v/>
      </c>
    </row>
    <row r="86741">
      <c r="A86741" s="1" t="n">
        <v>86740</v>
      </c>
      <c r="B86741">
        <f>TEXT(86740, "[$-0E0000]yyyy-mm-dd")</f>
        <v/>
      </c>
    </row>
    <row r="86742">
      <c r="A86742" s="1" t="n">
        <v>86741</v>
      </c>
      <c r="B86742">
        <f>TEXT(86741, "[$-0E0000]yyyy-mm-dd")</f>
        <v/>
      </c>
    </row>
    <row r="86743">
      <c r="A86743" s="1" t="n">
        <v>86742</v>
      </c>
      <c r="B86743">
        <f>TEXT(86742, "[$-0E0000]yyyy-mm-dd")</f>
        <v/>
      </c>
    </row>
    <row r="86744">
      <c r="A86744" s="1" t="n">
        <v>86743</v>
      </c>
      <c r="B86744">
        <f>TEXT(86743, "[$-0E0000]yyyy-mm-dd")</f>
        <v/>
      </c>
    </row>
    <row r="86745">
      <c r="A86745" s="1" t="n">
        <v>86744</v>
      </c>
      <c r="B86745">
        <f>TEXT(86744, "[$-0E0000]yyyy-mm-dd")</f>
        <v/>
      </c>
    </row>
    <row r="86746">
      <c r="A86746" s="1" t="n">
        <v>86745</v>
      </c>
      <c r="B86746">
        <f>TEXT(86745, "[$-0E0000]yyyy-mm-dd")</f>
        <v/>
      </c>
    </row>
    <row r="86747">
      <c r="A86747" s="1" t="n">
        <v>86746</v>
      </c>
      <c r="B86747">
        <f>TEXT(86746, "[$-0E0000]yyyy-mm-dd")</f>
        <v/>
      </c>
    </row>
    <row r="86748">
      <c r="A86748" s="1" t="n">
        <v>86747</v>
      </c>
      <c r="B86748">
        <f>TEXT(86747, "[$-0E0000]yyyy-mm-dd")</f>
        <v/>
      </c>
    </row>
    <row r="86749">
      <c r="A86749" s="1" t="n">
        <v>86748</v>
      </c>
      <c r="B86749">
        <f>TEXT(86748, "[$-0E0000]yyyy-mm-dd")</f>
        <v/>
      </c>
    </row>
    <row r="86750">
      <c r="A86750" s="1" t="n">
        <v>86749</v>
      </c>
      <c r="B86750">
        <f>TEXT(86749, "[$-0E0000]yyyy-mm-dd")</f>
        <v/>
      </c>
    </row>
    <row r="86751">
      <c r="A86751" s="1" t="n">
        <v>86750</v>
      </c>
      <c r="B86751">
        <f>TEXT(86750, "[$-0E0000]yyyy-mm-dd")</f>
        <v/>
      </c>
    </row>
    <row r="86752">
      <c r="A86752" s="1" t="n">
        <v>86751</v>
      </c>
      <c r="B86752">
        <f>TEXT(86751, "[$-0E0000]yyyy-mm-dd")</f>
        <v/>
      </c>
    </row>
    <row r="86753">
      <c r="A86753" s="1" t="n">
        <v>86752</v>
      </c>
      <c r="B86753">
        <f>TEXT(86752, "[$-0E0000]yyyy-mm-dd")</f>
        <v/>
      </c>
    </row>
    <row r="86754">
      <c r="A86754" s="1" t="n">
        <v>86753</v>
      </c>
      <c r="B86754">
        <f>TEXT(86753, "[$-0E0000]yyyy-mm-dd")</f>
        <v/>
      </c>
    </row>
    <row r="86755">
      <c r="A86755" s="1" t="n">
        <v>86754</v>
      </c>
      <c r="B86755">
        <f>TEXT(86754, "[$-0E0000]yyyy-mm-dd")</f>
        <v/>
      </c>
    </row>
    <row r="86756">
      <c r="A86756" s="1" t="n">
        <v>86755</v>
      </c>
      <c r="B86756">
        <f>TEXT(86755, "[$-0E0000]yyyy-mm-dd")</f>
        <v/>
      </c>
    </row>
    <row r="86757">
      <c r="A86757" s="1" t="n">
        <v>86756</v>
      </c>
      <c r="B86757">
        <f>TEXT(86756, "[$-0E0000]yyyy-mm-dd")</f>
        <v/>
      </c>
    </row>
    <row r="86758">
      <c r="A86758" s="1" t="n">
        <v>86757</v>
      </c>
      <c r="B86758">
        <f>TEXT(86757, "[$-0E0000]yyyy-mm-dd")</f>
        <v/>
      </c>
    </row>
    <row r="86759">
      <c r="A86759" s="1" t="n">
        <v>86758</v>
      </c>
      <c r="B86759">
        <f>TEXT(86758, "[$-0E0000]yyyy-mm-dd")</f>
        <v/>
      </c>
    </row>
    <row r="86760">
      <c r="A86760" s="1" t="n">
        <v>86759</v>
      </c>
      <c r="B86760">
        <f>TEXT(86759, "[$-0E0000]yyyy-mm-dd")</f>
        <v/>
      </c>
    </row>
    <row r="86761">
      <c r="A86761" s="1" t="n">
        <v>86760</v>
      </c>
      <c r="B86761">
        <f>TEXT(86760, "[$-0E0000]yyyy-mm-dd")</f>
        <v/>
      </c>
    </row>
    <row r="86762">
      <c r="A86762" s="1" t="n">
        <v>86761</v>
      </c>
      <c r="B86762">
        <f>TEXT(86761, "[$-0E0000]yyyy-mm-dd")</f>
        <v/>
      </c>
    </row>
    <row r="86763">
      <c r="A86763" s="1" t="n">
        <v>86762</v>
      </c>
      <c r="B86763">
        <f>TEXT(86762, "[$-0E0000]yyyy-mm-dd")</f>
        <v/>
      </c>
    </row>
    <row r="86764">
      <c r="A86764" s="1" t="n">
        <v>86763</v>
      </c>
      <c r="B86764">
        <f>TEXT(86763, "[$-0E0000]yyyy-mm-dd")</f>
        <v/>
      </c>
    </row>
    <row r="86765">
      <c r="A86765" s="1" t="n">
        <v>86764</v>
      </c>
      <c r="B86765">
        <f>TEXT(86764, "[$-0E0000]yyyy-mm-dd")</f>
        <v/>
      </c>
    </row>
    <row r="86766">
      <c r="A86766" s="1" t="n">
        <v>86765</v>
      </c>
      <c r="B86766">
        <f>TEXT(86765, "[$-0E0000]yyyy-mm-dd")</f>
        <v/>
      </c>
    </row>
    <row r="86767">
      <c r="A86767" s="1" t="n">
        <v>86766</v>
      </c>
      <c r="B86767">
        <f>TEXT(86766, "[$-0E0000]yyyy-mm-dd")</f>
        <v/>
      </c>
    </row>
    <row r="86768">
      <c r="A86768" s="1" t="n">
        <v>86767</v>
      </c>
      <c r="B86768">
        <f>TEXT(86767, "[$-0E0000]yyyy-mm-dd")</f>
        <v/>
      </c>
    </row>
    <row r="86769">
      <c r="A86769" s="1" t="n">
        <v>86768</v>
      </c>
      <c r="B86769">
        <f>TEXT(86768, "[$-0E0000]yyyy-mm-dd")</f>
        <v/>
      </c>
    </row>
    <row r="86770">
      <c r="A86770" s="1" t="n">
        <v>86769</v>
      </c>
      <c r="B86770">
        <f>TEXT(86769, "[$-0E0000]yyyy-mm-dd")</f>
        <v/>
      </c>
    </row>
    <row r="86771">
      <c r="A86771" s="1" t="n">
        <v>86770</v>
      </c>
      <c r="B86771">
        <f>TEXT(86770, "[$-0E0000]yyyy-mm-dd")</f>
        <v/>
      </c>
    </row>
    <row r="86772">
      <c r="A86772" s="1" t="n">
        <v>86771</v>
      </c>
      <c r="B86772">
        <f>TEXT(86771, "[$-0E0000]yyyy-mm-dd")</f>
        <v/>
      </c>
    </row>
    <row r="86773">
      <c r="A86773" s="1" t="n">
        <v>86772</v>
      </c>
      <c r="B86773">
        <f>TEXT(86772, "[$-0E0000]yyyy-mm-dd")</f>
        <v/>
      </c>
    </row>
    <row r="86774">
      <c r="A86774" s="1" t="n">
        <v>86773</v>
      </c>
      <c r="B86774">
        <f>TEXT(86773, "[$-0E0000]yyyy-mm-dd")</f>
        <v/>
      </c>
    </row>
    <row r="86775">
      <c r="A86775" s="1" t="n">
        <v>86774</v>
      </c>
      <c r="B86775">
        <f>TEXT(86774, "[$-0E0000]yyyy-mm-dd")</f>
        <v/>
      </c>
    </row>
    <row r="86776">
      <c r="A86776" s="1" t="n">
        <v>86775</v>
      </c>
      <c r="B86776">
        <f>TEXT(86775, "[$-0E0000]yyyy-mm-dd")</f>
        <v/>
      </c>
    </row>
    <row r="86777">
      <c r="A86777" s="1" t="n">
        <v>86776</v>
      </c>
      <c r="B86777">
        <f>TEXT(86776, "[$-0E0000]yyyy-mm-dd")</f>
        <v/>
      </c>
    </row>
    <row r="86778">
      <c r="A86778" s="1" t="n">
        <v>86777</v>
      </c>
      <c r="B86778">
        <f>TEXT(86777, "[$-0E0000]yyyy-mm-dd")</f>
        <v/>
      </c>
    </row>
    <row r="86779">
      <c r="A86779" s="1" t="n">
        <v>86778</v>
      </c>
      <c r="B86779">
        <f>TEXT(86778, "[$-0E0000]yyyy-mm-dd")</f>
        <v/>
      </c>
    </row>
    <row r="86780">
      <c r="A86780" s="1" t="n">
        <v>86779</v>
      </c>
      <c r="B86780">
        <f>TEXT(86779, "[$-0E0000]yyyy-mm-dd")</f>
        <v/>
      </c>
    </row>
    <row r="86781">
      <c r="A86781" s="1" t="n">
        <v>86780</v>
      </c>
      <c r="B86781">
        <f>TEXT(86780, "[$-0E0000]yyyy-mm-dd")</f>
        <v/>
      </c>
    </row>
    <row r="86782">
      <c r="A86782" s="1" t="n">
        <v>86781</v>
      </c>
      <c r="B86782">
        <f>TEXT(86781, "[$-0E0000]yyyy-mm-dd")</f>
        <v/>
      </c>
    </row>
    <row r="86783">
      <c r="A86783" s="1" t="n">
        <v>86782</v>
      </c>
      <c r="B86783">
        <f>TEXT(86782, "[$-0E0000]yyyy-mm-dd")</f>
        <v/>
      </c>
    </row>
    <row r="86784">
      <c r="A86784" s="1" t="n">
        <v>86783</v>
      </c>
      <c r="B86784">
        <f>TEXT(86783, "[$-0E0000]yyyy-mm-dd")</f>
        <v/>
      </c>
    </row>
    <row r="86785">
      <c r="A86785" s="1" t="n">
        <v>86784</v>
      </c>
      <c r="B86785">
        <f>TEXT(86784, "[$-0E0000]yyyy-mm-dd")</f>
        <v/>
      </c>
    </row>
    <row r="86786">
      <c r="A86786" s="1" t="n">
        <v>86785</v>
      </c>
      <c r="B86786">
        <f>TEXT(86785, "[$-0E0000]yyyy-mm-dd")</f>
        <v/>
      </c>
    </row>
    <row r="86787">
      <c r="A86787" s="1" t="n">
        <v>86786</v>
      </c>
      <c r="B86787">
        <f>TEXT(86786, "[$-0E0000]yyyy-mm-dd")</f>
        <v/>
      </c>
    </row>
    <row r="86788">
      <c r="A86788" s="1" t="n">
        <v>86787</v>
      </c>
      <c r="B86788">
        <f>TEXT(86787, "[$-0E0000]yyyy-mm-dd")</f>
        <v/>
      </c>
    </row>
    <row r="86789">
      <c r="A86789" s="1" t="n">
        <v>86788</v>
      </c>
      <c r="B86789">
        <f>TEXT(86788, "[$-0E0000]yyyy-mm-dd")</f>
        <v/>
      </c>
    </row>
    <row r="86790">
      <c r="A86790" s="1" t="n">
        <v>86789</v>
      </c>
      <c r="B86790">
        <f>TEXT(86789, "[$-0E0000]yyyy-mm-dd")</f>
        <v/>
      </c>
    </row>
    <row r="86791">
      <c r="A86791" s="1" t="n">
        <v>86790</v>
      </c>
      <c r="B86791">
        <f>TEXT(86790, "[$-0E0000]yyyy-mm-dd")</f>
        <v/>
      </c>
    </row>
    <row r="86792">
      <c r="A86792" s="1" t="n">
        <v>86791</v>
      </c>
      <c r="B86792">
        <f>TEXT(86791, "[$-0E0000]yyyy-mm-dd")</f>
        <v/>
      </c>
    </row>
    <row r="86793">
      <c r="A86793" s="1" t="n">
        <v>86792</v>
      </c>
      <c r="B86793">
        <f>TEXT(86792, "[$-0E0000]yyyy-mm-dd")</f>
        <v/>
      </c>
    </row>
    <row r="86794">
      <c r="A86794" s="1" t="n">
        <v>86793</v>
      </c>
      <c r="B86794">
        <f>TEXT(86793, "[$-0E0000]yyyy-mm-dd")</f>
        <v/>
      </c>
    </row>
    <row r="86795">
      <c r="A86795" s="1" t="n">
        <v>86794</v>
      </c>
      <c r="B86795">
        <f>TEXT(86794, "[$-0E0000]yyyy-mm-dd")</f>
        <v/>
      </c>
    </row>
    <row r="86796">
      <c r="A86796" s="1" t="n">
        <v>86795</v>
      </c>
      <c r="B86796">
        <f>TEXT(86795, "[$-0E0000]yyyy-mm-dd")</f>
        <v/>
      </c>
    </row>
    <row r="86797">
      <c r="A86797" s="1" t="n">
        <v>86796</v>
      </c>
      <c r="B86797">
        <f>TEXT(86796, "[$-0E0000]yyyy-mm-dd")</f>
        <v/>
      </c>
    </row>
    <row r="86798">
      <c r="A86798" s="1" t="n">
        <v>86797</v>
      </c>
      <c r="B86798">
        <f>TEXT(86797, "[$-0E0000]yyyy-mm-dd")</f>
        <v/>
      </c>
    </row>
    <row r="86799">
      <c r="A86799" s="1" t="n">
        <v>86798</v>
      </c>
      <c r="B86799">
        <f>TEXT(86798, "[$-0E0000]yyyy-mm-dd")</f>
        <v/>
      </c>
    </row>
    <row r="86800">
      <c r="A86800" s="1" t="n">
        <v>86799</v>
      </c>
      <c r="B86800">
        <f>TEXT(86799, "[$-0E0000]yyyy-mm-dd")</f>
        <v/>
      </c>
    </row>
    <row r="86801">
      <c r="A86801" s="1" t="n">
        <v>86800</v>
      </c>
      <c r="B86801">
        <f>TEXT(86800, "[$-0E0000]yyyy-mm-dd")</f>
        <v/>
      </c>
    </row>
    <row r="86802">
      <c r="A86802" s="1" t="n">
        <v>86801</v>
      </c>
      <c r="B86802">
        <f>TEXT(86801, "[$-0E0000]yyyy-mm-dd")</f>
        <v/>
      </c>
    </row>
    <row r="86803">
      <c r="A86803" s="1" t="n">
        <v>86802</v>
      </c>
      <c r="B86803">
        <f>TEXT(86802, "[$-0E0000]yyyy-mm-dd")</f>
        <v/>
      </c>
    </row>
    <row r="86804">
      <c r="A86804" s="1" t="n">
        <v>86803</v>
      </c>
      <c r="B86804">
        <f>TEXT(86803, "[$-0E0000]yyyy-mm-dd")</f>
        <v/>
      </c>
    </row>
    <row r="86805">
      <c r="A86805" s="1" t="n">
        <v>86804</v>
      </c>
      <c r="B86805">
        <f>TEXT(86804, "[$-0E0000]yyyy-mm-dd")</f>
        <v/>
      </c>
    </row>
    <row r="86806">
      <c r="A86806" s="1" t="n">
        <v>86805</v>
      </c>
      <c r="B86806">
        <f>TEXT(86805, "[$-0E0000]yyyy-mm-dd")</f>
        <v/>
      </c>
    </row>
    <row r="86807">
      <c r="A86807" s="1" t="n">
        <v>86806</v>
      </c>
      <c r="B86807">
        <f>TEXT(86806, "[$-0E0000]yyyy-mm-dd")</f>
        <v/>
      </c>
    </row>
    <row r="86808">
      <c r="A86808" s="1" t="n">
        <v>86807</v>
      </c>
      <c r="B86808">
        <f>TEXT(86807, "[$-0E0000]yyyy-mm-dd")</f>
        <v/>
      </c>
    </row>
    <row r="86809">
      <c r="A86809" s="1" t="n">
        <v>86808</v>
      </c>
      <c r="B86809">
        <f>TEXT(86808, "[$-0E0000]yyyy-mm-dd")</f>
        <v/>
      </c>
    </row>
    <row r="86810">
      <c r="A86810" s="1" t="n">
        <v>86809</v>
      </c>
      <c r="B86810">
        <f>TEXT(86809, "[$-0E0000]yyyy-mm-dd")</f>
        <v/>
      </c>
    </row>
    <row r="86811">
      <c r="A86811" s="1" t="n">
        <v>86810</v>
      </c>
      <c r="B86811">
        <f>TEXT(86810, "[$-0E0000]yyyy-mm-dd")</f>
        <v/>
      </c>
    </row>
    <row r="86812">
      <c r="A86812" s="1" t="n">
        <v>86811</v>
      </c>
      <c r="B86812">
        <f>TEXT(86811, "[$-0E0000]yyyy-mm-dd")</f>
        <v/>
      </c>
    </row>
    <row r="86813">
      <c r="A86813" s="1" t="n">
        <v>86812</v>
      </c>
      <c r="B86813">
        <f>TEXT(86812, "[$-0E0000]yyyy-mm-dd")</f>
        <v/>
      </c>
    </row>
    <row r="86814">
      <c r="A86814" s="1" t="n">
        <v>86813</v>
      </c>
      <c r="B86814">
        <f>TEXT(86813, "[$-0E0000]yyyy-mm-dd")</f>
        <v/>
      </c>
    </row>
    <row r="86815">
      <c r="A86815" s="1" t="n">
        <v>86814</v>
      </c>
      <c r="B86815">
        <f>TEXT(86814, "[$-0E0000]yyyy-mm-dd")</f>
        <v/>
      </c>
    </row>
    <row r="86816">
      <c r="A86816" s="1" t="n">
        <v>86815</v>
      </c>
      <c r="B86816">
        <f>TEXT(86815, "[$-0E0000]yyyy-mm-dd")</f>
        <v/>
      </c>
    </row>
    <row r="86817">
      <c r="A86817" s="1" t="n">
        <v>86816</v>
      </c>
      <c r="B86817">
        <f>TEXT(86816, "[$-0E0000]yyyy-mm-dd")</f>
        <v/>
      </c>
    </row>
    <row r="86818">
      <c r="A86818" s="1" t="n">
        <v>86817</v>
      </c>
      <c r="B86818">
        <f>TEXT(86817, "[$-0E0000]yyyy-mm-dd")</f>
        <v/>
      </c>
    </row>
    <row r="86819">
      <c r="A86819" s="1" t="n">
        <v>86818</v>
      </c>
      <c r="B86819">
        <f>TEXT(86818, "[$-0E0000]yyyy-mm-dd")</f>
        <v/>
      </c>
    </row>
    <row r="86820">
      <c r="A86820" s="1" t="n">
        <v>86819</v>
      </c>
      <c r="B86820">
        <f>TEXT(86819, "[$-0E0000]yyyy-mm-dd")</f>
        <v/>
      </c>
    </row>
    <row r="86821">
      <c r="A86821" s="1" t="n">
        <v>86820</v>
      </c>
      <c r="B86821">
        <f>TEXT(86820, "[$-0E0000]yyyy-mm-dd")</f>
        <v/>
      </c>
    </row>
    <row r="86822">
      <c r="A86822" s="1" t="n">
        <v>86821</v>
      </c>
      <c r="B86822">
        <f>TEXT(86821, "[$-0E0000]yyyy-mm-dd")</f>
        <v/>
      </c>
    </row>
    <row r="86823">
      <c r="A86823" s="1" t="n">
        <v>86822</v>
      </c>
      <c r="B86823">
        <f>TEXT(86822, "[$-0E0000]yyyy-mm-dd")</f>
        <v/>
      </c>
    </row>
    <row r="86824">
      <c r="A86824" s="1" t="n">
        <v>86823</v>
      </c>
      <c r="B86824">
        <f>TEXT(86823, "[$-0E0000]yyyy-mm-dd")</f>
        <v/>
      </c>
    </row>
    <row r="86825">
      <c r="A86825" s="1" t="n">
        <v>86824</v>
      </c>
      <c r="B86825">
        <f>TEXT(86824, "[$-0E0000]yyyy-mm-dd")</f>
        <v/>
      </c>
    </row>
    <row r="86826">
      <c r="A86826" s="1" t="n">
        <v>86825</v>
      </c>
      <c r="B86826">
        <f>TEXT(86825, "[$-0E0000]yyyy-mm-dd")</f>
        <v/>
      </c>
    </row>
    <row r="86827">
      <c r="A86827" s="1" t="n">
        <v>86826</v>
      </c>
      <c r="B86827">
        <f>TEXT(86826, "[$-0E0000]yyyy-mm-dd")</f>
        <v/>
      </c>
    </row>
    <row r="86828">
      <c r="A86828" s="1" t="n">
        <v>86827</v>
      </c>
      <c r="B86828">
        <f>TEXT(86827, "[$-0E0000]yyyy-mm-dd")</f>
        <v/>
      </c>
    </row>
    <row r="86829">
      <c r="A86829" s="1" t="n">
        <v>86828</v>
      </c>
      <c r="B86829">
        <f>TEXT(86828, "[$-0E0000]yyyy-mm-dd")</f>
        <v/>
      </c>
    </row>
    <row r="86830">
      <c r="A86830" s="1" t="n">
        <v>86829</v>
      </c>
      <c r="B86830">
        <f>TEXT(86829, "[$-0E0000]yyyy-mm-dd")</f>
        <v/>
      </c>
    </row>
    <row r="86831">
      <c r="A86831" s="1" t="n">
        <v>86830</v>
      </c>
      <c r="B86831">
        <f>TEXT(86830, "[$-0E0000]yyyy-mm-dd")</f>
        <v/>
      </c>
    </row>
    <row r="86832">
      <c r="A86832" s="1" t="n">
        <v>86831</v>
      </c>
      <c r="B86832">
        <f>TEXT(86831, "[$-0E0000]yyyy-mm-dd")</f>
        <v/>
      </c>
    </row>
    <row r="86833">
      <c r="A86833" s="1" t="n">
        <v>86832</v>
      </c>
      <c r="B86833">
        <f>TEXT(86832, "[$-0E0000]yyyy-mm-dd")</f>
        <v/>
      </c>
    </row>
    <row r="86834">
      <c r="A86834" s="1" t="n">
        <v>86833</v>
      </c>
      <c r="B86834">
        <f>TEXT(86833, "[$-0E0000]yyyy-mm-dd")</f>
        <v/>
      </c>
    </row>
    <row r="86835">
      <c r="A86835" s="1" t="n">
        <v>86834</v>
      </c>
      <c r="B86835">
        <f>TEXT(86834, "[$-0E0000]yyyy-mm-dd")</f>
        <v/>
      </c>
    </row>
    <row r="86836">
      <c r="A86836" s="1" t="n">
        <v>86835</v>
      </c>
      <c r="B86836">
        <f>TEXT(86835, "[$-0E0000]yyyy-mm-dd")</f>
        <v/>
      </c>
    </row>
    <row r="86837">
      <c r="A86837" s="1" t="n">
        <v>86836</v>
      </c>
      <c r="B86837">
        <f>TEXT(86836, "[$-0E0000]yyyy-mm-dd")</f>
        <v/>
      </c>
    </row>
    <row r="86838">
      <c r="A86838" s="1" t="n">
        <v>86837</v>
      </c>
      <c r="B86838">
        <f>TEXT(86837, "[$-0E0000]yyyy-mm-dd")</f>
        <v/>
      </c>
    </row>
    <row r="86839">
      <c r="A86839" s="1" t="n">
        <v>86838</v>
      </c>
      <c r="B86839">
        <f>TEXT(86838, "[$-0E0000]yyyy-mm-dd")</f>
        <v/>
      </c>
    </row>
    <row r="86840">
      <c r="A86840" s="1" t="n">
        <v>86839</v>
      </c>
      <c r="B86840">
        <f>TEXT(86839, "[$-0E0000]yyyy-mm-dd")</f>
        <v/>
      </c>
    </row>
    <row r="86841">
      <c r="A86841" s="1" t="n">
        <v>86840</v>
      </c>
      <c r="B86841">
        <f>TEXT(86840, "[$-0E0000]yyyy-mm-dd")</f>
        <v/>
      </c>
    </row>
    <row r="86842">
      <c r="A86842" s="1" t="n">
        <v>86841</v>
      </c>
      <c r="B86842">
        <f>TEXT(86841, "[$-0E0000]yyyy-mm-dd")</f>
        <v/>
      </c>
    </row>
    <row r="86843">
      <c r="A86843" s="1" t="n">
        <v>86842</v>
      </c>
      <c r="B86843">
        <f>TEXT(86842, "[$-0E0000]yyyy-mm-dd")</f>
        <v/>
      </c>
    </row>
    <row r="86844">
      <c r="A86844" s="1" t="n">
        <v>86843</v>
      </c>
      <c r="B86844">
        <f>TEXT(86843, "[$-0E0000]yyyy-mm-dd")</f>
        <v/>
      </c>
    </row>
    <row r="86845">
      <c r="A86845" s="1" t="n">
        <v>86844</v>
      </c>
      <c r="B86845">
        <f>TEXT(86844, "[$-0E0000]yyyy-mm-dd")</f>
        <v/>
      </c>
    </row>
    <row r="86846">
      <c r="A86846" s="1" t="n">
        <v>86845</v>
      </c>
      <c r="B86846">
        <f>TEXT(86845, "[$-0E0000]yyyy-mm-dd")</f>
        <v/>
      </c>
    </row>
    <row r="86847">
      <c r="A86847" s="1" t="n">
        <v>86846</v>
      </c>
      <c r="B86847">
        <f>TEXT(86846, "[$-0E0000]yyyy-mm-dd")</f>
        <v/>
      </c>
    </row>
    <row r="86848">
      <c r="A86848" s="1" t="n">
        <v>86847</v>
      </c>
      <c r="B86848">
        <f>TEXT(86847, "[$-0E0000]yyyy-mm-dd")</f>
        <v/>
      </c>
    </row>
    <row r="86849">
      <c r="A86849" s="1" t="n">
        <v>86848</v>
      </c>
      <c r="B86849">
        <f>TEXT(86848, "[$-0E0000]yyyy-mm-dd")</f>
        <v/>
      </c>
    </row>
    <row r="86850">
      <c r="A86850" s="1" t="n">
        <v>86849</v>
      </c>
      <c r="B86850">
        <f>TEXT(86849, "[$-0E0000]yyyy-mm-dd")</f>
        <v/>
      </c>
    </row>
    <row r="86851">
      <c r="A86851" s="1" t="n">
        <v>86850</v>
      </c>
      <c r="B86851">
        <f>TEXT(86850, "[$-0E0000]yyyy-mm-dd")</f>
        <v/>
      </c>
    </row>
    <row r="86852">
      <c r="A86852" s="1" t="n">
        <v>86851</v>
      </c>
      <c r="B86852">
        <f>TEXT(86851, "[$-0E0000]yyyy-mm-dd")</f>
        <v/>
      </c>
    </row>
    <row r="86853">
      <c r="A86853" s="1" t="n">
        <v>86852</v>
      </c>
      <c r="B86853">
        <f>TEXT(86852, "[$-0E0000]yyyy-mm-dd")</f>
        <v/>
      </c>
    </row>
    <row r="86854">
      <c r="A86854" s="1" t="n">
        <v>86853</v>
      </c>
      <c r="B86854">
        <f>TEXT(86853, "[$-0E0000]yyyy-mm-dd")</f>
        <v/>
      </c>
    </row>
    <row r="86855">
      <c r="A86855" s="1" t="n">
        <v>86854</v>
      </c>
      <c r="B86855">
        <f>TEXT(86854, "[$-0E0000]yyyy-mm-dd")</f>
        <v/>
      </c>
    </row>
    <row r="86856">
      <c r="A86856" s="1" t="n">
        <v>86855</v>
      </c>
      <c r="B86856">
        <f>TEXT(86855, "[$-0E0000]yyyy-mm-dd")</f>
        <v/>
      </c>
    </row>
    <row r="86857">
      <c r="A86857" s="1" t="n">
        <v>86856</v>
      </c>
      <c r="B86857">
        <f>TEXT(86856, "[$-0E0000]yyyy-mm-dd")</f>
        <v/>
      </c>
    </row>
    <row r="86858">
      <c r="A86858" s="1" t="n">
        <v>86857</v>
      </c>
      <c r="B86858">
        <f>TEXT(86857, "[$-0E0000]yyyy-mm-dd")</f>
        <v/>
      </c>
    </row>
    <row r="86859">
      <c r="A86859" s="1" t="n">
        <v>86858</v>
      </c>
      <c r="B86859">
        <f>TEXT(86858, "[$-0E0000]yyyy-mm-dd")</f>
        <v/>
      </c>
    </row>
    <row r="86860">
      <c r="A86860" s="1" t="n">
        <v>86859</v>
      </c>
      <c r="B86860">
        <f>TEXT(86859, "[$-0E0000]yyyy-mm-dd")</f>
        <v/>
      </c>
    </row>
    <row r="86861">
      <c r="A86861" s="1" t="n">
        <v>86860</v>
      </c>
      <c r="B86861">
        <f>TEXT(86860, "[$-0E0000]yyyy-mm-dd")</f>
        <v/>
      </c>
    </row>
    <row r="86862">
      <c r="A86862" s="1" t="n">
        <v>86861</v>
      </c>
      <c r="B86862">
        <f>TEXT(86861, "[$-0E0000]yyyy-mm-dd")</f>
        <v/>
      </c>
    </row>
    <row r="86863">
      <c r="A86863" s="1" t="n">
        <v>86862</v>
      </c>
      <c r="B86863">
        <f>TEXT(86862, "[$-0E0000]yyyy-mm-dd")</f>
        <v/>
      </c>
    </row>
    <row r="86864">
      <c r="A86864" s="1" t="n">
        <v>86863</v>
      </c>
      <c r="B86864">
        <f>TEXT(86863, "[$-0E0000]yyyy-mm-dd")</f>
        <v/>
      </c>
    </row>
    <row r="86865">
      <c r="A86865" s="1" t="n">
        <v>86864</v>
      </c>
      <c r="B86865">
        <f>TEXT(86864, "[$-0E0000]yyyy-mm-dd")</f>
        <v/>
      </c>
    </row>
    <row r="86866">
      <c r="A86866" s="1" t="n">
        <v>86865</v>
      </c>
      <c r="B86866">
        <f>TEXT(86865, "[$-0E0000]yyyy-mm-dd")</f>
        <v/>
      </c>
    </row>
    <row r="86867">
      <c r="A86867" s="1" t="n">
        <v>86866</v>
      </c>
      <c r="B86867">
        <f>TEXT(86866, "[$-0E0000]yyyy-mm-dd")</f>
        <v/>
      </c>
    </row>
    <row r="86868">
      <c r="A86868" s="1" t="n">
        <v>86867</v>
      </c>
      <c r="B86868">
        <f>TEXT(86867, "[$-0E0000]yyyy-mm-dd")</f>
        <v/>
      </c>
    </row>
    <row r="86869">
      <c r="A86869" s="1" t="n">
        <v>86868</v>
      </c>
      <c r="B86869">
        <f>TEXT(86868, "[$-0E0000]yyyy-mm-dd")</f>
        <v/>
      </c>
    </row>
    <row r="86870">
      <c r="A86870" s="1" t="n">
        <v>86869</v>
      </c>
      <c r="B86870">
        <f>TEXT(86869, "[$-0E0000]yyyy-mm-dd")</f>
        <v/>
      </c>
    </row>
    <row r="86871">
      <c r="A86871" s="1" t="n">
        <v>86870</v>
      </c>
      <c r="B86871">
        <f>TEXT(86870, "[$-0E0000]yyyy-mm-dd")</f>
        <v/>
      </c>
    </row>
    <row r="86872">
      <c r="A86872" s="1" t="n">
        <v>86871</v>
      </c>
      <c r="B86872">
        <f>TEXT(86871, "[$-0E0000]yyyy-mm-dd")</f>
        <v/>
      </c>
    </row>
    <row r="86873">
      <c r="A86873" s="1" t="n">
        <v>86872</v>
      </c>
      <c r="B86873">
        <f>TEXT(86872, "[$-0E0000]yyyy-mm-dd")</f>
        <v/>
      </c>
    </row>
    <row r="86874">
      <c r="A86874" s="1" t="n">
        <v>86873</v>
      </c>
      <c r="B86874">
        <f>TEXT(86873, "[$-0E0000]yyyy-mm-dd")</f>
        <v/>
      </c>
    </row>
    <row r="86875">
      <c r="A86875" s="1" t="n">
        <v>86874</v>
      </c>
      <c r="B86875">
        <f>TEXT(86874, "[$-0E0000]yyyy-mm-dd")</f>
        <v/>
      </c>
    </row>
    <row r="86876">
      <c r="A86876" s="1" t="n">
        <v>86875</v>
      </c>
      <c r="B86876">
        <f>TEXT(86875, "[$-0E0000]yyyy-mm-dd")</f>
        <v/>
      </c>
    </row>
    <row r="86877">
      <c r="A86877" s="1" t="n">
        <v>86876</v>
      </c>
      <c r="B86877">
        <f>TEXT(86876, "[$-0E0000]yyyy-mm-dd")</f>
        <v/>
      </c>
    </row>
    <row r="86878">
      <c r="A86878" s="1" t="n">
        <v>86877</v>
      </c>
      <c r="B86878">
        <f>TEXT(86877, "[$-0E0000]yyyy-mm-dd")</f>
        <v/>
      </c>
    </row>
    <row r="86879">
      <c r="A86879" s="1" t="n">
        <v>86878</v>
      </c>
      <c r="B86879">
        <f>TEXT(86878, "[$-0E0000]yyyy-mm-dd")</f>
        <v/>
      </c>
    </row>
    <row r="86880">
      <c r="A86880" s="1" t="n">
        <v>86879</v>
      </c>
      <c r="B86880">
        <f>TEXT(86879, "[$-0E0000]yyyy-mm-dd")</f>
        <v/>
      </c>
    </row>
    <row r="86881">
      <c r="A86881" s="1" t="n">
        <v>86880</v>
      </c>
      <c r="B86881">
        <f>TEXT(86880, "[$-0E0000]yyyy-mm-dd")</f>
        <v/>
      </c>
    </row>
    <row r="86882">
      <c r="A86882" s="1" t="n">
        <v>86881</v>
      </c>
      <c r="B86882">
        <f>TEXT(86881, "[$-0E0000]yyyy-mm-dd")</f>
        <v/>
      </c>
    </row>
    <row r="86883">
      <c r="A86883" s="1" t="n">
        <v>86882</v>
      </c>
      <c r="B86883">
        <f>TEXT(86882, "[$-0E0000]yyyy-mm-dd")</f>
        <v/>
      </c>
    </row>
    <row r="86884">
      <c r="A86884" s="1" t="n">
        <v>86883</v>
      </c>
      <c r="B86884">
        <f>TEXT(86883, "[$-0E0000]yyyy-mm-dd")</f>
        <v/>
      </c>
    </row>
    <row r="86885">
      <c r="A86885" s="1" t="n">
        <v>86884</v>
      </c>
      <c r="B86885">
        <f>TEXT(86884, "[$-0E0000]yyyy-mm-dd")</f>
        <v/>
      </c>
    </row>
    <row r="86886">
      <c r="A86886" s="1" t="n">
        <v>86885</v>
      </c>
      <c r="B86886">
        <f>TEXT(86885, "[$-0E0000]yyyy-mm-dd")</f>
        <v/>
      </c>
    </row>
    <row r="86887">
      <c r="A86887" s="1" t="n">
        <v>86886</v>
      </c>
      <c r="B86887">
        <f>TEXT(86886, "[$-0E0000]yyyy-mm-dd")</f>
        <v/>
      </c>
    </row>
    <row r="86888">
      <c r="A86888" s="1" t="n">
        <v>86887</v>
      </c>
      <c r="B86888">
        <f>TEXT(86887, "[$-0E0000]yyyy-mm-dd")</f>
        <v/>
      </c>
    </row>
    <row r="86889">
      <c r="A86889" s="1" t="n">
        <v>86888</v>
      </c>
      <c r="B86889">
        <f>TEXT(86888, "[$-0E0000]yyyy-mm-dd")</f>
        <v/>
      </c>
    </row>
    <row r="86890">
      <c r="A86890" s="1" t="n">
        <v>86889</v>
      </c>
      <c r="B86890">
        <f>TEXT(86889, "[$-0E0000]yyyy-mm-dd")</f>
        <v/>
      </c>
    </row>
    <row r="86891">
      <c r="A86891" s="1" t="n">
        <v>86890</v>
      </c>
      <c r="B86891">
        <f>TEXT(86890, "[$-0E0000]yyyy-mm-dd")</f>
        <v/>
      </c>
    </row>
    <row r="86892">
      <c r="A86892" s="1" t="n">
        <v>86891</v>
      </c>
      <c r="B86892">
        <f>TEXT(86891, "[$-0E0000]yyyy-mm-dd")</f>
        <v/>
      </c>
    </row>
    <row r="86893">
      <c r="A86893" s="1" t="n">
        <v>86892</v>
      </c>
      <c r="B86893">
        <f>TEXT(86892, "[$-0E0000]yyyy-mm-dd")</f>
        <v/>
      </c>
    </row>
    <row r="86894">
      <c r="A86894" s="1" t="n">
        <v>86893</v>
      </c>
      <c r="B86894">
        <f>TEXT(86893, "[$-0E0000]yyyy-mm-dd")</f>
        <v/>
      </c>
    </row>
    <row r="86895">
      <c r="A86895" s="1" t="n">
        <v>86894</v>
      </c>
      <c r="B86895">
        <f>TEXT(86894, "[$-0E0000]yyyy-mm-dd")</f>
        <v/>
      </c>
    </row>
    <row r="86896">
      <c r="A86896" s="1" t="n">
        <v>86895</v>
      </c>
      <c r="B86896">
        <f>TEXT(86895, "[$-0E0000]yyyy-mm-dd")</f>
        <v/>
      </c>
    </row>
    <row r="86897">
      <c r="A86897" s="1" t="n">
        <v>86896</v>
      </c>
      <c r="B86897">
        <f>TEXT(86896, "[$-0E0000]yyyy-mm-dd")</f>
        <v/>
      </c>
    </row>
    <row r="86898">
      <c r="A86898" s="1" t="n">
        <v>86897</v>
      </c>
      <c r="B86898">
        <f>TEXT(86897, "[$-0E0000]yyyy-mm-dd")</f>
        <v/>
      </c>
    </row>
    <row r="86899">
      <c r="A86899" s="1" t="n">
        <v>86898</v>
      </c>
      <c r="B86899">
        <f>TEXT(86898, "[$-0E0000]yyyy-mm-dd")</f>
        <v/>
      </c>
    </row>
    <row r="86900">
      <c r="A86900" s="1" t="n">
        <v>86899</v>
      </c>
      <c r="B86900">
        <f>TEXT(86899, "[$-0E0000]yyyy-mm-dd")</f>
        <v/>
      </c>
    </row>
    <row r="86901">
      <c r="A86901" s="1" t="n">
        <v>86900</v>
      </c>
      <c r="B86901">
        <f>TEXT(86900, "[$-0E0000]yyyy-mm-dd")</f>
        <v/>
      </c>
    </row>
    <row r="86902">
      <c r="A86902" s="1" t="n">
        <v>86901</v>
      </c>
      <c r="B86902">
        <f>TEXT(86901, "[$-0E0000]yyyy-mm-dd")</f>
        <v/>
      </c>
    </row>
    <row r="86903">
      <c r="A86903" s="1" t="n">
        <v>86902</v>
      </c>
      <c r="B86903">
        <f>TEXT(86902, "[$-0E0000]yyyy-mm-dd")</f>
        <v/>
      </c>
    </row>
    <row r="86904">
      <c r="A86904" s="1" t="n">
        <v>86903</v>
      </c>
      <c r="B86904">
        <f>TEXT(86903, "[$-0E0000]yyyy-mm-dd")</f>
        <v/>
      </c>
    </row>
    <row r="86905">
      <c r="A86905" s="1" t="n">
        <v>86904</v>
      </c>
      <c r="B86905">
        <f>TEXT(86904, "[$-0E0000]yyyy-mm-dd")</f>
        <v/>
      </c>
    </row>
    <row r="86906">
      <c r="A86906" s="1" t="n">
        <v>86905</v>
      </c>
      <c r="B86906">
        <f>TEXT(86905, "[$-0E0000]yyyy-mm-dd")</f>
        <v/>
      </c>
    </row>
    <row r="86907">
      <c r="A86907" s="1" t="n">
        <v>86906</v>
      </c>
      <c r="B86907">
        <f>TEXT(86906, "[$-0E0000]yyyy-mm-dd")</f>
        <v/>
      </c>
    </row>
    <row r="86908">
      <c r="A86908" s="1" t="n">
        <v>86907</v>
      </c>
      <c r="B86908">
        <f>TEXT(86907, "[$-0E0000]yyyy-mm-dd")</f>
        <v/>
      </c>
    </row>
    <row r="86909">
      <c r="A86909" s="1" t="n">
        <v>86908</v>
      </c>
      <c r="B86909">
        <f>TEXT(86908, "[$-0E0000]yyyy-mm-dd")</f>
        <v/>
      </c>
    </row>
    <row r="86910">
      <c r="A86910" s="1" t="n">
        <v>86909</v>
      </c>
      <c r="B86910">
        <f>TEXT(86909, "[$-0E0000]yyyy-mm-dd")</f>
        <v/>
      </c>
    </row>
    <row r="86911">
      <c r="A86911" s="1" t="n">
        <v>86910</v>
      </c>
      <c r="B86911">
        <f>TEXT(86910, "[$-0E0000]yyyy-mm-dd")</f>
        <v/>
      </c>
    </row>
    <row r="86912">
      <c r="A86912" s="1" t="n">
        <v>86911</v>
      </c>
      <c r="B86912">
        <f>TEXT(86911, "[$-0E0000]yyyy-mm-dd")</f>
        <v/>
      </c>
    </row>
    <row r="86913">
      <c r="A86913" s="1" t="n">
        <v>86912</v>
      </c>
      <c r="B86913">
        <f>TEXT(86912, "[$-0E0000]yyyy-mm-dd")</f>
        <v/>
      </c>
    </row>
    <row r="86914">
      <c r="A86914" s="1" t="n">
        <v>86913</v>
      </c>
      <c r="B86914">
        <f>TEXT(86913, "[$-0E0000]yyyy-mm-dd")</f>
        <v/>
      </c>
    </row>
    <row r="86915">
      <c r="A86915" s="1" t="n">
        <v>86914</v>
      </c>
      <c r="B86915">
        <f>TEXT(86914, "[$-0E0000]yyyy-mm-dd")</f>
        <v/>
      </c>
    </row>
    <row r="86916">
      <c r="A86916" s="1" t="n">
        <v>86915</v>
      </c>
      <c r="B86916">
        <f>TEXT(86915, "[$-0E0000]yyyy-mm-dd")</f>
        <v/>
      </c>
    </row>
    <row r="86917">
      <c r="A86917" s="1" t="n">
        <v>86916</v>
      </c>
      <c r="B86917">
        <f>TEXT(86916, "[$-0E0000]yyyy-mm-dd")</f>
        <v/>
      </c>
    </row>
    <row r="86918">
      <c r="A86918" s="1" t="n">
        <v>86917</v>
      </c>
      <c r="B86918">
        <f>TEXT(86917, "[$-0E0000]yyyy-mm-dd")</f>
        <v/>
      </c>
    </row>
    <row r="86919">
      <c r="A86919" s="1" t="n">
        <v>86918</v>
      </c>
      <c r="B86919">
        <f>TEXT(86918, "[$-0E0000]yyyy-mm-dd")</f>
        <v/>
      </c>
    </row>
    <row r="86920">
      <c r="A86920" s="1" t="n">
        <v>86919</v>
      </c>
      <c r="B86920">
        <f>TEXT(86919, "[$-0E0000]yyyy-mm-dd")</f>
        <v/>
      </c>
    </row>
    <row r="86921">
      <c r="A86921" s="1" t="n">
        <v>86920</v>
      </c>
      <c r="B86921">
        <f>TEXT(86920, "[$-0E0000]yyyy-mm-dd")</f>
        <v/>
      </c>
    </row>
    <row r="86922">
      <c r="A86922" s="1" t="n">
        <v>86921</v>
      </c>
      <c r="B86922">
        <f>TEXT(86921, "[$-0E0000]yyyy-mm-dd")</f>
        <v/>
      </c>
    </row>
    <row r="86923">
      <c r="A86923" s="1" t="n">
        <v>86922</v>
      </c>
      <c r="B86923">
        <f>TEXT(86922, "[$-0E0000]yyyy-mm-dd")</f>
        <v/>
      </c>
    </row>
    <row r="86924">
      <c r="A86924" s="1" t="n">
        <v>86923</v>
      </c>
      <c r="B86924">
        <f>TEXT(86923, "[$-0E0000]yyyy-mm-dd")</f>
        <v/>
      </c>
    </row>
    <row r="86925">
      <c r="A86925" s="1" t="n">
        <v>86924</v>
      </c>
      <c r="B86925">
        <f>TEXT(86924, "[$-0E0000]yyyy-mm-dd")</f>
        <v/>
      </c>
    </row>
    <row r="86926">
      <c r="A86926" s="1" t="n">
        <v>86925</v>
      </c>
      <c r="B86926">
        <f>TEXT(86925, "[$-0E0000]yyyy-mm-dd")</f>
        <v/>
      </c>
    </row>
    <row r="86927">
      <c r="A86927" s="1" t="n">
        <v>86926</v>
      </c>
      <c r="B86927">
        <f>TEXT(86926, "[$-0E0000]yyyy-mm-dd")</f>
        <v/>
      </c>
    </row>
    <row r="86928">
      <c r="A86928" s="1" t="n">
        <v>86927</v>
      </c>
      <c r="B86928">
        <f>TEXT(86927, "[$-0E0000]yyyy-mm-dd")</f>
        <v/>
      </c>
    </row>
    <row r="86929">
      <c r="A86929" s="1" t="n">
        <v>86928</v>
      </c>
      <c r="B86929">
        <f>TEXT(86928, "[$-0E0000]yyyy-mm-dd")</f>
        <v/>
      </c>
    </row>
    <row r="86930">
      <c r="A86930" s="1" t="n">
        <v>86929</v>
      </c>
      <c r="B86930">
        <f>TEXT(86929, "[$-0E0000]yyyy-mm-dd")</f>
        <v/>
      </c>
    </row>
    <row r="86931">
      <c r="A86931" s="1" t="n">
        <v>86930</v>
      </c>
      <c r="B86931">
        <f>TEXT(86930, "[$-0E0000]yyyy-mm-dd")</f>
        <v/>
      </c>
    </row>
    <row r="86932">
      <c r="A86932" s="1" t="n">
        <v>86931</v>
      </c>
      <c r="B86932">
        <f>TEXT(86931, "[$-0E0000]yyyy-mm-dd")</f>
        <v/>
      </c>
    </row>
    <row r="86933">
      <c r="A86933" s="1" t="n">
        <v>86932</v>
      </c>
      <c r="B86933">
        <f>TEXT(86932, "[$-0E0000]yyyy-mm-dd")</f>
        <v/>
      </c>
    </row>
    <row r="86934">
      <c r="A86934" s="1" t="n">
        <v>86933</v>
      </c>
      <c r="B86934">
        <f>TEXT(86933, "[$-0E0000]yyyy-mm-dd")</f>
        <v/>
      </c>
    </row>
    <row r="86935">
      <c r="A86935" s="1" t="n">
        <v>86934</v>
      </c>
      <c r="B86935">
        <f>TEXT(86934, "[$-0E0000]yyyy-mm-dd")</f>
        <v/>
      </c>
    </row>
    <row r="86936">
      <c r="A86936" s="1" t="n">
        <v>86935</v>
      </c>
      <c r="B86936">
        <f>TEXT(86935, "[$-0E0000]yyyy-mm-dd")</f>
        <v/>
      </c>
    </row>
    <row r="86937">
      <c r="A86937" s="1" t="n">
        <v>86936</v>
      </c>
      <c r="B86937">
        <f>TEXT(86936, "[$-0E0000]yyyy-mm-dd")</f>
        <v/>
      </c>
    </row>
    <row r="86938">
      <c r="A86938" s="1" t="n">
        <v>86937</v>
      </c>
      <c r="B86938">
        <f>TEXT(86937, "[$-0E0000]yyyy-mm-dd")</f>
        <v/>
      </c>
    </row>
    <row r="86939">
      <c r="A86939" s="1" t="n">
        <v>86938</v>
      </c>
      <c r="B86939">
        <f>TEXT(86938, "[$-0E0000]yyyy-mm-dd")</f>
        <v/>
      </c>
    </row>
    <row r="86940">
      <c r="A86940" s="1" t="n">
        <v>86939</v>
      </c>
      <c r="B86940">
        <f>TEXT(86939, "[$-0E0000]yyyy-mm-dd")</f>
        <v/>
      </c>
    </row>
    <row r="86941">
      <c r="A86941" s="1" t="n">
        <v>86940</v>
      </c>
      <c r="B86941">
        <f>TEXT(86940, "[$-0E0000]yyyy-mm-dd")</f>
        <v/>
      </c>
    </row>
    <row r="86942">
      <c r="A86942" s="1" t="n">
        <v>86941</v>
      </c>
      <c r="B86942">
        <f>TEXT(86941, "[$-0E0000]yyyy-mm-dd")</f>
        <v/>
      </c>
    </row>
    <row r="86943">
      <c r="A86943" s="1" t="n">
        <v>86942</v>
      </c>
      <c r="B86943">
        <f>TEXT(86942, "[$-0E0000]yyyy-mm-dd")</f>
        <v/>
      </c>
    </row>
    <row r="86944">
      <c r="A86944" s="1" t="n">
        <v>86943</v>
      </c>
      <c r="B86944">
        <f>TEXT(86943, "[$-0E0000]yyyy-mm-dd")</f>
        <v/>
      </c>
    </row>
    <row r="86945">
      <c r="A86945" s="1" t="n">
        <v>86944</v>
      </c>
      <c r="B86945">
        <f>TEXT(86944, "[$-0E0000]yyyy-mm-dd")</f>
        <v/>
      </c>
    </row>
    <row r="86946">
      <c r="A86946" s="1" t="n">
        <v>86945</v>
      </c>
      <c r="B86946">
        <f>TEXT(86945, "[$-0E0000]yyyy-mm-dd")</f>
        <v/>
      </c>
    </row>
    <row r="86947">
      <c r="A86947" s="1" t="n">
        <v>86946</v>
      </c>
      <c r="B86947">
        <f>TEXT(86946, "[$-0E0000]yyyy-mm-dd")</f>
        <v/>
      </c>
    </row>
    <row r="86948">
      <c r="A86948" s="1" t="n">
        <v>86947</v>
      </c>
      <c r="B86948">
        <f>TEXT(86947, "[$-0E0000]yyyy-mm-dd")</f>
        <v/>
      </c>
    </row>
    <row r="86949">
      <c r="A86949" s="1" t="n">
        <v>86948</v>
      </c>
      <c r="B86949">
        <f>TEXT(86948, "[$-0E0000]yyyy-mm-dd")</f>
        <v/>
      </c>
    </row>
    <row r="86950">
      <c r="A86950" s="1" t="n">
        <v>86949</v>
      </c>
      <c r="B86950">
        <f>TEXT(86949, "[$-0E0000]yyyy-mm-dd")</f>
        <v/>
      </c>
    </row>
    <row r="86951">
      <c r="A86951" s="1" t="n">
        <v>86950</v>
      </c>
      <c r="B86951">
        <f>TEXT(86950, "[$-0E0000]yyyy-mm-dd")</f>
        <v/>
      </c>
    </row>
    <row r="86952">
      <c r="A86952" s="1" t="n">
        <v>86951</v>
      </c>
      <c r="B86952">
        <f>TEXT(86951, "[$-0E0000]yyyy-mm-dd")</f>
        <v/>
      </c>
    </row>
    <row r="86953">
      <c r="A86953" s="1" t="n">
        <v>86952</v>
      </c>
      <c r="B86953">
        <f>TEXT(86952, "[$-0E0000]yyyy-mm-dd")</f>
        <v/>
      </c>
    </row>
    <row r="86954">
      <c r="A86954" s="1" t="n">
        <v>86953</v>
      </c>
      <c r="B86954">
        <f>TEXT(86953, "[$-0E0000]yyyy-mm-dd")</f>
        <v/>
      </c>
    </row>
    <row r="86955">
      <c r="A86955" s="1" t="n">
        <v>86954</v>
      </c>
      <c r="B86955">
        <f>TEXT(86954, "[$-0E0000]yyyy-mm-dd")</f>
        <v/>
      </c>
    </row>
    <row r="86956">
      <c r="A86956" s="1" t="n">
        <v>86955</v>
      </c>
      <c r="B86956">
        <f>TEXT(86955, "[$-0E0000]yyyy-mm-dd")</f>
        <v/>
      </c>
    </row>
    <row r="86957">
      <c r="A86957" s="1" t="n">
        <v>86956</v>
      </c>
      <c r="B86957">
        <f>TEXT(86956, "[$-0E0000]yyyy-mm-dd")</f>
        <v/>
      </c>
    </row>
    <row r="86958">
      <c r="A86958" s="1" t="n">
        <v>86957</v>
      </c>
      <c r="B86958">
        <f>TEXT(86957, "[$-0E0000]yyyy-mm-dd")</f>
        <v/>
      </c>
    </row>
    <row r="86959">
      <c r="A86959" s="1" t="n">
        <v>86958</v>
      </c>
      <c r="B86959">
        <f>TEXT(86958, "[$-0E0000]yyyy-mm-dd")</f>
        <v/>
      </c>
    </row>
    <row r="86960">
      <c r="A86960" s="1" t="n">
        <v>86959</v>
      </c>
      <c r="B86960">
        <f>TEXT(86959, "[$-0E0000]yyyy-mm-dd")</f>
        <v/>
      </c>
    </row>
    <row r="86961">
      <c r="A86961" s="1" t="n">
        <v>86960</v>
      </c>
      <c r="B86961">
        <f>TEXT(86960, "[$-0E0000]yyyy-mm-dd")</f>
        <v/>
      </c>
    </row>
    <row r="86962">
      <c r="A86962" s="1" t="n">
        <v>86961</v>
      </c>
      <c r="B86962">
        <f>TEXT(86961, "[$-0E0000]yyyy-mm-dd")</f>
        <v/>
      </c>
    </row>
    <row r="86963">
      <c r="A86963" s="1" t="n">
        <v>86962</v>
      </c>
      <c r="B86963">
        <f>TEXT(86962, "[$-0E0000]yyyy-mm-dd")</f>
        <v/>
      </c>
    </row>
    <row r="86964">
      <c r="A86964" s="1" t="n">
        <v>86963</v>
      </c>
      <c r="B86964">
        <f>TEXT(86963, "[$-0E0000]yyyy-mm-dd")</f>
        <v/>
      </c>
    </row>
    <row r="86965">
      <c r="A86965" s="1" t="n">
        <v>86964</v>
      </c>
      <c r="B86965">
        <f>TEXT(86964, "[$-0E0000]yyyy-mm-dd")</f>
        <v/>
      </c>
    </row>
    <row r="86966">
      <c r="A86966" s="1" t="n">
        <v>86965</v>
      </c>
      <c r="B86966">
        <f>TEXT(86965, "[$-0E0000]yyyy-mm-dd")</f>
        <v/>
      </c>
    </row>
    <row r="86967">
      <c r="A86967" s="1" t="n">
        <v>86966</v>
      </c>
      <c r="B86967">
        <f>TEXT(86966, "[$-0E0000]yyyy-mm-dd")</f>
        <v/>
      </c>
    </row>
    <row r="86968">
      <c r="A86968" s="1" t="n">
        <v>86967</v>
      </c>
      <c r="B86968">
        <f>TEXT(86967, "[$-0E0000]yyyy-mm-dd")</f>
        <v/>
      </c>
    </row>
    <row r="86969">
      <c r="A86969" s="1" t="n">
        <v>86968</v>
      </c>
      <c r="B86969">
        <f>TEXT(86968, "[$-0E0000]yyyy-mm-dd")</f>
        <v/>
      </c>
    </row>
    <row r="86970">
      <c r="A86970" s="1" t="n">
        <v>86969</v>
      </c>
      <c r="B86970">
        <f>TEXT(86969, "[$-0E0000]yyyy-mm-dd")</f>
        <v/>
      </c>
    </row>
    <row r="86971">
      <c r="A86971" s="1" t="n">
        <v>86970</v>
      </c>
      <c r="B86971">
        <f>TEXT(86970, "[$-0E0000]yyyy-mm-dd")</f>
        <v/>
      </c>
    </row>
    <row r="86972">
      <c r="A86972" s="1" t="n">
        <v>86971</v>
      </c>
      <c r="B86972">
        <f>TEXT(86971, "[$-0E0000]yyyy-mm-dd")</f>
        <v/>
      </c>
    </row>
    <row r="86973">
      <c r="A86973" s="1" t="n">
        <v>86972</v>
      </c>
      <c r="B86973">
        <f>TEXT(86972, "[$-0E0000]yyyy-mm-dd")</f>
        <v/>
      </c>
    </row>
    <row r="86974">
      <c r="A86974" s="1" t="n">
        <v>86973</v>
      </c>
      <c r="B86974">
        <f>TEXT(86973, "[$-0E0000]yyyy-mm-dd")</f>
        <v/>
      </c>
    </row>
    <row r="86975">
      <c r="A86975" s="1" t="n">
        <v>86974</v>
      </c>
      <c r="B86975">
        <f>TEXT(86974, "[$-0E0000]yyyy-mm-dd")</f>
        <v/>
      </c>
    </row>
    <row r="86976">
      <c r="A86976" s="1" t="n">
        <v>86975</v>
      </c>
      <c r="B86976">
        <f>TEXT(86975, "[$-0E0000]yyyy-mm-dd")</f>
        <v/>
      </c>
    </row>
    <row r="86977">
      <c r="A86977" s="1" t="n">
        <v>86976</v>
      </c>
      <c r="B86977">
        <f>TEXT(86976, "[$-0E0000]yyyy-mm-dd")</f>
        <v/>
      </c>
    </row>
    <row r="86978">
      <c r="A86978" s="1" t="n">
        <v>86977</v>
      </c>
      <c r="B86978">
        <f>TEXT(86977, "[$-0E0000]yyyy-mm-dd")</f>
        <v/>
      </c>
    </row>
    <row r="86979">
      <c r="A86979" s="1" t="n">
        <v>86978</v>
      </c>
      <c r="B86979">
        <f>TEXT(86978, "[$-0E0000]yyyy-mm-dd")</f>
        <v/>
      </c>
    </row>
    <row r="86980">
      <c r="A86980" s="1" t="n">
        <v>86979</v>
      </c>
      <c r="B86980">
        <f>TEXT(86979, "[$-0E0000]yyyy-mm-dd")</f>
        <v/>
      </c>
    </row>
    <row r="86981">
      <c r="A86981" s="1" t="n">
        <v>86980</v>
      </c>
      <c r="B86981">
        <f>TEXT(86980, "[$-0E0000]yyyy-mm-dd")</f>
        <v/>
      </c>
    </row>
    <row r="86982">
      <c r="A86982" s="1" t="n">
        <v>86981</v>
      </c>
      <c r="B86982">
        <f>TEXT(86981, "[$-0E0000]yyyy-mm-dd")</f>
        <v/>
      </c>
    </row>
    <row r="86983">
      <c r="A86983" s="1" t="n">
        <v>86982</v>
      </c>
      <c r="B86983">
        <f>TEXT(86982, "[$-0E0000]yyyy-mm-dd")</f>
        <v/>
      </c>
    </row>
    <row r="86984">
      <c r="A86984" s="1" t="n">
        <v>86983</v>
      </c>
      <c r="B86984">
        <f>TEXT(86983, "[$-0E0000]yyyy-mm-dd")</f>
        <v/>
      </c>
    </row>
    <row r="86985">
      <c r="A86985" s="1" t="n">
        <v>86984</v>
      </c>
      <c r="B86985">
        <f>TEXT(86984, "[$-0E0000]yyyy-mm-dd")</f>
        <v/>
      </c>
    </row>
    <row r="86986">
      <c r="A86986" s="1" t="n">
        <v>86985</v>
      </c>
      <c r="B86986">
        <f>TEXT(86985, "[$-0E0000]yyyy-mm-dd")</f>
        <v/>
      </c>
    </row>
    <row r="86987">
      <c r="A86987" s="1" t="n">
        <v>86986</v>
      </c>
      <c r="B86987">
        <f>TEXT(86986, "[$-0E0000]yyyy-mm-dd")</f>
        <v/>
      </c>
    </row>
    <row r="86988">
      <c r="A86988" s="1" t="n">
        <v>86987</v>
      </c>
      <c r="B86988">
        <f>TEXT(86987, "[$-0E0000]yyyy-mm-dd")</f>
        <v/>
      </c>
    </row>
    <row r="86989">
      <c r="A86989" s="1" t="n">
        <v>86988</v>
      </c>
      <c r="B86989">
        <f>TEXT(86988, "[$-0E0000]yyyy-mm-dd")</f>
        <v/>
      </c>
    </row>
    <row r="86990">
      <c r="A86990" s="1" t="n">
        <v>86989</v>
      </c>
      <c r="B86990">
        <f>TEXT(86989, "[$-0E0000]yyyy-mm-dd")</f>
        <v/>
      </c>
    </row>
    <row r="86991">
      <c r="A86991" s="1" t="n">
        <v>86990</v>
      </c>
      <c r="B86991">
        <f>TEXT(86990, "[$-0E0000]yyyy-mm-dd")</f>
        <v/>
      </c>
    </row>
    <row r="86992">
      <c r="A86992" s="1" t="n">
        <v>86991</v>
      </c>
      <c r="B86992">
        <f>TEXT(86991, "[$-0E0000]yyyy-mm-dd")</f>
        <v/>
      </c>
    </row>
    <row r="86993">
      <c r="A86993" s="1" t="n">
        <v>86992</v>
      </c>
      <c r="B86993">
        <f>TEXT(86992, "[$-0E0000]yyyy-mm-dd")</f>
        <v/>
      </c>
    </row>
    <row r="86994">
      <c r="A86994" s="1" t="n">
        <v>86993</v>
      </c>
      <c r="B86994">
        <f>TEXT(86993, "[$-0E0000]yyyy-mm-dd")</f>
        <v/>
      </c>
    </row>
    <row r="86995">
      <c r="A86995" s="1" t="n">
        <v>86994</v>
      </c>
      <c r="B86995">
        <f>TEXT(86994, "[$-0E0000]yyyy-mm-dd")</f>
        <v/>
      </c>
    </row>
    <row r="86996">
      <c r="A86996" s="1" t="n">
        <v>86995</v>
      </c>
      <c r="B86996">
        <f>TEXT(86995, "[$-0E0000]yyyy-mm-dd")</f>
        <v/>
      </c>
    </row>
    <row r="86997">
      <c r="A86997" s="1" t="n">
        <v>86996</v>
      </c>
      <c r="B86997">
        <f>TEXT(86996, "[$-0E0000]yyyy-mm-dd")</f>
        <v/>
      </c>
    </row>
    <row r="86998">
      <c r="A86998" s="1" t="n">
        <v>86997</v>
      </c>
      <c r="B86998">
        <f>TEXT(86997, "[$-0E0000]yyyy-mm-dd")</f>
        <v/>
      </c>
    </row>
    <row r="86999">
      <c r="A86999" s="1" t="n">
        <v>86998</v>
      </c>
      <c r="B86999">
        <f>TEXT(86998, "[$-0E0000]yyyy-mm-dd")</f>
        <v/>
      </c>
    </row>
    <row r="87000">
      <c r="A87000" s="1" t="n">
        <v>86999</v>
      </c>
      <c r="B87000">
        <f>TEXT(86999, "[$-0E0000]yyyy-mm-dd")</f>
        <v/>
      </c>
    </row>
    <row r="87001">
      <c r="A87001" s="1" t="n">
        <v>87000</v>
      </c>
      <c r="B87001">
        <f>TEXT(87000, "[$-0E0000]yyyy-mm-dd")</f>
        <v/>
      </c>
    </row>
    <row r="87002">
      <c r="A87002" s="1" t="n">
        <v>87001</v>
      </c>
      <c r="B87002">
        <f>TEXT(87001, "[$-0E0000]yyyy-mm-dd")</f>
        <v/>
      </c>
    </row>
    <row r="87003">
      <c r="A87003" s="1" t="n">
        <v>87002</v>
      </c>
      <c r="B87003">
        <f>TEXT(87002, "[$-0E0000]yyyy-mm-dd")</f>
        <v/>
      </c>
    </row>
    <row r="87004">
      <c r="A87004" s="1" t="n">
        <v>87003</v>
      </c>
      <c r="B87004">
        <f>TEXT(87003, "[$-0E0000]yyyy-mm-dd")</f>
        <v/>
      </c>
    </row>
    <row r="87005">
      <c r="A87005" s="1" t="n">
        <v>87004</v>
      </c>
      <c r="B87005">
        <f>TEXT(87004, "[$-0E0000]yyyy-mm-dd")</f>
        <v/>
      </c>
    </row>
    <row r="87006">
      <c r="A87006" s="1" t="n">
        <v>87005</v>
      </c>
      <c r="B87006">
        <f>TEXT(87005, "[$-0E0000]yyyy-mm-dd")</f>
        <v/>
      </c>
    </row>
    <row r="87007">
      <c r="A87007" s="1" t="n">
        <v>87006</v>
      </c>
      <c r="B87007">
        <f>TEXT(87006, "[$-0E0000]yyyy-mm-dd")</f>
        <v/>
      </c>
    </row>
    <row r="87008">
      <c r="A87008" s="1" t="n">
        <v>87007</v>
      </c>
      <c r="B87008">
        <f>TEXT(87007, "[$-0E0000]yyyy-mm-dd")</f>
        <v/>
      </c>
    </row>
    <row r="87009">
      <c r="A87009" s="1" t="n">
        <v>87008</v>
      </c>
      <c r="B87009">
        <f>TEXT(87008, "[$-0E0000]yyyy-mm-dd")</f>
        <v/>
      </c>
    </row>
    <row r="87010">
      <c r="A87010" s="1" t="n">
        <v>87009</v>
      </c>
      <c r="B87010">
        <f>TEXT(87009, "[$-0E0000]yyyy-mm-dd")</f>
        <v/>
      </c>
    </row>
    <row r="87011">
      <c r="A87011" s="1" t="n">
        <v>87010</v>
      </c>
      <c r="B87011">
        <f>TEXT(87010, "[$-0E0000]yyyy-mm-dd")</f>
        <v/>
      </c>
    </row>
    <row r="87012">
      <c r="A87012" s="1" t="n">
        <v>87011</v>
      </c>
      <c r="B87012">
        <f>TEXT(87011, "[$-0E0000]yyyy-mm-dd")</f>
        <v/>
      </c>
    </row>
    <row r="87013">
      <c r="A87013" s="1" t="n">
        <v>87012</v>
      </c>
      <c r="B87013">
        <f>TEXT(87012, "[$-0E0000]yyyy-mm-dd")</f>
        <v/>
      </c>
    </row>
    <row r="87014">
      <c r="A87014" s="1" t="n">
        <v>87013</v>
      </c>
      <c r="B87014">
        <f>TEXT(87013, "[$-0E0000]yyyy-mm-dd")</f>
        <v/>
      </c>
    </row>
    <row r="87015">
      <c r="A87015" s="1" t="n">
        <v>87014</v>
      </c>
      <c r="B87015">
        <f>TEXT(87014, "[$-0E0000]yyyy-mm-dd")</f>
        <v/>
      </c>
    </row>
    <row r="87016">
      <c r="A87016" s="1" t="n">
        <v>87015</v>
      </c>
      <c r="B87016">
        <f>TEXT(87015, "[$-0E0000]yyyy-mm-dd")</f>
        <v/>
      </c>
    </row>
    <row r="87017">
      <c r="A87017" s="1" t="n">
        <v>87016</v>
      </c>
      <c r="B87017">
        <f>TEXT(87016, "[$-0E0000]yyyy-mm-dd")</f>
        <v/>
      </c>
    </row>
    <row r="87018">
      <c r="A87018" s="1" t="n">
        <v>87017</v>
      </c>
      <c r="B87018">
        <f>TEXT(87017, "[$-0E0000]yyyy-mm-dd")</f>
        <v/>
      </c>
    </row>
    <row r="87019">
      <c r="A87019" s="1" t="n">
        <v>87018</v>
      </c>
      <c r="B87019">
        <f>TEXT(87018, "[$-0E0000]yyyy-mm-dd")</f>
        <v/>
      </c>
    </row>
    <row r="87020">
      <c r="A87020" s="1" t="n">
        <v>87019</v>
      </c>
      <c r="B87020">
        <f>TEXT(87019, "[$-0E0000]yyyy-mm-dd")</f>
        <v/>
      </c>
    </row>
    <row r="87021">
      <c r="A87021" s="1" t="n">
        <v>87020</v>
      </c>
      <c r="B87021">
        <f>TEXT(87020, "[$-0E0000]yyyy-mm-dd")</f>
        <v/>
      </c>
    </row>
    <row r="87022">
      <c r="A87022" s="1" t="n">
        <v>87021</v>
      </c>
      <c r="B87022">
        <f>TEXT(87021, "[$-0E0000]yyyy-mm-dd")</f>
        <v/>
      </c>
    </row>
    <row r="87023">
      <c r="A87023" s="1" t="n">
        <v>87022</v>
      </c>
      <c r="B87023">
        <f>TEXT(87022, "[$-0E0000]yyyy-mm-dd")</f>
        <v/>
      </c>
    </row>
    <row r="87024">
      <c r="A87024" s="1" t="n">
        <v>87023</v>
      </c>
      <c r="B87024">
        <f>TEXT(87023, "[$-0E0000]yyyy-mm-dd")</f>
        <v/>
      </c>
    </row>
    <row r="87025">
      <c r="A87025" s="1" t="n">
        <v>87024</v>
      </c>
      <c r="B87025">
        <f>TEXT(87024, "[$-0E0000]yyyy-mm-dd")</f>
        <v/>
      </c>
    </row>
    <row r="87026">
      <c r="A87026" s="1" t="n">
        <v>87025</v>
      </c>
      <c r="B87026">
        <f>TEXT(87025, "[$-0E0000]yyyy-mm-dd")</f>
        <v/>
      </c>
    </row>
    <row r="87027">
      <c r="A87027" s="1" t="n">
        <v>87026</v>
      </c>
      <c r="B87027">
        <f>TEXT(87026, "[$-0E0000]yyyy-mm-dd")</f>
        <v/>
      </c>
    </row>
    <row r="87028">
      <c r="A87028" s="1" t="n">
        <v>87027</v>
      </c>
      <c r="B87028">
        <f>TEXT(87027, "[$-0E0000]yyyy-mm-dd")</f>
        <v/>
      </c>
    </row>
    <row r="87029">
      <c r="A87029" s="1" t="n">
        <v>87028</v>
      </c>
      <c r="B87029">
        <f>TEXT(87028, "[$-0E0000]yyyy-mm-dd")</f>
        <v/>
      </c>
    </row>
    <row r="87030">
      <c r="A87030" s="1" t="n">
        <v>87029</v>
      </c>
      <c r="B87030">
        <f>TEXT(87029, "[$-0E0000]yyyy-mm-dd")</f>
        <v/>
      </c>
    </row>
    <row r="87031">
      <c r="A87031" s="1" t="n">
        <v>87030</v>
      </c>
      <c r="B87031">
        <f>TEXT(87030, "[$-0E0000]yyyy-mm-dd")</f>
        <v/>
      </c>
    </row>
    <row r="87032">
      <c r="A87032" s="1" t="n">
        <v>87031</v>
      </c>
      <c r="B87032">
        <f>TEXT(87031, "[$-0E0000]yyyy-mm-dd")</f>
        <v/>
      </c>
    </row>
    <row r="87033">
      <c r="A87033" s="1" t="n">
        <v>87032</v>
      </c>
      <c r="B87033">
        <f>TEXT(87032, "[$-0E0000]yyyy-mm-dd")</f>
        <v/>
      </c>
    </row>
    <row r="87034">
      <c r="A87034" s="1" t="n">
        <v>87033</v>
      </c>
      <c r="B87034">
        <f>TEXT(87033, "[$-0E0000]yyyy-mm-dd")</f>
        <v/>
      </c>
    </row>
    <row r="87035">
      <c r="A87035" s="1" t="n">
        <v>87034</v>
      </c>
      <c r="B87035">
        <f>TEXT(87034, "[$-0E0000]yyyy-mm-dd")</f>
        <v/>
      </c>
    </row>
    <row r="87036">
      <c r="A87036" s="1" t="n">
        <v>87035</v>
      </c>
      <c r="B87036">
        <f>TEXT(87035, "[$-0E0000]yyyy-mm-dd")</f>
        <v/>
      </c>
    </row>
    <row r="87037">
      <c r="A87037" s="1" t="n">
        <v>87036</v>
      </c>
      <c r="B87037">
        <f>TEXT(87036, "[$-0E0000]yyyy-mm-dd")</f>
        <v/>
      </c>
    </row>
    <row r="87038">
      <c r="A87038" s="1" t="n">
        <v>87037</v>
      </c>
      <c r="B87038">
        <f>TEXT(87037, "[$-0E0000]yyyy-mm-dd")</f>
        <v/>
      </c>
    </row>
    <row r="87039">
      <c r="A87039" s="1" t="n">
        <v>87038</v>
      </c>
      <c r="B87039">
        <f>TEXT(87038, "[$-0E0000]yyyy-mm-dd")</f>
        <v/>
      </c>
    </row>
    <row r="87040">
      <c r="A87040" s="1" t="n">
        <v>87039</v>
      </c>
      <c r="B87040">
        <f>TEXT(87039, "[$-0E0000]yyyy-mm-dd")</f>
        <v/>
      </c>
    </row>
    <row r="87041">
      <c r="A87041" s="1" t="n">
        <v>87040</v>
      </c>
      <c r="B87041">
        <f>TEXT(87040, "[$-0E0000]yyyy-mm-dd")</f>
        <v/>
      </c>
    </row>
    <row r="87042">
      <c r="A87042" s="1" t="n">
        <v>87041</v>
      </c>
      <c r="B87042">
        <f>TEXT(87041, "[$-0E0000]yyyy-mm-dd")</f>
        <v/>
      </c>
    </row>
    <row r="87043">
      <c r="A87043" s="1" t="n">
        <v>87042</v>
      </c>
      <c r="B87043">
        <f>TEXT(87042, "[$-0E0000]yyyy-mm-dd")</f>
        <v/>
      </c>
    </row>
    <row r="87044">
      <c r="A87044" s="1" t="n">
        <v>87043</v>
      </c>
      <c r="B87044">
        <f>TEXT(87043, "[$-0E0000]yyyy-mm-dd")</f>
        <v/>
      </c>
    </row>
    <row r="87045">
      <c r="A87045" s="1" t="n">
        <v>87044</v>
      </c>
      <c r="B87045">
        <f>TEXT(87044, "[$-0E0000]yyyy-mm-dd")</f>
        <v/>
      </c>
    </row>
    <row r="87046">
      <c r="A87046" s="1" t="n">
        <v>87045</v>
      </c>
      <c r="B87046">
        <f>TEXT(87045, "[$-0E0000]yyyy-mm-dd")</f>
        <v/>
      </c>
    </row>
    <row r="87047">
      <c r="A87047" s="1" t="n">
        <v>87046</v>
      </c>
      <c r="B87047">
        <f>TEXT(87046, "[$-0E0000]yyyy-mm-dd")</f>
        <v/>
      </c>
    </row>
    <row r="87048">
      <c r="A87048" s="1" t="n">
        <v>87047</v>
      </c>
      <c r="B87048">
        <f>TEXT(87047, "[$-0E0000]yyyy-mm-dd")</f>
        <v/>
      </c>
    </row>
    <row r="87049">
      <c r="A87049" s="1" t="n">
        <v>87048</v>
      </c>
      <c r="B87049">
        <f>TEXT(87048, "[$-0E0000]yyyy-mm-dd")</f>
        <v/>
      </c>
    </row>
    <row r="87050">
      <c r="A87050" s="1" t="n">
        <v>87049</v>
      </c>
      <c r="B87050">
        <f>TEXT(87049, "[$-0E0000]yyyy-mm-dd")</f>
        <v/>
      </c>
    </row>
    <row r="87051">
      <c r="A87051" s="1" t="n">
        <v>87050</v>
      </c>
      <c r="B87051">
        <f>TEXT(87050, "[$-0E0000]yyyy-mm-dd")</f>
        <v/>
      </c>
    </row>
    <row r="87052">
      <c r="A87052" s="1" t="n">
        <v>87051</v>
      </c>
      <c r="B87052">
        <f>TEXT(87051, "[$-0E0000]yyyy-mm-dd")</f>
        <v/>
      </c>
    </row>
    <row r="87053">
      <c r="A87053" s="1" t="n">
        <v>87052</v>
      </c>
      <c r="B87053">
        <f>TEXT(87052, "[$-0E0000]yyyy-mm-dd")</f>
        <v/>
      </c>
    </row>
    <row r="87054">
      <c r="A87054" s="1" t="n">
        <v>87053</v>
      </c>
      <c r="B87054">
        <f>TEXT(87053, "[$-0E0000]yyyy-mm-dd")</f>
        <v/>
      </c>
    </row>
    <row r="87055">
      <c r="A87055" s="1" t="n">
        <v>87054</v>
      </c>
      <c r="B87055">
        <f>TEXT(87054, "[$-0E0000]yyyy-mm-dd")</f>
        <v/>
      </c>
    </row>
    <row r="87056">
      <c r="A87056" s="1" t="n">
        <v>87055</v>
      </c>
      <c r="B87056">
        <f>TEXT(87055, "[$-0E0000]yyyy-mm-dd")</f>
        <v/>
      </c>
    </row>
    <row r="87057">
      <c r="A87057" s="1" t="n">
        <v>87056</v>
      </c>
      <c r="B87057">
        <f>TEXT(87056, "[$-0E0000]yyyy-mm-dd")</f>
        <v/>
      </c>
    </row>
    <row r="87058">
      <c r="A87058" s="1" t="n">
        <v>87057</v>
      </c>
      <c r="B87058">
        <f>TEXT(87057, "[$-0E0000]yyyy-mm-dd")</f>
        <v/>
      </c>
    </row>
    <row r="87059">
      <c r="A87059" s="1" t="n">
        <v>87058</v>
      </c>
      <c r="B87059">
        <f>TEXT(87058, "[$-0E0000]yyyy-mm-dd")</f>
        <v/>
      </c>
    </row>
    <row r="87060">
      <c r="A87060" s="1" t="n">
        <v>87059</v>
      </c>
      <c r="B87060">
        <f>TEXT(87059, "[$-0E0000]yyyy-mm-dd")</f>
        <v/>
      </c>
    </row>
    <row r="87061">
      <c r="A87061" s="1" t="n">
        <v>87060</v>
      </c>
      <c r="B87061">
        <f>TEXT(87060, "[$-0E0000]yyyy-mm-dd")</f>
        <v/>
      </c>
    </row>
    <row r="87062">
      <c r="A87062" s="1" t="n">
        <v>87061</v>
      </c>
      <c r="B87062">
        <f>TEXT(87061, "[$-0E0000]yyyy-mm-dd")</f>
        <v/>
      </c>
    </row>
    <row r="87063">
      <c r="A87063" s="1" t="n">
        <v>87062</v>
      </c>
      <c r="B87063">
        <f>TEXT(87062, "[$-0E0000]yyyy-mm-dd")</f>
        <v/>
      </c>
    </row>
    <row r="87064">
      <c r="A87064" s="1" t="n">
        <v>87063</v>
      </c>
      <c r="B87064">
        <f>TEXT(87063, "[$-0E0000]yyyy-mm-dd")</f>
        <v/>
      </c>
    </row>
    <row r="87065">
      <c r="A87065" s="1" t="n">
        <v>87064</v>
      </c>
      <c r="B87065">
        <f>TEXT(87064, "[$-0E0000]yyyy-mm-dd")</f>
        <v/>
      </c>
    </row>
    <row r="87066">
      <c r="A87066" s="1" t="n">
        <v>87065</v>
      </c>
      <c r="B87066">
        <f>TEXT(87065, "[$-0E0000]yyyy-mm-dd")</f>
        <v/>
      </c>
    </row>
    <row r="87067">
      <c r="A87067" s="1" t="n">
        <v>87066</v>
      </c>
      <c r="B87067">
        <f>TEXT(87066, "[$-0E0000]yyyy-mm-dd")</f>
        <v/>
      </c>
    </row>
    <row r="87068">
      <c r="A87068" s="1" t="n">
        <v>87067</v>
      </c>
      <c r="B87068">
        <f>TEXT(87067, "[$-0E0000]yyyy-mm-dd")</f>
        <v/>
      </c>
    </row>
    <row r="87069">
      <c r="A87069" s="1" t="n">
        <v>87068</v>
      </c>
      <c r="B87069">
        <f>TEXT(87068, "[$-0E0000]yyyy-mm-dd")</f>
        <v/>
      </c>
    </row>
    <row r="87070">
      <c r="A87070" s="1" t="n">
        <v>87069</v>
      </c>
      <c r="B87070">
        <f>TEXT(87069, "[$-0E0000]yyyy-mm-dd")</f>
        <v/>
      </c>
    </row>
    <row r="87071">
      <c r="A87071" s="1" t="n">
        <v>87070</v>
      </c>
      <c r="B87071">
        <f>TEXT(87070, "[$-0E0000]yyyy-mm-dd")</f>
        <v/>
      </c>
    </row>
    <row r="87072">
      <c r="A87072" s="1" t="n">
        <v>87071</v>
      </c>
      <c r="B87072">
        <f>TEXT(87071, "[$-0E0000]yyyy-mm-dd")</f>
        <v/>
      </c>
    </row>
    <row r="87073">
      <c r="A87073" s="1" t="n">
        <v>87072</v>
      </c>
      <c r="B87073">
        <f>TEXT(87072, "[$-0E0000]yyyy-mm-dd")</f>
        <v/>
      </c>
    </row>
    <row r="87074">
      <c r="A87074" s="1" t="n">
        <v>87073</v>
      </c>
      <c r="B87074">
        <f>TEXT(87073, "[$-0E0000]yyyy-mm-dd")</f>
        <v/>
      </c>
    </row>
    <row r="87075">
      <c r="A87075" s="1" t="n">
        <v>87074</v>
      </c>
      <c r="B87075">
        <f>TEXT(87074, "[$-0E0000]yyyy-mm-dd")</f>
        <v/>
      </c>
    </row>
    <row r="87076">
      <c r="A87076" s="1" t="n">
        <v>87075</v>
      </c>
      <c r="B87076">
        <f>TEXT(87075, "[$-0E0000]yyyy-mm-dd")</f>
        <v/>
      </c>
    </row>
    <row r="87077">
      <c r="A87077" s="1" t="n">
        <v>87076</v>
      </c>
      <c r="B87077">
        <f>TEXT(87076, "[$-0E0000]yyyy-mm-dd")</f>
        <v/>
      </c>
    </row>
    <row r="87078">
      <c r="A87078" s="1" t="n">
        <v>87077</v>
      </c>
      <c r="B87078">
        <f>TEXT(87077, "[$-0E0000]yyyy-mm-dd")</f>
        <v/>
      </c>
    </row>
    <row r="87079">
      <c r="A87079" s="1" t="n">
        <v>87078</v>
      </c>
      <c r="B87079">
        <f>TEXT(87078, "[$-0E0000]yyyy-mm-dd")</f>
        <v/>
      </c>
    </row>
    <row r="87080">
      <c r="A87080" s="1" t="n">
        <v>87079</v>
      </c>
      <c r="B87080">
        <f>TEXT(87079, "[$-0E0000]yyyy-mm-dd")</f>
        <v/>
      </c>
    </row>
    <row r="87081">
      <c r="A87081" s="1" t="n">
        <v>87080</v>
      </c>
      <c r="B87081">
        <f>TEXT(87080, "[$-0E0000]yyyy-mm-dd")</f>
        <v/>
      </c>
    </row>
    <row r="87082">
      <c r="A87082" s="1" t="n">
        <v>87081</v>
      </c>
      <c r="B87082">
        <f>TEXT(87081, "[$-0E0000]yyyy-mm-dd")</f>
        <v/>
      </c>
    </row>
    <row r="87083">
      <c r="A87083" s="1" t="n">
        <v>87082</v>
      </c>
      <c r="B87083">
        <f>TEXT(87082, "[$-0E0000]yyyy-mm-dd")</f>
        <v/>
      </c>
    </row>
    <row r="87084">
      <c r="A87084" s="1" t="n">
        <v>87083</v>
      </c>
      <c r="B87084">
        <f>TEXT(87083, "[$-0E0000]yyyy-mm-dd")</f>
        <v/>
      </c>
    </row>
    <row r="87085">
      <c r="A87085" s="1" t="n">
        <v>87084</v>
      </c>
      <c r="B87085">
        <f>TEXT(87084, "[$-0E0000]yyyy-mm-dd")</f>
        <v/>
      </c>
    </row>
    <row r="87086">
      <c r="A87086" s="1" t="n">
        <v>87085</v>
      </c>
      <c r="B87086">
        <f>TEXT(87085, "[$-0E0000]yyyy-mm-dd")</f>
        <v/>
      </c>
    </row>
    <row r="87087">
      <c r="A87087" s="1" t="n">
        <v>87086</v>
      </c>
      <c r="B87087">
        <f>TEXT(87086, "[$-0E0000]yyyy-mm-dd")</f>
        <v/>
      </c>
    </row>
    <row r="87088">
      <c r="A87088" s="1" t="n">
        <v>87087</v>
      </c>
      <c r="B87088">
        <f>TEXT(87087, "[$-0E0000]yyyy-mm-dd")</f>
        <v/>
      </c>
    </row>
    <row r="87089">
      <c r="A87089" s="1" t="n">
        <v>87088</v>
      </c>
      <c r="B87089">
        <f>TEXT(87088, "[$-0E0000]yyyy-mm-dd")</f>
        <v/>
      </c>
    </row>
    <row r="87090">
      <c r="A87090" s="1" t="n">
        <v>87089</v>
      </c>
      <c r="B87090">
        <f>TEXT(87089, "[$-0E0000]yyyy-mm-dd")</f>
        <v/>
      </c>
    </row>
    <row r="87091">
      <c r="A87091" s="1" t="n">
        <v>87090</v>
      </c>
      <c r="B87091">
        <f>TEXT(87090, "[$-0E0000]yyyy-mm-dd")</f>
        <v/>
      </c>
    </row>
    <row r="87092">
      <c r="A87092" s="1" t="n">
        <v>87091</v>
      </c>
      <c r="B87092">
        <f>TEXT(87091, "[$-0E0000]yyyy-mm-dd")</f>
        <v/>
      </c>
    </row>
    <row r="87093">
      <c r="A87093" s="1" t="n">
        <v>87092</v>
      </c>
      <c r="B87093">
        <f>TEXT(87092, "[$-0E0000]yyyy-mm-dd")</f>
        <v/>
      </c>
    </row>
    <row r="87094">
      <c r="A87094" s="1" t="n">
        <v>87093</v>
      </c>
      <c r="B87094">
        <f>TEXT(87093, "[$-0E0000]yyyy-mm-dd")</f>
        <v/>
      </c>
    </row>
    <row r="87095">
      <c r="A87095" s="1" t="n">
        <v>87094</v>
      </c>
      <c r="B87095">
        <f>TEXT(87094, "[$-0E0000]yyyy-mm-dd")</f>
        <v/>
      </c>
    </row>
    <row r="87096">
      <c r="A87096" s="1" t="n">
        <v>87095</v>
      </c>
      <c r="B87096">
        <f>TEXT(87095, "[$-0E0000]yyyy-mm-dd")</f>
        <v/>
      </c>
    </row>
    <row r="87097">
      <c r="A87097" s="1" t="n">
        <v>87096</v>
      </c>
      <c r="B87097">
        <f>TEXT(87096, "[$-0E0000]yyyy-mm-dd")</f>
        <v/>
      </c>
    </row>
    <row r="87098">
      <c r="A87098" s="1" t="n">
        <v>87097</v>
      </c>
      <c r="B87098">
        <f>TEXT(87097, "[$-0E0000]yyyy-mm-dd")</f>
        <v/>
      </c>
    </row>
    <row r="87099">
      <c r="A87099" s="1" t="n">
        <v>87098</v>
      </c>
      <c r="B87099">
        <f>TEXT(87098, "[$-0E0000]yyyy-mm-dd")</f>
        <v/>
      </c>
    </row>
    <row r="87100">
      <c r="A87100" s="1" t="n">
        <v>87099</v>
      </c>
      <c r="B87100">
        <f>TEXT(87099, "[$-0E0000]yyyy-mm-dd")</f>
        <v/>
      </c>
    </row>
    <row r="87101">
      <c r="A87101" s="1" t="n">
        <v>87100</v>
      </c>
      <c r="B87101">
        <f>TEXT(87100, "[$-0E0000]yyyy-mm-dd")</f>
        <v/>
      </c>
    </row>
    <row r="87102">
      <c r="A87102" s="1" t="n">
        <v>87101</v>
      </c>
      <c r="B87102">
        <f>TEXT(87101, "[$-0E0000]yyyy-mm-dd")</f>
        <v/>
      </c>
    </row>
    <row r="87103">
      <c r="A87103" s="1" t="n">
        <v>87102</v>
      </c>
      <c r="B87103">
        <f>TEXT(87102, "[$-0E0000]yyyy-mm-dd")</f>
        <v/>
      </c>
    </row>
    <row r="87104">
      <c r="A87104" s="1" t="n">
        <v>87103</v>
      </c>
      <c r="B87104">
        <f>TEXT(87103, "[$-0E0000]yyyy-mm-dd")</f>
        <v/>
      </c>
    </row>
    <row r="87105">
      <c r="A87105" s="1" t="n">
        <v>87104</v>
      </c>
      <c r="B87105">
        <f>TEXT(87104, "[$-0E0000]yyyy-mm-dd")</f>
        <v/>
      </c>
    </row>
    <row r="87106">
      <c r="A87106" s="1" t="n">
        <v>87105</v>
      </c>
      <c r="B87106">
        <f>TEXT(87105, "[$-0E0000]yyyy-mm-dd")</f>
        <v/>
      </c>
    </row>
    <row r="87107">
      <c r="A87107" s="1" t="n">
        <v>87106</v>
      </c>
      <c r="B87107">
        <f>TEXT(87106, "[$-0E0000]yyyy-mm-dd")</f>
        <v/>
      </c>
    </row>
    <row r="87108">
      <c r="A87108" s="1" t="n">
        <v>87107</v>
      </c>
      <c r="B87108">
        <f>TEXT(87107, "[$-0E0000]yyyy-mm-dd")</f>
        <v/>
      </c>
    </row>
    <row r="87109">
      <c r="A87109" s="1" t="n">
        <v>87108</v>
      </c>
      <c r="B87109">
        <f>TEXT(87108, "[$-0E0000]yyyy-mm-dd")</f>
        <v/>
      </c>
    </row>
    <row r="87110">
      <c r="A87110" s="1" t="n">
        <v>87109</v>
      </c>
      <c r="B87110">
        <f>TEXT(87109, "[$-0E0000]yyyy-mm-dd")</f>
        <v/>
      </c>
    </row>
    <row r="87111">
      <c r="A87111" s="1" t="n">
        <v>87110</v>
      </c>
      <c r="B87111">
        <f>TEXT(87110, "[$-0E0000]yyyy-mm-dd")</f>
        <v/>
      </c>
    </row>
    <row r="87112">
      <c r="A87112" s="1" t="n">
        <v>87111</v>
      </c>
      <c r="B87112">
        <f>TEXT(87111, "[$-0E0000]yyyy-mm-dd")</f>
        <v/>
      </c>
    </row>
    <row r="87113">
      <c r="A87113" s="1" t="n">
        <v>87112</v>
      </c>
      <c r="B87113">
        <f>TEXT(87112, "[$-0E0000]yyyy-mm-dd")</f>
        <v/>
      </c>
    </row>
    <row r="87114">
      <c r="A87114" s="1" t="n">
        <v>87113</v>
      </c>
      <c r="B87114">
        <f>TEXT(87113, "[$-0E0000]yyyy-mm-dd")</f>
        <v/>
      </c>
    </row>
    <row r="87115">
      <c r="A87115" s="1" t="n">
        <v>87114</v>
      </c>
      <c r="B87115">
        <f>TEXT(87114, "[$-0E0000]yyyy-mm-dd")</f>
        <v/>
      </c>
    </row>
    <row r="87116">
      <c r="A87116" s="1" t="n">
        <v>87115</v>
      </c>
      <c r="B87116">
        <f>TEXT(87115, "[$-0E0000]yyyy-mm-dd")</f>
        <v/>
      </c>
    </row>
    <row r="87117">
      <c r="A87117" s="1" t="n">
        <v>87116</v>
      </c>
      <c r="B87117">
        <f>TEXT(87116, "[$-0E0000]yyyy-mm-dd")</f>
        <v/>
      </c>
    </row>
    <row r="87118">
      <c r="A87118" s="1" t="n">
        <v>87117</v>
      </c>
      <c r="B87118">
        <f>TEXT(87117, "[$-0E0000]yyyy-mm-dd")</f>
        <v/>
      </c>
    </row>
    <row r="87119">
      <c r="A87119" s="1" t="n">
        <v>87118</v>
      </c>
      <c r="B87119">
        <f>TEXT(87118, "[$-0E0000]yyyy-mm-dd")</f>
        <v/>
      </c>
    </row>
    <row r="87120">
      <c r="A87120" s="1" t="n">
        <v>87119</v>
      </c>
      <c r="B87120">
        <f>TEXT(87119, "[$-0E0000]yyyy-mm-dd")</f>
        <v/>
      </c>
    </row>
    <row r="87121">
      <c r="A87121" s="1" t="n">
        <v>87120</v>
      </c>
      <c r="B87121">
        <f>TEXT(87120, "[$-0E0000]yyyy-mm-dd")</f>
        <v/>
      </c>
    </row>
    <row r="87122">
      <c r="A87122" s="1" t="n">
        <v>87121</v>
      </c>
      <c r="B87122">
        <f>TEXT(87121, "[$-0E0000]yyyy-mm-dd")</f>
        <v/>
      </c>
    </row>
    <row r="87123">
      <c r="A87123" s="1" t="n">
        <v>87122</v>
      </c>
      <c r="B87123">
        <f>TEXT(87122, "[$-0E0000]yyyy-mm-dd")</f>
        <v/>
      </c>
    </row>
    <row r="87124">
      <c r="A87124" s="1" t="n">
        <v>87123</v>
      </c>
      <c r="B87124">
        <f>TEXT(87123, "[$-0E0000]yyyy-mm-dd")</f>
        <v/>
      </c>
    </row>
    <row r="87125">
      <c r="A87125" s="1" t="n">
        <v>87124</v>
      </c>
      <c r="B87125">
        <f>TEXT(87124, "[$-0E0000]yyyy-mm-dd")</f>
        <v/>
      </c>
    </row>
    <row r="87126">
      <c r="A87126" s="1" t="n">
        <v>87125</v>
      </c>
      <c r="B87126">
        <f>TEXT(87125, "[$-0E0000]yyyy-mm-dd")</f>
        <v/>
      </c>
    </row>
    <row r="87127">
      <c r="A87127" s="1" t="n">
        <v>87126</v>
      </c>
      <c r="B87127">
        <f>TEXT(87126, "[$-0E0000]yyyy-mm-dd")</f>
        <v/>
      </c>
    </row>
    <row r="87128">
      <c r="A87128" s="1" t="n">
        <v>87127</v>
      </c>
      <c r="B87128">
        <f>TEXT(87127, "[$-0E0000]yyyy-mm-dd")</f>
        <v/>
      </c>
    </row>
    <row r="87129">
      <c r="A87129" s="1" t="n">
        <v>87128</v>
      </c>
      <c r="B87129">
        <f>TEXT(87128, "[$-0E0000]yyyy-mm-dd")</f>
        <v/>
      </c>
    </row>
    <row r="87130">
      <c r="A87130" s="1" t="n">
        <v>87129</v>
      </c>
      <c r="B87130">
        <f>TEXT(87129, "[$-0E0000]yyyy-mm-dd")</f>
        <v/>
      </c>
    </row>
    <row r="87131">
      <c r="A87131" s="1" t="n">
        <v>87130</v>
      </c>
      <c r="B87131">
        <f>TEXT(87130, "[$-0E0000]yyyy-mm-dd")</f>
        <v/>
      </c>
    </row>
    <row r="87132">
      <c r="A87132" s="1" t="n">
        <v>87131</v>
      </c>
      <c r="B87132">
        <f>TEXT(87131, "[$-0E0000]yyyy-mm-dd")</f>
        <v/>
      </c>
    </row>
    <row r="87133">
      <c r="A87133" s="1" t="n">
        <v>87132</v>
      </c>
      <c r="B87133">
        <f>TEXT(87132, "[$-0E0000]yyyy-mm-dd")</f>
        <v/>
      </c>
    </row>
    <row r="87134">
      <c r="A87134" s="1" t="n">
        <v>87133</v>
      </c>
      <c r="B87134">
        <f>TEXT(87133, "[$-0E0000]yyyy-mm-dd")</f>
        <v/>
      </c>
    </row>
    <row r="87135">
      <c r="A87135" s="1" t="n">
        <v>87134</v>
      </c>
      <c r="B87135">
        <f>TEXT(87134, "[$-0E0000]yyyy-mm-dd")</f>
        <v/>
      </c>
    </row>
    <row r="87136">
      <c r="A87136" s="1" t="n">
        <v>87135</v>
      </c>
      <c r="B87136">
        <f>TEXT(87135, "[$-0E0000]yyyy-mm-dd")</f>
        <v/>
      </c>
    </row>
    <row r="87137">
      <c r="A87137" s="1" t="n">
        <v>87136</v>
      </c>
      <c r="B87137">
        <f>TEXT(87136, "[$-0E0000]yyyy-mm-dd")</f>
        <v/>
      </c>
    </row>
    <row r="87138">
      <c r="A87138" s="1" t="n">
        <v>87137</v>
      </c>
      <c r="B87138">
        <f>TEXT(87137, "[$-0E0000]yyyy-mm-dd")</f>
        <v/>
      </c>
    </row>
    <row r="87139">
      <c r="A87139" s="1" t="n">
        <v>87138</v>
      </c>
      <c r="B87139">
        <f>TEXT(87138, "[$-0E0000]yyyy-mm-dd")</f>
        <v/>
      </c>
    </row>
    <row r="87140">
      <c r="A87140" s="1" t="n">
        <v>87139</v>
      </c>
      <c r="B87140">
        <f>TEXT(87139, "[$-0E0000]yyyy-mm-dd")</f>
        <v/>
      </c>
    </row>
    <row r="87141">
      <c r="A87141" s="1" t="n">
        <v>87140</v>
      </c>
      <c r="B87141">
        <f>TEXT(87140, "[$-0E0000]yyyy-mm-dd")</f>
        <v/>
      </c>
    </row>
    <row r="87142">
      <c r="A87142" s="1" t="n">
        <v>87141</v>
      </c>
      <c r="B87142">
        <f>TEXT(87141, "[$-0E0000]yyyy-mm-dd")</f>
        <v/>
      </c>
    </row>
    <row r="87143">
      <c r="A87143" s="1" t="n">
        <v>87142</v>
      </c>
      <c r="B87143">
        <f>TEXT(87142, "[$-0E0000]yyyy-mm-dd")</f>
        <v/>
      </c>
    </row>
    <row r="87144">
      <c r="A87144" s="1" t="n">
        <v>87143</v>
      </c>
      <c r="B87144">
        <f>TEXT(87143, "[$-0E0000]yyyy-mm-dd")</f>
        <v/>
      </c>
    </row>
    <row r="87145">
      <c r="A87145" s="1" t="n">
        <v>87144</v>
      </c>
      <c r="B87145">
        <f>TEXT(87144, "[$-0E0000]yyyy-mm-dd")</f>
        <v/>
      </c>
    </row>
    <row r="87146">
      <c r="A87146" s="1" t="n">
        <v>87145</v>
      </c>
      <c r="B87146">
        <f>TEXT(87145, "[$-0E0000]yyyy-mm-dd")</f>
        <v/>
      </c>
    </row>
    <row r="87147">
      <c r="A87147" s="1" t="n">
        <v>87146</v>
      </c>
      <c r="B87147">
        <f>TEXT(87146, "[$-0E0000]yyyy-mm-dd")</f>
        <v/>
      </c>
    </row>
    <row r="87148">
      <c r="A87148" s="1" t="n">
        <v>87147</v>
      </c>
      <c r="B87148">
        <f>TEXT(87147, "[$-0E0000]yyyy-mm-dd")</f>
        <v/>
      </c>
    </row>
    <row r="87149">
      <c r="A87149" s="1" t="n">
        <v>87148</v>
      </c>
      <c r="B87149">
        <f>TEXT(87148, "[$-0E0000]yyyy-mm-dd")</f>
        <v/>
      </c>
    </row>
    <row r="87150">
      <c r="A87150" s="1" t="n">
        <v>87149</v>
      </c>
      <c r="B87150">
        <f>TEXT(87149, "[$-0E0000]yyyy-mm-dd")</f>
        <v/>
      </c>
    </row>
    <row r="87151">
      <c r="A87151" s="1" t="n">
        <v>87150</v>
      </c>
      <c r="B87151">
        <f>TEXT(87150, "[$-0E0000]yyyy-mm-dd")</f>
        <v/>
      </c>
    </row>
    <row r="87152">
      <c r="A87152" s="1" t="n">
        <v>87151</v>
      </c>
      <c r="B87152">
        <f>TEXT(87151, "[$-0E0000]yyyy-mm-dd")</f>
        <v/>
      </c>
    </row>
    <row r="87153">
      <c r="A87153" s="1" t="n">
        <v>87152</v>
      </c>
      <c r="B87153">
        <f>TEXT(87152, "[$-0E0000]yyyy-mm-dd")</f>
        <v/>
      </c>
    </row>
    <row r="87154">
      <c r="A87154" s="1" t="n">
        <v>87153</v>
      </c>
      <c r="B87154">
        <f>TEXT(87153, "[$-0E0000]yyyy-mm-dd")</f>
        <v/>
      </c>
    </row>
    <row r="87155">
      <c r="A87155" s="1" t="n">
        <v>87154</v>
      </c>
      <c r="B87155">
        <f>TEXT(87154, "[$-0E0000]yyyy-mm-dd")</f>
        <v/>
      </c>
    </row>
    <row r="87156">
      <c r="A87156" s="1" t="n">
        <v>87155</v>
      </c>
      <c r="B87156">
        <f>TEXT(87155, "[$-0E0000]yyyy-mm-dd")</f>
        <v/>
      </c>
    </row>
    <row r="87157">
      <c r="A87157" s="1" t="n">
        <v>87156</v>
      </c>
      <c r="B87157">
        <f>TEXT(87156, "[$-0E0000]yyyy-mm-dd")</f>
        <v/>
      </c>
    </row>
    <row r="87158">
      <c r="A87158" s="1" t="n">
        <v>87157</v>
      </c>
      <c r="B87158">
        <f>TEXT(87157, "[$-0E0000]yyyy-mm-dd")</f>
        <v/>
      </c>
    </row>
    <row r="87159">
      <c r="A87159" s="1" t="n">
        <v>87158</v>
      </c>
      <c r="B87159">
        <f>TEXT(87158, "[$-0E0000]yyyy-mm-dd")</f>
        <v/>
      </c>
    </row>
    <row r="87160">
      <c r="A87160" s="1" t="n">
        <v>87159</v>
      </c>
      <c r="B87160">
        <f>TEXT(87159, "[$-0E0000]yyyy-mm-dd")</f>
        <v/>
      </c>
    </row>
    <row r="87161">
      <c r="A87161" s="1" t="n">
        <v>87160</v>
      </c>
      <c r="B87161">
        <f>TEXT(87160, "[$-0E0000]yyyy-mm-dd")</f>
        <v/>
      </c>
    </row>
    <row r="87162">
      <c r="A87162" s="1" t="n">
        <v>87161</v>
      </c>
      <c r="B87162">
        <f>TEXT(87161, "[$-0E0000]yyyy-mm-dd")</f>
        <v/>
      </c>
    </row>
    <row r="87163">
      <c r="A87163" s="1" t="n">
        <v>87162</v>
      </c>
      <c r="B87163">
        <f>TEXT(87162, "[$-0E0000]yyyy-mm-dd")</f>
        <v/>
      </c>
    </row>
    <row r="87164">
      <c r="A87164" s="1" t="n">
        <v>87163</v>
      </c>
      <c r="B87164">
        <f>TEXT(87163, "[$-0E0000]yyyy-mm-dd")</f>
        <v/>
      </c>
    </row>
    <row r="87165">
      <c r="A87165" s="1" t="n">
        <v>87164</v>
      </c>
      <c r="B87165">
        <f>TEXT(87164, "[$-0E0000]yyyy-mm-dd")</f>
        <v/>
      </c>
    </row>
    <row r="87166">
      <c r="A87166" s="1" t="n">
        <v>87165</v>
      </c>
      <c r="B87166">
        <f>TEXT(87165, "[$-0E0000]yyyy-mm-dd")</f>
        <v/>
      </c>
    </row>
    <row r="87167">
      <c r="A87167" s="1" t="n">
        <v>87166</v>
      </c>
      <c r="B87167">
        <f>TEXT(87166, "[$-0E0000]yyyy-mm-dd")</f>
        <v/>
      </c>
    </row>
    <row r="87168">
      <c r="A87168" s="1" t="n">
        <v>87167</v>
      </c>
      <c r="B87168">
        <f>TEXT(87167, "[$-0E0000]yyyy-mm-dd")</f>
        <v/>
      </c>
    </row>
    <row r="87169">
      <c r="A87169" s="1" t="n">
        <v>87168</v>
      </c>
      <c r="B87169">
        <f>TEXT(87168, "[$-0E0000]yyyy-mm-dd")</f>
        <v/>
      </c>
    </row>
    <row r="87170">
      <c r="A87170" s="1" t="n">
        <v>87169</v>
      </c>
      <c r="B87170">
        <f>TEXT(87169, "[$-0E0000]yyyy-mm-dd")</f>
        <v/>
      </c>
    </row>
    <row r="87171">
      <c r="A87171" s="1" t="n">
        <v>87170</v>
      </c>
      <c r="B87171">
        <f>TEXT(87170, "[$-0E0000]yyyy-mm-dd")</f>
        <v/>
      </c>
    </row>
    <row r="87172">
      <c r="A87172" s="1" t="n">
        <v>87171</v>
      </c>
      <c r="B87172">
        <f>TEXT(87171, "[$-0E0000]yyyy-mm-dd")</f>
        <v/>
      </c>
    </row>
    <row r="87173">
      <c r="A87173" s="1" t="n">
        <v>87172</v>
      </c>
      <c r="B87173">
        <f>TEXT(87172, "[$-0E0000]yyyy-mm-dd")</f>
        <v/>
      </c>
    </row>
    <row r="87174">
      <c r="A87174" s="1" t="n">
        <v>87173</v>
      </c>
      <c r="B87174">
        <f>TEXT(87173, "[$-0E0000]yyyy-mm-dd")</f>
        <v/>
      </c>
    </row>
    <row r="87175">
      <c r="A87175" s="1" t="n">
        <v>87174</v>
      </c>
      <c r="B87175">
        <f>TEXT(87174, "[$-0E0000]yyyy-mm-dd")</f>
        <v/>
      </c>
    </row>
    <row r="87176">
      <c r="A87176" s="1" t="n">
        <v>87175</v>
      </c>
      <c r="B87176">
        <f>TEXT(87175, "[$-0E0000]yyyy-mm-dd")</f>
        <v/>
      </c>
    </row>
    <row r="87177">
      <c r="A87177" s="1" t="n">
        <v>87176</v>
      </c>
      <c r="B87177">
        <f>TEXT(87176, "[$-0E0000]yyyy-mm-dd")</f>
        <v/>
      </c>
    </row>
    <row r="87178">
      <c r="A87178" s="1" t="n">
        <v>87177</v>
      </c>
      <c r="B87178">
        <f>TEXT(87177, "[$-0E0000]yyyy-mm-dd")</f>
        <v/>
      </c>
    </row>
    <row r="87179">
      <c r="A87179" s="1" t="n">
        <v>87178</v>
      </c>
      <c r="B87179">
        <f>TEXT(87178, "[$-0E0000]yyyy-mm-dd")</f>
        <v/>
      </c>
    </row>
    <row r="87180">
      <c r="A87180" s="1" t="n">
        <v>87179</v>
      </c>
      <c r="B87180">
        <f>TEXT(87179, "[$-0E0000]yyyy-mm-dd")</f>
        <v/>
      </c>
    </row>
    <row r="87181">
      <c r="A87181" s="1" t="n">
        <v>87180</v>
      </c>
      <c r="B87181">
        <f>TEXT(87180, "[$-0E0000]yyyy-mm-dd")</f>
        <v/>
      </c>
    </row>
    <row r="87182">
      <c r="A87182" s="1" t="n">
        <v>87181</v>
      </c>
      <c r="B87182">
        <f>TEXT(87181, "[$-0E0000]yyyy-mm-dd")</f>
        <v/>
      </c>
    </row>
    <row r="87183">
      <c r="A87183" s="1" t="n">
        <v>87182</v>
      </c>
      <c r="B87183">
        <f>TEXT(87182, "[$-0E0000]yyyy-mm-dd")</f>
        <v/>
      </c>
    </row>
    <row r="87184">
      <c r="A87184" s="1" t="n">
        <v>87183</v>
      </c>
      <c r="B87184">
        <f>TEXT(87183, "[$-0E0000]yyyy-mm-dd")</f>
        <v/>
      </c>
    </row>
    <row r="87185">
      <c r="A87185" s="1" t="n">
        <v>87184</v>
      </c>
      <c r="B87185">
        <f>TEXT(87184, "[$-0E0000]yyyy-mm-dd")</f>
        <v/>
      </c>
    </row>
    <row r="87186">
      <c r="A87186" s="1" t="n">
        <v>87185</v>
      </c>
      <c r="B87186">
        <f>TEXT(87185, "[$-0E0000]yyyy-mm-dd")</f>
        <v/>
      </c>
    </row>
    <row r="87187">
      <c r="A87187" s="1" t="n">
        <v>87186</v>
      </c>
      <c r="B87187">
        <f>TEXT(87186, "[$-0E0000]yyyy-mm-dd")</f>
        <v/>
      </c>
    </row>
    <row r="87188">
      <c r="A87188" s="1" t="n">
        <v>87187</v>
      </c>
      <c r="B87188">
        <f>TEXT(87187, "[$-0E0000]yyyy-mm-dd")</f>
        <v/>
      </c>
    </row>
    <row r="87189">
      <c r="A87189" s="1" t="n">
        <v>87188</v>
      </c>
      <c r="B87189">
        <f>TEXT(87188, "[$-0E0000]yyyy-mm-dd")</f>
        <v/>
      </c>
    </row>
    <row r="87190">
      <c r="A87190" s="1" t="n">
        <v>87189</v>
      </c>
      <c r="B87190">
        <f>TEXT(87189, "[$-0E0000]yyyy-mm-dd")</f>
        <v/>
      </c>
    </row>
    <row r="87191">
      <c r="A87191" s="1" t="n">
        <v>87190</v>
      </c>
      <c r="B87191">
        <f>TEXT(87190, "[$-0E0000]yyyy-mm-dd")</f>
        <v/>
      </c>
    </row>
    <row r="87192">
      <c r="A87192" s="1" t="n">
        <v>87191</v>
      </c>
      <c r="B87192">
        <f>TEXT(87191, "[$-0E0000]yyyy-mm-dd")</f>
        <v/>
      </c>
    </row>
    <row r="87193">
      <c r="A87193" s="1" t="n">
        <v>87192</v>
      </c>
      <c r="B87193">
        <f>TEXT(87192, "[$-0E0000]yyyy-mm-dd")</f>
        <v/>
      </c>
    </row>
    <row r="87194">
      <c r="A87194" s="1" t="n">
        <v>87193</v>
      </c>
      <c r="B87194">
        <f>TEXT(87193, "[$-0E0000]yyyy-mm-dd")</f>
        <v/>
      </c>
    </row>
    <row r="87195">
      <c r="A87195" s="1" t="n">
        <v>87194</v>
      </c>
      <c r="B87195">
        <f>TEXT(87194, "[$-0E0000]yyyy-mm-dd")</f>
        <v/>
      </c>
    </row>
    <row r="87196">
      <c r="A87196" s="1" t="n">
        <v>87195</v>
      </c>
      <c r="B87196">
        <f>TEXT(87195, "[$-0E0000]yyyy-mm-dd")</f>
        <v/>
      </c>
    </row>
    <row r="87197">
      <c r="A87197" s="1" t="n">
        <v>87196</v>
      </c>
      <c r="B87197">
        <f>TEXT(87196, "[$-0E0000]yyyy-mm-dd")</f>
        <v/>
      </c>
    </row>
    <row r="87198">
      <c r="A87198" s="1" t="n">
        <v>87197</v>
      </c>
      <c r="B87198">
        <f>TEXT(87197, "[$-0E0000]yyyy-mm-dd")</f>
        <v/>
      </c>
    </row>
    <row r="87199">
      <c r="A87199" s="1" t="n">
        <v>87198</v>
      </c>
      <c r="B87199">
        <f>TEXT(87198, "[$-0E0000]yyyy-mm-dd")</f>
        <v/>
      </c>
    </row>
    <row r="87200">
      <c r="A87200" s="1" t="n">
        <v>87199</v>
      </c>
      <c r="B87200">
        <f>TEXT(87199, "[$-0E0000]yyyy-mm-dd")</f>
        <v/>
      </c>
    </row>
    <row r="87201">
      <c r="A87201" s="1" t="n">
        <v>87200</v>
      </c>
      <c r="B87201">
        <f>TEXT(87200, "[$-0E0000]yyyy-mm-dd")</f>
        <v/>
      </c>
    </row>
    <row r="87202">
      <c r="A87202" s="1" t="n">
        <v>87201</v>
      </c>
      <c r="B87202">
        <f>TEXT(87201, "[$-0E0000]yyyy-mm-dd")</f>
        <v/>
      </c>
    </row>
    <row r="87203">
      <c r="A87203" s="1" t="n">
        <v>87202</v>
      </c>
      <c r="B87203">
        <f>TEXT(87202, "[$-0E0000]yyyy-mm-dd")</f>
        <v/>
      </c>
    </row>
    <row r="87204">
      <c r="A87204" s="1" t="n">
        <v>87203</v>
      </c>
      <c r="B87204">
        <f>TEXT(87203, "[$-0E0000]yyyy-mm-dd")</f>
        <v/>
      </c>
    </row>
    <row r="87205">
      <c r="A87205" s="1" t="n">
        <v>87204</v>
      </c>
      <c r="B87205">
        <f>TEXT(87204, "[$-0E0000]yyyy-mm-dd")</f>
        <v/>
      </c>
    </row>
    <row r="87206">
      <c r="A87206" s="1" t="n">
        <v>87205</v>
      </c>
      <c r="B87206">
        <f>TEXT(87205, "[$-0E0000]yyyy-mm-dd")</f>
        <v/>
      </c>
    </row>
    <row r="87207">
      <c r="A87207" s="1" t="n">
        <v>87206</v>
      </c>
      <c r="B87207">
        <f>TEXT(87206, "[$-0E0000]yyyy-mm-dd")</f>
        <v/>
      </c>
    </row>
    <row r="87208">
      <c r="A87208" s="1" t="n">
        <v>87207</v>
      </c>
      <c r="B87208">
        <f>TEXT(87207, "[$-0E0000]yyyy-mm-dd")</f>
        <v/>
      </c>
    </row>
    <row r="87209">
      <c r="A87209" s="1" t="n">
        <v>87208</v>
      </c>
      <c r="B87209">
        <f>TEXT(87208, "[$-0E0000]yyyy-mm-dd")</f>
        <v/>
      </c>
    </row>
    <row r="87210">
      <c r="A87210" s="1" t="n">
        <v>87209</v>
      </c>
      <c r="B87210">
        <f>TEXT(87209, "[$-0E0000]yyyy-mm-dd")</f>
        <v/>
      </c>
    </row>
    <row r="87211">
      <c r="A87211" s="1" t="n">
        <v>87210</v>
      </c>
      <c r="B87211">
        <f>TEXT(87210, "[$-0E0000]yyyy-mm-dd")</f>
        <v/>
      </c>
    </row>
    <row r="87212">
      <c r="A87212" s="1" t="n">
        <v>87211</v>
      </c>
      <c r="B87212">
        <f>TEXT(87211, "[$-0E0000]yyyy-mm-dd")</f>
        <v/>
      </c>
    </row>
    <row r="87213">
      <c r="A87213" s="1" t="n">
        <v>87212</v>
      </c>
      <c r="B87213">
        <f>TEXT(87212, "[$-0E0000]yyyy-mm-dd")</f>
        <v/>
      </c>
    </row>
    <row r="87214">
      <c r="A87214" s="1" t="n">
        <v>87213</v>
      </c>
      <c r="B87214">
        <f>TEXT(87213, "[$-0E0000]yyyy-mm-dd")</f>
        <v/>
      </c>
    </row>
    <row r="87215">
      <c r="A87215" s="1" t="n">
        <v>87214</v>
      </c>
      <c r="B87215">
        <f>TEXT(87214, "[$-0E0000]yyyy-mm-dd")</f>
        <v/>
      </c>
    </row>
    <row r="87216">
      <c r="A87216" s="1" t="n">
        <v>87215</v>
      </c>
      <c r="B87216">
        <f>TEXT(87215, "[$-0E0000]yyyy-mm-dd")</f>
        <v/>
      </c>
    </row>
    <row r="87217">
      <c r="A87217" s="1" t="n">
        <v>87216</v>
      </c>
      <c r="B87217">
        <f>TEXT(87216, "[$-0E0000]yyyy-mm-dd")</f>
        <v/>
      </c>
    </row>
    <row r="87218">
      <c r="A87218" s="1" t="n">
        <v>87217</v>
      </c>
      <c r="B87218">
        <f>TEXT(87217, "[$-0E0000]yyyy-mm-dd")</f>
        <v/>
      </c>
    </row>
    <row r="87219">
      <c r="A87219" s="1" t="n">
        <v>87218</v>
      </c>
      <c r="B87219">
        <f>TEXT(87218, "[$-0E0000]yyyy-mm-dd")</f>
        <v/>
      </c>
    </row>
    <row r="87220">
      <c r="A87220" s="1" t="n">
        <v>87219</v>
      </c>
      <c r="B87220">
        <f>TEXT(87219, "[$-0E0000]yyyy-mm-dd")</f>
        <v/>
      </c>
    </row>
    <row r="87221">
      <c r="A87221" s="1" t="n">
        <v>87220</v>
      </c>
      <c r="B87221">
        <f>TEXT(87220, "[$-0E0000]yyyy-mm-dd")</f>
        <v/>
      </c>
    </row>
    <row r="87222">
      <c r="A87222" s="1" t="n">
        <v>87221</v>
      </c>
      <c r="B87222">
        <f>TEXT(87221, "[$-0E0000]yyyy-mm-dd")</f>
        <v/>
      </c>
    </row>
    <row r="87223">
      <c r="A87223" s="1" t="n">
        <v>87222</v>
      </c>
      <c r="B87223">
        <f>TEXT(87222, "[$-0E0000]yyyy-mm-dd")</f>
        <v/>
      </c>
    </row>
    <row r="87224">
      <c r="A87224" s="1" t="n">
        <v>87223</v>
      </c>
      <c r="B87224">
        <f>TEXT(87223, "[$-0E0000]yyyy-mm-dd")</f>
        <v/>
      </c>
    </row>
    <row r="87225">
      <c r="A87225" s="1" t="n">
        <v>87224</v>
      </c>
      <c r="B87225">
        <f>TEXT(87224, "[$-0E0000]yyyy-mm-dd")</f>
        <v/>
      </c>
    </row>
    <row r="87226">
      <c r="A87226" s="1" t="n">
        <v>87225</v>
      </c>
      <c r="B87226">
        <f>TEXT(87225, "[$-0E0000]yyyy-mm-dd")</f>
        <v/>
      </c>
    </row>
    <row r="87227">
      <c r="A87227" s="1" t="n">
        <v>87226</v>
      </c>
      <c r="B87227">
        <f>TEXT(87226, "[$-0E0000]yyyy-mm-dd")</f>
        <v/>
      </c>
    </row>
    <row r="87228">
      <c r="A87228" s="1" t="n">
        <v>87227</v>
      </c>
      <c r="B87228">
        <f>TEXT(87227, "[$-0E0000]yyyy-mm-dd")</f>
        <v/>
      </c>
    </row>
    <row r="87229">
      <c r="A87229" s="1" t="n">
        <v>87228</v>
      </c>
      <c r="B87229">
        <f>TEXT(87228, "[$-0E0000]yyyy-mm-dd")</f>
        <v/>
      </c>
    </row>
    <row r="87230">
      <c r="A87230" s="1" t="n">
        <v>87229</v>
      </c>
      <c r="B87230">
        <f>TEXT(87229, "[$-0E0000]yyyy-mm-dd")</f>
        <v/>
      </c>
    </row>
    <row r="87231">
      <c r="A87231" s="1" t="n">
        <v>87230</v>
      </c>
      <c r="B87231">
        <f>TEXT(87230, "[$-0E0000]yyyy-mm-dd")</f>
        <v/>
      </c>
    </row>
    <row r="87232">
      <c r="A87232" s="1" t="n">
        <v>87231</v>
      </c>
      <c r="B87232">
        <f>TEXT(87231, "[$-0E0000]yyyy-mm-dd")</f>
        <v/>
      </c>
    </row>
    <row r="87233">
      <c r="A87233" s="1" t="n">
        <v>87232</v>
      </c>
      <c r="B87233">
        <f>TEXT(87232, "[$-0E0000]yyyy-mm-dd")</f>
        <v/>
      </c>
    </row>
    <row r="87234">
      <c r="A87234" s="1" t="n">
        <v>87233</v>
      </c>
      <c r="B87234">
        <f>TEXT(87233, "[$-0E0000]yyyy-mm-dd")</f>
        <v/>
      </c>
    </row>
    <row r="87235">
      <c r="A87235" s="1" t="n">
        <v>87234</v>
      </c>
      <c r="B87235">
        <f>TEXT(87234, "[$-0E0000]yyyy-mm-dd")</f>
        <v/>
      </c>
    </row>
    <row r="87236">
      <c r="A87236" s="1" t="n">
        <v>87235</v>
      </c>
      <c r="B87236">
        <f>TEXT(87235, "[$-0E0000]yyyy-mm-dd")</f>
        <v/>
      </c>
    </row>
    <row r="87237">
      <c r="A87237" s="1" t="n">
        <v>87236</v>
      </c>
      <c r="B87237">
        <f>TEXT(87236, "[$-0E0000]yyyy-mm-dd")</f>
        <v/>
      </c>
    </row>
    <row r="87238">
      <c r="A87238" s="1" t="n">
        <v>87237</v>
      </c>
      <c r="B87238">
        <f>TEXT(87237, "[$-0E0000]yyyy-mm-dd")</f>
        <v/>
      </c>
    </row>
    <row r="87239">
      <c r="A87239" s="1" t="n">
        <v>87238</v>
      </c>
      <c r="B87239">
        <f>TEXT(87238, "[$-0E0000]yyyy-mm-dd")</f>
        <v/>
      </c>
    </row>
    <row r="87240">
      <c r="A87240" s="1" t="n">
        <v>87239</v>
      </c>
      <c r="B87240">
        <f>TEXT(87239, "[$-0E0000]yyyy-mm-dd")</f>
        <v/>
      </c>
    </row>
    <row r="87241">
      <c r="A87241" s="1" t="n">
        <v>87240</v>
      </c>
      <c r="B87241">
        <f>TEXT(87240, "[$-0E0000]yyyy-mm-dd")</f>
        <v/>
      </c>
    </row>
    <row r="87242">
      <c r="A87242" s="1" t="n">
        <v>87241</v>
      </c>
      <c r="B87242">
        <f>TEXT(87241, "[$-0E0000]yyyy-mm-dd")</f>
        <v/>
      </c>
    </row>
    <row r="87243">
      <c r="A87243" s="1" t="n">
        <v>87242</v>
      </c>
      <c r="B87243">
        <f>TEXT(87242, "[$-0E0000]yyyy-mm-dd")</f>
        <v/>
      </c>
    </row>
    <row r="87244">
      <c r="A87244" s="1" t="n">
        <v>87243</v>
      </c>
      <c r="B87244">
        <f>TEXT(87243, "[$-0E0000]yyyy-mm-dd")</f>
        <v/>
      </c>
    </row>
    <row r="87245">
      <c r="A87245" s="1" t="n">
        <v>87244</v>
      </c>
      <c r="B87245">
        <f>TEXT(87244, "[$-0E0000]yyyy-mm-dd")</f>
        <v/>
      </c>
    </row>
    <row r="87246">
      <c r="A87246" s="1" t="n">
        <v>87245</v>
      </c>
      <c r="B87246">
        <f>TEXT(87245, "[$-0E0000]yyyy-mm-dd")</f>
        <v/>
      </c>
    </row>
    <row r="87247">
      <c r="A87247" s="1" t="n">
        <v>87246</v>
      </c>
      <c r="B87247">
        <f>TEXT(87246, "[$-0E0000]yyyy-mm-dd")</f>
        <v/>
      </c>
    </row>
    <row r="87248">
      <c r="A87248" s="1" t="n">
        <v>87247</v>
      </c>
      <c r="B87248">
        <f>TEXT(87247, "[$-0E0000]yyyy-mm-dd")</f>
        <v/>
      </c>
    </row>
    <row r="87249">
      <c r="A87249" s="1" t="n">
        <v>87248</v>
      </c>
      <c r="B87249">
        <f>TEXT(87248, "[$-0E0000]yyyy-mm-dd")</f>
        <v/>
      </c>
    </row>
    <row r="87250">
      <c r="A87250" s="1" t="n">
        <v>87249</v>
      </c>
      <c r="B87250">
        <f>TEXT(87249, "[$-0E0000]yyyy-mm-dd")</f>
        <v/>
      </c>
    </row>
    <row r="87251">
      <c r="A87251" s="1" t="n">
        <v>87250</v>
      </c>
      <c r="B87251">
        <f>TEXT(87250, "[$-0E0000]yyyy-mm-dd")</f>
        <v/>
      </c>
    </row>
    <row r="87252">
      <c r="A87252" s="1" t="n">
        <v>87251</v>
      </c>
      <c r="B87252">
        <f>TEXT(87251, "[$-0E0000]yyyy-mm-dd")</f>
        <v/>
      </c>
    </row>
    <row r="87253">
      <c r="A87253" s="1" t="n">
        <v>87252</v>
      </c>
      <c r="B87253">
        <f>TEXT(87252, "[$-0E0000]yyyy-mm-dd")</f>
        <v/>
      </c>
    </row>
    <row r="87254">
      <c r="A87254" s="1" t="n">
        <v>87253</v>
      </c>
      <c r="B87254">
        <f>TEXT(87253, "[$-0E0000]yyyy-mm-dd")</f>
        <v/>
      </c>
    </row>
    <row r="87255">
      <c r="A87255" s="1" t="n">
        <v>87254</v>
      </c>
      <c r="B87255">
        <f>TEXT(87254, "[$-0E0000]yyyy-mm-dd")</f>
        <v/>
      </c>
    </row>
    <row r="87256">
      <c r="A87256" s="1" t="n">
        <v>87255</v>
      </c>
      <c r="B87256">
        <f>TEXT(87255, "[$-0E0000]yyyy-mm-dd")</f>
        <v/>
      </c>
    </row>
    <row r="87257">
      <c r="A87257" s="1" t="n">
        <v>87256</v>
      </c>
      <c r="B87257">
        <f>TEXT(87256, "[$-0E0000]yyyy-mm-dd")</f>
        <v/>
      </c>
    </row>
    <row r="87258">
      <c r="A87258" s="1" t="n">
        <v>87257</v>
      </c>
      <c r="B87258">
        <f>TEXT(87257, "[$-0E0000]yyyy-mm-dd")</f>
        <v/>
      </c>
    </row>
    <row r="87259">
      <c r="A87259" s="1" t="n">
        <v>87258</v>
      </c>
      <c r="B87259">
        <f>TEXT(87258, "[$-0E0000]yyyy-mm-dd")</f>
        <v/>
      </c>
    </row>
    <row r="87260">
      <c r="A87260" s="1" t="n">
        <v>87259</v>
      </c>
      <c r="B87260">
        <f>TEXT(87259, "[$-0E0000]yyyy-mm-dd")</f>
        <v/>
      </c>
    </row>
    <row r="87261">
      <c r="A87261" s="1" t="n">
        <v>87260</v>
      </c>
      <c r="B87261">
        <f>TEXT(87260, "[$-0E0000]yyyy-mm-dd")</f>
        <v/>
      </c>
    </row>
    <row r="87262">
      <c r="A87262" s="1" t="n">
        <v>87261</v>
      </c>
      <c r="B87262">
        <f>TEXT(87261, "[$-0E0000]yyyy-mm-dd")</f>
        <v/>
      </c>
    </row>
    <row r="87263">
      <c r="A87263" s="1" t="n">
        <v>87262</v>
      </c>
      <c r="B87263">
        <f>TEXT(87262, "[$-0E0000]yyyy-mm-dd")</f>
        <v/>
      </c>
    </row>
    <row r="87264">
      <c r="A87264" s="1" t="n">
        <v>87263</v>
      </c>
      <c r="B87264">
        <f>TEXT(87263, "[$-0E0000]yyyy-mm-dd")</f>
        <v/>
      </c>
    </row>
    <row r="87265">
      <c r="A87265" s="1" t="n">
        <v>87264</v>
      </c>
      <c r="B87265">
        <f>TEXT(87264, "[$-0E0000]yyyy-mm-dd")</f>
        <v/>
      </c>
    </row>
    <row r="87266">
      <c r="A87266" s="1" t="n">
        <v>87265</v>
      </c>
      <c r="B87266">
        <f>TEXT(87265, "[$-0E0000]yyyy-mm-dd")</f>
        <v/>
      </c>
    </row>
    <row r="87267">
      <c r="A87267" s="1" t="n">
        <v>87266</v>
      </c>
      <c r="B87267">
        <f>TEXT(87266, "[$-0E0000]yyyy-mm-dd")</f>
        <v/>
      </c>
    </row>
    <row r="87268">
      <c r="A87268" s="1" t="n">
        <v>87267</v>
      </c>
      <c r="B87268">
        <f>TEXT(87267, "[$-0E0000]yyyy-mm-dd")</f>
        <v/>
      </c>
    </row>
    <row r="87269">
      <c r="A87269" s="1" t="n">
        <v>87268</v>
      </c>
      <c r="B87269">
        <f>TEXT(87268, "[$-0E0000]yyyy-mm-dd")</f>
        <v/>
      </c>
    </row>
    <row r="87270">
      <c r="A87270" s="1" t="n">
        <v>87269</v>
      </c>
      <c r="B87270">
        <f>TEXT(87269, "[$-0E0000]yyyy-mm-dd")</f>
        <v/>
      </c>
    </row>
    <row r="87271">
      <c r="A87271" s="1" t="n">
        <v>87270</v>
      </c>
      <c r="B87271">
        <f>TEXT(87270, "[$-0E0000]yyyy-mm-dd")</f>
        <v/>
      </c>
    </row>
    <row r="87272">
      <c r="A87272" s="1" t="n">
        <v>87271</v>
      </c>
      <c r="B87272">
        <f>TEXT(87271, "[$-0E0000]yyyy-mm-dd")</f>
        <v/>
      </c>
    </row>
    <row r="87273">
      <c r="A87273" s="1" t="n">
        <v>87272</v>
      </c>
      <c r="B87273">
        <f>TEXT(87272, "[$-0E0000]yyyy-mm-dd")</f>
        <v/>
      </c>
    </row>
    <row r="87274">
      <c r="A87274" s="1" t="n">
        <v>87273</v>
      </c>
      <c r="B87274">
        <f>TEXT(87273, "[$-0E0000]yyyy-mm-dd")</f>
        <v/>
      </c>
    </row>
    <row r="87275">
      <c r="A87275" s="1" t="n">
        <v>87274</v>
      </c>
      <c r="B87275">
        <f>TEXT(87274, "[$-0E0000]yyyy-mm-dd")</f>
        <v/>
      </c>
    </row>
    <row r="87276">
      <c r="A87276" s="1" t="n">
        <v>87275</v>
      </c>
      <c r="B87276">
        <f>TEXT(87275, "[$-0E0000]yyyy-mm-dd")</f>
        <v/>
      </c>
    </row>
    <row r="87277">
      <c r="A87277" s="1" t="n">
        <v>87276</v>
      </c>
      <c r="B87277">
        <f>TEXT(87276, "[$-0E0000]yyyy-mm-dd")</f>
        <v/>
      </c>
    </row>
    <row r="87278">
      <c r="A87278" s="1" t="n">
        <v>87277</v>
      </c>
      <c r="B87278">
        <f>TEXT(87277, "[$-0E0000]yyyy-mm-dd")</f>
        <v/>
      </c>
    </row>
    <row r="87279">
      <c r="A87279" s="1" t="n">
        <v>87278</v>
      </c>
      <c r="B87279">
        <f>TEXT(87278, "[$-0E0000]yyyy-mm-dd")</f>
        <v/>
      </c>
    </row>
    <row r="87280">
      <c r="A87280" s="1" t="n">
        <v>87279</v>
      </c>
      <c r="B87280">
        <f>TEXT(87279, "[$-0E0000]yyyy-mm-dd")</f>
        <v/>
      </c>
    </row>
    <row r="87281">
      <c r="A87281" s="1" t="n">
        <v>87280</v>
      </c>
      <c r="B87281">
        <f>TEXT(87280, "[$-0E0000]yyyy-mm-dd")</f>
        <v/>
      </c>
    </row>
    <row r="87282">
      <c r="A87282" s="1" t="n">
        <v>87281</v>
      </c>
      <c r="B87282">
        <f>TEXT(87281, "[$-0E0000]yyyy-mm-dd")</f>
        <v/>
      </c>
    </row>
    <row r="87283">
      <c r="A87283" s="1" t="n">
        <v>87282</v>
      </c>
      <c r="B87283">
        <f>TEXT(87282, "[$-0E0000]yyyy-mm-dd")</f>
        <v/>
      </c>
    </row>
    <row r="87284">
      <c r="A87284" s="1" t="n">
        <v>87283</v>
      </c>
      <c r="B87284">
        <f>TEXT(87283, "[$-0E0000]yyyy-mm-dd")</f>
        <v/>
      </c>
    </row>
    <row r="87285">
      <c r="A87285" s="1" t="n">
        <v>87284</v>
      </c>
      <c r="B87285">
        <f>TEXT(87284, "[$-0E0000]yyyy-mm-dd")</f>
        <v/>
      </c>
    </row>
    <row r="87286">
      <c r="A87286" s="1" t="n">
        <v>87285</v>
      </c>
      <c r="B87286">
        <f>TEXT(87285, "[$-0E0000]yyyy-mm-dd")</f>
        <v/>
      </c>
    </row>
    <row r="87287">
      <c r="A87287" s="1" t="n">
        <v>87286</v>
      </c>
      <c r="B87287">
        <f>TEXT(87286, "[$-0E0000]yyyy-mm-dd")</f>
        <v/>
      </c>
    </row>
    <row r="87288">
      <c r="A87288" s="1" t="n">
        <v>87287</v>
      </c>
      <c r="B87288">
        <f>TEXT(87287, "[$-0E0000]yyyy-mm-dd")</f>
        <v/>
      </c>
    </row>
    <row r="87289">
      <c r="A87289" s="1" t="n">
        <v>87288</v>
      </c>
      <c r="B87289">
        <f>TEXT(87288, "[$-0E0000]yyyy-mm-dd")</f>
        <v/>
      </c>
    </row>
    <row r="87290">
      <c r="A87290" s="1" t="n">
        <v>87289</v>
      </c>
      <c r="B87290">
        <f>TEXT(87289, "[$-0E0000]yyyy-mm-dd")</f>
        <v/>
      </c>
    </row>
    <row r="87291">
      <c r="A87291" s="1" t="n">
        <v>87290</v>
      </c>
      <c r="B87291">
        <f>TEXT(87290, "[$-0E0000]yyyy-mm-dd")</f>
        <v/>
      </c>
    </row>
    <row r="87292">
      <c r="A87292" s="1" t="n">
        <v>87291</v>
      </c>
      <c r="B87292">
        <f>TEXT(87291, "[$-0E0000]yyyy-mm-dd")</f>
        <v/>
      </c>
    </row>
    <row r="87293">
      <c r="A87293" s="1" t="n">
        <v>87292</v>
      </c>
      <c r="B87293">
        <f>TEXT(87292, "[$-0E0000]yyyy-mm-dd")</f>
        <v/>
      </c>
    </row>
    <row r="87294">
      <c r="A87294" s="1" t="n">
        <v>87293</v>
      </c>
      <c r="B87294">
        <f>TEXT(87293, "[$-0E0000]yyyy-mm-dd")</f>
        <v/>
      </c>
    </row>
    <row r="87295">
      <c r="A87295" s="1" t="n">
        <v>87294</v>
      </c>
      <c r="B87295">
        <f>TEXT(87294, "[$-0E0000]yyyy-mm-dd")</f>
        <v/>
      </c>
    </row>
    <row r="87296">
      <c r="A87296" s="1" t="n">
        <v>87295</v>
      </c>
      <c r="B87296">
        <f>TEXT(87295, "[$-0E0000]yyyy-mm-dd")</f>
        <v/>
      </c>
    </row>
    <row r="87297">
      <c r="A87297" s="1" t="n">
        <v>87296</v>
      </c>
      <c r="B87297">
        <f>TEXT(87296, "[$-0E0000]yyyy-mm-dd")</f>
        <v/>
      </c>
    </row>
    <row r="87298">
      <c r="A87298" s="1" t="n">
        <v>87297</v>
      </c>
      <c r="B87298">
        <f>TEXT(87297, "[$-0E0000]yyyy-mm-dd")</f>
        <v/>
      </c>
    </row>
    <row r="87299">
      <c r="A87299" s="1" t="n">
        <v>87298</v>
      </c>
      <c r="B87299">
        <f>TEXT(87298, "[$-0E0000]yyyy-mm-dd")</f>
        <v/>
      </c>
    </row>
    <row r="87300">
      <c r="A87300" s="1" t="n">
        <v>87299</v>
      </c>
      <c r="B87300">
        <f>TEXT(87299, "[$-0E0000]yyyy-mm-dd")</f>
        <v/>
      </c>
    </row>
    <row r="87301">
      <c r="A87301" s="1" t="n">
        <v>87300</v>
      </c>
      <c r="B87301">
        <f>TEXT(87300, "[$-0E0000]yyyy-mm-dd")</f>
        <v/>
      </c>
    </row>
    <row r="87302">
      <c r="A87302" s="1" t="n">
        <v>87301</v>
      </c>
      <c r="B87302">
        <f>TEXT(87301, "[$-0E0000]yyyy-mm-dd")</f>
        <v/>
      </c>
    </row>
    <row r="87303">
      <c r="A87303" s="1" t="n">
        <v>87302</v>
      </c>
      <c r="B87303">
        <f>TEXT(87302, "[$-0E0000]yyyy-mm-dd")</f>
        <v/>
      </c>
    </row>
    <row r="87304">
      <c r="A87304" s="1" t="n">
        <v>87303</v>
      </c>
      <c r="B87304">
        <f>TEXT(87303, "[$-0E0000]yyyy-mm-dd")</f>
        <v/>
      </c>
    </row>
    <row r="87305">
      <c r="A87305" s="1" t="n">
        <v>87304</v>
      </c>
      <c r="B87305">
        <f>TEXT(87304, "[$-0E0000]yyyy-mm-dd")</f>
        <v/>
      </c>
    </row>
    <row r="87306">
      <c r="A87306" s="1" t="n">
        <v>87305</v>
      </c>
      <c r="B87306">
        <f>TEXT(87305, "[$-0E0000]yyyy-mm-dd")</f>
        <v/>
      </c>
    </row>
    <row r="87307">
      <c r="A87307" s="1" t="n">
        <v>87306</v>
      </c>
      <c r="B87307">
        <f>TEXT(87306, "[$-0E0000]yyyy-mm-dd")</f>
        <v/>
      </c>
    </row>
    <row r="87308">
      <c r="A87308" s="1" t="n">
        <v>87307</v>
      </c>
      <c r="B87308">
        <f>TEXT(87307, "[$-0E0000]yyyy-mm-dd")</f>
        <v/>
      </c>
    </row>
    <row r="87309">
      <c r="A87309" s="1" t="n">
        <v>87308</v>
      </c>
      <c r="B87309">
        <f>TEXT(87308, "[$-0E0000]yyyy-mm-dd")</f>
        <v/>
      </c>
    </row>
    <row r="87310">
      <c r="A87310" s="1" t="n">
        <v>87309</v>
      </c>
      <c r="B87310">
        <f>TEXT(87309, "[$-0E0000]yyyy-mm-dd")</f>
        <v/>
      </c>
    </row>
    <row r="87311">
      <c r="A87311" s="1" t="n">
        <v>87310</v>
      </c>
      <c r="B87311">
        <f>TEXT(87310, "[$-0E0000]yyyy-mm-dd")</f>
        <v/>
      </c>
    </row>
    <row r="87312">
      <c r="A87312" s="1" t="n">
        <v>87311</v>
      </c>
      <c r="B87312">
        <f>TEXT(87311, "[$-0E0000]yyyy-mm-dd")</f>
        <v/>
      </c>
    </row>
    <row r="87313">
      <c r="A87313" s="1" t="n">
        <v>87312</v>
      </c>
      <c r="B87313">
        <f>TEXT(87312, "[$-0E0000]yyyy-mm-dd")</f>
        <v/>
      </c>
    </row>
    <row r="87314">
      <c r="A87314" s="1" t="n">
        <v>87313</v>
      </c>
      <c r="B87314">
        <f>TEXT(87313, "[$-0E0000]yyyy-mm-dd")</f>
        <v/>
      </c>
    </row>
    <row r="87315">
      <c r="A87315" s="1" t="n">
        <v>87314</v>
      </c>
      <c r="B87315">
        <f>TEXT(87314, "[$-0E0000]yyyy-mm-dd")</f>
        <v/>
      </c>
    </row>
    <row r="87316">
      <c r="A87316" s="1" t="n">
        <v>87315</v>
      </c>
      <c r="B87316">
        <f>TEXT(87315, "[$-0E0000]yyyy-mm-dd")</f>
        <v/>
      </c>
    </row>
    <row r="87317">
      <c r="A87317" s="1" t="n">
        <v>87316</v>
      </c>
      <c r="B87317">
        <f>TEXT(87316, "[$-0E0000]yyyy-mm-dd")</f>
        <v/>
      </c>
    </row>
    <row r="87318">
      <c r="A87318" s="1" t="n">
        <v>87317</v>
      </c>
      <c r="B87318">
        <f>TEXT(87317, "[$-0E0000]yyyy-mm-dd")</f>
        <v/>
      </c>
    </row>
    <row r="87319">
      <c r="A87319" s="1" t="n">
        <v>87318</v>
      </c>
      <c r="B87319">
        <f>TEXT(87318, "[$-0E0000]yyyy-mm-dd")</f>
        <v/>
      </c>
    </row>
    <row r="87320">
      <c r="A87320" s="1" t="n">
        <v>87319</v>
      </c>
      <c r="B87320">
        <f>TEXT(87319, "[$-0E0000]yyyy-mm-dd")</f>
        <v/>
      </c>
    </row>
    <row r="87321">
      <c r="A87321" s="1" t="n">
        <v>87320</v>
      </c>
      <c r="B87321">
        <f>TEXT(87320, "[$-0E0000]yyyy-mm-dd")</f>
        <v/>
      </c>
    </row>
    <row r="87322">
      <c r="A87322" s="1" t="n">
        <v>87321</v>
      </c>
      <c r="B87322">
        <f>TEXT(87321, "[$-0E0000]yyyy-mm-dd")</f>
        <v/>
      </c>
    </row>
    <row r="87323">
      <c r="A87323" s="1" t="n">
        <v>87322</v>
      </c>
      <c r="B87323">
        <f>TEXT(87322, "[$-0E0000]yyyy-mm-dd")</f>
        <v/>
      </c>
    </row>
    <row r="87324">
      <c r="A87324" s="1" t="n">
        <v>87323</v>
      </c>
      <c r="B87324">
        <f>TEXT(87323, "[$-0E0000]yyyy-mm-dd")</f>
        <v/>
      </c>
    </row>
    <row r="87325">
      <c r="A87325" s="1" t="n">
        <v>87324</v>
      </c>
      <c r="B87325">
        <f>TEXT(87324, "[$-0E0000]yyyy-mm-dd")</f>
        <v/>
      </c>
    </row>
    <row r="87326">
      <c r="A87326" s="1" t="n">
        <v>87325</v>
      </c>
      <c r="B87326">
        <f>TEXT(87325, "[$-0E0000]yyyy-mm-dd")</f>
        <v/>
      </c>
    </row>
    <row r="87327">
      <c r="A87327" s="1" t="n">
        <v>87326</v>
      </c>
      <c r="B87327">
        <f>TEXT(87326, "[$-0E0000]yyyy-mm-dd")</f>
        <v/>
      </c>
    </row>
    <row r="87328">
      <c r="A87328" s="1" t="n">
        <v>87327</v>
      </c>
      <c r="B87328">
        <f>TEXT(87327, "[$-0E0000]yyyy-mm-dd")</f>
        <v/>
      </c>
    </row>
    <row r="87329">
      <c r="A87329" s="1" t="n">
        <v>87328</v>
      </c>
      <c r="B87329">
        <f>TEXT(87328, "[$-0E0000]yyyy-mm-dd")</f>
        <v/>
      </c>
    </row>
    <row r="87330">
      <c r="A87330" s="1" t="n">
        <v>87329</v>
      </c>
      <c r="B87330">
        <f>TEXT(87329, "[$-0E0000]yyyy-mm-dd")</f>
        <v/>
      </c>
    </row>
    <row r="87331">
      <c r="A87331" s="1" t="n">
        <v>87330</v>
      </c>
      <c r="B87331">
        <f>TEXT(87330, "[$-0E0000]yyyy-mm-dd")</f>
        <v/>
      </c>
    </row>
    <row r="87332">
      <c r="A87332" s="1" t="n">
        <v>87331</v>
      </c>
      <c r="B87332">
        <f>TEXT(87331, "[$-0E0000]yyyy-mm-dd")</f>
        <v/>
      </c>
    </row>
    <row r="87333">
      <c r="A87333" s="1" t="n">
        <v>87332</v>
      </c>
      <c r="B87333">
        <f>TEXT(87332, "[$-0E0000]yyyy-mm-dd")</f>
        <v/>
      </c>
    </row>
    <row r="87334">
      <c r="A87334" s="1" t="n">
        <v>87333</v>
      </c>
      <c r="B87334">
        <f>TEXT(87333, "[$-0E0000]yyyy-mm-dd")</f>
        <v/>
      </c>
    </row>
    <row r="87335">
      <c r="A87335" s="1" t="n">
        <v>87334</v>
      </c>
      <c r="B87335">
        <f>TEXT(87334, "[$-0E0000]yyyy-mm-dd")</f>
        <v/>
      </c>
    </row>
    <row r="87336">
      <c r="A87336" s="1" t="n">
        <v>87335</v>
      </c>
      <c r="B87336">
        <f>TEXT(87335, "[$-0E0000]yyyy-mm-dd")</f>
        <v/>
      </c>
    </row>
    <row r="87337">
      <c r="A87337" s="1" t="n">
        <v>87336</v>
      </c>
      <c r="B87337">
        <f>TEXT(87336, "[$-0E0000]yyyy-mm-dd")</f>
        <v/>
      </c>
    </row>
    <row r="87338">
      <c r="A87338" s="1" t="n">
        <v>87337</v>
      </c>
      <c r="B87338">
        <f>TEXT(87337, "[$-0E0000]yyyy-mm-dd")</f>
        <v/>
      </c>
    </row>
    <row r="87339">
      <c r="A87339" s="1" t="n">
        <v>87338</v>
      </c>
      <c r="B87339">
        <f>TEXT(87338, "[$-0E0000]yyyy-mm-dd")</f>
        <v/>
      </c>
    </row>
    <row r="87340">
      <c r="A87340" s="1" t="n">
        <v>87339</v>
      </c>
      <c r="B87340">
        <f>TEXT(87339, "[$-0E0000]yyyy-mm-dd")</f>
        <v/>
      </c>
    </row>
    <row r="87341">
      <c r="A87341" s="1" t="n">
        <v>87340</v>
      </c>
      <c r="B87341">
        <f>TEXT(87340, "[$-0E0000]yyyy-mm-dd")</f>
        <v/>
      </c>
    </row>
    <row r="87342">
      <c r="A87342" s="1" t="n">
        <v>87341</v>
      </c>
      <c r="B87342">
        <f>TEXT(87341, "[$-0E0000]yyyy-mm-dd")</f>
        <v/>
      </c>
    </row>
    <row r="87343">
      <c r="A87343" s="1" t="n">
        <v>87342</v>
      </c>
      <c r="B87343">
        <f>TEXT(87342, "[$-0E0000]yyyy-mm-dd")</f>
        <v/>
      </c>
    </row>
    <row r="87344">
      <c r="A87344" s="1" t="n">
        <v>87343</v>
      </c>
      <c r="B87344">
        <f>TEXT(87343, "[$-0E0000]yyyy-mm-dd")</f>
        <v/>
      </c>
    </row>
    <row r="87345">
      <c r="A87345" s="1" t="n">
        <v>87344</v>
      </c>
      <c r="B87345">
        <f>TEXT(87344, "[$-0E0000]yyyy-mm-dd")</f>
        <v/>
      </c>
    </row>
    <row r="87346">
      <c r="A87346" s="1" t="n">
        <v>87345</v>
      </c>
      <c r="B87346">
        <f>TEXT(87345, "[$-0E0000]yyyy-mm-dd")</f>
        <v/>
      </c>
    </row>
    <row r="87347">
      <c r="A87347" s="1" t="n">
        <v>87346</v>
      </c>
      <c r="B87347">
        <f>TEXT(87346, "[$-0E0000]yyyy-mm-dd")</f>
        <v/>
      </c>
    </row>
    <row r="87348">
      <c r="A87348" s="1" t="n">
        <v>87347</v>
      </c>
      <c r="B87348">
        <f>TEXT(87347, "[$-0E0000]yyyy-mm-dd")</f>
        <v/>
      </c>
    </row>
    <row r="87349">
      <c r="A87349" s="1" t="n">
        <v>87348</v>
      </c>
      <c r="B87349">
        <f>TEXT(87348, "[$-0E0000]yyyy-mm-dd")</f>
        <v/>
      </c>
    </row>
    <row r="87350">
      <c r="A87350" s="1" t="n">
        <v>87349</v>
      </c>
      <c r="B87350">
        <f>TEXT(87349, "[$-0E0000]yyyy-mm-dd")</f>
        <v/>
      </c>
    </row>
    <row r="87351">
      <c r="A87351" s="1" t="n">
        <v>87350</v>
      </c>
      <c r="B87351">
        <f>TEXT(87350, "[$-0E0000]yyyy-mm-dd")</f>
        <v/>
      </c>
    </row>
    <row r="87352">
      <c r="A87352" s="1" t="n">
        <v>87351</v>
      </c>
      <c r="B87352">
        <f>TEXT(87351, "[$-0E0000]yyyy-mm-dd")</f>
        <v/>
      </c>
    </row>
    <row r="87353">
      <c r="A87353" s="1" t="n">
        <v>87352</v>
      </c>
      <c r="B87353">
        <f>TEXT(87352, "[$-0E0000]yyyy-mm-dd")</f>
        <v/>
      </c>
    </row>
    <row r="87354">
      <c r="A87354" s="1" t="n">
        <v>87353</v>
      </c>
      <c r="B87354">
        <f>TEXT(87353, "[$-0E0000]yyyy-mm-dd")</f>
        <v/>
      </c>
    </row>
    <row r="87355">
      <c r="A87355" s="1" t="n">
        <v>87354</v>
      </c>
      <c r="B87355">
        <f>TEXT(87354, "[$-0E0000]yyyy-mm-dd")</f>
        <v/>
      </c>
    </row>
    <row r="87356">
      <c r="A87356" s="1" t="n">
        <v>87355</v>
      </c>
      <c r="B87356">
        <f>TEXT(87355, "[$-0E0000]yyyy-mm-dd")</f>
        <v/>
      </c>
    </row>
    <row r="87357">
      <c r="A87357" s="1" t="n">
        <v>87356</v>
      </c>
      <c r="B87357">
        <f>TEXT(87356, "[$-0E0000]yyyy-mm-dd")</f>
        <v/>
      </c>
    </row>
    <row r="87358">
      <c r="A87358" s="1" t="n">
        <v>87357</v>
      </c>
      <c r="B87358">
        <f>TEXT(87357, "[$-0E0000]yyyy-mm-dd")</f>
        <v/>
      </c>
    </row>
    <row r="87359">
      <c r="A87359" s="1" t="n">
        <v>87358</v>
      </c>
      <c r="B87359">
        <f>TEXT(87358, "[$-0E0000]yyyy-mm-dd")</f>
        <v/>
      </c>
    </row>
    <row r="87360">
      <c r="A87360" s="1" t="n">
        <v>87359</v>
      </c>
      <c r="B87360">
        <f>TEXT(87359, "[$-0E0000]yyyy-mm-dd")</f>
        <v/>
      </c>
    </row>
    <row r="87361">
      <c r="A87361" s="1" t="n">
        <v>87360</v>
      </c>
      <c r="B87361">
        <f>TEXT(87360, "[$-0E0000]yyyy-mm-dd")</f>
        <v/>
      </c>
    </row>
    <row r="87362">
      <c r="A87362" s="1" t="n">
        <v>87361</v>
      </c>
      <c r="B87362">
        <f>TEXT(87361, "[$-0E0000]yyyy-mm-dd")</f>
        <v/>
      </c>
    </row>
    <row r="87363">
      <c r="A87363" s="1" t="n">
        <v>87362</v>
      </c>
      <c r="B87363">
        <f>TEXT(87362, "[$-0E0000]yyyy-mm-dd")</f>
        <v/>
      </c>
    </row>
    <row r="87364">
      <c r="A87364" s="1" t="n">
        <v>87363</v>
      </c>
      <c r="B87364">
        <f>TEXT(87363, "[$-0E0000]yyyy-mm-dd")</f>
        <v/>
      </c>
    </row>
    <row r="87365">
      <c r="A87365" s="1" t="n">
        <v>87364</v>
      </c>
      <c r="B87365">
        <f>TEXT(87364, "[$-0E0000]yyyy-mm-dd")</f>
        <v/>
      </c>
    </row>
    <row r="87366">
      <c r="A87366" s="1" t="n">
        <v>87365</v>
      </c>
      <c r="B87366">
        <f>TEXT(87365, "[$-0E0000]yyyy-mm-dd")</f>
        <v/>
      </c>
    </row>
    <row r="87367">
      <c r="A87367" s="1" t="n">
        <v>87366</v>
      </c>
      <c r="B87367">
        <f>TEXT(87366, "[$-0E0000]yyyy-mm-dd")</f>
        <v/>
      </c>
    </row>
    <row r="87368">
      <c r="A87368" s="1" t="n">
        <v>87367</v>
      </c>
      <c r="B87368">
        <f>TEXT(87367, "[$-0E0000]yyyy-mm-dd")</f>
        <v/>
      </c>
    </row>
    <row r="87369">
      <c r="A87369" s="1" t="n">
        <v>87368</v>
      </c>
      <c r="B87369">
        <f>TEXT(87368, "[$-0E0000]yyyy-mm-dd")</f>
        <v/>
      </c>
    </row>
    <row r="87370">
      <c r="A87370" s="1" t="n">
        <v>87369</v>
      </c>
      <c r="B87370">
        <f>TEXT(87369, "[$-0E0000]yyyy-mm-dd")</f>
        <v/>
      </c>
    </row>
    <row r="87371">
      <c r="A87371" s="1" t="n">
        <v>87370</v>
      </c>
      <c r="B87371">
        <f>TEXT(87370, "[$-0E0000]yyyy-mm-dd")</f>
        <v/>
      </c>
    </row>
    <row r="87372">
      <c r="A87372" s="1" t="n">
        <v>87371</v>
      </c>
      <c r="B87372">
        <f>TEXT(87371, "[$-0E0000]yyyy-mm-dd")</f>
        <v/>
      </c>
    </row>
    <row r="87373">
      <c r="A87373" s="1" t="n">
        <v>87372</v>
      </c>
      <c r="B87373">
        <f>TEXT(87372, "[$-0E0000]yyyy-mm-dd")</f>
        <v/>
      </c>
    </row>
    <row r="87374">
      <c r="A87374" s="1" t="n">
        <v>87373</v>
      </c>
      <c r="B87374">
        <f>TEXT(87373, "[$-0E0000]yyyy-mm-dd")</f>
        <v/>
      </c>
    </row>
    <row r="87375">
      <c r="A87375" s="1" t="n">
        <v>87374</v>
      </c>
      <c r="B87375">
        <f>TEXT(87374, "[$-0E0000]yyyy-mm-dd")</f>
        <v/>
      </c>
    </row>
    <row r="87376">
      <c r="A87376" s="1" t="n">
        <v>87375</v>
      </c>
      <c r="B87376">
        <f>TEXT(87375, "[$-0E0000]yyyy-mm-dd")</f>
        <v/>
      </c>
    </row>
    <row r="87377">
      <c r="A87377" s="1" t="n">
        <v>87376</v>
      </c>
      <c r="B87377">
        <f>TEXT(87376, "[$-0E0000]yyyy-mm-dd")</f>
        <v/>
      </c>
    </row>
    <row r="87378">
      <c r="A87378" s="1" t="n">
        <v>87377</v>
      </c>
      <c r="B87378">
        <f>TEXT(87377, "[$-0E0000]yyyy-mm-dd")</f>
        <v/>
      </c>
    </row>
    <row r="87379">
      <c r="A87379" s="1" t="n">
        <v>87378</v>
      </c>
      <c r="B87379">
        <f>TEXT(87378, "[$-0E0000]yyyy-mm-dd")</f>
        <v/>
      </c>
    </row>
    <row r="87380">
      <c r="A87380" s="1" t="n">
        <v>87379</v>
      </c>
      <c r="B87380">
        <f>TEXT(87379, "[$-0E0000]yyyy-mm-dd")</f>
        <v/>
      </c>
    </row>
    <row r="87381">
      <c r="A87381" s="1" t="n">
        <v>87380</v>
      </c>
      <c r="B87381">
        <f>TEXT(87380, "[$-0E0000]yyyy-mm-dd")</f>
        <v/>
      </c>
    </row>
    <row r="87382">
      <c r="A87382" s="1" t="n">
        <v>87381</v>
      </c>
      <c r="B87382">
        <f>TEXT(87381, "[$-0E0000]yyyy-mm-dd")</f>
        <v/>
      </c>
    </row>
    <row r="87383">
      <c r="A87383" s="1" t="n">
        <v>87382</v>
      </c>
      <c r="B87383">
        <f>TEXT(87382, "[$-0E0000]yyyy-mm-dd")</f>
        <v/>
      </c>
    </row>
    <row r="87384">
      <c r="A87384" s="1" t="n">
        <v>87383</v>
      </c>
      <c r="B87384">
        <f>TEXT(87383, "[$-0E0000]yyyy-mm-dd")</f>
        <v/>
      </c>
    </row>
    <row r="87385">
      <c r="A87385" s="1" t="n">
        <v>87384</v>
      </c>
      <c r="B87385">
        <f>TEXT(87384, "[$-0E0000]yyyy-mm-dd")</f>
        <v/>
      </c>
    </row>
    <row r="87386">
      <c r="A87386" s="1" t="n">
        <v>87385</v>
      </c>
      <c r="B87386">
        <f>TEXT(87385, "[$-0E0000]yyyy-mm-dd")</f>
        <v/>
      </c>
    </row>
    <row r="87387">
      <c r="A87387" s="1" t="n">
        <v>87386</v>
      </c>
      <c r="B87387">
        <f>TEXT(87386, "[$-0E0000]yyyy-mm-dd")</f>
        <v/>
      </c>
    </row>
    <row r="87388">
      <c r="A87388" s="1" t="n">
        <v>87387</v>
      </c>
      <c r="B87388">
        <f>TEXT(87387, "[$-0E0000]yyyy-mm-dd")</f>
        <v/>
      </c>
    </row>
    <row r="87389">
      <c r="A87389" s="1" t="n">
        <v>87388</v>
      </c>
      <c r="B87389">
        <f>TEXT(87388, "[$-0E0000]yyyy-mm-dd")</f>
        <v/>
      </c>
    </row>
    <row r="87390">
      <c r="A87390" s="1" t="n">
        <v>87389</v>
      </c>
      <c r="B87390">
        <f>TEXT(87389, "[$-0E0000]yyyy-mm-dd")</f>
        <v/>
      </c>
    </row>
    <row r="87391">
      <c r="A87391" s="1" t="n">
        <v>87390</v>
      </c>
      <c r="B87391">
        <f>TEXT(87390, "[$-0E0000]yyyy-mm-dd")</f>
        <v/>
      </c>
    </row>
    <row r="87392">
      <c r="A87392" s="1" t="n">
        <v>87391</v>
      </c>
      <c r="B87392">
        <f>TEXT(87391, "[$-0E0000]yyyy-mm-dd")</f>
        <v/>
      </c>
    </row>
    <row r="87393">
      <c r="A87393" s="1" t="n">
        <v>87392</v>
      </c>
      <c r="B87393">
        <f>TEXT(87392, "[$-0E0000]yyyy-mm-dd")</f>
        <v/>
      </c>
    </row>
    <row r="87394">
      <c r="A87394" s="1" t="n">
        <v>87393</v>
      </c>
      <c r="B87394">
        <f>TEXT(87393, "[$-0E0000]yyyy-mm-dd")</f>
        <v/>
      </c>
    </row>
    <row r="87395">
      <c r="A87395" s="1" t="n">
        <v>87394</v>
      </c>
      <c r="B87395">
        <f>TEXT(87394, "[$-0E0000]yyyy-mm-dd")</f>
        <v/>
      </c>
    </row>
    <row r="87396">
      <c r="A87396" s="1" t="n">
        <v>87395</v>
      </c>
      <c r="B87396">
        <f>TEXT(87395, "[$-0E0000]yyyy-mm-dd")</f>
        <v/>
      </c>
    </row>
    <row r="87397">
      <c r="A87397" s="1" t="n">
        <v>87396</v>
      </c>
      <c r="B87397">
        <f>TEXT(87396, "[$-0E0000]yyyy-mm-dd")</f>
        <v/>
      </c>
    </row>
    <row r="87398">
      <c r="A87398" s="1" t="n">
        <v>87397</v>
      </c>
      <c r="B87398">
        <f>TEXT(87397, "[$-0E0000]yyyy-mm-dd")</f>
        <v/>
      </c>
    </row>
    <row r="87399">
      <c r="A87399" s="1" t="n">
        <v>87398</v>
      </c>
      <c r="B87399">
        <f>TEXT(87398, "[$-0E0000]yyyy-mm-dd")</f>
        <v/>
      </c>
    </row>
    <row r="87400">
      <c r="A87400" s="1" t="n">
        <v>87399</v>
      </c>
      <c r="B87400">
        <f>TEXT(87399, "[$-0E0000]yyyy-mm-dd")</f>
        <v/>
      </c>
    </row>
    <row r="87401">
      <c r="A87401" s="1" t="n">
        <v>87400</v>
      </c>
      <c r="B87401">
        <f>TEXT(87400, "[$-0E0000]yyyy-mm-dd")</f>
        <v/>
      </c>
    </row>
    <row r="87402">
      <c r="A87402" s="1" t="n">
        <v>87401</v>
      </c>
      <c r="B87402">
        <f>TEXT(87401, "[$-0E0000]yyyy-mm-dd")</f>
        <v/>
      </c>
    </row>
    <row r="87403">
      <c r="A87403" s="1" t="n">
        <v>87402</v>
      </c>
      <c r="B87403">
        <f>TEXT(87402, "[$-0E0000]yyyy-mm-dd")</f>
        <v/>
      </c>
    </row>
    <row r="87404">
      <c r="A87404" s="1" t="n">
        <v>87403</v>
      </c>
      <c r="B87404">
        <f>TEXT(87403, "[$-0E0000]yyyy-mm-dd")</f>
        <v/>
      </c>
    </row>
    <row r="87405">
      <c r="A87405" s="1" t="n">
        <v>87404</v>
      </c>
      <c r="B87405">
        <f>TEXT(87404, "[$-0E0000]yyyy-mm-dd")</f>
        <v/>
      </c>
    </row>
    <row r="87406">
      <c r="A87406" s="1" t="n">
        <v>87405</v>
      </c>
      <c r="B87406">
        <f>TEXT(87405, "[$-0E0000]yyyy-mm-dd")</f>
        <v/>
      </c>
    </row>
    <row r="87407">
      <c r="A87407" s="1" t="n">
        <v>87406</v>
      </c>
      <c r="B87407">
        <f>TEXT(87406, "[$-0E0000]yyyy-mm-dd")</f>
        <v/>
      </c>
    </row>
    <row r="87408">
      <c r="A87408" s="1" t="n">
        <v>87407</v>
      </c>
      <c r="B87408">
        <f>TEXT(87407, "[$-0E0000]yyyy-mm-dd")</f>
        <v/>
      </c>
    </row>
    <row r="87409">
      <c r="A87409" s="1" t="n">
        <v>87408</v>
      </c>
      <c r="B87409">
        <f>TEXT(87408, "[$-0E0000]yyyy-mm-dd")</f>
        <v/>
      </c>
    </row>
    <row r="87410">
      <c r="A87410" s="1" t="n">
        <v>87409</v>
      </c>
      <c r="B87410">
        <f>TEXT(87409, "[$-0E0000]yyyy-mm-dd")</f>
        <v/>
      </c>
    </row>
    <row r="87411">
      <c r="A87411" s="1" t="n">
        <v>87410</v>
      </c>
      <c r="B87411">
        <f>TEXT(87410, "[$-0E0000]yyyy-mm-dd")</f>
        <v/>
      </c>
    </row>
    <row r="87412">
      <c r="A87412" s="1" t="n">
        <v>87411</v>
      </c>
      <c r="B87412">
        <f>TEXT(87411, "[$-0E0000]yyyy-mm-dd")</f>
        <v/>
      </c>
    </row>
    <row r="87413">
      <c r="A87413" s="1" t="n">
        <v>87412</v>
      </c>
      <c r="B87413">
        <f>TEXT(87412, "[$-0E0000]yyyy-mm-dd")</f>
        <v/>
      </c>
    </row>
    <row r="87414">
      <c r="A87414" s="1" t="n">
        <v>87413</v>
      </c>
      <c r="B87414">
        <f>TEXT(87413, "[$-0E0000]yyyy-mm-dd")</f>
        <v/>
      </c>
    </row>
    <row r="87415">
      <c r="A87415" s="1" t="n">
        <v>87414</v>
      </c>
      <c r="B87415">
        <f>TEXT(87414, "[$-0E0000]yyyy-mm-dd")</f>
        <v/>
      </c>
    </row>
    <row r="87416">
      <c r="A87416" s="1" t="n">
        <v>87415</v>
      </c>
      <c r="B87416">
        <f>TEXT(87415, "[$-0E0000]yyyy-mm-dd")</f>
        <v/>
      </c>
    </row>
    <row r="87417">
      <c r="A87417" s="1" t="n">
        <v>87416</v>
      </c>
      <c r="B87417">
        <f>TEXT(87416, "[$-0E0000]yyyy-mm-dd")</f>
        <v/>
      </c>
    </row>
    <row r="87418">
      <c r="A87418" s="1" t="n">
        <v>87417</v>
      </c>
      <c r="B87418">
        <f>TEXT(87417, "[$-0E0000]yyyy-mm-dd")</f>
        <v/>
      </c>
    </row>
    <row r="87419">
      <c r="A87419" s="1" t="n">
        <v>87418</v>
      </c>
      <c r="B87419">
        <f>TEXT(87418, "[$-0E0000]yyyy-mm-dd")</f>
        <v/>
      </c>
    </row>
    <row r="87420">
      <c r="A87420" s="1" t="n">
        <v>87419</v>
      </c>
      <c r="B87420">
        <f>TEXT(87419, "[$-0E0000]yyyy-mm-dd")</f>
        <v/>
      </c>
    </row>
    <row r="87421">
      <c r="A87421" s="1" t="n">
        <v>87420</v>
      </c>
      <c r="B87421">
        <f>TEXT(87420, "[$-0E0000]yyyy-mm-dd")</f>
        <v/>
      </c>
    </row>
    <row r="87422">
      <c r="A87422" s="1" t="n">
        <v>87421</v>
      </c>
      <c r="B87422">
        <f>TEXT(87421, "[$-0E0000]yyyy-mm-dd")</f>
        <v/>
      </c>
    </row>
    <row r="87423">
      <c r="A87423" s="1" t="n">
        <v>87422</v>
      </c>
      <c r="B87423">
        <f>TEXT(87422, "[$-0E0000]yyyy-mm-dd")</f>
        <v/>
      </c>
    </row>
    <row r="87424">
      <c r="A87424" s="1" t="n">
        <v>87423</v>
      </c>
      <c r="B87424">
        <f>TEXT(87423, "[$-0E0000]yyyy-mm-dd")</f>
        <v/>
      </c>
    </row>
    <row r="87425">
      <c r="A87425" s="1" t="n">
        <v>87424</v>
      </c>
      <c r="B87425">
        <f>TEXT(87424, "[$-0E0000]yyyy-mm-dd")</f>
        <v/>
      </c>
    </row>
    <row r="87426">
      <c r="A87426" s="1" t="n">
        <v>87425</v>
      </c>
      <c r="B87426">
        <f>TEXT(87425, "[$-0E0000]yyyy-mm-dd")</f>
        <v/>
      </c>
    </row>
    <row r="87427">
      <c r="A87427" s="1" t="n">
        <v>87426</v>
      </c>
      <c r="B87427">
        <f>TEXT(87426, "[$-0E0000]yyyy-mm-dd")</f>
        <v/>
      </c>
    </row>
    <row r="87428">
      <c r="A87428" s="1" t="n">
        <v>87427</v>
      </c>
      <c r="B87428">
        <f>TEXT(87427, "[$-0E0000]yyyy-mm-dd")</f>
        <v/>
      </c>
    </row>
    <row r="87429">
      <c r="A87429" s="1" t="n">
        <v>87428</v>
      </c>
      <c r="B87429">
        <f>TEXT(87428, "[$-0E0000]yyyy-mm-dd")</f>
        <v/>
      </c>
    </row>
    <row r="87430">
      <c r="A87430" s="1" t="n">
        <v>87429</v>
      </c>
      <c r="B87430">
        <f>TEXT(87429, "[$-0E0000]yyyy-mm-dd")</f>
        <v/>
      </c>
    </row>
    <row r="87431">
      <c r="A87431" s="1" t="n">
        <v>87430</v>
      </c>
      <c r="B87431">
        <f>TEXT(87430, "[$-0E0000]yyyy-mm-dd")</f>
        <v/>
      </c>
    </row>
    <row r="87432">
      <c r="A87432" s="1" t="n">
        <v>87431</v>
      </c>
      <c r="B87432">
        <f>TEXT(87431, "[$-0E0000]yyyy-mm-dd")</f>
        <v/>
      </c>
    </row>
    <row r="87433">
      <c r="A87433" s="1" t="n">
        <v>87432</v>
      </c>
      <c r="B87433">
        <f>TEXT(87432, "[$-0E0000]yyyy-mm-dd")</f>
        <v/>
      </c>
    </row>
    <row r="87434">
      <c r="A87434" s="1" t="n">
        <v>87433</v>
      </c>
      <c r="B87434">
        <f>TEXT(87433, "[$-0E0000]yyyy-mm-dd")</f>
        <v/>
      </c>
    </row>
    <row r="87435">
      <c r="A87435" s="1" t="n">
        <v>87434</v>
      </c>
      <c r="B87435">
        <f>TEXT(87434, "[$-0E0000]yyyy-mm-dd")</f>
        <v/>
      </c>
    </row>
    <row r="87436">
      <c r="A87436" s="1" t="n">
        <v>87435</v>
      </c>
      <c r="B87436">
        <f>TEXT(87435, "[$-0E0000]yyyy-mm-dd")</f>
        <v/>
      </c>
    </row>
    <row r="87437">
      <c r="A87437" s="1" t="n">
        <v>87436</v>
      </c>
      <c r="B87437">
        <f>TEXT(87436, "[$-0E0000]yyyy-mm-dd")</f>
        <v/>
      </c>
    </row>
    <row r="87438">
      <c r="A87438" s="1" t="n">
        <v>87437</v>
      </c>
      <c r="B87438">
        <f>TEXT(87437, "[$-0E0000]yyyy-mm-dd")</f>
        <v/>
      </c>
    </row>
    <row r="87439">
      <c r="A87439" s="1" t="n">
        <v>87438</v>
      </c>
      <c r="B87439">
        <f>TEXT(87438, "[$-0E0000]yyyy-mm-dd")</f>
        <v/>
      </c>
    </row>
    <row r="87440">
      <c r="A87440" s="1" t="n">
        <v>87439</v>
      </c>
      <c r="B87440">
        <f>TEXT(87439, "[$-0E0000]yyyy-mm-dd")</f>
        <v/>
      </c>
    </row>
    <row r="87441">
      <c r="A87441" s="1" t="n">
        <v>87440</v>
      </c>
      <c r="B87441">
        <f>TEXT(87440, "[$-0E0000]yyyy-mm-dd")</f>
        <v/>
      </c>
    </row>
    <row r="87442">
      <c r="A87442" s="1" t="n">
        <v>87441</v>
      </c>
      <c r="B87442">
        <f>TEXT(87441, "[$-0E0000]yyyy-mm-dd")</f>
        <v/>
      </c>
    </row>
    <row r="87443">
      <c r="A87443" s="1" t="n">
        <v>87442</v>
      </c>
      <c r="B87443">
        <f>TEXT(87442, "[$-0E0000]yyyy-mm-dd")</f>
        <v/>
      </c>
    </row>
    <row r="87444">
      <c r="A87444" s="1" t="n">
        <v>87443</v>
      </c>
      <c r="B87444">
        <f>TEXT(87443, "[$-0E0000]yyyy-mm-dd")</f>
        <v/>
      </c>
    </row>
    <row r="87445">
      <c r="A87445" s="1" t="n">
        <v>87444</v>
      </c>
      <c r="B87445">
        <f>TEXT(87444, "[$-0E0000]yyyy-mm-dd")</f>
        <v/>
      </c>
    </row>
    <row r="87446">
      <c r="A87446" s="1" t="n">
        <v>87445</v>
      </c>
      <c r="B87446">
        <f>TEXT(87445, "[$-0E0000]yyyy-mm-dd")</f>
        <v/>
      </c>
    </row>
    <row r="87447">
      <c r="A87447" s="1" t="n">
        <v>87446</v>
      </c>
      <c r="B87447">
        <f>TEXT(87446, "[$-0E0000]yyyy-mm-dd")</f>
        <v/>
      </c>
    </row>
    <row r="87448">
      <c r="A87448" s="1" t="n">
        <v>87447</v>
      </c>
      <c r="B87448">
        <f>TEXT(87447, "[$-0E0000]yyyy-mm-dd")</f>
        <v/>
      </c>
    </row>
    <row r="87449">
      <c r="A87449" s="1" t="n">
        <v>87448</v>
      </c>
      <c r="B87449">
        <f>TEXT(87448, "[$-0E0000]yyyy-mm-dd")</f>
        <v/>
      </c>
    </row>
    <row r="87450">
      <c r="A87450" s="1" t="n">
        <v>87449</v>
      </c>
      <c r="B87450">
        <f>TEXT(87449, "[$-0E0000]yyyy-mm-dd")</f>
        <v/>
      </c>
    </row>
    <row r="87451">
      <c r="A87451" s="1" t="n">
        <v>87450</v>
      </c>
      <c r="B87451">
        <f>TEXT(87450, "[$-0E0000]yyyy-mm-dd")</f>
        <v/>
      </c>
    </row>
    <row r="87452">
      <c r="A87452" s="1" t="n">
        <v>87451</v>
      </c>
      <c r="B87452">
        <f>TEXT(87451, "[$-0E0000]yyyy-mm-dd")</f>
        <v/>
      </c>
    </row>
    <row r="87453">
      <c r="A87453" s="1" t="n">
        <v>87452</v>
      </c>
      <c r="B87453">
        <f>TEXT(87452, "[$-0E0000]yyyy-mm-dd")</f>
        <v/>
      </c>
    </row>
    <row r="87454">
      <c r="A87454" s="1" t="n">
        <v>87453</v>
      </c>
      <c r="B87454">
        <f>TEXT(87453, "[$-0E0000]yyyy-mm-dd")</f>
        <v/>
      </c>
    </row>
    <row r="87455">
      <c r="A87455" s="1" t="n">
        <v>87454</v>
      </c>
      <c r="B87455">
        <f>TEXT(87454, "[$-0E0000]yyyy-mm-dd")</f>
        <v/>
      </c>
    </row>
    <row r="87456">
      <c r="A87456" s="1" t="n">
        <v>87455</v>
      </c>
      <c r="B87456">
        <f>TEXT(87455, "[$-0E0000]yyyy-mm-dd")</f>
        <v/>
      </c>
    </row>
    <row r="87457">
      <c r="A87457" s="1" t="n">
        <v>87456</v>
      </c>
      <c r="B87457">
        <f>TEXT(87456, "[$-0E0000]yyyy-mm-dd")</f>
        <v/>
      </c>
    </row>
    <row r="87458">
      <c r="A87458" s="1" t="n">
        <v>87457</v>
      </c>
      <c r="B87458">
        <f>TEXT(87457, "[$-0E0000]yyyy-mm-dd")</f>
        <v/>
      </c>
    </row>
    <row r="87459">
      <c r="A87459" s="1" t="n">
        <v>87458</v>
      </c>
      <c r="B87459">
        <f>TEXT(87458, "[$-0E0000]yyyy-mm-dd")</f>
        <v/>
      </c>
    </row>
    <row r="87460">
      <c r="A87460" s="1" t="n">
        <v>87459</v>
      </c>
      <c r="B87460">
        <f>TEXT(87459, "[$-0E0000]yyyy-mm-dd")</f>
        <v/>
      </c>
    </row>
    <row r="87461">
      <c r="A87461" s="1" t="n">
        <v>87460</v>
      </c>
      <c r="B87461">
        <f>TEXT(87460, "[$-0E0000]yyyy-mm-dd")</f>
        <v/>
      </c>
    </row>
    <row r="87462">
      <c r="A87462" s="1" t="n">
        <v>87461</v>
      </c>
      <c r="B87462">
        <f>TEXT(87461, "[$-0E0000]yyyy-mm-dd")</f>
        <v/>
      </c>
    </row>
    <row r="87463">
      <c r="A87463" s="1" t="n">
        <v>87462</v>
      </c>
      <c r="B87463">
        <f>TEXT(87462, "[$-0E0000]yyyy-mm-dd")</f>
        <v/>
      </c>
    </row>
    <row r="87464">
      <c r="A87464" s="1" t="n">
        <v>87463</v>
      </c>
      <c r="B87464">
        <f>TEXT(87463, "[$-0E0000]yyyy-mm-dd")</f>
        <v/>
      </c>
    </row>
    <row r="87465">
      <c r="A87465" s="1" t="n">
        <v>87464</v>
      </c>
      <c r="B87465">
        <f>TEXT(87464, "[$-0E0000]yyyy-mm-dd")</f>
        <v/>
      </c>
    </row>
    <row r="87466">
      <c r="A87466" s="1" t="n">
        <v>87465</v>
      </c>
      <c r="B87466">
        <f>TEXT(87465, "[$-0E0000]yyyy-mm-dd")</f>
        <v/>
      </c>
    </row>
    <row r="87467">
      <c r="A87467" s="1" t="n">
        <v>87466</v>
      </c>
      <c r="B87467">
        <f>TEXT(87466, "[$-0E0000]yyyy-mm-dd")</f>
        <v/>
      </c>
    </row>
    <row r="87468">
      <c r="A87468" s="1" t="n">
        <v>87467</v>
      </c>
      <c r="B87468">
        <f>TEXT(87467, "[$-0E0000]yyyy-mm-dd")</f>
        <v/>
      </c>
    </row>
    <row r="87469">
      <c r="A87469" s="1" t="n">
        <v>87468</v>
      </c>
      <c r="B87469">
        <f>TEXT(87468, "[$-0E0000]yyyy-mm-dd")</f>
        <v/>
      </c>
    </row>
    <row r="87470">
      <c r="A87470" s="1" t="n">
        <v>87469</v>
      </c>
      <c r="B87470">
        <f>TEXT(87469, "[$-0E0000]yyyy-mm-dd")</f>
        <v/>
      </c>
    </row>
    <row r="87471">
      <c r="A87471" s="1" t="n">
        <v>87470</v>
      </c>
      <c r="B87471">
        <f>TEXT(87470, "[$-0E0000]yyyy-mm-dd")</f>
        <v/>
      </c>
    </row>
    <row r="87472">
      <c r="A87472" s="1" t="n">
        <v>87471</v>
      </c>
      <c r="B87472">
        <f>TEXT(87471, "[$-0E0000]yyyy-mm-dd")</f>
        <v/>
      </c>
    </row>
    <row r="87473">
      <c r="A87473" s="1" t="n">
        <v>87472</v>
      </c>
      <c r="B87473">
        <f>TEXT(87472, "[$-0E0000]yyyy-mm-dd")</f>
        <v/>
      </c>
    </row>
    <row r="87474">
      <c r="A87474" s="1" t="n">
        <v>87473</v>
      </c>
      <c r="B87474">
        <f>TEXT(87473, "[$-0E0000]yyyy-mm-dd")</f>
        <v/>
      </c>
    </row>
    <row r="87475">
      <c r="A87475" s="1" t="n">
        <v>87474</v>
      </c>
      <c r="B87475">
        <f>TEXT(87474, "[$-0E0000]yyyy-mm-dd")</f>
        <v/>
      </c>
    </row>
    <row r="87476">
      <c r="A87476" s="1" t="n">
        <v>87475</v>
      </c>
      <c r="B87476">
        <f>TEXT(87475, "[$-0E0000]yyyy-mm-dd")</f>
        <v/>
      </c>
    </row>
    <row r="87477">
      <c r="A87477" s="1" t="n">
        <v>87476</v>
      </c>
      <c r="B87477">
        <f>TEXT(87476, "[$-0E0000]yyyy-mm-dd")</f>
        <v/>
      </c>
    </row>
    <row r="87478">
      <c r="A87478" s="1" t="n">
        <v>87477</v>
      </c>
      <c r="B87478">
        <f>TEXT(87477, "[$-0E0000]yyyy-mm-dd")</f>
        <v/>
      </c>
    </row>
    <row r="87479">
      <c r="A87479" s="1" t="n">
        <v>87478</v>
      </c>
      <c r="B87479">
        <f>TEXT(87478, "[$-0E0000]yyyy-mm-dd")</f>
        <v/>
      </c>
    </row>
    <row r="87480">
      <c r="A87480" s="1" t="n">
        <v>87479</v>
      </c>
      <c r="B87480">
        <f>TEXT(87479, "[$-0E0000]yyyy-mm-dd")</f>
        <v/>
      </c>
    </row>
    <row r="87481">
      <c r="A87481" s="1" t="n">
        <v>87480</v>
      </c>
      <c r="B87481">
        <f>TEXT(87480, "[$-0E0000]yyyy-mm-dd")</f>
        <v/>
      </c>
    </row>
    <row r="87482">
      <c r="A87482" s="1" t="n">
        <v>87481</v>
      </c>
      <c r="B87482">
        <f>TEXT(87481, "[$-0E0000]yyyy-mm-dd")</f>
        <v/>
      </c>
    </row>
    <row r="87483">
      <c r="A87483" s="1" t="n">
        <v>87482</v>
      </c>
      <c r="B87483">
        <f>TEXT(87482, "[$-0E0000]yyyy-mm-dd")</f>
        <v/>
      </c>
    </row>
    <row r="87484">
      <c r="A87484" s="1" t="n">
        <v>87483</v>
      </c>
      <c r="B87484">
        <f>TEXT(87483, "[$-0E0000]yyyy-mm-dd")</f>
        <v/>
      </c>
    </row>
    <row r="87485">
      <c r="A87485" s="1" t="n">
        <v>87484</v>
      </c>
      <c r="B87485">
        <f>TEXT(87484, "[$-0E0000]yyyy-mm-dd")</f>
        <v/>
      </c>
    </row>
    <row r="87486">
      <c r="A87486" s="1" t="n">
        <v>87485</v>
      </c>
      <c r="B87486">
        <f>TEXT(87485, "[$-0E0000]yyyy-mm-dd")</f>
        <v/>
      </c>
    </row>
    <row r="87487">
      <c r="A87487" s="1" t="n">
        <v>87486</v>
      </c>
      <c r="B87487">
        <f>TEXT(87486, "[$-0E0000]yyyy-mm-dd")</f>
        <v/>
      </c>
    </row>
    <row r="87488">
      <c r="A87488" s="1" t="n">
        <v>87487</v>
      </c>
      <c r="B87488">
        <f>TEXT(87487, "[$-0E0000]yyyy-mm-dd")</f>
        <v/>
      </c>
    </row>
    <row r="87489">
      <c r="A87489" s="1" t="n">
        <v>87488</v>
      </c>
      <c r="B87489">
        <f>TEXT(87488, "[$-0E0000]yyyy-mm-dd")</f>
        <v/>
      </c>
    </row>
    <row r="87490">
      <c r="A87490" s="1" t="n">
        <v>87489</v>
      </c>
      <c r="B87490">
        <f>TEXT(87489, "[$-0E0000]yyyy-mm-dd")</f>
        <v/>
      </c>
    </row>
    <row r="87491">
      <c r="A87491" s="1" t="n">
        <v>87490</v>
      </c>
      <c r="B87491">
        <f>TEXT(87490, "[$-0E0000]yyyy-mm-dd")</f>
        <v/>
      </c>
    </row>
    <row r="87492">
      <c r="A87492" s="1" t="n">
        <v>87491</v>
      </c>
      <c r="B87492">
        <f>TEXT(87491, "[$-0E0000]yyyy-mm-dd")</f>
        <v/>
      </c>
    </row>
    <row r="87493">
      <c r="A87493" s="1" t="n">
        <v>87492</v>
      </c>
      <c r="B87493">
        <f>TEXT(87492, "[$-0E0000]yyyy-mm-dd")</f>
        <v/>
      </c>
    </row>
    <row r="87494">
      <c r="A87494" s="1" t="n">
        <v>87493</v>
      </c>
      <c r="B87494">
        <f>TEXT(87493, "[$-0E0000]yyyy-mm-dd")</f>
        <v/>
      </c>
    </row>
    <row r="87495">
      <c r="A87495" s="1" t="n">
        <v>87494</v>
      </c>
      <c r="B87495">
        <f>TEXT(87494, "[$-0E0000]yyyy-mm-dd")</f>
        <v/>
      </c>
    </row>
    <row r="87496">
      <c r="A87496" s="1" t="n">
        <v>87495</v>
      </c>
      <c r="B87496">
        <f>TEXT(87495, "[$-0E0000]yyyy-mm-dd")</f>
        <v/>
      </c>
    </row>
    <row r="87497">
      <c r="A87497" s="1" t="n">
        <v>87496</v>
      </c>
      <c r="B87497">
        <f>TEXT(87496, "[$-0E0000]yyyy-mm-dd")</f>
        <v/>
      </c>
    </row>
    <row r="87498">
      <c r="A87498" s="1" t="n">
        <v>87497</v>
      </c>
      <c r="B87498">
        <f>TEXT(87497, "[$-0E0000]yyyy-mm-dd")</f>
        <v/>
      </c>
    </row>
    <row r="87499">
      <c r="A87499" s="1" t="n">
        <v>87498</v>
      </c>
      <c r="B87499">
        <f>TEXT(87498, "[$-0E0000]yyyy-mm-dd")</f>
        <v/>
      </c>
    </row>
    <row r="87500">
      <c r="A87500" s="1" t="n">
        <v>87499</v>
      </c>
      <c r="B87500">
        <f>TEXT(87499, "[$-0E0000]yyyy-mm-dd")</f>
        <v/>
      </c>
    </row>
    <row r="87501">
      <c r="A87501" s="1" t="n">
        <v>87500</v>
      </c>
      <c r="B87501">
        <f>TEXT(87500, "[$-0E0000]yyyy-mm-dd")</f>
        <v/>
      </c>
    </row>
    <row r="87502">
      <c r="A87502" s="1" t="n">
        <v>87501</v>
      </c>
      <c r="B87502">
        <f>TEXT(87501, "[$-0E0000]yyyy-mm-dd")</f>
        <v/>
      </c>
    </row>
    <row r="87503">
      <c r="A87503" s="1" t="n">
        <v>87502</v>
      </c>
      <c r="B87503">
        <f>TEXT(87502, "[$-0E0000]yyyy-mm-dd")</f>
        <v/>
      </c>
    </row>
    <row r="87504">
      <c r="A87504" s="1" t="n">
        <v>87503</v>
      </c>
      <c r="B87504">
        <f>TEXT(87503, "[$-0E0000]yyyy-mm-dd")</f>
        <v/>
      </c>
    </row>
    <row r="87505">
      <c r="A87505" s="1" t="n">
        <v>87504</v>
      </c>
      <c r="B87505">
        <f>TEXT(87504, "[$-0E0000]yyyy-mm-dd")</f>
        <v/>
      </c>
    </row>
    <row r="87506">
      <c r="A87506" s="1" t="n">
        <v>87505</v>
      </c>
      <c r="B87506">
        <f>TEXT(87505, "[$-0E0000]yyyy-mm-dd")</f>
        <v/>
      </c>
    </row>
    <row r="87507">
      <c r="A87507" s="1" t="n">
        <v>87506</v>
      </c>
      <c r="B87507">
        <f>TEXT(87506, "[$-0E0000]yyyy-mm-dd")</f>
        <v/>
      </c>
    </row>
    <row r="87508">
      <c r="A87508" s="1" t="n">
        <v>87507</v>
      </c>
      <c r="B87508">
        <f>TEXT(87507, "[$-0E0000]yyyy-mm-dd")</f>
        <v/>
      </c>
    </row>
    <row r="87509">
      <c r="A87509" s="1" t="n">
        <v>87508</v>
      </c>
      <c r="B87509">
        <f>TEXT(87508, "[$-0E0000]yyyy-mm-dd")</f>
        <v/>
      </c>
    </row>
    <row r="87510">
      <c r="A87510" s="1" t="n">
        <v>87509</v>
      </c>
      <c r="B87510">
        <f>TEXT(87509, "[$-0E0000]yyyy-mm-dd")</f>
        <v/>
      </c>
    </row>
    <row r="87511">
      <c r="A87511" s="1" t="n">
        <v>87510</v>
      </c>
      <c r="B87511">
        <f>TEXT(87510, "[$-0E0000]yyyy-mm-dd")</f>
        <v/>
      </c>
    </row>
    <row r="87512">
      <c r="A87512" s="1" t="n">
        <v>87511</v>
      </c>
      <c r="B87512">
        <f>TEXT(87511, "[$-0E0000]yyyy-mm-dd")</f>
        <v/>
      </c>
    </row>
    <row r="87513">
      <c r="A87513" s="1" t="n">
        <v>87512</v>
      </c>
      <c r="B87513">
        <f>TEXT(87512, "[$-0E0000]yyyy-mm-dd")</f>
        <v/>
      </c>
    </row>
    <row r="87514">
      <c r="A87514" s="1" t="n">
        <v>87513</v>
      </c>
      <c r="B87514">
        <f>TEXT(87513, "[$-0E0000]yyyy-mm-dd")</f>
        <v/>
      </c>
    </row>
    <row r="87515">
      <c r="A87515" s="1" t="n">
        <v>87514</v>
      </c>
      <c r="B87515">
        <f>TEXT(87514, "[$-0E0000]yyyy-mm-dd")</f>
        <v/>
      </c>
    </row>
    <row r="87516">
      <c r="A87516" s="1" t="n">
        <v>87515</v>
      </c>
      <c r="B87516">
        <f>TEXT(87515, "[$-0E0000]yyyy-mm-dd")</f>
        <v/>
      </c>
    </row>
    <row r="87517">
      <c r="A87517" s="1" t="n">
        <v>87516</v>
      </c>
      <c r="B87517">
        <f>TEXT(87516, "[$-0E0000]yyyy-mm-dd")</f>
        <v/>
      </c>
    </row>
    <row r="87518">
      <c r="A87518" s="1" t="n">
        <v>87517</v>
      </c>
      <c r="B87518">
        <f>TEXT(87517, "[$-0E0000]yyyy-mm-dd")</f>
        <v/>
      </c>
    </row>
    <row r="87519">
      <c r="A87519" s="1" t="n">
        <v>87518</v>
      </c>
      <c r="B87519">
        <f>TEXT(87518, "[$-0E0000]yyyy-mm-dd")</f>
        <v/>
      </c>
    </row>
    <row r="87520">
      <c r="A87520" s="1" t="n">
        <v>87519</v>
      </c>
      <c r="B87520">
        <f>TEXT(87519, "[$-0E0000]yyyy-mm-dd")</f>
        <v/>
      </c>
    </row>
    <row r="87521">
      <c r="A87521" s="1" t="n">
        <v>87520</v>
      </c>
      <c r="B87521">
        <f>TEXT(87520, "[$-0E0000]yyyy-mm-dd")</f>
        <v/>
      </c>
    </row>
    <row r="87522">
      <c r="A87522" s="1" t="n">
        <v>87521</v>
      </c>
      <c r="B87522">
        <f>TEXT(87521, "[$-0E0000]yyyy-mm-dd")</f>
        <v/>
      </c>
    </row>
    <row r="87523">
      <c r="A87523" s="1" t="n">
        <v>87522</v>
      </c>
      <c r="B87523">
        <f>TEXT(87522, "[$-0E0000]yyyy-mm-dd")</f>
        <v/>
      </c>
    </row>
    <row r="87524">
      <c r="A87524" s="1" t="n">
        <v>87523</v>
      </c>
      <c r="B87524">
        <f>TEXT(87523, "[$-0E0000]yyyy-mm-dd")</f>
        <v/>
      </c>
    </row>
    <row r="87525">
      <c r="A87525" s="1" t="n">
        <v>87524</v>
      </c>
      <c r="B87525">
        <f>TEXT(87524, "[$-0E0000]yyyy-mm-dd")</f>
        <v/>
      </c>
    </row>
    <row r="87526">
      <c r="A87526" s="1" t="n">
        <v>87525</v>
      </c>
      <c r="B87526">
        <f>TEXT(87525, "[$-0E0000]yyyy-mm-dd")</f>
        <v/>
      </c>
    </row>
    <row r="87527">
      <c r="A87527" s="1" t="n">
        <v>87526</v>
      </c>
      <c r="B87527">
        <f>TEXT(87526, "[$-0E0000]yyyy-mm-dd")</f>
        <v/>
      </c>
    </row>
    <row r="87528">
      <c r="A87528" s="1" t="n">
        <v>87527</v>
      </c>
      <c r="B87528">
        <f>TEXT(87527, "[$-0E0000]yyyy-mm-dd")</f>
        <v/>
      </c>
    </row>
    <row r="87529">
      <c r="A87529" s="1" t="n">
        <v>87528</v>
      </c>
      <c r="B87529">
        <f>TEXT(87528, "[$-0E0000]yyyy-mm-dd")</f>
        <v/>
      </c>
    </row>
    <row r="87530">
      <c r="A87530" s="1" t="n">
        <v>87529</v>
      </c>
      <c r="B87530">
        <f>TEXT(87529, "[$-0E0000]yyyy-mm-dd")</f>
        <v/>
      </c>
    </row>
    <row r="87531">
      <c r="A87531" s="1" t="n">
        <v>87530</v>
      </c>
      <c r="B87531">
        <f>TEXT(87530, "[$-0E0000]yyyy-mm-dd")</f>
        <v/>
      </c>
    </row>
    <row r="87532">
      <c r="A87532" s="1" t="n">
        <v>87531</v>
      </c>
      <c r="B87532">
        <f>TEXT(87531, "[$-0E0000]yyyy-mm-dd")</f>
        <v/>
      </c>
    </row>
    <row r="87533">
      <c r="A87533" s="1" t="n">
        <v>87532</v>
      </c>
      <c r="B87533">
        <f>TEXT(87532, "[$-0E0000]yyyy-mm-dd")</f>
        <v/>
      </c>
    </row>
    <row r="87534">
      <c r="A87534" s="1" t="n">
        <v>87533</v>
      </c>
      <c r="B87534">
        <f>TEXT(87533, "[$-0E0000]yyyy-mm-dd")</f>
        <v/>
      </c>
    </row>
    <row r="87535">
      <c r="A87535" s="1" t="n">
        <v>87534</v>
      </c>
      <c r="B87535">
        <f>TEXT(87534, "[$-0E0000]yyyy-mm-dd")</f>
        <v/>
      </c>
    </row>
    <row r="87536">
      <c r="A87536" s="1" t="n">
        <v>87535</v>
      </c>
      <c r="B87536">
        <f>TEXT(87535, "[$-0E0000]yyyy-mm-dd")</f>
        <v/>
      </c>
    </row>
    <row r="87537">
      <c r="A87537" s="1" t="n">
        <v>87536</v>
      </c>
      <c r="B87537">
        <f>TEXT(87536, "[$-0E0000]yyyy-mm-dd")</f>
        <v/>
      </c>
    </row>
    <row r="87538">
      <c r="A87538" s="1" t="n">
        <v>87537</v>
      </c>
      <c r="B87538">
        <f>TEXT(87537, "[$-0E0000]yyyy-mm-dd")</f>
        <v/>
      </c>
    </row>
    <row r="87539">
      <c r="A87539" s="1" t="n">
        <v>87538</v>
      </c>
      <c r="B87539">
        <f>TEXT(87538, "[$-0E0000]yyyy-mm-dd")</f>
        <v/>
      </c>
    </row>
    <row r="87540">
      <c r="A87540" s="1" t="n">
        <v>87539</v>
      </c>
      <c r="B87540">
        <f>TEXT(87539, "[$-0E0000]yyyy-mm-dd")</f>
        <v/>
      </c>
    </row>
    <row r="87541">
      <c r="A87541" s="1" t="n">
        <v>87540</v>
      </c>
      <c r="B87541">
        <f>TEXT(87540, "[$-0E0000]yyyy-mm-dd")</f>
        <v/>
      </c>
    </row>
    <row r="87542">
      <c r="A87542" s="1" t="n">
        <v>87541</v>
      </c>
      <c r="B87542">
        <f>TEXT(87541, "[$-0E0000]yyyy-mm-dd")</f>
        <v/>
      </c>
    </row>
    <row r="87543">
      <c r="A87543" s="1" t="n">
        <v>87542</v>
      </c>
      <c r="B87543">
        <f>TEXT(87542, "[$-0E0000]yyyy-mm-dd")</f>
        <v/>
      </c>
    </row>
    <row r="87544">
      <c r="A87544" s="1" t="n">
        <v>87543</v>
      </c>
      <c r="B87544">
        <f>TEXT(87543, "[$-0E0000]yyyy-mm-dd")</f>
        <v/>
      </c>
    </row>
    <row r="87545">
      <c r="A87545" s="1" t="n">
        <v>87544</v>
      </c>
      <c r="B87545">
        <f>TEXT(87544, "[$-0E0000]yyyy-mm-dd")</f>
        <v/>
      </c>
    </row>
    <row r="87546">
      <c r="A87546" s="1" t="n">
        <v>87545</v>
      </c>
      <c r="B87546">
        <f>TEXT(87545, "[$-0E0000]yyyy-mm-dd")</f>
        <v/>
      </c>
    </row>
    <row r="87547">
      <c r="A87547" s="1" t="n">
        <v>87546</v>
      </c>
      <c r="B87547">
        <f>TEXT(87546, "[$-0E0000]yyyy-mm-dd")</f>
        <v/>
      </c>
    </row>
    <row r="87548">
      <c r="A87548" s="1" t="n">
        <v>87547</v>
      </c>
      <c r="B87548">
        <f>TEXT(87547, "[$-0E0000]yyyy-mm-dd")</f>
        <v/>
      </c>
    </row>
    <row r="87549">
      <c r="A87549" s="1" t="n">
        <v>87548</v>
      </c>
      <c r="B87549">
        <f>TEXT(87548, "[$-0E0000]yyyy-mm-dd")</f>
        <v/>
      </c>
    </row>
    <row r="87550">
      <c r="A87550" s="1" t="n">
        <v>87549</v>
      </c>
      <c r="B87550">
        <f>TEXT(87549, "[$-0E0000]yyyy-mm-dd")</f>
        <v/>
      </c>
    </row>
    <row r="87551">
      <c r="A87551" s="1" t="n">
        <v>87550</v>
      </c>
      <c r="B87551">
        <f>TEXT(87550, "[$-0E0000]yyyy-mm-dd")</f>
        <v/>
      </c>
    </row>
    <row r="87552">
      <c r="A87552" s="1" t="n">
        <v>87551</v>
      </c>
      <c r="B87552">
        <f>TEXT(87551, "[$-0E0000]yyyy-mm-dd")</f>
        <v/>
      </c>
    </row>
    <row r="87553">
      <c r="A87553" s="1" t="n">
        <v>87552</v>
      </c>
      <c r="B87553">
        <f>TEXT(87552, "[$-0E0000]yyyy-mm-dd")</f>
        <v/>
      </c>
    </row>
    <row r="87554">
      <c r="A87554" s="1" t="n">
        <v>87553</v>
      </c>
      <c r="B87554">
        <f>TEXT(87553, "[$-0E0000]yyyy-mm-dd")</f>
        <v/>
      </c>
    </row>
    <row r="87555">
      <c r="A87555" s="1" t="n">
        <v>87554</v>
      </c>
      <c r="B87555">
        <f>TEXT(87554, "[$-0E0000]yyyy-mm-dd")</f>
        <v/>
      </c>
    </row>
    <row r="87556">
      <c r="A87556" s="1" t="n">
        <v>87555</v>
      </c>
      <c r="B87556">
        <f>TEXT(87555, "[$-0E0000]yyyy-mm-dd")</f>
        <v/>
      </c>
    </row>
    <row r="87557">
      <c r="A87557" s="1" t="n">
        <v>87556</v>
      </c>
      <c r="B87557">
        <f>TEXT(87556, "[$-0E0000]yyyy-mm-dd")</f>
        <v/>
      </c>
    </row>
    <row r="87558">
      <c r="A87558" s="1" t="n">
        <v>87557</v>
      </c>
      <c r="B87558">
        <f>TEXT(87557, "[$-0E0000]yyyy-mm-dd")</f>
        <v/>
      </c>
    </row>
    <row r="87559">
      <c r="A87559" s="1" t="n">
        <v>87558</v>
      </c>
      <c r="B87559">
        <f>TEXT(87558, "[$-0E0000]yyyy-mm-dd")</f>
        <v/>
      </c>
    </row>
    <row r="87560">
      <c r="A87560" s="1" t="n">
        <v>87559</v>
      </c>
      <c r="B87560">
        <f>TEXT(87559, "[$-0E0000]yyyy-mm-dd")</f>
        <v/>
      </c>
    </row>
    <row r="87561">
      <c r="A87561" s="1" t="n">
        <v>87560</v>
      </c>
      <c r="B87561">
        <f>TEXT(87560, "[$-0E0000]yyyy-mm-dd")</f>
        <v/>
      </c>
    </row>
    <row r="87562">
      <c r="A87562" s="1" t="n">
        <v>87561</v>
      </c>
      <c r="B87562">
        <f>TEXT(87561, "[$-0E0000]yyyy-mm-dd")</f>
        <v/>
      </c>
    </row>
    <row r="87563">
      <c r="A87563" s="1" t="n">
        <v>87562</v>
      </c>
      <c r="B87563">
        <f>TEXT(87562, "[$-0E0000]yyyy-mm-dd")</f>
        <v/>
      </c>
    </row>
    <row r="87564">
      <c r="A87564" s="1" t="n">
        <v>87563</v>
      </c>
      <c r="B87564">
        <f>TEXT(87563, "[$-0E0000]yyyy-mm-dd")</f>
        <v/>
      </c>
    </row>
    <row r="87565">
      <c r="A87565" s="1" t="n">
        <v>87564</v>
      </c>
      <c r="B87565">
        <f>TEXT(87564, "[$-0E0000]yyyy-mm-dd")</f>
        <v/>
      </c>
    </row>
    <row r="87566">
      <c r="A87566" s="1" t="n">
        <v>87565</v>
      </c>
      <c r="B87566">
        <f>TEXT(87565, "[$-0E0000]yyyy-mm-dd")</f>
        <v/>
      </c>
    </row>
    <row r="87567">
      <c r="A87567" s="1" t="n">
        <v>87566</v>
      </c>
      <c r="B87567">
        <f>TEXT(87566, "[$-0E0000]yyyy-mm-dd")</f>
        <v/>
      </c>
    </row>
    <row r="87568">
      <c r="A87568" s="1" t="n">
        <v>87567</v>
      </c>
      <c r="B87568">
        <f>TEXT(87567, "[$-0E0000]yyyy-mm-dd")</f>
        <v/>
      </c>
    </row>
    <row r="87569">
      <c r="A87569" s="1" t="n">
        <v>87568</v>
      </c>
      <c r="B87569">
        <f>TEXT(87568, "[$-0E0000]yyyy-mm-dd")</f>
        <v/>
      </c>
    </row>
    <row r="87570">
      <c r="A87570" s="1" t="n">
        <v>87569</v>
      </c>
      <c r="B87570">
        <f>TEXT(87569, "[$-0E0000]yyyy-mm-dd")</f>
        <v/>
      </c>
    </row>
    <row r="87571">
      <c r="A87571" s="1" t="n">
        <v>87570</v>
      </c>
      <c r="B87571">
        <f>TEXT(87570, "[$-0E0000]yyyy-mm-dd")</f>
        <v/>
      </c>
    </row>
    <row r="87572">
      <c r="A87572" s="1" t="n">
        <v>87571</v>
      </c>
      <c r="B87572">
        <f>TEXT(87571, "[$-0E0000]yyyy-mm-dd")</f>
        <v/>
      </c>
    </row>
    <row r="87573">
      <c r="A87573" s="1" t="n">
        <v>87572</v>
      </c>
      <c r="B87573">
        <f>TEXT(87572, "[$-0E0000]yyyy-mm-dd")</f>
        <v/>
      </c>
    </row>
    <row r="87574">
      <c r="A87574" s="1" t="n">
        <v>87573</v>
      </c>
      <c r="B87574">
        <f>TEXT(87573, "[$-0E0000]yyyy-mm-dd")</f>
        <v/>
      </c>
    </row>
    <row r="87575">
      <c r="A87575" s="1" t="n">
        <v>87574</v>
      </c>
      <c r="B87575">
        <f>TEXT(87574, "[$-0E0000]yyyy-mm-dd")</f>
        <v/>
      </c>
    </row>
    <row r="87576">
      <c r="A87576" s="1" t="n">
        <v>87575</v>
      </c>
      <c r="B87576">
        <f>TEXT(87575, "[$-0E0000]yyyy-mm-dd")</f>
        <v/>
      </c>
    </row>
    <row r="87577">
      <c r="A87577" s="1" t="n">
        <v>87576</v>
      </c>
      <c r="B87577">
        <f>TEXT(87576, "[$-0E0000]yyyy-mm-dd")</f>
        <v/>
      </c>
    </row>
    <row r="87578">
      <c r="A87578" s="1" t="n">
        <v>87577</v>
      </c>
      <c r="B87578">
        <f>TEXT(87577, "[$-0E0000]yyyy-mm-dd")</f>
        <v/>
      </c>
    </row>
    <row r="87579">
      <c r="A87579" s="1" t="n">
        <v>87578</v>
      </c>
      <c r="B87579">
        <f>TEXT(87578, "[$-0E0000]yyyy-mm-dd")</f>
        <v/>
      </c>
    </row>
    <row r="87580">
      <c r="A87580" s="1" t="n">
        <v>87579</v>
      </c>
      <c r="B87580">
        <f>TEXT(87579, "[$-0E0000]yyyy-mm-dd")</f>
        <v/>
      </c>
    </row>
    <row r="87581">
      <c r="A87581" s="1" t="n">
        <v>87580</v>
      </c>
      <c r="B87581">
        <f>TEXT(87580, "[$-0E0000]yyyy-mm-dd")</f>
        <v/>
      </c>
    </row>
    <row r="87582">
      <c r="A87582" s="1" t="n">
        <v>87581</v>
      </c>
      <c r="B87582">
        <f>TEXT(87581, "[$-0E0000]yyyy-mm-dd")</f>
        <v/>
      </c>
    </row>
    <row r="87583">
      <c r="A87583" s="1" t="n">
        <v>87582</v>
      </c>
      <c r="B87583">
        <f>TEXT(87582, "[$-0E0000]yyyy-mm-dd")</f>
        <v/>
      </c>
    </row>
    <row r="87584">
      <c r="A87584" s="1" t="n">
        <v>87583</v>
      </c>
      <c r="B87584">
        <f>TEXT(87583, "[$-0E0000]yyyy-mm-dd")</f>
        <v/>
      </c>
    </row>
    <row r="87585">
      <c r="A87585" s="1" t="n">
        <v>87584</v>
      </c>
      <c r="B87585">
        <f>TEXT(87584, "[$-0E0000]yyyy-mm-dd")</f>
        <v/>
      </c>
    </row>
    <row r="87586">
      <c r="A87586" s="1" t="n">
        <v>87585</v>
      </c>
      <c r="B87586">
        <f>TEXT(87585, "[$-0E0000]yyyy-mm-dd")</f>
        <v/>
      </c>
    </row>
    <row r="87587">
      <c r="A87587" s="1" t="n">
        <v>87586</v>
      </c>
      <c r="B87587">
        <f>TEXT(87586, "[$-0E0000]yyyy-mm-dd")</f>
        <v/>
      </c>
    </row>
    <row r="87588">
      <c r="A87588" s="1" t="n">
        <v>87587</v>
      </c>
      <c r="B87588">
        <f>TEXT(87587, "[$-0E0000]yyyy-mm-dd")</f>
        <v/>
      </c>
    </row>
    <row r="87589">
      <c r="A87589" s="1" t="n">
        <v>87588</v>
      </c>
      <c r="B87589">
        <f>TEXT(87588, "[$-0E0000]yyyy-mm-dd")</f>
        <v/>
      </c>
    </row>
    <row r="87590">
      <c r="A87590" s="1" t="n">
        <v>87589</v>
      </c>
      <c r="B87590">
        <f>TEXT(87589, "[$-0E0000]yyyy-mm-dd")</f>
        <v/>
      </c>
    </row>
    <row r="87591">
      <c r="A87591" s="1" t="n">
        <v>87590</v>
      </c>
      <c r="B87591">
        <f>TEXT(87590, "[$-0E0000]yyyy-mm-dd")</f>
        <v/>
      </c>
    </row>
    <row r="87592">
      <c r="A87592" s="1" t="n">
        <v>87591</v>
      </c>
      <c r="B87592">
        <f>TEXT(87591, "[$-0E0000]yyyy-mm-dd")</f>
        <v/>
      </c>
    </row>
    <row r="87593">
      <c r="A87593" s="1" t="n">
        <v>87592</v>
      </c>
      <c r="B87593">
        <f>TEXT(87592, "[$-0E0000]yyyy-mm-dd")</f>
        <v/>
      </c>
    </row>
    <row r="87594">
      <c r="A87594" s="1" t="n">
        <v>87593</v>
      </c>
      <c r="B87594">
        <f>TEXT(87593, "[$-0E0000]yyyy-mm-dd")</f>
        <v/>
      </c>
    </row>
    <row r="87595">
      <c r="A87595" s="1" t="n">
        <v>87594</v>
      </c>
      <c r="B87595">
        <f>TEXT(87594, "[$-0E0000]yyyy-mm-dd")</f>
        <v/>
      </c>
    </row>
    <row r="87596">
      <c r="A87596" s="1" t="n">
        <v>87595</v>
      </c>
      <c r="B87596">
        <f>TEXT(87595, "[$-0E0000]yyyy-mm-dd")</f>
        <v/>
      </c>
    </row>
    <row r="87597">
      <c r="A87597" s="1" t="n">
        <v>87596</v>
      </c>
      <c r="B87597">
        <f>TEXT(87596, "[$-0E0000]yyyy-mm-dd")</f>
        <v/>
      </c>
    </row>
    <row r="87598">
      <c r="A87598" s="1" t="n">
        <v>87597</v>
      </c>
      <c r="B87598">
        <f>TEXT(87597, "[$-0E0000]yyyy-mm-dd")</f>
        <v/>
      </c>
    </row>
    <row r="87599">
      <c r="A87599" s="1" t="n">
        <v>87598</v>
      </c>
      <c r="B87599">
        <f>TEXT(87598, "[$-0E0000]yyyy-mm-dd")</f>
        <v/>
      </c>
    </row>
    <row r="87600">
      <c r="A87600" s="1" t="n">
        <v>87599</v>
      </c>
      <c r="B87600">
        <f>TEXT(87599, "[$-0E0000]yyyy-mm-dd")</f>
        <v/>
      </c>
    </row>
    <row r="87601">
      <c r="A87601" s="1" t="n">
        <v>87600</v>
      </c>
      <c r="B87601">
        <f>TEXT(87600, "[$-0E0000]yyyy-mm-dd")</f>
        <v/>
      </c>
    </row>
    <row r="87602">
      <c r="A87602" s="1" t="n">
        <v>87601</v>
      </c>
      <c r="B87602">
        <f>TEXT(87601, "[$-0E0000]yyyy-mm-dd")</f>
        <v/>
      </c>
    </row>
    <row r="87603">
      <c r="A87603" s="1" t="n">
        <v>87602</v>
      </c>
      <c r="B87603">
        <f>TEXT(87602, "[$-0E0000]yyyy-mm-dd")</f>
        <v/>
      </c>
    </row>
    <row r="87604">
      <c r="A87604" s="1" t="n">
        <v>87603</v>
      </c>
      <c r="B87604">
        <f>TEXT(87603, "[$-0E0000]yyyy-mm-dd")</f>
        <v/>
      </c>
    </row>
    <row r="87605">
      <c r="A87605" s="1" t="n">
        <v>87604</v>
      </c>
      <c r="B87605">
        <f>TEXT(87604, "[$-0E0000]yyyy-mm-dd")</f>
        <v/>
      </c>
    </row>
    <row r="87606">
      <c r="A87606" s="1" t="n">
        <v>87605</v>
      </c>
      <c r="B87606">
        <f>TEXT(87605, "[$-0E0000]yyyy-mm-dd")</f>
        <v/>
      </c>
    </row>
    <row r="87607">
      <c r="A87607" s="1" t="n">
        <v>87606</v>
      </c>
      <c r="B87607">
        <f>TEXT(87606, "[$-0E0000]yyyy-mm-dd")</f>
        <v/>
      </c>
    </row>
    <row r="87608">
      <c r="A87608" s="1" t="n">
        <v>87607</v>
      </c>
      <c r="B87608">
        <f>TEXT(87607, "[$-0E0000]yyyy-mm-dd")</f>
        <v/>
      </c>
    </row>
    <row r="87609">
      <c r="A87609" s="1" t="n">
        <v>87608</v>
      </c>
      <c r="B87609">
        <f>TEXT(87608, "[$-0E0000]yyyy-mm-dd")</f>
        <v/>
      </c>
    </row>
    <row r="87610">
      <c r="A87610" s="1" t="n">
        <v>87609</v>
      </c>
      <c r="B87610">
        <f>TEXT(87609, "[$-0E0000]yyyy-mm-dd")</f>
        <v/>
      </c>
    </row>
    <row r="87611">
      <c r="A87611" s="1" t="n">
        <v>87610</v>
      </c>
      <c r="B87611">
        <f>TEXT(87610, "[$-0E0000]yyyy-mm-dd")</f>
        <v/>
      </c>
    </row>
    <row r="87612">
      <c r="A87612" s="1" t="n">
        <v>87611</v>
      </c>
      <c r="B87612">
        <f>TEXT(87611, "[$-0E0000]yyyy-mm-dd")</f>
        <v/>
      </c>
    </row>
    <row r="87613">
      <c r="A87613" s="1" t="n">
        <v>87612</v>
      </c>
      <c r="B87613">
        <f>TEXT(87612, "[$-0E0000]yyyy-mm-dd")</f>
        <v/>
      </c>
    </row>
    <row r="87614">
      <c r="A87614" s="1" t="n">
        <v>87613</v>
      </c>
      <c r="B87614">
        <f>TEXT(87613, "[$-0E0000]yyyy-mm-dd")</f>
        <v/>
      </c>
    </row>
    <row r="87615">
      <c r="A87615" s="1" t="n">
        <v>87614</v>
      </c>
      <c r="B87615">
        <f>TEXT(87614, "[$-0E0000]yyyy-mm-dd")</f>
        <v/>
      </c>
    </row>
    <row r="87616">
      <c r="A87616" s="1" t="n">
        <v>87615</v>
      </c>
      <c r="B87616">
        <f>TEXT(87615, "[$-0E0000]yyyy-mm-dd")</f>
        <v/>
      </c>
    </row>
    <row r="87617">
      <c r="A87617" s="1" t="n">
        <v>87616</v>
      </c>
      <c r="B87617">
        <f>TEXT(87616, "[$-0E0000]yyyy-mm-dd")</f>
        <v/>
      </c>
    </row>
    <row r="87618">
      <c r="A87618" s="1" t="n">
        <v>87617</v>
      </c>
      <c r="B87618">
        <f>TEXT(87617, "[$-0E0000]yyyy-mm-dd")</f>
        <v/>
      </c>
    </row>
    <row r="87619">
      <c r="A87619" s="1" t="n">
        <v>87618</v>
      </c>
      <c r="B87619">
        <f>TEXT(87618, "[$-0E0000]yyyy-mm-dd")</f>
        <v/>
      </c>
    </row>
    <row r="87620">
      <c r="A87620" s="1" t="n">
        <v>87619</v>
      </c>
      <c r="B87620">
        <f>TEXT(87619, "[$-0E0000]yyyy-mm-dd")</f>
        <v/>
      </c>
    </row>
    <row r="87621">
      <c r="A87621" s="1" t="n">
        <v>87620</v>
      </c>
      <c r="B87621">
        <f>TEXT(87620, "[$-0E0000]yyyy-mm-dd")</f>
        <v/>
      </c>
    </row>
    <row r="87622">
      <c r="A87622" s="1" t="n">
        <v>87621</v>
      </c>
      <c r="B87622">
        <f>TEXT(87621, "[$-0E0000]yyyy-mm-dd")</f>
        <v/>
      </c>
    </row>
    <row r="87623">
      <c r="A87623" s="1" t="n">
        <v>87622</v>
      </c>
      <c r="B87623">
        <f>TEXT(87622, "[$-0E0000]yyyy-mm-dd")</f>
        <v/>
      </c>
    </row>
    <row r="87624">
      <c r="A87624" s="1" t="n">
        <v>87623</v>
      </c>
      <c r="B87624">
        <f>TEXT(87623, "[$-0E0000]yyyy-mm-dd")</f>
        <v/>
      </c>
    </row>
    <row r="87625">
      <c r="A87625" s="1" t="n">
        <v>87624</v>
      </c>
      <c r="B87625">
        <f>TEXT(87624, "[$-0E0000]yyyy-mm-dd")</f>
        <v/>
      </c>
    </row>
    <row r="87626">
      <c r="A87626" s="1" t="n">
        <v>87625</v>
      </c>
      <c r="B87626">
        <f>TEXT(87625, "[$-0E0000]yyyy-mm-dd")</f>
        <v/>
      </c>
    </row>
    <row r="87627">
      <c r="A87627" s="1" t="n">
        <v>87626</v>
      </c>
      <c r="B87627">
        <f>TEXT(87626, "[$-0E0000]yyyy-mm-dd")</f>
        <v/>
      </c>
    </row>
    <row r="87628">
      <c r="A87628" s="1" t="n">
        <v>87627</v>
      </c>
      <c r="B87628">
        <f>TEXT(87627, "[$-0E0000]yyyy-mm-dd")</f>
        <v/>
      </c>
    </row>
    <row r="87629">
      <c r="A87629" s="1" t="n">
        <v>87628</v>
      </c>
      <c r="B87629">
        <f>TEXT(87628, "[$-0E0000]yyyy-mm-dd")</f>
        <v/>
      </c>
    </row>
    <row r="87630">
      <c r="A87630" s="1" t="n">
        <v>87629</v>
      </c>
      <c r="B87630">
        <f>TEXT(87629, "[$-0E0000]yyyy-mm-dd")</f>
        <v/>
      </c>
    </row>
    <row r="87631">
      <c r="A87631" s="1" t="n">
        <v>87630</v>
      </c>
      <c r="B87631">
        <f>TEXT(87630, "[$-0E0000]yyyy-mm-dd")</f>
        <v/>
      </c>
    </row>
    <row r="87632">
      <c r="A87632" s="1" t="n">
        <v>87631</v>
      </c>
      <c r="B87632">
        <f>TEXT(87631, "[$-0E0000]yyyy-mm-dd")</f>
        <v/>
      </c>
    </row>
    <row r="87633">
      <c r="A87633" s="1" t="n">
        <v>87632</v>
      </c>
      <c r="B87633">
        <f>TEXT(87632, "[$-0E0000]yyyy-mm-dd")</f>
        <v/>
      </c>
    </row>
    <row r="87634">
      <c r="A87634" s="1" t="n">
        <v>87633</v>
      </c>
      <c r="B87634">
        <f>TEXT(87633, "[$-0E0000]yyyy-mm-dd")</f>
        <v/>
      </c>
    </row>
    <row r="87635">
      <c r="A87635" s="1" t="n">
        <v>87634</v>
      </c>
      <c r="B87635">
        <f>TEXT(87634, "[$-0E0000]yyyy-mm-dd")</f>
        <v/>
      </c>
    </row>
    <row r="87636">
      <c r="A87636" s="1" t="n">
        <v>87635</v>
      </c>
      <c r="B87636">
        <f>TEXT(87635, "[$-0E0000]yyyy-mm-dd")</f>
        <v/>
      </c>
    </row>
    <row r="87637">
      <c r="A87637" s="1" t="n">
        <v>87636</v>
      </c>
      <c r="B87637">
        <f>TEXT(87636, "[$-0E0000]yyyy-mm-dd")</f>
        <v/>
      </c>
    </row>
    <row r="87638">
      <c r="A87638" s="1" t="n">
        <v>87637</v>
      </c>
      <c r="B87638">
        <f>TEXT(87637, "[$-0E0000]yyyy-mm-dd")</f>
        <v/>
      </c>
    </row>
    <row r="87639">
      <c r="A87639" s="1" t="n">
        <v>87638</v>
      </c>
      <c r="B87639">
        <f>TEXT(87638, "[$-0E0000]yyyy-mm-dd")</f>
        <v/>
      </c>
    </row>
    <row r="87640">
      <c r="A87640" s="1" t="n">
        <v>87639</v>
      </c>
      <c r="B87640">
        <f>TEXT(87639, "[$-0E0000]yyyy-mm-dd")</f>
        <v/>
      </c>
    </row>
    <row r="87641">
      <c r="A87641" s="1" t="n">
        <v>87640</v>
      </c>
      <c r="B87641">
        <f>TEXT(87640, "[$-0E0000]yyyy-mm-dd")</f>
        <v/>
      </c>
    </row>
    <row r="87642">
      <c r="A87642" s="1" t="n">
        <v>87641</v>
      </c>
      <c r="B87642">
        <f>TEXT(87641, "[$-0E0000]yyyy-mm-dd")</f>
        <v/>
      </c>
    </row>
    <row r="87643">
      <c r="A87643" s="1" t="n">
        <v>87642</v>
      </c>
      <c r="B87643">
        <f>TEXT(87642, "[$-0E0000]yyyy-mm-dd")</f>
        <v/>
      </c>
    </row>
    <row r="87644">
      <c r="A87644" s="1" t="n">
        <v>87643</v>
      </c>
      <c r="B87644">
        <f>TEXT(87643, "[$-0E0000]yyyy-mm-dd")</f>
        <v/>
      </c>
    </row>
    <row r="87645">
      <c r="A87645" s="1" t="n">
        <v>87644</v>
      </c>
      <c r="B87645">
        <f>TEXT(87644, "[$-0E0000]yyyy-mm-dd")</f>
        <v/>
      </c>
    </row>
    <row r="87646">
      <c r="A87646" s="1" t="n">
        <v>87645</v>
      </c>
      <c r="B87646">
        <f>TEXT(87645, "[$-0E0000]yyyy-mm-dd")</f>
        <v/>
      </c>
    </row>
    <row r="87647">
      <c r="A87647" s="1" t="n">
        <v>87646</v>
      </c>
      <c r="B87647">
        <f>TEXT(87646, "[$-0E0000]yyyy-mm-dd")</f>
        <v/>
      </c>
    </row>
    <row r="87648">
      <c r="A87648" s="1" t="n">
        <v>87647</v>
      </c>
      <c r="B87648">
        <f>TEXT(87647, "[$-0E0000]yyyy-mm-dd")</f>
        <v/>
      </c>
    </row>
    <row r="87649">
      <c r="A87649" s="1" t="n">
        <v>87648</v>
      </c>
      <c r="B87649">
        <f>TEXT(87648, "[$-0E0000]yyyy-mm-dd")</f>
        <v/>
      </c>
    </row>
    <row r="87650">
      <c r="A87650" s="1" t="n">
        <v>87649</v>
      </c>
      <c r="B87650">
        <f>TEXT(87649, "[$-0E0000]yyyy-mm-dd")</f>
        <v/>
      </c>
    </row>
    <row r="87651">
      <c r="A87651" s="1" t="n">
        <v>87650</v>
      </c>
      <c r="B87651">
        <f>TEXT(87650, "[$-0E0000]yyyy-mm-dd")</f>
        <v/>
      </c>
    </row>
    <row r="87652">
      <c r="A87652" s="1" t="n">
        <v>87651</v>
      </c>
      <c r="B87652">
        <f>TEXT(87651, "[$-0E0000]yyyy-mm-dd")</f>
        <v/>
      </c>
    </row>
    <row r="87653">
      <c r="A87653" s="1" t="n">
        <v>87652</v>
      </c>
      <c r="B87653">
        <f>TEXT(87652, "[$-0E0000]yyyy-mm-dd")</f>
        <v/>
      </c>
    </row>
    <row r="87654">
      <c r="A87654" s="1" t="n">
        <v>87653</v>
      </c>
      <c r="B87654">
        <f>TEXT(87653, "[$-0E0000]yyyy-mm-dd")</f>
        <v/>
      </c>
    </row>
    <row r="87655">
      <c r="A87655" s="1" t="n">
        <v>87654</v>
      </c>
      <c r="B87655">
        <f>TEXT(87654, "[$-0E0000]yyyy-mm-dd")</f>
        <v/>
      </c>
    </row>
    <row r="87656">
      <c r="A87656" s="1" t="n">
        <v>87655</v>
      </c>
      <c r="B87656">
        <f>TEXT(87655, "[$-0E0000]yyyy-mm-dd")</f>
        <v/>
      </c>
    </row>
    <row r="87657">
      <c r="A87657" s="1" t="n">
        <v>87656</v>
      </c>
      <c r="B87657">
        <f>TEXT(87656, "[$-0E0000]yyyy-mm-dd")</f>
        <v/>
      </c>
    </row>
    <row r="87658">
      <c r="A87658" s="1" t="n">
        <v>87657</v>
      </c>
      <c r="B87658">
        <f>TEXT(87657, "[$-0E0000]yyyy-mm-dd")</f>
        <v/>
      </c>
    </row>
    <row r="87659">
      <c r="A87659" s="1" t="n">
        <v>87658</v>
      </c>
      <c r="B87659">
        <f>TEXT(87658, "[$-0E0000]yyyy-mm-dd")</f>
        <v/>
      </c>
    </row>
    <row r="87660">
      <c r="A87660" s="1" t="n">
        <v>87659</v>
      </c>
      <c r="B87660">
        <f>TEXT(87659, "[$-0E0000]yyyy-mm-dd")</f>
        <v/>
      </c>
    </row>
    <row r="87661">
      <c r="A87661" s="1" t="n">
        <v>87660</v>
      </c>
      <c r="B87661">
        <f>TEXT(87660, "[$-0E0000]yyyy-mm-dd")</f>
        <v/>
      </c>
    </row>
    <row r="87662">
      <c r="A87662" s="1" t="n">
        <v>87661</v>
      </c>
      <c r="B87662">
        <f>TEXT(87661, "[$-0E0000]yyyy-mm-dd")</f>
        <v/>
      </c>
    </row>
    <row r="87663">
      <c r="A87663" s="1" t="n">
        <v>87662</v>
      </c>
      <c r="B87663">
        <f>TEXT(87662, "[$-0E0000]yyyy-mm-dd")</f>
        <v/>
      </c>
    </row>
    <row r="87664">
      <c r="A87664" s="1" t="n">
        <v>87663</v>
      </c>
      <c r="B87664">
        <f>TEXT(87663, "[$-0E0000]yyyy-mm-dd")</f>
        <v/>
      </c>
    </row>
    <row r="87665">
      <c r="A87665" s="1" t="n">
        <v>87664</v>
      </c>
      <c r="B87665">
        <f>TEXT(87664, "[$-0E0000]yyyy-mm-dd")</f>
        <v/>
      </c>
    </row>
    <row r="87666">
      <c r="A87666" s="1" t="n">
        <v>87665</v>
      </c>
      <c r="B87666">
        <f>TEXT(87665, "[$-0E0000]yyyy-mm-dd")</f>
        <v/>
      </c>
    </row>
    <row r="87667">
      <c r="A87667" s="1" t="n">
        <v>87666</v>
      </c>
      <c r="B87667">
        <f>TEXT(87666, "[$-0E0000]yyyy-mm-dd")</f>
        <v/>
      </c>
    </row>
    <row r="87668">
      <c r="A87668" s="1" t="n">
        <v>87667</v>
      </c>
      <c r="B87668">
        <f>TEXT(87667, "[$-0E0000]yyyy-mm-dd")</f>
        <v/>
      </c>
    </row>
    <row r="87669">
      <c r="A87669" s="1" t="n">
        <v>87668</v>
      </c>
      <c r="B87669">
        <f>TEXT(87668, "[$-0E0000]yyyy-mm-dd")</f>
        <v/>
      </c>
    </row>
    <row r="87670">
      <c r="A87670" s="1" t="n">
        <v>87669</v>
      </c>
      <c r="B87670">
        <f>TEXT(87669, "[$-0E0000]yyyy-mm-dd")</f>
        <v/>
      </c>
    </row>
    <row r="87671">
      <c r="A87671" s="1" t="n">
        <v>87670</v>
      </c>
      <c r="B87671">
        <f>TEXT(87670, "[$-0E0000]yyyy-mm-dd")</f>
        <v/>
      </c>
    </row>
    <row r="87672">
      <c r="A87672" s="1" t="n">
        <v>87671</v>
      </c>
      <c r="B87672">
        <f>TEXT(87671, "[$-0E0000]yyyy-mm-dd")</f>
        <v/>
      </c>
    </row>
    <row r="87673">
      <c r="A87673" s="1" t="n">
        <v>87672</v>
      </c>
      <c r="B87673">
        <f>TEXT(87672, "[$-0E0000]yyyy-mm-dd")</f>
        <v/>
      </c>
    </row>
    <row r="87674">
      <c r="A87674" s="1" t="n">
        <v>87673</v>
      </c>
      <c r="B87674">
        <f>TEXT(87673, "[$-0E0000]yyyy-mm-dd")</f>
        <v/>
      </c>
    </row>
    <row r="87675">
      <c r="A87675" s="1" t="n">
        <v>87674</v>
      </c>
      <c r="B87675">
        <f>TEXT(87674, "[$-0E0000]yyyy-mm-dd")</f>
        <v/>
      </c>
    </row>
    <row r="87676">
      <c r="A87676" s="1" t="n">
        <v>87675</v>
      </c>
      <c r="B87676">
        <f>TEXT(87675, "[$-0E0000]yyyy-mm-dd")</f>
        <v/>
      </c>
    </row>
    <row r="87677">
      <c r="A87677" s="1" t="n">
        <v>87676</v>
      </c>
      <c r="B87677">
        <f>TEXT(87676, "[$-0E0000]yyyy-mm-dd")</f>
        <v/>
      </c>
    </row>
    <row r="87678">
      <c r="A87678" s="1" t="n">
        <v>87677</v>
      </c>
      <c r="B87678">
        <f>TEXT(87677, "[$-0E0000]yyyy-mm-dd")</f>
        <v/>
      </c>
    </row>
    <row r="87679">
      <c r="A87679" s="1" t="n">
        <v>87678</v>
      </c>
      <c r="B87679">
        <f>TEXT(87678, "[$-0E0000]yyyy-mm-dd")</f>
        <v/>
      </c>
    </row>
    <row r="87680">
      <c r="A87680" s="1" t="n">
        <v>87679</v>
      </c>
      <c r="B87680">
        <f>TEXT(87679, "[$-0E0000]yyyy-mm-dd")</f>
        <v/>
      </c>
    </row>
    <row r="87681">
      <c r="A87681" s="1" t="n">
        <v>87680</v>
      </c>
      <c r="B87681">
        <f>TEXT(87680, "[$-0E0000]yyyy-mm-dd")</f>
        <v/>
      </c>
    </row>
    <row r="87682">
      <c r="A87682" s="1" t="n">
        <v>87681</v>
      </c>
      <c r="B87682">
        <f>TEXT(87681, "[$-0E0000]yyyy-mm-dd")</f>
        <v/>
      </c>
    </row>
    <row r="87683">
      <c r="A87683" s="1" t="n">
        <v>87682</v>
      </c>
      <c r="B87683">
        <f>TEXT(87682, "[$-0E0000]yyyy-mm-dd")</f>
        <v/>
      </c>
    </row>
    <row r="87684">
      <c r="A87684" s="1" t="n">
        <v>87683</v>
      </c>
      <c r="B87684">
        <f>TEXT(87683, "[$-0E0000]yyyy-mm-dd")</f>
        <v/>
      </c>
    </row>
    <row r="87685">
      <c r="A87685" s="1" t="n">
        <v>87684</v>
      </c>
      <c r="B87685">
        <f>TEXT(87684, "[$-0E0000]yyyy-mm-dd")</f>
        <v/>
      </c>
    </row>
    <row r="87686">
      <c r="A87686" s="1" t="n">
        <v>87685</v>
      </c>
      <c r="B87686">
        <f>TEXT(87685, "[$-0E0000]yyyy-mm-dd")</f>
        <v/>
      </c>
    </row>
    <row r="87687">
      <c r="A87687" s="1" t="n">
        <v>87686</v>
      </c>
      <c r="B87687">
        <f>TEXT(87686, "[$-0E0000]yyyy-mm-dd")</f>
        <v/>
      </c>
    </row>
    <row r="87688">
      <c r="A87688" s="1" t="n">
        <v>87687</v>
      </c>
      <c r="B87688">
        <f>TEXT(87687, "[$-0E0000]yyyy-mm-dd")</f>
        <v/>
      </c>
    </row>
    <row r="87689">
      <c r="A87689" s="1" t="n">
        <v>87688</v>
      </c>
      <c r="B87689">
        <f>TEXT(87688, "[$-0E0000]yyyy-mm-dd")</f>
        <v/>
      </c>
    </row>
    <row r="87690">
      <c r="A87690" s="1" t="n">
        <v>87689</v>
      </c>
      <c r="B87690">
        <f>TEXT(87689, "[$-0E0000]yyyy-mm-dd")</f>
        <v/>
      </c>
    </row>
    <row r="87691">
      <c r="A87691" s="1" t="n">
        <v>87690</v>
      </c>
      <c r="B87691">
        <f>TEXT(87690, "[$-0E0000]yyyy-mm-dd")</f>
        <v/>
      </c>
    </row>
    <row r="87692">
      <c r="A87692" s="1" t="n">
        <v>87691</v>
      </c>
      <c r="B87692">
        <f>TEXT(87691, "[$-0E0000]yyyy-mm-dd")</f>
        <v/>
      </c>
    </row>
    <row r="87693">
      <c r="A87693" s="1" t="n">
        <v>87692</v>
      </c>
      <c r="B87693">
        <f>TEXT(87692, "[$-0E0000]yyyy-mm-dd")</f>
        <v/>
      </c>
    </row>
    <row r="87694">
      <c r="A87694" s="1" t="n">
        <v>87693</v>
      </c>
      <c r="B87694">
        <f>TEXT(87693, "[$-0E0000]yyyy-mm-dd")</f>
        <v/>
      </c>
    </row>
    <row r="87695">
      <c r="A87695" s="1" t="n">
        <v>87694</v>
      </c>
      <c r="B87695">
        <f>TEXT(87694, "[$-0E0000]yyyy-mm-dd")</f>
        <v/>
      </c>
    </row>
    <row r="87696">
      <c r="A87696" s="1" t="n">
        <v>87695</v>
      </c>
      <c r="B87696">
        <f>TEXT(87695, "[$-0E0000]yyyy-mm-dd")</f>
        <v/>
      </c>
    </row>
    <row r="87697">
      <c r="A87697" s="1" t="n">
        <v>87696</v>
      </c>
      <c r="B87697">
        <f>TEXT(87696, "[$-0E0000]yyyy-mm-dd")</f>
        <v/>
      </c>
    </row>
    <row r="87698">
      <c r="A87698" s="1" t="n">
        <v>87697</v>
      </c>
      <c r="B87698">
        <f>TEXT(87697, "[$-0E0000]yyyy-mm-dd")</f>
        <v/>
      </c>
    </row>
    <row r="87699">
      <c r="A87699" s="1" t="n">
        <v>87698</v>
      </c>
      <c r="B87699">
        <f>TEXT(87698, "[$-0E0000]yyyy-mm-dd")</f>
        <v/>
      </c>
    </row>
    <row r="87700">
      <c r="A87700" s="1" t="n">
        <v>87699</v>
      </c>
      <c r="B87700">
        <f>TEXT(87699, "[$-0E0000]yyyy-mm-dd")</f>
        <v/>
      </c>
    </row>
    <row r="87701">
      <c r="A87701" s="1" t="n">
        <v>87700</v>
      </c>
      <c r="B87701">
        <f>TEXT(87700, "[$-0E0000]yyyy-mm-dd")</f>
        <v/>
      </c>
    </row>
    <row r="87702">
      <c r="A87702" s="1" t="n">
        <v>87701</v>
      </c>
      <c r="B87702">
        <f>TEXT(87701, "[$-0E0000]yyyy-mm-dd")</f>
        <v/>
      </c>
    </row>
    <row r="87703">
      <c r="A87703" s="1" t="n">
        <v>87702</v>
      </c>
      <c r="B87703">
        <f>TEXT(87702, "[$-0E0000]yyyy-mm-dd")</f>
        <v/>
      </c>
    </row>
    <row r="87704">
      <c r="A87704" s="1" t="n">
        <v>87703</v>
      </c>
      <c r="B87704">
        <f>TEXT(87703, "[$-0E0000]yyyy-mm-dd")</f>
        <v/>
      </c>
    </row>
    <row r="87705">
      <c r="A87705" s="1" t="n">
        <v>87704</v>
      </c>
      <c r="B87705">
        <f>TEXT(87704, "[$-0E0000]yyyy-mm-dd")</f>
        <v/>
      </c>
    </row>
    <row r="87706">
      <c r="A87706" s="1" t="n">
        <v>87705</v>
      </c>
      <c r="B87706">
        <f>TEXT(87705, "[$-0E0000]yyyy-mm-dd")</f>
        <v/>
      </c>
    </row>
    <row r="87707">
      <c r="A87707" s="1" t="n">
        <v>87706</v>
      </c>
      <c r="B87707">
        <f>TEXT(87706, "[$-0E0000]yyyy-mm-dd")</f>
        <v/>
      </c>
    </row>
    <row r="87708">
      <c r="A87708" s="1" t="n">
        <v>87707</v>
      </c>
      <c r="B87708">
        <f>TEXT(87707, "[$-0E0000]yyyy-mm-dd")</f>
        <v/>
      </c>
    </row>
    <row r="87709">
      <c r="A87709" s="1" t="n">
        <v>87708</v>
      </c>
      <c r="B87709">
        <f>TEXT(87708, "[$-0E0000]yyyy-mm-dd")</f>
        <v/>
      </c>
    </row>
    <row r="87710">
      <c r="A87710" s="1" t="n">
        <v>87709</v>
      </c>
      <c r="B87710">
        <f>TEXT(87709, "[$-0E0000]yyyy-mm-dd")</f>
        <v/>
      </c>
    </row>
    <row r="87711">
      <c r="A87711" s="1" t="n">
        <v>87710</v>
      </c>
      <c r="B87711">
        <f>TEXT(87710, "[$-0E0000]yyyy-mm-dd")</f>
        <v/>
      </c>
    </row>
    <row r="87712">
      <c r="A87712" s="1" t="n">
        <v>87711</v>
      </c>
      <c r="B87712">
        <f>TEXT(87711, "[$-0E0000]yyyy-mm-dd")</f>
        <v/>
      </c>
    </row>
    <row r="87713">
      <c r="A87713" s="1" t="n">
        <v>87712</v>
      </c>
      <c r="B87713">
        <f>TEXT(87712, "[$-0E0000]yyyy-mm-dd")</f>
        <v/>
      </c>
    </row>
    <row r="87714">
      <c r="A87714" s="1" t="n">
        <v>87713</v>
      </c>
      <c r="B87714">
        <f>TEXT(87713, "[$-0E0000]yyyy-mm-dd")</f>
        <v/>
      </c>
    </row>
    <row r="87715">
      <c r="A87715" s="1" t="n">
        <v>87714</v>
      </c>
      <c r="B87715">
        <f>TEXT(87714, "[$-0E0000]yyyy-mm-dd")</f>
        <v/>
      </c>
    </row>
    <row r="87716">
      <c r="A87716" s="1" t="n">
        <v>87715</v>
      </c>
      <c r="B87716">
        <f>TEXT(87715, "[$-0E0000]yyyy-mm-dd")</f>
        <v/>
      </c>
    </row>
    <row r="87717">
      <c r="A87717" s="1" t="n">
        <v>87716</v>
      </c>
      <c r="B87717">
        <f>TEXT(87716, "[$-0E0000]yyyy-mm-dd")</f>
        <v/>
      </c>
    </row>
    <row r="87718">
      <c r="A87718" s="1" t="n">
        <v>87717</v>
      </c>
      <c r="B87718">
        <f>TEXT(87717, "[$-0E0000]yyyy-mm-dd")</f>
        <v/>
      </c>
    </row>
    <row r="87719">
      <c r="A87719" s="1" t="n">
        <v>87718</v>
      </c>
      <c r="B87719">
        <f>TEXT(87718, "[$-0E0000]yyyy-mm-dd")</f>
        <v/>
      </c>
    </row>
    <row r="87720">
      <c r="A87720" s="1" t="n">
        <v>87719</v>
      </c>
      <c r="B87720">
        <f>TEXT(87719, "[$-0E0000]yyyy-mm-dd")</f>
        <v/>
      </c>
    </row>
    <row r="87721">
      <c r="A87721" s="1" t="n">
        <v>87720</v>
      </c>
      <c r="B87721">
        <f>TEXT(87720, "[$-0E0000]yyyy-mm-dd")</f>
        <v/>
      </c>
    </row>
    <row r="87722">
      <c r="A87722" s="1" t="n">
        <v>87721</v>
      </c>
      <c r="B87722">
        <f>TEXT(87721, "[$-0E0000]yyyy-mm-dd")</f>
        <v/>
      </c>
    </row>
    <row r="87723">
      <c r="A87723" s="1" t="n">
        <v>87722</v>
      </c>
      <c r="B87723">
        <f>TEXT(87722, "[$-0E0000]yyyy-mm-dd")</f>
        <v/>
      </c>
    </row>
    <row r="87724">
      <c r="A87724" s="1" t="n">
        <v>87723</v>
      </c>
      <c r="B87724">
        <f>TEXT(87723, "[$-0E0000]yyyy-mm-dd")</f>
        <v/>
      </c>
    </row>
    <row r="87725">
      <c r="A87725" s="1" t="n">
        <v>87724</v>
      </c>
      <c r="B87725">
        <f>TEXT(87724, "[$-0E0000]yyyy-mm-dd")</f>
        <v/>
      </c>
    </row>
    <row r="87726">
      <c r="A87726" s="1" t="n">
        <v>87725</v>
      </c>
      <c r="B87726">
        <f>TEXT(87725, "[$-0E0000]yyyy-mm-dd")</f>
        <v/>
      </c>
    </row>
    <row r="87727">
      <c r="A87727" s="1" t="n">
        <v>87726</v>
      </c>
      <c r="B87727">
        <f>TEXT(87726, "[$-0E0000]yyyy-mm-dd")</f>
        <v/>
      </c>
    </row>
    <row r="87728">
      <c r="A87728" s="1" t="n">
        <v>87727</v>
      </c>
      <c r="B87728">
        <f>TEXT(87727, "[$-0E0000]yyyy-mm-dd")</f>
        <v/>
      </c>
    </row>
    <row r="87729">
      <c r="A87729" s="1" t="n">
        <v>87728</v>
      </c>
      <c r="B87729">
        <f>TEXT(87728, "[$-0E0000]yyyy-mm-dd")</f>
        <v/>
      </c>
    </row>
    <row r="87730">
      <c r="A87730" s="1" t="n">
        <v>87729</v>
      </c>
      <c r="B87730">
        <f>TEXT(87729, "[$-0E0000]yyyy-mm-dd")</f>
        <v/>
      </c>
    </row>
    <row r="87731">
      <c r="A87731" s="1" t="n">
        <v>87730</v>
      </c>
      <c r="B87731">
        <f>TEXT(87730, "[$-0E0000]yyyy-mm-dd")</f>
        <v/>
      </c>
    </row>
    <row r="87732">
      <c r="A87732" s="1" t="n">
        <v>87731</v>
      </c>
      <c r="B87732">
        <f>TEXT(87731, "[$-0E0000]yyyy-mm-dd")</f>
        <v/>
      </c>
    </row>
    <row r="87733">
      <c r="A87733" s="1" t="n">
        <v>87732</v>
      </c>
      <c r="B87733">
        <f>TEXT(87732, "[$-0E0000]yyyy-mm-dd")</f>
        <v/>
      </c>
    </row>
    <row r="87734">
      <c r="A87734" s="1" t="n">
        <v>87733</v>
      </c>
      <c r="B87734">
        <f>TEXT(87733, "[$-0E0000]yyyy-mm-dd")</f>
        <v/>
      </c>
    </row>
    <row r="87735">
      <c r="A87735" s="1" t="n">
        <v>87734</v>
      </c>
      <c r="B87735">
        <f>TEXT(87734, "[$-0E0000]yyyy-mm-dd")</f>
        <v/>
      </c>
    </row>
    <row r="87736">
      <c r="A87736" s="1" t="n">
        <v>87735</v>
      </c>
      <c r="B87736">
        <f>TEXT(87735, "[$-0E0000]yyyy-mm-dd")</f>
        <v/>
      </c>
    </row>
    <row r="87737">
      <c r="A87737" s="1" t="n">
        <v>87736</v>
      </c>
      <c r="B87737">
        <f>TEXT(87736, "[$-0E0000]yyyy-mm-dd")</f>
        <v/>
      </c>
    </row>
    <row r="87738">
      <c r="A87738" s="1" t="n">
        <v>87737</v>
      </c>
      <c r="B87738">
        <f>TEXT(87737, "[$-0E0000]yyyy-mm-dd")</f>
        <v/>
      </c>
    </row>
    <row r="87739">
      <c r="A87739" s="1" t="n">
        <v>87738</v>
      </c>
      <c r="B87739">
        <f>TEXT(87738, "[$-0E0000]yyyy-mm-dd")</f>
        <v/>
      </c>
    </row>
    <row r="87740">
      <c r="A87740" s="1" t="n">
        <v>87739</v>
      </c>
      <c r="B87740">
        <f>TEXT(87739, "[$-0E0000]yyyy-mm-dd")</f>
        <v/>
      </c>
    </row>
    <row r="87741">
      <c r="A87741" s="1" t="n">
        <v>87740</v>
      </c>
      <c r="B87741">
        <f>TEXT(87740, "[$-0E0000]yyyy-mm-dd")</f>
        <v/>
      </c>
    </row>
    <row r="87742">
      <c r="A87742" s="1" t="n">
        <v>87741</v>
      </c>
      <c r="B87742">
        <f>TEXT(87741, "[$-0E0000]yyyy-mm-dd")</f>
        <v/>
      </c>
    </row>
    <row r="87743">
      <c r="A87743" s="1" t="n">
        <v>87742</v>
      </c>
      <c r="B87743">
        <f>TEXT(87742, "[$-0E0000]yyyy-mm-dd")</f>
        <v/>
      </c>
    </row>
    <row r="87744">
      <c r="A87744" s="1" t="n">
        <v>87743</v>
      </c>
      <c r="B87744">
        <f>TEXT(87743, "[$-0E0000]yyyy-mm-dd")</f>
        <v/>
      </c>
    </row>
    <row r="87745">
      <c r="A87745" s="1" t="n">
        <v>87744</v>
      </c>
      <c r="B87745">
        <f>TEXT(87744, "[$-0E0000]yyyy-mm-dd")</f>
        <v/>
      </c>
    </row>
    <row r="87746">
      <c r="A87746" s="1" t="n">
        <v>87745</v>
      </c>
      <c r="B87746">
        <f>TEXT(87745, "[$-0E0000]yyyy-mm-dd")</f>
        <v/>
      </c>
    </row>
    <row r="87747">
      <c r="A87747" s="1" t="n">
        <v>87746</v>
      </c>
      <c r="B87747">
        <f>TEXT(87746, "[$-0E0000]yyyy-mm-dd")</f>
        <v/>
      </c>
    </row>
    <row r="87748">
      <c r="A87748" s="1" t="n">
        <v>87747</v>
      </c>
      <c r="B87748">
        <f>TEXT(87747, "[$-0E0000]yyyy-mm-dd")</f>
        <v/>
      </c>
    </row>
    <row r="87749">
      <c r="A87749" s="1" t="n">
        <v>87748</v>
      </c>
      <c r="B87749">
        <f>TEXT(87748, "[$-0E0000]yyyy-mm-dd")</f>
        <v/>
      </c>
    </row>
    <row r="87750">
      <c r="A87750" s="1" t="n">
        <v>87749</v>
      </c>
      <c r="B87750">
        <f>TEXT(87749, "[$-0E0000]yyyy-mm-dd")</f>
        <v/>
      </c>
    </row>
    <row r="87751">
      <c r="A87751" s="1" t="n">
        <v>87750</v>
      </c>
      <c r="B87751">
        <f>TEXT(87750, "[$-0E0000]yyyy-mm-dd")</f>
        <v/>
      </c>
    </row>
    <row r="87752">
      <c r="A87752" s="1" t="n">
        <v>87751</v>
      </c>
      <c r="B87752">
        <f>TEXT(87751, "[$-0E0000]yyyy-mm-dd")</f>
        <v/>
      </c>
    </row>
    <row r="87753">
      <c r="A87753" s="1" t="n">
        <v>87752</v>
      </c>
      <c r="B87753">
        <f>TEXT(87752, "[$-0E0000]yyyy-mm-dd")</f>
        <v/>
      </c>
    </row>
    <row r="87754">
      <c r="A87754" s="1" t="n">
        <v>87753</v>
      </c>
      <c r="B87754">
        <f>TEXT(87753, "[$-0E0000]yyyy-mm-dd")</f>
        <v/>
      </c>
    </row>
    <row r="87755">
      <c r="A87755" s="1" t="n">
        <v>87754</v>
      </c>
      <c r="B87755">
        <f>TEXT(87754, "[$-0E0000]yyyy-mm-dd")</f>
        <v/>
      </c>
    </row>
    <row r="87756">
      <c r="A87756" s="1" t="n">
        <v>87755</v>
      </c>
      <c r="B87756">
        <f>TEXT(87755, "[$-0E0000]yyyy-mm-dd")</f>
        <v/>
      </c>
    </row>
    <row r="87757">
      <c r="A87757" s="1" t="n">
        <v>87756</v>
      </c>
      <c r="B87757">
        <f>TEXT(87756, "[$-0E0000]yyyy-mm-dd")</f>
        <v/>
      </c>
    </row>
    <row r="87758">
      <c r="A87758" s="1" t="n">
        <v>87757</v>
      </c>
      <c r="B87758">
        <f>TEXT(87757, "[$-0E0000]yyyy-mm-dd")</f>
        <v/>
      </c>
    </row>
    <row r="87759">
      <c r="A87759" s="1" t="n">
        <v>87758</v>
      </c>
      <c r="B87759">
        <f>TEXT(87758, "[$-0E0000]yyyy-mm-dd")</f>
        <v/>
      </c>
    </row>
    <row r="87760">
      <c r="A87760" s="1" t="n">
        <v>87759</v>
      </c>
      <c r="B87760">
        <f>TEXT(87759, "[$-0E0000]yyyy-mm-dd")</f>
        <v/>
      </c>
    </row>
    <row r="87761">
      <c r="A87761" s="1" t="n">
        <v>87760</v>
      </c>
      <c r="B87761">
        <f>TEXT(87760, "[$-0E0000]yyyy-mm-dd")</f>
        <v/>
      </c>
    </row>
    <row r="87762">
      <c r="A87762" s="1" t="n">
        <v>87761</v>
      </c>
      <c r="B87762">
        <f>TEXT(87761, "[$-0E0000]yyyy-mm-dd")</f>
        <v/>
      </c>
    </row>
    <row r="87763">
      <c r="A87763" s="1" t="n">
        <v>87762</v>
      </c>
      <c r="B87763">
        <f>TEXT(87762, "[$-0E0000]yyyy-mm-dd")</f>
        <v/>
      </c>
    </row>
    <row r="87764">
      <c r="A87764" s="1" t="n">
        <v>87763</v>
      </c>
      <c r="B87764">
        <f>TEXT(87763, "[$-0E0000]yyyy-mm-dd")</f>
        <v/>
      </c>
    </row>
    <row r="87765">
      <c r="A87765" s="1" t="n">
        <v>87764</v>
      </c>
      <c r="B87765">
        <f>TEXT(87764, "[$-0E0000]yyyy-mm-dd")</f>
        <v/>
      </c>
    </row>
    <row r="87766">
      <c r="A87766" s="1" t="n">
        <v>87765</v>
      </c>
      <c r="B87766">
        <f>TEXT(87765, "[$-0E0000]yyyy-mm-dd")</f>
        <v/>
      </c>
    </row>
    <row r="87767">
      <c r="A87767" s="1" t="n">
        <v>87766</v>
      </c>
      <c r="B87767">
        <f>TEXT(87766, "[$-0E0000]yyyy-mm-dd")</f>
        <v/>
      </c>
    </row>
    <row r="87768">
      <c r="A87768" s="1" t="n">
        <v>87767</v>
      </c>
      <c r="B87768">
        <f>TEXT(87767, "[$-0E0000]yyyy-mm-dd")</f>
        <v/>
      </c>
    </row>
    <row r="87769">
      <c r="A87769" s="1" t="n">
        <v>87768</v>
      </c>
      <c r="B87769">
        <f>TEXT(87768, "[$-0E0000]yyyy-mm-dd")</f>
        <v/>
      </c>
    </row>
    <row r="87770">
      <c r="A87770" s="1" t="n">
        <v>87769</v>
      </c>
      <c r="B87770">
        <f>TEXT(87769, "[$-0E0000]yyyy-mm-dd")</f>
        <v/>
      </c>
    </row>
    <row r="87771">
      <c r="A87771" s="1" t="n">
        <v>87770</v>
      </c>
      <c r="B87771">
        <f>TEXT(87770, "[$-0E0000]yyyy-mm-dd")</f>
        <v/>
      </c>
    </row>
    <row r="87772">
      <c r="A87772" s="1" t="n">
        <v>87771</v>
      </c>
      <c r="B87772">
        <f>TEXT(87771, "[$-0E0000]yyyy-mm-dd")</f>
        <v/>
      </c>
    </row>
    <row r="87773">
      <c r="A87773" s="1" t="n">
        <v>87772</v>
      </c>
      <c r="B87773">
        <f>TEXT(87772, "[$-0E0000]yyyy-mm-dd")</f>
        <v/>
      </c>
    </row>
    <row r="87774">
      <c r="A87774" s="1" t="n">
        <v>87773</v>
      </c>
      <c r="B87774">
        <f>TEXT(87773, "[$-0E0000]yyyy-mm-dd")</f>
        <v/>
      </c>
    </row>
    <row r="87775">
      <c r="A87775" s="1" t="n">
        <v>87774</v>
      </c>
      <c r="B87775">
        <f>TEXT(87774, "[$-0E0000]yyyy-mm-dd")</f>
        <v/>
      </c>
    </row>
    <row r="87776">
      <c r="A87776" s="1" t="n">
        <v>87775</v>
      </c>
      <c r="B87776">
        <f>TEXT(87775, "[$-0E0000]yyyy-mm-dd")</f>
        <v/>
      </c>
    </row>
    <row r="87777">
      <c r="A87777" s="1" t="n">
        <v>87776</v>
      </c>
      <c r="B87777">
        <f>TEXT(87776, "[$-0E0000]yyyy-mm-dd")</f>
        <v/>
      </c>
    </row>
    <row r="87778">
      <c r="A87778" s="1" t="n">
        <v>87777</v>
      </c>
      <c r="B87778">
        <f>TEXT(87777, "[$-0E0000]yyyy-mm-dd")</f>
        <v/>
      </c>
    </row>
    <row r="87779">
      <c r="A87779" s="1" t="n">
        <v>87778</v>
      </c>
      <c r="B87779">
        <f>TEXT(87778, "[$-0E0000]yyyy-mm-dd")</f>
        <v/>
      </c>
    </row>
    <row r="87780">
      <c r="A87780" s="1" t="n">
        <v>87779</v>
      </c>
      <c r="B87780">
        <f>TEXT(87779, "[$-0E0000]yyyy-mm-dd")</f>
        <v/>
      </c>
    </row>
    <row r="87781">
      <c r="A87781" s="1" t="n">
        <v>87780</v>
      </c>
      <c r="B87781">
        <f>TEXT(87780, "[$-0E0000]yyyy-mm-dd")</f>
        <v/>
      </c>
    </row>
    <row r="87782">
      <c r="A87782" s="1" t="n">
        <v>87781</v>
      </c>
      <c r="B87782">
        <f>TEXT(87781, "[$-0E0000]yyyy-mm-dd")</f>
        <v/>
      </c>
    </row>
    <row r="87783">
      <c r="A87783" s="1" t="n">
        <v>87782</v>
      </c>
      <c r="B87783">
        <f>TEXT(87782, "[$-0E0000]yyyy-mm-dd")</f>
        <v/>
      </c>
    </row>
    <row r="87784">
      <c r="A87784" s="1" t="n">
        <v>87783</v>
      </c>
      <c r="B87784">
        <f>TEXT(87783, "[$-0E0000]yyyy-mm-dd")</f>
        <v/>
      </c>
    </row>
    <row r="87785">
      <c r="A87785" s="1" t="n">
        <v>87784</v>
      </c>
      <c r="B87785">
        <f>TEXT(87784, "[$-0E0000]yyyy-mm-dd")</f>
        <v/>
      </c>
    </row>
    <row r="87786">
      <c r="A87786" s="1" t="n">
        <v>87785</v>
      </c>
      <c r="B87786">
        <f>TEXT(87785, "[$-0E0000]yyyy-mm-dd")</f>
        <v/>
      </c>
    </row>
    <row r="87787">
      <c r="A87787" s="1" t="n">
        <v>87786</v>
      </c>
      <c r="B87787">
        <f>TEXT(87786, "[$-0E0000]yyyy-mm-dd")</f>
        <v/>
      </c>
    </row>
    <row r="87788">
      <c r="A87788" s="1" t="n">
        <v>87787</v>
      </c>
      <c r="B87788">
        <f>TEXT(87787, "[$-0E0000]yyyy-mm-dd")</f>
        <v/>
      </c>
    </row>
    <row r="87789">
      <c r="A87789" s="1" t="n">
        <v>87788</v>
      </c>
      <c r="B87789">
        <f>TEXT(87788, "[$-0E0000]yyyy-mm-dd")</f>
        <v/>
      </c>
    </row>
    <row r="87790">
      <c r="A87790" s="1" t="n">
        <v>87789</v>
      </c>
      <c r="B87790">
        <f>TEXT(87789, "[$-0E0000]yyyy-mm-dd")</f>
        <v/>
      </c>
    </row>
    <row r="87791">
      <c r="A87791" s="1" t="n">
        <v>87790</v>
      </c>
      <c r="B87791">
        <f>TEXT(87790, "[$-0E0000]yyyy-mm-dd")</f>
        <v/>
      </c>
    </row>
    <row r="87792">
      <c r="A87792" s="1" t="n">
        <v>87791</v>
      </c>
      <c r="B87792">
        <f>TEXT(87791, "[$-0E0000]yyyy-mm-dd")</f>
        <v/>
      </c>
    </row>
    <row r="87793">
      <c r="A87793" s="1" t="n">
        <v>87792</v>
      </c>
      <c r="B87793">
        <f>TEXT(87792, "[$-0E0000]yyyy-mm-dd")</f>
        <v/>
      </c>
    </row>
    <row r="87794">
      <c r="A87794" s="1" t="n">
        <v>87793</v>
      </c>
      <c r="B87794">
        <f>TEXT(87793, "[$-0E0000]yyyy-mm-dd")</f>
        <v/>
      </c>
    </row>
    <row r="87795">
      <c r="A87795" s="1" t="n">
        <v>87794</v>
      </c>
      <c r="B87795">
        <f>TEXT(87794, "[$-0E0000]yyyy-mm-dd")</f>
        <v/>
      </c>
    </row>
    <row r="87796">
      <c r="A87796" s="1" t="n">
        <v>87795</v>
      </c>
      <c r="B87796">
        <f>TEXT(87795, "[$-0E0000]yyyy-mm-dd")</f>
        <v/>
      </c>
    </row>
    <row r="87797">
      <c r="A87797" s="1" t="n">
        <v>87796</v>
      </c>
      <c r="B87797">
        <f>TEXT(87796, "[$-0E0000]yyyy-mm-dd")</f>
        <v/>
      </c>
    </row>
    <row r="87798">
      <c r="A87798" s="1" t="n">
        <v>87797</v>
      </c>
      <c r="B87798">
        <f>TEXT(87797, "[$-0E0000]yyyy-mm-dd")</f>
        <v/>
      </c>
    </row>
    <row r="87799">
      <c r="A87799" s="1" t="n">
        <v>87798</v>
      </c>
      <c r="B87799">
        <f>TEXT(87798, "[$-0E0000]yyyy-mm-dd")</f>
        <v/>
      </c>
    </row>
    <row r="87800">
      <c r="A87800" s="1" t="n">
        <v>87799</v>
      </c>
      <c r="B87800">
        <f>TEXT(87799, "[$-0E0000]yyyy-mm-dd")</f>
        <v/>
      </c>
    </row>
    <row r="87801">
      <c r="A87801" s="1" t="n">
        <v>87800</v>
      </c>
      <c r="B87801">
        <f>TEXT(87800, "[$-0E0000]yyyy-mm-dd")</f>
        <v/>
      </c>
    </row>
    <row r="87802">
      <c r="A87802" s="1" t="n">
        <v>87801</v>
      </c>
      <c r="B87802">
        <f>TEXT(87801, "[$-0E0000]yyyy-mm-dd")</f>
        <v/>
      </c>
    </row>
    <row r="87803">
      <c r="A87803" s="1" t="n">
        <v>87802</v>
      </c>
      <c r="B87803">
        <f>TEXT(87802, "[$-0E0000]yyyy-mm-dd")</f>
        <v/>
      </c>
    </row>
    <row r="87804">
      <c r="A87804" s="1" t="n">
        <v>87803</v>
      </c>
      <c r="B87804">
        <f>TEXT(87803, "[$-0E0000]yyyy-mm-dd")</f>
        <v/>
      </c>
    </row>
    <row r="87805">
      <c r="A87805" s="1" t="n">
        <v>87804</v>
      </c>
      <c r="B87805">
        <f>TEXT(87804, "[$-0E0000]yyyy-mm-dd")</f>
        <v/>
      </c>
    </row>
    <row r="87806">
      <c r="A87806" s="1" t="n">
        <v>87805</v>
      </c>
      <c r="B87806">
        <f>TEXT(87805, "[$-0E0000]yyyy-mm-dd")</f>
        <v/>
      </c>
    </row>
    <row r="87807">
      <c r="A87807" s="1" t="n">
        <v>87806</v>
      </c>
      <c r="B87807">
        <f>TEXT(87806, "[$-0E0000]yyyy-mm-dd")</f>
        <v/>
      </c>
    </row>
    <row r="87808">
      <c r="A87808" s="1" t="n">
        <v>87807</v>
      </c>
      <c r="B87808">
        <f>TEXT(87807, "[$-0E0000]yyyy-mm-dd")</f>
        <v/>
      </c>
    </row>
    <row r="87809">
      <c r="A87809" s="1" t="n">
        <v>87808</v>
      </c>
      <c r="B87809">
        <f>TEXT(87808, "[$-0E0000]yyyy-mm-dd")</f>
        <v/>
      </c>
    </row>
    <row r="87810">
      <c r="A87810" s="1" t="n">
        <v>87809</v>
      </c>
      <c r="B87810">
        <f>TEXT(87809, "[$-0E0000]yyyy-mm-dd")</f>
        <v/>
      </c>
    </row>
    <row r="87811">
      <c r="A87811" s="1" t="n">
        <v>87810</v>
      </c>
      <c r="B87811">
        <f>TEXT(87810, "[$-0E0000]yyyy-mm-dd")</f>
        <v/>
      </c>
    </row>
    <row r="87812">
      <c r="A87812" s="1" t="n">
        <v>87811</v>
      </c>
      <c r="B87812">
        <f>TEXT(87811, "[$-0E0000]yyyy-mm-dd")</f>
        <v/>
      </c>
    </row>
    <row r="87813">
      <c r="A87813" s="1" t="n">
        <v>87812</v>
      </c>
      <c r="B87813">
        <f>TEXT(87812, "[$-0E0000]yyyy-mm-dd")</f>
        <v/>
      </c>
    </row>
    <row r="87814">
      <c r="A87814" s="1" t="n">
        <v>87813</v>
      </c>
      <c r="B87814">
        <f>TEXT(87813, "[$-0E0000]yyyy-mm-dd")</f>
        <v/>
      </c>
    </row>
    <row r="87815">
      <c r="A87815" s="1" t="n">
        <v>87814</v>
      </c>
      <c r="B87815">
        <f>TEXT(87814, "[$-0E0000]yyyy-mm-dd")</f>
        <v/>
      </c>
    </row>
    <row r="87816">
      <c r="A87816" s="1" t="n">
        <v>87815</v>
      </c>
      <c r="B87816">
        <f>TEXT(87815, "[$-0E0000]yyyy-mm-dd")</f>
        <v/>
      </c>
    </row>
    <row r="87817">
      <c r="A87817" s="1" t="n">
        <v>87816</v>
      </c>
      <c r="B87817">
        <f>TEXT(87816, "[$-0E0000]yyyy-mm-dd")</f>
        <v/>
      </c>
    </row>
    <row r="87818">
      <c r="A87818" s="1" t="n">
        <v>87817</v>
      </c>
      <c r="B87818">
        <f>TEXT(87817, "[$-0E0000]yyyy-mm-dd")</f>
        <v/>
      </c>
    </row>
    <row r="87819">
      <c r="A87819" s="1" t="n">
        <v>87818</v>
      </c>
      <c r="B87819">
        <f>TEXT(87818, "[$-0E0000]yyyy-mm-dd")</f>
        <v/>
      </c>
    </row>
    <row r="87820">
      <c r="A87820" s="1" t="n">
        <v>87819</v>
      </c>
      <c r="B87820">
        <f>TEXT(87819, "[$-0E0000]yyyy-mm-dd")</f>
        <v/>
      </c>
    </row>
    <row r="87821">
      <c r="A87821" s="1" t="n">
        <v>87820</v>
      </c>
      <c r="B87821">
        <f>TEXT(87820, "[$-0E0000]yyyy-mm-dd")</f>
        <v/>
      </c>
    </row>
    <row r="87822">
      <c r="A87822" s="1" t="n">
        <v>87821</v>
      </c>
      <c r="B87822">
        <f>TEXT(87821, "[$-0E0000]yyyy-mm-dd")</f>
        <v/>
      </c>
    </row>
    <row r="87823">
      <c r="A87823" s="1" t="n">
        <v>87822</v>
      </c>
      <c r="B87823">
        <f>TEXT(87822, "[$-0E0000]yyyy-mm-dd")</f>
        <v/>
      </c>
    </row>
    <row r="87824">
      <c r="A87824" s="1" t="n">
        <v>87823</v>
      </c>
      <c r="B87824">
        <f>TEXT(87823, "[$-0E0000]yyyy-mm-dd")</f>
        <v/>
      </c>
    </row>
    <row r="87825">
      <c r="A87825" s="1" t="n">
        <v>87824</v>
      </c>
      <c r="B87825">
        <f>TEXT(87824, "[$-0E0000]yyyy-mm-dd")</f>
        <v/>
      </c>
    </row>
    <row r="87826">
      <c r="A87826" s="1" t="n">
        <v>87825</v>
      </c>
      <c r="B87826">
        <f>TEXT(87825, "[$-0E0000]yyyy-mm-dd")</f>
        <v/>
      </c>
    </row>
    <row r="87827">
      <c r="A87827" s="1" t="n">
        <v>87826</v>
      </c>
      <c r="B87827">
        <f>TEXT(87826, "[$-0E0000]yyyy-mm-dd")</f>
        <v/>
      </c>
    </row>
    <row r="87828">
      <c r="A87828" s="1" t="n">
        <v>87827</v>
      </c>
      <c r="B87828">
        <f>TEXT(87827, "[$-0E0000]yyyy-mm-dd")</f>
        <v/>
      </c>
    </row>
    <row r="87829">
      <c r="A87829" s="1" t="n">
        <v>87828</v>
      </c>
      <c r="B87829">
        <f>TEXT(87828, "[$-0E0000]yyyy-mm-dd")</f>
        <v/>
      </c>
    </row>
    <row r="87830">
      <c r="A87830" s="1" t="n">
        <v>87829</v>
      </c>
      <c r="B87830">
        <f>TEXT(87829, "[$-0E0000]yyyy-mm-dd")</f>
        <v/>
      </c>
    </row>
    <row r="87831">
      <c r="A87831" s="1" t="n">
        <v>87830</v>
      </c>
      <c r="B87831">
        <f>TEXT(87830, "[$-0E0000]yyyy-mm-dd")</f>
        <v/>
      </c>
    </row>
    <row r="87832">
      <c r="A87832" s="1" t="n">
        <v>87831</v>
      </c>
      <c r="B87832">
        <f>TEXT(87831, "[$-0E0000]yyyy-mm-dd")</f>
        <v/>
      </c>
    </row>
    <row r="87833">
      <c r="A87833" s="1" t="n">
        <v>87832</v>
      </c>
      <c r="B87833">
        <f>TEXT(87832, "[$-0E0000]yyyy-mm-dd")</f>
        <v/>
      </c>
    </row>
    <row r="87834">
      <c r="A87834" s="1" t="n">
        <v>87833</v>
      </c>
      <c r="B87834">
        <f>TEXT(87833, "[$-0E0000]yyyy-mm-dd")</f>
        <v/>
      </c>
    </row>
    <row r="87835">
      <c r="A87835" s="1" t="n">
        <v>87834</v>
      </c>
      <c r="B87835">
        <f>TEXT(87834, "[$-0E0000]yyyy-mm-dd")</f>
        <v/>
      </c>
    </row>
    <row r="87836">
      <c r="A87836" s="1" t="n">
        <v>87835</v>
      </c>
      <c r="B87836">
        <f>TEXT(87835, "[$-0E0000]yyyy-mm-dd")</f>
        <v/>
      </c>
    </row>
    <row r="87837">
      <c r="A87837" s="1" t="n">
        <v>87836</v>
      </c>
      <c r="B87837">
        <f>TEXT(87836, "[$-0E0000]yyyy-mm-dd")</f>
        <v/>
      </c>
    </row>
    <row r="87838">
      <c r="A87838" s="1" t="n">
        <v>87837</v>
      </c>
      <c r="B87838">
        <f>TEXT(87837, "[$-0E0000]yyyy-mm-dd")</f>
        <v/>
      </c>
    </row>
    <row r="87839">
      <c r="A87839" s="1" t="n">
        <v>87838</v>
      </c>
      <c r="B87839">
        <f>TEXT(87838, "[$-0E0000]yyyy-mm-dd")</f>
        <v/>
      </c>
    </row>
    <row r="87840">
      <c r="A87840" s="1" t="n">
        <v>87839</v>
      </c>
      <c r="B87840">
        <f>TEXT(87839, "[$-0E0000]yyyy-mm-dd")</f>
        <v/>
      </c>
    </row>
    <row r="87841">
      <c r="A87841" s="1" t="n">
        <v>87840</v>
      </c>
      <c r="B87841">
        <f>TEXT(87840, "[$-0E0000]yyyy-mm-dd")</f>
        <v/>
      </c>
    </row>
    <row r="87842">
      <c r="A87842" s="1" t="n">
        <v>87841</v>
      </c>
      <c r="B87842">
        <f>TEXT(87841, "[$-0E0000]yyyy-mm-dd")</f>
        <v/>
      </c>
    </row>
    <row r="87843">
      <c r="A87843" s="1" t="n">
        <v>87842</v>
      </c>
      <c r="B87843">
        <f>TEXT(87842, "[$-0E0000]yyyy-mm-dd")</f>
        <v/>
      </c>
    </row>
    <row r="87844">
      <c r="A87844" s="1" t="n">
        <v>87843</v>
      </c>
      <c r="B87844">
        <f>TEXT(87843, "[$-0E0000]yyyy-mm-dd")</f>
        <v/>
      </c>
    </row>
    <row r="87845">
      <c r="A87845" s="1" t="n">
        <v>87844</v>
      </c>
      <c r="B87845">
        <f>TEXT(87844, "[$-0E0000]yyyy-mm-dd")</f>
        <v/>
      </c>
    </row>
    <row r="87846">
      <c r="A87846" s="1" t="n">
        <v>87845</v>
      </c>
      <c r="B87846">
        <f>TEXT(87845, "[$-0E0000]yyyy-mm-dd")</f>
        <v/>
      </c>
    </row>
    <row r="87847">
      <c r="A87847" s="1" t="n">
        <v>87846</v>
      </c>
      <c r="B87847">
        <f>TEXT(87846, "[$-0E0000]yyyy-mm-dd")</f>
        <v/>
      </c>
    </row>
    <row r="87848">
      <c r="A87848" s="1" t="n">
        <v>87847</v>
      </c>
      <c r="B87848">
        <f>TEXT(87847, "[$-0E0000]yyyy-mm-dd")</f>
        <v/>
      </c>
    </row>
    <row r="87849">
      <c r="A87849" s="1" t="n">
        <v>87848</v>
      </c>
      <c r="B87849">
        <f>TEXT(87848, "[$-0E0000]yyyy-mm-dd")</f>
        <v/>
      </c>
    </row>
    <row r="87850">
      <c r="A87850" s="1" t="n">
        <v>87849</v>
      </c>
      <c r="B87850">
        <f>TEXT(87849, "[$-0E0000]yyyy-mm-dd")</f>
        <v/>
      </c>
    </row>
    <row r="87851">
      <c r="A87851" s="1" t="n">
        <v>87850</v>
      </c>
      <c r="B87851">
        <f>TEXT(87850, "[$-0E0000]yyyy-mm-dd")</f>
        <v/>
      </c>
    </row>
    <row r="87852">
      <c r="A87852" s="1" t="n">
        <v>87851</v>
      </c>
      <c r="B87852">
        <f>TEXT(87851, "[$-0E0000]yyyy-mm-dd")</f>
        <v/>
      </c>
    </row>
    <row r="87853">
      <c r="A87853" s="1" t="n">
        <v>87852</v>
      </c>
      <c r="B87853">
        <f>TEXT(87852, "[$-0E0000]yyyy-mm-dd")</f>
        <v/>
      </c>
    </row>
    <row r="87854">
      <c r="A87854" s="1" t="n">
        <v>87853</v>
      </c>
      <c r="B87854">
        <f>TEXT(87853, "[$-0E0000]yyyy-mm-dd")</f>
        <v/>
      </c>
    </row>
    <row r="87855">
      <c r="A87855" s="1" t="n">
        <v>87854</v>
      </c>
      <c r="B87855">
        <f>TEXT(87854, "[$-0E0000]yyyy-mm-dd")</f>
        <v/>
      </c>
    </row>
    <row r="87856">
      <c r="A87856" s="1" t="n">
        <v>87855</v>
      </c>
      <c r="B87856">
        <f>TEXT(87855, "[$-0E0000]yyyy-mm-dd")</f>
        <v/>
      </c>
    </row>
    <row r="87857">
      <c r="A87857" s="1" t="n">
        <v>87856</v>
      </c>
      <c r="B87857">
        <f>TEXT(87856, "[$-0E0000]yyyy-mm-dd")</f>
        <v/>
      </c>
    </row>
    <row r="87858">
      <c r="A87858" s="1" t="n">
        <v>87857</v>
      </c>
      <c r="B87858">
        <f>TEXT(87857, "[$-0E0000]yyyy-mm-dd")</f>
        <v/>
      </c>
    </row>
    <row r="87859">
      <c r="A87859" s="1" t="n">
        <v>87858</v>
      </c>
      <c r="B87859">
        <f>TEXT(87858, "[$-0E0000]yyyy-mm-dd")</f>
        <v/>
      </c>
    </row>
    <row r="87860">
      <c r="A87860" s="1" t="n">
        <v>87859</v>
      </c>
      <c r="B87860">
        <f>TEXT(87859, "[$-0E0000]yyyy-mm-dd")</f>
        <v/>
      </c>
    </row>
    <row r="87861">
      <c r="A87861" s="1" t="n">
        <v>87860</v>
      </c>
      <c r="B87861">
        <f>TEXT(87860, "[$-0E0000]yyyy-mm-dd")</f>
        <v/>
      </c>
    </row>
    <row r="87862">
      <c r="A87862" s="1" t="n">
        <v>87861</v>
      </c>
      <c r="B87862">
        <f>TEXT(87861, "[$-0E0000]yyyy-mm-dd")</f>
        <v/>
      </c>
    </row>
    <row r="87863">
      <c r="A87863" s="1" t="n">
        <v>87862</v>
      </c>
      <c r="B87863">
        <f>TEXT(87862, "[$-0E0000]yyyy-mm-dd")</f>
        <v/>
      </c>
    </row>
    <row r="87864">
      <c r="A87864" s="1" t="n">
        <v>87863</v>
      </c>
      <c r="B87864">
        <f>TEXT(87863, "[$-0E0000]yyyy-mm-dd")</f>
        <v/>
      </c>
    </row>
    <row r="87865">
      <c r="A87865" s="1" t="n">
        <v>87864</v>
      </c>
      <c r="B87865">
        <f>TEXT(87864, "[$-0E0000]yyyy-mm-dd")</f>
        <v/>
      </c>
    </row>
    <row r="87866">
      <c r="A87866" s="1" t="n">
        <v>87865</v>
      </c>
      <c r="B87866">
        <f>TEXT(87865, "[$-0E0000]yyyy-mm-dd")</f>
        <v/>
      </c>
    </row>
    <row r="87867">
      <c r="A87867" s="1" t="n">
        <v>87866</v>
      </c>
      <c r="B87867">
        <f>TEXT(87866, "[$-0E0000]yyyy-mm-dd")</f>
        <v/>
      </c>
    </row>
    <row r="87868">
      <c r="A87868" s="1" t="n">
        <v>87867</v>
      </c>
      <c r="B87868">
        <f>TEXT(87867, "[$-0E0000]yyyy-mm-dd")</f>
        <v/>
      </c>
    </row>
    <row r="87869">
      <c r="A87869" s="1" t="n">
        <v>87868</v>
      </c>
      <c r="B87869">
        <f>TEXT(87868, "[$-0E0000]yyyy-mm-dd")</f>
        <v/>
      </c>
    </row>
    <row r="87870">
      <c r="A87870" s="1" t="n">
        <v>87869</v>
      </c>
      <c r="B87870">
        <f>TEXT(87869, "[$-0E0000]yyyy-mm-dd")</f>
        <v/>
      </c>
    </row>
    <row r="87871">
      <c r="A87871" s="1" t="n">
        <v>87870</v>
      </c>
      <c r="B87871">
        <f>TEXT(87870, "[$-0E0000]yyyy-mm-dd")</f>
        <v/>
      </c>
    </row>
    <row r="87872">
      <c r="A87872" s="1" t="n">
        <v>87871</v>
      </c>
      <c r="B87872">
        <f>TEXT(87871, "[$-0E0000]yyyy-mm-dd")</f>
        <v/>
      </c>
    </row>
    <row r="87873">
      <c r="A87873" s="1" t="n">
        <v>87872</v>
      </c>
      <c r="B87873">
        <f>TEXT(87872, "[$-0E0000]yyyy-mm-dd")</f>
        <v/>
      </c>
    </row>
    <row r="87874">
      <c r="A87874" s="1" t="n">
        <v>87873</v>
      </c>
      <c r="B87874">
        <f>TEXT(87873, "[$-0E0000]yyyy-mm-dd")</f>
        <v/>
      </c>
    </row>
    <row r="87875">
      <c r="A87875" s="1" t="n">
        <v>87874</v>
      </c>
      <c r="B87875">
        <f>TEXT(87874, "[$-0E0000]yyyy-mm-dd")</f>
        <v/>
      </c>
    </row>
    <row r="87876">
      <c r="A87876" s="1" t="n">
        <v>87875</v>
      </c>
      <c r="B87876">
        <f>TEXT(87875, "[$-0E0000]yyyy-mm-dd")</f>
        <v/>
      </c>
    </row>
    <row r="87877">
      <c r="A87877" s="1" t="n">
        <v>87876</v>
      </c>
      <c r="B87877">
        <f>TEXT(87876, "[$-0E0000]yyyy-mm-dd")</f>
        <v/>
      </c>
    </row>
    <row r="87878">
      <c r="A87878" s="1" t="n">
        <v>87877</v>
      </c>
      <c r="B87878">
        <f>TEXT(87877, "[$-0E0000]yyyy-mm-dd")</f>
        <v/>
      </c>
    </row>
    <row r="87879">
      <c r="A87879" s="1" t="n">
        <v>87878</v>
      </c>
      <c r="B87879">
        <f>TEXT(87878, "[$-0E0000]yyyy-mm-dd")</f>
        <v/>
      </c>
    </row>
    <row r="87880">
      <c r="A87880" s="1" t="n">
        <v>87879</v>
      </c>
      <c r="B87880">
        <f>TEXT(87879, "[$-0E0000]yyyy-mm-dd")</f>
        <v/>
      </c>
    </row>
    <row r="87881">
      <c r="A87881" s="1" t="n">
        <v>87880</v>
      </c>
      <c r="B87881">
        <f>TEXT(87880, "[$-0E0000]yyyy-mm-dd")</f>
        <v/>
      </c>
    </row>
    <row r="87882">
      <c r="A87882" s="1" t="n">
        <v>87881</v>
      </c>
      <c r="B87882">
        <f>TEXT(87881, "[$-0E0000]yyyy-mm-dd")</f>
        <v/>
      </c>
    </row>
    <row r="87883">
      <c r="A87883" s="1" t="n">
        <v>87882</v>
      </c>
      <c r="B87883">
        <f>TEXT(87882, "[$-0E0000]yyyy-mm-dd")</f>
        <v/>
      </c>
    </row>
    <row r="87884">
      <c r="A87884" s="1" t="n">
        <v>87883</v>
      </c>
      <c r="B87884">
        <f>TEXT(87883, "[$-0E0000]yyyy-mm-dd")</f>
        <v/>
      </c>
    </row>
    <row r="87885">
      <c r="A87885" s="1" t="n">
        <v>87884</v>
      </c>
      <c r="B87885">
        <f>TEXT(87884, "[$-0E0000]yyyy-mm-dd")</f>
        <v/>
      </c>
    </row>
    <row r="87886">
      <c r="A87886" s="1" t="n">
        <v>87885</v>
      </c>
      <c r="B87886">
        <f>TEXT(87885, "[$-0E0000]yyyy-mm-dd")</f>
        <v/>
      </c>
    </row>
    <row r="87887">
      <c r="A87887" s="1" t="n">
        <v>87886</v>
      </c>
      <c r="B87887">
        <f>TEXT(87886, "[$-0E0000]yyyy-mm-dd")</f>
        <v/>
      </c>
    </row>
    <row r="87888">
      <c r="A87888" s="1" t="n">
        <v>87887</v>
      </c>
      <c r="B87888">
        <f>TEXT(87887, "[$-0E0000]yyyy-mm-dd")</f>
        <v/>
      </c>
    </row>
    <row r="87889">
      <c r="A87889" s="1" t="n">
        <v>87888</v>
      </c>
      <c r="B87889">
        <f>TEXT(87888, "[$-0E0000]yyyy-mm-dd")</f>
        <v/>
      </c>
    </row>
    <row r="87890">
      <c r="A87890" s="1" t="n">
        <v>87889</v>
      </c>
      <c r="B87890">
        <f>TEXT(87889, "[$-0E0000]yyyy-mm-dd")</f>
        <v/>
      </c>
    </row>
    <row r="87891">
      <c r="A87891" s="1" t="n">
        <v>87890</v>
      </c>
      <c r="B87891">
        <f>TEXT(87890, "[$-0E0000]yyyy-mm-dd")</f>
        <v/>
      </c>
    </row>
    <row r="87892">
      <c r="A87892" s="1" t="n">
        <v>87891</v>
      </c>
      <c r="B87892">
        <f>TEXT(87891, "[$-0E0000]yyyy-mm-dd")</f>
        <v/>
      </c>
    </row>
    <row r="87893">
      <c r="A87893" s="1" t="n">
        <v>87892</v>
      </c>
      <c r="B87893">
        <f>TEXT(87892, "[$-0E0000]yyyy-mm-dd")</f>
        <v/>
      </c>
    </row>
    <row r="87894">
      <c r="A87894" s="1" t="n">
        <v>87893</v>
      </c>
      <c r="B87894">
        <f>TEXT(87893, "[$-0E0000]yyyy-mm-dd")</f>
        <v/>
      </c>
    </row>
    <row r="87895">
      <c r="A87895" s="1" t="n">
        <v>87894</v>
      </c>
      <c r="B87895">
        <f>TEXT(87894, "[$-0E0000]yyyy-mm-dd")</f>
        <v/>
      </c>
    </row>
    <row r="87896">
      <c r="A87896" s="1" t="n">
        <v>87895</v>
      </c>
      <c r="B87896">
        <f>TEXT(87895, "[$-0E0000]yyyy-mm-dd")</f>
        <v/>
      </c>
    </row>
    <row r="87897">
      <c r="A87897" s="1" t="n">
        <v>87896</v>
      </c>
      <c r="B87897">
        <f>TEXT(87896, "[$-0E0000]yyyy-mm-dd")</f>
        <v/>
      </c>
    </row>
    <row r="87898">
      <c r="A87898" s="1" t="n">
        <v>87897</v>
      </c>
      <c r="B87898">
        <f>TEXT(87897, "[$-0E0000]yyyy-mm-dd")</f>
        <v/>
      </c>
    </row>
    <row r="87899">
      <c r="A87899" s="1" t="n">
        <v>87898</v>
      </c>
      <c r="B87899">
        <f>TEXT(87898, "[$-0E0000]yyyy-mm-dd")</f>
        <v/>
      </c>
    </row>
    <row r="87900">
      <c r="A87900" s="1" t="n">
        <v>87899</v>
      </c>
      <c r="B87900">
        <f>TEXT(87899, "[$-0E0000]yyyy-mm-dd")</f>
        <v/>
      </c>
    </row>
    <row r="87901">
      <c r="A87901" s="1" t="n">
        <v>87900</v>
      </c>
      <c r="B87901">
        <f>TEXT(87900, "[$-0E0000]yyyy-mm-dd")</f>
        <v/>
      </c>
    </row>
    <row r="87902">
      <c r="A87902" s="1" t="n">
        <v>87901</v>
      </c>
      <c r="B87902">
        <f>TEXT(87901, "[$-0E0000]yyyy-mm-dd")</f>
        <v/>
      </c>
    </row>
    <row r="87903">
      <c r="A87903" s="1" t="n">
        <v>87902</v>
      </c>
      <c r="B87903">
        <f>TEXT(87902, "[$-0E0000]yyyy-mm-dd")</f>
        <v/>
      </c>
    </row>
    <row r="87904">
      <c r="A87904" s="1" t="n">
        <v>87903</v>
      </c>
      <c r="B87904">
        <f>TEXT(87903, "[$-0E0000]yyyy-mm-dd")</f>
        <v/>
      </c>
    </row>
    <row r="87905">
      <c r="A87905" s="1" t="n">
        <v>87904</v>
      </c>
      <c r="B87905">
        <f>TEXT(87904, "[$-0E0000]yyyy-mm-dd")</f>
        <v/>
      </c>
    </row>
    <row r="87906">
      <c r="A87906" s="1" t="n">
        <v>87905</v>
      </c>
      <c r="B87906">
        <f>TEXT(87905, "[$-0E0000]yyyy-mm-dd")</f>
        <v/>
      </c>
    </row>
    <row r="87907">
      <c r="A87907" s="1" t="n">
        <v>87906</v>
      </c>
      <c r="B87907">
        <f>TEXT(87906, "[$-0E0000]yyyy-mm-dd")</f>
        <v/>
      </c>
    </row>
    <row r="87908">
      <c r="A87908" s="1" t="n">
        <v>87907</v>
      </c>
      <c r="B87908">
        <f>TEXT(87907, "[$-0E0000]yyyy-mm-dd")</f>
        <v/>
      </c>
    </row>
    <row r="87909">
      <c r="A87909" s="1" t="n">
        <v>87908</v>
      </c>
      <c r="B87909">
        <f>TEXT(87908, "[$-0E0000]yyyy-mm-dd")</f>
        <v/>
      </c>
    </row>
    <row r="87910">
      <c r="A87910" s="1" t="n">
        <v>87909</v>
      </c>
      <c r="B87910">
        <f>TEXT(87909, "[$-0E0000]yyyy-mm-dd")</f>
        <v/>
      </c>
    </row>
    <row r="87911">
      <c r="A87911" s="1" t="n">
        <v>87910</v>
      </c>
      <c r="B87911">
        <f>TEXT(87910, "[$-0E0000]yyyy-mm-dd")</f>
        <v/>
      </c>
    </row>
    <row r="87912">
      <c r="A87912" s="1" t="n">
        <v>87911</v>
      </c>
      <c r="B87912">
        <f>TEXT(87911, "[$-0E0000]yyyy-mm-dd")</f>
        <v/>
      </c>
    </row>
    <row r="87913">
      <c r="A87913" s="1" t="n">
        <v>87912</v>
      </c>
      <c r="B87913">
        <f>TEXT(87912, "[$-0E0000]yyyy-mm-dd")</f>
        <v/>
      </c>
    </row>
    <row r="87914">
      <c r="A87914" s="1" t="n">
        <v>87913</v>
      </c>
      <c r="B87914">
        <f>TEXT(87913, "[$-0E0000]yyyy-mm-dd")</f>
        <v/>
      </c>
    </row>
    <row r="87915">
      <c r="A87915" s="1" t="n">
        <v>87914</v>
      </c>
      <c r="B87915">
        <f>TEXT(87914, "[$-0E0000]yyyy-mm-dd")</f>
        <v/>
      </c>
    </row>
    <row r="87916">
      <c r="A87916" s="1" t="n">
        <v>87915</v>
      </c>
      <c r="B87916">
        <f>TEXT(87915, "[$-0E0000]yyyy-mm-dd")</f>
        <v/>
      </c>
    </row>
    <row r="87917">
      <c r="A87917" s="1" t="n">
        <v>87916</v>
      </c>
      <c r="B87917">
        <f>TEXT(87916, "[$-0E0000]yyyy-mm-dd")</f>
        <v/>
      </c>
    </row>
    <row r="87918">
      <c r="A87918" s="1" t="n">
        <v>87917</v>
      </c>
      <c r="B87918">
        <f>TEXT(87917, "[$-0E0000]yyyy-mm-dd")</f>
        <v/>
      </c>
    </row>
    <row r="87919">
      <c r="A87919" s="1" t="n">
        <v>87918</v>
      </c>
      <c r="B87919">
        <f>TEXT(87918, "[$-0E0000]yyyy-mm-dd")</f>
        <v/>
      </c>
    </row>
    <row r="87920">
      <c r="A87920" s="1" t="n">
        <v>87919</v>
      </c>
      <c r="B87920">
        <f>TEXT(87919, "[$-0E0000]yyyy-mm-dd")</f>
        <v/>
      </c>
    </row>
    <row r="87921">
      <c r="A87921" s="1" t="n">
        <v>87920</v>
      </c>
      <c r="B87921">
        <f>TEXT(87920, "[$-0E0000]yyyy-mm-dd")</f>
        <v/>
      </c>
    </row>
    <row r="87922">
      <c r="A87922" s="1" t="n">
        <v>87921</v>
      </c>
      <c r="B87922">
        <f>TEXT(87921, "[$-0E0000]yyyy-mm-dd")</f>
        <v/>
      </c>
    </row>
    <row r="87923">
      <c r="A87923" s="1" t="n">
        <v>87922</v>
      </c>
      <c r="B87923">
        <f>TEXT(87922, "[$-0E0000]yyyy-mm-dd")</f>
        <v/>
      </c>
    </row>
    <row r="87924">
      <c r="A87924" s="1" t="n">
        <v>87923</v>
      </c>
      <c r="B87924">
        <f>TEXT(87923, "[$-0E0000]yyyy-mm-dd")</f>
        <v/>
      </c>
    </row>
    <row r="87925">
      <c r="A87925" s="1" t="n">
        <v>87924</v>
      </c>
      <c r="B87925">
        <f>TEXT(87924, "[$-0E0000]yyyy-mm-dd")</f>
        <v/>
      </c>
    </row>
    <row r="87926">
      <c r="A87926" s="1" t="n">
        <v>87925</v>
      </c>
      <c r="B87926">
        <f>TEXT(87925, "[$-0E0000]yyyy-mm-dd")</f>
        <v/>
      </c>
    </row>
    <row r="87927">
      <c r="A87927" s="1" t="n">
        <v>87926</v>
      </c>
      <c r="B87927">
        <f>TEXT(87926, "[$-0E0000]yyyy-mm-dd")</f>
        <v/>
      </c>
    </row>
    <row r="87928">
      <c r="A87928" s="1" t="n">
        <v>87927</v>
      </c>
      <c r="B87928">
        <f>TEXT(87927, "[$-0E0000]yyyy-mm-dd")</f>
        <v/>
      </c>
    </row>
    <row r="87929">
      <c r="A87929" s="1" t="n">
        <v>87928</v>
      </c>
      <c r="B87929">
        <f>TEXT(87928, "[$-0E0000]yyyy-mm-dd")</f>
        <v/>
      </c>
    </row>
    <row r="87930">
      <c r="A87930" s="1" t="n">
        <v>87929</v>
      </c>
      <c r="B87930">
        <f>TEXT(87929, "[$-0E0000]yyyy-mm-dd")</f>
        <v/>
      </c>
    </row>
    <row r="87931">
      <c r="A87931" s="1" t="n">
        <v>87930</v>
      </c>
      <c r="B87931">
        <f>TEXT(87930, "[$-0E0000]yyyy-mm-dd")</f>
        <v/>
      </c>
    </row>
    <row r="87932">
      <c r="A87932" s="1" t="n">
        <v>87931</v>
      </c>
      <c r="B87932">
        <f>TEXT(87931, "[$-0E0000]yyyy-mm-dd")</f>
        <v/>
      </c>
    </row>
    <row r="87933">
      <c r="A87933" s="1" t="n">
        <v>87932</v>
      </c>
      <c r="B87933">
        <f>TEXT(87932, "[$-0E0000]yyyy-mm-dd")</f>
        <v/>
      </c>
    </row>
    <row r="87934">
      <c r="A87934" s="1" t="n">
        <v>87933</v>
      </c>
      <c r="B87934">
        <f>TEXT(87933, "[$-0E0000]yyyy-mm-dd")</f>
        <v/>
      </c>
    </row>
    <row r="87935">
      <c r="A87935" s="1" t="n">
        <v>87934</v>
      </c>
      <c r="B87935">
        <f>TEXT(87934, "[$-0E0000]yyyy-mm-dd")</f>
        <v/>
      </c>
    </row>
    <row r="87936">
      <c r="A87936" s="1" t="n">
        <v>87935</v>
      </c>
      <c r="B87936">
        <f>TEXT(87935, "[$-0E0000]yyyy-mm-dd")</f>
        <v/>
      </c>
    </row>
    <row r="87937">
      <c r="A87937" s="1" t="n">
        <v>87936</v>
      </c>
      <c r="B87937">
        <f>TEXT(87936, "[$-0E0000]yyyy-mm-dd")</f>
        <v/>
      </c>
    </row>
    <row r="87938">
      <c r="A87938" s="1" t="n">
        <v>87937</v>
      </c>
      <c r="B87938">
        <f>TEXT(87937, "[$-0E0000]yyyy-mm-dd")</f>
        <v/>
      </c>
    </row>
    <row r="87939">
      <c r="A87939" s="1" t="n">
        <v>87938</v>
      </c>
      <c r="B87939">
        <f>TEXT(87938, "[$-0E0000]yyyy-mm-dd")</f>
        <v/>
      </c>
    </row>
    <row r="87940">
      <c r="A87940" s="1" t="n">
        <v>87939</v>
      </c>
      <c r="B87940">
        <f>TEXT(87939, "[$-0E0000]yyyy-mm-dd")</f>
        <v/>
      </c>
    </row>
    <row r="87941">
      <c r="A87941" s="1" t="n">
        <v>87940</v>
      </c>
      <c r="B87941">
        <f>TEXT(87940, "[$-0E0000]yyyy-mm-dd")</f>
        <v/>
      </c>
    </row>
    <row r="87942">
      <c r="A87942" s="1" t="n">
        <v>87941</v>
      </c>
      <c r="B87942">
        <f>TEXT(87941, "[$-0E0000]yyyy-mm-dd")</f>
        <v/>
      </c>
    </row>
    <row r="87943">
      <c r="A87943" s="1" t="n">
        <v>87942</v>
      </c>
      <c r="B87943">
        <f>TEXT(87942, "[$-0E0000]yyyy-mm-dd")</f>
        <v/>
      </c>
    </row>
    <row r="87944">
      <c r="A87944" s="1" t="n">
        <v>87943</v>
      </c>
      <c r="B87944">
        <f>TEXT(87943, "[$-0E0000]yyyy-mm-dd")</f>
        <v/>
      </c>
    </row>
    <row r="87945">
      <c r="A87945" s="1" t="n">
        <v>87944</v>
      </c>
      <c r="B87945">
        <f>TEXT(87944, "[$-0E0000]yyyy-mm-dd")</f>
        <v/>
      </c>
    </row>
    <row r="87946">
      <c r="A87946" s="1" t="n">
        <v>87945</v>
      </c>
      <c r="B87946">
        <f>TEXT(87945, "[$-0E0000]yyyy-mm-dd")</f>
        <v/>
      </c>
    </row>
    <row r="87947">
      <c r="A87947" s="1" t="n">
        <v>87946</v>
      </c>
      <c r="B87947">
        <f>TEXT(87946, "[$-0E0000]yyyy-mm-dd")</f>
        <v/>
      </c>
    </row>
    <row r="87948">
      <c r="A87948" s="1" t="n">
        <v>87947</v>
      </c>
      <c r="B87948">
        <f>TEXT(87947, "[$-0E0000]yyyy-mm-dd")</f>
        <v/>
      </c>
    </row>
    <row r="87949">
      <c r="A87949" s="1" t="n">
        <v>87948</v>
      </c>
      <c r="B87949">
        <f>TEXT(87948, "[$-0E0000]yyyy-mm-dd")</f>
        <v/>
      </c>
    </row>
    <row r="87950">
      <c r="A87950" s="1" t="n">
        <v>87949</v>
      </c>
      <c r="B87950">
        <f>TEXT(87949, "[$-0E0000]yyyy-mm-dd")</f>
        <v/>
      </c>
    </row>
    <row r="87951">
      <c r="A87951" s="1" t="n">
        <v>87950</v>
      </c>
      <c r="B87951">
        <f>TEXT(87950, "[$-0E0000]yyyy-mm-dd")</f>
        <v/>
      </c>
    </row>
    <row r="87952">
      <c r="A87952" s="1" t="n">
        <v>87951</v>
      </c>
      <c r="B87952">
        <f>TEXT(87951, "[$-0E0000]yyyy-mm-dd")</f>
        <v/>
      </c>
    </row>
    <row r="87953">
      <c r="A87953" s="1" t="n">
        <v>87952</v>
      </c>
      <c r="B87953">
        <f>TEXT(87952, "[$-0E0000]yyyy-mm-dd")</f>
        <v/>
      </c>
    </row>
    <row r="87954">
      <c r="A87954" s="1" t="n">
        <v>87953</v>
      </c>
      <c r="B87954">
        <f>TEXT(87953, "[$-0E0000]yyyy-mm-dd")</f>
        <v/>
      </c>
    </row>
    <row r="87955">
      <c r="A87955" s="1" t="n">
        <v>87954</v>
      </c>
      <c r="B87955">
        <f>TEXT(87954, "[$-0E0000]yyyy-mm-dd")</f>
        <v/>
      </c>
    </row>
    <row r="87956">
      <c r="A87956" s="1" t="n">
        <v>87955</v>
      </c>
      <c r="B87956">
        <f>TEXT(87955, "[$-0E0000]yyyy-mm-dd")</f>
        <v/>
      </c>
    </row>
    <row r="87957">
      <c r="A87957" s="1" t="n">
        <v>87956</v>
      </c>
      <c r="B87957">
        <f>TEXT(87956, "[$-0E0000]yyyy-mm-dd")</f>
        <v/>
      </c>
    </row>
    <row r="87958">
      <c r="A87958" s="1" t="n">
        <v>87957</v>
      </c>
      <c r="B87958">
        <f>TEXT(87957, "[$-0E0000]yyyy-mm-dd")</f>
        <v/>
      </c>
    </row>
    <row r="87959">
      <c r="A87959" s="1" t="n">
        <v>87958</v>
      </c>
      <c r="B87959">
        <f>TEXT(87958, "[$-0E0000]yyyy-mm-dd")</f>
        <v/>
      </c>
    </row>
    <row r="87960">
      <c r="A87960" s="1" t="n">
        <v>87959</v>
      </c>
      <c r="B87960">
        <f>TEXT(87959, "[$-0E0000]yyyy-mm-dd")</f>
        <v/>
      </c>
    </row>
    <row r="87961">
      <c r="A87961" s="1" t="n">
        <v>87960</v>
      </c>
      <c r="B87961">
        <f>TEXT(87960, "[$-0E0000]yyyy-mm-dd")</f>
        <v/>
      </c>
    </row>
    <row r="87962">
      <c r="A87962" s="1" t="n">
        <v>87961</v>
      </c>
      <c r="B87962">
        <f>TEXT(87961, "[$-0E0000]yyyy-mm-dd")</f>
        <v/>
      </c>
    </row>
    <row r="87963">
      <c r="A87963" s="1" t="n">
        <v>87962</v>
      </c>
      <c r="B87963">
        <f>TEXT(87962, "[$-0E0000]yyyy-mm-dd")</f>
        <v/>
      </c>
    </row>
    <row r="87964">
      <c r="A87964" s="1" t="n">
        <v>87963</v>
      </c>
      <c r="B87964">
        <f>TEXT(87963, "[$-0E0000]yyyy-mm-dd")</f>
        <v/>
      </c>
    </row>
    <row r="87965">
      <c r="A87965" s="1" t="n">
        <v>87964</v>
      </c>
      <c r="B87965">
        <f>TEXT(87964, "[$-0E0000]yyyy-mm-dd")</f>
        <v/>
      </c>
    </row>
    <row r="87966">
      <c r="A87966" s="1" t="n">
        <v>87965</v>
      </c>
      <c r="B87966">
        <f>TEXT(87965, "[$-0E0000]yyyy-mm-dd")</f>
        <v/>
      </c>
    </row>
    <row r="87967">
      <c r="A87967" s="1" t="n">
        <v>87966</v>
      </c>
      <c r="B87967">
        <f>TEXT(87966, "[$-0E0000]yyyy-mm-dd")</f>
        <v/>
      </c>
    </row>
    <row r="87968">
      <c r="A87968" s="1" t="n">
        <v>87967</v>
      </c>
      <c r="B87968">
        <f>TEXT(87967, "[$-0E0000]yyyy-mm-dd")</f>
        <v/>
      </c>
    </row>
    <row r="87969">
      <c r="A87969" s="1" t="n">
        <v>87968</v>
      </c>
      <c r="B87969">
        <f>TEXT(87968, "[$-0E0000]yyyy-mm-dd")</f>
        <v/>
      </c>
    </row>
    <row r="87970">
      <c r="A87970" s="1" t="n">
        <v>87969</v>
      </c>
      <c r="B87970">
        <f>TEXT(87969, "[$-0E0000]yyyy-mm-dd")</f>
        <v/>
      </c>
    </row>
    <row r="87971">
      <c r="A87971" s="1" t="n">
        <v>87970</v>
      </c>
      <c r="B87971">
        <f>TEXT(87970, "[$-0E0000]yyyy-mm-dd")</f>
        <v/>
      </c>
    </row>
    <row r="87972">
      <c r="A87972" s="1" t="n">
        <v>87971</v>
      </c>
      <c r="B87972">
        <f>TEXT(87971, "[$-0E0000]yyyy-mm-dd")</f>
        <v/>
      </c>
    </row>
    <row r="87973">
      <c r="A87973" s="1" t="n">
        <v>87972</v>
      </c>
      <c r="B87973">
        <f>TEXT(87972, "[$-0E0000]yyyy-mm-dd")</f>
        <v/>
      </c>
    </row>
    <row r="87974">
      <c r="A87974" s="1" t="n">
        <v>87973</v>
      </c>
      <c r="B87974">
        <f>TEXT(87973, "[$-0E0000]yyyy-mm-dd")</f>
        <v/>
      </c>
    </row>
    <row r="87975">
      <c r="A87975" s="1" t="n">
        <v>87974</v>
      </c>
      <c r="B87975">
        <f>TEXT(87974, "[$-0E0000]yyyy-mm-dd")</f>
        <v/>
      </c>
    </row>
    <row r="87976">
      <c r="A87976" s="1" t="n">
        <v>87975</v>
      </c>
      <c r="B87976">
        <f>TEXT(87975, "[$-0E0000]yyyy-mm-dd")</f>
        <v/>
      </c>
    </row>
    <row r="87977">
      <c r="A87977" s="1" t="n">
        <v>87976</v>
      </c>
      <c r="B87977">
        <f>TEXT(87976, "[$-0E0000]yyyy-mm-dd")</f>
        <v/>
      </c>
    </row>
    <row r="87978">
      <c r="A87978" s="1" t="n">
        <v>87977</v>
      </c>
      <c r="B87978">
        <f>TEXT(87977, "[$-0E0000]yyyy-mm-dd")</f>
        <v/>
      </c>
    </row>
    <row r="87979">
      <c r="A87979" s="1" t="n">
        <v>87978</v>
      </c>
      <c r="B87979">
        <f>TEXT(87978, "[$-0E0000]yyyy-mm-dd")</f>
        <v/>
      </c>
    </row>
    <row r="87980">
      <c r="A87980" s="1" t="n">
        <v>87979</v>
      </c>
      <c r="B87980">
        <f>TEXT(87979, "[$-0E0000]yyyy-mm-dd")</f>
        <v/>
      </c>
    </row>
    <row r="87981">
      <c r="A87981" s="1" t="n">
        <v>87980</v>
      </c>
      <c r="B87981">
        <f>TEXT(87980, "[$-0E0000]yyyy-mm-dd")</f>
        <v/>
      </c>
    </row>
    <row r="87982">
      <c r="A87982" s="1" t="n">
        <v>87981</v>
      </c>
      <c r="B87982">
        <f>TEXT(87981, "[$-0E0000]yyyy-mm-dd")</f>
        <v/>
      </c>
    </row>
    <row r="87983">
      <c r="A87983" s="1" t="n">
        <v>87982</v>
      </c>
      <c r="B87983">
        <f>TEXT(87982, "[$-0E0000]yyyy-mm-dd")</f>
        <v/>
      </c>
    </row>
    <row r="87984">
      <c r="A87984" s="1" t="n">
        <v>87983</v>
      </c>
      <c r="B87984">
        <f>TEXT(87983, "[$-0E0000]yyyy-mm-dd")</f>
        <v/>
      </c>
    </row>
    <row r="87985">
      <c r="A87985" s="1" t="n">
        <v>87984</v>
      </c>
      <c r="B87985">
        <f>TEXT(87984, "[$-0E0000]yyyy-mm-dd")</f>
        <v/>
      </c>
    </row>
    <row r="87986">
      <c r="A87986" s="1" t="n">
        <v>87985</v>
      </c>
      <c r="B87986">
        <f>TEXT(87985, "[$-0E0000]yyyy-mm-dd")</f>
        <v/>
      </c>
    </row>
    <row r="87987">
      <c r="A87987" s="1" t="n">
        <v>87986</v>
      </c>
      <c r="B87987">
        <f>TEXT(87986, "[$-0E0000]yyyy-mm-dd")</f>
        <v/>
      </c>
    </row>
    <row r="87988">
      <c r="A87988" s="1" t="n">
        <v>87987</v>
      </c>
      <c r="B87988">
        <f>TEXT(87987, "[$-0E0000]yyyy-mm-dd")</f>
        <v/>
      </c>
    </row>
    <row r="87989">
      <c r="A87989" s="1" t="n">
        <v>87988</v>
      </c>
      <c r="B87989">
        <f>TEXT(87988, "[$-0E0000]yyyy-mm-dd")</f>
        <v/>
      </c>
    </row>
    <row r="87990">
      <c r="A87990" s="1" t="n">
        <v>87989</v>
      </c>
      <c r="B87990">
        <f>TEXT(87989, "[$-0E0000]yyyy-mm-dd")</f>
        <v/>
      </c>
    </row>
    <row r="87991">
      <c r="A87991" s="1" t="n">
        <v>87990</v>
      </c>
      <c r="B87991">
        <f>TEXT(87990, "[$-0E0000]yyyy-mm-dd")</f>
        <v/>
      </c>
    </row>
    <row r="87992">
      <c r="A87992" s="1" t="n">
        <v>87991</v>
      </c>
      <c r="B87992">
        <f>TEXT(87991, "[$-0E0000]yyyy-mm-dd")</f>
        <v/>
      </c>
    </row>
    <row r="87993">
      <c r="A87993" s="1" t="n">
        <v>87992</v>
      </c>
      <c r="B87993">
        <f>TEXT(87992, "[$-0E0000]yyyy-mm-dd")</f>
        <v/>
      </c>
    </row>
    <row r="87994">
      <c r="A87994" s="1" t="n">
        <v>87993</v>
      </c>
      <c r="B87994">
        <f>TEXT(87993, "[$-0E0000]yyyy-mm-dd")</f>
        <v/>
      </c>
    </row>
    <row r="87995">
      <c r="A87995" s="1" t="n">
        <v>87994</v>
      </c>
      <c r="B87995">
        <f>TEXT(87994, "[$-0E0000]yyyy-mm-dd")</f>
        <v/>
      </c>
    </row>
    <row r="87996">
      <c r="A87996" s="1" t="n">
        <v>87995</v>
      </c>
      <c r="B87996">
        <f>TEXT(87995, "[$-0E0000]yyyy-mm-dd")</f>
        <v/>
      </c>
    </row>
    <row r="87997">
      <c r="A87997" s="1" t="n">
        <v>87996</v>
      </c>
      <c r="B87997">
        <f>TEXT(87996, "[$-0E0000]yyyy-mm-dd")</f>
        <v/>
      </c>
    </row>
    <row r="87998">
      <c r="A87998" s="1" t="n">
        <v>87997</v>
      </c>
      <c r="B87998">
        <f>TEXT(87997, "[$-0E0000]yyyy-mm-dd")</f>
        <v/>
      </c>
    </row>
    <row r="87999">
      <c r="A87999" s="1" t="n">
        <v>87998</v>
      </c>
      <c r="B87999">
        <f>TEXT(87998, "[$-0E0000]yyyy-mm-dd")</f>
        <v/>
      </c>
    </row>
    <row r="88000">
      <c r="A88000" s="1" t="n">
        <v>87999</v>
      </c>
      <c r="B88000">
        <f>TEXT(87999, "[$-0E0000]yyyy-mm-dd")</f>
        <v/>
      </c>
    </row>
    <row r="88001">
      <c r="A88001" s="1" t="n">
        <v>88000</v>
      </c>
      <c r="B88001">
        <f>TEXT(88000, "[$-0E0000]yyyy-mm-dd")</f>
        <v/>
      </c>
    </row>
    <row r="88002">
      <c r="A88002" s="1" t="n">
        <v>88001</v>
      </c>
      <c r="B88002">
        <f>TEXT(88001, "[$-0E0000]yyyy-mm-dd")</f>
        <v/>
      </c>
    </row>
    <row r="88003">
      <c r="A88003" s="1" t="n">
        <v>88002</v>
      </c>
      <c r="B88003">
        <f>TEXT(88002, "[$-0E0000]yyyy-mm-dd")</f>
        <v/>
      </c>
    </row>
    <row r="88004">
      <c r="A88004" s="1" t="n">
        <v>88003</v>
      </c>
      <c r="B88004">
        <f>TEXT(88003, "[$-0E0000]yyyy-mm-dd")</f>
        <v/>
      </c>
    </row>
    <row r="88005">
      <c r="A88005" s="1" t="n">
        <v>88004</v>
      </c>
      <c r="B88005">
        <f>TEXT(88004, "[$-0E0000]yyyy-mm-dd")</f>
        <v/>
      </c>
    </row>
    <row r="88006">
      <c r="A88006" s="1" t="n">
        <v>88005</v>
      </c>
      <c r="B88006">
        <f>TEXT(88005, "[$-0E0000]yyyy-mm-dd")</f>
        <v/>
      </c>
    </row>
    <row r="88007">
      <c r="A88007" s="1" t="n">
        <v>88006</v>
      </c>
      <c r="B88007">
        <f>TEXT(88006, "[$-0E0000]yyyy-mm-dd")</f>
        <v/>
      </c>
    </row>
    <row r="88008">
      <c r="A88008" s="1" t="n">
        <v>88007</v>
      </c>
      <c r="B88008">
        <f>TEXT(88007, "[$-0E0000]yyyy-mm-dd")</f>
        <v/>
      </c>
    </row>
    <row r="88009">
      <c r="A88009" s="1" t="n">
        <v>88008</v>
      </c>
      <c r="B88009">
        <f>TEXT(88008, "[$-0E0000]yyyy-mm-dd")</f>
        <v/>
      </c>
    </row>
    <row r="88010">
      <c r="A88010" s="1" t="n">
        <v>88009</v>
      </c>
      <c r="B88010">
        <f>TEXT(88009, "[$-0E0000]yyyy-mm-dd")</f>
        <v/>
      </c>
    </row>
    <row r="88011">
      <c r="A88011" s="1" t="n">
        <v>88010</v>
      </c>
      <c r="B88011">
        <f>TEXT(88010, "[$-0E0000]yyyy-mm-dd")</f>
        <v/>
      </c>
    </row>
    <row r="88012">
      <c r="A88012" s="1" t="n">
        <v>88011</v>
      </c>
      <c r="B88012">
        <f>TEXT(88011, "[$-0E0000]yyyy-mm-dd")</f>
        <v/>
      </c>
    </row>
    <row r="88013">
      <c r="A88013" s="1" t="n">
        <v>88012</v>
      </c>
      <c r="B88013">
        <f>TEXT(88012, "[$-0E0000]yyyy-mm-dd")</f>
        <v/>
      </c>
    </row>
    <row r="88014">
      <c r="A88014" s="1" t="n">
        <v>88013</v>
      </c>
      <c r="B88014">
        <f>TEXT(88013, "[$-0E0000]yyyy-mm-dd")</f>
        <v/>
      </c>
    </row>
    <row r="88015">
      <c r="A88015" s="1" t="n">
        <v>88014</v>
      </c>
      <c r="B88015">
        <f>TEXT(88014, "[$-0E0000]yyyy-mm-dd")</f>
        <v/>
      </c>
    </row>
    <row r="88016">
      <c r="A88016" s="1" t="n">
        <v>88015</v>
      </c>
      <c r="B88016">
        <f>TEXT(88015, "[$-0E0000]yyyy-mm-dd")</f>
        <v/>
      </c>
    </row>
    <row r="88017">
      <c r="A88017" s="1" t="n">
        <v>88016</v>
      </c>
      <c r="B88017">
        <f>TEXT(88016, "[$-0E0000]yyyy-mm-dd")</f>
        <v/>
      </c>
    </row>
    <row r="88018">
      <c r="A88018" s="1" t="n">
        <v>88017</v>
      </c>
      <c r="B88018">
        <f>TEXT(88017, "[$-0E0000]yyyy-mm-dd")</f>
        <v/>
      </c>
    </row>
    <row r="88019">
      <c r="A88019" s="1" t="n">
        <v>88018</v>
      </c>
      <c r="B88019">
        <f>TEXT(88018, "[$-0E0000]yyyy-mm-dd")</f>
        <v/>
      </c>
    </row>
    <row r="88020">
      <c r="A88020" s="1" t="n">
        <v>88019</v>
      </c>
      <c r="B88020">
        <f>TEXT(88019, "[$-0E0000]yyyy-mm-dd")</f>
        <v/>
      </c>
    </row>
    <row r="88021">
      <c r="A88021" s="1" t="n">
        <v>88020</v>
      </c>
      <c r="B88021">
        <f>TEXT(88020, "[$-0E0000]yyyy-mm-dd")</f>
        <v/>
      </c>
    </row>
    <row r="88022">
      <c r="A88022" s="1" t="n">
        <v>88021</v>
      </c>
      <c r="B88022">
        <f>TEXT(88021, "[$-0E0000]yyyy-mm-dd")</f>
        <v/>
      </c>
    </row>
    <row r="88023">
      <c r="A88023" s="1" t="n">
        <v>88022</v>
      </c>
      <c r="B88023">
        <f>TEXT(88022, "[$-0E0000]yyyy-mm-dd")</f>
        <v/>
      </c>
    </row>
    <row r="88024">
      <c r="A88024" s="1" t="n">
        <v>88023</v>
      </c>
      <c r="B88024">
        <f>TEXT(88023, "[$-0E0000]yyyy-mm-dd")</f>
        <v/>
      </c>
    </row>
    <row r="88025">
      <c r="A88025" s="1" t="n">
        <v>88024</v>
      </c>
      <c r="B88025">
        <f>TEXT(88024, "[$-0E0000]yyyy-mm-dd")</f>
        <v/>
      </c>
    </row>
    <row r="88026">
      <c r="A88026" s="1" t="n">
        <v>88025</v>
      </c>
      <c r="B88026">
        <f>TEXT(88025, "[$-0E0000]yyyy-mm-dd")</f>
        <v/>
      </c>
    </row>
    <row r="88027">
      <c r="A88027" s="1" t="n">
        <v>88026</v>
      </c>
      <c r="B88027">
        <f>TEXT(88026, "[$-0E0000]yyyy-mm-dd")</f>
        <v/>
      </c>
    </row>
    <row r="88028">
      <c r="A88028" s="1" t="n">
        <v>88027</v>
      </c>
      <c r="B88028">
        <f>TEXT(88027, "[$-0E0000]yyyy-mm-dd")</f>
        <v/>
      </c>
    </row>
    <row r="88029">
      <c r="A88029" s="1" t="n">
        <v>88028</v>
      </c>
      <c r="B88029">
        <f>TEXT(88028, "[$-0E0000]yyyy-mm-dd")</f>
        <v/>
      </c>
    </row>
    <row r="88030">
      <c r="A88030" s="1" t="n">
        <v>88029</v>
      </c>
      <c r="B88030">
        <f>TEXT(88029, "[$-0E0000]yyyy-mm-dd")</f>
        <v/>
      </c>
    </row>
    <row r="88031">
      <c r="A88031" s="1" t="n">
        <v>88030</v>
      </c>
      <c r="B88031">
        <f>TEXT(88030, "[$-0E0000]yyyy-mm-dd")</f>
        <v/>
      </c>
    </row>
    <row r="88032">
      <c r="A88032" s="1" t="n">
        <v>88031</v>
      </c>
      <c r="B88032">
        <f>TEXT(88031, "[$-0E0000]yyyy-mm-dd")</f>
        <v/>
      </c>
    </row>
    <row r="88033">
      <c r="A88033" s="1" t="n">
        <v>88032</v>
      </c>
      <c r="B88033">
        <f>TEXT(88032, "[$-0E0000]yyyy-mm-dd")</f>
        <v/>
      </c>
    </row>
    <row r="88034">
      <c r="A88034" s="1" t="n">
        <v>88033</v>
      </c>
      <c r="B88034">
        <f>TEXT(88033, "[$-0E0000]yyyy-mm-dd")</f>
        <v/>
      </c>
    </row>
    <row r="88035">
      <c r="A88035" s="1" t="n">
        <v>88034</v>
      </c>
      <c r="B88035">
        <f>TEXT(88034, "[$-0E0000]yyyy-mm-dd")</f>
        <v/>
      </c>
    </row>
    <row r="88036">
      <c r="A88036" s="1" t="n">
        <v>88035</v>
      </c>
      <c r="B88036">
        <f>TEXT(88035, "[$-0E0000]yyyy-mm-dd")</f>
        <v/>
      </c>
    </row>
    <row r="88037">
      <c r="A88037" s="1" t="n">
        <v>88036</v>
      </c>
      <c r="B88037">
        <f>TEXT(88036, "[$-0E0000]yyyy-mm-dd")</f>
        <v/>
      </c>
    </row>
    <row r="88038">
      <c r="A88038" s="1" t="n">
        <v>88037</v>
      </c>
      <c r="B88038">
        <f>TEXT(88037, "[$-0E0000]yyyy-mm-dd")</f>
        <v/>
      </c>
    </row>
    <row r="88039">
      <c r="A88039" s="1" t="n">
        <v>88038</v>
      </c>
      <c r="B88039">
        <f>TEXT(88038, "[$-0E0000]yyyy-mm-dd")</f>
        <v/>
      </c>
    </row>
    <row r="88040">
      <c r="A88040" s="1" t="n">
        <v>88039</v>
      </c>
      <c r="B88040">
        <f>TEXT(88039, "[$-0E0000]yyyy-mm-dd")</f>
        <v/>
      </c>
    </row>
    <row r="88041">
      <c r="A88041" s="1" t="n">
        <v>88040</v>
      </c>
      <c r="B88041">
        <f>TEXT(88040, "[$-0E0000]yyyy-mm-dd")</f>
        <v/>
      </c>
    </row>
    <row r="88042">
      <c r="A88042" s="1" t="n">
        <v>88041</v>
      </c>
      <c r="B88042">
        <f>TEXT(88041, "[$-0E0000]yyyy-mm-dd")</f>
        <v/>
      </c>
    </row>
    <row r="88043">
      <c r="A88043" s="1" t="n">
        <v>88042</v>
      </c>
      <c r="B88043">
        <f>TEXT(88042, "[$-0E0000]yyyy-mm-dd")</f>
        <v/>
      </c>
    </row>
    <row r="88044">
      <c r="A88044" s="1" t="n">
        <v>88043</v>
      </c>
      <c r="B88044">
        <f>TEXT(88043, "[$-0E0000]yyyy-mm-dd")</f>
        <v/>
      </c>
    </row>
    <row r="88045">
      <c r="A88045" s="1" t="n">
        <v>88044</v>
      </c>
      <c r="B88045">
        <f>TEXT(88044, "[$-0E0000]yyyy-mm-dd")</f>
        <v/>
      </c>
    </row>
    <row r="88046">
      <c r="A88046" s="1" t="n">
        <v>88045</v>
      </c>
      <c r="B88046">
        <f>TEXT(88045, "[$-0E0000]yyyy-mm-dd")</f>
        <v/>
      </c>
    </row>
    <row r="88047">
      <c r="A88047" s="1" t="n">
        <v>88046</v>
      </c>
      <c r="B88047">
        <f>TEXT(88046, "[$-0E0000]yyyy-mm-dd")</f>
        <v/>
      </c>
    </row>
    <row r="88048">
      <c r="A88048" s="1" t="n">
        <v>88047</v>
      </c>
      <c r="B88048">
        <f>TEXT(88047, "[$-0E0000]yyyy-mm-dd")</f>
        <v/>
      </c>
    </row>
    <row r="88049">
      <c r="A88049" s="1" t="n">
        <v>88048</v>
      </c>
      <c r="B88049">
        <f>TEXT(88048, "[$-0E0000]yyyy-mm-dd")</f>
        <v/>
      </c>
    </row>
    <row r="88050">
      <c r="A88050" s="1" t="n">
        <v>88049</v>
      </c>
      <c r="B88050">
        <f>TEXT(88049, "[$-0E0000]yyyy-mm-dd")</f>
        <v/>
      </c>
    </row>
    <row r="88051">
      <c r="A88051" s="1" t="n">
        <v>88050</v>
      </c>
      <c r="B88051">
        <f>TEXT(88050, "[$-0E0000]yyyy-mm-dd")</f>
        <v/>
      </c>
    </row>
    <row r="88052">
      <c r="A88052" s="1" t="n">
        <v>88051</v>
      </c>
      <c r="B88052">
        <f>TEXT(88051, "[$-0E0000]yyyy-mm-dd")</f>
        <v/>
      </c>
    </row>
    <row r="88053">
      <c r="A88053" s="1" t="n">
        <v>88052</v>
      </c>
      <c r="B88053">
        <f>TEXT(88052, "[$-0E0000]yyyy-mm-dd")</f>
        <v/>
      </c>
    </row>
    <row r="88054">
      <c r="A88054" s="1" t="n">
        <v>88053</v>
      </c>
      <c r="B88054">
        <f>TEXT(88053, "[$-0E0000]yyyy-mm-dd")</f>
        <v/>
      </c>
    </row>
    <row r="88055">
      <c r="A88055" s="1" t="n">
        <v>88054</v>
      </c>
      <c r="B88055">
        <f>TEXT(88054, "[$-0E0000]yyyy-mm-dd")</f>
        <v/>
      </c>
    </row>
    <row r="88056">
      <c r="A88056" s="1" t="n">
        <v>88055</v>
      </c>
      <c r="B88056">
        <f>TEXT(88055, "[$-0E0000]yyyy-mm-dd")</f>
        <v/>
      </c>
    </row>
    <row r="88057">
      <c r="A88057" s="1" t="n">
        <v>88056</v>
      </c>
      <c r="B88057">
        <f>TEXT(88056, "[$-0E0000]yyyy-mm-dd")</f>
        <v/>
      </c>
    </row>
    <row r="88058">
      <c r="A88058" s="1" t="n">
        <v>88057</v>
      </c>
      <c r="B88058">
        <f>TEXT(88057, "[$-0E0000]yyyy-mm-dd")</f>
        <v/>
      </c>
    </row>
    <row r="88059">
      <c r="A88059" s="1" t="n">
        <v>88058</v>
      </c>
      <c r="B88059">
        <f>TEXT(88058, "[$-0E0000]yyyy-mm-dd")</f>
        <v/>
      </c>
    </row>
    <row r="88060">
      <c r="A88060" s="1" t="n">
        <v>88059</v>
      </c>
      <c r="B88060">
        <f>TEXT(88059, "[$-0E0000]yyyy-mm-dd")</f>
        <v/>
      </c>
    </row>
    <row r="88061">
      <c r="A88061" s="1" t="n">
        <v>88060</v>
      </c>
      <c r="B88061">
        <f>TEXT(88060, "[$-0E0000]yyyy-mm-dd")</f>
        <v/>
      </c>
    </row>
    <row r="88062">
      <c r="A88062" s="1" t="n">
        <v>88061</v>
      </c>
      <c r="B88062">
        <f>TEXT(88061, "[$-0E0000]yyyy-mm-dd")</f>
        <v/>
      </c>
    </row>
    <row r="88063">
      <c r="A88063" s="1" t="n">
        <v>88062</v>
      </c>
      <c r="B88063">
        <f>TEXT(88062, "[$-0E0000]yyyy-mm-dd")</f>
        <v/>
      </c>
    </row>
    <row r="88064">
      <c r="A88064" s="1" t="n">
        <v>88063</v>
      </c>
      <c r="B88064">
        <f>TEXT(88063, "[$-0E0000]yyyy-mm-dd")</f>
        <v/>
      </c>
    </row>
    <row r="88065">
      <c r="A88065" s="1" t="n">
        <v>88064</v>
      </c>
      <c r="B88065">
        <f>TEXT(88064, "[$-0E0000]yyyy-mm-dd")</f>
        <v/>
      </c>
    </row>
    <row r="88066">
      <c r="A88066" s="1" t="n">
        <v>88065</v>
      </c>
      <c r="B88066">
        <f>TEXT(88065, "[$-0E0000]yyyy-mm-dd")</f>
        <v/>
      </c>
    </row>
    <row r="88067">
      <c r="A88067" s="1" t="n">
        <v>88066</v>
      </c>
      <c r="B88067">
        <f>TEXT(88066, "[$-0E0000]yyyy-mm-dd")</f>
        <v/>
      </c>
    </row>
    <row r="88068">
      <c r="A88068" s="1" t="n">
        <v>88067</v>
      </c>
      <c r="B88068">
        <f>TEXT(88067, "[$-0E0000]yyyy-mm-dd")</f>
        <v/>
      </c>
    </row>
    <row r="88069">
      <c r="A88069" s="1" t="n">
        <v>88068</v>
      </c>
      <c r="B88069">
        <f>TEXT(88068, "[$-0E0000]yyyy-mm-dd")</f>
        <v/>
      </c>
    </row>
    <row r="88070">
      <c r="A88070" s="1" t="n">
        <v>88069</v>
      </c>
      <c r="B88070">
        <f>TEXT(88069, "[$-0E0000]yyyy-mm-dd")</f>
        <v/>
      </c>
    </row>
    <row r="88071">
      <c r="A88071" s="1" t="n">
        <v>88070</v>
      </c>
      <c r="B88071">
        <f>TEXT(88070, "[$-0E0000]yyyy-mm-dd")</f>
        <v/>
      </c>
    </row>
    <row r="88072">
      <c r="A88072" s="1" t="n">
        <v>88071</v>
      </c>
      <c r="B88072">
        <f>TEXT(88071, "[$-0E0000]yyyy-mm-dd")</f>
        <v/>
      </c>
    </row>
    <row r="88073">
      <c r="A88073" s="1" t="n">
        <v>88072</v>
      </c>
      <c r="B88073">
        <f>TEXT(88072, "[$-0E0000]yyyy-mm-dd")</f>
        <v/>
      </c>
    </row>
    <row r="88074">
      <c r="A88074" s="1" t="n">
        <v>88073</v>
      </c>
      <c r="B88074">
        <f>TEXT(88073, "[$-0E0000]yyyy-mm-dd")</f>
        <v/>
      </c>
    </row>
    <row r="88075">
      <c r="A88075" s="1" t="n">
        <v>88074</v>
      </c>
      <c r="B88075">
        <f>TEXT(88074, "[$-0E0000]yyyy-mm-dd")</f>
        <v/>
      </c>
    </row>
    <row r="88076">
      <c r="A88076" s="1" t="n">
        <v>88075</v>
      </c>
      <c r="B88076">
        <f>TEXT(88075, "[$-0E0000]yyyy-mm-dd")</f>
        <v/>
      </c>
    </row>
    <row r="88077">
      <c r="A88077" s="1" t="n">
        <v>88076</v>
      </c>
      <c r="B88077">
        <f>TEXT(88076, "[$-0E0000]yyyy-mm-dd")</f>
        <v/>
      </c>
    </row>
    <row r="88078">
      <c r="A88078" s="1" t="n">
        <v>88077</v>
      </c>
      <c r="B88078">
        <f>TEXT(88077, "[$-0E0000]yyyy-mm-dd")</f>
        <v/>
      </c>
    </row>
    <row r="88079">
      <c r="A88079" s="1" t="n">
        <v>88078</v>
      </c>
      <c r="B88079">
        <f>TEXT(88078, "[$-0E0000]yyyy-mm-dd")</f>
        <v/>
      </c>
    </row>
    <row r="88080">
      <c r="A88080" s="1" t="n">
        <v>88079</v>
      </c>
      <c r="B88080">
        <f>TEXT(88079, "[$-0E0000]yyyy-mm-dd")</f>
        <v/>
      </c>
    </row>
    <row r="88081">
      <c r="A88081" s="1" t="n">
        <v>88080</v>
      </c>
      <c r="B88081">
        <f>TEXT(88080, "[$-0E0000]yyyy-mm-dd")</f>
        <v/>
      </c>
    </row>
    <row r="88082">
      <c r="A88082" s="1" t="n">
        <v>88081</v>
      </c>
      <c r="B88082">
        <f>TEXT(88081, "[$-0E0000]yyyy-mm-dd")</f>
        <v/>
      </c>
    </row>
    <row r="88083">
      <c r="A88083" s="1" t="n">
        <v>88082</v>
      </c>
      <c r="B88083">
        <f>TEXT(88082, "[$-0E0000]yyyy-mm-dd")</f>
        <v/>
      </c>
    </row>
    <row r="88084">
      <c r="A88084" s="1" t="n">
        <v>88083</v>
      </c>
      <c r="B88084">
        <f>TEXT(88083, "[$-0E0000]yyyy-mm-dd")</f>
        <v/>
      </c>
    </row>
    <row r="88085">
      <c r="A88085" s="1" t="n">
        <v>88084</v>
      </c>
      <c r="B88085">
        <f>TEXT(88084, "[$-0E0000]yyyy-mm-dd")</f>
        <v/>
      </c>
    </row>
    <row r="88086">
      <c r="A88086" s="1" t="n">
        <v>88085</v>
      </c>
      <c r="B88086">
        <f>TEXT(88085, "[$-0E0000]yyyy-mm-dd")</f>
        <v/>
      </c>
    </row>
    <row r="88087">
      <c r="A88087" s="1" t="n">
        <v>88086</v>
      </c>
      <c r="B88087">
        <f>TEXT(88086, "[$-0E0000]yyyy-mm-dd")</f>
        <v/>
      </c>
    </row>
    <row r="88088">
      <c r="A88088" s="1" t="n">
        <v>88087</v>
      </c>
      <c r="B88088">
        <f>TEXT(88087, "[$-0E0000]yyyy-mm-dd")</f>
        <v/>
      </c>
    </row>
    <row r="88089">
      <c r="A88089" s="1" t="n">
        <v>88088</v>
      </c>
      <c r="B88089">
        <f>TEXT(88088, "[$-0E0000]yyyy-mm-dd")</f>
        <v/>
      </c>
    </row>
    <row r="88090">
      <c r="A88090" s="1" t="n">
        <v>88089</v>
      </c>
      <c r="B88090">
        <f>TEXT(88089, "[$-0E0000]yyyy-mm-dd")</f>
        <v/>
      </c>
    </row>
    <row r="88091">
      <c r="A88091" s="1" t="n">
        <v>88090</v>
      </c>
      <c r="B88091">
        <f>TEXT(88090, "[$-0E0000]yyyy-mm-dd")</f>
        <v/>
      </c>
    </row>
    <row r="88092">
      <c r="A88092" s="1" t="n">
        <v>88091</v>
      </c>
      <c r="B88092">
        <f>TEXT(88091, "[$-0E0000]yyyy-mm-dd")</f>
        <v/>
      </c>
    </row>
    <row r="88093">
      <c r="A88093" s="1" t="n">
        <v>88092</v>
      </c>
      <c r="B88093">
        <f>TEXT(88092, "[$-0E0000]yyyy-mm-dd")</f>
        <v/>
      </c>
    </row>
    <row r="88094">
      <c r="A88094" s="1" t="n">
        <v>88093</v>
      </c>
      <c r="B88094">
        <f>TEXT(88093, "[$-0E0000]yyyy-mm-dd")</f>
        <v/>
      </c>
    </row>
    <row r="88095">
      <c r="A88095" s="1" t="n">
        <v>88094</v>
      </c>
      <c r="B88095">
        <f>TEXT(88094, "[$-0E0000]yyyy-mm-dd")</f>
        <v/>
      </c>
    </row>
    <row r="88096">
      <c r="A88096" s="1" t="n">
        <v>88095</v>
      </c>
      <c r="B88096">
        <f>TEXT(88095, "[$-0E0000]yyyy-mm-dd")</f>
        <v/>
      </c>
    </row>
    <row r="88097">
      <c r="A88097" s="1" t="n">
        <v>88096</v>
      </c>
      <c r="B88097">
        <f>TEXT(88096, "[$-0E0000]yyyy-mm-dd")</f>
        <v/>
      </c>
    </row>
    <row r="88098">
      <c r="A88098" s="1" t="n">
        <v>88097</v>
      </c>
      <c r="B88098">
        <f>TEXT(88097, "[$-0E0000]yyyy-mm-dd")</f>
        <v/>
      </c>
    </row>
    <row r="88099">
      <c r="A88099" s="1" t="n">
        <v>88098</v>
      </c>
      <c r="B88099">
        <f>TEXT(88098, "[$-0E0000]yyyy-mm-dd")</f>
        <v/>
      </c>
    </row>
    <row r="88100">
      <c r="A88100" s="1" t="n">
        <v>88099</v>
      </c>
      <c r="B88100">
        <f>TEXT(88099, "[$-0E0000]yyyy-mm-dd")</f>
        <v/>
      </c>
    </row>
    <row r="88101">
      <c r="A88101" s="1" t="n">
        <v>88100</v>
      </c>
      <c r="B88101">
        <f>TEXT(88100, "[$-0E0000]yyyy-mm-dd")</f>
        <v/>
      </c>
    </row>
    <row r="88102">
      <c r="A88102" s="1" t="n">
        <v>88101</v>
      </c>
      <c r="B88102">
        <f>TEXT(88101, "[$-0E0000]yyyy-mm-dd")</f>
        <v/>
      </c>
    </row>
    <row r="88103">
      <c r="A88103" s="1" t="n">
        <v>88102</v>
      </c>
      <c r="B88103">
        <f>TEXT(88102, "[$-0E0000]yyyy-mm-dd")</f>
        <v/>
      </c>
    </row>
    <row r="88104">
      <c r="A88104" s="1" t="n">
        <v>88103</v>
      </c>
      <c r="B88104">
        <f>TEXT(88103, "[$-0E0000]yyyy-mm-dd")</f>
        <v/>
      </c>
    </row>
    <row r="88105">
      <c r="A88105" s="1" t="n">
        <v>88104</v>
      </c>
      <c r="B88105">
        <f>TEXT(88104, "[$-0E0000]yyyy-mm-dd")</f>
        <v/>
      </c>
    </row>
    <row r="88106">
      <c r="A88106" s="1" t="n">
        <v>88105</v>
      </c>
      <c r="B88106">
        <f>TEXT(88105, "[$-0E0000]yyyy-mm-dd")</f>
        <v/>
      </c>
    </row>
    <row r="88107">
      <c r="A88107" s="1" t="n">
        <v>88106</v>
      </c>
      <c r="B88107">
        <f>TEXT(88106, "[$-0E0000]yyyy-mm-dd")</f>
        <v/>
      </c>
    </row>
    <row r="88108">
      <c r="A88108" s="1" t="n">
        <v>88107</v>
      </c>
      <c r="B88108">
        <f>TEXT(88107, "[$-0E0000]yyyy-mm-dd")</f>
        <v/>
      </c>
    </row>
    <row r="88109">
      <c r="A88109" s="1" t="n">
        <v>88108</v>
      </c>
      <c r="B88109">
        <f>TEXT(88108, "[$-0E0000]yyyy-mm-dd")</f>
        <v/>
      </c>
    </row>
    <row r="88110">
      <c r="A88110" s="1" t="n">
        <v>88109</v>
      </c>
      <c r="B88110">
        <f>TEXT(88109, "[$-0E0000]yyyy-mm-dd")</f>
        <v/>
      </c>
    </row>
    <row r="88111">
      <c r="A88111" s="1" t="n">
        <v>88110</v>
      </c>
      <c r="B88111">
        <f>TEXT(88110, "[$-0E0000]yyyy-mm-dd")</f>
        <v/>
      </c>
    </row>
    <row r="88112">
      <c r="A88112" s="1" t="n">
        <v>88111</v>
      </c>
      <c r="B88112">
        <f>TEXT(88111, "[$-0E0000]yyyy-mm-dd")</f>
        <v/>
      </c>
    </row>
    <row r="88113">
      <c r="A88113" s="1" t="n">
        <v>88112</v>
      </c>
      <c r="B88113">
        <f>TEXT(88112, "[$-0E0000]yyyy-mm-dd")</f>
        <v/>
      </c>
    </row>
    <row r="88114">
      <c r="A88114" s="1" t="n">
        <v>88113</v>
      </c>
      <c r="B88114">
        <f>TEXT(88113, "[$-0E0000]yyyy-mm-dd")</f>
        <v/>
      </c>
    </row>
    <row r="88115">
      <c r="A88115" s="1" t="n">
        <v>88114</v>
      </c>
      <c r="B88115">
        <f>TEXT(88114, "[$-0E0000]yyyy-mm-dd")</f>
        <v/>
      </c>
    </row>
    <row r="88116">
      <c r="A88116" s="1" t="n">
        <v>88115</v>
      </c>
      <c r="B88116">
        <f>TEXT(88115, "[$-0E0000]yyyy-mm-dd")</f>
        <v/>
      </c>
    </row>
    <row r="88117">
      <c r="A88117" s="1" t="n">
        <v>88116</v>
      </c>
      <c r="B88117">
        <f>TEXT(88116, "[$-0E0000]yyyy-mm-dd")</f>
        <v/>
      </c>
    </row>
    <row r="88118">
      <c r="A88118" s="1" t="n">
        <v>88117</v>
      </c>
      <c r="B88118">
        <f>TEXT(88117, "[$-0E0000]yyyy-mm-dd")</f>
        <v/>
      </c>
    </row>
    <row r="88119">
      <c r="A88119" s="1" t="n">
        <v>88118</v>
      </c>
      <c r="B88119">
        <f>TEXT(88118, "[$-0E0000]yyyy-mm-dd")</f>
        <v/>
      </c>
    </row>
    <row r="88120">
      <c r="A88120" s="1" t="n">
        <v>88119</v>
      </c>
      <c r="B88120">
        <f>TEXT(88119, "[$-0E0000]yyyy-mm-dd")</f>
        <v/>
      </c>
    </row>
    <row r="88121">
      <c r="A88121" s="1" t="n">
        <v>88120</v>
      </c>
      <c r="B88121">
        <f>TEXT(88120, "[$-0E0000]yyyy-mm-dd")</f>
        <v/>
      </c>
    </row>
    <row r="88122">
      <c r="A88122" s="1" t="n">
        <v>88121</v>
      </c>
      <c r="B88122">
        <f>TEXT(88121, "[$-0E0000]yyyy-mm-dd")</f>
        <v/>
      </c>
    </row>
    <row r="88123">
      <c r="A88123" s="1" t="n">
        <v>88122</v>
      </c>
      <c r="B88123">
        <f>TEXT(88122, "[$-0E0000]yyyy-mm-dd")</f>
        <v/>
      </c>
    </row>
    <row r="88124">
      <c r="A88124" s="1" t="n">
        <v>88123</v>
      </c>
      <c r="B88124">
        <f>TEXT(88123, "[$-0E0000]yyyy-mm-dd")</f>
        <v/>
      </c>
    </row>
    <row r="88125">
      <c r="A88125" s="1" t="n">
        <v>88124</v>
      </c>
      <c r="B88125">
        <f>TEXT(88124, "[$-0E0000]yyyy-mm-dd")</f>
        <v/>
      </c>
    </row>
    <row r="88126">
      <c r="A88126" s="1" t="n">
        <v>88125</v>
      </c>
      <c r="B88126">
        <f>TEXT(88125, "[$-0E0000]yyyy-mm-dd")</f>
        <v/>
      </c>
    </row>
    <row r="88127">
      <c r="A88127" s="1" t="n">
        <v>88126</v>
      </c>
      <c r="B88127">
        <f>TEXT(88126, "[$-0E0000]yyyy-mm-dd")</f>
        <v/>
      </c>
    </row>
    <row r="88128">
      <c r="A88128" s="1" t="n">
        <v>88127</v>
      </c>
      <c r="B88128">
        <f>TEXT(88127, "[$-0E0000]yyyy-mm-dd")</f>
        <v/>
      </c>
    </row>
    <row r="88129">
      <c r="A88129" s="1" t="n">
        <v>88128</v>
      </c>
      <c r="B88129">
        <f>TEXT(88128, "[$-0E0000]yyyy-mm-dd")</f>
        <v/>
      </c>
    </row>
    <row r="88130">
      <c r="A88130" s="1" t="n">
        <v>88129</v>
      </c>
      <c r="B88130">
        <f>TEXT(88129, "[$-0E0000]yyyy-mm-dd")</f>
        <v/>
      </c>
    </row>
    <row r="88131">
      <c r="A88131" s="1" t="n">
        <v>88130</v>
      </c>
      <c r="B88131">
        <f>TEXT(88130, "[$-0E0000]yyyy-mm-dd")</f>
        <v/>
      </c>
    </row>
    <row r="88132">
      <c r="A88132" s="1" t="n">
        <v>88131</v>
      </c>
      <c r="B88132">
        <f>TEXT(88131, "[$-0E0000]yyyy-mm-dd")</f>
        <v/>
      </c>
    </row>
    <row r="88133">
      <c r="A88133" s="1" t="n">
        <v>88132</v>
      </c>
      <c r="B88133">
        <f>TEXT(88132, "[$-0E0000]yyyy-mm-dd")</f>
        <v/>
      </c>
    </row>
    <row r="88134">
      <c r="A88134" s="1" t="n">
        <v>88133</v>
      </c>
      <c r="B88134">
        <f>TEXT(88133, "[$-0E0000]yyyy-mm-dd")</f>
        <v/>
      </c>
    </row>
    <row r="88135">
      <c r="A88135" s="1" t="n">
        <v>88134</v>
      </c>
      <c r="B88135">
        <f>TEXT(88134, "[$-0E0000]yyyy-mm-dd")</f>
        <v/>
      </c>
    </row>
    <row r="88136">
      <c r="A88136" s="1" t="n">
        <v>88135</v>
      </c>
      <c r="B88136">
        <f>TEXT(88135, "[$-0E0000]yyyy-mm-dd")</f>
        <v/>
      </c>
    </row>
    <row r="88137">
      <c r="A88137" s="1" t="n">
        <v>88136</v>
      </c>
      <c r="B88137">
        <f>TEXT(88136, "[$-0E0000]yyyy-mm-dd")</f>
        <v/>
      </c>
    </row>
    <row r="88138">
      <c r="A88138" s="1" t="n">
        <v>88137</v>
      </c>
      <c r="B88138">
        <f>TEXT(88137, "[$-0E0000]yyyy-mm-dd")</f>
        <v/>
      </c>
    </row>
    <row r="88139">
      <c r="A88139" s="1" t="n">
        <v>88138</v>
      </c>
      <c r="B88139">
        <f>TEXT(88138, "[$-0E0000]yyyy-mm-dd")</f>
        <v/>
      </c>
    </row>
    <row r="88140">
      <c r="A88140" s="1" t="n">
        <v>88139</v>
      </c>
      <c r="B88140">
        <f>TEXT(88139, "[$-0E0000]yyyy-mm-dd")</f>
        <v/>
      </c>
    </row>
    <row r="88141">
      <c r="A88141" s="1" t="n">
        <v>88140</v>
      </c>
      <c r="B88141">
        <f>TEXT(88140, "[$-0E0000]yyyy-mm-dd")</f>
        <v/>
      </c>
    </row>
    <row r="88142">
      <c r="A88142" s="1" t="n">
        <v>88141</v>
      </c>
      <c r="B88142">
        <f>TEXT(88141, "[$-0E0000]yyyy-mm-dd")</f>
        <v/>
      </c>
    </row>
    <row r="88143">
      <c r="A88143" s="1" t="n">
        <v>88142</v>
      </c>
      <c r="B88143">
        <f>TEXT(88142, "[$-0E0000]yyyy-mm-dd")</f>
        <v/>
      </c>
    </row>
    <row r="88144">
      <c r="A88144" s="1" t="n">
        <v>88143</v>
      </c>
      <c r="B88144">
        <f>TEXT(88143, "[$-0E0000]yyyy-mm-dd")</f>
        <v/>
      </c>
    </row>
    <row r="88145">
      <c r="A88145" s="1" t="n">
        <v>88144</v>
      </c>
      <c r="B88145">
        <f>TEXT(88144, "[$-0E0000]yyyy-mm-dd")</f>
        <v/>
      </c>
    </row>
    <row r="88146">
      <c r="A88146" s="1" t="n">
        <v>88145</v>
      </c>
      <c r="B88146">
        <f>TEXT(88145, "[$-0E0000]yyyy-mm-dd")</f>
        <v/>
      </c>
    </row>
    <row r="88147">
      <c r="A88147" s="1" t="n">
        <v>88146</v>
      </c>
      <c r="B88147">
        <f>TEXT(88146, "[$-0E0000]yyyy-mm-dd")</f>
        <v/>
      </c>
    </row>
    <row r="88148">
      <c r="A88148" s="1" t="n">
        <v>88147</v>
      </c>
      <c r="B88148">
        <f>TEXT(88147, "[$-0E0000]yyyy-mm-dd")</f>
        <v/>
      </c>
    </row>
    <row r="88149">
      <c r="A88149" s="1" t="n">
        <v>88148</v>
      </c>
      <c r="B88149">
        <f>TEXT(88148, "[$-0E0000]yyyy-mm-dd")</f>
        <v/>
      </c>
    </row>
    <row r="88150">
      <c r="A88150" s="1" t="n">
        <v>88149</v>
      </c>
      <c r="B88150">
        <f>TEXT(88149, "[$-0E0000]yyyy-mm-dd")</f>
        <v/>
      </c>
    </row>
    <row r="88151">
      <c r="A88151" s="1" t="n">
        <v>88150</v>
      </c>
      <c r="B88151">
        <f>TEXT(88150, "[$-0E0000]yyyy-mm-dd")</f>
        <v/>
      </c>
    </row>
    <row r="88152">
      <c r="A88152" s="1" t="n">
        <v>88151</v>
      </c>
      <c r="B88152">
        <f>TEXT(88151, "[$-0E0000]yyyy-mm-dd")</f>
        <v/>
      </c>
    </row>
    <row r="88153">
      <c r="A88153" s="1" t="n">
        <v>88152</v>
      </c>
      <c r="B88153">
        <f>TEXT(88152, "[$-0E0000]yyyy-mm-dd")</f>
        <v/>
      </c>
    </row>
    <row r="88154">
      <c r="A88154" s="1" t="n">
        <v>88153</v>
      </c>
      <c r="B88154">
        <f>TEXT(88153, "[$-0E0000]yyyy-mm-dd")</f>
        <v/>
      </c>
    </row>
    <row r="88155">
      <c r="A88155" s="1" t="n">
        <v>88154</v>
      </c>
      <c r="B88155">
        <f>TEXT(88154, "[$-0E0000]yyyy-mm-dd")</f>
        <v/>
      </c>
    </row>
    <row r="88156">
      <c r="A88156" s="1" t="n">
        <v>88155</v>
      </c>
      <c r="B88156">
        <f>TEXT(88155, "[$-0E0000]yyyy-mm-dd")</f>
        <v/>
      </c>
    </row>
    <row r="88157">
      <c r="A88157" s="1" t="n">
        <v>88156</v>
      </c>
      <c r="B88157">
        <f>TEXT(88156, "[$-0E0000]yyyy-mm-dd")</f>
        <v/>
      </c>
    </row>
    <row r="88158">
      <c r="A88158" s="1" t="n">
        <v>88157</v>
      </c>
      <c r="B88158">
        <f>TEXT(88157, "[$-0E0000]yyyy-mm-dd")</f>
        <v/>
      </c>
    </row>
    <row r="88159">
      <c r="A88159" s="1" t="n">
        <v>88158</v>
      </c>
      <c r="B88159">
        <f>TEXT(88158, "[$-0E0000]yyyy-mm-dd")</f>
        <v/>
      </c>
    </row>
    <row r="88160">
      <c r="A88160" s="1" t="n">
        <v>88159</v>
      </c>
      <c r="B88160">
        <f>TEXT(88159, "[$-0E0000]yyyy-mm-dd")</f>
        <v/>
      </c>
    </row>
    <row r="88161">
      <c r="A88161" s="1" t="n">
        <v>88160</v>
      </c>
      <c r="B88161">
        <f>TEXT(88160, "[$-0E0000]yyyy-mm-dd")</f>
        <v/>
      </c>
    </row>
    <row r="88162">
      <c r="A88162" s="1" t="n">
        <v>88161</v>
      </c>
      <c r="B88162">
        <f>TEXT(88161, "[$-0E0000]yyyy-mm-dd")</f>
        <v/>
      </c>
    </row>
    <row r="88163">
      <c r="A88163" s="1" t="n">
        <v>88162</v>
      </c>
      <c r="B88163">
        <f>TEXT(88162, "[$-0E0000]yyyy-mm-dd")</f>
        <v/>
      </c>
    </row>
    <row r="88164">
      <c r="A88164" s="1" t="n">
        <v>88163</v>
      </c>
      <c r="B88164">
        <f>TEXT(88163, "[$-0E0000]yyyy-mm-dd")</f>
        <v/>
      </c>
    </row>
    <row r="88165">
      <c r="A88165" s="1" t="n">
        <v>88164</v>
      </c>
      <c r="B88165">
        <f>TEXT(88164, "[$-0E0000]yyyy-mm-dd")</f>
        <v/>
      </c>
    </row>
    <row r="88166">
      <c r="A88166" s="1" t="n">
        <v>88165</v>
      </c>
      <c r="B88166">
        <f>TEXT(88165, "[$-0E0000]yyyy-mm-dd")</f>
        <v/>
      </c>
    </row>
    <row r="88167">
      <c r="A88167" s="1" t="n">
        <v>88166</v>
      </c>
      <c r="B88167">
        <f>TEXT(88166, "[$-0E0000]yyyy-mm-dd")</f>
        <v/>
      </c>
    </row>
    <row r="88168">
      <c r="A88168" s="1" t="n">
        <v>88167</v>
      </c>
      <c r="B88168">
        <f>TEXT(88167, "[$-0E0000]yyyy-mm-dd")</f>
        <v/>
      </c>
    </row>
    <row r="88169">
      <c r="A88169" s="1" t="n">
        <v>88168</v>
      </c>
      <c r="B88169">
        <f>TEXT(88168, "[$-0E0000]yyyy-mm-dd")</f>
        <v/>
      </c>
    </row>
    <row r="88170">
      <c r="A88170" s="1" t="n">
        <v>88169</v>
      </c>
      <c r="B88170">
        <f>TEXT(88169, "[$-0E0000]yyyy-mm-dd")</f>
        <v/>
      </c>
    </row>
    <row r="88171">
      <c r="A88171" s="1" t="n">
        <v>88170</v>
      </c>
      <c r="B88171">
        <f>TEXT(88170, "[$-0E0000]yyyy-mm-dd")</f>
        <v/>
      </c>
    </row>
    <row r="88172">
      <c r="A88172" s="1" t="n">
        <v>88171</v>
      </c>
      <c r="B88172">
        <f>TEXT(88171, "[$-0E0000]yyyy-mm-dd")</f>
        <v/>
      </c>
    </row>
    <row r="88173">
      <c r="A88173" s="1" t="n">
        <v>88172</v>
      </c>
      <c r="B88173">
        <f>TEXT(88172, "[$-0E0000]yyyy-mm-dd")</f>
        <v/>
      </c>
    </row>
    <row r="88174">
      <c r="A88174" s="1" t="n">
        <v>88173</v>
      </c>
      <c r="B88174">
        <f>TEXT(88173, "[$-0E0000]yyyy-mm-dd")</f>
        <v/>
      </c>
    </row>
    <row r="88175">
      <c r="A88175" s="1" t="n">
        <v>88174</v>
      </c>
      <c r="B88175">
        <f>TEXT(88174, "[$-0E0000]yyyy-mm-dd")</f>
        <v/>
      </c>
    </row>
    <row r="88176">
      <c r="A88176" s="1" t="n">
        <v>88175</v>
      </c>
      <c r="B88176">
        <f>TEXT(88175, "[$-0E0000]yyyy-mm-dd")</f>
        <v/>
      </c>
    </row>
    <row r="88177">
      <c r="A88177" s="1" t="n">
        <v>88176</v>
      </c>
      <c r="B88177">
        <f>TEXT(88176, "[$-0E0000]yyyy-mm-dd")</f>
        <v/>
      </c>
    </row>
    <row r="88178">
      <c r="A88178" s="1" t="n">
        <v>88177</v>
      </c>
      <c r="B88178">
        <f>TEXT(88177, "[$-0E0000]yyyy-mm-dd")</f>
        <v/>
      </c>
    </row>
    <row r="88179">
      <c r="A88179" s="1" t="n">
        <v>88178</v>
      </c>
      <c r="B88179">
        <f>TEXT(88178, "[$-0E0000]yyyy-mm-dd")</f>
        <v/>
      </c>
    </row>
    <row r="88180">
      <c r="A88180" s="1" t="n">
        <v>88179</v>
      </c>
      <c r="B88180">
        <f>TEXT(88179, "[$-0E0000]yyyy-mm-dd")</f>
        <v/>
      </c>
    </row>
    <row r="88181">
      <c r="A88181" s="1" t="n">
        <v>88180</v>
      </c>
      <c r="B88181">
        <f>TEXT(88180, "[$-0E0000]yyyy-mm-dd")</f>
        <v/>
      </c>
    </row>
    <row r="88182">
      <c r="A88182" s="1" t="n">
        <v>88181</v>
      </c>
      <c r="B88182">
        <f>TEXT(88181, "[$-0E0000]yyyy-mm-dd")</f>
        <v/>
      </c>
    </row>
    <row r="88183">
      <c r="A88183" s="1" t="n">
        <v>88182</v>
      </c>
      <c r="B88183">
        <f>TEXT(88182, "[$-0E0000]yyyy-mm-dd")</f>
        <v/>
      </c>
    </row>
    <row r="88184">
      <c r="A88184" s="1" t="n">
        <v>88183</v>
      </c>
      <c r="B88184">
        <f>TEXT(88183, "[$-0E0000]yyyy-mm-dd")</f>
        <v/>
      </c>
    </row>
    <row r="88185">
      <c r="A88185" s="1" t="n">
        <v>88184</v>
      </c>
      <c r="B88185">
        <f>TEXT(88184, "[$-0E0000]yyyy-mm-dd")</f>
        <v/>
      </c>
    </row>
    <row r="88186">
      <c r="A88186" s="1" t="n">
        <v>88185</v>
      </c>
      <c r="B88186">
        <f>TEXT(88185, "[$-0E0000]yyyy-mm-dd")</f>
        <v/>
      </c>
    </row>
    <row r="88187">
      <c r="A88187" s="1" t="n">
        <v>88186</v>
      </c>
      <c r="B88187">
        <f>TEXT(88186, "[$-0E0000]yyyy-mm-dd")</f>
        <v/>
      </c>
    </row>
    <row r="88188">
      <c r="A88188" s="1" t="n">
        <v>88187</v>
      </c>
      <c r="B88188">
        <f>TEXT(88187, "[$-0E0000]yyyy-mm-dd")</f>
        <v/>
      </c>
    </row>
    <row r="88189">
      <c r="A88189" s="1" t="n">
        <v>88188</v>
      </c>
      <c r="B88189">
        <f>TEXT(88188, "[$-0E0000]yyyy-mm-dd")</f>
        <v/>
      </c>
    </row>
    <row r="88190">
      <c r="A88190" s="1" t="n">
        <v>88189</v>
      </c>
      <c r="B88190">
        <f>TEXT(88189, "[$-0E0000]yyyy-mm-dd")</f>
        <v/>
      </c>
    </row>
    <row r="88191">
      <c r="A88191" s="1" t="n">
        <v>88190</v>
      </c>
      <c r="B88191">
        <f>TEXT(88190, "[$-0E0000]yyyy-mm-dd")</f>
        <v/>
      </c>
    </row>
    <row r="88192">
      <c r="A88192" s="1" t="n">
        <v>88191</v>
      </c>
      <c r="B88192">
        <f>TEXT(88191, "[$-0E0000]yyyy-mm-dd")</f>
        <v/>
      </c>
    </row>
    <row r="88193">
      <c r="A88193" s="1" t="n">
        <v>88192</v>
      </c>
      <c r="B88193">
        <f>TEXT(88192, "[$-0E0000]yyyy-mm-dd")</f>
        <v/>
      </c>
    </row>
    <row r="88194">
      <c r="A88194" s="1" t="n">
        <v>88193</v>
      </c>
      <c r="B88194">
        <f>TEXT(88193, "[$-0E0000]yyyy-mm-dd")</f>
        <v/>
      </c>
    </row>
    <row r="88195">
      <c r="A88195" s="1" t="n">
        <v>88194</v>
      </c>
      <c r="B88195">
        <f>TEXT(88194, "[$-0E0000]yyyy-mm-dd")</f>
        <v/>
      </c>
    </row>
    <row r="88196">
      <c r="A88196" s="1" t="n">
        <v>88195</v>
      </c>
      <c r="B88196">
        <f>TEXT(88195, "[$-0E0000]yyyy-mm-dd")</f>
        <v/>
      </c>
    </row>
    <row r="88197">
      <c r="A88197" s="1" t="n">
        <v>88196</v>
      </c>
      <c r="B88197">
        <f>TEXT(88196, "[$-0E0000]yyyy-mm-dd")</f>
        <v/>
      </c>
    </row>
    <row r="88198">
      <c r="A88198" s="1" t="n">
        <v>88197</v>
      </c>
      <c r="B88198">
        <f>TEXT(88197, "[$-0E0000]yyyy-mm-dd")</f>
        <v/>
      </c>
    </row>
    <row r="88199">
      <c r="A88199" s="1" t="n">
        <v>88198</v>
      </c>
      <c r="B88199">
        <f>TEXT(88198, "[$-0E0000]yyyy-mm-dd")</f>
        <v/>
      </c>
    </row>
    <row r="88200">
      <c r="A88200" s="1" t="n">
        <v>88199</v>
      </c>
      <c r="B88200">
        <f>TEXT(88199, "[$-0E0000]yyyy-mm-dd")</f>
        <v/>
      </c>
    </row>
    <row r="88201">
      <c r="A88201" s="1" t="n">
        <v>88200</v>
      </c>
      <c r="B88201">
        <f>TEXT(88200, "[$-0E0000]yyyy-mm-dd")</f>
        <v/>
      </c>
    </row>
    <row r="88202">
      <c r="A88202" s="1" t="n">
        <v>88201</v>
      </c>
      <c r="B88202">
        <f>TEXT(88201, "[$-0E0000]yyyy-mm-dd")</f>
        <v/>
      </c>
    </row>
    <row r="88203">
      <c r="A88203" s="1" t="n">
        <v>88202</v>
      </c>
      <c r="B88203">
        <f>TEXT(88202, "[$-0E0000]yyyy-mm-dd")</f>
        <v/>
      </c>
    </row>
    <row r="88204">
      <c r="A88204" s="1" t="n">
        <v>88203</v>
      </c>
      <c r="B88204">
        <f>TEXT(88203, "[$-0E0000]yyyy-mm-dd")</f>
        <v/>
      </c>
    </row>
    <row r="88205">
      <c r="A88205" s="1" t="n">
        <v>88204</v>
      </c>
      <c r="B88205">
        <f>TEXT(88204, "[$-0E0000]yyyy-mm-dd")</f>
        <v/>
      </c>
    </row>
    <row r="88206">
      <c r="A88206" s="1" t="n">
        <v>88205</v>
      </c>
      <c r="B88206">
        <f>TEXT(88205, "[$-0E0000]yyyy-mm-dd")</f>
        <v/>
      </c>
    </row>
    <row r="88207">
      <c r="A88207" s="1" t="n">
        <v>88206</v>
      </c>
      <c r="B88207">
        <f>TEXT(88206, "[$-0E0000]yyyy-mm-dd")</f>
        <v/>
      </c>
    </row>
    <row r="88208">
      <c r="A88208" s="1" t="n">
        <v>88207</v>
      </c>
      <c r="B88208">
        <f>TEXT(88207, "[$-0E0000]yyyy-mm-dd")</f>
        <v/>
      </c>
    </row>
    <row r="88209">
      <c r="A88209" s="1" t="n">
        <v>88208</v>
      </c>
      <c r="B88209">
        <f>TEXT(88208, "[$-0E0000]yyyy-mm-dd")</f>
        <v/>
      </c>
    </row>
    <row r="88210">
      <c r="A88210" s="1" t="n">
        <v>88209</v>
      </c>
      <c r="B88210">
        <f>TEXT(88209, "[$-0E0000]yyyy-mm-dd")</f>
        <v/>
      </c>
    </row>
    <row r="88211">
      <c r="A88211" s="1" t="n">
        <v>88210</v>
      </c>
      <c r="B88211">
        <f>TEXT(88210, "[$-0E0000]yyyy-mm-dd")</f>
        <v/>
      </c>
    </row>
    <row r="88212">
      <c r="A88212" s="1" t="n">
        <v>88211</v>
      </c>
      <c r="B88212">
        <f>TEXT(88211, "[$-0E0000]yyyy-mm-dd")</f>
        <v/>
      </c>
    </row>
    <row r="88213">
      <c r="A88213" s="1" t="n">
        <v>88212</v>
      </c>
      <c r="B88213">
        <f>TEXT(88212, "[$-0E0000]yyyy-mm-dd")</f>
        <v/>
      </c>
    </row>
    <row r="88214">
      <c r="A88214" s="1" t="n">
        <v>88213</v>
      </c>
      <c r="B88214">
        <f>TEXT(88213, "[$-0E0000]yyyy-mm-dd")</f>
        <v/>
      </c>
    </row>
    <row r="88215">
      <c r="A88215" s="1" t="n">
        <v>88214</v>
      </c>
      <c r="B88215">
        <f>TEXT(88214, "[$-0E0000]yyyy-mm-dd")</f>
        <v/>
      </c>
    </row>
    <row r="88216">
      <c r="A88216" s="1" t="n">
        <v>88215</v>
      </c>
      <c r="B88216">
        <f>TEXT(88215, "[$-0E0000]yyyy-mm-dd")</f>
        <v/>
      </c>
    </row>
    <row r="88217">
      <c r="A88217" s="1" t="n">
        <v>88216</v>
      </c>
      <c r="B88217">
        <f>TEXT(88216, "[$-0E0000]yyyy-mm-dd")</f>
        <v/>
      </c>
    </row>
    <row r="88218">
      <c r="A88218" s="1" t="n">
        <v>88217</v>
      </c>
      <c r="B88218">
        <f>TEXT(88217, "[$-0E0000]yyyy-mm-dd")</f>
        <v/>
      </c>
    </row>
    <row r="88219">
      <c r="A88219" s="1" t="n">
        <v>88218</v>
      </c>
      <c r="B88219">
        <f>TEXT(88218, "[$-0E0000]yyyy-mm-dd")</f>
        <v/>
      </c>
    </row>
    <row r="88220">
      <c r="A88220" s="1" t="n">
        <v>88219</v>
      </c>
      <c r="B88220">
        <f>TEXT(88219, "[$-0E0000]yyyy-mm-dd")</f>
        <v/>
      </c>
    </row>
    <row r="88221">
      <c r="A88221" s="1" t="n">
        <v>88220</v>
      </c>
      <c r="B88221">
        <f>TEXT(88220, "[$-0E0000]yyyy-mm-dd")</f>
        <v/>
      </c>
    </row>
    <row r="88222">
      <c r="A88222" s="1" t="n">
        <v>88221</v>
      </c>
      <c r="B88222">
        <f>TEXT(88221, "[$-0E0000]yyyy-mm-dd")</f>
        <v/>
      </c>
    </row>
    <row r="88223">
      <c r="A88223" s="1" t="n">
        <v>88222</v>
      </c>
      <c r="B88223">
        <f>TEXT(88222, "[$-0E0000]yyyy-mm-dd")</f>
        <v/>
      </c>
    </row>
    <row r="88224">
      <c r="A88224" s="1" t="n">
        <v>88223</v>
      </c>
      <c r="B88224">
        <f>TEXT(88223, "[$-0E0000]yyyy-mm-dd")</f>
        <v/>
      </c>
    </row>
    <row r="88225">
      <c r="A88225" s="1" t="n">
        <v>88224</v>
      </c>
      <c r="B88225">
        <f>TEXT(88224, "[$-0E0000]yyyy-mm-dd")</f>
        <v/>
      </c>
    </row>
    <row r="88226">
      <c r="A88226" s="1" t="n">
        <v>88225</v>
      </c>
      <c r="B88226">
        <f>TEXT(88225, "[$-0E0000]yyyy-mm-dd")</f>
        <v/>
      </c>
    </row>
    <row r="88227">
      <c r="A88227" s="1" t="n">
        <v>88226</v>
      </c>
      <c r="B88227">
        <f>TEXT(88226, "[$-0E0000]yyyy-mm-dd")</f>
        <v/>
      </c>
    </row>
    <row r="88228">
      <c r="A88228" s="1" t="n">
        <v>88227</v>
      </c>
      <c r="B88228">
        <f>TEXT(88227, "[$-0E0000]yyyy-mm-dd")</f>
        <v/>
      </c>
    </row>
    <row r="88229">
      <c r="A88229" s="1" t="n">
        <v>88228</v>
      </c>
      <c r="B88229">
        <f>TEXT(88228, "[$-0E0000]yyyy-mm-dd")</f>
        <v/>
      </c>
    </row>
    <row r="88230">
      <c r="A88230" s="1" t="n">
        <v>88229</v>
      </c>
      <c r="B88230">
        <f>TEXT(88229, "[$-0E0000]yyyy-mm-dd")</f>
        <v/>
      </c>
    </row>
    <row r="88231">
      <c r="A88231" s="1" t="n">
        <v>88230</v>
      </c>
      <c r="B88231">
        <f>TEXT(88230, "[$-0E0000]yyyy-mm-dd")</f>
        <v/>
      </c>
    </row>
    <row r="88232">
      <c r="A88232" s="1" t="n">
        <v>88231</v>
      </c>
      <c r="B88232">
        <f>TEXT(88231, "[$-0E0000]yyyy-mm-dd")</f>
        <v/>
      </c>
    </row>
    <row r="88233">
      <c r="A88233" s="1" t="n">
        <v>88232</v>
      </c>
      <c r="B88233">
        <f>TEXT(88232, "[$-0E0000]yyyy-mm-dd")</f>
        <v/>
      </c>
    </row>
    <row r="88234">
      <c r="A88234" s="1" t="n">
        <v>88233</v>
      </c>
      <c r="B88234">
        <f>TEXT(88233, "[$-0E0000]yyyy-mm-dd")</f>
        <v/>
      </c>
    </row>
    <row r="88235">
      <c r="A88235" s="1" t="n">
        <v>88234</v>
      </c>
      <c r="B88235">
        <f>TEXT(88234, "[$-0E0000]yyyy-mm-dd")</f>
        <v/>
      </c>
    </row>
    <row r="88236">
      <c r="A88236" s="1" t="n">
        <v>88235</v>
      </c>
      <c r="B88236">
        <f>TEXT(88235, "[$-0E0000]yyyy-mm-dd")</f>
        <v/>
      </c>
    </row>
    <row r="88237">
      <c r="A88237" s="1" t="n">
        <v>88236</v>
      </c>
      <c r="B88237">
        <f>TEXT(88236, "[$-0E0000]yyyy-mm-dd")</f>
        <v/>
      </c>
    </row>
    <row r="88238">
      <c r="A88238" s="1" t="n">
        <v>88237</v>
      </c>
      <c r="B88238">
        <f>TEXT(88237, "[$-0E0000]yyyy-mm-dd")</f>
        <v/>
      </c>
    </row>
    <row r="88239">
      <c r="A88239" s="1" t="n">
        <v>88238</v>
      </c>
      <c r="B88239">
        <f>TEXT(88238, "[$-0E0000]yyyy-mm-dd")</f>
        <v/>
      </c>
    </row>
    <row r="88240">
      <c r="A88240" s="1" t="n">
        <v>88239</v>
      </c>
      <c r="B88240">
        <f>TEXT(88239, "[$-0E0000]yyyy-mm-dd")</f>
        <v/>
      </c>
    </row>
    <row r="88241">
      <c r="A88241" s="1" t="n">
        <v>88240</v>
      </c>
      <c r="B88241">
        <f>TEXT(88240, "[$-0E0000]yyyy-mm-dd")</f>
        <v/>
      </c>
    </row>
    <row r="88242">
      <c r="A88242" s="1" t="n">
        <v>88241</v>
      </c>
      <c r="B88242">
        <f>TEXT(88241, "[$-0E0000]yyyy-mm-dd")</f>
        <v/>
      </c>
    </row>
    <row r="88243">
      <c r="A88243" s="1" t="n">
        <v>88242</v>
      </c>
      <c r="B88243">
        <f>TEXT(88242, "[$-0E0000]yyyy-mm-dd")</f>
        <v/>
      </c>
    </row>
    <row r="88244">
      <c r="A88244" s="1" t="n">
        <v>88243</v>
      </c>
      <c r="B88244">
        <f>TEXT(88243, "[$-0E0000]yyyy-mm-dd")</f>
        <v/>
      </c>
    </row>
    <row r="88245">
      <c r="A88245" s="1" t="n">
        <v>88244</v>
      </c>
      <c r="B88245">
        <f>TEXT(88244, "[$-0E0000]yyyy-mm-dd")</f>
        <v/>
      </c>
    </row>
    <row r="88246">
      <c r="A88246" s="1" t="n">
        <v>88245</v>
      </c>
      <c r="B88246">
        <f>TEXT(88245, "[$-0E0000]yyyy-mm-dd")</f>
        <v/>
      </c>
    </row>
    <row r="88247">
      <c r="A88247" s="1" t="n">
        <v>88246</v>
      </c>
      <c r="B88247">
        <f>TEXT(88246, "[$-0E0000]yyyy-mm-dd")</f>
        <v/>
      </c>
    </row>
    <row r="88248">
      <c r="A88248" s="1" t="n">
        <v>88247</v>
      </c>
      <c r="B88248">
        <f>TEXT(88247, "[$-0E0000]yyyy-mm-dd")</f>
        <v/>
      </c>
    </row>
    <row r="88249">
      <c r="A88249" s="1" t="n">
        <v>88248</v>
      </c>
      <c r="B88249">
        <f>TEXT(88248, "[$-0E0000]yyyy-mm-dd")</f>
        <v/>
      </c>
    </row>
    <row r="88250">
      <c r="A88250" s="1" t="n">
        <v>88249</v>
      </c>
      <c r="B88250">
        <f>TEXT(88249, "[$-0E0000]yyyy-mm-dd")</f>
        <v/>
      </c>
    </row>
    <row r="88251">
      <c r="A88251" s="1" t="n">
        <v>88250</v>
      </c>
      <c r="B88251">
        <f>TEXT(88250, "[$-0E0000]yyyy-mm-dd")</f>
        <v/>
      </c>
    </row>
    <row r="88252">
      <c r="A88252" s="1" t="n">
        <v>88251</v>
      </c>
      <c r="B88252">
        <f>TEXT(88251, "[$-0E0000]yyyy-mm-dd")</f>
        <v/>
      </c>
    </row>
    <row r="88253">
      <c r="A88253" s="1" t="n">
        <v>88252</v>
      </c>
      <c r="B88253">
        <f>TEXT(88252, "[$-0E0000]yyyy-mm-dd")</f>
        <v/>
      </c>
    </row>
    <row r="88254">
      <c r="A88254" s="1" t="n">
        <v>88253</v>
      </c>
      <c r="B88254">
        <f>TEXT(88253, "[$-0E0000]yyyy-mm-dd")</f>
        <v/>
      </c>
    </row>
    <row r="88255">
      <c r="A88255" s="1" t="n">
        <v>88254</v>
      </c>
      <c r="B88255">
        <f>TEXT(88254, "[$-0E0000]yyyy-mm-dd")</f>
        <v/>
      </c>
    </row>
    <row r="88256">
      <c r="A88256" s="1" t="n">
        <v>88255</v>
      </c>
      <c r="B88256">
        <f>TEXT(88255, "[$-0E0000]yyyy-mm-dd")</f>
        <v/>
      </c>
    </row>
    <row r="88257">
      <c r="A88257" s="1" t="n">
        <v>88256</v>
      </c>
      <c r="B88257">
        <f>TEXT(88256, "[$-0E0000]yyyy-mm-dd")</f>
        <v/>
      </c>
    </row>
    <row r="88258">
      <c r="A88258" s="1" t="n">
        <v>88257</v>
      </c>
      <c r="B88258">
        <f>TEXT(88257, "[$-0E0000]yyyy-mm-dd")</f>
        <v/>
      </c>
    </row>
    <row r="88259">
      <c r="A88259" s="1" t="n">
        <v>88258</v>
      </c>
      <c r="B88259">
        <f>TEXT(88258, "[$-0E0000]yyyy-mm-dd")</f>
        <v/>
      </c>
    </row>
    <row r="88260">
      <c r="A88260" s="1" t="n">
        <v>88259</v>
      </c>
      <c r="B88260">
        <f>TEXT(88259, "[$-0E0000]yyyy-mm-dd")</f>
        <v/>
      </c>
    </row>
    <row r="88261">
      <c r="A88261" s="1" t="n">
        <v>88260</v>
      </c>
      <c r="B88261">
        <f>TEXT(88260, "[$-0E0000]yyyy-mm-dd")</f>
        <v/>
      </c>
    </row>
    <row r="88262">
      <c r="A88262" s="1" t="n">
        <v>88261</v>
      </c>
      <c r="B88262">
        <f>TEXT(88261, "[$-0E0000]yyyy-mm-dd")</f>
        <v/>
      </c>
    </row>
    <row r="88263">
      <c r="A88263" s="1" t="n">
        <v>88262</v>
      </c>
      <c r="B88263">
        <f>TEXT(88262, "[$-0E0000]yyyy-mm-dd")</f>
        <v/>
      </c>
    </row>
    <row r="88264">
      <c r="A88264" s="1" t="n">
        <v>88263</v>
      </c>
      <c r="B88264">
        <f>TEXT(88263, "[$-0E0000]yyyy-mm-dd")</f>
        <v/>
      </c>
    </row>
    <row r="88265">
      <c r="A88265" s="1" t="n">
        <v>88264</v>
      </c>
      <c r="B88265">
        <f>TEXT(88264, "[$-0E0000]yyyy-mm-dd")</f>
        <v/>
      </c>
    </row>
    <row r="88266">
      <c r="A88266" s="1" t="n">
        <v>88265</v>
      </c>
      <c r="B88266">
        <f>TEXT(88265, "[$-0E0000]yyyy-mm-dd")</f>
        <v/>
      </c>
    </row>
    <row r="88267">
      <c r="A88267" s="1" t="n">
        <v>88266</v>
      </c>
      <c r="B88267">
        <f>TEXT(88266, "[$-0E0000]yyyy-mm-dd")</f>
        <v/>
      </c>
    </row>
    <row r="88268">
      <c r="A88268" s="1" t="n">
        <v>88267</v>
      </c>
      <c r="B88268">
        <f>TEXT(88267, "[$-0E0000]yyyy-mm-dd")</f>
        <v/>
      </c>
    </row>
    <row r="88269">
      <c r="A88269" s="1" t="n">
        <v>88268</v>
      </c>
      <c r="B88269">
        <f>TEXT(88268, "[$-0E0000]yyyy-mm-dd")</f>
        <v/>
      </c>
    </row>
    <row r="88270">
      <c r="A88270" s="1" t="n">
        <v>88269</v>
      </c>
      <c r="B88270">
        <f>TEXT(88269, "[$-0E0000]yyyy-mm-dd")</f>
        <v/>
      </c>
    </row>
    <row r="88271">
      <c r="A88271" s="1" t="n">
        <v>88270</v>
      </c>
      <c r="B88271">
        <f>TEXT(88270, "[$-0E0000]yyyy-mm-dd")</f>
        <v/>
      </c>
    </row>
    <row r="88272">
      <c r="A88272" s="1" t="n">
        <v>88271</v>
      </c>
      <c r="B88272">
        <f>TEXT(88271, "[$-0E0000]yyyy-mm-dd")</f>
        <v/>
      </c>
    </row>
    <row r="88273">
      <c r="A88273" s="1" t="n">
        <v>88272</v>
      </c>
      <c r="B88273">
        <f>TEXT(88272, "[$-0E0000]yyyy-mm-dd")</f>
        <v/>
      </c>
    </row>
    <row r="88274">
      <c r="A88274" s="1" t="n">
        <v>88273</v>
      </c>
      <c r="B88274">
        <f>TEXT(88273, "[$-0E0000]yyyy-mm-dd")</f>
        <v/>
      </c>
    </row>
    <row r="88275">
      <c r="A88275" s="1" t="n">
        <v>88274</v>
      </c>
      <c r="B88275">
        <f>TEXT(88274, "[$-0E0000]yyyy-mm-dd")</f>
        <v/>
      </c>
    </row>
    <row r="88276">
      <c r="A88276" s="1" t="n">
        <v>88275</v>
      </c>
      <c r="B88276">
        <f>TEXT(88275, "[$-0E0000]yyyy-mm-dd")</f>
        <v/>
      </c>
    </row>
    <row r="88277">
      <c r="A88277" s="1" t="n">
        <v>88276</v>
      </c>
      <c r="B88277">
        <f>TEXT(88276, "[$-0E0000]yyyy-mm-dd")</f>
        <v/>
      </c>
    </row>
    <row r="88278">
      <c r="A88278" s="1" t="n">
        <v>88277</v>
      </c>
      <c r="B88278">
        <f>TEXT(88277, "[$-0E0000]yyyy-mm-dd")</f>
        <v/>
      </c>
    </row>
    <row r="88279">
      <c r="A88279" s="1" t="n">
        <v>88278</v>
      </c>
      <c r="B88279">
        <f>TEXT(88278, "[$-0E0000]yyyy-mm-dd")</f>
        <v/>
      </c>
    </row>
    <row r="88280">
      <c r="A88280" s="1" t="n">
        <v>88279</v>
      </c>
      <c r="B88280">
        <f>TEXT(88279, "[$-0E0000]yyyy-mm-dd")</f>
        <v/>
      </c>
    </row>
    <row r="88281">
      <c r="A88281" s="1" t="n">
        <v>88280</v>
      </c>
      <c r="B88281">
        <f>TEXT(88280, "[$-0E0000]yyyy-mm-dd")</f>
        <v/>
      </c>
    </row>
    <row r="88282">
      <c r="A88282" s="1" t="n">
        <v>88281</v>
      </c>
      <c r="B88282">
        <f>TEXT(88281, "[$-0E0000]yyyy-mm-dd")</f>
        <v/>
      </c>
    </row>
    <row r="88283">
      <c r="A88283" s="1" t="n">
        <v>88282</v>
      </c>
      <c r="B88283">
        <f>TEXT(88282, "[$-0E0000]yyyy-mm-dd")</f>
        <v/>
      </c>
    </row>
    <row r="88284">
      <c r="A88284" s="1" t="n">
        <v>88283</v>
      </c>
      <c r="B88284">
        <f>TEXT(88283, "[$-0E0000]yyyy-mm-dd")</f>
        <v/>
      </c>
    </row>
    <row r="88285">
      <c r="A88285" s="1" t="n">
        <v>88284</v>
      </c>
      <c r="B88285">
        <f>TEXT(88284, "[$-0E0000]yyyy-mm-dd")</f>
        <v/>
      </c>
    </row>
    <row r="88286">
      <c r="A88286" s="1" t="n">
        <v>88285</v>
      </c>
      <c r="B88286">
        <f>TEXT(88285, "[$-0E0000]yyyy-mm-dd")</f>
        <v/>
      </c>
    </row>
    <row r="88287">
      <c r="A88287" s="1" t="n">
        <v>88286</v>
      </c>
      <c r="B88287">
        <f>TEXT(88286, "[$-0E0000]yyyy-mm-dd")</f>
        <v/>
      </c>
    </row>
    <row r="88288">
      <c r="A88288" s="1" t="n">
        <v>88287</v>
      </c>
      <c r="B88288">
        <f>TEXT(88287, "[$-0E0000]yyyy-mm-dd")</f>
        <v/>
      </c>
    </row>
    <row r="88289">
      <c r="A88289" s="1" t="n">
        <v>88288</v>
      </c>
      <c r="B88289">
        <f>TEXT(88288, "[$-0E0000]yyyy-mm-dd")</f>
        <v/>
      </c>
    </row>
    <row r="88290">
      <c r="A88290" s="1" t="n">
        <v>88289</v>
      </c>
      <c r="B88290">
        <f>TEXT(88289, "[$-0E0000]yyyy-mm-dd")</f>
        <v/>
      </c>
    </row>
    <row r="88291">
      <c r="A88291" s="1" t="n">
        <v>88290</v>
      </c>
      <c r="B88291">
        <f>TEXT(88290, "[$-0E0000]yyyy-mm-dd")</f>
        <v/>
      </c>
    </row>
    <row r="88292">
      <c r="A88292" s="1" t="n">
        <v>88291</v>
      </c>
      <c r="B88292">
        <f>TEXT(88291, "[$-0E0000]yyyy-mm-dd")</f>
        <v/>
      </c>
    </row>
    <row r="88293">
      <c r="A88293" s="1" t="n">
        <v>88292</v>
      </c>
      <c r="B88293">
        <f>TEXT(88292, "[$-0E0000]yyyy-mm-dd")</f>
        <v/>
      </c>
    </row>
    <row r="88294">
      <c r="A88294" s="1" t="n">
        <v>88293</v>
      </c>
      <c r="B88294">
        <f>TEXT(88293, "[$-0E0000]yyyy-mm-dd")</f>
        <v/>
      </c>
    </row>
    <row r="88295">
      <c r="A88295" s="1" t="n">
        <v>88294</v>
      </c>
      <c r="B88295">
        <f>TEXT(88294, "[$-0E0000]yyyy-mm-dd")</f>
        <v/>
      </c>
    </row>
    <row r="88296">
      <c r="A88296" s="1" t="n">
        <v>88295</v>
      </c>
      <c r="B88296">
        <f>TEXT(88295, "[$-0E0000]yyyy-mm-dd")</f>
        <v/>
      </c>
    </row>
    <row r="88297">
      <c r="A88297" s="1" t="n">
        <v>88296</v>
      </c>
      <c r="B88297">
        <f>TEXT(88296, "[$-0E0000]yyyy-mm-dd")</f>
        <v/>
      </c>
    </row>
    <row r="88298">
      <c r="A88298" s="1" t="n">
        <v>88297</v>
      </c>
      <c r="B88298">
        <f>TEXT(88297, "[$-0E0000]yyyy-mm-dd")</f>
        <v/>
      </c>
    </row>
    <row r="88299">
      <c r="A88299" s="1" t="n">
        <v>88298</v>
      </c>
      <c r="B88299">
        <f>TEXT(88298, "[$-0E0000]yyyy-mm-dd")</f>
        <v/>
      </c>
    </row>
    <row r="88300">
      <c r="A88300" s="1" t="n">
        <v>88299</v>
      </c>
      <c r="B88300">
        <f>TEXT(88299, "[$-0E0000]yyyy-mm-dd")</f>
        <v/>
      </c>
    </row>
    <row r="88301">
      <c r="A88301" s="1" t="n">
        <v>88300</v>
      </c>
      <c r="B88301">
        <f>TEXT(88300, "[$-0E0000]yyyy-mm-dd")</f>
        <v/>
      </c>
    </row>
    <row r="88302">
      <c r="A88302" s="1" t="n">
        <v>88301</v>
      </c>
      <c r="B88302">
        <f>TEXT(88301, "[$-0E0000]yyyy-mm-dd")</f>
        <v/>
      </c>
    </row>
    <row r="88303">
      <c r="A88303" s="1" t="n">
        <v>88302</v>
      </c>
      <c r="B88303">
        <f>TEXT(88302, "[$-0E0000]yyyy-mm-dd")</f>
        <v/>
      </c>
    </row>
    <row r="88304">
      <c r="A88304" s="1" t="n">
        <v>88303</v>
      </c>
      <c r="B88304">
        <f>TEXT(88303, "[$-0E0000]yyyy-mm-dd")</f>
        <v/>
      </c>
    </row>
    <row r="88305">
      <c r="A88305" s="1" t="n">
        <v>88304</v>
      </c>
      <c r="B88305">
        <f>TEXT(88304, "[$-0E0000]yyyy-mm-dd")</f>
        <v/>
      </c>
    </row>
    <row r="88306">
      <c r="A88306" s="1" t="n">
        <v>88305</v>
      </c>
      <c r="B88306">
        <f>TEXT(88305, "[$-0E0000]yyyy-mm-dd")</f>
        <v/>
      </c>
    </row>
    <row r="88307">
      <c r="A88307" s="1" t="n">
        <v>88306</v>
      </c>
      <c r="B88307">
        <f>TEXT(88306, "[$-0E0000]yyyy-mm-dd")</f>
        <v/>
      </c>
    </row>
    <row r="88308">
      <c r="A88308" s="1" t="n">
        <v>88307</v>
      </c>
      <c r="B88308">
        <f>TEXT(88307, "[$-0E0000]yyyy-mm-dd")</f>
        <v/>
      </c>
    </row>
    <row r="88309">
      <c r="A88309" s="1" t="n">
        <v>88308</v>
      </c>
      <c r="B88309">
        <f>TEXT(88308, "[$-0E0000]yyyy-mm-dd")</f>
        <v/>
      </c>
    </row>
    <row r="88310">
      <c r="A88310" s="1" t="n">
        <v>88309</v>
      </c>
      <c r="B88310">
        <f>TEXT(88309, "[$-0E0000]yyyy-mm-dd")</f>
        <v/>
      </c>
    </row>
    <row r="88311">
      <c r="A88311" s="1" t="n">
        <v>88310</v>
      </c>
      <c r="B88311">
        <f>TEXT(88310, "[$-0E0000]yyyy-mm-dd")</f>
        <v/>
      </c>
    </row>
    <row r="88312">
      <c r="A88312" s="1" t="n">
        <v>88311</v>
      </c>
      <c r="B88312">
        <f>TEXT(88311, "[$-0E0000]yyyy-mm-dd")</f>
        <v/>
      </c>
    </row>
    <row r="88313">
      <c r="A88313" s="1" t="n">
        <v>88312</v>
      </c>
      <c r="B88313">
        <f>TEXT(88312, "[$-0E0000]yyyy-mm-dd")</f>
        <v/>
      </c>
    </row>
    <row r="88314">
      <c r="A88314" s="1" t="n">
        <v>88313</v>
      </c>
      <c r="B88314">
        <f>TEXT(88313, "[$-0E0000]yyyy-mm-dd")</f>
        <v/>
      </c>
    </row>
    <row r="88315">
      <c r="A88315" s="1" t="n">
        <v>88314</v>
      </c>
      <c r="B88315">
        <f>TEXT(88314, "[$-0E0000]yyyy-mm-dd")</f>
        <v/>
      </c>
    </row>
    <row r="88316">
      <c r="A88316" s="1" t="n">
        <v>88315</v>
      </c>
      <c r="B88316">
        <f>TEXT(88315, "[$-0E0000]yyyy-mm-dd")</f>
        <v/>
      </c>
    </row>
    <row r="88317">
      <c r="A88317" s="1" t="n">
        <v>88316</v>
      </c>
      <c r="B88317">
        <f>TEXT(88316, "[$-0E0000]yyyy-mm-dd")</f>
        <v/>
      </c>
    </row>
    <row r="88318">
      <c r="A88318" s="1" t="n">
        <v>88317</v>
      </c>
      <c r="B88318">
        <f>TEXT(88317, "[$-0E0000]yyyy-mm-dd")</f>
        <v/>
      </c>
    </row>
    <row r="88319">
      <c r="A88319" s="1" t="n">
        <v>88318</v>
      </c>
      <c r="B88319">
        <f>TEXT(88318, "[$-0E0000]yyyy-mm-dd")</f>
        <v/>
      </c>
    </row>
    <row r="88320">
      <c r="A88320" s="1" t="n">
        <v>88319</v>
      </c>
      <c r="B88320">
        <f>TEXT(88319, "[$-0E0000]yyyy-mm-dd")</f>
        <v/>
      </c>
    </row>
    <row r="88321">
      <c r="A88321" s="1" t="n">
        <v>88320</v>
      </c>
      <c r="B88321">
        <f>TEXT(88320, "[$-0E0000]yyyy-mm-dd")</f>
        <v/>
      </c>
    </row>
    <row r="88322">
      <c r="A88322" s="1" t="n">
        <v>88321</v>
      </c>
      <c r="B88322">
        <f>TEXT(88321, "[$-0E0000]yyyy-mm-dd")</f>
        <v/>
      </c>
    </row>
    <row r="88323">
      <c r="A88323" s="1" t="n">
        <v>88322</v>
      </c>
      <c r="B88323">
        <f>TEXT(88322, "[$-0E0000]yyyy-mm-dd")</f>
        <v/>
      </c>
    </row>
    <row r="88324">
      <c r="A88324" s="1" t="n">
        <v>88323</v>
      </c>
      <c r="B88324">
        <f>TEXT(88323, "[$-0E0000]yyyy-mm-dd")</f>
        <v/>
      </c>
    </row>
    <row r="88325">
      <c r="A88325" s="1" t="n">
        <v>88324</v>
      </c>
      <c r="B88325">
        <f>TEXT(88324, "[$-0E0000]yyyy-mm-dd")</f>
        <v/>
      </c>
    </row>
    <row r="88326">
      <c r="A88326" s="1" t="n">
        <v>88325</v>
      </c>
      <c r="B88326">
        <f>TEXT(88325, "[$-0E0000]yyyy-mm-dd")</f>
        <v/>
      </c>
    </row>
    <row r="88327">
      <c r="A88327" s="1" t="n">
        <v>88326</v>
      </c>
      <c r="B88327">
        <f>TEXT(88326, "[$-0E0000]yyyy-mm-dd")</f>
        <v/>
      </c>
    </row>
    <row r="88328">
      <c r="A88328" s="1" t="n">
        <v>88327</v>
      </c>
      <c r="B88328">
        <f>TEXT(88327, "[$-0E0000]yyyy-mm-dd")</f>
        <v/>
      </c>
    </row>
    <row r="88329">
      <c r="A88329" s="1" t="n">
        <v>88328</v>
      </c>
      <c r="B88329">
        <f>TEXT(88328, "[$-0E0000]yyyy-mm-dd")</f>
        <v/>
      </c>
    </row>
    <row r="88330">
      <c r="A88330" s="1" t="n">
        <v>88329</v>
      </c>
      <c r="B88330">
        <f>TEXT(88329, "[$-0E0000]yyyy-mm-dd")</f>
        <v/>
      </c>
    </row>
    <row r="88331">
      <c r="A88331" s="1" t="n">
        <v>88330</v>
      </c>
      <c r="B88331">
        <f>TEXT(88330, "[$-0E0000]yyyy-mm-dd")</f>
        <v/>
      </c>
    </row>
    <row r="88332">
      <c r="A88332" s="1" t="n">
        <v>88331</v>
      </c>
      <c r="B88332">
        <f>TEXT(88331, "[$-0E0000]yyyy-mm-dd")</f>
        <v/>
      </c>
    </row>
    <row r="88333">
      <c r="A88333" s="1" t="n">
        <v>88332</v>
      </c>
      <c r="B88333">
        <f>TEXT(88332, "[$-0E0000]yyyy-mm-dd")</f>
        <v/>
      </c>
    </row>
    <row r="88334">
      <c r="A88334" s="1" t="n">
        <v>88333</v>
      </c>
      <c r="B88334">
        <f>TEXT(88333, "[$-0E0000]yyyy-mm-dd")</f>
        <v/>
      </c>
    </row>
    <row r="88335">
      <c r="A88335" s="1" t="n">
        <v>88334</v>
      </c>
      <c r="B88335">
        <f>TEXT(88334, "[$-0E0000]yyyy-mm-dd")</f>
        <v/>
      </c>
    </row>
    <row r="88336">
      <c r="A88336" s="1" t="n">
        <v>88335</v>
      </c>
      <c r="B88336">
        <f>TEXT(88335, "[$-0E0000]yyyy-mm-dd")</f>
        <v/>
      </c>
    </row>
    <row r="88337">
      <c r="A88337" s="1" t="n">
        <v>88336</v>
      </c>
      <c r="B88337">
        <f>TEXT(88336, "[$-0E0000]yyyy-mm-dd")</f>
        <v/>
      </c>
    </row>
    <row r="88338">
      <c r="A88338" s="1" t="n">
        <v>88337</v>
      </c>
      <c r="B88338">
        <f>TEXT(88337, "[$-0E0000]yyyy-mm-dd")</f>
        <v/>
      </c>
    </row>
    <row r="88339">
      <c r="A88339" s="1" t="n">
        <v>88338</v>
      </c>
      <c r="B88339">
        <f>TEXT(88338, "[$-0E0000]yyyy-mm-dd")</f>
        <v/>
      </c>
    </row>
    <row r="88340">
      <c r="A88340" s="1" t="n">
        <v>88339</v>
      </c>
      <c r="B88340">
        <f>TEXT(88339, "[$-0E0000]yyyy-mm-dd")</f>
        <v/>
      </c>
    </row>
    <row r="88341">
      <c r="A88341" s="1" t="n">
        <v>88340</v>
      </c>
      <c r="B88341">
        <f>TEXT(88340, "[$-0E0000]yyyy-mm-dd")</f>
        <v/>
      </c>
    </row>
    <row r="88342">
      <c r="A88342" s="1" t="n">
        <v>88341</v>
      </c>
      <c r="B88342">
        <f>TEXT(88341, "[$-0E0000]yyyy-mm-dd")</f>
        <v/>
      </c>
    </row>
    <row r="88343">
      <c r="A88343" s="1" t="n">
        <v>88342</v>
      </c>
      <c r="B88343">
        <f>TEXT(88342, "[$-0E0000]yyyy-mm-dd")</f>
        <v/>
      </c>
    </row>
    <row r="88344">
      <c r="A88344" s="1" t="n">
        <v>88343</v>
      </c>
      <c r="B88344">
        <f>TEXT(88343, "[$-0E0000]yyyy-mm-dd")</f>
        <v/>
      </c>
    </row>
    <row r="88345">
      <c r="A88345" s="1" t="n">
        <v>88344</v>
      </c>
      <c r="B88345">
        <f>TEXT(88344, "[$-0E0000]yyyy-mm-dd")</f>
        <v/>
      </c>
    </row>
    <row r="88346">
      <c r="A88346" s="1" t="n">
        <v>88345</v>
      </c>
      <c r="B88346">
        <f>TEXT(88345, "[$-0E0000]yyyy-mm-dd")</f>
        <v/>
      </c>
    </row>
    <row r="88347">
      <c r="A88347" s="1" t="n">
        <v>88346</v>
      </c>
      <c r="B88347">
        <f>TEXT(88346, "[$-0E0000]yyyy-mm-dd")</f>
        <v/>
      </c>
    </row>
    <row r="88348">
      <c r="A88348" s="1" t="n">
        <v>88347</v>
      </c>
      <c r="B88348">
        <f>TEXT(88347, "[$-0E0000]yyyy-mm-dd")</f>
        <v/>
      </c>
    </row>
    <row r="88349">
      <c r="A88349" s="1" t="n">
        <v>88348</v>
      </c>
      <c r="B88349">
        <f>TEXT(88348, "[$-0E0000]yyyy-mm-dd")</f>
        <v/>
      </c>
    </row>
    <row r="88350">
      <c r="A88350" s="1" t="n">
        <v>88349</v>
      </c>
      <c r="B88350">
        <f>TEXT(88349, "[$-0E0000]yyyy-mm-dd")</f>
        <v/>
      </c>
    </row>
    <row r="88351">
      <c r="A88351" s="1" t="n">
        <v>88350</v>
      </c>
      <c r="B88351">
        <f>TEXT(88350, "[$-0E0000]yyyy-mm-dd")</f>
        <v/>
      </c>
    </row>
    <row r="88352">
      <c r="A88352" s="1" t="n">
        <v>88351</v>
      </c>
      <c r="B88352">
        <f>TEXT(88351, "[$-0E0000]yyyy-mm-dd")</f>
        <v/>
      </c>
    </row>
    <row r="88353">
      <c r="A88353" s="1" t="n">
        <v>88352</v>
      </c>
      <c r="B88353">
        <f>TEXT(88352, "[$-0E0000]yyyy-mm-dd")</f>
        <v/>
      </c>
    </row>
    <row r="88354">
      <c r="A88354" s="1" t="n">
        <v>88353</v>
      </c>
      <c r="B88354">
        <f>TEXT(88353, "[$-0E0000]yyyy-mm-dd")</f>
        <v/>
      </c>
    </row>
    <row r="88355">
      <c r="A88355" s="1" t="n">
        <v>88354</v>
      </c>
      <c r="B88355">
        <f>TEXT(88354, "[$-0E0000]yyyy-mm-dd")</f>
        <v/>
      </c>
    </row>
    <row r="88356">
      <c r="A88356" s="1" t="n">
        <v>88355</v>
      </c>
      <c r="B88356">
        <f>TEXT(88355, "[$-0E0000]yyyy-mm-dd")</f>
        <v/>
      </c>
    </row>
    <row r="88357">
      <c r="A88357" s="1" t="n">
        <v>88356</v>
      </c>
      <c r="B88357">
        <f>TEXT(88356, "[$-0E0000]yyyy-mm-dd")</f>
        <v/>
      </c>
    </row>
    <row r="88358">
      <c r="A88358" s="1" t="n">
        <v>88357</v>
      </c>
      <c r="B88358">
        <f>TEXT(88357, "[$-0E0000]yyyy-mm-dd")</f>
        <v/>
      </c>
    </row>
    <row r="88359">
      <c r="A88359" s="1" t="n">
        <v>88358</v>
      </c>
      <c r="B88359">
        <f>TEXT(88358, "[$-0E0000]yyyy-mm-dd")</f>
        <v/>
      </c>
    </row>
    <row r="88360">
      <c r="A88360" s="1" t="n">
        <v>88359</v>
      </c>
      <c r="B88360">
        <f>TEXT(88359, "[$-0E0000]yyyy-mm-dd")</f>
        <v/>
      </c>
    </row>
    <row r="88361">
      <c r="A88361" s="1" t="n">
        <v>88360</v>
      </c>
      <c r="B88361">
        <f>TEXT(88360, "[$-0E0000]yyyy-mm-dd")</f>
        <v/>
      </c>
    </row>
    <row r="88362">
      <c r="A88362" s="1" t="n">
        <v>88361</v>
      </c>
      <c r="B88362">
        <f>TEXT(88361, "[$-0E0000]yyyy-mm-dd")</f>
        <v/>
      </c>
    </row>
    <row r="88363">
      <c r="A88363" s="1" t="n">
        <v>88362</v>
      </c>
      <c r="B88363">
        <f>TEXT(88362, "[$-0E0000]yyyy-mm-dd")</f>
        <v/>
      </c>
    </row>
    <row r="88364">
      <c r="A88364" s="1" t="n">
        <v>88363</v>
      </c>
      <c r="B88364">
        <f>TEXT(88363, "[$-0E0000]yyyy-mm-dd")</f>
        <v/>
      </c>
    </row>
    <row r="88365">
      <c r="A88365" s="1" t="n">
        <v>88364</v>
      </c>
      <c r="B88365">
        <f>TEXT(88364, "[$-0E0000]yyyy-mm-dd")</f>
        <v/>
      </c>
    </row>
    <row r="88366">
      <c r="A88366" s="1" t="n">
        <v>88365</v>
      </c>
      <c r="B88366">
        <f>TEXT(88365, "[$-0E0000]yyyy-mm-dd")</f>
        <v/>
      </c>
    </row>
    <row r="88367">
      <c r="A88367" s="1" t="n">
        <v>88366</v>
      </c>
      <c r="B88367">
        <f>TEXT(88366, "[$-0E0000]yyyy-mm-dd")</f>
        <v/>
      </c>
    </row>
    <row r="88368">
      <c r="A88368" s="1" t="n">
        <v>88367</v>
      </c>
      <c r="B88368">
        <f>TEXT(88367, "[$-0E0000]yyyy-mm-dd")</f>
        <v/>
      </c>
    </row>
    <row r="88369">
      <c r="A88369" s="1" t="n">
        <v>88368</v>
      </c>
      <c r="B88369">
        <f>TEXT(88368, "[$-0E0000]yyyy-mm-dd")</f>
        <v/>
      </c>
    </row>
    <row r="88370">
      <c r="A88370" s="1" t="n">
        <v>88369</v>
      </c>
      <c r="B88370">
        <f>TEXT(88369, "[$-0E0000]yyyy-mm-dd")</f>
        <v/>
      </c>
    </row>
    <row r="88371">
      <c r="A88371" s="1" t="n">
        <v>88370</v>
      </c>
      <c r="B88371">
        <f>TEXT(88370, "[$-0E0000]yyyy-mm-dd")</f>
        <v/>
      </c>
    </row>
    <row r="88372">
      <c r="A88372" s="1" t="n">
        <v>88371</v>
      </c>
      <c r="B88372">
        <f>TEXT(88371, "[$-0E0000]yyyy-mm-dd")</f>
        <v/>
      </c>
    </row>
    <row r="88373">
      <c r="A88373" s="1" t="n">
        <v>88372</v>
      </c>
      <c r="B88373">
        <f>TEXT(88372, "[$-0E0000]yyyy-mm-dd")</f>
        <v/>
      </c>
    </row>
    <row r="88374">
      <c r="A88374" s="1" t="n">
        <v>88373</v>
      </c>
      <c r="B88374">
        <f>TEXT(88373, "[$-0E0000]yyyy-mm-dd")</f>
        <v/>
      </c>
    </row>
    <row r="88375">
      <c r="A88375" s="1" t="n">
        <v>88374</v>
      </c>
      <c r="B88375">
        <f>TEXT(88374, "[$-0E0000]yyyy-mm-dd")</f>
        <v/>
      </c>
    </row>
    <row r="88376">
      <c r="A88376" s="1" t="n">
        <v>88375</v>
      </c>
      <c r="B88376">
        <f>TEXT(88375, "[$-0E0000]yyyy-mm-dd")</f>
        <v/>
      </c>
    </row>
    <row r="88377">
      <c r="A88377" s="1" t="n">
        <v>88376</v>
      </c>
      <c r="B88377">
        <f>TEXT(88376, "[$-0E0000]yyyy-mm-dd")</f>
        <v/>
      </c>
    </row>
    <row r="88378">
      <c r="A88378" s="1" t="n">
        <v>88377</v>
      </c>
      <c r="B88378">
        <f>TEXT(88377, "[$-0E0000]yyyy-mm-dd")</f>
        <v/>
      </c>
    </row>
    <row r="88379">
      <c r="A88379" s="1" t="n">
        <v>88378</v>
      </c>
      <c r="B88379">
        <f>TEXT(88378, "[$-0E0000]yyyy-mm-dd")</f>
        <v/>
      </c>
    </row>
    <row r="88380">
      <c r="A88380" s="1" t="n">
        <v>88379</v>
      </c>
      <c r="B88380">
        <f>TEXT(88379, "[$-0E0000]yyyy-mm-dd")</f>
        <v/>
      </c>
    </row>
    <row r="88381">
      <c r="A88381" s="1" t="n">
        <v>88380</v>
      </c>
      <c r="B88381">
        <f>TEXT(88380, "[$-0E0000]yyyy-mm-dd")</f>
        <v/>
      </c>
    </row>
    <row r="88382">
      <c r="A88382" s="1" t="n">
        <v>88381</v>
      </c>
      <c r="B88382">
        <f>TEXT(88381, "[$-0E0000]yyyy-mm-dd")</f>
        <v/>
      </c>
    </row>
    <row r="88383">
      <c r="A88383" s="1" t="n">
        <v>88382</v>
      </c>
      <c r="B88383">
        <f>TEXT(88382, "[$-0E0000]yyyy-mm-dd")</f>
        <v/>
      </c>
    </row>
    <row r="88384">
      <c r="A88384" s="1" t="n">
        <v>88383</v>
      </c>
      <c r="B88384">
        <f>TEXT(88383, "[$-0E0000]yyyy-mm-dd")</f>
        <v/>
      </c>
    </row>
    <row r="88385">
      <c r="A88385" s="1" t="n">
        <v>88384</v>
      </c>
      <c r="B88385">
        <f>TEXT(88384, "[$-0E0000]yyyy-mm-dd")</f>
        <v/>
      </c>
    </row>
    <row r="88386">
      <c r="A88386" s="1" t="n">
        <v>88385</v>
      </c>
      <c r="B88386">
        <f>TEXT(88385, "[$-0E0000]yyyy-mm-dd")</f>
        <v/>
      </c>
    </row>
    <row r="88387">
      <c r="A88387" s="1" t="n">
        <v>88386</v>
      </c>
      <c r="B88387">
        <f>TEXT(88386, "[$-0E0000]yyyy-mm-dd")</f>
        <v/>
      </c>
    </row>
    <row r="88388">
      <c r="A88388" s="1" t="n">
        <v>88387</v>
      </c>
      <c r="B88388">
        <f>TEXT(88387, "[$-0E0000]yyyy-mm-dd")</f>
        <v/>
      </c>
    </row>
    <row r="88389">
      <c r="A88389" s="1" t="n">
        <v>88388</v>
      </c>
      <c r="B88389">
        <f>TEXT(88388, "[$-0E0000]yyyy-mm-dd")</f>
        <v/>
      </c>
    </row>
    <row r="88390">
      <c r="A88390" s="1" t="n">
        <v>88389</v>
      </c>
      <c r="B88390">
        <f>TEXT(88389, "[$-0E0000]yyyy-mm-dd")</f>
        <v/>
      </c>
    </row>
    <row r="88391">
      <c r="A88391" s="1" t="n">
        <v>88390</v>
      </c>
      <c r="B88391">
        <f>TEXT(88390, "[$-0E0000]yyyy-mm-dd")</f>
        <v/>
      </c>
    </row>
    <row r="88392">
      <c r="A88392" s="1" t="n">
        <v>88391</v>
      </c>
      <c r="B88392">
        <f>TEXT(88391, "[$-0E0000]yyyy-mm-dd")</f>
        <v/>
      </c>
    </row>
    <row r="88393">
      <c r="A88393" s="1" t="n">
        <v>88392</v>
      </c>
      <c r="B88393">
        <f>TEXT(88392, "[$-0E0000]yyyy-mm-dd")</f>
        <v/>
      </c>
    </row>
    <row r="88394">
      <c r="A88394" s="1" t="n">
        <v>88393</v>
      </c>
      <c r="B88394">
        <f>TEXT(88393, "[$-0E0000]yyyy-mm-dd")</f>
        <v/>
      </c>
    </row>
    <row r="88395">
      <c r="A88395" s="1" t="n">
        <v>88394</v>
      </c>
      <c r="B88395">
        <f>TEXT(88394, "[$-0E0000]yyyy-mm-dd")</f>
        <v/>
      </c>
    </row>
    <row r="88396">
      <c r="A88396" s="1" t="n">
        <v>88395</v>
      </c>
      <c r="B88396">
        <f>TEXT(88395, "[$-0E0000]yyyy-mm-dd")</f>
        <v/>
      </c>
    </row>
    <row r="88397">
      <c r="A88397" s="1" t="n">
        <v>88396</v>
      </c>
      <c r="B88397">
        <f>TEXT(88396, "[$-0E0000]yyyy-mm-dd")</f>
        <v/>
      </c>
    </row>
    <row r="88398">
      <c r="A88398" s="1" t="n">
        <v>88397</v>
      </c>
      <c r="B88398">
        <f>TEXT(88397, "[$-0E0000]yyyy-mm-dd")</f>
        <v/>
      </c>
    </row>
    <row r="88399">
      <c r="A88399" s="1" t="n">
        <v>88398</v>
      </c>
      <c r="B88399">
        <f>TEXT(88398, "[$-0E0000]yyyy-mm-dd")</f>
        <v/>
      </c>
    </row>
    <row r="88400">
      <c r="A88400" s="1" t="n">
        <v>88399</v>
      </c>
      <c r="B88400">
        <f>TEXT(88399, "[$-0E0000]yyyy-mm-dd")</f>
        <v/>
      </c>
    </row>
    <row r="88401">
      <c r="A88401" s="1" t="n">
        <v>88400</v>
      </c>
      <c r="B88401">
        <f>TEXT(88400, "[$-0E0000]yyyy-mm-dd")</f>
        <v/>
      </c>
    </row>
    <row r="88402">
      <c r="A88402" s="1" t="n">
        <v>88401</v>
      </c>
      <c r="B88402">
        <f>TEXT(88401, "[$-0E0000]yyyy-mm-dd")</f>
        <v/>
      </c>
    </row>
    <row r="88403">
      <c r="A88403" s="1" t="n">
        <v>88402</v>
      </c>
      <c r="B88403">
        <f>TEXT(88402, "[$-0E0000]yyyy-mm-dd")</f>
        <v/>
      </c>
    </row>
    <row r="88404">
      <c r="A88404" s="1" t="n">
        <v>88403</v>
      </c>
      <c r="B88404">
        <f>TEXT(88403, "[$-0E0000]yyyy-mm-dd")</f>
        <v/>
      </c>
    </row>
    <row r="88405">
      <c r="A88405" s="1" t="n">
        <v>88404</v>
      </c>
      <c r="B88405">
        <f>TEXT(88404, "[$-0E0000]yyyy-mm-dd")</f>
        <v/>
      </c>
    </row>
    <row r="88406">
      <c r="A88406" s="1" t="n">
        <v>88405</v>
      </c>
      <c r="B88406">
        <f>TEXT(88405, "[$-0E0000]yyyy-mm-dd")</f>
        <v/>
      </c>
    </row>
    <row r="88407">
      <c r="A88407" s="1" t="n">
        <v>88406</v>
      </c>
      <c r="B88407">
        <f>TEXT(88406, "[$-0E0000]yyyy-mm-dd")</f>
        <v/>
      </c>
    </row>
    <row r="88408">
      <c r="A88408" s="1" t="n">
        <v>88407</v>
      </c>
      <c r="B88408">
        <f>TEXT(88407, "[$-0E0000]yyyy-mm-dd")</f>
        <v/>
      </c>
    </row>
    <row r="88409">
      <c r="A88409" s="1" t="n">
        <v>88408</v>
      </c>
      <c r="B88409">
        <f>TEXT(88408, "[$-0E0000]yyyy-mm-dd")</f>
        <v/>
      </c>
    </row>
    <row r="88410">
      <c r="A88410" s="1" t="n">
        <v>88409</v>
      </c>
      <c r="B88410">
        <f>TEXT(88409, "[$-0E0000]yyyy-mm-dd")</f>
        <v/>
      </c>
    </row>
    <row r="88411">
      <c r="A88411" s="1" t="n">
        <v>88410</v>
      </c>
      <c r="B88411">
        <f>TEXT(88410, "[$-0E0000]yyyy-mm-dd")</f>
        <v/>
      </c>
    </row>
    <row r="88412">
      <c r="A88412" s="1" t="n">
        <v>88411</v>
      </c>
      <c r="B88412">
        <f>TEXT(88411, "[$-0E0000]yyyy-mm-dd")</f>
        <v/>
      </c>
    </row>
    <row r="88413">
      <c r="A88413" s="1" t="n">
        <v>88412</v>
      </c>
      <c r="B88413">
        <f>TEXT(88412, "[$-0E0000]yyyy-mm-dd")</f>
        <v/>
      </c>
    </row>
    <row r="88414">
      <c r="A88414" s="1" t="n">
        <v>88413</v>
      </c>
      <c r="B88414">
        <f>TEXT(88413, "[$-0E0000]yyyy-mm-dd")</f>
        <v/>
      </c>
    </row>
    <row r="88415">
      <c r="A88415" s="1" t="n">
        <v>88414</v>
      </c>
      <c r="B88415">
        <f>TEXT(88414, "[$-0E0000]yyyy-mm-dd")</f>
        <v/>
      </c>
    </row>
    <row r="88416">
      <c r="A88416" s="1" t="n">
        <v>88415</v>
      </c>
      <c r="B88416">
        <f>TEXT(88415, "[$-0E0000]yyyy-mm-dd")</f>
        <v/>
      </c>
    </row>
    <row r="88417">
      <c r="A88417" s="1" t="n">
        <v>88416</v>
      </c>
      <c r="B88417">
        <f>TEXT(88416, "[$-0E0000]yyyy-mm-dd")</f>
        <v/>
      </c>
    </row>
    <row r="88418">
      <c r="A88418" s="1" t="n">
        <v>88417</v>
      </c>
      <c r="B88418">
        <f>TEXT(88417, "[$-0E0000]yyyy-mm-dd")</f>
        <v/>
      </c>
    </row>
    <row r="88419">
      <c r="A88419" s="1" t="n">
        <v>88418</v>
      </c>
      <c r="B88419">
        <f>TEXT(88418, "[$-0E0000]yyyy-mm-dd")</f>
        <v/>
      </c>
    </row>
    <row r="88420">
      <c r="A88420" s="1" t="n">
        <v>88419</v>
      </c>
      <c r="B88420">
        <f>TEXT(88419, "[$-0E0000]yyyy-mm-dd")</f>
        <v/>
      </c>
    </row>
    <row r="88421">
      <c r="A88421" s="1" t="n">
        <v>88420</v>
      </c>
      <c r="B88421">
        <f>TEXT(88420, "[$-0E0000]yyyy-mm-dd")</f>
        <v/>
      </c>
    </row>
    <row r="88422">
      <c r="A88422" s="1" t="n">
        <v>88421</v>
      </c>
      <c r="B88422">
        <f>TEXT(88421, "[$-0E0000]yyyy-mm-dd")</f>
        <v/>
      </c>
    </row>
    <row r="88423">
      <c r="A88423" s="1" t="n">
        <v>88422</v>
      </c>
      <c r="B88423">
        <f>TEXT(88422, "[$-0E0000]yyyy-mm-dd")</f>
        <v/>
      </c>
    </row>
    <row r="88424">
      <c r="A88424" s="1" t="n">
        <v>88423</v>
      </c>
      <c r="B88424">
        <f>TEXT(88423, "[$-0E0000]yyyy-mm-dd")</f>
        <v/>
      </c>
    </row>
    <row r="88425">
      <c r="A88425" s="1" t="n">
        <v>88424</v>
      </c>
      <c r="B88425">
        <f>TEXT(88424, "[$-0E0000]yyyy-mm-dd")</f>
        <v/>
      </c>
    </row>
    <row r="88426">
      <c r="A88426" s="1" t="n">
        <v>88425</v>
      </c>
      <c r="B88426">
        <f>TEXT(88425, "[$-0E0000]yyyy-mm-dd")</f>
        <v/>
      </c>
    </row>
    <row r="88427">
      <c r="A88427" s="1" t="n">
        <v>88426</v>
      </c>
      <c r="B88427">
        <f>TEXT(88426, "[$-0E0000]yyyy-mm-dd")</f>
        <v/>
      </c>
    </row>
    <row r="88428">
      <c r="A88428" s="1" t="n">
        <v>88427</v>
      </c>
      <c r="B88428">
        <f>TEXT(88427, "[$-0E0000]yyyy-mm-dd")</f>
        <v/>
      </c>
    </row>
    <row r="88429">
      <c r="A88429" s="1" t="n">
        <v>88428</v>
      </c>
      <c r="B88429">
        <f>TEXT(88428, "[$-0E0000]yyyy-mm-dd")</f>
        <v/>
      </c>
    </row>
    <row r="88430">
      <c r="A88430" s="1" t="n">
        <v>88429</v>
      </c>
      <c r="B88430">
        <f>TEXT(88429, "[$-0E0000]yyyy-mm-dd")</f>
        <v/>
      </c>
    </row>
    <row r="88431">
      <c r="A88431" s="1" t="n">
        <v>88430</v>
      </c>
      <c r="B88431">
        <f>TEXT(88430, "[$-0E0000]yyyy-mm-dd")</f>
        <v/>
      </c>
    </row>
    <row r="88432">
      <c r="A88432" s="1" t="n">
        <v>88431</v>
      </c>
      <c r="B88432">
        <f>TEXT(88431, "[$-0E0000]yyyy-mm-dd")</f>
        <v/>
      </c>
    </row>
    <row r="88433">
      <c r="A88433" s="1" t="n">
        <v>88432</v>
      </c>
      <c r="B88433">
        <f>TEXT(88432, "[$-0E0000]yyyy-mm-dd")</f>
        <v/>
      </c>
    </row>
    <row r="88434">
      <c r="A88434" s="1" t="n">
        <v>88433</v>
      </c>
      <c r="B88434">
        <f>TEXT(88433, "[$-0E0000]yyyy-mm-dd")</f>
        <v/>
      </c>
    </row>
    <row r="88435">
      <c r="A88435" s="1" t="n">
        <v>88434</v>
      </c>
      <c r="B88435">
        <f>TEXT(88434, "[$-0E0000]yyyy-mm-dd")</f>
        <v/>
      </c>
    </row>
    <row r="88436">
      <c r="A88436" s="1" t="n">
        <v>88435</v>
      </c>
      <c r="B88436">
        <f>TEXT(88435, "[$-0E0000]yyyy-mm-dd")</f>
        <v/>
      </c>
    </row>
    <row r="88437">
      <c r="A88437" s="1" t="n">
        <v>88436</v>
      </c>
      <c r="B88437">
        <f>TEXT(88436, "[$-0E0000]yyyy-mm-dd")</f>
        <v/>
      </c>
    </row>
    <row r="88438">
      <c r="A88438" s="1" t="n">
        <v>88437</v>
      </c>
      <c r="B88438">
        <f>TEXT(88437, "[$-0E0000]yyyy-mm-dd")</f>
        <v/>
      </c>
    </row>
    <row r="88439">
      <c r="A88439" s="1" t="n">
        <v>88438</v>
      </c>
      <c r="B88439">
        <f>TEXT(88438, "[$-0E0000]yyyy-mm-dd")</f>
        <v/>
      </c>
    </row>
    <row r="88440">
      <c r="A88440" s="1" t="n">
        <v>88439</v>
      </c>
      <c r="B88440">
        <f>TEXT(88439, "[$-0E0000]yyyy-mm-dd")</f>
        <v/>
      </c>
    </row>
    <row r="88441">
      <c r="A88441" s="1" t="n">
        <v>88440</v>
      </c>
      <c r="B88441">
        <f>TEXT(88440, "[$-0E0000]yyyy-mm-dd")</f>
        <v/>
      </c>
    </row>
    <row r="88442">
      <c r="A88442" s="1" t="n">
        <v>88441</v>
      </c>
      <c r="B88442">
        <f>TEXT(88441, "[$-0E0000]yyyy-mm-dd")</f>
        <v/>
      </c>
    </row>
    <row r="88443">
      <c r="A88443" s="1" t="n">
        <v>88442</v>
      </c>
      <c r="B88443">
        <f>TEXT(88442, "[$-0E0000]yyyy-mm-dd")</f>
        <v/>
      </c>
    </row>
    <row r="88444">
      <c r="A88444" s="1" t="n">
        <v>88443</v>
      </c>
      <c r="B88444">
        <f>TEXT(88443, "[$-0E0000]yyyy-mm-dd")</f>
        <v/>
      </c>
    </row>
    <row r="88445">
      <c r="A88445" s="1" t="n">
        <v>88444</v>
      </c>
      <c r="B88445">
        <f>TEXT(88444, "[$-0E0000]yyyy-mm-dd")</f>
        <v/>
      </c>
    </row>
    <row r="88446">
      <c r="A88446" s="1" t="n">
        <v>88445</v>
      </c>
      <c r="B88446">
        <f>TEXT(88445, "[$-0E0000]yyyy-mm-dd")</f>
        <v/>
      </c>
    </row>
    <row r="88447">
      <c r="A88447" s="1" t="n">
        <v>88446</v>
      </c>
      <c r="B88447">
        <f>TEXT(88446, "[$-0E0000]yyyy-mm-dd")</f>
        <v/>
      </c>
    </row>
    <row r="88448">
      <c r="A88448" s="1" t="n">
        <v>88447</v>
      </c>
      <c r="B88448">
        <f>TEXT(88447, "[$-0E0000]yyyy-mm-dd")</f>
        <v/>
      </c>
    </row>
    <row r="88449">
      <c r="A88449" s="1" t="n">
        <v>88448</v>
      </c>
      <c r="B88449">
        <f>TEXT(88448, "[$-0E0000]yyyy-mm-dd")</f>
        <v/>
      </c>
    </row>
    <row r="88450">
      <c r="A88450" s="1" t="n">
        <v>88449</v>
      </c>
      <c r="B88450">
        <f>TEXT(88449, "[$-0E0000]yyyy-mm-dd")</f>
        <v/>
      </c>
    </row>
    <row r="88451">
      <c r="A88451" s="1" t="n">
        <v>88450</v>
      </c>
      <c r="B88451">
        <f>TEXT(88450, "[$-0E0000]yyyy-mm-dd")</f>
        <v/>
      </c>
    </row>
    <row r="88452">
      <c r="A88452" s="1" t="n">
        <v>88451</v>
      </c>
      <c r="B88452">
        <f>TEXT(88451, "[$-0E0000]yyyy-mm-dd")</f>
        <v/>
      </c>
    </row>
    <row r="88453">
      <c r="A88453" s="1" t="n">
        <v>88452</v>
      </c>
      <c r="B88453">
        <f>TEXT(88452, "[$-0E0000]yyyy-mm-dd")</f>
        <v/>
      </c>
    </row>
    <row r="88454">
      <c r="A88454" s="1" t="n">
        <v>88453</v>
      </c>
      <c r="B88454">
        <f>TEXT(88453, "[$-0E0000]yyyy-mm-dd")</f>
        <v/>
      </c>
    </row>
    <row r="88455">
      <c r="A88455" s="1" t="n">
        <v>88454</v>
      </c>
      <c r="B88455">
        <f>TEXT(88454, "[$-0E0000]yyyy-mm-dd")</f>
        <v/>
      </c>
    </row>
    <row r="88456">
      <c r="A88456" s="1" t="n">
        <v>88455</v>
      </c>
      <c r="B88456">
        <f>TEXT(88455, "[$-0E0000]yyyy-mm-dd")</f>
        <v/>
      </c>
    </row>
    <row r="88457">
      <c r="A88457" s="1" t="n">
        <v>88456</v>
      </c>
      <c r="B88457">
        <f>TEXT(88456, "[$-0E0000]yyyy-mm-dd")</f>
        <v/>
      </c>
    </row>
    <row r="88458">
      <c r="A88458" s="1" t="n">
        <v>88457</v>
      </c>
      <c r="B88458">
        <f>TEXT(88457, "[$-0E0000]yyyy-mm-dd")</f>
        <v/>
      </c>
    </row>
    <row r="88459">
      <c r="A88459" s="1" t="n">
        <v>88458</v>
      </c>
      <c r="B88459">
        <f>TEXT(88458, "[$-0E0000]yyyy-mm-dd")</f>
        <v/>
      </c>
    </row>
    <row r="88460">
      <c r="A88460" s="1" t="n">
        <v>88459</v>
      </c>
      <c r="B88460">
        <f>TEXT(88459, "[$-0E0000]yyyy-mm-dd")</f>
        <v/>
      </c>
    </row>
    <row r="88461">
      <c r="A88461" s="1" t="n">
        <v>88460</v>
      </c>
      <c r="B88461">
        <f>TEXT(88460, "[$-0E0000]yyyy-mm-dd")</f>
        <v/>
      </c>
    </row>
    <row r="88462">
      <c r="A88462" s="1" t="n">
        <v>88461</v>
      </c>
      <c r="B88462">
        <f>TEXT(88461, "[$-0E0000]yyyy-mm-dd")</f>
        <v/>
      </c>
    </row>
    <row r="88463">
      <c r="A88463" s="1" t="n">
        <v>88462</v>
      </c>
      <c r="B88463">
        <f>TEXT(88462, "[$-0E0000]yyyy-mm-dd")</f>
        <v/>
      </c>
    </row>
    <row r="88464">
      <c r="A88464" s="1" t="n">
        <v>88463</v>
      </c>
      <c r="B88464">
        <f>TEXT(88463, "[$-0E0000]yyyy-mm-dd")</f>
        <v/>
      </c>
    </row>
    <row r="88465">
      <c r="A88465" s="1" t="n">
        <v>88464</v>
      </c>
      <c r="B88465">
        <f>TEXT(88464, "[$-0E0000]yyyy-mm-dd")</f>
        <v/>
      </c>
    </row>
    <row r="88466">
      <c r="A88466" s="1" t="n">
        <v>88465</v>
      </c>
      <c r="B88466">
        <f>TEXT(88465, "[$-0E0000]yyyy-mm-dd")</f>
        <v/>
      </c>
    </row>
    <row r="88467">
      <c r="A88467" s="1" t="n">
        <v>88466</v>
      </c>
      <c r="B88467">
        <f>TEXT(88466, "[$-0E0000]yyyy-mm-dd")</f>
        <v/>
      </c>
    </row>
    <row r="88468">
      <c r="A88468" s="1" t="n">
        <v>88467</v>
      </c>
      <c r="B88468">
        <f>TEXT(88467, "[$-0E0000]yyyy-mm-dd")</f>
        <v/>
      </c>
    </row>
    <row r="88469">
      <c r="A88469" s="1" t="n">
        <v>88468</v>
      </c>
      <c r="B88469">
        <f>TEXT(88468, "[$-0E0000]yyyy-mm-dd")</f>
        <v/>
      </c>
    </row>
    <row r="88470">
      <c r="A88470" s="1" t="n">
        <v>88469</v>
      </c>
      <c r="B88470">
        <f>TEXT(88469, "[$-0E0000]yyyy-mm-dd")</f>
        <v/>
      </c>
    </row>
    <row r="88471">
      <c r="A88471" s="1" t="n">
        <v>88470</v>
      </c>
      <c r="B88471">
        <f>TEXT(88470, "[$-0E0000]yyyy-mm-dd")</f>
        <v/>
      </c>
    </row>
    <row r="88472">
      <c r="A88472" s="1" t="n">
        <v>88471</v>
      </c>
      <c r="B88472">
        <f>TEXT(88471, "[$-0E0000]yyyy-mm-dd")</f>
        <v/>
      </c>
    </row>
    <row r="88473">
      <c r="A88473" s="1" t="n">
        <v>88472</v>
      </c>
      <c r="B88473">
        <f>TEXT(88472, "[$-0E0000]yyyy-mm-dd")</f>
        <v/>
      </c>
    </row>
    <row r="88474">
      <c r="A88474" s="1" t="n">
        <v>88473</v>
      </c>
      <c r="B88474">
        <f>TEXT(88473, "[$-0E0000]yyyy-mm-dd")</f>
        <v/>
      </c>
    </row>
    <row r="88475">
      <c r="A88475" s="1" t="n">
        <v>88474</v>
      </c>
      <c r="B88475">
        <f>TEXT(88474, "[$-0E0000]yyyy-mm-dd")</f>
        <v/>
      </c>
    </row>
    <row r="88476">
      <c r="A88476" s="1" t="n">
        <v>88475</v>
      </c>
      <c r="B88476">
        <f>TEXT(88475, "[$-0E0000]yyyy-mm-dd")</f>
        <v/>
      </c>
    </row>
    <row r="88477">
      <c r="A88477" s="1" t="n">
        <v>88476</v>
      </c>
      <c r="B88477">
        <f>TEXT(88476, "[$-0E0000]yyyy-mm-dd")</f>
        <v/>
      </c>
    </row>
    <row r="88478">
      <c r="A88478" s="1" t="n">
        <v>88477</v>
      </c>
      <c r="B88478">
        <f>TEXT(88477, "[$-0E0000]yyyy-mm-dd")</f>
        <v/>
      </c>
    </row>
    <row r="88479">
      <c r="A88479" s="1" t="n">
        <v>88478</v>
      </c>
      <c r="B88479">
        <f>TEXT(88478, "[$-0E0000]yyyy-mm-dd")</f>
        <v/>
      </c>
    </row>
    <row r="88480">
      <c r="A88480" s="1" t="n">
        <v>88479</v>
      </c>
      <c r="B88480">
        <f>TEXT(88479, "[$-0E0000]yyyy-mm-dd")</f>
        <v/>
      </c>
    </row>
    <row r="88481">
      <c r="A88481" s="1" t="n">
        <v>88480</v>
      </c>
      <c r="B88481">
        <f>TEXT(88480, "[$-0E0000]yyyy-mm-dd")</f>
        <v/>
      </c>
    </row>
    <row r="88482">
      <c r="A88482" s="1" t="n">
        <v>88481</v>
      </c>
      <c r="B88482">
        <f>TEXT(88481, "[$-0E0000]yyyy-mm-dd")</f>
        <v/>
      </c>
    </row>
    <row r="88483">
      <c r="A88483" s="1" t="n">
        <v>88482</v>
      </c>
      <c r="B88483">
        <f>TEXT(88482, "[$-0E0000]yyyy-mm-dd")</f>
        <v/>
      </c>
    </row>
    <row r="88484">
      <c r="A88484" s="1" t="n">
        <v>88483</v>
      </c>
      <c r="B88484">
        <f>TEXT(88483, "[$-0E0000]yyyy-mm-dd")</f>
        <v/>
      </c>
    </row>
    <row r="88485">
      <c r="A88485" s="1" t="n">
        <v>88484</v>
      </c>
      <c r="B88485">
        <f>TEXT(88484, "[$-0E0000]yyyy-mm-dd")</f>
        <v/>
      </c>
    </row>
    <row r="88486">
      <c r="A88486" s="1" t="n">
        <v>88485</v>
      </c>
      <c r="B88486">
        <f>TEXT(88485, "[$-0E0000]yyyy-mm-dd")</f>
        <v/>
      </c>
    </row>
    <row r="88487">
      <c r="A88487" s="1" t="n">
        <v>88486</v>
      </c>
      <c r="B88487">
        <f>TEXT(88486, "[$-0E0000]yyyy-mm-dd")</f>
        <v/>
      </c>
    </row>
    <row r="88488">
      <c r="A88488" s="1" t="n">
        <v>88487</v>
      </c>
      <c r="B88488">
        <f>TEXT(88487, "[$-0E0000]yyyy-mm-dd")</f>
        <v/>
      </c>
    </row>
    <row r="88489">
      <c r="A88489" s="1" t="n">
        <v>88488</v>
      </c>
      <c r="B88489">
        <f>TEXT(88488, "[$-0E0000]yyyy-mm-dd")</f>
        <v/>
      </c>
    </row>
    <row r="88490">
      <c r="A88490" s="1" t="n">
        <v>88489</v>
      </c>
      <c r="B88490">
        <f>TEXT(88489, "[$-0E0000]yyyy-mm-dd")</f>
        <v/>
      </c>
    </row>
    <row r="88491">
      <c r="A88491" s="1" t="n">
        <v>88490</v>
      </c>
      <c r="B88491">
        <f>TEXT(88490, "[$-0E0000]yyyy-mm-dd")</f>
        <v/>
      </c>
    </row>
    <row r="88492">
      <c r="A88492" s="1" t="n">
        <v>88491</v>
      </c>
      <c r="B88492">
        <f>TEXT(88491, "[$-0E0000]yyyy-mm-dd")</f>
        <v/>
      </c>
    </row>
    <row r="88493">
      <c r="A88493" s="1" t="n">
        <v>88492</v>
      </c>
      <c r="B88493">
        <f>TEXT(88492, "[$-0E0000]yyyy-mm-dd")</f>
        <v/>
      </c>
    </row>
    <row r="88494">
      <c r="A88494" s="1" t="n">
        <v>88493</v>
      </c>
      <c r="B88494">
        <f>TEXT(88493, "[$-0E0000]yyyy-mm-dd")</f>
        <v/>
      </c>
    </row>
    <row r="88495">
      <c r="A88495" s="1" t="n">
        <v>88494</v>
      </c>
      <c r="B88495">
        <f>TEXT(88494, "[$-0E0000]yyyy-mm-dd")</f>
        <v/>
      </c>
    </row>
    <row r="88496">
      <c r="A88496" s="1" t="n">
        <v>88495</v>
      </c>
      <c r="B88496">
        <f>TEXT(88495, "[$-0E0000]yyyy-mm-dd")</f>
        <v/>
      </c>
    </row>
    <row r="88497">
      <c r="A88497" s="1" t="n">
        <v>88496</v>
      </c>
      <c r="B88497">
        <f>TEXT(88496, "[$-0E0000]yyyy-mm-dd")</f>
        <v/>
      </c>
    </row>
    <row r="88498">
      <c r="A88498" s="1" t="n">
        <v>88497</v>
      </c>
      <c r="B88498">
        <f>TEXT(88497, "[$-0E0000]yyyy-mm-dd")</f>
        <v/>
      </c>
    </row>
    <row r="88499">
      <c r="A88499" s="1" t="n">
        <v>88498</v>
      </c>
      <c r="B88499">
        <f>TEXT(88498, "[$-0E0000]yyyy-mm-dd")</f>
        <v/>
      </c>
    </row>
    <row r="88500">
      <c r="A88500" s="1" t="n">
        <v>88499</v>
      </c>
      <c r="B88500">
        <f>TEXT(88499, "[$-0E0000]yyyy-mm-dd")</f>
        <v/>
      </c>
    </row>
    <row r="88501">
      <c r="A88501" s="1" t="n">
        <v>88500</v>
      </c>
      <c r="B88501">
        <f>TEXT(88500, "[$-0E0000]yyyy-mm-dd")</f>
        <v/>
      </c>
    </row>
    <row r="88502">
      <c r="A88502" s="1" t="n">
        <v>88501</v>
      </c>
      <c r="B88502">
        <f>TEXT(88501, "[$-0E0000]yyyy-mm-dd")</f>
        <v/>
      </c>
    </row>
    <row r="88503">
      <c r="A88503" s="1" t="n">
        <v>88502</v>
      </c>
      <c r="B88503">
        <f>TEXT(88502, "[$-0E0000]yyyy-mm-dd")</f>
        <v/>
      </c>
    </row>
    <row r="88504">
      <c r="A88504" s="1" t="n">
        <v>88503</v>
      </c>
      <c r="B88504">
        <f>TEXT(88503, "[$-0E0000]yyyy-mm-dd")</f>
        <v/>
      </c>
    </row>
    <row r="88505">
      <c r="A88505" s="1" t="n">
        <v>88504</v>
      </c>
      <c r="B88505">
        <f>TEXT(88504, "[$-0E0000]yyyy-mm-dd")</f>
        <v/>
      </c>
    </row>
    <row r="88506">
      <c r="A88506" s="1" t="n">
        <v>88505</v>
      </c>
      <c r="B88506">
        <f>TEXT(88505, "[$-0E0000]yyyy-mm-dd")</f>
        <v/>
      </c>
    </row>
    <row r="88507">
      <c r="A88507" s="1" t="n">
        <v>88506</v>
      </c>
      <c r="B88507">
        <f>TEXT(88506, "[$-0E0000]yyyy-mm-dd")</f>
        <v/>
      </c>
    </row>
    <row r="88508">
      <c r="A88508" s="1" t="n">
        <v>88507</v>
      </c>
      <c r="B88508">
        <f>TEXT(88507, "[$-0E0000]yyyy-mm-dd")</f>
        <v/>
      </c>
    </row>
    <row r="88509">
      <c r="A88509" s="1" t="n">
        <v>88508</v>
      </c>
      <c r="B88509">
        <f>TEXT(88508, "[$-0E0000]yyyy-mm-dd")</f>
        <v/>
      </c>
    </row>
    <row r="88510">
      <c r="A88510" s="1" t="n">
        <v>88509</v>
      </c>
      <c r="B88510">
        <f>TEXT(88509, "[$-0E0000]yyyy-mm-dd")</f>
        <v/>
      </c>
    </row>
    <row r="88511">
      <c r="A88511" s="1" t="n">
        <v>88510</v>
      </c>
      <c r="B88511">
        <f>TEXT(88510, "[$-0E0000]yyyy-mm-dd")</f>
        <v/>
      </c>
    </row>
    <row r="88512">
      <c r="A88512" s="1" t="n">
        <v>88511</v>
      </c>
      <c r="B88512">
        <f>TEXT(88511, "[$-0E0000]yyyy-mm-dd")</f>
        <v/>
      </c>
    </row>
    <row r="88513">
      <c r="A88513" s="1" t="n">
        <v>88512</v>
      </c>
      <c r="B88513">
        <f>TEXT(88512, "[$-0E0000]yyyy-mm-dd")</f>
        <v/>
      </c>
    </row>
    <row r="88514">
      <c r="A88514" s="1" t="n">
        <v>88513</v>
      </c>
      <c r="B88514">
        <f>TEXT(88513, "[$-0E0000]yyyy-mm-dd")</f>
        <v/>
      </c>
    </row>
    <row r="88515">
      <c r="A88515" s="1" t="n">
        <v>88514</v>
      </c>
      <c r="B88515">
        <f>TEXT(88514, "[$-0E0000]yyyy-mm-dd")</f>
        <v/>
      </c>
    </row>
    <row r="88516">
      <c r="A88516" s="1" t="n">
        <v>88515</v>
      </c>
      <c r="B88516">
        <f>TEXT(88515, "[$-0E0000]yyyy-mm-dd")</f>
        <v/>
      </c>
    </row>
    <row r="88517">
      <c r="A88517" s="1" t="n">
        <v>88516</v>
      </c>
      <c r="B88517">
        <f>TEXT(88516, "[$-0E0000]yyyy-mm-dd")</f>
        <v/>
      </c>
    </row>
    <row r="88518">
      <c r="A88518" s="1" t="n">
        <v>88517</v>
      </c>
      <c r="B88518">
        <f>TEXT(88517, "[$-0E0000]yyyy-mm-dd")</f>
        <v/>
      </c>
    </row>
    <row r="88519">
      <c r="A88519" s="1" t="n">
        <v>88518</v>
      </c>
      <c r="B88519">
        <f>TEXT(88518, "[$-0E0000]yyyy-mm-dd")</f>
        <v/>
      </c>
    </row>
    <row r="88520">
      <c r="A88520" s="1" t="n">
        <v>88519</v>
      </c>
      <c r="B88520">
        <f>TEXT(88519, "[$-0E0000]yyyy-mm-dd")</f>
        <v/>
      </c>
    </row>
    <row r="88521">
      <c r="A88521" s="1" t="n">
        <v>88520</v>
      </c>
      <c r="B88521">
        <f>TEXT(88520, "[$-0E0000]yyyy-mm-dd")</f>
        <v/>
      </c>
    </row>
    <row r="88522">
      <c r="A88522" s="1" t="n">
        <v>88521</v>
      </c>
      <c r="B88522">
        <f>TEXT(88521, "[$-0E0000]yyyy-mm-dd")</f>
        <v/>
      </c>
    </row>
    <row r="88523">
      <c r="A88523" s="1" t="n">
        <v>88522</v>
      </c>
      <c r="B88523">
        <f>TEXT(88522, "[$-0E0000]yyyy-mm-dd")</f>
        <v/>
      </c>
    </row>
    <row r="88524">
      <c r="A88524" s="1" t="n">
        <v>88523</v>
      </c>
      <c r="B88524">
        <f>TEXT(88523, "[$-0E0000]yyyy-mm-dd")</f>
        <v/>
      </c>
    </row>
    <row r="88525">
      <c r="A88525" s="1" t="n">
        <v>88524</v>
      </c>
      <c r="B88525">
        <f>TEXT(88524, "[$-0E0000]yyyy-mm-dd")</f>
        <v/>
      </c>
    </row>
    <row r="88526">
      <c r="A88526" s="1" t="n">
        <v>88525</v>
      </c>
      <c r="B88526">
        <f>TEXT(88525, "[$-0E0000]yyyy-mm-dd")</f>
        <v/>
      </c>
    </row>
    <row r="88527">
      <c r="A88527" s="1" t="n">
        <v>88526</v>
      </c>
      <c r="B88527">
        <f>TEXT(88526, "[$-0E0000]yyyy-mm-dd")</f>
        <v/>
      </c>
    </row>
    <row r="88528">
      <c r="A88528" s="1" t="n">
        <v>88527</v>
      </c>
      <c r="B88528">
        <f>TEXT(88527, "[$-0E0000]yyyy-mm-dd")</f>
        <v/>
      </c>
    </row>
    <row r="88529">
      <c r="A88529" s="1" t="n">
        <v>88528</v>
      </c>
      <c r="B88529">
        <f>TEXT(88528, "[$-0E0000]yyyy-mm-dd")</f>
        <v/>
      </c>
    </row>
    <row r="88530">
      <c r="A88530" s="1" t="n">
        <v>88529</v>
      </c>
      <c r="B88530">
        <f>TEXT(88529, "[$-0E0000]yyyy-mm-dd")</f>
        <v/>
      </c>
    </row>
    <row r="88531">
      <c r="A88531" s="1" t="n">
        <v>88530</v>
      </c>
      <c r="B88531">
        <f>TEXT(88530, "[$-0E0000]yyyy-mm-dd")</f>
        <v/>
      </c>
    </row>
    <row r="88532">
      <c r="A88532" s="1" t="n">
        <v>88531</v>
      </c>
      <c r="B88532">
        <f>TEXT(88531, "[$-0E0000]yyyy-mm-dd")</f>
        <v/>
      </c>
    </row>
    <row r="88533">
      <c r="A88533" s="1" t="n">
        <v>88532</v>
      </c>
      <c r="B88533">
        <f>TEXT(88532, "[$-0E0000]yyyy-mm-dd")</f>
        <v/>
      </c>
    </row>
    <row r="88534">
      <c r="A88534" s="1" t="n">
        <v>88533</v>
      </c>
      <c r="B88534">
        <f>TEXT(88533, "[$-0E0000]yyyy-mm-dd")</f>
        <v/>
      </c>
    </row>
    <row r="88535">
      <c r="A88535" s="1" t="n">
        <v>88534</v>
      </c>
      <c r="B88535">
        <f>TEXT(88534, "[$-0E0000]yyyy-mm-dd")</f>
        <v/>
      </c>
    </row>
    <row r="88536">
      <c r="A88536" s="1" t="n">
        <v>88535</v>
      </c>
      <c r="B88536">
        <f>TEXT(88535, "[$-0E0000]yyyy-mm-dd")</f>
        <v/>
      </c>
    </row>
    <row r="88537">
      <c r="A88537" s="1" t="n">
        <v>88536</v>
      </c>
      <c r="B88537">
        <f>TEXT(88536, "[$-0E0000]yyyy-mm-dd")</f>
        <v/>
      </c>
    </row>
    <row r="88538">
      <c r="A88538" s="1" t="n">
        <v>88537</v>
      </c>
      <c r="B88538">
        <f>TEXT(88537, "[$-0E0000]yyyy-mm-dd")</f>
        <v/>
      </c>
    </row>
    <row r="88539">
      <c r="A88539" s="1" t="n">
        <v>88538</v>
      </c>
      <c r="B88539">
        <f>TEXT(88538, "[$-0E0000]yyyy-mm-dd")</f>
        <v/>
      </c>
    </row>
    <row r="88540">
      <c r="A88540" s="1" t="n">
        <v>88539</v>
      </c>
      <c r="B88540">
        <f>TEXT(88539, "[$-0E0000]yyyy-mm-dd")</f>
        <v/>
      </c>
    </row>
    <row r="88541">
      <c r="A88541" s="1" t="n">
        <v>88540</v>
      </c>
      <c r="B88541">
        <f>TEXT(88540, "[$-0E0000]yyyy-mm-dd")</f>
        <v/>
      </c>
    </row>
    <row r="88542">
      <c r="A88542" s="1" t="n">
        <v>88541</v>
      </c>
      <c r="B88542">
        <f>TEXT(88541, "[$-0E0000]yyyy-mm-dd")</f>
        <v/>
      </c>
    </row>
    <row r="88543">
      <c r="A88543" s="1" t="n">
        <v>88542</v>
      </c>
      <c r="B88543">
        <f>TEXT(88542, "[$-0E0000]yyyy-mm-dd")</f>
        <v/>
      </c>
    </row>
    <row r="88544">
      <c r="A88544" s="1" t="n">
        <v>88543</v>
      </c>
      <c r="B88544">
        <f>TEXT(88543, "[$-0E0000]yyyy-mm-dd")</f>
        <v/>
      </c>
    </row>
    <row r="88545">
      <c r="A88545" s="1" t="n">
        <v>88544</v>
      </c>
      <c r="B88545">
        <f>TEXT(88544, "[$-0E0000]yyyy-mm-dd")</f>
        <v/>
      </c>
    </row>
    <row r="88546">
      <c r="A88546" s="1" t="n">
        <v>88545</v>
      </c>
      <c r="B88546">
        <f>TEXT(88545, "[$-0E0000]yyyy-mm-dd")</f>
        <v/>
      </c>
    </row>
    <row r="88547">
      <c r="A88547" s="1" t="n">
        <v>88546</v>
      </c>
      <c r="B88547">
        <f>TEXT(88546, "[$-0E0000]yyyy-mm-dd")</f>
        <v/>
      </c>
    </row>
    <row r="88548">
      <c r="A88548" s="1" t="n">
        <v>88547</v>
      </c>
      <c r="B88548">
        <f>TEXT(88547, "[$-0E0000]yyyy-mm-dd")</f>
        <v/>
      </c>
    </row>
    <row r="88549">
      <c r="A88549" s="1" t="n">
        <v>88548</v>
      </c>
      <c r="B88549">
        <f>TEXT(88548, "[$-0E0000]yyyy-mm-dd")</f>
        <v/>
      </c>
    </row>
    <row r="88550">
      <c r="A88550" s="1" t="n">
        <v>88549</v>
      </c>
      <c r="B88550">
        <f>TEXT(88549, "[$-0E0000]yyyy-mm-dd")</f>
        <v/>
      </c>
    </row>
    <row r="88551">
      <c r="A88551" s="1" t="n">
        <v>88550</v>
      </c>
      <c r="B88551">
        <f>TEXT(88550, "[$-0E0000]yyyy-mm-dd")</f>
        <v/>
      </c>
    </row>
    <row r="88552">
      <c r="A88552" s="1" t="n">
        <v>88551</v>
      </c>
      <c r="B88552">
        <f>TEXT(88551, "[$-0E0000]yyyy-mm-dd")</f>
        <v/>
      </c>
    </row>
    <row r="88553">
      <c r="A88553" s="1" t="n">
        <v>88552</v>
      </c>
      <c r="B88553">
        <f>TEXT(88552, "[$-0E0000]yyyy-mm-dd")</f>
        <v/>
      </c>
    </row>
    <row r="88554">
      <c r="A88554" s="1" t="n">
        <v>88553</v>
      </c>
      <c r="B88554">
        <f>TEXT(88553, "[$-0E0000]yyyy-mm-dd")</f>
        <v/>
      </c>
    </row>
    <row r="88555">
      <c r="A88555" s="1" t="n">
        <v>88554</v>
      </c>
      <c r="B88555">
        <f>TEXT(88554, "[$-0E0000]yyyy-mm-dd")</f>
        <v/>
      </c>
    </row>
    <row r="88556">
      <c r="A88556" s="1" t="n">
        <v>88555</v>
      </c>
      <c r="B88556">
        <f>TEXT(88555, "[$-0E0000]yyyy-mm-dd")</f>
        <v/>
      </c>
    </row>
    <row r="88557">
      <c r="A88557" s="1" t="n">
        <v>88556</v>
      </c>
      <c r="B88557">
        <f>TEXT(88556, "[$-0E0000]yyyy-mm-dd")</f>
        <v/>
      </c>
    </row>
    <row r="88558">
      <c r="A88558" s="1" t="n">
        <v>88557</v>
      </c>
      <c r="B88558">
        <f>TEXT(88557, "[$-0E0000]yyyy-mm-dd")</f>
        <v/>
      </c>
    </row>
    <row r="88559">
      <c r="A88559" s="1" t="n">
        <v>88558</v>
      </c>
      <c r="B88559">
        <f>TEXT(88558, "[$-0E0000]yyyy-mm-dd")</f>
        <v/>
      </c>
    </row>
    <row r="88560">
      <c r="A88560" s="1" t="n">
        <v>88559</v>
      </c>
      <c r="B88560">
        <f>TEXT(88559, "[$-0E0000]yyyy-mm-dd")</f>
        <v/>
      </c>
    </row>
    <row r="88561">
      <c r="A88561" s="1" t="n">
        <v>88560</v>
      </c>
      <c r="B88561">
        <f>TEXT(88560, "[$-0E0000]yyyy-mm-dd")</f>
        <v/>
      </c>
    </row>
    <row r="88562">
      <c r="A88562" s="1" t="n">
        <v>88561</v>
      </c>
      <c r="B88562">
        <f>TEXT(88561, "[$-0E0000]yyyy-mm-dd")</f>
        <v/>
      </c>
    </row>
    <row r="88563">
      <c r="A88563" s="1" t="n">
        <v>88562</v>
      </c>
      <c r="B88563">
        <f>TEXT(88562, "[$-0E0000]yyyy-mm-dd")</f>
        <v/>
      </c>
    </row>
    <row r="88564">
      <c r="A88564" s="1" t="n">
        <v>88563</v>
      </c>
      <c r="B88564">
        <f>TEXT(88563, "[$-0E0000]yyyy-mm-dd")</f>
        <v/>
      </c>
    </row>
    <row r="88565">
      <c r="A88565" s="1" t="n">
        <v>88564</v>
      </c>
      <c r="B88565">
        <f>TEXT(88564, "[$-0E0000]yyyy-mm-dd")</f>
        <v/>
      </c>
    </row>
    <row r="88566">
      <c r="A88566" s="1" t="n">
        <v>88565</v>
      </c>
      <c r="B88566">
        <f>TEXT(88565, "[$-0E0000]yyyy-mm-dd")</f>
        <v/>
      </c>
    </row>
    <row r="88567">
      <c r="A88567" s="1" t="n">
        <v>88566</v>
      </c>
      <c r="B88567">
        <f>TEXT(88566, "[$-0E0000]yyyy-mm-dd")</f>
        <v/>
      </c>
    </row>
    <row r="88568">
      <c r="A88568" s="1" t="n">
        <v>88567</v>
      </c>
      <c r="B88568">
        <f>TEXT(88567, "[$-0E0000]yyyy-mm-dd")</f>
        <v/>
      </c>
    </row>
    <row r="88569">
      <c r="A88569" s="1" t="n">
        <v>88568</v>
      </c>
      <c r="B88569">
        <f>TEXT(88568, "[$-0E0000]yyyy-mm-dd")</f>
        <v/>
      </c>
    </row>
    <row r="88570">
      <c r="A88570" s="1" t="n">
        <v>88569</v>
      </c>
      <c r="B88570">
        <f>TEXT(88569, "[$-0E0000]yyyy-mm-dd")</f>
        <v/>
      </c>
    </row>
    <row r="88571">
      <c r="A88571" s="1" t="n">
        <v>88570</v>
      </c>
      <c r="B88571">
        <f>TEXT(88570, "[$-0E0000]yyyy-mm-dd")</f>
        <v/>
      </c>
    </row>
    <row r="88572">
      <c r="A88572" s="1" t="n">
        <v>88571</v>
      </c>
      <c r="B88572">
        <f>TEXT(88571, "[$-0E0000]yyyy-mm-dd")</f>
        <v/>
      </c>
    </row>
    <row r="88573">
      <c r="A88573" s="1" t="n">
        <v>88572</v>
      </c>
      <c r="B88573">
        <f>TEXT(88572, "[$-0E0000]yyyy-mm-dd")</f>
        <v/>
      </c>
    </row>
    <row r="88574">
      <c r="A88574" s="1" t="n">
        <v>88573</v>
      </c>
      <c r="B88574">
        <f>TEXT(88573, "[$-0E0000]yyyy-mm-dd")</f>
        <v/>
      </c>
    </row>
    <row r="88575">
      <c r="A88575" s="1" t="n">
        <v>88574</v>
      </c>
      <c r="B88575">
        <f>TEXT(88574, "[$-0E0000]yyyy-mm-dd")</f>
        <v/>
      </c>
    </row>
    <row r="88576">
      <c r="A88576" s="1" t="n">
        <v>88575</v>
      </c>
      <c r="B88576">
        <f>TEXT(88575, "[$-0E0000]yyyy-mm-dd")</f>
        <v/>
      </c>
    </row>
    <row r="88577">
      <c r="A88577" s="1" t="n">
        <v>88576</v>
      </c>
      <c r="B88577">
        <f>TEXT(88576, "[$-0E0000]yyyy-mm-dd")</f>
        <v/>
      </c>
    </row>
    <row r="88578">
      <c r="A88578" s="1" t="n">
        <v>88577</v>
      </c>
      <c r="B88578">
        <f>TEXT(88577, "[$-0E0000]yyyy-mm-dd")</f>
        <v/>
      </c>
    </row>
    <row r="88579">
      <c r="A88579" s="1" t="n">
        <v>88578</v>
      </c>
      <c r="B88579">
        <f>TEXT(88578, "[$-0E0000]yyyy-mm-dd")</f>
        <v/>
      </c>
    </row>
    <row r="88580">
      <c r="A88580" s="1" t="n">
        <v>88579</v>
      </c>
      <c r="B88580">
        <f>TEXT(88579, "[$-0E0000]yyyy-mm-dd")</f>
        <v/>
      </c>
    </row>
    <row r="88581">
      <c r="A88581" s="1" t="n">
        <v>88580</v>
      </c>
      <c r="B88581">
        <f>TEXT(88580, "[$-0E0000]yyyy-mm-dd")</f>
        <v/>
      </c>
    </row>
    <row r="88582">
      <c r="A88582" s="1" t="n">
        <v>88581</v>
      </c>
      <c r="B88582">
        <f>TEXT(88581, "[$-0E0000]yyyy-mm-dd")</f>
        <v/>
      </c>
    </row>
    <row r="88583">
      <c r="A88583" s="1" t="n">
        <v>88582</v>
      </c>
      <c r="B88583">
        <f>TEXT(88582, "[$-0E0000]yyyy-mm-dd")</f>
        <v/>
      </c>
    </row>
    <row r="88584">
      <c r="A88584" s="1" t="n">
        <v>88583</v>
      </c>
      <c r="B88584">
        <f>TEXT(88583, "[$-0E0000]yyyy-mm-dd")</f>
        <v/>
      </c>
    </row>
    <row r="88585">
      <c r="A88585" s="1" t="n">
        <v>88584</v>
      </c>
      <c r="B88585">
        <f>TEXT(88584, "[$-0E0000]yyyy-mm-dd")</f>
        <v/>
      </c>
    </row>
    <row r="88586">
      <c r="A88586" s="1" t="n">
        <v>88585</v>
      </c>
      <c r="B88586">
        <f>TEXT(88585, "[$-0E0000]yyyy-mm-dd")</f>
        <v/>
      </c>
    </row>
    <row r="88587">
      <c r="A88587" s="1" t="n">
        <v>88586</v>
      </c>
      <c r="B88587">
        <f>TEXT(88586, "[$-0E0000]yyyy-mm-dd")</f>
        <v/>
      </c>
    </row>
    <row r="88588">
      <c r="A88588" s="1" t="n">
        <v>88587</v>
      </c>
      <c r="B88588">
        <f>TEXT(88587, "[$-0E0000]yyyy-mm-dd")</f>
        <v/>
      </c>
    </row>
    <row r="88589">
      <c r="A88589" s="1" t="n">
        <v>88588</v>
      </c>
      <c r="B88589">
        <f>TEXT(88588, "[$-0E0000]yyyy-mm-dd")</f>
        <v/>
      </c>
    </row>
    <row r="88590">
      <c r="A88590" s="1" t="n">
        <v>88589</v>
      </c>
      <c r="B88590">
        <f>TEXT(88589, "[$-0E0000]yyyy-mm-dd")</f>
        <v/>
      </c>
    </row>
    <row r="88591">
      <c r="A88591" s="1" t="n">
        <v>88590</v>
      </c>
      <c r="B88591">
        <f>TEXT(88590, "[$-0E0000]yyyy-mm-dd")</f>
        <v/>
      </c>
    </row>
    <row r="88592">
      <c r="A88592" s="1" t="n">
        <v>88591</v>
      </c>
      <c r="B88592">
        <f>TEXT(88591, "[$-0E0000]yyyy-mm-dd")</f>
        <v/>
      </c>
    </row>
    <row r="88593">
      <c r="A88593" s="1" t="n">
        <v>88592</v>
      </c>
      <c r="B88593">
        <f>TEXT(88592, "[$-0E0000]yyyy-mm-dd")</f>
        <v/>
      </c>
    </row>
    <row r="88594">
      <c r="A88594" s="1" t="n">
        <v>88593</v>
      </c>
      <c r="B88594">
        <f>TEXT(88593, "[$-0E0000]yyyy-mm-dd")</f>
        <v/>
      </c>
    </row>
    <row r="88595">
      <c r="A88595" s="1" t="n">
        <v>88594</v>
      </c>
      <c r="B88595">
        <f>TEXT(88594, "[$-0E0000]yyyy-mm-dd")</f>
        <v/>
      </c>
    </row>
    <row r="88596">
      <c r="A88596" s="1" t="n">
        <v>88595</v>
      </c>
      <c r="B88596">
        <f>TEXT(88595, "[$-0E0000]yyyy-mm-dd")</f>
        <v/>
      </c>
    </row>
    <row r="88597">
      <c r="A88597" s="1" t="n">
        <v>88596</v>
      </c>
      <c r="B88597">
        <f>TEXT(88596, "[$-0E0000]yyyy-mm-dd")</f>
        <v/>
      </c>
    </row>
    <row r="88598">
      <c r="A88598" s="1" t="n">
        <v>88597</v>
      </c>
      <c r="B88598">
        <f>TEXT(88597, "[$-0E0000]yyyy-mm-dd")</f>
        <v/>
      </c>
    </row>
    <row r="88599">
      <c r="A88599" s="1" t="n">
        <v>88598</v>
      </c>
      <c r="B88599">
        <f>TEXT(88598, "[$-0E0000]yyyy-mm-dd")</f>
        <v/>
      </c>
    </row>
    <row r="88600">
      <c r="A88600" s="1" t="n">
        <v>88599</v>
      </c>
      <c r="B88600">
        <f>TEXT(88599, "[$-0E0000]yyyy-mm-dd")</f>
        <v/>
      </c>
    </row>
    <row r="88601">
      <c r="A88601" s="1" t="n">
        <v>88600</v>
      </c>
      <c r="B88601">
        <f>TEXT(88600, "[$-0E0000]yyyy-mm-dd")</f>
        <v/>
      </c>
    </row>
    <row r="88602">
      <c r="A88602" s="1" t="n">
        <v>88601</v>
      </c>
      <c r="B88602">
        <f>TEXT(88601, "[$-0E0000]yyyy-mm-dd")</f>
        <v/>
      </c>
    </row>
    <row r="88603">
      <c r="A88603" s="1" t="n">
        <v>88602</v>
      </c>
      <c r="B88603">
        <f>TEXT(88602, "[$-0E0000]yyyy-mm-dd")</f>
        <v/>
      </c>
    </row>
    <row r="88604">
      <c r="A88604" s="1" t="n">
        <v>88603</v>
      </c>
      <c r="B88604">
        <f>TEXT(88603, "[$-0E0000]yyyy-mm-dd")</f>
        <v/>
      </c>
    </row>
    <row r="88605">
      <c r="A88605" s="1" t="n">
        <v>88604</v>
      </c>
      <c r="B88605">
        <f>TEXT(88604, "[$-0E0000]yyyy-mm-dd")</f>
        <v/>
      </c>
    </row>
    <row r="88606">
      <c r="A88606" s="1" t="n">
        <v>88605</v>
      </c>
      <c r="B88606">
        <f>TEXT(88605, "[$-0E0000]yyyy-mm-dd")</f>
        <v/>
      </c>
    </row>
    <row r="88607">
      <c r="A88607" s="1" t="n">
        <v>88606</v>
      </c>
      <c r="B88607">
        <f>TEXT(88606, "[$-0E0000]yyyy-mm-dd")</f>
        <v/>
      </c>
    </row>
    <row r="88608">
      <c r="A88608" s="1" t="n">
        <v>88607</v>
      </c>
      <c r="B88608">
        <f>TEXT(88607, "[$-0E0000]yyyy-mm-dd")</f>
        <v/>
      </c>
    </row>
    <row r="88609">
      <c r="A88609" s="1" t="n">
        <v>88608</v>
      </c>
      <c r="B88609">
        <f>TEXT(88608, "[$-0E0000]yyyy-mm-dd")</f>
        <v/>
      </c>
    </row>
    <row r="88610">
      <c r="A88610" s="1" t="n">
        <v>88609</v>
      </c>
      <c r="B88610">
        <f>TEXT(88609, "[$-0E0000]yyyy-mm-dd")</f>
        <v/>
      </c>
    </row>
    <row r="88611">
      <c r="A88611" s="1" t="n">
        <v>88610</v>
      </c>
      <c r="B88611">
        <f>TEXT(88610, "[$-0E0000]yyyy-mm-dd")</f>
        <v/>
      </c>
    </row>
    <row r="88612">
      <c r="A88612" s="1" t="n">
        <v>88611</v>
      </c>
      <c r="B88612">
        <f>TEXT(88611, "[$-0E0000]yyyy-mm-dd")</f>
        <v/>
      </c>
    </row>
    <row r="88613">
      <c r="A88613" s="1" t="n">
        <v>88612</v>
      </c>
      <c r="B88613">
        <f>TEXT(88612, "[$-0E0000]yyyy-mm-dd")</f>
        <v/>
      </c>
    </row>
    <row r="88614">
      <c r="A88614" s="1" t="n">
        <v>88613</v>
      </c>
      <c r="B88614">
        <f>TEXT(88613, "[$-0E0000]yyyy-mm-dd")</f>
        <v/>
      </c>
    </row>
    <row r="88615">
      <c r="A88615" s="1" t="n">
        <v>88614</v>
      </c>
      <c r="B88615">
        <f>TEXT(88614, "[$-0E0000]yyyy-mm-dd")</f>
        <v/>
      </c>
    </row>
    <row r="88616">
      <c r="A88616" s="1" t="n">
        <v>88615</v>
      </c>
      <c r="B88616">
        <f>TEXT(88615, "[$-0E0000]yyyy-mm-dd")</f>
        <v/>
      </c>
    </row>
    <row r="88617">
      <c r="A88617" s="1" t="n">
        <v>88616</v>
      </c>
      <c r="B88617">
        <f>TEXT(88616, "[$-0E0000]yyyy-mm-dd")</f>
        <v/>
      </c>
    </row>
    <row r="88618">
      <c r="A88618" s="1" t="n">
        <v>88617</v>
      </c>
      <c r="B88618">
        <f>TEXT(88617, "[$-0E0000]yyyy-mm-dd")</f>
        <v/>
      </c>
    </row>
    <row r="88619">
      <c r="A88619" s="1" t="n">
        <v>88618</v>
      </c>
      <c r="B88619">
        <f>TEXT(88618, "[$-0E0000]yyyy-mm-dd")</f>
        <v/>
      </c>
    </row>
    <row r="88620">
      <c r="A88620" s="1" t="n">
        <v>88619</v>
      </c>
      <c r="B88620">
        <f>TEXT(88619, "[$-0E0000]yyyy-mm-dd")</f>
        <v/>
      </c>
    </row>
    <row r="88621">
      <c r="A88621" s="1" t="n">
        <v>88620</v>
      </c>
      <c r="B88621">
        <f>TEXT(88620, "[$-0E0000]yyyy-mm-dd")</f>
        <v/>
      </c>
    </row>
    <row r="88622">
      <c r="A88622" s="1" t="n">
        <v>88621</v>
      </c>
      <c r="B88622">
        <f>TEXT(88621, "[$-0E0000]yyyy-mm-dd")</f>
        <v/>
      </c>
    </row>
    <row r="88623">
      <c r="A88623" s="1" t="n">
        <v>88622</v>
      </c>
      <c r="B88623">
        <f>TEXT(88622, "[$-0E0000]yyyy-mm-dd")</f>
        <v/>
      </c>
    </row>
    <row r="88624">
      <c r="A88624" s="1" t="n">
        <v>88623</v>
      </c>
      <c r="B88624">
        <f>TEXT(88623, "[$-0E0000]yyyy-mm-dd")</f>
        <v/>
      </c>
    </row>
    <row r="88625">
      <c r="A88625" s="1" t="n">
        <v>88624</v>
      </c>
      <c r="B88625">
        <f>TEXT(88624, "[$-0E0000]yyyy-mm-dd")</f>
        <v/>
      </c>
    </row>
    <row r="88626">
      <c r="A88626" s="1" t="n">
        <v>88625</v>
      </c>
      <c r="B88626">
        <f>TEXT(88625, "[$-0E0000]yyyy-mm-dd")</f>
        <v/>
      </c>
    </row>
    <row r="88627">
      <c r="A88627" s="1" t="n">
        <v>88626</v>
      </c>
      <c r="B88627">
        <f>TEXT(88626, "[$-0E0000]yyyy-mm-dd")</f>
        <v/>
      </c>
    </row>
    <row r="88628">
      <c r="A88628" s="1" t="n">
        <v>88627</v>
      </c>
      <c r="B88628">
        <f>TEXT(88627, "[$-0E0000]yyyy-mm-dd")</f>
        <v/>
      </c>
    </row>
    <row r="88629">
      <c r="A88629" s="1" t="n">
        <v>88628</v>
      </c>
      <c r="B88629">
        <f>TEXT(88628, "[$-0E0000]yyyy-mm-dd")</f>
        <v/>
      </c>
    </row>
    <row r="88630">
      <c r="A88630" s="1" t="n">
        <v>88629</v>
      </c>
      <c r="B88630">
        <f>TEXT(88629, "[$-0E0000]yyyy-mm-dd")</f>
        <v/>
      </c>
    </row>
    <row r="88631">
      <c r="A88631" s="1" t="n">
        <v>88630</v>
      </c>
      <c r="B88631">
        <f>TEXT(88630, "[$-0E0000]yyyy-mm-dd")</f>
        <v/>
      </c>
    </row>
    <row r="88632">
      <c r="A88632" s="1" t="n">
        <v>88631</v>
      </c>
      <c r="B88632">
        <f>TEXT(88631, "[$-0E0000]yyyy-mm-dd")</f>
        <v/>
      </c>
    </row>
    <row r="88633">
      <c r="A88633" s="1" t="n">
        <v>88632</v>
      </c>
      <c r="B88633">
        <f>TEXT(88632, "[$-0E0000]yyyy-mm-dd")</f>
        <v/>
      </c>
    </row>
    <row r="88634">
      <c r="A88634" s="1" t="n">
        <v>88633</v>
      </c>
      <c r="B88634">
        <f>TEXT(88633, "[$-0E0000]yyyy-mm-dd")</f>
        <v/>
      </c>
    </row>
    <row r="88635">
      <c r="A88635" s="1" t="n">
        <v>88634</v>
      </c>
      <c r="B88635">
        <f>TEXT(88634, "[$-0E0000]yyyy-mm-dd")</f>
        <v/>
      </c>
    </row>
    <row r="88636">
      <c r="A88636" s="1" t="n">
        <v>88635</v>
      </c>
      <c r="B88636">
        <f>TEXT(88635, "[$-0E0000]yyyy-mm-dd")</f>
        <v/>
      </c>
    </row>
    <row r="88637">
      <c r="A88637" s="1" t="n">
        <v>88636</v>
      </c>
      <c r="B88637">
        <f>TEXT(88636, "[$-0E0000]yyyy-mm-dd")</f>
        <v/>
      </c>
    </row>
    <row r="88638">
      <c r="A88638" s="1" t="n">
        <v>88637</v>
      </c>
      <c r="B88638">
        <f>TEXT(88637, "[$-0E0000]yyyy-mm-dd")</f>
        <v/>
      </c>
    </row>
    <row r="88639">
      <c r="A88639" s="1" t="n">
        <v>88638</v>
      </c>
      <c r="B88639">
        <f>TEXT(88638, "[$-0E0000]yyyy-mm-dd")</f>
        <v/>
      </c>
    </row>
    <row r="88640">
      <c r="A88640" s="1" t="n">
        <v>88639</v>
      </c>
      <c r="B88640">
        <f>TEXT(88639, "[$-0E0000]yyyy-mm-dd")</f>
        <v/>
      </c>
    </row>
    <row r="88641">
      <c r="A88641" s="1" t="n">
        <v>88640</v>
      </c>
      <c r="B88641">
        <f>TEXT(88640, "[$-0E0000]yyyy-mm-dd")</f>
        <v/>
      </c>
    </row>
    <row r="88642">
      <c r="A88642" s="1" t="n">
        <v>88641</v>
      </c>
      <c r="B88642">
        <f>TEXT(88641, "[$-0E0000]yyyy-mm-dd")</f>
        <v/>
      </c>
    </row>
    <row r="88643">
      <c r="A88643" s="1" t="n">
        <v>88642</v>
      </c>
      <c r="B88643">
        <f>TEXT(88642, "[$-0E0000]yyyy-mm-dd")</f>
        <v/>
      </c>
    </row>
    <row r="88644">
      <c r="A88644" s="1" t="n">
        <v>88643</v>
      </c>
      <c r="B88644">
        <f>TEXT(88643, "[$-0E0000]yyyy-mm-dd")</f>
        <v/>
      </c>
    </row>
    <row r="88645">
      <c r="A88645" s="1" t="n">
        <v>88644</v>
      </c>
      <c r="B88645">
        <f>TEXT(88644, "[$-0E0000]yyyy-mm-dd")</f>
        <v/>
      </c>
    </row>
    <row r="88646">
      <c r="A88646" s="1" t="n">
        <v>88645</v>
      </c>
      <c r="B88646">
        <f>TEXT(88645, "[$-0E0000]yyyy-mm-dd")</f>
        <v/>
      </c>
    </row>
    <row r="88647">
      <c r="A88647" s="1" t="n">
        <v>88646</v>
      </c>
      <c r="B88647">
        <f>TEXT(88646, "[$-0E0000]yyyy-mm-dd")</f>
        <v/>
      </c>
    </row>
    <row r="88648">
      <c r="A88648" s="1" t="n">
        <v>88647</v>
      </c>
      <c r="B88648">
        <f>TEXT(88647, "[$-0E0000]yyyy-mm-dd")</f>
        <v/>
      </c>
    </row>
    <row r="88649">
      <c r="A88649" s="1" t="n">
        <v>88648</v>
      </c>
      <c r="B88649">
        <f>TEXT(88648, "[$-0E0000]yyyy-mm-dd")</f>
        <v/>
      </c>
    </row>
    <row r="88650">
      <c r="A88650" s="1" t="n">
        <v>88649</v>
      </c>
      <c r="B88650">
        <f>TEXT(88649, "[$-0E0000]yyyy-mm-dd")</f>
        <v/>
      </c>
    </row>
    <row r="88651">
      <c r="A88651" s="1" t="n">
        <v>88650</v>
      </c>
      <c r="B88651">
        <f>TEXT(88650, "[$-0E0000]yyyy-mm-dd")</f>
        <v/>
      </c>
    </row>
    <row r="88652">
      <c r="A88652" s="1" t="n">
        <v>88651</v>
      </c>
      <c r="B88652">
        <f>TEXT(88651, "[$-0E0000]yyyy-mm-dd")</f>
        <v/>
      </c>
    </row>
    <row r="88653">
      <c r="A88653" s="1" t="n">
        <v>88652</v>
      </c>
      <c r="B88653">
        <f>TEXT(88652, "[$-0E0000]yyyy-mm-dd")</f>
        <v/>
      </c>
    </row>
    <row r="88654">
      <c r="A88654" s="1" t="n">
        <v>88653</v>
      </c>
      <c r="B88654">
        <f>TEXT(88653, "[$-0E0000]yyyy-mm-dd")</f>
        <v/>
      </c>
    </row>
    <row r="88655">
      <c r="A88655" s="1" t="n">
        <v>88654</v>
      </c>
      <c r="B88655">
        <f>TEXT(88654, "[$-0E0000]yyyy-mm-dd")</f>
        <v/>
      </c>
    </row>
    <row r="88656">
      <c r="A88656" s="1" t="n">
        <v>88655</v>
      </c>
      <c r="B88656">
        <f>TEXT(88655, "[$-0E0000]yyyy-mm-dd")</f>
        <v/>
      </c>
    </row>
    <row r="88657">
      <c r="A88657" s="1" t="n">
        <v>88656</v>
      </c>
      <c r="B88657">
        <f>TEXT(88656, "[$-0E0000]yyyy-mm-dd")</f>
        <v/>
      </c>
    </row>
    <row r="88658">
      <c r="A88658" s="1" t="n">
        <v>88657</v>
      </c>
      <c r="B88658">
        <f>TEXT(88657, "[$-0E0000]yyyy-mm-dd")</f>
        <v/>
      </c>
    </row>
    <row r="88659">
      <c r="A88659" s="1" t="n">
        <v>88658</v>
      </c>
      <c r="B88659">
        <f>TEXT(88658, "[$-0E0000]yyyy-mm-dd")</f>
        <v/>
      </c>
    </row>
    <row r="88660">
      <c r="A88660" s="1" t="n">
        <v>88659</v>
      </c>
      <c r="B88660">
        <f>TEXT(88659, "[$-0E0000]yyyy-mm-dd")</f>
        <v/>
      </c>
    </row>
    <row r="88661">
      <c r="A88661" s="1" t="n">
        <v>88660</v>
      </c>
      <c r="B88661">
        <f>TEXT(88660, "[$-0E0000]yyyy-mm-dd")</f>
        <v/>
      </c>
    </row>
    <row r="88662">
      <c r="A88662" s="1" t="n">
        <v>88661</v>
      </c>
      <c r="B88662">
        <f>TEXT(88661, "[$-0E0000]yyyy-mm-dd")</f>
        <v/>
      </c>
    </row>
    <row r="88663">
      <c r="A88663" s="1" t="n">
        <v>88662</v>
      </c>
      <c r="B88663">
        <f>TEXT(88662, "[$-0E0000]yyyy-mm-dd")</f>
        <v/>
      </c>
    </row>
    <row r="88664">
      <c r="A88664" s="1" t="n">
        <v>88663</v>
      </c>
      <c r="B88664">
        <f>TEXT(88663, "[$-0E0000]yyyy-mm-dd")</f>
        <v/>
      </c>
    </row>
    <row r="88665">
      <c r="A88665" s="1" t="n">
        <v>88664</v>
      </c>
      <c r="B88665">
        <f>TEXT(88664, "[$-0E0000]yyyy-mm-dd")</f>
        <v/>
      </c>
    </row>
    <row r="88666">
      <c r="A88666" s="1" t="n">
        <v>88665</v>
      </c>
      <c r="B88666">
        <f>TEXT(88665, "[$-0E0000]yyyy-mm-dd")</f>
        <v/>
      </c>
    </row>
    <row r="88667">
      <c r="A88667" s="1" t="n">
        <v>88666</v>
      </c>
      <c r="B88667">
        <f>TEXT(88666, "[$-0E0000]yyyy-mm-dd")</f>
        <v/>
      </c>
    </row>
    <row r="88668">
      <c r="A88668" s="1" t="n">
        <v>88667</v>
      </c>
      <c r="B88668">
        <f>TEXT(88667, "[$-0E0000]yyyy-mm-dd")</f>
        <v/>
      </c>
    </row>
    <row r="88669">
      <c r="A88669" s="1" t="n">
        <v>88668</v>
      </c>
      <c r="B88669">
        <f>TEXT(88668, "[$-0E0000]yyyy-mm-dd")</f>
        <v/>
      </c>
    </row>
    <row r="88670">
      <c r="A88670" s="1" t="n">
        <v>88669</v>
      </c>
      <c r="B88670">
        <f>TEXT(88669, "[$-0E0000]yyyy-mm-dd")</f>
        <v/>
      </c>
    </row>
    <row r="88671">
      <c r="A88671" s="1" t="n">
        <v>88670</v>
      </c>
      <c r="B88671">
        <f>TEXT(88670, "[$-0E0000]yyyy-mm-dd")</f>
        <v/>
      </c>
    </row>
    <row r="88672">
      <c r="A88672" s="1" t="n">
        <v>88671</v>
      </c>
      <c r="B88672">
        <f>TEXT(88671, "[$-0E0000]yyyy-mm-dd")</f>
        <v/>
      </c>
    </row>
    <row r="88673">
      <c r="A88673" s="1" t="n">
        <v>88672</v>
      </c>
      <c r="B88673">
        <f>TEXT(88672, "[$-0E0000]yyyy-mm-dd")</f>
        <v/>
      </c>
    </row>
    <row r="88674">
      <c r="A88674" s="1" t="n">
        <v>88673</v>
      </c>
      <c r="B88674">
        <f>TEXT(88673, "[$-0E0000]yyyy-mm-dd")</f>
        <v/>
      </c>
    </row>
    <row r="88675">
      <c r="A88675" s="1" t="n">
        <v>88674</v>
      </c>
      <c r="B88675">
        <f>TEXT(88674, "[$-0E0000]yyyy-mm-dd")</f>
        <v/>
      </c>
    </row>
    <row r="88676">
      <c r="A88676" s="1" t="n">
        <v>88675</v>
      </c>
      <c r="B88676">
        <f>TEXT(88675, "[$-0E0000]yyyy-mm-dd")</f>
        <v/>
      </c>
    </row>
    <row r="88677">
      <c r="A88677" s="1" t="n">
        <v>88676</v>
      </c>
      <c r="B88677">
        <f>TEXT(88676, "[$-0E0000]yyyy-mm-dd")</f>
        <v/>
      </c>
    </row>
    <row r="88678">
      <c r="A88678" s="1" t="n">
        <v>88677</v>
      </c>
      <c r="B88678">
        <f>TEXT(88677, "[$-0E0000]yyyy-mm-dd")</f>
        <v/>
      </c>
    </row>
    <row r="88679">
      <c r="A88679" s="1" t="n">
        <v>88678</v>
      </c>
      <c r="B88679">
        <f>TEXT(88678, "[$-0E0000]yyyy-mm-dd")</f>
        <v/>
      </c>
    </row>
    <row r="88680">
      <c r="A88680" s="1" t="n">
        <v>88679</v>
      </c>
      <c r="B88680">
        <f>TEXT(88679, "[$-0E0000]yyyy-mm-dd")</f>
        <v/>
      </c>
    </row>
    <row r="88681">
      <c r="A88681" s="1" t="n">
        <v>88680</v>
      </c>
      <c r="B88681">
        <f>TEXT(88680, "[$-0E0000]yyyy-mm-dd")</f>
        <v/>
      </c>
    </row>
    <row r="88682">
      <c r="A88682" s="1" t="n">
        <v>88681</v>
      </c>
      <c r="B88682">
        <f>TEXT(88681, "[$-0E0000]yyyy-mm-dd")</f>
        <v/>
      </c>
    </row>
    <row r="88683">
      <c r="A88683" s="1" t="n">
        <v>88682</v>
      </c>
      <c r="B88683">
        <f>TEXT(88682, "[$-0E0000]yyyy-mm-dd")</f>
        <v/>
      </c>
    </row>
    <row r="88684">
      <c r="A88684" s="1" t="n">
        <v>88683</v>
      </c>
      <c r="B88684">
        <f>TEXT(88683, "[$-0E0000]yyyy-mm-dd")</f>
        <v/>
      </c>
    </row>
    <row r="88685">
      <c r="A88685" s="1" t="n">
        <v>88684</v>
      </c>
      <c r="B88685">
        <f>TEXT(88684, "[$-0E0000]yyyy-mm-dd")</f>
        <v/>
      </c>
    </row>
    <row r="88686">
      <c r="A88686" s="1" t="n">
        <v>88685</v>
      </c>
      <c r="B88686">
        <f>TEXT(88685, "[$-0E0000]yyyy-mm-dd")</f>
        <v/>
      </c>
    </row>
    <row r="88687">
      <c r="A88687" s="1" t="n">
        <v>88686</v>
      </c>
      <c r="B88687">
        <f>TEXT(88686, "[$-0E0000]yyyy-mm-dd")</f>
        <v/>
      </c>
    </row>
    <row r="88688">
      <c r="A88688" s="1" t="n">
        <v>88687</v>
      </c>
      <c r="B88688">
        <f>TEXT(88687, "[$-0E0000]yyyy-mm-dd")</f>
        <v/>
      </c>
    </row>
    <row r="88689">
      <c r="A88689" s="1" t="n">
        <v>88688</v>
      </c>
      <c r="B88689">
        <f>TEXT(88688, "[$-0E0000]yyyy-mm-dd")</f>
        <v/>
      </c>
    </row>
    <row r="88690">
      <c r="A88690" s="1" t="n">
        <v>88689</v>
      </c>
      <c r="B88690">
        <f>TEXT(88689, "[$-0E0000]yyyy-mm-dd")</f>
        <v/>
      </c>
    </row>
    <row r="88691">
      <c r="A88691" s="1" t="n">
        <v>88690</v>
      </c>
      <c r="B88691">
        <f>TEXT(88690, "[$-0E0000]yyyy-mm-dd")</f>
        <v/>
      </c>
    </row>
    <row r="88692">
      <c r="A88692" s="1" t="n">
        <v>88691</v>
      </c>
      <c r="B88692">
        <f>TEXT(88691, "[$-0E0000]yyyy-mm-dd")</f>
        <v/>
      </c>
    </row>
    <row r="88693">
      <c r="A88693" s="1" t="n">
        <v>88692</v>
      </c>
      <c r="B88693">
        <f>TEXT(88692, "[$-0E0000]yyyy-mm-dd")</f>
        <v/>
      </c>
    </row>
    <row r="88694">
      <c r="A88694" s="1" t="n">
        <v>88693</v>
      </c>
      <c r="B88694">
        <f>TEXT(88693, "[$-0E0000]yyyy-mm-dd")</f>
        <v/>
      </c>
    </row>
    <row r="88695">
      <c r="A88695" s="1" t="n">
        <v>88694</v>
      </c>
      <c r="B88695">
        <f>TEXT(88694, "[$-0E0000]yyyy-mm-dd")</f>
        <v/>
      </c>
    </row>
    <row r="88696">
      <c r="A88696" s="1" t="n">
        <v>88695</v>
      </c>
      <c r="B88696">
        <f>TEXT(88695, "[$-0E0000]yyyy-mm-dd")</f>
        <v/>
      </c>
    </row>
    <row r="88697">
      <c r="A88697" s="1" t="n">
        <v>88696</v>
      </c>
      <c r="B88697">
        <f>TEXT(88696, "[$-0E0000]yyyy-mm-dd")</f>
        <v/>
      </c>
    </row>
    <row r="88698">
      <c r="A88698" s="1" t="n">
        <v>88697</v>
      </c>
      <c r="B88698">
        <f>TEXT(88697, "[$-0E0000]yyyy-mm-dd")</f>
        <v/>
      </c>
    </row>
    <row r="88699">
      <c r="A88699" s="1" t="n">
        <v>88698</v>
      </c>
      <c r="B88699">
        <f>TEXT(88698, "[$-0E0000]yyyy-mm-dd")</f>
        <v/>
      </c>
    </row>
    <row r="88700">
      <c r="A88700" s="1" t="n">
        <v>88699</v>
      </c>
      <c r="B88700">
        <f>TEXT(88699, "[$-0E0000]yyyy-mm-dd")</f>
        <v/>
      </c>
    </row>
    <row r="88701">
      <c r="A88701" s="1" t="n">
        <v>88700</v>
      </c>
      <c r="B88701">
        <f>TEXT(88700, "[$-0E0000]yyyy-mm-dd")</f>
        <v/>
      </c>
    </row>
    <row r="88702">
      <c r="A88702" s="1" t="n">
        <v>88701</v>
      </c>
      <c r="B88702">
        <f>TEXT(88701, "[$-0E0000]yyyy-mm-dd")</f>
        <v/>
      </c>
    </row>
    <row r="88703">
      <c r="A88703" s="1" t="n">
        <v>88702</v>
      </c>
      <c r="B88703">
        <f>TEXT(88702, "[$-0E0000]yyyy-mm-dd")</f>
        <v/>
      </c>
    </row>
    <row r="88704">
      <c r="A88704" s="1" t="n">
        <v>88703</v>
      </c>
      <c r="B88704">
        <f>TEXT(88703, "[$-0E0000]yyyy-mm-dd")</f>
        <v/>
      </c>
    </row>
    <row r="88705">
      <c r="A88705" s="1" t="n">
        <v>88704</v>
      </c>
      <c r="B88705">
        <f>TEXT(88704, "[$-0E0000]yyyy-mm-dd")</f>
        <v/>
      </c>
    </row>
    <row r="88706">
      <c r="A88706" s="1" t="n">
        <v>88705</v>
      </c>
      <c r="B88706">
        <f>TEXT(88705, "[$-0E0000]yyyy-mm-dd")</f>
        <v/>
      </c>
    </row>
    <row r="88707">
      <c r="A88707" s="1" t="n">
        <v>88706</v>
      </c>
      <c r="B88707">
        <f>TEXT(88706, "[$-0E0000]yyyy-mm-dd")</f>
        <v/>
      </c>
    </row>
    <row r="88708">
      <c r="A88708" s="1" t="n">
        <v>88707</v>
      </c>
      <c r="B88708">
        <f>TEXT(88707, "[$-0E0000]yyyy-mm-dd")</f>
        <v/>
      </c>
    </row>
    <row r="88709">
      <c r="A88709" s="1" t="n">
        <v>88708</v>
      </c>
      <c r="B88709">
        <f>TEXT(88708, "[$-0E0000]yyyy-mm-dd")</f>
        <v/>
      </c>
    </row>
    <row r="88710">
      <c r="A88710" s="1" t="n">
        <v>88709</v>
      </c>
      <c r="B88710">
        <f>TEXT(88709, "[$-0E0000]yyyy-mm-dd")</f>
        <v/>
      </c>
    </row>
    <row r="88711">
      <c r="A88711" s="1" t="n">
        <v>88710</v>
      </c>
      <c r="B88711">
        <f>TEXT(88710, "[$-0E0000]yyyy-mm-dd")</f>
        <v/>
      </c>
    </row>
    <row r="88712">
      <c r="A88712" s="1" t="n">
        <v>88711</v>
      </c>
      <c r="B88712">
        <f>TEXT(88711, "[$-0E0000]yyyy-mm-dd")</f>
        <v/>
      </c>
    </row>
    <row r="88713">
      <c r="A88713" s="1" t="n">
        <v>88712</v>
      </c>
      <c r="B88713">
        <f>TEXT(88712, "[$-0E0000]yyyy-mm-dd")</f>
        <v/>
      </c>
    </row>
    <row r="88714">
      <c r="A88714" s="1" t="n">
        <v>88713</v>
      </c>
      <c r="B88714">
        <f>TEXT(88713, "[$-0E0000]yyyy-mm-dd")</f>
        <v/>
      </c>
    </row>
    <row r="88715">
      <c r="A88715" s="1" t="n">
        <v>88714</v>
      </c>
      <c r="B88715">
        <f>TEXT(88714, "[$-0E0000]yyyy-mm-dd")</f>
        <v/>
      </c>
    </row>
    <row r="88716">
      <c r="A88716" s="1" t="n">
        <v>88715</v>
      </c>
      <c r="B88716">
        <f>TEXT(88715, "[$-0E0000]yyyy-mm-dd")</f>
        <v/>
      </c>
    </row>
    <row r="88717">
      <c r="A88717" s="1" t="n">
        <v>88716</v>
      </c>
      <c r="B88717">
        <f>TEXT(88716, "[$-0E0000]yyyy-mm-dd")</f>
        <v/>
      </c>
    </row>
    <row r="88718">
      <c r="A88718" s="1" t="n">
        <v>88717</v>
      </c>
      <c r="B88718">
        <f>TEXT(88717, "[$-0E0000]yyyy-mm-dd")</f>
        <v/>
      </c>
    </row>
    <row r="88719">
      <c r="A88719" s="1" t="n">
        <v>88718</v>
      </c>
      <c r="B88719">
        <f>TEXT(88718, "[$-0E0000]yyyy-mm-dd")</f>
        <v/>
      </c>
    </row>
    <row r="88720">
      <c r="A88720" s="1" t="n">
        <v>88719</v>
      </c>
      <c r="B88720">
        <f>TEXT(88719, "[$-0E0000]yyyy-mm-dd")</f>
        <v/>
      </c>
    </row>
    <row r="88721">
      <c r="A88721" s="1" t="n">
        <v>88720</v>
      </c>
      <c r="B88721">
        <f>TEXT(88720, "[$-0E0000]yyyy-mm-dd")</f>
        <v/>
      </c>
    </row>
    <row r="88722">
      <c r="A88722" s="1" t="n">
        <v>88721</v>
      </c>
      <c r="B88722">
        <f>TEXT(88721, "[$-0E0000]yyyy-mm-dd")</f>
        <v/>
      </c>
    </row>
    <row r="88723">
      <c r="A88723" s="1" t="n">
        <v>88722</v>
      </c>
      <c r="B88723">
        <f>TEXT(88722, "[$-0E0000]yyyy-mm-dd")</f>
        <v/>
      </c>
    </row>
    <row r="88724">
      <c r="A88724" s="1" t="n">
        <v>88723</v>
      </c>
      <c r="B88724">
        <f>TEXT(88723, "[$-0E0000]yyyy-mm-dd")</f>
        <v/>
      </c>
    </row>
    <row r="88725">
      <c r="A88725" s="1" t="n">
        <v>88724</v>
      </c>
      <c r="B88725">
        <f>TEXT(88724, "[$-0E0000]yyyy-mm-dd")</f>
        <v/>
      </c>
    </row>
    <row r="88726">
      <c r="A88726" s="1" t="n">
        <v>88725</v>
      </c>
      <c r="B88726">
        <f>TEXT(88725, "[$-0E0000]yyyy-mm-dd")</f>
        <v/>
      </c>
    </row>
    <row r="88727">
      <c r="A88727" s="1" t="n">
        <v>88726</v>
      </c>
      <c r="B88727">
        <f>TEXT(88726, "[$-0E0000]yyyy-mm-dd")</f>
        <v/>
      </c>
    </row>
    <row r="88728">
      <c r="A88728" s="1" t="n">
        <v>88727</v>
      </c>
      <c r="B88728">
        <f>TEXT(88727, "[$-0E0000]yyyy-mm-dd")</f>
        <v/>
      </c>
    </row>
    <row r="88729">
      <c r="A88729" s="1" t="n">
        <v>88728</v>
      </c>
      <c r="B88729">
        <f>TEXT(88728, "[$-0E0000]yyyy-mm-dd")</f>
        <v/>
      </c>
    </row>
    <row r="88730">
      <c r="A88730" s="1" t="n">
        <v>88729</v>
      </c>
      <c r="B88730">
        <f>TEXT(88729, "[$-0E0000]yyyy-mm-dd")</f>
        <v/>
      </c>
    </row>
    <row r="88731">
      <c r="A88731" s="1" t="n">
        <v>88730</v>
      </c>
      <c r="B88731">
        <f>TEXT(88730, "[$-0E0000]yyyy-mm-dd")</f>
        <v/>
      </c>
    </row>
    <row r="88732">
      <c r="A88732" s="1" t="n">
        <v>88731</v>
      </c>
      <c r="B88732">
        <f>TEXT(88731, "[$-0E0000]yyyy-mm-dd")</f>
        <v/>
      </c>
    </row>
    <row r="88733">
      <c r="A88733" s="1" t="n">
        <v>88732</v>
      </c>
      <c r="B88733">
        <f>TEXT(88732, "[$-0E0000]yyyy-mm-dd")</f>
        <v/>
      </c>
    </row>
    <row r="88734">
      <c r="A88734" s="1" t="n">
        <v>88733</v>
      </c>
      <c r="B88734">
        <f>TEXT(88733, "[$-0E0000]yyyy-mm-dd")</f>
        <v/>
      </c>
    </row>
    <row r="88735">
      <c r="A88735" s="1" t="n">
        <v>88734</v>
      </c>
      <c r="B88735">
        <f>TEXT(88734, "[$-0E0000]yyyy-mm-dd")</f>
        <v/>
      </c>
    </row>
    <row r="88736">
      <c r="A88736" s="1" t="n">
        <v>88735</v>
      </c>
      <c r="B88736">
        <f>TEXT(88735, "[$-0E0000]yyyy-mm-dd")</f>
        <v/>
      </c>
    </row>
    <row r="88737">
      <c r="A88737" s="1" t="n">
        <v>88736</v>
      </c>
      <c r="B88737">
        <f>TEXT(88736, "[$-0E0000]yyyy-mm-dd")</f>
        <v/>
      </c>
    </row>
    <row r="88738">
      <c r="A88738" s="1" t="n">
        <v>88737</v>
      </c>
      <c r="B88738">
        <f>TEXT(88737, "[$-0E0000]yyyy-mm-dd")</f>
        <v/>
      </c>
    </row>
    <row r="88739">
      <c r="A88739" s="1" t="n">
        <v>88738</v>
      </c>
      <c r="B88739">
        <f>TEXT(88738, "[$-0E0000]yyyy-mm-dd")</f>
        <v/>
      </c>
    </row>
    <row r="88740">
      <c r="A88740" s="1" t="n">
        <v>88739</v>
      </c>
      <c r="B88740">
        <f>TEXT(88739, "[$-0E0000]yyyy-mm-dd")</f>
        <v/>
      </c>
    </row>
    <row r="88741">
      <c r="A88741" s="1" t="n">
        <v>88740</v>
      </c>
      <c r="B88741">
        <f>TEXT(88740, "[$-0E0000]yyyy-mm-dd")</f>
        <v/>
      </c>
    </row>
    <row r="88742">
      <c r="A88742" s="1" t="n">
        <v>88741</v>
      </c>
      <c r="B88742">
        <f>TEXT(88741, "[$-0E0000]yyyy-mm-dd")</f>
        <v/>
      </c>
    </row>
    <row r="88743">
      <c r="A88743" s="1" t="n">
        <v>88742</v>
      </c>
      <c r="B88743">
        <f>TEXT(88742, "[$-0E0000]yyyy-mm-dd")</f>
        <v/>
      </c>
    </row>
    <row r="88744">
      <c r="A88744" s="1" t="n">
        <v>88743</v>
      </c>
      <c r="B88744">
        <f>TEXT(88743, "[$-0E0000]yyyy-mm-dd")</f>
        <v/>
      </c>
    </row>
    <row r="88745">
      <c r="A88745" s="1" t="n">
        <v>88744</v>
      </c>
      <c r="B88745">
        <f>TEXT(88744, "[$-0E0000]yyyy-mm-dd")</f>
        <v/>
      </c>
    </row>
    <row r="88746">
      <c r="A88746" s="1" t="n">
        <v>88745</v>
      </c>
      <c r="B88746">
        <f>TEXT(88745, "[$-0E0000]yyyy-mm-dd")</f>
        <v/>
      </c>
    </row>
    <row r="88747">
      <c r="A88747" s="1" t="n">
        <v>88746</v>
      </c>
      <c r="B88747">
        <f>TEXT(88746, "[$-0E0000]yyyy-mm-dd")</f>
        <v/>
      </c>
    </row>
    <row r="88748">
      <c r="A88748" s="1" t="n">
        <v>88747</v>
      </c>
      <c r="B88748">
        <f>TEXT(88747, "[$-0E0000]yyyy-mm-dd")</f>
        <v/>
      </c>
    </row>
    <row r="88749">
      <c r="A88749" s="1" t="n">
        <v>88748</v>
      </c>
      <c r="B88749">
        <f>TEXT(88748, "[$-0E0000]yyyy-mm-dd")</f>
        <v/>
      </c>
    </row>
    <row r="88750">
      <c r="A88750" s="1" t="n">
        <v>88749</v>
      </c>
      <c r="B88750">
        <f>TEXT(88749, "[$-0E0000]yyyy-mm-dd")</f>
        <v/>
      </c>
    </row>
    <row r="88751">
      <c r="A88751" s="1" t="n">
        <v>88750</v>
      </c>
      <c r="B88751">
        <f>TEXT(88750, "[$-0E0000]yyyy-mm-dd")</f>
        <v/>
      </c>
    </row>
    <row r="88752">
      <c r="A88752" s="1" t="n">
        <v>88751</v>
      </c>
      <c r="B88752">
        <f>TEXT(88751, "[$-0E0000]yyyy-mm-dd")</f>
        <v/>
      </c>
    </row>
    <row r="88753">
      <c r="A88753" s="1" t="n">
        <v>88752</v>
      </c>
      <c r="B88753">
        <f>TEXT(88752, "[$-0E0000]yyyy-mm-dd")</f>
        <v/>
      </c>
    </row>
    <row r="88754">
      <c r="A88754" s="1" t="n">
        <v>88753</v>
      </c>
      <c r="B88754">
        <f>TEXT(88753, "[$-0E0000]yyyy-mm-dd")</f>
        <v/>
      </c>
    </row>
    <row r="88755">
      <c r="A88755" s="1" t="n">
        <v>88754</v>
      </c>
      <c r="B88755">
        <f>TEXT(88754, "[$-0E0000]yyyy-mm-dd")</f>
        <v/>
      </c>
    </row>
    <row r="88756">
      <c r="A88756" s="1" t="n">
        <v>88755</v>
      </c>
      <c r="B88756">
        <f>TEXT(88755, "[$-0E0000]yyyy-mm-dd")</f>
        <v/>
      </c>
    </row>
    <row r="88757">
      <c r="A88757" s="1" t="n">
        <v>88756</v>
      </c>
      <c r="B88757">
        <f>TEXT(88756, "[$-0E0000]yyyy-mm-dd")</f>
        <v/>
      </c>
    </row>
    <row r="88758">
      <c r="A88758" s="1" t="n">
        <v>88757</v>
      </c>
      <c r="B88758">
        <f>TEXT(88757, "[$-0E0000]yyyy-mm-dd")</f>
        <v/>
      </c>
    </row>
    <row r="88759">
      <c r="A88759" s="1" t="n">
        <v>88758</v>
      </c>
      <c r="B88759">
        <f>TEXT(88758, "[$-0E0000]yyyy-mm-dd")</f>
        <v/>
      </c>
    </row>
    <row r="88760">
      <c r="A88760" s="1" t="n">
        <v>88759</v>
      </c>
      <c r="B88760">
        <f>TEXT(88759, "[$-0E0000]yyyy-mm-dd")</f>
        <v/>
      </c>
    </row>
    <row r="88761">
      <c r="A88761" s="1" t="n">
        <v>88760</v>
      </c>
      <c r="B88761">
        <f>TEXT(88760, "[$-0E0000]yyyy-mm-dd")</f>
        <v/>
      </c>
    </row>
    <row r="88762">
      <c r="A88762" s="1" t="n">
        <v>88761</v>
      </c>
      <c r="B88762">
        <f>TEXT(88761, "[$-0E0000]yyyy-mm-dd")</f>
        <v/>
      </c>
    </row>
    <row r="88763">
      <c r="A88763" s="1" t="n">
        <v>88762</v>
      </c>
      <c r="B88763">
        <f>TEXT(88762, "[$-0E0000]yyyy-mm-dd")</f>
        <v/>
      </c>
    </row>
    <row r="88764">
      <c r="A88764" s="1" t="n">
        <v>88763</v>
      </c>
      <c r="B88764">
        <f>TEXT(88763, "[$-0E0000]yyyy-mm-dd")</f>
        <v/>
      </c>
    </row>
    <row r="88765">
      <c r="A88765" s="1" t="n">
        <v>88764</v>
      </c>
      <c r="B88765">
        <f>TEXT(88764, "[$-0E0000]yyyy-mm-dd")</f>
        <v/>
      </c>
    </row>
    <row r="88766">
      <c r="A88766" s="1" t="n">
        <v>88765</v>
      </c>
      <c r="B88766">
        <f>TEXT(88765, "[$-0E0000]yyyy-mm-dd")</f>
        <v/>
      </c>
    </row>
    <row r="88767">
      <c r="A88767" s="1" t="n">
        <v>88766</v>
      </c>
      <c r="B88767">
        <f>TEXT(88766, "[$-0E0000]yyyy-mm-dd")</f>
        <v/>
      </c>
    </row>
    <row r="88768">
      <c r="A88768" s="1" t="n">
        <v>88767</v>
      </c>
      <c r="B88768">
        <f>TEXT(88767, "[$-0E0000]yyyy-mm-dd")</f>
        <v/>
      </c>
    </row>
    <row r="88769">
      <c r="A88769" s="1" t="n">
        <v>88768</v>
      </c>
      <c r="B88769">
        <f>TEXT(88768, "[$-0E0000]yyyy-mm-dd")</f>
        <v/>
      </c>
    </row>
    <row r="88770">
      <c r="A88770" s="1" t="n">
        <v>88769</v>
      </c>
      <c r="B88770">
        <f>TEXT(88769, "[$-0E0000]yyyy-mm-dd")</f>
        <v/>
      </c>
    </row>
    <row r="88771">
      <c r="A88771" s="1" t="n">
        <v>88770</v>
      </c>
      <c r="B88771">
        <f>TEXT(88770, "[$-0E0000]yyyy-mm-dd")</f>
        <v/>
      </c>
    </row>
    <row r="88772">
      <c r="A88772" s="1" t="n">
        <v>88771</v>
      </c>
      <c r="B88772">
        <f>TEXT(88771, "[$-0E0000]yyyy-mm-dd")</f>
        <v/>
      </c>
    </row>
    <row r="88773">
      <c r="A88773" s="1" t="n">
        <v>88772</v>
      </c>
      <c r="B88773">
        <f>TEXT(88772, "[$-0E0000]yyyy-mm-dd")</f>
        <v/>
      </c>
    </row>
    <row r="88774">
      <c r="A88774" s="1" t="n">
        <v>88773</v>
      </c>
      <c r="B88774">
        <f>TEXT(88773, "[$-0E0000]yyyy-mm-dd")</f>
        <v/>
      </c>
    </row>
    <row r="88775">
      <c r="A88775" s="1" t="n">
        <v>88774</v>
      </c>
      <c r="B88775">
        <f>TEXT(88774, "[$-0E0000]yyyy-mm-dd")</f>
        <v/>
      </c>
    </row>
    <row r="88776">
      <c r="A88776" s="1" t="n">
        <v>88775</v>
      </c>
      <c r="B88776">
        <f>TEXT(88775, "[$-0E0000]yyyy-mm-dd")</f>
        <v/>
      </c>
    </row>
    <row r="88777">
      <c r="A88777" s="1" t="n">
        <v>88776</v>
      </c>
      <c r="B88777">
        <f>TEXT(88776, "[$-0E0000]yyyy-mm-dd")</f>
        <v/>
      </c>
    </row>
    <row r="88778">
      <c r="A88778" s="1" t="n">
        <v>88777</v>
      </c>
      <c r="B88778">
        <f>TEXT(88777, "[$-0E0000]yyyy-mm-dd")</f>
        <v/>
      </c>
    </row>
    <row r="88779">
      <c r="A88779" s="1" t="n">
        <v>88778</v>
      </c>
      <c r="B88779">
        <f>TEXT(88778, "[$-0E0000]yyyy-mm-dd")</f>
        <v/>
      </c>
    </row>
    <row r="88780">
      <c r="A88780" s="1" t="n">
        <v>88779</v>
      </c>
      <c r="B88780">
        <f>TEXT(88779, "[$-0E0000]yyyy-mm-dd")</f>
        <v/>
      </c>
    </row>
    <row r="88781">
      <c r="A88781" s="1" t="n">
        <v>88780</v>
      </c>
      <c r="B88781">
        <f>TEXT(88780, "[$-0E0000]yyyy-mm-dd")</f>
        <v/>
      </c>
    </row>
    <row r="88782">
      <c r="A88782" s="1" t="n">
        <v>88781</v>
      </c>
      <c r="B88782">
        <f>TEXT(88781, "[$-0E0000]yyyy-mm-dd")</f>
        <v/>
      </c>
    </row>
    <row r="88783">
      <c r="A88783" s="1" t="n">
        <v>88782</v>
      </c>
      <c r="B88783">
        <f>TEXT(88782, "[$-0E0000]yyyy-mm-dd")</f>
        <v/>
      </c>
    </row>
    <row r="88784">
      <c r="A88784" s="1" t="n">
        <v>88783</v>
      </c>
      <c r="B88784">
        <f>TEXT(88783, "[$-0E0000]yyyy-mm-dd")</f>
        <v/>
      </c>
    </row>
    <row r="88785">
      <c r="A88785" s="1" t="n">
        <v>88784</v>
      </c>
      <c r="B88785">
        <f>TEXT(88784, "[$-0E0000]yyyy-mm-dd")</f>
        <v/>
      </c>
    </row>
    <row r="88786">
      <c r="A88786" s="1" t="n">
        <v>88785</v>
      </c>
      <c r="B88786">
        <f>TEXT(88785, "[$-0E0000]yyyy-mm-dd")</f>
        <v/>
      </c>
    </row>
    <row r="88787">
      <c r="A88787" s="1" t="n">
        <v>88786</v>
      </c>
      <c r="B88787">
        <f>TEXT(88786, "[$-0E0000]yyyy-mm-dd")</f>
        <v/>
      </c>
    </row>
    <row r="88788">
      <c r="A88788" s="1" t="n">
        <v>88787</v>
      </c>
      <c r="B88788">
        <f>TEXT(88787, "[$-0E0000]yyyy-mm-dd")</f>
        <v/>
      </c>
    </row>
    <row r="88789">
      <c r="A88789" s="1" t="n">
        <v>88788</v>
      </c>
      <c r="B88789">
        <f>TEXT(88788, "[$-0E0000]yyyy-mm-dd")</f>
        <v/>
      </c>
    </row>
    <row r="88790">
      <c r="A88790" s="1" t="n">
        <v>88789</v>
      </c>
      <c r="B88790">
        <f>TEXT(88789, "[$-0E0000]yyyy-mm-dd")</f>
        <v/>
      </c>
    </row>
    <row r="88791">
      <c r="A88791" s="1" t="n">
        <v>88790</v>
      </c>
      <c r="B88791">
        <f>TEXT(88790, "[$-0E0000]yyyy-mm-dd")</f>
        <v/>
      </c>
    </row>
    <row r="88792">
      <c r="A88792" s="1" t="n">
        <v>88791</v>
      </c>
      <c r="B88792">
        <f>TEXT(88791, "[$-0E0000]yyyy-mm-dd")</f>
        <v/>
      </c>
    </row>
    <row r="88793">
      <c r="A88793" s="1" t="n">
        <v>88792</v>
      </c>
      <c r="B88793">
        <f>TEXT(88792, "[$-0E0000]yyyy-mm-dd")</f>
        <v/>
      </c>
    </row>
    <row r="88794">
      <c r="A88794" s="1" t="n">
        <v>88793</v>
      </c>
      <c r="B88794">
        <f>TEXT(88793, "[$-0E0000]yyyy-mm-dd")</f>
        <v/>
      </c>
    </row>
    <row r="88795">
      <c r="A88795" s="1" t="n">
        <v>88794</v>
      </c>
      <c r="B88795">
        <f>TEXT(88794, "[$-0E0000]yyyy-mm-dd")</f>
        <v/>
      </c>
    </row>
    <row r="88796">
      <c r="A88796" s="1" t="n">
        <v>88795</v>
      </c>
      <c r="B88796">
        <f>TEXT(88795, "[$-0E0000]yyyy-mm-dd")</f>
        <v/>
      </c>
    </row>
    <row r="88797">
      <c r="A88797" s="1" t="n">
        <v>88796</v>
      </c>
      <c r="B88797">
        <f>TEXT(88796, "[$-0E0000]yyyy-mm-dd")</f>
        <v/>
      </c>
    </row>
    <row r="88798">
      <c r="A88798" s="1" t="n">
        <v>88797</v>
      </c>
      <c r="B88798">
        <f>TEXT(88797, "[$-0E0000]yyyy-mm-dd")</f>
        <v/>
      </c>
    </row>
    <row r="88799">
      <c r="A88799" s="1" t="n">
        <v>88798</v>
      </c>
      <c r="B88799">
        <f>TEXT(88798, "[$-0E0000]yyyy-mm-dd")</f>
        <v/>
      </c>
    </row>
    <row r="88800">
      <c r="A88800" s="1" t="n">
        <v>88799</v>
      </c>
      <c r="B88800">
        <f>TEXT(88799, "[$-0E0000]yyyy-mm-dd")</f>
        <v/>
      </c>
    </row>
    <row r="88801">
      <c r="A88801" s="1" t="n">
        <v>88800</v>
      </c>
      <c r="B88801">
        <f>TEXT(88800, "[$-0E0000]yyyy-mm-dd")</f>
        <v/>
      </c>
    </row>
    <row r="88802">
      <c r="A88802" s="1" t="n">
        <v>88801</v>
      </c>
      <c r="B88802">
        <f>TEXT(88801, "[$-0E0000]yyyy-mm-dd")</f>
        <v/>
      </c>
    </row>
    <row r="88803">
      <c r="A88803" s="1" t="n">
        <v>88802</v>
      </c>
      <c r="B88803">
        <f>TEXT(88802, "[$-0E0000]yyyy-mm-dd")</f>
        <v/>
      </c>
    </row>
    <row r="88804">
      <c r="A88804" s="1" t="n">
        <v>88803</v>
      </c>
      <c r="B88804">
        <f>TEXT(88803, "[$-0E0000]yyyy-mm-dd")</f>
        <v/>
      </c>
    </row>
    <row r="88805">
      <c r="A88805" s="1" t="n">
        <v>88804</v>
      </c>
      <c r="B88805">
        <f>TEXT(88804, "[$-0E0000]yyyy-mm-dd")</f>
        <v/>
      </c>
    </row>
    <row r="88806">
      <c r="A88806" s="1" t="n">
        <v>88805</v>
      </c>
      <c r="B88806">
        <f>TEXT(88805, "[$-0E0000]yyyy-mm-dd")</f>
        <v/>
      </c>
    </row>
    <row r="88807">
      <c r="A88807" s="1" t="n">
        <v>88806</v>
      </c>
      <c r="B88807">
        <f>TEXT(88806, "[$-0E0000]yyyy-mm-dd")</f>
        <v/>
      </c>
    </row>
    <row r="88808">
      <c r="A88808" s="1" t="n">
        <v>88807</v>
      </c>
      <c r="B88808">
        <f>TEXT(88807, "[$-0E0000]yyyy-mm-dd")</f>
        <v/>
      </c>
    </row>
    <row r="88809">
      <c r="A88809" s="1" t="n">
        <v>88808</v>
      </c>
      <c r="B88809">
        <f>TEXT(88808, "[$-0E0000]yyyy-mm-dd")</f>
        <v/>
      </c>
    </row>
    <row r="88810">
      <c r="A88810" s="1" t="n">
        <v>88809</v>
      </c>
      <c r="B88810">
        <f>TEXT(88809, "[$-0E0000]yyyy-mm-dd")</f>
        <v/>
      </c>
    </row>
    <row r="88811">
      <c r="A88811" s="1" t="n">
        <v>88810</v>
      </c>
      <c r="B88811">
        <f>TEXT(88810, "[$-0E0000]yyyy-mm-dd")</f>
        <v/>
      </c>
    </row>
    <row r="88812">
      <c r="A88812" s="1" t="n">
        <v>88811</v>
      </c>
      <c r="B88812">
        <f>TEXT(88811, "[$-0E0000]yyyy-mm-dd")</f>
        <v/>
      </c>
    </row>
    <row r="88813">
      <c r="A88813" s="1" t="n">
        <v>88812</v>
      </c>
      <c r="B88813">
        <f>TEXT(88812, "[$-0E0000]yyyy-mm-dd")</f>
        <v/>
      </c>
    </row>
    <row r="88814">
      <c r="A88814" s="1" t="n">
        <v>88813</v>
      </c>
      <c r="B88814">
        <f>TEXT(88813, "[$-0E0000]yyyy-mm-dd")</f>
        <v/>
      </c>
    </row>
    <row r="88815">
      <c r="A88815" s="1" t="n">
        <v>88814</v>
      </c>
      <c r="B88815">
        <f>TEXT(88814, "[$-0E0000]yyyy-mm-dd")</f>
        <v/>
      </c>
    </row>
    <row r="88816">
      <c r="A88816" s="1" t="n">
        <v>88815</v>
      </c>
      <c r="B88816">
        <f>TEXT(88815, "[$-0E0000]yyyy-mm-dd")</f>
        <v/>
      </c>
    </row>
    <row r="88817">
      <c r="A88817" s="1" t="n">
        <v>88816</v>
      </c>
      <c r="B88817">
        <f>TEXT(88816, "[$-0E0000]yyyy-mm-dd")</f>
        <v/>
      </c>
    </row>
    <row r="88818">
      <c r="A88818" s="1" t="n">
        <v>88817</v>
      </c>
      <c r="B88818">
        <f>TEXT(88817, "[$-0E0000]yyyy-mm-dd")</f>
        <v/>
      </c>
    </row>
    <row r="88819">
      <c r="A88819" s="1" t="n">
        <v>88818</v>
      </c>
      <c r="B88819">
        <f>TEXT(88818, "[$-0E0000]yyyy-mm-dd")</f>
        <v/>
      </c>
    </row>
    <row r="88820">
      <c r="A88820" s="1" t="n">
        <v>88819</v>
      </c>
      <c r="B88820">
        <f>TEXT(88819, "[$-0E0000]yyyy-mm-dd")</f>
        <v/>
      </c>
    </row>
    <row r="88821">
      <c r="A88821" s="1" t="n">
        <v>88820</v>
      </c>
      <c r="B88821">
        <f>TEXT(88820, "[$-0E0000]yyyy-mm-dd")</f>
        <v/>
      </c>
    </row>
    <row r="88822">
      <c r="A88822" s="1" t="n">
        <v>88821</v>
      </c>
      <c r="B88822">
        <f>TEXT(88821, "[$-0E0000]yyyy-mm-dd")</f>
        <v/>
      </c>
    </row>
    <row r="88823">
      <c r="A88823" s="1" t="n">
        <v>88822</v>
      </c>
      <c r="B88823">
        <f>TEXT(88822, "[$-0E0000]yyyy-mm-dd")</f>
        <v/>
      </c>
    </row>
    <row r="88824">
      <c r="A88824" s="1" t="n">
        <v>88823</v>
      </c>
      <c r="B88824">
        <f>TEXT(88823, "[$-0E0000]yyyy-mm-dd")</f>
        <v/>
      </c>
    </row>
    <row r="88825">
      <c r="A88825" s="1" t="n">
        <v>88824</v>
      </c>
      <c r="B88825">
        <f>TEXT(88824, "[$-0E0000]yyyy-mm-dd")</f>
        <v/>
      </c>
    </row>
    <row r="88826">
      <c r="A88826" s="1" t="n">
        <v>88825</v>
      </c>
      <c r="B88826">
        <f>TEXT(88825, "[$-0E0000]yyyy-mm-dd")</f>
        <v/>
      </c>
    </row>
    <row r="88827">
      <c r="A88827" s="1" t="n">
        <v>88826</v>
      </c>
      <c r="B88827">
        <f>TEXT(88826, "[$-0E0000]yyyy-mm-dd")</f>
        <v/>
      </c>
    </row>
    <row r="88828">
      <c r="A88828" s="1" t="n">
        <v>88827</v>
      </c>
      <c r="B88828">
        <f>TEXT(88827, "[$-0E0000]yyyy-mm-dd")</f>
        <v/>
      </c>
    </row>
    <row r="88829">
      <c r="A88829" s="1" t="n">
        <v>88828</v>
      </c>
      <c r="B88829">
        <f>TEXT(88828, "[$-0E0000]yyyy-mm-dd")</f>
        <v/>
      </c>
    </row>
    <row r="88830">
      <c r="A88830" s="1" t="n">
        <v>88829</v>
      </c>
      <c r="B88830">
        <f>TEXT(88829, "[$-0E0000]yyyy-mm-dd")</f>
        <v/>
      </c>
    </row>
    <row r="88831">
      <c r="A88831" s="1" t="n">
        <v>88830</v>
      </c>
      <c r="B88831">
        <f>TEXT(88830, "[$-0E0000]yyyy-mm-dd")</f>
        <v/>
      </c>
    </row>
    <row r="88832">
      <c r="A88832" s="1" t="n">
        <v>88831</v>
      </c>
      <c r="B88832">
        <f>TEXT(88831, "[$-0E0000]yyyy-mm-dd")</f>
        <v/>
      </c>
    </row>
    <row r="88833">
      <c r="A88833" s="1" t="n">
        <v>88832</v>
      </c>
      <c r="B88833">
        <f>TEXT(88832, "[$-0E0000]yyyy-mm-dd")</f>
        <v/>
      </c>
    </row>
    <row r="88834">
      <c r="A88834" s="1" t="n">
        <v>88833</v>
      </c>
      <c r="B88834">
        <f>TEXT(88833, "[$-0E0000]yyyy-mm-dd")</f>
        <v/>
      </c>
    </row>
    <row r="88835">
      <c r="A88835" s="1" t="n">
        <v>88834</v>
      </c>
      <c r="B88835">
        <f>TEXT(88834, "[$-0E0000]yyyy-mm-dd")</f>
        <v/>
      </c>
    </row>
    <row r="88836">
      <c r="A88836" s="1" t="n">
        <v>88835</v>
      </c>
      <c r="B88836">
        <f>TEXT(88835, "[$-0E0000]yyyy-mm-dd")</f>
        <v/>
      </c>
    </row>
    <row r="88837">
      <c r="A88837" s="1" t="n">
        <v>88836</v>
      </c>
      <c r="B88837">
        <f>TEXT(88836, "[$-0E0000]yyyy-mm-dd")</f>
        <v/>
      </c>
    </row>
    <row r="88838">
      <c r="A88838" s="1" t="n">
        <v>88837</v>
      </c>
      <c r="B88838">
        <f>TEXT(88837, "[$-0E0000]yyyy-mm-dd")</f>
        <v/>
      </c>
    </row>
    <row r="88839">
      <c r="A88839" s="1" t="n">
        <v>88838</v>
      </c>
      <c r="B88839">
        <f>TEXT(88838, "[$-0E0000]yyyy-mm-dd")</f>
        <v/>
      </c>
    </row>
    <row r="88840">
      <c r="A88840" s="1" t="n">
        <v>88839</v>
      </c>
      <c r="B88840">
        <f>TEXT(88839, "[$-0E0000]yyyy-mm-dd")</f>
        <v/>
      </c>
    </row>
    <row r="88841">
      <c r="A88841" s="1" t="n">
        <v>88840</v>
      </c>
      <c r="B88841">
        <f>TEXT(88840, "[$-0E0000]yyyy-mm-dd")</f>
        <v/>
      </c>
    </row>
    <row r="88842">
      <c r="A88842" s="1" t="n">
        <v>88841</v>
      </c>
      <c r="B88842">
        <f>TEXT(88841, "[$-0E0000]yyyy-mm-dd")</f>
        <v/>
      </c>
    </row>
    <row r="88843">
      <c r="A88843" s="1" t="n">
        <v>88842</v>
      </c>
      <c r="B88843">
        <f>TEXT(88842, "[$-0E0000]yyyy-mm-dd")</f>
        <v/>
      </c>
    </row>
    <row r="88844">
      <c r="A88844" s="1" t="n">
        <v>88843</v>
      </c>
      <c r="B88844">
        <f>TEXT(88843, "[$-0E0000]yyyy-mm-dd")</f>
        <v/>
      </c>
    </row>
    <row r="88845">
      <c r="A88845" s="1" t="n">
        <v>88844</v>
      </c>
      <c r="B88845">
        <f>TEXT(88844, "[$-0E0000]yyyy-mm-dd")</f>
        <v/>
      </c>
    </row>
    <row r="88846">
      <c r="A88846" s="1" t="n">
        <v>88845</v>
      </c>
      <c r="B88846">
        <f>TEXT(88845, "[$-0E0000]yyyy-mm-dd")</f>
        <v/>
      </c>
    </row>
    <row r="88847">
      <c r="A88847" s="1" t="n">
        <v>88846</v>
      </c>
      <c r="B88847">
        <f>TEXT(88846, "[$-0E0000]yyyy-mm-dd")</f>
        <v/>
      </c>
    </row>
    <row r="88848">
      <c r="A88848" s="1" t="n">
        <v>88847</v>
      </c>
      <c r="B88848">
        <f>TEXT(88847, "[$-0E0000]yyyy-mm-dd")</f>
        <v/>
      </c>
    </row>
    <row r="88849">
      <c r="A88849" s="1" t="n">
        <v>88848</v>
      </c>
      <c r="B88849">
        <f>TEXT(88848, "[$-0E0000]yyyy-mm-dd")</f>
        <v/>
      </c>
    </row>
    <row r="88850">
      <c r="A88850" s="1" t="n">
        <v>88849</v>
      </c>
      <c r="B88850">
        <f>TEXT(88849, "[$-0E0000]yyyy-mm-dd")</f>
        <v/>
      </c>
    </row>
    <row r="88851">
      <c r="A88851" s="1" t="n">
        <v>88850</v>
      </c>
      <c r="B88851">
        <f>TEXT(88850, "[$-0E0000]yyyy-mm-dd")</f>
        <v/>
      </c>
    </row>
    <row r="88852">
      <c r="A88852" s="1" t="n">
        <v>88851</v>
      </c>
      <c r="B88852">
        <f>TEXT(88851, "[$-0E0000]yyyy-mm-dd")</f>
        <v/>
      </c>
    </row>
    <row r="88853">
      <c r="A88853" s="1" t="n">
        <v>88852</v>
      </c>
      <c r="B88853">
        <f>TEXT(88852, "[$-0E0000]yyyy-mm-dd")</f>
        <v/>
      </c>
    </row>
    <row r="88854">
      <c r="A88854" s="1" t="n">
        <v>88853</v>
      </c>
      <c r="B88854">
        <f>TEXT(88853, "[$-0E0000]yyyy-mm-dd")</f>
        <v/>
      </c>
    </row>
    <row r="88855">
      <c r="A88855" s="1" t="n">
        <v>88854</v>
      </c>
      <c r="B88855">
        <f>TEXT(88854, "[$-0E0000]yyyy-mm-dd")</f>
        <v/>
      </c>
    </row>
    <row r="88856">
      <c r="A88856" s="1" t="n">
        <v>88855</v>
      </c>
      <c r="B88856">
        <f>TEXT(88855, "[$-0E0000]yyyy-mm-dd")</f>
        <v/>
      </c>
    </row>
    <row r="88857">
      <c r="A88857" s="1" t="n">
        <v>88856</v>
      </c>
      <c r="B88857">
        <f>TEXT(88856, "[$-0E0000]yyyy-mm-dd")</f>
        <v/>
      </c>
    </row>
    <row r="88858">
      <c r="A88858" s="1" t="n">
        <v>88857</v>
      </c>
      <c r="B88858">
        <f>TEXT(88857, "[$-0E0000]yyyy-mm-dd")</f>
        <v/>
      </c>
    </row>
    <row r="88859">
      <c r="A88859" s="1" t="n">
        <v>88858</v>
      </c>
      <c r="B88859">
        <f>TEXT(88858, "[$-0E0000]yyyy-mm-dd")</f>
        <v/>
      </c>
    </row>
    <row r="88860">
      <c r="A88860" s="1" t="n">
        <v>88859</v>
      </c>
      <c r="B88860">
        <f>TEXT(88859, "[$-0E0000]yyyy-mm-dd")</f>
        <v/>
      </c>
    </row>
    <row r="88861">
      <c r="A88861" s="1" t="n">
        <v>88860</v>
      </c>
      <c r="B88861">
        <f>TEXT(88860, "[$-0E0000]yyyy-mm-dd")</f>
        <v/>
      </c>
    </row>
    <row r="88862">
      <c r="A88862" s="1" t="n">
        <v>88861</v>
      </c>
      <c r="B88862">
        <f>TEXT(88861, "[$-0E0000]yyyy-mm-dd")</f>
        <v/>
      </c>
    </row>
    <row r="88863">
      <c r="A88863" s="1" t="n">
        <v>88862</v>
      </c>
      <c r="B88863">
        <f>TEXT(88862, "[$-0E0000]yyyy-mm-dd")</f>
        <v/>
      </c>
    </row>
    <row r="88864">
      <c r="A88864" s="1" t="n">
        <v>88863</v>
      </c>
      <c r="B88864">
        <f>TEXT(88863, "[$-0E0000]yyyy-mm-dd")</f>
        <v/>
      </c>
    </row>
    <row r="88865">
      <c r="A88865" s="1" t="n">
        <v>88864</v>
      </c>
      <c r="B88865">
        <f>TEXT(88864, "[$-0E0000]yyyy-mm-dd")</f>
        <v/>
      </c>
    </row>
    <row r="88866">
      <c r="A88866" s="1" t="n">
        <v>88865</v>
      </c>
      <c r="B88866">
        <f>TEXT(88865, "[$-0E0000]yyyy-mm-dd")</f>
        <v/>
      </c>
    </row>
    <row r="88867">
      <c r="A88867" s="1" t="n">
        <v>88866</v>
      </c>
      <c r="B88867">
        <f>TEXT(88866, "[$-0E0000]yyyy-mm-dd")</f>
        <v/>
      </c>
    </row>
    <row r="88868">
      <c r="A88868" s="1" t="n">
        <v>88867</v>
      </c>
      <c r="B88868">
        <f>TEXT(88867, "[$-0E0000]yyyy-mm-dd")</f>
        <v/>
      </c>
    </row>
    <row r="88869">
      <c r="A88869" s="1" t="n">
        <v>88868</v>
      </c>
      <c r="B88869">
        <f>TEXT(88868, "[$-0E0000]yyyy-mm-dd")</f>
        <v/>
      </c>
    </row>
    <row r="88870">
      <c r="A88870" s="1" t="n">
        <v>88869</v>
      </c>
      <c r="B88870">
        <f>TEXT(88869, "[$-0E0000]yyyy-mm-dd")</f>
        <v/>
      </c>
    </row>
    <row r="88871">
      <c r="A88871" s="1" t="n">
        <v>88870</v>
      </c>
      <c r="B88871">
        <f>TEXT(88870, "[$-0E0000]yyyy-mm-dd")</f>
        <v/>
      </c>
    </row>
    <row r="88872">
      <c r="A88872" s="1" t="n">
        <v>88871</v>
      </c>
      <c r="B88872">
        <f>TEXT(88871, "[$-0E0000]yyyy-mm-dd")</f>
        <v/>
      </c>
    </row>
    <row r="88873">
      <c r="A88873" s="1" t="n">
        <v>88872</v>
      </c>
      <c r="B88873">
        <f>TEXT(88872, "[$-0E0000]yyyy-mm-dd")</f>
        <v/>
      </c>
    </row>
    <row r="88874">
      <c r="A88874" s="1" t="n">
        <v>88873</v>
      </c>
      <c r="B88874">
        <f>TEXT(88873, "[$-0E0000]yyyy-mm-dd")</f>
        <v/>
      </c>
    </row>
    <row r="88875">
      <c r="A88875" s="1" t="n">
        <v>88874</v>
      </c>
      <c r="B88875">
        <f>TEXT(88874, "[$-0E0000]yyyy-mm-dd")</f>
        <v/>
      </c>
    </row>
    <row r="88876">
      <c r="A88876" s="1" t="n">
        <v>88875</v>
      </c>
      <c r="B88876">
        <f>TEXT(88875, "[$-0E0000]yyyy-mm-dd")</f>
        <v/>
      </c>
    </row>
    <row r="88877">
      <c r="A88877" s="1" t="n">
        <v>88876</v>
      </c>
      <c r="B88877">
        <f>TEXT(88876, "[$-0E0000]yyyy-mm-dd")</f>
        <v/>
      </c>
    </row>
    <row r="88878">
      <c r="A88878" s="1" t="n">
        <v>88877</v>
      </c>
      <c r="B88878">
        <f>TEXT(88877, "[$-0E0000]yyyy-mm-dd")</f>
        <v/>
      </c>
    </row>
    <row r="88879">
      <c r="A88879" s="1" t="n">
        <v>88878</v>
      </c>
      <c r="B88879">
        <f>TEXT(88878, "[$-0E0000]yyyy-mm-dd")</f>
        <v/>
      </c>
    </row>
    <row r="88880">
      <c r="A88880" s="1" t="n">
        <v>88879</v>
      </c>
      <c r="B88880">
        <f>TEXT(88879, "[$-0E0000]yyyy-mm-dd")</f>
        <v/>
      </c>
    </row>
    <row r="88881">
      <c r="A88881" s="1" t="n">
        <v>88880</v>
      </c>
      <c r="B88881">
        <f>TEXT(88880, "[$-0E0000]yyyy-mm-dd")</f>
        <v/>
      </c>
    </row>
    <row r="88882">
      <c r="A88882" s="1" t="n">
        <v>88881</v>
      </c>
      <c r="B88882">
        <f>TEXT(88881, "[$-0E0000]yyyy-mm-dd")</f>
        <v/>
      </c>
    </row>
    <row r="88883">
      <c r="A88883" s="1" t="n">
        <v>88882</v>
      </c>
      <c r="B88883">
        <f>TEXT(88882, "[$-0E0000]yyyy-mm-dd")</f>
        <v/>
      </c>
    </row>
    <row r="88884">
      <c r="A88884" s="1" t="n">
        <v>88883</v>
      </c>
      <c r="B88884">
        <f>TEXT(88883, "[$-0E0000]yyyy-mm-dd")</f>
        <v/>
      </c>
    </row>
    <row r="88885">
      <c r="A88885" s="1" t="n">
        <v>88884</v>
      </c>
      <c r="B88885">
        <f>TEXT(88884, "[$-0E0000]yyyy-mm-dd")</f>
        <v/>
      </c>
    </row>
    <row r="88886">
      <c r="A88886" s="1" t="n">
        <v>88885</v>
      </c>
      <c r="B88886">
        <f>TEXT(88885, "[$-0E0000]yyyy-mm-dd")</f>
        <v/>
      </c>
    </row>
    <row r="88887">
      <c r="A88887" s="1" t="n">
        <v>88886</v>
      </c>
      <c r="B88887">
        <f>TEXT(88886, "[$-0E0000]yyyy-mm-dd")</f>
        <v/>
      </c>
    </row>
    <row r="88888">
      <c r="A88888" s="1" t="n">
        <v>88887</v>
      </c>
      <c r="B88888">
        <f>TEXT(88887, "[$-0E0000]yyyy-mm-dd")</f>
        <v/>
      </c>
    </row>
    <row r="88889">
      <c r="A88889" s="1" t="n">
        <v>88888</v>
      </c>
      <c r="B88889">
        <f>TEXT(88888, "[$-0E0000]yyyy-mm-dd")</f>
        <v/>
      </c>
    </row>
    <row r="88890">
      <c r="A88890" s="1" t="n">
        <v>88889</v>
      </c>
      <c r="B88890">
        <f>TEXT(88889, "[$-0E0000]yyyy-mm-dd")</f>
        <v/>
      </c>
    </row>
    <row r="88891">
      <c r="A88891" s="1" t="n">
        <v>88890</v>
      </c>
      <c r="B88891">
        <f>TEXT(88890, "[$-0E0000]yyyy-mm-dd")</f>
        <v/>
      </c>
    </row>
    <row r="88892">
      <c r="A88892" s="1" t="n">
        <v>88891</v>
      </c>
      <c r="B88892">
        <f>TEXT(88891, "[$-0E0000]yyyy-mm-dd")</f>
        <v/>
      </c>
    </row>
    <row r="88893">
      <c r="A88893" s="1" t="n">
        <v>88892</v>
      </c>
      <c r="B88893">
        <f>TEXT(88892, "[$-0E0000]yyyy-mm-dd")</f>
        <v/>
      </c>
    </row>
    <row r="88894">
      <c r="A88894" s="1" t="n">
        <v>88893</v>
      </c>
      <c r="B88894">
        <f>TEXT(88893, "[$-0E0000]yyyy-mm-dd")</f>
        <v/>
      </c>
    </row>
    <row r="88895">
      <c r="A88895" s="1" t="n">
        <v>88894</v>
      </c>
      <c r="B88895">
        <f>TEXT(88894, "[$-0E0000]yyyy-mm-dd")</f>
        <v/>
      </c>
    </row>
    <row r="88896">
      <c r="A88896" s="1" t="n">
        <v>88895</v>
      </c>
      <c r="B88896">
        <f>TEXT(88895, "[$-0E0000]yyyy-mm-dd")</f>
        <v/>
      </c>
    </row>
    <row r="88897">
      <c r="A88897" s="1" t="n">
        <v>88896</v>
      </c>
      <c r="B88897">
        <f>TEXT(88896, "[$-0E0000]yyyy-mm-dd")</f>
        <v/>
      </c>
    </row>
    <row r="88898">
      <c r="A88898" s="1" t="n">
        <v>88897</v>
      </c>
      <c r="B88898">
        <f>TEXT(88897, "[$-0E0000]yyyy-mm-dd")</f>
        <v/>
      </c>
    </row>
    <row r="88899">
      <c r="A88899" s="1" t="n">
        <v>88898</v>
      </c>
      <c r="B88899">
        <f>TEXT(88898, "[$-0E0000]yyyy-mm-dd")</f>
        <v/>
      </c>
    </row>
    <row r="88900">
      <c r="A88900" s="1" t="n">
        <v>88899</v>
      </c>
      <c r="B88900">
        <f>TEXT(88899, "[$-0E0000]yyyy-mm-dd")</f>
        <v/>
      </c>
    </row>
    <row r="88901">
      <c r="A88901" s="1" t="n">
        <v>88900</v>
      </c>
      <c r="B88901">
        <f>TEXT(88900, "[$-0E0000]yyyy-mm-dd")</f>
        <v/>
      </c>
    </row>
    <row r="88902">
      <c r="A88902" s="1" t="n">
        <v>88901</v>
      </c>
      <c r="B88902">
        <f>TEXT(88901, "[$-0E0000]yyyy-mm-dd")</f>
        <v/>
      </c>
    </row>
    <row r="88903">
      <c r="A88903" s="1" t="n">
        <v>88902</v>
      </c>
      <c r="B88903">
        <f>TEXT(88902, "[$-0E0000]yyyy-mm-dd")</f>
        <v/>
      </c>
    </row>
    <row r="88904">
      <c r="A88904" s="1" t="n">
        <v>88903</v>
      </c>
      <c r="B88904">
        <f>TEXT(88903, "[$-0E0000]yyyy-mm-dd")</f>
        <v/>
      </c>
    </row>
    <row r="88905">
      <c r="A88905" s="1" t="n">
        <v>88904</v>
      </c>
      <c r="B88905">
        <f>TEXT(88904, "[$-0E0000]yyyy-mm-dd")</f>
        <v/>
      </c>
    </row>
    <row r="88906">
      <c r="A88906" s="1" t="n">
        <v>88905</v>
      </c>
      <c r="B88906">
        <f>TEXT(88905, "[$-0E0000]yyyy-mm-dd")</f>
        <v/>
      </c>
    </row>
    <row r="88907">
      <c r="A88907" s="1" t="n">
        <v>88906</v>
      </c>
      <c r="B88907">
        <f>TEXT(88906, "[$-0E0000]yyyy-mm-dd")</f>
        <v/>
      </c>
    </row>
    <row r="88908">
      <c r="A88908" s="1" t="n">
        <v>88907</v>
      </c>
      <c r="B88908">
        <f>TEXT(88907, "[$-0E0000]yyyy-mm-dd")</f>
        <v/>
      </c>
    </row>
    <row r="88909">
      <c r="A88909" s="1" t="n">
        <v>88908</v>
      </c>
      <c r="B88909">
        <f>TEXT(88908, "[$-0E0000]yyyy-mm-dd")</f>
        <v/>
      </c>
    </row>
    <row r="88910">
      <c r="A88910" s="1" t="n">
        <v>88909</v>
      </c>
      <c r="B88910">
        <f>TEXT(88909, "[$-0E0000]yyyy-mm-dd")</f>
        <v/>
      </c>
    </row>
    <row r="88911">
      <c r="A88911" s="1" t="n">
        <v>88910</v>
      </c>
      <c r="B88911">
        <f>TEXT(88910, "[$-0E0000]yyyy-mm-dd")</f>
        <v/>
      </c>
    </row>
    <row r="88912">
      <c r="A88912" s="1" t="n">
        <v>88911</v>
      </c>
      <c r="B88912">
        <f>TEXT(88911, "[$-0E0000]yyyy-mm-dd")</f>
        <v/>
      </c>
    </row>
    <row r="88913">
      <c r="A88913" s="1" t="n">
        <v>88912</v>
      </c>
      <c r="B88913">
        <f>TEXT(88912, "[$-0E0000]yyyy-mm-dd")</f>
        <v/>
      </c>
    </row>
    <row r="88914">
      <c r="A88914" s="1" t="n">
        <v>88913</v>
      </c>
      <c r="B88914">
        <f>TEXT(88913, "[$-0E0000]yyyy-mm-dd")</f>
        <v/>
      </c>
    </row>
    <row r="88915">
      <c r="A88915" s="1" t="n">
        <v>88914</v>
      </c>
      <c r="B88915">
        <f>TEXT(88914, "[$-0E0000]yyyy-mm-dd")</f>
        <v/>
      </c>
    </row>
    <row r="88916">
      <c r="A88916" s="1" t="n">
        <v>88915</v>
      </c>
      <c r="B88916">
        <f>TEXT(88915, "[$-0E0000]yyyy-mm-dd")</f>
        <v/>
      </c>
    </row>
    <row r="88917">
      <c r="A88917" s="1" t="n">
        <v>88916</v>
      </c>
      <c r="B88917">
        <f>TEXT(88916, "[$-0E0000]yyyy-mm-dd")</f>
        <v/>
      </c>
    </row>
    <row r="88918">
      <c r="A88918" s="1" t="n">
        <v>88917</v>
      </c>
      <c r="B88918">
        <f>TEXT(88917, "[$-0E0000]yyyy-mm-dd")</f>
        <v/>
      </c>
    </row>
    <row r="88919">
      <c r="A88919" s="1" t="n">
        <v>88918</v>
      </c>
      <c r="B88919">
        <f>TEXT(88918, "[$-0E0000]yyyy-mm-dd")</f>
        <v/>
      </c>
    </row>
    <row r="88920">
      <c r="A88920" s="1" t="n">
        <v>88919</v>
      </c>
      <c r="B88920">
        <f>TEXT(88919, "[$-0E0000]yyyy-mm-dd")</f>
        <v/>
      </c>
    </row>
    <row r="88921">
      <c r="A88921" s="1" t="n">
        <v>88920</v>
      </c>
      <c r="B88921">
        <f>TEXT(88920, "[$-0E0000]yyyy-mm-dd")</f>
        <v/>
      </c>
    </row>
    <row r="88922">
      <c r="A88922" s="1" t="n">
        <v>88921</v>
      </c>
      <c r="B88922">
        <f>TEXT(88921, "[$-0E0000]yyyy-mm-dd")</f>
        <v/>
      </c>
    </row>
    <row r="88923">
      <c r="A88923" s="1" t="n">
        <v>88922</v>
      </c>
      <c r="B88923">
        <f>TEXT(88922, "[$-0E0000]yyyy-mm-dd")</f>
        <v/>
      </c>
    </row>
    <row r="88924">
      <c r="A88924" s="1" t="n">
        <v>88923</v>
      </c>
      <c r="B88924">
        <f>TEXT(88923, "[$-0E0000]yyyy-mm-dd")</f>
        <v/>
      </c>
    </row>
    <row r="88925">
      <c r="A88925" s="1" t="n">
        <v>88924</v>
      </c>
      <c r="B88925">
        <f>TEXT(88924, "[$-0E0000]yyyy-mm-dd")</f>
        <v/>
      </c>
    </row>
    <row r="88926">
      <c r="A88926" s="1" t="n">
        <v>88925</v>
      </c>
      <c r="B88926">
        <f>TEXT(88925, "[$-0E0000]yyyy-mm-dd")</f>
        <v/>
      </c>
    </row>
    <row r="88927">
      <c r="A88927" s="1" t="n">
        <v>88926</v>
      </c>
      <c r="B88927">
        <f>TEXT(88926, "[$-0E0000]yyyy-mm-dd")</f>
        <v/>
      </c>
    </row>
    <row r="88928">
      <c r="A88928" s="1" t="n">
        <v>88927</v>
      </c>
      <c r="B88928">
        <f>TEXT(88927, "[$-0E0000]yyyy-mm-dd")</f>
        <v/>
      </c>
    </row>
    <row r="88929">
      <c r="A88929" s="1" t="n">
        <v>88928</v>
      </c>
      <c r="B88929">
        <f>TEXT(88928, "[$-0E0000]yyyy-mm-dd")</f>
        <v/>
      </c>
    </row>
    <row r="88930">
      <c r="A88930" s="1" t="n">
        <v>88929</v>
      </c>
      <c r="B88930">
        <f>TEXT(88929, "[$-0E0000]yyyy-mm-dd")</f>
        <v/>
      </c>
    </row>
    <row r="88931">
      <c r="A88931" s="1" t="n">
        <v>88930</v>
      </c>
      <c r="B88931">
        <f>TEXT(88930, "[$-0E0000]yyyy-mm-dd")</f>
        <v/>
      </c>
    </row>
    <row r="88932">
      <c r="A88932" s="1" t="n">
        <v>88931</v>
      </c>
      <c r="B88932">
        <f>TEXT(88931, "[$-0E0000]yyyy-mm-dd")</f>
        <v/>
      </c>
    </row>
    <row r="88933">
      <c r="A88933" s="1" t="n">
        <v>88932</v>
      </c>
      <c r="B88933">
        <f>TEXT(88932, "[$-0E0000]yyyy-mm-dd")</f>
        <v/>
      </c>
    </row>
    <row r="88934">
      <c r="A88934" s="1" t="n">
        <v>88933</v>
      </c>
      <c r="B88934">
        <f>TEXT(88933, "[$-0E0000]yyyy-mm-dd")</f>
        <v/>
      </c>
    </row>
    <row r="88935">
      <c r="A88935" s="1" t="n">
        <v>88934</v>
      </c>
      <c r="B88935">
        <f>TEXT(88934, "[$-0E0000]yyyy-mm-dd")</f>
        <v/>
      </c>
    </row>
    <row r="88936">
      <c r="A88936" s="1" t="n">
        <v>88935</v>
      </c>
      <c r="B88936">
        <f>TEXT(88935, "[$-0E0000]yyyy-mm-dd")</f>
        <v/>
      </c>
    </row>
    <row r="88937">
      <c r="A88937" s="1" t="n">
        <v>88936</v>
      </c>
      <c r="B88937">
        <f>TEXT(88936, "[$-0E0000]yyyy-mm-dd")</f>
        <v/>
      </c>
    </row>
    <row r="88938">
      <c r="A88938" s="1" t="n">
        <v>88937</v>
      </c>
      <c r="B88938">
        <f>TEXT(88937, "[$-0E0000]yyyy-mm-dd")</f>
        <v/>
      </c>
    </row>
    <row r="88939">
      <c r="A88939" s="1" t="n">
        <v>88938</v>
      </c>
      <c r="B88939">
        <f>TEXT(88938, "[$-0E0000]yyyy-mm-dd")</f>
        <v/>
      </c>
    </row>
    <row r="88940">
      <c r="A88940" s="1" t="n">
        <v>88939</v>
      </c>
      <c r="B88940">
        <f>TEXT(88939, "[$-0E0000]yyyy-mm-dd")</f>
        <v/>
      </c>
    </row>
    <row r="88941">
      <c r="A88941" s="1" t="n">
        <v>88940</v>
      </c>
      <c r="B88941">
        <f>TEXT(88940, "[$-0E0000]yyyy-mm-dd")</f>
        <v/>
      </c>
    </row>
    <row r="88942">
      <c r="A88942" s="1" t="n">
        <v>88941</v>
      </c>
      <c r="B88942">
        <f>TEXT(88941, "[$-0E0000]yyyy-mm-dd")</f>
        <v/>
      </c>
    </row>
    <row r="88943">
      <c r="A88943" s="1" t="n">
        <v>88942</v>
      </c>
      <c r="B88943">
        <f>TEXT(88942, "[$-0E0000]yyyy-mm-dd")</f>
        <v/>
      </c>
    </row>
    <row r="88944">
      <c r="A88944" s="1" t="n">
        <v>88943</v>
      </c>
      <c r="B88944">
        <f>TEXT(88943, "[$-0E0000]yyyy-mm-dd")</f>
        <v/>
      </c>
    </row>
    <row r="88945">
      <c r="A88945" s="1" t="n">
        <v>88944</v>
      </c>
      <c r="B88945">
        <f>TEXT(88944, "[$-0E0000]yyyy-mm-dd")</f>
        <v/>
      </c>
    </row>
    <row r="88946">
      <c r="A88946" s="1" t="n">
        <v>88945</v>
      </c>
      <c r="B88946">
        <f>TEXT(88945, "[$-0E0000]yyyy-mm-dd")</f>
        <v/>
      </c>
    </row>
    <row r="88947">
      <c r="A88947" s="1" t="n">
        <v>88946</v>
      </c>
      <c r="B88947">
        <f>TEXT(88946, "[$-0E0000]yyyy-mm-dd")</f>
        <v/>
      </c>
    </row>
    <row r="88948">
      <c r="A88948" s="1" t="n">
        <v>88947</v>
      </c>
      <c r="B88948">
        <f>TEXT(88947, "[$-0E0000]yyyy-mm-dd")</f>
        <v/>
      </c>
    </row>
    <row r="88949">
      <c r="A88949" s="1" t="n">
        <v>88948</v>
      </c>
      <c r="B88949">
        <f>TEXT(88948, "[$-0E0000]yyyy-mm-dd")</f>
        <v/>
      </c>
    </row>
    <row r="88950">
      <c r="A88950" s="1" t="n">
        <v>88949</v>
      </c>
      <c r="B88950">
        <f>TEXT(88949, "[$-0E0000]yyyy-mm-dd")</f>
        <v/>
      </c>
    </row>
    <row r="88951">
      <c r="A88951" s="1" t="n">
        <v>88950</v>
      </c>
      <c r="B88951">
        <f>TEXT(88950, "[$-0E0000]yyyy-mm-dd")</f>
        <v/>
      </c>
    </row>
    <row r="88952">
      <c r="A88952" s="1" t="n">
        <v>88951</v>
      </c>
      <c r="B88952">
        <f>TEXT(88951, "[$-0E0000]yyyy-mm-dd")</f>
        <v/>
      </c>
    </row>
    <row r="88953">
      <c r="A88953" s="1" t="n">
        <v>88952</v>
      </c>
      <c r="B88953">
        <f>TEXT(88952, "[$-0E0000]yyyy-mm-dd")</f>
        <v/>
      </c>
    </row>
    <row r="88954">
      <c r="A88954" s="1" t="n">
        <v>88953</v>
      </c>
      <c r="B88954">
        <f>TEXT(88953, "[$-0E0000]yyyy-mm-dd")</f>
        <v/>
      </c>
    </row>
    <row r="88955">
      <c r="A88955" s="1" t="n">
        <v>88954</v>
      </c>
      <c r="B88955">
        <f>TEXT(88954, "[$-0E0000]yyyy-mm-dd")</f>
        <v/>
      </c>
    </row>
    <row r="88956">
      <c r="A88956" s="1" t="n">
        <v>88955</v>
      </c>
      <c r="B88956">
        <f>TEXT(88955, "[$-0E0000]yyyy-mm-dd")</f>
        <v/>
      </c>
    </row>
    <row r="88957">
      <c r="A88957" s="1" t="n">
        <v>88956</v>
      </c>
      <c r="B88957">
        <f>TEXT(88956, "[$-0E0000]yyyy-mm-dd")</f>
        <v/>
      </c>
    </row>
    <row r="88958">
      <c r="A88958" s="1" t="n">
        <v>88957</v>
      </c>
      <c r="B88958">
        <f>TEXT(88957, "[$-0E0000]yyyy-mm-dd")</f>
        <v/>
      </c>
    </row>
    <row r="88959">
      <c r="A88959" s="1" t="n">
        <v>88958</v>
      </c>
      <c r="B88959">
        <f>TEXT(88958, "[$-0E0000]yyyy-mm-dd")</f>
        <v/>
      </c>
    </row>
    <row r="88960">
      <c r="A88960" s="1" t="n">
        <v>88959</v>
      </c>
      <c r="B88960">
        <f>TEXT(88959, "[$-0E0000]yyyy-mm-dd")</f>
        <v/>
      </c>
    </row>
    <row r="88961">
      <c r="A88961" s="1" t="n">
        <v>88960</v>
      </c>
      <c r="B88961">
        <f>TEXT(88960, "[$-0E0000]yyyy-mm-dd")</f>
        <v/>
      </c>
    </row>
    <row r="88962">
      <c r="A88962" s="1" t="n">
        <v>88961</v>
      </c>
      <c r="B88962">
        <f>TEXT(88961, "[$-0E0000]yyyy-mm-dd")</f>
        <v/>
      </c>
    </row>
    <row r="88963">
      <c r="A88963" s="1" t="n">
        <v>88962</v>
      </c>
      <c r="B88963">
        <f>TEXT(88962, "[$-0E0000]yyyy-mm-dd")</f>
        <v/>
      </c>
    </row>
    <row r="88964">
      <c r="A88964" s="1" t="n">
        <v>88963</v>
      </c>
      <c r="B88964">
        <f>TEXT(88963, "[$-0E0000]yyyy-mm-dd")</f>
        <v/>
      </c>
    </row>
    <row r="88965">
      <c r="A88965" s="1" t="n">
        <v>88964</v>
      </c>
      <c r="B88965">
        <f>TEXT(88964, "[$-0E0000]yyyy-mm-dd")</f>
        <v/>
      </c>
    </row>
    <row r="88966">
      <c r="A88966" s="1" t="n">
        <v>88965</v>
      </c>
      <c r="B88966">
        <f>TEXT(88965, "[$-0E0000]yyyy-mm-dd")</f>
        <v/>
      </c>
    </row>
    <row r="88967">
      <c r="A88967" s="1" t="n">
        <v>88966</v>
      </c>
      <c r="B88967">
        <f>TEXT(88966, "[$-0E0000]yyyy-mm-dd")</f>
        <v/>
      </c>
    </row>
    <row r="88968">
      <c r="A88968" s="1" t="n">
        <v>88967</v>
      </c>
      <c r="B88968">
        <f>TEXT(88967, "[$-0E0000]yyyy-mm-dd")</f>
        <v/>
      </c>
    </row>
    <row r="88969">
      <c r="A88969" s="1" t="n">
        <v>88968</v>
      </c>
      <c r="B88969">
        <f>TEXT(88968, "[$-0E0000]yyyy-mm-dd")</f>
        <v/>
      </c>
    </row>
    <row r="88970">
      <c r="A88970" s="1" t="n">
        <v>88969</v>
      </c>
      <c r="B88970">
        <f>TEXT(88969, "[$-0E0000]yyyy-mm-dd")</f>
        <v/>
      </c>
    </row>
    <row r="88971">
      <c r="A88971" s="1" t="n">
        <v>88970</v>
      </c>
      <c r="B88971">
        <f>TEXT(88970, "[$-0E0000]yyyy-mm-dd")</f>
        <v/>
      </c>
    </row>
    <row r="88972">
      <c r="A88972" s="1" t="n">
        <v>88971</v>
      </c>
      <c r="B88972">
        <f>TEXT(88971, "[$-0E0000]yyyy-mm-dd")</f>
        <v/>
      </c>
    </row>
    <row r="88973">
      <c r="A88973" s="1" t="n">
        <v>88972</v>
      </c>
      <c r="B88973">
        <f>TEXT(88972, "[$-0E0000]yyyy-mm-dd")</f>
        <v/>
      </c>
    </row>
    <row r="88974">
      <c r="A88974" s="1" t="n">
        <v>88973</v>
      </c>
      <c r="B88974">
        <f>TEXT(88973, "[$-0E0000]yyyy-mm-dd")</f>
        <v/>
      </c>
    </row>
    <row r="88975">
      <c r="A88975" s="1" t="n">
        <v>88974</v>
      </c>
      <c r="B88975">
        <f>TEXT(88974, "[$-0E0000]yyyy-mm-dd")</f>
        <v/>
      </c>
    </row>
    <row r="88976">
      <c r="A88976" s="1" t="n">
        <v>88975</v>
      </c>
      <c r="B88976">
        <f>TEXT(88975, "[$-0E0000]yyyy-mm-dd")</f>
        <v/>
      </c>
    </row>
    <row r="88977">
      <c r="A88977" s="1" t="n">
        <v>88976</v>
      </c>
      <c r="B88977">
        <f>TEXT(88976, "[$-0E0000]yyyy-mm-dd")</f>
        <v/>
      </c>
    </row>
    <row r="88978">
      <c r="A88978" s="1" t="n">
        <v>88977</v>
      </c>
      <c r="B88978">
        <f>TEXT(88977, "[$-0E0000]yyyy-mm-dd")</f>
        <v/>
      </c>
    </row>
    <row r="88979">
      <c r="A88979" s="1" t="n">
        <v>88978</v>
      </c>
      <c r="B88979">
        <f>TEXT(88978, "[$-0E0000]yyyy-mm-dd")</f>
        <v/>
      </c>
    </row>
    <row r="88980">
      <c r="A88980" s="1" t="n">
        <v>88979</v>
      </c>
      <c r="B88980">
        <f>TEXT(88979, "[$-0E0000]yyyy-mm-dd")</f>
        <v/>
      </c>
    </row>
    <row r="88981">
      <c r="A88981" s="1" t="n">
        <v>88980</v>
      </c>
      <c r="B88981">
        <f>TEXT(88980, "[$-0E0000]yyyy-mm-dd")</f>
        <v/>
      </c>
    </row>
    <row r="88982">
      <c r="A88982" s="1" t="n">
        <v>88981</v>
      </c>
      <c r="B88982">
        <f>TEXT(88981, "[$-0E0000]yyyy-mm-dd")</f>
        <v/>
      </c>
    </row>
    <row r="88983">
      <c r="A88983" s="1" t="n">
        <v>88982</v>
      </c>
      <c r="B88983">
        <f>TEXT(88982, "[$-0E0000]yyyy-mm-dd")</f>
        <v/>
      </c>
    </row>
    <row r="88984">
      <c r="A88984" s="1" t="n">
        <v>88983</v>
      </c>
      <c r="B88984">
        <f>TEXT(88983, "[$-0E0000]yyyy-mm-dd")</f>
        <v/>
      </c>
    </row>
    <row r="88985">
      <c r="A88985" s="1" t="n">
        <v>88984</v>
      </c>
      <c r="B88985">
        <f>TEXT(88984, "[$-0E0000]yyyy-mm-dd")</f>
        <v/>
      </c>
    </row>
    <row r="88986">
      <c r="A88986" s="1" t="n">
        <v>88985</v>
      </c>
      <c r="B88986">
        <f>TEXT(88985, "[$-0E0000]yyyy-mm-dd")</f>
        <v/>
      </c>
    </row>
    <row r="88987">
      <c r="A88987" s="1" t="n">
        <v>88986</v>
      </c>
      <c r="B88987">
        <f>TEXT(88986, "[$-0E0000]yyyy-mm-dd")</f>
        <v/>
      </c>
    </row>
    <row r="88988">
      <c r="A88988" s="1" t="n">
        <v>88987</v>
      </c>
      <c r="B88988">
        <f>TEXT(88987, "[$-0E0000]yyyy-mm-dd")</f>
        <v/>
      </c>
    </row>
    <row r="88989">
      <c r="A88989" s="1" t="n">
        <v>88988</v>
      </c>
      <c r="B88989">
        <f>TEXT(88988, "[$-0E0000]yyyy-mm-dd")</f>
        <v/>
      </c>
    </row>
    <row r="88990">
      <c r="A88990" s="1" t="n">
        <v>88989</v>
      </c>
      <c r="B88990">
        <f>TEXT(88989, "[$-0E0000]yyyy-mm-dd")</f>
        <v/>
      </c>
    </row>
    <row r="88991">
      <c r="A88991" s="1" t="n">
        <v>88990</v>
      </c>
      <c r="B88991">
        <f>TEXT(88990, "[$-0E0000]yyyy-mm-dd")</f>
        <v/>
      </c>
    </row>
    <row r="88992">
      <c r="A88992" s="1" t="n">
        <v>88991</v>
      </c>
      <c r="B88992">
        <f>TEXT(88991, "[$-0E0000]yyyy-mm-dd")</f>
        <v/>
      </c>
    </row>
    <row r="88993">
      <c r="A88993" s="1" t="n">
        <v>88992</v>
      </c>
      <c r="B88993">
        <f>TEXT(88992, "[$-0E0000]yyyy-mm-dd")</f>
        <v/>
      </c>
    </row>
    <row r="88994">
      <c r="A88994" s="1" t="n">
        <v>88993</v>
      </c>
      <c r="B88994">
        <f>TEXT(88993, "[$-0E0000]yyyy-mm-dd")</f>
        <v/>
      </c>
    </row>
    <row r="88995">
      <c r="A88995" s="1" t="n">
        <v>88994</v>
      </c>
      <c r="B88995">
        <f>TEXT(88994, "[$-0E0000]yyyy-mm-dd")</f>
        <v/>
      </c>
    </row>
    <row r="88996">
      <c r="A88996" s="1" t="n">
        <v>88995</v>
      </c>
      <c r="B88996">
        <f>TEXT(88995, "[$-0E0000]yyyy-mm-dd")</f>
        <v/>
      </c>
    </row>
    <row r="88997">
      <c r="A88997" s="1" t="n">
        <v>88996</v>
      </c>
      <c r="B88997">
        <f>TEXT(88996, "[$-0E0000]yyyy-mm-dd")</f>
        <v/>
      </c>
    </row>
    <row r="88998">
      <c r="A88998" s="1" t="n">
        <v>88997</v>
      </c>
      <c r="B88998">
        <f>TEXT(88997, "[$-0E0000]yyyy-mm-dd")</f>
        <v/>
      </c>
    </row>
    <row r="88999">
      <c r="A88999" s="1" t="n">
        <v>88998</v>
      </c>
      <c r="B88999">
        <f>TEXT(88998, "[$-0E0000]yyyy-mm-dd")</f>
        <v/>
      </c>
    </row>
    <row r="89000">
      <c r="A89000" s="1" t="n">
        <v>88999</v>
      </c>
      <c r="B89000">
        <f>TEXT(88999, "[$-0E0000]yyyy-mm-dd")</f>
        <v/>
      </c>
    </row>
    <row r="89001">
      <c r="A89001" s="1" t="n">
        <v>89000</v>
      </c>
      <c r="B89001">
        <f>TEXT(89000, "[$-0E0000]yyyy-mm-dd")</f>
        <v/>
      </c>
    </row>
    <row r="89002">
      <c r="A89002" s="1" t="n">
        <v>89001</v>
      </c>
      <c r="B89002">
        <f>TEXT(89001, "[$-0E0000]yyyy-mm-dd")</f>
        <v/>
      </c>
    </row>
    <row r="89003">
      <c r="A89003" s="1" t="n">
        <v>89002</v>
      </c>
      <c r="B89003">
        <f>TEXT(89002, "[$-0E0000]yyyy-mm-dd")</f>
        <v/>
      </c>
    </row>
    <row r="89004">
      <c r="A89004" s="1" t="n">
        <v>89003</v>
      </c>
      <c r="B89004">
        <f>TEXT(89003, "[$-0E0000]yyyy-mm-dd")</f>
        <v/>
      </c>
    </row>
    <row r="89005">
      <c r="A89005" s="1" t="n">
        <v>89004</v>
      </c>
      <c r="B89005">
        <f>TEXT(89004, "[$-0E0000]yyyy-mm-dd")</f>
        <v/>
      </c>
    </row>
    <row r="89006">
      <c r="A89006" s="1" t="n">
        <v>89005</v>
      </c>
      <c r="B89006">
        <f>TEXT(89005, "[$-0E0000]yyyy-mm-dd")</f>
        <v/>
      </c>
    </row>
    <row r="89007">
      <c r="A89007" s="1" t="n">
        <v>89006</v>
      </c>
      <c r="B89007">
        <f>TEXT(89006, "[$-0E0000]yyyy-mm-dd")</f>
        <v/>
      </c>
    </row>
    <row r="89008">
      <c r="A89008" s="1" t="n">
        <v>89007</v>
      </c>
      <c r="B89008">
        <f>TEXT(89007, "[$-0E0000]yyyy-mm-dd")</f>
        <v/>
      </c>
    </row>
    <row r="89009">
      <c r="A89009" s="1" t="n">
        <v>89008</v>
      </c>
      <c r="B89009">
        <f>TEXT(89008, "[$-0E0000]yyyy-mm-dd")</f>
        <v/>
      </c>
    </row>
    <row r="89010">
      <c r="A89010" s="1" t="n">
        <v>89009</v>
      </c>
      <c r="B89010">
        <f>TEXT(89009, "[$-0E0000]yyyy-mm-dd")</f>
        <v/>
      </c>
    </row>
    <row r="89011">
      <c r="A89011" s="1" t="n">
        <v>89010</v>
      </c>
      <c r="B89011">
        <f>TEXT(89010, "[$-0E0000]yyyy-mm-dd")</f>
        <v/>
      </c>
    </row>
    <row r="89012">
      <c r="A89012" s="1" t="n">
        <v>89011</v>
      </c>
      <c r="B89012">
        <f>TEXT(89011, "[$-0E0000]yyyy-mm-dd")</f>
        <v/>
      </c>
    </row>
    <row r="89013">
      <c r="A89013" s="1" t="n">
        <v>89012</v>
      </c>
      <c r="B89013">
        <f>TEXT(89012, "[$-0E0000]yyyy-mm-dd")</f>
        <v/>
      </c>
    </row>
    <row r="89014">
      <c r="A89014" s="1" t="n">
        <v>89013</v>
      </c>
      <c r="B89014">
        <f>TEXT(89013, "[$-0E0000]yyyy-mm-dd")</f>
        <v/>
      </c>
    </row>
    <row r="89015">
      <c r="A89015" s="1" t="n">
        <v>89014</v>
      </c>
      <c r="B89015">
        <f>TEXT(89014, "[$-0E0000]yyyy-mm-dd")</f>
        <v/>
      </c>
    </row>
    <row r="89016">
      <c r="A89016" s="1" t="n">
        <v>89015</v>
      </c>
      <c r="B89016">
        <f>TEXT(89015, "[$-0E0000]yyyy-mm-dd")</f>
        <v/>
      </c>
    </row>
    <row r="89017">
      <c r="A89017" s="1" t="n">
        <v>89016</v>
      </c>
      <c r="B89017">
        <f>TEXT(89016, "[$-0E0000]yyyy-mm-dd")</f>
        <v/>
      </c>
    </row>
    <row r="89018">
      <c r="A89018" s="1" t="n">
        <v>89017</v>
      </c>
      <c r="B89018">
        <f>TEXT(89017, "[$-0E0000]yyyy-mm-dd")</f>
        <v/>
      </c>
    </row>
    <row r="89019">
      <c r="A89019" s="1" t="n">
        <v>89018</v>
      </c>
      <c r="B89019">
        <f>TEXT(89018, "[$-0E0000]yyyy-mm-dd")</f>
        <v/>
      </c>
    </row>
    <row r="89020">
      <c r="A89020" s="1" t="n">
        <v>89019</v>
      </c>
      <c r="B89020">
        <f>TEXT(89019, "[$-0E0000]yyyy-mm-dd")</f>
        <v/>
      </c>
    </row>
    <row r="89021">
      <c r="A89021" s="1" t="n">
        <v>89020</v>
      </c>
      <c r="B89021">
        <f>TEXT(89020, "[$-0E0000]yyyy-mm-dd")</f>
        <v/>
      </c>
    </row>
    <row r="89022">
      <c r="A89022" s="1" t="n">
        <v>89021</v>
      </c>
      <c r="B89022">
        <f>TEXT(89021, "[$-0E0000]yyyy-mm-dd")</f>
        <v/>
      </c>
    </row>
    <row r="89023">
      <c r="A89023" s="1" t="n">
        <v>89022</v>
      </c>
      <c r="B89023">
        <f>TEXT(89022, "[$-0E0000]yyyy-mm-dd")</f>
        <v/>
      </c>
    </row>
    <row r="89024">
      <c r="A89024" s="1" t="n">
        <v>89023</v>
      </c>
      <c r="B89024">
        <f>TEXT(89023, "[$-0E0000]yyyy-mm-dd")</f>
        <v/>
      </c>
    </row>
    <row r="89025">
      <c r="A89025" s="1" t="n">
        <v>89024</v>
      </c>
      <c r="B89025">
        <f>TEXT(89024, "[$-0E0000]yyyy-mm-dd")</f>
        <v/>
      </c>
    </row>
    <row r="89026">
      <c r="A89026" s="1" t="n">
        <v>89025</v>
      </c>
      <c r="B89026">
        <f>TEXT(89025, "[$-0E0000]yyyy-mm-dd")</f>
        <v/>
      </c>
    </row>
    <row r="89027">
      <c r="A89027" s="1" t="n">
        <v>89026</v>
      </c>
      <c r="B89027">
        <f>TEXT(89026, "[$-0E0000]yyyy-mm-dd")</f>
        <v/>
      </c>
    </row>
    <row r="89028">
      <c r="A89028" s="1" t="n">
        <v>89027</v>
      </c>
      <c r="B89028">
        <f>TEXT(89027, "[$-0E0000]yyyy-mm-dd")</f>
        <v/>
      </c>
    </row>
    <row r="89029">
      <c r="A89029" s="1" t="n">
        <v>89028</v>
      </c>
      <c r="B89029">
        <f>TEXT(89028, "[$-0E0000]yyyy-mm-dd")</f>
        <v/>
      </c>
    </row>
    <row r="89030">
      <c r="A89030" s="1" t="n">
        <v>89029</v>
      </c>
      <c r="B89030">
        <f>TEXT(89029, "[$-0E0000]yyyy-mm-dd")</f>
        <v/>
      </c>
    </row>
    <row r="89031">
      <c r="A89031" s="1" t="n">
        <v>89030</v>
      </c>
      <c r="B89031">
        <f>TEXT(89030, "[$-0E0000]yyyy-mm-dd")</f>
        <v/>
      </c>
    </row>
    <row r="89032">
      <c r="A89032" s="1" t="n">
        <v>89031</v>
      </c>
      <c r="B89032">
        <f>TEXT(89031, "[$-0E0000]yyyy-mm-dd")</f>
        <v/>
      </c>
    </row>
    <row r="89033">
      <c r="A89033" s="1" t="n">
        <v>89032</v>
      </c>
      <c r="B89033">
        <f>TEXT(89032, "[$-0E0000]yyyy-mm-dd")</f>
        <v/>
      </c>
    </row>
    <row r="89034">
      <c r="A89034" s="1" t="n">
        <v>89033</v>
      </c>
      <c r="B89034">
        <f>TEXT(89033, "[$-0E0000]yyyy-mm-dd")</f>
        <v/>
      </c>
    </row>
    <row r="89035">
      <c r="A89035" s="1" t="n">
        <v>89034</v>
      </c>
      <c r="B89035">
        <f>TEXT(89034, "[$-0E0000]yyyy-mm-dd")</f>
        <v/>
      </c>
    </row>
    <row r="89036">
      <c r="A89036" s="1" t="n">
        <v>89035</v>
      </c>
      <c r="B89036">
        <f>TEXT(89035, "[$-0E0000]yyyy-mm-dd")</f>
        <v/>
      </c>
    </row>
    <row r="89037">
      <c r="A89037" s="1" t="n">
        <v>89036</v>
      </c>
      <c r="B89037">
        <f>TEXT(89036, "[$-0E0000]yyyy-mm-dd")</f>
        <v/>
      </c>
    </row>
    <row r="89038">
      <c r="A89038" s="1" t="n">
        <v>89037</v>
      </c>
      <c r="B89038">
        <f>TEXT(89037, "[$-0E0000]yyyy-mm-dd")</f>
        <v/>
      </c>
    </row>
    <row r="89039">
      <c r="A89039" s="1" t="n">
        <v>89038</v>
      </c>
      <c r="B89039">
        <f>TEXT(89038, "[$-0E0000]yyyy-mm-dd")</f>
        <v/>
      </c>
    </row>
    <row r="89040">
      <c r="A89040" s="1" t="n">
        <v>89039</v>
      </c>
      <c r="B89040">
        <f>TEXT(89039, "[$-0E0000]yyyy-mm-dd")</f>
        <v/>
      </c>
    </row>
    <row r="89041">
      <c r="A89041" s="1" t="n">
        <v>89040</v>
      </c>
      <c r="B89041">
        <f>TEXT(89040, "[$-0E0000]yyyy-mm-dd")</f>
        <v/>
      </c>
    </row>
    <row r="89042">
      <c r="A89042" s="1" t="n">
        <v>89041</v>
      </c>
      <c r="B89042">
        <f>TEXT(89041, "[$-0E0000]yyyy-mm-dd")</f>
        <v/>
      </c>
    </row>
    <row r="89043">
      <c r="A89043" s="1" t="n">
        <v>89042</v>
      </c>
      <c r="B89043">
        <f>TEXT(89042, "[$-0E0000]yyyy-mm-dd")</f>
        <v/>
      </c>
    </row>
    <row r="89044">
      <c r="A89044" s="1" t="n">
        <v>89043</v>
      </c>
      <c r="B89044">
        <f>TEXT(89043, "[$-0E0000]yyyy-mm-dd")</f>
        <v/>
      </c>
    </row>
    <row r="89045">
      <c r="A89045" s="1" t="n">
        <v>89044</v>
      </c>
      <c r="B89045">
        <f>TEXT(89044, "[$-0E0000]yyyy-mm-dd")</f>
        <v/>
      </c>
    </row>
    <row r="89046">
      <c r="A89046" s="1" t="n">
        <v>89045</v>
      </c>
      <c r="B89046">
        <f>TEXT(89045, "[$-0E0000]yyyy-mm-dd")</f>
        <v/>
      </c>
    </row>
    <row r="89047">
      <c r="A89047" s="1" t="n">
        <v>89046</v>
      </c>
      <c r="B89047">
        <f>TEXT(89046, "[$-0E0000]yyyy-mm-dd")</f>
        <v/>
      </c>
    </row>
    <row r="89048">
      <c r="A89048" s="1" t="n">
        <v>89047</v>
      </c>
      <c r="B89048">
        <f>TEXT(89047, "[$-0E0000]yyyy-mm-dd")</f>
        <v/>
      </c>
    </row>
    <row r="89049">
      <c r="A89049" s="1" t="n">
        <v>89048</v>
      </c>
      <c r="B89049">
        <f>TEXT(89048, "[$-0E0000]yyyy-mm-dd")</f>
        <v/>
      </c>
    </row>
    <row r="89050">
      <c r="A89050" s="1" t="n">
        <v>89049</v>
      </c>
      <c r="B89050">
        <f>TEXT(89049, "[$-0E0000]yyyy-mm-dd")</f>
        <v/>
      </c>
    </row>
    <row r="89051">
      <c r="A89051" s="1" t="n">
        <v>89050</v>
      </c>
      <c r="B89051">
        <f>TEXT(89050, "[$-0E0000]yyyy-mm-dd")</f>
        <v/>
      </c>
    </row>
    <row r="89052">
      <c r="A89052" s="1" t="n">
        <v>89051</v>
      </c>
      <c r="B89052">
        <f>TEXT(89051, "[$-0E0000]yyyy-mm-dd")</f>
        <v/>
      </c>
    </row>
    <row r="89053">
      <c r="A89053" s="1" t="n">
        <v>89052</v>
      </c>
      <c r="B89053">
        <f>TEXT(89052, "[$-0E0000]yyyy-mm-dd")</f>
        <v/>
      </c>
    </row>
    <row r="89054">
      <c r="A89054" s="1" t="n">
        <v>89053</v>
      </c>
      <c r="B89054">
        <f>TEXT(89053, "[$-0E0000]yyyy-mm-dd")</f>
        <v/>
      </c>
    </row>
    <row r="89055">
      <c r="A89055" s="1" t="n">
        <v>89054</v>
      </c>
      <c r="B89055">
        <f>TEXT(89054, "[$-0E0000]yyyy-mm-dd")</f>
        <v/>
      </c>
    </row>
    <row r="89056">
      <c r="A89056" s="1" t="n">
        <v>89055</v>
      </c>
      <c r="B89056">
        <f>TEXT(89055, "[$-0E0000]yyyy-mm-dd")</f>
        <v/>
      </c>
    </row>
    <row r="89057">
      <c r="A89057" s="1" t="n">
        <v>89056</v>
      </c>
      <c r="B89057">
        <f>TEXT(89056, "[$-0E0000]yyyy-mm-dd")</f>
        <v/>
      </c>
    </row>
    <row r="89058">
      <c r="A89058" s="1" t="n">
        <v>89057</v>
      </c>
      <c r="B89058">
        <f>TEXT(89057, "[$-0E0000]yyyy-mm-dd")</f>
        <v/>
      </c>
    </row>
    <row r="89059">
      <c r="A89059" s="1" t="n">
        <v>89058</v>
      </c>
      <c r="B89059">
        <f>TEXT(89058, "[$-0E0000]yyyy-mm-dd")</f>
        <v/>
      </c>
    </row>
    <row r="89060">
      <c r="A89060" s="1" t="n">
        <v>89059</v>
      </c>
      <c r="B89060">
        <f>TEXT(89059, "[$-0E0000]yyyy-mm-dd")</f>
        <v/>
      </c>
    </row>
    <row r="89061">
      <c r="A89061" s="1" t="n">
        <v>89060</v>
      </c>
      <c r="B89061">
        <f>TEXT(89060, "[$-0E0000]yyyy-mm-dd")</f>
        <v/>
      </c>
    </row>
    <row r="89062">
      <c r="A89062" s="1" t="n">
        <v>89061</v>
      </c>
      <c r="B89062">
        <f>TEXT(89061, "[$-0E0000]yyyy-mm-dd")</f>
        <v/>
      </c>
    </row>
    <row r="89063">
      <c r="A89063" s="1" t="n">
        <v>89062</v>
      </c>
      <c r="B89063">
        <f>TEXT(89062, "[$-0E0000]yyyy-mm-dd")</f>
        <v/>
      </c>
    </row>
    <row r="89064">
      <c r="A89064" s="1" t="n">
        <v>89063</v>
      </c>
      <c r="B89064">
        <f>TEXT(89063, "[$-0E0000]yyyy-mm-dd")</f>
        <v/>
      </c>
    </row>
    <row r="89065">
      <c r="A89065" s="1" t="n">
        <v>89064</v>
      </c>
      <c r="B89065">
        <f>TEXT(89064, "[$-0E0000]yyyy-mm-dd")</f>
        <v/>
      </c>
    </row>
    <row r="89066">
      <c r="A89066" s="1" t="n">
        <v>89065</v>
      </c>
      <c r="B89066">
        <f>TEXT(89065, "[$-0E0000]yyyy-mm-dd")</f>
        <v/>
      </c>
    </row>
    <row r="89067">
      <c r="A89067" s="1" t="n">
        <v>89066</v>
      </c>
      <c r="B89067">
        <f>TEXT(89066, "[$-0E0000]yyyy-mm-dd")</f>
        <v/>
      </c>
    </row>
    <row r="89068">
      <c r="A89068" s="1" t="n">
        <v>89067</v>
      </c>
      <c r="B89068">
        <f>TEXT(89067, "[$-0E0000]yyyy-mm-dd")</f>
        <v/>
      </c>
    </row>
    <row r="89069">
      <c r="A89069" s="1" t="n">
        <v>89068</v>
      </c>
      <c r="B89069">
        <f>TEXT(89068, "[$-0E0000]yyyy-mm-dd")</f>
        <v/>
      </c>
    </row>
    <row r="89070">
      <c r="A89070" s="1" t="n">
        <v>89069</v>
      </c>
      <c r="B89070">
        <f>TEXT(89069, "[$-0E0000]yyyy-mm-dd")</f>
        <v/>
      </c>
    </row>
    <row r="89071">
      <c r="A89071" s="1" t="n">
        <v>89070</v>
      </c>
      <c r="B89071">
        <f>TEXT(89070, "[$-0E0000]yyyy-mm-dd")</f>
        <v/>
      </c>
    </row>
    <row r="89072">
      <c r="A89072" s="1" t="n">
        <v>89071</v>
      </c>
      <c r="B89072">
        <f>TEXT(89071, "[$-0E0000]yyyy-mm-dd")</f>
        <v/>
      </c>
    </row>
    <row r="89073">
      <c r="A89073" s="1" t="n">
        <v>89072</v>
      </c>
      <c r="B89073">
        <f>TEXT(89072, "[$-0E0000]yyyy-mm-dd")</f>
        <v/>
      </c>
    </row>
    <row r="89074">
      <c r="A89074" s="1" t="n">
        <v>89073</v>
      </c>
      <c r="B89074">
        <f>TEXT(89073, "[$-0E0000]yyyy-mm-dd")</f>
        <v/>
      </c>
    </row>
    <row r="89075">
      <c r="A89075" s="1" t="n">
        <v>89074</v>
      </c>
      <c r="B89075">
        <f>TEXT(89074, "[$-0E0000]yyyy-mm-dd")</f>
        <v/>
      </c>
    </row>
    <row r="89076">
      <c r="A89076" s="1" t="n">
        <v>89075</v>
      </c>
      <c r="B89076">
        <f>TEXT(89075, "[$-0E0000]yyyy-mm-dd")</f>
        <v/>
      </c>
    </row>
    <row r="89077">
      <c r="A89077" s="1" t="n">
        <v>89076</v>
      </c>
      <c r="B89077">
        <f>TEXT(89076, "[$-0E0000]yyyy-mm-dd")</f>
        <v/>
      </c>
    </row>
    <row r="89078">
      <c r="A89078" s="1" t="n">
        <v>89077</v>
      </c>
      <c r="B89078">
        <f>TEXT(89077, "[$-0E0000]yyyy-mm-dd")</f>
        <v/>
      </c>
    </row>
    <row r="89079">
      <c r="A89079" s="1" t="n">
        <v>89078</v>
      </c>
      <c r="B89079">
        <f>TEXT(89078, "[$-0E0000]yyyy-mm-dd")</f>
        <v/>
      </c>
    </row>
    <row r="89080">
      <c r="A89080" s="1" t="n">
        <v>89079</v>
      </c>
      <c r="B89080">
        <f>TEXT(89079, "[$-0E0000]yyyy-mm-dd")</f>
        <v/>
      </c>
    </row>
    <row r="89081">
      <c r="A89081" s="1" t="n">
        <v>89080</v>
      </c>
      <c r="B89081">
        <f>TEXT(89080, "[$-0E0000]yyyy-mm-dd")</f>
        <v/>
      </c>
    </row>
    <row r="89082">
      <c r="A89082" s="1" t="n">
        <v>89081</v>
      </c>
      <c r="B89082">
        <f>TEXT(89081, "[$-0E0000]yyyy-mm-dd")</f>
        <v/>
      </c>
    </row>
    <row r="89083">
      <c r="A89083" s="1" t="n">
        <v>89082</v>
      </c>
      <c r="B89083">
        <f>TEXT(89082, "[$-0E0000]yyyy-mm-dd")</f>
        <v/>
      </c>
    </row>
    <row r="89084">
      <c r="A89084" s="1" t="n">
        <v>89083</v>
      </c>
      <c r="B89084">
        <f>TEXT(89083, "[$-0E0000]yyyy-mm-dd")</f>
        <v/>
      </c>
    </row>
    <row r="89085">
      <c r="A89085" s="1" t="n">
        <v>89084</v>
      </c>
      <c r="B89085">
        <f>TEXT(89084, "[$-0E0000]yyyy-mm-dd")</f>
        <v/>
      </c>
    </row>
    <row r="89086">
      <c r="A89086" s="1" t="n">
        <v>89085</v>
      </c>
      <c r="B89086">
        <f>TEXT(89085, "[$-0E0000]yyyy-mm-dd")</f>
        <v/>
      </c>
    </row>
    <row r="89087">
      <c r="A89087" s="1" t="n">
        <v>89086</v>
      </c>
      <c r="B89087">
        <f>TEXT(89086, "[$-0E0000]yyyy-mm-dd")</f>
        <v/>
      </c>
    </row>
    <row r="89088">
      <c r="A89088" s="1" t="n">
        <v>89087</v>
      </c>
      <c r="B89088">
        <f>TEXT(89087, "[$-0E0000]yyyy-mm-dd")</f>
        <v/>
      </c>
    </row>
    <row r="89089">
      <c r="A89089" s="1" t="n">
        <v>89088</v>
      </c>
      <c r="B89089">
        <f>TEXT(89088, "[$-0E0000]yyyy-mm-dd")</f>
        <v/>
      </c>
    </row>
    <row r="89090">
      <c r="A89090" s="1" t="n">
        <v>89089</v>
      </c>
      <c r="B89090">
        <f>TEXT(89089, "[$-0E0000]yyyy-mm-dd")</f>
        <v/>
      </c>
    </row>
    <row r="89091">
      <c r="A89091" s="1" t="n">
        <v>89090</v>
      </c>
      <c r="B89091">
        <f>TEXT(89090, "[$-0E0000]yyyy-mm-dd")</f>
        <v/>
      </c>
    </row>
    <row r="89092">
      <c r="A89092" s="1" t="n">
        <v>89091</v>
      </c>
      <c r="B89092">
        <f>TEXT(89091, "[$-0E0000]yyyy-mm-dd")</f>
        <v/>
      </c>
    </row>
    <row r="89093">
      <c r="A89093" s="1" t="n">
        <v>89092</v>
      </c>
      <c r="B89093">
        <f>TEXT(89092, "[$-0E0000]yyyy-mm-dd")</f>
        <v/>
      </c>
    </row>
    <row r="89094">
      <c r="A89094" s="1" t="n">
        <v>89093</v>
      </c>
      <c r="B89094">
        <f>TEXT(89093, "[$-0E0000]yyyy-mm-dd")</f>
        <v/>
      </c>
    </row>
    <row r="89095">
      <c r="A89095" s="1" t="n">
        <v>89094</v>
      </c>
      <c r="B89095">
        <f>TEXT(89094, "[$-0E0000]yyyy-mm-dd")</f>
        <v/>
      </c>
    </row>
    <row r="89096">
      <c r="A89096" s="1" t="n">
        <v>89095</v>
      </c>
      <c r="B89096">
        <f>TEXT(89095, "[$-0E0000]yyyy-mm-dd")</f>
        <v/>
      </c>
    </row>
    <row r="89097">
      <c r="A89097" s="1" t="n">
        <v>89096</v>
      </c>
      <c r="B89097">
        <f>TEXT(89096, "[$-0E0000]yyyy-mm-dd")</f>
        <v/>
      </c>
    </row>
    <row r="89098">
      <c r="A89098" s="1" t="n">
        <v>89097</v>
      </c>
      <c r="B89098">
        <f>TEXT(89097, "[$-0E0000]yyyy-mm-dd")</f>
        <v/>
      </c>
    </row>
    <row r="89099">
      <c r="A89099" s="1" t="n">
        <v>89098</v>
      </c>
      <c r="B89099">
        <f>TEXT(89098, "[$-0E0000]yyyy-mm-dd")</f>
        <v/>
      </c>
    </row>
    <row r="89100">
      <c r="A89100" s="1" t="n">
        <v>89099</v>
      </c>
      <c r="B89100">
        <f>TEXT(89099, "[$-0E0000]yyyy-mm-dd")</f>
        <v/>
      </c>
    </row>
    <row r="89101">
      <c r="A89101" s="1" t="n">
        <v>89100</v>
      </c>
      <c r="B89101">
        <f>TEXT(89100, "[$-0E0000]yyyy-mm-dd")</f>
        <v/>
      </c>
    </row>
    <row r="89102">
      <c r="A89102" s="1" t="n">
        <v>89101</v>
      </c>
      <c r="B89102">
        <f>TEXT(89101, "[$-0E0000]yyyy-mm-dd")</f>
        <v/>
      </c>
    </row>
    <row r="89103">
      <c r="A89103" s="1" t="n">
        <v>89102</v>
      </c>
      <c r="B89103">
        <f>TEXT(89102, "[$-0E0000]yyyy-mm-dd")</f>
        <v/>
      </c>
    </row>
    <row r="89104">
      <c r="A89104" s="1" t="n">
        <v>89103</v>
      </c>
      <c r="B89104">
        <f>TEXT(89103, "[$-0E0000]yyyy-mm-dd")</f>
        <v/>
      </c>
    </row>
    <row r="89105">
      <c r="A89105" s="1" t="n">
        <v>89104</v>
      </c>
      <c r="B89105">
        <f>TEXT(89104, "[$-0E0000]yyyy-mm-dd")</f>
        <v/>
      </c>
    </row>
    <row r="89106">
      <c r="A89106" s="1" t="n">
        <v>89105</v>
      </c>
      <c r="B89106">
        <f>TEXT(89105, "[$-0E0000]yyyy-mm-dd")</f>
        <v/>
      </c>
    </row>
    <row r="89107">
      <c r="A89107" s="1" t="n">
        <v>89106</v>
      </c>
      <c r="B89107">
        <f>TEXT(89106, "[$-0E0000]yyyy-mm-dd")</f>
        <v/>
      </c>
    </row>
    <row r="89108">
      <c r="A89108" s="1" t="n">
        <v>89107</v>
      </c>
      <c r="B89108">
        <f>TEXT(89107, "[$-0E0000]yyyy-mm-dd")</f>
        <v/>
      </c>
    </row>
    <row r="89109">
      <c r="A89109" s="1" t="n">
        <v>89108</v>
      </c>
      <c r="B89109">
        <f>TEXT(89108, "[$-0E0000]yyyy-mm-dd")</f>
        <v/>
      </c>
    </row>
    <row r="89110">
      <c r="A89110" s="1" t="n">
        <v>89109</v>
      </c>
      <c r="B89110">
        <f>TEXT(89109, "[$-0E0000]yyyy-mm-dd")</f>
        <v/>
      </c>
    </row>
    <row r="89111">
      <c r="A89111" s="1" t="n">
        <v>89110</v>
      </c>
      <c r="B89111">
        <f>TEXT(89110, "[$-0E0000]yyyy-mm-dd")</f>
        <v/>
      </c>
    </row>
    <row r="89112">
      <c r="A89112" s="1" t="n">
        <v>89111</v>
      </c>
      <c r="B89112">
        <f>TEXT(89111, "[$-0E0000]yyyy-mm-dd")</f>
        <v/>
      </c>
    </row>
    <row r="89113">
      <c r="A89113" s="1" t="n">
        <v>89112</v>
      </c>
      <c r="B89113">
        <f>TEXT(89112, "[$-0E0000]yyyy-mm-dd")</f>
        <v/>
      </c>
    </row>
    <row r="89114">
      <c r="A89114" s="1" t="n">
        <v>89113</v>
      </c>
      <c r="B89114">
        <f>TEXT(89113, "[$-0E0000]yyyy-mm-dd")</f>
        <v/>
      </c>
    </row>
    <row r="89115">
      <c r="A89115" s="1" t="n">
        <v>89114</v>
      </c>
      <c r="B89115">
        <f>TEXT(89114, "[$-0E0000]yyyy-mm-dd")</f>
        <v/>
      </c>
    </row>
    <row r="89116">
      <c r="A89116" s="1" t="n">
        <v>89115</v>
      </c>
      <c r="B89116">
        <f>TEXT(89115, "[$-0E0000]yyyy-mm-dd")</f>
        <v/>
      </c>
    </row>
    <row r="89117">
      <c r="A89117" s="1" t="n">
        <v>89116</v>
      </c>
      <c r="B89117">
        <f>TEXT(89116, "[$-0E0000]yyyy-mm-dd")</f>
        <v/>
      </c>
    </row>
    <row r="89118">
      <c r="A89118" s="1" t="n">
        <v>89117</v>
      </c>
      <c r="B89118">
        <f>TEXT(89117, "[$-0E0000]yyyy-mm-dd")</f>
        <v/>
      </c>
    </row>
    <row r="89119">
      <c r="A89119" s="1" t="n">
        <v>89118</v>
      </c>
      <c r="B89119">
        <f>TEXT(89118, "[$-0E0000]yyyy-mm-dd")</f>
        <v/>
      </c>
    </row>
    <row r="89120">
      <c r="A89120" s="1" t="n">
        <v>89119</v>
      </c>
      <c r="B89120">
        <f>TEXT(89119, "[$-0E0000]yyyy-mm-dd")</f>
        <v/>
      </c>
    </row>
    <row r="89121">
      <c r="A89121" s="1" t="n">
        <v>89120</v>
      </c>
      <c r="B89121">
        <f>TEXT(89120, "[$-0E0000]yyyy-mm-dd")</f>
        <v/>
      </c>
    </row>
    <row r="89122">
      <c r="A89122" s="1" t="n">
        <v>89121</v>
      </c>
      <c r="B89122">
        <f>TEXT(89121, "[$-0E0000]yyyy-mm-dd")</f>
        <v/>
      </c>
    </row>
    <row r="89123">
      <c r="A89123" s="1" t="n">
        <v>89122</v>
      </c>
      <c r="B89123">
        <f>TEXT(89122, "[$-0E0000]yyyy-mm-dd")</f>
        <v/>
      </c>
    </row>
    <row r="89124">
      <c r="A89124" s="1" t="n">
        <v>89123</v>
      </c>
      <c r="B89124">
        <f>TEXT(89123, "[$-0E0000]yyyy-mm-dd")</f>
        <v/>
      </c>
    </row>
    <row r="89125">
      <c r="A89125" s="1" t="n">
        <v>89124</v>
      </c>
      <c r="B89125">
        <f>TEXT(89124, "[$-0E0000]yyyy-mm-dd")</f>
        <v/>
      </c>
    </row>
    <row r="89126">
      <c r="A89126" s="1" t="n">
        <v>89125</v>
      </c>
      <c r="B89126">
        <f>TEXT(89125, "[$-0E0000]yyyy-mm-dd")</f>
        <v/>
      </c>
    </row>
    <row r="89127">
      <c r="A89127" s="1" t="n">
        <v>89126</v>
      </c>
      <c r="B89127">
        <f>TEXT(89126, "[$-0E0000]yyyy-mm-dd")</f>
        <v/>
      </c>
    </row>
    <row r="89128">
      <c r="A89128" s="1" t="n">
        <v>89127</v>
      </c>
      <c r="B89128">
        <f>TEXT(89127, "[$-0E0000]yyyy-mm-dd")</f>
        <v/>
      </c>
    </row>
    <row r="89129">
      <c r="A89129" s="1" t="n">
        <v>89128</v>
      </c>
      <c r="B89129">
        <f>TEXT(89128, "[$-0E0000]yyyy-mm-dd")</f>
        <v/>
      </c>
    </row>
    <row r="89130">
      <c r="A89130" s="1" t="n">
        <v>89129</v>
      </c>
      <c r="B89130">
        <f>TEXT(89129, "[$-0E0000]yyyy-mm-dd")</f>
        <v/>
      </c>
    </row>
    <row r="89131">
      <c r="A89131" s="1" t="n">
        <v>89130</v>
      </c>
      <c r="B89131">
        <f>TEXT(89130, "[$-0E0000]yyyy-mm-dd")</f>
        <v/>
      </c>
    </row>
    <row r="89132">
      <c r="A89132" s="1" t="n">
        <v>89131</v>
      </c>
      <c r="B89132">
        <f>TEXT(89131, "[$-0E0000]yyyy-mm-dd")</f>
        <v/>
      </c>
    </row>
    <row r="89133">
      <c r="A89133" s="1" t="n">
        <v>89132</v>
      </c>
      <c r="B89133">
        <f>TEXT(89132, "[$-0E0000]yyyy-mm-dd")</f>
        <v/>
      </c>
    </row>
    <row r="89134">
      <c r="A89134" s="1" t="n">
        <v>89133</v>
      </c>
      <c r="B89134">
        <f>TEXT(89133, "[$-0E0000]yyyy-mm-dd")</f>
        <v/>
      </c>
    </row>
    <row r="89135">
      <c r="A89135" s="1" t="n">
        <v>89134</v>
      </c>
      <c r="B89135">
        <f>TEXT(89134, "[$-0E0000]yyyy-mm-dd")</f>
        <v/>
      </c>
    </row>
    <row r="89136">
      <c r="A89136" s="1" t="n">
        <v>89135</v>
      </c>
      <c r="B89136">
        <f>TEXT(89135, "[$-0E0000]yyyy-mm-dd")</f>
        <v/>
      </c>
    </row>
    <row r="89137">
      <c r="A89137" s="1" t="n">
        <v>89136</v>
      </c>
      <c r="B89137">
        <f>TEXT(89136, "[$-0E0000]yyyy-mm-dd")</f>
        <v/>
      </c>
    </row>
    <row r="89138">
      <c r="A89138" s="1" t="n">
        <v>89137</v>
      </c>
      <c r="B89138">
        <f>TEXT(89137, "[$-0E0000]yyyy-mm-dd")</f>
        <v/>
      </c>
    </row>
    <row r="89139">
      <c r="A89139" s="1" t="n">
        <v>89138</v>
      </c>
      <c r="B89139">
        <f>TEXT(89138, "[$-0E0000]yyyy-mm-dd")</f>
        <v/>
      </c>
    </row>
    <row r="89140">
      <c r="A89140" s="1" t="n">
        <v>89139</v>
      </c>
      <c r="B89140">
        <f>TEXT(89139, "[$-0E0000]yyyy-mm-dd")</f>
        <v/>
      </c>
    </row>
    <row r="89141">
      <c r="A89141" s="1" t="n">
        <v>89140</v>
      </c>
      <c r="B89141">
        <f>TEXT(89140, "[$-0E0000]yyyy-mm-dd")</f>
        <v/>
      </c>
    </row>
    <row r="89142">
      <c r="A89142" s="1" t="n">
        <v>89141</v>
      </c>
      <c r="B89142">
        <f>TEXT(89141, "[$-0E0000]yyyy-mm-dd")</f>
        <v/>
      </c>
    </row>
    <row r="89143">
      <c r="A89143" s="1" t="n">
        <v>89142</v>
      </c>
      <c r="B89143">
        <f>TEXT(89142, "[$-0E0000]yyyy-mm-dd")</f>
        <v/>
      </c>
    </row>
    <row r="89144">
      <c r="A89144" s="1" t="n">
        <v>89143</v>
      </c>
      <c r="B89144">
        <f>TEXT(89143, "[$-0E0000]yyyy-mm-dd")</f>
        <v/>
      </c>
    </row>
    <row r="89145">
      <c r="A89145" s="1" t="n">
        <v>89144</v>
      </c>
      <c r="B89145">
        <f>TEXT(89144, "[$-0E0000]yyyy-mm-dd")</f>
        <v/>
      </c>
    </row>
    <row r="89146">
      <c r="A89146" s="1" t="n">
        <v>89145</v>
      </c>
      <c r="B89146">
        <f>TEXT(89145, "[$-0E0000]yyyy-mm-dd")</f>
        <v/>
      </c>
    </row>
    <row r="89147">
      <c r="A89147" s="1" t="n">
        <v>89146</v>
      </c>
      <c r="B89147">
        <f>TEXT(89146, "[$-0E0000]yyyy-mm-dd")</f>
        <v/>
      </c>
    </row>
    <row r="89148">
      <c r="A89148" s="1" t="n">
        <v>89147</v>
      </c>
      <c r="B89148">
        <f>TEXT(89147, "[$-0E0000]yyyy-mm-dd")</f>
        <v/>
      </c>
    </row>
    <row r="89149">
      <c r="A89149" s="1" t="n">
        <v>89148</v>
      </c>
      <c r="B89149">
        <f>TEXT(89148, "[$-0E0000]yyyy-mm-dd")</f>
        <v/>
      </c>
    </row>
    <row r="89150">
      <c r="A89150" s="1" t="n">
        <v>89149</v>
      </c>
      <c r="B89150">
        <f>TEXT(89149, "[$-0E0000]yyyy-mm-dd")</f>
        <v/>
      </c>
    </row>
    <row r="89151">
      <c r="A89151" s="1" t="n">
        <v>89150</v>
      </c>
      <c r="B89151">
        <f>TEXT(89150, "[$-0E0000]yyyy-mm-dd")</f>
        <v/>
      </c>
    </row>
    <row r="89152">
      <c r="A89152" s="1" t="n">
        <v>89151</v>
      </c>
      <c r="B89152">
        <f>TEXT(89151, "[$-0E0000]yyyy-mm-dd")</f>
        <v/>
      </c>
    </row>
    <row r="89153">
      <c r="A89153" s="1" t="n">
        <v>89152</v>
      </c>
      <c r="B89153">
        <f>TEXT(89152, "[$-0E0000]yyyy-mm-dd")</f>
        <v/>
      </c>
    </row>
    <row r="89154">
      <c r="A89154" s="1" t="n">
        <v>89153</v>
      </c>
      <c r="B89154">
        <f>TEXT(89153, "[$-0E0000]yyyy-mm-dd")</f>
        <v/>
      </c>
    </row>
    <row r="89155">
      <c r="A89155" s="1" t="n">
        <v>89154</v>
      </c>
      <c r="B89155">
        <f>TEXT(89154, "[$-0E0000]yyyy-mm-dd")</f>
        <v/>
      </c>
    </row>
    <row r="89156">
      <c r="A89156" s="1" t="n">
        <v>89155</v>
      </c>
      <c r="B89156">
        <f>TEXT(89155, "[$-0E0000]yyyy-mm-dd")</f>
        <v/>
      </c>
    </row>
    <row r="89157">
      <c r="A89157" s="1" t="n">
        <v>89156</v>
      </c>
      <c r="B89157">
        <f>TEXT(89156, "[$-0E0000]yyyy-mm-dd")</f>
        <v/>
      </c>
    </row>
    <row r="89158">
      <c r="A89158" s="1" t="n">
        <v>89157</v>
      </c>
      <c r="B89158">
        <f>TEXT(89157, "[$-0E0000]yyyy-mm-dd")</f>
        <v/>
      </c>
    </row>
    <row r="89159">
      <c r="A89159" s="1" t="n">
        <v>89158</v>
      </c>
      <c r="B89159">
        <f>TEXT(89158, "[$-0E0000]yyyy-mm-dd")</f>
        <v/>
      </c>
    </row>
    <row r="89160">
      <c r="A89160" s="1" t="n">
        <v>89159</v>
      </c>
      <c r="B89160">
        <f>TEXT(89159, "[$-0E0000]yyyy-mm-dd")</f>
        <v/>
      </c>
    </row>
    <row r="89161">
      <c r="A89161" s="1" t="n">
        <v>89160</v>
      </c>
      <c r="B89161">
        <f>TEXT(89160, "[$-0E0000]yyyy-mm-dd")</f>
        <v/>
      </c>
    </row>
    <row r="89162">
      <c r="A89162" s="1" t="n">
        <v>89161</v>
      </c>
      <c r="B89162">
        <f>TEXT(89161, "[$-0E0000]yyyy-mm-dd")</f>
        <v/>
      </c>
    </row>
    <row r="89163">
      <c r="A89163" s="1" t="n">
        <v>89162</v>
      </c>
      <c r="B89163">
        <f>TEXT(89162, "[$-0E0000]yyyy-mm-dd")</f>
        <v/>
      </c>
    </row>
    <row r="89164">
      <c r="A89164" s="1" t="n">
        <v>89163</v>
      </c>
      <c r="B89164">
        <f>TEXT(89163, "[$-0E0000]yyyy-mm-dd")</f>
        <v/>
      </c>
    </row>
    <row r="89165">
      <c r="A89165" s="1" t="n">
        <v>89164</v>
      </c>
      <c r="B89165">
        <f>TEXT(89164, "[$-0E0000]yyyy-mm-dd")</f>
        <v/>
      </c>
    </row>
    <row r="89166">
      <c r="A89166" s="1" t="n">
        <v>89165</v>
      </c>
      <c r="B89166">
        <f>TEXT(89165, "[$-0E0000]yyyy-mm-dd")</f>
        <v/>
      </c>
    </row>
    <row r="89167">
      <c r="A89167" s="1" t="n">
        <v>89166</v>
      </c>
      <c r="B89167">
        <f>TEXT(89166, "[$-0E0000]yyyy-mm-dd")</f>
        <v/>
      </c>
    </row>
    <row r="89168">
      <c r="A89168" s="1" t="n">
        <v>89167</v>
      </c>
      <c r="B89168">
        <f>TEXT(89167, "[$-0E0000]yyyy-mm-dd")</f>
        <v/>
      </c>
    </row>
    <row r="89169">
      <c r="A89169" s="1" t="n">
        <v>89168</v>
      </c>
      <c r="B89169">
        <f>TEXT(89168, "[$-0E0000]yyyy-mm-dd")</f>
        <v/>
      </c>
    </row>
    <row r="89170">
      <c r="A89170" s="1" t="n">
        <v>89169</v>
      </c>
      <c r="B89170">
        <f>TEXT(89169, "[$-0E0000]yyyy-mm-dd")</f>
        <v/>
      </c>
    </row>
    <row r="89171">
      <c r="A89171" s="1" t="n">
        <v>89170</v>
      </c>
      <c r="B89171">
        <f>TEXT(89170, "[$-0E0000]yyyy-mm-dd")</f>
        <v/>
      </c>
    </row>
    <row r="89172">
      <c r="A89172" s="1" t="n">
        <v>89171</v>
      </c>
      <c r="B89172">
        <f>TEXT(89171, "[$-0E0000]yyyy-mm-dd")</f>
        <v/>
      </c>
    </row>
    <row r="89173">
      <c r="A89173" s="1" t="n">
        <v>89172</v>
      </c>
      <c r="B89173">
        <f>TEXT(89172, "[$-0E0000]yyyy-mm-dd")</f>
        <v/>
      </c>
    </row>
    <row r="89174">
      <c r="A89174" s="1" t="n">
        <v>89173</v>
      </c>
      <c r="B89174">
        <f>TEXT(89173, "[$-0E0000]yyyy-mm-dd")</f>
        <v/>
      </c>
    </row>
    <row r="89175">
      <c r="A89175" s="1" t="n">
        <v>89174</v>
      </c>
      <c r="B89175">
        <f>TEXT(89174, "[$-0E0000]yyyy-mm-dd")</f>
        <v/>
      </c>
    </row>
    <row r="89176">
      <c r="A89176" s="1" t="n">
        <v>89175</v>
      </c>
      <c r="B89176">
        <f>TEXT(89175, "[$-0E0000]yyyy-mm-dd")</f>
        <v/>
      </c>
    </row>
    <row r="89177">
      <c r="A89177" s="1" t="n">
        <v>89176</v>
      </c>
      <c r="B89177">
        <f>TEXT(89176, "[$-0E0000]yyyy-mm-dd")</f>
        <v/>
      </c>
    </row>
    <row r="89178">
      <c r="A89178" s="1" t="n">
        <v>89177</v>
      </c>
      <c r="B89178">
        <f>TEXT(89177, "[$-0E0000]yyyy-mm-dd")</f>
        <v/>
      </c>
    </row>
    <row r="89179">
      <c r="A89179" s="1" t="n">
        <v>89178</v>
      </c>
      <c r="B89179">
        <f>TEXT(89178, "[$-0E0000]yyyy-mm-dd")</f>
        <v/>
      </c>
    </row>
    <row r="89180">
      <c r="A89180" s="1" t="n">
        <v>89179</v>
      </c>
      <c r="B89180">
        <f>TEXT(89179, "[$-0E0000]yyyy-mm-dd")</f>
        <v/>
      </c>
    </row>
    <row r="89181">
      <c r="A89181" s="1" t="n">
        <v>89180</v>
      </c>
      <c r="B89181">
        <f>TEXT(89180, "[$-0E0000]yyyy-mm-dd")</f>
        <v/>
      </c>
    </row>
    <row r="89182">
      <c r="A89182" s="1" t="n">
        <v>89181</v>
      </c>
      <c r="B89182">
        <f>TEXT(89181, "[$-0E0000]yyyy-mm-dd")</f>
        <v/>
      </c>
    </row>
    <row r="89183">
      <c r="A89183" s="1" t="n">
        <v>89182</v>
      </c>
      <c r="B89183">
        <f>TEXT(89182, "[$-0E0000]yyyy-mm-dd")</f>
        <v/>
      </c>
    </row>
    <row r="89184">
      <c r="A89184" s="1" t="n">
        <v>89183</v>
      </c>
      <c r="B89184">
        <f>TEXT(89183, "[$-0E0000]yyyy-mm-dd")</f>
        <v/>
      </c>
    </row>
    <row r="89185">
      <c r="A89185" s="1" t="n">
        <v>89184</v>
      </c>
      <c r="B89185">
        <f>TEXT(89184, "[$-0E0000]yyyy-mm-dd")</f>
        <v/>
      </c>
    </row>
    <row r="89186">
      <c r="A89186" s="1" t="n">
        <v>89185</v>
      </c>
      <c r="B89186">
        <f>TEXT(89185, "[$-0E0000]yyyy-mm-dd")</f>
        <v/>
      </c>
    </row>
    <row r="89187">
      <c r="A89187" s="1" t="n">
        <v>89186</v>
      </c>
      <c r="B89187">
        <f>TEXT(89186, "[$-0E0000]yyyy-mm-dd")</f>
        <v/>
      </c>
    </row>
    <row r="89188">
      <c r="A89188" s="1" t="n">
        <v>89187</v>
      </c>
      <c r="B89188">
        <f>TEXT(89187, "[$-0E0000]yyyy-mm-dd")</f>
        <v/>
      </c>
    </row>
    <row r="89189">
      <c r="A89189" s="1" t="n">
        <v>89188</v>
      </c>
      <c r="B89189">
        <f>TEXT(89188, "[$-0E0000]yyyy-mm-dd")</f>
        <v/>
      </c>
    </row>
    <row r="89190">
      <c r="A89190" s="1" t="n">
        <v>89189</v>
      </c>
      <c r="B89190">
        <f>TEXT(89189, "[$-0E0000]yyyy-mm-dd")</f>
        <v/>
      </c>
    </row>
    <row r="89191">
      <c r="A89191" s="1" t="n">
        <v>89190</v>
      </c>
      <c r="B89191">
        <f>TEXT(89190, "[$-0E0000]yyyy-mm-dd")</f>
        <v/>
      </c>
    </row>
    <row r="89192">
      <c r="A89192" s="1" t="n">
        <v>89191</v>
      </c>
      <c r="B89192">
        <f>TEXT(89191, "[$-0E0000]yyyy-mm-dd")</f>
        <v/>
      </c>
    </row>
    <row r="89193">
      <c r="A89193" s="1" t="n">
        <v>89192</v>
      </c>
      <c r="B89193">
        <f>TEXT(89192, "[$-0E0000]yyyy-mm-dd")</f>
        <v/>
      </c>
    </row>
    <row r="89194">
      <c r="A89194" s="1" t="n">
        <v>89193</v>
      </c>
      <c r="B89194">
        <f>TEXT(89193, "[$-0E0000]yyyy-mm-dd")</f>
        <v/>
      </c>
    </row>
    <row r="89195">
      <c r="A89195" s="1" t="n">
        <v>89194</v>
      </c>
      <c r="B89195">
        <f>TEXT(89194, "[$-0E0000]yyyy-mm-dd")</f>
        <v/>
      </c>
    </row>
    <row r="89196">
      <c r="A89196" s="1" t="n">
        <v>89195</v>
      </c>
      <c r="B89196">
        <f>TEXT(89195, "[$-0E0000]yyyy-mm-dd")</f>
        <v/>
      </c>
    </row>
    <row r="89197">
      <c r="A89197" s="1" t="n">
        <v>89196</v>
      </c>
      <c r="B89197">
        <f>TEXT(89196, "[$-0E0000]yyyy-mm-dd")</f>
        <v/>
      </c>
    </row>
    <row r="89198">
      <c r="A89198" s="1" t="n">
        <v>89197</v>
      </c>
      <c r="B89198">
        <f>TEXT(89197, "[$-0E0000]yyyy-mm-dd")</f>
        <v/>
      </c>
    </row>
    <row r="89199">
      <c r="A89199" s="1" t="n">
        <v>89198</v>
      </c>
      <c r="B89199">
        <f>TEXT(89198, "[$-0E0000]yyyy-mm-dd")</f>
        <v/>
      </c>
    </row>
    <row r="89200">
      <c r="A89200" s="1" t="n">
        <v>89199</v>
      </c>
      <c r="B89200">
        <f>TEXT(89199, "[$-0E0000]yyyy-mm-dd")</f>
        <v/>
      </c>
    </row>
    <row r="89201">
      <c r="A89201" s="1" t="n">
        <v>89200</v>
      </c>
      <c r="B89201">
        <f>TEXT(89200, "[$-0E0000]yyyy-mm-dd")</f>
        <v/>
      </c>
    </row>
    <row r="89202">
      <c r="A89202" s="1" t="n">
        <v>89201</v>
      </c>
      <c r="B89202">
        <f>TEXT(89201, "[$-0E0000]yyyy-mm-dd")</f>
        <v/>
      </c>
    </row>
    <row r="89203">
      <c r="A89203" s="1" t="n">
        <v>89202</v>
      </c>
      <c r="B89203">
        <f>TEXT(89202, "[$-0E0000]yyyy-mm-dd")</f>
        <v/>
      </c>
    </row>
    <row r="89204">
      <c r="A89204" s="1" t="n">
        <v>89203</v>
      </c>
      <c r="B89204">
        <f>TEXT(89203, "[$-0E0000]yyyy-mm-dd")</f>
        <v/>
      </c>
    </row>
    <row r="89205">
      <c r="A89205" s="1" t="n">
        <v>89204</v>
      </c>
      <c r="B89205">
        <f>TEXT(89204, "[$-0E0000]yyyy-mm-dd")</f>
        <v/>
      </c>
    </row>
    <row r="89206">
      <c r="A89206" s="1" t="n">
        <v>89205</v>
      </c>
      <c r="B89206">
        <f>TEXT(89205, "[$-0E0000]yyyy-mm-dd")</f>
        <v/>
      </c>
    </row>
    <row r="89207">
      <c r="A89207" s="1" t="n">
        <v>89206</v>
      </c>
      <c r="B89207">
        <f>TEXT(89206, "[$-0E0000]yyyy-mm-dd")</f>
        <v/>
      </c>
    </row>
    <row r="89208">
      <c r="A89208" s="1" t="n">
        <v>89207</v>
      </c>
      <c r="B89208">
        <f>TEXT(89207, "[$-0E0000]yyyy-mm-dd")</f>
        <v/>
      </c>
    </row>
    <row r="89209">
      <c r="A89209" s="1" t="n">
        <v>89208</v>
      </c>
      <c r="B89209">
        <f>TEXT(89208, "[$-0E0000]yyyy-mm-dd")</f>
        <v/>
      </c>
    </row>
    <row r="89210">
      <c r="A89210" s="1" t="n">
        <v>89209</v>
      </c>
      <c r="B89210">
        <f>TEXT(89209, "[$-0E0000]yyyy-mm-dd")</f>
        <v/>
      </c>
    </row>
    <row r="89211">
      <c r="A89211" s="1" t="n">
        <v>89210</v>
      </c>
      <c r="B89211">
        <f>TEXT(89210, "[$-0E0000]yyyy-mm-dd")</f>
        <v/>
      </c>
    </row>
    <row r="89212">
      <c r="A89212" s="1" t="n">
        <v>89211</v>
      </c>
      <c r="B89212">
        <f>TEXT(89211, "[$-0E0000]yyyy-mm-dd")</f>
        <v/>
      </c>
    </row>
    <row r="89213">
      <c r="A89213" s="1" t="n">
        <v>89212</v>
      </c>
      <c r="B89213">
        <f>TEXT(89212, "[$-0E0000]yyyy-mm-dd")</f>
        <v/>
      </c>
    </row>
    <row r="89214">
      <c r="A89214" s="1" t="n">
        <v>89213</v>
      </c>
      <c r="B89214">
        <f>TEXT(89213, "[$-0E0000]yyyy-mm-dd")</f>
        <v/>
      </c>
    </row>
    <row r="89215">
      <c r="A89215" s="1" t="n">
        <v>89214</v>
      </c>
      <c r="B89215">
        <f>TEXT(89214, "[$-0E0000]yyyy-mm-dd")</f>
        <v/>
      </c>
    </row>
    <row r="89216">
      <c r="A89216" s="1" t="n">
        <v>89215</v>
      </c>
      <c r="B89216">
        <f>TEXT(89215, "[$-0E0000]yyyy-mm-dd")</f>
        <v/>
      </c>
    </row>
    <row r="89217">
      <c r="A89217" s="1" t="n">
        <v>89216</v>
      </c>
      <c r="B89217">
        <f>TEXT(89216, "[$-0E0000]yyyy-mm-dd")</f>
        <v/>
      </c>
    </row>
    <row r="89218">
      <c r="A89218" s="1" t="n">
        <v>89217</v>
      </c>
      <c r="B89218">
        <f>TEXT(89217, "[$-0E0000]yyyy-mm-dd")</f>
        <v/>
      </c>
    </row>
    <row r="89219">
      <c r="A89219" s="1" t="n">
        <v>89218</v>
      </c>
      <c r="B89219">
        <f>TEXT(89218, "[$-0E0000]yyyy-mm-dd")</f>
        <v/>
      </c>
    </row>
    <row r="89220">
      <c r="A89220" s="1" t="n">
        <v>89219</v>
      </c>
      <c r="B89220">
        <f>TEXT(89219, "[$-0E0000]yyyy-mm-dd")</f>
        <v/>
      </c>
    </row>
    <row r="89221">
      <c r="A89221" s="1" t="n">
        <v>89220</v>
      </c>
      <c r="B89221">
        <f>TEXT(89220, "[$-0E0000]yyyy-mm-dd")</f>
        <v/>
      </c>
    </row>
    <row r="89222">
      <c r="A89222" s="1" t="n">
        <v>89221</v>
      </c>
      <c r="B89222">
        <f>TEXT(89221, "[$-0E0000]yyyy-mm-dd")</f>
        <v/>
      </c>
    </row>
    <row r="89223">
      <c r="A89223" s="1" t="n">
        <v>89222</v>
      </c>
      <c r="B89223">
        <f>TEXT(89222, "[$-0E0000]yyyy-mm-dd")</f>
        <v/>
      </c>
    </row>
    <row r="89224">
      <c r="A89224" s="1" t="n">
        <v>89223</v>
      </c>
      <c r="B89224">
        <f>TEXT(89223, "[$-0E0000]yyyy-mm-dd")</f>
        <v/>
      </c>
    </row>
    <row r="89225">
      <c r="A89225" s="1" t="n">
        <v>89224</v>
      </c>
      <c r="B89225">
        <f>TEXT(89224, "[$-0E0000]yyyy-mm-dd")</f>
        <v/>
      </c>
    </row>
    <row r="89226">
      <c r="A89226" s="1" t="n">
        <v>89225</v>
      </c>
      <c r="B89226">
        <f>TEXT(89225, "[$-0E0000]yyyy-mm-dd")</f>
        <v/>
      </c>
    </row>
    <row r="89227">
      <c r="A89227" s="1" t="n">
        <v>89226</v>
      </c>
      <c r="B89227">
        <f>TEXT(89226, "[$-0E0000]yyyy-mm-dd")</f>
        <v/>
      </c>
    </row>
    <row r="89228">
      <c r="A89228" s="1" t="n">
        <v>89227</v>
      </c>
      <c r="B89228">
        <f>TEXT(89227, "[$-0E0000]yyyy-mm-dd")</f>
        <v/>
      </c>
    </row>
    <row r="89229">
      <c r="A89229" s="1" t="n">
        <v>89228</v>
      </c>
      <c r="B89229">
        <f>TEXT(89228, "[$-0E0000]yyyy-mm-dd")</f>
        <v/>
      </c>
    </row>
    <row r="89230">
      <c r="A89230" s="1" t="n">
        <v>89229</v>
      </c>
      <c r="B89230">
        <f>TEXT(89229, "[$-0E0000]yyyy-mm-dd")</f>
        <v/>
      </c>
    </row>
    <row r="89231">
      <c r="A89231" s="1" t="n">
        <v>89230</v>
      </c>
      <c r="B89231">
        <f>TEXT(89230, "[$-0E0000]yyyy-mm-dd")</f>
        <v/>
      </c>
    </row>
    <row r="89232">
      <c r="A89232" s="1" t="n">
        <v>89231</v>
      </c>
      <c r="B89232">
        <f>TEXT(89231, "[$-0E0000]yyyy-mm-dd")</f>
        <v/>
      </c>
    </row>
    <row r="89233">
      <c r="A89233" s="1" t="n">
        <v>89232</v>
      </c>
      <c r="B89233">
        <f>TEXT(89232, "[$-0E0000]yyyy-mm-dd")</f>
        <v/>
      </c>
    </row>
    <row r="89234">
      <c r="A89234" s="1" t="n">
        <v>89233</v>
      </c>
      <c r="B89234">
        <f>TEXT(89233, "[$-0E0000]yyyy-mm-dd")</f>
        <v/>
      </c>
    </row>
    <row r="89235">
      <c r="A89235" s="1" t="n">
        <v>89234</v>
      </c>
      <c r="B89235">
        <f>TEXT(89234, "[$-0E0000]yyyy-mm-dd")</f>
        <v/>
      </c>
    </row>
    <row r="89236">
      <c r="A89236" s="1" t="n">
        <v>89235</v>
      </c>
      <c r="B89236">
        <f>TEXT(89235, "[$-0E0000]yyyy-mm-dd")</f>
        <v/>
      </c>
    </row>
    <row r="89237">
      <c r="A89237" s="1" t="n">
        <v>89236</v>
      </c>
      <c r="B89237">
        <f>TEXT(89236, "[$-0E0000]yyyy-mm-dd")</f>
        <v/>
      </c>
    </row>
    <row r="89238">
      <c r="A89238" s="1" t="n">
        <v>89237</v>
      </c>
      <c r="B89238">
        <f>TEXT(89237, "[$-0E0000]yyyy-mm-dd")</f>
        <v/>
      </c>
    </row>
    <row r="89239">
      <c r="A89239" s="1" t="n">
        <v>89238</v>
      </c>
      <c r="B89239">
        <f>TEXT(89238, "[$-0E0000]yyyy-mm-dd")</f>
        <v/>
      </c>
    </row>
    <row r="89240">
      <c r="A89240" s="1" t="n">
        <v>89239</v>
      </c>
      <c r="B89240">
        <f>TEXT(89239, "[$-0E0000]yyyy-mm-dd")</f>
        <v/>
      </c>
    </row>
    <row r="89241">
      <c r="A89241" s="1" t="n">
        <v>89240</v>
      </c>
      <c r="B89241">
        <f>TEXT(89240, "[$-0E0000]yyyy-mm-dd")</f>
        <v/>
      </c>
    </row>
    <row r="89242">
      <c r="A89242" s="1" t="n">
        <v>89241</v>
      </c>
      <c r="B89242">
        <f>TEXT(89241, "[$-0E0000]yyyy-mm-dd")</f>
        <v/>
      </c>
    </row>
    <row r="89243">
      <c r="A89243" s="1" t="n">
        <v>89242</v>
      </c>
      <c r="B89243">
        <f>TEXT(89242, "[$-0E0000]yyyy-mm-dd")</f>
        <v/>
      </c>
    </row>
    <row r="89244">
      <c r="A89244" s="1" t="n">
        <v>89243</v>
      </c>
      <c r="B89244">
        <f>TEXT(89243, "[$-0E0000]yyyy-mm-dd")</f>
        <v/>
      </c>
    </row>
    <row r="89245">
      <c r="A89245" s="1" t="n">
        <v>89244</v>
      </c>
      <c r="B89245">
        <f>TEXT(89244, "[$-0E0000]yyyy-mm-dd")</f>
        <v/>
      </c>
    </row>
    <row r="89246">
      <c r="A89246" s="1" t="n">
        <v>89245</v>
      </c>
      <c r="B89246">
        <f>TEXT(89245, "[$-0E0000]yyyy-mm-dd")</f>
        <v/>
      </c>
    </row>
    <row r="89247">
      <c r="A89247" s="1" t="n">
        <v>89246</v>
      </c>
      <c r="B89247">
        <f>TEXT(89246, "[$-0E0000]yyyy-mm-dd")</f>
        <v/>
      </c>
    </row>
    <row r="89248">
      <c r="A89248" s="1" t="n">
        <v>89247</v>
      </c>
      <c r="B89248">
        <f>TEXT(89247, "[$-0E0000]yyyy-mm-dd")</f>
        <v/>
      </c>
    </row>
    <row r="89249">
      <c r="A89249" s="1" t="n">
        <v>89248</v>
      </c>
      <c r="B89249">
        <f>TEXT(89248, "[$-0E0000]yyyy-mm-dd")</f>
        <v/>
      </c>
    </row>
    <row r="89250">
      <c r="A89250" s="1" t="n">
        <v>89249</v>
      </c>
      <c r="B89250">
        <f>TEXT(89249, "[$-0E0000]yyyy-mm-dd")</f>
        <v/>
      </c>
    </row>
    <row r="89251">
      <c r="A89251" s="1" t="n">
        <v>89250</v>
      </c>
      <c r="B89251">
        <f>TEXT(89250, "[$-0E0000]yyyy-mm-dd")</f>
        <v/>
      </c>
    </row>
    <row r="89252">
      <c r="A89252" s="1" t="n">
        <v>89251</v>
      </c>
      <c r="B89252">
        <f>TEXT(89251, "[$-0E0000]yyyy-mm-dd")</f>
        <v/>
      </c>
    </row>
    <row r="89253">
      <c r="A89253" s="1" t="n">
        <v>89252</v>
      </c>
      <c r="B89253">
        <f>TEXT(89252, "[$-0E0000]yyyy-mm-dd")</f>
        <v/>
      </c>
    </row>
    <row r="89254">
      <c r="A89254" s="1" t="n">
        <v>89253</v>
      </c>
      <c r="B89254">
        <f>TEXT(89253, "[$-0E0000]yyyy-mm-dd")</f>
        <v/>
      </c>
    </row>
    <row r="89255">
      <c r="A89255" s="1" t="n">
        <v>89254</v>
      </c>
      <c r="B89255">
        <f>TEXT(89254, "[$-0E0000]yyyy-mm-dd")</f>
        <v/>
      </c>
    </row>
    <row r="89256">
      <c r="A89256" s="1" t="n">
        <v>89255</v>
      </c>
      <c r="B89256">
        <f>TEXT(89255, "[$-0E0000]yyyy-mm-dd")</f>
        <v/>
      </c>
    </row>
    <row r="89257">
      <c r="A89257" s="1" t="n">
        <v>89256</v>
      </c>
      <c r="B89257">
        <f>TEXT(89256, "[$-0E0000]yyyy-mm-dd")</f>
        <v/>
      </c>
    </row>
    <row r="89258">
      <c r="A89258" s="1" t="n">
        <v>89257</v>
      </c>
      <c r="B89258">
        <f>TEXT(89257, "[$-0E0000]yyyy-mm-dd")</f>
        <v/>
      </c>
    </row>
    <row r="89259">
      <c r="A89259" s="1" t="n">
        <v>89258</v>
      </c>
      <c r="B89259">
        <f>TEXT(89258, "[$-0E0000]yyyy-mm-dd")</f>
        <v/>
      </c>
    </row>
    <row r="89260">
      <c r="A89260" s="1" t="n">
        <v>89259</v>
      </c>
      <c r="B89260">
        <f>TEXT(89259, "[$-0E0000]yyyy-mm-dd")</f>
        <v/>
      </c>
    </row>
    <row r="89261">
      <c r="A89261" s="1" t="n">
        <v>89260</v>
      </c>
      <c r="B89261">
        <f>TEXT(89260, "[$-0E0000]yyyy-mm-dd")</f>
        <v/>
      </c>
    </row>
    <row r="89262">
      <c r="A89262" s="1" t="n">
        <v>89261</v>
      </c>
      <c r="B89262">
        <f>TEXT(89261, "[$-0E0000]yyyy-mm-dd")</f>
        <v/>
      </c>
    </row>
    <row r="89263">
      <c r="A89263" s="1" t="n">
        <v>89262</v>
      </c>
      <c r="B89263">
        <f>TEXT(89262, "[$-0E0000]yyyy-mm-dd")</f>
        <v/>
      </c>
    </row>
    <row r="89264">
      <c r="A89264" s="1" t="n">
        <v>89263</v>
      </c>
      <c r="B89264">
        <f>TEXT(89263, "[$-0E0000]yyyy-mm-dd")</f>
        <v/>
      </c>
    </row>
    <row r="89265">
      <c r="A89265" s="1" t="n">
        <v>89264</v>
      </c>
      <c r="B89265">
        <f>TEXT(89264, "[$-0E0000]yyyy-mm-dd")</f>
        <v/>
      </c>
    </row>
    <row r="89266">
      <c r="A89266" s="1" t="n">
        <v>89265</v>
      </c>
      <c r="B89266">
        <f>TEXT(89265, "[$-0E0000]yyyy-mm-dd")</f>
        <v/>
      </c>
    </row>
    <row r="89267">
      <c r="A89267" s="1" t="n">
        <v>89266</v>
      </c>
      <c r="B89267">
        <f>TEXT(89266, "[$-0E0000]yyyy-mm-dd")</f>
        <v/>
      </c>
    </row>
    <row r="89268">
      <c r="A89268" s="1" t="n">
        <v>89267</v>
      </c>
      <c r="B89268">
        <f>TEXT(89267, "[$-0E0000]yyyy-mm-dd")</f>
        <v/>
      </c>
    </row>
    <row r="89269">
      <c r="A89269" s="1" t="n">
        <v>89268</v>
      </c>
      <c r="B89269">
        <f>TEXT(89268, "[$-0E0000]yyyy-mm-dd")</f>
        <v/>
      </c>
    </row>
    <row r="89270">
      <c r="A89270" s="1" t="n">
        <v>89269</v>
      </c>
      <c r="B89270">
        <f>TEXT(89269, "[$-0E0000]yyyy-mm-dd")</f>
        <v/>
      </c>
    </row>
    <row r="89271">
      <c r="A89271" s="1" t="n">
        <v>89270</v>
      </c>
      <c r="B89271">
        <f>TEXT(89270, "[$-0E0000]yyyy-mm-dd")</f>
        <v/>
      </c>
    </row>
    <row r="89272">
      <c r="A89272" s="1" t="n">
        <v>89271</v>
      </c>
      <c r="B89272">
        <f>TEXT(89271, "[$-0E0000]yyyy-mm-dd")</f>
        <v/>
      </c>
    </row>
    <row r="89273">
      <c r="A89273" s="1" t="n">
        <v>89272</v>
      </c>
      <c r="B89273">
        <f>TEXT(89272, "[$-0E0000]yyyy-mm-dd")</f>
        <v/>
      </c>
    </row>
    <row r="89274">
      <c r="A89274" s="1" t="n">
        <v>89273</v>
      </c>
      <c r="B89274">
        <f>TEXT(89273, "[$-0E0000]yyyy-mm-dd")</f>
        <v/>
      </c>
    </row>
    <row r="89275">
      <c r="A89275" s="1" t="n">
        <v>89274</v>
      </c>
      <c r="B89275">
        <f>TEXT(89274, "[$-0E0000]yyyy-mm-dd")</f>
        <v/>
      </c>
    </row>
    <row r="89276">
      <c r="A89276" s="1" t="n">
        <v>89275</v>
      </c>
      <c r="B89276">
        <f>TEXT(89275, "[$-0E0000]yyyy-mm-dd")</f>
        <v/>
      </c>
    </row>
    <row r="89277">
      <c r="A89277" s="1" t="n">
        <v>89276</v>
      </c>
      <c r="B89277">
        <f>TEXT(89276, "[$-0E0000]yyyy-mm-dd")</f>
        <v/>
      </c>
    </row>
    <row r="89278">
      <c r="A89278" s="1" t="n">
        <v>89277</v>
      </c>
      <c r="B89278">
        <f>TEXT(89277, "[$-0E0000]yyyy-mm-dd")</f>
        <v/>
      </c>
    </row>
    <row r="89279">
      <c r="A89279" s="1" t="n">
        <v>89278</v>
      </c>
      <c r="B89279">
        <f>TEXT(89278, "[$-0E0000]yyyy-mm-dd")</f>
        <v/>
      </c>
    </row>
    <row r="89280">
      <c r="A89280" s="1" t="n">
        <v>89279</v>
      </c>
      <c r="B89280">
        <f>TEXT(89279, "[$-0E0000]yyyy-mm-dd")</f>
        <v/>
      </c>
    </row>
    <row r="89281">
      <c r="A89281" s="1" t="n">
        <v>89280</v>
      </c>
      <c r="B89281">
        <f>TEXT(89280, "[$-0E0000]yyyy-mm-dd")</f>
        <v/>
      </c>
    </row>
    <row r="89282">
      <c r="A89282" s="1" t="n">
        <v>89281</v>
      </c>
      <c r="B89282">
        <f>TEXT(89281, "[$-0E0000]yyyy-mm-dd")</f>
        <v/>
      </c>
    </row>
    <row r="89283">
      <c r="A89283" s="1" t="n">
        <v>89282</v>
      </c>
      <c r="B89283">
        <f>TEXT(89282, "[$-0E0000]yyyy-mm-dd")</f>
        <v/>
      </c>
    </row>
    <row r="89284">
      <c r="A89284" s="1" t="n">
        <v>89283</v>
      </c>
      <c r="B89284">
        <f>TEXT(89283, "[$-0E0000]yyyy-mm-dd")</f>
        <v/>
      </c>
    </row>
    <row r="89285">
      <c r="A89285" s="1" t="n">
        <v>89284</v>
      </c>
      <c r="B89285">
        <f>TEXT(89284, "[$-0E0000]yyyy-mm-dd")</f>
        <v/>
      </c>
    </row>
    <row r="89286">
      <c r="A89286" s="1" t="n">
        <v>89285</v>
      </c>
      <c r="B89286">
        <f>TEXT(89285, "[$-0E0000]yyyy-mm-dd")</f>
        <v/>
      </c>
    </row>
    <row r="89287">
      <c r="A89287" s="1" t="n">
        <v>89286</v>
      </c>
      <c r="B89287">
        <f>TEXT(89286, "[$-0E0000]yyyy-mm-dd")</f>
        <v/>
      </c>
    </row>
    <row r="89288">
      <c r="A89288" s="1" t="n">
        <v>89287</v>
      </c>
      <c r="B89288">
        <f>TEXT(89287, "[$-0E0000]yyyy-mm-dd")</f>
        <v/>
      </c>
    </row>
    <row r="89289">
      <c r="A89289" s="1" t="n">
        <v>89288</v>
      </c>
      <c r="B89289">
        <f>TEXT(89288, "[$-0E0000]yyyy-mm-dd")</f>
        <v/>
      </c>
    </row>
    <row r="89290">
      <c r="A89290" s="1" t="n">
        <v>89289</v>
      </c>
      <c r="B89290">
        <f>TEXT(89289, "[$-0E0000]yyyy-mm-dd")</f>
        <v/>
      </c>
    </row>
    <row r="89291">
      <c r="A89291" s="1" t="n">
        <v>89290</v>
      </c>
      <c r="B89291">
        <f>TEXT(89290, "[$-0E0000]yyyy-mm-dd")</f>
        <v/>
      </c>
    </row>
    <row r="89292">
      <c r="A89292" s="1" t="n">
        <v>89291</v>
      </c>
      <c r="B89292">
        <f>TEXT(89291, "[$-0E0000]yyyy-mm-dd")</f>
        <v/>
      </c>
    </row>
    <row r="89293">
      <c r="A89293" s="1" t="n">
        <v>89292</v>
      </c>
      <c r="B89293">
        <f>TEXT(89292, "[$-0E0000]yyyy-mm-dd")</f>
        <v/>
      </c>
    </row>
    <row r="89294">
      <c r="A89294" s="1" t="n">
        <v>89293</v>
      </c>
      <c r="B89294">
        <f>TEXT(89293, "[$-0E0000]yyyy-mm-dd")</f>
        <v/>
      </c>
    </row>
    <row r="89295">
      <c r="A89295" s="1" t="n">
        <v>89294</v>
      </c>
      <c r="B89295">
        <f>TEXT(89294, "[$-0E0000]yyyy-mm-dd")</f>
        <v/>
      </c>
    </row>
    <row r="89296">
      <c r="A89296" s="1" t="n">
        <v>89295</v>
      </c>
      <c r="B89296">
        <f>TEXT(89295, "[$-0E0000]yyyy-mm-dd")</f>
        <v/>
      </c>
    </row>
    <row r="89297">
      <c r="A89297" s="1" t="n">
        <v>89296</v>
      </c>
      <c r="B89297">
        <f>TEXT(89296, "[$-0E0000]yyyy-mm-dd")</f>
        <v/>
      </c>
    </row>
    <row r="89298">
      <c r="A89298" s="1" t="n">
        <v>89297</v>
      </c>
      <c r="B89298">
        <f>TEXT(89297, "[$-0E0000]yyyy-mm-dd")</f>
        <v/>
      </c>
    </row>
    <row r="89299">
      <c r="A89299" s="1" t="n">
        <v>89298</v>
      </c>
      <c r="B89299">
        <f>TEXT(89298, "[$-0E0000]yyyy-mm-dd")</f>
        <v/>
      </c>
    </row>
    <row r="89300">
      <c r="A89300" s="1" t="n">
        <v>89299</v>
      </c>
      <c r="B89300">
        <f>TEXT(89299, "[$-0E0000]yyyy-mm-dd")</f>
        <v/>
      </c>
    </row>
    <row r="89301">
      <c r="A89301" s="1" t="n">
        <v>89300</v>
      </c>
      <c r="B89301">
        <f>TEXT(89300, "[$-0E0000]yyyy-mm-dd")</f>
        <v/>
      </c>
    </row>
    <row r="89302">
      <c r="A89302" s="1" t="n">
        <v>89301</v>
      </c>
      <c r="B89302">
        <f>TEXT(89301, "[$-0E0000]yyyy-mm-dd")</f>
        <v/>
      </c>
    </row>
    <row r="89303">
      <c r="A89303" s="1" t="n">
        <v>89302</v>
      </c>
      <c r="B89303">
        <f>TEXT(89302, "[$-0E0000]yyyy-mm-dd")</f>
        <v/>
      </c>
    </row>
    <row r="89304">
      <c r="A89304" s="1" t="n">
        <v>89303</v>
      </c>
      <c r="B89304">
        <f>TEXT(89303, "[$-0E0000]yyyy-mm-dd")</f>
        <v/>
      </c>
    </row>
    <row r="89305">
      <c r="A89305" s="1" t="n">
        <v>89304</v>
      </c>
      <c r="B89305">
        <f>TEXT(89304, "[$-0E0000]yyyy-mm-dd")</f>
        <v/>
      </c>
    </row>
    <row r="89306">
      <c r="A89306" s="1" t="n">
        <v>89305</v>
      </c>
      <c r="B89306">
        <f>TEXT(89305, "[$-0E0000]yyyy-mm-dd")</f>
        <v/>
      </c>
    </row>
    <row r="89307">
      <c r="A89307" s="1" t="n">
        <v>89306</v>
      </c>
      <c r="B89307">
        <f>TEXT(89306, "[$-0E0000]yyyy-mm-dd")</f>
        <v/>
      </c>
    </row>
    <row r="89308">
      <c r="A89308" s="1" t="n">
        <v>89307</v>
      </c>
      <c r="B89308">
        <f>TEXT(89307, "[$-0E0000]yyyy-mm-dd")</f>
        <v/>
      </c>
    </row>
    <row r="89309">
      <c r="A89309" s="1" t="n">
        <v>89308</v>
      </c>
      <c r="B89309">
        <f>TEXT(89308, "[$-0E0000]yyyy-mm-dd")</f>
        <v/>
      </c>
    </row>
    <row r="89310">
      <c r="A89310" s="1" t="n">
        <v>89309</v>
      </c>
      <c r="B89310">
        <f>TEXT(89309, "[$-0E0000]yyyy-mm-dd")</f>
        <v/>
      </c>
    </row>
    <row r="89311">
      <c r="A89311" s="1" t="n">
        <v>89310</v>
      </c>
      <c r="B89311">
        <f>TEXT(89310, "[$-0E0000]yyyy-mm-dd")</f>
        <v/>
      </c>
    </row>
    <row r="89312">
      <c r="A89312" s="1" t="n">
        <v>89311</v>
      </c>
      <c r="B89312">
        <f>TEXT(89311, "[$-0E0000]yyyy-mm-dd")</f>
        <v/>
      </c>
    </row>
    <row r="89313">
      <c r="A89313" s="1" t="n">
        <v>89312</v>
      </c>
      <c r="B89313">
        <f>TEXT(89312, "[$-0E0000]yyyy-mm-dd")</f>
        <v/>
      </c>
    </row>
    <row r="89314">
      <c r="A89314" s="1" t="n">
        <v>89313</v>
      </c>
      <c r="B89314">
        <f>TEXT(89313, "[$-0E0000]yyyy-mm-dd")</f>
        <v/>
      </c>
    </row>
    <row r="89315">
      <c r="A89315" s="1" t="n">
        <v>89314</v>
      </c>
      <c r="B89315">
        <f>TEXT(89314, "[$-0E0000]yyyy-mm-dd")</f>
        <v/>
      </c>
    </row>
    <row r="89316">
      <c r="A89316" s="1" t="n">
        <v>89315</v>
      </c>
      <c r="B89316">
        <f>TEXT(89315, "[$-0E0000]yyyy-mm-dd")</f>
        <v/>
      </c>
    </row>
    <row r="89317">
      <c r="A89317" s="1" t="n">
        <v>89316</v>
      </c>
      <c r="B89317">
        <f>TEXT(89316, "[$-0E0000]yyyy-mm-dd")</f>
        <v/>
      </c>
    </row>
    <row r="89318">
      <c r="A89318" s="1" t="n">
        <v>89317</v>
      </c>
      <c r="B89318">
        <f>TEXT(89317, "[$-0E0000]yyyy-mm-dd")</f>
        <v/>
      </c>
    </row>
    <row r="89319">
      <c r="A89319" s="1" t="n">
        <v>89318</v>
      </c>
      <c r="B89319">
        <f>TEXT(89318, "[$-0E0000]yyyy-mm-dd")</f>
        <v/>
      </c>
    </row>
    <row r="89320">
      <c r="A89320" s="1" t="n">
        <v>89319</v>
      </c>
      <c r="B89320">
        <f>TEXT(89319, "[$-0E0000]yyyy-mm-dd")</f>
        <v/>
      </c>
    </row>
    <row r="89321">
      <c r="A89321" s="1" t="n">
        <v>89320</v>
      </c>
      <c r="B89321">
        <f>TEXT(89320, "[$-0E0000]yyyy-mm-dd")</f>
        <v/>
      </c>
    </row>
    <row r="89322">
      <c r="A89322" s="1" t="n">
        <v>89321</v>
      </c>
      <c r="B89322">
        <f>TEXT(89321, "[$-0E0000]yyyy-mm-dd")</f>
        <v/>
      </c>
    </row>
    <row r="89323">
      <c r="A89323" s="1" t="n">
        <v>89322</v>
      </c>
      <c r="B89323">
        <f>TEXT(89322, "[$-0E0000]yyyy-mm-dd")</f>
        <v/>
      </c>
    </row>
    <row r="89324">
      <c r="A89324" s="1" t="n">
        <v>89323</v>
      </c>
      <c r="B89324">
        <f>TEXT(89323, "[$-0E0000]yyyy-mm-dd")</f>
        <v/>
      </c>
    </row>
    <row r="89325">
      <c r="A89325" s="1" t="n">
        <v>89324</v>
      </c>
      <c r="B89325">
        <f>TEXT(89324, "[$-0E0000]yyyy-mm-dd")</f>
        <v/>
      </c>
    </row>
    <row r="89326">
      <c r="A89326" s="1" t="n">
        <v>89325</v>
      </c>
      <c r="B89326">
        <f>TEXT(89325, "[$-0E0000]yyyy-mm-dd")</f>
        <v/>
      </c>
    </row>
    <row r="89327">
      <c r="A89327" s="1" t="n">
        <v>89326</v>
      </c>
      <c r="B89327">
        <f>TEXT(89326, "[$-0E0000]yyyy-mm-dd")</f>
        <v/>
      </c>
    </row>
    <row r="89328">
      <c r="A89328" s="1" t="n">
        <v>89327</v>
      </c>
      <c r="B89328">
        <f>TEXT(89327, "[$-0E0000]yyyy-mm-dd")</f>
        <v/>
      </c>
    </row>
    <row r="89329">
      <c r="A89329" s="1" t="n">
        <v>89328</v>
      </c>
      <c r="B89329">
        <f>TEXT(89328, "[$-0E0000]yyyy-mm-dd")</f>
        <v/>
      </c>
    </row>
    <row r="89330">
      <c r="A89330" s="1" t="n">
        <v>89329</v>
      </c>
      <c r="B89330">
        <f>TEXT(89329, "[$-0E0000]yyyy-mm-dd")</f>
        <v/>
      </c>
    </row>
    <row r="89331">
      <c r="A89331" s="1" t="n">
        <v>89330</v>
      </c>
      <c r="B89331">
        <f>TEXT(89330, "[$-0E0000]yyyy-mm-dd")</f>
        <v/>
      </c>
    </row>
    <row r="89332">
      <c r="A89332" s="1" t="n">
        <v>89331</v>
      </c>
      <c r="B89332">
        <f>TEXT(89331, "[$-0E0000]yyyy-mm-dd")</f>
        <v/>
      </c>
    </row>
    <row r="89333">
      <c r="A89333" s="1" t="n">
        <v>89332</v>
      </c>
      <c r="B89333">
        <f>TEXT(89332, "[$-0E0000]yyyy-mm-dd")</f>
        <v/>
      </c>
    </row>
    <row r="89334">
      <c r="A89334" s="1" t="n">
        <v>89333</v>
      </c>
      <c r="B89334">
        <f>TEXT(89333, "[$-0E0000]yyyy-mm-dd")</f>
        <v/>
      </c>
    </row>
    <row r="89335">
      <c r="A89335" s="1" t="n">
        <v>89334</v>
      </c>
      <c r="B89335">
        <f>TEXT(89334, "[$-0E0000]yyyy-mm-dd")</f>
        <v/>
      </c>
    </row>
    <row r="89336">
      <c r="A89336" s="1" t="n">
        <v>89335</v>
      </c>
      <c r="B89336">
        <f>TEXT(89335, "[$-0E0000]yyyy-mm-dd")</f>
        <v/>
      </c>
    </row>
    <row r="89337">
      <c r="A89337" s="1" t="n">
        <v>89336</v>
      </c>
      <c r="B89337">
        <f>TEXT(89336, "[$-0E0000]yyyy-mm-dd")</f>
        <v/>
      </c>
    </row>
    <row r="89338">
      <c r="A89338" s="1" t="n">
        <v>89337</v>
      </c>
      <c r="B89338">
        <f>TEXT(89337, "[$-0E0000]yyyy-mm-dd")</f>
        <v/>
      </c>
    </row>
    <row r="89339">
      <c r="A89339" s="1" t="n">
        <v>89338</v>
      </c>
      <c r="B89339">
        <f>TEXT(89338, "[$-0E0000]yyyy-mm-dd")</f>
        <v/>
      </c>
    </row>
    <row r="89340">
      <c r="A89340" s="1" t="n">
        <v>89339</v>
      </c>
      <c r="B89340">
        <f>TEXT(89339, "[$-0E0000]yyyy-mm-dd")</f>
        <v/>
      </c>
    </row>
    <row r="89341">
      <c r="A89341" s="1" t="n">
        <v>89340</v>
      </c>
      <c r="B89341">
        <f>TEXT(89340, "[$-0E0000]yyyy-mm-dd")</f>
        <v/>
      </c>
    </row>
    <row r="89342">
      <c r="A89342" s="1" t="n">
        <v>89341</v>
      </c>
      <c r="B89342">
        <f>TEXT(89341, "[$-0E0000]yyyy-mm-dd")</f>
        <v/>
      </c>
    </row>
    <row r="89343">
      <c r="A89343" s="1" t="n">
        <v>89342</v>
      </c>
      <c r="B89343">
        <f>TEXT(89342, "[$-0E0000]yyyy-mm-dd")</f>
        <v/>
      </c>
    </row>
    <row r="89344">
      <c r="A89344" s="1" t="n">
        <v>89343</v>
      </c>
      <c r="B89344">
        <f>TEXT(89343, "[$-0E0000]yyyy-mm-dd")</f>
        <v/>
      </c>
    </row>
    <row r="89345">
      <c r="A89345" s="1" t="n">
        <v>89344</v>
      </c>
      <c r="B89345">
        <f>TEXT(89344, "[$-0E0000]yyyy-mm-dd")</f>
        <v/>
      </c>
    </row>
    <row r="89346">
      <c r="A89346" s="1" t="n">
        <v>89345</v>
      </c>
      <c r="B89346">
        <f>TEXT(89345, "[$-0E0000]yyyy-mm-dd")</f>
        <v/>
      </c>
    </row>
    <row r="89347">
      <c r="A89347" s="1" t="n">
        <v>89346</v>
      </c>
      <c r="B89347">
        <f>TEXT(89346, "[$-0E0000]yyyy-mm-dd")</f>
        <v/>
      </c>
    </row>
    <row r="89348">
      <c r="A89348" s="1" t="n">
        <v>89347</v>
      </c>
      <c r="B89348">
        <f>TEXT(89347, "[$-0E0000]yyyy-mm-dd")</f>
        <v/>
      </c>
    </row>
    <row r="89349">
      <c r="A89349" s="1" t="n">
        <v>89348</v>
      </c>
      <c r="B89349">
        <f>TEXT(89348, "[$-0E0000]yyyy-mm-dd")</f>
        <v/>
      </c>
    </row>
    <row r="89350">
      <c r="A89350" s="1" t="n">
        <v>89349</v>
      </c>
      <c r="B89350">
        <f>TEXT(89349, "[$-0E0000]yyyy-mm-dd")</f>
        <v/>
      </c>
    </row>
    <row r="89351">
      <c r="A89351" s="1" t="n">
        <v>89350</v>
      </c>
      <c r="B89351">
        <f>TEXT(89350, "[$-0E0000]yyyy-mm-dd")</f>
        <v/>
      </c>
    </row>
    <row r="89352">
      <c r="A89352" s="1" t="n">
        <v>89351</v>
      </c>
      <c r="B89352">
        <f>TEXT(89351, "[$-0E0000]yyyy-mm-dd")</f>
        <v/>
      </c>
    </row>
    <row r="89353">
      <c r="A89353" s="1" t="n">
        <v>89352</v>
      </c>
      <c r="B89353">
        <f>TEXT(89352, "[$-0E0000]yyyy-mm-dd")</f>
        <v/>
      </c>
    </row>
    <row r="89354">
      <c r="A89354" s="1" t="n">
        <v>89353</v>
      </c>
      <c r="B89354">
        <f>TEXT(89353, "[$-0E0000]yyyy-mm-dd")</f>
        <v/>
      </c>
    </row>
    <row r="89355">
      <c r="A89355" s="1" t="n">
        <v>89354</v>
      </c>
      <c r="B89355">
        <f>TEXT(89354, "[$-0E0000]yyyy-mm-dd")</f>
        <v/>
      </c>
    </row>
    <row r="89356">
      <c r="A89356" s="1" t="n">
        <v>89355</v>
      </c>
      <c r="B89356">
        <f>TEXT(89355, "[$-0E0000]yyyy-mm-dd")</f>
        <v/>
      </c>
    </row>
    <row r="89357">
      <c r="A89357" s="1" t="n">
        <v>89356</v>
      </c>
      <c r="B89357">
        <f>TEXT(89356, "[$-0E0000]yyyy-mm-dd")</f>
        <v/>
      </c>
    </row>
    <row r="89358">
      <c r="A89358" s="1" t="n">
        <v>89357</v>
      </c>
      <c r="B89358">
        <f>TEXT(89357, "[$-0E0000]yyyy-mm-dd")</f>
        <v/>
      </c>
    </row>
    <row r="89359">
      <c r="A89359" s="1" t="n">
        <v>89358</v>
      </c>
      <c r="B89359">
        <f>TEXT(89358, "[$-0E0000]yyyy-mm-dd")</f>
        <v/>
      </c>
    </row>
    <row r="89360">
      <c r="A89360" s="1" t="n">
        <v>89359</v>
      </c>
      <c r="B89360">
        <f>TEXT(89359, "[$-0E0000]yyyy-mm-dd")</f>
        <v/>
      </c>
    </row>
    <row r="89361">
      <c r="A89361" s="1" t="n">
        <v>89360</v>
      </c>
      <c r="B89361">
        <f>TEXT(89360, "[$-0E0000]yyyy-mm-dd")</f>
        <v/>
      </c>
    </row>
    <row r="89362">
      <c r="A89362" s="1" t="n">
        <v>89361</v>
      </c>
      <c r="B89362">
        <f>TEXT(89361, "[$-0E0000]yyyy-mm-dd")</f>
        <v/>
      </c>
    </row>
    <row r="89363">
      <c r="A89363" s="1" t="n">
        <v>89362</v>
      </c>
      <c r="B89363">
        <f>TEXT(89362, "[$-0E0000]yyyy-mm-dd")</f>
        <v/>
      </c>
    </row>
    <row r="89364">
      <c r="A89364" s="1" t="n">
        <v>89363</v>
      </c>
      <c r="B89364">
        <f>TEXT(89363, "[$-0E0000]yyyy-mm-dd")</f>
        <v/>
      </c>
    </row>
    <row r="89365">
      <c r="A89365" s="1" t="n">
        <v>89364</v>
      </c>
      <c r="B89365">
        <f>TEXT(89364, "[$-0E0000]yyyy-mm-dd")</f>
        <v/>
      </c>
    </row>
    <row r="89366">
      <c r="A89366" s="1" t="n">
        <v>89365</v>
      </c>
      <c r="B89366">
        <f>TEXT(89365, "[$-0E0000]yyyy-mm-dd")</f>
        <v/>
      </c>
    </row>
    <row r="89367">
      <c r="A89367" s="1" t="n">
        <v>89366</v>
      </c>
      <c r="B89367">
        <f>TEXT(89366, "[$-0E0000]yyyy-mm-dd")</f>
        <v/>
      </c>
    </row>
    <row r="89368">
      <c r="A89368" s="1" t="n">
        <v>89367</v>
      </c>
      <c r="B89368">
        <f>TEXT(89367, "[$-0E0000]yyyy-mm-dd")</f>
        <v/>
      </c>
    </row>
    <row r="89369">
      <c r="A89369" s="1" t="n">
        <v>89368</v>
      </c>
      <c r="B89369">
        <f>TEXT(89368, "[$-0E0000]yyyy-mm-dd")</f>
        <v/>
      </c>
    </row>
    <row r="89370">
      <c r="A89370" s="1" t="n">
        <v>89369</v>
      </c>
      <c r="B89370">
        <f>TEXT(89369, "[$-0E0000]yyyy-mm-dd")</f>
        <v/>
      </c>
    </row>
    <row r="89371">
      <c r="A89371" s="1" t="n">
        <v>89370</v>
      </c>
      <c r="B89371">
        <f>TEXT(89370, "[$-0E0000]yyyy-mm-dd")</f>
        <v/>
      </c>
    </row>
    <row r="89372">
      <c r="A89372" s="1" t="n">
        <v>89371</v>
      </c>
      <c r="B89372">
        <f>TEXT(89371, "[$-0E0000]yyyy-mm-dd")</f>
        <v/>
      </c>
    </row>
    <row r="89373">
      <c r="A89373" s="1" t="n">
        <v>89372</v>
      </c>
      <c r="B89373">
        <f>TEXT(89372, "[$-0E0000]yyyy-mm-dd")</f>
        <v/>
      </c>
    </row>
    <row r="89374">
      <c r="A89374" s="1" t="n">
        <v>89373</v>
      </c>
      <c r="B89374">
        <f>TEXT(89373, "[$-0E0000]yyyy-mm-dd")</f>
        <v/>
      </c>
    </row>
    <row r="89375">
      <c r="A89375" s="1" t="n">
        <v>89374</v>
      </c>
      <c r="B89375">
        <f>TEXT(89374, "[$-0E0000]yyyy-mm-dd")</f>
        <v/>
      </c>
    </row>
    <row r="89376">
      <c r="A89376" s="1" t="n">
        <v>89375</v>
      </c>
      <c r="B89376">
        <f>TEXT(89375, "[$-0E0000]yyyy-mm-dd")</f>
        <v/>
      </c>
    </row>
    <row r="89377">
      <c r="A89377" s="1" t="n">
        <v>89376</v>
      </c>
      <c r="B89377">
        <f>TEXT(89376, "[$-0E0000]yyyy-mm-dd")</f>
        <v/>
      </c>
    </row>
    <row r="89378">
      <c r="A89378" s="1" t="n">
        <v>89377</v>
      </c>
      <c r="B89378">
        <f>TEXT(89377, "[$-0E0000]yyyy-mm-dd")</f>
        <v/>
      </c>
    </row>
    <row r="89379">
      <c r="A89379" s="1" t="n">
        <v>89378</v>
      </c>
      <c r="B89379">
        <f>TEXT(89378, "[$-0E0000]yyyy-mm-dd")</f>
        <v/>
      </c>
    </row>
    <row r="89380">
      <c r="A89380" s="1" t="n">
        <v>89379</v>
      </c>
      <c r="B89380">
        <f>TEXT(89379, "[$-0E0000]yyyy-mm-dd")</f>
        <v/>
      </c>
    </row>
    <row r="89381">
      <c r="A89381" s="1" t="n">
        <v>89380</v>
      </c>
      <c r="B89381">
        <f>TEXT(89380, "[$-0E0000]yyyy-mm-dd")</f>
        <v/>
      </c>
    </row>
    <row r="89382">
      <c r="A89382" s="1" t="n">
        <v>89381</v>
      </c>
      <c r="B89382">
        <f>TEXT(89381, "[$-0E0000]yyyy-mm-dd")</f>
        <v/>
      </c>
    </row>
    <row r="89383">
      <c r="A89383" s="1" t="n">
        <v>89382</v>
      </c>
      <c r="B89383">
        <f>TEXT(89382, "[$-0E0000]yyyy-mm-dd")</f>
        <v/>
      </c>
    </row>
    <row r="89384">
      <c r="A89384" s="1" t="n">
        <v>89383</v>
      </c>
      <c r="B89384">
        <f>TEXT(89383, "[$-0E0000]yyyy-mm-dd")</f>
        <v/>
      </c>
    </row>
    <row r="89385">
      <c r="A89385" s="1" t="n">
        <v>89384</v>
      </c>
      <c r="B89385">
        <f>TEXT(89384, "[$-0E0000]yyyy-mm-dd")</f>
        <v/>
      </c>
    </row>
    <row r="89386">
      <c r="A89386" s="1" t="n">
        <v>89385</v>
      </c>
      <c r="B89386">
        <f>TEXT(89385, "[$-0E0000]yyyy-mm-dd")</f>
        <v/>
      </c>
    </row>
    <row r="89387">
      <c r="A89387" s="1" t="n">
        <v>89386</v>
      </c>
      <c r="B89387">
        <f>TEXT(89386, "[$-0E0000]yyyy-mm-dd")</f>
        <v/>
      </c>
    </row>
    <row r="89388">
      <c r="A89388" s="1" t="n">
        <v>89387</v>
      </c>
      <c r="B89388">
        <f>TEXT(89387, "[$-0E0000]yyyy-mm-dd")</f>
        <v/>
      </c>
    </row>
    <row r="89389">
      <c r="A89389" s="1" t="n">
        <v>89388</v>
      </c>
      <c r="B89389">
        <f>TEXT(89388, "[$-0E0000]yyyy-mm-dd")</f>
        <v/>
      </c>
    </row>
    <row r="89390">
      <c r="A89390" s="1" t="n">
        <v>89389</v>
      </c>
      <c r="B89390">
        <f>TEXT(89389, "[$-0E0000]yyyy-mm-dd")</f>
        <v/>
      </c>
    </row>
    <row r="89391">
      <c r="A89391" s="1" t="n">
        <v>89390</v>
      </c>
      <c r="B89391">
        <f>TEXT(89390, "[$-0E0000]yyyy-mm-dd")</f>
        <v/>
      </c>
    </row>
    <row r="89392">
      <c r="A89392" s="1" t="n">
        <v>89391</v>
      </c>
      <c r="B89392">
        <f>TEXT(89391, "[$-0E0000]yyyy-mm-dd")</f>
        <v/>
      </c>
    </row>
    <row r="89393">
      <c r="A89393" s="1" t="n">
        <v>89392</v>
      </c>
      <c r="B89393">
        <f>TEXT(89392, "[$-0E0000]yyyy-mm-dd")</f>
        <v/>
      </c>
    </row>
    <row r="89394">
      <c r="A89394" s="1" t="n">
        <v>89393</v>
      </c>
      <c r="B89394">
        <f>TEXT(89393, "[$-0E0000]yyyy-mm-dd")</f>
        <v/>
      </c>
    </row>
    <row r="89395">
      <c r="A89395" s="1" t="n">
        <v>89394</v>
      </c>
      <c r="B89395">
        <f>TEXT(89394, "[$-0E0000]yyyy-mm-dd")</f>
        <v/>
      </c>
    </row>
    <row r="89396">
      <c r="A89396" s="1" t="n">
        <v>89395</v>
      </c>
      <c r="B89396">
        <f>TEXT(89395, "[$-0E0000]yyyy-mm-dd")</f>
        <v/>
      </c>
    </row>
    <row r="89397">
      <c r="A89397" s="1" t="n">
        <v>89396</v>
      </c>
      <c r="B89397">
        <f>TEXT(89396, "[$-0E0000]yyyy-mm-dd")</f>
        <v/>
      </c>
    </row>
    <row r="89398">
      <c r="A89398" s="1" t="n">
        <v>89397</v>
      </c>
      <c r="B89398">
        <f>TEXT(89397, "[$-0E0000]yyyy-mm-dd")</f>
        <v/>
      </c>
    </row>
    <row r="89399">
      <c r="A89399" s="1" t="n">
        <v>89398</v>
      </c>
      <c r="B89399">
        <f>TEXT(89398, "[$-0E0000]yyyy-mm-dd")</f>
        <v/>
      </c>
    </row>
    <row r="89400">
      <c r="A89400" s="1" t="n">
        <v>89399</v>
      </c>
      <c r="B89400">
        <f>TEXT(89399, "[$-0E0000]yyyy-mm-dd")</f>
        <v/>
      </c>
    </row>
    <row r="89401">
      <c r="A89401" s="1" t="n">
        <v>89400</v>
      </c>
      <c r="B89401">
        <f>TEXT(89400, "[$-0E0000]yyyy-mm-dd")</f>
        <v/>
      </c>
    </row>
    <row r="89402">
      <c r="A89402" s="1" t="n">
        <v>89401</v>
      </c>
      <c r="B89402">
        <f>TEXT(89401, "[$-0E0000]yyyy-mm-dd")</f>
        <v/>
      </c>
    </row>
    <row r="89403">
      <c r="A89403" s="1" t="n">
        <v>89402</v>
      </c>
      <c r="B89403">
        <f>TEXT(89402, "[$-0E0000]yyyy-mm-dd")</f>
        <v/>
      </c>
    </row>
    <row r="89404">
      <c r="A89404" s="1" t="n">
        <v>89403</v>
      </c>
      <c r="B89404">
        <f>TEXT(89403, "[$-0E0000]yyyy-mm-dd")</f>
        <v/>
      </c>
    </row>
    <row r="89405">
      <c r="A89405" s="1" t="n">
        <v>89404</v>
      </c>
      <c r="B89405">
        <f>TEXT(89404, "[$-0E0000]yyyy-mm-dd")</f>
        <v/>
      </c>
    </row>
    <row r="89406">
      <c r="A89406" s="1" t="n">
        <v>89405</v>
      </c>
      <c r="B89406">
        <f>TEXT(89405, "[$-0E0000]yyyy-mm-dd")</f>
        <v/>
      </c>
    </row>
    <row r="89407">
      <c r="A89407" s="1" t="n">
        <v>89406</v>
      </c>
      <c r="B89407">
        <f>TEXT(89406, "[$-0E0000]yyyy-mm-dd")</f>
        <v/>
      </c>
    </row>
    <row r="89408">
      <c r="A89408" s="1" t="n">
        <v>89407</v>
      </c>
      <c r="B89408">
        <f>TEXT(89407, "[$-0E0000]yyyy-mm-dd")</f>
        <v/>
      </c>
    </row>
    <row r="89409">
      <c r="A89409" s="1" t="n">
        <v>89408</v>
      </c>
      <c r="B89409">
        <f>TEXT(89408, "[$-0E0000]yyyy-mm-dd")</f>
        <v/>
      </c>
    </row>
    <row r="89410">
      <c r="A89410" s="1" t="n">
        <v>89409</v>
      </c>
      <c r="B89410">
        <f>TEXT(89409, "[$-0E0000]yyyy-mm-dd")</f>
        <v/>
      </c>
    </row>
    <row r="89411">
      <c r="A89411" s="1" t="n">
        <v>89410</v>
      </c>
      <c r="B89411">
        <f>TEXT(89410, "[$-0E0000]yyyy-mm-dd")</f>
        <v/>
      </c>
    </row>
    <row r="89412">
      <c r="A89412" s="1" t="n">
        <v>89411</v>
      </c>
      <c r="B89412">
        <f>TEXT(89411, "[$-0E0000]yyyy-mm-dd")</f>
        <v/>
      </c>
    </row>
    <row r="89413">
      <c r="A89413" s="1" t="n">
        <v>89412</v>
      </c>
      <c r="B89413">
        <f>TEXT(89412, "[$-0E0000]yyyy-mm-dd")</f>
        <v/>
      </c>
    </row>
    <row r="89414">
      <c r="A89414" s="1" t="n">
        <v>89413</v>
      </c>
      <c r="B89414">
        <f>TEXT(89413, "[$-0E0000]yyyy-mm-dd")</f>
        <v/>
      </c>
    </row>
    <row r="89415">
      <c r="A89415" s="1" t="n">
        <v>89414</v>
      </c>
      <c r="B89415">
        <f>TEXT(89414, "[$-0E0000]yyyy-mm-dd")</f>
        <v/>
      </c>
    </row>
    <row r="89416">
      <c r="A89416" s="1" t="n">
        <v>89415</v>
      </c>
      <c r="B89416">
        <f>TEXT(89415, "[$-0E0000]yyyy-mm-dd")</f>
        <v/>
      </c>
    </row>
    <row r="89417">
      <c r="A89417" s="1" t="n">
        <v>89416</v>
      </c>
      <c r="B89417">
        <f>TEXT(89416, "[$-0E0000]yyyy-mm-dd")</f>
        <v/>
      </c>
    </row>
    <row r="89418">
      <c r="A89418" s="1" t="n">
        <v>89417</v>
      </c>
      <c r="B89418">
        <f>TEXT(89417, "[$-0E0000]yyyy-mm-dd")</f>
        <v/>
      </c>
    </row>
    <row r="89419">
      <c r="A89419" s="1" t="n">
        <v>89418</v>
      </c>
      <c r="B89419">
        <f>TEXT(89418, "[$-0E0000]yyyy-mm-dd")</f>
        <v/>
      </c>
    </row>
    <row r="89420">
      <c r="A89420" s="1" t="n">
        <v>89419</v>
      </c>
      <c r="B89420">
        <f>TEXT(89419, "[$-0E0000]yyyy-mm-dd")</f>
        <v/>
      </c>
    </row>
    <row r="89421">
      <c r="A89421" s="1" t="n">
        <v>89420</v>
      </c>
      <c r="B89421">
        <f>TEXT(89420, "[$-0E0000]yyyy-mm-dd")</f>
        <v/>
      </c>
    </row>
    <row r="89422">
      <c r="A89422" s="1" t="n">
        <v>89421</v>
      </c>
      <c r="B89422">
        <f>TEXT(89421, "[$-0E0000]yyyy-mm-dd")</f>
        <v/>
      </c>
    </row>
    <row r="89423">
      <c r="A89423" s="1" t="n">
        <v>89422</v>
      </c>
      <c r="B89423">
        <f>TEXT(89422, "[$-0E0000]yyyy-mm-dd")</f>
        <v/>
      </c>
    </row>
    <row r="89424">
      <c r="A89424" s="1" t="n">
        <v>89423</v>
      </c>
      <c r="B89424">
        <f>TEXT(89423, "[$-0E0000]yyyy-mm-dd")</f>
        <v/>
      </c>
    </row>
    <row r="89425">
      <c r="A89425" s="1" t="n">
        <v>89424</v>
      </c>
      <c r="B89425">
        <f>TEXT(89424, "[$-0E0000]yyyy-mm-dd")</f>
        <v/>
      </c>
    </row>
    <row r="89426">
      <c r="A89426" s="1" t="n">
        <v>89425</v>
      </c>
      <c r="B89426">
        <f>TEXT(89425, "[$-0E0000]yyyy-mm-dd")</f>
        <v/>
      </c>
    </row>
    <row r="89427">
      <c r="A89427" s="1" t="n">
        <v>89426</v>
      </c>
      <c r="B89427">
        <f>TEXT(89426, "[$-0E0000]yyyy-mm-dd")</f>
        <v/>
      </c>
    </row>
    <row r="89428">
      <c r="A89428" s="1" t="n">
        <v>89427</v>
      </c>
      <c r="B89428">
        <f>TEXT(89427, "[$-0E0000]yyyy-mm-dd")</f>
        <v/>
      </c>
    </row>
    <row r="89429">
      <c r="A89429" s="1" t="n">
        <v>89428</v>
      </c>
      <c r="B89429">
        <f>TEXT(89428, "[$-0E0000]yyyy-mm-dd")</f>
        <v/>
      </c>
    </row>
    <row r="89430">
      <c r="A89430" s="1" t="n">
        <v>89429</v>
      </c>
      <c r="B89430">
        <f>TEXT(89429, "[$-0E0000]yyyy-mm-dd")</f>
        <v/>
      </c>
    </row>
    <row r="89431">
      <c r="A89431" s="1" t="n">
        <v>89430</v>
      </c>
      <c r="B89431">
        <f>TEXT(89430, "[$-0E0000]yyyy-mm-dd")</f>
        <v/>
      </c>
    </row>
    <row r="89432">
      <c r="A89432" s="1" t="n">
        <v>89431</v>
      </c>
      <c r="B89432">
        <f>TEXT(89431, "[$-0E0000]yyyy-mm-dd")</f>
        <v/>
      </c>
    </row>
    <row r="89433">
      <c r="A89433" s="1" t="n">
        <v>89432</v>
      </c>
      <c r="B89433">
        <f>TEXT(89432, "[$-0E0000]yyyy-mm-dd")</f>
        <v/>
      </c>
    </row>
    <row r="89434">
      <c r="A89434" s="1" t="n">
        <v>89433</v>
      </c>
      <c r="B89434">
        <f>TEXT(89433, "[$-0E0000]yyyy-mm-dd")</f>
        <v/>
      </c>
    </row>
    <row r="89435">
      <c r="A89435" s="1" t="n">
        <v>89434</v>
      </c>
      <c r="B89435">
        <f>TEXT(89434, "[$-0E0000]yyyy-mm-dd")</f>
        <v/>
      </c>
    </row>
    <row r="89436">
      <c r="A89436" s="1" t="n">
        <v>89435</v>
      </c>
      <c r="B89436">
        <f>TEXT(89435, "[$-0E0000]yyyy-mm-dd")</f>
        <v/>
      </c>
    </row>
    <row r="89437">
      <c r="A89437" s="1" t="n">
        <v>89436</v>
      </c>
      <c r="B89437">
        <f>TEXT(89436, "[$-0E0000]yyyy-mm-dd")</f>
        <v/>
      </c>
    </row>
    <row r="89438">
      <c r="A89438" s="1" t="n">
        <v>89437</v>
      </c>
      <c r="B89438">
        <f>TEXT(89437, "[$-0E0000]yyyy-mm-dd")</f>
        <v/>
      </c>
    </row>
    <row r="89439">
      <c r="A89439" s="1" t="n">
        <v>89438</v>
      </c>
      <c r="B89439">
        <f>TEXT(89438, "[$-0E0000]yyyy-mm-dd")</f>
        <v/>
      </c>
    </row>
    <row r="89440">
      <c r="A89440" s="1" t="n">
        <v>89439</v>
      </c>
      <c r="B89440">
        <f>TEXT(89439, "[$-0E0000]yyyy-mm-dd")</f>
        <v/>
      </c>
    </row>
    <row r="89441">
      <c r="A89441" s="1" t="n">
        <v>89440</v>
      </c>
      <c r="B89441">
        <f>TEXT(89440, "[$-0E0000]yyyy-mm-dd")</f>
        <v/>
      </c>
    </row>
    <row r="89442">
      <c r="A89442" s="1" t="n">
        <v>89441</v>
      </c>
      <c r="B89442">
        <f>TEXT(89441, "[$-0E0000]yyyy-mm-dd")</f>
        <v/>
      </c>
    </row>
    <row r="89443">
      <c r="A89443" s="1" t="n">
        <v>89442</v>
      </c>
      <c r="B89443">
        <f>TEXT(89442, "[$-0E0000]yyyy-mm-dd")</f>
        <v/>
      </c>
    </row>
    <row r="89444">
      <c r="A89444" s="1" t="n">
        <v>89443</v>
      </c>
      <c r="B89444">
        <f>TEXT(89443, "[$-0E0000]yyyy-mm-dd")</f>
        <v/>
      </c>
    </row>
    <row r="89445">
      <c r="A89445" s="1" t="n">
        <v>89444</v>
      </c>
      <c r="B89445">
        <f>TEXT(89444, "[$-0E0000]yyyy-mm-dd")</f>
        <v/>
      </c>
    </row>
    <row r="89446">
      <c r="A89446" s="1" t="n">
        <v>89445</v>
      </c>
      <c r="B89446">
        <f>TEXT(89445, "[$-0E0000]yyyy-mm-dd")</f>
        <v/>
      </c>
    </row>
    <row r="89447">
      <c r="A89447" s="1" t="n">
        <v>89446</v>
      </c>
      <c r="B89447">
        <f>TEXT(89446, "[$-0E0000]yyyy-mm-dd")</f>
        <v/>
      </c>
    </row>
    <row r="89448">
      <c r="A89448" s="1" t="n">
        <v>89447</v>
      </c>
      <c r="B89448">
        <f>TEXT(89447, "[$-0E0000]yyyy-mm-dd")</f>
        <v/>
      </c>
    </row>
    <row r="89449">
      <c r="A89449" s="1" t="n">
        <v>89448</v>
      </c>
      <c r="B89449">
        <f>TEXT(89448, "[$-0E0000]yyyy-mm-dd")</f>
        <v/>
      </c>
    </row>
    <row r="89450">
      <c r="A89450" s="1" t="n">
        <v>89449</v>
      </c>
      <c r="B89450">
        <f>TEXT(89449, "[$-0E0000]yyyy-mm-dd")</f>
        <v/>
      </c>
    </row>
    <row r="89451">
      <c r="A89451" s="1" t="n">
        <v>89450</v>
      </c>
      <c r="B89451">
        <f>TEXT(89450, "[$-0E0000]yyyy-mm-dd")</f>
        <v/>
      </c>
    </row>
    <row r="89452">
      <c r="A89452" s="1" t="n">
        <v>89451</v>
      </c>
      <c r="B89452">
        <f>TEXT(89451, "[$-0E0000]yyyy-mm-dd")</f>
        <v/>
      </c>
    </row>
    <row r="89453">
      <c r="A89453" s="1" t="n">
        <v>89452</v>
      </c>
      <c r="B89453">
        <f>TEXT(89452, "[$-0E0000]yyyy-mm-dd")</f>
        <v/>
      </c>
    </row>
    <row r="89454">
      <c r="A89454" s="1" t="n">
        <v>89453</v>
      </c>
      <c r="B89454">
        <f>TEXT(89453, "[$-0E0000]yyyy-mm-dd")</f>
        <v/>
      </c>
    </row>
    <row r="89455">
      <c r="A89455" s="1" t="n">
        <v>89454</v>
      </c>
      <c r="B89455">
        <f>TEXT(89454, "[$-0E0000]yyyy-mm-dd")</f>
        <v/>
      </c>
    </row>
    <row r="89456">
      <c r="A89456" s="1" t="n">
        <v>89455</v>
      </c>
      <c r="B89456">
        <f>TEXT(89455, "[$-0E0000]yyyy-mm-dd")</f>
        <v/>
      </c>
    </row>
    <row r="89457">
      <c r="A89457" s="1" t="n">
        <v>89456</v>
      </c>
      <c r="B89457">
        <f>TEXT(89456, "[$-0E0000]yyyy-mm-dd")</f>
        <v/>
      </c>
    </row>
    <row r="89458">
      <c r="A89458" s="1" t="n">
        <v>89457</v>
      </c>
      <c r="B89458">
        <f>TEXT(89457, "[$-0E0000]yyyy-mm-dd")</f>
        <v/>
      </c>
    </row>
    <row r="89459">
      <c r="A89459" s="1" t="n">
        <v>89458</v>
      </c>
      <c r="B89459">
        <f>TEXT(89458, "[$-0E0000]yyyy-mm-dd")</f>
        <v/>
      </c>
    </row>
    <row r="89460">
      <c r="A89460" s="1" t="n">
        <v>89459</v>
      </c>
      <c r="B89460">
        <f>TEXT(89459, "[$-0E0000]yyyy-mm-dd")</f>
        <v/>
      </c>
    </row>
    <row r="89461">
      <c r="A89461" s="1" t="n">
        <v>89460</v>
      </c>
      <c r="B89461">
        <f>TEXT(89460, "[$-0E0000]yyyy-mm-dd")</f>
        <v/>
      </c>
    </row>
    <row r="89462">
      <c r="A89462" s="1" t="n">
        <v>89461</v>
      </c>
      <c r="B89462">
        <f>TEXT(89461, "[$-0E0000]yyyy-mm-dd")</f>
        <v/>
      </c>
    </row>
    <row r="89463">
      <c r="A89463" s="1" t="n">
        <v>89462</v>
      </c>
      <c r="B89463">
        <f>TEXT(89462, "[$-0E0000]yyyy-mm-dd")</f>
        <v/>
      </c>
    </row>
    <row r="89464">
      <c r="A89464" s="1" t="n">
        <v>89463</v>
      </c>
      <c r="B89464">
        <f>TEXT(89463, "[$-0E0000]yyyy-mm-dd")</f>
        <v/>
      </c>
    </row>
    <row r="89465">
      <c r="A89465" s="1" t="n">
        <v>89464</v>
      </c>
      <c r="B89465">
        <f>TEXT(89464, "[$-0E0000]yyyy-mm-dd")</f>
        <v/>
      </c>
    </row>
    <row r="89466">
      <c r="A89466" s="1" t="n">
        <v>89465</v>
      </c>
      <c r="B89466">
        <f>TEXT(89465, "[$-0E0000]yyyy-mm-dd")</f>
        <v/>
      </c>
    </row>
    <row r="89467">
      <c r="A89467" s="1" t="n">
        <v>89466</v>
      </c>
      <c r="B89467">
        <f>TEXT(89466, "[$-0E0000]yyyy-mm-dd")</f>
        <v/>
      </c>
    </row>
    <row r="89468">
      <c r="A89468" s="1" t="n">
        <v>89467</v>
      </c>
      <c r="B89468">
        <f>TEXT(89467, "[$-0E0000]yyyy-mm-dd")</f>
        <v/>
      </c>
    </row>
    <row r="89469">
      <c r="A89469" s="1" t="n">
        <v>89468</v>
      </c>
      <c r="B89469">
        <f>TEXT(89468, "[$-0E0000]yyyy-mm-dd")</f>
        <v/>
      </c>
    </row>
    <row r="89470">
      <c r="A89470" s="1" t="n">
        <v>89469</v>
      </c>
      <c r="B89470">
        <f>TEXT(89469, "[$-0E0000]yyyy-mm-dd")</f>
        <v/>
      </c>
    </row>
    <row r="89471">
      <c r="A89471" s="1" t="n">
        <v>89470</v>
      </c>
      <c r="B89471">
        <f>TEXT(89470, "[$-0E0000]yyyy-mm-dd")</f>
        <v/>
      </c>
    </row>
    <row r="89472">
      <c r="A89472" s="1" t="n">
        <v>89471</v>
      </c>
      <c r="B89472">
        <f>TEXT(89471, "[$-0E0000]yyyy-mm-dd")</f>
        <v/>
      </c>
    </row>
    <row r="89473">
      <c r="A89473" s="1" t="n">
        <v>89472</v>
      </c>
      <c r="B89473">
        <f>TEXT(89472, "[$-0E0000]yyyy-mm-dd")</f>
        <v/>
      </c>
    </row>
    <row r="89474">
      <c r="A89474" s="1" t="n">
        <v>89473</v>
      </c>
      <c r="B89474">
        <f>TEXT(89473, "[$-0E0000]yyyy-mm-dd")</f>
        <v/>
      </c>
    </row>
    <row r="89475">
      <c r="A89475" s="1" t="n">
        <v>89474</v>
      </c>
      <c r="B89475">
        <f>TEXT(89474, "[$-0E0000]yyyy-mm-dd")</f>
        <v/>
      </c>
    </row>
    <row r="89476">
      <c r="A89476" s="1" t="n">
        <v>89475</v>
      </c>
      <c r="B89476">
        <f>TEXT(89475, "[$-0E0000]yyyy-mm-dd")</f>
        <v/>
      </c>
    </row>
    <row r="89477">
      <c r="A89477" s="1" t="n">
        <v>89476</v>
      </c>
      <c r="B89477">
        <f>TEXT(89476, "[$-0E0000]yyyy-mm-dd")</f>
        <v/>
      </c>
    </row>
    <row r="89478">
      <c r="A89478" s="1" t="n">
        <v>89477</v>
      </c>
      <c r="B89478">
        <f>TEXT(89477, "[$-0E0000]yyyy-mm-dd")</f>
        <v/>
      </c>
    </row>
    <row r="89479">
      <c r="A89479" s="1" t="n">
        <v>89478</v>
      </c>
      <c r="B89479">
        <f>TEXT(89478, "[$-0E0000]yyyy-mm-dd")</f>
        <v/>
      </c>
    </row>
    <row r="89480">
      <c r="A89480" s="1" t="n">
        <v>89479</v>
      </c>
      <c r="B89480">
        <f>TEXT(89479, "[$-0E0000]yyyy-mm-dd")</f>
        <v/>
      </c>
    </row>
    <row r="89481">
      <c r="A89481" s="1" t="n">
        <v>89480</v>
      </c>
      <c r="B89481">
        <f>TEXT(89480, "[$-0E0000]yyyy-mm-dd")</f>
        <v/>
      </c>
    </row>
    <row r="89482">
      <c r="A89482" s="1" t="n">
        <v>89481</v>
      </c>
      <c r="B89482">
        <f>TEXT(89481, "[$-0E0000]yyyy-mm-dd")</f>
        <v/>
      </c>
    </row>
    <row r="89483">
      <c r="A89483" s="1" t="n">
        <v>89482</v>
      </c>
      <c r="B89483">
        <f>TEXT(89482, "[$-0E0000]yyyy-mm-dd")</f>
        <v/>
      </c>
    </row>
    <row r="89484">
      <c r="A89484" s="1" t="n">
        <v>89483</v>
      </c>
      <c r="B89484">
        <f>TEXT(89483, "[$-0E0000]yyyy-mm-dd")</f>
        <v/>
      </c>
    </row>
    <row r="89485">
      <c r="A89485" s="1" t="n">
        <v>89484</v>
      </c>
      <c r="B89485">
        <f>TEXT(89484, "[$-0E0000]yyyy-mm-dd")</f>
        <v/>
      </c>
    </row>
    <row r="89486">
      <c r="A89486" s="1" t="n">
        <v>89485</v>
      </c>
      <c r="B89486">
        <f>TEXT(89485, "[$-0E0000]yyyy-mm-dd")</f>
        <v/>
      </c>
    </row>
    <row r="89487">
      <c r="A89487" s="1" t="n">
        <v>89486</v>
      </c>
      <c r="B89487">
        <f>TEXT(89486, "[$-0E0000]yyyy-mm-dd")</f>
        <v/>
      </c>
    </row>
    <row r="89488">
      <c r="A89488" s="1" t="n">
        <v>89487</v>
      </c>
      <c r="B89488">
        <f>TEXT(89487, "[$-0E0000]yyyy-mm-dd")</f>
        <v/>
      </c>
    </row>
    <row r="89489">
      <c r="A89489" s="1" t="n">
        <v>89488</v>
      </c>
      <c r="B89489">
        <f>TEXT(89488, "[$-0E0000]yyyy-mm-dd")</f>
        <v/>
      </c>
    </row>
    <row r="89490">
      <c r="A89490" s="1" t="n">
        <v>89489</v>
      </c>
      <c r="B89490">
        <f>TEXT(89489, "[$-0E0000]yyyy-mm-dd")</f>
        <v/>
      </c>
    </row>
    <row r="89491">
      <c r="A89491" s="1" t="n">
        <v>89490</v>
      </c>
      <c r="B89491">
        <f>TEXT(89490, "[$-0E0000]yyyy-mm-dd")</f>
        <v/>
      </c>
    </row>
    <row r="89492">
      <c r="A89492" s="1" t="n">
        <v>89491</v>
      </c>
      <c r="B89492">
        <f>TEXT(89491, "[$-0E0000]yyyy-mm-dd")</f>
        <v/>
      </c>
    </row>
    <row r="89493">
      <c r="A89493" s="1" t="n">
        <v>89492</v>
      </c>
      <c r="B89493">
        <f>TEXT(89492, "[$-0E0000]yyyy-mm-dd")</f>
        <v/>
      </c>
    </row>
    <row r="89494">
      <c r="A89494" s="1" t="n">
        <v>89493</v>
      </c>
      <c r="B89494">
        <f>TEXT(89493, "[$-0E0000]yyyy-mm-dd")</f>
        <v/>
      </c>
    </row>
    <row r="89495">
      <c r="A89495" s="1" t="n">
        <v>89494</v>
      </c>
      <c r="B89495">
        <f>TEXT(89494, "[$-0E0000]yyyy-mm-dd")</f>
        <v/>
      </c>
    </row>
    <row r="89496">
      <c r="A89496" s="1" t="n">
        <v>89495</v>
      </c>
      <c r="B89496">
        <f>TEXT(89495, "[$-0E0000]yyyy-mm-dd")</f>
        <v/>
      </c>
    </row>
    <row r="89497">
      <c r="A89497" s="1" t="n">
        <v>89496</v>
      </c>
      <c r="B89497">
        <f>TEXT(89496, "[$-0E0000]yyyy-mm-dd")</f>
        <v/>
      </c>
    </row>
    <row r="89498">
      <c r="A89498" s="1" t="n">
        <v>89497</v>
      </c>
      <c r="B89498">
        <f>TEXT(89497, "[$-0E0000]yyyy-mm-dd")</f>
        <v/>
      </c>
    </row>
    <row r="89499">
      <c r="A89499" s="1" t="n">
        <v>89498</v>
      </c>
      <c r="B89499">
        <f>TEXT(89498, "[$-0E0000]yyyy-mm-dd")</f>
        <v/>
      </c>
    </row>
    <row r="89500">
      <c r="A89500" s="1" t="n">
        <v>89499</v>
      </c>
      <c r="B89500">
        <f>TEXT(89499, "[$-0E0000]yyyy-mm-dd")</f>
        <v/>
      </c>
    </row>
    <row r="89501">
      <c r="A89501" s="1" t="n">
        <v>89500</v>
      </c>
      <c r="B89501">
        <f>TEXT(89500, "[$-0E0000]yyyy-mm-dd")</f>
        <v/>
      </c>
    </row>
    <row r="89502">
      <c r="A89502" s="1" t="n">
        <v>89501</v>
      </c>
      <c r="B89502">
        <f>TEXT(89501, "[$-0E0000]yyyy-mm-dd")</f>
        <v/>
      </c>
    </row>
    <row r="89503">
      <c r="A89503" s="1" t="n">
        <v>89502</v>
      </c>
      <c r="B89503">
        <f>TEXT(89502, "[$-0E0000]yyyy-mm-dd")</f>
        <v/>
      </c>
    </row>
    <row r="89504">
      <c r="A89504" s="1" t="n">
        <v>89503</v>
      </c>
      <c r="B89504">
        <f>TEXT(89503, "[$-0E0000]yyyy-mm-dd")</f>
        <v/>
      </c>
    </row>
    <row r="89505">
      <c r="A89505" s="1" t="n">
        <v>89504</v>
      </c>
      <c r="B89505">
        <f>TEXT(89504, "[$-0E0000]yyyy-mm-dd")</f>
        <v/>
      </c>
    </row>
    <row r="89506">
      <c r="A89506" s="1" t="n">
        <v>89505</v>
      </c>
      <c r="B89506">
        <f>TEXT(89505, "[$-0E0000]yyyy-mm-dd")</f>
        <v/>
      </c>
    </row>
    <row r="89507">
      <c r="A89507" s="1" t="n">
        <v>89506</v>
      </c>
      <c r="B89507">
        <f>TEXT(89506, "[$-0E0000]yyyy-mm-dd")</f>
        <v/>
      </c>
    </row>
    <row r="89508">
      <c r="A89508" s="1" t="n">
        <v>89507</v>
      </c>
      <c r="B89508">
        <f>TEXT(89507, "[$-0E0000]yyyy-mm-dd")</f>
        <v/>
      </c>
    </row>
    <row r="89509">
      <c r="A89509" s="1" t="n">
        <v>89508</v>
      </c>
      <c r="B89509">
        <f>TEXT(89508, "[$-0E0000]yyyy-mm-dd")</f>
        <v/>
      </c>
    </row>
    <row r="89510">
      <c r="A89510" s="1" t="n">
        <v>89509</v>
      </c>
      <c r="B89510">
        <f>TEXT(89509, "[$-0E0000]yyyy-mm-dd")</f>
        <v/>
      </c>
    </row>
    <row r="89511">
      <c r="A89511" s="1" t="n">
        <v>89510</v>
      </c>
      <c r="B89511">
        <f>TEXT(89510, "[$-0E0000]yyyy-mm-dd")</f>
        <v/>
      </c>
    </row>
    <row r="89512">
      <c r="A89512" s="1" t="n">
        <v>89511</v>
      </c>
      <c r="B89512">
        <f>TEXT(89511, "[$-0E0000]yyyy-mm-dd")</f>
        <v/>
      </c>
    </row>
    <row r="89513">
      <c r="A89513" s="1" t="n">
        <v>89512</v>
      </c>
      <c r="B89513">
        <f>TEXT(89512, "[$-0E0000]yyyy-mm-dd")</f>
        <v/>
      </c>
    </row>
    <row r="89514">
      <c r="A89514" s="1" t="n">
        <v>89513</v>
      </c>
      <c r="B89514">
        <f>TEXT(89513, "[$-0E0000]yyyy-mm-dd")</f>
        <v/>
      </c>
    </row>
    <row r="89515">
      <c r="A89515" s="1" t="n">
        <v>89514</v>
      </c>
      <c r="B89515">
        <f>TEXT(89514, "[$-0E0000]yyyy-mm-dd")</f>
        <v/>
      </c>
    </row>
    <row r="89516">
      <c r="A89516" s="1" t="n">
        <v>89515</v>
      </c>
      <c r="B89516">
        <f>TEXT(89515, "[$-0E0000]yyyy-mm-dd")</f>
        <v/>
      </c>
    </row>
    <row r="89517">
      <c r="A89517" s="1" t="n">
        <v>89516</v>
      </c>
      <c r="B89517">
        <f>TEXT(89516, "[$-0E0000]yyyy-mm-dd")</f>
        <v/>
      </c>
    </row>
    <row r="89518">
      <c r="A89518" s="1" t="n">
        <v>89517</v>
      </c>
      <c r="B89518">
        <f>TEXT(89517, "[$-0E0000]yyyy-mm-dd")</f>
        <v/>
      </c>
    </row>
    <row r="89519">
      <c r="A89519" s="1" t="n">
        <v>89518</v>
      </c>
      <c r="B89519">
        <f>TEXT(89518, "[$-0E0000]yyyy-mm-dd")</f>
        <v/>
      </c>
    </row>
    <row r="89520">
      <c r="A89520" s="1" t="n">
        <v>89519</v>
      </c>
      <c r="B89520">
        <f>TEXT(89519, "[$-0E0000]yyyy-mm-dd")</f>
        <v/>
      </c>
    </row>
    <row r="89521">
      <c r="A89521" s="1" t="n">
        <v>89520</v>
      </c>
      <c r="B89521">
        <f>TEXT(89520, "[$-0E0000]yyyy-mm-dd")</f>
        <v/>
      </c>
    </row>
    <row r="89522">
      <c r="A89522" s="1" t="n">
        <v>89521</v>
      </c>
      <c r="B89522">
        <f>TEXT(89521, "[$-0E0000]yyyy-mm-dd")</f>
        <v/>
      </c>
    </row>
    <row r="89523">
      <c r="A89523" s="1" t="n">
        <v>89522</v>
      </c>
      <c r="B89523">
        <f>TEXT(89522, "[$-0E0000]yyyy-mm-dd")</f>
        <v/>
      </c>
    </row>
    <row r="89524">
      <c r="A89524" s="1" t="n">
        <v>89523</v>
      </c>
      <c r="B89524">
        <f>TEXT(89523, "[$-0E0000]yyyy-mm-dd")</f>
        <v/>
      </c>
    </row>
    <row r="89525">
      <c r="A89525" s="1" t="n">
        <v>89524</v>
      </c>
      <c r="B89525">
        <f>TEXT(89524, "[$-0E0000]yyyy-mm-dd")</f>
        <v/>
      </c>
    </row>
    <row r="89526">
      <c r="A89526" s="1" t="n">
        <v>89525</v>
      </c>
      <c r="B89526">
        <f>TEXT(89525, "[$-0E0000]yyyy-mm-dd")</f>
        <v/>
      </c>
    </row>
    <row r="89527">
      <c r="A89527" s="1" t="n">
        <v>89526</v>
      </c>
      <c r="B89527">
        <f>TEXT(89526, "[$-0E0000]yyyy-mm-dd")</f>
        <v/>
      </c>
    </row>
    <row r="89528">
      <c r="A89528" s="1" t="n">
        <v>89527</v>
      </c>
      <c r="B89528">
        <f>TEXT(89527, "[$-0E0000]yyyy-mm-dd")</f>
        <v/>
      </c>
    </row>
    <row r="89529">
      <c r="A89529" s="1" t="n">
        <v>89528</v>
      </c>
      <c r="B89529">
        <f>TEXT(89528, "[$-0E0000]yyyy-mm-dd")</f>
        <v/>
      </c>
    </row>
    <row r="89530">
      <c r="A89530" s="1" t="n">
        <v>89529</v>
      </c>
      <c r="B89530">
        <f>TEXT(89529, "[$-0E0000]yyyy-mm-dd")</f>
        <v/>
      </c>
    </row>
    <row r="89531">
      <c r="A89531" s="1" t="n">
        <v>89530</v>
      </c>
      <c r="B89531">
        <f>TEXT(89530, "[$-0E0000]yyyy-mm-dd")</f>
        <v/>
      </c>
    </row>
    <row r="89532">
      <c r="A89532" s="1" t="n">
        <v>89531</v>
      </c>
      <c r="B89532">
        <f>TEXT(89531, "[$-0E0000]yyyy-mm-dd")</f>
        <v/>
      </c>
    </row>
    <row r="89533">
      <c r="A89533" s="1" t="n">
        <v>89532</v>
      </c>
      <c r="B89533">
        <f>TEXT(89532, "[$-0E0000]yyyy-mm-dd")</f>
        <v/>
      </c>
    </row>
    <row r="89534">
      <c r="A89534" s="1" t="n">
        <v>89533</v>
      </c>
      <c r="B89534">
        <f>TEXT(89533, "[$-0E0000]yyyy-mm-dd")</f>
        <v/>
      </c>
    </row>
    <row r="89535">
      <c r="A89535" s="1" t="n">
        <v>89534</v>
      </c>
      <c r="B89535">
        <f>TEXT(89534, "[$-0E0000]yyyy-mm-dd")</f>
        <v/>
      </c>
    </row>
    <row r="89536">
      <c r="A89536" s="1" t="n">
        <v>89535</v>
      </c>
      <c r="B89536">
        <f>TEXT(89535, "[$-0E0000]yyyy-mm-dd")</f>
        <v/>
      </c>
    </row>
    <row r="89537">
      <c r="A89537" s="1" t="n">
        <v>89536</v>
      </c>
      <c r="B89537">
        <f>TEXT(89536, "[$-0E0000]yyyy-mm-dd")</f>
        <v/>
      </c>
    </row>
    <row r="89538">
      <c r="A89538" s="1" t="n">
        <v>89537</v>
      </c>
      <c r="B89538">
        <f>TEXT(89537, "[$-0E0000]yyyy-mm-dd")</f>
        <v/>
      </c>
    </row>
    <row r="89539">
      <c r="A89539" s="1" t="n">
        <v>89538</v>
      </c>
      <c r="B89539">
        <f>TEXT(89538, "[$-0E0000]yyyy-mm-dd")</f>
        <v/>
      </c>
    </row>
    <row r="89540">
      <c r="A89540" s="1" t="n">
        <v>89539</v>
      </c>
      <c r="B89540">
        <f>TEXT(89539, "[$-0E0000]yyyy-mm-dd")</f>
        <v/>
      </c>
    </row>
    <row r="89541">
      <c r="A89541" s="1" t="n">
        <v>89540</v>
      </c>
      <c r="B89541">
        <f>TEXT(89540, "[$-0E0000]yyyy-mm-dd")</f>
        <v/>
      </c>
    </row>
    <row r="89542">
      <c r="A89542" s="1" t="n">
        <v>89541</v>
      </c>
      <c r="B89542">
        <f>TEXT(89541, "[$-0E0000]yyyy-mm-dd")</f>
        <v/>
      </c>
    </row>
    <row r="89543">
      <c r="A89543" s="1" t="n">
        <v>89542</v>
      </c>
      <c r="B89543">
        <f>TEXT(89542, "[$-0E0000]yyyy-mm-dd")</f>
        <v/>
      </c>
    </row>
    <row r="89544">
      <c r="A89544" s="1" t="n">
        <v>89543</v>
      </c>
      <c r="B89544">
        <f>TEXT(89543, "[$-0E0000]yyyy-mm-dd")</f>
        <v/>
      </c>
    </row>
    <row r="89545">
      <c r="A89545" s="1" t="n">
        <v>89544</v>
      </c>
      <c r="B89545">
        <f>TEXT(89544, "[$-0E0000]yyyy-mm-dd")</f>
        <v/>
      </c>
    </row>
    <row r="89546">
      <c r="A89546" s="1" t="n">
        <v>89545</v>
      </c>
      <c r="B89546">
        <f>TEXT(89545, "[$-0E0000]yyyy-mm-dd")</f>
        <v/>
      </c>
    </row>
    <row r="89547">
      <c r="A89547" s="1" t="n">
        <v>89546</v>
      </c>
      <c r="B89547">
        <f>TEXT(89546, "[$-0E0000]yyyy-mm-dd")</f>
        <v/>
      </c>
    </row>
    <row r="89548">
      <c r="A89548" s="1" t="n">
        <v>89547</v>
      </c>
      <c r="B89548">
        <f>TEXT(89547, "[$-0E0000]yyyy-mm-dd")</f>
        <v/>
      </c>
    </row>
    <row r="89549">
      <c r="A89549" s="1" t="n">
        <v>89548</v>
      </c>
      <c r="B89549">
        <f>TEXT(89548, "[$-0E0000]yyyy-mm-dd")</f>
        <v/>
      </c>
    </row>
    <row r="89550">
      <c r="A89550" s="1" t="n">
        <v>89549</v>
      </c>
      <c r="B89550">
        <f>TEXT(89549, "[$-0E0000]yyyy-mm-dd")</f>
        <v/>
      </c>
    </row>
    <row r="89551">
      <c r="A89551" s="1" t="n">
        <v>89550</v>
      </c>
      <c r="B89551">
        <f>TEXT(89550, "[$-0E0000]yyyy-mm-dd")</f>
        <v/>
      </c>
    </row>
    <row r="89552">
      <c r="A89552" s="1" t="n">
        <v>89551</v>
      </c>
      <c r="B89552">
        <f>TEXT(89551, "[$-0E0000]yyyy-mm-dd")</f>
        <v/>
      </c>
    </row>
    <row r="89553">
      <c r="A89553" s="1" t="n">
        <v>89552</v>
      </c>
      <c r="B89553">
        <f>TEXT(89552, "[$-0E0000]yyyy-mm-dd")</f>
        <v/>
      </c>
    </row>
    <row r="89554">
      <c r="A89554" s="1" t="n">
        <v>89553</v>
      </c>
      <c r="B89554">
        <f>TEXT(89553, "[$-0E0000]yyyy-mm-dd")</f>
        <v/>
      </c>
    </row>
    <row r="89555">
      <c r="A89555" s="1" t="n">
        <v>89554</v>
      </c>
      <c r="B89555">
        <f>TEXT(89554, "[$-0E0000]yyyy-mm-dd")</f>
        <v/>
      </c>
    </row>
    <row r="89556">
      <c r="A89556" s="1" t="n">
        <v>89555</v>
      </c>
      <c r="B89556">
        <f>TEXT(89555, "[$-0E0000]yyyy-mm-dd")</f>
        <v/>
      </c>
    </row>
    <row r="89557">
      <c r="A89557" s="1" t="n">
        <v>89556</v>
      </c>
      <c r="B89557">
        <f>TEXT(89556, "[$-0E0000]yyyy-mm-dd")</f>
        <v/>
      </c>
    </row>
    <row r="89558">
      <c r="A89558" s="1" t="n">
        <v>89557</v>
      </c>
      <c r="B89558">
        <f>TEXT(89557, "[$-0E0000]yyyy-mm-dd")</f>
        <v/>
      </c>
    </row>
    <row r="89559">
      <c r="A89559" s="1" t="n">
        <v>89558</v>
      </c>
      <c r="B89559">
        <f>TEXT(89558, "[$-0E0000]yyyy-mm-dd")</f>
        <v/>
      </c>
    </row>
    <row r="89560">
      <c r="A89560" s="1" t="n">
        <v>89559</v>
      </c>
      <c r="B89560">
        <f>TEXT(89559, "[$-0E0000]yyyy-mm-dd")</f>
        <v/>
      </c>
    </row>
    <row r="89561">
      <c r="A89561" s="1" t="n">
        <v>89560</v>
      </c>
      <c r="B89561">
        <f>TEXT(89560, "[$-0E0000]yyyy-mm-dd")</f>
        <v/>
      </c>
    </row>
    <row r="89562">
      <c r="A89562" s="1" t="n">
        <v>89561</v>
      </c>
      <c r="B89562">
        <f>TEXT(89561, "[$-0E0000]yyyy-mm-dd")</f>
        <v/>
      </c>
    </row>
    <row r="89563">
      <c r="A89563" s="1" t="n">
        <v>89562</v>
      </c>
      <c r="B89563">
        <f>TEXT(89562, "[$-0E0000]yyyy-mm-dd")</f>
        <v/>
      </c>
    </row>
    <row r="89564">
      <c r="A89564" s="1" t="n">
        <v>89563</v>
      </c>
      <c r="B89564">
        <f>TEXT(89563, "[$-0E0000]yyyy-mm-dd")</f>
        <v/>
      </c>
    </row>
    <row r="89565">
      <c r="A89565" s="1" t="n">
        <v>89564</v>
      </c>
      <c r="B89565">
        <f>TEXT(89564, "[$-0E0000]yyyy-mm-dd")</f>
        <v/>
      </c>
    </row>
    <row r="89566">
      <c r="A89566" s="1" t="n">
        <v>89565</v>
      </c>
      <c r="B89566">
        <f>TEXT(89565, "[$-0E0000]yyyy-mm-dd")</f>
        <v/>
      </c>
    </row>
    <row r="89567">
      <c r="A89567" s="1" t="n">
        <v>89566</v>
      </c>
      <c r="B89567">
        <f>TEXT(89566, "[$-0E0000]yyyy-mm-dd")</f>
        <v/>
      </c>
    </row>
    <row r="89568">
      <c r="A89568" s="1" t="n">
        <v>89567</v>
      </c>
      <c r="B89568">
        <f>TEXT(89567, "[$-0E0000]yyyy-mm-dd")</f>
        <v/>
      </c>
    </row>
    <row r="89569">
      <c r="A89569" s="1" t="n">
        <v>89568</v>
      </c>
      <c r="B89569">
        <f>TEXT(89568, "[$-0E0000]yyyy-mm-dd")</f>
        <v/>
      </c>
    </row>
    <row r="89570">
      <c r="A89570" s="1" t="n">
        <v>89569</v>
      </c>
      <c r="B89570">
        <f>TEXT(89569, "[$-0E0000]yyyy-mm-dd")</f>
        <v/>
      </c>
    </row>
    <row r="89571">
      <c r="A89571" s="1" t="n">
        <v>89570</v>
      </c>
      <c r="B89571">
        <f>TEXT(89570, "[$-0E0000]yyyy-mm-dd")</f>
        <v/>
      </c>
    </row>
    <row r="89572">
      <c r="A89572" s="1" t="n">
        <v>89571</v>
      </c>
      <c r="B89572">
        <f>TEXT(89571, "[$-0E0000]yyyy-mm-dd")</f>
        <v/>
      </c>
    </row>
    <row r="89573">
      <c r="A89573" s="1" t="n">
        <v>89572</v>
      </c>
      <c r="B89573">
        <f>TEXT(89572, "[$-0E0000]yyyy-mm-dd")</f>
        <v/>
      </c>
    </row>
    <row r="89574">
      <c r="A89574" s="1" t="n">
        <v>89573</v>
      </c>
      <c r="B89574">
        <f>TEXT(89573, "[$-0E0000]yyyy-mm-dd")</f>
        <v/>
      </c>
    </row>
    <row r="89575">
      <c r="A89575" s="1" t="n">
        <v>89574</v>
      </c>
      <c r="B89575">
        <f>TEXT(89574, "[$-0E0000]yyyy-mm-dd")</f>
        <v/>
      </c>
    </row>
    <row r="89576">
      <c r="A89576" s="1" t="n">
        <v>89575</v>
      </c>
      <c r="B89576">
        <f>TEXT(89575, "[$-0E0000]yyyy-mm-dd")</f>
        <v/>
      </c>
    </row>
    <row r="89577">
      <c r="A89577" s="1" t="n">
        <v>89576</v>
      </c>
      <c r="B89577">
        <f>TEXT(89576, "[$-0E0000]yyyy-mm-dd")</f>
        <v/>
      </c>
    </row>
    <row r="89578">
      <c r="A89578" s="1" t="n">
        <v>89577</v>
      </c>
      <c r="B89578">
        <f>TEXT(89577, "[$-0E0000]yyyy-mm-dd")</f>
        <v/>
      </c>
    </row>
    <row r="89579">
      <c r="A89579" s="1" t="n">
        <v>89578</v>
      </c>
      <c r="B89579">
        <f>TEXT(89578, "[$-0E0000]yyyy-mm-dd")</f>
        <v/>
      </c>
    </row>
    <row r="89580">
      <c r="A89580" s="1" t="n">
        <v>89579</v>
      </c>
      <c r="B89580">
        <f>TEXT(89579, "[$-0E0000]yyyy-mm-dd")</f>
        <v/>
      </c>
    </row>
    <row r="89581">
      <c r="A89581" s="1" t="n">
        <v>89580</v>
      </c>
      <c r="B89581">
        <f>TEXT(89580, "[$-0E0000]yyyy-mm-dd")</f>
        <v/>
      </c>
    </row>
    <row r="89582">
      <c r="A89582" s="1" t="n">
        <v>89581</v>
      </c>
      <c r="B89582">
        <f>TEXT(89581, "[$-0E0000]yyyy-mm-dd")</f>
        <v/>
      </c>
    </row>
    <row r="89583">
      <c r="A89583" s="1" t="n">
        <v>89582</v>
      </c>
      <c r="B89583">
        <f>TEXT(89582, "[$-0E0000]yyyy-mm-dd")</f>
        <v/>
      </c>
    </row>
    <row r="89584">
      <c r="A89584" s="1" t="n">
        <v>89583</v>
      </c>
      <c r="B89584">
        <f>TEXT(89583, "[$-0E0000]yyyy-mm-dd")</f>
        <v/>
      </c>
    </row>
    <row r="89585">
      <c r="A89585" s="1" t="n">
        <v>89584</v>
      </c>
      <c r="B89585">
        <f>TEXT(89584, "[$-0E0000]yyyy-mm-dd")</f>
        <v/>
      </c>
    </row>
    <row r="89586">
      <c r="A89586" s="1" t="n">
        <v>89585</v>
      </c>
      <c r="B89586">
        <f>TEXT(89585, "[$-0E0000]yyyy-mm-dd")</f>
        <v/>
      </c>
    </row>
    <row r="89587">
      <c r="A89587" s="1" t="n">
        <v>89586</v>
      </c>
      <c r="B89587">
        <f>TEXT(89586, "[$-0E0000]yyyy-mm-dd")</f>
        <v/>
      </c>
    </row>
    <row r="89588">
      <c r="A89588" s="1" t="n">
        <v>89587</v>
      </c>
      <c r="B89588">
        <f>TEXT(89587, "[$-0E0000]yyyy-mm-dd")</f>
        <v/>
      </c>
    </row>
    <row r="89589">
      <c r="A89589" s="1" t="n">
        <v>89588</v>
      </c>
      <c r="B89589">
        <f>TEXT(89588, "[$-0E0000]yyyy-mm-dd")</f>
        <v/>
      </c>
    </row>
    <row r="89590">
      <c r="A89590" s="1" t="n">
        <v>89589</v>
      </c>
      <c r="B89590">
        <f>TEXT(89589, "[$-0E0000]yyyy-mm-dd")</f>
        <v/>
      </c>
    </row>
    <row r="89591">
      <c r="A89591" s="1" t="n">
        <v>89590</v>
      </c>
      <c r="B89591">
        <f>TEXT(89590, "[$-0E0000]yyyy-mm-dd")</f>
        <v/>
      </c>
    </row>
    <row r="89592">
      <c r="A89592" s="1" t="n">
        <v>89591</v>
      </c>
      <c r="B89592">
        <f>TEXT(89591, "[$-0E0000]yyyy-mm-dd")</f>
        <v/>
      </c>
    </row>
    <row r="89593">
      <c r="A89593" s="1" t="n">
        <v>89592</v>
      </c>
      <c r="B89593">
        <f>TEXT(89592, "[$-0E0000]yyyy-mm-dd")</f>
        <v/>
      </c>
    </row>
    <row r="89594">
      <c r="A89594" s="1" t="n">
        <v>89593</v>
      </c>
      <c r="B89594">
        <f>TEXT(89593, "[$-0E0000]yyyy-mm-dd")</f>
        <v/>
      </c>
    </row>
    <row r="89595">
      <c r="A89595" s="1" t="n">
        <v>89594</v>
      </c>
      <c r="B89595">
        <f>TEXT(89594, "[$-0E0000]yyyy-mm-dd")</f>
        <v/>
      </c>
    </row>
    <row r="89596">
      <c r="A89596" s="1" t="n">
        <v>89595</v>
      </c>
      <c r="B89596">
        <f>TEXT(89595, "[$-0E0000]yyyy-mm-dd")</f>
        <v/>
      </c>
    </row>
    <row r="89597">
      <c r="A89597" s="1" t="n">
        <v>89596</v>
      </c>
      <c r="B89597">
        <f>TEXT(89596, "[$-0E0000]yyyy-mm-dd")</f>
        <v/>
      </c>
    </row>
    <row r="89598">
      <c r="A89598" s="1" t="n">
        <v>89597</v>
      </c>
      <c r="B89598">
        <f>TEXT(89597, "[$-0E0000]yyyy-mm-dd")</f>
        <v/>
      </c>
    </row>
    <row r="89599">
      <c r="A89599" s="1" t="n">
        <v>89598</v>
      </c>
      <c r="B89599">
        <f>TEXT(89598, "[$-0E0000]yyyy-mm-dd")</f>
        <v/>
      </c>
    </row>
    <row r="89600">
      <c r="A89600" s="1" t="n">
        <v>89599</v>
      </c>
      <c r="B89600">
        <f>TEXT(89599, "[$-0E0000]yyyy-mm-dd")</f>
        <v/>
      </c>
    </row>
    <row r="89601">
      <c r="A89601" s="1" t="n">
        <v>89600</v>
      </c>
      <c r="B89601">
        <f>TEXT(89600, "[$-0E0000]yyyy-mm-dd")</f>
        <v/>
      </c>
    </row>
    <row r="89602">
      <c r="A89602" s="1" t="n">
        <v>89601</v>
      </c>
      <c r="B89602">
        <f>TEXT(89601, "[$-0E0000]yyyy-mm-dd")</f>
        <v/>
      </c>
    </row>
    <row r="89603">
      <c r="A89603" s="1" t="n">
        <v>89602</v>
      </c>
      <c r="B89603">
        <f>TEXT(89602, "[$-0E0000]yyyy-mm-dd")</f>
        <v/>
      </c>
    </row>
    <row r="89604">
      <c r="A89604" s="1" t="n">
        <v>89603</v>
      </c>
      <c r="B89604">
        <f>TEXT(89603, "[$-0E0000]yyyy-mm-dd")</f>
        <v/>
      </c>
    </row>
    <row r="89605">
      <c r="A89605" s="1" t="n">
        <v>89604</v>
      </c>
      <c r="B89605">
        <f>TEXT(89604, "[$-0E0000]yyyy-mm-dd")</f>
        <v/>
      </c>
    </row>
    <row r="89606">
      <c r="A89606" s="1" t="n">
        <v>89605</v>
      </c>
      <c r="B89606">
        <f>TEXT(89605, "[$-0E0000]yyyy-mm-dd")</f>
        <v/>
      </c>
    </row>
    <row r="89607">
      <c r="A89607" s="1" t="n">
        <v>89606</v>
      </c>
      <c r="B89607">
        <f>TEXT(89606, "[$-0E0000]yyyy-mm-dd")</f>
        <v/>
      </c>
    </row>
    <row r="89608">
      <c r="A89608" s="1" t="n">
        <v>89607</v>
      </c>
      <c r="B89608">
        <f>TEXT(89607, "[$-0E0000]yyyy-mm-dd")</f>
        <v/>
      </c>
    </row>
    <row r="89609">
      <c r="A89609" s="1" t="n">
        <v>89608</v>
      </c>
      <c r="B89609">
        <f>TEXT(89608, "[$-0E0000]yyyy-mm-dd")</f>
        <v/>
      </c>
    </row>
    <row r="89610">
      <c r="A89610" s="1" t="n">
        <v>89609</v>
      </c>
      <c r="B89610">
        <f>TEXT(89609, "[$-0E0000]yyyy-mm-dd")</f>
        <v/>
      </c>
    </row>
    <row r="89611">
      <c r="A89611" s="1" t="n">
        <v>89610</v>
      </c>
      <c r="B89611">
        <f>TEXT(89610, "[$-0E0000]yyyy-mm-dd")</f>
        <v/>
      </c>
    </row>
    <row r="89612">
      <c r="A89612" s="1" t="n">
        <v>89611</v>
      </c>
      <c r="B89612">
        <f>TEXT(89611, "[$-0E0000]yyyy-mm-dd")</f>
        <v/>
      </c>
    </row>
    <row r="89613">
      <c r="A89613" s="1" t="n">
        <v>89612</v>
      </c>
      <c r="B89613">
        <f>TEXT(89612, "[$-0E0000]yyyy-mm-dd")</f>
        <v/>
      </c>
    </row>
    <row r="89614">
      <c r="A89614" s="1" t="n">
        <v>89613</v>
      </c>
      <c r="B89614">
        <f>TEXT(89613, "[$-0E0000]yyyy-mm-dd")</f>
        <v/>
      </c>
    </row>
    <row r="89615">
      <c r="A89615" s="1" t="n">
        <v>89614</v>
      </c>
      <c r="B89615">
        <f>TEXT(89614, "[$-0E0000]yyyy-mm-dd")</f>
        <v/>
      </c>
    </row>
    <row r="89616">
      <c r="A89616" s="1" t="n">
        <v>89615</v>
      </c>
      <c r="B89616">
        <f>TEXT(89615, "[$-0E0000]yyyy-mm-dd")</f>
        <v/>
      </c>
    </row>
    <row r="89617">
      <c r="A89617" s="1" t="n">
        <v>89616</v>
      </c>
      <c r="B89617">
        <f>TEXT(89616, "[$-0E0000]yyyy-mm-dd")</f>
        <v/>
      </c>
    </row>
    <row r="89618">
      <c r="A89618" s="1" t="n">
        <v>89617</v>
      </c>
      <c r="B89618">
        <f>TEXT(89617, "[$-0E0000]yyyy-mm-dd")</f>
        <v/>
      </c>
    </row>
    <row r="89619">
      <c r="A89619" s="1" t="n">
        <v>89618</v>
      </c>
      <c r="B89619">
        <f>TEXT(89618, "[$-0E0000]yyyy-mm-dd")</f>
        <v/>
      </c>
    </row>
    <row r="89620">
      <c r="A89620" s="1" t="n">
        <v>89619</v>
      </c>
      <c r="B89620">
        <f>TEXT(89619, "[$-0E0000]yyyy-mm-dd")</f>
        <v/>
      </c>
    </row>
    <row r="89621">
      <c r="A89621" s="1" t="n">
        <v>89620</v>
      </c>
      <c r="B89621">
        <f>TEXT(89620, "[$-0E0000]yyyy-mm-dd")</f>
        <v/>
      </c>
    </row>
    <row r="89622">
      <c r="A89622" s="1" t="n">
        <v>89621</v>
      </c>
      <c r="B89622">
        <f>TEXT(89621, "[$-0E0000]yyyy-mm-dd")</f>
        <v/>
      </c>
    </row>
    <row r="89623">
      <c r="A89623" s="1" t="n">
        <v>89622</v>
      </c>
      <c r="B89623">
        <f>TEXT(89622, "[$-0E0000]yyyy-mm-dd")</f>
        <v/>
      </c>
    </row>
    <row r="89624">
      <c r="A89624" s="1" t="n">
        <v>89623</v>
      </c>
      <c r="B89624">
        <f>TEXT(89623, "[$-0E0000]yyyy-mm-dd")</f>
        <v/>
      </c>
    </row>
    <row r="89625">
      <c r="A89625" s="1" t="n">
        <v>89624</v>
      </c>
      <c r="B89625">
        <f>TEXT(89624, "[$-0E0000]yyyy-mm-dd")</f>
        <v/>
      </c>
    </row>
    <row r="89626">
      <c r="A89626" s="1" t="n">
        <v>89625</v>
      </c>
      <c r="B89626">
        <f>TEXT(89625, "[$-0E0000]yyyy-mm-dd")</f>
        <v/>
      </c>
    </row>
    <row r="89627">
      <c r="A89627" s="1" t="n">
        <v>89626</v>
      </c>
      <c r="B89627">
        <f>TEXT(89626, "[$-0E0000]yyyy-mm-dd")</f>
        <v/>
      </c>
    </row>
    <row r="89628">
      <c r="A89628" s="1" t="n">
        <v>89627</v>
      </c>
      <c r="B89628">
        <f>TEXT(89627, "[$-0E0000]yyyy-mm-dd")</f>
        <v/>
      </c>
    </row>
    <row r="89629">
      <c r="A89629" s="1" t="n">
        <v>89628</v>
      </c>
      <c r="B89629">
        <f>TEXT(89628, "[$-0E0000]yyyy-mm-dd")</f>
        <v/>
      </c>
    </row>
    <row r="89630">
      <c r="A89630" s="1" t="n">
        <v>89629</v>
      </c>
      <c r="B89630">
        <f>TEXT(89629, "[$-0E0000]yyyy-mm-dd")</f>
        <v/>
      </c>
    </row>
    <row r="89631">
      <c r="A89631" s="1" t="n">
        <v>89630</v>
      </c>
      <c r="B89631">
        <f>TEXT(89630, "[$-0E0000]yyyy-mm-dd")</f>
        <v/>
      </c>
    </row>
    <row r="89632">
      <c r="A89632" s="1" t="n">
        <v>89631</v>
      </c>
      <c r="B89632">
        <f>TEXT(89631, "[$-0E0000]yyyy-mm-dd")</f>
        <v/>
      </c>
    </row>
    <row r="89633">
      <c r="A89633" s="1" t="n">
        <v>89632</v>
      </c>
      <c r="B89633">
        <f>TEXT(89632, "[$-0E0000]yyyy-mm-dd")</f>
        <v/>
      </c>
    </row>
    <row r="89634">
      <c r="A89634" s="1" t="n">
        <v>89633</v>
      </c>
      <c r="B89634">
        <f>TEXT(89633, "[$-0E0000]yyyy-mm-dd")</f>
        <v/>
      </c>
    </row>
    <row r="89635">
      <c r="A89635" s="1" t="n">
        <v>89634</v>
      </c>
      <c r="B89635">
        <f>TEXT(89634, "[$-0E0000]yyyy-mm-dd")</f>
        <v/>
      </c>
    </row>
    <row r="89636">
      <c r="A89636" s="1" t="n">
        <v>89635</v>
      </c>
      <c r="B89636">
        <f>TEXT(89635, "[$-0E0000]yyyy-mm-dd")</f>
        <v/>
      </c>
    </row>
    <row r="89637">
      <c r="A89637" s="1" t="n">
        <v>89636</v>
      </c>
      <c r="B89637">
        <f>TEXT(89636, "[$-0E0000]yyyy-mm-dd")</f>
        <v/>
      </c>
    </row>
    <row r="89638">
      <c r="A89638" s="1" t="n">
        <v>89637</v>
      </c>
      <c r="B89638">
        <f>TEXT(89637, "[$-0E0000]yyyy-mm-dd")</f>
        <v/>
      </c>
    </row>
    <row r="89639">
      <c r="A89639" s="1" t="n">
        <v>89638</v>
      </c>
      <c r="B89639">
        <f>TEXT(89638, "[$-0E0000]yyyy-mm-dd")</f>
        <v/>
      </c>
    </row>
    <row r="89640">
      <c r="A89640" s="1" t="n">
        <v>89639</v>
      </c>
      <c r="B89640">
        <f>TEXT(89639, "[$-0E0000]yyyy-mm-dd")</f>
        <v/>
      </c>
    </row>
    <row r="89641">
      <c r="A89641" s="1" t="n">
        <v>89640</v>
      </c>
      <c r="B89641">
        <f>TEXT(89640, "[$-0E0000]yyyy-mm-dd")</f>
        <v/>
      </c>
    </row>
    <row r="89642">
      <c r="A89642" s="1" t="n">
        <v>89641</v>
      </c>
      <c r="B89642">
        <f>TEXT(89641, "[$-0E0000]yyyy-mm-dd")</f>
        <v/>
      </c>
    </row>
    <row r="89643">
      <c r="A89643" s="1" t="n">
        <v>89642</v>
      </c>
      <c r="B89643">
        <f>TEXT(89642, "[$-0E0000]yyyy-mm-dd")</f>
        <v/>
      </c>
    </row>
    <row r="89644">
      <c r="A89644" s="1" t="n">
        <v>89643</v>
      </c>
      <c r="B89644">
        <f>TEXT(89643, "[$-0E0000]yyyy-mm-dd")</f>
        <v/>
      </c>
    </row>
    <row r="89645">
      <c r="A89645" s="1" t="n">
        <v>89644</v>
      </c>
      <c r="B89645">
        <f>TEXT(89644, "[$-0E0000]yyyy-mm-dd")</f>
        <v/>
      </c>
    </row>
    <row r="89646">
      <c r="A89646" s="1" t="n">
        <v>89645</v>
      </c>
      <c r="B89646">
        <f>TEXT(89645, "[$-0E0000]yyyy-mm-dd")</f>
        <v/>
      </c>
    </row>
    <row r="89647">
      <c r="A89647" s="1" t="n">
        <v>89646</v>
      </c>
      <c r="B89647">
        <f>TEXT(89646, "[$-0E0000]yyyy-mm-dd")</f>
        <v/>
      </c>
    </row>
    <row r="89648">
      <c r="A89648" s="1" t="n">
        <v>89647</v>
      </c>
      <c r="B89648">
        <f>TEXT(89647, "[$-0E0000]yyyy-mm-dd")</f>
        <v/>
      </c>
    </row>
    <row r="89649">
      <c r="A89649" s="1" t="n">
        <v>89648</v>
      </c>
      <c r="B89649">
        <f>TEXT(89648, "[$-0E0000]yyyy-mm-dd")</f>
        <v/>
      </c>
    </row>
    <row r="89650">
      <c r="A89650" s="1" t="n">
        <v>89649</v>
      </c>
      <c r="B89650">
        <f>TEXT(89649, "[$-0E0000]yyyy-mm-dd")</f>
        <v/>
      </c>
    </row>
    <row r="89651">
      <c r="A89651" s="1" t="n">
        <v>89650</v>
      </c>
      <c r="B89651">
        <f>TEXT(89650, "[$-0E0000]yyyy-mm-dd")</f>
        <v/>
      </c>
    </row>
    <row r="89652">
      <c r="A89652" s="1" t="n">
        <v>89651</v>
      </c>
      <c r="B89652">
        <f>TEXT(89651, "[$-0E0000]yyyy-mm-dd")</f>
        <v/>
      </c>
    </row>
    <row r="89653">
      <c r="A89653" s="1" t="n">
        <v>89652</v>
      </c>
      <c r="B89653">
        <f>TEXT(89652, "[$-0E0000]yyyy-mm-dd")</f>
        <v/>
      </c>
    </row>
    <row r="89654">
      <c r="A89654" s="1" t="n">
        <v>89653</v>
      </c>
      <c r="B89654">
        <f>TEXT(89653, "[$-0E0000]yyyy-mm-dd")</f>
        <v/>
      </c>
    </row>
    <row r="89655">
      <c r="A89655" s="1" t="n">
        <v>89654</v>
      </c>
      <c r="B89655">
        <f>TEXT(89654, "[$-0E0000]yyyy-mm-dd")</f>
        <v/>
      </c>
    </row>
    <row r="89656">
      <c r="A89656" s="1" t="n">
        <v>89655</v>
      </c>
      <c r="B89656">
        <f>TEXT(89655, "[$-0E0000]yyyy-mm-dd")</f>
        <v/>
      </c>
    </row>
    <row r="89657">
      <c r="A89657" s="1" t="n">
        <v>89656</v>
      </c>
      <c r="B89657">
        <f>TEXT(89656, "[$-0E0000]yyyy-mm-dd")</f>
        <v/>
      </c>
    </row>
    <row r="89658">
      <c r="A89658" s="1" t="n">
        <v>89657</v>
      </c>
      <c r="B89658">
        <f>TEXT(89657, "[$-0E0000]yyyy-mm-dd")</f>
        <v/>
      </c>
    </row>
    <row r="89659">
      <c r="A89659" s="1" t="n">
        <v>89658</v>
      </c>
      <c r="B89659">
        <f>TEXT(89658, "[$-0E0000]yyyy-mm-dd")</f>
        <v/>
      </c>
    </row>
    <row r="89660">
      <c r="A89660" s="1" t="n">
        <v>89659</v>
      </c>
      <c r="B89660">
        <f>TEXT(89659, "[$-0E0000]yyyy-mm-dd")</f>
        <v/>
      </c>
    </row>
    <row r="89661">
      <c r="A89661" s="1" t="n">
        <v>89660</v>
      </c>
      <c r="B89661">
        <f>TEXT(89660, "[$-0E0000]yyyy-mm-dd")</f>
        <v/>
      </c>
    </row>
    <row r="89662">
      <c r="A89662" s="1" t="n">
        <v>89661</v>
      </c>
      <c r="B89662">
        <f>TEXT(89661, "[$-0E0000]yyyy-mm-dd")</f>
        <v/>
      </c>
    </row>
    <row r="89663">
      <c r="A89663" s="1" t="n">
        <v>89662</v>
      </c>
      <c r="B89663">
        <f>TEXT(89662, "[$-0E0000]yyyy-mm-dd")</f>
        <v/>
      </c>
    </row>
    <row r="89664">
      <c r="A89664" s="1" t="n">
        <v>89663</v>
      </c>
      <c r="B89664">
        <f>TEXT(89663, "[$-0E0000]yyyy-mm-dd")</f>
        <v/>
      </c>
    </row>
    <row r="89665">
      <c r="A89665" s="1" t="n">
        <v>89664</v>
      </c>
      <c r="B89665">
        <f>TEXT(89664, "[$-0E0000]yyyy-mm-dd")</f>
        <v/>
      </c>
    </row>
    <row r="89666">
      <c r="A89666" s="1" t="n">
        <v>89665</v>
      </c>
      <c r="B89666">
        <f>TEXT(89665, "[$-0E0000]yyyy-mm-dd")</f>
        <v/>
      </c>
    </row>
    <row r="89667">
      <c r="A89667" s="1" t="n">
        <v>89666</v>
      </c>
      <c r="B89667">
        <f>TEXT(89666, "[$-0E0000]yyyy-mm-dd")</f>
        <v/>
      </c>
    </row>
    <row r="89668">
      <c r="A89668" s="1" t="n">
        <v>89667</v>
      </c>
      <c r="B89668">
        <f>TEXT(89667, "[$-0E0000]yyyy-mm-dd")</f>
        <v/>
      </c>
    </row>
    <row r="89669">
      <c r="A89669" s="1" t="n">
        <v>89668</v>
      </c>
      <c r="B89669">
        <f>TEXT(89668, "[$-0E0000]yyyy-mm-dd")</f>
        <v/>
      </c>
    </row>
    <row r="89670">
      <c r="A89670" s="1" t="n">
        <v>89669</v>
      </c>
      <c r="B89670">
        <f>TEXT(89669, "[$-0E0000]yyyy-mm-dd")</f>
        <v/>
      </c>
    </row>
    <row r="89671">
      <c r="A89671" s="1" t="n">
        <v>89670</v>
      </c>
      <c r="B89671">
        <f>TEXT(89670, "[$-0E0000]yyyy-mm-dd")</f>
        <v/>
      </c>
    </row>
    <row r="89672">
      <c r="A89672" s="1" t="n">
        <v>89671</v>
      </c>
      <c r="B89672">
        <f>TEXT(89671, "[$-0E0000]yyyy-mm-dd")</f>
        <v/>
      </c>
    </row>
    <row r="89673">
      <c r="A89673" s="1" t="n">
        <v>89672</v>
      </c>
      <c r="B89673">
        <f>TEXT(89672, "[$-0E0000]yyyy-mm-dd")</f>
        <v/>
      </c>
    </row>
    <row r="89674">
      <c r="A89674" s="1" t="n">
        <v>89673</v>
      </c>
      <c r="B89674">
        <f>TEXT(89673, "[$-0E0000]yyyy-mm-dd")</f>
        <v/>
      </c>
    </row>
    <row r="89675">
      <c r="A89675" s="1" t="n">
        <v>89674</v>
      </c>
      <c r="B89675">
        <f>TEXT(89674, "[$-0E0000]yyyy-mm-dd")</f>
        <v/>
      </c>
    </row>
    <row r="89676">
      <c r="A89676" s="1" t="n">
        <v>89675</v>
      </c>
      <c r="B89676">
        <f>TEXT(89675, "[$-0E0000]yyyy-mm-dd")</f>
        <v/>
      </c>
    </row>
    <row r="89677">
      <c r="A89677" s="1" t="n">
        <v>89676</v>
      </c>
      <c r="B89677">
        <f>TEXT(89676, "[$-0E0000]yyyy-mm-dd")</f>
        <v/>
      </c>
    </row>
    <row r="89678">
      <c r="A89678" s="1" t="n">
        <v>89677</v>
      </c>
      <c r="B89678">
        <f>TEXT(89677, "[$-0E0000]yyyy-mm-dd")</f>
        <v/>
      </c>
    </row>
    <row r="89679">
      <c r="A89679" s="1" t="n">
        <v>89678</v>
      </c>
      <c r="B89679">
        <f>TEXT(89678, "[$-0E0000]yyyy-mm-dd")</f>
        <v/>
      </c>
    </row>
    <row r="89680">
      <c r="A89680" s="1" t="n">
        <v>89679</v>
      </c>
      <c r="B89680">
        <f>TEXT(89679, "[$-0E0000]yyyy-mm-dd")</f>
        <v/>
      </c>
    </row>
    <row r="89681">
      <c r="A89681" s="1" t="n">
        <v>89680</v>
      </c>
      <c r="B89681">
        <f>TEXT(89680, "[$-0E0000]yyyy-mm-dd")</f>
        <v/>
      </c>
    </row>
    <row r="89682">
      <c r="A89682" s="1" t="n">
        <v>89681</v>
      </c>
      <c r="B89682">
        <f>TEXT(89681, "[$-0E0000]yyyy-mm-dd")</f>
        <v/>
      </c>
    </row>
    <row r="89683">
      <c r="A89683" s="1" t="n">
        <v>89682</v>
      </c>
      <c r="B89683">
        <f>TEXT(89682, "[$-0E0000]yyyy-mm-dd")</f>
        <v/>
      </c>
    </row>
    <row r="89684">
      <c r="A89684" s="1" t="n">
        <v>89683</v>
      </c>
      <c r="B89684">
        <f>TEXT(89683, "[$-0E0000]yyyy-mm-dd")</f>
        <v/>
      </c>
    </row>
    <row r="89685">
      <c r="A89685" s="1" t="n">
        <v>89684</v>
      </c>
      <c r="B89685">
        <f>TEXT(89684, "[$-0E0000]yyyy-mm-dd")</f>
        <v/>
      </c>
    </row>
    <row r="89686">
      <c r="A89686" s="1" t="n">
        <v>89685</v>
      </c>
      <c r="B89686">
        <f>TEXT(89685, "[$-0E0000]yyyy-mm-dd")</f>
        <v/>
      </c>
    </row>
    <row r="89687">
      <c r="A89687" s="1" t="n">
        <v>89686</v>
      </c>
      <c r="B89687">
        <f>TEXT(89686, "[$-0E0000]yyyy-mm-dd")</f>
        <v/>
      </c>
    </row>
    <row r="89688">
      <c r="A89688" s="1" t="n">
        <v>89687</v>
      </c>
      <c r="B89688">
        <f>TEXT(89687, "[$-0E0000]yyyy-mm-dd")</f>
        <v/>
      </c>
    </row>
    <row r="89689">
      <c r="A89689" s="1" t="n">
        <v>89688</v>
      </c>
      <c r="B89689">
        <f>TEXT(89688, "[$-0E0000]yyyy-mm-dd")</f>
        <v/>
      </c>
    </row>
    <row r="89690">
      <c r="A89690" s="1" t="n">
        <v>89689</v>
      </c>
      <c r="B89690">
        <f>TEXT(89689, "[$-0E0000]yyyy-mm-dd")</f>
        <v/>
      </c>
    </row>
    <row r="89691">
      <c r="A89691" s="1" t="n">
        <v>89690</v>
      </c>
      <c r="B89691">
        <f>TEXT(89690, "[$-0E0000]yyyy-mm-dd")</f>
        <v/>
      </c>
    </row>
    <row r="89692">
      <c r="A89692" s="1" t="n">
        <v>89691</v>
      </c>
      <c r="B89692">
        <f>TEXT(89691, "[$-0E0000]yyyy-mm-dd")</f>
        <v/>
      </c>
    </row>
    <row r="89693">
      <c r="A89693" s="1" t="n">
        <v>89692</v>
      </c>
      <c r="B89693">
        <f>TEXT(89692, "[$-0E0000]yyyy-mm-dd")</f>
        <v/>
      </c>
    </row>
    <row r="89694">
      <c r="A89694" s="1" t="n">
        <v>89693</v>
      </c>
      <c r="B89694">
        <f>TEXT(89693, "[$-0E0000]yyyy-mm-dd")</f>
        <v/>
      </c>
    </row>
    <row r="89695">
      <c r="A89695" s="1" t="n">
        <v>89694</v>
      </c>
      <c r="B89695">
        <f>TEXT(89694, "[$-0E0000]yyyy-mm-dd")</f>
        <v/>
      </c>
    </row>
    <row r="89696">
      <c r="A89696" s="1" t="n">
        <v>89695</v>
      </c>
      <c r="B89696">
        <f>TEXT(89695, "[$-0E0000]yyyy-mm-dd")</f>
        <v/>
      </c>
    </row>
    <row r="89697">
      <c r="A89697" s="1" t="n">
        <v>89696</v>
      </c>
      <c r="B89697">
        <f>TEXT(89696, "[$-0E0000]yyyy-mm-dd")</f>
        <v/>
      </c>
    </row>
    <row r="89698">
      <c r="A89698" s="1" t="n">
        <v>89697</v>
      </c>
      <c r="B89698">
        <f>TEXT(89697, "[$-0E0000]yyyy-mm-dd")</f>
        <v/>
      </c>
    </row>
    <row r="89699">
      <c r="A89699" s="1" t="n">
        <v>89698</v>
      </c>
      <c r="B89699">
        <f>TEXT(89698, "[$-0E0000]yyyy-mm-dd")</f>
        <v/>
      </c>
    </row>
    <row r="89700">
      <c r="A89700" s="1" t="n">
        <v>89699</v>
      </c>
      <c r="B89700">
        <f>TEXT(89699, "[$-0E0000]yyyy-mm-dd")</f>
        <v/>
      </c>
    </row>
    <row r="89701">
      <c r="A89701" s="1" t="n">
        <v>89700</v>
      </c>
      <c r="B89701">
        <f>TEXT(89700, "[$-0E0000]yyyy-mm-dd")</f>
        <v/>
      </c>
    </row>
    <row r="89702">
      <c r="A89702" s="1" t="n">
        <v>89701</v>
      </c>
      <c r="B89702">
        <f>TEXT(89701, "[$-0E0000]yyyy-mm-dd")</f>
        <v/>
      </c>
    </row>
    <row r="89703">
      <c r="A89703" s="1" t="n">
        <v>89702</v>
      </c>
      <c r="B89703">
        <f>TEXT(89702, "[$-0E0000]yyyy-mm-dd")</f>
        <v/>
      </c>
    </row>
    <row r="89704">
      <c r="A89704" s="1" t="n">
        <v>89703</v>
      </c>
      <c r="B89704">
        <f>TEXT(89703, "[$-0E0000]yyyy-mm-dd")</f>
        <v/>
      </c>
    </row>
    <row r="89705">
      <c r="A89705" s="1" t="n">
        <v>89704</v>
      </c>
      <c r="B89705">
        <f>TEXT(89704, "[$-0E0000]yyyy-mm-dd")</f>
        <v/>
      </c>
    </row>
    <row r="89706">
      <c r="A89706" s="1" t="n">
        <v>89705</v>
      </c>
      <c r="B89706">
        <f>TEXT(89705, "[$-0E0000]yyyy-mm-dd")</f>
        <v/>
      </c>
    </row>
    <row r="89707">
      <c r="A89707" s="1" t="n">
        <v>89706</v>
      </c>
      <c r="B89707">
        <f>TEXT(89706, "[$-0E0000]yyyy-mm-dd")</f>
        <v/>
      </c>
    </row>
    <row r="89708">
      <c r="A89708" s="1" t="n">
        <v>89707</v>
      </c>
      <c r="B89708">
        <f>TEXT(89707, "[$-0E0000]yyyy-mm-dd")</f>
        <v/>
      </c>
    </row>
    <row r="89709">
      <c r="A89709" s="1" t="n">
        <v>89708</v>
      </c>
      <c r="B89709">
        <f>TEXT(89708, "[$-0E0000]yyyy-mm-dd")</f>
        <v/>
      </c>
    </row>
    <row r="89710">
      <c r="A89710" s="1" t="n">
        <v>89709</v>
      </c>
      <c r="B89710">
        <f>TEXT(89709, "[$-0E0000]yyyy-mm-dd")</f>
        <v/>
      </c>
    </row>
    <row r="89711">
      <c r="A89711" s="1" t="n">
        <v>89710</v>
      </c>
      <c r="B89711">
        <f>TEXT(89710, "[$-0E0000]yyyy-mm-dd")</f>
        <v/>
      </c>
    </row>
    <row r="89712">
      <c r="A89712" s="1" t="n">
        <v>89711</v>
      </c>
      <c r="B89712">
        <f>TEXT(89711, "[$-0E0000]yyyy-mm-dd")</f>
        <v/>
      </c>
    </row>
    <row r="89713">
      <c r="A89713" s="1" t="n">
        <v>89712</v>
      </c>
      <c r="B89713">
        <f>TEXT(89712, "[$-0E0000]yyyy-mm-dd")</f>
        <v/>
      </c>
    </row>
    <row r="89714">
      <c r="A89714" s="1" t="n">
        <v>89713</v>
      </c>
      <c r="B89714">
        <f>TEXT(89713, "[$-0E0000]yyyy-mm-dd")</f>
        <v/>
      </c>
    </row>
    <row r="89715">
      <c r="A89715" s="1" t="n">
        <v>89714</v>
      </c>
      <c r="B89715">
        <f>TEXT(89714, "[$-0E0000]yyyy-mm-dd")</f>
        <v/>
      </c>
    </row>
    <row r="89716">
      <c r="A89716" s="1" t="n">
        <v>89715</v>
      </c>
      <c r="B89716">
        <f>TEXT(89715, "[$-0E0000]yyyy-mm-dd")</f>
        <v/>
      </c>
    </row>
    <row r="89717">
      <c r="A89717" s="1" t="n">
        <v>89716</v>
      </c>
      <c r="B89717">
        <f>TEXT(89716, "[$-0E0000]yyyy-mm-dd")</f>
        <v/>
      </c>
    </row>
    <row r="89718">
      <c r="A89718" s="1" t="n">
        <v>89717</v>
      </c>
      <c r="B89718">
        <f>TEXT(89717, "[$-0E0000]yyyy-mm-dd")</f>
        <v/>
      </c>
    </row>
    <row r="89719">
      <c r="A89719" s="1" t="n">
        <v>89718</v>
      </c>
      <c r="B89719">
        <f>TEXT(89718, "[$-0E0000]yyyy-mm-dd")</f>
        <v/>
      </c>
    </row>
    <row r="89720">
      <c r="A89720" s="1" t="n">
        <v>89719</v>
      </c>
      <c r="B89720">
        <f>TEXT(89719, "[$-0E0000]yyyy-mm-dd")</f>
        <v/>
      </c>
    </row>
    <row r="89721">
      <c r="A89721" s="1" t="n">
        <v>89720</v>
      </c>
      <c r="B89721">
        <f>TEXT(89720, "[$-0E0000]yyyy-mm-dd")</f>
        <v/>
      </c>
    </row>
    <row r="89722">
      <c r="A89722" s="1" t="n">
        <v>89721</v>
      </c>
      <c r="B89722">
        <f>TEXT(89721, "[$-0E0000]yyyy-mm-dd")</f>
        <v/>
      </c>
    </row>
    <row r="89723">
      <c r="A89723" s="1" t="n">
        <v>89722</v>
      </c>
      <c r="B89723">
        <f>TEXT(89722, "[$-0E0000]yyyy-mm-dd")</f>
        <v/>
      </c>
    </row>
    <row r="89724">
      <c r="A89724" s="1" t="n">
        <v>89723</v>
      </c>
      <c r="B89724">
        <f>TEXT(89723, "[$-0E0000]yyyy-mm-dd")</f>
        <v/>
      </c>
    </row>
    <row r="89725">
      <c r="A89725" s="1" t="n">
        <v>89724</v>
      </c>
      <c r="B89725">
        <f>TEXT(89724, "[$-0E0000]yyyy-mm-dd")</f>
        <v/>
      </c>
    </row>
    <row r="89726">
      <c r="A89726" s="1" t="n">
        <v>89725</v>
      </c>
      <c r="B89726">
        <f>TEXT(89725, "[$-0E0000]yyyy-mm-dd")</f>
        <v/>
      </c>
    </row>
    <row r="89727">
      <c r="A89727" s="1" t="n">
        <v>89726</v>
      </c>
      <c r="B89727">
        <f>TEXT(89726, "[$-0E0000]yyyy-mm-dd")</f>
        <v/>
      </c>
    </row>
    <row r="89728">
      <c r="A89728" s="1" t="n">
        <v>89727</v>
      </c>
      <c r="B89728">
        <f>TEXT(89727, "[$-0E0000]yyyy-mm-dd")</f>
        <v/>
      </c>
    </row>
    <row r="89729">
      <c r="A89729" s="1" t="n">
        <v>89728</v>
      </c>
      <c r="B89729">
        <f>TEXT(89728, "[$-0E0000]yyyy-mm-dd")</f>
        <v/>
      </c>
    </row>
    <row r="89730">
      <c r="A89730" s="1" t="n">
        <v>89729</v>
      </c>
      <c r="B89730">
        <f>TEXT(89729, "[$-0E0000]yyyy-mm-dd")</f>
        <v/>
      </c>
    </row>
    <row r="89731">
      <c r="A89731" s="1" t="n">
        <v>89730</v>
      </c>
      <c r="B89731">
        <f>TEXT(89730, "[$-0E0000]yyyy-mm-dd")</f>
        <v/>
      </c>
    </row>
    <row r="89732">
      <c r="A89732" s="1" t="n">
        <v>89731</v>
      </c>
      <c r="B89732">
        <f>TEXT(89731, "[$-0E0000]yyyy-mm-dd")</f>
        <v/>
      </c>
    </row>
    <row r="89733">
      <c r="A89733" s="1" t="n">
        <v>89732</v>
      </c>
      <c r="B89733">
        <f>TEXT(89732, "[$-0E0000]yyyy-mm-dd")</f>
        <v/>
      </c>
    </row>
    <row r="89734">
      <c r="A89734" s="1" t="n">
        <v>89733</v>
      </c>
      <c r="B89734">
        <f>TEXT(89733, "[$-0E0000]yyyy-mm-dd")</f>
        <v/>
      </c>
    </row>
    <row r="89735">
      <c r="A89735" s="1" t="n">
        <v>89734</v>
      </c>
      <c r="B89735">
        <f>TEXT(89734, "[$-0E0000]yyyy-mm-dd")</f>
        <v/>
      </c>
    </row>
    <row r="89736">
      <c r="A89736" s="1" t="n">
        <v>89735</v>
      </c>
      <c r="B89736">
        <f>TEXT(89735, "[$-0E0000]yyyy-mm-dd")</f>
        <v/>
      </c>
    </row>
    <row r="89737">
      <c r="A89737" s="1" t="n">
        <v>89736</v>
      </c>
      <c r="B89737">
        <f>TEXT(89736, "[$-0E0000]yyyy-mm-dd")</f>
        <v/>
      </c>
    </row>
    <row r="89738">
      <c r="A89738" s="1" t="n">
        <v>89737</v>
      </c>
      <c r="B89738">
        <f>TEXT(89737, "[$-0E0000]yyyy-mm-dd")</f>
        <v/>
      </c>
    </row>
    <row r="89739">
      <c r="A89739" s="1" t="n">
        <v>89738</v>
      </c>
      <c r="B89739">
        <f>TEXT(89738, "[$-0E0000]yyyy-mm-dd")</f>
        <v/>
      </c>
    </row>
    <row r="89740">
      <c r="A89740" s="1" t="n">
        <v>89739</v>
      </c>
      <c r="B89740">
        <f>TEXT(89739, "[$-0E0000]yyyy-mm-dd")</f>
        <v/>
      </c>
    </row>
    <row r="89741">
      <c r="A89741" s="1" t="n">
        <v>89740</v>
      </c>
      <c r="B89741">
        <f>TEXT(89740, "[$-0E0000]yyyy-mm-dd")</f>
        <v/>
      </c>
    </row>
    <row r="89742">
      <c r="A89742" s="1" t="n">
        <v>89741</v>
      </c>
      <c r="B89742">
        <f>TEXT(89741, "[$-0E0000]yyyy-mm-dd")</f>
        <v/>
      </c>
    </row>
    <row r="89743">
      <c r="A89743" s="1" t="n">
        <v>89742</v>
      </c>
      <c r="B89743">
        <f>TEXT(89742, "[$-0E0000]yyyy-mm-dd")</f>
        <v/>
      </c>
    </row>
    <row r="89744">
      <c r="A89744" s="1" t="n">
        <v>89743</v>
      </c>
      <c r="B89744">
        <f>TEXT(89743, "[$-0E0000]yyyy-mm-dd")</f>
        <v/>
      </c>
    </row>
    <row r="89745">
      <c r="A89745" s="1" t="n">
        <v>89744</v>
      </c>
      <c r="B89745">
        <f>TEXT(89744, "[$-0E0000]yyyy-mm-dd")</f>
        <v/>
      </c>
    </row>
    <row r="89746">
      <c r="A89746" s="1" t="n">
        <v>89745</v>
      </c>
      <c r="B89746">
        <f>TEXT(89745, "[$-0E0000]yyyy-mm-dd")</f>
        <v/>
      </c>
    </row>
    <row r="89747">
      <c r="A89747" s="1" t="n">
        <v>89746</v>
      </c>
      <c r="B89747">
        <f>TEXT(89746, "[$-0E0000]yyyy-mm-dd")</f>
        <v/>
      </c>
    </row>
    <row r="89748">
      <c r="A89748" s="1" t="n">
        <v>89747</v>
      </c>
      <c r="B89748">
        <f>TEXT(89747, "[$-0E0000]yyyy-mm-dd")</f>
        <v/>
      </c>
    </row>
    <row r="89749">
      <c r="A89749" s="1" t="n">
        <v>89748</v>
      </c>
      <c r="B89749">
        <f>TEXT(89748, "[$-0E0000]yyyy-mm-dd")</f>
        <v/>
      </c>
    </row>
    <row r="89750">
      <c r="A89750" s="1" t="n">
        <v>89749</v>
      </c>
      <c r="B89750">
        <f>TEXT(89749, "[$-0E0000]yyyy-mm-dd")</f>
        <v/>
      </c>
    </row>
    <row r="89751">
      <c r="A89751" s="1" t="n">
        <v>89750</v>
      </c>
      <c r="B89751">
        <f>TEXT(89750, "[$-0E0000]yyyy-mm-dd")</f>
        <v/>
      </c>
    </row>
    <row r="89752">
      <c r="A89752" s="1" t="n">
        <v>89751</v>
      </c>
      <c r="B89752">
        <f>TEXT(89751, "[$-0E0000]yyyy-mm-dd")</f>
        <v/>
      </c>
    </row>
    <row r="89753">
      <c r="A89753" s="1" t="n">
        <v>89752</v>
      </c>
      <c r="B89753">
        <f>TEXT(89752, "[$-0E0000]yyyy-mm-dd")</f>
        <v/>
      </c>
    </row>
    <row r="89754">
      <c r="A89754" s="1" t="n">
        <v>89753</v>
      </c>
      <c r="B89754">
        <f>TEXT(89753, "[$-0E0000]yyyy-mm-dd")</f>
        <v/>
      </c>
    </row>
    <row r="89755">
      <c r="A89755" s="1" t="n">
        <v>89754</v>
      </c>
      <c r="B89755">
        <f>TEXT(89754, "[$-0E0000]yyyy-mm-dd")</f>
        <v/>
      </c>
    </row>
    <row r="89756">
      <c r="A89756" s="1" t="n">
        <v>89755</v>
      </c>
      <c r="B89756">
        <f>TEXT(89755, "[$-0E0000]yyyy-mm-dd")</f>
        <v/>
      </c>
    </row>
    <row r="89757">
      <c r="A89757" s="1" t="n">
        <v>89756</v>
      </c>
      <c r="B89757">
        <f>TEXT(89756, "[$-0E0000]yyyy-mm-dd")</f>
        <v/>
      </c>
    </row>
    <row r="89758">
      <c r="A89758" s="1" t="n">
        <v>89757</v>
      </c>
      <c r="B89758">
        <f>TEXT(89757, "[$-0E0000]yyyy-mm-dd")</f>
        <v/>
      </c>
    </row>
    <row r="89759">
      <c r="A89759" s="1" t="n">
        <v>89758</v>
      </c>
      <c r="B89759">
        <f>TEXT(89758, "[$-0E0000]yyyy-mm-dd")</f>
        <v/>
      </c>
    </row>
    <row r="89760">
      <c r="A89760" s="1" t="n">
        <v>89759</v>
      </c>
      <c r="B89760">
        <f>TEXT(89759, "[$-0E0000]yyyy-mm-dd")</f>
        <v/>
      </c>
    </row>
    <row r="89761">
      <c r="A89761" s="1" t="n">
        <v>89760</v>
      </c>
      <c r="B89761">
        <f>TEXT(89760, "[$-0E0000]yyyy-mm-dd")</f>
        <v/>
      </c>
    </row>
    <row r="89762">
      <c r="A89762" s="1" t="n">
        <v>89761</v>
      </c>
      <c r="B89762">
        <f>TEXT(89761, "[$-0E0000]yyyy-mm-dd")</f>
        <v/>
      </c>
    </row>
    <row r="89763">
      <c r="A89763" s="1" t="n">
        <v>89762</v>
      </c>
      <c r="B89763">
        <f>TEXT(89762, "[$-0E0000]yyyy-mm-dd")</f>
        <v/>
      </c>
    </row>
    <row r="89764">
      <c r="A89764" s="1" t="n">
        <v>89763</v>
      </c>
      <c r="B89764">
        <f>TEXT(89763, "[$-0E0000]yyyy-mm-dd")</f>
        <v/>
      </c>
    </row>
    <row r="89765">
      <c r="A89765" s="1" t="n">
        <v>89764</v>
      </c>
      <c r="B89765">
        <f>TEXT(89764, "[$-0E0000]yyyy-mm-dd")</f>
        <v/>
      </c>
    </row>
    <row r="89766">
      <c r="A89766" s="1" t="n">
        <v>89765</v>
      </c>
      <c r="B89766">
        <f>TEXT(89765, "[$-0E0000]yyyy-mm-dd")</f>
        <v/>
      </c>
    </row>
    <row r="89767">
      <c r="A89767" s="1" t="n">
        <v>89766</v>
      </c>
      <c r="B89767">
        <f>TEXT(89766, "[$-0E0000]yyyy-mm-dd")</f>
        <v/>
      </c>
    </row>
    <row r="89768">
      <c r="A89768" s="1" t="n">
        <v>89767</v>
      </c>
      <c r="B89768">
        <f>TEXT(89767, "[$-0E0000]yyyy-mm-dd")</f>
        <v/>
      </c>
    </row>
    <row r="89769">
      <c r="A89769" s="1" t="n">
        <v>89768</v>
      </c>
      <c r="B89769">
        <f>TEXT(89768, "[$-0E0000]yyyy-mm-dd")</f>
        <v/>
      </c>
    </row>
    <row r="89770">
      <c r="A89770" s="1" t="n">
        <v>89769</v>
      </c>
      <c r="B89770">
        <f>TEXT(89769, "[$-0E0000]yyyy-mm-dd")</f>
        <v/>
      </c>
    </row>
    <row r="89771">
      <c r="A89771" s="1" t="n">
        <v>89770</v>
      </c>
      <c r="B89771">
        <f>TEXT(89770, "[$-0E0000]yyyy-mm-dd")</f>
        <v/>
      </c>
    </row>
    <row r="89772">
      <c r="A89772" s="1" t="n">
        <v>89771</v>
      </c>
      <c r="B89772">
        <f>TEXT(89771, "[$-0E0000]yyyy-mm-dd")</f>
        <v/>
      </c>
    </row>
    <row r="89773">
      <c r="A89773" s="1" t="n">
        <v>89772</v>
      </c>
      <c r="B89773">
        <f>TEXT(89772, "[$-0E0000]yyyy-mm-dd")</f>
        <v/>
      </c>
    </row>
    <row r="89774">
      <c r="A89774" s="1" t="n">
        <v>89773</v>
      </c>
      <c r="B89774">
        <f>TEXT(89773, "[$-0E0000]yyyy-mm-dd")</f>
        <v/>
      </c>
    </row>
    <row r="89775">
      <c r="A89775" s="1" t="n">
        <v>89774</v>
      </c>
      <c r="B89775">
        <f>TEXT(89774, "[$-0E0000]yyyy-mm-dd")</f>
        <v/>
      </c>
    </row>
    <row r="89776">
      <c r="A89776" s="1" t="n">
        <v>89775</v>
      </c>
      <c r="B89776">
        <f>TEXT(89775, "[$-0E0000]yyyy-mm-dd")</f>
        <v/>
      </c>
    </row>
    <row r="89777">
      <c r="A89777" s="1" t="n">
        <v>89776</v>
      </c>
      <c r="B89777">
        <f>TEXT(89776, "[$-0E0000]yyyy-mm-dd")</f>
        <v/>
      </c>
    </row>
    <row r="89778">
      <c r="A89778" s="1" t="n">
        <v>89777</v>
      </c>
      <c r="B89778">
        <f>TEXT(89777, "[$-0E0000]yyyy-mm-dd")</f>
        <v/>
      </c>
    </row>
    <row r="89779">
      <c r="A89779" s="1" t="n">
        <v>89778</v>
      </c>
      <c r="B89779">
        <f>TEXT(89778, "[$-0E0000]yyyy-mm-dd")</f>
        <v/>
      </c>
    </row>
    <row r="89780">
      <c r="A89780" s="1" t="n">
        <v>89779</v>
      </c>
      <c r="B89780">
        <f>TEXT(89779, "[$-0E0000]yyyy-mm-dd")</f>
        <v/>
      </c>
    </row>
    <row r="89781">
      <c r="A89781" s="1" t="n">
        <v>89780</v>
      </c>
      <c r="B89781">
        <f>TEXT(89780, "[$-0E0000]yyyy-mm-dd")</f>
        <v/>
      </c>
    </row>
    <row r="89782">
      <c r="A89782" s="1" t="n">
        <v>89781</v>
      </c>
      <c r="B89782">
        <f>TEXT(89781, "[$-0E0000]yyyy-mm-dd")</f>
        <v/>
      </c>
    </row>
    <row r="89783">
      <c r="A89783" s="1" t="n">
        <v>89782</v>
      </c>
      <c r="B89783">
        <f>TEXT(89782, "[$-0E0000]yyyy-mm-dd")</f>
        <v/>
      </c>
    </row>
    <row r="89784">
      <c r="A89784" s="1" t="n">
        <v>89783</v>
      </c>
      <c r="B89784">
        <f>TEXT(89783, "[$-0E0000]yyyy-mm-dd")</f>
        <v/>
      </c>
    </row>
    <row r="89785">
      <c r="A89785" s="1" t="n">
        <v>89784</v>
      </c>
      <c r="B89785">
        <f>TEXT(89784, "[$-0E0000]yyyy-mm-dd")</f>
        <v/>
      </c>
    </row>
    <row r="89786">
      <c r="A89786" s="1" t="n">
        <v>89785</v>
      </c>
      <c r="B89786">
        <f>TEXT(89785, "[$-0E0000]yyyy-mm-dd")</f>
        <v/>
      </c>
    </row>
    <row r="89787">
      <c r="A89787" s="1" t="n">
        <v>89786</v>
      </c>
      <c r="B89787">
        <f>TEXT(89786, "[$-0E0000]yyyy-mm-dd")</f>
        <v/>
      </c>
    </row>
    <row r="89788">
      <c r="A89788" s="1" t="n">
        <v>89787</v>
      </c>
      <c r="B89788">
        <f>TEXT(89787, "[$-0E0000]yyyy-mm-dd")</f>
        <v/>
      </c>
    </row>
    <row r="89789">
      <c r="A89789" s="1" t="n">
        <v>89788</v>
      </c>
      <c r="B89789">
        <f>TEXT(89788, "[$-0E0000]yyyy-mm-dd")</f>
        <v/>
      </c>
    </row>
    <row r="89790">
      <c r="A89790" s="1" t="n">
        <v>89789</v>
      </c>
      <c r="B89790">
        <f>TEXT(89789, "[$-0E0000]yyyy-mm-dd")</f>
        <v/>
      </c>
    </row>
    <row r="89791">
      <c r="A89791" s="1" t="n">
        <v>89790</v>
      </c>
      <c r="B89791">
        <f>TEXT(89790, "[$-0E0000]yyyy-mm-dd")</f>
        <v/>
      </c>
    </row>
    <row r="89792">
      <c r="A89792" s="1" t="n">
        <v>89791</v>
      </c>
      <c r="B89792">
        <f>TEXT(89791, "[$-0E0000]yyyy-mm-dd")</f>
        <v/>
      </c>
    </row>
    <row r="89793">
      <c r="A89793" s="1" t="n">
        <v>89792</v>
      </c>
      <c r="B89793">
        <f>TEXT(89792, "[$-0E0000]yyyy-mm-dd")</f>
        <v/>
      </c>
    </row>
    <row r="89794">
      <c r="A89794" s="1" t="n">
        <v>89793</v>
      </c>
      <c r="B89794">
        <f>TEXT(89793, "[$-0E0000]yyyy-mm-dd")</f>
        <v/>
      </c>
    </row>
    <row r="89795">
      <c r="A89795" s="1" t="n">
        <v>89794</v>
      </c>
      <c r="B89795">
        <f>TEXT(89794, "[$-0E0000]yyyy-mm-dd")</f>
        <v/>
      </c>
    </row>
    <row r="89796">
      <c r="A89796" s="1" t="n">
        <v>89795</v>
      </c>
      <c r="B89796">
        <f>TEXT(89795, "[$-0E0000]yyyy-mm-dd")</f>
        <v/>
      </c>
    </row>
    <row r="89797">
      <c r="A89797" s="1" t="n">
        <v>89796</v>
      </c>
      <c r="B89797">
        <f>TEXT(89796, "[$-0E0000]yyyy-mm-dd")</f>
        <v/>
      </c>
    </row>
    <row r="89798">
      <c r="A89798" s="1" t="n">
        <v>89797</v>
      </c>
      <c r="B89798">
        <f>TEXT(89797, "[$-0E0000]yyyy-mm-dd")</f>
        <v/>
      </c>
    </row>
    <row r="89799">
      <c r="A89799" s="1" t="n">
        <v>89798</v>
      </c>
      <c r="B89799">
        <f>TEXT(89798, "[$-0E0000]yyyy-mm-dd")</f>
        <v/>
      </c>
    </row>
    <row r="89800">
      <c r="A89800" s="1" t="n">
        <v>89799</v>
      </c>
      <c r="B89800">
        <f>TEXT(89799, "[$-0E0000]yyyy-mm-dd")</f>
        <v/>
      </c>
    </row>
    <row r="89801">
      <c r="A89801" s="1" t="n">
        <v>89800</v>
      </c>
      <c r="B89801">
        <f>TEXT(89800, "[$-0E0000]yyyy-mm-dd")</f>
        <v/>
      </c>
    </row>
    <row r="89802">
      <c r="A89802" s="1" t="n">
        <v>89801</v>
      </c>
      <c r="B89802">
        <f>TEXT(89801, "[$-0E0000]yyyy-mm-dd")</f>
        <v/>
      </c>
    </row>
    <row r="89803">
      <c r="A89803" s="1" t="n">
        <v>89802</v>
      </c>
      <c r="B89803">
        <f>TEXT(89802, "[$-0E0000]yyyy-mm-dd")</f>
        <v/>
      </c>
    </row>
    <row r="89804">
      <c r="A89804" s="1" t="n">
        <v>89803</v>
      </c>
      <c r="B89804">
        <f>TEXT(89803, "[$-0E0000]yyyy-mm-dd")</f>
        <v/>
      </c>
    </row>
    <row r="89805">
      <c r="A89805" s="1" t="n">
        <v>89804</v>
      </c>
      <c r="B89805">
        <f>TEXT(89804, "[$-0E0000]yyyy-mm-dd")</f>
        <v/>
      </c>
    </row>
    <row r="89806">
      <c r="A89806" s="1" t="n">
        <v>89805</v>
      </c>
      <c r="B89806">
        <f>TEXT(89805, "[$-0E0000]yyyy-mm-dd")</f>
        <v/>
      </c>
    </row>
    <row r="89807">
      <c r="A89807" s="1" t="n">
        <v>89806</v>
      </c>
      <c r="B89807">
        <f>TEXT(89806, "[$-0E0000]yyyy-mm-dd")</f>
        <v/>
      </c>
    </row>
    <row r="89808">
      <c r="A89808" s="1" t="n">
        <v>89807</v>
      </c>
      <c r="B89808">
        <f>TEXT(89807, "[$-0E0000]yyyy-mm-dd")</f>
        <v/>
      </c>
    </row>
    <row r="89809">
      <c r="A89809" s="1" t="n">
        <v>89808</v>
      </c>
      <c r="B89809">
        <f>TEXT(89808, "[$-0E0000]yyyy-mm-dd")</f>
        <v/>
      </c>
    </row>
    <row r="89810">
      <c r="A89810" s="1" t="n">
        <v>89809</v>
      </c>
      <c r="B89810">
        <f>TEXT(89809, "[$-0E0000]yyyy-mm-dd")</f>
        <v/>
      </c>
    </row>
    <row r="89811">
      <c r="A89811" s="1" t="n">
        <v>89810</v>
      </c>
      <c r="B89811">
        <f>TEXT(89810, "[$-0E0000]yyyy-mm-dd")</f>
        <v/>
      </c>
    </row>
    <row r="89812">
      <c r="A89812" s="1" t="n">
        <v>89811</v>
      </c>
      <c r="B89812">
        <f>TEXT(89811, "[$-0E0000]yyyy-mm-dd")</f>
        <v/>
      </c>
    </row>
    <row r="89813">
      <c r="A89813" s="1" t="n">
        <v>89812</v>
      </c>
      <c r="B89813">
        <f>TEXT(89812, "[$-0E0000]yyyy-mm-dd")</f>
        <v/>
      </c>
    </row>
    <row r="89814">
      <c r="A89814" s="1" t="n">
        <v>89813</v>
      </c>
      <c r="B89814">
        <f>TEXT(89813, "[$-0E0000]yyyy-mm-dd")</f>
        <v/>
      </c>
    </row>
    <row r="89815">
      <c r="A89815" s="1" t="n">
        <v>89814</v>
      </c>
      <c r="B89815">
        <f>TEXT(89814, "[$-0E0000]yyyy-mm-dd")</f>
        <v/>
      </c>
    </row>
    <row r="89816">
      <c r="A89816" s="1" t="n">
        <v>89815</v>
      </c>
      <c r="B89816">
        <f>TEXT(89815, "[$-0E0000]yyyy-mm-dd")</f>
        <v/>
      </c>
    </row>
    <row r="89817">
      <c r="A89817" s="1" t="n">
        <v>89816</v>
      </c>
      <c r="B89817">
        <f>TEXT(89816, "[$-0E0000]yyyy-mm-dd")</f>
        <v/>
      </c>
    </row>
    <row r="89818">
      <c r="A89818" s="1" t="n">
        <v>89817</v>
      </c>
      <c r="B89818">
        <f>TEXT(89817, "[$-0E0000]yyyy-mm-dd")</f>
        <v/>
      </c>
    </row>
    <row r="89819">
      <c r="A89819" s="1" t="n">
        <v>89818</v>
      </c>
      <c r="B89819">
        <f>TEXT(89818, "[$-0E0000]yyyy-mm-dd")</f>
        <v/>
      </c>
    </row>
    <row r="89820">
      <c r="A89820" s="1" t="n">
        <v>89819</v>
      </c>
      <c r="B89820">
        <f>TEXT(89819, "[$-0E0000]yyyy-mm-dd")</f>
        <v/>
      </c>
    </row>
    <row r="89821">
      <c r="A89821" s="1" t="n">
        <v>89820</v>
      </c>
      <c r="B89821">
        <f>TEXT(89820, "[$-0E0000]yyyy-mm-dd")</f>
        <v/>
      </c>
    </row>
    <row r="89822">
      <c r="A89822" s="1" t="n">
        <v>89821</v>
      </c>
      <c r="B89822">
        <f>TEXT(89821, "[$-0E0000]yyyy-mm-dd")</f>
        <v/>
      </c>
    </row>
    <row r="89823">
      <c r="A89823" s="1" t="n">
        <v>89822</v>
      </c>
      <c r="B89823">
        <f>TEXT(89822, "[$-0E0000]yyyy-mm-dd")</f>
        <v/>
      </c>
    </row>
    <row r="89824">
      <c r="A89824" s="1" t="n">
        <v>89823</v>
      </c>
      <c r="B89824">
        <f>TEXT(89823, "[$-0E0000]yyyy-mm-dd")</f>
        <v/>
      </c>
    </row>
    <row r="89825">
      <c r="A89825" s="1" t="n">
        <v>89824</v>
      </c>
      <c r="B89825">
        <f>TEXT(89824, "[$-0E0000]yyyy-mm-dd")</f>
        <v/>
      </c>
    </row>
    <row r="89826">
      <c r="A89826" s="1" t="n">
        <v>89825</v>
      </c>
      <c r="B89826">
        <f>TEXT(89825, "[$-0E0000]yyyy-mm-dd")</f>
        <v/>
      </c>
    </row>
    <row r="89827">
      <c r="A89827" s="1" t="n">
        <v>89826</v>
      </c>
      <c r="B89827">
        <f>TEXT(89826, "[$-0E0000]yyyy-mm-dd")</f>
        <v/>
      </c>
    </row>
    <row r="89828">
      <c r="A89828" s="1" t="n">
        <v>89827</v>
      </c>
      <c r="B89828">
        <f>TEXT(89827, "[$-0E0000]yyyy-mm-dd")</f>
        <v/>
      </c>
    </row>
    <row r="89829">
      <c r="A89829" s="1" t="n">
        <v>89828</v>
      </c>
      <c r="B89829">
        <f>TEXT(89828, "[$-0E0000]yyyy-mm-dd")</f>
        <v/>
      </c>
    </row>
    <row r="89830">
      <c r="A89830" s="1" t="n">
        <v>89829</v>
      </c>
      <c r="B89830">
        <f>TEXT(89829, "[$-0E0000]yyyy-mm-dd")</f>
        <v/>
      </c>
    </row>
    <row r="89831">
      <c r="A89831" s="1" t="n">
        <v>89830</v>
      </c>
      <c r="B89831">
        <f>TEXT(89830, "[$-0E0000]yyyy-mm-dd")</f>
        <v/>
      </c>
    </row>
    <row r="89832">
      <c r="A89832" s="1" t="n">
        <v>89831</v>
      </c>
      <c r="B89832">
        <f>TEXT(89831, "[$-0E0000]yyyy-mm-dd")</f>
        <v/>
      </c>
    </row>
    <row r="89833">
      <c r="A89833" s="1" t="n">
        <v>89832</v>
      </c>
      <c r="B89833">
        <f>TEXT(89832, "[$-0E0000]yyyy-mm-dd")</f>
        <v/>
      </c>
    </row>
    <row r="89834">
      <c r="A89834" s="1" t="n">
        <v>89833</v>
      </c>
      <c r="B89834">
        <f>TEXT(89833, "[$-0E0000]yyyy-mm-dd")</f>
        <v/>
      </c>
    </row>
    <row r="89835">
      <c r="A89835" s="1" t="n">
        <v>89834</v>
      </c>
      <c r="B89835">
        <f>TEXT(89834, "[$-0E0000]yyyy-mm-dd")</f>
        <v/>
      </c>
    </row>
    <row r="89836">
      <c r="A89836" s="1" t="n">
        <v>89835</v>
      </c>
      <c r="B89836">
        <f>TEXT(89835, "[$-0E0000]yyyy-mm-dd")</f>
        <v/>
      </c>
    </row>
    <row r="89837">
      <c r="A89837" s="1" t="n">
        <v>89836</v>
      </c>
      <c r="B89837">
        <f>TEXT(89836, "[$-0E0000]yyyy-mm-dd")</f>
        <v/>
      </c>
    </row>
    <row r="89838">
      <c r="A89838" s="1" t="n">
        <v>89837</v>
      </c>
      <c r="B89838">
        <f>TEXT(89837, "[$-0E0000]yyyy-mm-dd")</f>
        <v/>
      </c>
    </row>
    <row r="89839">
      <c r="A89839" s="1" t="n">
        <v>89838</v>
      </c>
      <c r="B89839">
        <f>TEXT(89838, "[$-0E0000]yyyy-mm-dd")</f>
        <v/>
      </c>
    </row>
    <row r="89840">
      <c r="A89840" s="1" t="n">
        <v>89839</v>
      </c>
      <c r="B89840">
        <f>TEXT(89839, "[$-0E0000]yyyy-mm-dd")</f>
        <v/>
      </c>
    </row>
    <row r="89841">
      <c r="A89841" s="1" t="n">
        <v>89840</v>
      </c>
      <c r="B89841">
        <f>TEXT(89840, "[$-0E0000]yyyy-mm-dd")</f>
        <v/>
      </c>
    </row>
    <row r="89842">
      <c r="A89842" s="1" t="n">
        <v>89841</v>
      </c>
      <c r="B89842">
        <f>TEXT(89841, "[$-0E0000]yyyy-mm-dd")</f>
        <v/>
      </c>
    </row>
    <row r="89843">
      <c r="A89843" s="1" t="n">
        <v>89842</v>
      </c>
      <c r="B89843">
        <f>TEXT(89842, "[$-0E0000]yyyy-mm-dd")</f>
        <v/>
      </c>
    </row>
    <row r="89844">
      <c r="A89844" s="1" t="n">
        <v>89843</v>
      </c>
      <c r="B89844">
        <f>TEXT(89843, "[$-0E0000]yyyy-mm-dd")</f>
        <v/>
      </c>
    </row>
    <row r="89845">
      <c r="A89845" s="1" t="n">
        <v>89844</v>
      </c>
      <c r="B89845">
        <f>TEXT(89844, "[$-0E0000]yyyy-mm-dd")</f>
        <v/>
      </c>
    </row>
    <row r="89846">
      <c r="A89846" s="1" t="n">
        <v>89845</v>
      </c>
      <c r="B89846">
        <f>TEXT(89845, "[$-0E0000]yyyy-mm-dd")</f>
        <v/>
      </c>
    </row>
    <row r="89847">
      <c r="A89847" s="1" t="n">
        <v>89846</v>
      </c>
      <c r="B89847">
        <f>TEXT(89846, "[$-0E0000]yyyy-mm-dd")</f>
        <v/>
      </c>
    </row>
    <row r="89848">
      <c r="A89848" s="1" t="n">
        <v>89847</v>
      </c>
      <c r="B89848">
        <f>TEXT(89847, "[$-0E0000]yyyy-mm-dd")</f>
        <v/>
      </c>
    </row>
    <row r="89849">
      <c r="A89849" s="1" t="n">
        <v>89848</v>
      </c>
      <c r="B89849">
        <f>TEXT(89848, "[$-0E0000]yyyy-mm-dd")</f>
        <v/>
      </c>
    </row>
    <row r="89850">
      <c r="A89850" s="1" t="n">
        <v>89849</v>
      </c>
      <c r="B89850">
        <f>TEXT(89849, "[$-0E0000]yyyy-mm-dd")</f>
        <v/>
      </c>
    </row>
    <row r="89851">
      <c r="A89851" s="1" t="n">
        <v>89850</v>
      </c>
      <c r="B89851">
        <f>TEXT(89850, "[$-0E0000]yyyy-mm-dd")</f>
        <v/>
      </c>
    </row>
    <row r="89852">
      <c r="A89852" s="1" t="n">
        <v>89851</v>
      </c>
      <c r="B89852">
        <f>TEXT(89851, "[$-0E0000]yyyy-mm-dd")</f>
        <v/>
      </c>
    </row>
    <row r="89853">
      <c r="A89853" s="1" t="n">
        <v>89852</v>
      </c>
      <c r="B89853">
        <f>TEXT(89852, "[$-0E0000]yyyy-mm-dd")</f>
        <v/>
      </c>
    </row>
    <row r="89854">
      <c r="A89854" s="1" t="n">
        <v>89853</v>
      </c>
      <c r="B89854">
        <f>TEXT(89853, "[$-0E0000]yyyy-mm-dd")</f>
        <v/>
      </c>
    </row>
    <row r="89855">
      <c r="A89855" s="1" t="n">
        <v>89854</v>
      </c>
      <c r="B89855">
        <f>TEXT(89854, "[$-0E0000]yyyy-mm-dd")</f>
        <v/>
      </c>
    </row>
    <row r="89856">
      <c r="A89856" s="1" t="n">
        <v>89855</v>
      </c>
      <c r="B89856">
        <f>TEXT(89855, "[$-0E0000]yyyy-mm-dd")</f>
        <v/>
      </c>
    </row>
    <row r="89857">
      <c r="A89857" s="1" t="n">
        <v>89856</v>
      </c>
      <c r="B89857">
        <f>TEXT(89856, "[$-0E0000]yyyy-mm-dd")</f>
        <v/>
      </c>
    </row>
    <row r="89858">
      <c r="A89858" s="1" t="n">
        <v>89857</v>
      </c>
      <c r="B89858">
        <f>TEXT(89857, "[$-0E0000]yyyy-mm-dd")</f>
        <v/>
      </c>
    </row>
    <row r="89859">
      <c r="A89859" s="1" t="n">
        <v>89858</v>
      </c>
      <c r="B89859">
        <f>TEXT(89858, "[$-0E0000]yyyy-mm-dd")</f>
        <v/>
      </c>
    </row>
    <row r="89860">
      <c r="A89860" s="1" t="n">
        <v>89859</v>
      </c>
      <c r="B89860">
        <f>TEXT(89859, "[$-0E0000]yyyy-mm-dd")</f>
        <v/>
      </c>
    </row>
    <row r="89861">
      <c r="A89861" s="1" t="n">
        <v>89860</v>
      </c>
      <c r="B89861">
        <f>TEXT(89860, "[$-0E0000]yyyy-mm-dd")</f>
        <v/>
      </c>
    </row>
    <row r="89862">
      <c r="A89862" s="1" t="n">
        <v>89861</v>
      </c>
      <c r="B89862">
        <f>TEXT(89861, "[$-0E0000]yyyy-mm-dd")</f>
        <v/>
      </c>
    </row>
    <row r="89863">
      <c r="A89863" s="1" t="n">
        <v>89862</v>
      </c>
      <c r="B89863">
        <f>TEXT(89862, "[$-0E0000]yyyy-mm-dd")</f>
        <v/>
      </c>
    </row>
    <row r="89864">
      <c r="A89864" s="1" t="n">
        <v>89863</v>
      </c>
      <c r="B89864">
        <f>TEXT(89863, "[$-0E0000]yyyy-mm-dd")</f>
        <v/>
      </c>
    </row>
    <row r="89865">
      <c r="A89865" s="1" t="n">
        <v>89864</v>
      </c>
      <c r="B89865">
        <f>TEXT(89864, "[$-0E0000]yyyy-mm-dd")</f>
        <v/>
      </c>
    </row>
    <row r="89866">
      <c r="A89866" s="1" t="n">
        <v>89865</v>
      </c>
      <c r="B89866">
        <f>TEXT(89865, "[$-0E0000]yyyy-mm-dd")</f>
        <v/>
      </c>
    </row>
    <row r="89867">
      <c r="A89867" s="1" t="n">
        <v>89866</v>
      </c>
      <c r="B89867">
        <f>TEXT(89866, "[$-0E0000]yyyy-mm-dd")</f>
        <v/>
      </c>
    </row>
    <row r="89868">
      <c r="A89868" s="1" t="n">
        <v>89867</v>
      </c>
      <c r="B89868">
        <f>TEXT(89867, "[$-0E0000]yyyy-mm-dd")</f>
        <v/>
      </c>
    </row>
    <row r="89869">
      <c r="A89869" s="1" t="n">
        <v>89868</v>
      </c>
      <c r="B89869">
        <f>TEXT(89868, "[$-0E0000]yyyy-mm-dd")</f>
        <v/>
      </c>
    </row>
    <row r="89870">
      <c r="A89870" s="1" t="n">
        <v>89869</v>
      </c>
      <c r="B89870">
        <f>TEXT(89869, "[$-0E0000]yyyy-mm-dd")</f>
        <v/>
      </c>
    </row>
    <row r="89871">
      <c r="A89871" s="1" t="n">
        <v>89870</v>
      </c>
      <c r="B89871">
        <f>TEXT(89870, "[$-0E0000]yyyy-mm-dd")</f>
        <v/>
      </c>
    </row>
    <row r="89872">
      <c r="A89872" s="1" t="n">
        <v>89871</v>
      </c>
      <c r="B89872">
        <f>TEXT(89871, "[$-0E0000]yyyy-mm-dd")</f>
        <v/>
      </c>
    </row>
    <row r="89873">
      <c r="A89873" s="1" t="n">
        <v>89872</v>
      </c>
      <c r="B89873">
        <f>TEXT(89872, "[$-0E0000]yyyy-mm-dd")</f>
        <v/>
      </c>
    </row>
    <row r="89874">
      <c r="A89874" s="1" t="n">
        <v>89873</v>
      </c>
      <c r="B89874">
        <f>TEXT(89873, "[$-0E0000]yyyy-mm-dd")</f>
        <v/>
      </c>
    </row>
    <row r="89875">
      <c r="A89875" s="1" t="n">
        <v>89874</v>
      </c>
      <c r="B89875">
        <f>TEXT(89874, "[$-0E0000]yyyy-mm-dd")</f>
        <v/>
      </c>
    </row>
    <row r="89876">
      <c r="A89876" s="1" t="n">
        <v>89875</v>
      </c>
      <c r="B89876">
        <f>TEXT(89875, "[$-0E0000]yyyy-mm-dd")</f>
        <v/>
      </c>
    </row>
    <row r="89877">
      <c r="A89877" s="1" t="n">
        <v>89876</v>
      </c>
      <c r="B89877">
        <f>TEXT(89876, "[$-0E0000]yyyy-mm-dd")</f>
        <v/>
      </c>
    </row>
    <row r="89878">
      <c r="A89878" s="1" t="n">
        <v>89877</v>
      </c>
      <c r="B89878">
        <f>TEXT(89877, "[$-0E0000]yyyy-mm-dd")</f>
        <v/>
      </c>
    </row>
    <row r="89879">
      <c r="A89879" s="1" t="n">
        <v>89878</v>
      </c>
      <c r="B89879">
        <f>TEXT(89878, "[$-0E0000]yyyy-mm-dd")</f>
        <v/>
      </c>
    </row>
    <row r="89880">
      <c r="A89880" s="1" t="n">
        <v>89879</v>
      </c>
      <c r="B89880">
        <f>TEXT(89879, "[$-0E0000]yyyy-mm-dd")</f>
        <v/>
      </c>
    </row>
    <row r="89881">
      <c r="A89881" s="1" t="n">
        <v>89880</v>
      </c>
      <c r="B89881">
        <f>TEXT(89880, "[$-0E0000]yyyy-mm-dd")</f>
        <v/>
      </c>
    </row>
    <row r="89882">
      <c r="A89882" s="1" t="n">
        <v>89881</v>
      </c>
      <c r="B89882">
        <f>TEXT(89881, "[$-0E0000]yyyy-mm-dd")</f>
        <v/>
      </c>
    </row>
    <row r="89883">
      <c r="A89883" s="1" t="n">
        <v>89882</v>
      </c>
      <c r="B89883">
        <f>TEXT(89882, "[$-0E0000]yyyy-mm-dd")</f>
        <v/>
      </c>
    </row>
    <row r="89884">
      <c r="A89884" s="1" t="n">
        <v>89883</v>
      </c>
      <c r="B89884">
        <f>TEXT(89883, "[$-0E0000]yyyy-mm-dd")</f>
        <v/>
      </c>
    </row>
    <row r="89885">
      <c r="A89885" s="1" t="n">
        <v>89884</v>
      </c>
      <c r="B89885">
        <f>TEXT(89884, "[$-0E0000]yyyy-mm-dd")</f>
        <v/>
      </c>
    </row>
    <row r="89886">
      <c r="A89886" s="1" t="n">
        <v>89885</v>
      </c>
      <c r="B89886">
        <f>TEXT(89885, "[$-0E0000]yyyy-mm-dd")</f>
        <v/>
      </c>
    </row>
    <row r="89887">
      <c r="A89887" s="1" t="n">
        <v>89886</v>
      </c>
      <c r="B89887">
        <f>TEXT(89886, "[$-0E0000]yyyy-mm-dd")</f>
        <v/>
      </c>
    </row>
    <row r="89888">
      <c r="A89888" s="1" t="n">
        <v>89887</v>
      </c>
      <c r="B89888">
        <f>TEXT(89887, "[$-0E0000]yyyy-mm-dd")</f>
        <v/>
      </c>
    </row>
    <row r="89889">
      <c r="A89889" s="1" t="n">
        <v>89888</v>
      </c>
      <c r="B89889">
        <f>TEXT(89888, "[$-0E0000]yyyy-mm-dd")</f>
        <v/>
      </c>
    </row>
    <row r="89890">
      <c r="A89890" s="1" t="n">
        <v>89889</v>
      </c>
      <c r="B89890">
        <f>TEXT(89889, "[$-0E0000]yyyy-mm-dd")</f>
        <v/>
      </c>
    </row>
    <row r="89891">
      <c r="A89891" s="1" t="n">
        <v>89890</v>
      </c>
      <c r="B89891">
        <f>TEXT(89890, "[$-0E0000]yyyy-mm-dd")</f>
        <v/>
      </c>
    </row>
    <row r="89892">
      <c r="A89892" s="1" t="n">
        <v>89891</v>
      </c>
      <c r="B89892">
        <f>TEXT(89891, "[$-0E0000]yyyy-mm-dd")</f>
        <v/>
      </c>
    </row>
    <row r="89893">
      <c r="A89893" s="1" t="n">
        <v>89892</v>
      </c>
      <c r="B89893">
        <f>TEXT(89892, "[$-0E0000]yyyy-mm-dd")</f>
        <v/>
      </c>
    </row>
    <row r="89894">
      <c r="A89894" s="1" t="n">
        <v>89893</v>
      </c>
      <c r="B89894">
        <f>TEXT(89893, "[$-0E0000]yyyy-mm-dd")</f>
        <v/>
      </c>
    </row>
    <row r="89895">
      <c r="A89895" s="1" t="n">
        <v>89894</v>
      </c>
      <c r="B89895">
        <f>TEXT(89894, "[$-0E0000]yyyy-mm-dd")</f>
        <v/>
      </c>
    </row>
    <row r="89896">
      <c r="A89896" s="1" t="n">
        <v>89895</v>
      </c>
      <c r="B89896">
        <f>TEXT(89895, "[$-0E0000]yyyy-mm-dd")</f>
        <v/>
      </c>
    </row>
    <row r="89897">
      <c r="A89897" s="1" t="n">
        <v>89896</v>
      </c>
      <c r="B89897">
        <f>TEXT(89896, "[$-0E0000]yyyy-mm-dd")</f>
        <v/>
      </c>
    </row>
    <row r="89898">
      <c r="A89898" s="1" t="n">
        <v>89897</v>
      </c>
      <c r="B89898">
        <f>TEXT(89897, "[$-0E0000]yyyy-mm-dd")</f>
        <v/>
      </c>
    </row>
    <row r="89899">
      <c r="A89899" s="1" t="n">
        <v>89898</v>
      </c>
      <c r="B89899">
        <f>TEXT(89898, "[$-0E0000]yyyy-mm-dd")</f>
        <v/>
      </c>
    </row>
    <row r="89900">
      <c r="A89900" s="1" t="n">
        <v>89899</v>
      </c>
      <c r="B89900">
        <f>TEXT(89899, "[$-0E0000]yyyy-mm-dd")</f>
        <v/>
      </c>
    </row>
    <row r="89901">
      <c r="A89901" s="1" t="n">
        <v>89900</v>
      </c>
      <c r="B89901">
        <f>TEXT(89900, "[$-0E0000]yyyy-mm-dd")</f>
        <v/>
      </c>
    </row>
    <row r="89902">
      <c r="A89902" s="1" t="n">
        <v>89901</v>
      </c>
      <c r="B89902">
        <f>TEXT(89901, "[$-0E0000]yyyy-mm-dd")</f>
        <v/>
      </c>
    </row>
    <row r="89903">
      <c r="A89903" s="1" t="n">
        <v>89902</v>
      </c>
      <c r="B89903">
        <f>TEXT(89902, "[$-0E0000]yyyy-mm-dd")</f>
        <v/>
      </c>
    </row>
    <row r="89904">
      <c r="A89904" s="1" t="n">
        <v>89903</v>
      </c>
      <c r="B89904">
        <f>TEXT(89903, "[$-0E0000]yyyy-mm-dd")</f>
        <v/>
      </c>
    </row>
    <row r="89905">
      <c r="A89905" s="1" t="n">
        <v>89904</v>
      </c>
      <c r="B89905">
        <f>TEXT(89904, "[$-0E0000]yyyy-mm-dd")</f>
        <v/>
      </c>
    </row>
    <row r="89906">
      <c r="A89906" s="1" t="n">
        <v>89905</v>
      </c>
      <c r="B89906">
        <f>TEXT(89905, "[$-0E0000]yyyy-mm-dd")</f>
        <v/>
      </c>
    </row>
    <row r="89907">
      <c r="A89907" s="1" t="n">
        <v>89906</v>
      </c>
      <c r="B89907">
        <f>TEXT(89906, "[$-0E0000]yyyy-mm-dd")</f>
        <v/>
      </c>
    </row>
    <row r="89908">
      <c r="A89908" s="1" t="n">
        <v>89907</v>
      </c>
      <c r="B89908">
        <f>TEXT(89907, "[$-0E0000]yyyy-mm-dd")</f>
        <v/>
      </c>
    </row>
    <row r="89909">
      <c r="A89909" s="1" t="n">
        <v>89908</v>
      </c>
      <c r="B89909">
        <f>TEXT(89908, "[$-0E0000]yyyy-mm-dd")</f>
        <v/>
      </c>
    </row>
    <row r="89910">
      <c r="A89910" s="1" t="n">
        <v>89909</v>
      </c>
      <c r="B89910">
        <f>TEXT(89909, "[$-0E0000]yyyy-mm-dd")</f>
        <v/>
      </c>
    </row>
    <row r="89911">
      <c r="A89911" s="1" t="n">
        <v>89910</v>
      </c>
      <c r="B89911">
        <f>TEXT(89910, "[$-0E0000]yyyy-mm-dd")</f>
        <v/>
      </c>
    </row>
    <row r="89912">
      <c r="A89912" s="1" t="n">
        <v>89911</v>
      </c>
      <c r="B89912">
        <f>TEXT(89911, "[$-0E0000]yyyy-mm-dd")</f>
        <v/>
      </c>
    </row>
    <row r="89913">
      <c r="A89913" s="1" t="n">
        <v>89912</v>
      </c>
      <c r="B89913">
        <f>TEXT(89912, "[$-0E0000]yyyy-mm-dd")</f>
        <v/>
      </c>
    </row>
    <row r="89914">
      <c r="A89914" s="1" t="n">
        <v>89913</v>
      </c>
      <c r="B89914">
        <f>TEXT(89913, "[$-0E0000]yyyy-mm-dd")</f>
        <v/>
      </c>
    </row>
    <row r="89915">
      <c r="A89915" s="1" t="n">
        <v>89914</v>
      </c>
      <c r="B89915">
        <f>TEXT(89914, "[$-0E0000]yyyy-mm-dd")</f>
        <v/>
      </c>
    </row>
    <row r="89916">
      <c r="A89916" s="1" t="n">
        <v>89915</v>
      </c>
      <c r="B89916">
        <f>TEXT(89915, "[$-0E0000]yyyy-mm-dd")</f>
        <v/>
      </c>
    </row>
    <row r="89917">
      <c r="A89917" s="1" t="n">
        <v>89916</v>
      </c>
      <c r="B89917">
        <f>TEXT(89916, "[$-0E0000]yyyy-mm-dd")</f>
        <v/>
      </c>
    </row>
    <row r="89918">
      <c r="A89918" s="1" t="n">
        <v>89917</v>
      </c>
      <c r="B89918">
        <f>TEXT(89917, "[$-0E0000]yyyy-mm-dd")</f>
        <v/>
      </c>
    </row>
    <row r="89919">
      <c r="A89919" s="1" t="n">
        <v>89918</v>
      </c>
      <c r="B89919">
        <f>TEXT(89918, "[$-0E0000]yyyy-mm-dd")</f>
        <v/>
      </c>
    </row>
    <row r="89920">
      <c r="A89920" s="1" t="n">
        <v>89919</v>
      </c>
      <c r="B89920">
        <f>TEXT(89919, "[$-0E0000]yyyy-mm-dd")</f>
        <v/>
      </c>
    </row>
    <row r="89921">
      <c r="A89921" s="1" t="n">
        <v>89920</v>
      </c>
      <c r="B89921">
        <f>TEXT(89920, "[$-0E0000]yyyy-mm-dd")</f>
        <v/>
      </c>
    </row>
    <row r="89922">
      <c r="A89922" s="1" t="n">
        <v>89921</v>
      </c>
      <c r="B89922">
        <f>TEXT(89921, "[$-0E0000]yyyy-mm-dd")</f>
        <v/>
      </c>
    </row>
    <row r="89923">
      <c r="A89923" s="1" t="n">
        <v>89922</v>
      </c>
      <c r="B89923">
        <f>TEXT(89922, "[$-0E0000]yyyy-mm-dd")</f>
        <v/>
      </c>
    </row>
    <row r="89924">
      <c r="A89924" s="1" t="n">
        <v>89923</v>
      </c>
      <c r="B89924">
        <f>TEXT(89923, "[$-0E0000]yyyy-mm-dd")</f>
        <v/>
      </c>
    </row>
    <row r="89925">
      <c r="A89925" s="1" t="n">
        <v>89924</v>
      </c>
      <c r="B89925">
        <f>TEXT(89924, "[$-0E0000]yyyy-mm-dd")</f>
        <v/>
      </c>
    </row>
    <row r="89926">
      <c r="A89926" s="1" t="n">
        <v>89925</v>
      </c>
      <c r="B89926">
        <f>TEXT(89925, "[$-0E0000]yyyy-mm-dd")</f>
        <v/>
      </c>
    </row>
    <row r="89927">
      <c r="A89927" s="1" t="n">
        <v>89926</v>
      </c>
      <c r="B89927">
        <f>TEXT(89926, "[$-0E0000]yyyy-mm-dd")</f>
        <v/>
      </c>
    </row>
    <row r="89928">
      <c r="A89928" s="1" t="n">
        <v>89927</v>
      </c>
      <c r="B89928">
        <f>TEXT(89927, "[$-0E0000]yyyy-mm-dd")</f>
        <v/>
      </c>
    </row>
    <row r="89929">
      <c r="A89929" s="1" t="n">
        <v>89928</v>
      </c>
      <c r="B89929">
        <f>TEXT(89928, "[$-0E0000]yyyy-mm-dd")</f>
        <v/>
      </c>
    </row>
    <row r="89930">
      <c r="A89930" s="1" t="n">
        <v>89929</v>
      </c>
      <c r="B89930">
        <f>TEXT(89929, "[$-0E0000]yyyy-mm-dd")</f>
        <v/>
      </c>
    </row>
    <row r="89931">
      <c r="A89931" s="1" t="n">
        <v>89930</v>
      </c>
      <c r="B89931">
        <f>TEXT(89930, "[$-0E0000]yyyy-mm-dd")</f>
        <v/>
      </c>
    </row>
    <row r="89932">
      <c r="A89932" s="1" t="n">
        <v>89931</v>
      </c>
      <c r="B89932">
        <f>TEXT(89931, "[$-0E0000]yyyy-mm-dd")</f>
        <v/>
      </c>
    </row>
    <row r="89933">
      <c r="A89933" s="1" t="n">
        <v>89932</v>
      </c>
      <c r="B89933">
        <f>TEXT(89932, "[$-0E0000]yyyy-mm-dd")</f>
        <v/>
      </c>
    </row>
    <row r="89934">
      <c r="A89934" s="1" t="n">
        <v>89933</v>
      </c>
      <c r="B89934">
        <f>TEXT(89933, "[$-0E0000]yyyy-mm-dd")</f>
        <v/>
      </c>
    </row>
    <row r="89935">
      <c r="A89935" s="1" t="n">
        <v>89934</v>
      </c>
      <c r="B89935">
        <f>TEXT(89934, "[$-0E0000]yyyy-mm-dd")</f>
        <v/>
      </c>
    </row>
    <row r="89936">
      <c r="A89936" s="1" t="n">
        <v>89935</v>
      </c>
      <c r="B89936">
        <f>TEXT(89935, "[$-0E0000]yyyy-mm-dd")</f>
        <v/>
      </c>
    </row>
    <row r="89937">
      <c r="A89937" s="1" t="n">
        <v>89936</v>
      </c>
      <c r="B89937">
        <f>TEXT(89936, "[$-0E0000]yyyy-mm-dd")</f>
        <v/>
      </c>
    </row>
    <row r="89938">
      <c r="A89938" s="1" t="n">
        <v>89937</v>
      </c>
      <c r="B89938">
        <f>TEXT(89937, "[$-0E0000]yyyy-mm-dd")</f>
        <v/>
      </c>
    </row>
    <row r="89939">
      <c r="A89939" s="1" t="n">
        <v>89938</v>
      </c>
      <c r="B89939">
        <f>TEXT(89938, "[$-0E0000]yyyy-mm-dd")</f>
        <v/>
      </c>
    </row>
    <row r="89940">
      <c r="A89940" s="1" t="n">
        <v>89939</v>
      </c>
      <c r="B89940">
        <f>TEXT(89939, "[$-0E0000]yyyy-mm-dd")</f>
        <v/>
      </c>
    </row>
    <row r="89941">
      <c r="A89941" s="1" t="n">
        <v>89940</v>
      </c>
      <c r="B89941">
        <f>TEXT(89940, "[$-0E0000]yyyy-mm-dd")</f>
        <v/>
      </c>
    </row>
    <row r="89942">
      <c r="A89942" s="1" t="n">
        <v>89941</v>
      </c>
      <c r="B89942">
        <f>TEXT(89941, "[$-0E0000]yyyy-mm-dd")</f>
        <v/>
      </c>
    </row>
    <row r="89943">
      <c r="A89943" s="1" t="n">
        <v>89942</v>
      </c>
      <c r="B89943">
        <f>TEXT(89942, "[$-0E0000]yyyy-mm-dd")</f>
        <v/>
      </c>
    </row>
    <row r="89944">
      <c r="A89944" s="1" t="n">
        <v>89943</v>
      </c>
      <c r="B89944">
        <f>TEXT(89943, "[$-0E0000]yyyy-mm-dd")</f>
        <v/>
      </c>
    </row>
    <row r="89945">
      <c r="A89945" s="1" t="n">
        <v>89944</v>
      </c>
      <c r="B89945">
        <f>TEXT(89944, "[$-0E0000]yyyy-mm-dd")</f>
        <v/>
      </c>
    </row>
    <row r="89946">
      <c r="A89946" s="1" t="n">
        <v>89945</v>
      </c>
      <c r="B89946">
        <f>TEXT(89945, "[$-0E0000]yyyy-mm-dd")</f>
        <v/>
      </c>
    </row>
    <row r="89947">
      <c r="A89947" s="1" t="n">
        <v>89946</v>
      </c>
      <c r="B89947">
        <f>TEXT(89946, "[$-0E0000]yyyy-mm-dd")</f>
        <v/>
      </c>
    </row>
    <row r="89948">
      <c r="A89948" s="1" t="n">
        <v>89947</v>
      </c>
      <c r="B89948">
        <f>TEXT(89947, "[$-0E0000]yyyy-mm-dd")</f>
        <v/>
      </c>
    </row>
    <row r="89949">
      <c r="A89949" s="1" t="n">
        <v>89948</v>
      </c>
      <c r="B89949">
        <f>TEXT(89948, "[$-0E0000]yyyy-mm-dd")</f>
        <v/>
      </c>
    </row>
    <row r="89950">
      <c r="A89950" s="1" t="n">
        <v>89949</v>
      </c>
      <c r="B89950">
        <f>TEXT(89949, "[$-0E0000]yyyy-mm-dd")</f>
        <v/>
      </c>
    </row>
    <row r="89951">
      <c r="A89951" s="1" t="n">
        <v>89950</v>
      </c>
      <c r="B89951">
        <f>TEXT(89950, "[$-0E0000]yyyy-mm-dd")</f>
        <v/>
      </c>
    </row>
    <row r="89952">
      <c r="A89952" s="1" t="n">
        <v>89951</v>
      </c>
      <c r="B89952">
        <f>TEXT(89951, "[$-0E0000]yyyy-mm-dd")</f>
        <v/>
      </c>
    </row>
    <row r="89953">
      <c r="A89953" s="1" t="n">
        <v>89952</v>
      </c>
      <c r="B89953">
        <f>TEXT(89952, "[$-0E0000]yyyy-mm-dd")</f>
        <v/>
      </c>
    </row>
    <row r="89954">
      <c r="A89954" s="1" t="n">
        <v>89953</v>
      </c>
      <c r="B89954">
        <f>TEXT(89953, "[$-0E0000]yyyy-mm-dd")</f>
        <v/>
      </c>
    </row>
    <row r="89955">
      <c r="A89955" s="1" t="n">
        <v>89954</v>
      </c>
      <c r="B89955">
        <f>TEXT(89954, "[$-0E0000]yyyy-mm-dd")</f>
        <v/>
      </c>
    </row>
    <row r="89956">
      <c r="A89956" s="1" t="n">
        <v>89955</v>
      </c>
      <c r="B89956">
        <f>TEXT(89955, "[$-0E0000]yyyy-mm-dd")</f>
        <v/>
      </c>
    </row>
    <row r="89957">
      <c r="A89957" s="1" t="n">
        <v>89956</v>
      </c>
      <c r="B89957">
        <f>TEXT(89956, "[$-0E0000]yyyy-mm-dd")</f>
        <v/>
      </c>
    </row>
    <row r="89958">
      <c r="A89958" s="1" t="n">
        <v>89957</v>
      </c>
      <c r="B89958">
        <f>TEXT(89957, "[$-0E0000]yyyy-mm-dd")</f>
        <v/>
      </c>
    </row>
    <row r="89959">
      <c r="A89959" s="1" t="n">
        <v>89958</v>
      </c>
      <c r="B89959">
        <f>TEXT(89958, "[$-0E0000]yyyy-mm-dd")</f>
        <v/>
      </c>
    </row>
    <row r="89960">
      <c r="A89960" s="1" t="n">
        <v>89959</v>
      </c>
      <c r="B89960">
        <f>TEXT(89959, "[$-0E0000]yyyy-mm-dd")</f>
        <v/>
      </c>
    </row>
    <row r="89961">
      <c r="A89961" s="1" t="n">
        <v>89960</v>
      </c>
      <c r="B89961">
        <f>TEXT(89960, "[$-0E0000]yyyy-mm-dd")</f>
        <v/>
      </c>
    </row>
    <row r="89962">
      <c r="A89962" s="1" t="n">
        <v>89961</v>
      </c>
      <c r="B89962">
        <f>TEXT(89961, "[$-0E0000]yyyy-mm-dd")</f>
        <v/>
      </c>
    </row>
    <row r="89963">
      <c r="A89963" s="1" t="n">
        <v>89962</v>
      </c>
      <c r="B89963">
        <f>TEXT(89962, "[$-0E0000]yyyy-mm-dd")</f>
        <v/>
      </c>
    </row>
    <row r="89964">
      <c r="A89964" s="1" t="n">
        <v>89963</v>
      </c>
      <c r="B89964">
        <f>TEXT(89963, "[$-0E0000]yyyy-mm-dd")</f>
        <v/>
      </c>
    </row>
    <row r="89965">
      <c r="A89965" s="1" t="n">
        <v>89964</v>
      </c>
      <c r="B89965">
        <f>TEXT(89964, "[$-0E0000]yyyy-mm-dd")</f>
        <v/>
      </c>
    </row>
    <row r="89966">
      <c r="A89966" s="1" t="n">
        <v>89965</v>
      </c>
      <c r="B89966">
        <f>TEXT(89965, "[$-0E0000]yyyy-mm-dd")</f>
        <v/>
      </c>
    </row>
    <row r="89967">
      <c r="A89967" s="1" t="n">
        <v>89966</v>
      </c>
      <c r="B89967">
        <f>TEXT(89966, "[$-0E0000]yyyy-mm-dd")</f>
        <v/>
      </c>
    </row>
    <row r="89968">
      <c r="A89968" s="1" t="n">
        <v>89967</v>
      </c>
      <c r="B89968">
        <f>TEXT(89967, "[$-0E0000]yyyy-mm-dd")</f>
        <v/>
      </c>
    </row>
    <row r="89969">
      <c r="A89969" s="1" t="n">
        <v>89968</v>
      </c>
      <c r="B89969">
        <f>TEXT(89968, "[$-0E0000]yyyy-mm-dd")</f>
        <v/>
      </c>
    </row>
    <row r="89970">
      <c r="A89970" s="1" t="n">
        <v>89969</v>
      </c>
      <c r="B89970">
        <f>TEXT(89969, "[$-0E0000]yyyy-mm-dd")</f>
        <v/>
      </c>
    </row>
    <row r="89971">
      <c r="A89971" s="1" t="n">
        <v>89970</v>
      </c>
      <c r="B89971">
        <f>TEXT(89970, "[$-0E0000]yyyy-mm-dd")</f>
        <v/>
      </c>
    </row>
    <row r="89972">
      <c r="A89972" s="1" t="n">
        <v>89971</v>
      </c>
      <c r="B89972">
        <f>TEXT(89971, "[$-0E0000]yyyy-mm-dd")</f>
        <v/>
      </c>
    </row>
    <row r="89973">
      <c r="A89973" s="1" t="n">
        <v>89972</v>
      </c>
      <c r="B89973">
        <f>TEXT(89972, "[$-0E0000]yyyy-mm-dd")</f>
        <v/>
      </c>
    </row>
    <row r="89974">
      <c r="A89974" s="1" t="n">
        <v>89973</v>
      </c>
      <c r="B89974">
        <f>TEXT(89973, "[$-0E0000]yyyy-mm-dd")</f>
        <v/>
      </c>
    </row>
    <row r="89975">
      <c r="A89975" s="1" t="n">
        <v>89974</v>
      </c>
      <c r="B89975">
        <f>TEXT(89974, "[$-0E0000]yyyy-mm-dd")</f>
        <v/>
      </c>
    </row>
    <row r="89976">
      <c r="A89976" s="1" t="n">
        <v>89975</v>
      </c>
      <c r="B89976">
        <f>TEXT(89975, "[$-0E0000]yyyy-mm-dd")</f>
        <v/>
      </c>
    </row>
    <row r="89977">
      <c r="A89977" s="1" t="n">
        <v>89976</v>
      </c>
      <c r="B89977">
        <f>TEXT(89976, "[$-0E0000]yyyy-mm-dd")</f>
        <v/>
      </c>
    </row>
    <row r="89978">
      <c r="A89978" s="1" t="n">
        <v>89977</v>
      </c>
      <c r="B89978">
        <f>TEXT(89977, "[$-0E0000]yyyy-mm-dd")</f>
        <v/>
      </c>
    </row>
    <row r="89979">
      <c r="A89979" s="1" t="n">
        <v>89978</v>
      </c>
      <c r="B89979">
        <f>TEXT(89978, "[$-0E0000]yyyy-mm-dd")</f>
        <v/>
      </c>
    </row>
    <row r="89980">
      <c r="A89980" s="1" t="n">
        <v>89979</v>
      </c>
      <c r="B89980">
        <f>TEXT(89979, "[$-0E0000]yyyy-mm-dd")</f>
        <v/>
      </c>
    </row>
    <row r="89981">
      <c r="A89981" s="1" t="n">
        <v>89980</v>
      </c>
      <c r="B89981">
        <f>TEXT(89980, "[$-0E0000]yyyy-mm-dd")</f>
        <v/>
      </c>
    </row>
    <row r="89982">
      <c r="A89982" s="1" t="n">
        <v>89981</v>
      </c>
      <c r="B89982">
        <f>TEXT(89981, "[$-0E0000]yyyy-mm-dd")</f>
        <v/>
      </c>
    </row>
    <row r="89983">
      <c r="A89983" s="1" t="n">
        <v>89982</v>
      </c>
      <c r="B89983">
        <f>TEXT(89982, "[$-0E0000]yyyy-mm-dd")</f>
        <v/>
      </c>
    </row>
    <row r="89984">
      <c r="A89984" s="1" t="n">
        <v>89983</v>
      </c>
      <c r="B89984">
        <f>TEXT(89983, "[$-0E0000]yyyy-mm-dd")</f>
        <v/>
      </c>
    </row>
    <row r="89985">
      <c r="A89985" s="1" t="n">
        <v>89984</v>
      </c>
      <c r="B89985">
        <f>TEXT(89984, "[$-0E0000]yyyy-mm-dd")</f>
        <v/>
      </c>
    </row>
    <row r="89986">
      <c r="A89986" s="1" t="n">
        <v>89985</v>
      </c>
      <c r="B89986">
        <f>TEXT(89985, "[$-0E0000]yyyy-mm-dd")</f>
        <v/>
      </c>
    </row>
    <row r="89987">
      <c r="A89987" s="1" t="n">
        <v>89986</v>
      </c>
      <c r="B89987">
        <f>TEXT(89986, "[$-0E0000]yyyy-mm-dd")</f>
        <v/>
      </c>
    </row>
    <row r="89988">
      <c r="A89988" s="1" t="n">
        <v>89987</v>
      </c>
      <c r="B89988">
        <f>TEXT(89987, "[$-0E0000]yyyy-mm-dd")</f>
        <v/>
      </c>
    </row>
    <row r="89989">
      <c r="A89989" s="1" t="n">
        <v>89988</v>
      </c>
      <c r="B89989">
        <f>TEXT(89988, "[$-0E0000]yyyy-mm-dd")</f>
        <v/>
      </c>
    </row>
    <row r="89990">
      <c r="A89990" s="1" t="n">
        <v>89989</v>
      </c>
      <c r="B89990">
        <f>TEXT(89989, "[$-0E0000]yyyy-mm-dd")</f>
        <v/>
      </c>
    </row>
    <row r="89991">
      <c r="A89991" s="1" t="n">
        <v>89990</v>
      </c>
      <c r="B89991">
        <f>TEXT(89990, "[$-0E0000]yyyy-mm-dd")</f>
        <v/>
      </c>
    </row>
    <row r="89992">
      <c r="A89992" s="1" t="n">
        <v>89991</v>
      </c>
      <c r="B89992">
        <f>TEXT(89991, "[$-0E0000]yyyy-mm-dd")</f>
        <v/>
      </c>
    </row>
    <row r="89993">
      <c r="A89993" s="1" t="n">
        <v>89992</v>
      </c>
      <c r="B89993">
        <f>TEXT(89992, "[$-0E0000]yyyy-mm-dd")</f>
        <v/>
      </c>
    </row>
    <row r="89994">
      <c r="A89994" s="1" t="n">
        <v>89993</v>
      </c>
      <c r="B89994">
        <f>TEXT(89993, "[$-0E0000]yyyy-mm-dd")</f>
        <v/>
      </c>
    </row>
    <row r="89995">
      <c r="A89995" s="1" t="n">
        <v>89994</v>
      </c>
      <c r="B89995">
        <f>TEXT(89994, "[$-0E0000]yyyy-mm-dd")</f>
        <v/>
      </c>
    </row>
    <row r="89996">
      <c r="A89996" s="1" t="n">
        <v>89995</v>
      </c>
      <c r="B89996">
        <f>TEXT(89995, "[$-0E0000]yyyy-mm-dd")</f>
        <v/>
      </c>
    </row>
    <row r="89997">
      <c r="A89997" s="1" t="n">
        <v>89996</v>
      </c>
      <c r="B89997">
        <f>TEXT(89996, "[$-0E0000]yyyy-mm-dd")</f>
        <v/>
      </c>
    </row>
    <row r="89998">
      <c r="A89998" s="1" t="n">
        <v>89997</v>
      </c>
      <c r="B89998">
        <f>TEXT(89997, "[$-0E0000]yyyy-mm-dd")</f>
        <v/>
      </c>
    </row>
    <row r="89999">
      <c r="A89999" s="1" t="n">
        <v>89998</v>
      </c>
      <c r="B89999">
        <f>TEXT(89998, "[$-0E0000]yyyy-mm-dd")</f>
        <v/>
      </c>
    </row>
    <row r="90000">
      <c r="A90000" s="1" t="n">
        <v>89999</v>
      </c>
      <c r="B90000">
        <f>TEXT(89999, "[$-0E0000]yyyy-mm-dd")</f>
        <v/>
      </c>
    </row>
    <row r="90001">
      <c r="A90001" s="1" t="n">
        <v>90000</v>
      </c>
      <c r="B90001">
        <f>TEXT(90000, "[$-0E0000]yyyy-mm-dd")</f>
        <v/>
      </c>
    </row>
    <row r="90002">
      <c r="A90002" s="1" t="n">
        <v>90001</v>
      </c>
      <c r="B90002">
        <f>TEXT(90001, "[$-0E0000]yyyy-mm-dd")</f>
        <v/>
      </c>
    </row>
    <row r="90003">
      <c r="A90003" s="1" t="n">
        <v>90002</v>
      </c>
      <c r="B90003">
        <f>TEXT(90002, "[$-0E0000]yyyy-mm-dd")</f>
        <v/>
      </c>
    </row>
    <row r="90004">
      <c r="A90004" s="1" t="n">
        <v>90003</v>
      </c>
      <c r="B90004">
        <f>TEXT(90003, "[$-0E0000]yyyy-mm-dd")</f>
        <v/>
      </c>
    </row>
    <row r="90005">
      <c r="A90005" s="1" t="n">
        <v>90004</v>
      </c>
      <c r="B90005">
        <f>TEXT(90004, "[$-0E0000]yyyy-mm-dd")</f>
        <v/>
      </c>
    </row>
    <row r="90006">
      <c r="A90006" s="1" t="n">
        <v>90005</v>
      </c>
      <c r="B90006">
        <f>TEXT(90005, "[$-0E0000]yyyy-mm-dd")</f>
        <v/>
      </c>
    </row>
    <row r="90007">
      <c r="A90007" s="1" t="n">
        <v>90006</v>
      </c>
      <c r="B90007">
        <f>TEXT(90006, "[$-0E0000]yyyy-mm-dd")</f>
        <v/>
      </c>
    </row>
    <row r="90008">
      <c r="A90008" s="1" t="n">
        <v>90007</v>
      </c>
      <c r="B90008">
        <f>TEXT(90007, "[$-0E0000]yyyy-mm-dd")</f>
        <v/>
      </c>
    </row>
    <row r="90009">
      <c r="A90009" s="1" t="n">
        <v>90008</v>
      </c>
      <c r="B90009">
        <f>TEXT(90008, "[$-0E0000]yyyy-mm-dd")</f>
        <v/>
      </c>
    </row>
    <row r="90010">
      <c r="A90010" s="1" t="n">
        <v>90009</v>
      </c>
      <c r="B90010">
        <f>TEXT(90009, "[$-0E0000]yyyy-mm-dd")</f>
        <v/>
      </c>
    </row>
    <row r="90011">
      <c r="A90011" s="1" t="n">
        <v>90010</v>
      </c>
      <c r="B90011">
        <f>TEXT(90010, "[$-0E0000]yyyy-mm-dd")</f>
        <v/>
      </c>
    </row>
    <row r="90012">
      <c r="A90012" s="1" t="n">
        <v>90011</v>
      </c>
      <c r="B90012">
        <f>TEXT(90011, "[$-0E0000]yyyy-mm-dd")</f>
        <v/>
      </c>
    </row>
    <row r="90013">
      <c r="A90013" s="1" t="n">
        <v>90012</v>
      </c>
      <c r="B90013">
        <f>TEXT(90012, "[$-0E0000]yyyy-mm-dd")</f>
        <v/>
      </c>
    </row>
    <row r="90014">
      <c r="A90014" s="1" t="n">
        <v>90013</v>
      </c>
      <c r="B90014">
        <f>TEXT(90013, "[$-0E0000]yyyy-mm-dd")</f>
        <v/>
      </c>
    </row>
    <row r="90015">
      <c r="A90015" s="1" t="n">
        <v>90014</v>
      </c>
      <c r="B90015">
        <f>TEXT(90014, "[$-0E0000]yyyy-mm-dd")</f>
        <v/>
      </c>
    </row>
    <row r="90016">
      <c r="A90016" s="1" t="n">
        <v>90015</v>
      </c>
      <c r="B90016">
        <f>TEXT(90015, "[$-0E0000]yyyy-mm-dd")</f>
        <v/>
      </c>
    </row>
    <row r="90017">
      <c r="A90017" s="1" t="n">
        <v>90016</v>
      </c>
      <c r="B90017">
        <f>TEXT(90016, "[$-0E0000]yyyy-mm-dd")</f>
        <v/>
      </c>
    </row>
    <row r="90018">
      <c r="A90018" s="1" t="n">
        <v>90017</v>
      </c>
      <c r="B90018">
        <f>TEXT(90017, "[$-0E0000]yyyy-mm-dd")</f>
        <v/>
      </c>
    </row>
    <row r="90019">
      <c r="A90019" s="1" t="n">
        <v>90018</v>
      </c>
      <c r="B90019">
        <f>TEXT(90018, "[$-0E0000]yyyy-mm-dd")</f>
        <v/>
      </c>
    </row>
    <row r="90020">
      <c r="A90020" s="1" t="n">
        <v>90019</v>
      </c>
      <c r="B90020">
        <f>TEXT(90019, "[$-0E0000]yyyy-mm-dd")</f>
        <v/>
      </c>
    </row>
    <row r="90021">
      <c r="A90021" s="1" t="n">
        <v>90020</v>
      </c>
      <c r="B90021">
        <f>TEXT(90020, "[$-0E0000]yyyy-mm-dd")</f>
        <v/>
      </c>
    </row>
    <row r="90022">
      <c r="A90022" s="1" t="n">
        <v>90021</v>
      </c>
      <c r="B90022">
        <f>TEXT(90021, "[$-0E0000]yyyy-mm-dd")</f>
        <v/>
      </c>
    </row>
    <row r="90023">
      <c r="A90023" s="1" t="n">
        <v>90022</v>
      </c>
      <c r="B90023">
        <f>TEXT(90022, "[$-0E0000]yyyy-mm-dd")</f>
        <v/>
      </c>
    </row>
    <row r="90024">
      <c r="A90024" s="1" t="n">
        <v>90023</v>
      </c>
      <c r="B90024">
        <f>TEXT(90023, "[$-0E0000]yyyy-mm-dd")</f>
        <v/>
      </c>
    </row>
    <row r="90025">
      <c r="A90025" s="1" t="n">
        <v>90024</v>
      </c>
      <c r="B90025">
        <f>TEXT(90024, "[$-0E0000]yyyy-mm-dd")</f>
        <v/>
      </c>
    </row>
    <row r="90026">
      <c r="A90026" s="1" t="n">
        <v>90025</v>
      </c>
      <c r="B90026">
        <f>TEXT(90025, "[$-0E0000]yyyy-mm-dd")</f>
        <v/>
      </c>
    </row>
    <row r="90027">
      <c r="A90027" s="1" t="n">
        <v>90026</v>
      </c>
      <c r="B90027">
        <f>TEXT(90026, "[$-0E0000]yyyy-mm-dd")</f>
        <v/>
      </c>
    </row>
    <row r="90028">
      <c r="A90028" s="1" t="n">
        <v>90027</v>
      </c>
      <c r="B90028">
        <f>TEXT(90027, "[$-0E0000]yyyy-mm-dd")</f>
        <v/>
      </c>
    </row>
    <row r="90029">
      <c r="A90029" s="1" t="n">
        <v>90028</v>
      </c>
      <c r="B90029">
        <f>TEXT(90028, "[$-0E0000]yyyy-mm-dd")</f>
        <v/>
      </c>
    </row>
    <row r="90030">
      <c r="A90030" s="1" t="n">
        <v>90029</v>
      </c>
      <c r="B90030">
        <f>TEXT(90029, "[$-0E0000]yyyy-mm-dd")</f>
        <v/>
      </c>
    </row>
    <row r="90031">
      <c r="A90031" s="1" t="n">
        <v>90030</v>
      </c>
      <c r="B90031">
        <f>TEXT(90030, "[$-0E0000]yyyy-mm-dd")</f>
        <v/>
      </c>
    </row>
    <row r="90032">
      <c r="A90032" s="1" t="n">
        <v>90031</v>
      </c>
      <c r="B90032">
        <f>TEXT(90031, "[$-0E0000]yyyy-mm-dd")</f>
        <v/>
      </c>
    </row>
    <row r="90033">
      <c r="A90033" s="1" t="n">
        <v>90032</v>
      </c>
      <c r="B90033">
        <f>TEXT(90032, "[$-0E0000]yyyy-mm-dd")</f>
        <v/>
      </c>
    </row>
    <row r="90034">
      <c r="A90034" s="1" t="n">
        <v>90033</v>
      </c>
      <c r="B90034">
        <f>TEXT(90033, "[$-0E0000]yyyy-mm-dd")</f>
        <v/>
      </c>
    </row>
    <row r="90035">
      <c r="A90035" s="1" t="n">
        <v>90034</v>
      </c>
      <c r="B90035">
        <f>TEXT(90034, "[$-0E0000]yyyy-mm-dd")</f>
        <v/>
      </c>
    </row>
    <row r="90036">
      <c r="A90036" s="1" t="n">
        <v>90035</v>
      </c>
      <c r="B90036">
        <f>TEXT(90035, "[$-0E0000]yyyy-mm-dd")</f>
        <v/>
      </c>
    </row>
    <row r="90037">
      <c r="A90037" s="1" t="n">
        <v>90036</v>
      </c>
      <c r="B90037">
        <f>TEXT(90036, "[$-0E0000]yyyy-mm-dd")</f>
        <v/>
      </c>
    </row>
    <row r="90038">
      <c r="A90038" s="1" t="n">
        <v>90037</v>
      </c>
      <c r="B90038">
        <f>TEXT(90037, "[$-0E0000]yyyy-mm-dd")</f>
        <v/>
      </c>
    </row>
    <row r="90039">
      <c r="A90039" s="1" t="n">
        <v>90038</v>
      </c>
      <c r="B90039">
        <f>TEXT(90038, "[$-0E0000]yyyy-mm-dd")</f>
        <v/>
      </c>
    </row>
    <row r="90040">
      <c r="A90040" s="1" t="n">
        <v>90039</v>
      </c>
      <c r="B90040">
        <f>TEXT(90039, "[$-0E0000]yyyy-mm-dd")</f>
        <v/>
      </c>
    </row>
    <row r="90041">
      <c r="A90041" s="1" t="n">
        <v>90040</v>
      </c>
      <c r="B90041">
        <f>TEXT(90040, "[$-0E0000]yyyy-mm-dd")</f>
        <v/>
      </c>
    </row>
    <row r="90042">
      <c r="A90042" s="1" t="n">
        <v>90041</v>
      </c>
      <c r="B90042">
        <f>TEXT(90041, "[$-0E0000]yyyy-mm-dd")</f>
        <v/>
      </c>
    </row>
    <row r="90043">
      <c r="A90043" s="1" t="n">
        <v>90042</v>
      </c>
      <c r="B90043">
        <f>TEXT(90042, "[$-0E0000]yyyy-mm-dd")</f>
        <v/>
      </c>
    </row>
    <row r="90044">
      <c r="A90044" s="1" t="n">
        <v>90043</v>
      </c>
      <c r="B90044">
        <f>TEXT(90043, "[$-0E0000]yyyy-mm-dd")</f>
        <v/>
      </c>
    </row>
    <row r="90045">
      <c r="A90045" s="1" t="n">
        <v>90044</v>
      </c>
      <c r="B90045">
        <f>TEXT(90044, "[$-0E0000]yyyy-mm-dd")</f>
        <v/>
      </c>
    </row>
    <row r="90046">
      <c r="A90046" s="1" t="n">
        <v>90045</v>
      </c>
      <c r="B90046">
        <f>TEXT(90045, "[$-0E0000]yyyy-mm-dd")</f>
        <v/>
      </c>
    </row>
    <row r="90047">
      <c r="A90047" s="1" t="n">
        <v>90046</v>
      </c>
      <c r="B90047">
        <f>TEXT(90046, "[$-0E0000]yyyy-mm-dd")</f>
        <v/>
      </c>
    </row>
    <row r="90048">
      <c r="A90048" s="1" t="n">
        <v>90047</v>
      </c>
      <c r="B90048">
        <f>TEXT(90047, "[$-0E0000]yyyy-mm-dd")</f>
        <v/>
      </c>
    </row>
    <row r="90049">
      <c r="A90049" s="1" t="n">
        <v>90048</v>
      </c>
      <c r="B90049">
        <f>TEXT(90048, "[$-0E0000]yyyy-mm-dd")</f>
        <v/>
      </c>
    </row>
    <row r="90050">
      <c r="A90050" s="1" t="n">
        <v>90049</v>
      </c>
      <c r="B90050">
        <f>TEXT(90049, "[$-0E0000]yyyy-mm-dd")</f>
        <v/>
      </c>
    </row>
    <row r="90051">
      <c r="A90051" s="1" t="n">
        <v>90050</v>
      </c>
      <c r="B90051">
        <f>TEXT(90050, "[$-0E0000]yyyy-mm-dd")</f>
        <v/>
      </c>
    </row>
    <row r="90052">
      <c r="A90052" s="1" t="n">
        <v>90051</v>
      </c>
      <c r="B90052">
        <f>TEXT(90051, "[$-0E0000]yyyy-mm-dd")</f>
        <v/>
      </c>
    </row>
    <row r="90053">
      <c r="A90053" s="1" t="n">
        <v>90052</v>
      </c>
      <c r="B90053">
        <f>TEXT(90052, "[$-0E0000]yyyy-mm-dd")</f>
        <v/>
      </c>
    </row>
    <row r="90054">
      <c r="A90054" s="1" t="n">
        <v>90053</v>
      </c>
      <c r="B90054">
        <f>TEXT(90053, "[$-0E0000]yyyy-mm-dd")</f>
        <v/>
      </c>
    </row>
    <row r="90055">
      <c r="A90055" s="1" t="n">
        <v>90054</v>
      </c>
      <c r="B90055">
        <f>TEXT(90054, "[$-0E0000]yyyy-mm-dd")</f>
        <v/>
      </c>
    </row>
    <row r="90056">
      <c r="A90056" s="1" t="n">
        <v>90055</v>
      </c>
      <c r="B90056">
        <f>TEXT(90055, "[$-0E0000]yyyy-mm-dd")</f>
        <v/>
      </c>
    </row>
    <row r="90057">
      <c r="A90057" s="1" t="n">
        <v>90056</v>
      </c>
      <c r="B90057">
        <f>TEXT(90056, "[$-0E0000]yyyy-mm-dd")</f>
        <v/>
      </c>
    </row>
    <row r="90058">
      <c r="A90058" s="1" t="n">
        <v>90057</v>
      </c>
      <c r="B90058">
        <f>TEXT(90057, "[$-0E0000]yyyy-mm-dd")</f>
        <v/>
      </c>
    </row>
    <row r="90059">
      <c r="A90059" s="1" t="n">
        <v>90058</v>
      </c>
      <c r="B90059">
        <f>TEXT(90058, "[$-0E0000]yyyy-mm-dd")</f>
        <v/>
      </c>
    </row>
    <row r="90060">
      <c r="A90060" s="1" t="n">
        <v>90059</v>
      </c>
      <c r="B90060">
        <f>TEXT(90059, "[$-0E0000]yyyy-mm-dd")</f>
        <v/>
      </c>
    </row>
    <row r="90061">
      <c r="A90061" s="1" t="n">
        <v>90060</v>
      </c>
      <c r="B90061">
        <f>TEXT(90060, "[$-0E0000]yyyy-mm-dd")</f>
        <v/>
      </c>
    </row>
    <row r="90062">
      <c r="A90062" s="1" t="n">
        <v>90061</v>
      </c>
      <c r="B90062">
        <f>TEXT(90061, "[$-0E0000]yyyy-mm-dd")</f>
        <v/>
      </c>
    </row>
    <row r="90063">
      <c r="A90063" s="1" t="n">
        <v>90062</v>
      </c>
      <c r="B90063">
        <f>TEXT(90062, "[$-0E0000]yyyy-mm-dd")</f>
        <v/>
      </c>
    </row>
    <row r="90064">
      <c r="A90064" s="1" t="n">
        <v>90063</v>
      </c>
      <c r="B90064">
        <f>TEXT(90063, "[$-0E0000]yyyy-mm-dd")</f>
        <v/>
      </c>
    </row>
    <row r="90065">
      <c r="A90065" s="1" t="n">
        <v>90064</v>
      </c>
      <c r="B90065">
        <f>TEXT(90064, "[$-0E0000]yyyy-mm-dd")</f>
        <v/>
      </c>
    </row>
    <row r="90066">
      <c r="A90066" s="1" t="n">
        <v>90065</v>
      </c>
      <c r="B90066">
        <f>TEXT(90065, "[$-0E0000]yyyy-mm-dd")</f>
        <v/>
      </c>
    </row>
    <row r="90067">
      <c r="A90067" s="1" t="n">
        <v>90066</v>
      </c>
      <c r="B90067">
        <f>TEXT(90066, "[$-0E0000]yyyy-mm-dd")</f>
        <v/>
      </c>
    </row>
    <row r="90068">
      <c r="A90068" s="1" t="n">
        <v>90067</v>
      </c>
      <c r="B90068">
        <f>TEXT(90067, "[$-0E0000]yyyy-mm-dd")</f>
        <v/>
      </c>
    </row>
    <row r="90069">
      <c r="A90069" s="1" t="n">
        <v>90068</v>
      </c>
      <c r="B90069">
        <f>TEXT(90068, "[$-0E0000]yyyy-mm-dd")</f>
        <v/>
      </c>
    </row>
    <row r="90070">
      <c r="A90070" s="1" t="n">
        <v>90069</v>
      </c>
      <c r="B90070">
        <f>TEXT(90069, "[$-0E0000]yyyy-mm-dd")</f>
        <v/>
      </c>
    </row>
    <row r="90071">
      <c r="A90071" s="1" t="n">
        <v>90070</v>
      </c>
      <c r="B90071">
        <f>TEXT(90070, "[$-0E0000]yyyy-mm-dd")</f>
        <v/>
      </c>
    </row>
    <row r="90072">
      <c r="A90072" s="1" t="n">
        <v>90071</v>
      </c>
      <c r="B90072">
        <f>TEXT(90071, "[$-0E0000]yyyy-mm-dd")</f>
        <v/>
      </c>
    </row>
    <row r="90073">
      <c r="A90073" s="1" t="n">
        <v>90072</v>
      </c>
      <c r="B90073">
        <f>TEXT(90072, "[$-0E0000]yyyy-mm-dd")</f>
        <v/>
      </c>
    </row>
    <row r="90074">
      <c r="A90074" s="1" t="n">
        <v>90073</v>
      </c>
      <c r="B90074">
        <f>TEXT(90073, "[$-0E0000]yyyy-mm-dd")</f>
        <v/>
      </c>
    </row>
    <row r="90075">
      <c r="A90075" s="1" t="n">
        <v>90074</v>
      </c>
      <c r="B90075">
        <f>TEXT(90074, "[$-0E0000]yyyy-mm-dd")</f>
        <v/>
      </c>
    </row>
    <row r="90076">
      <c r="A90076" s="1" t="n">
        <v>90075</v>
      </c>
      <c r="B90076">
        <f>TEXT(90075, "[$-0E0000]yyyy-mm-dd")</f>
        <v/>
      </c>
    </row>
    <row r="90077">
      <c r="A90077" s="1" t="n">
        <v>90076</v>
      </c>
      <c r="B90077">
        <f>TEXT(90076, "[$-0E0000]yyyy-mm-dd")</f>
        <v/>
      </c>
    </row>
    <row r="90078">
      <c r="A90078" s="1" t="n">
        <v>90077</v>
      </c>
      <c r="B90078">
        <f>TEXT(90077, "[$-0E0000]yyyy-mm-dd")</f>
        <v/>
      </c>
    </row>
    <row r="90079">
      <c r="A90079" s="1" t="n">
        <v>90078</v>
      </c>
      <c r="B90079">
        <f>TEXT(90078, "[$-0E0000]yyyy-mm-dd")</f>
        <v/>
      </c>
    </row>
    <row r="90080">
      <c r="A90080" s="1" t="n">
        <v>90079</v>
      </c>
      <c r="B90080">
        <f>TEXT(90079, "[$-0E0000]yyyy-mm-dd")</f>
        <v/>
      </c>
    </row>
    <row r="90081">
      <c r="A90081" s="1" t="n">
        <v>90080</v>
      </c>
      <c r="B90081">
        <f>TEXT(90080, "[$-0E0000]yyyy-mm-dd")</f>
        <v/>
      </c>
    </row>
    <row r="90082">
      <c r="A90082" s="1" t="n">
        <v>90081</v>
      </c>
      <c r="B90082">
        <f>TEXT(90081, "[$-0E0000]yyyy-mm-dd")</f>
        <v/>
      </c>
    </row>
    <row r="90083">
      <c r="A90083" s="1" t="n">
        <v>90082</v>
      </c>
      <c r="B90083">
        <f>TEXT(90082, "[$-0E0000]yyyy-mm-dd")</f>
        <v/>
      </c>
    </row>
    <row r="90084">
      <c r="A90084" s="1" t="n">
        <v>90083</v>
      </c>
      <c r="B90084">
        <f>TEXT(90083, "[$-0E0000]yyyy-mm-dd")</f>
        <v/>
      </c>
    </row>
    <row r="90085">
      <c r="A90085" s="1" t="n">
        <v>90084</v>
      </c>
      <c r="B90085">
        <f>TEXT(90084, "[$-0E0000]yyyy-mm-dd")</f>
        <v/>
      </c>
    </row>
    <row r="90086">
      <c r="A90086" s="1" t="n">
        <v>90085</v>
      </c>
      <c r="B90086">
        <f>TEXT(90085, "[$-0E0000]yyyy-mm-dd")</f>
        <v/>
      </c>
    </row>
    <row r="90087">
      <c r="A90087" s="1" t="n">
        <v>90086</v>
      </c>
      <c r="B90087">
        <f>TEXT(90086, "[$-0E0000]yyyy-mm-dd")</f>
        <v/>
      </c>
    </row>
    <row r="90088">
      <c r="A90088" s="1" t="n">
        <v>90087</v>
      </c>
      <c r="B90088">
        <f>TEXT(90087, "[$-0E0000]yyyy-mm-dd")</f>
        <v/>
      </c>
    </row>
    <row r="90089">
      <c r="A90089" s="1" t="n">
        <v>90088</v>
      </c>
      <c r="B90089">
        <f>TEXT(90088, "[$-0E0000]yyyy-mm-dd")</f>
        <v/>
      </c>
    </row>
    <row r="90090">
      <c r="A90090" s="1" t="n">
        <v>90089</v>
      </c>
      <c r="B90090">
        <f>TEXT(90089, "[$-0E0000]yyyy-mm-dd")</f>
        <v/>
      </c>
    </row>
    <row r="90091">
      <c r="A90091" s="1" t="n">
        <v>90090</v>
      </c>
      <c r="B90091">
        <f>TEXT(90090, "[$-0E0000]yyyy-mm-dd")</f>
        <v/>
      </c>
    </row>
    <row r="90092">
      <c r="A90092" s="1" t="n">
        <v>90091</v>
      </c>
      <c r="B90092">
        <f>TEXT(90091, "[$-0E0000]yyyy-mm-dd")</f>
        <v/>
      </c>
    </row>
    <row r="90093">
      <c r="A90093" s="1" t="n">
        <v>90092</v>
      </c>
      <c r="B90093">
        <f>TEXT(90092, "[$-0E0000]yyyy-mm-dd")</f>
        <v/>
      </c>
    </row>
    <row r="90094">
      <c r="A90094" s="1" t="n">
        <v>90093</v>
      </c>
      <c r="B90094">
        <f>TEXT(90093, "[$-0E0000]yyyy-mm-dd")</f>
        <v/>
      </c>
    </row>
    <row r="90095">
      <c r="A90095" s="1" t="n">
        <v>90094</v>
      </c>
      <c r="B90095">
        <f>TEXT(90094, "[$-0E0000]yyyy-mm-dd")</f>
        <v/>
      </c>
    </row>
    <row r="90096">
      <c r="A90096" s="1" t="n">
        <v>90095</v>
      </c>
      <c r="B90096">
        <f>TEXT(90095, "[$-0E0000]yyyy-mm-dd")</f>
        <v/>
      </c>
    </row>
    <row r="90097">
      <c r="A90097" s="1" t="n">
        <v>90096</v>
      </c>
      <c r="B90097">
        <f>TEXT(90096, "[$-0E0000]yyyy-mm-dd")</f>
        <v/>
      </c>
    </row>
    <row r="90098">
      <c r="A90098" s="1" t="n">
        <v>90097</v>
      </c>
      <c r="B90098">
        <f>TEXT(90097, "[$-0E0000]yyyy-mm-dd")</f>
        <v/>
      </c>
    </row>
    <row r="90099">
      <c r="A90099" s="1" t="n">
        <v>90098</v>
      </c>
      <c r="B90099">
        <f>TEXT(90098, "[$-0E0000]yyyy-mm-dd")</f>
        <v/>
      </c>
    </row>
    <row r="90100">
      <c r="A90100" s="1" t="n">
        <v>90099</v>
      </c>
      <c r="B90100">
        <f>TEXT(90099, "[$-0E0000]yyyy-mm-dd")</f>
        <v/>
      </c>
    </row>
    <row r="90101">
      <c r="A90101" s="1" t="n">
        <v>90100</v>
      </c>
      <c r="B90101">
        <f>TEXT(90100, "[$-0E0000]yyyy-mm-dd")</f>
        <v/>
      </c>
    </row>
    <row r="90102">
      <c r="A90102" s="1" t="n">
        <v>90101</v>
      </c>
      <c r="B90102">
        <f>TEXT(90101, "[$-0E0000]yyyy-mm-dd")</f>
        <v/>
      </c>
    </row>
    <row r="90103">
      <c r="A90103" s="1" t="n">
        <v>90102</v>
      </c>
      <c r="B90103">
        <f>TEXT(90102, "[$-0E0000]yyyy-mm-dd")</f>
        <v/>
      </c>
    </row>
    <row r="90104">
      <c r="A90104" s="1" t="n">
        <v>90103</v>
      </c>
      <c r="B90104">
        <f>TEXT(90103, "[$-0E0000]yyyy-mm-dd")</f>
        <v/>
      </c>
    </row>
    <row r="90105">
      <c r="A90105" s="1" t="n">
        <v>90104</v>
      </c>
      <c r="B90105">
        <f>TEXT(90104, "[$-0E0000]yyyy-mm-dd")</f>
        <v/>
      </c>
    </row>
    <row r="90106">
      <c r="A90106" s="1" t="n">
        <v>90105</v>
      </c>
      <c r="B90106">
        <f>TEXT(90105, "[$-0E0000]yyyy-mm-dd")</f>
        <v/>
      </c>
    </row>
    <row r="90107">
      <c r="A90107" s="1" t="n">
        <v>90106</v>
      </c>
      <c r="B90107">
        <f>TEXT(90106, "[$-0E0000]yyyy-mm-dd")</f>
        <v/>
      </c>
    </row>
    <row r="90108">
      <c r="A90108" s="1" t="n">
        <v>90107</v>
      </c>
      <c r="B90108">
        <f>TEXT(90107, "[$-0E0000]yyyy-mm-dd")</f>
        <v/>
      </c>
    </row>
    <row r="90109">
      <c r="A90109" s="1" t="n">
        <v>90108</v>
      </c>
      <c r="B90109">
        <f>TEXT(90108, "[$-0E0000]yyyy-mm-dd")</f>
        <v/>
      </c>
    </row>
    <row r="90110">
      <c r="A90110" s="1" t="n">
        <v>90109</v>
      </c>
      <c r="B90110">
        <f>TEXT(90109, "[$-0E0000]yyyy-mm-dd")</f>
        <v/>
      </c>
    </row>
    <row r="90111">
      <c r="A90111" s="1" t="n">
        <v>90110</v>
      </c>
      <c r="B90111">
        <f>TEXT(90110, "[$-0E0000]yyyy-mm-dd")</f>
        <v/>
      </c>
    </row>
    <row r="90112">
      <c r="A90112" s="1" t="n">
        <v>90111</v>
      </c>
      <c r="B90112">
        <f>TEXT(90111, "[$-0E0000]yyyy-mm-dd")</f>
        <v/>
      </c>
    </row>
    <row r="90113">
      <c r="A90113" s="1" t="n">
        <v>90112</v>
      </c>
      <c r="B90113">
        <f>TEXT(90112, "[$-0E0000]yyyy-mm-dd")</f>
        <v/>
      </c>
    </row>
    <row r="90114">
      <c r="A90114" s="1" t="n">
        <v>90113</v>
      </c>
      <c r="B90114">
        <f>TEXT(90113, "[$-0E0000]yyyy-mm-dd")</f>
        <v/>
      </c>
    </row>
    <row r="90115">
      <c r="A90115" s="1" t="n">
        <v>90114</v>
      </c>
      <c r="B90115">
        <f>TEXT(90114, "[$-0E0000]yyyy-mm-dd")</f>
        <v/>
      </c>
    </row>
    <row r="90116">
      <c r="A90116" s="1" t="n">
        <v>90115</v>
      </c>
      <c r="B90116">
        <f>TEXT(90115, "[$-0E0000]yyyy-mm-dd")</f>
        <v/>
      </c>
    </row>
    <row r="90117">
      <c r="A90117" s="1" t="n">
        <v>90116</v>
      </c>
      <c r="B90117">
        <f>TEXT(90116, "[$-0E0000]yyyy-mm-dd")</f>
        <v/>
      </c>
    </row>
    <row r="90118">
      <c r="A90118" s="1" t="n">
        <v>90117</v>
      </c>
      <c r="B90118">
        <f>TEXT(90117, "[$-0E0000]yyyy-mm-dd")</f>
        <v/>
      </c>
    </row>
    <row r="90119">
      <c r="A90119" s="1" t="n">
        <v>90118</v>
      </c>
      <c r="B90119">
        <f>TEXT(90118, "[$-0E0000]yyyy-mm-dd")</f>
        <v/>
      </c>
    </row>
    <row r="90120">
      <c r="A90120" s="1" t="n">
        <v>90119</v>
      </c>
      <c r="B90120">
        <f>TEXT(90119, "[$-0E0000]yyyy-mm-dd")</f>
        <v/>
      </c>
    </row>
    <row r="90121">
      <c r="A90121" s="1" t="n">
        <v>90120</v>
      </c>
      <c r="B90121">
        <f>TEXT(90120, "[$-0E0000]yyyy-mm-dd")</f>
        <v/>
      </c>
    </row>
    <row r="90122">
      <c r="A90122" s="1" t="n">
        <v>90121</v>
      </c>
      <c r="B90122">
        <f>TEXT(90121, "[$-0E0000]yyyy-mm-dd")</f>
        <v/>
      </c>
    </row>
    <row r="90123">
      <c r="A90123" s="1" t="n">
        <v>90122</v>
      </c>
      <c r="B90123">
        <f>TEXT(90122, "[$-0E0000]yyyy-mm-dd")</f>
        <v/>
      </c>
    </row>
    <row r="90124">
      <c r="A90124" s="1" t="n">
        <v>90123</v>
      </c>
      <c r="B90124">
        <f>TEXT(90123, "[$-0E0000]yyyy-mm-dd")</f>
        <v/>
      </c>
    </row>
    <row r="90125">
      <c r="A90125" s="1" t="n">
        <v>90124</v>
      </c>
      <c r="B90125">
        <f>TEXT(90124, "[$-0E0000]yyyy-mm-dd")</f>
        <v/>
      </c>
    </row>
    <row r="90126">
      <c r="A90126" s="1" t="n">
        <v>90125</v>
      </c>
      <c r="B90126">
        <f>TEXT(90125, "[$-0E0000]yyyy-mm-dd")</f>
        <v/>
      </c>
    </row>
    <row r="90127">
      <c r="A90127" s="1" t="n">
        <v>90126</v>
      </c>
      <c r="B90127">
        <f>TEXT(90126, "[$-0E0000]yyyy-mm-dd")</f>
        <v/>
      </c>
    </row>
    <row r="90128">
      <c r="A90128" s="1" t="n">
        <v>90127</v>
      </c>
      <c r="B90128">
        <f>TEXT(90127, "[$-0E0000]yyyy-mm-dd")</f>
        <v/>
      </c>
    </row>
    <row r="90129">
      <c r="A90129" s="1" t="n">
        <v>90128</v>
      </c>
      <c r="B90129">
        <f>TEXT(90128, "[$-0E0000]yyyy-mm-dd")</f>
        <v/>
      </c>
    </row>
    <row r="90130">
      <c r="A90130" s="1" t="n">
        <v>90129</v>
      </c>
      <c r="B90130">
        <f>TEXT(90129, "[$-0E0000]yyyy-mm-dd")</f>
        <v/>
      </c>
    </row>
    <row r="90131">
      <c r="A90131" s="1" t="n">
        <v>90130</v>
      </c>
      <c r="B90131">
        <f>TEXT(90130, "[$-0E0000]yyyy-mm-dd")</f>
        <v/>
      </c>
    </row>
    <row r="90132">
      <c r="A90132" s="1" t="n">
        <v>90131</v>
      </c>
      <c r="B90132">
        <f>TEXT(90131, "[$-0E0000]yyyy-mm-dd")</f>
        <v/>
      </c>
    </row>
    <row r="90133">
      <c r="A90133" s="1" t="n">
        <v>90132</v>
      </c>
      <c r="B90133">
        <f>TEXT(90132, "[$-0E0000]yyyy-mm-dd")</f>
        <v/>
      </c>
    </row>
    <row r="90134">
      <c r="A90134" s="1" t="n">
        <v>90133</v>
      </c>
      <c r="B90134">
        <f>TEXT(90133, "[$-0E0000]yyyy-mm-dd")</f>
        <v/>
      </c>
    </row>
    <row r="90135">
      <c r="A90135" s="1" t="n">
        <v>90134</v>
      </c>
      <c r="B90135">
        <f>TEXT(90134, "[$-0E0000]yyyy-mm-dd")</f>
        <v/>
      </c>
    </row>
    <row r="90136">
      <c r="A90136" s="1" t="n">
        <v>90135</v>
      </c>
      <c r="B90136">
        <f>TEXT(90135, "[$-0E0000]yyyy-mm-dd")</f>
        <v/>
      </c>
    </row>
    <row r="90137">
      <c r="A90137" s="1" t="n">
        <v>90136</v>
      </c>
      <c r="B90137">
        <f>TEXT(90136, "[$-0E0000]yyyy-mm-dd")</f>
        <v/>
      </c>
    </row>
    <row r="90138">
      <c r="A90138" s="1" t="n">
        <v>90137</v>
      </c>
      <c r="B90138">
        <f>TEXT(90137, "[$-0E0000]yyyy-mm-dd")</f>
        <v/>
      </c>
    </row>
    <row r="90139">
      <c r="A90139" s="1" t="n">
        <v>90138</v>
      </c>
      <c r="B90139">
        <f>TEXT(90138, "[$-0E0000]yyyy-mm-dd")</f>
        <v/>
      </c>
    </row>
    <row r="90140">
      <c r="A90140" s="1" t="n">
        <v>90139</v>
      </c>
      <c r="B90140">
        <f>TEXT(90139, "[$-0E0000]yyyy-mm-dd")</f>
        <v/>
      </c>
    </row>
    <row r="90141">
      <c r="A90141" s="1" t="n">
        <v>90140</v>
      </c>
      <c r="B90141">
        <f>TEXT(90140, "[$-0E0000]yyyy-mm-dd")</f>
        <v/>
      </c>
    </row>
    <row r="90142">
      <c r="A90142" s="1" t="n">
        <v>90141</v>
      </c>
      <c r="B90142">
        <f>TEXT(90141, "[$-0E0000]yyyy-mm-dd")</f>
        <v/>
      </c>
    </row>
    <row r="90143">
      <c r="A90143" s="1" t="n">
        <v>90142</v>
      </c>
      <c r="B90143">
        <f>TEXT(90142, "[$-0E0000]yyyy-mm-dd")</f>
        <v/>
      </c>
    </row>
    <row r="90144">
      <c r="A90144" s="1" t="n">
        <v>90143</v>
      </c>
      <c r="B90144">
        <f>TEXT(90143, "[$-0E0000]yyyy-mm-dd")</f>
        <v/>
      </c>
    </row>
    <row r="90145">
      <c r="A90145" s="1" t="n">
        <v>90144</v>
      </c>
      <c r="B90145">
        <f>TEXT(90144, "[$-0E0000]yyyy-mm-dd")</f>
        <v/>
      </c>
    </row>
    <row r="90146">
      <c r="A90146" s="1" t="n">
        <v>90145</v>
      </c>
      <c r="B90146">
        <f>TEXT(90145, "[$-0E0000]yyyy-mm-dd")</f>
        <v/>
      </c>
    </row>
    <row r="90147">
      <c r="A90147" s="1" t="n">
        <v>90146</v>
      </c>
      <c r="B90147">
        <f>TEXT(90146, "[$-0E0000]yyyy-mm-dd")</f>
        <v/>
      </c>
    </row>
    <row r="90148">
      <c r="A90148" s="1" t="n">
        <v>90147</v>
      </c>
      <c r="B90148">
        <f>TEXT(90147, "[$-0E0000]yyyy-mm-dd")</f>
        <v/>
      </c>
    </row>
    <row r="90149">
      <c r="A90149" s="1" t="n">
        <v>90148</v>
      </c>
      <c r="B90149">
        <f>TEXT(90148, "[$-0E0000]yyyy-mm-dd")</f>
        <v/>
      </c>
    </row>
    <row r="90150">
      <c r="A90150" s="1" t="n">
        <v>90149</v>
      </c>
      <c r="B90150">
        <f>TEXT(90149, "[$-0E0000]yyyy-mm-dd")</f>
        <v/>
      </c>
    </row>
    <row r="90151">
      <c r="A90151" s="1" t="n">
        <v>90150</v>
      </c>
      <c r="B90151">
        <f>TEXT(90150, "[$-0E0000]yyyy-mm-dd")</f>
        <v/>
      </c>
    </row>
    <row r="90152">
      <c r="A90152" s="1" t="n">
        <v>90151</v>
      </c>
      <c r="B90152">
        <f>TEXT(90151, "[$-0E0000]yyyy-mm-dd")</f>
        <v/>
      </c>
    </row>
    <row r="90153">
      <c r="A90153" s="1" t="n">
        <v>90152</v>
      </c>
      <c r="B90153">
        <f>TEXT(90152, "[$-0E0000]yyyy-mm-dd")</f>
        <v/>
      </c>
    </row>
    <row r="90154">
      <c r="A90154" s="1" t="n">
        <v>90153</v>
      </c>
      <c r="B90154">
        <f>TEXT(90153, "[$-0E0000]yyyy-mm-dd")</f>
        <v/>
      </c>
    </row>
    <row r="90155">
      <c r="A90155" s="1" t="n">
        <v>90154</v>
      </c>
      <c r="B90155">
        <f>TEXT(90154, "[$-0E0000]yyyy-mm-dd")</f>
        <v/>
      </c>
    </row>
    <row r="90156">
      <c r="A90156" s="1" t="n">
        <v>90155</v>
      </c>
      <c r="B90156">
        <f>TEXT(90155, "[$-0E0000]yyyy-mm-dd")</f>
        <v/>
      </c>
    </row>
    <row r="90157">
      <c r="A90157" s="1" t="n">
        <v>90156</v>
      </c>
      <c r="B90157">
        <f>TEXT(90156, "[$-0E0000]yyyy-mm-dd")</f>
        <v/>
      </c>
    </row>
    <row r="90158">
      <c r="A90158" s="1" t="n">
        <v>90157</v>
      </c>
      <c r="B90158">
        <f>TEXT(90157, "[$-0E0000]yyyy-mm-dd")</f>
        <v/>
      </c>
    </row>
    <row r="90159">
      <c r="A90159" s="1" t="n">
        <v>90158</v>
      </c>
      <c r="B90159">
        <f>TEXT(90158, "[$-0E0000]yyyy-mm-dd")</f>
        <v/>
      </c>
    </row>
    <row r="90160">
      <c r="A90160" s="1" t="n">
        <v>90159</v>
      </c>
      <c r="B90160">
        <f>TEXT(90159, "[$-0E0000]yyyy-mm-dd")</f>
        <v/>
      </c>
    </row>
    <row r="90161">
      <c r="A90161" s="1" t="n">
        <v>90160</v>
      </c>
      <c r="B90161">
        <f>TEXT(90160, "[$-0E0000]yyyy-mm-dd")</f>
        <v/>
      </c>
    </row>
    <row r="90162">
      <c r="A90162" s="1" t="n">
        <v>90161</v>
      </c>
      <c r="B90162">
        <f>TEXT(90161, "[$-0E0000]yyyy-mm-dd")</f>
        <v/>
      </c>
    </row>
    <row r="90163">
      <c r="A90163" s="1" t="n">
        <v>90162</v>
      </c>
      <c r="B90163">
        <f>TEXT(90162, "[$-0E0000]yyyy-mm-dd")</f>
        <v/>
      </c>
    </row>
    <row r="90164">
      <c r="A90164" s="1" t="n">
        <v>90163</v>
      </c>
      <c r="B90164">
        <f>TEXT(90163, "[$-0E0000]yyyy-mm-dd")</f>
        <v/>
      </c>
    </row>
    <row r="90165">
      <c r="A90165" s="1" t="n">
        <v>90164</v>
      </c>
      <c r="B90165">
        <f>TEXT(90164, "[$-0E0000]yyyy-mm-dd")</f>
        <v/>
      </c>
    </row>
    <row r="90166">
      <c r="A90166" s="1" t="n">
        <v>90165</v>
      </c>
      <c r="B90166">
        <f>TEXT(90165, "[$-0E0000]yyyy-mm-dd")</f>
        <v/>
      </c>
    </row>
    <row r="90167">
      <c r="A90167" s="1" t="n">
        <v>90166</v>
      </c>
      <c r="B90167">
        <f>TEXT(90166, "[$-0E0000]yyyy-mm-dd")</f>
        <v/>
      </c>
    </row>
    <row r="90168">
      <c r="A90168" s="1" t="n">
        <v>90167</v>
      </c>
      <c r="B90168">
        <f>TEXT(90167, "[$-0E0000]yyyy-mm-dd")</f>
        <v/>
      </c>
    </row>
    <row r="90169">
      <c r="A90169" s="1" t="n">
        <v>90168</v>
      </c>
      <c r="B90169">
        <f>TEXT(90168, "[$-0E0000]yyyy-mm-dd")</f>
        <v/>
      </c>
    </row>
    <row r="90170">
      <c r="A90170" s="1" t="n">
        <v>90169</v>
      </c>
      <c r="B90170">
        <f>TEXT(90169, "[$-0E0000]yyyy-mm-dd")</f>
        <v/>
      </c>
    </row>
    <row r="90171">
      <c r="A90171" s="1" t="n">
        <v>90170</v>
      </c>
      <c r="B90171">
        <f>TEXT(90170, "[$-0E0000]yyyy-mm-dd")</f>
        <v/>
      </c>
    </row>
    <row r="90172">
      <c r="A90172" s="1" t="n">
        <v>90171</v>
      </c>
      <c r="B90172">
        <f>TEXT(90171, "[$-0E0000]yyyy-mm-dd")</f>
        <v/>
      </c>
    </row>
    <row r="90173">
      <c r="A90173" s="1" t="n">
        <v>90172</v>
      </c>
      <c r="B90173">
        <f>TEXT(90172, "[$-0E0000]yyyy-mm-dd")</f>
        <v/>
      </c>
    </row>
    <row r="90174">
      <c r="A90174" s="1" t="n">
        <v>90173</v>
      </c>
      <c r="B90174">
        <f>TEXT(90173, "[$-0E0000]yyyy-mm-dd")</f>
        <v/>
      </c>
    </row>
    <row r="90175">
      <c r="A90175" s="1" t="n">
        <v>90174</v>
      </c>
      <c r="B90175">
        <f>TEXT(90174, "[$-0E0000]yyyy-mm-dd")</f>
        <v/>
      </c>
    </row>
    <row r="90176">
      <c r="A90176" s="1" t="n">
        <v>90175</v>
      </c>
      <c r="B90176">
        <f>TEXT(90175, "[$-0E0000]yyyy-mm-dd")</f>
        <v/>
      </c>
    </row>
    <row r="90177">
      <c r="A90177" s="1" t="n">
        <v>90176</v>
      </c>
      <c r="B90177">
        <f>TEXT(90176, "[$-0E0000]yyyy-mm-dd")</f>
        <v/>
      </c>
    </row>
    <row r="90178">
      <c r="A90178" s="1" t="n">
        <v>90177</v>
      </c>
      <c r="B90178">
        <f>TEXT(90177, "[$-0E0000]yyyy-mm-dd")</f>
        <v/>
      </c>
    </row>
    <row r="90179">
      <c r="A90179" s="1" t="n">
        <v>90178</v>
      </c>
      <c r="B90179">
        <f>TEXT(90178, "[$-0E0000]yyyy-mm-dd")</f>
        <v/>
      </c>
    </row>
    <row r="90180">
      <c r="A90180" s="1" t="n">
        <v>90179</v>
      </c>
      <c r="B90180">
        <f>TEXT(90179, "[$-0E0000]yyyy-mm-dd")</f>
        <v/>
      </c>
    </row>
    <row r="90181">
      <c r="A90181" s="1" t="n">
        <v>90180</v>
      </c>
      <c r="B90181">
        <f>TEXT(90180, "[$-0E0000]yyyy-mm-dd")</f>
        <v/>
      </c>
    </row>
    <row r="90182">
      <c r="A90182" s="1" t="n">
        <v>90181</v>
      </c>
      <c r="B90182">
        <f>TEXT(90181, "[$-0E0000]yyyy-mm-dd")</f>
        <v/>
      </c>
    </row>
    <row r="90183">
      <c r="A90183" s="1" t="n">
        <v>90182</v>
      </c>
      <c r="B90183">
        <f>TEXT(90182, "[$-0E0000]yyyy-mm-dd")</f>
        <v/>
      </c>
    </row>
    <row r="90184">
      <c r="A90184" s="1" t="n">
        <v>90183</v>
      </c>
      <c r="B90184">
        <f>TEXT(90183, "[$-0E0000]yyyy-mm-dd")</f>
        <v/>
      </c>
    </row>
    <row r="90185">
      <c r="A90185" s="1" t="n">
        <v>90184</v>
      </c>
      <c r="B90185">
        <f>TEXT(90184, "[$-0E0000]yyyy-mm-dd")</f>
        <v/>
      </c>
    </row>
    <row r="90186">
      <c r="A90186" s="1" t="n">
        <v>90185</v>
      </c>
      <c r="B90186">
        <f>TEXT(90185, "[$-0E0000]yyyy-mm-dd")</f>
        <v/>
      </c>
    </row>
    <row r="90187">
      <c r="A90187" s="1" t="n">
        <v>90186</v>
      </c>
      <c r="B90187">
        <f>TEXT(90186, "[$-0E0000]yyyy-mm-dd")</f>
        <v/>
      </c>
    </row>
    <row r="90188">
      <c r="A90188" s="1" t="n">
        <v>90187</v>
      </c>
      <c r="B90188">
        <f>TEXT(90187, "[$-0E0000]yyyy-mm-dd")</f>
        <v/>
      </c>
    </row>
    <row r="90189">
      <c r="A90189" s="1" t="n">
        <v>90188</v>
      </c>
      <c r="B90189">
        <f>TEXT(90188, "[$-0E0000]yyyy-mm-dd")</f>
        <v/>
      </c>
    </row>
    <row r="90190">
      <c r="A90190" s="1" t="n">
        <v>90189</v>
      </c>
      <c r="B90190">
        <f>TEXT(90189, "[$-0E0000]yyyy-mm-dd")</f>
        <v/>
      </c>
    </row>
    <row r="90191">
      <c r="A90191" s="1" t="n">
        <v>90190</v>
      </c>
      <c r="B90191">
        <f>TEXT(90190, "[$-0E0000]yyyy-mm-dd")</f>
        <v/>
      </c>
    </row>
    <row r="90192">
      <c r="A90192" s="1" t="n">
        <v>90191</v>
      </c>
      <c r="B90192">
        <f>TEXT(90191, "[$-0E0000]yyyy-mm-dd")</f>
        <v/>
      </c>
    </row>
    <row r="90193">
      <c r="A90193" s="1" t="n">
        <v>90192</v>
      </c>
      <c r="B90193">
        <f>TEXT(90192, "[$-0E0000]yyyy-mm-dd")</f>
        <v/>
      </c>
    </row>
    <row r="90194">
      <c r="A90194" s="1" t="n">
        <v>90193</v>
      </c>
      <c r="B90194">
        <f>TEXT(90193, "[$-0E0000]yyyy-mm-dd")</f>
        <v/>
      </c>
    </row>
    <row r="90195">
      <c r="A90195" s="1" t="n">
        <v>90194</v>
      </c>
      <c r="B90195">
        <f>TEXT(90194, "[$-0E0000]yyyy-mm-dd")</f>
        <v/>
      </c>
    </row>
    <row r="90196">
      <c r="A90196" s="1" t="n">
        <v>90195</v>
      </c>
      <c r="B90196">
        <f>TEXT(90195, "[$-0E0000]yyyy-mm-dd")</f>
        <v/>
      </c>
    </row>
    <row r="90197">
      <c r="A90197" s="1" t="n">
        <v>90196</v>
      </c>
      <c r="B90197">
        <f>TEXT(90196, "[$-0E0000]yyyy-mm-dd")</f>
        <v/>
      </c>
    </row>
    <row r="90198">
      <c r="A90198" s="1" t="n">
        <v>90197</v>
      </c>
      <c r="B90198">
        <f>TEXT(90197, "[$-0E0000]yyyy-mm-dd")</f>
        <v/>
      </c>
    </row>
    <row r="90199">
      <c r="A90199" s="1" t="n">
        <v>90198</v>
      </c>
      <c r="B90199">
        <f>TEXT(90198, "[$-0E0000]yyyy-mm-dd")</f>
        <v/>
      </c>
    </row>
    <row r="90200">
      <c r="A90200" s="1" t="n">
        <v>90199</v>
      </c>
      <c r="B90200">
        <f>TEXT(90199, "[$-0E0000]yyyy-mm-dd")</f>
        <v/>
      </c>
    </row>
    <row r="90201">
      <c r="A90201" s="1" t="n">
        <v>90200</v>
      </c>
      <c r="B90201">
        <f>TEXT(90200, "[$-0E0000]yyyy-mm-dd")</f>
        <v/>
      </c>
    </row>
    <row r="90202">
      <c r="A90202" s="1" t="n">
        <v>90201</v>
      </c>
      <c r="B90202">
        <f>TEXT(90201, "[$-0E0000]yyyy-mm-dd")</f>
        <v/>
      </c>
    </row>
    <row r="90203">
      <c r="A90203" s="1" t="n">
        <v>90202</v>
      </c>
      <c r="B90203">
        <f>TEXT(90202, "[$-0E0000]yyyy-mm-dd")</f>
        <v/>
      </c>
    </row>
    <row r="90204">
      <c r="A90204" s="1" t="n">
        <v>90203</v>
      </c>
      <c r="B90204">
        <f>TEXT(90203, "[$-0E0000]yyyy-mm-dd")</f>
        <v/>
      </c>
    </row>
    <row r="90205">
      <c r="A90205" s="1" t="n">
        <v>90204</v>
      </c>
      <c r="B90205">
        <f>TEXT(90204, "[$-0E0000]yyyy-mm-dd")</f>
        <v/>
      </c>
    </row>
    <row r="90206">
      <c r="A90206" s="1" t="n">
        <v>90205</v>
      </c>
      <c r="B90206">
        <f>TEXT(90205, "[$-0E0000]yyyy-mm-dd")</f>
        <v/>
      </c>
    </row>
    <row r="90207">
      <c r="A90207" s="1" t="n">
        <v>90206</v>
      </c>
      <c r="B90207">
        <f>TEXT(90206, "[$-0E0000]yyyy-mm-dd")</f>
        <v/>
      </c>
    </row>
    <row r="90208">
      <c r="A90208" s="1" t="n">
        <v>90207</v>
      </c>
      <c r="B90208">
        <f>TEXT(90207, "[$-0E0000]yyyy-mm-dd")</f>
        <v/>
      </c>
    </row>
    <row r="90209">
      <c r="A90209" s="1" t="n">
        <v>90208</v>
      </c>
      <c r="B90209">
        <f>TEXT(90208, "[$-0E0000]yyyy-mm-dd")</f>
        <v/>
      </c>
    </row>
    <row r="90210">
      <c r="A90210" s="1" t="n">
        <v>90209</v>
      </c>
      <c r="B90210">
        <f>TEXT(90209, "[$-0E0000]yyyy-mm-dd")</f>
        <v/>
      </c>
    </row>
    <row r="90211">
      <c r="A90211" s="1" t="n">
        <v>90210</v>
      </c>
      <c r="B90211">
        <f>TEXT(90210, "[$-0E0000]yyyy-mm-dd")</f>
        <v/>
      </c>
    </row>
    <row r="90212">
      <c r="A90212" s="1" t="n">
        <v>90211</v>
      </c>
      <c r="B90212">
        <f>TEXT(90211, "[$-0E0000]yyyy-mm-dd")</f>
        <v/>
      </c>
    </row>
    <row r="90213">
      <c r="A90213" s="1" t="n">
        <v>90212</v>
      </c>
      <c r="B90213">
        <f>TEXT(90212, "[$-0E0000]yyyy-mm-dd")</f>
        <v/>
      </c>
    </row>
    <row r="90214">
      <c r="A90214" s="1" t="n">
        <v>90213</v>
      </c>
      <c r="B90214">
        <f>TEXT(90213, "[$-0E0000]yyyy-mm-dd")</f>
        <v/>
      </c>
    </row>
    <row r="90215">
      <c r="A90215" s="1" t="n">
        <v>90214</v>
      </c>
      <c r="B90215">
        <f>TEXT(90214, "[$-0E0000]yyyy-mm-dd")</f>
        <v/>
      </c>
    </row>
    <row r="90216">
      <c r="A90216" s="1" t="n">
        <v>90215</v>
      </c>
      <c r="B90216">
        <f>TEXT(90215, "[$-0E0000]yyyy-mm-dd")</f>
        <v/>
      </c>
    </row>
    <row r="90217">
      <c r="A90217" s="1" t="n">
        <v>90216</v>
      </c>
      <c r="B90217">
        <f>TEXT(90216, "[$-0E0000]yyyy-mm-dd")</f>
        <v/>
      </c>
    </row>
    <row r="90218">
      <c r="A90218" s="1" t="n">
        <v>90217</v>
      </c>
      <c r="B90218">
        <f>TEXT(90217, "[$-0E0000]yyyy-mm-dd")</f>
        <v/>
      </c>
    </row>
    <row r="90219">
      <c r="A90219" s="1" t="n">
        <v>90218</v>
      </c>
      <c r="B90219">
        <f>TEXT(90218, "[$-0E0000]yyyy-mm-dd")</f>
        <v/>
      </c>
    </row>
    <row r="90220">
      <c r="A90220" s="1" t="n">
        <v>90219</v>
      </c>
      <c r="B90220">
        <f>TEXT(90219, "[$-0E0000]yyyy-mm-dd")</f>
        <v/>
      </c>
    </row>
    <row r="90221">
      <c r="A90221" s="1" t="n">
        <v>90220</v>
      </c>
      <c r="B90221">
        <f>TEXT(90220, "[$-0E0000]yyyy-mm-dd")</f>
        <v/>
      </c>
    </row>
    <row r="90222">
      <c r="A90222" s="1" t="n">
        <v>90221</v>
      </c>
      <c r="B90222">
        <f>TEXT(90221, "[$-0E0000]yyyy-mm-dd")</f>
        <v/>
      </c>
    </row>
    <row r="90223">
      <c r="A90223" s="1" t="n">
        <v>90222</v>
      </c>
      <c r="B90223">
        <f>TEXT(90222, "[$-0E0000]yyyy-mm-dd")</f>
        <v/>
      </c>
    </row>
    <row r="90224">
      <c r="A90224" s="1" t="n">
        <v>90223</v>
      </c>
      <c r="B90224">
        <f>TEXT(90223, "[$-0E0000]yyyy-mm-dd")</f>
        <v/>
      </c>
    </row>
    <row r="90225">
      <c r="A90225" s="1" t="n">
        <v>90224</v>
      </c>
      <c r="B90225">
        <f>TEXT(90224, "[$-0E0000]yyyy-mm-dd")</f>
        <v/>
      </c>
    </row>
    <row r="90226">
      <c r="A90226" s="1" t="n">
        <v>90225</v>
      </c>
      <c r="B90226">
        <f>TEXT(90225, "[$-0E0000]yyyy-mm-dd")</f>
        <v/>
      </c>
    </row>
    <row r="90227">
      <c r="A90227" s="1" t="n">
        <v>90226</v>
      </c>
      <c r="B90227">
        <f>TEXT(90226, "[$-0E0000]yyyy-mm-dd")</f>
        <v/>
      </c>
    </row>
    <row r="90228">
      <c r="A90228" s="1" t="n">
        <v>90227</v>
      </c>
      <c r="B90228">
        <f>TEXT(90227, "[$-0E0000]yyyy-mm-dd")</f>
        <v/>
      </c>
    </row>
    <row r="90229">
      <c r="A90229" s="1" t="n">
        <v>90228</v>
      </c>
      <c r="B90229">
        <f>TEXT(90228, "[$-0E0000]yyyy-mm-dd")</f>
        <v/>
      </c>
    </row>
    <row r="90230">
      <c r="A90230" s="1" t="n">
        <v>90229</v>
      </c>
      <c r="B90230">
        <f>TEXT(90229, "[$-0E0000]yyyy-mm-dd")</f>
        <v/>
      </c>
    </row>
    <row r="90231">
      <c r="A90231" s="1" t="n">
        <v>90230</v>
      </c>
      <c r="B90231">
        <f>TEXT(90230, "[$-0E0000]yyyy-mm-dd")</f>
        <v/>
      </c>
    </row>
    <row r="90232">
      <c r="A90232" s="1" t="n">
        <v>90231</v>
      </c>
      <c r="B90232">
        <f>TEXT(90231, "[$-0E0000]yyyy-mm-dd")</f>
        <v/>
      </c>
    </row>
    <row r="90233">
      <c r="A90233" s="1" t="n">
        <v>90232</v>
      </c>
      <c r="B90233">
        <f>TEXT(90232, "[$-0E0000]yyyy-mm-dd")</f>
        <v/>
      </c>
    </row>
    <row r="90234">
      <c r="A90234" s="1" t="n">
        <v>90233</v>
      </c>
      <c r="B90234">
        <f>TEXT(90233, "[$-0E0000]yyyy-mm-dd")</f>
        <v/>
      </c>
    </row>
    <row r="90235">
      <c r="A90235" s="1" t="n">
        <v>90234</v>
      </c>
      <c r="B90235">
        <f>TEXT(90234, "[$-0E0000]yyyy-mm-dd")</f>
        <v/>
      </c>
    </row>
    <row r="90236">
      <c r="A90236" s="1" t="n">
        <v>90235</v>
      </c>
      <c r="B90236">
        <f>TEXT(90235, "[$-0E0000]yyyy-mm-dd")</f>
        <v/>
      </c>
    </row>
    <row r="90237">
      <c r="A90237" s="1" t="n">
        <v>90236</v>
      </c>
      <c r="B90237">
        <f>TEXT(90236, "[$-0E0000]yyyy-mm-dd")</f>
        <v/>
      </c>
    </row>
    <row r="90238">
      <c r="A90238" s="1" t="n">
        <v>90237</v>
      </c>
      <c r="B90238">
        <f>TEXT(90237, "[$-0E0000]yyyy-mm-dd")</f>
        <v/>
      </c>
    </row>
    <row r="90239">
      <c r="A90239" s="1" t="n">
        <v>90238</v>
      </c>
      <c r="B90239">
        <f>TEXT(90238, "[$-0E0000]yyyy-mm-dd")</f>
        <v/>
      </c>
    </row>
    <row r="90240">
      <c r="A90240" s="1" t="n">
        <v>90239</v>
      </c>
      <c r="B90240">
        <f>TEXT(90239, "[$-0E0000]yyyy-mm-dd")</f>
        <v/>
      </c>
    </row>
    <row r="90241">
      <c r="A90241" s="1" t="n">
        <v>90240</v>
      </c>
      <c r="B90241">
        <f>TEXT(90240, "[$-0E0000]yyyy-mm-dd")</f>
        <v/>
      </c>
    </row>
    <row r="90242">
      <c r="A90242" s="1" t="n">
        <v>90241</v>
      </c>
      <c r="B90242">
        <f>TEXT(90241, "[$-0E0000]yyyy-mm-dd")</f>
        <v/>
      </c>
    </row>
    <row r="90243">
      <c r="A90243" s="1" t="n">
        <v>90242</v>
      </c>
      <c r="B90243">
        <f>TEXT(90242, "[$-0E0000]yyyy-mm-dd")</f>
        <v/>
      </c>
    </row>
    <row r="90244">
      <c r="A90244" s="1" t="n">
        <v>90243</v>
      </c>
      <c r="B90244">
        <f>TEXT(90243, "[$-0E0000]yyyy-mm-dd")</f>
        <v/>
      </c>
    </row>
    <row r="90245">
      <c r="A90245" s="1" t="n">
        <v>90244</v>
      </c>
      <c r="B90245">
        <f>TEXT(90244, "[$-0E0000]yyyy-mm-dd")</f>
        <v/>
      </c>
    </row>
    <row r="90246">
      <c r="A90246" s="1" t="n">
        <v>90245</v>
      </c>
      <c r="B90246">
        <f>TEXT(90245, "[$-0E0000]yyyy-mm-dd")</f>
        <v/>
      </c>
    </row>
    <row r="90247">
      <c r="A90247" s="1" t="n">
        <v>90246</v>
      </c>
      <c r="B90247">
        <f>TEXT(90246, "[$-0E0000]yyyy-mm-dd")</f>
        <v/>
      </c>
    </row>
    <row r="90248">
      <c r="A90248" s="1" t="n">
        <v>90247</v>
      </c>
      <c r="B90248">
        <f>TEXT(90247, "[$-0E0000]yyyy-mm-dd")</f>
        <v/>
      </c>
    </row>
    <row r="90249">
      <c r="A90249" s="1" t="n">
        <v>90248</v>
      </c>
      <c r="B90249">
        <f>TEXT(90248, "[$-0E0000]yyyy-mm-dd")</f>
        <v/>
      </c>
    </row>
    <row r="90250">
      <c r="A90250" s="1" t="n">
        <v>90249</v>
      </c>
      <c r="B90250">
        <f>TEXT(90249, "[$-0E0000]yyyy-mm-dd")</f>
        <v/>
      </c>
    </row>
    <row r="90251">
      <c r="A90251" s="1" t="n">
        <v>90250</v>
      </c>
      <c r="B90251">
        <f>TEXT(90250, "[$-0E0000]yyyy-mm-dd")</f>
        <v/>
      </c>
    </row>
    <row r="90252">
      <c r="A90252" s="1" t="n">
        <v>90251</v>
      </c>
      <c r="B90252">
        <f>TEXT(90251, "[$-0E0000]yyyy-mm-dd")</f>
        <v/>
      </c>
    </row>
    <row r="90253">
      <c r="A90253" s="1" t="n">
        <v>90252</v>
      </c>
      <c r="B90253">
        <f>TEXT(90252, "[$-0E0000]yyyy-mm-dd")</f>
        <v/>
      </c>
    </row>
    <row r="90254">
      <c r="A90254" s="1" t="n">
        <v>90253</v>
      </c>
      <c r="B90254">
        <f>TEXT(90253, "[$-0E0000]yyyy-mm-dd")</f>
        <v/>
      </c>
    </row>
    <row r="90255">
      <c r="A90255" s="1" t="n">
        <v>90254</v>
      </c>
      <c r="B90255">
        <f>TEXT(90254, "[$-0E0000]yyyy-mm-dd")</f>
        <v/>
      </c>
    </row>
    <row r="90256">
      <c r="A90256" s="1" t="n">
        <v>90255</v>
      </c>
      <c r="B90256">
        <f>TEXT(90255, "[$-0E0000]yyyy-mm-dd")</f>
        <v/>
      </c>
    </row>
    <row r="90257">
      <c r="A90257" s="1" t="n">
        <v>90256</v>
      </c>
      <c r="B90257">
        <f>TEXT(90256, "[$-0E0000]yyyy-mm-dd")</f>
        <v/>
      </c>
    </row>
    <row r="90258">
      <c r="A90258" s="1" t="n">
        <v>90257</v>
      </c>
      <c r="B90258">
        <f>TEXT(90257, "[$-0E0000]yyyy-mm-dd")</f>
        <v/>
      </c>
    </row>
    <row r="90259">
      <c r="A90259" s="1" t="n">
        <v>90258</v>
      </c>
      <c r="B90259">
        <f>TEXT(90258, "[$-0E0000]yyyy-mm-dd")</f>
        <v/>
      </c>
    </row>
    <row r="90260">
      <c r="A90260" s="1" t="n">
        <v>90259</v>
      </c>
      <c r="B90260">
        <f>TEXT(90259, "[$-0E0000]yyyy-mm-dd")</f>
        <v/>
      </c>
    </row>
    <row r="90261">
      <c r="A90261" s="1" t="n">
        <v>90260</v>
      </c>
      <c r="B90261">
        <f>TEXT(90260, "[$-0E0000]yyyy-mm-dd")</f>
        <v/>
      </c>
    </row>
    <row r="90262">
      <c r="A90262" s="1" t="n">
        <v>90261</v>
      </c>
      <c r="B90262">
        <f>TEXT(90261, "[$-0E0000]yyyy-mm-dd")</f>
        <v/>
      </c>
    </row>
    <row r="90263">
      <c r="A90263" s="1" t="n">
        <v>90262</v>
      </c>
      <c r="B90263">
        <f>TEXT(90262, "[$-0E0000]yyyy-mm-dd")</f>
        <v/>
      </c>
    </row>
    <row r="90264">
      <c r="A90264" s="1" t="n">
        <v>90263</v>
      </c>
      <c r="B90264">
        <f>TEXT(90263, "[$-0E0000]yyyy-mm-dd")</f>
        <v/>
      </c>
    </row>
    <row r="90265">
      <c r="A90265" s="1" t="n">
        <v>90264</v>
      </c>
      <c r="B90265">
        <f>TEXT(90264, "[$-0E0000]yyyy-mm-dd")</f>
        <v/>
      </c>
    </row>
    <row r="90266">
      <c r="A90266" s="1" t="n">
        <v>90265</v>
      </c>
      <c r="B90266">
        <f>TEXT(90265, "[$-0E0000]yyyy-mm-dd")</f>
        <v/>
      </c>
    </row>
    <row r="90267">
      <c r="A90267" s="1" t="n">
        <v>90266</v>
      </c>
      <c r="B90267">
        <f>TEXT(90266, "[$-0E0000]yyyy-mm-dd")</f>
        <v/>
      </c>
    </row>
    <row r="90268">
      <c r="A90268" s="1" t="n">
        <v>90267</v>
      </c>
      <c r="B90268">
        <f>TEXT(90267, "[$-0E0000]yyyy-mm-dd")</f>
        <v/>
      </c>
    </row>
    <row r="90269">
      <c r="A90269" s="1" t="n">
        <v>90268</v>
      </c>
      <c r="B90269">
        <f>TEXT(90268, "[$-0E0000]yyyy-mm-dd")</f>
        <v/>
      </c>
    </row>
    <row r="90270">
      <c r="A90270" s="1" t="n">
        <v>90269</v>
      </c>
      <c r="B90270">
        <f>TEXT(90269, "[$-0E0000]yyyy-mm-dd")</f>
        <v/>
      </c>
    </row>
    <row r="90271">
      <c r="A90271" s="1" t="n">
        <v>90270</v>
      </c>
      <c r="B90271">
        <f>TEXT(90270, "[$-0E0000]yyyy-mm-dd")</f>
        <v/>
      </c>
    </row>
    <row r="90272">
      <c r="A90272" s="1" t="n">
        <v>90271</v>
      </c>
      <c r="B90272">
        <f>TEXT(90271, "[$-0E0000]yyyy-mm-dd")</f>
        <v/>
      </c>
    </row>
    <row r="90273">
      <c r="A90273" s="1" t="n">
        <v>90272</v>
      </c>
      <c r="B90273">
        <f>TEXT(90272, "[$-0E0000]yyyy-mm-dd")</f>
        <v/>
      </c>
    </row>
    <row r="90274">
      <c r="A90274" s="1" t="n">
        <v>90273</v>
      </c>
      <c r="B90274">
        <f>TEXT(90273, "[$-0E0000]yyyy-mm-dd")</f>
        <v/>
      </c>
    </row>
    <row r="90275">
      <c r="A90275" s="1" t="n">
        <v>90274</v>
      </c>
      <c r="B90275">
        <f>TEXT(90274, "[$-0E0000]yyyy-mm-dd")</f>
        <v/>
      </c>
    </row>
    <row r="90276">
      <c r="A90276" s="1" t="n">
        <v>90275</v>
      </c>
      <c r="B90276">
        <f>TEXT(90275, "[$-0E0000]yyyy-mm-dd")</f>
        <v/>
      </c>
    </row>
    <row r="90277">
      <c r="A90277" s="1" t="n">
        <v>90276</v>
      </c>
      <c r="B90277">
        <f>TEXT(90276, "[$-0E0000]yyyy-mm-dd")</f>
        <v/>
      </c>
    </row>
    <row r="90278">
      <c r="A90278" s="1" t="n">
        <v>90277</v>
      </c>
      <c r="B90278">
        <f>TEXT(90277, "[$-0E0000]yyyy-mm-dd")</f>
        <v/>
      </c>
    </row>
    <row r="90279">
      <c r="A90279" s="1" t="n">
        <v>90278</v>
      </c>
      <c r="B90279">
        <f>TEXT(90278, "[$-0E0000]yyyy-mm-dd")</f>
        <v/>
      </c>
    </row>
    <row r="90280">
      <c r="A90280" s="1" t="n">
        <v>90279</v>
      </c>
      <c r="B90280">
        <f>TEXT(90279, "[$-0E0000]yyyy-mm-dd")</f>
        <v/>
      </c>
    </row>
    <row r="90281">
      <c r="A90281" s="1" t="n">
        <v>90280</v>
      </c>
      <c r="B90281">
        <f>TEXT(90280, "[$-0E0000]yyyy-mm-dd")</f>
        <v/>
      </c>
    </row>
    <row r="90282">
      <c r="A90282" s="1" t="n">
        <v>90281</v>
      </c>
      <c r="B90282">
        <f>TEXT(90281, "[$-0E0000]yyyy-mm-dd")</f>
        <v/>
      </c>
    </row>
    <row r="90283">
      <c r="A90283" s="1" t="n">
        <v>90282</v>
      </c>
      <c r="B90283">
        <f>TEXT(90282, "[$-0E0000]yyyy-mm-dd")</f>
        <v/>
      </c>
    </row>
    <row r="90284">
      <c r="A90284" s="1" t="n">
        <v>90283</v>
      </c>
      <c r="B90284">
        <f>TEXT(90283, "[$-0E0000]yyyy-mm-dd")</f>
        <v/>
      </c>
    </row>
    <row r="90285">
      <c r="A90285" s="1" t="n">
        <v>90284</v>
      </c>
      <c r="B90285">
        <f>TEXT(90284, "[$-0E0000]yyyy-mm-dd")</f>
        <v/>
      </c>
    </row>
    <row r="90286">
      <c r="A90286" s="1" t="n">
        <v>90285</v>
      </c>
      <c r="B90286">
        <f>TEXT(90285, "[$-0E0000]yyyy-mm-dd")</f>
        <v/>
      </c>
    </row>
    <row r="90287">
      <c r="A90287" s="1" t="n">
        <v>90286</v>
      </c>
      <c r="B90287">
        <f>TEXT(90286, "[$-0E0000]yyyy-mm-dd")</f>
        <v/>
      </c>
    </row>
    <row r="90288">
      <c r="A90288" s="1" t="n">
        <v>90287</v>
      </c>
      <c r="B90288">
        <f>TEXT(90287, "[$-0E0000]yyyy-mm-dd")</f>
        <v/>
      </c>
    </row>
    <row r="90289">
      <c r="A90289" s="1" t="n">
        <v>90288</v>
      </c>
      <c r="B90289">
        <f>TEXT(90288, "[$-0E0000]yyyy-mm-dd")</f>
        <v/>
      </c>
    </row>
    <row r="90290">
      <c r="A90290" s="1" t="n">
        <v>90289</v>
      </c>
      <c r="B90290">
        <f>TEXT(90289, "[$-0E0000]yyyy-mm-dd")</f>
        <v/>
      </c>
    </row>
    <row r="90291">
      <c r="A90291" s="1" t="n">
        <v>90290</v>
      </c>
      <c r="B90291">
        <f>TEXT(90290, "[$-0E0000]yyyy-mm-dd")</f>
        <v/>
      </c>
    </row>
    <row r="90292">
      <c r="A90292" s="1" t="n">
        <v>90291</v>
      </c>
      <c r="B90292">
        <f>TEXT(90291, "[$-0E0000]yyyy-mm-dd")</f>
        <v/>
      </c>
    </row>
    <row r="90293">
      <c r="A90293" s="1" t="n">
        <v>90292</v>
      </c>
      <c r="B90293">
        <f>TEXT(90292, "[$-0E0000]yyyy-mm-dd")</f>
        <v/>
      </c>
    </row>
    <row r="90294">
      <c r="A90294" s="1" t="n">
        <v>90293</v>
      </c>
      <c r="B90294">
        <f>TEXT(90293, "[$-0E0000]yyyy-mm-dd")</f>
        <v/>
      </c>
    </row>
    <row r="90295">
      <c r="A90295" s="1" t="n">
        <v>90294</v>
      </c>
      <c r="B90295">
        <f>TEXT(90294, "[$-0E0000]yyyy-mm-dd")</f>
        <v/>
      </c>
    </row>
    <row r="90296">
      <c r="A90296" s="1" t="n">
        <v>90295</v>
      </c>
      <c r="B90296">
        <f>TEXT(90295, "[$-0E0000]yyyy-mm-dd")</f>
        <v/>
      </c>
    </row>
    <row r="90297">
      <c r="A90297" s="1" t="n">
        <v>90296</v>
      </c>
      <c r="B90297">
        <f>TEXT(90296, "[$-0E0000]yyyy-mm-dd")</f>
        <v/>
      </c>
    </row>
    <row r="90298">
      <c r="A90298" s="1" t="n">
        <v>90297</v>
      </c>
      <c r="B90298">
        <f>TEXT(90297, "[$-0E0000]yyyy-mm-dd")</f>
        <v/>
      </c>
    </row>
    <row r="90299">
      <c r="A90299" s="1" t="n">
        <v>90298</v>
      </c>
      <c r="B90299">
        <f>TEXT(90298, "[$-0E0000]yyyy-mm-dd")</f>
        <v/>
      </c>
    </row>
    <row r="90300">
      <c r="A90300" s="1" t="n">
        <v>90299</v>
      </c>
      <c r="B90300">
        <f>TEXT(90299, "[$-0E0000]yyyy-mm-dd")</f>
        <v/>
      </c>
    </row>
    <row r="90301">
      <c r="A90301" s="1" t="n">
        <v>90300</v>
      </c>
      <c r="B90301">
        <f>TEXT(90300, "[$-0E0000]yyyy-mm-dd")</f>
        <v/>
      </c>
    </row>
    <row r="90302">
      <c r="A90302" s="1" t="n">
        <v>90301</v>
      </c>
      <c r="B90302">
        <f>TEXT(90301, "[$-0E0000]yyyy-mm-dd")</f>
        <v/>
      </c>
    </row>
    <row r="90303">
      <c r="A90303" s="1" t="n">
        <v>90302</v>
      </c>
      <c r="B90303">
        <f>TEXT(90302, "[$-0E0000]yyyy-mm-dd")</f>
        <v/>
      </c>
    </row>
    <row r="90304">
      <c r="A90304" s="1" t="n">
        <v>90303</v>
      </c>
      <c r="B90304">
        <f>TEXT(90303, "[$-0E0000]yyyy-mm-dd")</f>
        <v/>
      </c>
    </row>
    <row r="90305">
      <c r="A90305" s="1" t="n">
        <v>90304</v>
      </c>
      <c r="B90305">
        <f>TEXT(90304, "[$-0E0000]yyyy-mm-dd")</f>
        <v/>
      </c>
    </row>
    <row r="90306">
      <c r="A90306" s="1" t="n">
        <v>90305</v>
      </c>
      <c r="B90306">
        <f>TEXT(90305, "[$-0E0000]yyyy-mm-dd")</f>
        <v/>
      </c>
    </row>
    <row r="90307">
      <c r="A90307" s="1" t="n">
        <v>90306</v>
      </c>
      <c r="B90307">
        <f>TEXT(90306, "[$-0E0000]yyyy-mm-dd")</f>
        <v/>
      </c>
    </row>
    <row r="90308">
      <c r="A90308" s="1" t="n">
        <v>90307</v>
      </c>
      <c r="B90308">
        <f>TEXT(90307, "[$-0E0000]yyyy-mm-dd")</f>
        <v/>
      </c>
    </row>
    <row r="90309">
      <c r="A90309" s="1" t="n">
        <v>90308</v>
      </c>
      <c r="B90309">
        <f>TEXT(90308, "[$-0E0000]yyyy-mm-dd")</f>
        <v/>
      </c>
    </row>
    <row r="90310">
      <c r="A90310" s="1" t="n">
        <v>90309</v>
      </c>
      <c r="B90310">
        <f>TEXT(90309, "[$-0E0000]yyyy-mm-dd")</f>
        <v/>
      </c>
    </row>
    <row r="90311">
      <c r="A90311" s="1" t="n">
        <v>90310</v>
      </c>
      <c r="B90311">
        <f>TEXT(90310, "[$-0E0000]yyyy-mm-dd")</f>
        <v/>
      </c>
    </row>
    <row r="90312">
      <c r="A90312" s="1" t="n">
        <v>90311</v>
      </c>
      <c r="B90312">
        <f>TEXT(90311, "[$-0E0000]yyyy-mm-dd")</f>
        <v/>
      </c>
    </row>
    <row r="90313">
      <c r="A90313" s="1" t="n">
        <v>90312</v>
      </c>
      <c r="B90313">
        <f>TEXT(90312, "[$-0E0000]yyyy-mm-dd")</f>
        <v/>
      </c>
    </row>
    <row r="90314">
      <c r="A90314" s="1" t="n">
        <v>90313</v>
      </c>
      <c r="B90314">
        <f>TEXT(90313, "[$-0E0000]yyyy-mm-dd")</f>
        <v/>
      </c>
    </row>
    <row r="90315">
      <c r="A90315" s="1" t="n">
        <v>90314</v>
      </c>
      <c r="B90315">
        <f>TEXT(90314, "[$-0E0000]yyyy-mm-dd")</f>
        <v/>
      </c>
    </row>
    <row r="90316">
      <c r="A90316" s="1" t="n">
        <v>90315</v>
      </c>
      <c r="B90316">
        <f>TEXT(90315, "[$-0E0000]yyyy-mm-dd")</f>
        <v/>
      </c>
    </row>
    <row r="90317">
      <c r="A90317" s="1" t="n">
        <v>90316</v>
      </c>
      <c r="B90317">
        <f>TEXT(90316, "[$-0E0000]yyyy-mm-dd")</f>
        <v/>
      </c>
    </row>
    <row r="90318">
      <c r="A90318" s="1" t="n">
        <v>90317</v>
      </c>
      <c r="B90318">
        <f>TEXT(90317, "[$-0E0000]yyyy-mm-dd")</f>
        <v/>
      </c>
    </row>
    <row r="90319">
      <c r="A90319" s="1" t="n">
        <v>90318</v>
      </c>
      <c r="B90319">
        <f>TEXT(90318, "[$-0E0000]yyyy-mm-dd")</f>
        <v/>
      </c>
    </row>
    <row r="90320">
      <c r="A90320" s="1" t="n">
        <v>90319</v>
      </c>
      <c r="B90320">
        <f>TEXT(90319, "[$-0E0000]yyyy-mm-dd")</f>
        <v/>
      </c>
    </row>
    <row r="90321">
      <c r="A90321" s="1" t="n">
        <v>90320</v>
      </c>
      <c r="B90321">
        <f>TEXT(90320, "[$-0E0000]yyyy-mm-dd")</f>
        <v/>
      </c>
    </row>
    <row r="90322">
      <c r="A90322" s="1" t="n">
        <v>90321</v>
      </c>
      <c r="B90322">
        <f>TEXT(90321, "[$-0E0000]yyyy-mm-dd")</f>
        <v/>
      </c>
    </row>
    <row r="90323">
      <c r="A90323" s="1" t="n">
        <v>90322</v>
      </c>
      <c r="B90323">
        <f>TEXT(90322, "[$-0E0000]yyyy-mm-dd")</f>
        <v/>
      </c>
    </row>
    <row r="90324">
      <c r="A90324" s="1" t="n">
        <v>90323</v>
      </c>
      <c r="B90324">
        <f>TEXT(90323, "[$-0E0000]yyyy-mm-dd")</f>
        <v/>
      </c>
    </row>
    <row r="90325">
      <c r="A90325" s="1" t="n">
        <v>90324</v>
      </c>
      <c r="B90325">
        <f>TEXT(90324, "[$-0E0000]yyyy-mm-dd")</f>
        <v/>
      </c>
    </row>
    <row r="90326">
      <c r="A90326" s="1" t="n">
        <v>90325</v>
      </c>
      <c r="B90326">
        <f>TEXT(90325, "[$-0E0000]yyyy-mm-dd")</f>
        <v/>
      </c>
    </row>
    <row r="90327">
      <c r="A90327" s="1" t="n">
        <v>90326</v>
      </c>
      <c r="B90327">
        <f>TEXT(90326, "[$-0E0000]yyyy-mm-dd")</f>
        <v/>
      </c>
    </row>
    <row r="90328">
      <c r="A90328" s="1" t="n">
        <v>90327</v>
      </c>
      <c r="B90328">
        <f>TEXT(90327, "[$-0E0000]yyyy-mm-dd")</f>
        <v/>
      </c>
    </row>
    <row r="90329">
      <c r="A90329" s="1" t="n">
        <v>90328</v>
      </c>
      <c r="B90329">
        <f>TEXT(90328, "[$-0E0000]yyyy-mm-dd")</f>
        <v/>
      </c>
    </row>
    <row r="90330">
      <c r="A90330" s="1" t="n">
        <v>90329</v>
      </c>
      <c r="B90330">
        <f>TEXT(90329, "[$-0E0000]yyyy-mm-dd")</f>
        <v/>
      </c>
    </row>
    <row r="90331">
      <c r="A90331" s="1" t="n">
        <v>90330</v>
      </c>
      <c r="B90331">
        <f>TEXT(90330, "[$-0E0000]yyyy-mm-dd")</f>
        <v/>
      </c>
    </row>
    <row r="90332">
      <c r="A90332" s="1" t="n">
        <v>90331</v>
      </c>
      <c r="B90332">
        <f>TEXT(90331, "[$-0E0000]yyyy-mm-dd")</f>
        <v/>
      </c>
    </row>
    <row r="90333">
      <c r="A90333" s="1" t="n">
        <v>90332</v>
      </c>
      <c r="B90333">
        <f>TEXT(90332, "[$-0E0000]yyyy-mm-dd")</f>
        <v/>
      </c>
    </row>
    <row r="90334">
      <c r="A90334" s="1" t="n">
        <v>90333</v>
      </c>
      <c r="B90334">
        <f>TEXT(90333, "[$-0E0000]yyyy-mm-dd")</f>
        <v/>
      </c>
    </row>
    <row r="90335">
      <c r="A90335" s="1" t="n">
        <v>90334</v>
      </c>
      <c r="B90335">
        <f>TEXT(90334, "[$-0E0000]yyyy-mm-dd")</f>
        <v/>
      </c>
    </row>
    <row r="90336">
      <c r="A90336" s="1" t="n">
        <v>90335</v>
      </c>
      <c r="B90336">
        <f>TEXT(90335, "[$-0E0000]yyyy-mm-dd")</f>
        <v/>
      </c>
    </row>
    <row r="90337">
      <c r="A90337" s="1" t="n">
        <v>90336</v>
      </c>
      <c r="B90337">
        <f>TEXT(90336, "[$-0E0000]yyyy-mm-dd")</f>
        <v/>
      </c>
    </row>
    <row r="90338">
      <c r="A90338" s="1" t="n">
        <v>90337</v>
      </c>
      <c r="B90338">
        <f>TEXT(90337, "[$-0E0000]yyyy-mm-dd")</f>
        <v/>
      </c>
    </row>
    <row r="90339">
      <c r="A90339" s="1" t="n">
        <v>90338</v>
      </c>
      <c r="B90339">
        <f>TEXT(90338, "[$-0E0000]yyyy-mm-dd")</f>
        <v/>
      </c>
    </row>
    <row r="90340">
      <c r="A90340" s="1" t="n">
        <v>90339</v>
      </c>
      <c r="B90340">
        <f>TEXT(90339, "[$-0E0000]yyyy-mm-dd")</f>
        <v/>
      </c>
    </row>
    <row r="90341">
      <c r="A90341" s="1" t="n">
        <v>90340</v>
      </c>
      <c r="B90341">
        <f>TEXT(90340, "[$-0E0000]yyyy-mm-dd")</f>
        <v/>
      </c>
    </row>
    <row r="90342">
      <c r="A90342" s="1" t="n">
        <v>90341</v>
      </c>
      <c r="B90342">
        <f>TEXT(90341, "[$-0E0000]yyyy-mm-dd")</f>
        <v/>
      </c>
    </row>
    <row r="90343">
      <c r="A90343" s="1" t="n">
        <v>90342</v>
      </c>
      <c r="B90343">
        <f>TEXT(90342, "[$-0E0000]yyyy-mm-dd")</f>
        <v/>
      </c>
    </row>
    <row r="90344">
      <c r="A90344" s="1" t="n">
        <v>90343</v>
      </c>
      <c r="B90344">
        <f>TEXT(90343, "[$-0E0000]yyyy-mm-dd")</f>
        <v/>
      </c>
    </row>
    <row r="90345">
      <c r="A90345" s="1" t="n">
        <v>90344</v>
      </c>
      <c r="B90345">
        <f>TEXT(90344, "[$-0E0000]yyyy-mm-dd")</f>
        <v/>
      </c>
    </row>
    <row r="90346">
      <c r="A90346" s="1" t="n">
        <v>90345</v>
      </c>
      <c r="B90346">
        <f>TEXT(90345, "[$-0E0000]yyyy-mm-dd")</f>
        <v/>
      </c>
    </row>
    <row r="90347">
      <c r="A90347" s="1" t="n">
        <v>90346</v>
      </c>
      <c r="B90347">
        <f>TEXT(90346, "[$-0E0000]yyyy-mm-dd")</f>
        <v/>
      </c>
    </row>
    <row r="90348">
      <c r="A90348" s="1" t="n">
        <v>90347</v>
      </c>
      <c r="B90348">
        <f>TEXT(90347, "[$-0E0000]yyyy-mm-dd")</f>
        <v/>
      </c>
    </row>
    <row r="90349">
      <c r="A90349" s="1" t="n">
        <v>90348</v>
      </c>
      <c r="B90349">
        <f>TEXT(90348, "[$-0E0000]yyyy-mm-dd")</f>
        <v/>
      </c>
    </row>
    <row r="90350">
      <c r="A90350" s="1" t="n">
        <v>90349</v>
      </c>
      <c r="B90350">
        <f>TEXT(90349, "[$-0E0000]yyyy-mm-dd")</f>
        <v/>
      </c>
    </row>
    <row r="90351">
      <c r="A90351" s="1" t="n">
        <v>90350</v>
      </c>
      <c r="B90351">
        <f>TEXT(90350, "[$-0E0000]yyyy-mm-dd")</f>
        <v/>
      </c>
    </row>
    <row r="90352">
      <c r="A90352" s="1" t="n">
        <v>90351</v>
      </c>
      <c r="B90352">
        <f>TEXT(90351, "[$-0E0000]yyyy-mm-dd")</f>
        <v/>
      </c>
    </row>
    <row r="90353">
      <c r="A90353" s="1" t="n">
        <v>90352</v>
      </c>
      <c r="B90353">
        <f>TEXT(90352, "[$-0E0000]yyyy-mm-dd")</f>
        <v/>
      </c>
    </row>
    <row r="90354">
      <c r="A90354" s="1" t="n">
        <v>90353</v>
      </c>
      <c r="B90354">
        <f>TEXT(90353, "[$-0E0000]yyyy-mm-dd")</f>
        <v/>
      </c>
    </row>
    <row r="90355">
      <c r="A90355" s="1" t="n">
        <v>90354</v>
      </c>
      <c r="B90355">
        <f>TEXT(90354, "[$-0E0000]yyyy-mm-dd")</f>
        <v/>
      </c>
    </row>
    <row r="90356">
      <c r="A90356" s="1" t="n">
        <v>90355</v>
      </c>
      <c r="B90356">
        <f>TEXT(90355, "[$-0E0000]yyyy-mm-dd")</f>
        <v/>
      </c>
    </row>
    <row r="90357">
      <c r="A90357" s="1" t="n">
        <v>90356</v>
      </c>
      <c r="B90357">
        <f>TEXT(90356, "[$-0E0000]yyyy-mm-dd")</f>
        <v/>
      </c>
    </row>
    <row r="90358">
      <c r="A90358" s="1" t="n">
        <v>90357</v>
      </c>
      <c r="B90358">
        <f>TEXT(90357, "[$-0E0000]yyyy-mm-dd")</f>
        <v/>
      </c>
    </row>
    <row r="90359">
      <c r="A90359" s="1" t="n">
        <v>90358</v>
      </c>
      <c r="B90359">
        <f>TEXT(90358, "[$-0E0000]yyyy-mm-dd")</f>
        <v/>
      </c>
    </row>
    <row r="90360">
      <c r="A90360" s="1" t="n">
        <v>90359</v>
      </c>
      <c r="B90360">
        <f>TEXT(90359, "[$-0E0000]yyyy-mm-dd")</f>
        <v/>
      </c>
    </row>
    <row r="90361">
      <c r="A90361" s="1" t="n">
        <v>90360</v>
      </c>
      <c r="B90361">
        <f>TEXT(90360, "[$-0E0000]yyyy-mm-dd")</f>
        <v/>
      </c>
    </row>
    <row r="90362">
      <c r="A90362" s="1" t="n">
        <v>90361</v>
      </c>
      <c r="B90362">
        <f>TEXT(90361, "[$-0E0000]yyyy-mm-dd")</f>
        <v/>
      </c>
    </row>
    <row r="90363">
      <c r="A90363" s="1" t="n">
        <v>90362</v>
      </c>
      <c r="B90363">
        <f>TEXT(90362, "[$-0E0000]yyyy-mm-dd")</f>
        <v/>
      </c>
    </row>
    <row r="90364">
      <c r="A90364" s="1" t="n">
        <v>90363</v>
      </c>
      <c r="B90364">
        <f>TEXT(90363, "[$-0E0000]yyyy-mm-dd")</f>
        <v/>
      </c>
    </row>
    <row r="90365">
      <c r="A90365" s="1" t="n">
        <v>90364</v>
      </c>
      <c r="B90365">
        <f>TEXT(90364, "[$-0E0000]yyyy-mm-dd")</f>
        <v/>
      </c>
    </row>
    <row r="90366">
      <c r="A90366" s="1" t="n">
        <v>90365</v>
      </c>
      <c r="B90366">
        <f>TEXT(90365, "[$-0E0000]yyyy-mm-dd")</f>
        <v/>
      </c>
    </row>
    <row r="90367">
      <c r="A90367" s="1" t="n">
        <v>90366</v>
      </c>
      <c r="B90367">
        <f>TEXT(90366, "[$-0E0000]yyyy-mm-dd")</f>
        <v/>
      </c>
    </row>
    <row r="90368">
      <c r="A90368" s="1" t="n">
        <v>90367</v>
      </c>
      <c r="B90368">
        <f>TEXT(90367, "[$-0E0000]yyyy-mm-dd")</f>
        <v/>
      </c>
    </row>
    <row r="90369">
      <c r="A90369" s="1" t="n">
        <v>90368</v>
      </c>
      <c r="B90369">
        <f>TEXT(90368, "[$-0E0000]yyyy-mm-dd")</f>
        <v/>
      </c>
    </row>
    <row r="90370">
      <c r="A90370" s="1" t="n">
        <v>90369</v>
      </c>
      <c r="B90370">
        <f>TEXT(90369, "[$-0E0000]yyyy-mm-dd")</f>
        <v/>
      </c>
    </row>
    <row r="90371">
      <c r="A90371" s="1" t="n">
        <v>90370</v>
      </c>
      <c r="B90371">
        <f>TEXT(90370, "[$-0E0000]yyyy-mm-dd")</f>
        <v/>
      </c>
    </row>
    <row r="90372">
      <c r="A90372" s="1" t="n">
        <v>90371</v>
      </c>
      <c r="B90372">
        <f>TEXT(90371, "[$-0E0000]yyyy-mm-dd")</f>
        <v/>
      </c>
    </row>
    <row r="90373">
      <c r="A90373" s="1" t="n">
        <v>90372</v>
      </c>
      <c r="B90373">
        <f>TEXT(90372, "[$-0E0000]yyyy-mm-dd")</f>
        <v/>
      </c>
    </row>
    <row r="90374">
      <c r="A90374" s="1" t="n">
        <v>90373</v>
      </c>
      <c r="B90374">
        <f>TEXT(90373, "[$-0E0000]yyyy-mm-dd")</f>
        <v/>
      </c>
    </row>
    <row r="90375">
      <c r="A90375" s="1" t="n">
        <v>90374</v>
      </c>
      <c r="B90375">
        <f>TEXT(90374, "[$-0E0000]yyyy-mm-dd")</f>
        <v/>
      </c>
    </row>
    <row r="90376">
      <c r="A90376" s="1" t="n">
        <v>90375</v>
      </c>
      <c r="B90376">
        <f>TEXT(90375, "[$-0E0000]yyyy-mm-dd")</f>
        <v/>
      </c>
    </row>
    <row r="90377">
      <c r="A90377" s="1" t="n">
        <v>90376</v>
      </c>
      <c r="B90377">
        <f>TEXT(90376, "[$-0E0000]yyyy-mm-dd")</f>
        <v/>
      </c>
    </row>
    <row r="90378">
      <c r="A90378" s="1" t="n">
        <v>90377</v>
      </c>
      <c r="B90378">
        <f>TEXT(90377, "[$-0E0000]yyyy-mm-dd")</f>
        <v/>
      </c>
    </row>
    <row r="90379">
      <c r="A90379" s="1" t="n">
        <v>90378</v>
      </c>
      <c r="B90379">
        <f>TEXT(90378, "[$-0E0000]yyyy-mm-dd")</f>
        <v/>
      </c>
    </row>
    <row r="90380">
      <c r="A90380" s="1" t="n">
        <v>90379</v>
      </c>
      <c r="B90380">
        <f>TEXT(90379, "[$-0E0000]yyyy-mm-dd")</f>
        <v/>
      </c>
    </row>
    <row r="90381">
      <c r="A90381" s="1" t="n">
        <v>90380</v>
      </c>
      <c r="B90381">
        <f>TEXT(90380, "[$-0E0000]yyyy-mm-dd")</f>
        <v/>
      </c>
    </row>
    <row r="90382">
      <c r="A90382" s="1" t="n">
        <v>90381</v>
      </c>
      <c r="B90382">
        <f>TEXT(90381, "[$-0E0000]yyyy-mm-dd")</f>
        <v/>
      </c>
    </row>
    <row r="90383">
      <c r="A90383" s="1" t="n">
        <v>90382</v>
      </c>
      <c r="B90383">
        <f>TEXT(90382, "[$-0E0000]yyyy-mm-dd")</f>
        <v/>
      </c>
    </row>
    <row r="90384">
      <c r="A90384" s="1" t="n">
        <v>90383</v>
      </c>
      <c r="B90384">
        <f>TEXT(90383, "[$-0E0000]yyyy-mm-dd")</f>
        <v/>
      </c>
    </row>
    <row r="90385">
      <c r="A90385" s="1" t="n">
        <v>90384</v>
      </c>
      <c r="B90385">
        <f>TEXT(90384, "[$-0E0000]yyyy-mm-dd")</f>
        <v/>
      </c>
    </row>
    <row r="90386">
      <c r="A90386" s="1" t="n">
        <v>90385</v>
      </c>
      <c r="B90386">
        <f>TEXT(90385, "[$-0E0000]yyyy-mm-dd")</f>
        <v/>
      </c>
    </row>
    <row r="90387">
      <c r="A90387" s="1" t="n">
        <v>90386</v>
      </c>
      <c r="B90387">
        <f>TEXT(90386, "[$-0E0000]yyyy-mm-dd")</f>
        <v/>
      </c>
    </row>
    <row r="90388">
      <c r="A90388" s="1" t="n">
        <v>90387</v>
      </c>
      <c r="B90388">
        <f>TEXT(90387, "[$-0E0000]yyyy-mm-dd")</f>
        <v/>
      </c>
    </row>
    <row r="90389">
      <c r="A90389" s="1" t="n">
        <v>90388</v>
      </c>
      <c r="B90389">
        <f>TEXT(90388, "[$-0E0000]yyyy-mm-dd")</f>
        <v/>
      </c>
    </row>
    <row r="90390">
      <c r="A90390" s="1" t="n">
        <v>90389</v>
      </c>
      <c r="B90390">
        <f>TEXT(90389, "[$-0E0000]yyyy-mm-dd")</f>
        <v/>
      </c>
    </row>
    <row r="90391">
      <c r="A90391" s="1" t="n">
        <v>90390</v>
      </c>
      <c r="B90391">
        <f>TEXT(90390, "[$-0E0000]yyyy-mm-dd")</f>
        <v/>
      </c>
    </row>
    <row r="90392">
      <c r="A90392" s="1" t="n">
        <v>90391</v>
      </c>
      <c r="B90392">
        <f>TEXT(90391, "[$-0E0000]yyyy-mm-dd")</f>
        <v/>
      </c>
    </row>
    <row r="90393">
      <c r="A90393" s="1" t="n">
        <v>90392</v>
      </c>
      <c r="B90393">
        <f>TEXT(90392, "[$-0E0000]yyyy-mm-dd")</f>
        <v/>
      </c>
    </row>
    <row r="90394">
      <c r="A90394" s="1" t="n">
        <v>90393</v>
      </c>
      <c r="B90394">
        <f>TEXT(90393, "[$-0E0000]yyyy-mm-dd")</f>
        <v/>
      </c>
    </row>
    <row r="90395">
      <c r="A90395" s="1" t="n">
        <v>90394</v>
      </c>
      <c r="B90395">
        <f>TEXT(90394, "[$-0E0000]yyyy-mm-dd")</f>
        <v/>
      </c>
    </row>
    <row r="90396">
      <c r="A90396" s="1" t="n">
        <v>90395</v>
      </c>
      <c r="B90396">
        <f>TEXT(90395, "[$-0E0000]yyyy-mm-dd")</f>
        <v/>
      </c>
    </row>
    <row r="90397">
      <c r="A90397" s="1" t="n">
        <v>90396</v>
      </c>
      <c r="B90397">
        <f>TEXT(90396, "[$-0E0000]yyyy-mm-dd")</f>
        <v/>
      </c>
    </row>
    <row r="90398">
      <c r="A90398" s="1" t="n">
        <v>90397</v>
      </c>
      <c r="B90398">
        <f>TEXT(90397, "[$-0E0000]yyyy-mm-dd")</f>
        <v/>
      </c>
    </row>
    <row r="90399">
      <c r="A90399" s="1" t="n">
        <v>90398</v>
      </c>
      <c r="B90399">
        <f>TEXT(90398, "[$-0E0000]yyyy-mm-dd")</f>
        <v/>
      </c>
    </row>
    <row r="90400">
      <c r="A90400" s="1" t="n">
        <v>90399</v>
      </c>
      <c r="B90400">
        <f>TEXT(90399, "[$-0E0000]yyyy-mm-dd")</f>
        <v/>
      </c>
    </row>
    <row r="90401">
      <c r="A90401" s="1" t="n">
        <v>90400</v>
      </c>
      <c r="B90401">
        <f>TEXT(90400, "[$-0E0000]yyyy-mm-dd")</f>
        <v/>
      </c>
    </row>
    <row r="90402">
      <c r="A90402" s="1" t="n">
        <v>90401</v>
      </c>
      <c r="B90402">
        <f>TEXT(90401, "[$-0E0000]yyyy-mm-dd")</f>
        <v/>
      </c>
    </row>
    <row r="90403">
      <c r="A90403" s="1" t="n">
        <v>90402</v>
      </c>
      <c r="B90403">
        <f>TEXT(90402, "[$-0E0000]yyyy-mm-dd")</f>
        <v/>
      </c>
    </row>
    <row r="90404">
      <c r="A90404" s="1" t="n">
        <v>90403</v>
      </c>
      <c r="B90404">
        <f>TEXT(90403, "[$-0E0000]yyyy-mm-dd")</f>
        <v/>
      </c>
    </row>
    <row r="90405">
      <c r="A90405" s="1" t="n">
        <v>90404</v>
      </c>
      <c r="B90405">
        <f>TEXT(90404, "[$-0E0000]yyyy-mm-dd")</f>
        <v/>
      </c>
    </row>
    <row r="90406">
      <c r="A90406" s="1" t="n">
        <v>90405</v>
      </c>
      <c r="B90406">
        <f>TEXT(90405, "[$-0E0000]yyyy-mm-dd")</f>
        <v/>
      </c>
    </row>
    <row r="90407">
      <c r="A90407" s="1" t="n">
        <v>90406</v>
      </c>
      <c r="B90407">
        <f>TEXT(90406, "[$-0E0000]yyyy-mm-dd")</f>
        <v/>
      </c>
    </row>
    <row r="90408">
      <c r="A90408" s="1" t="n">
        <v>90407</v>
      </c>
      <c r="B90408">
        <f>TEXT(90407, "[$-0E0000]yyyy-mm-dd")</f>
        <v/>
      </c>
    </row>
    <row r="90409">
      <c r="A90409" s="1" t="n">
        <v>90408</v>
      </c>
      <c r="B90409">
        <f>TEXT(90408, "[$-0E0000]yyyy-mm-dd")</f>
        <v/>
      </c>
    </row>
    <row r="90410">
      <c r="A90410" s="1" t="n">
        <v>90409</v>
      </c>
      <c r="B90410">
        <f>TEXT(90409, "[$-0E0000]yyyy-mm-dd")</f>
        <v/>
      </c>
    </row>
    <row r="90411">
      <c r="A90411" s="1" t="n">
        <v>90410</v>
      </c>
      <c r="B90411">
        <f>TEXT(90410, "[$-0E0000]yyyy-mm-dd")</f>
        <v/>
      </c>
    </row>
    <row r="90412">
      <c r="A90412" s="1" t="n">
        <v>90411</v>
      </c>
      <c r="B90412">
        <f>TEXT(90411, "[$-0E0000]yyyy-mm-dd")</f>
        <v/>
      </c>
    </row>
    <row r="90413">
      <c r="A90413" s="1" t="n">
        <v>90412</v>
      </c>
      <c r="B90413">
        <f>TEXT(90412, "[$-0E0000]yyyy-mm-dd")</f>
        <v/>
      </c>
    </row>
    <row r="90414">
      <c r="A90414" s="1" t="n">
        <v>90413</v>
      </c>
      <c r="B90414">
        <f>TEXT(90413, "[$-0E0000]yyyy-mm-dd")</f>
        <v/>
      </c>
    </row>
    <row r="90415">
      <c r="A90415" s="1" t="n">
        <v>90414</v>
      </c>
      <c r="B90415">
        <f>TEXT(90414, "[$-0E0000]yyyy-mm-dd")</f>
        <v/>
      </c>
    </row>
    <row r="90416">
      <c r="A90416" s="1" t="n">
        <v>90415</v>
      </c>
      <c r="B90416">
        <f>TEXT(90415, "[$-0E0000]yyyy-mm-dd")</f>
        <v/>
      </c>
    </row>
    <row r="90417">
      <c r="A90417" s="1" t="n">
        <v>90416</v>
      </c>
      <c r="B90417">
        <f>TEXT(90416, "[$-0E0000]yyyy-mm-dd")</f>
        <v/>
      </c>
    </row>
    <row r="90418">
      <c r="A90418" s="1" t="n">
        <v>90417</v>
      </c>
      <c r="B90418">
        <f>TEXT(90417, "[$-0E0000]yyyy-mm-dd")</f>
        <v/>
      </c>
    </row>
    <row r="90419">
      <c r="A90419" s="1" t="n">
        <v>90418</v>
      </c>
      <c r="B90419">
        <f>TEXT(90418, "[$-0E0000]yyyy-mm-dd")</f>
        <v/>
      </c>
    </row>
    <row r="90420">
      <c r="A90420" s="1" t="n">
        <v>90419</v>
      </c>
      <c r="B90420">
        <f>TEXT(90419, "[$-0E0000]yyyy-mm-dd")</f>
        <v/>
      </c>
    </row>
    <row r="90421">
      <c r="A90421" s="1" t="n">
        <v>90420</v>
      </c>
      <c r="B90421">
        <f>TEXT(90420, "[$-0E0000]yyyy-mm-dd")</f>
        <v/>
      </c>
    </row>
    <row r="90422">
      <c r="A90422" s="1" t="n">
        <v>90421</v>
      </c>
      <c r="B90422">
        <f>TEXT(90421, "[$-0E0000]yyyy-mm-dd")</f>
        <v/>
      </c>
    </row>
    <row r="90423">
      <c r="A90423" s="1" t="n">
        <v>90422</v>
      </c>
      <c r="B90423">
        <f>TEXT(90422, "[$-0E0000]yyyy-mm-dd")</f>
        <v/>
      </c>
    </row>
    <row r="90424">
      <c r="A90424" s="1" t="n">
        <v>90423</v>
      </c>
      <c r="B90424">
        <f>TEXT(90423, "[$-0E0000]yyyy-mm-dd")</f>
        <v/>
      </c>
    </row>
    <row r="90425">
      <c r="A90425" s="1" t="n">
        <v>90424</v>
      </c>
      <c r="B90425">
        <f>TEXT(90424, "[$-0E0000]yyyy-mm-dd")</f>
        <v/>
      </c>
    </row>
    <row r="90426">
      <c r="A90426" s="1" t="n">
        <v>90425</v>
      </c>
      <c r="B90426">
        <f>TEXT(90425, "[$-0E0000]yyyy-mm-dd")</f>
        <v/>
      </c>
    </row>
    <row r="90427">
      <c r="A90427" s="1" t="n">
        <v>90426</v>
      </c>
      <c r="B90427">
        <f>TEXT(90426, "[$-0E0000]yyyy-mm-dd")</f>
        <v/>
      </c>
    </row>
    <row r="90428">
      <c r="A90428" s="1" t="n">
        <v>90427</v>
      </c>
      <c r="B90428">
        <f>TEXT(90427, "[$-0E0000]yyyy-mm-dd")</f>
        <v/>
      </c>
    </row>
    <row r="90429">
      <c r="A90429" s="1" t="n">
        <v>90428</v>
      </c>
      <c r="B90429">
        <f>TEXT(90428, "[$-0E0000]yyyy-mm-dd")</f>
        <v/>
      </c>
    </row>
    <row r="90430">
      <c r="A90430" s="1" t="n">
        <v>90429</v>
      </c>
      <c r="B90430">
        <f>TEXT(90429, "[$-0E0000]yyyy-mm-dd")</f>
        <v/>
      </c>
    </row>
    <row r="90431">
      <c r="A90431" s="1" t="n">
        <v>90430</v>
      </c>
      <c r="B90431">
        <f>TEXT(90430, "[$-0E0000]yyyy-mm-dd")</f>
        <v/>
      </c>
    </row>
    <row r="90432">
      <c r="A90432" s="1" t="n">
        <v>90431</v>
      </c>
      <c r="B90432">
        <f>TEXT(90431, "[$-0E0000]yyyy-mm-dd")</f>
        <v/>
      </c>
    </row>
    <row r="90433">
      <c r="A90433" s="1" t="n">
        <v>90432</v>
      </c>
      <c r="B90433">
        <f>TEXT(90432, "[$-0E0000]yyyy-mm-dd")</f>
        <v/>
      </c>
    </row>
    <row r="90434">
      <c r="A90434" s="1" t="n">
        <v>90433</v>
      </c>
      <c r="B90434">
        <f>TEXT(90433, "[$-0E0000]yyyy-mm-dd")</f>
        <v/>
      </c>
    </row>
    <row r="90435">
      <c r="A90435" s="1" t="n">
        <v>90434</v>
      </c>
      <c r="B90435">
        <f>TEXT(90434, "[$-0E0000]yyyy-mm-dd")</f>
        <v/>
      </c>
    </row>
    <row r="90436">
      <c r="A90436" s="1" t="n">
        <v>90435</v>
      </c>
      <c r="B90436">
        <f>TEXT(90435, "[$-0E0000]yyyy-mm-dd")</f>
        <v/>
      </c>
    </row>
    <row r="90437">
      <c r="A90437" s="1" t="n">
        <v>90436</v>
      </c>
      <c r="B90437">
        <f>TEXT(90436, "[$-0E0000]yyyy-mm-dd")</f>
        <v/>
      </c>
    </row>
    <row r="90438">
      <c r="A90438" s="1" t="n">
        <v>90437</v>
      </c>
      <c r="B90438">
        <f>TEXT(90437, "[$-0E0000]yyyy-mm-dd")</f>
        <v/>
      </c>
    </row>
    <row r="90439">
      <c r="A90439" s="1" t="n">
        <v>90438</v>
      </c>
      <c r="B90439">
        <f>TEXT(90438, "[$-0E0000]yyyy-mm-dd")</f>
        <v/>
      </c>
    </row>
    <row r="90440">
      <c r="A90440" s="1" t="n">
        <v>90439</v>
      </c>
      <c r="B90440">
        <f>TEXT(90439, "[$-0E0000]yyyy-mm-dd")</f>
        <v/>
      </c>
    </row>
    <row r="90441">
      <c r="A90441" s="1" t="n">
        <v>90440</v>
      </c>
      <c r="B90441">
        <f>TEXT(90440, "[$-0E0000]yyyy-mm-dd")</f>
        <v/>
      </c>
    </row>
    <row r="90442">
      <c r="A90442" s="1" t="n">
        <v>90441</v>
      </c>
      <c r="B90442">
        <f>TEXT(90441, "[$-0E0000]yyyy-mm-dd")</f>
        <v/>
      </c>
    </row>
    <row r="90443">
      <c r="A90443" s="1" t="n">
        <v>90442</v>
      </c>
      <c r="B90443">
        <f>TEXT(90442, "[$-0E0000]yyyy-mm-dd")</f>
        <v/>
      </c>
    </row>
    <row r="90444">
      <c r="A90444" s="1" t="n">
        <v>90443</v>
      </c>
      <c r="B90444">
        <f>TEXT(90443, "[$-0E0000]yyyy-mm-dd")</f>
        <v/>
      </c>
    </row>
    <row r="90445">
      <c r="A90445" s="1" t="n">
        <v>90444</v>
      </c>
      <c r="B90445">
        <f>TEXT(90444, "[$-0E0000]yyyy-mm-dd")</f>
        <v/>
      </c>
    </row>
    <row r="90446">
      <c r="A90446" s="1" t="n">
        <v>90445</v>
      </c>
      <c r="B90446">
        <f>TEXT(90445, "[$-0E0000]yyyy-mm-dd")</f>
        <v/>
      </c>
    </row>
    <row r="90447">
      <c r="A90447" s="1" t="n">
        <v>90446</v>
      </c>
      <c r="B90447">
        <f>TEXT(90446, "[$-0E0000]yyyy-mm-dd")</f>
        <v/>
      </c>
    </row>
    <row r="90448">
      <c r="A90448" s="1" t="n">
        <v>90447</v>
      </c>
      <c r="B90448">
        <f>TEXT(90447, "[$-0E0000]yyyy-mm-dd")</f>
        <v/>
      </c>
    </row>
    <row r="90449">
      <c r="A90449" s="1" t="n">
        <v>90448</v>
      </c>
      <c r="B90449">
        <f>TEXT(90448, "[$-0E0000]yyyy-mm-dd")</f>
        <v/>
      </c>
    </row>
    <row r="90450">
      <c r="A90450" s="1" t="n">
        <v>90449</v>
      </c>
      <c r="B90450">
        <f>TEXT(90449, "[$-0E0000]yyyy-mm-dd")</f>
        <v/>
      </c>
    </row>
    <row r="90451">
      <c r="A90451" s="1" t="n">
        <v>90450</v>
      </c>
      <c r="B90451">
        <f>TEXT(90450, "[$-0E0000]yyyy-mm-dd")</f>
        <v/>
      </c>
    </row>
    <row r="90452">
      <c r="A90452" s="1" t="n">
        <v>90451</v>
      </c>
      <c r="B90452">
        <f>TEXT(90451, "[$-0E0000]yyyy-mm-dd")</f>
        <v/>
      </c>
    </row>
    <row r="90453">
      <c r="A90453" s="1" t="n">
        <v>90452</v>
      </c>
      <c r="B90453">
        <f>TEXT(90452, "[$-0E0000]yyyy-mm-dd")</f>
        <v/>
      </c>
    </row>
    <row r="90454">
      <c r="A90454" s="1" t="n">
        <v>90453</v>
      </c>
      <c r="B90454">
        <f>TEXT(90453, "[$-0E0000]yyyy-mm-dd")</f>
        <v/>
      </c>
    </row>
    <row r="90455">
      <c r="A90455" s="1" t="n">
        <v>90454</v>
      </c>
      <c r="B90455">
        <f>TEXT(90454, "[$-0E0000]yyyy-mm-dd")</f>
        <v/>
      </c>
    </row>
    <row r="90456">
      <c r="A90456" s="1" t="n">
        <v>90455</v>
      </c>
      <c r="B90456">
        <f>TEXT(90455, "[$-0E0000]yyyy-mm-dd")</f>
        <v/>
      </c>
    </row>
    <row r="90457">
      <c r="A90457" s="1" t="n">
        <v>90456</v>
      </c>
      <c r="B90457">
        <f>TEXT(90456, "[$-0E0000]yyyy-mm-dd")</f>
        <v/>
      </c>
    </row>
    <row r="90458">
      <c r="A90458" s="1" t="n">
        <v>90457</v>
      </c>
      <c r="B90458">
        <f>TEXT(90457, "[$-0E0000]yyyy-mm-dd")</f>
        <v/>
      </c>
    </row>
    <row r="90459">
      <c r="A90459" s="1" t="n">
        <v>90458</v>
      </c>
      <c r="B90459">
        <f>TEXT(90458, "[$-0E0000]yyyy-mm-dd")</f>
        <v/>
      </c>
    </row>
    <row r="90460">
      <c r="A90460" s="1" t="n">
        <v>90459</v>
      </c>
      <c r="B90460">
        <f>TEXT(90459, "[$-0E0000]yyyy-mm-dd")</f>
        <v/>
      </c>
    </row>
    <row r="90461">
      <c r="A90461" s="1" t="n">
        <v>90460</v>
      </c>
      <c r="B90461">
        <f>TEXT(90460, "[$-0E0000]yyyy-mm-dd")</f>
        <v/>
      </c>
    </row>
    <row r="90462">
      <c r="A90462" s="1" t="n">
        <v>90461</v>
      </c>
      <c r="B90462">
        <f>TEXT(90461, "[$-0E0000]yyyy-mm-dd")</f>
        <v/>
      </c>
    </row>
    <row r="90463">
      <c r="A90463" s="1" t="n">
        <v>90462</v>
      </c>
      <c r="B90463">
        <f>TEXT(90462, "[$-0E0000]yyyy-mm-dd")</f>
        <v/>
      </c>
    </row>
    <row r="90464">
      <c r="A90464" s="1" t="n">
        <v>90463</v>
      </c>
      <c r="B90464">
        <f>TEXT(90463, "[$-0E0000]yyyy-mm-dd")</f>
        <v/>
      </c>
    </row>
    <row r="90465">
      <c r="A90465" s="1" t="n">
        <v>90464</v>
      </c>
      <c r="B90465">
        <f>TEXT(90464, "[$-0E0000]yyyy-mm-dd")</f>
        <v/>
      </c>
    </row>
    <row r="90466">
      <c r="A90466" s="1" t="n">
        <v>90465</v>
      </c>
      <c r="B90466">
        <f>TEXT(90465, "[$-0E0000]yyyy-mm-dd")</f>
        <v/>
      </c>
    </row>
    <row r="90467">
      <c r="A90467" s="1" t="n">
        <v>90466</v>
      </c>
      <c r="B90467">
        <f>TEXT(90466, "[$-0E0000]yyyy-mm-dd")</f>
        <v/>
      </c>
    </row>
    <row r="90468">
      <c r="A90468" s="1" t="n">
        <v>90467</v>
      </c>
      <c r="B90468">
        <f>TEXT(90467, "[$-0E0000]yyyy-mm-dd")</f>
        <v/>
      </c>
    </row>
    <row r="90469">
      <c r="A90469" s="1" t="n">
        <v>90468</v>
      </c>
      <c r="B90469">
        <f>TEXT(90468, "[$-0E0000]yyyy-mm-dd")</f>
        <v/>
      </c>
    </row>
    <row r="90470">
      <c r="A90470" s="1" t="n">
        <v>90469</v>
      </c>
      <c r="B90470">
        <f>TEXT(90469, "[$-0E0000]yyyy-mm-dd")</f>
        <v/>
      </c>
    </row>
    <row r="90471">
      <c r="A90471" s="1" t="n">
        <v>90470</v>
      </c>
      <c r="B90471">
        <f>TEXT(90470, "[$-0E0000]yyyy-mm-dd")</f>
        <v/>
      </c>
    </row>
    <row r="90472">
      <c r="A90472" s="1" t="n">
        <v>90471</v>
      </c>
      <c r="B90472">
        <f>TEXT(90471, "[$-0E0000]yyyy-mm-dd")</f>
        <v/>
      </c>
    </row>
    <row r="90473">
      <c r="A90473" s="1" t="n">
        <v>90472</v>
      </c>
      <c r="B90473">
        <f>TEXT(90472, "[$-0E0000]yyyy-mm-dd")</f>
        <v/>
      </c>
    </row>
    <row r="90474">
      <c r="A90474" s="1" t="n">
        <v>90473</v>
      </c>
      <c r="B90474">
        <f>TEXT(90473, "[$-0E0000]yyyy-mm-dd")</f>
        <v/>
      </c>
    </row>
    <row r="90475">
      <c r="A90475" s="1" t="n">
        <v>90474</v>
      </c>
      <c r="B90475">
        <f>TEXT(90474, "[$-0E0000]yyyy-mm-dd")</f>
        <v/>
      </c>
    </row>
    <row r="90476">
      <c r="A90476" s="1" t="n">
        <v>90475</v>
      </c>
      <c r="B90476">
        <f>TEXT(90475, "[$-0E0000]yyyy-mm-dd")</f>
        <v/>
      </c>
    </row>
    <row r="90477">
      <c r="A90477" s="1" t="n">
        <v>90476</v>
      </c>
      <c r="B90477">
        <f>TEXT(90476, "[$-0E0000]yyyy-mm-dd")</f>
        <v/>
      </c>
    </row>
    <row r="90478">
      <c r="A90478" s="1" t="n">
        <v>90477</v>
      </c>
      <c r="B90478">
        <f>TEXT(90477, "[$-0E0000]yyyy-mm-dd")</f>
        <v/>
      </c>
    </row>
    <row r="90479">
      <c r="A90479" s="1" t="n">
        <v>90478</v>
      </c>
      <c r="B90479">
        <f>TEXT(90478, "[$-0E0000]yyyy-mm-dd")</f>
        <v/>
      </c>
    </row>
    <row r="90480">
      <c r="A90480" s="1" t="n">
        <v>90479</v>
      </c>
      <c r="B90480">
        <f>TEXT(90479, "[$-0E0000]yyyy-mm-dd")</f>
        <v/>
      </c>
    </row>
    <row r="90481">
      <c r="A90481" s="1" t="n">
        <v>90480</v>
      </c>
      <c r="B90481">
        <f>TEXT(90480, "[$-0E0000]yyyy-mm-dd")</f>
        <v/>
      </c>
    </row>
    <row r="90482">
      <c r="A90482" s="1" t="n">
        <v>90481</v>
      </c>
      <c r="B90482">
        <f>TEXT(90481, "[$-0E0000]yyyy-mm-dd")</f>
        <v/>
      </c>
    </row>
    <row r="90483">
      <c r="A90483" s="1" t="n">
        <v>90482</v>
      </c>
      <c r="B90483">
        <f>TEXT(90482, "[$-0E0000]yyyy-mm-dd")</f>
        <v/>
      </c>
    </row>
    <row r="90484">
      <c r="A90484" s="1" t="n">
        <v>90483</v>
      </c>
      <c r="B90484">
        <f>TEXT(90483, "[$-0E0000]yyyy-mm-dd")</f>
        <v/>
      </c>
    </row>
    <row r="90485">
      <c r="A90485" s="1" t="n">
        <v>90484</v>
      </c>
      <c r="B90485">
        <f>TEXT(90484, "[$-0E0000]yyyy-mm-dd")</f>
        <v/>
      </c>
    </row>
    <row r="90486">
      <c r="A90486" s="1" t="n">
        <v>90485</v>
      </c>
      <c r="B90486">
        <f>TEXT(90485, "[$-0E0000]yyyy-mm-dd")</f>
        <v/>
      </c>
    </row>
    <row r="90487">
      <c r="A90487" s="1" t="n">
        <v>90486</v>
      </c>
      <c r="B90487">
        <f>TEXT(90486, "[$-0E0000]yyyy-mm-dd")</f>
        <v/>
      </c>
    </row>
    <row r="90488">
      <c r="A90488" s="1" t="n">
        <v>90487</v>
      </c>
      <c r="B90488">
        <f>TEXT(90487, "[$-0E0000]yyyy-mm-dd")</f>
        <v/>
      </c>
    </row>
    <row r="90489">
      <c r="A90489" s="1" t="n">
        <v>90488</v>
      </c>
      <c r="B90489">
        <f>TEXT(90488, "[$-0E0000]yyyy-mm-dd")</f>
        <v/>
      </c>
    </row>
    <row r="90490">
      <c r="A90490" s="1" t="n">
        <v>90489</v>
      </c>
      <c r="B90490">
        <f>TEXT(90489, "[$-0E0000]yyyy-mm-dd")</f>
        <v/>
      </c>
    </row>
    <row r="90491">
      <c r="A90491" s="1" t="n">
        <v>90490</v>
      </c>
      <c r="B90491">
        <f>TEXT(90490, "[$-0E0000]yyyy-mm-dd")</f>
        <v/>
      </c>
    </row>
    <row r="90492">
      <c r="A90492" s="1" t="n">
        <v>90491</v>
      </c>
      <c r="B90492">
        <f>TEXT(90491, "[$-0E0000]yyyy-mm-dd")</f>
        <v/>
      </c>
    </row>
    <row r="90493">
      <c r="A90493" s="1" t="n">
        <v>90492</v>
      </c>
      <c r="B90493">
        <f>TEXT(90492, "[$-0E0000]yyyy-mm-dd")</f>
        <v/>
      </c>
    </row>
    <row r="90494">
      <c r="A90494" s="1" t="n">
        <v>90493</v>
      </c>
      <c r="B90494">
        <f>TEXT(90493, "[$-0E0000]yyyy-mm-dd")</f>
        <v/>
      </c>
    </row>
    <row r="90495">
      <c r="A90495" s="1" t="n">
        <v>90494</v>
      </c>
      <c r="B90495">
        <f>TEXT(90494, "[$-0E0000]yyyy-mm-dd")</f>
        <v/>
      </c>
    </row>
    <row r="90496">
      <c r="A90496" s="1" t="n">
        <v>90495</v>
      </c>
      <c r="B90496">
        <f>TEXT(90495, "[$-0E0000]yyyy-mm-dd")</f>
        <v/>
      </c>
    </row>
    <row r="90497">
      <c r="A90497" s="1" t="n">
        <v>90496</v>
      </c>
      <c r="B90497">
        <f>TEXT(90496, "[$-0E0000]yyyy-mm-dd")</f>
        <v/>
      </c>
    </row>
    <row r="90498">
      <c r="A90498" s="1" t="n">
        <v>90497</v>
      </c>
      <c r="B90498">
        <f>TEXT(90497, "[$-0E0000]yyyy-mm-dd")</f>
        <v/>
      </c>
    </row>
    <row r="90499">
      <c r="A90499" s="1" t="n">
        <v>90498</v>
      </c>
      <c r="B90499">
        <f>TEXT(90498, "[$-0E0000]yyyy-mm-dd")</f>
        <v/>
      </c>
    </row>
    <row r="90500">
      <c r="A90500" s="1" t="n">
        <v>90499</v>
      </c>
      <c r="B90500">
        <f>TEXT(90499, "[$-0E0000]yyyy-mm-dd")</f>
        <v/>
      </c>
    </row>
    <row r="90501">
      <c r="A90501" s="1" t="n">
        <v>90500</v>
      </c>
      <c r="B90501">
        <f>TEXT(90500, "[$-0E0000]yyyy-mm-dd")</f>
        <v/>
      </c>
    </row>
    <row r="90502">
      <c r="A90502" s="1" t="n">
        <v>90501</v>
      </c>
      <c r="B90502">
        <f>TEXT(90501, "[$-0E0000]yyyy-mm-dd")</f>
        <v/>
      </c>
    </row>
    <row r="90503">
      <c r="A90503" s="1" t="n">
        <v>90502</v>
      </c>
      <c r="B90503">
        <f>TEXT(90502, "[$-0E0000]yyyy-mm-dd")</f>
        <v/>
      </c>
    </row>
    <row r="90504">
      <c r="A90504" s="1" t="n">
        <v>90503</v>
      </c>
      <c r="B90504">
        <f>TEXT(90503, "[$-0E0000]yyyy-mm-dd")</f>
        <v/>
      </c>
    </row>
    <row r="90505">
      <c r="A90505" s="1" t="n">
        <v>90504</v>
      </c>
      <c r="B90505">
        <f>TEXT(90504, "[$-0E0000]yyyy-mm-dd")</f>
        <v/>
      </c>
    </row>
    <row r="90506">
      <c r="A90506" s="1" t="n">
        <v>90505</v>
      </c>
      <c r="B90506">
        <f>TEXT(90505, "[$-0E0000]yyyy-mm-dd")</f>
        <v/>
      </c>
    </row>
    <row r="90507">
      <c r="A90507" s="1" t="n">
        <v>90506</v>
      </c>
      <c r="B90507">
        <f>TEXT(90506, "[$-0E0000]yyyy-mm-dd")</f>
        <v/>
      </c>
    </row>
    <row r="90508">
      <c r="A90508" s="1" t="n">
        <v>90507</v>
      </c>
      <c r="B90508">
        <f>TEXT(90507, "[$-0E0000]yyyy-mm-dd")</f>
        <v/>
      </c>
    </row>
    <row r="90509">
      <c r="A90509" s="1" t="n">
        <v>90508</v>
      </c>
      <c r="B90509">
        <f>TEXT(90508, "[$-0E0000]yyyy-mm-dd")</f>
        <v/>
      </c>
    </row>
    <row r="90510">
      <c r="A90510" s="1" t="n">
        <v>90509</v>
      </c>
      <c r="B90510">
        <f>TEXT(90509, "[$-0E0000]yyyy-mm-dd")</f>
        <v/>
      </c>
    </row>
    <row r="90511">
      <c r="A90511" s="1" t="n">
        <v>90510</v>
      </c>
      <c r="B90511">
        <f>TEXT(90510, "[$-0E0000]yyyy-mm-dd")</f>
        <v/>
      </c>
    </row>
    <row r="90512">
      <c r="A90512" s="1" t="n">
        <v>90511</v>
      </c>
      <c r="B90512">
        <f>TEXT(90511, "[$-0E0000]yyyy-mm-dd")</f>
        <v/>
      </c>
    </row>
    <row r="90513">
      <c r="A90513" s="1" t="n">
        <v>90512</v>
      </c>
      <c r="B90513">
        <f>TEXT(90512, "[$-0E0000]yyyy-mm-dd")</f>
        <v/>
      </c>
    </row>
    <row r="90514">
      <c r="A90514" s="1" t="n">
        <v>90513</v>
      </c>
      <c r="B90514">
        <f>TEXT(90513, "[$-0E0000]yyyy-mm-dd")</f>
        <v/>
      </c>
    </row>
    <row r="90515">
      <c r="A90515" s="1" t="n">
        <v>90514</v>
      </c>
      <c r="B90515">
        <f>TEXT(90514, "[$-0E0000]yyyy-mm-dd")</f>
        <v/>
      </c>
    </row>
    <row r="90516">
      <c r="A90516" s="1" t="n">
        <v>90515</v>
      </c>
      <c r="B90516">
        <f>TEXT(90515, "[$-0E0000]yyyy-mm-dd")</f>
        <v/>
      </c>
    </row>
    <row r="90517">
      <c r="A90517" s="1" t="n">
        <v>90516</v>
      </c>
      <c r="B90517">
        <f>TEXT(90516, "[$-0E0000]yyyy-mm-dd")</f>
        <v/>
      </c>
    </row>
    <row r="90518">
      <c r="A90518" s="1" t="n">
        <v>90517</v>
      </c>
      <c r="B90518">
        <f>TEXT(90517, "[$-0E0000]yyyy-mm-dd")</f>
        <v/>
      </c>
    </row>
    <row r="90519">
      <c r="A90519" s="1" t="n">
        <v>90518</v>
      </c>
      <c r="B90519">
        <f>TEXT(90518, "[$-0E0000]yyyy-mm-dd")</f>
        <v/>
      </c>
    </row>
    <row r="90520">
      <c r="A90520" s="1" t="n">
        <v>90519</v>
      </c>
      <c r="B90520">
        <f>TEXT(90519, "[$-0E0000]yyyy-mm-dd")</f>
        <v/>
      </c>
    </row>
    <row r="90521">
      <c r="A90521" s="1" t="n">
        <v>90520</v>
      </c>
      <c r="B90521">
        <f>TEXT(90520, "[$-0E0000]yyyy-mm-dd")</f>
        <v/>
      </c>
    </row>
    <row r="90522">
      <c r="A90522" s="1" t="n">
        <v>90521</v>
      </c>
      <c r="B90522">
        <f>TEXT(90521, "[$-0E0000]yyyy-mm-dd")</f>
        <v/>
      </c>
    </row>
    <row r="90523">
      <c r="A90523" s="1" t="n">
        <v>90522</v>
      </c>
      <c r="B90523">
        <f>TEXT(90522, "[$-0E0000]yyyy-mm-dd")</f>
        <v/>
      </c>
    </row>
    <row r="90524">
      <c r="A90524" s="1" t="n">
        <v>90523</v>
      </c>
      <c r="B90524">
        <f>TEXT(90523, "[$-0E0000]yyyy-mm-dd")</f>
        <v/>
      </c>
    </row>
    <row r="90525">
      <c r="A90525" s="1" t="n">
        <v>90524</v>
      </c>
      <c r="B90525">
        <f>TEXT(90524, "[$-0E0000]yyyy-mm-dd")</f>
        <v/>
      </c>
    </row>
    <row r="90526">
      <c r="A90526" s="1" t="n">
        <v>90525</v>
      </c>
      <c r="B90526">
        <f>TEXT(90525, "[$-0E0000]yyyy-mm-dd")</f>
        <v/>
      </c>
    </row>
    <row r="90527">
      <c r="A90527" s="1" t="n">
        <v>90526</v>
      </c>
      <c r="B90527">
        <f>TEXT(90526, "[$-0E0000]yyyy-mm-dd")</f>
        <v/>
      </c>
    </row>
    <row r="90528">
      <c r="A90528" s="1" t="n">
        <v>90527</v>
      </c>
      <c r="B90528">
        <f>TEXT(90527, "[$-0E0000]yyyy-mm-dd")</f>
        <v/>
      </c>
    </row>
    <row r="90529">
      <c r="A90529" s="1" t="n">
        <v>90528</v>
      </c>
      <c r="B90529">
        <f>TEXT(90528, "[$-0E0000]yyyy-mm-dd")</f>
        <v/>
      </c>
    </row>
    <row r="90530">
      <c r="A90530" s="1" t="n">
        <v>90529</v>
      </c>
      <c r="B90530">
        <f>TEXT(90529, "[$-0E0000]yyyy-mm-dd")</f>
        <v/>
      </c>
    </row>
    <row r="90531">
      <c r="A90531" s="1" t="n">
        <v>90530</v>
      </c>
      <c r="B90531">
        <f>TEXT(90530, "[$-0E0000]yyyy-mm-dd")</f>
        <v/>
      </c>
    </row>
    <row r="90532">
      <c r="A90532" s="1" t="n">
        <v>90531</v>
      </c>
      <c r="B90532">
        <f>TEXT(90531, "[$-0E0000]yyyy-mm-dd")</f>
        <v/>
      </c>
    </row>
    <row r="90533">
      <c r="A90533" s="1" t="n">
        <v>90532</v>
      </c>
      <c r="B90533">
        <f>TEXT(90532, "[$-0E0000]yyyy-mm-dd")</f>
        <v/>
      </c>
    </row>
    <row r="90534">
      <c r="A90534" s="1" t="n">
        <v>90533</v>
      </c>
      <c r="B90534">
        <f>TEXT(90533, "[$-0E0000]yyyy-mm-dd")</f>
        <v/>
      </c>
    </row>
    <row r="90535">
      <c r="A90535" s="1" t="n">
        <v>90534</v>
      </c>
      <c r="B90535">
        <f>TEXT(90534, "[$-0E0000]yyyy-mm-dd")</f>
        <v/>
      </c>
    </row>
    <row r="90536">
      <c r="A90536" s="1" t="n">
        <v>90535</v>
      </c>
      <c r="B90536">
        <f>TEXT(90535, "[$-0E0000]yyyy-mm-dd")</f>
        <v/>
      </c>
    </row>
    <row r="90537">
      <c r="A90537" s="1" t="n">
        <v>90536</v>
      </c>
      <c r="B90537">
        <f>TEXT(90536, "[$-0E0000]yyyy-mm-dd")</f>
        <v/>
      </c>
    </row>
    <row r="90538">
      <c r="A90538" s="1" t="n">
        <v>90537</v>
      </c>
      <c r="B90538">
        <f>TEXT(90537, "[$-0E0000]yyyy-mm-dd")</f>
        <v/>
      </c>
    </row>
    <row r="90539">
      <c r="A90539" s="1" t="n">
        <v>90538</v>
      </c>
      <c r="B90539">
        <f>TEXT(90538, "[$-0E0000]yyyy-mm-dd")</f>
        <v/>
      </c>
    </row>
    <row r="90540">
      <c r="A90540" s="1" t="n">
        <v>90539</v>
      </c>
      <c r="B90540">
        <f>TEXT(90539, "[$-0E0000]yyyy-mm-dd")</f>
        <v/>
      </c>
    </row>
    <row r="90541">
      <c r="A90541" s="1" t="n">
        <v>90540</v>
      </c>
      <c r="B90541">
        <f>TEXT(90540, "[$-0E0000]yyyy-mm-dd")</f>
        <v/>
      </c>
    </row>
    <row r="90542">
      <c r="A90542" s="1" t="n">
        <v>90541</v>
      </c>
      <c r="B90542">
        <f>TEXT(90541, "[$-0E0000]yyyy-mm-dd")</f>
        <v/>
      </c>
    </row>
    <row r="90543">
      <c r="A90543" s="1" t="n">
        <v>90542</v>
      </c>
      <c r="B90543">
        <f>TEXT(90542, "[$-0E0000]yyyy-mm-dd")</f>
        <v/>
      </c>
    </row>
    <row r="90544">
      <c r="A90544" s="1" t="n">
        <v>90543</v>
      </c>
      <c r="B90544">
        <f>TEXT(90543, "[$-0E0000]yyyy-mm-dd")</f>
        <v/>
      </c>
    </row>
    <row r="90545">
      <c r="A90545" s="1" t="n">
        <v>90544</v>
      </c>
      <c r="B90545">
        <f>TEXT(90544, "[$-0E0000]yyyy-mm-dd")</f>
        <v/>
      </c>
    </row>
    <row r="90546">
      <c r="A90546" s="1" t="n">
        <v>90545</v>
      </c>
      <c r="B90546">
        <f>TEXT(90545, "[$-0E0000]yyyy-mm-dd")</f>
        <v/>
      </c>
    </row>
    <row r="90547">
      <c r="A90547" s="1" t="n">
        <v>90546</v>
      </c>
      <c r="B90547">
        <f>TEXT(90546, "[$-0E0000]yyyy-mm-dd")</f>
        <v/>
      </c>
    </row>
    <row r="90548">
      <c r="A90548" s="1" t="n">
        <v>90547</v>
      </c>
      <c r="B90548">
        <f>TEXT(90547, "[$-0E0000]yyyy-mm-dd")</f>
        <v/>
      </c>
    </row>
    <row r="90549">
      <c r="A90549" s="1" t="n">
        <v>90548</v>
      </c>
      <c r="B90549">
        <f>TEXT(90548, "[$-0E0000]yyyy-mm-dd")</f>
        <v/>
      </c>
    </row>
    <row r="90550">
      <c r="A90550" s="1" t="n">
        <v>90549</v>
      </c>
      <c r="B90550">
        <f>TEXT(90549, "[$-0E0000]yyyy-mm-dd")</f>
        <v/>
      </c>
    </row>
    <row r="90551">
      <c r="A90551" s="1" t="n">
        <v>90550</v>
      </c>
      <c r="B90551">
        <f>TEXT(90550, "[$-0E0000]yyyy-mm-dd")</f>
        <v/>
      </c>
    </row>
    <row r="90552">
      <c r="A90552" s="1" t="n">
        <v>90551</v>
      </c>
      <c r="B90552">
        <f>TEXT(90551, "[$-0E0000]yyyy-mm-dd")</f>
        <v/>
      </c>
    </row>
    <row r="90553">
      <c r="A90553" s="1" t="n">
        <v>90552</v>
      </c>
      <c r="B90553">
        <f>TEXT(90552, "[$-0E0000]yyyy-mm-dd")</f>
        <v/>
      </c>
    </row>
    <row r="90554">
      <c r="A90554" s="1" t="n">
        <v>90553</v>
      </c>
      <c r="B90554">
        <f>TEXT(90553, "[$-0E0000]yyyy-mm-dd")</f>
        <v/>
      </c>
    </row>
    <row r="90555">
      <c r="A90555" s="1" t="n">
        <v>90554</v>
      </c>
      <c r="B90555">
        <f>TEXT(90554, "[$-0E0000]yyyy-mm-dd")</f>
        <v/>
      </c>
    </row>
    <row r="90556">
      <c r="A90556" s="1" t="n">
        <v>90555</v>
      </c>
      <c r="B90556">
        <f>TEXT(90555, "[$-0E0000]yyyy-mm-dd")</f>
        <v/>
      </c>
    </row>
    <row r="90557">
      <c r="A90557" s="1" t="n">
        <v>90556</v>
      </c>
      <c r="B90557">
        <f>TEXT(90556, "[$-0E0000]yyyy-mm-dd")</f>
        <v/>
      </c>
    </row>
    <row r="90558">
      <c r="A90558" s="1" t="n">
        <v>90557</v>
      </c>
      <c r="B90558">
        <f>TEXT(90557, "[$-0E0000]yyyy-mm-dd")</f>
        <v/>
      </c>
    </row>
    <row r="90559">
      <c r="A90559" s="1" t="n">
        <v>90558</v>
      </c>
      <c r="B90559">
        <f>TEXT(90558, "[$-0E0000]yyyy-mm-dd")</f>
        <v/>
      </c>
    </row>
    <row r="90560">
      <c r="A90560" s="1" t="n">
        <v>90559</v>
      </c>
      <c r="B90560">
        <f>TEXT(90559, "[$-0E0000]yyyy-mm-dd")</f>
        <v/>
      </c>
    </row>
    <row r="90561">
      <c r="A90561" s="1" t="n">
        <v>90560</v>
      </c>
      <c r="B90561">
        <f>TEXT(90560, "[$-0E0000]yyyy-mm-dd")</f>
        <v/>
      </c>
    </row>
    <row r="90562">
      <c r="A90562" s="1" t="n">
        <v>90561</v>
      </c>
      <c r="B90562">
        <f>TEXT(90561, "[$-0E0000]yyyy-mm-dd")</f>
        <v/>
      </c>
    </row>
    <row r="90563">
      <c r="A90563" s="1" t="n">
        <v>90562</v>
      </c>
      <c r="B90563">
        <f>TEXT(90562, "[$-0E0000]yyyy-mm-dd")</f>
        <v/>
      </c>
    </row>
    <row r="90564">
      <c r="A90564" s="1" t="n">
        <v>90563</v>
      </c>
      <c r="B90564">
        <f>TEXT(90563, "[$-0E0000]yyyy-mm-dd")</f>
        <v/>
      </c>
    </row>
    <row r="90565">
      <c r="A90565" s="1" t="n">
        <v>90564</v>
      </c>
      <c r="B90565">
        <f>TEXT(90564, "[$-0E0000]yyyy-mm-dd")</f>
        <v/>
      </c>
    </row>
    <row r="90566">
      <c r="A90566" s="1" t="n">
        <v>90565</v>
      </c>
      <c r="B90566">
        <f>TEXT(90565, "[$-0E0000]yyyy-mm-dd")</f>
        <v/>
      </c>
    </row>
    <row r="90567">
      <c r="A90567" s="1" t="n">
        <v>90566</v>
      </c>
      <c r="B90567">
        <f>TEXT(90566, "[$-0E0000]yyyy-mm-dd")</f>
        <v/>
      </c>
    </row>
    <row r="90568">
      <c r="A90568" s="1" t="n">
        <v>90567</v>
      </c>
      <c r="B90568">
        <f>TEXT(90567, "[$-0E0000]yyyy-mm-dd")</f>
        <v/>
      </c>
    </row>
    <row r="90569">
      <c r="A90569" s="1" t="n">
        <v>90568</v>
      </c>
      <c r="B90569">
        <f>TEXT(90568, "[$-0E0000]yyyy-mm-dd")</f>
        <v/>
      </c>
    </row>
    <row r="90570">
      <c r="A90570" s="1" t="n">
        <v>90569</v>
      </c>
      <c r="B90570">
        <f>TEXT(90569, "[$-0E0000]yyyy-mm-dd")</f>
        <v/>
      </c>
    </row>
    <row r="90571">
      <c r="A90571" s="1" t="n">
        <v>90570</v>
      </c>
      <c r="B90571">
        <f>TEXT(90570, "[$-0E0000]yyyy-mm-dd")</f>
        <v/>
      </c>
    </row>
    <row r="90572">
      <c r="A90572" s="1" t="n">
        <v>90571</v>
      </c>
      <c r="B90572">
        <f>TEXT(90571, "[$-0E0000]yyyy-mm-dd")</f>
        <v/>
      </c>
    </row>
    <row r="90573">
      <c r="A90573" s="1" t="n">
        <v>90572</v>
      </c>
      <c r="B90573">
        <f>TEXT(90572, "[$-0E0000]yyyy-mm-dd")</f>
        <v/>
      </c>
    </row>
    <row r="90574">
      <c r="A90574" s="1" t="n">
        <v>90573</v>
      </c>
      <c r="B90574">
        <f>TEXT(90573, "[$-0E0000]yyyy-mm-dd")</f>
        <v/>
      </c>
    </row>
    <row r="90575">
      <c r="A90575" s="1" t="n">
        <v>90574</v>
      </c>
      <c r="B90575">
        <f>TEXT(90574, "[$-0E0000]yyyy-mm-dd")</f>
        <v/>
      </c>
    </row>
    <row r="90576">
      <c r="A90576" s="1" t="n">
        <v>90575</v>
      </c>
      <c r="B90576">
        <f>TEXT(90575, "[$-0E0000]yyyy-mm-dd")</f>
        <v/>
      </c>
    </row>
    <row r="90577">
      <c r="A90577" s="1" t="n">
        <v>90576</v>
      </c>
      <c r="B90577">
        <f>TEXT(90576, "[$-0E0000]yyyy-mm-dd")</f>
        <v/>
      </c>
    </row>
    <row r="90578">
      <c r="A90578" s="1" t="n">
        <v>90577</v>
      </c>
      <c r="B90578">
        <f>TEXT(90577, "[$-0E0000]yyyy-mm-dd")</f>
        <v/>
      </c>
    </row>
    <row r="90579">
      <c r="A90579" s="1" t="n">
        <v>90578</v>
      </c>
      <c r="B90579">
        <f>TEXT(90578, "[$-0E0000]yyyy-mm-dd")</f>
        <v/>
      </c>
    </row>
    <row r="90580">
      <c r="A90580" s="1" t="n">
        <v>90579</v>
      </c>
      <c r="B90580">
        <f>TEXT(90579, "[$-0E0000]yyyy-mm-dd")</f>
        <v/>
      </c>
    </row>
    <row r="90581">
      <c r="A90581" s="1" t="n">
        <v>90580</v>
      </c>
      <c r="B90581">
        <f>TEXT(90580, "[$-0E0000]yyyy-mm-dd")</f>
        <v/>
      </c>
    </row>
    <row r="90582">
      <c r="A90582" s="1" t="n">
        <v>90581</v>
      </c>
      <c r="B90582">
        <f>TEXT(90581, "[$-0E0000]yyyy-mm-dd")</f>
        <v/>
      </c>
    </row>
    <row r="90583">
      <c r="A90583" s="1" t="n">
        <v>90582</v>
      </c>
      <c r="B90583">
        <f>TEXT(90582, "[$-0E0000]yyyy-mm-dd")</f>
        <v/>
      </c>
    </row>
    <row r="90584">
      <c r="A90584" s="1" t="n">
        <v>90583</v>
      </c>
      <c r="B90584">
        <f>TEXT(90583, "[$-0E0000]yyyy-mm-dd")</f>
        <v/>
      </c>
    </row>
    <row r="90585">
      <c r="A90585" s="1" t="n">
        <v>90584</v>
      </c>
      <c r="B90585">
        <f>TEXT(90584, "[$-0E0000]yyyy-mm-dd")</f>
        <v/>
      </c>
    </row>
    <row r="90586">
      <c r="A90586" s="1" t="n">
        <v>90585</v>
      </c>
      <c r="B90586">
        <f>TEXT(90585, "[$-0E0000]yyyy-mm-dd")</f>
        <v/>
      </c>
    </row>
    <row r="90587">
      <c r="A90587" s="1" t="n">
        <v>90586</v>
      </c>
      <c r="B90587">
        <f>TEXT(90586, "[$-0E0000]yyyy-mm-dd")</f>
        <v/>
      </c>
    </row>
    <row r="90588">
      <c r="A90588" s="1" t="n">
        <v>90587</v>
      </c>
      <c r="B90588">
        <f>TEXT(90587, "[$-0E0000]yyyy-mm-dd")</f>
        <v/>
      </c>
    </row>
    <row r="90589">
      <c r="A90589" s="1" t="n">
        <v>90588</v>
      </c>
      <c r="B90589">
        <f>TEXT(90588, "[$-0E0000]yyyy-mm-dd")</f>
        <v/>
      </c>
    </row>
    <row r="90590">
      <c r="A90590" s="1" t="n">
        <v>90589</v>
      </c>
      <c r="B90590">
        <f>TEXT(90589, "[$-0E0000]yyyy-mm-dd")</f>
        <v/>
      </c>
    </row>
    <row r="90591">
      <c r="A90591" s="1" t="n">
        <v>90590</v>
      </c>
      <c r="B90591">
        <f>TEXT(90590, "[$-0E0000]yyyy-mm-dd")</f>
        <v/>
      </c>
    </row>
    <row r="90592">
      <c r="A90592" s="1" t="n">
        <v>90591</v>
      </c>
      <c r="B90592">
        <f>TEXT(90591, "[$-0E0000]yyyy-mm-dd")</f>
        <v/>
      </c>
    </row>
    <row r="90593">
      <c r="A90593" s="1" t="n">
        <v>90592</v>
      </c>
      <c r="B90593">
        <f>TEXT(90592, "[$-0E0000]yyyy-mm-dd")</f>
        <v/>
      </c>
    </row>
    <row r="90594">
      <c r="A90594" s="1" t="n">
        <v>90593</v>
      </c>
      <c r="B90594">
        <f>TEXT(90593, "[$-0E0000]yyyy-mm-dd")</f>
        <v/>
      </c>
    </row>
    <row r="90595">
      <c r="A90595" s="1" t="n">
        <v>90594</v>
      </c>
      <c r="B90595">
        <f>TEXT(90594, "[$-0E0000]yyyy-mm-dd")</f>
        <v/>
      </c>
    </row>
    <row r="90596">
      <c r="A90596" s="1" t="n">
        <v>90595</v>
      </c>
      <c r="B90596">
        <f>TEXT(90595, "[$-0E0000]yyyy-mm-dd")</f>
        <v/>
      </c>
    </row>
    <row r="90597">
      <c r="A90597" s="1" t="n">
        <v>90596</v>
      </c>
      <c r="B90597">
        <f>TEXT(90596, "[$-0E0000]yyyy-mm-dd")</f>
        <v/>
      </c>
    </row>
    <row r="90598">
      <c r="A90598" s="1" t="n">
        <v>90597</v>
      </c>
      <c r="B90598">
        <f>TEXT(90597, "[$-0E0000]yyyy-mm-dd")</f>
        <v/>
      </c>
    </row>
    <row r="90599">
      <c r="A90599" s="1" t="n">
        <v>90598</v>
      </c>
      <c r="B90599">
        <f>TEXT(90598, "[$-0E0000]yyyy-mm-dd")</f>
        <v/>
      </c>
    </row>
    <row r="90600">
      <c r="A90600" s="1" t="n">
        <v>90599</v>
      </c>
      <c r="B90600">
        <f>TEXT(90599, "[$-0E0000]yyyy-mm-dd")</f>
        <v/>
      </c>
    </row>
    <row r="90601">
      <c r="A90601" s="1" t="n">
        <v>90600</v>
      </c>
      <c r="B90601">
        <f>TEXT(90600, "[$-0E0000]yyyy-mm-dd")</f>
        <v/>
      </c>
    </row>
    <row r="90602">
      <c r="A90602" s="1" t="n">
        <v>90601</v>
      </c>
      <c r="B90602">
        <f>TEXT(90601, "[$-0E0000]yyyy-mm-dd")</f>
        <v/>
      </c>
    </row>
    <row r="90603">
      <c r="A90603" s="1" t="n">
        <v>90602</v>
      </c>
      <c r="B90603">
        <f>TEXT(90602, "[$-0E0000]yyyy-mm-dd")</f>
        <v/>
      </c>
    </row>
    <row r="90604">
      <c r="A90604" s="1" t="n">
        <v>90603</v>
      </c>
      <c r="B90604">
        <f>TEXT(90603, "[$-0E0000]yyyy-mm-dd")</f>
        <v/>
      </c>
    </row>
    <row r="90605">
      <c r="A90605" s="1" t="n">
        <v>90604</v>
      </c>
      <c r="B90605">
        <f>TEXT(90604, "[$-0E0000]yyyy-mm-dd")</f>
        <v/>
      </c>
    </row>
    <row r="90606">
      <c r="A90606" s="1" t="n">
        <v>90605</v>
      </c>
      <c r="B90606">
        <f>TEXT(90605, "[$-0E0000]yyyy-mm-dd")</f>
        <v/>
      </c>
    </row>
    <row r="90607">
      <c r="A90607" s="1" t="n">
        <v>90606</v>
      </c>
      <c r="B90607">
        <f>TEXT(90606, "[$-0E0000]yyyy-mm-dd")</f>
        <v/>
      </c>
    </row>
    <row r="90608">
      <c r="A90608" s="1" t="n">
        <v>90607</v>
      </c>
      <c r="B90608">
        <f>TEXT(90607, "[$-0E0000]yyyy-mm-dd")</f>
        <v/>
      </c>
    </row>
    <row r="90609">
      <c r="A90609" s="1" t="n">
        <v>90608</v>
      </c>
      <c r="B90609">
        <f>TEXT(90608, "[$-0E0000]yyyy-mm-dd")</f>
        <v/>
      </c>
    </row>
    <row r="90610">
      <c r="A90610" s="1" t="n">
        <v>90609</v>
      </c>
      <c r="B90610">
        <f>TEXT(90609, "[$-0E0000]yyyy-mm-dd")</f>
        <v/>
      </c>
    </row>
    <row r="90611">
      <c r="A90611" s="1" t="n">
        <v>90610</v>
      </c>
      <c r="B90611">
        <f>TEXT(90610, "[$-0E0000]yyyy-mm-dd")</f>
        <v/>
      </c>
    </row>
    <row r="90612">
      <c r="A90612" s="1" t="n">
        <v>90611</v>
      </c>
      <c r="B90612">
        <f>TEXT(90611, "[$-0E0000]yyyy-mm-dd")</f>
        <v/>
      </c>
    </row>
    <row r="90613">
      <c r="A90613" s="1" t="n">
        <v>90612</v>
      </c>
      <c r="B90613">
        <f>TEXT(90612, "[$-0E0000]yyyy-mm-dd")</f>
        <v/>
      </c>
    </row>
    <row r="90614">
      <c r="A90614" s="1" t="n">
        <v>90613</v>
      </c>
      <c r="B90614">
        <f>TEXT(90613, "[$-0E0000]yyyy-mm-dd")</f>
        <v/>
      </c>
    </row>
    <row r="90615">
      <c r="A90615" s="1" t="n">
        <v>90614</v>
      </c>
      <c r="B90615">
        <f>TEXT(90614, "[$-0E0000]yyyy-mm-dd")</f>
        <v/>
      </c>
    </row>
    <row r="90616">
      <c r="A90616" s="1" t="n">
        <v>90615</v>
      </c>
      <c r="B90616">
        <f>TEXT(90615, "[$-0E0000]yyyy-mm-dd")</f>
        <v/>
      </c>
    </row>
    <row r="90617">
      <c r="A90617" s="1" t="n">
        <v>90616</v>
      </c>
      <c r="B90617">
        <f>TEXT(90616, "[$-0E0000]yyyy-mm-dd")</f>
        <v/>
      </c>
    </row>
    <row r="90618">
      <c r="A90618" s="1" t="n">
        <v>90617</v>
      </c>
      <c r="B90618">
        <f>TEXT(90617, "[$-0E0000]yyyy-mm-dd")</f>
        <v/>
      </c>
    </row>
    <row r="90619">
      <c r="A90619" s="1" t="n">
        <v>90618</v>
      </c>
      <c r="B90619">
        <f>TEXT(90618, "[$-0E0000]yyyy-mm-dd")</f>
        <v/>
      </c>
    </row>
    <row r="90620">
      <c r="A90620" s="1" t="n">
        <v>90619</v>
      </c>
      <c r="B90620">
        <f>TEXT(90619, "[$-0E0000]yyyy-mm-dd")</f>
        <v/>
      </c>
    </row>
    <row r="90621">
      <c r="A90621" s="1" t="n">
        <v>90620</v>
      </c>
      <c r="B90621">
        <f>TEXT(90620, "[$-0E0000]yyyy-mm-dd")</f>
        <v/>
      </c>
    </row>
    <row r="90622">
      <c r="A90622" s="1" t="n">
        <v>90621</v>
      </c>
      <c r="B90622">
        <f>TEXT(90621, "[$-0E0000]yyyy-mm-dd")</f>
        <v/>
      </c>
    </row>
    <row r="90623">
      <c r="A90623" s="1" t="n">
        <v>90622</v>
      </c>
      <c r="B90623">
        <f>TEXT(90622, "[$-0E0000]yyyy-mm-dd")</f>
        <v/>
      </c>
    </row>
    <row r="90624">
      <c r="A90624" s="1" t="n">
        <v>90623</v>
      </c>
      <c r="B90624">
        <f>TEXT(90623, "[$-0E0000]yyyy-mm-dd")</f>
        <v/>
      </c>
    </row>
    <row r="90625">
      <c r="A90625" s="1" t="n">
        <v>90624</v>
      </c>
      <c r="B90625">
        <f>TEXT(90624, "[$-0E0000]yyyy-mm-dd")</f>
        <v/>
      </c>
    </row>
    <row r="90626">
      <c r="A90626" s="1" t="n">
        <v>90625</v>
      </c>
      <c r="B90626">
        <f>TEXT(90625, "[$-0E0000]yyyy-mm-dd")</f>
        <v/>
      </c>
    </row>
    <row r="90627">
      <c r="A90627" s="1" t="n">
        <v>90626</v>
      </c>
      <c r="B90627">
        <f>TEXT(90626, "[$-0E0000]yyyy-mm-dd")</f>
        <v/>
      </c>
    </row>
    <row r="90628">
      <c r="A90628" s="1" t="n">
        <v>90627</v>
      </c>
      <c r="B90628">
        <f>TEXT(90627, "[$-0E0000]yyyy-mm-dd")</f>
        <v/>
      </c>
    </row>
    <row r="90629">
      <c r="A90629" s="1" t="n">
        <v>90628</v>
      </c>
      <c r="B90629">
        <f>TEXT(90628, "[$-0E0000]yyyy-mm-dd")</f>
        <v/>
      </c>
    </row>
    <row r="90630">
      <c r="A90630" s="1" t="n">
        <v>90629</v>
      </c>
      <c r="B90630">
        <f>TEXT(90629, "[$-0E0000]yyyy-mm-dd")</f>
        <v/>
      </c>
    </row>
    <row r="90631">
      <c r="A90631" s="1" t="n">
        <v>90630</v>
      </c>
      <c r="B90631">
        <f>TEXT(90630, "[$-0E0000]yyyy-mm-dd")</f>
        <v/>
      </c>
    </row>
    <row r="90632">
      <c r="A90632" s="1" t="n">
        <v>90631</v>
      </c>
      <c r="B90632">
        <f>TEXT(90631, "[$-0E0000]yyyy-mm-dd")</f>
        <v/>
      </c>
    </row>
    <row r="90633">
      <c r="A90633" s="1" t="n">
        <v>90632</v>
      </c>
      <c r="B90633">
        <f>TEXT(90632, "[$-0E0000]yyyy-mm-dd")</f>
        <v/>
      </c>
    </row>
    <row r="90634">
      <c r="A90634" s="1" t="n">
        <v>90633</v>
      </c>
      <c r="B90634">
        <f>TEXT(90633, "[$-0E0000]yyyy-mm-dd")</f>
        <v/>
      </c>
    </row>
    <row r="90635">
      <c r="A90635" s="1" t="n">
        <v>90634</v>
      </c>
      <c r="B90635">
        <f>TEXT(90634, "[$-0E0000]yyyy-mm-dd")</f>
        <v/>
      </c>
    </row>
    <row r="90636">
      <c r="A90636" s="1" t="n">
        <v>90635</v>
      </c>
      <c r="B90636">
        <f>TEXT(90635, "[$-0E0000]yyyy-mm-dd")</f>
        <v/>
      </c>
    </row>
    <row r="90637">
      <c r="A90637" s="1" t="n">
        <v>90636</v>
      </c>
      <c r="B90637">
        <f>TEXT(90636, "[$-0E0000]yyyy-mm-dd")</f>
        <v/>
      </c>
    </row>
    <row r="90638">
      <c r="A90638" s="1" t="n">
        <v>90637</v>
      </c>
      <c r="B90638">
        <f>TEXT(90637, "[$-0E0000]yyyy-mm-dd")</f>
        <v/>
      </c>
    </row>
    <row r="90639">
      <c r="A90639" s="1" t="n">
        <v>90638</v>
      </c>
      <c r="B90639">
        <f>TEXT(90638, "[$-0E0000]yyyy-mm-dd")</f>
        <v/>
      </c>
    </row>
    <row r="90640">
      <c r="A90640" s="1" t="n">
        <v>90639</v>
      </c>
      <c r="B90640">
        <f>TEXT(90639, "[$-0E0000]yyyy-mm-dd")</f>
        <v/>
      </c>
    </row>
    <row r="90641">
      <c r="A90641" s="1" t="n">
        <v>90640</v>
      </c>
      <c r="B90641">
        <f>TEXT(90640, "[$-0E0000]yyyy-mm-dd")</f>
        <v/>
      </c>
    </row>
    <row r="90642">
      <c r="A90642" s="1" t="n">
        <v>90641</v>
      </c>
      <c r="B90642">
        <f>TEXT(90641, "[$-0E0000]yyyy-mm-dd")</f>
        <v/>
      </c>
    </row>
    <row r="90643">
      <c r="A90643" s="1" t="n">
        <v>90642</v>
      </c>
      <c r="B90643">
        <f>TEXT(90642, "[$-0E0000]yyyy-mm-dd")</f>
        <v/>
      </c>
    </row>
    <row r="90644">
      <c r="A90644" s="1" t="n">
        <v>90643</v>
      </c>
      <c r="B90644">
        <f>TEXT(90643, "[$-0E0000]yyyy-mm-dd")</f>
        <v/>
      </c>
    </row>
    <row r="90645">
      <c r="A90645" s="1" t="n">
        <v>90644</v>
      </c>
      <c r="B90645">
        <f>TEXT(90644, "[$-0E0000]yyyy-mm-dd")</f>
        <v/>
      </c>
    </row>
    <row r="90646">
      <c r="A90646" s="1" t="n">
        <v>90645</v>
      </c>
      <c r="B90646">
        <f>TEXT(90645, "[$-0E0000]yyyy-mm-dd")</f>
        <v/>
      </c>
    </row>
    <row r="90647">
      <c r="A90647" s="1" t="n">
        <v>90646</v>
      </c>
      <c r="B90647">
        <f>TEXT(90646, "[$-0E0000]yyyy-mm-dd")</f>
        <v/>
      </c>
    </row>
    <row r="90648">
      <c r="A90648" s="1" t="n">
        <v>90647</v>
      </c>
      <c r="B90648">
        <f>TEXT(90647, "[$-0E0000]yyyy-mm-dd")</f>
        <v/>
      </c>
    </row>
    <row r="90649">
      <c r="A90649" s="1" t="n">
        <v>90648</v>
      </c>
      <c r="B90649">
        <f>TEXT(90648, "[$-0E0000]yyyy-mm-dd")</f>
        <v/>
      </c>
    </row>
    <row r="90650">
      <c r="A90650" s="1" t="n">
        <v>90649</v>
      </c>
      <c r="B90650">
        <f>TEXT(90649, "[$-0E0000]yyyy-mm-dd")</f>
        <v/>
      </c>
    </row>
    <row r="90651">
      <c r="A90651" s="1" t="n">
        <v>90650</v>
      </c>
      <c r="B90651">
        <f>TEXT(90650, "[$-0E0000]yyyy-mm-dd")</f>
        <v/>
      </c>
    </row>
    <row r="90652">
      <c r="A90652" s="1" t="n">
        <v>90651</v>
      </c>
      <c r="B90652">
        <f>TEXT(90651, "[$-0E0000]yyyy-mm-dd")</f>
        <v/>
      </c>
    </row>
    <row r="90653">
      <c r="A90653" s="1" t="n">
        <v>90652</v>
      </c>
      <c r="B90653">
        <f>TEXT(90652, "[$-0E0000]yyyy-mm-dd")</f>
        <v/>
      </c>
    </row>
    <row r="90654">
      <c r="A90654" s="1" t="n">
        <v>90653</v>
      </c>
      <c r="B90654">
        <f>TEXT(90653, "[$-0E0000]yyyy-mm-dd")</f>
        <v/>
      </c>
    </row>
    <row r="90655">
      <c r="A90655" s="1" t="n">
        <v>90654</v>
      </c>
      <c r="B90655">
        <f>TEXT(90654, "[$-0E0000]yyyy-mm-dd")</f>
        <v/>
      </c>
    </row>
    <row r="90656">
      <c r="A90656" s="1" t="n">
        <v>90655</v>
      </c>
      <c r="B90656">
        <f>TEXT(90655, "[$-0E0000]yyyy-mm-dd")</f>
        <v/>
      </c>
    </row>
    <row r="90657">
      <c r="A90657" s="1" t="n">
        <v>90656</v>
      </c>
      <c r="B90657">
        <f>TEXT(90656, "[$-0E0000]yyyy-mm-dd")</f>
        <v/>
      </c>
    </row>
    <row r="90658">
      <c r="A90658" s="1" t="n">
        <v>90657</v>
      </c>
      <c r="B90658">
        <f>TEXT(90657, "[$-0E0000]yyyy-mm-dd")</f>
        <v/>
      </c>
    </row>
    <row r="90659">
      <c r="A90659" s="1" t="n">
        <v>90658</v>
      </c>
      <c r="B90659">
        <f>TEXT(90658, "[$-0E0000]yyyy-mm-dd")</f>
        <v/>
      </c>
    </row>
    <row r="90660">
      <c r="A90660" s="1" t="n">
        <v>90659</v>
      </c>
      <c r="B90660">
        <f>TEXT(90659, "[$-0E0000]yyyy-mm-dd")</f>
        <v/>
      </c>
    </row>
    <row r="90661">
      <c r="A90661" s="1" t="n">
        <v>90660</v>
      </c>
      <c r="B90661">
        <f>TEXT(90660, "[$-0E0000]yyyy-mm-dd")</f>
        <v/>
      </c>
    </row>
    <row r="90662">
      <c r="A90662" s="1" t="n">
        <v>90661</v>
      </c>
      <c r="B90662">
        <f>TEXT(90661, "[$-0E0000]yyyy-mm-dd")</f>
        <v/>
      </c>
    </row>
    <row r="90663">
      <c r="A90663" s="1" t="n">
        <v>90662</v>
      </c>
      <c r="B90663">
        <f>TEXT(90662, "[$-0E0000]yyyy-mm-dd")</f>
        <v/>
      </c>
    </row>
    <row r="90664">
      <c r="A90664" s="1" t="n">
        <v>90663</v>
      </c>
      <c r="B90664">
        <f>TEXT(90663, "[$-0E0000]yyyy-mm-dd")</f>
        <v/>
      </c>
    </row>
    <row r="90665">
      <c r="A90665" s="1" t="n">
        <v>90664</v>
      </c>
      <c r="B90665">
        <f>TEXT(90664, "[$-0E0000]yyyy-mm-dd")</f>
        <v/>
      </c>
    </row>
    <row r="90666">
      <c r="A90666" s="1" t="n">
        <v>90665</v>
      </c>
      <c r="B90666">
        <f>TEXT(90665, "[$-0E0000]yyyy-mm-dd")</f>
        <v/>
      </c>
    </row>
    <row r="90667">
      <c r="A90667" s="1" t="n">
        <v>90666</v>
      </c>
      <c r="B90667">
        <f>TEXT(90666, "[$-0E0000]yyyy-mm-dd")</f>
        <v/>
      </c>
    </row>
    <row r="90668">
      <c r="A90668" s="1" t="n">
        <v>90667</v>
      </c>
      <c r="B90668">
        <f>TEXT(90667, "[$-0E0000]yyyy-mm-dd")</f>
        <v/>
      </c>
    </row>
    <row r="90669">
      <c r="A90669" s="1" t="n">
        <v>90668</v>
      </c>
      <c r="B90669">
        <f>TEXT(90668, "[$-0E0000]yyyy-mm-dd")</f>
        <v/>
      </c>
    </row>
    <row r="90670">
      <c r="A90670" s="1" t="n">
        <v>90669</v>
      </c>
      <c r="B90670">
        <f>TEXT(90669, "[$-0E0000]yyyy-mm-dd")</f>
        <v/>
      </c>
    </row>
    <row r="90671">
      <c r="A90671" s="1" t="n">
        <v>90670</v>
      </c>
      <c r="B90671">
        <f>TEXT(90670, "[$-0E0000]yyyy-mm-dd")</f>
        <v/>
      </c>
    </row>
    <row r="90672">
      <c r="A90672" s="1" t="n">
        <v>90671</v>
      </c>
      <c r="B90672">
        <f>TEXT(90671, "[$-0E0000]yyyy-mm-dd")</f>
        <v/>
      </c>
    </row>
    <row r="90673">
      <c r="A90673" s="1" t="n">
        <v>90672</v>
      </c>
      <c r="B90673">
        <f>TEXT(90672, "[$-0E0000]yyyy-mm-dd")</f>
        <v/>
      </c>
    </row>
    <row r="90674">
      <c r="A90674" s="1" t="n">
        <v>90673</v>
      </c>
      <c r="B90674">
        <f>TEXT(90673, "[$-0E0000]yyyy-mm-dd")</f>
        <v/>
      </c>
    </row>
    <row r="90675">
      <c r="A90675" s="1" t="n">
        <v>90674</v>
      </c>
      <c r="B90675">
        <f>TEXT(90674, "[$-0E0000]yyyy-mm-dd")</f>
        <v/>
      </c>
    </row>
    <row r="90676">
      <c r="A90676" s="1" t="n">
        <v>90675</v>
      </c>
      <c r="B90676">
        <f>TEXT(90675, "[$-0E0000]yyyy-mm-dd")</f>
        <v/>
      </c>
    </row>
    <row r="90677">
      <c r="A90677" s="1" t="n">
        <v>90676</v>
      </c>
      <c r="B90677">
        <f>TEXT(90676, "[$-0E0000]yyyy-mm-dd")</f>
        <v/>
      </c>
    </row>
    <row r="90678">
      <c r="A90678" s="1" t="n">
        <v>90677</v>
      </c>
      <c r="B90678">
        <f>TEXT(90677, "[$-0E0000]yyyy-mm-dd")</f>
        <v/>
      </c>
    </row>
    <row r="90679">
      <c r="A90679" s="1" t="n">
        <v>90678</v>
      </c>
      <c r="B90679">
        <f>TEXT(90678, "[$-0E0000]yyyy-mm-dd")</f>
        <v/>
      </c>
    </row>
    <row r="90680">
      <c r="A90680" s="1" t="n">
        <v>90679</v>
      </c>
      <c r="B90680">
        <f>TEXT(90679, "[$-0E0000]yyyy-mm-dd")</f>
        <v/>
      </c>
    </row>
    <row r="90681">
      <c r="A90681" s="1" t="n">
        <v>90680</v>
      </c>
      <c r="B90681">
        <f>TEXT(90680, "[$-0E0000]yyyy-mm-dd")</f>
        <v/>
      </c>
    </row>
    <row r="90682">
      <c r="A90682" s="1" t="n">
        <v>90681</v>
      </c>
      <c r="B90682">
        <f>TEXT(90681, "[$-0E0000]yyyy-mm-dd")</f>
        <v/>
      </c>
    </row>
    <row r="90683">
      <c r="A90683" s="1" t="n">
        <v>90682</v>
      </c>
      <c r="B90683">
        <f>TEXT(90682, "[$-0E0000]yyyy-mm-dd")</f>
        <v/>
      </c>
    </row>
    <row r="90684">
      <c r="A90684" s="1" t="n">
        <v>90683</v>
      </c>
      <c r="B90684">
        <f>TEXT(90683, "[$-0E0000]yyyy-mm-dd")</f>
        <v/>
      </c>
    </row>
    <row r="90685">
      <c r="A90685" s="1" t="n">
        <v>90684</v>
      </c>
      <c r="B90685">
        <f>TEXT(90684, "[$-0E0000]yyyy-mm-dd")</f>
        <v/>
      </c>
    </row>
    <row r="90686">
      <c r="A90686" s="1" t="n">
        <v>90685</v>
      </c>
      <c r="B90686">
        <f>TEXT(90685, "[$-0E0000]yyyy-mm-dd")</f>
        <v/>
      </c>
    </row>
    <row r="90687">
      <c r="A90687" s="1" t="n">
        <v>90686</v>
      </c>
      <c r="B90687">
        <f>TEXT(90686, "[$-0E0000]yyyy-mm-dd")</f>
        <v/>
      </c>
    </row>
    <row r="90688">
      <c r="A90688" s="1" t="n">
        <v>90687</v>
      </c>
      <c r="B90688">
        <f>TEXT(90687, "[$-0E0000]yyyy-mm-dd")</f>
        <v/>
      </c>
    </row>
    <row r="90689">
      <c r="A90689" s="1" t="n">
        <v>90688</v>
      </c>
      <c r="B90689">
        <f>TEXT(90688, "[$-0E0000]yyyy-mm-dd")</f>
        <v/>
      </c>
    </row>
    <row r="90690">
      <c r="A90690" s="1" t="n">
        <v>90689</v>
      </c>
      <c r="B90690">
        <f>TEXT(90689, "[$-0E0000]yyyy-mm-dd")</f>
        <v/>
      </c>
    </row>
    <row r="90691">
      <c r="A90691" s="1" t="n">
        <v>90690</v>
      </c>
      <c r="B90691">
        <f>TEXT(90690, "[$-0E0000]yyyy-mm-dd")</f>
        <v/>
      </c>
    </row>
    <row r="90692">
      <c r="A90692" s="1" t="n">
        <v>90691</v>
      </c>
      <c r="B90692">
        <f>TEXT(90691, "[$-0E0000]yyyy-mm-dd")</f>
        <v/>
      </c>
    </row>
    <row r="90693">
      <c r="A90693" s="1" t="n">
        <v>90692</v>
      </c>
      <c r="B90693">
        <f>TEXT(90692, "[$-0E0000]yyyy-mm-dd")</f>
        <v/>
      </c>
    </row>
    <row r="90694">
      <c r="A90694" s="1" t="n">
        <v>90693</v>
      </c>
      <c r="B90694">
        <f>TEXT(90693, "[$-0E0000]yyyy-mm-dd")</f>
        <v/>
      </c>
    </row>
    <row r="90695">
      <c r="A90695" s="1" t="n">
        <v>90694</v>
      </c>
      <c r="B90695">
        <f>TEXT(90694, "[$-0E0000]yyyy-mm-dd")</f>
        <v/>
      </c>
    </row>
    <row r="90696">
      <c r="A90696" s="1" t="n">
        <v>90695</v>
      </c>
      <c r="B90696">
        <f>TEXT(90695, "[$-0E0000]yyyy-mm-dd")</f>
        <v/>
      </c>
    </row>
    <row r="90697">
      <c r="A90697" s="1" t="n">
        <v>90696</v>
      </c>
      <c r="B90697">
        <f>TEXT(90696, "[$-0E0000]yyyy-mm-dd")</f>
        <v/>
      </c>
    </row>
    <row r="90698">
      <c r="A90698" s="1" t="n">
        <v>90697</v>
      </c>
      <c r="B90698">
        <f>TEXT(90697, "[$-0E0000]yyyy-mm-dd")</f>
        <v/>
      </c>
    </row>
    <row r="90699">
      <c r="A90699" s="1" t="n">
        <v>90698</v>
      </c>
      <c r="B90699">
        <f>TEXT(90698, "[$-0E0000]yyyy-mm-dd")</f>
        <v/>
      </c>
    </row>
    <row r="90700">
      <c r="A90700" s="1" t="n">
        <v>90699</v>
      </c>
      <c r="B90700">
        <f>TEXT(90699, "[$-0E0000]yyyy-mm-dd")</f>
        <v/>
      </c>
    </row>
    <row r="90701">
      <c r="A90701" s="1" t="n">
        <v>90700</v>
      </c>
      <c r="B90701">
        <f>TEXT(90700, "[$-0E0000]yyyy-mm-dd")</f>
        <v/>
      </c>
    </row>
    <row r="90702">
      <c r="A90702" s="1" t="n">
        <v>90701</v>
      </c>
      <c r="B90702">
        <f>TEXT(90701, "[$-0E0000]yyyy-mm-dd")</f>
        <v/>
      </c>
    </row>
    <row r="90703">
      <c r="A90703" s="1" t="n">
        <v>90702</v>
      </c>
      <c r="B90703">
        <f>TEXT(90702, "[$-0E0000]yyyy-mm-dd")</f>
        <v/>
      </c>
    </row>
    <row r="90704">
      <c r="A90704" s="1" t="n">
        <v>90703</v>
      </c>
      <c r="B90704">
        <f>TEXT(90703, "[$-0E0000]yyyy-mm-dd")</f>
        <v/>
      </c>
    </row>
    <row r="90705">
      <c r="A90705" s="1" t="n">
        <v>90704</v>
      </c>
      <c r="B90705">
        <f>TEXT(90704, "[$-0E0000]yyyy-mm-dd")</f>
        <v/>
      </c>
    </row>
    <row r="90706">
      <c r="A90706" s="1" t="n">
        <v>90705</v>
      </c>
      <c r="B90706">
        <f>TEXT(90705, "[$-0E0000]yyyy-mm-dd")</f>
        <v/>
      </c>
    </row>
    <row r="90707">
      <c r="A90707" s="1" t="n">
        <v>90706</v>
      </c>
      <c r="B90707">
        <f>TEXT(90706, "[$-0E0000]yyyy-mm-dd")</f>
        <v/>
      </c>
    </row>
    <row r="90708">
      <c r="A90708" s="1" t="n">
        <v>90707</v>
      </c>
      <c r="B90708">
        <f>TEXT(90707, "[$-0E0000]yyyy-mm-dd")</f>
        <v/>
      </c>
    </row>
    <row r="90709">
      <c r="A90709" s="1" t="n">
        <v>90708</v>
      </c>
      <c r="B90709">
        <f>TEXT(90708, "[$-0E0000]yyyy-mm-dd")</f>
        <v/>
      </c>
    </row>
    <row r="90710">
      <c r="A90710" s="1" t="n">
        <v>90709</v>
      </c>
      <c r="B90710">
        <f>TEXT(90709, "[$-0E0000]yyyy-mm-dd")</f>
        <v/>
      </c>
    </row>
    <row r="90711">
      <c r="A90711" s="1" t="n">
        <v>90710</v>
      </c>
      <c r="B90711">
        <f>TEXT(90710, "[$-0E0000]yyyy-mm-dd")</f>
        <v/>
      </c>
    </row>
    <row r="90712">
      <c r="A90712" s="1" t="n">
        <v>90711</v>
      </c>
      <c r="B90712">
        <f>TEXT(90711, "[$-0E0000]yyyy-mm-dd")</f>
        <v/>
      </c>
    </row>
    <row r="90713">
      <c r="A90713" s="1" t="n">
        <v>90712</v>
      </c>
      <c r="B90713">
        <f>TEXT(90712, "[$-0E0000]yyyy-mm-dd")</f>
        <v/>
      </c>
    </row>
    <row r="90714">
      <c r="A90714" s="1" t="n">
        <v>90713</v>
      </c>
      <c r="B90714">
        <f>TEXT(90713, "[$-0E0000]yyyy-mm-dd")</f>
        <v/>
      </c>
    </row>
    <row r="90715">
      <c r="A90715" s="1" t="n">
        <v>90714</v>
      </c>
      <c r="B90715">
        <f>TEXT(90714, "[$-0E0000]yyyy-mm-dd")</f>
        <v/>
      </c>
    </row>
    <row r="90716">
      <c r="A90716" s="1" t="n">
        <v>90715</v>
      </c>
      <c r="B90716">
        <f>TEXT(90715, "[$-0E0000]yyyy-mm-dd")</f>
        <v/>
      </c>
    </row>
    <row r="90717">
      <c r="A90717" s="1" t="n">
        <v>90716</v>
      </c>
      <c r="B90717">
        <f>TEXT(90716, "[$-0E0000]yyyy-mm-dd")</f>
        <v/>
      </c>
    </row>
    <row r="90718">
      <c r="A90718" s="1" t="n">
        <v>90717</v>
      </c>
      <c r="B90718">
        <f>TEXT(90717, "[$-0E0000]yyyy-mm-dd")</f>
        <v/>
      </c>
    </row>
    <row r="90719">
      <c r="A90719" s="1" t="n">
        <v>90718</v>
      </c>
      <c r="B90719">
        <f>TEXT(90718, "[$-0E0000]yyyy-mm-dd")</f>
        <v/>
      </c>
    </row>
    <row r="90720">
      <c r="A90720" s="1" t="n">
        <v>90719</v>
      </c>
      <c r="B90720">
        <f>TEXT(90719, "[$-0E0000]yyyy-mm-dd")</f>
        <v/>
      </c>
    </row>
    <row r="90721">
      <c r="A90721" s="1" t="n">
        <v>90720</v>
      </c>
      <c r="B90721">
        <f>TEXT(90720, "[$-0E0000]yyyy-mm-dd")</f>
        <v/>
      </c>
    </row>
    <row r="90722">
      <c r="A90722" s="1" t="n">
        <v>90721</v>
      </c>
      <c r="B90722">
        <f>TEXT(90721, "[$-0E0000]yyyy-mm-dd")</f>
        <v/>
      </c>
    </row>
    <row r="90723">
      <c r="A90723" s="1" t="n">
        <v>90722</v>
      </c>
      <c r="B90723">
        <f>TEXT(90722, "[$-0E0000]yyyy-mm-dd")</f>
        <v/>
      </c>
    </row>
    <row r="90724">
      <c r="A90724" s="1" t="n">
        <v>90723</v>
      </c>
      <c r="B90724">
        <f>TEXT(90723, "[$-0E0000]yyyy-mm-dd")</f>
        <v/>
      </c>
    </row>
    <row r="90725">
      <c r="A90725" s="1" t="n">
        <v>90724</v>
      </c>
      <c r="B90725">
        <f>TEXT(90724, "[$-0E0000]yyyy-mm-dd")</f>
        <v/>
      </c>
    </row>
    <row r="90726">
      <c r="A90726" s="1" t="n">
        <v>90725</v>
      </c>
      <c r="B90726">
        <f>TEXT(90725, "[$-0E0000]yyyy-mm-dd")</f>
        <v/>
      </c>
    </row>
    <row r="90727">
      <c r="A90727" s="1" t="n">
        <v>90726</v>
      </c>
      <c r="B90727">
        <f>TEXT(90726, "[$-0E0000]yyyy-mm-dd")</f>
        <v/>
      </c>
    </row>
    <row r="90728">
      <c r="A90728" s="1" t="n">
        <v>90727</v>
      </c>
      <c r="B90728">
        <f>TEXT(90727, "[$-0E0000]yyyy-mm-dd")</f>
        <v/>
      </c>
    </row>
    <row r="90729">
      <c r="A90729" s="1" t="n">
        <v>90728</v>
      </c>
      <c r="B90729">
        <f>TEXT(90728, "[$-0E0000]yyyy-mm-dd")</f>
        <v/>
      </c>
    </row>
    <row r="90730">
      <c r="A90730" s="1" t="n">
        <v>90729</v>
      </c>
      <c r="B90730">
        <f>TEXT(90729, "[$-0E0000]yyyy-mm-dd")</f>
        <v/>
      </c>
    </row>
    <row r="90731">
      <c r="A90731" s="1" t="n">
        <v>90730</v>
      </c>
      <c r="B90731">
        <f>TEXT(90730, "[$-0E0000]yyyy-mm-dd")</f>
        <v/>
      </c>
    </row>
    <row r="90732">
      <c r="A90732" s="1" t="n">
        <v>90731</v>
      </c>
      <c r="B90732">
        <f>TEXT(90731, "[$-0E0000]yyyy-mm-dd")</f>
        <v/>
      </c>
    </row>
    <row r="90733">
      <c r="A90733" s="1" t="n">
        <v>90732</v>
      </c>
      <c r="B90733">
        <f>TEXT(90732, "[$-0E0000]yyyy-mm-dd")</f>
        <v/>
      </c>
    </row>
    <row r="90734">
      <c r="A90734" s="1" t="n">
        <v>90733</v>
      </c>
      <c r="B90734">
        <f>TEXT(90733, "[$-0E0000]yyyy-mm-dd")</f>
        <v/>
      </c>
    </row>
    <row r="90735">
      <c r="A90735" s="1" t="n">
        <v>90734</v>
      </c>
      <c r="B90735">
        <f>TEXT(90734, "[$-0E0000]yyyy-mm-dd")</f>
        <v/>
      </c>
    </row>
    <row r="90736">
      <c r="A90736" s="1" t="n">
        <v>90735</v>
      </c>
      <c r="B90736">
        <f>TEXT(90735, "[$-0E0000]yyyy-mm-dd")</f>
        <v/>
      </c>
    </row>
    <row r="90737">
      <c r="A90737" s="1" t="n">
        <v>90736</v>
      </c>
      <c r="B90737">
        <f>TEXT(90736, "[$-0E0000]yyyy-mm-dd")</f>
        <v/>
      </c>
    </row>
    <row r="90738">
      <c r="A90738" s="1" t="n">
        <v>90737</v>
      </c>
      <c r="B90738">
        <f>TEXT(90737, "[$-0E0000]yyyy-mm-dd")</f>
        <v/>
      </c>
    </row>
    <row r="90739">
      <c r="A90739" s="1" t="n">
        <v>90738</v>
      </c>
      <c r="B90739">
        <f>TEXT(90738, "[$-0E0000]yyyy-mm-dd")</f>
        <v/>
      </c>
    </row>
    <row r="90740">
      <c r="A90740" s="1" t="n">
        <v>90739</v>
      </c>
      <c r="B90740">
        <f>TEXT(90739, "[$-0E0000]yyyy-mm-dd")</f>
        <v/>
      </c>
    </row>
    <row r="90741">
      <c r="A90741" s="1" t="n">
        <v>90740</v>
      </c>
      <c r="B90741">
        <f>TEXT(90740, "[$-0E0000]yyyy-mm-dd")</f>
        <v/>
      </c>
    </row>
    <row r="90742">
      <c r="A90742" s="1" t="n">
        <v>90741</v>
      </c>
      <c r="B90742">
        <f>TEXT(90741, "[$-0E0000]yyyy-mm-dd")</f>
        <v/>
      </c>
    </row>
    <row r="90743">
      <c r="A90743" s="1" t="n">
        <v>90742</v>
      </c>
      <c r="B90743">
        <f>TEXT(90742, "[$-0E0000]yyyy-mm-dd")</f>
        <v/>
      </c>
    </row>
    <row r="90744">
      <c r="A90744" s="1" t="n">
        <v>90743</v>
      </c>
      <c r="B90744">
        <f>TEXT(90743, "[$-0E0000]yyyy-mm-dd")</f>
        <v/>
      </c>
    </row>
    <row r="90745">
      <c r="A90745" s="1" t="n">
        <v>90744</v>
      </c>
      <c r="B90745">
        <f>TEXT(90744, "[$-0E0000]yyyy-mm-dd")</f>
        <v/>
      </c>
    </row>
    <row r="90746">
      <c r="A90746" s="1" t="n">
        <v>90745</v>
      </c>
      <c r="B90746">
        <f>TEXT(90745, "[$-0E0000]yyyy-mm-dd")</f>
        <v/>
      </c>
    </row>
    <row r="90747">
      <c r="A90747" s="1" t="n">
        <v>90746</v>
      </c>
      <c r="B90747">
        <f>TEXT(90746, "[$-0E0000]yyyy-mm-dd")</f>
        <v/>
      </c>
    </row>
    <row r="90748">
      <c r="A90748" s="1" t="n">
        <v>90747</v>
      </c>
      <c r="B90748">
        <f>TEXT(90747, "[$-0E0000]yyyy-mm-dd")</f>
        <v/>
      </c>
    </row>
    <row r="90749">
      <c r="A90749" s="1" t="n">
        <v>90748</v>
      </c>
      <c r="B90749">
        <f>TEXT(90748, "[$-0E0000]yyyy-mm-dd")</f>
        <v/>
      </c>
    </row>
    <row r="90750">
      <c r="A90750" s="1" t="n">
        <v>90749</v>
      </c>
      <c r="B90750">
        <f>TEXT(90749, "[$-0E0000]yyyy-mm-dd")</f>
        <v/>
      </c>
    </row>
    <row r="90751">
      <c r="A90751" s="1" t="n">
        <v>90750</v>
      </c>
      <c r="B90751">
        <f>TEXT(90750, "[$-0E0000]yyyy-mm-dd")</f>
        <v/>
      </c>
    </row>
    <row r="90752">
      <c r="A90752" s="1" t="n">
        <v>90751</v>
      </c>
      <c r="B90752">
        <f>TEXT(90751, "[$-0E0000]yyyy-mm-dd")</f>
        <v/>
      </c>
    </row>
    <row r="90753">
      <c r="A90753" s="1" t="n">
        <v>90752</v>
      </c>
      <c r="B90753">
        <f>TEXT(90752, "[$-0E0000]yyyy-mm-dd")</f>
        <v/>
      </c>
    </row>
    <row r="90754">
      <c r="A90754" s="1" t="n">
        <v>90753</v>
      </c>
      <c r="B90754">
        <f>TEXT(90753, "[$-0E0000]yyyy-mm-dd")</f>
        <v/>
      </c>
    </row>
    <row r="90755">
      <c r="A90755" s="1" t="n">
        <v>90754</v>
      </c>
      <c r="B90755">
        <f>TEXT(90754, "[$-0E0000]yyyy-mm-dd")</f>
        <v/>
      </c>
    </row>
    <row r="90756">
      <c r="A90756" s="1" t="n">
        <v>90755</v>
      </c>
      <c r="B90756">
        <f>TEXT(90755, "[$-0E0000]yyyy-mm-dd")</f>
        <v/>
      </c>
    </row>
    <row r="90757">
      <c r="A90757" s="1" t="n">
        <v>90756</v>
      </c>
      <c r="B90757">
        <f>TEXT(90756, "[$-0E0000]yyyy-mm-dd")</f>
        <v/>
      </c>
    </row>
    <row r="90758">
      <c r="A90758" s="1" t="n">
        <v>90757</v>
      </c>
      <c r="B90758">
        <f>TEXT(90757, "[$-0E0000]yyyy-mm-dd")</f>
        <v/>
      </c>
    </row>
    <row r="90759">
      <c r="A90759" s="1" t="n">
        <v>90758</v>
      </c>
      <c r="B90759">
        <f>TEXT(90758, "[$-0E0000]yyyy-mm-dd")</f>
        <v/>
      </c>
    </row>
    <row r="90760">
      <c r="A90760" s="1" t="n">
        <v>90759</v>
      </c>
      <c r="B90760">
        <f>TEXT(90759, "[$-0E0000]yyyy-mm-dd")</f>
        <v/>
      </c>
    </row>
    <row r="90761">
      <c r="A90761" s="1" t="n">
        <v>90760</v>
      </c>
      <c r="B90761">
        <f>TEXT(90760, "[$-0E0000]yyyy-mm-dd")</f>
        <v/>
      </c>
    </row>
    <row r="90762">
      <c r="A90762" s="1" t="n">
        <v>90761</v>
      </c>
      <c r="B90762">
        <f>TEXT(90761, "[$-0E0000]yyyy-mm-dd")</f>
        <v/>
      </c>
    </row>
    <row r="90763">
      <c r="A90763" s="1" t="n">
        <v>90762</v>
      </c>
      <c r="B90763">
        <f>TEXT(90762, "[$-0E0000]yyyy-mm-dd")</f>
        <v/>
      </c>
    </row>
    <row r="90764">
      <c r="A90764" s="1" t="n">
        <v>90763</v>
      </c>
      <c r="B90764">
        <f>TEXT(90763, "[$-0E0000]yyyy-mm-dd")</f>
        <v/>
      </c>
    </row>
    <row r="90765">
      <c r="A90765" s="1" t="n">
        <v>90764</v>
      </c>
      <c r="B90765">
        <f>TEXT(90764, "[$-0E0000]yyyy-mm-dd")</f>
        <v/>
      </c>
    </row>
    <row r="90766">
      <c r="A90766" s="1" t="n">
        <v>90765</v>
      </c>
      <c r="B90766">
        <f>TEXT(90765, "[$-0E0000]yyyy-mm-dd")</f>
        <v/>
      </c>
    </row>
    <row r="90767">
      <c r="A90767" s="1" t="n">
        <v>90766</v>
      </c>
      <c r="B90767">
        <f>TEXT(90766, "[$-0E0000]yyyy-mm-dd")</f>
        <v/>
      </c>
    </row>
    <row r="90768">
      <c r="A90768" s="1" t="n">
        <v>90767</v>
      </c>
      <c r="B90768">
        <f>TEXT(90767, "[$-0E0000]yyyy-mm-dd")</f>
        <v/>
      </c>
    </row>
    <row r="90769">
      <c r="A90769" s="1" t="n">
        <v>90768</v>
      </c>
      <c r="B90769">
        <f>TEXT(90768, "[$-0E0000]yyyy-mm-dd")</f>
        <v/>
      </c>
    </row>
    <row r="90770">
      <c r="A90770" s="1" t="n">
        <v>90769</v>
      </c>
      <c r="B90770">
        <f>TEXT(90769, "[$-0E0000]yyyy-mm-dd")</f>
        <v/>
      </c>
    </row>
    <row r="90771">
      <c r="A90771" s="1" t="n">
        <v>90770</v>
      </c>
      <c r="B90771">
        <f>TEXT(90770, "[$-0E0000]yyyy-mm-dd")</f>
        <v/>
      </c>
    </row>
    <row r="90772">
      <c r="A90772" s="1" t="n">
        <v>90771</v>
      </c>
      <c r="B90772">
        <f>TEXT(90771, "[$-0E0000]yyyy-mm-dd")</f>
        <v/>
      </c>
    </row>
    <row r="90773">
      <c r="A90773" s="1" t="n">
        <v>90772</v>
      </c>
      <c r="B90773">
        <f>TEXT(90772, "[$-0E0000]yyyy-mm-dd")</f>
        <v/>
      </c>
    </row>
    <row r="90774">
      <c r="A90774" s="1" t="n">
        <v>90773</v>
      </c>
      <c r="B90774">
        <f>TEXT(90773, "[$-0E0000]yyyy-mm-dd")</f>
        <v/>
      </c>
    </row>
    <row r="90775">
      <c r="A90775" s="1" t="n">
        <v>90774</v>
      </c>
      <c r="B90775">
        <f>TEXT(90774, "[$-0E0000]yyyy-mm-dd")</f>
        <v/>
      </c>
    </row>
    <row r="90776">
      <c r="A90776" s="1" t="n">
        <v>90775</v>
      </c>
      <c r="B90776">
        <f>TEXT(90775, "[$-0E0000]yyyy-mm-dd")</f>
        <v/>
      </c>
    </row>
    <row r="90777">
      <c r="A90777" s="1" t="n">
        <v>90776</v>
      </c>
      <c r="B90777">
        <f>TEXT(90776, "[$-0E0000]yyyy-mm-dd")</f>
        <v/>
      </c>
    </row>
    <row r="90778">
      <c r="A90778" s="1" t="n">
        <v>90777</v>
      </c>
      <c r="B90778">
        <f>TEXT(90777, "[$-0E0000]yyyy-mm-dd")</f>
        <v/>
      </c>
    </row>
    <row r="90779">
      <c r="A90779" s="1" t="n">
        <v>90778</v>
      </c>
      <c r="B90779">
        <f>TEXT(90778, "[$-0E0000]yyyy-mm-dd")</f>
        <v/>
      </c>
    </row>
    <row r="90780">
      <c r="A90780" s="1" t="n">
        <v>90779</v>
      </c>
      <c r="B90780">
        <f>TEXT(90779, "[$-0E0000]yyyy-mm-dd")</f>
        <v/>
      </c>
    </row>
    <row r="90781">
      <c r="A90781" s="1" t="n">
        <v>90780</v>
      </c>
      <c r="B90781">
        <f>TEXT(90780, "[$-0E0000]yyyy-mm-dd")</f>
        <v/>
      </c>
    </row>
    <row r="90782">
      <c r="A90782" s="1" t="n">
        <v>90781</v>
      </c>
      <c r="B90782">
        <f>TEXT(90781, "[$-0E0000]yyyy-mm-dd")</f>
        <v/>
      </c>
    </row>
    <row r="90783">
      <c r="A90783" s="1" t="n">
        <v>90782</v>
      </c>
      <c r="B90783">
        <f>TEXT(90782, "[$-0E0000]yyyy-mm-dd")</f>
        <v/>
      </c>
    </row>
    <row r="90784">
      <c r="A90784" s="1" t="n">
        <v>90783</v>
      </c>
      <c r="B90784">
        <f>TEXT(90783, "[$-0E0000]yyyy-mm-dd")</f>
        <v/>
      </c>
    </row>
    <row r="90785">
      <c r="A90785" s="1" t="n">
        <v>90784</v>
      </c>
      <c r="B90785">
        <f>TEXT(90784, "[$-0E0000]yyyy-mm-dd")</f>
        <v/>
      </c>
    </row>
    <row r="90786">
      <c r="A90786" s="1" t="n">
        <v>90785</v>
      </c>
      <c r="B90786">
        <f>TEXT(90785, "[$-0E0000]yyyy-mm-dd")</f>
        <v/>
      </c>
    </row>
    <row r="90787">
      <c r="A90787" s="1" t="n">
        <v>90786</v>
      </c>
      <c r="B90787">
        <f>TEXT(90786, "[$-0E0000]yyyy-mm-dd")</f>
        <v/>
      </c>
    </row>
    <row r="90788">
      <c r="A90788" s="1" t="n">
        <v>90787</v>
      </c>
      <c r="B90788">
        <f>TEXT(90787, "[$-0E0000]yyyy-mm-dd")</f>
        <v/>
      </c>
    </row>
    <row r="90789">
      <c r="A90789" s="1" t="n">
        <v>90788</v>
      </c>
      <c r="B90789">
        <f>TEXT(90788, "[$-0E0000]yyyy-mm-dd")</f>
        <v/>
      </c>
    </row>
    <row r="90790">
      <c r="A90790" s="1" t="n">
        <v>90789</v>
      </c>
      <c r="B90790">
        <f>TEXT(90789, "[$-0E0000]yyyy-mm-dd")</f>
        <v/>
      </c>
    </row>
    <row r="90791">
      <c r="A90791" s="1" t="n">
        <v>90790</v>
      </c>
      <c r="B90791">
        <f>TEXT(90790, "[$-0E0000]yyyy-mm-dd")</f>
        <v/>
      </c>
    </row>
    <row r="90792">
      <c r="A90792" s="1" t="n">
        <v>90791</v>
      </c>
      <c r="B90792">
        <f>TEXT(90791, "[$-0E0000]yyyy-mm-dd")</f>
        <v/>
      </c>
    </row>
    <row r="90793">
      <c r="A90793" s="1" t="n">
        <v>90792</v>
      </c>
      <c r="B90793">
        <f>TEXT(90792, "[$-0E0000]yyyy-mm-dd")</f>
        <v/>
      </c>
    </row>
    <row r="90794">
      <c r="A90794" s="1" t="n">
        <v>90793</v>
      </c>
      <c r="B90794">
        <f>TEXT(90793, "[$-0E0000]yyyy-mm-dd")</f>
        <v/>
      </c>
    </row>
    <row r="90795">
      <c r="A90795" s="1" t="n">
        <v>90794</v>
      </c>
      <c r="B90795">
        <f>TEXT(90794, "[$-0E0000]yyyy-mm-dd")</f>
        <v/>
      </c>
    </row>
    <row r="90796">
      <c r="A90796" s="1" t="n">
        <v>90795</v>
      </c>
      <c r="B90796">
        <f>TEXT(90795, "[$-0E0000]yyyy-mm-dd")</f>
        <v/>
      </c>
    </row>
    <row r="90797">
      <c r="A90797" s="1" t="n">
        <v>90796</v>
      </c>
      <c r="B90797">
        <f>TEXT(90796, "[$-0E0000]yyyy-mm-dd")</f>
        <v/>
      </c>
    </row>
    <row r="90798">
      <c r="A90798" s="1" t="n">
        <v>90797</v>
      </c>
      <c r="B90798">
        <f>TEXT(90797, "[$-0E0000]yyyy-mm-dd")</f>
        <v/>
      </c>
    </row>
    <row r="90799">
      <c r="A90799" s="1" t="n">
        <v>90798</v>
      </c>
      <c r="B90799">
        <f>TEXT(90798, "[$-0E0000]yyyy-mm-dd")</f>
        <v/>
      </c>
    </row>
    <row r="90800">
      <c r="A90800" s="1" t="n">
        <v>90799</v>
      </c>
      <c r="B90800">
        <f>TEXT(90799, "[$-0E0000]yyyy-mm-dd")</f>
        <v/>
      </c>
    </row>
    <row r="90801">
      <c r="A90801" s="1" t="n">
        <v>90800</v>
      </c>
      <c r="B90801">
        <f>TEXT(90800, "[$-0E0000]yyyy-mm-dd")</f>
        <v/>
      </c>
    </row>
    <row r="90802">
      <c r="A90802" s="1" t="n">
        <v>90801</v>
      </c>
      <c r="B90802">
        <f>TEXT(90801, "[$-0E0000]yyyy-mm-dd")</f>
        <v/>
      </c>
    </row>
    <row r="90803">
      <c r="A90803" s="1" t="n">
        <v>90802</v>
      </c>
      <c r="B90803">
        <f>TEXT(90802, "[$-0E0000]yyyy-mm-dd")</f>
        <v/>
      </c>
    </row>
    <row r="90804">
      <c r="A90804" s="1" t="n">
        <v>90803</v>
      </c>
      <c r="B90804">
        <f>TEXT(90803, "[$-0E0000]yyyy-mm-dd")</f>
        <v/>
      </c>
    </row>
    <row r="90805">
      <c r="A90805" s="1" t="n">
        <v>90804</v>
      </c>
      <c r="B90805">
        <f>TEXT(90804, "[$-0E0000]yyyy-mm-dd")</f>
        <v/>
      </c>
    </row>
    <row r="90806">
      <c r="A90806" s="1" t="n">
        <v>90805</v>
      </c>
      <c r="B90806">
        <f>TEXT(90805, "[$-0E0000]yyyy-mm-dd")</f>
        <v/>
      </c>
    </row>
    <row r="90807">
      <c r="A90807" s="1" t="n">
        <v>90806</v>
      </c>
      <c r="B90807">
        <f>TEXT(90806, "[$-0E0000]yyyy-mm-dd")</f>
        <v/>
      </c>
    </row>
    <row r="90808">
      <c r="A90808" s="1" t="n">
        <v>90807</v>
      </c>
      <c r="B90808">
        <f>TEXT(90807, "[$-0E0000]yyyy-mm-dd")</f>
        <v/>
      </c>
    </row>
    <row r="90809">
      <c r="A90809" s="1" t="n">
        <v>90808</v>
      </c>
      <c r="B90809">
        <f>TEXT(90808, "[$-0E0000]yyyy-mm-dd")</f>
        <v/>
      </c>
    </row>
    <row r="90810">
      <c r="A90810" s="1" t="n">
        <v>90809</v>
      </c>
      <c r="B90810">
        <f>TEXT(90809, "[$-0E0000]yyyy-mm-dd")</f>
        <v/>
      </c>
    </row>
    <row r="90811">
      <c r="A90811" s="1" t="n">
        <v>90810</v>
      </c>
      <c r="B90811">
        <f>TEXT(90810, "[$-0E0000]yyyy-mm-dd")</f>
        <v/>
      </c>
    </row>
    <row r="90812">
      <c r="A90812" s="1" t="n">
        <v>90811</v>
      </c>
      <c r="B90812">
        <f>TEXT(90811, "[$-0E0000]yyyy-mm-dd")</f>
        <v/>
      </c>
    </row>
    <row r="90813">
      <c r="A90813" s="1" t="n">
        <v>90812</v>
      </c>
      <c r="B90813">
        <f>TEXT(90812, "[$-0E0000]yyyy-mm-dd")</f>
        <v/>
      </c>
    </row>
    <row r="90814">
      <c r="A90814" s="1" t="n">
        <v>90813</v>
      </c>
      <c r="B90814">
        <f>TEXT(90813, "[$-0E0000]yyyy-mm-dd")</f>
        <v/>
      </c>
    </row>
    <row r="90815">
      <c r="A90815" s="1" t="n">
        <v>90814</v>
      </c>
      <c r="B90815">
        <f>TEXT(90814, "[$-0E0000]yyyy-mm-dd")</f>
        <v/>
      </c>
    </row>
    <row r="90816">
      <c r="A90816" s="1" t="n">
        <v>90815</v>
      </c>
      <c r="B90816">
        <f>TEXT(90815, "[$-0E0000]yyyy-mm-dd")</f>
        <v/>
      </c>
    </row>
    <row r="90817">
      <c r="A90817" s="1" t="n">
        <v>90816</v>
      </c>
      <c r="B90817">
        <f>TEXT(90816, "[$-0E0000]yyyy-mm-dd")</f>
        <v/>
      </c>
    </row>
    <row r="90818">
      <c r="A90818" s="1" t="n">
        <v>90817</v>
      </c>
      <c r="B90818">
        <f>TEXT(90817, "[$-0E0000]yyyy-mm-dd")</f>
        <v/>
      </c>
    </row>
    <row r="90819">
      <c r="A90819" s="1" t="n">
        <v>90818</v>
      </c>
      <c r="B90819">
        <f>TEXT(90818, "[$-0E0000]yyyy-mm-dd")</f>
        <v/>
      </c>
    </row>
    <row r="90820">
      <c r="A90820" s="1" t="n">
        <v>90819</v>
      </c>
      <c r="B90820">
        <f>TEXT(90819, "[$-0E0000]yyyy-mm-dd")</f>
        <v/>
      </c>
    </row>
    <row r="90821">
      <c r="A90821" s="1" t="n">
        <v>90820</v>
      </c>
      <c r="B90821">
        <f>TEXT(90820, "[$-0E0000]yyyy-mm-dd")</f>
        <v/>
      </c>
    </row>
    <row r="90822">
      <c r="A90822" s="1" t="n">
        <v>90821</v>
      </c>
      <c r="B90822">
        <f>TEXT(90821, "[$-0E0000]yyyy-mm-dd")</f>
        <v/>
      </c>
    </row>
    <row r="90823">
      <c r="A90823" s="1" t="n">
        <v>90822</v>
      </c>
      <c r="B90823">
        <f>TEXT(90822, "[$-0E0000]yyyy-mm-dd")</f>
        <v/>
      </c>
    </row>
    <row r="90824">
      <c r="A90824" s="1" t="n">
        <v>90823</v>
      </c>
      <c r="B90824">
        <f>TEXT(90823, "[$-0E0000]yyyy-mm-dd")</f>
        <v/>
      </c>
    </row>
    <row r="90825">
      <c r="A90825" s="1" t="n">
        <v>90824</v>
      </c>
      <c r="B90825">
        <f>TEXT(90824, "[$-0E0000]yyyy-mm-dd")</f>
        <v/>
      </c>
    </row>
    <row r="90826">
      <c r="A90826" s="1" t="n">
        <v>90825</v>
      </c>
      <c r="B90826">
        <f>TEXT(90825, "[$-0E0000]yyyy-mm-dd")</f>
        <v/>
      </c>
    </row>
    <row r="90827">
      <c r="A90827" s="1" t="n">
        <v>90826</v>
      </c>
      <c r="B90827">
        <f>TEXT(90826, "[$-0E0000]yyyy-mm-dd")</f>
        <v/>
      </c>
    </row>
    <row r="90828">
      <c r="A90828" s="1" t="n">
        <v>90827</v>
      </c>
      <c r="B90828">
        <f>TEXT(90827, "[$-0E0000]yyyy-mm-dd")</f>
        <v/>
      </c>
    </row>
    <row r="90829">
      <c r="A90829" s="1" t="n">
        <v>90828</v>
      </c>
      <c r="B90829">
        <f>TEXT(90828, "[$-0E0000]yyyy-mm-dd")</f>
        <v/>
      </c>
    </row>
    <row r="90830">
      <c r="A90830" s="1" t="n">
        <v>90829</v>
      </c>
      <c r="B90830">
        <f>TEXT(90829, "[$-0E0000]yyyy-mm-dd")</f>
        <v/>
      </c>
    </row>
    <row r="90831">
      <c r="A90831" s="1" t="n">
        <v>90830</v>
      </c>
      <c r="B90831">
        <f>TEXT(90830, "[$-0E0000]yyyy-mm-dd")</f>
        <v/>
      </c>
    </row>
    <row r="90832">
      <c r="A90832" s="1" t="n">
        <v>90831</v>
      </c>
      <c r="B90832">
        <f>TEXT(90831, "[$-0E0000]yyyy-mm-dd")</f>
        <v/>
      </c>
    </row>
    <row r="90833">
      <c r="A90833" s="1" t="n">
        <v>90832</v>
      </c>
      <c r="B90833">
        <f>TEXT(90832, "[$-0E0000]yyyy-mm-dd")</f>
        <v/>
      </c>
    </row>
    <row r="90834">
      <c r="A90834" s="1" t="n">
        <v>90833</v>
      </c>
      <c r="B90834">
        <f>TEXT(90833, "[$-0E0000]yyyy-mm-dd")</f>
        <v/>
      </c>
    </row>
    <row r="90835">
      <c r="A90835" s="1" t="n">
        <v>90834</v>
      </c>
      <c r="B90835">
        <f>TEXT(90834, "[$-0E0000]yyyy-mm-dd")</f>
        <v/>
      </c>
    </row>
    <row r="90836">
      <c r="A90836" s="1" t="n">
        <v>90835</v>
      </c>
      <c r="B90836">
        <f>TEXT(90835, "[$-0E0000]yyyy-mm-dd")</f>
        <v/>
      </c>
    </row>
    <row r="90837">
      <c r="A90837" s="1" t="n">
        <v>90836</v>
      </c>
      <c r="B90837">
        <f>TEXT(90836, "[$-0E0000]yyyy-mm-dd")</f>
        <v/>
      </c>
    </row>
    <row r="90838">
      <c r="A90838" s="1" t="n">
        <v>90837</v>
      </c>
      <c r="B90838">
        <f>TEXT(90837, "[$-0E0000]yyyy-mm-dd")</f>
        <v/>
      </c>
    </row>
    <row r="90839">
      <c r="A90839" s="1" t="n">
        <v>90838</v>
      </c>
      <c r="B90839">
        <f>TEXT(90838, "[$-0E0000]yyyy-mm-dd")</f>
        <v/>
      </c>
    </row>
    <row r="90840">
      <c r="A90840" s="1" t="n">
        <v>90839</v>
      </c>
      <c r="B90840">
        <f>TEXT(90839, "[$-0E0000]yyyy-mm-dd")</f>
        <v/>
      </c>
    </row>
    <row r="90841">
      <c r="A90841" s="1" t="n">
        <v>90840</v>
      </c>
      <c r="B90841">
        <f>TEXT(90840, "[$-0E0000]yyyy-mm-dd")</f>
        <v/>
      </c>
    </row>
    <row r="90842">
      <c r="A90842" s="1" t="n">
        <v>90841</v>
      </c>
      <c r="B90842">
        <f>TEXT(90841, "[$-0E0000]yyyy-mm-dd")</f>
        <v/>
      </c>
    </row>
    <row r="90843">
      <c r="A90843" s="1" t="n">
        <v>90842</v>
      </c>
      <c r="B90843">
        <f>TEXT(90842, "[$-0E0000]yyyy-mm-dd")</f>
        <v/>
      </c>
    </row>
    <row r="90844">
      <c r="A90844" s="1" t="n">
        <v>90843</v>
      </c>
      <c r="B90844">
        <f>TEXT(90843, "[$-0E0000]yyyy-mm-dd")</f>
        <v/>
      </c>
    </row>
    <row r="90845">
      <c r="A90845" s="1" t="n">
        <v>90844</v>
      </c>
      <c r="B90845">
        <f>TEXT(90844, "[$-0E0000]yyyy-mm-dd")</f>
        <v/>
      </c>
    </row>
    <row r="90846">
      <c r="A90846" s="1" t="n">
        <v>90845</v>
      </c>
      <c r="B90846">
        <f>TEXT(90845, "[$-0E0000]yyyy-mm-dd")</f>
        <v/>
      </c>
    </row>
    <row r="90847">
      <c r="A90847" s="1" t="n">
        <v>90846</v>
      </c>
      <c r="B90847">
        <f>TEXT(90846, "[$-0E0000]yyyy-mm-dd")</f>
        <v/>
      </c>
    </row>
    <row r="90848">
      <c r="A90848" s="1" t="n">
        <v>90847</v>
      </c>
      <c r="B90848">
        <f>TEXT(90847, "[$-0E0000]yyyy-mm-dd")</f>
        <v/>
      </c>
    </row>
    <row r="90849">
      <c r="A90849" s="1" t="n">
        <v>90848</v>
      </c>
      <c r="B90849">
        <f>TEXT(90848, "[$-0E0000]yyyy-mm-dd")</f>
        <v/>
      </c>
    </row>
    <row r="90850">
      <c r="A90850" s="1" t="n">
        <v>90849</v>
      </c>
      <c r="B90850">
        <f>TEXT(90849, "[$-0E0000]yyyy-mm-dd")</f>
        <v/>
      </c>
    </row>
    <row r="90851">
      <c r="A90851" s="1" t="n">
        <v>90850</v>
      </c>
      <c r="B90851">
        <f>TEXT(90850, "[$-0E0000]yyyy-mm-dd")</f>
        <v/>
      </c>
    </row>
    <row r="90852">
      <c r="A90852" s="1" t="n">
        <v>90851</v>
      </c>
      <c r="B90852">
        <f>TEXT(90851, "[$-0E0000]yyyy-mm-dd")</f>
        <v/>
      </c>
    </row>
    <row r="90853">
      <c r="A90853" s="1" t="n">
        <v>90852</v>
      </c>
      <c r="B90853">
        <f>TEXT(90852, "[$-0E0000]yyyy-mm-dd")</f>
        <v/>
      </c>
    </row>
    <row r="90854">
      <c r="A90854" s="1" t="n">
        <v>90853</v>
      </c>
      <c r="B90854">
        <f>TEXT(90853, "[$-0E0000]yyyy-mm-dd")</f>
        <v/>
      </c>
    </row>
    <row r="90855">
      <c r="A90855" s="1" t="n">
        <v>90854</v>
      </c>
      <c r="B90855">
        <f>TEXT(90854, "[$-0E0000]yyyy-mm-dd")</f>
        <v/>
      </c>
    </row>
    <row r="90856">
      <c r="A90856" s="1" t="n">
        <v>90855</v>
      </c>
      <c r="B90856">
        <f>TEXT(90855, "[$-0E0000]yyyy-mm-dd")</f>
        <v/>
      </c>
    </row>
    <row r="90857">
      <c r="A90857" s="1" t="n">
        <v>90856</v>
      </c>
      <c r="B90857">
        <f>TEXT(90856, "[$-0E0000]yyyy-mm-dd")</f>
        <v/>
      </c>
    </row>
    <row r="90858">
      <c r="A90858" s="1" t="n">
        <v>90857</v>
      </c>
      <c r="B90858">
        <f>TEXT(90857, "[$-0E0000]yyyy-mm-dd")</f>
        <v/>
      </c>
    </row>
    <row r="90859">
      <c r="A90859" s="1" t="n">
        <v>90858</v>
      </c>
      <c r="B90859">
        <f>TEXT(90858, "[$-0E0000]yyyy-mm-dd")</f>
        <v/>
      </c>
    </row>
    <row r="90860">
      <c r="A90860" s="1" t="n">
        <v>90859</v>
      </c>
      <c r="B90860">
        <f>TEXT(90859, "[$-0E0000]yyyy-mm-dd")</f>
        <v/>
      </c>
    </row>
    <row r="90861">
      <c r="A90861" s="1" t="n">
        <v>90860</v>
      </c>
      <c r="B90861">
        <f>TEXT(90860, "[$-0E0000]yyyy-mm-dd")</f>
        <v/>
      </c>
    </row>
    <row r="90862">
      <c r="A90862" s="1" t="n">
        <v>90861</v>
      </c>
      <c r="B90862">
        <f>TEXT(90861, "[$-0E0000]yyyy-mm-dd")</f>
        <v/>
      </c>
    </row>
    <row r="90863">
      <c r="A90863" s="1" t="n">
        <v>90862</v>
      </c>
      <c r="B90863">
        <f>TEXT(90862, "[$-0E0000]yyyy-mm-dd")</f>
        <v/>
      </c>
    </row>
    <row r="90864">
      <c r="A90864" s="1" t="n">
        <v>90863</v>
      </c>
      <c r="B90864">
        <f>TEXT(90863, "[$-0E0000]yyyy-mm-dd")</f>
        <v/>
      </c>
    </row>
    <row r="90865">
      <c r="A90865" s="1" t="n">
        <v>90864</v>
      </c>
      <c r="B90865">
        <f>TEXT(90864, "[$-0E0000]yyyy-mm-dd")</f>
        <v/>
      </c>
    </row>
    <row r="90866">
      <c r="A90866" s="1" t="n">
        <v>90865</v>
      </c>
      <c r="B90866">
        <f>TEXT(90865, "[$-0E0000]yyyy-mm-dd")</f>
        <v/>
      </c>
    </row>
    <row r="90867">
      <c r="A90867" s="1" t="n">
        <v>90866</v>
      </c>
      <c r="B90867">
        <f>TEXT(90866, "[$-0E0000]yyyy-mm-dd")</f>
        <v/>
      </c>
    </row>
    <row r="90868">
      <c r="A90868" s="1" t="n">
        <v>90867</v>
      </c>
      <c r="B90868">
        <f>TEXT(90867, "[$-0E0000]yyyy-mm-dd")</f>
        <v/>
      </c>
    </row>
    <row r="90869">
      <c r="A90869" s="1" t="n">
        <v>90868</v>
      </c>
      <c r="B90869">
        <f>TEXT(90868, "[$-0E0000]yyyy-mm-dd")</f>
        <v/>
      </c>
    </row>
    <row r="90870">
      <c r="A90870" s="1" t="n">
        <v>90869</v>
      </c>
      <c r="B90870">
        <f>TEXT(90869, "[$-0E0000]yyyy-mm-dd")</f>
        <v/>
      </c>
    </row>
    <row r="90871">
      <c r="A90871" s="1" t="n">
        <v>90870</v>
      </c>
      <c r="B90871">
        <f>TEXT(90870, "[$-0E0000]yyyy-mm-dd")</f>
        <v/>
      </c>
    </row>
    <row r="90872">
      <c r="A90872" s="1" t="n">
        <v>90871</v>
      </c>
      <c r="B90872">
        <f>TEXT(90871, "[$-0E0000]yyyy-mm-dd")</f>
        <v/>
      </c>
    </row>
    <row r="90873">
      <c r="A90873" s="1" t="n">
        <v>90872</v>
      </c>
      <c r="B90873">
        <f>TEXT(90872, "[$-0E0000]yyyy-mm-dd")</f>
        <v/>
      </c>
    </row>
    <row r="90874">
      <c r="A90874" s="1" t="n">
        <v>90873</v>
      </c>
      <c r="B90874">
        <f>TEXT(90873, "[$-0E0000]yyyy-mm-dd")</f>
        <v/>
      </c>
    </row>
    <row r="90875">
      <c r="A90875" s="1" t="n">
        <v>90874</v>
      </c>
      <c r="B90875">
        <f>TEXT(90874, "[$-0E0000]yyyy-mm-dd")</f>
        <v/>
      </c>
    </row>
    <row r="90876">
      <c r="A90876" s="1" t="n">
        <v>90875</v>
      </c>
      <c r="B90876">
        <f>TEXT(90875, "[$-0E0000]yyyy-mm-dd")</f>
        <v/>
      </c>
    </row>
    <row r="90877">
      <c r="A90877" s="1" t="n">
        <v>90876</v>
      </c>
      <c r="B90877">
        <f>TEXT(90876, "[$-0E0000]yyyy-mm-dd")</f>
        <v/>
      </c>
    </row>
    <row r="90878">
      <c r="A90878" s="1" t="n">
        <v>90877</v>
      </c>
      <c r="B90878">
        <f>TEXT(90877, "[$-0E0000]yyyy-mm-dd")</f>
        <v/>
      </c>
    </row>
    <row r="90879">
      <c r="A90879" s="1" t="n">
        <v>90878</v>
      </c>
      <c r="B90879">
        <f>TEXT(90878, "[$-0E0000]yyyy-mm-dd")</f>
        <v/>
      </c>
    </row>
    <row r="90880">
      <c r="A90880" s="1" t="n">
        <v>90879</v>
      </c>
      <c r="B90880">
        <f>TEXT(90879, "[$-0E0000]yyyy-mm-dd")</f>
        <v/>
      </c>
    </row>
    <row r="90881">
      <c r="A90881" s="1" t="n">
        <v>90880</v>
      </c>
      <c r="B90881">
        <f>TEXT(90880, "[$-0E0000]yyyy-mm-dd")</f>
        <v/>
      </c>
    </row>
    <row r="90882">
      <c r="A90882" s="1" t="n">
        <v>90881</v>
      </c>
      <c r="B90882">
        <f>TEXT(90881, "[$-0E0000]yyyy-mm-dd")</f>
        <v/>
      </c>
    </row>
    <row r="90883">
      <c r="A90883" s="1" t="n">
        <v>90882</v>
      </c>
      <c r="B90883">
        <f>TEXT(90882, "[$-0E0000]yyyy-mm-dd")</f>
        <v/>
      </c>
    </row>
    <row r="90884">
      <c r="A90884" s="1" t="n">
        <v>90883</v>
      </c>
      <c r="B90884">
        <f>TEXT(90883, "[$-0E0000]yyyy-mm-dd")</f>
        <v/>
      </c>
    </row>
    <row r="90885">
      <c r="A90885" s="1" t="n">
        <v>90884</v>
      </c>
      <c r="B90885">
        <f>TEXT(90884, "[$-0E0000]yyyy-mm-dd")</f>
        <v/>
      </c>
    </row>
    <row r="90886">
      <c r="A90886" s="1" t="n">
        <v>90885</v>
      </c>
      <c r="B90886">
        <f>TEXT(90885, "[$-0E0000]yyyy-mm-dd")</f>
        <v/>
      </c>
    </row>
    <row r="90887">
      <c r="A90887" s="1" t="n">
        <v>90886</v>
      </c>
      <c r="B90887">
        <f>TEXT(90886, "[$-0E0000]yyyy-mm-dd")</f>
        <v/>
      </c>
    </row>
    <row r="90888">
      <c r="A90888" s="1" t="n">
        <v>90887</v>
      </c>
      <c r="B90888">
        <f>TEXT(90887, "[$-0E0000]yyyy-mm-dd")</f>
        <v/>
      </c>
    </row>
    <row r="90889">
      <c r="A90889" s="1" t="n">
        <v>90888</v>
      </c>
      <c r="B90889">
        <f>TEXT(90888, "[$-0E0000]yyyy-mm-dd")</f>
        <v/>
      </c>
    </row>
    <row r="90890">
      <c r="A90890" s="1" t="n">
        <v>90889</v>
      </c>
      <c r="B90890">
        <f>TEXT(90889, "[$-0E0000]yyyy-mm-dd")</f>
        <v/>
      </c>
    </row>
    <row r="90891">
      <c r="A90891" s="1" t="n">
        <v>90890</v>
      </c>
      <c r="B90891">
        <f>TEXT(90890, "[$-0E0000]yyyy-mm-dd")</f>
        <v/>
      </c>
    </row>
    <row r="90892">
      <c r="A90892" s="1" t="n">
        <v>90891</v>
      </c>
      <c r="B90892">
        <f>TEXT(90891, "[$-0E0000]yyyy-mm-dd")</f>
        <v/>
      </c>
    </row>
    <row r="90893">
      <c r="A90893" s="1" t="n">
        <v>90892</v>
      </c>
      <c r="B90893">
        <f>TEXT(90892, "[$-0E0000]yyyy-mm-dd")</f>
        <v/>
      </c>
    </row>
    <row r="90894">
      <c r="A90894" s="1" t="n">
        <v>90893</v>
      </c>
      <c r="B90894">
        <f>TEXT(90893, "[$-0E0000]yyyy-mm-dd")</f>
        <v/>
      </c>
    </row>
    <row r="90895">
      <c r="A90895" s="1" t="n">
        <v>90894</v>
      </c>
      <c r="B90895">
        <f>TEXT(90894, "[$-0E0000]yyyy-mm-dd")</f>
        <v/>
      </c>
    </row>
    <row r="90896">
      <c r="A90896" s="1" t="n">
        <v>90895</v>
      </c>
      <c r="B90896">
        <f>TEXT(90895, "[$-0E0000]yyyy-mm-dd")</f>
        <v/>
      </c>
    </row>
    <row r="90897">
      <c r="A90897" s="1" t="n">
        <v>90896</v>
      </c>
      <c r="B90897">
        <f>TEXT(90896, "[$-0E0000]yyyy-mm-dd")</f>
        <v/>
      </c>
    </row>
    <row r="90898">
      <c r="A90898" s="1" t="n">
        <v>90897</v>
      </c>
      <c r="B90898">
        <f>TEXT(90897, "[$-0E0000]yyyy-mm-dd")</f>
        <v/>
      </c>
    </row>
    <row r="90899">
      <c r="A90899" s="1" t="n">
        <v>90898</v>
      </c>
      <c r="B90899">
        <f>TEXT(90898, "[$-0E0000]yyyy-mm-dd")</f>
        <v/>
      </c>
    </row>
    <row r="90900">
      <c r="A90900" s="1" t="n">
        <v>90899</v>
      </c>
      <c r="B90900">
        <f>TEXT(90899, "[$-0E0000]yyyy-mm-dd")</f>
        <v/>
      </c>
    </row>
    <row r="90901">
      <c r="A90901" s="1" t="n">
        <v>90900</v>
      </c>
      <c r="B90901">
        <f>TEXT(90900, "[$-0E0000]yyyy-mm-dd")</f>
        <v/>
      </c>
    </row>
    <row r="90902">
      <c r="A90902" s="1" t="n">
        <v>90901</v>
      </c>
      <c r="B90902">
        <f>TEXT(90901, "[$-0E0000]yyyy-mm-dd")</f>
        <v/>
      </c>
    </row>
    <row r="90903">
      <c r="A90903" s="1" t="n">
        <v>90902</v>
      </c>
      <c r="B90903">
        <f>TEXT(90902, "[$-0E0000]yyyy-mm-dd")</f>
        <v/>
      </c>
    </row>
    <row r="90904">
      <c r="A90904" s="1" t="n">
        <v>90903</v>
      </c>
      <c r="B90904">
        <f>TEXT(90903, "[$-0E0000]yyyy-mm-dd")</f>
        <v/>
      </c>
    </row>
    <row r="90905">
      <c r="A90905" s="1" t="n">
        <v>90904</v>
      </c>
      <c r="B90905">
        <f>TEXT(90904, "[$-0E0000]yyyy-mm-dd")</f>
        <v/>
      </c>
    </row>
    <row r="90906">
      <c r="A90906" s="1" t="n">
        <v>90905</v>
      </c>
      <c r="B90906">
        <f>TEXT(90905, "[$-0E0000]yyyy-mm-dd")</f>
        <v/>
      </c>
    </row>
    <row r="90907">
      <c r="A90907" s="1" t="n">
        <v>90906</v>
      </c>
      <c r="B90907">
        <f>TEXT(90906, "[$-0E0000]yyyy-mm-dd")</f>
        <v/>
      </c>
    </row>
    <row r="90908">
      <c r="A90908" s="1" t="n">
        <v>90907</v>
      </c>
      <c r="B90908">
        <f>TEXT(90907, "[$-0E0000]yyyy-mm-dd")</f>
        <v/>
      </c>
    </row>
    <row r="90909">
      <c r="A90909" s="1" t="n">
        <v>90908</v>
      </c>
      <c r="B90909">
        <f>TEXT(90908, "[$-0E0000]yyyy-mm-dd")</f>
        <v/>
      </c>
    </row>
    <row r="90910">
      <c r="A90910" s="1" t="n">
        <v>90909</v>
      </c>
      <c r="B90910">
        <f>TEXT(90909, "[$-0E0000]yyyy-mm-dd")</f>
        <v/>
      </c>
    </row>
    <row r="90911">
      <c r="A90911" s="1" t="n">
        <v>90910</v>
      </c>
      <c r="B90911">
        <f>TEXT(90910, "[$-0E0000]yyyy-mm-dd")</f>
        <v/>
      </c>
    </row>
    <row r="90912">
      <c r="A90912" s="1" t="n">
        <v>90911</v>
      </c>
      <c r="B90912">
        <f>TEXT(90911, "[$-0E0000]yyyy-mm-dd")</f>
        <v/>
      </c>
    </row>
    <row r="90913">
      <c r="A90913" s="1" t="n">
        <v>90912</v>
      </c>
      <c r="B90913">
        <f>TEXT(90912, "[$-0E0000]yyyy-mm-dd")</f>
        <v/>
      </c>
    </row>
    <row r="90914">
      <c r="A90914" s="1" t="n">
        <v>90913</v>
      </c>
      <c r="B90914">
        <f>TEXT(90913, "[$-0E0000]yyyy-mm-dd")</f>
        <v/>
      </c>
    </row>
    <row r="90915">
      <c r="A90915" s="1" t="n">
        <v>90914</v>
      </c>
      <c r="B90915">
        <f>TEXT(90914, "[$-0E0000]yyyy-mm-dd")</f>
        <v/>
      </c>
    </row>
    <row r="90916">
      <c r="A90916" s="1" t="n">
        <v>90915</v>
      </c>
      <c r="B90916">
        <f>TEXT(90915, "[$-0E0000]yyyy-mm-dd")</f>
        <v/>
      </c>
    </row>
    <row r="90917">
      <c r="A90917" s="1" t="n">
        <v>90916</v>
      </c>
      <c r="B90917">
        <f>TEXT(90916, "[$-0E0000]yyyy-mm-dd")</f>
        <v/>
      </c>
    </row>
    <row r="90918">
      <c r="A90918" s="1" t="n">
        <v>90917</v>
      </c>
      <c r="B90918">
        <f>TEXT(90917, "[$-0E0000]yyyy-mm-dd")</f>
        <v/>
      </c>
    </row>
    <row r="90919">
      <c r="A90919" s="1" t="n">
        <v>90918</v>
      </c>
      <c r="B90919">
        <f>TEXT(90918, "[$-0E0000]yyyy-mm-dd")</f>
        <v/>
      </c>
    </row>
    <row r="90920">
      <c r="A90920" s="1" t="n">
        <v>90919</v>
      </c>
      <c r="B90920">
        <f>TEXT(90919, "[$-0E0000]yyyy-mm-dd")</f>
        <v/>
      </c>
    </row>
    <row r="90921">
      <c r="A90921" s="1" t="n">
        <v>90920</v>
      </c>
      <c r="B90921">
        <f>TEXT(90920, "[$-0E0000]yyyy-mm-dd")</f>
        <v/>
      </c>
    </row>
    <row r="90922">
      <c r="A90922" s="1" t="n">
        <v>90921</v>
      </c>
      <c r="B90922">
        <f>TEXT(90921, "[$-0E0000]yyyy-mm-dd")</f>
        <v/>
      </c>
    </row>
    <row r="90923">
      <c r="A90923" s="1" t="n">
        <v>90922</v>
      </c>
      <c r="B90923">
        <f>TEXT(90922, "[$-0E0000]yyyy-mm-dd")</f>
        <v/>
      </c>
    </row>
    <row r="90924">
      <c r="A90924" s="1" t="n">
        <v>90923</v>
      </c>
      <c r="B90924">
        <f>TEXT(90923, "[$-0E0000]yyyy-mm-dd")</f>
        <v/>
      </c>
    </row>
    <row r="90925">
      <c r="A90925" s="1" t="n">
        <v>90924</v>
      </c>
      <c r="B90925">
        <f>TEXT(90924, "[$-0E0000]yyyy-mm-dd")</f>
        <v/>
      </c>
    </row>
    <row r="90926">
      <c r="A90926" s="1" t="n">
        <v>90925</v>
      </c>
      <c r="B90926">
        <f>TEXT(90925, "[$-0E0000]yyyy-mm-dd")</f>
        <v/>
      </c>
    </row>
    <row r="90927">
      <c r="A90927" s="1" t="n">
        <v>90926</v>
      </c>
      <c r="B90927">
        <f>TEXT(90926, "[$-0E0000]yyyy-mm-dd")</f>
        <v/>
      </c>
    </row>
    <row r="90928">
      <c r="A90928" s="1" t="n">
        <v>90927</v>
      </c>
      <c r="B90928">
        <f>TEXT(90927, "[$-0E0000]yyyy-mm-dd")</f>
        <v/>
      </c>
    </row>
    <row r="90929">
      <c r="A90929" s="1" t="n">
        <v>90928</v>
      </c>
      <c r="B90929">
        <f>TEXT(90928, "[$-0E0000]yyyy-mm-dd")</f>
        <v/>
      </c>
    </row>
    <row r="90930">
      <c r="A90930" s="1" t="n">
        <v>90929</v>
      </c>
      <c r="B90930">
        <f>TEXT(90929, "[$-0E0000]yyyy-mm-dd")</f>
        <v/>
      </c>
    </row>
    <row r="90931">
      <c r="A90931" s="1" t="n">
        <v>90930</v>
      </c>
      <c r="B90931">
        <f>TEXT(90930, "[$-0E0000]yyyy-mm-dd")</f>
        <v/>
      </c>
    </row>
    <row r="90932">
      <c r="A90932" s="1" t="n">
        <v>90931</v>
      </c>
      <c r="B90932">
        <f>TEXT(90931, "[$-0E0000]yyyy-mm-dd")</f>
        <v/>
      </c>
    </row>
    <row r="90933">
      <c r="A90933" s="1" t="n">
        <v>90932</v>
      </c>
      <c r="B90933">
        <f>TEXT(90932, "[$-0E0000]yyyy-mm-dd")</f>
        <v/>
      </c>
    </row>
    <row r="90934">
      <c r="A90934" s="1" t="n">
        <v>90933</v>
      </c>
      <c r="B90934">
        <f>TEXT(90933, "[$-0E0000]yyyy-mm-dd")</f>
        <v/>
      </c>
    </row>
    <row r="90935">
      <c r="A90935" s="1" t="n">
        <v>90934</v>
      </c>
      <c r="B90935">
        <f>TEXT(90934, "[$-0E0000]yyyy-mm-dd")</f>
        <v/>
      </c>
    </row>
    <row r="90936">
      <c r="A90936" s="1" t="n">
        <v>90935</v>
      </c>
      <c r="B90936">
        <f>TEXT(90935, "[$-0E0000]yyyy-mm-dd")</f>
        <v/>
      </c>
    </row>
    <row r="90937">
      <c r="A90937" s="1" t="n">
        <v>90936</v>
      </c>
      <c r="B90937">
        <f>TEXT(90936, "[$-0E0000]yyyy-mm-dd")</f>
        <v/>
      </c>
    </row>
    <row r="90938">
      <c r="A90938" s="1" t="n">
        <v>90937</v>
      </c>
      <c r="B90938">
        <f>TEXT(90937, "[$-0E0000]yyyy-mm-dd")</f>
        <v/>
      </c>
    </row>
    <row r="90939">
      <c r="A90939" s="1" t="n">
        <v>90938</v>
      </c>
      <c r="B90939">
        <f>TEXT(90938, "[$-0E0000]yyyy-mm-dd")</f>
        <v/>
      </c>
    </row>
    <row r="90940">
      <c r="A90940" s="1" t="n">
        <v>90939</v>
      </c>
      <c r="B90940">
        <f>TEXT(90939, "[$-0E0000]yyyy-mm-dd")</f>
        <v/>
      </c>
    </row>
    <row r="90941">
      <c r="A90941" s="1" t="n">
        <v>90940</v>
      </c>
      <c r="B90941">
        <f>TEXT(90940, "[$-0E0000]yyyy-mm-dd")</f>
        <v/>
      </c>
    </row>
    <row r="90942">
      <c r="A90942" s="1" t="n">
        <v>90941</v>
      </c>
      <c r="B90942">
        <f>TEXT(90941, "[$-0E0000]yyyy-mm-dd")</f>
        <v/>
      </c>
    </row>
    <row r="90943">
      <c r="A90943" s="1" t="n">
        <v>90942</v>
      </c>
      <c r="B90943">
        <f>TEXT(90942, "[$-0E0000]yyyy-mm-dd")</f>
        <v/>
      </c>
    </row>
    <row r="90944">
      <c r="A90944" s="1" t="n">
        <v>90943</v>
      </c>
      <c r="B90944">
        <f>TEXT(90943, "[$-0E0000]yyyy-mm-dd")</f>
        <v/>
      </c>
    </row>
    <row r="90945">
      <c r="A90945" s="1" t="n">
        <v>90944</v>
      </c>
      <c r="B90945">
        <f>TEXT(90944, "[$-0E0000]yyyy-mm-dd")</f>
        <v/>
      </c>
    </row>
    <row r="90946">
      <c r="A90946" s="1" t="n">
        <v>90945</v>
      </c>
      <c r="B90946">
        <f>TEXT(90945, "[$-0E0000]yyyy-mm-dd")</f>
        <v/>
      </c>
    </row>
    <row r="90947">
      <c r="A90947" s="1" t="n">
        <v>90946</v>
      </c>
      <c r="B90947">
        <f>TEXT(90946, "[$-0E0000]yyyy-mm-dd")</f>
        <v/>
      </c>
    </row>
    <row r="90948">
      <c r="A90948" s="1" t="n">
        <v>90947</v>
      </c>
      <c r="B90948">
        <f>TEXT(90947, "[$-0E0000]yyyy-mm-dd")</f>
        <v/>
      </c>
    </row>
    <row r="90949">
      <c r="A90949" s="1" t="n">
        <v>90948</v>
      </c>
      <c r="B90949">
        <f>TEXT(90948, "[$-0E0000]yyyy-mm-dd")</f>
        <v/>
      </c>
    </row>
    <row r="90950">
      <c r="A90950" s="1" t="n">
        <v>90949</v>
      </c>
      <c r="B90950">
        <f>TEXT(90949, "[$-0E0000]yyyy-mm-dd")</f>
        <v/>
      </c>
    </row>
    <row r="90951">
      <c r="A90951" s="1" t="n">
        <v>90950</v>
      </c>
      <c r="B90951">
        <f>TEXT(90950, "[$-0E0000]yyyy-mm-dd")</f>
        <v/>
      </c>
    </row>
    <row r="90952">
      <c r="A90952" s="1" t="n">
        <v>90951</v>
      </c>
      <c r="B90952">
        <f>TEXT(90951, "[$-0E0000]yyyy-mm-dd")</f>
        <v/>
      </c>
    </row>
    <row r="90953">
      <c r="A90953" s="1" t="n">
        <v>90952</v>
      </c>
      <c r="B90953">
        <f>TEXT(90952, "[$-0E0000]yyyy-mm-dd")</f>
        <v/>
      </c>
    </row>
    <row r="90954">
      <c r="A90954" s="1" t="n">
        <v>90953</v>
      </c>
      <c r="B90954">
        <f>TEXT(90953, "[$-0E0000]yyyy-mm-dd")</f>
        <v/>
      </c>
    </row>
    <row r="90955">
      <c r="A90955" s="1" t="n">
        <v>90954</v>
      </c>
      <c r="B90955">
        <f>TEXT(90954, "[$-0E0000]yyyy-mm-dd")</f>
        <v/>
      </c>
    </row>
    <row r="90956">
      <c r="A90956" s="1" t="n">
        <v>90955</v>
      </c>
      <c r="B90956">
        <f>TEXT(90955, "[$-0E0000]yyyy-mm-dd")</f>
        <v/>
      </c>
    </row>
    <row r="90957">
      <c r="A90957" s="1" t="n">
        <v>90956</v>
      </c>
      <c r="B90957">
        <f>TEXT(90956, "[$-0E0000]yyyy-mm-dd")</f>
        <v/>
      </c>
    </row>
    <row r="90958">
      <c r="A90958" s="1" t="n">
        <v>90957</v>
      </c>
      <c r="B90958">
        <f>TEXT(90957, "[$-0E0000]yyyy-mm-dd")</f>
        <v/>
      </c>
    </row>
    <row r="90959">
      <c r="A90959" s="1" t="n">
        <v>90958</v>
      </c>
      <c r="B90959">
        <f>TEXT(90958, "[$-0E0000]yyyy-mm-dd")</f>
        <v/>
      </c>
    </row>
    <row r="90960">
      <c r="A90960" s="1" t="n">
        <v>90959</v>
      </c>
      <c r="B90960">
        <f>TEXT(90959, "[$-0E0000]yyyy-mm-dd")</f>
        <v/>
      </c>
    </row>
    <row r="90961">
      <c r="A90961" s="1" t="n">
        <v>90960</v>
      </c>
      <c r="B90961">
        <f>TEXT(90960, "[$-0E0000]yyyy-mm-dd")</f>
        <v/>
      </c>
    </row>
    <row r="90962">
      <c r="A90962" s="1" t="n">
        <v>90961</v>
      </c>
      <c r="B90962">
        <f>TEXT(90961, "[$-0E0000]yyyy-mm-dd")</f>
        <v/>
      </c>
    </row>
    <row r="90963">
      <c r="A90963" s="1" t="n">
        <v>90962</v>
      </c>
      <c r="B90963">
        <f>TEXT(90962, "[$-0E0000]yyyy-mm-dd")</f>
        <v/>
      </c>
    </row>
    <row r="90964">
      <c r="A90964" s="1" t="n">
        <v>90963</v>
      </c>
      <c r="B90964">
        <f>TEXT(90963, "[$-0E0000]yyyy-mm-dd")</f>
        <v/>
      </c>
    </row>
    <row r="90965">
      <c r="A90965" s="1" t="n">
        <v>90964</v>
      </c>
      <c r="B90965">
        <f>TEXT(90964, "[$-0E0000]yyyy-mm-dd")</f>
        <v/>
      </c>
    </row>
    <row r="90966">
      <c r="A90966" s="1" t="n">
        <v>90965</v>
      </c>
      <c r="B90966">
        <f>TEXT(90965, "[$-0E0000]yyyy-mm-dd")</f>
        <v/>
      </c>
    </row>
    <row r="90967">
      <c r="A90967" s="1" t="n">
        <v>90966</v>
      </c>
      <c r="B90967">
        <f>TEXT(90966, "[$-0E0000]yyyy-mm-dd")</f>
        <v/>
      </c>
    </row>
    <row r="90968">
      <c r="A90968" s="1" t="n">
        <v>90967</v>
      </c>
      <c r="B90968">
        <f>TEXT(90967, "[$-0E0000]yyyy-mm-dd")</f>
        <v/>
      </c>
    </row>
    <row r="90969">
      <c r="A90969" s="1" t="n">
        <v>90968</v>
      </c>
      <c r="B90969">
        <f>TEXT(90968, "[$-0E0000]yyyy-mm-dd")</f>
        <v/>
      </c>
    </row>
    <row r="90970">
      <c r="A90970" s="1" t="n">
        <v>90969</v>
      </c>
      <c r="B90970">
        <f>TEXT(90969, "[$-0E0000]yyyy-mm-dd")</f>
        <v/>
      </c>
    </row>
    <row r="90971">
      <c r="A90971" s="1" t="n">
        <v>90970</v>
      </c>
      <c r="B90971">
        <f>TEXT(90970, "[$-0E0000]yyyy-mm-dd")</f>
        <v/>
      </c>
    </row>
    <row r="90972">
      <c r="A90972" s="1" t="n">
        <v>90971</v>
      </c>
      <c r="B90972">
        <f>TEXT(90971, "[$-0E0000]yyyy-mm-dd")</f>
        <v/>
      </c>
    </row>
    <row r="90973">
      <c r="A90973" s="1" t="n">
        <v>90972</v>
      </c>
      <c r="B90973">
        <f>TEXT(90972, "[$-0E0000]yyyy-mm-dd")</f>
        <v/>
      </c>
    </row>
    <row r="90974">
      <c r="A90974" s="1" t="n">
        <v>90973</v>
      </c>
      <c r="B90974">
        <f>TEXT(90973, "[$-0E0000]yyyy-mm-dd")</f>
        <v/>
      </c>
    </row>
    <row r="90975">
      <c r="A90975" s="1" t="n">
        <v>90974</v>
      </c>
      <c r="B90975">
        <f>TEXT(90974, "[$-0E0000]yyyy-mm-dd")</f>
        <v/>
      </c>
    </row>
    <row r="90976">
      <c r="A90976" s="1" t="n">
        <v>90975</v>
      </c>
      <c r="B90976">
        <f>TEXT(90975, "[$-0E0000]yyyy-mm-dd")</f>
        <v/>
      </c>
    </row>
    <row r="90977">
      <c r="A90977" s="1" t="n">
        <v>90976</v>
      </c>
      <c r="B90977">
        <f>TEXT(90976, "[$-0E0000]yyyy-mm-dd")</f>
        <v/>
      </c>
    </row>
    <row r="90978">
      <c r="A90978" s="1" t="n">
        <v>90977</v>
      </c>
      <c r="B90978">
        <f>TEXT(90977, "[$-0E0000]yyyy-mm-dd")</f>
        <v/>
      </c>
    </row>
    <row r="90979">
      <c r="A90979" s="1" t="n">
        <v>90978</v>
      </c>
      <c r="B90979">
        <f>TEXT(90978, "[$-0E0000]yyyy-mm-dd")</f>
        <v/>
      </c>
    </row>
    <row r="90980">
      <c r="A90980" s="1" t="n">
        <v>90979</v>
      </c>
      <c r="B90980">
        <f>TEXT(90979, "[$-0E0000]yyyy-mm-dd")</f>
        <v/>
      </c>
    </row>
    <row r="90981">
      <c r="A90981" s="1" t="n">
        <v>90980</v>
      </c>
      <c r="B90981">
        <f>TEXT(90980, "[$-0E0000]yyyy-mm-dd")</f>
        <v/>
      </c>
    </row>
    <row r="90982">
      <c r="A90982" s="1" t="n">
        <v>90981</v>
      </c>
      <c r="B90982">
        <f>TEXT(90981, "[$-0E0000]yyyy-mm-dd")</f>
        <v/>
      </c>
    </row>
    <row r="90983">
      <c r="A90983" s="1" t="n">
        <v>90982</v>
      </c>
      <c r="B90983">
        <f>TEXT(90982, "[$-0E0000]yyyy-mm-dd")</f>
        <v/>
      </c>
    </row>
    <row r="90984">
      <c r="A90984" s="1" t="n">
        <v>90983</v>
      </c>
      <c r="B90984">
        <f>TEXT(90983, "[$-0E0000]yyyy-mm-dd")</f>
        <v/>
      </c>
    </row>
    <row r="90985">
      <c r="A90985" s="1" t="n">
        <v>90984</v>
      </c>
      <c r="B90985">
        <f>TEXT(90984, "[$-0E0000]yyyy-mm-dd")</f>
        <v/>
      </c>
    </row>
    <row r="90986">
      <c r="A90986" s="1" t="n">
        <v>90985</v>
      </c>
      <c r="B90986">
        <f>TEXT(90985, "[$-0E0000]yyyy-mm-dd")</f>
        <v/>
      </c>
    </row>
    <row r="90987">
      <c r="A90987" s="1" t="n">
        <v>90986</v>
      </c>
      <c r="B90987">
        <f>TEXT(90986, "[$-0E0000]yyyy-mm-dd")</f>
        <v/>
      </c>
    </row>
    <row r="90988">
      <c r="A90988" s="1" t="n">
        <v>90987</v>
      </c>
      <c r="B90988">
        <f>TEXT(90987, "[$-0E0000]yyyy-mm-dd")</f>
        <v/>
      </c>
    </row>
    <row r="90989">
      <c r="A90989" s="1" t="n">
        <v>90988</v>
      </c>
      <c r="B90989">
        <f>TEXT(90988, "[$-0E0000]yyyy-mm-dd")</f>
        <v/>
      </c>
    </row>
    <row r="90990">
      <c r="A90990" s="1" t="n">
        <v>90989</v>
      </c>
      <c r="B90990">
        <f>TEXT(90989, "[$-0E0000]yyyy-mm-dd")</f>
        <v/>
      </c>
    </row>
    <row r="90991">
      <c r="A90991" s="1" t="n">
        <v>90990</v>
      </c>
      <c r="B90991">
        <f>TEXT(90990, "[$-0E0000]yyyy-mm-dd")</f>
        <v/>
      </c>
    </row>
    <row r="90992">
      <c r="A90992" s="1" t="n">
        <v>90991</v>
      </c>
      <c r="B90992">
        <f>TEXT(90991, "[$-0E0000]yyyy-mm-dd")</f>
        <v/>
      </c>
    </row>
    <row r="90993">
      <c r="A90993" s="1" t="n">
        <v>90992</v>
      </c>
      <c r="B90993">
        <f>TEXT(90992, "[$-0E0000]yyyy-mm-dd")</f>
        <v/>
      </c>
    </row>
    <row r="90994">
      <c r="A90994" s="1" t="n">
        <v>90993</v>
      </c>
      <c r="B90994">
        <f>TEXT(90993, "[$-0E0000]yyyy-mm-dd")</f>
        <v/>
      </c>
    </row>
    <row r="90995">
      <c r="A90995" s="1" t="n">
        <v>90994</v>
      </c>
      <c r="B90995">
        <f>TEXT(90994, "[$-0E0000]yyyy-mm-dd")</f>
        <v/>
      </c>
    </row>
    <row r="90996">
      <c r="A90996" s="1" t="n">
        <v>90995</v>
      </c>
      <c r="B90996">
        <f>TEXT(90995, "[$-0E0000]yyyy-mm-dd")</f>
        <v/>
      </c>
    </row>
    <row r="90997">
      <c r="A90997" s="1" t="n">
        <v>90996</v>
      </c>
      <c r="B90997">
        <f>TEXT(90996, "[$-0E0000]yyyy-mm-dd")</f>
        <v/>
      </c>
    </row>
    <row r="90998">
      <c r="A90998" s="1" t="n">
        <v>90997</v>
      </c>
      <c r="B90998">
        <f>TEXT(90997, "[$-0E0000]yyyy-mm-dd")</f>
        <v/>
      </c>
    </row>
    <row r="90999">
      <c r="A90999" s="1" t="n">
        <v>90998</v>
      </c>
      <c r="B90999">
        <f>TEXT(90998, "[$-0E0000]yyyy-mm-dd")</f>
        <v/>
      </c>
    </row>
    <row r="91000">
      <c r="A91000" s="1" t="n">
        <v>90999</v>
      </c>
      <c r="B91000">
        <f>TEXT(90999, "[$-0E0000]yyyy-mm-dd")</f>
        <v/>
      </c>
    </row>
    <row r="91001">
      <c r="A91001" s="1" t="n">
        <v>91000</v>
      </c>
      <c r="B91001">
        <f>TEXT(91000, "[$-0E0000]yyyy-mm-dd")</f>
        <v/>
      </c>
    </row>
    <row r="91002">
      <c r="A91002" s="1" t="n">
        <v>91001</v>
      </c>
      <c r="B91002">
        <f>TEXT(91001, "[$-0E0000]yyyy-mm-dd")</f>
        <v/>
      </c>
    </row>
    <row r="91003">
      <c r="A91003" s="1" t="n">
        <v>91002</v>
      </c>
      <c r="B91003">
        <f>TEXT(91002, "[$-0E0000]yyyy-mm-dd")</f>
        <v/>
      </c>
    </row>
    <row r="91004">
      <c r="A91004" s="1" t="n">
        <v>91003</v>
      </c>
      <c r="B91004">
        <f>TEXT(91003, "[$-0E0000]yyyy-mm-dd")</f>
        <v/>
      </c>
    </row>
    <row r="91005">
      <c r="A91005" s="1" t="n">
        <v>91004</v>
      </c>
      <c r="B91005">
        <f>TEXT(91004, "[$-0E0000]yyyy-mm-dd")</f>
        <v/>
      </c>
    </row>
    <row r="91006">
      <c r="A91006" s="1" t="n">
        <v>91005</v>
      </c>
      <c r="B91006">
        <f>TEXT(91005, "[$-0E0000]yyyy-mm-dd")</f>
        <v/>
      </c>
    </row>
    <row r="91007">
      <c r="A91007" s="1" t="n">
        <v>91006</v>
      </c>
      <c r="B91007">
        <f>TEXT(91006, "[$-0E0000]yyyy-mm-dd")</f>
        <v/>
      </c>
    </row>
    <row r="91008">
      <c r="A91008" s="1" t="n">
        <v>91007</v>
      </c>
      <c r="B91008">
        <f>TEXT(91007, "[$-0E0000]yyyy-mm-dd")</f>
        <v/>
      </c>
    </row>
    <row r="91009">
      <c r="A91009" s="1" t="n">
        <v>91008</v>
      </c>
      <c r="B91009">
        <f>TEXT(91008, "[$-0E0000]yyyy-mm-dd")</f>
        <v/>
      </c>
    </row>
    <row r="91010">
      <c r="A91010" s="1" t="n">
        <v>91009</v>
      </c>
      <c r="B91010">
        <f>TEXT(91009, "[$-0E0000]yyyy-mm-dd")</f>
        <v/>
      </c>
    </row>
    <row r="91011">
      <c r="A91011" s="1" t="n">
        <v>91010</v>
      </c>
      <c r="B91011">
        <f>TEXT(91010, "[$-0E0000]yyyy-mm-dd")</f>
        <v/>
      </c>
    </row>
    <row r="91012">
      <c r="A91012" s="1" t="n">
        <v>91011</v>
      </c>
      <c r="B91012">
        <f>TEXT(91011, "[$-0E0000]yyyy-mm-dd")</f>
        <v/>
      </c>
    </row>
    <row r="91013">
      <c r="A91013" s="1" t="n">
        <v>91012</v>
      </c>
      <c r="B91013">
        <f>TEXT(91012, "[$-0E0000]yyyy-mm-dd")</f>
        <v/>
      </c>
    </row>
    <row r="91014">
      <c r="A91014" s="1" t="n">
        <v>91013</v>
      </c>
      <c r="B91014">
        <f>TEXT(91013, "[$-0E0000]yyyy-mm-dd")</f>
        <v/>
      </c>
    </row>
    <row r="91015">
      <c r="A91015" s="1" t="n">
        <v>91014</v>
      </c>
      <c r="B91015">
        <f>TEXT(91014, "[$-0E0000]yyyy-mm-dd")</f>
        <v/>
      </c>
    </row>
    <row r="91016">
      <c r="A91016" s="1" t="n">
        <v>91015</v>
      </c>
      <c r="B91016">
        <f>TEXT(91015, "[$-0E0000]yyyy-mm-dd")</f>
        <v/>
      </c>
    </row>
    <row r="91017">
      <c r="A91017" s="1" t="n">
        <v>91016</v>
      </c>
      <c r="B91017">
        <f>TEXT(91016, "[$-0E0000]yyyy-mm-dd")</f>
        <v/>
      </c>
    </row>
    <row r="91018">
      <c r="A91018" s="1" t="n">
        <v>91017</v>
      </c>
      <c r="B91018">
        <f>TEXT(91017, "[$-0E0000]yyyy-mm-dd")</f>
        <v/>
      </c>
    </row>
    <row r="91019">
      <c r="A91019" s="1" t="n">
        <v>91018</v>
      </c>
      <c r="B91019">
        <f>TEXT(91018, "[$-0E0000]yyyy-mm-dd")</f>
        <v/>
      </c>
    </row>
    <row r="91020">
      <c r="A91020" s="1" t="n">
        <v>91019</v>
      </c>
      <c r="B91020">
        <f>TEXT(91019, "[$-0E0000]yyyy-mm-dd")</f>
        <v/>
      </c>
    </row>
    <row r="91021">
      <c r="A91021" s="1" t="n">
        <v>91020</v>
      </c>
      <c r="B91021">
        <f>TEXT(91020, "[$-0E0000]yyyy-mm-dd")</f>
        <v/>
      </c>
    </row>
    <row r="91022">
      <c r="A91022" s="1" t="n">
        <v>91021</v>
      </c>
      <c r="B91022">
        <f>TEXT(91021, "[$-0E0000]yyyy-mm-dd")</f>
        <v/>
      </c>
    </row>
    <row r="91023">
      <c r="A91023" s="1" t="n">
        <v>91022</v>
      </c>
      <c r="B91023">
        <f>TEXT(91022, "[$-0E0000]yyyy-mm-dd")</f>
        <v/>
      </c>
    </row>
    <row r="91024">
      <c r="A91024" s="1" t="n">
        <v>91023</v>
      </c>
      <c r="B91024">
        <f>TEXT(91023, "[$-0E0000]yyyy-mm-dd")</f>
        <v/>
      </c>
    </row>
    <row r="91025">
      <c r="A91025" s="1" t="n">
        <v>91024</v>
      </c>
      <c r="B91025">
        <f>TEXT(91024, "[$-0E0000]yyyy-mm-dd")</f>
        <v/>
      </c>
    </row>
    <row r="91026">
      <c r="A91026" s="1" t="n">
        <v>91025</v>
      </c>
      <c r="B91026">
        <f>TEXT(91025, "[$-0E0000]yyyy-mm-dd")</f>
        <v/>
      </c>
    </row>
    <row r="91027">
      <c r="A91027" s="1" t="n">
        <v>91026</v>
      </c>
      <c r="B91027">
        <f>TEXT(91026, "[$-0E0000]yyyy-mm-dd")</f>
        <v/>
      </c>
    </row>
    <row r="91028">
      <c r="A91028" s="1" t="n">
        <v>91027</v>
      </c>
      <c r="B91028">
        <f>TEXT(91027, "[$-0E0000]yyyy-mm-dd")</f>
        <v/>
      </c>
    </row>
    <row r="91029">
      <c r="A91029" s="1" t="n">
        <v>91028</v>
      </c>
      <c r="B91029">
        <f>TEXT(91028, "[$-0E0000]yyyy-mm-dd")</f>
        <v/>
      </c>
    </row>
    <row r="91030">
      <c r="A91030" s="1" t="n">
        <v>91029</v>
      </c>
      <c r="B91030">
        <f>TEXT(91029, "[$-0E0000]yyyy-mm-dd")</f>
        <v/>
      </c>
    </row>
    <row r="91031">
      <c r="A91031" s="1" t="n">
        <v>91030</v>
      </c>
      <c r="B91031">
        <f>TEXT(91030, "[$-0E0000]yyyy-mm-dd")</f>
        <v/>
      </c>
    </row>
    <row r="91032">
      <c r="A91032" s="1" t="n">
        <v>91031</v>
      </c>
      <c r="B91032">
        <f>TEXT(91031, "[$-0E0000]yyyy-mm-dd")</f>
        <v/>
      </c>
    </row>
    <row r="91033">
      <c r="A91033" s="1" t="n">
        <v>91032</v>
      </c>
      <c r="B91033">
        <f>TEXT(91032, "[$-0E0000]yyyy-mm-dd")</f>
        <v/>
      </c>
    </row>
    <row r="91034">
      <c r="A91034" s="1" t="n">
        <v>91033</v>
      </c>
      <c r="B91034">
        <f>TEXT(91033, "[$-0E0000]yyyy-mm-dd")</f>
        <v/>
      </c>
    </row>
    <row r="91035">
      <c r="A91035" s="1" t="n">
        <v>91034</v>
      </c>
      <c r="B91035">
        <f>TEXT(91034, "[$-0E0000]yyyy-mm-dd")</f>
        <v/>
      </c>
    </row>
    <row r="91036">
      <c r="A91036" s="1" t="n">
        <v>91035</v>
      </c>
      <c r="B91036">
        <f>TEXT(91035, "[$-0E0000]yyyy-mm-dd")</f>
        <v/>
      </c>
    </row>
    <row r="91037">
      <c r="A91037" s="1" t="n">
        <v>91036</v>
      </c>
      <c r="B91037">
        <f>TEXT(91036, "[$-0E0000]yyyy-mm-dd")</f>
        <v/>
      </c>
    </row>
    <row r="91038">
      <c r="A91038" s="1" t="n">
        <v>91037</v>
      </c>
      <c r="B91038">
        <f>TEXT(91037, "[$-0E0000]yyyy-mm-dd")</f>
        <v/>
      </c>
    </row>
    <row r="91039">
      <c r="A91039" s="1" t="n">
        <v>91038</v>
      </c>
      <c r="B91039">
        <f>TEXT(91038, "[$-0E0000]yyyy-mm-dd")</f>
        <v/>
      </c>
    </row>
    <row r="91040">
      <c r="A91040" s="1" t="n">
        <v>91039</v>
      </c>
      <c r="B91040">
        <f>TEXT(91039, "[$-0E0000]yyyy-mm-dd")</f>
        <v/>
      </c>
    </row>
    <row r="91041">
      <c r="A91041" s="1" t="n">
        <v>91040</v>
      </c>
      <c r="B91041">
        <f>TEXT(91040, "[$-0E0000]yyyy-mm-dd")</f>
        <v/>
      </c>
    </row>
    <row r="91042">
      <c r="A91042" s="1" t="n">
        <v>91041</v>
      </c>
      <c r="B91042">
        <f>TEXT(91041, "[$-0E0000]yyyy-mm-dd")</f>
        <v/>
      </c>
    </row>
    <row r="91043">
      <c r="A91043" s="1" t="n">
        <v>91042</v>
      </c>
      <c r="B91043">
        <f>TEXT(91042, "[$-0E0000]yyyy-mm-dd")</f>
        <v/>
      </c>
    </row>
    <row r="91044">
      <c r="A91044" s="1" t="n">
        <v>91043</v>
      </c>
      <c r="B91044">
        <f>TEXT(91043, "[$-0E0000]yyyy-mm-dd")</f>
        <v/>
      </c>
    </row>
    <row r="91045">
      <c r="A91045" s="1" t="n">
        <v>91044</v>
      </c>
      <c r="B91045">
        <f>TEXT(91044, "[$-0E0000]yyyy-mm-dd")</f>
        <v/>
      </c>
    </row>
    <row r="91046">
      <c r="A91046" s="1" t="n">
        <v>91045</v>
      </c>
      <c r="B91046">
        <f>TEXT(91045, "[$-0E0000]yyyy-mm-dd")</f>
        <v/>
      </c>
    </row>
    <row r="91047">
      <c r="A91047" s="1" t="n">
        <v>91046</v>
      </c>
      <c r="B91047">
        <f>TEXT(91046, "[$-0E0000]yyyy-mm-dd")</f>
        <v/>
      </c>
    </row>
    <row r="91048">
      <c r="A91048" s="1" t="n">
        <v>91047</v>
      </c>
      <c r="B91048">
        <f>TEXT(91047, "[$-0E0000]yyyy-mm-dd")</f>
        <v/>
      </c>
    </row>
    <row r="91049">
      <c r="A91049" s="1" t="n">
        <v>91048</v>
      </c>
      <c r="B91049">
        <f>TEXT(91048, "[$-0E0000]yyyy-mm-dd")</f>
        <v/>
      </c>
    </row>
    <row r="91050">
      <c r="A91050" s="1" t="n">
        <v>91049</v>
      </c>
      <c r="B91050">
        <f>TEXT(91049, "[$-0E0000]yyyy-mm-dd")</f>
        <v/>
      </c>
    </row>
    <row r="91051">
      <c r="A91051" s="1" t="n">
        <v>91050</v>
      </c>
      <c r="B91051">
        <f>TEXT(91050, "[$-0E0000]yyyy-mm-dd")</f>
        <v/>
      </c>
    </row>
    <row r="91052">
      <c r="A91052" s="1" t="n">
        <v>91051</v>
      </c>
      <c r="B91052">
        <f>TEXT(91051, "[$-0E0000]yyyy-mm-dd")</f>
        <v/>
      </c>
    </row>
    <row r="91053">
      <c r="A91053" s="1" t="n">
        <v>91052</v>
      </c>
      <c r="B91053">
        <f>TEXT(91052, "[$-0E0000]yyyy-mm-dd")</f>
        <v/>
      </c>
    </row>
    <row r="91054">
      <c r="A91054" s="1" t="n">
        <v>91053</v>
      </c>
      <c r="B91054">
        <f>TEXT(91053, "[$-0E0000]yyyy-mm-dd")</f>
        <v/>
      </c>
    </row>
    <row r="91055">
      <c r="A91055" s="1" t="n">
        <v>91054</v>
      </c>
      <c r="B91055">
        <f>TEXT(91054, "[$-0E0000]yyyy-mm-dd")</f>
        <v/>
      </c>
    </row>
    <row r="91056">
      <c r="A91056" s="1" t="n">
        <v>91055</v>
      </c>
      <c r="B91056">
        <f>TEXT(91055, "[$-0E0000]yyyy-mm-dd")</f>
        <v/>
      </c>
    </row>
    <row r="91057">
      <c r="A91057" s="1" t="n">
        <v>91056</v>
      </c>
      <c r="B91057">
        <f>TEXT(91056, "[$-0E0000]yyyy-mm-dd")</f>
        <v/>
      </c>
    </row>
    <row r="91058">
      <c r="A91058" s="1" t="n">
        <v>91057</v>
      </c>
      <c r="B91058">
        <f>TEXT(91057, "[$-0E0000]yyyy-mm-dd")</f>
        <v/>
      </c>
    </row>
    <row r="91059">
      <c r="A91059" s="1" t="n">
        <v>91058</v>
      </c>
      <c r="B91059">
        <f>TEXT(91058, "[$-0E0000]yyyy-mm-dd")</f>
        <v/>
      </c>
    </row>
    <row r="91060">
      <c r="A91060" s="1" t="n">
        <v>91059</v>
      </c>
      <c r="B91060">
        <f>TEXT(91059, "[$-0E0000]yyyy-mm-dd")</f>
        <v/>
      </c>
    </row>
    <row r="91061">
      <c r="A91061" s="1" t="n">
        <v>91060</v>
      </c>
      <c r="B91061">
        <f>TEXT(91060, "[$-0E0000]yyyy-mm-dd")</f>
        <v/>
      </c>
    </row>
    <row r="91062">
      <c r="A91062" s="1" t="n">
        <v>91061</v>
      </c>
      <c r="B91062">
        <f>TEXT(91061, "[$-0E0000]yyyy-mm-dd")</f>
        <v/>
      </c>
    </row>
    <row r="91063">
      <c r="A91063" s="1" t="n">
        <v>91062</v>
      </c>
      <c r="B91063">
        <f>TEXT(91062, "[$-0E0000]yyyy-mm-dd")</f>
        <v/>
      </c>
    </row>
    <row r="91064">
      <c r="A91064" s="1" t="n">
        <v>91063</v>
      </c>
      <c r="B91064">
        <f>TEXT(91063, "[$-0E0000]yyyy-mm-dd")</f>
        <v/>
      </c>
    </row>
    <row r="91065">
      <c r="A91065" s="1" t="n">
        <v>91064</v>
      </c>
      <c r="B91065">
        <f>TEXT(91064, "[$-0E0000]yyyy-mm-dd")</f>
        <v/>
      </c>
    </row>
    <row r="91066">
      <c r="A91066" s="1" t="n">
        <v>91065</v>
      </c>
      <c r="B91066">
        <f>TEXT(91065, "[$-0E0000]yyyy-mm-dd")</f>
        <v/>
      </c>
    </row>
    <row r="91067">
      <c r="A91067" s="1" t="n">
        <v>91066</v>
      </c>
      <c r="B91067">
        <f>TEXT(91066, "[$-0E0000]yyyy-mm-dd")</f>
        <v/>
      </c>
    </row>
    <row r="91068">
      <c r="A91068" s="1" t="n">
        <v>91067</v>
      </c>
      <c r="B91068">
        <f>TEXT(91067, "[$-0E0000]yyyy-mm-dd")</f>
        <v/>
      </c>
    </row>
    <row r="91069">
      <c r="A91069" s="1" t="n">
        <v>91068</v>
      </c>
      <c r="B91069">
        <f>TEXT(91068, "[$-0E0000]yyyy-mm-dd")</f>
        <v/>
      </c>
    </row>
    <row r="91070">
      <c r="A91070" s="1" t="n">
        <v>91069</v>
      </c>
      <c r="B91070">
        <f>TEXT(91069, "[$-0E0000]yyyy-mm-dd")</f>
        <v/>
      </c>
    </row>
    <row r="91071">
      <c r="A91071" s="1" t="n">
        <v>91070</v>
      </c>
      <c r="B91071">
        <f>TEXT(91070, "[$-0E0000]yyyy-mm-dd")</f>
        <v/>
      </c>
    </row>
    <row r="91072">
      <c r="A91072" s="1" t="n">
        <v>91071</v>
      </c>
      <c r="B91072">
        <f>TEXT(91071, "[$-0E0000]yyyy-mm-dd")</f>
        <v/>
      </c>
    </row>
    <row r="91073">
      <c r="A91073" s="1" t="n">
        <v>91072</v>
      </c>
      <c r="B91073">
        <f>TEXT(91072, "[$-0E0000]yyyy-mm-dd")</f>
        <v/>
      </c>
    </row>
    <row r="91074">
      <c r="A91074" s="1" t="n">
        <v>91073</v>
      </c>
      <c r="B91074">
        <f>TEXT(91073, "[$-0E0000]yyyy-mm-dd")</f>
        <v/>
      </c>
    </row>
    <row r="91075">
      <c r="A91075" s="1" t="n">
        <v>91074</v>
      </c>
      <c r="B91075">
        <f>TEXT(91074, "[$-0E0000]yyyy-mm-dd")</f>
        <v/>
      </c>
    </row>
    <row r="91076">
      <c r="A91076" s="1" t="n">
        <v>91075</v>
      </c>
      <c r="B91076">
        <f>TEXT(91075, "[$-0E0000]yyyy-mm-dd")</f>
        <v/>
      </c>
    </row>
    <row r="91077">
      <c r="A91077" s="1" t="n">
        <v>91076</v>
      </c>
      <c r="B91077">
        <f>TEXT(91076, "[$-0E0000]yyyy-mm-dd")</f>
        <v/>
      </c>
    </row>
    <row r="91078">
      <c r="A91078" s="1" t="n">
        <v>91077</v>
      </c>
      <c r="B91078">
        <f>TEXT(91077, "[$-0E0000]yyyy-mm-dd")</f>
        <v/>
      </c>
    </row>
    <row r="91079">
      <c r="A91079" s="1" t="n">
        <v>91078</v>
      </c>
      <c r="B91079">
        <f>TEXT(91078, "[$-0E0000]yyyy-mm-dd")</f>
        <v/>
      </c>
    </row>
    <row r="91080">
      <c r="A91080" s="1" t="n">
        <v>91079</v>
      </c>
      <c r="B91080">
        <f>TEXT(91079, "[$-0E0000]yyyy-mm-dd")</f>
        <v/>
      </c>
    </row>
    <row r="91081">
      <c r="A91081" s="1" t="n">
        <v>91080</v>
      </c>
      <c r="B91081">
        <f>TEXT(91080, "[$-0E0000]yyyy-mm-dd")</f>
        <v/>
      </c>
    </row>
    <row r="91082">
      <c r="A91082" s="1" t="n">
        <v>91081</v>
      </c>
      <c r="B91082">
        <f>TEXT(91081, "[$-0E0000]yyyy-mm-dd")</f>
        <v/>
      </c>
    </row>
    <row r="91083">
      <c r="A91083" s="1" t="n">
        <v>91082</v>
      </c>
      <c r="B91083">
        <f>TEXT(91082, "[$-0E0000]yyyy-mm-dd")</f>
        <v/>
      </c>
    </row>
    <row r="91084">
      <c r="A91084" s="1" t="n">
        <v>91083</v>
      </c>
      <c r="B91084">
        <f>TEXT(91083, "[$-0E0000]yyyy-mm-dd")</f>
        <v/>
      </c>
    </row>
    <row r="91085">
      <c r="A91085" s="1" t="n">
        <v>91084</v>
      </c>
      <c r="B91085">
        <f>TEXT(91084, "[$-0E0000]yyyy-mm-dd")</f>
        <v/>
      </c>
    </row>
    <row r="91086">
      <c r="A91086" s="1" t="n">
        <v>91085</v>
      </c>
      <c r="B91086">
        <f>TEXT(91085, "[$-0E0000]yyyy-mm-dd")</f>
        <v/>
      </c>
    </row>
    <row r="91087">
      <c r="A91087" s="1" t="n">
        <v>91086</v>
      </c>
      <c r="B91087">
        <f>TEXT(91086, "[$-0E0000]yyyy-mm-dd")</f>
        <v/>
      </c>
    </row>
    <row r="91088">
      <c r="A91088" s="1" t="n">
        <v>91087</v>
      </c>
      <c r="B91088">
        <f>TEXT(91087, "[$-0E0000]yyyy-mm-dd")</f>
        <v/>
      </c>
    </row>
    <row r="91089">
      <c r="A91089" s="1" t="n">
        <v>91088</v>
      </c>
      <c r="B91089">
        <f>TEXT(91088, "[$-0E0000]yyyy-mm-dd")</f>
        <v/>
      </c>
    </row>
    <row r="91090">
      <c r="A91090" s="1" t="n">
        <v>91089</v>
      </c>
      <c r="B91090">
        <f>TEXT(91089, "[$-0E0000]yyyy-mm-dd")</f>
        <v/>
      </c>
    </row>
    <row r="91091">
      <c r="A91091" s="1" t="n">
        <v>91090</v>
      </c>
      <c r="B91091">
        <f>TEXT(91090, "[$-0E0000]yyyy-mm-dd")</f>
        <v/>
      </c>
    </row>
    <row r="91092">
      <c r="A91092" s="1" t="n">
        <v>91091</v>
      </c>
      <c r="B91092">
        <f>TEXT(91091, "[$-0E0000]yyyy-mm-dd")</f>
        <v/>
      </c>
    </row>
    <row r="91093">
      <c r="A91093" s="1" t="n">
        <v>91092</v>
      </c>
      <c r="B91093">
        <f>TEXT(91092, "[$-0E0000]yyyy-mm-dd")</f>
        <v/>
      </c>
    </row>
    <row r="91094">
      <c r="A91094" s="1" t="n">
        <v>91093</v>
      </c>
      <c r="B91094">
        <f>TEXT(91093, "[$-0E0000]yyyy-mm-dd")</f>
        <v/>
      </c>
    </row>
    <row r="91095">
      <c r="A91095" s="1" t="n">
        <v>91094</v>
      </c>
      <c r="B91095">
        <f>TEXT(91094, "[$-0E0000]yyyy-mm-dd")</f>
        <v/>
      </c>
    </row>
    <row r="91096">
      <c r="A91096" s="1" t="n">
        <v>91095</v>
      </c>
      <c r="B91096">
        <f>TEXT(91095, "[$-0E0000]yyyy-mm-dd")</f>
        <v/>
      </c>
    </row>
    <row r="91097">
      <c r="A91097" s="1" t="n">
        <v>91096</v>
      </c>
      <c r="B91097">
        <f>TEXT(91096, "[$-0E0000]yyyy-mm-dd")</f>
        <v/>
      </c>
    </row>
    <row r="91098">
      <c r="A91098" s="1" t="n">
        <v>91097</v>
      </c>
      <c r="B91098">
        <f>TEXT(91097, "[$-0E0000]yyyy-mm-dd")</f>
        <v/>
      </c>
    </row>
    <row r="91099">
      <c r="A91099" s="1" t="n">
        <v>91098</v>
      </c>
      <c r="B91099">
        <f>TEXT(91098, "[$-0E0000]yyyy-mm-dd")</f>
        <v/>
      </c>
    </row>
    <row r="91100">
      <c r="A91100" s="1" t="n">
        <v>91099</v>
      </c>
      <c r="B91100">
        <f>TEXT(91099, "[$-0E0000]yyyy-mm-dd")</f>
        <v/>
      </c>
    </row>
    <row r="91101">
      <c r="A91101" s="1" t="n">
        <v>91100</v>
      </c>
      <c r="B91101">
        <f>TEXT(91100, "[$-0E0000]yyyy-mm-dd")</f>
        <v/>
      </c>
    </row>
    <row r="91102">
      <c r="A91102" s="1" t="n">
        <v>91101</v>
      </c>
      <c r="B91102">
        <f>TEXT(91101, "[$-0E0000]yyyy-mm-dd")</f>
        <v/>
      </c>
    </row>
    <row r="91103">
      <c r="A91103" s="1" t="n">
        <v>91102</v>
      </c>
      <c r="B91103">
        <f>TEXT(91102, "[$-0E0000]yyyy-mm-dd")</f>
        <v/>
      </c>
    </row>
    <row r="91104">
      <c r="A91104" s="1" t="n">
        <v>91103</v>
      </c>
      <c r="B91104">
        <f>TEXT(91103, "[$-0E0000]yyyy-mm-dd")</f>
        <v/>
      </c>
    </row>
    <row r="91105">
      <c r="A91105" s="1" t="n">
        <v>91104</v>
      </c>
      <c r="B91105">
        <f>TEXT(91104, "[$-0E0000]yyyy-mm-dd")</f>
        <v/>
      </c>
    </row>
    <row r="91106">
      <c r="A91106" s="1" t="n">
        <v>91105</v>
      </c>
      <c r="B91106">
        <f>TEXT(91105, "[$-0E0000]yyyy-mm-dd")</f>
        <v/>
      </c>
    </row>
    <row r="91107">
      <c r="A91107" s="1" t="n">
        <v>91106</v>
      </c>
      <c r="B91107">
        <f>TEXT(91106, "[$-0E0000]yyyy-mm-dd")</f>
        <v/>
      </c>
    </row>
    <row r="91108">
      <c r="A91108" s="1" t="n">
        <v>91107</v>
      </c>
      <c r="B91108">
        <f>TEXT(91107, "[$-0E0000]yyyy-mm-dd")</f>
        <v/>
      </c>
    </row>
    <row r="91109">
      <c r="A91109" s="1" t="n">
        <v>91108</v>
      </c>
      <c r="B91109">
        <f>TEXT(91108, "[$-0E0000]yyyy-mm-dd")</f>
        <v/>
      </c>
    </row>
    <row r="91110">
      <c r="A91110" s="1" t="n">
        <v>91109</v>
      </c>
      <c r="B91110">
        <f>TEXT(91109, "[$-0E0000]yyyy-mm-dd")</f>
        <v/>
      </c>
    </row>
    <row r="91111">
      <c r="A91111" s="1" t="n">
        <v>91110</v>
      </c>
      <c r="B91111">
        <f>TEXT(91110, "[$-0E0000]yyyy-mm-dd")</f>
        <v/>
      </c>
    </row>
    <row r="91112">
      <c r="A91112" s="1" t="n">
        <v>91111</v>
      </c>
      <c r="B91112">
        <f>TEXT(91111, "[$-0E0000]yyyy-mm-dd")</f>
        <v/>
      </c>
    </row>
    <row r="91113">
      <c r="A91113" s="1" t="n">
        <v>91112</v>
      </c>
      <c r="B91113">
        <f>TEXT(91112, "[$-0E0000]yyyy-mm-dd")</f>
        <v/>
      </c>
    </row>
    <row r="91114">
      <c r="A91114" s="1" t="n">
        <v>91113</v>
      </c>
      <c r="B91114">
        <f>TEXT(91113, "[$-0E0000]yyyy-mm-dd")</f>
        <v/>
      </c>
    </row>
    <row r="91115">
      <c r="A91115" s="1" t="n">
        <v>91114</v>
      </c>
      <c r="B91115">
        <f>TEXT(91114, "[$-0E0000]yyyy-mm-dd")</f>
        <v/>
      </c>
    </row>
    <row r="91116">
      <c r="A91116" s="1" t="n">
        <v>91115</v>
      </c>
      <c r="B91116">
        <f>TEXT(91115, "[$-0E0000]yyyy-mm-dd")</f>
        <v/>
      </c>
    </row>
    <row r="91117">
      <c r="A91117" s="1" t="n">
        <v>91116</v>
      </c>
      <c r="B91117">
        <f>TEXT(91116, "[$-0E0000]yyyy-mm-dd")</f>
        <v/>
      </c>
    </row>
    <row r="91118">
      <c r="A91118" s="1" t="n">
        <v>91117</v>
      </c>
      <c r="B91118">
        <f>TEXT(91117, "[$-0E0000]yyyy-mm-dd")</f>
        <v/>
      </c>
    </row>
    <row r="91119">
      <c r="A91119" s="1" t="n">
        <v>91118</v>
      </c>
      <c r="B91119">
        <f>TEXT(91118, "[$-0E0000]yyyy-mm-dd")</f>
        <v/>
      </c>
    </row>
    <row r="91120">
      <c r="A91120" s="1" t="n">
        <v>91119</v>
      </c>
      <c r="B91120">
        <f>TEXT(91119, "[$-0E0000]yyyy-mm-dd")</f>
        <v/>
      </c>
    </row>
    <row r="91121">
      <c r="A91121" s="1" t="n">
        <v>91120</v>
      </c>
      <c r="B91121">
        <f>TEXT(91120, "[$-0E0000]yyyy-mm-dd")</f>
        <v/>
      </c>
    </row>
    <row r="91122">
      <c r="A91122" s="1" t="n">
        <v>91121</v>
      </c>
      <c r="B91122">
        <f>TEXT(91121, "[$-0E0000]yyyy-mm-dd")</f>
        <v/>
      </c>
    </row>
    <row r="91123">
      <c r="A91123" s="1" t="n">
        <v>91122</v>
      </c>
      <c r="B91123">
        <f>TEXT(91122, "[$-0E0000]yyyy-mm-dd")</f>
        <v/>
      </c>
    </row>
    <row r="91124">
      <c r="A91124" s="1" t="n">
        <v>91123</v>
      </c>
      <c r="B91124">
        <f>TEXT(91123, "[$-0E0000]yyyy-mm-dd")</f>
        <v/>
      </c>
    </row>
    <row r="91125">
      <c r="A91125" s="1" t="n">
        <v>91124</v>
      </c>
      <c r="B91125">
        <f>TEXT(91124, "[$-0E0000]yyyy-mm-dd")</f>
        <v/>
      </c>
    </row>
    <row r="91126">
      <c r="A91126" s="1" t="n">
        <v>91125</v>
      </c>
      <c r="B91126">
        <f>TEXT(91125, "[$-0E0000]yyyy-mm-dd")</f>
        <v/>
      </c>
    </row>
    <row r="91127">
      <c r="A91127" s="1" t="n">
        <v>91126</v>
      </c>
      <c r="B91127">
        <f>TEXT(91126, "[$-0E0000]yyyy-mm-dd")</f>
        <v/>
      </c>
    </row>
    <row r="91128">
      <c r="A91128" s="1" t="n">
        <v>91127</v>
      </c>
      <c r="B91128">
        <f>TEXT(91127, "[$-0E0000]yyyy-mm-dd")</f>
        <v/>
      </c>
    </row>
    <row r="91129">
      <c r="A91129" s="1" t="n">
        <v>91128</v>
      </c>
      <c r="B91129">
        <f>TEXT(91128, "[$-0E0000]yyyy-mm-dd")</f>
        <v/>
      </c>
    </row>
    <row r="91130">
      <c r="A91130" s="1" t="n">
        <v>91129</v>
      </c>
      <c r="B91130">
        <f>TEXT(91129, "[$-0E0000]yyyy-mm-dd")</f>
        <v/>
      </c>
    </row>
    <row r="91131">
      <c r="A91131" s="1" t="n">
        <v>91130</v>
      </c>
      <c r="B91131">
        <f>TEXT(91130, "[$-0E0000]yyyy-mm-dd")</f>
        <v/>
      </c>
    </row>
    <row r="91132">
      <c r="A91132" s="1" t="n">
        <v>91131</v>
      </c>
      <c r="B91132">
        <f>TEXT(91131, "[$-0E0000]yyyy-mm-dd")</f>
        <v/>
      </c>
    </row>
    <row r="91133">
      <c r="A91133" s="1" t="n">
        <v>91132</v>
      </c>
      <c r="B91133">
        <f>TEXT(91132, "[$-0E0000]yyyy-mm-dd")</f>
        <v/>
      </c>
    </row>
    <row r="91134">
      <c r="A91134" s="1" t="n">
        <v>91133</v>
      </c>
      <c r="B91134">
        <f>TEXT(91133, "[$-0E0000]yyyy-mm-dd")</f>
        <v/>
      </c>
    </row>
    <row r="91135">
      <c r="A91135" s="1" t="n">
        <v>91134</v>
      </c>
      <c r="B91135">
        <f>TEXT(91134, "[$-0E0000]yyyy-mm-dd")</f>
        <v/>
      </c>
    </row>
    <row r="91136">
      <c r="A91136" s="1" t="n">
        <v>91135</v>
      </c>
      <c r="B91136">
        <f>TEXT(91135, "[$-0E0000]yyyy-mm-dd")</f>
        <v/>
      </c>
    </row>
    <row r="91137">
      <c r="A91137" s="1" t="n">
        <v>91136</v>
      </c>
      <c r="B91137">
        <f>TEXT(91136, "[$-0E0000]yyyy-mm-dd")</f>
        <v/>
      </c>
    </row>
    <row r="91138">
      <c r="A91138" s="1" t="n">
        <v>91137</v>
      </c>
      <c r="B91138">
        <f>TEXT(91137, "[$-0E0000]yyyy-mm-dd")</f>
        <v/>
      </c>
    </row>
    <row r="91139">
      <c r="A91139" s="1" t="n">
        <v>91138</v>
      </c>
      <c r="B91139">
        <f>TEXT(91138, "[$-0E0000]yyyy-mm-dd")</f>
        <v/>
      </c>
    </row>
    <row r="91140">
      <c r="A91140" s="1" t="n">
        <v>91139</v>
      </c>
      <c r="B91140">
        <f>TEXT(91139, "[$-0E0000]yyyy-mm-dd")</f>
        <v/>
      </c>
    </row>
    <row r="91141">
      <c r="A91141" s="1" t="n">
        <v>91140</v>
      </c>
      <c r="B91141">
        <f>TEXT(91140, "[$-0E0000]yyyy-mm-dd")</f>
        <v/>
      </c>
    </row>
    <row r="91142">
      <c r="A91142" s="1" t="n">
        <v>91141</v>
      </c>
      <c r="B91142">
        <f>TEXT(91141, "[$-0E0000]yyyy-mm-dd")</f>
        <v/>
      </c>
    </row>
    <row r="91143">
      <c r="A91143" s="1" t="n">
        <v>91142</v>
      </c>
      <c r="B91143">
        <f>TEXT(91142, "[$-0E0000]yyyy-mm-dd")</f>
        <v/>
      </c>
    </row>
    <row r="91144">
      <c r="A91144" s="1" t="n">
        <v>91143</v>
      </c>
      <c r="B91144">
        <f>TEXT(91143, "[$-0E0000]yyyy-mm-dd")</f>
        <v/>
      </c>
    </row>
    <row r="91145">
      <c r="A91145" s="1" t="n">
        <v>91144</v>
      </c>
      <c r="B91145">
        <f>TEXT(91144, "[$-0E0000]yyyy-mm-dd")</f>
        <v/>
      </c>
    </row>
    <row r="91146">
      <c r="A91146" s="1" t="n">
        <v>91145</v>
      </c>
      <c r="B91146">
        <f>TEXT(91145, "[$-0E0000]yyyy-mm-dd")</f>
        <v/>
      </c>
    </row>
    <row r="91147">
      <c r="A91147" s="1" t="n">
        <v>91146</v>
      </c>
      <c r="B91147">
        <f>TEXT(91146, "[$-0E0000]yyyy-mm-dd")</f>
        <v/>
      </c>
    </row>
    <row r="91148">
      <c r="A91148" s="1" t="n">
        <v>91147</v>
      </c>
      <c r="B91148">
        <f>TEXT(91147, "[$-0E0000]yyyy-mm-dd")</f>
        <v/>
      </c>
    </row>
    <row r="91149">
      <c r="A91149" s="1" t="n">
        <v>91148</v>
      </c>
      <c r="B91149">
        <f>TEXT(91148, "[$-0E0000]yyyy-mm-dd")</f>
        <v/>
      </c>
    </row>
    <row r="91150">
      <c r="A91150" s="1" t="n">
        <v>91149</v>
      </c>
      <c r="B91150">
        <f>TEXT(91149, "[$-0E0000]yyyy-mm-dd")</f>
        <v/>
      </c>
    </row>
    <row r="91151">
      <c r="A91151" s="1" t="n">
        <v>91150</v>
      </c>
      <c r="B91151">
        <f>TEXT(91150, "[$-0E0000]yyyy-mm-dd")</f>
        <v/>
      </c>
    </row>
    <row r="91152">
      <c r="A91152" s="1" t="n">
        <v>91151</v>
      </c>
      <c r="B91152">
        <f>TEXT(91151, "[$-0E0000]yyyy-mm-dd")</f>
        <v/>
      </c>
    </row>
    <row r="91153">
      <c r="A91153" s="1" t="n">
        <v>91152</v>
      </c>
      <c r="B91153">
        <f>TEXT(91152, "[$-0E0000]yyyy-mm-dd")</f>
        <v/>
      </c>
    </row>
    <row r="91154">
      <c r="A91154" s="1" t="n">
        <v>91153</v>
      </c>
      <c r="B91154">
        <f>TEXT(91153, "[$-0E0000]yyyy-mm-dd")</f>
        <v/>
      </c>
    </row>
    <row r="91155">
      <c r="A91155" s="1" t="n">
        <v>91154</v>
      </c>
      <c r="B91155">
        <f>TEXT(91154, "[$-0E0000]yyyy-mm-dd")</f>
        <v/>
      </c>
    </row>
    <row r="91156">
      <c r="A91156" s="1" t="n">
        <v>91155</v>
      </c>
      <c r="B91156">
        <f>TEXT(91155, "[$-0E0000]yyyy-mm-dd")</f>
        <v/>
      </c>
    </row>
    <row r="91157">
      <c r="A91157" s="1" t="n">
        <v>91156</v>
      </c>
      <c r="B91157">
        <f>TEXT(91156, "[$-0E0000]yyyy-mm-dd")</f>
        <v/>
      </c>
    </row>
    <row r="91158">
      <c r="A91158" s="1" t="n">
        <v>91157</v>
      </c>
      <c r="B91158">
        <f>TEXT(91157, "[$-0E0000]yyyy-mm-dd")</f>
        <v/>
      </c>
    </row>
    <row r="91159">
      <c r="A91159" s="1" t="n">
        <v>91158</v>
      </c>
      <c r="B91159">
        <f>TEXT(91158, "[$-0E0000]yyyy-mm-dd")</f>
        <v/>
      </c>
    </row>
    <row r="91160">
      <c r="A91160" s="1" t="n">
        <v>91159</v>
      </c>
      <c r="B91160">
        <f>TEXT(91159, "[$-0E0000]yyyy-mm-dd")</f>
        <v/>
      </c>
    </row>
    <row r="91161">
      <c r="A91161" s="1" t="n">
        <v>91160</v>
      </c>
      <c r="B91161">
        <f>TEXT(91160, "[$-0E0000]yyyy-mm-dd")</f>
        <v/>
      </c>
    </row>
    <row r="91162">
      <c r="A91162" s="1" t="n">
        <v>91161</v>
      </c>
      <c r="B91162">
        <f>TEXT(91161, "[$-0E0000]yyyy-mm-dd")</f>
        <v/>
      </c>
    </row>
    <row r="91163">
      <c r="A91163" s="1" t="n">
        <v>91162</v>
      </c>
      <c r="B91163">
        <f>TEXT(91162, "[$-0E0000]yyyy-mm-dd")</f>
        <v/>
      </c>
    </row>
    <row r="91164">
      <c r="A91164" s="1" t="n">
        <v>91163</v>
      </c>
      <c r="B91164">
        <f>TEXT(91163, "[$-0E0000]yyyy-mm-dd")</f>
        <v/>
      </c>
    </row>
    <row r="91165">
      <c r="A91165" s="1" t="n">
        <v>91164</v>
      </c>
      <c r="B91165">
        <f>TEXT(91164, "[$-0E0000]yyyy-mm-dd")</f>
        <v/>
      </c>
    </row>
    <row r="91166">
      <c r="A91166" s="1" t="n">
        <v>91165</v>
      </c>
      <c r="B91166">
        <f>TEXT(91165, "[$-0E0000]yyyy-mm-dd")</f>
        <v/>
      </c>
    </row>
    <row r="91167">
      <c r="A91167" s="1" t="n">
        <v>91166</v>
      </c>
      <c r="B91167">
        <f>TEXT(91166, "[$-0E0000]yyyy-mm-dd")</f>
        <v/>
      </c>
    </row>
    <row r="91168">
      <c r="A91168" s="1" t="n">
        <v>91167</v>
      </c>
      <c r="B91168">
        <f>TEXT(91167, "[$-0E0000]yyyy-mm-dd")</f>
        <v/>
      </c>
    </row>
    <row r="91169">
      <c r="A91169" s="1" t="n">
        <v>91168</v>
      </c>
      <c r="B91169">
        <f>TEXT(91168, "[$-0E0000]yyyy-mm-dd")</f>
        <v/>
      </c>
    </row>
    <row r="91170">
      <c r="A91170" s="1" t="n">
        <v>91169</v>
      </c>
      <c r="B91170">
        <f>TEXT(91169, "[$-0E0000]yyyy-mm-dd")</f>
        <v/>
      </c>
    </row>
    <row r="91171">
      <c r="A91171" s="1" t="n">
        <v>91170</v>
      </c>
      <c r="B91171">
        <f>TEXT(91170, "[$-0E0000]yyyy-mm-dd")</f>
        <v/>
      </c>
    </row>
    <row r="91172">
      <c r="A91172" s="1" t="n">
        <v>91171</v>
      </c>
      <c r="B91172">
        <f>TEXT(91171, "[$-0E0000]yyyy-mm-dd")</f>
        <v/>
      </c>
    </row>
    <row r="91173">
      <c r="A91173" s="1" t="n">
        <v>91172</v>
      </c>
      <c r="B91173">
        <f>TEXT(91172, "[$-0E0000]yyyy-mm-dd")</f>
        <v/>
      </c>
    </row>
    <row r="91174">
      <c r="A91174" s="1" t="n">
        <v>91173</v>
      </c>
      <c r="B91174">
        <f>TEXT(91173, "[$-0E0000]yyyy-mm-dd")</f>
        <v/>
      </c>
    </row>
    <row r="91175">
      <c r="A91175" s="1" t="n">
        <v>91174</v>
      </c>
      <c r="B91175">
        <f>TEXT(91174, "[$-0E0000]yyyy-mm-dd")</f>
        <v/>
      </c>
    </row>
    <row r="91176">
      <c r="A91176" s="1" t="n">
        <v>91175</v>
      </c>
      <c r="B91176">
        <f>TEXT(91175, "[$-0E0000]yyyy-mm-dd")</f>
        <v/>
      </c>
    </row>
    <row r="91177">
      <c r="A91177" s="1" t="n">
        <v>91176</v>
      </c>
      <c r="B91177">
        <f>TEXT(91176, "[$-0E0000]yyyy-mm-dd")</f>
        <v/>
      </c>
    </row>
    <row r="91178">
      <c r="A91178" s="1" t="n">
        <v>91177</v>
      </c>
      <c r="B91178">
        <f>TEXT(91177, "[$-0E0000]yyyy-mm-dd")</f>
        <v/>
      </c>
    </row>
    <row r="91179">
      <c r="A91179" s="1" t="n">
        <v>91178</v>
      </c>
      <c r="B91179">
        <f>TEXT(91178, "[$-0E0000]yyyy-mm-dd")</f>
        <v/>
      </c>
    </row>
    <row r="91180">
      <c r="A91180" s="1" t="n">
        <v>91179</v>
      </c>
      <c r="B91180">
        <f>TEXT(91179, "[$-0E0000]yyyy-mm-dd")</f>
        <v/>
      </c>
    </row>
    <row r="91181">
      <c r="A91181" s="1" t="n">
        <v>91180</v>
      </c>
      <c r="B91181">
        <f>TEXT(91180, "[$-0E0000]yyyy-mm-dd")</f>
        <v/>
      </c>
    </row>
    <row r="91182">
      <c r="A91182" s="1" t="n">
        <v>91181</v>
      </c>
      <c r="B91182">
        <f>TEXT(91181, "[$-0E0000]yyyy-mm-dd")</f>
        <v/>
      </c>
    </row>
    <row r="91183">
      <c r="A91183" s="1" t="n">
        <v>91182</v>
      </c>
      <c r="B91183">
        <f>TEXT(91182, "[$-0E0000]yyyy-mm-dd")</f>
        <v/>
      </c>
    </row>
    <row r="91184">
      <c r="A91184" s="1" t="n">
        <v>91183</v>
      </c>
      <c r="B91184">
        <f>TEXT(91183, "[$-0E0000]yyyy-mm-dd")</f>
        <v/>
      </c>
    </row>
    <row r="91185">
      <c r="A91185" s="1" t="n">
        <v>91184</v>
      </c>
      <c r="B91185">
        <f>TEXT(91184, "[$-0E0000]yyyy-mm-dd")</f>
        <v/>
      </c>
    </row>
    <row r="91186">
      <c r="A91186" s="1" t="n">
        <v>91185</v>
      </c>
      <c r="B91186">
        <f>TEXT(91185, "[$-0E0000]yyyy-mm-dd")</f>
        <v/>
      </c>
    </row>
    <row r="91187">
      <c r="A91187" s="1" t="n">
        <v>91186</v>
      </c>
      <c r="B91187">
        <f>TEXT(91186, "[$-0E0000]yyyy-mm-dd")</f>
        <v/>
      </c>
    </row>
    <row r="91188">
      <c r="A91188" s="1" t="n">
        <v>91187</v>
      </c>
      <c r="B91188">
        <f>TEXT(91187, "[$-0E0000]yyyy-mm-dd")</f>
        <v/>
      </c>
    </row>
    <row r="91189">
      <c r="A91189" s="1" t="n">
        <v>91188</v>
      </c>
      <c r="B91189">
        <f>TEXT(91188, "[$-0E0000]yyyy-mm-dd")</f>
        <v/>
      </c>
    </row>
    <row r="91190">
      <c r="A91190" s="1" t="n">
        <v>91189</v>
      </c>
      <c r="B91190">
        <f>TEXT(91189, "[$-0E0000]yyyy-mm-dd")</f>
        <v/>
      </c>
    </row>
    <row r="91191">
      <c r="A91191" s="1" t="n">
        <v>91190</v>
      </c>
      <c r="B91191">
        <f>TEXT(91190, "[$-0E0000]yyyy-mm-dd")</f>
        <v/>
      </c>
    </row>
    <row r="91192">
      <c r="A91192" s="1" t="n">
        <v>91191</v>
      </c>
      <c r="B91192">
        <f>TEXT(91191, "[$-0E0000]yyyy-mm-dd")</f>
        <v/>
      </c>
    </row>
    <row r="91193">
      <c r="A91193" s="1" t="n">
        <v>91192</v>
      </c>
      <c r="B91193">
        <f>TEXT(91192, "[$-0E0000]yyyy-mm-dd")</f>
        <v/>
      </c>
    </row>
    <row r="91194">
      <c r="A91194" s="1" t="n">
        <v>91193</v>
      </c>
      <c r="B91194">
        <f>TEXT(91193, "[$-0E0000]yyyy-mm-dd")</f>
        <v/>
      </c>
    </row>
    <row r="91195">
      <c r="A91195" s="1" t="n">
        <v>91194</v>
      </c>
      <c r="B91195">
        <f>TEXT(91194, "[$-0E0000]yyyy-mm-dd")</f>
        <v/>
      </c>
    </row>
    <row r="91196">
      <c r="A91196" s="1" t="n">
        <v>91195</v>
      </c>
      <c r="B91196">
        <f>TEXT(91195, "[$-0E0000]yyyy-mm-dd")</f>
        <v/>
      </c>
    </row>
    <row r="91197">
      <c r="A91197" s="1" t="n">
        <v>91196</v>
      </c>
      <c r="B91197">
        <f>TEXT(91196, "[$-0E0000]yyyy-mm-dd")</f>
        <v/>
      </c>
    </row>
    <row r="91198">
      <c r="A91198" s="1" t="n">
        <v>91197</v>
      </c>
      <c r="B91198">
        <f>TEXT(91197, "[$-0E0000]yyyy-mm-dd")</f>
        <v/>
      </c>
    </row>
    <row r="91199">
      <c r="A91199" s="1" t="n">
        <v>91198</v>
      </c>
      <c r="B91199">
        <f>TEXT(91198, "[$-0E0000]yyyy-mm-dd")</f>
        <v/>
      </c>
    </row>
    <row r="91200">
      <c r="A91200" s="1" t="n">
        <v>91199</v>
      </c>
      <c r="B91200">
        <f>TEXT(91199, "[$-0E0000]yyyy-mm-dd")</f>
        <v/>
      </c>
    </row>
    <row r="91201">
      <c r="A91201" s="1" t="n">
        <v>91200</v>
      </c>
      <c r="B91201">
        <f>TEXT(91200, "[$-0E0000]yyyy-mm-dd")</f>
        <v/>
      </c>
    </row>
    <row r="91202">
      <c r="A91202" s="1" t="n">
        <v>91201</v>
      </c>
      <c r="B91202">
        <f>TEXT(91201, "[$-0E0000]yyyy-mm-dd")</f>
        <v/>
      </c>
    </row>
    <row r="91203">
      <c r="A91203" s="1" t="n">
        <v>91202</v>
      </c>
      <c r="B91203">
        <f>TEXT(91202, "[$-0E0000]yyyy-mm-dd")</f>
        <v/>
      </c>
    </row>
    <row r="91204">
      <c r="A91204" s="1" t="n">
        <v>91203</v>
      </c>
      <c r="B91204">
        <f>TEXT(91203, "[$-0E0000]yyyy-mm-dd")</f>
        <v/>
      </c>
    </row>
    <row r="91205">
      <c r="A91205" s="1" t="n">
        <v>91204</v>
      </c>
      <c r="B91205">
        <f>TEXT(91204, "[$-0E0000]yyyy-mm-dd")</f>
        <v/>
      </c>
    </row>
    <row r="91206">
      <c r="A91206" s="1" t="n">
        <v>91205</v>
      </c>
      <c r="B91206">
        <f>TEXT(91205, "[$-0E0000]yyyy-mm-dd")</f>
        <v/>
      </c>
    </row>
    <row r="91207">
      <c r="A91207" s="1" t="n">
        <v>91206</v>
      </c>
      <c r="B91207">
        <f>TEXT(91206, "[$-0E0000]yyyy-mm-dd")</f>
        <v/>
      </c>
    </row>
    <row r="91208">
      <c r="A91208" s="1" t="n">
        <v>91207</v>
      </c>
      <c r="B91208">
        <f>TEXT(91207, "[$-0E0000]yyyy-mm-dd")</f>
        <v/>
      </c>
    </row>
    <row r="91209">
      <c r="A91209" s="1" t="n">
        <v>91208</v>
      </c>
      <c r="B91209">
        <f>TEXT(91208, "[$-0E0000]yyyy-mm-dd")</f>
        <v/>
      </c>
    </row>
    <row r="91210">
      <c r="A91210" s="1" t="n">
        <v>91209</v>
      </c>
      <c r="B91210">
        <f>TEXT(91209, "[$-0E0000]yyyy-mm-dd")</f>
        <v/>
      </c>
    </row>
    <row r="91211">
      <c r="A91211" s="1" t="n">
        <v>91210</v>
      </c>
      <c r="B91211">
        <f>TEXT(91210, "[$-0E0000]yyyy-mm-dd")</f>
        <v/>
      </c>
    </row>
    <row r="91212">
      <c r="A91212" s="1" t="n">
        <v>91211</v>
      </c>
      <c r="B91212">
        <f>TEXT(91211, "[$-0E0000]yyyy-mm-dd")</f>
        <v/>
      </c>
    </row>
    <row r="91213">
      <c r="A91213" s="1" t="n">
        <v>91212</v>
      </c>
      <c r="B91213">
        <f>TEXT(91212, "[$-0E0000]yyyy-mm-dd")</f>
        <v/>
      </c>
    </row>
    <row r="91214">
      <c r="A91214" s="1" t="n">
        <v>91213</v>
      </c>
      <c r="B91214">
        <f>TEXT(91213, "[$-0E0000]yyyy-mm-dd")</f>
        <v/>
      </c>
    </row>
    <row r="91215">
      <c r="A91215" s="1" t="n">
        <v>91214</v>
      </c>
      <c r="B91215">
        <f>TEXT(91214, "[$-0E0000]yyyy-mm-dd")</f>
        <v/>
      </c>
    </row>
    <row r="91216">
      <c r="A91216" s="1" t="n">
        <v>91215</v>
      </c>
      <c r="B91216">
        <f>TEXT(91215, "[$-0E0000]yyyy-mm-dd")</f>
        <v/>
      </c>
    </row>
    <row r="91217">
      <c r="A91217" s="1" t="n">
        <v>91216</v>
      </c>
      <c r="B91217">
        <f>TEXT(91216, "[$-0E0000]yyyy-mm-dd")</f>
        <v/>
      </c>
    </row>
    <row r="91218">
      <c r="A91218" s="1" t="n">
        <v>91217</v>
      </c>
      <c r="B91218">
        <f>TEXT(91217, "[$-0E0000]yyyy-mm-dd")</f>
        <v/>
      </c>
    </row>
    <row r="91219">
      <c r="A91219" s="1" t="n">
        <v>91218</v>
      </c>
      <c r="B91219">
        <f>TEXT(91218, "[$-0E0000]yyyy-mm-dd")</f>
        <v/>
      </c>
    </row>
    <row r="91220">
      <c r="A91220" s="1" t="n">
        <v>91219</v>
      </c>
      <c r="B91220">
        <f>TEXT(91219, "[$-0E0000]yyyy-mm-dd")</f>
        <v/>
      </c>
    </row>
    <row r="91221">
      <c r="A91221" s="1" t="n">
        <v>91220</v>
      </c>
      <c r="B91221">
        <f>TEXT(91220, "[$-0E0000]yyyy-mm-dd")</f>
        <v/>
      </c>
    </row>
    <row r="91222">
      <c r="A91222" s="1" t="n">
        <v>91221</v>
      </c>
      <c r="B91222">
        <f>TEXT(91221, "[$-0E0000]yyyy-mm-dd")</f>
        <v/>
      </c>
    </row>
    <row r="91223">
      <c r="A91223" s="1" t="n">
        <v>91222</v>
      </c>
      <c r="B91223">
        <f>TEXT(91222, "[$-0E0000]yyyy-mm-dd")</f>
        <v/>
      </c>
    </row>
    <row r="91224">
      <c r="A91224" s="1" t="n">
        <v>91223</v>
      </c>
      <c r="B91224">
        <f>TEXT(91223, "[$-0E0000]yyyy-mm-dd")</f>
        <v/>
      </c>
    </row>
    <row r="91225">
      <c r="A91225" s="1" t="n">
        <v>91224</v>
      </c>
      <c r="B91225">
        <f>TEXT(91224, "[$-0E0000]yyyy-mm-dd")</f>
        <v/>
      </c>
    </row>
    <row r="91226">
      <c r="A91226" s="1" t="n">
        <v>91225</v>
      </c>
      <c r="B91226">
        <f>TEXT(91225, "[$-0E0000]yyyy-mm-dd")</f>
        <v/>
      </c>
    </row>
    <row r="91227">
      <c r="A91227" s="1" t="n">
        <v>91226</v>
      </c>
      <c r="B91227">
        <f>TEXT(91226, "[$-0E0000]yyyy-mm-dd")</f>
        <v/>
      </c>
    </row>
    <row r="91228">
      <c r="A91228" s="1" t="n">
        <v>91227</v>
      </c>
      <c r="B91228">
        <f>TEXT(91227, "[$-0E0000]yyyy-mm-dd")</f>
        <v/>
      </c>
    </row>
    <row r="91229">
      <c r="A91229" s="1" t="n">
        <v>91228</v>
      </c>
      <c r="B91229">
        <f>TEXT(91228, "[$-0E0000]yyyy-mm-dd")</f>
        <v/>
      </c>
    </row>
    <row r="91230">
      <c r="A91230" s="1" t="n">
        <v>91229</v>
      </c>
      <c r="B91230">
        <f>TEXT(91229, "[$-0E0000]yyyy-mm-dd")</f>
        <v/>
      </c>
    </row>
    <row r="91231">
      <c r="A91231" s="1" t="n">
        <v>91230</v>
      </c>
      <c r="B91231">
        <f>TEXT(91230, "[$-0E0000]yyyy-mm-dd")</f>
        <v/>
      </c>
    </row>
    <row r="91232">
      <c r="A91232" s="1" t="n">
        <v>91231</v>
      </c>
      <c r="B91232">
        <f>TEXT(91231, "[$-0E0000]yyyy-mm-dd")</f>
        <v/>
      </c>
    </row>
    <row r="91233">
      <c r="A91233" s="1" t="n">
        <v>91232</v>
      </c>
      <c r="B91233">
        <f>TEXT(91232, "[$-0E0000]yyyy-mm-dd")</f>
        <v/>
      </c>
    </row>
    <row r="91234">
      <c r="A91234" s="1" t="n">
        <v>91233</v>
      </c>
      <c r="B91234">
        <f>TEXT(91233, "[$-0E0000]yyyy-mm-dd")</f>
        <v/>
      </c>
    </row>
    <row r="91235">
      <c r="A91235" s="1" t="n">
        <v>91234</v>
      </c>
      <c r="B91235">
        <f>TEXT(91234, "[$-0E0000]yyyy-mm-dd")</f>
        <v/>
      </c>
    </row>
    <row r="91236">
      <c r="A91236" s="1" t="n">
        <v>91235</v>
      </c>
      <c r="B91236">
        <f>TEXT(91235, "[$-0E0000]yyyy-mm-dd")</f>
        <v/>
      </c>
    </row>
    <row r="91237">
      <c r="A91237" s="1" t="n">
        <v>91236</v>
      </c>
      <c r="B91237">
        <f>TEXT(91236, "[$-0E0000]yyyy-mm-dd")</f>
        <v/>
      </c>
    </row>
    <row r="91238">
      <c r="A91238" s="1" t="n">
        <v>91237</v>
      </c>
      <c r="B91238">
        <f>TEXT(91237, "[$-0E0000]yyyy-mm-dd")</f>
        <v/>
      </c>
    </row>
    <row r="91239">
      <c r="A91239" s="1" t="n">
        <v>91238</v>
      </c>
      <c r="B91239">
        <f>TEXT(91238, "[$-0E0000]yyyy-mm-dd")</f>
        <v/>
      </c>
    </row>
    <row r="91240">
      <c r="A91240" s="1" t="n">
        <v>91239</v>
      </c>
      <c r="B91240">
        <f>TEXT(91239, "[$-0E0000]yyyy-mm-dd")</f>
        <v/>
      </c>
    </row>
    <row r="91241">
      <c r="A91241" s="1" t="n">
        <v>91240</v>
      </c>
      <c r="B91241">
        <f>TEXT(91240, "[$-0E0000]yyyy-mm-dd")</f>
        <v/>
      </c>
    </row>
    <row r="91242">
      <c r="A91242" s="1" t="n">
        <v>91241</v>
      </c>
      <c r="B91242">
        <f>TEXT(91241, "[$-0E0000]yyyy-mm-dd")</f>
        <v/>
      </c>
    </row>
    <row r="91243">
      <c r="A91243" s="1" t="n">
        <v>91242</v>
      </c>
      <c r="B91243">
        <f>TEXT(91242, "[$-0E0000]yyyy-mm-dd")</f>
        <v/>
      </c>
    </row>
    <row r="91244">
      <c r="A91244" s="1" t="n">
        <v>91243</v>
      </c>
      <c r="B91244">
        <f>TEXT(91243, "[$-0E0000]yyyy-mm-dd")</f>
        <v/>
      </c>
    </row>
    <row r="91245">
      <c r="A91245" s="1" t="n">
        <v>91244</v>
      </c>
      <c r="B91245">
        <f>TEXT(91244, "[$-0E0000]yyyy-mm-dd")</f>
        <v/>
      </c>
    </row>
    <row r="91246">
      <c r="A91246" s="1" t="n">
        <v>91245</v>
      </c>
      <c r="B91246">
        <f>TEXT(91245, "[$-0E0000]yyyy-mm-dd")</f>
        <v/>
      </c>
    </row>
    <row r="91247">
      <c r="A91247" s="1" t="n">
        <v>91246</v>
      </c>
      <c r="B91247">
        <f>TEXT(91246, "[$-0E0000]yyyy-mm-dd")</f>
        <v/>
      </c>
    </row>
    <row r="91248">
      <c r="A91248" s="1" t="n">
        <v>91247</v>
      </c>
      <c r="B91248">
        <f>TEXT(91247, "[$-0E0000]yyyy-mm-dd")</f>
        <v/>
      </c>
    </row>
    <row r="91249">
      <c r="A91249" s="1" t="n">
        <v>91248</v>
      </c>
      <c r="B91249">
        <f>TEXT(91248, "[$-0E0000]yyyy-mm-dd")</f>
        <v/>
      </c>
    </row>
    <row r="91250">
      <c r="A91250" s="1" t="n">
        <v>91249</v>
      </c>
      <c r="B91250">
        <f>TEXT(91249, "[$-0E0000]yyyy-mm-dd")</f>
        <v/>
      </c>
    </row>
    <row r="91251">
      <c r="A91251" s="1" t="n">
        <v>91250</v>
      </c>
      <c r="B91251">
        <f>TEXT(91250, "[$-0E0000]yyyy-mm-dd")</f>
        <v/>
      </c>
    </row>
    <row r="91252">
      <c r="A91252" s="1" t="n">
        <v>91251</v>
      </c>
      <c r="B91252">
        <f>TEXT(91251, "[$-0E0000]yyyy-mm-dd")</f>
        <v/>
      </c>
    </row>
    <row r="91253">
      <c r="A91253" s="1" t="n">
        <v>91252</v>
      </c>
      <c r="B91253">
        <f>TEXT(91252, "[$-0E0000]yyyy-mm-dd")</f>
        <v/>
      </c>
    </row>
    <row r="91254">
      <c r="A91254" s="1" t="n">
        <v>91253</v>
      </c>
      <c r="B91254">
        <f>TEXT(91253, "[$-0E0000]yyyy-mm-dd")</f>
        <v/>
      </c>
    </row>
    <row r="91255">
      <c r="A91255" s="1" t="n">
        <v>91254</v>
      </c>
      <c r="B91255">
        <f>TEXT(91254, "[$-0E0000]yyyy-mm-dd")</f>
        <v/>
      </c>
    </row>
    <row r="91256">
      <c r="A91256" s="1" t="n">
        <v>91255</v>
      </c>
      <c r="B91256">
        <f>TEXT(91255, "[$-0E0000]yyyy-mm-dd")</f>
        <v/>
      </c>
    </row>
    <row r="91257">
      <c r="A91257" s="1" t="n">
        <v>91256</v>
      </c>
      <c r="B91257">
        <f>TEXT(91256, "[$-0E0000]yyyy-mm-dd")</f>
        <v/>
      </c>
    </row>
    <row r="91258">
      <c r="A91258" s="1" t="n">
        <v>91257</v>
      </c>
      <c r="B91258">
        <f>TEXT(91257, "[$-0E0000]yyyy-mm-dd")</f>
        <v/>
      </c>
    </row>
    <row r="91259">
      <c r="A91259" s="1" t="n">
        <v>91258</v>
      </c>
      <c r="B91259">
        <f>TEXT(91258, "[$-0E0000]yyyy-mm-dd")</f>
        <v/>
      </c>
    </row>
    <row r="91260">
      <c r="A91260" s="1" t="n">
        <v>91259</v>
      </c>
      <c r="B91260">
        <f>TEXT(91259, "[$-0E0000]yyyy-mm-dd")</f>
        <v/>
      </c>
    </row>
    <row r="91261">
      <c r="A91261" s="1" t="n">
        <v>91260</v>
      </c>
      <c r="B91261">
        <f>TEXT(91260, "[$-0E0000]yyyy-mm-dd")</f>
        <v/>
      </c>
    </row>
    <row r="91262">
      <c r="A91262" s="1" t="n">
        <v>91261</v>
      </c>
      <c r="B91262">
        <f>TEXT(91261, "[$-0E0000]yyyy-mm-dd")</f>
        <v/>
      </c>
    </row>
    <row r="91263">
      <c r="A91263" s="1" t="n">
        <v>91262</v>
      </c>
      <c r="B91263">
        <f>TEXT(91262, "[$-0E0000]yyyy-mm-dd")</f>
        <v/>
      </c>
    </row>
    <row r="91264">
      <c r="A91264" s="1" t="n">
        <v>91263</v>
      </c>
      <c r="B91264">
        <f>TEXT(91263, "[$-0E0000]yyyy-mm-dd")</f>
        <v/>
      </c>
    </row>
    <row r="91265">
      <c r="A91265" s="1" t="n">
        <v>91264</v>
      </c>
      <c r="B91265">
        <f>TEXT(91264, "[$-0E0000]yyyy-mm-dd")</f>
        <v/>
      </c>
    </row>
    <row r="91266">
      <c r="A91266" s="1" t="n">
        <v>91265</v>
      </c>
      <c r="B91266">
        <f>TEXT(91265, "[$-0E0000]yyyy-mm-dd")</f>
        <v/>
      </c>
    </row>
    <row r="91267">
      <c r="A91267" s="1" t="n">
        <v>91266</v>
      </c>
      <c r="B91267">
        <f>TEXT(91266, "[$-0E0000]yyyy-mm-dd")</f>
        <v/>
      </c>
    </row>
    <row r="91268">
      <c r="A91268" s="1" t="n">
        <v>91267</v>
      </c>
      <c r="B91268">
        <f>TEXT(91267, "[$-0E0000]yyyy-mm-dd")</f>
        <v/>
      </c>
    </row>
    <row r="91269">
      <c r="A91269" s="1" t="n">
        <v>91268</v>
      </c>
      <c r="B91269">
        <f>TEXT(91268, "[$-0E0000]yyyy-mm-dd")</f>
        <v/>
      </c>
    </row>
    <row r="91270">
      <c r="A91270" s="1" t="n">
        <v>91269</v>
      </c>
      <c r="B91270">
        <f>TEXT(91269, "[$-0E0000]yyyy-mm-dd")</f>
        <v/>
      </c>
    </row>
    <row r="91271">
      <c r="A91271" s="1" t="n">
        <v>91270</v>
      </c>
      <c r="B91271">
        <f>TEXT(91270, "[$-0E0000]yyyy-mm-dd")</f>
        <v/>
      </c>
    </row>
    <row r="91272">
      <c r="A91272" s="1" t="n">
        <v>91271</v>
      </c>
      <c r="B91272">
        <f>TEXT(91271, "[$-0E0000]yyyy-mm-dd")</f>
        <v/>
      </c>
    </row>
    <row r="91273">
      <c r="A91273" s="1" t="n">
        <v>91272</v>
      </c>
      <c r="B91273">
        <f>TEXT(91272, "[$-0E0000]yyyy-mm-dd")</f>
        <v/>
      </c>
    </row>
    <row r="91274">
      <c r="A91274" s="1" t="n">
        <v>91273</v>
      </c>
      <c r="B91274">
        <f>TEXT(91273, "[$-0E0000]yyyy-mm-dd")</f>
        <v/>
      </c>
    </row>
    <row r="91275">
      <c r="A91275" s="1" t="n">
        <v>91274</v>
      </c>
      <c r="B91275">
        <f>TEXT(91274, "[$-0E0000]yyyy-mm-dd")</f>
        <v/>
      </c>
    </row>
    <row r="91276">
      <c r="A91276" s="1" t="n">
        <v>91275</v>
      </c>
      <c r="B91276">
        <f>TEXT(91275, "[$-0E0000]yyyy-mm-dd")</f>
        <v/>
      </c>
    </row>
    <row r="91277">
      <c r="A91277" s="1" t="n">
        <v>91276</v>
      </c>
      <c r="B91277">
        <f>TEXT(91276, "[$-0E0000]yyyy-mm-dd")</f>
        <v/>
      </c>
    </row>
    <row r="91278">
      <c r="A91278" s="1" t="n">
        <v>91277</v>
      </c>
      <c r="B91278">
        <f>TEXT(91277, "[$-0E0000]yyyy-mm-dd")</f>
        <v/>
      </c>
    </row>
    <row r="91279">
      <c r="A91279" s="1" t="n">
        <v>91278</v>
      </c>
      <c r="B91279">
        <f>TEXT(91278, "[$-0E0000]yyyy-mm-dd")</f>
        <v/>
      </c>
    </row>
    <row r="91280">
      <c r="A91280" s="1" t="n">
        <v>91279</v>
      </c>
      <c r="B91280">
        <f>TEXT(91279, "[$-0E0000]yyyy-mm-dd")</f>
        <v/>
      </c>
    </row>
    <row r="91281">
      <c r="A91281" s="1" t="n">
        <v>91280</v>
      </c>
      <c r="B91281">
        <f>TEXT(91280, "[$-0E0000]yyyy-mm-dd")</f>
        <v/>
      </c>
    </row>
    <row r="91282">
      <c r="A91282" s="1" t="n">
        <v>91281</v>
      </c>
      <c r="B91282">
        <f>TEXT(91281, "[$-0E0000]yyyy-mm-dd")</f>
        <v/>
      </c>
    </row>
    <row r="91283">
      <c r="A91283" s="1" t="n">
        <v>91282</v>
      </c>
      <c r="B91283">
        <f>TEXT(91282, "[$-0E0000]yyyy-mm-dd")</f>
        <v/>
      </c>
    </row>
    <row r="91284">
      <c r="A91284" s="1" t="n">
        <v>91283</v>
      </c>
      <c r="B91284">
        <f>TEXT(91283, "[$-0E0000]yyyy-mm-dd")</f>
        <v/>
      </c>
    </row>
    <row r="91285">
      <c r="A91285" s="1" t="n">
        <v>91284</v>
      </c>
      <c r="B91285">
        <f>TEXT(91284, "[$-0E0000]yyyy-mm-dd")</f>
        <v/>
      </c>
    </row>
    <row r="91286">
      <c r="A91286" s="1" t="n">
        <v>91285</v>
      </c>
      <c r="B91286">
        <f>TEXT(91285, "[$-0E0000]yyyy-mm-dd")</f>
        <v/>
      </c>
    </row>
    <row r="91287">
      <c r="A91287" s="1" t="n">
        <v>91286</v>
      </c>
      <c r="B91287">
        <f>TEXT(91286, "[$-0E0000]yyyy-mm-dd")</f>
        <v/>
      </c>
    </row>
    <row r="91288">
      <c r="A91288" s="1" t="n">
        <v>91287</v>
      </c>
      <c r="B91288">
        <f>TEXT(91287, "[$-0E0000]yyyy-mm-dd")</f>
        <v/>
      </c>
    </row>
    <row r="91289">
      <c r="A91289" s="1" t="n">
        <v>91288</v>
      </c>
      <c r="B91289">
        <f>TEXT(91288, "[$-0E0000]yyyy-mm-dd")</f>
        <v/>
      </c>
    </row>
    <row r="91290">
      <c r="A91290" s="1" t="n">
        <v>91289</v>
      </c>
      <c r="B91290">
        <f>TEXT(91289, "[$-0E0000]yyyy-mm-dd")</f>
        <v/>
      </c>
    </row>
    <row r="91291">
      <c r="A91291" s="1" t="n">
        <v>91290</v>
      </c>
      <c r="B91291">
        <f>TEXT(91290, "[$-0E0000]yyyy-mm-dd")</f>
        <v/>
      </c>
    </row>
    <row r="91292">
      <c r="A91292" s="1" t="n">
        <v>91291</v>
      </c>
      <c r="B91292">
        <f>TEXT(91291, "[$-0E0000]yyyy-mm-dd")</f>
        <v/>
      </c>
    </row>
    <row r="91293">
      <c r="A91293" s="1" t="n">
        <v>91292</v>
      </c>
      <c r="B91293">
        <f>TEXT(91292, "[$-0E0000]yyyy-mm-dd")</f>
        <v/>
      </c>
    </row>
    <row r="91294">
      <c r="A91294" s="1" t="n">
        <v>91293</v>
      </c>
      <c r="B91294">
        <f>TEXT(91293, "[$-0E0000]yyyy-mm-dd")</f>
        <v/>
      </c>
    </row>
    <row r="91295">
      <c r="A91295" s="1" t="n">
        <v>91294</v>
      </c>
      <c r="B91295">
        <f>TEXT(91294, "[$-0E0000]yyyy-mm-dd")</f>
        <v/>
      </c>
    </row>
    <row r="91296">
      <c r="A91296" s="1" t="n">
        <v>91295</v>
      </c>
      <c r="B91296">
        <f>TEXT(91295, "[$-0E0000]yyyy-mm-dd")</f>
        <v/>
      </c>
    </row>
    <row r="91297">
      <c r="A91297" s="1" t="n">
        <v>91296</v>
      </c>
      <c r="B91297">
        <f>TEXT(91296, "[$-0E0000]yyyy-mm-dd")</f>
        <v/>
      </c>
    </row>
    <row r="91298">
      <c r="A91298" s="1" t="n">
        <v>91297</v>
      </c>
      <c r="B91298">
        <f>TEXT(91297, "[$-0E0000]yyyy-mm-dd")</f>
        <v/>
      </c>
    </row>
    <row r="91299">
      <c r="A91299" s="1" t="n">
        <v>91298</v>
      </c>
      <c r="B91299">
        <f>TEXT(91298, "[$-0E0000]yyyy-mm-dd")</f>
        <v/>
      </c>
    </row>
    <row r="91300">
      <c r="A91300" s="1" t="n">
        <v>91299</v>
      </c>
      <c r="B91300">
        <f>TEXT(91299, "[$-0E0000]yyyy-mm-dd")</f>
        <v/>
      </c>
    </row>
    <row r="91301">
      <c r="A91301" s="1" t="n">
        <v>91300</v>
      </c>
      <c r="B91301">
        <f>TEXT(91300, "[$-0E0000]yyyy-mm-dd")</f>
        <v/>
      </c>
    </row>
    <row r="91302">
      <c r="A91302" s="1" t="n">
        <v>91301</v>
      </c>
      <c r="B91302">
        <f>TEXT(91301, "[$-0E0000]yyyy-mm-dd")</f>
        <v/>
      </c>
    </row>
    <row r="91303">
      <c r="A91303" s="1" t="n">
        <v>91302</v>
      </c>
      <c r="B91303">
        <f>TEXT(91302, "[$-0E0000]yyyy-mm-dd")</f>
        <v/>
      </c>
    </row>
    <row r="91304">
      <c r="A91304" s="1" t="n">
        <v>91303</v>
      </c>
      <c r="B91304">
        <f>TEXT(91303, "[$-0E0000]yyyy-mm-dd")</f>
        <v/>
      </c>
    </row>
    <row r="91305">
      <c r="A91305" s="1" t="n">
        <v>91304</v>
      </c>
      <c r="B91305">
        <f>TEXT(91304, "[$-0E0000]yyyy-mm-dd")</f>
        <v/>
      </c>
    </row>
    <row r="91306">
      <c r="A91306" s="1" t="n">
        <v>91305</v>
      </c>
      <c r="B91306">
        <f>TEXT(91305, "[$-0E0000]yyyy-mm-dd")</f>
        <v/>
      </c>
    </row>
    <row r="91307">
      <c r="A91307" s="1" t="n">
        <v>91306</v>
      </c>
      <c r="B91307">
        <f>TEXT(91306, "[$-0E0000]yyyy-mm-dd")</f>
        <v/>
      </c>
    </row>
    <row r="91308">
      <c r="A91308" s="1" t="n">
        <v>91307</v>
      </c>
      <c r="B91308">
        <f>TEXT(91307, "[$-0E0000]yyyy-mm-dd")</f>
        <v/>
      </c>
    </row>
    <row r="91309">
      <c r="A91309" s="1" t="n">
        <v>91308</v>
      </c>
      <c r="B91309">
        <f>TEXT(91308, "[$-0E0000]yyyy-mm-dd")</f>
        <v/>
      </c>
    </row>
    <row r="91310">
      <c r="A91310" s="1" t="n">
        <v>91309</v>
      </c>
      <c r="B91310">
        <f>TEXT(91309, "[$-0E0000]yyyy-mm-dd")</f>
        <v/>
      </c>
    </row>
    <row r="91311">
      <c r="A91311" s="1" t="n">
        <v>91310</v>
      </c>
      <c r="B91311">
        <f>TEXT(91310, "[$-0E0000]yyyy-mm-dd")</f>
        <v/>
      </c>
    </row>
    <row r="91312">
      <c r="A91312" s="1" t="n">
        <v>91311</v>
      </c>
      <c r="B91312">
        <f>TEXT(91311, "[$-0E0000]yyyy-mm-dd")</f>
        <v/>
      </c>
    </row>
    <row r="91313">
      <c r="A91313" s="1" t="n">
        <v>91312</v>
      </c>
      <c r="B91313">
        <f>TEXT(91312, "[$-0E0000]yyyy-mm-dd")</f>
        <v/>
      </c>
    </row>
    <row r="91314">
      <c r="A91314" s="1" t="n">
        <v>91313</v>
      </c>
      <c r="B91314">
        <f>TEXT(91313, "[$-0E0000]yyyy-mm-dd")</f>
        <v/>
      </c>
    </row>
    <row r="91315">
      <c r="A91315" s="1" t="n">
        <v>91314</v>
      </c>
      <c r="B91315">
        <f>TEXT(91314, "[$-0E0000]yyyy-mm-dd")</f>
        <v/>
      </c>
    </row>
    <row r="91316">
      <c r="A91316" s="1" t="n">
        <v>91315</v>
      </c>
      <c r="B91316">
        <f>TEXT(91315, "[$-0E0000]yyyy-mm-dd")</f>
        <v/>
      </c>
    </row>
    <row r="91317">
      <c r="A91317" s="1" t="n">
        <v>91316</v>
      </c>
      <c r="B91317">
        <f>TEXT(91316, "[$-0E0000]yyyy-mm-dd")</f>
        <v/>
      </c>
    </row>
    <row r="91318">
      <c r="A91318" s="1" t="n">
        <v>91317</v>
      </c>
      <c r="B91318">
        <f>TEXT(91317, "[$-0E0000]yyyy-mm-dd")</f>
        <v/>
      </c>
    </row>
    <row r="91319">
      <c r="A91319" s="1" t="n">
        <v>91318</v>
      </c>
      <c r="B91319">
        <f>TEXT(91318, "[$-0E0000]yyyy-mm-dd")</f>
        <v/>
      </c>
    </row>
    <row r="91320">
      <c r="A91320" s="1" t="n">
        <v>91319</v>
      </c>
      <c r="B91320">
        <f>TEXT(91319, "[$-0E0000]yyyy-mm-dd")</f>
        <v/>
      </c>
    </row>
    <row r="91321">
      <c r="A91321" s="1" t="n">
        <v>91320</v>
      </c>
      <c r="B91321">
        <f>TEXT(91320, "[$-0E0000]yyyy-mm-dd")</f>
        <v/>
      </c>
    </row>
    <row r="91322">
      <c r="A91322" s="1" t="n">
        <v>91321</v>
      </c>
      <c r="B91322">
        <f>TEXT(91321, "[$-0E0000]yyyy-mm-dd")</f>
        <v/>
      </c>
    </row>
    <row r="91323">
      <c r="A91323" s="1" t="n">
        <v>91322</v>
      </c>
      <c r="B91323">
        <f>TEXT(91322, "[$-0E0000]yyyy-mm-dd")</f>
        <v/>
      </c>
    </row>
    <row r="91324">
      <c r="A91324" s="1" t="n">
        <v>91323</v>
      </c>
      <c r="B91324">
        <f>TEXT(91323, "[$-0E0000]yyyy-mm-dd")</f>
        <v/>
      </c>
    </row>
    <row r="91325">
      <c r="A91325" s="1" t="n">
        <v>91324</v>
      </c>
      <c r="B91325">
        <f>TEXT(91324, "[$-0E0000]yyyy-mm-dd")</f>
        <v/>
      </c>
    </row>
    <row r="91326">
      <c r="A91326" s="1" t="n">
        <v>91325</v>
      </c>
      <c r="B91326">
        <f>TEXT(91325, "[$-0E0000]yyyy-mm-dd")</f>
        <v/>
      </c>
    </row>
    <row r="91327">
      <c r="A91327" s="1" t="n">
        <v>91326</v>
      </c>
      <c r="B91327">
        <f>TEXT(91326, "[$-0E0000]yyyy-mm-dd")</f>
        <v/>
      </c>
    </row>
    <row r="91328">
      <c r="A91328" s="1" t="n">
        <v>91327</v>
      </c>
      <c r="B91328">
        <f>TEXT(91327, "[$-0E0000]yyyy-mm-dd")</f>
        <v/>
      </c>
    </row>
    <row r="91329">
      <c r="A91329" s="1" t="n">
        <v>91328</v>
      </c>
      <c r="B91329">
        <f>TEXT(91328, "[$-0E0000]yyyy-mm-dd")</f>
        <v/>
      </c>
    </row>
    <row r="91330">
      <c r="A91330" s="1" t="n">
        <v>91329</v>
      </c>
      <c r="B91330">
        <f>TEXT(91329, "[$-0E0000]yyyy-mm-dd")</f>
        <v/>
      </c>
    </row>
    <row r="91331">
      <c r="A91331" s="1" t="n">
        <v>91330</v>
      </c>
      <c r="B91331">
        <f>TEXT(91330, "[$-0E0000]yyyy-mm-dd")</f>
        <v/>
      </c>
    </row>
    <row r="91332">
      <c r="A91332" s="1" t="n">
        <v>91331</v>
      </c>
      <c r="B91332">
        <f>TEXT(91331, "[$-0E0000]yyyy-mm-dd")</f>
        <v/>
      </c>
    </row>
    <row r="91333">
      <c r="A91333" s="1" t="n">
        <v>91332</v>
      </c>
      <c r="B91333">
        <f>TEXT(91332, "[$-0E0000]yyyy-mm-dd")</f>
        <v/>
      </c>
    </row>
    <row r="91334">
      <c r="A91334" s="1" t="n">
        <v>91333</v>
      </c>
      <c r="B91334">
        <f>TEXT(91333, "[$-0E0000]yyyy-mm-dd")</f>
        <v/>
      </c>
    </row>
    <row r="91335">
      <c r="A91335" s="1" t="n">
        <v>91334</v>
      </c>
      <c r="B91335">
        <f>TEXT(91334, "[$-0E0000]yyyy-mm-dd")</f>
        <v/>
      </c>
    </row>
    <row r="91336">
      <c r="A91336" s="1" t="n">
        <v>91335</v>
      </c>
      <c r="B91336">
        <f>TEXT(91335, "[$-0E0000]yyyy-mm-dd")</f>
        <v/>
      </c>
    </row>
    <row r="91337">
      <c r="A91337" s="1" t="n">
        <v>91336</v>
      </c>
      <c r="B91337">
        <f>TEXT(91336, "[$-0E0000]yyyy-mm-dd")</f>
        <v/>
      </c>
    </row>
    <row r="91338">
      <c r="A91338" s="1" t="n">
        <v>91337</v>
      </c>
      <c r="B91338">
        <f>TEXT(91337, "[$-0E0000]yyyy-mm-dd")</f>
        <v/>
      </c>
    </row>
    <row r="91339">
      <c r="A91339" s="1" t="n">
        <v>91338</v>
      </c>
      <c r="B91339">
        <f>TEXT(91338, "[$-0E0000]yyyy-mm-dd")</f>
        <v/>
      </c>
    </row>
    <row r="91340">
      <c r="A91340" s="1" t="n">
        <v>91339</v>
      </c>
      <c r="B91340">
        <f>TEXT(91339, "[$-0E0000]yyyy-mm-dd")</f>
        <v/>
      </c>
    </row>
    <row r="91341">
      <c r="A91341" s="1" t="n">
        <v>91340</v>
      </c>
      <c r="B91341">
        <f>TEXT(91340, "[$-0E0000]yyyy-mm-dd")</f>
        <v/>
      </c>
    </row>
    <row r="91342">
      <c r="A91342" s="1" t="n">
        <v>91341</v>
      </c>
      <c r="B91342">
        <f>TEXT(91341, "[$-0E0000]yyyy-mm-dd")</f>
        <v/>
      </c>
    </row>
    <row r="91343">
      <c r="A91343" s="1" t="n">
        <v>91342</v>
      </c>
      <c r="B91343">
        <f>TEXT(91342, "[$-0E0000]yyyy-mm-dd")</f>
        <v/>
      </c>
    </row>
    <row r="91344">
      <c r="A91344" s="1" t="n">
        <v>91343</v>
      </c>
      <c r="B91344">
        <f>TEXT(91343, "[$-0E0000]yyyy-mm-dd")</f>
        <v/>
      </c>
    </row>
    <row r="91345">
      <c r="A91345" s="1" t="n">
        <v>91344</v>
      </c>
      <c r="B91345">
        <f>TEXT(91344, "[$-0E0000]yyyy-mm-dd")</f>
        <v/>
      </c>
    </row>
    <row r="91346">
      <c r="A91346" s="1" t="n">
        <v>91345</v>
      </c>
      <c r="B91346">
        <f>TEXT(91345, "[$-0E0000]yyyy-mm-dd")</f>
        <v/>
      </c>
    </row>
    <row r="91347">
      <c r="A91347" s="1" t="n">
        <v>91346</v>
      </c>
      <c r="B91347">
        <f>TEXT(91346, "[$-0E0000]yyyy-mm-dd")</f>
        <v/>
      </c>
    </row>
    <row r="91348">
      <c r="A91348" s="1" t="n">
        <v>91347</v>
      </c>
      <c r="B91348">
        <f>TEXT(91347, "[$-0E0000]yyyy-mm-dd")</f>
        <v/>
      </c>
    </row>
    <row r="91349">
      <c r="A91349" s="1" t="n">
        <v>91348</v>
      </c>
      <c r="B91349">
        <f>TEXT(91348, "[$-0E0000]yyyy-mm-dd")</f>
        <v/>
      </c>
    </row>
    <row r="91350">
      <c r="A91350" s="1" t="n">
        <v>91349</v>
      </c>
      <c r="B91350">
        <f>TEXT(91349, "[$-0E0000]yyyy-mm-dd")</f>
        <v/>
      </c>
    </row>
    <row r="91351">
      <c r="A91351" s="1" t="n">
        <v>91350</v>
      </c>
      <c r="B91351">
        <f>TEXT(91350, "[$-0E0000]yyyy-mm-dd")</f>
        <v/>
      </c>
    </row>
    <row r="91352">
      <c r="A91352" s="1" t="n">
        <v>91351</v>
      </c>
      <c r="B91352">
        <f>TEXT(91351, "[$-0E0000]yyyy-mm-dd")</f>
        <v/>
      </c>
    </row>
    <row r="91353">
      <c r="A91353" s="1" t="n">
        <v>91352</v>
      </c>
      <c r="B91353">
        <f>TEXT(91352, "[$-0E0000]yyyy-mm-dd")</f>
        <v/>
      </c>
    </row>
    <row r="91354">
      <c r="A91354" s="1" t="n">
        <v>91353</v>
      </c>
      <c r="B91354">
        <f>TEXT(91353, "[$-0E0000]yyyy-mm-dd")</f>
        <v/>
      </c>
    </row>
    <row r="91355">
      <c r="A91355" s="1" t="n">
        <v>91354</v>
      </c>
      <c r="B91355">
        <f>TEXT(91354, "[$-0E0000]yyyy-mm-dd")</f>
        <v/>
      </c>
    </row>
    <row r="91356">
      <c r="A91356" s="1" t="n">
        <v>91355</v>
      </c>
      <c r="B91356">
        <f>TEXT(91355, "[$-0E0000]yyyy-mm-dd")</f>
        <v/>
      </c>
    </row>
    <row r="91357">
      <c r="A91357" s="1" t="n">
        <v>91356</v>
      </c>
      <c r="B91357">
        <f>TEXT(91356, "[$-0E0000]yyyy-mm-dd")</f>
        <v/>
      </c>
    </row>
    <row r="91358">
      <c r="A91358" s="1" t="n">
        <v>91357</v>
      </c>
      <c r="B91358">
        <f>TEXT(91357, "[$-0E0000]yyyy-mm-dd")</f>
        <v/>
      </c>
    </row>
    <row r="91359">
      <c r="A91359" s="1" t="n">
        <v>91358</v>
      </c>
      <c r="B91359">
        <f>TEXT(91358, "[$-0E0000]yyyy-mm-dd")</f>
        <v/>
      </c>
    </row>
    <row r="91360">
      <c r="A91360" s="1" t="n">
        <v>91359</v>
      </c>
      <c r="B91360">
        <f>TEXT(91359, "[$-0E0000]yyyy-mm-dd")</f>
        <v/>
      </c>
    </row>
    <row r="91361">
      <c r="A91361" s="1" t="n">
        <v>91360</v>
      </c>
      <c r="B91361">
        <f>TEXT(91360, "[$-0E0000]yyyy-mm-dd")</f>
        <v/>
      </c>
    </row>
    <row r="91362">
      <c r="A91362" s="1" t="n">
        <v>91361</v>
      </c>
      <c r="B91362">
        <f>TEXT(91361, "[$-0E0000]yyyy-mm-dd")</f>
        <v/>
      </c>
    </row>
    <row r="91363">
      <c r="A91363" s="1" t="n">
        <v>91362</v>
      </c>
      <c r="B91363">
        <f>TEXT(91362, "[$-0E0000]yyyy-mm-dd")</f>
        <v/>
      </c>
    </row>
    <row r="91364">
      <c r="A91364" s="1" t="n">
        <v>91363</v>
      </c>
      <c r="B91364">
        <f>TEXT(91363, "[$-0E0000]yyyy-mm-dd")</f>
        <v/>
      </c>
    </row>
    <row r="91365">
      <c r="A91365" s="1" t="n">
        <v>91364</v>
      </c>
      <c r="B91365">
        <f>TEXT(91364, "[$-0E0000]yyyy-mm-dd")</f>
        <v/>
      </c>
    </row>
    <row r="91366">
      <c r="A91366" s="1" t="n">
        <v>91365</v>
      </c>
      <c r="B91366">
        <f>TEXT(91365, "[$-0E0000]yyyy-mm-dd")</f>
        <v/>
      </c>
    </row>
    <row r="91367">
      <c r="A91367" s="1" t="n">
        <v>91366</v>
      </c>
      <c r="B91367">
        <f>TEXT(91366, "[$-0E0000]yyyy-mm-dd")</f>
        <v/>
      </c>
    </row>
    <row r="91368">
      <c r="A91368" s="1" t="n">
        <v>91367</v>
      </c>
      <c r="B91368">
        <f>TEXT(91367, "[$-0E0000]yyyy-mm-dd")</f>
        <v/>
      </c>
    </row>
    <row r="91369">
      <c r="A91369" s="1" t="n">
        <v>91368</v>
      </c>
      <c r="B91369">
        <f>TEXT(91368, "[$-0E0000]yyyy-mm-dd")</f>
        <v/>
      </c>
    </row>
    <row r="91370">
      <c r="A91370" s="1" t="n">
        <v>91369</v>
      </c>
      <c r="B91370">
        <f>TEXT(91369, "[$-0E0000]yyyy-mm-dd")</f>
        <v/>
      </c>
    </row>
    <row r="91371">
      <c r="A91371" s="1" t="n">
        <v>91370</v>
      </c>
      <c r="B91371">
        <f>TEXT(91370, "[$-0E0000]yyyy-mm-dd")</f>
        <v/>
      </c>
    </row>
    <row r="91372">
      <c r="A91372" s="1" t="n">
        <v>91371</v>
      </c>
      <c r="B91372">
        <f>TEXT(91371, "[$-0E0000]yyyy-mm-dd")</f>
        <v/>
      </c>
    </row>
    <row r="91373">
      <c r="A91373" s="1" t="n">
        <v>91372</v>
      </c>
      <c r="B91373">
        <f>TEXT(91372, "[$-0E0000]yyyy-mm-dd")</f>
        <v/>
      </c>
    </row>
    <row r="91374">
      <c r="A91374" s="1" t="n">
        <v>91373</v>
      </c>
      <c r="B91374">
        <f>TEXT(91373, "[$-0E0000]yyyy-mm-dd")</f>
        <v/>
      </c>
    </row>
    <row r="91375">
      <c r="A91375" s="1" t="n">
        <v>91374</v>
      </c>
      <c r="B91375">
        <f>TEXT(91374, "[$-0E0000]yyyy-mm-dd")</f>
        <v/>
      </c>
    </row>
    <row r="91376">
      <c r="A91376" s="1" t="n">
        <v>91375</v>
      </c>
      <c r="B91376">
        <f>TEXT(91375, "[$-0E0000]yyyy-mm-dd")</f>
        <v/>
      </c>
    </row>
    <row r="91377">
      <c r="A91377" s="1" t="n">
        <v>91376</v>
      </c>
      <c r="B91377">
        <f>TEXT(91376, "[$-0E0000]yyyy-mm-dd")</f>
        <v/>
      </c>
    </row>
    <row r="91378">
      <c r="A91378" s="1" t="n">
        <v>91377</v>
      </c>
      <c r="B91378">
        <f>TEXT(91377, "[$-0E0000]yyyy-mm-dd")</f>
        <v/>
      </c>
    </row>
    <row r="91379">
      <c r="A91379" s="1" t="n">
        <v>91378</v>
      </c>
      <c r="B91379">
        <f>TEXT(91378, "[$-0E0000]yyyy-mm-dd")</f>
        <v/>
      </c>
    </row>
    <row r="91380">
      <c r="A91380" s="1" t="n">
        <v>91379</v>
      </c>
      <c r="B91380">
        <f>TEXT(91379, "[$-0E0000]yyyy-mm-dd")</f>
        <v/>
      </c>
    </row>
    <row r="91381">
      <c r="A91381" s="1" t="n">
        <v>91380</v>
      </c>
      <c r="B91381">
        <f>TEXT(91380, "[$-0E0000]yyyy-mm-dd")</f>
        <v/>
      </c>
    </row>
    <row r="91382">
      <c r="A91382" s="1" t="n">
        <v>91381</v>
      </c>
      <c r="B91382">
        <f>TEXT(91381, "[$-0E0000]yyyy-mm-dd")</f>
        <v/>
      </c>
    </row>
    <row r="91383">
      <c r="A91383" s="1" t="n">
        <v>91382</v>
      </c>
      <c r="B91383">
        <f>TEXT(91382, "[$-0E0000]yyyy-mm-dd")</f>
        <v/>
      </c>
    </row>
    <row r="91384">
      <c r="A91384" s="1" t="n">
        <v>91383</v>
      </c>
      <c r="B91384">
        <f>TEXT(91383, "[$-0E0000]yyyy-mm-dd")</f>
        <v/>
      </c>
    </row>
    <row r="91385">
      <c r="A91385" s="1" t="n">
        <v>91384</v>
      </c>
      <c r="B91385">
        <f>TEXT(91384, "[$-0E0000]yyyy-mm-dd")</f>
        <v/>
      </c>
    </row>
    <row r="91386">
      <c r="A91386" s="1" t="n">
        <v>91385</v>
      </c>
      <c r="B91386">
        <f>TEXT(91385, "[$-0E0000]yyyy-mm-dd")</f>
        <v/>
      </c>
    </row>
    <row r="91387">
      <c r="A91387" s="1" t="n">
        <v>91386</v>
      </c>
      <c r="B91387">
        <f>TEXT(91386, "[$-0E0000]yyyy-mm-dd")</f>
        <v/>
      </c>
    </row>
    <row r="91388">
      <c r="A91388" s="1" t="n">
        <v>91387</v>
      </c>
      <c r="B91388">
        <f>TEXT(91387, "[$-0E0000]yyyy-mm-dd")</f>
        <v/>
      </c>
    </row>
    <row r="91389">
      <c r="A91389" s="1" t="n">
        <v>91388</v>
      </c>
      <c r="B91389">
        <f>TEXT(91388, "[$-0E0000]yyyy-mm-dd")</f>
        <v/>
      </c>
    </row>
    <row r="91390">
      <c r="A91390" s="1" t="n">
        <v>91389</v>
      </c>
      <c r="B91390">
        <f>TEXT(91389, "[$-0E0000]yyyy-mm-dd")</f>
        <v/>
      </c>
    </row>
    <row r="91391">
      <c r="A91391" s="1" t="n">
        <v>91390</v>
      </c>
      <c r="B91391">
        <f>TEXT(91390, "[$-0E0000]yyyy-mm-dd")</f>
        <v/>
      </c>
    </row>
    <row r="91392">
      <c r="A91392" s="1" t="n">
        <v>91391</v>
      </c>
      <c r="B91392">
        <f>TEXT(91391, "[$-0E0000]yyyy-mm-dd")</f>
        <v/>
      </c>
    </row>
    <row r="91393">
      <c r="A91393" s="1" t="n">
        <v>91392</v>
      </c>
      <c r="B91393">
        <f>TEXT(91392, "[$-0E0000]yyyy-mm-dd")</f>
        <v/>
      </c>
    </row>
    <row r="91394">
      <c r="A91394" s="1" t="n">
        <v>91393</v>
      </c>
      <c r="B91394">
        <f>TEXT(91393, "[$-0E0000]yyyy-mm-dd")</f>
        <v/>
      </c>
    </row>
    <row r="91395">
      <c r="A91395" s="1" t="n">
        <v>91394</v>
      </c>
      <c r="B91395">
        <f>TEXT(91394, "[$-0E0000]yyyy-mm-dd")</f>
        <v/>
      </c>
    </row>
    <row r="91396">
      <c r="A91396" s="1" t="n">
        <v>91395</v>
      </c>
      <c r="B91396">
        <f>TEXT(91395, "[$-0E0000]yyyy-mm-dd")</f>
        <v/>
      </c>
    </row>
    <row r="91397">
      <c r="A91397" s="1" t="n">
        <v>91396</v>
      </c>
      <c r="B91397">
        <f>TEXT(91396, "[$-0E0000]yyyy-mm-dd")</f>
        <v/>
      </c>
    </row>
    <row r="91398">
      <c r="A91398" s="1" t="n">
        <v>91397</v>
      </c>
      <c r="B91398">
        <f>TEXT(91397, "[$-0E0000]yyyy-mm-dd")</f>
        <v/>
      </c>
    </row>
    <row r="91399">
      <c r="A91399" s="1" t="n">
        <v>91398</v>
      </c>
      <c r="B91399">
        <f>TEXT(91398, "[$-0E0000]yyyy-mm-dd")</f>
        <v/>
      </c>
    </row>
    <row r="91400">
      <c r="A91400" s="1" t="n">
        <v>91399</v>
      </c>
      <c r="B91400">
        <f>TEXT(91399, "[$-0E0000]yyyy-mm-dd")</f>
        <v/>
      </c>
    </row>
    <row r="91401">
      <c r="A91401" s="1" t="n">
        <v>91400</v>
      </c>
      <c r="B91401">
        <f>TEXT(91400, "[$-0E0000]yyyy-mm-dd")</f>
        <v/>
      </c>
    </row>
    <row r="91402">
      <c r="A91402" s="1" t="n">
        <v>91401</v>
      </c>
      <c r="B91402">
        <f>TEXT(91401, "[$-0E0000]yyyy-mm-dd")</f>
        <v/>
      </c>
    </row>
    <row r="91403">
      <c r="A91403" s="1" t="n">
        <v>91402</v>
      </c>
      <c r="B91403">
        <f>TEXT(91402, "[$-0E0000]yyyy-mm-dd")</f>
        <v/>
      </c>
    </row>
    <row r="91404">
      <c r="A91404" s="1" t="n">
        <v>91403</v>
      </c>
      <c r="B91404">
        <f>TEXT(91403, "[$-0E0000]yyyy-mm-dd")</f>
        <v/>
      </c>
    </row>
    <row r="91405">
      <c r="A91405" s="1" t="n">
        <v>91404</v>
      </c>
      <c r="B91405">
        <f>TEXT(91404, "[$-0E0000]yyyy-mm-dd")</f>
        <v/>
      </c>
    </row>
    <row r="91406">
      <c r="A91406" s="1" t="n">
        <v>91405</v>
      </c>
      <c r="B91406">
        <f>TEXT(91405, "[$-0E0000]yyyy-mm-dd")</f>
        <v/>
      </c>
    </row>
    <row r="91407">
      <c r="A91407" s="1" t="n">
        <v>91406</v>
      </c>
      <c r="B91407">
        <f>TEXT(91406, "[$-0E0000]yyyy-mm-dd")</f>
        <v/>
      </c>
    </row>
    <row r="91408">
      <c r="A91408" s="1" t="n">
        <v>91407</v>
      </c>
      <c r="B91408">
        <f>TEXT(91407, "[$-0E0000]yyyy-mm-dd")</f>
        <v/>
      </c>
    </row>
    <row r="91409">
      <c r="A91409" s="1" t="n">
        <v>91408</v>
      </c>
      <c r="B91409">
        <f>TEXT(91408, "[$-0E0000]yyyy-mm-dd")</f>
        <v/>
      </c>
    </row>
    <row r="91410">
      <c r="A91410" s="1" t="n">
        <v>91409</v>
      </c>
      <c r="B91410">
        <f>TEXT(91409, "[$-0E0000]yyyy-mm-dd")</f>
        <v/>
      </c>
    </row>
    <row r="91411">
      <c r="A91411" s="1" t="n">
        <v>91410</v>
      </c>
      <c r="B91411">
        <f>TEXT(91410, "[$-0E0000]yyyy-mm-dd")</f>
        <v/>
      </c>
    </row>
    <row r="91412">
      <c r="A91412" s="1" t="n">
        <v>91411</v>
      </c>
      <c r="B91412">
        <f>TEXT(91411, "[$-0E0000]yyyy-mm-dd")</f>
        <v/>
      </c>
    </row>
    <row r="91413">
      <c r="A91413" s="1" t="n">
        <v>91412</v>
      </c>
      <c r="B91413">
        <f>TEXT(91412, "[$-0E0000]yyyy-mm-dd")</f>
        <v/>
      </c>
    </row>
    <row r="91414">
      <c r="A91414" s="1" t="n">
        <v>91413</v>
      </c>
      <c r="B91414">
        <f>TEXT(91413, "[$-0E0000]yyyy-mm-dd")</f>
        <v/>
      </c>
    </row>
    <row r="91415">
      <c r="A91415" s="1" t="n">
        <v>91414</v>
      </c>
      <c r="B91415">
        <f>TEXT(91414, "[$-0E0000]yyyy-mm-dd")</f>
        <v/>
      </c>
    </row>
    <row r="91416">
      <c r="A91416" s="1" t="n">
        <v>91415</v>
      </c>
      <c r="B91416">
        <f>TEXT(91415, "[$-0E0000]yyyy-mm-dd")</f>
        <v/>
      </c>
    </row>
    <row r="91417">
      <c r="A91417" s="1" t="n">
        <v>91416</v>
      </c>
      <c r="B91417">
        <f>TEXT(91416, "[$-0E0000]yyyy-mm-dd")</f>
        <v/>
      </c>
    </row>
    <row r="91418">
      <c r="A91418" s="1" t="n">
        <v>91417</v>
      </c>
      <c r="B91418">
        <f>TEXT(91417, "[$-0E0000]yyyy-mm-dd")</f>
        <v/>
      </c>
    </row>
    <row r="91419">
      <c r="A91419" s="1" t="n">
        <v>91418</v>
      </c>
      <c r="B91419">
        <f>TEXT(91418, "[$-0E0000]yyyy-mm-dd")</f>
        <v/>
      </c>
    </row>
    <row r="91420">
      <c r="A91420" s="1" t="n">
        <v>91419</v>
      </c>
      <c r="B91420">
        <f>TEXT(91419, "[$-0E0000]yyyy-mm-dd")</f>
        <v/>
      </c>
    </row>
    <row r="91421">
      <c r="A91421" s="1" t="n">
        <v>91420</v>
      </c>
      <c r="B91421">
        <f>TEXT(91420, "[$-0E0000]yyyy-mm-dd")</f>
        <v/>
      </c>
    </row>
    <row r="91422">
      <c r="A91422" s="1" t="n">
        <v>91421</v>
      </c>
      <c r="B91422">
        <f>TEXT(91421, "[$-0E0000]yyyy-mm-dd")</f>
        <v/>
      </c>
    </row>
    <row r="91423">
      <c r="A91423" s="1" t="n">
        <v>91422</v>
      </c>
      <c r="B91423">
        <f>TEXT(91422, "[$-0E0000]yyyy-mm-dd")</f>
        <v/>
      </c>
    </row>
    <row r="91424">
      <c r="A91424" s="1" t="n">
        <v>91423</v>
      </c>
      <c r="B91424">
        <f>TEXT(91423, "[$-0E0000]yyyy-mm-dd")</f>
        <v/>
      </c>
    </row>
    <row r="91425">
      <c r="A91425" s="1" t="n">
        <v>91424</v>
      </c>
      <c r="B91425">
        <f>TEXT(91424, "[$-0E0000]yyyy-mm-dd")</f>
        <v/>
      </c>
    </row>
    <row r="91426">
      <c r="A91426" s="1" t="n">
        <v>91425</v>
      </c>
      <c r="B91426">
        <f>TEXT(91425, "[$-0E0000]yyyy-mm-dd")</f>
        <v/>
      </c>
    </row>
    <row r="91427">
      <c r="A91427" s="1" t="n">
        <v>91426</v>
      </c>
      <c r="B91427">
        <f>TEXT(91426, "[$-0E0000]yyyy-mm-dd")</f>
        <v/>
      </c>
    </row>
    <row r="91428">
      <c r="A91428" s="1" t="n">
        <v>91427</v>
      </c>
      <c r="B91428">
        <f>TEXT(91427, "[$-0E0000]yyyy-mm-dd")</f>
        <v/>
      </c>
    </row>
    <row r="91429">
      <c r="A91429" s="1" t="n">
        <v>91428</v>
      </c>
      <c r="B91429">
        <f>TEXT(91428, "[$-0E0000]yyyy-mm-dd")</f>
        <v/>
      </c>
    </row>
    <row r="91430">
      <c r="A91430" s="1" t="n">
        <v>91429</v>
      </c>
      <c r="B91430">
        <f>TEXT(91429, "[$-0E0000]yyyy-mm-dd")</f>
        <v/>
      </c>
    </row>
    <row r="91431">
      <c r="A91431" s="1" t="n">
        <v>91430</v>
      </c>
      <c r="B91431">
        <f>TEXT(91430, "[$-0E0000]yyyy-mm-dd")</f>
        <v/>
      </c>
    </row>
    <row r="91432">
      <c r="A91432" s="1" t="n">
        <v>91431</v>
      </c>
      <c r="B91432">
        <f>TEXT(91431, "[$-0E0000]yyyy-mm-dd")</f>
        <v/>
      </c>
    </row>
    <row r="91433">
      <c r="A91433" s="1" t="n">
        <v>91432</v>
      </c>
      <c r="B91433">
        <f>TEXT(91432, "[$-0E0000]yyyy-mm-dd")</f>
        <v/>
      </c>
    </row>
    <row r="91434">
      <c r="A91434" s="1" t="n">
        <v>91433</v>
      </c>
      <c r="B91434">
        <f>TEXT(91433, "[$-0E0000]yyyy-mm-dd")</f>
        <v/>
      </c>
    </row>
    <row r="91435">
      <c r="A91435" s="1" t="n">
        <v>91434</v>
      </c>
      <c r="B91435">
        <f>TEXT(91434, "[$-0E0000]yyyy-mm-dd")</f>
        <v/>
      </c>
    </row>
    <row r="91436">
      <c r="A91436" s="1" t="n">
        <v>91435</v>
      </c>
      <c r="B91436">
        <f>TEXT(91435, "[$-0E0000]yyyy-mm-dd")</f>
        <v/>
      </c>
    </row>
    <row r="91437">
      <c r="A91437" s="1" t="n">
        <v>91436</v>
      </c>
      <c r="B91437">
        <f>TEXT(91436, "[$-0E0000]yyyy-mm-dd")</f>
        <v/>
      </c>
    </row>
    <row r="91438">
      <c r="A91438" s="1" t="n">
        <v>91437</v>
      </c>
      <c r="B91438">
        <f>TEXT(91437, "[$-0E0000]yyyy-mm-dd")</f>
        <v/>
      </c>
    </row>
    <row r="91439">
      <c r="A91439" s="1" t="n">
        <v>91438</v>
      </c>
      <c r="B91439">
        <f>TEXT(91438, "[$-0E0000]yyyy-mm-dd")</f>
        <v/>
      </c>
    </row>
    <row r="91440">
      <c r="A91440" s="1" t="n">
        <v>91439</v>
      </c>
      <c r="B91440">
        <f>TEXT(91439, "[$-0E0000]yyyy-mm-dd")</f>
        <v/>
      </c>
    </row>
    <row r="91441">
      <c r="A91441" s="1" t="n">
        <v>91440</v>
      </c>
      <c r="B91441">
        <f>TEXT(91440, "[$-0E0000]yyyy-mm-dd")</f>
        <v/>
      </c>
    </row>
    <row r="91442">
      <c r="A91442" s="1" t="n">
        <v>91441</v>
      </c>
      <c r="B91442">
        <f>TEXT(91441, "[$-0E0000]yyyy-mm-dd")</f>
        <v/>
      </c>
    </row>
    <row r="91443">
      <c r="A91443" s="1" t="n">
        <v>91442</v>
      </c>
      <c r="B91443">
        <f>TEXT(91442, "[$-0E0000]yyyy-mm-dd")</f>
        <v/>
      </c>
    </row>
    <row r="91444">
      <c r="A91444" s="1" t="n">
        <v>91443</v>
      </c>
      <c r="B91444">
        <f>TEXT(91443, "[$-0E0000]yyyy-mm-dd")</f>
        <v/>
      </c>
    </row>
    <row r="91445">
      <c r="A91445" s="1" t="n">
        <v>91444</v>
      </c>
      <c r="B91445">
        <f>TEXT(91444, "[$-0E0000]yyyy-mm-dd")</f>
        <v/>
      </c>
    </row>
    <row r="91446">
      <c r="A91446" s="1" t="n">
        <v>91445</v>
      </c>
      <c r="B91446">
        <f>TEXT(91445, "[$-0E0000]yyyy-mm-dd")</f>
        <v/>
      </c>
    </row>
    <row r="91447">
      <c r="A91447" s="1" t="n">
        <v>91446</v>
      </c>
      <c r="B91447">
        <f>TEXT(91446, "[$-0E0000]yyyy-mm-dd")</f>
        <v/>
      </c>
    </row>
    <row r="91448">
      <c r="A91448" s="1" t="n">
        <v>91447</v>
      </c>
      <c r="B91448">
        <f>TEXT(91447, "[$-0E0000]yyyy-mm-dd")</f>
        <v/>
      </c>
    </row>
    <row r="91449">
      <c r="A91449" s="1" t="n">
        <v>91448</v>
      </c>
      <c r="B91449">
        <f>TEXT(91448, "[$-0E0000]yyyy-mm-dd")</f>
        <v/>
      </c>
    </row>
    <row r="91450">
      <c r="A91450" s="1" t="n">
        <v>91449</v>
      </c>
      <c r="B91450">
        <f>TEXT(91449, "[$-0E0000]yyyy-mm-dd")</f>
        <v/>
      </c>
    </row>
    <row r="91451">
      <c r="A91451" s="1" t="n">
        <v>91450</v>
      </c>
      <c r="B91451">
        <f>TEXT(91450, "[$-0E0000]yyyy-mm-dd")</f>
        <v/>
      </c>
    </row>
    <row r="91452">
      <c r="A91452" s="1" t="n">
        <v>91451</v>
      </c>
      <c r="B91452">
        <f>TEXT(91451, "[$-0E0000]yyyy-mm-dd")</f>
        <v/>
      </c>
    </row>
    <row r="91453">
      <c r="A91453" s="1" t="n">
        <v>91452</v>
      </c>
      <c r="B91453">
        <f>TEXT(91452, "[$-0E0000]yyyy-mm-dd")</f>
        <v/>
      </c>
    </row>
    <row r="91454">
      <c r="A91454" s="1" t="n">
        <v>91453</v>
      </c>
      <c r="B91454">
        <f>TEXT(91453, "[$-0E0000]yyyy-mm-dd")</f>
        <v/>
      </c>
    </row>
    <row r="91455">
      <c r="A91455" s="1" t="n">
        <v>91454</v>
      </c>
      <c r="B91455">
        <f>TEXT(91454, "[$-0E0000]yyyy-mm-dd")</f>
        <v/>
      </c>
    </row>
    <row r="91456">
      <c r="A91456" s="1" t="n">
        <v>91455</v>
      </c>
      <c r="B91456">
        <f>TEXT(91455, "[$-0E0000]yyyy-mm-dd")</f>
        <v/>
      </c>
    </row>
    <row r="91457">
      <c r="A91457" s="1" t="n">
        <v>91456</v>
      </c>
      <c r="B91457">
        <f>TEXT(91456, "[$-0E0000]yyyy-mm-dd")</f>
        <v/>
      </c>
    </row>
    <row r="91458">
      <c r="A91458" s="1" t="n">
        <v>91457</v>
      </c>
      <c r="B91458">
        <f>TEXT(91457, "[$-0E0000]yyyy-mm-dd")</f>
        <v/>
      </c>
    </row>
    <row r="91459">
      <c r="A91459" s="1" t="n">
        <v>91458</v>
      </c>
      <c r="B91459">
        <f>TEXT(91458, "[$-0E0000]yyyy-mm-dd")</f>
        <v/>
      </c>
    </row>
    <row r="91460">
      <c r="A91460" s="1" t="n">
        <v>91459</v>
      </c>
      <c r="B91460">
        <f>TEXT(91459, "[$-0E0000]yyyy-mm-dd")</f>
        <v/>
      </c>
    </row>
    <row r="91461">
      <c r="A91461" s="1" t="n">
        <v>91460</v>
      </c>
      <c r="B91461">
        <f>TEXT(91460, "[$-0E0000]yyyy-mm-dd")</f>
        <v/>
      </c>
    </row>
    <row r="91462">
      <c r="A91462" s="1" t="n">
        <v>91461</v>
      </c>
      <c r="B91462">
        <f>TEXT(91461, "[$-0E0000]yyyy-mm-dd")</f>
        <v/>
      </c>
    </row>
    <row r="91463">
      <c r="A91463" s="1" t="n">
        <v>91462</v>
      </c>
      <c r="B91463">
        <f>TEXT(91462, "[$-0E0000]yyyy-mm-dd")</f>
        <v/>
      </c>
    </row>
    <row r="91464">
      <c r="A91464" s="1" t="n">
        <v>91463</v>
      </c>
      <c r="B91464">
        <f>TEXT(91463, "[$-0E0000]yyyy-mm-dd")</f>
        <v/>
      </c>
    </row>
    <row r="91465">
      <c r="A91465" s="1" t="n">
        <v>91464</v>
      </c>
      <c r="B91465">
        <f>TEXT(91464, "[$-0E0000]yyyy-mm-dd")</f>
        <v/>
      </c>
    </row>
    <row r="91466">
      <c r="A91466" s="1" t="n">
        <v>91465</v>
      </c>
      <c r="B91466">
        <f>TEXT(91465, "[$-0E0000]yyyy-mm-dd")</f>
        <v/>
      </c>
    </row>
    <row r="91467">
      <c r="A91467" s="1" t="n">
        <v>91466</v>
      </c>
      <c r="B91467">
        <f>TEXT(91466, "[$-0E0000]yyyy-mm-dd")</f>
        <v/>
      </c>
    </row>
    <row r="91468">
      <c r="A91468" s="1" t="n">
        <v>91467</v>
      </c>
      <c r="B91468">
        <f>TEXT(91467, "[$-0E0000]yyyy-mm-dd")</f>
        <v/>
      </c>
    </row>
    <row r="91469">
      <c r="A91469" s="1" t="n">
        <v>91468</v>
      </c>
      <c r="B91469">
        <f>TEXT(91468, "[$-0E0000]yyyy-mm-dd")</f>
        <v/>
      </c>
    </row>
    <row r="91470">
      <c r="A91470" s="1" t="n">
        <v>91469</v>
      </c>
      <c r="B91470">
        <f>TEXT(91469, "[$-0E0000]yyyy-mm-dd")</f>
        <v/>
      </c>
    </row>
    <row r="91471">
      <c r="A91471" s="1" t="n">
        <v>91470</v>
      </c>
      <c r="B91471">
        <f>TEXT(91470, "[$-0E0000]yyyy-mm-dd")</f>
        <v/>
      </c>
    </row>
    <row r="91472">
      <c r="A91472" s="1" t="n">
        <v>91471</v>
      </c>
      <c r="B91472">
        <f>TEXT(91471, "[$-0E0000]yyyy-mm-dd")</f>
        <v/>
      </c>
    </row>
    <row r="91473">
      <c r="A91473" s="1" t="n">
        <v>91472</v>
      </c>
      <c r="B91473">
        <f>TEXT(91472, "[$-0E0000]yyyy-mm-dd")</f>
        <v/>
      </c>
    </row>
    <row r="91474">
      <c r="A91474" s="1" t="n">
        <v>91473</v>
      </c>
      <c r="B91474">
        <f>TEXT(91473, "[$-0E0000]yyyy-mm-dd")</f>
        <v/>
      </c>
    </row>
    <row r="91475">
      <c r="A91475" s="1" t="n">
        <v>91474</v>
      </c>
      <c r="B91475">
        <f>TEXT(91474, "[$-0E0000]yyyy-mm-dd")</f>
        <v/>
      </c>
    </row>
    <row r="91476">
      <c r="A91476" s="1" t="n">
        <v>91475</v>
      </c>
      <c r="B91476">
        <f>TEXT(91475, "[$-0E0000]yyyy-mm-dd")</f>
        <v/>
      </c>
    </row>
    <row r="91477">
      <c r="A91477" s="1" t="n">
        <v>91476</v>
      </c>
      <c r="B91477">
        <f>TEXT(91476, "[$-0E0000]yyyy-mm-dd")</f>
        <v/>
      </c>
    </row>
    <row r="91478">
      <c r="A91478" s="1" t="n">
        <v>91477</v>
      </c>
      <c r="B91478">
        <f>TEXT(91477, "[$-0E0000]yyyy-mm-dd")</f>
        <v/>
      </c>
    </row>
    <row r="91479">
      <c r="A91479" s="1" t="n">
        <v>91478</v>
      </c>
      <c r="B91479">
        <f>TEXT(91478, "[$-0E0000]yyyy-mm-dd")</f>
        <v/>
      </c>
    </row>
    <row r="91480">
      <c r="A91480" s="1" t="n">
        <v>91479</v>
      </c>
      <c r="B91480">
        <f>TEXT(91479, "[$-0E0000]yyyy-mm-dd")</f>
        <v/>
      </c>
    </row>
    <row r="91481">
      <c r="A91481" s="1" t="n">
        <v>91480</v>
      </c>
      <c r="B91481">
        <f>TEXT(91480, "[$-0E0000]yyyy-mm-dd")</f>
        <v/>
      </c>
    </row>
    <row r="91482">
      <c r="A91482" s="1" t="n">
        <v>91481</v>
      </c>
      <c r="B91482">
        <f>TEXT(91481, "[$-0E0000]yyyy-mm-dd")</f>
        <v/>
      </c>
    </row>
    <row r="91483">
      <c r="A91483" s="1" t="n">
        <v>91482</v>
      </c>
      <c r="B91483">
        <f>TEXT(91482, "[$-0E0000]yyyy-mm-dd")</f>
        <v/>
      </c>
    </row>
    <row r="91484">
      <c r="A91484" s="1" t="n">
        <v>91483</v>
      </c>
      <c r="B91484">
        <f>TEXT(91483, "[$-0E0000]yyyy-mm-dd")</f>
        <v/>
      </c>
    </row>
    <row r="91485">
      <c r="A91485" s="1" t="n">
        <v>91484</v>
      </c>
      <c r="B91485">
        <f>TEXT(91484, "[$-0E0000]yyyy-mm-dd")</f>
        <v/>
      </c>
    </row>
    <row r="91486">
      <c r="A91486" s="1" t="n">
        <v>91485</v>
      </c>
      <c r="B91486">
        <f>TEXT(91485, "[$-0E0000]yyyy-mm-dd")</f>
        <v/>
      </c>
    </row>
    <row r="91487">
      <c r="A91487" s="1" t="n">
        <v>91486</v>
      </c>
      <c r="B91487">
        <f>TEXT(91486, "[$-0E0000]yyyy-mm-dd")</f>
        <v/>
      </c>
    </row>
    <row r="91488">
      <c r="A91488" s="1" t="n">
        <v>91487</v>
      </c>
      <c r="B91488">
        <f>TEXT(91487, "[$-0E0000]yyyy-mm-dd")</f>
        <v/>
      </c>
    </row>
    <row r="91489">
      <c r="A91489" s="1" t="n">
        <v>91488</v>
      </c>
      <c r="B91489">
        <f>TEXT(91488, "[$-0E0000]yyyy-mm-dd")</f>
        <v/>
      </c>
    </row>
    <row r="91490">
      <c r="A91490" s="1" t="n">
        <v>91489</v>
      </c>
      <c r="B91490">
        <f>TEXT(91489, "[$-0E0000]yyyy-mm-dd")</f>
        <v/>
      </c>
    </row>
    <row r="91491">
      <c r="A91491" s="1" t="n">
        <v>91490</v>
      </c>
      <c r="B91491">
        <f>TEXT(91490, "[$-0E0000]yyyy-mm-dd")</f>
        <v/>
      </c>
    </row>
    <row r="91492">
      <c r="A91492" s="1" t="n">
        <v>91491</v>
      </c>
      <c r="B91492">
        <f>TEXT(91491, "[$-0E0000]yyyy-mm-dd")</f>
        <v/>
      </c>
    </row>
    <row r="91493">
      <c r="A91493" s="1" t="n">
        <v>91492</v>
      </c>
      <c r="B91493">
        <f>TEXT(91492, "[$-0E0000]yyyy-mm-dd")</f>
        <v/>
      </c>
    </row>
    <row r="91494">
      <c r="A91494" s="1" t="n">
        <v>91493</v>
      </c>
      <c r="B91494">
        <f>TEXT(91493, "[$-0E0000]yyyy-mm-dd")</f>
        <v/>
      </c>
    </row>
    <row r="91495">
      <c r="A91495" s="1" t="n">
        <v>91494</v>
      </c>
      <c r="B91495">
        <f>TEXT(91494, "[$-0E0000]yyyy-mm-dd")</f>
        <v/>
      </c>
    </row>
    <row r="91496">
      <c r="A91496" s="1" t="n">
        <v>91495</v>
      </c>
      <c r="B91496">
        <f>TEXT(91495, "[$-0E0000]yyyy-mm-dd")</f>
        <v/>
      </c>
    </row>
    <row r="91497">
      <c r="A91497" s="1" t="n">
        <v>91496</v>
      </c>
      <c r="B91497">
        <f>TEXT(91496, "[$-0E0000]yyyy-mm-dd")</f>
        <v/>
      </c>
    </row>
    <row r="91498">
      <c r="A91498" s="1" t="n">
        <v>91497</v>
      </c>
      <c r="B91498">
        <f>TEXT(91497, "[$-0E0000]yyyy-mm-dd")</f>
        <v/>
      </c>
    </row>
    <row r="91499">
      <c r="A91499" s="1" t="n">
        <v>91498</v>
      </c>
      <c r="B91499">
        <f>TEXT(91498, "[$-0E0000]yyyy-mm-dd")</f>
        <v/>
      </c>
    </row>
    <row r="91500">
      <c r="A91500" s="1" t="n">
        <v>91499</v>
      </c>
      <c r="B91500">
        <f>TEXT(91499, "[$-0E0000]yyyy-mm-dd")</f>
        <v/>
      </c>
    </row>
    <row r="91501">
      <c r="A91501" s="1" t="n">
        <v>91500</v>
      </c>
      <c r="B91501">
        <f>TEXT(91500, "[$-0E0000]yyyy-mm-dd")</f>
        <v/>
      </c>
    </row>
    <row r="91502">
      <c r="A91502" s="1" t="n">
        <v>91501</v>
      </c>
      <c r="B91502">
        <f>TEXT(91501, "[$-0E0000]yyyy-mm-dd")</f>
        <v/>
      </c>
    </row>
    <row r="91503">
      <c r="A91503" s="1" t="n">
        <v>91502</v>
      </c>
      <c r="B91503">
        <f>TEXT(91502, "[$-0E0000]yyyy-mm-dd")</f>
        <v/>
      </c>
    </row>
    <row r="91504">
      <c r="A91504" s="1" t="n">
        <v>91503</v>
      </c>
      <c r="B91504">
        <f>TEXT(91503, "[$-0E0000]yyyy-mm-dd")</f>
        <v/>
      </c>
    </row>
    <row r="91505">
      <c r="A91505" s="1" t="n">
        <v>91504</v>
      </c>
      <c r="B91505">
        <f>TEXT(91504, "[$-0E0000]yyyy-mm-dd")</f>
        <v/>
      </c>
    </row>
    <row r="91506">
      <c r="A91506" s="1" t="n">
        <v>91505</v>
      </c>
      <c r="B91506">
        <f>TEXT(91505, "[$-0E0000]yyyy-mm-dd")</f>
        <v/>
      </c>
    </row>
    <row r="91507">
      <c r="A91507" s="1" t="n">
        <v>91506</v>
      </c>
      <c r="B91507">
        <f>TEXT(91506, "[$-0E0000]yyyy-mm-dd")</f>
        <v/>
      </c>
    </row>
    <row r="91508">
      <c r="A91508" s="1" t="n">
        <v>91507</v>
      </c>
      <c r="B91508">
        <f>TEXT(91507, "[$-0E0000]yyyy-mm-dd")</f>
        <v/>
      </c>
    </row>
    <row r="91509">
      <c r="A91509" s="1" t="n">
        <v>91508</v>
      </c>
      <c r="B91509">
        <f>TEXT(91508, "[$-0E0000]yyyy-mm-dd")</f>
        <v/>
      </c>
    </row>
    <row r="91510">
      <c r="A91510" s="1" t="n">
        <v>91509</v>
      </c>
      <c r="B91510">
        <f>TEXT(91509, "[$-0E0000]yyyy-mm-dd")</f>
        <v/>
      </c>
    </row>
    <row r="91511">
      <c r="A91511" s="1" t="n">
        <v>91510</v>
      </c>
      <c r="B91511">
        <f>TEXT(91510, "[$-0E0000]yyyy-mm-dd")</f>
        <v/>
      </c>
    </row>
    <row r="91512">
      <c r="A91512" s="1" t="n">
        <v>91511</v>
      </c>
      <c r="B91512">
        <f>TEXT(91511, "[$-0E0000]yyyy-mm-dd")</f>
        <v/>
      </c>
    </row>
    <row r="91513">
      <c r="A91513" s="1" t="n">
        <v>91512</v>
      </c>
      <c r="B91513">
        <f>TEXT(91512, "[$-0E0000]yyyy-mm-dd")</f>
        <v/>
      </c>
    </row>
    <row r="91514">
      <c r="A91514" s="1" t="n">
        <v>91513</v>
      </c>
      <c r="B91514">
        <f>TEXT(91513, "[$-0E0000]yyyy-mm-dd")</f>
        <v/>
      </c>
    </row>
    <row r="91515">
      <c r="A91515" s="1" t="n">
        <v>91514</v>
      </c>
      <c r="B91515">
        <f>TEXT(91514, "[$-0E0000]yyyy-mm-dd")</f>
        <v/>
      </c>
    </row>
    <row r="91516">
      <c r="A91516" s="1" t="n">
        <v>91515</v>
      </c>
      <c r="B91516">
        <f>TEXT(91515, "[$-0E0000]yyyy-mm-dd")</f>
        <v/>
      </c>
    </row>
    <row r="91517">
      <c r="A91517" s="1" t="n">
        <v>91516</v>
      </c>
      <c r="B91517">
        <f>TEXT(91516, "[$-0E0000]yyyy-mm-dd")</f>
        <v/>
      </c>
    </row>
    <row r="91518">
      <c r="A91518" s="1" t="n">
        <v>91517</v>
      </c>
      <c r="B91518">
        <f>TEXT(91517, "[$-0E0000]yyyy-mm-dd")</f>
        <v/>
      </c>
    </row>
    <row r="91519">
      <c r="A91519" s="1" t="n">
        <v>91518</v>
      </c>
      <c r="B91519">
        <f>TEXT(91518, "[$-0E0000]yyyy-mm-dd")</f>
        <v/>
      </c>
    </row>
    <row r="91520">
      <c r="A91520" s="1" t="n">
        <v>91519</v>
      </c>
      <c r="B91520">
        <f>TEXT(91519, "[$-0E0000]yyyy-mm-dd")</f>
        <v/>
      </c>
    </row>
    <row r="91521">
      <c r="A91521" s="1" t="n">
        <v>91520</v>
      </c>
      <c r="B91521">
        <f>TEXT(91520, "[$-0E0000]yyyy-mm-dd")</f>
        <v/>
      </c>
    </row>
    <row r="91522">
      <c r="A91522" s="1" t="n">
        <v>91521</v>
      </c>
      <c r="B91522">
        <f>TEXT(91521, "[$-0E0000]yyyy-mm-dd")</f>
        <v/>
      </c>
    </row>
    <row r="91523">
      <c r="A91523" s="1" t="n">
        <v>91522</v>
      </c>
      <c r="B91523">
        <f>TEXT(91522, "[$-0E0000]yyyy-mm-dd")</f>
        <v/>
      </c>
    </row>
    <row r="91524">
      <c r="A91524" s="1" t="n">
        <v>91523</v>
      </c>
      <c r="B91524">
        <f>TEXT(91523, "[$-0E0000]yyyy-mm-dd")</f>
        <v/>
      </c>
    </row>
    <row r="91525">
      <c r="A91525" s="1" t="n">
        <v>91524</v>
      </c>
      <c r="B91525">
        <f>TEXT(91524, "[$-0E0000]yyyy-mm-dd")</f>
        <v/>
      </c>
    </row>
    <row r="91526">
      <c r="A91526" s="1" t="n">
        <v>91525</v>
      </c>
      <c r="B91526">
        <f>TEXT(91525, "[$-0E0000]yyyy-mm-dd")</f>
        <v/>
      </c>
    </row>
    <row r="91527">
      <c r="A91527" s="1" t="n">
        <v>91526</v>
      </c>
      <c r="B91527">
        <f>TEXT(91526, "[$-0E0000]yyyy-mm-dd")</f>
        <v/>
      </c>
    </row>
    <row r="91528">
      <c r="A91528" s="1" t="n">
        <v>91527</v>
      </c>
      <c r="B91528">
        <f>TEXT(91527, "[$-0E0000]yyyy-mm-dd")</f>
        <v/>
      </c>
    </row>
    <row r="91529">
      <c r="A91529" s="1" t="n">
        <v>91528</v>
      </c>
      <c r="B91529">
        <f>TEXT(91528, "[$-0E0000]yyyy-mm-dd")</f>
        <v/>
      </c>
    </row>
    <row r="91530">
      <c r="A91530" s="1" t="n">
        <v>91529</v>
      </c>
      <c r="B91530">
        <f>TEXT(91529, "[$-0E0000]yyyy-mm-dd")</f>
        <v/>
      </c>
    </row>
    <row r="91531">
      <c r="A91531" s="1" t="n">
        <v>91530</v>
      </c>
      <c r="B91531">
        <f>TEXT(91530, "[$-0E0000]yyyy-mm-dd")</f>
        <v/>
      </c>
    </row>
    <row r="91532">
      <c r="A91532" s="1" t="n">
        <v>91531</v>
      </c>
      <c r="B91532">
        <f>TEXT(91531, "[$-0E0000]yyyy-mm-dd")</f>
        <v/>
      </c>
    </row>
    <row r="91533">
      <c r="A91533" s="1" t="n">
        <v>91532</v>
      </c>
      <c r="B91533">
        <f>TEXT(91532, "[$-0E0000]yyyy-mm-dd")</f>
        <v/>
      </c>
    </row>
    <row r="91534">
      <c r="A91534" s="1" t="n">
        <v>91533</v>
      </c>
      <c r="B91534">
        <f>TEXT(91533, "[$-0E0000]yyyy-mm-dd")</f>
        <v/>
      </c>
    </row>
    <row r="91535">
      <c r="A91535" s="1" t="n">
        <v>91534</v>
      </c>
      <c r="B91535">
        <f>TEXT(91534, "[$-0E0000]yyyy-mm-dd")</f>
        <v/>
      </c>
    </row>
    <row r="91536">
      <c r="A91536" s="1" t="n">
        <v>91535</v>
      </c>
      <c r="B91536">
        <f>TEXT(91535, "[$-0E0000]yyyy-mm-dd")</f>
        <v/>
      </c>
    </row>
    <row r="91537">
      <c r="A91537" s="1" t="n">
        <v>91536</v>
      </c>
      <c r="B91537">
        <f>TEXT(91536, "[$-0E0000]yyyy-mm-dd")</f>
        <v/>
      </c>
    </row>
    <row r="91538">
      <c r="A91538" s="1" t="n">
        <v>91537</v>
      </c>
      <c r="B91538">
        <f>TEXT(91537, "[$-0E0000]yyyy-mm-dd")</f>
        <v/>
      </c>
    </row>
    <row r="91539">
      <c r="A91539" s="1" t="n">
        <v>91538</v>
      </c>
      <c r="B91539">
        <f>TEXT(91538, "[$-0E0000]yyyy-mm-dd")</f>
        <v/>
      </c>
    </row>
    <row r="91540">
      <c r="A91540" s="1" t="n">
        <v>91539</v>
      </c>
      <c r="B91540">
        <f>TEXT(91539, "[$-0E0000]yyyy-mm-dd")</f>
        <v/>
      </c>
    </row>
    <row r="91541">
      <c r="A91541" s="1" t="n">
        <v>91540</v>
      </c>
      <c r="B91541">
        <f>TEXT(91540, "[$-0E0000]yyyy-mm-dd")</f>
        <v/>
      </c>
    </row>
    <row r="91542">
      <c r="A91542" s="1" t="n">
        <v>91541</v>
      </c>
      <c r="B91542">
        <f>TEXT(91541, "[$-0E0000]yyyy-mm-dd")</f>
        <v/>
      </c>
    </row>
    <row r="91543">
      <c r="A91543" s="1" t="n">
        <v>91542</v>
      </c>
      <c r="B91543">
        <f>TEXT(91542, "[$-0E0000]yyyy-mm-dd")</f>
        <v/>
      </c>
    </row>
    <row r="91544">
      <c r="A91544" s="1" t="n">
        <v>91543</v>
      </c>
      <c r="B91544">
        <f>TEXT(91543, "[$-0E0000]yyyy-mm-dd")</f>
        <v/>
      </c>
    </row>
    <row r="91545">
      <c r="A91545" s="1" t="n">
        <v>91544</v>
      </c>
      <c r="B91545">
        <f>TEXT(91544, "[$-0E0000]yyyy-mm-dd")</f>
        <v/>
      </c>
    </row>
    <row r="91546">
      <c r="A91546" s="1" t="n">
        <v>91545</v>
      </c>
      <c r="B91546">
        <f>TEXT(91545, "[$-0E0000]yyyy-mm-dd")</f>
        <v/>
      </c>
    </row>
    <row r="91547">
      <c r="A91547" s="1" t="n">
        <v>91546</v>
      </c>
      <c r="B91547">
        <f>TEXT(91546, "[$-0E0000]yyyy-mm-dd")</f>
        <v/>
      </c>
    </row>
    <row r="91548">
      <c r="A91548" s="1" t="n">
        <v>91547</v>
      </c>
      <c r="B91548">
        <f>TEXT(91547, "[$-0E0000]yyyy-mm-dd")</f>
        <v/>
      </c>
    </row>
    <row r="91549">
      <c r="A91549" s="1" t="n">
        <v>91548</v>
      </c>
      <c r="B91549">
        <f>TEXT(91548, "[$-0E0000]yyyy-mm-dd")</f>
        <v/>
      </c>
    </row>
    <row r="91550">
      <c r="A91550" s="1" t="n">
        <v>91549</v>
      </c>
      <c r="B91550">
        <f>TEXT(91549, "[$-0E0000]yyyy-mm-dd")</f>
        <v/>
      </c>
    </row>
    <row r="91551">
      <c r="A91551" s="1" t="n">
        <v>91550</v>
      </c>
      <c r="B91551">
        <f>TEXT(91550, "[$-0E0000]yyyy-mm-dd")</f>
        <v/>
      </c>
    </row>
    <row r="91552">
      <c r="A91552" s="1" t="n">
        <v>91551</v>
      </c>
      <c r="B91552">
        <f>TEXT(91551, "[$-0E0000]yyyy-mm-dd")</f>
        <v/>
      </c>
    </row>
    <row r="91553">
      <c r="A91553" s="1" t="n">
        <v>91552</v>
      </c>
      <c r="B91553">
        <f>TEXT(91552, "[$-0E0000]yyyy-mm-dd")</f>
        <v/>
      </c>
    </row>
    <row r="91554">
      <c r="A91554" s="1" t="n">
        <v>91553</v>
      </c>
      <c r="B91554">
        <f>TEXT(91553, "[$-0E0000]yyyy-mm-dd")</f>
        <v/>
      </c>
    </row>
    <row r="91555">
      <c r="A91555" s="1" t="n">
        <v>91554</v>
      </c>
      <c r="B91555">
        <f>TEXT(91554, "[$-0E0000]yyyy-mm-dd")</f>
        <v/>
      </c>
    </row>
    <row r="91556">
      <c r="A91556" s="1" t="n">
        <v>91555</v>
      </c>
      <c r="B91556">
        <f>TEXT(91555, "[$-0E0000]yyyy-mm-dd")</f>
        <v/>
      </c>
    </row>
    <row r="91557">
      <c r="A91557" s="1" t="n">
        <v>91556</v>
      </c>
      <c r="B91557">
        <f>TEXT(91556, "[$-0E0000]yyyy-mm-dd")</f>
        <v/>
      </c>
    </row>
    <row r="91558">
      <c r="A91558" s="1" t="n">
        <v>91557</v>
      </c>
      <c r="B91558">
        <f>TEXT(91557, "[$-0E0000]yyyy-mm-dd")</f>
        <v/>
      </c>
    </row>
    <row r="91559">
      <c r="A91559" s="1" t="n">
        <v>91558</v>
      </c>
      <c r="B91559">
        <f>TEXT(91558, "[$-0E0000]yyyy-mm-dd")</f>
        <v/>
      </c>
    </row>
    <row r="91560">
      <c r="A91560" s="1" t="n">
        <v>91559</v>
      </c>
      <c r="B91560">
        <f>TEXT(91559, "[$-0E0000]yyyy-mm-dd")</f>
        <v/>
      </c>
    </row>
    <row r="91561">
      <c r="A91561" s="1" t="n">
        <v>91560</v>
      </c>
      <c r="B91561">
        <f>TEXT(91560, "[$-0E0000]yyyy-mm-dd")</f>
        <v/>
      </c>
    </row>
    <row r="91562">
      <c r="A91562" s="1" t="n">
        <v>91561</v>
      </c>
      <c r="B91562">
        <f>TEXT(91561, "[$-0E0000]yyyy-mm-dd")</f>
        <v/>
      </c>
    </row>
    <row r="91563">
      <c r="A91563" s="1" t="n">
        <v>91562</v>
      </c>
      <c r="B91563">
        <f>TEXT(91562, "[$-0E0000]yyyy-mm-dd")</f>
        <v/>
      </c>
    </row>
    <row r="91564">
      <c r="A91564" s="1" t="n">
        <v>91563</v>
      </c>
      <c r="B91564">
        <f>TEXT(91563, "[$-0E0000]yyyy-mm-dd")</f>
        <v/>
      </c>
    </row>
    <row r="91565">
      <c r="A91565" s="1" t="n">
        <v>91564</v>
      </c>
      <c r="B91565">
        <f>TEXT(91564, "[$-0E0000]yyyy-mm-dd")</f>
        <v/>
      </c>
    </row>
    <row r="91566">
      <c r="A91566" s="1" t="n">
        <v>91565</v>
      </c>
      <c r="B91566">
        <f>TEXT(91565, "[$-0E0000]yyyy-mm-dd")</f>
        <v/>
      </c>
    </row>
    <row r="91567">
      <c r="A91567" s="1" t="n">
        <v>91566</v>
      </c>
      <c r="B91567">
        <f>TEXT(91566, "[$-0E0000]yyyy-mm-dd")</f>
        <v/>
      </c>
    </row>
    <row r="91568">
      <c r="A91568" s="1" t="n">
        <v>91567</v>
      </c>
      <c r="B91568">
        <f>TEXT(91567, "[$-0E0000]yyyy-mm-dd")</f>
        <v/>
      </c>
    </row>
    <row r="91569">
      <c r="A91569" s="1" t="n">
        <v>91568</v>
      </c>
      <c r="B91569">
        <f>TEXT(91568, "[$-0E0000]yyyy-mm-dd")</f>
        <v/>
      </c>
    </row>
    <row r="91570">
      <c r="A91570" s="1" t="n">
        <v>91569</v>
      </c>
      <c r="B91570">
        <f>TEXT(91569, "[$-0E0000]yyyy-mm-dd")</f>
        <v/>
      </c>
    </row>
    <row r="91571">
      <c r="A91571" s="1" t="n">
        <v>91570</v>
      </c>
      <c r="B91571">
        <f>TEXT(91570, "[$-0E0000]yyyy-mm-dd")</f>
        <v/>
      </c>
    </row>
    <row r="91572">
      <c r="A91572" s="1" t="n">
        <v>91571</v>
      </c>
      <c r="B91572">
        <f>TEXT(91571, "[$-0E0000]yyyy-mm-dd")</f>
        <v/>
      </c>
    </row>
    <row r="91573">
      <c r="A91573" s="1" t="n">
        <v>91572</v>
      </c>
      <c r="B91573">
        <f>TEXT(91572, "[$-0E0000]yyyy-mm-dd")</f>
        <v/>
      </c>
    </row>
    <row r="91574">
      <c r="A91574" s="1" t="n">
        <v>91573</v>
      </c>
      <c r="B91574">
        <f>TEXT(91573, "[$-0E0000]yyyy-mm-dd")</f>
        <v/>
      </c>
    </row>
    <row r="91575">
      <c r="A91575" s="1" t="n">
        <v>91574</v>
      </c>
      <c r="B91575">
        <f>TEXT(91574, "[$-0E0000]yyyy-mm-dd")</f>
        <v/>
      </c>
    </row>
    <row r="91576">
      <c r="A91576" s="1" t="n">
        <v>91575</v>
      </c>
      <c r="B91576">
        <f>TEXT(91575, "[$-0E0000]yyyy-mm-dd")</f>
        <v/>
      </c>
    </row>
    <row r="91577">
      <c r="A91577" s="1" t="n">
        <v>91576</v>
      </c>
      <c r="B91577">
        <f>TEXT(91576, "[$-0E0000]yyyy-mm-dd")</f>
        <v/>
      </c>
    </row>
    <row r="91578">
      <c r="A91578" s="1" t="n">
        <v>91577</v>
      </c>
      <c r="B91578">
        <f>TEXT(91577, "[$-0E0000]yyyy-mm-dd")</f>
        <v/>
      </c>
    </row>
    <row r="91579">
      <c r="A91579" s="1" t="n">
        <v>91578</v>
      </c>
      <c r="B91579">
        <f>TEXT(91578, "[$-0E0000]yyyy-mm-dd")</f>
        <v/>
      </c>
    </row>
    <row r="91580">
      <c r="A91580" s="1" t="n">
        <v>91579</v>
      </c>
      <c r="B91580">
        <f>TEXT(91579, "[$-0E0000]yyyy-mm-dd")</f>
        <v/>
      </c>
    </row>
    <row r="91581">
      <c r="A91581" s="1" t="n">
        <v>91580</v>
      </c>
      <c r="B91581">
        <f>TEXT(91580, "[$-0E0000]yyyy-mm-dd")</f>
        <v/>
      </c>
    </row>
    <row r="91582">
      <c r="A91582" s="1" t="n">
        <v>91581</v>
      </c>
      <c r="B91582">
        <f>TEXT(91581, "[$-0E0000]yyyy-mm-dd")</f>
        <v/>
      </c>
    </row>
    <row r="91583">
      <c r="A91583" s="1" t="n">
        <v>91582</v>
      </c>
      <c r="B91583">
        <f>TEXT(91582, "[$-0E0000]yyyy-mm-dd")</f>
        <v/>
      </c>
    </row>
    <row r="91584">
      <c r="A91584" s="1" t="n">
        <v>91583</v>
      </c>
      <c r="B91584">
        <f>TEXT(91583, "[$-0E0000]yyyy-mm-dd")</f>
        <v/>
      </c>
    </row>
    <row r="91585">
      <c r="A91585" s="1" t="n">
        <v>91584</v>
      </c>
      <c r="B91585">
        <f>TEXT(91584, "[$-0E0000]yyyy-mm-dd")</f>
        <v/>
      </c>
    </row>
    <row r="91586">
      <c r="A91586" s="1" t="n">
        <v>91585</v>
      </c>
      <c r="B91586">
        <f>TEXT(91585, "[$-0E0000]yyyy-mm-dd")</f>
        <v/>
      </c>
    </row>
    <row r="91587">
      <c r="A91587" s="1" t="n">
        <v>91586</v>
      </c>
      <c r="B91587">
        <f>TEXT(91586, "[$-0E0000]yyyy-mm-dd")</f>
        <v/>
      </c>
    </row>
    <row r="91588">
      <c r="A91588" s="1" t="n">
        <v>91587</v>
      </c>
      <c r="B91588">
        <f>TEXT(91587, "[$-0E0000]yyyy-mm-dd")</f>
        <v/>
      </c>
    </row>
    <row r="91589">
      <c r="A91589" s="1" t="n">
        <v>91588</v>
      </c>
      <c r="B91589">
        <f>TEXT(91588, "[$-0E0000]yyyy-mm-dd")</f>
        <v/>
      </c>
    </row>
    <row r="91590">
      <c r="A91590" s="1" t="n">
        <v>91589</v>
      </c>
      <c r="B91590">
        <f>TEXT(91589, "[$-0E0000]yyyy-mm-dd")</f>
        <v/>
      </c>
    </row>
    <row r="91591">
      <c r="A91591" s="1" t="n">
        <v>91590</v>
      </c>
      <c r="B91591">
        <f>TEXT(91590, "[$-0E0000]yyyy-mm-dd")</f>
        <v/>
      </c>
    </row>
    <row r="91592">
      <c r="A91592" s="1" t="n">
        <v>91591</v>
      </c>
      <c r="B91592">
        <f>TEXT(91591, "[$-0E0000]yyyy-mm-dd")</f>
        <v/>
      </c>
    </row>
    <row r="91593">
      <c r="A91593" s="1" t="n">
        <v>91592</v>
      </c>
      <c r="B91593">
        <f>TEXT(91592, "[$-0E0000]yyyy-mm-dd")</f>
        <v/>
      </c>
    </row>
    <row r="91594">
      <c r="A91594" s="1" t="n">
        <v>91593</v>
      </c>
      <c r="B91594">
        <f>TEXT(91593, "[$-0E0000]yyyy-mm-dd")</f>
        <v/>
      </c>
    </row>
    <row r="91595">
      <c r="A91595" s="1" t="n">
        <v>91594</v>
      </c>
      <c r="B91595">
        <f>TEXT(91594, "[$-0E0000]yyyy-mm-dd")</f>
        <v/>
      </c>
    </row>
    <row r="91596">
      <c r="A91596" s="1" t="n">
        <v>91595</v>
      </c>
      <c r="B91596">
        <f>TEXT(91595, "[$-0E0000]yyyy-mm-dd")</f>
        <v/>
      </c>
    </row>
    <row r="91597">
      <c r="A91597" s="1" t="n">
        <v>91596</v>
      </c>
      <c r="B91597">
        <f>TEXT(91596, "[$-0E0000]yyyy-mm-dd")</f>
        <v/>
      </c>
    </row>
    <row r="91598">
      <c r="A91598" s="1" t="n">
        <v>91597</v>
      </c>
      <c r="B91598">
        <f>TEXT(91597, "[$-0E0000]yyyy-mm-dd")</f>
        <v/>
      </c>
    </row>
    <row r="91599">
      <c r="A91599" s="1" t="n">
        <v>91598</v>
      </c>
      <c r="B91599">
        <f>TEXT(91598, "[$-0E0000]yyyy-mm-dd")</f>
        <v/>
      </c>
    </row>
    <row r="91600">
      <c r="A91600" s="1" t="n">
        <v>91599</v>
      </c>
      <c r="B91600">
        <f>TEXT(91599, "[$-0E0000]yyyy-mm-dd")</f>
        <v/>
      </c>
    </row>
    <row r="91601">
      <c r="A91601" s="1" t="n">
        <v>91600</v>
      </c>
      <c r="B91601">
        <f>TEXT(91600, "[$-0E0000]yyyy-mm-dd")</f>
        <v/>
      </c>
    </row>
    <row r="91602">
      <c r="A91602" s="1" t="n">
        <v>91601</v>
      </c>
      <c r="B91602">
        <f>TEXT(91601, "[$-0E0000]yyyy-mm-dd")</f>
        <v/>
      </c>
    </row>
    <row r="91603">
      <c r="A91603" s="1" t="n">
        <v>91602</v>
      </c>
      <c r="B91603">
        <f>TEXT(91602, "[$-0E0000]yyyy-mm-dd")</f>
        <v/>
      </c>
    </row>
    <row r="91604">
      <c r="A91604" s="1" t="n">
        <v>91603</v>
      </c>
      <c r="B91604">
        <f>TEXT(91603, "[$-0E0000]yyyy-mm-dd")</f>
        <v/>
      </c>
    </row>
    <row r="91605">
      <c r="A91605" s="1" t="n">
        <v>91604</v>
      </c>
      <c r="B91605">
        <f>TEXT(91604, "[$-0E0000]yyyy-mm-dd")</f>
        <v/>
      </c>
    </row>
    <row r="91606">
      <c r="A91606" s="1" t="n">
        <v>91605</v>
      </c>
      <c r="B91606">
        <f>TEXT(91605, "[$-0E0000]yyyy-mm-dd")</f>
        <v/>
      </c>
    </row>
    <row r="91607">
      <c r="A91607" s="1" t="n">
        <v>91606</v>
      </c>
      <c r="B91607">
        <f>TEXT(91606, "[$-0E0000]yyyy-mm-dd")</f>
        <v/>
      </c>
    </row>
    <row r="91608">
      <c r="A91608" s="1" t="n">
        <v>91607</v>
      </c>
      <c r="B91608">
        <f>TEXT(91607, "[$-0E0000]yyyy-mm-dd")</f>
        <v/>
      </c>
    </row>
    <row r="91609">
      <c r="A91609" s="1" t="n">
        <v>91608</v>
      </c>
      <c r="B91609">
        <f>TEXT(91608, "[$-0E0000]yyyy-mm-dd")</f>
        <v/>
      </c>
    </row>
    <row r="91610">
      <c r="A91610" s="1" t="n">
        <v>91609</v>
      </c>
      <c r="B91610">
        <f>TEXT(91609, "[$-0E0000]yyyy-mm-dd")</f>
        <v/>
      </c>
    </row>
    <row r="91611">
      <c r="A91611" s="1" t="n">
        <v>91610</v>
      </c>
      <c r="B91611">
        <f>TEXT(91610, "[$-0E0000]yyyy-mm-dd")</f>
        <v/>
      </c>
    </row>
    <row r="91612">
      <c r="A91612" s="1" t="n">
        <v>91611</v>
      </c>
      <c r="B91612">
        <f>TEXT(91611, "[$-0E0000]yyyy-mm-dd")</f>
        <v/>
      </c>
    </row>
    <row r="91613">
      <c r="A91613" s="1" t="n">
        <v>91612</v>
      </c>
      <c r="B91613">
        <f>TEXT(91612, "[$-0E0000]yyyy-mm-dd")</f>
        <v/>
      </c>
    </row>
    <row r="91614">
      <c r="A91614" s="1" t="n">
        <v>91613</v>
      </c>
      <c r="B91614">
        <f>TEXT(91613, "[$-0E0000]yyyy-mm-dd")</f>
        <v/>
      </c>
    </row>
    <row r="91615">
      <c r="A91615" s="1" t="n">
        <v>91614</v>
      </c>
      <c r="B91615">
        <f>TEXT(91614, "[$-0E0000]yyyy-mm-dd")</f>
        <v/>
      </c>
    </row>
    <row r="91616">
      <c r="A91616" s="1" t="n">
        <v>91615</v>
      </c>
      <c r="B91616">
        <f>TEXT(91615, "[$-0E0000]yyyy-mm-dd")</f>
        <v/>
      </c>
    </row>
    <row r="91617">
      <c r="A91617" s="1" t="n">
        <v>91616</v>
      </c>
      <c r="B91617">
        <f>TEXT(91616, "[$-0E0000]yyyy-mm-dd")</f>
        <v/>
      </c>
    </row>
    <row r="91618">
      <c r="A91618" s="1" t="n">
        <v>91617</v>
      </c>
      <c r="B91618">
        <f>TEXT(91617, "[$-0E0000]yyyy-mm-dd")</f>
        <v/>
      </c>
    </row>
    <row r="91619">
      <c r="A91619" s="1" t="n">
        <v>91618</v>
      </c>
      <c r="B91619">
        <f>TEXT(91618, "[$-0E0000]yyyy-mm-dd")</f>
        <v/>
      </c>
    </row>
    <row r="91620">
      <c r="A91620" s="1" t="n">
        <v>91619</v>
      </c>
      <c r="B91620">
        <f>TEXT(91619, "[$-0E0000]yyyy-mm-dd")</f>
        <v/>
      </c>
    </row>
    <row r="91621">
      <c r="A91621" s="1" t="n">
        <v>91620</v>
      </c>
      <c r="B91621">
        <f>TEXT(91620, "[$-0E0000]yyyy-mm-dd")</f>
        <v/>
      </c>
    </row>
    <row r="91622">
      <c r="A91622" s="1" t="n">
        <v>91621</v>
      </c>
      <c r="B91622">
        <f>TEXT(91621, "[$-0E0000]yyyy-mm-dd")</f>
        <v/>
      </c>
    </row>
    <row r="91623">
      <c r="A91623" s="1" t="n">
        <v>91622</v>
      </c>
      <c r="B91623">
        <f>TEXT(91622, "[$-0E0000]yyyy-mm-dd")</f>
        <v/>
      </c>
    </row>
    <row r="91624">
      <c r="A91624" s="1" t="n">
        <v>91623</v>
      </c>
      <c r="B91624">
        <f>TEXT(91623, "[$-0E0000]yyyy-mm-dd")</f>
        <v/>
      </c>
    </row>
    <row r="91625">
      <c r="A91625" s="1" t="n">
        <v>91624</v>
      </c>
      <c r="B91625">
        <f>TEXT(91624, "[$-0E0000]yyyy-mm-dd")</f>
        <v/>
      </c>
    </row>
    <row r="91626">
      <c r="A91626" s="1" t="n">
        <v>91625</v>
      </c>
      <c r="B91626">
        <f>TEXT(91625, "[$-0E0000]yyyy-mm-dd")</f>
        <v/>
      </c>
    </row>
    <row r="91627">
      <c r="A91627" s="1" t="n">
        <v>91626</v>
      </c>
      <c r="B91627">
        <f>TEXT(91626, "[$-0E0000]yyyy-mm-dd")</f>
        <v/>
      </c>
    </row>
    <row r="91628">
      <c r="A91628" s="1" t="n">
        <v>91627</v>
      </c>
      <c r="B91628">
        <f>TEXT(91627, "[$-0E0000]yyyy-mm-dd")</f>
        <v/>
      </c>
    </row>
    <row r="91629">
      <c r="A91629" s="1" t="n">
        <v>91628</v>
      </c>
      <c r="B91629">
        <f>TEXT(91628, "[$-0E0000]yyyy-mm-dd")</f>
        <v/>
      </c>
    </row>
    <row r="91630">
      <c r="A91630" s="1" t="n">
        <v>91629</v>
      </c>
      <c r="B91630">
        <f>TEXT(91629, "[$-0E0000]yyyy-mm-dd")</f>
        <v/>
      </c>
    </row>
    <row r="91631">
      <c r="A91631" s="1" t="n">
        <v>91630</v>
      </c>
      <c r="B91631">
        <f>TEXT(91630, "[$-0E0000]yyyy-mm-dd")</f>
        <v/>
      </c>
    </row>
    <row r="91632">
      <c r="A91632" s="1" t="n">
        <v>91631</v>
      </c>
      <c r="B91632">
        <f>TEXT(91631, "[$-0E0000]yyyy-mm-dd")</f>
        <v/>
      </c>
    </row>
    <row r="91633">
      <c r="A91633" s="1" t="n">
        <v>91632</v>
      </c>
      <c r="B91633">
        <f>TEXT(91632, "[$-0E0000]yyyy-mm-dd")</f>
        <v/>
      </c>
    </row>
    <row r="91634">
      <c r="A91634" s="1" t="n">
        <v>91633</v>
      </c>
      <c r="B91634">
        <f>TEXT(91633, "[$-0E0000]yyyy-mm-dd")</f>
        <v/>
      </c>
    </row>
    <row r="91635">
      <c r="A91635" s="1" t="n">
        <v>91634</v>
      </c>
      <c r="B91635">
        <f>TEXT(91634, "[$-0E0000]yyyy-mm-dd")</f>
        <v/>
      </c>
    </row>
    <row r="91636">
      <c r="A91636" s="1" t="n">
        <v>91635</v>
      </c>
      <c r="B91636">
        <f>TEXT(91635, "[$-0E0000]yyyy-mm-dd")</f>
        <v/>
      </c>
    </row>
    <row r="91637">
      <c r="A91637" s="1" t="n">
        <v>91636</v>
      </c>
      <c r="B91637">
        <f>TEXT(91636, "[$-0E0000]yyyy-mm-dd")</f>
        <v/>
      </c>
    </row>
    <row r="91638">
      <c r="A91638" s="1" t="n">
        <v>91637</v>
      </c>
      <c r="B91638">
        <f>TEXT(91637, "[$-0E0000]yyyy-mm-dd")</f>
        <v/>
      </c>
    </row>
    <row r="91639">
      <c r="A91639" s="1" t="n">
        <v>91638</v>
      </c>
      <c r="B91639">
        <f>TEXT(91638, "[$-0E0000]yyyy-mm-dd")</f>
        <v/>
      </c>
    </row>
    <row r="91640">
      <c r="A91640" s="1" t="n">
        <v>91639</v>
      </c>
      <c r="B91640">
        <f>TEXT(91639, "[$-0E0000]yyyy-mm-dd")</f>
        <v/>
      </c>
    </row>
    <row r="91641">
      <c r="A91641" s="1" t="n">
        <v>91640</v>
      </c>
      <c r="B91641">
        <f>TEXT(91640, "[$-0E0000]yyyy-mm-dd")</f>
        <v/>
      </c>
    </row>
    <row r="91642">
      <c r="A91642" s="1" t="n">
        <v>91641</v>
      </c>
      <c r="B91642">
        <f>TEXT(91641, "[$-0E0000]yyyy-mm-dd")</f>
        <v/>
      </c>
    </row>
    <row r="91643">
      <c r="A91643" s="1" t="n">
        <v>91642</v>
      </c>
      <c r="B91643">
        <f>TEXT(91642, "[$-0E0000]yyyy-mm-dd")</f>
        <v/>
      </c>
    </row>
    <row r="91644">
      <c r="A91644" s="1" t="n">
        <v>91643</v>
      </c>
      <c r="B91644">
        <f>TEXT(91643, "[$-0E0000]yyyy-mm-dd")</f>
        <v/>
      </c>
    </row>
    <row r="91645">
      <c r="A91645" s="1" t="n">
        <v>91644</v>
      </c>
      <c r="B91645">
        <f>TEXT(91644, "[$-0E0000]yyyy-mm-dd")</f>
        <v/>
      </c>
    </row>
    <row r="91646">
      <c r="A91646" s="1" t="n">
        <v>91645</v>
      </c>
      <c r="B91646">
        <f>TEXT(91645, "[$-0E0000]yyyy-mm-dd")</f>
        <v/>
      </c>
    </row>
    <row r="91647">
      <c r="A91647" s="1" t="n">
        <v>91646</v>
      </c>
      <c r="B91647">
        <f>TEXT(91646, "[$-0E0000]yyyy-mm-dd")</f>
        <v/>
      </c>
    </row>
    <row r="91648">
      <c r="A91648" s="1" t="n">
        <v>91647</v>
      </c>
      <c r="B91648">
        <f>TEXT(91647, "[$-0E0000]yyyy-mm-dd")</f>
        <v/>
      </c>
    </row>
    <row r="91649">
      <c r="A91649" s="1" t="n">
        <v>91648</v>
      </c>
      <c r="B91649">
        <f>TEXT(91648, "[$-0E0000]yyyy-mm-dd")</f>
        <v/>
      </c>
    </row>
    <row r="91650">
      <c r="A91650" s="1" t="n">
        <v>91649</v>
      </c>
      <c r="B91650">
        <f>TEXT(91649, "[$-0E0000]yyyy-mm-dd")</f>
        <v/>
      </c>
    </row>
    <row r="91651">
      <c r="A91651" s="1" t="n">
        <v>91650</v>
      </c>
      <c r="B91651">
        <f>TEXT(91650, "[$-0E0000]yyyy-mm-dd")</f>
        <v/>
      </c>
    </row>
    <row r="91652">
      <c r="A91652" s="1" t="n">
        <v>91651</v>
      </c>
      <c r="B91652">
        <f>TEXT(91651, "[$-0E0000]yyyy-mm-dd")</f>
        <v/>
      </c>
    </row>
    <row r="91653">
      <c r="A91653" s="1" t="n">
        <v>91652</v>
      </c>
      <c r="B91653">
        <f>TEXT(91652, "[$-0E0000]yyyy-mm-dd")</f>
        <v/>
      </c>
    </row>
    <row r="91654">
      <c r="A91654" s="1" t="n">
        <v>91653</v>
      </c>
      <c r="B91654">
        <f>TEXT(91653, "[$-0E0000]yyyy-mm-dd")</f>
        <v/>
      </c>
    </row>
    <row r="91655">
      <c r="A91655" s="1" t="n">
        <v>91654</v>
      </c>
      <c r="B91655">
        <f>TEXT(91654, "[$-0E0000]yyyy-mm-dd")</f>
        <v/>
      </c>
    </row>
    <row r="91656">
      <c r="A91656" s="1" t="n">
        <v>91655</v>
      </c>
      <c r="B91656">
        <f>TEXT(91655, "[$-0E0000]yyyy-mm-dd")</f>
        <v/>
      </c>
    </row>
    <row r="91657">
      <c r="A91657" s="1" t="n">
        <v>91656</v>
      </c>
      <c r="B91657">
        <f>TEXT(91656, "[$-0E0000]yyyy-mm-dd")</f>
        <v/>
      </c>
    </row>
    <row r="91658">
      <c r="A91658" s="1" t="n">
        <v>91657</v>
      </c>
      <c r="B91658">
        <f>TEXT(91657, "[$-0E0000]yyyy-mm-dd")</f>
        <v/>
      </c>
    </row>
    <row r="91659">
      <c r="A91659" s="1" t="n">
        <v>91658</v>
      </c>
      <c r="B91659">
        <f>TEXT(91658, "[$-0E0000]yyyy-mm-dd")</f>
        <v/>
      </c>
    </row>
    <row r="91660">
      <c r="A91660" s="1" t="n">
        <v>91659</v>
      </c>
      <c r="B91660">
        <f>TEXT(91659, "[$-0E0000]yyyy-mm-dd")</f>
        <v/>
      </c>
    </row>
    <row r="91661">
      <c r="A91661" s="1" t="n">
        <v>91660</v>
      </c>
      <c r="B91661">
        <f>TEXT(91660, "[$-0E0000]yyyy-mm-dd")</f>
        <v/>
      </c>
    </row>
    <row r="91662">
      <c r="A91662" s="1" t="n">
        <v>91661</v>
      </c>
      <c r="B91662">
        <f>TEXT(91661, "[$-0E0000]yyyy-mm-dd")</f>
        <v/>
      </c>
    </row>
    <row r="91663">
      <c r="A91663" s="1" t="n">
        <v>91662</v>
      </c>
      <c r="B91663">
        <f>TEXT(91662, "[$-0E0000]yyyy-mm-dd")</f>
        <v/>
      </c>
    </row>
    <row r="91664">
      <c r="A91664" s="1" t="n">
        <v>91663</v>
      </c>
      <c r="B91664">
        <f>TEXT(91663, "[$-0E0000]yyyy-mm-dd")</f>
        <v/>
      </c>
    </row>
    <row r="91665">
      <c r="A91665" s="1" t="n">
        <v>91664</v>
      </c>
      <c r="B91665">
        <f>TEXT(91664, "[$-0E0000]yyyy-mm-dd")</f>
        <v/>
      </c>
    </row>
    <row r="91666">
      <c r="A91666" s="1" t="n">
        <v>91665</v>
      </c>
      <c r="B91666">
        <f>TEXT(91665, "[$-0E0000]yyyy-mm-dd")</f>
        <v/>
      </c>
    </row>
    <row r="91667">
      <c r="A91667" s="1" t="n">
        <v>91666</v>
      </c>
      <c r="B91667">
        <f>TEXT(91666, "[$-0E0000]yyyy-mm-dd")</f>
        <v/>
      </c>
    </row>
    <row r="91668">
      <c r="A91668" s="1" t="n">
        <v>91667</v>
      </c>
      <c r="B91668">
        <f>TEXT(91667, "[$-0E0000]yyyy-mm-dd")</f>
        <v/>
      </c>
    </row>
    <row r="91669">
      <c r="A91669" s="1" t="n">
        <v>91668</v>
      </c>
      <c r="B91669">
        <f>TEXT(91668, "[$-0E0000]yyyy-mm-dd")</f>
        <v/>
      </c>
    </row>
    <row r="91670">
      <c r="A91670" s="1" t="n">
        <v>91669</v>
      </c>
      <c r="B91670">
        <f>TEXT(91669, "[$-0E0000]yyyy-mm-dd")</f>
        <v/>
      </c>
    </row>
    <row r="91671">
      <c r="A91671" s="1" t="n">
        <v>91670</v>
      </c>
      <c r="B91671">
        <f>TEXT(91670, "[$-0E0000]yyyy-mm-dd")</f>
        <v/>
      </c>
    </row>
    <row r="91672">
      <c r="A91672" s="1" t="n">
        <v>91671</v>
      </c>
      <c r="B91672">
        <f>TEXT(91671, "[$-0E0000]yyyy-mm-dd")</f>
        <v/>
      </c>
    </row>
    <row r="91673">
      <c r="A91673" s="1" t="n">
        <v>91672</v>
      </c>
      <c r="B91673">
        <f>TEXT(91672, "[$-0E0000]yyyy-mm-dd")</f>
        <v/>
      </c>
    </row>
    <row r="91674">
      <c r="A91674" s="1" t="n">
        <v>91673</v>
      </c>
      <c r="B91674">
        <f>TEXT(91673, "[$-0E0000]yyyy-mm-dd")</f>
        <v/>
      </c>
    </row>
    <row r="91675">
      <c r="A91675" s="1" t="n">
        <v>91674</v>
      </c>
      <c r="B91675">
        <f>TEXT(91674, "[$-0E0000]yyyy-mm-dd")</f>
        <v/>
      </c>
    </row>
    <row r="91676">
      <c r="A91676" s="1" t="n">
        <v>91675</v>
      </c>
      <c r="B91676">
        <f>TEXT(91675, "[$-0E0000]yyyy-mm-dd")</f>
        <v/>
      </c>
    </row>
    <row r="91677">
      <c r="A91677" s="1" t="n">
        <v>91676</v>
      </c>
      <c r="B91677">
        <f>TEXT(91676, "[$-0E0000]yyyy-mm-dd")</f>
        <v/>
      </c>
    </row>
    <row r="91678">
      <c r="A91678" s="1" t="n">
        <v>91677</v>
      </c>
      <c r="B91678">
        <f>TEXT(91677, "[$-0E0000]yyyy-mm-dd")</f>
        <v/>
      </c>
    </row>
    <row r="91679">
      <c r="A91679" s="1" t="n">
        <v>91678</v>
      </c>
      <c r="B91679">
        <f>TEXT(91678, "[$-0E0000]yyyy-mm-dd")</f>
        <v/>
      </c>
    </row>
    <row r="91680">
      <c r="A91680" s="1" t="n">
        <v>91679</v>
      </c>
      <c r="B91680">
        <f>TEXT(91679, "[$-0E0000]yyyy-mm-dd")</f>
        <v/>
      </c>
    </row>
    <row r="91681">
      <c r="A91681" s="1" t="n">
        <v>91680</v>
      </c>
      <c r="B91681">
        <f>TEXT(91680, "[$-0E0000]yyyy-mm-dd")</f>
        <v/>
      </c>
    </row>
    <row r="91682">
      <c r="A91682" s="1" t="n">
        <v>91681</v>
      </c>
      <c r="B91682">
        <f>TEXT(91681, "[$-0E0000]yyyy-mm-dd")</f>
        <v/>
      </c>
    </row>
    <row r="91683">
      <c r="A91683" s="1" t="n">
        <v>91682</v>
      </c>
      <c r="B91683">
        <f>TEXT(91682, "[$-0E0000]yyyy-mm-dd")</f>
        <v/>
      </c>
    </row>
    <row r="91684">
      <c r="A91684" s="1" t="n">
        <v>91683</v>
      </c>
      <c r="B91684">
        <f>TEXT(91683, "[$-0E0000]yyyy-mm-dd")</f>
        <v/>
      </c>
    </row>
    <row r="91685">
      <c r="A91685" s="1" t="n">
        <v>91684</v>
      </c>
      <c r="B91685">
        <f>TEXT(91684, "[$-0E0000]yyyy-mm-dd")</f>
        <v/>
      </c>
    </row>
    <row r="91686">
      <c r="A91686" s="1" t="n">
        <v>91685</v>
      </c>
      <c r="B91686">
        <f>TEXT(91685, "[$-0E0000]yyyy-mm-dd")</f>
        <v/>
      </c>
    </row>
    <row r="91687">
      <c r="A91687" s="1" t="n">
        <v>91686</v>
      </c>
      <c r="B91687">
        <f>TEXT(91686, "[$-0E0000]yyyy-mm-dd")</f>
        <v/>
      </c>
    </row>
    <row r="91688">
      <c r="A91688" s="1" t="n">
        <v>91687</v>
      </c>
      <c r="B91688">
        <f>TEXT(91687, "[$-0E0000]yyyy-mm-dd")</f>
        <v/>
      </c>
    </row>
    <row r="91689">
      <c r="A91689" s="1" t="n">
        <v>91688</v>
      </c>
      <c r="B91689">
        <f>TEXT(91688, "[$-0E0000]yyyy-mm-dd")</f>
        <v/>
      </c>
    </row>
    <row r="91690">
      <c r="A91690" s="1" t="n">
        <v>91689</v>
      </c>
      <c r="B91690">
        <f>TEXT(91689, "[$-0E0000]yyyy-mm-dd")</f>
        <v/>
      </c>
    </row>
    <row r="91691">
      <c r="A91691" s="1" t="n">
        <v>91690</v>
      </c>
      <c r="B91691">
        <f>TEXT(91690, "[$-0E0000]yyyy-mm-dd")</f>
        <v/>
      </c>
    </row>
    <row r="91692">
      <c r="A91692" s="1" t="n">
        <v>91691</v>
      </c>
      <c r="B91692">
        <f>TEXT(91691, "[$-0E0000]yyyy-mm-dd")</f>
        <v/>
      </c>
    </row>
    <row r="91693">
      <c r="A91693" s="1" t="n">
        <v>91692</v>
      </c>
      <c r="B91693">
        <f>TEXT(91692, "[$-0E0000]yyyy-mm-dd")</f>
        <v/>
      </c>
    </row>
    <row r="91694">
      <c r="A91694" s="1" t="n">
        <v>91693</v>
      </c>
      <c r="B91694">
        <f>TEXT(91693, "[$-0E0000]yyyy-mm-dd")</f>
        <v/>
      </c>
    </row>
    <row r="91695">
      <c r="A91695" s="1" t="n">
        <v>91694</v>
      </c>
      <c r="B91695">
        <f>TEXT(91694, "[$-0E0000]yyyy-mm-dd")</f>
        <v/>
      </c>
    </row>
    <row r="91696">
      <c r="A91696" s="1" t="n">
        <v>91695</v>
      </c>
      <c r="B91696">
        <f>TEXT(91695, "[$-0E0000]yyyy-mm-dd")</f>
        <v/>
      </c>
    </row>
    <row r="91697">
      <c r="A91697" s="1" t="n">
        <v>91696</v>
      </c>
      <c r="B91697">
        <f>TEXT(91696, "[$-0E0000]yyyy-mm-dd")</f>
        <v/>
      </c>
    </row>
    <row r="91698">
      <c r="A91698" s="1" t="n">
        <v>91697</v>
      </c>
      <c r="B91698">
        <f>TEXT(91697, "[$-0E0000]yyyy-mm-dd")</f>
        <v/>
      </c>
    </row>
    <row r="91699">
      <c r="A91699" s="1" t="n">
        <v>91698</v>
      </c>
      <c r="B91699">
        <f>TEXT(91698, "[$-0E0000]yyyy-mm-dd")</f>
        <v/>
      </c>
    </row>
    <row r="91700">
      <c r="A91700" s="1" t="n">
        <v>91699</v>
      </c>
      <c r="B91700">
        <f>TEXT(91699, "[$-0E0000]yyyy-mm-dd")</f>
        <v/>
      </c>
    </row>
    <row r="91701">
      <c r="A91701" s="1" t="n">
        <v>91700</v>
      </c>
      <c r="B91701">
        <f>TEXT(91700, "[$-0E0000]yyyy-mm-dd")</f>
        <v/>
      </c>
    </row>
    <row r="91702">
      <c r="A91702" s="1" t="n">
        <v>91701</v>
      </c>
      <c r="B91702">
        <f>TEXT(91701, "[$-0E0000]yyyy-mm-dd")</f>
        <v/>
      </c>
    </row>
    <row r="91703">
      <c r="A91703" s="1" t="n">
        <v>91702</v>
      </c>
      <c r="B91703">
        <f>TEXT(91702, "[$-0E0000]yyyy-mm-dd")</f>
        <v/>
      </c>
    </row>
    <row r="91704">
      <c r="A91704" s="1" t="n">
        <v>91703</v>
      </c>
      <c r="B91704">
        <f>TEXT(91703, "[$-0E0000]yyyy-mm-dd")</f>
        <v/>
      </c>
    </row>
    <row r="91705">
      <c r="A91705" s="1" t="n">
        <v>91704</v>
      </c>
      <c r="B91705">
        <f>TEXT(91704, "[$-0E0000]yyyy-mm-dd")</f>
        <v/>
      </c>
    </row>
    <row r="91706">
      <c r="A91706" s="1" t="n">
        <v>91705</v>
      </c>
      <c r="B91706">
        <f>TEXT(91705, "[$-0E0000]yyyy-mm-dd")</f>
        <v/>
      </c>
    </row>
    <row r="91707">
      <c r="A91707" s="1" t="n">
        <v>91706</v>
      </c>
      <c r="B91707">
        <f>TEXT(91706, "[$-0E0000]yyyy-mm-dd")</f>
        <v/>
      </c>
    </row>
    <row r="91708">
      <c r="A91708" s="1" t="n">
        <v>91707</v>
      </c>
      <c r="B91708">
        <f>TEXT(91707, "[$-0E0000]yyyy-mm-dd")</f>
        <v/>
      </c>
    </row>
    <row r="91709">
      <c r="A91709" s="1" t="n">
        <v>91708</v>
      </c>
      <c r="B91709">
        <f>TEXT(91708, "[$-0E0000]yyyy-mm-dd")</f>
        <v/>
      </c>
    </row>
    <row r="91710">
      <c r="A91710" s="1" t="n">
        <v>91709</v>
      </c>
      <c r="B91710">
        <f>TEXT(91709, "[$-0E0000]yyyy-mm-dd")</f>
        <v/>
      </c>
    </row>
    <row r="91711">
      <c r="A91711" s="1" t="n">
        <v>91710</v>
      </c>
      <c r="B91711">
        <f>TEXT(91710, "[$-0E0000]yyyy-mm-dd")</f>
        <v/>
      </c>
    </row>
    <row r="91712">
      <c r="A91712" s="1" t="n">
        <v>91711</v>
      </c>
      <c r="B91712">
        <f>TEXT(91711, "[$-0E0000]yyyy-mm-dd")</f>
        <v/>
      </c>
    </row>
    <row r="91713">
      <c r="A91713" s="1" t="n">
        <v>91712</v>
      </c>
      <c r="B91713">
        <f>TEXT(91712, "[$-0E0000]yyyy-mm-dd")</f>
        <v/>
      </c>
    </row>
    <row r="91714">
      <c r="A91714" s="1" t="n">
        <v>91713</v>
      </c>
      <c r="B91714">
        <f>TEXT(91713, "[$-0E0000]yyyy-mm-dd")</f>
        <v/>
      </c>
    </row>
    <row r="91715">
      <c r="A91715" s="1" t="n">
        <v>91714</v>
      </c>
      <c r="B91715">
        <f>TEXT(91714, "[$-0E0000]yyyy-mm-dd")</f>
        <v/>
      </c>
    </row>
    <row r="91716">
      <c r="A91716" s="1" t="n">
        <v>91715</v>
      </c>
      <c r="B91716">
        <f>TEXT(91715, "[$-0E0000]yyyy-mm-dd")</f>
        <v/>
      </c>
    </row>
    <row r="91717">
      <c r="A91717" s="1" t="n">
        <v>91716</v>
      </c>
      <c r="B91717">
        <f>TEXT(91716, "[$-0E0000]yyyy-mm-dd")</f>
        <v/>
      </c>
    </row>
    <row r="91718">
      <c r="A91718" s="1" t="n">
        <v>91717</v>
      </c>
      <c r="B91718">
        <f>TEXT(91717, "[$-0E0000]yyyy-mm-dd")</f>
        <v/>
      </c>
    </row>
    <row r="91719">
      <c r="A91719" s="1" t="n">
        <v>91718</v>
      </c>
      <c r="B91719">
        <f>TEXT(91718, "[$-0E0000]yyyy-mm-dd")</f>
        <v/>
      </c>
    </row>
    <row r="91720">
      <c r="A91720" s="1" t="n">
        <v>91719</v>
      </c>
      <c r="B91720">
        <f>TEXT(91719, "[$-0E0000]yyyy-mm-dd")</f>
        <v/>
      </c>
    </row>
    <row r="91721">
      <c r="A91721" s="1" t="n">
        <v>91720</v>
      </c>
      <c r="B91721">
        <f>TEXT(91720, "[$-0E0000]yyyy-mm-dd")</f>
        <v/>
      </c>
    </row>
    <row r="91722">
      <c r="A91722" s="1" t="n">
        <v>91721</v>
      </c>
      <c r="B91722">
        <f>TEXT(91721, "[$-0E0000]yyyy-mm-dd")</f>
        <v/>
      </c>
    </row>
    <row r="91723">
      <c r="A91723" s="1" t="n">
        <v>91722</v>
      </c>
      <c r="B91723">
        <f>TEXT(91722, "[$-0E0000]yyyy-mm-dd")</f>
        <v/>
      </c>
    </row>
    <row r="91724">
      <c r="A91724" s="1" t="n">
        <v>91723</v>
      </c>
      <c r="B91724">
        <f>TEXT(91723, "[$-0E0000]yyyy-mm-dd")</f>
        <v/>
      </c>
    </row>
    <row r="91725">
      <c r="A91725" s="1" t="n">
        <v>91724</v>
      </c>
      <c r="B91725">
        <f>TEXT(91724, "[$-0E0000]yyyy-mm-dd")</f>
        <v/>
      </c>
    </row>
    <row r="91726">
      <c r="A91726" s="1" t="n">
        <v>91725</v>
      </c>
      <c r="B91726">
        <f>TEXT(91725, "[$-0E0000]yyyy-mm-dd")</f>
        <v/>
      </c>
    </row>
    <row r="91727">
      <c r="A91727" s="1" t="n">
        <v>91726</v>
      </c>
      <c r="B91727">
        <f>TEXT(91726, "[$-0E0000]yyyy-mm-dd")</f>
        <v/>
      </c>
    </row>
    <row r="91728">
      <c r="A91728" s="1" t="n">
        <v>91727</v>
      </c>
      <c r="B91728">
        <f>TEXT(91727, "[$-0E0000]yyyy-mm-dd")</f>
        <v/>
      </c>
    </row>
    <row r="91729">
      <c r="A91729" s="1" t="n">
        <v>91728</v>
      </c>
      <c r="B91729">
        <f>TEXT(91728, "[$-0E0000]yyyy-mm-dd")</f>
        <v/>
      </c>
    </row>
    <row r="91730">
      <c r="A91730" s="1" t="n">
        <v>91729</v>
      </c>
      <c r="B91730">
        <f>TEXT(91729, "[$-0E0000]yyyy-mm-dd")</f>
        <v/>
      </c>
    </row>
    <row r="91731">
      <c r="A91731" s="1" t="n">
        <v>91730</v>
      </c>
      <c r="B91731">
        <f>TEXT(91730, "[$-0E0000]yyyy-mm-dd")</f>
        <v/>
      </c>
    </row>
    <row r="91732">
      <c r="A91732" s="1" t="n">
        <v>91731</v>
      </c>
      <c r="B91732">
        <f>TEXT(91731, "[$-0E0000]yyyy-mm-dd")</f>
        <v/>
      </c>
    </row>
    <row r="91733">
      <c r="A91733" s="1" t="n">
        <v>91732</v>
      </c>
      <c r="B91733">
        <f>TEXT(91732, "[$-0E0000]yyyy-mm-dd")</f>
        <v/>
      </c>
    </row>
    <row r="91734">
      <c r="A91734" s="1" t="n">
        <v>91733</v>
      </c>
      <c r="B91734">
        <f>TEXT(91733, "[$-0E0000]yyyy-mm-dd")</f>
        <v/>
      </c>
    </row>
    <row r="91735">
      <c r="A91735" s="1" t="n">
        <v>91734</v>
      </c>
      <c r="B91735">
        <f>TEXT(91734, "[$-0E0000]yyyy-mm-dd")</f>
        <v/>
      </c>
    </row>
    <row r="91736">
      <c r="A91736" s="1" t="n">
        <v>91735</v>
      </c>
      <c r="B91736">
        <f>TEXT(91735, "[$-0E0000]yyyy-mm-dd")</f>
        <v/>
      </c>
    </row>
    <row r="91737">
      <c r="A91737" s="1" t="n">
        <v>91736</v>
      </c>
      <c r="B91737">
        <f>TEXT(91736, "[$-0E0000]yyyy-mm-dd")</f>
        <v/>
      </c>
    </row>
    <row r="91738">
      <c r="A91738" s="1" t="n">
        <v>91737</v>
      </c>
      <c r="B91738">
        <f>TEXT(91737, "[$-0E0000]yyyy-mm-dd")</f>
        <v/>
      </c>
    </row>
    <row r="91739">
      <c r="A91739" s="1" t="n">
        <v>91738</v>
      </c>
      <c r="B91739">
        <f>TEXT(91738, "[$-0E0000]yyyy-mm-dd")</f>
        <v/>
      </c>
    </row>
    <row r="91740">
      <c r="A91740" s="1" t="n">
        <v>91739</v>
      </c>
      <c r="B91740">
        <f>TEXT(91739, "[$-0E0000]yyyy-mm-dd")</f>
        <v/>
      </c>
    </row>
    <row r="91741">
      <c r="A91741" s="1" t="n">
        <v>91740</v>
      </c>
      <c r="B91741">
        <f>TEXT(91740, "[$-0E0000]yyyy-mm-dd")</f>
        <v/>
      </c>
    </row>
    <row r="91742">
      <c r="A91742" s="1" t="n">
        <v>91741</v>
      </c>
      <c r="B91742">
        <f>TEXT(91741, "[$-0E0000]yyyy-mm-dd")</f>
        <v/>
      </c>
    </row>
    <row r="91743">
      <c r="A91743" s="1" t="n">
        <v>91742</v>
      </c>
      <c r="B91743">
        <f>TEXT(91742, "[$-0E0000]yyyy-mm-dd")</f>
        <v/>
      </c>
    </row>
    <row r="91744">
      <c r="A91744" s="1" t="n">
        <v>91743</v>
      </c>
      <c r="B91744">
        <f>TEXT(91743, "[$-0E0000]yyyy-mm-dd")</f>
        <v/>
      </c>
    </row>
    <row r="91745">
      <c r="A91745" s="1" t="n">
        <v>91744</v>
      </c>
      <c r="B91745">
        <f>TEXT(91744, "[$-0E0000]yyyy-mm-dd")</f>
        <v/>
      </c>
    </row>
    <row r="91746">
      <c r="A91746" s="1" t="n">
        <v>91745</v>
      </c>
      <c r="B91746">
        <f>TEXT(91745, "[$-0E0000]yyyy-mm-dd")</f>
        <v/>
      </c>
    </row>
    <row r="91747">
      <c r="A91747" s="1" t="n">
        <v>91746</v>
      </c>
      <c r="B91747">
        <f>TEXT(91746, "[$-0E0000]yyyy-mm-dd")</f>
        <v/>
      </c>
    </row>
    <row r="91748">
      <c r="A91748" s="1" t="n">
        <v>91747</v>
      </c>
      <c r="B91748">
        <f>TEXT(91747, "[$-0E0000]yyyy-mm-dd")</f>
        <v/>
      </c>
    </row>
    <row r="91749">
      <c r="A91749" s="1" t="n">
        <v>91748</v>
      </c>
      <c r="B91749">
        <f>TEXT(91748, "[$-0E0000]yyyy-mm-dd")</f>
        <v/>
      </c>
    </row>
    <row r="91750">
      <c r="A91750" s="1" t="n">
        <v>91749</v>
      </c>
      <c r="B91750">
        <f>TEXT(91749, "[$-0E0000]yyyy-mm-dd")</f>
        <v/>
      </c>
    </row>
    <row r="91751">
      <c r="A91751" s="1" t="n">
        <v>91750</v>
      </c>
      <c r="B91751">
        <f>TEXT(91750, "[$-0E0000]yyyy-mm-dd")</f>
        <v/>
      </c>
    </row>
    <row r="91752">
      <c r="A91752" s="1" t="n">
        <v>91751</v>
      </c>
      <c r="B91752">
        <f>TEXT(91751, "[$-0E0000]yyyy-mm-dd")</f>
        <v/>
      </c>
    </row>
    <row r="91753">
      <c r="A91753" s="1" t="n">
        <v>91752</v>
      </c>
      <c r="B91753">
        <f>TEXT(91752, "[$-0E0000]yyyy-mm-dd")</f>
        <v/>
      </c>
    </row>
    <row r="91754">
      <c r="A91754" s="1" t="n">
        <v>91753</v>
      </c>
      <c r="B91754">
        <f>TEXT(91753, "[$-0E0000]yyyy-mm-dd")</f>
        <v/>
      </c>
    </row>
    <row r="91755">
      <c r="A91755" s="1" t="n">
        <v>91754</v>
      </c>
      <c r="B91755">
        <f>TEXT(91754, "[$-0E0000]yyyy-mm-dd")</f>
        <v/>
      </c>
    </row>
    <row r="91756">
      <c r="A91756" s="1" t="n">
        <v>91755</v>
      </c>
      <c r="B91756">
        <f>TEXT(91755, "[$-0E0000]yyyy-mm-dd")</f>
        <v/>
      </c>
    </row>
    <row r="91757">
      <c r="A91757" s="1" t="n">
        <v>91756</v>
      </c>
      <c r="B91757">
        <f>TEXT(91756, "[$-0E0000]yyyy-mm-dd")</f>
        <v/>
      </c>
    </row>
    <row r="91758">
      <c r="A91758" s="1" t="n">
        <v>91757</v>
      </c>
      <c r="B91758">
        <f>TEXT(91757, "[$-0E0000]yyyy-mm-dd")</f>
        <v/>
      </c>
    </row>
    <row r="91759">
      <c r="A91759" s="1" t="n">
        <v>91758</v>
      </c>
      <c r="B91759">
        <f>TEXT(91758, "[$-0E0000]yyyy-mm-dd")</f>
        <v/>
      </c>
    </row>
    <row r="91760">
      <c r="A91760" s="1" t="n">
        <v>91759</v>
      </c>
      <c r="B91760">
        <f>TEXT(91759, "[$-0E0000]yyyy-mm-dd")</f>
        <v/>
      </c>
    </row>
    <row r="91761">
      <c r="A91761" s="1" t="n">
        <v>91760</v>
      </c>
      <c r="B91761">
        <f>TEXT(91760, "[$-0E0000]yyyy-mm-dd")</f>
        <v/>
      </c>
    </row>
    <row r="91762">
      <c r="A91762" s="1" t="n">
        <v>91761</v>
      </c>
      <c r="B91762">
        <f>TEXT(91761, "[$-0E0000]yyyy-mm-dd")</f>
        <v/>
      </c>
    </row>
    <row r="91763">
      <c r="A91763" s="1" t="n">
        <v>91762</v>
      </c>
      <c r="B91763">
        <f>TEXT(91762, "[$-0E0000]yyyy-mm-dd")</f>
        <v/>
      </c>
    </row>
    <row r="91764">
      <c r="A91764" s="1" t="n">
        <v>91763</v>
      </c>
      <c r="B91764">
        <f>TEXT(91763, "[$-0E0000]yyyy-mm-dd")</f>
        <v/>
      </c>
    </row>
    <row r="91765">
      <c r="A91765" s="1" t="n">
        <v>91764</v>
      </c>
      <c r="B91765">
        <f>TEXT(91764, "[$-0E0000]yyyy-mm-dd")</f>
        <v/>
      </c>
    </row>
    <row r="91766">
      <c r="A91766" s="1" t="n">
        <v>91765</v>
      </c>
      <c r="B91766">
        <f>TEXT(91765, "[$-0E0000]yyyy-mm-dd")</f>
        <v/>
      </c>
    </row>
    <row r="91767">
      <c r="A91767" s="1" t="n">
        <v>91766</v>
      </c>
      <c r="B91767">
        <f>TEXT(91766, "[$-0E0000]yyyy-mm-dd")</f>
        <v/>
      </c>
    </row>
    <row r="91768">
      <c r="A91768" s="1" t="n">
        <v>91767</v>
      </c>
      <c r="B91768">
        <f>TEXT(91767, "[$-0E0000]yyyy-mm-dd")</f>
        <v/>
      </c>
    </row>
    <row r="91769">
      <c r="A91769" s="1" t="n">
        <v>91768</v>
      </c>
      <c r="B91769">
        <f>TEXT(91768, "[$-0E0000]yyyy-mm-dd")</f>
        <v/>
      </c>
    </row>
    <row r="91770">
      <c r="A91770" s="1" t="n">
        <v>91769</v>
      </c>
      <c r="B91770">
        <f>TEXT(91769, "[$-0E0000]yyyy-mm-dd")</f>
        <v/>
      </c>
    </row>
    <row r="91771">
      <c r="A91771" s="1" t="n">
        <v>91770</v>
      </c>
      <c r="B91771">
        <f>TEXT(91770, "[$-0E0000]yyyy-mm-dd")</f>
        <v/>
      </c>
    </row>
    <row r="91772">
      <c r="A91772" s="1" t="n">
        <v>91771</v>
      </c>
      <c r="B91772">
        <f>TEXT(91771, "[$-0E0000]yyyy-mm-dd")</f>
        <v/>
      </c>
    </row>
    <row r="91773">
      <c r="A91773" s="1" t="n">
        <v>91772</v>
      </c>
      <c r="B91773">
        <f>TEXT(91772, "[$-0E0000]yyyy-mm-dd")</f>
        <v/>
      </c>
    </row>
    <row r="91774">
      <c r="A91774" s="1" t="n">
        <v>91773</v>
      </c>
      <c r="B91774">
        <f>TEXT(91773, "[$-0E0000]yyyy-mm-dd")</f>
        <v/>
      </c>
    </row>
    <row r="91775">
      <c r="A91775" s="1" t="n">
        <v>91774</v>
      </c>
      <c r="B91775">
        <f>TEXT(91774, "[$-0E0000]yyyy-mm-dd")</f>
        <v/>
      </c>
    </row>
    <row r="91776">
      <c r="A91776" s="1" t="n">
        <v>91775</v>
      </c>
      <c r="B91776">
        <f>TEXT(91775, "[$-0E0000]yyyy-mm-dd")</f>
        <v/>
      </c>
    </row>
    <row r="91777">
      <c r="A91777" s="1" t="n">
        <v>91776</v>
      </c>
      <c r="B91777">
        <f>TEXT(91776, "[$-0E0000]yyyy-mm-dd")</f>
        <v/>
      </c>
    </row>
    <row r="91778">
      <c r="A91778" s="1" t="n">
        <v>91777</v>
      </c>
      <c r="B91778">
        <f>TEXT(91777, "[$-0E0000]yyyy-mm-dd")</f>
        <v/>
      </c>
    </row>
    <row r="91779">
      <c r="A91779" s="1" t="n">
        <v>91778</v>
      </c>
      <c r="B91779">
        <f>TEXT(91778, "[$-0E0000]yyyy-mm-dd")</f>
        <v/>
      </c>
    </row>
    <row r="91780">
      <c r="A91780" s="1" t="n">
        <v>91779</v>
      </c>
      <c r="B91780">
        <f>TEXT(91779, "[$-0E0000]yyyy-mm-dd")</f>
        <v/>
      </c>
    </row>
    <row r="91781">
      <c r="A91781" s="1" t="n">
        <v>91780</v>
      </c>
      <c r="B91781">
        <f>TEXT(91780, "[$-0E0000]yyyy-mm-dd")</f>
        <v/>
      </c>
    </row>
    <row r="91782">
      <c r="A91782" s="1" t="n">
        <v>91781</v>
      </c>
      <c r="B91782">
        <f>TEXT(91781, "[$-0E0000]yyyy-mm-dd")</f>
        <v/>
      </c>
    </row>
    <row r="91783">
      <c r="A91783" s="1" t="n">
        <v>91782</v>
      </c>
      <c r="B91783">
        <f>TEXT(91782, "[$-0E0000]yyyy-mm-dd")</f>
        <v/>
      </c>
    </row>
    <row r="91784">
      <c r="A91784" s="1" t="n">
        <v>91783</v>
      </c>
      <c r="B91784">
        <f>TEXT(91783, "[$-0E0000]yyyy-mm-dd")</f>
        <v/>
      </c>
    </row>
    <row r="91785">
      <c r="A91785" s="1" t="n">
        <v>91784</v>
      </c>
      <c r="B91785">
        <f>TEXT(91784, "[$-0E0000]yyyy-mm-dd")</f>
        <v/>
      </c>
    </row>
    <row r="91786">
      <c r="A91786" s="1" t="n">
        <v>91785</v>
      </c>
      <c r="B91786">
        <f>TEXT(91785, "[$-0E0000]yyyy-mm-dd")</f>
        <v/>
      </c>
    </row>
    <row r="91787">
      <c r="A91787" s="1" t="n">
        <v>91786</v>
      </c>
      <c r="B91787">
        <f>TEXT(91786, "[$-0E0000]yyyy-mm-dd")</f>
        <v/>
      </c>
    </row>
    <row r="91788">
      <c r="A91788" s="1" t="n">
        <v>91787</v>
      </c>
      <c r="B91788">
        <f>TEXT(91787, "[$-0E0000]yyyy-mm-dd")</f>
        <v/>
      </c>
    </row>
    <row r="91789">
      <c r="A91789" s="1" t="n">
        <v>91788</v>
      </c>
      <c r="B91789">
        <f>TEXT(91788, "[$-0E0000]yyyy-mm-dd")</f>
        <v/>
      </c>
    </row>
    <row r="91790">
      <c r="A91790" s="1" t="n">
        <v>91789</v>
      </c>
      <c r="B91790">
        <f>TEXT(91789, "[$-0E0000]yyyy-mm-dd")</f>
        <v/>
      </c>
    </row>
    <row r="91791">
      <c r="A91791" s="1" t="n">
        <v>91790</v>
      </c>
      <c r="B91791">
        <f>TEXT(91790, "[$-0E0000]yyyy-mm-dd")</f>
        <v/>
      </c>
    </row>
    <row r="91792">
      <c r="A91792" s="1" t="n">
        <v>91791</v>
      </c>
      <c r="B91792">
        <f>TEXT(91791, "[$-0E0000]yyyy-mm-dd")</f>
        <v/>
      </c>
    </row>
    <row r="91793">
      <c r="A91793" s="1" t="n">
        <v>91792</v>
      </c>
      <c r="B91793">
        <f>TEXT(91792, "[$-0E0000]yyyy-mm-dd")</f>
        <v/>
      </c>
    </row>
    <row r="91794">
      <c r="A91794" s="1" t="n">
        <v>91793</v>
      </c>
      <c r="B91794">
        <f>TEXT(91793, "[$-0E0000]yyyy-mm-dd")</f>
        <v/>
      </c>
    </row>
    <row r="91795">
      <c r="A91795" s="1" t="n">
        <v>91794</v>
      </c>
      <c r="B91795">
        <f>TEXT(91794, "[$-0E0000]yyyy-mm-dd")</f>
        <v/>
      </c>
    </row>
    <row r="91796">
      <c r="A91796" s="1" t="n">
        <v>91795</v>
      </c>
      <c r="B91796">
        <f>TEXT(91795, "[$-0E0000]yyyy-mm-dd")</f>
        <v/>
      </c>
    </row>
    <row r="91797">
      <c r="A91797" s="1" t="n">
        <v>91796</v>
      </c>
      <c r="B91797">
        <f>TEXT(91796, "[$-0E0000]yyyy-mm-dd")</f>
        <v/>
      </c>
    </row>
    <row r="91798">
      <c r="A91798" s="1" t="n">
        <v>91797</v>
      </c>
      <c r="B91798">
        <f>TEXT(91797, "[$-0E0000]yyyy-mm-dd")</f>
        <v/>
      </c>
    </row>
    <row r="91799">
      <c r="A91799" s="1" t="n">
        <v>91798</v>
      </c>
      <c r="B91799">
        <f>TEXT(91798, "[$-0E0000]yyyy-mm-dd")</f>
        <v/>
      </c>
    </row>
    <row r="91800">
      <c r="A91800" s="1" t="n">
        <v>91799</v>
      </c>
      <c r="B91800">
        <f>TEXT(91799, "[$-0E0000]yyyy-mm-dd")</f>
        <v/>
      </c>
    </row>
    <row r="91801">
      <c r="A91801" s="1" t="n">
        <v>91800</v>
      </c>
      <c r="B91801">
        <f>TEXT(91800, "[$-0E0000]yyyy-mm-dd")</f>
        <v/>
      </c>
    </row>
    <row r="91802">
      <c r="A91802" s="1" t="n">
        <v>91801</v>
      </c>
      <c r="B91802">
        <f>TEXT(91801, "[$-0E0000]yyyy-mm-dd")</f>
        <v/>
      </c>
    </row>
    <row r="91803">
      <c r="A91803" s="1" t="n">
        <v>91802</v>
      </c>
      <c r="B91803">
        <f>TEXT(91802, "[$-0E0000]yyyy-mm-dd")</f>
        <v/>
      </c>
    </row>
    <row r="91804">
      <c r="A91804" s="1" t="n">
        <v>91803</v>
      </c>
      <c r="B91804">
        <f>TEXT(91803, "[$-0E0000]yyyy-mm-dd")</f>
        <v/>
      </c>
    </row>
    <row r="91805">
      <c r="A91805" s="1" t="n">
        <v>91804</v>
      </c>
      <c r="B91805">
        <f>TEXT(91804, "[$-0E0000]yyyy-mm-dd")</f>
        <v/>
      </c>
    </row>
    <row r="91806">
      <c r="A91806" s="1" t="n">
        <v>91805</v>
      </c>
      <c r="B91806">
        <f>TEXT(91805, "[$-0E0000]yyyy-mm-dd")</f>
        <v/>
      </c>
    </row>
    <row r="91807">
      <c r="A91807" s="1" t="n">
        <v>91806</v>
      </c>
      <c r="B91807">
        <f>TEXT(91806, "[$-0E0000]yyyy-mm-dd")</f>
        <v/>
      </c>
    </row>
    <row r="91808">
      <c r="A91808" s="1" t="n">
        <v>91807</v>
      </c>
      <c r="B91808">
        <f>TEXT(91807, "[$-0E0000]yyyy-mm-dd")</f>
        <v/>
      </c>
    </row>
    <row r="91809">
      <c r="A91809" s="1" t="n">
        <v>91808</v>
      </c>
      <c r="B91809">
        <f>TEXT(91808, "[$-0E0000]yyyy-mm-dd")</f>
        <v/>
      </c>
    </row>
    <row r="91810">
      <c r="A91810" s="1" t="n">
        <v>91809</v>
      </c>
      <c r="B91810">
        <f>TEXT(91809, "[$-0E0000]yyyy-mm-dd")</f>
        <v/>
      </c>
    </row>
    <row r="91811">
      <c r="A91811" s="1" t="n">
        <v>91810</v>
      </c>
      <c r="B91811">
        <f>TEXT(91810, "[$-0E0000]yyyy-mm-dd")</f>
        <v/>
      </c>
    </row>
    <row r="91812">
      <c r="A91812" s="1" t="n">
        <v>91811</v>
      </c>
      <c r="B91812">
        <f>TEXT(91811, "[$-0E0000]yyyy-mm-dd")</f>
        <v/>
      </c>
    </row>
    <row r="91813">
      <c r="A91813" s="1" t="n">
        <v>91812</v>
      </c>
      <c r="B91813">
        <f>TEXT(91812, "[$-0E0000]yyyy-mm-dd")</f>
        <v/>
      </c>
    </row>
    <row r="91814">
      <c r="A91814" s="1" t="n">
        <v>91813</v>
      </c>
      <c r="B91814">
        <f>TEXT(91813, "[$-0E0000]yyyy-mm-dd")</f>
        <v/>
      </c>
    </row>
    <row r="91815">
      <c r="A91815" s="1" t="n">
        <v>91814</v>
      </c>
      <c r="B91815">
        <f>TEXT(91814, "[$-0E0000]yyyy-mm-dd")</f>
        <v/>
      </c>
    </row>
    <row r="91816">
      <c r="A91816" s="1" t="n">
        <v>91815</v>
      </c>
      <c r="B91816">
        <f>TEXT(91815, "[$-0E0000]yyyy-mm-dd")</f>
        <v/>
      </c>
    </row>
    <row r="91817">
      <c r="A91817" s="1" t="n">
        <v>91816</v>
      </c>
      <c r="B91817">
        <f>TEXT(91816, "[$-0E0000]yyyy-mm-dd")</f>
        <v/>
      </c>
    </row>
    <row r="91818">
      <c r="A91818" s="1" t="n">
        <v>91817</v>
      </c>
      <c r="B91818">
        <f>TEXT(91817, "[$-0E0000]yyyy-mm-dd")</f>
        <v/>
      </c>
    </row>
    <row r="91819">
      <c r="A91819" s="1" t="n">
        <v>91818</v>
      </c>
      <c r="B91819">
        <f>TEXT(91818, "[$-0E0000]yyyy-mm-dd")</f>
        <v/>
      </c>
    </row>
    <row r="91820">
      <c r="A91820" s="1" t="n">
        <v>91819</v>
      </c>
      <c r="B91820">
        <f>TEXT(91819, "[$-0E0000]yyyy-mm-dd")</f>
        <v/>
      </c>
    </row>
    <row r="91821">
      <c r="A91821" s="1" t="n">
        <v>91820</v>
      </c>
      <c r="B91821">
        <f>TEXT(91820, "[$-0E0000]yyyy-mm-dd")</f>
        <v/>
      </c>
    </row>
    <row r="91822">
      <c r="A91822" s="1" t="n">
        <v>91821</v>
      </c>
      <c r="B91822">
        <f>TEXT(91821, "[$-0E0000]yyyy-mm-dd")</f>
        <v/>
      </c>
    </row>
    <row r="91823">
      <c r="A91823" s="1" t="n">
        <v>91822</v>
      </c>
      <c r="B91823">
        <f>TEXT(91822, "[$-0E0000]yyyy-mm-dd")</f>
        <v/>
      </c>
    </row>
    <row r="91824">
      <c r="A91824" s="1" t="n">
        <v>91823</v>
      </c>
      <c r="B91824">
        <f>TEXT(91823, "[$-0E0000]yyyy-mm-dd")</f>
        <v/>
      </c>
    </row>
    <row r="91825">
      <c r="A91825" s="1" t="n">
        <v>91824</v>
      </c>
      <c r="B91825">
        <f>TEXT(91824, "[$-0E0000]yyyy-mm-dd")</f>
        <v/>
      </c>
    </row>
    <row r="91826">
      <c r="A91826" s="1" t="n">
        <v>91825</v>
      </c>
      <c r="B91826">
        <f>TEXT(91825, "[$-0E0000]yyyy-mm-dd")</f>
        <v/>
      </c>
    </row>
    <row r="91827">
      <c r="A91827" s="1" t="n">
        <v>91826</v>
      </c>
      <c r="B91827">
        <f>TEXT(91826, "[$-0E0000]yyyy-mm-dd")</f>
        <v/>
      </c>
    </row>
    <row r="91828">
      <c r="A91828" s="1" t="n">
        <v>91827</v>
      </c>
      <c r="B91828">
        <f>TEXT(91827, "[$-0E0000]yyyy-mm-dd")</f>
        <v/>
      </c>
    </row>
    <row r="91829">
      <c r="A91829" s="1" t="n">
        <v>91828</v>
      </c>
      <c r="B91829">
        <f>TEXT(91828, "[$-0E0000]yyyy-mm-dd")</f>
        <v/>
      </c>
    </row>
    <row r="91830">
      <c r="A91830" s="1" t="n">
        <v>91829</v>
      </c>
      <c r="B91830">
        <f>TEXT(91829, "[$-0E0000]yyyy-mm-dd")</f>
        <v/>
      </c>
    </row>
    <row r="91831">
      <c r="A91831" s="1" t="n">
        <v>91830</v>
      </c>
      <c r="B91831">
        <f>TEXT(91830, "[$-0E0000]yyyy-mm-dd")</f>
        <v/>
      </c>
    </row>
    <row r="91832">
      <c r="A91832" s="1" t="n">
        <v>91831</v>
      </c>
      <c r="B91832">
        <f>TEXT(91831, "[$-0E0000]yyyy-mm-dd")</f>
        <v/>
      </c>
    </row>
    <row r="91833">
      <c r="A91833" s="1" t="n">
        <v>91832</v>
      </c>
      <c r="B91833">
        <f>TEXT(91832, "[$-0E0000]yyyy-mm-dd")</f>
        <v/>
      </c>
    </row>
    <row r="91834">
      <c r="A91834" s="1" t="n">
        <v>91833</v>
      </c>
      <c r="B91834">
        <f>TEXT(91833, "[$-0E0000]yyyy-mm-dd")</f>
        <v/>
      </c>
    </row>
    <row r="91835">
      <c r="A91835" s="1" t="n">
        <v>91834</v>
      </c>
      <c r="B91835">
        <f>TEXT(91834, "[$-0E0000]yyyy-mm-dd")</f>
        <v/>
      </c>
    </row>
    <row r="91836">
      <c r="A91836" s="1" t="n">
        <v>91835</v>
      </c>
      <c r="B91836">
        <f>TEXT(91835, "[$-0E0000]yyyy-mm-dd")</f>
        <v/>
      </c>
    </row>
    <row r="91837">
      <c r="A91837" s="1" t="n">
        <v>91836</v>
      </c>
      <c r="B91837">
        <f>TEXT(91836, "[$-0E0000]yyyy-mm-dd")</f>
        <v/>
      </c>
    </row>
    <row r="91838">
      <c r="A91838" s="1" t="n">
        <v>91837</v>
      </c>
      <c r="B91838">
        <f>TEXT(91837, "[$-0E0000]yyyy-mm-dd")</f>
        <v/>
      </c>
    </row>
    <row r="91839">
      <c r="A91839" s="1" t="n">
        <v>91838</v>
      </c>
      <c r="B91839">
        <f>TEXT(91838, "[$-0E0000]yyyy-mm-dd")</f>
        <v/>
      </c>
    </row>
    <row r="91840">
      <c r="A91840" s="1" t="n">
        <v>91839</v>
      </c>
      <c r="B91840">
        <f>TEXT(91839, "[$-0E0000]yyyy-mm-dd")</f>
        <v/>
      </c>
    </row>
    <row r="91841">
      <c r="A91841" s="1" t="n">
        <v>91840</v>
      </c>
      <c r="B91841">
        <f>TEXT(91840, "[$-0E0000]yyyy-mm-dd")</f>
        <v/>
      </c>
    </row>
    <row r="91842">
      <c r="A91842" s="1" t="n">
        <v>91841</v>
      </c>
      <c r="B91842">
        <f>TEXT(91841, "[$-0E0000]yyyy-mm-dd")</f>
        <v/>
      </c>
    </row>
    <row r="91843">
      <c r="A91843" s="1" t="n">
        <v>91842</v>
      </c>
      <c r="B91843">
        <f>TEXT(91842, "[$-0E0000]yyyy-mm-dd")</f>
        <v/>
      </c>
    </row>
    <row r="91844">
      <c r="A91844" s="1" t="n">
        <v>91843</v>
      </c>
      <c r="B91844">
        <f>TEXT(91843, "[$-0E0000]yyyy-mm-dd")</f>
        <v/>
      </c>
    </row>
    <row r="91845">
      <c r="A91845" s="1" t="n">
        <v>91844</v>
      </c>
      <c r="B91845">
        <f>TEXT(91844, "[$-0E0000]yyyy-mm-dd")</f>
        <v/>
      </c>
    </row>
    <row r="91846">
      <c r="A91846" s="1" t="n">
        <v>91845</v>
      </c>
      <c r="B91846">
        <f>TEXT(91845, "[$-0E0000]yyyy-mm-dd")</f>
        <v/>
      </c>
    </row>
    <row r="91847">
      <c r="A91847" s="1" t="n">
        <v>91846</v>
      </c>
      <c r="B91847">
        <f>TEXT(91846, "[$-0E0000]yyyy-mm-dd")</f>
        <v/>
      </c>
    </row>
    <row r="91848">
      <c r="A91848" s="1" t="n">
        <v>91847</v>
      </c>
      <c r="B91848">
        <f>TEXT(91847, "[$-0E0000]yyyy-mm-dd")</f>
        <v/>
      </c>
    </row>
    <row r="91849">
      <c r="A91849" s="1" t="n">
        <v>91848</v>
      </c>
      <c r="B91849">
        <f>TEXT(91848, "[$-0E0000]yyyy-mm-dd")</f>
        <v/>
      </c>
    </row>
    <row r="91850">
      <c r="A91850" s="1" t="n">
        <v>91849</v>
      </c>
      <c r="B91850">
        <f>TEXT(91849, "[$-0E0000]yyyy-mm-dd")</f>
        <v/>
      </c>
    </row>
    <row r="91851">
      <c r="A91851" s="1" t="n">
        <v>91850</v>
      </c>
      <c r="B91851">
        <f>TEXT(91850, "[$-0E0000]yyyy-mm-dd")</f>
        <v/>
      </c>
    </row>
    <row r="91852">
      <c r="A91852" s="1" t="n">
        <v>91851</v>
      </c>
      <c r="B91852">
        <f>TEXT(91851, "[$-0E0000]yyyy-mm-dd")</f>
        <v/>
      </c>
    </row>
    <row r="91853">
      <c r="A91853" s="1" t="n">
        <v>91852</v>
      </c>
      <c r="B91853">
        <f>TEXT(91852, "[$-0E0000]yyyy-mm-dd")</f>
        <v/>
      </c>
    </row>
    <row r="91854">
      <c r="A91854" s="1" t="n">
        <v>91853</v>
      </c>
      <c r="B91854">
        <f>TEXT(91853, "[$-0E0000]yyyy-mm-dd")</f>
        <v/>
      </c>
    </row>
    <row r="91855">
      <c r="A91855" s="1" t="n">
        <v>91854</v>
      </c>
      <c r="B91855">
        <f>TEXT(91854, "[$-0E0000]yyyy-mm-dd")</f>
        <v/>
      </c>
    </row>
    <row r="91856">
      <c r="A91856" s="1" t="n">
        <v>91855</v>
      </c>
      <c r="B91856">
        <f>TEXT(91855, "[$-0E0000]yyyy-mm-dd")</f>
        <v/>
      </c>
    </row>
    <row r="91857">
      <c r="A91857" s="1" t="n">
        <v>91856</v>
      </c>
      <c r="B91857">
        <f>TEXT(91856, "[$-0E0000]yyyy-mm-dd")</f>
        <v/>
      </c>
    </row>
    <row r="91858">
      <c r="A91858" s="1" t="n">
        <v>91857</v>
      </c>
      <c r="B91858">
        <f>TEXT(91857, "[$-0E0000]yyyy-mm-dd")</f>
        <v/>
      </c>
    </row>
    <row r="91859">
      <c r="A91859" s="1" t="n">
        <v>91858</v>
      </c>
      <c r="B91859">
        <f>TEXT(91858, "[$-0E0000]yyyy-mm-dd")</f>
        <v/>
      </c>
    </row>
    <row r="91860">
      <c r="A91860" s="1" t="n">
        <v>91859</v>
      </c>
      <c r="B91860">
        <f>TEXT(91859, "[$-0E0000]yyyy-mm-dd")</f>
        <v/>
      </c>
    </row>
    <row r="91861">
      <c r="A91861" s="1" t="n">
        <v>91860</v>
      </c>
      <c r="B91861">
        <f>TEXT(91860, "[$-0E0000]yyyy-mm-dd")</f>
        <v/>
      </c>
    </row>
    <row r="91862">
      <c r="A91862" s="1" t="n">
        <v>91861</v>
      </c>
      <c r="B91862">
        <f>TEXT(91861, "[$-0E0000]yyyy-mm-dd")</f>
        <v/>
      </c>
    </row>
    <row r="91863">
      <c r="A91863" s="1" t="n">
        <v>91862</v>
      </c>
      <c r="B91863">
        <f>TEXT(91862, "[$-0E0000]yyyy-mm-dd")</f>
        <v/>
      </c>
    </row>
    <row r="91864">
      <c r="A91864" s="1" t="n">
        <v>91863</v>
      </c>
      <c r="B91864">
        <f>TEXT(91863, "[$-0E0000]yyyy-mm-dd")</f>
        <v/>
      </c>
    </row>
    <row r="91865">
      <c r="A91865" s="1" t="n">
        <v>91864</v>
      </c>
      <c r="B91865">
        <f>TEXT(91864, "[$-0E0000]yyyy-mm-dd")</f>
        <v/>
      </c>
    </row>
    <row r="91866">
      <c r="A91866" s="1" t="n">
        <v>91865</v>
      </c>
      <c r="B91866">
        <f>TEXT(91865, "[$-0E0000]yyyy-mm-dd")</f>
        <v/>
      </c>
    </row>
    <row r="91867">
      <c r="A91867" s="1" t="n">
        <v>91866</v>
      </c>
      <c r="B91867">
        <f>TEXT(91866, "[$-0E0000]yyyy-mm-dd")</f>
        <v/>
      </c>
    </row>
    <row r="91868">
      <c r="A91868" s="1" t="n">
        <v>91867</v>
      </c>
      <c r="B91868">
        <f>TEXT(91867, "[$-0E0000]yyyy-mm-dd")</f>
        <v/>
      </c>
    </row>
    <row r="91869">
      <c r="A91869" s="1" t="n">
        <v>91868</v>
      </c>
      <c r="B91869">
        <f>TEXT(91868, "[$-0E0000]yyyy-mm-dd")</f>
        <v/>
      </c>
    </row>
    <row r="91870">
      <c r="A91870" s="1" t="n">
        <v>91869</v>
      </c>
      <c r="B91870">
        <f>TEXT(91869, "[$-0E0000]yyyy-mm-dd")</f>
        <v/>
      </c>
    </row>
    <row r="91871">
      <c r="A91871" s="1" t="n">
        <v>91870</v>
      </c>
      <c r="B91871">
        <f>TEXT(91870, "[$-0E0000]yyyy-mm-dd")</f>
        <v/>
      </c>
    </row>
    <row r="91872">
      <c r="A91872" s="1" t="n">
        <v>91871</v>
      </c>
      <c r="B91872">
        <f>TEXT(91871, "[$-0E0000]yyyy-mm-dd")</f>
        <v/>
      </c>
    </row>
    <row r="91873">
      <c r="A91873" s="1" t="n">
        <v>91872</v>
      </c>
      <c r="B91873">
        <f>TEXT(91872, "[$-0E0000]yyyy-mm-dd")</f>
        <v/>
      </c>
    </row>
    <row r="91874">
      <c r="A91874" s="1" t="n">
        <v>91873</v>
      </c>
      <c r="B91874">
        <f>TEXT(91873, "[$-0E0000]yyyy-mm-dd")</f>
        <v/>
      </c>
    </row>
    <row r="91875">
      <c r="A91875" s="1" t="n">
        <v>91874</v>
      </c>
      <c r="B91875">
        <f>TEXT(91874, "[$-0E0000]yyyy-mm-dd")</f>
        <v/>
      </c>
    </row>
    <row r="91876">
      <c r="A91876" s="1" t="n">
        <v>91875</v>
      </c>
      <c r="B91876">
        <f>TEXT(91875, "[$-0E0000]yyyy-mm-dd")</f>
        <v/>
      </c>
    </row>
    <row r="91877">
      <c r="A91877" s="1" t="n">
        <v>91876</v>
      </c>
      <c r="B91877">
        <f>TEXT(91876, "[$-0E0000]yyyy-mm-dd")</f>
        <v/>
      </c>
    </row>
    <row r="91878">
      <c r="A91878" s="1" t="n">
        <v>91877</v>
      </c>
      <c r="B91878">
        <f>TEXT(91877, "[$-0E0000]yyyy-mm-dd")</f>
        <v/>
      </c>
    </row>
    <row r="91879">
      <c r="A91879" s="1" t="n">
        <v>91878</v>
      </c>
      <c r="B91879">
        <f>TEXT(91878, "[$-0E0000]yyyy-mm-dd")</f>
        <v/>
      </c>
    </row>
    <row r="91880">
      <c r="A91880" s="1" t="n">
        <v>91879</v>
      </c>
      <c r="B91880">
        <f>TEXT(91879, "[$-0E0000]yyyy-mm-dd")</f>
        <v/>
      </c>
    </row>
    <row r="91881">
      <c r="A91881" s="1" t="n">
        <v>91880</v>
      </c>
      <c r="B91881">
        <f>TEXT(91880, "[$-0E0000]yyyy-mm-dd")</f>
        <v/>
      </c>
    </row>
    <row r="91882">
      <c r="A91882" s="1" t="n">
        <v>91881</v>
      </c>
      <c r="B91882">
        <f>TEXT(91881, "[$-0E0000]yyyy-mm-dd")</f>
        <v/>
      </c>
    </row>
    <row r="91883">
      <c r="A91883" s="1" t="n">
        <v>91882</v>
      </c>
      <c r="B91883">
        <f>TEXT(91882, "[$-0E0000]yyyy-mm-dd")</f>
        <v/>
      </c>
    </row>
    <row r="91884">
      <c r="A91884" s="1" t="n">
        <v>91883</v>
      </c>
      <c r="B91884">
        <f>TEXT(91883, "[$-0E0000]yyyy-mm-dd")</f>
        <v/>
      </c>
    </row>
    <row r="91885">
      <c r="A91885" s="1" t="n">
        <v>91884</v>
      </c>
      <c r="B91885">
        <f>TEXT(91884, "[$-0E0000]yyyy-mm-dd")</f>
        <v/>
      </c>
    </row>
    <row r="91886">
      <c r="A91886" s="1" t="n">
        <v>91885</v>
      </c>
      <c r="B91886">
        <f>TEXT(91885, "[$-0E0000]yyyy-mm-dd")</f>
        <v/>
      </c>
    </row>
    <row r="91887">
      <c r="A91887" s="1" t="n">
        <v>91886</v>
      </c>
      <c r="B91887">
        <f>TEXT(91886, "[$-0E0000]yyyy-mm-dd")</f>
        <v/>
      </c>
    </row>
    <row r="91888">
      <c r="A91888" s="1" t="n">
        <v>91887</v>
      </c>
      <c r="B91888">
        <f>TEXT(91887, "[$-0E0000]yyyy-mm-dd")</f>
        <v/>
      </c>
    </row>
    <row r="91889">
      <c r="A91889" s="1" t="n">
        <v>91888</v>
      </c>
      <c r="B91889">
        <f>TEXT(91888, "[$-0E0000]yyyy-mm-dd")</f>
        <v/>
      </c>
    </row>
    <row r="91890">
      <c r="A91890" s="1" t="n">
        <v>91889</v>
      </c>
      <c r="B91890">
        <f>TEXT(91889, "[$-0E0000]yyyy-mm-dd")</f>
        <v/>
      </c>
    </row>
    <row r="91891">
      <c r="A91891" s="1" t="n">
        <v>91890</v>
      </c>
      <c r="B91891">
        <f>TEXT(91890, "[$-0E0000]yyyy-mm-dd")</f>
        <v/>
      </c>
    </row>
    <row r="91892">
      <c r="A91892" s="1" t="n">
        <v>91891</v>
      </c>
      <c r="B91892">
        <f>TEXT(91891, "[$-0E0000]yyyy-mm-dd")</f>
        <v/>
      </c>
    </row>
    <row r="91893">
      <c r="A91893" s="1" t="n">
        <v>91892</v>
      </c>
      <c r="B91893">
        <f>TEXT(91892, "[$-0E0000]yyyy-mm-dd")</f>
        <v/>
      </c>
    </row>
    <row r="91894">
      <c r="A91894" s="1" t="n">
        <v>91893</v>
      </c>
      <c r="B91894">
        <f>TEXT(91893, "[$-0E0000]yyyy-mm-dd")</f>
        <v/>
      </c>
    </row>
    <row r="91895">
      <c r="A91895" s="1" t="n">
        <v>91894</v>
      </c>
      <c r="B91895">
        <f>TEXT(91894, "[$-0E0000]yyyy-mm-dd")</f>
        <v/>
      </c>
    </row>
    <row r="91896">
      <c r="A91896" s="1" t="n">
        <v>91895</v>
      </c>
      <c r="B91896">
        <f>TEXT(91895, "[$-0E0000]yyyy-mm-dd")</f>
        <v/>
      </c>
    </row>
    <row r="91897">
      <c r="A91897" s="1" t="n">
        <v>91896</v>
      </c>
      <c r="B91897">
        <f>TEXT(91896, "[$-0E0000]yyyy-mm-dd")</f>
        <v/>
      </c>
    </row>
    <row r="91898">
      <c r="A91898" s="1" t="n">
        <v>91897</v>
      </c>
      <c r="B91898">
        <f>TEXT(91897, "[$-0E0000]yyyy-mm-dd")</f>
        <v/>
      </c>
    </row>
    <row r="91899">
      <c r="A91899" s="1" t="n">
        <v>91898</v>
      </c>
      <c r="B91899">
        <f>TEXT(91898, "[$-0E0000]yyyy-mm-dd")</f>
        <v/>
      </c>
    </row>
    <row r="91900">
      <c r="A91900" s="1" t="n">
        <v>91899</v>
      </c>
      <c r="B91900">
        <f>TEXT(91899, "[$-0E0000]yyyy-mm-dd")</f>
        <v/>
      </c>
    </row>
    <row r="91901">
      <c r="A91901" s="1" t="n">
        <v>91900</v>
      </c>
      <c r="B91901">
        <f>TEXT(91900, "[$-0E0000]yyyy-mm-dd")</f>
        <v/>
      </c>
    </row>
    <row r="91902">
      <c r="A91902" s="1" t="n">
        <v>91901</v>
      </c>
      <c r="B91902">
        <f>TEXT(91901, "[$-0E0000]yyyy-mm-dd")</f>
        <v/>
      </c>
    </row>
    <row r="91903">
      <c r="A91903" s="1" t="n">
        <v>91902</v>
      </c>
      <c r="B91903">
        <f>TEXT(91902, "[$-0E0000]yyyy-mm-dd")</f>
        <v/>
      </c>
    </row>
    <row r="91904">
      <c r="A91904" s="1" t="n">
        <v>91903</v>
      </c>
      <c r="B91904">
        <f>TEXT(91903, "[$-0E0000]yyyy-mm-dd")</f>
        <v/>
      </c>
    </row>
    <row r="91905">
      <c r="A91905" s="1" t="n">
        <v>91904</v>
      </c>
      <c r="B91905">
        <f>TEXT(91904, "[$-0E0000]yyyy-mm-dd")</f>
        <v/>
      </c>
    </row>
    <row r="91906">
      <c r="A91906" s="1" t="n">
        <v>91905</v>
      </c>
      <c r="B91906">
        <f>TEXT(91905, "[$-0E0000]yyyy-mm-dd")</f>
        <v/>
      </c>
    </row>
    <row r="91907">
      <c r="A91907" s="1" t="n">
        <v>91906</v>
      </c>
      <c r="B91907">
        <f>TEXT(91906, "[$-0E0000]yyyy-mm-dd")</f>
        <v/>
      </c>
    </row>
    <row r="91908">
      <c r="A91908" s="1" t="n">
        <v>91907</v>
      </c>
      <c r="B91908">
        <f>TEXT(91907, "[$-0E0000]yyyy-mm-dd")</f>
        <v/>
      </c>
    </row>
    <row r="91909">
      <c r="A91909" s="1" t="n">
        <v>91908</v>
      </c>
      <c r="B91909">
        <f>TEXT(91908, "[$-0E0000]yyyy-mm-dd")</f>
        <v/>
      </c>
    </row>
    <row r="91910">
      <c r="A91910" s="1" t="n">
        <v>91909</v>
      </c>
      <c r="B91910">
        <f>TEXT(91909, "[$-0E0000]yyyy-mm-dd")</f>
        <v/>
      </c>
    </row>
    <row r="91911">
      <c r="A91911" s="1" t="n">
        <v>91910</v>
      </c>
      <c r="B91911">
        <f>TEXT(91910, "[$-0E0000]yyyy-mm-dd")</f>
        <v/>
      </c>
    </row>
    <row r="91912">
      <c r="A91912" s="1" t="n">
        <v>91911</v>
      </c>
      <c r="B91912">
        <f>TEXT(91911, "[$-0E0000]yyyy-mm-dd")</f>
        <v/>
      </c>
    </row>
    <row r="91913">
      <c r="A91913" s="1" t="n">
        <v>91912</v>
      </c>
      <c r="B91913">
        <f>TEXT(91912, "[$-0E0000]yyyy-mm-dd")</f>
        <v/>
      </c>
    </row>
    <row r="91914">
      <c r="A91914" s="1" t="n">
        <v>91913</v>
      </c>
      <c r="B91914">
        <f>TEXT(91913, "[$-0E0000]yyyy-mm-dd")</f>
        <v/>
      </c>
    </row>
    <row r="91915">
      <c r="A91915" s="1" t="n">
        <v>91914</v>
      </c>
      <c r="B91915">
        <f>TEXT(91914, "[$-0E0000]yyyy-mm-dd")</f>
        <v/>
      </c>
    </row>
    <row r="91916">
      <c r="A91916" s="1" t="n">
        <v>91915</v>
      </c>
      <c r="B91916">
        <f>TEXT(91915, "[$-0E0000]yyyy-mm-dd")</f>
        <v/>
      </c>
    </row>
    <row r="91917">
      <c r="A91917" s="1" t="n">
        <v>91916</v>
      </c>
      <c r="B91917">
        <f>TEXT(91916, "[$-0E0000]yyyy-mm-dd")</f>
        <v/>
      </c>
    </row>
    <row r="91918">
      <c r="A91918" s="1" t="n">
        <v>91917</v>
      </c>
      <c r="B91918">
        <f>TEXT(91917, "[$-0E0000]yyyy-mm-dd")</f>
        <v/>
      </c>
    </row>
    <row r="91919">
      <c r="A91919" s="1" t="n">
        <v>91918</v>
      </c>
      <c r="B91919">
        <f>TEXT(91918, "[$-0E0000]yyyy-mm-dd")</f>
        <v/>
      </c>
    </row>
    <row r="91920">
      <c r="A91920" s="1" t="n">
        <v>91919</v>
      </c>
      <c r="B91920">
        <f>TEXT(91919, "[$-0E0000]yyyy-mm-dd")</f>
        <v/>
      </c>
    </row>
    <row r="91921">
      <c r="A91921" s="1" t="n">
        <v>91920</v>
      </c>
      <c r="B91921">
        <f>TEXT(91920, "[$-0E0000]yyyy-mm-dd")</f>
        <v/>
      </c>
    </row>
    <row r="91922">
      <c r="A91922" s="1" t="n">
        <v>91921</v>
      </c>
      <c r="B91922">
        <f>TEXT(91921, "[$-0E0000]yyyy-mm-dd")</f>
        <v/>
      </c>
    </row>
    <row r="91923">
      <c r="A91923" s="1" t="n">
        <v>91922</v>
      </c>
      <c r="B91923">
        <f>TEXT(91922, "[$-0E0000]yyyy-mm-dd")</f>
        <v/>
      </c>
    </row>
    <row r="91924">
      <c r="A91924" s="1" t="n">
        <v>91923</v>
      </c>
      <c r="B91924">
        <f>TEXT(91923, "[$-0E0000]yyyy-mm-dd")</f>
        <v/>
      </c>
    </row>
    <row r="91925">
      <c r="A91925" s="1" t="n">
        <v>91924</v>
      </c>
      <c r="B91925">
        <f>TEXT(91924, "[$-0E0000]yyyy-mm-dd")</f>
        <v/>
      </c>
    </row>
    <row r="91926">
      <c r="A91926" s="1" t="n">
        <v>91925</v>
      </c>
      <c r="B91926">
        <f>TEXT(91925, "[$-0E0000]yyyy-mm-dd")</f>
        <v/>
      </c>
    </row>
    <row r="91927">
      <c r="A91927" s="1" t="n">
        <v>91926</v>
      </c>
      <c r="B91927">
        <f>TEXT(91926, "[$-0E0000]yyyy-mm-dd")</f>
        <v/>
      </c>
    </row>
    <row r="91928">
      <c r="A91928" s="1" t="n">
        <v>91927</v>
      </c>
      <c r="B91928">
        <f>TEXT(91927, "[$-0E0000]yyyy-mm-dd")</f>
        <v/>
      </c>
    </row>
    <row r="91929">
      <c r="A91929" s="1" t="n">
        <v>91928</v>
      </c>
      <c r="B91929">
        <f>TEXT(91928, "[$-0E0000]yyyy-mm-dd")</f>
        <v/>
      </c>
    </row>
    <row r="91930">
      <c r="A91930" s="1" t="n">
        <v>91929</v>
      </c>
      <c r="B91930">
        <f>TEXT(91929, "[$-0E0000]yyyy-mm-dd")</f>
        <v/>
      </c>
    </row>
    <row r="91931">
      <c r="A91931" s="1" t="n">
        <v>91930</v>
      </c>
      <c r="B91931">
        <f>TEXT(91930, "[$-0E0000]yyyy-mm-dd")</f>
        <v/>
      </c>
    </row>
    <row r="91932">
      <c r="A91932" s="1" t="n">
        <v>91931</v>
      </c>
      <c r="B91932">
        <f>TEXT(91931, "[$-0E0000]yyyy-mm-dd")</f>
        <v/>
      </c>
    </row>
    <row r="91933">
      <c r="A91933" s="1" t="n">
        <v>91932</v>
      </c>
      <c r="B91933">
        <f>TEXT(91932, "[$-0E0000]yyyy-mm-dd")</f>
        <v/>
      </c>
    </row>
    <row r="91934">
      <c r="A91934" s="1" t="n">
        <v>91933</v>
      </c>
      <c r="B91934">
        <f>TEXT(91933, "[$-0E0000]yyyy-mm-dd")</f>
        <v/>
      </c>
    </row>
    <row r="91935">
      <c r="A91935" s="1" t="n">
        <v>91934</v>
      </c>
      <c r="B91935">
        <f>TEXT(91934, "[$-0E0000]yyyy-mm-dd")</f>
        <v/>
      </c>
    </row>
    <row r="91936">
      <c r="A91936" s="1" t="n">
        <v>91935</v>
      </c>
      <c r="B91936">
        <f>TEXT(91935, "[$-0E0000]yyyy-mm-dd")</f>
        <v/>
      </c>
    </row>
    <row r="91937">
      <c r="A91937" s="1" t="n">
        <v>91936</v>
      </c>
      <c r="B91937">
        <f>TEXT(91936, "[$-0E0000]yyyy-mm-dd")</f>
        <v/>
      </c>
    </row>
    <row r="91938">
      <c r="A91938" s="1" t="n">
        <v>91937</v>
      </c>
      <c r="B91938">
        <f>TEXT(91937, "[$-0E0000]yyyy-mm-dd")</f>
        <v/>
      </c>
    </row>
    <row r="91939">
      <c r="A91939" s="1" t="n">
        <v>91938</v>
      </c>
      <c r="B91939">
        <f>TEXT(91938, "[$-0E0000]yyyy-mm-dd")</f>
        <v/>
      </c>
    </row>
    <row r="91940">
      <c r="A91940" s="1" t="n">
        <v>91939</v>
      </c>
      <c r="B91940">
        <f>TEXT(91939, "[$-0E0000]yyyy-mm-dd")</f>
        <v/>
      </c>
    </row>
    <row r="91941">
      <c r="A91941" s="1" t="n">
        <v>91940</v>
      </c>
      <c r="B91941">
        <f>TEXT(91940, "[$-0E0000]yyyy-mm-dd")</f>
        <v/>
      </c>
    </row>
    <row r="91942">
      <c r="A91942" s="1" t="n">
        <v>91941</v>
      </c>
      <c r="B91942">
        <f>TEXT(91941, "[$-0E0000]yyyy-mm-dd")</f>
        <v/>
      </c>
    </row>
    <row r="91943">
      <c r="A91943" s="1" t="n">
        <v>91942</v>
      </c>
      <c r="B91943">
        <f>TEXT(91942, "[$-0E0000]yyyy-mm-dd")</f>
        <v/>
      </c>
    </row>
    <row r="91944">
      <c r="A91944" s="1" t="n">
        <v>91943</v>
      </c>
      <c r="B91944">
        <f>TEXT(91943, "[$-0E0000]yyyy-mm-dd")</f>
        <v/>
      </c>
    </row>
    <row r="91945">
      <c r="A91945" s="1" t="n">
        <v>91944</v>
      </c>
      <c r="B91945">
        <f>TEXT(91944, "[$-0E0000]yyyy-mm-dd")</f>
        <v/>
      </c>
    </row>
    <row r="91946">
      <c r="A91946" s="1" t="n">
        <v>91945</v>
      </c>
      <c r="B91946">
        <f>TEXT(91945, "[$-0E0000]yyyy-mm-dd")</f>
        <v/>
      </c>
    </row>
    <row r="91947">
      <c r="A91947" s="1" t="n">
        <v>91946</v>
      </c>
      <c r="B91947">
        <f>TEXT(91946, "[$-0E0000]yyyy-mm-dd")</f>
        <v/>
      </c>
    </row>
    <row r="91948">
      <c r="A91948" s="1" t="n">
        <v>91947</v>
      </c>
      <c r="B91948">
        <f>TEXT(91947, "[$-0E0000]yyyy-mm-dd")</f>
        <v/>
      </c>
    </row>
    <row r="91949">
      <c r="A91949" s="1" t="n">
        <v>91948</v>
      </c>
      <c r="B91949">
        <f>TEXT(91948, "[$-0E0000]yyyy-mm-dd")</f>
        <v/>
      </c>
    </row>
    <row r="91950">
      <c r="A91950" s="1" t="n">
        <v>91949</v>
      </c>
      <c r="B91950">
        <f>TEXT(91949, "[$-0E0000]yyyy-mm-dd")</f>
        <v/>
      </c>
    </row>
    <row r="91951">
      <c r="A91951" s="1" t="n">
        <v>91950</v>
      </c>
      <c r="B91951">
        <f>TEXT(91950, "[$-0E0000]yyyy-mm-dd")</f>
        <v/>
      </c>
    </row>
    <row r="91952">
      <c r="A91952" s="1" t="n">
        <v>91951</v>
      </c>
      <c r="B91952">
        <f>TEXT(91951, "[$-0E0000]yyyy-mm-dd")</f>
        <v/>
      </c>
    </row>
    <row r="91953">
      <c r="A91953" s="1" t="n">
        <v>91952</v>
      </c>
      <c r="B91953">
        <f>TEXT(91952, "[$-0E0000]yyyy-mm-dd")</f>
        <v/>
      </c>
    </row>
    <row r="91954">
      <c r="A91954" s="1" t="n">
        <v>91953</v>
      </c>
      <c r="B91954">
        <f>TEXT(91953, "[$-0E0000]yyyy-mm-dd")</f>
        <v/>
      </c>
    </row>
    <row r="91955">
      <c r="A91955" s="1" t="n">
        <v>91954</v>
      </c>
      <c r="B91955">
        <f>TEXT(91954, "[$-0E0000]yyyy-mm-dd")</f>
        <v/>
      </c>
    </row>
    <row r="91956">
      <c r="A91956" s="1" t="n">
        <v>91955</v>
      </c>
      <c r="B91956">
        <f>TEXT(91955, "[$-0E0000]yyyy-mm-dd")</f>
        <v/>
      </c>
    </row>
    <row r="91957">
      <c r="A91957" s="1" t="n">
        <v>91956</v>
      </c>
      <c r="B91957">
        <f>TEXT(91956, "[$-0E0000]yyyy-mm-dd")</f>
        <v/>
      </c>
    </row>
    <row r="91958">
      <c r="A91958" s="1" t="n">
        <v>91957</v>
      </c>
      <c r="B91958">
        <f>TEXT(91957, "[$-0E0000]yyyy-mm-dd")</f>
        <v/>
      </c>
    </row>
    <row r="91959">
      <c r="A91959" s="1" t="n">
        <v>91958</v>
      </c>
      <c r="B91959">
        <f>TEXT(91958, "[$-0E0000]yyyy-mm-dd")</f>
        <v/>
      </c>
    </row>
    <row r="91960">
      <c r="A91960" s="1" t="n">
        <v>91959</v>
      </c>
      <c r="B91960">
        <f>TEXT(91959, "[$-0E0000]yyyy-mm-dd")</f>
        <v/>
      </c>
    </row>
    <row r="91961">
      <c r="A91961" s="1" t="n">
        <v>91960</v>
      </c>
      <c r="B91961">
        <f>TEXT(91960, "[$-0E0000]yyyy-mm-dd")</f>
        <v/>
      </c>
    </row>
    <row r="91962">
      <c r="A91962" s="1" t="n">
        <v>91961</v>
      </c>
      <c r="B91962">
        <f>TEXT(91961, "[$-0E0000]yyyy-mm-dd")</f>
        <v/>
      </c>
    </row>
    <row r="91963">
      <c r="A91963" s="1" t="n">
        <v>91962</v>
      </c>
      <c r="B91963">
        <f>TEXT(91962, "[$-0E0000]yyyy-mm-dd")</f>
        <v/>
      </c>
    </row>
    <row r="91964">
      <c r="A91964" s="1" t="n">
        <v>91963</v>
      </c>
      <c r="B91964">
        <f>TEXT(91963, "[$-0E0000]yyyy-mm-dd")</f>
        <v/>
      </c>
    </row>
    <row r="91965">
      <c r="A91965" s="1" t="n">
        <v>91964</v>
      </c>
      <c r="B91965">
        <f>TEXT(91964, "[$-0E0000]yyyy-mm-dd")</f>
        <v/>
      </c>
    </row>
    <row r="91966">
      <c r="A91966" s="1" t="n">
        <v>91965</v>
      </c>
      <c r="B91966">
        <f>TEXT(91965, "[$-0E0000]yyyy-mm-dd")</f>
        <v/>
      </c>
    </row>
    <row r="91967">
      <c r="A91967" s="1" t="n">
        <v>91966</v>
      </c>
      <c r="B91967">
        <f>TEXT(91966, "[$-0E0000]yyyy-mm-dd")</f>
        <v/>
      </c>
    </row>
    <row r="91968">
      <c r="A91968" s="1" t="n">
        <v>91967</v>
      </c>
      <c r="B91968">
        <f>TEXT(91967, "[$-0E0000]yyyy-mm-dd")</f>
        <v/>
      </c>
    </row>
    <row r="91969">
      <c r="A91969" s="1" t="n">
        <v>91968</v>
      </c>
      <c r="B91969">
        <f>TEXT(91968, "[$-0E0000]yyyy-mm-dd")</f>
        <v/>
      </c>
    </row>
    <row r="91970">
      <c r="A91970" s="1" t="n">
        <v>91969</v>
      </c>
      <c r="B91970">
        <f>TEXT(91969, "[$-0E0000]yyyy-mm-dd")</f>
        <v/>
      </c>
    </row>
    <row r="91971">
      <c r="A91971" s="1" t="n">
        <v>91970</v>
      </c>
      <c r="B91971">
        <f>TEXT(91970, "[$-0E0000]yyyy-mm-dd")</f>
        <v/>
      </c>
    </row>
    <row r="91972">
      <c r="A91972" s="1" t="n">
        <v>91971</v>
      </c>
      <c r="B91972">
        <f>TEXT(91971, "[$-0E0000]yyyy-mm-dd")</f>
        <v/>
      </c>
    </row>
    <row r="91973">
      <c r="A91973" s="1" t="n">
        <v>91972</v>
      </c>
      <c r="B91973">
        <f>TEXT(91972, "[$-0E0000]yyyy-mm-dd")</f>
        <v/>
      </c>
    </row>
    <row r="91974">
      <c r="A91974" s="1" t="n">
        <v>91973</v>
      </c>
      <c r="B91974">
        <f>TEXT(91973, "[$-0E0000]yyyy-mm-dd")</f>
        <v/>
      </c>
    </row>
    <row r="91975">
      <c r="A91975" s="1" t="n">
        <v>91974</v>
      </c>
      <c r="B91975">
        <f>TEXT(91974, "[$-0E0000]yyyy-mm-dd")</f>
        <v/>
      </c>
    </row>
    <row r="91976">
      <c r="A91976" s="1" t="n">
        <v>91975</v>
      </c>
      <c r="B91976">
        <f>TEXT(91975, "[$-0E0000]yyyy-mm-dd")</f>
        <v/>
      </c>
    </row>
    <row r="91977">
      <c r="A91977" s="1" t="n">
        <v>91976</v>
      </c>
      <c r="B91977">
        <f>TEXT(91976, "[$-0E0000]yyyy-mm-dd")</f>
        <v/>
      </c>
    </row>
    <row r="91978">
      <c r="A91978" s="1" t="n">
        <v>91977</v>
      </c>
      <c r="B91978">
        <f>TEXT(91977, "[$-0E0000]yyyy-mm-dd")</f>
        <v/>
      </c>
    </row>
    <row r="91979">
      <c r="A91979" s="1" t="n">
        <v>91978</v>
      </c>
      <c r="B91979">
        <f>TEXT(91978, "[$-0E0000]yyyy-mm-dd")</f>
        <v/>
      </c>
    </row>
    <row r="91980">
      <c r="A91980" s="1" t="n">
        <v>91979</v>
      </c>
      <c r="B91980">
        <f>TEXT(91979, "[$-0E0000]yyyy-mm-dd")</f>
        <v/>
      </c>
    </row>
    <row r="91981">
      <c r="A91981" s="1" t="n">
        <v>91980</v>
      </c>
      <c r="B91981">
        <f>TEXT(91980, "[$-0E0000]yyyy-mm-dd")</f>
        <v/>
      </c>
    </row>
    <row r="91982">
      <c r="A91982" s="1" t="n">
        <v>91981</v>
      </c>
      <c r="B91982">
        <f>TEXT(91981, "[$-0E0000]yyyy-mm-dd")</f>
        <v/>
      </c>
    </row>
    <row r="91983">
      <c r="A91983" s="1" t="n">
        <v>91982</v>
      </c>
      <c r="B91983">
        <f>TEXT(91982, "[$-0E0000]yyyy-mm-dd")</f>
        <v/>
      </c>
    </row>
    <row r="91984">
      <c r="A91984" s="1" t="n">
        <v>91983</v>
      </c>
      <c r="B91984">
        <f>TEXT(91983, "[$-0E0000]yyyy-mm-dd")</f>
        <v/>
      </c>
    </row>
    <row r="91985">
      <c r="A91985" s="1" t="n">
        <v>91984</v>
      </c>
      <c r="B91985">
        <f>TEXT(91984, "[$-0E0000]yyyy-mm-dd")</f>
        <v/>
      </c>
    </row>
    <row r="91986">
      <c r="A91986" s="1" t="n">
        <v>91985</v>
      </c>
      <c r="B91986">
        <f>TEXT(91985, "[$-0E0000]yyyy-mm-dd")</f>
        <v/>
      </c>
    </row>
    <row r="91987">
      <c r="A91987" s="1" t="n">
        <v>91986</v>
      </c>
      <c r="B91987">
        <f>TEXT(91986, "[$-0E0000]yyyy-mm-dd")</f>
        <v/>
      </c>
    </row>
    <row r="91988">
      <c r="A91988" s="1" t="n">
        <v>91987</v>
      </c>
      <c r="B91988">
        <f>TEXT(91987, "[$-0E0000]yyyy-mm-dd")</f>
        <v/>
      </c>
    </row>
    <row r="91989">
      <c r="A91989" s="1" t="n">
        <v>91988</v>
      </c>
      <c r="B91989">
        <f>TEXT(91988, "[$-0E0000]yyyy-mm-dd")</f>
        <v/>
      </c>
    </row>
    <row r="91990">
      <c r="A91990" s="1" t="n">
        <v>91989</v>
      </c>
      <c r="B91990">
        <f>TEXT(91989, "[$-0E0000]yyyy-mm-dd")</f>
        <v/>
      </c>
    </row>
    <row r="91991">
      <c r="A91991" s="1" t="n">
        <v>91990</v>
      </c>
      <c r="B91991">
        <f>TEXT(91990, "[$-0E0000]yyyy-mm-dd")</f>
        <v/>
      </c>
    </row>
    <row r="91992">
      <c r="A91992" s="1" t="n">
        <v>91991</v>
      </c>
      <c r="B91992">
        <f>TEXT(91991, "[$-0E0000]yyyy-mm-dd")</f>
        <v/>
      </c>
    </row>
    <row r="91993">
      <c r="A91993" s="1" t="n">
        <v>91992</v>
      </c>
      <c r="B91993">
        <f>TEXT(91992, "[$-0E0000]yyyy-mm-dd")</f>
        <v/>
      </c>
    </row>
    <row r="91994">
      <c r="A91994" s="1" t="n">
        <v>91993</v>
      </c>
      <c r="B91994">
        <f>TEXT(91993, "[$-0E0000]yyyy-mm-dd")</f>
        <v/>
      </c>
    </row>
    <row r="91995">
      <c r="A91995" s="1" t="n">
        <v>91994</v>
      </c>
      <c r="B91995">
        <f>TEXT(91994, "[$-0E0000]yyyy-mm-dd")</f>
        <v/>
      </c>
    </row>
    <row r="91996">
      <c r="A91996" s="1" t="n">
        <v>91995</v>
      </c>
      <c r="B91996">
        <f>TEXT(91995, "[$-0E0000]yyyy-mm-dd")</f>
        <v/>
      </c>
    </row>
    <row r="91997">
      <c r="A91997" s="1" t="n">
        <v>91996</v>
      </c>
      <c r="B91997">
        <f>TEXT(91996, "[$-0E0000]yyyy-mm-dd")</f>
        <v/>
      </c>
    </row>
    <row r="91998">
      <c r="A91998" s="1" t="n">
        <v>91997</v>
      </c>
      <c r="B91998">
        <f>TEXT(91997, "[$-0E0000]yyyy-mm-dd")</f>
        <v/>
      </c>
    </row>
    <row r="91999">
      <c r="A91999" s="1" t="n">
        <v>91998</v>
      </c>
      <c r="B91999">
        <f>TEXT(91998, "[$-0E0000]yyyy-mm-dd")</f>
        <v/>
      </c>
    </row>
    <row r="92000">
      <c r="A92000" s="1" t="n">
        <v>91999</v>
      </c>
      <c r="B92000">
        <f>TEXT(91999, "[$-0E0000]yyyy-mm-dd")</f>
        <v/>
      </c>
    </row>
    <row r="92001">
      <c r="A92001" s="1" t="n">
        <v>92000</v>
      </c>
      <c r="B92001">
        <f>TEXT(92000, "[$-0E0000]yyyy-mm-dd")</f>
        <v/>
      </c>
    </row>
    <row r="92002">
      <c r="A92002" s="1" t="n">
        <v>92001</v>
      </c>
      <c r="B92002">
        <f>TEXT(92001, "[$-0E0000]yyyy-mm-dd")</f>
        <v/>
      </c>
    </row>
    <row r="92003">
      <c r="A92003" s="1" t="n">
        <v>92002</v>
      </c>
      <c r="B92003">
        <f>TEXT(92002, "[$-0E0000]yyyy-mm-dd")</f>
        <v/>
      </c>
    </row>
    <row r="92004">
      <c r="A92004" s="1" t="n">
        <v>92003</v>
      </c>
      <c r="B92004">
        <f>TEXT(92003, "[$-0E0000]yyyy-mm-dd")</f>
        <v/>
      </c>
    </row>
    <row r="92005">
      <c r="A92005" s="1" t="n">
        <v>92004</v>
      </c>
      <c r="B92005">
        <f>TEXT(92004, "[$-0E0000]yyyy-mm-dd")</f>
        <v/>
      </c>
    </row>
    <row r="92006">
      <c r="A92006" s="1" t="n">
        <v>92005</v>
      </c>
      <c r="B92006">
        <f>TEXT(92005, "[$-0E0000]yyyy-mm-dd")</f>
        <v/>
      </c>
    </row>
    <row r="92007">
      <c r="A92007" s="1" t="n">
        <v>92006</v>
      </c>
      <c r="B92007">
        <f>TEXT(92006, "[$-0E0000]yyyy-mm-dd")</f>
        <v/>
      </c>
    </row>
    <row r="92008">
      <c r="A92008" s="1" t="n">
        <v>92007</v>
      </c>
      <c r="B92008">
        <f>TEXT(92007, "[$-0E0000]yyyy-mm-dd")</f>
        <v/>
      </c>
    </row>
    <row r="92009">
      <c r="A92009" s="1" t="n">
        <v>92008</v>
      </c>
      <c r="B92009">
        <f>TEXT(92008, "[$-0E0000]yyyy-mm-dd")</f>
        <v/>
      </c>
    </row>
    <row r="92010">
      <c r="A92010" s="1" t="n">
        <v>92009</v>
      </c>
      <c r="B92010">
        <f>TEXT(92009, "[$-0E0000]yyyy-mm-dd")</f>
        <v/>
      </c>
    </row>
    <row r="92011">
      <c r="A92011" s="1" t="n">
        <v>92010</v>
      </c>
      <c r="B92011">
        <f>TEXT(92010, "[$-0E0000]yyyy-mm-dd")</f>
        <v/>
      </c>
    </row>
    <row r="92012">
      <c r="A92012" s="1" t="n">
        <v>92011</v>
      </c>
      <c r="B92012">
        <f>TEXT(92011, "[$-0E0000]yyyy-mm-dd")</f>
        <v/>
      </c>
    </row>
    <row r="92013">
      <c r="A92013" s="1" t="n">
        <v>92012</v>
      </c>
      <c r="B92013">
        <f>TEXT(92012, "[$-0E0000]yyyy-mm-dd")</f>
        <v/>
      </c>
    </row>
    <row r="92014">
      <c r="A92014" s="1" t="n">
        <v>92013</v>
      </c>
      <c r="B92014">
        <f>TEXT(92013, "[$-0E0000]yyyy-mm-dd")</f>
        <v/>
      </c>
    </row>
    <row r="92015">
      <c r="A92015" s="1" t="n">
        <v>92014</v>
      </c>
      <c r="B92015">
        <f>TEXT(92014, "[$-0E0000]yyyy-mm-dd")</f>
        <v/>
      </c>
    </row>
    <row r="92016">
      <c r="A92016" s="1" t="n">
        <v>92015</v>
      </c>
      <c r="B92016">
        <f>TEXT(92015, "[$-0E0000]yyyy-mm-dd")</f>
        <v/>
      </c>
    </row>
    <row r="92017">
      <c r="A92017" s="1" t="n">
        <v>92016</v>
      </c>
      <c r="B92017">
        <f>TEXT(92016, "[$-0E0000]yyyy-mm-dd")</f>
        <v/>
      </c>
    </row>
    <row r="92018">
      <c r="A92018" s="1" t="n">
        <v>92017</v>
      </c>
      <c r="B92018">
        <f>TEXT(92017, "[$-0E0000]yyyy-mm-dd")</f>
        <v/>
      </c>
    </row>
    <row r="92019">
      <c r="A92019" s="1" t="n">
        <v>92018</v>
      </c>
      <c r="B92019">
        <f>TEXT(92018, "[$-0E0000]yyyy-mm-dd")</f>
        <v/>
      </c>
    </row>
    <row r="92020">
      <c r="A92020" s="1" t="n">
        <v>92019</v>
      </c>
      <c r="B92020">
        <f>TEXT(92019, "[$-0E0000]yyyy-mm-dd")</f>
        <v/>
      </c>
    </row>
    <row r="92021">
      <c r="A92021" s="1" t="n">
        <v>92020</v>
      </c>
      <c r="B92021">
        <f>TEXT(92020, "[$-0E0000]yyyy-mm-dd")</f>
        <v/>
      </c>
    </row>
    <row r="92022">
      <c r="A92022" s="1" t="n">
        <v>92021</v>
      </c>
      <c r="B92022">
        <f>TEXT(92021, "[$-0E0000]yyyy-mm-dd")</f>
        <v/>
      </c>
    </row>
    <row r="92023">
      <c r="A92023" s="1" t="n">
        <v>92022</v>
      </c>
      <c r="B92023">
        <f>TEXT(92022, "[$-0E0000]yyyy-mm-dd")</f>
        <v/>
      </c>
    </row>
    <row r="92024">
      <c r="A92024" s="1" t="n">
        <v>92023</v>
      </c>
      <c r="B92024">
        <f>TEXT(92023, "[$-0E0000]yyyy-mm-dd")</f>
        <v/>
      </c>
    </row>
    <row r="92025">
      <c r="A92025" s="1" t="n">
        <v>92024</v>
      </c>
      <c r="B92025">
        <f>TEXT(92024, "[$-0E0000]yyyy-mm-dd")</f>
        <v/>
      </c>
    </row>
    <row r="92026">
      <c r="A92026" s="1" t="n">
        <v>92025</v>
      </c>
      <c r="B92026">
        <f>TEXT(92025, "[$-0E0000]yyyy-mm-dd")</f>
        <v/>
      </c>
    </row>
    <row r="92027">
      <c r="A92027" s="1" t="n">
        <v>92026</v>
      </c>
      <c r="B92027">
        <f>TEXT(92026, "[$-0E0000]yyyy-mm-dd")</f>
        <v/>
      </c>
    </row>
    <row r="92028">
      <c r="A92028" s="1" t="n">
        <v>92027</v>
      </c>
      <c r="B92028">
        <f>TEXT(92027, "[$-0E0000]yyyy-mm-dd")</f>
        <v/>
      </c>
    </row>
    <row r="92029">
      <c r="A92029" s="1" t="n">
        <v>92028</v>
      </c>
      <c r="B92029">
        <f>TEXT(92028, "[$-0E0000]yyyy-mm-dd")</f>
        <v/>
      </c>
    </row>
    <row r="92030">
      <c r="A92030" s="1" t="n">
        <v>92029</v>
      </c>
      <c r="B92030">
        <f>TEXT(92029, "[$-0E0000]yyyy-mm-dd")</f>
        <v/>
      </c>
    </row>
    <row r="92031">
      <c r="A92031" s="1" t="n">
        <v>92030</v>
      </c>
      <c r="B92031">
        <f>TEXT(92030, "[$-0E0000]yyyy-mm-dd")</f>
        <v/>
      </c>
    </row>
    <row r="92032">
      <c r="A92032" s="1" t="n">
        <v>92031</v>
      </c>
      <c r="B92032">
        <f>TEXT(92031, "[$-0E0000]yyyy-mm-dd")</f>
        <v/>
      </c>
    </row>
    <row r="92033">
      <c r="A92033" s="1" t="n">
        <v>92032</v>
      </c>
      <c r="B92033">
        <f>TEXT(92032, "[$-0E0000]yyyy-mm-dd")</f>
        <v/>
      </c>
    </row>
    <row r="92034">
      <c r="A92034" s="1" t="n">
        <v>92033</v>
      </c>
      <c r="B92034">
        <f>TEXT(92033, "[$-0E0000]yyyy-mm-dd")</f>
        <v/>
      </c>
    </row>
    <row r="92035">
      <c r="A92035" s="1" t="n">
        <v>92034</v>
      </c>
      <c r="B92035">
        <f>TEXT(92034, "[$-0E0000]yyyy-mm-dd")</f>
        <v/>
      </c>
    </row>
    <row r="92036">
      <c r="A92036" s="1" t="n">
        <v>92035</v>
      </c>
      <c r="B92036">
        <f>TEXT(92035, "[$-0E0000]yyyy-mm-dd")</f>
        <v/>
      </c>
    </row>
    <row r="92037">
      <c r="A92037" s="1" t="n">
        <v>92036</v>
      </c>
      <c r="B92037">
        <f>TEXT(92036, "[$-0E0000]yyyy-mm-dd")</f>
        <v/>
      </c>
    </row>
    <row r="92038">
      <c r="A92038" s="1" t="n">
        <v>92037</v>
      </c>
      <c r="B92038">
        <f>TEXT(92037, "[$-0E0000]yyyy-mm-dd")</f>
        <v/>
      </c>
    </row>
    <row r="92039">
      <c r="A92039" s="1" t="n">
        <v>92038</v>
      </c>
      <c r="B92039">
        <f>TEXT(92038, "[$-0E0000]yyyy-mm-dd")</f>
        <v/>
      </c>
    </row>
    <row r="92040">
      <c r="A92040" s="1" t="n">
        <v>92039</v>
      </c>
      <c r="B92040">
        <f>TEXT(92039, "[$-0E0000]yyyy-mm-dd")</f>
        <v/>
      </c>
    </row>
    <row r="92041">
      <c r="A92041" s="1" t="n">
        <v>92040</v>
      </c>
      <c r="B92041">
        <f>TEXT(92040, "[$-0E0000]yyyy-mm-dd")</f>
        <v/>
      </c>
    </row>
    <row r="92042">
      <c r="A92042" s="1" t="n">
        <v>92041</v>
      </c>
      <c r="B92042">
        <f>TEXT(92041, "[$-0E0000]yyyy-mm-dd")</f>
        <v/>
      </c>
    </row>
    <row r="92043">
      <c r="A92043" s="1" t="n">
        <v>92042</v>
      </c>
      <c r="B92043">
        <f>TEXT(92042, "[$-0E0000]yyyy-mm-dd")</f>
        <v/>
      </c>
    </row>
    <row r="92044">
      <c r="A92044" s="1" t="n">
        <v>92043</v>
      </c>
      <c r="B92044">
        <f>TEXT(92043, "[$-0E0000]yyyy-mm-dd")</f>
        <v/>
      </c>
    </row>
    <row r="92045">
      <c r="A92045" s="1" t="n">
        <v>92044</v>
      </c>
      <c r="B92045">
        <f>TEXT(92044, "[$-0E0000]yyyy-mm-dd")</f>
        <v/>
      </c>
    </row>
    <row r="92046">
      <c r="A92046" s="1" t="n">
        <v>92045</v>
      </c>
      <c r="B92046">
        <f>TEXT(92045, "[$-0E0000]yyyy-mm-dd")</f>
        <v/>
      </c>
    </row>
    <row r="92047">
      <c r="A92047" s="1" t="n">
        <v>92046</v>
      </c>
      <c r="B92047">
        <f>TEXT(92046, "[$-0E0000]yyyy-mm-dd")</f>
        <v/>
      </c>
    </row>
    <row r="92048">
      <c r="A92048" s="1" t="n">
        <v>92047</v>
      </c>
      <c r="B92048">
        <f>TEXT(92047, "[$-0E0000]yyyy-mm-dd")</f>
        <v/>
      </c>
    </row>
    <row r="92049">
      <c r="A92049" s="1" t="n">
        <v>92048</v>
      </c>
      <c r="B92049">
        <f>TEXT(92048, "[$-0E0000]yyyy-mm-dd")</f>
        <v/>
      </c>
    </row>
    <row r="92050">
      <c r="A92050" s="1" t="n">
        <v>92049</v>
      </c>
      <c r="B92050">
        <f>TEXT(92049, "[$-0E0000]yyyy-mm-dd")</f>
        <v/>
      </c>
    </row>
    <row r="92051">
      <c r="A92051" s="1" t="n">
        <v>92050</v>
      </c>
      <c r="B92051">
        <f>TEXT(92050, "[$-0E0000]yyyy-mm-dd")</f>
        <v/>
      </c>
    </row>
    <row r="92052">
      <c r="A92052" s="1" t="n">
        <v>92051</v>
      </c>
      <c r="B92052">
        <f>TEXT(92051, "[$-0E0000]yyyy-mm-dd")</f>
        <v/>
      </c>
    </row>
    <row r="92053">
      <c r="A92053" s="1" t="n">
        <v>92052</v>
      </c>
      <c r="B92053">
        <f>TEXT(92052, "[$-0E0000]yyyy-mm-dd")</f>
        <v/>
      </c>
    </row>
    <row r="92054">
      <c r="A92054" s="1" t="n">
        <v>92053</v>
      </c>
      <c r="B92054">
        <f>TEXT(92053, "[$-0E0000]yyyy-mm-dd")</f>
        <v/>
      </c>
    </row>
    <row r="92055">
      <c r="A92055" s="1" t="n">
        <v>92054</v>
      </c>
      <c r="B92055">
        <f>TEXT(92054, "[$-0E0000]yyyy-mm-dd")</f>
        <v/>
      </c>
    </row>
    <row r="92056">
      <c r="A92056" s="1" t="n">
        <v>92055</v>
      </c>
      <c r="B92056">
        <f>TEXT(92055, "[$-0E0000]yyyy-mm-dd")</f>
        <v/>
      </c>
    </row>
    <row r="92057">
      <c r="A92057" s="1" t="n">
        <v>92056</v>
      </c>
      <c r="B92057">
        <f>TEXT(92056, "[$-0E0000]yyyy-mm-dd")</f>
        <v/>
      </c>
    </row>
    <row r="92058">
      <c r="A92058" s="1" t="n">
        <v>92057</v>
      </c>
      <c r="B92058">
        <f>TEXT(92057, "[$-0E0000]yyyy-mm-dd")</f>
        <v/>
      </c>
    </row>
    <row r="92059">
      <c r="A92059" s="1" t="n">
        <v>92058</v>
      </c>
      <c r="B92059">
        <f>TEXT(92058, "[$-0E0000]yyyy-mm-dd")</f>
        <v/>
      </c>
    </row>
    <row r="92060">
      <c r="A92060" s="1" t="n">
        <v>92059</v>
      </c>
      <c r="B92060">
        <f>TEXT(92059, "[$-0E0000]yyyy-mm-dd")</f>
        <v/>
      </c>
    </row>
    <row r="92061">
      <c r="A92061" s="1" t="n">
        <v>92060</v>
      </c>
      <c r="B92061">
        <f>TEXT(92060, "[$-0E0000]yyyy-mm-dd")</f>
        <v/>
      </c>
    </row>
    <row r="92062">
      <c r="A92062" s="1" t="n">
        <v>92061</v>
      </c>
      <c r="B92062">
        <f>TEXT(92061, "[$-0E0000]yyyy-mm-dd")</f>
        <v/>
      </c>
    </row>
    <row r="92063">
      <c r="A92063" s="1" t="n">
        <v>92062</v>
      </c>
      <c r="B92063">
        <f>TEXT(92062, "[$-0E0000]yyyy-mm-dd")</f>
        <v/>
      </c>
    </row>
    <row r="92064">
      <c r="A92064" s="1" t="n">
        <v>92063</v>
      </c>
      <c r="B92064">
        <f>TEXT(92063, "[$-0E0000]yyyy-mm-dd")</f>
        <v/>
      </c>
    </row>
    <row r="92065">
      <c r="A92065" s="1" t="n">
        <v>92064</v>
      </c>
      <c r="B92065">
        <f>TEXT(92064, "[$-0E0000]yyyy-mm-dd")</f>
        <v/>
      </c>
    </row>
    <row r="92066">
      <c r="A92066" s="1" t="n">
        <v>92065</v>
      </c>
      <c r="B92066">
        <f>TEXT(92065, "[$-0E0000]yyyy-mm-dd")</f>
        <v/>
      </c>
    </row>
    <row r="92067">
      <c r="A92067" s="1" t="n">
        <v>92066</v>
      </c>
      <c r="B92067">
        <f>TEXT(92066, "[$-0E0000]yyyy-mm-dd")</f>
        <v/>
      </c>
    </row>
    <row r="92068">
      <c r="A92068" s="1" t="n">
        <v>92067</v>
      </c>
      <c r="B92068">
        <f>TEXT(92067, "[$-0E0000]yyyy-mm-dd")</f>
        <v/>
      </c>
    </row>
    <row r="92069">
      <c r="A92069" s="1" t="n">
        <v>92068</v>
      </c>
      <c r="B92069">
        <f>TEXT(92068, "[$-0E0000]yyyy-mm-dd")</f>
        <v/>
      </c>
    </row>
    <row r="92070">
      <c r="A92070" s="1" t="n">
        <v>92069</v>
      </c>
      <c r="B92070">
        <f>TEXT(92069, "[$-0E0000]yyyy-mm-dd")</f>
        <v/>
      </c>
    </row>
    <row r="92071">
      <c r="A92071" s="1" t="n">
        <v>92070</v>
      </c>
      <c r="B92071">
        <f>TEXT(92070, "[$-0E0000]yyyy-mm-dd")</f>
        <v/>
      </c>
    </row>
    <row r="92072">
      <c r="A92072" s="1" t="n">
        <v>92071</v>
      </c>
      <c r="B92072">
        <f>TEXT(92071, "[$-0E0000]yyyy-mm-dd")</f>
        <v/>
      </c>
    </row>
    <row r="92073">
      <c r="A92073" s="1" t="n">
        <v>92072</v>
      </c>
      <c r="B92073">
        <f>TEXT(92072, "[$-0E0000]yyyy-mm-dd")</f>
        <v/>
      </c>
    </row>
    <row r="92074">
      <c r="A92074" s="1" t="n">
        <v>92073</v>
      </c>
      <c r="B92074">
        <f>TEXT(92073, "[$-0E0000]yyyy-mm-dd")</f>
        <v/>
      </c>
    </row>
    <row r="92075">
      <c r="A92075" s="1" t="n">
        <v>92074</v>
      </c>
      <c r="B92075">
        <f>TEXT(92074, "[$-0E0000]yyyy-mm-dd")</f>
        <v/>
      </c>
    </row>
    <row r="92076">
      <c r="A92076" s="1" t="n">
        <v>92075</v>
      </c>
      <c r="B92076">
        <f>TEXT(92075, "[$-0E0000]yyyy-mm-dd")</f>
        <v/>
      </c>
    </row>
    <row r="92077">
      <c r="A92077" s="1" t="n">
        <v>92076</v>
      </c>
      <c r="B92077">
        <f>TEXT(92076, "[$-0E0000]yyyy-mm-dd")</f>
        <v/>
      </c>
    </row>
    <row r="92078">
      <c r="A92078" s="1" t="n">
        <v>92077</v>
      </c>
      <c r="B92078">
        <f>TEXT(92077, "[$-0E0000]yyyy-mm-dd")</f>
        <v/>
      </c>
    </row>
    <row r="92079">
      <c r="A92079" s="1" t="n">
        <v>92078</v>
      </c>
      <c r="B92079">
        <f>TEXT(92078, "[$-0E0000]yyyy-mm-dd")</f>
        <v/>
      </c>
    </row>
    <row r="92080">
      <c r="A92080" s="1" t="n">
        <v>92079</v>
      </c>
      <c r="B92080">
        <f>TEXT(92079, "[$-0E0000]yyyy-mm-dd")</f>
        <v/>
      </c>
    </row>
    <row r="92081">
      <c r="A92081" s="1" t="n">
        <v>92080</v>
      </c>
      <c r="B92081">
        <f>TEXT(92080, "[$-0E0000]yyyy-mm-dd")</f>
        <v/>
      </c>
    </row>
    <row r="92082">
      <c r="A92082" s="1" t="n">
        <v>92081</v>
      </c>
      <c r="B92082">
        <f>TEXT(92081, "[$-0E0000]yyyy-mm-dd")</f>
        <v/>
      </c>
    </row>
    <row r="92083">
      <c r="A92083" s="1" t="n">
        <v>92082</v>
      </c>
      <c r="B92083">
        <f>TEXT(92082, "[$-0E0000]yyyy-mm-dd")</f>
        <v/>
      </c>
    </row>
    <row r="92084">
      <c r="A92084" s="1" t="n">
        <v>92083</v>
      </c>
      <c r="B92084">
        <f>TEXT(92083, "[$-0E0000]yyyy-mm-dd")</f>
        <v/>
      </c>
    </row>
    <row r="92085">
      <c r="A92085" s="1" t="n">
        <v>92084</v>
      </c>
      <c r="B92085">
        <f>TEXT(92084, "[$-0E0000]yyyy-mm-dd")</f>
        <v/>
      </c>
    </row>
    <row r="92086">
      <c r="A92086" s="1" t="n">
        <v>92085</v>
      </c>
      <c r="B92086">
        <f>TEXT(92085, "[$-0E0000]yyyy-mm-dd")</f>
        <v/>
      </c>
    </row>
    <row r="92087">
      <c r="A92087" s="1" t="n">
        <v>92086</v>
      </c>
      <c r="B92087">
        <f>TEXT(92086, "[$-0E0000]yyyy-mm-dd")</f>
        <v/>
      </c>
    </row>
    <row r="92088">
      <c r="A92088" s="1" t="n">
        <v>92087</v>
      </c>
      <c r="B92088">
        <f>TEXT(92087, "[$-0E0000]yyyy-mm-dd")</f>
        <v/>
      </c>
    </row>
    <row r="92089">
      <c r="A92089" s="1" t="n">
        <v>92088</v>
      </c>
      <c r="B92089">
        <f>TEXT(92088, "[$-0E0000]yyyy-mm-dd")</f>
        <v/>
      </c>
    </row>
    <row r="92090">
      <c r="A92090" s="1" t="n">
        <v>92089</v>
      </c>
      <c r="B92090">
        <f>TEXT(92089, "[$-0E0000]yyyy-mm-dd")</f>
        <v/>
      </c>
    </row>
    <row r="92091">
      <c r="A92091" s="1" t="n">
        <v>92090</v>
      </c>
      <c r="B92091">
        <f>TEXT(92090, "[$-0E0000]yyyy-mm-dd")</f>
        <v/>
      </c>
    </row>
    <row r="92092">
      <c r="A92092" s="1" t="n">
        <v>92091</v>
      </c>
      <c r="B92092">
        <f>TEXT(92091, "[$-0E0000]yyyy-mm-dd")</f>
        <v/>
      </c>
    </row>
    <row r="92093">
      <c r="A92093" s="1" t="n">
        <v>92092</v>
      </c>
      <c r="B92093">
        <f>TEXT(92092, "[$-0E0000]yyyy-mm-dd")</f>
        <v/>
      </c>
    </row>
    <row r="92094">
      <c r="A92094" s="1" t="n">
        <v>92093</v>
      </c>
      <c r="B92094">
        <f>TEXT(92093, "[$-0E0000]yyyy-mm-dd")</f>
        <v/>
      </c>
    </row>
    <row r="92095">
      <c r="A92095" s="1" t="n">
        <v>92094</v>
      </c>
      <c r="B92095">
        <f>TEXT(92094, "[$-0E0000]yyyy-mm-dd")</f>
        <v/>
      </c>
    </row>
    <row r="92096">
      <c r="A92096" s="1" t="n">
        <v>92095</v>
      </c>
      <c r="B92096">
        <f>TEXT(92095, "[$-0E0000]yyyy-mm-dd")</f>
        <v/>
      </c>
    </row>
    <row r="92097">
      <c r="A92097" s="1" t="n">
        <v>92096</v>
      </c>
      <c r="B92097">
        <f>TEXT(92096, "[$-0E0000]yyyy-mm-dd")</f>
        <v/>
      </c>
    </row>
    <row r="92098">
      <c r="A92098" s="1" t="n">
        <v>92097</v>
      </c>
      <c r="B92098">
        <f>TEXT(92097, "[$-0E0000]yyyy-mm-dd")</f>
        <v/>
      </c>
    </row>
    <row r="92099">
      <c r="A92099" s="1" t="n">
        <v>92098</v>
      </c>
      <c r="B92099">
        <f>TEXT(92098, "[$-0E0000]yyyy-mm-dd")</f>
        <v/>
      </c>
    </row>
    <row r="92100">
      <c r="A92100" s="1" t="n">
        <v>92099</v>
      </c>
      <c r="B92100">
        <f>TEXT(92099, "[$-0E0000]yyyy-mm-dd")</f>
        <v/>
      </c>
    </row>
    <row r="92101">
      <c r="A92101" s="1" t="n">
        <v>92100</v>
      </c>
      <c r="B92101">
        <f>TEXT(92100, "[$-0E0000]yyyy-mm-dd")</f>
        <v/>
      </c>
    </row>
    <row r="92102">
      <c r="A92102" s="1" t="n">
        <v>92101</v>
      </c>
      <c r="B92102">
        <f>TEXT(92101, "[$-0E0000]yyyy-mm-dd")</f>
        <v/>
      </c>
    </row>
    <row r="92103">
      <c r="A92103" s="1" t="n">
        <v>92102</v>
      </c>
      <c r="B92103">
        <f>TEXT(92102, "[$-0E0000]yyyy-mm-dd")</f>
        <v/>
      </c>
    </row>
    <row r="92104">
      <c r="A92104" s="1" t="n">
        <v>92103</v>
      </c>
      <c r="B92104">
        <f>TEXT(92103, "[$-0E0000]yyyy-mm-dd")</f>
        <v/>
      </c>
    </row>
    <row r="92105">
      <c r="A92105" s="1" t="n">
        <v>92104</v>
      </c>
      <c r="B92105">
        <f>TEXT(92104, "[$-0E0000]yyyy-mm-dd")</f>
        <v/>
      </c>
    </row>
    <row r="92106">
      <c r="A92106" s="1" t="n">
        <v>92105</v>
      </c>
      <c r="B92106">
        <f>TEXT(92105, "[$-0E0000]yyyy-mm-dd")</f>
        <v/>
      </c>
    </row>
    <row r="92107">
      <c r="A92107" s="1" t="n">
        <v>92106</v>
      </c>
      <c r="B92107">
        <f>TEXT(92106, "[$-0E0000]yyyy-mm-dd")</f>
        <v/>
      </c>
    </row>
    <row r="92108">
      <c r="A92108" s="1" t="n">
        <v>92107</v>
      </c>
      <c r="B92108">
        <f>TEXT(92107, "[$-0E0000]yyyy-mm-dd")</f>
        <v/>
      </c>
    </row>
    <row r="92109">
      <c r="A92109" s="1" t="n">
        <v>92108</v>
      </c>
      <c r="B92109">
        <f>TEXT(92108, "[$-0E0000]yyyy-mm-dd")</f>
        <v/>
      </c>
    </row>
    <row r="92110">
      <c r="A92110" s="1" t="n">
        <v>92109</v>
      </c>
      <c r="B92110">
        <f>TEXT(92109, "[$-0E0000]yyyy-mm-dd")</f>
        <v/>
      </c>
    </row>
    <row r="92111">
      <c r="A92111" s="1" t="n">
        <v>92110</v>
      </c>
      <c r="B92111">
        <f>TEXT(92110, "[$-0E0000]yyyy-mm-dd")</f>
        <v/>
      </c>
    </row>
    <row r="92112">
      <c r="A92112" s="1" t="n">
        <v>92111</v>
      </c>
      <c r="B92112">
        <f>TEXT(92111, "[$-0E0000]yyyy-mm-dd")</f>
        <v/>
      </c>
    </row>
    <row r="92113">
      <c r="A92113" s="1" t="n">
        <v>92112</v>
      </c>
      <c r="B92113">
        <f>TEXT(92112, "[$-0E0000]yyyy-mm-dd")</f>
        <v/>
      </c>
    </row>
    <row r="92114">
      <c r="A92114" s="1" t="n">
        <v>92113</v>
      </c>
      <c r="B92114">
        <f>TEXT(92113, "[$-0E0000]yyyy-mm-dd")</f>
        <v/>
      </c>
    </row>
    <row r="92115">
      <c r="A92115" s="1" t="n">
        <v>92114</v>
      </c>
      <c r="B92115">
        <f>TEXT(92114, "[$-0E0000]yyyy-mm-dd")</f>
        <v/>
      </c>
    </row>
    <row r="92116">
      <c r="A92116" s="1" t="n">
        <v>92115</v>
      </c>
      <c r="B92116">
        <f>TEXT(92115, "[$-0E0000]yyyy-mm-dd")</f>
        <v/>
      </c>
    </row>
    <row r="92117">
      <c r="A92117" s="1" t="n">
        <v>92116</v>
      </c>
      <c r="B92117">
        <f>TEXT(92116, "[$-0E0000]yyyy-mm-dd")</f>
        <v/>
      </c>
    </row>
    <row r="92118">
      <c r="A92118" s="1" t="n">
        <v>92117</v>
      </c>
      <c r="B92118">
        <f>TEXT(92117, "[$-0E0000]yyyy-mm-dd")</f>
        <v/>
      </c>
    </row>
    <row r="92119">
      <c r="A92119" s="1" t="n">
        <v>92118</v>
      </c>
      <c r="B92119">
        <f>TEXT(92118, "[$-0E0000]yyyy-mm-dd")</f>
        <v/>
      </c>
    </row>
    <row r="92120">
      <c r="A92120" s="1" t="n">
        <v>92119</v>
      </c>
      <c r="B92120">
        <f>TEXT(92119, "[$-0E0000]yyyy-mm-dd")</f>
        <v/>
      </c>
    </row>
    <row r="92121">
      <c r="A92121" s="1" t="n">
        <v>92120</v>
      </c>
      <c r="B92121">
        <f>TEXT(92120, "[$-0E0000]yyyy-mm-dd")</f>
        <v/>
      </c>
    </row>
    <row r="92122">
      <c r="A92122" s="1" t="n">
        <v>92121</v>
      </c>
      <c r="B92122">
        <f>TEXT(92121, "[$-0E0000]yyyy-mm-dd")</f>
        <v/>
      </c>
    </row>
    <row r="92123">
      <c r="A92123" s="1" t="n">
        <v>92122</v>
      </c>
      <c r="B92123">
        <f>TEXT(92122, "[$-0E0000]yyyy-mm-dd")</f>
        <v/>
      </c>
    </row>
    <row r="92124">
      <c r="A92124" s="1" t="n">
        <v>92123</v>
      </c>
      <c r="B92124">
        <f>TEXT(92123, "[$-0E0000]yyyy-mm-dd")</f>
        <v/>
      </c>
    </row>
    <row r="92125">
      <c r="A92125" s="1" t="n">
        <v>92124</v>
      </c>
      <c r="B92125">
        <f>TEXT(92124, "[$-0E0000]yyyy-mm-dd")</f>
        <v/>
      </c>
    </row>
    <row r="92126">
      <c r="A92126" s="1" t="n">
        <v>92125</v>
      </c>
      <c r="B92126">
        <f>TEXT(92125, "[$-0E0000]yyyy-mm-dd")</f>
        <v/>
      </c>
    </row>
    <row r="92127">
      <c r="A92127" s="1" t="n">
        <v>92126</v>
      </c>
      <c r="B92127">
        <f>TEXT(92126, "[$-0E0000]yyyy-mm-dd")</f>
        <v/>
      </c>
    </row>
    <row r="92128">
      <c r="A92128" s="1" t="n">
        <v>92127</v>
      </c>
      <c r="B92128">
        <f>TEXT(92127, "[$-0E0000]yyyy-mm-dd")</f>
        <v/>
      </c>
    </row>
    <row r="92129">
      <c r="A92129" s="1" t="n">
        <v>92128</v>
      </c>
      <c r="B92129">
        <f>TEXT(92128, "[$-0E0000]yyyy-mm-dd")</f>
        <v/>
      </c>
    </row>
    <row r="92130">
      <c r="A92130" s="1" t="n">
        <v>92129</v>
      </c>
      <c r="B92130">
        <f>TEXT(92129, "[$-0E0000]yyyy-mm-dd")</f>
        <v/>
      </c>
    </row>
    <row r="92131">
      <c r="A92131" s="1" t="n">
        <v>92130</v>
      </c>
      <c r="B92131">
        <f>TEXT(92130, "[$-0E0000]yyyy-mm-dd")</f>
        <v/>
      </c>
    </row>
    <row r="92132">
      <c r="A92132" s="1" t="n">
        <v>92131</v>
      </c>
      <c r="B92132">
        <f>TEXT(92131, "[$-0E0000]yyyy-mm-dd")</f>
        <v/>
      </c>
    </row>
    <row r="92133">
      <c r="A92133" s="1" t="n">
        <v>92132</v>
      </c>
      <c r="B92133">
        <f>TEXT(92132, "[$-0E0000]yyyy-mm-dd")</f>
        <v/>
      </c>
    </row>
    <row r="92134">
      <c r="A92134" s="1" t="n">
        <v>92133</v>
      </c>
      <c r="B92134">
        <f>TEXT(92133, "[$-0E0000]yyyy-mm-dd")</f>
        <v/>
      </c>
    </row>
    <row r="92135">
      <c r="A92135" s="1" t="n">
        <v>92134</v>
      </c>
      <c r="B92135">
        <f>TEXT(92134, "[$-0E0000]yyyy-mm-dd")</f>
        <v/>
      </c>
    </row>
    <row r="92136">
      <c r="A92136" s="1" t="n">
        <v>92135</v>
      </c>
      <c r="B92136">
        <f>TEXT(92135, "[$-0E0000]yyyy-mm-dd")</f>
        <v/>
      </c>
    </row>
    <row r="92137">
      <c r="A92137" s="1" t="n">
        <v>92136</v>
      </c>
      <c r="B92137">
        <f>TEXT(92136, "[$-0E0000]yyyy-mm-dd")</f>
        <v/>
      </c>
    </row>
    <row r="92138">
      <c r="A92138" s="1" t="n">
        <v>92137</v>
      </c>
      <c r="B92138">
        <f>TEXT(92137, "[$-0E0000]yyyy-mm-dd")</f>
        <v/>
      </c>
    </row>
    <row r="92139">
      <c r="A92139" s="1" t="n">
        <v>92138</v>
      </c>
      <c r="B92139">
        <f>TEXT(92138, "[$-0E0000]yyyy-mm-dd")</f>
        <v/>
      </c>
    </row>
    <row r="92140">
      <c r="A92140" s="1" t="n">
        <v>92139</v>
      </c>
      <c r="B92140">
        <f>TEXT(92139, "[$-0E0000]yyyy-mm-dd")</f>
        <v/>
      </c>
    </row>
    <row r="92141">
      <c r="A92141" s="1" t="n">
        <v>92140</v>
      </c>
      <c r="B92141">
        <f>TEXT(92140, "[$-0E0000]yyyy-mm-dd")</f>
        <v/>
      </c>
    </row>
    <row r="92142">
      <c r="A92142" s="1" t="n">
        <v>92141</v>
      </c>
      <c r="B92142">
        <f>TEXT(92141, "[$-0E0000]yyyy-mm-dd")</f>
        <v/>
      </c>
    </row>
    <row r="92143">
      <c r="A92143" s="1" t="n">
        <v>92142</v>
      </c>
      <c r="B92143">
        <f>TEXT(92142, "[$-0E0000]yyyy-mm-dd")</f>
        <v/>
      </c>
    </row>
    <row r="92144">
      <c r="A92144" s="1" t="n">
        <v>92143</v>
      </c>
      <c r="B92144">
        <f>TEXT(92143, "[$-0E0000]yyyy-mm-dd")</f>
        <v/>
      </c>
    </row>
    <row r="92145">
      <c r="A92145" s="1" t="n">
        <v>92144</v>
      </c>
      <c r="B92145">
        <f>TEXT(92144, "[$-0E0000]yyyy-mm-dd")</f>
        <v/>
      </c>
    </row>
    <row r="92146">
      <c r="A92146" s="1" t="n">
        <v>92145</v>
      </c>
      <c r="B92146">
        <f>TEXT(92145, "[$-0E0000]yyyy-mm-dd")</f>
        <v/>
      </c>
    </row>
    <row r="92147">
      <c r="A92147" s="1" t="n">
        <v>92146</v>
      </c>
      <c r="B92147">
        <f>TEXT(92146, "[$-0E0000]yyyy-mm-dd")</f>
        <v/>
      </c>
    </row>
    <row r="92148">
      <c r="A92148" s="1" t="n">
        <v>92147</v>
      </c>
      <c r="B92148">
        <f>TEXT(92147, "[$-0E0000]yyyy-mm-dd")</f>
        <v/>
      </c>
    </row>
    <row r="92149">
      <c r="A92149" s="1" t="n">
        <v>92148</v>
      </c>
      <c r="B92149">
        <f>TEXT(92148, "[$-0E0000]yyyy-mm-dd")</f>
        <v/>
      </c>
    </row>
    <row r="92150">
      <c r="A92150" s="1" t="n">
        <v>92149</v>
      </c>
      <c r="B92150">
        <f>TEXT(92149, "[$-0E0000]yyyy-mm-dd")</f>
        <v/>
      </c>
    </row>
    <row r="92151">
      <c r="A92151" s="1" t="n">
        <v>92150</v>
      </c>
      <c r="B92151">
        <f>TEXT(92150, "[$-0E0000]yyyy-mm-dd")</f>
        <v/>
      </c>
    </row>
    <row r="92152">
      <c r="A92152" s="1" t="n">
        <v>92151</v>
      </c>
      <c r="B92152">
        <f>TEXT(92151, "[$-0E0000]yyyy-mm-dd")</f>
        <v/>
      </c>
    </row>
    <row r="92153">
      <c r="A92153" s="1" t="n">
        <v>92152</v>
      </c>
      <c r="B92153">
        <f>TEXT(92152, "[$-0E0000]yyyy-mm-dd")</f>
        <v/>
      </c>
    </row>
    <row r="92154">
      <c r="A92154" s="1" t="n">
        <v>92153</v>
      </c>
      <c r="B92154">
        <f>TEXT(92153, "[$-0E0000]yyyy-mm-dd")</f>
        <v/>
      </c>
    </row>
    <row r="92155">
      <c r="A92155" s="1" t="n">
        <v>92154</v>
      </c>
      <c r="B92155">
        <f>TEXT(92154, "[$-0E0000]yyyy-mm-dd")</f>
        <v/>
      </c>
    </row>
    <row r="92156">
      <c r="A92156" s="1" t="n">
        <v>92155</v>
      </c>
      <c r="B92156">
        <f>TEXT(92155, "[$-0E0000]yyyy-mm-dd")</f>
        <v/>
      </c>
    </row>
    <row r="92157">
      <c r="A92157" s="1" t="n">
        <v>92156</v>
      </c>
      <c r="B92157">
        <f>TEXT(92156, "[$-0E0000]yyyy-mm-dd")</f>
        <v/>
      </c>
    </row>
    <row r="92158">
      <c r="A92158" s="1" t="n">
        <v>92157</v>
      </c>
      <c r="B92158">
        <f>TEXT(92157, "[$-0E0000]yyyy-mm-dd")</f>
        <v/>
      </c>
    </row>
    <row r="92159">
      <c r="A92159" s="1" t="n">
        <v>92158</v>
      </c>
      <c r="B92159">
        <f>TEXT(92158, "[$-0E0000]yyyy-mm-dd")</f>
        <v/>
      </c>
    </row>
    <row r="92160">
      <c r="A92160" s="1" t="n">
        <v>92159</v>
      </c>
      <c r="B92160">
        <f>TEXT(92159, "[$-0E0000]yyyy-mm-dd")</f>
        <v/>
      </c>
    </row>
    <row r="92161">
      <c r="A92161" s="1" t="n">
        <v>92160</v>
      </c>
      <c r="B92161">
        <f>TEXT(92160, "[$-0E0000]yyyy-mm-dd")</f>
        <v/>
      </c>
    </row>
    <row r="92162">
      <c r="A92162" s="1" t="n">
        <v>92161</v>
      </c>
      <c r="B92162">
        <f>TEXT(92161, "[$-0E0000]yyyy-mm-dd")</f>
        <v/>
      </c>
    </row>
    <row r="92163">
      <c r="A92163" s="1" t="n">
        <v>92162</v>
      </c>
      <c r="B92163">
        <f>TEXT(92162, "[$-0E0000]yyyy-mm-dd")</f>
        <v/>
      </c>
    </row>
    <row r="92164">
      <c r="A92164" s="1" t="n">
        <v>92163</v>
      </c>
      <c r="B92164">
        <f>TEXT(92163, "[$-0E0000]yyyy-mm-dd")</f>
        <v/>
      </c>
    </row>
    <row r="92165">
      <c r="A92165" s="1" t="n">
        <v>92164</v>
      </c>
      <c r="B92165">
        <f>TEXT(92164, "[$-0E0000]yyyy-mm-dd")</f>
        <v/>
      </c>
    </row>
    <row r="92166">
      <c r="A92166" s="1" t="n">
        <v>92165</v>
      </c>
      <c r="B92166">
        <f>TEXT(92165, "[$-0E0000]yyyy-mm-dd")</f>
        <v/>
      </c>
    </row>
    <row r="92167">
      <c r="A92167" s="1" t="n">
        <v>92166</v>
      </c>
      <c r="B92167">
        <f>TEXT(92166, "[$-0E0000]yyyy-mm-dd")</f>
        <v/>
      </c>
    </row>
    <row r="92168">
      <c r="A92168" s="1" t="n">
        <v>92167</v>
      </c>
      <c r="B92168">
        <f>TEXT(92167, "[$-0E0000]yyyy-mm-dd")</f>
        <v/>
      </c>
    </row>
    <row r="92169">
      <c r="A92169" s="1" t="n">
        <v>92168</v>
      </c>
      <c r="B92169">
        <f>TEXT(92168, "[$-0E0000]yyyy-mm-dd")</f>
        <v/>
      </c>
    </row>
    <row r="92170">
      <c r="A92170" s="1" t="n">
        <v>92169</v>
      </c>
      <c r="B92170">
        <f>TEXT(92169, "[$-0E0000]yyyy-mm-dd")</f>
        <v/>
      </c>
    </row>
    <row r="92171">
      <c r="A92171" s="1" t="n">
        <v>92170</v>
      </c>
      <c r="B92171">
        <f>TEXT(92170, "[$-0E0000]yyyy-mm-dd")</f>
        <v/>
      </c>
    </row>
    <row r="92172">
      <c r="A92172" s="1" t="n">
        <v>92171</v>
      </c>
      <c r="B92172">
        <f>TEXT(92171, "[$-0E0000]yyyy-mm-dd")</f>
        <v/>
      </c>
    </row>
    <row r="92173">
      <c r="A92173" s="1" t="n">
        <v>92172</v>
      </c>
      <c r="B92173">
        <f>TEXT(92172, "[$-0E0000]yyyy-mm-dd")</f>
        <v/>
      </c>
    </row>
    <row r="92174">
      <c r="A92174" s="1" t="n">
        <v>92173</v>
      </c>
      <c r="B92174">
        <f>TEXT(92173, "[$-0E0000]yyyy-mm-dd")</f>
        <v/>
      </c>
    </row>
    <row r="92175">
      <c r="A92175" s="1" t="n">
        <v>92174</v>
      </c>
      <c r="B92175">
        <f>TEXT(92174, "[$-0E0000]yyyy-mm-dd")</f>
        <v/>
      </c>
    </row>
    <row r="92176">
      <c r="A92176" s="1" t="n">
        <v>92175</v>
      </c>
      <c r="B92176">
        <f>TEXT(92175, "[$-0E0000]yyyy-mm-dd")</f>
        <v/>
      </c>
    </row>
    <row r="92177">
      <c r="A92177" s="1" t="n">
        <v>92176</v>
      </c>
      <c r="B92177">
        <f>TEXT(92176, "[$-0E0000]yyyy-mm-dd")</f>
        <v/>
      </c>
    </row>
    <row r="92178">
      <c r="A92178" s="1" t="n">
        <v>92177</v>
      </c>
      <c r="B92178">
        <f>TEXT(92177, "[$-0E0000]yyyy-mm-dd")</f>
        <v/>
      </c>
    </row>
    <row r="92179">
      <c r="A92179" s="1" t="n">
        <v>92178</v>
      </c>
      <c r="B92179">
        <f>TEXT(92178, "[$-0E0000]yyyy-mm-dd")</f>
        <v/>
      </c>
    </row>
    <row r="92180">
      <c r="A92180" s="1" t="n">
        <v>92179</v>
      </c>
      <c r="B92180">
        <f>TEXT(92179, "[$-0E0000]yyyy-mm-dd")</f>
        <v/>
      </c>
    </row>
    <row r="92181">
      <c r="A92181" s="1" t="n">
        <v>92180</v>
      </c>
      <c r="B92181">
        <f>TEXT(92180, "[$-0E0000]yyyy-mm-dd")</f>
        <v/>
      </c>
    </row>
    <row r="92182">
      <c r="A92182" s="1" t="n">
        <v>92181</v>
      </c>
      <c r="B92182">
        <f>TEXT(92181, "[$-0E0000]yyyy-mm-dd")</f>
        <v/>
      </c>
    </row>
    <row r="92183">
      <c r="A92183" s="1" t="n">
        <v>92182</v>
      </c>
      <c r="B92183">
        <f>TEXT(92182, "[$-0E0000]yyyy-mm-dd")</f>
        <v/>
      </c>
    </row>
    <row r="92184">
      <c r="A92184" s="1" t="n">
        <v>92183</v>
      </c>
      <c r="B92184">
        <f>TEXT(92183, "[$-0E0000]yyyy-mm-dd")</f>
        <v/>
      </c>
    </row>
    <row r="92185">
      <c r="A92185" s="1" t="n">
        <v>92184</v>
      </c>
      <c r="B92185">
        <f>TEXT(92184, "[$-0E0000]yyyy-mm-dd")</f>
        <v/>
      </c>
    </row>
    <row r="92186">
      <c r="A92186" s="1" t="n">
        <v>92185</v>
      </c>
      <c r="B92186">
        <f>TEXT(92185, "[$-0E0000]yyyy-mm-dd")</f>
        <v/>
      </c>
    </row>
    <row r="92187">
      <c r="A92187" s="1" t="n">
        <v>92186</v>
      </c>
      <c r="B92187">
        <f>TEXT(92186, "[$-0E0000]yyyy-mm-dd")</f>
        <v/>
      </c>
    </row>
    <row r="92188">
      <c r="A92188" s="1" t="n">
        <v>92187</v>
      </c>
      <c r="B92188">
        <f>TEXT(92187, "[$-0E0000]yyyy-mm-dd")</f>
        <v/>
      </c>
    </row>
    <row r="92189">
      <c r="A92189" s="1" t="n">
        <v>92188</v>
      </c>
      <c r="B92189">
        <f>TEXT(92188, "[$-0E0000]yyyy-mm-dd")</f>
        <v/>
      </c>
    </row>
    <row r="92190">
      <c r="A92190" s="1" t="n">
        <v>92189</v>
      </c>
      <c r="B92190">
        <f>TEXT(92189, "[$-0E0000]yyyy-mm-dd")</f>
        <v/>
      </c>
    </row>
    <row r="92191">
      <c r="A92191" s="1" t="n">
        <v>92190</v>
      </c>
      <c r="B92191">
        <f>TEXT(92190, "[$-0E0000]yyyy-mm-dd")</f>
        <v/>
      </c>
    </row>
    <row r="92192">
      <c r="A92192" s="1" t="n">
        <v>92191</v>
      </c>
      <c r="B92192">
        <f>TEXT(92191, "[$-0E0000]yyyy-mm-dd")</f>
        <v/>
      </c>
    </row>
    <row r="92193">
      <c r="A92193" s="1" t="n">
        <v>92192</v>
      </c>
      <c r="B92193">
        <f>TEXT(92192, "[$-0E0000]yyyy-mm-dd")</f>
        <v/>
      </c>
    </row>
    <row r="92194">
      <c r="A92194" s="1" t="n">
        <v>92193</v>
      </c>
      <c r="B92194">
        <f>TEXT(92193, "[$-0E0000]yyyy-mm-dd")</f>
        <v/>
      </c>
    </row>
    <row r="92195">
      <c r="A92195" s="1" t="n">
        <v>92194</v>
      </c>
      <c r="B92195">
        <f>TEXT(92194, "[$-0E0000]yyyy-mm-dd")</f>
        <v/>
      </c>
    </row>
    <row r="92196">
      <c r="A92196" s="1" t="n">
        <v>92195</v>
      </c>
      <c r="B92196">
        <f>TEXT(92195, "[$-0E0000]yyyy-mm-dd")</f>
        <v/>
      </c>
    </row>
    <row r="92197">
      <c r="A92197" s="1" t="n">
        <v>92196</v>
      </c>
      <c r="B92197">
        <f>TEXT(92196, "[$-0E0000]yyyy-mm-dd")</f>
        <v/>
      </c>
    </row>
    <row r="92198">
      <c r="A92198" s="1" t="n">
        <v>92197</v>
      </c>
      <c r="B92198">
        <f>TEXT(92197, "[$-0E0000]yyyy-mm-dd")</f>
        <v/>
      </c>
    </row>
    <row r="92199">
      <c r="A92199" s="1" t="n">
        <v>92198</v>
      </c>
      <c r="B92199">
        <f>TEXT(92198, "[$-0E0000]yyyy-mm-dd")</f>
        <v/>
      </c>
    </row>
    <row r="92200">
      <c r="A92200" s="1" t="n">
        <v>92199</v>
      </c>
      <c r="B92200">
        <f>TEXT(92199, "[$-0E0000]yyyy-mm-dd")</f>
        <v/>
      </c>
    </row>
    <row r="92201">
      <c r="A92201" s="1" t="n">
        <v>92200</v>
      </c>
      <c r="B92201">
        <f>TEXT(92200, "[$-0E0000]yyyy-mm-dd")</f>
        <v/>
      </c>
    </row>
    <row r="92202">
      <c r="A92202" s="1" t="n">
        <v>92201</v>
      </c>
      <c r="B92202">
        <f>TEXT(92201, "[$-0E0000]yyyy-mm-dd")</f>
        <v/>
      </c>
    </row>
    <row r="92203">
      <c r="A92203" s="1" t="n">
        <v>92202</v>
      </c>
      <c r="B92203">
        <f>TEXT(92202, "[$-0E0000]yyyy-mm-dd")</f>
        <v/>
      </c>
    </row>
    <row r="92204">
      <c r="A92204" s="1" t="n">
        <v>92203</v>
      </c>
      <c r="B92204">
        <f>TEXT(92203, "[$-0E0000]yyyy-mm-dd")</f>
        <v/>
      </c>
    </row>
    <row r="92205">
      <c r="A92205" s="1" t="n">
        <v>92204</v>
      </c>
      <c r="B92205">
        <f>TEXT(92204, "[$-0E0000]yyyy-mm-dd")</f>
        <v/>
      </c>
    </row>
    <row r="92206">
      <c r="A92206" s="1" t="n">
        <v>92205</v>
      </c>
      <c r="B92206">
        <f>TEXT(92205, "[$-0E0000]yyyy-mm-dd")</f>
        <v/>
      </c>
    </row>
    <row r="92207">
      <c r="A92207" s="1" t="n">
        <v>92206</v>
      </c>
      <c r="B92207">
        <f>TEXT(92206, "[$-0E0000]yyyy-mm-dd")</f>
        <v/>
      </c>
    </row>
    <row r="92208">
      <c r="A92208" s="1" t="n">
        <v>92207</v>
      </c>
      <c r="B92208">
        <f>TEXT(92207, "[$-0E0000]yyyy-mm-dd")</f>
        <v/>
      </c>
    </row>
    <row r="92209">
      <c r="A92209" s="1" t="n">
        <v>92208</v>
      </c>
      <c r="B92209">
        <f>TEXT(92208, "[$-0E0000]yyyy-mm-dd")</f>
        <v/>
      </c>
    </row>
    <row r="92210">
      <c r="A92210" s="1" t="n">
        <v>92209</v>
      </c>
      <c r="B92210">
        <f>TEXT(92209, "[$-0E0000]yyyy-mm-dd")</f>
        <v/>
      </c>
    </row>
    <row r="92211">
      <c r="A92211" s="1" t="n">
        <v>92210</v>
      </c>
      <c r="B92211">
        <f>TEXT(92210, "[$-0E0000]yyyy-mm-dd")</f>
        <v/>
      </c>
    </row>
    <row r="92212">
      <c r="A92212" s="1" t="n">
        <v>92211</v>
      </c>
      <c r="B92212">
        <f>TEXT(92211, "[$-0E0000]yyyy-mm-dd")</f>
        <v/>
      </c>
    </row>
    <row r="92213">
      <c r="A92213" s="1" t="n">
        <v>92212</v>
      </c>
      <c r="B92213">
        <f>TEXT(92212, "[$-0E0000]yyyy-mm-dd")</f>
        <v/>
      </c>
    </row>
    <row r="92214">
      <c r="A92214" s="1" t="n">
        <v>92213</v>
      </c>
      <c r="B92214">
        <f>TEXT(92213, "[$-0E0000]yyyy-mm-dd")</f>
        <v/>
      </c>
    </row>
    <row r="92215">
      <c r="A92215" s="1" t="n">
        <v>92214</v>
      </c>
      <c r="B92215">
        <f>TEXT(92214, "[$-0E0000]yyyy-mm-dd")</f>
        <v/>
      </c>
    </row>
    <row r="92216">
      <c r="A92216" s="1" t="n">
        <v>92215</v>
      </c>
      <c r="B92216">
        <f>TEXT(92215, "[$-0E0000]yyyy-mm-dd")</f>
        <v/>
      </c>
    </row>
    <row r="92217">
      <c r="A92217" s="1" t="n">
        <v>92216</v>
      </c>
      <c r="B92217">
        <f>TEXT(92216, "[$-0E0000]yyyy-mm-dd")</f>
        <v/>
      </c>
    </row>
    <row r="92218">
      <c r="A92218" s="1" t="n">
        <v>92217</v>
      </c>
      <c r="B92218">
        <f>TEXT(92217, "[$-0E0000]yyyy-mm-dd")</f>
        <v/>
      </c>
    </row>
    <row r="92219">
      <c r="A92219" s="1" t="n">
        <v>92218</v>
      </c>
      <c r="B92219">
        <f>TEXT(92218, "[$-0E0000]yyyy-mm-dd")</f>
        <v/>
      </c>
    </row>
    <row r="92220">
      <c r="A92220" s="1" t="n">
        <v>92219</v>
      </c>
      <c r="B92220">
        <f>TEXT(92219, "[$-0E0000]yyyy-mm-dd")</f>
        <v/>
      </c>
    </row>
    <row r="92221">
      <c r="A92221" s="1" t="n">
        <v>92220</v>
      </c>
      <c r="B92221">
        <f>TEXT(92220, "[$-0E0000]yyyy-mm-dd")</f>
        <v/>
      </c>
    </row>
    <row r="92222">
      <c r="A92222" s="1" t="n">
        <v>92221</v>
      </c>
      <c r="B92222">
        <f>TEXT(92221, "[$-0E0000]yyyy-mm-dd")</f>
        <v/>
      </c>
    </row>
    <row r="92223">
      <c r="A92223" s="1" t="n">
        <v>92222</v>
      </c>
      <c r="B92223">
        <f>TEXT(92222, "[$-0E0000]yyyy-mm-dd")</f>
        <v/>
      </c>
    </row>
    <row r="92224">
      <c r="A92224" s="1" t="n">
        <v>92223</v>
      </c>
      <c r="B92224">
        <f>TEXT(92223, "[$-0E0000]yyyy-mm-dd")</f>
        <v/>
      </c>
    </row>
    <row r="92225">
      <c r="A92225" s="1" t="n">
        <v>92224</v>
      </c>
      <c r="B92225">
        <f>TEXT(92224, "[$-0E0000]yyyy-mm-dd")</f>
        <v/>
      </c>
    </row>
    <row r="92226">
      <c r="A92226" s="1" t="n">
        <v>92225</v>
      </c>
      <c r="B92226">
        <f>TEXT(92225, "[$-0E0000]yyyy-mm-dd")</f>
        <v/>
      </c>
    </row>
    <row r="92227">
      <c r="A92227" s="1" t="n">
        <v>92226</v>
      </c>
      <c r="B92227">
        <f>TEXT(92226, "[$-0E0000]yyyy-mm-dd")</f>
        <v/>
      </c>
    </row>
    <row r="92228">
      <c r="A92228" s="1" t="n">
        <v>92227</v>
      </c>
      <c r="B92228">
        <f>TEXT(92227, "[$-0E0000]yyyy-mm-dd")</f>
        <v/>
      </c>
    </row>
    <row r="92229">
      <c r="A92229" s="1" t="n">
        <v>92228</v>
      </c>
      <c r="B92229">
        <f>TEXT(92228, "[$-0E0000]yyyy-mm-dd")</f>
        <v/>
      </c>
    </row>
    <row r="92230">
      <c r="A92230" s="1" t="n">
        <v>92229</v>
      </c>
      <c r="B92230">
        <f>TEXT(92229, "[$-0E0000]yyyy-mm-dd")</f>
        <v/>
      </c>
    </row>
    <row r="92231">
      <c r="A92231" s="1" t="n">
        <v>92230</v>
      </c>
      <c r="B92231">
        <f>TEXT(92230, "[$-0E0000]yyyy-mm-dd")</f>
        <v/>
      </c>
    </row>
    <row r="92232">
      <c r="A92232" s="1" t="n">
        <v>92231</v>
      </c>
      <c r="B92232">
        <f>TEXT(92231, "[$-0E0000]yyyy-mm-dd")</f>
        <v/>
      </c>
    </row>
    <row r="92233">
      <c r="A92233" s="1" t="n">
        <v>92232</v>
      </c>
      <c r="B92233">
        <f>TEXT(92232, "[$-0E0000]yyyy-mm-dd")</f>
        <v/>
      </c>
    </row>
    <row r="92234">
      <c r="A92234" s="1" t="n">
        <v>92233</v>
      </c>
      <c r="B92234">
        <f>TEXT(92233, "[$-0E0000]yyyy-mm-dd")</f>
        <v/>
      </c>
    </row>
    <row r="92235">
      <c r="A92235" s="1" t="n">
        <v>92234</v>
      </c>
      <c r="B92235">
        <f>TEXT(92234, "[$-0E0000]yyyy-mm-dd")</f>
        <v/>
      </c>
    </row>
    <row r="92236">
      <c r="A92236" s="1" t="n">
        <v>92235</v>
      </c>
      <c r="B92236">
        <f>TEXT(92235, "[$-0E0000]yyyy-mm-dd")</f>
        <v/>
      </c>
    </row>
    <row r="92237">
      <c r="A92237" s="1" t="n">
        <v>92236</v>
      </c>
      <c r="B92237">
        <f>TEXT(92236, "[$-0E0000]yyyy-mm-dd")</f>
        <v/>
      </c>
    </row>
    <row r="92238">
      <c r="A92238" s="1" t="n">
        <v>92237</v>
      </c>
      <c r="B92238">
        <f>TEXT(92237, "[$-0E0000]yyyy-mm-dd")</f>
        <v/>
      </c>
    </row>
    <row r="92239">
      <c r="A92239" s="1" t="n">
        <v>92238</v>
      </c>
      <c r="B92239">
        <f>TEXT(92238, "[$-0E0000]yyyy-mm-dd")</f>
        <v/>
      </c>
    </row>
    <row r="92240">
      <c r="A92240" s="1" t="n">
        <v>92239</v>
      </c>
      <c r="B92240">
        <f>TEXT(92239, "[$-0E0000]yyyy-mm-dd")</f>
        <v/>
      </c>
    </row>
    <row r="92241">
      <c r="A92241" s="1" t="n">
        <v>92240</v>
      </c>
      <c r="B92241">
        <f>TEXT(92240, "[$-0E0000]yyyy-mm-dd")</f>
        <v/>
      </c>
    </row>
    <row r="92242">
      <c r="A92242" s="1" t="n">
        <v>92241</v>
      </c>
      <c r="B92242">
        <f>TEXT(92241, "[$-0E0000]yyyy-mm-dd")</f>
        <v/>
      </c>
    </row>
    <row r="92243">
      <c r="A92243" s="1" t="n">
        <v>92242</v>
      </c>
      <c r="B92243">
        <f>TEXT(92242, "[$-0E0000]yyyy-mm-dd")</f>
        <v/>
      </c>
    </row>
    <row r="92244">
      <c r="A92244" s="1" t="n">
        <v>92243</v>
      </c>
      <c r="B92244">
        <f>TEXT(92243, "[$-0E0000]yyyy-mm-dd")</f>
        <v/>
      </c>
    </row>
    <row r="92245">
      <c r="A92245" s="1" t="n">
        <v>92244</v>
      </c>
      <c r="B92245">
        <f>TEXT(92244, "[$-0E0000]yyyy-mm-dd")</f>
        <v/>
      </c>
    </row>
    <row r="92246">
      <c r="A92246" s="1" t="n">
        <v>92245</v>
      </c>
      <c r="B92246">
        <f>TEXT(92245, "[$-0E0000]yyyy-mm-dd")</f>
        <v/>
      </c>
    </row>
    <row r="92247">
      <c r="A92247" s="1" t="n">
        <v>92246</v>
      </c>
      <c r="B92247">
        <f>TEXT(92246, "[$-0E0000]yyyy-mm-dd")</f>
        <v/>
      </c>
    </row>
    <row r="92248">
      <c r="A92248" s="1" t="n">
        <v>92247</v>
      </c>
      <c r="B92248">
        <f>TEXT(92247, "[$-0E0000]yyyy-mm-dd")</f>
        <v/>
      </c>
    </row>
    <row r="92249">
      <c r="A92249" s="1" t="n">
        <v>92248</v>
      </c>
      <c r="B92249">
        <f>TEXT(92248, "[$-0E0000]yyyy-mm-dd")</f>
        <v/>
      </c>
    </row>
    <row r="92250">
      <c r="A92250" s="1" t="n">
        <v>92249</v>
      </c>
      <c r="B92250">
        <f>TEXT(92249, "[$-0E0000]yyyy-mm-dd")</f>
        <v/>
      </c>
    </row>
    <row r="92251">
      <c r="A92251" s="1" t="n">
        <v>92250</v>
      </c>
      <c r="B92251">
        <f>TEXT(92250, "[$-0E0000]yyyy-mm-dd")</f>
        <v/>
      </c>
    </row>
    <row r="92252">
      <c r="A92252" s="1" t="n">
        <v>92251</v>
      </c>
      <c r="B92252">
        <f>TEXT(92251, "[$-0E0000]yyyy-mm-dd")</f>
        <v/>
      </c>
    </row>
    <row r="92253">
      <c r="A92253" s="1" t="n">
        <v>92252</v>
      </c>
      <c r="B92253">
        <f>TEXT(92252, "[$-0E0000]yyyy-mm-dd")</f>
        <v/>
      </c>
    </row>
    <row r="92254">
      <c r="A92254" s="1" t="n">
        <v>92253</v>
      </c>
      <c r="B92254">
        <f>TEXT(92253, "[$-0E0000]yyyy-mm-dd")</f>
        <v/>
      </c>
    </row>
    <row r="92255">
      <c r="A92255" s="1" t="n">
        <v>92254</v>
      </c>
      <c r="B92255">
        <f>TEXT(92254, "[$-0E0000]yyyy-mm-dd")</f>
        <v/>
      </c>
    </row>
    <row r="92256">
      <c r="A92256" s="1" t="n">
        <v>92255</v>
      </c>
      <c r="B92256">
        <f>TEXT(92255, "[$-0E0000]yyyy-mm-dd")</f>
        <v/>
      </c>
    </row>
    <row r="92257">
      <c r="A92257" s="1" t="n">
        <v>92256</v>
      </c>
      <c r="B92257">
        <f>TEXT(92256, "[$-0E0000]yyyy-mm-dd")</f>
        <v/>
      </c>
    </row>
    <row r="92258">
      <c r="A92258" s="1" t="n">
        <v>92257</v>
      </c>
      <c r="B92258">
        <f>TEXT(92257, "[$-0E0000]yyyy-mm-dd")</f>
        <v/>
      </c>
    </row>
    <row r="92259">
      <c r="A92259" s="1" t="n">
        <v>92258</v>
      </c>
      <c r="B92259">
        <f>TEXT(92258, "[$-0E0000]yyyy-mm-dd")</f>
        <v/>
      </c>
    </row>
    <row r="92260">
      <c r="A92260" s="1" t="n">
        <v>92259</v>
      </c>
      <c r="B92260">
        <f>TEXT(92259, "[$-0E0000]yyyy-mm-dd")</f>
        <v/>
      </c>
    </row>
    <row r="92261">
      <c r="A92261" s="1" t="n">
        <v>92260</v>
      </c>
      <c r="B92261">
        <f>TEXT(92260, "[$-0E0000]yyyy-mm-dd")</f>
        <v/>
      </c>
    </row>
    <row r="92262">
      <c r="A92262" s="1" t="n">
        <v>92261</v>
      </c>
      <c r="B92262">
        <f>TEXT(92261, "[$-0E0000]yyyy-mm-dd")</f>
        <v/>
      </c>
    </row>
    <row r="92263">
      <c r="A92263" s="1" t="n">
        <v>92262</v>
      </c>
      <c r="B92263">
        <f>TEXT(92262, "[$-0E0000]yyyy-mm-dd")</f>
        <v/>
      </c>
    </row>
    <row r="92264">
      <c r="A92264" s="1" t="n">
        <v>92263</v>
      </c>
      <c r="B92264">
        <f>TEXT(92263, "[$-0E0000]yyyy-mm-dd")</f>
        <v/>
      </c>
    </row>
    <row r="92265">
      <c r="A92265" s="1" t="n">
        <v>92264</v>
      </c>
      <c r="B92265">
        <f>TEXT(92264, "[$-0E0000]yyyy-mm-dd")</f>
        <v/>
      </c>
    </row>
    <row r="92266">
      <c r="A92266" s="1" t="n">
        <v>92265</v>
      </c>
      <c r="B92266">
        <f>TEXT(92265, "[$-0E0000]yyyy-mm-dd")</f>
        <v/>
      </c>
    </row>
    <row r="92267">
      <c r="A92267" s="1" t="n">
        <v>92266</v>
      </c>
      <c r="B92267">
        <f>TEXT(92266, "[$-0E0000]yyyy-mm-dd")</f>
        <v/>
      </c>
    </row>
    <row r="92268">
      <c r="A92268" s="1" t="n">
        <v>92267</v>
      </c>
      <c r="B92268">
        <f>TEXT(92267, "[$-0E0000]yyyy-mm-dd")</f>
        <v/>
      </c>
    </row>
    <row r="92269">
      <c r="A92269" s="1" t="n">
        <v>92268</v>
      </c>
      <c r="B92269">
        <f>TEXT(92268, "[$-0E0000]yyyy-mm-dd")</f>
        <v/>
      </c>
    </row>
    <row r="92270">
      <c r="A92270" s="1" t="n">
        <v>92269</v>
      </c>
      <c r="B92270">
        <f>TEXT(92269, "[$-0E0000]yyyy-mm-dd")</f>
        <v/>
      </c>
    </row>
    <row r="92271">
      <c r="A92271" s="1" t="n">
        <v>92270</v>
      </c>
      <c r="B92271">
        <f>TEXT(92270, "[$-0E0000]yyyy-mm-dd")</f>
        <v/>
      </c>
    </row>
    <row r="92272">
      <c r="A92272" s="1" t="n">
        <v>92271</v>
      </c>
      <c r="B92272">
        <f>TEXT(92271, "[$-0E0000]yyyy-mm-dd")</f>
        <v/>
      </c>
    </row>
    <row r="92273">
      <c r="A92273" s="1" t="n">
        <v>92272</v>
      </c>
      <c r="B92273">
        <f>TEXT(92272, "[$-0E0000]yyyy-mm-dd")</f>
        <v/>
      </c>
    </row>
    <row r="92274">
      <c r="A92274" s="1" t="n">
        <v>92273</v>
      </c>
      <c r="B92274">
        <f>TEXT(92273, "[$-0E0000]yyyy-mm-dd")</f>
        <v/>
      </c>
    </row>
    <row r="92275">
      <c r="A92275" s="1" t="n">
        <v>92274</v>
      </c>
      <c r="B92275">
        <f>TEXT(92274, "[$-0E0000]yyyy-mm-dd")</f>
        <v/>
      </c>
    </row>
    <row r="92276">
      <c r="A92276" s="1" t="n">
        <v>92275</v>
      </c>
      <c r="B92276">
        <f>TEXT(92275, "[$-0E0000]yyyy-mm-dd")</f>
        <v/>
      </c>
    </row>
    <row r="92277">
      <c r="A92277" s="1" t="n">
        <v>92276</v>
      </c>
      <c r="B92277">
        <f>TEXT(92276, "[$-0E0000]yyyy-mm-dd")</f>
        <v/>
      </c>
    </row>
    <row r="92278">
      <c r="A92278" s="1" t="n">
        <v>92277</v>
      </c>
      <c r="B92278">
        <f>TEXT(92277, "[$-0E0000]yyyy-mm-dd")</f>
        <v/>
      </c>
    </row>
    <row r="92279">
      <c r="A92279" s="1" t="n">
        <v>92278</v>
      </c>
      <c r="B92279">
        <f>TEXT(92278, "[$-0E0000]yyyy-mm-dd")</f>
        <v/>
      </c>
    </row>
    <row r="92280">
      <c r="A92280" s="1" t="n">
        <v>92279</v>
      </c>
      <c r="B92280">
        <f>TEXT(92279, "[$-0E0000]yyyy-mm-dd")</f>
        <v/>
      </c>
    </row>
    <row r="92281">
      <c r="A92281" s="1" t="n">
        <v>92280</v>
      </c>
      <c r="B92281">
        <f>TEXT(92280, "[$-0E0000]yyyy-mm-dd")</f>
        <v/>
      </c>
    </row>
    <row r="92282">
      <c r="A92282" s="1" t="n">
        <v>92281</v>
      </c>
      <c r="B92282">
        <f>TEXT(92281, "[$-0E0000]yyyy-mm-dd")</f>
        <v/>
      </c>
    </row>
    <row r="92283">
      <c r="A92283" s="1" t="n">
        <v>92282</v>
      </c>
      <c r="B92283">
        <f>TEXT(92282, "[$-0E0000]yyyy-mm-dd")</f>
        <v/>
      </c>
    </row>
    <row r="92284">
      <c r="A92284" s="1" t="n">
        <v>92283</v>
      </c>
      <c r="B92284">
        <f>TEXT(92283, "[$-0E0000]yyyy-mm-dd")</f>
        <v/>
      </c>
    </row>
    <row r="92285">
      <c r="A92285" s="1" t="n">
        <v>92284</v>
      </c>
      <c r="B92285">
        <f>TEXT(92284, "[$-0E0000]yyyy-mm-dd")</f>
        <v/>
      </c>
    </row>
    <row r="92286">
      <c r="A92286" s="1" t="n">
        <v>92285</v>
      </c>
      <c r="B92286">
        <f>TEXT(92285, "[$-0E0000]yyyy-mm-dd")</f>
        <v/>
      </c>
    </row>
    <row r="92287">
      <c r="A92287" s="1" t="n">
        <v>92286</v>
      </c>
      <c r="B92287">
        <f>TEXT(92286, "[$-0E0000]yyyy-mm-dd")</f>
        <v/>
      </c>
    </row>
    <row r="92288">
      <c r="A92288" s="1" t="n">
        <v>92287</v>
      </c>
      <c r="B92288">
        <f>TEXT(92287, "[$-0E0000]yyyy-mm-dd")</f>
        <v/>
      </c>
    </row>
    <row r="92289">
      <c r="A92289" s="1" t="n">
        <v>92288</v>
      </c>
      <c r="B92289">
        <f>TEXT(92288, "[$-0E0000]yyyy-mm-dd")</f>
        <v/>
      </c>
    </row>
    <row r="92290">
      <c r="A92290" s="1" t="n">
        <v>92289</v>
      </c>
      <c r="B92290">
        <f>TEXT(92289, "[$-0E0000]yyyy-mm-dd")</f>
        <v/>
      </c>
    </row>
    <row r="92291">
      <c r="A92291" s="1" t="n">
        <v>92290</v>
      </c>
      <c r="B92291">
        <f>TEXT(92290, "[$-0E0000]yyyy-mm-dd")</f>
        <v/>
      </c>
    </row>
    <row r="92292">
      <c r="A92292" s="1" t="n">
        <v>92291</v>
      </c>
      <c r="B92292">
        <f>TEXT(92291, "[$-0E0000]yyyy-mm-dd")</f>
        <v/>
      </c>
    </row>
    <row r="92293">
      <c r="A92293" s="1" t="n">
        <v>92292</v>
      </c>
      <c r="B92293">
        <f>TEXT(92292, "[$-0E0000]yyyy-mm-dd")</f>
        <v/>
      </c>
    </row>
    <row r="92294">
      <c r="A92294" s="1" t="n">
        <v>92293</v>
      </c>
      <c r="B92294">
        <f>TEXT(92293, "[$-0E0000]yyyy-mm-dd")</f>
        <v/>
      </c>
    </row>
    <row r="92295">
      <c r="A92295" s="1" t="n">
        <v>92294</v>
      </c>
      <c r="B92295">
        <f>TEXT(92294, "[$-0E0000]yyyy-mm-dd")</f>
        <v/>
      </c>
    </row>
    <row r="92296">
      <c r="A92296" s="1" t="n">
        <v>92295</v>
      </c>
      <c r="B92296">
        <f>TEXT(92295, "[$-0E0000]yyyy-mm-dd")</f>
        <v/>
      </c>
    </row>
    <row r="92297">
      <c r="A92297" s="1" t="n">
        <v>92296</v>
      </c>
      <c r="B92297">
        <f>TEXT(92296, "[$-0E0000]yyyy-mm-dd")</f>
        <v/>
      </c>
    </row>
    <row r="92298">
      <c r="A92298" s="1" t="n">
        <v>92297</v>
      </c>
      <c r="B92298">
        <f>TEXT(92297, "[$-0E0000]yyyy-mm-dd")</f>
        <v/>
      </c>
    </row>
    <row r="92299">
      <c r="A92299" s="1" t="n">
        <v>92298</v>
      </c>
      <c r="B92299">
        <f>TEXT(92298, "[$-0E0000]yyyy-mm-dd")</f>
        <v/>
      </c>
    </row>
    <row r="92300">
      <c r="A92300" s="1" t="n">
        <v>92299</v>
      </c>
      <c r="B92300">
        <f>TEXT(92299, "[$-0E0000]yyyy-mm-dd")</f>
        <v/>
      </c>
    </row>
    <row r="92301">
      <c r="A92301" s="1" t="n">
        <v>92300</v>
      </c>
      <c r="B92301">
        <f>TEXT(92300, "[$-0E0000]yyyy-mm-dd")</f>
        <v/>
      </c>
    </row>
    <row r="92302">
      <c r="A92302" s="1" t="n">
        <v>92301</v>
      </c>
      <c r="B92302">
        <f>TEXT(92301, "[$-0E0000]yyyy-mm-dd")</f>
        <v/>
      </c>
    </row>
    <row r="92303">
      <c r="A92303" s="1" t="n">
        <v>92302</v>
      </c>
      <c r="B92303">
        <f>TEXT(92302, "[$-0E0000]yyyy-mm-dd")</f>
        <v/>
      </c>
    </row>
    <row r="92304">
      <c r="A92304" s="1" t="n">
        <v>92303</v>
      </c>
      <c r="B92304">
        <f>TEXT(92303, "[$-0E0000]yyyy-mm-dd")</f>
        <v/>
      </c>
    </row>
    <row r="92305">
      <c r="A92305" s="1" t="n">
        <v>92304</v>
      </c>
      <c r="B92305">
        <f>TEXT(92304, "[$-0E0000]yyyy-mm-dd")</f>
        <v/>
      </c>
    </row>
    <row r="92306">
      <c r="A92306" s="1" t="n">
        <v>92305</v>
      </c>
      <c r="B92306">
        <f>TEXT(92305, "[$-0E0000]yyyy-mm-dd")</f>
        <v/>
      </c>
    </row>
    <row r="92307">
      <c r="A92307" s="1" t="n">
        <v>92306</v>
      </c>
      <c r="B92307">
        <f>TEXT(92306, "[$-0E0000]yyyy-mm-dd")</f>
        <v/>
      </c>
    </row>
    <row r="92308">
      <c r="A92308" s="1" t="n">
        <v>92307</v>
      </c>
      <c r="B92308">
        <f>TEXT(92307, "[$-0E0000]yyyy-mm-dd")</f>
        <v/>
      </c>
    </row>
    <row r="92309">
      <c r="A92309" s="1" t="n">
        <v>92308</v>
      </c>
      <c r="B92309">
        <f>TEXT(92308, "[$-0E0000]yyyy-mm-dd")</f>
        <v/>
      </c>
    </row>
    <row r="92310">
      <c r="A92310" s="1" t="n">
        <v>92309</v>
      </c>
      <c r="B92310">
        <f>TEXT(92309, "[$-0E0000]yyyy-mm-dd")</f>
        <v/>
      </c>
    </row>
    <row r="92311">
      <c r="A92311" s="1" t="n">
        <v>92310</v>
      </c>
      <c r="B92311">
        <f>TEXT(92310, "[$-0E0000]yyyy-mm-dd")</f>
        <v/>
      </c>
    </row>
    <row r="92312">
      <c r="A92312" s="1" t="n">
        <v>92311</v>
      </c>
      <c r="B92312">
        <f>TEXT(92311, "[$-0E0000]yyyy-mm-dd")</f>
        <v/>
      </c>
    </row>
    <row r="92313">
      <c r="A92313" s="1" t="n">
        <v>92312</v>
      </c>
      <c r="B92313">
        <f>TEXT(92312, "[$-0E0000]yyyy-mm-dd")</f>
        <v/>
      </c>
    </row>
    <row r="92314">
      <c r="A92314" s="1" t="n">
        <v>92313</v>
      </c>
      <c r="B92314">
        <f>TEXT(92313, "[$-0E0000]yyyy-mm-dd")</f>
        <v/>
      </c>
    </row>
    <row r="92315">
      <c r="A92315" s="1" t="n">
        <v>92314</v>
      </c>
      <c r="B92315">
        <f>TEXT(92314, "[$-0E0000]yyyy-mm-dd")</f>
        <v/>
      </c>
    </row>
    <row r="92316">
      <c r="A92316" s="1" t="n">
        <v>92315</v>
      </c>
      <c r="B92316">
        <f>TEXT(92315, "[$-0E0000]yyyy-mm-dd")</f>
        <v/>
      </c>
    </row>
    <row r="92317">
      <c r="A92317" s="1" t="n">
        <v>92316</v>
      </c>
      <c r="B92317">
        <f>TEXT(92316, "[$-0E0000]yyyy-mm-dd")</f>
        <v/>
      </c>
    </row>
    <row r="92318">
      <c r="A92318" s="1" t="n">
        <v>92317</v>
      </c>
      <c r="B92318">
        <f>TEXT(92317, "[$-0E0000]yyyy-mm-dd")</f>
        <v/>
      </c>
    </row>
    <row r="92319">
      <c r="A92319" s="1" t="n">
        <v>92318</v>
      </c>
      <c r="B92319">
        <f>TEXT(92318, "[$-0E0000]yyyy-mm-dd")</f>
        <v/>
      </c>
    </row>
    <row r="92320">
      <c r="A92320" s="1" t="n">
        <v>92319</v>
      </c>
      <c r="B92320">
        <f>TEXT(92319, "[$-0E0000]yyyy-mm-dd")</f>
        <v/>
      </c>
    </row>
    <row r="92321">
      <c r="A92321" s="1" t="n">
        <v>92320</v>
      </c>
      <c r="B92321">
        <f>TEXT(92320, "[$-0E0000]yyyy-mm-dd")</f>
        <v/>
      </c>
    </row>
    <row r="92322">
      <c r="A92322" s="1" t="n">
        <v>92321</v>
      </c>
      <c r="B92322">
        <f>TEXT(92321, "[$-0E0000]yyyy-mm-dd")</f>
        <v/>
      </c>
    </row>
    <row r="92323">
      <c r="A92323" s="1" t="n">
        <v>92322</v>
      </c>
      <c r="B92323">
        <f>TEXT(92322, "[$-0E0000]yyyy-mm-dd")</f>
        <v/>
      </c>
    </row>
    <row r="92324">
      <c r="A92324" s="1" t="n">
        <v>92323</v>
      </c>
      <c r="B92324">
        <f>TEXT(92323, "[$-0E0000]yyyy-mm-dd")</f>
        <v/>
      </c>
    </row>
    <row r="92325">
      <c r="A92325" s="1" t="n">
        <v>92324</v>
      </c>
      <c r="B92325">
        <f>TEXT(92324, "[$-0E0000]yyyy-mm-dd")</f>
        <v/>
      </c>
    </row>
    <row r="92326">
      <c r="A92326" s="1" t="n">
        <v>92325</v>
      </c>
      <c r="B92326">
        <f>TEXT(92325, "[$-0E0000]yyyy-mm-dd")</f>
        <v/>
      </c>
    </row>
    <row r="92327">
      <c r="A92327" s="1" t="n">
        <v>92326</v>
      </c>
      <c r="B92327">
        <f>TEXT(92326, "[$-0E0000]yyyy-mm-dd")</f>
        <v/>
      </c>
    </row>
    <row r="92328">
      <c r="A92328" s="1" t="n">
        <v>92327</v>
      </c>
      <c r="B92328">
        <f>TEXT(92327, "[$-0E0000]yyyy-mm-dd")</f>
        <v/>
      </c>
    </row>
    <row r="92329">
      <c r="A92329" s="1" t="n">
        <v>92328</v>
      </c>
      <c r="B92329">
        <f>TEXT(92328, "[$-0E0000]yyyy-mm-dd")</f>
        <v/>
      </c>
    </row>
    <row r="92330">
      <c r="A92330" s="1" t="n">
        <v>92329</v>
      </c>
      <c r="B92330">
        <f>TEXT(92329, "[$-0E0000]yyyy-mm-dd")</f>
        <v/>
      </c>
    </row>
    <row r="92331">
      <c r="A92331" s="1" t="n">
        <v>92330</v>
      </c>
      <c r="B92331">
        <f>TEXT(92330, "[$-0E0000]yyyy-mm-dd")</f>
        <v/>
      </c>
    </row>
    <row r="92332">
      <c r="A92332" s="1" t="n">
        <v>92331</v>
      </c>
      <c r="B92332">
        <f>TEXT(92331, "[$-0E0000]yyyy-mm-dd")</f>
        <v/>
      </c>
    </row>
    <row r="92333">
      <c r="A92333" s="1" t="n">
        <v>92332</v>
      </c>
      <c r="B92333">
        <f>TEXT(92332, "[$-0E0000]yyyy-mm-dd")</f>
        <v/>
      </c>
    </row>
    <row r="92334">
      <c r="A92334" s="1" t="n">
        <v>92333</v>
      </c>
      <c r="B92334">
        <f>TEXT(92333, "[$-0E0000]yyyy-mm-dd")</f>
        <v/>
      </c>
    </row>
    <row r="92335">
      <c r="A92335" s="1" t="n">
        <v>92334</v>
      </c>
      <c r="B92335">
        <f>TEXT(92334, "[$-0E0000]yyyy-mm-dd")</f>
        <v/>
      </c>
    </row>
    <row r="92336">
      <c r="A92336" s="1" t="n">
        <v>92335</v>
      </c>
      <c r="B92336">
        <f>TEXT(92335, "[$-0E0000]yyyy-mm-dd")</f>
        <v/>
      </c>
    </row>
    <row r="92337">
      <c r="A92337" s="1" t="n">
        <v>92336</v>
      </c>
      <c r="B92337">
        <f>TEXT(92336, "[$-0E0000]yyyy-mm-dd")</f>
        <v/>
      </c>
    </row>
    <row r="92338">
      <c r="A92338" s="1" t="n">
        <v>92337</v>
      </c>
      <c r="B92338">
        <f>TEXT(92337, "[$-0E0000]yyyy-mm-dd")</f>
        <v/>
      </c>
    </row>
    <row r="92339">
      <c r="A92339" s="1" t="n">
        <v>92338</v>
      </c>
      <c r="B92339">
        <f>TEXT(92338, "[$-0E0000]yyyy-mm-dd")</f>
        <v/>
      </c>
    </row>
    <row r="92340">
      <c r="A92340" s="1" t="n">
        <v>92339</v>
      </c>
      <c r="B92340">
        <f>TEXT(92339, "[$-0E0000]yyyy-mm-dd")</f>
        <v/>
      </c>
    </row>
    <row r="92341">
      <c r="A92341" s="1" t="n">
        <v>92340</v>
      </c>
      <c r="B92341">
        <f>TEXT(92340, "[$-0E0000]yyyy-mm-dd")</f>
        <v/>
      </c>
    </row>
    <row r="92342">
      <c r="A92342" s="1" t="n">
        <v>92341</v>
      </c>
      <c r="B92342">
        <f>TEXT(92341, "[$-0E0000]yyyy-mm-dd")</f>
        <v/>
      </c>
    </row>
    <row r="92343">
      <c r="A92343" s="1" t="n">
        <v>92342</v>
      </c>
      <c r="B92343">
        <f>TEXT(92342, "[$-0E0000]yyyy-mm-dd")</f>
        <v/>
      </c>
    </row>
    <row r="92344">
      <c r="A92344" s="1" t="n">
        <v>92343</v>
      </c>
      <c r="B92344">
        <f>TEXT(92343, "[$-0E0000]yyyy-mm-dd")</f>
        <v/>
      </c>
    </row>
    <row r="92345">
      <c r="A92345" s="1" t="n">
        <v>92344</v>
      </c>
      <c r="B92345">
        <f>TEXT(92344, "[$-0E0000]yyyy-mm-dd")</f>
        <v/>
      </c>
    </row>
    <row r="92346">
      <c r="A92346" s="1" t="n">
        <v>92345</v>
      </c>
      <c r="B92346">
        <f>TEXT(92345, "[$-0E0000]yyyy-mm-dd")</f>
        <v/>
      </c>
    </row>
    <row r="92347">
      <c r="A92347" s="1" t="n">
        <v>92346</v>
      </c>
      <c r="B92347">
        <f>TEXT(92346, "[$-0E0000]yyyy-mm-dd")</f>
        <v/>
      </c>
    </row>
    <row r="92348">
      <c r="A92348" s="1" t="n">
        <v>92347</v>
      </c>
      <c r="B92348">
        <f>TEXT(92347, "[$-0E0000]yyyy-mm-dd")</f>
        <v/>
      </c>
    </row>
    <row r="92349">
      <c r="A92349" s="1" t="n">
        <v>92348</v>
      </c>
      <c r="B92349">
        <f>TEXT(92348, "[$-0E0000]yyyy-mm-dd")</f>
        <v/>
      </c>
    </row>
    <row r="92350">
      <c r="A92350" s="1" t="n">
        <v>92349</v>
      </c>
      <c r="B92350">
        <f>TEXT(92349, "[$-0E0000]yyyy-mm-dd")</f>
        <v/>
      </c>
    </row>
    <row r="92351">
      <c r="A92351" s="1" t="n">
        <v>92350</v>
      </c>
      <c r="B92351">
        <f>TEXT(92350, "[$-0E0000]yyyy-mm-dd")</f>
        <v/>
      </c>
    </row>
    <row r="92352">
      <c r="A92352" s="1" t="n">
        <v>92351</v>
      </c>
      <c r="B92352">
        <f>TEXT(92351, "[$-0E0000]yyyy-mm-dd")</f>
        <v/>
      </c>
    </row>
    <row r="92353">
      <c r="A92353" s="1" t="n">
        <v>92352</v>
      </c>
      <c r="B92353">
        <f>TEXT(92352, "[$-0E0000]yyyy-mm-dd")</f>
        <v/>
      </c>
    </row>
    <row r="92354">
      <c r="A92354" s="1" t="n">
        <v>92353</v>
      </c>
      <c r="B92354">
        <f>TEXT(92353, "[$-0E0000]yyyy-mm-dd")</f>
        <v/>
      </c>
    </row>
    <row r="92355">
      <c r="A92355" s="1" t="n">
        <v>92354</v>
      </c>
      <c r="B92355">
        <f>TEXT(92354, "[$-0E0000]yyyy-mm-dd")</f>
        <v/>
      </c>
    </row>
    <row r="92356">
      <c r="A92356" s="1" t="n">
        <v>92355</v>
      </c>
      <c r="B92356">
        <f>TEXT(92355, "[$-0E0000]yyyy-mm-dd")</f>
        <v/>
      </c>
    </row>
    <row r="92357">
      <c r="A92357" s="1" t="n">
        <v>92356</v>
      </c>
      <c r="B92357">
        <f>TEXT(92356, "[$-0E0000]yyyy-mm-dd")</f>
        <v/>
      </c>
    </row>
    <row r="92358">
      <c r="A92358" s="1" t="n">
        <v>92357</v>
      </c>
      <c r="B92358">
        <f>TEXT(92357, "[$-0E0000]yyyy-mm-dd")</f>
        <v/>
      </c>
    </row>
    <row r="92359">
      <c r="A92359" s="1" t="n">
        <v>92358</v>
      </c>
      <c r="B92359">
        <f>TEXT(92358, "[$-0E0000]yyyy-mm-dd")</f>
        <v/>
      </c>
    </row>
    <row r="92360">
      <c r="A92360" s="1" t="n">
        <v>92359</v>
      </c>
      <c r="B92360">
        <f>TEXT(92359, "[$-0E0000]yyyy-mm-dd")</f>
        <v/>
      </c>
    </row>
    <row r="92361">
      <c r="A92361" s="1" t="n">
        <v>92360</v>
      </c>
      <c r="B92361">
        <f>TEXT(92360, "[$-0E0000]yyyy-mm-dd")</f>
        <v/>
      </c>
    </row>
    <row r="92362">
      <c r="A92362" s="1" t="n">
        <v>92361</v>
      </c>
      <c r="B92362">
        <f>TEXT(92361, "[$-0E0000]yyyy-mm-dd")</f>
        <v/>
      </c>
    </row>
    <row r="92363">
      <c r="A92363" s="1" t="n">
        <v>92362</v>
      </c>
      <c r="B92363">
        <f>TEXT(92362, "[$-0E0000]yyyy-mm-dd")</f>
        <v/>
      </c>
    </row>
    <row r="92364">
      <c r="A92364" s="1" t="n">
        <v>92363</v>
      </c>
      <c r="B92364">
        <f>TEXT(92363, "[$-0E0000]yyyy-mm-dd")</f>
        <v/>
      </c>
    </row>
    <row r="92365">
      <c r="A92365" s="1" t="n">
        <v>92364</v>
      </c>
      <c r="B92365">
        <f>TEXT(92364, "[$-0E0000]yyyy-mm-dd")</f>
        <v/>
      </c>
    </row>
    <row r="92366">
      <c r="A92366" s="1" t="n">
        <v>92365</v>
      </c>
      <c r="B92366">
        <f>TEXT(92365, "[$-0E0000]yyyy-mm-dd")</f>
        <v/>
      </c>
    </row>
    <row r="92367">
      <c r="A92367" s="1" t="n">
        <v>92366</v>
      </c>
      <c r="B92367">
        <f>TEXT(92366, "[$-0E0000]yyyy-mm-dd")</f>
        <v/>
      </c>
    </row>
    <row r="92368">
      <c r="A92368" s="1" t="n">
        <v>92367</v>
      </c>
      <c r="B92368">
        <f>TEXT(92367, "[$-0E0000]yyyy-mm-dd")</f>
        <v/>
      </c>
    </row>
    <row r="92369">
      <c r="A92369" s="1" t="n">
        <v>92368</v>
      </c>
      <c r="B92369">
        <f>TEXT(92368, "[$-0E0000]yyyy-mm-dd")</f>
        <v/>
      </c>
    </row>
    <row r="92370">
      <c r="A92370" s="1" t="n">
        <v>92369</v>
      </c>
      <c r="B92370">
        <f>TEXT(92369, "[$-0E0000]yyyy-mm-dd")</f>
        <v/>
      </c>
    </row>
    <row r="92371">
      <c r="A92371" s="1" t="n">
        <v>92370</v>
      </c>
      <c r="B92371">
        <f>TEXT(92370, "[$-0E0000]yyyy-mm-dd")</f>
        <v/>
      </c>
    </row>
    <row r="92372">
      <c r="A92372" s="1" t="n">
        <v>92371</v>
      </c>
      <c r="B92372">
        <f>TEXT(92371, "[$-0E0000]yyyy-mm-dd")</f>
        <v/>
      </c>
    </row>
    <row r="92373">
      <c r="A92373" s="1" t="n">
        <v>92372</v>
      </c>
      <c r="B92373">
        <f>TEXT(92372, "[$-0E0000]yyyy-mm-dd")</f>
        <v/>
      </c>
    </row>
    <row r="92374">
      <c r="A92374" s="1" t="n">
        <v>92373</v>
      </c>
      <c r="B92374">
        <f>TEXT(92373, "[$-0E0000]yyyy-mm-dd")</f>
        <v/>
      </c>
    </row>
    <row r="92375">
      <c r="A92375" s="1" t="n">
        <v>92374</v>
      </c>
      <c r="B92375">
        <f>TEXT(92374, "[$-0E0000]yyyy-mm-dd")</f>
        <v/>
      </c>
    </row>
    <row r="92376">
      <c r="A92376" s="1" t="n">
        <v>92375</v>
      </c>
      <c r="B92376">
        <f>TEXT(92375, "[$-0E0000]yyyy-mm-dd")</f>
        <v/>
      </c>
    </row>
    <row r="92377">
      <c r="A92377" s="1" t="n">
        <v>92376</v>
      </c>
      <c r="B92377">
        <f>TEXT(92376, "[$-0E0000]yyyy-mm-dd")</f>
        <v/>
      </c>
    </row>
    <row r="92378">
      <c r="A92378" s="1" t="n">
        <v>92377</v>
      </c>
      <c r="B92378">
        <f>TEXT(92377, "[$-0E0000]yyyy-mm-dd")</f>
        <v/>
      </c>
    </row>
    <row r="92379">
      <c r="A92379" s="1" t="n">
        <v>92378</v>
      </c>
      <c r="B92379">
        <f>TEXT(92378, "[$-0E0000]yyyy-mm-dd")</f>
        <v/>
      </c>
    </row>
    <row r="92380">
      <c r="A92380" s="1" t="n">
        <v>92379</v>
      </c>
      <c r="B92380">
        <f>TEXT(92379, "[$-0E0000]yyyy-mm-dd")</f>
        <v/>
      </c>
    </row>
    <row r="92381">
      <c r="A92381" s="1" t="n">
        <v>92380</v>
      </c>
      <c r="B92381">
        <f>TEXT(92380, "[$-0E0000]yyyy-mm-dd")</f>
        <v/>
      </c>
    </row>
    <row r="92382">
      <c r="A92382" s="1" t="n">
        <v>92381</v>
      </c>
      <c r="B92382">
        <f>TEXT(92381, "[$-0E0000]yyyy-mm-dd")</f>
        <v/>
      </c>
    </row>
    <row r="92383">
      <c r="A92383" s="1" t="n">
        <v>92382</v>
      </c>
      <c r="B92383">
        <f>TEXT(92382, "[$-0E0000]yyyy-mm-dd")</f>
        <v/>
      </c>
    </row>
    <row r="92384">
      <c r="A92384" s="1" t="n">
        <v>92383</v>
      </c>
      <c r="B92384">
        <f>TEXT(92383, "[$-0E0000]yyyy-mm-dd")</f>
        <v/>
      </c>
    </row>
    <row r="92385">
      <c r="A92385" s="1" t="n">
        <v>92384</v>
      </c>
      <c r="B92385">
        <f>TEXT(92384, "[$-0E0000]yyyy-mm-dd")</f>
        <v/>
      </c>
    </row>
    <row r="92386">
      <c r="A92386" s="1" t="n">
        <v>92385</v>
      </c>
      <c r="B92386">
        <f>TEXT(92385, "[$-0E0000]yyyy-mm-dd")</f>
        <v/>
      </c>
    </row>
    <row r="92387">
      <c r="A92387" s="1" t="n">
        <v>92386</v>
      </c>
      <c r="B92387">
        <f>TEXT(92386, "[$-0E0000]yyyy-mm-dd")</f>
        <v/>
      </c>
    </row>
    <row r="92388">
      <c r="A92388" s="1" t="n">
        <v>92387</v>
      </c>
      <c r="B92388">
        <f>TEXT(92387, "[$-0E0000]yyyy-mm-dd")</f>
        <v/>
      </c>
    </row>
    <row r="92389">
      <c r="A92389" s="1" t="n">
        <v>92388</v>
      </c>
      <c r="B92389">
        <f>TEXT(92388, "[$-0E0000]yyyy-mm-dd")</f>
        <v/>
      </c>
    </row>
    <row r="92390">
      <c r="A92390" s="1" t="n">
        <v>92389</v>
      </c>
      <c r="B92390">
        <f>TEXT(92389, "[$-0E0000]yyyy-mm-dd")</f>
        <v/>
      </c>
    </row>
    <row r="92391">
      <c r="A92391" s="1" t="n">
        <v>92390</v>
      </c>
      <c r="B92391">
        <f>TEXT(92390, "[$-0E0000]yyyy-mm-dd")</f>
        <v/>
      </c>
    </row>
    <row r="92392">
      <c r="A92392" s="1" t="n">
        <v>92391</v>
      </c>
      <c r="B92392">
        <f>TEXT(92391, "[$-0E0000]yyyy-mm-dd")</f>
        <v/>
      </c>
    </row>
    <row r="92393">
      <c r="A92393" s="1" t="n">
        <v>92392</v>
      </c>
      <c r="B92393">
        <f>TEXT(92392, "[$-0E0000]yyyy-mm-dd")</f>
        <v/>
      </c>
    </row>
    <row r="92394">
      <c r="A92394" s="1" t="n">
        <v>92393</v>
      </c>
      <c r="B92394">
        <f>TEXT(92393, "[$-0E0000]yyyy-mm-dd")</f>
        <v/>
      </c>
    </row>
    <row r="92395">
      <c r="A92395" s="1" t="n">
        <v>92394</v>
      </c>
      <c r="B92395">
        <f>TEXT(92394, "[$-0E0000]yyyy-mm-dd")</f>
        <v/>
      </c>
    </row>
    <row r="92396">
      <c r="A92396" s="1" t="n">
        <v>92395</v>
      </c>
      <c r="B92396">
        <f>TEXT(92395, "[$-0E0000]yyyy-mm-dd")</f>
        <v/>
      </c>
    </row>
    <row r="92397">
      <c r="A92397" s="1" t="n">
        <v>92396</v>
      </c>
      <c r="B92397">
        <f>TEXT(92396, "[$-0E0000]yyyy-mm-dd")</f>
        <v/>
      </c>
    </row>
    <row r="92398">
      <c r="A92398" s="1" t="n">
        <v>92397</v>
      </c>
      <c r="B92398">
        <f>TEXT(92397, "[$-0E0000]yyyy-mm-dd")</f>
        <v/>
      </c>
    </row>
    <row r="92399">
      <c r="A92399" s="1" t="n">
        <v>92398</v>
      </c>
      <c r="B92399">
        <f>TEXT(92398, "[$-0E0000]yyyy-mm-dd")</f>
        <v/>
      </c>
    </row>
    <row r="92400">
      <c r="A92400" s="1" t="n">
        <v>92399</v>
      </c>
      <c r="B92400">
        <f>TEXT(92399, "[$-0E0000]yyyy-mm-dd")</f>
        <v/>
      </c>
    </row>
    <row r="92401">
      <c r="A92401" s="1" t="n">
        <v>92400</v>
      </c>
      <c r="B92401">
        <f>TEXT(92400, "[$-0E0000]yyyy-mm-dd")</f>
        <v/>
      </c>
    </row>
    <row r="92402">
      <c r="A92402" s="1" t="n">
        <v>92401</v>
      </c>
      <c r="B92402">
        <f>TEXT(92401, "[$-0E0000]yyyy-mm-dd")</f>
        <v/>
      </c>
    </row>
    <row r="92403">
      <c r="A92403" s="1" t="n">
        <v>92402</v>
      </c>
      <c r="B92403">
        <f>TEXT(92402, "[$-0E0000]yyyy-mm-dd")</f>
        <v/>
      </c>
    </row>
    <row r="92404">
      <c r="A92404" s="1" t="n">
        <v>92403</v>
      </c>
      <c r="B92404">
        <f>TEXT(92403, "[$-0E0000]yyyy-mm-dd")</f>
        <v/>
      </c>
    </row>
    <row r="92405">
      <c r="A92405" s="1" t="n">
        <v>92404</v>
      </c>
      <c r="B92405">
        <f>TEXT(92404, "[$-0E0000]yyyy-mm-dd")</f>
        <v/>
      </c>
    </row>
    <row r="92406">
      <c r="A92406" s="1" t="n">
        <v>92405</v>
      </c>
      <c r="B92406">
        <f>TEXT(92405, "[$-0E0000]yyyy-mm-dd")</f>
        <v/>
      </c>
    </row>
    <row r="92407">
      <c r="A92407" s="1" t="n">
        <v>92406</v>
      </c>
      <c r="B92407">
        <f>TEXT(92406, "[$-0E0000]yyyy-mm-dd")</f>
        <v/>
      </c>
    </row>
    <row r="92408">
      <c r="A92408" s="1" t="n">
        <v>92407</v>
      </c>
      <c r="B92408">
        <f>TEXT(92407, "[$-0E0000]yyyy-mm-dd")</f>
        <v/>
      </c>
    </row>
    <row r="92409">
      <c r="A92409" s="1" t="n">
        <v>92408</v>
      </c>
      <c r="B92409">
        <f>TEXT(92408, "[$-0E0000]yyyy-mm-dd")</f>
        <v/>
      </c>
    </row>
    <row r="92410">
      <c r="A92410" s="1" t="n">
        <v>92409</v>
      </c>
      <c r="B92410">
        <f>TEXT(92409, "[$-0E0000]yyyy-mm-dd")</f>
        <v/>
      </c>
    </row>
    <row r="92411">
      <c r="A92411" s="1" t="n">
        <v>92410</v>
      </c>
      <c r="B92411">
        <f>TEXT(92410, "[$-0E0000]yyyy-mm-dd")</f>
        <v/>
      </c>
    </row>
    <row r="92412">
      <c r="A92412" s="1" t="n">
        <v>92411</v>
      </c>
      <c r="B92412">
        <f>TEXT(92411, "[$-0E0000]yyyy-mm-dd")</f>
        <v/>
      </c>
    </row>
    <row r="92413">
      <c r="A92413" s="1" t="n">
        <v>92412</v>
      </c>
      <c r="B92413">
        <f>TEXT(92412, "[$-0E0000]yyyy-mm-dd")</f>
        <v/>
      </c>
    </row>
    <row r="92414">
      <c r="A92414" s="1" t="n">
        <v>92413</v>
      </c>
      <c r="B92414">
        <f>TEXT(92413, "[$-0E0000]yyyy-mm-dd")</f>
        <v/>
      </c>
    </row>
    <row r="92415">
      <c r="A92415" s="1" t="n">
        <v>92414</v>
      </c>
      <c r="B92415">
        <f>TEXT(92414, "[$-0E0000]yyyy-mm-dd")</f>
        <v/>
      </c>
    </row>
    <row r="92416">
      <c r="A92416" s="1" t="n">
        <v>92415</v>
      </c>
      <c r="B92416">
        <f>TEXT(92415, "[$-0E0000]yyyy-mm-dd")</f>
        <v/>
      </c>
    </row>
    <row r="92417">
      <c r="A92417" s="1" t="n">
        <v>92416</v>
      </c>
      <c r="B92417">
        <f>TEXT(92416, "[$-0E0000]yyyy-mm-dd")</f>
        <v/>
      </c>
    </row>
    <row r="92418">
      <c r="A92418" s="1" t="n">
        <v>92417</v>
      </c>
      <c r="B92418">
        <f>TEXT(92417, "[$-0E0000]yyyy-mm-dd")</f>
        <v/>
      </c>
    </row>
    <row r="92419">
      <c r="A92419" s="1" t="n">
        <v>92418</v>
      </c>
      <c r="B92419">
        <f>TEXT(92418, "[$-0E0000]yyyy-mm-dd")</f>
        <v/>
      </c>
    </row>
    <row r="92420">
      <c r="A92420" s="1" t="n">
        <v>92419</v>
      </c>
      <c r="B92420">
        <f>TEXT(92419, "[$-0E0000]yyyy-mm-dd")</f>
        <v/>
      </c>
    </row>
    <row r="92421">
      <c r="A92421" s="1" t="n">
        <v>92420</v>
      </c>
      <c r="B92421">
        <f>TEXT(92420, "[$-0E0000]yyyy-mm-dd")</f>
        <v/>
      </c>
    </row>
    <row r="92422">
      <c r="A92422" s="1" t="n">
        <v>92421</v>
      </c>
      <c r="B92422">
        <f>TEXT(92421, "[$-0E0000]yyyy-mm-dd")</f>
        <v/>
      </c>
    </row>
    <row r="92423">
      <c r="A92423" s="1" t="n">
        <v>92422</v>
      </c>
      <c r="B92423">
        <f>TEXT(92422, "[$-0E0000]yyyy-mm-dd")</f>
        <v/>
      </c>
    </row>
    <row r="92424">
      <c r="A92424" s="1" t="n">
        <v>92423</v>
      </c>
      <c r="B92424">
        <f>TEXT(92423, "[$-0E0000]yyyy-mm-dd")</f>
        <v/>
      </c>
    </row>
    <row r="92425">
      <c r="A92425" s="1" t="n">
        <v>92424</v>
      </c>
      <c r="B92425">
        <f>TEXT(92424, "[$-0E0000]yyyy-mm-dd")</f>
        <v/>
      </c>
    </row>
    <row r="92426">
      <c r="A92426" s="1" t="n">
        <v>92425</v>
      </c>
      <c r="B92426">
        <f>TEXT(92425, "[$-0E0000]yyyy-mm-dd")</f>
        <v/>
      </c>
    </row>
    <row r="92427">
      <c r="A92427" s="1" t="n">
        <v>92426</v>
      </c>
      <c r="B92427">
        <f>TEXT(92426, "[$-0E0000]yyyy-mm-dd")</f>
        <v/>
      </c>
    </row>
    <row r="92428">
      <c r="A92428" s="1" t="n">
        <v>92427</v>
      </c>
      <c r="B92428">
        <f>TEXT(92427, "[$-0E0000]yyyy-mm-dd")</f>
        <v/>
      </c>
    </row>
    <row r="92429">
      <c r="A92429" s="1" t="n">
        <v>92428</v>
      </c>
      <c r="B92429">
        <f>TEXT(92428, "[$-0E0000]yyyy-mm-dd")</f>
        <v/>
      </c>
    </row>
    <row r="92430">
      <c r="A92430" s="1" t="n">
        <v>92429</v>
      </c>
      <c r="B92430">
        <f>TEXT(92429, "[$-0E0000]yyyy-mm-dd")</f>
        <v/>
      </c>
    </row>
    <row r="92431">
      <c r="A92431" s="1" t="n">
        <v>92430</v>
      </c>
      <c r="B92431">
        <f>TEXT(92430, "[$-0E0000]yyyy-mm-dd")</f>
        <v/>
      </c>
    </row>
    <row r="92432">
      <c r="A92432" s="1" t="n">
        <v>92431</v>
      </c>
      <c r="B92432">
        <f>TEXT(92431, "[$-0E0000]yyyy-mm-dd")</f>
        <v/>
      </c>
    </row>
    <row r="92433">
      <c r="A92433" s="1" t="n">
        <v>92432</v>
      </c>
      <c r="B92433">
        <f>TEXT(92432, "[$-0E0000]yyyy-mm-dd")</f>
        <v/>
      </c>
    </row>
    <row r="92434">
      <c r="A92434" s="1" t="n">
        <v>92433</v>
      </c>
      <c r="B92434">
        <f>TEXT(92433, "[$-0E0000]yyyy-mm-dd")</f>
        <v/>
      </c>
    </row>
    <row r="92435">
      <c r="A92435" s="1" t="n">
        <v>92434</v>
      </c>
      <c r="B92435">
        <f>TEXT(92434, "[$-0E0000]yyyy-mm-dd")</f>
        <v/>
      </c>
    </row>
    <row r="92436">
      <c r="A92436" s="1" t="n">
        <v>92435</v>
      </c>
      <c r="B92436">
        <f>TEXT(92435, "[$-0E0000]yyyy-mm-dd")</f>
        <v/>
      </c>
    </row>
    <row r="92437">
      <c r="A92437" s="1" t="n">
        <v>92436</v>
      </c>
      <c r="B92437">
        <f>TEXT(92436, "[$-0E0000]yyyy-mm-dd")</f>
        <v/>
      </c>
    </row>
    <row r="92438">
      <c r="A92438" s="1" t="n">
        <v>92437</v>
      </c>
      <c r="B92438">
        <f>TEXT(92437, "[$-0E0000]yyyy-mm-dd")</f>
        <v/>
      </c>
    </row>
    <row r="92439">
      <c r="A92439" s="1" t="n">
        <v>92438</v>
      </c>
      <c r="B92439">
        <f>TEXT(92438, "[$-0E0000]yyyy-mm-dd")</f>
        <v/>
      </c>
    </row>
    <row r="92440">
      <c r="A92440" s="1" t="n">
        <v>92439</v>
      </c>
      <c r="B92440">
        <f>TEXT(92439, "[$-0E0000]yyyy-mm-dd")</f>
        <v/>
      </c>
    </row>
    <row r="92441">
      <c r="A92441" s="1" t="n">
        <v>92440</v>
      </c>
      <c r="B92441">
        <f>TEXT(92440, "[$-0E0000]yyyy-mm-dd")</f>
        <v/>
      </c>
    </row>
    <row r="92442">
      <c r="A92442" s="1" t="n">
        <v>92441</v>
      </c>
      <c r="B92442">
        <f>TEXT(92441, "[$-0E0000]yyyy-mm-dd")</f>
        <v/>
      </c>
    </row>
    <row r="92443">
      <c r="A92443" s="1" t="n">
        <v>92442</v>
      </c>
      <c r="B92443">
        <f>TEXT(92442, "[$-0E0000]yyyy-mm-dd")</f>
        <v/>
      </c>
    </row>
    <row r="92444">
      <c r="A92444" s="1" t="n">
        <v>92443</v>
      </c>
      <c r="B92444">
        <f>TEXT(92443, "[$-0E0000]yyyy-mm-dd")</f>
        <v/>
      </c>
    </row>
    <row r="92445">
      <c r="A92445" s="1" t="n">
        <v>92444</v>
      </c>
      <c r="B92445">
        <f>TEXT(92444, "[$-0E0000]yyyy-mm-dd")</f>
        <v/>
      </c>
    </row>
    <row r="92446">
      <c r="A92446" s="1" t="n">
        <v>92445</v>
      </c>
      <c r="B92446">
        <f>TEXT(92445, "[$-0E0000]yyyy-mm-dd")</f>
        <v/>
      </c>
    </row>
    <row r="92447">
      <c r="A92447" s="1" t="n">
        <v>92446</v>
      </c>
      <c r="B92447">
        <f>TEXT(92446, "[$-0E0000]yyyy-mm-dd")</f>
        <v/>
      </c>
    </row>
    <row r="92448">
      <c r="A92448" s="1" t="n">
        <v>92447</v>
      </c>
      <c r="B92448">
        <f>TEXT(92447, "[$-0E0000]yyyy-mm-dd")</f>
        <v/>
      </c>
    </row>
    <row r="92449">
      <c r="A92449" s="1" t="n">
        <v>92448</v>
      </c>
      <c r="B92449">
        <f>TEXT(92448, "[$-0E0000]yyyy-mm-dd")</f>
        <v/>
      </c>
    </row>
    <row r="92450">
      <c r="A92450" s="1" t="n">
        <v>92449</v>
      </c>
      <c r="B92450">
        <f>TEXT(92449, "[$-0E0000]yyyy-mm-dd")</f>
        <v/>
      </c>
    </row>
    <row r="92451">
      <c r="A92451" s="1" t="n">
        <v>92450</v>
      </c>
      <c r="B92451">
        <f>TEXT(92450, "[$-0E0000]yyyy-mm-dd")</f>
        <v/>
      </c>
    </row>
    <row r="92452">
      <c r="A92452" s="1" t="n">
        <v>92451</v>
      </c>
      <c r="B92452">
        <f>TEXT(92451, "[$-0E0000]yyyy-mm-dd")</f>
        <v/>
      </c>
    </row>
    <row r="92453">
      <c r="A92453" s="1" t="n">
        <v>92452</v>
      </c>
      <c r="B92453">
        <f>TEXT(92452, "[$-0E0000]yyyy-mm-dd")</f>
        <v/>
      </c>
    </row>
    <row r="92454">
      <c r="A92454" s="1" t="n">
        <v>92453</v>
      </c>
      <c r="B92454">
        <f>TEXT(92453, "[$-0E0000]yyyy-mm-dd")</f>
        <v/>
      </c>
    </row>
    <row r="92455">
      <c r="A92455" s="1" t="n">
        <v>92454</v>
      </c>
      <c r="B92455">
        <f>TEXT(92454, "[$-0E0000]yyyy-mm-dd")</f>
        <v/>
      </c>
    </row>
    <row r="92456">
      <c r="A92456" s="1" t="n">
        <v>92455</v>
      </c>
      <c r="B92456">
        <f>TEXT(92455, "[$-0E0000]yyyy-mm-dd")</f>
        <v/>
      </c>
    </row>
    <row r="92457">
      <c r="A92457" s="1" t="n">
        <v>92456</v>
      </c>
      <c r="B92457">
        <f>TEXT(92456, "[$-0E0000]yyyy-mm-dd")</f>
        <v/>
      </c>
    </row>
    <row r="92458">
      <c r="A92458" s="1" t="n">
        <v>92457</v>
      </c>
      <c r="B92458">
        <f>TEXT(92457, "[$-0E0000]yyyy-mm-dd")</f>
        <v/>
      </c>
    </row>
    <row r="92459">
      <c r="A92459" s="1" t="n">
        <v>92458</v>
      </c>
      <c r="B92459">
        <f>TEXT(92458, "[$-0E0000]yyyy-mm-dd")</f>
        <v/>
      </c>
    </row>
    <row r="92460">
      <c r="A92460" s="1" t="n">
        <v>92459</v>
      </c>
      <c r="B92460">
        <f>TEXT(92459, "[$-0E0000]yyyy-mm-dd")</f>
        <v/>
      </c>
    </row>
    <row r="92461">
      <c r="A92461" s="1" t="n">
        <v>92460</v>
      </c>
      <c r="B92461">
        <f>TEXT(92460, "[$-0E0000]yyyy-mm-dd")</f>
        <v/>
      </c>
    </row>
    <row r="92462">
      <c r="A92462" s="1" t="n">
        <v>92461</v>
      </c>
      <c r="B92462">
        <f>TEXT(92461, "[$-0E0000]yyyy-mm-dd")</f>
        <v/>
      </c>
    </row>
    <row r="92463">
      <c r="A92463" s="1" t="n">
        <v>92462</v>
      </c>
      <c r="B92463">
        <f>TEXT(92462, "[$-0E0000]yyyy-mm-dd")</f>
        <v/>
      </c>
    </row>
    <row r="92464">
      <c r="A92464" s="1" t="n">
        <v>92463</v>
      </c>
      <c r="B92464">
        <f>TEXT(92463, "[$-0E0000]yyyy-mm-dd")</f>
        <v/>
      </c>
    </row>
    <row r="92465">
      <c r="A92465" s="1" t="n">
        <v>92464</v>
      </c>
      <c r="B92465">
        <f>TEXT(92464, "[$-0E0000]yyyy-mm-dd")</f>
        <v/>
      </c>
    </row>
    <row r="92466">
      <c r="A92466" s="1" t="n">
        <v>92465</v>
      </c>
      <c r="B92466">
        <f>TEXT(92465, "[$-0E0000]yyyy-mm-dd")</f>
        <v/>
      </c>
    </row>
    <row r="92467">
      <c r="A92467" s="1" t="n">
        <v>92466</v>
      </c>
      <c r="B92467">
        <f>TEXT(92466, "[$-0E0000]yyyy-mm-dd")</f>
        <v/>
      </c>
    </row>
    <row r="92468">
      <c r="A92468" s="1" t="n">
        <v>92467</v>
      </c>
      <c r="B92468">
        <f>TEXT(92467, "[$-0E0000]yyyy-mm-dd")</f>
        <v/>
      </c>
    </row>
    <row r="92469">
      <c r="A92469" s="1" t="n">
        <v>92468</v>
      </c>
      <c r="B92469">
        <f>TEXT(92468, "[$-0E0000]yyyy-mm-dd")</f>
        <v/>
      </c>
    </row>
    <row r="92470">
      <c r="A92470" s="1" t="n">
        <v>92469</v>
      </c>
      <c r="B92470">
        <f>TEXT(92469, "[$-0E0000]yyyy-mm-dd")</f>
        <v/>
      </c>
    </row>
    <row r="92471">
      <c r="A92471" s="1" t="n">
        <v>92470</v>
      </c>
      <c r="B92471">
        <f>TEXT(92470, "[$-0E0000]yyyy-mm-dd")</f>
        <v/>
      </c>
    </row>
    <row r="92472">
      <c r="A92472" s="1" t="n">
        <v>92471</v>
      </c>
      <c r="B92472">
        <f>TEXT(92471, "[$-0E0000]yyyy-mm-dd")</f>
        <v/>
      </c>
    </row>
    <row r="92473">
      <c r="A92473" s="1" t="n">
        <v>92472</v>
      </c>
      <c r="B92473">
        <f>TEXT(92472, "[$-0E0000]yyyy-mm-dd")</f>
        <v/>
      </c>
    </row>
    <row r="92474">
      <c r="A92474" s="1" t="n">
        <v>92473</v>
      </c>
      <c r="B92474">
        <f>TEXT(92473, "[$-0E0000]yyyy-mm-dd")</f>
        <v/>
      </c>
    </row>
    <row r="92475">
      <c r="A92475" s="1" t="n">
        <v>92474</v>
      </c>
      <c r="B92475">
        <f>TEXT(92474, "[$-0E0000]yyyy-mm-dd")</f>
        <v/>
      </c>
    </row>
    <row r="92476">
      <c r="A92476" s="1" t="n">
        <v>92475</v>
      </c>
      <c r="B92476">
        <f>TEXT(92475, "[$-0E0000]yyyy-mm-dd")</f>
        <v/>
      </c>
    </row>
    <row r="92477">
      <c r="A92477" s="1" t="n">
        <v>92476</v>
      </c>
      <c r="B92477">
        <f>TEXT(92476, "[$-0E0000]yyyy-mm-dd")</f>
        <v/>
      </c>
    </row>
    <row r="92478">
      <c r="A92478" s="1" t="n">
        <v>92477</v>
      </c>
      <c r="B92478">
        <f>TEXT(92477, "[$-0E0000]yyyy-mm-dd")</f>
        <v/>
      </c>
    </row>
    <row r="92479">
      <c r="A92479" s="1" t="n">
        <v>92478</v>
      </c>
      <c r="B92479">
        <f>TEXT(92478, "[$-0E0000]yyyy-mm-dd")</f>
        <v/>
      </c>
    </row>
    <row r="92480">
      <c r="A92480" s="1" t="n">
        <v>92479</v>
      </c>
      <c r="B92480">
        <f>TEXT(92479, "[$-0E0000]yyyy-mm-dd")</f>
        <v/>
      </c>
    </row>
    <row r="92481">
      <c r="A92481" s="1" t="n">
        <v>92480</v>
      </c>
      <c r="B92481">
        <f>TEXT(92480, "[$-0E0000]yyyy-mm-dd")</f>
        <v/>
      </c>
    </row>
    <row r="92482">
      <c r="A92482" s="1" t="n">
        <v>92481</v>
      </c>
      <c r="B92482">
        <f>TEXT(92481, "[$-0E0000]yyyy-mm-dd")</f>
        <v/>
      </c>
    </row>
    <row r="92483">
      <c r="A92483" s="1" t="n">
        <v>92482</v>
      </c>
      <c r="B92483">
        <f>TEXT(92482, "[$-0E0000]yyyy-mm-dd")</f>
        <v/>
      </c>
    </row>
    <row r="92484">
      <c r="A92484" s="1" t="n">
        <v>92483</v>
      </c>
      <c r="B92484">
        <f>TEXT(92483, "[$-0E0000]yyyy-mm-dd")</f>
        <v/>
      </c>
    </row>
    <row r="92485">
      <c r="A92485" s="1" t="n">
        <v>92484</v>
      </c>
      <c r="B92485">
        <f>TEXT(92484, "[$-0E0000]yyyy-mm-dd")</f>
        <v/>
      </c>
    </row>
    <row r="92486">
      <c r="A92486" s="1" t="n">
        <v>92485</v>
      </c>
      <c r="B92486">
        <f>TEXT(92485, "[$-0E0000]yyyy-mm-dd")</f>
        <v/>
      </c>
    </row>
    <row r="92487">
      <c r="A92487" s="1" t="n">
        <v>92486</v>
      </c>
      <c r="B92487">
        <f>TEXT(92486, "[$-0E0000]yyyy-mm-dd")</f>
        <v/>
      </c>
    </row>
    <row r="92488">
      <c r="A92488" s="1" t="n">
        <v>92487</v>
      </c>
      <c r="B92488">
        <f>TEXT(92487, "[$-0E0000]yyyy-mm-dd")</f>
        <v/>
      </c>
    </row>
    <row r="92489">
      <c r="A92489" s="1" t="n">
        <v>92488</v>
      </c>
      <c r="B92489">
        <f>TEXT(92488, "[$-0E0000]yyyy-mm-dd")</f>
        <v/>
      </c>
    </row>
    <row r="92490">
      <c r="A92490" s="1" t="n">
        <v>92489</v>
      </c>
      <c r="B92490">
        <f>TEXT(92489, "[$-0E0000]yyyy-mm-dd")</f>
        <v/>
      </c>
    </row>
    <row r="92491">
      <c r="A92491" s="1" t="n">
        <v>92490</v>
      </c>
      <c r="B92491">
        <f>TEXT(92490, "[$-0E0000]yyyy-mm-dd")</f>
        <v/>
      </c>
    </row>
    <row r="92492">
      <c r="A92492" s="1" t="n">
        <v>92491</v>
      </c>
      <c r="B92492">
        <f>TEXT(92491, "[$-0E0000]yyyy-mm-dd")</f>
        <v/>
      </c>
    </row>
    <row r="92493">
      <c r="A92493" s="1" t="n">
        <v>92492</v>
      </c>
      <c r="B92493">
        <f>TEXT(92492, "[$-0E0000]yyyy-mm-dd")</f>
        <v/>
      </c>
    </row>
    <row r="92494">
      <c r="A92494" s="1" t="n">
        <v>92493</v>
      </c>
      <c r="B92494">
        <f>TEXT(92493, "[$-0E0000]yyyy-mm-dd")</f>
        <v/>
      </c>
    </row>
    <row r="92495">
      <c r="A92495" s="1" t="n">
        <v>92494</v>
      </c>
      <c r="B92495">
        <f>TEXT(92494, "[$-0E0000]yyyy-mm-dd")</f>
        <v/>
      </c>
    </row>
    <row r="92496">
      <c r="A92496" s="1" t="n">
        <v>92495</v>
      </c>
      <c r="B92496">
        <f>TEXT(92495, "[$-0E0000]yyyy-mm-dd")</f>
        <v/>
      </c>
    </row>
    <row r="92497">
      <c r="A92497" s="1" t="n">
        <v>92496</v>
      </c>
      <c r="B92497">
        <f>TEXT(92496, "[$-0E0000]yyyy-mm-dd")</f>
        <v/>
      </c>
    </row>
    <row r="92498">
      <c r="A92498" s="1" t="n">
        <v>92497</v>
      </c>
      <c r="B92498">
        <f>TEXT(92497, "[$-0E0000]yyyy-mm-dd")</f>
        <v/>
      </c>
    </row>
    <row r="92499">
      <c r="A92499" s="1" t="n">
        <v>92498</v>
      </c>
      <c r="B92499">
        <f>TEXT(92498, "[$-0E0000]yyyy-mm-dd")</f>
        <v/>
      </c>
    </row>
    <row r="92500">
      <c r="A92500" s="1" t="n">
        <v>92499</v>
      </c>
      <c r="B92500">
        <f>TEXT(92499, "[$-0E0000]yyyy-mm-dd")</f>
        <v/>
      </c>
    </row>
    <row r="92501">
      <c r="A92501" s="1" t="n">
        <v>92500</v>
      </c>
      <c r="B92501">
        <f>TEXT(92500, "[$-0E0000]yyyy-mm-dd")</f>
        <v/>
      </c>
    </row>
    <row r="92502">
      <c r="A92502" s="1" t="n">
        <v>92501</v>
      </c>
      <c r="B92502">
        <f>TEXT(92501, "[$-0E0000]yyyy-mm-dd")</f>
        <v/>
      </c>
    </row>
    <row r="92503">
      <c r="A92503" s="1" t="n">
        <v>92502</v>
      </c>
      <c r="B92503">
        <f>TEXT(92502, "[$-0E0000]yyyy-mm-dd")</f>
        <v/>
      </c>
    </row>
    <row r="92504">
      <c r="A92504" s="1" t="n">
        <v>92503</v>
      </c>
      <c r="B92504">
        <f>TEXT(92503, "[$-0E0000]yyyy-mm-dd")</f>
        <v/>
      </c>
    </row>
    <row r="92505">
      <c r="A92505" s="1" t="n">
        <v>92504</v>
      </c>
      <c r="B92505">
        <f>TEXT(92504, "[$-0E0000]yyyy-mm-dd")</f>
        <v/>
      </c>
    </row>
    <row r="92506">
      <c r="A92506" s="1" t="n">
        <v>92505</v>
      </c>
      <c r="B92506">
        <f>TEXT(92505, "[$-0E0000]yyyy-mm-dd")</f>
        <v/>
      </c>
    </row>
    <row r="92507">
      <c r="A92507" s="1" t="n">
        <v>92506</v>
      </c>
      <c r="B92507">
        <f>TEXT(92506, "[$-0E0000]yyyy-mm-dd")</f>
        <v/>
      </c>
    </row>
    <row r="92508">
      <c r="A92508" s="1" t="n">
        <v>92507</v>
      </c>
      <c r="B92508">
        <f>TEXT(92507, "[$-0E0000]yyyy-mm-dd")</f>
        <v/>
      </c>
    </row>
    <row r="92509">
      <c r="A92509" s="1" t="n">
        <v>92508</v>
      </c>
      <c r="B92509">
        <f>TEXT(92508, "[$-0E0000]yyyy-mm-dd")</f>
        <v/>
      </c>
    </row>
    <row r="92510">
      <c r="A92510" s="1" t="n">
        <v>92509</v>
      </c>
      <c r="B92510">
        <f>TEXT(92509, "[$-0E0000]yyyy-mm-dd")</f>
        <v/>
      </c>
    </row>
    <row r="92511">
      <c r="A92511" s="1" t="n">
        <v>92510</v>
      </c>
      <c r="B92511">
        <f>TEXT(92510, "[$-0E0000]yyyy-mm-dd")</f>
        <v/>
      </c>
    </row>
    <row r="92512">
      <c r="A92512" s="1" t="n">
        <v>92511</v>
      </c>
      <c r="B92512">
        <f>TEXT(92511, "[$-0E0000]yyyy-mm-dd")</f>
        <v/>
      </c>
    </row>
    <row r="92513">
      <c r="A92513" s="1" t="n">
        <v>92512</v>
      </c>
      <c r="B92513">
        <f>TEXT(92512, "[$-0E0000]yyyy-mm-dd")</f>
        <v/>
      </c>
    </row>
    <row r="92514">
      <c r="A92514" s="1" t="n">
        <v>92513</v>
      </c>
      <c r="B92514">
        <f>TEXT(92513, "[$-0E0000]yyyy-mm-dd")</f>
        <v/>
      </c>
    </row>
    <row r="92515">
      <c r="A92515" s="1" t="n">
        <v>92514</v>
      </c>
      <c r="B92515">
        <f>TEXT(92514, "[$-0E0000]yyyy-mm-dd")</f>
        <v/>
      </c>
    </row>
    <row r="92516">
      <c r="A92516" s="1" t="n">
        <v>92515</v>
      </c>
      <c r="B92516">
        <f>TEXT(92515, "[$-0E0000]yyyy-mm-dd")</f>
        <v/>
      </c>
    </row>
    <row r="92517">
      <c r="A92517" s="1" t="n">
        <v>92516</v>
      </c>
      <c r="B92517">
        <f>TEXT(92516, "[$-0E0000]yyyy-mm-dd")</f>
        <v/>
      </c>
    </row>
    <row r="92518">
      <c r="A92518" s="1" t="n">
        <v>92517</v>
      </c>
      <c r="B92518">
        <f>TEXT(92517, "[$-0E0000]yyyy-mm-dd")</f>
        <v/>
      </c>
    </row>
    <row r="92519">
      <c r="A92519" s="1" t="n">
        <v>92518</v>
      </c>
      <c r="B92519">
        <f>TEXT(92518, "[$-0E0000]yyyy-mm-dd")</f>
        <v/>
      </c>
    </row>
    <row r="92520">
      <c r="A92520" s="1" t="n">
        <v>92519</v>
      </c>
      <c r="B92520">
        <f>TEXT(92519, "[$-0E0000]yyyy-mm-dd")</f>
        <v/>
      </c>
    </row>
    <row r="92521">
      <c r="A92521" s="1" t="n">
        <v>92520</v>
      </c>
      <c r="B92521">
        <f>TEXT(92520, "[$-0E0000]yyyy-mm-dd")</f>
        <v/>
      </c>
    </row>
    <row r="92522">
      <c r="A92522" s="1" t="n">
        <v>92521</v>
      </c>
      <c r="B92522">
        <f>TEXT(92521, "[$-0E0000]yyyy-mm-dd")</f>
        <v/>
      </c>
    </row>
    <row r="92523">
      <c r="A92523" s="1" t="n">
        <v>92522</v>
      </c>
      <c r="B92523">
        <f>TEXT(92522, "[$-0E0000]yyyy-mm-dd")</f>
        <v/>
      </c>
    </row>
    <row r="92524">
      <c r="A92524" s="1" t="n">
        <v>92523</v>
      </c>
      <c r="B92524">
        <f>TEXT(92523, "[$-0E0000]yyyy-mm-dd")</f>
        <v/>
      </c>
    </row>
    <row r="92525">
      <c r="A92525" s="1" t="n">
        <v>92524</v>
      </c>
      <c r="B92525">
        <f>TEXT(92524, "[$-0E0000]yyyy-mm-dd")</f>
        <v/>
      </c>
    </row>
    <row r="92526">
      <c r="A92526" s="1" t="n">
        <v>92525</v>
      </c>
      <c r="B92526">
        <f>TEXT(92525, "[$-0E0000]yyyy-mm-dd")</f>
        <v/>
      </c>
    </row>
    <row r="92527">
      <c r="A92527" s="1" t="n">
        <v>92526</v>
      </c>
      <c r="B92527">
        <f>TEXT(92526, "[$-0E0000]yyyy-mm-dd")</f>
        <v/>
      </c>
    </row>
    <row r="92528">
      <c r="A92528" s="1" t="n">
        <v>92527</v>
      </c>
      <c r="B92528">
        <f>TEXT(92527, "[$-0E0000]yyyy-mm-dd")</f>
        <v/>
      </c>
    </row>
    <row r="92529">
      <c r="A92529" s="1" t="n">
        <v>92528</v>
      </c>
      <c r="B92529">
        <f>TEXT(92528, "[$-0E0000]yyyy-mm-dd")</f>
        <v/>
      </c>
    </row>
    <row r="92530">
      <c r="A92530" s="1" t="n">
        <v>92529</v>
      </c>
      <c r="B92530">
        <f>TEXT(92529, "[$-0E0000]yyyy-mm-dd")</f>
        <v/>
      </c>
    </row>
    <row r="92531">
      <c r="A92531" s="1" t="n">
        <v>92530</v>
      </c>
      <c r="B92531">
        <f>TEXT(92530, "[$-0E0000]yyyy-mm-dd")</f>
        <v/>
      </c>
    </row>
    <row r="92532">
      <c r="A92532" s="1" t="n">
        <v>92531</v>
      </c>
      <c r="B92532">
        <f>TEXT(92531, "[$-0E0000]yyyy-mm-dd")</f>
        <v/>
      </c>
    </row>
    <row r="92533">
      <c r="A92533" s="1" t="n">
        <v>92532</v>
      </c>
      <c r="B92533">
        <f>TEXT(92532, "[$-0E0000]yyyy-mm-dd")</f>
        <v/>
      </c>
    </row>
    <row r="92534">
      <c r="A92534" s="1" t="n">
        <v>92533</v>
      </c>
      <c r="B92534">
        <f>TEXT(92533, "[$-0E0000]yyyy-mm-dd")</f>
        <v/>
      </c>
    </row>
    <row r="92535">
      <c r="A92535" s="1" t="n">
        <v>92534</v>
      </c>
      <c r="B92535">
        <f>TEXT(92534, "[$-0E0000]yyyy-mm-dd")</f>
        <v/>
      </c>
    </row>
    <row r="92536">
      <c r="A92536" s="1" t="n">
        <v>92535</v>
      </c>
      <c r="B92536">
        <f>TEXT(92535, "[$-0E0000]yyyy-mm-dd")</f>
        <v/>
      </c>
    </row>
    <row r="92537">
      <c r="A92537" s="1" t="n">
        <v>92536</v>
      </c>
      <c r="B92537">
        <f>TEXT(92536, "[$-0E0000]yyyy-mm-dd")</f>
        <v/>
      </c>
    </row>
    <row r="92538">
      <c r="A92538" s="1" t="n">
        <v>92537</v>
      </c>
      <c r="B92538">
        <f>TEXT(92537, "[$-0E0000]yyyy-mm-dd")</f>
        <v/>
      </c>
    </row>
    <row r="92539">
      <c r="A92539" s="1" t="n">
        <v>92538</v>
      </c>
      <c r="B92539">
        <f>TEXT(92538, "[$-0E0000]yyyy-mm-dd")</f>
        <v/>
      </c>
    </row>
    <row r="92540">
      <c r="A92540" s="1" t="n">
        <v>92539</v>
      </c>
      <c r="B92540">
        <f>TEXT(92539, "[$-0E0000]yyyy-mm-dd")</f>
        <v/>
      </c>
    </row>
    <row r="92541">
      <c r="A92541" s="1" t="n">
        <v>92540</v>
      </c>
      <c r="B92541">
        <f>TEXT(92540, "[$-0E0000]yyyy-mm-dd")</f>
        <v/>
      </c>
    </row>
    <row r="92542">
      <c r="A92542" s="1" t="n">
        <v>92541</v>
      </c>
      <c r="B92542">
        <f>TEXT(92541, "[$-0E0000]yyyy-mm-dd")</f>
        <v/>
      </c>
    </row>
    <row r="92543">
      <c r="A92543" s="1" t="n">
        <v>92542</v>
      </c>
      <c r="B92543">
        <f>TEXT(92542, "[$-0E0000]yyyy-mm-dd")</f>
        <v/>
      </c>
    </row>
    <row r="92544">
      <c r="A92544" s="1" t="n">
        <v>92543</v>
      </c>
      <c r="B92544">
        <f>TEXT(92543, "[$-0E0000]yyyy-mm-dd")</f>
        <v/>
      </c>
    </row>
    <row r="92545">
      <c r="A92545" s="1" t="n">
        <v>92544</v>
      </c>
      <c r="B92545">
        <f>TEXT(92544, "[$-0E0000]yyyy-mm-dd")</f>
        <v/>
      </c>
    </row>
    <row r="92546">
      <c r="A92546" s="1" t="n">
        <v>92545</v>
      </c>
      <c r="B92546">
        <f>TEXT(92545, "[$-0E0000]yyyy-mm-dd")</f>
        <v/>
      </c>
    </row>
    <row r="92547">
      <c r="A92547" s="1" t="n">
        <v>92546</v>
      </c>
      <c r="B92547">
        <f>TEXT(92546, "[$-0E0000]yyyy-mm-dd")</f>
        <v/>
      </c>
    </row>
    <row r="92548">
      <c r="A92548" s="1" t="n">
        <v>92547</v>
      </c>
      <c r="B92548">
        <f>TEXT(92547, "[$-0E0000]yyyy-mm-dd")</f>
        <v/>
      </c>
    </row>
    <row r="92549">
      <c r="A92549" s="1" t="n">
        <v>92548</v>
      </c>
      <c r="B92549">
        <f>TEXT(92548, "[$-0E0000]yyyy-mm-dd")</f>
        <v/>
      </c>
    </row>
    <row r="92550">
      <c r="A92550" s="1" t="n">
        <v>92549</v>
      </c>
      <c r="B92550">
        <f>TEXT(92549, "[$-0E0000]yyyy-mm-dd")</f>
        <v/>
      </c>
    </row>
    <row r="92551">
      <c r="A92551" s="1" t="n">
        <v>92550</v>
      </c>
      <c r="B92551">
        <f>TEXT(92550, "[$-0E0000]yyyy-mm-dd")</f>
        <v/>
      </c>
    </row>
    <row r="92552">
      <c r="A92552" s="1" t="n">
        <v>92551</v>
      </c>
      <c r="B92552">
        <f>TEXT(92551, "[$-0E0000]yyyy-mm-dd")</f>
        <v/>
      </c>
    </row>
    <row r="92553">
      <c r="A92553" s="1" t="n">
        <v>92552</v>
      </c>
      <c r="B92553">
        <f>TEXT(92552, "[$-0E0000]yyyy-mm-dd")</f>
        <v/>
      </c>
    </row>
    <row r="92554">
      <c r="A92554" s="1" t="n">
        <v>92553</v>
      </c>
      <c r="B92554">
        <f>TEXT(92553, "[$-0E0000]yyyy-mm-dd")</f>
        <v/>
      </c>
    </row>
    <row r="92555">
      <c r="A92555" s="1" t="n">
        <v>92554</v>
      </c>
      <c r="B92555">
        <f>TEXT(92554, "[$-0E0000]yyyy-mm-dd")</f>
        <v/>
      </c>
    </row>
    <row r="92556">
      <c r="A92556" s="1" t="n">
        <v>92555</v>
      </c>
      <c r="B92556">
        <f>TEXT(92555, "[$-0E0000]yyyy-mm-dd")</f>
        <v/>
      </c>
    </row>
    <row r="92557">
      <c r="A92557" s="1" t="n">
        <v>92556</v>
      </c>
      <c r="B92557">
        <f>TEXT(92556, "[$-0E0000]yyyy-mm-dd")</f>
        <v/>
      </c>
    </row>
    <row r="92558">
      <c r="A92558" s="1" t="n">
        <v>92557</v>
      </c>
      <c r="B92558">
        <f>TEXT(92557, "[$-0E0000]yyyy-mm-dd")</f>
        <v/>
      </c>
    </row>
    <row r="92559">
      <c r="A92559" s="1" t="n">
        <v>92558</v>
      </c>
      <c r="B92559">
        <f>TEXT(92558, "[$-0E0000]yyyy-mm-dd")</f>
        <v/>
      </c>
    </row>
    <row r="92560">
      <c r="A92560" s="1" t="n">
        <v>92559</v>
      </c>
      <c r="B92560">
        <f>TEXT(92559, "[$-0E0000]yyyy-mm-dd")</f>
        <v/>
      </c>
    </row>
    <row r="92561">
      <c r="A92561" s="1" t="n">
        <v>92560</v>
      </c>
      <c r="B92561">
        <f>TEXT(92560, "[$-0E0000]yyyy-mm-dd")</f>
        <v/>
      </c>
    </row>
    <row r="92562">
      <c r="A92562" s="1" t="n">
        <v>92561</v>
      </c>
      <c r="B92562">
        <f>TEXT(92561, "[$-0E0000]yyyy-mm-dd")</f>
        <v/>
      </c>
    </row>
    <row r="92563">
      <c r="A92563" s="1" t="n">
        <v>92562</v>
      </c>
      <c r="B92563">
        <f>TEXT(92562, "[$-0E0000]yyyy-mm-dd")</f>
        <v/>
      </c>
    </row>
    <row r="92564">
      <c r="A92564" s="1" t="n">
        <v>92563</v>
      </c>
      <c r="B92564">
        <f>TEXT(92563, "[$-0E0000]yyyy-mm-dd")</f>
        <v/>
      </c>
    </row>
    <row r="92565">
      <c r="A92565" s="1" t="n">
        <v>92564</v>
      </c>
      <c r="B92565">
        <f>TEXT(92564, "[$-0E0000]yyyy-mm-dd")</f>
        <v/>
      </c>
    </row>
    <row r="92566">
      <c r="A92566" s="1" t="n">
        <v>92565</v>
      </c>
      <c r="B92566">
        <f>TEXT(92565, "[$-0E0000]yyyy-mm-dd")</f>
        <v/>
      </c>
    </row>
    <row r="92567">
      <c r="A92567" s="1" t="n">
        <v>92566</v>
      </c>
      <c r="B92567">
        <f>TEXT(92566, "[$-0E0000]yyyy-mm-dd")</f>
        <v/>
      </c>
    </row>
    <row r="92568">
      <c r="A92568" s="1" t="n">
        <v>92567</v>
      </c>
      <c r="B92568">
        <f>TEXT(92567, "[$-0E0000]yyyy-mm-dd")</f>
        <v/>
      </c>
    </row>
    <row r="92569">
      <c r="A92569" s="1" t="n">
        <v>92568</v>
      </c>
      <c r="B92569">
        <f>TEXT(92568, "[$-0E0000]yyyy-mm-dd")</f>
        <v/>
      </c>
    </row>
    <row r="92570">
      <c r="A92570" s="1" t="n">
        <v>92569</v>
      </c>
      <c r="B92570">
        <f>TEXT(92569, "[$-0E0000]yyyy-mm-dd")</f>
        <v/>
      </c>
    </row>
    <row r="92571">
      <c r="A92571" s="1" t="n">
        <v>92570</v>
      </c>
      <c r="B92571">
        <f>TEXT(92570, "[$-0E0000]yyyy-mm-dd")</f>
        <v/>
      </c>
    </row>
    <row r="92572">
      <c r="A92572" s="1" t="n">
        <v>92571</v>
      </c>
      <c r="B92572">
        <f>TEXT(92571, "[$-0E0000]yyyy-mm-dd")</f>
        <v/>
      </c>
    </row>
    <row r="92573">
      <c r="A92573" s="1" t="n">
        <v>92572</v>
      </c>
      <c r="B92573">
        <f>TEXT(92572, "[$-0E0000]yyyy-mm-dd")</f>
        <v/>
      </c>
    </row>
    <row r="92574">
      <c r="A92574" s="1" t="n">
        <v>92573</v>
      </c>
      <c r="B92574">
        <f>TEXT(92573, "[$-0E0000]yyyy-mm-dd")</f>
        <v/>
      </c>
    </row>
    <row r="92575">
      <c r="A92575" s="1" t="n">
        <v>92574</v>
      </c>
      <c r="B92575">
        <f>TEXT(92574, "[$-0E0000]yyyy-mm-dd")</f>
        <v/>
      </c>
    </row>
    <row r="92576">
      <c r="A92576" s="1" t="n">
        <v>92575</v>
      </c>
      <c r="B92576">
        <f>TEXT(92575, "[$-0E0000]yyyy-mm-dd")</f>
        <v/>
      </c>
    </row>
    <row r="92577">
      <c r="A92577" s="1" t="n">
        <v>92576</v>
      </c>
      <c r="B92577">
        <f>TEXT(92576, "[$-0E0000]yyyy-mm-dd")</f>
        <v/>
      </c>
    </row>
    <row r="92578">
      <c r="A92578" s="1" t="n">
        <v>92577</v>
      </c>
      <c r="B92578">
        <f>TEXT(92577, "[$-0E0000]yyyy-mm-dd")</f>
        <v/>
      </c>
    </row>
    <row r="92579">
      <c r="A92579" s="1" t="n">
        <v>92578</v>
      </c>
      <c r="B92579">
        <f>TEXT(92578, "[$-0E0000]yyyy-mm-dd")</f>
        <v/>
      </c>
    </row>
    <row r="92580">
      <c r="A92580" s="1" t="n">
        <v>92579</v>
      </c>
      <c r="B92580">
        <f>TEXT(92579, "[$-0E0000]yyyy-mm-dd")</f>
        <v/>
      </c>
    </row>
    <row r="92581">
      <c r="A92581" s="1" t="n">
        <v>92580</v>
      </c>
      <c r="B92581">
        <f>TEXT(92580, "[$-0E0000]yyyy-mm-dd")</f>
        <v/>
      </c>
    </row>
    <row r="92582">
      <c r="A92582" s="1" t="n">
        <v>92581</v>
      </c>
      <c r="B92582">
        <f>TEXT(92581, "[$-0E0000]yyyy-mm-dd")</f>
        <v/>
      </c>
    </row>
    <row r="92583">
      <c r="A92583" s="1" t="n">
        <v>92582</v>
      </c>
      <c r="B92583">
        <f>TEXT(92582, "[$-0E0000]yyyy-mm-dd")</f>
        <v/>
      </c>
    </row>
    <row r="92584">
      <c r="A92584" s="1" t="n">
        <v>92583</v>
      </c>
      <c r="B92584">
        <f>TEXT(92583, "[$-0E0000]yyyy-mm-dd")</f>
        <v/>
      </c>
    </row>
    <row r="92585">
      <c r="A92585" s="1" t="n">
        <v>92584</v>
      </c>
      <c r="B92585">
        <f>TEXT(92584, "[$-0E0000]yyyy-mm-dd")</f>
        <v/>
      </c>
    </row>
    <row r="92586">
      <c r="A92586" s="1" t="n">
        <v>92585</v>
      </c>
      <c r="B92586">
        <f>TEXT(92585, "[$-0E0000]yyyy-mm-dd")</f>
        <v/>
      </c>
    </row>
    <row r="92587">
      <c r="A92587" s="1" t="n">
        <v>92586</v>
      </c>
      <c r="B92587">
        <f>TEXT(92586, "[$-0E0000]yyyy-mm-dd")</f>
        <v/>
      </c>
    </row>
    <row r="92588">
      <c r="A92588" s="1" t="n">
        <v>92587</v>
      </c>
      <c r="B92588">
        <f>TEXT(92587, "[$-0E0000]yyyy-mm-dd")</f>
        <v/>
      </c>
    </row>
    <row r="92589">
      <c r="A92589" s="1" t="n">
        <v>92588</v>
      </c>
      <c r="B92589">
        <f>TEXT(92588, "[$-0E0000]yyyy-mm-dd")</f>
        <v/>
      </c>
    </row>
    <row r="92590">
      <c r="A92590" s="1" t="n">
        <v>92589</v>
      </c>
      <c r="B92590">
        <f>TEXT(92589, "[$-0E0000]yyyy-mm-dd")</f>
        <v/>
      </c>
    </row>
    <row r="92591">
      <c r="A92591" s="1" t="n">
        <v>92590</v>
      </c>
      <c r="B92591">
        <f>TEXT(92590, "[$-0E0000]yyyy-mm-dd")</f>
        <v/>
      </c>
    </row>
    <row r="92592">
      <c r="A92592" s="1" t="n">
        <v>92591</v>
      </c>
      <c r="B92592">
        <f>TEXT(92591, "[$-0E0000]yyyy-mm-dd")</f>
        <v/>
      </c>
    </row>
    <row r="92593">
      <c r="A92593" s="1" t="n">
        <v>92592</v>
      </c>
      <c r="B92593">
        <f>TEXT(92592, "[$-0E0000]yyyy-mm-dd")</f>
        <v/>
      </c>
    </row>
    <row r="92594">
      <c r="A92594" s="1" t="n">
        <v>92593</v>
      </c>
      <c r="B92594">
        <f>TEXT(92593, "[$-0E0000]yyyy-mm-dd")</f>
        <v/>
      </c>
    </row>
    <row r="92595">
      <c r="A92595" s="1" t="n">
        <v>92594</v>
      </c>
      <c r="B92595">
        <f>TEXT(92594, "[$-0E0000]yyyy-mm-dd")</f>
        <v/>
      </c>
    </row>
    <row r="92596">
      <c r="A92596" s="1" t="n">
        <v>92595</v>
      </c>
      <c r="B92596">
        <f>TEXT(92595, "[$-0E0000]yyyy-mm-dd")</f>
        <v/>
      </c>
    </row>
    <row r="92597">
      <c r="A92597" s="1" t="n">
        <v>92596</v>
      </c>
      <c r="B92597">
        <f>TEXT(92596, "[$-0E0000]yyyy-mm-dd")</f>
        <v/>
      </c>
    </row>
    <row r="92598">
      <c r="A92598" s="1" t="n">
        <v>92597</v>
      </c>
      <c r="B92598">
        <f>TEXT(92597, "[$-0E0000]yyyy-mm-dd")</f>
        <v/>
      </c>
    </row>
    <row r="92599">
      <c r="A92599" s="1" t="n">
        <v>92598</v>
      </c>
      <c r="B92599">
        <f>TEXT(92598, "[$-0E0000]yyyy-mm-dd")</f>
        <v/>
      </c>
    </row>
    <row r="92600">
      <c r="A92600" s="1" t="n">
        <v>92599</v>
      </c>
      <c r="B92600">
        <f>TEXT(92599, "[$-0E0000]yyyy-mm-dd")</f>
        <v/>
      </c>
    </row>
    <row r="92601">
      <c r="A92601" s="1" t="n">
        <v>92600</v>
      </c>
      <c r="B92601">
        <f>TEXT(92600, "[$-0E0000]yyyy-mm-dd")</f>
        <v/>
      </c>
    </row>
    <row r="92602">
      <c r="A92602" s="1" t="n">
        <v>92601</v>
      </c>
      <c r="B92602">
        <f>TEXT(92601, "[$-0E0000]yyyy-mm-dd")</f>
        <v/>
      </c>
    </row>
    <row r="92603">
      <c r="A92603" s="1" t="n">
        <v>92602</v>
      </c>
      <c r="B92603">
        <f>TEXT(92602, "[$-0E0000]yyyy-mm-dd")</f>
        <v/>
      </c>
    </row>
    <row r="92604">
      <c r="A92604" s="1" t="n">
        <v>92603</v>
      </c>
      <c r="B92604">
        <f>TEXT(92603, "[$-0E0000]yyyy-mm-dd")</f>
        <v/>
      </c>
    </row>
    <row r="92605">
      <c r="A92605" s="1" t="n">
        <v>92604</v>
      </c>
      <c r="B92605">
        <f>TEXT(92604, "[$-0E0000]yyyy-mm-dd")</f>
        <v/>
      </c>
    </row>
    <row r="92606">
      <c r="A92606" s="1" t="n">
        <v>92605</v>
      </c>
      <c r="B92606">
        <f>TEXT(92605, "[$-0E0000]yyyy-mm-dd")</f>
        <v/>
      </c>
    </row>
    <row r="92607">
      <c r="A92607" s="1" t="n">
        <v>92606</v>
      </c>
      <c r="B92607">
        <f>TEXT(92606, "[$-0E0000]yyyy-mm-dd")</f>
        <v/>
      </c>
    </row>
    <row r="92608">
      <c r="A92608" s="1" t="n">
        <v>92607</v>
      </c>
      <c r="B92608">
        <f>TEXT(92607, "[$-0E0000]yyyy-mm-dd")</f>
        <v/>
      </c>
    </row>
    <row r="92609">
      <c r="A92609" s="1" t="n">
        <v>92608</v>
      </c>
      <c r="B92609">
        <f>TEXT(92608, "[$-0E0000]yyyy-mm-dd")</f>
        <v/>
      </c>
    </row>
    <row r="92610">
      <c r="A92610" s="1" t="n">
        <v>92609</v>
      </c>
      <c r="B92610">
        <f>TEXT(92609, "[$-0E0000]yyyy-mm-dd")</f>
        <v/>
      </c>
    </row>
    <row r="92611">
      <c r="A92611" s="1" t="n">
        <v>92610</v>
      </c>
      <c r="B92611">
        <f>TEXT(92610, "[$-0E0000]yyyy-mm-dd")</f>
        <v/>
      </c>
    </row>
    <row r="92612">
      <c r="A92612" s="1" t="n">
        <v>92611</v>
      </c>
      <c r="B92612">
        <f>TEXT(92611, "[$-0E0000]yyyy-mm-dd")</f>
        <v/>
      </c>
    </row>
    <row r="92613">
      <c r="A92613" s="1" t="n">
        <v>92612</v>
      </c>
      <c r="B92613">
        <f>TEXT(92612, "[$-0E0000]yyyy-mm-dd")</f>
        <v/>
      </c>
    </row>
    <row r="92614">
      <c r="A92614" s="1" t="n">
        <v>92613</v>
      </c>
      <c r="B92614">
        <f>TEXT(92613, "[$-0E0000]yyyy-mm-dd")</f>
        <v/>
      </c>
    </row>
    <row r="92615">
      <c r="A92615" s="1" t="n">
        <v>92614</v>
      </c>
      <c r="B92615">
        <f>TEXT(92614, "[$-0E0000]yyyy-mm-dd")</f>
        <v/>
      </c>
    </row>
    <row r="92616">
      <c r="A92616" s="1" t="n">
        <v>92615</v>
      </c>
      <c r="B92616">
        <f>TEXT(92615, "[$-0E0000]yyyy-mm-dd")</f>
        <v/>
      </c>
    </row>
    <row r="92617">
      <c r="A92617" s="1" t="n">
        <v>92616</v>
      </c>
      <c r="B92617">
        <f>TEXT(92616, "[$-0E0000]yyyy-mm-dd")</f>
        <v/>
      </c>
    </row>
    <row r="92618">
      <c r="A92618" s="1" t="n">
        <v>92617</v>
      </c>
      <c r="B92618">
        <f>TEXT(92617, "[$-0E0000]yyyy-mm-dd")</f>
        <v/>
      </c>
    </row>
    <row r="92619">
      <c r="A92619" s="1" t="n">
        <v>92618</v>
      </c>
      <c r="B92619">
        <f>TEXT(92618, "[$-0E0000]yyyy-mm-dd")</f>
        <v/>
      </c>
    </row>
    <row r="92620">
      <c r="A92620" s="1" t="n">
        <v>92619</v>
      </c>
      <c r="B92620">
        <f>TEXT(92619, "[$-0E0000]yyyy-mm-dd")</f>
        <v/>
      </c>
    </row>
    <row r="92621">
      <c r="A92621" s="1" t="n">
        <v>92620</v>
      </c>
      <c r="B92621">
        <f>TEXT(92620, "[$-0E0000]yyyy-mm-dd")</f>
        <v/>
      </c>
    </row>
    <row r="92622">
      <c r="A92622" s="1" t="n">
        <v>92621</v>
      </c>
      <c r="B92622">
        <f>TEXT(92621, "[$-0E0000]yyyy-mm-dd")</f>
        <v/>
      </c>
    </row>
    <row r="92623">
      <c r="A92623" s="1" t="n">
        <v>92622</v>
      </c>
      <c r="B92623">
        <f>TEXT(92622, "[$-0E0000]yyyy-mm-dd")</f>
        <v/>
      </c>
    </row>
    <row r="92624">
      <c r="A92624" s="1" t="n">
        <v>92623</v>
      </c>
      <c r="B92624">
        <f>TEXT(92623, "[$-0E0000]yyyy-mm-dd")</f>
        <v/>
      </c>
    </row>
    <row r="92625">
      <c r="A92625" s="1" t="n">
        <v>92624</v>
      </c>
      <c r="B92625">
        <f>TEXT(92624, "[$-0E0000]yyyy-mm-dd")</f>
        <v/>
      </c>
    </row>
    <row r="92626">
      <c r="A92626" s="1" t="n">
        <v>92625</v>
      </c>
      <c r="B92626">
        <f>TEXT(92625, "[$-0E0000]yyyy-mm-dd")</f>
        <v/>
      </c>
    </row>
    <row r="92627">
      <c r="A92627" s="1" t="n">
        <v>92626</v>
      </c>
      <c r="B92627">
        <f>TEXT(92626, "[$-0E0000]yyyy-mm-dd")</f>
        <v/>
      </c>
    </row>
    <row r="92628">
      <c r="A92628" s="1" t="n">
        <v>92627</v>
      </c>
      <c r="B92628">
        <f>TEXT(92627, "[$-0E0000]yyyy-mm-dd")</f>
        <v/>
      </c>
    </row>
    <row r="92629">
      <c r="A92629" s="1" t="n">
        <v>92628</v>
      </c>
      <c r="B92629">
        <f>TEXT(92628, "[$-0E0000]yyyy-mm-dd")</f>
        <v/>
      </c>
    </row>
    <row r="92630">
      <c r="A92630" s="1" t="n">
        <v>92629</v>
      </c>
      <c r="B92630">
        <f>TEXT(92629, "[$-0E0000]yyyy-mm-dd")</f>
        <v/>
      </c>
    </row>
    <row r="92631">
      <c r="A92631" s="1" t="n">
        <v>92630</v>
      </c>
      <c r="B92631">
        <f>TEXT(92630, "[$-0E0000]yyyy-mm-dd")</f>
        <v/>
      </c>
    </row>
    <row r="92632">
      <c r="A92632" s="1" t="n">
        <v>92631</v>
      </c>
      <c r="B92632">
        <f>TEXT(92631, "[$-0E0000]yyyy-mm-dd")</f>
        <v/>
      </c>
    </row>
    <row r="92633">
      <c r="A92633" s="1" t="n">
        <v>92632</v>
      </c>
      <c r="B92633">
        <f>TEXT(92632, "[$-0E0000]yyyy-mm-dd")</f>
        <v/>
      </c>
    </row>
    <row r="92634">
      <c r="A92634" s="1" t="n">
        <v>92633</v>
      </c>
      <c r="B92634">
        <f>TEXT(92633, "[$-0E0000]yyyy-mm-dd")</f>
        <v/>
      </c>
    </row>
    <row r="92635">
      <c r="A92635" s="1" t="n">
        <v>92634</v>
      </c>
      <c r="B92635">
        <f>TEXT(92634, "[$-0E0000]yyyy-mm-dd")</f>
        <v/>
      </c>
    </row>
    <row r="92636">
      <c r="A92636" s="1" t="n">
        <v>92635</v>
      </c>
      <c r="B92636">
        <f>TEXT(92635, "[$-0E0000]yyyy-mm-dd")</f>
        <v/>
      </c>
    </row>
    <row r="92637">
      <c r="A92637" s="1" t="n">
        <v>92636</v>
      </c>
      <c r="B92637">
        <f>TEXT(92636, "[$-0E0000]yyyy-mm-dd")</f>
        <v/>
      </c>
    </row>
    <row r="92638">
      <c r="A92638" s="1" t="n">
        <v>92637</v>
      </c>
      <c r="B92638">
        <f>TEXT(92637, "[$-0E0000]yyyy-mm-dd")</f>
        <v/>
      </c>
    </row>
    <row r="92639">
      <c r="A92639" s="1" t="n">
        <v>92638</v>
      </c>
      <c r="B92639">
        <f>TEXT(92638, "[$-0E0000]yyyy-mm-dd")</f>
        <v/>
      </c>
    </row>
    <row r="92640">
      <c r="A92640" s="1" t="n">
        <v>92639</v>
      </c>
      <c r="B92640">
        <f>TEXT(92639, "[$-0E0000]yyyy-mm-dd")</f>
        <v/>
      </c>
    </row>
    <row r="92641">
      <c r="A92641" s="1" t="n">
        <v>92640</v>
      </c>
      <c r="B92641">
        <f>TEXT(92640, "[$-0E0000]yyyy-mm-dd")</f>
        <v/>
      </c>
    </row>
    <row r="92642">
      <c r="A92642" s="1" t="n">
        <v>92641</v>
      </c>
      <c r="B92642">
        <f>TEXT(92641, "[$-0E0000]yyyy-mm-dd")</f>
        <v/>
      </c>
    </row>
    <row r="92643">
      <c r="A92643" s="1" t="n">
        <v>92642</v>
      </c>
      <c r="B92643">
        <f>TEXT(92642, "[$-0E0000]yyyy-mm-dd")</f>
        <v/>
      </c>
    </row>
    <row r="92644">
      <c r="A92644" s="1" t="n">
        <v>92643</v>
      </c>
      <c r="B92644">
        <f>TEXT(92643, "[$-0E0000]yyyy-mm-dd")</f>
        <v/>
      </c>
    </row>
    <row r="92645">
      <c r="A92645" s="1" t="n">
        <v>92644</v>
      </c>
      <c r="B92645">
        <f>TEXT(92644, "[$-0E0000]yyyy-mm-dd")</f>
        <v/>
      </c>
    </row>
    <row r="92646">
      <c r="A92646" s="1" t="n">
        <v>92645</v>
      </c>
      <c r="B92646">
        <f>TEXT(92645, "[$-0E0000]yyyy-mm-dd")</f>
        <v/>
      </c>
    </row>
    <row r="92647">
      <c r="A92647" s="1" t="n">
        <v>92646</v>
      </c>
      <c r="B92647">
        <f>TEXT(92646, "[$-0E0000]yyyy-mm-dd")</f>
        <v/>
      </c>
    </row>
    <row r="92648">
      <c r="A92648" s="1" t="n">
        <v>92647</v>
      </c>
      <c r="B92648">
        <f>TEXT(92647, "[$-0E0000]yyyy-mm-dd")</f>
        <v/>
      </c>
    </row>
    <row r="92649">
      <c r="A92649" s="1" t="n">
        <v>92648</v>
      </c>
      <c r="B92649">
        <f>TEXT(92648, "[$-0E0000]yyyy-mm-dd")</f>
        <v/>
      </c>
    </row>
    <row r="92650">
      <c r="A92650" s="1" t="n">
        <v>92649</v>
      </c>
      <c r="B92650">
        <f>TEXT(92649, "[$-0E0000]yyyy-mm-dd")</f>
        <v/>
      </c>
    </row>
    <row r="92651">
      <c r="A92651" s="1" t="n">
        <v>92650</v>
      </c>
      <c r="B92651">
        <f>TEXT(92650, "[$-0E0000]yyyy-mm-dd")</f>
        <v/>
      </c>
    </row>
    <row r="92652">
      <c r="A92652" s="1" t="n">
        <v>92651</v>
      </c>
      <c r="B92652">
        <f>TEXT(92651, "[$-0E0000]yyyy-mm-dd")</f>
        <v/>
      </c>
    </row>
    <row r="92653">
      <c r="A92653" s="1" t="n">
        <v>92652</v>
      </c>
      <c r="B92653">
        <f>TEXT(92652, "[$-0E0000]yyyy-mm-dd")</f>
        <v/>
      </c>
    </row>
    <row r="92654">
      <c r="A92654" s="1" t="n">
        <v>92653</v>
      </c>
      <c r="B92654">
        <f>TEXT(92653, "[$-0E0000]yyyy-mm-dd")</f>
        <v/>
      </c>
    </row>
    <row r="92655">
      <c r="A92655" s="1" t="n">
        <v>92654</v>
      </c>
      <c r="B92655">
        <f>TEXT(92654, "[$-0E0000]yyyy-mm-dd")</f>
        <v/>
      </c>
    </row>
    <row r="92656">
      <c r="A92656" s="1" t="n">
        <v>92655</v>
      </c>
      <c r="B92656">
        <f>TEXT(92655, "[$-0E0000]yyyy-mm-dd")</f>
        <v/>
      </c>
    </row>
    <row r="92657">
      <c r="A92657" s="1" t="n">
        <v>92656</v>
      </c>
      <c r="B92657">
        <f>TEXT(92656, "[$-0E0000]yyyy-mm-dd")</f>
        <v/>
      </c>
    </row>
    <row r="92658">
      <c r="A92658" s="1" t="n">
        <v>92657</v>
      </c>
      <c r="B92658">
        <f>TEXT(92657, "[$-0E0000]yyyy-mm-dd")</f>
        <v/>
      </c>
    </row>
    <row r="92659">
      <c r="A92659" s="1" t="n">
        <v>92658</v>
      </c>
      <c r="B92659">
        <f>TEXT(92658, "[$-0E0000]yyyy-mm-dd")</f>
        <v/>
      </c>
    </row>
    <row r="92660">
      <c r="A92660" s="1" t="n">
        <v>92659</v>
      </c>
      <c r="B92660">
        <f>TEXT(92659, "[$-0E0000]yyyy-mm-dd")</f>
        <v/>
      </c>
    </row>
    <row r="92661">
      <c r="A92661" s="1" t="n">
        <v>92660</v>
      </c>
      <c r="B92661">
        <f>TEXT(92660, "[$-0E0000]yyyy-mm-dd")</f>
        <v/>
      </c>
    </row>
    <row r="92662">
      <c r="A92662" s="1" t="n">
        <v>92661</v>
      </c>
      <c r="B92662">
        <f>TEXT(92661, "[$-0E0000]yyyy-mm-dd")</f>
        <v/>
      </c>
    </row>
    <row r="92663">
      <c r="A92663" s="1" t="n">
        <v>92662</v>
      </c>
      <c r="B92663">
        <f>TEXT(92662, "[$-0E0000]yyyy-mm-dd")</f>
        <v/>
      </c>
    </row>
    <row r="92664">
      <c r="A92664" s="1" t="n">
        <v>92663</v>
      </c>
      <c r="B92664">
        <f>TEXT(92663, "[$-0E0000]yyyy-mm-dd")</f>
        <v/>
      </c>
    </row>
    <row r="92665">
      <c r="A92665" s="1" t="n">
        <v>92664</v>
      </c>
      <c r="B92665">
        <f>TEXT(92664, "[$-0E0000]yyyy-mm-dd")</f>
        <v/>
      </c>
    </row>
    <row r="92666">
      <c r="A92666" s="1" t="n">
        <v>92665</v>
      </c>
      <c r="B92666">
        <f>TEXT(92665, "[$-0E0000]yyyy-mm-dd")</f>
        <v/>
      </c>
    </row>
    <row r="92667">
      <c r="A92667" s="1" t="n">
        <v>92666</v>
      </c>
      <c r="B92667">
        <f>TEXT(92666, "[$-0E0000]yyyy-mm-dd")</f>
        <v/>
      </c>
    </row>
    <row r="92668">
      <c r="A92668" s="1" t="n">
        <v>92667</v>
      </c>
      <c r="B92668">
        <f>TEXT(92667, "[$-0E0000]yyyy-mm-dd")</f>
        <v/>
      </c>
    </row>
    <row r="92669">
      <c r="A92669" s="1" t="n">
        <v>92668</v>
      </c>
      <c r="B92669">
        <f>TEXT(92668, "[$-0E0000]yyyy-mm-dd")</f>
        <v/>
      </c>
    </row>
    <row r="92670">
      <c r="A92670" s="1" t="n">
        <v>92669</v>
      </c>
      <c r="B92670">
        <f>TEXT(92669, "[$-0E0000]yyyy-mm-dd")</f>
        <v/>
      </c>
    </row>
    <row r="92671">
      <c r="A92671" s="1" t="n">
        <v>92670</v>
      </c>
      <c r="B92671">
        <f>TEXT(92670, "[$-0E0000]yyyy-mm-dd")</f>
        <v/>
      </c>
    </row>
    <row r="92672">
      <c r="A92672" s="1" t="n">
        <v>92671</v>
      </c>
      <c r="B92672">
        <f>TEXT(92671, "[$-0E0000]yyyy-mm-dd")</f>
        <v/>
      </c>
    </row>
    <row r="92673">
      <c r="A92673" s="1" t="n">
        <v>92672</v>
      </c>
      <c r="B92673">
        <f>TEXT(92672, "[$-0E0000]yyyy-mm-dd")</f>
        <v/>
      </c>
    </row>
    <row r="92674">
      <c r="A92674" s="1" t="n">
        <v>92673</v>
      </c>
      <c r="B92674">
        <f>TEXT(92673, "[$-0E0000]yyyy-mm-dd")</f>
        <v/>
      </c>
    </row>
    <row r="92675">
      <c r="A92675" s="1" t="n">
        <v>92674</v>
      </c>
      <c r="B92675">
        <f>TEXT(92674, "[$-0E0000]yyyy-mm-dd")</f>
        <v/>
      </c>
    </row>
    <row r="92676">
      <c r="A92676" s="1" t="n">
        <v>92675</v>
      </c>
      <c r="B92676">
        <f>TEXT(92675, "[$-0E0000]yyyy-mm-dd")</f>
        <v/>
      </c>
    </row>
    <row r="92677">
      <c r="A92677" s="1" t="n">
        <v>92676</v>
      </c>
      <c r="B92677">
        <f>TEXT(92676, "[$-0E0000]yyyy-mm-dd")</f>
        <v/>
      </c>
    </row>
    <row r="92678">
      <c r="A92678" s="1" t="n">
        <v>92677</v>
      </c>
      <c r="B92678">
        <f>TEXT(92677, "[$-0E0000]yyyy-mm-dd")</f>
        <v/>
      </c>
    </row>
    <row r="92679">
      <c r="A92679" s="1" t="n">
        <v>92678</v>
      </c>
      <c r="B92679">
        <f>TEXT(92678, "[$-0E0000]yyyy-mm-dd")</f>
        <v/>
      </c>
    </row>
    <row r="92680">
      <c r="A92680" s="1" t="n">
        <v>92679</v>
      </c>
      <c r="B92680">
        <f>TEXT(92679, "[$-0E0000]yyyy-mm-dd")</f>
        <v/>
      </c>
    </row>
    <row r="92681">
      <c r="A92681" s="1" t="n">
        <v>92680</v>
      </c>
      <c r="B92681">
        <f>TEXT(92680, "[$-0E0000]yyyy-mm-dd")</f>
        <v/>
      </c>
    </row>
    <row r="92682">
      <c r="A92682" s="1" t="n">
        <v>92681</v>
      </c>
      <c r="B92682">
        <f>TEXT(92681, "[$-0E0000]yyyy-mm-dd")</f>
        <v/>
      </c>
    </row>
    <row r="92683">
      <c r="A92683" s="1" t="n">
        <v>92682</v>
      </c>
      <c r="B92683">
        <f>TEXT(92682, "[$-0E0000]yyyy-mm-dd")</f>
        <v/>
      </c>
    </row>
    <row r="92684">
      <c r="A92684" s="1" t="n">
        <v>92683</v>
      </c>
      <c r="B92684">
        <f>TEXT(92683, "[$-0E0000]yyyy-mm-dd")</f>
        <v/>
      </c>
    </row>
    <row r="92685">
      <c r="A92685" s="1" t="n">
        <v>92684</v>
      </c>
      <c r="B92685">
        <f>TEXT(92684, "[$-0E0000]yyyy-mm-dd")</f>
        <v/>
      </c>
    </row>
    <row r="92686">
      <c r="A92686" s="1" t="n">
        <v>92685</v>
      </c>
      <c r="B92686">
        <f>TEXT(92685, "[$-0E0000]yyyy-mm-dd")</f>
        <v/>
      </c>
    </row>
    <row r="92687">
      <c r="A92687" s="1" t="n">
        <v>92686</v>
      </c>
      <c r="B92687">
        <f>TEXT(92686, "[$-0E0000]yyyy-mm-dd")</f>
        <v/>
      </c>
    </row>
    <row r="92688">
      <c r="A92688" s="1" t="n">
        <v>92687</v>
      </c>
      <c r="B92688">
        <f>TEXT(92687, "[$-0E0000]yyyy-mm-dd")</f>
        <v/>
      </c>
    </row>
    <row r="92689">
      <c r="A92689" s="1" t="n">
        <v>92688</v>
      </c>
      <c r="B92689">
        <f>TEXT(92688, "[$-0E0000]yyyy-mm-dd")</f>
        <v/>
      </c>
    </row>
    <row r="92690">
      <c r="A92690" s="1" t="n">
        <v>92689</v>
      </c>
      <c r="B92690">
        <f>TEXT(92689, "[$-0E0000]yyyy-mm-dd")</f>
        <v/>
      </c>
    </row>
    <row r="92691">
      <c r="A92691" s="1" t="n">
        <v>92690</v>
      </c>
      <c r="B92691">
        <f>TEXT(92690, "[$-0E0000]yyyy-mm-dd")</f>
        <v/>
      </c>
    </row>
    <row r="92692">
      <c r="A92692" s="1" t="n">
        <v>92691</v>
      </c>
      <c r="B92692">
        <f>TEXT(92691, "[$-0E0000]yyyy-mm-dd")</f>
        <v/>
      </c>
    </row>
    <row r="92693">
      <c r="A92693" s="1" t="n">
        <v>92692</v>
      </c>
      <c r="B92693">
        <f>TEXT(92692, "[$-0E0000]yyyy-mm-dd")</f>
        <v/>
      </c>
    </row>
    <row r="92694">
      <c r="A92694" s="1" t="n">
        <v>92693</v>
      </c>
      <c r="B92694">
        <f>TEXT(92693, "[$-0E0000]yyyy-mm-dd")</f>
        <v/>
      </c>
    </row>
    <row r="92695">
      <c r="A92695" s="1" t="n">
        <v>92694</v>
      </c>
      <c r="B92695">
        <f>TEXT(92694, "[$-0E0000]yyyy-mm-dd")</f>
        <v/>
      </c>
    </row>
    <row r="92696">
      <c r="A92696" s="1" t="n">
        <v>92695</v>
      </c>
      <c r="B92696">
        <f>TEXT(92695, "[$-0E0000]yyyy-mm-dd")</f>
        <v/>
      </c>
    </row>
    <row r="92697">
      <c r="A92697" s="1" t="n">
        <v>92696</v>
      </c>
      <c r="B92697">
        <f>TEXT(92696, "[$-0E0000]yyyy-mm-dd")</f>
        <v/>
      </c>
    </row>
    <row r="92698">
      <c r="A92698" s="1" t="n">
        <v>92697</v>
      </c>
      <c r="B92698">
        <f>TEXT(92697, "[$-0E0000]yyyy-mm-dd")</f>
        <v/>
      </c>
    </row>
    <row r="92699">
      <c r="A92699" s="1" t="n">
        <v>92698</v>
      </c>
      <c r="B92699">
        <f>TEXT(92698, "[$-0E0000]yyyy-mm-dd")</f>
        <v/>
      </c>
    </row>
    <row r="92700">
      <c r="A92700" s="1" t="n">
        <v>92699</v>
      </c>
      <c r="B92700">
        <f>TEXT(92699, "[$-0E0000]yyyy-mm-dd")</f>
        <v/>
      </c>
    </row>
    <row r="92701">
      <c r="A92701" s="1" t="n">
        <v>92700</v>
      </c>
      <c r="B92701">
        <f>TEXT(92700, "[$-0E0000]yyyy-mm-dd")</f>
        <v/>
      </c>
    </row>
    <row r="92702">
      <c r="A92702" s="1" t="n">
        <v>92701</v>
      </c>
      <c r="B92702">
        <f>TEXT(92701, "[$-0E0000]yyyy-mm-dd")</f>
        <v/>
      </c>
    </row>
    <row r="92703">
      <c r="A92703" s="1" t="n">
        <v>92702</v>
      </c>
      <c r="B92703">
        <f>TEXT(92702, "[$-0E0000]yyyy-mm-dd")</f>
        <v/>
      </c>
    </row>
    <row r="92704">
      <c r="A92704" s="1" t="n">
        <v>92703</v>
      </c>
      <c r="B92704">
        <f>TEXT(92703, "[$-0E0000]yyyy-mm-dd")</f>
        <v/>
      </c>
    </row>
    <row r="92705">
      <c r="A92705" s="1" t="n">
        <v>92704</v>
      </c>
      <c r="B92705">
        <f>TEXT(92704, "[$-0E0000]yyyy-mm-dd")</f>
        <v/>
      </c>
    </row>
    <row r="92706">
      <c r="A92706" s="1" t="n">
        <v>92705</v>
      </c>
      <c r="B92706">
        <f>TEXT(92705, "[$-0E0000]yyyy-mm-dd")</f>
        <v/>
      </c>
    </row>
    <row r="92707">
      <c r="A92707" s="1" t="n">
        <v>92706</v>
      </c>
      <c r="B92707">
        <f>TEXT(92706, "[$-0E0000]yyyy-mm-dd")</f>
        <v/>
      </c>
    </row>
    <row r="92708">
      <c r="A92708" s="1" t="n">
        <v>92707</v>
      </c>
      <c r="B92708">
        <f>TEXT(92707, "[$-0E0000]yyyy-mm-dd")</f>
        <v/>
      </c>
    </row>
    <row r="92709">
      <c r="A92709" s="1" t="n">
        <v>92708</v>
      </c>
      <c r="B92709">
        <f>TEXT(92708, "[$-0E0000]yyyy-mm-dd")</f>
        <v/>
      </c>
    </row>
    <row r="92710">
      <c r="A92710" s="1" t="n">
        <v>92709</v>
      </c>
      <c r="B92710">
        <f>TEXT(92709, "[$-0E0000]yyyy-mm-dd")</f>
        <v/>
      </c>
    </row>
    <row r="92711">
      <c r="A92711" s="1" t="n">
        <v>92710</v>
      </c>
      <c r="B92711">
        <f>TEXT(92710, "[$-0E0000]yyyy-mm-dd")</f>
        <v/>
      </c>
    </row>
    <row r="92712">
      <c r="A92712" s="1" t="n">
        <v>92711</v>
      </c>
      <c r="B92712">
        <f>TEXT(92711, "[$-0E0000]yyyy-mm-dd")</f>
        <v/>
      </c>
    </row>
    <row r="92713">
      <c r="A92713" s="1" t="n">
        <v>92712</v>
      </c>
      <c r="B92713">
        <f>TEXT(92712, "[$-0E0000]yyyy-mm-dd")</f>
        <v/>
      </c>
    </row>
    <row r="92714">
      <c r="A92714" s="1" t="n">
        <v>92713</v>
      </c>
      <c r="B92714">
        <f>TEXT(92713, "[$-0E0000]yyyy-mm-dd")</f>
        <v/>
      </c>
    </row>
    <row r="92715">
      <c r="A92715" s="1" t="n">
        <v>92714</v>
      </c>
      <c r="B92715">
        <f>TEXT(92714, "[$-0E0000]yyyy-mm-dd")</f>
        <v/>
      </c>
    </row>
    <row r="92716">
      <c r="A92716" s="1" t="n">
        <v>92715</v>
      </c>
      <c r="B92716">
        <f>TEXT(92715, "[$-0E0000]yyyy-mm-dd")</f>
        <v/>
      </c>
    </row>
    <row r="92717">
      <c r="A92717" s="1" t="n">
        <v>92716</v>
      </c>
      <c r="B92717">
        <f>TEXT(92716, "[$-0E0000]yyyy-mm-dd")</f>
        <v/>
      </c>
    </row>
    <row r="92718">
      <c r="A92718" s="1" t="n">
        <v>92717</v>
      </c>
      <c r="B92718">
        <f>TEXT(92717, "[$-0E0000]yyyy-mm-dd")</f>
        <v/>
      </c>
    </row>
    <row r="92719">
      <c r="A92719" s="1" t="n">
        <v>92718</v>
      </c>
      <c r="B92719">
        <f>TEXT(92718, "[$-0E0000]yyyy-mm-dd")</f>
        <v/>
      </c>
    </row>
    <row r="92720">
      <c r="A92720" s="1" t="n">
        <v>92719</v>
      </c>
      <c r="B92720">
        <f>TEXT(92719, "[$-0E0000]yyyy-mm-dd")</f>
        <v/>
      </c>
    </row>
    <row r="92721">
      <c r="A92721" s="1" t="n">
        <v>92720</v>
      </c>
      <c r="B92721">
        <f>TEXT(92720, "[$-0E0000]yyyy-mm-dd")</f>
        <v/>
      </c>
    </row>
    <row r="92722">
      <c r="A92722" s="1" t="n">
        <v>92721</v>
      </c>
      <c r="B92722">
        <f>TEXT(92721, "[$-0E0000]yyyy-mm-dd")</f>
        <v/>
      </c>
    </row>
    <row r="92723">
      <c r="A92723" s="1" t="n">
        <v>92722</v>
      </c>
      <c r="B92723">
        <f>TEXT(92722, "[$-0E0000]yyyy-mm-dd")</f>
        <v/>
      </c>
    </row>
    <row r="92724">
      <c r="A92724" s="1" t="n">
        <v>92723</v>
      </c>
      <c r="B92724">
        <f>TEXT(92723, "[$-0E0000]yyyy-mm-dd")</f>
        <v/>
      </c>
    </row>
    <row r="92725">
      <c r="A92725" s="1" t="n">
        <v>92724</v>
      </c>
      <c r="B92725">
        <f>TEXT(92724, "[$-0E0000]yyyy-mm-dd")</f>
        <v/>
      </c>
    </row>
    <row r="92726">
      <c r="A92726" s="1" t="n">
        <v>92725</v>
      </c>
      <c r="B92726">
        <f>TEXT(92725, "[$-0E0000]yyyy-mm-dd")</f>
        <v/>
      </c>
    </row>
    <row r="92727">
      <c r="A92727" s="1" t="n">
        <v>92726</v>
      </c>
      <c r="B92727">
        <f>TEXT(92726, "[$-0E0000]yyyy-mm-dd")</f>
        <v/>
      </c>
    </row>
    <row r="92728">
      <c r="A92728" s="1" t="n">
        <v>92727</v>
      </c>
      <c r="B92728">
        <f>TEXT(92727, "[$-0E0000]yyyy-mm-dd")</f>
        <v/>
      </c>
    </row>
    <row r="92729">
      <c r="A92729" s="1" t="n">
        <v>92728</v>
      </c>
      <c r="B92729">
        <f>TEXT(92728, "[$-0E0000]yyyy-mm-dd")</f>
        <v/>
      </c>
    </row>
    <row r="92730">
      <c r="A92730" s="1" t="n">
        <v>92729</v>
      </c>
      <c r="B92730">
        <f>TEXT(92729, "[$-0E0000]yyyy-mm-dd")</f>
        <v/>
      </c>
    </row>
    <row r="92731">
      <c r="A92731" s="1" t="n">
        <v>92730</v>
      </c>
      <c r="B92731">
        <f>TEXT(92730, "[$-0E0000]yyyy-mm-dd")</f>
        <v/>
      </c>
    </row>
    <row r="92732">
      <c r="A92732" s="1" t="n">
        <v>92731</v>
      </c>
      <c r="B92732">
        <f>TEXT(92731, "[$-0E0000]yyyy-mm-dd")</f>
        <v/>
      </c>
    </row>
    <row r="92733">
      <c r="A92733" s="1" t="n">
        <v>92732</v>
      </c>
      <c r="B92733">
        <f>TEXT(92732, "[$-0E0000]yyyy-mm-dd")</f>
        <v/>
      </c>
    </row>
    <row r="92734">
      <c r="A92734" s="1" t="n">
        <v>92733</v>
      </c>
      <c r="B92734">
        <f>TEXT(92733, "[$-0E0000]yyyy-mm-dd")</f>
        <v/>
      </c>
    </row>
    <row r="92735">
      <c r="A92735" s="1" t="n">
        <v>92734</v>
      </c>
      <c r="B92735">
        <f>TEXT(92734, "[$-0E0000]yyyy-mm-dd")</f>
        <v/>
      </c>
    </row>
    <row r="92736">
      <c r="A92736" s="1" t="n">
        <v>92735</v>
      </c>
      <c r="B92736">
        <f>TEXT(92735, "[$-0E0000]yyyy-mm-dd")</f>
        <v/>
      </c>
    </row>
    <row r="92737">
      <c r="A92737" s="1" t="n">
        <v>92736</v>
      </c>
      <c r="B92737">
        <f>TEXT(92736, "[$-0E0000]yyyy-mm-dd")</f>
        <v/>
      </c>
    </row>
    <row r="92738">
      <c r="A92738" s="1" t="n">
        <v>92737</v>
      </c>
      <c r="B92738">
        <f>TEXT(92737, "[$-0E0000]yyyy-mm-dd")</f>
        <v/>
      </c>
    </row>
    <row r="92739">
      <c r="A92739" s="1" t="n">
        <v>92738</v>
      </c>
      <c r="B92739">
        <f>TEXT(92738, "[$-0E0000]yyyy-mm-dd")</f>
        <v/>
      </c>
    </row>
    <row r="92740">
      <c r="A92740" s="1" t="n">
        <v>92739</v>
      </c>
      <c r="B92740">
        <f>TEXT(92739, "[$-0E0000]yyyy-mm-dd")</f>
        <v/>
      </c>
    </row>
    <row r="92741">
      <c r="A92741" s="1" t="n">
        <v>92740</v>
      </c>
      <c r="B92741">
        <f>TEXT(92740, "[$-0E0000]yyyy-mm-dd")</f>
        <v/>
      </c>
    </row>
    <row r="92742">
      <c r="A92742" s="1" t="n">
        <v>92741</v>
      </c>
      <c r="B92742">
        <f>TEXT(92741, "[$-0E0000]yyyy-mm-dd")</f>
        <v/>
      </c>
    </row>
    <row r="92743">
      <c r="A92743" s="1" t="n">
        <v>92742</v>
      </c>
      <c r="B92743">
        <f>TEXT(92742, "[$-0E0000]yyyy-mm-dd")</f>
        <v/>
      </c>
    </row>
    <row r="92744">
      <c r="A92744" s="1" t="n">
        <v>92743</v>
      </c>
      <c r="B92744">
        <f>TEXT(92743, "[$-0E0000]yyyy-mm-dd")</f>
        <v/>
      </c>
    </row>
    <row r="92745">
      <c r="A92745" s="1" t="n">
        <v>92744</v>
      </c>
      <c r="B92745">
        <f>TEXT(92744, "[$-0E0000]yyyy-mm-dd")</f>
        <v/>
      </c>
    </row>
    <row r="92746">
      <c r="A92746" s="1" t="n">
        <v>92745</v>
      </c>
      <c r="B92746">
        <f>TEXT(92745, "[$-0E0000]yyyy-mm-dd")</f>
        <v/>
      </c>
    </row>
    <row r="92747">
      <c r="A92747" s="1" t="n">
        <v>92746</v>
      </c>
      <c r="B92747">
        <f>TEXT(92746, "[$-0E0000]yyyy-mm-dd")</f>
        <v/>
      </c>
    </row>
    <row r="92748">
      <c r="A92748" s="1" t="n">
        <v>92747</v>
      </c>
      <c r="B92748">
        <f>TEXT(92747, "[$-0E0000]yyyy-mm-dd")</f>
        <v/>
      </c>
    </row>
    <row r="92749">
      <c r="A92749" s="1" t="n">
        <v>92748</v>
      </c>
      <c r="B92749">
        <f>TEXT(92748, "[$-0E0000]yyyy-mm-dd")</f>
        <v/>
      </c>
    </row>
    <row r="92750">
      <c r="A92750" s="1" t="n">
        <v>92749</v>
      </c>
      <c r="B92750">
        <f>TEXT(92749, "[$-0E0000]yyyy-mm-dd")</f>
        <v/>
      </c>
    </row>
    <row r="92751">
      <c r="A92751" s="1" t="n">
        <v>92750</v>
      </c>
      <c r="B92751">
        <f>TEXT(92750, "[$-0E0000]yyyy-mm-dd")</f>
        <v/>
      </c>
    </row>
    <row r="92752">
      <c r="A92752" s="1" t="n">
        <v>92751</v>
      </c>
      <c r="B92752">
        <f>TEXT(92751, "[$-0E0000]yyyy-mm-dd")</f>
        <v/>
      </c>
    </row>
    <row r="92753">
      <c r="A92753" s="1" t="n">
        <v>92752</v>
      </c>
      <c r="B92753">
        <f>TEXT(92752, "[$-0E0000]yyyy-mm-dd")</f>
        <v/>
      </c>
    </row>
    <row r="92754">
      <c r="A92754" s="1" t="n">
        <v>92753</v>
      </c>
      <c r="B92754">
        <f>TEXT(92753, "[$-0E0000]yyyy-mm-dd")</f>
        <v/>
      </c>
    </row>
    <row r="92755">
      <c r="A92755" s="1" t="n">
        <v>92754</v>
      </c>
      <c r="B92755">
        <f>TEXT(92754, "[$-0E0000]yyyy-mm-dd")</f>
        <v/>
      </c>
    </row>
    <row r="92756">
      <c r="A92756" s="1" t="n">
        <v>92755</v>
      </c>
      <c r="B92756">
        <f>TEXT(92755, "[$-0E0000]yyyy-mm-dd")</f>
        <v/>
      </c>
    </row>
    <row r="92757">
      <c r="A92757" s="1" t="n">
        <v>92756</v>
      </c>
      <c r="B92757">
        <f>TEXT(92756, "[$-0E0000]yyyy-mm-dd")</f>
        <v/>
      </c>
    </row>
    <row r="92758">
      <c r="A92758" s="1" t="n">
        <v>92757</v>
      </c>
      <c r="B92758">
        <f>TEXT(92757, "[$-0E0000]yyyy-mm-dd")</f>
        <v/>
      </c>
    </row>
    <row r="92759">
      <c r="A92759" s="1" t="n">
        <v>92758</v>
      </c>
      <c r="B92759">
        <f>TEXT(92758, "[$-0E0000]yyyy-mm-dd")</f>
        <v/>
      </c>
    </row>
    <row r="92760">
      <c r="A92760" s="1" t="n">
        <v>92759</v>
      </c>
      <c r="B92760">
        <f>TEXT(92759, "[$-0E0000]yyyy-mm-dd")</f>
        <v/>
      </c>
    </row>
    <row r="92761">
      <c r="A92761" s="1" t="n">
        <v>92760</v>
      </c>
      <c r="B92761">
        <f>TEXT(92760, "[$-0E0000]yyyy-mm-dd")</f>
        <v/>
      </c>
    </row>
    <row r="92762">
      <c r="A92762" s="1" t="n">
        <v>92761</v>
      </c>
      <c r="B92762">
        <f>TEXT(92761, "[$-0E0000]yyyy-mm-dd")</f>
        <v/>
      </c>
    </row>
    <row r="92763">
      <c r="A92763" s="1" t="n">
        <v>92762</v>
      </c>
      <c r="B92763">
        <f>TEXT(92762, "[$-0E0000]yyyy-mm-dd")</f>
        <v/>
      </c>
    </row>
    <row r="92764">
      <c r="A92764" s="1" t="n">
        <v>92763</v>
      </c>
      <c r="B92764">
        <f>TEXT(92763, "[$-0E0000]yyyy-mm-dd")</f>
        <v/>
      </c>
    </row>
    <row r="92765">
      <c r="A92765" s="1" t="n">
        <v>92764</v>
      </c>
      <c r="B92765">
        <f>TEXT(92764, "[$-0E0000]yyyy-mm-dd")</f>
        <v/>
      </c>
    </row>
    <row r="92766">
      <c r="A92766" s="1" t="n">
        <v>92765</v>
      </c>
      <c r="B92766">
        <f>TEXT(92765, "[$-0E0000]yyyy-mm-dd")</f>
        <v/>
      </c>
    </row>
    <row r="92767">
      <c r="A92767" s="1" t="n">
        <v>92766</v>
      </c>
      <c r="B92767">
        <f>TEXT(92766, "[$-0E0000]yyyy-mm-dd")</f>
        <v/>
      </c>
    </row>
    <row r="92768">
      <c r="A92768" s="1" t="n">
        <v>92767</v>
      </c>
      <c r="B92768">
        <f>TEXT(92767, "[$-0E0000]yyyy-mm-dd")</f>
        <v/>
      </c>
    </row>
    <row r="92769">
      <c r="A92769" s="1" t="n">
        <v>92768</v>
      </c>
      <c r="B92769">
        <f>TEXT(92768, "[$-0E0000]yyyy-mm-dd")</f>
        <v/>
      </c>
    </row>
    <row r="92770">
      <c r="A92770" s="1" t="n">
        <v>92769</v>
      </c>
      <c r="B92770">
        <f>TEXT(92769, "[$-0E0000]yyyy-mm-dd")</f>
        <v/>
      </c>
    </row>
    <row r="92771">
      <c r="A92771" s="1" t="n">
        <v>92770</v>
      </c>
      <c r="B92771">
        <f>TEXT(92770, "[$-0E0000]yyyy-mm-dd")</f>
        <v/>
      </c>
    </row>
    <row r="92772">
      <c r="A92772" s="1" t="n">
        <v>92771</v>
      </c>
      <c r="B92772">
        <f>TEXT(92771, "[$-0E0000]yyyy-mm-dd")</f>
        <v/>
      </c>
    </row>
    <row r="92773">
      <c r="A92773" s="1" t="n">
        <v>92772</v>
      </c>
      <c r="B92773">
        <f>TEXT(92772, "[$-0E0000]yyyy-mm-dd")</f>
        <v/>
      </c>
    </row>
    <row r="92774">
      <c r="A92774" s="1" t="n">
        <v>92773</v>
      </c>
      <c r="B92774">
        <f>TEXT(92773, "[$-0E0000]yyyy-mm-dd")</f>
        <v/>
      </c>
    </row>
    <row r="92775">
      <c r="A92775" s="1" t="n">
        <v>92774</v>
      </c>
      <c r="B92775">
        <f>TEXT(92774, "[$-0E0000]yyyy-mm-dd")</f>
        <v/>
      </c>
    </row>
    <row r="92776">
      <c r="A92776" s="1" t="n">
        <v>92775</v>
      </c>
      <c r="B92776">
        <f>TEXT(92775, "[$-0E0000]yyyy-mm-dd")</f>
        <v/>
      </c>
    </row>
    <row r="92777">
      <c r="A92777" s="1" t="n">
        <v>92776</v>
      </c>
      <c r="B92777">
        <f>TEXT(92776, "[$-0E0000]yyyy-mm-dd")</f>
        <v/>
      </c>
    </row>
    <row r="92778">
      <c r="A92778" s="1" t="n">
        <v>92777</v>
      </c>
      <c r="B92778">
        <f>TEXT(92777, "[$-0E0000]yyyy-mm-dd")</f>
        <v/>
      </c>
    </row>
    <row r="92779">
      <c r="A92779" s="1" t="n">
        <v>92778</v>
      </c>
      <c r="B92779">
        <f>TEXT(92778, "[$-0E0000]yyyy-mm-dd")</f>
        <v/>
      </c>
    </row>
    <row r="92780">
      <c r="A92780" s="1" t="n">
        <v>92779</v>
      </c>
      <c r="B92780">
        <f>TEXT(92779, "[$-0E0000]yyyy-mm-dd")</f>
        <v/>
      </c>
    </row>
    <row r="92781">
      <c r="A92781" s="1" t="n">
        <v>92780</v>
      </c>
      <c r="B92781">
        <f>TEXT(92780, "[$-0E0000]yyyy-mm-dd")</f>
        <v/>
      </c>
    </row>
    <row r="92782">
      <c r="A92782" s="1" t="n">
        <v>92781</v>
      </c>
      <c r="B92782">
        <f>TEXT(92781, "[$-0E0000]yyyy-mm-dd")</f>
        <v/>
      </c>
    </row>
    <row r="92783">
      <c r="A92783" s="1" t="n">
        <v>92782</v>
      </c>
      <c r="B92783">
        <f>TEXT(92782, "[$-0E0000]yyyy-mm-dd")</f>
        <v/>
      </c>
    </row>
    <row r="92784">
      <c r="A92784" s="1" t="n">
        <v>92783</v>
      </c>
      <c r="B92784">
        <f>TEXT(92783, "[$-0E0000]yyyy-mm-dd")</f>
        <v/>
      </c>
    </row>
    <row r="92785">
      <c r="A92785" s="1" t="n">
        <v>92784</v>
      </c>
      <c r="B92785">
        <f>TEXT(92784, "[$-0E0000]yyyy-mm-dd")</f>
        <v/>
      </c>
    </row>
    <row r="92786">
      <c r="A92786" s="1" t="n">
        <v>92785</v>
      </c>
      <c r="B92786">
        <f>TEXT(92785, "[$-0E0000]yyyy-mm-dd")</f>
        <v/>
      </c>
    </row>
    <row r="92787">
      <c r="A92787" s="1" t="n">
        <v>92786</v>
      </c>
      <c r="B92787">
        <f>TEXT(92786, "[$-0E0000]yyyy-mm-dd")</f>
        <v/>
      </c>
    </row>
    <row r="92788">
      <c r="A92788" s="1" t="n">
        <v>92787</v>
      </c>
      <c r="B92788">
        <f>TEXT(92787, "[$-0E0000]yyyy-mm-dd")</f>
        <v/>
      </c>
    </row>
    <row r="92789">
      <c r="A92789" s="1" t="n">
        <v>92788</v>
      </c>
      <c r="B92789">
        <f>TEXT(92788, "[$-0E0000]yyyy-mm-dd")</f>
        <v/>
      </c>
    </row>
    <row r="92790">
      <c r="A92790" s="1" t="n">
        <v>92789</v>
      </c>
      <c r="B92790">
        <f>TEXT(92789, "[$-0E0000]yyyy-mm-dd")</f>
        <v/>
      </c>
    </row>
    <row r="92791">
      <c r="A92791" s="1" t="n">
        <v>92790</v>
      </c>
      <c r="B92791">
        <f>TEXT(92790, "[$-0E0000]yyyy-mm-dd")</f>
        <v/>
      </c>
    </row>
    <row r="92792">
      <c r="A92792" s="1" t="n">
        <v>92791</v>
      </c>
      <c r="B92792">
        <f>TEXT(92791, "[$-0E0000]yyyy-mm-dd")</f>
        <v/>
      </c>
    </row>
    <row r="92793">
      <c r="A92793" s="1" t="n">
        <v>92792</v>
      </c>
      <c r="B92793">
        <f>TEXT(92792, "[$-0E0000]yyyy-mm-dd")</f>
        <v/>
      </c>
    </row>
    <row r="92794">
      <c r="A92794" s="1" t="n">
        <v>92793</v>
      </c>
      <c r="B92794">
        <f>TEXT(92793, "[$-0E0000]yyyy-mm-dd")</f>
        <v/>
      </c>
    </row>
    <row r="92795">
      <c r="A92795" s="1" t="n">
        <v>92794</v>
      </c>
      <c r="B92795">
        <f>TEXT(92794, "[$-0E0000]yyyy-mm-dd")</f>
        <v/>
      </c>
    </row>
    <row r="92796">
      <c r="A92796" s="1" t="n">
        <v>92795</v>
      </c>
      <c r="B92796">
        <f>TEXT(92795, "[$-0E0000]yyyy-mm-dd")</f>
        <v/>
      </c>
    </row>
    <row r="92797">
      <c r="A92797" s="1" t="n">
        <v>92796</v>
      </c>
      <c r="B92797">
        <f>TEXT(92796, "[$-0E0000]yyyy-mm-dd")</f>
        <v/>
      </c>
    </row>
    <row r="92798">
      <c r="A92798" s="1" t="n">
        <v>92797</v>
      </c>
      <c r="B92798">
        <f>TEXT(92797, "[$-0E0000]yyyy-mm-dd")</f>
        <v/>
      </c>
    </row>
    <row r="92799">
      <c r="A92799" s="1" t="n">
        <v>92798</v>
      </c>
      <c r="B92799">
        <f>TEXT(92798, "[$-0E0000]yyyy-mm-dd")</f>
        <v/>
      </c>
    </row>
    <row r="92800">
      <c r="A92800" s="1" t="n">
        <v>92799</v>
      </c>
      <c r="B92800">
        <f>TEXT(92799, "[$-0E0000]yyyy-mm-dd")</f>
        <v/>
      </c>
    </row>
    <row r="92801">
      <c r="A92801" s="1" t="n">
        <v>92800</v>
      </c>
      <c r="B92801">
        <f>TEXT(92800, "[$-0E0000]yyyy-mm-dd")</f>
        <v/>
      </c>
    </row>
    <row r="92802">
      <c r="A92802" s="1" t="n">
        <v>92801</v>
      </c>
      <c r="B92802">
        <f>TEXT(92801, "[$-0E0000]yyyy-mm-dd")</f>
        <v/>
      </c>
    </row>
    <row r="92803">
      <c r="A92803" s="1" t="n">
        <v>92802</v>
      </c>
      <c r="B92803">
        <f>TEXT(92802, "[$-0E0000]yyyy-mm-dd")</f>
        <v/>
      </c>
    </row>
    <row r="92804">
      <c r="A92804" s="1" t="n">
        <v>92803</v>
      </c>
      <c r="B92804">
        <f>TEXT(92803, "[$-0E0000]yyyy-mm-dd")</f>
        <v/>
      </c>
    </row>
    <row r="92805">
      <c r="A92805" s="1" t="n">
        <v>92804</v>
      </c>
      <c r="B92805">
        <f>TEXT(92804, "[$-0E0000]yyyy-mm-dd")</f>
        <v/>
      </c>
    </row>
    <row r="92806">
      <c r="A92806" s="1" t="n">
        <v>92805</v>
      </c>
      <c r="B92806">
        <f>TEXT(92805, "[$-0E0000]yyyy-mm-dd")</f>
        <v/>
      </c>
    </row>
    <row r="92807">
      <c r="A92807" s="1" t="n">
        <v>92806</v>
      </c>
      <c r="B92807">
        <f>TEXT(92806, "[$-0E0000]yyyy-mm-dd")</f>
        <v/>
      </c>
    </row>
    <row r="92808">
      <c r="A92808" s="1" t="n">
        <v>92807</v>
      </c>
      <c r="B92808">
        <f>TEXT(92807, "[$-0E0000]yyyy-mm-dd")</f>
        <v/>
      </c>
    </row>
    <row r="92809">
      <c r="A92809" s="1" t="n">
        <v>92808</v>
      </c>
      <c r="B92809">
        <f>TEXT(92808, "[$-0E0000]yyyy-mm-dd")</f>
        <v/>
      </c>
    </row>
    <row r="92810">
      <c r="A92810" s="1" t="n">
        <v>92809</v>
      </c>
      <c r="B92810">
        <f>TEXT(92809, "[$-0E0000]yyyy-mm-dd")</f>
        <v/>
      </c>
    </row>
    <row r="92811">
      <c r="A92811" s="1" t="n">
        <v>92810</v>
      </c>
      <c r="B92811">
        <f>TEXT(92810, "[$-0E0000]yyyy-mm-dd")</f>
        <v/>
      </c>
    </row>
    <row r="92812">
      <c r="A92812" s="1" t="n">
        <v>92811</v>
      </c>
      <c r="B92812">
        <f>TEXT(92811, "[$-0E0000]yyyy-mm-dd")</f>
        <v/>
      </c>
    </row>
    <row r="92813">
      <c r="A92813" s="1" t="n">
        <v>92812</v>
      </c>
      <c r="B92813">
        <f>TEXT(92812, "[$-0E0000]yyyy-mm-dd")</f>
        <v/>
      </c>
    </row>
    <row r="92814">
      <c r="A92814" s="1" t="n">
        <v>92813</v>
      </c>
      <c r="B92814">
        <f>TEXT(92813, "[$-0E0000]yyyy-mm-dd")</f>
        <v/>
      </c>
    </row>
    <row r="92815">
      <c r="A92815" s="1" t="n">
        <v>92814</v>
      </c>
      <c r="B92815">
        <f>TEXT(92814, "[$-0E0000]yyyy-mm-dd")</f>
        <v/>
      </c>
    </row>
    <row r="92816">
      <c r="A92816" s="1" t="n">
        <v>92815</v>
      </c>
      <c r="B92816">
        <f>TEXT(92815, "[$-0E0000]yyyy-mm-dd")</f>
        <v/>
      </c>
    </row>
    <row r="92817">
      <c r="A92817" s="1" t="n">
        <v>92816</v>
      </c>
      <c r="B92817">
        <f>TEXT(92816, "[$-0E0000]yyyy-mm-dd")</f>
        <v/>
      </c>
    </row>
    <row r="92818">
      <c r="A92818" s="1" t="n">
        <v>92817</v>
      </c>
      <c r="B92818">
        <f>TEXT(92817, "[$-0E0000]yyyy-mm-dd")</f>
        <v/>
      </c>
    </row>
    <row r="92819">
      <c r="A92819" s="1" t="n">
        <v>92818</v>
      </c>
      <c r="B92819">
        <f>TEXT(92818, "[$-0E0000]yyyy-mm-dd")</f>
        <v/>
      </c>
    </row>
    <row r="92820">
      <c r="A92820" s="1" t="n">
        <v>92819</v>
      </c>
      <c r="B92820">
        <f>TEXT(92819, "[$-0E0000]yyyy-mm-dd")</f>
        <v/>
      </c>
    </row>
    <row r="92821">
      <c r="A92821" s="1" t="n">
        <v>92820</v>
      </c>
      <c r="B92821">
        <f>TEXT(92820, "[$-0E0000]yyyy-mm-dd")</f>
        <v/>
      </c>
    </row>
    <row r="92822">
      <c r="A92822" s="1" t="n">
        <v>92821</v>
      </c>
      <c r="B92822">
        <f>TEXT(92821, "[$-0E0000]yyyy-mm-dd")</f>
        <v/>
      </c>
    </row>
    <row r="92823">
      <c r="A92823" s="1" t="n">
        <v>92822</v>
      </c>
      <c r="B92823">
        <f>TEXT(92822, "[$-0E0000]yyyy-mm-dd")</f>
        <v/>
      </c>
    </row>
    <row r="92824">
      <c r="A92824" s="1" t="n">
        <v>92823</v>
      </c>
      <c r="B92824">
        <f>TEXT(92823, "[$-0E0000]yyyy-mm-dd")</f>
        <v/>
      </c>
    </row>
    <row r="92825">
      <c r="A92825" s="1" t="n">
        <v>92824</v>
      </c>
      <c r="B92825">
        <f>TEXT(92824, "[$-0E0000]yyyy-mm-dd")</f>
        <v/>
      </c>
    </row>
    <row r="92826">
      <c r="A92826" s="1" t="n">
        <v>92825</v>
      </c>
      <c r="B92826">
        <f>TEXT(92825, "[$-0E0000]yyyy-mm-dd")</f>
        <v/>
      </c>
    </row>
    <row r="92827">
      <c r="A92827" s="1" t="n">
        <v>92826</v>
      </c>
      <c r="B92827">
        <f>TEXT(92826, "[$-0E0000]yyyy-mm-dd")</f>
        <v/>
      </c>
    </row>
    <row r="92828">
      <c r="A92828" s="1" t="n">
        <v>92827</v>
      </c>
      <c r="B92828">
        <f>TEXT(92827, "[$-0E0000]yyyy-mm-dd")</f>
        <v/>
      </c>
    </row>
    <row r="92829">
      <c r="A92829" s="1" t="n">
        <v>92828</v>
      </c>
      <c r="B92829">
        <f>TEXT(92828, "[$-0E0000]yyyy-mm-dd")</f>
        <v/>
      </c>
    </row>
    <row r="92830">
      <c r="A92830" s="1" t="n">
        <v>92829</v>
      </c>
      <c r="B92830">
        <f>TEXT(92829, "[$-0E0000]yyyy-mm-dd")</f>
        <v/>
      </c>
    </row>
    <row r="92831">
      <c r="A92831" s="1" t="n">
        <v>92830</v>
      </c>
      <c r="B92831">
        <f>TEXT(92830, "[$-0E0000]yyyy-mm-dd")</f>
        <v/>
      </c>
    </row>
    <row r="92832">
      <c r="A92832" s="1" t="n">
        <v>92831</v>
      </c>
      <c r="B92832">
        <f>TEXT(92831, "[$-0E0000]yyyy-mm-dd")</f>
        <v/>
      </c>
    </row>
    <row r="92833">
      <c r="A92833" s="1" t="n">
        <v>92832</v>
      </c>
      <c r="B92833">
        <f>TEXT(92832, "[$-0E0000]yyyy-mm-dd")</f>
        <v/>
      </c>
    </row>
    <row r="92834">
      <c r="A92834" s="1" t="n">
        <v>92833</v>
      </c>
      <c r="B92834">
        <f>TEXT(92833, "[$-0E0000]yyyy-mm-dd")</f>
        <v/>
      </c>
    </row>
    <row r="92835">
      <c r="A92835" s="1" t="n">
        <v>92834</v>
      </c>
      <c r="B92835">
        <f>TEXT(92834, "[$-0E0000]yyyy-mm-dd")</f>
        <v/>
      </c>
    </row>
    <row r="92836">
      <c r="A92836" s="1" t="n">
        <v>92835</v>
      </c>
      <c r="B92836">
        <f>TEXT(92835, "[$-0E0000]yyyy-mm-dd")</f>
        <v/>
      </c>
    </row>
    <row r="92837">
      <c r="A92837" s="1" t="n">
        <v>92836</v>
      </c>
      <c r="B92837">
        <f>TEXT(92836, "[$-0E0000]yyyy-mm-dd")</f>
        <v/>
      </c>
    </row>
    <row r="92838">
      <c r="A92838" s="1" t="n">
        <v>92837</v>
      </c>
      <c r="B92838">
        <f>TEXT(92837, "[$-0E0000]yyyy-mm-dd")</f>
        <v/>
      </c>
    </row>
    <row r="92839">
      <c r="A92839" s="1" t="n">
        <v>92838</v>
      </c>
      <c r="B92839">
        <f>TEXT(92838, "[$-0E0000]yyyy-mm-dd")</f>
        <v/>
      </c>
    </row>
    <row r="92840">
      <c r="A92840" s="1" t="n">
        <v>92839</v>
      </c>
      <c r="B92840">
        <f>TEXT(92839, "[$-0E0000]yyyy-mm-dd")</f>
        <v/>
      </c>
    </row>
    <row r="92841">
      <c r="A92841" s="1" t="n">
        <v>92840</v>
      </c>
      <c r="B92841">
        <f>TEXT(92840, "[$-0E0000]yyyy-mm-dd")</f>
        <v/>
      </c>
    </row>
    <row r="92842">
      <c r="A92842" s="1" t="n">
        <v>92841</v>
      </c>
      <c r="B92842">
        <f>TEXT(92841, "[$-0E0000]yyyy-mm-dd")</f>
        <v/>
      </c>
    </row>
    <row r="92843">
      <c r="A92843" s="1" t="n">
        <v>92842</v>
      </c>
      <c r="B92843">
        <f>TEXT(92842, "[$-0E0000]yyyy-mm-dd")</f>
        <v/>
      </c>
    </row>
    <row r="92844">
      <c r="A92844" s="1" t="n">
        <v>92843</v>
      </c>
      <c r="B92844">
        <f>TEXT(92843, "[$-0E0000]yyyy-mm-dd")</f>
        <v/>
      </c>
    </row>
    <row r="92845">
      <c r="A92845" s="1" t="n">
        <v>92844</v>
      </c>
      <c r="B92845">
        <f>TEXT(92844, "[$-0E0000]yyyy-mm-dd")</f>
        <v/>
      </c>
    </row>
    <row r="92846">
      <c r="A92846" s="1" t="n">
        <v>92845</v>
      </c>
      <c r="B92846">
        <f>TEXT(92845, "[$-0E0000]yyyy-mm-dd")</f>
        <v/>
      </c>
    </row>
    <row r="92847">
      <c r="A92847" s="1" t="n">
        <v>92846</v>
      </c>
      <c r="B92847">
        <f>TEXT(92846, "[$-0E0000]yyyy-mm-dd")</f>
        <v/>
      </c>
    </row>
    <row r="92848">
      <c r="A92848" s="1" t="n">
        <v>92847</v>
      </c>
      <c r="B92848">
        <f>TEXT(92847, "[$-0E0000]yyyy-mm-dd")</f>
        <v/>
      </c>
    </row>
    <row r="92849">
      <c r="A92849" s="1" t="n">
        <v>92848</v>
      </c>
      <c r="B92849">
        <f>TEXT(92848, "[$-0E0000]yyyy-mm-dd")</f>
        <v/>
      </c>
    </row>
    <row r="92850">
      <c r="A92850" s="1" t="n">
        <v>92849</v>
      </c>
      <c r="B92850">
        <f>TEXT(92849, "[$-0E0000]yyyy-mm-dd")</f>
        <v/>
      </c>
    </row>
    <row r="92851">
      <c r="A92851" s="1" t="n">
        <v>92850</v>
      </c>
      <c r="B92851">
        <f>TEXT(92850, "[$-0E0000]yyyy-mm-dd")</f>
        <v/>
      </c>
    </row>
    <row r="92852">
      <c r="A92852" s="1" t="n">
        <v>92851</v>
      </c>
      <c r="B92852">
        <f>TEXT(92851, "[$-0E0000]yyyy-mm-dd")</f>
        <v/>
      </c>
    </row>
    <row r="92853">
      <c r="A92853" s="1" t="n">
        <v>92852</v>
      </c>
      <c r="B92853">
        <f>TEXT(92852, "[$-0E0000]yyyy-mm-dd")</f>
        <v/>
      </c>
    </row>
    <row r="92854">
      <c r="A92854" s="1" t="n">
        <v>92853</v>
      </c>
      <c r="B92854">
        <f>TEXT(92853, "[$-0E0000]yyyy-mm-dd")</f>
        <v/>
      </c>
    </row>
    <row r="92855">
      <c r="A92855" s="1" t="n">
        <v>92854</v>
      </c>
      <c r="B92855">
        <f>TEXT(92854, "[$-0E0000]yyyy-mm-dd")</f>
        <v/>
      </c>
    </row>
    <row r="92856">
      <c r="A92856" s="1" t="n">
        <v>92855</v>
      </c>
      <c r="B92856">
        <f>TEXT(92855, "[$-0E0000]yyyy-mm-dd")</f>
        <v/>
      </c>
    </row>
    <row r="92857">
      <c r="A92857" s="1" t="n">
        <v>92856</v>
      </c>
      <c r="B92857">
        <f>TEXT(92856, "[$-0E0000]yyyy-mm-dd")</f>
        <v/>
      </c>
    </row>
    <row r="92858">
      <c r="A92858" s="1" t="n">
        <v>92857</v>
      </c>
      <c r="B92858">
        <f>TEXT(92857, "[$-0E0000]yyyy-mm-dd")</f>
        <v/>
      </c>
    </row>
    <row r="92859">
      <c r="A92859" s="1" t="n">
        <v>92858</v>
      </c>
      <c r="B92859">
        <f>TEXT(92858, "[$-0E0000]yyyy-mm-dd")</f>
        <v/>
      </c>
    </row>
    <row r="92860">
      <c r="A92860" s="1" t="n">
        <v>92859</v>
      </c>
      <c r="B92860">
        <f>TEXT(92859, "[$-0E0000]yyyy-mm-dd")</f>
        <v/>
      </c>
    </row>
    <row r="92861">
      <c r="A92861" s="1" t="n">
        <v>92860</v>
      </c>
      <c r="B92861">
        <f>TEXT(92860, "[$-0E0000]yyyy-mm-dd")</f>
        <v/>
      </c>
    </row>
    <row r="92862">
      <c r="A92862" s="1" t="n">
        <v>92861</v>
      </c>
      <c r="B92862">
        <f>TEXT(92861, "[$-0E0000]yyyy-mm-dd")</f>
        <v/>
      </c>
    </row>
    <row r="92863">
      <c r="A92863" s="1" t="n">
        <v>92862</v>
      </c>
      <c r="B92863">
        <f>TEXT(92862, "[$-0E0000]yyyy-mm-dd")</f>
        <v/>
      </c>
    </row>
    <row r="92864">
      <c r="A92864" s="1" t="n">
        <v>92863</v>
      </c>
      <c r="B92864">
        <f>TEXT(92863, "[$-0E0000]yyyy-mm-dd")</f>
        <v/>
      </c>
    </row>
    <row r="92865">
      <c r="A92865" s="1" t="n">
        <v>92864</v>
      </c>
      <c r="B92865">
        <f>TEXT(92864, "[$-0E0000]yyyy-mm-dd")</f>
        <v/>
      </c>
    </row>
    <row r="92866">
      <c r="A92866" s="1" t="n">
        <v>92865</v>
      </c>
      <c r="B92866">
        <f>TEXT(92865, "[$-0E0000]yyyy-mm-dd")</f>
        <v/>
      </c>
    </row>
    <row r="92867">
      <c r="A92867" s="1" t="n">
        <v>92866</v>
      </c>
      <c r="B92867">
        <f>TEXT(92866, "[$-0E0000]yyyy-mm-dd")</f>
        <v/>
      </c>
    </row>
    <row r="92868">
      <c r="A92868" s="1" t="n">
        <v>92867</v>
      </c>
      <c r="B92868">
        <f>TEXT(92867, "[$-0E0000]yyyy-mm-dd")</f>
        <v/>
      </c>
    </row>
    <row r="92869">
      <c r="A92869" s="1" t="n">
        <v>92868</v>
      </c>
      <c r="B92869">
        <f>TEXT(92868, "[$-0E0000]yyyy-mm-dd")</f>
        <v/>
      </c>
    </row>
    <row r="92870">
      <c r="A92870" s="1" t="n">
        <v>92869</v>
      </c>
      <c r="B92870">
        <f>TEXT(92869, "[$-0E0000]yyyy-mm-dd")</f>
        <v/>
      </c>
    </row>
    <row r="92871">
      <c r="A92871" s="1" t="n">
        <v>92870</v>
      </c>
      <c r="B92871">
        <f>TEXT(92870, "[$-0E0000]yyyy-mm-dd")</f>
        <v/>
      </c>
    </row>
    <row r="92872">
      <c r="A92872" s="1" t="n">
        <v>92871</v>
      </c>
      <c r="B92872">
        <f>TEXT(92871, "[$-0E0000]yyyy-mm-dd")</f>
        <v/>
      </c>
    </row>
    <row r="92873">
      <c r="A92873" s="1" t="n">
        <v>92872</v>
      </c>
      <c r="B92873">
        <f>TEXT(92872, "[$-0E0000]yyyy-mm-dd")</f>
        <v/>
      </c>
    </row>
    <row r="92874">
      <c r="A92874" s="1" t="n">
        <v>92873</v>
      </c>
      <c r="B92874">
        <f>TEXT(92873, "[$-0E0000]yyyy-mm-dd")</f>
        <v/>
      </c>
    </row>
    <row r="92875">
      <c r="A92875" s="1" t="n">
        <v>92874</v>
      </c>
      <c r="B92875">
        <f>TEXT(92874, "[$-0E0000]yyyy-mm-dd")</f>
        <v/>
      </c>
    </row>
    <row r="92876">
      <c r="A92876" s="1" t="n">
        <v>92875</v>
      </c>
      <c r="B92876">
        <f>TEXT(92875, "[$-0E0000]yyyy-mm-dd")</f>
        <v/>
      </c>
    </row>
    <row r="92877">
      <c r="A92877" s="1" t="n">
        <v>92876</v>
      </c>
      <c r="B92877">
        <f>TEXT(92876, "[$-0E0000]yyyy-mm-dd")</f>
        <v/>
      </c>
    </row>
    <row r="92878">
      <c r="A92878" s="1" t="n">
        <v>92877</v>
      </c>
      <c r="B92878">
        <f>TEXT(92877, "[$-0E0000]yyyy-mm-dd")</f>
        <v/>
      </c>
    </row>
    <row r="92879">
      <c r="A92879" s="1" t="n">
        <v>92878</v>
      </c>
      <c r="B92879">
        <f>TEXT(92878, "[$-0E0000]yyyy-mm-dd")</f>
        <v/>
      </c>
    </row>
    <row r="92880">
      <c r="A92880" s="1" t="n">
        <v>92879</v>
      </c>
      <c r="B92880">
        <f>TEXT(92879, "[$-0E0000]yyyy-mm-dd")</f>
        <v/>
      </c>
    </row>
    <row r="92881">
      <c r="A92881" s="1" t="n">
        <v>92880</v>
      </c>
      <c r="B92881">
        <f>TEXT(92880, "[$-0E0000]yyyy-mm-dd")</f>
        <v/>
      </c>
    </row>
    <row r="92882">
      <c r="A92882" s="1" t="n">
        <v>92881</v>
      </c>
      <c r="B92882">
        <f>TEXT(92881, "[$-0E0000]yyyy-mm-dd")</f>
        <v/>
      </c>
    </row>
    <row r="92883">
      <c r="A92883" s="1" t="n">
        <v>92882</v>
      </c>
      <c r="B92883">
        <f>TEXT(92882, "[$-0E0000]yyyy-mm-dd")</f>
        <v/>
      </c>
    </row>
    <row r="92884">
      <c r="A92884" s="1" t="n">
        <v>92883</v>
      </c>
      <c r="B92884">
        <f>TEXT(92883, "[$-0E0000]yyyy-mm-dd")</f>
        <v/>
      </c>
    </row>
    <row r="92885">
      <c r="A92885" s="1" t="n">
        <v>92884</v>
      </c>
      <c r="B92885">
        <f>TEXT(92884, "[$-0E0000]yyyy-mm-dd")</f>
        <v/>
      </c>
    </row>
    <row r="92886">
      <c r="A92886" s="1" t="n">
        <v>92885</v>
      </c>
      <c r="B92886">
        <f>TEXT(92885, "[$-0E0000]yyyy-mm-dd")</f>
        <v/>
      </c>
    </row>
    <row r="92887">
      <c r="A92887" s="1" t="n">
        <v>92886</v>
      </c>
      <c r="B92887">
        <f>TEXT(92886, "[$-0E0000]yyyy-mm-dd")</f>
        <v/>
      </c>
    </row>
    <row r="92888">
      <c r="A92888" s="1" t="n">
        <v>92887</v>
      </c>
      <c r="B92888">
        <f>TEXT(92887, "[$-0E0000]yyyy-mm-dd")</f>
        <v/>
      </c>
    </row>
    <row r="92889">
      <c r="A92889" s="1" t="n">
        <v>92888</v>
      </c>
      <c r="B92889">
        <f>TEXT(92888, "[$-0E0000]yyyy-mm-dd")</f>
        <v/>
      </c>
    </row>
    <row r="92890">
      <c r="A92890" s="1" t="n">
        <v>92889</v>
      </c>
      <c r="B92890">
        <f>TEXT(92889, "[$-0E0000]yyyy-mm-dd")</f>
        <v/>
      </c>
    </row>
    <row r="92891">
      <c r="A92891" s="1" t="n">
        <v>92890</v>
      </c>
      <c r="B92891">
        <f>TEXT(92890, "[$-0E0000]yyyy-mm-dd")</f>
        <v/>
      </c>
    </row>
    <row r="92892">
      <c r="A92892" s="1" t="n">
        <v>92891</v>
      </c>
      <c r="B92892">
        <f>TEXT(92891, "[$-0E0000]yyyy-mm-dd")</f>
        <v/>
      </c>
    </row>
    <row r="92893">
      <c r="A92893" s="1" t="n">
        <v>92892</v>
      </c>
      <c r="B92893">
        <f>TEXT(92892, "[$-0E0000]yyyy-mm-dd")</f>
        <v/>
      </c>
    </row>
    <row r="92894">
      <c r="A92894" s="1" t="n">
        <v>92893</v>
      </c>
      <c r="B92894">
        <f>TEXT(92893, "[$-0E0000]yyyy-mm-dd")</f>
        <v/>
      </c>
    </row>
    <row r="92895">
      <c r="A92895" s="1" t="n">
        <v>92894</v>
      </c>
      <c r="B92895">
        <f>TEXT(92894, "[$-0E0000]yyyy-mm-dd")</f>
        <v/>
      </c>
    </row>
    <row r="92896">
      <c r="A92896" s="1" t="n">
        <v>92895</v>
      </c>
      <c r="B92896">
        <f>TEXT(92895, "[$-0E0000]yyyy-mm-dd")</f>
        <v/>
      </c>
    </row>
    <row r="92897">
      <c r="A92897" s="1" t="n">
        <v>92896</v>
      </c>
      <c r="B92897">
        <f>TEXT(92896, "[$-0E0000]yyyy-mm-dd")</f>
        <v/>
      </c>
    </row>
    <row r="92898">
      <c r="A92898" s="1" t="n">
        <v>92897</v>
      </c>
      <c r="B92898">
        <f>TEXT(92897, "[$-0E0000]yyyy-mm-dd")</f>
        <v/>
      </c>
    </row>
    <row r="92899">
      <c r="A92899" s="1" t="n">
        <v>92898</v>
      </c>
      <c r="B92899">
        <f>TEXT(92898, "[$-0E0000]yyyy-mm-dd")</f>
        <v/>
      </c>
    </row>
    <row r="92900">
      <c r="A92900" s="1" t="n">
        <v>92899</v>
      </c>
      <c r="B92900">
        <f>TEXT(92899, "[$-0E0000]yyyy-mm-dd")</f>
        <v/>
      </c>
    </row>
    <row r="92901">
      <c r="A92901" s="1" t="n">
        <v>92900</v>
      </c>
      <c r="B92901">
        <f>TEXT(92900, "[$-0E0000]yyyy-mm-dd")</f>
        <v/>
      </c>
    </row>
    <row r="92902">
      <c r="A92902" s="1" t="n">
        <v>92901</v>
      </c>
      <c r="B92902">
        <f>TEXT(92901, "[$-0E0000]yyyy-mm-dd")</f>
        <v/>
      </c>
    </row>
    <row r="92903">
      <c r="A92903" s="1" t="n">
        <v>92902</v>
      </c>
      <c r="B92903">
        <f>TEXT(92902, "[$-0E0000]yyyy-mm-dd")</f>
        <v/>
      </c>
    </row>
    <row r="92904">
      <c r="A92904" s="1" t="n">
        <v>92903</v>
      </c>
      <c r="B92904">
        <f>TEXT(92903, "[$-0E0000]yyyy-mm-dd")</f>
        <v/>
      </c>
    </row>
    <row r="92905">
      <c r="A92905" s="1" t="n">
        <v>92904</v>
      </c>
      <c r="B92905">
        <f>TEXT(92904, "[$-0E0000]yyyy-mm-dd")</f>
        <v/>
      </c>
    </row>
    <row r="92906">
      <c r="A92906" s="1" t="n">
        <v>92905</v>
      </c>
      <c r="B92906">
        <f>TEXT(92905, "[$-0E0000]yyyy-mm-dd")</f>
        <v/>
      </c>
    </row>
    <row r="92907">
      <c r="A92907" s="1" t="n">
        <v>92906</v>
      </c>
      <c r="B92907">
        <f>TEXT(92906, "[$-0E0000]yyyy-mm-dd")</f>
        <v/>
      </c>
    </row>
    <row r="92908">
      <c r="A92908" s="1" t="n">
        <v>92907</v>
      </c>
      <c r="B92908">
        <f>TEXT(92907, "[$-0E0000]yyyy-mm-dd")</f>
        <v/>
      </c>
    </row>
    <row r="92909">
      <c r="A92909" s="1" t="n">
        <v>92908</v>
      </c>
      <c r="B92909">
        <f>TEXT(92908, "[$-0E0000]yyyy-mm-dd")</f>
        <v/>
      </c>
    </row>
    <row r="92910">
      <c r="A92910" s="1" t="n">
        <v>92909</v>
      </c>
      <c r="B92910">
        <f>TEXT(92909, "[$-0E0000]yyyy-mm-dd")</f>
        <v/>
      </c>
    </row>
    <row r="92911">
      <c r="A92911" s="1" t="n">
        <v>92910</v>
      </c>
      <c r="B92911">
        <f>TEXT(92910, "[$-0E0000]yyyy-mm-dd")</f>
        <v/>
      </c>
    </row>
    <row r="92912">
      <c r="A92912" s="1" t="n">
        <v>92911</v>
      </c>
      <c r="B92912">
        <f>TEXT(92911, "[$-0E0000]yyyy-mm-dd")</f>
        <v/>
      </c>
    </row>
    <row r="92913">
      <c r="A92913" s="1" t="n">
        <v>92912</v>
      </c>
      <c r="B92913">
        <f>TEXT(92912, "[$-0E0000]yyyy-mm-dd")</f>
        <v/>
      </c>
    </row>
    <row r="92914">
      <c r="A92914" s="1" t="n">
        <v>92913</v>
      </c>
      <c r="B92914">
        <f>TEXT(92913, "[$-0E0000]yyyy-mm-dd")</f>
        <v/>
      </c>
    </row>
    <row r="92915">
      <c r="A92915" s="1" t="n">
        <v>92914</v>
      </c>
      <c r="B92915">
        <f>TEXT(92914, "[$-0E0000]yyyy-mm-dd")</f>
        <v/>
      </c>
    </row>
    <row r="92916">
      <c r="A92916" s="1" t="n">
        <v>92915</v>
      </c>
      <c r="B92916">
        <f>TEXT(92915, "[$-0E0000]yyyy-mm-dd")</f>
        <v/>
      </c>
    </row>
    <row r="92917">
      <c r="A92917" s="1" t="n">
        <v>92916</v>
      </c>
      <c r="B92917">
        <f>TEXT(92916, "[$-0E0000]yyyy-mm-dd")</f>
        <v/>
      </c>
    </row>
    <row r="92918">
      <c r="A92918" s="1" t="n">
        <v>92917</v>
      </c>
      <c r="B92918">
        <f>TEXT(92917, "[$-0E0000]yyyy-mm-dd")</f>
        <v/>
      </c>
    </row>
    <row r="92919">
      <c r="A92919" s="1" t="n">
        <v>92918</v>
      </c>
      <c r="B92919">
        <f>TEXT(92918, "[$-0E0000]yyyy-mm-dd")</f>
        <v/>
      </c>
    </row>
    <row r="92920">
      <c r="A92920" s="1" t="n">
        <v>92919</v>
      </c>
      <c r="B92920">
        <f>TEXT(92919, "[$-0E0000]yyyy-mm-dd")</f>
        <v/>
      </c>
    </row>
    <row r="92921">
      <c r="A92921" s="1" t="n">
        <v>92920</v>
      </c>
      <c r="B92921">
        <f>TEXT(92920, "[$-0E0000]yyyy-mm-dd")</f>
        <v/>
      </c>
    </row>
    <row r="92922">
      <c r="A92922" s="1" t="n">
        <v>92921</v>
      </c>
      <c r="B92922">
        <f>TEXT(92921, "[$-0E0000]yyyy-mm-dd")</f>
        <v/>
      </c>
    </row>
    <row r="92923">
      <c r="A92923" s="1" t="n">
        <v>92922</v>
      </c>
      <c r="B92923">
        <f>TEXT(92922, "[$-0E0000]yyyy-mm-dd")</f>
        <v/>
      </c>
    </row>
    <row r="92924">
      <c r="A92924" s="1" t="n">
        <v>92923</v>
      </c>
      <c r="B92924">
        <f>TEXT(92923, "[$-0E0000]yyyy-mm-dd")</f>
        <v/>
      </c>
    </row>
    <row r="92925">
      <c r="A92925" s="1" t="n">
        <v>92924</v>
      </c>
      <c r="B92925">
        <f>TEXT(92924, "[$-0E0000]yyyy-mm-dd")</f>
        <v/>
      </c>
    </row>
    <row r="92926">
      <c r="A92926" s="1" t="n">
        <v>92925</v>
      </c>
      <c r="B92926">
        <f>TEXT(92925, "[$-0E0000]yyyy-mm-dd")</f>
        <v/>
      </c>
    </row>
    <row r="92927">
      <c r="A92927" s="1" t="n">
        <v>92926</v>
      </c>
      <c r="B92927">
        <f>TEXT(92926, "[$-0E0000]yyyy-mm-dd")</f>
        <v/>
      </c>
    </row>
    <row r="92928">
      <c r="A92928" s="1" t="n">
        <v>92927</v>
      </c>
      <c r="B92928">
        <f>TEXT(92927, "[$-0E0000]yyyy-mm-dd")</f>
        <v/>
      </c>
    </row>
    <row r="92929">
      <c r="A92929" s="1" t="n">
        <v>92928</v>
      </c>
      <c r="B92929">
        <f>TEXT(92928, "[$-0E0000]yyyy-mm-dd")</f>
        <v/>
      </c>
    </row>
    <row r="92930">
      <c r="A92930" s="1" t="n">
        <v>92929</v>
      </c>
      <c r="B92930">
        <f>TEXT(92929, "[$-0E0000]yyyy-mm-dd")</f>
        <v/>
      </c>
    </row>
    <row r="92931">
      <c r="A92931" s="1" t="n">
        <v>92930</v>
      </c>
      <c r="B92931">
        <f>TEXT(92930, "[$-0E0000]yyyy-mm-dd")</f>
        <v/>
      </c>
    </row>
    <row r="92932">
      <c r="A92932" s="1" t="n">
        <v>92931</v>
      </c>
      <c r="B92932">
        <f>TEXT(92931, "[$-0E0000]yyyy-mm-dd")</f>
        <v/>
      </c>
    </row>
    <row r="92933">
      <c r="A92933" s="1" t="n">
        <v>92932</v>
      </c>
      <c r="B92933">
        <f>TEXT(92932, "[$-0E0000]yyyy-mm-dd")</f>
        <v/>
      </c>
    </row>
    <row r="92934">
      <c r="A92934" s="1" t="n">
        <v>92933</v>
      </c>
      <c r="B92934">
        <f>TEXT(92933, "[$-0E0000]yyyy-mm-dd")</f>
        <v/>
      </c>
    </row>
    <row r="92935">
      <c r="A92935" s="1" t="n">
        <v>92934</v>
      </c>
      <c r="B92935">
        <f>TEXT(92934, "[$-0E0000]yyyy-mm-dd")</f>
        <v/>
      </c>
    </row>
    <row r="92936">
      <c r="A92936" s="1" t="n">
        <v>92935</v>
      </c>
      <c r="B92936">
        <f>TEXT(92935, "[$-0E0000]yyyy-mm-dd")</f>
        <v/>
      </c>
    </row>
    <row r="92937">
      <c r="A92937" s="1" t="n">
        <v>92936</v>
      </c>
      <c r="B92937">
        <f>TEXT(92936, "[$-0E0000]yyyy-mm-dd")</f>
        <v/>
      </c>
    </row>
    <row r="92938">
      <c r="A92938" s="1" t="n">
        <v>92937</v>
      </c>
      <c r="B92938">
        <f>TEXT(92937, "[$-0E0000]yyyy-mm-dd")</f>
        <v/>
      </c>
    </row>
    <row r="92939">
      <c r="A92939" s="1" t="n">
        <v>92938</v>
      </c>
      <c r="B92939">
        <f>TEXT(92938, "[$-0E0000]yyyy-mm-dd")</f>
        <v/>
      </c>
    </row>
    <row r="92940">
      <c r="A92940" s="1" t="n">
        <v>92939</v>
      </c>
      <c r="B92940">
        <f>TEXT(92939, "[$-0E0000]yyyy-mm-dd")</f>
        <v/>
      </c>
    </row>
    <row r="92941">
      <c r="A92941" s="1" t="n">
        <v>92940</v>
      </c>
      <c r="B92941">
        <f>TEXT(92940, "[$-0E0000]yyyy-mm-dd")</f>
        <v/>
      </c>
    </row>
    <row r="92942">
      <c r="A92942" s="1" t="n">
        <v>92941</v>
      </c>
      <c r="B92942">
        <f>TEXT(92941, "[$-0E0000]yyyy-mm-dd")</f>
        <v/>
      </c>
    </row>
    <row r="92943">
      <c r="A92943" s="1" t="n">
        <v>92942</v>
      </c>
      <c r="B92943">
        <f>TEXT(92942, "[$-0E0000]yyyy-mm-dd")</f>
        <v/>
      </c>
    </row>
    <row r="92944">
      <c r="A92944" s="1" t="n">
        <v>92943</v>
      </c>
      <c r="B92944">
        <f>TEXT(92943, "[$-0E0000]yyyy-mm-dd")</f>
        <v/>
      </c>
    </row>
    <row r="92945">
      <c r="A92945" s="1" t="n">
        <v>92944</v>
      </c>
      <c r="B92945">
        <f>TEXT(92944, "[$-0E0000]yyyy-mm-dd")</f>
        <v/>
      </c>
    </row>
    <row r="92946">
      <c r="A92946" s="1" t="n">
        <v>92945</v>
      </c>
      <c r="B92946">
        <f>TEXT(92945, "[$-0E0000]yyyy-mm-dd")</f>
        <v/>
      </c>
    </row>
    <row r="92947">
      <c r="A92947" s="1" t="n">
        <v>92946</v>
      </c>
      <c r="B92947">
        <f>TEXT(92946, "[$-0E0000]yyyy-mm-dd")</f>
        <v/>
      </c>
    </row>
    <row r="92948">
      <c r="A92948" s="1" t="n">
        <v>92947</v>
      </c>
      <c r="B92948">
        <f>TEXT(92947, "[$-0E0000]yyyy-mm-dd")</f>
        <v/>
      </c>
    </row>
    <row r="92949">
      <c r="A92949" s="1" t="n">
        <v>92948</v>
      </c>
      <c r="B92949">
        <f>TEXT(92948, "[$-0E0000]yyyy-mm-dd")</f>
        <v/>
      </c>
    </row>
    <row r="92950">
      <c r="A92950" s="1" t="n">
        <v>92949</v>
      </c>
      <c r="B92950">
        <f>TEXT(92949, "[$-0E0000]yyyy-mm-dd")</f>
        <v/>
      </c>
    </row>
    <row r="92951">
      <c r="A92951" s="1" t="n">
        <v>92950</v>
      </c>
      <c r="B92951">
        <f>TEXT(92950, "[$-0E0000]yyyy-mm-dd")</f>
        <v/>
      </c>
    </row>
    <row r="92952">
      <c r="A92952" s="1" t="n">
        <v>92951</v>
      </c>
      <c r="B92952">
        <f>TEXT(92951, "[$-0E0000]yyyy-mm-dd")</f>
        <v/>
      </c>
    </row>
    <row r="92953">
      <c r="A92953" s="1" t="n">
        <v>92952</v>
      </c>
      <c r="B92953">
        <f>TEXT(92952, "[$-0E0000]yyyy-mm-dd")</f>
        <v/>
      </c>
    </row>
    <row r="92954">
      <c r="A92954" s="1" t="n">
        <v>92953</v>
      </c>
      <c r="B92954">
        <f>TEXT(92953, "[$-0E0000]yyyy-mm-dd")</f>
        <v/>
      </c>
    </row>
    <row r="92955">
      <c r="A92955" s="1" t="n">
        <v>92954</v>
      </c>
      <c r="B92955">
        <f>TEXT(92954, "[$-0E0000]yyyy-mm-dd")</f>
        <v/>
      </c>
    </row>
    <row r="92956">
      <c r="A92956" s="1" t="n">
        <v>92955</v>
      </c>
      <c r="B92956">
        <f>TEXT(92955, "[$-0E0000]yyyy-mm-dd")</f>
        <v/>
      </c>
    </row>
    <row r="92957">
      <c r="A92957" s="1" t="n">
        <v>92956</v>
      </c>
      <c r="B92957">
        <f>TEXT(92956, "[$-0E0000]yyyy-mm-dd")</f>
        <v/>
      </c>
    </row>
    <row r="92958">
      <c r="A92958" s="1" t="n">
        <v>92957</v>
      </c>
      <c r="B92958">
        <f>TEXT(92957, "[$-0E0000]yyyy-mm-dd")</f>
        <v/>
      </c>
    </row>
    <row r="92959">
      <c r="A92959" s="1" t="n">
        <v>92958</v>
      </c>
      <c r="B92959">
        <f>TEXT(92958, "[$-0E0000]yyyy-mm-dd")</f>
        <v/>
      </c>
    </row>
    <row r="92960">
      <c r="A92960" s="1" t="n">
        <v>92959</v>
      </c>
      <c r="B92960">
        <f>TEXT(92959, "[$-0E0000]yyyy-mm-dd")</f>
        <v/>
      </c>
    </row>
    <row r="92961">
      <c r="A92961" s="1" t="n">
        <v>92960</v>
      </c>
      <c r="B92961">
        <f>TEXT(92960, "[$-0E0000]yyyy-mm-dd")</f>
        <v/>
      </c>
    </row>
    <row r="92962">
      <c r="A92962" s="1" t="n">
        <v>92961</v>
      </c>
      <c r="B92962">
        <f>TEXT(92961, "[$-0E0000]yyyy-mm-dd")</f>
        <v/>
      </c>
    </row>
    <row r="92963">
      <c r="A92963" s="1" t="n">
        <v>92962</v>
      </c>
      <c r="B92963">
        <f>TEXT(92962, "[$-0E0000]yyyy-mm-dd")</f>
        <v/>
      </c>
    </row>
    <row r="92964">
      <c r="A92964" s="1" t="n">
        <v>92963</v>
      </c>
      <c r="B92964">
        <f>TEXT(92963, "[$-0E0000]yyyy-mm-dd")</f>
        <v/>
      </c>
    </row>
    <row r="92965">
      <c r="A92965" s="1" t="n">
        <v>92964</v>
      </c>
      <c r="B92965">
        <f>TEXT(92964, "[$-0E0000]yyyy-mm-dd")</f>
        <v/>
      </c>
    </row>
    <row r="92966">
      <c r="A92966" s="1" t="n">
        <v>92965</v>
      </c>
      <c r="B92966">
        <f>TEXT(92965, "[$-0E0000]yyyy-mm-dd")</f>
        <v/>
      </c>
    </row>
    <row r="92967">
      <c r="A92967" s="1" t="n">
        <v>92966</v>
      </c>
      <c r="B92967">
        <f>TEXT(92966, "[$-0E0000]yyyy-mm-dd")</f>
        <v/>
      </c>
    </row>
    <row r="92968">
      <c r="A92968" s="1" t="n">
        <v>92967</v>
      </c>
      <c r="B92968">
        <f>TEXT(92967, "[$-0E0000]yyyy-mm-dd")</f>
        <v/>
      </c>
    </row>
    <row r="92969">
      <c r="A92969" s="1" t="n">
        <v>92968</v>
      </c>
      <c r="B92969">
        <f>TEXT(92968, "[$-0E0000]yyyy-mm-dd")</f>
        <v/>
      </c>
    </row>
    <row r="92970">
      <c r="A92970" s="1" t="n">
        <v>92969</v>
      </c>
      <c r="B92970">
        <f>TEXT(92969, "[$-0E0000]yyyy-mm-dd")</f>
        <v/>
      </c>
    </row>
    <row r="92971">
      <c r="A92971" s="1" t="n">
        <v>92970</v>
      </c>
      <c r="B92971">
        <f>TEXT(92970, "[$-0E0000]yyyy-mm-dd")</f>
        <v/>
      </c>
    </row>
    <row r="92972">
      <c r="A92972" s="1" t="n">
        <v>92971</v>
      </c>
      <c r="B92972">
        <f>TEXT(92971, "[$-0E0000]yyyy-mm-dd")</f>
        <v/>
      </c>
    </row>
    <row r="92973">
      <c r="A92973" s="1" t="n">
        <v>92972</v>
      </c>
      <c r="B92973">
        <f>TEXT(92972, "[$-0E0000]yyyy-mm-dd")</f>
        <v/>
      </c>
    </row>
    <row r="92974">
      <c r="A92974" s="1" t="n">
        <v>92973</v>
      </c>
      <c r="B92974">
        <f>TEXT(92973, "[$-0E0000]yyyy-mm-dd")</f>
        <v/>
      </c>
    </row>
    <row r="92975">
      <c r="A92975" s="1" t="n">
        <v>92974</v>
      </c>
      <c r="B92975">
        <f>TEXT(92974, "[$-0E0000]yyyy-mm-dd")</f>
        <v/>
      </c>
    </row>
    <row r="92976">
      <c r="A92976" s="1" t="n">
        <v>92975</v>
      </c>
      <c r="B92976">
        <f>TEXT(92975, "[$-0E0000]yyyy-mm-dd")</f>
        <v/>
      </c>
    </row>
    <row r="92977">
      <c r="A92977" s="1" t="n">
        <v>92976</v>
      </c>
      <c r="B92977">
        <f>TEXT(92976, "[$-0E0000]yyyy-mm-dd")</f>
        <v/>
      </c>
    </row>
    <row r="92978">
      <c r="A92978" s="1" t="n">
        <v>92977</v>
      </c>
      <c r="B92978">
        <f>TEXT(92977, "[$-0E0000]yyyy-mm-dd")</f>
        <v/>
      </c>
    </row>
    <row r="92979">
      <c r="A92979" s="1" t="n">
        <v>92978</v>
      </c>
      <c r="B92979">
        <f>TEXT(92978, "[$-0E0000]yyyy-mm-dd")</f>
        <v/>
      </c>
    </row>
    <row r="92980">
      <c r="A92980" s="1" t="n">
        <v>92979</v>
      </c>
      <c r="B92980">
        <f>TEXT(92979, "[$-0E0000]yyyy-mm-dd")</f>
        <v/>
      </c>
    </row>
    <row r="92981">
      <c r="A92981" s="1" t="n">
        <v>92980</v>
      </c>
      <c r="B92981">
        <f>TEXT(92980, "[$-0E0000]yyyy-mm-dd")</f>
        <v/>
      </c>
    </row>
    <row r="92982">
      <c r="A92982" s="1" t="n">
        <v>92981</v>
      </c>
      <c r="B92982">
        <f>TEXT(92981, "[$-0E0000]yyyy-mm-dd")</f>
        <v/>
      </c>
    </row>
    <row r="92983">
      <c r="A92983" s="1" t="n">
        <v>92982</v>
      </c>
      <c r="B92983">
        <f>TEXT(92982, "[$-0E0000]yyyy-mm-dd")</f>
        <v/>
      </c>
    </row>
    <row r="92984">
      <c r="A92984" s="1" t="n">
        <v>92983</v>
      </c>
      <c r="B92984">
        <f>TEXT(92983, "[$-0E0000]yyyy-mm-dd")</f>
        <v/>
      </c>
    </row>
    <row r="92985">
      <c r="A92985" s="1" t="n">
        <v>92984</v>
      </c>
      <c r="B92985">
        <f>TEXT(92984, "[$-0E0000]yyyy-mm-dd")</f>
        <v/>
      </c>
    </row>
    <row r="92986">
      <c r="A92986" s="1" t="n">
        <v>92985</v>
      </c>
      <c r="B92986">
        <f>TEXT(92985, "[$-0E0000]yyyy-mm-dd")</f>
        <v/>
      </c>
    </row>
    <row r="92987">
      <c r="A92987" s="1" t="n">
        <v>92986</v>
      </c>
      <c r="B92987">
        <f>TEXT(92986, "[$-0E0000]yyyy-mm-dd")</f>
        <v/>
      </c>
    </row>
    <row r="92988">
      <c r="A92988" s="1" t="n">
        <v>92987</v>
      </c>
      <c r="B92988">
        <f>TEXT(92987, "[$-0E0000]yyyy-mm-dd")</f>
        <v/>
      </c>
    </row>
    <row r="92989">
      <c r="A92989" s="1" t="n">
        <v>92988</v>
      </c>
      <c r="B92989">
        <f>TEXT(92988, "[$-0E0000]yyyy-mm-dd")</f>
        <v/>
      </c>
    </row>
    <row r="92990">
      <c r="A92990" s="1" t="n">
        <v>92989</v>
      </c>
      <c r="B92990">
        <f>TEXT(92989, "[$-0E0000]yyyy-mm-dd")</f>
        <v/>
      </c>
    </row>
    <row r="92991">
      <c r="A92991" s="1" t="n">
        <v>92990</v>
      </c>
      <c r="B92991">
        <f>TEXT(92990, "[$-0E0000]yyyy-mm-dd")</f>
        <v/>
      </c>
    </row>
    <row r="92992">
      <c r="A92992" s="1" t="n">
        <v>92991</v>
      </c>
      <c r="B92992">
        <f>TEXT(92991, "[$-0E0000]yyyy-mm-dd")</f>
        <v/>
      </c>
    </row>
    <row r="92993">
      <c r="A92993" s="1" t="n">
        <v>92992</v>
      </c>
      <c r="B92993">
        <f>TEXT(92992, "[$-0E0000]yyyy-mm-dd")</f>
        <v/>
      </c>
    </row>
    <row r="92994">
      <c r="A92994" s="1" t="n">
        <v>92993</v>
      </c>
      <c r="B92994">
        <f>TEXT(92993, "[$-0E0000]yyyy-mm-dd")</f>
        <v/>
      </c>
    </row>
    <row r="92995">
      <c r="A92995" s="1" t="n">
        <v>92994</v>
      </c>
      <c r="B92995">
        <f>TEXT(92994, "[$-0E0000]yyyy-mm-dd")</f>
        <v/>
      </c>
    </row>
    <row r="92996">
      <c r="A92996" s="1" t="n">
        <v>92995</v>
      </c>
      <c r="B92996">
        <f>TEXT(92995, "[$-0E0000]yyyy-mm-dd")</f>
        <v/>
      </c>
    </row>
    <row r="92997">
      <c r="A92997" s="1" t="n">
        <v>92996</v>
      </c>
      <c r="B92997">
        <f>TEXT(92996, "[$-0E0000]yyyy-mm-dd")</f>
        <v/>
      </c>
    </row>
    <row r="92998">
      <c r="A92998" s="1" t="n">
        <v>92997</v>
      </c>
      <c r="B92998">
        <f>TEXT(92997, "[$-0E0000]yyyy-mm-dd")</f>
        <v/>
      </c>
    </row>
    <row r="92999">
      <c r="A92999" s="1" t="n">
        <v>92998</v>
      </c>
      <c r="B92999">
        <f>TEXT(92998, "[$-0E0000]yyyy-mm-dd")</f>
        <v/>
      </c>
    </row>
    <row r="93000">
      <c r="A93000" s="1" t="n">
        <v>92999</v>
      </c>
      <c r="B93000">
        <f>TEXT(92999, "[$-0E0000]yyyy-mm-dd")</f>
        <v/>
      </c>
    </row>
    <row r="93001">
      <c r="A93001" s="1" t="n">
        <v>93000</v>
      </c>
      <c r="B93001">
        <f>TEXT(93000, "[$-0E0000]yyyy-mm-dd")</f>
        <v/>
      </c>
    </row>
    <row r="93002">
      <c r="A93002" s="1" t="n">
        <v>93001</v>
      </c>
      <c r="B93002">
        <f>TEXT(93001, "[$-0E0000]yyyy-mm-dd")</f>
        <v/>
      </c>
    </row>
    <row r="93003">
      <c r="A93003" s="1" t="n">
        <v>93002</v>
      </c>
      <c r="B93003">
        <f>TEXT(93002, "[$-0E0000]yyyy-mm-dd")</f>
        <v/>
      </c>
    </row>
    <row r="93004">
      <c r="A93004" s="1" t="n">
        <v>93003</v>
      </c>
      <c r="B93004">
        <f>TEXT(93003, "[$-0E0000]yyyy-mm-dd")</f>
        <v/>
      </c>
    </row>
    <row r="93005">
      <c r="A93005" s="1" t="n">
        <v>93004</v>
      </c>
      <c r="B93005">
        <f>TEXT(93004, "[$-0E0000]yyyy-mm-dd")</f>
        <v/>
      </c>
    </row>
    <row r="93006">
      <c r="A93006" s="1" t="n">
        <v>93005</v>
      </c>
      <c r="B93006">
        <f>TEXT(93005, "[$-0E0000]yyyy-mm-dd")</f>
        <v/>
      </c>
    </row>
    <row r="93007">
      <c r="A93007" s="1" t="n">
        <v>93006</v>
      </c>
      <c r="B93007">
        <f>TEXT(93006, "[$-0E0000]yyyy-mm-dd")</f>
        <v/>
      </c>
    </row>
    <row r="93008">
      <c r="A93008" s="1" t="n">
        <v>93007</v>
      </c>
      <c r="B93008">
        <f>TEXT(93007, "[$-0E0000]yyyy-mm-dd")</f>
        <v/>
      </c>
    </row>
    <row r="93009">
      <c r="A93009" s="1" t="n">
        <v>93008</v>
      </c>
      <c r="B93009">
        <f>TEXT(93008, "[$-0E0000]yyyy-mm-dd")</f>
        <v/>
      </c>
    </row>
    <row r="93010">
      <c r="A93010" s="1" t="n">
        <v>93009</v>
      </c>
      <c r="B93010">
        <f>TEXT(93009, "[$-0E0000]yyyy-mm-dd")</f>
        <v/>
      </c>
    </row>
    <row r="93011">
      <c r="A93011" s="1" t="n">
        <v>93010</v>
      </c>
      <c r="B93011">
        <f>TEXT(93010, "[$-0E0000]yyyy-mm-dd")</f>
        <v/>
      </c>
    </row>
    <row r="93012">
      <c r="A93012" s="1" t="n">
        <v>93011</v>
      </c>
      <c r="B93012">
        <f>TEXT(93011, "[$-0E0000]yyyy-mm-dd")</f>
        <v/>
      </c>
    </row>
    <row r="93013">
      <c r="A93013" s="1" t="n">
        <v>93012</v>
      </c>
      <c r="B93013">
        <f>TEXT(93012, "[$-0E0000]yyyy-mm-dd")</f>
        <v/>
      </c>
    </row>
    <row r="93014">
      <c r="A93014" s="1" t="n">
        <v>93013</v>
      </c>
      <c r="B93014">
        <f>TEXT(93013, "[$-0E0000]yyyy-mm-dd")</f>
        <v/>
      </c>
    </row>
    <row r="93015">
      <c r="A93015" s="1" t="n">
        <v>93014</v>
      </c>
      <c r="B93015">
        <f>TEXT(93014, "[$-0E0000]yyyy-mm-dd")</f>
        <v/>
      </c>
    </row>
    <row r="93016">
      <c r="A93016" s="1" t="n">
        <v>93015</v>
      </c>
      <c r="B93016">
        <f>TEXT(93015, "[$-0E0000]yyyy-mm-dd")</f>
        <v/>
      </c>
    </row>
    <row r="93017">
      <c r="A93017" s="1" t="n">
        <v>93016</v>
      </c>
      <c r="B93017">
        <f>TEXT(93016, "[$-0E0000]yyyy-mm-dd")</f>
        <v/>
      </c>
    </row>
    <row r="93018">
      <c r="A93018" s="1" t="n">
        <v>93017</v>
      </c>
      <c r="B93018">
        <f>TEXT(93017, "[$-0E0000]yyyy-mm-dd")</f>
        <v/>
      </c>
    </row>
    <row r="93019">
      <c r="A93019" s="1" t="n">
        <v>93018</v>
      </c>
      <c r="B93019">
        <f>TEXT(93018, "[$-0E0000]yyyy-mm-dd")</f>
        <v/>
      </c>
    </row>
    <row r="93020">
      <c r="A93020" s="1" t="n">
        <v>93019</v>
      </c>
      <c r="B93020">
        <f>TEXT(93019, "[$-0E0000]yyyy-mm-dd")</f>
        <v/>
      </c>
    </row>
    <row r="93021">
      <c r="A93021" s="1" t="n">
        <v>93020</v>
      </c>
      <c r="B93021">
        <f>TEXT(93020, "[$-0E0000]yyyy-mm-dd")</f>
        <v/>
      </c>
    </row>
    <row r="93022">
      <c r="A93022" s="1" t="n">
        <v>93021</v>
      </c>
      <c r="B93022">
        <f>TEXT(93021, "[$-0E0000]yyyy-mm-dd")</f>
        <v/>
      </c>
    </row>
    <row r="93023">
      <c r="A93023" s="1" t="n">
        <v>93022</v>
      </c>
      <c r="B93023">
        <f>TEXT(93022, "[$-0E0000]yyyy-mm-dd")</f>
        <v/>
      </c>
    </row>
    <row r="93024">
      <c r="A93024" s="1" t="n">
        <v>93023</v>
      </c>
      <c r="B93024">
        <f>TEXT(93023, "[$-0E0000]yyyy-mm-dd")</f>
        <v/>
      </c>
    </row>
    <row r="93025">
      <c r="A93025" s="1" t="n">
        <v>93024</v>
      </c>
      <c r="B93025">
        <f>TEXT(93024, "[$-0E0000]yyyy-mm-dd")</f>
        <v/>
      </c>
    </row>
    <row r="93026">
      <c r="A93026" s="1" t="n">
        <v>93025</v>
      </c>
      <c r="B93026">
        <f>TEXT(93025, "[$-0E0000]yyyy-mm-dd")</f>
        <v/>
      </c>
    </row>
    <row r="93027">
      <c r="A93027" s="1" t="n">
        <v>93026</v>
      </c>
      <c r="B93027">
        <f>TEXT(93026, "[$-0E0000]yyyy-mm-dd")</f>
        <v/>
      </c>
    </row>
    <row r="93028">
      <c r="A93028" s="1" t="n">
        <v>93027</v>
      </c>
      <c r="B93028">
        <f>TEXT(93027, "[$-0E0000]yyyy-mm-dd")</f>
        <v/>
      </c>
    </row>
    <row r="93029">
      <c r="A93029" s="1" t="n">
        <v>93028</v>
      </c>
      <c r="B93029">
        <f>TEXT(93028, "[$-0E0000]yyyy-mm-dd")</f>
        <v/>
      </c>
    </row>
    <row r="93030">
      <c r="A93030" s="1" t="n">
        <v>93029</v>
      </c>
      <c r="B93030">
        <f>TEXT(93029, "[$-0E0000]yyyy-mm-dd")</f>
        <v/>
      </c>
    </row>
    <row r="93031">
      <c r="A93031" s="1" t="n">
        <v>93030</v>
      </c>
      <c r="B93031">
        <f>TEXT(93030, "[$-0E0000]yyyy-mm-dd")</f>
        <v/>
      </c>
    </row>
    <row r="93032">
      <c r="A93032" s="1" t="n">
        <v>93031</v>
      </c>
      <c r="B93032">
        <f>TEXT(93031, "[$-0E0000]yyyy-mm-dd")</f>
        <v/>
      </c>
    </row>
    <row r="93033">
      <c r="A93033" s="1" t="n">
        <v>93032</v>
      </c>
      <c r="B93033">
        <f>TEXT(93032, "[$-0E0000]yyyy-mm-dd")</f>
        <v/>
      </c>
    </row>
    <row r="93034">
      <c r="A93034" s="1" t="n">
        <v>93033</v>
      </c>
      <c r="B93034">
        <f>TEXT(93033, "[$-0E0000]yyyy-mm-dd")</f>
        <v/>
      </c>
    </row>
    <row r="93035">
      <c r="A93035" s="1" t="n">
        <v>93034</v>
      </c>
      <c r="B93035">
        <f>TEXT(93034, "[$-0E0000]yyyy-mm-dd")</f>
        <v/>
      </c>
    </row>
    <row r="93036">
      <c r="A93036" s="1" t="n">
        <v>93035</v>
      </c>
      <c r="B93036">
        <f>TEXT(93035, "[$-0E0000]yyyy-mm-dd")</f>
        <v/>
      </c>
    </row>
    <row r="93037">
      <c r="A93037" s="1" t="n">
        <v>93036</v>
      </c>
      <c r="B93037">
        <f>TEXT(93036, "[$-0E0000]yyyy-mm-dd")</f>
        <v/>
      </c>
    </row>
    <row r="93038">
      <c r="A93038" s="1" t="n">
        <v>93037</v>
      </c>
      <c r="B93038">
        <f>TEXT(93037, "[$-0E0000]yyyy-mm-dd")</f>
        <v/>
      </c>
    </row>
    <row r="93039">
      <c r="A93039" s="1" t="n">
        <v>93038</v>
      </c>
      <c r="B93039">
        <f>TEXT(93038, "[$-0E0000]yyyy-mm-dd")</f>
        <v/>
      </c>
    </row>
    <row r="93040">
      <c r="A93040" s="1" t="n">
        <v>93039</v>
      </c>
      <c r="B93040">
        <f>TEXT(93039, "[$-0E0000]yyyy-mm-dd")</f>
        <v/>
      </c>
    </row>
    <row r="93041">
      <c r="A93041" s="1" t="n">
        <v>93040</v>
      </c>
      <c r="B93041">
        <f>TEXT(93040, "[$-0E0000]yyyy-mm-dd")</f>
        <v/>
      </c>
    </row>
    <row r="93042">
      <c r="A93042" s="1" t="n">
        <v>93041</v>
      </c>
      <c r="B93042">
        <f>TEXT(93041, "[$-0E0000]yyyy-mm-dd")</f>
        <v/>
      </c>
    </row>
    <row r="93043">
      <c r="A93043" s="1" t="n">
        <v>93042</v>
      </c>
      <c r="B93043">
        <f>TEXT(93042, "[$-0E0000]yyyy-mm-dd")</f>
        <v/>
      </c>
    </row>
    <row r="93044">
      <c r="A93044" s="1" t="n">
        <v>93043</v>
      </c>
      <c r="B93044">
        <f>TEXT(93043, "[$-0E0000]yyyy-mm-dd")</f>
        <v/>
      </c>
    </row>
    <row r="93045">
      <c r="A93045" s="1" t="n">
        <v>93044</v>
      </c>
      <c r="B93045">
        <f>TEXT(93044, "[$-0E0000]yyyy-mm-dd")</f>
        <v/>
      </c>
    </row>
    <row r="93046">
      <c r="A93046" s="1" t="n">
        <v>93045</v>
      </c>
      <c r="B93046">
        <f>TEXT(93045, "[$-0E0000]yyyy-mm-dd")</f>
        <v/>
      </c>
    </row>
    <row r="93047">
      <c r="A93047" s="1" t="n">
        <v>93046</v>
      </c>
      <c r="B93047">
        <f>TEXT(93046, "[$-0E0000]yyyy-mm-dd")</f>
        <v/>
      </c>
    </row>
    <row r="93048">
      <c r="A93048" s="1" t="n">
        <v>93047</v>
      </c>
      <c r="B93048">
        <f>TEXT(93047, "[$-0E0000]yyyy-mm-dd")</f>
        <v/>
      </c>
    </row>
    <row r="93049">
      <c r="A93049" s="1" t="n">
        <v>93048</v>
      </c>
      <c r="B93049">
        <f>TEXT(93048, "[$-0E0000]yyyy-mm-dd")</f>
        <v/>
      </c>
    </row>
    <row r="93050">
      <c r="A93050" s="1" t="n">
        <v>93049</v>
      </c>
      <c r="B93050">
        <f>TEXT(93049, "[$-0E0000]yyyy-mm-dd")</f>
        <v/>
      </c>
    </row>
    <row r="93051">
      <c r="A93051" s="1" t="n">
        <v>93050</v>
      </c>
      <c r="B93051">
        <f>TEXT(93050, "[$-0E0000]yyyy-mm-dd")</f>
        <v/>
      </c>
    </row>
    <row r="93052">
      <c r="A93052" s="1" t="n">
        <v>93051</v>
      </c>
      <c r="B93052">
        <f>TEXT(93051, "[$-0E0000]yyyy-mm-dd")</f>
        <v/>
      </c>
    </row>
    <row r="93053">
      <c r="A93053" s="1" t="n">
        <v>93052</v>
      </c>
      <c r="B93053">
        <f>TEXT(93052, "[$-0E0000]yyyy-mm-dd")</f>
        <v/>
      </c>
    </row>
    <row r="93054">
      <c r="A93054" s="1" t="n">
        <v>93053</v>
      </c>
      <c r="B93054">
        <f>TEXT(93053, "[$-0E0000]yyyy-mm-dd")</f>
        <v/>
      </c>
    </row>
    <row r="93055">
      <c r="A93055" s="1" t="n">
        <v>93054</v>
      </c>
      <c r="B93055">
        <f>TEXT(93054, "[$-0E0000]yyyy-mm-dd")</f>
        <v/>
      </c>
    </row>
    <row r="93056">
      <c r="A93056" s="1" t="n">
        <v>93055</v>
      </c>
      <c r="B93056">
        <f>TEXT(93055, "[$-0E0000]yyyy-mm-dd")</f>
        <v/>
      </c>
    </row>
    <row r="93057">
      <c r="A93057" s="1" t="n">
        <v>93056</v>
      </c>
      <c r="B93057">
        <f>TEXT(93056, "[$-0E0000]yyyy-mm-dd")</f>
        <v/>
      </c>
    </row>
    <row r="93058">
      <c r="A93058" s="1" t="n">
        <v>93057</v>
      </c>
      <c r="B93058">
        <f>TEXT(93057, "[$-0E0000]yyyy-mm-dd")</f>
        <v/>
      </c>
    </row>
    <row r="93059">
      <c r="A93059" s="1" t="n">
        <v>93058</v>
      </c>
      <c r="B93059">
        <f>TEXT(93058, "[$-0E0000]yyyy-mm-dd")</f>
        <v/>
      </c>
    </row>
    <row r="93060">
      <c r="A93060" s="1" t="n">
        <v>93059</v>
      </c>
      <c r="B93060">
        <f>TEXT(93059, "[$-0E0000]yyyy-mm-dd")</f>
        <v/>
      </c>
    </row>
    <row r="93061">
      <c r="A93061" s="1" t="n">
        <v>93060</v>
      </c>
      <c r="B93061">
        <f>TEXT(93060, "[$-0E0000]yyyy-mm-dd")</f>
        <v/>
      </c>
    </row>
    <row r="93062">
      <c r="A93062" s="1" t="n">
        <v>93061</v>
      </c>
      <c r="B93062">
        <f>TEXT(93061, "[$-0E0000]yyyy-mm-dd")</f>
        <v/>
      </c>
    </row>
    <row r="93063">
      <c r="A93063" s="1" t="n">
        <v>93062</v>
      </c>
      <c r="B93063">
        <f>TEXT(93062, "[$-0E0000]yyyy-mm-dd")</f>
        <v/>
      </c>
    </row>
    <row r="93064">
      <c r="A93064" s="1" t="n">
        <v>93063</v>
      </c>
      <c r="B93064">
        <f>TEXT(93063, "[$-0E0000]yyyy-mm-dd")</f>
        <v/>
      </c>
    </row>
    <row r="93065">
      <c r="A93065" s="1" t="n">
        <v>93064</v>
      </c>
      <c r="B93065">
        <f>TEXT(93064, "[$-0E0000]yyyy-mm-dd")</f>
        <v/>
      </c>
    </row>
    <row r="93066">
      <c r="A93066" s="1" t="n">
        <v>93065</v>
      </c>
      <c r="B93066">
        <f>TEXT(93065, "[$-0E0000]yyyy-mm-dd")</f>
        <v/>
      </c>
    </row>
    <row r="93067">
      <c r="A93067" s="1" t="n">
        <v>93066</v>
      </c>
      <c r="B93067">
        <f>TEXT(93066, "[$-0E0000]yyyy-mm-dd")</f>
        <v/>
      </c>
    </row>
    <row r="93068">
      <c r="A93068" s="1" t="n">
        <v>93067</v>
      </c>
      <c r="B93068">
        <f>TEXT(93067, "[$-0E0000]yyyy-mm-dd")</f>
        <v/>
      </c>
    </row>
    <row r="93069">
      <c r="A93069" s="1" t="n">
        <v>93068</v>
      </c>
      <c r="B93069">
        <f>TEXT(93068, "[$-0E0000]yyyy-mm-dd")</f>
        <v/>
      </c>
    </row>
    <row r="93070">
      <c r="A93070" s="1" t="n">
        <v>93069</v>
      </c>
      <c r="B93070">
        <f>TEXT(93069, "[$-0E0000]yyyy-mm-dd")</f>
        <v/>
      </c>
    </row>
    <row r="93071">
      <c r="A93071" s="1" t="n">
        <v>93070</v>
      </c>
      <c r="B93071">
        <f>TEXT(93070, "[$-0E0000]yyyy-mm-dd")</f>
        <v/>
      </c>
    </row>
    <row r="93072">
      <c r="A93072" s="1" t="n">
        <v>93071</v>
      </c>
      <c r="B93072">
        <f>TEXT(93071, "[$-0E0000]yyyy-mm-dd")</f>
        <v/>
      </c>
    </row>
    <row r="93073">
      <c r="A93073" s="1" t="n">
        <v>93072</v>
      </c>
      <c r="B93073">
        <f>TEXT(93072, "[$-0E0000]yyyy-mm-dd")</f>
        <v/>
      </c>
    </row>
    <row r="93074">
      <c r="A93074" s="1" t="n">
        <v>93073</v>
      </c>
      <c r="B93074">
        <f>TEXT(93073, "[$-0E0000]yyyy-mm-dd")</f>
        <v/>
      </c>
    </row>
    <row r="93075">
      <c r="A93075" s="1" t="n">
        <v>93074</v>
      </c>
      <c r="B93075">
        <f>TEXT(93074, "[$-0E0000]yyyy-mm-dd")</f>
        <v/>
      </c>
    </row>
    <row r="93076">
      <c r="A93076" s="1" t="n">
        <v>93075</v>
      </c>
      <c r="B93076">
        <f>TEXT(93075, "[$-0E0000]yyyy-mm-dd")</f>
        <v/>
      </c>
    </row>
    <row r="93077">
      <c r="A93077" s="1" t="n">
        <v>93076</v>
      </c>
      <c r="B93077">
        <f>TEXT(93076, "[$-0E0000]yyyy-mm-dd")</f>
        <v/>
      </c>
    </row>
    <row r="93078">
      <c r="A93078" s="1" t="n">
        <v>93077</v>
      </c>
      <c r="B93078">
        <f>TEXT(93077, "[$-0E0000]yyyy-mm-dd")</f>
        <v/>
      </c>
    </row>
    <row r="93079">
      <c r="A93079" s="1" t="n">
        <v>93078</v>
      </c>
      <c r="B93079">
        <f>TEXT(93078, "[$-0E0000]yyyy-mm-dd")</f>
        <v/>
      </c>
    </row>
    <row r="93080">
      <c r="A93080" s="1" t="n">
        <v>93079</v>
      </c>
      <c r="B93080">
        <f>TEXT(93079, "[$-0E0000]yyyy-mm-dd")</f>
        <v/>
      </c>
    </row>
    <row r="93081">
      <c r="A93081" s="1" t="n">
        <v>93080</v>
      </c>
      <c r="B93081">
        <f>TEXT(93080, "[$-0E0000]yyyy-mm-dd")</f>
        <v/>
      </c>
    </row>
    <row r="93082">
      <c r="A93082" s="1" t="n">
        <v>93081</v>
      </c>
      <c r="B93082">
        <f>TEXT(93081, "[$-0E0000]yyyy-mm-dd")</f>
        <v/>
      </c>
    </row>
    <row r="93083">
      <c r="A93083" s="1" t="n">
        <v>93082</v>
      </c>
      <c r="B93083">
        <f>TEXT(93082, "[$-0E0000]yyyy-mm-dd")</f>
        <v/>
      </c>
    </row>
    <row r="93084">
      <c r="A93084" s="1" t="n">
        <v>93083</v>
      </c>
      <c r="B93084">
        <f>TEXT(93083, "[$-0E0000]yyyy-mm-dd")</f>
        <v/>
      </c>
    </row>
    <row r="93085">
      <c r="A93085" s="1" t="n">
        <v>93084</v>
      </c>
      <c r="B93085">
        <f>TEXT(93084, "[$-0E0000]yyyy-mm-dd")</f>
        <v/>
      </c>
    </row>
    <row r="93086">
      <c r="A93086" s="1" t="n">
        <v>93085</v>
      </c>
      <c r="B93086">
        <f>TEXT(93085, "[$-0E0000]yyyy-mm-dd")</f>
        <v/>
      </c>
    </row>
    <row r="93087">
      <c r="A93087" s="1" t="n">
        <v>93086</v>
      </c>
      <c r="B93087">
        <f>TEXT(93086, "[$-0E0000]yyyy-mm-dd")</f>
        <v/>
      </c>
    </row>
    <row r="93088">
      <c r="A93088" s="1" t="n">
        <v>93087</v>
      </c>
      <c r="B93088">
        <f>TEXT(93087, "[$-0E0000]yyyy-mm-dd")</f>
        <v/>
      </c>
    </row>
    <row r="93089">
      <c r="A93089" s="1" t="n">
        <v>93088</v>
      </c>
      <c r="B93089">
        <f>TEXT(93088, "[$-0E0000]yyyy-mm-dd")</f>
        <v/>
      </c>
    </row>
    <row r="93090">
      <c r="A93090" s="1" t="n">
        <v>93089</v>
      </c>
      <c r="B93090">
        <f>TEXT(93089, "[$-0E0000]yyyy-mm-dd")</f>
        <v/>
      </c>
    </row>
    <row r="93091">
      <c r="A93091" s="1" t="n">
        <v>93090</v>
      </c>
      <c r="B93091">
        <f>TEXT(93090, "[$-0E0000]yyyy-mm-dd")</f>
        <v/>
      </c>
    </row>
    <row r="93092">
      <c r="A93092" s="1" t="n">
        <v>93091</v>
      </c>
      <c r="B93092">
        <f>TEXT(93091, "[$-0E0000]yyyy-mm-dd")</f>
        <v/>
      </c>
    </row>
    <row r="93093">
      <c r="A93093" s="1" t="n">
        <v>93092</v>
      </c>
      <c r="B93093">
        <f>TEXT(93092, "[$-0E0000]yyyy-mm-dd")</f>
        <v/>
      </c>
    </row>
    <row r="93094">
      <c r="A93094" s="1" t="n">
        <v>93093</v>
      </c>
      <c r="B93094">
        <f>TEXT(93093, "[$-0E0000]yyyy-mm-dd")</f>
        <v/>
      </c>
    </row>
    <row r="93095">
      <c r="A93095" s="1" t="n">
        <v>93094</v>
      </c>
      <c r="B93095">
        <f>TEXT(93094, "[$-0E0000]yyyy-mm-dd")</f>
        <v/>
      </c>
    </row>
    <row r="93096">
      <c r="A93096" s="1" t="n">
        <v>93095</v>
      </c>
      <c r="B93096">
        <f>TEXT(93095, "[$-0E0000]yyyy-mm-dd")</f>
        <v/>
      </c>
    </row>
    <row r="93097">
      <c r="A93097" s="1" t="n">
        <v>93096</v>
      </c>
      <c r="B93097">
        <f>TEXT(93096, "[$-0E0000]yyyy-mm-dd")</f>
        <v/>
      </c>
    </row>
    <row r="93098">
      <c r="A93098" s="1" t="n">
        <v>93097</v>
      </c>
      <c r="B93098">
        <f>TEXT(93097, "[$-0E0000]yyyy-mm-dd")</f>
        <v/>
      </c>
    </row>
    <row r="93099">
      <c r="A93099" s="1" t="n">
        <v>93098</v>
      </c>
      <c r="B93099">
        <f>TEXT(93098, "[$-0E0000]yyyy-mm-dd")</f>
        <v/>
      </c>
    </row>
    <row r="93100">
      <c r="A93100" s="1" t="n">
        <v>93099</v>
      </c>
      <c r="B93100">
        <f>TEXT(93099, "[$-0E0000]yyyy-mm-dd")</f>
        <v/>
      </c>
    </row>
    <row r="93101">
      <c r="A93101" s="1" t="n">
        <v>93100</v>
      </c>
      <c r="B93101">
        <f>TEXT(93100, "[$-0E0000]yyyy-mm-dd")</f>
        <v/>
      </c>
    </row>
    <row r="93102">
      <c r="A93102" s="1" t="n">
        <v>93101</v>
      </c>
      <c r="B93102">
        <f>TEXT(93101, "[$-0E0000]yyyy-mm-dd")</f>
        <v/>
      </c>
    </row>
    <row r="93103">
      <c r="A93103" s="1" t="n">
        <v>93102</v>
      </c>
      <c r="B93103">
        <f>TEXT(93102, "[$-0E0000]yyyy-mm-dd")</f>
        <v/>
      </c>
    </row>
    <row r="93104">
      <c r="A93104" s="1" t="n">
        <v>93103</v>
      </c>
      <c r="B93104">
        <f>TEXT(93103, "[$-0E0000]yyyy-mm-dd")</f>
        <v/>
      </c>
    </row>
    <row r="93105">
      <c r="A93105" s="1" t="n">
        <v>93104</v>
      </c>
      <c r="B93105">
        <f>TEXT(93104, "[$-0E0000]yyyy-mm-dd")</f>
        <v/>
      </c>
    </row>
    <row r="93106">
      <c r="A93106" s="1" t="n">
        <v>93105</v>
      </c>
      <c r="B93106">
        <f>TEXT(93105, "[$-0E0000]yyyy-mm-dd")</f>
        <v/>
      </c>
    </row>
    <row r="93107">
      <c r="A93107" s="1" t="n">
        <v>93106</v>
      </c>
      <c r="B93107">
        <f>TEXT(93106, "[$-0E0000]yyyy-mm-dd")</f>
        <v/>
      </c>
    </row>
    <row r="93108">
      <c r="A93108" s="1" t="n">
        <v>93107</v>
      </c>
      <c r="B93108">
        <f>TEXT(93107, "[$-0E0000]yyyy-mm-dd")</f>
        <v/>
      </c>
    </row>
    <row r="93109">
      <c r="A93109" s="1" t="n">
        <v>93108</v>
      </c>
      <c r="B93109">
        <f>TEXT(93108, "[$-0E0000]yyyy-mm-dd")</f>
        <v/>
      </c>
    </row>
    <row r="93110">
      <c r="A93110" s="1" t="n">
        <v>93109</v>
      </c>
      <c r="B93110">
        <f>TEXT(93109, "[$-0E0000]yyyy-mm-dd")</f>
        <v/>
      </c>
    </row>
    <row r="93111">
      <c r="A93111" s="1" t="n">
        <v>93110</v>
      </c>
      <c r="B93111">
        <f>TEXT(93110, "[$-0E0000]yyyy-mm-dd")</f>
        <v/>
      </c>
    </row>
    <row r="93112">
      <c r="A93112" s="1" t="n">
        <v>93111</v>
      </c>
      <c r="B93112">
        <f>TEXT(93111, "[$-0E0000]yyyy-mm-dd")</f>
        <v/>
      </c>
    </row>
    <row r="93113">
      <c r="A93113" s="1" t="n">
        <v>93112</v>
      </c>
      <c r="B93113">
        <f>TEXT(93112, "[$-0E0000]yyyy-mm-dd")</f>
        <v/>
      </c>
    </row>
    <row r="93114">
      <c r="A93114" s="1" t="n">
        <v>93113</v>
      </c>
      <c r="B93114">
        <f>TEXT(93113, "[$-0E0000]yyyy-mm-dd")</f>
        <v/>
      </c>
    </row>
    <row r="93115">
      <c r="A93115" s="1" t="n">
        <v>93114</v>
      </c>
      <c r="B93115">
        <f>TEXT(93114, "[$-0E0000]yyyy-mm-dd")</f>
        <v/>
      </c>
    </row>
    <row r="93116">
      <c r="A93116" s="1" t="n">
        <v>93115</v>
      </c>
      <c r="B93116">
        <f>TEXT(93115, "[$-0E0000]yyyy-mm-dd")</f>
        <v/>
      </c>
    </row>
    <row r="93117">
      <c r="A93117" s="1" t="n">
        <v>93116</v>
      </c>
      <c r="B93117">
        <f>TEXT(93116, "[$-0E0000]yyyy-mm-dd")</f>
        <v/>
      </c>
    </row>
    <row r="93118">
      <c r="A93118" s="1" t="n">
        <v>93117</v>
      </c>
      <c r="B93118">
        <f>TEXT(93117, "[$-0E0000]yyyy-mm-dd")</f>
        <v/>
      </c>
    </row>
    <row r="93119">
      <c r="A93119" s="1" t="n">
        <v>93118</v>
      </c>
      <c r="B93119">
        <f>TEXT(93118, "[$-0E0000]yyyy-mm-dd")</f>
        <v/>
      </c>
    </row>
    <row r="93120">
      <c r="A93120" s="1" t="n">
        <v>93119</v>
      </c>
      <c r="B93120">
        <f>TEXT(93119, "[$-0E0000]yyyy-mm-dd")</f>
        <v/>
      </c>
    </row>
    <row r="93121">
      <c r="A93121" s="1" t="n">
        <v>93120</v>
      </c>
      <c r="B93121">
        <f>TEXT(93120, "[$-0E0000]yyyy-mm-dd")</f>
        <v/>
      </c>
    </row>
    <row r="93122">
      <c r="A93122" s="1" t="n">
        <v>93121</v>
      </c>
      <c r="B93122">
        <f>TEXT(93121, "[$-0E0000]yyyy-mm-dd")</f>
        <v/>
      </c>
    </row>
    <row r="93123">
      <c r="A93123" s="1" t="n">
        <v>93122</v>
      </c>
      <c r="B93123">
        <f>TEXT(93122, "[$-0E0000]yyyy-mm-dd")</f>
        <v/>
      </c>
    </row>
    <row r="93124">
      <c r="A93124" s="1" t="n">
        <v>93123</v>
      </c>
      <c r="B93124">
        <f>TEXT(93123, "[$-0E0000]yyyy-mm-dd")</f>
        <v/>
      </c>
    </row>
    <row r="93125">
      <c r="A93125" s="1" t="n">
        <v>93124</v>
      </c>
      <c r="B93125">
        <f>TEXT(93124, "[$-0E0000]yyyy-mm-dd")</f>
        <v/>
      </c>
    </row>
    <row r="93126">
      <c r="A93126" s="1" t="n">
        <v>93125</v>
      </c>
      <c r="B93126">
        <f>TEXT(93125, "[$-0E0000]yyyy-mm-dd")</f>
        <v/>
      </c>
    </row>
    <row r="93127">
      <c r="A93127" s="1" t="n">
        <v>93126</v>
      </c>
      <c r="B93127">
        <f>TEXT(93126, "[$-0E0000]yyyy-mm-dd")</f>
        <v/>
      </c>
    </row>
    <row r="93128">
      <c r="A93128" s="1" t="n">
        <v>93127</v>
      </c>
      <c r="B93128">
        <f>TEXT(93127, "[$-0E0000]yyyy-mm-dd")</f>
        <v/>
      </c>
    </row>
    <row r="93129">
      <c r="A93129" s="1" t="n">
        <v>93128</v>
      </c>
      <c r="B93129">
        <f>TEXT(93128, "[$-0E0000]yyyy-mm-dd")</f>
        <v/>
      </c>
    </row>
    <row r="93130">
      <c r="A93130" s="1" t="n">
        <v>93129</v>
      </c>
      <c r="B93130">
        <f>TEXT(93129, "[$-0E0000]yyyy-mm-dd")</f>
        <v/>
      </c>
    </row>
    <row r="93131">
      <c r="A93131" s="1" t="n">
        <v>93130</v>
      </c>
      <c r="B93131">
        <f>TEXT(93130, "[$-0E0000]yyyy-mm-dd")</f>
        <v/>
      </c>
    </row>
    <row r="93132">
      <c r="A93132" s="1" t="n">
        <v>93131</v>
      </c>
      <c r="B93132">
        <f>TEXT(93131, "[$-0E0000]yyyy-mm-dd")</f>
        <v/>
      </c>
    </row>
    <row r="93133">
      <c r="A93133" s="1" t="n">
        <v>93132</v>
      </c>
      <c r="B93133">
        <f>TEXT(93132, "[$-0E0000]yyyy-mm-dd")</f>
        <v/>
      </c>
    </row>
    <row r="93134">
      <c r="A93134" s="1" t="n">
        <v>93133</v>
      </c>
      <c r="B93134">
        <f>TEXT(93133, "[$-0E0000]yyyy-mm-dd")</f>
        <v/>
      </c>
    </row>
    <row r="93135">
      <c r="A93135" s="1" t="n">
        <v>93134</v>
      </c>
      <c r="B93135">
        <f>TEXT(93134, "[$-0E0000]yyyy-mm-dd")</f>
        <v/>
      </c>
    </row>
    <row r="93136">
      <c r="A93136" s="1" t="n">
        <v>93135</v>
      </c>
      <c r="B93136">
        <f>TEXT(93135, "[$-0E0000]yyyy-mm-dd")</f>
        <v/>
      </c>
    </row>
    <row r="93137">
      <c r="A93137" s="1" t="n">
        <v>93136</v>
      </c>
      <c r="B93137">
        <f>TEXT(93136, "[$-0E0000]yyyy-mm-dd")</f>
        <v/>
      </c>
    </row>
    <row r="93138">
      <c r="A93138" s="1" t="n">
        <v>93137</v>
      </c>
      <c r="B93138">
        <f>TEXT(93137, "[$-0E0000]yyyy-mm-dd")</f>
        <v/>
      </c>
    </row>
    <row r="93139">
      <c r="A93139" s="1" t="n">
        <v>93138</v>
      </c>
      <c r="B93139">
        <f>TEXT(93138, "[$-0E0000]yyyy-mm-dd")</f>
        <v/>
      </c>
    </row>
    <row r="93140">
      <c r="A93140" s="1" t="n">
        <v>93139</v>
      </c>
      <c r="B93140">
        <f>TEXT(93139, "[$-0E0000]yyyy-mm-dd")</f>
        <v/>
      </c>
    </row>
    <row r="93141">
      <c r="A93141" s="1" t="n">
        <v>93140</v>
      </c>
      <c r="B93141">
        <f>TEXT(93140, "[$-0E0000]yyyy-mm-dd")</f>
        <v/>
      </c>
    </row>
    <row r="93142">
      <c r="A93142" s="1" t="n">
        <v>93141</v>
      </c>
      <c r="B93142">
        <f>TEXT(93141, "[$-0E0000]yyyy-mm-dd")</f>
        <v/>
      </c>
    </row>
    <row r="93143">
      <c r="A93143" s="1" t="n">
        <v>93142</v>
      </c>
      <c r="B93143">
        <f>TEXT(93142, "[$-0E0000]yyyy-mm-dd")</f>
        <v/>
      </c>
    </row>
    <row r="93144">
      <c r="A93144" s="1" t="n">
        <v>93143</v>
      </c>
      <c r="B93144">
        <f>TEXT(93143, "[$-0E0000]yyyy-mm-dd")</f>
        <v/>
      </c>
    </row>
    <row r="93145">
      <c r="A93145" s="1" t="n">
        <v>93144</v>
      </c>
      <c r="B93145">
        <f>TEXT(93144, "[$-0E0000]yyyy-mm-dd")</f>
        <v/>
      </c>
    </row>
    <row r="93146">
      <c r="A93146" s="1" t="n">
        <v>93145</v>
      </c>
      <c r="B93146">
        <f>TEXT(93145, "[$-0E0000]yyyy-mm-dd")</f>
        <v/>
      </c>
    </row>
    <row r="93147">
      <c r="A93147" s="1" t="n">
        <v>93146</v>
      </c>
      <c r="B93147">
        <f>TEXT(93146, "[$-0E0000]yyyy-mm-dd")</f>
        <v/>
      </c>
    </row>
    <row r="93148">
      <c r="A93148" s="1" t="n">
        <v>93147</v>
      </c>
      <c r="B93148">
        <f>TEXT(93147, "[$-0E0000]yyyy-mm-dd")</f>
        <v/>
      </c>
    </row>
    <row r="93149">
      <c r="A93149" s="1" t="n">
        <v>93148</v>
      </c>
      <c r="B93149">
        <f>TEXT(93148, "[$-0E0000]yyyy-mm-dd")</f>
        <v/>
      </c>
    </row>
    <row r="93150">
      <c r="A93150" s="1" t="n">
        <v>93149</v>
      </c>
      <c r="B93150">
        <f>TEXT(93149, "[$-0E0000]yyyy-mm-dd")</f>
        <v/>
      </c>
    </row>
    <row r="93151">
      <c r="A93151" s="1" t="n">
        <v>93150</v>
      </c>
      <c r="B93151">
        <f>TEXT(93150, "[$-0E0000]yyyy-mm-dd")</f>
        <v/>
      </c>
    </row>
    <row r="93152">
      <c r="A93152" s="1" t="n">
        <v>93151</v>
      </c>
      <c r="B93152">
        <f>TEXT(93151, "[$-0E0000]yyyy-mm-dd")</f>
        <v/>
      </c>
    </row>
    <row r="93153">
      <c r="A93153" s="1" t="n">
        <v>93152</v>
      </c>
      <c r="B93153">
        <f>TEXT(93152, "[$-0E0000]yyyy-mm-dd")</f>
        <v/>
      </c>
    </row>
    <row r="93154">
      <c r="A93154" s="1" t="n">
        <v>93153</v>
      </c>
      <c r="B93154">
        <f>TEXT(93153, "[$-0E0000]yyyy-mm-dd")</f>
        <v/>
      </c>
    </row>
    <row r="93155">
      <c r="A93155" s="1" t="n">
        <v>93154</v>
      </c>
      <c r="B93155">
        <f>TEXT(93154, "[$-0E0000]yyyy-mm-dd")</f>
        <v/>
      </c>
    </row>
    <row r="93156">
      <c r="A93156" s="1" t="n">
        <v>93155</v>
      </c>
      <c r="B93156">
        <f>TEXT(93155, "[$-0E0000]yyyy-mm-dd")</f>
        <v/>
      </c>
    </row>
    <row r="93157">
      <c r="A93157" s="1" t="n">
        <v>93156</v>
      </c>
      <c r="B93157">
        <f>TEXT(93156, "[$-0E0000]yyyy-mm-dd")</f>
        <v/>
      </c>
    </row>
    <row r="93158">
      <c r="A93158" s="1" t="n">
        <v>93157</v>
      </c>
      <c r="B93158">
        <f>TEXT(93157, "[$-0E0000]yyyy-mm-dd")</f>
        <v/>
      </c>
    </row>
    <row r="93159">
      <c r="A93159" s="1" t="n">
        <v>93158</v>
      </c>
      <c r="B93159">
        <f>TEXT(93158, "[$-0E0000]yyyy-mm-dd")</f>
        <v/>
      </c>
    </row>
    <row r="93160">
      <c r="A93160" s="1" t="n">
        <v>93159</v>
      </c>
      <c r="B93160">
        <f>TEXT(93159, "[$-0E0000]yyyy-mm-dd")</f>
        <v/>
      </c>
    </row>
    <row r="93161">
      <c r="A93161" s="1" t="n">
        <v>93160</v>
      </c>
      <c r="B93161">
        <f>TEXT(93160, "[$-0E0000]yyyy-mm-dd")</f>
        <v/>
      </c>
    </row>
    <row r="93162">
      <c r="A93162" s="1" t="n">
        <v>93161</v>
      </c>
      <c r="B93162">
        <f>TEXT(93161, "[$-0E0000]yyyy-mm-dd")</f>
        <v/>
      </c>
    </row>
    <row r="93163">
      <c r="A93163" s="1" t="n">
        <v>93162</v>
      </c>
      <c r="B93163">
        <f>TEXT(93162, "[$-0E0000]yyyy-mm-dd")</f>
        <v/>
      </c>
    </row>
    <row r="93164">
      <c r="A93164" s="1" t="n">
        <v>93163</v>
      </c>
      <c r="B93164">
        <f>TEXT(93163, "[$-0E0000]yyyy-mm-dd")</f>
        <v/>
      </c>
    </row>
    <row r="93165">
      <c r="A93165" s="1" t="n">
        <v>93164</v>
      </c>
      <c r="B93165">
        <f>TEXT(93164, "[$-0E0000]yyyy-mm-dd")</f>
        <v/>
      </c>
    </row>
    <row r="93166">
      <c r="A93166" s="1" t="n">
        <v>93165</v>
      </c>
      <c r="B93166">
        <f>TEXT(93165, "[$-0E0000]yyyy-mm-dd")</f>
        <v/>
      </c>
    </row>
    <row r="93167">
      <c r="A93167" s="1" t="n">
        <v>93166</v>
      </c>
      <c r="B93167">
        <f>TEXT(93166, "[$-0E0000]yyyy-mm-dd")</f>
        <v/>
      </c>
    </row>
    <row r="93168">
      <c r="A93168" s="1" t="n">
        <v>93167</v>
      </c>
      <c r="B93168">
        <f>TEXT(93167, "[$-0E0000]yyyy-mm-dd")</f>
        <v/>
      </c>
    </row>
    <row r="93169">
      <c r="A93169" s="1" t="n">
        <v>93168</v>
      </c>
      <c r="B93169">
        <f>TEXT(93168, "[$-0E0000]yyyy-mm-dd")</f>
        <v/>
      </c>
    </row>
    <row r="93170">
      <c r="A93170" s="1" t="n">
        <v>93169</v>
      </c>
      <c r="B93170">
        <f>TEXT(93169, "[$-0E0000]yyyy-mm-dd")</f>
        <v/>
      </c>
    </row>
    <row r="93171">
      <c r="A93171" s="1" t="n">
        <v>93170</v>
      </c>
      <c r="B93171">
        <f>TEXT(93170, "[$-0E0000]yyyy-mm-dd")</f>
        <v/>
      </c>
    </row>
    <row r="93172">
      <c r="A93172" s="1" t="n">
        <v>93171</v>
      </c>
      <c r="B93172">
        <f>TEXT(93171, "[$-0E0000]yyyy-mm-dd")</f>
        <v/>
      </c>
    </row>
    <row r="93173">
      <c r="A93173" s="1" t="n">
        <v>93172</v>
      </c>
      <c r="B93173">
        <f>TEXT(93172, "[$-0E0000]yyyy-mm-dd")</f>
        <v/>
      </c>
    </row>
    <row r="93174">
      <c r="A93174" s="1" t="n">
        <v>93173</v>
      </c>
      <c r="B93174">
        <f>TEXT(93173, "[$-0E0000]yyyy-mm-dd")</f>
        <v/>
      </c>
    </row>
    <row r="93175">
      <c r="A93175" s="1" t="n">
        <v>93174</v>
      </c>
      <c r="B93175">
        <f>TEXT(93174, "[$-0E0000]yyyy-mm-dd")</f>
        <v/>
      </c>
    </row>
    <row r="93176">
      <c r="A93176" s="1" t="n">
        <v>93175</v>
      </c>
      <c r="B93176">
        <f>TEXT(93175, "[$-0E0000]yyyy-mm-dd")</f>
        <v/>
      </c>
    </row>
    <row r="93177">
      <c r="A93177" s="1" t="n">
        <v>93176</v>
      </c>
      <c r="B93177">
        <f>TEXT(93176, "[$-0E0000]yyyy-mm-dd")</f>
        <v/>
      </c>
    </row>
    <row r="93178">
      <c r="A93178" s="1" t="n">
        <v>93177</v>
      </c>
      <c r="B93178">
        <f>TEXT(93177, "[$-0E0000]yyyy-mm-dd")</f>
        <v/>
      </c>
    </row>
    <row r="93179">
      <c r="A93179" s="1" t="n">
        <v>93178</v>
      </c>
      <c r="B93179">
        <f>TEXT(93178, "[$-0E0000]yyyy-mm-dd")</f>
        <v/>
      </c>
    </row>
    <row r="93180">
      <c r="A93180" s="1" t="n">
        <v>93179</v>
      </c>
      <c r="B93180">
        <f>TEXT(93179, "[$-0E0000]yyyy-mm-dd")</f>
        <v/>
      </c>
    </row>
    <row r="93181">
      <c r="A93181" s="1" t="n">
        <v>93180</v>
      </c>
      <c r="B93181">
        <f>TEXT(93180, "[$-0E0000]yyyy-mm-dd")</f>
        <v/>
      </c>
    </row>
    <row r="93182">
      <c r="A93182" s="1" t="n">
        <v>93181</v>
      </c>
      <c r="B93182">
        <f>TEXT(93181, "[$-0E0000]yyyy-mm-dd")</f>
        <v/>
      </c>
    </row>
    <row r="93183">
      <c r="A93183" s="1" t="n">
        <v>93182</v>
      </c>
      <c r="B93183">
        <f>TEXT(93182, "[$-0E0000]yyyy-mm-dd")</f>
        <v/>
      </c>
    </row>
    <row r="93184">
      <c r="A93184" s="1" t="n">
        <v>93183</v>
      </c>
      <c r="B93184">
        <f>TEXT(93183, "[$-0E0000]yyyy-mm-dd")</f>
        <v/>
      </c>
    </row>
    <row r="93185">
      <c r="A93185" s="1" t="n">
        <v>93184</v>
      </c>
      <c r="B93185">
        <f>TEXT(93184, "[$-0E0000]yyyy-mm-dd")</f>
        <v/>
      </c>
    </row>
    <row r="93186">
      <c r="A93186" s="1" t="n">
        <v>93185</v>
      </c>
      <c r="B93186">
        <f>TEXT(93185, "[$-0E0000]yyyy-mm-dd")</f>
        <v/>
      </c>
    </row>
    <row r="93187">
      <c r="A93187" s="1" t="n">
        <v>93186</v>
      </c>
      <c r="B93187">
        <f>TEXT(93186, "[$-0E0000]yyyy-mm-dd")</f>
        <v/>
      </c>
    </row>
    <row r="93188">
      <c r="A93188" s="1" t="n">
        <v>93187</v>
      </c>
      <c r="B93188">
        <f>TEXT(93187, "[$-0E0000]yyyy-mm-dd")</f>
        <v/>
      </c>
    </row>
    <row r="93189">
      <c r="A93189" s="1" t="n">
        <v>93188</v>
      </c>
      <c r="B93189">
        <f>TEXT(93188, "[$-0E0000]yyyy-mm-dd")</f>
        <v/>
      </c>
    </row>
    <row r="93190">
      <c r="A93190" s="1" t="n">
        <v>93189</v>
      </c>
      <c r="B93190">
        <f>TEXT(93189, "[$-0E0000]yyyy-mm-dd")</f>
        <v/>
      </c>
    </row>
    <row r="93191">
      <c r="A93191" s="1" t="n">
        <v>93190</v>
      </c>
      <c r="B93191">
        <f>TEXT(93190, "[$-0E0000]yyyy-mm-dd")</f>
        <v/>
      </c>
    </row>
    <row r="93192">
      <c r="A93192" s="1" t="n">
        <v>93191</v>
      </c>
      <c r="B93192">
        <f>TEXT(93191, "[$-0E0000]yyyy-mm-dd")</f>
        <v/>
      </c>
    </row>
    <row r="93193">
      <c r="A93193" s="1" t="n">
        <v>93192</v>
      </c>
      <c r="B93193">
        <f>TEXT(93192, "[$-0E0000]yyyy-mm-dd")</f>
        <v/>
      </c>
    </row>
    <row r="93194">
      <c r="A93194" s="1" t="n">
        <v>93193</v>
      </c>
      <c r="B93194">
        <f>TEXT(93193, "[$-0E0000]yyyy-mm-dd")</f>
        <v/>
      </c>
    </row>
    <row r="93195">
      <c r="A93195" s="1" t="n">
        <v>93194</v>
      </c>
      <c r="B93195">
        <f>TEXT(93194, "[$-0E0000]yyyy-mm-dd")</f>
        <v/>
      </c>
    </row>
    <row r="93196">
      <c r="A93196" s="1" t="n">
        <v>93195</v>
      </c>
      <c r="B93196">
        <f>TEXT(93195, "[$-0E0000]yyyy-mm-dd")</f>
        <v/>
      </c>
    </row>
    <row r="93197">
      <c r="A93197" s="1" t="n">
        <v>93196</v>
      </c>
      <c r="B93197">
        <f>TEXT(93196, "[$-0E0000]yyyy-mm-dd")</f>
        <v/>
      </c>
    </row>
    <row r="93198">
      <c r="A93198" s="1" t="n">
        <v>93197</v>
      </c>
      <c r="B93198">
        <f>TEXT(93197, "[$-0E0000]yyyy-mm-dd")</f>
        <v/>
      </c>
    </row>
    <row r="93199">
      <c r="A93199" s="1" t="n">
        <v>93198</v>
      </c>
      <c r="B93199">
        <f>TEXT(93198, "[$-0E0000]yyyy-mm-dd")</f>
        <v/>
      </c>
    </row>
    <row r="93200">
      <c r="A93200" s="1" t="n">
        <v>93199</v>
      </c>
      <c r="B93200">
        <f>TEXT(93199, "[$-0E0000]yyyy-mm-dd")</f>
        <v/>
      </c>
    </row>
    <row r="93201">
      <c r="A93201" s="1" t="n">
        <v>93200</v>
      </c>
      <c r="B93201">
        <f>TEXT(93200, "[$-0E0000]yyyy-mm-dd")</f>
        <v/>
      </c>
    </row>
    <row r="93202">
      <c r="A93202" s="1" t="n">
        <v>93201</v>
      </c>
      <c r="B93202">
        <f>TEXT(93201, "[$-0E0000]yyyy-mm-dd")</f>
        <v/>
      </c>
    </row>
    <row r="93203">
      <c r="A93203" s="1" t="n">
        <v>93202</v>
      </c>
      <c r="B93203">
        <f>TEXT(93202, "[$-0E0000]yyyy-mm-dd")</f>
        <v/>
      </c>
    </row>
    <row r="93204">
      <c r="A93204" s="1" t="n">
        <v>93203</v>
      </c>
      <c r="B93204">
        <f>TEXT(93203, "[$-0E0000]yyyy-mm-dd")</f>
        <v/>
      </c>
    </row>
    <row r="93205">
      <c r="A93205" s="1" t="n">
        <v>93204</v>
      </c>
      <c r="B93205">
        <f>TEXT(93204, "[$-0E0000]yyyy-mm-dd")</f>
        <v/>
      </c>
    </row>
    <row r="93206">
      <c r="A93206" s="1" t="n">
        <v>93205</v>
      </c>
      <c r="B93206">
        <f>TEXT(93205, "[$-0E0000]yyyy-mm-dd")</f>
        <v/>
      </c>
    </row>
    <row r="93207">
      <c r="A93207" s="1" t="n">
        <v>93206</v>
      </c>
      <c r="B93207">
        <f>TEXT(93206, "[$-0E0000]yyyy-mm-dd")</f>
        <v/>
      </c>
    </row>
    <row r="93208">
      <c r="A93208" s="1" t="n">
        <v>93207</v>
      </c>
      <c r="B93208">
        <f>TEXT(93207, "[$-0E0000]yyyy-mm-dd")</f>
        <v/>
      </c>
    </row>
    <row r="93209">
      <c r="A93209" s="1" t="n">
        <v>93208</v>
      </c>
      <c r="B93209">
        <f>TEXT(93208, "[$-0E0000]yyyy-mm-dd")</f>
        <v/>
      </c>
    </row>
    <row r="93210">
      <c r="A93210" s="1" t="n">
        <v>93209</v>
      </c>
      <c r="B93210">
        <f>TEXT(93209, "[$-0E0000]yyyy-mm-dd")</f>
        <v/>
      </c>
    </row>
    <row r="93211">
      <c r="A93211" s="1" t="n">
        <v>93210</v>
      </c>
      <c r="B93211">
        <f>TEXT(93210, "[$-0E0000]yyyy-mm-dd")</f>
        <v/>
      </c>
    </row>
    <row r="93212">
      <c r="A93212" s="1" t="n">
        <v>93211</v>
      </c>
      <c r="B93212">
        <f>TEXT(93211, "[$-0E0000]yyyy-mm-dd")</f>
        <v/>
      </c>
    </row>
    <row r="93213">
      <c r="A93213" s="1" t="n">
        <v>93212</v>
      </c>
      <c r="B93213">
        <f>TEXT(93212, "[$-0E0000]yyyy-mm-dd")</f>
        <v/>
      </c>
    </row>
    <row r="93214">
      <c r="A93214" s="1" t="n">
        <v>93213</v>
      </c>
      <c r="B93214">
        <f>TEXT(93213, "[$-0E0000]yyyy-mm-dd")</f>
        <v/>
      </c>
    </row>
    <row r="93215">
      <c r="A93215" s="1" t="n">
        <v>93214</v>
      </c>
      <c r="B93215">
        <f>TEXT(93214, "[$-0E0000]yyyy-mm-dd")</f>
        <v/>
      </c>
    </row>
    <row r="93216">
      <c r="A93216" s="1" t="n">
        <v>93215</v>
      </c>
      <c r="B93216">
        <f>TEXT(93215, "[$-0E0000]yyyy-mm-dd")</f>
        <v/>
      </c>
    </row>
    <row r="93217">
      <c r="A93217" s="1" t="n">
        <v>93216</v>
      </c>
      <c r="B93217">
        <f>TEXT(93216, "[$-0E0000]yyyy-mm-dd")</f>
        <v/>
      </c>
    </row>
    <row r="93218">
      <c r="A93218" s="1" t="n">
        <v>93217</v>
      </c>
      <c r="B93218">
        <f>TEXT(93217, "[$-0E0000]yyyy-mm-dd")</f>
        <v/>
      </c>
    </row>
    <row r="93219">
      <c r="A93219" s="1" t="n">
        <v>93218</v>
      </c>
      <c r="B93219">
        <f>TEXT(93218, "[$-0E0000]yyyy-mm-dd")</f>
        <v/>
      </c>
    </row>
    <row r="93220">
      <c r="A93220" s="1" t="n">
        <v>93219</v>
      </c>
      <c r="B93220">
        <f>TEXT(93219, "[$-0E0000]yyyy-mm-dd")</f>
        <v/>
      </c>
    </row>
    <row r="93221">
      <c r="A93221" s="1" t="n">
        <v>93220</v>
      </c>
      <c r="B93221">
        <f>TEXT(93220, "[$-0E0000]yyyy-mm-dd")</f>
        <v/>
      </c>
    </row>
    <row r="93222">
      <c r="A93222" s="1" t="n">
        <v>93221</v>
      </c>
      <c r="B93222">
        <f>TEXT(93221, "[$-0E0000]yyyy-mm-dd")</f>
        <v/>
      </c>
    </row>
    <row r="93223">
      <c r="A93223" s="1" t="n">
        <v>93222</v>
      </c>
      <c r="B93223">
        <f>TEXT(93222, "[$-0E0000]yyyy-mm-dd")</f>
        <v/>
      </c>
    </row>
    <row r="93224">
      <c r="A93224" s="1" t="n">
        <v>93223</v>
      </c>
      <c r="B93224">
        <f>TEXT(93223, "[$-0E0000]yyyy-mm-dd")</f>
        <v/>
      </c>
    </row>
    <row r="93225">
      <c r="A93225" s="1" t="n">
        <v>93224</v>
      </c>
      <c r="B93225">
        <f>TEXT(93224, "[$-0E0000]yyyy-mm-dd")</f>
        <v/>
      </c>
    </row>
    <row r="93226">
      <c r="A93226" s="1" t="n">
        <v>93225</v>
      </c>
      <c r="B93226">
        <f>TEXT(93225, "[$-0E0000]yyyy-mm-dd")</f>
        <v/>
      </c>
    </row>
    <row r="93227">
      <c r="A93227" s="1" t="n">
        <v>93226</v>
      </c>
      <c r="B93227">
        <f>TEXT(93226, "[$-0E0000]yyyy-mm-dd")</f>
        <v/>
      </c>
    </row>
    <row r="93228">
      <c r="A93228" s="1" t="n">
        <v>93227</v>
      </c>
      <c r="B93228">
        <f>TEXT(93227, "[$-0E0000]yyyy-mm-dd")</f>
        <v/>
      </c>
    </row>
    <row r="93229">
      <c r="A93229" s="1" t="n">
        <v>93228</v>
      </c>
      <c r="B93229">
        <f>TEXT(93228, "[$-0E0000]yyyy-mm-dd")</f>
        <v/>
      </c>
    </row>
    <row r="93230">
      <c r="A93230" s="1" t="n">
        <v>93229</v>
      </c>
      <c r="B93230">
        <f>TEXT(93229, "[$-0E0000]yyyy-mm-dd")</f>
        <v/>
      </c>
    </row>
    <row r="93231">
      <c r="A93231" s="1" t="n">
        <v>93230</v>
      </c>
      <c r="B93231">
        <f>TEXT(93230, "[$-0E0000]yyyy-mm-dd")</f>
        <v/>
      </c>
    </row>
    <row r="93232">
      <c r="A93232" s="1" t="n">
        <v>93231</v>
      </c>
      <c r="B93232">
        <f>TEXT(93231, "[$-0E0000]yyyy-mm-dd")</f>
        <v/>
      </c>
    </row>
    <row r="93233">
      <c r="A93233" s="1" t="n">
        <v>93232</v>
      </c>
      <c r="B93233">
        <f>TEXT(93232, "[$-0E0000]yyyy-mm-dd")</f>
        <v/>
      </c>
    </row>
    <row r="93234">
      <c r="A93234" s="1" t="n">
        <v>93233</v>
      </c>
      <c r="B93234">
        <f>TEXT(93233, "[$-0E0000]yyyy-mm-dd")</f>
        <v/>
      </c>
    </row>
    <row r="93235">
      <c r="A93235" s="1" t="n">
        <v>93234</v>
      </c>
      <c r="B93235">
        <f>TEXT(93234, "[$-0E0000]yyyy-mm-dd")</f>
        <v/>
      </c>
    </row>
    <row r="93236">
      <c r="A93236" s="1" t="n">
        <v>93235</v>
      </c>
      <c r="B93236">
        <f>TEXT(93235, "[$-0E0000]yyyy-mm-dd")</f>
        <v/>
      </c>
    </row>
    <row r="93237">
      <c r="A93237" s="1" t="n">
        <v>93236</v>
      </c>
      <c r="B93237">
        <f>TEXT(93236, "[$-0E0000]yyyy-mm-dd")</f>
        <v/>
      </c>
    </row>
    <row r="93238">
      <c r="A93238" s="1" t="n">
        <v>93237</v>
      </c>
      <c r="B93238">
        <f>TEXT(93237, "[$-0E0000]yyyy-mm-dd")</f>
        <v/>
      </c>
    </row>
    <row r="93239">
      <c r="A93239" s="1" t="n">
        <v>93238</v>
      </c>
      <c r="B93239">
        <f>TEXT(93238, "[$-0E0000]yyyy-mm-dd")</f>
        <v/>
      </c>
    </row>
    <row r="93240">
      <c r="A93240" s="1" t="n">
        <v>93239</v>
      </c>
      <c r="B93240">
        <f>TEXT(93239, "[$-0E0000]yyyy-mm-dd")</f>
        <v/>
      </c>
    </row>
    <row r="93241">
      <c r="A93241" s="1" t="n">
        <v>93240</v>
      </c>
      <c r="B93241">
        <f>TEXT(93240, "[$-0E0000]yyyy-mm-dd")</f>
        <v/>
      </c>
    </row>
    <row r="93242">
      <c r="A93242" s="1" t="n">
        <v>93241</v>
      </c>
      <c r="B93242">
        <f>TEXT(93241, "[$-0E0000]yyyy-mm-dd")</f>
        <v/>
      </c>
    </row>
    <row r="93243">
      <c r="A93243" s="1" t="n">
        <v>93242</v>
      </c>
      <c r="B93243">
        <f>TEXT(93242, "[$-0E0000]yyyy-mm-dd")</f>
        <v/>
      </c>
    </row>
    <row r="93244">
      <c r="A93244" s="1" t="n">
        <v>93243</v>
      </c>
      <c r="B93244">
        <f>TEXT(93243, "[$-0E0000]yyyy-mm-dd")</f>
        <v/>
      </c>
    </row>
    <row r="93245">
      <c r="A93245" s="1" t="n">
        <v>93244</v>
      </c>
      <c r="B93245">
        <f>TEXT(93244, "[$-0E0000]yyyy-mm-dd")</f>
        <v/>
      </c>
    </row>
    <row r="93246">
      <c r="A93246" s="1" t="n">
        <v>93245</v>
      </c>
      <c r="B93246">
        <f>TEXT(93245, "[$-0E0000]yyyy-mm-dd")</f>
        <v/>
      </c>
    </row>
    <row r="93247">
      <c r="A93247" s="1" t="n">
        <v>93246</v>
      </c>
      <c r="B93247">
        <f>TEXT(93246, "[$-0E0000]yyyy-mm-dd")</f>
        <v/>
      </c>
    </row>
    <row r="93248">
      <c r="A93248" s="1" t="n">
        <v>93247</v>
      </c>
      <c r="B93248">
        <f>TEXT(93247, "[$-0E0000]yyyy-mm-dd")</f>
        <v/>
      </c>
    </row>
    <row r="93249">
      <c r="A93249" s="1" t="n">
        <v>93248</v>
      </c>
      <c r="B93249">
        <f>TEXT(93248, "[$-0E0000]yyyy-mm-dd")</f>
        <v/>
      </c>
    </row>
    <row r="93250">
      <c r="A93250" s="1" t="n">
        <v>93249</v>
      </c>
      <c r="B93250">
        <f>TEXT(93249, "[$-0E0000]yyyy-mm-dd")</f>
        <v/>
      </c>
    </row>
    <row r="93251">
      <c r="A93251" s="1" t="n">
        <v>93250</v>
      </c>
      <c r="B93251">
        <f>TEXT(93250, "[$-0E0000]yyyy-mm-dd")</f>
        <v/>
      </c>
    </row>
    <row r="93252">
      <c r="A93252" s="1" t="n">
        <v>93251</v>
      </c>
      <c r="B93252">
        <f>TEXT(93251, "[$-0E0000]yyyy-mm-dd")</f>
        <v/>
      </c>
    </row>
    <row r="93253">
      <c r="A93253" s="1" t="n">
        <v>93252</v>
      </c>
      <c r="B93253">
        <f>TEXT(93252, "[$-0E0000]yyyy-mm-dd")</f>
        <v/>
      </c>
    </row>
    <row r="93254">
      <c r="A93254" s="1" t="n">
        <v>93253</v>
      </c>
      <c r="B93254">
        <f>TEXT(93253, "[$-0E0000]yyyy-mm-dd")</f>
        <v/>
      </c>
    </row>
    <row r="93255">
      <c r="A93255" s="1" t="n">
        <v>93254</v>
      </c>
      <c r="B93255">
        <f>TEXT(93254, "[$-0E0000]yyyy-mm-dd")</f>
        <v/>
      </c>
    </row>
    <row r="93256">
      <c r="A93256" s="1" t="n">
        <v>93255</v>
      </c>
      <c r="B93256">
        <f>TEXT(93255, "[$-0E0000]yyyy-mm-dd")</f>
        <v/>
      </c>
    </row>
    <row r="93257">
      <c r="A93257" s="1" t="n">
        <v>93256</v>
      </c>
      <c r="B93257">
        <f>TEXT(93256, "[$-0E0000]yyyy-mm-dd")</f>
        <v/>
      </c>
    </row>
    <row r="93258">
      <c r="A93258" s="1" t="n">
        <v>93257</v>
      </c>
      <c r="B93258">
        <f>TEXT(93257, "[$-0E0000]yyyy-mm-dd")</f>
        <v/>
      </c>
    </row>
    <row r="93259">
      <c r="A93259" s="1" t="n">
        <v>93258</v>
      </c>
      <c r="B93259">
        <f>TEXT(93258, "[$-0E0000]yyyy-mm-dd")</f>
        <v/>
      </c>
    </row>
    <row r="93260">
      <c r="A93260" s="1" t="n">
        <v>93259</v>
      </c>
      <c r="B93260">
        <f>TEXT(93259, "[$-0E0000]yyyy-mm-dd")</f>
        <v/>
      </c>
    </row>
    <row r="93261">
      <c r="A93261" s="1" t="n">
        <v>93260</v>
      </c>
      <c r="B93261">
        <f>TEXT(93260, "[$-0E0000]yyyy-mm-dd")</f>
        <v/>
      </c>
    </row>
    <row r="93262">
      <c r="A93262" s="1" t="n">
        <v>93261</v>
      </c>
      <c r="B93262">
        <f>TEXT(93261, "[$-0E0000]yyyy-mm-dd")</f>
        <v/>
      </c>
    </row>
    <row r="93263">
      <c r="A93263" s="1" t="n">
        <v>93262</v>
      </c>
      <c r="B93263">
        <f>TEXT(93262, "[$-0E0000]yyyy-mm-dd")</f>
        <v/>
      </c>
    </row>
    <row r="93264">
      <c r="A93264" s="1" t="n">
        <v>93263</v>
      </c>
      <c r="B93264">
        <f>TEXT(93263, "[$-0E0000]yyyy-mm-dd")</f>
        <v/>
      </c>
    </row>
    <row r="93265">
      <c r="A93265" s="1" t="n">
        <v>93264</v>
      </c>
      <c r="B93265">
        <f>TEXT(93264, "[$-0E0000]yyyy-mm-dd")</f>
        <v/>
      </c>
    </row>
    <row r="93266">
      <c r="A93266" s="1" t="n">
        <v>93265</v>
      </c>
      <c r="B93266">
        <f>TEXT(93265, "[$-0E0000]yyyy-mm-dd")</f>
        <v/>
      </c>
    </row>
    <row r="93267">
      <c r="A93267" s="1" t="n">
        <v>93266</v>
      </c>
      <c r="B93267">
        <f>TEXT(93266, "[$-0E0000]yyyy-mm-dd")</f>
        <v/>
      </c>
    </row>
    <row r="93268">
      <c r="A93268" s="1" t="n">
        <v>93267</v>
      </c>
      <c r="B93268">
        <f>TEXT(93267, "[$-0E0000]yyyy-mm-dd")</f>
        <v/>
      </c>
    </row>
    <row r="93269">
      <c r="A93269" s="1" t="n">
        <v>93268</v>
      </c>
      <c r="B93269">
        <f>TEXT(93268, "[$-0E0000]yyyy-mm-dd")</f>
        <v/>
      </c>
    </row>
    <row r="93270">
      <c r="A93270" s="1" t="n">
        <v>93269</v>
      </c>
      <c r="B93270">
        <f>TEXT(93269, "[$-0E0000]yyyy-mm-dd")</f>
        <v/>
      </c>
    </row>
    <row r="93271">
      <c r="A93271" s="1" t="n">
        <v>93270</v>
      </c>
      <c r="B93271">
        <f>TEXT(93270, "[$-0E0000]yyyy-mm-dd")</f>
        <v/>
      </c>
    </row>
    <row r="93272">
      <c r="A93272" s="1" t="n">
        <v>93271</v>
      </c>
      <c r="B93272">
        <f>TEXT(93271, "[$-0E0000]yyyy-mm-dd")</f>
        <v/>
      </c>
    </row>
    <row r="93273">
      <c r="A93273" s="1" t="n">
        <v>93272</v>
      </c>
      <c r="B93273">
        <f>TEXT(93272, "[$-0E0000]yyyy-mm-dd")</f>
        <v/>
      </c>
    </row>
    <row r="93274">
      <c r="A93274" s="1" t="n">
        <v>93273</v>
      </c>
      <c r="B93274">
        <f>TEXT(93273, "[$-0E0000]yyyy-mm-dd")</f>
        <v/>
      </c>
    </row>
    <row r="93275">
      <c r="A93275" s="1" t="n">
        <v>93274</v>
      </c>
      <c r="B93275">
        <f>TEXT(93274, "[$-0E0000]yyyy-mm-dd")</f>
        <v/>
      </c>
    </row>
    <row r="93276">
      <c r="A93276" s="1" t="n">
        <v>93275</v>
      </c>
      <c r="B93276">
        <f>TEXT(93275, "[$-0E0000]yyyy-mm-dd")</f>
        <v/>
      </c>
    </row>
    <row r="93277">
      <c r="A93277" s="1" t="n">
        <v>93276</v>
      </c>
      <c r="B93277">
        <f>TEXT(93276, "[$-0E0000]yyyy-mm-dd")</f>
        <v/>
      </c>
    </row>
    <row r="93278">
      <c r="A93278" s="1" t="n">
        <v>93277</v>
      </c>
      <c r="B93278">
        <f>TEXT(93277, "[$-0E0000]yyyy-mm-dd")</f>
        <v/>
      </c>
    </row>
    <row r="93279">
      <c r="A93279" s="1" t="n">
        <v>93278</v>
      </c>
      <c r="B93279">
        <f>TEXT(93278, "[$-0E0000]yyyy-mm-dd")</f>
        <v/>
      </c>
    </row>
    <row r="93280">
      <c r="A93280" s="1" t="n">
        <v>93279</v>
      </c>
      <c r="B93280">
        <f>TEXT(93279, "[$-0E0000]yyyy-mm-dd")</f>
        <v/>
      </c>
    </row>
    <row r="93281">
      <c r="A93281" s="1" t="n">
        <v>93280</v>
      </c>
      <c r="B93281">
        <f>TEXT(93280, "[$-0E0000]yyyy-mm-dd")</f>
        <v/>
      </c>
    </row>
    <row r="93282">
      <c r="A93282" s="1" t="n">
        <v>93281</v>
      </c>
      <c r="B93282">
        <f>TEXT(93281, "[$-0E0000]yyyy-mm-dd")</f>
        <v/>
      </c>
    </row>
    <row r="93283">
      <c r="A93283" s="1" t="n">
        <v>93282</v>
      </c>
      <c r="B93283">
        <f>TEXT(93282, "[$-0E0000]yyyy-mm-dd")</f>
        <v/>
      </c>
    </row>
    <row r="93284">
      <c r="A93284" s="1" t="n">
        <v>93283</v>
      </c>
      <c r="B93284">
        <f>TEXT(93283, "[$-0E0000]yyyy-mm-dd")</f>
        <v/>
      </c>
    </row>
    <row r="93285">
      <c r="A93285" s="1" t="n">
        <v>93284</v>
      </c>
      <c r="B93285">
        <f>TEXT(93284, "[$-0E0000]yyyy-mm-dd")</f>
        <v/>
      </c>
    </row>
    <row r="93286">
      <c r="A93286" s="1" t="n">
        <v>93285</v>
      </c>
      <c r="B93286">
        <f>TEXT(93285, "[$-0E0000]yyyy-mm-dd")</f>
        <v/>
      </c>
    </row>
    <row r="93287">
      <c r="A93287" s="1" t="n">
        <v>93286</v>
      </c>
      <c r="B93287">
        <f>TEXT(93286, "[$-0E0000]yyyy-mm-dd")</f>
        <v/>
      </c>
    </row>
    <row r="93288">
      <c r="A93288" s="1" t="n">
        <v>93287</v>
      </c>
      <c r="B93288">
        <f>TEXT(93287, "[$-0E0000]yyyy-mm-dd")</f>
        <v/>
      </c>
    </row>
    <row r="93289">
      <c r="A93289" s="1" t="n">
        <v>93288</v>
      </c>
      <c r="B93289">
        <f>TEXT(93288, "[$-0E0000]yyyy-mm-dd")</f>
        <v/>
      </c>
    </row>
    <row r="93290">
      <c r="A93290" s="1" t="n">
        <v>93289</v>
      </c>
      <c r="B93290">
        <f>TEXT(93289, "[$-0E0000]yyyy-mm-dd")</f>
        <v/>
      </c>
    </row>
    <row r="93291">
      <c r="A93291" s="1" t="n">
        <v>93290</v>
      </c>
      <c r="B93291">
        <f>TEXT(93290, "[$-0E0000]yyyy-mm-dd")</f>
        <v/>
      </c>
    </row>
    <row r="93292">
      <c r="A93292" s="1" t="n">
        <v>93291</v>
      </c>
      <c r="B93292">
        <f>TEXT(93291, "[$-0E0000]yyyy-mm-dd")</f>
        <v/>
      </c>
    </row>
    <row r="93293">
      <c r="A93293" s="1" t="n">
        <v>93292</v>
      </c>
      <c r="B93293">
        <f>TEXT(93292, "[$-0E0000]yyyy-mm-dd")</f>
        <v/>
      </c>
    </row>
    <row r="93294">
      <c r="A93294" s="1" t="n">
        <v>93293</v>
      </c>
      <c r="B93294">
        <f>TEXT(93293, "[$-0E0000]yyyy-mm-dd")</f>
        <v/>
      </c>
    </row>
    <row r="93295">
      <c r="A93295" s="1" t="n">
        <v>93294</v>
      </c>
      <c r="B93295">
        <f>TEXT(93294, "[$-0E0000]yyyy-mm-dd")</f>
        <v/>
      </c>
    </row>
    <row r="93296">
      <c r="A93296" s="1" t="n">
        <v>93295</v>
      </c>
      <c r="B93296">
        <f>TEXT(93295, "[$-0E0000]yyyy-mm-dd")</f>
        <v/>
      </c>
    </row>
    <row r="93297">
      <c r="A93297" s="1" t="n">
        <v>93296</v>
      </c>
      <c r="B93297">
        <f>TEXT(93296, "[$-0E0000]yyyy-mm-dd")</f>
        <v/>
      </c>
    </row>
    <row r="93298">
      <c r="A93298" s="1" t="n">
        <v>93297</v>
      </c>
      <c r="B93298">
        <f>TEXT(93297, "[$-0E0000]yyyy-mm-dd")</f>
        <v/>
      </c>
    </row>
    <row r="93299">
      <c r="A93299" s="1" t="n">
        <v>93298</v>
      </c>
      <c r="B93299">
        <f>TEXT(93298, "[$-0E0000]yyyy-mm-dd")</f>
        <v/>
      </c>
    </row>
    <row r="93300">
      <c r="A93300" s="1" t="n">
        <v>93299</v>
      </c>
      <c r="B93300">
        <f>TEXT(93299, "[$-0E0000]yyyy-mm-dd")</f>
        <v/>
      </c>
    </row>
    <row r="93301">
      <c r="A93301" s="1" t="n">
        <v>93300</v>
      </c>
      <c r="B93301">
        <f>TEXT(93300, "[$-0E0000]yyyy-mm-dd")</f>
        <v/>
      </c>
    </row>
    <row r="93302">
      <c r="A93302" s="1" t="n">
        <v>93301</v>
      </c>
      <c r="B93302">
        <f>TEXT(93301, "[$-0E0000]yyyy-mm-dd")</f>
        <v/>
      </c>
    </row>
    <row r="93303">
      <c r="A93303" s="1" t="n">
        <v>93302</v>
      </c>
      <c r="B93303">
        <f>TEXT(93302, "[$-0E0000]yyyy-mm-dd")</f>
        <v/>
      </c>
    </row>
    <row r="93304">
      <c r="A93304" s="1" t="n">
        <v>93303</v>
      </c>
      <c r="B93304">
        <f>TEXT(93303, "[$-0E0000]yyyy-mm-dd")</f>
        <v/>
      </c>
    </row>
    <row r="93305">
      <c r="A93305" s="1" t="n">
        <v>93304</v>
      </c>
      <c r="B93305">
        <f>TEXT(93304, "[$-0E0000]yyyy-mm-dd")</f>
        <v/>
      </c>
    </row>
    <row r="93306">
      <c r="A93306" s="1" t="n">
        <v>93305</v>
      </c>
      <c r="B93306">
        <f>TEXT(93305, "[$-0E0000]yyyy-mm-dd")</f>
        <v/>
      </c>
    </row>
    <row r="93307">
      <c r="A93307" s="1" t="n">
        <v>93306</v>
      </c>
      <c r="B93307">
        <f>TEXT(93306, "[$-0E0000]yyyy-mm-dd")</f>
        <v/>
      </c>
    </row>
    <row r="93308">
      <c r="A93308" s="1" t="n">
        <v>93307</v>
      </c>
      <c r="B93308">
        <f>TEXT(93307, "[$-0E0000]yyyy-mm-dd")</f>
        <v/>
      </c>
    </row>
    <row r="93309">
      <c r="A93309" s="1" t="n">
        <v>93308</v>
      </c>
      <c r="B93309">
        <f>TEXT(93308, "[$-0E0000]yyyy-mm-dd")</f>
        <v/>
      </c>
    </row>
    <row r="93310">
      <c r="A93310" s="1" t="n">
        <v>93309</v>
      </c>
      <c r="B93310">
        <f>TEXT(93309, "[$-0E0000]yyyy-mm-dd")</f>
        <v/>
      </c>
    </row>
    <row r="93311">
      <c r="A93311" s="1" t="n">
        <v>93310</v>
      </c>
      <c r="B93311">
        <f>TEXT(93310, "[$-0E0000]yyyy-mm-dd")</f>
        <v/>
      </c>
    </row>
    <row r="93312">
      <c r="A93312" s="1" t="n">
        <v>93311</v>
      </c>
      <c r="B93312">
        <f>TEXT(93311, "[$-0E0000]yyyy-mm-dd")</f>
        <v/>
      </c>
    </row>
    <row r="93313">
      <c r="A93313" s="1" t="n">
        <v>93312</v>
      </c>
      <c r="B93313">
        <f>TEXT(93312, "[$-0E0000]yyyy-mm-dd")</f>
        <v/>
      </c>
    </row>
    <row r="93314">
      <c r="A93314" s="1" t="n">
        <v>93313</v>
      </c>
      <c r="B93314">
        <f>TEXT(93313, "[$-0E0000]yyyy-mm-dd")</f>
        <v/>
      </c>
    </row>
    <row r="93315">
      <c r="A93315" s="1" t="n">
        <v>93314</v>
      </c>
      <c r="B93315">
        <f>TEXT(93314, "[$-0E0000]yyyy-mm-dd")</f>
        <v/>
      </c>
    </row>
    <row r="93316">
      <c r="A93316" s="1" t="n">
        <v>93315</v>
      </c>
      <c r="B93316">
        <f>TEXT(93315, "[$-0E0000]yyyy-mm-dd")</f>
        <v/>
      </c>
    </row>
    <row r="93317">
      <c r="A93317" s="1" t="n">
        <v>93316</v>
      </c>
      <c r="B93317">
        <f>TEXT(93316, "[$-0E0000]yyyy-mm-dd")</f>
        <v/>
      </c>
    </row>
    <row r="93318">
      <c r="A93318" s="1" t="n">
        <v>93317</v>
      </c>
      <c r="B93318">
        <f>TEXT(93317, "[$-0E0000]yyyy-mm-dd")</f>
        <v/>
      </c>
    </row>
    <row r="93319">
      <c r="A93319" s="1" t="n">
        <v>93318</v>
      </c>
      <c r="B93319">
        <f>TEXT(93318, "[$-0E0000]yyyy-mm-dd")</f>
        <v/>
      </c>
    </row>
    <row r="93320">
      <c r="A93320" s="1" t="n">
        <v>93319</v>
      </c>
      <c r="B93320">
        <f>TEXT(93319, "[$-0E0000]yyyy-mm-dd")</f>
        <v/>
      </c>
    </row>
    <row r="93321">
      <c r="A93321" s="1" t="n">
        <v>93320</v>
      </c>
      <c r="B93321">
        <f>TEXT(93320, "[$-0E0000]yyyy-mm-dd")</f>
        <v/>
      </c>
    </row>
    <row r="93322">
      <c r="A93322" s="1" t="n">
        <v>93321</v>
      </c>
      <c r="B93322">
        <f>TEXT(93321, "[$-0E0000]yyyy-mm-dd")</f>
        <v/>
      </c>
    </row>
    <row r="93323">
      <c r="A93323" s="1" t="n">
        <v>93322</v>
      </c>
      <c r="B93323">
        <f>TEXT(93322, "[$-0E0000]yyyy-mm-dd")</f>
        <v/>
      </c>
    </row>
    <row r="93324">
      <c r="A93324" s="1" t="n">
        <v>93323</v>
      </c>
      <c r="B93324">
        <f>TEXT(93323, "[$-0E0000]yyyy-mm-dd")</f>
        <v/>
      </c>
    </row>
    <row r="93325">
      <c r="A93325" s="1" t="n">
        <v>93324</v>
      </c>
      <c r="B93325">
        <f>TEXT(93324, "[$-0E0000]yyyy-mm-dd")</f>
        <v/>
      </c>
    </row>
    <row r="93326">
      <c r="A93326" s="1" t="n">
        <v>93325</v>
      </c>
      <c r="B93326">
        <f>TEXT(93325, "[$-0E0000]yyyy-mm-dd")</f>
        <v/>
      </c>
    </row>
    <row r="93327">
      <c r="A93327" s="1" t="n">
        <v>93326</v>
      </c>
      <c r="B93327">
        <f>TEXT(93326, "[$-0E0000]yyyy-mm-dd")</f>
        <v/>
      </c>
    </row>
    <row r="93328">
      <c r="A93328" s="1" t="n">
        <v>93327</v>
      </c>
      <c r="B93328">
        <f>TEXT(93327, "[$-0E0000]yyyy-mm-dd")</f>
        <v/>
      </c>
    </row>
    <row r="93329">
      <c r="A93329" s="1" t="n">
        <v>93328</v>
      </c>
      <c r="B93329">
        <f>TEXT(93328, "[$-0E0000]yyyy-mm-dd")</f>
        <v/>
      </c>
    </row>
    <row r="93330">
      <c r="A93330" s="1" t="n">
        <v>93329</v>
      </c>
      <c r="B93330">
        <f>TEXT(93329, "[$-0E0000]yyyy-mm-dd")</f>
        <v/>
      </c>
    </row>
    <row r="93331">
      <c r="A93331" s="1" t="n">
        <v>93330</v>
      </c>
      <c r="B93331">
        <f>TEXT(93330, "[$-0E0000]yyyy-mm-dd")</f>
        <v/>
      </c>
    </row>
    <row r="93332">
      <c r="A93332" s="1" t="n">
        <v>93331</v>
      </c>
      <c r="B93332">
        <f>TEXT(93331, "[$-0E0000]yyyy-mm-dd")</f>
        <v/>
      </c>
    </row>
    <row r="93333">
      <c r="A93333" s="1" t="n">
        <v>93332</v>
      </c>
      <c r="B93333">
        <f>TEXT(93332, "[$-0E0000]yyyy-mm-dd")</f>
        <v/>
      </c>
    </row>
    <row r="93334">
      <c r="A93334" s="1" t="n">
        <v>93333</v>
      </c>
      <c r="B93334">
        <f>TEXT(93333, "[$-0E0000]yyyy-mm-dd")</f>
        <v/>
      </c>
    </row>
    <row r="93335">
      <c r="A93335" s="1" t="n">
        <v>93334</v>
      </c>
      <c r="B93335">
        <f>TEXT(93334, "[$-0E0000]yyyy-mm-dd")</f>
        <v/>
      </c>
    </row>
    <row r="93336">
      <c r="A93336" s="1" t="n">
        <v>93335</v>
      </c>
      <c r="B93336">
        <f>TEXT(93335, "[$-0E0000]yyyy-mm-dd")</f>
        <v/>
      </c>
    </row>
    <row r="93337">
      <c r="A93337" s="1" t="n">
        <v>93336</v>
      </c>
      <c r="B93337">
        <f>TEXT(93336, "[$-0E0000]yyyy-mm-dd")</f>
        <v/>
      </c>
    </row>
    <row r="93338">
      <c r="A93338" s="1" t="n">
        <v>93337</v>
      </c>
      <c r="B93338">
        <f>TEXT(93337, "[$-0E0000]yyyy-mm-dd")</f>
        <v/>
      </c>
    </row>
    <row r="93339">
      <c r="A93339" s="1" t="n">
        <v>93338</v>
      </c>
      <c r="B93339">
        <f>TEXT(93338, "[$-0E0000]yyyy-mm-dd")</f>
        <v/>
      </c>
    </row>
    <row r="93340">
      <c r="A93340" s="1" t="n">
        <v>93339</v>
      </c>
      <c r="B93340">
        <f>TEXT(93339, "[$-0E0000]yyyy-mm-dd")</f>
        <v/>
      </c>
    </row>
    <row r="93341">
      <c r="A93341" s="1" t="n">
        <v>93340</v>
      </c>
      <c r="B93341">
        <f>TEXT(93340, "[$-0E0000]yyyy-mm-dd")</f>
        <v/>
      </c>
    </row>
    <row r="93342">
      <c r="A93342" s="1" t="n">
        <v>93341</v>
      </c>
      <c r="B93342">
        <f>TEXT(93341, "[$-0E0000]yyyy-mm-dd")</f>
        <v/>
      </c>
    </row>
    <row r="93343">
      <c r="A93343" s="1" t="n">
        <v>93342</v>
      </c>
      <c r="B93343">
        <f>TEXT(93342, "[$-0E0000]yyyy-mm-dd")</f>
        <v/>
      </c>
    </row>
    <row r="93344">
      <c r="A93344" s="1" t="n">
        <v>93343</v>
      </c>
      <c r="B93344">
        <f>TEXT(93343, "[$-0E0000]yyyy-mm-dd")</f>
        <v/>
      </c>
    </row>
    <row r="93345">
      <c r="A93345" s="1" t="n">
        <v>93344</v>
      </c>
      <c r="B93345">
        <f>TEXT(93344, "[$-0E0000]yyyy-mm-dd")</f>
        <v/>
      </c>
    </row>
    <row r="93346">
      <c r="A93346" s="1" t="n">
        <v>93345</v>
      </c>
      <c r="B93346">
        <f>TEXT(93345, "[$-0E0000]yyyy-mm-dd")</f>
        <v/>
      </c>
    </row>
    <row r="93347">
      <c r="A93347" s="1" t="n">
        <v>93346</v>
      </c>
      <c r="B93347">
        <f>TEXT(93346, "[$-0E0000]yyyy-mm-dd")</f>
        <v/>
      </c>
    </row>
    <row r="93348">
      <c r="A93348" s="1" t="n">
        <v>93347</v>
      </c>
      <c r="B93348">
        <f>TEXT(93347, "[$-0E0000]yyyy-mm-dd")</f>
        <v/>
      </c>
    </row>
    <row r="93349">
      <c r="A93349" s="1" t="n">
        <v>93348</v>
      </c>
      <c r="B93349">
        <f>TEXT(93348, "[$-0E0000]yyyy-mm-dd")</f>
        <v/>
      </c>
    </row>
    <row r="93350">
      <c r="A93350" s="1" t="n">
        <v>93349</v>
      </c>
      <c r="B93350">
        <f>TEXT(93349, "[$-0E0000]yyyy-mm-dd")</f>
        <v/>
      </c>
    </row>
    <row r="93351">
      <c r="A93351" s="1" t="n">
        <v>93350</v>
      </c>
      <c r="B93351">
        <f>TEXT(93350, "[$-0E0000]yyyy-mm-dd")</f>
        <v/>
      </c>
    </row>
    <row r="93352">
      <c r="A93352" s="1" t="n">
        <v>93351</v>
      </c>
      <c r="B93352">
        <f>TEXT(93351, "[$-0E0000]yyyy-mm-dd")</f>
        <v/>
      </c>
    </row>
    <row r="93353">
      <c r="A93353" s="1" t="n">
        <v>93352</v>
      </c>
      <c r="B93353">
        <f>TEXT(93352, "[$-0E0000]yyyy-mm-dd")</f>
        <v/>
      </c>
    </row>
    <row r="93354">
      <c r="A93354" s="1" t="n">
        <v>93353</v>
      </c>
      <c r="B93354">
        <f>TEXT(93353, "[$-0E0000]yyyy-mm-dd")</f>
        <v/>
      </c>
    </row>
    <row r="93355">
      <c r="A93355" s="1" t="n">
        <v>93354</v>
      </c>
      <c r="B93355">
        <f>TEXT(93354, "[$-0E0000]yyyy-mm-dd")</f>
        <v/>
      </c>
    </row>
    <row r="93356">
      <c r="A93356" s="1" t="n">
        <v>93355</v>
      </c>
      <c r="B93356">
        <f>TEXT(93355, "[$-0E0000]yyyy-mm-dd")</f>
        <v/>
      </c>
    </row>
    <row r="93357">
      <c r="A93357" s="1" t="n">
        <v>93356</v>
      </c>
      <c r="B93357">
        <f>TEXT(93356, "[$-0E0000]yyyy-mm-dd")</f>
        <v/>
      </c>
    </row>
    <row r="93358">
      <c r="A93358" s="1" t="n">
        <v>93357</v>
      </c>
      <c r="B93358">
        <f>TEXT(93357, "[$-0E0000]yyyy-mm-dd")</f>
        <v/>
      </c>
    </row>
    <row r="93359">
      <c r="A93359" s="1" t="n">
        <v>93358</v>
      </c>
      <c r="B93359">
        <f>TEXT(93358, "[$-0E0000]yyyy-mm-dd")</f>
        <v/>
      </c>
    </row>
    <row r="93360">
      <c r="A93360" s="1" t="n">
        <v>93359</v>
      </c>
      <c r="B93360">
        <f>TEXT(93359, "[$-0E0000]yyyy-mm-dd")</f>
        <v/>
      </c>
    </row>
    <row r="93361">
      <c r="A93361" s="1" t="n">
        <v>93360</v>
      </c>
      <c r="B93361">
        <f>TEXT(93360, "[$-0E0000]yyyy-mm-dd")</f>
        <v/>
      </c>
    </row>
    <row r="93362">
      <c r="A93362" s="1" t="n">
        <v>93361</v>
      </c>
      <c r="B93362">
        <f>TEXT(93361, "[$-0E0000]yyyy-mm-dd")</f>
        <v/>
      </c>
    </row>
    <row r="93363">
      <c r="A93363" s="1" t="n">
        <v>93362</v>
      </c>
      <c r="B93363">
        <f>TEXT(93362, "[$-0E0000]yyyy-mm-dd")</f>
        <v/>
      </c>
    </row>
    <row r="93364">
      <c r="A93364" s="1" t="n">
        <v>93363</v>
      </c>
      <c r="B93364">
        <f>TEXT(93363, "[$-0E0000]yyyy-mm-dd")</f>
        <v/>
      </c>
    </row>
    <row r="93365">
      <c r="A93365" s="1" t="n">
        <v>93364</v>
      </c>
      <c r="B93365">
        <f>TEXT(93364, "[$-0E0000]yyyy-mm-dd")</f>
        <v/>
      </c>
    </row>
    <row r="93366">
      <c r="A93366" s="1" t="n">
        <v>93365</v>
      </c>
      <c r="B93366">
        <f>TEXT(93365, "[$-0E0000]yyyy-mm-dd")</f>
        <v/>
      </c>
    </row>
    <row r="93367">
      <c r="A93367" s="1" t="n">
        <v>93366</v>
      </c>
      <c r="B93367">
        <f>TEXT(93366, "[$-0E0000]yyyy-mm-dd")</f>
        <v/>
      </c>
    </row>
    <row r="93368">
      <c r="A93368" s="1" t="n">
        <v>93367</v>
      </c>
      <c r="B93368">
        <f>TEXT(93367, "[$-0E0000]yyyy-mm-dd")</f>
        <v/>
      </c>
    </row>
    <row r="93369">
      <c r="A93369" s="1" t="n">
        <v>93368</v>
      </c>
      <c r="B93369">
        <f>TEXT(93368, "[$-0E0000]yyyy-mm-dd")</f>
        <v/>
      </c>
    </row>
    <row r="93370">
      <c r="A93370" s="1" t="n">
        <v>93369</v>
      </c>
      <c r="B93370">
        <f>TEXT(93369, "[$-0E0000]yyyy-mm-dd")</f>
        <v/>
      </c>
    </row>
    <row r="93371">
      <c r="A93371" s="1" t="n">
        <v>93370</v>
      </c>
      <c r="B93371">
        <f>TEXT(93370, "[$-0E0000]yyyy-mm-dd")</f>
        <v/>
      </c>
    </row>
    <row r="93372">
      <c r="A93372" s="1" t="n">
        <v>93371</v>
      </c>
      <c r="B93372">
        <f>TEXT(93371, "[$-0E0000]yyyy-mm-dd")</f>
        <v/>
      </c>
    </row>
    <row r="93373">
      <c r="A93373" s="1" t="n">
        <v>93372</v>
      </c>
      <c r="B93373">
        <f>TEXT(93372, "[$-0E0000]yyyy-mm-dd")</f>
        <v/>
      </c>
    </row>
    <row r="93374">
      <c r="A93374" s="1" t="n">
        <v>93373</v>
      </c>
      <c r="B93374">
        <f>TEXT(93373, "[$-0E0000]yyyy-mm-dd")</f>
        <v/>
      </c>
    </row>
    <row r="93375">
      <c r="A93375" s="1" t="n">
        <v>93374</v>
      </c>
      <c r="B93375">
        <f>TEXT(93374, "[$-0E0000]yyyy-mm-dd")</f>
        <v/>
      </c>
    </row>
    <row r="93376">
      <c r="A93376" s="1" t="n">
        <v>93375</v>
      </c>
      <c r="B93376">
        <f>TEXT(93375, "[$-0E0000]yyyy-mm-dd")</f>
        <v/>
      </c>
    </row>
    <row r="93377">
      <c r="A93377" s="1" t="n">
        <v>93376</v>
      </c>
      <c r="B93377">
        <f>TEXT(93376, "[$-0E0000]yyyy-mm-dd")</f>
        <v/>
      </c>
    </row>
    <row r="93378">
      <c r="A93378" s="1" t="n">
        <v>93377</v>
      </c>
      <c r="B93378">
        <f>TEXT(93377, "[$-0E0000]yyyy-mm-dd")</f>
        <v/>
      </c>
    </row>
    <row r="93379">
      <c r="A93379" s="1" t="n">
        <v>93378</v>
      </c>
      <c r="B93379">
        <f>TEXT(93378, "[$-0E0000]yyyy-mm-dd")</f>
        <v/>
      </c>
    </row>
    <row r="93380">
      <c r="A93380" s="1" t="n">
        <v>93379</v>
      </c>
      <c r="B93380">
        <f>TEXT(93379, "[$-0E0000]yyyy-mm-dd")</f>
        <v/>
      </c>
    </row>
    <row r="93381">
      <c r="A93381" s="1" t="n">
        <v>93380</v>
      </c>
      <c r="B93381">
        <f>TEXT(93380, "[$-0E0000]yyyy-mm-dd")</f>
        <v/>
      </c>
    </row>
    <row r="93382">
      <c r="A93382" s="1" t="n">
        <v>93381</v>
      </c>
      <c r="B93382">
        <f>TEXT(93381, "[$-0E0000]yyyy-mm-dd")</f>
        <v/>
      </c>
    </row>
    <row r="93383">
      <c r="A93383" s="1" t="n">
        <v>93382</v>
      </c>
      <c r="B93383">
        <f>TEXT(93382, "[$-0E0000]yyyy-mm-dd")</f>
        <v/>
      </c>
    </row>
    <row r="93384">
      <c r="A93384" s="1" t="n">
        <v>93383</v>
      </c>
      <c r="B93384">
        <f>TEXT(93383, "[$-0E0000]yyyy-mm-dd")</f>
        <v/>
      </c>
    </row>
    <row r="93385">
      <c r="A93385" s="1" t="n">
        <v>93384</v>
      </c>
      <c r="B93385">
        <f>TEXT(93384, "[$-0E0000]yyyy-mm-dd")</f>
        <v/>
      </c>
    </row>
    <row r="93386">
      <c r="A93386" s="1" t="n">
        <v>93385</v>
      </c>
      <c r="B93386">
        <f>TEXT(93385, "[$-0E0000]yyyy-mm-dd")</f>
        <v/>
      </c>
    </row>
    <row r="93387">
      <c r="A93387" s="1" t="n">
        <v>93386</v>
      </c>
      <c r="B93387">
        <f>TEXT(93386, "[$-0E0000]yyyy-mm-dd")</f>
        <v/>
      </c>
    </row>
    <row r="93388">
      <c r="A93388" s="1" t="n">
        <v>93387</v>
      </c>
      <c r="B93388">
        <f>TEXT(93387, "[$-0E0000]yyyy-mm-dd")</f>
        <v/>
      </c>
    </row>
    <row r="93389">
      <c r="A93389" s="1" t="n">
        <v>93388</v>
      </c>
      <c r="B93389">
        <f>TEXT(93388, "[$-0E0000]yyyy-mm-dd")</f>
        <v/>
      </c>
    </row>
    <row r="93390">
      <c r="A93390" s="1" t="n">
        <v>93389</v>
      </c>
      <c r="B93390">
        <f>TEXT(93389, "[$-0E0000]yyyy-mm-dd")</f>
        <v/>
      </c>
    </row>
    <row r="93391">
      <c r="A93391" s="1" t="n">
        <v>93390</v>
      </c>
      <c r="B93391">
        <f>TEXT(93390, "[$-0E0000]yyyy-mm-dd")</f>
        <v/>
      </c>
    </row>
    <row r="93392">
      <c r="A93392" s="1" t="n">
        <v>93391</v>
      </c>
      <c r="B93392">
        <f>TEXT(93391, "[$-0E0000]yyyy-mm-dd")</f>
        <v/>
      </c>
    </row>
    <row r="93393">
      <c r="A93393" s="1" t="n">
        <v>93392</v>
      </c>
      <c r="B93393">
        <f>TEXT(93392, "[$-0E0000]yyyy-mm-dd")</f>
        <v/>
      </c>
    </row>
    <row r="93394">
      <c r="A93394" s="1" t="n">
        <v>93393</v>
      </c>
      <c r="B93394">
        <f>TEXT(93393, "[$-0E0000]yyyy-mm-dd")</f>
        <v/>
      </c>
    </row>
    <row r="93395">
      <c r="A93395" s="1" t="n">
        <v>93394</v>
      </c>
      <c r="B93395">
        <f>TEXT(93394, "[$-0E0000]yyyy-mm-dd")</f>
        <v/>
      </c>
    </row>
    <row r="93396">
      <c r="A93396" s="1" t="n">
        <v>93395</v>
      </c>
      <c r="B93396">
        <f>TEXT(93395, "[$-0E0000]yyyy-mm-dd")</f>
        <v/>
      </c>
    </row>
    <row r="93397">
      <c r="A93397" s="1" t="n">
        <v>93396</v>
      </c>
      <c r="B93397">
        <f>TEXT(93396, "[$-0E0000]yyyy-mm-dd")</f>
        <v/>
      </c>
    </row>
    <row r="93398">
      <c r="A93398" s="1" t="n">
        <v>93397</v>
      </c>
      <c r="B93398">
        <f>TEXT(93397, "[$-0E0000]yyyy-mm-dd")</f>
        <v/>
      </c>
    </row>
    <row r="93399">
      <c r="A93399" s="1" t="n">
        <v>93398</v>
      </c>
      <c r="B93399">
        <f>TEXT(93398, "[$-0E0000]yyyy-mm-dd")</f>
        <v/>
      </c>
    </row>
    <row r="93400">
      <c r="A93400" s="1" t="n">
        <v>93399</v>
      </c>
      <c r="B93400">
        <f>TEXT(93399, "[$-0E0000]yyyy-mm-dd")</f>
        <v/>
      </c>
    </row>
    <row r="93401">
      <c r="A93401" s="1" t="n">
        <v>93400</v>
      </c>
      <c r="B93401">
        <f>TEXT(93400, "[$-0E0000]yyyy-mm-dd")</f>
        <v/>
      </c>
    </row>
    <row r="93402">
      <c r="A93402" s="1" t="n">
        <v>93401</v>
      </c>
      <c r="B93402">
        <f>TEXT(93401, "[$-0E0000]yyyy-mm-dd")</f>
        <v/>
      </c>
    </row>
    <row r="93403">
      <c r="A93403" s="1" t="n">
        <v>93402</v>
      </c>
      <c r="B93403">
        <f>TEXT(93402, "[$-0E0000]yyyy-mm-dd")</f>
        <v/>
      </c>
    </row>
    <row r="93404">
      <c r="A93404" s="1" t="n">
        <v>93403</v>
      </c>
      <c r="B93404">
        <f>TEXT(93403, "[$-0E0000]yyyy-mm-dd")</f>
        <v/>
      </c>
    </row>
    <row r="93405">
      <c r="A93405" s="1" t="n">
        <v>93404</v>
      </c>
      <c r="B93405">
        <f>TEXT(93404, "[$-0E0000]yyyy-mm-dd")</f>
        <v/>
      </c>
    </row>
    <row r="93406">
      <c r="A93406" s="1" t="n">
        <v>93405</v>
      </c>
      <c r="B93406">
        <f>TEXT(93405, "[$-0E0000]yyyy-mm-dd")</f>
        <v/>
      </c>
    </row>
    <row r="93407">
      <c r="A93407" s="1" t="n">
        <v>93406</v>
      </c>
      <c r="B93407">
        <f>TEXT(93406, "[$-0E0000]yyyy-mm-dd")</f>
        <v/>
      </c>
    </row>
    <row r="93408">
      <c r="A93408" s="1" t="n">
        <v>93407</v>
      </c>
      <c r="B93408">
        <f>TEXT(93407, "[$-0E0000]yyyy-mm-dd")</f>
        <v/>
      </c>
    </row>
    <row r="93409">
      <c r="A93409" s="1" t="n">
        <v>93408</v>
      </c>
      <c r="B93409">
        <f>TEXT(93408, "[$-0E0000]yyyy-mm-dd")</f>
        <v/>
      </c>
    </row>
    <row r="93410">
      <c r="A93410" s="1" t="n">
        <v>93409</v>
      </c>
      <c r="B93410">
        <f>TEXT(93409, "[$-0E0000]yyyy-mm-dd")</f>
        <v/>
      </c>
    </row>
    <row r="93411">
      <c r="A93411" s="1" t="n">
        <v>93410</v>
      </c>
      <c r="B93411">
        <f>TEXT(93410, "[$-0E0000]yyyy-mm-dd")</f>
        <v/>
      </c>
    </row>
    <row r="93412">
      <c r="A93412" s="1" t="n">
        <v>93411</v>
      </c>
      <c r="B93412">
        <f>TEXT(93411, "[$-0E0000]yyyy-mm-dd")</f>
        <v/>
      </c>
    </row>
    <row r="93413">
      <c r="A93413" s="1" t="n">
        <v>93412</v>
      </c>
      <c r="B93413">
        <f>TEXT(93412, "[$-0E0000]yyyy-mm-dd")</f>
        <v/>
      </c>
    </row>
    <row r="93414">
      <c r="A93414" s="1" t="n">
        <v>93413</v>
      </c>
      <c r="B93414">
        <f>TEXT(93413, "[$-0E0000]yyyy-mm-dd")</f>
        <v/>
      </c>
    </row>
    <row r="93415">
      <c r="A93415" s="1" t="n">
        <v>93414</v>
      </c>
      <c r="B93415">
        <f>TEXT(93414, "[$-0E0000]yyyy-mm-dd")</f>
        <v/>
      </c>
    </row>
    <row r="93416">
      <c r="A93416" s="1" t="n">
        <v>93415</v>
      </c>
      <c r="B93416">
        <f>TEXT(93415, "[$-0E0000]yyyy-mm-dd")</f>
        <v/>
      </c>
    </row>
    <row r="93417">
      <c r="A93417" s="1" t="n">
        <v>93416</v>
      </c>
      <c r="B93417">
        <f>TEXT(93416, "[$-0E0000]yyyy-mm-dd")</f>
        <v/>
      </c>
    </row>
    <row r="93418">
      <c r="A93418" s="1" t="n">
        <v>93417</v>
      </c>
      <c r="B93418">
        <f>TEXT(93417, "[$-0E0000]yyyy-mm-dd")</f>
        <v/>
      </c>
    </row>
    <row r="93419">
      <c r="A93419" s="1" t="n">
        <v>93418</v>
      </c>
      <c r="B93419">
        <f>TEXT(93418, "[$-0E0000]yyyy-mm-dd")</f>
        <v/>
      </c>
    </row>
    <row r="93420">
      <c r="A93420" s="1" t="n">
        <v>93419</v>
      </c>
      <c r="B93420">
        <f>TEXT(93419, "[$-0E0000]yyyy-mm-dd")</f>
        <v/>
      </c>
    </row>
    <row r="93421">
      <c r="A93421" s="1" t="n">
        <v>93420</v>
      </c>
      <c r="B93421">
        <f>TEXT(93420, "[$-0E0000]yyyy-mm-dd")</f>
        <v/>
      </c>
    </row>
    <row r="93422">
      <c r="A93422" s="1" t="n">
        <v>93421</v>
      </c>
      <c r="B93422">
        <f>TEXT(93421, "[$-0E0000]yyyy-mm-dd")</f>
        <v/>
      </c>
    </row>
    <row r="93423">
      <c r="A93423" s="1" t="n">
        <v>93422</v>
      </c>
      <c r="B93423">
        <f>TEXT(93422, "[$-0E0000]yyyy-mm-dd")</f>
        <v/>
      </c>
    </row>
    <row r="93424">
      <c r="A93424" s="1" t="n">
        <v>93423</v>
      </c>
      <c r="B93424">
        <f>TEXT(93423, "[$-0E0000]yyyy-mm-dd")</f>
        <v/>
      </c>
    </row>
    <row r="93425">
      <c r="A93425" s="1" t="n">
        <v>93424</v>
      </c>
      <c r="B93425">
        <f>TEXT(93424, "[$-0E0000]yyyy-mm-dd")</f>
        <v/>
      </c>
    </row>
    <row r="93426">
      <c r="A93426" s="1" t="n">
        <v>93425</v>
      </c>
      <c r="B93426">
        <f>TEXT(93425, "[$-0E0000]yyyy-mm-dd")</f>
        <v/>
      </c>
    </row>
    <row r="93427">
      <c r="A93427" s="1" t="n">
        <v>93426</v>
      </c>
      <c r="B93427">
        <f>TEXT(93426, "[$-0E0000]yyyy-mm-dd")</f>
        <v/>
      </c>
    </row>
    <row r="93428">
      <c r="A93428" s="1" t="n">
        <v>93427</v>
      </c>
      <c r="B93428">
        <f>TEXT(93427, "[$-0E0000]yyyy-mm-dd")</f>
        <v/>
      </c>
    </row>
    <row r="93429">
      <c r="A93429" s="1" t="n">
        <v>93428</v>
      </c>
      <c r="B93429">
        <f>TEXT(93428, "[$-0E0000]yyyy-mm-dd")</f>
        <v/>
      </c>
    </row>
    <row r="93430">
      <c r="A93430" s="1" t="n">
        <v>93429</v>
      </c>
      <c r="B93430">
        <f>TEXT(93429, "[$-0E0000]yyyy-mm-dd")</f>
        <v/>
      </c>
    </row>
    <row r="93431">
      <c r="A93431" s="1" t="n">
        <v>93430</v>
      </c>
      <c r="B93431">
        <f>TEXT(93430, "[$-0E0000]yyyy-mm-dd")</f>
        <v/>
      </c>
    </row>
    <row r="93432">
      <c r="A93432" s="1" t="n">
        <v>93431</v>
      </c>
      <c r="B93432">
        <f>TEXT(93431, "[$-0E0000]yyyy-mm-dd")</f>
        <v/>
      </c>
    </row>
    <row r="93433">
      <c r="A93433" s="1" t="n">
        <v>93432</v>
      </c>
      <c r="B93433">
        <f>TEXT(93432, "[$-0E0000]yyyy-mm-dd")</f>
        <v/>
      </c>
    </row>
    <row r="93434">
      <c r="A93434" s="1" t="n">
        <v>93433</v>
      </c>
      <c r="B93434">
        <f>TEXT(93433, "[$-0E0000]yyyy-mm-dd")</f>
        <v/>
      </c>
    </row>
    <row r="93435">
      <c r="A93435" s="1" t="n">
        <v>93434</v>
      </c>
      <c r="B93435">
        <f>TEXT(93434, "[$-0E0000]yyyy-mm-dd")</f>
        <v/>
      </c>
    </row>
    <row r="93436">
      <c r="A93436" s="1" t="n">
        <v>93435</v>
      </c>
      <c r="B93436">
        <f>TEXT(93435, "[$-0E0000]yyyy-mm-dd")</f>
        <v/>
      </c>
    </row>
    <row r="93437">
      <c r="A93437" s="1" t="n">
        <v>93436</v>
      </c>
      <c r="B93437">
        <f>TEXT(93436, "[$-0E0000]yyyy-mm-dd")</f>
        <v/>
      </c>
    </row>
    <row r="93438">
      <c r="A93438" s="1" t="n">
        <v>93437</v>
      </c>
      <c r="B93438">
        <f>TEXT(93437, "[$-0E0000]yyyy-mm-dd")</f>
        <v/>
      </c>
    </row>
    <row r="93439">
      <c r="A93439" s="1" t="n">
        <v>93438</v>
      </c>
      <c r="B93439">
        <f>TEXT(93438, "[$-0E0000]yyyy-mm-dd")</f>
        <v/>
      </c>
    </row>
    <row r="93440">
      <c r="A93440" s="1" t="n">
        <v>93439</v>
      </c>
      <c r="B93440">
        <f>TEXT(93439, "[$-0E0000]yyyy-mm-dd")</f>
        <v/>
      </c>
    </row>
    <row r="93441">
      <c r="A93441" s="1" t="n">
        <v>93440</v>
      </c>
      <c r="B93441">
        <f>TEXT(93440, "[$-0E0000]yyyy-mm-dd")</f>
        <v/>
      </c>
    </row>
    <row r="93442">
      <c r="A93442" s="1" t="n">
        <v>93441</v>
      </c>
      <c r="B93442">
        <f>TEXT(93441, "[$-0E0000]yyyy-mm-dd")</f>
        <v/>
      </c>
    </row>
    <row r="93443">
      <c r="A93443" s="1" t="n">
        <v>93442</v>
      </c>
      <c r="B93443">
        <f>TEXT(93442, "[$-0E0000]yyyy-mm-dd")</f>
        <v/>
      </c>
    </row>
    <row r="93444">
      <c r="A93444" s="1" t="n">
        <v>93443</v>
      </c>
      <c r="B93444">
        <f>TEXT(93443, "[$-0E0000]yyyy-mm-dd")</f>
        <v/>
      </c>
    </row>
    <row r="93445">
      <c r="A93445" s="1" t="n">
        <v>93444</v>
      </c>
      <c r="B93445">
        <f>TEXT(93444, "[$-0E0000]yyyy-mm-dd")</f>
        <v/>
      </c>
    </row>
    <row r="93446">
      <c r="A93446" s="1" t="n">
        <v>93445</v>
      </c>
      <c r="B93446">
        <f>TEXT(93445, "[$-0E0000]yyyy-mm-dd")</f>
        <v/>
      </c>
    </row>
    <row r="93447">
      <c r="A93447" s="1" t="n">
        <v>93446</v>
      </c>
      <c r="B93447">
        <f>TEXT(93446, "[$-0E0000]yyyy-mm-dd")</f>
        <v/>
      </c>
    </row>
    <row r="93448">
      <c r="A93448" s="1" t="n">
        <v>93447</v>
      </c>
      <c r="B93448">
        <f>TEXT(93447, "[$-0E0000]yyyy-mm-dd")</f>
        <v/>
      </c>
    </row>
    <row r="93449">
      <c r="A93449" s="1" t="n">
        <v>93448</v>
      </c>
      <c r="B93449">
        <f>TEXT(93448, "[$-0E0000]yyyy-mm-dd")</f>
        <v/>
      </c>
    </row>
    <row r="93450">
      <c r="A93450" s="1" t="n">
        <v>93449</v>
      </c>
      <c r="B93450">
        <f>TEXT(93449, "[$-0E0000]yyyy-mm-dd")</f>
        <v/>
      </c>
    </row>
    <row r="93451">
      <c r="A93451" s="1" t="n">
        <v>93450</v>
      </c>
      <c r="B93451">
        <f>TEXT(93450, "[$-0E0000]yyyy-mm-dd")</f>
        <v/>
      </c>
    </row>
    <row r="93452">
      <c r="A93452" s="1" t="n">
        <v>93451</v>
      </c>
      <c r="B93452">
        <f>TEXT(93451, "[$-0E0000]yyyy-mm-dd")</f>
        <v/>
      </c>
    </row>
    <row r="93453">
      <c r="A93453" s="1" t="n">
        <v>93452</v>
      </c>
      <c r="B93453">
        <f>TEXT(93452, "[$-0E0000]yyyy-mm-dd")</f>
        <v/>
      </c>
    </row>
    <row r="93454">
      <c r="A93454" s="1" t="n">
        <v>93453</v>
      </c>
      <c r="B93454">
        <f>TEXT(93453, "[$-0E0000]yyyy-mm-dd")</f>
        <v/>
      </c>
    </row>
    <row r="93455">
      <c r="A93455" s="1" t="n">
        <v>93454</v>
      </c>
      <c r="B93455">
        <f>TEXT(93454, "[$-0E0000]yyyy-mm-dd")</f>
        <v/>
      </c>
    </row>
    <row r="93456">
      <c r="A93456" s="1" t="n">
        <v>93455</v>
      </c>
      <c r="B93456">
        <f>TEXT(93455, "[$-0E0000]yyyy-mm-dd")</f>
        <v/>
      </c>
    </row>
    <row r="93457">
      <c r="A93457" s="1" t="n">
        <v>93456</v>
      </c>
      <c r="B93457">
        <f>TEXT(93456, "[$-0E0000]yyyy-mm-dd")</f>
        <v/>
      </c>
    </row>
    <row r="93458">
      <c r="A93458" s="1" t="n">
        <v>93457</v>
      </c>
      <c r="B93458">
        <f>TEXT(93457, "[$-0E0000]yyyy-mm-dd")</f>
        <v/>
      </c>
    </row>
    <row r="93459">
      <c r="A93459" s="1" t="n">
        <v>93458</v>
      </c>
      <c r="B93459">
        <f>TEXT(93458, "[$-0E0000]yyyy-mm-dd")</f>
        <v/>
      </c>
    </row>
    <row r="93460">
      <c r="A93460" s="1" t="n">
        <v>93459</v>
      </c>
      <c r="B93460">
        <f>TEXT(93459, "[$-0E0000]yyyy-mm-dd")</f>
        <v/>
      </c>
    </row>
    <row r="93461">
      <c r="A93461" s="1" t="n">
        <v>93460</v>
      </c>
      <c r="B93461">
        <f>TEXT(93460, "[$-0E0000]yyyy-mm-dd")</f>
        <v/>
      </c>
    </row>
    <row r="93462">
      <c r="A93462" s="1" t="n">
        <v>93461</v>
      </c>
      <c r="B93462">
        <f>TEXT(93461, "[$-0E0000]yyyy-mm-dd")</f>
        <v/>
      </c>
    </row>
    <row r="93463">
      <c r="A93463" s="1" t="n">
        <v>93462</v>
      </c>
      <c r="B93463">
        <f>TEXT(93462, "[$-0E0000]yyyy-mm-dd")</f>
        <v/>
      </c>
    </row>
    <row r="93464">
      <c r="A93464" s="1" t="n">
        <v>93463</v>
      </c>
      <c r="B93464">
        <f>TEXT(93463, "[$-0E0000]yyyy-mm-dd")</f>
        <v/>
      </c>
    </row>
    <row r="93465">
      <c r="A93465" s="1" t="n">
        <v>93464</v>
      </c>
      <c r="B93465">
        <f>TEXT(93464, "[$-0E0000]yyyy-mm-dd")</f>
        <v/>
      </c>
    </row>
    <row r="93466">
      <c r="A93466" s="1" t="n">
        <v>93465</v>
      </c>
      <c r="B93466">
        <f>TEXT(93465, "[$-0E0000]yyyy-mm-dd")</f>
        <v/>
      </c>
    </row>
    <row r="93467">
      <c r="A93467" s="1" t="n">
        <v>93466</v>
      </c>
      <c r="B93467">
        <f>TEXT(93466, "[$-0E0000]yyyy-mm-dd")</f>
        <v/>
      </c>
    </row>
    <row r="93468">
      <c r="A93468" s="1" t="n">
        <v>93467</v>
      </c>
      <c r="B93468">
        <f>TEXT(93467, "[$-0E0000]yyyy-mm-dd")</f>
        <v/>
      </c>
    </row>
    <row r="93469">
      <c r="A93469" s="1" t="n">
        <v>93468</v>
      </c>
      <c r="B93469">
        <f>TEXT(93468, "[$-0E0000]yyyy-mm-dd")</f>
        <v/>
      </c>
    </row>
    <row r="93470">
      <c r="A93470" s="1" t="n">
        <v>93469</v>
      </c>
      <c r="B93470">
        <f>TEXT(93469, "[$-0E0000]yyyy-mm-dd")</f>
        <v/>
      </c>
    </row>
    <row r="93471">
      <c r="A93471" s="1" t="n">
        <v>93470</v>
      </c>
      <c r="B93471">
        <f>TEXT(93470, "[$-0E0000]yyyy-mm-dd")</f>
        <v/>
      </c>
    </row>
    <row r="93472">
      <c r="A93472" s="1" t="n">
        <v>93471</v>
      </c>
      <c r="B93472">
        <f>TEXT(93471, "[$-0E0000]yyyy-mm-dd")</f>
        <v/>
      </c>
    </row>
    <row r="93473">
      <c r="A93473" s="1" t="n">
        <v>93472</v>
      </c>
      <c r="B93473">
        <f>TEXT(93472, "[$-0E0000]yyyy-mm-dd")</f>
        <v/>
      </c>
    </row>
    <row r="93474">
      <c r="A93474" s="1" t="n">
        <v>93473</v>
      </c>
      <c r="B93474">
        <f>TEXT(93473, "[$-0E0000]yyyy-mm-dd")</f>
        <v/>
      </c>
    </row>
    <row r="93475">
      <c r="A93475" s="1" t="n">
        <v>93474</v>
      </c>
      <c r="B93475">
        <f>TEXT(93474, "[$-0E0000]yyyy-mm-dd")</f>
        <v/>
      </c>
    </row>
    <row r="93476">
      <c r="A93476" s="1" t="n">
        <v>93475</v>
      </c>
      <c r="B93476">
        <f>TEXT(93475, "[$-0E0000]yyyy-mm-dd")</f>
        <v/>
      </c>
    </row>
    <row r="93477">
      <c r="A93477" s="1" t="n">
        <v>93476</v>
      </c>
      <c r="B93477">
        <f>TEXT(93476, "[$-0E0000]yyyy-mm-dd")</f>
        <v/>
      </c>
    </row>
    <row r="93478">
      <c r="A93478" s="1" t="n">
        <v>93477</v>
      </c>
      <c r="B93478">
        <f>TEXT(93477, "[$-0E0000]yyyy-mm-dd")</f>
        <v/>
      </c>
    </row>
    <row r="93479">
      <c r="A93479" s="1" t="n">
        <v>93478</v>
      </c>
      <c r="B93479">
        <f>TEXT(93478, "[$-0E0000]yyyy-mm-dd")</f>
        <v/>
      </c>
    </row>
    <row r="93480">
      <c r="A93480" s="1" t="n">
        <v>93479</v>
      </c>
      <c r="B93480">
        <f>TEXT(93479, "[$-0E0000]yyyy-mm-dd")</f>
        <v/>
      </c>
    </row>
    <row r="93481">
      <c r="A93481" s="1" t="n">
        <v>93480</v>
      </c>
      <c r="B93481">
        <f>TEXT(93480, "[$-0E0000]yyyy-mm-dd")</f>
        <v/>
      </c>
    </row>
    <row r="93482">
      <c r="A93482" s="1" t="n">
        <v>93481</v>
      </c>
      <c r="B93482">
        <f>TEXT(93481, "[$-0E0000]yyyy-mm-dd")</f>
        <v/>
      </c>
    </row>
    <row r="93483">
      <c r="A93483" s="1" t="n">
        <v>93482</v>
      </c>
      <c r="B93483">
        <f>TEXT(93482, "[$-0E0000]yyyy-mm-dd")</f>
        <v/>
      </c>
    </row>
    <row r="93484">
      <c r="A93484" s="1" t="n">
        <v>93483</v>
      </c>
      <c r="B93484">
        <f>TEXT(93483, "[$-0E0000]yyyy-mm-dd")</f>
        <v/>
      </c>
    </row>
    <row r="93485">
      <c r="A93485" s="1" t="n">
        <v>93484</v>
      </c>
      <c r="B93485">
        <f>TEXT(93484, "[$-0E0000]yyyy-mm-dd")</f>
        <v/>
      </c>
    </row>
    <row r="93486">
      <c r="A93486" s="1" t="n">
        <v>93485</v>
      </c>
      <c r="B93486">
        <f>TEXT(93485, "[$-0E0000]yyyy-mm-dd")</f>
        <v/>
      </c>
    </row>
    <row r="93487">
      <c r="A93487" s="1" t="n">
        <v>93486</v>
      </c>
      <c r="B93487">
        <f>TEXT(93486, "[$-0E0000]yyyy-mm-dd")</f>
        <v/>
      </c>
    </row>
    <row r="93488">
      <c r="A93488" s="1" t="n">
        <v>93487</v>
      </c>
      <c r="B93488">
        <f>TEXT(93487, "[$-0E0000]yyyy-mm-dd")</f>
        <v/>
      </c>
    </row>
    <row r="93489">
      <c r="A93489" s="1" t="n">
        <v>93488</v>
      </c>
      <c r="B93489">
        <f>TEXT(93488, "[$-0E0000]yyyy-mm-dd")</f>
        <v/>
      </c>
    </row>
    <row r="93490">
      <c r="A93490" s="1" t="n">
        <v>93489</v>
      </c>
      <c r="B93490">
        <f>TEXT(93489, "[$-0E0000]yyyy-mm-dd")</f>
        <v/>
      </c>
    </row>
    <row r="93491">
      <c r="A93491" s="1" t="n">
        <v>93490</v>
      </c>
      <c r="B93491">
        <f>TEXT(93490, "[$-0E0000]yyyy-mm-dd")</f>
        <v/>
      </c>
    </row>
    <row r="93492">
      <c r="A93492" s="1" t="n">
        <v>93491</v>
      </c>
      <c r="B93492">
        <f>TEXT(93491, "[$-0E0000]yyyy-mm-dd")</f>
        <v/>
      </c>
    </row>
    <row r="93493">
      <c r="A93493" s="1" t="n">
        <v>93492</v>
      </c>
      <c r="B93493">
        <f>TEXT(93492, "[$-0E0000]yyyy-mm-dd")</f>
        <v/>
      </c>
    </row>
    <row r="93494">
      <c r="A93494" s="1" t="n">
        <v>93493</v>
      </c>
      <c r="B93494">
        <f>TEXT(93493, "[$-0E0000]yyyy-mm-dd")</f>
        <v/>
      </c>
    </row>
    <row r="93495">
      <c r="A93495" s="1" t="n">
        <v>93494</v>
      </c>
      <c r="B93495">
        <f>TEXT(93494, "[$-0E0000]yyyy-mm-dd")</f>
        <v/>
      </c>
    </row>
    <row r="93496">
      <c r="A93496" s="1" t="n">
        <v>93495</v>
      </c>
      <c r="B93496">
        <f>TEXT(93495, "[$-0E0000]yyyy-mm-dd")</f>
        <v/>
      </c>
    </row>
    <row r="93497">
      <c r="A93497" s="1" t="n">
        <v>93496</v>
      </c>
      <c r="B93497">
        <f>TEXT(93496, "[$-0E0000]yyyy-mm-dd")</f>
        <v/>
      </c>
    </row>
    <row r="93498">
      <c r="A93498" s="1" t="n">
        <v>93497</v>
      </c>
      <c r="B93498">
        <f>TEXT(93497, "[$-0E0000]yyyy-mm-dd")</f>
        <v/>
      </c>
    </row>
    <row r="93499">
      <c r="A93499" s="1" t="n">
        <v>93498</v>
      </c>
      <c r="B93499">
        <f>TEXT(93498, "[$-0E0000]yyyy-mm-dd")</f>
        <v/>
      </c>
    </row>
    <row r="93500">
      <c r="A93500" s="1" t="n">
        <v>93499</v>
      </c>
      <c r="B93500">
        <f>TEXT(93499, "[$-0E0000]yyyy-mm-dd")</f>
        <v/>
      </c>
    </row>
    <row r="93501">
      <c r="A93501" s="1" t="n">
        <v>93500</v>
      </c>
      <c r="B93501">
        <f>TEXT(93500, "[$-0E0000]yyyy-mm-dd")</f>
        <v/>
      </c>
    </row>
    <row r="93502">
      <c r="A93502" s="1" t="n">
        <v>93501</v>
      </c>
      <c r="B93502">
        <f>TEXT(93501, "[$-0E0000]yyyy-mm-dd")</f>
        <v/>
      </c>
    </row>
    <row r="93503">
      <c r="A93503" s="1" t="n">
        <v>93502</v>
      </c>
      <c r="B93503">
        <f>TEXT(93502, "[$-0E0000]yyyy-mm-dd")</f>
        <v/>
      </c>
    </row>
    <row r="93504">
      <c r="A93504" s="1" t="n">
        <v>93503</v>
      </c>
      <c r="B93504">
        <f>TEXT(93503, "[$-0E0000]yyyy-mm-dd")</f>
        <v/>
      </c>
    </row>
    <row r="93505">
      <c r="A93505" s="1" t="n">
        <v>93504</v>
      </c>
      <c r="B93505">
        <f>TEXT(93504, "[$-0E0000]yyyy-mm-dd")</f>
        <v/>
      </c>
    </row>
    <row r="93506">
      <c r="A93506" s="1" t="n">
        <v>93505</v>
      </c>
      <c r="B93506">
        <f>TEXT(93505, "[$-0E0000]yyyy-mm-dd")</f>
        <v/>
      </c>
    </row>
    <row r="93507">
      <c r="A93507" s="1" t="n">
        <v>93506</v>
      </c>
      <c r="B93507">
        <f>TEXT(93506, "[$-0E0000]yyyy-mm-dd")</f>
        <v/>
      </c>
    </row>
    <row r="93508">
      <c r="A93508" s="1" t="n">
        <v>93507</v>
      </c>
      <c r="B93508">
        <f>TEXT(93507, "[$-0E0000]yyyy-mm-dd")</f>
        <v/>
      </c>
    </row>
    <row r="93509">
      <c r="A93509" s="1" t="n">
        <v>93508</v>
      </c>
      <c r="B93509">
        <f>TEXT(93508, "[$-0E0000]yyyy-mm-dd")</f>
        <v/>
      </c>
    </row>
    <row r="93510">
      <c r="A93510" s="1" t="n">
        <v>93509</v>
      </c>
      <c r="B93510">
        <f>TEXT(93509, "[$-0E0000]yyyy-mm-dd")</f>
        <v/>
      </c>
    </row>
    <row r="93511">
      <c r="A93511" s="1" t="n">
        <v>93510</v>
      </c>
      <c r="B93511">
        <f>TEXT(93510, "[$-0E0000]yyyy-mm-dd")</f>
        <v/>
      </c>
    </row>
    <row r="93512">
      <c r="A93512" s="1" t="n">
        <v>93511</v>
      </c>
      <c r="B93512">
        <f>TEXT(93511, "[$-0E0000]yyyy-mm-dd")</f>
        <v/>
      </c>
    </row>
    <row r="93513">
      <c r="A93513" s="1" t="n">
        <v>93512</v>
      </c>
      <c r="B93513">
        <f>TEXT(93512, "[$-0E0000]yyyy-mm-dd")</f>
        <v/>
      </c>
    </row>
    <row r="93514">
      <c r="A93514" s="1" t="n">
        <v>93513</v>
      </c>
      <c r="B93514">
        <f>TEXT(93513, "[$-0E0000]yyyy-mm-dd")</f>
        <v/>
      </c>
    </row>
    <row r="93515">
      <c r="A93515" s="1" t="n">
        <v>93514</v>
      </c>
      <c r="B93515">
        <f>TEXT(93514, "[$-0E0000]yyyy-mm-dd")</f>
        <v/>
      </c>
    </row>
    <row r="93516">
      <c r="A93516" s="1" t="n">
        <v>93515</v>
      </c>
      <c r="B93516">
        <f>TEXT(93515, "[$-0E0000]yyyy-mm-dd")</f>
        <v/>
      </c>
    </row>
    <row r="93517">
      <c r="A93517" s="1" t="n">
        <v>93516</v>
      </c>
      <c r="B93517">
        <f>TEXT(93516, "[$-0E0000]yyyy-mm-dd")</f>
        <v/>
      </c>
    </row>
    <row r="93518">
      <c r="A93518" s="1" t="n">
        <v>93517</v>
      </c>
      <c r="B93518">
        <f>TEXT(93517, "[$-0E0000]yyyy-mm-dd")</f>
        <v/>
      </c>
    </row>
    <row r="93519">
      <c r="A93519" s="1" t="n">
        <v>93518</v>
      </c>
      <c r="B93519">
        <f>TEXT(93518, "[$-0E0000]yyyy-mm-dd")</f>
        <v/>
      </c>
    </row>
    <row r="93520">
      <c r="A93520" s="1" t="n">
        <v>93519</v>
      </c>
      <c r="B93520">
        <f>TEXT(93519, "[$-0E0000]yyyy-mm-dd")</f>
        <v/>
      </c>
    </row>
    <row r="93521">
      <c r="A93521" s="1" t="n">
        <v>93520</v>
      </c>
      <c r="B93521">
        <f>TEXT(93520, "[$-0E0000]yyyy-mm-dd")</f>
        <v/>
      </c>
    </row>
    <row r="93522">
      <c r="A93522" s="1" t="n">
        <v>93521</v>
      </c>
      <c r="B93522">
        <f>TEXT(93521, "[$-0E0000]yyyy-mm-dd")</f>
        <v/>
      </c>
    </row>
    <row r="93523">
      <c r="A93523" s="1" t="n">
        <v>93522</v>
      </c>
      <c r="B93523">
        <f>TEXT(93522, "[$-0E0000]yyyy-mm-dd")</f>
        <v/>
      </c>
    </row>
    <row r="93524">
      <c r="A93524" s="1" t="n">
        <v>93523</v>
      </c>
      <c r="B93524">
        <f>TEXT(93523, "[$-0E0000]yyyy-mm-dd")</f>
        <v/>
      </c>
    </row>
    <row r="93525">
      <c r="A93525" s="1" t="n">
        <v>93524</v>
      </c>
      <c r="B93525">
        <f>TEXT(93524, "[$-0E0000]yyyy-mm-dd")</f>
        <v/>
      </c>
    </row>
    <row r="93526">
      <c r="A93526" s="1" t="n">
        <v>93525</v>
      </c>
      <c r="B93526">
        <f>TEXT(93525, "[$-0E0000]yyyy-mm-dd")</f>
        <v/>
      </c>
    </row>
    <row r="93527">
      <c r="A93527" s="1" t="n">
        <v>93526</v>
      </c>
      <c r="B93527">
        <f>TEXT(93526, "[$-0E0000]yyyy-mm-dd")</f>
        <v/>
      </c>
    </row>
    <row r="93528">
      <c r="A93528" s="1" t="n">
        <v>93527</v>
      </c>
      <c r="B93528">
        <f>TEXT(93527, "[$-0E0000]yyyy-mm-dd")</f>
        <v/>
      </c>
    </row>
    <row r="93529">
      <c r="A93529" s="1" t="n">
        <v>93528</v>
      </c>
      <c r="B93529">
        <f>TEXT(93528, "[$-0E0000]yyyy-mm-dd")</f>
        <v/>
      </c>
    </row>
    <row r="93530">
      <c r="A93530" s="1" t="n">
        <v>93529</v>
      </c>
      <c r="B93530">
        <f>TEXT(93529, "[$-0E0000]yyyy-mm-dd")</f>
        <v/>
      </c>
    </row>
    <row r="93531">
      <c r="A93531" s="1" t="n">
        <v>93530</v>
      </c>
      <c r="B93531">
        <f>TEXT(93530, "[$-0E0000]yyyy-mm-dd")</f>
        <v/>
      </c>
    </row>
    <row r="93532">
      <c r="A93532" s="1" t="n">
        <v>93531</v>
      </c>
      <c r="B93532">
        <f>TEXT(93531, "[$-0E0000]yyyy-mm-dd")</f>
        <v/>
      </c>
    </row>
    <row r="93533">
      <c r="A93533" s="1" t="n">
        <v>93532</v>
      </c>
      <c r="B93533">
        <f>TEXT(93532, "[$-0E0000]yyyy-mm-dd")</f>
        <v/>
      </c>
    </row>
    <row r="93534">
      <c r="A93534" s="1" t="n">
        <v>93533</v>
      </c>
      <c r="B93534">
        <f>TEXT(93533, "[$-0E0000]yyyy-mm-dd")</f>
        <v/>
      </c>
    </row>
    <row r="93535">
      <c r="A93535" s="1" t="n">
        <v>93534</v>
      </c>
      <c r="B93535">
        <f>TEXT(93534, "[$-0E0000]yyyy-mm-dd")</f>
        <v/>
      </c>
    </row>
    <row r="93536">
      <c r="A93536" s="1" t="n">
        <v>93535</v>
      </c>
      <c r="B93536">
        <f>TEXT(93535, "[$-0E0000]yyyy-mm-dd")</f>
        <v/>
      </c>
    </row>
    <row r="93537">
      <c r="A93537" s="1" t="n">
        <v>93536</v>
      </c>
      <c r="B93537">
        <f>TEXT(93536, "[$-0E0000]yyyy-mm-dd")</f>
        <v/>
      </c>
    </row>
    <row r="93538">
      <c r="A93538" s="1" t="n">
        <v>93537</v>
      </c>
      <c r="B93538">
        <f>TEXT(93537, "[$-0E0000]yyyy-mm-dd")</f>
        <v/>
      </c>
    </row>
    <row r="93539">
      <c r="A93539" s="1" t="n">
        <v>93538</v>
      </c>
      <c r="B93539">
        <f>TEXT(93538, "[$-0E0000]yyyy-mm-dd")</f>
        <v/>
      </c>
    </row>
    <row r="93540">
      <c r="A93540" s="1" t="n">
        <v>93539</v>
      </c>
      <c r="B93540">
        <f>TEXT(93539, "[$-0E0000]yyyy-mm-dd")</f>
        <v/>
      </c>
    </row>
    <row r="93541">
      <c r="A93541" s="1" t="n">
        <v>93540</v>
      </c>
      <c r="B93541">
        <f>TEXT(93540, "[$-0E0000]yyyy-mm-dd")</f>
        <v/>
      </c>
    </row>
    <row r="93542">
      <c r="A93542" s="1" t="n">
        <v>93541</v>
      </c>
      <c r="B93542">
        <f>TEXT(93541, "[$-0E0000]yyyy-mm-dd")</f>
        <v/>
      </c>
    </row>
    <row r="93543">
      <c r="A93543" s="1" t="n">
        <v>93542</v>
      </c>
      <c r="B93543">
        <f>TEXT(93542, "[$-0E0000]yyyy-mm-dd")</f>
        <v/>
      </c>
    </row>
    <row r="93544">
      <c r="A93544" s="1" t="n">
        <v>93543</v>
      </c>
      <c r="B93544">
        <f>TEXT(93543, "[$-0E0000]yyyy-mm-dd")</f>
        <v/>
      </c>
    </row>
    <row r="93545">
      <c r="A93545" s="1" t="n">
        <v>93544</v>
      </c>
      <c r="B93545">
        <f>TEXT(93544, "[$-0E0000]yyyy-mm-dd")</f>
        <v/>
      </c>
    </row>
    <row r="93546">
      <c r="A93546" s="1" t="n">
        <v>93545</v>
      </c>
      <c r="B93546">
        <f>TEXT(93545, "[$-0E0000]yyyy-mm-dd")</f>
        <v/>
      </c>
    </row>
    <row r="93547">
      <c r="A93547" s="1" t="n">
        <v>93546</v>
      </c>
      <c r="B93547">
        <f>TEXT(93546, "[$-0E0000]yyyy-mm-dd")</f>
        <v/>
      </c>
    </row>
    <row r="93548">
      <c r="A93548" s="1" t="n">
        <v>93547</v>
      </c>
      <c r="B93548">
        <f>TEXT(93547, "[$-0E0000]yyyy-mm-dd")</f>
        <v/>
      </c>
    </row>
    <row r="93549">
      <c r="A93549" s="1" t="n">
        <v>93548</v>
      </c>
      <c r="B93549">
        <f>TEXT(93548, "[$-0E0000]yyyy-mm-dd")</f>
        <v/>
      </c>
    </row>
    <row r="93550">
      <c r="A93550" s="1" t="n">
        <v>93549</v>
      </c>
      <c r="B93550">
        <f>TEXT(93549, "[$-0E0000]yyyy-mm-dd")</f>
        <v/>
      </c>
    </row>
    <row r="93551">
      <c r="A93551" s="1" t="n">
        <v>93550</v>
      </c>
      <c r="B93551">
        <f>TEXT(93550, "[$-0E0000]yyyy-mm-dd")</f>
        <v/>
      </c>
    </row>
    <row r="93552">
      <c r="A93552" s="1" t="n">
        <v>93551</v>
      </c>
      <c r="B93552">
        <f>TEXT(93551, "[$-0E0000]yyyy-mm-dd")</f>
        <v/>
      </c>
    </row>
    <row r="93553">
      <c r="A93553" s="1" t="n">
        <v>93552</v>
      </c>
      <c r="B93553">
        <f>TEXT(93552, "[$-0E0000]yyyy-mm-dd")</f>
        <v/>
      </c>
    </row>
    <row r="93554">
      <c r="A93554" s="1" t="n">
        <v>93553</v>
      </c>
      <c r="B93554">
        <f>TEXT(93553, "[$-0E0000]yyyy-mm-dd")</f>
        <v/>
      </c>
    </row>
    <row r="93555">
      <c r="A93555" s="1" t="n">
        <v>93554</v>
      </c>
      <c r="B93555">
        <f>TEXT(93554, "[$-0E0000]yyyy-mm-dd")</f>
        <v/>
      </c>
    </row>
    <row r="93556">
      <c r="A93556" s="1" t="n">
        <v>93555</v>
      </c>
      <c r="B93556">
        <f>TEXT(93555, "[$-0E0000]yyyy-mm-dd")</f>
        <v/>
      </c>
    </row>
    <row r="93557">
      <c r="A93557" s="1" t="n">
        <v>93556</v>
      </c>
      <c r="B93557">
        <f>TEXT(93556, "[$-0E0000]yyyy-mm-dd")</f>
        <v/>
      </c>
    </row>
    <row r="93558">
      <c r="A93558" s="1" t="n">
        <v>93557</v>
      </c>
      <c r="B93558">
        <f>TEXT(93557, "[$-0E0000]yyyy-mm-dd")</f>
        <v/>
      </c>
    </row>
    <row r="93559">
      <c r="A93559" s="1" t="n">
        <v>93558</v>
      </c>
      <c r="B93559">
        <f>TEXT(93558, "[$-0E0000]yyyy-mm-dd")</f>
        <v/>
      </c>
    </row>
    <row r="93560">
      <c r="A93560" s="1" t="n">
        <v>93559</v>
      </c>
      <c r="B93560">
        <f>TEXT(93559, "[$-0E0000]yyyy-mm-dd")</f>
        <v/>
      </c>
    </row>
    <row r="93561">
      <c r="A93561" s="1" t="n">
        <v>93560</v>
      </c>
      <c r="B93561">
        <f>TEXT(93560, "[$-0E0000]yyyy-mm-dd")</f>
        <v/>
      </c>
    </row>
    <row r="93562">
      <c r="A93562" s="1" t="n">
        <v>93561</v>
      </c>
      <c r="B93562">
        <f>TEXT(93561, "[$-0E0000]yyyy-mm-dd")</f>
        <v/>
      </c>
    </row>
    <row r="93563">
      <c r="A93563" s="1" t="n">
        <v>93562</v>
      </c>
      <c r="B93563">
        <f>TEXT(93562, "[$-0E0000]yyyy-mm-dd")</f>
        <v/>
      </c>
    </row>
    <row r="93564">
      <c r="A93564" s="1" t="n">
        <v>93563</v>
      </c>
      <c r="B93564">
        <f>TEXT(93563, "[$-0E0000]yyyy-mm-dd")</f>
        <v/>
      </c>
    </row>
    <row r="93565">
      <c r="A93565" s="1" t="n">
        <v>93564</v>
      </c>
      <c r="B93565">
        <f>TEXT(93564, "[$-0E0000]yyyy-mm-dd")</f>
        <v/>
      </c>
    </row>
    <row r="93566">
      <c r="A93566" s="1" t="n">
        <v>93565</v>
      </c>
      <c r="B93566">
        <f>TEXT(93565, "[$-0E0000]yyyy-mm-dd")</f>
        <v/>
      </c>
    </row>
    <row r="93567">
      <c r="A93567" s="1" t="n">
        <v>93566</v>
      </c>
      <c r="B93567">
        <f>TEXT(93566, "[$-0E0000]yyyy-mm-dd")</f>
        <v/>
      </c>
    </row>
    <row r="93568">
      <c r="A93568" s="1" t="n">
        <v>93567</v>
      </c>
      <c r="B93568">
        <f>TEXT(93567, "[$-0E0000]yyyy-mm-dd")</f>
        <v/>
      </c>
    </row>
    <row r="93569">
      <c r="A93569" s="1" t="n">
        <v>93568</v>
      </c>
      <c r="B93569">
        <f>TEXT(93568, "[$-0E0000]yyyy-mm-dd")</f>
        <v/>
      </c>
    </row>
    <row r="93570">
      <c r="A93570" s="1" t="n">
        <v>93569</v>
      </c>
      <c r="B93570">
        <f>TEXT(93569, "[$-0E0000]yyyy-mm-dd")</f>
        <v/>
      </c>
    </row>
    <row r="93571">
      <c r="A93571" s="1" t="n">
        <v>93570</v>
      </c>
      <c r="B93571">
        <f>TEXT(93570, "[$-0E0000]yyyy-mm-dd")</f>
        <v/>
      </c>
    </row>
    <row r="93572">
      <c r="A93572" s="1" t="n">
        <v>93571</v>
      </c>
      <c r="B93572">
        <f>TEXT(93571, "[$-0E0000]yyyy-mm-dd")</f>
        <v/>
      </c>
    </row>
    <row r="93573">
      <c r="A93573" s="1" t="n">
        <v>93572</v>
      </c>
      <c r="B93573">
        <f>TEXT(93572, "[$-0E0000]yyyy-mm-dd")</f>
        <v/>
      </c>
    </row>
    <row r="93574">
      <c r="A93574" s="1" t="n">
        <v>93573</v>
      </c>
      <c r="B93574">
        <f>TEXT(93573, "[$-0E0000]yyyy-mm-dd")</f>
        <v/>
      </c>
    </row>
    <row r="93575">
      <c r="A93575" s="1" t="n">
        <v>93574</v>
      </c>
      <c r="B93575">
        <f>TEXT(93574, "[$-0E0000]yyyy-mm-dd")</f>
        <v/>
      </c>
    </row>
    <row r="93576">
      <c r="A93576" s="1" t="n">
        <v>93575</v>
      </c>
      <c r="B93576">
        <f>TEXT(93575, "[$-0E0000]yyyy-mm-dd")</f>
        <v/>
      </c>
    </row>
    <row r="93577">
      <c r="A93577" s="1" t="n">
        <v>93576</v>
      </c>
      <c r="B93577">
        <f>TEXT(93576, "[$-0E0000]yyyy-mm-dd")</f>
        <v/>
      </c>
    </row>
    <row r="93578">
      <c r="A93578" s="1" t="n">
        <v>93577</v>
      </c>
      <c r="B93578">
        <f>TEXT(93577, "[$-0E0000]yyyy-mm-dd")</f>
        <v/>
      </c>
    </row>
    <row r="93579">
      <c r="A93579" s="1" t="n">
        <v>93578</v>
      </c>
      <c r="B93579">
        <f>TEXT(93578, "[$-0E0000]yyyy-mm-dd")</f>
        <v/>
      </c>
    </row>
    <row r="93580">
      <c r="A93580" s="1" t="n">
        <v>93579</v>
      </c>
      <c r="B93580">
        <f>TEXT(93579, "[$-0E0000]yyyy-mm-dd")</f>
        <v/>
      </c>
    </row>
    <row r="93581">
      <c r="A93581" s="1" t="n">
        <v>93580</v>
      </c>
      <c r="B93581">
        <f>TEXT(93580, "[$-0E0000]yyyy-mm-dd")</f>
        <v/>
      </c>
    </row>
    <row r="93582">
      <c r="A93582" s="1" t="n">
        <v>93581</v>
      </c>
      <c r="B93582">
        <f>TEXT(93581, "[$-0E0000]yyyy-mm-dd")</f>
        <v/>
      </c>
    </row>
    <row r="93583">
      <c r="A93583" s="1" t="n">
        <v>93582</v>
      </c>
      <c r="B93583">
        <f>TEXT(93582, "[$-0E0000]yyyy-mm-dd")</f>
        <v/>
      </c>
    </row>
    <row r="93584">
      <c r="A93584" s="1" t="n">
        <v>93583</v>
      </c>
      <c r="B93584">
        <f>TEXT(93583, "[$-0E0000]yyyy-mm-dd")</f>
        <v/>
      </c>
    </row>
    <row r="93585">
      <c r="A93585" s="1" t="n">
        <v>93584</v>
      </c>
      <c r="B93585">
        <f>TEXT(93584, "[$-0E0000]yyyy-mm-dd")</f>
        <v/>
      </c>
    </row>
    <row r="93586">
      <c r="A93586" s="1" t="n">
        <v>93585</v>
      </c>
      <c r="B93586">
        <f>TEXT(93585, "[$-0E0000]yyyy-mm-dd")</f>
        <v/>
      </c>
    </row>
    <row r="93587">
      <c r="A93587" s="1" t="n">
        <v>93586</v>
      </c>
      <c r="B93587">
        <f>TEXT(93586, "[$-0E0000]yyyy-mm-dd")</f>
        <v/>
      </c>
    </row>
    <row r="93588">
      <c r="A93588" s="1" t="n">
        <v>93587</v>
      </c>
      <c r="B93588">
        <f>TEXT(93587, "[$-0E0000]yyyy-mm-dd")</f>
        <v/>
      </c>
    </row>
    <row r="93589">
      <c r="A93589" s="1" t="n">
        <v>93588</v>
      </c>
      <c r="B93589">
        <f>TEXT(93588, "[$-0E0000]yyyy-mm-dd")</f>
        <v/>
      </c>
    </row>
    <row r="93590">
      <c r="A93590" s="1" t="n">
        <v>93589</v>
      </c>
      <c r="B93590">
        <f>TEXT(93589, "[$-0E0000]yyyy-mm-dd")</f>
        <v/>
      </c>
    </row>
    <row r="93591">
      <c r="A93591" s="1" t="n">
        <v>93590</v>
      </c>
      <c r="B93591">
        <f>TEXT(93590, "[$-0E0000]yyyy-mm-dd")</f>
        <v/>
      </c>
    </row>
    <row r="93592">
      <c r="A93592" s="1" t="n">
        <v>93591</v>
      </c>
      <c r="B93592">
        <f>TEXT(93591, "[$-0E0000]yyyy-mm-dd")</f>
        <v/>
      </c>
    </row>
    <row r="93593">
      <c r="A93593" s="1" t="n">
        <v>93592</v>
      </c>
      <c r="B93593">
        <f>TEXT(93592, "[$-0E0000]yyyy-mm-dd")</f>
        <v/>
      </c>
    </row>
    <row r="93594">
      <c r="A93594" s="1" t="n">
        <v>93593</v>
      </c>
      <c r="B93594">
        <f>TEXT(93593, "[$-0E0000]yyyy-mm-dd")</f>
        <v/>
      </c>
    </row>
    <row r="93595">
      <c r="A93595" s="1" t="n">
        <v>93594</v>
      </c>
      <c r="B93595">
        <f>TEXT(93594, "[$-0E0000]yyyy-mm-dd")</f>
        <v/>
      </c>
    </row>
    <row r="93596">
      <c r="A93596" s="1" t="n">
        <v>93595</v>
      </c>
      <c r="B93596">
        <f>TEXT(93595, "[$-0E0000]yyyy-mm-dd")</f>
        <v/>
      </c>
    </row>
    <row r="93597">
      <c r="A93597" s="1" t="n">
        <v>93596</v>
      </c>
      <c r="B93597">
        <f>TEXT(93596, "[$-0E0000]yyyy-mm-dd")</f>
        <v/>
      </c>
    </row>
    <row r="93598">
      <c r="A93598" s="1" t="n">
        <v>93597</v>
      </c>
      <c r="B93598">
        <f>TEXT(93597, "[$-0E0000]yyyy-mm-dd")</f>
        <v/>
      </c>
    </row>
    <row r="93599">
      <c r="A93599" s="1" t="n">
        <v>93598</v>
      </c>
      <c r="B93599">
        <f>TEXT(93598, "[$-0E0000]yyyy-mm-dd")</f>
        <v/>
      </c>
    </row>
    <row r="93600">
      <c r="A93600" s="1" t="n">
        <v>93599</v>
      </c>
      <c r="B93600">
        <f>TEXT(93599, "[$-0E0000]yyyy-mm-dd")</f>
        <v/>
      </c>
    </row>
    <row r="93601">
      <c r="A93601" s="1" t="n">
        <v>93600</v>
      </c>
      <c r="B93601">
        <f>TEXT(93600, "[$-0E0000]yyyy-mm-dd")</f>
        <v/>
      </c>
    </row>
    <row r="93602">
      <c r="A93602" s="1" t="n">
        <v>93601</v>
      </c>
      <c r="B93602">
        <f>TEXT(93601, "[$-0E0000]yyyy-mm-dd")</f>
        <v/>
      </c>
    </row>
    <row r="93603">
      <c r="A93603" s="1" t="n">
        <v>93602</v>
      </c>
      <c r="B93603">
        <f>TEXT(93602, "[$-0E0000]yyyy-mm-dd")</f>
        <v/>
      </c>
    </row>
    <row r="93604">
      <c r="A93604" s="1" t="n">
        <v>93603</v>
      </c>
      <c r="B93604">
        <f>TEXT(93603, "[$-0E0000]yyyy-mm-dd")</f>
        <v/>
      </c>
    </row>
    <row r="93605">
      <c r="A93605" s="1" t="n">
        <v>93604</v>
      </c>
      <c r="B93605">
        <f>TEXT(93604, "[$-0E0000]yyyy-mm-dd")</f>
        <v/>
      </c>
    </row>
    <row r="93606">
      <c r="A93606" s="1" t="n">
        <v>93605</v>
      </c>
      <c r="B93606">
        <f>TEXT(93605, "[$-0E0000]yyyy-mm-dd")</f>
        <v/>
      </c>
    </row>
    <row r="93607">
      <c r="A93607" s="1" t="n">
        <v>93606</v>
      </c>
      <c r="B93607">
        <f>TEXT(93606, "[$-0E0000]yyyy-mm-dd")</f>
        <v/>
      </c>
    </row>
    <row r="93608">
      <c r="A93608" s="1" t="n">
        <v>93607</v>
      </c>
      <c r="B93608">
        <f>TEXT(93607, "[$-0E0000]yyyy-mm-dd")</f>
        <v/>
      </c>
    </row>
    <row r="93609">
      <c r="A93609" s="1" t="n">
        <v>93608</v>
      </c>
      <c r="B93609">
        <f>TEXT(93608, "[$-0E0000]yyyy-mm-dd")</f>
        <v/>
      </c>
    </row>
    <row r="93610">
      <c r="A93610" s="1" t="n">
        <v>93609</v>
      </c>
      <c r="B93610">
        <f>TEXT(93609, "[$-0E0000]yyyy-mm-dd")</f>
        <v/>
      </c>
    </row>
    <row r="93611">
      <c r="A93611" s="1" t="n">
        <v>93610</v>
      </c>
      <c r="B93611">
        <f>TEXT(93610, "[$-0E0000]yyyy-mm-dd")</f>
        <v/>
      </c>
    </row>
    <row r="93612">
      <c r="A93612" s="1" t="n">
        <v>93611</v>
      </c>
      <c r="B93612">
        <f>TEXT(93611, "[$-0E0000]yyyy-mm-dd")</f>
        <v/>
      </c>
    </row>
    <row r="93613">
      <c r="A93613" s="1" t="n">
        <v>93612</v>
      </c>
      <c r="B93613">
        <f>TEXT(93612, "[$-0E0000]yyyy-mm-dd")</f>
        <v/>
      </c>
    </row>
    <row r="93614">
      <c r="A93614" s="1" t="n">
        <v>93613</v>
      </c>
      <c r="B93614">
        <f>TEXT(93613, "[$-0E0000]yyyy-mm-dd")</f>
        <v/>
      </c>
    </row>
    <row r="93615">
      <c r="A93615" s="1" t="n">
        <v>93614</v>
      </c>
      <c r="B93615">
        <f>TEXT(93614, "[$-0E0000]yyyy-mm-dd")</f>
        <v/>
      </c>
    </row>
    <row r="93616">
      <c r="A93616" s="1" t="n">
        <v>93615</v>
      </c>
      <c r="B93616">
        <f>TEXT(93615, "[$-0E0000]yyyy-mm-dd")</f>
        <v/>
      </c>
    </row>
    <row r="93617">
      <c r="A93617" s="1" t="n">
        <v>93616</v>
      </c>
      <c r="B93617">
        <f>TEXT(93616, "[$-0E0000]yyyy-mm-dd")</f>
        <v/>
      </c>
    </row>
    <row r="93618">
      <c r="A93618" s="1" t="n">
        <v>93617</v>
      </c>
      <c r="B93618">
        <f>TEXT(93617, "[$-0E0000]yyyy-mm-dd")</f>
        <v/>
      </c>
    </row>
    <row r="93619">
      <c r="A93619" s="1" t="n">
        <v>93618</v>
      </c>
      <c r="B93619">
        <f>TEXT(93618, "[$-0E0000]yyyy-mm-dd")</f>
        <v/>
      </c>
    </row>
    <row r="93620">
      <c r="A93620" s="1" t="n">
        <v>93619</v>
      </c>
      <c r="B93620">
        <f>TEXT(93619, "[$-0E0000]yyyy-mm-dd")</f>
        <v/>
      </c>
    </row>
    <row r="93621">
      <c r="A93621" s="1" t="n">
        <v>93620</v>
      </c>
      <c r="B93621">
        <f>TEXT(93620, "[$-0E0000]yyyy-mm-dd")</f>
        <v/>
      </c>
    </row>
    <row r="93622">
      <c r="A93622" s="1" t="n">
        <v>93621</v>
      </c>
      <c r="B93622">
        <f>TEXT(93621, "[$-0E0000]yyyy-mm-dd")</f>
        <v/>
      </c>
    </row>
    <row r="93623">
      <c r="A93623" s="1" t="n">
        <v>93622</v>
      </c>
      <c r="B93623">
        <f>TEXT(93622, "[$-0E0000]yyyy-mm-dd")</f>
        <v/>
      </c>
    </row>
    <row r="93624">
      <c r="A93624" s="1" t="n">
        <v>93623</v>
      </c>
      <c r="B93624">
        <f>TEXT(93623, "[$-0E0000]yyyy-mm-dd")</f>
        <v/>
      </c>
    </row>
    <row r="93625">
      <c r="A93625" s="1" t="n">
        <v>93624</v>
      </c>
      <c r="B93625">
        <f>TEXT(93624, "[$-0E0000]yyyy-mm-dd")</f>
        <v/>
      </c>
    </row>
    <row r="93626">
      <c r="A93626" s="1" t="n">
        <v>93625</v>
      </c>
      <c r="B93626">
        <f>TEXT(93625, "[$-0E0000]yyyy-mm-dd")</f>
        <v/>
      </c>
    </row>
    <row r="93627">
      <c r="A93627" s="1" t="n">
        <v>93626</v>
      </c>
      <c r="B93627">
        <f>TEXT(93626, "[$-0E0000]yyyy-mm-dd")</f>
        <v/>
      </c>
    </row>
    <row r="93628">
      <c r="A93628" s="1" t="n">
        <v>93627</v>
      </c>
      <c r="B93628">
        <f>TEXT(93627, "[$-0E0000]yyyy-mm-dd")</f>
        <v/>
      </c>
    </row>
    <row r="93629">
      <c r="A93629" s="1" t="n">
        <v>93628</v>
      </c>
      <c r="B93629">
        <f>TEXT(93628, "[$-0E0000]yyyy-mm-dd")</f>
        <v/>
      </c>
    </row>
    <row r="93630">
      <c r="A93630" s="1" t="n">
        <v>93629</v>
      </c>
      <c r="B93630">
        <f>TEXT(93629, "[$-0E0000]yyyy-mm-dd")</f>
        <v/>
      </c>
    </row>
    <row r="93631">
      <c r="A93631" s="1" t="n">
        <v>93630</v>
      </c>
      <c r="B93631">
        <f>TEXT(93630, "[$-0E0000]yyyy-mm-dd")</f>
        <v/>
      </c>
    </row>
    <row r="93632">
      <c r="A93632" s="1" t="n">
        <v>93631</v>
      </c>
      <c r="B93632">
        <f>TEXT(93631, "[$-0E0000]yyyy-mm-dd")</f>
        <v/>
      </c>
    </row>
    <row r="93633">
      <c r="A93633" s="1" t="n">
        <v>93632</v>
      </c>
      <c r="B93633">
        <f>TEXT(93632, "[$-0E0000]yyyy-mm-dd")</f>
        <v/>
      </c>
    </row>
    <row r="93634">
      <c r="A93634" s="1" t="n">
        <v>93633</v>
      </c>
      <c r="B93634">
        <f>TEXT(93633, "[$-0E0000]yyyy-mm-dd")</f>
        <v/>
      </c>
    </row>
    <row r="93635">
      <c r="A93635" s="1" t="n">
        <v>93634</v>
      </c>
      <c r="B93635">
        <f>TEXT(93634, "[$-0E0000]yyyy-mm-dd")</f>
        <v/>
      </c>
    </row>
    <row r="93636">
      <c r="A93636" s="1" t="n">
        <v>93635</v>
      </c>
      <c r="B93636">
        <f>TEXT(93635, "[$-0E0000]yyyy-mm-dd")</f>
        <v/>
      </c>
    </row>
    <row r="93637">
      <c r="A93637" s="1" t="n">
        <v>93636</v>
      </c>
      <c r="B93637">
        <f>TEXT(93636, "[$-0E0000]yyyy-mm-dd")</f>
        <v/>
      </c>
    </row>
    <row r="93638">
      <c r="A93638" s="1" t="n">
        <v>93637</v>
      </c>
      <c r="B93638">
        <f>TEXT(93637, "[$-0E0000]yyyy-mm-dd")</f>
        <v/>
      </c>
    </row>
    <row r="93639">
      <c r="A93639" s="1" t="n">
        <v>93638</v>
      </c>
      <c r="B93639">
        <f>TEXT(93638, "[$-0E0000]yyyy-mm-dd")</f>
        <v/>
      </c>
    </row>
    <row r="93640">
      <c r="A93640" s="1" t="n">
        <v>93639</v>
      </c>
      <c r="B93640">
        <f>TEXT(93639, "[$-0E0000]yyyy-mm-dd")</f>
        <v/>
      </c>
    </row>
    <row r="93641">
      <c r="A93641" s="1" t="n">
        <v>93640</v>
      </c>
      <c r="B93641">
        <f>TEXT(93640, "[$-0E0000]yyyy-mm-dd")</f>
        <v/>
      </c>
    </row>
    <row r="93642">
      <c r="A93642" s="1" t="n">
        <v>93641</v>
      </c>
      <c r="B93642">
        <f>TEXT(93641, "[$-0E0000]yyyy-mm-dd")</f>
        <v/>
      </c>
    </row>
    <row r="93643">
      <c r="A93643" s="1" t="n">
        <v>93642</v>
      </c>
      <c r="B93643">
        <f>TEXT(93642, "[$-0E0000]yyyy-mm-dd")</f>
        <v/>
      </c>
    </row>
    <row r="93644">
      <c r="A93644" s="1" t="n">
        <v>93643</v>
      </c>
      <c r="B93644">
        <f>TEXT(93643, "[$-0E0000]yyyy-mm-dd")</f>
        <v/>
      </c>
    </row>
    <row r="93645">
      <c r="A93645" s="1" t="n">
        <v>93644</v>
      </c>
      <c r="B93645">
        <f>TEXT(93644, "[$-0E0000]yyyy-mm-dd")</f>
        <v/>
      </c>
    </row>
    <row r="93646">
      <c r="A93646" s="1" t="n">
        <v>93645</v>
      </c>
      <c r="B93646">
        <f>TEXT(93645, "[$-0E0000]yyyy-mm-dd")</f>
        <v/>
      </c>
    </row>
    <row r="93647">
      <c r="A93647" s="1" t="n">
        <v>93646</v>
      </c>
      <c r="B93647">
        <f>TEXT(93646, "[$-0E0000]yyyy-mm-dd")</f>
        <v/>
      </c>
    </row>
    <row r="93648">
      <c r="A93648" s="1" t="n">
        <v>93647</v>
      </c>
      <c r="B93648">
        <f>TEXT(93647, "[$-0E0000]yyyy-mm-dd")</f>
        <v/>
      </c>
    </row>
    <row r="93649">
      <c r="A93649" s="1" t="n">
        <v>93648</v>
      </c>
      <c r="B93649">
        <f>TEXT(93648, "[$-0E0000]yyyy-mm-dd")</f>
        <v/>
      </c>
    </row>
    <row r="93650">
      <c r="A93650" s="1" t="n">
        <v>93649</v>
      </c>
      <c r="B93650">
        <f>TEXT(93649, "[$-0E0000]yyyy-mm-dd")</f>
        <v/>
      </c>
    </row>
    <row r="93651">
      <c r="A93651" s="1" t="n">
        <v>93650</v>
      </c>
      <c r="B93651">
        <f>TEXT(93650, "[$-0E0000]yyyy-mm-dd")</f>
        <v/>
      </c>
    </row>
    <row r="93652">
      <c r="A93652" s="1" t="n">
        <v>93651</v>
      </c>
      <c r="B93652">
        <f>TEXT(93651, "[$-0E0000]yyyy-mm-dd")</f>
        <v/>
      </c>
    </row>
    <row r="93653">
      <c r="A93653" s="1" t="n">
        <v>93652</v>
      </c>
      <c r="B93653">
        <f>TEXT(93652, "[$-0E0000]yyyy-mm-dd")</f>
        <v/>
      </c>
    </row>
    <row r="93654">
      <c r="A93654" s="1" t="n">
        <v>93653</v>
      </c>
      <c r="B93654">
        <f>TEXT(93653, "[$-0E0000]yyyy-mm-dd")</f>
        <v/>
      </c>
    </row>
    <row r="93655">
      <c r="A93655" s="1" t="n">
        <v>93654</v>
      </c>
      <c r="B93655">
        <f>TEXT(93654, "[$-0E0000]yyyy-mm-dd")</f>
        <v/>
      </c>
    </row>
    <row r="93656">
      <c r="A93656" s="1" t="n">
        <v>93655</v>
      </c>
      <c r="B93656">
        <f>TEXT(93655, "[$-0E0000]yyyy-mm-dd")</f>
        <v/>
      </c>
    </row>
    <row r="93657">
      <c r="A93657" s="1" t="n">
        <v>93656</v>
      </c>
      <c r="B93657">
        <f>TEXT(93656, "[$-0E0000]yyyy-mm-dd")</f>
        <v/>
      </c>
    </row>
    <row r="93658">
      <c r="A93658" s="1" t="n">
        <v>93657</v>
      </c>
      <c r="B93658">
        <f>TEXT(93657, "[$-0E0000]yyyy-mm-dd")</f>
        <v/>
      </c>
    </row>
    <row r="93659">
      <c r="A93659" s="1" t="n">
        <v>93658</v>
      </c>
      <c r="B93659">
        <f>TEXT(93658, "[$-0E0000]yyyy-mm-dd")</f>
        <v/>
      </c>
    </row>
    <row r="93660">
      <c r="A93660" s="1" t="n">
        <v>93659</v>
      </c>
      <c r="B93660">
        <f>TEXT(93659, "[$-0E0000]yyyy-mm-dd")</f>
        <v/>
      </c>
    </row>
    <row r="93661">
      <c r="A93661" s="1" t="n">
        <v>93660</v>
      </c>
      <c r="B93661">
        <f>TEXT(93660, "[$-0E0000]yyyy-mm-dd")</f>
        <v/>
      </c>
    </row>
    <row r="93662">
      <c r="A93662" s="1" t="n">
        <v>93661</v>
      </c>
      <c r="B93662">
        <f>TEXT(93661, "[$-0E0000]yyyy-mm-dd")</f>
        <v/>
      </c>
    </row>
    <row r="93663">
      <c r="A93663" s="1" t="n">
        <v>93662</v>
      </c>
      <c r="B93663">
        <f>TEXT(93662, "[$-0E0000]yyyy-mm-dd")</f>
        <v/>
      </c>
    </row>
    <row r="93664">
      <c r="A93664" s="1" t="n">
        <v>93663</v>
      </c>
      <c r="B93664">
        <f>TEXT(93663, "[$-0E0000]yyyy-mm-dd")</f>
        <v/>
      </c>
    </row>
    <row r="93665">
      <c r="A93665" s="1" t="n">
        <v>93664</v>
      </c>
      <c r="B93665">
        <f>TEXT(93664, "[$-0E0000]yyyy-mm-dd")</f>
        <v/>
      </c>
    </row>
    <row r="93666">
      <c r="A93666" s="1" t="n">
        <v>93665</v>
      </c>
      <c r="B93666">
        <f>TEXT(93665, "[$-0E0000]yyyy-mm-dd")</f>
        <v/>
      </c>
    </row>
    <row r="93667">
      <c r="A93667" s="1" t="n">
        <v>93666</v>
      </c>
      <c r="B93667">
        <f>TEXT(93666, "[$-0E0000]yyyy-mm-dd")</f>
        <v/>
      </c>
    </row>
    <row r="93668">
      <c r="A93668" s="1" t="n">
        <v>93667</v>
      </c>
      <c r="B93668">
        <f>TEXT(93667, "[$-0E0000]yyyy-mm-dd")</f>
        <v/>
      </c>
    </row>
    <row r="93669">
      <c r="A93669" s="1" t="n">
        <v>93668</v>
      </c>
      <c r="B93669">
        <f>TEXT(93668, "[$-0E0000]yyyy-mm-dd")</f>
        <v/>
      </c>
    </row>
    <row r="93670">
      <c r="A93670" s="1" t="n">
        <v>93669</v>
      </c>
      <c r="B93670">
        <f>TEXT(93669, "[$-0E0000]yyyy-mm-dd")</f>
        <v/>
      </c>
    </row>
    <row r="93671">
      <c r="A93671" s="1" t="n">
        <v>93670</v>
      </c>
      <c r="B93671">
        <f>TEXT(93670, "[$-0E0000]yyyy-mm-dd")</f>
        <v/>
      </c>
    </row>
    <row r="93672">
      <c r="A93672" s="1" t="n">
        <v>93671</v>
      </c>
      <c r="B93672">
        <f>TEXT(93671, "[$-0E0000]yyyy-mm-dd")</f>
        <v/>
      </c>
    </row>
    <row r="93673">
      <c r="A93673" s="1" t="n">
        <v>93672</v>
      </c>
      <c r="B93673">
        <f>TEXT(93672, "[$-0E0000]yyyy-mm-dd")</f>
        <v/>
      </c>
    </row>
    <row r="93674">
      <c r="A93674" s="1" t="n">
        <v>93673</v>
      </c>
      <c r="B93674">
        <f>TEXT(93673, "[$-0E0000]yyyy-mm-dd")</f>
        <v/>
      </c>
    </row>
    <row r="93675">
      <c r="A93675" s="1" t="n">
        <v>93674</v>
      </c>
      <c r="B93675">
        <f>TEXT(93674, "[$-0E0000]yyyy-mm-dd")</f>
        <v/>
      </c>
    </row>
    <row r="93676">
      <c r="A93676" s="1" t="n">
        <v>93675</v>
      </c>
      <c r="B93676">
        <f>TEXT(93675, "[$-0E0000]yyyy-mm-dd")</f>
        <v/>
      </c>
    </row>
    <row r="93677">
      <c r="A93677" s="1" t="n">
        <v>93676</v>
      </c>
      <c r="B93677">
        <f>TEXT(93676, "[$-0E0000]yyyy-mm-dd")</f>
        <v/>
      </c>
    </row>
    <row r="93678">
      <c r="A93678" s="1" t="n">
        <v>93677</v>
      </c>
      <c r="B93678">
        <f>TEXT(93677, "[$-0E0000]yyyy-mm-dd")</f>
        <v/>
      </c>
    </row>
    <row r="93679">
      <c r="A93679" s="1" t="n">
        <v>93678</v>
      </c>
      <c r="B93679">
        <f>TEXT(93678, "[$-0E0000]yyyy-mm-dd")</f>
        <v/>
      </c>
    </row>
    <row r="93680">
      <c r="A93680" s="1" t="n">
        <v>93679</v>
      </c>
      <c r="B93680">
        <f>TEXT(93679, "[$-0E0000]yyyy-mm-dd")</f>
        <v/>
      </c>
    </row>
    <row r="93681">
      <c r="A93681" s="1" t="n">
        <v>93680</v>
      </c>
      <c r="B93681">
        <f>TEXT(93680, "[$-0E0000]yyyy-mm-dd")</f>
        <v/>
      </c>
    </row>
    <row r="93682">
      <c r="A93682" s="1" t="n">
        <v>93681</v>
      </c>
      <c r="B93682">
        <f>TEXT(93681, "[$-0E0000]yyyy-mm-dd")</f>
        <v/>
      </c>
    </row>
    <row r="93683">
      <c r="A93683" s="1" t="n">
        <v>93682</v>
      </c>
      <c r="B93683">
        <f>TEXT(93682, "[$-0E0000]yyyy-mm-dd")</f>
        <v/>
      </c>
    </row>
    <row r="93684">
      <c r="A93684" s="1" t="n">
        <v>93683</v>
      </c>
      <c r="B93684">
        <f>TEXT(93683, "[$-0E0000]yyyy-mm-dd")</f>
        <v/>
      </c>
    </row>
    <row r="93685">
      <c r="A93685" s="1" t="n">
        <v>93684</v>
      </c>
      <c r="B93685">
        <f>TEXT(93684, "[$-0E0000]yyyy-mm-dd")</f>
        <v/>
      </c>
    </row>
    <row r="93686">
      <c r="A93686" s="1" t="n">
        <v>93685</v>
      </c>
      <c r="B93686">
        <f>TEXT(93685, "[$-0E0000]yyyy-mm-dd")</f>
        <v/>
      </c>
    </row>
    <row r="93687">
      <c r="A93687" s="1" t="n">
        <v>93686</v>
      </c>
      <c r="B93687">
        <f>TEXT(93686, "[$-0E0000]yyyy-mm-dd")</f>
        <v/>
      </c>
    </row>
    <row r="93688">
      <c r="A93688" s="1" t="n">
        <v>93687</v>
      </c>
      <c r="B93688">
        <f>TEXT(93687, "[$-0E0000]yyyy-mm-dd")</f>
        <v/>
      </c>
    </row>
    <row r="93689">
      <c r="A93689" s="1" t="n">
        <v>93688</v>
      </c>
      <c r="B93689">
        <f>TEXT(93688, "[$-0E0000]yyyy-mm-dd")</f>
        <v/>
      </c>
    </row>
    <row r="93690">
      <c r="A93690" s="1" t="n">
        <v>93689</v>
      </c>
      <c r="B93690">
        <f>TEXT(93689, "[$-0E0000]yyyy-mm-dd")</f>
        <v/>
      </c>
    </row>
    <row r="93691">
      <c r="A93691" s="1" t="n">
        <v>93690</v>
      </c>
      <c r="B93691">
        <f>TEXT(93690, "[$-0E0000]yyyy-mm-dd")</f>
        <v/>
      </c>
    </row>
    <row r="93692">
      <c r="A93692" s="1" t="n">
        <v>93691</v>
      </c>
      <c r="B93692">
        <f>TEXT(93691, "[$-0E0000]yyyy-mm-dd")</f>
        <v/>
      </c>
    </row>
    <row r="93693">
      <c r="A93693" s="1" t="n">
        <v>93692</v>
      </c>
      <c r="B93693">
        <f>TEXT(93692, "[$-0E0000]yyyy-mm-dd")</f>
        <v/>
      </c>
    </row>
    <row r="93694">
      <c r="A93694" s="1" t="n">
        <v>93693</v>
      </c>
      <c r="B93694">
        <f>TEXT(93693, "[$-0E0000]yyyy-mm-dd")</f>
        <v/>
      </c>
    </row>
    <row r="93695">
      <c r="A93695" s="1" t="n">
        <v>93694</v>
      </c>
      <c r="B93695">
        <f>TEXT(93694, "[$-0E0000]yyyy-mm-dd")</f>
        <v/>
      </c>
    </row>
    <row r="93696">
      <c r="A93696" s="1" t="n">
        <v>93695</v>
      </c>
      <c r="B93696">
        <f>TEXT(93695, "[$-0E0000]yyyy-mm-dd")</f>
        <v/>
      </c>
    </row>
    <row r="93697">
      <c r="A93697" s="1" t="n">
        <v>93696</v>
      </c>
      <c r="B93697">
        <f>TEXT(93696, "[$-0E0000]yyyy-mm-dd")</f>
        <v/>
      </c>
    </row>
    <row r="93698">
      <c r="A93698" s="1" t="n">
        <v>93697</v>
      </c>
      <c r="B93698">
        <f>TEXT(93697, "[$-0E0000]yyyy-mm-dd")</f>
        <v/>
      </c>
    </row>
    <row r="93699">
      <c r="A93699" s="1" t="n">
        <v>93698</v>
      </c>
      <c r="B93699">
        <f>TEXT(93698, "[$-0E0000]yyyy-mm-dd")</f>
        <v/>
      </c>
    </row>
    <row r="93700">
      <c r="A93700" s="1" t="n">
        <v>93699</v>
      </c>
      <c r="B93700">
        <f>TEXT(93699, "[$-0E0000]yyyy-mm-dd")</f>
        <v/>
      </c>
    </row>
    <row r="93701">
      <c r="A93701" s="1" t="n">
        <v>93700</v>
      </c>
      <c r="B93701">
        <f>TEXT(93700, "[$-0E0000]yyyy-mm-dd")</f>
        <v/>
      </c>
    </row>
    <row r="93702">
      <c r="A93702" s="1" t="n">
        <v>93701</v>
      </c>
      <c r="B93702">
        <f>TEXT(93701, "[$-0E0000]yyyy-mm-dd")</f>
        <v/>
      </c>
    </row>
    <row r="93703">
      <c r="A93703" s="1" t="n">
        <v>93702</v>
      </c>
      <c r="B93703">
        <f>TEXT(93702, "[$-0E0000]yyyy-mm-dd")</f>
        <v/>
      </c>
    </row>
    <row r="93704">
      <c r="A93704" s="1" t="n">
        <v>93703</v>
      </c>
      <c r="B93704">
        <f>TEXT(93703, "[$-0E0000]yyyy-mm-dd")</f>
        <v/>
      </c>
    </row>
    <row r="93705">
      <c r="A93705" s="1" t="n">
        <v>93704</v>
      </c>
      <c r="B93705">
        <f>TEXT(93704, "[$-0E0000]yyyy-mm-dd")</f>
        <v/>
      </c>
    </row>
    <row r="93706">
      <c r="A93706" s="1" t="n">
        <v>93705</v>
      </c>
      <c r="B93706">
        <f>TEXT(93705, "[$-0E0000]yyyy-mm-dd")</f>
        <v/>
      </c>
    </row>
    <row r="93707">
      <c r="A93707" s="1" t="n">
        <v>93706</v>
      </c>
      <c r="B93707">
        <f>TEXT(93706, "[$-0E0000]yyyy-mm-dd")</f>
        <v/>
      </c>
    </row>
    <row r="93708">
      <c r="A93708" s="1" t="n">
        <v>93707</v>
      </c>
      <c r="B93708">
        <f>TEXT(93707, "[$-0E0000]yyyy-mm-dd")</f>
        <v/>
      </c>
    </row>
    <row r="93709">
      <c r="A93709" s="1" t="n">
        <v>93708</v>
      </c>
      <c r="B93709">
        <f>TEXT(93708, "[$-0E0000]yyyy-mm-dd")</f>
        <v/>
      </c>
    </row>
    <row r="93710">
      <c r="A93710" s="1" t="n">
        <v>93709</v>
      </c>
      <c r="B93710">
        <f>TEXT(93709, "[$-0E0000]yyyy-mm-dd")</f>
        <v/>
      </c>
    </row>
    <row r="93711">
      <c r="A93711" s="1" t="n">
        <v>93710</v>
      </c>
      <c r="B93711">
        <f>TEXT(93710, "[$-0E0000]yyyy-mm-dd")</f>
        <v/>
      </c>
    </row>
    <row r="93712">
      <c r="A93712" s="1" t="n">
        <v>93711</v>
      </c>
      <c r="B93712">
        <f>TEXT(93711, "[$-0E0000]yyyy-mm-dd")</f>
        <v/>
      </c>
    </row>
    <row r="93713">
      <c r="A93713" s="1" t="n">
        <v>93712</v>
      </c>
      <c r="B93713">
        <f>TEXT(93712, "[$-0E0000]yyyy-mm-dd")</f>
        <v/>
      </c>
    </row>
    <row r="93714">
      <c r="A93714" s="1" t="n">
        <v>93713</v>
      </c>
      <c r="B93714">
        <f>TEXT(93713, "[$-0E0000]yyyy-mm-dd")</f>
        <v/>
      </c>
    </row>
    <row r="93715">
      <c r="A93715" s="1" t="n">
        <v>93714</v>
      </c>
      <c r="B93715">
        <f>TEXT(93714, "[$-0E0000]yyyy-mm-dd")</f>
        <v/>
      </c>
    </row>
    <row r="93716">
      <c r="A93716" s="1" t="n">
        <v>93715</v>
      </c>
      <c r="B93716">
        <f>TEXT(93715, "[$-0E0000]yyyy-mm-dd")</f>
        <v/>
      </c>
    </row>
    <row r="93717">
      <c r="A93717" s="1" t="n">
        <v>93716</v>
      </c>
      <c r="B93717">
        <f>TEXT(93716, "[$-0E0000]yyyy-mm-dd")</f>
        <v/>
      </c>
    </row>
    <row r="93718">
      <c r="A93718" s="1" t="n">
        <v>93717</v>
      </c>
      <c r="B93718">
        <f>TEXT(93717, "[$-0E0000]yyyy-mm-dd")</f>
        <v/>
      </c>
    </row>
    <row r="93719">
      <c r="A93719" s="1" t="n">
        <v>93718</v>
      </c>
      <c r="B93719">
        <f>TEXT(93718, "[$-0E0000]yyyy-mm-dd")</f>
        <v/>
      </c>
    </row>
    <row r="93720">
      <c r="A93720" s="1" t="n">
        <v>93719</v>
      </c>
      <c r="B93720">
        <f>TEXT(93719, "[$-0E0000]yyyy-mm-dd")</f>
        <v/>
      </c>
    </row>
    <row r="93721">
      <c r="A93721" s="1" t="n">
        <v>93720</v>
      </c>
      <c r="B93721">
        <f>TEXT(93720, "[$-0E0000]yyyy-mm-dd")</f>
        <v/>
      </c>
    </row>
    <row r="93722">
      <c r="A93722" s="1" t="n">
        <v>93721</v>
      </c>
      <c r="B93722">
        <f>TEXT(93721, "[$-0E0000]yyyy-mm-dd")</f>
        <v/>
      </c>
    </row>
    <row r="93723">
      <c r="A93723" s="1" t="n">
        <v>93722</v>
      </c>
      <c r="B93723">
        <f>TEXT(93722, "[$-0E0000]yyyy-mm-dd")</f>
        <v/>
      </c>
    </row>
    <row r="93724">
      <c r="A93724" s="1" t="n">
        <v>93723</v>
      </c>
      <c r="B93724">
        <f>TEXT(93723, "[$-0E0000]yyyy-mm-dd")</f>
        <v/>
      </c>
    </row>
    <row r="93725">
      <c r="A93725" s="1" t="n">
        <v>93724</v>
      </c>
      <c r="B93725">
        <f>TEXT(93724, "[$-0E0000]yyyy-mm-dd")</f>
        <v/>
      </c>
    </row>
    <row r="93726">
      <c r="A93726" s="1" t="n">
        <v>93725</v>
      </c>
      <c r="B93726">
        <f>TEXT(93725, "[$-0E0000]yyyy-mm-dd")</f>
        <v/>
      </c>
    </row>
    <row r="93727">
      <c r="A93727" s="1" t="n">
        <v>93726</v>
      </c>
      <c r="B93727">
        <f>TEXT(93726, "[$-0E0000]yyyy-mm-dd")</f>
        <v/>
      </c>
    </row>
    <row r="93728">
      <c r="A93728" s="1" t="n">
        <v>93727</v>
      </c>
      <c r="B93728">
        <f>TEXT(93727, "[$-0E0000]yyyy-mm-dd")</f>
        <v/>
      </c>
    </row>
    <row r="93729">
      <c r="A93729" s="1" t="n">
        <v>93728</v>
      </c>
      <c r="B93729">
        <f>TEXT(93728, "[$-0E0000]yyyy-mm-dd")</f>
        <v/>
      </c>
    </row>
    <row r="93730">
      <c r="A93730" s="1" t="n">
        <v>93729</v>
      </c>
      <c r="B93730">
        <f>TEXT(93729, "[$-0E0000]yyyy-mm-dd")</f>
        <v/>
      </c>
    </row>
    <row r="93731">
      <c r="A93731" s="1" t="n">
        <v>93730</v>
      </c>
      <c r="B93731">
        <f>TEXT(93730, "[$-0E0000]yyyy-mm-dd")</f>
        <v/>
      </c>
    </row>
    <row r="93732">
      <c r="A93732" s="1" t="n">
        <v>93731</v>
      </c>
      <c r="B93732">
        <f>TEXT(93731, "[$-0E0000]yyyy-mm-dd")</f>
        <v/>
      </c>
    </row>
    <row r="93733">
      <c r="A93733" s="1" t="n">
        <v>93732</v>
      </c>
      <c r="B93733">
        <f>TEXT(93732, "[$-0E0000]yyyy-mm-dd")</f>
        <v/>
      </c>
    </row>
    <row r="93734">
      <c r="A93734" s="1" t="n">
        <v>93733</v>
      </c>
      <c r="B93734">
        <f>TEXT(93733, "[$-0E0000]yyyy-mm-dd")</f>
        <v/>
      </c>
    </row>
    <row r="93735">
      <c r="A93735" s="1" t="n">
        <v>93734</v>
      </c>
      <c r="B93735">
        <f>TEXT(93734, "[$-0E0000]yyyy-mm-dd")</f>
        <v/>
      </c>
    </row>
    <row r="93736">
      <c r="A93736" s="1" t="n">
        <v>93735</v>
      </c>
      <c r="B93736">
        <f>TEXT(93735, "[$-0E0000]yyyy-mm-dd")</f>
        <v/>
      </c>
    </row>
    <row r="93737">
      <c r="A93737" s="1" t="n">
        <v>93736</v>
      </c>
      <c r="B93737">
        <f>TEXT(93736, "[$-0E0000]yyyy-mm-dd")</f>
        <v/>
      </c>
    </row>
    <row r="93738">
      <c r="A93738" s="1" t="n">
        <v>93737</v>
      </c>
      <c r="B93738">
        <f>TEXT(93737, "[$-0E0000]yyyy-mm-dd")</f>
        <v/>
      </c>
    </row>
    <row r="93739">
      <c r="A93739" s="1" t="n">
        <v>93738</v>
      </c>
      <c r="B93739">
        <f>TEXT(93738, "[$-0E0000]yyyy-mm-dd")</f>
        <v/>
      </c>
    </row>
    <row r="93740">
      <c r="A93740" s="1" t="n">
        <v>93739</v>
      </c>
      <c r="B93740">
        <f>TEXT(93739, "[$-0E0000]yyyy-mm-dd")</f>
        <v/>
      </c>
    </row>
    <row r="93741">
      <c r="A93741" s="1" t="n">
        <v>93740</v>
      </c>
      <c r="B93741">
        <f>TEXT(93740, "[$-0E0000]yyyy-mm-dd")</f>
        <v/>
      </c>
    </row>
    <row r="93742">
      <c r="A93742" s="1" t="n">
        <v>93741</v>
      </c>
      <c r="B93742">
        <f>TEXT(93741, "[$-0E0000]yyyy-mm-dd")</f>
        <v/>
      </c>
    </row>
    <row r="93743">
      <c r="A93743" s="1" t="n">
        <v>93742</v>
      </c>
      <c r="B93743">
        <f>TEXT(93742, "[$-0E0000]yyyy-mm-dd")</f>
        <v/>
      </c>
    </row>
    <row r="93744">
      <c r="A93744" s="1" t="n">
        <v>93743</v>
      </c>
      <c r="B93744">
        <f>TEXT(93743, "[$-0E0000]yyyy-mm-dd")</f>
        <v/>
      </c>
    </row>
    <row r="93745">
      <c r="A93745" s="1" t="n">
        <v>93744</v>
      </c>
      <c r="B93745">
        <f>TEXT(93744, "[$-0E0000]yyyy-mm-dd")</f>
        <v/>
      </c>
    </row>
    <row r="93746">
      <c r="A93746" s="1" t="n">
        <v>93745</v>
      </c>
      <c r="B93746">
        <f>TEXT(93745, "[$-0E0000]yyyy-mm-dd")</f>
        <v/>
      </c>
    </row>
    <row r="93747">
      <c r="A93747" s="1" t="n">
        <v>93746</v>
      </c>
      <c r="B93747">
        <f>TEXT(93746, "[$-0E0000]yyyy-mm-dd")</f>
        <v/>
      </c>
    </row>
    <row r="93748">
      <c r="A93748" s="1" t="n">
        <v>93747</v>
      </c>
      <c r="B93748">
        <f>TEXT(93747, "[$-0E0000]yyyy-mm-dd")</f>
        <v/>
      </c>
    </row>
    <row r="93749">
      <c r="A93749" s="1" t="n">
        <v>93748</v>
      </c>
      <c r="B93749">
        <f>TEXT(93748, "[$-0E0000]yyyy-mm-dd")</f>
        <v/>
      </c>
    </row>
    <row r="93750">
      <c r="A93750" s="1" t="n">
        <v>93749</v>
      </c>
      <c r="B93750">
        <f>TEXT(93749, "[$-0E0000]yyyy-mm-dd")</f>
        <v/>
      </c>
    </row>
    <row r="93751">
      <c r="A93751" s="1" t="n">
        <v>93750</v>
      </c>
      <c r="B93751">
        <f>TEXT(93750, "[$-0E0000]yyyy-mm-dd")</f>
        <v/>
      </c>
    </row>
    <row r="93752">
      <c r="A93752" s="1" t="n">
        <v>93751</v>
      </c>
      <c r="B93752">
        <f>TEXT(93751, "[$-0E0000]yyyy-mm-dd")</f>
        <v/>
      </c>
    </row>
    <row r="93753">
      <c r="A93753" s="1" t="n">
        <v>93752</v>
      </c>
      <c r="B93753">
        <f>TEXT(93752, "[$-0E0000]yyyy-mm-dd")</f>
        <v/>
      </c>
    </row>
    <row r="93754">
      <c r="A93754" s="1" t="n">
        <v>93753</v>
      </c>
      <c r="B93754">
        <f>TEXT(93753, "[$-0E0000]yyyy-mm-dd")</f>
        <v/>
      </c>
    </row>
    <row r="93755">
      <c r="A93755" s="1" t="n">
        <v>93754</v>
      </c>
      <c r="B93755">
        <f>TEXT(93754, "[$-0E0000]yyyy-mm-dd")</f>
        <v/>
      </c>
    </row>
    <row r="93756">
      <c r="A93756" s="1" t="n">
        <v>93755</v>
      </c>
      <c r="B93756">
        <f>TEXT(93755, "[$-0E0000]yyyy-mm-dd")</f>
        <v/>
      </c>
    </row>
    <row r="93757">
      <c r="A93757" s="1" t="n">
        <v>93756</v>
      </c>
      <c r="B93757">
        <f>TEXT(93756, "[$-0E0000]yyyy-mm-dd")</f>
        <v/>
      </c>
    </row>
    <row r="93758">
      <c r="A93758" s="1" t="n">
        <v>93757</v>
      </c>
      <c r="B93758">
        <f>TEXT(93757, "[$-0E0000]yyyy-mm-dd")</f>
        <v/>
      </c>
    </row>
    <row r="93759">
      <c r="A93759" s="1" t="n">
        <v>93758</v>
      </c>
      <c r="B93759">
        <f>TEXT(93758, "[$-0E0000]yyyy-mm-dd")</f>
        <v/>
      </c>
    </row>
    <row r="93760">
      <c r="A93760" s="1" t="n">
        <v>93759</v>
      </c>
      <c r="B93760">
        <f>TEXT(93759, "[$-0E0000]yyyy-mm-dd")</f>
        <v/>
      </c>
    </row>
    <row r="93761">
      <c r="A93761" s="1" t="n">
        <v>93760</v>
      </c>
      <c r="B93761">
        <f>TEXT(93760, "[$-0E0000]yyyy-mm-dd")</f>
        <v/>
      </c>
    </row>
    <row r="93762">
      <c r="A93762" s="1" t="n">
        <v>93761</v>
      </c>
      <c r="B93762">
        <f>TEXT(93761, "[$-0E0000]yyyy-mm-dd")</f>
        <v/>
      </c>
    </row>
    <row r="93763">
      <c r="A93763" s="1" t="n">
        <v>93762</v>
      </c>
      <c r="B93763">
        <f>TEXT(93762, "[$-0E0000]yyyy-mm-dd")</f>
        <v/>
      </c>
    </row>
    <row r="93764">
      <c r="A93764" s="1" t="n">
        <v>93763</v>
      </c>
      <c r="B93764">
        <f>TEXT(93763, "[$-0E0000]yyyy-mm-dd")</f>
        <v/>
      </c>
    </row>
    <row r="93765">
      <c r="A93765" s="1" t="n">
        <v>93764</v>
      </c>
      <c r="B93765">
        <f>TEXT(93764, "[$-0E0000]yyyy-mm-dd")</f>
        <v/>
      </c>
    </row>
    <row r="93766">
      <c r="A93766" s="1" t="n">
        <v>93765</v>
      </c>
      <c r="B93766">
        <f>TEXT(93765, "[$-0E0000]yyyy-mm-dd")</f>
        <v/>
      </c>
    </row>
    <row r="93767">
      <c r="A93767" s="1" t="n">
        <v>93766</v>
      </c>
      <c r="B93767">
        <f>TEXT(93766, "[$-0E0000]yyyy-mm-dd")</f>
        <v/>
      </c>
    </row>
    <row r="93768">
      <c r="A93768" s="1" t="n">
        <v>93767</v>
      </c>
      <c r="B93768">
        <f>TEXT(93767, "[$-0E0000]yyyy-mm-dd")</f>
        <v/>
      </c>
    </row>
    <row r="93769">
      <c r="A93769" s="1" t="n">
        <v>93768</v>
      </c>
      <c r="B93769">
        <f>TEXT(93768, "[$-0E0000]yyyy-mm-dd")</f>
        <v/>
      </c>
    </row>
    <row r="93770">
      <c r="A93770" s="1" t="n">
        <v>93769</v>
      </c>
      <c r="B93770">
        <f>TEXT(93769, "[$-0E0000]yyyy-mm-dd")</f>
        <v/>
      </c>
    </row>
    <row r="93771">
      <c r="A93771" s="1" t="n">
        <v>93770</v>
      </c>
      <c r="B93771">
        <f>TEXT(93770, "[$-0E0000]yyyy-mm-dd")</f>
        <v/>
      </c>
    </row>
    <row r="93772">
      <c r="A93772" s="1" t="n">
        <v>93771</v>
      </c>
      <c r="B93772">
        <f>TEXT(93771, "[$-0E0000]yyyy-mm-dd")</f>
        <v/>
      </c>
    </row>
    <row r="93773">
      <c r="A93773" s="1" t="n">
        <v>93772</v>
      </c>
      <c r="B93773">
        <f>TEXT(93772, "[$-0E0000]yyyy-mm-dd")</f>
        <v/>
      </c>
    </row>
    <row r="93774">
      <c r="A93774" s="1" t="n">
        <v>93773</v>
      </c>
      <c r="B93774">
        <f>TEXT(93773, "[$-0E0000]yyyy-mm-dd")</f>
        <v/>
      </c>
    </row>
    <row r="93775">
      <c r="A93775" s="1" t="n">
        <v>93774</v>
      </c>
      <c r="B93775">
        <f>TEXT(93774, "[$-0E0000]yyyy-mm-dd")</f>
        <v/>
      </c>
    </row>
    <row r="93776">
      <c r="A93776" s="1" t="n">
        <v>93775</v>
      </c>
      <c r="B93776">
        <f>TEXT(93775, "[$-0E0000]yyyy-mm-dd")</f>
        <v/>
      </c>
    </row>
    <row r="93777">
      <c r="A93777" s="1" t="n">
        <v>93776</v>
      </c>
      <c r="B93777">
        <f>TEXT(93776, "[$-0E0000]yyyy-mm-dd")</f>
        <v/>
      </c>
    </row>
    <row r="93778">
      <c r="A93778" s="1" t="n">
        <v>93777</v>
      </c>
      <c r="B93778">
        <f>TEXT(93777, "[$-0E0000]yyyy-mm-dd")</f>
        <v/>
      </c>
    </row>
    <row r="93779">
      <c r="A93779" s="1" t="n">
        <v>93778</v>
      </c>
      <c r="B93779">
        <f>TEXT(93778, "[$-0E0000]yyyy-mm-dd")</f>
        <v/>
      </c>
    </row>
    <row r="93780">
      <c r="A93780" s="1" t="n">
        <v>93779</v>
      </c>
      <c r="B93780">
        <f>TEXT(93779, "[$-0E0000]yyyy-mm-dd")</f>
        <v/>
      </c>
    </row>
    <row r="93781">
      <c r="A93781" s="1" t="n">
        <v>93780</v>
      </c>
      <c r="B93781">
        <f>TEXT(93780, "[$-0E0000]yyyy-mm-dd")</f>
        <v/>
      </c>
    </row>
    <row r="93782">
      <c r="A93782" s="1" t="n">
        <v>93781</v>
      </c>
      <c r="B93782">
        <f>TEXT(93781, "[$-0E0000]yyyy-mm-dd")</f>
        <v/>
      </c>
    </row>
    <row r="93783">
      <c r="A93783" s="1" t="n">
        <v>93782</v>
      </c>
      <c r="B93783">
        <f>TEXT(93782, "[$-0E0000]yyyy-mm-dd")</f>
        <v/>
      </c>
    </row>
    <row r="93784">
      <c r="A93784" s="1" t="n">
        <v>93783</v>
      </c>
      <c r="B93784">
        <f>TEXT(93783, "[$-0E0000]yyyy-mm-dd")</f>
        <v/>
      </c>
    </row>
    <row r="93785">
      <c r="A93785" s="1" t="n">
        <v>93784</v>
      </c>
      <c r="B93785">
        <f>TEXT(93784, "[$-0E0000]yyyy-mm-dd")</f>
        <v/>
      </c>
    </row>
    <row r="93786">
      <c r="A93786" s="1" t="n">
        <v>93785</v>
      </c>
      <c r="B93786">
        <f>TEXT(93785, "[$-0E0000]yyyy-mm-dd")</f>
        <v/>
      </c>
    </row>
    <row r="93787">
      <c r="A93787" s="1" t="n">
        <v>93786</v>
      </c>
      <c r="B93787">
        <f>TEXT(93786, "[$-0E0000]yyyy-mm-dd")</f>
        <v/>
      </c>
    </row>
    <row r="93788">
      <c r="A93788" s="1" t="n">
        <v>93787</v>
      </c>
      <c r="B93788">
        <f>TEXT(93787, "[$-0E0000]yyyy-mm-dd")</f>
        <v/>
      </c>
    </row>
    <row r="93789">
      <c r="A93789" s="1" t="n">
        <v>93788</v>
      </c>
      <c r="B93789">
        <f>TEXT(93788, "[$-0E0000]yyyy-mm-dd")</f>
        <v/>
      </c>
    </row>
    <row r="93790">
      <c r="A93790" s="1" t="n">
        <v>93789</v>
      </c>
      <c r="B93790">
        <f>TEXT(93789, "[$-0E0000]yyyy-mm-dd")</f>
        <v/>
      </c>
    </row>
    <row r="93791">
      <c r="A93791" s="1" t="n">
        <v>93790</v>
      </c>
      <c r="B93791">
        <f>TEXT(93790, "[$-0E0000]yyyy-mm-dd")</f>
        <v/>
      </c>
    </row>
    <row r="93792">
      <c r="A93792" s="1" t="n">
        <v>93791</v>
      </c>
      <c r="B93792">
        <f>TEXT(93791, "[$-0E0000]yyyy-mm-dd")</f>
        <v/>
      </c>
    </row>
    <row r="93793">
      <c r="A93793" s="1" t="n">
        <v>93792</v>
      </c>
      <c r="B93793">
        <f>TEXT(93792, "[$-0E0000]yyyy-mm-dd")</f>
        <v/>
      </c>
    </row>
    <row r="93794">
      <c r="A93794" s="1" t="n">
        <v>93793</v>
      </c>
      <c r="B93794">
        <f>TEXT(93793, "[$-0E0000]yyyy-mm-dd")</f>
        <v/>
      </c>
    </row>
    <row r="93795">
      <c r="A93795" s="1" t="n">
        <v>93794</v>
      </c>
      <c r="B93795">
        <f>TEXT(93794, "[$-0E0000]yyyy-mm-dd")</f>
        <v/>
      </c>
    </row>
    <row r="93796">
      <c r="A93796" s="1" t="n">
        <v>93795</v>
      </c>
      <c r="B93796">
        <f>TEXT(93795, "[$-0E0000]yyyy-mm-dd")</f>
        <v/>
      </c>
    </row>
    <row r="93797">
      <c r="A93797" s="1" t="n">
        <v>93796</v>
      </c>
      <c r="B93797">
        <f>TEXT(93796, "[$-0E0000]yyyy-mm-dd")</f>
        <v/>
      </c>
    </row>
    <row r="93798">
      <c r="A93798" s="1" t="n">
        <v>93797</v>
      </c>
      <c r="B93798">
        <f>TEXT(93797, "[$-0E0000]yyyy-mm-dd")</f>
        <v/>
      </c>
    </row>
    <row r="93799">
      <c r="A93799" s="1" t="n">
        <v>93798</v>
      </c>
      <c r="B93799">
        <f>TEXT(93798, "[$-0E0000]yyyy-mm-dd")</f>
        <v/>
      </c>
    </row>
    <row r="93800">
      <c r="A93800" s="1" t="n">
        <v>93799</v>
      </c>
      <c r="B93800">
        <f>TEXT(93799, "[$-0E0000]yyyy-mm-dd")</f>
        <v/>
      </c>
    </row>
    <row r="93801">
      <c r="A93801" s="1" t="n">
        <v>93800</v>
      </c>
      <c r="B93801">
        <f>TEXT(93800, "[$-0E0000]yyyy-mm-dd")</f>
        <v/>
      </c>
    </row>
    <row r="93802">
      <c r="A93802" s="1" t="n">
        <v>93801</v>
      </c>
      <c r="B93802">
        <f>TEXT(93801, "[$-0E0000]yyyy-mm-dd")</f>
        <v/>
      </c>
    </row>
    <row r="93803">
      <c r="A93803" s="1" t="n">
        <v>93802</v>
      </c>
      <c r="B93803">
        <f>TEXT(93802, "[$-0E0000]yyyy-mm-dd")</f>
        <v/>
      </c>
    </row>
    <row r="93804">
      <c r="A93804" s="1" t="n">
        <v>93803</v>
      </c>
      <c r="B93804">
        <f>TEXT(93803, "[$-0E0000]yyyy-mm-dd")</f>
        <v/>
      </c>
    </row>
    <row r="93805">
      <c r="A93805" s="1" t="n">
        <v>93804</v>
      </c>
      <c r="B93805">
        <f>TEXT(93804, "[$-0E0000]yyyy-mm-dd")</f>
        <v/>
      </c>
    </row>
    <row r="93806">
      <c r="A93806" s="1" t="n">
        <v>93805</v>
      </c>
      <c r="B93806">
        <f>TEXT(93805, "[$-0E0000]yyyy-mm-dd")</f>
        <v/>
      </c>
    </row>
    <row r="93807">
      <c r="A93807" s="1" t="n">
        <v>93806</v>
      </c>
      <c r="B93807">
        <f>TEXT(93806, "[$-0E0000]yyyy-mm-dd")</f>
        <v/>
      </c>
    </row>
    <row r="93808">
      <c r="A93808" s="1" t="n">
        <v>93807</v>
      </c>
      <c r="B93808">
        <f>TEXT(93807, "[$-0E0000]yyyy-mm-dd")</f>
        <v/>
      </c>
    </row>
    <row r="93809">
      <c r="A93809" s="1" t="n">
        <v>93808</v>
      </c>
      <c r="B93809">
        <f>TEXT(93808, "[$-0E0000]yyyy-mm-dd")</f>
        <v/>
      </c>
    </row>
    <row r="93810">
      <c r="A93810" s="1" t="n">
        <v>93809</v>
      </c>
      <c r="B93810">
        <f>TEXT(93809, "[$-0E0000]yyyy-mm-dd")</f>
        <v/>
      </c>
    </row>
    <row r="93811">
      <c r="A93811" s="1" t="n">
        <v>93810</v>
      </c>
      <c r="B93811">
        <f>TEXT(93810, "[$-0E0000]yyyy-mm-dd")</f>
        <v/>
      </c>
    </row>
    <row r="93812">
      <c r="A93812" s="1" t="n">
        <v>93811</v>
      </c>
      <c r="B93812">
        <f>TEXT(93811, "[$-0E0000]yyyy-mm-dd")</f>
        <v/>
      </c>
    </row>
    <row r="93813">
      <c r="A93813" s="1" t="n">
        <v>93812</v>
      </c>
      <c r="B93813">
        <f>TEXT(93812, "[$-0E0000]yyyy-mm-dd")</f>
        <v/>
      </c>
    </row>
    <row r="93814">
      <c r="A93814" s="1" t="n">
        <v>93813</v>
      </c>
      <c r="B93814">
        <f>TEXT(93813, "[$-0E0000]yyyy-mm-dd")</f>
        <v/>
      </c>
    </row>
    <row r="93815">
      <c r="A93815" s="1" t="n">
        <v>93814</v>
      </c>
      <c r="B93815">
        <f>TEXT(93814, "[$-0E0000]yyyy-mm-dd")</f>
        <v/>
      </c>
    </row>
    <row r="93816">
      <c r="A93816" s="1" t="n">
        <v>93815</v>
      </c>
      <c r="B93816">
        <f>TEXT(93815, "[$-0E0000]yyyy-mm-dd")</f>
        <v/>
      </c>
    </row>
    <row r="93817">
      <c r="A93817" s="1" t="n">
        <v>93816</v>
      </c>
      <c r="B93817">
        <f>TEXT(93816, "[$-0E0000]yyyy-mm-dd")</f>
        <v/>
      </c>
    </row>
    <row r="93818">
      <c r="A93818" s="1" t="n">
        <v>93817</v>
      </c>
      <c r="B93818">
        <f>TEXT(93817, "[$-0E0000]yyyy-mm-dd")</f>
        <v/>
      </c>
    </row>
    <row r="93819">
      <c r="A93819" s="1" t="n">
        <v>93818</v>
      </c>
      <c r="B93819">
        <f>TEXT(93818, "[$-0E0000]yyyy-mm-dd")</f>
        <v/>
      </c>
    </row>
    <row r="93820">
      <c r="A93820" s="1" t="n">
        <v>93819</v>
      </c>
      <c r="B93820">
        <f>TEXT(93819, "[$-0E0000]yyyy-mm-dd")</f>
        <v/>
      </c>
    </row>
    <row r="93821">
      <c r="A93821" s="1" t="n">
        <v>93820</v>
      </c>
      <c r="B93821">
        <f>TEXT(93820, "[$-0E0000]yyyy-mm-dd")</f>
        <v/>
      </c>
    </row>
    <row r="93822">
      <c r="A93822" s="1" t="n">
        <v>93821</v>
      </c>
      <c r="B93822">
        <f>TEXT(93821, "[$-0E0000]yyyy-mm-dd")</f>
        <v/>
      </c>
    </row>
    <row r="93823">
      <c r="A93823" s="1" t="n">
        <v>93822</v>
      </c>
      <c r="B93823">
        <f>TEXT(93822, "[$-0E0000]yyyy-mm-dd")</f>
        <v/>
      </c>
    </row>
    <row r="93824">
      <c r="A93824" s="1" t="n">
        <v>93823</v>
      </c>
      <c r="B93824">
        <f>TEXT(93823, "[$-0E0000]yyyy-mm-dd")</f>
        <v/>
      </c>
    </row>
    <row r="93825">
      <c r="A93825" s="1" t="n">
        <v>93824</v>
      </c>
      <c r="B93825">
        <f>TEXT(93824, "[$-0E0000]yyyy-mm-dd")</f>
        <v/>
      </c>
    </row>
    <row r="93826">
      <c r="A93826" s="1" t="n">
        <v>93825</v>
      </c>
      <c r="B93826">
        <f>TEXT(93825, "[$-0E0000]yyyy-mm-dd")</f>
        <v/>
      </c>
    </row>
    <row r="93827">
      <c r="A93827" s="1" t="n">
        <v>93826</v>
      </c>
      <c r="B93827">
        <f>TEXT(93826, "[$-0E0000]yyyy-mm-dd")</f>
        <v/>
      </c>
    </row>
    <row r="93828">
      <c r="A93828" s="1" t="n">
        <v>93827</v>
      </c>
      <c r="B93828">
        <f>TEXT(93827, "[$-0E0000]yyyy-mm-dd")</f>
        <v/>
      </c>
    </row>
    <row r="93829">
      <c r="A93829" s="1" t="n">
        <v>93828</v>
      </c>
      <c r="B93829">
        <f>TEXT(93828, "[$-0E0000]yyyy-mm-dd")</f>
        <v/>
      </c>
    </row>
    <row r="93830">
      <c r="A93830" s="1" t="n">
        <v>93829</v>
      </c>
      <c r="B93830">
        <f>TEXT(93829, "[$-0E0000]yyyy-mm-dd")</f>
        <v/>
      </c>
    </row>
    <row r="93831">
      <c r="A93831" s="1" t="n">
        <v>93830</v>
      </c>
      <c r="B93831">
        <f>TEXT(93830, "[$-0E0000]yyyy-mm-dd")</f>
        <v/>
      </c>
    </row>
    <row r="93832">
      <c r="A93832" s="1" t="n">
        <v>93831</v>
      </c>
      <c r="B93832">
        <f>TEXT(93831, "[$-0E0000]yyyy-mm-dd")</f>
        <v/>
      </c>
    </row>
    <row r="93833">
      <c r="A93833" s="1" t="n">
        <v>93832</v>
      </c>
      <c r="B93833">
        <f>TEXT(93832, "[$-0E0000]yyyy-mm-dd")</f>
        <v/>
      </c>
    </row>
    <row r="93834">
      <c r="A93834" s="1" t="n">
        <v>93833</v>
      </c>
      <c r="B93834">
        <f>TEXT(93833, "[$-0E0000]yyyy-mm-dd")</f>
        <v/>
      </c>
    </row>
    <row r="93835">
      <c r="A93835" s="1" t="n">
        <v>93834</v>
      </c>
      <c r="B93835">
        <f>TEXT(93834, "[$-0E0000]yyyy-mm-dd")</f>
        <v/>
      </c>
    </row>
    <row r="93836">
      <c r="A93836" s="1" t="n">
        <v>93835</v>
      </c>
      <c r="B93836">
        <f>TEXT(93835, "[$-0E0000]yyyy-mm-dd")</f>
        <v/>
      </c>
    </row>
    <row r="93837">
      <c r="A93837" s="1" t="n">
        <v>93836</v>
      </c>
      <c r="B93837">
        <f>TEXT(93836, "[$-0E0000]yyyy-mm-dd")</f>
        <v/>
      </c>
    </row>
    <row r="93838">
      <c r="A93838" s="1" t="n">
        <v>93837</v>
      </c>
      <c r="B93838">
        <f>TEXT(93837, "[$-0E0000]yyyy-mm-dd")</f>
        <v/>
      </c>
    </row>
    <row r="93839">
      <c r="A93839" s="1" t="n">
        <v>93838</v>
      </c>
      <c r="B93839">
        <f>TEXT(93838, "[$-0E0000]yyyy-mm-dd")</f>
        <v/>
      </c>
    </row>
    <row r="93840">
      <c r="A93840" s="1" t="n">
        <v>93839</v>
      </c>
      <c r="B93840">
        <f>TEXT(93839, "[$-0E0000]yyyy-mm-dd")</f>
        <v/>
      </c>
    </row>
    <row r="93841">
      <c r="A93841" s="1" t="n">
        <v>93840</v>
      </c>
      <c r="B93841">
        <f>TEXT(93840, "[$-0E0000]yyyy-mm-dd")</f>
        <v/>
      </c>
    </row>
    <row r="93842">
      <c r="A93842" s="1" t="n">
        <v>93841</v>
      </c>
      <c r="B93842">
        <f>TEXT(93841, "[$-0E0000]yyyy-mm-dd")</f>
        <v/>
      </c>
    </row>
    <row r="93843">
      <c r="A93843" s="1" t="n">
        <v>93842</v>
      </c>
      <c r="B93843">
        <f>TEXT(93842, "[$-0E0000]yyyy-mm-dd")</f>
        <v/>
      </c>
    </row>
    <row r="93844">
      <c r="A93844" s="1" t="n">
        <v>93843</v>
      </c>
      <c r="B93844">
        <f>TEXT(93843, "[$-0E0000]yyyy-mm-dd")</f>
        <v/>
      </c>
    </row>
    <row r="93845">
      <c r="A93845" s="1" t="n">
        <v>93844</v>
      </c>
      <c r="B93845">
        <f>TEXT(93844, "[$-0E0000]yyyy-mm-dd")</f>
        <v/>
      </c>
    </row>
    <row r="93846">
      <c r="A93846" s="1" t="n">
        <v>93845</v>
      </c>
      <c r="B93846">
        <f>TEXT(93845, "[$-0E0000]yyyy-mm-dd")</f>
        <v/>
      </c>
    </row>
    <row r="93847">
      <c r="A93847" s="1" t="n">
        <v>93846</v>
      </c>
      <c r="B93847">
        <f>TEXT(93846, "[$-0E0000]yyyy-mm-dd")</f>
        <v/>
      </c>
    </row>
    <row r="93848">
      <c r="A93848" s="1" t="n">
        <v>93847</v>
      </c>
      <c r="B93848">
        <f>TEXT(93847, "[$-0E0000]yyyy-mm-dd")</f>
        <v/>
      </c>
    </row>
    <row r="93849">
      <c r="A93849" s="1" t="n">
        <v>93848</v>
      </c>
      <c r="B93849">
        <f>TEXT(93848, "[$-0E0000]yyyy-mm-dd")</f>
        <v/>
      </c>
    </row>
    <row r="93850">
      <c r="A93850" s="1" t="n">
        <v>93849</v>
      </c>
      <c r="B93850">
        <f>TEXT(93849, "[$-0E0000]yyyy-mm-dd")</f>
        <v/>
      </c>
    </row>
    <row r="93851">
      <c r="A93851" s="1" t="n">
        <v>93850</v>
      </c>
      <c r="B93851">
        <f>TEXT(93850, "[$-0E0000]yyyy-mm-dd")</f>
        <v/>
      </c>
    </row>
    <row r="93852">
      <c r="A93852" s="1" t="n">
        <v>93851</v>
      </c>
      <c r="B93852">
        <f>TEXT(93851, "[$-0E0000]yyyy-mm-dd")</f>
        <v/>
      </c>
    </row>
    <row r="93853">
      <c r="A93853" s="1" t="n">
        <v>93852</v>
      </c>
      <c r="B93853">
        <f>TEXT(93852, "[$-0E0000]yyyy-mm-dd")</f>
        <v/>
      </c>
    </row>
    <row r="93854">
      <c r="A93854" s="1" t="n">
        <v>93853</v>
      </c>
      <c r="B93854">
        <f>TEXT(93853, "[$-0E0000]yyyy-mm-dd")</f>
        <v/>
      </c>
    </row>
    <row r="93855">
      <c r="A93855" s="1" t="n">
        <v>93854</v>
      </c>
      <c r="B93855">
        <f>TEXT(93854, "[$-0E0000]yyyy-mm-dd")</f>
        <v/>
      </c>
    </row>
    <row r="93856">
      <c r="A93856" s="1" t="n">
        <v>93855</v>
      </c>
      <c r="B93856">
        <f>TEXT(93855, "[$-0E0000]yyyy-mm-dd")</f>
        <v/>
      </c>
    </row>
    <row r="93857">
      <c r="A93857" s="1" t="n">
        <v>93856</v>
      </c>
      <c r="B93857">
        <f>TEXT(93856, "[$-0E0000]yyyy-mm-dd")</f>
        <v/>
      </c>
    </row>
    <row r="93858">
      <c r="A93858" s="1" t="n">
        <v>93857</v>
      </c>
      <c r="B93858">
        <f>TEXT(93857, "[$-0E0000]yyyy-mm-dd")</f>
        <v/>
      </c>
    </row>
    <row r="93859">
      <c r="A93859" s="1" t="n">
        <v>93858</v>
      </c>
      <c r="B93859">
        <f>TEXT(93858, "[$-0E0000]yyyy-mm-dd")</f>
        <v/>
      </c>
    </row>
    <row r="93860">
      <c r="A93860" s="1" t="n">
        <v>93859</v>
      </c>
      <c r="B93860">
        <f>TEXT(93859, "[$-0E0000]yyyy-mm-dd")</f>
        <v/>
      </c>
    </row>
    <row r="93861">
      <c r="A93861" s="1" t="n">
        <v>93860</v>
      </c>
      <c r="B93861">
        <f>TEXT(93860, "[$-0E0000]yyyy-mm-dd")</f>
        <v/>
      </c>
    </row>
    <row r="93862">
      <c r="A93862" s="1" t="n">
        <v>93861</v>
      </c>
      <c r="B93862">
        <f>TEXT(93861, "[$-0E0000]yyyy-mm-dd")</f>
        <v/>
      </c>
    </row>
    <row r="93863">
      <c r="A93863" s="1" t="n">
        <v>93862</v>
      </c>
      <c r="B93863">
        <f>TEXT(93862, "[$-0E0000]yyyy-mm-dd")</f>
        <v/>
      </c>
    </row>
    <row r="93864">
      <c r="A93864" s="1" t="n">
        <v>93863</v>
      </c>
      <c r="B93864">
        <f>TEXT(93863, "[$-0E0000]yyyy-mm-dd")</f>
        <v/>
      </c>
    </row>
    <row r="93865">
      <c r="A93865" s="1" t="n">
        <v>93864</v>
      </c>
      <c r="B93865">
        <f>TEXT(93864, "[$-0E0000]yyyy-mm-dd")</f>
        <v/>
      </c>
    </row>
    <row r="93866">
      <c r="A93866" s="1" t="n">
        <v>93865</v>
      </c>
      <c r="B93866">
        <f>TEXT(93865, "[$-0E0000]yyyy-mm-dd")</f>
        <v/>
      </c>
    </row>
    <row r="93867">
      <c r="A93867" s="1" t="n">
        <v>93866</v>
      </c>
      <c r="B93867">
        <f>TEXT(93866, "[$-0E0000]yyyy-mm-dd")</f>
        <v/>
      </c>
    </row>
    <row r="93868">
      <c r="A93868" s="1" t="n">
        <v>93867</v>
      </c>
      <c r="B93868">
        <f>TEXT(93867, "[$-0E0000]yyyy-mm-dd")</f>
        <v/>
      </c>
    </row>
    <row r="93869">
      <c r="A93869" s="1" t="n">
        <v>93868</v>
      </c>
      <c r="B93869">
        <f>TEXT(93868, "[$-0E0000]yyyy-mm-dd")</f>
        <v/>
      </c>
    </row>
    <row r="93870">
      <c r="A93870" s="1" t="n">
        <v>93869</v>
      </c>
      <c r="B93870">
        <f>TEXT(93869, "[$-0E0000]yyyy-mm-dd")</f>
        <v/>
      </c>
    </row>
    <row r="93871">
      <c r="A93871" s="1" t="n">
        <v>93870</v>
      </c>
      <c r="B93871">
        <f>TEXT(93870, "[$-0E0000]yyyy-mm-dd")</f>
        <v/>
      </c>
    </row>
    <row r="93872">
      <c r="A93872" s="1" t="n">
        <v>93871</v>
      </c>
      <c r="B93872">
        <f>TEXT(93871, "[$-0E0000]yyyy-mm-dd")</f>
        <v/>
      </c>
    </row>
    <row r="93873">
      <c r="A93873" s="1" t="n">
        <v>93872</v>
      </c>
      <c r="B93873">
        <f>TEXT(93872, "[$-0E0000]yyyy-mm-dd")</f>
        <v/>
      </c>
    </row>
    <row r="93874">
      <c r="A93874" s="1" t="n">
        <v>93873</v>
      </c>
      <c r="B93874">
        <f>TEXT(93873, "[$-0E0000]yyyy-mm-dd")</f>
        <v/>
      </c>
    </row>
    <row r="93875">
      <c r="A93875" s="1" t="n">
        <v>93874</v>
      </c>
      <c r="B93875">
        <f>TEXT(93874, "[$-0E0000]yyyy-mm-dd")</f>
        <v/>
      </c>
    </row>
    <row r="93876">
      <c r="A93876" s="1" t="n">
        <v>93875</v>
      </c>
      <c r="B93876">
        <f>TEXT(93875, "[$-0E0000]yyyy-mm-dd")</f>
        <v/>
      </c>
    </row>
    <row r="93877">
      <c r="A93877" s="1" t="n">
        <v>93876</v>
      </c>
      <c r="B93877">
        <f>TEXT(93876, "[$-0E0000]yyyy-mm-dd")</f>
        <v/>
      </c>
    </row>
    <row r="93878">
      <c r="A93878" s="1" t="n">
        <v>93877</v>
      </c>
      <c r="B93878">
        <f>TEXT(93877, "[$-0E0000]yyyy-mm-dd")</f>
        <v/>
      </c>
    </row>
    <row r="93879">
      <c r="A93879" s="1" t="n">
        <v>93878</v>
      </c>
      <c r="B93879">
        <f>TEXT(93878, "[$-0E0000]yyyy-mm-dd")</f>
        <v/>
      </c>
    </row>
    <row r="93880">
      <c r="A93880" s="1" t="n">
        <v>93879</v>
      </c>
      <c r="B93880">
        <f>TEXT(93879, "[$-0E0000]yyyy-mm-dd")</f>
        <v/>
      </c>
    </row>
    <row r="93881">
      <c r="A93881" s="1" t="n">
        <v>93880</v>
      </c>
      <c r="B93881">
        <f>TEXT(93880, "[$-0E0000]yyyy-mm-dd")</f>
        <v/>
      </c>
    </row>
    <row r="93882">
      <c r="A93882" s="1" t="n">
        <v>93881</v>
      </c>
      <c r="B93882">
        <f>TEXT(93881, "[$-0E0000]yyyy-mm-dd")</f>
        <v/>
      </c>
    </row>
    <row r="93883">
      <c r="A93883" s="1" t="n">
        <v>93882</v>
      </c>
      <c r="B93883">
        <f>TEXT(93882, "[$-0E0000]yyyy-mm-dd")</f>
        <v/>
      </c>
    </row>
    <row r="93884">
      <c r="A93884" s="1" t="n">
        <v>93883</v>
      </c>
      <c r="B93884">
        <f>TEXT(93883, "[$-0E0000]yyyy-mm-dd")</f>
        <v/>
      </c>
    </row>
    <row r="93885">
      <c r="A93885" s="1" t="n">
        <v>93884</v>
      </c>
      <c r="B93885">
        <f>TEXT(93884, "[$-0E0000]yyyy-mm-dd")</f>
        <v/>
      </c>
    </row>
    <row r="93886">
      <c r="A93886" s="1" t="n">
        <v>93885</v>
      </c>
      <c r="B93886">
        <f>TEXT(93885, "[$-0E0000]yyyy-mm-dd")</f>
        <v/>
      </c>
    </row>
    <row r="93887">
      <c r="A93887" s="1" t="n">
        <v>93886</v>
      </c>
      <c r="B93887">
        <f>TEXT(93886, "[$-0E0000]yyyy-mm-dd")</f>
        <v/>
      </c>
    </row>
    <row r="93888">
      <c r="A93888" s="1" t="n">
        <v>93887</v>
      </c>
      <c r="B93888">
        <f>TEXT(93887, "[$-0E0000]yyyy-mm-dd")</f>
        <v/>
      </c>
    </row>
    <row r="93889">
      <c r="A93889" s="1" t="n">
        <v>93888</v>
      </c>
      <c r="B93889">
        <f>TEXT(93888, "[$-0E0000]yyyy-mm-dd")</f>
        <v/>
      </c>
    </row>
    <row r="93890">
      <c r="A93890" s="1" t="n">
        <v>93889</v>
      </c>
      <c r="B93890">
        <f>TEXT(93889, "[$-0E0000]yyyy-mm-dd")</f>
        <v/>
      </c>
    </row>
    <row r="93891">
      <c r="A93891" s="1" t="n">
        <v>93890</v>
      </c>
      <c r="B93891">
        <f>TEXT(93890, "[$-0E0000]yyyy-mm-dd")</f>
        <v/>
      </c>
    </row>
    <row r="93892">
      <c r="A93892" s="1" t="n">
        <v>93891</v>
      </c>
      <c r="B93892">
        <f>TEXT(93891, "[$-0E0000]yyyy-mm-dd")</f>
        <v/>
      </c>
    </row>
    <row r="93893">
      <c r="A93893" s="1" t="n">
        <v>93892</v>
      </c>
      <c r="B93893">
        <f>TEXT(93892, "[$-0E0000]yyyy-mm-dd")</f>
        <v/>
      </c>
    </row>
    <row r="93894">
      <c r="A93894" s="1" t="n">
        <v>93893</v>
      </c>
      <c r="B93894">
        <f>TEXT(93893, "[$-0E0000]yyyy-mm-dd")</f>
        <v/>
      </c>
    </row>
    <row r="93895">
      <c r="A93895" s="1" t="n">
        <v>93894</v>
      </c>
      <c r="B93895">
        <f>TEXT(93894, "[$-0E0000]yyyy-mm-dd")</f>
        <v/>
      </c>
    </row>
    <row r="93896">
      <c r="A93896" s="1" t="n">
        <v>93895</v>
      </c>
      <c r="B93896">
        <f>TEXT(93895, "[$-0E0000]yyyy-mm-dd")</f>
        <v/>
      </c>
    </row>
    <row r="93897">
      <c r="A93897" s="1" t="n">
        <v>93896</v>
      </c>
      <c r="B93897">
        <f>TEXT(93896, "[$-0E0000]yyyy-mm-dd")</f>
        <v/>
      </c>
    </row>
    <row r="93898">
      <c r="A93898" s="1" t="n">
        <v>93897</v>
      </c>
      <c r="B93898">
        <f>TEXT(93897, "[$-0E0000]yyyy-mm-dd")</f>
        <v/>
      </c>
    </row>
    <row r="93899">
      <c r="A93899" s="1" t="n">
        <v>93898</v>
      </c>
      <c r="B93899">
        <f>TEXT(93898, "[$-0E0000]yyyy-mm-dd")</f>
        <v/>
      </c>
    </row>
    <row r="93900">
      <c r="A93900" s="1" t="n">
        <v>93899</v>
      </c>
      <c r="B93900">
        <f>TEXT(93899, "[$-0E0000]yyyy-mm-dd")</f>
        <v/>
      </c>
    </row>
    <row r="93901">
      <c r="A93901" s="1" t="n">
        <v>93900</v>
      </c>
      <c r="B93901">
        <f>TEXT(93900, "[$-0E0000]yyyy-mm-dd")</f>
        <v/>
      </c>
    </row>
    <row r="93902">
      <c r="A93902" s="1" t="n">
        <v>93901</v>
      </c>
      <c r="B93902">
        <f>TEXT(93901, "[$-0E0000]yyyy-mm-dd")</f>
        <v/>
      </c>
    </row>
    <row r="93903">
      <c r="A93903" s="1" t="n">
        <v>93902</v>
      </c>
      <c r="B93903">
        <f>TEXT(93902, "[$-0E0000]yyyy-mm-dd")</f>
        <v/>
      </c>
    </row>
    <row r="93904">
      <c r="A93904" s="1" t="n">
        <v>93903</v>
      </c>
      <c r="B93904">
        <f>TEXT(93903, "[$-0E0000]yyyy-mm-dd")</f>
        <v/>
      </c>
    </row>
    <row r="93905">
      <c r="A93905" s="1" t="n">
        <v>93904</v>
      </c>
      <c r="B93905">
        <f>TEXT(93904, "[$-0E0000]yyyy-mm-dd")</f>
        <v/>
      </c>
    </row>
    <row r="93906">
      <c r="A93906" s="1" t="n">
        <v>93905</v>
      </c>
      <c r="B93906">
        <f>TEXT(93905, "[$-0E0000]yyyy-mm-dd")</f>
        <v/>
      </c>
    </row>
    <row r="93907">
      <c r="A93907" s="1" t="n">
        <v>93906</v>
      </c>
      <c r="B93907">
        <f>TEXT(93906, "[$-0E0000]yyyy-mm-dd")</f>
        <v/>
      </c>
    </row>
    <row r="93908">
      <c r="A93908" s="1" t="n">
        <v>93907</v>
      </c>
      <c r="B93908">
        <f>TEXT(93907, "[$-0E0000]yyyy-mm-dd")</f>
        <v/>
      </c>
    </row>
    <row r="93909">
      <c r="A93909" s="1" t="n">
        <v>93908</v>
      </c>
      <c r="B93909">
        <f>TEXT(93908, "[$-0E0000]yyyy-mm-dd")</f>
        <v/>
      </c>
    </row>
    <row r="93910">
      <c r="A93910" s="1" t="n">
        <v>93909</v>
      </c>
      <c r="B93910">
        <f>TEXT(93909, "[$-0E0000]yyyy-mm-dd")</f>
        <v/>
      </c>
    </row>
    <row r="93911">
      <c r="A93911" s="1" t="n">
        <v>93910</v>
      </c>
      <c r="B93911">
        <f>TEXT(93910, "[$-0E0000]yyyy-mm-dd")</f>
        <v/>
      </c>
    </row>
    <row r="93912">
      <c r="A93912" s="1" t="n">
        <v>93911</v>
      </c>
      <c r="B93912">
        <f>TEXT(93911, "[$-0E0000]yyyy-mm-dd")</f>
        <v/>
      </c>
    </row>
    <row r="93913">
      <c r="A93913" s="1" t="n">
        <v>93912</v>
      </c>
      <c r="B93913">
        <f>TEXT(93912, "[$-0E0000]yyyy-mm-dd")</f>
        <v/>
      </c>
    </row>
    <row r="93914">
      <c r="A93914" s="1" t="n">
        <v>93913</v>
      </c>
      <c r="B93914">
        <f>TEXT(93913, "[$-0E0000]yyyy-mm-dd")</f>
        <v/>
      </c>
    </row>
    <row r="93915">
      <c r="A93915" s="1" t="n">
        <v>93914</v>
      </c>
      <c r="B93915">
        <f>TEXT(93914, "[$-0E0000]yyyy-mm-dd")</f>
        <v/>
      </c>
    </row>
    <row r="93916">
      <c r="A93916" s="1" t="n">
        <v>93915</v>
      </c>
      <c r="B93916">
        <f>TEXT(93915, "[$-0E0000]yyyy-mm-dd")</f>
        <v/>
      </c>
    </row>
    <row r="93917">
      <c r="A93917" s="1" t="n">
        <v>93916</v>
      </c>
      <c r="B93917">
        <f>TEXT(93916, "[$-0E0000]yyyy-mm-dd")</f>
        <v/>
      </c>
    </row>
    <row r="93918">
      <c r="A93918" s="1" t="n">
        <v>93917</v>
      </c>
      <c r="B93918">
        <f>TEXT(93917, "[$-0E0000]yyyy-mm-dd")</f>
        <v/>
      </c>
    </row>
    <row r="93919">
      <c r="A93919" s="1" t="n">
        <v>93918</v>
      </c>
      <c r="B93919">
        <f>TEXT(93918, "[$-0E0000]yyyy-mm-dd")</f>
        <v/>
      </c>
    </row>
    <row r="93920">
      <c r="A93920" s="1" t="n">
        <v>93919</v>
      </c>
      <c r="B93920">
        <f>TEXT(93919, "[$-0E0000]yyyy-mm-dd")</f>
        <v/>
      </c>
    </row>
    <row r="93921">
      <c r="A93921" s="1" t="n">
        <v>93920</v>
      </c>
      <c r="B93921">
        <f>TEXT(93920, "[$-0E0000]yyyy-mm-dd")</f>
        <v/>
      </c>
    </row>
    <row r="93922">
      <c r="A93922" s="1" t="n">
        <v>93921</v>
      </c>
      <c r="B93922">
        <f>TEXT(93921, "[$-0E0000]yyyy-mm-dd")</f>
        <v/>
      </c>
    </row>
    <row r="93923">
      <c r="A93923" s="1" t="n">
        <v>93922</v>
      </c>
      <c r="B93923">
        <f>TEXT(93922, "[$-0E0000]yyyy-mm-dd")</f>
        <v/>
      </c>
    </row>
    <row r="93924">
      <c r="A93924" s="1" t="n">
        <v>93923</v>
      </c>
      <c r="B93924">
        <f>TEXT(93923, "[$-0E0000]yyyy-mm-dd")</f>
        <v/>
      </c>
    </row>
    <row r="93925">
      <c r="A93925" s="1" t="n">
        <v>93924</v>
      </c>
      <c r="B93925">
        <f>TEXT(93924, "[$-0E0000]yyyy-mm-dd")</f>
        <v/>
      </c>
    </row>
    <row r="93926">
      <c r="A93926" s="1" t="n">
        <v>93925</v>
      </c>
      <c r="B93926">
        <f>TEXT(93925, "[$-0E0000]yyyy-mm-dd")</f>
        <v/>
      </c>
    </row>
    <row r="93927">
      <c r="A93927" s="1" t="n">
        <v>93926</v>
      </c>
      <c r="B93927">
        <f>TEXT(93926, "[$-0E0000]yyyy-mm-dd")</f>
        <v/>
      </c>
    </row>
    <row r="93928">
      <c r="A93928" s="1" t="n">
        <v>93927</v>
      </c>
      <c r="B93928">
        <f>TEXT(93927, "[$-0E0000]yyyy-mm-dd")</f>
        <v/>
      </c>
    </row>
    <row r="93929">
      <c r="A93929" s="1" t="n">
        <v>93928</v>
      </c>
      <c r="B93929">
        <f>TEXT(93928, "[$-0E0000]yyyy-mm-dd")</f>
        <v/>
      </c>
    </row>
    <row r="93930">
      <c r="A93930" s="1" t="n">
        <v>93929</v>
      </c>
      <c r="B93930">
        <f>TEXT(93929, "[$-0E0000]yyyy-mm-dd")</f>
        <v/>
      </c>
    </row>
    <row r="93931">
      <c r="A93931" s="1" t="n">
        <v>93930</v>
      </c>
      <c r="B93931">
        <f>TEXT(93930, "[$-0E0000]yyyy-mm-dd")</f>
        <v/>
      </c>
    </row>
    <row r="93932">
      <c r="A93932" s="1" t="n">
        <v>93931</v>
      </c>
      <c r="B93932">
        <f>TEXT(93931, "[$-0E0000]yyyy-mm-dd")</f>
        <v/>
      </c>
    </row>
    <row r="93933">
      <c r="A93933" s="1" t="n">
        <v>93932</v>
      </c>
      <c r="B93933">
        <f>TEXT(93932, "[$-0E0000]yyyy-mm-dd")</f>
        <v/>
      </c>
    </row>
    <row r="93934">
      <c r="A93934" s="1" t="n">
        <v>93933</v>
      </c>
      <c r="B93934">
        <f>TEXT(93933, "[$-0E0000]yyyy-mm-dd")</f>
        <v/>
      </c>
    </row>
    <row r="93935">
      <c r="A93935" s="1" t="n">
        <v>93934</v>
      </c>
      <c r="B93935">
        <f>TEXT(93934, "[$-0E0000]yyyy-mm-dd")</f>
        <v/>
      </c>
    </row>
    <row r="93936">
      <c r="A93936" s="1" t="n">
        <v>93935</v>
      </c>
      <c r="B93936">
        <f>TEXT(93935, "[$-0E0000]yyyy-mm-dd")</f>
        <v/>
      </c>
    </row>
    <row r="93937">
      <c r="A93937" s="1" t="n">
        <v>93936</v>
      </c>
      <c r="B93937">
        <f>TEXT(93936, "[$-0E0000]yyyy-mm-dd")</f>
        <v/>
      </c>
    </row>
    <row r="93938">
      <c r="A93938" s="1" t="n">
        <v>93937</v>
      </c>
      <c r="B93938">
        <f>TEXT(93937, "[$-0E0000]yyyy-mm-dd")</f>
        <v/>
      </c>
    </row>
    <row r="93939">
      <c r="A93939" s="1" t="n">
        <v>93938</v>
      </c>
      <c r="B93939">
        <f>TEXT(93938, "[$-0E0000]yyyy-mm-dd")</f>
        <v/>
      </c>
    </row>
    <row r="93940">
      <c r="A93940" s="1" t="n">
        <v>93939</v>
      </c>
      <c r="B93940">
        <f>TEXT(93939, "[$-0E0000]yyyy-mm-dd")</f>
        <v/>
      </c>
    </row>
    <row r="93941">
      <c r="A93941" s="1" t="n">
        <v>93940</v>
      </c>
      <c r="B93941">
        <f>TEXT(93940, "[$-0E0000]yyyy-mm-dd")</f>
        <v/>
      </c>
    </row>
    <row r="93942">
      <c r="A93942" s="1" t="n">
        <v>93941</v>
      </c>
      <c r="B93942">
        <f>TEXT(93941, "[$-0E0000]yyyy-mm-dd")</f>
        <v/>
      </c>
    </row>
    <row r="93943">
      <c r="A93943" s="1" t="n">
        <v>93942</v>
      </c>
      <c r="B93943">
        <f>TEXT(93942, "[$-0E0000]yyyy-mm-dd")</f>
        <v/>
      </c>
    </row>
    <row r="93944">
      <c r="A93944" s="1" t="n">
        <v>93943</v>
      </c>
      <c r="B93944">
        <f>TEXT(93943, "[$-0E0000]yyyy-mm-dd")</f>
        <v/>
      </c>
    </row>
    <row r="93945">
      <c r="A93945" s="1" t="n">
        <v>93944</v>
      </c>
      <c r="B93945">
        <f>TEXT(93944, "[$-0E0000]yyyy-mm-dd")</f>
        <v/>
      </c>
    </row>
    <row r="93946">
      <c r="A93946" s="1" t="n">
        <v>93945</v>
      </c>
      <c r="B93946">
        <f>TEXT(93945, "[$-0E0000]yyyy-mm-dd")</f>
        <v/>
      </c>
    </row>
    <row r="93947">
      <c r="A93947" s="1" t="n">
        <v>93946</v>
      </c>
      <c r="B93947">
        <f>TEXT(93946, "[$-0E0000]yyyy-mm-dd")</f>
        <v/>
      </c>
    </row>
    <row r="93948">
      <c r="A93948" s="1" t="n">
        <v>93947</v>
      </c>
      <c r="B93948">
        <f>TEXT(93947, "[$-0E0000]yyyy-mm-dd")</f>
        <v/>
      </c>
    </row>
    <row r="93949">
      <c r="A93949" s="1" t="n">
        <v>93948</v>
      </c>
      <c r="B93949">
        <f>TEXT(93948, "[$-0E0000]yyyy-mm-dd")</f>
        <v/>
      </c>
    </row>
    <row r="93950">
      <c r="A93950" s="1" t="n">
        <v>93949</v>
      </c>
      <c r="B93950">
        <f>TEXT(93949, "[$-0E0000]yyyy-mm-dd")</f>
        <v/>
      </c>
    </row>
    <row r="93951">
      <c r="A93951" s="1" t="n">
        <v>93950</v>
      </c>
      <c r="B93951">
        <f>TEXT(93950, "[$-0E0000]yyyy-mm-dd")</f>
        <v/>
      </c>
    </row>
    <row r="93952">
      <c r="A93952" s="1" t="n">
        <v>93951</v>
      </c>
      <c r="B93952">
        <f>TEXT(93951, "[$-0E0000]yyyy-mm-dd")</f>
        <v/>
      </c>
    </row>
    <row r="93953">
      <c r="A93953" s="1" t="n">
        <v>93952</v>
      </c>
      <c r="B93953">
        <f>TEXT(93952, "[$-0E0000]yyyy-mm-dd")</f>
        <v/>
      </c>
    </row>
    <row r="93954">
      <c r="A93954" s="1" t="n">
        <v>93953</v>
      </c>
      <c r="B93954">
        <f>TEXT(93953, "[$-0E0000]yyyy-mm-dd")</f>
        <v/>
      </c>
    </row>
    <row r="93955">
      <c r="A93955" s="1" t="n">
        <v>93954</v>
      </c>
      <c r="B93955">
        <f>TEXT(93954, "[$-0E0000]yyyy-mm-dd")</f>
        <v/>
      </c>
    </row>
    <row r="93956">
      <c r="A93956" s="1" t="n">
        <v>93955</v>
      </c>
      <c r="B93956">
        <f>TEXT(93955, "[$-0E0000]yyyy-mm-dd")</f>
        <v/>
      </c>
    </row>
    <row r="93957">
      <c r="A93957" s="1" t="n">
        <v>93956</v>
      </c>
      <c r="B93957">
        <f>TEXT(93956, "[$-0E0000]yyyy-mm-dd")</f>
        <v/>
      </c>
    </row>
    <row r="93958">
      <c r="A93958" s="1" t="n">
        <v>93957</v>
      </c>
      <c r="B93958">
        <f>TEXT(93957, "[$-0E0000]yyyy-mm-dd")</f>
        <v/>
      </c>
    </row>
    <row r="93959">
      <c r="A93959" s="1" t="n">
        <v>93958</v>
      </c>
      <c r="B93959">
        <f>TEXT(93958, "[$-0E0000]yyyy-mm-dd")</f>
        <v/>
      </c>
    </row>
    <row r="93960">
      <c r="A93960" s="1" t="n">
        <v>93959</v>
      </c>
      <c r="B93960">
        <f>TEXT(93959, "[$-0E0000]yyyy-mm-dd")</f>
        <v/>
      </c>
    </row>
    <row r="93961">
      <c r="A93961" s="1" t="n">
        <v>93960</v>
      </c>
      <c r="B93961">
        <f>TEXT(93960, "[$-0E0000]yyyy-mm-dd")</f>
        <v/>
      </c>
    </row>
    <row r="93962">
      <c r="A93962" s="1" t="n">
        <v>93961</v>
      </c>
      <c r="B93962">
        <f>TEXT(93961, "[$-0E0000]yyyy-mm-dd")</f>
        <v/>
      </c>
    </row>
    <row r="93963">
      <c r="A93963" s="1" t="n">
        <v>93962</v>
      </c>
      <c r="B93963">
        <f>TEXT(93962, "[$-0E0000]yyyy-mm-dd")</f>
        <v/>
      </c>
    </row>
    <row r="93964">
      <c r="A93964" s="1" t="n">
        <v>93963</v>
      </c>
      <c r="B93964">
        <f>TEXT(93963, "[$-0E0000]yyyy-mm-dd")</f>
        <v/>
      </c>
    </row>
    <row r="93965">
      <c r="A93965" s="1" t="n">
        <v>93964</v>
      </c>
      <c r="B93965">
        <f>TEXT(93964, "[$-0E0000]yyyy-mm-dd")</f>
        <v/>
      </c>
    </row>
    <row r="93966">
      <c r="A93966" s="1" t="n">
        <v>93965</v>
      </c>
      <c r="B93966">
        <f>TEXT(93965, "[$-0E0000]yyyy-mm-dd")</f>
        <v/>
      </c>
    </row>
    <row r="93967">
      <c r="A93967" s="1" t="n">
        <v>93966</v>
      </c>
      <c r="B93967">
        <f>TEXT(93966, "[$-0E0000]yyyy-mm-dd")</f>
        <v/>
      </c>
    </row>
    <row r="93968">
      <c r="A93968" s="1" t="n">
        <v>93967</v>
      </c>
      <c r="B93968">
        <f>TEXT(93967, "[$-0E0000]yyyy-mm-dd")</f>
        <v/>
      </c>
    </row>
    <row r="93969">
      <c r="A93969" s="1" t="n">
        <v>93968</v>
      </c>
      <c r="B93969">
        <f>TEXT(93968, "[$-0E0000]yyyy-mm-dd")</f>
        <v/>
      </c>
    </row>
    <row r="93970">
      <c r="A93970" s="1" t="n">
        <v>93969</v>
      </c>
      <c r="B93970">
        <f>TEXT(93969, "[$-0E0000]yyyy-mm-dd")</f>
        <v/>
      </c>
    </row>
    <row r="93971">
      <c r="A93971" s="1" t="n">
        <v>93970</v>
      </c>
      <c r="B93971">
        <f>TEXT(93970, "[$-0E0000]yyyy-mm-dd")</f>
        <v/>
      </c>
    </row>
    <row r="93972">
      <c r="A93972" s="1" t="n">
        <v>93971</v>
      </c>
      <c r="B93972">
        <f>TEXT(93971, "[$-0E0000]yyyy-mm-dd")</f>
        <v/>
      </c>
    </row>
    <row r="93973">
      <c r="A93973" s="1" t="n">
        <v>93972</v>
      </c>
      <c r="B93973">
        <f>TEXT(93972, "[$-0E0000]yyyy-mm-dd")</f>
        <v/>
      </c>
    </row>
    <row r="93974">
      <c r="A93974" s="1" t="n">
        <v>93973</v>
      </c>
      <c r="B93974">
        <f>TEXT(93973, "[$-0E0000]yyyy-mm-dd")</f>
        <v/>
      </c>
    </row>
    <row r="93975">
      <c r="A93975" s="1" t="n">
        <v>93974</v>
      </c>
      <c r="B93975">
        <f>TEXT(93974, "[$-0E0000]yyyy-mm-dd")</f>
        <v/>
      </c>
    </row>
    <row r="93976">
      <c r="A93976" s="1" t="n">
        <v>93975</v>
      </c>
      <c r="B93976">
        <f>TEXT(93975, "[$-0E0000]yyyy-mm-dd")</f>
        <v/>
      </c>
    </row>
    <row r="93977">
      <c r="A93977" s="1" t="n">
        <v>93976</v>
      </c>
      <c r="B93977">
        <f>TEXT(93976, "[$-0E0000]yyyy-mm-dd")</f>
        <v/>
      </c>
    </row>
    <row r="93978">
      <c r="A93978" s="1" t="n">
        <v>93977</v>
      </c>
      <c r="B93978">
        <f>TEXT(93977, "[$-0E0000]yyyy-mm-dd")</f>
        <v/>
      </c>
    </row>
    <row r="93979">
      <c r="A93979" s="1" t="n">
        <v>93978</v>
      </c>
      <c r="B93979">
        <f>TEXT(93978, "[$-0E0000]yyyy-mm-dd")</f>
        <v/>
      </c>
    </row>
    <row r="93980">
      <c r="A93980" s="1" t="n">
        <v>93979</v>
      </c>
      <c r="B93980">
        <f>TEXT(93979, "[$-0E0000]yyyy-mm-dd")</f>
        <v/>
      </c>
    </row>
    <row r="93981">
      <c r="A93981" s="1" t="n">
        <v>93980</v>
      </c>
      <c r="B93981">
        <f>TEXT(93980, "[$-0E0000]yyyy-mm-dd")</f>
        <v/>
      </c>
    </row>
    <row r="93982">
      <c r="A93982" s="1" t="n">
        <v>93981</v>
      </c>
      <c r="B93982">
        <f>TEXT(93981, "[$-0E0000]yyyy-mm-dd")</f>
        <v/>
      </c>
    </row>
    <row r="93983">
      <c r="A93983" s="1" t="n">
        <v>93982</v>
      </c>
      <c r="B93983">
        <f>TEXT(93982, "[$-0E0000]yyyy-mm-dd")</f>
        <v/>
      </c>
    </row>
    <row r="93984">
      <c r="A93984" s="1" t="n">
        <v>93983</v>
      </c>
      <c r="B93984">
        <f>TEXT(93983, "[$-0E0000]yyyy-mm-dd")</f>
        <v/>
      </c>
    </row>
    <row r="93985">
      <c r="A93985" s="1" t="n">
        <v>93984</v>
      </c>
      <c r="B93985">
        <f>TEXT(93984, "[$-0E0000]yyyy-mm-dd")</f>
        <v/>
      </c>
    </row>
    <row r="93986">
      <c r="A93986" s="1" t="n">
        <v>93985</v>
      </c>
      <c r="B93986">
        <f>TEXT(93985, "[$-0E0000]yyyy-mm-dd")</f>
        <v/>
      </c>
    </row>
    <row r="93987">
      <c r="A93987" s="1" t="n">
        <v>93986</v>
      </c>
      <c r="B93987">
        <f>TEXT(93986, "[$-0E0000]yyyy-mm-dd")</f>
        <v/>
      </c>
    </row>
    <row r="93988">
      <c r="A93988" s="1" t="n">
        <v>93987</v>
      </c>
      <c r="B93988">
        <f>TEXT(93987, "[$-0E0000]yyyy-mm-dd")</f>
        <v/>
      </c>
    </row>
    <row r="93989">
      <c r="A93989" s="1" t="n">
        <v>93988</v>
      </c>
      <c r="B93989">
        <f>TEXT(93988, "[$-0E0000]yyyy-mm-dd")</f>
        <v/>
      </c>
    </row>
    <row r="93990">
      <c r="A93990" s="1" t="n">
        <v>93989</v>
      </c>
      <c r="B93990">
        <f>TEXT(93989, "[$-0E0000]yyyy-mm-dd")</f>
        <v/>
      </c>
    </row>
    <row r="93991">
      <c r="A93991" s="1" t="n">
        <v>93990</v>
      </c>
      <c r="B93991">
        <f>TEXT(93990, "[$-0E0000]yyyy-mm-dd")</f>
        <v/>
      </c>
    </row>
    <row r="93992">
      <c r="A93992" s="1" t="n">
        <v>93991</v>
      </c>
      <c r="B93992">
        <f>TEXT(93991, "[$-0E0000]yyyy-mm-dd")</f>
        <v/>
      </c>
    </row>
    <row r="93993">
      <c r="A93993" s="1" t="n">
        <v>93992</v>
      </c>
      <c r="B93993">
        <f>TEXT(93992, "[$-0E0000]yyyy-mm-dd")</f>
        <v/>
      </c>
    </row>
    <row r="93994">
      <c r="A93994" s="1" t="n">
        <v>93993</v>
      </c>
      <c r="B93994">
        <f>TEXT(93993, "[$-0E0000]yyyy-mm-dd")</f>
        <v/>
      </c>
    </row>
    <row r="93995">
      <c r="A93995" s="1" t="n">
        <v>93994</v>
      </c>
      <c r="B93995">
        <f>TEXT(93994, "[$-0E0000]yyyy-mm-dd")</f>
        <v/>
      </c>
    </row>
    <row r="93996">
      <c r="A93996" s="1" t="n">
        <v>93995</v>
      </c>
      <c r="B93996">
        <f>TEXT(93995, "[$-0E0000]yyyy-mm-dd")</f>
        <v/>
      </c>
    </row>
    <row r="93997">
      <c r="A93997" s="1" t="n">
        <v>93996</v>
      </c>
      <c r="B93997">
        <f>TEXT(93996, "[$-0E0000]yyyy-mm-dd")</f>
        <v/>
      </c>
    </row>
    <row r="93998">
      <c r="A93998" s="1" t="n">
        <v>93997</v>
      </c>
      <c r="B93998">
        <f>TEXT(93997, "[$-0E0000]yyyy-mm-dd")</f>
        <v/>
      </c>
    </row>
    <row r="93999">
      <c r="A93999" s="1" t="n">
        <v>93998</v>
      </c>
      <c r="B93999">
        <f>TEXT(93998, "[$-0E0000]yyyy-mm-dd")</f>
        <v/>
      </c>
    </row>
    <row r="94000">
      <c r="A94000" s="1" t="n">
        <v>93999</v>
      </c>
      <c r="B94000">
        <f>TEXT(93999, "[$-0E0000]yyyy-mm-dd")</f>
        <v/>
      </c>
    </row>
    <row r="94001">
      <c r="A94001" s="1" t="n">
        <v>94000</v>
      </c>
      <c r="B94001">
        <f>TEXT(94000, "[$-0E0000]yyyy-mm-dd")</f>
        <v/>
      </c>
    </row>
    <row r="94002">
      <c r="A94002" s="1" t="n">
        <v>94001</v>
      </c>
      <c r="B94002">
        <f>TEXT(94001, "[$-0E0000]yyyy-mm-dd")</f>
        <v/>
      </c>
    </row>
    <row r="94003">
      <c r="A94003" s="1" t="n">
        <v>94002</v>
      </c>
      <c r="B94003">
        <f>TEXT(94002, "[$-0E0000]yyyy-mm-dd")</f>
        <v/>
      </c>
    </row>
    <row r="94004">
      <c r="A94004" s="1" t="n">
        <v>94003</v>
      </c>
      <c r="B94004">
        <f>TEXT(94003, "[$-0E0000]yyyy-mm-dd")</f>
        <v/>
      </c>
    </row>
    <row r="94005">
      <c r="A94005" s="1" t="n">
        <v>94004</v>
      </c>
      <c r="B94005">
        <f>TEXT(94004, "[$-0E0000]yyyy-mm-dd")</f>
        <v/>
      </c>
    </row>
    <row r="94006">
      <c r="A94006" s="1" t="n">
        <v>94005</v>
      </c>
      <c r="B94006">
        <f>TEXT(94005, "[$-0E0000]yyyy-mm-dd")</f>
        <v/>
      </c>
    </row>
    <row r="94007">
      <c r="A94007" s="1" t="n">
        <v>94006</v>
      </c>
      <c r="B94007">
        <f>TEXT(94006, "[$-0E0000]yyyy-mm-dd")</f>
        <v/>
      </c>
    </row>
    <row r="94008">
      <c r="A94008" s="1" t="n">
        <v>94007</v>
      </c>
      <c r="B94008">
        <f>TEXT(94007, "[$-0E0000]yyyy-mm-dd")</f>
        <v/>
      </c>
    </row>
    <row r="94009">
      <c r="A94009" s="1" t="n">
        <v>94008</v>
      </c>
      <c r="B94009">
        <f>TEXT(94008, "[$-0E0000]yyyy-mm-dd")</f>
        <v/>
      </c>
    </row>
    <row r="94010">
      <c r="A94010" s="1" t="n">
        <v>94009</v>
      </c>
      <c r="B94010">
        <f>TEXT(94009, "[$-0E0000]yyyy-mm-dd")</f>
        <v/>
      </c>
    </row>
    <row r="94011">
      <c r="A94011" s="1" t="n">
        <v>94010</v>
      </c>
      <c r="B94011">
        <f>TEXT(94010, "[$-0E0000]yyyy-mm-dd")</f>
        <v/>
      </c>
    </row>
    <row r="94012">
      <c r="A94012" s="1" t="n">
        <v>94011</v>
      </c>
      <c r="B94012">
        <f>TEXT(94011, "[$-0E0000]yyyy-mm-dd")</f>
        <v/>
      </c>
    </row>
    <row r="94013">
      <c r="A94013" s="1" t="n">
        <v>94012</v>
      </c>
      <c r="B94013">
        <f>TEXT(94012, "[$-0E0000]yyyy-mm-dd")</f>
        <v/>
      </c>
    </row>
    <row r="94014">
      <c r="A94014" s="1" t="n">
        <v>94013</v>
      </c>
      <c r="B94014">
        <f>TEXT(94013, "[$-0E0000]yyyy-mm-dd")</f>
        <v/>
      </c>
    </row>
    <row r="94015">
      <c r="A94015" s="1" t="n">
        <v>94014</v>
      </c>
      <c r="B94015">
        <f>TEXT(94014, "[$-0E0000]yyyy-mm-dd")</f>
        <v/>
      </c>
    </row>
    <row r="94016">
      <c r="A94016" s="1" t="n">
        <v>94015</v>
      </c>
      <c r="B94016">
        <f>TEXT(94015, "[$-0E0000]yyyy-mm-dd")</f>
        <v/>
      </c>
    </row>
    <row r="94017">
      <c r="A94017" s="1" t="n">
        <v>94016</v>
      </c>
      <c r="B94017">
        <f>TEXT(94016, "[$-0E0000]yyyy-mm-dd")</f>
        <v/>
      </c>
    </row>
    <row r="94018">
      <c r="A94018" s="1" t="n">
        <v>94017</v>
      </c>
      <c r="B94018">
        <f>TEXT(94017, "[$-0E0000]yyyy-mm-dd")</f>
        <v/>
      </c>
    </row>
    <row r="94019">
      <c r="A94019" s="1" t="n">
        <v>94018</v>
      </c>
      <c r="B94019">
        <f>TEXT(94018, "[$-0E0000]yyyy-mm-dd")</f>
        <v/>
      </c>
    </row>
    <row r="94020">
      <c r="A94020" s="1" t="n">
        <v>94019</v>
      </c>
      <c r="B94020">
        <f>TEXT(94019, "[$-0E0000]yyyy-mm-dd")</f>
        <v/>
      </c>
    </row>
    <row r="94021">
      <c r="A94021" s="1" t="n">
        <v>94020</v>
      </c>
      <c r="B94021">
        <f>TEXT(94020, "[$-0E0000]yyyy-mm-dd")</f>
        <v/>
      </c>
    </row>
    <row r="94022">
      <c r="A94022" s="1" t="n">
        <v>94021</v>
      </c>
      <c r="B94022">
        <f>TEXT(94021, "[$-0E0000]yyyy-mm-dd")</f>
        <v/>
      </c>
    </row>
    <row r="94023">
      <c r="A94023" s="1" t="n">
        <v>94022</v>
      </c>
      <c r="B94023">
        <f>TEXT(94022, "[$-0E0000]yyyy-mm-dd")</f>
        <v/>
      </c>
    </row>
    <row r="94024">
      <c r="A94024" s="1" t="n">
        <v>94023</v>
      </c>
      <c r="B94024">
        <f>TEXT(94023, "[$-0E0000]yyyy-mm-dd")</f>
        <v/>
      </c>
    </row>
    <row r="94025">
      <c r="A94025" s="1" t="n">
        <v>94024</v>
      </c>
      <c r="B94025">
        <f>TEXT(94024, "[$-0E0000]yyyy-mm-dd")</f>
        <v/>
      </c>
    </row>
    <row r="94026">
      <c r="A94026" s="1" t="n">
        <v>94025</v>
      </c>
      <c r="B94026">
        <f>TEXT(94025, "[$-0E0000]yyyy-mm-dd")</f>
        <v/>
      </c>
    </row>
    <row r="94027">
      <c r="A94027" s="1" t="n">
        <v>94026</v>
      </c>
      <c r="B94027">
        <f>TEXT(94026, "[$-0E0000]yyyy-mm-dd")</f>
        <v/>
      </c>
    </row>
    <row r="94028">
      <c r="A94028" s="1" t="n">
        <v>94027</v>
      </c>
      <c r="B94028">
        <f>TEXT(94027, "[$-0E0000]yyyy-mm-dd")</f>
        <v/>
      </c>
    </row>
    <row r="94029">
      <c r="A94029" s="1" t="n">
        <v>94028</v>
      </c>
      <c r="B94029">
        <f>TEXT(94028, "[$-0E0000]yyyy-mm-dd")</f>
        <v/>
      </c>
    </row>
    <row r="94030">
      <c r="A94030" s="1" t="n">
        <v>94029</v>
      </c>
      <c r="B94030">
        <f>TEXT(94029, "[$-0E0000]yyyy-mm-dd")</f>
        <v/>
      </c>
    </row>
    <row r="94031">
      <c r="A94031" s="1" t="n">
        <v>94030</v>
      </c>
      <c r="B94031">
        <f>TEXT(94030, "[$-0E0000]yyyy-mm-dd")</f>
        <v/>
      </c>
    </row>
    <row r="94032">
      <c r="A94032" s="1" t="n">
        <v>94031</v>
      </c>
      <c r="B94032">
        <f>TEXT(94031, "[$-0E0000]yyyy-mm-dd")</f>
        <v/>
      </c>
    </row>
    <row r="94033">
      <c r="A94033" s="1" t="n">
        <v>94032</v>
      </c>
      <c r="B94033">
        <f>TEXT(94032, "[$-0E0000]yyyy-mm-dd")</f>
        <v/>
      </c>
    </row>
    <row r="94034">
      <c r="A94034" s="1" t="n">
        <v>94033</v>
      </c>
      <c r="B94034">
        <f>TEXT(94033, "[$-0E0000]yyyy-mm-dd")</f>
        <v/>
      </c>
    </row>
    <row r="94035">
      <c r="A94035" s="1" t="n">
        <v>94034</v>
      </c>
      <c r="B94035">
        <f>TEXT(94034, "[$-0E0000]yyyy-mm-dd")</f>
        <v/>
      </c>
    </row>
    <row r="94036">
      <c r="A94036" s="1" t="n">
        <v>94035</v>
      </c>
      <c r="B94036">
        <f>TEXT(94035, "[$-0E0000]yyyy-mm-dd")</f>
        <v/>
      </c>
    </row>
    <row r="94037">
      <c r="A94037" s="1" t="n">
        <v>94036</v>
      </c>
      <c r="B94037">
        <f>TEXT(94036, "[$-0E0000]yyyy-mm-dd")</f>
        <v/>
      </c>
    </row>
    <row r="94038">
      <c r="A94038" s="1" t="n">
        <v>94037</v>
      </c>
      <c r="B94038">
        <f>TEXT(94037, "[$-0E0000]yyyy-mm-dd")</f>
        <v/>
      </c>
    </row>
    <row r="94039">
      <c r="A94039" s="1" t="n">
        <v>94038</v>
      </c>
      <c r="B94039">
        <f>TEXT(94038, "[$-0E0000]yyyy-mm-dd")</f>
        <v/>
      </c>
    </row>
    <row r="94040">
      <c r="A94040" s="1" t="n">
        <v>94039</v>
      </c>
      <c r="B94040">
        <f>TEXT(94039, "[$-0E0000]yyyy-mm-dd")</f>
        <v/>
      </c>
    </row>
    <row r="94041">
      <c r="A94041" s="1" t="n">
        <v>94040</v>
      </c>
      <c r="B94041">
        <f>TEXT(94040, "[$-0E0000]yyyy-mm-dd")</f>
        <v/>
      </c>
    </row>
    <row r="94042">
      <c r="A94042" s="1" t="n">
        <v>94041</v>
      </c>
      <c r="B94042">
        <f>TEXT(94041, "[$-0E0000]yyyy-mm-dd")</f>
        <v/>
      </c>
    </row>
    <row r="94043">
      <c r="A94043" s="1" t="n">
        <v>94042</v>
      </c>
      <c r="B94043">
        <f>TEXT(94042, "[$-0E0000]yyyy-mm-dd")</f>
        <v/>
      </c>
    </row>
    <row r="94044">
      <c r="A94044" s="1" t="n">
        <v>94043</v>
      </c>
      <c r="B94044">
        <f>TEXT(94043, "[$-0E0000]yyyy-mm-dd")</f>
        <v/>
      </c>
    </row>
    <row r="94045">
      <c r="A94045" s="1" t="n">
        <v>94044</v>
      </c>
      <c r="B94045">
        <f>TEXT(94044, "[$-0E0000]yyyy-mm-dd")</f>
        <v/>
      </c>
    </row>
    <row r="94046">
      <c r="A94046" s="1" t="n">
        <v>94045</v>
      </c>
      <c r="B94046">
        <f>TEXT(94045, "[$-0E0000]yyyy-mm-dd")</f>
        <v/>
      </c>
    </row>
    <row r="94047">
      <c r="A94047" s="1" t="n">
        <v>94046</v>
      </c>
      <c r="B94047">
        <f>TEXT(94046, "[$-0E0000]yyyy-mm-dd")</f>
        <v/>
      </c>
    </row>
    <row r="94048">
      <c r="A94048" s="1" t="n">
        <v>94047</v>
      </c>
      <c r="B94048">
        <f>TEXT(94047, "[$-0E0000]yyyy-mm-dd")</f>
        <v/>
      </c>
    </row>
    <row r="94049">
      <c r="A94049" s="1" t="n">
        <v>94048</v>
      </c>
      <c r="B94049">
        <f>TEXT(94048, "[$-0E0000]yyyy-mm-dd")</f>
        <v/>
      </c>
    </row>
    <row r="94050">
      <c r="A94050" s="1" t="n">
        <v>94049</v>
      </c>
      <c r="B94050">
        <f>TEXT(94049, "[$-0E0000]yyyy-mm-dd")</f>
        <v/>
      </c>
    </row>
    <row r="94051">
      <c r="A94051" s="1" t="n">
        <v>94050</v>
      </c>
      <c r="B94051">
        <f>TEXT(94050, "[$-0E0000]yyyy-mm-dd")</f>
        <v/>
      </c>
    </row>
    <row r="94052">
      <c r="A94052" s="1" t="n">
        <v>94051</v>
      </c>
      <c r="B94052">
        <f>TEXT(94051, "[$-0E0000]yyyy-mm-dd")</f>
        <v/>
      </c>
    </row>
    <row r="94053">
      <c r="A94053" s="1" t="n">
        <v>94052</v>
      </c>
      <c r="B94053">
        <f>TEXT(94052, "[$-0E0000]yyyy-mm-dd")</f>
        <v/>
      </c>
    </row>
    <row r="94054">
      <c r="A94054" s="1" t="n">
        <v>94053</v>
      </c>
      <c r="B94054">
        <f>TEXT(94053, "[$-0E0000]yyyy-mm-dd")</f>
        <v/>
      </c>
    </row>
    <row r="94055">
      <c r="A94055" s="1" t="n">
        <v>94054</v>
      </c>
      <c r="B94055">
        <f>TEXT(94054, "[$-0E0000]yyyy-mm-dd")</f>
        <v/>
      </c>
    </row>
    <row r="94056">
      <c r="A94056" s="1" t="n">
        <v>94055</v>
      </c>
      <c r="B94056">
        <f>TEXT(94055, "[$-0E0000]yyyy-mm-dd")</f>
        <v/>
      </c>
    </row>
    <row r="94057">
      <c r="A94057" s="1" t="n">
        <v>94056</v>
      </c>
      <c r="B94057">
        <f>TEXT(94056, "[$-0E0000]yyyy-mm-dd")</f>
        <v/>
      </c>
    </row>
    <row r="94058">
      <c r="A94058" s="1" t="n">
        <v>94057</v>
      </c>
      <c r="B94058">
        <f>TEXT(94057, "[$-0E0000]yyyy-mm-dd")</f>
        <v/>
      </c>
    </row>
    <row r="94059">
      <c r="A94059" s="1" t="n">
        <v>94058</v>
      </c>
      <c r="B94059">
        <f>TEXT(94058, "[$-0E0000]yyyy-mm-dd")</f>
        <v/>
      </c>
    </row>
    <row r="94060">
      <c r="A94060" s="1" t="n">
        <v>94059</v>
      </c>
      <c r="B94060">
        <f>TEXT(94059, "[$-0E0000]yyyy-mm-dd")</f>
        <v/>
      </c>
    </row>
    <row r="94061">
      <c r="A94061" s="1" t="n">
        <v>94060</v>
      </c>
      <c r="B94061">
        <f>TEXT(94060, "[$-0E0000]yyyy-mm-dd")</f>
        <v/>
      </c>
    </row>
    <row r="94062">
      <c r="A94062" s="1" t="n">
        <v>94061</v>
      </c>
      <c r="B94062">
        <f>TEXT(94061, "[$-0E0000]yyyy-mm-dd")</f>
        <v/>
      </c>
    </row>
    <row r="94063">
      <c r="A94063" s="1" t="n">
        <v>94062</v>
      </c>
      <c r="B94063">
        <f>TEXT(94062, "[$-0E0000]yyyy-mm-dd")</f>
        <v/>
      </c>
    </row>
    <row r="94064">
      <c r="A94064" s="1" t="n">
        <v>94063</v>
      </c>
      <c r="B94064">
        <f>TEXT(94063, "[$-0E0000]yyyy-mm-dd")</f>
        <v/>
      </c>
    </row>
    <row r="94065">
      <c r="A94065" s="1" t="n">
        <v>94064</v>
      </c>
      <c r="B94065">
        <f>TEXT(94064, "[$-0E0000]yyyy-mm-dd")</f>
        <v/>
      </c>
    </row>
    <row r="94066">
      <c r="A94066" s="1" t="n">
        <v>94065</v>
      </c>
      <c r="B94066">
        <f>TEXT(94065, "[$-0E0000]yyyy-mm-dd")</f>
        <v/>
      </c>
    </row>
    <row r="94067">
      <c r="A94067" s="1" t="n">
        <v>94066</v>
      </c>
      <c r="B94067">
        <f>TEXT(94066, "[$-0E0000]yyyy-mm-dd")</f>
        <v/>
      </c>
    </row>
    <row r="94068">
      <c r="A94068" s="1" t="n">
        <v>94067</v>
      </c>
      <c r="B94068">
        <f>TEXT(94067, "[$-0E0000]yyyy-mm-dd")</f>
        <v/>
      </c>
    </row>
    <row r="94069">
      <c r="A94069" s="1" t="n">
        <v>94068</v>
      </c>
      <c r="B94069">
        <f>TEXT(94068, "[$-0E0000]yyyy-mm-dd")</f>
        <v/>
      </c>
    </row>
    <row r="94070">
      <c r="A94070" s="1" t="n">
        <v>94069</v>
      </c>
      <c r="B94070">
        <f>TEXT(94069, "[$-0E0000]yyyy-mm-dd")</f>
        <v/>
      </c>
    </row>
    <row r="94071">
      <c r="A94071" s="1" t="n">
        <v>94070</v>
      </c>
      <c r="B94071">
        <f>TEXT(94070, "[$-0E0000]yyyy-mm-dd")</f>
        <v/>
      </c>
    </row>
    <row r="94072">
      <c r="A94072" s="1" t="n">
        <v>94071</v>
      </c>
      <c r="B94072">
        <f>TEXT(94071, "[$-0E0000]yyyy-mm-dd")</f>
        <v/>
      </c>
    </row>
    <row r="94073">
      <c r="A94073" s="1" t="n">
        <v>94072</v>
      </c>
      <c r="B94073">
        <f>TEXT(94072, "[$-0E0000]yyyy-mm-dd")</f>
        <v/>
      </c>
    </row>
    <row r="94074">
      <c r="A94074" s="1" t="n">
        <v>94073</v>
      </c>
      <c r="B94074">
        <f>TEXT(94073, "[$-0E0000]yyyy-mm-dd")</f>
        <v/>
      </c>
    </row>
    <row r="94075">
      <c r="A94075" s="1" t="n">
        <v>94074</v>
      </c>
      <c r="B94075">
        <f>TEXT(94074, "[$-0E0000]yyyy-mm-dd")</f>
        <v/>
      </c>
    </row>
    <row r="94076">
      <c r="A94076" s="1" t="n">
        <v>94075</v>
      </c>
      <c r="B94076">
        <f>TEXT(94075, "[$-0E0000]yyyy-mm-dd")</f>
        <v/>
      </c>
    </row>
    <row r="94077">
      <c r="A94077" s="1" t="n">
        <v>94076</v>
      </c>
      <c r="B94077">
        <f>TEXT(94076, "[$-0E0000]yyyy-mm-dd")</f>
        <v/>
      </c>
    </row>
    <row r="94078">
      <c r="A94078" s="1" t="n">
        <v>94077</v>
      </c>
      <c r="B94078">
        <f>TEXT(94077, "[$-0E0000]yyyy-mm-dd")</f>
        <v/>
      </c>
    </row>
    <row r="94079">
      <c r="A94079" s="1" t="n">
        <v>94078</v>
      </c>
      <c r="B94079">
        <f>TEXT(94078, "[$-0E0000]yyyy-mm-dd")</f>
        <v/>
      </c>
    </row>
    <row r="94080">
      <c r="A94080" s="1" t="n">
        <v>94079</v>
      </c>
      <c r="B94080">
        <f>TEXT(94079, "[$-0E0000]yyyy-mm-dd")</f>
        <v/>
      </c>
    </row>
    <row r="94081">
      <c r="A94081" s="1" t="n">
        <v>94080</v>
      </c>
      <c r="B94081">
        <f>TEXT(94080, "[$-0E0000]yyyy-mm-dd")</f>
        <v/>
      </c>
    </row>
    <row r="94082">
      <c r="A94082" s="1" t="n">
        <v>94081</v>
      </c>
      <c r="B94082">
        <f>TEXT(94081, "[$-0E0000]yyyy-mm-dd")</f>
        <v/>
      </c>
    </row>
    <row r="94083">
      <c r="A94083" s="1" t="n">
        <v>94082</v>
      </c>
      <c r="B94083">
        <f>TEXT(94082, "[$-0E0000]yyyy-mm-dd")</f>
        <v/>
      </c>
    </row>
    <row r="94084">
      <c r="A94084" s="1" t="n">
        <v>94083</v>
      </c>
      <c r="B94084">
        <f>TEXT(94083, "[$-0E0000]yyyy-mm-dd")</f>
        <v/>
      </c>
    </row>
    <row r="94085">
      <c r="A94085" s="1" t="n">
        <v>94084</v>
      </c>
      <c r="B94085">
        <f>TEXT(94084, "[$-0E0000]yyyy-mm-dd")</f>
        <v/>
      </c>
    </row>
    <row r="94086">
      <c r="A94086" s="1" t="n">
        <v>94085</v>
      </c>
      <c r="B94086">
        <f>TEXT(94085, "[$-0E0000]yyyy-mm-dd")</f>
        <v/>
      </c>
    </row>
    <row r="94087">
      <c r="A94087" s="1" t="n">
        <v>94086</v>
      </c>
      <c r="B94087">
        <f>TEXT(94086, "[$-0E0000]yyyy-mm-dd")</f>
        <v/>
      </c>
    </row>
    <row r="94088">
      <c r="A94088" s="1" t="n">
        <v>94087</v>
      </c>
      <c r="B94088">
        <f>TEXT(94087, "[$-0E0000]yyyy-mm-dd")</f>
        <v/>
      </c>
    </row>
    <row r="94089">
      <c r="A94089" s="1" t="n">
        <v>94088</v>
      </c>
      <c r="B94089">
        <f>TEXT(94088, "[$-0E0000]yyyy-mm-dd")</f>
        <v/>
      </c>
    </row>
    <row r="94090">
      <c r="A94090" s="1" t="n">
        <v>94089</v>
      </c>
      <c r="B94090">
        <f>TEXT(94089, "[$-0E0000]yyyy-mm-dd")</f>
        <v/>
      </c>
    </row>
    <row r="94091">
      <c r="A94091" s="1" t="n">
        <v>94090</v>
      </c>
      <c r="B94091">
        <f>TEXT(94090, "[$-0E0000]yyyy-mm-dd")</f>
        <v/>
      </c>
    </row>
    <row r="94092">
      <c r="A94092" s="1" t="n">
        <v>94091</v>
      </c>
      <c r="B94092">
        <f>TEXT(94091, "[$-0E0000]yyyy-mm-dd")</f>
        <v/>
      </c>
    </row>
    <row r="94093">
      <c r="A94093" s="1" t="n">
        <v>94092</v>
      </c>
      <c r="B94093">
        <f>TEXT(94092, "[$-0E0000]yyyy-mm-dd")</f>
        <v/>
      </c>
    </row>
    <row r="94094">
      <c r="A94094" s="1" t="n">
        <v>94093</v>
      </c>
      <c r="B94094">
        <f>TEXT(94093, "[$-0E0000]yyyy-mm-dd")</f>
        <v/>
      </c>
    </row>
    <row r="94095">
      <c r="A94095" s="1" t="n">
        <v>94094</v>
      </c>
      <c r="B94095">
        <f>TEXT(94094, "[$-0E0000]yyyy-mm-dd")</f>
        <v/>
      </c>
    </row>
    <row r="94096">
      <c r="A94096" s="1" t="n">
        <v>94095</v>
      </c>
      <c r="B94096">
        <f>TEXT(94095, "[$-0E0000]yyyy-mm-dd")</f>
        <v/>
      </c>
    </row>
    <row r="94097">
      <c r="A94097" s="1" t="n">
        <v>94096</v>
      </c>
      <c r="B94097">
        <f>TEXT(94096, "[$-0E0000]yyyy-mm-dd")</f>
        <v/>
      </c>
    </row>
    <row r="94098">
      <c r="A94098" s="1" t="n">
        <v>94097</v>
      </c>
      <c r="B94098">
        <f>TEXT(94097, "[$-0E0000]yyyy-mm-dd")</f>
        <v/>
      </c>
    </row>
    <row r="94099">
      <c r="A94099" s="1" t="n">
        <v>94098</v>
      </c>
      <c r="B94099">
        <f>TEXT(94098, "[$-0E0000]yyyy-mm-dd")</f>
        <v/>
      </c>
    </row>
    <row r="94100">
      <c r="A94100" s="1" t="n">
        <v>94099</v>
      </c>
      <c r="B94100">
        <f>TEXT(94099, "[$-0E0000]yyyy-mm-dd")</f>
        <v/>
      </c>
    </row>
    <row r="94101">
      <c r="A94101" s="1" t="n">
        <v>94100</v>
      </c>
      <c r="B94101">
        <f>TEXT(94100, "[$-0E0000]yyyy-mm-dd")</f>
        <v/>
      </c>
    </row>
    <row r="94102">
      <c r="A94102" s="1" t="n">
        <v>94101</v>
      </c>
      <c r="B94102">
        <f>TEXT(94101, "[$-0E0000]yyyy-mm-dd")</f>
        <v/>
      </c>
    </row>
    <row r="94103">
      <c r="A94103" s="1" t="n">
        <v>94102</v>
      </c>
      <c r="B94103">
        <f>TEXT(94102, "[$-0E0000]yyyy-mm-dd")</f>
        <v/>
      </c>
    </row>
    <row r="94104">
      <c r="A94104" s="1" t="n">
        <v>94103</v>
      </c>
      <c r="B94104">
        <f>TEXT(94103, "[$-0E0000]yyyy-mm-dd")</f>
        <v/>
      </c>
    </row>
    <row r="94105">
      <c r="A94105" s="1" t="n">
        <v>94104</v>
      </c>
      <c r="B94105">
        <f>TEXT(94104, "[$-0E0000]yyyy-mm-dd")</f>
        <v/>
      </c>
    </row>
    <row r="94106">
      <c r="A94106" s="1" t="n">
        <v>94105</v>
      </c>
      <c r="B94106">
        <f>TEXT(94105, "[$-0E0000]yyyy-mm-dd")</f>
        <v/>
      </c>
    </row>
    <row r="94107">
      <c r="A94107" s="1" t="n">
        <v>94106</v>
      </c>
      <c r="B94107">
        <f>TEXT(94106, "[$-0E0000]yyyy-mm-dd")</f>
        <v/>
      </c>
    </row>
    <row r="94108">
      <c r="A94108" s="1" t="n">
        <v>94107</v>
      </c>
      <c r="B94108">
        <f>TEXT(94107, "[$-0E0000]yyyy-mm-dd")</f>
        <v/>
      </c>
    </row>
    <row r="94109">
      <c r="A94109" s="1" t="n">
        <v>94108</v>
      </c>
      <c r="B94109">
        <f>TEXT(94108, "[$-0E0000]yyyy-mm-dd")</f>
        <v/>
      </c>
    </row>
    <row r="94110">
      <c r="A94110" s="1" t="n">
        <v>94109</v>
      </c>
      <c r="B94110">
        <f>TEXT(94109, "[$-0E0000]yyyy-mm-dd")</f>
        <v/>
      </c>
    </row>
    <row r="94111">
      <c r="A94111" s="1" t="n">
        <v>94110</v>
      </c>
      <c r="B94111">
        <f>TEXT(94110, "[$-0E0000]yyyy-mm-dd")</f>
        <v/>
      </c>
    </row>
    <row r="94112">
      <c r="A94112" s="1" t="n">
        <v>94111</v>
      </c>
      <c r="B94112">
        <f>TEXT(94111, "[$-0E0000]yyyy-mm-dd")</f>
        <v/>
      </c>
    </row>
    <row r="94113">
      <c r="A94113" s="1" t="n">
        <v>94112</v>
      </c>
      <c r="B94113">
        <f>TEXT(94112, "[$-0E0000]yyyy-mm-dd")</f>
        <v/>
      </c>
    </row>
    <row r="94114">
      <c r="A94114" s="1" t="n">
        <v>94113</v>
      </c>
      <c r="B94114">
        <f>TEXT(94113, "[$-0E0000]yyyy-mm-dd")</f>
        <v/>
      </c>
    </row>
    <row r="94115">
      <c r="A94115" s="1" t="n">
        <v>94114</v>
      </c>
      <c r="B94115">
        <f>TEXT(94114, "[$-0E0000]yyyy-mm-dd")</f>
        <v/>
      </c>
    </row>
    <row r="94116">
      <c r="A94116" s="1" t="n">
        <v>94115</v>
      </c>
      <c r="B94116">
        <f>TEXT(94115, "[$-0E0000]yyyy-mm-dd")</f>
        <v/>
      </c>
    </row>
    <row r="94117">
      <c r="A94117" s="1" t="n">
        <v>94116</v>
      </c>
      <c r="B94117">
        <f>TEXT(94116, "[$-0E0000]yyyy-mm-dd")</f>
        <v/>
      </c>
    </row>
    <row r="94118">
      <c r="A94118" s="1" t="n">
        <v>94117</v>
      </c>
      <c r="B94118">
        <f>TEXT(94117, "[$-0E0000]yyyy-mm-dd")</f>
        <v/>
      </c>
    </row>
    <row r="94119">
      <c r="A94119" s="1" t="n">
        <v>94118</v>
      </c>
      <c r="B94119">
        <f>TEXT(94118, "[$-0E0000]yyyy-mm-dd")</f>
        <v/>
      </c>
    </row>
    <row r="94120">
      <c r="A94120" s="1" t="n">
        <v>94119</v>
      </c>
      <c r="B94120">
        <f>TEXT(94119, "[$-0E0000]yyyy-mm-dd")</f>
        <v/>
      </c>
    </row>
    <row r="94121">
      <c r="A94121" s="1" t="n">
        <v>94120</v>
      </c>
      <c r="B94121">
        <f>TEXT(94120, "[$-0E0000]yyyy-mm-dd")</f>
        <v/>
      </c>
    </row>
    <row r="94122">
      <c r="A94122" s="1" t="n">
        <v>94121</v>
      </c>
      <c r="B94122">
        <f>TEXT(94121, "[$-0E0000]yyyy-mm-dd")</f>
        <v/>
      </c>
    </row>
    <row r="94123">
      <c r="A94123" s="1" t="n">
        <v>94122</v>
      </c>
      <c r="B94123">
        <f>TEXT(94122, "[$-0E0000]yyyy-mm-dd")</f>
        <v/>
      </c>
    </row>
    <row r="94124">
      <c r="A94124" s="1" t="n">
        <v>94123</v>
      </c>
      <c r="B94124">
        <f>TEXT(94123, "[$-0E0000]yyyy-mm-dd")</f>
        <v/>
      </c>
    </row>
    <row r="94125">
      <c r="A94125" s="1" t="n">
        <v>94124</v>
      </c>
      <c r="B94125">
        <f>TEXT(94124, "[$-0E0000]yyyy-mm-dd")</f>
        <v/>
      </c>
    </row>
    <row r="94126">
      <c r="A94126" s="1" t="n">
        <v>94125</v>
      </c>
      <c r="B94126">
        <f>TEXT(94125, "[$-0E0000]yyyy-mm-dd")</f>
        <v/>
      </c>
    </row>
    <row r="94127">
      <c r="A94127" s="1" t="n">
        <v>94126</v>
      </c>
      <c r="B94127">
        <f>TEXT(94126, "[$-0E0000]yyyy-mm-dd")</f>
        <v/>
      </c>
    </row>
    <row r="94128">
      <c r="A94128" s="1" t="n">
        <v>94127</v>
      </c>
      <c r="B94128">
        <f>TEXT(94127, "[$-0E0000]yyyy-mm-dd")</f>
        <v/>
      </c>
    </row>
    <row r="94129">
      <c r="A94129" s="1" t="n">
        <v>94128</v>
      </c>
      <c r="B94129">
        <f>TEXT(94128, "[$-0E0000]yyyy-mm-dd")</f>
        <v/>
      </c>
    </row>
    <row r="94130">
      <c r="A94130" s="1" t="n">
        <v>94129</v>
      </c>
      <c r="B94130">
        <f>TEXT(94129, "[$-0E0000]yyyy-mm-dd")</f>
        <v/>
      </c>
    </row>
    <row r="94131">
      <c r="A94131" s="1" t="n">
        <v>94130</v>
      </c>
      <c r="B94131">
        <f>TEXT(94130, "[$-0E0000]yyyy-mm-dd")</f>
        <v/>
      </c>
    </row>
    <row r="94132">
      <c r="A94132" s="1" t="n">
        <v>94131</v>
      </c>
      <c r="B94132">
        <f>TEXT(94131, "[$-0E0000]yyyy-mm-dd")</f>
        <v/>
      </c>
    </row>
    <row r="94133">
      <c r="A94133" s="1" t="n">
        <v>94132</v>
      </c>
      <c r="B94133">
        <f>TEXT(94132, "[$-0E0000]yyyy-mm-dd")</f>
        <v/>
      </c>
    </row>
    <row r="94134">
      <c r="A94134" s="1" t="n">
        <v>94133</v>
      </c>
      <c r="B94134">
        <f>TEXT(94133, "[$-0E0000]yyyy-mm-dd")</f>
        <v/>
      </c>
    </row>
    <row r="94135">
      <c r="A94135" s="1" t="n">
        <v>94134</v>
      </c>
      <c r="B94135">
        <f>TEXT(94134, "[$-0E0000]yyyy-mm-dd")</f>
        <v/>
      </c>
    </row>
    <row r="94136">
      <c r="A94136" s="1" t="n">
        <v>94135</v>
      </c>
      <c r="B94136">
        <f>TEXT(94135, "[$-0E0000]yyyy-mm-dd")</f>
        <v/>
      </c>
    </row>
    <row r="94137">
      <c r="A94137" s="1" t="n">
        <v>94136</v>
      </c>
      <c r="B94137">
        <f>TEXT(94136, "[$-0E0000]yyyy-mm-dd")</f>
        <v/>
      </c>
    </row>
    <row r="94138">
      <c r="A94138" s="1" t="n">
        <v>94137</v>
      </c>
      <c r="B94138">
        <f>TEXT(94137, "[$-0E0000]yyyy-mm-dd")</f>
        <v/>
      </c>
    </row>
    <row r="94139">
      <c r="A94139" s="1" t="n">
        <v>94138</v>
      </c>
      <c r="B94139">
        <f>TEXT(94138, "[$-0E0000]yyyy-mm-dd")</f>
        <v/>
      </c>
    </row>
    <row r="94140">
      <c r="A94140" s="1" t="n">
        <v>94139</v>
      </c>
      <c r="B94140">
        <f>TEXT(94139, "[$-0E0000]yyyy-mm-dd")</f>
        <v/>
      </c>
    </row>
    <row r="94141">
      <c r="A94141" s="1" t="n">
        <v>94140</v>
      </c>
      <c r="B94141">
        <f>TEXT(94140, "[$-0E0000]yyyy-mm-dd")</f>
        <v/>
      </c>
    </row>
    <row r="94142">
      <c r="A94142" s="1" t="n">
        <v>94141</v>
      </c>
      <c r="B94142">
        <f>TEXT(94141, "[$-0E0000]yyyy-mm-dd")</f>
        <v/>
      </c>
    </row>
    <row r="94143">
      <c r="A94143" s="1" t="n">
        <v>94142</v>
      </c>
      <c r="B94143">
        <f>TEXT(94142, "[$-0E0000]yyyy-mm-dd")</f>
        <v/>
      </c>
    </row>
    <row r="94144">
      <c r="A94144" s="1" t="n">
        <v>94143</v>
      </c>
      <c r="B94144">
        <f>TEXT(94143, "[$-0E0000]yyyy-mm-dd")</f>
        <v/>
      </c>
    </row>
    <row r="94145">
      <c r="A94145" s="1" t="n">
        <v>94144</v>
      </c>
      <c r="B94145">
        <f>TEXT(94144, "[$-0E0000]yyyy-mm-dd")</f>
        <v/>
      </c>
    </row>
    <row r="94146">
      <c r="A94146" s="1" t="n">
        <v>94145</v>
      </c>
      <c r="B94146">
        <f>TEXT(94145, "[$-0E0000]yyyy-mm-dd")</f>
        <v/>
      </c>
    </row>
    <row r="94147">
      <c r="A94147" s="1" t="n">
        <v>94146</v>
      </c>
      <c r="B94147">
        <f>TEXT(94146, "[$-0E0000]yyyy-mm-dd")</f>
        <v/>
      </c>
    </row>
    <row r="94148">
      <c r="A94148" s="1" t="n">
        <v>94147</v>
      </c>
      <c r="B94148">
        <f>TEXT(94147, "[$-0E0000]yyyy-mm-dd")</f>
        <v/>
      </c>
    </row>
    <row r="94149">
      <c r="A94149" s="1" t="n">
        <v>94148</v>
      </c>
      <c r="B94149">
        <f>TEXT(94148, "[$-0E0000]yyyy-mm-dd")</f>
        <v/>
      </c>
    </row>
    <row r="94150">
      <c r="A94150" s="1" t="n">
        <v>94149</v>
      </c>
      <c r="B94150">
        <f>TEXT(94149, "[$-0E0000]yyyy-mm-dd")</f>
        <v/>
      </c>
    </row>
    <row r="94151">
      <c r="A94151" s="1" t="n">
        <v>94150</v>
      </c>
      <c r="B94151">
        <f>TEXT(94150, "[$-0E0000]yyyy-mm-dd")</f>
        <v/>
      </c>
    </row>
    <row r="94152">
      <c r="A94152" s="1" t="n">
        <v>94151</v>
      </c>
      <c r="B94152">
        <f>TEXT(94151, "[$-0E0000]yyyy-mm-dd")</f>
        <v/>
      </c>
    </row>
    <row r="94153">
      <c r="A94153" s="1" t="n">
        <v>94152</v>
      </c>
      <c r="B94153">
        <f>TEXT(94152, "[$-0E0000]yyyy-mm-dd")</f>
        <v/>
      </c>
    </row>
    <row r="94154">
      <c r="A94154" s="1" t="n">
        <v>94153</v>
      </c>
      <c r="B94154">
        <f>TEXT(94153, "[$-0E0000]yyyy-mm-dd")</f>
        <v/>
      </c>
    </row>
    <row r="94155">
      <c r="A94155" s="1" t="n">
        <v>94154</v>
      </c>
      <c r="B94155">
        <f>TEXT(94154, "[$-0E0000]yyyy-mm-dd")</f>
        <v/>
      </c>
    </row>
    <row r="94156">
      <c r="A94156" s="1" t="n">
        <v>94155</v>
      </c>
      <c r="B94156">
        <f>TEXT(94155, "[$-0E0000]yyyy-mm-dd")</f>
        <v/>
      </c>
    </row>
    <row r="94157">
      <c r="A94157" s="1" t="n">
        <v>94156</v>
      </c>
      <c r="B94157">
        <f>TEXT(94156, "[$-0E0000]yyyy-mm-dd")</f>
        <v/>
      </c>
    </row>
    <row r="94158">
      <c r="A94158" s="1" t="n">
        <v>94157</v>
      </c>
      <c r="B94158">
        <f>TEXT(94157, "[$-0E0000]yyyy-mm-dd")</f>
        <v/>
      </c>
    </row>
    <row r="94159">
      <c r="A94159" s="1" t="n">
        <v>94158</v>
      </c>
      <c r="B94159">
        <f>TEXT(94158, "[$-0E0000]yyyy-mm-dd")</f>
        <v/>
      </c>
    </row>
    <row r="94160">
      <c r="A94160" s="1" t="n">
        <v>94159</v>
      </c>
      <c r="B94160">
        <f>TEXT(94159, "[$-0E0000]yyyy-mm-dd")</f>
        <v/>
      </c>
    </row>
    <row r="94161">
      <c r="A94161" s="1" t="n">
        <v>94160</v>
      </c>
      <c r="B94161">
        <f>TEXT(94160, "[$-0E0000]yyyy-mm-dd")</f>
        <v/>
      </c>
    </row>
    <row r="94162">
      <c r="A94162" s="1" t="n">
        <v>94161</v>
      </c>
      <c r="B94162">
        <f>TEXT(94161, "[$-0E0000]yyyy-mm-dd")</f>
        <v/>
      </c>
    </row>
    <row r="94163">
      <c r="A94163" s="1" t="n">
        <v>94162</v>
      </c>
      <c r="B94163">
        <f>TEXT(94162, "[$-0E0000]yyyy-mm-dd")</f>
        <v/>
      </c>
    </row>
    <row r="94164">
      <c r="A94164" s="1" t="n">
        <v>94163</v>
      </c>
      <c r="B94164">
        <f>TEXT(94163, "[$-0E0000]yyyy-mm-dd")</f>
        <v/>
      </c>
    </row>
    <row r="94165">
      <c r="A94165" s="1" t="n">
        <v>94164</v>
      </c>
      <c r="B94165">
        <f>TEXT(94164, "[$-0E0000]yyyy-mm-dd")</f>
        <v/>
      </c>
    </row>
    <row r="94166">
      <c r="A94166" s="1" t="n">
        <v>94165</v>
      </c>
      <c r="B94166">
        <f>TEXT(94165, "[$-0E0000]yyyy-mm-dd")</f>
        <v/>
      </c>
    </row>
    <row r="94167">
      <c r="A94167" s="1" t="n">
        <v>94166</v>
      </c>
      <c r="B94167">
        <f>TEXT(94166, "[$-0E0000]yyyy-mm-dd")</f>
        <v/>
      </c>
    </row>
    <row r="94168">
      <c r="A94168" s="1" t="n">
        <v>94167</v>
      </c>
      <c r="B94168">
        <f>TEXT(94167, "[$-0E0000]yyyy-mm-dd")</f>
        <v/>
      </c>
    </row>
    <row r="94169">
      <c r="A94169" s="1" t="n">
        <v>94168</v>
      </c>
      <c r="B94169">
        <f>TEXT(94168, "[$-0E0000]yyyy-mm-dd")</f>
        <v/>
      </c>
    </row>
    <row r="94170">
      <c r="A94170" s="1" t="n">
        <v>94169</v>
      </c>
      <c r="B94170">
        <f>TEXT(94169, "[$-0E0000]yyyy-mm-dd")</f>
        <v/>
      </c>
    </row>
    <row r="94171">
      <c r="A94171" s="1" t="n">
        <v>94170</v>
      </c>
      <c r="B94171">
        <f>TEXT(94170, "[$-0E0000]yyyy-mm-dd")</f>
        <v/>
      </c>
    </row>
    <row r="94172">
      <c r="A94172" s="1" t="n">
        <v>94171</v>
      </c>
      <c r="B94172">
        <f>TEXT(94171, "[$-0E0000]yyyy-mm-dd")</f>
        <v/>
      </c>
    </row>
    <row r="94173">
      <c r="A94173" s="1" t="n">
        <v>94172</v>
      </c>
      <c r="B94173">
        <f>TEXT(94172, "[$-0E0000]yyyy-mm-dd")</f>
        <v/>
      </c>
    </row>
    <row r="94174">
      <c r="A94174" s="1" t="n">
        <v>94173</v>
      </c>
      <c r="B94174">
        <f>TEXT(94173, "[$-0E0000]yyyy-mm-dd")</f>
        <v/>
      </c>
    </row>
    <row r="94175">
      <c r="A94175" s="1" t="n">
        <v>94174</v>
      </c>
      <c r="B94175">
        <f>TEXT(94174, "[$-0E0000]yyyy-mm-dd")</f>
        <v/>
      </c>
    </row>
    <row r="94176">
      <c r="A94176" s="1" t="n">
        <v>94175</v>
      </c>
      <c r="B94176">
        <f>TEXT(94175, "[$-0E0000]yyyy-mm-dd")</f>
        <v/>
      </c>
    </row>
    <row r="94177">
      <c r="A94177" s="1" t="n">
        <v>94176</v>
      </c>
      <c r="B94177">
        <f>TEXT(94176, "[$-0E0000]yyyy-mm-dd")</f>
        <v/>
      </c>
    </row>
    <row r="94178">
      <c r="A94178" s="1" t="n">
        <v>94177</v>
      </c>
      <c r="B94178">
        <f>TEXT(94177, "[$-0E0000]yyyy-mm-dd")</f>
        <v/>
      </c>
    </row>
    <row r="94179">
      <c r="A94179" s="1" t="n">
        <v>94178</v>
      </c>
      <c r="B94179">
        <f>TEXT(94178, "[$-0E0000]yyyy-mm-dd")</f>
        <v/>
      </c>
    </row>
    <row r="94180">
      <c r="A94180" s="1" t="n">
        <v>94179</v>
      </c>
      <c r="B94180">
        <f>TEXT(94179, "[$-0E0000]yyyy-mm-dd")</f>
        <v/>
      </c>
    </row>
    <row r="94181">
      <c r="A94181" s="1" t="n">
        <v>94180</v>
      </c>
      <c r="B94181">
        <f>TEXT(94180, "[$-0E0000]yyyy-mm-dd")</f>
        <v/>
      </c>
    </row>
    <row r="94182">
      <c r="A94182" s="1" t="n">
        <v>94181</v>
      </c>
      <c r="B94182">
        <f>TEXT(94181, "[$-0E0000]yyyy-mm-dd")</f>
        <v/>
      </c>
    </row>
    <row r="94183">
      <c r="A94183" s="1" t="n">
        <v>94182</v>
      </c>
      <c r="B94183">
        <f>TEXT(94182, "[$-0E0000]yyyy-mm-dd")</f>
        <v/>
      </c>
    </row>
    <row r="94184">
      <c r="A94184" s="1" t="n">
        <v>94183</v>
      </c>
      <c r="B94184">
        <f>TEXT(94183, "[$-0E0000]yyyy-mm-dd")</f>
        <v/>
      </c>
    </row>
    <row r="94185">
      <c r="A94185" s="1" t="n">
        <v>94184</v>
      </c>
      <c r="B94185">
        <f>TEXT(94184, "[$-0E0000]yyyy-mm-dd")</f>
        <v/>
      </c>
    </row>
    <row r="94186">
      <c r="A94186" s="1" t="n">
        <v>94185</v>
      </c>
      <c r="B94186">
        <f>TEXT(94185, "[$-0E0000]yyyy-mm-dd")</f>
        <v/>
      </c>
    </row>
    <row r="94187">
      <c r="A94187" s="1" t="n">
        <v>94186</v>
      </c>
      <c r="B94187">
        <f>TEXT(94186, "[$-0E0000]yyyy-mm-dd")</f>
        <v/>
      </c>
    </row>
    <row r="94188">
      <c r="A94188" s="1" t="n">
        <v>94187</v>
      </c>
      <c r="B94188">
        <f>TEXT(94187, "[$-0E0000]yyyy-mm-dd")</f>
        <v/>
      </c>
    </row>
    <row r="94189">
      <c r="A94189" s="1" t="n">
        <v>94188</v>
      </c>
      <c r="B94189">
        <f>TEXT(94188, "[$-0E0000]yyyy-mm-dd")</f>
        <v/>
      </c>
    </row>
    <row r="94190">
      <c r="A94190" s="1" t="n">
        <v>94189</v>
      </c>
      <c r="B94190">
        <f>TEXT(94189, "[$-0E0000]yyyy-mm-dd")</f>
        <v/>
      </c>
    </row>
    <row r="94191">
      <c r="A94191" s="1" t="n">
        <v>94190</v>
      </c>
      <c r="B94191">
        <f>TEXT(94190, "[$-0E0000]yyyy-mm-dd")</f>
        <v/>
      </c>
    </row>
    <row r="94192">
      <c r="A94192" s="1" t="n">
        <v>94191</v>
      </c>
      <c r="B94192">
        <f>TEXT(94191, "[$-0E0000]yyyy-mm-dd")</f>
        <v/>
      </c>
    </row>
    <row r="94193">
      <c r="A94193" s="1" t="n">
        <v>94192</v>
      </c>
      <c r="B94193">
        <f>TEXT(94192, "[$-0E0000]yyyy-mm-dd")</f>
        <v/>
      </c>
    </row>
    <row r="94194">
      <c r="A94194" s="1" t="n">
        <v>94193</v>
      </c>
      <c r="B94194">
        <f>TEXT(94193, "[$-0E0000]yyyy-mm-dd")</f>
        <v/>
      </c>
    </row>
    <row r="94195">
      <c r="A94195" s="1" t="n">
        <v>94194</v>
      </c>
      <c r="B94195">
        <f>TEXT(94194, "[$-0E0000]yyyy-mm-dd")</f>
        <v/>
      </c>
    </row>
    <row r="94196">
      <c r="A94196" s="1" t="n">
        <v>94195</v>
      </c>
      <c r="B94196">
        <f>TEXT(94195, "[$-0E0000]yyyy-mm-dd")</f>
        <v/>
      </c>
    </row>
    <row r="94197">
      <c r="A94197" s="1" t="n">
        <v>94196</v>
      </c>
      <c r="B94197">
        <f>TEXT(94196, "[$-0E0000]yyyy-mm-dd")</f>
        <v/>
      </c>
    </row>
    <row r="94198">
      <c r="A94198" s="1" t="n">
        <v>94197</v>
      </c>
      <c r="B94198">
        <f>TEXT(94197, "[$-0E0000]yyyy-mm-dd")</f>
        <v/>
      </c>
    </row>
    <row r="94199">
      <c r="A94199" s="1" t="n">
        <v>94198</v>
      </c>
      <c r="B94199">
        <f>TEXT(94198, "[$-0E0000]yyyy-mm-dd")</f>
        <v/>
      </c>
    </row>
    <row r="94200">
      <c r="A94200" s="1" t="n">
        <v>94199</v>
      </c>
      <c r="B94200">
        <f>TEXT(94199, "[$-0E0000]yyyy-mm-dd")</f>
        <v/>
      </c>
    </row>
    <row r="94201">
      <c r="A94201" s="1" t="n">
        <v>94200</v>
      </c>
      <c r="B94201">
        <f>TEXT(94200, "[$-0E0000]yyyy-mm-dd")</f>
        <v/>
      </c>
    </row>
    <row r="94202">
      <c r="A94202" s="1" t="n">
        <v>94201</v>
      </c>
      <c r="B94202">
        <f>TEXT(94201, "[$-0E0000]yyyy-mm-dd")</f>
        <v/>
      </c>
    </row>
    <row r="94203">
      <c r="A94203" s="1" t="n">
        <v>94202</v>
      </c>
      <c r="B94203">
        <f>TEXT(94202, "[$-0E0000]yyyy-mm-dd")</f>
        <v/>
      </c>
    </row>
    <row r="94204">
      <c r="A94204" s="1" t="n">
        <v>94203</v>
      </c>
      <c r="B94204">
        <f>TEXT(94203, "[$-0E0000]yyyy-mm-dd")</f>
        <v/>
      </c>
    </row>
    <row r="94205">
      <c r="A94205" s="1" t="n">
        <v>94204</v>
      </c>
      <c r="B94205">
        <f>TEXT(94204, "[$-0E0000]yyyy-mm-dd")</f>
        <v/>
      </c>
    </row>
    <row r="94206">
      <c r="A94206" s="1" t="n">
        <v>94205</v>
      </c>
      <c r="B94206">
        <f>TEXT(94205, "[$-0E0000]yyyy-mm-dd")</f>
        <v/>
      </c>
    </row>
    <row r="94207">
      <c r="A94207" s="1" t="n">
        <v>94206</v>
      </c>
      <c r="B94207">
        <f>TEXT(94206, "[$-0E0000]yyyy-mm-dd")</f>
        <v/>
      </c>
    </row>
    <row r="94208">
      <c r="A94208" s="1" t="n">
        <v>94207</v>
      </c>
      <c r="B94208">
        <f>TEXT(94207, "[$-0E0000]yyyy-mm-dd")</f>
        <v/>
      </c>
    </row>
    <row r="94209">
      <c r="A94209" s="1" t="n">
        <v>94208</v>
      </c>
      <c r="B94209">
        <f>TEXT(94208, "[$-0E0000]yyyy-mm-dd")</f>
        <v/>
      </c>
    </row>
    <row r="94210">
      <c r="A94210" s="1" t="n">
        <v>94209</v>
      </c>
      <c r="B94210">
        <f>TEXT(94209, "[$-0E0000]yyyy-mm-dd")</f>
        <v/>
      </c>
    </row>
    <row r="94211">
      <c r="A94211" s="1" t="n">
        <v>94210</v>
      </c>
      <c r="B94211">
        <f>TEXT(94210, "[$-0E0000]yyyy-mm-dd")</f>
        <v/>
      </c>
    </row>
    <row r="94212">
      <c r="A94212" s="1" t="n">
        <v>94211</v>
      </c>
      <c r="B94212">
        <f>TEXT(94211, "[$-0E0000]yyyy-mm-dd")</f>
        <v/>
      </c>
    </row>
    <row r="94213">
      <c r="A94213" s="1" t="n">
        <v>94212</v>
      </c>
      <c r="B94213">
        <f>TEXT(94212, "[$-0E0000]yyyy-mm-dd")</f>
        <v/>
      </c>
    </row>
    <row r="94214">
      <c r="A94214" s="1" t="n">
        <v>94213</v>
      </c>
      <c r="B94214">
        <f>TEXT(94213, "[$-0E0000]yyyy-mm-dd")</f>
        <v/>
      </c>
    </row>
    <row r="94215">
      <c r="A94215" s="1" t="n">
        <v>94214</v>
      </c>
      <c r="B94215">
        <f>TEXT(94214, "[$-0E0000]yyyy-mm-dd")</f>
        <v/>
      </c>
    </row>
    <row r="94216">
      <c r="A94216" s="1" t="n">
        <v>94215</v>
      </c>
      <c r="B94216">
        <f>TEXT(94215, "[$-0E0000]yyyy-mm-dd")</f>
        <v/>
      </c>
    </row>
    <row r="94217">
      <c r="A94217" s="1" t="n">
        <v>94216</v>
      </c>
      <c r="B94217">
        <f>TEXT(94216, "[$-0E0000]yyyy-mm-dd")</f>
        <v/>
      </c>
    </row>
    <row r="94218">
      <c r="A94218" s="1" t="n">
        <v>94217</v>
      </c>
      <c r="B94218">
        <f>TEXT(94217, "[$-0E0000]yyyy-mm-dd")</f>
        <v/>
      </c>
    </row>
    <row r="94219">
      <c r="A94219" s="1" t="n">
        <v>94218</v>
      </c>
      <c r="B94219">
        <f>TEXT(94218, "[$-0E0000]yyyy-mm-dd")</f>
        <v/>
      </c>
    </row>
    <row r="94220">
      <c r="A94220" s="1" t="n">
        <v>94219</v>
      </c>
      <c r="B94220">
        <f>TEXT(94219, "[$-0E0000]yyyy-mm-dd")</f>
        <v/>
      </c>
    </row>
    <row r="94221">
      <c r="A94221" s="1" t="n">
        <v>94220</v>
      </c>
      <c r="B94221">
        <f>TEXT(94220, "[$-0E0000]yyyy-mm-dd")</f>
        <v/>
      </c>
    </row>
    <row r="94222">
      <c r="A94222" s="1" t="n">
        <v>94221</v>
      </c>
      <c r="B94222">
        <f>TEXT(94221, "[$-0E0000]yyyy-mm-dd")</f>
        <v/>
      </c>
    </row>
    <row r="94223">
      <c r="A94223" s="1" t="n">
        <v>94222</v>
      </c>
      <c r="B94223">
        <f>TEXT(94222, "[$-0E0000]yyyy-mm-dd")</f>
        <v/>
      </c>
    </row>
    <row r="94224">
      <c r="A94224" s="1" t="n">
        <v>94223</v>
      </c>
      <c r="B94224">
        <f>TEXT(94223, "[$-0E0000]yyyy-mm-dd")</f>
        <v/>
      </c>
    </row>
    <row r="94225">
      <c r="A94225" s="1" t="n">
        <v>94224</v>
      </c>
      <c r="B94225">
        <f>TEXT(94224, "[$-0E0000]yyyy-mm-dd")</f>
        <v/>
      </c>
    </row>
    <row r="94226">
      <c r="A94226" s="1" t="n">
        <v>94225</v>
      </c>
      <c r="B94226">
        <f>TEXT(94225, "[$-0E0000]yyyy-mm-dd")</f>
        <v/>
      </c>
    </row>
    <row r="94227">
      <c r="A94227" s="1" t="n">
        <v>94226</v>
      </c>
      <c r="B94227">
        <f>TEXT(94226, "[$-0E0000]yyyy-mm-dd")</f>
        <v/>
      </c>
    </row>
    <row r="94228">
      <c r="A94228" s="1" t="n">
        <v>94227</v>
      </c>
      <c r="B94228">
        <f>TEXT(94227, "[$-0E0000]yyyy-mm-dd")</f>
        <v/>
      </c>
    </row>
    <row r="94229">
      <c r="A94229" s="1" t="n">
        <v>94228</v>
      </c>
      <c r="B94229">
        <f>TEXT(94228, "[$-0E0000]yyyy-mm-dd")</f>
        <v/>
      </c>
    </row>
    <row r="94230">
      <c r="A94230" s="1" t="n">
        <v>94229</v>
      </c>
      <c r="B94230">
        <f>TEXT(94229, "[$-0E0000]yyyy-mm-dd")</f>
        <v/>
      </c>
    </row>
    <row r="94231">
      <c r="A94231" s="1" t="n">
        <v>94230</v>
      </c>
      <c r="B94231">
        <f>TEXT(94230, "[$-0E0000]yyyy-mm-dd")</f>
        <v/>
      </c>
    </row>
    <row r="94232">
      <c r="A94232" s="1" t="n">
        <v>94231</v>
      </c>
      <c r="B94232">
        <f>TEXT(94231, "[$-0E0000]yyyy-mm-dd")</f>
        <v/>
      </c>
    </row>
    <row r="94233">
      <c r="A94233" s="1" t="n">
        <v>94232</v>
      </c>
      <c r="B94233">
        <f>TEXT(94232, "[$-0E0000]yyyy-mm-dd")</f>
        <v/>
      </c>
    </row>
    <row r="94234">
      <c r="A94234" s="1" t="n">
        <v>94233</v>
      </c>
      <c r="B94234">
        <f>TEXT(94233, "[$-0E0000]yyyy-mm-dd")</f>
        <v/>
      </c>
    </row>
    <row r="94235">
      <c r="A94235" s="1" t="n">
        <v>94234</v>
      </c>
      <c r="B94235">
        <f>TEXT(94234, "[$-0E0000]yyyy-mm-dd")</f>
        <v/>
      </c>
    </row>
    <row r="94236">
      <c r="A94236" s="1" t="n">
        <v>94235</v>
      </c>
      <c r="B94236">
        <f>TEXT(94235, "[$-0E0000]yyyy-mm-dd")</f>
        <v/>
      </c>
    </row>
    <row r="94237">
      <c r="A94237" s="1" t="n">
        <v>94236</v>
      </c>
      <c r="B94237">
        <f>TEXT(94236, "[$-0E0000]yyyy-mm-dd")</f>
        <v/>
      </c>
    </row>
    <row r="94238">
      <c r="A94238" s="1" t="n">
        <v>94237</v>
      </c>
      <c r="B94238">
        <f>TEXT(94237, "[$-0E0000]yyyy-mm-dd")</f>
        <v/>
      </c>
    </row>
    <row r="94239">
      <c r="A94239" s="1" t="n">
        <v>94238</v>
      </c>
      <c r="B94239">
        <f>TEXT(94238, "[$-0E0000]yyyy-mm-dd")</f>
        <v/>
      </c>
    </row>
    <row r="94240">
      <c r="A94240" s="1" t="n">
        <v>94239</v>
      </c>
      <c r="B94240">
        <f>TEXT(94239, "[$-0E0000]yyyy-mm-dd")</f>
        <v/>
      </c>
    </row>
    <row r="94241">
      <c r="A94241" s="1" t="n">
        <v>94240</v>
      </c>
      <c r="B94241">
        <f>TEXT(94240, "[$-0E0000]yyyy-mm-dd")</f>
        <v/>
      </c>
    </row>
    <row r="94242">
      <c r="A94242" s="1" t="n">
        <v>94241</v>
      </c>
      <c r="B94242">
        <f>TEXT(94241, "[$-0E0000]yyyy-mm-dd")</f>
        <v/>
      </c>
    </row>
    <row r="94243">
      <c r="A94243" s="1" t="n">
        <v>94242</v>
      </c>
      <c r="B94243">
        <f>TEXT(94242, "[$-0E0000]yyyy-mm-dd")</f>
        <v/>
      </c>
    </row>
    <row r="94244">
      <c r="A94244" s="1" t="n">
        <v>94243</v>
      </c>
      <c r="B94244">
        <f>TEXT(94243, "[$-0E0000]yyyy-mm-dd")</f>
        <v/>
      </c>
    </row>
    <row r="94245">
      <c r="A94245" s="1" t="n">
        <v>94244</v>
      </c>
      <c r="B94245">
        <f>TEXT(94244, "[$-0E0000]yyyy-mm-dd")</f>
        <v/>
      </c>
    </row>
    <row r="94246">
      <c r="A94246" s="1" t="n">
        <v>94245</v>
      </c>
      <c r="B94246">
        <f>TEXT(94245, "[$-0E0000]yyyy-mm-dd")</f>
        <v/>
      </c>
    </row>
    <row r="94247">
      <c r="A94247" s="1" t="n">
        <v>94246</v>
      </c>
      <c r="B94247">
        <f>TEXT(94246, "[$-0E0000]yyyy-mm-dd")</f>
        <v/>
      </c>
    </row>
    <row r="94248">
      <c r="A94248" s="1" t="n">
        <v>94247</v>
      </c>
      <c r="B94248">
        <f>TEXT(94247, "[$-0E0000]yyyy-mm-dd")</f>
        <v/>
      </c>
    </row>
    <row r="94249">
      <c r="A94249" s="1" t="n">
        <v>94248</v>
      </c>
      <c r="B94249">
        <f>TEXT(94248, "[$-0E0000]yyyy-mm-dd")</f>
        <v/>
      </c>
    </row>
    <row r="94250">
      <c r="A94250" s="1" t="n">
        <v>94249</v>
      </c>
      <c r="B94250">
        <f>TEXT(94249, "[$-0E0000]yyyy-mm-dd")</f>
        <v/>
      </c>
    </row>
    <row r="94251">
      <c r="A94251" s="1" t="n">
        <v>94250</v>
      </c>
      <c r="B94251">
        <f>TEXT(94250, "[$-0E0000]yyyy-mm-dd")</f>
        <v/>
      </c>
    </row>
    <row r="94252">
      <c r="A94252" s="1" t="n">
        <v>94251</v>
      </c>
      <c r="B94252">
        <f>TEXT(94251, "[$-0E0000]yyyy-mm-dd")</f>
        <v/>
      </c>
    </row>
    <row r="94253">
      <c r="A94253" s="1" t="n">
        <v>94252</v>
      </c>
      <c r="B94253">
        <f>TEXT(94252, "[$-0E0000]yyyy-mm-dd")</f>
        <v/>
      </c>
    </row>
    <row r="94254">
      <c r="A94254" s="1" t="n">
        <v>94253</v>
      </c>
      <c r="B94254">
        <f>TEXT(94253, "[$-0E0000]yyyy-mm-dd")</f>
        <v/>
      </c>
    </row>
    <row r="94255">
      <c r="A94255" s="1" t="n">
        <v>94254</v>
      </c>
      <c r="B94255">
        <f>TEXT(94254, "[$-0E0000]yyyy-mm-dd")</f>
        <v/>
      </c>
    </row>
    <row r="94256">
      <c r="A94256" s="1" t="n">
        <v>94255</v>
      </c>
      <c r="B94256">
        <f>TEXT(94255, "[$-0E0000]yyyy-mm-dd")</f>
        <v/>
      </c>
    </row>
    <row r="94257">
      <c r="A94257" s="1" t="n">
        <v>94256</v>
      </c>
      <c r="B94257">
        <f>TEXT(94256, "[$-0E0000]yyyy-mm-dd")</f>
        <v/>
      </c>
    </row>
    <row r="94258">
      <c r="A94258" s="1" t="n">
        <v>94257</v>
      </c>
      <c r="B94258">
        <f>TEXT(94257, "[$-0E0000]yyyy-mm-dd")</f>
        <v/>
      </c>
    </row>
    <row r="94259">
      <c r="A94259" s="1" t="n">
        <v>94258</v>
      </c>
      <c r="B94259">
        <f>TEXT(94258, "[$-0E0000]yyyy-mm-dd")</f>
        <v/>
      </c>
    </row>
    <row r="94260">
      <c r="A94260" s="1" t="n">
        <v>94259</v>
      </c>
      <c r="B94260">
        <f>TEXT(94259, "[$-0E0000]yyyy-mm-dd")</f>
        <v/>
      </c>
    </row>
    <row r="94261">
      <c r="A94261" s="1" t="n">
        <v>94260</v>
      </c>
      <c r="B94261">
        <f>TEXT(94260, "[$-0E0000]yyyy-mm-dd")</f>
        <v/>
      </c>
    </row>
    <row r="94262">
      <c r="A94262" s="1" t="n">
        <v>94261</v>
      </c>
      <c r="B94262">
        <f>TEXT(94261, "[$-0E0000]yyyy-mm-dd")</f>
        <v/>
      </c>
    </row>
    <row r="94263">
      <c r="A94263" s="1" t="n">
        <v>94262</v>
      </c>
      <c r="B94263">
        <f>TEXT(94262, "[$-0E0000]yyyy-mm-dd")</f>
        <v/>
      </c>
    </row>
    <row r="94264">
      <c r="A94264" s="1" t="n">
        <v>94263</v>
      </c>
      <c r="B94264">
        <f>TEXT(94263, "[$-0E0000]yyyy-mm-dd")</f>
        <v/>
      </c>
    </row>
    <row r="94265">
      <c r="A94265" s="1" t="n">
        <v>94264</v>
      </c>
      <c r="B94265">
        <f>TEXT(94264, "[$-0E0000]yyyy-mm-dd")</f>
        <v/>
      </c>
    </row>
    <row r="94266">
      <c r="A94266" s="1" t="n">
        <v>94265</v>
      </c>
      <c r="B94266">
        <f>TEXT(94265, "[$-0E0000]yyyy-mm-dd")</f>
        <v/>
      </c>
    </row>
    <row r="94267">
      <c r="A94267" s="1" t="n">
        <v>94266</v>
      </c>
      <c r="B94267">
        <f>TEXT(94266, "[$-0E0000]yyyy-mm-dd")</f>
        <v/>
      </c>
    </row>
    <row r="94268">
      <c r="A94268" s="1" t="n">
        <v>94267</v>
      </c>
      <c r="B94268">
        <f>TEXT(94267, "[$-0E0000]yyyy-mm-dd")</f>
        <v/>
      </c>
    </row>
    <row r="94269">
      <c r="A94269" s="1" t="n">
        <v>94268</v>
      </c>
      <c r="B94269">
        <f>TEXT(94268, "[$-0E0000]yyyy-mm-dd")</f>
        <v/>
      </c>
    </row>
    <row r="94270">
      <c r="A94270" s="1" t="n">
        <v>94269</v>
      </c>
      <c r="B94270">
        <f>TEXT(94269, "[$-0E0000]yyyy-mm-dd")</f>
        <v/>
      </c>
    </row>
    <row r="94271">
      <c r="A94271" s="1" t="n">
        <v>94270</v>
      </c>
      <c r="B94271">
        <f>TEXT(94270, "[$-0E0000]yyyy-mm-dd")</f>
        <v/>
      </c>
    </row>
    <row r="94272">
      <c r="A94272" s="1" t="n">
        <v>94271</v>
      </c>
      <c r="B94272">
        <f>TEXT(94271, "[$-0E0000]yyyy-mm-dd")</f>
        <v/>
      </c>
    </row>
    <row r="94273">
      <c r="A94273" s="1" t="n">
        <v>94272</v>
      </c>
      <c r="B94273">
        <f>TEXT(94272, "[$-0E0000]yyyy-mm-dd")</f>
        <v/>
      </c>
    </row>
    <row r="94274">
      <c r="A94274" s="1" t="n">
        <v>94273</v>
      </c>
      <c r="B94274">
        <f>TEXT(94273, "[$-0E0000]yyyy-mm-dd")</f>
        <v/>
      </c>
    </row>
    <row r="94275">
      <c r="A94275" s="1" t="n">
        <v>94274</v>
      </c>
      <c r="B94275">
        <f>TEXT(94274, "[$-0E0000]yyyy-mm-dd")</f>
        <v/>
      </c>
    </row>
    <row r="94276">
      <c r="A94276" s="1" t="n">
        <v>94275</v>
      </c>
      <c r="B94276">
        <f>TEXT(94275, "[$-0E0000]yyyy-mm-dd")</f>
        <v/>
      </c>
    </row>
    <row r="94277">
      <c r="A94277" s="1" t="n">
        <v>94276</v>
      </c>
      <c r="B94277">
        <f>TEXT(94276, "[$-0E0000]yyyy-mm-dd")</f>
        <v/>
      </c>
    </row>
    <row r="94278">
      <c r="A94278" s="1" t="n">
        <v>94277</v>
      </c>
      <c r="B94278">
        <f>TEXT(94277, "[$-0E0000]yyyy-mm-dd")</f>
        <v/>
      </c>
    </row>
    <row r="94279">
      <c r="A94279" s="1" t="n">
        <v>94278</v>
      </c>
      <c r="B94279">
        <f>TEXT(94278, "[$-0E0000]yyyy-mm-dd")</f>
        <v/>
      </c>
    </row>
    <row r="94280">
      <c r="A94280" s="1" t="n">
        <v>94279</v>
      </c>
      <c r="B94280">
        <f>TEXT(94279, "[$-0E0000]yyyy-mm-dd")</f>
        <v/>
      </c>
    </row>
    <row r="94281">
      <c r="A94281" s="1" t="n">
        <v>94280</v>
      </c>
      <c r="B94281">
        <f>TEXT(94280, "[$-0E0000]yyyy-mm-dd")</f>
        <v/>
      </c>
    </row>
    <row r="94282">
      <c r="A94282" s="1" t="n">
        <v>94281</v>
      </c>
      <c r="B94282">
        <f>TEXT(94281, "[$-0E0000]yyyy-mm-dd")</f>
        <v/>
      </c>
    </row>
    <row r="94283">
      <c r="A94283" s="1" t="n">
        <v>94282</v>
      </c>
      <c r="B94283">
        <f>TEXT(94282, "[$-0E0000]yyyy-mm-dd")</f>
        <v/>
      </c>
    </row>
    <row r="94284">
      <c r="A94284" s="1" t="n">
        <v>94283</v>
      </c>
      <c r="B94284">
        <f>TEXT(94283, "[$-0E0000]yyyy-mm-dd")</f>
        <v/>
      </c>
    </row>
    <row r="94285">
      <c r="A94285" s="1" t="n">
        <v>94284</v>
      </c>
      <c r="B94285">
        <f>TEXT(94284, "[$-0E0000]yyyy-mm-dd")</f>
        <v/>
      </c>
    </row>
    <row r="94286">
      <c r="A94286" s="1" t="n">
        <v>94285</v>
      </c>
      <c r="B94286">
        <f>TEXT(94285, "[$-0E0000]yyyy-mm-dd")</f>
        <v/>
      </c>
    </row>
    <row r="94287">
      <c r="A94287" s="1" t="n">
        <v>94286</v>
      </c>
      <c r="B94287">
        <f>TEXT(94286, "[$-0E0000]yyyy-mm-dd")</f>
        <v/>
      </c>
    </row>
    <row r="94288">
      <c r="A94288" s="1" t="n">
        <v>94287</v>
      </c>
      <c r="B94288">
        <f>TEXT(94287, "[$-0E0000]yyyy-mm-dd")</f>
        <v/>
      </c>
    </row>
    <row r="94289">
      <c r="A94289" s="1" t="n">
        <v>94288</v>
      </c>
      <c r="B94289">
        <f>TEXT(94288, "[$-0E0000]yyyy-mm-dd")</f>
        <v/>
      </c>
    </row>
    <row r="94290">
      <c r="A94290" s="1" t="n">
        <v>94289</v>
      </c>
      <c r="B94290">
        <f>TEXT(94289, "[$-0E0000]yyyy-mm-dd")</f>
        <v/>
      </c>
    </row>
    <row r="94291">
      <c r="A94291" s="1" t="n">
        <v>94290</v>
      </c>
      <c r="B94291">
        <f>TEXT(94290, "[$-0E0000]yyyy-mm-dd")</f>
        <v/>
      </c>
    </row>
    <row r="94292">
      <c r="A94292" s="1" t="n">
        <v>94291</v>
      </c>
      <c r="B94292">
        <f>TEXT(94291, "[$-0E0000]yyyy-mm-dd")</f>
        <v/>
      </c>
    </row>
    <row r="94293">
      <c r="A94293" s="1" t="n">
        <v>94292</v>
      </c>
      <c r="B94293">
        <f>TEXT(94292, "[$-0E0000]yyyy-mm-dd")</f>
        <v/>
      </c>
    </row>
    <row r="94294">
      <c r="A94294" s="1" t="n">
        <v>94293</v>
      </c>
      <c r="B94294">
        <f>TEXT(94293, "[$-0E0000]yyyy-mm-dd")</f>
        <v/>
      </c>
    </row>
    <row r="94295">
      <c r="A94295" s="1" t="n">
        <v>94294</v>
      </c>
      <c r="B94295">
        <f>TEXT(94294, "[$-0E0000]yyyy-mm-dd")</f>
        <v/>
      </c>
    </row>
    <row r="94296">
      <c r="A94296" s="1" t="n">
        <v>94295</v>
      </c>
      <c r="B94296">
        <f>TEXT(94295, "[$-0E0000]yyyy-mm-dd")</f>
        <v/>
      </c>
    </row>
    <row r="94297">
      <c r="A94297" s="1" t="n">
        <v>94296</v>
      </c>
      <c r="B94297">
        <f>TEXT(94296, "[$-0E0000]yyyy-mm-dd")</f>
        <v/>
      </c>
    </row>
    <row r="94298">
      <c r="A94298" s="1" t="n">
        <v>94297</v>
      </c>
      <c r="B94298">
        <f>TEXT(94297, "[$-0E0000]yyyy-mm-dd")</f>
        <v/>
      </c>
    </row>
    <row r="94299">
      <c r="A94299" s="1" t="n">
        <v>94298</v>
      </c>
      <c r="B94299">
        <f>TEXT(94298, "[$-0E0000]yyyy-mm-dd")</f>
        <v/>
      </c>
    </row>
    <row r="94300">
      <c r="A94300" s="1" t="n">
        <v>94299</v>
      </c>
      <c r="B94300">
        <f>TEXT(94299, "[$-0E0000]yyyy-mm-dd")</f>
        <v/>
      </c>
    </row>
    <row r="94301">
      <c r="A94301" s="1" t="n">
        <v>94300</v>
      </c>
      <c r="B94301">
        <f>TEXT(94300, "[$-0E0000]yyyy-mm-dd")</f>
        <v/>
      </c>
    </row>
    <row r="94302">
      <c r="A94302" s="1" t="n">
        <v>94301</v>
      </c>
      <c r="B94302">
        <f>TEXT(94301, "[$-0E0000]yyyy-mm-dd")</f>
        <v/>
      </c>
    </row>
    <row r="94303">
      <c r="A94303" s="1" t="n">
        <v>94302</v>
      </c>
      <c r="B94303">
        <f>TEXT(94302, "[$-0E0000]yyyy-mm-dd")</f>
        <v/>
      </c>
    </row>
    <row r="94304">
      <c r="A94304" s="1" t="n">
        <v>94303</v>
      </c>
      <c r="B94304">
        <f>TEXT(94303, "[$-0E0000]yyyy-mm-dd")</f>
        <v/>
      </c>
    </row>
    <row r="94305">
      <c r="A94305" s="1" t="n">
        <v>94304</v>
      </c>
      <c r="B94305">
        <f>TEXT(94304, "[$-0E0000]yyyy-mm-dd")</f>
        <v/>
      </c>
    </row>
    <row r="94306">
      <c r="A94306" s="1" t="n">
        <v>94305</v>
      </c>
      <c r="B94306">
        <f>TEXT(94305, "[$-0E0000]yyyy-mm-dd")</f>
        <v/>
      </c>
    </row>
    <row r="94307">
      <c r="A94307" s="1" t="n">
        <v>94306</v>
      </c>
      <c r="B94307">
        <f>TEXT(94306, "[$-0E0000]yyyy-mm-dd")</f>
        <v/>
      </c>
    </row>
    <row r="94308">
      <c r="A94308" s="1" t="n">
        <v>94307</v>
      </c>
      <c r="B94308">
        <f>TEXT(94307, "[$-0E0000]yyyy-mm-dd")</f>
        <v/>
      </c>
    </row>
    <row r="94309">
      <c r="A94309" s="1" t="n">
        <v>94308</v>
      </c>
      <c r="B94309">
        <f>TEXT(94308, "[$-0E0000]yyyy-mm-dd")</f>
        <v/>
      </c>
    </row>
    <row r="94310">
      <c r="A94310" s="1" t="n">
        <v>94309</v>
      </c>
      <c r="B94310">
        <f>TEXT(94309, "[$-0E0000]yyyy-mm-dd")</f>
        <v/>
      </c>
    </row>
    <row r="94311">
      <c r="A94311" s="1" t="n">
        <v>94310</v>
      </c>
      <c r="B94311">
        <f>TEXT(94310, "[$-0E0000]yyyy-mm-dd")</f>
        <v/>
      </c>
    </row>
    <row r="94312">
      <c r="A94312" s="1" t="n">
        <v>94311</v>
      </c>
      <c r="B94312">
        <f>TEXT(94311, "[$-0E0000]yyyy-mm-dd")</f>
        <v/>
      </c>
    </row>
    <row r="94313">
      <c r="A94313" s="1" t="n">
        <v>94312</v>
      </c>
      <c r="B94313">
        <f>TEXT(94312, "[$-0E0000]yyyy-mm-dd")</f>
        <v/>
      </c>
    </row>
    <row r="94314">
      <c r="A94314" s="1" t="n">
        <v>94313</v>
      </c>
      <c r="B94314">
        <f>TEXT(94313, "[$-0E0000]yyyy-mm-dd")</f>
        <v/>
      </c>
    </row>
    <row r="94315">
      <c r="A94315" s="1" t="n">
        <v>94314</v>
      </c>
      <c r="B94315">
        <f>TEXT(94314, "[$-0E0000]yyyy-mm-dd")</f>
        <v/>
      </c>
    </row>
    <row r="94316">
      <c r="A94316" s="1" t="n">
        <v>94315</v>
      </c>
      <c r="B94316">
        <f>TEXT(94315, "[$-0E0000]yyyy-mm-dd")</f>
        <v/>
      </c>
    </row>
    <row r="94317">
      <c r="A94317" s="1" t="n">
        <v>94316</v>
      </c>
      <c r="B94317">
        <f>TEXT(94316, "[$-0E0000]yyyy-mm-dd")</f>
        <v/>
      </c>
    </row>
    <row r="94318">
      <c r="A94318" s="1" t="n">
        <v>94317</v>
      </c>
      <c r="B94318">
        <f>TEXT(94317, "[$-0E0000]yyyy-mm-dd")</f>
        <v/>
      </c>
    </row>
    <row r="94319">
      <c r="A94319" s="1" t="n">
        <v>94318</v>
      </c>
      <c r="B94319">
        <f>TEXT(94318, "[$-0E0000]yyyy-mm-dd")</f>
        <v/>
      </c>
    </row>
    <row r="94320">
      <c r="A94320" s="1" t="n">
        <v>94319</v>
      </c>
      <c r="B94320">
        <f>TEXT(94319, "[$-0E0000]yyyy-mm-dd")</f>
        <v/>
      </c>
    </row>
    <row r="94321">
      <c r="A94321" s="1" t="n">
        <v>94320</v>
      </c>
      <c r="B94321">
        <f>TEXT(94320, "[$-0E0000]yyyy-mm-dd")</f>
        <v/>
      </c>
    </row>
    <row r="94322">
      <c r="A94322" s="1" t="n">
        <v>94321</v>
      </c>
      <c r="B94322">
        <f>TEXT(94321, "[$-0E0000]yyyy-mm-dd")</f>
        <v/>
      </c>
    </row>
    <row r="94323">
      <c r="A94323" s="1" t="n">
        <v>94322</v>
      </c>
      <c r="B94323">
        <f>TEXT(94322, "[$-0E0000]yyyy-mm-dd")</f>
        <v/>
      </c>
    </row>
    <row r="94324">
      <c r="A94324" s="1" t="n">
        <v>94323</v>
      </c>
      <c r="B94324">
        <f>TEXT(94323, "[$-0E0000]yyyy-mm-dd")</f>
        <v/>
      </c>
    </row>
    <row r="94325">
      <c r="A94325" s="1" t="n">
        <v>94324</v>
      </c>
      <c r="B94325">
        <f>TEXT(94324, "[$-0E0000]yyyy-mm-dd")</f>
        <v/>
      </c>
    </row>
    <row r="94326">
      <c r="A94326" s="1" t="n">
        <v>94325</v>
      </c>
      <c r="B94326">
        <f>TEXT(94325, "[$-0E0000]yyyy-mm-dd")</f>
        <v/>
      </c>
    </row>
    <row r="94327">
      <c r="A94327" s="1" t="n">
        <v>94326</v>
      </c>
      <c r="B94327">
        <f>TEXT(94326, "[$-0E0000]yyyy-mm-dd")</f>
        <v/>
      </c>
    </row>
    <row r="94328">
      <c r="A94328" s="1" t="n">
        <v>94327</v>
      </c>
      <c r="B94328">
        <f>TEXT(94327, "[$-0E0000]yyyy-mm-dd")</f>
        <v/>
      </c>
    </row>
    <row r="94329">
      <c r="A94329" s="1" t="n">
        <v>94328</v>
      </c>
      <c r="B94329">
        <f>TEXT(94328, "[$-0E0000]yyyy-mm-dd")</f>
        <v/>
      </c>
    </row>
    <row r="94330">
      <c r="A94330" s="1" t="n">
        <v>94329</v>
      </c>
      <c r="B94330">
        <f>TEXT(94329, "[$-0E0000]yyyy-mm-dd")</f>
        <v/>
      </c>
    </row>
    <row r="94331">
      <c r="A94331" s="1" t="n">
        <v>94330</v>
      </c>
      <c r="B94331">
        <f>TEXT(94330, "[$-0E0000]yyyy-mm-dd")</f>
        <v/>
      </c>
    </row>
    <row r="94332">
      <c r="A94332" s="1" t="n">
        <v>94331</v>
      </c>
      <c r="B94332">
        <f>TEXT(94331, "[$-0E0000]yyyy-mm-dd")</f>
        <v/>
      </c>
    </row>
    <row r="94333">
      <c r="A94333" s="1" t="n">
        <v>94332</v>
      </c>
      <c r="B94333">
        <f>TEXT(94332, "[$-0E0000]yyyy-mm-dd")</f>
        <v/>
      </c>
    </row>
    <row r="94334">
      <c r="A94334" s="1" t="n">
        <v>94333</v>
      </c>
      <c r="B94334">
        <f>TEXT(94333, "[$-0E0000]yyyy-mm-dd")</f>
        <v/>
      </c>
    </row>
    <row r="94335">
      <c r="A94335" s="1" t="n">
        <v>94334</v>
      </c>
      <c r="B94335">
        <f>TEXT(94334, "[$-0E0000]yyyy-mm-dd")</f>
        <v/>
      </c>
    </row>
    <row r="94336">
      <c r="A94336" s="1" t="n">
        <v>94335</v>
      </c>
      <c r="B94336">
        <f>TEXT(94335, "[$-0E0000]yyyy-mm-dd")</f>
        <v/>
      </c>
    </row>
    <row r="94337">
      <c r="A94337" s="1" t="n">
        <v>94336</v>
      </c>
      <c r="B94337">
        <f>TEXT(94336, "[$-0E0000]yyyy-mm-dd")</f>
        <v/>
      </c>
    </row>
    <row r="94338">
      <c r="A94338" s="1" t="n">
        <v>94337</v>
      </c>
      <c r="B94338">
        <f>TEXT(94337, "[$-0E0000]yyyy-mm-dd")</f>
        <v/>
      </c>
    </row>
    <row r="94339">
      <c r="A94339" s="1" t="n">
        <v>94338</v>
      </c>
      <c r="B94339">
        <f>TEXT(94338, "[$-0E0000]yyyy-mm-dd")</f>
        <v/>
      </c>
    </row>
    <row r="94340">
      <c r="A94340" s="1" t="n">
        <v>94339</v>
      </c>
      <c r="B94340">
        <f>TEXT(94339, "[$-0E0000]yyyy-mm-dd")</f>
        <v/>
      </c>
    </row>
    <row r="94341">
      <c r="A94341" s="1" t="n">
        <v>94340</v>
      </c>
      <c r="B94341">
        <f>TEXT(94340, "[$-0E0000]yyyy-mm-dd")</f>
        <v/>
      </c>
    </row>
    <row r="94342">
      <c r="A94342" s="1" t="n">
        <v>94341</v>
      </c>
      <c r="B94342">
        <f>TEXT(94341, "[$-0E0000]yyyy-mm-dd")</f>
        <v/>
      </c>
    </row>
    <row r="94343">
      <c r="A94343" s="1" t="n">
        <v>94342</v>
      </c>
      <c r="B94343">
        <f>TEXT(94342, "[$-0E0000]yyyy-mm-dd")</f>
        <v/>
      </c>
    </row>
    <row r="94344">
      <c r="A94344" s="1" t="n">
        <v>94343</v>
      </c>
      <c r="B94344">
        <f>TEXT(94343, "[$-0E0000]yyyy-mm-dd")</f>
        <v/>
      </c>
    </row>
    <row r="94345">
      <c r="A94345" s="1" t="n">
        <v>94344</v>
      </c>
      <c r="B94345">
        <f>TEXT(94344, "[$-0E0000]yyyy-mm-dd")</f>
        <v/>
      </c>
    </row>
    <row r="94346">
      <c r="A94346" s="1" t="n">
        <v>94345</v>
      </c>
      <c r="B94346">
        <f>TEXT(94345, "[$-0E0000]yyyy-mm-dd")</f>
        <v/>
      </c>
    </row>
    <row r="94347">
      <c r="A94347" s="1" t="n">
        <v>94346</v>
      </c>
      <c r="B94347">
        <f>TEXT(94346, "[$-0E0000]yyyy-mm-dd")</f>
        <v/>
      </c>
    </row>
    <row r="94348">
      <c r="A94348" s="1" t="n">
        <v>94347</v>
      </c>
      <c r="B94348">
        <f>TEXT(94347, "[$-0E0000]yyyy-mm-dd")</f>
        <v/>
      </c>
    </row>
    <row r="94349">
      <c r="A94349" s="1" t="n">
        <v>94348</v>
      </c>
      <c r="B94349">
        <f>TEXT(94348, "[$-0E0000]yyyy-mm-dd")</f>
        <v/>
      </c>
    </row>
    <row r="94350">
      <c r="A94350" s="1" t="n">
        <v>94349</v>
      </c>
      <c r="B94350">
        <f>TEXT(94349, "[$-0E0000]yyyy-mm-dd")</f>
        <v/>
      </c>
    </row>
    <row r="94351">
      <c r="A94351" s="1" t="n">
        <v>94350</v>
      </c>
      <c r="B94351">
        <f>TEXT(94350, "[$-0E0000]yyyy-mm-dd")</f>
        <v/>
      </c>
    </row>
    <row r="94352">
      <c r="A94352" s="1" t="n">
        <v>94351</v>
      </c>
      <c r="B94352">
        <f>TEXT(94351, "[$-0E0000]yyyy-mm-dd")</f>
        <v/>
      </c>
    </row>
    <row r="94353">
      <c r="A94353" s="1" t="n">
        <v>94352</v>
      </c>
      <c r="B94353">
        <f>TEXT(94352, "[$-0E0000]yyyy-mm-dd")</f>
        <v/>
      </c>
    </row>
    <row r="94354">
      <c r="A94354" s="1" t="n">
        <v>94353</v>
      </c>
      <c r="B94354">
        <f>TEXT(94353, "[$-0E0000]yyyy-mm-dd")</f>
        <v/>
      </c>
    </row>
    <row r="94355">
      <c r="A94355" s="1" t="n">
        <v>94354</v>
      </c>
      <c r="B94355">
        <f>TEXT(94354, "[$-0E0000]yyyy-mm-dd")</f>
        <v/>
      </c>
    </row>
    <row r="94356">
      <c r="A94356" s="1" t="n">
        <v>94355</v>
      </c>
      <c r="B94356">
        <f>TEXT(94355, "[$-0E0000]yyyy-mm-dd")</f>
        <v/>
      </c>
    </row>
    <row r="94357">
      <c r="A94357" s="1" t="n">
        <v>94356</v>
      </c>
      <c r="B94357">
        <f>TEXT(94356, "[$-0E0000]yyyy-mm-dd")</f>
        <v/>
      </c>
    </row>
    <row r="94358">
      <c r="A94358" s="1" t="n">
        <v>94357</v>
      </c>
      <c r="B94358">
        <f>TEXT(94357, "[$-0E0000]yyyy-mm-dd")</f>
        <v/>
      </c>
    </row>
    <row r="94359">
      <c r="A94359" s="1" t="n">
        <v>94358</v>
      </c>
      <c r="B94359">
        <f>TEXT(94358, "[$-0E0000]yyyy-mm-dd")</f>
        <v/>
      </c>
    </row>
    <row r="94360">
      <c r="A94360" s="1" t="n">
        <v>94359</v>
      </c>
      <c r="B94360">
        <f>TEXT(94359, "[$-0E0000]yyyy-mm-dd")</f>
        <v/>
      </c>
    </row>
    <row r="94361">
      <c r="A94361" s="1" t="n">
        <v>94360</v>
      </c>
      <c r="B94361">
        <f>TEXT(94360, "[$-0E0000]yyyy-mm-dd")</f>
        <v/>
      </c>
    </row>
    <row r="94362">
      <c r="A94362" s="1" t="n">
        <v>94361</v>
      </c>
      <c r="B94362">
        <f>TEXT(94361, "[$-0E0000]yyyy-mm-dd")</f>
        <v/>
      </c>
    </row>
    <row r="94363">
      <c r="A94363" s="1" t="n">
        <v>94362</v>
      </c>
      <c r="B94363">
        <f>TEXT(94362, "[$-0E0000]yyyy-mm-dd")</f>
        <v/>
      </c>
    </row>
    <row r="94364">
      <c r="A94364" s="1" t="n">
        <v>94363</v>
      </c>
      <c r="B94364">
        <f>TEXT(94363, "[$-0E0000]yyyy-mm-dd")</f>
        <v/>
      </c>
    </row>
    <row r="94365">
      <c r="A94365" s="1" t="n">
        <v>94364</v>
      </c>
      <c r="B94365">
        <f>TEXT(94364, "[$-0E0000]yyyy-mm-dd")</f>
        <v/>
      </c>
    </row>
    <row r="94366">
      <c r="A94366" s="1" t="n">
        <v>94365</v>
      </c>
      <c r="B94366">
        <f>TEXT(94365, "[$-0E0000]yyyy-mm-dd")</f>
        <v/>
      </c>
    </row>
    <row r="94367">
      <c r="A94367" s="1" t="n">
        <v>94366</v>
      </c>
      <c r="B94367">
        <f>TEXT(94366, "[$-0E0000]yyyy-mm-dd")</f>
        <v/>
      </c>
    </row>
    <row r="94368">
      <c r="A94368" s="1" t="n">
        <v>94367</v>
      </c>
      <c r="B94368">
        <f>TEXT(94367, "[$-0E0000]yyyy-mm-dd")</f>
        <v/>
      </c>
    </row>
    <row r="94369">
      <c r="A94369" s="1" t="n">
        <v>94368</v>
      </c>
      <c r="B94369">
        <f>TEXT(94368, "[$-0E0000]yyyy-mm-dd")</f>
        <v/>
      </c>
    </row>
    <row r="94370">
      <c r="A94370" s="1" t="n">
        <v>94369</v>
      </c>
      <c r="B94370">
        <f>TEXT(94369, "[$-0E0000]yyyy-mm-dd")</f>
        <v/>
      </c>
    </row>
    <row r="94371">
      <c r="A94371" s="1" t="n">
        <v>94370</v>
      </c>
      <c r="B94371">
        <f>TEXT(94370, "[$-0E0000]yyyy-mm-dd")</f>
        <v/>
      </c>
    </row>
    <row r="94372">
      <c r="A94372" s="1" t="n">
        <v>94371</v>
      </c>
      <c r="B94372">
        <f>TEXT(94371, "[$-0E0000]yyyy-mm-dd")</f>
        <v/>
      </c>
    </row>
    <row r="94373">
      <c r="A94373" s="1" t="n">
        <v>94372</v>
      </c>
      <c r="B94373">
        <f>TEXT(94372, "[$-0E0000]yyyy-mm-dd")</f>
        <v/>
      </c>
    </row>
    <row r="94374">
      <c r="A94374" s="1" t="n">
        <v>94373</v>
      </c>
      <c r="B94374">
        <f>TEXT(94373, "[$-0E0000]yyyy-mm-dd")</f>
        <v/>
      </c>
    </row>
    <row r="94375">
      <c r="A94375" s="1" t="n">
        <v>94374</v>
      </c>
      <c r="B94375">
        <f>TEXT(94374, "[$-0E0000]yyyy-mm-dd")</f>
        <v/>
      </c>
    </row>
    <row r="94376">
      <c r="A94376" s="1" t="n">
        <v>94375</v>
      </c>
      <c r="B94376">
        <f>TEXT(94375, "[$-0E0000]yyyy-mm-dd")</f>
        <v/>
      </c>
    </row>
    <row r="94377">
      <c r="A94377" s="1" t="n">
        <v>94376</v>
      </c>
      <c r="B94377">
        <f>TEXT(94376, "[$-0E0000]yyyy-mm-dd")</f>
        <v/>
      </c>
    </row>
    <row r="94378">
      <c r="A94378" s="1" t="n">
        <v>94377</v>
      </c>
      <c r="B94378">
        <f>TEXT(94377, "[$-0E0000]yyyy-mm-dd")</f>
        <v/>
      </c>
    </row>
    <row r="94379">
      <c r="A94379" s="1" t="n">
        <v>94378</v>
      </c>
      <c r="B94379">
        <f>TEXT(94378, "[$-0E0000]yyyy-mm-dd")</f>
        <v/>
      </c>
    </row>
    <row r="94380">
      <c r="A94380" s="1" t="n">
        <v>94379</v>
      </c>
      <c r="B94380">
        <f>TEXT(94379, "[$-0E0000]yyyy-mm-dd")</f>
        <v/>
      </c>
    </row>
    <row r="94381">
      <c r="A94381" s="1" t="n">
        <v>94380</v>
      </c>
      <c r="B94381">
        <f>TEXT(94380, "[$-0E0000]yyyy-mm-dd")</f>
        <v/>
      </c>
    </row>
    <row r="94382">
      <c r="A94382" s="1" t="n">
        <v>94381</v>
      </c>
      <c r="B94382">
        <f>TEXT(94381, "[$-0E0000]yyyy-mm-dd")</f>
        <v/>
      </c>
    </row>
    <row r="94383">
      <c r="A94383" s="1" t="n">
        <v>94382</v>
      </c>
      <c r="B94383">
        <f>TEXT(94382, "[$-0E0000]yyyy-mm-dd")</f>
        <v/>
      </c>
    </row>
    <row r="94384">
      <c r="A94384" s="1" t="n">
        <v>94383</v>
      </c>
      <c r="B94384">
        <f>TEXT(94383, "[$-0E0000]yyyy-mm-dd")</f>
        <v/>
      </c>
    </row>
    <row r="94385">
      <c r="A94385" s="1" t="n">
        <v>94384</v>
      </c>
      <c r="B94385">
        <f>TEXT(94384, "[$-0E0000]yyyy-mm-dd")</f>
        <v/>
      </c>
    </row>
    <row r="94386">
      <c r="A94386" s="1" t="n">
        <v>94385</v>
      </c>
      <c r="B94386">
        <f>TEXT(94385, "[$-0E0000]yyyy-mm-dd")</f>
        <v/>
      </c>
    </row>
    <row r="94387">
      <c r="A94387" s="1" t="n">
        <v>94386</v>
      </c>
      <c r="B94387">
        <f>TEXT(94386, "[$-0E0000]yyyy-mm-dd")</f>
        <v/>
      </c>
    </row>
    <row r="94388">
      <c r="A94388" s="1" t="n">
        <v>94387</v>
      </c>
      <c r="B94388">
        <f>TEXT(94387, "[$-0E0000]yyyy-mm-dd")</f>
        <v/>
      </c>
    </row>
    <row r="94389">
      <c r="A94389" s="1" t="n">
        <v>94388</v>
      </c>
      <c r="B94389">
        <f>TEXT(94388, "[$-0E0000]yyyy-mm-dd")</f>
        <v/>
      </c>
    </row>
    <row r="94390">
      <c r="A94390" s="1" t="n">
        <v>94389</v>
      </c>
      <c r="B94390">
        <f>TEXT(94389, "[$-0E0000]yyyy-mm-dd")</f>
        <v/>
      </c>
    </row>
    <row r="94391">
      <c r="A94391" s="1" t="n">
        <v>94390</v>
      </c>
      <c r="B94391">
        <f>TEXT(94390, "[$-0E0000]yyyy-mm-dd")</f>
        <v/>
      </c>
    </row>
    <row r="94392">
      <c r="A94392" s="1" t="n">
        <v>94391</v>
      </c>
      <c r="B94392">
        <f>TEXT(94391, "[$-0E0000]yyyy-mm-dd")</f>
        <v/>
      </c>
    </row>
    <row r="94393">
      <c r="A94393" s="1" t="n">
        <v>94392</v>
      </c>
      <c r="B94393">
        <f>TEXT(94392, "[$-0E0000]yyyy-mm-dd")</f>
        <v/>
      </c>
    </row>
    <row r="94394">
      <c r="A94394" s="1" t="n">
        <v>94393</v>
      </c>
      <c r="B94394">
        <f>TEXT(94393, "[$-0E0000]yyyy-mm-dd")</f>
        <v/>
      </c>
    </row>
    <row r="94395">
      <c r="A94395" s="1" t="n">
        <v>94394</v>
      </c>
      <c r="B94395">
        <f>TEXT(94394, "[$-0E0000]yyyy-mm-dd")</f>
        <v/>
      </c>
    </row>
    <row r="94396">
      <c r="A94396" s="1" t="n">
        <v>94395</v>
      </c>
      <c r="B94396">
        <f>TEXT(94395, "[$-0E0000]yyyy-mm-dd")</f>
        <v/>
      </c>
    </row>
    <row r="94397">
      <c r="A94397" s="1" t="n">
        <v>94396</v>
      </c>
      <c r="B94397">
        <f>TEXT(94396, "[$-0E0000]yyyy-mm-dd")</f>
        <v/>
      </c>
    </row>
    <row r="94398">
      <c r="A94398" s="1" t="n">
        <v>94397</v>
      </c>
      <c r="B94398">
        <f>TEXT(94397, "[$-0E0000]yyyy-mm-dd")</f>
        <v/>
      </c>
    </row>
    <row r="94399">
      <c r="A94399" s="1" t="n">
        <v>94398</v>
      </c>
      <c r="B94399">
        <f>TEXT(94398, "[$-0E0000]yyyy-mm-dd")</f>
        <v/>
      </c>
    </row>
    <row r="94400">
      <c r="A94400" s="1" t="n">
        <v>94399</v>
      </c>
      <c r="B94400">
        <f>TEXT(94399, "[$-0E0000]yyyy-mm-dd")</f>
        <v/>
      </c>
    </row>
    <row r="94401">
      <c r="A94401" s="1" t="n">
        <v>94400</v>
      </c>
      <c r="B94401">
        <f>TEXT(94400, "[$-0E0000]yyyy-mm-dd")</f>
        <v/>
      </c>
    </row>
    <row r="94402">
      <c r="A94402" s="1" t="n">
        <v>94401</v>
      </c>
      <c r="B94402">
        <f>TEXT(94401, "[$-0E0000]yyyy-mm-dd")</f>
        <v/>
      </c>
    </row>
    <row r="94403">
      <c r="A94403" s="1" t="n">
        <v>94402</v>
      </c>
      <c r="B94403">
        <f>TEXT(94402, "[$-0E0000]yyyy-mm-dd")</f>
        <v/>
      </c>
    </row>
    <row r="94404">
      <c r="A94404" s="1" t="n">
        <v>94403</v>
      </c>
      <c r="B94404">
        <f>TEXT(94403, "[$-0E0000]yyyy-mm-dd")</f>
        <v/>
      </c>
    </row>
    <row r="94405">
      <c r="A94405" s="1" t="n">
        <v>94404</v>
      </c>
      <c r="B94405">
        <f>TEXT(94404, "[$-0E0000]yyyy-mm-dd")</f>
        <v/>
      </c>
    </row>
    <row r="94406">
      <c r="A94406" s="1" t="n">
        <v>94405</v>
      </c>
      <c r="B94406">
        <f>TEXT(94405, "[$-0E0000]yyyy-mm-dd")</f>
        <v/>
      </c>
    </row>
    <row r="94407">
      <c r="A94407" s="1" t="n">
        <v>94406</v>
      </c>
      <c r="B94407">
        <f>TEXT(94406, "[$-0E0000]yyyy-mm-dd")</f>
        <v/>
      </c>
    </row>
    <row r="94408">
      <c r="A94408" s="1" t="n">
        <v>94407</v>
      </c>
      <c r="B94408">
        <f>TEXT(94407, "[$-0E0000]yyyy-mm-dd")</f>
        <v/>
      </c>
    </row>
    <row r="94409">
      <c r="A94409" s="1" t="n">
        <v>94408</v>
      </c>
      <c r="B94409">
        <f>TEXT(94408, "[$-0E0000]yyyy-mm-dd")</f>
        <v/>
      </c>
    </row>
    <row r="94410">
      <c r="A94410" s="1" t="n">
        <v>94409</v>
      </c>
      <c r="B94410">
        <f>TEXT(94409, "[$-0E0000]yyyy-mm-dd")</f>
        <v/>
      </c>
    </row>
    <row r="94411">
      <c r="A94411" s="1" t="n">
        <v>94410</v>
      </c>
      <c r="B94411">
        <f>TEXT(94410, "[$-0E0000]yyyy-mm-dd")</f>
        <v/>
      </c>
    </row>
    <row r="94412">
      <c r="A94412" s="1" t="n">
        <v>94411</v>
      </c>
      <c r="B94412">
        <f>TEXT(94411, "[$-0E0000]yyyy-mm-dd")</f>
        <v/>
      </c>
    </row>
    <row r="94413">
      <c r="A94413" s="1" t="n">
        <v>94412</v>
      </c>
      <c r="B94413">
        <f>TEXT(94412, "[$-0E0000]yyyy-mm-dd")</f>
        <v/>
      </c>
    </row>
    <row r="94414">
      <c r="A94414" s="1" t="n">
        <v>94413</v>
      </c>
      <c r="B94414">
        <f>TEXT(94413, "[$-0E0000]yyyy-mm-dd")</f>
        <v/>
      </c>
    </row>
    <row r="94415">
      <c r="A94415" s="1" t="n">
        <v>94414</v>
      </c>
      <c r="B94415">
        <f>TEXT(94414, "[$-0E0000]yyyy-mm-dd")</f>
        <v/>
      </c>
    </row>
    <row r="94416">
      <c r="A94416" s="1" t="n">
        <v>94415</v>
      </c>
      <c r="B94416">
        <f>TEXT(94415, "[$-0E0000]yyyy-mm-dd")</f>
        <v/>
      </c>
    </row>
    <row r="94417">
      <c r="A94417" s="1" t="n">
        <v>94416</v>
      </c>
      <c r="B94417">
        <f>TEXT(94416, "[$-0E0000]yyyy-mm-dd")</f>
        <v/>
      </c>
    </row>
    <row r="94418">
      <c r="A94418" s="1" t="n">
        <v>94417</v>
      </c>
      <c r="B94418">
        <f>TEXT(94417, "[$-0E0000]yyyy-mm-dd")</f>
        <v/>
      </c>
    </row>
    <row r="94419">
      <c r="A94419" s="1" t="n">
        <v>94418</v>
      </c>
      <c r="B94419">
        <f>TEXT(94418, "[$-0E0000]yyyy-mm-dd")</f>
        <v/>
      </c>
    </row>
    <row r="94420">
      <c r="A94420" s="1" t="n">
        <v>94419</v>
      </c>
      <c r="B94420">
        <f>TEXT(94419, "[$-0E0000]yyyy-mm-dd")</f>
        <v/>
      </c>
    </row>
    <row r="94421">
      <c r="A94421" s="1" t="n">
        <v>94420</v>
      </c>
      <c r="B94421">
        <f>TEXT(94420, "[$-0E0000]yyyy-mm-dd")</f>
        <v/>
      </c>
    </row>
    <row r="94422">
      <c r="A94422" s="1" t="n">
        <v>94421</v>
      </c>
      <c r="B94422">
        <f>TEXT(94421, "[$-0E0000]yyyy-mm-dd")</f>
        <v/>
      </c>
    </row>
    <row r="94423">
      <c r="A94423" s="1" t="n">
        <v>94422</v>
      </c>
      <c r="B94423">
        <f>TEXT(94422, "[$-0E0000]yyyy-mm-dd")</f>
        <v/>
      </c>
    </row>
    <row r="94424">
      <c r="A94424" s="1" t="n">
        <v>94423</v>
      </c>
      <c r="B94424">
        <f>TEXT(94423, "[$-0E0000]yyyy-mm-dd")</f>
        <v/>
      </c>
    </row>
    <row r="94425">
      <c r="A94425" s="1" t="n">
        <v>94424</v>
      </c>
      <c r="B94425">
        <f>TEXT(94424, "[$-0E0000]yyyy-mm-dd")</f>
        <v/>
      </c>
    </row>
    <row r="94426">
      <c r="A94426" s="1" t="n">
        <v>94425</v>
      </c>
      <c r="B94426">
        <f>TEXT(94425, "[$-0E0000]yyyy-mm-dd")</f>
        <v/>
      </c>
    </row>
    <row r="94427">
      <c r="A94427" s="1" t="n">
        <v>94426</v>
      </c>
      <c r="B94427">
        <f>TEXT(94426, "[$-0E0000]yyyy-mm-dd")</f>
        <v/>
      </c>
    </row>
    <row r="94428">
      <c r="A94428" s="1" t="n">
        <v>94427</v>
      </c>
      <c r="B94428">
        <f>TEXT(94427, "[$-0E0000]yyyy-mm-dd")</f>
        <v/>
      </c>
    </row>
    <row r="94429">
      <c r="A94429" s="1" t="n">
        <v>94428</v>
      </c>
      <c r="B94429">
        <f>TEXT(94428, "[$-0E0000]yyyy-mm-dd")</f>
        <v/>
      </c>
    </row>
    <row r="94430">
      <c r="A94430" s="1" t="n">
        <v>94429</v>
      </c>
      <c r="B94430">
        <f>TEXT(94429, "[$-0E0000]yyyy-mm-dd")</f>
        <v/>
      </c>
    </row>
    <row r="94431">
      <c r="A94431" s="1" t="n">
        <v>94430</v>
      </c>
      <c r="B94431">
        <f>TEXT(94430, "[$-0E0000]yyyy-mm-dd")</f>
        <v/>
      </c>
    </row>
    <row r="94432">
      <c r="A94432" s="1" t="n">
        <v>94431</v>
      </c>
      <c r="B94432">
        <f>TEXT(94431, "[$-0E0000]yyyy-mm-dd")</f>
        <v/>
      </c>
    </row>
    <row r="94433">
      <c r="A94433" s="1" t="n">
        <v>94432</v>
      </c>
      <c r="B94433">
        <f>TEXT(94432, "[$-0E0000]yyyy-mm-dd")</f>
        <v/>
      </c>
    </row>
    <row r="94434">
      <c r="A94434" s="1" t="n">
        <v>94433</v>
      </c>
      <c r="B94434">
        <f>TEXT(94433, "[$-0E0000]yyyy-mm-dd")</f>
        <v/>
      </c>
    </row>
    <row r="94435">
      <c r="A94435" s="1" t="n">
        <v>94434</v>
      </c>
      <c r="B94435">
        <f>TEXT(94434, "[$-0E0000]yyyy-mm-dd")</f>
        <v/>
      </c>
    </row>
    <row r="94436">
      <c r="A94436" s="1" t="n">
        <v>94435</v>
      </c>
      <c r="B94436">
        <f>TEXT(94435, "[$-0E0000]yyyy-mm-dd")</f>
        <v/>
      </c>
    </row>
    <row r="94437">
      <c r="A94437" s="1" t="n">
        <v>94436</v>
      </c>
      <c r="B94437">
        <f>TEXT(94436, "[$-0E0000]yyyy-mm-dd")</f>
        <v/>
      </c>
    </row>
    <row r="94438">
      <c r="A94438" s="1" t="n">
        <v>94437</v>
      </c>
      <c r="B94438">
        <f>TEXT(94437, "[$-0E0000]yyyy-mm-dd")</f>
        <v/>
      </c>
    </row>
    <row r="94439">
      <c r="A94439" s="1" t="n">
        <v>94438</v>
      </c>
      <c r="B94439">
        <f>TEXT(94438, "[$-0E0000]yyyy-mm-dd")</f>
        <v/>
      </c>
    </row>
    <row r="94440">
      <c r="A94440" s="1" t="n">
        <v>94439</v>
      </c>
      <c r="B94440">
        <f>TEXT(94439, "[$-0E0000]yyyy-mm-dd")</f>
        <v/>
      </c>
    </row>
    <row r="94441">
      <c r="A94441" s="1" t="n">
        <v>94440</v>
      </c>
      <c r="B94441">
        <f>TEXT(94440, "[$-0E0000]yyyy-mm-dd")</f>
        <v/>
      </c>
    </row>
    <row r="94442">
      <c r="A94442" s="1" t="n">
        <v>94441</v>
      </c>
      <c r="B94442">
        <f>TEXT(94441, "[$-0E0000]yyyy-mm-dd")</f>
        <v/>
      </c>
    </row>
    <row r="94443">
      <c r="A94443" s="1" t="n">
        <v>94442</v>
      </c>
      <c r="B94443">
        <f>TEXT(94442, "[$-0E0000]yyyy-mm-dd")</f>
        <v/>
      </c>
    </row>
    <row r="94444">
      <c r="A94444" s="1" t="n">
        <v>94443</v>
      </c>
      <c r="B94444">
        <f>TEXT(94443, "[$-0E0000]yyyy-mm-dd")</f>
        <v/>
      </c>
    </row>
    <row r="94445">
      <c r="A94445" s="1" t="n">
        <v>94444</v>
      </c>
      <c r="B94445">
        <f>TEXT(94444, "[$-0E0000]yyyy-mm-dd")</f>
        <v/>
      </c>
    </row>
    <row r="94446">
      <c r="A94446" s="1" t="n">
        <v>94445</v>
      </c>
      <c r="B94446">
        <f>TEXT(94445, "[$-0E0000]yyyy-mm-dd")</f>
        <v/>
      </c>
    </row>
    <row r="94447">
      <c r="A94447" s="1" t="n">
        <v>94446</v>
      </c>
      <c r="B94447">
        <f>TEXT(94446, "[$-0E0000]yyyy-mm-dd")</f>
        <v/>
      </c>
    </row>
    <row r="94448">
      <c r="A94448" s="1" t="n">
        <v>94447</v>
      </c>
      <c r="B94448">
        <f>TEXT(94447, "[$-0E0000]yyyy-mm-dd")</f>
        <v/>
      </c>
    </row>
    <row r="94449">
      <c r="A94449" s="1" t="n">
        <v>94448</v>
      </c>
      <c r="B94449">
        <f>TEXT(94448, "[$-0E0000]yyyy-mm-dd")</f>
        <v/>
      </c>
    </row>
    <row r="94450">
      <c r="A94450" s="1" t="n">
        <v>94449</v>
      </c>
      <c r="B94450">
        <f>TEXT(94449, "[$-0E0000]yyyy-mm-dd")</f>
        <v/>
      </c>
    </row>
    <row r="94451">
      <c r="A94451" s="1" t="n">
        <v>94450</v>
      </c>
      <c r="B94451">
        <f>TEXT(94450, "[$-0E0000]yyyy-mm-dd")</f>
        <v/>
      </c>
    </row>
    <row r="94452">
      <c r="A94452" s="1" t="n">
        <v>94451</v>
      </c>
      <c r="B94452">
        <f>TEXT(94451, "[$-0E0000]yyyy-mm-dd")</f>
        <v/>
      </c>
    </row>
    <row r="94453">
      <c r="A94453" s="1" t="n">
        <v>94452</v>
      </c>
      <c r="B94453">
        <f>TEXT(94452, "[$-0E0000]yyyy-mm-dd")</f>
        <v/>
      </c>
    </row>
    <row r="94454">
      <c r="A94454" s="1" t="n">
        <v>94453</v>
      </c>
      <c r="B94454">
        <f>TEXT(94453, "[$-0E0000]yyyy-mm-dd")</f>
        <v/>
      </c>
    </row>
    <row r="94455">
      <c r="A94455" s="1" t="n">
        <v>94454</v>
      </c>
      <c r="B94455">
        <f>TEXT(94454, "[$-0E0000]yyyy-mm-dd")</f>
        <v/>
      </c>
    </row>
    <row r="94456">
      <c r="A94456" s="1" t="n">
        <v>94455</v>
      </c>
      <c r="B94456">
        <f>TEXT(94455, "[$-0E0000]yyyy-mm-dd")</f>
        <v/>
      </c>
    </row>
    <row r="94457">
      <c r="A94457" s="1" t="n">
        <v>94456</v>
      </c>
      <c r="B94457">
        <f>TEXT(94456, "[$-0E0000]yyyy-mm-dd")</f>
        <v/>
      </c>
    </row>
    <row r="94458">
      <c r="A94458" s="1" t="n">
        <v>94457</v>
      </c>
      <c r="B94458">
        <f>TEXT(94457, "[$-0E0000]yyyy-mm-dd")</f>
        <v/>
      </c>
    </row>
    <row r="94459">
      <c r="A94459" s="1" t="n">
        <v>94458</v>
      </c>
      <c r="B94459">
        <f>TEXT(94458, "[$-0E0000]yyyy-mm-dd")</f>
        <v/>
      </c>
    </row>
    <row r="94460">
      <c r="A94460" s="1" t="n">
        <v>94459</v>
      </c>
      <c r="B94460">
        <f>TEXT(94459, "[$-0E0000]yyyy-mm-dd")</f>
        <v/>
      </c>
    </row>
    <row r="94461">
      <c r="A94461" s="1" t="n">
        <v>94460</v>
      </c>
      <c r="B94461">
        <f>TEXT(94460, "[$-0E0000]yyyy-mm-dd")</f>
        <v/>
      </c>
    </row>
    <row r="94462">
      <c r="A94462" s="1" t="n">
        <v>94461</v>
      </c>
      <c r="B94462">
        <f>TEXT(94461, "[$-0E0000]yyyy-mm-dd")</f>
        <v/>
      </c>
    </row>
    <row r="94463">
      <c r="A94463" s="1" t="n">
        <v>94462</v>
      </c>
      <c r="B94463">
        <f>TEXT(94462, "[$-0E0000]yyyy-mm-dd")</f>
        <v/>
      </c>
    </row>
    <row r="94464">
      <c r="A94464" s="1" t="n">
        <v>94463</v>
      </c>
      <c r="B94464">
        <f>TEXT(94463, "[$-0E0000]yyyy-mm-dd")</f>
        <v/>
      </c>
    </row>
    <row r="94465">
      <c r="A94465" s="1" t="n">
        <v>94464</v>
      </c>
      <c r="B94465">
        <f>TEXT(94464, "[$-0E0000]yyyy-mm-dd")</f>
        <v/>
      </c>
    </row>
    <row r="94466">
      <c r="A94466" s="1" t="n">
        <v>94465</v>
      </c>
      <c r="B94466">
        <f>TEXT(94465, "[$-0E0000]yyyy-mm-dd")</f>
        <v/>
      </c>
    </row>
    <row r="94467">
      <c r="A94467" s="1" t="n">
        <v>94466</v>
      </c>
      <c r="B94467">
        <f>TEXT(94466, "[$-0E0000]yyyy-mm-dd")</f>
        <v/>
      </c>
    </row>
    <row r="94468">
      <c r="A94468" s="1" t="n">
        <v>94467</v>
      </c>
      <c r="B94468">
        <f>TEXT(94467, "[$-0E0000]yyyy-mm-dd")</f>
        <v/>
      </c>
    </row>
    <row r="94469">
      <c r="A94469" s="1" t="n">
        <v>94468</v>
      </c>
      <c r="B94469">
        <f>TEXT(94468, "[$-0E0000]yyyy-mm-dd")</f>
        <v/>
      </c>
    </row>
    <row r="94470">
      <c r="A94470" s="1" t="n">
        <v>94469</v>
      </c>
      <c r="B94470">
        <f>TEXT(94469, "[$-0E0000]yyyy-mm-dd")</f>
        <v/>
      </c>
    </row>
    <row r="94471">
      <c r="A94471" s="1" t="n">
        <v>94470</v>
      </c>
      <c r="B94471">
        <f>TEXT(94470, "[$-0E0000]yyyy-mm-dd")</f>
        <v/>
      </c>
    </row>
    <row r="94472">
      <c r="A94472" s="1" t="n">
        <v>94471</v>
      </c>
      <c r="B94472">
        <f>TEXT(94471, "[$-0E0000]yyyy-mm-dd")</f>
        <v/>
      </c>
    </row>
    <row r="94473">
      <c r="A94473" s="1" t="n">
        <v>94472</v>
      </c>
      <c r="B94473">
        <f>TEXT(94472, "[$-0E0000]yyyy-mm-dd")</f>
        <v/>
      </c>
    </row>
    <row r="94474">
      <c r="A94474" s="1" t="n">
        <v>94473</v>
      </c>
      <c r="B94474">
        <f>TEXT(94473, "[$-0E0000]yyyy-mm-dd")</f>
        <v/>
      </c>
    </row>
    <row r="94475">
      <c r="A94475" s="1" t="n">
        <v>94474</v>
      </c>
      <c r="B94475">
        <f>TEXT(94474, "[$-0E0000]yyyy-mm-dd")</f>
        <v/>
      </c>
    </row>
    <row r="94476">
      <c r="A94476" s="1" t="n">
        <v>94475</v>
      </c>
      <c r="B94476">
        <f>TEXT(94475, "[$-0E0000]yyyy-mm-dd")</f>
        <v/>
      </c>
    </row>
    <row r="94477">
      <c r="A94477" s="1" t="n">
        <v>94476</v>
      </c>
      <c r="B94477">
        <f>TEXT(94476, "[$-0E0000]yyyy-mm-dd")</f>
        <v/>
      </c>
    </row>
    <row r="94478">
      <c r="A94478" s="1" t="n">
        <v>94477</v>
      </c>
      <c r="B94478">
        <f>TEXT(94477, "[$-0E0000]yyyy-mm-dd")</f>
        <v/>
      </c>
    </row>
    <row r="94479">
      <c r="A94479" s="1" t="n">
        <v>94478</v>
      </c>
      <c r="B94479">
        <f>TEXT(94478, "[$-0E0000]yyyy-mm-dd")</f>
        <v/>
      </c>
    </row>
    <row r="94480">
      <c r="A94480" s="1" t="n">
        <v>94479</v>
      </c>
      <c r="B94480">
        <f>TEXT(94479, "[$-0E0000]yyyy-mm-dd")</f>
        <v/>
      </c>
    </row>
    <row r="94481">
      <c r="A94481" s="1" t="n">
        <v>94480</v>
      </c>
      <c r="B94481">
        <f>TEXT(94480, "[$-0E0000]yyyy-mm-dd")</f>
        <v/>
      </c>
    </row>
    <row r="94482">
      <c r="A94482" s="1" t="n">
        <v>94481</v>
      </c>
      <c r="B94482">
        <f>TEXT(94481, "[$-0E0000]yyyy-mm-dd")</f>
        <v/>
      </c>
    </row>
    <row r="94483">
      <c r="A94483" s="1" t="n">
        <v>94482</v>
      </c>
      <c r="B94483">
        <f>TEXT(94482, "[$-0E0000]yyyy-mm-dd")</f>
        <v/>
      </c>
    </row>
    <row r="94484">
      <c r="A94484" s="1" t="n">
        <v>94483</v>
      </c>
      <c r="B94484">
        <f>TEXT(94483, "[$-0E0000]yyyy-mm-dd")</f>
        <v/>
      </c>
    </row>
    <row r="94485">
      <c r="A94485" s="1" t="n">
        <v>94484</v>
      </c>
      <c r="B94485">
        <f>TEXT(94484, "[$-0E0000]yyyy-mm-dd")</f>
        <v/>
      </c>
    </row>
    <row r="94486">
      <c r="A94486" s="1" t="n">
        <v>94485</v>
      </c>
      <c r="B94486">
        <f>TEXT(94485, "[$-0E0000]yyyy-mm-dd")</f>
        <v/>
      </c>
    </row>
    <row r="94487">
      <c r="A94487" s="1" t="n">
        <v>94486</v>
      </c>
      <c r="B94487">
        <f>TEXT(94486, "[$-0E0000]yyyy-mm-dd")</f>
        <v/>
      </c>
    </row>
    <row r="94488">
      <c r="A94488" s="1" t="n">
        <v>94487</v>
      </c>
      <c r="B94488">
        <f>TEXT(94487, "[$-0E0000]yyyy-mm-dd")</f>
        <v/>
      </c>
    </row>
    <row r="94489">
      <c r="A94489" s="1" t="n">
        <v>94488</v>
      </c>
      <c r="B94489">
        <f>TEXT(94488, "[$-0E0000]yyyy-mm-dd")</f>
        <v/>
      </c>
    </row>
    <row r="94490">
      <c r="A94490" s="1" t="n">
        <v>94489</v>
      </c>
      <c r="B94490">
        <f>TEXT(94489, "[$-0E0000]yyyy-mm-dd")</f>
        <v/>
      </c>
    </row>
    <row r="94491">
      <c r="A94491" s="1" t="n">
        <v>94490</v>
      </c>
      <c r="B94491">
        <f>TEXT(94490, "[$-0E0000]yyyy-mm-dd")</f>
        <v/>
      </c>
    </row>
    <row r="94492">
      <c r="A94492" s="1" t="n">
        <v>94491</v>
      </c>
      <c r="B94492">
        <f>TEXT(94491, "[$-0E0000]yyyy-mm-dd")</f>
        <v/>
      </c>
    </row>
    <row r="94493">
      <c r="A94493" s="1" t="n">
        <v>94492</v>
      </c>
      <c r="B94493">
        <f>TEXT(94492, "[$-0E0000]yyyy-mm-dd")</f>
        <v/>
      </c>
    </row>
    <row r="94494">
      <c r="A94494" s="1" t="n">
        <v>94493</v>
      </c>
      <c r="B94494">
        <f>TEXT(94493, "[$-0E0000]yyyy-mm-dd")</f>
        <v/>
      </c>
    </row>
    <row r="94495">
      <c r="A94495" s="1" t="n">
        <v>94494</v>
      </c>
      <c r="B94495">
        <f>TEXT(94494, "[$-0E0000]yyyy-mm-dd")</f>
        <v/>
      </c>
    </row>
    <row r="94496">
      <c r="A94496" s="1" t="n">
        <v>94495</v>
      </c>
      <c r="B94496">
        <f>TEXT(94495, "[$-0E0000]yyyy-mm-dd")</f>
        <v/>
      </c>
    </row>
    <row r="94497">
      <c r="A94497" s="1" t="n">
        <v>94496</v>
      </c>
      <c r="B94497">
        <f>TEXT(94496, "[$-0E0000]yyyy-mm-dd")</f>
        <v/>
      </c>
    </row>
    <row r="94498">
      <c r="A94498" s="1" t="n">
        <v>94497</v>
      </c>
      <c r="B94498">
        <f>TEXT(94497, "[$-0E0000]yyyy-mm-dd")</f>
        <v/>
      </c>
    </row>
    <row r="94499">
      <c r="A94499" s="1" t="n">
        <v>94498</v>
      </c>
      <c r="B94499">
        <f>TEXT(94498, "[$-0E0000]yyyy-mm-dd")</f>
        <v/>
      </c>
    </row>
    <row r="94500">
      <c r="A94500" s="1" t="n">
        <v>94499</v>
      </c>
      <c r="B94500">
        <f>TEXT(94499, "[$-0E0000]yyyy-mm-dd")</f>
        <v/>
      </c>
    </row>
    <row r="94501">
      <c r="A94501" s="1" t="n">
        <v>94500</v>
      </c>
      <c r="B94501">
        <f>TEXT(94500, "[$-0E0000]yyyy-mm-dd")</f>
        <v/>
      </c>
    </row>
    <row r="94502">
      <c r="A94502" s="1" t="n">
        <v>94501</v>
      </c>
      <c r="B94502">
        <f>TEXT(94501, "[$-0E0000]yyyy-mm-dd")</f>
        <v/>
      </c>
    </row>
    <row r="94503">
      <c r="A94503" s="1" t="n">
        <v>94502</v>
      </c>
      <c r="B94503">
        <f>TEXT(94502, "[$-0E0000]yyyy-mm-dd")</f>
        <v/>
      </c>
    </row>
    <row r="94504">
      <c r="A94504" s="1" t="n">
        <v>94503</v>
      </c>
      <c r="B94504">
        <f>TEXT(94503, "[$-0E0000]yyyy-mm-dd")</f>
        <v/>
      </c>
    </row>
    <row r="94505">
      <c r="A94505" s="1" t="n">
        <v>94504</v>
      </c>
      <c r="B94505">
        <f>TEXT(94504, "[$-0E0000]yyyy-mm-dd")</f>
        <v/>
      </c>
    </row>
    <row r="94506">
      <c r="A94506" s="1" t="n">
        <v>94505</v>
      </c>
      <c r="B94506">
        <f>TEXT(94505, "[$-0E0000]yyyy-mm-dd")</f>
        <v/>
      </c>
    </row>
    <row r="94507">
      <c r="A94507" s="1" t="n">
        <v>94506</v>
      </c>
      <c r="B94507">
        <f>TEXT(94506, "[$-0E0000]yyyy-mm-dd")</f>
        <v/>
      </c>
    </row>
    <row r="94508">
      <c r="A94508" s="1" t="n">
        <v>94507</v>
      </c>
      <c r="B94508">
        <f>TEXT(94507, "[$-0E0000]yyyy-mm-dd")</f>
        <v/>
      </c>
    </row>
    <row r="94509">
      <c r="A94509" s="1" t="n">
        <v>94508</v>
      </c>
      <c r="B94509">
        <f>TEXT(94508, "[$-0E0000]yyyy-mm-dd")</f>
        <v/>
      </c>
    </row>
    <row r="94510">
      <c r="A94510" s="1" t="n">
        <v>94509</v>
      </c>
      <c r="B94510">
        <f>TEXT(94509, "[$-0E0000]yyyy-mm-dd")</f>
        <v/>
      </c>
    </row>
    <row r="94511">
      <c r="A94511" s="1" t="n">
        <v>94510</v>
      </c>
      <c r="B94511">
        <f>TEXT(94510, "[$-0E0000]yyyy-mm-dd")</f>
        <v/>
      </c>
    </row>
    <row r="94512">
      <c r="A94512" s="1" t="n">
        <v>94511</v>
      </c>
      <c r="B94512">
        <f>TEXT(94511, "[$-0E0000]yyyy-mm-dd")</f>
        <v/>
      </c>
    </row>
    <row r="94513">
      <c r="A94513" s="1" t="n">
        <v>94512</v>
      </c>
      <c r="B94513">
        <f>TEXT(94512, "[$-0E0000]yyyy-mm-dd")</f>
        <v/>
      </c>
    </row>
    <row r="94514">
      <c r="A94514" s="1" t="n">
        <v>94513</v>
      </c>
      <c r="B94514">
        <f>TEXT(94513, "[$-0E0000]yyyy-mm-dd")</f>
        <v/>
      </c>
    </row>
    <row r="94515">
      <c r="A94515" s="1" t="n">
        <v>94514</v>
      </c>
      <c r="B94515">
        <f>TEXT(94514, "[$-0E0000]yyyy-mm-dd")</f>
        <v/>
      </c>
    </row>
    <row r="94516">
      <c r="A94516" s="1" t="n">
        <v>94515</v>
      </c>
      <c r="B94516">
        <f>TEXT(94515, "[$-0E0000]yyyy-mm-dd")</f>
        <v/>
      </c>
    </row>
    <row r="94517">
      <c r="A94517" s="1" t="n">
        <v>94516</v>
      </c>
      <c r="B94517">
        <f>TEXT(94516, "[$-0E0000]yyyy-mm-dd")</f>
        <v/>
      </c>
    </row>
    <row r="94518">
      <c r="A94518" s="1" t="n">
        <v>94517</v>
      </c>
      <c r="B94518">
        <f>TEXT(94517, "[$-0E0000]yyyy-mm-dd")</f>
        <v/>
      </c>
    </row>
    <row r="94519">
      <c r="A94519" s="1" t="n">
        <v>94518</v>
      </c>
      <c r="B94519">
        <f>TEXT(94518, "[$-0E0000]yyyy-mm-dd")</f>
        <v/>
      </c>
    </row>
    <row r="94520">
      <c r="A94520" s="1" t="n">
        <v>94519</v>
      </c>
      <c r="B94520">
        <f>TEXT(94519, "[$-0E0000]yyyy-mm-dd")</f>
        <v/>
      </c>
    </row>
    <row r="94521">
      <c r="A94521" s="1" t="n">
        <v>94520</v>
      </c>
      <c r="B94521">
        <f>TEXT(94520, "[$-0E0000]yyyy-mm-dd")</f>
        <v/>
      </c>
    </row>
    <row r="94522">
      <c r="A94522" s="1" t="n">
        <v>94521</v>
      </c>
      <c r="B94522">
        <f>TEXT(94521, "[$-0E0000]yyyy-mm-dd")</f>
        <v/>
      </c>
    </row>
    <row r="94523">
      <c r="A94523" s="1" t="n">
        <v>94522</v>
      </c>
      <c r="B94523">
        <f>TEXT(94522, "[$-0E0000]yyyy-mm-dd")</f>
        <v/>
      </c>
    </row>
    <row r="94524">
      <c r="A94524" s="1" t="n">
        <v>94523</v>
      </c>
      <c r="B94524">
        <f>TEXT(94523, "[$-0E0000]yyyy-mm-dd")</f>
        <v/>
      </c>
    </row>
    <row r="94525">
      <c r="A94525" s="1" t="n">
        <v>94524</v>
      </c>
      <c r="B94525">
        <f>TEXT(94524, "[$-0E0000]yyyy-mm-dd")</f>
        <v/>
      </c>
    </row>
    <row r="94526">
      <c r="A94526" s="1" t="n">
        <v>94525</v>
      </c>
      <c r="B94526">
        <f>TEXT(94525, "[$-0E0000]yyyy-mm-dd")</f>
        <v/>
      </c>
    </row>
    <row r="94527">
      <c r="A94527" s="1" t="n">
        <v>94526</v>
      </c>
      <c r="B94527">
        <f>TEXT(94526, "[$-0E0000]yyyy-mm-dd")</f>
        <v/>
      </c>
    </row>
    <row r="94528">
      <c r="A94528" s="1" t="n">
        <v>94527</v>
      </c>
      <c r="B94528">
        <f>TEXT(94527, "[$-0E0000]yyyy-mm-dd")</f>
        <v/>
      </c>
    </row>
    <row r="94529">
      <c r="A94529" s="1" t="n">
        <v>94528</v>
      </c>
      <c r="B94529">
        <f>TEXT(94528, "[$-0E0000]yyyy-mm-dd")</f>
        <v/>
      </c>
    </row>
    <row r="94530">
      <c r="A94530" s="1" t="n">
        <v>94529</v>
      </c>
      <c r="B94530">
        <f>TEXT(94529, "[$-0E0000]yyyy-mm-dd")</f>
        <v/>
      </c>
    </row>
    <row r="94531">
      <c r="A94531" s="1" t="n">
        <v>94530</v>
      </c>
      <c r="B94531">
        <f>TEXT(94530, "[$-0E0000]yyyy-mm-dd")</f>
        <v/>
      </c>
    </row>
    <row r="94532">
      <c r="A94532" s="1" t="n">
        <v>94531</v>
      </c>
      <c r="B94532">
        <f>TEXT(94531, "[$-0E0000]yyyy-mm-dd")</f>
        <v/>
      </c>
    </row>
    <row r="94533">
      <c r="A94533" s="1" t="n">
        <v>94532</v>
      </c>
      <c r="B94533">
        <f>TEXT(94532, "[$-0E0000]yyyy-mm-dd")</f>
        <v/>
      </c>
    </row>
    <row r="94534">
      <c r="A94534" s="1" t="n">
        <v>94533</v>
      </c>
      <c r="B94534">
        <f>TEXT(94533, "[$-0E0000]yyyy-mm-dd")</f>
        <v/>
      </c>
    </row>
    <row r="94535">
      <c r="A94535" s="1" t="n">
        <v>94534</v>
      </c>
      <c r="B94535">
        <f>TEXT(94534, "[$-0E0000]yyyy-mm-dd")</f>
        <v/>
      </c>
    </row>
    <row r="94536">
      <c r="A94536" s="1" t="n">
        <v>94535</v>
      </c>
      <c r="B94536">
        <f>TEXT(94535, "[$-0E0000]yyyy-mm-dd")</f>
        <v/>
      </c>
    </row>
    <row r="94537">
      <c r="A94537" s="1" t="n">
        <v>94536</v>
      </c>
      <c r="B94537">
        <f>TEXT(94536, "[$-0E0000]yyyy-mm-dd")</f>
        <v/>
      </c>
    </row>
    <row r="94538">
      <c r="A94538" s="1" t="n">
        <v>94537</v>
      </c>
      <c r="B94538">
        <f>TEXT(94537, "[$-0E0000]yyyy-mm-dd")</f>
        <v/>
      </c>
    </row>
    <row r="94539">
      <c r="A94539" s="1" t="n">
        <v>94538</v>
      </c>
      <c r="B94539">
        <f>TEXT(94538, "[$-0E0000]yyyy-mm-dd")</f>
        <v/>
      </c>
    </row>
    <row r="94540">
      <c r="A94540" s="1" t="n">
        <v>94539</v>
      </c>
      <c r="B94540">
        <f>TEXT(94539, "[$-0E0000]yyyy-mm-dd")</f>
        <v/>
      </c>
    </row>
    <row r="94541">
      <c r="A94541" s="1" t="n">
        <v>94540</v>
      </c>
      <c r="B94541">
        <f>TEXT(94540, "[$-0E0000]yyyy-mm-dd")</f>
        <v/>
      </c>
    </row>
    <row r="94542">
      <c r="A94542" s="1" t="n">
        <v>94541</v>
      </c>
      <c r="B94542">
        <f>TEXT(94541, "[$-0E0000]yyyy-mm-dd")</f>
        <v/>
      </c>
    </row>
    <row r="94543">
      <c r="A94543" s="1" t="n">
        <v>94542</v>
      </c>
      <c r="B94543">
        <f>TEXT(94542, "[$-0E0000]yyyy-mm-dd")</f>
        <v/>
      </c>
    </row>
    <row r="94544">
      <c r="A94544" s="1" t="n">
        <v>94543</v>
      </c>
      <c r="B94544">
        <f>TEXT(94543, "[$-0E0000]yyyy-mm-dd")</f>
        <v/>
      </c>
    </row>
    <row r="94545">
      <c r="A94545" s="1" t="n">
        <v>94544</v>
      </c>
      <c r="B94545">
        <f>TEXT(94544, "[$-0E0000]yyyy-mm-dd")</f>
        <v/>
      </c>
    </row>
    <row r="94546">
      <c r="A94546" s="1" t="n">
        <v>94545</v>
      </c>
      <c r="B94546">
        <f>TEXT(94545, "[$-0E0000]yyyy-mm-dd")</f>
        <v/>
      </c>
    </row>
    <row r="94547">
      <c r="A94547" s="1" t="n">
        <v>94546</v>
      </c>
      <c r="B94547">
        <f>TEXT(94546, "[$-0E0000]yyyy-mm-dd")</f>
        <v/>
      </c>
    </row>
    <row r="94548">
      <c r="A94548" s="1" t="n">
        <v>94547</v>
      </c>
      <c r="B94548">
        <f>TEXT(94547, "[$-0E0000]yyyy-mm-dd")</f>
        <v/>
      </c>
    </row>
    <row r="94549">
      <c r="A94549" s="1" t="n">
        <v>94548</v>
      </c>
      <c r="B94549">
        <f>TEXT(94548, "[$-0E0000]yyyy-mm-dd")</f>
        <v/>
      </c>
    </row>
    <row r="94550">
      <c r="A94550" s="1" t="n">
        <v>94549</v>
      </c>
      <c r="B94550">
        <f>TEXT(94549, "[$-0E0000]yyyy-mm-dd")</f>
        <v/>
      </c>
    </row>
    <row r="94551">
      <c r="A94551" s="1" t="n">
        <v>94550</v>
      </c>
      <c r="B94551">
        <f>TEXT(94550, "[$-0E0000]yyyy-mm-dd")</f>
        <v/>
      </c>
    </row>
    <row r="94552">
      <c r="A94552" s="1" t="n">
        <v>94551</v>
      </c>
      <c r="B94552">
        <f>TEXT(94551, "[$-0E0000]yyyy-mm-dd")</f>
        <v/>
      </c>
    </row>
    <row r="94553">
      <c r="A94553" s="1" t="n">
        <v>94552</v>
      </c>
      <c r="B94553">
        <f>TEXT(94552, "[$-0E0000]yyyy-mm-dd")</f>
        <v/>
      </c>
    </row>
    <row r="94554">
      <c r="A94554" s="1" t="n">
        <v>94553</v>
      </c>
      <c r="B94554">
        <f>TEXT(94553, "[$-0E0000]yyyy-mm-dd")</f>
        <v/>
      </c>
    </row>
    <row r="94555">
      <c r="A94555" s="1" t="n">
        <v>94554</v>
      </c>
      <c r="B94555">
        <f>TEXT(94554, "[$-0E0000]yyyy-mm-dd")</f>
        <v/>
      </c>
    </row>
    <row r="94556">
      <c r="A94556" s="1" t="n">
        <v>94555</v>
      </c>
      <c r="B94556">
        <f>TEXT(94555, "[$-0E0000]yyyy-mm-dd")</f>
        <v/>
      </c>
    </row>
    <row r="94557">
      <c r="A94557" s="1" t="n">
        <v>94556</v>
      </c>
      <c r="B94557">
        <f>TEXT(94556, "[$-0E0000]yyyy-mm-dd")</f>
        <v/>
      </c>
    </row>
    <row r="94558">
      <c r="A94558" s="1" t="n">
        <v>94557</v>
      </c>
      <c r="B94558">
        <f>TEXT(94557, "[$-0E0000]yyyy-mm-dd")</f>
        <v/>
      </c>
    </row>
    <row r="94559">
      <c r="A94559" s="1" t="n">
        <v>94558</v>
      </c>
      <c r="B94559">
        <f>TEXT(94558, "[$-0E0000]yyyy-mm-dd")</f>
        <v/>
      </c>
    </row>
    <row r="94560">
      <c r="A94560" s="1" t="n">
        <v>94559</v>
      </c>
      <c r="B94560">
        <f>TEXT(94559, "[$-0E0000]yyyy-mm-dd")</f>
        <v/>
      </c>
    </row>
    <row r="94561">
      <c r="A94561" s="1" t="n">
        <v>94560</v>
      </c>
      <c r="B94561">
        <f>TEXT(94560, "[$-0E0000]yyyy-mm-dd")</f>
        <v/>
      </c>
    </row>
    <row r="94562">
      <c r="A94562" s="1" t="n">
        <v>94561</v>
      </c>
      <c r="B94562">
        <f>TEXT(94561, "[$-0E0000]yyyy-mm-dd")</f>
        <v/>
      </c>
    </row>
    <row r="94563">
      <c r="A94563" s="1" t="n">
        <v>94562</v>
      </c>
      <c r="B94563">
        <f>TEXT(94562, "[$-0E0000]yyyy-mm-dd")</f>
        <v/>
      </c>
    </row>
    <row r="94564">
      <c r="A94564" s="1" t="n">
        <v>94563</v>
      </c>
      <c r="B94564">
        <f>TEXT(94563, "[$-0E0000]yyyy-mm-dd")</f>
        <v/>
      </c>
    </row>
    <row r="94565">
      <c r="A94565" s="1" t="n">
        <v>94564</v>
      </c>
      <c r="B94565">
        <f>TEXT(94564, "[$-0E0000]yyyy-mm-dd")</f>
        <v/>
      </c>
    </row>
    <row r="94566">
      <c r="A94566" s="1" t="n">
        <v>94565</v>
      </c>
      <c r="B94566">
        <f>TEXT(94565, "[$-0E0000]yyyy-mm-dd")</f>
        <v/>
      </c>
    </row>
    <row r="94567">
      <c r="A94567" s="1" t="n">
        <v>94566</v>
      </c>
      <c r="B94567">
        <f>TEXT(94566, "[$-0E0000]yyyy-mm-dd")</f>
        <v/>
      </c>
    </row>
    <row r="94568">
      <c r="A94568" s="1" t="n">
        <v>94567</v>
      </c>
      <c r="B94568">
        <f>TEXT(94567, "[$-0E0000]yyyy-mm-dd")</f>
        <v/>
      </c>
    </row>
    <row r="94569">
      <c r="A94569" s="1" t="n">
        <v>94568</v>
      </c>
      <c r="B94569">
        <f>TEXT(94568, "[$-0E0000]yyyy-mm-dd")</f>
        <v/>
      </c>
    </row>
    <row r="94570">
      <c r="A94570" s="1" t="n">
        <v>94569</v>
      </c>
      <c r="B94570">
        <f>TEXT(94569, "[$-0E0000]yyyy-mm-dd")</f>
        <v/>
      </c>
    </row>
    <row r="94571">
      <c r="A94571" s="1" t="n">
        <v>94570</v>
      </c>
      <c r="B94571">
        <f>TEXT(94570, "[$-0E0000]yyyy-mm-dd")</f>
        <v/>
      </c>
    </row>
    <row r="94572">
      <c r="A94572" s="1" t="n">
        <v>94571</v>
      </c>
      <c r="B94572">
        <f>TEXT(94571, "[$-0E0000]yyyy-mm-dd")</f>
        <v/>
      </c>
    </row>
    <row r="94573">
      <c r="A94573" s="1" t="n">
        <v>94572</v>
      </c>
      <c r="B94573">
        <f>TEXT(94572, "[$-0E0000]yyyy-mm-dd")</f>
        <v/>
      </c>
    </row>
    <row r="94574">
      <c r="A94574" s="1" t="n">
        <v>94573</v>
      </c>
      <c r="B94574">
        <f>TEXT(94573, "[$-0E0000]yyyy-mm-dd")</f>
        <v/>
      </c>
    </row>
    <row r="94575">
      <c r="A94575" s="1" t="n">
        <v>94574</v>
      </c>
      <c r="B94575">
        <f>TEXT(94574, "[$-0E0000]yyyy-mm-dd")</f>
        <v/>
      </c>
    </row>
    <row r="94576">
      <c r="A94576" s="1" t="n">
        <v>94575</v>
      </c>
      <c r="B94576">
        <f>TEXT(94575, "[$-0E0000]yyyy-mm-dd")</f>
        <v/>
      </c>
    </row>
    <row r="94577">
      <c r="A94577" s="1" t="n">
        <v>94576</v>
      </c>
      <c r="B94577">
        <f>TEXT(94576, "[$-0E0000]yyyy-mm-dd")</f>
        <v/>
      </c>
    </row>
    <row r="94578">
      <c r="A94578" s="1" t="n">
        <v>94577</v>
      </c>
      <c r="B94578">
        <f>TEXT(94577, "[$-0E0000]yyyy-mm-dd")</f>
        <v/>
      </c>
    </row>
    <row r="94579">
      <c r="A94579" s="1" t="n">
        <v>94578</v>
      </c>
      <c r="B94579">
        <f>TEXT(94578, "[$-0E0000]yyyy-mm-dd")</f>
        <v/>
      </c>
    </row>
    <row r="94580">
      <c r="A94580" s="1" t="n">
        <v>94579</v>
      </c>
      <c r="B94580">
        <f>TEXT(94579, "[$-0E0000]yyyy-mm-dd")</f>
        <v/>
      </c>
    </row>
    <row r="94581">
      <c r="A94581" s="1" t="n">
        <v>94580</v>
      </c>
      <c r="B94581">
        <f>TEXT(94580, "[$-0E0000]yyyy-mm-dd")</f>
        <v/>
      </c>
    </row>
    <row r="94582">
      <c r="A94582" s="1" t="n">
        <v>94581</v>
      </c>
      <c r="B94582">
        <f>TEXT(94581, "[$-0E0000]yyyy-mm-dd")</f>
        <v/>
      </c>
    </row>
    <row r="94583">
      <c r="A94583" s="1" t="n">
        <v>94582</v>
      </c>
      <c r="B94583">
        <f>TEXT(94582, "[$-0E0000]yyyy-mm-dd")</f>
        <v/>
      </c>
    </row>
    <row r="94584">
      <c r="A94584" s="1" t="n">
        <v>94583</v>
      </c>
      <c r="B94584">
        <f>TEXT(94583, "[$-0E0000]yyyy-mm-dd")</f>
        <v/>
      </c>
    </row>
    <row r="94585">
      <c r="A94585" s="1" t="n">
        <v>94584</v>
      </c>
      <c r="B94585">
        <f>TEXT(94584, "[$-0E0000]yyyy-mm-dd")</f>
        <v/>
      </c>
    </row>
    <row r="94586">
      <c r="A94586" s="1" t="n">
        <v>94585</v>
      </c>
      <c r="B94586">
        <f>TEXT(94585, "[$-0E0000]yyyy-mm-dd")</f>
        <v/>
      </c>
    </row>
    <row r="94587">
      <c r="A94587" s="1" t="n">
        <v>94586</v>
      </c>
      <c r="B94587">
        <f>TEXT(94586, "[$-0E0000]yyyy-mm-dd")</f>
        <v/>
      </c>
    </row>
    <row r="94588">
      <c r="A94588" s="1" t="n">
        <v>94587</v>
      </c>
      <c r="B94588">
        <f>TEXT(94587, "[$-0E0000]yyyy-mm-dd")</f>
        <v/>
      </c>
    </row>
    <row r="94589">
      <c r="A94589" s="1" t="n">
        <v>94588</v>
      </c>
      <c r="B94589">
        <f>TEXT(94588, "[$-0E0000]yyyy-mm-dd")</f>
        <v/>
      </c>
    </row>
    <row r="94590">
      <c r="A94590" s="1" t="n">
        <v>94589</v>
      </c>
      <c r="B94590">
        <f>TEXT(94589, "[$-0E0000]yyyy-mm-dd")</f>
        <v/>
      </c>
    </row>
    <row r="94591">
      <c r="A94591" s="1" t="n">
        <v>94590</v>
      </c>
      <c r="B94591">
        <f>TEXT(94590, "[$-0E0000]yyyy-mm-dd")</f>
        <v/>
      </c>
    </row>
    <row r="94592">
      <c r="A94592" s="1" t="n">
        <v>94591</v>
      </c>
      <c r="B94592">
        <f>TEXT(94591, "[$-0E0000]yyyy-mm-dd")</f>
        <v/>
      </c>
    </row>
    <row r="94593">
      <c r="A94593" s="1" t="n">
        <v>94592</v>
      </c>
      <c r="B94593">
        <f>TEXT(94592, "[$-0E0000]yyyy-mm-dd")</f>
        <v/>
      </c>
    </row>
    <row r="94594">
      <c r="A94594" s="1" t="n">
        <v>94593</v>
      </c>
      <c r="B94594">
        <f>TEXT(94593, "[$-0E0000]yyyy-mm-dd")</f>
        <v/>
      </c>
    </row>
    <row r="94595">
      <c r="A94595" s="1" t="n">
        <v>94594</v>
      </c>
      <c r="B94595">
        <f>TEXT(94594, "[$-0E0000]yyyy-mm-dd")</f>
        <v/>
      </c>
    </row>
    <row r="94596">
      <c r="A94596" s="1" t="n">
        <v>94595</v>
      </c>
      <c r="B94596">
        <f>TEXT(94595, "[$-0E0000]yyyy-mm-dd")</f>
        <v/>
      </c>
    </row>
    <row r="94597">
      <c r="A94597" s="1" t="n">
        <v>94596</v>
      </c>
      <c r="B94597">
        <f>TEXT(94596, "[$-0E0000]yyyy-mm-dd")</f>
        <v/>
      </c>
    </row>
    <row r="94598">
      <c r="A94598" s="1" t="n">
        <v>94597</v>
      </c>
      <c r="B94598">
        <f>TEXT(94597, "[$-0E0000]yyyy-mm-dd")</f>
        <v/>
      </c>
    </row>
    <row r="94599">
      <c r="A94599" s="1" t="n">
        <v>94598</v>
      </c>
      <c r="B94599">
        <f>TEXT(94598, "[$-0E0000]yyyy-mm-dd")</f>
        <v/>
      </c>
    </row>
    <row r="94600">
      <c r="A94600" s="1" t="n">
        <v>94599</v>
      </c>
      <c r="B94600">
        <f>TEXT(94599, "[$-0E0000]yyyy-mm-dd")</f>
        <v/>
      </c>
    </row>
    <row r="94601">
      <c r="A94601" s="1" t="n">
        <v>94600</v>
      </c>
      <c r="B94601">
        <f>TEXT(94600, "[$-0E0000]yyyy-mm-dd")</f>
        <v/>
      </c>
    </row>
    <row r="94602">
      <c r="A94602" s="1" t="n">
        <v>94601</v>
      </c>
      <c r="B94602">
        <f>TEXT(94601, "[$-0E0000]yyyy-mm-dd")</f>
        <v/>
      </c>
    </row>
    <row r="94603">
      <c r="A94603" s="1" t="n">
        <v>94602</v>
      </c>
      <c r="B94603">
        <f>TEXT(94602, "[$-0E0000]yyyy-mm-dd")</f>
        <v/>
      </c>
    </row>
    <row r="94604">
      <c r="A94604" s="1" t="n">
        <v>94603</v>
      </c>
      <c r="B94604">
        <f>TEXT(94603, "[$-0E0000]yyyy-mm-dd")</f>
        <v/>
      </c>
    </row>
    <row r="94605">
      <c r="A94605" s="1" t="n">
        <v>94604</v>
      </c>
      <c r="B94605">
        <f>TEXT(94604, "[$-0E0000]yyyy-mm-dd")</f>
        <v/>
      </c>
    </row>
    <row r="94606">
      <c r="A94606" s="1" t="n">
        <v>94605</v>
      </c>
      <c r="B94606">
        <f>TEXT(94605, "[$-0E0000]yyyy-mm-dd")</f>
        <v/>
      </c>
    </row>
    <row r="94607">
      <c r="A94607" s="1" t="n">
        <v>94606</v>
      </c>
      <c r="B94607">
        <f>TEXT(94606, "[$-0E0000]yyyy-mm-dd")</f>
        <v/>
      </c>
    </row>
    <row r="94608">
      <c r="A94608" s="1" t="n">
        <v>94607</v>
      </c>
      <c r="B94608">
        <f>TEXT(94607, "[$-0E0000]yyyy-mm-dd")</f>
        <v/>
      </c>
    </row>
    <row r="94609">
      <c r="A94609" s="1" t="n">
        <v>94608</v>
      </c>
      <c r="B94609">
        <f>TEXT(94608, "[$-0E0000]yyyy-mm-dd")</f>
        <v/>
      </c>
    </row>
    <row r="94610">
      <c r="A94610" s="1" t="n">
        <v>94609</v>
      </c>
      <c r="B94610">
        <f>TEXT(94609, "[$-0E0000]yyyy-mm-dd")</f>
        <v/>
      </c>
    </row>
    <row r="94611">
      <c r="A94611" s="1" t="n">
        <v>94610</v>
      </c>
      <c r="B94611">
        <f>TEXT(94610, "[$-0E0000]yyyy-mm-dd")</f>
        <v/>
      </c>
    </row>
    <row r="94612">
      <c r="A94612" s="1" t="n">
        <v>94611</v>
      </c>
      <c r="B94612">
        <f>TEXT(94611, "[$-0E0000]yyyy-mm-dd")</f>
        <v/>
      </c>
    </row>
    <row r="94613">
      <c r="A94613" s="1" t="n">
        <v>94612</v>
      </c>
      <c r="B94613">
        <f>TEXT(94612, "[$-0E0000]yyyy-mm-dd")</f>
        <v/>
      </c>
    </row>
    <row r="94614">
      <c r="A94614" s="1" t="n">
        <v>94613</v>
      </c>
      <c r="B94614">
        <f>TEXT(94613, "[$-0E0000]yyyy-mm-dd")</f>
        <v/>
      </c>
    </row>
    <row r="94615">
      <c r="A94615" s="1" t="n">
        <v>94614</v>
      </c>
      <c r="B94615">
        <f>TEXT(94614, "[$-0E0000]yyyy-mm-dd")</f>
        <v/>
      </c>
    </row>
    <row r="94616">
      <c r="A94616" s="1" t="n">
        <v>94615</v>
      </c>
      <c r="B94616">
        <f>TEXT(94615, "[$-0E0000]yyyy-mm-dd")</f>
        <v/>
      </c>
    </row>
    <row r="94617">
      <c r="A94617" s="1" t="n">
        <v>94616</v>
      </c>
      <c r="B94617">
        <f>TEXT(94616, "[$-0E0000]yyyy-mm-dd")</f>
        <v/>
      </c>
    </row>
    <row r="94618">
      <c r="A94618" s="1" t="n">
        <v>94617</v>
      </c>
      <c r="B94618">
        <f>TEXT(94617, "[$-0E0000]yyyy-mm-dd")</f>
        <v/>
      </c>
    </row>
    <row r="94619">
      <c r="A94619" s="1" t="n">
        <v>94618</v>
      </c>
      <c r="B94619">
        <f>TEXT(94618, "[$-0E0000]yyyy-mm-dd")</f>
        <v/>
      </c>
    </row>
    <row r="94620">
      <c r="A94620" s="1" t="n">
        <v>94619</v>
      </c>
      <c r="B94620">
        <f>TEXT(94619, "[$-0E0000]yyyy-mm-dd")</f>
        <v/>
      </c>
    </row>
    <row r="94621">
      <c r="A94621" s="1" t="n">
        <v>94620</v>
      </c>
      <c r="B94621">
        <f>TEXT(94620, "[$-0E0000]yyyy-mm-dd")</f>
        <v/>
      </c>
    </row>
    <row r="94622">
      <c r="A94622" s="1" t="n">
        <v>94621</v>
      </c>
      <c r="B94622">
        <f>TEXT(94621, "[$-0E0000]yyyy-mm-dd")</f>
        <v/>
      </c>
    </row>
    <row r="94623">
      <c r="A94623" s="1" t="n">
        <v>94622</v>
      </c>
      <c r="B94623">
        <f>TEXT(94622, "[$-0E0000]yyyy-mm-dd")</f>
        <v/>
      </c>
    </row>
    <row r="94624">
      <c r="A94624" s="1" t="n">
        <v>94623</v>
      </c>
      <c r="B94624">
        <f>TEXT(94623, "[$-0E0000]yyyy-mm-dd")</f>
        <v/>
      </c>
    </row>
    <row r="94625">
      <c r="A94625" s="1" t="n">
        <v>94624</v>
      </c>
      <c r="B94625">
        <f>TEXT(94624, "[$-0E0000]yyyy-mm-dd")</f>
        <v/>
      </c>
    </row>
    <row r="94626">
      <c r="A94626" s="1" t="n">
        <v>94625</v>
      </c>
      <c r="B94626">
        <f>TEXT(94625, "[$-0E0000]yyyy-mm-dd")</f>
        <v/>
      </c>
    </row>
    <row r="94627">
      <c r="A94627" s="1" t="n">
        <v>94626</v>
      </c>
      <c r="B94627">
        <f>TEXT(94626, "[$-0E0000]yyyy-mm-dd")</f>
        <v/>
      </c>
    </row>
    <row r="94628">
      <c r="A94628" s="1" t="n">
        <v>94627</v>
      </c>
      <c r="B94628">
        <f>TEXT(94627, "[$-0E0000]yyyy-mm-dd")</f>
        <v/>
      </c>
    </row>
    <row r="94629">
      <c r="A94629" s="1" t="n">
        <v>94628</v>
      </c>
      <c r="B94629">
        <f>TEXT(94628, "[$-0E0000]yyyy-mm-dd")</f>
        <v/>
      </c>
    </row>
    <row r="94630">
      <c r="A94630" s="1" t="n">
        <v>94629</v>
      </c>
      <c r="B94630">
        <f>TEXT(94629, "[$-0E0000]yyyy-mm-dd")</f>
        <v/>
      </c>
    </row>
    <row r="94631">
      <c r="A94631" s="1" t="n">
        <v>94630</v>
      </c>
      <c r="B94631">
        <f>TEXT(94630, "[$-0E0000]yyyy-mm-dd")</f>
        <v/>
      </c>
    </row>
    <row r="94632">
      <c r="A94632" s="1" t="n">
        <v>94631</v>
      </c>
      <c r="B94632">
        <f>TEXT(94631, "[$-0E0000]yyyy-mm-dd")</f>
        <v/>
      </c>
    </row>
    <row r="94633">
      <c r="A94633" s="1" t="n">
        <v>94632</v>
      </c>
      <c r="B94633">
        <f>TEXT(94632, "[$-0E0000]yyyy-mm-dd")</f>
        <v/>
      </c>
    </row>
    <row r="94634">
      <c r="A94634" s="1" t="n">
        <v>94633</v>
      </c>
      <c r="B94634">
        <f>TEXT(94633, "[$-0E0000]yyyy-mm-dd")</f>
        <v/>
      </c>
    </row>
    <row r="94635">
      <c r="A94635" s="1" t="n">
        <v>94634</v>
      </c>
      <c r="B94635">
        <f>TEXT(94634, "[$-0E0000]yyyy-mm-dd")</f>
        <v/>
      </c>
    </row>
    <row r="94636">
      <c r="A94636" s="1" t="n">
        <v>94635</v>
      </c>
      <c r="B94636">
        <f>TEXT(94635, "[$-0E0000]yyyy-mm-dd")</f>
        <v/>
      </c>
    </row>
    <row r="94637">
      <c r="A94637" s="1" t="n">
        <v>94636</v>
      </c>
      <c r="B94637">
        <f>TEXT(94636, "[$-0E0000]yyyy-mm-dd")</f>
        <v/>
      </c>
    </row>
    <row r="94638">
      <c r="A94638" s="1" t="n">
        <v>94637</v>
      </c>
      <c r="B94638">
        <f>TEXT(94637, "[$-0E0000]yyyy-mm-dd")</f>
        <v/>
      </c>
    </row>
    <row r="94639">
      <c r="A94639" s="1" t="n">
        <v>94638</v>
      </c>
      <c r="B94639">
        <f>TEXT(94638, "[$-0E0000]yyyy-mm-dd")</f>
        <v/>
      </c>
    </row>
    <row r="94640">
      <c r="A94640" s="1" t="n">
        <v>94639</v>
      </c>
      <c r="B94640">
        <f>TEXT(94639, "[$-0E0000]yyyy-mm-dd")</f>
        <v/>
      </c>
    </row>
    <row r="94641">
      <c r="A94641" s="1" t="n">
        <v>94640</v>
      </c>
      <c r="B94641">
        <f>TEXT(94640, "[$-0E0000]yyyy-mm-dd")</f>
        <v/>
      </c>
    </row>
    <row r="94642">
      <c r="A94642" s="1" t="n">
        <v>94641</v>
      </c>
      <c r="B94642">
        <f>TEXT(94641, "[$-0E0000]yyyy-mm-dd")</f>
        <v/>
      </c>
    </row>
    <row r="94643">
      <c r="A94643" s="1" t="n">
        <v>94642</v>
      </c>
      <c r="B94643">
        <f>TEXT(94642, "[$-0E0000]yyyy-mm-dd")</f>
        <v/>
      </c>
    </row>
    <row r="94644">
      <c r="A94644" s="1" t="n">
        <v>94643</v>
      </c>
      <c r="B94644">
        <f>TEXT(94643, "[$-0E0000]yyyy-mm-dd")</f>
        <v/>
      </c>
    </row>
    <row r="94645">
      <c r="A94645" s="1" t="n">
        <v>94644</v>
      </c>
      <c r="B94645">
        <f>TEXT(94644, "[$-0E0000]yyyy-mm-dd")</f>
        <v/>
      </c>
    </row>
    <row r="94646">
      <c r="A94646" s="1" t="n">
        <v>94645</v>
      </c>
      <c r="B94646">
        <f>TEXT(94645, "[$-0E0000]yyyy-mm-dd")</f>
        <v/>
      </c>
    </row>
    <row r="94647">
      <c r="A94647" s="1" t="n">
        <v>94646</v>
      </c>
      <c r="B94647">
        <f>TEXT(94646, "[$-0E0000]yyyy-mm-dd")</f>
        <v/>
      </c>
    </row>
    <row r="94648">
      <c r="A94648" s="1" t="n">
        <v>94647</v>
      </c>
      <c r="B94648">
        <f>TEXT(94647, "[$-0E0000]yyyy-mm-dd")</f>
        <v/>
      </c>
    </row>
    <row r="94649">
      <c r="A94649" s="1" t="n">
        <v>94648</v>
      </c>
      <c r="B94649">
        <f>TEXT(94648, "[$-0E0000]yyyy-mm-dd")</f>
        <v/>
      </c>
    </row>
    <row r="94650">
      <c r="A94650" s="1" t="n">
        <v>94649</v>
      </c>
      <c r="B94650">
        <f>TEXT(94649, "[$-0E0000]yyyy-mm-dd")</f>
        <v/>
      </c>
    </row>
    <row r="94651">
      <c r="A94651" s="1" t="n">
        <v>94650</v>
      </c>
      <c r="B94651">
        <f>TEXT(94650, "[$-0E0000]yyyy-mm-dd")</f>
        <v/>
      </c>
    </row>
    <row r="94652">
      <c r="A94652" s="1" t="n">
        <v>94651</v>
      </c>
      <c r="B94652">
        <f>TEXT(94651, "[$-0E0000]yyyy-mm-dd")</f>
        <v/>
      </c>
    </row>
    <row r="94653">
      <c r="A94653" s="1" t="n">
        <v>94652</v>
      </c>
      <c r="B94653">
        <f>TEXT(94652, "[$-0E0000]yyyy-mm-dd")</f>
        <v/>
      </c>
    </row>
    <row r="94654">
      <c r="A94654" s="1" t="n">
        <v>94653</v>
      </c>
      <c r="B94654">
        <f>TEXT(94653, "[$-0E0000]yyyy-mm-dd")</f>
        <v/>
      </c>
    </row>
    <row r="94655">
      <c r="A94655" s="1" t="n">
        <v>94654</v>
      </c>
      <c r="B94655">
        <f>TEXT(94654, "[$-0E0000]yyyy-mm-dd")</f>
        <v/>
      </c>
    </row>
    <row r="94656">
      <c r="A94656" s="1" t="n">
        <v>94655</v>
      </c>
      <c r="B94656">
        <f>TEXT(94655, "[$-0E0000]yyyy-mm-dd")</f>
        <v/>
      </c>
    </row>
    <row r="94657">
      <c r="A94657" s="1" t="n">
        <v>94656</v>
      </c>
      <c r="B94657">
        <f>TEXT(94656, "[$-0E0000]yyyy-mm-dd")</f>
        <v/>
      </c>
    </row>
    <row r="94658">
      <c r="A94658" s="1" t="n">
        <v>94657</v>
      </c>
      <c r="B94658">
        <f>TEXT(94657, "[$-0E0000]yyyy-mm-dd")</f>
        <v/>
      </c>
    </row>
    <row r="94659">
      <c r="A94659" s="1" t="n">
        <v>94658</v>
      </c>
      <c r="B94659">
        <f>TEXT(94658, "[$-0E0000]yyyy-mm-dd")</f>
        <v/>
      </c>
    </row>
    <row r="94660">
      <c r="A94660" s="1" t="n">
        <v>94659</v>
      </c>
      <c r="B94660">
        <f>TEXT(94659, "[$-0E0000]yyyy-mm-dd")</f>
        <v/>
      </c>
    </row>
    <row r="94661">
      <c r="A94661" s="1" t="n">
        <v>94660</v>
      </c>
      <c r="B94661">
        <f>TEXT(94660, "[$-0E0000]yyyy-mm-dd")</f>
        <v/>
      </c>
    </row>
    <row r="94662">
      <c r="A94662" s="1" t="n">
        <v>94661</v>
      </c>
      <c r="B94662">
        <f>TEXT(94661, "[$-0E0000]yyyy-mm-dd")</f>
        <v/>
      </c>
    </row>
    <row r="94663">
      <c r="A94663" s="1" t="n">
        <v>94662</v>
      </c>
      <c r="B94663">
        <f>TEXT(94662, "[$-0E0000]yyyy-mm-dd")</f>
        <v/>
      </c>
    </row>
    <row r="94664">
      <c r="A94664" s="1" t="n">
        <v>94663</v>
      </c>
      <c r="B94664">
        <f>TEXT(94663, "[$-0E0000]yyyy-mm-dd")</f>
        <v/>
      </c>
    </row>
    <row r="94665">
      <c r="A94665" s="1" t="n">
        <v>94664</v>
      </c>
      <c r="B94665">
        <f>TEXT(94664, "[$-0E0000]yyyy-mm-dd")</f>
        <v/>
      </c>
    </row>
    <row r="94666">
      <c r="A94666" s="1" t="n">
        <v>94665</v>
      </c>
      <c r="B94666">
        <f>TEXT(94665, "[$-0E0000]yyyy-mm-dd")</f>
        <v/>
      </c>
    </row>
    <row r="94667">
      <c r="A94667" s="1" t="n">
        <v>94666</v>
      </c>
      <c r="B94667">
        <f>TEXT(94666, "[$-0E0000]yyyy-mm-dd")</f>
        <v/>
      </c>
    </row>
    <row r="94668">
      <c r="A94668" s="1" t="n">
        <v>94667</v>
      </c>
      <c r="B94668">
        <f>TEXT(94667, "[$-0E0000]yyyy-mm-dd")</f>
        <v/>
      </c>
    </row>
    <row r="94669">
      <c r="A94669" s="1" t="n">
        <v>94668</v>
      </c>
      <c r="B94669">
        <f>TEXT(94668, "[$-0E0000]yyyy-mm-dd")</f>
        <v/>
      </c>
    </row>
    <row r="94670">
      <c r="A94670" s="1" t="n">
        <v>94669</v>
      </c>
      <c r="B94670">
        <f>TEXT(94669, "[$-0E0000]yyyy-mm-dd")</f>
        <v/>
      </c>
    </row>
    <row r="94671">
      <c r="A94671" s="1" t="n">
        <v>94670</v>
      </c>
      <c r="B94671">
        <f>TEXT(94670, "[$-0E0000]yyyy-mm-dd")</f>
        <v/>
      </c>
    </row>
    <row r="94672">
      <c r="A94672" s="1" t="n">
        <v>94671</v>
      </c>
      <c r="B94672">
        <f>TEXT(94671, "[$-0E0000]yyyy-mm-dd")</f>
        <v/>
      </c>
    </row>
    <row r="94673">
      <c r="A94673" s="1" t="n">
        <v>94672</v>
      </c>
      <c r="B94673">
        <f>TEXT(94672, "[$-0E0000]yyyy-mm-dd")</f>
        <v/>
      </c>
    </row>
    <row r="94674">
      <c r="A94674" s="1" t="n">
        <v>94673</v>
      </c>
      <c r="B94674">
        <f>TEXT(94673, "[$-0E0000]yyyy-mm-dd")</f>
        <v/>
      </c>
    </row>
    <row r="94675">
      <c r="A94675" s="1" t="n">
        <v>94674</v>
      </c>
      <c r="B94675">
        <f>TEXT(94674, "[$-0E0000]yyyy-mm-dd")</f>
        <v/>
      </c>
    </row>
    <row r="94676">
      <c r="A94676" s="1" t="n">
        <v>94675</v>
      </c>
      <c r="B94676">
        <f>TEXT(94675, "[$-0E0000]yyyy-mm-dd")</f>
        <v/>
      </c>
    </row>
    <row r="94677">
      <c r="A94677" s="1" t="n">
        <v>94676</v>
      </c>
      <c r="B94677">
        <f>TEXT(94676, "[$-0E0000]yyyy-mm-dd")</f>
        <v/>
      </c>
    </row>
    <row r="94678">
      <c r="A94678" s="1" t="n">
        <v>94677</v>
      </c>
      <c r="B94678">
        <f>TEXT(94677, "[$-0E0000]yyyy-mm-dd")</f>
        <v/>
      </c>
    </row>
    <row r="94679">
      <c r="A94679" s="1" t="n">
        <v>94678</v>
      </c>
      <c r="B94679">
        <f>TEXT(94678, "[$-0E0000]yyyy-mm-dd")</f>
        <v/>
      </c>
    </row>
    <row r="94680">
      <c r="A94680" s="1" t="n">
        <v>94679</v>
      </c>
      <c r="B94680">
        <f>TEXT(94679, "[$-0E0000]yyyy-mm-dd")</f>
        <v/>
      </c>
    </row>
    <row r="94681">
      <c r="A94681" s="1" t="n">
        <v>94680</v>
      </c>
      <c r="B94681">
        <f>TEXT(94680, "[$-0E0000]yyyy-mm-dd")</f>
        <v/>
      </c>
    </row>
    <row r="94682">
      <c r="A94682" s="1" t="n">
        <v>94681</v>
      </c>
      <c r="B94682">
        <f>TEXT(94681, "[$-0E0000]yyyy-mm-dd")</f>
        <v/>
      </c>
    </row>
    <row r="94683">
      <c r="A94683" s="1" t="n">
        <v>94682</v>
      </c>
      <c r="B94683">
        <f>TEXT(94682, "[$-0E0000]yyyy-mm-dd")</f>
        <v/>
      </c>
    </row>
    <row r="94684">
      <c r="A94684" s="1" t="n">
        <v>94683</v>
      </c>
      <c r="B94684">
        <f>TEXT(94683, "[$-0E0000]yyyy-mm-dd")</f>
        <v/>
      </c>
    </row>
    <row r="94685">
      <c r="A94685" s="1" t="n">
        <v>94684</v>
      </c>
      <c r="B94685">
        <f>TEXT(94684, "[$-0E0000]yyyy-mm-dd")</f>
        <v/>
      </c>
    </row>
    <row r="94686">
      <c r="A94686" s="1" t="n">
        <v>94685</v>
      </c>
      <c r="B94686">
        <f>TEXT(94685, "[$-0E0000]yyyy-mm-dd")</f>
        <v/>
      </c>
    </row>
    <row r="94687">
      <c r="A94687" s="1" t="n">
        <v>94686</v>
      </c>
      <c r="B94687">
        <f>TEXT(94686, "[$-0E0000]yyyy-mm-dd")</f>
        <v/>
      </c>
    </row>
    <row r="94688">
      <c r="A94688" s="1" t="n">
        <v>94687</v>
      </c>
      <c r="B94688">
        <f>TEXT(94687, "[$-0E0000]yyyy-mm-dd")</f>
        <v/>
      </c>
    </row>
    <row r="94689">
      <c r="A94689" s="1" t="n">
        <v>94688</v>
      </c>
      <c r="B94689">
        <f>TEXT(94688, "[$-0E0000]yyyy-mm-dd")</f>
        <v/>
      </c>
    </row>
    <row r="94690">
      <c r="A94690" s="1" t="n">
        <v>94689</v>
      </c>
      <c r="B94690">
        <f>TEXT(94689, "[$-0E0000]yyyy-mm-dd")</f>
        <v/>
      </c>
    </row>
    <row r="94691">
      <c r="A94691" s="1" t="n">
        <v>94690</v>
      </c>
      <c r="B94691">
        <f>TEXT(94690, "[$-0E0000]yyyy-mm-dd")</f>
        <v/>
      </c>
    </row>
    <row r="94692">
      <c r="A94692" s="1" t="n">
        <v>94691</v>
      </c>
      <c r="B94692">
        <f>TEXT(94691, "[$-0E0000]yyyy-mm-dd")</f>
        <v/>
      </c>
    </row>
    <row r="94693">
      <c r="A94693" s="1" t="n">
        <v>94692</v>
      </c>
      <c r="B94693">
        <f>TEXT(94692, "[$-0E0000]yyyy-mm-dd")</f>
        <v/>
      </c>
    </row>
    <row r="94694">
      <c r="A94694" s="1" t="n">
        <v>94693</v>
      </c>
      <c r="B94694">
        <f>TEXT(94693, "[$-0E0000]yyyy-mm-dd")</f>
        <v/>
      </c>
    </row>
    <row r="94695">
      <c r="A94695" s="1" t="n">
        <v>94694</v>
      </c>
      <c r="B94695">
        <f>TEXT(94694, "[$-0E0000]yyyy-mm-dd")</f>
        <v/>
      </c>
    </row>
    <row r="94696">
      <c r="A94696" s="1" t="n">
        <v>94695</v>
      </c>
      <c r="B94696">
        <f>TEXT(94695, "[$-0E0000]yyyy-mm-dd")</f>
        <v/>
      </c>
    </row>
    <row r="94697">
      <c r="A94697" s="1" t="n">
        <v>94696</v>
      </c>
      <c r="B94697">
        <f>TEXT(94696, "[$-0E0000]yyyy-mm-dd")</f>
        <v/>
      </c>
    </row>
    <row r="94698">
      <c r="A94698" s="1" t="n">
        <v>94697</v>
      </c>
      <c r="B94698">
        <f>TEXT(94697, "[$-0E0000]yyyy-mm-dd")</f>
        <v/>
      </c>
    </row>
    <row r="94699">
      <c r="A94699" s="1" t="n">
        <v>94698</v>
      </c>
      <c r="B94699">
        <f>TEXT(94698, "[$-0E0000]yyyy-mm-dd")</f>
        <v/>
      </c>
    </row>
    <row r="94700">
      <c r="A94700" s="1" t="n">
        <v>94699</v>
      </c>
      <c r="B94700">
        <f>TEXT(94699, "[$-0E0000]yyyy-mm-dd")</f>
        <v/>
      </c>
    </row>
    <row r="94701">
      <c r="A94701" s="1" t="n">
        <v>94700</v>
      </c>
      <c r="B94701">
        <f>TEXT(94700, "[$-0E0000]yyyy-mm-dd")</f>
        <v/>
      </c>
    </row>
    <row r="94702">
      <c r="A94702" s="1" t="n">
        <v>94701</v>
      </c>
      <c r="B94702">
        <f>TEXT(94701, "[$-0E0000]yyyy-mm-dd")</f>
        <v/>
      </c>
    </row>
    <row r="94703">
      <c r="A94703" s="1" t="n">
        <v>94702</v>
      </c>
      <c r="B94703">
        <f>TEXT(94702, "[$-0E0000]yyyy-mm-dd")</f>
        <v/>
      </c>
    </row>
    <row r="94704">
      <c r="A94704" s="1" t="n">
        <v>94703</v>
      </c>
      <c r="B94704">
        <f>TEXT(94703, "[$-0E0000]yyyy-mm-dd")</f>
        <v/>
      </c>
    </row>
    <row r="94705">
      <c r="A94705" s="1" t="n">
        <v>94704</v>
      </c>
      <c r="B94705">
        <f>TEXT(94704, "[$-0E0000]yyyy-mm-dd")</f>
        <v/>
      </c>
    </row>
    <row r="94706">
      <c r="A94706" s="1" t="n">
        <v>94705</v>
      </c>
      <c r="B94706">
        <f>TEXT(94705, "[$-0E0000]yyyy-mm-dd")</f>
        <v/>
      </c>
    </row>
    <row r="94707">
      <c r="A94707" s="1" t="n">
        <v>94706</v>
      </c>
      <c r="B94707">
        <f>TEXT(94706, "[$-0E0000]yyyy-mm-dd")</f>
        <v/>
      </c>
    </row>
    <row r="94708">
      <c r="A94708" s="1" t="n">
        <v>94707</v>
      </c>
      <c r="B94708">
        <f>TEXT(94707, "[$-0E0000]yyyy-mm-dd")</f>
        <v/>
      </c>
    </row>
    <row r="94709">
      <c r="A94709" s="1" t="n">
        <v>94708</v>
      </c>
      <c r="B94709">
        <f>TEXT(94708, "[$-0E0000]yyyy-mm-dd")</f>
        <v/>
      </c>
    </row>
    <row r="94710">
      <c r="A94710" s="1" t="n">
        <v>94709</v>
      </c>
      <c r="B94710">
        <f>TEXT(94709, "[$-0E0000]yyyy-mm-dd")</f>
        <v/>
      </c>
    </row>
    <row r="94711">
      <c r="A94711" s="1" t="n">
        <v>94710</v>
      </c>
      <c r="B94711">
        <f>TEXT(94710, "[$-0E0000]yyyy-mm-dd")</f>
        <v/>
      </c>
    </row>
    <row r="94712">
      <c r="A94712" s="1" t="n">
        <v>94711</v>
      </c>
      <c r="B94712">
        <f>TEXT(94711, "[$-0E0000]yyyy-mm-dd")</f>
        <v/>
      </c>
    </row>
    <row r="94713">
      <c r="A94713" s="1" t="n">
        <v>94712</v>
      </c>
      <c r="B94713">
        <f>TEXT(94712, "[$-0E0000]yyyy-mm-dd")</f>
        <v/>
      </c>
    </row>
    <row r="94714">
      <c r="A94714" s="1" t="n">
        <v>94713</v>
      </c>
      <c r="B94714">
        <f>TEXT(94713, "[$-0E0000]yyyy-mm-dd")</f>
        <v/>
      </c>
    </row>
    <row r="94715">
      <c r="A94715" s="1" t="n">
        <v>94714</v>
      </c>
      <c r="B94715">
        <f>TEXT(94714, "[$-0E0000]yyyy-mm-dd")</f>
        <v/>
      </c>
    </row>
    <row r="94716">
      <c r="A94716" s="1" t="n">
        <v>94715</v>
      </c>
      <c r="B94716">
        <f>TEXT(94715, "[$-0E0000]yyyy-mm-dd")</f>
        <v/>
      </c>
    </row>
    <row r="94717">
      <c r="A94717" s="1" t="n">
        <v>94716</v>
      </c>
      <c r="B94717">
        <f>TEXT(94716, "[$-0E0000]yyyy-mm-dd")</f>
        <v/>
      </c>
    </row>
    <row r="94718">
      <c r="A94718" s="1" t="n">
        <v>94717</v>
      </c>
      <c r="B94718">
        <f>TEXT(94717, "[$-0E0000]yyyy-mm-dd")</f>
        <v/>
      </c>
    </row>
    <row r="94719">
      <c r="A94719" s="1" t="n">
        <v>94718</v>
      </c>
      <c r="B94719">
        <f>TEXT(94718, "[$-0E0000]yyyy-mm-dd")</f>
        <v/>
      </c>
    </row>
    <row r="94720">
      <c r="A94720" s="1" t="n">
        <v>94719</v>
      </c>
      <c r="B94720">
        <f>TEXT(94719, "[$-0E0000]yyyy-mm-dd")</f>
        <v/>
      </c>
    </row>
    <row r="94721">
      <c r="A94721" s="1" t="n">
        <v>94720</v>
      </c>
      <c r="B94721">
        <f>TEXT(94720, "[$-0E0000]yyyy-mm-dd")</f>
        <v/>
      </c>
    </row>
    <row r="94722">
      <c r="A94722" s="1" t="n">
        <v>94721</v>
      </c>
      <c r="B94722">
        <f>TEXT(94721, "[$-0E0000]yyyy-mm-dd")</f>
        <v/>
      </c>
    </row>
    <row r="94723">
      <c r="A94723" s="1" t="n">
        <v>94722</v>
      </c>
      <c r="B94723">
        <f>TEXT(94722, "[$-0E0000]yyyy-mm-dd")</f>
        <v/>
      </c>
    </row>
    <row r="94724">
      <c r="A94724" s="1" t="n">
        <v>94723</v>
      </c>
      <c r="B94724">
        <f>TEXT(94723, "[$-0E0000]yyyy-mm-dd")</f>
        <v/>
      </c>
    </row>
    <row r="94725">
      <c r="A94725" s="1" t="n">
        <v>94724</v>
      </c>
      <c r="B94725">
        <f>TEXT(94724, "[$-0E0000]yyyy-mm-dd")</f>
        <v/>
      </c>
    </row>
    <row r="94726">
      <c r="A94726" s="1" t="n">
        <v>94725</v>
      </c>
      <c r="B94726">
        <f>TEXT(94725, "[$-0E0000]yyyy-mm-dd")</f>
        <v/>
      </c>
    </row>
    <row r="94727">
      <c r="A94727" s="1" t="n">
        <v>94726</v>
      </c>
      <c r="B94727">
        <f>TEXT(94726, "[$-0E0000]yyyy-mm-dd")</f>
        <v/>
      </c>
    </row>
    <row r="94728">
      <c r="A94728" s="1" t="n">
        <v>94727</v>
      </c>
      <c r="B94728">
        <f>TEXT(94727, "[$-0E0000]yyyy-mm-dd")</f>
        <v/>
      </c>
    </row>
    <row r="94729">
      <c r="A94729" s="1" t="n">
        <v>94728</v>
      </c>
      <c r="B94729">
        <f>TEXT(94728, "[$-0E0000]yyyy-mm-dd")</f>
        <v/>
      </c>
    </row>
    <row r="94730">
      <c r="A94730" s="1" t="n">
        <v>94729</v>
      </c>
      <c r="B94730">
        <f>TEXT(94729, "[$-0E0000]yyyy-mm-dd")</f>
        <v/>
      </c>
    </row>
    <row r="94731">
      <c r="A94731" s="1" t="n">
        <v>94730</v>
      </c>
      <c r="B94731">
        <f>TEXT(94730, "[$-0E0000]yyyy-mm-dd")</f>
        <v/>
      </c>
    </row>
    <row r="94732">
      <c r="A94732" s="1" t="n">
        <v>94731</v>
      </c>
      <c r="B94732">
        <f>TEXT(94731, "[$-0E0000]yyyy-mm-dd")</f>
        <v/>
      </c>
    </row>
    <row r="94733">
      <c r="A94733" s="1" t="n">
        <v>94732</v>
      </c>
      <c r="B94733">
        <f>TEXT(94732, "[$-0E0000]yyyy-mm-dd")</f>
        <v/>
      </c>
    </row>
    <row r="94734">
      <c r="A94734" s="1" t="n">
        <v>94733</v>
      </c>
      <c r="B94734">
        <f>TEXT(94733, "[$-0E0000]yyyy-mm-dd")</f>
        <v/>
      </c>
    </row>
    <row r="94735">
      <c r="A94735" s="1" t="n">
        <v>94734</v>
      </c>
      <c r="B94735">
        <f>TEXT(94734, "[$-0E0000]yyyy-mm-dd")</f>
        <v/>
      </c>
    </row>
    <row r="94736">
      <c r="A94736" s="1" t="n">
        <v>94735</v>
      </c>
      <c r="B94736">
        <f>TEXT(94735, "[$-0E0000]yyyy-mm-dd")</f>
        <v/>
      </c>
    </row>
    <row r="94737">
      <c r="A94737" s="1" t="n">
        <v>94736</v>
      </c>
      <c r="B94737">
        <f>TEXT(94736, "[$-0E0000]yyyy-mm-dd")</f>
        <v/>
      </c>
    </row>
    <row r="94738">
      <c r="A94738" s="1" t="n">
        <v>94737</v>
      </c>
      <c r="B94738">
        <f>TEXT(94737, "[$-0E0000]yyyy-mm-dd")</f>
        <v/>
      </c>
    </row>
    <row r="94739">
      <c r="A94739" s="1" t="n">
        <v>94738</v>
      </c>
      <c r="B94739">
        <f>TEXT(94738, "[$-0E0000]yyyy-mm-dd")</f>
        <v/>
      </c>
    </row>
    <row r="94740">
      <c r="A94740" s="1" t="n">
        <v>94739</v>
      </c>
      <c r="B94740">
        <f>TEXT(94739, "[$-0E0000]yyyy-mm-dd")</f>
        <v/>
      </c>
    </row>
    <row r="94741">
      <c r="A94741" s="1" t="n">
        <v>94740</v>
      </c>
      <c r="B94741">
        <f>TEXT(94740, "[$-0E0000]yyyy-mm-dd")</f>
        <v/>
      </c>
    </row>
    <row r="94742">
      <c r="A94742" s="1" t="n">
        <v>94741</v>
      </c>
      <c r="B94742">
        <f>TEXT(94741, "[$-0E0000]yyyy-mm-dd")</f>
        <v/>
      </c>
    </row>
    <row r="94743">
      <c r="A94743" s="1" t="n">
        <v>94742</v>
      </c>
      <c r="B94743">
        <f>TEXT(94742, "[$-0E0000]yyyy-mm-dd")</f>
        <v/>
      </c>
    </row>
    <row r="94744">
      <c r="A94744" s="1" t="n">
        <v>94743</v>
      </c>
      <c r="B94744">
        <f>TEXT(94743, "[$-0E0000]yyyy-mm-dd")</f>
        <v/>
      </c>
    </row>
    <row r="94745">
      <c r="A94745" s="1" t="n">
        <v>94744</v>
      </c>
      <c r="B94745">
        <f>TEXT(94744, "[$-0E0000]yyyy-mm-dd")</f>
        <v/>
      </c>
    </row>
    <row r="94746">
      <c r="A94746" s="1" t="n">
        <v>94745</v>
      </c>
      <c r="B94746">
        <f>TEXT(94745, "[$-0E0000]yyyy-mm-dd")</f>
        <v/>
      </c>
    </row>
    <row r="94747">
      <c r="A94747" s="1" t="n">
        <v>94746</v>
      </c>
      <c r="B94747">
        <f>TEXT(94746, "[$-0E0000]yyyy-mm-dd")</f>
        <v/>
      </c>
    </row>
    <row r="94748">
      <c r="A94748" s="1" t="n">
        <v>94747</v>
      </c>
      <c r="B94748">
        <f>TEXT(94747, "[$-0E0000]yyyy-mm-dd")</f>
        <v/>
      </c>
    </row>
    <row r="94749">
      <c r="A94749" s="1" t="n">
        <v>94748</v>
      </c>
      <c r="B94749">
        <f>TEXT(94748, "[$-0E0000]yyyy-mm-dd")</f>
        <v/>
      </c>
    </row>
    <row r="94750">
      <c r="A94750" s="1" t="n">
        <v>94749</v>
      </c>
      <c r="B94750">
        <f>TEXT(94749, "[$-0E0000]yyyy-mm-dd")</f>
        <v/>
      </c>
    </row>
    <row r="94751">
      <c r="A94751" s="1" t="n">
        <v>94750</v>
      </c>
      <c r="B94751">
        <f>TEXT(94750, "[$-0E0000]yyyy-mm-dd")</f>
        <v/>
      </c>
    </row>
    <row r="94752">
      <c r="A94752" s="1" t="n">
        <v>94751</v>
      </c>
      <c r="B94752">
        <f>TEXT(94751, "[$-0E0000]yyyy-mm-dd")</f>
        <v/>
      </c>
    </row>
    <row r="94753">
      <c r="A94753" s="1" t="n">
        <v>94752</v>
      </c>
      <c r="B94753">
        <f>TEXT(94752, "[$-0E0000]yyyy-mm-dd")</f>
        <v/>
      </c>
    </row>
    <row r="94754">
      <c r="A94754" s="1" t="n">
        <v>94753</v>
      </c>
      <c r="B94754">
        <f>TEXT(94753, "[$-0E0000]yyyy-mm-dd")</f>
        <v/>
      </c>
    </row>
    <row r="94755">
      <c r="A94755" s="1" t="n">
        <v>94754</v>
      </c>
      <c r="B94755">
        <f>TEXT(94754, "[$-0E0000]yyyy-mm-dd")</f>
        <v/>
      </c>
    </row>
    <row r="94756">
      <c r="A94756" s="1" t="n">
        <v>94755</v>
      </c>
      <c r="B94756">
        <f>TEXT(94755, "[$-0E0000]yyyy-mm-dd")</f>
        <v/>
      </c>
    </row>
    <row r="94757">
      <c r="A94757" s="1" t="n">
        <v>94756</v>
      </c>
      <c r="B94757">
        <f>TEXT(94756, "[$-0E0000]yyyy-mm-dd")</f>
        <v/>
      </c>
    </row>
    <row r="94758">
      <c r="A94758" s="1" t="n">
        <v>94757</v>
      </c>
      <c r="B94758">
        <f>TEXT(94757, "[$-0E0000]yyyy-mm-dd")</f>
        <v/>
      </c>
    </row>
    <row r="94759">
      <c r="A94759" s="1" t="n">
        <v>94758</v>
      </c>
      <c r="B94759">
        <f>TEXT(94758, "[$-0E0000]yyyy-mm-dd")</f>
        <v/>
      </c>
    </row>
    <row r="94760">
      <c r="A94760" s="1" t="n">
        <v>94759</v>
      </c>
      <c r="B94760">
        <f>TEXT(94759, "[$-0E0000]yyyy-mm-dd")</f>
        <v/>
      </c>
    </row>
    <row r="94761">
      <c r="A94761" s="1" t="n">
        <v>94760</v>
      </c>
      <c r="B94761">
        <f>TEXT(94760, "[$-0E0000]yyyy-mm-dd")</f>
        <v/>
      </c>
    </row>
    <row r="94762">
      <c r="A94762" s="1" t="n">
        <v>94761</v>
      </c>
      <c r="B94762">
        <f>TEXT(94761, "[$-0E0000]yyyy-mm-dd")</f>
        <v/>
      </c>
    </row>
    <row r="94763">
      <c r="A94763" s="1" t="n">
        <v>94762</v>
      </c>
      <c r="B94763">
        <f>TEXT(94762, "[$-0E0000]yyyy-mm-dd")</f>
        <v/>
      </c>
    </row>
    <row r="94764">
      <c r="A94764" s="1" t="n">
        <v>94763</v>
      </c>
      <c r="B94764">
        <f>TEXT(94763, "[$-0E0000]yyyy-mm-dd")</f>
        <v/>
      </c>
    </row>
    <row r="94765">
      <c r="A94765" s="1" t="n">
        <v>94764</v>
      </c>
      <c r="B94765">
        <f>TEXT(94764, "[$-0E0000]yyyy-mm-dd")</f>
        <v/>
      </c>
    </row>
    <row r="94766">
      <c r="A94766" s="1" t="n">
        <v>94765</v>
      </c>
      <c r="B94766">
        <f>TEXT(94765, "[$-0E0000]yyyy-mm-dd")</f>
        <v/>
      </c>
    </row>
    <row r="94767">
      <c r="A94767" s="1" t="n">
        <v>94766</v>
      </c>
      <c r="B94767">
        <f>TEXT(94766, "[$-0E0000]yyyy-mm-dd")</f>
        <v/>
      </c>
    </row>
    <row r="94768">
      <c r="A94768" s="1" t="n">
        <v>94767</v>
      </c>
      <c r="B94768">
        <f>TEXT(94767, "[$-0E0000]yyyy-mm-dd")</f>
        <v/>
      </c>
    </row>
    <row r="94769">
      <c r="A94769" s="1" t="n">
        <v>94768</v>
      </c>
      <c r="B94769">
        <f>TEXT(94768, "[$-0E0000]yyyy-mm-dd")</f>
        <v/>
      </c>
    </row>
    <row r="94770">
      <c r="A94770" s="1" t="n">
        <v>94769</v>
      </c>
      <c r="B94770">
        <f>TEXT(94769, "[$-0E0000]yyyy-mm-dd")</f>
        <v/>
      </c>
    </row>
    <row r="94771">
      <c r="A94771" s="1" t="n">
        <v>94770</v>
      </c>
      <c r="B94771">
        <f>TEXT(94770, "[$-0E0000]yyyy-mm-dd")</f>
        <v/>
      </c>
    </row>
    <row r="94772">
      <c r="A94772" s="1" t="n">
        <v>94771</v>
      </c>
      <c r="B94772">
        <f>TEXT(94771, "[$-0E0000]yyyy-mm-dd")</f>
        <v/>
      </c>
    </row>
    <row r="94773">
      <c r="A94773" s="1" t="n">
        <v>94772</v>
      </c>
      <c r="B94773">
        <f>TEXT(94772, "[$-0E0000]yyyy-mm-dd")</f>
        <v/>
      </c>
    </row>
    <row r="94774">
      <c r="A94774" s="1" t="n">
        <v>94773</v>
      </c>
      <c r="B94774">
        <f>TEXT(94773, "[$-0E0000]yyyy-mm-dd")</f>
        <v/>
      </c>
    </row>
    <row r="94775">
      <c r="A94775" s="1" t="n">
        <v>94774</v>
      </c>
      <c r="B94775">
        <f>TEXT(94774, "[$-0E0000]yyyy-mm-dd")</f>
        <v/>
      </c>
    </row>
    <row r="94776">
      <c r="A94776" s="1" t="n">
        <v>94775</v>
      </c>
      <c r="B94776">
        <f>TEXT(94775, "[$-0E0000]yyyy-mm-dd")</f>
        <v/>
      </c>
    </row>
    <row r="94777">
      <c r="A94777" s="1" t="n">
        <v>94776</v>
      </c>
      <c r="B94777">
        <f>TEXT(94776, "[$-0E0000]yyyy-mm-dd")</f>
        <v/>
      </c>
    </row>
    <row r="94778">
      <c r="A94778" s="1" t="n">
        <v>94777</v>
      </c>
      <c r="B94778">
        <f>TEXT(94777, "[$-0E0000]yyyy-mm-dd")</f>
        <v/>
      </c>
    </row>
    <row r="94779">
      <c r="A94779" s="1" t="n">
        <v>94778</v>
      </c>
      <c r="B94779">
        <f>TEXT(94778, "[$-0E0000]yyyy-mm-dd")</f>
        <v/>
      </c>
    </row>
    <row r="94780">
      <c r="A94780" s="1" t="n">
        <v>94779</v>
      </c>
      <c r="B94780">
        <f>TEXT(94779, "[$-0E0000]yyyy-mm-dd")</f>
        <v/>
      </c>
    </row>
    <row r="94781">
      <c r="A94781" s="1" t="n">
        <v>94780</v>
      </c>
      <c r="B94781">
        <f>TEXT(94780, "[$-0E0000]yyyy-mm-dd")</f>
        <v/>
      </c>
    </row>
    <row r="94782">
      <c r="A94782" s="1" t="n">
        <v>94781</v>
      </c>
      <c r="B94782">
        <f>TEXT(94781, "[$-0E0000]yyyy-mm-dd")</f>
        <v/>
      </c>
    </row>
    <row r="94783">
      <c r="A94783" s="1" t="n">
        <v>94782</v>
      </c>
      <c r="B94783">
        <f>TEXT(94782, "[$-0E0000]yyyy-mm-dd")</f>
        <v/>
      </c>
    </row>
    <row r="94784">
      <c r="A94784" s="1" t="n">
        <v>94783</v>
      </c>
      <c r="B94784">
        <f>TEXT(94783, "[$-0E0000]yyyy-mm-dd")</f>
        <v/>
      </c>
    </row>
    <row r="94785">
      <c r="A94785" s="1" t="n">
        <v>94784</v>
      </c>
      <c r="B94785">
        <f>TEXT(94784, "[$-0E0000]yyyy-mm-dd")</f>
        <v/>
      </c>
    </row>
    <row r="94786">
      <c r="A94786" s="1" t="n">
        <v>94785</v>
      </c>
      <c r="B94786">
        <f>TEXT(94785, "[$-0E0000]yyyy-mm-dd")</f>
        <v/>
      </c>
    </row>
    <row r="94787">
      <c r="A94787" s="1" t="n">
        <v>94786</v>
      </c>
      <c r="B94787">
        <f>TEXT(94786, "[$-0E0000]yyyy-mm-dd")</f>
        <v/>
      </c>
    </row>
    <row r="94788">
      <c r="A94788" s="1" t="n">
        <v>94787</v>
      </c>
      <c r="B94788">
        <f>TEXT(94787, "[$-0E0000]yyyy-mm-dd")</f>
        <v/>
      </c>
    </row>
    <row r="94789">
      <c r="A94789" s="1" t="n">
        <v>94788</v>
      </c>
      <c r="B94789">
        <f>TEXT(94788, "[$-0E0000]yyyy-mm-dd")</f>
        <v/>
      </c>
    </row>
    <row r="94790">
      <c r="A94790" s="1" t="n">
        <v>94789</v>
      </c>
      <c r="B94790">
        <f>TEXT(94789, "[$-0E0000]yyyy-mm-dd")</f>
        <v/>
      </c>
    </row>
    <row r="94791">
      <c r="A94791" s="1" t="n">
        <v>94790</v>
      </c>
      <c r="B94791">
        <f>TEXT(94790, "[$-0E0000]yyyy-mm-dd")</f>
        <v/>
      </c>
    </row>
    <row r="94792">
      <c r="A94792" s="1" t="n">
        <v>94791</v>
      </c>
      <c r="B94792">
        <f>TEXT(94791, "[$-0E0000]yyyy-mm-dd")</f>
        <v/>
      </c>
    </row>
    <row r="94793">
      <c r="A94793" s="1" t="n">
        <v>94792</v>
      </c>
      <c r="B94793">
        <f>TEXT(94792, "[$-0E0000]yyyy-mm-dd")</f>
        <v/>
      </c>
    </row>
    <row r="94794">
      <c r="A94794" s="1" t="n">
        <v>94793</v>
      </c>
      <c r="B94794">
        <f>TEXT(94793, "[$-0E0000]yyyy-mm-dd")</f>
        <v/>
      </c>
    </row>
    <row r="94795">
      <c r="A94795" s="1" t="n">
        <v>94794</v>
      </c>
      <c r="B94795">
        <f>TEXT(94794, "[$-0E0000]yyyy-mm-dd")</f>
        <v/>
      </c>
    </row>
    <row r="94796">
      <c r="A94796" s="1" t="n">
        <v>94795</v>
      </c>
      <c r="B94796">
        <f>TEXT(94795, "[$-0E0000]yyyy-mm-dd")</f>
        <v/>
      </c>
    </row>
    <row r="94797">
      <c r="A94797" s="1" t="n">
        <v>94796</v>
      </c>
      <c r="B94797">
        <f>TEXT(94796, "[$-0E0000]yyyy-mm-dd")</f>
        <v/>
      </c>
    </row>
    <row r="94798">
      <c r="A94798" s="1" t="n">
        <v>94797</v>
      </c>
      <c r="B94798">
        <f>TEXT(94797, "[$-0E0000]yyyy-mm-dd")</f>
        <v/>
      </c>
    </row>
    <row r="94799">
      <c r="A94799" s="1" t="n">
        <v>94798</v>
      </c>
      <c r="B94799">
        <f>TEXT(94798, "[$-0E0000]yyyy-mm-dd")</f>
        <v/>
      </c>
    </row>
    <row r="94800">
      <c r="A94800" s="1" t="n">
        <v>94799</v>
      </c>
      <c r="B94800">
        <f>TEXT(94799, "[$-0E0000]yyyy-mm-dd")</f>
        <v/>
      </c>
    </row>
    <row r="94801">
      <c r="A94801" s="1" t="n">
        <v>94800</v>
      </c>
      <c r="B94801">
        <f>TEXT(94800, "[$-0E0000]yyyy-mm-dd")</f>
        <v/>
      </c>
    </row>
    <row r="94802">
      <c r="A94802" s="1" t="n">
        <v>94801</v>
      </c>
      <c r="B94802">
        <f>TEXT(94801, "[$-0E0000]yyyy-mm-dd")</f>
        <v/>
      </c>
    </row>
    <row r="94803">
      <c r="A94803" s="1" t="n">
        <v>94802</v>
      </c>
      <c r="B94803">
        <f>TEXT(94802, "[$-0E0000]yyyy-mm-dd")</f>
        <v/>
      </c>
    </row>
    <row r="94804">
      <c r="A94804" s="1" t="n">
        <v>94803</v>
      </c>
      <c r="B94804">
        <f>TEXT(94803, "[$-0E0000]yyyy-mm-dd")</f>
        <v/>
      </c>
    </row>
    <row r="94805">
      <c r="A94805" s="1" t="n">
        <v>94804</v>
      </c>
      <c r="B94805">
        <f>TEXT(94804, "[$-0E0000]yyyy-mm-dd")</f>
        <v/>
      </c>
    </row>
    <row r="94806">
      <c r="A94806" s="1" t="n">
        <v>94805</v>
      </c>
      <c r="B94806">
        <f>TEXT(94805, "[$-0E0000]yyyy-mm-dd")</f>
        <v/>
      </c>
    </row>
    <row r="94807">
      <c r="A94807" s="1" t="n">
        <v>94806</v>
      </c>
      <c r="B94807">
        <f>TEXT(94806, "[$-0E0000]yyyy-mm-dd")</f>
        <v/>
      </c>
    </row>
    <row r="94808">
      <c r="A94808" s="1" t="n">
        <v>94807</v>
      </c>
      <c r="B94808">
        <f>TEXT(94807, "[$-0E0000]yyyy-mm-dd")</f>
        <v/>
      </c>
    </row>
    <row r="94809">
      <c r="A94809" s="1" t="n">
        <v>94808</v>
      </c>
      <c r="B94809">
        <f>TEXT(94808, "[$-0E0000]yyyy-mm-dd")</f>
        <v/>
      </c>
    </row>
    <row r="94810">
      <c r="A94810" s="1" t="n">
        <v>94809</v>
      </c>
      <c r="B94810">
        <f>TEXT(94809, "[$-0E0000]yyyy-mm-dd")</f>
        <v/>
      </c>
    </row>
    <row r="94811">
      <c r="A94811" s="1" t="n">
        <v>94810</v>
      </c>
      <c r="B94811">
        <f>TEXT(94810, "[$-0E0000]yyyy-mm-dd")</f>
        <v/>
      </c>
    </row>
    <row r="94812">
      <c r="A94812" s="1" t="n">
        <v>94811</v>
      </c>
      <c r="B94812">
        <f>TEXT(94811, "[$-0E0000]yyyy-mm-dd")</f>
        <v/>
      </c>
    </row>
    <row r="94813">
      <c r="A94813" s="1" t="n">
        <v>94812</v>
      </c>
      <c r="B94813">
        <f>TEXT(94812, "[$-0E0000]yyyy-mm-dd")</f>
        <v/>
      </c>
    </row>
    <row r="94814">
      <c r="A94814" s="1" t="n">
        <v>94813</v>
      </c>
      <c r="B94814">
        <f>TEXT(94813, "[$-0E0000]yyyy-mm-dd")</f>
        <v/>
      </c>
    </row>
    <row r="94815">
      <c r="A94815" s="1" t="n">
        <v>94814</v>
      </c>
      <c r="B94815">
        <f>TEXT(94814, "[$-0E0000]yyyy-mm-dd")</f>
        <v/>
      </c>
    </row>
    <row r="94816">
      <c r="A94816" s="1" t="n">
        <v>94815</v>
      </c>
      <c r="B94816">
        <f>TEXT(94815, "[$-0E0000]yyyy-mm-dd")</f>
        <v/>
      </c>
    </row>
    <row r="94817">
      <c r="A94817" s="1" t="n">
        <v>94816</v>
      </c>
      <c r="B94817">
        <f>TEXT(94816, "[$-0E0000]yyyy-mm-dd")</f>
        <v/>
      </c>
    </row>
    <row r="94818">
      <c r="A94818" s="1" t="n">
        <v>94817</v>
      </c>
      <c r="B94818">
        <f>TEXT(94817, "[$-0E0000]yyyy-mm-dd")</f>
        <v/>
      </c>
    </row>
    <row r="94819">
      <c r="A94819" s="1" t="n">
        <v>94818</v>
      </c>
      <c r="B94819">
        <f>TEXT(94818, "[$-0E0000]yyyy-mm-dd")</f>
        <v/>
      </c>
    </row>
    <row r="94820">
      <c r="A94820" s="1" t="n">
        <v>94819</v>
      </c>
      <c r="B94820">
        <f>TEXT(94819, "[$-0E0000]yyyy-mm-dd")</f>
        <v/>
      </c>
    </row>
    <row r="94821">
      <c r="A94821" s="1" t="n">
        <v>94820</v>
      </c>
      <c r="B94821">
        <f>TEXT(94820, "[$-0E0000]yyyy-mm-dd")</f>
        <v/>
      </c>
    </row>
    <row r="94822">
      <c r="A94822" s="1" t="n">
        <v>94821</v>
      </c>
      <c r="B94822">
        <f>TEXT(94821, "[$-0E0000]yyyy-mm-dd")</f>
        <v/>
      </c>
    </row>
    <row r="94823">
      <c r="A94823" s="1" t="n">
        <v>94822</v>
      </c>
      <c r="B94823">
        <f>TEXT(94822, "[$-0E0000]yyyy-mm-dd")</f>
        <v/>
      </c>
    </row>
    <row r="94824">
      <c r="A94824" s="1" t="n">
        <v>94823</v>
      </c>
      <c r="B94824">
        <f>TEXT(94823, "[$-0E0000]yyyy-mm-dd")</f>
        <v/>
      </c>
    </row>
    <row r="94825">
      <c r="A94825" s="1" t="n">
        <v>94824</v>
      </c>
      <c r="B94825">
        <f>TEXT(94824, "[$-0E0000]yyyy-mm-dd")</f>
        <v/>
      </c>
    </row>
    <row r="94826">
      <c r="A94826" s="1" t="n">
        <v>94825</v>
      </c>
      <c r="B94826">
        <f>TEXT(94825, "[$-0E0000]yyyy-mm-dd")</f>
        <v/>
      </c>
    </row>
    <row r="94827">
      <c r="A94827" s="1" t="n">
        <v>94826</v>
      </c>
      <c r="B94827">
        <f>TEXT(94826, "[$-0E0000]yyyy-mm-dd")</f>
        <v/>
      </c>
    </row>
    <row r="94828">
      <c r="A94828" s="1" t="n">
        <v>94827</v>
      </c>
      <c r="B94828">
        <f>TEXT(94827, "[$-0E0000]yyyy-mm-dd")</f>
        <v/>
      </c>
    </row>
    <row r="94829">
      <c r="A94829" s="1" t="n">
        <v>94828</v>
      </c>
      <c r="B94829">
        <f>TEXT(94828, "[$-0E0000]yyyy-mm-dd")</f>
        <v/>
      </c>
    </row>
    <row r="94830">
      <c r="A94830" s="1" t="n">
        <v>94829</v>
      </c>
      <c r="B94830">
        <f>TEXT(94829, "[$-0E0000]yyyy-mm-dd")</f>
        <v/>
      </c>
    </row>
    <row r="94831">
      <c r="A94831" s="1" t="n">
        <v>94830</v>
      </c>
      <c r="B94831">
        <f>TEXT(94830, "[$-0E0000]yyyy-mm-dd")</f>
        <v/>
      </c>
    </row>
    <row r="94832">
      <c r="A94832" s="1" t="n">
        <v>94831</v>
      </c>
      <c r="B94832">
        <f>TEXT(94831, "[$-0E0000]yyyy-mm-dd")</f>
        <v/>
      </c>
    </row>
    <row r="94833">
      <c r="A94833" s="1" t="n">
        <v>94832</v>
      </c>
      <c r="B94833">
        <f>TEXT(94832, "[$-0E0000]yyyy-mm-dd")</f>
        <v/>
      </c>
    </row>
    <row r="94834">
      <c r="A94834" s="1" t="n">
        <v>94833</v>
      </c>
      <c r="B94834">
        <f>TEXT(94833, "[$-0E0000]yyyy-mm-dd")</f>
        <v/>
      </c>
    </row>
    <row r="94835">
      <c r="A94835" s="1" t="n">
        <v>94834</v>
      </c>
      <c r="B94835">
        <f>TEXT(94834, "[$-0E0000]yyyy-mm-dd")</f>
        <v/>
      </c>
    </row>
    <row r="94836">
      <c r="A94836" s="1" t="n">
        <v>94835</v>
      </c>
      <c r="B94836">
        <f>TEXT(94835, "[$-0E0000]yyyy-mm-dd")</f>
        <v/>
      </c>
    </row>
    <row r="94837">
      <c r="A94837" s="1" t="n">
        <v>94836</v>
      </c>
      <c r="B94837">
        <f>TEXT(94836, "[$-0E0000]yyyy-mm-dd")</f>
        <v/>
      </c>
    </row>
    <row r="94838">
      <c r="A94838" s="1" t="n">
        <v>94837</v>
      </c>
      <c r="B94838">
        <f>TEXT(94837, "[$-0E0000]yyyy-mm-dd")</f>
        <v/>
      </c>
    </row>
    <row r="94839">
      <c r="A94839" s="1" t="n">
        <v>94838</v>
      </c>
      <c r="B94839">
        <f>TEXT(94838, "[$-0E0000]yyyy-mm-dd")</f>
        <v/>
      </c>
    </row>
    <row r="94840">
      <c r="A94840" s="1" t="n">
        <v>94839</v>
      </c>
      <c r="B94840">
        <f>TEXT(94839, "[$-0E0000]yyyy-mm-dd")</f>
        <v/>
      </c>
    </row>
    <row r="94841">
      <c r="A94841" s="1" t="n">
        <v>94840</v>
      </c>
      <c r="B94841">
        <f>TEXT(94840, "[$-0E0000]yyyy-mm-dd")</f>
        <v/>
      </c>
    </row>
    <row r="94842">
      <c r="A94842" s="1" t="n">
        <v>94841</v>
      </c>
      <c r="B94842">
        <f>TEXT(94841, "[$-0E0000]yyyy-mm-dd")</f>
        <v/>
      </c>
    </row>
    <row r="94843">
      <c r="A94843" s="1" t="n">
        <v>94842</v>
      </c>
      <c r="B94843">
        <f>TEXT(94842, "[$-0E0000]yyyy-mm-dd")</f>
        <v/>
      </c>
    </row>
    <row r="94844">
      <c r="A94844" s="1" t="n">
        <v>94843</v>
      </c>
      <c r="B94844">
        <f>TEXT(94843, "[$-0E0000]yyyy-mm-dd")</f>
        <v/>
      </c>
    </row>
    <row r="94845">
      <c r="A94845" s="1" t="n">
        <v>94844</v>
      </c>
      <c r="B94845">
        <f>TEXT(94844, "[$-0E0000]yyyy-mm-dd")</f>
        <v/>
      </c>
    </row>
    <row r="94846">
      <c r="A94846" s="1" t="n">
        <v>94845</v>
      </c>
      <c r="B94846">
        <f>TEXT(94845, "[$-0E0000]yyyy-mm-dd")</f>
        <v/>
      </c>
    </row>
    <row r="94847">
      <c r="A94847" s="1" t="n">
        <v>94846</v>
      </c>
      <c r="B94847">
        <f>TEXT(94846, "[$-0E0000]yyyy-mm-dd")</f>
        <v/>
      </c>
    </row>
    <row r="94848">
      <c r="A94848" s="1" t="n">
        <v>94847</v>
      </c>
      <c r="B94848">
        <f>TEXT(94847, "[$-0E0000]yyyy-mm-dd")</f>
        <v/>
      </c>
    </row>
    <row r="94849">
      <c r="A94849" s="1" t="n">
        <v>94848</v>
      </c>
      <c r="B94849">
        <f>TEXT(94848, "[$-0E0000]yyyy-mm-dd")</f>
        <v/>
      </c>
    </row>
    <row r="94850">
      <c r="A94850" s="1" t="n">
        <v>94849</v>
      </c>
      <c r="B94850">
        <f>TEXT(94849, "[$-0E0000]yyyy-mm-dd")</f>
        <v/>
      </c>
    </row>
    <row r="94851">
      <c r="A94851" s="1" t="n">
        <v>94850</v>
      </c>
      <c r="B94851">
        <f>TEXT(94850, "[$-0E0000]yyyy-mm-dd")</f>
        <v/>
      </c>
    </row>
    <row r="94852">
      <c r="A94852" s="1" t="n">
        <v>94851</v>
      </c>
      <c r="B94852">
        <f>TEXT(94851, "[$-0E0000]yyyy-mm-dd")</f>
        <v/>
      </c>
    </row>
    <row r="94853">
      <c r="A94853" s="1" t="n">
        <v>94852</v>
      </c>
      <c r="B94853">
        <f>TEXT(94852, "[$-0E0000]yyyy-mm-dd")</f>
        <v/>
      </c>
    </row>
    <row r="94854">
      <c r="A94854" s="1" t="n">
        <v>94853</v>
      </c>
      <c r="B94854">
        <f>TEXT(94853, "[$-0E0000]yyyy-mm-dd")</f>
        <v/>
      </c>
    </row>
    <row r="94855">
      <c r="A94855" s="1" t="n">
        <v>94854</v>
      </c>
      <c r="B94855">
        <f>TEXT(94854, "[$-0E0000]yyyy-mm-dd")</f>
        <v/>
      </c>
    </row>
    <row r="94856">
      <c r="A94856" s="1" t="n">
        <v>94855</v>
      </c>
      <c r="B94856">
        <f>TEXT(94855, "[$-0E0000]yyyy-mm-dd")</f>
        <v/>
      </c>
    </row>
    <row r="94857">
      <c r="A94857" s="1" t="n">
        <v>94856</v>
      </c>
      <c r="B94857">
        <f>TEXT(94856, "[$-0E0000]yyyy-mm-dd")</f>
        <v/>
      </c>
    </row>
    <row r="94858">
      <c r="A94858" s="1" t="n">
        <v>94857</v>
      </c>
      <c r="B94858">
        <f>TEXT(94857, "[$-0E0000]yyyy-mm-dd")</f>
        <v/>
      </c>
    </row>
    <row r="94859">
      <c r="A94859" s="1" t="n">
        <v>94858</v>
      </c>
      <c r="B94859">
        <f>TEXT(94858, "[$-0E0000]yyyy-mm-dd")</f>
        <v/>
      </c>
    </row>
    <row r="94860">
      <c r="A94860" s="1" t="n">
        <v>94859</v>
      </c>
      <c r="B94860">
        <f>TEXT(94859, "[$-0E0000]yyyy-mm-dd")</f>
        <v/>
      </c>
    </row>
    <row r="94861">
      <c r="A94861" s="1" t="n">
        <v>94860</v>
      </c>
      <c r="B94861">
        <f>TEXT(94860, "[$-0E0000]yyyy-mm-dd")</f>
        <v/>
      </c>
    </row>
    <row r="94862">
      <c r="A94862" s="1" t="n">
        <v>94861</v>
      </c>
      <c r="B94862">
        <f>TEXT(94861, "[$-0E0000]yyyy-mm-dd")</f>
        <v/>
      </c>
    </row>
    <row r="94863">
      <c r="A94863" s="1" t="n">
        <v>94862</v>
      </c>
      <c r="B94863">
        <f>TEXT(94862, "[$-0E0000]yyyy-mm-dd")</f>
        <v/>
      </c>
    </row>
    <row r="94864">
      <c r="A94864" s="1" t="n">
        <v>94863</v>
      </c>
      <c r="B94864">
        <f>TEXT(94863, "[$-0E0000]yyyy-mm-dd")</f>
        <v/>
      </c>
    </row>
    <row r="94865">
      <c r="A94865" s="1" t="n">
        <v>94864</v>
      </c>
      <c r="B94865">
        <f>TEXT(94864, "[$-0E0000]yyyy-mm-dd")</f>
        <v/>
      </c>
    </row>
    <row r="94866">
      <c r="A94866" s="1" t="n">
        <v>94865</v>
      </c>
      <c r="B94866">
        <f>TEXT(94865, "[$-0E0000]yyyy-mm-dd")</f>
        <v/>
      </c>
    </row>
    <row r="94867">
      <c r="A94867" s="1" t="n">
        <v>94866</v>
      </c>
      <c r="B94867">
        <f>TEXT(94866, "[$-0E0000]yyyy-mm-dd")</f>
        <v/>
      </c>
    </row>
    <row r="94868">
      <c r="A94868" s="1" t="n">
        <v>94867</v>
      </c>
      <c r="B94868">
        <f>TEXT(94867, "[$-0E0000]yyyy-mm-dd")</f>
        <v/>
      </c>
    </row>
    <row r="94869">
      <c r="A94869" s="1" t="n">
        <v>94868</v>
      </c>
      <c r="B94869">
        <f>TEXT(94868, "[$-0E0000]yyyy-mm-dd")</f>
        <v/>
      </c>
    </row>
    <row r="94870">
      <c r="A94870" s="1" t="n">
        <v>94869</v>
      </c>
      <c r="B94870">
        <f>TEXT(94869, "[$-0E0000]yyyy-mm-dd")</f>
        <v/>
      </c>
    </row>
    <row r="94871">
      <c r="A94871" s="1" t="n">
        <v>94870</v>
      </c>
      <c r="B94871">
        <f>TEXT(94870, "[$-0E0000]yyyy-mm-dd")</f>
        <v/>
      </c>
    </row>
    <row r="94872">
      <c r="A94872" s="1" t="n">
        <v>94871</v>
      </c>
      <c r="B94872">
        <f>TEXT(94871, "[$-0E0000]yyyy-mm-dd")</f>
        <v/>
      </c>
    </row>
    <row r="94873">
      <c r="A94873" s="1" t="n">
        <v>94872</v>
      </c>
      <c r="B94873">
        <f>TEXT(94872, "[$-0E0000]yyyy-mm-dd")</f>
        <v/>
      </c>
    </row>
    <row r="94874">
      <c r="A94874" s="1" t="n">
        <v>94873</v>
      </c>
      <c r="B94874">
        <f>TEXT(94873, "[$-0E0000]yyyy-mm-dd")</f>
        <v/>
      </c>
    </row>
    <row r="94875">
      <c r="A94875" s="1" t="n">
        <v>94874</v>
      </c>
      <c r="B94875">
        <f>TEXT(94874, "[$-0E0000]yyyy-mm-dd")</f>
        <v/>
      </c>
    </row>
    <row r="94876">
      <c r="A94876" s="1" t="n">
        <v>94875</v>
      </c>
      <c r="B94876">
        <f>TEXT(94875, "[$-0E0000]yyyy-mm-dd")</f>
        <v/>
      </c>
    </row>
    <row r="94877">
      <c r="A94877" s="1" t="n">
        <v>94876</v>
      </c>
      <c r="B94877">
        <f>TEXT(94876, "[$-0E0000]yyyy-mm-dd")</f>
        <v/>
      </c>
    </row>
    <row r="94878">
      <c r="A94878" s="1" t="n">
        <v>94877</v>
      </c>
      <c r="B94878">
        <f>TEXT(94877, "[$-0E0000]yyyy-mm-dd")</f>
        <v/>
      </c>
    </row>
    <row r="94879">
      <c r="A94879" s="1" t="n">
        <v>94878</v>
      </c>
      <c r="B94879">
        <f>TEXT(94878, "[$-0E0000]yyyy-mm-dd")</f>
        <v/>
      </c>
    </row>
    <row r="94880">
      <c r="A94880" s="1" t="n">
        <v>94879</v>
      </c>
      <c r="B94880">
        <f>TEXT(94879, "[$-0E0000]yyyy-mm-dd")</f>
        <v/>
      </c>
    </row>
    <row r="94881">
      <c r="A94881" s="1" t="n">
        <v>94880</v>
      </c>
      <c r="B94881">
        <f>TEXT(94880, "[$-0E0000]yyyy-mm-dd")</f>
        <v/>
      </c>
    </row>
    <row r="94882">
      <c r="A94882" s="1" t="n">
        <v>94881</v>
      </c>
      <c r="B94882">
        <f>TEXT(94881, "[$-0E0000]yyyy-mm-dd")</f>
        <v/>
      </c>
    </row>
    <row r="94883">
      <c r="A94883" s="1" t="n">
        <v>94882</v>
      </c>
      <c r="B94883">
        <f>TEXT(94882, "[$-0E0000]yyyy-mm-dd")</f>
        <v/>
      </c>
    </row>
    <row r="94884">
      <c r="A94884" s="1" t="n">
        <v>94883</v>
      </c>
      <c r="B94884">
        <f>TEXT(94883, "[$-0E0000]yyyy-mm-dd")</f>
        <v/>
      </c>
    </row>
    <row r="94885">
      <c r="A94885" s="1" t="n">
        <v>94884</v>
      </c>
      <c r="B94885">
        <f>TEXT(94884, "[$-0E0000]yyyy-mm-dd")</f>
        <v/>
      </c>
    </row>
    <row r="94886">
      <c r="A94886" s="1" t="n">
        <v>94885</v>
      </c>
      <c r="B94886">
        <f>TEXT(94885, "[$-0E0000]yyyy-mm-dd")</f>
        <v/>
      </c>
    </row>
    <row r="94887">
      <c r="A94887" s="1" t="n">
        <v>94886</v>
      </c>
      <c r="B94887">
        <f>TEXT(94886, "[$-0E0000]yyyy-mm-dd")</f>
        <v/>
      </c>
    </row>
    <row r="94888">
      <c r="A94888" s="1" t="n">
        <v>94887</v>
      </c>
      <c r="B94888">
        <f>TEXT(94887, "[$-0E0000]yyyy-mm-dd")</f>
        <v/>
      </c>
    </row>
    <row r="94889">
      <c r="A94889" s="1" t="n">
        <v>94888</v>
      </c>
      <c r="B94889">
        <f>TEXT(94888, "[$-0E0000]yyyy-mm-dd")</f>
        <v/>
      </c>
    </row>
    <row r="94890">
      <c r="A94890" s="1" t="n">
        <v>94889</v>
      </c>
      <c r="B94890">
        <f>TEXT(94889, "[$-0E0000]yyyy-mm-dd")</f>
        <v/>
      </c>
    </row>
    <row r="94891">
      <c r="A94891" s="1" t="n">
        <v>94890</v>
      </c>
      <c r="B94891">
        <f>TEXT(94890, "[$-0E0000]yyyy-mm-dd")</f>
        <v/>
      </c>
    </row>
    <row r="94892">
      <c r="A94892" s="1" t="n">
        <v>94891</v>
      </c>
      <c r="B94892">
        <f>TEXT(94891, "[$-0E0000]yyyy-mm-dd")</f>
        <v/>
      </c>
    </row>
    <row r="94893">
      <c r="A94893" s="1" t="n">
        <v>94892</v>
      </c>
      <c r="B94893">
        <f>TEXT(94892, "[$-0E0000]yyyy-mm-dd")</f>
        <v/>
      </c>
    </row>
    <row r="94894">
      <c r="A94894" s="1" t="n">
        <v>94893</v>
      </c>
      <c r="B94894">
        <f>TEXT(94893, "[$-0E0000]yyyy-mm-dd")</f>
        <v/>
      </c>
    </row>
    <row r="94895">
      <c r="A94895" s="1" t="n">
        <v>94894</v>
      </c>
      <c r="B94895">
        <f>TEXT(94894, "[$-0E0000]yyyy-mm-dd")</f>
        <v/>
      </c>
    </row>
    <row r="94896">
      <c r="A94896" s="1" t="n">
        <v>94895</v>
      </c>
      <c r="B94896">
        <f>TEXT(94895, "[$-0E0000]yyyy-mm-dd")</f>
        <v/>
      </c>
    </row>
    <row r="94897">
      <c r="A94897" s="1" t="n">
        <v>94896</v>
      </c>
      <c r="B94897">
        <f>TEXT(94896, "[$-0E0000]yyyy-mm-dd")</f>
        <v/>
      </c>
    </row>
    <row r="94898">
      <c r="A94898" s="1" t="n">
        <v>94897</v>
      </c>
      <c r="B94898">
        <f>TEXT(94897, "[$-0E0000]yyyy-mm-dd")</f>
        <v/>
      </c>
    </row>
    <row r="94899">
      <c r="A94899" s="1" t="n">
        <v>94898</v>
      </c>
      <c r="B94899">
        <f>TEXT(94898, "[$-0E0000]yyyy-mm-dd")</f>
        <v/>
      </c>
    </row>
    <row r="94900">
      <c r="A94900" s="1" t="n">
        <v>94899</v>
      </c>
      <c r="B94900">
        <f>TEXT(94899, "[$-0E0000]yyyy-mm-dd")</f>
        <v/>
      </c>
    </row>
    <row r="94901">
      <c r="A94901" s="1" t="n">
        <v>94900</v>
      </c>
      <c r="B94901">
        <f>TEXT(94900, "[$-0E0000]yyyy-mm-dd")</f>
        <v/>
      </c>
    </row>
    <row r="94902">
      <c r="A94902" s="1" t="n">
        <v>94901</v>
      </c>
      <c r="B94902">
        <f>TEXT(94901, "[$-0E0000]yyyy-mm-dd")</f>
        <v/>
      </c>
    </row>
    <row r="94903">
      <c r="A94903" s="1" t="n">
        <v>94902</v>
      </c>
      <c r="B94903">
        <f>TEXT(94902, "[$-0E0000]yyyy-mm-dd")</f>
        <v/>
      </c>
    </row>
    <row r="94904">
      <c r="A94904" s="1" t="n">
        <v>94903</v>
      </c>
      <c r="B94904">
        <f>TEXT(94903, "[$-0E0000]yyyy-mm-dd")</f>
        <v/>
      </c>
    </row>
    <row r="94905">
      <c r="A94905" s="1" t="n">
        <v>94904</v>
      </c>
      <c r="B94905">
        <f>TEXT(94904, "[$-0E0000]yyyy-mm-dd")</f>
        <v/>
      </c>
    </row>
    <row r="94906">
      <c r="A94906" s="1" t="n">
        <v>94905</v>
      </c>
      <c r="B94906">
        <f>TEXT(94905, "[$-0E0000]yyyy-mm-dd")</f>
        <v/>
      </c>
    </row>
    <row r="94907">
      <c r="A94907" s="1" t="n">
        <v>94906</v>
      </c>
      <c r="B94907">
        <f>TEXT(94906, "[$-0E0000]yyyy-mm-dd")</f>
        <v/>
      </c>
    </row>
    <row r="94908">
      <c r="A94908" s="1" t="n">
        <v>94907</v>
      </c>
      <c r="B94908">
        <f>TEXT(94907, "[$-0E0000]yyyy-mm-dd")</f>
        <v/>
      </c>
    </row>
    <row r="94909">
      <c r="A94909" s="1" t="n">
        <v>94908</v>
      </c>
      <c r="B94909">
        <f>TEXT(94908, "[$-0E0000]yyyy-mm-dd")</f>
        <v/>
      </c>
    </row>
    <row r="94910">
      <c r="A94910" s="1" t="n">
        <v>94909</v>
      </c>
      <c r="B94910">
        <f>TEXT(94909, "[$-0E0000]yyyy-mm-dd")</f>
        <v/>
      </c>
    </row>
    <row r="94911">
      <c r="A94911" s="1" t="n">
        <v>94910</v>
      </c>
      <c r="B94911">
        <f>TEXT(94910, "[$-0E0000]yyyy-mm-dd")</f>
        <v/>
      </c>
    </row>
    <row r="94912">
      <c r="A94912" s="1" t="n">
        <v>94911</v>
      </c>
      <c r="B94912">
        <f>TEXT(94911, "[$-0E0000]yyyy-mm-dd")</f>
        <v/>
      </c>
    </row>
    <row r="94913">
      <c r="A94913" s="1" t="n">
        <v>94912</v>
      </c>
      <c r="B94913">
        <f>TEXT(94912, "[$-0E0000]yyyy-mm-dd")</f>
        <v/>
      </c>
    </row>
    <row r="94914">
      <c r="A94914" s="1" t="n">
        <v>94913</v>
      </c>
      <c r="B94914">
        <f>TEXT(94913, "[$-0E0000]yyyy-mm-dd")</f>
        <v/>
      </c>
    </row>
    <row r="94915">
      <c r="A94915" s="1" t="n">
        <v>94914</v>
      </c>
      <c r="B94915">
        <f>TEXT(94914, "[$-0E0000]yyyy-mm-dd")</f>
        <v/>
      </c>
    </row>
    <row r="94916">
      <c r="A94916" s="1" t="n">
        <v>94915</v>
      </c>
      <c r="B94916">
        <f>TEXT(94915, "[$-0E0000]yyyy-mm-dd")</f>
        <v/>
      </c>
    </row>
    <row r="94917">
      <c r="A94917" s="1" t="n">
        <v>94916</v>
      </c>
      <c r="B94917">
        <f>TEXT(94916, "[$-0E0000]yyyy-mm-dd")</f>
        <v/>
      </c>
    </row>
    <row r="94918">
      <c r="A94918" s="1" t="n">
        <v>94917</v>
      </c>
      <c r="B94918">
        <f>TEXT(94917, "[$-0E0000]yyyy-mm-dd")</f>
        <v/>
      </c>
    </row>
    <row r="94919">
      <c r="A94919" s="1" t="n">
        <v>94918</v>
      </c>
      <c r="B94919">
        <f>TEXT(94918, "[$-0E0000]yyyy-mm-dd")</f>
        <v/>
      </c>
    </row>
    <row r="94920">
      <c r="A94920" s="1" t="n">
        <v>94919</v>
      </c>
      <c r="B94920">
        <f>TEXT(94919, "[$-0E0000]yyyy-mm-dd")</f>
        <v/>
      </c>
    </row>
    <row r="94921">
      <c r="A94921" s="1" t="n">
        <v>94920</v>
      </c>
      <c r="B94921">
        <f>TEXT(94920, "[$-0E0000]yyyy-mm-dd")</f>
        <v/>
      </c>
    </row>
    <row r="94922">
      <c r="A94922" s="1" t="n">
        <v>94921</v>
      </c>
      <c r="B94922">
        <f>TEXT(94921, "[$-0E0000]yyyy-mm-dd")</f>
        <v/>
      </c>
    </row>
    <row r="94923">
      <c r="A94923" s="1" t="n">
        <v>94922</v>
      </c>
      <c r="B94923">
        <f>TEXT(94922, "[$-0E0000]yyyy-mm-dd")</f>
        <v/>
      </c>
    </row>
    <row r="94924">
      <c r="A94924" s="1" t="n">
        <v>94923</v>
      </c>
      <c r="B94924">
        <f>TEXT(94923, "[$-0E0000]yyyy-mm-dd")</f>
        <v/>
      </c>
    </row>
    <row r="94925">
      <c r="A94925" s="1" t="n">
        <v>94924</v>
      </c>
      <c r="B94925">
        <f>TEXT(94924, "[$-0E0000]yyyy-mm-dd")</f>
        <v/>
      </c>
    </row>
    <row r="94926">
      <c r="A94926" s="1" t="n">
        <v>94925</v>
      </c>
      <c r="B94926">
        <f>TEXT(94925, "[$-0E0000]yyyy-mm-dd")</f>
        <v/>
      </c>
    </row>
    <row r="94927">
      <c r="A94927" s="1" t="n">
        <v>94926</v>
      </c>
      <c r="B94927">
        <f>TEXT(94926, "[$-0E0000]yyyy-mm-dd")</f>
        <v/>
      </c>
    </row>
    <row r="94928">
      <c r="A94928" s="1" t="n">
        <v>94927</v>
      </c>
      <c r="B94928">
        <f>TEXT(94927, "[$-0E0000]yyyy-mm-dd")</f>
        <v/>
      </c>
    </row>
    <row r="94929">
      <c r="A94929" s="1" t="n">
        <v>94928</v>
      </c>
      <c r="B94929">
        <f>TEXT(94928, "[$-0E0000]yyyy-mm-dd")</f>
        <v/>
      </c>
    </row>
    <row r="94930">
      <c r="A94930" s="1" t="n">
        <v>94929</v>
      </c>
      <c r="B94930">
        <f>TEXT(94929, "[$-0E0000]yyyy-mm-dd")</f>
        <v/>
      </c>
    </row>
    <row r="94931">
      <c r="A94931" s="1" t="n">
        <v>94930</v>
      </c>
      <c r="B94931">
        <f>TEXT(94930, "[$-0E0000]yyyy-mm-dd")</f>
        <v/>
      </c>
    </row>
    <row r="94932">
      <c r="A94932" s="1" t="n">
        <v>94931</v>
      </c>
      <c r="B94932">
        <f>TEXT(94931, "[$-0E0000]yyyy-mm-dd")</f>
        <v/>
      </c>
    </row>
    <row r="94933">
      <c r="A94933" s="1" t="n">
        <v>94932</v>
      </c>
      <c r="B94933">
        <f>TEXT(94932, "[$-0E0000]yyyy-mm-dd")</f>
        <v/>
      </c>
    </row>
    <row r="94934">
      <c r="A94934" s="1" t="n">
        <v>94933</v>
      </c>
      <c r="B94934">
        <f>TEXT(94933, "[$-0E0000]yyyy-mm-dd")</f>
        <v/>
      </c>
    </row>
    <row r="94935">
      <c r="A94935" s="1" t="n">
        <v>94934</v>
      </c>
      <c r="B94935">
        <f>TEXT(94934, "[$-0E0000]yyyy-mm-dd")</f>
        <v/>
      </c>
    </row>
    <row r="94936">
      <c r="A94936" s="1" t="n">
        <v>94935</v>
      </c>
      <c r="B94936">
        <f>TEXT(94935, "[$-0E0000]yyyy-mm-dd")</f>
        <v/>
      </c>
    </row>
    <row r="94937">
      <c r="A94937" s="1" t="n">
        <v>94936</v>
      </c>
      <c r="B94937">
        <f>TEXT(94936, "[$-0E0000]yyyy-mm-dd")</f>
        <v/>
      </c>
    </row>
    <row r="94938">
      <c r="A94938" s="1" t="n">
        <v>94937</v>
      </c>
      <c r="B94938">
        <f>TEXT(94937, "[$-0E0000]yyyy-mm-dd")</f>
        <v/>
      </c>
    </row>
    <row r="94939">
      <c r="A94939" s="1" t="n">
        <v>94938</v>
      </c>
      <c r="B94939">
        <f>TEXT(94938, "[$-0E0000]yyyy-mm-dd")</f>
        <v/>
      </c>
    </row>
    <row r="94940">
      <c r="A94940" s="1" t="n">
        <v>94939</v>
      </c>
      <c r="B94940">
        <f>TEXT(94939, "[$-0E0000]yyyy-mm-dd")</f>
        <v/>
      </c>
    </row>
    <row r="94941">
      <c r="A94941" s="1" t="n">
        <v>94940</v>
      </c>
      <c r="B94941">
        <f>TEXT(94940, "[$-0E0000]yyyy-mm-dd")</f>
        <v/>
      </c>
    </row>
    <row r="94942">
      <c r="A94942" s="1" t="n">
        <v>94941</v>
      </c>
      <c r="B94942">
        <f>TEXT(94941, "[$-0E0000]yyyy-mm-dd")</f>
        <v/>
      </c>
    </row>
    <row r="94943">
      <c r="A94943" s="1" t="n">
        <v>94942</v>
      </c>
      <c r="B94943">
        <f>TEXT(94942, "[$-0E0000]yyyy-mm-dd")</f>
        <v/>
      </c>
    </row>
    <row r="94944">
      <c r="A94944" s="1" t="n">
        <v>94943</v>
      </c>
      <c r="B94944">
        <f>TEXT(94943, "[$-0E0000]yyyy-mm-dd")</f>
        <v/>
      </c>
    </row>
    <row r="94945">
      <c r="A94945" s="1" t="n">
        <v>94944</v>
      </c>
      <c r="B94945">
        <f>TEXT(94944, "[$-0E0000]yyyy-mm-dd")</f>
        <v/>
      </c>
    </row>
    <row r="94946">
      <c r="A94946" s="1" t="n">
        <v>94945</v>
      </c>
      <c r="B94946">
        <f>TEXT(94945, "[$-0E0000]yyyy-mm-dd")</f>
        <v/>
      </c>
    </row>
    <row r="94947">
      <c r="A94947" s="1" t="n">
        <v>94946</v>
      </c>
      <c r="B94947">
        <f>TEXT(94946, "[$-0E0000]yyyy-mm-dd")</f>
        <v/>
      </c>
    </row>
    <row r="94948">
      <c r="A94948" s="1" t="n">
        <v>94947</v>
      </c>
      <c r="B94948">
        <f>TEXT(94947, "[$-0E0000]yyyy-mm-dd")</f>
        <v/>
      </c>
    </row>
    <row r="94949">
      <c r="A94949" s="1" t="n">
        <v>94948</v>
      </c>
      <c r="B94949">
        <f>TEXT(94948, "[$-0E0000]yyyy-mm-dd")</f>
        <v/>
      </c>
    </row>
    <row r="94950">
      <c r="A94950" s="1" t="n">
        <v>94949</v>
      </c>
      <c r="B94950">
        <f>TEXT(94949, "[$-0E0000]yyyy-mm-dd")</f>
        <v/>
      </c>
    </row>
    <row r="94951">
      <c r="A94951" s="1" t="n">
        <v>94950</v>
      </c>
      <c r="B94951">
        <f>TEXT(94950, "[$-0E0000]yyyy-mm-dd")</f>
        <v/>
      </c>
    </row>
    <row r="94952">
      <c r="A94952" s="1" t="n">
        <v>94951</v>
      </c>
      <c r="B94952">
        <f>TEXT(94951, "[$-0E0000]yyyy-mm-dd")</f>
        <v/>
      </c>
    </row>
    <row r="94953">
      <c r="A94953" s="1" t="n">
        <v>94952</v>
      </c>
      <c r="B94953">
        <f>TEXT(94952, "[$-0E0000]yyyy-mm-dd")</f>
        <v/>
      </c>
    </row>
    <row r="94954">
      <c r="A94954" s="1" t="n">
        <v>94953</v>
      </c>
      <c r="B94954">
        <f>TEXT(94953, "[$-0E0000]yyyy-mm-dd")</f>
        <v/>
      </c>
    </row>
    <row r="94955">
      <c r="A94955" s="1" t="n">
        <v>94954</v>
      </c>
      <c r="B94955">
        <f>TEXT(94954, "[$-0E0000]yyyy-mm-dd")</f>
        <v/>
      </c>
    </row>
    <row r="94956">
      <c r="A94956" s="1" t="n">
        <v>94955</v>
      </c>
      <c r="B94956">
        <f>TEXT(94955, "[$-0E0000]yyyy-mm-dd")</f>
        <v/>
      </c>
    </row>
    <row r="94957">
      <c r="A94957" s="1" t="n">
        <v>94956</v>
      </c>
      <c r="B94957">
        <f>TEXT(94956, "[$-0E0000]yyyy-mm-dd")</f>
        <v/>
      </c>
    </row>
    <row r="94958">
      <c r="A94958" s="1" t="n">
        <v>94957</v>
      </c>
      <c r="B94958">
        <f>TEXT(94957, "[$-0E0000]yyyy-mm-dd")</f>
        <v/>
      </c>
    </row>
    <row r="94959">
      <c r="A94959" s="1" t="n">
        <v>94958</v>
      </c>
      <c r="B94959">
        <f>TEXT(94958, "[$-0E0000]yyyy-mm-dd")</f>
        <v/>
      </c>
    </row>
    <row r="94960">
      <c r="A94960" s="1" t="n">
        <v>94959</v>
      </c>
      <c r="B94960">
        <f>TEXT(94959, "[$-0E0000]yyyy-mm-dd")</f>
        <v/>
      </c>
    </row>
    <row r="94961">
      <c r="A94961" s="1" t="n">
        <v>94960</v>
      </c>
      <c r="B94961">
        <f>TEXT(94960, "[$-0E0000]yyyy-mm-dd")</f>
        <v/>
      </c>
    </row>
    <row r="94962">
      <c r="A94962" s="1" t="n">
        <v>94961</v>
      </c>
      <c r="B94962">
        <f>TEXT(94961, "[$-0E0000]yyyy-mm-dd")</f>
        <v/>
      </c>
    </row>
    <row r="94963">
      <c r="A94963" s="1" t="n">
        <v>94962</v>
      </c>
      <c r="B94963">
        <f>TEXT(94962, "[$-0E0000]yyyy-mm-dd")</f>
        <v/>
      </c>
    </row>
    <row r="94964">
      <c r="A94964" s="1" t="n">
        <v>94963</v>
      </c>
      <c r="B94964">
        <f>TEXT(94963, "[$-0E0000]yyyy-mm-dd")</f>
        <v/>
      </c>
    </row>
    <row r="94965">
      <c r="A94965" s="1" t="n">
        <v>94964</v>
      </c>
      <c r="B94965">
        <f>TEXT(94964, "[$-0E0000]yyyy-mm-dd")</f>
        <v/>
      </c>
    </row>
    <row r="94966">
      <c r="A94966" s="1" t="n">
        <v>94965</v>
      </c>
      <c r="B94966">
        <f>TEXT(94965, "[$-0E0000]yyyy-mm-dd")</f>
        <v/>
      </c>
    </row>
    <row r="94967">
      <c r="A94967" s="1" t="n">
        <v>94966</v>
      </c>
      <c r="B94967">
        <f>TEXT(94966, "[$-0E0000]yyyy-mm-dd")</f>
        <v/>
      </c>
    </row>
    <row r="94968">
      <c r="A94968" s="1" t="n">
        <v>94967</v>
      </c>
      <c r="B94968">
        <f>TEXT(94967, "[$-0E0000]yyyy-mm-dd")</f>
        <v/>
      </c>
    </row>
    <row r="94969">
      <c r="A94969" s="1" t="n">
        <v>94968</v>
      </c>
      <c r="B94969">
        <f>TEXT(94968, "[$-0E0000]yyyy-mm-dd")</f>
        <v/>
      </c>
    </row>
    <row r="94970">
      <c r="A94970" s="1" t="n">
        <v>94969</v>
      </c>
      <c r="B94970">
        <f>TEXT(94969, "[$-0E0000]yyyy-mm-dd")</f>
        <v/>
      </c>
    </row>
    <row r="94971">
      <c r="A94971" s="1" t="n">
        <v>94970</v>
      </c>
      <c r="B94971">
        <f>TEXT(94970, "[$-0E0000]yyyy-mm-dd")</f>
        <v/>
      </c>
    </row>
    <row r="94972">
      <c r="A94972" s="1" t="n">
        <v>94971</v>
      </c>
      <c r="B94972">
        <f>TEXT(94971, "[$-0E0000]yyyy-mm-dd")</f>
        <v/>
      </c>
    </row>
    <row r="94973">
      <c r="A94973" s="1" t="n">
        <v>94972</v>
      </c>
      <c r="B94973">
        <f>TEXT(94972, "[$-0E0000]yyyy-mm-dd")</f>
        <v/>
      </c>
    </row>
    <row r="94974">
      <c r="A94974" s="1" t="n">
        <v>94973</v>
      </c>
      <c r="B94974">
        <f>TEXT(94973, "[$-0E0000]yyyy-mm-dd")</f>
        <v/>
      </c>
    </row>
    <row r="94975">
      <c r="A94975" s="1" t="n">
        <v>94974</v>
      </c>
      <c r="B94975">
        <f>TEXT(94974, "[$-0E0000]yyyy-mm-dd")</f>
        <v/>
      </c>
    </row>
    <row r="94976">
      <c r="A94976" s="1" t="n">
        <v>94975</v>
      </c>
      <c r="B94976">
        <f>TEXT(94975, "[$-0E0000]yyyy-mm-dd")</f>
        <v/>
      </c>
    </row>
    <row r="94977">
      <c r="A94977" s="1" t="n">
        <v>94976</v>
      </c>
      <c r="B94977">
        <f>TEXT(94976, "[$-0E0000]yyyy-mm-dd")</f>
        <v/>
      </c>
    </row>
    <row r="94978">
      <c r="A94978" s="1" t="n">
        <v>94977</v>
      </c>
      <c r="B94978">
        <f>TEXT(94977, "[$-0E0000]yyyy-mm-dd")</f>
        <v/>
      </c>
    </row>
    <row r="94979">
      <c r="A94979" s="1" t="n">
        <v>94978</v>
      </c>
      <c r="B94979">
        <f>TEXT(94978, "[$-0E0000]yyyy-mm-dd")</f>
        <v/>
      </c>
    </row>
    <row r="94980">
      <c r="A94980" s="1" t="n">
        <v>94979</v>
      </c>
      <c r="B94980">
        <f>TEXT(94979, "[$-0E0000]yyyy-mm-dd")</f>
        <v/>
      </c>
    </row>
    <row r="94981">
      <c r="A94981" s="1" t="n">
        <v>94980</v>
      </c>
      <c r="B94981">
        <f>TEXT(94980, "[$-0E0000]yyyy-mm-dd")</f>
        <v/>
      </c>
    </row>
    <row r="94982">
      <c r="A94982" s="1" t="n">
        <v>94981</v>
      </c>
      <c r="B94982">
        <f>TEXT(94981, "[$-0E0000]yyyy-mm-dd")</f>
        <v/>
      </c>
    </row>
    <row r="94983">
      <c r="A94983" s="1" t="n">
        <v>94982</v>
      </c>
      <c r="B94983">
        <f>TEXT(94982, "[$-0E0000]yyyy-mm-dd")</f>
        <v/>
      </c>
    </row>
    <row r="94984">
      <c r="A94984" s="1" t="n">
        <v>94983</v>
      </c>
      <c r="B94984">
        <f>TEXT(94983, "[$-0E0000]yyyy-mm-dd")</f>
        <v/>
      </c>
    </row>
    <row r="94985">
      <c r="A94985" s="1" t="n">
        <v>94984</v>
      </c>
      <c r="B94985">
        <f>TEXT(94984, "[$-0E0000]yyyy-mm-dd")</f>
        <v/>
      </c>
    </row>
    <row r="94986">
      <c r="A94986" s="1" t="n">
        <v>94985</v>
      </c>
      <c r="B94986">
        <f>TEXT(94985, "[$-0E0000]yyyy-mm-dd")</f>
        <v/>
      </c>
    </row>
    <row r="94987">
      <c r="A94987" s="1" t="n">
        <v>94986</v>
      </c>
      <c r="B94987">
        <f>TEXT(94986, "[$-0E0000]yyyy-mm-dd")</f>
        <v/>
      </c>
    </row>
    <row r="94988">
      <c r="A94988" s="1" t="n">
        <v>94987</v>
      </c>
      <c r="B94988">
        <f>TEXT(94987, "[$-0E0000]yyyy-mm-dd")</f>
        <v/>
      </c>
    </row>
    <row r="94989">
      <c r="A94989" s="1" t="n">
        <v>94988</v>
      </c>
      <c r="B94989">
        <f>TEXT(94988, "[$-0E0000]yyyy-mm-dd")</f>
        <v/>
      </c>
    </row>
    <row r="94990">
      <c r="A94990" s="1" t="n">
        <v>94989</v>
      </c>
      <c r="B94990">
        <f>TEXT(94989, "[$-0E0000]yyyy-mm-dd")</f>
        <v/>
      </c>
    </row>
    <row r="94991">
      <c r="A94991" s="1" t="n">
        <v>94990</v>
      </c>
      <c r="B94991">
        <f>TEXT(94990, "[$-0E0000]yyyy-mm-dd")</f>
        <v/>
      </c>
    </row>
    <row r="94992">
      <c r="A94992" s="1" t="n">
        <v>94991</v>
      </c>
      <c r="B94992">
        <f>TEXT(94991, "[$-0E0000]yyyy-mm-dd")</f>
        <v/>
      </c>
    </row>
    <row r="94993">
      <c r="A94993" s="1" t="n">
        <v>94992</v>
      </c>
      <c r="B94993">
        <f>TEXT(94992, "[$-0E0000]yyyy-mm-dd")</f>
        <v/>
      </c>
    </row>
    <row r="94994">
      <c r="A94994" s="1" t="n">
        <v>94993</v>
      </c>
      <c r="B94994">
        <f>TEXT(94993, "[$-0E0000]yyyy-mm-dd")</f>
        <v/>
      </c>
    </row>
    <row r="94995">
      <c r="A94995" s="1" t="n">
        <v>94994</v>
      </c>
      <c r="B94995">
        <f>TEXT(94994, "[$-0E0000]yyyy-mm-dd")</f>
        <v/>
      </c>
    </row>
    <row r="94996">
      <c r="A94996" s="1" t="n">
        <v>94995</v>
      </c>
      <c r="B94996">
        <f>TEXT(94995, "[$-0E0000]yyyy-mm-dd")</f>
        <v/>
      </c>
    </row>
    <row r="94997">
      <c r="A94997" s="1" t="n">
        <v>94996</v>
      </c>
      <c r="B94997">
        <f>TEXT(94996, "[$-0E0000]yyyy-mm-dd")</f>
        <v/>
      </c>
    </row>
    <row r="94998">
      <c r="A94998" s="1" t="n">
        <v>94997</v>
      </c>
      <c r="B94998">
        <f>TEXT(94997, "[$-0E0000]yyyy-mm-dd")</f>
        <v/>
      </c>
    </row>
    <row r="94999">
      <c r="A94999" s="1" t="n">
        <v>94998</v>
      </c>
      <c r="B94999">
        <f>TEXT(94998, "[$-0E0000]yyyy-mm-dd")</f>
        <v/>
      </c>
    </row>
    <row r="95000">
      <c r="A95000" s="1" t="n">
        <v>94999</v>
      </c>
      <c r="B95000">
        <f>TEXT(94999, "[$-0E0000]yyyy-mm-dd")</f>
        <v/>
      </c>
    </row>
    <row r="95001">
      <c r="A95001" s="1" t="n">
        <v>95000</v>
      </c>
      <c r="B95001">
        <f>TEXT(95000, "[$-0E0000]yyyy-mm-dd")</f>
        <v/>
      </c>
    </row>
    <row r="95002">
      <c r="A95002" s="1" t="n">
        <v>95001</v>
      </c>
      <c r="B95002">
        <f>TEXT(95001, "[$-0E0000]yyyy-mm-dd")</f>
        <v/>
      </c>
    </row>
    <row r="95003">
      <c r="A95003" s="1" t="n">
        <v>95002</v>
      </c>
      <c r="B95003">
        <f>TEXT(95002, "[$-0E0000]yyyy-mm-dd")</f>
        <v/>
      </c>
    </row>
    <row r="95004">
      <c r="A95004" s="1" t="n">
        <v>95003</v>
      </c>
      <c r="B95004">
        <f>TEXT(95003, "[$-0E0000]yyyy-mm-dd")</f>
        <v/>
      </c>
    </row>
    <row r="95005">
      <c r="A95005" s="1" t="n">
        <v>95004</v>
      </c>
      <c r="B95005">
        <f>TEXT(95004, "[$-0E0000]yyyy-mm-dd")</f>
        <v/>
      </c>
    </row>
    <row r="95006">
      <c r="A95006" s="1" t="n">
        <v>95005</v>
      </c>
      <c r="B95006">
        <f>TEXT(95005, "[$-0E0000]yyyy-mm-dd")</f>
        <v/>
      </c>
    </row>
    <row r="95007">
      <c r="A95007" s="1" t="n">
        <v>95006</v>
      </c>
      <c r="B95007">
        <f>TEXT(95006, "[$-0E0000]yyyy-mm-dd")</f>
        <v/>
      </c>
    </row>
    <row r="95008">
      <c r="A95008" s="1" t="n">
        <v>95007</v>
      </c>
      <c r="B95008">
        <f>TEXT(95007, "[$-0E0000]yyyy-mm-dd")</f>
        <v/>
      </c>
    </row>
    <row r="95009">
      <c r="A95009" s="1" t="n">
        <v>95008</v>
      </c>
      <c r="B95009">
        <f>TEXT(95008, "[$-0E0000]yyyy-mm-dd")</f>
        <v/>
      </c>
    </row>
    <row r="95010">
      <c r="A95010" s="1" t="n">
        <v>95009</v>
      </c>
      <c r="B95010">
        <f>TEXT(95009, "[$-0E0000]yyyy-mm-dd")</f>
        <v/>
      </c>
    </row>
    <row r="95011">
      <c r="A95011" s="1" t="n">
        <v>95010</v>
      </c>
      <c r="B95011">
        <f>TEXT(95010, "[$-0E0000]yyyy-mm-dd")</f>
        <v/>
      </c>
    </row>
    <row r="95012">
      <c r="A95012" s="1" t="n">
        <v>95011</v>
      </c>
      <c r="B95012">
        <f>TEXT(95011, "[$-0E0000]yyyy-mm-dd")</f>
        <v/>
      </c>
    </row>
    <row r="95013">
      <c r="A95013" s="1" t="n">
        <v>95012</v>
      </c>
      <c r="B95013">
        <f>TEXT(95012, "[$-0E0000]yyyy-mm-dd")</f>
        <v/>
      </c>
    </row>
    <row r="95014">
      <c r="A95014" s="1" t="n">
        <v>95013</v>
      </c>
      <c r="B95014">
        <f>TEXT(95013, "[$-0E0000]yyyy-mm-dd")</f>
        <v/>
      </c>
    </row>
    <row r="95015">
      <c r="A95015" s="1" t="n">
        <v>95014</v>
      </c>
      <c r="B95015">
        <f>TEXT(95014, "[$-0E0000]yyyy-mm-dd")</f>
        <v/>
      </c>
    </row>
    <row r="95016">
      <c r="A95016" s="1" t="n">
        <v>95015</v>
      </c>
      <c r="B95016">
        <f>TEXT(95015, "[$-0E0000]yyyy-mm-dd")</f>
        <v/>
      </c>
    </row>
    <row r="95017">
      <c r="A95017" s="1" t="n">
        <v>95016</v>
      </c>
      <c r="B95017">
        <f>TEXT(95016, "[$-0E0000]yyyy-mm-dd")</f>
        <v/>
      </c>
    </row>
    <row r="95018">
      <c r="A95018" s="1" t="n">
        <v>95017</v>
      </c>
      <c r="B95018">
        <f>TEXT(95017, "[$-0E0000]yyyy-mm-dd")</f>
        <v/>
      </c>
    </row>
    <row r="95019">
      <c r="A95019" s="1" t="n">
        <v>95018</v>
      </c>
      <c r="B95019">
        <f>TEXT(95018, "[$-0E0000]yyyy-mm-dd")</f>
        <v/>
      </c>
    </row>
    <row r="95020">
      <c r="A95020" s="1" t="n">
        <v>95019</v>
      </c>
      <c r="B95020">
        <f>TEXT(95019, "[$-0E0000]yyyy-mm-dd")</f>
        <v/>
      </c>
    </row>
    <row r="95021">
      <c r="A95021" s="1" t="n">
        <v>95020</v>
      </c>
      <c r="B95021">
        <f>TEXT(95020, "[$-0E0000]yyyy-mm-dd")</f>
        <v/>
      </c>
    </row>
    <row r="95022">
      <c r="A95022" s="1" t="n">
        <v>95021</v>
      </c>
      <c r="B95022">
        <f>TEXT(95021, "[$-0E0000]yyyy-mm-dd")</f>
        <v/>
      </c>
    </row>
    <row r="95023">
      <c r="A95023" s="1" t="n">
        <v>95022</v>
      </c>
      <c r="B95023">
        <f>TEXT(95022, "[$-0E0000]yyyy-mm-dd")</f>
        <v/>
      </c>
    </row>
    <row r="95024">
      <c r="A95024" s="1" t="n">
        <v>95023</v>
      </c>
      <c r="B95024">
        <f>TEXT(95023, "[$-0E0000]yyyy-mm-dd")</f>
        <v/>
      </c>
    </row>
    <row r="95025">
      <c r="A95025" s="1" t="n">
        <v>95024</v>
      </c>
      <c r="B95025">
        <f>TEXT(95024, "[$-0E0000]yyyy-mm-dd")</f>
        <v/>
      </c>
    </row>
    <row r="95026">
      <c r="A95026" s="1" t="n">
        <v>95025</v>
      </c>
      <c r="B95026">
        <f>TEXT(95025, "[$-0E0000]yyyy-mm-dd")</f>
        <v/>
      </c>
    </row>
    <row r="95027">
      <c r="A95027" s="1" t="n">
        <v>95026</v>
      </c>
      <c r="B95027">
        <f>TEXT(95026, "[$-0E0000]yyyy-mm-dd")</f>
        <v/>
      </c>
    </row>
    <row r="95028">
      <c r="A95028" s="1" t="n">
        <v>95027</v>
      </c>
      <c r="B95028">
        <f>TEXT(95027, "[$-0E0000]yyyy-mm-dd")</f>
        <v/>
      </c>
    </row>
    <row r="95029">
      <c r="A95029" s="1" t="n">
        <v>95028</v>
      </c>
      <c r="B95029">
        <f>TEXT(95028, "[$-0E0000]yyyy-mm-dd")</f>
        <v/>
      </c>
    </row>
    <row r="95030">
      <c r="A95030" s="1" t="n">
        <v>95029</v>
      </c>
      <c r="B95030">
        <f>TEXT(95029, "[$-0E0000]yyyy-mm-dd")</f>
        <v/>
      </c>
    </row>
    <row r="95031">
      <c r="A95031" s="1" t="n">
        <v>95030</v>
      </c>
      <c r="B95031">
        <f>TEXT(95030, "[$-0E0000]yyyy-mm-dd")</f>
        <v/>
      </c>
    </row>
    <row r="95032">
      <c r="A95032" s="1" t="n">
        <v>95031</v>
      </c>
      <c r="B95032">
        <f>TEXT(95031, "[$-0E0000]yyyy-mm-dd")</f>
        <v/>
      </c>
    </row>
    <row r="95033">
      <c r="A95033" s="1" t="n">
        <v>95032</v>
      </c>
      <c r="B95033">
        <f>TEXT(95032, "[$-0E0000]yyyy-mm-dd")</f>
        <v/>
      </c>
    </row>
    <row r="95034">
      <c r="A95034" s="1" t="n">
        <v>95033</v>
      </c>
      <c r="B95034">
        <f>TEXT(95033, "[$-0E0000]yyyy-mm-dd")</f>
        <v/>
      </c>
    </row>
    <row r="95035">
      <c r="A95035" s="1" t="n">
        <v>95034</v>
      </c>
      <c r="B95035">
        <f>TEXT(95034, "[$-0E0000]yyyy-mm-dd")</f>
        <v/>
      </c>
    </row>
    <row r="95036">
      <c r="A95036" s="1" t="n">
        <v>95035</v>
      </c>
      <c r="B95036">
        <f>TEXT(95035, "[$-0E0000]yyyy-mm-dd")</f>
        <v/>
      </c>
    </row>
    <row r="95037">
      <c r="A95037" s="1" t="n">
        <v>95036</v>
      </c>
      <c r="B95037">
        <f>TEXT(95036, "[$-0E0000]yyyy-mm-dd")</f>
        <v/>
      </c>
    </row>
    <row r="95038">
      <c r="A95038" s="1" t="n">
        <v>95037</v>
      </c>
      <c r="B95038">
        <f>TEXT(95037, "[$-0E0000]yyyy-mm-dd")</f>
        <v/>
      </c>
    </row>
    <row r="95039">
      <c r="A95039" s="1" t="n">
        <v>95038</v>
      </c>
      <c r="B95039">
        <f>TEXT(95038, "[$-0E0000]yyyy-mm-dd")</f>
        <v/>
      </c>
    </row>
    <row r="95040">
      <c r="A95040" s="1" t="n">
        <v>95039</v>
      </c>
      <c r="B95040">
        <f>TEXT(95039, "[$-0E0000]yyyy-mm-dd")</f>
        <v/>
      </c>
    </row>
    <row r="95041">
      <c r="A95041" s="1" t="n">
        <v>95040</v>
      </c>
      <c r="B95041">
        <f>TEXT(95040, "[$-0E0000]yyyy-mm-dd")</f>
        <v/>
      </c>
    </row>
    <row r="95042">
      <c r="A95042" s="1" t="n">
        <v>95041</v>
      </c>
      <c r="B95042">
        <f>TEXT(95041, "[$-0E0000]yyyy-mm-dd")</f>
        <v/>
      </c>
    </row>
    <row r="95043">
      <c r="A95043" s="1" t="n">
        <v>95042</v>
      </c>
      <c r="B95043">
        <f>TEXT(95042, "[$-0E0000]yyyy-mm-dd")</f>
        <v/>
      </c>
    </row>
    <row r="95044">
      <c r="A95044" s="1" t="n">
        <v>95043</v>
      </c>
      <c r="B95044">
        <f>TEXT(95043, "[$-0E0000]yyyy-mm-dd")</f>
        <v/>
      </c>
    </row>
    <row r="95045">
      <c r="A95045" s="1" t="n">
        <v>95044</v>
      </c>
      <c r="B95045">
        <f>TEXT(95044, "[$-0E0000]yyyy-mm-dd")</f>
        <v/>
      </c>
    </row>
    <row r="95046">
      <c r="A95046" s="1" t="n">
        <v>95045</v>
      </c>
      <c r="B95046">
        <f>TEXT(95045, "[$-0E0000]yyyy-mm-dd")</f>
        <v/>
      </c>
    </row>
    <row r="95047">
      <c r="A95047" s="1" t="n">
        <v>95046</v>
      </c>
      <c r="B95047">
        <f>TEXT(95046, "[$-0E0000]yyyy-mm-dd")</f>
        <v/>
      </c>
    </row>
    <row r="95048">
      <c r="A95048" s="1" t="n">
        <v>95047</v>
      </c>
      <c r="B95048">
        <f>TEXT(95047, "[$-0E0000]yyyy-mm-dd")</f>
        <v/>
      </c>
    </row>
    <row r="95049">
      <c r="A95049" s="1" t="n">
        <v>95048</v>
      </c>
      <c r="B95049">
        <f>TEXT(95048, "[$-0E0000]yyyy-mm-dd")</f>
        <v/>
      </c>
    </row>
    <row r="95050">
      <c r="A95050" s="1" t="n">
        <v>95049</v>
      </c>
      <c r="B95050">
        <f>TEXT(95049, "[$-0E0000]yyyy-mm-dd")</f>
        <v/>
      </c>
    </row>
    <row r="95051">
      <c r="A95051" s="1" t="n">
        <v>95050</v>
      </c>
      <c r="B95051">
        <f>TEXT(95050, "[$-0E0000]yyyy-mm-dd")</f>
        <v/>
      </c>
    </row>
    <row r="95052">
      <c r="A95052" s="1" t="n">
        <v>95051</v>
      </c>
      <c r="B95052">
        <f>TEXT(95051, "[$-0E0000]yyyy-mm-dd")</f>
        <v/>
      </c>
    </row>
    <row r="95053">
      <c r="A95053" s="1" t="n">
        <v>95052</v>
      </c>
      <c r="B95053">
        <f>TEXT(95052, "[$-0E0000]yyyy-mm-dd")</f>
        <v/>
      </c>
    </row>
    <row r="95054">
      <c r="A95054" s="1" t="n">
        <v>95053</v>
      </c>
      <c r="B95054">
        <f>TEXT(95053, "[$-0E0000]yyyy-mm-dd")</f>
        <v/>
      </c>
    </row>
    <row r="95055">
      <c r="A95055" s="1" t="n">
        <v>95054</v>
      </c>
      <c r="B95055">
        <f>TEXT(95054, "[$-0E0000]yyyy-mm-dd")</f>
        <v/>
      </c>
    </row>
    <row r="95056">
      <c r="A95056" s="1" t="n">
        <v>95055</v>
      </c>
      <c r="B95056">
        <f>TEXT(95055, "[$-0E0000]yyyy-mm-dd")</f>
        <v/>
      </c>
    </row>
    <row r="95057">
      <c r="A95057" s="1" t="n">
        <v>95056</v>
      </c>
      <c r="B95057">
        <f>TEXT(95056, "[$-0E0000]yyyy-mm-dd")</f>
        <v/>
      </c>
    </row>
    <row r="95058">
      <c r="A95058" s="1" t="n">
        <v>95057</v>
      </c>
      <c r="B95058">
        <f>TEXT(95057, "[$-0E0000]yyyy-mm-dd")</f>
        <v/>
      </c>
    </row>
    <row r="95059">
      <c r="A95059" s="1" t="n">
        <v>95058</v>
      </c>
      <c r="B95059">
        <f>TEXT(95058, "[$-0E0000]yyyy-mm-dd")</f>
        <v/>
      </c>
    </row>
    <row r="95060">
      <c r="A95060" s="1" t="n">
        <v>95059</v>
      </c>
      <c r="B95060">
        <f>TEXT(95059, "[$-0E0000]yyyy-mm-dd")</f>
        <v/>
      </c>
    </row>
    <row r="95061">
      <c r="A95061" s="1" t="n">
        <v>95060</v>
      </c>
      <c r="B95061">
        <f>TEXT(95060, "[$-0E0000]yyyy-mm-dd")</f>
        <v/>
      </c>
    </row>
    <row r="95062">
      <c r="A95062" s="1" t="n">
        <v>95061</v>
      </c>
      <c r="B95062">
        <f>TEXT(95061, "[$-0E0000]yyyy-mm-dd")</f>
        <v/>
      </c>
    </row>
    <row r="95063">
      <c r="A95063" s="1" t="n">
        <v>95062</v>
      </c>
      <c r="B95063">
        <f>TEXT(95062, "[$-0E0000]yyyy-mm-dd")</f>
        <v/>
      </c>
    </row>
    <row r="95064">
      <c r="A95064" s="1" t="n">
        <v>95063</v>
      </c>
      <c r="B95064">
        <f>TEXT(95063, "[$-0E0000]yyyy-mm-dd")</f>
        <v/>
      </c>
    </row>
    <row r="95065">
      <c r="A95065" s="1" t="n">
        <v>95064</v>
      </c>
      <c r="B95065">
        <f>TEXT(95064, "[$-0E0000]yyyy-mm-dd")</f>
        <v/>
      </c>
    </row>
    <row r="95066">
      <c r="A95066" s="1" t="n">
        <v>95065</v>
      </c>
      <c r="B95066">
        <f>TEXT(95065, "[$-0E0000]yyyy-mm-dd")</f>
        <v/>
      </c>
    </row>
    <row r="95067">
      <c r="A95067" s="1" t="n">
        <v>95066</v>
      </c>
      <c r="B95067">
        <f>TEXT(95066, "[$-0E0000]yyyy-mm-dd")</f>
        <v/>
      </c>
    </row>
    <row r="95068">
      <c r="A95068" s="1" t="n">
        <v>95067</v>
      </c>
      <c r="B95068">
        <f>TEXT(95067, "[$-0E0000]yyyy-mm-dd")</f>
        <v/>
      </c>
    </row>
    <row r="95069">
      <c r="A95069" s="1" t="n">
        <v>95068</v>
      </c>
      <c r="B95069">
        <f>TEXT(95068, "[$-0E0000]yyyy-mm-dd")</f>
        <v/>
      </c>
    </row>
    <row r="95070">
      <c r="A95070" s="1" t="n">
        <v>95069</v>
      </c>
      <c r="B95070">
        <f>TEXT(95069, "[$-0E0000]yyyy-mm-dd")</f>
        <v/>
      </c>
    </row>
    <row r="95071">
      <c r="A95071" s="1" t="n">
        <v>95070</v>
      </c>
      <c r="B95071">
        <f>TEXT(95070, "[$-0E0000]yyyy-mm-dd")</f>
        <v/>
      </c>
    </row>
    <row r="95072">
      <c r="A95072" s="1" t="n">
        <v>95071</v>
      </c>
      <c r="B95072">
        <f>TEXT(95071, "[$-0E0000]yyyy-mm-dd")</f>
        <v/>
      </c>
    </row>
    <row r="95073">
      <c r="A95073" s="1" t="n">
        <v>95072</v>
      </c>
      <c r="B95073">
        <f>TEXT(95072, "[$-0E0000]yyyy-mm-dd")</f>
        <v/>
      </c>
    </row>
    <row r="95074">
      <c r="A95074" s="1" t="n">
        <v>95073</v>
      </c>
      <c r="B95074">
        <f>TEXT(95073, "[$-0E0000]yyyy-mm-dd")</f>
        <v/>
      </c>
    </row>
    <row r="95075">
      <c r="A95075" s="1" t="n">
        <v>95074</v>
      </c>
      <c r="B95075">
        <f>TEXT(95074, "[$-0E0000]yyyy-mm-dd")</f>
        <v/>
      </c>
    </row>
    <row r="95076">
      <c r="A95076" s="1" t="n">
        <v>95075</v>
      </c>
      <c r="B95076">
        <f>TEXT(95075, "[$-0E0000]yyyy-mm-dd")</f>
        <v/>
      </c>
    </row>
    <row r="95077">
      <c r="A95077" s="1" t="n">
        <v>95076</v>
      </c>
      <c r="B95077">
        <f>TEXT(95076, "[$-0E0000]yyyy-mm-dd")</f>
        <v/>
      </c>
    </row>
    <row r="95078">
      <c r="A95078" s="1" t="n">
        <v>95077</v>
      </c>
      <c r="B95078">
        <f>TEXT(95077, "[$-0E0000]yyyy-mm-dd")</f>
        <v/>
      </c>
    </row>
    <row r="95079">
      <c r="A95079" s="1" t="n">
        <v>95078</v>
      </c>
      <c r="B95079">
        <f>TEXT(95078, "[$-0E0000]yyyy-mm-dd")</f>
        <v/>
      </c>
    </row>
    <row r="95080">
      <c r="A95080" s="1" t="n">
        <v>95079</v>
      </c>
      <c r="B95080">
        <f>TEXT(95079, "[$-0E0000]yyyy-mm-dd")</f>
        <v/>
      </c>
    </row>
    <row r="95081">
      <c r="A95081" s="1" t="n">
        <v>95080</v>
      </c>
      <c r="B95081">
        <f>TEXT(95080, "[$-0E0000]yyyy-mm-dd")</f>
        <v/>
      </c>
    </row>
    <row r="95082">
      <c r="A95082" s="1" t="n">
        <v>95081</v>
      </c>
      <c r="B95082">
        <f>TEXT(95081, "[$-0E0000]yyyy-mm-dd")</f>
        <v/>
      </c>
    </row>
    <row r="95083">
      <c r="A95083" s="1" t="n">
        <v>95082</v>
      </c>
      <c r="B95083">
        <f>TEXT(95082, "[$-0E0000]yyyy-mm-dd")</f>
        <v/>
      </c>
    </row>
    <row r="95084">
      <c r="A95084" s="1" t="n">
        <v>95083</v>
      </c>
      <c r="B95084">
        <f>TEXT(95083, "[$-0E0000]yyyy-mm-dd")</f>
        <v/>
      </c>
    </row>
    <row r="95085">
      <c r="A95085" s="1" t="n">
        <v>95084</v>
      </c>
      <c r="B95085">
        <f>TEXT(95084, "[$-0E0000]yyyy-mm-dd")</f>
        <v/>
      </c>
    </row>
    <row r="95086">
      <c r="A95086" s="1" t="n">
        <v>95085</v>
      </c>
      <c r="B95086">
        <f>TEXT(95085, "[$-0E0000]yyyy-mm-dd")</f>
        <v/>
      </c>
    </row>
    <row r="95087">
      <c r="A95087" s="1" t="n">
        <v>95086</v>
      </c>
      <c r="B95087">
        <f>TEXT(95086, "[$-0E0000]yyyy-mm-dd")</f>
        <v/>
      </c>
    </row>
    <row r="95088">
      <c r="A95088" s="1" t="n">
        <v>95087</v>
      </c>
      <c r="B95088">
        <f>TEXT(95087, "[$-0E0000]yyyy-mm-dd")</f>
        <v/>
      </c>
    </row>
    <row r="95089">
      <c r="A95089" s="1" t="n">
        <v>95088</v>
      </c>
      <c r="B95089">
        <f>TEXT(95088, "[$-0E0000]yyyy-mm-dd")</f>
        <v/>
      </c>
    </row>
    <row r="95090">
      <c r="A95090" s="1" t="n">
        <v>95089</v>
      </c>
      <c r="B95090">
        <f>TEXT(95089, "[$-0E0000]yyyy-mm-dd")</f>
        <v/>
      </c>
    </row>
    <row r="95091">
      <c r="A95091" s="1" t="n">
        <v>95090</v>
      </c>
      <c r="B95091">
        <f>TEXT(95090, "[$-0E0000]yyyy-mm-dd")</f>
        <v/>
      </c>
    </row>
    <row r="95092">
      <c r="A95092" s="1" t="n">
        <v>95091</v>
      </c>
      <c r="B95092">
        <f>TEXT(95091, "[$-0E0000]yyyy-mm-dd")</f>
        <v/>
      </c>
    </row>
    <row r="95093">
      <c r="A95093" s="1" t="n">
        <v>95092</v>
      </c>
      <c r="B95093">
        <f>TEXT(95092, "[$-0E0000]yyyy-mm-dd")</f>
        <v/>
      </c>
    </row>
    <row r="95094">
      <c r="A95094" s="1" t="n">
        <v>95093</v>
      </c>
      <c r="B95094">
        <f>TEXT(95093, "[$-0E0000]yyyy-mm-dd")</f>
        <v/>
      </c>
    </row>
    <row r="95095">
      <c r="A95095" s="1" t="n">
        <v>95094</v>
      </c>
      <c r="B95095">
        <f>TEXT(95094, "[$-0E0000]yyyy-mm-dd")</f>
        <v/>
      </c>
    </row>
    <row r="95096">
      <c r="A95096" s="1" t="n">
        <v>95095</v>
      </c>
      <c r="B95096">
        <f>TEXT(95095, "[$-0E0000]yyyy-mm-dd")</f>
        <v/>
      </c>
    </row>
    <row r="95097">
      <c r="A95097" s="1" t="n">
        <v>95096</v>
      </c>
      <c r="B95097">
        <f>TEXT(95096, "[$-0E0000]yyyy-mm-dd")</f>
        <v/>
      </c>
    </row>
    <row r="95098">
      <c r="A95098" s="1" t="n">
        <v>95097</v>
      </c>
      <c r="B95098">
        <f>TEXT(95097, "[$-0E0000]yyyy-mm-dd")</f>
        <v/>
      </c>
    </row>
    <row r="95099">
      <c r="A95099" s="1" t="n">
        <v>95098</v>
      </c>
      <c r="B95099">
        <f>TEXT(95098, "[$-0E0000]yyyy-mm-dd")</f>
        <v/>
      </c>
    </row>
    <row r="95100">
      <c r="A95100" s="1" t="n">
        <v>95099</v>
      </c>
      <c r="B95100">
        <f>TEXT(95099, "[$-0E0000]yyyy-mm-dd")</f>
        <v/>
      </c>
    </row>
    <row r="95101">
      <c r="A95101" s="1" t="n">
        <v>95100</v>
      </c>
      <c r="B95101">
        <f>TEXT(95100, "[$-0E0000]yyyy-mm-dd")</f>
        <v/>
      </c>
    </row>
    <row r="95102">
      <c r="A95102" s="1" t="n">
        <v>95101</v>
      </c>
      <c r="B95102">
        <f>TEXT(95101, "[$-0E0000]yyyy-mm-dd")</f>
        <v/>
      </c>
    </row>
    <row r="95103">
      <c r="A95103" s="1" t="n">
        <v>95102</v>
      </c>
      <c r="B95103">
        <f>TEXT(95102, "[$-0E0000]yyyy-mm-dd")</f>
        <v/>
      </c>
    </row>
    <row r="95104">
      <c r="A95104" s="1" t="n">
        <v>95103</v>
      </c>
      <c r="B95104">
        <f>TEXT(95103, "[$-0E0000]yyyy-mm-dd")</f>
        <v/>
      </c>
    </row>
    <row r="95105">
      <c r="A95105" s="1" t="n">
        <v>95104</v>
      </c>
      <c r="B95105">
        <f>TEXT(95104, "[$-0E0000]yyyy-mm-dd")</f>
        <v/>
      </c>
    </row>
    <row r="95106">
      <c r="A95106" s="1" t="n">
        <v>95105</v>
      </c>
      <c r="B95106">
        <f>TEXT(95105, "[$-0E0000]yyyy-mm-dd")</f>
        <v/>
      </c>
    </row>
    <row r="95107">
      <c r="A95107" s="1" t="n">
        <v>95106</v>
      </c>
      <c r="B95107">
        <f>TEXT(95106, "[$-0E0000]yyyy-mm-dd")</f>
        <v/>
      </c>
    </row>
    <row r="95108">
      <c r="A95108" s="1" t="n">
        <v>95107</v>
      </c>
      <c r="B95108">
        <f>TEXT(95107, "[$-0E0000]yyyy-mm-dd")</f>
        <v/>
      </c>
    </row>
    <row r="95109">
      <c r="A95109" s="1" t="n">
        <v>95108</v>
      </c>
      <c r="B95109">
        <f>TEXT(95108, "[$-0E0000]yyyy-mm-dd")</f>
        <v/>
      </c>
    </row>
    <row r="95110">
      <c r="A95110" s="1" t="n">
        <v>95109</v>
      </c>
      <c r="B95110">
        <f>TEXT(95109, "[$-0E0000]yyyy-mm-dd")</f>
        <v/>
      </c>
    </row>
    <row r="95111">
      <c r="A95111" s="1" t="n">
        <v>95110</v>
      </c>
      <c r="B95111">
        <f>TEXT(95110, "[$-0E0000]yyyy-mm-dd")</f>
        <v/>
      </c>
    </row>
    <row r="95112">
      <c r="A95112" s="1" t="n">
        <v>95111</v>
      </c>
      <c r="B95112">
        <f>TEXT(95111, "[$-0E0000]yyyy-mm-dd")</f>
        <v/>
      </c>
    </row>
    <row r="95113">
      <c r="A95113" s="1" t="n">
        <v>95112</v>
      </c>
      <c r="B95113">
        <f>TEXT(95112, "[$-0E0000]yyyy-mm-dd")</f>
        <v/>
      </c>
    </row>
    <row r="95114">
      <c r="A95114" s="1" t="n">
        <v>95113</v>
      </c>
      <c r="B95114">
        <f>TEXT(95113, "[$-0E0000]yyyy-mm-dd")</f>
        <v/>
      </c>
    </row>
    <row r="95115">
      <c r="A95115" s="1" t="n">
        <v>95114</v>
      </c>
      <c r="B95115">
        <f>TEXT(95114, "[$-0E0000]yyyy-mm-dd")</f>
        <v/>
      </c>
    </row>
    <row r="95116">
      <c r="A95116" s="1" t="n">
        <v>95115</v>
      </c>
      <c r="B95116">
        <f>TEXT(95115, "[$-0E0000]yyyy-mm-dd")</f>
        <v/>
      </c>
    </row>
    <row r="95117">
      <c r="A95117" s="1" t="n">
        <v>95116</v>
      </c>
      <c r="B95117">
        <f>TEXT(95116, "[$-0E0000]yyyy-mm-dd")</f>
        <v/>
      </c>
    </row>
    <row r="95118">
      <c r="A95118" s="1" t="n">
        <v>95117</v>
      </c>
      <c r="B95118">
        <f>TEXT(95117, "[$-0E0000]yyyy-mm-dd")</f>
        <v/>
      </c>
    </row>
    <row r="95119">
      <c r="A95119" s="1" t="n">
        <v>95118</v>
      </c>
      <c r="B95119">
        <f>TEXT(95118, "[$-0E0000]yyyy-mm-dd")</f>
        <v/>
      </c>
    </row>
    <row r="95120">
      <c r="A95120" s="1" t="n">
        <v>95119</v>
      </c>
      <c r="B95120">
        <f>TEXT(95119, "[$-0E0000]yyyy-mm-dd")</f>
        <v/>
      </c>
    </row>
    <row r="95121">
      <c r="A95121" s="1" t="n">
        <v>95120</v>
      </c>
      <c r="B95121">
        <f>TEXT(95120, "[$-0E0000]yyyy-mm-dd")</f>
        <v/>
      </c>
    </row>
    <row r="95122">
      <c r="A95122" s="1" t="n">
        <v>95121</v>
      </c>
      <c r="B95122">
        <f>TEXT(95121, "[$-0E0000]yyyy-mm-dd")</f>
        <v/>
      </c>
    </row>
    <row r="95123">
      <c r="A95123" s="1" t="n">
        <v>95122</v>
      </c>
      <c r="B95123">
        <f>TEXT(95122, "[$-0E0000]yyyy-mm-dd")</f>
        <v/>
      </c>
    </row>
    <row r="95124">
      <c r="A95124" s="1" t="n">
        <v>95123</v>
      </c>
      <c r="B95124">
        <f>TEXT(95123, "[$-0E0000]yyyy-mm-dd")</f>
        <v/>
      </c>
    </row>
    <row r="95125">
      <c r="A95125" s="1" t="n">
        <v>95124</v>
      </c>
      <c r="B95125">
        <f>TEXT(95124, "[$-0E0000]yyyy-mm-dd")</f>
        <v/>
      </c>
    </row>
    <row r="95126">
      <c r="A95126" s="1" t="n">
        <v>95125</v>
      </c>
      <c r="B95126">
        <f>TEXT(95125, "[$-0E0000]yyyy-mm-dd")</f>
        <v/>
      </c>
    </row>
    <row r="95127">
      <c r="A95127" s="1" t="n">
        <v>95126</v>
      </c>
      <c r="B95127">
        <f>TEXT(95126, "[$-0E0000]yyyy-mm-dd")</f>
        <v/>
      </c>
    </row>
    <row r="95128">
      <c r="A95128" s="1" t="n">
        <v>95127</v>
      </c>
      <c r="B95128">
        <f>TEXT(95127, "[$-0E0000]yyyy-mm-dd")</f>
        <v/>
      </c>
    </row>
    <row r="95129">
      <c r="A95129" s="1" t="n">
        <v>95128</v>
      </c>
      <c r="B95129">
        <f>TEXT(95128, "[$-0E0000]yyyy-mm-dd")</f>
        <v/>
      </c>
    </row>
    <row r="95130">
      <c r="A95130" s="1" t="n">
        <v>95129</v>
      </c>
      <c r="B95130">
        <f>TEXT(95129, "[$-0E0000]yyyy-mm-dd")</f>
        <v/>
      </c>
    </row>
    <row r="95131">
      <c r="A95131" s="1" t="n">
        <v>95130</v>
      </c>
      <c r="B95131">
        <f>TEXT(95130, "[$-0E0000]yyyy-mm-dd")</f>
        <v/>
      </c>
    </row>
    <row r="95132">
      <c r="A95132" s="1" t="n">
        <v>95131</v>
      </c>
      <c r="B95132">
        <f>TEXT(95131, "[$-0E0000]yyyy-mm-dd")</f>
        <v/>
      </c>
    </row>
    <row r="95133">
      <c r="A95133" s="1" t="n">
        <v>95132</v>
      </c>
      <c r="B95133">
        <f>TEXT(95132, "[$-0E0000]yyyy-mm-dd")</f>
        <v/>
      </c>
    </row>
    <row r="95134">
      <c r="A95134" s="1" t="n">
        <v>95133</v>
      </c>
      <c r="B95134">
        <f>TEXT(95133, "[$-0E0000]yyyy-mm-dd")</f>
        <v/>
      </c>
    </row>
    <row r="95135">
      <c r="A95135" s="1" t="n">
        <v>95134</v>
      </c>
      <c r="B95135">
        <f>TEXT(95134, "[$-0E0000]yyyy-mm-dd")</f>
        <v/>
      </c>
    </row>
    <row r="95136">
      <c r="A95136" s="1" t="n">
        <v>95135</v>
      </c>
      <c r="B95136">
        <f>TEXT(95135, "[$-0E0000]yyyy-mm-dd")</f>
        <v/>
      </c>
    </row>
    <row r="95137">
      <c r="A95137" s="1" t="n">
        <v>95136</v>
      </c>
      <c r="B95137">
        <f>TEXT(95136, "[$-0E0000]yyyy-mm-dd")</f>
        <v/>
      </c>
    </row>
    <row r="95138">
      <c r="A95138" s="1" t="n">
        <v>95137</v>
      </c>
      <c r="B95138">
        <f>TEXT(95137, "[$-0E0000]yyyy-mm-dd")</f>
        <v/>
      </c>
    </row>
    <row r="95139">
      <c r="A95139" s="1" t="n">
        <v>95138</v>
      </c>
      <c r="B95139">
        <f>TEXT(95138, "[$-0E0000]yyyy-mm-dd")</f>
        <v/>
      </c>
    </row>
    <row r="95140">
      <c r="A95140" s="1" t="n">
        <v>95139</v>
      </c>
      <c r="B95140">
        <f>TEXT(95139, "[$-0E0000]yyyy-mm-dd")</f>
        <v/>
      </c>
    </row>
    <row r="95141">
      <c r="A95141" s="1" t="n">
        <v>95140</v>
      </c>
      <c r="B95141">
        <f>TEXT(95140, "[$-0E0000]yyyy-mm-dd")</f>
        <v/>
      </c>
    </row>
    <row r="95142">
      <c r="A95142" s="1" t="n">
        <v>95141</v>
      </c>
      <c r="B95142">
        <f>TEXT(95141, "[$-0E0000]yyyy-mm-dd")</f>
        <v/>
      </c>
    </row>
    <row r="95143">
      <c r="A95143" s="1" t="n">
        <v>95142</v>
      </c>
      <c r="B95143">
        <f>TEXT(95142, "[$-0E0000]yyyy-mm-dd")</f>
        <v/>
      </c>
    </row>
    <row r="95144">
      <c r="A95144" s="1" t="n">
        <v>95143</v>
      </c>
      <c r="B95144">
        <f>TEXT(95143, "[$-0E0000]yyyy-mm-dd")</f>
        <v/>
      </c>
    </row>
    <row r="95145">
      <c r="A95145" s="1" t="n">
        <v>95144</v>
      </c>
      <c r="B95145">
        <f>TEXT(95144, "[$-0E0000]yyyy-mm-dd")</f>
        <v/>
      </c>
    </row>
    <row r="95146">
      <c r="A95146" s="1" t="n">
        <v>95145</v>
      </c>
      <c r="B95146">
        <f>TEXT(95145, "[$-0E0000]yyyy-mm-dd")</f>
        <v/>
      </c>
    </row>
    <row r="95147">
      <c r="A95147" s="1" t="n">
        <v>95146</v>
      </c>
      <c r="B95147">
        <f>TEXT(95146, "[$-0E0000]yyyy-mm-dd")</f>
        <v/>
      </c>
    </row>
    <row r="95148">
      <c r="A95148" s="1" t="n">
        <v>95147</v>
      </c>
      <c r="B95148">
        <f>TEXT(95147, "[$-0E0000]yyyy-mm-dd")</f>
        <v/>
      </c>
    </row>
    <row r="95149">
      <c r="A95149" s="1" t="n">
        <v>95148</v>
      </c>
      <c r="B95149">
        <f>TEXT(95148, "[$-0E0000]yyyy-mm-dd")</f>
        <v/>
      </c>
    </row>
    <row r="95150">
      <c r="A95150" s="1" t="n">
        <v>95149</v>
      </c>
      <c r="B95150">
        <f>TEXT(95149, "[$-0E0000]yyyy-mm-dd")</f>
        <v/>
      </c>
    </row>
    <row r="95151">
      <c r="A95151" s="1" t="n">
        <v>95150</v>
      </c>
      <c r="B95151">
        <f>TEXT(95150, "[$-0E0000]yyyy-mm-dd")</f>
        <v/>
      </c>
    </row>
    <row r="95152">
      <c r="A95152" s="1" t="n">
        <v>95151</v>
      </c>
      <c r="B95152">
        <f>TEXT(95151, "[$-0E0000]yyyy-mm-dd")</f>
        <v/>
      </c>
    </row>
    <row r="95153">
      <c r="A95153" s="1" t="n">
        <v>95152</v>
      </c>
      <c r="B95153">
        <f>TEXT(95152, "[$-0E0000]yyyy-mm-dd")</f>
        <v/>
      </c>
    </row>
    <row r="95154">
      <c r="A95154" s="1" t="n">
        <v>95153</v>
      </c>
      <c r="B95154">
        <f>TEXT(95153, "[$-0E0000]yyyy-mm-dd")</f>
        <v/>
      </c>
    </row>
    <row r="95155">
      <c r="A95155" s="1" t="n">
        <v>95154</v>
      </c>
      <c r="B95155">
        <f>TEXT(95154, "[$-0E0000]yyyy-mm-dd")</f>
        <v/>
      </c>
    </row>
    <row r="95156">
      <c r="A95156" s="1" t="n">
        <v>95155</v>
      </c>
      <c r="B95156">
        <f>TEXT(95155, "[$-0E0000]yyyy-mm-dd")</f>
        <v/>
      </c>
    </row>
    <row r="95157">
      <c r="A95157" s="1" t="n">
        <v>95156</v>
      </c>
      <c r="B95157">
        <f>TEXT(95156, "[$-0E0000]yyyy-mm-dd")</f>
        <v/>
      </c>
    </row>
    <row r="95158">
      <c r="A95158" s="1" t="n">
        <v>95157</v>
      </c>
      <c r="B95158">
        <f>TEXT(95157, "[$-0E0000]yyyy-mm-dd")</f>
        <v/>
      </c>
    </row>
    <row r="95159">
      <c r="A95159" s="1" t="n">
        <v>95158</v>
      </c>
      <c r="B95159">
        <f>TEXT(95158, "[$-0E0000]yyyy-mm-dd")</f>
        <v/>
      </c>
    </row>
    <row r="95160">
      <c r="A95160" s="1" t="n">
        <v>95159</v>
      </c>
      <c r="B95160">
        <f>TEXT(95159, "[$-0E0000]yyyy-mm-dd")</f>
        <v/>
      </c>
    </row>
    <row r="95161">
      <c r="A95161" s="1" t="n">
        <v>95160</v>
      </c>
      <c r="B95161">
        <f>TEXT(95160, "[$-0E0000]yyyy-mm-dd")</f>
        <v/>
      </c>
    </row>
    <row r="95162">
      <c r="A95162" s="1" t="n">
        <v>95161</v>
      </c>
      <c r="B95162">
        <f>TEXT(95161, "[$-0E0000]yyyy-mm-dd")</f>
        <v/>
      </c>
    </row>
    <row r="95163">
      <c r="A95163" s="1" t="n">
        <v>95162</v>
      </c>
      <c r="B95163">
        <f>TEXT(95162, "[$-0E0000]yyyy-mm-dd")</f>
        <v/>
      </c>
    </row>
    <row r="95164">
      <c r="A95164" s="1" t="n">
        <v>95163</v>
      </c>
      <c r="B95164">
        <f>TEXT(95163, "[$-0E0000]yyyy-mm-dd")</f>
        <v/>
      </c>
    </row>
    <row r="95165">
      <c r="A95165" s="1" t="n">
        <v>95164</v>
      </c>
      <c r="B95165">
        <f>TEXT(95164, "[$-0E0000]yyyy-mm-dd")</f>
        <v/>
      </c>
    </row>
    <row r="95166">
      <c r="A95166" s="1" t="n">
        <v>95165</v>
      </c>
      <c r="B95166">
        <f>TEXT(95165, "[$-0E0000]yyyy-mm-dd")</f>
        <v/>
      </c>
    </row>
    <row r="95167">
      <c r="A95167" s="1" t="n">
        <v>95166</v>
      </c>
      <c r="B95167">
        <f>TEXT(95166, "[$-0E0000]yyyy-mm-dd")</f>
        <v/>
      </c>
    </row>
    <row r="95168">
      <c r="A95168" s="1" t="n">
        <v>95167</v>
      </c>
      <c r="B95168">
        <f>TEXT(95167, "[$-0E0000]yyyy-mm-dd")</f>
        <v/>
      </c>
    </row>
    <row r="95169">
      <c r="A95169" s="1" t="n">
        <v>95168</v>
      </c>
      <c r="B95169">
        <f>TEXT(95168, "[$-0E0000]yyyy-mm-dd")</f>
        <v/>
      </c>
    </row>
    <row r="95170">
      <c r="A95170" s="1" t="n">
        <v>95169</v>
      </c>
      <c r="B95170">
        <f>TEXT(95169, "[$-0E0000]yyyy-mm-dd")</f>
        <v/>
      </c>
    </row>
    <row r="95171">
      <c r="A95171" s="1" t="n">
        <v>95170</v>
      </c>
      <c r="B95171">
        <f>TEXT(95170, "[$-0E0000]yyyy-mm-dd")</f>
        <v/>
      </c>
    </row>
    <row r="95172">
      <c r="A95172" s="1" t="n">
        <v>95171</v>
      </c>
      <c r="B95172">
        <f>TEXT(95171, "[$-0E0000]yyyy-mm-dd")</f>
        <v/>
      </c>
    </row>
    <row r="95173">
      <c r="A95173" s="1" t="n">
        <v>95172</v>
      </c>
      <c r="B95173">
        <f>TEXT(95172, "[$-0E0000]yyyy-mm-dd")</f>
        <v/>
      </c>
    </row>
    <row r="95174">
      <c r="A95174" s="1" t="n">
        <v>95173</v>
      </c>
      <c r="B95174">
        <f>TEXT(95173, "[$-0E0000]yyyy-mm-dd")</f>
        <v/>
      </c>
    </row>
    <row r="95175">
      <c r="A95175" s="1" t="n">
        <v>95174</v>
      </c>
      <c r="B95175">
        <f>TEXT(95174, "[$-0E0000]yyyy-mm-dd")</f>
        <v/>
      </c>
    </row>
    <row r="95176">
      <c r="A95176" s="1" t="n">
        <v>95175</v>
      </c>
      <c r="B95176">
        <f>TEXT(95175, "[$-0E0000]yyyy-mm-dd")</f>
        <v/>
      </c>
    </row>
    <row r="95177">
      <c r="A95177" s="1" t="n">
        <v>95176</v>
      </c>
      <c r="B95177">
        <f>TEXT(95176, "[$-0E0000]yyyy-mm-dd")</f>
        <v/>
      </c>
    </row>
    <row r="95178">
      <c r="A95178" s="1" t="n">
        <v>95177</v>
      </c>
      <c r="B95178">
        <f>TEXT(95177, "[$-0E0000]yyyy-mm-dd")</f>
        <v/>
      </c>
    </row>
    <row r="95179">
      <c r="A95179" s="1" t="n">
        <v>95178</v>
      </c>
      <c r="B95179">
        <f>TEXT(95178, "[$-0E0000]yyyy-mm-dd")</f>
        <v/>
      </c>
    </row>
    <row r="95180">
      <c r="A95180" s="1" t="n">
        <v>95179</v>
      </c>
      <c r="B95180">
        <f>TEXT(95179, "[$-0E0000]yyyy-mm-dd")</f>
        <v/>
      </c>
    </row>
    <row r="95181">
      <c r="A95181" s="1" t="n">
        <v>95180</v>
      </c>
      <c r="B95181">
        <f>TEXT(95180, "[$-0E0000]yyyy-mm-dd")</f>
        <v/>
      </c>
    </row>
    <row r="95182">
      <c r="A95182" s="1" t="n">
        <v>95181</v>
      </c>
      <c r="B95182">
        <f>TEXT(95181, "[$-0E0000]yyyy-mm-dd")</f>
        <v/>
      </c>
    </row>
    <row r="95183">
      <c r="A95183" s="1" t="n">
        <v>95182</v>
      </c>
      <c r="B95183">
        <f>TEXT(95182, "[$-0E0000]yyyy-mm-dd")</f>
        <v/>
      </c>
    </row>
    <row r="95184">
      <c r="A95184" s="1" t="n">
        <v>95183</v>
      </c>
      <c r="B95184">
        <f>TEXT(95183, "[$-0E0000]yyyy-mm-dd")</f>
        <v/>
      </c>
    </row>
    <row r="95185">
      <c r="A95185" s="1" t="n">
        <v>95184</v>
      </c>
      <c r="B95185">
        <f>TEXT(95184, "[$-0E0000]yyyy-mm-dd")</f>
        <v/>
      </c>
    </row>
    <row r="95186">
      <c r="A95186" s="1" t="n">
        <v>95185</v>
      </c>
      <c r="B95186">
        <f>TEXT(95185, "[$-0E0000]yyyy-mm-dd")</f>
        <v/>
      </c>
    </row>
    <row r="95187">
      <c r="A95187" s="1" t="n">
        <v>95186</v>
      </c>
      <c r="B95187">
        <f>TEXT(95186, "[$-0E0000]yyyy-mm-dd")</f>
        <v/>
      </c>
    </row>
    <row r="95188">
      <c r="A95188" s="1" t="n">
        <v>95187</v>
      </c>
      <c r="B95188">
        <f>TEXT(95187, "[$-0E0000]yyyy-mm-dd")</f>
        <v/>
      </c>
    </row>
    <row r="95189">
      <c r="A95189" s="1" t="n">
        <v>95188</v>
      </c>
      <c r="B95189">
        <f>TEXT(95188, "[$-0E0000]yyyy-mm-dd")</f>
        <v/>
      </c>
    </row>
    <row r="95190">
      <c r="A95190" s="1" t="n">
        <v>95189</v>
      </c>
      <c r="B95190">
        <f>TEXT(95189, "[$-0E0000]yyyy-mm-dd")</f>
        <v/>
      </c>
    </row>
    <row r="95191">
      <c r="A95191" s="1" t="n">
        <v>95190</v>
      </c>
      <c r="B95191">
        <f>TEXT(95190, "[$-0E0000]yyyy-mm-dd")</f>
        <v/>
      </c>
    </row>
    <row r="95192">
      <c r="A95192" s="1" t="n">
        <v>95191</v>
      </c>
      <c r="B95192">
        <f>TEXT(95191, "[$-0E0000]yyyy-mm-dd")</f>
        <v/>
      </c>
    </row>
    <row r="95193">
      <c r="A95193" s="1" t="n">
        <v>95192</v>
      </c>
      <c r="B95193">
        <f>TEXT(95192, "[$-0E0000]yyyy-mm-dd")</f>
        <v/>
      </c>
    </row>
    <row r="95194">
      <c r="A95194" s="1" t="n">
        <v>95193</v>
      </c>
      <c r="B95194">
        <f>TEXT(95193, "[$-0E0000]yyyy-mm-dd")</f>
        <v/>
      </c>
    </row>
    <row r="95195">
      <c r="A95195" s="1" t="n">
        <v>95194</v>
      </c>
      <c r="B95195">
        <f>TEXT(95194, "[$-0E0000]yyyy-mm-dd")</f>
        <v/>
      </c>
    </row>
    <row r="95196">
      <c r="A95196" s="1" t="n">
        <v>95195</v>
      </c>
      <c r="B95196">
        <f>TEXT(95195, "[$-0E0000]yyyy-mm-dd")</f>
        <v/>
      </c>
    </row>
    <row r="95197">
      <c r="A95197" s="1" t="n">
        <v>95196</v>
      </c>
      <c r="B95197">
        <f>TEXT(95196, "[$-0E0000]yyyy-mm-dd")</f>
        <v/>
      </c>
    </row>
    <row r="95198">
      <c r="A95198" s="1" t="n">
        <v>95197</v>
      </c>
      <c r="B95198">
        <f>TEXT(95197, "[$-0E0000]yyyy-mm-dd")</f>
        <v/>
      </c>
    </row>
    <row r="95199">
      <c r="A95199" s="1" t="n">
        <v>95198</v>
      </c>
      <c r="B95199">
        <f>TEXT(95198, "[$-0E0000]yyyy-mm-dd")</f>
        <v/>
      </c>
    </row>
    <row r="95200">
      <c r="A95200" s="1" t="n">
        <v>95199</v>
      </c>
      <c r="B95200">
        <f>TEXT(95199, "[$-0E0000]yyyy-mm-dd")</f>
        <v/>
      </c>
    </row>
    <row r="95201">
      <c r="A95201" s="1" t="n">
        <v>95200</v>
      </c>
      <c r="B95201">
        <f>TEXT(95200, "[$-0E0000]yyyy-mm-dd")</f>
        <v/>
      </c>
    </row>
    <row r="95202">
      <c r="A95202" s="1" t="n">
        <v>95201</v>
      </c>
      <c r="B95202">
        <f>TEXT(95201, "[$-0E0000]yyyy-mm-dd")</f>
        <v/>
      </c>
    </row>
    <row r="95203">
      <c r="A95203" s="1" t="n">
        <v>95202</v>
      </c>
      <c r="B95203">
        <f>TEXT(95202, "[$-0E0000]yyyy-mm-dd")</f>
        <v/>
      </c>
    </row>
    <row r="95204">
      <c r="A95204" s="1" t="n">
        <v>95203</v>
      </c>
      <c r="B95204">
        <f>TEXT(95203, "[$-0E0000]yyyy-mm-dd")</f>
        <v/>
      </c>
    </row>
    <row r="95205">
      <c r="A95205" s="1" t="n">
        <v>95204</v>
      </c>
      <c r="B95205">
        <f>TEXT(95204, "[$-0E0000]yyyy-mm-dd")</f>
        <v/>
      </c>
    </row>
    <row r="95206">
      <c r="A95206" s="1" t="n">
        <v>95205</v>
      </c>
      <c r="B95206">
        <f>TEXT(95205, "[$-0E0000]yyyy-mm-dd")</f>
        <v/>
      </c>
    </row>
    <row r="95207">
      <c r="A95207" s="1" t="n">
        <v>95206</v>
      </c>
      <c r="B95207">
        <f>TEXT(95206, "[$-0E0000]yyyy-mm-dd")</f>
        <v/>
      </c>
    </row>
    <row r="95208">
      <c r="A95208" s="1" t="n">
        <v>95207</v>
      </c>
      <c r="B95208">
        <f>TEXT(95207, "[$-0E0000]yyyy-mm-dd")</f>
        <v/>
      </c>
    </row>
    <row r="95209">
      <c r="A95209" s="1" t="n">
        <v>95208</v>
      </c>
      <c r="B95209">
        <f>TEXT(95208, "[$-0E0000]yyyy-mm-dd")</f>
        <v/>
      </c>
    </row>
    <row r="95210">
      <c r="A95210" s="1" t="n">
        <v>95209</v>
      </c>
      <c r="B95210">
        <f>TEXT(95209, "[$-0E0000]yyyy-mm-dd")</f>
        <v/>
      </c>
    </row>
    <row r="95211">
      <c r="A95211" s="1" t="n">
        <v>95210</v>
      </c>
      <c r="B95211">
        <f>TEXT(95210, "[$-0E0000]yyyy-mm-dd")</f>
        <v/>
      </c>
    </row>
    <row r="95212">
      <c r="A95212" s="1" t="n">
        <v>95211</v>
      </c>
      <c r="B95212">
        <f>TEXT(95211, "[$-0E0000]yyyy-mm-dd")</f>
        <v/>
      </c>
    </row>
    <row r="95213">
      <c r="A95213" s="1" t="n">
        <v>95212</v>
      </c>
      <c r="B95213">
        <f>TEXT(95212, "[$-0E0000]yyyy-mm-dd")</f>
        <v/>
      </c>
    </row>
    <row r="95214">
      <c r="A95214" s="1" t="n">
        <v>95213</v>
      </c>
      <c r="B95214">
        <f>TEXT(95213, "[$-0E0000]yyyy-mm-dd")</f>
        <v/>
      </c>
    </row>
    <row r="95215">
      <c r="A95215" s="1" t="n">
        <v>95214</v>
      </c>
      <c r="B95215">
        <f>TEXT(95214, "[$-0E0000]yyyy-mm-dd")</f>
        <v/>
      </c>
    </row>
    <row r="95216">
      <c r="A95216" s="1" t="n">
        <v>95215</v>
      </c>
      <c r="B95216">
        <f>TEXT(95215, "[$-0E0000]yyyy-mm-dd")</f>
        <v/>
      </c>
    </row>
    <row r="95217">
      <c r="A95217" s="1" t="n">
        <v>95216</v>
      </c>
      <c r="B95217">
        <f>TEXT(95216, "[$-0E0000]yyyy-mm-dd")</f>
        <v/>
      </c>
    </row>
    <row r="95218">
      <c r="A95218" s="1" t="n">
        <v>95217</v>
      </c>
      <c r="B95218">
        <f>TEXT(95217, "[$-0E0000]yyyy-mm-dd")</f>
        <v/>
      </c>
    </row>
    <row r="95219">
      <c r="A95219" s="1" t="n">
        <v>95218</v>
      </c>
      <c r="B95219">
        <f>TEXT(95218, "[$-0E0000]yyyy-mm-dd")</f>
        <v/>
      </c>
    </row>
    <row r="95220">
      <c r="A95220" s="1" t="n">
        <v>95219</v>
      </c>
      <c r="B95220">
        <f>TEXT(95219, "[$-0E0000]yyyy-mm-dd")</f>
        <v/>
      </c>
    </row>
    <row r="95221">
      <c r="A95221" s="1" t="n">
        <v>95220</v>
      </c>
      <c r="B95221">
        <f>TEXT(95220, "[$-0E0000]yyyy-mm-dd")</f>
        <v/>
      </c>
    </row>
    <row r="95222">
      <c r="A95222" s="1" t="n">
        <v>95221</v>
      </c>
      <c r="B95222">
        <f>TEXT(95221, "[$-0E0000]yyyy-mm-dd")</f>
        <v/>
      </c>
    </row>
    <row r="95223">
      <c r="A95223" s="1" t="n">
        <v>95222</v>
      </c>
      <c r="B95223">
        <f>TEXT(95222, "[$-0E0000]yyyy-mm-dd")</f>
        <v/>
      </c>
    </row>
    <row r="95224">
      <c r="A95224" s="1" t="n">
        <v>95223</v>
      </c>
      <c r="B95224">
        <f>TEXT(95223, "[$-0E0000]yyyy-mm-dd")</f>
        <v/>
      </c>
    </row>
    <row r="95225">
      <c r="A95225" s="1" t="n">
        <v>95224</v>
      </c>
      <c r="B95225">
        <f>TEXT(95224, "[$-0E0000]yyyy-mm-dd")</f>
        <v/>
      </c>
    </row>
    <row r="95226">
      <c r="A95226" s="1" t="n">
        <v>95225</v>
      </c>
      <c r="B95226">
        <f>TEXT(95225, "[$-0E0000]yyyy-mm-dd")</f>
        <v/>
      </c>
    </row>
    <row r="95227">
      <c r="A95227" s="1" t="n">
        <v>95226</v>
      </c>
      <c r="B95227">
        <f>TEXT(95226, "[$-0E0000]yyyy-mm-dd")</f>
        <v/>
      </c>
    </row>
    <row r="95228">
      <c r="A95228" s="1" t="n">
        <v>95227</v>
      </c>
      <c r="B95228">
        <f>TEXT(95227, "[$-0E0000]yyyy-mm-dd")</f>
        <v/>
      </c>
    </row>
    <row r="95229">
      <c r="A95229" s="1" t="n">
        <v>95228</v>
      </c>
      <c r="B95229">
        <f>TEXT(95228, "[$-0E0000]yyyy-mm-dd")</f>
        <v/>
      </c>
    </row>
    <row r="95230">
      <c r="A95230" s="1" t="n">
        <v>95229</v>
      </c>
      <c r="B95230">
        <f>TEXT(95229, "[$-0E0000]yyyy-mm-dd")</f>
        <v/>
      </c>
    </row>
    <row r="95231">
      <c r="A95231" s="1" t="n">
        <v>95230</v>
      </c>
      <c r="B95231">
        <f>TEXT(95230, "[$-0E0000]yyyy-mm-dd")</f>
        <v/>
      </c>
    </row>
    <row r="95232">
      <c r="A95232" s="1" t="n">
        <v>95231</v>
      </c>
      <c r="B95232">
        <f>TEXT(95231, "[$-0E0000]yyyy-mm-dd")</f>
        <v/>
      </c>
    </row>
    <row r="95233">
      <c r="A95233" s="1" t="n">
        <v>95232</v>
      </c>
      <c r="B95233">
        <f>TEXT(95232, "[$-0E0000]yyyy-mm-dd")</f>
        <v/>
      </c>
    </row>
    <row r="95234">
      <c r="A95234" s="1" t="n">
        <v>95233</v>
      </c>
      <c r="B95234">
        <f>TEXT(95233, "[$-0E0000]yyyy-mm-dd")</f>
        <v/>
      </c>
    </row>
    <row r="95235">
      <c r="A95235" s="1" t="n">
        <v>95234</v>
      </c>
      <c r="B95235">
        <f>TEXT(95234, "[$-0E0000]yyyy-mm-dd")</f>
        <v/>
      </c>
    </row>
    <row r="95236">
      <c r="A95236" s="1" t="n">
        <v>95235</v>
      </c>
      <c r="B95236">
        <f>TEXT(95235, "[$-0E0000]yyyy-mm-dd")</f>
        <v/>
      </c>
    </row>
    <row r="95237">
      <c r="A95237" s="1" t="n">
        <v>95236</v>
      </c>
      <c r="B95237">
        <f>TEXT(95236, "[$-0E0000]yyyy-mm-dd")</f>
        <v/>
      </c>
    </row>
    <row r="95238">
      <c r="A95238" s="1" t="n">
        <v>95237</v>
      </c>
      <c r="B95238">
        <f>TEXT(95237, "[$-0E0000]yyyy-mm-dd")</f>
        <v/>
      </c>
    </row>
    <row r="95239">
      <c r="A95239" s="1" t="n">
        <v>95238</v>
      </c>
      <c r="B95239">
        <f>TEXT(95238, "[$-0E0000]yyyy-mm-dd")</f>
        <v/>
      </c>
    </row>
    <row r="95240">
      <c r="A95240" s="1" t="n">
        <v>95239</v>
      </c>
      <c r="B95240">
        <f>TEXT(95239, "[$-0E0000]yyyy-mm-dd")</f>
        <v/>
      </c>
    </row>
    <row r="95241">
      <c r="A95241" s="1" t="n">
        <v>95240</v>
      </c>
      <c r="B95241">
        <f>TEXT(95240, "[$-0E0000]yyyy-mm-dd")</f>
        <v/>
      </c>
    </row>
    <row r="95242">
      <c r="A95242" s="1" t="n">
        <v>95241</v>
      </c>
      <c r="B95242">
        <f>TEXT(95241, "[$-0E0000]yyyy-mm-dd")</f>
        <v/>
      </c>
    </row>
    <row r="95243">
      <c r="A95243" s="1" t="n">
        <v>95242</v>
      </c>
      <c r="B95243">
        <f>TEXT(95242, "[$-0E0000]yyyy-mm-dd")</f>
        <v/>
      </c>
    </row>
    <row r="95244">
      <c r="A95244" s="1" t="n">
        <v>95243</v>
      </c>
      <c r="B95244">
        <f>TEXT(95243, "[$-0E0000]yyyy-mm-dd")</f>
        <v/>
      </c>
    </row>
    <row r="95245">
      <c r="A95245" s="1" t="n">
        <v>95244</v>
      </c>
      <c r="B95245">
        <f>TEXT(95244, "[$-0E0000]yyyy-mm-dd")</f>
        <v/>
      </c>
    </row>
    <row r="95246">
      <c r="A95246" s="1" t="n">
        <v>95245</v>
      </c>
      <c r="B95246">
        <f>TEXT(95245, "[$-0E0000]yyyy-mm-dd")</f>
        <v/>
      </c>
    </row>
    <row r="95247">
      <c r="A95247" s="1" t="n">
        <v>95246</v>
      </c>
      <c r="B95247">
        <f>TEXT(95246, "[$-0E0000]yyyy-mm-dd")</f>
        <v/>
      </c>
    </row>
    <row r="95248">
      <c r="A95248" s="1" t="n">
        <v>95247</v>
      </c>
      <c r="B95248">
        <f>TEXT(95247, "[$-0E0000]yyyy-mm-dd")</f>
        <v/>
      </c>
    </row>
    <row r="95249">
      <c r="A95249" s="1" t="n">
        <v>95248</v>
      </c>
      <c r="B95249">
        <f>TEXT(95248, "[$-0E0000]yyyy-mm-dd")</f>
        <v/>
      </c>
    </row>
    <row r="95250">
      <c r="A95250" s="1" t="n">
        <v>95249</v>
      </c>
      <c r="B95250">
        <f>TEXT(95249, "[$-0E0000]yyyy-mm-dd")</f>
        <v/>
      </c>
    </row>
    <row r="95251">
      <c r="A95251" s="1" t="n">
        <v>95250</v>
      </c>
      <c r="B95251">
        <f>TEXT(95250, "[$-0E0000]yyyy-mm-dd")</f>
        <v/>
      </c>
    </row>
    <row r="95252">
      <c r="A95252" s="1" t="n">
        <v>95251</v>
      </c>
      <c r="B95252">
        <f>TEXT(95251, "[$-0E0000]yyyy-mm-dd")</f>
        <v/>
      </c>
    </row>
    <row r="95253">
      <c r="A95253" s="1" t="n">
        <v>95252</v>
      </c>
      <c r="B95253">
        <f>TEXT(95252, "[$-0E0000]yyyy-mm-dd")</f>
        <v/>
      </c>
    </row>
    <row r="95254">
      <c r="A95254" s="1" t="n">
        <v>95253</v>
      </c>
      <c r="B95254">
        <f>TEXT(95253, "[$-0E0000]yyyy-mm-dd")</f>
        <v/>
      </c>
    </row>
    <row r="95255">
      <c r="A95255" s="1" t="n">
        <v>95254</v>
      </c>
      <c r="B95255">
        <f>TEXT(95254, "[$-0E0000]yyyy-mm-dd")</f>
        <v/>
      </c>
    </row>
    <row r="95256">
      <c r="A95256" s="1" t="n">
        <v>95255</v>
      </c>
      <c r="B95256">
        <f>TEXT(95255, "[$-0E0000]yyyy-mm-dd")</f>
        <v/>
      </c>
    </row>
    <row r="95257">
      <c r="A95257" s="1" t="n">
        <v>95256</v>
      </c>
      <c r="B95257">
        <f>TEXT(95256, "[$-0E0000]yyyy-mm-dd")</f>
        <v/>
      </c>
    </row>
    <row r="95258">
      <c r="A95258" s="1" t="n">
        <v>95257</v>
      </c>
      <c r="B95258">
        <f>TEXT(95257, "[$-0E0000]yyyy-mm-dd")</f>
        <v/>
      </c>
    </row>
    <row r="95259">
      <c r="A95259" s="1" t="n">
        <v>95258</v>
      </c>
      <c r="B95259">
        <f>TEXT(95258, "[$-0E0000]yyyy-mm-dd")</f>
        <v/>
      </c>
    </row>
    <row r="95260">
      <c r="A95260" s="1" t="n">
        <v>95259</v>
      </c>
      <c r="B95260">
        <f>TEXT(95259, "[$-0E0000]yyyy-mm-dd")</f>
        <v/>
      </c>
    </row>
    <row r="95261">
      <c r="A95261" s="1" t="n">
        <v>95260</v>
      </c>
      <c r="B95261">
        <f>TEXT(95260, "[$-0E0000]yyyy-mm-dd")</f>
        <v/>
      </c>
    </row>
    <row r="95262">
      <c r="A95262" s="1" t="n">
        <v>95261</v>
      </c>
      <c r="B95262">
        <f>TEXT(95261, "[$-0E0000]yyyy-mm-dd")</f>
        <v/>
      </c>
    </row>
    <row r="95263">
      <c r="A95263" s="1" t="n">
        <v>95262</v>
      </c>
      <c r="B95263">
        <f>TEXT(95262, "[$-0E0000]yyyy-mm-dd")</f>
        <v/>
      </c>
    </row>
    <row r="95264">
      <c r="A95264" s="1" t="n">
        <v>95263</v>
      </c>
      <c r="B95264">
        <f>TEXT(95263, "[$-0E0000]yyyy-mm-dd")</f>
        <v/>
      </c>
    </row>
    <row r="95265">
      <c r="A95265" s="1" t="n">
        <v>95264</v>
      </c>
      <c r="B95265">
        <f>TEXT(95264, "[$-0E0000]yyyy-mm-dd")</f>
        <v/>
      </c>
    </row>
    <row r="95266">
      <c r="A95266" s="1" t="n">
        <v>95265</v>
      </c>
      <c r="B95266">
        <f>TEXT(95265, "[$-0E0000]yyyy-mm-dd")</f>
        <v/>
      </c>
    </row>
    <row r="95267">
      <c r="A95267" s="1" t="n">
        <v>95266</v>
      </c>
      <c r="B95267">
        <f>TEXT(95266, "[$-0E0000]yyyy-mm-dd")</f>
        <v/>
      </c>
    </row>
    <row r="95268">
      <c r="A95268" s="1" t="n">
        <v>95267</v>
      </c>
      <c r="B95268">
        <f>TEXT(95267, "[$-0E0000]yyyy-mm-dd")</f>
        <v/>
      </c>
    </row>
    <row r="95269">
      <c r="A95269" s="1" t="n">
        <v>95268</v>
      </c>
      <c r="B95269">
        <f>TEXT(95268, "[$-0E0000]yyyy-mm-dd")</f>
        <v/>
      </c>
    </row>
    <row r="95270">
      <c r="A95270" s="1" t="n">
        <v>95269</v>
      </c>
      <c r="B95270">
        <f>TEXT(95269, "[$-0E0000]yyyy-mm-dd")</f>
        <v/>
      </c>
    </row>
    <row r="95271">
      <c r="A95271" s="1" t="n">
        <v>95270</v>
      </c>
      <c r="B95271">
        <f>TEXT(95270, "[$-0E0000]yyyy-mm-dd")</f>
        <v/>
      </c>
    </row>
    <row r="95272">
      <c r="A95272" s="1" t="n">
        <v>95271</v>
      </c>
      <c r="B95272">
        <f>TEXT(95271, "[$-0E0000]yyyy-mm-dd")</f>
        <v/>
      </c>
    </row>
    <row r="95273">
      <c r="A95273" s="1" t="n">
        <v>95272</v>
      </c>
      <c r="B95273">
        <f>TEXT(95272, "[$-0E0000]yyyy-mm-dd")</f>
        <v/>
      </c>
    </row>
    <row r="95274">
      <c r="A95274" s="1" t="n">
        <v>95273</v>
      </c>
      <c r="B95274">
        <f>TEXT(95273, "[$-0E0000]yyyy-mm-dd")</f>
        <v/>
      </c>
    </row>
    <row r="95275">
      <c r="A95275" s="1" t="n">
        <v>95274</v>
      </c>
      <c r="B95275">
        <f>TEXT(95274, "[$-0E0000]yyyy-mm-dd")</f>
        <v/>
      </c>
    </row>
    <row r="95276">
      <c r="A95276" s="1" t="n">
        <v>95275</v>
      </c>
      <c r="B95276">
        <f>TEXT(95275, "[$-0E0000]yyyy-mm-dd")</f>
        <v/>
      </c>
    </row>
    <row r="95277">
      <c r="A95277" s="1" t="n">
        <v>95276</v>
      </c>
      <c r="B95277">
        <f>TEXT(95276, "[$-0E0000]yyyy-mm-dd")</f>
        <v/>
      </c>
    </row>
    <row r="95278">
      <c r="A95278" s="1" t="n">
        <v>95277</v>
      </c>
      <c r="B95278">
        <f>TEXT(95277, "[$-0E0000]yyyy-mm-dd")</f>
        <v/>
      </c>
    </row>
    <row r="95279">
      <c r="A95279" s="1" t="n">
        <v>95278</v>
      </c>
      <c r="B95279">
        <f>TEXT(95278, "[$-0E0000]yyyy-mm-dd")</f>
        <v/>
      </c>
    </row>
    <row r="95280">
      <c r="A95280" s="1" t="n">
        <v>95279</v>
      </c>
      <c r="B95280">
        <f>TEXT(95279, "[$-0E0000]yyyy-mm-dd")</f>
        <v/>
      </c>
    </row>
    <row r="95281">
      <c r="A95281" s="1" t="n">
        <v>95280</v>
      </c>
      <c r="B95281">
        <f>TEXT(95280, "[$-0E0000]yyyy-mm-dd")</f>
        <v/>
      </c>
    </row>
    <row r="95282">
      <c r="A95282" s="1" t="n">
        <v>95281</v>
      </c>
      <c r="B95282">
        <f>TEXT(95281, "[$-0E0000]yyyy-mm-dd")</f>
        <v/>
      </c>
    </row>
    <row r="95283">
      <c r="A95283" s="1" t="n">
        <v>95282</v>
      </c>
      <c r="B95283">
        <f>TEXT(95282, "[$-0E0000]yyyy-mm-dd")</f>
        <v/>
      </c>
    </row>
    <row r="95284">
      <c r="A95284" s="1" t="n">
        <v>95283</v>
      </c>
      <c r="B95284">
        <f>TEXT(95283, "[$-0E0000]yyyy-mm-dd")</f>
        <v/>
      </c>
    </row>
    <row r="95285">
      <c r="A95285" s="1" t="n">
        <v>95284</v>
      </c>
      <c r="B95285">
        <f>TEXT(95284, "[$-0E0000]yyyy-mm-dd")</f>
        <v/>
      </c>
    </row>
    <row r="95286">
      <c r="A95286" s="1" t="n">
        <v>95285</v>
      </c>
      <c r="B95286">
        <f>TEXT(95285, "[$-0E0000]yyyy-mm-dd")</f>
        <v/>
      </c>
    </row>
    <row r="95287">
      <c r="A95287" s="1" t="n">
        <v>95286</v>
      </c>
      <c r="B95287">
        <f>TEXT(95286, "[$-0E0000]yyyy-mm-dd")</f>
        <v/>
      </c>
    </row>
    <row r="95288">
      <c r="A95288" s="1" t="n">
        <v>95287</v>
      </c>
      <c r="B95288">
        <f>TEXT(95287, "[$-0E0000]yyyy-mm-dd")</f>
        <v/>
      </c>
    </row>
    <row r="95289">
      <c r="A95289" s="1" t="n">
        <v>95288</v>
      </c>
      <c r="B95289">
        <f>TEXT(95288, "[$-0E0000]yyyy-mm-dd")</f>
        <v/>
      </c>
    </row>
    <row r="95290">
      <c r="A95290" s="1" t="n">
        <v>95289</v>
      </c>
      <c r="B95290">
        <f>TEXT(95289, "[$-0E0000]yyyy-mm-dd")</f>
        <v/>
      </c>
    </row>
    <row r="95291">
      <c r="A95291" s="1" t="n">
        <v>95290</v>
      </c>
      <c r="B95291">
        <f>TEXT(95290, "[$-0E0000]yyyy-mm-dd")</f>
        <v/>
      </c>
    </row>
    <row r="95292">
      <c r="A95292" s="1" t="n">
        <v>95291</v>
      </c>
      <c r="B95292">
        <f>TEXT(95291, "[$-0E0000]yyyy-mm-dd")</f>
        <v/>
      </c>
    </row>
    <row r="95293">
      <c r="A95293" s="1" t="n">
        <v>95292</v>
      </c>
      <c r="B95293">
        <f>TEXT(95292, "[$-0E0000]yyyy-mm-dd")</f>
        <v/>
      </c>
    </row>
    <row r="95294">
      <c r="A95294" s="1" t="n">
        <v>95293</v>
      </c>
      <c r="B95294">
        <f>TEXT(95293, "[$-0E0000]yyyy-mm-dd")</f>
        <v/>
      </c>
    </row>
    <row r="95295">
      <c r="A95295" s="1" t="n">
        <v>95294</v>
      </c>
      <c r="B95295">
        <f>TEXT(95294, "[$-0E0000]yyyy-mm-dd")</f>
        <v/>
      </c>
    </row>
    <row r="95296">
      <c r="A95296" s="1" t="n">
        <v>95295</v>
      </c>
      <c r="B95296">
        <f>TEXT(95295, "[$-0E0000]yyyy-mm-dd")</f>
        <v/>
      </c>
    </row>
    <row r="95297">
      <c r="A95297" s="1" t="n">
        <v>95296</v>
      </c>
      <c r="B95297">
        <f>TEXT(95296, "[$-0E0000]yyyy-mm-dd")</f>
        <v/>
      </c>
    </row>
    <row r="95298">
      <c r="A95298" s="1" t="n">
        <v>95297</v>
      </c>
      <c r="B95298">
        <f>TEXT(95297, "[$-0E0000]yyyy-mm-dd")</f>
        <v/>
      </c>
    </row>
    <row r="95299">
      <c r="A95299" s="1" t="n">
        <v>95298</v>
      </c>
      <c r="B95299">
        <f>TEXT(95298, "[$-0E0000]yyyy-mm-dd")</f>
        <v/>
      </c>
    </row>
    <row r="95300">
      <c r="A95300" s="1" t="n">
        <v>95299</v>
      </c>
      <c r="B95300">
        <f>TEXT(95299, "[$-0E0000]yyyy-mm-dd")</f>
        <v/>
      </c>
    </row>
    <row r="95301">
      <c r="A95301" s="1" t="n">
        <v>95300</v>
      </c>
      <c r="B95301">
        <f>TEXT(95300, "[$-0E0000]yyyy-mm-dd")</f>
        <v/>
      </c>
    </row>
    <row r="95302">
      <c r="A95302" s="1" t="n">
        <v>95301</v>
      </c>
      <c r="B95302">
        <f>TEXT(95301, "[$-0E0000]yyyy-mm-dd")</f>
        <v/>
      </c>
    </row>
    <row r="95303">
      <c r="A95303" s="1" t="n">
        <v>95302</v>
      </c>
      <c r="B95303">
        <f>TEXT(95302, "[$-0E0000]yyyy-mm-dd")</f>
        <v/>
      </c>
    </row>
    <row r="95304">
      <c r="A95304" s="1" t="n">
        <v>95303</v>
      </c>
      <c r="B95304">
        <f>TEXT(95303, "[$-0E0000]yyyy-mm-dd")</f>
        <v/>
      </c>
    </row>
    <row r="95305">
      <c r="A95305" s="1" t="n">
        <v>95304</v>
      </c>
      <c r="B95305">
        <f>TEXT(95304, "[$-0E0000]yyyy-mm-dd")</f>
        <v/>
      </c>
    </row>
    <row r="95306">
      <c r="A95306" s="1" t="n">
        <v>95305</v>
      </c>
      <c r="B95306">
        <f>TEXT(95305, "[$-0E0000]yyyy-mm-dd")</f>
        <v/>
      </c>
    </row>
    <row r="95307">
      <c r="A95307" s="1" t="n">
        <v>95306</v>
      </c>
      <c r="B95307">
        <f>TEXT(95306, "[$-0E0000]yyyy-mm-dd")</f>
        <v/>
      </c>
    </row>
    <row r="95308">
      <c r="A95308" s="1" t="n">
        <v>95307</v>
      </c>
      <c r="B95308">
        <f>TEXT(95307, "[$-0E0000]yyyy-mm-dd")</f>
        <v/>
      </c>
    </row>
    <row r="95309">
      <c r="A95309" s="1" t="n">
        <v>95308</v>
      </c>
      <c r="B95309">
        <f>TEXT(95308, "[$-0E0000]yyyy-mm-dd")</f>
        <v/>
      </c>
    </row>
    <row r="95310">
      <c r="A95310" s="1" t="n">
        <v>95309</v>
      </c>
      <c r="B95310">
        <f>TEXT(95309, "[$-0E0000]yyyy-mm-dd")</f>
        <v/>
      </c>
    </row>
    <row r="95311">
      <c r="A95311" s="1" t="n">
        <v>95310</v>
      </c>
      <c r="B95311">
        <f>TEXT(95310, "[$-0E0000]yyyy-mm-dd")</f>
        <v/>
      </c>
    </row>
    <row r="95312">
      <c r="A95312" s="1" t="n">
        <v>95311</v>
      </c>
      <c r="B95312">
        <f>TEXT(95311, "[$-0E0000]yyyy-mm-dd")</f>
        <v/>
      </c>
    </row>
    <row r="95313">
      <c r="A95313" s="1" t="n">
        <v>95312</v>
      </c>
      <c r="B95313">
        <f>TEXT(95312, "[$-0E0000]yyyy-mm-dd")</f>
        <v/>
      </c>
    </row>
    <row r="95314">
      <c r="A95314" s="1" t="n">
        <v>95313</v>
      </c>
      <c r="B95314">
        <f>TEXT(95313, "[$-0E0000]yyyy-mm-dd")</f>
        <v/>
      </c>
    </row>
    <row r="95315">
      <c r="A95315" s="1" t="n">
        <v>95314</v>
      </c>
      <c r="B95315">
        <f>TEXT(95314, "[$-0E0000]yyyy-mm-dd")</f>
        <v/>
      </c>
    </row>
    <row r="95316">
      <c r="A95316" s="1" t="n">
        <v>95315</v>
      </c>
      <c r="B95316">
        <f>TEXT(95315, "[$-0E0000]yyyy-mm-dd")</f>
        <v/>
      </c>
    </row>
    <row r="95317">
      <c r="A95317" s="1" t="n">
        <v>95316</v>
      </c>
      <c r="B95317">
        <f>TEXT(95316, "[$-0E0000]yyyy-mm-dd")</f>
        <v/>
      </c>
    </row>
    <row r="95318">
      <c r="A95318" s="1" t="n">
        <v>95317</v>
      </c>
      <c r="B95318">
        <f>TEXT(95317, "[$-0E0000]yyyy-mm-dd")</f>
        <v/>
      </c>
    </row>
    <row r="95319">
      <c r="A95319" s="1" t="n">
        <v>95318</v>
      </c>
      <c r="B95319">
        <f>TEXT(95318, "[$-0E0000]yyyy-mm-dd")</f>
        <v/>
      </c>
    </row>
    <row r="95320">
      <c r="A95320" s="1" t="n">
        <v>95319</v>
      </c>
      <c r="B95320">
        <f>TEXT(95319, "[$-0E0000]yyyy-mm-dd")</f>
        <v/>
      </c>
    </row>
    <row r="95321">
      <c r="A95321" s="1" t="n">
        <v>95320</v>
      </c>
      <c r="B95321">
        <f>TEXT(95320, "[$-0E0000]yyyy-mm-dd")</f>
        <v/>
      </c>
    </row>
    <row r="95322">
      <c r="A95322" s="1" t="n">
        <v>95321</v>
      </c>
      <c r="B95322">
        <f>TEXT(95321, "[$-0E0000]yyyy-mm-dd")</f>
        <v/>
      </c>
    </row>
    <row r="95323">
      <c r="A95323" s="1" t="n">
        <v>95322</v>
      </c>
      <c r="B95323">
        <f>TEXT(95322, "[$-0E0000]yyyy-mm-dd")</f>
        <v/>
      </c>
    </row>
    <row r="95324">
      <c r="A95324" s="1" t="n">
        <v>95323</v>
      </c>
      <c r="B95324">
        <f>TEXT(95323, "[$-0E0000]yyyy-mm-dd")</f>
        <v/>
      </c>
    </row>
    <row r="95325">
      <c r="A95325" s="1" t="n">
        <v>95324</v>
      </c>
      <c r="B95325">
        <f>TEXT(95324, "[$-0E0000]yyyy-mm-dd")</f>
        <v/>
      </c>
    </row>
    <row r="95326">
      <c r="A95326" s="1" t="n">
        <v>95325</v>
      </c>
      <c r="B95326">
        <f>TEXT(95325, "[$-0E0000]yyyy-mm-dd")</f>
        <v/>
      </c>
    </row>
    <row r="95327">
      <c r="A95327" s="1" t="n">
        <v>95326</v>
      </c>
      <c r="B95327">
        <f>TEXT(95326, "[$-0E0000]yyyy-mm-dd")</f>
        <v/>
      </c>
    </row>
    <row r="95328">
      <c r="A95328" s="1" t="n">
        <v>95327</v>
      </c>
      <c r="B95328">
        <f>TEXT(95327, "[$-0E0000]yyyy-mm-dd")</f>
        <v/>
      </c>
    </row>
    <row r="95329">
      <c r="A95329" s="1" t="n">
        <v>95328</v>
      </c>
      <c r="B95329">
        <f>TEXT(95328, "[$-0E0000]yyyy-mm-dd")</f>
        <v/>
      </c>
    </row>
    <row r="95330">
      <c r="A95330" s="1" t="n">
        <v>95329</v>
      </c>
      <c r="B95330">
        <f>TEXT(95329, "[$-0E0000]yyyy-mm-dd")</f>
        <v/>
      </c>
    </row>
    <row r="95331">
      <c r="A95331" s="1" t="n">
        <v>95330</v>
      </c>
      <c r="B95331">
        <f>TEXT(95330, "[$-0E0000]yyyy-mm-dd")</f>
        <v/>
      </c>
    </row>
    <row r="95332">
      <c r="A95332" s="1" t="n">
        <v>95331</v>
      </c>
      <c r="B95332">
        <f>TEXT(95331, "[$-0E0000]yyyy-mm-dd")</f>
        <v/>
      </c>
    </row>
    <row r="95333">
      <c r="A95333" s="1" t="n">
        <v>95332</v>
      </c>
      <c r="B95333">
        <f>TEXT(95332, "[$-0E0000]yyyy-mm-dd")</f>
        <v/>
      </c>
    </row>
    <row r="95334">
      <c r="A95334" s="1" t="n">
        <v>95333</v>
      </c>
      <c r="B95334">
        <f>TEXT(95333, "[$-0E0000]yyyy-mm-dd")</f>
        <v/>
      </c>
    </row>
    <row r="95335">
      <c r="A95335" s="1" t="n">
        <v>95334</v>
      </c>
      <c r="B95335">
        <f>TEXT(95334, "[$-0E0000]yyyy-mm-dd")</f>
        <v/>
      </c>
    </row>
    <row r="95336">
      <c r="A95336" s="1" t="n">
        <v>95335</v>
      </c>
      <c r="B95336">
        <f>TEXT(95335, "[$-0E0000]yyyy-mm-dd")</f>
        <v/>
      </c>
    </row>
    <row r="95337">
      <c r="A95337" s="1" t="n">
        <v>95336</v>
      </c>
      <c r="B95337">
        <f>TEXT(95336, "[$-0E0000]yyyy-mm-dd")</f>
        <v/>
      </c>
    </row>
    <row r="95338">
      <c r="A95338" s="1" t="n">
        <v>95337</v>
      </c>
      <c r="B95338">
        <f>TEXT(95337, "[$-0E0000]yyyy-mm-dd")</f>
        <v/>
      </c>
    </row>
    <row r="95339">
      <c r="A95339" s="1" t="n">
        <v>95338</v>
      </c>
      <c r="B95339">
        <f>TEXT(95338, "[$-0E0000]yyyy-mm-dd")</f>
        <v/>
      </c>
    </row>
    <row r="95340">
      <c r="A95340" s="1" t="n">
        <v>95339</v>
      </c>
      <c r="B95340">
        <f>TEXT(95339, "[$-0E0000]yyyy-mm-dd")</f>
        <v/>
      </c>
    </row>
    <row r="95341">
      <c r="A95341" s="1" t="n">
        <v>95340</v>
      </c>
      <c r="B95341">
        <f>TEXT(95340, "[$-0E0000]yyyy-mm-dd")</f>
        <v/>
      </c>
    </row>
    <row r="95342">
      <c r="A95342" s="1" t="n">
        <v>95341</v>
      </c>
      <c r="B95342">
        <f>TEXT(95341, "[$-0E0000]yyyy-mm-dd")</f>
        <v/>
      </c>
    </row>
    <row r="95343">
      <c r="A95343" s="1" t="n">
        <v>95342</v>
      </c>
      <c r="B95343">
        <f>TEXT(95342, "[$-0E0000]yyyy-mm-dd")</f>
        <v/>
      </c>
    </row>
    <row r="95344">
      <c r="A95344" s="1" t="n">
        <v>95343</v>
      </c>
      <c r="B95344">
        <f>TEXT(95343, "[$-0E0000]yyyy-mm-dd")</f>
        <v/>
      </c>
    </row>
    <row r="95345">
      <c r="A95345" s="1" t="n">
        <v>95344</v>
      </c>
      <c r="B95345">
        <f>TEXT(95344, "[$-0E0000]yyyy-mm-dd")</f>
        <v/>
      </c>
    </row>
    <row r="95346">
      <c r="A95346" s="1" t="n">
        <v>95345</v>
      </c>
      <c r="B95346">
        <f>TEXT(95345, "[$-0E0000]yyyy-mm-dd")</f>
        <v/>
      </c>
    </row>
    <row r="95347">
      <c r="A95347" s="1" t="n">
        <v>95346</v>
      </c>
      <c r="B95347">
        <f>TEXT(95346, "[$-0E0000]yyyy-mm-dd")</f>
        <v/>
      </c>
    </row>
    <row r="95348">
      <c r="A95348" s="1" t="n">
        <v>95347</v>
      </c>
      <c r="B95348">
        <f>TEXT(95347, "[$-0E0000]yyyy-mm-dd")</f>
        <v/>
      </c>
    </row>
    <row r="95349">
      <c r="A95349" s="1" t="n">
        <v>95348</v>
      </c>
      <c r="B95349">
        <f>TEXT(95348, "[$-0E0000]yyyy-mm-dd")</f>
        <v/>
      </c>
    </row>
    <row r="95350">
      <c r="A95350" s="1" t="n">
        <v>95349</v>
      </c>
      <c r="B95350">
        <f>TEXT(95349, "[$-0E0000]yyyy-mm-dd")</f>
        <v/>
      </c>
    </row>
    <row r="95351">
      <c r="A95351" s="1" t="n">
        <v>95350</v>
      </c>
      <c r="B95351">
        <f>TEXT(95350, "[$-0E0000]yyyy-mm-dd")</f>
        <v/>
      </c>
    </row>
    <row r="95352">
      <c r="A95352" s="1" t="n">
        <v>95351</v>
      </c>
      <c r="B95352">
        <f>TEXT(95351, "[$-0E0000]yyyy-mm-dd")</f>
        <v/>
      </c>
    </row>
    <row r="95353">
      <c r="A95353" s="1" t="n">
        <v>95352</v>
      </c>
      <c r="B95353">
        <f>TEXT(95352, "[$-0E0000]yyyy-mm-dd")</f>
        <v/>
      </c>
    </row>
    <row r="95354">
      <c r="A95354" s="1" t="n">
        <v>95353</v>
      </c>
      <c r="B95354">
        <f>TEXT(95353, "[$-0E0000]yyyy-mm-dd")</f>
        <v/>
      </c>
    </row>
    <row r="95355">
      <c r="A95355" s="1" t="n">
        <v>95354</v>
      </c>
      <c r="B95355">
        <f>TEXT(95354, "[$-0E0000]yyyy-mm-dd")</f>
        <v/>
      </c>
    </row>
    <row r="95356">
      <c r="A95356" s="1" t="n">
        <v>95355</v>
      </c>
      <c r="B95356">
        <f>TEXT(95355, "[$-0E0000]yyyy-mm-dd")</f>
        <v/>
      </c>
    </row>
    <row r="95357">
      <c r="A95357" s="1" t="n">
        <v>95356</v>
      </c>
      <c r="B95357">
        <f>TEXT(95356, "[$-0E0000]yyyy-mm-dd")</f>
        <v/>
      </c>
    </row>
    <row r="95358">
      <c r="A95358" s="1" t="n">
        <v>95357</v>
      </c>
      <c r="B95358">
        <f>TEXT(95357, "[$-0E0000]yyyy-mm-dd")</f>
        <v/>
      </c>
    </row>
    <row r="95359">
      <c r="A95359" s="1" t="n">
        <v>95358</v>
      </c>
      <c r="B95359">
        <f>TEXT(95358, "[$-0E0000]yyyy-mm-dd")</f>
        <v/>
      </c>
    </row>
    <row r="95360">
      <c r="A95360" s="1" t="n">
        <v>95359</v>
      </c>
      <c r="B95360">
        <f>TEXT(95359, "[$-0E0000]yyyy-mm-dd")</f>
        <v/>
      </c>
    </row>
    <row r="95361">
      <c r="A95361" s="1" t="n">
        <v>95360</v>
      </c>
      <c r="B95361">
        <f>TEXT(95360, "[$-0E0000]yyyy-mm-dd")</f>
        <v/>
      </c>
    </row>
    <row r="95362">
      <c r="A95362" s="1" t="n">
        <v>95361</v>
      </c>
      <c r="B95362">
        <f>TEXT(95361, "[$-0E0000]yyyy-mm-dd")</f>
        <v/>
      </c>
    </row>
    <row r="95363">
      <c r="A95363" s="1" t="n">
        <v>95362</v>
      </c>
      <c r="B95363">
        <f>TEXT(95362, "[$-0E0000]yyyy-mm-dd")</f>
        <v/>
      </c>
    </row>
    <row r="95364">
      <c r="A95364" s="1" t="n">
        <v>95363</v>
      </c>
      <c r="B95364">
        <f>TEXT(95363, "[$-0E0000]yyyy-mm-dd")</f>
        <v/>
      </c>
    </row>
    <row r="95365">
      <c r="A95365" s="1" t="n">
        <v>95364</v>
      </c>
      <c r="B95365">
        <f>TEXT(95364, "[$-0E0000]yyyy-mm-dd")</f>
        <v/>
      </c>
    </row>
    <row r="95366">
      <c r="A95366" s="1" t="n">
        <v>95365</v>
      </c>
      <c r="B95366">
        <f>TEXT(95365, "[$-0E0000]yyyy-mm-dd")</f>
        <v/>
      </c>
    </row>
    <row r="95367">
      <c r="A95367" s="1" t="n">
        <v>95366</v>
      </c>
      <c r="B95367">
        <f>TEXT(95366, "[$-0E0000]yyyy-mm-dd")</f>
        <v/>
      </c>
    </row>
    <row r="95368">
      <c r="A95368" s="1" t="n">
        <v>95367</v>
      </c>
      <c r="B95368">
        <f>TEXT(95367, "[$-0E0000]yyyy-mm-dd")</f>
        <v/>
      </c>
    </row>
    <row r="95369">
      <c r="A95369" s="1" t="n">
        <v>95368</v>
      </c>
      <c r="B95369">
        <f>TEXT(95368, "[$-0E0000]yyyy-mm-dd")</f>
        <v/>
      </c>
    </row>
    <row r="95370">
      <c r="A95370" s="1" t="n">
        <v>95369</v>
      </c>
      <c r="B95370">
        <f>TEXT(95369, "[$-0E0000]yyyy-mm-dd")</f>
        <v/>
      </c>
    </row>
    <row r="95371">
      <c r="A95371" s="1" t="n">
        <v>95370</v>
      </c>
      <c r="B95371">
        <f>TEXT(95370, "[$-0E0000]yyyy-mm-dd")</f>
        <v/>
      </c>
    </row>
    <row r="95372">
      <c r="A95372" s="1" t="n">
        <v>95371</v>
      </c>
      <c r="B95372">
        <f>TEXT(95371, "[$-0E0000]yyyy-mm-dd")</f>
        <v/>
      </c>
    </row>
    <row r="95373">
      <c r="A95373" s="1" t="n">
        <v>95372</v>
      </c>
      <c r="B95373">
        <f>TEXT(95372, "[$-0E0000]yyyy-mm-dd")</f>
        <v/>
      </c>
    </row>
    <row r="95374">
      <c r="A95374" s="1" t="n">
        <v>95373</v>
      </c>
      <c r="B95374">
        <f>TEXT(95373, "[$-0E0000]yyyy-mm-dd")</f>
        <v/>
      </c>
    </row>
    <row r="95375">
      <c r="A95375" s="1" t="n">
        <v>95374</v>
      </c>
      <c r="B95375">
        <f>TEXT(95374, "[$-0E0000]yyyy-mm-dd")</f>
        <v/>
      </c>
    </row>
    <row r="95376">
      <c r="A95376" s="1" t="n">
        <v>95375</v>
      </c>
      <c r="B95376">
        <f>TEXT(95375, "[$-0E0000]yyyy-mm-dd")</f>
        <v/>
      </c>
    </row>
    <row r="95377">
      <c r="A95377" s="1" t="n">
        <v>95376</v>
      </c>
      <c r="B95377">
        <f>TEXT(95376, "[$-0E0000]yyyy-mm-dd")</f>
        <v/>
      </c>
    </row>
    <row r="95378">
      <c r="A95378" s="1" t="n">
        <v>95377</v>
      </c>
      <c r="B95378">
        <f>TEXT(95377, "[$-0E0000]yyyy-mm-dd")</f>
        <v/>
      </c>
    </row>
    <row r="95379">
      <c r="A95379" s="1" t="n">
        <v>95378</v>
      </c>
      <c r="B95379">
        <f>TEXT(95378, "[$-0E0000]yyyy-mm-dd")</f>
        <v/>
      </c>
    </row>
    <row r="95380">
      <c r="A95380" s="1" t="n">
        <v>95379</v>
      </c>
      <c r="B95380">
        <f>TEXT(95379, "[$-0E0000]yyyy-mm-dd")</f>
        <v/>
      </c>
    </row>
    <row r="95381">
      <c r="A95381" s="1" t="n">
        <v>95380</v>
      </c>
      <c r="B95381">
        <f>TEXT(95380, "[$-0E0000]yyyy-mm-dd")</f>
        <v/>
      </c>
    </row>
    <row r="95382">
      <c r="A95382" s="1" t="n">
        <v>95381</v>
      </c>
      <c r="B95382">
        <f>TEXT(95381, "[$-0E0000]yyyy-mm-dd")</f>
        <v/>
      </c>
    </row>
    <row r="95383">
      <c r="A95383" s="1" t="n">
        <v>95382</v>
      </c>
      <c r="B95383">
        <f>TEXT(95382, "[$-0E0000]yyyy-mm-dd")</f>
        <v/>
      </c>
    </row>
    <row r="95384">
      <c r="A95384" s="1" t="n">
        <v>95383</v>
      </c>
      <c r="B95384">
        <f>TEXT(95383, "[$-0E0000]yyyy-mm-dd")</f>
        <v/>
      </c>
    </row>
    <row r="95385">
      <c r="A95385" s="1" t="n">
        <v>95384</v>
      </c>
      <c r="B95385">
        <f>TEXT(95384, "[$-0E0000]yyyy-mm-dd")</f>
        <v/>
      </c>
    </row>
    <row r="95386">
      <c r="A95386" s="1" t="n">
        <v>95385</v>
      </c>
      <c r="B95386">
        <f>TEXT(95385, "[$-0E0000]yyyy-mm-dd")</f>
        <v/>
      </c>
    </row>
    <row r="95387">
      <c r="A95387" s="1" t="n">
        <v>95386</v>
      </c>
      <c r="B95387">
        <f>TEXT(95386, "[$-0E0000]yyyy-mm-dd")</f>
        <v/>
      </c>
    </row>
    <row r="95388">
      <c r="A95388" s="1" t="n">
        <v>95387</v>
      </c>
      <c r="B95388">
        <f>TEXT(95387, "[$-0E0000]yyyy-mm-dd")</f>
        <v/>
      </c>
    </row>
    <row r="95389">
      <c r="A95389" s="1" t="n">
        <v>95388</v>
      </c>
      <c r="B95389">
        <f>TEXT(95388, "[$-0E0000]yyyy-mm-dd")</f>
        <v/>
      </c>
    </row>
    <row r="95390">
      <c r="A95390" s="1" t="n">
        <v>95389</v>
      </c>
      <c r="B95390">
        <f>TEXT(95389, "[$-0E0000]yyyy-mm-dd")</f>
        <v/>
      </c>
    </row>
    <row r="95391">
      <c r="A95391" s="1" t="n">
        <v>95390</v>
      </c>
      <c r="B95391">
        <f>TEXT(95390, "[$-0E0000]yyyy-mm-dd")</f>
        <v/>
      </c>
    </row>
    <row r="95392">
      <c r="A95392" s="1" t="n">
        <v>95391</v>
      </c>
      <c r="B95392">
        <f>TEXT(95391, "[$-0E0000]yyyy-mm-dd")</f>
        <v/>
      </c>
    </row>
    <row r="95393">
      <c r="A95393" s="1" t="n">
        <v>95392</v>
      </c>
      <c r="B95393">
        <f>TEXT(95392, "[$-0E0000]yyyy-mm-dd")</f>
        <v/>
      </c>
    </row>
    <row r="95394">
      <c r="A95394" s="1" t="n">
        <v>95393</v>
      </c>
      <c r="B95394">
        <f>TEXT(95393, "[$-0E0000]yyyy-mm-dd")</f>
        <v/>
      </c>
    </row>
    <row r="95395">
      <c r="A95395" s="1" t="n">
        <v>95394</v>
      </c>
      <c r="B95395">
        <f>TEXT(95394, "[$-0E0000]yyyy-mm-dd")</f>
        <v/>
      </c>
    </row>
    <row r="95396">
      <c r="A95396" s="1" t="n">
        <v>95395</v>
      </c>
      <c r="B95396">
        <f>TEXT(95395, "[$-0E0000]yyyy-mm-dd")</f>
        <v/>
      </c>
    </row>
    <row r="95397">
      <c r="A95397" s="1" t="n">
        <v>95396</v>
      </c>
      <c r="B95397">
        <f>TEXT(95396, "[$-0E0000]yyyy-mm-dd")</f>
        <v/>
      </c>
    </row>
    <row r="95398">
      <c r="A95398" s="1" t="n">
        <v>95397</v>
      </c>
      <c r="B95398">
        <f>TEXT(95397, "[$-0E0000]yyyy-mm-dd")</f>
        <v/>
      </c>
    </row>
    <row r="95399">
      <c r="A95399" s="1" t="n">
        <v>95398</v>
      </c>
      <c r="B95399">
        <f>TEXT(95398, "[$-0E0000]yyyy-mm-dd")</f>
        <v/>
      </c>
    </row>
    <row r="95400">
      <c r="A95400" s="1" t="n">
        <v>95399</v>
      </c>
      <c r="B95400">
        <f>TEXT(95399, "[$-0E0000]yyyy-mm-dd")</f>
        <v/>
      </c>
    </row>
    <row r="95401">
      <c r="A95401" s="1" t="n">
        <v>95400</v>
      </c>
      <c r="B95401">
        <f>TEXT(95400, "[$-0E0000]yyyy-mm-dd")</f>
        <v/>
      </c>
    </row>
    <row r="95402">
      <c r="A95402" s="1" t="n">
        <v>95401</v>
      </c>
      <c r="B95402">
        <f>TEXT(95401, "[$-0E0000]yyyy-mm-dd")</f>
        <v/>
      </c>
    </row>
    <row r="95403">
      <c r="A95403" s="1" t="n">
        <v>95402</v>
      </c>
      <c r="B95403">
        <f>TEXT(95402, "[$-0E0000]yyyy-mm-dd")</f>
        <v/>
      </c>
    </row>
    <row r="95404">
      <c r="A95404" s="1" t="n">
        <v>95403</v>
      </c>
      <c r="B95404">
        <f>TEXT(95403, "[$-0E0000]yyyy-mm-dd")</f>
        <v/>
      </c>
    </row>
    <row r="95405">
      <c r="A95405" s="1" t="n">
        <v>95404</v>
      </c>
      <c r="B95405">
        <f>TEXT(95404, "[$-0E0000]yyyy-mm-dd")</f>
        <v/>
      </c>
    </row>
    <row r="95406">
      <c r="A95406" s="1" t="n">
        <v>95405</v>
      </c>
      <c r="B95406">
        <f>TEXT(95405, "[$-0E0000]yyyy-mm-dd")</f>
        <v/>
      </c>
    </row>
    <row r="95407">
      <c r="A95407" s="1" t="n">
        <v>95406</v>
      </c>
      <c r="B95407">
        <f>TEXT(95406, "[$-0E0000]yyyy-mm-dd")</f>
        <v/>
      </c>
    </row>
    <row r="95408">
      <c r="A95408" s="1" t="n">
        <v>95407</v>
      </c>
      <c r="B95408">
        <f>TEXT(95407, "[$-0E0000]yyyy-mm-dd")</f>
        <v/>
      </c>
    </row>
    <row r="95409">
      <c r="A95409" s="1" t="n">
        <v>95408</v>
      </c>
      <c r="B95409">
        <f>TEXT(95408, "[$-0E0000]yyyy-mm-dd")</f>
        <v/>
      </c>
    </row>
    <row r="95410">
      <c r="A95410" s="1" t="n">
        <v>95409</v>
      </c>
      <c r="B95410">
        <f>TEXT(95409, "[$-0E0000]yyyy-mm-dd")</f>
        <v/>
      </c>
    </row>
    <row r="95411">
      <c r="A95411" s="1" t="n">
        <v>95410</v>
      </c>
      <c r="B95411">
        <f>TEXT(95410, "[$-0E0000]yyyy-mm-dd")</f>
        <v/>
      </c>
    </row>
    <row r="95412">
      <c r="A95412" s="1" t="n">
        <v>95411</v>
      </c>
      <c r="B95412">
        <f>TEXT(95411, "[$-0E0000]yyyy-mm-dd")</f>
        <v/>
      </c>
    </row>
    <row r="95413">
      <c r="A95413" s="1" t="n">
        <v>95412</v>
      </c>
      <c r="B95413">
        <f>TEXT(95412, "[$-0E0000]yyyy-mm-dd")</f>
        <v/>
      </c>
    </row>
    <row r="95414">
      <c r="A95414" s="1" t="n">
        <v>95413</v>
      </c>
      <c r="B95414">
        <f>TEXT(95413, "[$-0E0000]yyyy-mm-dd")</f>
        <v/>
      </c>
    </row>
    <row r="95415">
      <c r="A95415" s="1" t="n">
        <v>95414</v>
      </c>
      <c r="B95415">
        <f>TEXT(95414, "[$-0E0000]yyyy-mm-dd")</f>
        <v/>
      </c>
    </row>
    <row r="95416">
      <c r="A95416" s="1" t="n">
        <v>95415</v>
      </c>
      <c r="B95416">
        <f>TEXT(95415, "[$-0E0000]yyyy-mm-dd")</f>
        <v/>
      </c>
    </row>
    <row r="95417">
      <c r="A95417" s="1" t="n">
        <v>95416</v>
      </c>
      <c r="B95417">
        <f>TEXT(95416, "[$-0E0000]yyyy-mm-dd")</f>
        <v/>
      </c>
    </row>
    <row r="95418">
      <c r="A95418" s="1" t="n">
        <v>95417</v>
      </c>
      <c r="B95418">
        <f>TEXT(95417, "[$-0E0000]yyyy-mm-dd")</f>
        <v/>
      </c>
    </row>
    <row r="95419">
      <c r="A95419" s="1" t="n">
        <v>95418</v>
      </c>
      <c r="B95419">
        <f>TEXT(95418, "[$-0E0000]yyyy-mm-dd")</f>
        <v/>
      </c>
    </row>
    <row r="95420">
      <c r="A95420" s="1" t="n">
        <v>95419</v>
      </c>
      <c r="B95420">
        <f>TEXT(95419, "[$-0E0000]yyyy-mm-dd")</f>
        <v/>
      </c>
    </row>
    <row r="95421">
      <c r="A95421" s="1" t="n">
        <v>95420</v>
      </c>
      <c r="B95421">
        <f>TEXT(95420, "[$-0E0000]yyyy-mm-dd")</f>
        <v/>
      </c>
    </row>
    <row r="95422">
      <c r="A95422" s="1" t="n">
        <v>95421</v>
      </c>
      <c r="B95422">
        <f>TEXT(95421, "[$-0E0000]yyyy-mm-dd")</f>
        <v/>
      </c>
    </row>
    <row r="95423">
      <c r="A95423" s="1" t="n">
        <v>95422</v>
      </c>
      <c r="B95423">
        <f>TEXT(95422, "[$-0E0000]yyyy-mm-dd")</f>
        <v/>
      </c>
    </row>
    <row r="95424">
      <c r="A95424" s="1" t="n">
        <v>95423</v>
      </c>
      <c r="B95424">
        <f>TEXT(95423, "[$-0E0000]yyyy-mm-dd")</f>
        <v/>
      </c>
    </row>
    <row r="95425">
      <c r="A95425" s="1" t="n">
        <v>95424</v>
      </c>
      <c r="B95425">
        <f>TEXT(95424, "[$-0E0000]yyyy-mm-dd")</f>
        <v/>
      </c>
    </row>
    <row r="95426">
      <c r="A95426" s="1" t="n">
        <v>95425</v>
      </c>
      <c r="B95426">
        <f>TEXT(95425, "[$-0E0000]yyyy-mm-dd")</f>
        <v/>
      </c>
    </row>
    <row r="95427">
      <c r="A95427" s="1" t="n">
        <v>95426</v>
      </c>
      <c r="B95427">
        <f>TEXT(95426, "[$-0E0000]yyyy-mm-dd")</f>
        <v/>
      </c>
    </row>
    <row r="95428">
      <c r="A95428" s="1" t="n">
        <v>95427</v>
      </c>
      <c r="B95428">
        <f>TEXT(95427, "[$-0E0000]yyyy-mm-dd")</f>
        <v/>
      </c>
    </row>
    <row r="95429">
      <c r="A95429" s="1" t="n">
        <v>95428</v>
      </c>
      <c r="B95429">
        <f>TEXT(95428, "[$-0E0000]yyyy-mm-dd")</f>
        <v/>
      </c>
    </row>
    <row r="95430">
      <c r="A95430" s="1" t="n">
        <v>95429</v>
      </c>
      <c r="B95430">
        <f>TEXT(95429, "[$-0E0000]yyyy-mm-dd")</f>
        <v/>
      </c>
    </row>
    <row r="95431">
      <c r="A95431" s="1" t="n">
        <v>95430</v>
      </c>
      <c r="B95431">
        <f>TEXT(95430, "[$-0E0000]yyyy-mm-dd")</f>
        <v/>
      </c>
    </row>
    <row r="95432">
      <c r="A95432" s="1" t="n">
        <v>95431</v>
      </c>
      <c r="B95432">
        <f>TEXT(95431, "[$-0E0000]yyyy-mm-dd")</f>
        <v/>
      </c>
    </row>
    <row r="95433">
      <c r="A95433" s="1" t="n">
        <v>95432</v>
      </c>
      <c r="B95433">
        <f>TEXT(95432, "[$-0E0000]yyyy-mm-dd")</f>
        <v/>
      </c>
    </row>
    <row r="95434">
      <c r="A95434" s="1" t="n">
        <v>95433</v>
      </c>
      <c r="B95434">
        <f>TEXT(95433, "[$-0E0000]yyyy-mm-dd")</f>
        <v/>
      </c>
    </row>
    <row r="95435">
      <c r="A95435" s="1" t="n">
        <v>95434</v>
      </c>
      <c r="B95435">
        <f>TEXT(95434, "[$-0E0000]yyyy-mm-dd")</f>
        <v/>
      </c>
    </row>
    <row r="95436">
      <c r="A95436" s="1" t="n">
        <v>95435</v>
      </c>
      <c r="B95436">
        <f>TEXT(95435, "[$-0E0000]yyyy-mm-dd")</f>
        <v/>
      </c>
    </row>
    <row r="95437">
      <c r="A95437" s="1" t="n">
        <v>95436</v>
      </c>
      <c r="B95437">
        <f>TEXT(95436, "[$-0E0000]yyyy-mm-dd")</f>
        <v/>
      </c>
    </row>
    <row r="95438">
      <c r="A95438" s="1" t="n">
        <v>95437</v>
      </c>
      <c r="B95438">
        <f>TEXT(95437, "[$-0E0000]yyyy-mm-dd")</f>
        <v/>
      </c>
    </row>
    <row r="95439">
      <c r="A95439" s="1" t="n">
        <v>95438</v>
      </c>
      <c r="B95439">
        <f>TEXT(95438, "[$-0E0000]yyyy-mm-dd")</f>
        <v/>
      </c>
    </row>
    <row r="95440">
      <c r="A95440" s="1" t="n">
        <v>95439</v>
      </c>
      <c r="B95440">
        <f>TEXT(95439, "[$-0E0000]yyyy-mm-dd")</f>
        <v/>
      </c>
    </row>
    <row r="95441">
      <c r="A95441" s="1" t="n">
        <v>95440</v>
      </c>
      <c r="B95441">
        <f>TEXT(95440, "[$-0E0000]yyyy-mm-dd")</f>
        <v/>
      </c>
    </row>
    <row r="95442">
      <c r="A95442" s="1" t="n">
        <v>95441</v>
      </c>
      <c r="B95442">
        <f>TEXT(95441, "[$-0E0000]yyyy-mm-dd")</f>
        <v/>
      </c>
    </row>
    <row r="95443">
      <c r="A95443" s="1" t="n">
        <v>95442</v>
      </c>
      <c r="B95443">
        <f>TEXT(95442, "[$-0E0000]yyyy-mm-dd")</f>
        <v/>
      </c>
    </row>
    <row r="95444">
      <c r="A95444" s="1" t="n">
        <v>95443</v>
      </c>
      <c r="B95444">
        <f>TEXT(95443, "[$-0E0000]yyyy-mm-dd")</f>
        <v/>
      </c>
    </row>
    <row r="95445">
      <c r="A95445" s="1" t="n">
        <v>95444</v>
      </c>
      <c r="B95445">
        <f>TEXT(95444, "[$-0E0000]yyyy-mm-dd")</f>
        <v/>
      </c>
    </row>
    <row r="95446">
      <c r="A95446" s="1" t="n">
        <v>95445</v>
      </c>
      <c r="B95446">
        <f>TEXT(95445, "[$-0E0000]yyyy-mm-dd")</f>
        <v/>
      </c>
    </row>
    <row r="95447">
      <c r="A95447" s="1" t="n">
        <v>95446</v>
      </c>
      <c r="B95447">
        <f>TEXT(95446, "[$-0E0000]yyyy-mm-dd")</f>
        <v/>
      </c>
    </row>
    <row r="95448">
      <c r="A95448" s="1" t="n">
        <v>95447</v>
      </c>
      <c r="B95448">
        <f>TEXT(95447, "[$-0E0000]yyyy-mm-dd")</f>
        <v/>
      </c>
    </row>
    <row r="95449">
      <c r="A95449" s="1" t="n">
        <v>95448</v>
      </c>
      <c r="B95449">
        <f>TEXT(95448, "[$-0E0000]yyyy-mm-dd")</f>
        <v/>
      </c>
    </row>
    <row r="95450">
      <c r="A95450" s="1" t="n">
        <v>95449</v>
      </c>
      <c r="B95450">
        <f>TEXT(95449, "[$-0E0000]yyyy-mm-dd")</f>
        <v/>
      </c>
    </row>
    <row r="95451">
      <c r="A95451" s="1" t="n">
        <v>95450</v>
      </c>
      <c r="B95451">
        <f>TEXT(95450, "[$-0E0000]yyyy-mm-dd")</f>
        <v/>
      </c>
    </row>
    <row r="95452">
      <c r="A95452" s="1" t="n">
        <v>95451</v>
      </c>
      <c r="B95452">
        <f>TEXT(95451, "[$-0E0000]yyyy-mm-dd")</f>
        <v/>
      </c>
    </row>
    <row r="95453">
      <c r="A95453" s="1" t="n">
        <v>95452</v>
      </c>
      <c r="B95453">
        <f>TEXT(95452, "[$-0E0000]yyyy-mm-dd")</f>
        <v/>
      </c>
    </row>
    <row r="95454">
      <c r="A95454" s="1" t="n">
        <v>95453</v>
      </c>
      <c r="B95454">
        <f>TEXT(95453, "[$-0E0000]yyyy-mm-dd")</f>
        <v/>
      </c>
    </row>
    <row r="95455">
      <c r="A95455" s="1" t="n">
        <v>95454</v>
      </c>
      <c r="B95455">
        <f>TEXT(95454, "[$-0E0000]yyyy-mm-dd")</f>
        <v/>
      </c>
    </row>
    <row r="95456">
      <c r="A95456" s="1" t="n">
        <v>95455</v>
      </c>
      <c r="B95456">
        <f>TEXT(95455, "[$-0E0000]yyyy-mm-dd")</f>
        <v/>
      </c>
    </row>
    <row r="95457">
      <c r="A95457" s="1" t="n">
        <v>95456</v>
      </c>
      <c r="B95457">
        <f>TEXT(95456, "[$-0E0000]yyyy-mm-dd")</f>
        <v/>
      </c>
    </row>
    <row r="95458">
      <c r="A95458" s="1" t="n">
        <v>95457</v>
      </c>
      <c r="B95458">
        <f>TEXT(95457, "[$-0E0000]yyyy-mm-dd")</f>
        <v/>
      </c>
    </row>
    <row r="95459">
      <c r="A95459" s="1" t="n">
        <v>95458</v>
      </c>
      <c r="B95459">
        <f>TEXT(95458, "[$-0E0000]yyyy-mm-dd")</f>
        <v/>
      </c>
    </row>
    <row r="95460">
      <c r="A95460" s="1" t="n">
        <v>95459</v>
      </c>
      <c r="B95460">
        <f>TEXT(95459, "[$-0E0000]yyyy-mm-dd")</f>
        <v/>
      </c>
    </row>
    <row r="95461">
      <c r="A95461" s="1" t="n">
        <v>95460</v>
      </c>
      <c r="B95461">
        <f>TEXT(95460, "[$-0E0000]yyyy-mm-dd")</f>
        <v/>
      </c>
    </row>
    <row r="95462">
      <c r="A95462" s="1" t="n">
        <v>95461</v>
      </c>
      <c r="B95462">
        <f>TEXT(95461, "[$-0E0000]yyyy-mm-dd")</f>
        <v/>
      </c>
    </row>
    <row r="95463">
      <c r="A95463" s="1" t="n">
        <v>95462</v>
      </c>
      <c r="B95463">
        <f>TEXT(95462, "[$-0E0000]yyyy-mm-dd")</f>
        <v/>
      </c>
    </row>
    <row r="95464">
      <c r="A95464" s="1" t="n">
        <v>95463</v>
      </c>
      <c r="B95464">
        <f>TEXT(95463, "[$-0E0000]yyyy-mm-dd")</f>
        <v/>
      </c>
    </row>
    <row r="95465">
      <c r="A95465" s="1" t="n">
        <v>95464</v>
      </c>
      <c r="B95465">
        <f>TEXT(95464, "[$-0E0000]yyyy-mm-dd")</f>
        <v/>
      </c>
    </row>
    <row r="95466">
      <c r="A95466" s="1" t="n">
        <v>95465</v>
      </c>
      <c r="B95466">
        <f>TEXT(95465, "[$-0E0000]yyyy-mm-dd")</f>
        <v/>
      </c>
    </row>
    <row r="95467">
      <c r="A95467" s="1" t="n">
        <v>95466</v>
      </c>
      <c r="B95467">
        <f>TEXT(95466, "[$-0E0000]yyyy-mm-dd")</f>
        <v/>
      </c>
    </row>
    <row r="95468">
      <c r="A95468" s="1" t="n">
        <v>95467</v>
      </c>
      <c r="B95468">
        <f>TEXT(95467, "[$-0E0000]yyyy-mm-dd")</f>
        <v/>
      </c>
    </row>
    <row r="95469">
      <c r="A95469" s="1" t="n">
        <v>95468</v>
      </c>
      <c r="B95469">
        <f>TEXT(95468, "[$-0E0000]yyyy-mm-dd")</f>
        <v/>
      </c>
    </row>
    <row r="95470">
      <c r="A95470" s="1" t="n">
        <v>95469</v>
      </c>
      <c r="B95470">
        <f>TEXT(95469, "[$-0E0000]yyyy-mm-dd")</f>
        <v/>
      </c>
    </row>
    <row r="95471">
      <c r="A95471" s="1" t="n">
        <v>95470</v>
      </c>
      <c r="B95471">
        <f>TEXT(95470, "[$-0E0000]yyyy-mm-dd")</f>
        <v/>
      </c>
    </row>
    <row r="95472">
      <c r="A95472" s="1" t="n">
        <v>95471</v>
      </c>
      <c r="B95472">
        <f>TEXT(95471, "[$-0E0000]yyyy-mm-dd")</f>
        <v/>
      </c>
    </row>
    <row r="95473">
      <c r="A95473" s="1" t="n">
        <v>95472</v>
      </c>
      <c r="B95473">
        <f>TEXT(95472, "[$-0E0000]yyyy-mm-dd")</f>
        <v/>
      </c>
    </row>
    <row r="95474">
      <c r="A95474" s="1" t="n">
        <v>95473</v>
      </c>
      <c r="B95474">
        <f>TEXT(95473, "[$-0E0000]yyyy-mm-dd")</f>
        <v/>
      </c>
    </row>
    <row r="95475">
      <c r="A95475" s="1" t="n">
        <v>95474</v>
      </c>
      <c r="B95475">
        <f>TEXT(95474, "[$-0E0000]yyyy-mm-dd")</f>
        <v/>
      </c>
    </row>
    <row r="95476">
      <c r="A95476" s="1" t="n">
        <v>95475</v>
      </c>
      <c r="B95476">
        <f>TEXT(95475, "[$-0E0000]yyyy-mm-dd")</f>
        <v/>
      </c>
    </row>
    <row r="95477">
      <c r="A95477" s="1" t="n">
        <v>95476</v>
      </c>
      <c r="B95477">
        <f>TEXT(95476, "[$-0E0000]yyyy-mm-dd")</f>
        <v/>
      </c>
    </row>
    <row r="95478">
      <c r="A95478" s="1" t="n">
        <v>95477</v>
      </c>
      <c r="B95478">
        <f>TEXT(95477, "[$-0E0000]yyyy-mm-dd")</f>
        <v/>
      </c>
    </row>
    <row r="95479">
      <c r="A95479" s="1" t="n">
        <v>95478</v>
      </c>
      <c r="B95479">
        <f>TEXT(95478, "[$-0E0000]yyyy-mm-dd")</f>
        <v/>
      </c>
    </row>
    <row r="95480">
      <c r="A95480" s="1" t="n">
        <v>95479</v>
      </c>
      <c r="B95480">
        <f>TEXT(95479, "[$-0E0000]yyyy-mm-dd")</f>
        <v/>
      </c>
    </row>
    <row r="95481">
      <c r="A95481" s="1" t="n">
        <v>95480</v>
      </c>
      <c r="B95481">
        <f>TEXT(95480, "[$-0E0000]yyyy-mm-dd")</f>
        <v/>
      </c>
    </row>
    <row r="95482">
      <c r="A95482" s="1" t="n">
        <v>95481</v>
      </c>
      <c r="B95482">
        <f>TEXT(95481, "[$-0E0000]yyyy-mm-dd")</f>
        <v/>
      </c>
    </row>
    <row r="95483">
      <c r="A95483" s="1" t="n">
        <v>95482</v>
      </c>
      <c r="B95483">
        <f>TEXT(95482, "[$-0E0000]yyyy-mm-dd")</f>
        <v/>
      </c>
    </row>
    <row r="95484">
      <c r="A95484" s="1" t="n">
        <v>95483</v>
      </c>
      <c r="B95484">
        <f>TEXT(95483, "[$-0E0000]yyyy-mm-dd")</f>
        <v/>
      </c>
    </row>
    <row r="95485">
      <c r="A95485" s="1" t="n">
        <v>95484</v>
      </c>
      <c r="B95485">
        <f>TEXT(95484, "[$-0E0000]yyyy-mm-dd")</f>
        <v/>
      </c>
    </row>
    <row r="95486">
      <c r="A95486" s="1" t="n">
        <v>95485</v>
      </c>
      <c r="B95486">
        <f>TEXT(95485, "[$-0E0000]yyyy-mm-dd")</f>
        <v/>
      </c>
    </row>
    <row r="95487">
      <c r="A95487" s="1" t="n">
        <v>95486</v>
      </c>
      <c r="B95487">
        <f>TEXT(95486, "[$-0E0000]yyyy-mm-dd")</f>
        <v/>
      </c>
    </row>
    <row r="95488">
      <c r="A95488" s="1" t="n">
        <v>95487</v>
      </c>
      <c r="B95488">
        <f>TEXT(95487, "[$-0E0000]yyyy-mm-dd")</f>
        <v/>
      </c>
    </row>
    <row r="95489">
      <c r="A95489" s="1" t="n">
        <v>95488</v>
      </c>
      <c r="B95489">
        <f>TEXT(95488, "[$-0E0000]yyyy-mm-dd")</f>
        <v/>
      </c>
    </row>
    <row r="95490">
      <c r="A95490" s="1" t="n">
        <v>95489</v>
      </c>
      <c r="B95490">
        <f>TEXT(95489, "[$-0E0000]yyyy-mm-dd")</f>
        <v/>
      </c>
    </row>
    <row r="95491">
      <c r="A95491" s="1" t="n">
        <v>95490</v>
      </c>
      <c r="B95491">
        <f>TEXT(95490, "[$-0E0000]yyyy-mm-dd")</f>
        <v/>
      </c>
    </row>
    <row r="95492">
      <c r="A95492" s="1" t="n">
        <v>95491</v>
      </c>
      <c r="B95492">
        <f>TEXT(95491, "[$-0E0000]yyyy-mm-dd")</f>
        <v/>
      </c>
    </row>
    <row r="95493">
      <c r="A95493" s="1" t="n">
        <v>95492</v>
      </c>
      <c r="B95493">
        <f>TEXT(95492, "[$-0E0000]yyyy-mm-dd")</f>
        <v/>
      </c>
    </row>
    <row r="95494">
      <c r="A95494" s="1" t="n">
        <v>95493</v>
      </c>
      <c r="B95494">
        <f>TEXT(95493, "[$-0E0000]yyyy-mm-dd")</f>
        <v/>
      </c>
    </row>
    <row r="95495">
      <c r="A95495" s="1" t="n">
        <v>95494</v>
      </c>
      <c r="B95495">
        <f>TEXT(95494, "[$-0E0000]yyyy-mm-dd")</f>
        <v/>
      </c>
    </row>
    <row r="95496">
      <c r="A95496" s="1" t="n">
        <v>95495</v>
      </c>
      <c r="B95496">
        <f>TEXT(95495, "[$-0E0000]yyyy-mm-dd")</f>
        <v/>
      </c>
    </row>
    <row r="95497">
      <c r="A95497" s="1" t="n">
        <v>95496</v>
      </c>
      <c r="B95497">
        <f>TEXT(95496, "[$-0E0000]yyyy-mm-dd")</f>
        <v/>
      </c>
    </row>
    <row r="95498">
      <c r="A95498" s="1" t="n">
        <v>95497</v>
      </c>
      <c r="B95498">
        <f>TEXT(95497, "[$-0E0000]yyyy-mm-dd")</f>
        <v/>
      </c>
    </row>
    <row r="95499">
      <c r="A95499" s="1" t="n">
        <v>95498</v>
      </c>
      <c r="B95499">
        <f>TEXT(95498, "[$-0E0000]yyyy-mm-dd")</f>
        <v/>
      </c>
    </row>
    <row r="95500">
      <c r="A95500" s="1" t="n">
        <v>95499</v>
      </c>
      <c r="B95500">
        <f>TEXT(95499, "[$-0E0000]yyyy-mm-dd")</f>
        <v/>
      </c>
    </row>
    <row r="95501">
      <c r="A95501" s="1" t="n">
        <v>95500</v>
      </c>
      <c r="B95501">
        <f>TEXT(95500, "[$-0E0000]yyyy-mm-dd")</f>
        <v/>
      </c>
    </row>
    <row r="95502">
      <c r="A95502" s="1" t="n">
        <v>95501</v>
      </c>
      <c r="B95502">
        <f>TEXT(95501, "[$-0E0000]yyyy-mm-dd")</f>
        <v/>
      </c>
    </row>
    <row r="95503">
      <c r="A95503" s="1" t="n">
        <v>95502</v>
      </c>
      <c r="B95503">
        <f>TEXT(95502, "[$-0E0000]yyyy-mm-dd")</f>
        <v/>
      </c>
    </row>
    <row r="95504">
      <c r="A95504" s="1" t="n">
        <v>95503</v>
      </c>
      <c r="B95504">
        <f>TEXT(95503, "[$-0E0000]yyyy-mm-dd")</f>
        <v/>
      </c>
    </row>
    <row r="95505">
      <c r="A95505" s="1" t="n">
        <v>95504</v>
      </c>
      <c r="B95505">
        <f>TEXT(95504, "[$-0E0000]yyyy-mm-dd")</f>
        <v/>
      </c>
    </row>
    <row r="95506">
      <c r="A95506" s="1" t="n">
        <v>95505</v>
      </c>
      <c r="B95506">
        <f>TEXT(95505, "[$-0E0000]yyyy-mm-dd")</f>
        <v/>
      </c>
    </row>
    <row r="95507">
      <c r="A95507" s="1" t="n">
        <v>95506</v>
      </c>
      <c r="B95507">
        <f>TEXT(95506, "[$-0E0000]yyyy-mm-dd")</f>
        <v/>
      </c>
    </row>
    <row r="95508">
      <c r="A95508" s="1" t="n">
        <v>95507</v>
      </c>
      <c r="B95508">
        <f>TEXT(95507, "[$-0E0000]yyyy-mm-dd")</f>
        <v/>
      </c>
    </row>
    <row r="95509">
      <c r="A95509" s="1" t="n">
        <v>95508</v>
      </c>
      <c r="B95509">
        <f>TEXT(95508, "[$-0E0000]yyyy-mm-dd")</f>
        <v/>
      </c>
    </row>
    <row r="95510">
      <c r="A95510" s="1" t="n">
        <v>95509</v>
      </c>
      <c r="B95510">
        <f>TEXT(95509, "[$-0E0000]yyyy-mm-dd")</f>
        <v/>
      </c>
    </row>
    <row r="95511">
      <c r="A95511" s="1" t="n">
        <v>95510</v>
      </c>
      <c r="B95511">
        <f>TEXT(95510, "[$-0E0000]yyyy-mm-dd")</f>
        <v/>
      </c>
    </row>
    <row r="95512">
      <c r="A95512" s="1" t="n">
        <v>95511</v>
      </c>
      <c r="B95512">
        <f>TEXT(95511, "[$-0E0000]yyyy-mm-dd")</f>
        <v/>
      </c>
    </row>
    <row r="95513">
      <c r="A95513" s="1" t="n">
        <v>95512</v>
      </c>
      <c r="B95513">
        <f>TEXT(95512, "[$-0E0000]yyyy-mm-dd")</f>
        <v/>
      </c>
    </row>
    <row r="95514">
      <c r="A95514" s="1" t="n">
        <v>95513</v>
      </c>
      <c r="B95514">
        <f>TEXT(95513, "[$-0E0000]yyyy-mm-dd")</f>
        <v/>
      </c>
    </row>
    <row r="95515">
      <c r="A95515" s="1" t="n">
        <v>95514</v>
      </c>
      <c r="B95515">
        <f>TEXT(95514, "[$-0E0000]yyyy-mm-dd")</f>
        <v/>
      </c>
    </row>
    <row r="95516">
      <c r="A95516" s="1" t="n">
        <v>95515</v>
      </c>
      <c r="B95516">
        <f>TEXT(95515, "[$-0E0000]yyyy-mm-dd")</f>
        <v/>
      </c>
    </row>
    <row r="95517">
      <c r="A95517" s="1" t="n">
        <v>95516</v>
      </c>
      <c r="B95517">
        <f>TEXT(95516, "[$-0E0000]yyyy-mm-dd")</f>
        <v/>
      </c>
    </row>
    <row r="95518">
      <c r="A95518" s="1" t="n">
        <v>95517</v>
      </c>
      <c r="B95518">
        <f>TEXT(95517, "[$-0E0000]yyyy-mm-dd")</f>
        <v/>
      </c>
    </row>
    <row r="95519">
      <c r="A95519" s="1" t="n">
        <v>95518</v>
      </c>
      <c r="B95519">
        <f>TEXT(95518, "[$-0E0000]yyyy-mm-dd")</f>
        <v/>
      </c>
    </row>
    <row r="95520">
      <c r="A95520" s="1" t="n">
        <v>95519</v>
      </c>
      <c r="B95520">
        <f>TEXT(95519, "[$-0E0000]yyyy-mm-dd")</f>
        <v/>
      </c>
    </row>
    <row r="95521">
      <c r="A95521" s="1" t="n">
        <v>95520</v>
      </c>
      <c r="B95521">
        <f>TEXT(95520, "[$-0E0000]yyyy-mm-dd")</f>
        <v/>
      </c>
    </row>
    <row r="95522">
      <c r="A95522" s="1" t="n">
        <v>95521</v>
      </c>
      <c r="B95522">
        <f>TEXT(95521, "[$-0E0000]yyyy-mm-dd")</f>
        <v/>
      </c>
    </row>
    <row r="95523">
      <c r="A95523" s="1" t="n">
        <v>95522</v>
      </c>
      <c r="B95523">
        <f>TEXT(95522, "[$-0E0000]yyyy-mm-dd")</f>
        <v/>
      </c>
    </row>
    <row r="95524">
      <c r="A95524" s="1" t="n">
        <v>95523</v>
      </c>
      <c r="B95524">
        <f>TEXT(95523, "[$-0E0000]yyyy-mm-dd")</f>
        <v/>
      </c>
    </row>
    <row r="95525">
      <c r="A95525" s="1" t="n">
        <v>95524</v>
      </c>
      <c r="B95525">
        <f>TEXT(95524, "[$-0E0000]yyyy-mm-dd")</f>
        <v/>
      </c>
    </row>
    <row r="95526">
      <c r="A95526" s="1" t="n">
        <v>95525</v>
      </c>
      <c r="B95526">
        <f>TEXT(95525, "[$-0E0000]yyyy-mm-dd")</f>
        <v/>
      </c>
    </row>
    <row r="95527">
      <c r="A95527" s="1" t="n">
        <v>95526</v>
      </c>
      <c r="B95527">
        <f>TEXT(95526, "[$-0E0000]yyyy-mm-dd")</f>
        <v/>
      </c>
    </row>
    <row r="95528">
      <c r="A95528" s="1" t="n">
        <v>95527</v>
      </c>
      <c r="B95528">
        <f>TEXT(95527, "[$-0E0000]yyyy-mm-dd")</f>
        <v/>
      </c>
    </row>
    <row r="95529">
      <c r="A95529" s="1" t="n">
        <v>95528</v>
      </c>
      <c r="B95529">
        <f>TEXT(95528, "[$-0E0000]yyyy-mm-dd")</f>
        <v/>
      </c>
    </row>
    <row r="95530">
      <c r="A95530" s="1" t="n">
        <v>95529</v>
      </c>
      <c r="B95530">
        <f>TEXT(95529, "[$-0E0000]yyyy-mm-dd")</f>
        <v/>
      </c>
    </row>
    <row r="95531">
      <c r="A95531" s="1" t="n">
        <v>95530</v>
      </c>
      <c r="B95531">
        <f>TEXT(95530, "[$-0E0000]yyyy-mm-dd")</f>
        <v/>
      </c>
    </row>
    <row r="95532">
      <c r="A95532" s="1" t="n">
        <v>95531</v>
      </c>
      <c r="B95532">
        <f>TEXT(95531, "[$-0E0000]yyyy-mm-dd")</f>
        <v/>
      </c>
    </row>
    <row r="95533">
      <c r="A95533" s="1" t="n">
        <v>95532</v>
      </c>
      <c r="B95533">
        <f>TEXT(95532, "[$-0E0000]yyyy-mm-dd")</f>
        <v/>
      </c>
    </row>
    <row r="95534">
      <c r="A95534" s="1" t="n">
        <v>95533</v>
      </c>
      <c r="B95534">
        <f>TEXT(95533, "[$-0E0000]yyyy-mm-dd")</f>
        <v/>
      </c>
    </row>
    <row r="95535">
      <c r="A95535" s="1" t="n">
        <v>95534</v>
      </c>
      <c r="B95535">
        <f>TEXT(95534, "[$-0E0000]yyyy-mm-dd")</f>
        <v/>
      </c>
    </row>
    <row r="95536">
      <c r="A95536" s="1" t="n">
        <v>95535</v>
      </c>
      <c r="B95536">
        <f>TEXT(95535, "[$-0E0000]yyyy-mm-dd")</f>
        <v/>
      </c>
    </row>
    <row r="95537">
      <c r="A95537" s="1" t="n">
        <v>95536</v>
      </c>
      <c r="B95537">
        <f>TEXT(95536, "[$-0E0000]yyyy-mm-dd")</f>
        <v/>
      </c>
    </row>
    <row r="95538">
      <c r="A95538" s="1" t="n">
        <v>95537</v>
      </c>
      <c r="B95538">
        <f>TEXT(95537, "[$-0E0000]yyyy-mm-dd")</f>
        <v/>
      </c>
    </row>
    <row r="95539">
      <c r="A95539" s="1" t="n">
        <v>95538</v>
      </c>
      <c r="B95539">
        <f>TEXT(95538, "[$-0E0000]yyyy-mm-dd")</f>
        <v/>
      </c>
    </row>
    <row r="95540">
      <c r="A95540" s="1" t="n">
        <v>95539</v>
      </c>
      <c r="B95540">
        <f>TEXT(95539, "[$-0E0000]yyyy-mm-dd")</f>
        <v/>
      </c>
    </row>
    <row r="95541">
      <c r="A95541" s="1" t="n">
        <v>95540</v>
      </c>
      <c r="B95541">
        <f>TEXT(95540, "[$-0E0000]yyyy-mm-dd")</f>
        <v/>
      </c>
    </row>
    <row r="95542">
      <c r="A95542" s="1" t="n">
        <v>95541</v>
      </c>
      <c r="B95542">
        <f>TEXT(95541, "[$-0E0000]yyyy-mm-dd")</f>
        <v/>
      </c>
    </row>
    <row r="95543">
      <c r="A95543" s="1" t="n">
        <v>95542</v>
      </c>
      <c r="B95543">
        <f>TEXT(95542, "[$-0E0000]yyyy-mm-dd")</f>
        <v/>
      </c>
    </row>
    <row r="95544">
      <c r="A95544" s="1" t="n">
        <v>95543</v>
      </c>
      <c r="B95544">
        <f>TEXT(95543, "[$-0E0000]yyyy-mm-dd")</f>
        <v/>
      </c>
    </row>
    <row r="95545">
      <c r="A95545" s="1" t="n">
        <v>95544</v>
      </c>
      <c r="B95545">
        <f>TEXT(95544, "[$-0E0000]yyyy-mm-dd")</f>
        <v/>
      </c>
    </row>
    <row r="95546">
      <c r="A95546" s="1" t="n">
        <v>95545</v>
      </c>
      <c r="B95546">
        <f>TEXT(95545, "[$-0E0000]yyyy-mm-dd")</f>
        <v/>
      </c>
    </row>
    <row r="95547">
      <c r="A95547" s="1" t="n">
        <v>95546</v>
      </c>
      <c r="B95547">
        <f>TEXT(95546, "[$-0E0000]yyyy-mm-dd")</f>
        <v/>
      </c>
    </row>
    <row r="95548">
      <c r="A95548" s="1" t="n">
        <v>95547</v>
      </c>
      <c r="B95548">
        <f>TEXT(95547, "[$-0E0000]yyyy-mm-dd")</f>
        <v/>
      </c>
    </row>
    <row r="95549">
      <c r="A95549" s="1" t="n">
        <v>95548</v>
      </c>
      <c r="B95549">
        <f>TEXT(95548, "[$-0E0000]yyyy-mm-dd")</f>
        <v/>
      </c>
    </row>
    <row r="95550">
      <c r="A95550" s="1" t="n">
        <v>95549</v>
      </c>
      <c r="B95550">
        <f>TEXT(95549, "[$-0E0000]yyyy-mm-dd")</f>
        <v/>
      </c>
    </row>
    <row r="95551">
      <c r="A95551" s="1" t="n">
        <v>95550</v>
      </c>
      <c r="B95551">
        <f>TEXT(95550, "[$-0E0000]yyyy-mm-dd")</f>
        <v/>
      </c>
    </row>
    <row r="95552">
      <c r="A95552" s="1" t="n">
        <v>95551</v>
      </c>
      <c r="B95552">
        <f>TEXT(95551, "[$-0E0000]yyyy-mm-dd")</f>
        <v/>
      </c>
    </row>
    <row r="95553">
      <c r="A95553" s="1" t="n">
        <v>95552</v>
      </c>
      <c r="B95553">
        <f>TEXT(95552, "[$-0E0000]yyyy-mm-dd")</f>
        <v/>
      </c>
    </row>
    <row r="95554">
      <c r="A95554" s="1" t="n">
        <v>95553</v>
      </c>
      <c r="B95554">
        <f>TEXT(95553, "[$-0E0000]yyyy-mm-dd")</f>
        <v/>
      </c>
    </row>
    <row r="95555">
      <c r="A95555" s="1" t="n">
        <v>95554</v>
      </c>
      <c r="B95555">
        <f>TEXT(95554, "[$-0E0000]yyyy-mm-dd")</f>
        <v/>
      </c>
    </row>
    <row r="95556">
      <c r="A95556" s="1" t="n">
        <v>95555</v>
      </c>
      <c r="B95556">
        <f>TEXT(95555, "[$-0E0000]yyyy-mm-dd")</f>
        <v/>
      </c>
    </row>
    <row r="95557">
      <c r="A95557" s="1" t="n">
        <v>95556</v>
      </c>
      <c r="B95557">
        <f>TEXT(95556, "[$-0E0000]yyyy-mm-dd")</f>
        <v/>
      </c>
    </row>
    <row r="95558">
      <c r="A95558" s="1" t="n">
        <v>95557</v>
      </c>
      <c r="B95558">
        <f>TEXT(95557, "[$-0E0000]yyyy-mm-dd")</f>
        <v/>
      </c>
    </row>
    <row r="95559">
      <c r="A95559" s="1" t="n">
        <v>95558</v>
      </c>
      <c r="B95559">
        <f>TEXT(95558, "[$-0E0000]yyyy-mm-dd")</f>
        <v/>
      </c>
    </row>
    <row r="95560">
      <c r="A95560" s="1" t="n">
        <v>95559</v>
      </c>
      <c r="B95560">
        <f>TEXT(95559, "[$-0E0000]yyyy-mm-dd")</f>
        <v/>
      </c>
    </row>
    <row r="95561">
      <c r="A95561" s="1" t="n">
        <v>95560</v>
      </c>
      <c r="B95561">
        <f>TEXT(95560, "[$-0E0000]yyyy-mm-dd")</f>
        <v/>
      </c>
    </row>
    <row r="95562">
      <c r="A95562" s="1" t="n">
        <v>95561</v>
      </c>
      <c r="B95562">
        <f>TEXT(95561, "[$-0E0000]yyyy-mm-dd")</f>
        <v/>
      </c>
    </row>
    <row r="95563">
      <c r="A95563" s="1" t="n">
        <v>95562</v>
      </c>
      <c r="B95563">
        <f>TEXT(95562, "[$-0E0000]yyyy-mm-dd")</f>
        <v/>
      </c>
    </row>
    <row r="95564">
      <c r="A95564" s="1" t="n">
        <v>95563</v>
      </c>
      <c r="B95564">
        <f>TEXT(95563, "[$-0E0000]yyyy-mm-dd")</f>
        <v/>
      </c>
    </row>
    <row r="95565">
      <c r="A95565" s="1" t="n">
        <v>95564</v>
      </c>
      <c r="B95565">
        <f>TEXT(95564, "[$-0E0000]yyyy-mm-dd")</f>
        <v/>
      </c>
    </row>
    <row r="95566">
      <c r="A95566" s="1" t="n">
        <v>95565</v>
      </c>
      <c r="B95566">
        <f>TEXT(95565, "[$-0E0000]yyyy-mm-dd")</f>
        <v/>
      </c>
    </row>
    <row r="95567">
      <c r="A95567" s="1" t="n">
        <v>95566</v>
      </c>
      <c r="B95567">
        <f>TEXT(95566, "[$-0E0000]yyyy-mm-dd")</f>
        <v/>
      </c>
    </row>
    <row r="95568">
      <c r="A95568" s="1" t="n">
        <v>95567</v>
      </c>
      <c r="B95568">
        <f>TEXT(95567, "[$-0E0000]yyyy-mm-dd")</f>
        <v/>
      </c>
    </row>
    <row r="95569">
      <c r="A95569" s="1" t="n">
        <v>95568</v>
      </c>
      <c r="B95569">
        <f>TEXT(95568, "[$-0E0000]yyyy-mm-dd")</f>
        <v/>
      </c>
    </row>
    <row r="95570">
      <c r="A95570" s="1" t="n">
        <v>95569</v>
      </c>
      <c r="B95570">
        <f>TEXT(95569, "[$-0E0000]yyyy-mm-dd")</f>
        <v/>
      </c>
    </row>
    <row r="95571">
      <c r="A95571" s="1" t="n">
        <v>95570</v>
      </c>
      <c r="B95571">
        <f>TEXT(95570, "[$-0E0000]yyyy-mm-dd")</f>
        <v/>
      </c>
    </row>
    <row r="95572">
      <c r="A95572" s="1" t="n">
        <v>95571</v>
      </c>
      <c r="B95572">
        <f>TEXT(95571, "[$-0E0000]yyyy-mm-dd")</f>
        <v/>
      </c>
    </row>
    <row r="95573">
      <c r="A95573" s="1" t="n">
        <v>95572</v>
      </c>
      <c r="B95573">
        <f>TEXT(95572, "[$-0E0000]yyyy-mm-dd")</f>
        <v/>
      </c>
    </row>
    <row r="95574">
      <c r="A95574" s="1" t="n">
        <v>95573</v>
      </c>
      <c r="B95574">
        <f>TEXT(95573, "[$-0E0000]yyyy-mm-dd")</f>
        <v/>
      </c>
    </row>
    <row r="95575">
      <c r="A95575" s="1" t="n">
        <v>95574</v>
      </c>
      <c r="B95575">
        <f>TEXT(95574, "[$-0E0000]yyyy-mm-dd")</f>
        <v/>
      </c>
    </row>
    <row r="95576">
      <c r="A95576" s="1" t="n">
        <v>95575</v>
      </c>
      <c r="B95576">
        <f>TEXT(95575, "[$-0E0000]yyyy-mm-dd")</f>
        <v/>
      </c>
    </row>
    <row r="95577">
      <c r="A95577" s="1" t="n">
        <v>95576</v>
      </c>
      <c r="B95577">
        <f>TEXT(95576, "[$-0E0000]yyyy-mm-dd")</f>
        <v/>
      </c>
    </row>
    <row r="95578">
      <c r="A95578" s="1" t="n">
        <v>95577</v>
      </c>
      <c r="B95578">
        <f>TEXT(95577, "[$-0E0000]yyyy-mm-dd")</f>
        <v/>
      </c>
    </row>
    <row r="95579">
      <c r="A95579" s="1" t="n">
        <v>95578</v>
      </c>
      <c r="B95579">
        <f>TEXT(95578, "[$-0E0000]yyyy-mm-dd")</f>
        <v/>
      </c>
    </row>
    <row r="95580">
      <c r="A95580" s="1" t="n">
        <v>95579</v>
      </c>
      <c r="B95580">
        <f>TEXT(95579, "[$-0E0000]yyyy-mm-dd")</f>
        <v/>
      </c>
    </row>
    <row r="95581">
      <c r="A95581" s="1" t="n">
        <v>95580</v>
      </c>
      <c r="B95581">
        <f>TEXT(95580, "[$-0E0000]yyyy-mm-dd")</f>
        <v/>
      </c>
    </row>
    <row r="95582">
      <c r="A95582" s="1" t="n">
        <v>95581</v>
      </c>
      <c r="B95582">
        <f>TEXT(95581, "[$-0E0000]yyyy-mm-dd")</f>
        <v/>
      </c>
    </row>
    <row r="95583">
      <c r="A95583" s="1" t="n">
        <v>95582</v>
      </c>
      <c r="B95583">
        <f>TEXT(95582, "[$-0E0000]yyyy-mm-dd")</f>
        <v/>
      </c>
    </row>
    <row r="95584">
      <c r="A95584" s="1" t="n">
        <v>95583</v>
      </c>
      <c r="B95584">
        <f>TEXT(95583, "[$-0E0000]yyyy-mm-dd")</f>
        <v/>
      </c>
    </row>
    <row r="95585">
      <c r="A95585" s="1" t="n">
        <v>95584</v>
      </c>
      <c r="B95585">
        <f>TEXT(95584, "[$-0E0000]yyyy-mm-dd")</f>
        <v/>
      </c>
    </row>
    <row r="95586">
      <c r="A95586" s="1" t="n">
        <v>95585</v>
      </c>
      <c r="B95586">
        <f>TEXT(95585, "[$-0E0000]yyyy-mm-dd")</f>
        <v/>
      </c>
    </row>
    <row r="95587">
      <c r="A95587" s="1" t="n">
        <v>95586</v>
      </c>
      <c r="B95587">
        <f>TEXT(95586, "[$-0E0000]yyyy-mm-dd")</f>
        <v/>
      </c>
    </row>
    <row r="95588">
      <c r="A95588" s="1" t="n">
        <v>95587</v>
      </c>
      <c r="B95588">
        <f>TEXT(95587, "[$-0E0000]yyyy-mm-dd")</f>
        <v/>
      </c>
    </row>
    <row r="95589">
      <c r="A95589" s="1" t="n">
        <v>95588</v>
      </c>
      <c r="B95589">
        <f>TEXT(95588, "[$-0E0000]yyyy-mm-dd")</f>
        <v/>
      </c>
    </row>
    <row r="95590">
      <c r="A95590" s="1" t="n">
        <v>95589</v>
      </c>
      <c r="B95590">
        <f>TEXT(95589, "[$-0E0000]yyyy-mm-dd")</f>
        <v/>
      </c>
    </row>
    <row r="95591">
      <c r="A95591" s="1" t="n">
        <v>95590</v>
      </c>
      <c r="B95591">
        <f>TEXT(95590, "[$-0E0000]yyyy-mm-dd")</f>
        <v/>
      </c>
    </row>
    <row r="95592">
      <c r="A95592" s="1" t="n">
        <v>95591</v>
      </c>
      <c r="B95592">
        <f>TEXT(95591, "[$-0E0000]yyyy-mm-dd")</f>
        <v/>
      </c>
    </row>
    <row r="95593">
      <c r="A95593" s="1" t="n">
        <v>95592</v>
      </c>
      <c r="B95593">
        <f>TEXT(95592, "[$-0E0000]yyyy-mm-dd")</f>
        <v/>
      </c>
    </row>
    <row r="95594">
      <c r="A95594" s="1" t="n">
        <v>95593</v>
      </c>
      <c r="B95594">
        <f>TEXT(95593, "[$-0E0000]yyyy-mm-dd")</f>
        <v/>
      </c>
    </row>
    <row r="95595">
      <c r="A95595" s="1" t="n">
        <v>95594</v>
      </c>
      <c r="B95595">
        <f>TEXT(95594, "[$-0E0000]yyyy-mm-dd")</f>
        <v/>
      </c>
    </row>
    <row r="95596">
      <c r="A95596" s="1" t="n">
        <v>95595</v>
      </c>
      <c r="B95596">
        <f>TEXT(95595, "[$-0E0000]yyyy-mm-dd")</f>
        <v/>
      </c>
    </row>
    <row r="95597">
      <c r="A95597" s="1" t="n">
        <v>95596</v>
      </c>
      <c r="B95597">
        <f>TEXT(95596, "[$-0E0000]yyyy-mm-dd")</f>
        <v/>
      </c>
    </row>
    <row r="95598">
      <c r="A95598" s="1" t="n">
        <v>95597</v>
      </c>
      <c r="B95598">
        <f>TEXT(95597, "[$-0E0000]yyyy-mm-dd")</f>
        <v/>
      </c>
    </row>
    <row r="95599">
      <c r="A95599" s="1" t="n">
        <v>95598</v>
      </c>
      <c r="B95599">
        <f>TEXT(95598, "[$-0E0000]yyyy-mm-dd")</f>
        <v/>
      </c>
    </row>
    <row r="95600">
      <c r="A95600" s="1" t="n">
        <v>95599</v>
      </c>
      <c r="B95600">
        <f>TEXT(95599, "[$-0E0000]yyyy-mm-dd")</f>
        <v/>
      </c>
    </row>
    <row r="95601">
      <c r="A95601" s="1" t="n">
        <v>95600</v>
      </c>
      <c r="B95601">
        <f>TEXT(95600, "[$-0E0000]yyyy-mm-dd")</f>
        <v/>
      </c>
    </row>
    <row r="95602">
      <c r="A95602" s="1" t="n">
        <v>95601</v>
      </c>
      <c r="B95602">
        <f>TEXT(95601, "[$-0E0000]yyyy-mm-dd")</f>
        <v/>
      </c>
    </row>
    <row r="95603">
      <c r="A95603" s="1" t="n">
        <v>95602</v>
      </c>
      <c r="B95603">
        <f>TEXT(95602, "[$-0E0000]yyyy-mm-dd")</f>
        <v/>
      </c>
    </row>
    <row r="95604">
      <c r="A95604" s="1" t="n">
        <v>95603</v>
      </c>
      <c r="B95604">
        <f>TEXT(95603, "[$-0E0000]yyyy-mm-dd")</f>
        <v/>
      </c>
    </row>
    <row r="95605">
      <c r="A95605" s="1" t="n">
        <v>95604</v>
      </c>
      <c r="B95605">
        <f>TEXT(95604, "[$-0E0000]yyyy-mm-dd")</f>
        <v/>
      </c>
    </row>
    <row r="95606">
      <c r="A95606" s="1" t="n">
        <v>95605</v>
      </c>
      <c r="B95606">
        <f>TEXT(95605, "[$-0E0000]yyyy-mm-dd")</f>
        <v/>
      </c>
    </row>
    <row r="95607">
      <c r="A95607" s="1" t="n">
        <v>95606</v>
      </c>
      <c r="B95607">
        <f>TEXT(95606, "[$-0E0000]yyyy-mm-dd")</f>
        <v/>
      </c>
    </row>
    <row r="95608">
      <c r="A95608" s="1" t="n">
        <v>95607</v>
      </c>
      <c r="B95608">
        <f>TEXT(95607, "[$-0E0000]yyyy-mm-dd")</f>
        <v/>
      </c>
    </row>
    <row r="95609">
      <c r="A95609" s="1" t="n">
        <v>95608</v>
      </c>
      <c r="B95609">
        <f>TEXT(95608, "[$-0E0000]yyyy-mm-dd")</f>
        <v/>
      </c>
    </row>
    <row r="95610">
      <c r="A95610" s="1" t="n">
        <v>95609</v>
      </c>
      <c r="B95610">
        <f>TEXT(95609, "[$-0E0000]yyyy-mm-dd")</f>
        <v/>
      </c>
    </row>
    <row r="95611">
      <c r="A95611" s="1" t="n">
        <v>95610</v>
      </c>
      <c r="B95611">
        <f>TEXT(95610, "[$-0E0000]yyyy-mm-dd")</f>
        <v/>
      </c>
    </row>
    <row r="95612">
      <c r="A95612" s="1" t="n">
        <v>95611</v>
      </c>
      <c r="B95612">
        <f>TEXT(95611, "[$-0E0000]yyyy-mm-dd")</f>
        <v/>
      </c>
    </row>
    <row r="95613">
      <c r="A95613" s="1" t="n">
        <v>95612</v>
      </c>
      <c r="B95613">
        <f>TEXT(95612, "[$-0E0000]yyyy-mm-dd")</f>
        <v/>
      </c>
    </row>
    <row r="95614">
      <c r="A95614" s="1" t="n">
        <v>95613</v>
      </c>
      <c r="B95614">
        <f>TEXT(95613, "[$-0E0000]yyyy-mm-dd")</f>
        <v/>
      </c>
    </row>
    <row r="95615">
      <c r="A95615" s="1" t="n">
        <v>95614</v>
      </c>
      <c r="B95615">
        <f>TEXT(95614, "[$-0E0000]yyyy-mm-dd")</f>
        <v/>
      </c>
    </row>
    <row r="95616">
      <c r="A95616" s="1" t="n">
        <v>95615</v>
      </c>
      <c r="B95616">
        <f>TEXT(95615, "[$-0E0000]yyyy-mm-dd")</f>
        <v/>
      </c>
    </row>
    <row r="95617">
      <c r="A95617" s="1" t="n">
        <v>95616</v>
      </c>
      <c r="B95617">
        <f>TEXT(95616, "[$-0E0000]yyyy-mm-dd")</f>
        <v/>
      </c>
    </row>
    <row r="95618">
      <c r="A95618" s="1" t="n">
        <v>95617</v>
      </c>
      <c r="B95618">
        <f>TEXT(95617, "[$-0E0000]yyyy-mm-dd")</f>
        <v/>
      </c>
    </row>
    <row r="95619">
      <c r="A95619" s="1" t="n">
        <v>95618</v>
      </c>
      <c r="B95619">
        <f>TEXT(95618, "[$-0E0000]yyyy-mm-dd")</f>
        <v/>
      </c>
    </row>
    <row r="95620">
      <c r="A95620" s="1" t="n">
        <v>95619</v>
      </c>
      <c r="B95620">
        <f>TEXT(95619, "[$-0E0000]yyyy-mm-dd")</f>
        <v/>
      </c>
    </row>
    <row r="95621">
      <c r="A95621" s="1" t="n">
        <v>95620</v>
      </c>
      <c r="B95621">
        <f>TEXT(95620, "[$-0E0000]yyyy-mm-dd")</f>
        <v/>
      </c>
    </row>
    <row r="95622">
      <c r="A95622" s="1" t="n">
        <v>95621</v>
      </c>
      <c r="B95622">
        <f>TEXT(95621, "[$-0E0000]yyyy-mm-dd")</f>
        <v/>
      </c>
    </row>
    <row r="95623">
      <c r="A95623" s="1" t="n">
        <v>95622</v>
      </c>
      <c r="B95623">
        <f>TEXT(95622, "[$-0E0000]yyyy-mm-dd")</f>
        <v/>
      </c>
    </row>
    <row r="95624">
      <c r="A95624" s="1" t="n">
        <v>95623</v>
      </c>
      <c r="B95624">
        <f>TEXT(95623, "[$-0E0000]yyyy-mm-dd")</f>
        <v/>
      </c>
    </row>
    <row r="95625">
      <c r="A95625" s="1" t="n">
        <v>95624</v>
      </c>
      <c r="B95625">
        <f>TEXT(95624, "[$-0E0000]yyyy-mm-dd")</f>
        <v/>
      </c>
    </row>
    <row r="95626">
      <c r="A95626" s="1" t="n">
        <v>95625</v>
      </c>
      <c r="B95626">
        <f>TEXT(95625, "[$-0E0000]yyyy-mm-dd")</f>
        <v/>
      </c>
    </row>
    <row r="95627">
      <c r="A95627" s="1" t="n">
        <v>95626</v>
      </c>
      <c r="B95627">
        <f>TEXT(95626, "[$-0E0000]yyyy-mm-dd")</f>
        <v/>
      </c>
    </row>
    <row r="95628">
      <c r="A95628" s="1" t="n">
        <v>95627</v>
      </c>
      <c r="B95628">
        <f>TEXT(95627, "[$-0E0000]yyyy-mm-dd")</f>
        <v/>
      </c>
    </row>
    <row r="95629">
      <c r="A95629" s="1" t="n">
        <v>95628</v>
      </c>
      <c r="B95629">
        <f>TEXT(95628, "[$-0E0000]yyyy-mm-dd")</f>
        <v/>
      </c>
    </row>
    <row r="95630">
      <c r="A95630" s="1" t="n">
        <v>95629</v>
      </c>
      <c r="B95630">
        <f>TEXT(95629, "[$-0E0000]yyyy-mm-dd")</f>
        <v/>
      </c>
    </row>
    <row r="95631">
      <c r="A95631" s="1" t="n">
        <v>95630</v>
      </c>
      <c r="B95631">
        <f>TEXT(95630, "[$-0E0000]yyyy-mm-dd")</f>
        <v/>
      </c>
    </row>
    <row r="95632">
      <c r="A95632" s="1" t="n">
        <v>95631</v>
      </c>
      <c r="B95632">
        <f>TEXT(95631, "[$-0E0000]yyyy-mm-dd")</f>
        <v/>
      </c>
    </row>
    <row r="95633">
      <c r="A95633" s="1" t="n">
        <v>95632</v>
      </c>
      <c r="B95633">
        <f>TEXT(95632, "[$-0E0000]yyyy-mm-dd")</f>
        <v/>
      </c>
    </row>
    <row r="95634">
      <c r="A95634" s="1" t="n">
        <v>95633</v>
      </c>
      <c r="B95634">
        <f>TEXT(95633, "[$-0E0000]yyyy-mm-dd")</f>
        <v/>
      </c>
    </row>
    <row r="95635">
      <c r="A95635" s="1" t="n">
        <v>95634</v>
      </c>
      <c r="B95635">
        <f>TEXT(95634, "[$-0E0000]yyyy-mm-dd")</f>
        <v/>
      </c>
    </row>
    <row r="95636">
      <c r="A95636" s="1" t="n">
        <v>95635</v>
      </c>
      <c r="B95636">
        <f>TEXT(95635, "[$-0E0000]yyyy-mm-dd")</f>
        <v/>
      </c>
    </row>
    <row r="95637">
      <c r="A95637" s="1" t="n">
        <v>95636</v>
      </c>
      <c r="B95637">
        <f>TEXT(95636, "[$-0E0000]yyyy-mm-dd")</f>
        <v/>
      </c>
    </row>
    <row r="95638">
      <c r="A95638" s="1" t="n">
        <v>95637</v>
      </c>
      <c r="B95638">
        <f>TEXT(95637, "[$-0E0000]yyyy-mm-dd")</f>
        <v/>
      </c>
    </row>
    <row r="95639">
      <c r="A95639" s="1" t="n">
        <v>95638</v>
      </c>
      <c r="B95639">
        <f>TEXT(95638, "[$-0E0000]yyyy-mm-dd")</f>
        <v/>
      </c>
    </row>
    <row r="95640">
      <c r="A95640" s="1" t="n">
        <v>95639</v>
      </c>
      <c r="B95640">
        <f>TEXT(95639, "[$-0E0000]yyyy-mm-dd")</f>
        <v/>
      </c>
    </row>
    <row r="95641">
      <c r="A95641" s="1" t="n">
        <v>95640</v>
      </c>
      <c r="B95641">
        <f>TEXT(95640, "[$-0E0000]yyyy-mm-dd")</f>
        <v/>
      </c>
    </row>
    <row r="95642">
      <c r="A95642" s="1" t="n">
        <v>95641</v>
      </c>
      <c r="B95642">
        <f>TEXT(95641, "[$-0E0000]yyyy-mm-dd")</f>
        <v/>
      </c>
    </row>
    <row r="95643">
      <c r="A95643" s="1" t="n">
        <v>95642</v>
      </c>
      <c r="B95643">
        <f>TEXT(95642, "[$-0E0000]yyyy-mm-dd")</f>
        <v/>
      </c>
    </row>
    <row r="95644">
      <c r="A95644" s="1" t="n">
        <v>95643</v>
      </c>
      <c r="B95644">
        <f>TEXT(95643, "[$-0E0000]yyyy-mm-dd")</f>
        <v/>
      </c>
    </row>
    <row r="95645">
      <c r="A95645" s="1" t="n">
        <v>95644</v>
      </c>
      <c r="B95645">
        <f>TEXT(95644, "[$-0E0000]yyyy-mm-dd")</f>
        <v/>
      </c>
    </row>
    <row r="95646">
      <c r="A95646" s="1" t="n">
        <v>95645</v>
      </c>
      <c r="B95646">
        <f>TEXT(95645, "[$-0E0000]yyyy-mm-dd")</f>
        <v/>
      </c>
    </row>
    <row r="95647">
      <c r="A95647" s="1" t="n">
        <v>95646</v>
      </c>
      <c r="B95647">
        <f>TEXT(95646, "[$-0E0000]yyyy-mm-dd")</f>
        <v/>
      </c>
    </row>
    <row r="95648">
      <c r="A95648" s="1" t="n">
        <v>95647</v>
      </c>
      <c r="B95648">
        <f>TEXT(95647, "[$-0E0000]yyyy-mm-dd")</f>
        <v/>
      </c>
    </row>
    <row r="95649">
      <c r="A95649" s="1" t="n">
        <v>95648</v>
      </c>
      <c r="B95649">
        <f>TEXT(95648, "[$-0E0000]yyyy-mm-dd")</f>
        <v/>
      </c>
    </row>
    <row r="95650">
      <c r="A95650" s="1" t="n">
        <v>95649</v>
      </c>
      <c r="B95650">
        <f>TEXT(95649, "[$-0E0000]yyyy-mm-dd")</f>
        <v/>
      </c>
    </row>
    <row r="95651">
      <c r="A95651" s="1" t="n">
        <v>95650</v>
      </c>
      <c r="B95651">
        <f>TEXT(95650, "[$-0E0000]yyyy-mm-dd")</f>
        <v/>
      </c>
    </row>
    <row r="95652">
      <c r="A95652" s="1" t="n">
        <v>95651</v>
      </c>
      <c r="B95652">
        <f>TEXT(95651, "[$-0E0000]yyyy-mm-dd")</f>
        <v/>
      </c>
    </row>
    <row r="95653">
      <c r="A95653" s="1" t="n">
        <v>95652</v>
      </c>
      <c r="B95653">
        <f>TEXT(95652, "[$-0E0000]yyyy-mm-dd")</f>
        <v/>
      </c>
    </row>
    <row r="95654">
      <c r="A95654" s="1" t="n">
        <v>95653</v>
      </c>
      <c r="B95654">
        <f>TEXT(95653, "[$-0E0000]yyyy-mm-dd")</f>
        <v/>
      </c>
    </row>
    <row r="95655">
      <c r="A95655" s="1" t="n">
        <v>95654</v>
      </c>
      <c r="B95655">
        <f>TEXT(95654, "[$-0E0000]yyyy-mm-dd")</f>
        <v/>
      </c>
    </row>
    <row r="95656">
      <c r="A95656" s="1" t="n">
        <v>95655</v>
      </c>
      <c r="B95656">
        <f>TEXT(95655, "[$-0E0000]yyyy-mm-dd")</f>
        <v/>
      </c>
    </row>
    <row r="95657">
      <c r="A95657" s="1" t="n">
        <v>95656</v>
      </c>
      <c r="B95657">
        <f>TEXT(95656, "[$-0E0000]yyyy-mm-dd")</f>
        <v/>
      </c>
    </row>
    <row r="95658">
      <c r="A95658" s="1" t="n">
        <v>95657</v>
      </c>
      <c r="B95658">
        <f>TEXT(95657, "[$-0E0000]yyyy-mm-dd")</f>
        <v/>
      </c>
    </row>
    <row r="95659">
      <c r="A95659" s="1" t="n">
        <v>95658</v>
      </c>
      <c r="B95659">
        <f>TEXT(95658, "[$-0E0000]yyyy-mm-dd")</f>
        <v/>
      </c>
    </row>
    <row r="95660">
      <c r="A95660" s="1" t="n">
        <v>95659</v>
      </c>
      <c r="B95660">
        <f>TEXT(95659, "[$-0E0000]yyyy-mm-dd")</f>
        <v/>
      </c>
    </row>
    <row r="95661">
      <c r="A95661" s="1" t="n">
        <v>95660</v>
      </c>
      <c r="B95661">
        <f>TEXT(95660, "[$-0E0000]yyyy-mm-dd")</f>
        <v/>
      </c>
    </row>
    <row r="95662">
      <c r="A95662" s="1" t="n">
        <v>95661</v>
      </c>
      <c r="B95662">
        <f>TEXT(95661, "[$-0E0000]yyyy-mm-dd")</f>
        <v/>
      </c>
    </row>
    <row r="95663">
      <c r="A95663" s="1" t="n">
        <v>95662</v>
      </c>
      <c r="B95663">
        <f>TEXT(95662, "[$-0E0000]yyyy-mm-dd")</f>
        <v/>
      </c>
    </row>
    <row r="95664">
      <c r="A95664" s="1" t="n">
        <v>95663</v>
      </c>
      <c r="B95664">
        <f>TEXT(95663, "[$-0E0000]yyyy-mm-dd")</f>
        <v/>
      </c>
    </row>
    <row r="95665">
      <c r="A95665" s="1" t="n">
        <v>95664</v>
      </c>
      <c r="B95665">
        <f>TEXT(95664, "[$-0E0000]yyyy-mm-dd")</f>
        <v/>
      </c>
    </row>
    <row r="95666">
      <c r="A95666" s="1" t="n">
        <v>95665</v>
      </c>
      <c r="B95666">
        <f>TEXT(95665, "[$-0E0000]yyyy-mm-dd")</f>
        <v/>
      </c>
    </row>
    <row r="95667">
      <c r="A95667" s="1" t="n">
        <v>95666</v>
      </c>
      <c r="B95667">
        <f>TEXT(95666, "[$-0E0000]yyyy-mm-dd")</f>
        <v/>
      </c>
    </row>
    <row r="95668">
      <c r="A95668" s="1" t="n">
        <v>95667</v>
      </c>
      <c r="B95668">
        <f>TEXT(95667, "[$-0E0000]yyyy-mm-dd")</f>
        <v/>
      </c>
    </row>
    <row r="95669">
      <c r="A95669" s="1" t="n">
        <v>95668</v>
      </c>
      <c r="B95669">
        <f>TEXT(95668, "[$-0E0000]yyyy-mm-dd")</f>
        <v/>
      </c>
    </row>
    <row r="95670">
      <c r="A95670" s="1" t="n">
        <v>95669</v>
      </c>
      <c r="B95670">
        <f>TEXT(95669, "[$-0E0000]yyyy-mm-dd")</f>
        <v/>
      </c>
    </row>
    <row r="95671">
      <c r="A95671" s="1" t="n">
        <v>95670</v>
      </c>
      <c r="B95671">
        <f>TEXT(95670, "[$-0E0000]yyyy-mm-dd")</f>
        <v/>
      </c>
    </row>
    <row r="95672">
      <c r="A95672" s="1" t="n">
        <v>95671</v>
      </c>
      <c r="B95672">
        <f>TEXT(95671, "[$-0E0000]yyyy-mm-dd")</f>
        <v/>
      </c>
    </row>
    <row r="95673">
      <c r="A95673" s="1" t="n">
        <v>95672</v>
      </c>
      <c r="B95673">
        <f>TEXT(95672, "[$-0E0000]yyyy-mm-dd")</f>
        <v/>
      </c>
    </row>
    <row r="95674">
      <c r="A95674" s="1" t="n">
        <v>95673</v>
      </c>
      <c r="B95674">
        <f>TEXT(95673, "[$-0E0000]yyyy-mm-dd")</f>
        <v/>
      </c>
    </row>
    <row r="95675">
      <c r="A95675" s="1" t="n">
        <v>95674</v>
      </c>
      <c r="B95675">
        <f>TEXT(95674, "[$-0E0000]yyyy-mm-dd")</f>
        <v/>
      </c>
    </row>
    <row r="95676">
      <c r="A95676" s="1" t="n">
        <v>95675</v>
      </c>
      <c r="B95676">
        <f>TEXT(95675, "[$-0E0000]yyyy-mm-dd")</f>
        <v/>
      </c>
    </row>
    <row r="95677">
      <c r="A95677" s="1" t="n">
        <v>95676</v>
      </c>
      <c r="B95677">
        <f>TEXT(95676, "[$-0E0000]yyyy-mm-dd")</f>
        <v/>
      </c>
    </row>
    <row r="95678">
      <c r="A95678" s="1" t="n">
        <v>95677</v>
      </c>
      <c r="B95678">
        <f>TEXT(95677, "[$-0E0000]yyyy-mm-dd")</f>
        <v/>
      </c>
    </row>
    <row r="95679">
      <c r="A95679" s="1" t="n">
        <v>95678</v>
      </c>
      <c r="B95679">
        <f>TEXT(95678, "[$-0E0000]yyyy-mm-dd")</f>
        <v/>
      </c>
    </row>
    <row r="95680">
      <c r="A95680" s="1" t="n">
        <v>95679</v>
      </c>
      <c r="B95680">
        <f>TEXT(95679, "[$-0E0000]yyyy-mm-dd")</f>
        <v/>
      </c>
    </row>
    <row r="95681">
      <c r="A95681" s="1" t="n">
        <v>95680</v>
      </c>
      <c r="B95681">
        <f>TEXT(95680, "[$-0E0000]yyyy-mm-dd")</f>
        <v/>
      </c>
    </row>
    <row r="95682">
      <c r="A95682" s="1" t="n">
        <v>95681</v>
      </c>
      <c r="B95682">
        <f>TEXT(95681, "[$-0E0000]yyyy-mm-dd")</f>
        <v/>
      </c>
    </row>
    <row r="95683">
      <c r="A95683" s="1" t="n">
        <v>95682</v>
      </c>
      <c r="B95683">
        <f>TEXT(95682, "[$-0E0000]yyyy-mm-dd")</f>
        <v/>
      </c>
    </row>
    <row r="95684">
      <c r="A95684" s="1" t="n">
        <v>95683</v>
      </c>
      <c r="B95684">
        <f>TEXT(95683, "[$-0E0000]yyyy-mm-dd")</f>
        <v/>
      </c>
    </row>
    <row r="95685">
      <c r="A95685" s="1" t="n">
        <v>95684</v>
      </c>
      <c r="B95685">
        <f>TEXT(95684, "[$-0E0000]yyyy-mm-dd")</f>
        <v/>
      </c>
    </row>
    <row r="95686">
      <c r="A95686" s="1" t="n">
        <v>95685</v>
      </c>
      <c r="B95686">
        <f>TEXT(95685, "[$-0E0000]yyyy-mm-dd")</f>
        <v/>
      </c>
    </row>
    <row r="95687">
      <c r="A95687" s="1" t="n">
        <v>95686</v>
      </c>
      <c r="B95687">
        <f>TEXT(95686, "[$-0E0000]yyyy-mm-dd")</f>
        <v/>
      </c>
    </row>
    <row r="95688">
      <c r="A95688" s="1" t="n">
        <v>95687</v>
      </c>
      <c r="B95688">
        <f>TEXT(95687, "[$-0E0000]yyyy-mm-dd")</f>
        <v/>
      </c>
    </row>
    <row r="95689">
      <c r="A95689" s="1" t="n">
        <v>95688</v>
      </c>
      <c r="B95689">
        <f>TEXT(95688, "[$-0E0000]yyyy-mm-dd")</f>
        <v/>
      </c>
    </row>
    <row r="95690">
      <c r="A95690" s="1" t="n">
        <v>95689</v>
      </c>
      <c r="B95690">
        <f>TEXT(95689, "[$-0E0000]yyyy-mm-dd")</f>
        <v/>
      </c>
    </row>
    <row r="95691">
      <c r="A95691" s="1" t="n">
        <v>95690</v>
      </c>
      <c r="B95691">
        <f>TEXT(95690, "[$-0E0000]yyyy-mm-dd")</f>
        <v/>
      </c>
    </row>
    <row r="95692">
      <c r="A95692" s="1" t="n">
        <v>95691</v>
      </c>
      <c r="B95692">
        <f>TEXT(95691, "[$-0E0000]yyyy-mm-dd")</f>
        <v/>
      </c>
    </row>
    <row r="95693">
      <c r="A95693" s="1" t="n">
        <v>95692</v>
      </c>
      <c r="B95693">
        <f>TEXT(95692, "[$-0E0000]yyyy-mm-dd")</f>
        <v/>
      </c>
    </row>
    <row r="95694">
      <c r="A95694" s="1" t="n">
        <v>95693</v>
      </c>
      <c r="B95694">
        <f>TEXT(95693, "[$-0E0000]yyyy-mm-dd")</f>
        <v/>
      </c>
    </row>
    <row r="95695">
      <c r="A95695" s="1" t="n">
        <v>95694</v>
      </c>
      <c r="B95695">
        <f>TEXT(95694, "[$-0E0000]yyyy-mm-dd")</f>
        <v/>
      </c>
    </row>
    <row r="95696">
      <c r="A95696" s="1" t="n">
        <v>95695</v>
      </c>
      <c r="B95696">
        <f>TEXT(95695, "[$-0E0000]yyyy-mm-dd")</f>
        <v/>
      </c>
    </row>
    <row r="95697">
      <c r="A95697" s="1" t="n">
        <v>95696</v>
      </c>
      <c r="B95697">
        <f>TEXT(95696, "[$-0E0000]yyyy-mm-dd")</f>
        <v/>
      </c>
    </row>
    <row r="95698">
      <c r="A95698" s="1" t="n">
        <v>95697</v>
      </c>
      <c r="B95698">
        <f>TEXT(95697, "[$-0E0000]yyyy-mm-dd")</f>
        <v/>
      </c>
    </row>
    <row r="95699">
      <c r="A95699" s="1" t="n">
        <v>95698</v>
      </c>
      <c r="B95699">
        <f>TEXT(95698, "[$-0E0000]yyyy-mm-dd")</f>
        <v/>
      </c>
    </row>
    <row r="95700">
      <c r="A95700" s="1" t="n">
        <v>95699</v>
      </c>
      <c r="B95700">
        <f>TEXT(95699, "[$-0E0000]yyyy-mm-dd")</f>
        <v/>
      </c>
    </row>
    <row r="95701">
      <c r="A95701" s="1" t="n">
        <v>95700</v>
      </c>
      <c r="B95701">
        <f>TEXT(95700, "[$-0E0000]yyyy-mm-dd")</f>
        <v/>
      </c>
    </row>
    <row r="95702">
      <c r="A95702" s="1" t="n">
        <v>95701</v>
      </c>
      <c r="B95702">
        <f>TEXT(95701, "[$-0E0000]yyyy-mm-dd")</f>
        <v/>
      </c>
    </row>
    <row r="95703">
      <c r="A95703" s="1" t="n">
        <v>95702</v>
      </c>
      <c r="B95703">
        <f>TEXT(95702, "[$-0E0000]yyyy-mm-dd")</f>
        <v/>
      </c>
    </row>
    <row r="95704">
      <c r="A95704" s="1" t="n">
        <v>95703</v>
      </c>
      <c r="B95704">
        <f>TEXT(95703, "[$-0E0000]yyyy-mm-dd")</f>
        <v/>
      </c>
    </row>
    <row r="95705">
      <c r="A95705" s="1" t="n">
        <v>95704</v>
      </c>
      <c r="B95705">
        <f>TEXT(95704, "[$-0E0000]yyyy-mm-dd")</f>
        <v/>
      </c>
    </row>
    <row r="95706">
      <c r="A95706" s="1" t="n">
        <v>95705</v>
      </c>
      <c r="B95706">
        <f>TEXT(95705, "[$-0E0000]yyyy-mm-dd")</f>
        <v/>
      </c>
    </row>
    <row r="95707">
      <c r="A95707" s="1" t="n">
        <v>95706</v>
      </c>
      <c r="B95707">
        <f>TEXT(95706, "[$-0E0000]yyyy-mm-dd")</f>
        <v/>
      </c>
    </row>
    <row r="95708">
      <c r="A95708" s="1" t="n">
        <v>95707</v>
      </c>
      <c r="B95708">
        <f>TEXT(95707, "[$-0E0000]yyyy-mm-dd")</f>
        <v/>
      </c>
    </row>
    <row r="95709">
      <c r="A95709" s="1" t="n">
        <v>95708</v>
      </c>
      <c r="B95709">
        <f>TEXT(95708, "[$-0E0000]yyyy-mm-dd")</f>
        <v/>
      </c>
    </row>
    <row r="95710">
      <c r="A95710" s="1" t="n">
        <v>95709</v>
      </c>
      <c r="B95710">
        <f>TEXT(95709, "[$-0E0000]yyyy-mm-dd")</f>
        <v/>
      </c>
    </row>
    <row r="95711">
      <c r="A95711" s="1" t="n">
        <v>95710</v>
      </c>
      <c r="B95711">
        <f>TEXT(95710, "[$-0E0000]yyyy-mm-dd")</f>
        <v/>
      </c>
    </row>
    <row r="95712">
      <c r="A95712" s="1" t="n">
        <v>95711</v>
      </c>
      <c r="B95712">
        <f>TEXT(95711, "[$-0E0000]yyyy-mm-dd")</f>
        <v/>
      </c>
    </row>
    <row r="95713">
      <c r="A95713" s="1" t="n">
        <v>95712</v>
      </c>
      <c r="B95713">
        <f>TEXT(95712, "[$-0E0000]yyyy-mm-dd")</f>
        <v/>
      </c>
    </row>
    <row r="95714">
      <c r="A95714" s="1" t="n">
        <v>95713</v>
      </c>
      <c r="B95714">
        <f>TEXT(95713, "[$-0E0000]yyyy-mm-dd")</f>
        <v/>
      </c>
    </row>
    <row r="95715">
      <c r="A95715" s="1" t="n">
        <v>95714</v>
      </c>
      <c r="B95715">
        <f>TEXT(95714, "[$-0E0000]yyyy-mm-dd")</f>
        <v/>
      </c>
    </row>
    <row r="95716">
      <c r="A95716" s="1" t="n">
        <v>95715</v>
      </c>
      <c r="B95716">
        <f>TEXT(95715, "[$-0E0000]yyyy-mm-dd")</f>
        <v/>
      </c>
    </row>
    <row r="95717">
      <c r="A95717" s="1" t="n">
        <v>95716</v>
      </c>
      <c r="B95717">
        <f>TEXT(95716, "[$-0E0000]yyyy-mm-dd")</f>
        <v/>
      </c>
    </row>
    <row r="95718">
      <c r="A95718" s="1" t="n">
        <v>95717</v>
      </c>
      <c r="B95718">
        <f>TEXT(95717, "[$-0E0000]yyyy-mm-dd")</f>
        <v/>
      </c>
    </row>
    <row r="95719">
      <c r="A95719" s="1" t="n">
        <v>95718</v>
      </c>
      <c r="B95719">
        <f>TEXT(95718, "[$-0E0000]yyyy-mm-dd")</f>
        <v/>
      </c>
    </row>
    <row r="95720">
      <c r="A95720" s="1" t="n">
        <v>95719</v>
      </c>
      <c r="B95720">
        <f>TEXT(95719, "[$-0E0000]yyyy-mm-dd")</f>
        <v/>
      </c>
    </row>
    <row r="95721">
      <c r="A95721" s="1" t="n">
        <v>95720</v>
      </c>
      <c r="B95721">
        <f>TEXT(95720, "[$-0E0000]yyyy-mm-dd")</f>
        <v/>
      </c>
    </row>
    <row r="95722">
      <c r="A95722" s="1" t="n">
        <v>95721</v>
      </c>
      <c r="B95722">
        <f>TEXT(95721, "[$-0E0000]yyyy-mm-dd")</f>
        <v/>
      </c>
    </row>
    <row r="95723">
      <c r="A95723" s="1" t="n">
        <v>95722</v>
      </c>
      <c r="B95723">
        <f>TEXT(95722, "[$-0E0000]yyyy-mm-dd")</f>
        <v/>
      </c>
    </row>
    <row r="95724">
      <c r="A95724" s="1" t="n">
        <v>95723</v>
      </c>
      <c r="B95724">
        <f>TEXT(95723, "[$-0E0000]yyyy-mm-dd")</f>
        <v/>
      </c>
    </row>
    <row r="95725">
      <c r="A95725" s="1" t="n">
        <v>95724</v>
      </c>
      <c r="B95725">
        <f>TEXT(95724, "[$-0E0000]yyyy-mm-dd")</f>
        <v/>
      </c>
    </row>
    <row r="95726">
      <c r="A95726" s="1" t="n">
        <v>95725</v>
      </c>
      <c r="B95726">
        <f>TEXT(95725, "[$-0E0000]yyyy-mm-dd")</f>
        <v/>
      </c>
    </row>
    <row r="95727">
      <c r="A95727" s="1" t="n">
        <v>95726</v>
      </c>
      <c r="B95727">
        <f>TEXT(95726, "[$-0E0000]yyyy-mm-dd")</f>
        <v/>
      </c>
    </row>
    <row r="95728">
      <c r="A95728" s="1" t="n">
        <v>95727</v>
      </c>
      <c r="B95728">
        <f>TEXT(95727, "[$-0E0000]yyyy-mm-dd")</f>
        <v/>
      </c>
    </row>
    <row r="95729">
      <c r="A95729" s="1" t="n">
        <v>95728</v>
      </c>
      <c r="B95729">
        <f>TEXT(95728, "[$-0E0000]yyyy-mm-dd")</f>
        <v/>
      </c>
    </row>
    <row r="95730">
      <c r="A95730" s="1" t="n">
        <v>95729</v>
      </c>
      <c r="B95730">
        <f>TEXT(95729, "[$-0E0000]yyyy-mm-dd")</f>
        <v/>
      </c>
    </row>
    <row r="95731">
      <c r="A95731" s="1" t="n">
        <v>95730</v>
      </c>
      <c r="B95731">
        <f>TEXT(95730, "[$-0E0000]yyyy-mm-dd")</f>
        <v/>
      </c>
    </row>
    <row r="95732">
      <c r="A95732" s="1" t="n">
        <v>95731</v>
      </c>
      <c r="B95732">
        <f>TEXT(95731, "[$-0E0000]yyyy-mm-dd")</f>
        <v/>
      </c>
    </row>
    <row r="95733">
      <c r="A95733" s="1" t="n">
        <v>95732</v>
      </c>
      <c r="B95733">
        <f>TEXT(95732, "[$-0E0000]yyyy-mm-dd")</f>
        <v/>
      </c>
    </row>
    <row r="95734">
      <c r="A95734" s="1" t="n">
        <v>95733</v>
      </c>
      <c r="B95734">
        <f>TEXT(95733, "[$-0E0000]yyyy-mm-dd")</f>
        <v/>
      </c>
    </row>
    <row r="95735">
      <c r="A95735" s="1" t="n">
        <v>95734</v>
      </c>
      <c r="B95735">
        <f>TEXT(95734, "[$-0E0000]yyyy-mm-dd")</f>
        <v/>
      </c>
    </row>
    <row r="95736">
      <c r="A95736" s="1" t="n">
        <v>95735</v>
      </c>
      <c r="B95736">
        <f>TEXT(95735, "[$-0E0000]yyyy-mm-dd")</f>
        <v/>
      </c>
    </row>
    <row r="95737">
      <c r="A95737" s="1" t="n">
        <v>95736</v>
      </c>
      <c r="B95737">
        <f>TEXT(95736, "[$-0E0000]yyyy-mm-dd")</f>
        <v/>
      </c>
    </row>
    <row r="95738">
      <c r="A95738" s="1" t="n">
        <v>95737</v>
      </c>
      <c r="B95738">
        <f>TEXT(95737, "[$-0E0000]yyyy-mm-dd")</f>
        <v/>
      </c>
    </row>
    <row r="95739">
      <c r="A95739" s="1" t="n">
        <v>95738</v>
      </c>
      <c r="B95739">
        <f>TEXT(95738, "[$-0E0000]yyyy-mm-dd")</f>
        <v/>
      </c>
    </row>
    <row r="95740">
      <c r="A95740" s="1" t="n">
        <v>95739</v>
      </c>
      <c r="B95740">
        <f>TEXT(95739, "[$-0E0000]yyyy-mm-dd")</f>
        <v/>
      </c>
    </row>
    <row r="95741">
      <c r="A95741" s="1" t="n">
        <v>95740</v>
      </c>
      <c r="B95741">
        <f>TEXT(95740, "[$-0E0000]yyyy-mm-dd")</f>
        <v/>
      </c>
    </row>
    <row r="95742">
      <c r="A95742" s="1" t="n">
        <v>95741</v>
      </c>
      <c r="B95742">
        <f>TEXT(95741, "[$-0E0000]yyyy-mm-dd")</f>
        <v/>
      </c>
    </row>
    <row r="95743">
      <c r="A95743" s="1" t="n">
        <v>95742</v>
      </c>
      <c r="B95743">
        <f>TEXT(95742, "[$-0E0000]yyyy-mm-dd")</f>
        <v/>
      </c>
    </row>
    <row r="95744">
      <c r="A95744" s="1" t="n">
        <v>95743</v>
      </c>
      <c r="B95744">
        <f>TEXT(95743, "[$-0E0000]yyyy-mm-dd")</f>
        <v/>
      </c>
    </row>
    <row r="95745">
      <c r="A95745" s="1" t="n">
        <v>95744</v>
      </c>
      <c r="B95745">
        <f>TEXT(95744, "[$-0E0000]yyyy-mm-dd")</f>
        <v/>
      </c>
    </row>
    <row r="95746">
      <c r="A95746" s="1" t="n">
        <v>95745</v>
      </c>
      <c r="B95746">
        <f>TEXT(95745, "[$-0E0000]yyyy-mm-dd")</f>
        <v/>
      </c>
    </row>
    <row r="95747">
      <c r="A95747" s="1" t="n">
        <v>95746</v>
      </c>
      <c r="B95747">
        <f>TEXT(95746, "[$-0E0000]yyyy-mm-dd")</f>
        <v/>
      </c>
    </row>
    <row r="95748">
      <c r="A95748" s="1" t="n">
        <v>95747</v>
      </c>
      <c r="B95748">
        <f>TEXT(95747, "[$-0E0000]yyyy-mm-dd")</f>
        <v/>
      </c>
    </row>
    <row r="95749">
      <c r="A95749" s="1" t="n">
        <v>95748</v>
      </c>
      <c r="B95749">
        <f>TEXT(95748, "[$-0E0000]yyyy-mm-dd")</f>
        <v/>
      </c>
    </row>
    <row r="95750">
      <c r="A95750" s="1" t="n">
        <v>95749</v>
      </c>
      <c r="B95750">
        <f>TEXT(95749, "[$-0E0000]yyyy-mm-dd")</f>
        <v/>
      </c>
    </row>
    <row r="95751">
      <c r="A95751" s="1" t="n">
        <v>95750</v>
      </c>
      <c r="B95751">
        <f>TEXT(95750, "[$-0E0000]yyyy-mm-dd")</f>
        <v/>
      </c>
    </row>
    <row r="95752">
      <c r="A95752" s="1" t="n">
        <v>95751</v>
      </c>
      <c r="B95752">
        <f>TEXT(95751, "[$-0E0000]yyyy-mm-dd")</f>
        <v/>
      </c>
    </row>
    <row r="95753">
      <c r="A95753" s="1" t="n">
        <v>95752</v>
      </c>
      <c r="B95753">
        <f>TEXT(95752, "[$-0E0000]yyyy-mm-dd")</f>
        <v/>
      </c>
    </row>
    <row r="95754">
      <c r="A95754" s="1" t="n">
        <v>95753</v>
      </c>
      <c r="B95754">
        <f>TEXT(95753, "[$-0E0000]yyyy-mm-dd")</f>
        <v/>
      </c>
    </row>
    <row r="95755">
      <c r="A95755" s="1" t="n">
        <v>95754</v>
      </c>
      <c r="B95755">
        <f>TEXT(95754, "[$-0E0000]yyyy-mm-dd")</f>
        <v/>
      </c>
    </row>
    <row r="95756">
      <c r="A95756" s="1" t="n">
        <v>95755</v>
      </c>
      <c r="B95756">
        <f>TEXT(95755, "[$-0E0000]yyyy-mm-dd")</f>
        <v/>
      </c>
    </row>
    <row r="95757">
      <c r="A95757" s="1" t="n">
        <v>95756</v>
      </c>
      <c r="B95757">
        <f>TEXT(95756, "[$-0E0000]yyyy-mm-dd")</f>
        <v/>
      </c>
    </row>
    <row r="95758">
      <c r="A95758" s="1" t="n">
        <v>95757</v>
      </c>
      <c r="B95758">
        <f>TEXT(95757, "[$-0E0000]yyyy-mm-dd")</f>
        <v/>
      </c>
    </row>
    <row r="95759">
      <c r="A95759" s="1" t="n">
        <v>95758</v>
      </c>
      <c r="B95759">
        <f>TEXT(95758, "[$-0E0000]yyyy-mm-dd")</f>
        <v/>
      </c>
    </row>
    <row r="95760">
      <c r="A95760" s="1" t="n">
        <v>95759</v>
      </c>
      <c r="B95760">
        <f>TEXT(95759, "[$-0E0000]yyyy-mm-dd")</f>
        <v/>
      </c>
    </row>
    <row r="95761">
      <c r="A95761" s="1" t="n">
        <v>95760</v>
      </c>
      <c r="B95761">
        <f>TEXT(95760, "[$-0E0000]yyyy-mm-dd")</f>
        <v/>
      </c>
    </row>
    <row r="95762">
      <c r="A95762" s="1" t="n">
        <v>95761</v>
      </c>
      <c r="B95762">
        <f>TEXT(95761, "[$-0E0000]yyyy-mm-dd")</f>
        <v/>
      </c>
    </row>
    <row r="95763">
      <c r="A95763" s="1" t="n">
        <v>95762</v>
      </c>
      <c r="B95763">
        <f>TEXT(95762, "[$-0E0000]yyyy-mm-dd")</f>
        <v/>
      </c>
    </row>
    <row r="95764">
      <c r="A95764" s="1" t="n">
        <v>95763</v>
      </c>
      <c r="B95764">
        <f>TEXT(95763, "[$-0E0000]yyyy-mm-dd")</f>
        <v/>
      </c>
    </row>
    <row r="95765">
      <c r="A95765" s="1" t="n">
        <v>95764</v>
      </c>
      <c r="B95765">
        <f>TEXT(95764, "[$-0E0000]yyyy-mm-dd")</f>
        <v/>
      </c>
    </row>
    <row r="95766">
      <c r="A95766" s="1" t="n">
        <v>95765</v>
      </c>
      <c r="B95766">
        <f>TEXT(95765, "[$-0E0000]yyyy-mm-dd")</f>
        <v/>
      </c>
    </row>
    <row r="95767">
      <c r="A95767" s="1" t="n">
        <v>95766</v>
      </c>
      <c r="B95767">
        <f>TEXT(95766, "[$-0E0000]yyyy-mm-dd")</f>
        <v/>
      </c>
    </row>
    <row r="95768">
      <c r="A95768" s="1" t="n">
        <v>95767</v>
      </c>
      <c r="B95768">
        <f>TEXT(95767, "[$-0E0000]yyyy-mm-dd")</f>
        <v/>
      </c>
    </row>
    <row r="95769">
      <c r="A95769" s="1" t="n">
        <v>95768</v>
      </c>
      <c r="B95769">
        <f>TEXT(95768, "[$-0E0000]yyyy-mm-dd")</f>
        <v/>
      </c>
    </row>
    <row r="95770">
      <c r="A95770" s="1" t="n">
        <v>95769</v>
      </c>
      <c r="B95770">
        <f>TEXT(95769, "[$-0E0000]yyyy-mm-dd")</f>
        <v/>
      </c>
    </row>
    <row r="95771">
      <c r="A95771" s="1" t="n">
        <v>95770</v>
      </c>
      <c r="B95771">
        <f>TEXT(95770, "[$-0E0000]yyyy-mm-dd")</f>
        <v/>
      </c>
    </row>
    <row r="95772">
      <c r="A95772" s="1" t="n">
        <v>95771</v>
      </c>
      <c r="B95772">
        <f>TEXT(95771, "[$-0E0000]yyyy-mm-dd")</f>
        <v/>
      </c>
    </row>
    <row r="95773">
      <c r="A95773" s="1" t="n">
        <v>95772</v>
      </c>
      <c r="B95773">
        <f>TEXT(95772, "[$-0E0000]yyyy-mm-dd")</f>
        <v/>
      </c>
    </row>
    <row r="95774">
      <c r="A95774" s="1" t="n">
        <v>95773</v>
      </c>
      <c r="B95774">
        <f>TEXT(95773, "[$-0E0000]yyyy-mm-dd")</f>
        <v/>
      </c>
    </row>
    <row r="95775">
      <c r="A95775" s="1" t="n">
        <v>95774</v>
      </c>
      <c r="B95775">
        <f>TEXT(95774, "[$-0E0000]yyyy-mm-dd")</f>
        <v/>
      </c>
    </row>
    <row r="95776">
      <c r="A95776" s="1" t="n">
        <v>95775</v>
      </c>
      <c r="B95776">
        <f>TEXT(95775, "[$-0E0000]yyyy-mm-dd")</f>
        <v/>
      </c>
    </row>
    <row r="95777">
      <c r="A95777" s="1" t="n">
        <v>95776</v>
      </c>
      <c r="B95777">
        <f>TEXT(95776, "[$-0E0000]yyyy-mm-dd")</f>
        <v/>
      </c>
    </row>
    <row r="95778">
      <c r="A95778" s="1" t="n">
        <v>95777</v>
      </c>
      <c r="B95778">
        <f>TEXT(95777, "[$-0E0000]yyyy-mm-dd")</f>
        <v/>
      </c>
    </row>
    <row r="95779">
      <c r="A95779" s="1" t="n">
        <v>95778</v>
      </c>
      <c r="B95779">
        <f>TEXT(95778, "[$-0E0000]yyyy-mm-dd")</f>
        <v/>
      </c>
    </row>
    <row r="95780">
      <c r="A95780" s="1" t="n">
        <v>95779</v>
      </c>
      <c r="B95780">
        <f>TEXT(95779, "[$-0E0000]yyyy-mm-dd")</f>
        <v/>
      </c>
    </row>
    <row r="95781">
      <c r="A95781" s="1" t="n">
        <v>95780</v>
      </c>
      <c r="B95781">
        <f>TEXT(95780, "[$-0E0000]yyyy-mm-dd")</f>
        <v/>
      </c>
    </row>
    <row r="95782">
      <c r="A95782" s="1" t="n">
        <v>95781</v>
      </c>
      <c r="B95782">
        <f>TEXT(95781, "[$-0E0000]yyyy-mm-dd")</f>
        <v/>
      </c>
    </row>
    <row r="95783">
      <c r="A95783" s="1" t="n">
        <v>95782</v>
      </c>
      <c r="B95783">
        <f>TEXT(95782, "[$-0E0000]yyyy-mm-dd")</f>
        <v/>
      </c>
    </row>
    <row r="95784">
      <c r="A95784" s="1" t="n">
        <v>95783</v>
      </c>
      <c r="B95784">
        <f>TEXT(95783, "[$-0E0000]yyyy-mm-dd")</f>
        <v/>
      </c>
    </row>
    <row r="95785">
      <c r="A95785" s="1" t="n">
        <v>95784</v>
      </c>
      <c r="B95785">
        <f>TEXT(95784, "[$-0E0000]yyyy-mm-dd")</f>
        <v/>
      </c>
    </row>
    <row r="95786">
      <c r="A95786" s="1" t="n">
        <v>95785</v>
      </c>
      <c r="B95786">
        <f>TEXT(95785, "[$-0E0000]yyyy-mm-dd")</f>
        <v/>
      </c>
    </row>
    <row r="95787">
      <c r="A95787" s="1" t="n">
        <v>95786</v>
      </c>
      <c r="B95787">
        <f>TEXT(95786, "[$-0E0000]yyyy-mm-dd")</f>
        <v/>
      </c>
    </row>
    <row r="95788">
      <c r="A95788" s="1" t="n">
        <v>95787</v>
      </c>
      <c r="B95788">
        <f>TEXT(95787, "[$-0E0000]yyyy-mm-dd")</f>
        <v/>
      </c>
    </row>
    <row r="95789">
      <c r="A95789" s="1" t="n">
        <v>95788</v>
      </c>
      <c r="B95789">
        <f>TEXT(95788, "[$-0E0000]yyyy-mm-dd")</f>
        <v/>
      </c>
    </row>
    <row r="95790">
      <c r="A95790" s="1" t="n">
        <v>95789</v>
      </c>
      <c r="B95790">
        <f>TEXT(95789, "[$-0E0000]yyyy-mm-dd")</f>
        <v/>
      </c>
    </row>
    <row r="95791">
      <c r="A95791" s="1" t="n">
        <v>95790</v>
      </c>
      <c r="B95791">
        <f>TEXT(95790, "[$-0E0000]yyyy-mm-dd")</f>
        <v/>
      </c>
    </row>
    <row r="95792">
      <c r="A95792" s="1" t="n">
        <v>95791</v>
      </c>
      <c r="B95792">
        <f>TEXT(95791, "[$-0E0000]yyyy-mm-dd")</f>
        <v/>
      </c>
    </row>
    <row r="95793">
      <c r="A95793" s="1" t="n">
        <v>95792</v>
      </c>
      <c r="B95793">
        <f>TEXT(95792, "[$-0E0000]yyyy-mm-dd")</f>
        <v/>
      </c>
    </row>
    <row r="95794">
      <c r="A95794" s="1" t="n">
        <v>95793</v>
      </c>
      <c r="B95794">
        <f>TEXT(95793, "[$-0E0000]yyyy-mm-dd")</f>
        <v/>
      </c>
    </row>
    <row r="95795">
      <c r="A95795" s="1" t="n">
        <v>95794</v>
      </c>
      <c r="B95795">
        <f>TEXT(95794, "[$-0E0000]yyyy-mm-dd")</f>
        <v/>
      </c>
    </row>
    <row r="95796">
      <c r="A95796" s="1" t="n">
        <v>95795</v>
      </c>
      <c r="B95796">
        <f>TEXT(95795, "[$-0E0000]yyyy-mm-dd")</f>
        <v/>
      </c>
    </row>
    <row r="95797">
      <c r="A95797" s="1" t="n">
        <v>95796</v>
      </c>
      <c r="B95797">
        <f>TEXT(95796, "[$-0E0000]yyyy-mm-dd")</f>
        <v/>
      </c>
    </row>
    <row r="95798">
      <c r="A95798" s="1" t="n">
        <v>95797</v>
      </c>
      <c r="B95798">
        <f>TEXT(95797, "[$-0E0000]yyyy-mm-dd")</f>
        <v/>
      </c>
    </row>
    <row r="95799">
      <c r="A95799" s="1" t="n">
        <v>95798</v>
      </c>
      <c r="B95799">
        <f>TEXT(95798, "[$-0E0000]yyyy-mm-dd")</f>
        <v/>
      </c>
    </row>
    <row r="95800">
      <c r="A95800" s="1" t="n">
        <v>95799</v>
      </c>
      <c r="B95800">
        <f>TEXT(95799, "[$-0E0000]yyyy-mm-dd")</f>
        <v/>
      </c>
    </row>
    <row r="95801">
      <c r="A95801" s="1" t="n">
        <v>95800</v>
      </c>
      <c r="B95801">
        <f>TEXT(95800, "[$-0E0000]yyyy-mm-dd")</f>
        <v/>
      </c>
    </row>
    <row r="95802">
      <c r="A95802" s="1" t="n">
        <v>95801</v>
      </c>
      <c r="B95802">
        <f>TEXT(95801, "[$-0E0000]yyyy-mm-dd")</f>
        <v/>
      </c>
    </row>
    <row r="95803">
      <c r="A95803" s="1" t="n">
        <v>95802</v>
      </c>
      <c r="B95803">
        <f>TEXT(95802, "[$-0E0000]yyyy-mm-dd")</f>
        <v/>
      </c>
    </row>
    <row r="95804">
      <c r="A95804" s="1" t="n">
        <v>95803</v>
      </c>
      <c r="B95804">
        <f>TEXT(95803, "[$-0E0000]yyyy-mm-dd")</f>
        <v/>
      </c>
    </row>
    <row r="95805">
      <c r="A95805" s="1" t="n">
        <v>95804</v>
      </c>
      <c r="B95805">
        <f>TEXT(95804, "[$-0E0000]yyyy-mm-dd")</f>
        <v/>
      </c>
    </row>
    <row r="95806">
      <c r="A95806" s="1" t="n">
        <v>95805</v>
      </c>
      <c r="B95806">
        <f>TEXT(95805, "[$-0E0000]yyyy-mm-dd")</f>
        <v/>
      </c>
    </row>
    <row r="95807">
      <c r="A95807" s="1" t="n">
        <v>95806</v>
      </c>
      <c r="B95807">
        <f>TEXT(95806, "[$-0E0000]yyyy-mm-dd")</f>
        <v/>
      </c>
    </row>
    <row r="95808">
      <c r="A95808" s="1" t="n">
        <v>95807</v>
      </c>
      <c r="B95808">
        <f>TEXT(95807, "[$-0E0000]yyyy-mm-dd")</f>
        <v/>
      </c>
    </row>
    <row r="95809">
      <c r="A95809" s="1" t="n">
        <v>95808</v>
      </c>
      <c r="B95809">
        <f>TEXT(95808, "[$-0E0000]yyyy-mm-dd")</f>
        <v/>
      </c>
    </row>
    <row r="95810">
      <c r="A95810" s="1" t="n">
        <v>95809</v>
      </c>
      <c r="B95810">
        <f>TEXT(95809, "[$-0E0000]yyyy-mm-dd")</f>
        <v/>
      </c>
    </row>
    <row r="95811">
      <c r="A95811" s="1" t="n">
        <v>95810</v>
      </c>
      <c r="B95811">
        <f>TEXT(95810, "[$-0E0000]yyyy-mm-dd")</f>
        <v/>
      </c>
    </row>
    <row r="95812">
      <c r="A95812" s="1" t="n">
        <v>95811</v>
      </c>
      <c r="B95812">
        <f>TEXT(95811, "[$-0E0000]yyyy-mm-dd")</f>
        <v/>
      </c>
    </row>
    <row r="95813">
      <c r="A95813" s="1" t="n">
        <v>95812</v>
      </c>
      <c r="B95813">
        <f>TEXT(95812, "[$-0E0000]yyyy-mm-dd")</f>
        <v/>
      </c>
    </row>
    <row r="95814">
      <c r="A95814" s="1" t="n">
        <v>95813</v>
      </c>
      <c r="B95814">
        <f>TEXT(95813, "[$-0E0000]yyyy-mm-dd")</f>
        <v/>
      </c>
    </row>
    <row r="95815">
      <c r="A95815" s="1" t="n">
        <v>95814</v>
      </c>
      <c r="B95815">
        <f>TEXT(95814, "[$-0E0000]yyyy-mm-dd")</f>
        <v/>
      </c>
    </row>
    <row r="95816">
      <c r="A95816" s="1" t="n">
        <v>95815</v>
      </c>
      <c r="B95816">
        <f>TEXT(95815, "[$-0E0000]yyyy-mm-dd")</f>
        <v/>
      </c>
    </row>
    <row r="95817">
      <c r="A95817" s="1" t="n">
        <v>95816</v>
      </c>
      <c r="B95817">
        <f>TEXT(95816, "[$-0E0000]yyyy-mm-dd")</f>
        <v/>
      </c>
    </row>
    <row r="95818">
      <c r="A95818" s="1" t="n">
        <v>95817</v>
      </c>
      <c r="B95818">
        <f>TEXT(95817, "[$-0E0000]yyyy-mm-dd")</f>
        <v/>
      </c>
    </row>
    <row r="95819">
      <c r="A95819" s="1" t="n">
        <v>95818</v>
      </c>
      <c r="B95819">
        <f>TEXT(95818, "[$-0E0000]yyyy-mm-dd")</f>
        <v/>
      </c>
    </row>
    <row r="95820">
      <c r="A95820" s="1" t="n">
        <v>95819</v>
      </c>
      <c r="B95820">
        <f>TEXT(95819, "[$-0E0000]yyyy-mm-dd")</f>
        <v/>
      </c>
    </row>
    <row r="95821">
      <c r="A95821" s="1" t="n">
        <v>95820</v>
      </c>
      <c r="B95821">
        <f>TEXT(95820, "[$-0E0000]yyyy-mm-dd")</f>
        <v/>
      </c>
    </row>
    <row r="95822">
      <c r="A95822" s="1" t="n">
        <v>95821</v>
      </c>
      <c r="B95822">
        <f>TEXT(95821, "[$-0E0000]yyyy-mm-dd")</f>
        <v/>
      </c>
    </row>
    <row r="95823">
      <c r="A95823" s="1" t="n">
        <v>95822</v>
      </c>
      <c r="B95823">
        <f>TEXT(95822, "[$-0E0000]yyyy-mm-dd")</f>
        <v/>
      </c>
    </row>
    <row r="95824">
      <c r="A95824" s="1" t="n">
        <v>95823</v>
      </c>
      <c r="B95824">
        <f>TEXT(95823, "[$-0E0000]yyyy-mm-dd")</f>
        <v/>
      </c>
    </row>
    <row r="95825">
      <c r="A95825" s="1" t="n">
        <v>95824</v>
      </c>
      <c r="B95825">
        <f>TEXT(95824, "[$-0E0000]yyyy-mm-dd")</f>
        <v/>
      </c>
    </row>
    <row r="95826">
      <c r="A95826" s="1" t="n">
        <v>95825</v>
      </c>
      <c r="B95826">
        <f>TEXT(95825, "[$-0E0000]yyyy-mm-dd")</f>
        <v/>
      </c>
    </row>
    <row r="95827">
      <c r="A95827" s="1" t="n">
        <v>95826</v>
      </c>
      <c r="B95827">
        <f>TEXT(95826, "[$-0E0000]yyyy-mm-dd")</f>
        <v/>
      </c>
    </row>
    <row r="95828">
      <c r="A95828" s="1" t="n">
        <v>95827</v>
      </c>
      <c r="B95828">
        <f>TEXT(95827, "[$-0E0000]yyyy-mm-dd")</f>
        <v/>
      </c>
    </row>
    <row r="95829">
      <c r="A95829" s="1" t="n">
        <v>95828</v>
      </c>
      <c r="B95829">
        <f>TEXT(95828, "[$-0E0000]yyyy-mm-dd")</f>
        <v/>
      </c>
    </row>
    <row r="95830">
      <c r="A95830" s="1" t="n">
        <v>95829</v>
      </c>
      <c r="B95830">
        <f>TEXT(95829, "[$-0E0000]yyyy-mm-dd")</f>
        <v/>
      </c>
    </row>
    <row r="95831">
      <c r="A95831" s="1" t="n">
        <v>95830</v>
      </c>
      <c r="B95831">
        <f>TEXT(95830, "[$-0E0000]yyyy-mm-dd")</f>
        <v/>
      </c>
    </row>
    <row r="95832">
      <c r="A95832" s="1" t="n">
        <v>95831</v>
      </c>
      <c r="B95832">
        <f>TEXT(95831, "[$-0E0000]yyyy-mm-dd")</f>
        <v/>
      </c>
    </row>
    <row r="95833">
      <c r="A95833" s="1" t="n">
        <v>95832</v>
      </c>
      <c r="B95833">
        <f>TEXT(95832, "[$-0E0000]yyyy-mm-dd")</f>
        <v/>
      </c>
    </row>
    <row r="95834">
      <c r="A95834" s="1" t="n">
        <v>95833</v>
      </c>
      <c r="B95834">
        <f>TEXT(95833, "[$-0E0000]yyyy-mm-dd")</f>
        <v/>
      </c>
    </row>
    <row r="95835">
      <c r="A95835" s="1" t="n">
        <v>95834</v>
      </c>
      <c r="B95835">
        <f>TEXT(95834, "[$-0E0000]yyyy-mm-dd")</f>
        <v/>
      </c>
    </row>
    <row r="95836">
      <c r="A95836" s="1" t="n">
        <v>95835</v>
      </c>
      <c r="B95836">
        <f>TEXT(95835, "[$-0E0000]yyyy-mm-dd")</f>
        <v/>
      </c>
    </row>
    <row r="95837">
      <c r="A95837" s="1" t="n">
        <v>95836</v>
      </c>
      <c r="B95837">
        <f>TEXT(95836, "[$-0E0000]yyyy-mm-dd")</f>
        <v/>
      </c>
    </row>
    <row r="95838">
      <c r="A95838" s="1" t="n">
        <v>95837</v>
      </c>
      <c r="B95838">
        <f>TEXT(95837, "[$-0E0000]yyyy-mm-dd")</f>
        <v/>
      </c>
    </row>
    <row r="95839">
      <c r="A95839" s="1" t="n">
        <v>95838</v>
      </c>
      <c r="B95839">
        <f>TEXT(95838, "[$-0E0000]yyyy-mm-dd")</f>
        <v/>
      </c>
    </row>
    <row r="95840">
      <c r="A95840" s="1" t="n">
        <v>95839</v>
      </c>
      <c r="B95840">
        <f>TEXT(95839, "[$-0E0000]yyyy-mm-dd")</f>
        <v/>
      </c>
    </row>
    <row r="95841">
      <c r="A95841" s="1" t="n">
        <v>95840</v>
      </c>
      <c r="B95841">
        <f>TEXT(95840, "[$-0E0000]yyyy-mm-dd")</f>
        <v/>
      </c>
    </row>
    <row r="95842">
      <c r="A95842" s="1" t="n">
        <v>95841</v>
      </c>
      <c r="B95842">
        <f>TEXT(95841, "[$-0E0000]yyyy-mm-dd")</f>
        <v/>
      </c>
    </row>
    <row r="95843">
      <c r="A95843" s="1" t="n">
        <v>95842</v>
      </c>
      <c r="B95843">
        <f>TEXT(95842, "[$-0E0000]yyyy-mm-dd")</f>
        <v/>
      </c>
    </row>
    <row r="95844">
      <c r="A95844" s="1" t="n">
        <v>95843</v>
      </c>
      <c r="B95844">
        <f>TEXT(95843, "[$-0E0000]yyyy-mm-dd")</f>
        <v/>
      </c>
    </row>
    <row r="95845">
      <c r="A95845" s="1" t="n">
        <v>95844</v>
      </c>
      <c r="B95845">
        <f>TEXT(95844, "[$-0E0000]yyyy-mm-dd")</f>
        <v/>
      </c>
    </row>
    <row r="95846">
      <c r="A95846" s="1" t="n">
        <v>95845</v>
      </c>
      <c r="B95846">
        <f>TEXT(95845, "[$-0E0000]yyyy-mm-dd")</f>
        <v/>
      </c>
    </row>
    <row r="95847">
      <c r="A95847" s="1" t="n">
        <v>95846</v>
      </c>
      <c r="B95847">
        <f>TEXT(95846, "[$-0E0000]yyyy-mm-dd")</f>
        <v/>
      </c>
    </row>
    <row r="95848">
      <c r="A95848" s="1" t="n">
        <v>95847</v>
      </c>
      <c r="B95848">
        <f>TEXT(95847, "[$-0E0000]yyyy-mm-dd")</f>
        <v/>
      </c>
    </row>
    <row r="95849">
      <c r="A95849" s="1" t="n">
        <v>95848</v>
      </c>
      <c r="B95849">
        <f>TEXT(95848, "[$-0E0000]yyyy-mm-dd")</f>
        <v/>
      </c>
    </row>
    <row r="95850">
      <c r="A95850" s="1" t="n">
        <v>95849</v>
      </c>
      <c r="B95850">
        <f>TEXT(95849, "[$-0E0000]yyyy-mm-dd")</f>
        <v/>
      </c>
    </row>
    <row r="95851">
      <c r="A95851" s="1" t="n">
        <v>95850</v>
      </c>
      <c r="B95851">
        <f>TEXT(95850, "[$-0E0000]yyyy-mm-dd")</f>
        <v/>
      </c>
    </row>
    <row r="95852">
      <c r="A95852" s="1" t="n">
        <v>95851</v>
      </c>
      <c r="B95852">
        <f>TEXT(95851, "[$-0E0000]yyyy-mm-dd")</f>
        <v/>
      </c>
    </row>
    <row r="95853">
      <c r="A95853" s="1" t="n">
        <v>95852</v>
      </c>
      <c r="B95853">
        <f>TEXT(95852, "[$-0E0000]yyyy-mm-dd")</f>
        <v/>
      </c>
    </row>
    <row r="95854">
      <c r="A95854" s="1" t="n">
        <v>95853</v>
      </c>
      <c r="B95854">
        <f>TEXT(95853, "[$-0E0000]yyyy-mm-dd")</f>
        <v/>
      </c>
    </row>
    <row r="95855">
      <c r="A95855" s="1" t="n">
        <v>95854</v>
      </c>
      <c r="B95855">
        <f>TEXT(95854, "[$-0E0000]yyyy-mm-dd")</f>
        <v/>
      </c>
    </row>
    <row r="95856">
      <c r="A95856" s="1" t="n">
        <v>95855</v>
      </c>
      <c r="B95856">
        <f>TEXT(95855, "[$-0E0000]yyyy-mm-dd")</f>
        <v/>
      </c>
    </row>
    <row r="95857">
      <c r="A95857" s="1" t="n">
        <v>95856</v>
      </c>
      <c r="B95857">
        <f>TEXT(95856, "[$-0E0000]yyyy-mm-dd")</f>
        <v/>
      </c>
    </row>
    <row r="95858">
      <c r="A95858" s="1" t="n">
        <v>95857</v>
      </c>
      <c r="B95858">
        <f>TEXT(95857, "[$-0E0000]yyyy-mm-dd")</f>
        <v/>
      </c>
    </row>
    <row r="95859">
      <c r="A95859" s="1" t="n">
        <v>95858</v>
      </c>
      <c r="B95859">
        <f>TEXT(95858, "[$-0E0000]yyyy-mm-dd")</f>
        <v/>
      </c>
    </row>
    <row r="95860">
      <c r="A95860" s="1" t="n">
        <v>95859</v>
      </c>
      <c r="B95860">
        <f>TEXT(95859, "[$-0E0000]yyyy-mm-dd")</f>
        <v/>
      </c>
    </row>
    <row r="95861">
      <c r="A95861" s="1" t="n">
        <v>95860</v>
      </c>
      <c r="B95861">
        <f>TEXT(95860, "[$-0E0000]yyyy-mm-dd")</f>
        <v/>
      </c>
    </row>
    <row r="95862">
      <c r="A95862" s="1" t="n">
        <v>95861</v>
      </c>
      <c r="B95862">
        <f>TEXT(95861, "[$-0E0000]yyyy-mm-dd")</f>
        <v/>
      </c>
    </row>
    <row r="95863">
      <c r="A95863" s="1" t="n">
        <v>95862</v>
      </c>
      <c r="B95863">
        <f>TEXT(95862, "[$-0E0000]yyyy-mm-dd")</f>
        <v/>
      </c>
    </row>
    <row r="95864">
      <c r="A95864" s="1" t="n">
        <v>95863</v>
      </c>
      <c r="B95864">
        <f>TEXT(95863, "[$-0E0000]yyyy-mm-dd")</f>
        <v/>
      </c>
    </row>
    <row r="95865">
      <c r="A95865" s="1" t="n">
        <v>95864</v>
      </c>
      <c r="B95865">
        <f>TEXT(95864, "[$-0E0000]yyyy-mm-dd")</f>
        <v/>
      </c>
    </row>
    <row r="95866">
      <c r="A95866" s="1" t="n">
        <v>95865</v>
      </c>
      <c r="B95866">
        <f>TEXT(95865, "[$-0E0000]yyyy-mm-dd")</f>
        <v/>
      </c>
    </row>
    <row r="95867">
      <c r="A95867" s="1" t="n">
        <v>95866</v>
      </c>
      <c r="B95867">
        <f>TEXT(95866, "[$-0E0000]yyyy-mm-dd")</f>
        <v/>
      </c>
    </row>
    <row r="95868">
      <c r="A95868" s="1" t="n">
        <v>95867</v>
      </c>
      <c r="B95868">
        <f>TEXT(95867, "[$-0E0000]yyyy-mm-dd")</f>
        <v/>
      </c>
    </row>
    <row r="95869">
      <c r="A95869" s="1" t="n">
        <v>95868</v>
      </c>
      <c r="B95869">
        <f>TEXT(95868, "[$-0E0000]yyyy-mm-dd")</f>
        <v/>
      </c>
    </row>
    <row r="95870">
      <c r="A95870" s="1" t="n">
        <v>95869</v>
      </c>
      <c r="B95870">
        <f>TEXT(95869, "[$-0E0000]yyyy-mm-dd")</f>
        <v/>
      </c>
    </row>
    <row r="95871">
      <c r="A95871" s="1" t="n">
        <v>95870</v>
      </c>
      <c r="B95871">
        <f>TEXT(95870, "[$-0E0000]yyyy-mm-dd")</f>
        <v/>
      </c>
    </row>
    <row r="95872">
      <c r="A95872" s="1" t="n">
        <v>95871</v>
      </c>
      <c r="B95872">
        <f>TEXT(95871, "[$-0E0000]yyyy-mm-dd")</f>
        <v/>
      </c>
    </row>
    <row r="95873">
      <c r="A95873" s="1" t="n">
        <v>95872</v>
      </c>
      <c r="B95873">
        <f>TEXT(95872, "[$-0E0000]yyyy-mm-dd")</f>
        <v/>
      </c>
    </row>
    <row r="95874">
      <c r="A95874" s="1" t="n">
        <v>95873</v>
      </c>
      <c r="B95874">
        <f>TEXT(95873, "[$-0E0000]yyyy-mm-dd")</f>
        <v/>
      </c>
    </row>
    <row r="95875">
      <c r="A95875" s="1" t="n">
        <v>95874</v>
      </c>
      <c r="B95875">
        <f>TEXT(95874, "[$-0E0000]yyyy-mm-dd")</f>
        <v/>
      </c>
    </row>
    <row r="95876">
      <c r="A95876" s="1" t="n">
        <v>95875</v>
      </c>
      <c r="B95876">
        <f>TEXT(95875, "[$-0E0000]yyyy-mm-dd")</f>
        <v/>
      </c>
    </row>
    <row r="95877">
      <c r="A95877" s="1" t="n">
        <v>95876</v>
      </c>
      <c r="B95877">
        <f>TEXT(95876, "[$-0E0000]yyyy-mm-dd")</f>
        <v/>
      </c>
    </row>
    <row r="95878">
      <c r="A95878" s="1" t="n">
        <v>95877</v>
      </c>
      <c r="B95878">
        <f>TEXT(95877, "[$-0E0000]yyyy-mm-dd")</f>
        <v/>
      </c>
    </row>
    <row r="95879">
      <c r="A95879" s="1" t="n">
        <v>95878</v>
      </c>
      <c r="B95879">
        <f>TEXT(95878, "[$-0E0000]yyyy-mm-dd")</f>
        <v/>
      </c>
    </row>
    <row r="95880">
      <c r="A95880" s="1" t="n">
        <v>95879</v>
      </c>
      <c r="B95880">
        <f>TEXT(95879, "[$-0E0000]yyyy-mm-dd")</f>
        <v/>
      </c>
    </row>
    <row r="95881">
      <c r="A95881" s="1" t="n">
        <v>95880</v>
      </c>
      <c r="B95881">
        <f>TEXT(95880, "[$-0E0000]yyyy-mm-dd")</f>
        <v/>
      </c>
    </row>
    <row r="95882">
      <c r="A95882" s="1" t="n">
        <v>95881</v>
      </c>
      <c r="B95882">
        <f>TEXT(95881, "[$-0E0000]yyyy-mm-dd")</f>
        <v/>
      </c>
    </row>
    <row r="95883">
      <c r="A95883" s="1" t="n">
        <v>95882</v>
      </c>
      <c r="B95883">
        <f>TEXT(95882, "[$-0E0000]yyyy-mm-dd")</f>
        <v/>
      </c>
    </row>
    <row r="95884">
      <c r="A95884" s="1" t="n">
        <v>95883</v>
      </c>
      <c r="B95884">
        <f>TEXT(95883, "[$-0E0000]yyyy-mm-dd")</f>
        <v/>
      </c>
    </row>
    <row r="95885">
      <c r="A95885" s="1" t="n">
        <v>95884</v>
      </c>
      <c r="B95885">
        <f>TEXT(95884, "[$-0E0000]yyyy-mm-dd")</f>
        <v/>
      </c>
    </row>
    <row r="95886">
      <c r="A95886" s="1" t="n">
        <v>95885</v>
      </c>
      <c r="B95886">
        <f>TEXT(95885, "[$-0E0000]yyyy-mm-dd")</f>
        <v/>
      </c>
    </row>
    <row r="95887">
      <c r="A95887" s="1" t="n">
        <v>95886</v>
      </c>
      <c r="B95887">
        <f>TEXT(95886, "[$-0E0000]yyyy-mm-dd")</f>
        <v/>
      </c>
    </row>
    <row r="95888">
      <c r="A95888" s="1" t="n">
        <v>95887</v>
      </c>
      <c r="B95888">
        <f>TEXT(95887, "[$-0E0000]yyyy-mm-dd")</f>
        <v/>
      </c>
    </row>
    <row r="95889">
      <c r="A95889" s="1" t="n">
        <v>95888</v>
      </c>
      <c r="B95889">
        <f>TEXT(95888, "[$-0E0000]yyyy-mm-dd")</f>
        <v/>
      </c>
    </row>
    <row r="95890">
      <c r="A95890" s="1" t="n">
        <v>95889</v>
      </c>
      <c r="B95890">
        <f>TEXT(95889, "[$-0E0000]yyyy-mm-dd")</f>
        <v/>
      </c>
    </row>
    <row r="95891">
      <c r="A95891" s="1" t="n">
        <v>95890</v>
      </c>
      <c r="B95891">
        <f>TEXT(95890, "[$-0E0000]yyyy-mm-dd")</f>
        <v/>
      </c>
    </row>
    <row r="95892">
      <c r="A95892" s="1" t="n">
        <v>95891</v>
      </c>
      <c r="B95892">
        <f>TEXT(95891, "[$-0E0000]yyyy-mm-dd")</f>
        <v/>
      </c>
    </row>
    <row r="95893">
      <c r="A95893" s="1" t="n">
        <v>95892</v>
      </c>
      <c r="B95893">
        <f>TEXT(95892, "[$-0E0000]yyyy-mm-dd")</f>
        <v/>
      </c>
    </row>
    <row r="95894">
      <c r="A95894" s="1" t="n">
        <v>95893</v>
      </c>
      <c r="B95894">
        <f>TEXT(95893, "[$-0E0000]yyyy-mm-dd")</f>
        <v/>
      </c>
    </row>
    <row r="95895">
      <c r="A95895" s="1" t="n">
        <v>95894</v>
      </c>
      <c r="B95895">
        <f>TEXT(95894, "[$-0E0000]yyyy-mm-dd")</f>
        <v/>
      </c>
    </row>
    <row r="95896">
      <c r="A95896" s="1" t="n">
        <v>95895</v>
      </c>
      <c r="B95896">
        <f>TEXT(95895, "[$-0E0000]yyyy-mm-dd")</f>
        <v/>
      </c>
    </row>
    <row r="95897">
      <c r="A95897" s="1" t="n">
        <v>95896</v>
      </c>
      <c r="B95897">
        <f>TEXT(95896, "[$-0E0000]yyyy-mm-dd")</f>
        <v/>
      </c>
    </row>
    <row r="95898">
      <c r="A95898" s="1" t="n">
        <v>95897</v>
      </c>
      <c r="B95898">
        <f>TEXT(95897, "[$-0E0000]yyyy-mm-dd")</f>
        <v/>
      </c>
    </row>
    <row r="95899">
      <c r="A95899" s="1" t="n">
        <v>95898</v>
      </c>
      <c r="B95899">
        <f>TEXT(95898, "[$-0E0000]yyyy-mm-dd")</f>
        <v/>
      </c>
    </row>
    <row r="95900">
      <c r="A95900" s="1" t="n">
        <v>95899</v>
      </c>
      <c r="B95900">
        <f>TEXT(95899, "[$-0E0000]yyyy-mm-dd")</f>
        <v/>
      </c>
    </row>
    <row r="95901">
      <c r="A95901" s="1" t="n">
        <v>95900</v>
      </c>
      <c r="B95901">
        <f>TEXT(95900, "[$-0E0000]yyyy-mm-dd")</f>
        <v/>
      </c>
    </row>
    <row r="95902">
      <c r="A95902" s="1" t="n">
        <v>95901</v>
      </c>
      <c r="B95902">
        <f>TEXT(95901, "[$-0E0000]yyyy-mm-dd")</f>
        <v/>
      </c>
    </row>
    <row r="95903">
      <c r="A95903" s="1" t="n">
        <v>95902</v>
      </c>
      <c r="B95903">
        <f>TEXT(95902, "[$-0E0000]yyyy-mm-dd")</f>
        <v/>
      </c>
    </row>
    <row r="95904">
      <c r="A95904" s="1" t="n">
        <v>95903</v>
      </c>
      <c r="B95904">
        <f>TEXT(95903, "[$-0E0000]yyyy-mm-dd")</f>
        <v/>
      </c>
    </row>
    <row r="95905">
      <c r="A95905" s="1" t="n">
        <v>95904</v>
      </c>
      <c r="B95905">
        <f>TEXT(95904, "[$-0E0000]yyyy-mm-dd")</f>
        <v/>
      </c>
    </row>
    <row r="95906">
      <c r="A95906" s="1" t="n">
        <v>95905</v>
      </c>
      <c r="B95906">
        <f>TEXT(95905, "[$-0E0000]yyyy-mm-dd")</f>
        <v/>
      </c>
    </row>
    <row r="95907">
      <c r="A95907" s="1" t="n">
        <v>95906</v>
      </c>
      <c r="B95907">
        <f>TEXT(95906, "[$-0E0000]yyyy-mm-dd")</f>
        <v/>
      </c>
    </row>
    <row r="95908">
      <c r="A95908" s="1" t="n">
        <v>95907</v>
      </c>
      <c r="B95908">
        <f>TEXT(95907, "[$-0E0000]yyyy-mm-dd")</f>
        <v/>
      </c>
    </row>
    <row r="95909">
      <c r="A95909" s="1" t="n">
        <v>95908</v>
      </c>
      <c r="B95909">
        <f>TEXT(95908, "[$-0E0000]yyyy-mm-dd")</f>
        <v/>
      </c>
    </row>
    <row r="95910">
      <c r="A95910" s="1" t="n">
        <v>95909</v>
      </c>
      <c r="B95910">
        <f>TEXT(95909, "[$-0E0000]yyyy-mm-dd")</f>
        <v/>
      </c>
    </row>
    <row r="95911">
      <c r="A95911" s="1" t="n">
        <v>95910</v>
      </c>
      <c r="B95911">
        <f>TEXT(95910, "[$-0E0000]yyyy-mm-dd")</f>
        <v/>
      </c>
    </row>
    <row r="95912">
      <c r="A95912" s="1" t="n">
        <v>95911</v>
      </c>
      <c r="B95912">
        <f>TEXT(95911, "[$-0E0000]yyyy-mm-dd")</f>
        <v/>
      </c>
    </row>
    <row r="95913">
      <c r="A95913" s="1" t="n">
        <v>95912</v>
      </c>
      <c r="B95913">
        <f>TEXT(95912, "[$-0E0000]yyyy-mm-dd")</f>
        <v/>
      </c>
    </row>
    <row r="95914">
      <c r="A95914" s="1" t="n">
        <v>95913</v>
      </c>
      <c r="B95914">
        <f>TEXT(95913, "[$-0E0000]yyyy-mm-dd")</f>
        <v/>
      </c>
    </row>
    <row r="95915">
      <c r="A95915" s="1" t="n">
        <v>95914</v>
      </c>
      <c r="B95915">
        <f>TEXT(95914, "[$-0E0000]yyyy-mm-dd")</f>
        <v/>
      </c>
    </row>
    <row r="95916">
      <c r="A95916" s="1" t="n">
        <v>95915</v>
      </c>
      <c r="B95916">
        <f>TEXT(95915, "[$-0E0000]yyyy-mm-dd")</f>
        <v/>
      </c>
    </row>
    <row r="95917">
      <c r="A95917" s="1" t="n">
        <v>95916</v>
      </c>
      <c r="B95917">
        <f>TEXT(95916, "[$-0E0000]yyyy-mm-dd")</f>
        <v/>
      </c>
    </row>
    <row r="95918">
      <c r="A95918" s="1" t="n">
        <v>95917</v>
      </c>
      <c r="B95918">
        <f>TEXT(95917, "[$-0E0000]yyyy-mm-dd")</f>
        <v/>
      </c>
    </row>
    <row r="95919">
      <c r="A95919" s="1" t="n">
        <v>95918</v>
      </c>
      <c r="B95919">
        <f>TEXT(95918, "[$-0E0000]yyyy-mm-dd")</f>
        <v/>
      </c>
    </row>
    <row r="95920">
      <c r="A95920" s="1" t="n">
        <v>95919</v>
      </c>
      <c r="B95920">
        <f>TEXT(95919, "[$-0E0000]yyyy-mm-dd")</f>
        <v/>
      </c>
    </row>
    <row r="95921">
      <c r="A95921" s="1" t="n">
        <v>95920</v>
      </c>
      <c r="B95921">
        <f>TEXT(95920, "[$-0E0000]yyyy-mm-dd")</f>
        <v/>
      </c>
    </row>
    <row r="95922">
      <c r="A95922" s="1" t="n">
        <v>95921</v>
      </c>
      <c r="B95922">
        <f>TEXT(95921, "[$-0E0000]yyyy-mm-dd")</f>
        <v/>
      </c>
    </row>
    <row r="95923">
      <c r="A95923" s="1" t="n">
        <v>95922</v>
      </c>
      <c r="B95923">
        <f>TEXT(95922, "[$-0E0000]yyyy-mm-dd")</f>
        <v/>
      </c>
    </row>
    <row r="95924">
      <c r="A95924" s="1" t="n">
        <v>95923</v>
      </c>
      <c r="B95924">
        <f>TEXT(95923, "[$-0E0000]yyyy-mm-dd")</f>
        <v/>
      </c>
    </row>
    <row r="95925">
      <c r="A95925" s="1" t="n">
        <v>95924</v>
      </c>
      <c r="B95925">
        <f>TEXT(95924, "[$-0E0000]yyyy-mm-dd")</f>
        <v/>
      </c>
    </row>
    <row r="95926">
      <c r="A95926" s="1" t="n">
        <v>95925</v>
      </c>
      <c r="B95926">
        <f>TEXT(95925, "[$-0E0000]yyyy-mm-dd")</f>
        <v/>
      </c>
    </row>
    <row r="95927">
      <c r="A95927" s="1" t="n">
        <v>95926</v>
      </c>
      <c r="B95927">
        <f>TEXT(95926, "[$-0E0000]yyyy-mm-dd")</f>
        <v/>
      </c>
    </row>
    <row r="95928">
      <c r="A95928" s="1" t="n">
        <v>95927</v>
      </c>
      <c r="B95928">
        <f>TEXT(95927, "[$-0E0000]yyyy-mm-dd")</f>
        <v/>
      </c>
    </row>
    <row r="95929">
      <c r="A95929" s="1" t="n">
        <v>95928</v>
      </c>
      <c r="B95929">
        <f>TEXT(95928, "[$-0E0000]yyyy-mm-dd")</f>
        <v/>
      </c>
    </row>
    <row r="95930">
      <c r="A95930" s="1" t="n">
        <v>95929</v>
      </c>
      <c r="B95930">
        <f>TEXT(95929, "[$-0E0000]yyyy-mm-dd")</f>
        <v/>
      </c>
    </row>
    <row r="95931">
      <c r="A95931" s="1" t="n">
        <v>95930</v>
      </c>
      <c r="B95931">
        <f>TEXT(95930, "[$-0E0000]yyyy-mm-dd")</f>
        <v/>
      </c>
    </row>
    <row r="95932">
      <c r="A95932" s="1" t="n">
        <v>95931</v>
      </c>
      <c r="B95932">
        <f>TEXT(95931, "[$-0E0000]yyyy-mm-dd")</f>
        <v/>
      </c>
    </row>
    <row r="95933">
      <c r="A95933" s="1" t="n">
        <v>95932</v>
      </c>
      <c r="B95933">
        <f>TEXT(95932, "[$-0E0000]yyyy-mm-dd")</f>
        <v/>
      </c>
    </row>
    <row r="95934">
      <c r="A95934" s="1" t="n">
        <v>95933</v>
      </c>
      <c r="B95934">
        <f>TEXT(95933, "[$-0E0000]yyyy-mm-dd")</f>
        <v/>
      </c>
    </row>
    <row r="95935">
      <c r="A95935" s="1" t="n">
        <v>95934</v>
      </c>
      <c r="B95935">
        <f>TEXT(95934, "[$-0E0000]yyyy-mm-dd")</f>
        <v/>
      </c>
    </row>
    <row r="95936">
      <c r="A95936" s="1" t="n">
        <v>95935</v>
      </c>
      <c r="B95936">
        <f>TEXT(95935, "[$-0E0000]yyyy-mm-dd")</f>
        <v/>
      </c>
    </row>
    <row r="95937">
      <c r="A95937" s="1" t="n">
        <v>95936</v>
      </c>
      <c r="B95937">
        <f>TEXT(95936, "[$-0E0000]yyyy-mm-dd")</f>
        <v/>
      </c>
    </row>
    <row r="95938">
      <c r="A95938" s="1" t="n">
        <v>95937</v>
      </c>
      <c r="B95938">
        <f>TEXT(95937, "[$-0E0000]yyyy-mm-dd")</f>
        <v/>
      </c>
    </row>
    <row r="95939">
      <c r="A95939" s="1" t="n">
        <v>95938</v>
      </c>
      <c r="B95939">
        <f>TEXT(95938, "[$-0E0000]yyyy-mm-dd")</f>
        <v/>
      </c>
    </row>
    <row r="95940">
      <c r="A95940" s="1" t="n">
        <v>95939</v>
      </c>
      <c r="B95940">
        <f>TEXT(95939, "[$-0E0000]yyyy-mm-dd")</f>
        <v/>
      </c>
    </row>
    <row r="95941">
      <c r="A95941" s="1" t="n">
        <v>95940</v>
      </c>
      <c r="B95941">
        <f>TEXT(95940, "[$-0E0000]yyyy-mm-dd")</f>
        <v/>
      </c>
    </row>
    <row r="95942">
      <c r="A95942" s="1" t="n">
        <v>95941</v>
      </c>
      <c r="B95942">
        <f>TEXT(95941, "[$-0E0000]yyyy-mm-dd")</f>
        <v/>
      </c>
    </row>
    <row r="95943">
      <c r="A95943" s="1" t="n">
        <v>95942</v>
      </c>
      <c r="B95943">
        <f>TEXT(95942, "[$-0E0000]yyyy-mm-dd")</f>
        <v/>
      </c>
    </row>
    <row r="95944">
      <c r="A95944" s="1" t="n">
        <v>95943</v>
      </c>
      <c r="B95944">
        <f>TEXT(95943, "[$-0E0000]yyyy-mm-dd")</f>
        <v/>
      </c>
    </row>
    <row r="95945">
      <c r="A95945" s="1" t="n">
        <v>95944</v>
      </c>
      <c r="B95945">
        <f>TEXT(95944, "[$-0E0000]yyyy-mm-dd")</f>
        <v/>
      </c>
    </row>
    <row r="95946">
      <c r="A95946" s="1" t="n">
        <v>95945</v>
      </c>
      <c r="B95946">
        <f>TEXT(95945, "[$-0E0000]yyyy-mm-dd")</f>
        <v/>
      </c>
    </row>
    <row r="95947">
      <c r="A95947" s="1" t="n">
        <v>95946</v>
      </c>
      <c r="B95947">
        <f>TEXT(95946, "[$-0E0000]yyyy-mm-dd")</f>
        <v/>
      </c>
    </row>
    <row r="95948">
      <c r="A95948" s="1" t="n">
        <v>95947</v>
      </c>
      <c r="B95948">
        <f>TEXT(95947, "[$-0E0000]yyyy-mm-dd")</f>
        <v/>
      </c>
    </row>
    <row r="95949">
      <c r="A95949" s="1" t="n">
        <v>95948</v>
      </c>
      <c r="B95949">
        <f>TEXT(95948, "[$-0E0000]yyyy-mm-dd")</f>
        <v/>
      </c>
    </row>
    <row r="95950">
      <c r="A95950" s="1" t="n">
        <v>95949</v>
      </c>
      <c r="B95950">
        <f>TEXT(95949, "[$-0E0000]yyyy-mm-dd")</f>
        <v/>
      </c>
    </row>
    <row r="95951">
      <c r="A95951" s="1" t="n">
        <v>95950</v>
      </c>
      <c r="B95951">
        <f>TEXT(95950, "[$-0E0000]yyyy-mm-dd")</f>
        <v/>
      </c>
    </row>
    <row r="95952">
      <c r="A95952" s="1" t="n">
        <v>95951</v>
      </c>
      <c r="B95952">
        <f>TEXT(95951, "[$-0E0000]yyyy-mm-dd")</f>
        <v/>
      </c>
    </row>
    <row r="95953">
      <c r="A95953" s="1" t="n">
        <v>95952</v>
      </c>
      <c r="B95953">
        <f>TEXT(95952, "[$-0E0000]yyyy-mm-dd")</f>
        <v/>
      </c>
    </row>
    <row r="95954">
      <c r="A95954" s="1" t="n">
        <v>95953</v>
      </c>
      <c r="B95954">
        <f>TEXT(95953, "[$-0E0000]yyyy-mm-dd")</f>
        <v/>
      </c>
    </row>
    <row r="95955">
      <c r="A95955" s="1" t="n">
        <v>95954</v>
      </c>
      <c r="B95955">
        <f>TEXT(95954, "[$-0E0000]yyyy-mm-dd")</f>
        <v/>
      </c>
    </row>
    <row r="95956">
      <c r="A95956" s="1" t="n">
        <v>95955</v>
      </c>
      <c r="B95956">
        <f>TEXT(95955, "[$-0E0000]yyyy-mm-dd")</f>
        <v/>
      </c>
    </row>
    <row r="95957">
      <c r="A95957" s="1" t="n">
        <v>95956</v>
      </c>
      <c r="B95957">
        <f>TEXT(95956, "[$-0E0000]yyyy-mm-dd")</f>
        <v/>
      </c>
    </row>
    <row r="95958">
      <c r="A95958" s="1" t="n">
        <v>95957</v>
      </c>
      <c r="B95958">
        <f>TEXT(95957, "[$-0E0000]yyyy-mm-dd")</f>
        <v/>
      </c>
    </row>
    <row r="95959">
      <c r="A95959" s="1" t="n">
        <v>95958</v>
      </c>
      <c r="B95959">
        <f>TEXT(95958, "[$-0E0000]yyyy-mm-dd")</f>
        <v/>
      </c>
    </row>
    <row r="95960">
      <c r="A95960" s="1" t="n">
        <v>95959</v>
      </c>
      <c r="B95960">
        <f>TEXT(95959, "[$-0E0000]yyyy-mm-dd")</f>
        <v/>
      </c>
    </row>
    <row r="95961">
      <c r="A95961" s="1" t="n">
        <v>95960</v>
      </c>
      <c r="B95961">
        <f>TEXT(95960, "[$-0E0000]yyyy-mm-dd")</f>
        <v/>
      </c>
    </row>
    <row r="95962">
      <c r="A95962" s="1" t="n">
        <v>95961</v>
      </c>
      <c r="B95962">
        <f>TEXT(95961, "[$-0E0000]yyyy-mm-dd")</f>
        <v/>
      </c>
    </row>
    <row r="95963">
      <c r="A95963" s="1" t="n">
        <v>95962</v>
      </c>
      <c r="B95963">
        <f>TEXT(95962, "[$-0E0000]yyyy-mm-dd")</f>
        <v/>
      </c>
    </row>
    <row r="95964">
      <c r="A95964" s="1" t="n">
        <v>95963</v>
      </c>
      <c r="B95964">
        <f>TEXT(95963, "[$-0E0000]yyyy-mm-dd")</f>
        <v/>
      </c>
    </row>
    <row r="95965">
      <c r="A95965" s="1" t="n">
        <v>95964</v>
      </c>
      <c r="B95965">
        <f>TEXT(95964, "[$-0E0000]yyyy-mm-dd")</f>
        <v/>
      </c>
    </row>
    <row r="95966">
      <c r="A95966" s="1" t="n">
        <v>95965</v>
      </c>
      <c r="B95966">
        <f>TEXT(95965, "[$-0E0000]yyyy-mm-dd")</f>
        <v/>
      </c>
    </row>
    <row r="95967">
      <c r="A95967" s="1" t="n">
        <v>95966</v>
      </c>
      <c r="B95967">
        <f>TEXT(95966, "[$-0E0000]yyyy-mm-dd")</f>
        <v/>
      </c>
    </row>
    <row r="95968">
      <c r="A95968" s="1" t="n">
        <v>95967</v>
      </c>
      <c r="B95968">
        <f>TEXT(95967, "[$-0E0000]yyyy-mm-dd")</f>
        <v/>
      </c>
    </row>
    <row r="95969">
      <c r="A95969" s="1" t="n">
        <v>95968</v>
      </c>
      <c r="B95969">
        <f>TEXT(95968, "[$-0E0000]yyyy-mm-dd")</f>
        <v/>
      </c>
    </row>
    <row r="95970">
      <c r="A95970" s="1" t="n">
        <v>95969</v>
      </c>
      <c r="B95970">
        <f>TEXT(95969, "[$-0E0000]yyyy-mm-dd")</f>
        <v/>
      </c>
    </row>
    <row r="95971">
      <c r="A95971" s="1" t="n">
        <v>95970</v>
      </c>
      <c r="B95971">
        <f>TEXT(95970, "[$-0E0000]yyyy-mm-dd")</f>
        <v/>
      </c>
    </row>
    <row r="95972">
      <c r="A95972" s="1" t="n">
        <v>95971</v>
      </c>
      <c r="B95972">
        <f>TEXT(95971, "[$-0E0000]yyyy-mm-dd")</f>
        <v/>
      </c>
    </row>
    <row r="95973">
      <c r="A95973" s="1" t="n">
        <v>95972</v>
      </c>
      <c r="B95973">
        <f>TEXT(95972, "[$-0E0000]yyyy-mm-dd")</f>
        <v/>
      </c>
    </row>
    <row r="95974">
      <c r="A95974" s="1" t="n">
        <v>95973</v>
      </c>
      <c r="B95974">
        <f>TEXT(95973, "[$-0E0000]yyyy-mm-dd")</f>
        <v/>
      </c>
    </row>
    <row r="95975">
      <c r="A95975" s="1" t="n">
        <v>95974</v>
      </c>
      <c r="B95975">
        <f>TEXT(95974, "[$-0E0000]yyyy-mm-dd")</f>
        <v/>
      </c>
    </row>
    <row r="95976">
      <c r="A95976" s="1" t="n">
        <v>95975</v>
      </c>
      <c r="B95976">
        <f>TEXT(95975, "[$-0E0000]yyyy-mm-dd")</f>
        <v/>
      </c>
    </row>
    <row r="95977">
      <c r="A95977" s="1" t="n">
        <v>95976</v>
      </c>
      <c r="B95977">
        <f>TEXT(95976, "[$-0E0000]yyyy-mm-dd")</f>
        <v/>
      </c>
    </row>
    <row r="95978">
      <c r="A95978" s="1" t="n">
        <v>95977</v>
      </c>
      <c r="B95978">
        <f>TEXT(95977, "[$-0E0000]yyyy-mm-dd")</f>
        <v/>
      </c>
    </row>
    <row r="95979">
      <c r="A95979" s="1" t="n">
        <v>95978</v>
      </c>
      <c r="B95979">
        <f>TEXT(95978, "[$-0E0000]yyyy-mm-dd")</f>
        <v/>
      </c>
    </row>
    <row r="95980">
      <c r="A95980" s="1" t="n">
        <v>95979</v>
      </c>
      <c r="B95980">
        <f>TEXT(95979, "[$-0E0000]yyyy-mm-dd")</f>
        <v/>
      </c>
    </row>
    <row r="95981">
      <c r="A95981" s="1" t="n">
        <v>95980</v>
      </c>
      <c r="B95981">
        <f>TEXT(95980, "[$-0E0000]yyyy-mm-dd")</f>
        <v/>
      </c>
    </row>
    <row r="95982">
      <c r="A95982" s="1" t="n">
        <v>95981</v>
      </c>
      <c r="B95982">
        <f>TEXT(95981, "[$-0E0000]yyyy-mm-dd")</f>
        <v/>
      </c>
    </row>
    <row r="95983">
      <c r="A95983" s="1" t="n">
        <v>95982</v>
      </c>
      <c r="B95983">
        <f>TEXT(95982, "[$-0E0000]yyyy-mm-dd")</f>
        <v/>
      </c>
    </row>
    <row r="95984">
      <c r="A95984" s="1" t="n">
        <v>95983</v>
      </c>
      <c r="B95984">
        <f>TEXT(95983, "[$-0E0000]yyyy-mm-dd")</f>
        <v/>
      </c>
    </row>
    <row r="95985">
      <c r="A95985" s="1" t="n">
        <v>95984</v>
      </c>
      <c r="B95985">
        <f>TEXT(95984, "[$-0E0000]yyyy-mm-dd")</f>
        <v/>
      </c>
    </row>
    <row r="95986">
      <c r="A95986" s="1" t="n">
        <v>95985</v>
      </c>
      <c r="B95986">
        <f>TEXT(95985, "[$-0E0000]yyyy-mm-dd")</f>
        <v/>
      </c>
    </row>
    <row r="95987">
      <c r="A95987" s="1" t="n">
        <v>95986</v>
      </c>
      <c r="B95987">
        <f>TEXT(95986, "[$-0E0000]yyyy-mm-dd")</f>
        <v/>
      </c>
    </row>
    <row r="95988">
      <c r="A95988" s="1" t="n">
        <v>95987</v>
      </c>
      <c r="B95988">
        <f>TEXT(95987, "[$-0E0000]yyyy-mm-dd")</f>
        <v/>
      </c>
    </row>
    <row r="95989">
      <c r="A95989" s="1" t="n">
        <v>95988</v>
      </c>
      <c r="B95989">
        <f>TEXT(95988, "[$-0E0000]yyyy-mm-dd")</f>
        <v/>
      </c>
    </row>
    <row r="95990">
      <c r="A95990" s="1" t="n">
        <v>95989</v>
      </c>
      <c r="B95990">
        <f>TEXT(95989, "[$-0E0000]yyyy-mm-dd")</f>
        <v/>
      </c>
    </row>
    <row r="95991">
      <c r="A95991" s="1" t="n">
        <v>95990</v>
      </c>
      <c r="B95991">
        <f>TEXT(95990, "[$-0E0000]yyyy-mm-dd")</f>
        <v/>
      </c>
    </row>
    <row r="95992">
      <c r="A95992" s="1" t="n">
        <v>95991</v>
      </c>
      <c r="B95992">
        <f>TEXT(95991, "[$-0E0000]yyyy-mm-dd")</f>
        <v/>
      </c>
    </row>
    <row r="95993">
      <c r="A95993" s="1" t="n">
        <v>95992</v>
      </c>
      <c r="B95993">
        <f>TEXT(95992, "[$-0E0000]yyyy-mm-dd")</f>
        <v/>
      </c>
    </row>
    <row r="95994">
      <c r="A95994" s="1" t="n">
        <v>95993</v>
      </c>
      <c r="B95994">
        <f>TEXT(95993, "[$-0E0000]yyyy-mm-dd")</f>
        <v/>
      </c>
    </row>
    <row r="95995">
      <c r="A95995" s="1" t="n">
        <v>95994</v>
      </c>
      <c r="B95995">
        <f>TEXT(95994, "[$-0E0000]yyyy-mm-dd")</f>
        <v/>
      </c>
    </row>
    <row r="95996">
      <c r="A95996" s="1" t="n">
        <v>95995</v>
      </c>
      <c r="B95996">
        <f>TEXT(95995, "[$-0E0000]yyyy-mm-dd")</f>
        <v/>
      </c>
    </row>
    <row r="95997">
      <c r="A95997" s="1" t="n">
        <v>95996</v>
      </c>
      <c r="B95997">
        <f>TEXT(95996, "[$-0E0000]yyyy-mm-dd")</f>
        <v/>
      </c>
    </row>
    <row r="95998">
      <c r="A95998" s="1" t="n">
        <v>95997</v>
      </c>
      <c r="B95998">
        <f>TEXT(95997, "[$-0E0000]yyyy-mm-dd")</f>
        <v/>
      </c>
    </row>
    <row r="95999">
      <c r="A95999" s="1" t="n">
        <v>95998</v>
      </c>
      <c r="B95999">
        <f>TEXT(95998, "[$-0E0000]yyyy-mm-dd")</f>
        <v/>
      </c>
    </row>
    <row r="96000">
      <c r="A96000" s="1" t="n">
        <v>95999</v>
      </c>
      <c r="B96000">
        <f>TEXT(95999, "[$-0E0000]yyyy-mm-dd")</f>
        <v/>
      </c>
    </row>
    <row r="96001">
      <c r="A96001" s="1" t="n">
        <v>96000</v>
      </c>
      <c r="B96001">
        <f>TEXT(96000, "[$-0E0000]yyyy-mm-dd")</f>
        <v/>
      </c>
    </row>
    <row r="96002">
      <c r="A96002" s="1" t="n">
        <v>96001</v>
      </c>
      <c r="B96002">
        <f>TEXT(96001, "[$-0E0000]yyyy-mm-dd")</f>
        <v/>
      </c>
    </row>
    <row r="96003">
      <c r="A96003" s="1" t="n">
        <v>96002</v>
      </c>
      <c r="B96003">
        <f>TEXT(96002, "[$-0E0000]yyyy-mm-dd")</f>
        <v/>
      </c>
    </row>
    <row r="96004">
      <c r="A96004" s="1" t="n">
        <v>96003</v>
      </c>
      <c r="B96004">
        <f>TEXT(96003, "[$-0E0000]yyyy-mm-dd")</f>
        <v/>
      </c>
    </row>
    <row r="96005">
      <c r="A96005" s="1" t="n">
        <v>96004</v>
      </c>
      <c r="B96005">
        <f>TEXT(96004, "[$-0E0000]yyyy-mm-dd")</f>
        <v/>
      </c>
    </row>
    <row r="96006">
      <c r="A96006" s="1" t="n">
        <v>96005</v>
      </c>
      <c r="B96006">
        <f>TEXT(96005, "[$-0E0000]yyyy-mm-dd")</f>
        <v/>
      </c>
    </row>
    <row r="96007">
      <c r="A96007" s="1" t="n">
        <v>96006</v>
      </c>
      <c r="B96007">
        <f>TEXT(96006, "[$-0E0000]yyyy-mm-dd")</f>
        <v/>
      </c>
    </row>
    <row r="96008">
      <c r="A96008" s="1" t="n">
        <v>96007</v>
      </c>
      <c r="B96008">
        <f>TEXT(96007, "[$-0E0000]yyyy-mm-dd")</f>
        <v/>
      </c>
    </row>
    <row r="96009">
      <c r="A96009" s="1" t="n">
        <v>96008</v>
      </c>
      <c r="B96009">
        <f>TEXT(96008, "[$-0E0000]yyyy-mm-dd")</f>
        <v/>
      </c>
    </row>
    <row r="96010">
      <c r="A96010" s="1" t="n">
        <v>96009</v>
      </c>
      <c r="B96010">
        <f>TEXT(96009, "[$-0E0000]yyyy-mm-dd")</f>
        <v/>
      </c>
    </row>
    <row r="96011">
      <c r="A96011" s="1" t="n">
        <v>96010</v>
      </c>
      <c r="B96011">
        <f>TEXT(96010, "[$-0E0000]yyyy-mm-dd")</f>
        <v/>
      </c>
    </row>
    <row r="96012">
      <c r="A96012" s="1" t="n">
        <v>96011</v>
      </c>
      <c r="B96012">
        <f>TEXT(96011, "[$-0E0000]yyyy-mm-dd")</f>
        <v/>
      </c>
    </row>
    <row r="96013">
      <c r="A96013" s="1" t="n">
        <v>96012</v>
      </c>
      <c r="B96013">
        <f>TEXT(96012, "[$-0E0000]yyyy-mm-dd")</f>
        <v/>
      </c>
    </row>
    <row r="96014">
      <c r="A96014" s="1" t="n">
        <v>96013</v>
      </c>
      <c r="B96014">
        <f>TEXT(96013, "[$-0E0000]yyyy-mm-dd")</f>
        <v/>
      </c>
    </row>
    <row r="96015">
      <c r="A96015" s="1" t="n">
        <v>96014</v>
      </c>
      <c r="B96015">
        <f>TEXT(96014, "[$-0E0000]yyyy-mm-dd")</f>
        <v/>
      </c>
    </row>
    <row r="96016">
      <c r="A96016" s="1" t="n">
        <v>96015</v>
      </c>
      <c r="B96016">
        <f>TEXT(96015, "[$-0E0000]yyyy-mm-dd")</f>
        <v/>
      </c>
    </row>
    <row r="96017">
      <c r="A96017" s="1" t="n">
        <v>96016</v>
      </c>
      <c r="B96017">
        <f>TEXT(96016, "[$-0E0000]yyyy-mm-dd")</f>
        <v/>
      </c>
    </row>
    <row r="96018">
      <c r="A96018" s="1" t="n">
        <v>96017</v>
      </c>
      <c r="B96018">
        <f>TEXT(96017, "[$-0E0000]yyyy-mm-dd")</f>
        <v/>
      </c>
    </row>
    <row r="96019">
      <c r="A96019" s="1" t="n">
        <v>96018</v>
      </c>
      <c r="B96019">
        <f>TEXT(96018, "[$-0E0000]yyyy-mm-dd")</f>
        <v/>
      </c>
    </row>
    <row r="96020">
      <c r="A96020" s="1" t="n">
        <v>96019</v>
      </c>
      <c r="B96020">
        <f>TEXT(96019, "[$-0E0000]yyyy-mm-dd")</f>
        <v/>
      </c>
    </row>
    <row r="96021">
      <c r="A96021" s="1" t="n">
        <v>96020</v>
      </c>
      <c r="B96021">
        <f>TEXT(96020, "[$-0E0000]yyyy-mm-dd")</f>
        <v/>
      </c>
    </row>
    <row r="96022">
      <c r="A96022" s="1" t="n">
        <v>96021</v>
      </c>
      <c r="B96022">
        <f>TEXT(96021, "[$-0E0000]yyyy-mm-dd")</f>
        <v/>
      </c>
    </row>
    <row r="96023">
      <c r="A96023" s="1" t="n">
        <v>96022</v>
      </c>
      <c r="B96023">
        <f>TEXT(96022, "[$-0E0000]yyyy-mm-dd")</f>
        <v/>
      </c>
    </row>
    <row r="96024">
      <c r="A96024" s="1" t="n">
        <v>96023</v>
      </c>
      <c r="B96024">
        <f>TEXT(96023, "[$-0E0000]yyyy-mm-dd")</f>
        <v/>
      </c>
    </row>
    <row r="96025">
      <c r="A96025" s="1" t="n">
        <v>96024</v>
      </c>
      <c r="B96025">
        <f>TEXT(96024, "[$-0E0000]yyyy-mm-dd")</f>
        <v/>
      </c>
    </row>
    <row r="96026">
      <c r="A96026" s="1" t="n">
        <v>96025</v>
      </c>
      <c r="B96026">
        <f>TEXT(96025, "[$-0E0000]yyyy-mm-dd")</f>
        <v/>
      </c>
    </row>
    <row r="96027">
      <c r="A96027" s="1" t="n">
        <v>96026</v>
      </c>
      <c r="B96027">
        <f>TEXT(96026, "[$-0E0000]yyyy-mm-dd")</f>
        <v/>
      </c>
    </row>
    <row r="96028">
      <c r="A96028" s="1" t="n">
        <v>96027</v>
      </c>
      <c r="B96028">
        <f>TEXT(96027, "[$-0E0000]yyyy-mm-dd")</f>
        <v/>
      </c>
    </row>
    <row r="96029">
      <c r="A96029" s="1" t="n">
        <v>96028</v>
      </c>
      <c r="B96029">
        <f>TEXT(96028, "[$-0E0000]yyyy-mm-dd")</f>
        <v/>
      </c>
    </row>
    <row r="96030">
      <c r="A96030" s="1" t="n">
        <v>96029</v>
      </c>
      <c r="B96030">
        <f>TEXT(96029, "[$-0E0000]yyyy-mm-dd")</f>
        <v/>
      </c>
    </row>
    <row r="96031">
      <c r="A96031" s="1" t="n">
        <v>96030</v>
      </c>
      <c r="B96031">
        <f>TEXT(96030, "[$-0E0000]yyyy-mm-dd")</f>
        <v/>
      </c>
    </row>
    <row r="96032">
      <c r="A96032" s="1" t="n">
        <v>96031</v>
      </c>
      <c r="B96032">
        <f>TEXT(96031, "[$-0E0000]yyyy-mm-dd")</f>
        <v/>
      </c>
    </row>
    <row r="96033">
      <c r="A96033" s="1" t="n">
        <v>96032</v>
      </c>
      <c r="B96033">
        <f>TEXT(96032, "[$-0E0000]yyyy-mm-dd")</f>
        <v/>
      </c>
    </row>
    <row r="96034">
      <c r="A96034" s="1" t="n">
        <v>96033</v>
      </c>
      <c r="B96034">
        <f>TEXT(96033, "[$-0E0000]yyyy-mm-dd")</f>
        <v/>
      </c>
    </row>
    <row r="96035">
      <c r="A96035" s="1" t="n">
        <v>96034</v>
      </c>
      <c r="B96035">
        <f>TEXT(96034, "[$-0E0000]yyyy-mm-dd")</f>
        <v/>
      </c>
    </row>
    <row r="96036">
      <c r="A96036" s="1" t="n">
        <v>96035</v>
      </c>
      <c r="B96036">
        <f>TEXT(96035, "[$-0E0000]yyyy-mm-dd")</f>
        <v/>
      </c>
    </row>
    <row r="96037">
      <c r="A96037" s="1" t="n">
        <v>96036</v>
      </c>
      <c r="B96037">
        <f>TEXT(96036, "[$-0E0000]yyyy-mm-dd")</f>
        <v/>
      </c>
    </row>
    <row r="96038">
      <c r="A96038" s="1" t="n">
        <v>96037</v>
      </c>
      <c r="B96038">
        <f>TEXT(96037, "[$-0E0000]yyyy-mm-dd")</f>
        <v/>
      </c>
    </row>
    <row r="96039">
      <c r="A96039" s="1" t="n">
        <v>96038</v>
      </c>
      <c r="B96039">
        <f>TEXT(96038, "[$-0E0000]yyyy-mm-dd")</f>
        <v/>
      </c>
    </row>
    <row r="96040">
      <c r="A96040" s="1" t="n">
        <v>96039</v>
      </c>
      <c r="B96040">
        <f>TEXT(96039, "[$-0E0000]yyyy-mm-dd")</f>
        <v/>
      </c>
    </row>
    <row r="96041">
      <c r="A96041" s="1" t="n">
        <v>96040</v>
      </c>
      <c r="B96041">
        <f>TEXT(96040, "[$-0E0000]yyyy-mm-dd")</f>
        <v/>
      </c>
    </row>
    <row r="96042">
      <c r="A96042" s="1" t="n">
        <v>96041</v>
      </c>
      <c r="B96042">
        <f>TEXT(96041, "[$-0E0000]yyyy-mm-dd")</f>
        <v/>
      </c>
    </row>
    <row r="96043">
      <c r="A96043" s="1" t="n">
        <v>96042</v>
      </c>
      <c r="B96043">
        <f>TEXT(96042, "[$-0E0000]yyyy-mm-dd")</f>
        <v/>
      </c>
    </row>
    <row r="96044">
      <c r="A96044" s="1" t="n">
        <v>96043</v>
      </c>
      <c r="B96044">
        <f>TEXT(96043, "[$-0E0000]yyyy-mm-dd")</f>
        <v/>
      </c>
    </row>
    <row r="96045">
      <c r="A96045" s="1" t="n">
        <v>96044</v>
      </c>
      <c r="B96045">
        <f>TEXT(96044, "[$-0E0000]yyyy-mm-dd")</f>
        <v/>
      </c>
    </row>
    <row r="96046">
      <c r="A96046" s="1" t="n">
        <v>96045</v>
      </c>
      <c r="B96046">
        <f>TEXT(96045, "[$-0E0000]yyyy-mm-dd")</f>
        <v/>
      </c>
    </row>
    <row r="96047">
      <c r="A96047" s="1" t="n">
        <v>96046</v>
      </c>
      <c r="B96047">
        <f>TEXT(96046, "[$-0E0000]yyyy-mm-dd")</f>
        <v/>
      </c>
    </row>
    <row r="96048">
      <c r="A96048" s="1" t="n">
        <v>96047</v>
      </c>
      <c r="B96048">
        <f>TEXT(96047, "[$-0E0000]yyyy-mm-dd")</f>
        <v/>
      </c>
    </row>
    <row r="96049">
      <c r="A96049" s="1" t="n">
        <v>96048</v>
      </c>
      <c r="B96049">
        <f>TEXT(96048, "[$-0E0000]yyyy-mm-dd")</f>
        <v/>
      </c>
    </row>
    <row r="96050">
      <c r="A96050" s="1" t="n">
        <v>96049</v>
      </c>
      <c r="B96050">
        <f>TEXT(96049, "[$-0E0000]yyyy-mm-dd")</f>
        <v/>
      </c>
    </row>
    <row r="96051">
      <c r="A96051" s="1" t="n">
        <v>96050</v>
      </c>
      <c r="B96051">
        <f>TEXT(96050, "[$-0E0000]yyyy-mm-dd")</f>
        <v/>
      </c>
    </row>
    <row r="96052">
      <c r="A96052" s="1" t="n">
        <v>96051</v>
      </c>
      <c r="B96052">
        <f>TEXT(96051, "[$-0E0000]yyyy-mm-dd")</f>
        <v/>
      </c>
    </row>
    <row r="96053">
      <c r="A96053" s="1" t="n">
        <v>96052</v>
      </c>
      <c r="B96053">
        <f>TEXT(96052, "[$-0E0000]yyyy-mm-dd")</f>
        <v/>
      </c>
    </row>
    <row r="96054">
      <c r="A96054" s="1" t="n">
        <v>96053</v>
      </c>
      <c r="B96054">
        <f>TEXT(96053, "[$-0E0000]yyyy-mm-dd")</f>
        <v/>
      </c>
    </row>
    <row r="96055">
      <c r="A96055" s="1" t="n">
        <v>96054</v>
      </c>
      <c r="B96055">
        <f>TEXT(96054, "[$-0E0000]yyyy-mm-dd")</f>
        <v/>
      </c>
    </row>
    <row r="96056">
      <c r="A96056" s="1" t="n">
        <v>96055</v>
      </c>
      <c r="B96056">
        <f>TEXT(96055, "[$-0E0000]yyyy-mm-dd")</f>
        <v/>
      </c>
    </row>
    <row r="96057">
      <c r="A96057" s="1" t="n">
        <v>96056</v>
      </c>
      <c r="B96057">
        <f>TEXT(96056, "[$-0E0000]yyyy-mm-dd")</f>
        <v/>
      </c>
    </row>
    <row r="96058">
      <c r="A96058" s="1" t="n">
        <v>96057</v>
      </c>
      <c r="B96058">
        <f>TEXT(96057, "[$-0E0000]yyyy-mm-dd")</f>
        <v/>
      </c>
    </row>
    <row r="96059">
      <c r="A96059" s="1" t="n">
        <v>96058</v>
      </c>
      <c r="B96059">
        <f>TEXT(96058, "[$-0E0000]yyyy-mm-dd")</f>
        <v/>
      </c>
    </row>
    <row r="96060">
      <c r="A96060" s="1" t="n">
        <v>96059</v>
      </c>
      <c r="B96060">
        <f>TEXT(96059, "[$-0E0000]yyyy-mm-dd")</f>
        <v/>
      </c>
    </row>
    <row r="96061">
      <c r="A96061" s="1" t="n">
        <v>96060</v>
      </c>
      <c r="B96061">
        <f>TEXT(96060, "[$-0E0000]yyyy-mm-dd")</f>
        <v/>
      </c>
    </row>
    <row r="96062">
      <c r="A96062" s="1" t="n">
        <v>96061</v>
      </c>
      <c r="B96062">
        <f>TEXT(96061, "[$-0E0000]yyyy-mm-dd")</f>
        <v/>
      </c>
    </row>
    <row r="96063">
      <c r="A96063" s="1" t="n">
        <v>96062</v>
      </c>
      <c r="B96063">
        <f>TEXT(96062, "[$-0E0000]yyyy-mm-dd")</f>
        <v/>
      </c>
    </row>
    <row r="96064">
      <c r="A96064" s="1" t="n">
        <v>96063</v>
      </c>
      <c r="B96064">
        <f>TEXT(96063, "[$-0E0000]yyyy-mm-dd")</f>
        <v/>
      </c>
    </row>
    <row r="96065">
      <c r="A96065" s="1" t="n">
        <v>96064</v>
      </c>
      <c r="B96065">
        <f>TEXT(96064, "[$-0E0000]yyyy-mm-dd")</f>
        <v/>
      </c>
    </row>
    <row r="96066">
      <c r="A96066" s="1" t="n">
        <v>96065</v>
      </c>
      <c r="B96066">
        <f>TEXT(96065, "[$-0E0000]yyyy-mm-dd")</f>
        <v/>
      </c>
    </row>
    <row r="96067">
      <c r="A96067" s="1" t="n">
        <v>96066</v>
      </c>
      <c r="B96067">
        <f>TEXT(96066, "[$-0E0000]yyyy-mm-dd")</f>
        <v/>
      </c>
    </row>
    <row r="96068">
      <c r="A96068" s="1" t="n">
        <v>96067</v>
      </c>
      <c r="B96068">
        <f>TEXT(96067, "[$-0E0000]yyyy-mm-dd")</f>
        <v/>
      </c>
    </row>
    <row r="96069">
      <c r="A96069" s="1" t="n">
        <v>96068</v>
      </c>
      <c r="B96069">
        <f>TEXT(96068, "[$-0E0000]yyyy-mm-dd")</f>
        <v/>
      </c>
    </row>
    <row r="96070">
      <c r="A96070" s="1" t="n">
        <v>96069</v>
      </c>
      <c r="B96070">
        <f>TEXT(96069, "[$-0E0000]yyyy-mm-dd")</f>
        <v/>
      </c>
    </row>
    <row r="96071">
      <c r="A96071" s="1" t="n">
        <v>96070</v>
      </c>
      <c r="B96071">
        <f>TEXT(96070, "[$-0E0000]yyyy-mm-dd")</f>
        <v/>
      </c>
    </row>
    <row r="96072">
      <c r="A96072" s="1" t="n">
        <v>96071</v>
      </c>
      <c r="B96072">
        <f>TEXT(96071, "[$-0E0000]yyyy-mm-dd")</f>
        <v/>
      </c>
    </row>
    <row r="96073">
      <c r="A96073" s="1" t="n">
        <v>96072</v>
      </c>
      <c r="B96073">
        <f>TEXT(96072, "[$-0E0000]yyyy-mm-dd")</f>
        <v/>
      </c>
    </row>
    <row r="96074">
      <c r="A96074" s="1" t="n">
        <v>96073</v>
      </c>
      <c r="B96074">
        <f>TEXT(96073, "[$-0E0000]yyyy-mm-dd")</f>
        <v/>
      </c>
    </row>
    <row r="96075">
      <c r="A96075" s="1" t="n">
        <v>96074</v>
      </c>
      <c r="B96075">
        <f>TEXT(96074, "[$-0E0000]yyyy-mm-dd")</f>
        <v/>
      </c>
    </row>
    <row r="96076">
      <c r="A96076" s="1" t="n">
        <v>96075</v>
      </c>
      <c r="B96076">
        <f>TEXT(96075, "[$-0E0000]yyyy-mm-dd")</f>
        <v/>
      </c>
    </row>
    <row r="96077">
      <c r="A96077" s="1" t="n">
        <v>96076</v>
      </c>
      <c r="B96077">
        <f>TEXT(96076, "[$-0E0000]yyyy-mm-dd")</f>
        <v/>
      </c>
    </row>
    <row r="96078">
      <c r="A96078" s="1" t="n">
        <v>96077</v>
      </c>
      <c r="B96078">
        <f>TEXT(96077, "[$-0E0000]yyyy-mm-dd")</f>
        <v/>
      </c>
    </row>
    <row r="96079">
      <c r="A96079" s="1" t="n">
        <v>96078</v>
      </c>
      <c r="B96079">
        <f>TEXT(96078, "[$-0E0000]yyyy-mm-dd")</f>
        <v/>
      </c>
    </row>
    <row r="96080">
      <c r="A96080" s="1" t="n">
        <v>96079</v>
      </c>
      <c r="B96080">
        <f>TEXT(96079, "[$-0E0000]yyyy-mm-dd")</f>
        <v/>
      </c>
    </row>
    <row r="96081">
      <c r="A96081" s="1" t="n">
        <v>96080</v>
      </c>
      <c r="B96081">
        <f>TEXT(96080, "[$-0E0000]yyyy-mm-dd")</f>
        <v/>
      </c>
    </row>
    <row r="96082">
      <c r="A96082" s="1" t="n">
        <v>96081</v>
      </c>
      <c r="B96082">
        <f>TEXT(96081, "[$-0E0000]yyyy-mm-dd")</f>
        <v/>
      </c>
    </row>
    <row r="96083">
      <c r="A96083" s="1" t="n">
        <v>96082</v>
      </c>
      <c r="B96083">
        <f>TEXT(96082, "[$-0E0000]yyyy-mm-dd")</f>
        <v/>
      </c>
    </row>
    <row r="96084">
      <c r="A96084" s="1" t="n">
        <v>96083</v>
      </c>
      <c r="B96084">
        <f>TEXT(96083, "[$-0E0000]yyyy-mm-dd")</f>
        <v/>
      </c>
    </row>
    <row r="96085">
      <c r="A96085" s="1" t="n">
        <v>96084</v>
      </c>
      <c r="B96085">
        <f>TEXT(96084, "[$-0E0000]yyyy-mm-dd")</f>
        <v/>
      </c>
    </row>
    <row r="96086">
      <c r="A96086" s="1" t="n">
        <v>96085</v>
      </c>
      <c r="B96086">
        <f>TEXT(96085, "[$-0E0000]yyyy-mm-dd")</f>
        <v/>
      </c>
    </row>
    <row r="96087">
      <c r="A96087" s="1" t="n">
        <v>96086</v>
      </c>
      <c r="B96087">
        <f>TEXT(96086, "[$-0E0000]yyyy-mm-dd")</f>
        <v/>
      </c>
    </row>
    <row r="96088">
      <c r="A96088" s="1" t="n">
        <v>96087</v>
      </c>
      <c r="B96088">
        <f>TEXT(96087, "[$-0E0000]yyyy-mm-dd")</f>
        <v/>
      </c>
    </row>
    <row r="96089">
      <c r="A96089" s="1" t="n">
        <v>96088</v>
      </c>
      <c r="B96089">
        <f>TEXT(96088, "[$-0E0000]yyyy-mm-dd")</f>
        <v/>
      </c>
    </row>
    <row r="96090">
      <c r="A96090" s="1" t="n">
        <v>96089</v>
      </c>
      <c r="B96090">
        <f>TEXT(96089, "[$-0E0000]yyyy-mm-dd")</f>
        <v/>
      </c>
    </row>
    <row r="96091">
      <c r="A96091" s="1" t="n">
        <v>96090</v>
      </c>
      <c r="B96091">
        <f>TEXT(96090, "[$-0E0000]yyyy-mm-dd")</f>
        <v/>
      </c>
    </row>
    <row r="96092">
      <c r="A96092" s="1" t="n">
        <v>96091</v>
      </c>
      <c r="B96092">
        <f>TEXT(96091, "[$-0E0000]yyyy-mm-dd")</f>
        <v/>
      </c>
    </row>
    <row r="96093">
      <c r="A96093" s="1" t="n">
        <v>96092</v>
      </c>
      <c r="B96093">
        <f>TEXT(96092, "[$-0E0000]yyyy-mm-dd")</f>
        <v/>
      </c>
    </row>
    <row r="96094">
      <c r="A96094" s="1" t="n">
        <v>96093</v>
      </c>
      <c r="B96094">
        <f>TEXT(96093, "[$-0E0000]yyyy-mm-dd")</f>
        <v/>
      </c>
    </row>
    <row r="96095">
      <c r="A96095" s="1" t="n">
        <v>96094</v>
      </c>
      <c r="B96095">
        <f>TEXT(96094, "[$-0E0000]yyyy-mm-dd")</f>
        <v/>
      </c>
    </row>
    <row r="96096">
      <c r="A96096" s="1" t="n">
        <v>96095</v>
      </c>
      <c r="B96096">
        <f>TEXT(96095, "[$-0E0000]yyyy-mm-dd")</f>
        <v/>
      </c>
    </row>
    <row r="96097">
      <c r="A96097" s="1" t="n">
        <v>96096</v>
      </c>
      <c r="B96097">
        <f>TEXT(96096, "[$-0E0000]yyyy-mm-dd")</f>
        <v/>
      </c>
    </row>
    <row r="96098">
      <c r="A96098" s="1" t="n">
        <v>96097</v>
      </c>
      <c r="B96098">
        <f>TEXT(96097, "[$-0E0000]yyyy-mm-dd")</f>
        <v/>
      </c>
    </row>
    <row r="96099">
      <c r="A96099" s="1" t="n">
        <v>96098</v>
      </c>
      <c r="B96099">
        <f>TEXT(96098, "[$-0E0000]yyyy-mm-dd")</f>
        <v/>
      </c>
    </row>
    <row r="96100">
      <c r="A96100" s="1" t="n">
        <v>96099</v>
      </c>
      <c r="B96100">
        <f>TEXT(96099, "[$-0E0000]yyyy-mm-dd")</f>
        <v/>
      </c>
    </row>
    <row r="96101">
      <c r="A96101" s="1" t="n">
        <v>96100</v>
      </c>
      <c r="B96101">
        <f>TEXT(96100, "[$-0E0000]yyyy-mm-dd")</f>
        <v/>
      </c>
    </row>
    <row r="96102">
      <c r="A96102" s="1" t="n">
        <v>96101</v>
      </c>
      <c r="B96102">
        <f>TEXT(96101, "[$-0E0000]yyyy-mm-dd")</f>
        <v/>
      </c>
    </row>
    <row r="96103">
      <c r="A96103" s="1" t="n">
        <v>96102</v>
      </c>
      <c r="B96103">
        <f>TEXT(96102, "[$-0E0000]yyyy-mm-dd")</f>
        <v/>
      </c>
    </row>
    <row r="96104">
      <c r="A96104" s="1" t="n">
        <v>96103</v>
      </c>
      <c r="B96104">
        <f>TEXT(96103, "[$-0E0000]yyyy-mm-dd")</f>
        <v/>
      </c>
    </row>
    <row r="96105">
      <c r="A96105" s="1" t="n">
        <v>96104</v>
      </c>
      <c r="B96105">
        <f>TEXT(96104, "[$-0E0000]yyyy-mm-dd")</f>
        <v/>
      </c>
    </row>
    <row r="96106">
      <c r="A96106" s="1" t="n">
        <v>96105</v>
      </c>
      <c r="B96106">
        <f>TEXT(96105, "[$-0E0000]yyyy-mm-dd")</f>
        <v/>
      </c>
    </row>
    <row r="96107">
      <c r="A96107" s="1" t="n">
        <v>96106</v>
      </c>
      <c r="B96107">
        <f>TEXT(96106, "[$-0E0000]yyyy-mm-dd")</f>
        <v/>
      </c>
    </row>
    <row r="96108">
      <c r="A96108" s="1" t="n">
        <v>96107</v>
      </c>
      <c r="B96108">
        <f>TEXT(96107, "[$-0E0000]yyyy-mm-dd")</f>
        <v/>
      </c>
    </row>
    <row r="96109">
      <c r="A96109" s="1" t="n">
        <v>96108</v>
      </c>
      <c r="B96109">
        <f>TEXT(96108, "[$-0E0000]yyyy-mm-dd")</f>
        <v/>
      </c>
    </row>
    <row r="96110">
      <c r="A96110" s="1" t="n">
        <v>96109</v>
      </c>
      <c r="B96110">
        <f>TEXT(96109, "[$-0E0000]yyyy-mm-dd")</f>
        <v/>
      </c>
    </row>
    <row r="96111">
      <c r="A96111" s="1" t="n">
        <v>96110</v>
      </c>
      <c r="B96111">
        <f>TEXT(96110, "[$-0E0000]yyyy-mm-dd")</f>
        <v/>
      </c>
    </row>
    <row r="96112">
      <c r="A96112" s="1" t="n">
        <v>96111</v>
      </c>
      <c r="B96112">
        <f>TEXT(96111, "[$-0E0000]yyyy-mm-dd")</f>
        <v/>
      </c>
    </row>
    <row r="96113">
      <c r="A96113" s="1" t="n">
        <v>96112</v>
      </c>
      <c r="B96113">
        <f>TEXT(96112, "[$-0E0000]yyyy-mm-dd")</f>
        <v/>
      </c>
    </row>
    <row r="96114">
      <c r="A96114" s="1" t="n">
        <v>96113</v>
      </c>
      <c r="B96114">
        <f>TEXT(96113, "[$-0E0000]yyyy-mm-dd")</f>
        <v/>
      </c>
    </row>
    <row r="96115">
      <c r="A96115" s="1" t="n">
        <v>96114</v>
      </c>
      <c r="B96115">
        <f>TEXT(96114, "[$-0E0000]yyyy-mm-dd")</f>
        <v/>
      </c>
    </row>
    <row r="96116">
      <c r="A96116" s="1" t="n">
        <v>96115</v>
      </c>
      <c r="B96116">
        <f>TEXT(96115, "[$-0E0000]yyyy-mm-dd")</f>
        <v/>
      </c>
    </row>
    <row r="96117">
      <c r="A96117" s="1" t="n">
        <v>96116</v>
      </c>
      <c r="B96117">
        <f>TEXT(96116, "[$-0E0000]yyyy-mm-dd")</f>
        <v/>
      </c>
    </row>
    <row r="96118">
      <c r="A96118" s="1" t="n">
        <v>96117</v>
      </c>
      <c r="B96118">
        <f>TEXT(96117, "[$-0E0000]yyyy-mm-dd")</f>
        <v/>
      </c>
    </row>
    <row r="96119">
      <c r="A96119" s="1" t="n">
        <v>96118</v>
      </c>
      <c r="B96119">
        <f>TEXT(96118, "[$-0E0000]yyyy-mm-dd")</f>
        <v/>
      </c>
    </row>
    <row r="96120">
      <c r="A96120" s="1" t="n">
        <v>96119</v>
      </c>
      <c r="B96120">
        <f>TEXT(96119, "[$-0E0000]yyyy-mm-dd")</f>
        <v/>
      </c>
    </row>
    <row r="96121">
      <c r="A96121" s="1" t="n">
        <v>96120</v>
      </c>
      <c r="B96121">
        <f>TEXT(96120, "[$-0E0000]yyyy-mm-dd")</f>
        <v/>
      </c>
    </row>
    <row r="96122">
      <c r="A96122" s="1" t="n">
        <v>96121</v>
      </c>
      <c r="B96122">
        <f>TEXT(96121, "[$-0E0000]yyyy-mm-dd")</f>
        <v/>
      </c>
    </row>
    <row r="96123">
      <c r="A96123" s="1" t="n">
        <v>96122</v>
      </c>
      <c r="B96123">
        <f>TEXT(96122, "[$-0E0000]yyyy-mm-dd")</f>
        <v/>
      </c>
    </row>
    <row r="96124">
      <c r="A96124" s="1" t="n">
        <v>96123</v>
      </c>
      <c r="B96124">
        <f>TEXT(96123, "[$-0E0000]yyyy-mm-dd")</f>
        <v/>
      </c>
    </row>
    <row r="96125">
      <c r="A96125" s="1" t="n">
        <v>96124</v>
      </c>
      <c r="B96125">
        <f>TEXT(96124, "[$-0E0000]yyyy-mm-dd")</f>
        <v/>
      </c>
    </row>
    <row r="96126">
      <c r="A96126" s="1" t="n">
        <v>96125</v>
      </c>
      <c r="B96126">
        <f>TEXT(96125, "[$-0E0000]yyyy-mm-dd")</f>
        <v/>
      </c>
    </row>
    <row r="96127">
      <c r="A96127" s="1" t="n">
        <v>96126</v>
      </c>
      <c r="B96127">
        <f>TEXT(96126, "[$-0E0000]yyyy-mm-dd")</f>
        <v/>
      </c>
    </row>
    <row r="96128">
      <c r="A96128" s="1" t="n">
        <v>96127</v>
      </c>
      <c r="B96128">
        <f>TEXT(96127, "[$-0E0000]yyyy-mm-dd")</f>
        <v/>
      </c>
    </row>
    <row r="96129">
      <c r="A96129" s="1" t="n">
        <v>96128</v>
      </c>
      <c r="B96129">
        <f>TEXT(96128, "[$-0E0000]yyyy-mm-dd")</f>
        <v/>
      </c>
    </row>
    <row r="96130">
      <c r="A96130" s="1" t="n">
        <v>96129</v>
      </c>
      <c r="B96130">
        <f>TEXT(96129, "[$-0E0000]yyyy-mm-dd")</f>
        <v/>
      </c>
    </row>
    <row r="96131">
      <c r="A96131" s="1" t="n">
        <v>96130</v>
      </c>
      <c r="B96131">
        <f>TEXT(96130, "[$-0E0000]yyyy-mm-dd")</f>
        <v/>
      </c>
    </row>
    <row r="96132">
      <c r="A96132" s="1" t="n">
        <v>96131</v>
      </c>
      <c r="B96132">
        <f>TEXT(96131, "[$-0E0000]yyyy-mm-dd")</f>
        <v/>
      </c>
    </row>
    <row r="96133">
      <c r="A96133" s="1" t="n">
        <v>96132</v>
      </c>
      <c r="B96133">
        <f>TEXT(96132, "[$-0E0000]yyyy-mm-dd")</f>
        <v/>
      </c>
    </row>
    <row r="96134">
      <c r="A96134" s="1" t="n">
        <v>96133</v>
      </c>
      <c r="B96134">
        <f>TEXT(96133, "[$-0E0000]yyyy-mm-dd")</f>
        <v/>
      </c>
    </row>
    <row r="96135">
      <c r="A96135" s="1" t="n">
        <v>96134</v>
      </c>
      <c r="B96135">
        <f>TEXT(96134, "[$-0E0000]yyyy-mm-dd")</f>
        <v/>
      </c>
    </row>
    <row r="96136">
      <c r="A96136" s="1" t="n">
        <v>96135</v>
      </c>
      <c r="B96136">
        <f>TEXT(96135, "[$-0E0000]yyyy-mm-dd")</f>
        <v/>
      </c>
    </row>
    <row r="96137">
      <c r="A96137" s="1" t="n">
        <v>96136</v>
      </c>
      <c r="B96137">
        <f>TEXT(96136, "[$-0E0000]yyyy-mm-dd")</f>
        <v/>
      </c>
    </row>
    <row r="96138">
      <c r="A96138" s="1" t="n">
        <v>96137</v>
      </c>
      <c r="B96138">
        <f>TEXT(96137, "[$-0E0000]yyyy-mm-dd")</f>
        <v/>
      </c>
    </row>
    <row r="96139">
      <c r="A96139" s="1" t="n">
        <v>96138</v>
      </c>
      <c r="B96139">
        <f>TEXT(96138, "[$-0E0000]yyyy-mm-dd")</f>
        <v/>
      </c>
    </row>
    <row r="96140">
      <c r="A96140" s="1" t="n">
        <v>96139</v>
      </c>
      <c r="B96140">
        <f>TEXT(96139, "[$-0E0000]yyyy-mm-dd")</f>
        <v/>
      </c>
    </row>
    <row r="96141">
      <c r="A96141" s="1" t="n">
        <v>96140</v>
      </c>
      <c r="B96141">
        <f>TEXT(96140, "[$-0E0000]yyyy-mm-dd")</f>
        <v/>
      </c>
    </row>
    <row r="96142">
      <c r="A96142" s="1" t="n">
        <v>96141</v>
      </c>
      <c r="B96142">
        <f>TEXT(96141, "[$-0E0000]yyyy-mm-dd")</f>
        <v/>
      </c>
    </row>
    <row r="96143">
      <c r="A96143" s="1" t="n">
        <v>96142</v>
      </c>
      <c r="B96143">
        <f>TEXT(96142, "[$-0E0000]yyyy-mm-dd")</f>
        <v/>
      </c>
    </row>
    <row r="96144">
      <c r="A96144" s="1" t="n">
        <v>96143</v>
      </c>
      <c r="B96144">
        <f>TEXT(96143, "[$-0E0000]yyyy-mm-dd")</f>
        <v/>
      </c>
    </row>
    <row r="96145">
      <c r="A96145" s="1" t="n">
        <v>96144</v>
      </c>
      <c r="B96145">
        <f>TEXT(96144, "[$-0E0000]yyyy-mm-dd")</f>
        <v/>
      </c>
    </row>
    <row r="96146">
      <c r="A96146" s="1" t="n">
        <v>96145</v>
      </c>
      <c r="B96146">
        <f>TEXT(96145, "[$-0E0000]yyyy-mm-dd")</f>
        <v/>
      </c>
    </row>
    <row r="96147">
      <c r="A96147" s="1" t="n">
        <v>96146</v>
      </c>
      <c r="B96147">
        <f>TEXT(96146, "[$-0E0000]yyyy-mm-dd")</f>
        <v/>
      </c>
    </row>
    <row r="96148">
      <c r="A96148" s="1" t="n">
        <v>96147</v>
      </c>
      <c r="B96148">
        <f>TEXT(96147, "[$-0E0000]yyyy-mm-dd")</f>
        <v/>
      </c>
    </row>
    <row r="96149">
      <c r="A96149" s="1" t="n">
        <v>96148</v>
      </c>
      <c r="B96149">
        <f>TEXT(96148, "[$-0E0000]yyyy-mm-dd")</f>
        <v/>
      </c>
    </row>
    <row r="96150">
      <c r="A96150" s="1" t="n">
        <v>96149</v>
      </c>
      <c r="B96150">
        <f>TEXT(96149, "[$-0E0000]yyyy-mm-dd")</f>
        <v/>
      </c>
    </row>
    <row r="96151">
      <c r="A96151" s="1" t="n">
        <v>96150</v>
      </c>
      <c r="B96151">
        <f>TEXT(96150, "[$-0E0000]yyyy-mm-dd")</f>
        <v/>
      </c>
    </row>
    <row r="96152">
      <c r="A96152" s="1" t="n">
        <v>96151</v>
      </c>
      <c r="B96152">
        <f>TEXT(96151, "[$-0E0000]yyyy-mm-dd")</f>
        <v/>
      </c>
    </row>
    <row r="96153">
      <c r="A96153" s="1" t="n">
        <v>96152</v>
      </c>
      <c r="B96153">
        <f>TEXT(96152, "[$-0E0000]yyyy-mm-dd")</f>
        <v/>
      </c>
    </row>
    <row r="96154">
      <c r="A96154" s="1" t="n">
        <v>96153</v>
      </c>
      <c r="B96154">
        <f>TEXT(96153, "[$-0E0000]yyyy-mm-dd")</f>
        <v/>
      </c>
    </row>
    <row r="96155">
      <c r="A96155" s="1" t="n">
        <v>96154</v>
      </c>
      <c r="B96155">
        <f>TEXT(96154, "[$-0E0000]yyyy-mm-dd")</f>
        <v/>
      </c>
    </row>
    <row r="96156">
      <c r="A96156" s="1" t="n">
        <v>96155</v>
      </c>
      <c r="B96156">
        <f>TEXT(96155, "[$-0E0000]yyyy-mm-dd")</f>
        <v/>
      </c>
    </row>
    <row r="96157">
      <c r="A96157" s="1" t="n">
        <v>96156</v>
      </c>
      <c r="B96157">
        <f>TEXT(96156, "[$-0E0000]yyyy-mm-dd")</f>
        <v/>
      </c>
    </row>
    <row r="96158">
      <c r="A96158" s="1" t="n">
        <v>96157</v>
      </c>
      <c r="B96158">
        <f>TEXT(96157, "[$-0E0000]yyyy-mm-dd")</f>
        <v/>
      </c>
    </row>
    <row r="96159">
      <c r="A96159" s="1" t="n">
        <v>96158</v>
      </c>
      <c r="B96159">
        <f>TEXT(96158, "[$-0E0000]yyyy-mm-dd")</f>
        <v/>
      </c>
    </row>
    <row r="96160">
      <c r="A96160" s="1" t="n">
        <v>96159</v>
      </c>
      <c r="B96160">
        <f>TEXT(96159, "[$-0E0000]yyyy-mm-dd")</f>
        <v/>
      </c>
    </row>
    <row r="96161">
      <c r="A96161" s="1" t="n">
        <v>96160</v>
      </c>
      <c r="B96161">
        <f>TEXT(96160, "[$-0E0000]yyyy-mm-dd")</f>
        <v/>
      </c>
    </row>
    <row r="96162">
      <c r="A96162" s="1" t="n">
        <v>96161</v>
      </c>
      <c r="B96162">
        <f>TEXT(96161, "[$-0E0000]yyyy-mm-dd")</f>
        <v/>
      </c>
    </row>
    <row r="96163">
      <c r="A96163" s="1" t="n">
        <v>96162</v>
      </c>
      <c r="B96163">
        <f>TEXT(96162, "[$-0E0000]yyyy-mm-dd")</f>
        <v/>
      </c>
    </row>
    <row r="96164">
      <c r="A96164" s="1" t="n">
        <v>96163</v>
      </c>
      <c r="B96164">
        <f>TEXT(96163, "[$-0E0000]yyyy-mm-dd")</f>
        <v/>
      </c>
    </row>
    <row r="96165">
      <c r="A96165" s="1" t="n">
        <v>96164</v>
      </c>
      <c r="B96165">
        <f>TEXT(96164, "[$-0E0000]yyyy-mm-dd")</f>
        <v/>
      </c>
    </row>
    <row r="96166">
      <c r="A96166" s="1" t="n">
        <v>96165</v>
      </c>
      <c r="B96166">
        <f>TEXT(96165, "[$-0E0000]yyyy-mm-dd")</f>
        <v/>
      </c>
    </row>
    <row r="96167">
      <c r="A96167" s="1" t="n">
        <v>96166</v>
      </c>
      <c r="B96167">
        <f>TEXT(96166, "[$-0E0000]yyyy-mm-dd")</f>
        <v/>
      </c>
    </row>
    <row r="96168">
      <c r="A96168" s="1" t="n">
        <v>96167</v>
      </c>
      <c r="B96168">
        <f>TEXT(96167, "[$-0E0000]yyyy-mm-dd")</f>
        <v/>
      </c>
    </row>
    <row r="96169">
      <c r="A96169" s="1" t="n">
        <v>96168</v>
      </c>
      <c r="B96169">
        <f>TEXT(96168, "[$-0E0000]yyyy-mm-dd")</f>
        <v/>
      </c>
    </row>
    <row r="96170">
      <c r="A96170" s="1" t="n">
        <v>96169</v>
      </c>
      <c r="B96170">
        <f>TEXT(96169, "[$-0E0000]yyyy-mm-dd")</f>
        <v/>
      </c>
    </row>
    <row r="96171">
      <c r="A96171" s="1" t="n">
        <v>96170</v>
      </c>
      <c r="B96171">
        <f>TEXT(96170, "[$-0E0000]yyyy-mm-dd")</f>
        <v/>
      </c>
    </row>
    <row r="96172">
      <c r="A96172" s="1" t="n">
        <v>96171</v>
      </c>
      <c r="B96172">
        <f>TEXT(96171, "[$-0E0000]yyyy-mm-dd")</f>
        <v/>
      </c>
    </row>
    <row r="96173">
      <c r="A96173" s="1" t="n">
        <v>96172</v>
      </c>
      <c r="B96173">
        <f>TEXT(96172, "[$-0E0000]yyyy-mm-dd")</f>
        <v/>
      </c>
    </row>
    <row r="96174">
      <c r="A96174" s="1" t="n">
        <v>96173</v>
      </c>
      <c r="B96174">
        <f>TEXT(96173, "[$-0E0000]yyyy-mm-dd")</f>
        <v/>
      </c>
    </row>
    <row r="96175">
      <c r="A96175" s="1" t="n">
        <v>96174</v>
      </c>
      <c r="B96175">
        <f>TEXT(96174, "[$-0E0000]yyyy-mm-dd")</f>
        <v/>
      </c>
    </row>
    <row r="96176">
      <c r="A96176" s="1" t="n">
        <v>96175</v>
      </c>
      <c r="B96176">
        <f>TEXT(96175, "[$-0E0000]yyyy-mm-dd")</f>
        <v/>
      </c>
    </row>
    <row r="96177">
      <c r="A96177" s="1" t="n">
        <v>96176</v>
      </c>
      <c r="B96177">
        <f>TEXT(96176, "[$-0E0000]yyyy-mm-dd")</f>
        <v/>
      </c>
    </row>
    <row r="96178">
      <c r="A96178" s="1" t="n">
        <v>96177</v>
      </c>
      <c r="B96178">
        <f>TEXT(96177, "[$-0E0000]yyyy-mm-dd")</f>
        <v/>
      </c>
    </row>
    <row r="96179">
      <c r="A96179" s="1" t="n">
        <v>96178</v>
      </c>
      <c r="B96179">
        <f>TEXT(96178, "[$-0E0000]yyyy-mm-dd")</f>
        <v/>
      </c>
    </row>
    <row r="96180">
      <c r="A96180" s="1" t="n">
        <v>96179</v>
      </c>
      <c r="B96180">
        <f>TEXT(96179, "[$-0E0000]yyyy-mm-dd")</f>
        <v/>
      </c>
    </row>
    <row r="96181">
      <c r="A96181" s="1" t="n">
        <v>96180</v>
      </c>
      <c r="B96181">
        <f>TEXT(96180, "[$-0E0000]yyyy-mm-dd")</f>
        <v/>
      </c>
    </row>
    <row r="96182">
      <c r="A96182" s="1" t="n">
        <v>96181</v>
      </c>
      <c r="B96182">
        <f>TEXT(96181, "[$-0E0000]yyyy-mm-dd")</f>
        <v/>
      </c>
    </row>
    <row r="96183">
      <c r="A96183" s="1" t="n">
        <v>96182</v>
      </c>
      <c r="B96183">
        <f>TEXT(96182, "[$-0E0000]yyyy-mm-dd")</f>
        <v/>
      </c>
    </row>
    <row r="96184">
      <c r="A96184" s="1" t="n">
        <v>96183</v>
      </c>
      <c r="B96184">
        <f>TEXT(96183, "[$-0E0000]yyyy-mm-dd")</f>
        <v/>
      </c>
    </row>
    <row r="96185">
      <c r="A96185" s="1" t="n">
        <v>96184</v>
      </c>
      <c r="B96185">
        <f>TEXT(96184, "[$-0E0000]yyyy-mm-dd")</f>
        <v/>
      </c>
    </row>
    <row r="96186">
      <c r="A96186" s="1" t="n">
        <v>96185</v>
      </c>
      <c r="B96186">
        <f>TEXT(96185, "[$-0E0000]yyyy-mm-dd")</f>
        <v/>
      </c>
    </row>
    <row r="96187">
      <c r="A96187" s="1" t="n">
        <v>96186</v>
      </c>
      <c r="B96187">
        <f>TEXT(96186, "[$-0E0000]yyyy-mm-dd")</f>
        <v/>
      </c>
    </row>
    <row r="96188">
      <c r="A96188" s="1" t="n">
        <v>96187</v>
      </c>
      <c r="B96188">
        <f>TEXT(96187, "[$-0E0000]yyyy-mm-dd")</f>
        <v/>
      </c>
    </row>
    <row r="96189">
      <c r="A96189" s="1" t="n">
        <v>96188</v>
      </c>
      <c r="B96189">
        <f>TEXT(96188, "[$-0E0000]yyyy-mm-dd")</f>
        <v/>
      </c>
    </row>
    <row r="96190">
      <c r="A96190" s="1" t="n">
        <v>96189</v>
      </c>
      <c r="B96190">
        <f>TEXT(96189, "[$-0E0000]yyyy-mm-dd")</f>
        <v/>
      </c>
    </row>
    <row r="96191">
      <c r="A96191" s="1" t="n">
        <v>96190</v>
      </c>
      <c r="B96191">
        <f>TEXT(96190, "[$-0E0000]yyyy-mm-dd")</f>
        <v/>
      </c>
    </row>
    <row r="96192">
      <c r="A96192" s="1" t="n">
        <v>96191</v>
      </c>
      <c r="B96192">
        <f>TEXT(96191, "[$-0E0000]yyyy-mm-dd")</f>
        <v/>
      </c>
    </row>
    <row r="96193">
      <c r="A96193" s="1" t="n">
        <v>96192</v>
      </c>
      <c r="B96193">
        <f>TEXT(96192, "[$-0E0000]yyyy-mm-dd")</f>
        <v/>
      </c>
    </row>
    <row r="96194">
      <c r="A96194" s="1" t="n">
        <v>96193</v>
      </c>
      <c r="B96194">
        <f>TEXT(96193, "[$-0E0000]yyyy-mm-dd")</f>
        <v/>
      </c>
    </row>
    <row r="96195">
      <c r="A96195" s="1" t="n">
        <v>96194</v>
      </c>
      <c r="B96195">
        <f>TEXT(96194, "[$-0E0000]yyyy-mm-dd")</f>
        <v/>
      </c>
    </row>
    <row r="96196">
      <c r="A96196" s="1" t="n">
        <v>96195</v>
      </c>
      <c r="B96196">
        <f>TEXT(96195, "[$-0E0000]yyyy-mm-dd")</f>
        <v/>
      </c>
    </row>
    <row r="96197">
      <c r="A96197" s="1" t="n">
        <v>96196</v>
      </c>
      <c r="B96197">
        <f>TEXT(96196, "[$-0E0000]yyyy-mm-dd")</f>
        <v/>
      </c>
    </row>
    <row r="96198">
      <c r="A96198" s="1" t="n">
        <v>96197</v>
      </c>
      <c r="B96198">
        <f>TEXT(96197, "[$-0E0000]yyyy-mm-dd")</f>
        <v/>
      </c>
    </row>
    <row r="96199">
      <c r="A96199" s="1" t="n">
        <v>96198</v>
      </c>
      <c r="B96199">
        <f>TEXT(96198, "[$-0E0000]yyyy-mm-dd")</f>
        <v/>
      </c>
    </row>
    <row r="96200">
      <c r="A96200" s="1" t="n">
        <v>96199</v>
      </c>
      <c r="B96200">
        <f>TEXT(96199, "[$-0E0000]yyyy-mm-dd")</f>
        <v/>
      </c>
    </row>
    <row r="96201">
      <c r="A96201" s="1" t="n">
        <v>96200</v>
      </c>
      <c r="B96201">
        <f>TEXT(96200, "[$-0E0000]yyyy-mm-dd")</f>
        <v/>
      </c>
    </row>
    <row r="96202">
      <c r="A96202" s="1" t="n">
        <v>96201</v>
      </c>
      <c r="B96202">
        <f>TEXT(96201, "[$-0E0000]yyyy-mm-dd")</f>
        <v/>
      </c>
    </row>
    <row r="96203">
      <c r="A96203" s="1" t="n">
        <v>96202</v>
      </c>
      <c r="B96203">
        <f>TEXT(96202, "[$-0E0000]yyyy-mm-dd")</f>
        <v/>
      </c>
    </row>
    <row r="96204">
      <c r="A96204" s="1" t="n">
        <v>96203</v>
      </c>
      <c r="B96204">
        <f>TEXT(96203, "[$-0E0000]yyyy-mm-dd")</f>
        <v/>
      </c>
    </row>
    <row r="96205">
      <c r="A96205" s="1" t="n">
        <v>96204</v>
      </c>
      <c r="B96205">
        <f>TEXT(96204, "[$-0E0000]yyyy-mm-dd")</f>
        <v/>
      </c>
    </row>
    <row r="96206">
      <c r="A96206" s="1" t="n">
        <v>96205</v>
      </c>
      <c r="B96206">
        <f>TEXT(96205, "[$-0E0000]yyyy-mm-dd")</f>
        <v/>
      </c>
    </row>
    <row r="96207">
      <c r="A96207" s="1" t="n">
        <v>96206</v>
      </c>
      <c r="B96207">
        <f>TEXT(96206, "[$-0E0000]yyyy-mm-dd")</f>
        <v/>
      </c>
    </row>
    <row r="96208">
      <c r="A96208" s="1" t="n">
        <v>96207</v>
      </c>
      <c r="B96208">
        <f>TEXT(96207, "[$-0E0000]yyyy-mm-dd")</f>
        <v/>
      </c>
    </row>
    <row r="96209">
      <c r="A96209" s="1" t="n">
        <v>96208</v>
      </c>
      <c r="B96209">
        <f>TEXT(96208, "[$-0E0000]yyyy-mm-dd")</f>
        <v/>
      </c>
    </row>
    <row r="96210">
      <c r="A96210" s="1" t="n">
        <v>96209</v>
      </c>
      <c r="B96210">
        <f>TEXT(96209, "[$-0E0000]yyyy-mm-dd")</f>
        <v/>
      </c>
    </row>
    <row r="96211">
      <c r="A96211" s="1" t="n">
        <v>96210</v>
      </c>
      <c r="B96211">
        <f>TEXT(96210, "[$-0E0000]yyyy-mm-dd")</f>
        <v/>
      </c>
    </row>
    <row r="96212">
      <c r="A96212" s="1" t="n">
        <v>96211</v>
      </c>
      <c r="B96212">
        <f>TEXT(96211, "[$-0E0000]yyyy-mm-dd")</f>
        <v/>
      </c>
    </row>
    <row r="96213">
      <c r="A96213" s="1" t="n">
        <v>96212</v>
      </c>
      <c r="B96213">
        <f>TEXT(96212, "[$-0E0000]yyyy-mm-dd")</f>
        <v/>
      </c>
    </row>
    <row r="96214">
      <c r="A96214" s="1" t="n">
        <v>96213</v>
      </c>
      <c r="B96214">
        <f>TEXT(96213, "[$-0E0000]yyyy-mm-dd")</f>
        <v/>
      </c>
    </row>
    <row r="96215">
      <c r="A96215" s="1" t="n">
        <v>96214</v>
      </c>
      <c r="B96215">
        <f>TEXT(96214, "[$-0E0000]yyyy-mm-dd")</f>
        <v/>
      </c>
    </row>
    <row r="96216">
      <c r="A96216" s="1" t="n">
        <v>96215</v>
      </c>
      <c r="B96216">
        <f>TEXT(96215, "[$-0E0000]yyyy-mm-dd")</f>
        <v/>
      </c>
    </row>
    <row r="96217">
      <c r="A96217" s="1" t="n">
        <v>96216</v>
      </c>
      <c r="B96217">
        <f>TEXT(96216, "[$-0E0000]yyyy-mm-dd")</f>
        <v/>
      </c>
    </row>
    <row r="96218">
      <c r="A96218" s="1" t="n">
        <v>96217</v>
      </c>
      <c r="B96218">
        <f>TEXT(96217, "[$-0E0000]yyyy-mm-dd")</f>
        <v/>
      </c>
    </row>
    <row r="96219">
      <c r="A96219" s="1" t="n">
        <v>96218</v>
      </c>
      <c r="B96219">
        <f>TEXT(96218, "[$-0E0000]yyyy-mm-dd")</f>
        <v/>
      </c>
    </row>
    <row r="96220">
      <c r="A96220" s="1" t="n">
        <v>96219</v>
      </c>
      <c r="B96220">
        <f>TEXT(96219, "[$-0E0000]yyyy-mm-dd")</f>
        <v/>
      </c>
    </row>
    <row r="96221">
      <c r="A96221" s="1" t="n">
        <v>96220</v>
      </c>
      <c r="B96221">
        <f>TEXT(96220, "[$-0E0000]yyyy-mm-dd")</f>
        <v/>
      </c>
    </row>
    <row r="96222">
      <c r="A96222" s="1" t="n">
        <v>96221</v>
      </c>
      <c r="B96222">
        <f>TEXT(96221, "[$-0E0000]yyyy-mm-dd")</f>
        <v/>
      </c>
    </row>
    <row r="96223">
      <c r="A96223" s="1" t="n">
        <v>96222</v>
      </c>
      <c r="B96223">
        <f>TEXT(96222, "[$-0E0000]yyyy-mm-dd")</f>
        <v/>
      </c>
    </row>
    <row r="96224">
      <c r="A96224" s="1" t="n">
        <v>96223</v>
      </c>
      <c r="B96224">
        <f>TEXT(96223, "[$-0E0000]yyyy-mm-dd")</f>
        <v/>
      </c>
    </row>
    <row r="96225">
      <c r="A96225" s="1" t="n">
        <v>96224</v>
      </c>
      <c r="B96225">
        <f>TEXT(96224, "[$-0E0000]yyyy-mm-dd")</f>
        <v/>
      </c>
    </row>
    <row r="96226">
      <c r="A96226" s="1" t="n">
        <v>96225</v>
      </c>
      <c r="B96226">
        <f>TEXT(96225, "[$-0E0000]yyyy-mm-dd")</f>
        <v/>
      </c>
    </row>
    <row r="96227">
      <c r="A96227" s="1" t="n">
        <v>96226</v>
      </c>
      <c r="B96227">
        <f>TEXT(96226, "[$-0E0000]yyyy-mm-dd")</f>
        <v/>
      </c>
    </row>
    <row r="96228">
      <c r="A96228" s="1" t="n">
        <v>96227</v>
      </c>
      <c r="B96228">
        <f>TEXT(96227, "[$-0E0000]yyyy-mm-dd")</f>
        <v/>
      </c>
    </row>
    <row r="96229">
      <c r="A96229" s="1" t="n">
        <v>96228</v>
      </c>
      <c r="B96229">
        <f>TEXT(96228, "[$-0E0000]yyyy-mm-dd")</f>
        <v/>
      </c>
    </row>
    <row r="96230">
      <c r="A96230" s="1" t="n">
        <v>96229</v>
      </c>
      <c r="B96230">
        <f>TEXT(96229, "[$-0E0000]yyyy-mm-dd")</f>
        <v/>
      </c>
    </row>
    <row r="96231">
      <c r="A96231" s="1" t="n">
        <v>96230</v>
      </c>
      <c r="B96231">
        <f>TEXT(96230, "[$-0E0000]yyyy-mm-dd")</f>
        <v/>
      </c>
    </row>
    <row r="96232">
      <c r="A96232" s="1" t="n">
        <v>96231</v>
      </c>
      <c r="B96232">
        <f>TEXT(96231, "[$-0E0000]yyyy-mm-dd")</f>
        <v/>
      </c>
    </row>
    <row r="96233">
      <c r="A96233" s="1" t="n">
        <v>96232</v>
      </c>
      <c r="B96233">
        <f>TEXT(96232, "[$-0E0000]yyyy-mm-dd")</f>
        <v/>
      </c>
    </row>
    <row r="96234">
      <c r="A96234" s="1" t="n">
        <v>96233</v>
      </c>
      <c r="B96234">
        <f>TEXT(96233, "[$-0E0000]yyyy-mm-dd")</f>
        <v/>
      </c>
    </row>
    <row r="96235">
      <c r="A96235" s="1" t="n">
        <v>96234</v>
      </c>
      <c r="B96235">
        <f>TEXT(96234, "[$-0E0000]yyyy-mm-dd")</f>
        <v/>
      </c>
    </row>
    <row r="96236">
      <c r="A96236" s="1" t="n">
        <v>96235</v>
      </c>
      <c r="B96236">
        <f>TEXT(96235, "[$-0E0000]yyyy-mm-dd")</f>
        <v/>
      </c>
    </row>
    <row r="96237">
      <c r="A96237" s="1" t="n">
        <v>96236</v>
      </c>
      <c r="B96237">
        <f>TEXT(96236, "[$-0E0000]yyyy-mm-dd")</f>
        <v/>
      </c>
    </row>
    <row r="96238">
      <c r="A96238" s="1" t="n">
        <v>96237</v>
      </c>
      <c r="B96238">
        <f>TEXT(96237, "[$-0E0000]yyyy-mm-dd")</f>
        <v/>
      </c>
    </row>
    <row r="96239">
      <c r="A96239" s="1" t="n">
        <v>96238</v>
      </c>
      <c r="B96239">
        <f>TEXT(96238, "[$-0E0000]yyyy-mm-dd")</f>
        <v/>
      </c>
    </row>
    <row r="96240">
      <c r="A96240" s="1" t="n">
        <v>96239</v>
      </c>
      <c r="B96240">
        <f>TEXT(96239, "[$-0E0000]yyyy-mm-dd")</f>
        <v/>
      </c>
    </row>
    <row r="96241">
      <c r="A96241" s="1" t="n">
        <v>96240</v>
      </c>
      <c r="B96241">
        <f>TEXT(96240, "[$-0E0000]yyyy-mm-dd")</f>
        <v/>
      </c>
    </row>
    <row r="96242">
      <c r="A96242" s="1" t="n">
        <v>96241</v>
      </c>
      <c r="B96242">
        <f>TEXT(96241, "[$-0E0000]yyyy-mm-dd")</f>
        <v/>
      </c>
    </row>
    <row r="96243">
      <c r="A96243" s="1" t="n">
        <v>96242</v>
      </c>
      <c r="B96243">
        <f>TEXT(96242, "[$-0E0000]yyyy-mm-dd")</f>
        <v/>
      </c>
    </row>
    <row r="96244">
      <c r="A96244" s="1" t="n">
        <v>96243</v>
      </c>
      <c r="B96244">
        <f>TEXT(96243, "[$-0E0000]yyyy-mm-dd")</f>
        <v/>
      </c>
    </row>
    <row r="96245">
      <c r="A96245" s="1" t="n">
        <v>96244</v>
      </c>
      <c r="B96245">
        <f>TEXT(96244, "[$-0E0000]yyyy-mm-dd")</f>
        <v/>
      </c>
    </row>
    <row r="96246">
      <c r="A96246" s="1" t="n">
        <v>96245</v>
      </c>
      <c r="B96246">
        <f>TEXT(96245, "[$-0E0000]yyyy-mm-dd")</f>
        <v/>
      </c>
    </row>
    <row r="96247">
      <c r="A96247" s="1" t="n">
        <v>96246</v>
      </c>
      <c r="B96247">
        <f>TEXT(96246, "[$-0E0000]yyyy-mm-dd")</f>
        <v/>
      </c>
    </row>
    <row r="96248">
      <c r="A96248" s="1" t="n">
        <v>96247</v>
      </c>
      <c r="B96248">
        <f>TEXT(96247, "[$-0E0000]yyyy-mm-dd")</f>
        <v/>
      </c>
    </row>
    <row r="96249">
      <c r="A96249" s="1" t="n">
        <v>96248</v>
      </c>
      <c r="B96249">
        <f>TEXT(96248, "[$-0E0000]yyyy-mm-dd")</f>
        <v/>
      </c>
    </row>
    <row r="96250">
      <c r="A96250" s="1" t="n">
        <v>96249</v>
      </c>
      <c r="B96250">
        <f>TEXT(96249, "[$-0E0000]yyyy-mm-dd")</f>
        <v/>
      </c>
    </row>
    <row r="96251">
      <c r="A96251" s="1" t="n">
        <v>96250</v>
      </c>
      <c r="B96251">
        <f>TEXT(96250, "[$-0E0000]yyyy-mm-dd")</f>
        <v/>
      </c>
    </row>
    <row r="96252">
      <c r="A96252" s="1" t="n">
        <v>96251</v>
      </c>
      <c r="B96252">
        <f>TEXT(96251, "[$-0E0000]yyyy-mm-dd")</f>
        <v/>
      </c>
    </row>
    <row r="96253">
      <c r="A96253" s="1" t="n">
        <v>96252</v>
      </c>
      <c r="B96253">
        <f>TEXT(96252, "[$-0E0000]yyyy-mm-dd")</f>
        <v/>
      </c>
    </row>
    <row r="96254">
      <c r="A96254" s="1" t="n">
        <v>96253</v>
      </c>
      <c r="B96254">
        <f>TEXT(96253, "[$-0E0000]yyyy-mm-dd")</f>
        <v/>
      </c>
    </row>
    <row r="96255">
      <c r="A96255" s="1" t="n">
        <v>96254</v>
      </c>
      <c r="B96255">
        <f>TEXT(96254, "[$-0E0000]yyyy-mm-dd")</f>
        <v/>
      </c>
    </row>
    <row r="96256">
      <c r="A96256" s="1" t="n">
        <v>96255</v>
      </c>
      <c r="B96256">
        <f>TEXT(96255, "[$-0E0000]yyyy-mm-dd")</f>
        <v/>
      </c>
    </row>
    <row r="96257">
      <c r="A96257" s="1" t="n">
        <v>96256</v>
      </c>
      <c r="B96257">
        <f>TEXT(96256, "[$-0E0000]yyyy-mm-dd")</f>
        <v/>
      </c>
    </row>
    <row r="96258">
      <c r="A96258" s="1" t="n">
        <v>96257</v>
      </c>
      <c r="B96258">
        <f>TEXT(96257, "[$-0E0000]yyyy-mm-dd")</f>
        <v/>
      </c>
    </row>
    <row r="96259">
      <c r="A96259" s="1" t="n">
        <v>96258</v>
      </c>
      <c r="B96259">
        <f>TEXT(96258, "[$-0E0000]yyyy-mm-dd")</f>
        <v/>
      </c>
    </row>
    <row r="96260">
      <c r="A96260" s="1" t="n">
        <v>96259</v>
      </c>
      <c r="B96260">
        <f>TEXT(96259, "[$-0E0000]yyyy-mm-dd")</f>
        <v/>
      </c>
    </row>
    <row r="96261">
      <c r="A96261" s="1" t="n">
        <v>96260</v>
      </c>
      <c r="B96261">
        <f>TEXT(96260, "[$-0E0000]yyyy-mm-dd")</f>
        <v/>
      </c>
    </row>
    <row r="96262">
      <c r="A96262" s="1" t="n">
        <v>96261</v>
      </c>
      <c r="B96262">
        <f>TEXT(96261, "[$-0E0000]yyyy-mm-dd")</f>
        <v/>
      </c>
    </row>
    <row r="96263">
      <c r="A96263" s="1" t="n">
        <v>96262</v>
      </c>
      <c r="B96263">
        <f>TEXT(96262, "[$-0E0000]yyyy-mm-dd")</f>
        <v/>
      </c>
    </row>
    <row r="96264">
      <c r="A96264" s="1" t="n">
        <v>96263</v>
      </c>
      <c r="B96264">
        <f>TEXT(96263, "[$-0E0000]yyyy-mm-dd")</f>
        <v/>
      </c>
    </row>
    <row r="96265">
      <c r="A96265" s="1" t="n">
        <v>96264</v>
      </c>
      <c r="B96265">
        <f>TEXT(96264, "[$-0E0000]yyyy-mm-dd")</f>
        <v/>
      </c>
    </row>
    <row r="96266">
      <c r="A96266" s="1" t="n">
        <v>96265</v>
      </c>
      <c r="B96266">
        <f>TEXT(96265, "[$-0E0000]yyyy-mm-dd")</f>
        <v/>
      </c>
    </row>
    <row r="96267">
      <c r="A96267" s="1" t="n">
        <v>96266</v>
      </c>
      <c r="B96267">
        <f>TEXT(96266, "[$-0E0000]yyyy-mm-dd")</f>
        <v/>
      </c>
    </row>
    <row r="96268">
      <c r="A96268" s="1" t="n">
        <v>96267</v>
      </c>
      <c r="B96268">
        <f>TEXT(96267, "[$-0E0000]yyyy-mm-dd")</f>
        <v/>
      </c>
    </row>
    <row r="96269">
      <c r="A96269" s="1" t="n">
        <v>96268</v>
      </c>
      <c r="B96269">
        <f>TEXT(96268, "[$-0E0000]yyyy-mm-dd")</f>
        <v/>
      </c>
    </row>
    <row r="96270">
      <c r="A96270" s="1" t="n">
        <v>96269</v>
      </c>
      <c r="B96270">
        <f>TEXT(96269, "[$-0E0000]yyyy-mm-dd")</f>
        <v/>
      </c>
    </row>
    <row r="96271">
      <c r="A96271" s="1" t="n">
        <v>96270</v>
      </c>
      <c r="B96271">
        <f>TEXT(96270, "[$-0E0000]yyyy-mm-dd")</f>
        <v/>
      </c>
    </row>
    <row r="96272">
      <c r="A96272" s="1" t="n">
        <v>96271</v>
      </c>
      <c r="B96272">
        <f>TEXT(96271, "[$-0E0000]yyyy-mm-dd")</f>
        <v/>
      </c>
    </row>
    <row r="96273">
      <c r="A96273" s="1" t="n">
        <v>96272</v>
      </c>
      <c r="B96273">
        <f>TEXT(96272, "[$-0E0000]yyyy-mm-dd")</f>
        <v/>
      </c>
    </row>
    <row r="96274">
      <c r="A96274" s="1" t="n">
        <v>96273</v>
      </c>
      <c r="B96274">
        <f>TEXT(96273, "[$-0E0000]yyyy-mm-dd")</f>
        <v/>
      </c>
    </row>
    <row r="96275">
      <c r="A96275" s="1" t="n">
        <v>96274</v>
      </c>
      <c r="B96275">
        <f>TEXT(96274, "[$-0E0000]yyyy-mm-dd")</f>
        <v/>
      </c>
    </row>
    <row r="96276">
      <c r="A96276" s="1" t="n">
        <v>96275</v>
      </c>
      <c r="B96276">
        <f>TEXT(96275, "[$-0E0000]yyyy-mm-dd")</f>
        <v/>
      </c>
    </row>
    <row r="96277">
      <c r="A96277" s="1" t="n">
        <v>96276</v>
      </c>
      <c r="B96277">
        <f>TEXT(96276, "[$-0E0000]yyyy-mm-dd")</f>
        <v/>
      </c>
    </row>
    <row r="96278">
      <c r="A96278" s="1" t="n">
        <v>96277</v>
      </c>
      <c r="B96278">
        <f>TEXT(96277, "[$-0E0000]yyyy-mm-dd")</f>
        <v/>
      </c>
    </row>
    <row r="96279">
      <c r="A96279" s="1" t="n">
        <v>96278</v>
      </c>
      <c r="B96279">
        <f>TEXT(96278, "[$-0E0000]yyyy-mm-dd")</f>
        <v/>
      </c>
    </row>
    <row r="96280">
      <c r="A96280" s="1" t="n">
        <v>96279</v>
      </c>
      <c r="B96280">
        <f>TEXT(96279, "[$-0E0000]yyyy-mm-dd")</f>
        <v/>
      </c>
    </row>
    <row r="96281">
      <c r="A96281" s="1" t="n">
        <v>96280</v>
      </c>
      <c r="B96281">
        <f>TEXT(96280, "[$-0E0000]yyyy-mm-dd")</f>
        <v/>
      </c>
    </row>
    <row r="96282">
      <c r="A96282" s="1" t="n">
        <v>96281</v>
      </c>
      <c r="B96282">
        <f>TEXT(96281, "[$-0E0000]yyyy-mm-dd")</f>
        <v/>
      </c>
    </row>
    <row r="96283">
      <c r="A96283" s="1" t="n">
        <v>96282</v>
      </c>
      <c r="B96283">
        <f>TEXT(96282, "[$-0E0000]yyyy-mm-dd")</f>
        <v/>
      </c>
    </row>
    <row r="96284">
      <c r="A96284" s="1" t="n">
        <v>96283</v>
      </c>
      <c r="B96284">
        <f>TEXT(96283, "[$-0E0000]yyyy-mm-dd")</f>
        <v/>
      </c>
    </row>
    <row r="96285">
      <c r="A96285" s="1" t="n">
        <v>96284</v>
      </c>
      <c r="B96285">
        <f>TEXT(96284, "[$-0E0000]yyyy-mm-dd")</f>
        <v/>
      </c>
    </row>
    <row r="96286">
      <c r="A96286" s="1" t="n">
        <v>96285</v>
      </c>
      <c r="B96286">
        <f>TEXT(96285, "[$-0E0000]yyyy-mm-dd")</f>
        <v/>
      </c>
    </row>
    <row r="96287">
      <c r="A96287" s="1" t="n">
        <v>96286</v>
      </c>
      <c r="B96287">
        <f>TEXT(96286, "[$-0E0000]yyyy-mm-dd")</f>
        <v/>
      </c>
    </row>
    <row r="96288">
      <c r="A96288" s="1" t="n">
        <v>96287</v>
      </c>
      <c r="B96288">
        <f>TEXT(96287, "[$-0E0000]yyyy-mm-dd")</f>
        <v/>
      </c>
    </row>
    <row r="96289">
      <c r="A96289" s="1" t="n">
        <v>96288</v>
      </c>
      <c r="B96289">
        <f>TEXT(96288, "[$-0E0000]yyyy-mm-dd")</f>
        <v/>
      </c>
    </row>
    <row r="96290">
      <c r="A96290" s="1" t="n">
        <v>96289</v>
      </c>
      <c r="B96290">
        <f>TEXT(96289, "[$-0E0000]yyyy-mm-dd")</f>
        <v/>
      </c>
    </row>
    <row r="96291">
      <c r="A96291" s="1" t="n">
        <v>96290</v>
      </c>
      <c r="B96291">
        <f>TEXT(96290, "[$-0E0000]yyyy-mm-dd")</f>
        <v/>
      </c>
    </row>
    <row r="96292">
      <c r="A96292" s="1" t="n">
        <v>96291</v>
      </c>
      <c r="B96292">
        <f>TEXT(96291, "[$-0E0000]yyyy-mm-dd")</f>
        <v/>
      </c>
    </row>
    <row r="96293">
      <c r="A96293" s="1" t="n">
        <v>96292</v>
      </c>
      <c r="B96293">
        <f>TEXT(96292, "[$-0E0000]yyyy-mm-dd")</f>
        <v/>
      </c>
    </row>
    <row r="96294">
      <c r="A96294" s="1" t="n">
        <v>96293</v>
      </c>
      <c r="B96294">
        <f>TEXT(96293, "[$-0E0000]yyyy-mm-dd")</f>
        <v/>
      </c>
    </row>
    <row r="96295">
      <c r="A96295" s="1" t="n">
        <v>96294</v>
      </c>
      <c r="B96295">
        <f>TEXT(96294, "[$-0E0000]yyyy-mm-dd")</f>
        <v/>
      </c>
    </row>
    <row r="96296">
      <c r="A96296" s="1" t="n">
        <v>96295</v>
      </c>
      <c r="B96296">
        <f>TEXT(96295, "[$-0E0000]yyyy-mm-dd")</f>
        <v/>
      </c>
    </row>
    <row r="96297">
      <c r="A96297" s="1" t="n">
        <v>96296</v>
      </c>
      <c r="B96297">
        <f>TEXT(96296, "[$-0E0000]yyyy-mm-dd")</f>
        <v/>
      </c>
    </row>
    <row r="96298">
      <c r="A96298" s="1" t="n">
        <v>96297</v>
      </c>
      <c r="B96298">
        <f>TEXT(96297, "[$-0E0000]yyyy-mm-dd")</f>
        <v/>
      </c>
    </row>
    <row r="96299">
      <c r="A96299" s="1" t="n">
        <v>96298</v>
      </c>
      <c r="B96299">
        <f>TEXT(96298, "[$-0E0000]yyyy-mm-dd")</f>
        <v/>
      </c>
    </row>
    <row r="96300">
      <c r="A96300" s="1" t="n">
        <v>96299</v>
      </c>
      <c r="B96300">
        <f>TEXT(96299, "[$-0E0000]yyyy-mm-dd")</f>
        <v/>
      </c>
    </row>
    <row r="96301">
      <c r="A96301" s="1" t="n">
        <v>96300</v>
      </c>
      <c r="B96301">
        <f>TEXT(96300, "[$-0E0000]yyyy-mm-dd")</f>
        <v/>
      </c>
    </row>
    <row r="96302">
      <c r="A96302" s="1" t="n">
        <v>96301</v>
      </c>
      <c r="B96302">
        <f>TEXT(96301, "[$-0E0000]yyyy-mm-dd")</f>
        <v/>
      </c>
    </row>
    <row r="96303">
      <c r="A96303" s="1" t="n">
        <v>96302</v>
      </c>
      <c r="B96303">
        <f>TEXT(96302, "[$-0E0000]yyyy-mm-dd")</f>
        <v/>
      </c>
    </row>
    <row r="96304">
      <c r="A96304" s="1" t="n">
        <v>96303</v>
      </c>
      <c r="B96304">
        <f>TEXT(96303, "[$-0E0000]yyyy-mm-dd")</f>
        <v/>
      </c>
    </row>
    <row r="96305">
      <c r="A96305" s="1" t="n">
        <v>96304</v>
      </c>
      <c r="B96305">
        <f>TEXT(96304, "[$-0E0000]yyyy-mm-dd")</f>
        <v/>
      </c>
    </row>
    <row r="96306">
      <c r="A96306" s="1" t="n">
        <v>96305</v>
      </c>
      <c r="B96306">
        <f>TEXT(96305, "[$-0E0000]yyyy-mm-dd")</f>
        <v/>
      </c>
    </row>
    <row r="96307">
      <c r="A96307" s="1" t="n">
        <v>96306</v>
      </c>
      <c r="B96307">
        <f>TEXT(96306, "[$-0E0000]yyyy-mm-dd")</f>
        <v/>
      </c>
    </row>
    <row r="96308">
      <c r="A96308" s="1" t="n">
        <v>96307</v>
      </c>
      <c r="B96308">
        <f>TEXT(96307, "[$-0E0000]yyyy-mm-dd")</f>
        <v/>
      </c>
    </row>
    <row r="96309">
      <c r="A96309" s="1" t="n">
        <v>96308</v>
      </c>
      <c r="B96309">
        <f>TEXT(96308, "[$-0E0000]yyyy-mm-dd")</f>
        <v/>
      </c>
    </row>
    <row r="96310">
      <c r="A96310" s="1" t="n">
        <v>96309</v>
      </c>
      <c r="B96310">
        <f>TEXT(96309, "[$-0E0000]yyyy-mm-dd")</f>
        <v/>
      </c>
    </row>
    <row r="96311">
      <c r="A96311" s="1" t="n">
        <v>96310</v>
      </c>
      <c r="B96311">
        <f>TEXT(96310, "[$-0E0000]yyyy-mm-dd")</f>
        <v/>
      </c>
    </row>
    <row r="96312">
      <c r="A96312" s="1" t="n">
        <v>96311</v>
      </c>
      <c r="B96312">
        <f>TEXT(96311, "[$-0E0000]yyyy-mm-dd")</f>
        <v/>
      </c>
    </row>
    <row r="96313">
      <c r="A96313" s="1" t="n">
        <v>96312</v>
      </c>
      <c r="B96313">
        <f>TEXT(96312, "[$-0E0000]yyyy-mm-dd")</f>
        <v/>
      </c>
    </row>
    <row r="96314">
      <c r="A96314" s="1" t="n">
        <v>96313</v>
      </c>
      <c r="B96314">
        <f>TEXT(96313, "[$-0E0000]yyyy-mm-dd")</f>
        <v/>
      </c>
    </row>
    <row r="96315">
      <c r="A96315" s="1" t="n">
        <v>96314</v>
      </c>
      <c r="B96315">
        <f>TEXT(96314, "[$-0E0000]yyyy-mm-dd")</f>
        <v/>
      </c>
    </row>
    <row r="96316">
      <c r="A96316" s="1" t="n">
        <v>96315</v>
      </c>
      <c r="B96316">
        <f>TEXT(96315, "[$-0E0000]yyyy-mm-dd")</f>
        <v/>
      </c>
    </row>
    <row r="96317">
      <c r="A96317" s="1" t="n">
        <v>96316</v>
      </c>
      <c r="B96317">
        <f>TEXT(96316, "[$-0E0000]yyyy-mm-dd")</f>
        <v/>
      </c>
    </row>
    <row r="96318">
      <c r="A96318" s="1" t="n">
        <v>96317</v>
      </c>
      <c r="B96318">
        <f>TEXT(96317, "[$-0E0000]yyyy-mm-dd")</f>
        <v/>
      </c>
    </row>
    <row r="96319">
      <c r="A96319" s="1" t="n">
        <v>96318</v>
      </c>
      <c r="B96319">
        <f>TEXT(96318, "[$-0E0000]yyyy-mm-dd")</f>
        <v/>
      </c>
    </row>
    <row r="96320">
      <c r="A96320" s="1" t="n">
        <v>96319</v>
      </c>
      <c r="B96320">
        <f>TEXT(96319, "[$-0E0000]yyyy-mm-dd")</f>
        <v/>
      </c>
    </row>
    <row r="96321">
      <c r="A96321" s="1" t="n">
        <v>96320</v>
      </c>
      <c r="B96321">
        <f>TEXT(96320, "[$-0E0000]yyyy-mm-dd")</f>
        <v/>
      </c>
    </row>
    <row r="96322">
      <c r="A96322" s="1" t="n">
        <v>96321</v>
      </c>
      <c r="B96322">
        <f>TEXT(96321, "[$-0E0000]yyyy-mm-dd")</f>
        <v/>
      </c>
    </row>
    <row r="96323">
      <c r="A96323" s="1" t="n">
        <v>96322</v>
      </c>
      <c r="B96323">
        <f>TEXT(96322, "[$-0E0000]yyyy-mm-dd")</f>
        <v/>
      </c>
    </row>
    <row r="96324">
      <c r="A96324" s="1" t="n">
        <v>96323</v>
      </c>
      <c r="B96324">
        <f>TEXT(96323, "[$-0E0000]yyyy-mm-dd")</f>
        <v/>
      </c>
    </row>
    <row r="96325">
      <c r="A96325" s="1" t="n">
        <v>96324</v>
      </c>
      <c r="B96325">
        <f>TEXT(96324, "[$-0E0000]yyyy-mm-dd")</f>
        <v/>
      </c>
    </row>
    <row r="96326">
      <c r="A96326" s="1" t="n">
        <v>96325</v>
      </c>
      <c r="B96326">
        <f>TEXT(96325, "[$-0E0000]yyyy-mm-dd")</f>
        <v/>
      </c>
    </row>
    <row r="96327">
      <c r="A96327" s="1" t="n">
        <v>96326</v>
      </c>
      <c r="B96327">
        <f>TEXT(96326, "[$-0E0000]yyyy-mm-dd")</f>
        <v/>
      </c>
    </row>
    <row r="96328">
      <c r="A96328" s="1" t="n">
        <v>96327</v>
      </c>
      <c r="B96328">
        <f>TEXT(96327, "[$-0E0000]yyyy-mm-dd")</f>
        <v/>
      </c>
    </row>
    <row r="96329">
      <c r="A96329" s="1" t="n">
        <v>96328</v>
      </c>
      <c r="B96329">
        <f>TEXT(96328, "[$-0E0000]yyyy-mm-dd")</f>
        <v/>
      </c>
    </row>
    <row r="96330">
      <c r="A96330" s="1" t="n">
        <v>96329</v>
      </c>
      <c r="B96330">
        <f>TEXT(96329, "[$-0E0000]yyyy-mm-dd")</f>
        <v/>
      </c>
    </row>
    <row r="96331">
      <c r="A96331" s="1" t="n">
        <v>96330</v>
      </c>
      <c r="B96331">
        <f>TEXT(96330, "[$-0E0000]yyyy-mm-dd")</f>
        <v/>
      </c>
    </row>
    <row r="96332">
      <c r="A96332" s="1" t="n">
        <v>96331</v>
      </c>
      <c r="B96332">
        <f>TEXT(96331, "[$-0E0000]yyyy-mm-dd")</f>
        <v/>
      </c>
    </row>
    <row r="96333">
      <c r="A96333" s="1" t="n">
        <v>96332</v>
      </c>
      <c r="B96333">
        <f>TEXT(96332, "[$-0E0000]yyyy-mm-dd")</f>
        <v/>
      </c>
    </row>
    <row r="96334">
      <c r="A96334" s="1" t="n">
        <v>96333</v>
      </c>
      <c r="B96334">
        <f>TEXT(96333, "[$-0E0000]yyyy-mm-dd")</f>
        <v/>
      </c>
    </row>
    <row r="96335">
      <c r="A96335" s="1" t="n">
        <v>96334</v>
      </c>
      <c r="B96335">
        <f>TEXT(96334, "[$-0E0000]yyyy-mm-dd")</f>
        <v/>
      </c>
    </row>
    <row r="96336">
      <c r="A96336" s="1" t="n">
        <v>96335</v>
      </c>
      <c r="B96336">
        <f>TEXT(96335, "[$-0E0000]yyyy-mm-dd")</f>
        <v/>
      </c>
    </row>
    <row r="96337">
      <c r="A96337" s="1" t="n">
        <v>96336</v>
      </c>
      <c r="B96337">
        <f>TEXT(96336, "[$-0E0000]yyyy-mm-dd")</f>
        <v/>
      </c>
    </row>
    <row r="96338">
      <c r="A96338" s="1" t="n">
        <v>96337</v>
      </c>
      <c r="B96338">
        <f>TEXT(96337, "[$-0E0000]yyyy-mm-dd")</f>
        <v/>
      </c>
    </row>
    <row r="96339">
      <c r="A96339" s="1" t="n">
        <v>96338</v>
      </c>
      <c r="B96339">
        <f>TEXT(96338, "[$-0E0000]yyyy-mm-dd")</f>
        <v/>
      </c>
    </row>
    <row r="96340">
      <c r="A96340" s="1" t="n">
        <v>96339</v>
      </c>
      <c r="B96340">
        <f>TEXT(96339, "[$-0E0000]yyyy-mm-dd")</f>
        <v/>
      </c>
    </row>
    <row r="96341">
      <c r="A96341" s="1" t="n">
        <v>96340</v>
      </c>
      <c r="B96341">
        <f>TEXT(96340, "[$-0E0000]yyyy-mm-dd")</f>
        <v/>
      </c>
    </row>
    <row r="96342">
      <c r="A96342" s="1" t="n">
        <v>96341</v>
      </c>
      <c r="B96342">
        <f>TEXT(96341, "[$-0E0000]yyyy-mm-dd")</f>
        <v/>
      </c>
    </row>
    <row r="96343">
      <c r="A96343" s="1" t="n">
        <v>96342</v>
      </c>
      <c r="B96343">
        <f>TEXT(96342, "[$-0E0000]yyyy-mm-dd")</f>
        <v/>
      </c>
    </row>
    <row r="96344">
      <c r="A96344" s="1" t="n">
        <v>96343</v>
      </c>
      <c r="B96344">
        <f>TEXT(96343, "[$-0E0000]yyyy-mm-dd")</f>
        <v/>
      </c>
    </row>
    <row r="96345">
      <c r="A96345" s="1" t="n">
        <v>96344</v>
      </c>
      <c r="B96345">
        <f>TEXT(96344, "[$-0E0000]yyyy-mm-dd")</f>
        <v/>
      </c>
    </row>
    <row r="96346">
      <c r="A96346" s="1" t="n">
        <v>96345</v>
      </c>
      <c r="B96346">
        <f>TEXT(96345, "[$-0E0000]yyyy-mm-dd")</f>
        <v/>
      </c>
    </row>
    <row r="96347">
      <c r="A96347" s="1" t="n">
        <v>96346</v>
      </c>
      <c r="B96347">
        <f>TEXT(96346, "[$-0E0000]yyyy-mm-dd")</f>
        <v/>
      </c>
    </row>
    <row r="96348">
      <c r="A96348" s="1" t="n">
        <v>96347</v>
      </c>
      <c r="B96348">
        <f>TEXT(96347, "[$-0E0000]yyyy-mm-dd")</f>
        <v/>
      </c>
    </row>
    <row r="96349">
      <c r="A96349" s="1" t="n">
        <v>96348</v>
      </c>
      <c r="B96349">
        <f>TEXT(96348, "[$-0E0000]yyyy-mm-dd")</f>
        <v/>
      </c>
    </row>
    <row r="96350">
      <c r="A96350" s="1" t="n">
        <v>96349</v>
      </c>
      <c r="B96350">
        <f>TEXT(96349, "[$-0E0000]yyyy-mm-dd")</f>
        <v/>
      </c>
    </row>
    <row r="96351">
      <c r="A96351" s="1" t="n">
        <v>96350</v>
      </c>
      <c r="B96351">
        <f>TEXT(96350, "[$-0E0000]yyyy-mm-dd")</f>
        <v/>
      </c>
    </row>
    <row r="96352">
      <c r="A96352" s="1" t="n">
        <v>96351</v>
      </c>
      <c r="B96352">
        <f>TEXT(96351, "[$-0E0000]yyyy-mm-dd")</f>
        <v/>
      </c>
    </row>
    <row r="96353">
      <c r="A96353" s="1" t="n">
        <v>96352</v>
      </c>
      <c r="B96353">
        <f>TEXT(96352, "[$-0E0000]yyyy-mm-dd")</f>
        <v/>
      </c>
    </row>
    <row r="96354">
      <c r="A96354" s="1" t="n">
        <v>96353</v>
      </c>
      <c r="B96354">
        <f>TEXT(96353, "[$-0E0000]yyyy-mm-dd")</f>
        <v/>
      </c>
    </row>
    <row r="96355">
      <c r="A96355" s="1" t="n">
        <v>96354</v>
      </c>
      <c r="B96355">
        <f>TEXT(96354, "[$-0E0000]yyyy-mm-dd")</f>
        <v/>
      </c>
    </row>
    <row r="96356">
      <c r="A96356" s="1" t="n">
        <v>96355</v>
      </c>
      <c r="B96356">
        <f>TEXT(96355, "[$-0E0000]yyyy-mm-dd")</f>
        <v/>
      </c>
    </row>
    <row r="96357">
      <c r="A96357" s="1" t="n">
        <v>96356</v>
      </c>
      <c r="B96357">
        <f>TEXT(96356, "[$-0E0000]yyyy-mm-dd")</f>
        <v/>
      </c>
    </row>
    <row r="96358">
      <c r="A96358" s="1" t="n">
        <v>96357</v>
      </c>
      <c r="B96358">
        <f>TEXT(96357, "[$-0E0000]yyyy-mm-dd")</f>
        <v/>
      </c>
    </row>
    <row r="96359">
      <c r="A96359" s="1" t="n">
        <v>96358</v>
      </c>
      <c r="B96359">
        <f>TEXT(96358, "[$-0E0000]yyyy-mm-dd")</f>
        <v/>
      </c>
    </row>
    <row r="96360">
      <c r="A96360" s="1" t="n">
        <v>96359</v>
      </c>
      <c r="B96360">
        <f>TEXT(96359, "[$-0E0000]yyyy-mm-dd")</f>
        <v/>
      </c>
    </row>
    <row r="96361">
      <c r="A96361" s="1" t="n">
        <v>96360</v>
      </c>
      <c r="B96361">
        <f>TEXT(96360, "[$-0E0000]yyyy-mm-dd")</f>
        <v/>
      </c>
    </row>
    <row r="96362">
      <c r="A96362" s="1" t="n">
        <v>96361</v>
      </c>
      <c r="B96362">
        <f>TEXT(96361, "[$-0E0000]yyyy-mm-dd")</f>
        <v/>
      </c>
    </row>
    <row r="96363">
      <c r="A96363" s="1" t="n">
        <v>96362</v>
      </c>
      <c r="B96363">
        <f>TEXT(96362, "[$-0E0000]yyyy-mm-dd")</f>
        <v/>
      </c>
    </row>
    <row r="96364">
      <c r="A96364" s="1" t="n">
        <v>96363</v>
      </c>
      <c r="B96364">
        <f>TEXT(96363, "[$-0E0000]yyyy-mm-dd")</f>
        <v/>
      </c>
    </row>
    <row r="96365">
      <c r="A96365" s="1" t="n">
        <v>96364</v>
      </c>
      <c r="B96365">
        <f>TEXT(96364, "[$-0E0000]yyyy-mm-dd")</f>
        <v/>
      </c>
    </row>
    <row r="96366">
      <c r="A96366" s="1" t="n">
        <v>96365</v>
      </c>
      <c r="B96366">
        <f>TEXT(96365, "[$-0E0000]yyyy-mm-dd")</f>
        <v/>
      </c>
    </row>
    <row r="96367">
      <c r="A96367" s="1" t="n">
        <v>96366</v>
      </c>
      <c r="B96367">
        <f>TEXT(96366, "[$-0E0000]yyyy-mm-dd")</f>
        <v/>
      </c>
    </row>
    <row r="96368">
      <c r="A96368" s="1" t="n">
        <v>96367</v>
      </c>
      <c r="B96368">
        <f>TEXT(96367, "[$-0E0000]yyyy-mm-dd")</f>
        <v/>
      </c>
    </row>
    <row r="96369">
      <c r="A96369" s="1" t="n">
        <v>96368</v>
      </c>
      <c r="B96369">
        <f>TEXT(96368, "[$-0E0000]yyyy-mm-dd")</f>
        <v/>
      </c>
    </row>
    <row r="96370">
      <c r="A96370" s="1" t="n">
        <v>96369</v>
      </c>
      <c r="B96370">
        <f>TEXT(96369, "[$-0E0000]yyyy-mm-dd")</f>
        <v/>
      </c>
    </row>
    <row r="96371">
      <c r="A96371" s="1" t="n">
        <v>96370</v>
      </c>
      <c r="B96371">
        <f>TEXT(96370, "[$-0E0000]yyyy-mm-dd")</f>
        <v/>
      </c>
    </row>
    <row r="96372">
      <c r="A96372" s="1" t="n">
        <v>96371</v>
      </c>
      <c r="B96372">
        <f>TEXT(96371, "[$-0E0000]yyyy-mm-dd")</f>
        <v/>
      </c>
    </row>
    <row r="96373">
      <c r="A96373" s="1" t="n">
        <v>96372</v>
      </c>
      <c r="B96373">
        <f>TEXT(96372, "[$-0E0000]yyyy-mm-dd")</f>
        <v/>
      </c>
    </row>
    <row r="96374">
      <c r="A96374" s="1" t="n">
        <v>96373</v>
      </c>
      <c r="B96374">
        <f>TEXT(96373, "[$-0E0000]yyyy-mm-dd")</f>
        <v/>
      </c>
    </row>
    <row r="96375">
      <c r="A96375" s="1" t="n">
        <v>96374</v>
      </c>
      <c r="B96375">
        <f>TEXT(96374, "[$-0E0000]yyyy-mm-dd")</f>
        <v/>
      </c>
    </row>
    <row r="96376">
      <c r="A96376" s="1" t="n">
        <v>96375</v>
      </c>
      <c r="B96376">
        <f>TEXT(96375, "[$-0E0000]yyyy-mm-dd")</f>
        <v/>
      </c>
    </row>
    <row r="96377">
      <c r="A96377" s="1" t="n">
        <v>96376</v>
      </c>
      <c r="B96377">
        <f>TEXT(96376, "[$-0E0000]yyyy-mm-dd")</f>
        <v/>
      </c>
    </row>
    <row r="96378">
      <c r="A96378" s="1" t="n">
        <v>96377</v>
      </c>
      <c r="B96378">
        <f>TEXT(96377, "[$-0E0000]yyyy-mm-dd")</f>
        <v/>
      </c>
    </row>
    <row r="96379">
      <c r="A96379" s="1" t="n">
        <v>96378</v>
      </c>
      <c r="B96379">
        <f>TEXT(96378, "[$-0E0000]yyyy-mm-dd")</f>
        <v/>
      </c>
    </row>
    <row r="96380">
      <c r="A96380" s="1" t="n">
        <v>96379</v>
      </c>
      <c r="B96380">
        <f>TEXT(96379, "[$-0E0000]yyyy-mm-dd")</f>
        <v/>
      </c>
    </row>
    <row r="96381">
      <c r="A96381" s="1" t="n">
        <v>96380</v>
      </c>
      <c r="B96381">
        <f>TEXT(96380, "[$-0E0000]yyyy-mm-dd")</f>
        <v/>
      </c>
    </row>
    <row r="96382">
      <c r="A96382" s="1" t="n">
        <v>96381</v>
      </c>
      <c r="B96382">
        <f>TEXT(96381, "[$-0E0000]yyyy-mm-dd")</f>
        <v/>
      </c>
    </row>
    <row r="96383">
      <c r="A96383" s="1" t="n">
        <v>96382</v>
      </c>
      <c r="B96383">
        <f>TEXT(96382, "[$-0E0000]yyyy-mm-dd")</f>
        <v/>
      </c>
    </row>
    <row r="96384">
      <c r="A96384" s="1" t="n">
        <v>96383</v>
      </c>
      <c r="B96384">
        <f>TEXT(96383, "[$-0E0000]yyyy-mm-dd")</f>
        <v/>
      </c>
    </row>
    <row r="96385">
      <c r="A96385" s="1" t="n">
        <v>96384</v>
      </c>
      <c r="B96385">
        <f>TEXT(96384, "[$-0E0000]yyyy-mm-dd")</f>
        <v/>
      </c>
    </row>
    <row r="96386">
      <c r="A96386" s="1" t="n">
        <v>96385</v>
      </c>
      <c r="B96386">
        <f>TEXT(96385, "[$-0E0000]yyyy-mm-dd")</f>
        <v/>
      </c>
    </row>
    <row r="96387">
      <c r="A96387" s="1" t="n">
        <v>96386</v>
      </c>
      <c r="B96387">
        <f>TEXT(96386, "[$-0E0000]yyyy-mm-dd")</f>
        <v/>
      </c>
    </row>
    <row r="96388">
      <c r="A96388" s="1" t="n">
        <v>96387</v>
      </c>
      <c r="B96388">
        <f>TEXT(96387, "[$-0E0000]yyyy-mm-dd")</f>
        <v/>
      </c>
    </row>
    <row r="96389">
      <c r="A96389" s="1" t="n">
        <v>96388</v>
      </c>
      <c r="B96389">
        <f>TEXT(96388, "[$-0E0000]yyyy-mm-dd")</f>
        <v/>
      </c>
    </row>
    <row r="96390">
      <c r="A96390" s="1" t="n">
        <v>96389</v>
      </c>
      <c r="B96390">
        <f>TEXT(96389, "[$-0E0000]yyyy-mm-dd")</f>
        <v/>
      </c>
    </row>
    <row r="96391">
      <c r="A96391" s="1" t="n">
        <v>96390</v>
      </c>
      <c r="B96391">
        <f>TEXT(96390, "[$-0E0000]yyyy-mm-dd")</f>
        <v/>
      </c>
    </row>
    <row r="96392">
      <c r="A96392" s="1" t="n">
        <v>96391</v>
      </c>
      <c r="B96392">
        <f>TEXT(96391, "[$-0E0000]yyyy-mm-dd")</f>
        <v/>
      </c>
    </row>
    <row r="96393">
      <c r="A96393" s="1" t="n">
        <v>96392</v>
      </c>
      <c r="B96393">
        <f>TEXT(96392, "[$-0E0000]yyyy-mm-dd")</f>
        <v/>
      </c>
    </row>
    <row r="96394">
      <c r="A96394" s="1" t="n">
        <v>96393</v>
      </c>
      <c r="B96394">
        <f>TEXT(96393, "[$-0E0000]yyyy-mm-dd")</f>
        <v/>
      </c>
    </row>
    <row r="96395">
      <c r="A96395" s="1" t="n">
        <v>96394</v>
      </c>
      <c r="B96395">
        <f>TEXT(96394, "[$-0E0000]yyyy-mm-dd")</f>
        <v/>
      </c>
    </row>
    <row r="96396">
      <c r="A96396" s="1" t="n">
        <v>96395</v>
      </c>
      <c r="B96396">
        <f>TEXT(96395, "[$-0E0000]yyyy-mm-dd")</f>
        <v/>
      </c>
    </row>
    <row r="96397">
      <c r="A96397" s="1" t="n">
        <v>96396</v>
      </c>
      <c r="B96397">
        <f>TEXT(96396, "[$-0E0000]yyyy-mm-dd")</f>
        <v/>
      </c>
    </row>
    <row r="96398">
      <c r="A96398" s="1" t="n">
        <v>96397</v>
      </c>
      <c r="B96398">
        <f>TEXT(96397, "[$-0E0000]yyyy-mm-dd")</f>
        <v/>
      </c>
    </row>
    <row r="96399">
      <c r="A96399" s="1" t="n">
        <v>96398</v>
      </c>
      <c r="B96399">
        <f>TEXT(96398, "[$-0E0000]yyyy-mm-dd")</f>
        <v/>
      </c>
    </row>
    <row r="96400">
      <c r="A96400" s="1" t="n">
        <v>96399</v>
      </c>
      <c r="B96400">
        <f>TEXT(96399, "[$-0E0000]yyyy-mm-dd")</f>
        <v/>
      </c>
    </row>
    <row r="96401">
      <c r="A96401" s="1" t="n">
        <v>96400</v>
      </c>
      <c r="B96401">
        <f>TEXT(96400, "[$-0E0000]yyyy-mm-dd")</f>
        <v/>
      </c>
    </row>
    <row r="96402">
      <c r="A96402" s="1" t="n">
        <v>96401</v>
      </c>
      <c r="B96402">
        <f>TEXT(96401, "[$-0E0000]yyyy-mm-dd")</f>
        <v/>
      </c>
    </row>
    <row r="96403">
      <c r="A96403" s="1" t="n">
        <v>96402</v>
      </c>
      <c r="B96403">
        <f>TEXT(96402, "[$-0E0000]yyyy-mm-dd")</f>
        <v/>
      </c>
    </row>
    <row r="96404">
      <c r="A96404" s="1" t="n">
        <v>96403</v>
      </c>
      <c r="B96404">
        <f>TEXT(96403, "[$-0E0000]yyyy-mm-dd")</f>
        <v/>
      </c>
    </row>
    <row r="96405">
      <c r="A96405" s="1" t="n">
        <v>96404</v>
      </c>
      <c r="B96405">
        <f>TEXT(96404, "[$-0E0000]yyyy-mm-dd")</f>
        <v/>
      </c>
    </row>
    <row r="96406">
      <c r="A96406" s="1" t="n">
        <v>96405</v>
      </c>
      <c r="B96406">
        <f>TEXT(96405, "[$-0E0000]yyyy-mm-dd")</f>
        <v/>
      </c>
    </row>
    <row r="96407">
      <c r="A96407" s="1" t="n">
        <v>96406</v>
      </c>
      <c r="B96407">
        <f>TEXT(96406, "[$-0E0000]yyyy-mm-dd")</f>
        <v/>
      </c>
    </row>
    <row r="96408">
      <c r="A96408" s="1" t="n">
        <v>96407</v>
      </c>
      <c r="B96408">
        <f>TEXT(96407, "[$-0E0000]yyyy-mm-dd")</f>
        <v/>
      </c>
    </row>
    <row r="96409">
      <c r="A96409" s="1" t="n">
        <v>96408</v>
      </c>
      <c r="B96409">
        <f>TEXT(96408, "[$-0E0000]yyyy-mm-dd")</f>
        <v/>
      </c>
    </row>
    <row r="96410">
      <c r="A96410" s="1" t="n">
        <v>96409</v>
      </c>
      <c r="B96410">
        <f>TEXT(96409, "[$-0E0000]yyyy-mm-dd")</f>
        <v/>
      </c>
    </row>
    <row r="96411">
      <c r="A96411" s="1" t="n">
        <v>96410</v>
      </c>
      <c r="B96411">
        <f>TEXT(96410, "[$-0E0000]yyyy-mm-dd")</f>
        <v/>
      </c>
    </row>
    <row r="96412">
      <c r="A96412" s="1" t="n">
        <v>96411</v>
      </c>
      <c r="B96412">
        <f>TEXT(96411, "[$-0E0000]yyyy-mm-dd")</f>
        <v/>
      </c>
    </row>
    <row r="96413">
      <c r="A96413" s="1" t="n">
        <v>96412</v>
      </c>
      <c r="B96413">
        <f>TEXT(96412, "[$-0E0000]yyyy-mm-dd")</f>
        <v/>
      </c>
    </row>
    <row r="96414">
      <c r="A96414" s="1" t="n">
        <v>96413</v>
      </c>
      <c r="B96414">
        <f>TEXT(96413, "[$-0E0000]yyyy-mm-dd")</f>
        <v/>
      </c>
    </row>
    <row r="96415">
      <c r="A96415" s="1" t="n">
        <v>96414</v>
      </c>
      <c r="B96415">
        <f>TEXT(96414, "[$-0E0000]yyyy-mm-dd")</f>
        <v/>
      </c>
    </row>
    <row r="96416">
      <c r="A96416" s="1" t="n">
        <v>96415</v>
      </c>
      <c r="B96416">
        <f>TEXT(96415, "[$-0E0000]yyyy-mm-dd")</f>
        <v/>
      </c>
    </row>
    <row r="96417">
      <c r="A96417" s="1" t="n">
        <v>96416</v>
      </c>
      <c r="B96417">
        <f>TEXT(96416, "[$-0E0000]yyyy-mm-dd")</f>
        <v/>
      </c>
    </row>
    <row r="96418">
      <c r="A96418" s="1" t="n">
        <v>96417</v>
      </c>
      <c r="B96418">
        <f>TEXT(96417, "[$-0E0000]yyyy-mm-dd")</f>
        <v/>
      </c>
    </row>
    <row r="96419">
      <c r="A96419" s="1" t="n">
        <v>96418</v>
      </c>
      <c r="B96419">
        <f>TEXT(96418, "[$-0E0000]yyyy-mm-dd")</f>
        <v/>
      </c>
    </row>
    <row r="96420">
      <c r="A96420" s="1" t="n">
        <v>96419</v>
      </c>
      <c r="B96420">
        <f>TEXT(96419, "[$-0E0000]yyyy-mm-dd")</f>
        <v/>
      </c>
    </row>
    <row r="96421">
      <c r="A96421" s="1" t="n">
        <v>96420</v>
      </c>
      <c r="B96421">
        <f>TEXT(96420, "[$-0E0000]yyyy-mm-dd")</f>
        <v/>
      </c>
    </row>
    <row r="96422">
      <c r="A96422" s="1" t="n">
        <v>96421</v>
      </c>
      <c r="B96422">
        <f>TEXT(96421, "[$-0E0000]yyyy-mm-dd")</f>
        <v/>
      </c>
    </row>
    <row r="96423">
      <c r="A96423" s="1" t="n">
        <v>96422</v>
      </c>
      <c r="B96423">
        <f>TEXT(96422, "[$-0E0000]yyyy-mm-dd")</f>
        <v/>
      </c>
    </row>
    <row r="96424">
      <c r="A96424" s="1" t="n">
        <v>96423</v>
      </c>
      <c r="B96424">
        <f>TEXT(96423, "[$-0E0000]yyyy-mm-dd")</f>
        <v/>
      </c>
    </row>
    <row r="96425">
      <c r="A96425" s="1" t="n">
        <v>96424</v>
      </c>
      <c r="B96425">
        <f>TEXT(96424, "[$-0E0000]yyyy-mm-dd")</f>
        <v/>
      </c>
    </row>
    <row r="96426">
      <c r="A96426" s="1" t="n">
        <v>96425</v>
      </c>
      <c r="B96426">
        <f>TEXT(96425, "[$-0E0000]yyyy-mm-dd")</f>
        <v/>
      </c>
    </row>
    <row r="96427">
      <c r="A96427" s="1" t="n">
        <v>96426</v>
      </c>
      <c r="B96427">
        <f>TEXT(96426, "[$-0E0000]yyyy-mm-dd")</f>
        <v/>
      </c>
    </row>
    <row r="96428">
      <c r="A96428" s="1" t="n">
        <v>96427</v>
      </c>
      <c r="B96428">
        <f>TEXT(96427, "[$-0E0000]yyyy-mm-dd")</f>
        <v/>
      </c>
    </row>
    <row r="96429">
      <c r="A96429" s="1" t="n">
        <v>96428</v>
      </c>
      <c r="B96429">
        <f>TEXT(96428, "[$-0E0000]yyyy-mm-dd")</f>
        <v/>
      </c>
    </row>
    <row r="96430">
      <c r="A96430" s="1" t="n">
        <v>96429</v>
      </c>
      <c r="B96430">
        <f>TEXT(96429, "[$-0E0000]yyyy-mm-dd")</f>
        <v/>
      </c>
    </row>
    <row r="96431">
      <c r="A96431" s="1" t="n">
        <v>96430</v>
      </c>
      <c r="B96431">
        <f>TEXT(96430, "[$-0E0000]yyyy-mm-dd")</f>
        <v/>
      </c>
    </row>
    <row r="96432">
      <c r="A96432" s="1" t="n">
        <v>96431</v>
      </c>
      <c r="B96432">
        <f>TEXT(96431, "[$-0E0000]yyyy-mm-dd")</f>
        <v/>
      </c>
    </row>
    <row r="96433">
      <c r="A96433" s="1" t="n">
        <v>96432</v>
      </c>
      <c r="B96433">
        <f>TEXT(96432, "[$-0E0000]yyyy-mm-dd")</f>
        <v/>
      </c>
    </row>
    <row r="96434">
      <c r="A96434" s="1" t="n">
        <v>96433</v>
      </c>
      <c r="B96434">
        <f>TEXT(96433, "[$-0E0000]yyyy-mm-dd")</f>
        <v/>
      </c>
    </row>
    <row r="96435">
      <c r="A96435" s="1" t="n">
        <v>96434</v>
      </c>
      <c r="B96435">
        <f>TEXT(96434, "[$-0E0000]yyyy-mm-dd")</f>
        <v/>
      </c>
    </row>
    <row r="96436">
      <c r="A96436" s="1" t="n">
        <v>96435</v>
      </c>
      <c r="B96436">
        <f>TEXT(96435, "[$-0E0000]yyyy-mm-dd")</f>
        <v/>
      </c>
    </row>
    <row r="96437">
      <c r="A96437" s="1" t="n">
        <v>96436</v>
      </c>
      <c r="B96437">
        <f>TEXT(96436, "[$-0E0000]yyyy-mm-dd")</f>
        <v/>
      </c>
    </row>
    <row r="96438">
      <c r="A96438" s="1" t="n">
        <v>96437</v>
      </c>
      <c r="B96438">
        <f>TEXT(96437, "[$-0E0000]yyyy-mm-dd")</f>
        <v/>
      </c>
    </row>
    <row r="96439">
      <c r="A96439" s="1" t="n">
        <v>96438</v>
      </c>
      <c r="B96439">
        <f>TEXT(96438, "[$-0E0000]yyyy-mm-dd")</f>
        <v/>
      </c>
    </row>
    <row r="96440">
      <c r="A96440" s="1" t="n">
        <v>96439</v>
      </c>
      <c r="B96440">
        <f>TEXT(96439, "[$-0E0000]yyyy-mm-dd")</f>
        <v/>
      </c>
    </row>
    <row r="96441">
      <c r="A96441" s="1" t="n">
        <v>96440</v>
      </c>
      <c r="B96441">
        <f>TEXT(96440, "[$-0E0000]yyyy-mm-dd")</f>
        <v/>
      </c>
    </row>
    <row r="96442">
      <c r="A96442" s="1" t="n">
        <v>96441</v>
      </c>
      <c r="B96442">
        <f>TEXT(96441, "[$-0E0000]yyyy-mm-dd")</f>
        <v/>
      </c>
    </row>
    <row r="96443">
      <c r="A96443" s="1" t="n">
        <v>96442</v>
      </c>
      <c r="B96443">
        <f>TEXT(96442, "[$-0E0000]yyyy-mm-dd")</f>
        <v/>
      </c>
    </row>
    <row r="96444">
      <c r="A96444" s="1" t="n">
        <v>96443</v>
      </c>
      <c r="B96444">
        <f>TEXT(96443, "[$-0E0000]yyyy-mm-dd")</f>
        <v/>
      </c>
    </row>
    <row r="96445">
      <c r="A96445" s="1" t="n">
        <v>96444</v>
      </c>
      <c r="B96445">
        <f>TEXT(96444, "[$-0E0000]yyyy-mm-dd")</f>
        <v/>
      </c>
    </row>
    <row r="96446">
      <c r="A96446" s="1" t="n">
        <v>96445</v>
      </c>
      <c r="B96446">
        <f>TEXT(96445, "[$-0E0000]yyyy-mm-dd")</f>
        <v/>
      </c>
    </row>
    <row r="96447">
      <c r="A96447" s="1" t="n">
        <v>96446</v>
      </c>
      <c r="B96447">
        <f>TEXT(96446, "[$-0E0000]yyyy-mm-dd")</f>
        <v/>
      </c>
    </row>
    <row r="96448">
      <c r="A96448" s="1" t="n">
        <v>96447</v>
      </c>
      <c r="B96448">
        <f>TEXT(96447, "[$-0E0000]yyyy-mm-dd")</f>
        <v/>
      </c>
    </row>
    <row r="96449">
      <c r="A96449" s="1" t="n">
        <v>96448</v>
      </c>
      <c r="B96449">
        <f>TEXT(96448, "[$-0E0000]yyyy-mm-dd")</f>
        <v/>
      </c>
    </row>
    <row r="96450">
      <c r="A96450" s="1" t="n">
        <v>96449</v>
      </c>
      <c r="B96450">
        <f>TEXT(96449, "[$-0E0000]yyyy-mm-dd")</f>
        <v/>
      </c>
    </row>
    <row r="96451">
      <c r="A96451" s="1" t="n">
        <v>96450</v>
      </c>
      <c r="B96451">
        <f>TEXT(96450, "[$-0E0000]yyyy-mm-dd")</f>
        <v/>
      </c>
    </row>
    <row r="96452">
      <c r="A96452" s="1" t="n">
        <v>96451</v>
      </c>
      <c r="B96452">
        <f>TEXT(96451, "[$-0E0000]yyyy-mm-dd")</f>
        <v/>
      </c>
    </row>
    <row r="96453">
      <c r="A96453" s="1" t="n">
        <v>96452</v>
      </c>
      <c r="B96453">
        <f>TEXT(96452, "[$-0E0000]yyyy-mm-dd")</f>
        <v/>
      </c>
    </row>
    <row r="96454">
      <c r="A96454" s="1" t="n">
        <v>96453</v>
      </c>
      <c r="B96454">
        <f>TEXT(96453, "[$-0E0000]yyyy-mm-dd")</f>
        <v/>
      </c>
    </row>
    <row r="96455">
      <c r="A96455" s="1" t="n">
        <v>96454</v>
      </c>
      <c r="B96455">
        <f>TEXT(96454, "[$-0E0000]yyyy-mm-dd")</f>
        <v/>
      </c>
    </row>
    <row r="96456">
      <c r="A96456" s="1" t="n">
        <v>96455</v>
      </c>
      <c r="B96456">
        <f>TEXT(96455, "[$-0E0000]yyyy-mm-dd")</f>
        <v/>
      </c>
    </row>
    <row r="96457">
      <c r="A96457" s="1" t="n">
        <v>96456</v>
      </c>
      <c r="B96457">
        <f>TEXT(96456, "[$-0E0000]yyyy-mm-dd")</f>
        <v/>
      </c>
    </row>
    <row r="96458">
      <c r="A96458" s="1" t="n">
        <v>96457</v>
      </c>
      <c r="B96458">
        <f>TEXT(96457, "[$-0E0000]yyyy-mm-dd")</f>
        <v/>
      </c>
    </row>
    <row r="96459">
      <c r="A96459" s="1" t="n">
        <v>96458</v>
      </c>
      <c r="B96459">
        <f>TEXT(96458, "[$-0E0000]yyyy-mm-dd")</f>
        <v/>
      </c>
    </row>
    <row r="96460">
      <c r="A96460" s="1" t="n">
        <v>96459</v>
      </c>
      <c r="B96460">
        <f>TEXT(96459, "[$-0E0000]yyyy-mm-dd")</f>
        <v/>
      </c>
    </row>
    <row r="96461">
      <c r="A96461" s="1" t="n">
        <v>96460</v>
      </c>
      <c r="B96461">
        <f>TEXT(96460, "[$-0E0000]yyyy-mm-dd")</f>
        <v/>
      </c>
    </row>
    <row r="96462">
      <c r="A96462" s="1" t="n">
        <v>96461</v>
      </c>
      <c r="B96462">
        <f>TEXT(96461, "[$-0E0000]yyyy-mm-dd")</f>
        <v/>
      </c>
    </row>
    <row r="96463">
      <c r="A96463" s="1" t="n">
        <v>96462</v>
      </c>
      <c r="B96463">
        <f>TEXT(96462, "[$-0E0000]yyyy-mm-dd")</f>
        <v/>
      </c>
    </row>
    <row r="96464">
      <c r="A96464" s="1" t="n">
        <v>96463</v>
      </c>
      <c r="B96464">
        <f>TEXT(96463, "[$-0E0000]yyyy-mm-dd")</f>
        <v/>
      </c>
    </row>
    <row r="96465">
      <c r="A96465" s="1" t="n">
        <v>96464</v>
      </c>
      <c r="B96465">
        <f>TEXT(96464, "[$-0E0000]yyyy-mm-dd")</f>
        <v/>
      </c>
    </row>
    <row r="96466">
      <c r="A96466" s="1" t="n">
        <v>96465</v>
      </c>
      <c r="B96466">
        <f>TEXT(96465, "[$-0E0000]yyyy-mm-dd")</f>
        <v/>
      </c>
    </row>
    <row r="96467">
      <c r="A96467" s="1" t="n">
        <v>96466</v>
      </c>
      <c r="B96467">
        <f>TEXT(96466, "[$-0E0000]yyyy-mm-dd")</f>
        <v/>
      </c>
    </row>
    <row r="96468">
      <c r="A96468" s="1" t="n">
        <v>96467</v>
      </c>
      <c r="B96468">
        <f>TEXT(96467, "[$-0E0000]yyyy-mm-dd")</f>
        <v/>
      </c>
    </row>
    <row r="96469">
      <c r="A96469" s="1" t="n">
        <v>96468</v>
      </c>
      <c r="B96469">
        <f>TEXT(96468, "[$-0E0000]yyyy-mm-dd")</f>
        <v/>
      </c>
    </row>
    <row r="96470">
      <c r="A96470" s="1" t="n">
        <v>96469</v>
      </c>
      <c r="B96470">
        <f>TEXT(96469, "[$-0E0000]yyyy-mm-dd")</f>
        <v/>
      </c>
    </row>
    <row r="96471">
      <c r="A96471" s="1" t="n">
        <v>96470</v>
      </c>
      <c r="B96471">
        <f>TEXT(96470, "[$-0E0000]yyyy-mm-dd")</f>
        <v/>
      </c>
    </row>
    <row r="96472">
      <c r="A96472" s="1" t="n">
        <v>96471</v>
      </c>
      <c r="B96472">
        <f>TEXT(96471, "[$-0E0000]yyyy-mm-dd")</f>
        <v/>
      </c>
    </row>
    <row r="96473">
      <c r="A96473" s="1" t="n">
        <v>96472</v>
      </c>
      <c r="B96473">
        <f>TEXT(96472, "[$-0E0000]yyyy-mm-dd")</f>
        <v/>
      </c>
    </row>
    <row r="96474">
      <c r="A96474" s="1" t="n">
        <v>96473</v>
      </c>
      <c r="B96474">
        <f>TEXT(96473, "[$-0E0000]yyyy-mm-dd")</f>
        <v/>
      </c>
    </row>
    <row r="96475">
      <c r="A96475" s="1" t="n">
        <v>96474</v>
      </c>
      <c r="B96475">
        <f>TEXT(96474, "[$-0E0000]yyyy-mm-dd")</f>
        <v/>
      </c>
    </row>
    <row r="96476">
      <c r="A96476" s="1" t="n">
        <v>96475</v>
      </c>
      <c r="B96476">
        <f>TEXT(96475, "[$-0E0000]yyyy-mm-dd")</f>
        <v/>
      </c>
    </row>
    <row r="96477">
      <c r="A96477" s="1" t="n">
        <v>96476</v>
      </c>
      <c r="B96477">
        <f>TEXT(96476, "[$-0E0000]yyyy-mm-dd")</f>
        <v/>
      </c>
    </row>
    <row r="96478">
      <c r="A96478" s="1" t="n">
        <v>96477</v>
      </c>
      <c r="B96478">
        <f>TEXT(96477, "[$-0E0000]yyyy-mm-dd")</f>
        <v/>
      </c>
    </row>
    <row r="96479">
      <c r="A96479" s="1" t="n">
        <v>96478</v>
      </c>
      <c r="B96479">
        <f>TEXT(96478, "[$-0E0000]yyyy-mm-dd")</f>
        <v/>
      </c>
    </row>
    <row r="96480">
      <c r="A96480" s="1" t="n">
        <v>96479</v>
      </c>
      <c r="B96480">
        <f>TEXT(96479, "[$-0E0000]yyyy-mm-dd")</f>
        <v/>
      </c>
    </row>
    <row r="96481">
      <c r="A96481" s="1" t="n">
        <v>96480</v>
      </c>
      <c r="B96481">
        <f>TEXT(96480, "[$-0E0000]yyyy-mm-dd")</f>
        <v/>
      </c>
    </row>
    <row r="96482">
      <c r="A96482" s="1" t="n">
        <v>96481</v>
      </c>
      <c r="B96482">
        <f>TEXT(96481, "[$-0E0000]yyyy-mm-dd")</f>
        <v/>
      </c>
    </row>
    <row r="96483">
      <c r="A96483" s="1" t="n">
        <v>96482</v>
      </c>
      <c r="B96483">
        <f>TEXT(96482, "[$-0E0000]yyyy-mm-dd")</f>
        <v/>
      </c>
    </row>
    <row r="96484">
      <c r="A96484" s="1" t="n">
        <v>96483</v>
      </c>
      <c r="B96484">
        <f>TEXT(96483, "[$-0E0000]yyyy-mm-dd")</f>
        <v/>
      </c>
    </row>
    <row r="96485">
      <c r="A96485" s="1" t="n">
        <v>96484</v>
      </c>
      <c r="B96485">
        <f>TEXT(96484, "[$-0E0000]yyyy-mm-dd")</f>
        <v/>
      </c>
    </row>
    <row r="96486">
      <c r="A96486" s="1" t="n">
        <v>96485</v>
      </c>
      <c r="B96486">
        <f>TEXT(96485, "[$-0E0000]yyyy-mm-dd")</f>
        <v/>
      </c>
    </row>
    <row r="96487">
      <c r="A96487" s="1" t="n">
        <v>96486</v>
      </c>
      <c r="B96487">
        <f>TEXT(96486, "[$-0E0000]yyyy-mm-dd")</f>
        <v/>
      </c>
    </row>
    <row r="96488">
      <c r="A96488" s="1" t="n">
        <v>96487</v>
      </c>
      <c r="B96488">
        <f>TEXT(96487, "[$-0E0000]yyyy-mm-dd")</f>
        <v/>
      </c>
    </row>
    <row r="96489">
      <c r="A96489" s="1" t="n">
        <v>96488</v>
      </c>
      <c r="B96489">
        <f>TEXT(96488, "[$-0E0000]yyyy-mm-dd")</f>
        <v/>
      </c>
    </row>
    <row r="96490">
      <c r="A96490" s="1" t="n">
        <v>96489</v>
      </c>
      <c r="B96490">
        <f>TEXT(96489, "[$-0E0000]yyyy-mm-dd")</f>
        <v/>
      </c>
    </row>
    <row r="96491">
      <c r="A96491" s="1" t="n">
        <v>96490</v>
      </c>
      <c r="B96491">
        <f>TEXT(96490, "[$-0E0000]yyyy-mm-dd")</f>
        <v/>
      </c>
    </row>
    <row r="96492">
      <c r="A96492" s="1" t="n">
        <v>96491</v>
      </c>
      <c r="B96492">
        <f>TEXT(96491, "[$-0E0000]yyyy-mm-dd")</f>
        <v/>
      </c>
    </row>
    <row r="96493">
      <c r="A96493" s="1" t="n">
        <v>96492</v>
      </c>
      <c r="B96493">
        <f>TEXT(96492, "[$-0E0000]yyyy-mm-dd")</f>
        <v/>
      </c>
    </row>
    <row r="96494">
      <c r="A96494" s="1" t="n">
        <v>96493</v>
      </c>
      <c r="B96494">
        <f>TEXT(96493, "[$-0E0000]yyyy-mm-dd")</f>
        <v/>
      </c>
    </row>
    <row r="96495">
      <c r="A96495" s="1" t="n">
        <v>96494</v>
      </c>
      <c r="B96495">
        <f>TEXT(96494, "[$-0E0000]yyyy-mm-dd")</f>
        <v/>
      </c>
    </row>
    <row r="96496">
      <c r="A96496" s="1" t="n">
        <v>96495</v>
      </c>
      <c r="B96496">
        <f>TEXT(96495, "[$-0E0000]yyyy-mm-dd")</f>
        <v/>
      </c>
    </row>
    <row r="96497">
      <c r="A96497" s="1" t="n">
        <v>96496</v>
      </c>
      <c r="B96497">
        <f>TEXT(96496, "[$-0E0000]yyyy-mm-dd")</f>
        <v/>
      </c>
    </row>
    <row r="96498">
      <c r="A96498" s="1" t="n">
        <v>96497</v>
      </c>
      <c r="B96498">
        <f>TEXT(96497, "[$-0E0000]yyyy-mm-dd")</f>
        <v/>
      </c>
    </row>
    <row r="96499">
      <c r="A96499" s="1" t="n">
        <v>96498</v>
      </c>
      <c r="B96499">
        <f>TEXT(96498, "[$-0E0000]yyyy-mm-dd")</f>
        <v/>
      </c>
    </row>
    <row r="96500">
      <c r="A96500" s="1" t="n">
        <v>96499</v>
      </c>
      <c r="B96500">
        <f>TEXT(96499, "[$-0E0000]yyyy-mm-dd")</f>
        <v/>
      </c>
    </row>
    <row r="96501">
      <c r="A96501" s="1" t="n">
        <v>96500</v>
      </c>
      <c r="B96501">
        <f>TEXT(96500, "[$-0E0000]yyyy-mm-dd")</f>
        <v/>
      </c>
    </row>
    <row r="96502">
      <c r="A96502" s="1" t="n">
        <v>96501</v>
      </c>
      <c r="B96502">
        <f>TEXT(96501, "[$-0E0000]yyyy-mm-dd")</f>
        <v/>
      </c>
    </row>
    <row r="96503">
      <c r="A96503" s="1" t="n">
        <v>96502</v>
      </c>
      <c r="B96503">
        <f>TEXT(96502, "[$-0E0000]yyyy-mm-dd")</f>
        <v/>
      </c>
    </row>
    <row r="96504">
      <c r="A96504" s="1" t="n">
        <v>96503</v>
      </c>
      <c r="B96504">
        <f>TEXT(96503, "[$-0E0000]yyyy-mm-dd")</f>
        <v/>
      </c>
    </row>
    <row r="96505">
      <c r="A96505" s="1" t="n">
        <v>96504</v>
      </c>
      <c r="B96505">
        <f>TEXT(96504, "[$-0E0000]yyyy-mm-dd")</f>
        <v/>
      </c>
    </row>
    <row r="96506">
      <c r="A96506" s="1" t="n">
        <v>96505</v>
      </c>
      <c r="B96506">
        <f>TEXT(96505, "[$-0E0000]yyyy-mm-dd")</f>
        <v/>
      </c>
    </row>
    <row r="96507">
      <c r="A96507" s="1" t="n">
        <v>96506</v>
      </c>
      <c r="B96507">
        <f>TEXT(96506, "[$-0E0000]yyyy-mm-dd")</f>
        <v/>
      </c>
    </row>
    <row r="96508">
      <c r="A96508" s="1" t="n">
        <v>96507</v>
      </c>
      <c r="B96508">
        <f>TEXT(96507, "[$-0E0000]yyyy-mm-dd")</f>
        <v/>
      </c>
    </row>
    <row r="96509">
      <c r="A96509" s="1" t="n">
        <v>96508</v>
      </c>
      <c r="B96509">
        <f>TEXT(96508, "[$-0E0000]yyyy-mm-dd")</f>
        <v/>
      </c>
    </row>
    <row r="96510">
      <c r="A96510" s="1" t="n">
        <v>96509</v>
      </c>
      <c r="B96510">
        <f>TEXT(96509, "[$-0E0000]yyyy-mm-dd")</f>
        <v/>
      </c>
    </row>
    <row r="96511">
      <c r="A96511" s="1" t="n">
        <v>96510</v>
      </c>
      <c r="B96511">
        <f>TEXT(96510, "[$-0E0000]yyyy-mm-dd")</f>
        <v/>
      </c>
    </row>
    <row r="96512">
      <c r="A96512" s="1" t="n">
        <v>96511</v>
      </c>
      <c r="B96512">
        <f>TEXT(96511, "[$-0E0000]yyyy-mm-dd")</f>
        <v/>
      </c>
    </row>
    <row r="96513">
      <c r="A96513" s="1" t="n">
        <v>96512</v>
      </c>
      <c r="B96513">
        <f>TEXT(96512, "[$-0E0000]yyyy-mm-dd")</f>
        <v/>
      </c>
    </row>
    <row r="96514">
      <c r="A96514" s="1" t="n">
        <v>96513</v>
      </c>
      <c r="B96514">
        <f>TEXT(96513, "[$-0E0000]yyyy-mm-dd")</f>
        <v/>
      </c>
    </row>
    <row r="96515">
      <c r="A96515" s="1" t="n">
        <v>96514</v>
      </c>
      <c r="B96515">
        <f>TEXT(96514, "[$-0E0000]yyyy-mm-dd")</f>
        <v/>
      </c>
    </row>
    <row r="96516">
      <c r="A96516" s="1" t="n">
        <v>96515</v>
      </c>
      <c r="B96516">
        <f>TEXT(96515, "[$-0E0000]yyyy-mm-dd")</f>
        <v/>
      </c>
    </row>
    <row r="96517">
      <c r="A96517" s="1" t="n">
        <v>96516</v>
      </c>
      <c r="B96517">
        <f>TEXT(96516, "[$-0E0000]yyyy-mm-dd")</f>
        <v/>
      </c>
    </row>
    <row r="96518">
      <c r="A96518" s="1" t="n">
        <v>96517</v>
      </c>
      <c r="B96518">
        <f>TEXT(96517, "[$-0E0000]yyyy-mm-dd")</f>
        <v/>
      </c>
    </row>
    <row r="96519">
      <c r="A96519" s="1" t="n">
        <v>96518</v>
      </c>
      <c r="B96519">
        <f>TEXT(96518, "[$-0E0000]yyyy-mm-dd")</f>
        <v/>
      </c>
    </row>
    <row r="96520">
      <c r="A96520" s="1" t="n">
        <v>96519</v>
      </c>
      <c r="B96520">
        <f>TEXT(96519, "[$-0E0000]yyyy-mm-dd")</f>
        <v/>
      </c>
    </row>
    <row r="96521">
      <c r="A96521" s="1" t="n">
        <v>96520</v>
      </c>
      <c r="B96521">
        <f>TEXT(96520, "[$-0E0000]yyyy-mm-dd")</f>
        <v/>
      </c>
    </row>
    <row r="96522">
      <c r="A96522" s="1" t="n">
        <v>96521</v>
      </c>
      <c r="B96522">
        <f>TEXT(96521, "[$-0E0000]yyyy-mm-dd")</f>
        <v/>
      </c>
    </row>
    <row r="96523">
      <c r="A96523" s="1" t="n">
        <v>96522</v>
      </c>
      <c r="B96523">
        <f>TEXT(96522, "[$-0E0000]yyyy-mm-dd")</f>
        <v/>
      </c>
    </row>
    <row r="96524">
      <c r="A96524" s="1" t="n">
        <v>96523</v>
      </c>
      <c r="B96524">
        <f>TEXT(96523, "[$-0E0000]yyyy-mm-dd")</f>
        <v/>
      </c>
    </row>
    <row r="96525">
      <c r="A96525" s="1" t="n">
        <v>96524</v>
      </c>
      <c r="B96525">
        <f>TEXT(96524, "[$-0E0000]yyyy-mm-dd")</f>
        <v/>
      </c>
    </row>
    <row r="96526">
      <c r="A96526" s="1" t="n">
        <v>96525</v>
      </c>
      <c r="B96526">
        <f>TEXT(96525, "[$-0E0000]yyyy-mm-dd")</f>
        <v/>
      </c>
    </row>
    <row r="96527">
      <c r="A96527" s="1" t="n">
        <v>96526</v>
      </c>
      <c r="B96527">
        <f>TEXT(96526, "[$-0E0000]yyyy-mm-dd")</f>
        <v/>
      </c>
    </row>
    <row r="96528">
      <c r="A96528" s="1" t="n">
        <v>96527</v>
      </c>
      <c r="B96528">
        <f>TEXT(96527, "[$-0E0000]yyyy-mm-dd")</f>
        <v/>
      </c>
    </row>
    <row r="96529">
      <c r="A96529" s="1" t="n">
        <v>96528</v>
      </c>
      <c r="B96529">
        <f>TEXT(96528, "[$-0E0000]yyyy-mm-dd")</f>
        <v/>
      </c>
    </row>
    <row r="96530">
      <c r="A96530" s="1" t="n">
        <v>96529</v>
      </c>
      <c r="B96530">
        <f>TEXT(96529, "[$-0E0000]yyyy-mm-dd")</f>
        <v/>
      </c>
    </row>
    <row r="96531">
      <c r="A96531" s="1" t="n">
        <v>96530</v>
      </c>
      <c r="B96531">
        <f>TEXT(96530, "[$-0E0000]yyyy-mm-dd")</f>
        <v/>
      </c>
    </row>
    <row r="96532">
      <c r="A96532" s="1" t="n">
        <v>96531</v>
      </c>
      <c r="B96532">
        <f>TEXT(96531, "[$-0E0000]yyyy-mm-dd")</f>
        <v/>
      </c>
    </row>
    <row r="96533">
      <c r="A96533" s="1" t="n">
        <v>96532</v>
      </c>
      <c r="B96533">
        <f>TEXT(96532, "[$-0E0000]yyyy-mm-dd")</f>
        <v/>
      </c>
    </row>
    <row r="96534">
      <c r="A96534" s="1" t="n">
        <v>96533</v>
      </c>
      <c r="B96534">
        <f>TEXT(96533, "[$-0E0000]yyyy-mm-dd")</f>
        <v/>
      </c>
    </row>
    <row r="96535">
      <c r="A96535" s="1" t="n">
        <v>96534</v>
      </c>
      <c r="B96535">
        <f>TEXT(96534, "[$-0E0000]yyyy-mm-dd")</f>
        <v/>
      </c>
    </row>
    <row r="96536">
      <c r="A96536" s="1" t="n">
        <v>96535</v>
      </c>
      <c r="B96536">
        <f>TEXT(96535, "[$-0E0000]yyyy-mm-dd")</f>
        <v/>
      </c>
    </row>
    <row r="96537">
      <c r="A96537" s="1" t="n">
        <v>96536</v>
      </c>
      <c r="B96537">
        <f>TEXT(96536, "[$-0E0000]yyyy-mm-dd")</f>
        <v/>
      </c>
    </row>
    <row r="96538">
      <c r="A96538" s="1" t="n">
        <v>96537</v>
      </c>
      <c r="B96538">
        <f>TEXT(96537, "[$-0E0000]yyyy-mm-dd")</f>
        <v/>
      </c>
    </row>
    <row r="96539">
      <c r="A96539" s="1" t="n">
        <v>96538</v>
      </c>
      <c r="B96539">
        <f>TEXT(96538, "[$-0E0000]yyyy-mm-dd")</f>
        <v/>
      </c>
    </row>
    <row r="96540">
      <c r="A96540" s="1" t="n">
        <v>96539</v>
      </c>
      <c r="B96540">
        <f>TEXT(96539, "[$-0E0000]yyyy-mm-dd")</f>
        <v/>
      </c>
    </row>
    <row r="96541">
      <c r="A96541" s="1" t="n">
        <v>96540</v>
      </c>
      <c r="B96541">
        <f>TEXT(96540, "[$-0E0000]yyyy-mm-dd")</f>
        <v/>
      </c>
    </row>
    <row r="96542">
      <c r="A96542" s="1" t="n">
        <v>96541</v>
      </c>
      <c r="B96542">
        <f>TEXT(96541, "[$-0E0000]yyyy-mm-dd")</f>
        <v/>
      </c>
    </row>
    <row r="96543">
      <c r="A96543" s="1" t="n">
        <v>96542</v>
      </c>
      <c r="B96543">
        <f>TEXT(96542, "[$-0E0000]yyyy-mm-dd")</f>
        <v/>
      </c>
    </row>
    <row r="96544">
      <c r="A96544" s="1" t="n">
        <v>96543</v>
      </c>
      <c r="B96544">
        <f>TEXT(96543, "[$-0E0000]yyyy-mm-dd")</f>
        <v/>
      </c>
    </row>
    <row r="96545">
      <c r="A96545" s="1" t="n">
        <v>96544</v>
      </c>
      <c r="B96545">
        <f>TEXT(96544, "[$-0E0000]yyyy-mm-dd")</f>
        <v/>
      </c>
    </row>
    <row r="96546">
      <c r="A96546" s="1" t="n">
        <v>96545</v>
      </c>
      <c r="B96546">
        <f>TEXT(96545, "[$-0E0000]yyyy-mm-dd")</f>
        <v/>
      </c>
    </row>
    <row r="96547">
      <c r="A96547" s="1" t="n">
        <v>96546</v>
      </c>
      <c r="B96547">
        <f>TEXT(96546, "[$-0E0000]yyyy-mm-dd")</f>
        <v/>
      </c>
    </row>
    <row r="96548">
      <c r="A96548" s="1" t="n">
        <v>96547</v>
      </c>
      <c r="B96548">
        <f>TEXT(96547, "[$-0E0000]yyyy-mm-dd")</f>
        <v/>
      </c>
    </row>
    <row r="96549">
      <c r="A96549" s="1" t="n">
        <v>96548</v>
      </c>
      <c r="B96549">
        <f>TEXT(96548, "[$-0E0000]yyyy-mm-dd")</f>
        <v/>
      </c>
    </row>
    <row r="96550">
      <c r="A96550" s="1" t="n">
        <v>96549</v>
      </c>
      <c r="B96550">
        <f>TEXT(96549, "[$-0E0000]yyyy-mm-dd")</f>
        <v/>
      </c>
    </row>
    <row r="96551">
      <c r="A96551" s="1" t="n">
        <v>96550</v>
      </c>
      <c r="B96551">
        <f>TEXT(96550, "[$-0E0000]yyyy-mm-dd")</f>
        <v/>
      </c>
    </row>
    <row r="96552">
      <c r="A96552" s="1" t="n">
        <v>96551</v>
      </c>
      <c r="B96552">
        <f>TEXT(96551, "[$-0E0000]yyyy-mm-dd")</f>
        <v/>
      </c>
    </row>
    <row r="96553">
      <c r="A96553" s="1" t="n">
        <v>96552</v>
      </c>
      <c r="B96553">
        <f>TEXT(96552, "[$-0E0000]yyyy-mm-dd")</f>
        <v/>
      </c>
    </row>
    <row r="96554">
      <c r="A96554" s="1" t="n">
        <v>96553</v>
      </c>
      <c r="B96554">
        <f>TEXT(96553, "[$-0E0000]yyyy-mm-dd")</f>
        <v/>
      </c>
    </row>
    <row r="96555">
      <c r="A96555" s="1" t="n">
        <v>96554</v>
      </c>
      <c r="B96555">
        <f>TEXT(96554, "[$-0E0000]yyyy-mm-dd")</f>
        <v/>
      </c>
    </row>
    <row r="96556">
      <c r="A96556" s="1" t="n">
        <v>96555</v>
      </c>
      <c r="B96556">
        <f>TEXT(96555, "[$-0E0000]yyyy-mm-dd")</f>
        <v/>
      </c>
    </row>
    <row r="96557">
      <c r="A96557" s="1" t="n">
        <v>96556</v>
      </c>
      <c r="B96557">
        <f>TEXT(96556, "[$-0E0000]yyyy-mm-dd")</f>
        <v/>
      </c>
    </row>
    <row r="96558">
      <c r="A96558" s="1" t="n">
        <v>96557</v>
      </c>
      <c r="B96558">
        <f>TEXT(96557, "[$-0E0000]yyyy-mm-dd")</f>
        <v/>
      </c>
    </row>
    <row r="96559">
      <c r="A96559" s="1" t="n">
        <v>96558</v>
      </c>
      <c r="B96559">
        <f>TEXT(96558, "[$-0E0000]yyyy-mm-dd")</f>
        <v/>
      </c>
    </row>
    <row r="96560">
      <c r="A96560" s="1" t="n">
        <v>96559</v>
      </c>
      <c r="B96560">
        <f>TEXT(96559, "[$-0E0000]yyyy-mm-dd")</f>
        <v/>
      </c>
    </row>
    <row r="96561">
      <c r="A96561" s="1" t="n">
        <v>96560</v>
      </c>
      <c r="B96561">
        <f>TEXT(96560, "[$-0E0000]yyyy-mm-dd")</f>
        <v/>
      </c>
    </row>
    <row r="96562">
      <c r="A96562" s="1" t="n">
        <v>96561</v>
      </c>
      <c r="B96562">
        <f>TEXT(96561, "[$-0E0000]yyyy-mm-dd")</f>
        <v/>
      </c>
    </row>
    <row r="96563">
      <c r="A96563" s="1" t="n">
        <v>96562</v>
      </c>
      <c r="B96563">
        <f>TEXT(96562, "[$-0E0000]yyyy-mm-dd")</f>
        <v/>
      </c>
    </row>
    <row r="96564">
      <c r="A96564" s="1" t="n">
        <v>96563</v>
      </c>
      <c r="B96564">
        <f>TEXT(96563, "[$-0E0000]yyyy-mm-dd")</f>
        <v/>
      </c>
    </row>
    <row r="96565">
      <c r="A96565" s="1" t="n">
        <v>96564</v>
      </c>
      <c r="B96565">
        <f>TEXT(96564, "[$-0E0000]yyyy-mm-dd")</f>
        <v/>
      </c>
    </row>
    <row r="96566">
      <c r="A96566" s="1" t="n">
        <v>96565</v>
      </c>
      <c r="B96566">
        <f>TEXT(96565, "[$-0E0000]yyyy-mm-dd")</f>
        <v/>
      </c>
    </row>
    <row r="96567">
      <c r="A96567" s="1" t="n">
        <v>96566</v>
      </c>
      <c r="B96567">
        <f>TEXT(96566, "[$-0E0000]yyyy-mm-dd")</f>
        <v/>
      </c>
    </row>
    <row r="96568">
      <c r="A96568" s="1" t="n">
        <v>96567</v>
      </c>
      <c r="B96568">
        <f>TEXT(96567, "[$-0E0000]yyyy-mm-dd")</f>
        <v/>
      </c>
    </row>
    <row r="96569">
      <c r="A96569" s="1" t="n">
        <v>96568</v>
      </c>
      <c r="B96569">
        <f>TEXT(96568, "[$-0E0000]yyyy-mm-dd")</f>
        <v/>
      </c>
    </row>
    <row r="96570">
      <c r="A96570" s="1" t="n">
        <v>96569</v>
      </c>
      <c r="B96570">
        <f>TEXT(96569, "[$-0E0000]yyyy-mm-dd")</f>
        <v/>
      </c>
    </row>
    <row r="96571">
      <c r="A96571" s="1" t="n">
        <v>96570</v>
      </c>
      <c r="B96571">
        <f>TEXT(96570, "[$-0E0000]yyyy-mm-dd")</f>
        <v/>
      </c>
    </row>
    <row r="96572">
      <c r="A96572" s="1" t="n">
        <v>96571</v>
      </c>
      <c r="B96572">
        <f>TEXT(96571, "[$-0E0000]yyyy-mm-dd")</f>
        <v/>
      </c>
    </row>
    <row r="96573">
      <c r="A96573" s="1" t="n">
        <v>96572</v>
      </c>
      <c r="B96573">
        <f>TEXT(96572, "[$-0E0000]yyyy-mm-dd")</f>
        <v/>
      </c>
    </row>
    <row r="96574">
      <c r="A96574" s="1" t="n">
        <v>96573</v>
      </c>
      <c r="B96574">
        <f>TEXT(96573, "[$-0E0000]yyyy-mm-dd")</f>
        <v/>
      </c>
    </row>
    <row r="96575">
      <c r="A96575" s="1" t="n">
        <v>96574</v>
      </c>
      <c r="B96575">
        <f>TEXT(96574, "[$-0E0000]yyyy-mm-dd")</f>
        <v/>
      </c>
    </row>
    <row r="96576">
      <c r="A96576" s="1" t="n">
        <v>96575</v>
      </c>
      <c r="B96576">
        <f>TEXT(96575, "[$-0E0000]yyyy-mm-dd")</f>
        <v/>
      </c>
    </row>
    <row r="96577">
      <c r="A96577" s="1" t="n">
        <v>96576</v>
      </c>
      <c r="B96577">
        <f>TEXT(96576, "[$-0E0000]yyyy-mm-dd")</f>
        <v/>
      </c>
    </row>
    <row r="96578">
      <c r="A96578" s="1" t="n">
        <v>96577</v>
      </c>
      <c r="B96578">
        <f>TEXT(96577, "[$-0E0000]yyyy-mm-dd")</f>
        <v/>
      </c>
    </row>
    <row r="96579">
      <c r="A96579" s="1" t="n">
        <v>96578</v>
      </c>
      <c r="B96579">
        <f>TEXT(96578, "[$-0E0000]yyyy-mm-dd")</f>
        <v/>
      </c>
    </row>
    <row r="96580">
      <c r="A96580" s="1" t="n">
        <v>96579</v>
      </c>
      <c r="B96580">
        <f>TEXT(96579, "[$-0E0000]yyyy-mm-dd")</f>
        <v/>
      </c>
    </row>
    <row r="96581">
      <c r="A96581" s="1" t="n">
        <v>96580</v>
      </c>
      <c r="B96581">
        <f>TEXT(96580, "[$-0E0000]yyyy-mm-dd")</f>
        <v/>
      </c>
    </row>
    <row r="96582">
      <c r="A96582" s="1" t="n">
        <v>96581</v>
      </c>
      <c r="B96582">
        <f>TEXT(96581, "[$-0E0000]yyyy-mm-dd")</f>
        <v/>
      </c>
    </row>
    <row r="96583">
      <c r="A96583" s="1" t="n">
        <v>96582</v>
      </c>
      <c r="B96583">
        <f>TEXT(96582, "[$-0E0000]yyyy-mm-dd")</f>
        <v/>
      </c>
    </row>
    <row r="96584">
      <c r="A96584" s="1" t="n">
        <v>96583</v>
      </c>
      <c r="B96584">
        <f>TEXT(96583, "[$-0E0000]yyyy-mm-dd")</f>
        <v/>
      </c>
    </row>
    <row r="96585">
      <c r="A96585" s="1" t="n">
        <v>96584</v>
      </c>
      <c r="B96585">
        <f>TEXT(96584, "[$-0E0000]yyyy-mm-dd")</f>
        <v/>
      </c>
    </row>
    <row r="96586">
      <c r="A96586" s="1" t="n">
        <v>96585</v>
      </c>
      <c r="B96586">
        <f>TEXT(96585, "[$-0E0000]yyyy-mm-dd")</f>
        <v/>
      </c>
    </row>
    <row r="96587">
      <c r="A96587" s="1" t="n">
        <v>96586</v>
      </c>
      <c r="B96587">
        <f>TEXT(96586, "[$-0E0000]yyyy-mm-dd")</f>
        <v/>
      </c>
    </row>
    <row r="96588">
      <c r="A96588" s="1" t="n">
        <v>96587</v>
      </c>
      <c r="B96588">
        <f>TEXT(96587, "[$-0E0000]yyyy-mm-dd")</f>
        <v/>
      </c>
    </row>
    <row r="96589">
      <c r="A96589" s="1" t="n">
        <v>96588</v>
      </c>
      <c r="B96589">
        <f>TEXT(96588, "[$-0E0000]yyyy-mm-dd")</f>
        <v/>
      </c>
    </row>
    <row r="96590">
      <c r="A96590" s="1" t="n">
        <v>96589</v>
      </c>
      <c r="B96590">
        <f>TEXT(96589, "[$-0E0000]yyyy-mm-dd")</f>
        <v/>
      </c>
    </row>
    <row r="96591">
      <c r="A96591" s="1" t="n">
        <v>96590</v>
      </c>
      <c r="B96591">
        <f>TEXT(96590, "[$-0E0000]yyyy-mm-dd")</f>
        <v/>
      </c>
    </row>
    <row r="96592">
      <c r="A96592" s="1" t="n">
        <v>96591</v>
      </c>
      <c r="B96592">
        <f>TEXT(96591, "[$-0E0000]yyyy-mm-dd")</f>
        <v/>
      </c>
    </row>
    <row r="96593">
      <c r="A96593" s="1" t="n">
        <v>96592</v>
      </c>
      <c r="B96593">
        <f>TEXT(96592, "[$-0E0000]yyyy-mm-dd")</f>
        <v/>
      </c>
    </row>
    <row r="96594">
      <c r="A96594" s="1" t="n">
        <v>96593</v>
      </c>
      <c r="B96594">
        <f>TEXT(96593, "[$-0E0000]yyyy-mm-dd")</f>
        <v/>
      </c>
    </row>
    <row r="96595">
      <c r="A96595" s="1" t="n">
        <v>96594</v>
      </c>
      <c r="B96595">
        <f>TEXT(96594, "[$-0E0000]yyyy-mm-dd")</f>
        <v/>
      </c>
    </row>
    <row r="96596">
      <c r="A96596" s="1" t="n">
        <v>96595</v>
      </c>
      <c r="B96596">
        <f>TEXT(96595, "[$-0E0000]yyyy-mm-dd")</f>
        <v/>
      </c>
    </row>
    <row r="96597">
      <c r="A96597" s="1" t="n">
        <v>96596</v>
      </c>
      <c r="B96597">
        <f>TEXT(96596, "[$-0E0000]yyyy-mm-dd")</f>
        <v/>
      </c>
    </row>
    <row r="96598">
      <c r="A96598" s="1" t="n">
        <v>96597</v>
      </c>
      <c r="B96598">
        <f>TEXT(96597, "[$-0E0000]yyyy-mm-dd")</f>
        <v/>
      </c>
    </row>
    <row r="96599">
      <c r="A96599" s="1" t="n">
        <v>96598</v>
      </c>
      <c r="B96599">
        <f>TEXT(96598, "[$-0E0000]yyyy-mm-dd")</f>
        <v/>
      </c>
    </row>
    <row r="96600">
      <c r="A96600" s="1" t="n">
        <v>96599</v>
      </c>
      <c r="B96600">
        <f>TEXT(96599, "[$-0E0000]yyyy-mm-dd")</f>
        <v/>
      </c>
    </row>
    <row r="96601">
      <c r="A96601" s="1" t="n">
        <v>96600</v>
      </c>
      <c r="B96601">
        <f>TEXT(96600, "[$-0E0000]yyyy-mm-dd")</f>
        <v/>
      </c>
    </row>
    <row r="96602">
      <c r="A96602" s="1" t="n">
        <v>96601</v>
      </c>
      <c r="B96602">
        <f>TEXT(96601, "[$-0E0000]yyyy-mm-dd")</f>
        <v/>
      </c>
    </row>
    <row r="96603">
      <c r="A96603" s="1" t="n">
        <v>96602</v>
      </c>
      <c r="B96603">
        <f>TEXT(96602, "[$-0E0000]yyyy-mm-dd")</f>
        <v/>
      </c>
    </row>
    <row r="96604">
      <c r="A96604" s="1" t="n">
        <v>96603</v>
      </c>
      <c r="B96604">
        <f>TEXT(96603, "[$-0E0000]yyyy-mm-dd")</f>
        <v/>
      </c>
    </row>
    <row r="96605">
      <c r="A96605" s="1" t="n">
        <v>96604</v>
      </c>
      <c r="B96605">
        <f>TEXT(96604, "[$-0E0000]yyyy-mm-dd")</f>
        <v/>
      </c>
    </row>
    <row r="96606">
      <c r="A96606" s="1" t="n">
        <v>96605</v>
      </c>
      <c r="B96606">
        <f>TEXT(96605, "[$-0E0000]yyyy-mm-dd")</f>
        <v/>
      </c>
    </row>
    <row r="96607">
      <c r="A96607" s="1" t="n">
        <v>96606</v>
      </c>
      <c r="B96607">
        <f>TEXT(96606, "[$-0E0000]yyyy-mm-dd")</f>
        <v/>
      </c>
    </row>
    <row r="96608">
      <c r="A96608" s="1" t="n">
        <v>96607</v>
      </c>
      <c r="B96608">
        <f>TEXT(96607, "[$-0E0000]yyyy-mm-dd")</f>
        <v/>
      </c>
    </row>
    <row r="96609">
      <c r="A96609" s="1" t="n">
        <v>96608</v>
      </c>
      <c r="B96609">
        <f>TEXT(96608, "[$-0E0000]yyyy-mm-dd")</f>
        <v/>
      </c>
    </row>
    <row r="96610">
      <c r="A96610" s="1" t="n">
        <v>96609</v>
      </c>
      <c r="B96610">
        <f>TEXT(96609, "[$-0E0000]yyyy-mm-dd")</f>
        <v/>
      </c>
    </row>
    <row r="96611">
      <c r="A96611" s="1" t="n">
        <v>96610</v>
      </c>
      <c r="B96611">
        <f>TEXT(96610, "[$-0E0000]yyyy-mm-dd")</f>
        <v/>
      </c>
    </row>
    <row r="96612">
      <c r="A96612" s="1" t="n">
        <v>96611</v>
      </c>
      <c r="B96612">
        <f>TEXT(96611, "[$-0E0000]yyyy-mm-dd")</f>
        <v/>
      </c>
    </row>
    <row r="96613">
      <c r="A96613" s="1" t="n">
        <v>96612</v>
      </c>
      <c r="B96613">
        <f>TEXT(96612, "[$-0E0000]yyyy-mm-dd")</f>
        <v/>
      </c>
    </row>
    <row r="96614">
      <c r="A96614" s="1" t="n">
        <v>96613</v>
      </c>
      <c r="B96614">
        <f>TEXT(96613, "[$-0E0000]yyyy-mm-dd")</f>
        <v/>
      </c>
    </row>
    <row r="96615">
      <c r="A96615" s="1" t="n">
        <v>96614</v>
      </c>
      <c r="B96615">
        <f>TEXT(96614, "[$-0E0000]yyyy-mm-dd")</f>
        <v/>
      </c>
    </row>
    <row r="96616">
      <c r="A96616" s="1" t="n">
        <v>96615</v>
      </c>
      <c r="B96616">
        <f>TEXT(96615, "[$-0E0000]yyyy-mm-dd")</f>
        <v/>
      </c>
    </row>
    <row r="96617">
      <c r="A96617" s="1" t="n">
        <v>96616</v>
      </c>
      <c r="B96617">
        <f>TEXT(96616, "[$-0E0000]yyyy-mm-dd")</f>
        <v/>
      </c>
    </row>
    <row r="96618">
      <c r="A96618" s="1" t="n">
        <v>96617</v>
      </c>
      <c r="B96618">
        <f>TEXT(96617, "[$-0E0000]yyyy-mm-dd")</f>
        <v/>
      </c>
    </row>
    <row r="96619">
      <c r="A96619" s="1" t="n">
        <v>96618</v>
      </c>
      <c r="B96619">
        <f>TEXT(96618, "[$-0E0000]yyyy-mm-dd")</f>
        <v/>
      </c>
    </row>
    <row r="96620">
      <c r="A96620" s="1" t="n">
        <v>96619</v>
      </c>
      <c r="B96620">
        <f>TEXT(96619, "[$-0E0000]yyyy-mm-dd")</f>
        <v/>
      </c>
    </row>
    <row r="96621">
      <c r="A96621" s="1" t="n">
        <v>96620</v>
      </c>
      <c r="B96621">
        <f>TEXT(96620, "[$-0E0000]yyyy-mm-dd")</f>
        <v/>
      </c>
    </row>
    <row r="96622">
      <c r="A96622" s="1" t="n">
        <v>96621</v>
      </c>
      <c r="B96622">
        <f>TEXT(96621, "[$-0E0000]yyyy-mm-dd")</f>
        <v/>
      </c>
    </row>
    <row r="96623">
      <c r="A96623" s="1" t="n">
        <v>96622</v>
      </c>
      <c r="B96623">
        <f>TEXT(96622, "[$-0E0000]yyyy-mm-dd")</f>
        <v/>
      </c>
    </row>
    <row r="96624">
      <c r="A96624" s="1" t="n">
        <v>96623</v>
      </c>
      <c r="B96624">
        <f>TEXT(96623, "[$-0E0000]yyyy-mm-dd")</f>
        <v/>
      </c>
    </row>
    <row r="96625">
      <c r="A96625" s="1" t="n">
        <v>96624</v>
      </c>
      <c r="B96625">
        <f>TEXT(96624, "[$-0E0000]yyyy-mm-dd")</f>
        <v/>
      </c>
    </row>
    <row r="96626">
      <c r="A96626" s="1" t="n">
        <v>96625</v>
      </c>
      <c r="B96626">
        <f>TEXT(96625, "[$-0E0000]yyyy-mm-dd")</f>
        <v/>
      </c>
    </row>
    <row r="96627">
      <c r="A96627" s="1" t="n">
        <v>96626</v>
      </c>
      <c r="B96627">
        <f>TEXT(96626, "[$-0E0000]yyyy-mm-dd")</f>
        <v/>
      </c>
    </row>
    <row r="96628">
      <c r="A96628" s="1" t="n">
        <v>96627</v>
      </c>
      <c r="B96628">
        <f>TEXT(96627, "[$-0E0000]yyyy-mm-dd")</f>
        <v/>
      </c>
    </row>
    <row r="96629">
      <c r="A96629" s="1" t="n">
        <v>96628</v>
      </c>
      <c r="B96629">
        <f>TEXT(96628, "[$-0E0000]yyyy-mm-dd")</f>
        <v/>
      </c>
    </row>
    <row r="96630">
      <c r="A96630" s="1" t="n">
        <v>96629</v>
      </c>
      <c r="B96630">
        <f>TEXT(96629, "[$-0E0000]yyyy-mm-dd")</f>
        <v/>
      </c>
    </row>
    <row r="96631">
      <c r="A96631" s="1" t="n">
        <v>96630</v>
      </c>
      <c r="B96631">
        <f>TEXT(96630, "[$-0E0000]yyyy-mm-dd")</f>
        <v/>
      </c>
    </row>
    <row r="96632">
      <c r="A96632" s="1" t="n">
        <v>96631</v>
      </c>
      <c r="B96632">
        <f>TEXT(96631, "[$-0E0000]yyyy-mm-dd")</f>
        <v/>
      </c>
    </row>
    <row r="96633">
      <c r="A96633" s="1" t="n">
        <v>96632</v>
      </c>
      <c r="B96633">
        <f>TEXT(96632, "[$-0E0000]yyyy-mm-dd")</f>
        <v/>
      </c>
    </row>
    <row r="96634">
      <c r="A96634" s="1" t="n">
        <v>96633</v>
      </c>
      <c r="B96634">
        <f>TEXT(96633, "[$-0E0000]yyyy-mm-dd")</f>
        <v/>
      </c>
    </row>
    <row r="96635">
      <c r="A96635" s="1" t="n">
        <v>96634</v>
      </c>
      <c r="B96635">
        <f>TEXT(96634, "[$-0E0000]yyyy-mm-dd")</f>
        <v/>
      </c>
    </row>
    <row r="96636">
      <c r="A96636" s="1" t="n">
        <v>96635</v>
      </c>
      <c r="B96636">
        <f>TEXT(96635, "[$-0E0000]yyyy-mm-dd")</f>
        <v/>
      </c>
    </row>
    <row r="96637">
      <c r="A96637" s="1" t="n">
        <v>96636</v>
      </c>
      <c r="B96637">
        <f>TEXT(96636, "[$-0E0000]yyyy-mm-dd")</f>
        <v/>
      </c>
    </row>
    <row r="96638">
      <c r="A96638" s="1" t="n">
        <v>96637</v>
      </c>
      <c r="B96638">
        <f>TEXT(96637, "[$-0E0000]yyyy-mm-dd")</f>
        <v/>
      </c>
    </row>
    <row r="96639">
      <c r="A96639" s="1" t="n">
        <v>96638</v>
      </c>
      <c r="B96639">
        <f>TEXT(96638, "[$-0E0000]yyyy-mm-dd")</f>
        <v/>
      </c>
    </row>
    <row r="96640">
      <c r="A96640" s="1" t="n">
        <v>96639</v>
      </c>
      <c r="B96640">
        <f>TEXT(96639, "[$-0E0000]yyyy-mm-dd")</f>
        <v/>
      </c>
    </row>
    <row r="96641">
      <c r="A96641" s="1" t="n">
        <v>96640</v>
      </c>
      <c r="B96641">
        <f>TEXT(96640, "[$-0E0000]yyyy-mm-dd")</f>
        <v/>
      </c>
    </row>
    <row r="96642">
      <c r="A96642" s="1" t="n">
        <v>96641</v>
      </c>
      <c r="B96642">
        <f>TEXT(96641, "[$-0E0000]yyyy-mm-dd")</f>
        <v/>
      </c>
    </row>
    <row r="96643">
      <c r="A96643" s="1" t="n">
        <v>96642</v>
      </c>
      <c r="B96643">
        <f>TEXT(96642, "[$-0E0000]yyyy-mm-dd")</f>
        <v/>
      </c>
    </row>
    <row r="96644">
      <c r="A96644" s="1" t="n">
        <v>96643</v>
      </c>
      <c r="B96644">
        <f>TEXT(96643, "[$-0E0000]yyyy-mm-dd")</f>
        <v/>
      </c>
    </row>
    <row r="96645">
      <c r="A96645" s="1" t="n">
        <v>96644</v>
      </c>
      <c r="B96645">
        <f>TEXT(96644, "[$-0E0000]yyyy-mm-dd")</f>
        <v/>
      </c>
    </row>
    <row r="96646">
      <c r="A96646" s="1" t="n">
        <v>96645</v>
      </c>
      <c r="B96646">
        <f>TEXT(96645, "[$-0E0000]yyyy-mm-dd")</f>
        <v/>
      </c>
    </row>
    <row r="96647">
      <c r="A96647" s="1" t="n">
        <v>96646</v>
      </c>
      <c r="B96647">
        <f>TEXT(96646, "[$-0E0000]yyyy-mm-dd")</f>
        <v/>
      </c>
    </row>
    <row r="96648">
      <c r="A96648" s="1" t="n">
        <v>96647</v>
      </c>
      <c r="B96648">
        <f>TEXT(96647, "[$-0E0000]yyyy-mm-dd")</f>
        <v/>
      </c>
    </row>
    <row r="96649">
      <c r="A96649" s="1" t="n">
        <v>96648</v>
      </c>
      <c r="B96649">
        <f>TEXT(96648, "[$-0E0000]yyyy-mm-dd")</f>
        <v/>
      </c>
    </row>
    <row r="96650">
      <c r="A96650" s="1" t="n">
        <v>96649</v>
      </c>
      <c r="B96650">
        <f>TEXT(96649, "[$-0E0000]yyyy-mm-dd")</f>
        <v/>
      </c>
    </row>
    <row r="96651">
      <c r="A96651" s="1" t="n">
        <v>96650</v>
      </c>
      <c r="B96651">
        <f>TEXT(96650, "[$-0E0000]yyyy-mm-dd")</f>
        <v/>
      </c>
    </row>
    <row r="96652">
      <c r="A96652" s="1" t="n">
        <v>96651</v>
      </c>
      <c r="B96652">
        <f>TEXT(96651, "[$-0E0000]yyyy-mm-dd")</f>
        <v/>
      </c>
    </row>
    <row r="96653">
      <c r="A96653" s="1" t="n">
        <v>96652</v>
      </c>
      <c r="B96653">
        <f>TEXT(96652, "[$-0E0000]yyyy-mm-dd")</f>
        <v/>
      </c>
    </row>
    <row r="96654">
      <c r="A96654" s="1" t="n">
        <v>96653</v>
      </c>
      <c r="B96654">
        <f>TEXT(96653, "[$-0E0000]yyyy-mm-dd")</f>
        <v/>
      </c>
    </row>
    <row r="96655">
      <c r="A96655" s="1" t="n">
        <v>96654</v>
      </c>
      <c r="B96655">
        <f>TEXT(96654, "[$-0E0000]yyyy-mm-dd")</f>
        <v/>
      </c>
    </row>
    <row r="96656">
      <c r="A96656" s="1" t="n">
        <v>96655</v>
      </c>
      <c r="B96656">
        <f>TEXT(96655, "[$-0E0000]yyyy-mm-dd")</f>
        <v/>
      </c>
    </row>
    <row r="96657">
      <c r="A96657" s="1" t="n">
        <v>96656</v>
      </c>
      <c r="B96657">
        <f>TEXT(96656, "[$-0E0000]yyyy-mm-dd")</f>
        <v/>
      </c>
    </row>
    <row r="96658">
      <c r="A96658" s="1" t="n">
        <v>96657</v>
      </c>
      <c r="B96658">
        <f>TEXT(96657, "[$-0E0000]yyyy-mm-dd")</f>
        <v/>
      </c>
    </row>
    <row r="96659">
      <c r="A96659" s="1" t="n">
        <v>96658</v>
      </c>
      <c r="B96659">
        <f>TEXT(96658, "[$-0E0000]yyyy-mm-dd")</f>
        <v/>
      </c>
    </row>
    <row r="96660">
      <c r="A96660" s="1" t="n">
        <v>96659</v>
      </c>
      <c r="B96660">
        <f>TEXT(96659, "[$-0E0000]yyyy-mm-dd")</f>
        <v/>
      </c>
    </row>
    <row r="96661">
      <c r="A96661" s="1" t="n">
        <v>96660</v>
      </c>
      <c r="B96661">
        <f>TEXT(96660, "[$-0E0000]yyyy-mm-dd")</f>
        <v/>
      </c>
    </row>
    <row r="96662">
      <c r="A96662" s="1" t="n">
        <v>96661</v>
      </c>
      <c r="B96662">
        <f>TEXT(96661, "[$-0E0000]yyyy-mm-dd")</f>
        <v/>
      </c>
    </row>
    <row r="96663">
      <c r="A96663" s="1" t="n">
        <v>96662</v>
      </c>
      <c r="B96663">
        <f>TEXT(96662, "[$-0E0000]yyyy-mm-dd")</f>
        <v/>
      </c>
    </row>
    <row r="96664">
      <c r="A96664" s="1" t="n">
        <v>96663</v>
      </c>
      <c r="B96664">
        <f>TEXT(96663, "[$-0E0000]yyyy-mm-dd")</f>
        <v/>
      </c>
    </row>
    <row r="96665">
      <c r="A96665" s="1" t="n">
        <v>96664</v>
      </c>
      <c r="B96665">
        <f>TEXT(96664, "[$-0E0000]yyyy-mm-dd")</f>
        <v/>
      </c>
    </row>
    <row r="96666">
      <c r="A96666" s="1" t="n">
        <v>96665</v>
      </c>
      <c r="B96666">
        <f>TEXT(96665, "[$-0E0000]yyyy-mm-dd")</f>
        <v/>
      </c>
    </row>
    <row r="96667">
      <c r="A96667" s="1" t="n">
        <v>96666</v>
      </c>
      <c r="B96667">
        <f>TEXT(96666, "[$-0E0000]yyyy-mm-dd")</f>
        <v/>
      </c>
    </row>
    <row r="96668">
      <c r="A96668" s="1" t="n">
        <v>96667</v>
      </c>
      <c r="B96668">
        <f>TEXT(96667, "[$-0E0000]yyyy-mm-dd")</f>
        <v/>
      </c>
    </row>
    <row r="96669">
      <c r="A96669" s="1" t="n">
        <v>96668</v>
      </c>
      <c r="B96669">
        <f>TEXT(96668, "[$-0E0000]yyyy-mm-dd")</f>
        <v/>
      </c>
    </row>
    <row r="96670">
      <c r="A96670" s="1" t="n">
        <v>96669</v>
      </c>
      <c r="B96670">
        <f>TEXT(96669, "[$-0E0000]yyyy-mm-dd")</f>
        <v/>
      </c>
    </row>
    <row r="96671">
      <c r="A96671" s="1" t="n">
        <v>96670</v>
      </c>
      <c r="B96671">
        <f>TEXT(96670, "[$-0E0000]yyyy-mm-dd")</f>
        <v/>
      </c>
    </row>
    <row r="96672">
      <c r="A96672" s="1" t="n">
        <v>96671</v>
      </c>
      <c r="B96672">
        <f>TEXT(96671, "[$-0E0000]yyyy-mm-dd")</f>
        <v/>
      </c>
    </row>
    <row r="96673">
      <c r="A96673" s="1" t="n">
        <v>96672</v>
      </c>
      <c r="B96673">
        <f>TEXT(96672, "[$-0E0000]yyyy-mm-dd")</f>
        <v/>
      </c>
    </row>
    <row r="96674">
      <c r="A96674" s="1" t="n">
        <v>96673</v>
      </c>
      <c r="B96674">
        <f>TEXT(96673, "[$-0E0000]yyyy-mm-dd")</f>
        <v/>
      </c>
    </row>
    <row r="96675">
      <c r="A96675" s="1" t="n">
        <v>96674</v>
      </c>
      <c r="B96675">
        <f>TEXT(96674, "[$-0E0000]yyyy-mm-dd")</f>
        <v/>
      </c>
    </row>
    <row r="96676">
      <c r="A96676" s="1" t="n">
        <v>96675</v>
      </c>
      <c r="B96676">
        <f>TEXT(96675, "[$-0E0000]yyyy-mm-dd")</f>
        <v/>
      </c>
    </row>
    <row r="96677">
      <c r="A96677" s="1" t="n">
        <v>96676</v>
      </c>
      <c r="B96677">
        <f>TEXT(96676, "[$-0E0000]yyyy-mm-dd")</f>
        <v/>
      </c>
    </row>
    <row r="96678">
      <c r="A96678" s="1" t="n">
        <v>96677</v>
      </c>
      <c r="B96678">
        <f>TEXT(96677, "[$-0E0000]yyyy-mm-dd")</f>
        <v/>
      </c>
    </row>
    <row r="96679">
      <c r="A96679" s="1" t="n">
        <v>96678</v>
      </c>
      <c r="B96679">
        <f>TEXT(96678, "[$-0E0000]yyyy-mm-dd")</f>
        <v/>
      </c>
    </row>
    <row r="96680">
      <c r="A96680" s="1" t="n">
        <v>96679</v>
      </c>
      <c r="B96680">
        <f>TEXT(96679, "[$-0E0000]yyyy-mm-dd")</f>
        <v/>
      </c>
    </row>
    <row r="96681">
      <c r="A96681" s="1" t="n">
        <v>96680</v>
      </c>
      <c r="B96681">
        <f>TEXT(96680, "[$-0E0000]yyyy-mm-dd")</f>
        <v/>
      </c>
    </row>
    <row r="96682">
      <c r="A96682" s="1" t="n">
        <v>96681</v>
      </c>
      <c r="B96682">
        <f>TEXT(96681, "[$-0E0000]yyyy-mm-dd")</f>
        <v/>
      </c>
    </row>
    <row r="96683">
      <c r="A96683" s="1" t="n">
        <v>96682</v>
      </c>
      <c r="B96683">
        <f>TEXT(96682, "[$-0E0000]yyyy-mm-dd")</f>
        <v/>
      </c>
    </row>
    <row r="96684">
      <c r="A96684" s="1" t="n">
        <v>96683</v>
      </c>
      <c r="B96684">
        <f>TEXT(96683, "[$-0E0000]yyyy-mm-dd")</f>
        <v/>
      </c>
    </row>
    <row r="96685">
      <c r="A96685" s="1" t="n">
        <v>96684</v>
      </c>
      <c r="B96685">
        <f>TEXT(96684, "[$-0E0000]yyyy-mm-dd")</f>
        <v/>
      </c>
    </row>
    <row r="96686">
      <c r="A96686" s="1" t="n">
        <v>96685</v>
      </c>
      <c r="B96686">
        <f>TEXT(96685, "[$-0E0000]yyyy-mm-dd")</f>
        <v/>
      </c>
    </row>
    <row r="96687">
      <c r="A96687" s="1" t="n">
        <v>96686</v>
      </c>
      <c r="B96687">
        <f>TEXT(96686, "[$-0E0000]yyyy-mm-dd")</f>
        <v/>
      </c>
    </row>
    <row r="96688">
      <c r="A96688" s="1" t="n">
        <v>96687</v>
      </c>
      <c r="B96688">
        <f>TEXT(96687, "[$-0E0000]yyyy-mm-dd")</f>
        <v/>
      </c>
    </row>
    <row r="96689">
      <c r="A96689" s="1" t="n">
        <v>96688</v>
      </c>
      <c r="B96689">
        <f>TEXT(96688, "[$-0E0000]yyyy-mm-dd")</f>
        <v/>
      </c>
    </row>
    <row r="96690">
      <c r="A96690" s="1" t="n">
        <v>96689</v>
      </c>
      <c r="B96690">
        <f>TEXT(96689, "[$-0E0000]yyyy-mm-dd")</f>
        <v/>
      </c>
    </row>
    <row r="96691">
      <c r="A96691" s="1" t="n">
        <v>96690</v>
      </c>
      <c r="B96691">
        <f>TEXT(96690, "[$-0E0000]yyyy-mm-dd")</f>
        <v/>
      </c>
    </row>
    <row r="96692">
      <c r="A96692" s="1" t="n">
        <v>96691</v>
      </c>
      <c r="B96692">
        <f>TEXT(96691, "[$-0E0000]yyyy-mm-dd")</f>
        <v/>
      </c>
    </row>
    <row r="96693">
      <c r="A96693" s="1" t="n">
        <v>96692</v>
      </c>
      <c r="B96693">
        <f>TEXT(96692, "[$-0E0000]yyyy-mm-dd")</f>
        <v/>
      </c>
    </row>
    <row r="96694">
      <c r="A96694" s="1" t="n">
        <v>96693</v>
      </c>
      <c r="B96694">
        <f>TEXT(96693, "[$-0E0000]yyyy-mm-dd")</f>
        <v/>
      </c>
    </row>
    <row r="96695">
      <c r="A96695" s="1" t="n">
        <v>96694</v>
      </c>
      <c r="B96695">
        <f>TEXT(96694, "[$-0E0000]yyyy-mm-dd")</f>
        <v/>
      </c>
    </row>
    <row r="96696">
      <c r="A96696" s="1" t="n">
        <v>96695</v>
      </c>
      <c r="B96696">
        <f>TEXT(96695, "[$-0E0000]yyyy-mm-dd")</f>
        <v/>
      </c>
    </row>
    <row r="96697">
      <c r="A96697" s="1" t="n">
        <v>96696</v>
      </c>
      <c r="B96697">
        <f>TEXT(96696, "[$-0E0000]yyyy-mm-dd")</f>
        <v/>
      </c>
    </row>
    <row r="96698">
      <c r="A96698" s="1" t="n">
        <v>96697</v>
      </c>
      <c r="B96698">
        <f>TEXT(96697, "[$-0E0000]yyyy-mm-dd")</f>
        <v/>
      </c>
    </row>
    <row r="96699">
      <c r="A96699" s="1" t="n">
        <v>96698</v>
      </c>
      <c r="B96699">
        <f>TEXT(96698, "[$-0E0000]yyyy-mm-dd")</f>
        <v/>
      </c>
    </row>
    <row r="96700">
      <c r="A96700" s="1" t="n">
        <v>96699</v>
      </c>
      <c r="B96700">
        <f>TEXT(96699, "[$-0E0000]yyyy-mm-dd")</f>
        <v/>
      </c>
    </row>
    <row r="96701">
      <c r="A96701" s="1" t="n">
        <v>96700</v>
      </c>
      <c r="B96701">
        <f>TEXT(96700, "[$-0E0000]yyyy-mm-dd")</f>
        <v/>
      </c>
    </row>
    <row r="96702">
      <c r="A96702" s="1" t="n">
        <v>96701</v>
      </c>
      <c r="B96702">
        <f>TEXT(96701, "[$-0E0000]yyyy-mm-dd")</f>
        <v/>
      </c>
    </row>
    <row r="96703">
      <c r="A96703" s="1" t="n">
        <v>96702</v>
      </c>
      <c r="B96703">
        <f>TEXT(96702, "[$-0E0000]yyyy-mm-dd")</f>
        <v/>
      </c>
    </row>
    <row r="96704">
      <c r="A96704" s="1" t="n">
        <v>96703</v>
      </c>
      <c r="B96704">
        <f>TEXT(96703, "[$-0E0000]yyyy-mm-dd")</f>
        <v/>
      </c>
    </row>
    <row r="96705">
      <c r="A96705" s="1" t="n">
        <v>96704</v>
      </c>
      <c r="B96705">
        <f>TEXT(96704, "[$-0E0000]yyyy-mm-dd")</f>
        <v/>
      </c>
    </row>
    <row r="96706">
      <c r="A96706" s="1" t="n">
        <v>96705</v>
      </c>
      <c r="B96706">
        <f>TEXT(96705, "[$-0E0000]yyyy-mm-dd")</f>
        <v/>
      </c>
    </row>
    <row r="96707">
      <c r="A96707" s="1" t="n">
        <v>96706</v>
      </c>
      <c r="B96707">
        <f>TEXT(96706, "[$-0E0000]yyyy-mm-dd")</f>
        <v/>
      </c>
    </row>
    <row r="96708">
      <c r="A96708" s="1" t="n">
        <v>96707</v>
      </c>
      <c r="B96708">
        <f>TEXT(96707, "[$-0E0000]yyyy-mm-dd")</f>
        <v/>
      </c>
    </row>
    <row r="96709">
      <c r="A96709" s="1" t="n">
        <v>96708</v>
      </c>
      <c r="B96709">
        <f>TEXT(96708, "[$-0E0000]yyyy-mm-dd")</f>
        <v/>
      </c>
    </row>
    <row r="96710">
      <c r="A96710" s="1" t="n">
        <v>96709</v>
      </c>
      <c r="B96710">
        <f>TEXT(96709, "[$-0E0000]yyyy-mm-dd")</f>
        <v/>
      </c>
    </row>
    <row r="96711">
      <c r="A96711" s="1" t="n">
        <v>96710</v>
      </c>
      <c r="B96711">
        <f>TEXT(96710, "[$-0E0000]yyyy-mm-dd")</f>
        <v/>
      </c>
    </row>
    <row r="96712">
      <c r="A96712" s="1" t="n">
        <v>96711</v>
      </c>
      <c r="B96712">
        <f>TEXT(96711, "[$-0E0000]yyyy-mm-dd")</f>
        <v/>
      </c>
    </row>
    <row r="96713">
      <c r="A96713" s="1" t="n">
        <v>96712</v>
      </c>
      <c r="B96713">
        <f>TEXT(96712, "[$-0E0000]yyyy-mm-dd")</f>
        <v/>
      </c>
    </row>
    <row r="96714">
      <c r="A96714" s="1" t="n">
        <v>96713</v>
      </c>
      <c r="B96714">
        <f>TEXT(96713, "[$-0E0000]yyyy-mm-dd")</f>
        <v/>
      </c>
    </row>
    <row r="96715">
      <c r="A96715" s="1" t="n">
        <v>96714</v>
      </c>
      <c r="B96715">
        <f>TEXT(96714, "[$-0E0000]yyyy-mm-dd")</f>
        <v/>
      </c>
    </row>
    <row r="96716">
      <c r="A96716" s="1" t="n">
        <v>96715</v>
      </c>
      <c r="B96716">
        <f>TEXT(96715, "[$-0E0000]yyyy-mm-dd")</f>
        <v/>
      </c>
    </row>
    <row r="96717">
      <c r="A96717" s="1" t="n">
        <v>96716</v>
      </c>
      <c r="B96717">
        <f>TEXT(96716, "[$-0E0000]yyyy-mm-dd")</f>
        <v/>
      </c>
    </row>
    <row r="96718">
      <c r="A96718" s="1" t="n">
        <v>96717</v>
      </c>
      <c r="B96718">
        <f>TEXT(96717, "[$-0E0000]yyyy-mm-dd")</f>
        <v/>
      </c>
    </row>
    <row r="96719">
      <c r="A96719" s="1" t="n">
        <v>96718</v>
      </c>
      <c r="B96719">
        <f>TEXT(96718, "[$-0E0000]yyyy-mm-dd")</f>
        <v/>
      </c>
    </row>
    <row r="96720">
      <c r="A96720" s="1" t="n">
        <v>96719</v>
      </c>
      <c r="B96720">
        <f>TEXT(96719, "[$-0E0000]yyyy-mm-dd")</f>
        <v/>
      </c>
    </row>
    <row r="96721">
      <c r="A96721" s="1" t="n">
        <v>96720</v>
      </c>
      <c r="B96721">
        <f>TEXT(96720, "[$-0E0000]yyyy-mm-dd")</f>
        <v/>
      </c>
    </row>
    <row r="96722">
      <c r="A96722" s="1" t="n">
        <v>96721</v>
      </c>
      <c r="B96722">
        <f>TEXT(96721, "[$-0E0000]yyyy-mm-dd")</f>
        <v/>
      </c>
    </row>
    <row r="96723">
      <c r="A96723" s="1" t="n">
        <v>96722</v>
      </c>
      <c r="B96723">
        <f>TEXT(96722, "[$-0E0000]yyyy-mm-dd")</f>
        <v/>
      </c>
    </row>
    <row r="96724">
      <c r="A96724" s="1" t="n">
        <v>96723</v>
      </c>
      <c r="B96724">
        <f>TEXT(96723, "[$-0E0000]yyyy-mm-dd")</f>
        <v/>
      </c>
    </row>
    <row r="96725">
      <c r="A96725" s="1" t="n">
        <v>96724</v>
      </c>
      <c r="B96725">
        <f>TEXT(96724, "[$-0E0000]yyyy-mm-dd")</f>
        <v/>
      </c>
    </row>
    <row r="96726">
      <c r="A96726" s="1" t="n">
        <v>96725</v>
      </c>
      <c r="B96726">
        <f>TEXT(96725, "[$-0E0000]yyyy-mm-dd")</f>
        <v/>
      </c>
    </row>
    <row r="96727">
      <c r="A96727" s="1" t="n">
        <v>96726</v>
      </c>
      <c r="B96727">
        <f>TEXT(96726, "[$-0E0000]yyyy-mm-dd")</f>
        <v/>
      </c>
    </row>
    <row r="96728">
      <c r="A96728" s="1" t="n">
        <v>96727</v>
      </c>
      <c r="B96728">
        <f>TEXT(96727, "[$-0E0000]yyyy-mm-dd")</f>
        <v/>
      </c>
    </row>
    <row r="96729">
      <c r="A96729" s="1" t="n">
        <v>96728</v>
      </c>
      <c r="B96729">
        <f>TEXT(96728, "[$-0E0000]yyyy-mm-dd")</f>
        <v/>
      </c>
    </row>
    <row r="96730">
      <c r="A96730" s="1" t="n">
        <v>96729</v>
      </c>
      <c r="B96730">
        <f>TEXT(96729, "[$-0E0000]yyyy-mm-dd")</f>
        <v/>
      </c>
    </row>
    <row r="96731">
      <c r="A96731" s="1" t="n">
        <v>96730</v>
      </c>
      <c r="B96731">
        <f>TEXT(96730, "[$-0E0000]yyyy-mm-dd")</f>
        <v/>
      </c>
    </row>
    <row r="96732">
      <c r="A96732" s="1" t="n">
        <v>96731</v>
      </c>
      <c r="B96732">
        <f>TEXT(96731, "[$-0E0000]yyyy-mm-dd")</f>
        <v/>
      </c>
    </row>
    <row r="96733">
      <c r="A96733" s="1" t="n">
        <v>96732</v>
      </c>
      <c r="B96733">
        <f>TEXT(96732, "[$-0E0000]yyyy-mm-dd")</f>
        <v/>
      </c>
    </row>
    <row r="96734">
      <c r="A96734" s="1" t="n">
        <v>96733</v>
      </c>
      <c r="B96734">
        <f>TEXT(96733, "[$-0E0000]yyyy-mm-dd")</f>
        <v/>
      </c>
    </row>
    <row r="96735">
      <c r="A96735" s="1" t="n">
        <v>96734</v>
      </c>
      <c r="B96735">
        <f>TEXT(96734, "[$-0E0000]yyyy-mm-dd")</f>
        <v/>
      </c>
    </row>
    <row r="96736">
      <c r="A96736" s="1" t="n">
        <v>96735</v>
      </c>
      <c r="B96736">
        <f>TEXT(96735, "[$-0E0000]yyyy-mm-dd")</f>
        <v/>
      </c>
    </row>
    <row r="96737">
      <c r="A96737" s="1" t="n">
        <v>96736</v>
      </c>
      <c r="B96737">
        <f>TEXT(96736, "[$-0E0000]yyyy-mm-dd")</f>
        <v/>
      </c>
    </row>
    <row r="96738">
      <c r="A96738" s="1" t="n">
        <v>96737</v>
      </c>
      <c r="B96738">
        <f>TEXT(96737, "[$-0E0000]yyyy-mm-dd")</f>
        <v/>
      </c>
    </row>
    <row r="96739">
      <c r="A96739" s="1" t="n">
        <v>96738</v>
      </c>
      <c r="B96739">
        <f>TEXT(96738, "[$-0E0000]yyyy-mm-dd")</f>
        <v/>
      </c>
    </row>
    <row r="96740">
      <c r="A96740" s="1" t="n">
        <v>96739</v>
      </c>
      <c r="B96740">
        <f>TEXT(96739, "[$-0E0000]yyyy-mm-dd")</f>
        <v/>
      </c>
    </row>
    <row r="96741">
      <c r="A96741" s="1" t="n">
        <v>96740</v>
      </c>
      <c r="B96741">
        <f>TEXT(96740, "[$-0E0000]yyyy-mm-dd")</f>
        <v/>
      </c>
    </row>
    <row r="96742">
      <c r="A96742" s="1" t="n">
        <v>96741</v>
      </c>
      <c r="B96742">
        <f>TEXT(96741, "[$-0E0000]yyyy-mm-dd")</f>
        <v/>
      </c>
    </row>
    <row r="96743">
      <c r="A96743" s="1" t="n">
        <v>96742</v>
      </c>
      <c r="B96743">
        <f>TEXT(96742, "[$-0E0000]yyyy-mm-dd")</f>
        <v/>
      </c>
    </row>
    <row r="96744">
      <c r="A96744" s="1" t="n">
        <v>96743</v>
      </c>
      <c r="B96744">
        <f>TEXT(96743, "[$-0E0000]yyyy-mm-dd")</f>
        <v/>
      </c>
    </row>
    <row r="96745">
      <c r="A96745" s="1" t="n">
        <v>96744</v>
      </c>
      <c r="B96745">
        <f>TEXT(96744, "[$-0E0000]yyyy-mm-dd")</f>
        <v/>
      </c>
    </row>
    <row r="96746">
      <c r="A96746" s="1" t="n">
        <v>96745</v>
      </c>
      <c r="B96746">
        <f>TEXT(96745, "[$-0E0000]yyyy-mm-dd")</f>
        <v/>
      </c>
    </row>
    <row r="96747">
      <c r="A96747" s="1" t="n">
        <v>96746</v>
      </c>
      <c r="B96747">
        <f>TEXT(96746, "[$-0E0000]yyyy-mm-dd")</f>
        <v/>
      </c>
    </row>
    <row r="96748">
      <c r="A96748" s="1" t="n">
        <v>96747</v>
      </c>
      <c r="B96748">
        <f>TEXT(96747, "[$-0E0000]yyyy-mm-dd")</f>
        <v/>
      </c>
    </row>
    <row r="96749">
      <c r="A96749" s="1" t="n">
        <v>96748</v>
      </c>
      <c r="B96749">
        <f>TEXT(96748, "[$-0E0000]yyyy-mm-dd")</f>
        <v/>
      </c>
    </row>
    <row r="96750">
      <c r="A96750" s="1" t="n">
        <v>96749</v>
      </c>
      <c r="B96750">
        <f>TEXT(96749, "[$-0E0000]yyyy-mm-dd")</f>
        <v/>
      </c>
    </row>
    <row r="96751">
      <c r="A96751" s="1" t="n">
        <v>96750</v>
      </c>
      <c r="B96751">
        <f>TEXT(96750, "[$-0E0000]yyyy-mm-dd")</f>
        <v/>
      </c>
    </row>
    <row r="96752">
      <c r="A96752" s="1" t="n">
        <v>96751</v>
      </c>
      <c r="B96752">
        <f>TEXT(96751, "[$-0E0000]yyyy-mm-dd")</f>
        <v/>
      </c>
    </row>
    <row r="96753">
      <c r="A96753" s="1" t="n">
        <v>96752</v>
      </c>
      <c r="B96753">
        <f>TEXT(96752, "[$-0E0000]yyyy-mm-dd")</f>
        <v/>
      </c>
    </row>
    <row r="96754">
      <c r="A96754" s="1" t="n">
        <v>96753</v>
      </c>
      <c r="B96754">
        <f>TEXT(96753, "[$-0E0000]yyyy-mm-dd")</f>
        <v/>
      </c>
    </row>
    <row r="96755">
      <c r="A96755" s="1" t="n">
        <v>96754</v>
      </c>
      <c r="B96755">
        <f>TEXT(96754, "[$-0E0000]yyyy-mm-dd")</f>
        <v/>
      </c>
    </row>
    <row r="96756">
      <c r="A96756" s="1" t="n">
        <v>96755</v>
      </c>
      <c r="B96756">
        <f>TEXT(96755, "[$-0E0000]yyyy-mm-dd")</f>
        <v/>
      </c>
    </row>
    <row r="96757">
      <c r="A96757" s="1" t="n">
        <v>96756</v>
      </c>
      <c r="B96757">
        <f>TEXT(96756, "[$-0E0000]yyyy-mm-dd")</f>
        <v/>
      </c>
    </row>
    <row r="96758">
      <c r="A96758" s="1" t="n">
        <v>96757</v>
      </c>
      <c r="B96758">
        <f>TEXT(96757, "[$-0E0000]yyyy-mm-dd")</f>
        <v/>
      </c>
    </row>
    <row r="96759">
      <c r="A96759" s="1" t="n">
        <v>96758</v>
      </c>
      <c r="B96759">
        <f>TEXT(96758, "[$-0E0000]yyyy-mm-dd")</f>
        <v/>
      </c>
    </row>
    <row r="96760">
      <c r="A96760" s="1" t="n">
        <v>96759</v>
      </c>
      <c r="B96760">
        <f>TEXT(96759, "[$-0E0000]yyyy-mm-dd")</f>
        <v/>
      </c>
    </row>
    <row r="96761">
      <c r="A96761" s="1" t="n">
        <v>96760</v>
      </c>
      <c r="B96761">
        <f>TEXT(96760, "[$-0E0000]yyyy-mm-dd")</f>
        <v/>
      </c>
    </row>
    <row r="96762">
      <c r="A96762" s="1" t="n">
        <v>96761</v>
      </c>
      <c r="B96762">
        <f>TEXT(96761, "[$-0E0000]yyyy-mm-dd")</f>
        <v/>
      </c>
    </row>
    <row r="96763">
      <c r="A96763" s="1" t="n">
        <v>96762</v>
      </c>
      <c r="B96763">
        <f>TEXT(96762, "[$-0E0000]yyyy-mm-dd")</f>
        <v/>
      </c>
    </row>
    <row r="96764">
      <c r="A96764" s="1" t="n">
        <v>96763</v>
      </c>
      <c r="B96764">
        <f>TEXT(96763, "[$-0E0000]yyyy-mm-dd")</f>
        <v/>
      </c>
    </row>
    <row r="96765">
      <c r="A96765" s="1" t="n">
        <v>96764</v>
      </c>
      <c r="B96765">
        <f>TEXT(96764, "[$-0E0000]yyyy-mm-dd")</f>
        <v/>
      </c>
    </row>
    <row r="96766">
      <c r="A96766" s="1" t="n">
        <v>96765</v>
      </c>
      <c r="B96766">
        <f>TEXT(96765, "[$-0E0000]yyyy-mm-dd")</f>
        <v/>
      </c>
    </row>
    <row r="96767">
      <c r="A96767" s="1" t="n">
        <v>96766</v>
      </c>
      <c r="B96767">
        <f>TEXT(96766, "[$-0E0000]yyyy-mm-dd")</f>
        <v/>
      </c>
    </row>
    <row r="96768">
      <c r="A96768" s="1" t="n">
        <v>96767</v>
      </c>
      <c r="B96768">
        <f>TEXT(96767, "[$-0E0000]yyyy-mm-dd")</f>
        <v/>
      </c>
    </row>
    <row r="96769">
      <c r="A96769" s="1" t="n">
        <v>96768</v>
      </c>
      <c r="B96769">
        <f>TEXT(96768, "[$-0E0000]yyyy-mm-dd")</f>
        <v/>
      </c>
    </row>
    <row r="96770">
      <c r="A96770" s="1" t="n">
        <v>96769</v>
      </c>
      <c r="B96770">
        <f>TEXT(96769, "[$-0E0000]yyyy-mm-dd")</f>
        <v/>
      </c>
    </row>
    <row r="96771">
      <c r="A96771" s="1" t="n">
        <v>96770</v>
      </c>
      <c r="B96771">
        <f>TEXT(96770, "[$-0E0000]yyyy-mm-dd")</f>
        <v/>
      </c>
    </row>
    <row r="96772">
      <c r="A96772" s="1" t="n">
        <v>96771</v>
      </c>
      <c r="B96772">
        <f>TEXT(96771, "[$-0E0000]yyyy-mm-dd")</f>
        <v/>
      </c>
    </row>
    <row r="96773">
      <c r="A96773" s="1" t="n">
        <v>96772</v>
      </c>
      <c r="B96773">
        <f>TEXT(96772, "[$-0E0000]yyyy-mm-dd")</f>
        <v/>
      </c>
    </row>
    <row r="96774">
      <c r="A96774" s="1" t="n">
        <v>96773</v>
      </c>
      <c r="B96774">
        <f>TEXT(96773, "[$-0E0000]yyyy-mm-dd")</f>
        <v/>
      </c>
    </row>
    <row r="96775">
      <c r="A96775" s="1" t="n">
        <v>96774</v>
      </c>
      <c r="B96775">
        <f>TEXT(96774, "[$-0E0000]yyyy-mm-dd")</f>
        <v/>
      </c>
    </row>
    <row r="96776">
      <c r="A96776" s="1" t="n">
        <v>96775</v>
      </c>
      <c r="B96776">
        <f>TEXT(96775, "[$-0E0000]yyyy-mm-dd")</f>
        <v/>
      </c>
    </row>
    <row r="96777">
      <c r="A96777" s="1" t="n">
        <v>96776</v>
      </c>
      <c r="B96777">
        <f>TEXT(96776, "[$-0E0000]yyyy-mm-dd")</f>
        <v/>
      </c>
    </row>
    <row r="96778">
      <c r="A96778" s="1" t="n">
        <v>96777</v>
      </c>
      <c r="B96778">
        <f>TEXT(96777, "[$-0E0000]yyyy-mm-dd")</f>
        <v/>
      </c>
    </row>
    <row r="96779">
      <c r="A96779" s="1" t="n">
        <v>96778</v>
      </c>
      <c r="B96779">
        <f>TEXT(96778, "[$-0E0000]yyyy-mm-dd")</f>
        <v/>
      </c>
    </row>
    <row r="96780">
      <c r="A96780" s="1" t="n">
        <v>96779</v>
      </c>
      <c r="B96780">
        <f>TEXT(96779, "[$-0E0000]yyyy-mm-dd")</f>
        <v/>
      </c>
    </row>
    <row r="96781">
      <c r="A96781" s="1" t="n">
        <v>96780</v>
      </c>
      <c r="B96781">
        <f>TEXT(96780, "[$-0E0000]yyyy-mm-dd")</f>
        <v/>
      </c>
    </row>
    <row r="96782">
      <c r="A96782" s="1" t="n">
        <v>96781</v>
      </c>
      <c r="B96782">
        <f>TEXT(96781, "[$-0E0000]yyyy-mm-dd")</f>
        <v/>
      </c>
    </row>
    <row r="96783">
      <c r="A96783" s="1" t="n">
        <v>96782</v>
      </c>
      <c r="B96783">
        <f>TEXT(96782, "[$-0E0000]yyyy-mm-dd")</f>
        <v/>
      </c>
    </row>
    <row r="96784">
      <c r="A96784" s="1" t="n">
        <v>96783</v>
      </c>
      <c r="B96784">
        <f>TEXT(96783, "[$-0E0000]yyyy-mm-dd")</f>
        <v/>
      </c>
    </row>
    <row r="96785">
      <c r="A96785" s="1" t="n">
        <v>96784</v>
      </c>
      <c r="B96785">
        <f>TEXT(96784, "[$-0E0000]yyyy-mm-dd")</f>
        <v/>
      </c>
    </row>
    <row r="96786">
      <c r="A96786" s="1" t="n">
        <v>96785</v>
      </c>
      <c r="B96786">
        <f>TEXT(96785, "[$-0E0000]yyyy-mm-dd")</f>
        <v/>
      </c>
    </row>
    <row r="96787">
      <c r="A96787" s="1" t="n">
        <v>96786</v>
      </c>
      <c r="B96787">
        <f>TEXT(96786, "[$-0E0000]yyyy-mm-dd")</f>
        <v/>
      </c>
    </row>
    <row r="96788">
      <c r="A96788" s="1" t="n">
        <v>96787</v>
      </c>
      <c r="B96788">
        <f>TEXT(96787, "[$-0E0000]yyyy-mm-dd")</f>
        <v/>
      </c>
    </row>
    <row r="96789">
      <c r="A96789" s="1" t="n">
        <v>96788</v>
      </c>
      <c r="B96789">
        <f>TEXT(96788, "[$-0E0000]yyyy-mm-dd")</f>
        <v/>
      </c>
    </row>
    <row r="96790">
      <c r="A96790" s="1" t="n">
        <v>96789</v>
      </c>
      <c r="B96790">
        <f>TEXT(96789, "[$-0E0000]yyyy-mm-dd")</f>
        <v/>
      </c>
    </row>
    <row r="96791">
      <c r="A96791" s="1" t="n">
        <v>96790</v>
      </c>
      <c r="B96791">
        <f>TEXT(96790, "[$-0E0000]yyyy-mm-dd")</f>
        <v/>
      </c>
    </row>
    <row r="96792">
      <c r="A96792" s="1" t="n">
        <v>96791</v>
      </c>
      <c r="B96792">
        <f>TEXT(96791, "[$-0E0000]yyyy-mm-dd")</f>
        <v/>
      </c>
    </row>
    <row r="96793">
      <c r="A96793" s="1" t="n">
        <v>96792</v>
      </c>
      <c r="B96793">
        <f>TEXT(96792, "[$-0E0000]yyyy-mm-dd")</f>
        <v/>
      </c>
    </row>
    <row r="96794">
      <c r="A96794" s="1" t="n">
        <v>96793</v>
      </c>
      <c r="B96794">
        <f>TEXT(96793, "[$-0E0000]yyyy-mm-dd")</f>
        <v/>
      </c>
    </row>
    <row r="96795">
      <c r="A96795" s="1" t="n">
        <v>96794</v>
      </c>
      <c r="B96795">
        <f>TEXT(96794, "[$-0E0000]yyyy-mm-dd")</f>
        <v/>
      </c>
    </row>
    <row r="96796">
      <c r="A96796" s="1" t="n">
        <v>96795</v>
      </c>
      <c r="B96796">
        <f>TEXT(96795, "[$-0E0000]yyyy-mm-dd")</f>
        <v/>
      </c>
    </row>
    <row r="96797">
      <c r="A96797" s="1" t="n">
        <v>96796</v>
      </c>
      <c r="B96797">
        <f>TEXT(96796, "[$-0E0000]yyyy-mm-dd")</f>
        <v/>
      </c>
    </row>
    <row r="96798">
      <c r="A96798" s="1" t="n">
        <v>96797</v>
      </c>
      <c r="B96798">
        <f>TEXT(96797, "[$-0E0000]yyyy-mm-dd")</f>
        <v/>
      </c>
    </row>
    <row r="96799">
      <c r="A96799" s="1" t="n">
        <v>96798</v>
      </c>
      <c r="B96799">
        <f>TEXT(96798, "[$-0E0000]yyyy-mm-dd")</f>
        <v/>
      </c>
    </row>
    <row r="96800">
      <c r="A96800" s="1" t="n">
        <v>96799</v>
      </c>
      <c r="B96800">
        <f>TEXT(96799, "[$-0E0000]yyyy-mm-dd")</f>
        <v/>
      </c>
    </row>
    <row r="96801">
      <c r="A96801" s="1" t="n">
        <v>96800</v>
      </c>
      <c r="B96801">
        <f>TEXT(96800, "[$-0E0000]yyyy-mm-dd")</f>
        <v/>
      </c>
    </row>
    <row r="96802">
      <c r="A96802" s="1" t="n">
        <v>96801</v>
      </c>
      <c r="B96802">
        <f>TEXT(96801, "[$-0E0000]yyyy-mm-dd")</f>
        <v/>
      </c>
    </row>
    <row r="96803">
      <c r="A96803" s="1" t="n">
        <v>96802</v>
      </c>
      <c r="B96803">
        <f>TEXT(96802, "[$-0E0000]yyyy-mm-dd")</f>
        <v/>
      </c>
    </row>
    <row r="96804">
      <c r="A96804" s="1" t="n">
        <v>96803</v>
      </c>
      <c r="B96804">
        <f>TEXT(96803, "[$-0E0000]yyyy-mm-dd")</f>
        <v/>
      </c>
    </row>
    <row r="96805">
      <c r="A96805" s="1" t="n">
        <v>96804</v>
      </c>
      <c r="B96805">
        <f>TEXT(96804, "[$-0E0000]yyyy-mm-dd")</f>
        <v/>
      </c>
    </row>
    <row r="96806">
      <c r="A96806" s="1" t="n">
        <v>96805</v>
      </c>
      <c r="B96806">
        <f>TEXT(96805, "[$-0E0000]yyyy-mm-dd")</f>
        <v/>
      </c>
    </row>
    <row r="96807">
      <c r="A96807" s="1" t="n">
        <v>96806</v>
      </c>
      <c r="B96807">
        <f>TEXT(96806, "[$-0E0000]yyyy-mm-dd")</f>
        <v/>
      </c>
    </row>
    <row r="96808">
      <c r="A96808" s="1" t="n">
        <v>96807</v>
      </c>
      <c r="B96808">
        <f>TEXT(96807, "[$-0E0000]yyyy-mm-dd")</f>
        <v/>
      </c>
    </row>
    <row r="96809">
      <c r="A96809" s="1" t="n">
        <v>96808</v>
      </c>
      <c r="B96809">
        <f>TEXT(96808, "[$-0E0000]yyyy-mm-dd")</f>
        <v/>
      </c>
    </row>
    <row r="96810">
      <c r="A96810" s="1" t="n">
        <v>96809</v>
      </c>
      <c r="B96810">
        <f>TEXT(96809, "[$-0E0000]yyyy-mm-dd")</f>
        <v/>
      </c>
    </row>
    <row r="96811">
      <c r="A96811" s="1" t="n">
        <v>96810</v>
      </c>
      <c r="B96811">
        <f>TEXT(96810, "[$-0E0000]yyyy-mm-dd")</f>
        <v/>
      </c>
    </row>
    <row r="96812">
      <c r="A96812" s="1" t="n">
        <v>96811</v>
      </c>
      <c r="B96812">
        <f>TEXT(96811, "[$-0E0000]yyyy-mm-dd")</f>
        <v/>
      </c>
    </row>
    <row r="96813">
      <c r="A96813" s="1" t="n">
        <v>96812</v>
      </c>
      <c r="B96813">
        <f>TEXT(96812, "[$-0E0000]yyyy-mm-dd")</f>
        <v/>
      </c>
    </row>
    <row r="96814">
      <c r="A96814" s="1" t="n">
        <v>96813</v>
      </c>
      <c r="B96814">
        <f>TEXT(96813, "[$-0E0000]yyyy-mm-dd")</f>
        <v/>
      </c>
    </row>
    <row r="96815">
      <c r="A96815" s="1" t="n">
        <v>96814</v>
      </c>
      <c r="B96815">
        <f>TEXT(96814, "[$-0E0000]yyyy-mm-dd")</f>
        <v/>
      </c>
    </row>
    <row r="96816">
      <c r="A96816" s="1" t="n">
        <v>96815</v>
      </c>
      <c r="B96816">
        <f>TEXT(96815, "[$-0E0000]yyyy-mm-dd")</f>
        <v/>
      </c>
    </row>
    <row r="96817">
      <c r="A96817" s="1" t="n">
        <v>96816</v>
      </c>
      <c r="B96817">
        <f>TEXT(96816, "[$-0E0000]yyyy-mm-dd")</f>
        <v/>
      </c>
    </row>
    <row r="96818">
      <c r="A96818" s="1" t="n">
        <v>96817</v>
      </c>
      <c r="B96818">
        <f>TEXT(96817, "[$-0E0000]yyyy-mm-dd")</f>
        <v/>
      </c>
    </row>
    <row r="96819">
      <c r="A96819" s="1" t="n">
        <v>96818</v>
      </c>
      <c r="B96819">
        <f>TEXT(96818, "[$-0E0000]yyyy-mm-dd")</f>
        <v/>
      </c>
    </row>
    <row r="96820">
      <c r="A96820" s="1" t="n">
        <v>96819</v>
      </c>
      <c r="B96820">
        <f>TEXT(96819, "[$-0E0000]yyyy-mm-dd")</f>
        <v/>
      </c>
    </row>
    <row r="96821">
      <c r="A96821" s="1" t="n">
        <v>96820</v>
      </c>
      <c r="B96821">
        <f>TEXT(96820, "[$-0E0000]yyyy-mm-dd")</f>
        <v/>
      </c>
    </row>
    <row r="96822">
      <c r="A96822" s="1" t="n">
        <v>96821</v>
      </c>
      <c r="B96822">
        <f>TEXT(96821, "[$-0E0000]yyyy-mm-dd")</f>
        <v/>
      </c>
    </row>
    <row r="96823">
      <c r="A96823" s="1" t="n">
        <v>96822</v>
      </c>
      <c r="B96823">
        <f>TEXT(96822, "[$-0E0000]yyyy-mm-dd")</f>
        <v/>
      </c>
    </row>
    <row r="96824">
      <c r="A96824" s="1" t="n">
        <v>96823</v>
      </c>
      <c r="B96824">
        <f>TEXT(96823, "[$-0E0000]yyyy-mm-dd")</f>
        <v/>
      </c>
    </row>
    <row r="96825">
      <c r="A96825" s="1" t="n">
        <v>96824</v>
      </c>
      <c r="B96825">
        <f>TEXT(96824, "[$-0E0000]yyyy-mm-dd")</f>
        <v/>
      </c>
    </row>
    <row r="96826">
      <c r="A96826" s="1" t="n">
        <v>96825</v>
      </c>
      <c r="B96826">
        <f>TEXT(96825, "[$-0E0000]yyyy-mm-dd")</f>
        <v/>
      </c>
    </row>
    <row r="96827">
      <c r="A96827" s="1" t="n">
        <v>96826</v>
      </c>
      <c r="B96827">
        <f>TEXT(96826, "[$-0E0000]yyyy-mm-dd")</f>
        <v/>
      </c>
    </row>
    <row r="96828">
      <c r="A96828" s="1" t="n">
        <v>96827</v>
      </c>
      <c r="B96828">
        <f>TEXT(96827, "[$-0E0000]yyyy-mm-dd")</f>
        <v/>
      </c>
    </row>
    <row r="96829">
      <c r="A96829" s="1" t="n">
        <v>96828</v>
      </c>
      <c r="B96829">
        <f>TEXT(96828, "[$-0E0000]yyyy-mm-dd")</f>
        <v/>
      </c>
    </row>
    <row r="96830">
      <c r="A96830" s="1" t="n">
        <v>96829</v>
      </c>
      <c r="B96830">
        <f>TEXT(96829, "[$-0E0000]yyyy-mm-dd")</f>
        <v/>
      </c>
    </row>
    <row r="96831">
      <c r="A96831" s="1" t="n">
        <v>96830</v>
      </c>
      <c r="B96831">
        <f>TEXT(96830, "[$-0E0000]yyyy-mm-dd")</f>
        <v/>
      </c>
    </row>
    <row r="96832">
      <c r="A96832" s="1" t="n">
        <v>96831</v>
      </c>
      <c r="B96832">
        <f>TEXT(96831, "[$-0E0000]yyyy-mm-dd")</f>
        <v/>
      </c>
    </row>
    <row r="96833">
      <c r="A96833" s="1" t="n">
        <v>96832</v>
      </c>
      <c r="B96833">
        <f>TEXT(96832, "[$-0E0000]yyyy-mm-dd")</f>
        <v/>
      </c>
    </row>
    <row r="96834">
      <c r="A96834" s="1" t="n">
        <v>96833</v>
      </c>
      <c r="B96834">
        <f>TEXT(96833, "[$-0E0000]yyyy-mm-dd")</f>
        <v/>
      </c>
    </row>
    <row r="96835">
      <c r="A96835" s="1" t="n">
        <v>96834</v>
      </c>
      <c r="B96835">
        <f>TEXT(96834, "[$-0E0000]yyyy-mm-dd")</f>
        <v/>
      </c>
    </row>
    <row r="96836">
      <c r="A96836" s="1" t="n">
        <v>96835</v>
      </c>
      <c r="B96836">
        <f>TEXT(96835, "[$-0E0000]yyyy-mm-dd")</f>
        <v/>
      </c>
    </row>
    <row r="96837">
      <c r="A96837" s="1" t="n">
        <v>96836</v>
      </c>
      <c r="B96837">
        <f>TEXT(96836, "[$-0E0000]yyyy-mm-dd")</f>
        <v/>
      </c>
    </row>
    <row r="96838">
      <c r="A96838" s="1" t="n">
        <v>96837</v>
      </c>
      <c r="B96838">
        <f>TEXT(96837, "[$-0E0000]yyyy-mm-dd")</f>
        <v/>
      </c>
    </row>
    <row r="96839">
      <c r="A96839" s="1" t="n">
        <v>96838</v>
      </c>
      <c r="B96839">
        <f>TEXT(96838, "[$-0E0000]yyyy-mm-dd")</f>
        <v/>
      </c>
    </row>
    <row r="96840">
      <c r="A96840" s="1" t="n">
        <v>96839</v>
      </c>
      <c r="B96840">
        <f>TEXT(96839, "[$-0E0000]yyyy-mm-dd")</f>
        <v/>
      </c>
    </row>
    <row r="96841">
      <c r="A96841" s="1" t="n">
        <v>96840</v>
      </c>
      <c r="B96841">
        <f>TEXT(96840, "[$-0E0000]yyyy-mm-dd")</f>
        <v/>
      </c>
    </row>
    <row r="96842">
      <c r="A96842" s="1" t="n">
        <v>96841</v>
      </c>
      <c r="B96842">
        <f>TEXT(96841, "[$-0E0000]yyyy-mm-dd")</f>
        <v/>
      </c>
    </row>
    <row r="96843">
      <c r="A96843" s="1" t="n">
        <v>96842</v>
      </c>
      <c r="B96843">
        <f>TEXT(96842, "[$-0E0000]yyyy-mm-dd")</f>
        <v/>
      </c>
    </row>
    <row r="96844">
      <c r="A96844" s="1" t="n">
        <v>96843</v>
      </c>
      <c r="B96844">
        <f>TEXT(96843, "[$-0E0000]yyyy-mm-dd")</f>
        <v/>
      </c>
    </row>
    <row r="96845">
      <c r="A96845" s="1" t="n">
        <v>96844</v>
      </c>
      <c r="B96845">
        <f>TEXT(96844, "[$-0E0000]yyyy-mm-dd")</f>
        <v/>
      </c>
    </row>
    <row r="96846">
      <c r="A96846" s="1" t="n">
        <v>96845</v>
      </c>
      <c r="B96846">
        <f>TEXT(96845, "[$-0E0000]yyyy-mm-dd")</f>
        <v/>
      </c>
    </row>
    <row r="96847">
      <c r="A96847" s="1" t="n">
        <v>96846</v>
      </c>
      <c r="B96847">
        <f>TEXT(96846, "[$-0E0000]yyyy-mm-dd")</f>
        <v/>
      </c>
    </row>
    <row r="96848">
      <c r="A96848" s="1" t="n">
        <v>96847</v>
      </c>
      <c r="B96848">
        <f>TEXT(96847, "[$-0E0000]yyyy-mm-dd")</f>
        <v/>
      </c>
    </row>
    <row r="96849">
      <c r="A96849" s="1" t="n">
        <v>96848</v>
      </c>
      <c r="B96849">
        <f>TEXT(96848, "[$-0E0000]yyyy-mm-dd")</f>
        <v/>
      </c>
    </row>
    <row r="96850">
      <c r="A96850" s="1" t="n">
        <v>96849</v>
      </c>
      <c r="B96850">
        <f>TEXT(96849, "[$-0E0000]yyyy-mm-dd")</f>
        <v/>
      </c>
    </row>
    <row r="96851">
      <c r="A96851" s="1" t="n">
        <v>96850</v>
      </c>
      <c r="B96851">
        <f>TEXT(96850, "[$-0E0000]yyyy-mm-dd")</f>
        <v/>
      </c>
    </row>
    <row r="96852">
      <c r="A96852" s="1" t="n">
        <v>96851</v>
      </c>
      <c r="B96852">
        <f>TEXT(96851, "[$-0E0000]yyyy-mm-dd")</f>
        <v/>
      </c>
    </row>
    <row r="96853">
      <c r="A96853" s="1" t="n">
        <v>96852</v>
      </c>
      <c r="B96853">
        <f>TEXT(96852, "[$-0E0000]yyyy-mm-dd")</f>
        <v/>
      </c>
    </row>
    <row r="96854">
      <c r="A96854" s="1" t="n">
        <v>96853</v>
      </c>
      <c r="B96854">
        <f>TEXT(96853, "[$-0E0000]yyyy-mm-dd")</f>
        <v/>
      </c>
    </row>
    <row r="96855">
      <c r="A96855" s="1" t="n">
        <v>96854</v>
      </c>
      <c r="B96855">
        <f>TEXT(96854, "[$-0E0000]yyyy-mm-dd")</f>
        <v/>
      </c>
    </row>
    <row r="96856">
      <c r="A96856" s="1" t="n">
        <v>96855</v>
      </c>
      <c r="B96856">
        <f>TEXT(96855, "[$-0E0000]yyyy-mm-dd")</f>
        <v/>
      </c>
    </row>
    <row r="96857">
      <c r="A96857" s="1" t="n">
        <v>96856</v>
      </c>
      <c r="B96857">
        <f>TEXT(96856, "[$-0E0000]yyyy-mm-dd")</f>
        <v/>
      </c>
    </row>
    <row r="96858">
      <c r="A96858" s="1" t="n">
        <v>96857</v>
      </c>
      <c r="B96858">
        <f>TEXT(96857, "[$-0E0000]yyyy-mm-dd")</f>
        <v/>
      </c>
    </row>
    <row r="96859">
      <c r="A96859" s="1" t="n">
        <v>96858</v>
      </c>
      <c r="B96859">
        <f>TEXT(96858, "[$-0E0000]yyyy-mm-dd")</f>
        <v/>
      </c>
    </row>
    <row r="96860">
      <c r="A96860" s="1" t="n">
        <v>96859</v>
      </c>
      <c r="B96860">
        <f>TEXT(96859, "[$-0E0000]yyyy-mm-dd")</f>
        <v/>
      </c>
    </row>
    <row r="96861">
      <c r="A96861" s="1" t="n">
        <v>96860</v>
      </c>
      <c r="B96861">
        <f>TEXT(96860, "[$-0E0000]yyyy-mm-dd")</f>
        <v/>
      </c>
    </row>
    <row r="96862">
      <c r="A96862" s="1" t="n">
        <v>96861</v>
      </c>
      <c r="B96862">
        <f>TEXT(96861, "[$-0E0000]yyyy-mm-dd")</f>
        <v/>
      </c>
    </row>
    <row r="96863">
      <c r="A96863" s="1" t="n">
        <v>96862</v>
      </c>
      <c r="B96863">
        <f>TEXT(96862, "[$-0E0000]yyyy-mm-dd")</f>
        <v/>
      </c>
    </row>
    <row r="96864">
      <c r="A96864" s="1" t="n">
        <v>96863</v>
      </c>
      <c r="B96864">
        <f>TEXT(96863, "[$-0E0000]yyyy-mm-dd")</f>
        <v/>
      </c>
    </row>
    <row r="96865">
      <c r="A96865" s="1" t="n">
        <v>96864</v>
      </c>
      <c r="B96865">
        <f>TEXT(96864, "[$-0E0000]yyyy-mm-dd")</f>
        <v/>
      </c>
    </row>
    <row r="96866">
      <c r="A96866" s="1" t="n">
        <v>96865</v>
      </c>
      <c r="B96866">
        <f>TEXT(96865, "[$-0E0000]yyyy-mm-dd")</f>
        <v/>
      </c>
    </row>
    <row r="96867">
      <c r="A96867" s="1" t="n">
        <v>96866</v>
      </c>
      <c r="B96867">
        <f>TEXT(96866, "[$-0E0000]yyyy-mm-dd")</f>
        <v/>
      </c>
    </row>
    <row r="96868">
      <c r="A96868" s="1" t="n">
        <v>96867</v>
      </c>
      <c r="B96868">
        <f>TEXT(96867, "[$-0E0000]yyyy-mm-dd")</f>
        <v/>
      </c>
    </row>
    <row r="96869">
      <c r="A96869" s="1" t="n">
        <v>96868</v>
      </c>
      <c r="B96869">
        <f>TEXT(96868, "[$-0E0000]yyyy-mm-dd")</f>
        <v/>
      </c>
    </row>
    <row r="96870">
      <c r="A96870" s="1" t="n">
        <v>96869</v>
      </c>
      <c r="B96870">
        <f>TEXT(96869, "[$-0E0000]yyyy-mm-dd")</f>
        <v/>
      </c>
    </row>
    <row r="96871">
      <c r="A96871" s="1" t="n">
        <v>96870</v>
      </c>
      <c r="B96871">
        <f>TEXT(96870, "[$-0E0000]yyyy-mm-dd")</f>
        <v/>
      </c>
    </row>
    <row r="96872">
      <c r="A96872" s="1" t="n">
        <v>96871</v>
      </c>
      <c r="B96872">
        <f>TEXT(96871, "[$-0E0000]yyyy-mm-dd")</f>
        <v/>
      </c>
    </row>
    <row r="96873">
      <c r="A96873" s="1" t="n">
        <v>96872</v>
      </c>
      <c r="B96873">
        <f>TEXT(96872, "[$-0E0000]yyyy-mm-dd")</f>
        <v/>
      </c>
    </row>
    <row r="96874">
      <c r="A96874" s="1" t="n">
        <v>96873</v>
      </c>
      <c r="B96874">
        <f>TEXT(96873, "[$-0E0000]yyyy-mm-dd")</f>
        <v/>
      </c>
    </row>
    <row r="96875">
      <c r="A96875" s="1" t="n">
        <v>96874</v>
      </c>
      <c r="B96875">
        <f>TEXT(96874, "[$-0E0000]yyyy-mm-dd")</f>
        <v/>
      </c>
    </row>
    <row r="96876">
      <c r="A96876" s="1" t="n">
        <v>96875</v>
      </c>
      <c r="B96876">
        <f>TEXT(96875, "[$-0E0000]yyyy-mm-dd")</f>
        <v/>
      </c>
    </row>
    <row r="96877">
      <c r="A96877" s="1" t="n">
        <v>96876</v>
      </c>
      <c r="B96877">
        <f>TEXT(96876, "[$-0E0000]yyyy-mm-dd")</f>
        <v/>
      </c>
    </row>
    <row r="96878">
      <c r="A96878" s="1" t="n">
        <v>96877</v>
      </c>
      <c r="B96878">
        <f>TEXT(96877, "[$-0E0000]yyyy-mm-dd")</f>
        <v/>
      </c>
    </row>
    <row r="96879">
      <c r="A96879" s="1" t="n">
        <v>96878</v>
      </c>
      <c r="B96879">
        <f>TEXT(96878, "[$-0E0000]yyyy-mm-dd")</f>
        <v/>
      </c>
    </row>
    <row r="96880">
      <c r="A96880" s="1" t="n">
        <v>96879</v>
      </c>
      <c r="B96880">
        <f>TEXT(96879, "[$-0E0000]yyyy-mm-dd")</f>
        <v/>
      </c>
    </row>
    <row r="96881">
      <c r="A96881" s="1" t="n">
        <v>96880</v>
      </c>
      <c r="B96881">
        <f>TEXT(96880, "[$-0E0000]yyyy-mm-dd")</f>
        <v/>
      </c>
    </row>
    <row r="96882">
      <c r="A96882" s="1" t="n">
        <v>96881</v>
      </c>
      <c r="B96882">
        <f>TEXT(96881, "[$-0E0000]yyyy-mm-dd")</f>
        <v/>
      </c>
    </row>
    <row r="96883">
      <c r="A96883" s="1" t="n">
        <v>96882</v>
      </c>
      <c r="B96883">
        <f>TEXT(96882, "[$-0E0000]yyyy-mm-dd")</f>
        <v/>
      </c>
    </row>
    <row r="96884">
      <c r="A96884" s="1" t="n">
        <v>96883</v>
      </c>
      <c r="B96884">
        <f>TEXT(96883, "[$-0E0000]yyyy-mm-dd")</f>
        <v/>
      </c>
    </row>
    <row r="96885">
      <c r="A96885" s="1" t="n">
        <v>96884</v>
      </c>
      <c r="B96885">
        <f>TEXT(96884, "[$-0E0000]yyyy-mm-dd")</f>
        <v/>
      </c>
    </row>
    <row r="96886">
      <c r="A96886" s="1" t="n">
        <v>96885</v>
      </c>
      <c r="B96886">
        <f>TEXT(96885, "[$-0E0000]yyyy-mm-dd")</f>
        <v/>
      </c>
    </row>
    <row r="96887">
      <c r="A96887" s="1" t="n">
        <v>96886</v>
      </c>
      <c r="B96887">
        <f>TEXT(96886, "[$-0E0000]yyyy-mm-dd")</f>
        <v/>
      </c>
    </row>
    <row r="96888">
      <c r="A96888" s="1" t="n">
        <v>96887</v>
      </c>
      <c r="B96888">
        <f>TEXT(96887, "[$-0E0000]yyyy-mm-dd")</f>
        <v/>
      </c>
    </row>
    <row r="96889">
      <c r="A96889" s="1" t="n">
        <v>96888</v>
      </c>
      <c r="B96889">
        <f>TEXT(96888, "[$-0E0000]yyyy-mm-dd")</f>
        <v/>
      </c>
    </row>
    <row r="96890">
      <c r="A96890" s="1" t="n">
        <v>96889</v>
      </c>
      <c r="B96890">
        <f>TEXT(96889, "[$-0E0000]yyyy-mm-dd")</f>
        <v/>
      </c>
    </row>
    <row r="96891">
      <c r="A96891" s="1" t="n">
        <v>96890</v>
      </c>
      <c r="B96891">
        <f>TEXT(96890, "[$-0E0000]yyyy-mm-dd")</f>
        <v/>
      </c>
    </row>
    <row r="96892">
      <c r="A96892" s="1" t="n">
        <v>96891</v>
      </c>
      <c r="B96892">
        <f>TEXT(96891, "[$-0E0000]yyyy-mm-dd")</f>
        <v/>
      </c>
    </row>
    <row r="96893">
      <c r="A96893" s="1" t="n">
        <v>96892</v>
      </c>
      <c r="B96893">
        <f>TEXT(96892, "[$-0E0000]yyyy-mm-dd")</f>
        <v/>
      </c>
    </row>
    <row r="96894">
      <c r="A96894" s="1" t="n">
        <v>96893</v>
      </c>
      <c r="B96894">
        <f>TEXT(96893, "[$-0E0000]yyyy-mm-dd")</f>
        <v/>
      </c>
    </row>
    <row r="96895">
      <c r="A96895" s="1" t="n">
        <v>96894</v>
      </c>
      <c r="B96895">
        <f>TEXT(96894, "[$-0E0000]yyyy-mm-dd")</f>
        <v/>
      </c>
    </row>
    <row r="96896">
      <c r="A96896" s="1" t="n">
        <v>96895</v>
      </c>
      <c r="B96896">
        <f>TEXT(96895, "[$-0E0000]yyyy-mm-dd")</f>
        <v/>
      </c>
    </row>
    <row r="96897">
      <c r="A96897" s="1" t="n">
        <v>96896</v>
      </c>
      <c r="B96897">
        <f>TEXT(96896, "[$-0E0000]yyyy-mm-dd")</f>
        <v/>
      </c>
    </row>
    <row r="96898">
      <c r="A96898" s="1" t="n">
        <v>96897</v>
      </c>
      <c r="B96898">
        <f>TEXT(96897, "[$-0E0000]yyyy-mm-dd")</f>
        <v/>
      </c>
    </row>
    <row r="96899">
      <c r="A96899" s="1" t="n">
        <v>96898</v>
      </c>
      <c r="B96899">
        <f>TEXT(96898, "[$-0E0000]yyyy-mm-dd")</f>
        <v/>
      </c>
    </row>
    <row r="96900">
      <c r="A96900" s="1" t="n">
        <v>96899</v>
      </c>
      <c r="B96900">
        <f>TEXT(96899, "[$-0E0000]yyyy-mm-dd")</f>
        <v/>
      </c>
    </row>
    <row r="96901">
      <c r="A96901" s="1" t="n">
        <v>96900</v>
      </c>
      <c r="B96901">
        <f>TEXT(96900, "[$-0E0000]yyyy-mm-dd")</f>
        <v/>
      </c>
    </row>
    <row r="96902">
      <c r="A96902" s="1" t="n">
        <v>96901</v>
      </c>
      <c r="B96902">
        <f>TEXT(96901, "[$-0E0000]yyyy-mm-dd")</f>
        <v/>
      </c>
    </row>
    <row r="96903">
      <c r="A96903" s="1" t="n">
        <v>96902</v>
      </c>
      <c r="B96903">
        <f>TEXT(96902, "[$-0E0000]yyyy-mm-dd")</f>
        <v/>
      </c>
    </row>
    <row r="96904">
      <c r="A96904" s="1" t="n">
        <v>96903</v>
      </c>
      <c r="B96904">
        <f>TEXT(96903, "[$-0E0000]yyyy-mm-dd")</f>
        <v/>
      </c>
    </row>
    <row r="96905">
      <c r="A96905" s="1" t="n">
        <v>96904</v>
      </c>
      <c r="B96905">
        <f>TEXT(96904, "[$-0E0000]yyyy-mm-dd")</f>
        <v/>
      </c>
    </row>
    <row r="96906">
      <c r="A96906" s="1" t="n">
        <v>96905</v>
      </c>
      <c r="B96906">
        <f>TEXT(96905, "[$-0E0000]yyyy-mm-dd")</f>
        <v/>
      </c>
    </row>
    <row r="96907">
      <c r="A96907" s="1" t="n">
        <v>96906</v>
      </c>
      <c r="B96907">
        <f>TEXT(96906, "[$-0E0000]yyyy-mm-dd")</f>
        <v/>
      </c>
    </row>
    <row r="96908">
      <c r="A96908" s="1" t="n">
        <v>96907</v>
      </c>
      <c r="B96908">
        <f>TEXT(96907, "[$-0E0000]yyyy-mm-dd")</f>
        <v/>
      </c>
    </row>
    <row r="96909">
      <c r="A96909" s="1" t="n">
        <v>96908</v>
      </c>
      <c r="B96909">
        <f>TEXT(96908, "[$-0E0000]yyyy-mm-dd")</f>
        <v/>
      </c>
    </row>
    <row r="96910">
      <c r="A96910" s="1" t="n">
        <v>96909</v>
      </c>
      <c r="B96910">
        <f>TEXT(96909, "[$-0E0000]yyyy-mm-dd")</f>
        <v/>
      </c>
    </row>
    <row r="96911">
      <c r="A96911" s="1" t="n">
        <v>96910</v>
      </c>
      <c r="B96911">
        <f>TEXT(96910, "[$-0E0000]yyyy-mm-dd")</f>
        <v/>
      </c>
    </row>
    <row r="96912">
      <c r="A96912" s="1" t="n">
        <v>96911</v>
      </c>
      <c r="B96912">
        <f>TEXT(96911, "[$-0E0000]yyyy-mm-dd")</f>
        <v/>
      </c>
    </row>
    <row r="96913">
      <c r="A96913" s="1" t="n">
        <v>96912</v>
      </c>
      <c r="B96913">
        <f>TEXT(96912, "[$-0E0000]yyyy-mm-dd")</f>
        <v/>
      </c>
    </row>
    <row r="96914">
      <c r="A96914" s="1" t="n">
        <v>96913</v>
      </c>
      <c r="B96914">
        <f>TEXT(96913, "[$-0E0000]yyyy-mm-dd")</f>
        <v/>
      </c>
    </row>
    <row r="96915">
      <c r="A96915" s="1" t="n">
        <v>96914</v>
      </c>
      <c r="B96915">
        <f>TEXT(96914, "[$-0E0000]yyyy-mm-dd")</f>
        <v/>
      </c>
    </row>
    <row r="96916">
      <c r="A96916" s="1" t="n">
        <v>96915</v>
      </c>
      <c r="B96916">
        <f>TEXT(96915, "[$-0E0000]yyyy-mm-dd")</f>
        <v/>
      </c>
    </row>
    <row r="96917">
      <c r="A96917" s="1" t="n">
        <v>96916</v>
      </c>
      <c r="B96917">
        <f>TEXT(96916, "[$-0E0000]yyyy-mm-dd")</f>
        <v/>
      </c>
    </row>
    <row r="96918">
      <c r="A96918" s="1" t="n">
        <v>96917</v>
      </c>
      <c r="B96918">
        <f>TEXT(96917, "[$-0E0000]yyyy-mm-dd")</f>
        <v/>
      </c>
    </row>
    <row r="96919">
      <c r="A96919" s="1" t="n">
        <v>96918</v>
      </c>
      <c r="B96919">
        <f>TEXT(96918, "[$-0E0000]yyyy-mm-dd")</f>
        <v/>
      </c>
    </row>
    <row r="96920">
      <c r="A96920" s="1" t="n">
        <v>96919</v>
      </c>
      <c r="B96920">
        <f>TEXT(96919, "[$-0E0000]yyyy-mm-dd")</f>
        <v/>
      </c>
    </row>
    <row r="96921">
      <c r="A96921" s="1" t="n">
        <v>96920</v>
      </c>
      <c r="B96921">
        <f>TEXT(96920, "[$-0E0000]yyyy-mm-dd")</f>
        <v/>
      </c>
    </row>
    <row r="96922">
      <c r="A96922" s="1" t="n">
        <v>96921</v>
      </c>
      <c r="B96922">
        <f>TEXT(96921, "[$-0E0000]yyyy-mm-dd")</f>
        <v/>
      </c>
    </row>
    <row r="96923">
      <c r="A96923" s="1" t="n">
        <v>96922</v>
      </c>
      <c r="B96923">
        <f>TEXT(96922, "[$-0E0000]yyyy-mm-dd")</f>
        <v/>
      </c>
    </row>
    <row r="96924">
      <c r="A96924" s="1" t="n">
        <v>96923</v>
      </c>
      <c r="B96924">
        <f>TEXT(96923, "[$-0E0000]yyyy-mm-dd")</f>
        <v/>
      </c>
    </row>
    <row r="96925">
      <c r="A96925" s="1" t="n">
        <v>96924</v>
      </c>
      <c r="B96925">
        <f>TEXT(96924, "[$-0E0000]yyyy-mm-dd")</f>
        <v/>
      </c>
    </row>
    <row r="96926">
      <c r="A96926" s="1" t="n">
        <v>96925</v>
      </c>
      <c r="B96926">
        <f>TEXT(96925, "[$-0E0000]yyyy-mm-dd")</f>
        <v/>
      </c>
    </row>
    <row r="96927">
      <c r="A96927" s="1" t="n">
        <v>96926</v>
      </c>
      <c r="B96927">
        <f>TEXT(96926, "[$-0E0000]yyyy-mm-dd")</f>
        <v/>
      </c>
    </row>
    <row r="96928">
      <c r="A96928" s="1" t="n">
        <v>96927</v>
      </c>
      <c r="B96928">
        <f>TEXT(96927, "[$-0E0000]yyyy-mm-dd")</f>
        <v/>
      </c>
    </row>
    <row r="96929">
      <c r="A96929" s="1" t="n">
        <v>96928</v>
      </c>
      <c r="B96929">
        <f>TEXT(96928, "[$-0E0000]yyyy-mm-dd")</f>
        <v/>
      </c>
    </row>
    <row r="96930">
      <c r="A96930" s="1" t="n">
        <v>96929</v>
      </c>
      <c r="B96930">
        <f>TEXT(96929, "[$-0E0000]yyyy-mm-dd")</f>
        <v/>
      </c>
    </row>
    <row r="96931">
      <c r="A96931" s="1" t="n">
        <v>96930</v>
      </c>
      <c r="B96931">
        <f>TEXT(96930, "[$-0E0000]yyyy-mm-dd")</f>
        <v/>
      </c>
    </row>
    <row r="96932">
      <c r="A96932" s="1" t="n">
        <v>96931</v>
      </c>
      <c r="B96932">
        <f>TEXT(96931, "[$-0E0000]yyyy-mm-dd")</f>
        <v/>
      </c>
    </row>
    <row r="96933">
      <c r="A96933" s="1" t="n">
        <v>96932</v>
      </c>
      <c r="B96933">
        <f>TEXT(96932, "[$-0E0000]yyyy-mm-dd")</f>
        <v/>
      </c>
    </row>
    <row r="96934">
      <c r="A96934" s="1" t="n">
        <v>96933</v>
      </c>
      <c r="B96934">
        <f>TEXT(96933, "[$-0E0000]yyyy-mm-dd")</f>
        <v/>
      </c>
    </row>
    <row r="96935">
      <c r="A96935" s="1" t="n">
        <v>96934</v>
      </c>
      <c r="B96935">
        <f>TEXT(96934, "[$-0E0000]yyyy-mm-dd")</f>
        <v/>
      </c>
    </row>
    <row r="96936">
      <c r="A96936" s="1" t="n">
        <v>96935</v>
      </c>
      <c r="B96936">
        <f>TEXT(96935, "[$-0E0000]yyyy-mm-dd")</f>
        <v/>
      </c>
    </row>
    <row r="96937">
      <c r="A96937" s="1" t="n">
        <v>96936</v>
      </c>
      <c r="B96937">
        <f>TEXT(96936, "[$-0E0000]yyyy-mm-dd")</f>
        <v/>
      </c>
    </row>
    <row r="96938">
      <c r="A96938" s="1" t="n">
        <v>96937</v>
      </c>
      <c r="B96938">
        <f>TEXT(96937, "[$-0E0000]yyyy-mm-dd")</f>
        <v/>
      </c>
    </row>
    <row r="96939">
      <c r="A96939" s="1" t="n">
        <v>96938</v>
      </c>
      <c r="B96939">
        <f>TEXT(96938, "[$-0E0000]yyyy-mm-dd")</f>
        <v/>
      </c>
    </row>
    <row r="96940">
      <c r="A96940" s="1" t="n">
        <v>96939</v>
      </c>
      <c r="B96940">
        <f>TEXT(96939, "[$-0E0000]yyyy-mm-dd")</f>
        <v/>
      </c>
    </row>
    <row r="96941">
      <c r="A96941" s="1" t="n">
        <v>96940</v>
      </c>
      <c r="B96941">
        <f>TEXT(96940, "[$-0E0000]yyyy-mm-dd")</f>
        <v/>
      </c>
    </row>
    <row r="96942">
      <c r="A96942" s="1" t="n">
        <v>96941</v>
      </c>
      <c r="B96942">
        <f>TEXT(96941, "[$-0E0000]yyyy-mm-dd")</f>
        <v/>
      </c>
    </row>
    <row r="96943">
      <c r="A96943" s="1" t="n">
        <v>96942</v>
      </c>
      <c r="B96943">
        <f>TEXT(96942, "[$-0E0000]yyyy-mm-dd")</f>
        <v/>
      </c>
    </row>
    <row r="96944">
      <c r="A96944" s="1" t="n">
        <v>96943</v>
      </c>
      <c r="B96944">
        <f>TEXT(96943, "[$-0E0000]yyyy-mm-dd")</f>
        <v/>
      </c>
    </row>
    <row r="96945">
      <c r="A96945" s="1" t="n">
        <v>96944</v>
      </c>
      <c r="B96945">
        <f>TEXT(96944, "[$-0E0000]yyyy-mm-dd")</f>
        <v/>
      </c>
    </row>
    <row r="96946">
      <c r="A96946" s="1" t="n">
        <v>96945</v>
      </c>
      <c r="B96946">
        <f>TEXT(96945, "[$-0E0000]yyyy-mm-dd")</f>
        <v/>
      </c>
    </row>
    <row r="96947">
      <c r="A96947" s="1" t="n">
        <v>96946</v>
      </c>
      <c r="B96947">
        <f>TEXT(96946, "[$-0E0000]yyyy-mm-dd")</f>
        <v/>
      </c>
    </row>
    <row r="96948">
      <c r="A96948" s="1" t="n">
        <v>96947</v>
      </c>
      <c r="B96948">
        <f>TEXT(96947, "[$-0E0000]yyyy-mm-dd")</f>
        <v/>
      </c>
    </row>
    <row r="96949">
      <c r="A96949" s="1" t="n">
        <v>96948</v>
      </c>
      <c r="B96949">
        <f>TEXT(96948, "[$-0E0000]yyyy-mm-dd")</f>
        <v/>
      </c>
    </row>
    <row r="96950">
      <c r="A96950" s="1" t="n">
        <v>96949</v>
      </c>
      <c r="B96950">
        <f>TEXT(96949, "[$-0E0000]yyyy-mm-dd")</f>
        <v/>
      </c>
    </row>
    <row r="96951">
      <c r="A96951" s="1" t="n">
        <v>96950</v>
      </c>
      <c r="B96951">
        <f>TEXT(96950, "[$-0E0000]yyyy-mm-dd")</f>
        <v/>
      </c>
    </row>
    <row r="96952">
      <c r="A96952" s="1" t="n">
        <v>96951</v>
      </c>
      <c r="B96952">
        <f>TEXT(96951, "[$-0E0000]yyyy-mm-dd")</f>
        <v/>
      </c>
    </row>
    <row r="96953">
      <c r="A96953" s="1" t="n">
        <v>96952</v>
      </c>
      <c r="B96953">
        <f>TEXT(96952, "[$-0E0000]yyyy-mm-dd")</f>
        <v/>
      </c>
    </row>
    <row r="96954">
      <c r="A96954" s="1" t="n">
        <v>96953</v>
      </c>
      <c r="B96954">
        <f>TEXT(96953, "[$-0E0000]yyyy-mm-dd")</f>
        <v/>
      </c>
    </row>
    <row r="96955">
      <c r="A96955" s="1" t="n">
        <v>96954</v>
      </c>
      <c r="B96955">
        <f>TEXT(96954, "[$-0E0000]yyyy-mm-dd")</f>
        <v/>
      </c>
    </row>
    <row r="96956">
      <c r="A96956" s="1" t="n">
        <v>96955</v>
      </c>
      <c r="B96956">
        <f>TEXT(96955, "[$-0E0000]yyyy-mm-dd")</f>
        <v/>
      </c>
    </row>
    <row r="96957">
      <c r="A96957" s="1" t="n">
        <v>96956</v>
      </c>
      <c r="B96957">
        <f>TEXT(96956, "[$-0E0000]yyyy-mm-dd")</f>
        <v/>
      </c>
    </row>
    <row r="96958">
      <c r="A96958" s="1" t="n">
        <v>96957</v>
      </c>
      <c r="B96958">
        <f>TEXT(96957, "[$-0E0000]yyyy-mm-dd")</f>
        <v/>
      </c>
    </row>
    <row r="96959">
      <c r="A96959" s="1" t="n">
        <v>96958</v>
      </c>
      <c r="B96959">
        <f>TEXT(96958, "[$-0E0000]yyyy-mm-dd")</f>
        <v/>
      </c>
    </row>
    <row r="96960">
      <c r="A96960" s="1" t="n">
        <v>96959</v>
      </c>
      <c r="B96960">
        <f>TEXT(96959, "[$-0E0000]yyyy-mm-dd")</f>
        <v/>
      </c>
    </row>
    <row r="96961">
      <c r="A96961" s="1" t="n">
        <v>96960</v>
      </c>
      <c r="B96961">
        <f>TEXT(96960, "[$-0E0000]yyyy-mm-dd")</f>
        <v/>
      </c>
    </row>
    <row r="96962">
      <c r="A96962" s="1" t="n">
        <v>96961</v>
      </c>
      <c r="B96962">
        <f>TEXT(96961, "[$-0E0000]yyyy-mm-dd")</f>
        <v/>
      </c>
    </row>
    <row r="96963">
      <c r="A96963" s="1" t="n">
        <v>96962</v>
      </c>
      <c r="B96963">
        <f>TEXT(96962, "[$-0E0000]yyyy-mm-dd")</f>
        <v/>
      </c>
    </row>
    <row r="96964">
      <c r="A96964" s="1" t="n">
        <v>96963</v>
      </c>
      <c r="B96964">
        <f>TEXT(96963, "[$-0E0000]yyyy-mm-dd")</f>
        <v/>
      </c>
    </row>
    <row r="96965">
      <c r="A96965" s="1" t="n">
        <v>96964</v>
      </c>
      <c r="B96965">
        <f>TEXT(96964, "[$-0E0000]yyyy-mm-dd")</f>
        <v/>
      </c>
    </row>
    <row r="96966">
      <c r="A96966" s="1" t="n">
        <v>96965</v>
      </c>
      <c r="B96966">
        <f>TEXT(96965, "[$-0E0000]yyyy-mm-dd")</f>
        <v/>
      </c>
    </row>
    <row r="96967">
      <c r="A96967" s="1" t="n">
        <v>96966</v>
      </c>
      <c r="B96967">
        <f>TEXT(96966, "[$-0E0000]yyyy-mm-dd")</f>
        <v/>
      </c>
    </row>
    <row r="96968">
      <c r="A96968" s="1" t="n">
        <v>96967</v>
      </c>
      <c r="B96968">
        <f>TEXT(96967, "[$-0E0000]yyyy-mm-dd")</f>
        <v/>
      </c>
    </row>
    <row r="96969">
      <c r="A96969" s="1" t="n">
        <v>96968</v>
      </c>
      <c r="B96969">
        <f>TEXT(96968, "[$-0E0000]yyyy-mm-dd")</f>
        <v/>
      </c>
    </row>
    <row r="96970">
      <c r="A96970" s="1" t="n">
        <v>96969</v>
      </c>
      <c r="B96970">
        <f>TEXT(96969, "[$-0E0000]yyyy-mm-dd")</f>
        <v/>
      </c>
    </row>
    <row r="96971">
      <c r="A96971" s="1" t="n">
        <v>96970</v>
      </c>
      <c r="B96971">
        <f>TEXT(96970, "[$-0E0000]yyyy-mm-dd")</f>
        <v/>
      </c>
    </row>
    <row r="96972">
      <c r="A96972" s="1" t="n">
        <v>96971</v>
      </c>
      <c r="B96972">
        <f>TEXT(96971, "[$-0E0000]yyyy-mm-dd")</f>
        <v/>
      </c>
    </row>
    <row r="96973">
      <c r="A96973" s="1" t="n">
        <v>96972</v>
      </c>
      <c r="B96973">
        <f>TEXT(96972, "[$-0E0000]yyyy-mm-dd")</f>
        <v/>
      </c>
    </row>
    <row r="96974">
      <c r="A96974" s="1" t="n">
        <v>96973</v>
      </c>
      <c r="B96974">
        <f>TEXT(96973, "[$-0E0000]yyyy-mm-dd")</f>
        <v/>
      </c>
    </row>
    <row r="96975">
      <c r="A96975" s="1" t="n">
        <v>96974</v>
      </c>
      <c r="B96975">
        <f>TEXT(96974, "[$-0E0000]yyyy-mm-dd")</f>
        <v/>
      </c>
    </row>
    <row r="96976">
      <c r="A96976" s="1" t="n">
        <v>96975</v>
      </c>
      <c r="B96976">
        <f>TEXT(96975, "[$-0E0000]yyyy-mm-dd")</f>
        <v/>
      </c>
    </row>
    <row r="96977">
      <c r="A96977" s="1" t="n">
        <v>96976</v>
      </c>
      <c r="B96977">
        <f>TEXT(96976, "[$-0E0000]yyyy-mm-dd")</f>
        <v/>
      </c>
    </row>
    <row r="96978">
      <c r="A96978" s="1" t="n">
        <v>96977</v>
      </c>
      <c r="B96978">
        <f>TEXT(96977, "[$-0E0000]yyyy-mm-dd")</f>
        <v/>
      </c>
    </row>
    <row r="96979">
      <c r="A96979" s="1" t="n">
        <v>96978</v>
      </c>
      <c r="B96979">
        <f>TEXT(96978, "[$-0E0000]yyyy-mm-dd")</f>
        <v/>
      </c>
    </row>
    <row r="96980">
      <c r="A96980" s="1" t="n">
        <v>96979</v>
      </c>
      <c r="B96980">
        <f>TEXT(96979, "[$-0E0000]yyyy-mm-dd")</f>
        <v/>
      </c>
    </row>
    <row r="96981">
      <c r="A96981" s="1" t="n">
        <v>96980</v>
      </c>
      <c r="B96981">
        <f>TEXT(96980, "[$-0E0000]yyyy-mm-dd")</f>
        <v/>
      </c>
    </row>
    <row r="96982">
      <c r="A96982" s="1" t="n">
        <v>96981</v>
      </c>
      <c r="B96982">
        <f>TEXT(96981, "[$-0E0000]yyyy-mm-dd")</f>
        <v/>
      </c>
    </row>
    <row r="96983">
      <c r="A96983" s="1" t="n">
        <v>96982</v>
      </c>
      <c r="B96983">
        <f>TEXT(96982, "[$-0E0000]yyyy-mm-dd")</f>
        <v/>
      </c>
    </row>
    <row r="96984">
      <c r="A96984" s="1" t="n">
        <v>96983</v>
      </c>
      <c r="B96984">
        <f>TEXT(96983, "[$-0E0000]yyyy-mm-dd")</f>
        <v/>
      </c>
    </row>
    <row r="96985">
      <c r="A96985" s="1" t="n">
        <v>96984</v>
      </c>
      <c r="B96985">
        <f>TEXT(96984, "[$-0E0000]yyyy-mm-dd")</f>
        <v/>
      </c>
    </row>
    <row r="96986">
      <c r="A96986" s="1" t="n">
        <v>96985</v>
      </c>
      <c r="B96986">
        <f>TEXT(96985, "[$-0E0000]yyyy-mm-dd")</f>
        <v/>
      </c>
    </row>
    <row r="96987">
      <c r="A96987" s="1" t="n">
        <v>96986</v>
      </c>
      <c r="B96987">
        <f>TEXT(96986, "[$-0E0000]yyyy-mm-dd")</f>
        <v/>
      </c>
    </row>
    <row r="96988">
      <c r="A96988" s="1" t="n">
        <v>96987</v>
      </c>
      <c r="B96988">
        <f>TEXT(96987, "[$-0E0000]yyyy-mm-dd")</f>
        <v/>
      </c>
    </row>
    <row r="96989">
      <c r="A96989" s="1" t="n">
        <v>96988</v>
      </c>
      <c r="B96989">
        <f>TEXT(96988, "[$-0E0000]yyyy-mm-dd")</f>
        <v/>
      </c>
    </row>
    <row r="96990">
      <c r="A96990" s="1" t="n">
        <v>96989</v>
      </c>
      <c r="B96990">
        <f>TEXT(96989, "[$-0E0000]yyyy-mm-dd")</f>
        <v/>
      </c>
    </row>
    <row r="96991">
      <c r="A96991" s="1" t="n">
        <v>96990</v>
      </c>
      <c r="B96991">
        <f>TEXT(96990, "[$-0E0000]yyyy-mm-dd")</f>
        <v/>
      </c>
    </row>
    <row r="96992">
      <c r="A96992" s="1" t="n">
        <v>96991</v>
      </c>
      <c r="B96992">
        <f>TEXT(96991, "[$-0E0000]yyyy-mm-dd")</f>
        <v/>
      </c>
    </row>
    <row r="96993">
      <c r="A96993" s="1" t="n">
        <v>96992</v>
      </c>
      <c r="B96993">
        <f>TEXT(96992, "[$-0E0000]yyyy-mm-dd")</f>
        <v/>
      </c>
    </row>
    <row r="96994">
      <c r="A96994" s="1" t="n">
        <v>96993</v>
      </c>
      <c r="B96994">
        <f>TEXT(96993, "[$-0E0000]yyyy-mm-dd")</f>
        <v/>
      </c>
    </row>
    <row r="96995">
      <c r="A96995" s="1" t="n">
        <v>96994</v>
      </c>
      <c r="B96995">
        <f>TEXT(96994, "[$-0E0000]yyyy-mm-dd")</f>
        <v/>
      </c>
    </row>
    <row r="96996">
      <c r="A96996" s="1" t="n">
        <v>96995</v>
      </c>
      <c r="B96996">
        <f>TEXT(96995, "[$-0E0000]yyyy-mm-dd")</f>
        <v/>
      </c>
    </row>
    <row r="96997">
      <c r="A96997" s="1" t="n">
        <v>96996</v>
      </c>
      <c r="B96997">
        <f>TEXT(96996, "[$-0E0000]yyyy-mm-dd")</f>
        <v/>
      </c>
    </row>
    <row r="96998">
      <c r="A96998" s="1" t="n">
        <v>96997</v>
      </c>
      <c r="B96998">
        <f>TEXT(96997, "[$-0E0000]yyyy-mm-dd")</f>
        <v/>
      </c>
    </row>
    <row r="96999">
      <c r="A96999" s="1" t="n">
        <v>96998</v>
      </c>
      <c r="B96999">
        <f>TEXT(96998, "[$-0E0000]yyyy-mm-dd")</f>
        <v/>
      </c>
    </row>
    <row r="97000">
      <c r="A97000" s="1" t="n">
        <v>96999</v>
      </c>
      <c r="B97000">
        <f>TEXT(96999, "[$-0E0000]yyyy-mm-dd")</f>
        <v/>
      </c>
    </row>
    <row r="97001">
      <c r="A97001" s="1" t="n">
        <v>97000</v>
      </c>
      <c r="B97001">
        <f>TEXT(97000, "[$-0E0000]yyyy-mm-dd")</f>
        <v/>
      </c>
    </row>
    <row r="97002">
      <c r="A97002" s="1" t="n">
        <v>97001</v>
      </c>
      <c r="B97002">
        <f>TEXT(97001, "[$-0E0000]yyyy-mm-dd")</f>
        <v/>
      </c>
    </row>
    <row r="97003">
      <c r="A97003" s="1" t="n">
        <v>97002</v>
      </c>
      <c r="B97003">
        <f>TEXT(97002, "[$-0E0000]yyyy-mm-dd")</f>
        <v/>
      </c>
    </row>
    <row r="97004">
      <c r="A97004" s="1" t="n">
        <v>97003</v>
      </c>
      <c r="B97004">
        <f>TEXT(97003, "[$-0E0000]yyyy-mm-dd")</f>
        <v/>
      </c>
    </row>
    <row r="97005">
      <c r="A97005" s="1" t="n">
        <v>97004</v>
      </c>
      <c r="B97005">
        <f>TEXT(97004, "[$-0E0000]yyyy-mm-dd")</f>
        <v/>
      </c>
    </row>
    <row r="97006">
      <c r="A97006" s="1" t="n">
        <v>97005</v>
      </c>
      <c r="B97006">
        <f>TEXT(97005, "[$-0E0000]yyyy-mm-dd")</f>
        <v/>
      </c>
    </row>
    <row r="97007">
      <c r="A97007" s="1" t="n">
        <v>97006</v>
      </c>
      <c r="B97007">
        <f>TEXT(97006, "[$-0E0000]yyyy-mm-dd")</f>
        <v/>
      </c>
    </row>
    <row r="97008">
      <c r="A97008" s="1" t="n">
        <v>97007</v>
      </c>
      <c r="B97008">
        <f>TEXT(97007, "[$-0E0000]yyyy-mm-dd")</f>
        <v/>
      </c>
    </row>
    <row r="97009">
      <c r="A97009" s="1" t="n">
        <v>97008</v>
      </c>
      <c r="B97009">
        <f>TEXT(97008, "[$-0E0000]yyyy-mm-dd")</f>
        <v/>
      </c>
    </row>
    <row r="97010">
      <c r="A97010" s="1" t="n">
        <v>97009</v>
      </c>
      <c r="B97010">
        <f>TEXT(97009, "[$-0E0000]yyyy-mm-dd")</f>
        <v/>
      </c>
    </row>
    <row r="97011">
      <c r="A97011" s="1" t="n">
        <v>97010</v>
      </c>
      <c r="B97011">
        <f>TEXT(97010, "[$-0E0000]yyyy-mm-dd")</f>
        <v/>
      </c>
    </row>
    <row r="97012">
      <c r="A97012" s="1" t="n">
        <v>97011</v>
      </c>
      <c r="B97012">
        <f>TEXT(97011, "[$-0E0000]yyyy-mm-dd")</f>
        <v/>
      </c>
    </row>
    <row r="97013">
      <c r="A97013" s="1" t="n">
        <v>97012</v>
      </c>
      <c r="B97013">
        <f>TEXT(97012, "[$-0E0000]yyyy-mm-dd")</f>
        <v/>
      </c>
    </row>
    <row r="97014">
      <c r="A97014" s="1" t="n">
        <v>97013</v>
      </c>
      <c r="B97014">
        <f>TEXT(97013, "[$-0E0000]yyyy-mm-dd")</f>
        <v/>
      </c>
    </row>
    <row r="97015">
      <c r="A97015" s="1" t="n">
        <v>97014</v>
      </c>
      <c r="B97015">
        <f>TEXT(97014, "[$-0E0000]yyyy-mm-dd")</f>
        <v/>
      </c>
    </row>
    <row r="97016">
      <c r="A97016" s="1" t="n">
        <v>97015</v>
      </c>
      <c r="B97016">
        <f>TEXT(97015, "[$-0E0000]yyyy-mm-dd")</f>
        <v/>
      </c>
    </row>
    <row r="97017">
      <c r="A97017" s="1" t="n">
        <v>97016</v>
      </c>
      <c r="B97017">
        <f>TEXT(97016, "[$-0E0000]yyyy-mm-dd")</f>
        <v/>
      </c>
    </row>
    <row r="97018">
      <c r="A97018" s="1" t="n">
        <v>97017</v>
      </c>
      <c r="B97018">
        <f>TEXT(97017, "[$-0E0000]yyyy-mm-dd")</f>
        <v/>
      </c>
    </row>
    <row r="97019">
      <c r="A97019" s="1" t="n">
        <v>97018</v>
      </c>
      <c r="B97019">
        <f>TEXT(97018, "[$-0E0000]yyyy-mm-dd")</f>
        <v/>
      </c>
    </row>
    <row r="97020">
      <c r="A97020" s="1" t="n">
        <v>97019</v>
      </c>
      <c r="B97020">
        <f>TEXT(97019, "[$-0E0000]yyyy-mm-dd")</f>
        <v/>
      </c>
    </row>
    <row r="97021">
      <c r="A97021" s="1" t="n">
        <v>97020</v>
      </c>
      <c r="B97021">
        <f>TEXT(97020, "[$-0E0000]yyyy-mm-dd")</f>
        <v/>
      </c>
    </row>
    <row r="97022">
      <c r="A97022" s="1" t="n">
        <v>97021</v>
      </c>
      <c r="B97022">
        <f>TEXT(97021, "[$-0E0000]yyyy-mm-dd")</f>
        <v/>
      </c>
    </row>
    <row r="97023">
      <c r="A97023" s="1" t="n">
        <v>97022</v>
      </c>
      <c r="B97023">
        <f>TEXT(97022, "[$-0E0000]yyyy-mm-dd")</f>
        <v/>
      </c>
    </row>
    <row r="97024">
      <c r="A97024" s="1" t="n">
        <v>97023</v>
      </c>
      <c r="B97024">
        <f>TEXT(97023, "[$-0E0000]yyyy-mm-dd")</f>
        <v/>
      </c>
    </row>
    <row r="97025">
      <c r="A97025" s="1" t="n">
        <v>97024</v>
      </c>
      <c r="B97025">
        <f>TEXT(97024, "[$-0E0000]yyyy-mm-dd")</f>
        <v/>
      </c>
    </row>
    <row r="97026">
      <c r="A97026" s="1" t="n">
        <v>97025</v>
      </c>
      <c r="B97026">
        <f>TEXT(97025, "[$-0E0000]yyyy-mm-dd")</f>
        <v/>
      </c>
    </row>
    <row r="97027">
      <c r="A97027" s="1" t="n">
        <v>97026</v>
      </c>
      <c r="B97027">
        <f>TEXT(97026, "[$-0E0000]yyyy-mm-dd")</f>
        <v/>
      </c>
    </row>
    <row r="97028">
      <c r="A97028" s="1" t="n">
        <v>97027</v>
      </c>
      <c r="B97028">
        <f>TEXT(97027, "[$-0E0000]yyyy-mm-dd")</f>
        <v/>
      </c>
    </row>
    <row r="97029">
      <c r="A97029" s="1" t="n">
        <v>97028</v>
      </c>
      <c r="B97029">
        <f>TEXT(97028, "[$-0E0000]yyyy-mm-dd")</f>
        <v/>
      </c>
    </row>
    <row r="97030">
      <c r="A97030" s="1" t="n">
        <v>97029</v>
      </c>
      <c r="B97030">
        <f>TEXT(97029, "[$-0E0000]yyyy-mm-dd")</f>
        <v/>
      </c>
    </row>
    <row r="97031">
      <c r="A97031" s="1" t="n">
        <v>97030</v>
      </c>
      <c r="B97031">
        <f>TEXT(97030, "[$-0E0000]yyyy-mm-dd")</f>
        <v/>
      </c>
    </row>
    <row r="97032">
      <c r="A97032" s="1" t="n">
        <v>97031</v>
      </c>
      <c r="B97032">
        <f>TEXT(97031, "[$-0E0000]yyyy-mm-dd")</f>
        <v/>
      </c>
    </row>
    <row r="97033">
      <c r="A97033" s="1" t="n">
        <v>97032</v>
      </c>
      <c r="B97033">
        <f>TEXT(97032, "[$-0E0000]yyyy-mm-dd")</f>
        <v/>
      </c>
    </row>
    <row r="97034">
      <c r="A97034" s="1" t="n">
        <v>97033</v>
      </c>
      <c r="B97034">
        <f>TEXT(97033, "[$-0E0000]yyyy-mm-dd")</f>
        <v/>
      </c>
    </row>
    <row r="97035">
      <c r="A97035" s="1" t="n">
        <v>97034</v>
      </c>
      <c r="B97035">
        <f>TEXT(97034, "[$-0E0000]yyyy-mm-dd")</f>
        <v/>
      </c>
    </row>
    <row r="97036">
      <c r="A97036" s="1" t="n">
        <v>97035</v>
      </c>
      <c r="B97036">
        <f>TEXT(97035, "[$-0E0000]yyyy-mm-dd")</f>
        <v/>
      </c>
    </row>
    <row r="97037">
      <c r="A97037" s="1" t="n">
        <v>97036</v>
      </c>
      <c r="B97037">
        <f>TEXT(97036, "[$-0E0000]yyyy-mm-dd")</f>
        <v/>
      </c>
    </row>
    <row r="97038">
      <c r="A97038" s="1" t="n">
        <v>97037</v>
      </c>
      <c r="B97038">
        <f>TEXT(97037, "[$-0E0000]yyyy-mm-dd")</f>
        <v/>
      </c>
    </row>
    <row r="97039">
      <c r="A97039" s="1" t="n">
        <v>97038</v>
      </c>
      <c r="B97039">
        <f>TEXT(97038, "[$-0E0000]yyyy-mm-dd")</f>
        <v/>
      </c>
    </row>
    <row r="97040">
      <c r="A97040" s="1" t="n">
        <v>97039</v>
      </c>
      <c r="B97040">
        <f>TEXT(97039, "[$-0E0000]yyyy-mm-dd")</f>
        <v/>
      </c>
    </row>
    <row r="97041">
      <c r="A97041" s="1" t="n">
        <v>97040</v>
      </c>
      <c r="B97041">
        <f>TEXT(97040, "[$-0E0000]yyyy-mm-dd")</f>
        <v/>
      </c>
    </row>
    <row r="97042">
      <c r="A97042" s="1" t="n">
        <v>97041</v>
      </c>
      <c r="B97042">
        <f>TEXT(97041, "[$-0E0000]yyyy-mm-dd")</f>
        <v/>
      </c>
    </row>
    <row r="97043">
      <c r="A97043" s="1" t="n">
        <v>97042</v>
      </c>
      <c r="B97043">
        <f>TEXT(97042, "[$-0E0000]yyyy-mm-dd")</f>
        <v/>
      </c>
    </row>
    <row r="97044">
      <c r="A97044" s="1" t="n">
        <v>97043</v>
      </c>
      <c r="B97044">
        <f>TEXT(97043, "[$-0E0000]yyyy-mm-dd")</f>
        <v/>
      </c>
    </row>
    <row r="97045">
      <c r="A97045" s="1" t="n">
        <v>97044</v>
      </c>
      <c r="B97045">
        <f>TEXT(97044, "[$-0E0000]yyyy-mm-dd")</f>
        <v/>
      </c>
    </row>
    <row r="97046">
      <c r="A97046" s="1" t="n">
        <v>97045</v>
      </c>
      <c r="B97046">
        <f>TEXT(97045, "[$-0E0000]yyyy-mm-dd")</f>
        <v/>
      </c>
    </row>
    <row r="97047">
      <c r="A97047" s="1" t="n">
        <v>97046</v>
      </c>
      <c r="B97047">
        <f>TEXT(97046, "[$-0E0000]yyyy-mm-dd")</f>
        <v/>
      </c>
    </row>
    <row r="97048">
      <c r="A97048" s="1" t="n">
        <v>97047</v>
      </c>
      <c r="B97048">
        <f>TEXT(97047, "[$-0E0000]yyyy-mm-dd")</f>
        <v/>
      </c>
    </row>
    <row r="97049">
      <c r="A97049" s="1" t="n">
        <v>97048</v>
      </c>
      <c r="B97049">
        <f>TEXT(97048, "[$-0E0000]yyyy-mm-dd")</f>
        <v/>
      </c>
    </row>
    <row r="97050">
      <c r="A97050" s="1" t="n">
        <v>97049</v>
      </c>
      <c r="B97050">
        <f>TEXT(97049, "[$-0E0000]yyyy-mm-dd")</f>
        <v/>
      </c>
    </row>
    <row r="97051">
      <c r="A97051" s="1" t="n">
        <v>97050</v>
      </c>
      <c r="B97051">
        <f>TEXT(97050, "[$-0E0000]yyyy-mm-dd")</f>
        <v/>
      </c>
    </row>
    <row r="97052">
      <c r="A97052" s="1" t="n">
        <v>97051</v>
      </c>
      <c r="B97052">
        <f>TEXT(97051, "[$-0E0000]yyyy-mm-dd")</f>
        <v/>
      </c>
    </row>
    <row r="97053">
      <c r="A97053" s="1" t="n">
        <v>97052</v>
      </c>
      <c r="B97053">
        <f>TEXT(97052, "[$-0E0000]yyyy-mm-dd")</f>
        <v/>
      </c>
    </row>
    <row r="97054">
      <c r="A97054" s="1" t="n">
        <v>97053</v>
      </c>
      <c r="B97054">
        <f>TEXT(97053, "[$-0E0000]yyyy-mm-dd")</f>
        <v/>
      </c>
    </row>
    <row r="97055">
      <c r="A97055" s="1" t="n">
        <v>97054</v>
      </c>
      <c r="B97055">
        <f>TEXT(97054, "[$-0E0000]yyyy-mm-dd")</f>
        <v/>
      </c>
    </row>
    <row r="97056">
      <c r="A97056" s="1" t="n">
        <v>97055</v>
      </c>
      <c r="B97056">
        <f>TEXT(97055, "[$-0E0000]yyyy-mm-dd")</f>
        <v/>
      </c>
    </row>
    <row r="97057">
      <c r="A97057" s="1" t="n">
        <v>97056</v>
      </c>
      <c r="B97057">
        <f>TEXT(97056, "[$-0E0000]yyyy-mm-dd")</f>
        <v/>
      </c>
    </row>
    <row r="97058">
      <c r="A97058" s="1" t="n">
        <v>97057</v>
      </c>
      <c r="B97058">
        <f>TEXT(97057, "[$-0E0000]yyyy-mm-dd")</f>
        <v/>
      </c>
    </row>
    <row r="97059">
      <c r="A97059" s="1" t="n">
        <v>97058</v>
      </c>
      <c r="B97059">
        <f>TEXT(97058, "[$-0E0000]yyyy-mm-dd")</f>
        <v/>
      </c>
    </row>
    <row r="97060">
      <c r="A97060" s="1" t="n">
        <v>97059</v>
      </c>
      <c r="B97060">
        <f>TEXT(97059, "[$-0E0000]yyyy-mm-dd")</f>
        <v/>
      </c>
    </row>
    <row r="97061">
      <c r="A97061" s="1" t="n">
        <v>97060</v>
      </c>
      <c r="B97061">
        <f>TEXT(97060, "[$-0E0000]yyyy-mm-dd")</f>
        <v/>
      </c>
    </row>
    <row r="97062">
      <c r="A97062" s="1" t="n">
        <v>97061</v>
      </c>
      <c r="B97062">
        <f>TEXT(97061, "[$-0E0000]yyyy-mm-dd")</f>
        <v/>
      </c>
    </row>
    <row r="97063">
      <c r="A97063" s="1" t="n">
        <v>97062</v>
      </c>
      <c r="B97063">
        <f>TEXT(97062, "[$-0E0000]yyyy-mm-dd")</f>
        <v/>
      </c>
    </row>
    <row r="97064">
      <c r="A97064" s="1" t="n">
        <v>97063</v>
      </c>
      <c r="B97064">
        <f>TEXT(97063, "[$-0E0000]yyyy-mm-dd")</f>
        <v/>
      </c>
    </row>
    <row r="97065">
      <c r="A97065" s="1" t="n">
        <v>97064</v>
      </c>
      <c r="B97065">
        <f>TEXT(97064, "[$-0E0000]yyyy-mm-dd")</f>
        <v/>
      </c>
    </row>
    <row r="97066">
      <c r="A97066" s="1" t="n">
        <v>97065</v>
      </c>
      <c r="B97066">
        <f>TEXT(97065, "[$-0E0000]yyyy-mm-dd")</f>
        <v/>
      </c>
    </row>
    <row r="97067">
      <c r="A97067" s="1" t="n">
        <v>97066</v>
      </c>
      <c r="B97067">
        <f>TEXT(97066, "[$-0E0000]yyyy-mm-dd")</f>
        <v/>
      </c>
    </row>
    <row r="97068">
      <c r="A97068" s="1" t="n">
        <v>97067</v>
      </c>
      <c r="B97068">
        <f>TEXT(97067, "[$-0E0000]yyyy-mm-dd")</f>
        <v/>
      </c>
    </row>
    <row r="97069">
      <c r="A97069" s="1" t="n">
        <v>97068</v>
      </c>
      <c r="B97069">
        <f>TEXT(97068, "[$-0E0000]yyyy-mm-dd")</f>
        <v/>
      </c>
    </row>
    <row r="97070">
      <c r="A97070" s="1" t="n">
        <v>97069</v>
      </c>
      <c r="B97070">
        <f>TEXT(97069, "[$-0E0000]yyyy-mm-dd")</f>
        <v/>
      </c>
    </row>
    <row r="97071">
      <c r="A97071" s="1" t="n">
        <v>97070</v>
      </c>
      <c r="B97071">
        <f>TEXT(97070, "[$-0E0000]yyyy-mm-dd")</f>
        <v/>
      </c>
    </row>
    <row r="97072">
      <c r="A97072" s="1" t="n">
        <v>97071</v>
      </c>
      <c r="B97072">
        <f>TEXT(97071, "[$-0E0000]yyyy-mm-dd")</f>
        <v/>
      </c>
    </row>
    <row r="97073">
      <c r="A97073" s="1" t="n">
        <v>97072</v>
      </c>
      <c r="B97073">
        <f>TEXT(97072, "[$-0E0000]yyyy-mm-dd")</f>
        <v/>
      </c>
    </row>
    <row r="97074">
      <c r="A97074" s="1" t="n">
        <v>97073</v>
      </c>
      <c r="B97074">
        <f>TEXT(97073, "[$-0E0000]yyyy-mm-dd")</f>
        <v/>
      </c>
    </row>
    <row r="97075">
      <c r="A97075" s="1" t="n">
        <v>97074</v>
      </c>
      <c r="B97075">
        <f>TEXT(97074, "[$-0E0000]yyyy-mm-dd")</f>
        <v/>
      </c>
    </row>
    <row r="97076">
      <c r="A97076" s="1" t="n">
        <v>97075</v>
      </c>
      <c r="B97076">
        <f>TEXT(97075, "[$-0E0000]yyyy-mm-dd")</f>
        <v/>
      </c>
    </row>
    <row r="97077">
      <c r="A97077" s="1" t="n">
        <v>97076</v>
      </c>
      <c r="B97077">
        <f>TEXT(97076, "[$-0E0000]yyyy-mm-dd")</f>
        <v/>
      </c>
    </row>
    <row r="97078">
      <c r="A97078" s="1" t="n">
        <v>97077</v>
      </c>
      <c r="B97078">
        <f>TEXT(97077, "[$-0E0000]yyyy-mm-dd")</f>
        <v/>
      </c>
    </row>
    <row r="97079">
      <c r="A97079" s="1" t="n">
        <v>97078</v>
      </c>
      <c r="B97079">
        <f>TEXT(97078, "[$-0E0000]yyyy-mm-dd")</f>
        <v/>
      </c>
    </row>
    <row r="97080">
      <c r="A97080" s="1" t="n">
        <v>97079</v>
      </c>
      <c r="B97080">
        <f>TEXT(97079, "[$-0E0000]yyyy-mm-dd")</f>
        <v/>
      </c>
    </row>
    <row r="97081">
      <c r="A97081" s="1" t="n">
        <v>97080</v>
      </c>
      <c r="B97081">
        <f>TEXT(97080, "[$-0E0000]yyyy-mm-dd")</f>
        <v/>
      </c>
    </row>
    <row r="97082">
      <c r="A97082" s="1" t="n">
        <v>97081</v>
      </c>
      <c r="B97082">
        <f>TEXT(97081, "[$-0E0000]yyyy-mm-dd")</f>
        <v/>
      </c>
    </row>
    <row r="97083">
      <c r="A97083" s="1" t="n">
        <v>97082</v>
      </c>
      <c r="B97083">
        <f>TEXT(97082, "[$-0E0000]yyyy-mm-dd")</f>
        <v/>
      </c>
    </row>
    <row r="97084">
      <c r="A97084" s="1" t="n">
        <v>97083</v>
      </c>
      <c r="B97084">
        <f>TEXT(97083, "[$-0E0000]yyyy-mm-dd")</f>
        <v/>
      </c>
    </row>
    <row r="97085">
      <c r="A97085" s="1" t="n">
        <v>97084</v>
      </c>
      <c r="B97085">
        <f>TEXT(97084, "[$-0E0000]yyyy-mm-dd")</f>
        <v/>
      </c>
    </row>
    <row r="97086">
      <c r="A97086" s="1" t="n">
        <v>97085</v>
      </c>
      <c r="B97086">
        <f>TEXT(97085, "[$-0E0000]yyyy-mm-dd")</f>
        <v/>
      </c>
    </row>
    <row r="97087">
      <c r="A97087" s="1" t="n">
        <v>97086</v>
      </c>
      <c r="B97087">
        <f>TEXT(97086, "[$-0E0000]yyyy-mm-dd")</f>
        <v/>
      </c>
    </row>
    <row r="97088">
      <c r="A97088" s="1" t="n">
        <v>97087</v>
      </c>
      <c r="B97088">
        <f>TEXT(97087, "[$-0E0000]yyyy-mm-dd")</f>
        <v/>
      </c>
    </row>
    <row r="97089">
      <c r="A97089" s="1" t="n">
        <v>97088</v>
      </c>
      <c r="B97089">
        <f>TEXT(97088, "[$-0E0000]yyyy-mm-dd")</f>
        <v/>
      </c>
    </row>
    <row r="97090">
      <c r="A97090" s="1" t="n">
        <v>97089</v>
      </c>
      <c r="B97090">
        <f>TEXT(97089, "[$-0E0000]yyyy-mm-dd")</f>
        <v/>
      </c>
    </row>
    <row r="97091">
      <c r="A97091" s="1" t="n">
        <v>97090</v>
      </c>
      <c r="B97091">
        <f>TEXT(97090, "[$-0E0000]yyyy-mm-dd")</f>
        <v/>
      </c>
    </row>
    <row r="97092">
      <c r="A97092" s="1" t="n">
        <v>97091</v>
      </c>
      <c r="B97092">
        <f>TEXT(97091, "[$-0E0000]yyyy-mm-dd")</f>
        <v/>
      </c>
    </row>
    <row r="97093">
      <c r="A97093" s="1" t="n">
        <v>97092</v>
      </c>
      <c r="B97093">
        <f>TEXT(97092, "[$-0E0000]yyyy-mm-dd")</f>
        <v/>
      </c>
    </row>
    <row r="97094">
      <c r="A97094" s="1" t="n">
        <v>97093</v>
      </c>
      <c r="B97094">
        <f>TEXT(97093, "[$-0E0000]yyyy-mm-dd")</f>
        <v/>
      </c>
    </row>
    <row r="97095">
      <c r="A97095" s="1" t="n">
        <v>97094</v>
      </c>
      <c r="B97095">
        <f>TEXT(97094, "[$-0E0000]yyyy-mm-dd")</f>
        <v/>
      </c>
    </row>
    <row r="97096">
      <c r="A97096" s="1" t="n">
        <v>97095</v>
      </c>
      <c r="B97096">
        <f>TEXT(97095, "[$-0E0000]yyyy-mm-dd")</f>
        <v/>
      </c>
    </row>
    <row r="97097">
      <c r="A97097" s="1" t="n">
        <v>97096</v>
      </c>
      <c r="B97097">
        <f>TEXT(97096, "[$-0E0000]yyyy-mm-dd")</f>
        <v/>
      </c>
    </row>
    <row r="97098">
      <c r="A97098" s="1" t="n">
        <v>97097</v>
      </c>
      <c r="B97098">
        <f>TEXT(97097, "[$-0E0000]yyyy-mm-dd")</f>
        <v/>
      </c>
    </row>
    <row r="97099">
      <c r="A97099" s="1" t="n">
        <v>97098</v>
      </c>
      <c r="B97099">
        <f>TEXT(97098, "[$-0E0000]yyyy-mm-dd")</f>
        <v/>
      </c>
    </row>
    <row r="97100">
      <c r="A97100" s="1" t="n">
        <v>97099</v>
      </c>
      <c r="B97100">
        <f>TEXT(97099, "[$-0E0000]yyyy-mm-dd")</f>
        <v/>
      </c>
    </row>
    <row r="97101">
      <c r="A97101" s="1" t="n">
        <v>97100</v>
      </c>
      <c r="B97101">
        <f>TEXT(97100, "[$-0E0000]yyyy-mm-dd")</f>
        <v/>
      </c>
    </row>
    <row r="97102">
      <c r="A97102" s="1" t="n">
        <v>97101</v>
      </c>
      <c r="B97102">
        <f>TEXT(97101, "[$-0E0000]yyyy-mm-dd")</f>
        <v/>
      </c>
    </row>
    <row r="97103">
      <c r="A97103" s="1" t="n">
        <v>97102</v>
      </c>
      <c r="B97103">
        <f>TEXT(97102, "[$-0E0000]yyyy-mm-dd")</f>
        <v/>
      </c>
    </row>
    <row r="97104">
      <c r="A97104" s="1" t="n">
        <v>97103</v>
      </c>
      <c r="B97104">
        <f>TEXT(97103, "[$-0E0000]yyyy-mm-dd")</f>
        <v/>
      </c>
    </row>
    <row r="97105">
      <c r="A97105" s="1" t="n">
        <v>97104</v>
      </c>
      <c r="B97105">
        <f>TEXT(97104, "[$-0E0000]yyyy-mm-dd")</f>
        <v/>
      </c>
    </row>
    <row r="97106">
      <c r="A97106" s="1" t="n">
        <v>97105</v>
      </c>
      <c r="B97106">
        <f>TEXT(97105, "[$-0E0000]yyyy-mm-dd")</f>
        <v/>
      </c>
    </row>
    <row r="97107">
      <c r="A97107" s="1" t="n">
        <v>97106</v>
      </c>
      <c r="B97107">
        <f>TEXT(97106, "[$-0E0000]yyyy-mm-dd")</f>
        <v/>
      </c>
    </row>
    <row r="97108">
      <c r="A97108" s="1" t="n">
        <v>97107</v>
      </c>
      <c r="B97108">
        <f>TEXT(97107, "[$-0E0000]yyyy-mm-dd")</f>
        <v/>
      </c>
    </row>
    <row r="97109">
      <c r="A97109" s="1" t="n">
        <v>97108</v>
      </c>
      <c r="B97109">
        <f>TEXT(97108, "[$-0E0000]yyyy-mm-dd")</f>
        <v/>
      </c>
    </row>
    <row r="97110">
      <c r="A97110" s="1" t="n">
        <v>97109</v>
      </c>
      <c r="B97110">
        <f>TEXT(97109, "[$-0E0000]yyyy-mm-dd")</f>
        <v/>
      </c>
    </row>
    <row r="97111">
      <c r="A97111" s="1" t="n">
        <v>97110</v>
      </c>
      <c r="B97111">
        <f>TEXT(97110, "[$-0E0000]yyyy-mm-dd")</f>
        <v/>
      </c>
    </row>
    <row r="97112">
      <c r="A97112" s="1" t="n">
        <v>97111</v>
      </c>
      <c r="B97112">
        <f>TEXT(97111, "[$-0E0000]yyyy-mm-dd")</f>
        <v/>
      </c>
    </row>
    <row r="97113">
      <c r="A97113" s="1" t="n">
        <v>97112</v>
      </c>
      <c r="B97113">
        <f>TEXT(97112, "[$-0E0000]yyyy-mm-dd")</f>
        <v/>
      </c>
    </row>
    <row r="97114">
      <c r="A97114" s="1" t="n">
        <v>97113</v>
      </c>
      <c r="B97114">
        <f>TEXT(97113, "[$-0E0000]yyyy-mm-dd")</f>
        <v/>
      </c>
    </row>
    <row r="97115">
      <c r="A97115" s="1" t="n">
        <v>97114</v>
      </c>
      <c r="B97115">
        <f>TEXT(97114, "[$-0E0000]yyyy-mm-dd")</f>
        <v/>
      </c>
    </row>
    <row r="97116">
      <c r="A97116" s="1" t="n">
        <v>97115</v>
      </c>
      <c r="B97116">
        <f>TEXT(97115, "[$-0E0000]yyyy-mm-dd")</f>
        <v/>
      </c>
    </row>
    <row r="97117">
      <c r="A97117" s="1" t="n">
        <v>97116</v>
      </c>
      <c r="B97117">
        <f>TEXT(97116, "[$-0E0000]yyyy-mm-dd")</f>
        <v/>
      </c>
    </row>
    <row r="97118">
      <c r="A97118" s="1" t="n">
        <v>97117</v>
      </c>
      <c r="B97118">
        <f>TEXT(97117, "[$-0E0000]yyyy-mm-dd")</f>
        <v/>
      </c>
    </row>
    <row r="97119">
      <c r="A97119" s="1" t="n">
        <v>97118</v>
      </c>
      <c r="B97119">
        <f>TEXT(97118, "[$-0E0000]yyyy-mm-dd")</f>
        <v/>
      </c>
    </row>
    <row r="97120">
      <c r="A97120" s="1" t="n">
        <v>97119</v>
      </c>
      <c r="B97120">
        <f>TEXT(97119, "[$-0E0000]yyyy-mm-dd")</f>
        <v/>
      </c>
    </row>
    <row r="97121">
      <c r="A97121" s="1" t="n">
        <v>97120</v>
      </c>
      <c r="B97121">
        <f>TEXT(97120, "[$-0E0000]yyyy-mm-dd")</f>
        <v/>
      </c>
    </row>
    <row r="97122">
      <c r="A97122" s="1" t="n">
        <v>97121</v>
      </c>
      <c r="B97122">
        <f>TEXT(97121, "[$-0E0000]yyyy-mm-dd")</f>
        <v/>
      </c>
    </row>
    <row r="97123">
      <c r="A97123" s="1" t="n">
        <v>97122</v>
      </c>
      <c r="B97123">
        <f>TEXT(97122, "[$-0E0000]yyyy-mm-dd")</f>
        <v/>
      </c>
    </row>
    <row r="97124">
      <c r="A97124" s="1" t="n">
        <v>97123</v>
      </c>
      <c r="B97124">
        <f>TEXT(97123, "[$-0E0000]yyyy-mm-dd")</f>
        <v/>
      </c>
    </row>
    <row r="97125">
      <c r="A97125" s="1" t="n">
        <v>97124</v>
      </c>
      <c r="B97125">
        <f>TEXT(97124, "[$-0E0000]yyyy-mm-dd")</f>
        <v/>
      </c>
    </row>
    <row r="97126">
      <c r="A97126" s="1" t="n">
        <v>97125</v>
      </c>
      <c r="B97126">
        <f>TEXT(97125, "[$-0E0000]yyyy-mm-dd")</f>
        <v/>
      </c>
    </row>
    <row r="97127">
      <c r="A97127" s="1" t="n">
        <v>97126</v>
      </c>
      <c r="B97127">
        <f>TEXT(97126, "[$-0E0000]yyyy-mm-dd")</f>
        <v/>
      </c>
    </row>
    <row r="97128">
      <c r="A97128" s="1" t="n">
        <v>97127</v>
      </c>
      <c r="B97128">
        <f>TEXT(97127, "[$-0E0000]yyyy-mm-dd")</f>
        <v/>
      </c>
    </row>
    <row r="97129">
      <c r="A97129" s="1" t="n">
        <v>97128</v>
      </c>
      <c r="B97129">
        <f>TEXT(97128, "[$-0E0000]yyyy-mm-dd")</f>
        <v/>
      </c>
    </row>
    <row r="97130">
      <c r="A97130" s="1" t="n">
        <v>97129</v>
      </c>
      <c r="B97130">
        <f>TEXT(97129, "[$-0E0000]yyyy-mm-dd")</f>
        <v/>
      </c>
    </row>
    <row r="97131">
      <c r="A97131" s="1" t="n">
        <v>97130</v>
      </c>
      <c r="B97131">
        <f>TEXT(97130, "[$-0E0000]yyyy-mm-dd")</f>
        <v/>
      </c>
    </row>
    <row r="97132">
      <c r="A97132" s="1" t="n">
        <v>97131</v>
      </c>
      <c r="B97132">
        <f>TEXT(97131, "[$-0E0000]yyyy-mm-dd")</f>
        <v/>
      </c>
    </row>
    <row r="97133">
      <c r="A97133" s="1" t="n">
        <v>97132</v>
      </c>
      <c r="B97133">
        <f>TEXT(97132, "[$-0E0000]yyyy-mm-dd")</f>
        <v/>
      </c>
    </row>
    <row r="97134">
      <c r="A97134" s="1" t="n">
        <v>97133</v>
      </c>
      <c r="B97134">
        <f>TEXT(97133, "[$-0E0000]yyyy-mm-dd")</f>
        <v/>
      </c>
    </row>
    <row r="97135">
      <c r="A97135" s="1" t="n">
        <v>97134</v>
      </c>
      <c r="B97135">
        <f>TEXT(97134, "[$-0E0000]yyyy-mm-dd")</f>
        <v/>
      </c>
    </row>
    <row r="97136">
      <c r="A97136" s="1" t="n">
        <v>97135</v>
      </c>
      <c r="B97136">
        <f>TEXT(97135, "[$-0E0000]yyyy-mm-dd")</f>
        <v/>
      </c>
    </row>
    <row r="97137">
      <c r="A97137" s="1" t="n">
        <v>97136</v>
      </c>
      <c r="B97137">
        <f>TEXT(97136, "[$-0E0000]yyyy-mm-dd")</f>
        <v/>
      </c>
    </row>
    <row r="97138">
      <c r="A97138" s="1" t="n">
        <v>97137</v>
      </c>
      <c r="B97138">
        <f>TEXT(97137, "[$-0E0000]yyyy-mm-dd")</f>
        <v/>
      </c>
    </row>
    <row r="97139">
      <c r="A97139" s="1" t="n">
        <v>97138</v>
      </c>
      <c r="B97139">
        <f>TEXT(97138, "[$-0E0000]yyyy-mm-dd")</f>
        <v/>
      </c>
    </row>
    <row r="97140">
      <c r="A97140" s="1" t="n">
        <v>97139</v>
      </c>
      <c r="B97140">
        <f>TEXT(97139, "[$-0E0000]yyyy-mm-dd")</f>
        <v/>
      </c>
    </row>
    <row r="97141">
      <c r="A97141" s="1" t="n">
        <v>97140</v>
      </c>
      <c r="B97141">
        <f>TEXT(97140, "[$-0E0000]yyyy-mm-dd")</f>
        <v/>
      </c>
    </row>
    <row r="97142">
      <c r="A97142" s="1" t="n">
        <v>97141</v>
      </c>
      <c r="B97142">
        <f>TEXT(97141, "[$-0E0000]yyyy-mm-dd")</f>
        <v/>
      </c>
    </row>
    <row r="97143">
      <c r="A97143" s="1" t="n">
        <v>97142</v>
      </c>
      <c r="B97143">
        <f>TEXT(97142, "[$-0E0000]yyyy-mm-dd")</f>
        <v/>
      </c>
    </row>
    <row r="97144">
      <c r="A97144" s="1" t="n">
        <v>97143</v>
      </c>
      <c r="B97144">
        <f>TEXT(97143, "[$-0E0000]yyyy-mm-dd")</f>
        <v/>
      </c>
    </row>
    <row r="97145">
      <c r="A97145" s="1" t="n">
        <v>97144</v>
      </c>
      <c r="B97145">
        <f>TEXT(97144, "[$-0E0000]yyyy-mm-dd")</f>
        <v/>
      </c>
    </row>
    <row r="97146">
      <c r="A97146" s="1" t="n">
        <v>97145</v>
      </c>
      <c r="B97146">
        <f>TEXT(97145, "[$-0E0000]yyyy-mm-dd")</f>
        <v/>
      </c>
    </row>
    <row r="97147">
      <c r="A97147" s="1" t="n">
        <v>97146</v>
      </c>
      <c r="B97147">
        <f>TEXT(97146, "[$-0E0000]yyyy-mm-dd")</f>
        <v/>
      </c>
    </row>
    <row r="97148">
      <c r="A97148" s="1" t="n">
        <v>97147</v>
      </c>
      <c r="B97148">
        <f>TEXT(97147, "[$-0E0000]yyyy-mm-dd")</f>
        <v/>
      </c>
    </row>
    <row r="97149">
      <c r="A97149" s="1" t="n">
        <v>97148</v>
      </c>
      <c r="B97149">
        <f>TEXT(97148, "[$-0E0000]yyyy-mm-dd")</f>
        <v/>
      </c>
    </row>
    <row r="97150">
      <c r="A97150" s="1" t="n">
        <v>97149</v>
      </c>
      <c r="B97150">
        <f>TEXT(97149, "[$-0E0000]yyyy-mm-dd")</f>
        <v/>
      </c>
    </row>
    <row r="97151">
      <c r="A97151" s="1" t="n">
        <v>97150</v>
      </c>
      <c r="B97151">
        <f>TEXT(97150, "[$-0E0000]yyyy-mm-dd")</f>
        <v/>
      </c>
    </row>
    <row r="97152">
      <c r="A97152" s="1" t="n">
        <v>97151</v>
      </c>
      <c r="B97152">
        <f>TEXT(97151, "[$-0E0000]yyyy-mm-dd")</f>
        <v/>
      </c>
    </row>
    <row r="97153">
      <c r="A97153" s="1" t="n">
        <v>97152</v>
      </c>
      <c r="B97153">
        <f>TEXT(97152, "[$-0E0000]yyyy-mm-dd")</f>
        <v/>
      </c>
    </row>
    <row r="97154">
      <c r="A97154" s="1" t="n">
        <v>97153</v>
      </c>
      <c r="B97154">
        <f>TEXT(97153, "[$-0E0000]yyyy-mm-dd")</f>
        <v/>
      </c>
    </row>
    <row r="97155">
      <c r="A97155" s="1" t="n">
        <v>97154</v>
      </c>
      <c r="B97155">
        <f>TEXT(97154, "[$-0E0000]yyyy-mm-dd")</f>
        <v/>
      </c>
    </row>
    <row r="97156">
      <c r="A97156" s="1" t="n">
        <v>97155</v>
      </c>
      <c r="B97156">
        <f>TEXT(97155, "[$-0E0000]yyyy-mm-dd")</f>
        <v/>
      </c>
    </row>
    <row r="97157">
      <c r="A97157" s="1" t="n">
        <v>97156</v>
      </c>
      <c r="B97157">
        <f>TEXT(97156, "[$-0E0000]yyyy-mm-dd")</f>
        <v/>
      </c>
    </row>
    <row r="97158">
      <c r="A97158" s="1" t="n">
        <v>97157</v>
      </c>
      <c r="B97158">
        <f>TEXT(97157, "[$-0E0000]yyyy-mm-dd")</f>
        <v/>
      </c>
    </row>
    <row r="97159">
      <c r="A97159" s="1" t="n">
        <v>97158</v>
      </c>
      <c r="B97159">
        <f>TEXT(97158, "[$-0E0000]yyyy-mm-dd")</f>
        <v/>
      </c>
    </row>
    <row r="97160">
      <c r="A97160" s="1" t="n">
        <v>97159</v>
      </c>
      <c r="B97160">
        <f>TEXT(97159, "[$-0E0000]yyyy-mm-dd")</f>
        <v/>
      </c>
    </row>
    <row r="97161">
      <c r="A97161" s="1" t="n">
        <v>97160</v>
      </c>
      <c r="B97161">
        <f>TEXT(97160, "[$-0E0000]yyyy-mm-dd")</f>
        <v/>
      </c>
    </row>
    <row r="97162">
      <c r="A97162" s="1" t="n">
        <v>97161</v>
      </c>
      <c r="B97162">
        <f>TEXT(97161, "[$-0E0000]yyyy-mm-dd")</f>
        <v/>
      </c>
    </row>
    <row r="97163">
      <c r="A97163" s="1" t="n">
        <v>97162</v>
      </c>
      <c r="B97163">
        <f>TEXT(97162, "[$-0E0000]yyyy-mm-dd")</f>
        <v/>
      </c>
    </row>
    <row r="97164">
      <c r="A97164" s="1" t="n">
        <v>97163</v>
      </c>
      <c r="B97164">
        <f>TEXT(97163, "[$-0E0000]yyyy-mm-dd")</f>
        <v/>
      </c>
    </row>
    <row r="97165">
      <c r="A97165" s="1" t="n">
        <v>97164</v>
      </c>
      <c r="B97165">
        <f>TEXT(97164, "[$-0E0000]yyyy-mm-dd")</f>
        <v/>
      </c>
    </row>
    <row r="97166">
      <c r="A97166" s="1" t="n">
        <v>97165</v>
      </c>
      <c r="B97166">
        <f>TEXT(97165, "[$-0E0000]yyyy-mm-dd")</f>
        <v/>
      </c>
    </row>
    <row r="97167">
      <c r="A97167" s="1" t="n">
        <v>97166</v>
      </c>
      <c r="B97167">
        <f>TEXT(97166, "[$-0E0000]yyyy-mm-dd")</f>
        <v/>
      </c>
    </row>
    <row r="97168">
      <c r="A97168" s="1" t="n">
        <v>97167</v>
      </c>
      <c r="B97168">
        <f>TEXT(97167, "[$-0E0000]yyyy-mm-dd")</f>
        <v/>
      </c>
    </row>
    <row r="97169">
      <c r="A97169" s="1" t="n">
        <v>97168</v>
      </c>
      <c r="B97169">
        <f>TEXT(97168, "[$-0E0000]yyyy-mm-dd")</f>
        <v/>
      </c>
    </row>
    <row r="97170">
      <c r="A97170" s="1" t="n">
        <v>97169</v>
      </c>
      <c r="B97170">
        <f>TEXT(97169, "[$-0E0000]yyyy-mm-dd")</f>
        <v/>
      </c>
    </row>
    <row r="97171">
      <c r="A97171" s="1" t="n">
        <v>97170</v>
      </c>
      <c r="B97171">
        <f>TEXT(97170, "[$-0E0000]yyyy-mm-dd")</f>
        <v/>
      </c>
    </row>
    <row r="97172">
      <c r="A97172" s="1" t="n">
        <v>97171</v>
      </c>
      <c r="B97172">
        <f>TEXT(97171, "[$-0E0000]yyyy-mm-dd")</f>
        <v/>
      </c>
    </row>
    <row r="97173">
      <c r="A97173" s="1" t="n">
        <v>97172</v>
      </c>
      <c r="B97173">
        <f>TEXT(97172, "[$-0E0000]yyyy-mm-dd")</f>
        <v/>
      </c>
    </row>
    <row r="97174">
      <c r="A97174" s="1" t="n">
        <v>97173</v>
      </c>
      <c r="B97174">
        <f>TEXT(97173, "[$-0E0000]yyyy-mm-dd")</f>
        <v/>
      </c>
    </row>
    <row r="97175">
      <c r="A97175" s="1" t="n">
        <v>97174</v>
      </c>
      <c r="B97175">
        <f>TEXT(97174, "[$-0E0000]yyyy-mm-dd")</f>
        <v/>
      </c>
    </row>
    <row r="97176">
      <c r="A97176" s="1" t="n">
        <v>97175</v>
      </c>
      <c r="B97176">
        <f>TEXT(97175, "[$-0E0000]yyyy-mm-dd")</f>
        <v/>
      </c>
    </row>
    <row r="97177">
      <c r="A97177" s="1" t="n">
        <v>97176</v>
      </c>
      <c r="B97177">
        <f>TEXT(97176, "[$-0E0000]yyyy-mm-dd")</f>
        <v/>
      </c>
    </row>
    <row r="97178">
      <c r="A97178" s="1" t="n">
        <v>97177</v>
      </c>
      <c r="B97178">
        <f>TEXT(97177, "[$-0E0000]yyyy-mm-dd")</f>
        <v/>
      </c>
    </row>
    <row r="97179">
      <c r="A97179" s="1" t="n">
        <v>97178</v>
      </c>
      <c r="B97179">
        <f>TEXT(97178, "[$-0E0000]yyyy-mm-dd")</f>
        <v/>
      </c>
    </row>
    <row r="97180">
      <c r="A97180" s="1" t="n">
        <v>97179</v>
      </c>
      <c r="B97180">
        <f>TEXT(97179, "[$-0E0000]yyyy-mm-dd")</f>
        <v/>
      </c>
    </row>
    <row r="97181">
      <c r="A97181" s="1" t="n">
        <v>97180</v>
      </c>
      <c r="B97181">
        <f>TEXT(97180, "[$-0E0000]yyyy-mm-dd")</f>
        <v/>
      </c>
    </row>
    <row r="97182">
      <c r="A97182" s="1" t="n">
        <v>97181</v>
      </c>
      <c r="B97182">
        <f>TEXT(97181, "[$-0E0000]yyyy-mm-dd")</f>
        <v/>
      </c>
    </row>
    <row r="97183">
      <c r="A97183" s="1" t="n">
        <v>97182</v>
      </c>
      <c r="B97183">
        <f>TEXT(97182, "[$-0E0000]yyyy-mm-dd")</f>
        <v/>
      </c>
    </row>
    <row r="97184">
      <c r="A97184" s="1" t="n">
        <v>97183</v>
      </c>
      <c r="B97184">
        <f>TEXT(97183, "[$-0E0000]yyyy-mm-dd")</f>
        <v/>
      </c>
    </row>
    <row r="97185">
      <c r="A97185" s="1" t="n">
        <v>97184</v>
      </c>
      <c r="B97185">
        <f>TEXT(97184, "[$-0E0000]yyyy-mm-dd")</f>
        <v/>
      </c>
    </row>
    <row r="97186">
      <c r="A97186" s="1" t="n">
        <v>97185</v>
      </c>
      <c r="B97186">
        <f>TEXT(97185, "[$-0E0000]yyyy-mm-dd")</f>
        <v/>
      </c>
    </row>
    <row r="97187">
      <c r="A97187" s="1" t="n">
        <v>97186</v>
      </c>
      <c r="B97187">
        <f>TEXT(97186, "[$-0E0000]yyyy-mm-dd")</f>
        <v/>
      </c>
    </row>
    <row r="97188">
      <c r="A97188" s="1" t="n">
        <v>97187</v>
      </c>
      <c r="B97188">
        <f>TEXT(97187, "[$-0E0000]yyyy-mm-dd")</f>
        <v/>
      </c>
    </row>
    <row r="97189">
      <c r="A97189" s="1" t="n">
        <v>97188</v>
      </c>
      <c r="B97189">
        <f>TEXT(97188, "[$-0E0000]yyyy-mm-dd")</f>
        <v/>
      </c>
    </row>
    <row r="97190">
      <c r="A97190" s="1" t="n">
        <v>97189</v>
      </c>
      <c r="B97190">
        <f>TEXT(97189, "[$-0E0000]yyyy-mm-dd")</f>
        <v/>
      </c>
    </row>
    <row r="97191">
      <c r="A97191" s="1" t="n">
        <v>97190</v>
      </c>
      <c r="B97191">
        <f>TEXT(97190, "[$-0E0000]yyyy-mm-dd")</f>
        <v/>
      </c>
    </row>
    <row r="97192">
      <c r="A97192" s="1" t="n">
        <v>97191</v>
      </c>
      <c r="B97192">
        <f>TEXT(97191, "[$-0E0000]yyyy-mm-dd")</f>
        <v/>
      </c>
    </row>
    <row r="97193">
      <c r="A97193" s="1" t="n">
        <v>97192</v>
      </c>
      <c r="B97193">
        <f>TEXT(97192, "[$-0E0000]yyyy-mm-dd")</f>
        <v/>
      </c>
    </row>
    <row r="97194">
      <c r="A97194" s="1" t="n">
        <v>97193</v>
      </c>
      <c r="B97194">
        <f>TEXT(97193, "[$-0E0000]yyyy-mm-dd")</f>
        <v/>
      </c>
    </row>
    <row r="97195">
      <c r="A97195" s="1" t="n">
        <v>97194</v>
      </c>
      <c r="B97195">
        <f>TEXT(97194, "[$-0E0000]yyyy-mm-dd")</f>
        <v/>
      </c>
    </row>
    <row r="97196">
      <c r="A97196" s="1" t="n">
        <v>97195</v>
      </c>
      <c r="B97196">
        <f>TEXT(97195, "[$-0E0000]yyyy-mm-dd")</f>
        <v/>
      </c>
    </row>
    <row r="97197">
      <c r="A97197" s="1" t="n">
        <v>97196</v>
      </c>
      <c r="B97197">
        <f>TEXT(97196, "[$-0E0000]yyyy-mm-dd")</f>
        <v/>
      </c>
    </row>
    <row r="97198">
      <c r="A97198" s="1" t="n">
        <v>97197</v>
      </c>
      <c r="B97198">
        <f>TEXT(97197, "[$-0E0000]yyyy-mm-dd")</f>
        <v/>
      </c>
    </row>
    <row r="97199">
      <c r="A97199" s="1" t="n">
        <v>97198</v>
      </c>
      <c r="B97199">
        <f>TEXT(97198, "[$-0E0000]yyyy-mm-dd")</f>
        <v/>
      </c>
    </row>
    <row r="97200">
      <c r="A97200" s="1" t="n">
        <v>97199</v>
      </c>
      <c r="B97200">
        <f>TEXT(97199, "[$-0E0000]yyyy-mm-dd")</f>
        <v/>
      </c>
    </row>
    <row r="97201">
      <c r="A97201" s="1" t="n">
        <v>97200</v>
      </c>
      <c r="B97201">
        <f>TEXT(97200, "[$-0E0000]yyyy-mm-dd")</f>
        <v/>
      </c>
    </row>
    <row r="97202">
      <c r="A97202" s="1" t="n">
        <v>97201</v>
      </c>
      <c r="B97202">
        <f>TEXT(97201, "[$-0E0000]yyyy-mm-dd")</f>
        <v/>
      </c>
    </row>
    <row r="97203">
      <c r="A97203" s="1" t="n">
        <v>97202</v>
      </c>
      <c r="B97203">
        <f>TEXT(97202, "[$-0E0000]yyyy-mm-dd")</f>
        <v/>
      </c>
    </row>
    <row r="97204">
      <c r="A97204" s="1" t="n">
        <v>97203</v>
      </c>
      <c r="B97204">
        <f>TEXT(97203, "[$-0E0000]yyyy-mm-dd")</f>
        <v/>
      </c>
    </row>
    <row r="97205">
      <c r="A97205" s="1" t="n">
        <v>97204</v>
      </c>
      <c r="B97205">
        <f>TEXT(97204, "[$-0E0000]yyyy-mm-dd")</f>
        <v/>
      </c>
    </row>
    <row r="97206">
      <c r="A97206" s="1" t="n">
        <v>97205</v>
      </c>
      <c r="B97206">
        <f>TEXT(97205, "[$-0E0000]yyyy-mm-dd")</f>
        <v/>
      </c>
    </row>
    <row r="97207">
      <c r="A97207" s="1" t="n">
        <v>97206</v>
      </c>
      <c r="B97207">
        <f>TEXT(97206, "[$-0E0000]yyyy-mm-dd")</f>
        <v/>
      </c>
    </row>
    <row r="97208">
      <c r="A97208" s="1" t="n">
        <v>97207</v>
      </c>
      <c r="B97208">
        <f>TEXT(97207, "[$-0E0000]yyyy-mm-dd")</f>
        <v/>
      </c>
    </row>
    <row r="97209">
      <c r="A97209" s="1" t="n">
        <v>97208</v>
      </c>
      <c r="B97209">
        <f>TEXT(97208, "[$-0E0000]yyyy-mm-dd")</f>
        <v/>
      </c>
    </row>
    <row r="97210">
      <c r="A97210" s="1" t="n">
        <v>97209</v>
      </c>
      <c r="B97210">
        <f>TEXT(97209, "[$-0E0000]yyyy-mm-dd")</f>
        <v/>
      </c>
    </row>
    <row r="97211">
      <c r="A97211" s="1" t="n">
        <v>97210</v>
      </c>
      <c r="B97211">
        <f>TEXT(97210, "[$-0E0000]yyyy-mm-dd")</f>
        <v/>
      </c>
    </row>
    <row r="97212">
      <c r="A97212" s="1" t="n">
        <v>97211</v>
      </c>
      <c r="B97212">
        <f>TEXT(97211, "[$-0E0000]yyyy-mm-dd")</f>
        <v/>
      </c>
    </row>
    <row r="97213">
      <c r="A97213" s="1" t="n">
        <v>97212</v>
      </c>
      <c r="B97213">
        <f>TEXT(97212, "[$-0E0000]yyyy-mm-dd")</f>
        <v/>
      </c>
    </row>
    <row r="97214">
      <c r="A97214" s="1" t="n">
        <v>97213</v>
      </c>
      <c r="B97214">
        <f>TEXT(97213, "[$-0E0000]yyyy-mm-dd")</f>
        <v/>
      </c>
    </row>
    <row r="97215">
      <c r="A97215" s="1" t="n">
        <v>97214</v>
      </c>
      <c r="B97215">
        <f>TEXT(97214, "[$-0E0000]yyyy-mm-dd")</f>
        <v/>
      </c>
    </row>
    <row r="97216">
      <c r="A97216" s="1" t="n">
        <v>97215</v>
      </c>
      <c r="B97216">
        <f>TEXT(97215, "[$-0E0000]yyyy-mm-dd")</f>
        <v/>
      </c>
    </row>
    <row r="97217">
      <c r="A97217" s="1" t="n">
        <v>97216</v>
      </c>
      <c r="B97217">
        <f>TEXT(97216, "[$-0E0000]yyyy-mm-dd")</f>
        <v/>
      </c>
    </row>
    <row r="97218">
      <c r="A97218" s="1" t="n">
        <v>97217</v>
      </c>
      <c r="B97218">
        <f>TEXT(97217, "[$-0E0000]yyyy-mm-dd")</f>
        <v/>
      </c>
    </row>
    <row r="97219">
      <c r="A97219" s="1" t="n">
        <v>97218</v>
      </c>
      <c r="B97219">
        <f>TEXT(97218, "[$-0E0000]yyyy-mm-dd")</f>
        <v/>
      </c>
    </row>
    <row r="97220">
      <c r="A97220" s="1" t="n">
        <v>97219</v>
      </c>
      <c r="B97220">
        <f>TEXT(97219, "[$-0E0000]yyyy-mm-dd")</f>
        <v/>
      </c>
    </row>
    <row r="97221">
      <c r="A97221" s="1" t="n">
        <v>97220</v>
      </c>
      <c r="B97221">
        <f>TEXT(97220, "[$-0E0000]yyyy-mm-dd")</f>
        <v/>
      </c>
    </row>
    <row r="97222">
      <c r="A97222" s="1" t="n">
        <v>97221</v>
      </c>
      <c r="B97222">
        <f>TEXT(97221, "[$-0E0000]yyyy-mm-dd")</f>
        <v/>
      </c>
    </row>
    <row r="97223">
      <c r="A97223" s="1" t="n">
        <v>97222</v>
      </c>
      <c r="B97223">
        <f>TEXT(97222, "[$-0E0000]yyyy-mm-dd")</f>
        <v/>
      </c>
    </row>
    <row r="97224">
      <c r="A97224" s="1" t="n">
        <v>97223</v>
      </c>
      <c r="B97224">
        <f>TEXT(97223, "[$-0E0000]yyyy-mm-dd")</f>
        <v/>
      </c>
    </row>
    <row r="97225">
      <c r="A97225" s="1" t="n">
        <v>97224</v>
      </c>
      <c r="B97225">
        <f>TEXT(97224, "[$-0E0000]yyyy-mm-dd")</f>
        <v/>
      </c>
    </row>
    <row r="97226">
      <c r="A97226" s="1" t="n">
        <v>97225</v>
      </c>
      <c r="B97226">
        <f>TEXT(97225, "[$-0E0000]yyyy-mm-dd")</f>
        <v/>
      </c>
    </row>
    <row r="97227">
      <c r="A97227" s="1" t="n">
        <v>97226</v>
      </c>
      <c r="B97227">
        <f>TEXT(97226, "[$-0E0000]yyyy-mm-dd")</f>
        <v/>
      </c>
    </row>
    <row r="97228">
      <c r="A97228" s="1" t="n">
        <v>97227</v>
      </c>
      <c r="B97228">
        <f>TEXT(97227, "[$-0E0000]yyyy-mm-dd")</f>
        <v/>
      </c>
    </row>
    <row r="97229">
      <c r="A97229" s="1" t="n">
        <v>97228</v>
      </c>
      <c r="B97229">
        <f>TEXT(97228, "[$-0E0000]yyyy-mm-dd")</f>
        <v/>
      </c>
    </row>
    <row r="97230">
      <c r="A97230" s="1" t="n">
        <v>97229</v>
      </c>
      <c r="B97230">
        <f>TEXT(97229, "[$-0E0000]yyyy-mm-dd")</f>
        <v/>
      </c>
    </row>
    <row r="97231">
      <c r="A97231" s="1" t="n">
        <v>97230</v>
      </c>
      <c r="B97231">
        <f>TEXT(97230, "[$-0E0000]yyyy-mm-dd")</f>
        <v/>
      </c>
    </row>
    <row r="97232">
      <c r="A97232" s="1" t="n">
        <v>97231</v>
      </c>
      <c r="B97232">
        <f>TEXT(97231, "[$-0E0000]yyyy-mm-dd")</f>
        <v/>
      </c>
    </row>
    <row r="97233">
      <c r="A97233" s="1" t="n">
        <v>97232</v>
      </c>
      <c r="B97233">
        <f>TEXT(97232, "[$-0E0000]yyyy-mm-dd")</f>
        <v/>
      </c>
    </row>
    <row r="97234">
      <c r="A97234" s="1" t="n">
        <v>97233</v>
      </c>
      <c r="B97234">
        <f>TEXT(97233, "[$-0E0000]yyyy-mm-dd")</f>
        <v/>
      </c>
    </row>
    <row r="97235">
      <c r="A97235" s="1" t="n">
        <v>97234</v>
      </c>
      <c r="B97235">
        <f>TEXT(97234, "[$-0E0000]yyyy-mm-dd")</f>
        <v/>
      </c>
    </row>
    <row r="97236">
      <c r="A97236" s="1" t="n">
        <v>97235</v>
      </c>
      <c r="B97236">
        <f>TEXT(97235, "[$-0E0000]yyyy-mm-dd")</f>
        <v/>
      </c>
    </row>
    <row r="97237">
      <c r="A97237" s="1" t="n">
        <v>97236</v>
      </c>
      <c r="B97237">
        <f>TEXT(97236, "[$-0E0000]yyyy-mm-dd")</f>
        <v/>
      </c>
    </row>
    <row r="97238">
      <c r="A97238" s="1" t="n">
        <v>97237</v>
      </c>
      <c r="B97238">
        <f>TEXT(97237, "[$-0E0000]yyyy-mm-dd")</f>
        <v/>
      </c>
    </row>
    <row r="97239">
      <c r="A97239" s="1" t="n">
        <v>97238</v>
      </c>
      <c r="B97239">
        <f>TEXT(97238, "[$-0E0000]yyyy-mm-dd")</f>
        <v/>
      </c>
    </row>
    <row r="97240">
      <c r="A97240" s="1" t="n">
        <v>97239</v>
      </c>
      <c r="B97240">
        <f>TEXT(97239, "[$-0E0000]yyyy-mm-dd")</f>
        <v/>
      </c>
    </row>
    <row r="97241">
      <c r="A97241" s="1" t="n">
        <v>97240</v>
      </c>
      <c r="B97241">
        <f>TEXT(97240, "[$-0E0000]yyyy-mm-dd")</f>
        <v/>
      </c>
    </row>
    <row r="97242">
      <c r="A97242" s="1" t="n">
        <v>97241</v>
      </c>
      <c r="B97242">
        <f>TEXT(97241, "[$-0E0000]yyyy-mm-dd")</f>
        <v/>
      </c>
    </row>
    <row r="97243">
      <c r="A97243" s="1" t="n">
        <v>97242</v>
      </c>
      <c r="B97243">
        <f>TEXT(97242, "[$-0E0000]yyyy-mm-dd")</f>
        <v/>
      </c>
    </row>
    <row r="97244">
      <c r="A97244" s="1" t="n">
        <v>97243</v>
      </c>
      <c r="B97244">
        <f>TEXT(97243, "[$-0E0000]yyyy-mm-dd")</f>
        <v/>
      </c>
    </row>
    <row r="97245">
      <c r="A97245" s="1" t="n">
        <v>97244</v>
      </c>
      <c r="B97245">
        <f>TEXT(97244, "[$-0E0000]yyyy-mm-dd")</f>
        <v/>
      </c>
    </row>
    <row r="97246">
      <c r="A97246" s="1" t="n">
        <v>97245</v>
      </c>
      <c r="B97246">
        <f>TEXT(97245, "[$-0E0000]yyyy-mm-dd")</f>
        <v/>
      </c>
    </row>
    <row r="97247">
      <c r="A97247" s="1" t="n">
        <v>97246</v>
      </c>
      <c r="B97247">
        <f>TEXT(97246, "[$-0E0000]yyyy-mm-dd")</f>
        <v/>
      </c>
    </row>
    <row r="97248">
      <c r="A97248" s="1" t="n">
        <v>97247</v>
      </c>
      <c r="B97248">
        <f>TEXT(97247, "[$-0E0000]yyyy-mm-dd")</f>
        <v/>
      </c>
    </row>
    <row r="97249">
      <c r="A97249" s="1" t="n">
        <v>97248</v>
      </c>
      <c r="B97249">
        <f>TEXT(97248, "[$-0E0000]yyyy-mm-dd")</f>
        <v/>
      </c>
    </row>
    <row r="97250">
      <c r="A97250" s="1" t="n">
        <v>97249</v>
      </c>
      <c r="B97250">
        <f>TEXT(97249, "[$-0E0000]yyyy-mm-dd")</f>
        <v/>
      </c>
    </row>
    <row r="97251">
      <c r="A97251" s="1" t="n">
        <v>97250</v>
      </c>
      <c r="B97251">
        <f>TEXT(97250, "[$-0E0000]yyyy-mm-dd")</f>
        <v/>
      </c>
    </row>
    <row r="97252">
      <c r="A97252" s="1" t="n">
        <v>97251</v>
      </c>
      <c r="B97252">
        <f>TEXT(97251, "[$-0E0000]yyyy-mm-dd")</f>
        <v/>
      </c>
    </row>
    <row r="97253">
      <c r="A97253" s="1" t="n">
        <v>97252</v>
      </c>
      <c r="B97253">
        <f>TEXT(97252, "[$-0E0000]yyyy-mm-dd")</f>
        <v/>
      </c>
    </row>
    <row r="97254">
      <c r="A97254" s="1" t="n">
        <v>97253</v>
      </c>
      <c r="B97254">
        <f>TEXT(97253, "[$-0E0000]yyyy-mm-dd")</f>
        <v/>
      </c>
    </row>
    <row r="97255">
      <c r="A97255" s="1" t="n">
        <v>97254</v>
      </c>
      <c r="B97255">
        <f>TEXT(97254, "[$-0E0000]yyyy-mm-dd")</f>
        <v/>
      </c>
    </row>
    <row r="97256">
      <c r="A97256" s="1" t="n">
        <v>97255</v>
      </c>
      <c r="B97256">
        <f>TEXT(97255, "[$-0E0000]yyyy-mm-dd")</f>
        <v/>
      </c>
    </row>
    <row r="97257">
      <c r="A97257" s="1" t="n">
        <v>97256</v>
      </c>
      <c r="B97257">
        <f>TEXT(97256, "[$-0E0000]yyyy-mm-dd")</f>
        <v/>
      </c>
    </row>
    <row r="97258">
      <c r="A97258" s="1" t="n">
        <v>97257</v>
      </c>
      <c r="B97258">
        <f>TEXT(97257, "[$-0E0000]yyyy-mm-dd")</f>
        <v/>
      </c>
    </row>
    <row r="97259">
      <c r="A97259" s="1" t="n">
        <v>97258</v>
      </c>
      <c r="B97259">
        <f>TEXT(97258, "[$-0E0000]yyyy-mm-dd")</f>
        <v/>
      </c>
    </row>
    <row r="97260">
      <c r="A97260" s="1" t="n">
        <v>97259</v>
      </c>
      <c r="B97260">
        <f>TEXT(97259, "[$-0E0000]yyyy-mm-dd")</f>
        <v/>
      </c>
    </row>
    <row r="97261">
      <c r="A97261" s="1" t="n">
        <v>97260</v>
      </c>
      <c r="B97261">
        <f>TEXT(97260, "[$-0E0000]yyyy-mm-dd")</f>
        <v/>
      </c>
    </row>
    <row r="97262">
      <c r="A97262" s="1" t="n">
        <v>97261</v>
      </c>
      <c r="B97262">
        <f>TEXT(97261, "[$-0E0000]yyyy-mm-dd")</f>
        <v/>
      </c>
    </row>
    <row r="97263">
      <c r="A97263" s="1" t="n">
        <v>97262</v>
      </c>
      <c r="B97263">
        <f>TEXT(97262, "[$-0E0000]yyyy-mm-dd")</f>
        <v/>
      </c>
    </row>
    <row r="97264">
      <c r="A97264" s="1" t="n">
        <v>97263</v>
      </c>
      <c r="B97264">
        <f>TEXT(97263, "[$-0E0000]yyyy-mm-dd")</f>
        <v/>
      </c>
    </row>
    <row r="97265">
      <c r="A97265" s="1" t="n">
        <v>97264</v>
      </c>
      <c r="B97265">
        <f>TEXT(97264, "[$-0E0000]yyyy-mm-dd")</f>
        <v/>
      </c>
    </row>
    <row r="97266">
      <c r="A97266" s="1" t="n">
        <v>97265</v>
      </c>
      <c r="B97266">
        <f>TEXT(97265, "[$-0E0000]yyyy-mm-dd")</f>
        <v/>
      </c>
    </row>
    <row r="97267">
      <c r="A97267" s="1" t="n">
        <v>97266</v>
      </c>
      <c r="B97267">
        <f>TEXT(97266, "[$-0E0000]yyyy-mm-dd")</f>
        <v/>
      </c>
    </row>
    <row r="97268">
      <c r="A97268" s="1" t="n">
        <v>97267</v>
      </c>
      <c r="B97268">
        <f>TEXT(97267, "[$-0E0000]yyyy-mm-dd")</f>
        <v/>
      </c>
    </row>
    <row r="97269">
      <c r="A97269" s="1" t="n">
        <v>97268</v>
      </c>
      <c r="B97269">
        <f>TEXT(97268, "[$-0E0000]yyyy-mm-dd")</f>
        <v/>
      </c>
    </row>
    <row r="97270">
      <c r="A97270" s="1" t="n">
        <v>97269</v>
      </c>
      <c r="B97270">
        <f>TEXT(97269, "[$-0E0000]yyyy-mm-dd")</f>
        <v/>
      </c>
    </row>
    <row r="97271">
      <c r="A97271" s="1" t="n">
        <v>97270</v>
      </c>
      <c r="B97271">
        <f>TEXT(97270, "[$-0E0000]yyyy-mm-dd")</f>
        <v/>
      </c>
    </row>
    <row r="97272">
      <c r="A97272" s="1" t="n">
        <v>97271</v>
      </c>
      <c r="B97272">
        <f>TEXT(97271, "[$-0E0000]yyyy-mm-dd")</f>
        <v/>
      </c>
    </row>
    <row r="97273">
      <c r="A97273" s="1" t="n">
        <v>97272</v>
      </c>
      <c r="B97273">
        <f>TEXT(97272, "[$-0E0000]yyyy-mm-dd")</f>
        <v/>
      </c>
    </row>
    <row r="97274">
      <c r="A97274" s="1" t="n">
        <v>97273</v>
      </c>
      <c r="B97274">
        <f>TEXT(97273, "[$-0E0000]yyyy-mm-dd")</f>
        <v/>
      </c>
    </row>
    <row r="97275">
      <c r="A97275" s="1" t="n">
        <v>97274</v>
      </c>
      <c r="B97275">
        <f>TEXT(97274, "[$-0E0000]yyyy-mm-dd")</f>
        <v/>
      </c>
    </row>
    <row r="97276">
      <c r="A97276" s="1" t="n">
        <v>97275</v>
      </c>
      <c r="B97276">
        <f>TEXT(97275, "[$-0E0000]yyyy-mm-dd")</f>
        <v/>
      </c>
    </row>
    <row r="97277">
      <c r="A97277" s="1" t="n">
        <v>97276</v>
      </c>
      <c r="B97277">
        <f>TEXT(97276, "[$-0E0000]yyyy-mm-dd")</f>
        <v/>
      </c>
    </row>
    <row r="97278">
      <c r="A97278" s="1" t="n">
        <v>97277</v>
      </c>
      <c r="B97278">
        <f>TEXT(97277, "[$-0E0000]yyyy-mm-dd")</f>
        <v/>
      </c>
    </row>
    <row r="97279">
      <c r="A97279" s="1" t="n">
        <v>97278</v>
      </c>
      <c r="B97279">
        <f>TEXT(97278, "[$-0E0000]yyyy-mm-dd")</f>
        <v/>
      </c>
    </row>
    <row r="97280">
      <c r="A97280" s="1" t="n">
        <v>97279</v>
      </c>
      <c r="B97280">
        <f>TEXT(97279, "[$-0E0000]yyyy-mm-dd")</f>
        <v/>
      </c>
    </row>
    <row r="97281">
      <c r="A97281" s="1" t="n">
        <v>97280</v>
      </c>
      <c r="B97281">
        <f>TEXT(97280, "[$-0E0000]yyyy-mm-dd")</f>
        <v/>
      </c>
    </row>
    <row r="97282">
      <c r="A97282" s="1" t="n">
        <v>97281</v>
      </c>
      <c r="B97282">
        <f>TEXT(97281, "[$-0E0000]yyyy-mm-dd")</f>
        <v/>
      </c>
    </row>
    <row r="97283">
      <c r="A97283" s="1" t="n">
        <v>97282</v>
      </c>
      <c r="B97283">
        <f>TEXT(97282, "[$-0E0000]yyyy-mm-dd")</f>
        <v/>
      </c>
    </row>
    <row r="97284">
      <c r="A97284" s="1" t="n">
        <v>97283</v>
      </c>
      <c r="B97284">
        <f>TEXT(97283, "[$-0E0000]yyyy-mm-dd")</f>
        <v/>
      </c>
    </row>
    <row r="97285">
      <c r="A97285" s="1" t="n">
        <v>97284</v>
      </c>
      <c r="B97285">
        <f>TEXT(97284, "[$-0E0000]yyyy-mm-dd")</f>
        <v/>
      </c>
    </row>
    <row r="97286">
      <c r="A97286" s="1" t="n">
        <v>97285</v>
      </c>
      <c r="B97286">
        <f>TEXT(97285, "[$-0E0000]yyyy-mm-dd")</f>
        <v/>
      </c>
    </row>
    <row r="97287">
      <c r="A97287" s="1" t="n">
        <v>97286</v>
      </c>
      <c r="B97287">
        <f>TEXT(97286, "[$-0E0000]yyyy-mm-dd")</f>
        <v/>
      </c>
    </row>
    <row r="97288">
      <c r="A97288" s="1" t="n">
        <v>97287</v>
      </c>
      <c r="B97288">
        <f>TEXT(97287, "[$-0E0000]yyyy-mm-dd")</f>
        <v/>
      </c>
    </row>
    <row r="97289">
      <c r="A97289" s="1" t="n">
        <v>97288</v>
      </c>
      <c r="B97289">
        <f>TEXT(97288, "[$-0E0000]yyyy-mm-dd")</f>
        <v/>
      </c>
    </row>
    <row r="97290">
      <c r="A97290" s="1" t="n">
        <v>97289</v>
      </c>
      <c r="B97290">
        <f>TEXT(97289, "[$-0E0000]yyyy-mm-dd")</f>
        <v/>
      </c>
    </row>
    <row r="97291">
      <c r="A97291" s="1" t="n">
        <v>97290</v>
      </c>
      <c r="B97291">
        <f>TEXT(97290, "[$-0E0000]yyyy-mm-dd")</f>
        <v/>
      </c>
    </row>
    <row r="97292">
      <c r="A97292" s="1" t="n">
        <v>97291</v>
      </c>
      <c r="B97292">
        <f>TEXT(97291, "[$-0E0000]yyyy-mm-dd")</f>
        <v/>
      </c>
    </row>
    <row r="97293">
      <c r="A97293" s="1" t="n">
        <v>97292</v>
      </c>
      <c r="B97293">
        <f>TEXT(97292, "[$-0E0000]yyyy-mm-dd")</f>
        <v/>
      </c>
    </row>
    <row r="97294">
      <c r="A97294" s="1" t="n">
        <v>97293</v>
      </c>
      <c r="B97294">
        <f>TEXT(97293, "[$-0E0000]yyyy-mm-dd")</f>
        <v/>
      </c>
    </row>
    <row r="97295">
      <c r="A97295" s="1" t="n">
        <v>97294</v>
      </c>
      <c r="B97295">
        <f>TEXT(97294, "[$-0E0000]yyyy-mm-dd")</f>
        <v/>
      </c>
    </row>
    <row r="97296">
      <c r="A97296" s="1" t="n">
        <v>97295</v>
      </c>
      <c r="B97296">
        <f>TEXT(97295, "[$-0E0000]yyyy-mm-dd")</f>
        <v/>
      </c>
    </row>
    <row r="97297">
      <c r="A97297" s="1" t="n">
        <v>97296</v>
      </c>
      <c r="B97297">
        <f>TEXT(97296, "[$-0E0000]yyyy-mm-dd")</f>
        <v/>
      </c>
    </row>
    <row r="97298">
      <c r="A97298" s="1" t="n">
        <v>97297</v>
      </c>
      <c r="B97298">
        <f>TEXT(97297, "[$-0E0000]yyyy-mm-dd")</f>
        <v/>
      </c>
    </row>
    <row r="97299">
      <c r="A97299" s="1" t="n">
        <v>97298</v>
      </c>
      <c r="B97299">
        <f>TEXT(97298, "[$-0E0000]yyyy-mm-dd")</f>
        <v/>
      </c>
    </row>
    <row r="97300">
      <c r="A97300" s="1" t="n">
        <v>97299</v>
      </c>
      <c r="B97300">
        <f>TEXT(97299, "[$-0E0000]yyyy-mm-dd")</f>
        <v/>
      </c>
    </row>
    <row r="97301">
      <c r="A97301" s="1" t="n">
        <v>97300</v>
      </c>
      <c r="B97301">
        <f>TEXT(97300, "[$-0E0000]yyyy-mm-dd")</f>
        <v/>
      </c>
    </row>
    <row r="97302">
      <c r="A97302" s="1" t="n">
        <v>97301</v>
      </c>
      <c r="B97302">
        <f>TEXT(97301, "[$-0E0000]yyyy-mm-dd")</f>
        <v/>
      </c>
    </row>
    <row r="97303">
      <c r="A97303" s="1" t="n">
        <v>97302</v>
      </c>
      <c r="B97303">
        <f>TEXT(97302, "[$-0E0000]yyyy-mm-dd")</f>
        <v/>
      </c>
    </row>
    <row r="97304">
      <c r="A97304" s="1" t="n">
        <v>97303</v>
      </c>
      <c r="B97304">
        <f>TEXT(97303, "[$-0E0000]yyyy-mm-dd")</f>
        <v/>
      </c>
    </row>
    <row r="97305">
      <c r="A97305" s="1" t="n">
        <v>97304</v>
      </c>
      <c r="B97305">
        <f>TEXT(97304, "[$-0E0000]yyyy-mm-dd")</f>
        <v/>
      </c>
    </row>
    <row r="97306">
      <c r="A97306" s="1" t="n">
        <v>97305</v>
      </c>
      <c r="B97306">
        <f>TEXT(97305, "[$-0E0000]yyyy-mm-dd")</f>
        <v/>
      </c>
    </row>
    <row r="97307">
      <c r="A97307" s="1" t="n">
        <v>97306</v>
      </c>
      <c r="B97307">
        <f>TEXT(97306, "[$-0E0000]yyyy-mm-dd")</f>
        <v/>
      </c>
    </row>
    <row r="97308">
      <c r="A97308" s="1" t="n">
        <v>97307</v>
      </c>
      <c r="B97308">
        <f>TEXT(97307, "[$-0E0000]yyyy-mm-dd")</f>
        <v/>
      </c>
    </row>
    <row r="97309">
      <c r="A97309" s="1" t="n">
        <v>97308</v>
      </c>
      <c r="B97309">
        <f>TEXT(97308, "[$-0E0000]yyyy-mm-dd")</f>
        <v/>
      </c>
    </row>
    <row r="97310">
      <c r="A97310" s="1" t="n">
        <v>97309</v>
      </c>
      <c r="B97310">
        <f>TEXT(97309, "[$-0E0000]yyyy-mm-dd")</f>
        <v/>
      </c>
    </row>
    <row r="97311">
      <c r="A97311" s="1" t="n">
        <v>97310</v>
      </c>
      <c r="B97311">
        <f>TEXT(97310, "[$-0E0000]yyyy-mm-dd")</f>
        <v/>
      </c>
    </row>
    <row r="97312">
      <c r="A97312" s="1" t="n">
        <v>97311</v>
      </c>
      <c r="B97312">
        <f>TEXT(97311, "[$-0E0000]yyyy-mm-dd")</f>
        <v/>
      </c>
    </row>
    <row r="97313">
      <c r="A97313" s="1" t="n">
        <v>97312</v>
      </c>
      <c r="B97313">
        <f>TEXT(97312, "[$-0E0000]yyyy-mm-dd")</f>
        <v/>
      </c>
    </row>
    <row r="97314">
      <c r="A97314" s="1" t="n">
        <v>97313</v>
      </c>
      <c r="B97314">
        <f>TEXT(97313, "[$-0E0000]yyyy-mm-dd")</f>
        <v/>
      </c>
    </row>
    <row r="97315">
      <c r="A97315" s="1" t="n">
        <v>97314</v>
      </c>
      <c r="B97315">
        <f>TEXT(97314, "[$-0E0000]yyyy-mm-dd")</f>
        <v/>
      </c>
    </row>
    <row r="97316">
      <c r="A97316" s="1" t="n">
        <v>97315</v>
      </c>
      <c r="B97316">
        <f>TEXT(97315, "[$-0E0000]yyyy-mm-dd")</f>
        <v/>
      </c>
    </row>
    <row r="97317">
      <c r="A97317" s="1" t="n">
        <v>97316</v>
      </c>
      <c r="B97317">
        <f>TEXT(97316, "[$-0E0000]yyyy-mm-dd")</f>
        <v/>
      </c>
    </row>
    <row r="97318">
      <c r="A97318" s="1" t="n">
        <v>97317</v>
      </c>
      <c r="B97318">
        <f>TEXT(97317, "[$-0E0000]yyyy-mm-dd")</f>
        <v/>
      </c>
    </row>
    <row r="97319">
      <c r="A97319" s="1" t="n">
        <v>97318</v>
      </c>
      <c r="B97319">
        <f>TEXT(97318, "[$-0E0000]yyyy-mm-dd")</f>
        <v/>
      </c>
    </row>
    <row r="97320">
      <c r="A97320" s="1" t="n">
        <v>97319</v>
      </c>
      <c r="B97320">
        <f>TEXT(97319, "[$-0E0000]yyyy-mm-dd")</f>
        <v/>
      </c>
    </row>
    <row r="97321">
      <c r="A97321" s="1" t="n">
        <v>97320</v>
      </c>
      <c r="B97321">
        <f>TEXT(97320, "[$-0E0000]yyyy-mm-dd")</f>
        <v/>
      </c>
    </row>
    <row r="97322">
      <c r="A97322" s="1" t="n">
        <v>97321</v>
      </c>
      <c r="B97322">
        <f>TEXT(97321, "[$-0E0000]yyyy-mm-dd")</f>
        <v/>
      </c>
    </row>
    <row r="97323">
      <c r="A97323" s="1" t="n">
        <v>97322</v>
      </c>
      <c r="B97323">
        <f>TEXT(97322, "[$-0E0000]yyyy-mm-dd")</f>
        <v/>
      </c>
    </row>
    <row r="97324">
      <c r="A97324" s="1" t="n">
        <v>97323</v>
      </c>
      <c r="B97324">
        <f>TEXT(97323, "[$-0E0000]yyyy-mm-dd")</f>
        <v/>
      </c>
    </row>
    <row r="97325">
      <c r="A97325" s="1" t="n">
        <v>97324</v>
      </c>
      <c r="B97325">
        <f>TEXT(97324, "[$-0E0000]yyyy-mm-dd")</f>
        <v/>
      </c>
    </row>
    <row r="97326">
      <c r="A97326" s="1" t="n">
        <v>97325</v>
      </c>
      <c r="B97326">
        <f>TEXT(97325, "[$-0E0000]yyyy-mm-dd")</f>
        <v/>
      </c>
    </row>
    <row r="97327">
      <c r="A97327" s="1" t="n">
        <v>97326</v>
      </c>
      <c r="B97327">
        <f>TEXT(97326, "[$-0E0000]yyyy-mm-dd")</f>
        <v/>
      </c>
    </row>
    <row r="97328">
      <c r="A97328" s="1" t="n">
        <v>97327</v>
      </c>
      <c r="B97328">
        <f>TEXT(97327, "[$-0E0000]yyyy-mm-dd")</f>
        <v/>
      </c>
    </row>
    <row r="97329">
      <c r="A97329" s="1" t="n">
        <v>97328</v>
      </c>
      <c r="B97329">
        <f>TEXT(97328, "[$-0E0000]yyyy-mm-dd")</f>
        <v/>
      </c>
    </row>
    <row r="97330">
      <c r="A97330" s="1" t="n">
        <v>97329</v>
      </c>
      <c r="B97330">
        <f>TEXT(97329, "[$-0E0000]yyyy-mm-dd")</f>
        <v/>
      </c>
    </row>
    <row r="97331">
      <c r="A97331" s="1" t="n">
        <v>97330</v>
      </c>
      <c r="B97331">
        <f>TEXT(97330, "[$-0E0000]yyyy-mm-dd")</f>
        <v/>
      </c>
    </row>
    <row r="97332">
      <c r="A97332" s="1" t="n">
        <v>97331</v>
      </c>
      <c r="B97332">
        <f>TEXT(97331, "[$-0E0000]yyyy-mm-dd")</f>
        <v/>
      </c>
    </row>
    <row r="97333">
      <c r="A97333" s="1" t="n">
        <v>97332</v>
      </c>
      <c r="B97333">
        <f>TEXT(97332, "[$-0E0000]yyyy-mm-dd")</f>
        <v/>
      </c>
    </row>
    <row r="97334">
      <c r="A97334" s="1" t="n">
        <v>97333</v>
      </c>
      <c r="B97334">
        <f>TEXT(97333, "[$-0E0000]yyyy-mm-dd")</f>
        <v/>
      </c>
    </row>
    <row r="97335">
      <c r="A97335" s="1" t="n">
        <v>97334</v>
      </c>
      <c r="B97335">
        <f>TEXT(97334, "[$-0E0000]yyyy-mm-dd")</f>
        <v/>
      </c>
    </row>
    <row r="97336">
      <c r="A97336" s="1" t="n">
        <v>97335</v>
      </c>
      <c r="B97336">
        <f>TEXT(97335, "[$-0E0000]yyyy-mm-dd")</f>
        <v/>
      </c>
    </row>
    <row r="97337">
      <c r="A97337" s="1" t="n">
        <v>97336</v>
      </c>
      <c r="B97337">
        <f>TEXT(97336, "[$-0E0000]yyyy-mm-dd")</f>
        <v/>
      </c>
    </row>
    <row r="97338">
      <c r="A97338" s="1" t="n">
        <v>97337</v>
      </c>
      <c r="B97338">
        <f>TEXT(97337, "[$-0E0000]yyyy-mm-dd")</f>
        <v/>
      </c>
    </row>
    <row r="97339">
      <c r="A97339" s="1" t="n">
        <v>97338</v>
      </c>
      <c r="B97339">
        <f>TEXT(97338, "[$-0E0000]yyyy-mm-dd")</f>
        <v/>
      </c>
    </row>
    <row r="97340">
      <c r="A97340" s="1" t="n">
        <v>97339</v>
      </c>
      <c r="B97340">
        <f>TEXT(97339, "[$-0E0000]yyyy-mm-dd")</f>
        <v/>
      </c>
    </row>
    <row r="97341">
      <c r="A97341" s="1" t="n">
        <v>97340</v>
      </c>
      <c r="B97341">
        <f>TEXT(97340, "[$-0E0000]yyyy-mm-dd")</f>
        <v/>
      </c>
    </row>
    <row r="97342">
      <c r="A97342" s="1" t="n">
        <v>97341</v>
      </c>
      <c r="B97342">
        <f>TEXT(97341, "[$-0E0000]yyyy-mm-dd")</f>
        <v/>
      </c>
    </row>
    <row r="97343">
      <c r="A97343" s="1" t="n">
        <v>97342</v>
      </c>
      <c r="B97343">
        <f>TEXT(97342, "[$-0E0000]yyyy-mm-dd")</f>
        <v/>
      </c>
    </row>
    <row r="97344">
      <c r="A97344" s="1" t="n">
        <v>97343</v>
      </c>
      <c r="B97344">
        <f>TEXT(97343, "[$-0E0000]yyyy-mm-dd")</f>
        <v/>
      </c>
    </row>
    <row r="97345">
      <c r="A97345" s="1" t="n">
        <v>97344</v>
      </c>
      <c r="B97345">
        <f>TEXT(97344, "[$-0E0000]yyyy-mm-dd")</f>
        <v/>
      </c>
    </row>
    <row r="97346">
      <c r="A97346" s="1" t="n">
        <v>97345</v>
      </c>
      <c r="B97346">
        <f>TEXT(97345, "[$-0E0000]yyyy-mm-dd")</f>
        <v/>
      </c>
    </row>
    <row r="97347">
      <c r="A97347" s="1" t="n">
        <v>97346</v>
      </c>
      <c r="B97347">
        <f>TEXT(97346, "[$-0E0000]yyyy-mm-dd")</f>
        <v/>
      </c>
    </row>
    <row r="97348">
      <c r="A97348" s="1" t="n">
        <v>97347</v>
      </c>
      <c r="B97348">
        <f>TEXT(97347, "[$-0E0000]yyyy-mm-dd")</f>
        <v/>
      </c>
    </row>
    <row r="97349">
      <c r="A97349" s="1" t="n">
        <v>97348</v>
      </c>
      <c r="B97349">
        <f>TEXT(97348, "[$-0E0000]yyyy-mm-dd")</f>
        <v/>
      </c>
    </row>
    <row r="97350">
      <c r="A97350" s="1" t="n">
        <v>97349</v>
      </c>
      <c r="B97350">
        <f>TEXT(97349, "[$-0E0000]yyyy-mm-dd")</f>
        <v/>
      </c>
    </row>
    <row r="97351">
      <c r="A97351" s="1" t="n">
        <v>97350</v>
      </c>
      <c r="B97351">
        <f>TEXT(97350, "[$-0E0000]yyyy-mm-dd")</f>
        <v/>
      </c>
    </row>
    <row r="97352">
      <c r="A97352" s="1" t="n">
        <v>97351</v>
      </c>
      <c r="B97352">
        <f>TEXT(97351, "[$-0E0000]yyyy-mm-dd")</f>
        <v/>
      </c>
    </row>
    <row r="97353">
      <c r="A97353" s="1" t="n">
        <v>97352</v>
      </c>
      <c r="B97353">
        <f>TEXT(97352, "[$-0E0000]yyyy-mm-dd")</f>
        <v/>
      </c>
    </row>
    <row r="97354">
      <c r="A97354" s="1" t="n">
        <v>97353</v>
      </c>
      <c r="B97354">
        <f>TEXT(97353, "[$-0E0000]yyyy-mm-dd")</f>
        <v/>
      </c>
    </row>
    <row r="97355">
      <c r="A97355" s="1" t="n">
        <v>97354</v>
      </c>
      <c r="B97355">
        <f>TEXT(97354, "[$-0E0000]yyyy-mm-dd")</f>
        <v/>
      </c>
    </row>
    <row r="97356">
      <c r="A97356" s="1" t="n">
        <v>97355</v>
      </c>
      <c r="B97356">
        <f>TEXT(97355, "[$-0E0000]yyyy-mm-dd")</f>
        <v/>
      </c>
    </row>
    <row r="97357">
      <c r="A97357" s="1" t="n">
        <v>97356</v>
      </c>
      <c r="B97357">
        <f>TEXT(97356, "[$-0E0000]yyyy-mm-dd")</f>
        <v/>
      </c>
    </row>
    <row r="97358">
      <c r="A97358" s="1" t="n">
        <v>97357</v>
      </c>
      <c r="B97358">
        <f>TEXT(97357, "[$-0E0000]yyyy-mm-dd")</f>
        <v/>
      </c>
    </row>
    <row r="97359">
      <c r="A97359" s="1" t="n">
        <v>97358</v>
      </c>
      <c r="B97359">
        <f>TEXT(97358, "[$-0E0000]yyyy-mm-dd")</f>
        <v/>
      </c>
    </row>
    <row r="97360">
      <c r="A97360" s="1" t="n">
        <v>97359</v>
      </c>
      <c r="B97360">
        <f>TEXT(97359, "[$-0E0000]yyyy-mm-dd")</f>
        <v/>
      </c>
    </row>
    <row r="97361">
      <c r="A97361" s="1" t="n">
        <v>97360</v>
      </c>
      <c r="B97361">
        <f>TEXT(97360, "[$-0E0000]yyyy-mm-dd")</f>
        <v/>
      </c>
    </row>
    <row r="97362">
      <c r="A97362" s="1" t="n">
        <v>97361</v>
      </c>
      <c r="B97362">
        <f>TEXT(97361, "[$-0E0000]yyyy-mm-dd")</f>
        <v/>
      </c>
    </row>
    <row r="97363">
      <c r="A97363" s="1" t="n">
        <v>97362</v>
      </c>
      <c r="B97363">
        <f>TEXT(97362, "[$-0E0000]yyyy-mm-dd")</f>
        <v/>
      </c>
    </row>
    <row r="97364">
      <c r="A97364" s="1" t="n">
        <v>97363</v>
      </c>
      <c r="B97364">
        <f>TEXT(97363, "[$-0E0000]yyyy-mm-dd")</f>
        <v/>
      </c>
    </row>
    <row r="97365">
      <c r="A97365" s="1" t="n">
        <v>97364</v>
      </c>
      <c r="B97365">
        <f>TEXT(97364, "[$-0E0000]yyyy-mm-dd")</f>
        <v/>
      </c>
    </row>
    <row r="97366">
      <c r="A97366" s="1" t="n">
        <v>97365</v>
      </c>
      <c r="B97366">
        <f>TEXT(97365, "[$-0E0000]yyyy-mm-dd")</f>
        <v/>
      </c>
    </row>
    <row r="97367">
      <c r="A97367" s="1" t="n">
        <v>97366</v>
      </c>
      <c r="B97367">
        <f>TEXT(97366, "[$-0E0000]yyyy-mm-dd")</f>
        <v/>
      </c>
    </row>
    <row r="97368">
      <c r="A97368" s="1" t="n">
        <v>97367</v>
      </c>
      <c r="B97368">
        <f>TEXT(97367, "[$-0E0000]yyyy-mm-dd")</f>
        <v/>
      </c>
    </row>
    <row r="97369">
      <c r="A97369" s="1" t="n">
        <v>97368</v>
      </c>
      <c r="B97369">
        <f>TEXT(97368, "[$-0E0000]yyyy-mm-dd")</f>
        <v/>
      </c>
    </row>
    <row r="97370">
      <c r="A97370" s="1" t="n">
        <v>97369</v>
      </c>
      <c r="B97370">
        <f>TEXT(97369, "[$-0E0000]yyyy-mm-dd")</f>
        <v/>
      </c>
    </row>
    <row r="97371">
      <c r="A97371" s="1" t="n">
        <v>97370</v>
      </c>
      <c r="B97371">
        <f>TEXT(97370, "[$-0E0000]yyyy-mm-dd")</f>
        <v/>
      </c>
    </row>
    <row r="97372">
      <c r="A97372" s="1" t="n">
        <v>97371</v>
      </c>
      <c r="B97372">
        <f>TEXT(97371, "[$-0E0000]yyyy-mm-dd")</f>
        <v/>
      </c>
    </row>
    <row r="97373">
      <c r="A97373" s="1" t="n">
        <v>97372</v>
      </c>
      <c r="B97373">
        <f>TEXT(97372, "[$-0E0000]yyyy-mm-dd")</f>
        <v/>
      </c>
    </row>
    <row r="97374">
      <c r="A97374" s="1" t="n">
        <v>97373</v>
      </c>
      <c r="B97374">
        <f>TEXT(97373, "[$-0E0000]yyyy-mm-dd")</f>
        <v/>
      </c>
    </row>
    <row r="97375">
      <c r="A97375" s="1" t="n">
        <v>97374</v>
      </c>
      <c r="B97375">
        <f>TEXT(97374, "[$-0E0000]yyyy-mm-dd")</f>
        <v/>
      </c>
    </row>
    <row r="97376">
      <c r="A97376" s="1" t="n">
        <v>97375</v>
      </c>
      <c r="B97376">
        <f>TEXT(97375, "[$-0E0000]yyyy-mm-dd")</f>
        <v/>
      </c>
    </row>
    <row r="97377">
      <c r="A97377" s="1" t="n">
        <v>97376</v>
      </c>
      <c r="B97377">
        <f>TEXT(97376, "[$-0E0000]yyyy-mm-dd")</f>
        <v/>
      </c>
    </row>
    <row r="97378">
      <c r="A97378" s="1" t="n">
        <v>97377</v>
      </c>
      <c r="B97378">
        <f>TEXT(97377, "[$-0E0000]yyyy-mm-dd")</f>
        <v/>
      </c>
    </row>
    <row r="97379">
      <c r="A97379" s="1" t="n">
        <v>97378</v>
      </c>
      <c r="B97379">
        <f>TEXT(97378, "[$-0E0000]yyyy-mm-dd")</f>
        <v/>
      </c>
    </row>
    <row r="97380">
      <c r="A97380" s="1" t="n">
        <v>97379</v>
      </c>
      <c r="B97380">
        <f>TEXT(97379, "[$-0E0000]yyyy-mm-dd")</f>
        <v/>
      </c>
    </row>
    <row r="97381">
      <c r="A97381" s="1" t="n">
        <v>97380</v>
      </c>
      <c r="B97381">
        <f>TEXT(97380, "[$-0E0000]yyyy-mm-dd")</f>
        <v/>
      </c>
    </row>
    <row r="97382">
      <c r="A97382" s="1" t="n">
        <v>97381</v>
      </c>
      <c r="B97382">
        <f>TEXT(97381, "[$-0E0000]yyyy-mm-dd")</f>
        <v/>
      </c>
    </row>
    <row r="97383">
      <c r="A97383" s="1" t="n">
        <v>97382</v>
      </c>
      <c r="B97383">
        <f>TEXT(97382, "[$-0E0000]yyyy-mm-dd")</f>
        <v/>
      </c>
    </row>
    <row r="97384">
      <c r="A97384" s="1" t="n">
        <v>97383</v>
      </c>
      <c r="B97384">
        <f>TEXT(97383, "[$-0E0000]yyyy-mm-dd")</f>
        <v/>
      </c>
    </row>
    <row r="97385">
      <c r="A97385" s="1" t="n">
        <v>97384</v>
      </c>
      <c r="B97385">
        <f>TEXT(97384, "[$-0E0000]yyyy-mm-dd")</f>
        <v/>
      </c>
    </row>
    <row r="97386">
      <c r="A97386" s="1" t="n">
        <v>97385</v>
      </c>
      <c r="B97386">
        <f>TEXT(97385, "[$-0E0000]yyyy-mm-dd")</f>
        <v/>
      </c>
    </row>
    <row r="97387">
      <c r="A97387" s="1" t="n">
        <v>97386</v>
      </c>
      <c r="B97387">
        <f>TEXT(97386, "[$-0E0000]yyyy-mm-dd")</f>
        <v/>
      </c>
    </row>
    <row r="97388">
      <c r="A97388" s="1" t="n">
        <v>97387</v>
      </c>
      <c r="B97388">
        <f>TEXT(97387, "[$-0E0000]yyyy-mm-dd")</f>
        <v/>
      </c>
    </row>
    <row r="97389">
      <c r="A97389" s="1" t="n">
        <v>97388</v>
      </c>
      <c r="B97389">
        <f>TEXT(97388, "[$-0E0000]yyyy-mm-dd")</f>
        <v/>
      </c>
    </row>
    <row r="97390">
      <c r="A97390" s="1" t="n">
        <v>97389</v>
      </c>
      <c r="B97390">
        <f>TEXT(97389, "[$-0E0000]yyyy-mm-dd")</f>
        <v/>
      </c>
    </row>
    <row r="97391">
      <c r="A97391" s="1" t="n">
        <v>97390</v>
      </c>
      <c r="B97391">
        <f>TEXT(97390, "[$-0E0000]yyyy-mm-dd")</f>
        <v/>
      </c>
    </row>
    <row r="97392">
      <c r="A97392" s="1" t="n">
        <v>97391</v>
      </c>
      <c r="B97392">
        <f>TEXT(97391, "[$-0E0000]yyyy-mm-dd")</f>
        <v/>
      </c>
    </row>
    <row r="97393">
      <c r="A97393" s="1" t="n">
        <v>97392</v>
      </c>
      <c r="B97393">
        <f>TEXT(97392, "[$-0E0000]yyyy-mm-dd")</f>
        <v/>
      </c>
    </row>
    <row r="97394">
      <c r="A97394" s="1" t="n">
        <v>97393</v>
      </c>
      <c r="B97394">
        <f>TEXT(97393, "[$-0E0000]yyyy-mm-dd")</f>
        <v/>
      </c>
    </row>
    <row r="97395">
      <c r="A97395" s="1" t="n">
        <v>97394</v>
      </c>
      <c r="B97395">
        <f>TEXT(97394, "[$-0E0000]yyyy-mm-dd")</f>
        <v/>
      </c>
    </row>
    <row r="97396">
      <c r="A97396" s="1" t="n">
        <v>97395</v>
      </c>
      <c r="B97396">
        <f>TEXT(97395, "[$-0E0000]yyyy-mm-dd")</f>
        <v/>
      </c>
    </row>
    <row r="97397">
      <c r="A97397" s="1" t="n">
        <v>97396</v>
      </c>
      <c r="B97397">
        <f>TEXT(97396, "[$-0E0000]yyyy-mm-dd")</f>
        <v/>
      </c>
    </row>
    <row r="97398">
      <c r="A97398" s="1" t="n">
        <v>97397</v>
      </c>
      <c r="B97398">
        <f>TEXT(97397, "[$-0E0000]yyyy-mm-dd")</f>
        <v/>
      </c>
    </row>
    <row r="97399">
      <c r="A97399" s="1" t="n">
        <v>97398</v>
      </c>
      <c r="B97399">
        <f>TEXT(97398, "[$-0E0000]yyyy-mm-dd")</f>
        <v/>
      </c>
    </row>
    <row r="97400">
      <c r="A97400" s="1" t="n">
        <v>97399</v>
      </c>
      <c r="B97400">
        <f>TEXT(97399, "[$-0E0000]yyyy-mm-dd")</f>
        <v/>
      </c>
    </row>
    <row r="97401">
      <c r="A97401" s="1" t="n">
        <v>97400</v>
      </c>
      <c r="B97401">
        <f>TEXT(97400, "[$-0E0000]yyyy-mm-dd")</f>
        <v/>
      </c>
    </row>
    <row r="97402">
      <c r="A97402" s="1" t="n">
        <v>97401</v>
      </c>
      <c r="B97402">
        <f>TEXT(97401, "[$-0E0000]yyyy-mm-dd")</f>
        <v/>
      </c>
    </row>
    <row r="97403">
      <c r="A97403" s="1" t="n">
        <v>97402</v>
      </c>
      <c r="B97403">
        <f>TEXT(97402, "[$-0E0000]yyyy-mm-dd")</f>
        <v/>
      </c>
    </row>
    <row r="97404">
      <c r="A97404" s="1" t="n">
        <v>97403</v>
      </c>
      <c r="B97404">
        <f>TEXT(97403, "[$-0E0000]yyyy-mm-dd")</f>
        <v/>
      </c>
    </row>
    <row r="97405">
      <c r="A97405" s="1" t="n">
        <v>97404</v>
      </c>
      <c r="B97405">
        <f>TEXT(97404, "[$-0E0000]yyyy-mm-dd")</f>
        <v/>
      </c>
    </row>
    <row r="97406">
      <c r="A97406" s="1" t="n">
        <v>97405</v>
      </c>
      <c r="B97406">
        <f>TEXT(97405, "[$-0E0000]yyyy-mm-dd")</f>
        <v/>
      </c>
    </row>
    <row r="97407">
      <c r="A97407" s="1" t="n">
        <v>97406</v>
      </c>
      <c r="B97407">
        <f>TEXT(97406, "[$-0E0000]yyyy-mm-dd")</f>
        <v/>
      </c>
    </row>
    <row r="97408">
      <c r="A97408" s="1" t="n">
        <v>97407</v>
      </c>
      <c r="B97408">
        <f>TEXT(97407, "[$-0E0000]yyyy-mm-dd")</f>
        <v/>
      </c>
    </row>
    <row r="97409">
      <c r="A97409" s="1" t="n">
        <v>97408</v>
      </c>
      <c r="B97409">
        <f>TEXT(97408, "[$-0E0000]yyyy-mm-dd")</f>
        <v/>
      </c>
    </row>
    <row r="97410">
      <c r="A97410" s="1" t="n">
        <v>97409</v>
      </c>
      <c r="B97410">
        <f>TEXT(97409, "[$-0E0000]yyyy-mm-dd")</f>
        <v/>
      </c>
    </row>
    <row r="97411">
      <c r="A97411" s="1" t="n">
        <v>97410</v>
      </c>
      <c r="B97411">
        <f>TEXT(97410, "[$-0E0000]yyyy-mm-dd")</f>
        <v/>
      </c>
    </row>
    <row r="97412">
      <c r="A97412" s="1" t="n">
        <v>97411</v>
      </c>
      <c r="B97412">
        <f>TEXT(97411, "[$-0E0000]yyyy-mm-dd")</f>
        <v/>
      </c>
    </row>
    <row r="97413">
      <c r="A97413" s="1" t="n">
        <v>97412</v>
      </c>
      <c r="B97413">
        <f>TEXT(97412, "[$-0E0000]yyyy-mm-dd")</f>
        <v/>
      </c>
    </row>
    <row r="97414">
      <c r="A97414" s="1" t="n">
        <v>97413</v>
      </c>
      <c r="B97414">
        <f>TEXT(97413, "[$-0E0000]yyyy-mm-dd")</f>
        <v/>
      </c>
    </row>
    <row r="97415">
      <c r="A97415" s="1" t="n">
        <v>97414</v>
      </c>
      <c r="B97415">
        <f>TEXT(97414, "[$-0E0000]yyyy-mm-dd")</f>
        <v/>
      </c>
    </row>
    <row r="97416">
      <c r="A97416" s="1" t="n">
        <v>97415</v>
      </c>
      <c r="B97416">
        <f>TEXT(97415, "[$-0E0000]yyyy-mm-dd")</f>
        <v/>
      </c>
    </row>
    <row r="97417">
      <c r="A97417" s="1" t="n">
        <v>97416</v>
      </c>
      <c r="B97417">
        <f>TEXT(97416, "[$-0E0000]yyyy-mm-dd")</f>
        <v/>
      </c>
    </row>
    <row r="97418">
      <c r="A97418" s="1" t="n">
        <v>97417</v>
      </c>
      <c r="B97418">
        <f>TEXT(97417, "[$-0E0000]yyyy-mm-dd")</f>
        <v/>
      </c>
    </row>
    <row r="97419">
      <c r="A97419" s="1" t="n">
        <v>97418</v>
      </c>
      <c r="B97419">
        <f>TEXT(97418, "[$-0E0000]yyyy-mm-dd")</f>
        <v/>
      </c>
    </row>
    <row r="97420">
      <c r="A97420" s="1" t="n">
        <v>97419</v>
      </c>
      <c r="B97420">
        <f>TEXT(97419, "[$-0E0000]yyyy-mm-dd")</f>
        <v/>
      </c>
    </row>
    <row r="97421">
      <c r="A97421" s="1" t="n">
        <v>97420</v>
      </c>
      <c r="B97421">
        <f>TEXT(97420, "[$-0E0000]yyyy-mm-dd")</f>
        <v/>
      </c>
    </row>
    <row r="97422">
      <c r="A97422" s="1" t="n">
        <v>97421</v>
      </c>
      <c r="B97422">
        <f>TEXT(97421, "[$-0E0000]yyyy-mm-dd")</f>
        <v/>
      </c>
    </row>
    <row r="97423">
      <c r="A97423" s="1" t="n">
        <v>97422</v>
      </c>
      <c r="B97423">
        <f>TEXT(97422, "[$-0E0000]yyyy-mm-dd")</f>
        <v/>
      </c>
    </row>
    <row r="97424">
      <c r="A97424" s="1" t="n">
        <v>97423</v>
      </c>
      <c r="B97424">
        <f>TEXT(97423, "[$-0E0000]yyyy-mm-dd")</f>
        <v/>
      </c>
    </row>
    <row r="97425">
      <c r="A97425" s="1" t="n">
        <v>97424</v>
      </c>
      <c r="B97425">
        <f>TEXT(97424, "[$-0E0000]yyyy-mm-dd")</f>
        <v/>
      </c>
    </row>
    <row r="97426">
      <c r="A97426" s="1" t="n">
        <v>97425</v>
      </c>
      <c r="B97426">
        <f>TEXT(97425, "[$-0E0000]yyyy-mm-dd")</f>
        <v/>
      </c>
    </row>
    <row r="97427">
      <c r="A97427" s="1" t="n">
        <v>97426</v>
      </c>
      <c r="B97427">
        <f>TEXT(97426, "[$-0E0000]yyyy-mm-dd")</f>
        <v/>
      </c>
    </row>
    <row r="97428">
      <c r="A97428" s="1" t="n">
        <v>97427</v>
      </c>
      <c r="B97428">
        <f>TEXT(97427, "[$-0E0000]yyyy-mm-dd")</f>
        <v/>
      </c>
    </row>
    <row r="97429">
      <c r="A97429" s="1" t="n">
        <v>97428</v>
      </c>
      <c r="B97429">
        <f>TEXT(97428, "[$-0E0000]yyyy-mm-dd")</f>
        <v/>
      </c>
    </row>
    <row r="97430">
      <c r="A97430" s="1" t="n">
        <v>97429</v>
      </c>
      <c r="B97430">
        <f>TEXT(97429, "[$-0E0000]yyyy-mm-dd")</f>
        <v/>
      </c>
    </row>
    <row r="97431">
      <c r="A97431" s="1" t="n">
        <v>97430</v>
      </c>
      <c r="B97431">
        <f>TEXT(97430, "[$-0E0000]yyyy-mm-dd")</f>
        <v/>
      </c>
    </row>
    <row r="97432">
      <c r="A97432" s="1" t="n">
        <v>97431</v>
      </c>
      <c r="B97432">
        <f>TEXT(97431, "[$-0E0000]yyyy-mm-dd")</f>
        <v/>
      </c>
    </row>
    <row r="97433">
      <c r="A97433" s="1" t="n">
        <v>97432</v>
      </c>
      <c r="B97433">
        <f>TEXT(97432, "[$-0E0000]yyyy-mm-dd")</f>
        <v/>
      </c>
    </row>
    <row r="97434">
      <c r="A97434" s="1" t="n">
        <v>97433</v>
      </c>
      <c r="B97434">
        <f>TEXT(97433, "[$-0E0000]yyyy-mm-dd")</f>
        <v/>
      </c>
    </row>
    <row r="97435">
      <c r="A97435" s="1" t="n">
        <v>97434</v>
      </c>
      <c r="B97435">
        <f>TEXT(97434, "[$-0E0000]yyyy-mm-dd")</f>
        <v/>
      </c>
    </row>
    <row r="97436">
      <c r="A97436" s="1" t="n">
        <v>97435</v>
      </c>
      <c r="B97436">
        <f>TEXT(97435, "[$-0E0000]yyyy-mm-dd")</f>
        <v/>
      </c>
    </row>
    <row r="97437">
      <c r="A97437" s="1" t="n">
        <v>97436</v>
      </c>
      <c r="B97437">
        <f>TEXT(97436, "[$-0E0000]yyyy-mm-dd")</f>
        <v/>
      </c>
    </row>
    <row r="97438">
      <c r="A97438" s="1" t="n">
        <v>97437</v>
      </c>
      <c r="B97438">
        <f>TEXT(97437, "[$-0E0000]yyyy-mm-dd")</f>
        <v/>
      </c>
    </row>
    <row r="97439">
      <c r="A97439" s="1" t="n">
        <v>97438</v>
      </c>
      <c r="B97439">
        <f>TEXT(97438, "[$-0E0000]yyyy-mm-dd")</f>
        <v/>
      </c>
    </row>
    <row r="97440">
      <c r="A97440" s="1" t="n">
        <v>97439</v>
      </c>
      <c r="B97440">
        <f>TEXT(97439, "[$-0E0000]yyyy-mm-dd")</f>
        <v/>
      </c>
    </row>
    <row r="97441">
      <c r="A97441" s="1" t="n">
        <v>97440</v>
      </c>
      <c r="B97441">
        <f>TEXT(97440, "[$-0E0000]yyyy-mm-dd")</f>
        <v/>
      </c>
    </row>
    <row r="97442">
      <c r="A97442" s="1" t="n">
        <v>97441</v>
      </c>
      <c r="B97442">
        <f>TEXT(97441, "[$-0E0000]yyyy-mm-dd")</f>
        <v/>
      </c>
    </row>
    <row r="97443">
      <c r="A97443" s="1" t="n">
        <v>97442</v>
      </c>
      <c r="B97443">
        <f>TEXT(97442, "[$-0E0000]yyyy-mm-dd")</f>
        <v/>
      </c>
    </row>
    <row r="97444">
      <c r="A97444" s="1" t="n">
        <v>97443</v>
      </c>
      <c r="B97444">
        <f>TEXT(97443, "[$-0E0000]yyyy-mm-dd")</f>
        <v/>
      </c>
    </row>
    <row r="97445">
      <c r="A97445" s="1" t="n">
        <v>97444</v>
      </c>
      <c r="B97445">
        <f>TEXT(97444, "[$-0E0000]yyyy-mm-dd")</f>
        <v/>
      </c>
    </row>
    <row r="97446">
      <c r="A97446" s="1" t="n">
        <v>97445</v>
      </c>
      <c r="B97446">
        <f>TEXT(97445, "[$-0E0000]yyyy-mm-dd")</f>
        <v/>
      </c>
    </row>
    <row r="97447">
      <c r="A97447" s="1" t="n">
        <v>97446</v>
      </c>
      <c r="B97447">
        <f>TEXT(97446, "[$-0E0000]yyyy-mm-dd")</f>
        <v/>
      </c>
    </row>
    <row r="97448">
      <c r="A97448" s="1" t="n">
        <v>97447</v>
      </c>
      <c r="B97448">
        <f>TEXT(97447, "[$-0E0000]yyyy-mm-dd")</f>
        <v/>
      </c>
    </row>
    <row r="97449">
      <c r="A97449" s="1" t="n">
        <v>97448</v>
      </c>
      <c r="B97449">
        <f>TEXT(97448, "[$-0E0000]yyyy-mm-dd")</f>
        <v/>
      </c>
    </row>
    <row r="97450">
      <c r="A97450" s="1" t="n">
        <v>97449</v>
      </c>
      <c r="B97450">
        <f>TEXT(97449, "[$-0E0000]yyyy-mm-dd")</f>
        <v/>
      </c>
    </row>
    <row r="97451">
      <c r="A97451" s="1" t="n">
        <v>97450</v>
      </c>
      <c r="B97451">
        <f>TEXT(97450, "[$-0E0000]yyyy-mm-dd")</f>
        <v/>
      </c>
    </row>
    <row r="97452">
      <c r="A97452" s="1" t="n">
        <v>97451</v>
      </c>
      <c r="B97452">
        <f>TEXT(97451, "[$-0E0000]yyyy-mm-dd")</f>
        <v/>
      </c>
    </row>
    <row r="97453">
      <c r="A97453" s="1" t="n">
        <v>97452</v>
      </c>
      <c r="B97453">
        <f>TEXT(97452, "[$-0E0000]yyyy-mm-dd")</f>
        <v/>
      </c>
    </row>
    <row r="97454">
      <c r="A97454" s="1" t="n">
        <v>97453</v>
      </c>
      <c r="B97454">
        <f>TEXT(97453, "[$-0E0000]yyyy-mm-dd")</f>
        <v/>
      </c>
    </row>
    <row r="97455">
      <c r="A97455" s="1" t="n">
        <v>97454</v>
      </c>
      <c r="B97455">
        <f>TEXT(97454, "[$-0E0000]yyyy-mm-dd")</f>
        <v/>
      </c>
    </row>
    <row r="97456">
      <c r="A97456" s="1" t="n">
        <v>97455</v>
      </c>
      <c r="B97456">
        <f>TEXT(97455, "[$-0E0000]yyyy-mm-dd")</f>
        <v/>
      </c>
    </row>
    <row r="97457">
      <c r="A97457" s="1" t="n">
        <v>97456</v>
      </c>
      <c r="B97457">
        <f>TEXT(97456, "[$-0E0000]yyyy-mm-dd")</f>
        <v/>
      </c>
    </row>
    <row r="97458">
      <c r="A97458" s="1" t="n">
        <v>97457</v>
      </c>
      <c r="B97458">
        <f>TEXT(97457, "[$-0E0000]yyyy-mm-dd")</f>
        <v/>
      </c>
    </row>
    <row r="97459">
      <c r="A97459" s="1" t="n">
        <v>97458</v>
      </c>
      <c r="B97459">
        <f>TEXT(97458, "[$-0E0000]yyyy-mm-dd")</f>
        <v/>
      </c>
    </row>
    <row r="97460">
      <c r="A97460" s="1" t="n">
        <v>97459</v>
      </c>
      <c r="B97460">
        <f>TEXT(97459, "[$-0E0000]yyyy-mm-dd")</f>
        <v/>
      </c>
    </row>
    <row r="97461">
      <c r="A97461" s="1" t="n">
        <v>97460</v>
      </c>
      <c r="B97461">
        <f>TEXT(97460, "[$-0E0000]yyyy-mm-dd")</f>
        <v/>
      </c>
    </row>
    <row r="97462">
      <c r="A97462" s="1" t="n">
        <v>97461</v>
      </c>
      <c r="B97462">
        <f>TEXT(97461, "[$-0E0000]yyyy-mm-dd")</f>
        <v/>
      </c>
    </row>
    <row r="97463">
      <c r="A97463" s="1" t="n">
        <v>97462</v>
      </c>
      <c r="B97463">
        <f>TEXT(97462, "[$-0E0000]yyyy-mm-dd")</f>
        <v/>
      </c>
    </row>
    <row r="97464">
      <c r="A97464" s="1" t="n">
        <v>97463</v>
      </c>
      <c r="B97464">
        <f>TEXT(97463, "[$-0E0000]yyyy-mm-dd")</f>
        <v/>
      </c>
    </row>
    <row r="97465">
      <c r="A97465" s="1" t="n">
        <v>97464</v>
      </c>
      <c r="B97465">
        <f>TEXT(97464, "[$-0E0000]yyyy-mm-dd")</f>
        <v/>
      </c>
    </row>
    <row r="97466">
      <c r="A97466" s="1" t="n">
        <v>97465</v>
      </c>
      <c r="B97466">
        <f>TEXT(97465, "[$-0E0000]yyyy-mm-dd")</f>
        <v/>
      </c>
    </row>
    <row r="97467">
      <c r="A97467" s="1" t="n">
        <v>97466</v>
      </c>
      <c r="B97467">
        <f>TEXT(97466, "[$-0E0000]yyyy-mm-dd")</f>
        <v/>
      </c>
    </row>
    <row r="97468">
      <c r="A97468" s="1" t="n">
        <v>97467</v>
      </c>
      <c r="B97468">
        <f>TEXT(97467, "[$-0E0000]yyyy-mm-dd")</f>
        <v/>
      </c>
    </row>
    <row r="97469">
      <c r="A97469" s="1" t="n">
        <v>97468</v>
      </c>
      <c r="B97469">
        <f>TEXT(97468, "[$-0E0000]yyyy-mm-dd")</f>
        <v/>
      </c>
    </row>
    <row r="97470">
      <c r="A97470" s="1" t="n">
        <v>97469</v>
      </c>
      <c r="B97470">
        <f>TEXT(97469, "[$-0E0000]yyyy-mm-dd")</f>
        <v/>
      </c>
    </row>
    <row r="97471">
      <c r="A97471" s="1" t="n">
        <v>97470</v>
      </c>
      <c r="B97471">
        <f>TEXT(97470, "[$-0E0000]yyyy-mm-dd")</f>
        <v/>
      </c>
    </row>
    <row r="97472">
      <c r="A97472" s="1" t="n">
        <v>97471</v>
      </c>
      <c r="B97472">
        <f>TEXT(97471, "[$-0E0000]yyyy-mm-dd")</f>
        <v/>
      </c>
    </row>
    <row r="97473">
      <c r="A97473" s="1" t="n">
        <v>97472</v>
      </c>
      <c r="B97473">
        <f>TEXT(97472, "[$-0E0000]yyyy-mm-dd")</f>
        <v/>
      </c>
    </row>
    <row r="97474">
      <c r="A97474" s="1" t="n">
        <v>97473</v>
      </c>
      <c r="B97474">
        <f>TEXT(97473, "[$-0E0000]yyyy-mm-dd")</f>
        <v/>
      </c>
    </row>
    <row r="97475">
      <c r="A97475" s="1" t="n">
        <v>97474</v>
      </c>
      <c r="B97475">
        <f>TEXT(97474, "[$-0E0000]yyyy-mm-dd")</f>
        <v/>
      </c>
    </row>
    <row r="97476">
      <c r="A97476" s="1" t="n">
        <v>97475</v>
      </c>
      <c r="B97476">
        <f>TEXT(97475, "[$-0E0000]yyyy-mm-dd")</f>
        <v/>
      </c>
    </row>
    <row r="97477">
      <c r="A97477" s="1" t="n">
        <v>97476</v>
      </c>
      <c r="B97477">
        <f>TEXT(97476, "[$-0E0000]yyyy-mm-dd")</f>
        <v/>
      </c>
    </row>
    <row r="97478">
      <c r="A97478" s="1" t="n">
        <v>97477</v>
      </c>
      <c r="B97478">
        <f>TEXT(97477, "[$-0E0000]yyyy-mm-dd")</f>
        <v/>
      </c>
    </row>
    <row r="97479">
      <c r="A97479" s="1" t="n">
        <v>97478</v>
      </c>
      <c r="B97479">
        <f>TEXT(97478, "[$-0E0000]yyyy-mm-dd")</f>
        <v/>
      </c>
    </row>
    <row r="97480">
      <c r="A97480" s="1" t="n">
        <v>97479</v>
      </c>
      <c r="B97480">
        <f>TEXT(97479, "[$-0E0000]yyyy-mm-dd")</f>
        <v/>
      </c>
    </row>
    <row r="97481">
      <c r="A97481" s="1" t="n">
        <v>97480</v>
      </c>
      <c r="B97481">
        <f>TEXT(97480, "[$-0E0000]yyyy-mm-dd")</f>
        <v/>
      </c>
    </row>
    <row r="97482">
      <c r="A97482" s="1" t="n">
        <v>97481</v>
      </c>
      <c r="B97482">
        <f>TEXT(97481, "[$-0E0000]yyyy-mm-dd")</f>
        <v/>
      </c>
    </row>
    <row r="97483">
      <c r="A97483" s="1" t="n">
        <v>97482</v>
      </c>
      <c r="B97483">
        <f>TEXT(97482, "[$-0E0000]yyyy-mm-dd")</f>
        <v/>
      </c>
    </row>
    <row r="97484">
      <c r="A97484" s="1" t="n">
        <v>97483</v>
      </c>
      <c r="B97484">
        <f>TEXT(97483, "[$-0E0000]yyyy-mm-dd")</f>
        <v/>
      </c>
    </row>
    <row r="97485">
      <c r="A97485" s="1" t="n">
        <v>97484</v>
      </c>
      <c r="B97485">
        <f>TEXT(97484, "[$-0E0000]yyyy-mm-dd")</f>
        <v/>
      </c>
    </row>
    <row r="97486">
      <c r="A97486" s="1" t="n">
        <v>97485</v>
      </c>
      <c r="B97486">
        <f>TEXT(97485, "[$-0E0000]yyyy-mm-dd")</f>
        <v/>
      </c>
    </row>
    <row r="97487">
      <c r="A97487" s="1" t="n">
        <v>97486</v>
      </c>
      <c r="B97487">
        <f>TEXT(97486, "[$-0E0000]yyyy-mm-dd")</f>
        <v/>
      </c>
    </row>
    <row r="97488">
      <c r="A97488" s="1" t="n">
        <v>97487</v>
      </c>
      <c r="B97488">
        <f>TEXT(97487, "[$-0E0000]yyyy-mm-dd")</f>
        <v/>
      </c>
    </row>
    <row r="97489">
      <c r="A97489" s="1" t="n">
        <v>97488</v>
      </c>
      <c r="B97489">
        <f>TEXT(97488, "[$-0E0000]yyyy-mm-dd")</f>
        <v/>
      </c>
    </row>
    <row r="97490">
      <c r="A97490" s="1" t="n">
        <v>97489</v>
      </c>
      <c r="B97490">
        <f>TEXT(97489, "[$-0E0000]yyyy-mm-dd")</f>
        <v/>
      </c>
    </row>
    <row r="97491">
      <c r="A97491" s="1" t="n">
        <v>97490</v>
      </c>
      <c r="B97491">
        <f>TEXT(97490, "[$-0E0000]yyyy-mm-dd")</f>
        <v/>
      </c>
    </row>
    <row r="97492">
      <c r="A97492" s="1" t="n">
        <v>97491</v>
      </c>
      <c r="B97492">
        <f>TEXT(97491, "[$-0E0000]yyyy-mm-dd")</f>
        <v/>
      </c>
    </row>
    <row r="97493">
      <c r="A97493" s="1" t="n">
        <v>97492</v>
      </c>
      <c r="B97493">
        <f>TEXT(97492, "[$-0E0000]yyyy-mm-dd")</f>
        <v/>
      </c>
    </row>
    <row r="97494">
      <c r="A97494" s="1" t="n">
        <v>97493</v>
      </c>
      <c r="B97494">
        <f>TEXT(97493, "[$-0E0000]yyyy-mm-dd")</f>
        <v/>
      </c>
    </row>
    <row r="97495">
      <c r="A97495" s="1" t="n">
        <v>97494</v>
      </c>
      <c r="B97495">
        <f>TEXT(97494, "[$-0E0000]yyyy-mm-dd")</f>
        <v/>
      </c>
    </row>
    <row r="97496">
      <c r="A97496" s="1" t="n">
        <v>97495</v>
      </c>
      <c r="B97496">
        <f>TEXT(97495, "[$-0E0000]yyyy-mm-dd")</f>
        <v/>
      </c>
    </row>
    <row r="97497">
      <c r="A97497" s="1" t="n">
        <v>97496</v>
      </c>
      <c r="B97497">
        <f>TEXT(97496, "[$-0E0000]yyyy-mm-dd")</f>
        <v/>
      </c>
    </row>
    <row r="97498">
      <c r="A97498" s="1" t="n">
        <v>97497</v>
      </c>
      <c r="B97498">
        <f>TEXT(97497, "[$-0E0000]yyyy-mm-dd")</f>
        <v/>
      </c>
    </row>
    <row r="97499">
      <c r="A97499" s="1" t="n">
        <v>97498</v>
      </c>
      <c r="B97499">
        <f>TEXT(97498, "[$-0E0000]yyyy-mm-dd")</f>
        <v/>
      </c>
    </row>
    <row r="97500">
      <c r="A97500" s="1" t="n">
        <v>97499</v>
      </c>
      <c r="B97500">
        <f>TEXT(97499, "[$-0E0000]yyyy-mm-dd")</f>
        <v/>
      </c>
    </row>
    <row r="97501">
      <c r="A97501" s="1" t="n">
        <v>97500</v>
      </c>
      <c r="B97501">
        <f>TEXT(97500, "[$-0E0000]yyyy-mm-dd")</f>
        <v/>
      </c>
    </row>
    <row r="97502">
      <c r="A97502" s="1" t="n">
        <v>97501</v>
      </c>
      <c r="B97502">
        <f>TEXT(97501, "[$-0E0000]yyyy-mm-dd")</f>
        <v/>
      </c>
    </row>
    <row r="97503">
      <c r="A97503" s="1" t="n">
        <v>97502</v>
      </c>
      <c r="B97503">
        <f>TEXT(97502, "[$-0E0000]yyyy-mm-dd")</f>
        <v/>
      </c>
    </row>
    <row r="97504">
      <c r="A97504" s="1" t="n">
        <v>97503</v>
      </c>
      <c r="B97504">
        <f>TEXT(97503, "[$-0E0000]yyyy-mm-dd")</f>
        <v/>
      </c>
    </row>
    <row r="97505">
      <c r="A97505" s="1" t="n">
        <v>97504</v>
      </c>
      <c r="B97505">
        <f>TEXT(97504, "[$-0E0000]yyyy-mm-dd")</f>
        <v/>
      </c>
    </row>
    <row r="97506">
      <c r="A97506" s="1" t="n">
        <v>97505</v>
      </c>
      <c r="B97506">
        <f>TEXT(97505, "[$-0E0000]yyyy-mm-dd")</f>
        <v/>
      </c>
    </row>
    <row r="97507">
      <c r="A97507" s="1" t="n">
        <v>97506</v>
      </c>
      <c r="B97507">
        <f>TEXT(97506, "[$-0E0000]yyyy-mm-dd")</f>
        <v/>
      </c>
    </row>
    <row r="97508">
      <c r="A97508" s="1" t="n">
        <v>97507</v>
      </c>
      <c r="B97508">
        <f>TEXT(97507, "[$-0E0000]yyyy-mm-dd")</f>
        <v/>
      </c>
    </row>
    <row r="97509">
      <c r="A97509" s="1" t="n">
        <v>97508</v>
      </c>
      <c r="B97509">
        <f>TEXT(97508, "[$-0E0000]yyyy-mm-dd")</f>
        <v/>
      </c>
    </row>
    <row r="97510">
      <c r="A97510" s="1" t="n">
        <v>97509</v>
      </c>
      <c r="B97510">
        <f>TEXT(97509, "[$-0E0000]yyyy-mm-dd")</f>
        <v/>
      </c>
    </row>
    <row r="97511">
      <c r="A97511" s="1" t="n">
        <v>97510</v>
      </c>
      <c r="B97511">
        <f>TEXT(97510, "[$-0E0000]yyyy-mm-dd")</f>
        <v/>
      </c>
    </row>
    <row r="97512">
      <c r="A97512" s="1" t="n">
        <v>97511</v>
      </c>
      <c r="B97512">
        <f>TEXT(97511, "[$-0E0000]yyyy-mm-dd")</f>
        <v/>
      </c>
    </row>
    <row r="97513">
      <c r="A97513" s="1" t="n">
        <v>97512</v>
      </c>
      <c r="B97513">
        <f>TEXT(97512, "[$-0E0000]yyyy-mm-dd")</f>
        <v/>
      </c>
    </row>
    <row r="97514">
      <c r="A97514" s="1" t="n">
        <v>97513</v>
      </c>
      <c r="B97514">
        <f>TEXT(97513, "[$-0E0000]yyyy-mm-dd")</f>
        <v/>
      </c>
    </row>
    <row r="97515">
      <c r="A97515" s="1" t="n">
        <v>97514</v>
      </c>
      <c r="B97515">
        <f>TEXT(97514, "[$-0E0000]yyyy-mm-dd")</f>
        <v/>
      </c>
    </row>
    <row r="97516">
      <c r="A97516" s="1" t="n">
        <v>97515</v>
      </c>
      <c r="B97516">
        <f>TEXT(97515, "[$-0E0000]yyyy-mm-dd")</f>
        <v/>
      </c>
    </row>
    <row r="97517">
      <c r="A97517" s="1" t="n">
        <v>97516</v>
      </c>
      <c r="B97517">
        <f>TEXT(97516, "[$-0E0000]yyyy-mm-dd")</f>
        <v/>
      </c>
    </row>
    <row r="97518">
      <c r="A97518" s="1" t="n">
        <v>97517</v>
      </c>
      <c r="B97518">
        <f>TEXT(97517, "[$-0E0000]yyyy-mm-dd")</f>
        <v/>
      </c>
    </row>
    <row r="97519">
      <c r="A97519" s="1" t="n">
        <v>97518</v>
      </c>
      <c r="B97519">
        <f>TEXT(97518, "[$-0E0000]yyyy-mm-dd")</f>
        <v/>
      </c>
    </row>
    <row r="97520">
      <c r="A97520" s="1" t="n">
        <v>97519</v>
      </c>
      <c r="B97520">
        <f>TEXT(97519, "[$-0E0000]yyyy-mm-dd")</f>
        <v/>
      </c>
    </row>
    <row r="97521">
      <c r="A97521" s="1" t="n">
        <v>97520</v>
      </c>
      <c r="B97521">
        <f>TEXT(97520, "[$-0E0000]yyyy-mm-dd")</f>
        <v/>
      </c>
    </row>
    <row r="97522">
      <c r="A97522" s="1" t="n">
        <v>97521</v>
      </c>
      <c r="B97522">
        <f>TEXT(97521, "[$-0E0000]yyyy-mm-dd")</f>
        <v/>
      </c>
    </row>
    <row r="97523">
      <c r="A97523" s="1" t="n">
        <v>97522</v>
      </c>
      <c r="B97523">
        <f>TEXT(97522, "[$-0E0000]yyyy-mm-dd")</f>
        <v/>
      </c>
    </row>
    <row r="97524">
      <c r="A97524" s="1" t="n">
        <v>97523</v>
      </c>
      <c r="B97524">
        <f>TEXT(97523, "[$-0E0000]yyyy-mm-dd")</f>
        <v/>
      </c>
    </row>
    <row r="97525">
      <c r="A97525" s="1" t="n">
        <v>97524</v>
      </c>
      <c r="B97525">
        <f>TEXT(97524, "[$-0E0000]yyyy-mm-dd")</f>
        <v/>
      </c>
    </row>
    <row r="97526">
      <c r="A97526" s="1" t="n">
        <v>97525</v>
      </c>
      <c r="B97526">
        <f>TEXT(97525, "[$-0E0000]yyyy-mm-dd")</f>
        <v/>
      </c>
    </row>
    <row r="97527">
      <c r="A97527" s="1" t="n">
        <v>97526</v>
      </c>
      <c r="B97527">
        <f>TEXT(97526, "[$-0E0000]yyyy-mm-dd")</f>
        <v/>
      </c>
    </row>
    <row r="97528">
      <c r="A97528" s="1" t="n">
        <v>97527</v>
      </c>
      <c r="B97528">
        <f>TEXT(97527, "[$-0E0000]yyyy-mm-dd")</f>
        <v/>
      </c>
    </row>
    <row r="97529">
      <c r="A97529" s="1" t="n">
        <v>97528</v>
      </c>
      <c r="B97529">
        <f>TEXT(97528, "[$-0E0000]yyyy-mm-dd")</f>
        <v/>
      </c>
    </row>
    <row r="97530">
      <c r="A97530" s="1" t="n">
        <v>97529</v>
      </c>
      <c r="B97530">
        <f>TEXT(97529, "[$-0E0000]yyyy-mm-dd")</f>
        <v/>
      </c>
    </row>
    <row r="97531">
      <c r="A97531" s="1" t="n">
        <v>97530</v>
      </c>
      <c r="B97531">
        <f>TEXT(97530, "[$-0E0000]yyyy-mm-dd")</f>
        <v/>
      </c>
    </row>
    <row r="97532">
      <c r="A97532" s="1" t="n">
        <v>97531</v>
      </c>
      <c r="B97532">
        <f>TEXT(97531, "[$-0E0000]yyyy-mm-dd")</f>
        <v/>
      </c>
    </row>
    <row r="97533">
      <c r="A97533" s="1" t="n">
        <v>97532</v>
      </c>
      <c r="B97533">
        <f>TEXT(97532, "[$-0E0000]yyyy-mm-dd")</f>
        <v/>
      </c>
    </row>
    <row r="97534">
      <c r="A97534" s="1" t="n">
        <v>97533</v>
      </c>
      <c r="B97534">
        <f>TEXT(97533, "[$-0E0000]yyyy-mm-dd")</f>
        <v/>
      </c>
    </row>
    <row r="97535">
      <c r="A97535" s="1" t="n">
        <v>97534</v>
      </c>
      <c r="B97535">
        <f>TEXT(97534, "[$-0E0000]yyyy-mm-dd")</f>
        <v/>
      </c>
    </row>
    <row r="97536">
      <c r="A97536" s="1" t="n">
        <v>97535</v>
      </c>
      <c r="B97536">
        <f>TEXT(97535, "[$-0E0000]yyyy-mm-dd")</f>
        <v/>
      </c>
    </row>
    <row r="97537">
      <c r="A97537" s="1" t="n">
        <v>97536</v>
      </c>
      <c r="B97537">
        <f>TEXT(97536, "[$-0E0000]yyyy-mm-dd")</f>
        <v/>
      </c>
    </row>
    <row r="97538">
      <c r="A97538" s="1" t="n">
        <v>97537</v>
      </c>
      <c r="B97538">
        <f>TEXT(97537, "[$-0E0000]yyyy-mm-dd")</f>
        <v/>
      </c>
    </row>
    <row r="97539">
      <c r="A97539" s="1" t="n">
        <v>97538</v>
      </c>
      <c r="B97539">
        <f>TEXT(97538, "[$-0E0000]yyyy-mm-dd")</f>
        <v/>
      </c>
    </row>
    <row r="97540">
      <c r="A97540" s="1" t="n">
        <v>97539</v>
      </c>
      <c r="B97540">
        <f>TEXT(97539, "[$-0E0000]yyyy-mm-dd")</f>
        <v/>
      </c>
    </row>
    <row r="97541">
      <c r="A97541" s="1" t="n">
        <v>97540</v>
      </c>
      <c r="B97541">
        <f>TEXT(97540, "[$-0E0000]yyyy-mm-dd")</f>
        <v/>
      </c>
    </row>
    <row r="97542">
      <c r="A97542" s="1" t="n">
        <v>97541</v>
      </c>
      <c r="B97542">
        <f>TEXT(97541, "[$-0E0000]yyyy-mm-dd")</f>
        <v/>
      </c>
    </row>
    <row r="97543">
      <c r="A97543" s="1" t="n">
        <v>97542</v>
      </c>
      <c r="B97543">
        <f>TEXT(97542, "[$-0E0000]yyyy-mm-dd")</f>
        <v/>
      </c>
    </row>
    <row r="97544">
      <c r="A97544" s="1" t="n">
        <v>97543</v>
      </c>
      <c r="B97544">
        <f>TEXT(97543, "[$-0E0000]yyyy-mm-dd")</f>
        <v/>
      </c>
    </row>
    <row r="97545">
      <c r="A97545" s="1" t="n">
        <v>97544</v>
      </c>
      <c r="B97545">
        <f>TEXT(97544, "[$-0E0000]yyyy-mm-dd")</f>
        <v/>
      </c>
    </row>
    <row r="97546">
      <c r="A97546" s="1" t="n">
        <v>97545</v>
      </c>
      <c r="B97546">
        <f>TEXT(97545, "[$-0E0000]yyyy-mm-dd")</f>
        <v/>
      </c>
    </row>
    <row r="97547">
      <c r="A97547" s="1" t="n">
        <v>97546</v>
      </c>
      <c r="B97547">
        <f>TEXT(97546, "[$-0E0000]yyyy-mm-dd")</f>
        <v/>
      </c>
    </row>
    <row r="97548">
      <c r="A97548" s="1" t="n">
        <v>97547</v>
      </c>
      <c r="B97548">
        <f>TEXT(97547, "[$-0E0000]yyyy-mm-dd")</f>
        <v/>
      </c>
    </row>
    <row r="97549">
      <c r="A97549" s="1" t="n">
        <v>97548</v>
      </c>
      <c r="B97549">
        <f>TEXT(97548, "[$-0E0000]yyyy-mm-dd")</f>
        <v/>
      </c>
    </row>
    <row r="97550">
      <c r="A97550" s="1" t="n">
        <v>97549</v>
      </c>
      <c r="B97550">
        <f>TEXT(97549, "[$-0E0000]yyyy-mm-dd")</f>
        <v/>
      </c>
    </row>
    <row r="97551">
      <c r="A97551" s="1" t="n">
        <v>97550</v>
      </c>
      <c r="B97551">
        <f>TEXT(97550, "[$-0E0000]yyyy-mm-dd")</f>
        <v/>
      </c>
    </row>
    <row r="97552">
      <c r="A97552" s="1" t="n">
        <v>97551</v>
      </c>
      <c r="B97552">
        <f>TEXT(97551, "[$-0E0000]yyyy-mm-dd")</f>
        <v/>
      </c>
    </row>
    <row r="97553">
      <c r="A97553" s="1" t="n">
        <v>97552</v>
      </c>
      <c r="B97553">
        <f>TEXT(97552, "[$-0E0000]yyyy-mm-dd")</f>
        <v/>
      </c>
    </row>
    <row r="97554">
      <c r="A97554" s="1" t="n">
        <v>97553</v>
      </c>
      <c r="B97554">
        <f>TEXT(97553, "[$-0E0000]yyyy-mm-dd")</f>
        <v/>
      </c>
    </row>
    <row r="97555">
      <c r="A97555" s="1" t="n">
        <v>97554</v>
      </c>
      <c r="B97555">
        <f>TEXT(97554, "[$-0E0000]yyyy-mm-dd")</f>
        <v/>
      </c>
    </row>
    <row r="97556">
      <c r="A97556" s="1" t="n">
        <v>97555</v>
      </c>
      <c r="B97556">
        <f>TEXT(97555, "[$-0E0000]yyyy-mm-dd")</f>
        <v/>
      </c>
    </row>
    <row r="97557">
      <c r="A97557" s="1" t="n">
        <v>97556</v>
      </c>
      <c r="B97557">
        <f>TEXT(97556, "[$-0E0000]yyyy-mm-dd")</f>
        <v/>
      </c>
    </row>
    <row r="97558">
      <c r="A97558" s="1" t="n">
        <v>97557</v>
      </c>
      <c r="B97558">
        <f>TEXT(97557, "[$-0E0000]yyyy-mm-dd")</f>
        <v/>
      </c>
    </row>
    <row r="97559">
      <c r="A97559" s="1" t="n">
        <v>97558</v>
      </c>
      <c r="B97559">
        <f>TEXT(97558, "[$-0E0000]yyyy-mm-dd")</f>
        <v/>
      </c>
    </row>
    <row r="97560">
      <c r="A97560" s="1" t="n">
        <v>97559</v>
      </c>
      <c r="B97560">
        <f>TEXT(97559, "[$-0E0000]yyyy-mm-dd")</f>
        <v/>
      </c>
    </row>
    <row r="97561">
      <c r="A97561" s="1" t="n">
        <v>97560</v>
      </c>
      <c r="B97561">
        <f>TEXT(97560, "[$-0E0000]yyyy-mm-dd")</f>
        <v/>
      </c>
    </row>
    <row r="97562">
      <c r="A97562" s="1" t="n">
        <v>97561</v>
      </c>
      <c r="B97562">
        <f>TEXT(97561, "[$-0E0000]yyyy-mm-dd")</f>
        <v/>
      </c>
    </row>
    <row r="97563">
      <c r="A97563" s="1" t="n">
        <v>97562</v>
      </c>
      <c r="B97563">
        <f>TEXT(97562, "[$-0E0000]yyyy-mm-dd")</f>
        <v/>
      </c>
    </row>
    <row r="97564">
      <c r="A97564" s="1" t="n">
        <v>97563</v>
      </c>
      <c r="B97564">
        <f>TEXT(97563, "[$-0E0000]yyyy-mm-dd")</f>
        <v/>
      </c>
    </row>
    <row r="97565">
      <c r="A97565" s="1" t="n">
        <v>97564</v>
      </c>
      <c r="B97565">
        <f>TEXT(97564, "[$-0E0000]yyyy-mm-dd")</f>
        <v/>
      </c>
    </row>
    <row r="97566">
      <c r="A97566" s="1" t="n">
        <v>97565</v>
      </c>
      <c r="B97566">
        <f>TEXT(97565, "[$-0E0000]yyyy-mm-dd")</f>
        <v/>
      </c>
    </row>
    <row r="97567">
      <c r="A97567" s="1" t="n">
        <v>97566</v>
      </c>
      <c r="B97567">
        <f>TEXT(97566, "[$-0E0000]yyyy-mm-dd")</f>
        <v/>
      </c>
    </row>
    <row r="97568">
      <c r="A97568" s="1" t="n">
        <v>97567</v>
      </c>
      <c r="B97568">
        <f>TEXT(97567, "[$-0E0000]yyyy-mm-dd")</f>
        <v/>
      </c>
    </row>
    <row r="97569">
      <c r="A97569" s="1" t="n">
        <v>97568</v>
      </c>
      <c r="B97569">
        <f>TEXT(97568, "[$-0E0000]yyyy-mm-dd")</f>
        <v/>
      </c>
    </row>
    <row r="97570">
      <c r="A97570" s="1" t="n">
        <v>97569</v>
      </c>
      <c r="B97570">
        <f>TEXT(97569, "[$-0E0000]yyyy-mm-dd")</f>
        <v/>
      </c>
    </row>
    <row r="97571">
      <c r="A97571" s="1" t="n">
        <v>97570</v>
      </c>
      <c r="B97571">
        <f>TEXT(97570, "[$-0E0000]yyyy-mm-dd")</f>
        <v/>
      </c>
    </row>
    <row r="97572">
      <c r="A97572" s="1" t="n">
        <v>97571</v>
      </c>
      <c r="B97572">
        <f>TEXT(97571, "[$-0E0000]yyyy-mm-dd")</f>
        <v/>
      </c>
    </row>
    <row r="97573">
      <c r="A97573" s="1" t="n">
        <v>97572</v>
      </c>
      <c r="B97573">
        <f>TEXT(97572, "[$-0E0000]yyyy-mm-dd")</f>
        <v/>
      </c>
    </row>
    <row r="97574">
      <c r="A97574" s="1" t="n">
        <v>97573</v>
      </c>
      <c r="B97574">
        <f>TEXT(97573, "[$-0E0000]yyyy-mm-dd")</f>
        <v/>
      </c>
    </row>
    <row r="97575">
      <c r="A97575" s="1" t="n">
        <v>97574</v>
      </c>
      <c r="B97575">
        <f>TEXT(97574, "[$-0E0000]yyyy-mm-dd")</f>
        <v/>
      </c>
    </row>
    <row r="97576">
      <c r="A97576" s="1" t="n">
        <v>97575</v>
      </c>
      <c r="B97576">
        <f>TEXT(97575, "[$-0E0000]yyyy-mm-dd")</f>
        <v/>
      </c>
    </row>
    <row r="97577">
      <c r="A97577" s="1" t="n">
        <v>97576</v>
      </c>
      <c r="B97577">
        <f>TEXT(97576, "[$-0E0000]yyyy-mm-dd")</f>
        <v/>
      </c>
    </row>
    <row r="97578">
      <c r="A97578" s="1" t="n">
        <v>97577</v>
      </c>
      <c r="B97578">
        <f>TEXT(97577, "[$-0E0000]yyyy-mm-dd")</f>
        <v/>
      </c>
    </row>
    <row r="97579">
      <c r="A97579" s="1" t="n">
        <v>97578</v>
      </c>
      <c r="B97579">
        <f>TEXT(97578, "[$-0E0000]yyyy-mm-dd")</f>
        <v/>
      </c>
    </row>
    <row r="97580">
      <c r="A97580" s="1" t="n">
        <v>97579</v>
      </c>
      <c r="B97580">
        <f>TEXT(97579, "[$-0E0000]yyyy-mm-dd")</f>
        <v/>
      </c>
    </row>
    <row r="97581">
      <c r="A97581" s="1" t="n">
        <v>97580</v>
      </c>
      <c r="B97581">
        <f>TEXT(97580, "[$-0E0000]yyyy-mm-dd")</f>
        <v/>
      </c>
    </row>
    <row r="97582">
      <c r="A97582" s="1" t="n">
        <v>97581</v>
      </c>
      <c r="B97582">
        <f>TEXT(97581, "[$-0E0000]yyyy-mm-dd")</f>
        <v/>
      </c>
    </row>
    <row r="97583">
      <c r="A97583" s="1" t="n">
        <v>97582</v>
      </c>
      <c r="B97583">
        <f>TEXT(97582, "[$-0E0000]yyyy-mm-dd")</f>
        <v/>
      </c>
    </row>
    <row r="97584">
      <c r="A97584" s="1" t="n">
        <v>97583</v>
      </c>
      <c r="B97584">
        <f>TEXT(97583, "[$-0E0000]yyyy-mm-dd")</f>
        <v/>
      </c>
    </row>
    <row r="97585">
      <c r="A97585" s="1" t="n">
        <v>97584</v>
      </c>
      <c r="B97585">
        <f>TEXT(97584, "[$-0E0000]yyyy-mm-dd")</f>
        <v/>
      </c>
    </row>
    <row r="97586">
      <c r="A97586" s="1" t="n">
        <v>97585</v>
      </c>
      <c r="B97586">
        <f>TEXT(97585, "[$-0E0000]yyyy-mm-dd")</f>
        <v/>
      </c>
    </row>
    <row r="97587">
      <c r="A97587" s="1" t="n">
        <v>97586</v>
      </c>
      <c r="B97587">
        <f>TEXT(97586, "[$-0E0000]yyyy-mm-dd")</f>
        <v/>
      </c>
    </row>
    <row r="97588">
      <c r="A97588" s="1" t="n">
        <v>97587</v>
      </c>
      <c r="B97588">
        <f>TEXT(97587, "[$-0E0000]yyyy-mm-dd")</f>
        <v/>
      </c>
    </row>
    <row r="97589">
      <c r="A97589" s="1" t="n">
        <v>97588</v>
      </c>
      <c r="B97589">
        <f>TEXT(97588, "[$-0E0000]yyyy-mm-dd")</f>
        <v/>
      </c>
    </row>
    <row r="97590">
      <c r="A97590" s="1" t="n">
        <v>97589</v>
      </c>
      <c r="B97590">
        <f>TEXT(97589, "[$-0E0000]yyyy-mm-dd")</f>
        <v/>
      </c>
    </row>
    <row r="97591">
      <c r="A97591" s="1" t="n">
        <v>97590</v>
      </c>
      <c r="B97591">
        <f>TEXT(97590, "[$-0E0000]yyyy-mm-dd")</f>
        <v/>
      </c>
    </row>
    <row r="97592">
      <c r="A97592" s="1" t="n">
        <v>97591</v>
      </c>
      <c r="B97592">
        <f>TEXT(97591, "[$-0E0000]yyyy-mm-dd")</f>
        <v/>
      </c>
    </row>
    <row r="97593">
      <c r="A97593" s="1" t="n">
        <v>97592</v>
      </c>
      <c r="B97593">
        <f>TEXT(97592, "[$-0E0000]yyyy-mm-dd")</f>
        <v/>
      </c>
    </row>
    <row r="97594">
      <c r="A97594" s="1" t="n">
        <v>97593</v>
      </c>
      <c r="B97594">
        <f>TEXT(97593, "[$-0E0000]yyyy-mm-dd")</f>
        <v/>
      </c>
    </row>
    <row r="97595">
      <c r="A97595" s="1" t="n">
        <v>97594</v>
      </c>
      <c r="B97595">
        <f>TEXT(97594, "[$-0E0000]yyyy-mm-dd")</f>
        <v/>
      </c>
    </row>
    <row r="97596">
      <c r="A97596" s="1" t="n">
        <v>97595</v>
      </c>
      <c r="B97596">
        <f>TEXT(97595, "[$-0E0000]yyyy-mm-dd")</f>
        <v/>
      </c>
    </row>
    <row r="97597">
      <c r="A97597" s="1" t="n">
        <v>97596</v>
      </c>
      <c r="B97597">
        <f>TEXT(97596, "[$-0E0000]yyyy-mm-dd")</f>
        <v/>
      </c>
    </row>
    <row r="97598">
      <c r="A97598" s="1" t="n">
        <v>97597</v>
      </c>
      <c r="B97598">
        <f>TEXT(97597, "[$-0E0000]yyyy-mm-dd")</f>
        <v/>
      </c>
    </row>
    <row r="97599">
      <c r="A97599" s="1" t="n">
        <v>97598</v>
      </c>
      <c r="B97599">
        <f>TEXT(97598, "[$-0E0000]yyyy-mm-dd")</f>
        <v/>
      </c>
    </row>
    <row r="97600">
      <c r="A97600" s="1" t="n">
        <v>97599</v>
      </c>
      <c r="B97600">
        <f>TEXT(97599, "[$-0E0000]yyyy-mm-dd")</f>
        <v/>
      </c>
    </row>
    <row r="97601">
      <c r="A97601" s="1" t="n">
        <v>97600</v>
      </c>
      <c r="B97601">
        <f>TEXT(97600, "[$-0E0000]yyyy-mm-dd")</f>
        <v/>
      </c>
    </row>
    <row r="97602">
      <c r="A97602" s="1" t="n">
        <v>97601</v>
      </c>
      <c r="B97602">
        <f>TEXT(97601, "[$-0E0000]yyyy-mm-dd")</f>
        <v/>
      </c>
    </row>
    <row r="97603">
      <c r="A97603" s="1" t="n">
        <v>97602</v>
      </c>
      <c r="B97603">
        <f>TEXT(97602, "[$-0E0000]yyyy-mm-dd")</f>
        <v/>
      </c>
    </row>
    <row r="97604">
      <c r="A97604" s="1" t="n">
        <v>97603</v>
      </c>
      <c r="B97604">
        <f>TEXT(97603, "[$-0E0000]yyyy-mm-dd")</f>
        <v/>
      </c>
    </row>
    <row r="97605">
      <c r="A97605" s="1" t="n">
        <v>97604</v>
      </c>
      <c r="B97605">
        <f>TEXT(97604, "[$-0E0000]yyyy-mm-dd")</f>
        <v/>
      </c>
    </row>
    <row r="97606">
      <c r="A97606" s="1" t="n">
        <v>97605</v>
      </c>
      <c r="B97606">
        <f>TEXT(97605, "[$-0E0000]yyyy-mm-dd")</f>
        <v/>
      </c>
    </row>
    <row r="97607">
      <c r="A97607" s="1" t="n">
        <v>97606</v>
      </c>
      <c r="B97607">
        <f>TEXT(97606, "[$-0E0000]yyyy-mm-dd")</f>
        <v/>
      </c>
    </row>
    <row r="97608">
      <c r="A97608" s="1" t="n">
        <v>97607</v>
      </c>
      <c r="B97608">
        <f>TEXT(97607, "[$-0E0000]yyyy-mm-dd")</f>
        <v/>
      </c>
    </row>
    <row r="97609">
      <c r="A97609" s="1" t="n">
        <v>97608</v>
      </c>
      <c r="B97609">
        <f>TEXT(97608, "[$-0E0000]yyyy-mm-dd")</f>
        <v/>
      </c>
    </row>
    <row r="97610">
      <c r="A97610" s="1" t="n">
        <v>97609</v>
      </c>
      <c r="B97610">
        <f>TEXT(97609, "[$-0E0000]yyyy-mm-dd")</f>
        <v/>
      </c>
    </row>
    <row r="97611">
      <c r="A97611" s="1" t="n">
        <v>97610</v>
      </c>
      <c r="B97611">
        <f>TEXT(97610, "[$-0E0000]yyyy-mm-dd")</f>
        <v/>
      </c>
    </row>
    <row r="97612">
      <c r="A97612" s="1" t="n">
        <v>97611</v>
      </c>
      <c r="B97612">
        <f>TEXT(97611, "[$-0E0000]yyyy-mm-dd")</f>
        <v/>
      </c>
    </row>
    <row r="97613">
      <c r="A97613" s="1" t="n">
        <v>97612</v>
      </c>
      <c r="B97613">
        <f>TEXT(97612, "[$-0E0000]yyyy-mm-dd")</f>
        <v/>
      </c>
    </row>
    <row r="97614">
      <c r="A97614" s="1" t="n">
        <v>97613</v>
      </c>
      <c r="B97614">
        <f>TEXT(97613, "[$-0E0000]yyyy-mm-dd")</f>
        <v/>
      </c>
    </row>
    <row r="97615">
      <c r="A97615" s="1" t="n">
        <v>97614</v>
      </c>
      <c r="B97615">
        <f>TEXT(97614, "[$-0E0000]yyyy-mm-dd")</f>
        <v/>
      </c>
    </row>
    <row r="97616">
      <c r="A97616" s="1" t="n">
        <v>97615</v>
      </c>
      <c r="B97616">
        <f>TEXT(97615, "[$-0E0000]yyyy-mm-dd")</f>
        <v/>
      </c>
    </row>
    <row r="97617">
      <c r="A97617" s="1" t="n">
        <v>97616</v>
      </c>
      <c r="B97617">
        <f>TEXT(97616, "[$-0E0000]yyyy-mm-dd")</f>
        <v/>
      </c>
    </row>
    <row r="97618">
      <c r="A97618" s="1" t="n">
        <v>97617</v>
      </c>
      <c r="B97618">
        <f>TEXT(97617, "[$-0E0000]yyyy-mm-dd")</f>
        <v/>
      </c>
    </row>
    <row r="97619">
      <c r="A97619" s="1" t="n">
        <v>97618</v>
      </c>
      <c r="B97619">
        <f>TEXT(97618, "[$-0E0000]yyyy-mm-dd")</f>
        <v/>
      </c>
    </row>
    <row r="97620">
      <c r="A97620" s="1" t="n">
        <v>97619</v>
      </c>
      <c r="B97620">
        <f>TEXT(97619, "[$-0E0000]yyyy-mm-dd")</f>
        <v/>
      </c>
    </row>
    <row r="97621">
      <c r="A97621" s="1" t="n">
        <v>97620</v>
      </c>
      <c r="B97621">
        <f>TEXT(97620, "[$-0E0000]yyyy-mm-dd")</f>
        <v/>
      </c>
    </row>
    <row r="97622">
      <c r="A97622" s="1" t="n">
        <v>97621</v>
      </c>
      <c r="B97622">
        <f>TEXT(97621, "[$-0E0000]yyyy-mm-dd")</f>
        <v/>
      </c>
    </row>
    <row r="97623">
      <c r="A97623" s="1" t="n">
        <v>97622</v>
      </c>
      <c r="B97623">
        <f>TEXT(97622, "[$-0E0000]yyyy-mm-dd")</f>
        <v/>
      </c>
    </row>
    <row r="97624">
      <c r="A97624" s="1" t="n">
        <v>97623</v>
      </c>
      <c r="B97624">
        <f>TEXT(97623, "[$-0E0000]yyyy-mm-dd")</f>
        <v/>
      </c>
    </row>
    <row r="97625">
      <c r="A97625" s="1" t="n">
        <v>97624</v>
      </c>
      <c r="B97625">
        <f>TEXT(97624, "[$-0E0000]yyyy-mm-dd")</f>
        <v/>
      </c>
    </row>
    <row r="97626">
      <c r="A97626" s="1" t="n">
        <v>97625</v>
      </c>
      <c r="B97626">
        <f>TEXT(97625, "[$-0E0000]yyyy-mm-dd")</f>
        <v/>
      </c>
    </row>
    <row r="97627">
      <c r="A97627" s="1" t="n">
        <v>97626</v>
      </c>
      <c r="B97627">
        <f>TEXT(97626, "[$-0E0000]yyyy-mm-dd")</f>
        <v/>
      </c>
    </row>
    <row r="97628">
      <c r="A97628" s="1" t="n">
        <v>97627</v>
      </c>
      <c r="B97628">
        <f>TEXT(97627, "[$-0E0000]yyyy-mm-dd")</f>
        <v/>
      </c>
    </row>
    <row r="97629">
      <c r="A97629" s="1" t="n">
        <v>97628</v>
      </c>
      <c r="B97629">
        <f>TEXT(97628, "[$-0E0000]yyyy-mm-dd")</f>
        <v/>
      </c>
    </row>
    <row r="97630">
      <c r="A97630" s="1" t="n">
        <v>97629</v>
      </c>
      <c r="B97630">
        <f>TEXT(97629, "[$-0E0000]yyyy-mm-dd")</f>
        <v/>
      </c>
    </row>
    <row r="97631">
      <c r="A97631" s="1" t="n">
        <v>97630</v>
      </c>
      <c r="B97631">
        <f>TEXT(97630, "[$-0E0000]yyyy-mm-dd")</f>
        <v/>
      </c>
    </row>
    <row r="97632">
      <c r="A97632" s="1" t="n">
        <v>97631</v>
      </c>
      <c r="B97632">
        <f>TEXT(97631, "[$-0E0000]yyyy-mm-dd")</f>
        <v/>
      </c>
    </row>
    <row r="97633">
      <c r="A97633" s="1" t="n">
        <v>97632</v>
      </c>
      <c r="B97633">
        <f>TEXT(97632, "[$-0E0000]yyyy-mm-dd")</f>
        <v/>
      </c>
    </row>
    <row r="97634">
      <c r="A97634" s="1" t="n">
        <v>97633</v>
      </c>
      <c r="B97634">
        <f>TEXT(97633, "[$-0E0000]yyyy-mm-dd")</f>
        <v/>
      </c>
    </row>
    <row r="97635">
      <c r="A97635" s="1" t="n">
        <v>97634</v>
      </c>
      <c r="B97635">
        <f>TEXT(97634, "[$-0E0000]yyyy-mm-dd")</f>
        <v/>
      </c>
    </row>
    <row r="97636">
      <c r="A97636" s="1" t="n">
        <v>97635</v>
      </c>
      <c r="B97636">
        <f>TEXT(97635, "[$-0E0000]yyyy-mm-dd")</f>
        <v/>
      </c>
    </row>
    <row r="97637">
      <c r="A97637" s="1" t="n">
        <v>97636</v>
      </c>
      <c r="B97637">
        <f>TEXT(97636, "[$-0E0000]yyyy-mm-dd")</f>
        <v/>
      </c>
    </row>
    <row r="97638">
      <c r="A97638" s="1" t="n">
        <v>97637</v>
      </c>
      <c r="B97638">
        <f>TEXT(97637, "[$-0E0000]yyyy-mm-dd")</f>
        <v/>
      </c>
    </row>
    <row r="97639">
      <c r="A97639" s="1" t="n">
        <v>97638</v>
      </c>
      <c r="B97639">
        <f>TEXT(97638, "[$-0E0000]yyyy-mm-dd")</f>
        <v/>
      </c>
    </row>
    <row r="97640">
      <c r="A97640" s="1" t="n">
        <v>97639</v>
      </c>
      <c r="B97640">
        <f>TEXT(97639, "[$-0E0000]yyyy-mm-dd")</f>
        <v/>
      </c>
    </row>
    <row r="97641">
      <c r="A97641" s="1" t="n">
        <v>97640</v>
      </c>
      <c r="B97641">
        <f>TEXT(97640, "[$-0E0000]yyyy-mm-dd")</f>
        <v/>
      </c>
    </row>
    <row r="97642">
      <c r="A97642" s="1" t="n">
        <v>97641</v>
      </c>
      <c r="B97642">
        <f>TEXT(97641, "[$-0E0000]yyyy-mm-dd")</f>
        <v/>
      </c>
    </row>
    <row r="97643">
      <c r="A97643" s="1" t="n">
        <v>97642</v>
      </c>
      <c r="B97643">
        <f>TEXT(97642, "[$-0E0000]yyyy-mm-dd")</f>
        <v/>
      </c>
    </row>
    <row r="97644">
      <c r="A97644" s="1" t="n">
        <v>97643</v>
      </c>
      <c r="B97644">
        <f>TEXT(97643, "[$-0E0000]yyyy-mm-dd")</f>
        <v/>
      </c>
    </row>
    <row r="97645">
      <c r="A97645" s="1" t="n">
        <v>97644</v>
      </c>
      <c r="B97645">
        <f>TEXT(97644, "[$-0E0000]yyyy-mm-dd")</f>
        <v/>
      </c>
    </row>
    <row r="97646">
      <c r="A97646" s="1" t="n">
        <v>97645</v>
      </c>
      <c r="B97646">
        <f>TEXT(97645, "[$-0E0000]yyyy-mm-dd")</f>
        <v/>
      </c>
    </row>
    <row r="97647">
      <c r="A97647" s="1" t="n">
        <v>97646</v>
      </c>
      <c r="B97647">
        <f>TEXT(97646, "[$-0E0000]yyyy-mm-dd")</f>
        <v/>
      </c>
    </row>
    <row r="97648">
      <c r="A97648" s="1" t="n">
        <v>97647</v>
      </c>
      <c r="B97648">
        <f>TEXT(97647, "[$-0E0000]yyyy-mm-dd")</f>
        <v/>
      </c>
    </row>
    <row r="97649">
      <c r="A97649" s="1" t="n">
        <v>97648</v>
      </c>
      <c r="B97649">
        <f>TEXT(97648, "[$-0E0000]yyyy-mm-dd")</f>
        <v/>
      </c>
    </row>
    <row r="97650">
      <c r="A97650" s="1" t="n">
        <v>97649</v>
      </c>
      <c r="B97650">
        <f>TEXT(97649, "[$-0E0000]yyyy-mm-dd")</f>
        <v/>
      </c>
    </row>
    <row r="97651">
      <c r="A97651" s="1" t="n">
        <v>97650</v>
      </c>
      <c r="B97651">
        <f>TEXT(97650, "[$-0E0000]yyyy-mm-dd")</f>
        <v/>
      </c>
    </row>
    <row r="97652">
      <c r="A97652" s="1" t="n">
        <v>97651</v>
      </c>
      <c r="B97652">
        <f>TEXT(97651, "[$-0E0000]yyyy-mm-dd")</f>
        <v/>
      </c>
    </row>
    <row r="97653">
      <c r="A97653" s="1" t="n">
        <v>97652</v>
      </c>
      <c r="B97653">
        <f>TEXT(97652, "[$-0E0000]yyyy-mm-dd")</f>
        <v/>
      </c>
    </row>
    <row r="97654">
      <c r="A97654" s="1" t="n">
        <v>97653</v>
      </c>
      <c r="B97654">
        <f>TEXT(97653, "[$-0E0000]yyyy-mm-dd")</f>
        <v/>
      </c>
    </row>
    <row r="97655">
      <c r="A97655" s="1" t="n">
        <v>97654</v>
      </c>
      <c r="B97655">
        <f>TEXT(97654, "[$-0E0000]yyyy-mm-dd")</f>
        <v/>
      </c>
    </row>
    <row r="97656">
      <c r="A97656" s="1" t="n">
        <v>97655</v>
      </c>
      <c r="B97656">
        <f>TEXT(97655, "[$-0E0000]yyyy-mm-dd")</f>
        <v/>
      </c>
    </row>
    <row r="97657">
      <c r="A97657" s="1" t="n">
        <v>97656</v>
      </c>
      <c r="B97657">
        <f>TEXT(97656, "[$-0E0000]yyyy-mm-dd")</f>
        <v/>
      </c>
    </row>
    <row r="97658">
      <c r="A97658" s="1" t="n">
        <v>97657</v>
      </c>
      <c r="B97658">
        <f>TEXT(97657, "[$-0E0000]yyyy-mm-dd")</f>
        <v/>
      </c>
    </row>
    <row r="97659">
      <c r="A97659" s="1" t="n">
        <v>97658</v>
      </c>
      <c r="B97659">
        <f>TEXT(97658, "[$-0E0000]yyyy-mm-dd")</f>
        <v/>
      </c>
    </row>
    <row r="97660">
      <c r="A97660" s="1" t="n">
        <v>97659</v>
      </c>
      <c r="B97660">
        <f>TEXT(97659, "[$-0E0000]yyyy-mm-dd")</f>
        <v/>
      </c>
    </row>
    <row r="97661">
      <c r="A97661" s="1" t="n">
        <v>97660</v>
      </c>
      <c r="B97661">
        <f>TEXT(97660, "[$-0E0000]yyyy-mm-dd")</f>
        <v/>
      </c>
    </row>
    <row r="97662">
      <c r="A97662" s="1" t="n">
        <v>97661</v>
      </c>
      <c r="B97662">
        <f>TEXT(97661, "[$-0E0000]yyyy-mm-dd")</f>
        <v/>
      </c>
    </row>
    <row r="97663">
      <c r="A97663" s="1" t="n">
        <v>97662</v>
      </c>
      <c r="B97663">
        <f>TEXT(97662, "[$-0E0000]yyyy-mm-dd")</f>
        <v/>
      </c>
    </row>
    <row r="97664">
      <c r="A97664" s="1" t="n">
        <v>97663</v>
      </c>
      <c r="B97664">
        <f>TEXT(97663, "[$-0E0000]yyyy-mm-dd")</f>
        <v/>
      </c>
    </row>
    <row r="97665">
      <c r="A97665" s="1" t="n">
        <v>97664</v>
      </c>
      <c r="B97665">
        <f>TEXT(97664, "[$-0E0000]yyyy-mm-dd")</f>
        <v/>
      </c>
    </row>
    <row r="97666">
      <c r="A97666" s="1" t="n">
        <v>97665</v>
      </c>
      <c r="B97666">
        <f>TEXT(97665, "[$-0E0000]yyyy-mm-dd")</f>
        <v/>
      </c>
    </row>
    <row r="97667">
      <c r="A97667" s="1" t="n">
        <v>97666</v>
      </c>
      <c r="B97667">
        <f>TEXT(97666, "[$-0E0000]yyyy-mm-dd")</f>
        <v/>
      </c>
    </row>
    <row r="97668">
      <c r="A97668" s="1" t="n">
        <v>97667</v>
      </c>
      <c r="B97668">
        <f>TEXT(97667, "[$-0E0000]yyyy-mm-dd")</f>
        <v/>
      </c>
    </row>
    <row r="97669">
      <c r="A97669" s="1" t="n">
        <v>97668</v>
      </c>
      <c r="B97669">
        <f>TEXT(97668, "[$-0E0000]yyyy-mm-dd")</f>
        <v/>
      </c>
    </row>
    <row r="97670">
      <c r="A97670" s="1" t="n">
        <v>97669</v>
      </c>
      <c r="B97670">
        <f>TEXT(97669, "[$-0E0000]yyyy-mm-dd")</f>
        <v/>
      </c>
    </row>
    <row r="97671">
      <c r="A97671" s="1" t="n">
        <v>97670</v>
      </c>
      <c r="B97671">
        <f>TEXT(97670, "[$-0E0000]yyyy-mm-dd")</f>
        <v/>
      </c>
    </row>
    <row r="97672">
      <c r="A97672" s="1" t="n">
        <v>97671</v>
      </c>
      <c r="B97672">
        <f>TEXT(97671, "[$-0E0000]yyyy-mm-dd")</f>
        <v/>
      </c>
    </row>
    <row r="97673">
      <c r="A97673" s="1" t="n">
        <v>97672</v>
      </c>
      <c r="B97673">
        <f>TEXT(97672, "[$-0E0000]yyyy-mm-dd")</f>
        <v/>
      </c>
    </row>
    <row r="97674">
      <c r="A97674" s="1" t="n">
        <v>97673</v>
      </c>
      <c r="B97674">
        <f>TEXT(97673, "[$-0E0000]yyyy-mm-dd")</f>
        <v/>
      </c>
    </row>
    <row r="97675">
      <c r="A97675" s="1" t="n">
        <v>97674</v>
      </c>
      <c r="B97675">
        <f>TEXT(97674, "[$-0E0000]yyyy-mm-dd")</f>
        <v/>
      </c>
    </row>
    <row r="97676">
      <c r="A97676" s="1" t="n">
        <v>97675</v>
      </c>
      <c r="B97676">
        <f>TEXT(97675, "[$-0E0000]yyyy-mm-dd")</f>
        <v/>
      </c>
    </row>
    <row r="97677">
      <c r="A97677" s="1" t="n">
        <v>97676</v>
      </c>
      <c r="B97677">
        <f>TEXT(97676, "[$-0E0000]yyyy-mm-dd")</f>
        <v/>
      </c>
    </row>
    <row r="97678">
      <c r="A97678" s="1" t="n">
        <v>97677</v>
      </c>
      <c r="B97678">
        <f>TEXT(97677, "[$-0E0000]yyyy-mm-dd")</f>
        <v/>
      </c>
    </row>
    <row r="97679">
      <c r="A97679" s="1" t="n">
        <v>97678</v>
      </c>
      <c r="B97679">
        <f>TEXT(97678, "[$-0E0000]yyyy-mm-dd")</f>
        <v/>
      </c>
    </row>
    <row r="97680">
      <c r="A97680" s="1" t="n">
        <v>97679</v>
      </c>
      <c r="B97680">
        <f>TEXT(97679, "[$-0E0000]yyyy-mm-dd")</f>
        <v/>
      </c>
    </row>
    <row r="97681">
      <c r="A97681" s="1" t="n">
        <v>97680</v>
      </c>
      <c r="B97681">
        <f>TEXT(97680, "[$-0E0000]yyyy-mm-dd")</f>
        <v/>
      </c>
    </row>
    <row r="97682">
      <c r="A97682" s="1" t="n">
        <v>97681</v>
      </c>
      <c r="B97682">
        <f>TEXT(97681, "[$-0E0000]yyyy-mm-dd")</f>
        <v/>
      </c>
    </row>
    <row r="97683">
      <c r="A97683" s="1" t="n">
        <v>97682</v>
      </c>
      <c r="B97683">
        <f>TEXT(97682, "[$-0E0000]yyyy-mm-dd")</f>
        <v/>
      </c>
    </row>
    <row r="97684">
      <c r="A97684" s="1" t="n">
        <v>97683</v>
      </c>
      <c r="B97684">
        <f>TEXT(97683, "[$-0E0000]yyyy-mm-dd")</f>
        <v/>
      </c>
    </row>
    <row r="97685">
      <c r="A97685" s="1" t="n">
        <v>97684</v>
      </c>
      <c r="B97685">
        <f>TEXT(97684, "[$-0E0000]yyyy-mm-dd")</f>
        <v/>
      </c>
    </row>
    <row r="97686">
      <c r="A97686" s="1" t="n">
        <v>97685</v>
      </c>
      <c r="B97686">
        <f>TEXT(97685, "[$-0E0000]yyyy-mm-dd")</f>
        <v/>
      </c>
    </row>
    <row r="97687">
      <c r="A97687" s="1" t="n">
        <v>97686</v>
      </c>
      <c r="B97687">
        <f>TEXT(97686, "[$-0E0000]yyyy-mm-dd")</f>
        <v/>
      </c>
    </row>
    <row r="97688">
      <c r="A97688" s="1" t="n">
        <v>97687</v>
      </c>
      <c r="B97688">
        <f>TEXT(97687, "[$-0E0000]yyyy-mm-dd")</f>
        <v/>
      </c>
    </row>
    <row r="97689">
      <c r="A97689" s="1" t="n">
        <v>97688</v>
      </c>
      <c r="B97689">
        <f>TEXT(97688, "[$-0E0000]yyyy-mm-dd")</f>
        <v/>
      </c>
    </row>
    <row r="97690">
      <c r="A97690" s="1" t="n">
        <v>97689</v>
      </c>
      <c r="B97690">
        <f>TEXT(97689, "[$-0E0000]yyyy-mm-dd")</f>
        <v/>
      </c>
    </row>
    <row r="97691">
      <c r="A97691" s="1" t="n">
        <v>97690</v>
      </c>
      <c r="B97691">
        <f>TEXT(97690, "[$-0E0000]yyyy-mm-dd")</f>
        <v/>
      </c>
    </row>
    <row r="97692">
      <c r="A97692" s="1" t="n">
        <v>97691</v>
      </c>
      <c r="B97692">
        <f>TEXT(97691, "[$-0E0000]yyyy-mm-dd")</f>
        <v/>
      </c>
    </row>
    <row r="97693">
      <c r="A97693" s="1" t="n">
        <v>97692</v>
      </c>
      <c r="B97693">
        <f>TEXT(97692, "[$-0E0000]yyyy-mm-dd")</f>
        <v/>
      </c>
    </row>
    <row r="97694">
      <c r="A97694" s="1" t="n">
        <v>97693</v>
      </c>
      <c r="B97694">
        <f>TEXT(97693, "[$-0E0000]yyyy-mm-dd")</f>
        <v/>
      </c>
    </row>
    <row r="97695">
      <c r="A97695" s="1" t="n">
        <v>97694</v>
      </c>
      <c r="B97695">
        <f>TEXT(97694, "[$-0E0000]yyyy-mm-dd")</f>
        <v/>
      </c>
    </row>
    <row r="97696">
      <c r="A97696" s="1" t="n">
        <v>97695</v>
      </c>
      <c r="B97696">
        <f>TEXT(97695, "[$-0E0000]yyyy-mm-dd")</f>
        <v/>
      </c>
    </row>
    <row r="97697">
      <c r="A97697" s="1" t="n">
        <v>97696</v>
      </c>
      <c r="B97697">
        <f>TEXT(97696, "[$-0E0000]yyyy-mm-dd")</f>
        <v/>
      </c>
    </row>
    <row r="97698">
      <c r="A97698" s="1" t="n">
        <v>97697</v>
      </c>
      <c r="B97698">
        <f>TEXT(97697, "[$-0E0000]yyyy-mm-dd")</f>
        <v/>
      </c>
    </row>
    <row r="97699">
      <c r="A97699" s="1" t="n">
        <v>97698</v>
      </c>
      <c r="B97699">
        <f>TEXT(97698, "[$-0E0000]yyyy-mm-dd")</f>
        <v/>
      </c>
    </row>
    <row r="97700">
      <c r="A97700" s="1" t="n">
        <v>97699</v>
      </c>
      <c r="B97700">
        <f>TEXT(97699, "[$-0E0000]yyyy-mm-dd")</f>
        <v/>
      </c>
    </row>
    <row r="97701">
      <c r="A97701" s="1" t="n">
        <v>97700</v>
      </c>
      <c r="B97701">
        <f>TEXT(97700, "[$-0E0000]yyyy-mm-dd")</f>
        <v/>
      </c>
    </row>
    <row r="97702">
      <c r="A97702" s="1" t="n">
        <v>97701</v>
      </c>
      <c r="B97702">
        <f>TEXT(97701, "[$-0E0000]yyyy-mm-dd")</f>
        <v/>
      </c>
    </row>
    <row r="97703">
      <c r="A97703" s="1" t="n">
        <v>97702</v>
      </c>
      <c r="B97703">
        <f>TEXT(97702, "[$-0E0000]yyyy-mm-dd")</f>
        <v/>
      </c>
    </row>
    <row r="97704">
      <c r="A97704" s="1" t="n">
        <v>97703</v>
      </c>
      <c r="B97704">
        <f>TEXT(97703, "[$-0E0000]yyyy-mm-dd")</f>
        <v/>
      </c>
    </row>
    <row r="97705">
      <c r="A97705" s="1" t="n">
        <v>97704</v>
      </c>
      <c r="B97705">
        <f>TEXT(97704, "[$-0E0000]yyyy-mm-dd")</f>
        <v/>
      </c>
    </row>
    <row r="97706">
      <c r="A97706" s="1" t="n">
        <v>97705</v>
      </c>
      <c r="B97706">
        <f>TEXT(97705, "[$-0E0000]yyyy-mm-dd")</f>
        <v/>
      </c>
    </row>
    <row r="97707">
      <c r="A97707" s="1" t="n">
        <v>97706</v>
      </c>
      <c r="B97707">
        <f>TEXT(97706, "[$-0E0000]yyyy-mm-dd")</f>
        <v/>
      </c>
    </row>
    <row r="97708">
      <c r="A97708" s="1" t="n">
        <v>97707</v>
      </c>
      <c r="B97708">
        <f>TEXT(97707, "[$-0E0000]yyyy-mm-dd")</f>
        <v/>
      </c>
    </row>
    <row r="97709">
      <c r="A97709" s="1" t="n">
        <v>97708</v>
      </c>
      <c r="B97709">
        <f>TEXT(97708, "[$-0E0000]yyyy-mm-dd")</f>
        <v/>
      </c>
    </row>
    <row r="97710">
      <c r="A97710" s="1" t="n">
        <v>97709</v>
      </c>
      <c r="B97710">
        <f>TEXT(97709, "[$-0E0000]yyyy-mm-dd")</f>
        <v/>
      </c>
    </row>
    <row r="97711">
      <c r="A97711" s="1" t="n">
        <v>97710</v>
      </c>
      <c r="B97711">
        <f>TEXT(97710, "[$-0E0000]yyyy-mm-dd")</f>
        <v/>
      </c>
    </row>
    <row r="97712">
      <c r="A97712" s="1" t="n">
        <v>97711</v>
      </c>
      <c r="B97712">
        <f>TEXT(97711, "[$-0E0000]yyyy-mm-dd")</f>
        <v/>
      </c>
    </row>
    <row r="97713">
      <c r="A97713" s="1" t="n">
        <v>97712</v>
      </c>
      <c r="B97713">
        <f>TEXT(97712, "[$-0E0000]yyyy-mm-dd")</f>
        <v/>
      </c>
    </row>
    <row r="97714">
      <c r="A97714" s="1" t="n">
        <v>97713</v>
      </c>
      <c r="B97714">
        <f>TEXT(97713, "[$-0E0000]yyyy-mm-dd")</f>
        <v/>
      </c>
    </row>
    <row r="97715">
      <c r="A97715" s="1" t="n">
        <v>97714</v>
      </c>
      <c r="B97715">
        <f>TEXT(97714, "[$-0E0000]yyyy-mm-dd")</f>
        <v/>
      </c>
    </row>
    <row r="97716">
      <c r="A97716" s="1" t="n">
        <v>97715</v>
      </c>
      <c r="B97716">
        <f>TEXT(97715, "[$-0E0000]yyyy-mm-dd")</f>
        <v/>
      </c>
    </row>
    <row r="97717">
      <c r="A97717" s="1" t="n">
        <v>97716</v>
      </c>
      <c r="B97717">
        <f>TEXT(97716, "[$-0E0000]yyyy-mm-dd")</f>
        <v/>
      </c>
    </row>
    <row r="97718">
      <c r="A97718" s="1" t="n">
        <v>97717</v>
      </c>
      <c r="B97718">
        <f>TEXT(97717, "[$-0E0000]yyyy-mm-dd")</f>
        <v/>
      </c>
    </row>
    <row r="97719">
      <c r="A97719" s="1" t="n">
        <v>97718</v>
      </c>
      <c r="B97719">
        <f>TEXT(97718, "[$-0E0000]yyyy-mm-dd")</f>
        <v/>
      </c>
    </row>
    <row r="97720">
      <c r="A97720" s="1" t="n">
        <v>97719</v>
      </c>
      <c r="B97720">
        <f>TEXT(97719, "[$-0E0000]yyyy-mm-dd")</f>
        <v/>
      </c>
    </row>
    <row r="97721">
      <c r="A97721" s="1" t="n">
        <v>97720</v>
      </c>
      <c r="B97721">
        <f>TEXT(97720, "[$-0E0000]yyyy-mm-dd")</f>
        <v/>
      </c>
    </row>
    <row r="97722">
      <c r="A97722" s="1" t="n">
        <v>97721</v>
      </c>
      <c r="B97722">
        <f>TEXT(97721, "[$-0E0000]yyyy-mm-dd")</f>
        <v/>
      </c>
    </row>
    <row r="97723">
      <c r="A97723" s="1" t="n">
        <v>97722</v>
      </c>
      <c r="B97723">
        <f>TEXT(97722, "[$-0E0000]yyyy-mm-dd")</f>
        <v/>
      </c>
    </row>
    <row r="97724">
      <c r="A97724" s="1" t="n">
        <v>97723</v>
      </c>
      <c r="B97724">
        <f>TEXT(97723, "[$-0E0000]yyyy-mm-dd")</f>
        <v/>
      </c>
    </row>
    <row r="97725">
      <c r="A97725" s="1" t="n">
        <v>97724</v>
      </c>
      <c r="B97725">
        <f>TEXT(97724, "[$-0E0000]yyyy-mm-dd")</f>
        <v/>
      </c>
    </row>
    <row r="97726">
      <c r="A97726" s="1" t="n">
        <v>97725</v>
      </c>
      <c r="B97726">
        <f>TEXT(97725, "[$-0E0000]yyyy-mm-dd")</f>
        <v/>
      </c>
    </row>
    <row r="97727">
      <c r="A97727" s="1" t="n">
        <v>97726</v>
      </c>
      <c r="B97727">
        <f>TEXT(97726, "[$-0E0000]yyyy-mm-dd")</f>
        <v/>
      </c>
    </row>
    <row r="97728">
      <c r="A97728" s="1" t="n">
        <v>97727</v>
      </c>
      <c r="B97728">
        <f>TEXT(97727, "[$-0E0000]yyyy-mm-dd")</f>
        <v/>
      </c>
    </row>
    <row r="97729">
      <c r="A97729" s="1" t="n">
        <v>97728</v>
      </c>
      <c r="B97729">
        <f>TEXT(97728, "[$-0E0000]yyyy-mm-dd")</f>
        <v/>
      </c>
    </row>
    <row r="97730">
      <c r="A97730" s="1" t="n">
        <v>97729</v>
      </c>
      <c r="B97730">
        <f>TEXT(97729, "[$-0E0000]yyyy-mm-dd")</f>
        <v/>
      </c>
    </row>
    <row r="97731">
      <c r="A97731" s="1" t="n">
        <v>97730</v>
      </c>
      <c r="B97731">
        <f>TEXT(97730, "[$-0E0000]yyyy-mm-dd")</f>
        <v/>
      </c>
    </row>
    <row r="97732">
      <c r="A97732" s="1" t="n">
        <v>97731</v>
      </c>
      <c r="B97732">
        <f>TEXT(97731, "[$-0E0000]yyyy-mm-dd")</f>
        <v/>
      </c>
    </row>
    <row r="97733">
      <c r="A97733" s="1" t="n">
        <v>97732</v>
      </c>
      <c r="B97733">
        <f>TEXT(97732, "[$-0E0000]yyyy-mm-dd")</f>
        <v/>
      </c>
    </row>
    <row r="97734">
      <c r="A97734" s="1" t="n">
        <v>97733</v>
      </c>
      <c r="B97734">
        <f>TEXT(97733, "[$-0E0000]yyyy-mm-dd")</f>
        <v/>
      </c>
    </row>
    <row r="97735">
      <c r="A97735" s="1" t="n">
        <v>97734</v>
      </c>
      <c r="B97735">
        <f>TEXT(97734, "[$-0E0000]yyyy-mm-dd")</f>
        <v/>
      </c>
    </row>
    <row r="97736">
      <c r="A97736" s="1" t="n">
        <v>97735</v>
      </c>
      <c r="B97736">
        <f>TEXT(97735, "[$-0E0000]yyyy-mm-dd")</f>
        <v/>
      </c>
    </row>
    <row r="97737">
      <c r="A97737" s="1" t="n">
        <v>97736</v>
      </c>
      <c r="B97737">
        <f>TEXT(97736, "[$-0E0000]yyyy-mm-dd")</f>
        <v/>
      </c>
    </row>
    <row r="97738">
      <c r="A97738" s="1" t="n">
        <v>97737</v>
      </c>
      <c r="B97738">
        <f>TEXT(97737, "[$-0E0000]yyyy-mm-dd")</f>
        <v/>
      </c>
    </row>
    <row r="97739">
      <c r="A97739" s="1" t="n">
        <v>97738</v>
      </c>
      <c r="B97739">
        <f>TEXT(97738, "[$-0E0000]yyyy-mm-dd")</f>
        <v/>
      </c>
    </row>
    <row r="97740">
      <c r="A97740" s="1" t="n">
        <v>97739</v>
      </c>
      <c r="B97740">
        <f>TEXT(97739, "[$-0E0000]yyyy-mm-dd")</f>
        <v/>
      </c>
    </row>
    <row r="97741">
      <c r="A97741" s="1" t="n">
        <v>97740</v>
      </c>
      <c r="B97741">
        <f>TEXT(97740, "[$-0E0000]yyyy-mm-dd")</f>
        <v/>
      </c>
    </row>
    <row r="97742">
      <c r="A97742" s="1" t="n">
        <v>97741</v>
      </c>
      <c r="B97742">
        <f>TEXT(97741, "[$-0E0000]yyyy-mm-dd")</f>
        <v/>
      </c>
    </row>
    <row r="97743">
      <c r="A97743" s="1" t="n">
        <v>97742</v>
      </c>
      <c r="B97743">
        <f>TEXT(97742, "[$-0E0000]yyyy-mm-dd")</f>
        <v/>
      </c>
    </row>
    <row r="97744">
      <c r="A97744" s="1" t="n">
        <v>97743</v>
      </c>
      <c r="B97744">
        <f>TEXT(97743, "[$-0E0000]yyyy-mm-dd")</f>
        <v/>
      </c>
    </row>
    <row r="97745">
      <c r="A97745" s="1" t="n">
        <v>97744</v>
      </c>
      <c r="B97745">
        <f>TEXT(97744, "[$-0E0000]yyyy-mm-dd")</f>
        <v/>
      </c>
    </row>
    <row r="97746">
      <c r="A97746" s="1" t="n">
        <v>97745</v>
      </c>
      <c r="B97746">
        <f>TEXT(97745, "[$-0E0000]yyyy-mm-dd")</f>
        <v/>
      </c>
    </row>
    <row r="97747">
      <c r="A97747" s="1" t="n">
        <v>97746</v>
      </c>
      <c r="B97747">
        <f>TEXT(97746, "[$-0E0000]yyyy-mm-dd")</f>
        <v/>
      </c>
    </row>
    <row r="97748">
      <c r="A97748" s="1" t="n">
        <v>97747</v>
      </c>
      <c r="B97748">
        <f>TEXT(97747, "[$-0E0000]yyyy-mm-dd")</f>
        <v/>
      </c>
    </row>
    <row r="97749">
      <c r="A97749" s="1" t="n">
        <v>97748</v>
      </c>
      <c r="B97749">
        <f>TEXT(97748, "[$-0E0000]yyyy-mm-dd")</f>
        <v/>
      </c>
    </row>
    <row r="97750">
      <c r="A97750" s="1" t="n">
        <v>97749</v>
      </c>
      <c r="B97750">
        <f>TEXT(97749, "[$-0E0000]yyyy-mm-dd")</f>
        <v/>
      </c>
    </row>
    <row r="97751">
      <c r="A97751" s="1" t="n">
        <v>97750</v>
      </c>
      <c r="B97751">
        <f>TEXT(97750, "[$-0E0000]yyyy-mm-dd")</f>
        <v/>
      </c>
    </row>
    <row r="97752">
      <c r="A97752" s="1" t="n">
        <v>97751</v>
      </c>
      <c r="B97752">
        <f>TEXT(97751, "[$-0E0000]yyyy-mm-dd")</f>
        <v/>
      </c>
    </row>
    <row r="97753">
      <c r="A97753" s="1" t="n">
        <v>97752</v>
      </c>
      <c r="B97753">
        <f>TEXT(97752, "[$-0E0000]yyyy-mm-dd")</f>
        <v/>
      </c>
    </row>
    <row r="97754">
      <c r="A97754" s="1" t="n">
        <v>97753</v>
      </c>
      <c r="B97754">
        <f>TEXT(97753, "[$-0E0000]yyyy-mm-dd")</f>
        <v/>
      </c>
    </row>
    <row r="97755">
      <c r="A97755" s="1" t="n">
        <v>97754</v>
      </c>
      <c r="B97755">
        <f>TEXT(97754, "[$-0E0000]yyyy-mm-dd")</f>
        <v/>
      </c>
    </row>
    <row r="97756">
      <c r="A97756" s="1" t="n">
        <v>97755</v>
      </c>
      <c r="B97756">
        <f>TEXT(97755, "[$-0E0000]yyyy-mm-dd")</f>
        <v/>
      </c>
    </row>
    <row r="97757">
      <c r="A97757" s="1" t="n">
        <v>97756</v>
      </c>
      <c r="B97757">
        <f>TEXT(97756, "[$-0E0000]yyyy-mm-dd")</f>
        <v/>
      </c>
    </row>
    <row r="97758">
      <c r="A97758" s="1" t="n">
        <v>97757</v>
      </c>
      <c r="B97758">
        <f>TEXT(97757, "[$-0E0000]yyyy-mm-dd")</f>
        <v/>
      </c>
    </row>
    <row r="97759">
      <c r="A97759" s="1" t="n">
        <v>97758</v>
      </c>
      <c r="B97759">
        <f>TEXT(97758, "[$-0E0000]yyyy-mm-dd")</f>
        <v/>
      </c>
    </row>
    <row r="97760">
      <c r="A97760" s="1" t="n">
        <v>97759</v>
      </c>
      <c r="B97760">
        <f>TEXT(97759, "[$-0E0000]yyyy-mm-dd")</f>
        <v/>
      </c>
    </row>
    <row r="97761">
      <c r="A97761" s="1" t="n">
        <v>97760</v>
      </c>
      <c r="B97761">
        <f>TEXT(97760, "[$-0E0000]yyyy-mm-dd")</f>
        <v/>
      </c>
    </row>
    <row r="97762">
      <c r="A97762" s="1" t="n">
        <v>97761</v>
      </c>
      <c r="B97762">
        <f>TEXT(97761, "[$-0E0000]yyyy-mm-dd")</f>
        <v/>
      </c>
    </row>
    <row r="97763">
      <c r="A97763" s="1" t="n">
        <v>97762</v>
      </c>
      <c r="B97763">
        <f>TEXT(97762, "[$-0E0000]yyyy-mm-dd")</f>
        <v/>
      </c>
    </row>
    <row r="97764">
      <c r="A97764" s="1" t="n">
        <v>97763</v>
      </c>
      <c r="B97764">
        <f>TEXT(97763, "[$-0E0000]yyyy-mm-dd")</f>
        <v/>
      </c>
    </row>
    <row r="97765">
      <c r="A97765" s="1" t="n">
        <v>97764</v>
      </c>
      <c r="B97765">
        <f>TEXT(97764, "[$-0E0000]yyyy-mm-dd")</f>
        <v/>
      </c>
    </row>
    <row r="97766">
      <c r="A97766" s="1" t="n">
        <v>97765</v>
      </c>
      <c r="B97766">
        <f>TEXT(97765, "[$-0E0000]yyyy-mm-dd")</f>
        <v/>
      </c>
    </row>
    <row r="97767">
      <c r="A97767" s="1" t="n">
        <v>97766</v>
      </c>
      <c r="B97767">
        <f>TEXT(97766, "[$-0E0000]yyyy-mm-dd")</f>
        <v/>
      </c>
    </row>
    <row r="97768">
      <c r="A97768" s="1" t="n">
        <v>97767</v>
      </c>
      <c r="B97768">
        <f>TEXT(97767, "[$-0E0000]yyyy-mm-dd")</f>
        <v/>
      </c>
    </row>
    <row r="97769">
      <c r="A97769" s="1" t="n">
        <v>97768</v>
      </c>
      <c r="B97769">
        <f>TEXT(97768, "[$-0E0000]yyyy-mm-dd")</f>
        <v/>
      </c>
    </row>
    <row r="97770">
      <c r="A97770" s="1" t="n">
        <v>97769</v>
      </c>
      <c r="B97770">
        <f>TEXT(97769, "[$-0E0000]yyyy-mm-dd")</f>
        <v/>
      </c>
    </row>
    <row r="97771">
      <c r="A97771" s="1" t="n">
        <v>97770</v>
      </c>
      <c r="B97771">
        <f>TEXT(97770, "[$-0E0000]yyyy-mm-dd")</f>
        <v/>
      </c>
    </row>
    <row r="97772">
      <c r="A97772" s="1" t="n">
        <v>97771</v>
      </c>
      <c r="B97772">
        <f>TEXT(97771, "[$-0E0000]yyyy-mm-dd")</f>
        <v/>
      </c>
    </row>
    <row r="97773">
      <c r="A97773" s="1" t="n">
        <v>97772</v>
      </c>
      <c r="B97773">
        <f>TEXT(97772, "[$-0E0000]yyyy-mm-dd")</f>
        <v/>
      </c>
    </row>
    <row r="97774">
      <c r="A97774" s="1" t="n">
        <v>97773</v>
      </c>
      <c r="B97774">
        <f>TEXT(97773, "[$-0E0000]yyyy-mm-dd")</f>
        <v/>
      </c>
    </row>
    <row r="97775">
      <c r="A97775" s="1" t="n">
        <v>97774</v>
      </c>
      <c r="B97775">
        <f>TEXT(97774, "[$-0E0000]yyyy-mm-dd")</f>
        <v/>
      </c>
    </row>
    <row r="97776">
      <c r="A97776" s="1" t="n">
        <v>97775</v>
      </c>
      <c r="B97776">
        <f>TEXT(97775, "[$-0E0000]yyyy-mm-dd")</f>
        <v/>
      </c>
    </row>
    <row r="97777">
      <c r="A97777" s="1" t="n">
        <v>97776</v>
      </c>
      <c r="B97777">
        <f>TEXT(97776, "[$-0E0000]yyyy-mm-dd")</f>
        <v/>
      </c>
    </row>
    <row r="97778">
      <c r="A97778" s="1" t="n">
        <v>97777</v>
      </c>
      <c r="B97778">
        <f>TEXT(97777, "[$-0E0000]yyyy-mm-dd")</f>
        <v/>
      </c>
    </row>
    <row r="97779">
      <c r="A97779" s="1" t="n">
        <v>97778</v>
      </c>
      <c r="B97779">
        <f>TEXT(97778, "[$-0E0000]yyyy-mm-dd")</f>
        <v/>
      </c>
    </row>
    <row r="97780">
      <c r="A97780" s="1" t="n">
        <v>97779</v>
      </c>
      <c r="B97780">
        <f>TEXT(97779, "[$-0E0000]yyyy-mm-dd")</f>
        <v/>
      </c>
    </row>
    <row r="97781">
      <c r="A97781" s="1" t="n">
        <v>97780</v>
      </c>
      <c r="B97781">
        <f>TEXT(97780, "[$-0E0000]yyyy-mm-dd")</f>
        <v/>
      </c>
    </row>
    <row r="97782">
      <c r="A97782" s="1" t="n">
        <v>97781</v>
      </c>
      <c r="B97782">
        <f>TEXT(97781, "[$-0E0000]yyyy-mm-dd")</f>
        <v/>
      </c>
    </row>
    <row r="97783">
      <c r="A97783" s="1" t="n">
        <v>97782</v>
      </c>
      <c r="B97783">
        <f>TEXT(97782, "[$-0E0000]yyyy-mm-dd")</f>
        <v/>
      </c>
    </row>
    <row r="97784">
      <c r="A97784" s="1" t="n">
        <v>97783</v>
      </c>
      <c r="B97784">
        <f>TEXT(97783, "[$-0E0000]yyyy-mm-dd")</f>
        <v/>
      </c>
    </row>
    <row r="97785">
      <c r="A97785" s="1" t="n">
        <v>97784</v>
      </c>
      <c r="B97785">
        <f>TEXT(97784, "[$-0E0000]yyyy-mm-dd")</f>
        <v/>
      </c>
    </row>
    <row r="97786">
      <c r="A97786" s="1" t="n">
        <v>97785</v>
      </c>
      <c r="B97786">
        <f>TEXT(97785, "[$-0E0000]yyyy-mm-dd")</f>
        <v/>
      </c>
    </row>
    <row r="97787">
      <c r="A97787" s="1" t="n">
        <v>97786</v>
      </c>
      <c r="B97787">
        <f>TEXT(97786, "[$-0E0000]yyyy-mm-dd")</f>
        <v/>
      </c>
    </row>
    <row r="97788">
      <c r="A97788" s="1" t="n">
        <v>97787</v>
      </c>
      <c r="B97788">
        <f>TEXT(97787, "[$-0E0000]yyyy-mm-dd")</f>
        <v/>
      </c>
    </row>
    <row r="97789">
      <c r="A97789" s="1" t="n">
        <v>97788</v>
      </c>
      <c r="B97789">
        <f>TEXT(97788, "[$-0E0000]yyyy-mm-dd")</f>
        <v/>
      </c>
    </row>
    <row r="97790">
      <c r="A97790" s="1" t="n">
        <v>97789</v>
      </c>
      <c r="B97790">
        <f>TEXT(97789, "[$-0E0000]yyyy-mm-dd")</f>
        <v/>
      </c>
    </row>
    <row r="97791">
      <c r="A97791" s="1" t="n">
        <v>97790</v>
      </c>
      <c r="B97791">
        <f>TEXT(97790, "[$-0E0000]yyyy-mm-dd")</f>
        <v/>
      </c>
    </row>
    <row r="97792">
      <c r="A97792" s="1" t="n">
        <v>97791</v>
      </c>
      <c r="B97792">
        <f>TEXT(97791, "[$-0E0000]yyyy-mm-dd")</f>
        <v/>
      </c>
    </row>
    <row r="97793">
      <c r="A97793" s="1" t="n">
        <v>97792</v>
      </c>
      <c r="B97793">
        <f>TEXT(97792, "[$-0E0000]yyyy-mm-dd")</f>
        <v/>
      </c>
    </row>
    <row r="97794">
      <c r="A97794" s="1" t="n">
        <v>97793</v>
      </c>
      <c r="B97794">
        <f>TEXT(97793, "[$-0E0000]yyyy-mm-dd")</f>
        <v/>
      </c>
    </row>
    <row r="97795">
      <c r="A97795" s="1" t="n">
        <v>97794</v>
      </c>
      <c r="B97795">
        <f>TEXT(97794, "[$-0E0000]yyyy-mm-dd")</f>
        <v/>
      </c>
    </row>
    <row r="97796">
      <c r="A97796" s="1" t="n">
        <v>97795</v>
      </c>
      <c r="B97796">
        <f>TEXT(97795, "[$-0E0000]yyyy-mm-dd")</f>
        <v/>
      </c>
    </row>
    <row r="97797">
      <c r="A97797" s="1" t="n">
        <v>97796</v>
      </c>
      <c r="B97797">
        <f>TEXT(97796, "[$-0E0000]yyyy-mm-dd")</f>
        <v/>
      </c>
    </row>
    <row r="97798">
      <c r="A97798" s="1" t="n">
        <v>97797</v>
      </c>
      <c r="B97798">
        <f>TEXT(97797, "[$-0E0000]yyyy-mm-dd")</f>
        <v/>
      </c>
    </row>
    <row r="97799">
      <c r="A97799" s="1" t="n">
        <v>97798</v>
      </c>
      <c r="B97799">
        <f>TEXT(97798, "[$-0E0000]yyyy-mm-dd")</f>
        <v/>
      </c>
    </row>
    <row r="97800">
      <c r="A97800" s="1" t="n">
        <v>97799</v>
      </c>
      <c r="B97800">
        <f>TEXT(97799, "[$-0E0000]yyyy-mm-dd")</f>
        <v/>
      </c>
    </row>
    <row r="97801">
      <c r="A97801" s="1" t="n">
        <v>97800</v>
      </c>
      <c r="B97801">
        <f>TEXT(97800, "[$-0E0000]yyyy-mm-dd")</f>
        <v/>
      </c>
    </row>
    <row r="97802">
      <c r="A97802" s="1" t="n">
        <v>97801</v>
      </c>
      <c r="B97802">
        <f>TEXT(97801, "[$-0E0000]yyyy-mm-dd")</f>
        <v/>
      </c>
    </row>
    <row r="97803">
      <c r="A97803" s="1" t="n">
        <v>97802</v>
      </c>
      <c r="B97803">
        <f>TEXT(97802, "[$-0E0000]yyyy-mm-dd")</f>
        <v/>
      </c>
    </row>
    <row r="97804">
      <c r="A97804" s="1" t="n">
        <v>97803</v>
      </c>
      <c r="B97804">
        <f>TEXT(97803, "[$-0E0000]yyyy-mm-dd")</f>
        <v/>
      </c>
    </row>
    <row r="97805">
      <c r="A97805" s="1" t="n">
        <v>97804</v>
      </c>
      <c r="B97805">
        <f>TEXT(97804, "[$-0E0000]yyyy-mm-dd")</f>
        <v/>
      </c>
    </row>
    <row r="97806">
      <c r="A97806" s="1" t="n">
        <v>97805</v>
      </c>
      <c r="B97806">
        <f>TEXT(97805, "[$-0E0000]yyyy-mm-dd")</f>
        <v/>
      </c>
    </row>
    <row r="97807">
      <c r="A97807" s="1" t="n">
        <v>97806</v>
      </c>
      <c r="B97807">
        <f>TEXT(97806, "[$-0E0000]yyyy-mm-dd")</f>
        <v/>
      </c>
    </row>
    <row r="97808">
      <c r="A97808" s="1" t="n">
        <v>97807</v>
      </c>
      <c r="B97808">
        <f>TEXT(97807, "[$-0E0000]yyyy-mm-dd")</f>
        <v/>
      </c>
    </row>
    <row r="97809">
      <c r="A97809" s="1" t="n">
        <v>97808</v>
      </c>
      <c r="B97809">
        <f>TEXT(97808, "[$-0E0000]yyyy-mm-dd")</f>
        <v/>
      </c>
    </row>
    <row r="97810">
      <c r="A97810" s="1" t="n">
        <v>97809</v>
      </c>
      <c r="B97810">
        <f>TEXT(97809, "[$-0E0000]yyyy-mm-dd")</f>
        <v/>
      </c>
    </row>
    <row r="97811">
      <c r="A97811" s="1" t="n">
        <v>97810</v>
      </c>
      <c r="B97811">
        <f>TEXT(97810, "[$-0E0000]yyyy-mm-dd")</f>
        <v/>
      </c>
    </row>
    <row r="97812">
      <c r="A97812" s="1" t="n">
        <v>97811</v>
      </c>
      <c r="B97812">
        <f>TEXT(97811, "[$-0E0000]yyyy-mm-dd")</f>
        <v/>
      </c>
    </row>
    <row r="97813">
      <c r="A97813" s="1" t="n">
        <v>97812</v>
      </c>
      <c r="B97813">
        <f>TEXT(97812, "[$-0E0000]yyyy-mm-dd")</f>
        <v/>
      </c>
    </row>
    <row r="97814">
      <c r="A97814" s="1" t="n">
        <v>97813</v>
      </c>
      <c r="B97814">
        <f>TEXT(97813, "[$-0E0000]yyyy-mm-dd")</f>
        <v/>
      </c>
    </row>
    <row r="97815">
      <c r="A97815" s="1" t="n">
        <v>97814</v>
      </c>
      <c r="B97815">
        <f>TEXT(97814, "[$-0E0000]yyyy-mm-dd")</f>
        <v/>
      </c>
    </row>
    <row r="97816">
      <c r="A97816" s="1" t="n">
        <v>97815</v>
      </c>
      <c r="B97816">
        <f>TEXT(97815, "[$-0E0000]yyyy-mm-dd")</f>
        <v/>
      </c>
    </row>
    <row r="97817">
      <c r="A97817" s="1" t="n">
        <v>97816</v>
      </c>
      <c r="B97817">
        <f>TEXT(97816, "[$-0E0000]yyyy-mm-dd")</f>
        <v/>
      </c>
    </row>
    <row r="97818">
      <c r="A97818" s="1" t="n">
        <v>97817</v>
      </c>
      <c r="B97818">
        <f>TEXT(97817, "[$-0E0000]yyyy-mm-dd")</f>
        <v/>
      </c>
    </row>
    <row r="97819">
      <c r="A97819" s="1" t="n">
        <v>97818</v>
      </c>
      <c r="B97819">
        <f>TEXT(97818, "[$-0E0000]yyyy-mm-dd")</f>
        <v/>
      </c>
    </row>
    <row r="97820">
      <c r="A97820" s="1" t="n">
        <v>97819</v>
      </c>
      <c r="B97820">
        <f>TEXT(97819, "[$-0E0000]yyyy-mm-dd")</f>
        <v/>
      </c>
    </row>
    <row r="97821">
      <c r="A97821" s="1" t="n">
        <v>97820</v>
      </c>
      <c r="B97821">
        <f>TEXT(97820, "[$-0E0000]yyyy-mm-dd")</f>
        <v/>
      </c>
    </row>
    <row r="97822">
      <c r="A97822" s="1" t="n">
        <v>97821</v>
      </c>
      <c r="B97822">
        <f>TEXT(97821, "[$-0E0000]yyyy-mm-dd")</f>
        <v/>
      </c>
    </row>
    <row r="97823">
      <c r="A97823" s="1" t="n">
        <v>97822</v>
      </c>
      <c r="B97823">
        <f>TEXT(97822, "[$-0E0000]yyyy-mm-dd")</f>
        <v/>
      </c>
    </row>
    <row r="97824">
      <c r="A97824" s="1" t="n">
        <v>97823</v>
      </c>
      <c r="B97824">
        <f>TEXT(97823, "[$-0E0000]yyyy-mm-dd")</f>
        <v/>
      </c>
    </row>
    <row r="97825">
      <c r="A97825" s="1" t="n">
        <v>97824</v>
      </c>
      <c r="B97825">
        <f>TEXT(97824, "[$-0E0000]yyyy-mm-dd")</f>
        <v/>
      </c>
    </row>
    <row r="97826">
      <c r="A97826" s="1" t="n">
        <v>97825</v>
      </c>
      <c r="B97826">
        <f>TEXT(97825, "[$-0E0000]yyyy-mm-dd")</f>
        <v/>
      </c>
    </row>
    <row r="97827">
      <c r="A97827" s="1" t="n">
        <v>97826</v>
      </c>
      <c r="B97827">
        <f>TEXT(97826, "[$-0E0000]yyyy-mm-dd")</f>
        <v/>
      </c>
    </row>
    <row r="97828">
      <c r="A97828" s="1" t="n">
        <v>97827</v>
      </c>
      <c r="B97828">
        <f>TEXT(97827, "[$-0E0000]yyyy-mm-dd")</f>
        <v/>
      </c>
    </row>
    <row r="97829">
      <c r="A97829" s="1" t="n">
        <v>97828</v>
      </c>
      <c r="B97829">
        <f>TEXT(97828, "[$-0E0000]yyyy-mm-dd")</f>
        <v/>
      </c>
    </row>
    <row r="97830">
      <c r="A97830" s="1" t="n">
        <v>97829</v>
      </c>
      <c r="B97830">
        <f>TEXT(97829, "[$-0E0000]yyyy-mm-dd")</f>
        <v/>
      </c>
    </row>
    <row r="97831">
      <c r="A97831" s="1" t="n">
        <v>97830</v>
      </c>
      <c r="B97831">
        <f>TEXT(97830, "[$-0E0000]yyyy-mm-dd")</f>
        <v/>
      </c>
    </row>
    <row r="97832">
      <c r="A97832" s="1" t="n">
        <v>97831</v>
      </c>
      <c r="B97832">
        <f>TEXT(97831, "[$-0E0000]yyyy-mm-dd")</f>
        <v/>
      </c>
    </row>
    <row r="97833">
      <c r="A97833" s="1" t="n">
        <v>97832</v>
      </c>
      <c r="B97833">
        <f>TEXT(97832, "[$-0E0000]yyyy-mm-dd")</f>
        <v/>
      </c>
    </row>
    <row r="97834">
      <c r="A97834" s="1" t="n">
        <v>97833</v>
      </c>
      <c r="B97834">
        <f>TEXT(97833, "[$-0E0000]yyyy-mm-dd")</f>
        <v/>
      </c>
    </row>
    <row r="97835">
      <c r="A97835" s="1" t="n">
        <v>97834</v>
      </c>
      <c r="B97835">
        <f>TEXT(97834, "[$-0E0000]yyyy-mm-dd")</f>
        <v/>
      </c>
    </row>
    <row r="97836">
      <c r="A97836" s="1" t="n">
        <v>97835</v>
      </c>
      <c r="B97836">
        <f>TEXT(97835, "[$-0E0000]yyyy-mm-dd")</f>
        <v/>
      </c>
    </row>
    <row r="97837">
      <c r="A97837" s="1" t="n">
        <v>97836</v>
      </c>
      <c r="B97837">
        <f>TEXT(97836, "[$-0E0000]yyyy-mm-dd")</f>
        <v/>
      </c>
    </row>
    <row r="97838">
      <c r="A97838" s="1" t="n">
        <v>97837</v>
      </c>
      <c r="B97838">
        <f>TEXT(97837, "[$-0E0000]yyyy-mm-dd")</f>
        <v/>
      </c>
    </row>
    <row r="97839">
      <c r="A97839" s="1" t="n">
        <v>97838</v>
      </c>
      <c r="B97839">
        <f>TEXT(97838, "[$-0E0000]yyyy-mm-dd")</f>
        <v/>
      </c>
    </row>
    <row r="97840">
      <c r="A97840" s="1" t="n">
        <v>97839</v>
      </c>
      <c r="B97840">
        <f>TEXT(97839, "[$-0E0000]yyyy-mm-dd")</f>
        <v/>
      </c>
    </row>
    <row r="97841">
      <c r="A97841" s="1" t="n">
        <v>97840</v>
      </c>
      <c r="B97841">
        <f>TEXT(97840, "[$-0E0000]yyyy-mm-dd")</f>
        <v/>
      </c>
    </row>
    <row r="97842">
      <c r="A97842" s="1" t="n">
        <v>97841</v>
      </c>
      <c r="B97842">
        <f>TEXT(97841, "[$-0E0000]yyyy-mm-dd")</f>
        <v/>
      </c>
    </row>
    <row r="97843">
      <c r="A97843" s="1" t="n">
        <v>97842</v>
      </c>
      <c r="B97843">
        <f>TEXT(97842, "[$-0E0000]yyyy-mm-dd")</f>
        <v/>
      </c>
    </row>
    <row r="97844">
      <c r="A97844" s="1" t="n">
        <v>97843</v>
      </c>
      <c r="B97844">
        <f>TEXT(97843, "[$-0E0000]yyyy-mm-dd")</f>
        <v/>
      </c>
    </row>
    <row r="97845">
      <c r="A97845" s="1" t="n">
        <v>97844</v>
      </c>
      <c r="B97845">
        <f>TEXT(97844, "[$-0E0000]yyyy-mm-dd")</f>
        <v/>
      </c>
    </row>
    <row r="97846">
      <c r="A97846" s="1" t="n">
        <v>97845</v>
      </c>
      <c r="B97846">
        <f>TEXT(97845, "[$-0E0000]yyyy-mm-dd")</f>
        <v/>
      </c>
    </row>
    <row r="97847">
      <c r="A97847" s="1" t="n">
        <v>97846</v>
      </c>
      <c r="B97847">
        <f>TEXT(97846, "[$-0E0000]yyyy-mm-dd")</f>
        <v/>
      </c>
    </row>
    <row r="97848">
      <c r="A97848" s="1" t="n">
        <v>97847</v>
      </c>
      <c r="B97848">
        <f>TEXT(97847, "[$-0E0000]yyyy-mm-dd")</f>
        <v/>
      </c>
    </row>
    <row r="97849">
      <c r="A97849" s="1" t="n">
        <v>97848</v>
      </c>
      <c r="B97849">
        <f>TEXT(97848, "[$-0E0000]yyyy-mm-dd")</f>
        <v/>
      </c>
    </row>
    <row r="97850">
      <c r="A97850" s="1" t="n">
        <v>97849</v>
      </c>
      <c r="B97850">
        <f>TEXT(97849, "[$-0E0000]yyyy-mm-dd")</f>
        <v/>
      </c>
    </row>
    <row r="97851">
      <c r="A97851" s="1" t="n">
        <v>97850</v>
      </c>
      <c r="B97851">
        <f>TEXT(97850, "[$-0E0000]yyyy-mm-dd")</f>
        <v/>
      </c>
    </row>
    <row r="97852">
      <c r="A97852" s="1" t="n">
        <v>97851</v>
      </c>
      <c r="B97852">
        <f>TEXT(97851, "[$-0E0000]yyyy-mm-dd")</f>
        <v/>
      </c>
    </row>
    <row r="97853">
      <c r="A97853" s="1" t="n">
        <v>97852</v>
      </c>
      <c r="B97853">
        <f>TEXT(97852, "[$-0E0000]yyyy-mm-dd")</f>
        <v/>
      </c>
    </row>
    <row r="97854">
      <c r="A97854" s="1" t="n">
        <v>97853</v>
      </c>
      <c r="B97854">
        <f>TEXT(97853, "[$-0E0000]yyyy-mm-dd")</f>
        <v/>
      </c>
    </row>
    <row r="97855">
      <c r="A97855" s="1" t="n">
        <v>97854</v>
      </c>
      <c r="B97855">
        <f>TEXT(97854, "[$-0E0000]yyyy-mm-dd")</f>
        <v/>
      </c>
    </row>
    <row r="97856">
      <c r="A97856" s="1" t="n">
        <v>97855</v>
      </c>
      <c r="B97856">
        <f>TEXT(97855, "[$-0E0000]yyyy-mm-dd")</f>
        <v/>
      </c>
    </row>
    <row r="97857">
      <c r="A97857" s="1" t="n">
        <v>97856</v>
      </c>
      <c r="B97857">
        <f>TEXT(97856, "[$-0E0000]yyyy-mm-dd")</f>
        <v/>
      </c>
    </row>
    <row r="97858">
      <c r="A97858" s="1" t="n">
        <v>97857</v>
      </c>
      <c r="B97858">
        <f>TEXT(97857, "[$-0E0000]yyyy-mm-dd")</f>
        <v/>
      </c>
    </row>
    <row r="97859">
      <c r="A97859" s="1" t="n">
        <v>97858</v>
      </c>
      <c r="B97859">
        <f>TEXT(97858, "[$-0E0000]yyyy-mm-dd")</f>
        <v/>
      </c>
    </row>
    <row r="97860">
      <c r="A97860" s="1" t="n">
        <v>97859</v>
      </c>
      <c r="B97860">
        <f>TEXT(97859, "[$-0E0000]yyyy-mm-dd")</f>
        <v/>
      </c>
    </row>
    <row r="97861">
      <c r="A97861" s="1" t="n">
        <v>97860</v>
      </c>
      <c r="B97861">
        <f>TEXT(97860, "[$-0E0000]yyyy-mm-dd")</f>
        <v/>
      </c>
    </row>
    <row r="97862">
      <c r="A97862" s="1" t="n">
        <v>97861</v>
      </c>
      <c r="B97862">
        <f>TEXT(97861, "[$-0E0000]yyyy-mm-dd")</f>
        <v/>
      </c>
    </row>
    <row r="97863">
      <c r="A97863" s="1" t="n">
        <v>97862</v>
      </c>
      <c r="B97863">
        <f>TEXT(97862, "[$-0E0000]yyyy-mm-dd")</f>
        <v/>
      </c>
    </row>
    <row r="97864">
      <c r="A97864" s="1" t="n">
        <v>97863</v>
      </c>
      <c r="B97864">
        <f>TEXT(97863, "[$-0E0000]yyyy-mm-dd")</f>
        <v/>
      </c>
    </row>
    <row r="97865">
      <c r="A97865" s="1" t="n">
        <v>97864</v>
      </c>
      <c r="B97865">
        <f>TEXT(97864, "[$-0E0000]yyyy-mm-dd")</f>
        <v/>
      </c>
    </row>
    <row r="97866">
      <c r="A97866" s="1" t="n">
        <v>97865</v>
      </c>
      <c r="B97866">
        <f>TEXT(97865, "[$-0E0000]yyyy-mm-dd")</f>
        <v/>
      </c>
    </row>
    <row r="97867">
      <c r="A97867" s="1" t="n">
        <v>97866</v>
      </c>
      <c r="B97867">
        <f>TEXT(97866, "[$-0E0000]yyyy-mm-dd")</f>
        <v/>
      </c>
    </row>
    <row r="97868">
      <c r="A97868" s="1" t="n">
        <v>97867</v>
      </c>
      <c r="B97868">
        <f>TEXT(97867, "[$-0E0000]yyyy-mm-dd")</f>
        <v/>
      </c>
    </row>
    <row r="97869">
      <c r="A97869" s="1" t="n">
        <v>97868</v>
      </c>
      <c r="B97869">
        <f>TEXT(97868, "[$-0E0000]yyyy-mm-dd")</f>
        <v/>
      </c>
    </row>
    <row r="97870">
      <c r="A97870" s="1" t="n">
        <v>97869</v>
      </c>
      <c r="B97870">
        <f>TEXT(97869, "[$-0E0000]yyyy-mm-dd")</f>
        <v/>
      </c>
    </row>
    <row r="97871">
      <c r="A97871" s="1" t="n">
        <v>97870</v>
      </c>
      <c r="B97871">
        <f>TEXT(97870, "[$-0E0000]yyyy-mm-dd")</f>
        <v/>
      </c>
    </row>
    <row r="97872">
      <c r="A97872" s="1" t="n">
        <v>97871</v>
      </c>
      <c r="B97872">
        <f>TEXT(97871, "[$-0E0000]yyyy-mm-dd")</f>
        <v/>
      </c>
    </row>
    <row r="97873">
      <c r="A97873" s="1" t="n">
        <v>97872</v>
      </c>
      <c r="B97873">
        <f>TEXT(97872, "[$-0E0000]yyyy-mm-dd")</f>
        <v/>
      </c>
    </row>
    <row r="97874">
      <c r="A97874" s="1" t="n">
        <v>97873</v>
      </c>
      <c r="B97874">
        <f>TEXT(97873, "[$-0E0000]yyyy-mm-dd")</f>
        <v/>
      </c>
    </row>
    <row r="97875">
      <c r="A97875" s="1" t="n">
        <v>97874</v>
      </c>
      <c r="B97875">
        <f>TEXT(97874, "[$-0E0000]yyyy-mm-dd")</f>
        <v/>
      </c>
    </row>
    <row r="97876">
      <c r="A97876" s="1" t="n">
        <v>97875</v>
      </c>
      <c r="B97876">
        <f>TEXT(97875, "[$-0E0000]yyyy-mm-dd")</f>
        <v/>
      </c>
    </row>
    <row r="97877">
      <c r="A97877" s="1" t="n">
        <v>97876</v>
      </c>
      <c r="B97877">
        <f>TEXT(97876, "[$-0E0000]yyyy-mm-dd")</f>
        <v/>
      </c>
    </row>
    <row r="97878">
      <c r="A97878" s="1" t="n">
        <v>97877</v>
      </c>
      <c r="B97878">
        <f>TEXT(97877, "[$-0E0000]yyyy-mm-dd")</f>
        <v/>
      </c>
    </row>
    <row r="97879">
      <c r="A97879" s="1" t="n">
        <v>97878</v>
      </c>
      <c r="B97879">
        <f>TEXT(97878, "[$-0E0000]yyyy-mm-dd")</f>
        <v/>
      </c>
    </row>
    <row r="97880">
      <c r="A97880" s="1" t="n">
        <v>97879</v>
      </c>
      <c r="B97880">
        <f>TEXT(97879, "[$-0E0000]yyyy-mm-dd")</f>
        <v/>
      </c>
    </row>
    <row r="97881">
      <c r="A97881" s="1" t="n">
        <v>97880</v>
      </c>
      <c r="B97881">
        <f>TEXT(97880, "[$-0E0000]yyyy-mm-dd")</f>
        <v/>
      </c>
    </row>
    <row r="97882">
      <c r="A97882" s="1" t="n">
        <v>97881</v>
      </c>
      <c r="B97882">
        <f>TEXT(97881, "[$-0E0000]yyyy-mm-dd")</f>
        <v/>
      </c>
    </row>
    <row r="97883">
      <c r="A97883" s="1" t="n">
        <v>97882</v>
      </c>
      <c r="B97883">
        <f>TEXT(97882, "[$-0E0000]yyyy-mm-dd")</f>
        <v/>
      </c>
    </row>
    <row r="97884">
      <c r="A97884" s="1" t="n">
        <v>97883</v>
      </c>
      <c r="B97884">
        <f>TEXT(97883, "[$-0E0000]yyyy-mm-dd")</f>
        <v/>
      </c>
    </row>
    <row r="97885">
      <c r="A97885" s="1" t="n">
        <v>97884</v>
      </c>
      <c r="B97885">
        <f>TEXT(97884, "[$-0E0000]yyyy-mm-dd")</f>
        <v/>
      </c>
    </row>
    <row r="97886">
      <c r="A97886" s="1" t="n">
        <v>97885</v>
      </c>
      <c r="B97886">
        <f>TEXT(97885, "[$-0E0000]yyyy-mm-dd")</f>
        <v/>
      </c>
    </row>
    <row r="97887">
      <c r="A97887" s="1" t="n">
        <v>97886</v>
      </c>
      <c r="B97887">
        <f>TEXT(97886, "[$-0E0000]yyyy-mm-dd")</f>
        <v/>
      </c>
    </row>
    <row r="97888">
      <c r="A97888" s="1" t="n">
        <v>97887</v>
      </c>
      <c r="B97888">
        <f>TEXT(97887, "[$-0E0000]yyyy-mm-dd")</f>
        <v/>
      </c>
    </row>
    <row r="97889">
      <c r="A97889" s="1" t="n">
        <v>97888</v>
      </c>
      <c r="B97889">
        <f>TEXT(97888, "[$-0E0000]yyyy-mm-dd")</f>
        <v/>
      </c>
    </row>
    <row r="97890">
      <c r="A97890" s="1" t="n">
        <v>97889</v>
      </c>
      <c r="B97890">
        <f>TEXT(97889, "[$-0E0000]yyyy-mm-dd")</f>
        <v/>
      </c>
    </row>
    <row r="97891">
      <c r="A97891" s="1" t="n">
        <v>97890</v>
      </c>
      <c r="B97891">
        <f>TEXT(97890, "[$-0E0000]yyyy-mm-dd")</f>
        <v/>
      </c>
    </row>
    <row r="97892">
      <c r="A97892" s="1" t="n">
        <v>97891</v>
      </c>
      <c r="B97892">
        <f>TEXT(97891, "[$-0E0000]yyyy-mm-dd")</f>
        <v/>
      </c>
    </row>
    <row r="97893">
      <c r="A97893" s="1" t="n">
        <v>97892</v>
      </c>
      <c r="B97893">
        <f>TEXT(97892, "[$-0E0000]yyyy-mm-dd")</f>
        <v/>
      </c>
    </row>
    <row r="97894">
      <c r="A97894" s="1" t="n">
        <v>97893</v>
      </c>
      <c r="B97894">
        <f>TEXT(97893, "[$-0E0000]yyyy-mm-dd")</f>
        <v/>
      </c>
    </row>
    <row r="97895">
      <c r="A97895" s="1" t="n">
        <v>97894</v>
      </c>
      <c r="B97895">
        <f>TEXT(97894, "[$-0E0000]yyyy-mm-dd")</f>
        <v/>
      </c>
    </row>
    <row r="97896">
      <c r="A97896" s="1" t="n">
        <v>97895</v>
      </c>
      <c r="B97896">
        <f>TEXT(97895, "[$-0E0000]yyyy-mm-dd")</f>
        <v/>
      </c>
    </row>
    <row r="97897">
      <c r="A97897" s="1" t="n">
        <v>97896</v>
      </c>
      <c r="B97897">
        <f>TEXT(97896, "[$-0E0000]yyyy-mm-dd")</f>
        <v/>
      </c>
    </row>
    <row r="97898">
      <c r="A97898" s="1" t="n">
        <v>97897</v>
      </c>
      <c r="B97898">
        <f>TEXT(97897, "[$-0E0000]yyyy-mm-dd")</f>
        <v/>
      </c>
    </row>
    <row r="97899">
      <c r="A97899" s="1" t="n">
        <v>97898</v>
      </c>
      <c r="B97899">
        <f>TEXT(97898, "[$-0E0000]yyyy-mm-dd")</f>
        <v/>
      </c>
    </row>
    <row r="97900">
      <c r="A97900" s="1" t="n">
        <v>97899</v>
      </c>
      <c r="B97900">
        <f>TEXT(97899, "[$-0E0000]yyyy-mm-dd")</f>
        <v/>
      </c>
    </row>
    <row r="97901">
      <c r="A97901" s="1" t="n">
        <v>97900</v>
      </c>
      <c r="B97901">
        <f>TEXT(97900, "[$-0E0000]yyyy-mm-dd")</f>
        <v/>
      </c>
    </row>
    <row r="97902">
      <c r="A97902" s="1" t="n">
        <v>97901</v>
      </c>
      <c r="B97902">
        <f>TEXT(97901, "[$-0E0000]yyyy-mm-dd")</f>
        <v/>
      </c>
    </row>
    <row r="97903">
      <c r="A97903" s="1" t="n">
        <v>97902</v>
      </c>
      <c r="B97903">
        <f>TEXT(97902, "[$-0E0000]yyyy-mm-dd")</f>
        <v/>
      </c>
    </row>
    <row r="97904">
      <c r="A97904" s="1" t="n">
        <v>97903</v>
      </c>
      <c r="B97904">
        <f>TEXT(97903, "[$-0E0000]yyyy-mm-dd")</f>
        <v/>
      </c>
    </row>
    <row r="97905">
      <c r="A97905" s="1" t="n">
        <v>97904</v>
      </c>
      <c r="B97905">
        <f>TEXT(97904, "[$-0E0000]yyyy-mm-dd")</f>
        <v/>
      </c>
    </row>
    <row r="97906">
      <c r="A97906" s="1" t="n">
        <v>97905</v>
      </c>
      <c r="B97906">
        <f>TEXT(97905, "[$-0E0000]yyyy-mm-dd")</f>
        <v/>
      </c>
    </row>
    <row r="97907">
      <c r="A97907" s="1" t="n">
        <v>97906</v>
      </c>
      <c r="B97907">
        <f>TEXT(97906, "[$-0E0000]yyyy-mm-dd")</f>
        <v/>
      </c>
    </row>
    <row r="97908">
      <c r="A97908" s="1" t="n">
        <v>97907</v>
      </c>
      <c r="B97908">
        <f>TEXT(97907, "[$-0E0000]yyyy-mm-dd")</f>
        <v/>
      </c>
    </row>
    <row r="97909">
      <c r="A97909" s="1" t="n">
        <v>97908</v>
      </c>
      <c r="B97909">
        <f>TEXT(97908, "[$-0E0000]yyyy-mm-dd")</f>
        <v/>
      </c>
    </row>
    <row r="97910">
      <c r="A97910" s="1" t="n">
        <v>97909</v>
      </c>
      <c r="B97910">
        <f>TEXT(97909, "[$-0E0000]yyyy-mm-dd")</f>
        <v/>
      </c>
    </row>
    <row r="97911">
      <c r="A97911" s="1" t="n">
        <v>97910</v>
      </c>
      <c r="B97911">
        <f>TEXT(97910, "[$-0E0000]yyyy-mm-dd")</f>
        <v/>
      </c>
    </row>
    <row r="97912">
      <c r="A97912" s="1" t="n">
        <v>97911</v>
      </c>
      <c r="B97912">
        <f>TEXT(97911, "[$-0E0000]yyyy-mm-dd")</f>
        <v/>
      </c>
    </row>
    <row r="97913">
      <c r="A97913" s="1" t="n">
        <v>97912</v>
      </c>
      <c r="B97913">
        <f>TEXT(97912, "[$-0E0000]yyyy-mm-dd")</f>
        <v/>
      </c>
    </row>
    <row r="97914">
      <c r="A97914" s="1" t="n">
        <v>97913</v>
      </c>
      <c r="B97914">
        <f>TEXT(97913, "[$-0E0000]yyyy-mm-dd")</f>
        <v/>
      </c>
    </row>
    <row r="97915">
      <c r="A97915" s="1" t="n">
        <v>97914</v>
      </c>
      <c r="B97915">
        <f>TEXT(97914, "[$-0E0000]yyyy-mm-dd")</f>
        <v/>
      </c>
    </row>
    <row r="97916">
      <c r="A97916" s="1" t="n">
        <v>97915</v>
      </c>
      <c r="B97916">
        <f>TEXT(97915, "[$-0E0000]yyyy-mm-dd")</f>
        <v/>
      </c>
    </row>
    <row r="97917">
      <c r="A97917" s="1" t="n">
        <v>97916</v>
      </c>
      <c r="B97917">
        <f>TEXT(97916, "[$-0E0000]yyyy-mm-dd")</f>
        <v/>
      </c>
    </row>
    <row r="97918">
      <c r="A97918" s="1" t="n">
        <v>97917</v>
      </c>
      <c r="B97918">
        <f>TEXT(97917, "[$-0E0000]yyyy-mm-dd")</f>
        <v/>
      </c>
    </row>
    <row r="97919">
      <c r="A97919" s="1" t="n">
        <v>97918</v>
      </c>
      <c r="B97919">
        <f>TEXT(97918, "[$-0E0000]yyyy-mm-dd")</f>
        <v/>
      </c>
    </row>
    <row r="97920">
      <c r="A97920" s="1" t="n">
        <v>97919</v>
      </c>
      <c r="B97920">
        <f>TEXT(97919, "[$-0E0000]yyyy-mm-dd")</f>
        <v/>
      </c>
    </row>
    <row r="97921">
      <c r="A97921" s="1" t="n">
        <v>97920</v>
      </c>
      <c r="B97921">
        <f>TEXT(97920, "[$-0E0000]yyyy-mm-dd")</f>
        <v/>
      </c>
    </row>
    <row r="97922">
      <c r="A97922" s="1" t="n">
        <v>97921</v>
      </c>
      <c r="B97922">
        <f>TEXT(97921, "[$-0E0000]yyyy-mm-dd")</f>
        <v/>
      </c>
    </row>
    <row r="97923">
      <c r="A97923" s="1" t="n">
        <v>97922</v>
      </c>
      <c r="B97923">
        <f>TEXT(97922, "[$-0E0000]yyyy-mm-dd")</f>
        <v/>
      </c>
    </row>
    <row r="97924">
      <c r="A97924" s="1" t="n">
        <v>97923</v>
      </c>
      <c r="B97924">
        <f>TEXT(97923, "[$-0E0000]yyyy-mm-dd")</f>
        <v/>
      </c>
    </row>
    <row r="97925">
      <c r="A97925" s="1" t="n">
        <v>97924</v>
      </c>
      <c r="B97925">
        <f>TEXT(97924, "[$-0E0000]yyyy-mm-dd")</f>
        <v/>
      </c>
    </row>
    <row r="97926">
      <c r="A97926" s="1" t="n">
        <v>97925</v>
      </c>
      <c r="B97926">
        <f>TEXT(97925, "[$-0E0000]yyyy-mm-dd")</f>
        <v/>
      </c>
    </row>
    <row r="97927">
      <c r="A97927" s="1" t="n">
        <v>97926</v>
      </c>
      <c r="B97927">
        <f>TEXT(97926, "[$-0E0000]yyyy-mm-dd")</f>
        <v/>
      </c>
    </row>
    <row r="97928">
      <c r="A97928" s="1" t="n">
        <v>97927</v>
      </c>
      <c r="B97928">
        <f>TEXT(97927, "[$-0E0000]yyyy-mm-dd")</f>
        <v/>
      </c>
    </row>
    <row r="97929">
      <c r="A97929" s="1" t="n">
        <v>97928</v>
      </c>
      <c r="B97929">
        <f>TEXT(97928, "[$-0E0000]yyyy-mm-dd")</f>
        <v/>
      </c>
    </row>
    <row r="97930">
      <c r="A97930" s="1" t="n">
        <v>97929</v>
      </c>
      <c r="B97930">
        <f>TEXT(97929, "[$-0E0000]yyyy-mm-dd")</f>
        <v/>
      </c>
    </row>
    <row r="97931">
      <c r="A97931" s="1" t="n">
        <v>97930</v>
      </c>
      <c r="B97931">
        <f>TEXT(97930, "[$-0E0000]yyyy-mm-dd")</f>
        <v/>
      </c>
    </row>
    <row r="97932">
      <c r="A97932" s="1" t="n">
        <v>97931</v>
      </c>
      <c r="B97932">
        <f>TEXT(97931, "[$-0E0000]yyyy-mm-dd")</f>
        <v/>
      </c>
    </row>
    <row r="97933">
      <c r="A97933" s="1" t="n">
        <v>97932</v>
      </c>
      <c r="B97933">
        <f>TEXT(97932, "[$-0E0000]yyyy-mm-dd")</f>
        <v/>
      </c>
    </row>
    <row r="97934">
      <c r="A97934" s="1" t="n">
        <v>97933</v>
      </c>
      <c r="B97934">
        <f>TEXT(97933, "[$-0E0000]yyyy-mm-dd")</f>
        <v/>
      </c>
    </row>
    <row r="97935">
      <c r="A97935" s="1" t="n">
        <v>97934</v>
      </c>
      <c r="B97935">
        <f>TEXT(97934, "[$-0E0000]yyyy-mm-dd")</f>
        <v/>
      </c>
    </row>
    <row r="97936">
      <c r="A97936" s="1" t="n">
        <v>97935</v>
      </c>
      <c r="B97936">
        <f>TEXT(97935, "[$-0E0000]yyyy-mm-dd")</f>
        <v/>
      </c>
    </row>
    <row r="97937">
      <c r="A97937" s="1" t="n">
        <v>97936</v>
      </c>
      <c r="B97937">
        <f>TEXT(97936, "[$-0E0000]yyyy-mm-dd")</f>
        <v/>
      </c>
    </row>
    <row r="97938">
      <c r="A97938" s="1" t="n">
        <v>97937</v>
      </c>
      <c r="B97938">
        <f>TEXT(97937, "[$-0E0000]yyyy-mm-dd")</f>
        <v/>
      </c>
    </row>
    <row r="97939">
      <c r="A97939" s="1" t="n">
        <v>97938</v>
      </c>
      <c r="B97939">
        <f>TEXT(97938, "[$-0E0000]yyyy-mm-dd")</f>
        <v/>
      </c>
    </row>
    <row r="97940">
      <c r="A97940" s="1" t="n">
        <v>97939</v>
      </c>
      <c r="B97940">
        <f>TEXT(97939, "[$-0E0000]yyyy-mm-dd")</f>
        <v/>
      </c>
    </row>
    <row r="97941">
      <c r="A97941" s="1" t="n">
        <v>97940</v>
      </c>
      <c r="B97941">
        <f>TEXT(97940, "[$-0E0000]yyyy-mm-dd")</f>
        <v/>
      </c>
    </row>
    <row r="97942">
      <c r="A97942" s="1" t="n">
        <v>97941</v>
      </c>
      <c r="B97942">
        <f>TEXT(97941, "[$-0E0000]yyyy-mm-dd")</f>
        <v/>
      </c>
    </row>
    <row r="97943">
      <c r="A97943" s="1" t="n">
        <v>97942</v>
      </c>
      <c r="B97943">
        <f>TEXT(97942, "[$-0E0000]yyyy-mm-dd")</f>
        <v/>
      </c>
    </row>
    <row r="97944">
      <c r="A97944" s="1" t="n">
        <v>97943</v>
      </c>
      <c r="B97944">
        <f>TEXT(97943, "[$-0E0000]yyyy-mm-dd")</f>
        <v/>
      </c>
    </row>
    <row r="97945">
      <c r="A97945" s="1" t="n">
        <v>97944</v>
      </c>
      <c r="B97945">
        <f>TEXT(97944, "[$-0E0000]yyyy-mm-dd")</f>
        <v/>
      </c>
    </row>
    <row r="97946">
      <c r="A97946" s="1" t="n">
        <v>97945</v>
      </c>
      <c r="B97946">
        <f>TEXT(97945, "[$-0E0000]yyyy-mm-dd")</f>
        <v/>
      </c>
    </row>
    <row r="97947">
      <c r="A97947" s="1" t="n">
        <v>97946</v>
      </c>
      <c r="B97947">
        <f>TEXT(97946, "[$-0E0000]yyyy-mm-dd")</f>
        <v/>
      </c>
    </row>
    <row r="97948">
      <c r="A97948" s="1" t="n">
        <v>97947</v>
      </c>
      <c r="B97948">
        <f>TEXT(97947, "[$-0E0000]yyyy-mm-dd")</f>
        <v/>
      </c>
    </row>
    <row r="97949">
      <c r="A97949" s="1" t="n">
        <v>97948</v>
      </c>
      <c r="B97949">
        <f>TEXT(97948, "[$-0E0000]yyyy-mm-dd")</f>
        <v/>
      </c>
    </row>
    <row r="97950">
      <c r="A97950" s="1" t="n">
        <v>97949</v>
      </c>
      <c r="B97950">
        <f>TEXT(97949, "[$-0E0000]yyyy-mm-dd")</f>
        <v/>
      </c>
    </row>
    <row r="97951">
      <c r="A97951" s="1" t="n">
        <v>97950</v>
      </c>
      <c r="B97951">
        <f>TEXT(97950, "[$-0E0000]yyyy-mm-dd")</f>
        <v/>
      </c>
    </row>
    <row r="97952">
      <c r="A97952" s="1" t="n">
        <v>97951</v>
      </c>
      <c r="B97952">
        <f>TEXT(97951, "[$-0E0000]yyyy-mm-dd")</f>
        <v/>
      </c>
    </row>
    <row r="97953">
      <c r="A97953" s="1" t="n">
        <v>97952</v>
      </c>
      <c r="B97953">
        <f>TEXT(97952, "[$-0E0000]yyyy-mm-dd")</f>
        <v/>
      </c>
    </row>
    <row r="97954">
      <c r="A97954" s="1" t="n">
        <v>97953</v>
      </c>
      <c r="B97954">
        <f>TEXT(97953, "[$-0E0000]yyyy-mm-dd")</f>
        <v/>
      </c>
    </row>
    <row r="97955">
      <c r="A97955" s="1" t="n">
        <v>97954</v>
      </c>
      <c r="B97955">
        <f>TEXT(97954, "[$-0E0000]yyyy-mm-dd")</f>
        <v/>
      </c>
    </row>
    <row r="97956">
      <c r="A97956" s="1" t="n">
        <v>97955</v>
      </c>
      <c r="B97956">
        <f>TEXT(97955, "[$-0E0000]yyyy-mm-dd")</f>
        <v/>
      </c>
    </row>
    <row r="97957">
      <c r="A97957" s="1" t="n">
        <v>97956</v>
      </c>
      <c r="B97957">
        <f>TEXT(97956, "[$-0E0000]yyyy-mm-dd")</f>
        <v/>
      </c>
    </row>
    <row r="97958">
      <c r="A97958" s="1" t="n">
        <v>97957</v>
      </c>
      <c r="B97958">
        <f>TEXT(97957, "[$-0E0000]yyyy-mm-dd")</f>
        <v/>
      </c>
    </row>
    <row r="97959">
      <c r="A97959" s="1" t="n">
        <v>97958</v>
      </c>
      <c r="B97959">
        <f>TEXT(97958, "[$-0E0000]yyyy-mm-dd")</f>
        <v/>
      </c>
    </row>
    <row r="97960">
      <c r="A97960" s="1" t="n">
        <v>97959</v>
      </c>
      <c r="B97960">
        <f>TEXT(97959, "[$-0E0000]yyyy-mm-dd")</f>
        <v/>
      </c>
    </row>
    <row r="97961">
      <c r="A97961" s="1" t="n">
        <v>97960</v>
      </c>
      <c r="B97961">
        <f>TEXT(97960, "[$-0E0000]yyyy-mm-dd")</f>
        <v/>
      </c>
    </row>
    <row r="97962">
      <c r="A97962" s="1" t="n">
        <v>97961</v>
      </c>
      <c r="B97962">
        <f>TEXT(97961, "[$-0E0000]yyyy-mm-dd")</f>
        <v/>
      </c>
    </row>
    <row r="97963">
      <c r="A97963" s="1" t="n">
        <v>97962</v>
      </c>
      <c r="B97963">
        <f>TEXT(97962, "[$-0E0000]yyyy-mm-dd")</f>
        <v/>
      </c>
    </row>
    <row r="97964">
      <c r="A97964" s="1" t="n">
        <v>97963</v>
      </c>
      <c r="B97964">
        <f>TEXT(97963, "[$-0E0000]yyyy-mm-dd")</f>
        <v/>
      </c>
    </row>
    <row r="97965">
      <c r="A97965" s="1" t="n">
        <v>97964</v>
      </c>
      <c r="B97965">
        <f>TEXT(97964, "[$-0E0000]yyyy-mm-dd")</f>
        <v/>
      </c>
    </row>
    <row r="97966">
      <c r="A97966" s="1" t="n">
        <v>97965</v>
      </c>
      <c r="B97966">
        <f>TEXT(97965, "[$-0E0000]yyyy-mm-dd")</f>
        <v/>
      </c>
    </row>
    <row r="97967">
      <c r="A97967" s="1" t="n">
        <v>97966</v>
      </c>
      <c r="B97967">
        <f>TEXT(97966, "[$-0E0000]yyyy-mm-dd")</f>
        <v/>
      </c>
    </row>
    <row r="97968">
      <c r="A97968" s="1" t="n">
        <v>97967</v>
      </c>
      <c r="B97968">
        <f>TEXT(97967, "[$-0E0000]yyyy-mm-dd")</f>
        <v/>
      </c>
    </row>
    <row r="97969">
      <c r="A97969" s="1" t="n">
        <v>97968</v>
      </c>
      <c r="B97969">
        <f>TEXT(97968, "[$-0E0000]yyyy-mm-dd")</f>
        <v/>
      </c>
    </row>
    <row r="97970">
      <c r="A97970" s="1" t="n">
        <v>97969</v>
      </c>
      <c r="B97970">
        <f>TEXT(97969, "[$-0E0000]yyyy-mm-dd")</f>
        <v/>
      </c>
    </row>
    <row r="97971">
      <c r="A97971" s="1" t="n">
        <v>97970</v>
      </c>
      <c r="B97971">
        <f>TEXT(97970, "[$-0E0000]yyyy-mm-dd")</f>
        <v/>
      </c>
    </row>
    <row r="97972">
      <c r="A97972" s="1" t="n">
        <v>97971</v>
      </c>
      <c r="B97972">
        <f>TEXT(97971, "[$-0E0000]yyyy-mm-dd")</f>
        <v/>
      </c>
    </row>
    <row r="97973">
      <c r="A97973" s="1" t="n">
        <v>97972</v>
      </c>
      <c r="B97973">
        <f>TEXT(97972, "[$-0E0000]yyyy-mm-dd")</f>
        <v/>
      </c>
    </row>
    <row r="97974">
      <c r="A97974" s="1" t="n">
        <v>97973</v>
      </c>
      <c r="B97974">
        <f>TEXT(97973, "[$-0E0000]yyyy-mm-dd")</f>
        <v/>
      </c>
    </row>
    <row r="97975">
      <c r="A97975" s="1" t="n">
        <v>97974</v>
      </c>
      <c r="B97975">
        <f>TEXT(97974, "[$-0E0000]yyyy-mm-dd")</f>
        <v/>
      </c>
    </row>
    <row r="97976">
      <c r="A97976" s="1" t="n">
        <v>97975</v>
      </c>
      <c r="B97976">
        <f>TEXT(97975, "[$-0E0000]yyyy-mm-dd")</f>
        <v/>
      </c>
    </row>
    <row r="97977">
      <c r="A97977" s="1" t="n">
        <v>97976</v>
      </c>
      <c r="B97977">
        <f>TEXT(97976, "[$-0E0000]yyyy-mm-dd")</f>
        <v/>
      </c>
    </row>
    <row r="97978">
      <c r="A97978" s="1" t="n">
        <v>97977</v>
      </c>
      <c r="B97978">
        <f>TEXT(97977, "[$-0E0000]yyyy-mm-dd")</f>
        <v/>
      </c>
    </row>
    <row r="97979">
      <c r="A97979" s="1" t="n">
        <v>97978</v>
      </c>
      <c r="B97979">
        <f>TEXT(97978, "[$-0E0000]yyyy-mm-dd")</f>
        <v/>
      </c>
    </row>
    <row r="97980">
      <c r="A97980" s="1" t="n">
        <v>97979</v>
      </c>
      <c r="B97980">
        <f>TEXT(97979, "[$-0E0000]yyyy-mm-dd")</f>
        <v/>
      </c>
    </row>
    <row r="97981">
      <c r="A97981" s="1" t="n">
        <v>97980</v>
      </c>
      <c r="B97981">
        <f>TEXT(97980, "[$-0E0000]yyyy-mm-dd")</f>
        <v/>
      </c>
    </row>
    <row r="97982">
      <c r="A97982" s="1" t="n">
        <v>97981</v>
      </c>
      <c r="B97982">
        <f>TEXT(97981, "[$-0E0000]yyyy-mm-dd")</f>
        <v/>
      </c>
    </row>
    <row r="97983">
      <c r="A97983" s="1" t="n">
        <v>97982</v>
      </c>
      <c r="B97983">
        <f>TEXT(97982, "[$-0E0000]yyyy-mm-dd")</f>
        <v/>
      </c>
    </row>
    <row r="97984">
      <c r="A97984" s="1" t="n">
        <v>97983</v>
      </c>
      <c r="B97984">
        <f>TEXT(97983, "[$-0E0000]yyyy-mm-dd")</f>
        <v/>
      </c>
    </row>
    <row r="97985">
      <c r="A97985" s="1" t="n">
        <v>97984</v>
      </c>
      <c r="B97985">
        <f>TEXT(97984, "[$-0E0000]yyyy-mm-dd")</f>
        <v/>
      </c>
    </row>
    <row r="97986">
      <c r="A97986" s="1" t="n">
        <v>97985</v>
      </c>
      <c r="B97986">
        <f>TEXT(97985, "[$-0E0000]yyyy-mm-dd")</f>
        <v/>
      </c>
    </row>
    <row r="97987">
      <c r="A97987" s="1" t="n">
        <v>97986</v>
      </c>
      <c r="B97987">
        <f>TEXT(97986, "[$-0E0000]yyyy-mm-dd")</f>
        <v/>
      </c>
    </row>
    <row r="97988">
      <c r="A97988" s="1" t="n">
        <v>97987</v>
      </c>
      <c r="B97988">
        <f>TEXT(97987, "[$-0E0000]yyyy-mm-dd")</f>
        <v/>
      </c>
    </row>
    <row r="97989">
      <c r="A97989" s="1" t="n">
        <v>97988</v>
      </c>
      <c r="B97989">
        <f>TEXT(97988, "[$-0E0000]yyyy-mm-dd")</f>
        <v/>
      </c>
    </row>
    <row r="97990">
      <c r="A97990" s="1" t="n">
        <v>97989</v>
      </c>
      <c r="B97990">
        <f>TEXT(97989, "[$-0E0000]yyyy-mm-dd")</f>
        <v/>
      </c>
    </row>
    <row r="97991">
      <c r="A97991" s="1" t="n">
        <v>97990</v>
      </c>
      <c r="B97991">
        <f>TEXT(97990, "[$-0E0000]yyyy-mm-dd")</f>
        <v/>
      </c>
    </row>
    <row r="97992">
      <c r="A97992" s="1" t="n">
        <v>97991</v>
      </c>
      <c r="B97992">
        <f>TEXT(97991, "[$-0E0000]yyyy-mm-dd")</f>
        <v/>
      </c>
    </row>
    <row r="97993">
      <c r="A97993" s="1" t="n">
        <v>97992</v>
      </c>
      <c r="B97993">
        <f>TEXT(97992, "[$-0E0000]yyyy-mm-dd")</f>
        <v/>
      </c>
    </row>
    <row r="97994">
      <c r="A97994" s="1" t="n">
        <v>97993</v>
      </c>
      <c r="B97994">
        <f>TEXT(97993, "[$-0E0000]yyyy-mm-dd")</f>
        <v/>
      </c>
    </row>
    <row r="97995">
      <c r="A97995" s="1" t="n">
        <v>97994</v>
      </c>
      <c r="B97995">
        <f>TEXT(97994, "[$-0E0000]yyyy-mm-dd")</f>
        <v/>
      </c>
    </row>
    <row r="97996">
      <c r="A97996" s="1" t="n">
        <v>97995</v>
      </c>
      <c r="B97996">
        <f>TEXT(97995, "[$-0E0000]yyyy-mm-dd")</f>
        <v/>
      </c>
    </row>
    <row r="97997">
      <c r="A97997" s="1" t="n">
        <v>97996</v>
      </c>
      <c r="B97997">
        <f>TEXT(97996, "[$-0E0000]yyyy-mm-dd")</f>
        <v/>
      </c>
    </row>
    <row r="97998">
      <c r="A97998" s="1" t="n">
        <v>97997</v>
      </c>
      <c r="B97998">
        <f>TEXT(97997, "[$-0E0000]yyyy-mm-dd")</f>
        <v/>
      </c>
    </row>
    <row r="97999">
      <c r="A97999" s="1" t="n">
        <v>97998</v>
      </c>
      <c r="B97999">
        <f>TEXT(97998, "[$-0E0000]yyyy-mm-dd")</f>
        <v/>
      </c>
    </row>
    <row r="98000">
      <c r="A98000" s="1" t="n">
        <v>97999</v>
      </c>
      <c r="B98000">
        <f>TEXT(97999, "[$-0E0000]yyyy-mm-dd")</f>
        <v/>
      </c>
    </row>
    <row r="98001">
      <c r="A98001" s="1" t="n">
        <v>98000</v>
      </c>
      <c r="B98001">
        <f>TEXT(98000, "[$-0E0000]yyyy-mm-dd")</f>
        <v/>
      </c>
    </row>
    <row r="98002">
      <c r="A98002" s="1" t="n">
        <v>98001</v>
      </c>
      <c r="B98002">
        <f>TEXT(98001, "[$-0E0000]yyyy-mm-dd")</f>
        <v/>
      </c>
    </row>
    <row r="98003">
      <c r="A98003" s="1" t="n">
        <v>98002</v>
      </c>
      <c r="B98003">
        <f>TEXT(98002, "[$-0E0000]yyyy-mm-dd")</f>
        <v/>
      </c>
    </row>
    <row r="98004">
      <c r="A98004" s="1" t="n">
        <v>98003</v>
      </c>
      <c r="B98004">
        <f>TEXT(98003, "[$-0E0000]yyyy-mm-dd")</f>
        <v/>
      </c>
    </row>
    <row r="98005">
      <c r="A98005" s="1" t="n">
        <v>98004</v>
      </c>
      <c r="B98005">
        <f>TEXT(98004, "[$-0E0000]yyyy-mm-dd")</f>
        <v/>
      </c>
    </row>
    <row r="98006">
      <c r="A98006" s="1" t="n">
        <v>98005</v>
      </c>
      <c r="B98006">
        <f>TEXT(98005, "[$-0E0000]yyyy-mm-dd")</f>
        <v/>
      </c>
    </row>
    <row r="98007">
      <c r="A98007" s="1" t="n">
        <v>98006</v>
      </c>
      <c r="B98007">
        <f>TEXT(98006, "[$-0E0000]yyyy-mm-dd")</f>
        <v/>
      </c>
    </row>
    <row r="98008">
      <c r="A98008" s="1" t="n">
        <v>98007</v>
      </c>
      <c r="B98008">
        <f>TEXT(98007, "[$-0E0000]yyyy-mm-dd")</f>
        <v/>
      </c>
    </row>
    <row r="98009">
      <c r="A98009" s="1" t="n">
        <v>98008</v>
      </c>
      <c r="B98009">
        <f>TEXT(98008, "[$-0E0000]yyyy-mm-dd")</f>
        <v/>
      </c>
    </row>
    <row r="98010">
      <c r="A98010" s="1" t="n">
        <v>98009</v>
      </c>
      <c r="B98010">
        <f>TEXT(98009, "[$-0E0000]yyyy-mm-dd")</f>
        <v/>
      </c>
    </row>
    <row r="98011">
      <c r="A98011" s="1" t="n">
        <v>98010</v>
      </c>
      <c r="B98011">
        <f>TEXT(98010, "[$-0E0000]yyyy-mm-dd")</f>
        <v/>
      </c>
    </row>
    <row r="98012">
      <c r="A98012" s="1" t="n">
        <v>98011</v>
      </c>
      <c r="B98012">
        <f>TEXT(98011, "[$-0E0000]yyyy-mm-dd")</f>
        <v/>
      </c>
    </row>
    <row r="98013">
      <c r="A98013" s="1" t="n">
        <v>98012</v>
      </c>
      <c r="B98013">
        <f>TEXT(98012, "[$-0E0000]yyyy-mm-dd")</f>
        <v/>
      </c>
    </row>
    <row r="98014">
      <c r="A98014" s="1" t="n">
        <v>98013</v>
      </c>
      <c r="B98014">
        <f>TEXT(98013, "[$-0E0000]yyyy-mm-dd")</f>
        <v/>
      </c>
    </row>
    <row r="98015">
      <c r="A98015" s="1" t="n">
        <v>98014</v>
      </c>
      <c r="B98015">
        <f>TEXT(98014, "[$-0E0000]yyyy-mm-dd")</f>
        <v/>
      </c>
    </row>
    <row r="98016">
      <c r="A98016" s="1" t="n">
        <v>98015</v>
      </c>
      <c r="B98016">
        <f>TEXT(98015, "[$-0E0000]yyyy-mm-dd")</f>
        <v/>
      </c>
    </row>
    <row r="98017">
      <c r="A98017" s="1" t="n">
        <v>98016</v>
      </c>
      <c r="B98017">
        <f>TEXT(98016, "[$-0E0000]yyyy-mm-dd")</f>
        <v/>
      </c>
    </row>
    <row r="98018">
      <c r="A98018" s="1" t="n">
        <v>98017</v>
      </c>
      <c r="B98018">
        <f>TEXT(98017, "[$-0E0000]yyyy-mm-dd")</f>
        <v/>
      </c>
    </row>
    <row r="98019">
      <c r="A98019" s="1" t="n">
        <v>98018</v>
      </c>
      <c r="B98019">
        <f>TEXT(98018, "[$-0E0000]yyyy-mm-dd")</f>
        <v/>
      </c>
    </row>
    <row r="98020">
      <c r="A98020" s="1" t="n">
        <v>98019</v>
      </c>
      <c r="B98020">
        <f>TEXT(98019, "[$-0E0000]yyyy-mm-dd")</f>
        <v/>
      </c>
    </row>
    <row r="98021">
      <c r="A98021" s="1" t="n">
        <v>98020</v>
      </c>
      <c r="B98021">
        <f>TEXT(98020, "[$-0E0000]yyyy-mm-dd")</f>
        <v/>
      </c>
    </row>
    <row r="98022">
      <c r="A98022" s="1" t="n">
        <v>98021</v>
      </c>
      <c r="B98022">
        <f>TEXT(98021, "[$-0E0000]yyyy-mm-dd")</f>
        <v/>
      </c>
    </row>
    <row r="98023">
      <c r="A98023" s="1" t="n">
        <v>98022</v>
      </c>
      <c r="B98023">
        <f>TEXT(98022, "[$-0E0000]yyyy-mm-dd")</f>
        <v/>
      </c>
    </row>
    <row r="98024">
      <c r="A98024" s="1" t="n">
        <v>98023</v>
      </c>
      <c r="B98024">
        <f>TEXT(98023, "[$-0E0000]yyyy-mm-dd")</f>
        <v/>
      </c>
    </row>
    <row r="98025">
      <c r="A98025" s="1" t="n">
        <v>98024</v>
      </c>
      <c r="B98025">
        <f>TEXT(98024, "[$-0E0000]yyyy-mm-dd")</f>
        <v/>
      </c>
    </row>
    <row r="98026">
      <c r="A98026" s="1" t="n">
        <v>98025</v>
      </c>
      <c r="B98026">
        <f>TEXT(98025, "[$-0E0000]yyyy-mm-dd")</f>
        <v/>
      </c>
    </row>
    <row r="98027">
      <c r="A98027" s="1" t="n">
        <v>98026</v>
      </c>
      <c r="B98027">
        <f>TEXT(98026, "[$-0E0000]yyyy-mm-dd")</f>
        <v/>
      </c>
    </row>
    <row r="98028">
      <c r="A98028" s="1" t="n">
        <v>98027</v>
      </c>
      <c r="B98028">
        <f>TEXT(98027, "[$-0E0000]yyyy-mm-dd")</f>
        <v/>
      </c>
    </row>
    <row r="98029">
      <c r="A98029" s="1" t="n">
        <v>98028</v>
      </c>
      <c r="B98029">
        <f>TEXT(98028, "[$-0E0000]yyyy-mm-dd")</f>
        <v/>
      </c>
    </row>
    <row r="98030">
      <c r="A98030" s="1" t="n">
        <v>98029</v>
      </c>
      <c r="B98030">
        <f>TEXT(98029, "[$-0E0000]yyyy-mm-dd")</f>
        <v/>
      </c>
    </row>
    <row r="98031">
      <c r="A98031" s="1" t="n">
        <v>98030</v>
      </c>
      <c r="B98031">
        <f>TEXT(98030, "[$-0E0000]yyyy-mm-dd")</f>
        <v/>
      </c>
    </row>
    <row r="98032">
      <c r="A98032" s="1" t="n">
        <v>98031</v>
      </c>
      <c r="B98032">
        <f>TEXT(98031, "[$-0E0000]yyyy-mm-dd")</f>
        <v/>
      </c>
    </row>
    <row r="98033">
      <c r="A98033" s="1" t="n">
        <v>98032</v>
      </c>
      <c r="B98033">
        <f>TEXT(98032, "[$-0E0000]yyyy-mm-dd")</f>
        <v/>
      </c>
    </row>
    <row r="98034">
      <c r="A98034" s="1" t="n">
        <v>98033</v>
      </c>
      <c r="B98034">
        <f>TEXT(98033, "[$-0E0000]yyyy-mm-dd")</f>
        <v/>
      </c>
    </row>
    <row r="98035">
      <c r="A98035" s="1" t="n">
        <v>98034</v>
      </c>
      <c r="B98035">
        <f>TEXT(98034, "[$-0E0000]yyyy-mm-dd")</f>
        <v/>
      </c>
    </row>
    <row r="98036">
      <c r="A98036" s="1" t="n">
        <v>98035</v>
      </c>
      <c r="B98036">
        <f>TEXT(98035, "[$-0E0000]yyyy-mm-dd")</f>
        <v/>
      </c>
    </row>
    <row r="98037">
      <c r="A98037" s="1" t="n">
        <v>98036</v>
      </c>
      <c r="B98037">
        <f>TEXT(98036, "[$-0E0000]yyyy-mm-dd")</f>
        <v/>
      </c>
    </row>
    <row r="98038">
      <c r="A98038" s="1" t="n">
        <v>98037</v>
      </c>
      <c r="B98038">
        <f>TEXT(98037, "[$-0E0000]yyyy-mm-dd")</f>
        <v/>
      </c>
    </row>
    <row r="98039">
      <c r="A98039" s="1" t="n">
        <v>98038</v>
      </c>
      <c r="B98039">
        <f>TEXT(98038, "[$-0E0000]yyyy-mm-dd")</f>
        <v/>
      </c>
    </row>
    <row r="98040">
      <c r="A98040" s="1" t="n">
        <v>98039</v>
      </c>
      <c r="B98040">
        <f>TEXT(98039, "[$-0E0000]yyyy-mm-dd")</f>
        <v/>
      </c>
    </row>
    <row r="98041">
      <c r="A98041" s="1" t="n">
        <v>98040</v>
      </c>
      <c r="B98041">
        <f>TEXT(98040, "[$-0E0000]yyyy-mm-dd")</f>
        <v/>
      </c>
    </row>
    <row r="98042">
      <c r="A98042" s="1" t="n">
        <v>98041</v>
      </c>
      <c r="B98042">
        <f>TEXT(98041, "[$-0E0000]yyyy-mm-dd")</f>
        <v/>
      </c>
    </row>
    <row r="98043">
      <c r="A98043" s="1" t="n">
        <v>98042</v>
      </c>
      <c r="B98043">
        <f>TEXT(98042, "[$-0E0000]yyyy-mm-dd")</f>
        <v/>
      </c>
    </row>
    <row r="98044">
      <c r="A98044" s="1" t="n">
        <v>98043</v>
      </c>
      <c r="B98044">
        <f>TEXT(98043, "[$-0E0000]yyyy-mm-dd")</f>
        <v/>
      </c>
    </row>
    <row r="98045">
      <c r="A98045" s="1" t="n">
        <v>98044</v>
      </c>
      <c r="B98045">
        <f>TEXT(98044, "[$-0E0000]yyyy-mm-dd")</f>
        <v/>
      </c>
    </row>
    <row r="98046">
      <c r="A98046" s="1" t="n">
        <v>98045</v>
      </c>
      <c r="B98046">
        <f>TEXT(98045, "[$-0E0000]yyyy-mm-dd")</f>
        <v/>
      </c>
    </row>
    <row r="98047">
      <c r="A98047" s="1" t="n">
        <v>98046</v>
      </c>
      <c r="B98047">
        <f>TEXT(98046, "[$-0E0000]yyyy-mm-dd")</f>
        <v/>
      </c>
    </row>
    <row r="98048">
      <c r="A98048" s="1" t="n">
        <v>98047</v>
      </c>
      <c r="B98048">
        <f>TEXT(98047, "[$-0E0000]yyyy-mm-dd")</f>
        <v/>
      </c>
    </row>
    <row r="98049">
      <c r="A98049" s="1" t="n">
        <v>98048</v>
      </c>
      <c r="B98049">
        <f>TEXT(98048, "[$-0E0000]yyyy-mm-dd")</f>
        <v/>
      </c>
    </row>
    <row r="98050">
      <c r="A98050" s="1" t="n">
        <v>98049</v>
      </c>
      <c r="B98050">
        <f>TEXT(98049, "[$-0E0000]yyyy-mm-dd")</f>
        <v/>
      </c>
    </row>
    <row r="98051">
      <c r="A98051" s="1" t="n">
        <v>98050</v>
      </c>
      <c r="B98051">
        <f>TEXT(98050, "[$-0E0000]yyyy-mm-dd")</f>
        <v/>
      </c>
    </row>
    <row r="98052">
      <c r="A98052" s="1" t="n">
        <v>98051</v>
      </c>
      <c r="B98052">
        <f>TEXT(98051, "[$-0E0000]yyyy-mm-dd")</f>
        <v/>
      </c>
    </row>
    <row r="98053">
      <c r="A98053" s="1" t="n">
        <v>98052</v>
      </c>
      <c r="B98053">
        <f>TEXT(98052, "[$-0E0000]yyyy-mm-dd")</f>
        <v/>
      </c>
    </row>
    <row r="98054">
      <c r="A98054" s="1" t="n">
        <v>98053</v>
      </c>
      <c r="B98054">
        <f>TEXT(98053, "[$-0E0000]yyyy-mm-dd")</f>
        <v/>
      </c>
    </row>
    <row r="98055">
      <c r="A98055" s="1" t="n">
        <v>98054</v>
      </c>
      <c r="B98055">
        <f>TEXT(98054, "[$-0E0000]yyyy-mm-dd")</f>
        <v/>
      </c>
    </row>
    <row r="98056">
      <c r="A98056" s="1" t="n">
        <v>98055</v>
      </c>
      <c r="B98056">
        <f>TEXT(98055, "[$-0E0000]yyyy-mm-dd")</f>
        <v/>
      </c>
    </row>
    <row r="98057">
      <c r="A98057" s="1" t="n">
        <v>98056</v>
      </c>
      <c r="B98057">
        <f>TEXT(98056, "[$-0E0000]yyyy-mm-dd")</f>
        <v/>
      </c>
    </row>
    <row r="98058">
      <c r="A98058" s="1" t="n">
        <v>98057</v>
      </c>
      <c r="B98058">
        <f>TEXT(98057, "[$-0E0000]yyyy-mm-dd")</f>
        <v/>
      </c>
    </row>
    <row r="98059">
      <c r="A98059" s="1" t="n">
        <v>98058</v>
      </c>
      <c r="B98059">
        <f>TEXT(98058, "[$-0E0000]yyyy-mm-dd")</f>
        <v/>
      </c>
    </row>
    <row r="98060">
      <c r="A98060" s="1" t="n">
        <v>98059</v>
      </c>
      <c r="B98060">
        <f>TEXT(98059, "[$-0E0000]yyyy-mm-dd")</f>
        <v/>
      </c>
    </row>
    <row r="98061">
      <c r="A98061" s="1" t="n">
        <v>98060</v>
      </c>
      <c r="B98061">
        <f>TEXT(98060, "[$-0E0000]yyyy-mm-dd")</f>
        <v/>
      </c>
    </row>
    <row r="98062">
      <c r="A98062" s="1" t="n">
        <v>98061</v>
      </c>
      <c r="B98062">
        <f>TEXT(98061, "[$-0E0000]yyyy-mm-dd")</f>
        <v/>
      </c>
    </row>
    <row r="98063">
      <c r="A98063" s="1" t="n">
        <v>98062</v>
      </c>
      <c r="B98063">
        <f>TEXT(98062, "[$-0E0000]yyyy-mm-dd")</f>
        <v/>
      </c>
    </row>
    <row r="98064">
      <c r="A98064" s="1" t="n">
        <v>98063</v>
      </c>
      <c r="B98064">
        <f>TEXT(98063, "[$-0E0000]yyyy-mm-dd")</f>
        <v/>
      </c>
    </row>
    <row r="98065">
      <c r="A98065" s="1" t="n">
        <v>98064</v>
      </c>
      <c r="B98065">
        <f>TEXT(98064, "[$-0E0000]yyyy-mm-dd")</f>
        <v/>
      </c>
    </row>
    <row r="98066">
      <c r="A98066" s="1" t="n">
        <v>98065</v>
      </c>
      <c r="B98066">
        <f>TEXT(98065, "[$-0E0000]yyyy-mm-dd")</f>
        <v/>
      </c>
    </row>
    <row r="98067">
      <c r="A98067" s="1" t="n">
        <v>98066</v>
      </c>
      <c r="B98067">
        <f>TEXT(98066, "[$-0E0000]yyyy-mm-dd")</f>
        <v/>
      </c>
    </row>
    <row r="98068">
      <c r="A98068" s="1" t="n">
        <v>98067</v>
      </c>
      <c r="B98068">
        <f>TEXT(98067, "[$-0E0000]yyyy-mm-dd")</f>
        <v/>
      </c>
    </row>
    <row r="98069">
      <c r="A98069" s="1" t="n">
        <v>98068</v>
      </c>
      <c r="B98069">
        <f>TEXT(98068, "[$-0E0000]yyyy-mm-dd")</f>
        <v/>
      </c>
    </row>
    <row r="98070">
      <c r="A98070" s="1" t="n">
        <v>98069</v>
      </c>
      <c r="B98070">
        <f>TEXT(98069, "[$-0E0000]yyyy-mm-dd")</f>
        <v/>
      </c>
    </row>
    <row r="98071">
      <c r="A98071" s="1" t="n">
        <v>98070</v>
      </c>
      <c r="B98071">
        <f>TEXT(98070, "[$-0E0000]yyyy-mm-dd")</f>
        <v/>
      </c>
    </row>
    <row r="98072">
      <c r="A98072" s="1" t="n">
        <v>98071</v>
      </c>
      <c r="B98072">
        <f>TEXT(98071, "[$-0E0000]yyyy-mm-dd")</f>
        <v/>
      </c>
    </row>
    <row r="98073">
      <c r="A98073" s="1" t="n">
        <v>98072</v>
      </c>
      <c r="B98073">
        <f>TEXT(98072, "[$-0E0000]yyyy-mm-dd")</f>
        <v/>
      </c>
    </row>
    <row r="98074">
      <c r="A98074" s="1" t="n">
        <v>98073</v>
      </c>
      <c r="B98074">
        <f>TEXT(98073, "[$-0E0000]yyyy-mm-dd")</f>
        <v/>
      </c>
    </row>
    <row r="98075">
      <c r="A98075" s="1" t="n">
        <v>98074</v>
      </c>
      <c r="B98075">
        <f>TEXT(98074, "[$-0E0000]yyyy-mm-dd")</f>
        <v/>
      </c>
    </row>
    <row r="98076">
      <c r="A98076" s="1" t="n">
        <v>98075</v>
      </c>
      <c r="B98076">
        <f>TEXT(98075, "[$-0E0000]yyyy-mm-dd")</f>
        <v/>
      </c>
    </row>
    <row r="98077">
      <c r="A98077" s="1" t="n">
        <v>98076</v>
      </c>
      <c r="B98077">
        <f>TEXT(98076, "[$-0E0000]yyyy-mm-dd")</f>
        <v/>
      </c>
    </row>
    <row r="98078">
      <c r="A98078" s="1" t="n">
        <v>98077</v>
      </c>
      <c r="B98078">
        <f>TEXT(98077, "[$-0E0000]yyyy-mm-dd")</f>
        <v/>
      </c>
    </row>
    <row r="98079">
      <c r="A98079" s="1" t="n">
        <v>98078</v>
      </c>
      <c r="B98079">
        <f>TEXT(98078, "[$-0E0000]yyyy-mm-dd")</f>
        <v/>
      </c>
    </row>
    <row r="98080">
      <c r="A98080" s="1" t="n">
        <v>98079</v>
      </c>
      <c r="B98080">
        <f>TEXT(98079, "[$-0E0000]yyyy-mm-dd")</f>
        <v/>
      </c>
    </row>
    <row r="98081">
      <c r="A98081" s="1" t="n">
        <v>98080</v>
      </c>
      <c r="B98081">
        <f>TEXT(98080, "[$-0E0000]yyyy-mm-dd")</f>
        <v/>
      </c>
    </row>
    <row r="98082">
      <c r="A98082" s="1" t="n">
        <v>98081</v>
      </c>
      <c r="B98082">
        <f>TEXT(98081, "[$-0E0000]yyyy-mm-dd")</f>
        <v/>
      </c>
    </row>
    <row r="98083">
      <c r="A98083" s="1" t="n">
        <v>98082</v>
      </c>
      <c r="B98083">
        <f>TEXT(98082, "[$-0E0000]yyyy-mm-dd")</f>
        <v/>
      </c>
    </row>
    <row r="98084">
      <c r="A98084" s="1" t="n">
        <v>98083</v>
      </c>
      <c r="B98084">
        <f>TEXT(98083, "[$-0E0000]yyyy-mm-dd")</f>
        <v/>
      </c>
    </row>
    <row r="98085">
      <c r="A98085" s="1" t="n">
        <v>98084</v>
      </c>
      <c r="B98085">
        <f>TEXT(98084, "[$-0E0000]yyyy-mm-dd")</f>
        <v/>
      </c>
    </row>
    <row r="98086">
      <c r="A98086" s="1" t="n">
        <v>98085</v>
      </c>
      <c r="B98086">
        <f>TEXT(98085, "[$-0E0000]yyyy-mm-dd")</f>
        <v/>
      </c>
    </row>
    <row r="98087">
      <c r="A98087" s="1" t="n">
        <v>98086</v>
      </c>
      <c r="B98087">
        <f>TEXT(98086, "[$-0E0000]yyyy-mm-dd")</f>
        <v/>
      </c>
    </row>
    <row r="98088">
      <c r="A98088" s="1" t="n">
        <v>98087</v>
      </c>
      <c r="B98088">
        <f>TEXT(98087, "[$-0E0000]yyyy-mm-dd")</f>
        <v/>
      </c>
    </row>
    <row r="98089">
      <c r="A98089" s="1" t="n">
        <v>98088</v>
      </c>
      <c r="B98089">
        <f>TEXT(98088, "[$-0E0000]yyyy-mm-dd")</f>
        <v/>
      </c>
    </row>
    <row r="98090">
      <c r="A98090" s="1" t="n">
        <v>98089</v>
      </c>
      <c r="B98090">
        <f>TEXT(98089, "[$-0E0000]yyyy-mm-dd")</f>
        <v/>
      </c>
    </row>
    <row r="98091">
      <c r="A98091" s="1" t="n">
        <v>98090</v>
      </c>
      <c r="B98091">
        <f>TEXT(98090, "[$-0E0000]yyyy-mm-dd")</f>
        <v/>
      </c>
    </row>
    <row r="98092">
      <c r="A98092" s="1" t="n">
        <v>98091</v>
      </c>
      <c r="B98092">
        <f>TEXT(98091, "[$-0E0000]yyyy-mm-dd")</f>
        <v/>
      </c>
    </row>
    <row r="98093">
      <c r="A98093" s="1" t="n">
        <v>98092</v>
      </c>
      <c r="B98093">
        <f>TEXT(98092, "[$-0E0000]yyyy-mm-dd")</f>
        <v/>
      </c>
    </row>
    <row r="98094">
      <c r="A98094" s="1" t="n">
        <v>98093</v>
      </c>
      <c r="B98094">
        <f>TEXT(98093, "[$-0E0000]yyyy-mm-dd")</f>
        <v/>
      </c>
    </row>
    <row r="98095">
      <c r="A98095" s="1" t="n">
        <v>98094</v>
      </c>
      <c r="B98095">
        <f>TEXT(98094, "[$-0E0000]yyyy-mm-dd")</f>
        <v/>
      </c>
    </row>
    <row r="98096">
      <c r="A98096" s="1" t="n">
        <v>98095</v>
      </c>
      <c r="B98096">
        <f>TEXT(98095, "[$-0E0000]yyyy-mm-dd")</f>
        <v/>
      </c>
    </row>
    <row r="98097">
      <c r="A98097" s="1" t="n">
        <v>98096</v>
      </c>
      <c r="B98097">
        <f>TEXT(98096, "[$-0E0000]yyyy-mm-dd")</f>
        <v/>
      </c>
    </row>
    <row r="98098">
      <c r="A98098" s="1" t="n">
        <v>98097</v>
      </c>
      <c r="B98098">
        <f>TEXT(98097, "[$-0E0000]yyyy-mm-dd")</f>
        <v/>
      </c>
    </row>
    <row r="98099">
      <c r="A98099" s="1" t="n">
        <v>98098</v>
      </c>
      <c r="B98099">
        <f>TEXT(98098, "[$-0E0000]yyyy-mm-dd")</f>
        <v/>
      </c>
    </row>
    <row r="98100">
      <c r="A98100" s="1" t="n">
        <v>98099</v>
      </c>
      <c r="B98100">
        <f>TEXT(98099, "[$-0E0000]yyyy-mm-dd")</f>
        <v/>
      </c>
    </row>
    <row r="98101">
      <c r="A98101" s="1" t="n">
        <v>98100</v>
      </c>
      <c r="B98101">
        <f>TEXT(98100, "[$-0E0000]yyyy-mm-dd")</f>
        <v/>
      </c>
    </row>
    <row r="98102">
      <c r="A98102" s="1" t="n">
        <v>98101</v>
      </c>
      <c r="B98102">
        <f>TEXT(98101, "[$-0E0000]yyyy-mm-dd")</f>
        <v/>
      </c>
    </row>
    <row r="98103">
      <c r="A98103" s="1" t="n">
        <v>98102</v>
      </c>
      <c r="B98103">
        <f>TEXT(98102, "[$-0E0000]yyyy-mm-dd")</f>
        <v/>
      </c>
    </row>
    <row r="98104">
      <c r="A98104" s="1" t="n">
        <v>98103</v>
      </c>
      <c r="B98104">
        <f>TEXT(98103, "[$-0E0000]yyyy-mm-dd")</f>
        <v/>
      </c>
    </row>
    <row r="98105">
      <c r="A98105" s="1" t="n">
        <v>98104</v>
      </c>
      <c r="B98105">
        <f>TEXT(98104, "[$-0E0000]yyyy-mm-dd")</f>
        <v/>
      </c>
    </row>
    <row r="98106">
      <c r="A98106" s="1" t="n">
        <v>98105</v>
      </c>
      <c r="B98106">
        <f>TEXT(98105, "[$-0E0000]yyyy-mm-dd")</f>
        <v/>
      </c>
    </row>
    <row r="98107">
      <c r="A98107" s="1" t="n">
        <v>98106</v>
      </c>
      <c r="B98107">
        <f>TEXT(98106, "[$-0E0000]yyyy-mm-dd")</f>
        <v/>
      </c>
    </row>
    <row r="98108">
      <c r="A98108" s="1" t="n">
        <v>98107</v>
      </c>
      <c r="B98108">
        <f>TEXT(98107, "[$-0E0000]yyyy-mm-dd")</f>
        <v/>
      </c>
    </row>
    <row r="98109">
      <c r="A98109" s="1" t="n">
        <v>98108</v>
      </c>
      <c r="B98109">
        <f>TEXT(98108, "[$-0E0000]yyyy-mm-dd")</f>
        <v/>
      </c>
    </row>
    <row r="98110">
      <c r="A98110" s="1" t="n">
        <v>98109</v>
      </c>
      <c r="B98110">
        <f>TEXT(98109, "[$-0E0000]yyyy-mm-dd")</f>
        <v/>
      </c>
    </row>
    <row r="98111">
      <c r="A98111" s="1" t="n">
        <v>98110</v>
      </c>
      <c r="B98111">
        <f>TEXT(98110, "[$-0E0000]yyyy-mm-dd")</f>
        <v/>
      </c>
    </row>
    <row r="98112">
      <c r="A98112" s="1" t="n">
        <v>98111</v>
      </c>
      <c r="B98112">
        <f>TEXT(98111, "[$-0E0000]yyyy-mm-dd")</f>
        <v/>
      </c>
    </row>
    <row r="98113">
      <c r="A98113" s="1" t="n">
        <v>98112</v>
      </c>
      <c r="B98113">
        <f>TEXT(98112, "[$-0E0000]yyyy-mm-dd")</f>
        <v/>
      </c>
    </row>
    <row r="98114">
      <c r="A98114" s="1" t="n">
        <v>98113</v>
      </c>
      <c r="B98114">
        <f>TEXT(98113, "[$-0E0000]yyyy-mm-dd")</f>
        <v/>
      </c>
    </row>
    <row r="98115">
      <c r="A98115" s="1" t="n">
        <v>98114</v>
      </c>
      <c r="B98115">
        <f>TEXT(98114, "[$-0E0000]yyyy-mm-dd")</f>
        <v/>
      </c>
    </row>
    <row r="98116">
      <c r="A98116" s="1" t="n">
        <v>98115</v>
      </c>
      <c r="B98116">
        <f>TEXT(98115, "[$-0E0000]yyyy-mm-dd")</f>
        <v/>
      </c>
    </row>
    <row r="98117">
      <c r="A98117" s="1" t="n">
        <v>98116</v>
      </c>
      <c r="B98117">
        <f>TEXT(98116, "[$-0E0000]yyyy-mm-dd")</f>
        <v/>
      </c>
    </row>
    <row r="98118">
      <c r="A98118" s="1" t="n">
        <v>98117</v>
      </c>
      <c r="B98118">
        <f>TEXT(98117, "[$-0E0000]yyyy-mm-dd")</f>
        <v/>
      </c>
    </row>
    <row r="98119">
      <c r="A98119" s="1" t="n">
        <v>98118</v>
      </c>
      <c r="B98119">
        <f>TEXT(98118, "[$-0E0000]yyyy-mm-dd")</f>
        <v/>
      </c>
    </row>
    <row r="98120">
      <c r="A98120" s="1" t="n">
        <v>98119</v>
      </c>
      <c r="B98120">
        <f>TEXT(98119, "[$-0E0000]yyyy-mm-dd")</f>
        <v/>
      </c>
    </row>
    <row r="98121">
      <c r="A98121" s="1" t="n">
        <v>98120</v>
      </c>
      <c r="B98121">
        <f>TEXT(98120, "[$-0E0000]yyyy-mm-dd")</f>
        <v/>
      </c>
    </row>
    <row r="98122">
      <c r="A98122" s="1" t="n">
        <v>98121</v>
      </c>
      <c r="B98122">
        <f>TEXT(98121, "[$-0E0000]yyyy-mm-dd")</f>
        <v/>
      </c>
    </row>
    <row r="98123">
      <c r="A98123" s="1" t="n">
        <v>98122</v>
      </c>
      <c r="B98123">
        <f>TEXT(98122, "[$-0E0000]yyyy-mm-dd")</f>
        <v/>
      </c>
    </row>
    <row r="98124">
      <c r="A98124" s="1" t="n">
        <v>98123</v>
      </c>
      <c r="B98124">
        <f>TEXT(98123, "[$-0E0000]yyyy-mm-dd")</f>
        <v/>
      </c>
    </row>
    <row r="98125">
      <c r="A98125" s="1" t="n">
        <v>98124</v>
      </c>
      <c r="B98125">
        <f>TEXT(98124, "[$-0E0000]yyyy-mm-dd")</f>
        <v/>
      </c>
    </row>
    <row r="98126">
      <c r="A98126" s="1" t="n">
        <v>98125</v>
      </c>
      <c r="B98126">
        <f>TEXT(98125, "[$-0E0000]yyyy-mm-dd")</f>
        <v/>
      </c>
    </row>
    <row r="98127">
      <c r="A98127" s="1" t="n">
        <v>98126</v>
      </c>
      <c r="B98127">
        <f>TEXT(98126, "[$-0E0000]yyyy-mm-dd")</f>
        <v/>
      </c>
    </row>
    <row r="98128">
      <c r="A98128" s="1" t="n">
        <v>98127</v>
      </c>
      <c r="B98128">
        <f>TEXT(98127, "[$-0E0000]yyyy-mm-dd")</f>
        <v/>
      </c>
    </row>
    <row r="98129">
      <c r="A98129" s="1" t="n">
        <v>98128</v>
      </c>
      <c r="B98129">
        <f>TEXT(98128, "[$-0E0000]yyyy-mm-dd")</f>
        <v/>
      </c>
    </row>
    <row r="98130">
      <c r="A98130" s="1" t="n">
        <v>98129</v>
      </c>
      <c r="B98130">
        <f>TEXT(98129, "[$-0E0000]yyyy-mm-dd")</f>
        <v/>
      </c>
    </row>
    <row r="98131">
      <c r="A98131" s="1" t="n">
        <v>98130</v>
      </c>
      <c r="B98131">
        <f>TEXT(98130, "[$-0E0000]yyyy-mm-dd")</f>
        <v/>
      </c>
    </row>
    <row r="98132">
      <c r="A98132" s="1" t="n">
        <v>98131</v>
      </c>
      <c r="B98132">
        <f>TEXT(98131, "[$-0E0000]yyyy-mm-dd")</f>
        <v/>
      </c>
    </row>
    <row r="98133">
      <c r="A98133" s="1" t="n">
        <v>98132</v>
      </c>
      <c r="B98133">
        <f>TEXT(98132, "[$-0E0000]yyyy-mm-dd")</f>
        <v/>
      </c>
    </row>
    <row r="98134">
      <c r="A98134" s="1" t="n">
        <v>98133</v>
      </c>
      <c r="B98134">
        <f>TEXT(98133, "[$-0E0000]yyyy-mm-dd")</f>
        <v/>
      </c>
    </row>
    <row r="98135">
      <c r="A98135" s="1" t="n">
        <v>98134</v>
      </c>
      <c r="B98135">
        <f>TEXT(98134, "[$-0E0000]yyyy-mm-dd")</f>
        <v/>
      </c>
    </row>
    <row r="98136">
      <c r="A98136" s="1" t="n">
        <v>98135</v>
      </c>
      <c r="B98136">
        <f>TEXT(98135, "[$-0E0000]yyyy-mm-dd")</f>
        <v/>
      </c>
    </row>
    <row r="98137">
      <c r="A98137" s="1" t="n">
        <v>98136</v>
      </c>
      <c r="B98137">
        <f>TEXT(98136, "[$-0E0000]yyyy-mm-dd")</f>
        <v/>
      </c>
    </row>
    <row r="98138">
      <c r="A98138" s="1" t="n">
        <v>98137</v>
      </c>
      <c r="B98138">
        <f>TEXT(98137, "[$-0E0000]yyyy-mm-dd")</f>
        <v/>
      </c>
    </row>
    <row r="98139">
      <c r="A98139" s="1" t="n">
        <v>98138</v>
      </c>
      <c r="B98139">
        <f>TEXT(98138, "[$-0E0000]yyyy-mm-dd")</f>
        <v/>
      </c>
    </row>
    <row r="98140">
      <c r="A98140" s="1" t="n">
        <v>98139</v>
      </c>
      <c r="B98140">
        <f>TEXT(98139, "[$-0E0000]yyyy-mm-dd")</f>
        <v/>
      </c>
    </row>
    <row r="98141">
      <c r="A98141" s="1" t="n">
        <v>98140</v>
      </c>
      <c r="B98141">
        <f>TEXT(98140, "[$-0E0000]yyyy-mm-dd")</f>
        <v/>
      </c>
    </row>
    <row r="98142">
      <c r="A98142" s="1" t="n">
        <v>98141</v>
      </c>
      <c r="B98142">
        <f>TEXT(98141, "[$-0E0000]yyyy-mm-dd")</f>
        <v/>
      </c>
    </row>
    <row r="98143">
      <c r="A98143" s="1" t="n">
        <v>98142</v>
      </c>
      <c r="B98143">
        <f>TEXT(98142, "[$-0E0000]yyyy-mm-dd")</f>
        <v/>
      </c>
    </row>
    <row r="98144">
      <c r="A98144" s="1" t="n">
        <v>98143</v>
      </c>
      <c r="B98144">
        <f>TEXT(98143, "[$-0E0000]yyyy-mm-dd")</f>
        <v/>
      </c>
    </row>
    <row r="98145">
      <c r="A98145" s="1" t="n">
        <v>98144</v>
      </c>
      <c r="B98145">
        <f>TEXT(98144, "[$-0E0000]yyyy-mm-dd")</f>
        <v/>
      </c>
    </row>
    <row r="98146">
      <c r="A98146" s="1" t="n">
        <v>98145</v>
      </c>
      <c r="B98146">
        <f>TEXT(98145, "[$-0E0000]yyyy-mm-dd")</f>
        <v/>
      </c>
    </row>
    <row r="98147">
      <c r="A98147" s="1" t="n">
        <v>98146</v>
      </c>
      <c r="B98147">
        <f>TEXT(98146, "[$-0E0000]yyyy-mm-dd")</f>
        <v/>
      </c>
    </row>
    <row r="98148">
      <c r="A98148" s="1" t="n">
        <v>98147</v>
      </c>
      <c r="B98148">
        <f>TEXT(98147, "[$-0E0000]yyyy-mm-dd")</f>
        <v/>
      </c>
    </row>
    <row r="98149">
      <c r="A98149" s="1" t="n">
        <v>98148</v>
      </c>
      <c r="B98149">
        <f>TEXT(98148, "[$-0E0000]yyyy-mm-dd")</f>
        <v/>
      </c>
    </row>
    <row r="98150">
      <c r="A98150" s="1" t="n">
        <v>98149</v>
      </c>
      <c r="B98150">
        <f>TEXT(98149, "[$-0E0000]yyyy-mm-dd")</f>
        <v/>
      </c>
    </row>
    <row r="98151">
      <c r="A98151" s="1" t="n">
        <v>98150</v>
      </c>
      <c r="B98151">
        <f>TEXT(98150, "[$-0E0000]yyyy-mm-dd")</f>
        <v/>
      </c>
    </row>
    <row r="98152">
      <c r="A98152" s="1" t="n">
        <v>98151</v>
      </c>
      <c r="B98152">
        <f>TEXT(98151, "[$-0E0000]yyyy-mm-dd")</f>
        <v/>
      </c>
    </row>
    <row r="98153">
      <c r="A98153" s="1" t="n">
        <v>98152</v>
      </c>
      <c r="B98153">
        <f>TEXT(98152, "[$-0E0000]yyyy-mm-dd")</f>
        <v/>
      </c>
    </row>
    <row r="98154">
      <c r="A98154" s="1" t="n">
        <v>98153</v>
      </c>
      <c r="B98154">
        <f>TEXT(98153, "[$-0E0000]yyyy-mm-dd")</f>
        <v/>
      </c>
    </row>
    <row r="98155">
      <c r="A98155" s="1" t="n">
        <v>98154</v>
      </c>
      <c r="B98155">
        <f>TEXT(98154, "[$-0E0000]yyyy-mm-dd")</f>
        <v/>
      </c>
    </row>
    <row r="98156">
      <c r="A98156" s="1" t="n">
        <v>98155</v>
      </c>
      <c r="B98156">
        <f>TEXT(98155, "[$-0E0000]yyyy-mm-dd")</f>
        <v/>
      </c>
    </row>
    <row r="98157">
      <c r="A98157" s="1" t="n">
        <v>98156</v>
      </c>
      <c r="B98157">
        <f>TEXT(98156, "[$-0E0000]yyyy-mm-dd")</f>
        <v/>
      </c>
    </row>
    <row r="98158">
      <c r="A98158" s="1" t="n">
        <v>98157</v>
      </c>
      <c r="B98158">
        <f>TEXT(98157, "[$-0E0000]yyyy-mm-dd")</f>
        <v/>
      </c>
    </row>
    <row r="98159">
      <c r="A98159" s="1" t="n">
        <v>98158</v>
      </c>
      <c r="B98159">
        <f>TEXT(98158, "[$-0E0000]yyyy-mm-dd")</f>
        <v/>
      </c>
    </row>
    <row r="98160">
      <c r="A98160" s="1" t="n">
        <v>98159</v>
      </c>
      <c r="B98160">
        <f>TEXT(98159, "[$-0E0000]yyyy-mm-dd")</f>
        <v/>
      </c>
    </row>
    <row r="98161">
      <c r="A98161" s="1" t="n">
        <v>98160</v>
      </c>
      <c r="B98161">
        <f>TEXT(98160, "[$-0E0000]yyyy-mm-dd")</f>
        <v/>
      </c>
    </row>
    <row r="98162">
      <c r="A98162" s="1" t="n">
        <v>98161</v>
      </c>
      <c r="B98162">
        <f>TEXT(98161, "[$-0E0000]yyyy-mm-dd")</f>
        <v/>
      </c>
    </row>
    <row r="98163">
      <c r="A98163" s="1" t="n">
        <v>98162</v>
      </c>
      <c r="B98163">
        <f>TEXT(98162, "[$-0E0000]yyyy-mm-dd")</f>
        <v/>
      </c>
    </row>
    <row r="98164">
      <c r="A98164" s="1" t="n">
        <v>98163</v>
      </c>
      <c r="B98164">
        <f>TEXT(98163, "[$-0E0000]yyyy-mm-dd")</f>
        <v/>
      </c>
    </row>
    <row r="98165">
      <c r="A98165" s="1" t="n">
        <v>98164</v>
      </c>
      <c r="B98165">
        <f>TEXT(98164, "[$-0E0000]yyyy-mm-dd")</f>
        <v/>
      </c>
    </row>
    <row r="98166">
      <c r="A98166" s="1" t="n">
        <v>98165</v>
      </c>
      <c r="B98166">
        <f>TEXT(98165, "[$-0E0000]yyyy-mm-dd")</f>
        <v/>
      </c>
    </row>
    <row r="98167">
      <c r="A98167" s="1" t="n">
        <v>98166</v>
      </c>
      <c r="B98167">
        <f>TEXT(98166, "[$-0E0000]yyyy-mm-dd")</f>
        <v/>
      </c>
    </row>
    <row r="98168">
      <c r="A98168" s="1" t="n">
        <v>98167</v>
      </c>
      <c r="B98168">
        <f>TEXT(98167, "[$-0E0000]yyyy-mm-dd")</f>
        <v/>
      </c>
    </row>
    <row r="98169">
      <c r="A98169" s="1" t="n">
        <v>98168</v>
      </c>
      <c r="B98169">
        <f>TEXT(98168, "[$-0E0000]yyyy-mm-dd")</f>
        <v/>
      </c>
    </row>
    <row r="98170">
      <c r="A98170" s="1" t="n">
        <v>98169</v>
      </c>
      <c r="B98170">
        <f>TEXT(98169, "[$-0E0000]yyyy-mm-dd")</f>
        <v/>
      </c>
    </row>
    <row r="98171">
      <c r="A98171" s="1" t="n">
        <v>98170</v>
      </c>
      <c r="B98171">
        <f>TEXT(98170, "[$-0E0000]yyyy-mm-dd")</f>
        <v/>
      </c>
    </row>
    <row r="98172">
      <c r="A98172" s="1" t="n">
        <v>98171</v>
      </c>
      <c r="B98172">
        <f>TEXT(98171, "[$-0E0000]yyyy-mm-dd")</f>
        <v/>
      </c>
    </row>
    <row r="98173">
      <c r="A98173" s="1" t="n">
        <v>98172</v>
      </c>
      <c r="B98173">
        <f>TEXT(98172, "[$-0E0000]yyyy-mm-dd")</f>
        <v/>
      </c>
    </row>
    <row r="98174">
      <c r="A98174" s="1" t="n">
        <v>98173</v>
      </c>
      <c r="B98174">
        <f>TEXT(98173, "[$-0E0000]yyyy-mm-dd")</f>
        <v/>
      </c>
    </row>
    <row r="98175">
      <c r="A98175" s="1" t="n">
        <v>98174</v>
      </c>
      <c r="B98175">
        <f>TEXT(98174, "[$-0E0000]yyyy-mm-dd")</f>
        <v/>
      </c>
    </row>
    <row r="98176">
      <c r="A98176" s="1" t="n">
        <v>98175</v>
      </c>
      <c r="B98176">
        <f>TEXT(98175, "[$-0E0000]yyyy-mm-dd")</f>
        <v/>
      </c>
    </row>
    <row r="98177">
      <c r="A98177" s="1" t="n">
        <v>98176</v>
      </c>
      <c r="B98177">
        <f>TEXT(98176, "[$-0E0000]yyyy-mm-dd")</f>
        <v/>
      </c>
    </row>
    <row r="98178">
      <c r="A98178" s="1" t="n">
        <v>98177</v>
      </c>
      <c r="B98178">
        <f>TEXT(98177, "[$-0E0000]yyyy-mm-dd")</f>
        <v/>
      </c>
    </row>
    <row r="98179">
      <c r="A98179" s="1" t="n">
        <v>98178</v>
      </c>
      <c r="B98179">
        <f>TEXT(98178, "[$-0E0000]yyyy-mm-dd")</f>
        <v/>
      </c>
    </row>
    <row r="98180">
      <c r="A98180" s="1" t="n">
        <v>98179</v>
      </c>
      <c r="B98180">
        <f>TEXT(98179, "[$-0E0000]yyyy-mm-dd")</f>
        <v/>
      </c>
    </row>
    <row r="98181">
      <c r="A98181" s="1" t="n">
        <v>98180</v>
      </c>
      <c r="B98181">
        <f>TEXT(98180, "[$-0E0000]yyyy-mm-dd")</f>
        <v/>
      </c>
    </row>
    <row r="98182">
      <c r="A98182" s="1" t="n">
        <v>98181</v>
      </c>
      <c r="B98182">
        <f>TEXT(98181, "[$-0E0000]yyyy-mm-dd")</f>
        <v/>
      </c>
    </row>
    <row r="98183">
      <c r="A98183" s="1" t="n">
        <v>98182</v>
      </c>
      <c r="B98183">
        <f>TEXT(98182, "[$-0E0000]yyyy-mm-dd")</f>
        <v/>
      </c>
    </row>
    <row r="98184">
      <c r="A98184" s="1" t="n">
        <v>98183</v>
      </c>
      <c r="B98184">
        <f>TEXT(98183, "[$-0E0000]yyyy-mm-dd")</f>
        <v/>
      </c>
    </row>
    <row r="98185">
      <c r="A98185" s="1" t="n">
        <v>98184</v>
      </c>
      <c r="B98185">
        <f>TEXT(98184, "[$-0E0000]yyyy-mm-dd")</f>
        <v/>
      </c>
    </row>
    <row r="98186">
      <c r="A98186" s="1" t="n">
        <v>98185</v>
      </c>
      <c r="B98186">
        <f>TEXT(98185, "[$-0E0000]yyyy-mm-dd")</f>
        <v/>
      </c>
    </row>
    <row r="98187">
      <c r="A98187" s="1" t="n">
        <v>98186</v>
      </c>
      <c r="B98187">
        <f>TEXT(98186, "[$-0E0000]yyyy-mm-dd")</f>
        <v/>
      </c>
    </row>
    <row r="98188">
      <c r="A98188" s="1" t="n">
        <v>98187</v>
      </c>
      <c r="B98188">
        <f>TEXT(98187, "[$-0E0000]yyyy-mm-dd")</f>
        <v/>
      </c>
    </row>
    <row r="98189">
      <c r="A98189" s="1" t="n">
        <v>98188</v>
      </c>
      <c r="B98189">
        <f>TEXT(98188, "[$-0E0000]yyyy-mm-dd")</f>
        <v/>
      </c>
    </row>
    <row r="98190">
      <c r="A98190" s="1" t="n">
        <v>98189</v>
      </c>
      <c r="B98190">
        <f>TEXT(98189, "[$-0E0000]yyyy-mm-dd")</f>
        <v/>
      </c>
    </row>
    <row r="98191">
      <c r="A98191" s="1" t="n">
        <v>98190</v>
      </c>
      <c r="B98191">
        <f>TEXT(98190, "[$-0E0000]yyyy-mm-dd")</f>
        <v/>
      </c>
    </row>
    <row r="98192">
      <c r="A98192" s="1" t="n">
        <v>98191</v>
      </c>
      <c r="B98192">
        <f>TEXT(98191, "[$-0E0000]yyyy-mm-dd")</f>
        <v/>
      </c>
    </row>
    <row r="98193">
      <c r="A98193" s="1" t="n">
        <v>98192</v>
      </c>
      <c r="B98193">
        <f>TEXT(98192, "[$-0E0000]yyyy-mm-dd")</f>
        <v/>
      </c>
    </row>
    <row r="98194">
      <c r="A98194" s="1" t="n">
        <v>98193</v>
      </c>
      <c r="B98194">
        <f>TEXT(98193, "[$-0E0000]yyyy-mm-dd")</f>
        <v/>
      </c>
    </row>
    <row r="98195">
      <c r="A98195" s="1" t="n">
        <v>98194</v>
      </c>
      <c r="B98195">
        <f>TEXT(98194, "[$-0E0000]yyyy-mm-dd")</f>
        <v/>
      </c>
    </row>
    <row r="98196">
      <c r="A98196" s="1" t="n">
        <v>98195</v>
      </c>
      <c r="B98196">
        <f>TEXT(98195, "[$-0E0000]yyyy-mm-dd")</f>
        <v/>
      </c>
    </row>
    <row r="98197">
      <c r="A98197" s="1" t="n">
        <v>98196</v>
      </c>
      <c r="B98197">
        <f>TEXT(98196, "[$-0E0000]yyyy-mm-dd")</f>
        <v/>
      </c>
    </row>
    <row r="98198">
      <c r="A98198" s="1" t="n">
        <v>98197</v>
      </c>
      <c r="B98198">
        <f>TEXT(98197, "[$-0E0000]yyyy-mm-dd")</f>
        <v/>
      </c>
    </row>
    <row r="98199">
      <c r="A98199" s="1" t="n">
        <v>98198</v>
      </c>
      <c r="B98199">
        <f>TEXT(98198, "[$-0E0000]yyyy-mm-dd")</f>
        <v/>
      </c>
    </row>
    <row r="98200">
      <c r="A98200" s="1" t="n">
        <v>98199</v>
      </c>
      <c r="B98200">
        <f>TEXT(98199, "[$-0E0000]yyyy-mm-dd")</f>
        <v/>
      </c>
    </row>
    <row r="98201">
      <c r="A98201" s="1" t="n">
        <v>98200</v>
      </c>
      <c r="B98201">
        <f>TEXT(98200, "[$-0E0000]yyyy-mm-dd")</f>
        <v/>
      </c>
    </row>
    <row r="98202">
      <c r="A98202" s="1" t="n">
        <v>98201</v>
      </c>
      <c r="B98202">
        <f>TEXT(98201, "[$-0E0000]yyyy-mm-dd")</f>
        <v/>
      </c>
    </row>
    <row r="98203">
      <c r="A98203" s="1" t="n">
        <v>98202</v>
      </c>
      <c r="B98203">
        <f>TEXT(98202, "[$-0E0000]yyyy-mm-dd")</f>
        <v/>
      </c>
    </row>
    <row r="98204">
      <c r="A98204" s="1" t="n">
        <v>98203</v>
      </c>
      <c r="B98204">
        <f>TEXT(98203, "[$-0E0000]yyyy-mm-dd")</f>
        <v/>
      </c>
    </row>
    <row r="98205">
      <c r="A98205" s="1" t="n">
        <v>98204</v>
      </c>
      <c r="B98205">
        <f>TEXT(98204, "[$-0E0000]yyyy-mm-dd")</f>
        <v/>
      </c>
    </row>
    <row r="98206">
      <c r="A98206" s="1" t="n">
        <v>98205</v>
      </c>
      <c r="B98206">
        <f>TEXT(98205, "[$-0E0000]yyyy-mm-dd")</f>
        <v/>
      </c>
    </row>
    <row r="98207">
      <c r="A98207" s="1" t="n">
        <v>98206</v>
      </c>
      <c r="B98207">
        <f>TEXT(98206, "[$-0E0000]yyyy-mm-dd")</f>
        <v/>
      </c>
    </row>
    <row r="98208">
      <c r="A98208" s="1" t="n">
        <v>98207</v>
      </c>
      <c r="B98208">
        <f>TEXT(98207, "[$-0E0000]yyyy-mm-dd")</f>
        <v/>
      </c>
    </row>
    <row r="98209">
      <c r="A98209" s="1" t="n">
        <v>98208</v>
      </c>
      <c r="B98209">
        <f>TEXT(98208, "[$-0E0000]yyyy-mm-dd")</f>
        <v/>
      </c>
    </row>
    <row r="98210">
      <c r="A98210" s="1" t="n">
        <v>98209</v>
      </c>
      <c r="B98210">
        <f>TEXT(98209, "[$-0E0000]yyyy-mm-dd")</f>
        <v/>
      </c>
    </row>
    <row r="98211">
      <c r="A98211" s="1" t="n">
        <v>98210</v>
      </c>
      <c r="B98211">
        <f>TEXT(98210, "[$-0E0000]yyyy-mm-dd")</f>
        <v/>
      </c>
    </row>
    <row r="98212">
      <c r="A98212" s="1" t="n">
        <v>98211</v>
      </c>
      <c r="B98212">
        <f>TEXT(98211, "[$-0E0000]yyyy-mm-dd")</f>
        <v/>
      </c>
    </row>
    <row r="98213">
      <c r="A98213" s="1" t="n">
        <v>98212</v>
      </c>
      <c r="B98213">
        <f>TEXT(98212, "[$-0E0000]yyyy-mm-dd")</f>
        <v/>
      </c>
    </row>
    <row r="98214">
      <c r="A98214" s="1" t="n">
        <v>98213</v>
      </c>
      <c r="B98214">
        <f>TEXT(98213, "[$-0E0000]yyyy-mm-dd")</f>
        <v/>
      </c>
    </row>
    <row r="98215">
      <c r="A98215" s="1" t="n">
        <v>98214</v>
      </c>
      <c r="B98215">
        <f>TEXT(98214, "[$-0E0000]yyyy-mm-dd")</f>
        <v/>
      </c>
    </row>
    <row r="98216">
      <c r="A98216" s="1" t="n">
        <v>98215</v>
      </c>
      <c r="B98216">
        <f>TEXT(98215, "[$-0E0000]yyyy-mm-dd")</f>
        <v/>
      </c>
    </row>
    <row r="98217">
      <c r="A98217" s="1" t="n">
        <v>98216</v>
      </c>
      <c r="B98217">
        <f>TEXT(98216, "[$-0E0000]yyyy-mm-dd")</f>
        <v/>
      </c>
    </row>
    <row r="98218">
      <c r="A98218" s="1" t="n">
        <v>98217</v>
      </c>
      <c r="B98218">
        <f>TEXT(98217, "[$-0E0000]yyyy-mm-dd")</f>
        <v/>
      </c>
    </row>
    <row r="98219">
      <c r="A98219" s="1" t="n">
        <v>98218</v>
      </c>
      <c r="B98219">
        <f>TEXT(98218, "[$-0E0000]yyyy-mm-dd")</f>
        <v/>
      </c>
    </row>
    <row r="98220">
      <c r="A98220" s="1" t="n">
        <v>98219</v>
      </c>
      <c r="B98220">
        <f>TEXT(98219, "[$-0E0000]yyyy-mm-dd")</f>
        <v/>
      </c>
    </row>
    <row r="98221">
      <c r="A98221" s="1" t="n">
        <v>98220</v>
      </c>
      <c r="B98221">
        <f>TEXT(98220, "[$-0E0000]yyyy-mm-dd")</f>
        <v/>
      </c>
    </row>
    <row r="98222">
      <c r="A98222" s="1" t="n">
        <v>98221</v>
      </c>
      <c r="B98222">
        <f>TEXT(98221, "[$-0E0000]yyyy-mm-dd")</f>
        <v/>
      </c>
    </row>
    <row r="98223">
      <c r="A98223" s="1" t="n">
        <v>98222</v>
      </c>
      <c r="B98223">
        <f>TEXT(98222, "[$-0E0000]yyyy-mm-dd")</f>
        <v/>
      </c>
    </row>
    <row r="98224">
      <c r="A98224" s="1" t="n">
        <v>98223</v>
      </c>
      <c r="B98224">
        <f>TEXT(98223, "[$-0E0000]yyyy-mm-dd")</f>
        <v/>
      </c>
    </row>
    <row r="98225">
      <c r="A98225" s="1" t="n">
        <v>98224</v>
      </c>
      <c r="B98225">
        <f>TEXT(98224, "[$-0E0000]yyyy-mm-dd")</f>
        <v/>
      </c>
    </row>
    <row r="98226">
      <c r="A98226" s="1" t="n">
        <v>98225</v>
      </c>
      <c r="B98226">
        <f>TEXT(98225, "[$-0E0000]yyyy-mm-dd")</f>
        <v/>
      </c>
    </row>
    <row r="98227">
      <c r="A98227" s="1" t="n">
        <v>98226</v>
      </c>
      <c r="B98227">
        <f>TEXT(98226, "[$-0E0000]yyyy-mm-dd")</f>
        <v/>
      </c>
    </row>
    <row r="98228">
      <c r="A98228" s="1" t="n">
        <v>98227</v>
      </c>
      <c r="B98228">
        <f>TEXT(98227, "[$-0E0000]yyyy-mm-dd")</f>
        <v/>
      </c>
    </row>
    <row r="98229">
      <c r="A98229" s="1" t="n">
        <v>98228</v>
      </c>
      <c r="B98229">
        <f>TEXT(98228, "[$-0E0000]yyyy-mm-dd")</f>
        <v/>
      </c>
    </row>
    <row r="98230">
      <c r="A98230" s="1" t="n">
        <v>98229</v>
      </c>
      <c r="B98230">
        <f>TEXT(98229, "[$-0E0000]yyyy-mm-dd")</f>
        <v/>
      </c>
    </row>
    <row r="98231">
      <c r="A98231" s="1" t="n">
        <v>98230</v>
      </c>
      <c r="B98231">
        <f>TEXT(98230, "[$-0E0000]yyyy-mm-dd")</f>
        <v/>
      </c>
    </row>
    <row r="98232">
      <c r="A98232" s="1" t="n">
        <v>98231</v>
      </c>
      <c r="B98232">
        <f>TEXT(98231, "[$-0E0000]yyyy-mm-dd")</f>
        <v/>
      </c>
    </row>
    <row r="98233">
      <c r="A98233" s="1" t="n">
        <v>98232</v>
      </c>
      <c r="B98233">
        <f>TEXT(98232, "[$-0E0000]yyyy-mm-dd")</f>
        <v/>
      </c>
    </row>
    <row r="98234">
      <c r="A98234" s="1" t="n">
        <v>98233</v>
      </c>
      <c r="B98234">
        <f>TEXT(98233, "[$-0E0000]yyyy-mm-dd")</f>
        <v/>
      </c>
    </row>
    <row r="98235">
      <c r="A98235" s="1" t="n">
        <v>98234</v>
      </c>
      <c r="B98235">
        <f>TEXT(98234, "[$-0E0000]yyyy-mm-dd")</f>
        <v/>
      </c>
    </row>
    <row r="98236">
      <c r="A98236" s="1" t="n">
        <v>98235</v>
      </c>
      <c r="B98236">
        <f>TEXT(98235, "[$-0E0000]yyyy-mm-dd")</f>
        <v/>
      </c>
    </row>
    <row r="98237">
      <c r="A98237" s="1" t="n">
        <v>98236</v>
      </c>
      <c r="B98237">
        <f>TEXT(98236, "[$-0E0000]yyyy-mm-dd")</f>
        <v/>
      </c>
    </row>
    <row r="98238">
      <c r="A98238" s="1" t="n">
        <v>98237</v>
      </c>
      <c r="B98238">
        <f>TEXT(98237, "[$-0E0000]yyyy-mm-dd")</f>
        <v/>
      </c>
    </row>
    <row r="98239">
      <c r="A98239" s="1" t="n">
        <v>98238</v>
      </c>
      <c r="B98239">
        <f>TEXT(98238, "[$-0E0000]yyyy-mm-dd")</f>
        <v/>
      </c>
    </row>
    <row r="98240">
      <c r="A98240" s="1" t="n">
        <v>98239</v>
      </c>
      <c r="B98240">
        <f>TEXT(98239, "[$-0E0000]yyyy-mm-dd")</f>
        <v/>
      </c>
    </row>
    <row r="98241">
      <c r="A98241" s="1" t="n">
        <v>98240</v>
      </c>
      <c r="B98241">
        <f>TEXT(98240, "[$-0E0000]yyyy-mm-dd")</f>
        <v/>
      </c>
    </row>
    <row r="98242">
      <c r="A98242" s="1" t="n">
        <v>98241</v>
      </c>
      <c r="B98242">
        <f>TEXT(98241, "[$-0E0000]yyyy-mm-dd")</f>
        <v/>
      </c>
    </row>
    <row r="98243">
      <c r="A98243" s="1" t="n">
        <v>98242</v>
      </c>
      <c r="B98243">
        <f>TEXT(98242, "[$-0E0000]yyyy-mm-dd")</f>
        <v/>
      </c>
    </row>
    <row r="98244">
      <c r="A98244" s="1" t="n">
        <v>98243</v>
      </c>
      <c r="B98244">
        <f>TEXT(98243, "[$-0E0000]yyyy-mm-dd")</f>
        <v/>
      </c>
    </row>
    <row r="98245">
      <c r="A98245" s="1" t="n">
        <v>98244</v>
      </c>
      <c r="B98245">
        <f>TEXT(98244, "[$-0E0000]yyyy-mm-dd")</f>
        <v/>
      </c>
    </row>
    <row r="98246">
      <c r="A98246" s="1" t="n">
        <v>98245</v>
      </c>
      <c r="B98246">
        <f>TEXT(98245, "[$-0E0000]yyyy-mm-dd")</f>
        <v/>
      </c>
    </row>
    <row r="98247">
      <c r="A98247" s="1" t="n">
        <v>98246</v>
      </c>
      <c r="B98247">
        <f>TEXT(98246, "[$-0E0000]yyyy-mm-dd")</f>
        <v/>
      </c>
    </row>
    <row r="98248">
      <c r="A98248" s="1" t="n">
        <v>98247</v>
      </c>
      <c r="B98248">
        <f>TEXT(98247, "[$-0E0000]yyyy-mm-dd")</f>
        <v/>
      </c>
    </row>
    <row r="98249">
      <c r="A98249" s="1" t="n">
        <v>98248</v>
      </c>
      <c r="B98249">
        <f>TEXT(98248, "[$-0E0000]yyyy-mm-dd")</f>
        <v/>
      </c>
    </row>
    <row r="98250">
      <c r="A98250" s="1" t="n">
        <v>98249</v>
      </c>
      <c r="B98250">
        <f>TEXT(98249, "[$-0E0000]yyyy-mm-dd")</f>
        <v/>
      </c>
    </row>
    <row r="98251">
      <c r="A98251" s="1" t="n">
        <v>98250</v>
      </c>
      <c r="B98251">
        <f>TEXT(98250, "[$-0E0000]yyyy-mm-dd")</f>
        <v/>
      </c>
    </row>
    <row r="98252">
      <c r="A98252" s="1" t="n">
        <v>98251</v>
      </c>
      <c r="B98252">
        <f>TEXT(98251, "[$-0E0000]yyyy-mm-dd")</f>
        <v/>
      </c>
    </row>
    <row r="98253">
      <c r="A98253" s="1" t="n">
        <v>98252</v>
      </c>
      <c r="B98253">
        <f>TEXT(98252, "[$-0E0000]yyyy-mm-dd")</f>
        <v/>
      </c>
    </row>
    <row r="98254">
      <c r="A98254" s="1" t="n">
        <v>98253</v>
      </c>
      <c r="B98254">
        <f>TEXT(98253, "[$-0E0000]yyyy-mm-dd")</f>
        <v/>
      </c>
    </row>
    <row r="98255">
      <c r="A98255" s="1" t="n">
        <v>98254</v>
      </c>
      <c r="B98255">
        <f>TEXT(98254, "[$-0E0000]yyyy-mm-dd")</f>
        <v/>
      </c>
    </row>
    <row r="98256">
      <c r="A98256" s="1" t="n">
        <v>98255</v>
      </c>
      <c r="B98256">
        <f>TEXT(98255, "[$-0E0000]yyyy-mm-dd")</f>
        <v/>
      </c>
    </row>
    <row r="98257">
      <c r="A98257" s="1" t="n">
        <v>98256</v>
      </c>
      <c r="B98257">
        <f>TEXT(98256, "[$-0E0000]yyyy-mm-dd")</f>
        <v/>
      </c>
    </row>
    <row r="98258">
      <c r="A98258" s="1" t="n">
        <v>98257</v>
      </c>
      <c r="B98258">
        <f>TEXT(98257, "[$-0E0000]yyyy-mm-dd")</f>
        <v/>
      </c>
    </row>
    <row r="98259">
      <c r="A98259" s="1" t="n">
        <v>98258</v>
      </c>
      <c r="B98259">
        <f>TEXT(98258, "[$-0E0000]yyyy-mm-dd")</f>
        <v/>
      </c>
    </row>
    <row r="98260">
      <c r="A98260" s="1" t="n">
        <v>98259</v>
      </c>
      <c r="B98260">
        <f>TEXT(98259, "[$-0E0000]yyyy-mm-dd")</f>
        <v/>
      </c>
    </row>
    <row r="98261">
      <c r="A98261" s="1" t="n">
        <v>98260</v>
      </c>
      <c r="B98261">
        <f>TEXT(98260, "[$-0E0000]yyyy-mm-dd")</f>
        <v/>
      </c>
    </row>
    <row r="98262">
      <c r="A98262" s="1" t="n">
        <v>98261</v>
      </c>
      <c r="B98262">
        <f>TEXT(98261, "[$-0E0000]yyyy-mm-dd")</f>
        <v/>
      </c>
    </row>
    <row r="98263">
      <c r="A98263" s="1" t="n">
        <v>98262</v>
      </c>
      <c r="B98263">
        <f>TEXT(98262, "[$-0E0000]yyyy-mm-dd")</f>
        <v/>
      </c>
    </row>
    <row r="98264">
      <c r="A98264" s="1" t="n">
        <v>98263</v>
      </c>
      <c r="B98264">
        <f>TEXT(98263, "[$-0E0000]yyyy-mm-dd")</f>
        <v/>
      </c>
    </row>
    <row r="98265">
      <c r="A98265" s="1" t="n">
        <v>98264</v>
      </c>
      <c r="B98265">
        <f>TEXT(98264, "[$-0E0000]yyyy-mm-dd")</f>
        <v/>
      </c>
    </row>
    <row r="98266">
      <c r="A98266" s="1" t="n">
        <v>98265</v>
      </c>
      <c r="B98266">
        <f>TEXT(98265, "[$-0E0000]yyyy-mm-dd")</f>
        <v/>
      </c>
    </row>
    <row r="98267">
      <c r="A98267" s="1" t="n">
        <v>98266</v>
      </c>
      <c r="B98267">
        <f>TEXT(98266, "[$-0E0000]yyyy-mm-dd")</f>
        <v/>
      </c>
    </row>
    <row r="98268">
      <c r="A98268" s="1" t="n">
        <v>98267</v>
      </c>
      <c r="B98268">
        <f>TEXT(98267, "[$-0E0000]yyyy-mm-dd")</f>
        <v/>
      </c>
    </row>
    <row r="98269">
      <c r="A98269" s="1" t="n">
        <v>98268</v>
      </c>
      <c r="B98269">
        <f>TEXT(98268, "[$-0E0000]yyyy-mm-dd")</f>
        <v/>
      </c>
    </row>
    <row r="98270">
      <c r="A98270" s="1" t="n">
        <v>98269</v>
      </c>
      <c r="B98270">
        <f>TEXT(98269, "[$-0E0000]yyyy-mm-dd")</f>
        <v/>
      </c>
    </row>
    <row r="98271">
      <c r="A98271" s="1" t="n">
        <v>98270</v>
      </c>
      <c r="B98271">
        <f>TEXT(98270, "[$-0E0000]yyyy-mm-dd")</f>
        <v/>
      </c>
    </row>
    <row r="98272">
      <c r="A98272" s="1" t="n">
        <v>98271</v>
      </c>
      <c r="B98272">
        <f>TEXT(98271, "[$-0E0000]yyyy-mm-dd")</f>
        <v/>
      </c>
    </row>
    <row r="98273">
      <c r="A98273" s="1" t="n">
        <v>98272</v>
      </c>
      <c r="B98273">
        <f>TEXT(98272, "[$-0E0000]yyyy-mm-dd")</f>
        <v/>
      </c>
    </row>
    <row r="98274">
      <c r="A98274" s="1" t="n">
        <v>98273</v>
      </c>
      <c r="B98274">
        <f>TEXT(98273, "[$-0E0000]yyyy-mm-dd")</f>
        <v/>
      </c>
    </row>
    <row r="98275">
      <c r="A98275" s="1" t="n">
        <v>98274</v>
      </c>
      <c r="B98275">
        <f>TEXT(98274, "[$-0E0000]yyyy-mm-dd")</f>
        <v/>
      </c>
    </row>
    <row r="98276">
      <c r="A98276" s="1" t="n">
        <v>98275</v>
      </c>
      <c r="B98276">
        <f>TEXT(98275, "[$-0E0000]yyyy-mm-dd")</f>
        <v/>
      </c>
    </row>
    <row r="98277">
      <c r="A98277" s="1" t="n">
        <v>98276</v>
      </c>
      <c r="B98277">
        <f>TEXT(98276, "[$-0E0000]yyyy-mm-dd")</f>
        <v/>
      </c>
    </row>
    <row r="98278">
      <c r="A98278" s="1" t="n">
        <v>98277</v>
      </c>
      <c r="B98278">
        <f>TEXT(98277, "[$-0E0000]yyyy-mm-dd")</f>
        <v/>
      </c>
    </row>
    <row r="98279">
      <c r="A98279" s="1" t="n">
        <v>98278</v>
      </c>
      <c r="B98279">
        <f>TEXT(98278, "[$-0E0000]yyyy-mm-dd")</f>
        <v/>
      </c>
    </row>
    <row r="98280">
      <c r="A98280" s="1" t="n">
        <v>98279</v>
      </c>
      <c r="B98280">
        <f>TEXT(98279, "[$-0E0000]yyyy-mm-dd")</f>
        <v/>
      </c>
    </row>
    <row r="98281">
      <c r="A98281" s="1" t="n">
        <v>98280</v>
      </c>
      <c r="B98281">
        <f>TEXT(98280, "[$-0E0000]yyyy-mm-dd")</f>
        <v/>
      </c>
    </row>
    <row r="98282">
      <c r="A98282" s="1" t="n">
        <v>98281</v>
      </c>
      <c r="B98282">
        <f>TEXT(98281, "[$-0E0000]yyyy-mm-dd")</f>
        <v/>
      </c>
    </row>
    <row r="98283">
      <c r="A98283" s="1" t="n">
        <v>98282</v>
      </c>
      <c r="B98283">
        <f>TEXT(98282, "[$-0E0000]yyyy-mm-dd")</f>
        <v/>
      </c>
    </row>
    <row r="98284">
      <c r="A98284" s="1" t="n">
        <v>98283</v>
      </c>
      <c r="B98284">
        <f>TEXT(98283, "[$-0E0000]yyyy-mm-dd")</f>
        <v/>
      </c>
    </row>
    <row r="98285">
      <c r="A98285" s="1" t="n">
        <v>98284</v>
      </c>
      <c r="B98285">
        <f>TEXT(98284, "[$-0E0000]yyyy-mm-dd")</f>
        <v/>
      </c>
    </row>
    <row r="98286">
      <c r="A98286" s="1" t="n">
        <v>98285</v>
      </c>
      <c r="B98286">
        <f>TEXT(98285, "[$-0E0000]yyyy-mm-dd")</f>
        <v/>
      </c>
    </row>
    <row r="98287">
      <c r="A98287" s="1" t="n">
        <v>98286</v>
      </c>
      <c r="B98287">
        <f>TEXT(98286, "[$-0E0000]yyyy-mm-dd")</f>
        <v/>
      </c>
    </row>
    <row r="98288">
      <c r="A98288" s="1" t="n">
        <v>98287</v>
      </c>
      <c r="B98288">
        <f>TEXT(98287, "[$-0E0000]yyyy-mm-dd")</f>
        <v/>
      </c>
    </row>
    <row r="98289">
      <c r="A98289" s="1" t="n">
        <v>98288</v>
      </c>
      <c r="B98289">
        <f>TEXT(98288, "[$-0E0000]yyyy-mm-dd")</f>
        <v/>
      </c>
    </row>
    <row r="98290">
      <c r="A98290" s="1" t="n">
        <v>98289</v>
      </c>
      <c r="B98290">
        <f>TEXT(98289, "[$-0E0000]yyyy-mm-dd")</f>
        <v/>
      </c>
    </row>
    <row r="98291">
      <c r="A98291" s="1" t="n">
        <v>98290</v>
      </c>
      <c r="B98291">
        <f>TEXT(98290, "[$-0E0000]yyyy-mm-dd")</f>
        <v/>
      </c>
    </row>
    <row r="98292">
      <c r="A98292" s="1" t="n">
        <v>98291</v>
      </c>
      <c r="B98292">
        <f>TEXT(98291, "[$-0E0000]yyyy-mm-dd")</f>
        <v/>
      </c>
    </row>
    <row r="98293">
      <c r="A98293" s="1" t="n">
        <v>98292</v>
      </c>
      <c r="B98293">
        <f>TEXT(98292, "[$-0E0000]yyyy-mm-dd")</f>
        <v/>
      </c>
    </row>
    <row r="98294">
      <c r="A98294" s="1" t="n">
        <v>98293</v>
      </c>
      <c r="B98294">
        <f>TEXT(98293, "[$-0E0000]yyyy-mm-dd")</f>
        <v/>
      </c>
    </row>
    <row r="98295">
      <c r="A98295" s="1" t="n">
        <v>98294</v>
      </c>
      <c r="B98295">
        <f>TEXT(98294, "[$-0E0000]yyyy-mm-dd")</f>
        <v/>
      </c>
    </row>
    <row r="98296">
      <c r="A98296" s="1" t="n">
        <v>98295</v>
      </c>
      <c r="B98296">
        <f>TEXT(98295, "[$-0E0000]yyyy-mm-dd")</f>
        <v/>
      </c>
    </row>
    <row r="98297">
      <c r="A98297" s="1" t="n">
        <v>98296</v>
      </c>
      <c r="B98297">
        <f>TEXT(98296, "[$-0E0000]yyyy-mm-dd")</f>
        <v/>
      </c>
    </row>
    <row r="98298">
      <c r="A98298" s="1" t="n">
        <v>98297</v>
      </c>
      <c r="B98298">
        <f>TEXT(98297, "[$-0E0000]yyyy-mm-dd")</f>
        <v/>
      </c>
    </row>
    <row r="98299">
      <c r="A98299" s="1" t="n">
        <v>98298</v>
      </c>
      <c r="B98299">
        <f>TEXT(98298, "[$-0E0000]yyyy-mm-dd")</f>
        <v/>
      </c>
    </row>
    <row r="98300">
      <c r="A98300" s="1" t="n">
        <v>98299</v>
      </c>
      <c r="B98300">
        <f>TEXT(98299, "[$-0E0000]yyyy-mm-dd")</f>
        <v/>
      </c>
    </row>
    <row r="98301">
      <c r="A98301" s="1" t="n">
        <v>98300</v>
      </c>
      <c r="B98301">
        <f>TEXT(98300, "[$-0E0000]yyyy-mm-dd")</f>
        <v/>
      </c>
    </row>
    <row r="98302">
      <c r="A98302" s="1" t="n">
        <v>98301</v>
      </c>
      <c r="B98302">
        <f>TEXT(98301, "[$-0E0000]yyyy-mm-dd")</f>
        <v/>
      </c>
    </row>
    <row r="98303">
      <c r="A98303" s="1" t="n">
        <v>98302</v>
      </c>
      <c r="B98303">
        <f>TEXT(98302, "[$-0E0000]yyyy-mm-dd")</f>
        <v/>
      </c>
    </row>
    <row r="98304">
      <c r="A98304" s="1" t="n">
        <v>98303</v>
      </c>
      <c r="B98304">
        <f>TEXT(98303, "[$-0E0000]yyyy-mm-dd")</f>
        <v/>
      </c>
    </row>
    <row r="98305">
      <c r="A98305" s="1" t="n">
        <v>98304</v>
      </c>
      <c r="B98305">
        <f>TEXT(98304, "[$-0E0000]yyyy-mm-dd")</f>
        <v/>
      </c>
    </row>
    <row r="98306">
      <c r="A98306" s="1" t="n">
        <v>98305</v>
      </c>
      <c r="B98306">
        <f>TEXT(98305, "[$-0E0000]yyyy-mm-dd")</f>
        <v/>
      </c>
    </row>
    <row r="98307">
      <c r="A98307" s="1" t="n">
        <v>98306</v>
      </c>
      <c r="B98307">
        <f>TEXT(98306, "[$-0E0000]yyyy-mm-dd")</f>
        <v/>
      </c>
    </row>
    <row r="98308">
      <c r="A98308" s="1" t="n">
        <v>98307</v>
      </c>
      <c r="B98308">
        <f>TEXT(98307, "[$-0E0000]yyyy-mm-dd")</f>
        <v/>
      </c>
    </row>
    <row r="98309">
      <c r="A98309" s="1" t="n">
        <v>98308</v>
      </c>
      <c r="B98309">
        <f>TEXT(98308, "[$-0E0000]yyyy-mm-dd")</f>
        <v/>
      </c>
    </row>
    <row r="98310">
      <c r="A98310" s="1" t="n">
        <v>98309</v>
      </c>
      <c r="B98310">
        <f>TEXT(98309, "[$-0E0000]yyyy-mm-dd")</f>
        <v/>
      </c>
    </row>
    <row r="98311">
      <c r="A98311" s="1" t="n">
        <v>98310</v>
      </c>
      <c r="B98311">
        <f>TEXT(98310, "[$-0E0000]yyyy-mm-dd")</f>
        <v/>
      </c>
    </row>
    <row r="98312">
      <c r="A98312" s="1" t="n">
        <v>98311</v>
      </c>
      <c r="B98312">
        <f>TEXT(98311, "[$-0E0000]yyyy-mm-dd")</f>
        <v/>
      </c>
    </row>
    <row r="98313">
      <c r="A98313" s="1" t="n">
        <v>98312</v>
      </c>
      <c r="B98313">
        <f>TEXT(98312, "[$-0E0000]yyyy-mm-dd")</f>
        <v/>
      </c>
    </row>
    <row r="98314">
      <c r="A98314" s="1" t="n">
        <v>98313</v>
      </c>
      <c r="B98314">
        <f>TEXT(98313, "[$-0E0000]yyyy-mm-dd")</f>
        <v/>
      </c>
    </row>
    <row r="98315">
      <c r="A98315" s="1" t="n">
        <v>98314</v>
      </c>
      <c r="B98315">
        <f>TEXT(98314, "[$-0E0000]yyyy-mm-dd")</f>
        <v/>
      </c>
    </row>
    <row r="98316">
      <c r="A98316" s="1" t="n">
        <v>98315</v>
      </c>
      <c r="B98316">
        <f>TEXT(98315, "[$-0E0000]yyyy-mm-dd")</f>
        <v/>
      </c>
    </row>
    <row r="98317">
      <c r="A98317" s="1" t="n">
        <v>98316</v>
      </c>
      <c r="B98317">
        <f>TEXT(98316, "[$-0E0000]yyyy-mm-dd")</f>
        <v/>
      </c>
    </row>
    <row r="98318">
      <c r="A98318" s="1" t="n">
        <v>98317</v>
      </c>
      <c r="B98318">
        <f>TEXT(98317, "[$-0E0000]yyyy-mm-dd")</f>
        <v/>
      </c>
    </row>
    <row r="98319">
      <c r="A98319" s="1" t="n">
        <v>98318</v>
      </c>
      <c r="B98319">
        <f>TEXT(98318, "[$-0E0000]yyyy-mm-dd")</f>
        <v/>
      </c>
    </row>
    <row r="98320">
      <c r="A98320" s="1" t="n">
        <v>98319</v>
      </c>
      <c r="B98320">
        <f>TEXT(98319, "[$-0E0000]yyyy-mm-dd")</f>
        <v/>
      </c>
    </row>
    <row r="98321">
      <c r="A98321" s="1" t="n">
        <v>98320</v>
      </c>
      <c r="B98321">
        <f>TEXT(98320, "[$-0E0000]yyyy-mm-dd")</f>
        <v/>
      </c>
    </row>
    <row r="98322">
      <c r="A98322" s="1" t="n">
        <v>98321</v>
      </c>
      <c r="B98322">
        <f>TEXT(98321, "[$-0E0000]yyyy-mm-dd")</f>
        <v/>
      </c>
    </row>
    <row r="98323">
      <c r="A98323" s="1" t="n">
        <v>98322</v>
      </c>
      <c r="B98323">
        <f>TEXT(98322, "[$-0E0000]yyyy-mm-dd")</f>
        <v/>
      </c>
    </row>
    <row r="98324">
      <c r="A98324" s="1" t="n">
        <v>98323</v>
      </c>
      <c r="B98324">
        <f>TEXT(98323, "[$-0E0000]yyyy-mm-dd")</f>
        <v/>
      </c>
    </row>
    <row r="98325">
      <c r="A98325" s="1" t="n">
        <v>98324</v>
      </c>
      <c r="B98325">
        <f>TEXT(98324, "[$-0E0000]yyyy-mm-dd")</f>
        <v/>
      </c>
    </row>
    <row r="98326">
      <c r="A98326" s="1" t="n">
        <v>98325</v>
      </c>
      <c r="B98326">
        <f>TEXT(98325, "[$-0E0000]yyyy-mm-dd")</f>
        <v/>
      </c>
    </row>
    <row r="98327">
      <c r="A98327" s="1" t="n">
        <v>98326</v>
      </c>
      <c r="B98327">
        <f>TEXT(98326, "[$-0E0000]yyyy-mm-dd")</f>
        <v/>
      </c>
    </row>
    <row r="98328">
      <c r="A98328" s="1" t="n">
        <v>98327</v>
      </c>
      <c r="B98328">
        <f>TEXT(98327, "[$-0E0000]yyyy-mm-dd")</f>
        <v/>
      </c>
    </row>
    <row r="98329">
      <c r="A98329" s="1" t="n">
        <v>98328</v>
      </c>
      <c r="B98329">
        <f>TEXT(98328, "[$-0E0000]yyyy-mm-dd")</f>
        <v/>
      </c>
    </row>
    <row r="98330">
      <c r="A98330" s="1" t="n">
        <v>98329</v>
      </c>
      <c r="B98330">
        <f>TEXT(98329, "[$-0E0000]yyyy-mm-dd")</f>
        <v/>
      </c>
    </row>
    <row r="98331">
      <c r="A98331" s="1" t="n">
        <v>98330</v>
      </c>
      <c r="B98331">
        <f>TEXT(98330, "[$-0E0000]yyyy-mm-dd")</f>
        <v/>
      </c>
    </row>
    <row r="98332">
      <c r="A98332" s="1" t="n">
        <v>98331</v>
      </c>
      <c r="B98332">
        <f>TEXT(98331, "[$-0E0000]yyyy-mm-dd")</f>
        <v/>
      </c>
    </row>
    <row r="98333">
      <c r="A98333" s="1" t="n">
        <v>98332</v>
      </c>
      <c r="B98333">
        <f>TEXT(98332, "[$-0E0000]yyyy-mm-dd")</f>
        <v/>
      </c>
    </row>
    <row r="98334">
      <c r="A98334" s="1" t="n">
        <v>98333</v>
      </c>
      <c r="B98334">
        <f>TEXT(98333, "[$-0E0000]yyyy-mm-dd")</f>
        <v/>
      </c>
    </row>
    <row r="98335">
      <c r="A98335" s="1" t="n">
        <v>98334</v>
      </c>
      <c r="B98335">
        <f>TEXT(98334, "[$-0E0000]yyyy-mm-dd")</f>
        <v/>
      </c>
    </row>
    <row r="98336">
      <c r="A98336" s="1" t="n">
        <v>98335</v>
      </c>
      <c r="B98336">
        <f>TEXT(98335, "[$-0E0000]yyyy-mm-dd")</f>
        <v/>
      </c>
    </row>
    <row r="98337">
      <c r="A98337" s="1" t="n">
        <v>98336</v>
      </c>
      <c r="B98337">
        <f>TEXT(98336, "[$-0E0000]yyyy-mm-dd")</f>
        <v/>
      </c>
    </row>
    <row r="98338">
      <c r="A98338" s="1" t="n">
        <v>98337</v>
      </c>
      <c r="B98338">
        <f>TEXT(98337, "[$-0E0000]yyyy-mm-dd")</f>
        <v/>
      </c>
    </row>
    <row r="98339">
      <c r="A98339" s="1" t="n">
        <v>98338</v>
      </c>
      <c r="B98339">
        <f>TEXT(98338, "[$-0E0000]yyyy-mm-dd")</f>
        <v/>
      </c>
    </row>
    <row r="98340">
      <c r="A98340" s="1" t="n">
        <v>98339</v>
      </c>
      <c r="B98340">
        <f>TEXT(98339, "[$-0E0000]yyyy-mm-dd")</f>
        <v/>
      </c>
    </row>
    <row r="98341">
      <c r="A98341" s="1" t="n">
        <v>98340</v>
      </c>
      <c r="B98341">
        <f>TEXT(98340, "[$-0E0000]yyyy-mm-dd")</f>
        <v/>
      </c>
    </row>
    <row r="98342">
      <c r="A98342" s="1" t="n">
        <v>98341</v>
      </c>
      <c r="B98342">
        <f>TEXT(98341, "[$-0E0000]yyyy-mm-dd")</f>
        <v/>
      </c>
    </row>
    <row r="98343">
      <c r="A98343" s="1" t="n">
        <v>98342</v>
      </c>
      <c r="B98343">
        <f>TEXT(98342, "[$-0E0000]yyyy-mm-dd")</f>
        <v/>
      </c>
    </row>
    <row r="98344">
      <c r="A98344" s="1" t="n">
        <v>98343</v>
      </c>
      <c r="B98344">
        <f>TEXT(98343, "[$-0E0000]yyyy-mm-dd")</f>
        <v/>
      </c>
    </row>
    <row r="98345">
      <c r="A98345" s="1" t="n">
        <v>98344</v>
      </c>
      <c r="B98345">
        <f>TEXT(98344, "[$-0E0000]yyyy-mm-dd")</f>
        <v/>
      </c>
    </row>
    <row r="98346">
      <c r="A98346" s="1" t="n">
        <v>98345</v>
      </c>
      <c r="B98346">
        <f>TEXT(98345, "[$-0E0000]yyyy-mm-dd")</f>
        <v/>
      </c>
    </row>
    <row r="98347">
      <c r="A98347" s="1" t="n">
        <v>98346</v>
      </c>
      <c r="B98347">
        <f>TEXT(98346, "[$-0E0000]yyyy-mm-dd")</f>
        <v/>
      </c>
    </row>
    <row r="98348">
      <c r="A98348" s="1" t="n">
        <v>98347</v>
      </c>
      <c r="B98348">
        <f>TEXT(98347, "[$-0E0000]yyyy-mm-dd")</f>
        <v/>
      </c>
    </row>
    <row r="98349">
      <c r="A98349" s="1" t="n">
        <v>98348</v>
      </c>
      <c r="B98349">
        <f>TEXT(98348, "[$-0E0000]yyyy-mm-dd")</f>
        <v/>
      </c>
    </row>
    <row r="98350">
      <c r="A98350" s="1" t="n">
        <v>98349</v>
      </c>
      <c r="B98350">
        <f>TEXT(98349, "[$-0E0000]yyyy-mm-dd")</f>
        <v/>
      </c>
    </row>
    <row r="98351">
      <c r="A98351" s="1" t="n">
        <v>98350</v>
      </c>
      <c r="B98351">
        <f>TEXT(98350, "[$-0E0000]yyyy-mm-dd")</f>
        <v/>
      </c>
    </row>
    <row r="98352">
      <c r="A98352" s="1" t="n">
        <v>98351</v>
      </c>
      <c r="B98352">
        <f>TEXT(98351, "[$-0E0000]yyyy-mm-dd")</f>
        <v/>
      </c>
    </row>
    <row r="98353">
      <c r="A98353" s="1" t="n">
        <v>98352</v>
      </c>
      <c r="B98353">
        <f>TEXT(98352, "[$-0E0000]yyyy-mm-dd")</f>
        <v/>
      </c>
    </row>
    <row r="98354">
      <c r="A98354" s="1" t="n">
        <v>98353</v>
      </c>
      <c r="B98354">
        <f>TEXT(98353, "[$-0E0000]yyyy-mm-dd")</f>
        <v/>
      </c>
    </row>
    <row r="98355">
      <c r="A98355" s="1" t="n">
        <v>98354</v>
      </c>
      <c r="B98355">
        <f>TEXT(98354, "[$-0E0000]yyyy-mm-dd")</f>
        <v/>
      </c>
    </row>
    <row r="98356">
      <c r="A98356" s="1" t="n">
        <v>98355</v>
      </c>
      <c r="B98356">
        <f>TEXT(98355, "[$-0E0000]yyyy-mm-dd")</f>
        <v/>
      </c>
    </row>
    <row r="98357">
      <c r="A98357" s="1" t="n">
        <v>98356</v>
      </c>
      <c r="B98357">
        <f>TEXT(98356, "[$-0E0000]yyyy-mm-dd")</f>
        <v/>
      </c>
    </row>
    <row r="98358">
      <c r="A98358" s="1" t="n">
        <v>98357</v>
      </c>
      <c r="B98358">
        <f>TEXT(98357, "[$-0E0000]yyyy-mm-dd")</f>
        <v/>
      </c>
    </row>
    <row r="98359">
      <c r="A98359" s="1" t="n">
        <v>98358</v>
      </c>
      <c r="B98359">
        <f>TEXT(98358, "[$-0E0000]yyyy-mm-dd")</f>
        <v/>
      </c>
    </row>
    <row r="98360">
      <c r="A98360" s="1" t="n">
        <v>98359</v>
      </c>
      <c r="B98360">
        <f>TEXT(98359, "[$-0E0000]yyyy-mm-dd")</f>
        <v/>
      </c>
    </row>
    <row r="98361">
      <c r="A98361" s="1" t="n">
        <v>98360</v>
      </c>
      <c r="B98361">
        <f>TEXT(98360, "[$-0E0000]yyyy-mm-dd")</f>
        <v/>
      </c>
    </row>
    <row r="98362">
      <c r="A98362" s="1" t="n">
        <v>98361</v>
      </c>
      <c r="B98362">
        <f>TEXT(98361, "[$-0E0000]yyyy-mm-dd")</f>
        <v/>
      </c>
    </row>
    <row r="98363">
      <c r="A98363" s="1" t="n">
        <v>98362</v>
      </c>
      <c r="B98363">
        <f>TEXT(98362, "[$-0E0000]yyyy-mm-dd")</f>
        <v/>
      </c>
    </row>
    <row r="98364">
      <c r="A98364" s="1" t="n">
        <v>98363</v>
      </c>
      <c r="B98364">
        <f>TEXT(98363, "[$-0E0000]yyyy-mm-dd")</f>
        <v/>
      </c>
    </row>
    <row r="98365">
      <c r="A98365" s="1" t="n">
        <v>98364</v>
      </c>
      <c r="B98365">
        <f>TEXT(98364, "[$-0E0000]yyyy-mm-dd")</f>
        <v/>
      </c>
    </row>
    <row r="98366">
      <c r="A98366" s="1" t="n">
        <v>98365</v>
      </c>
      <c r="B98366">
        <f>TEXT(98365, "[$-0E0000]yyyy-mm-dd")</f>
        <v/>
      </c>
    </row>
    <row r="98367">
      <c r="A98367" s="1" t="n">
        <v>98366</v>
      </c>
      <c r="B98367">
        <f>TEXT(98366, "[$-0E0000]yyyy-mm-dd")</f>
        <v/>
      </c>
    </row>
    <row r="98368">
      <c r="A98368" s="1" t="n">
        <v>98367</v>
      </c>
      <c r="B98368">
        <f>TEXT(98367, "[$-0E0000]yyyy-mm-dd")</f>
        <v/>
      </c>
    </row>
    <row r="98369">
      <c r="A98369" s="1" t="n">
        <v>98368</v>
      </c>
      <c r="B98369">
        <f>TEXT(98368, "[$-0E0000]yyyy-mm-dd")</f>
        <v/>
      </c>
    </row>
    <row r="98370">
      <c r="A98370" s="1" t="n">
        <v>98369</v>
      </c>
      <c r="B98370">
        <f>TEXT(98369, "[$-0E0000]yyyy-mm-dd")</f>
        <v/>
      </c>
    </row>
    <row r="98371">
      <c r="A98371" s="1" t="n">
        <v>98370</v>
      </c>
      <c r="B98371">
        <f>TEXT(98370, "[$-0E0000]yyyy-mm-dd")</f>
        <v/>
      </c>
    </row>
    <row r="98372">
      <c r="A98372" s="1" t="n">
        <v>98371</v>
      </c>
      <c r="B98372">
        <f>TEXT(98371, "[$-0E0000]yyyy-mm-dd")</f>
        <v/>
      </c>
    </row>
    <row r="98373">
      <c r="A98373" s="1" t="n">
        <v>98372</v>
      </c>
      <c r="B98373">
        <f>TEXT(98372, "[$-0E0000]yyyy-mm-dd")</f>
        <v/>
      </c>
    </row>
    <row r="98374">
      <c r="A98374" s="1" t="n">
        <v>98373</v>
      </c>
      <c r="B98374">
        <f>TEXT(98373, "[$-0E0000]yyyy-mm-dd")</f>
        <v/>
      </c>
    </row>
    <row r="98375">
      <c r="A98375" s="1" t="n">
        <v>98374</v>
      </c>
      <c r="B98375">
        <f>TEXT(98374, "[$-0E0000]yyyy-mm-dd")</f>
        <v/>
      </c>
    </row>
    <row r="98376">
      <c r="A98376" s="1" t="n">
        <v>98375</v>
      </c>
      <c r="B98376">
        <f>TEXT(98375, "[$-0E0000]yyyy-mm-dd")</f>
        <v/>
      </c>
    </row>
    <row r="98377">
      <c r="A98377" s="1" t="n">
        <v>98376</v>
      </c>
      <c r="B98377">
        <f>TEXT(98376, "[$-0E0000]yyyy-mm-dd")</f>
        <v/>
      </c>
    </row>
    <row r="98378">
      <c r="A98378" s="1" t="n">
        <v>98377</v>
      </c>
      <c r="B98378">
        <f>TEXT(98377, "[$-0E0000]yyyy-mm-dd")</f>
        <v/>
      </c>
    </row>
    <row r="98379">
      <c r="A98379" s="1" t="n">
        <v>98378</v>
      </c>
      <c r="B98379">
        <f>TEXT(98378, "[$-0E0000]yyyy-mm-dd")</f>
        <v/>
      </c>
    </row>
    <row r="98380">
      <c r="A98380" s="1" t="n">
        <v>98379</v>
      </c>
      <c r="B98380">
        <f>TEXT(98379, "[$-0E0000]yyyy-mm-dd")</f>
        <v/>
      </c>
    </row>
    <row r="98381">
      <c r="A98381" s="1" t="n">
        <v>98380</v>
      </c>
      <c r="B98381">
        <f>TEXT(98380, "[$-0E0000]yyyy-mm-dd")</f>
        <v/>
      </c>
    </row>
    <row r="98382">
      <c r="A98382" s="1" t="n">
        <v>98381</v>
      </c>
      <c r="B98382">
        <f>TEXT(98381, "[$-0E0000]yyyy-mm-dd")</f>
        <v/>
      </c>
    </row>
    <row r="98383">
      <c r="A98383" s="1" t="n">
        <v>98382</v>
      </c>
      <c r="B98383">
        <f>TEXT(98382, "[$-0E0000]yyyy-mm-dd")</f>
        <v/>
      </c>
    </row>
    <row r="98384">
      <c r="A98384" s="1" t="n">
        <v>98383</v>
      </c>
      <c r="B98384">
        <f>TEXT(98383, "[$-0E0000]yyyy-mm-dd")</f>
        <v/>
      </c>
    </row>
    <row r="98385">
      <c r="A98385" s="1" t="n">
        <v>98384</v>
      </c>
      <c r="B98385">
        <f>TEXT(98384, "[$-0E0000]yyyy-mm-dd")</f>
        <v/>
      </c>
    </row>
    <row r="98386">
      <c r="A98386" s="1" t="n">
        <v>98385</v>
      </c>
      <c r="B98386">
        <f>TEXT(98385, "[$-0E0000]yyyy-mm-dd")</f>
        <v/>
      </c>
    </row>
    <row r="98387">
      <c r="A98387" s="1" t="n">
        <v>98386</v>
      </c>
      <c r="B98387">
        <f>TEXT(98386, "[$-0E0000]yyyy-mm-dd")</f>
        <v/>
      </c>
    </row>
    <row r="98388">
      <c r="A98388" s="1" t="n">
        <v>98387</v>
      </c>
      <c r="B98388">
        <f>TEXT(98387, "[$-0E0000]yyyy-mm-dd")</f>
        <v/>
      </c>
    </row>
    <row r="98389">
      <c r="A98389" s="1" t="n">
        <v>98388</v>
      </c>
      <c r="B98389">
        <f>TEXT(98388, "[$-0E0000]yyyy-mm-dd")</f>
        <v/>
      </c>
    </row>
    <row r="98390">
      <c r="A98390" s="1" t="n">
        <v>98389</v>
      </c>
      <c r="B98390">
        <f>TEXT(98389, "[$-0E0000]yyyy-mm-dd")</f>
        <v/>
      </c>
    </row>
    <row r="98391">
      <c r="A98391" s="1" t="n">
        <v>98390</v>
      </c>
      <c r="B98391">
        <f>TEXT(98390, "[$-0E0000]yyyy-mm-dd")</f>
        <v/>
      </c>
    </row>
    <row r="98392">
      <c r="A98392" s="1" t="n">
        <v>98391</v>
      </c>
      <c r="B98392">
        <f>TEXT(98391, "[$-0E0000]yyyy-mm-dd")</f>
        <v/>
      </c>
    </row>
    <row r="98393">
      <c r="A98393" s="1" t="n">
        <v>98392</v>
      </c>
      <c r="B98393">
        <f>TEXT(98392, "[$-0E0000]yyyy-mm-dd")</f>
        <v/>
      </c>
    </row>
    <row r="98394">
      <c r="A98394" s="1" t="n">
        <v>98393</v>
      </c>
      <c r="B98394">
        <f>TEXT(98393, "[$-0E0000]yyyy-mm-dd")</f>
        <v/>
      </c>
    </row>
    <row r="98395">
      <c r="A98395" s="1" t="n">
        <v>98394</v>
      </c>
      <c r="B98395">
        <f>TEXT(98394, "[$-0E0000]yyyy-mm-dd")</f>
        <v/>
      </c>
    </row>
    <row r="98396">
      <c r="A98396" s="1" t="n">
        <v>98395</v>
      </c>
      <c r="B98396">
        <f>TEXT(98395, "[$-0E0000]yyyy-mm-dd")</f>
        <v/>
      </c>
    </row>
    <row r="98397">
      <c r="A98397" s="1" t="n">
        <v>98396</v>
      </c>
      <c r="B98397">
        <f>TEXT(98396, "[$-0E0000]yyyy-mm-dd")</f>
        <v/>
      </c>
    </row>
    <row r="98398">
      <c r="A98398" s="1" t="n">
        <v>98397</v>
      </c>
      <c r="B98398">
        <f>TEXT(98397, "[$-0E0000]yyyy-mm-dd")</f>
        <v/>
      </c>
    </row>
    <row r="98399">
      <c r="A98399" s="1" t="n">
        <v>98398</v>
      </c>
      <c r="B98399">
        <f>TEXT(98398, "[$-0E0000]yyyy-mm-dd")</f>
        <v/>
      </c>
    </row>
    <row r="98400">
      <c r="A98400" s="1" t="n">
        <v>98399</v>
      </c>
      <c r="B98400">
        <f>TEXT(98399, "[$-0E0000]yyyy-mm-dd")</f>
        <v/>
      </c>
    </row>
    <row r="98401">
      <c r="A98401" s="1" t="n">
        <v>98400</v>
      </c>
      <c r="B98401">
        <f>TEXT(98400, "[$-0E0000]yyyy-mm-dd")</f>
        <v/>
      </c>
    </row>
    <row r="98402">
      <c r="A98402" s="1" t="n">
        <v>98401</v>
      </c>
      <c r="B98402">
        <f>TEXT(98401, "[$-0E0000]yyyy-mm-dd")</f>
        <v/>
      </c>
    </row>
    <row r="98403">
      <c r="A98403" s="1" t="n">
        <v>98402</v>
      </c>
      <c r="B98403">
        <f>TEXT(98402, "[$-0E0000]yyyy-mm-dd")</f>
        <v/>
      </c>
    </row>
    <row r="98404">
      <c r="A98404" s="1" t="n">
        <v>98403</v>
      </c>
      <c r="B98404">
        <f>TEXT(98403, "[$-0E0000]yyyy-mm-dd")</f>
        <v/>
      </c>
    </row>
    <row r="98405">
      <c r="A98405" s="1" t="n">
        <v>98404</v>
      </c>
      <c r="B98405">
        <f>TEXT(98404, "[$-0E0000]yyyy-mm-dd")</f>
        <v/>
      </c>
    </row>
    <row r="98406">
      <c r="A98406" s="1" t="n">
        <v>98405</v>
      </c>
      <c r="B98406">
        <f>TEXT(98405, "[$-0E0000]yyyy-mm-dd")</f>
        <v/>
      </c>
    </row>
    <row r="98407">
      <c r="A98407" s="1" t="n">
        <v>98406</v>
      </c>
      <c r="B98407">
        <f>TEXT(98406, "[$-0E0000]yyyy-mm-dd")</f>
        <v/>
      </c>
    </row>
    <row r="98408">
      <c r="A98408" s="1" t="n">
        <v>98407</v>
      </c>
      <c r="B98408">
        <f>TEXT(98407, "[$-0E0000]yyyy-mm-dd")</f>
        <v/>
      </c>
    </row>
    <row r="98409">
      <c r="A98409" s="1" t="n">
        <v>98408</v>
      </c>
      <c r="B98409">
        <f>TEXT(98408, "[$-0E0000]yyyy-mm-dd")</f>
        <v/>
      </c>
    </row>
    <row r="98410">
      <c r="A98410" s="1" t="n">
        <v>98409</v>
      </c>
      <c r="B98410">
        <f>TEXT(98409, "[$-0E0000]yyyy-mm-dd")</f>
        <v/>
      </c>
    </row>
    <row r="98411">
      <c r="A98411" s="1" t="n">
        <v>98410</v>
      </c>
      <c r="B98411">
        <f>TEXT(98410, "[$-0E0000]yyyy-mm-dd")</f>
        <v/>
      </c>
    </row>
    <row r="98412">
      <c r="A98412" s="1" t="n">
        <v>98411</v>
      </c>
      <c r="B98412">
        <f>TEXT(98411, "[$-0E0000]yyyy-mm-dd")</f>
        <v/>
      </c>
    </row>
    <row r="98413">
      <c r="A98413" s="1" t="n">
        <v>98412</v>
      </c>
      <c r="B98413">
        <f>TEXT(98412, "[$-0E0000]yyyy-mm-dd")</f>
        <v/>
      </c>
    </row>
    <row r="98414">
      <c r="A98414" s="1" t="n">
        <v>98413</v>
      </c>
      <c r="B98414">
        <f>TEXT(98413, "[$-0E0000]yyyy-mm-dd")</f>
        <v/>
      </c>
    </row>
    <row r="98415">
      <c r="A98415" s="1" t="n">
        <v>98414</v>
      </c>
      <c r="B98415">
        <f>TEXT(98414, "[$-0E0000]yyyy-mm-dd")</f>
        <v/>
      </c>
    </row>
    <row r="98416">
      <c r="A98416" s="1" t="n">
        <v>98415</v>
      </c>
      <c r="B98416">
        <f>TEXT(98415, "[$-0E0000]yyyy-mm-dd")</f>
        <v/>
      </c>
    </row>
    <row r="98417">
      <c r="A98417" s="1" t="n">
        <v>98416</v>
      </c>
      <c r="B98417">
        <f>TEXT(98416, "[$-0E0000]yyyy-mm-dd")</f>
        <v/>
      </c>
    </row>
    <row r="98418">
      <c r="A98418" s="1" t="n">
        <v>98417</v>
      </c>
      <c r="B98418">
        <f>TEXT(98417, "[$-0E0000]yyyy-mm-dd")</f>
        <v/>
      </c>
    </row>
    <row r="98419">
      <c r="A98419" s="1" t="n">
        <v>98418</v>
      </c>
      <c r="B98419">
        <f>TEXT(98418, "[$-0E0000]yyyy-mm-dd")</f>
        <v/>
      </c>
    </row>
    <row r="98420">
      <c r="A98420" s="1" t="n">
        <v>98419</v>
      </c>
      <c r="B98420">
        <f>TEXT(98419, "[$-0E0000]yyyy-mm-dd")</f>
        <v/>
      </c>
    </row>
    <row r="98421">
      <c r="A98421" s="1" t="n">
        <v>98420</v>
      </c>
      <c r="B98421">
        <f>TEXT(98420, "[$-0E0000]yyyy-mm-dd")</f>
        <v/>
      </c>
    </row>
    <row r="98422">
      <c r="A98422" s="1" t="n">
        <v>98421</v>
      </c>
      <c r="B98422">
        <f>TEXT(98421, "[$-0E0000]yyyy-mm-dd")</f>
        <v/>
      </c>
    </row>
    <row r="98423">
      <c r="A98423" s="1" t="n">
        <v>98422</v>
      </c>
      <c r="B98423">
        <f>TEXT(98422, "[$-0E0000]yyyy-mm-dd")</f>
        <v/>
      </c>
    </row>
    <row r="98424">
      <c r="A98424" s="1" t="n">
        <v>98423</v>
      </c>
      <c r="B98424">
        <f>TEXT(98423, "[$-0E0000]yyyy-mm-dd")</f>
        <v/>
      </c>
    </row>
    <row r="98425">
      <c r="A98425" s="1" t="n">
        <v>98424</v>
      </c>
      <c r="B98425">
        <f>TEXT(98424, "[$-0E0000]yyyy-mm-dd")</f>
        <v/>
      </c>
    </row>
    <row r="98426">
      <c r="A98426" s="1" t="n">
        <v>98425</v>
      </c>
      <c r="B98426">
        <f>TEXT(98425, "[$-0E0000]yyyy-mm-dd")</f>
        <v/>
      </c>
    </row>
    <row r="98427">
      <c r="A98427" s="1" t="n">
        <v>98426</v>
      </c>
      <c r="B98427">
        <f>TEXT(98426, "[$-0E0000]yyyy-mm-dd")</f>
        <v/>
      </c>
    </row>
    <row r="98428">
      <c r="A98428" s="1" t="n">
        <v>98427</v>
      </c>
      <c r="B98428">
        <f>TEXT(98427, "[$-0E0000]yyyy-mm-dd")</f>
        <v/>
      </c>
    </row>
    <row r="98429">
      <c r="A98429" s="1" t="n">
        <v>98428</v>
      </c>
      <c r="B98429">
        <f>TEXT(98428, "[$-0E0000]yyyy-mm-dd")</f>
        <v/>
      </c>
    </row>
    <row r="98430">
      <c r="A98430" s="1" t="n">
        <v>98429</v>
      </c>
      <c r="B98430">
        <f>TEXT(98429, "[$-0E0000]yyyy-mm-dd")</f>
        <v/>
      </c>
    </row>
    <row r="98431">
      <c r="A98431" s="1" t="n">
        <v>98430</v>
      </c>
      <c r="B98431">
        <f>TEXT(98430, "[$-0E0000]yyyy-mm-dd")</f>
        <v/>
      </c>
    </row>
    <row r="98432">
      <c r="A98432" s="1" t="n">
        <v>98431</v>
      </c>
      <c r="B98432">
        <f>TEXT(98431, "[$-0E0000]yyyy-mm-dd")</f>
        <v/>
      </c>
    </row>
    <row r="98433">
      <c r="A98433" s="1" t="n">
        <v>98432</v>
      </c>
      <c r="B98433">
        <f>TEXT(98432, "[$-0E0000]yyyy-mm-dd")</f>
        <v/>
      </c>
    </row>
    <row r="98434">
      <c r="A98434" s="1" t="n">
        <v>98433</v>
      </c>
      <c r="B98434">
        <f>TEXT(98433, "[$-0E0000]yyyy-mm-dd")</f>
        <v/>
      </c>
    </row>
    <row r="98435">
      <c r="A98435" s="1" t="n">
        <v>98434</v>
      </c>
      <c r="B98435">
        <f>TEXT(98434, "[$-0E0000]yyyy-mm-dd")</f>
        <v/>
      </c>
    </row>
    <row r="98436">
      <c r="A98436" s="1" t="n">
        <v>98435</v>
      </c>
      <c r="B98436">
        <f>TEXT(98435, "[$-0E0000]yyyy-mm-dd")</f>
        <v/>
      </c>
    </row>
    <row r="98437">
      <c r="A98437" s="1" t="n">
        <v>98436</v>
      </c>
      <c r="B98437">
        <f>TEXT(98436, "[$-0E0000]yyyy-mm-dd")</f>
        <v/>
      </c>
    </row>
    <row r="98438">
      <c r="A98438" s="1" t="n">
        <v>98437</v>
      </c>
      <c r="B98438">
        <f>TEXT(98437, "[$-0E0000]yyyy-mm-dd")</f>
        <v/>
      </c>
    </row>
    <row r="98439">
      <c r="A98439" s="1" t="n">
        <v>98438</v>
      </c>
      <c r="B98439">
        <f>TEXT(98438, "[$-0E0000]yyyy-mm-dd")</f>
        <v/>
      </c>
    </row>
    <row r="98440">
      <c r="A98440" s="1" t="n">
        <v>98439</v>
      </c>
      <c r="B98440">
        <f>TEXT(98439, "[$-0E0000]yyyy-mm-dd")</f>
        <v/>
      </c>
    </row>
    <row r="98441">
      <c r="A98441" s="1" t="n">
        <v>98440</v>
      </c>
      <c r="B98441">
        <f>TEXT(98440, "[$-0E0000]yyyy-mm-dd")</f>
        <v/>
      </c>
    </row>
    <row r="98442">
      <c r="A98442" s="1" t="n">
        <v>98441</v>
      </c>
      <c r="B98442">
        <f>TEXT(98441, "[$-0E0000]yyyy-mm-dd")</f>
        <v/>
      </c>
    </row>
    <row r="98443">
      <c r="A98443" s="1" t="n">
        <v>98442</v>
      </c>
      <c r="B98443">
        <f>TEXT(98442, "[$-0E0000]yyyy-mm-dd")</f>
        <v/>
      </c>
    </row>
    <row r="98444">
      <c r="A98444" s="1" t="n">
        <v>98443</v>
      </c>
      <c r="B98444">
        <f>TEXT(98443, "[$-0E0000]yyyy-mm-dd")</f>
        <v/>
      </c>
    </row>
    <row r="98445">
      <c r="A98445" s="1" t="n">
        <v>98444</v>
      </c>
      <c r="B98445">
        <f>TEXT(98444, "[$-0E0000]yyyy-mm-dd")</f>
        <v/>
      </c>
    </row>
    <row r="98446">
      <c r="A98446" s="1" t="n">
        <v>98445</v>
      </c>
      <c r="B98446">
        <f>TEXT(98445, "[$-0E0000]yyyy-mm-dd")</f>
        <v/>
      </c>
    </row>
    <row r="98447">
      <c r="A98447" s="1" t="n">
        <v>98446</v>
      </c>
      <c r="B98447">
        <f>TEXT(98446, "[$-0E0000]yyyy-mm-dd")</f>
        <v/>
      </c>
    </row>
    <row r="98448">
      <c r="A98448" s="1" t="n">
        <v>98447</v>
      </c>
      <c r="B98448">
        <f>TEXT(98447, "[$-0E0000]yyyy-mm-dd")</f>
        <v/>
      </c>
    </row>
    <row r="98449">
      <c r="A98449" s="1" t="n">
        <v>98448</v>
      </c>
      <c r="B98449">
        <f>TEXT(98448, "[$-0E0000]yyyy-mm-dd")</f>
        <v/>
      </c>
    </row>
    <row r="98450">
      <c r="A98450" s="1" t="n">
        <v>98449</v>
      </c>
      <c r="B98450">
        <f>TEXT(98449, "[$-0E0000]yyyy-mm-dd")</f>
        <v/>
      </c>
    </row>
    <row r="98451">
      <c r="A98451" s="1" t="n">
        <v>98450</v>
      </c>
      <c r="B98451">
        <f>TEXT(98450, "[$-0E0000]yyyy-mm-dd")</f>
        <v/>
      </c>
    </row>
    <row r="98452">
      <c r="A98452" s="1" t="n">
        <v>98451</v>
      </c>
      <c r="B98452">
        <f>TEXT(98451, "[$-0E0000]yyyy-mm-dd")</f>
        <v/>
      </c>
    </row>
    <row r="98453">
      <c r="A98453" s="1" t="n">
        <v>98452</v>
      </c>
      <c r="B98453">
        <f>TEXT(98452, "[$-0E0000]yyyy-mm-dd")</f>
        <v/>
      </c>
    </row>
    <row r="98454">
      <c r="A98454" s="1" t="n">
        <v>98453</v>
      </c>
      <c r="B98454">
        <f>TEXT(98453, "[$-0E0000]yyyy-mm-dd")</f>
        <v/>
      </c>
    </row>
    <row r="98455">
      <c r="A98455" s="1" t="n">
        <v>98454</v>
      </c>
      <c r="B98455">
        <f>TEXT(98454, "[$-0E0000]yyyy-mm-dd")</f>
        <v/>
      </c>
    </row>
    <row r="98456">
      <c r="A98456" s="1" t="n">
        <v>98455</v>
      </c>
      <c r="B98456">
        <f>TEXT(98455, "[$-0E0000]yyyy-mm-dd")</f>
        <v/>
      </c>
    </row>
    <row r="98457">
      <c r="A98457" s="1" t="n">
        <v>98456</v>
      </c>
      <c r="B98457">
        <f>TEXT(98456, "[$-0E0000]yyyy-mm-dd")</f>
        <v/>
      </c>
    </row>
    <row r="98458">
      <c r="A98458" s="1" t="n">
        <v>98457</v>
      </c>
      <c r="B98458">
        <f>TEXT(98457, "[$-0E0000]yyyy-mm-dd")</f>
        <v/>
      </c>
    </row>
    <row r="98459">
      <c r="A98459" s="1" t="n">
        <v>98458</v>
      </c>
      <c r="B98459">
        <f>TEXT(98458, "[$-0E0000]yyyy-mm-dd")</f>
        <v/>
      </c>
    </row>
    <row r="98460">
      <c r="A98460" s="1" t="n">
        <v>98459</v>
      </c>
      <c r="B98460">
        <f>TEXT(98459, "[$-0E0000]yyyy-mm-dd")</f>
        <v/>
      </c>
    </row>
    <row r="98461">
      <c r="A98461" s="1" t="n">
        <v>98460</v>
      </c>
      <c r="B98461">
        <f>TEXT(98460, "[$-0E0000]yyyy-mm-dd")</f>
        <v/>
      </c>
    </row>
    <row r="98462">
      <c r="A98462" s="1" t="n">
        <v>98461</v>
      </c>
      <c r="B98462">
        <f>TEXT(98461, "[$-0E0000]yyyy-mm-dd")</f>
        <v/>
      </c>
    </row>
    <row r="98463">
      <c r="A98463" s="1" t="n">
        <v>98462</v>
      </c>
      <c r="B98463">
        <f>TEXT(98462, "[$-0E0000]yyyy-mm-dd")</f>
        <v/>
      </c>
    </row>
    <row r="98464">
      <c r="A98464" s="1" t="n">
        <v>98463</v>
      </c>
      <c r="B98464">
        <f>TEXT(98463, "[$-0E0000]yyyy-mm-dd")</f>
        <v/>
      </c>
    </row>
    <row r="98465">
      <c r="A98465" s="1" t="n">
        <v>98464</v>
      </c>
      <c r="B98465">
        <f>TEXT(98464, "[$-0E0000]yyyy-mm-dd")</f>
        <v/>
      </c>
    </row>
    <row r="98466">
      <c r="A98466" s="1" t="n">
        <v>98465</v>
      </c>
      <c r="B98466">
        <f>TEXT(98465, "[$-0E0000]yyyy-mm-dd")</f>
        <v/>
      </c>
    </row>
    <row r="98467">
      <c r="A98467" s="1" t="n">
        <v>98466</v>
      </c>
      <c r="B98467">
        <f>TEXT(98466, "[$-0E0000]yyyy-mm-dd")</f>
        <v/>
      </c>
    </row>
    <row r="98468">
      <c r="A98468" s="1" t="n">
        <v>98467</v>
      </c>
      <c r="B98468">
        <f>TEXT(98467, "[$-0E0000]yyyy-mm-dd")</f>
        <v/>
      </c>
    </row>
    <row r="98469">
      <c r="A98469" s="1" t="n">
        <v>98468</v>
      </c>
      <c r="B98469">
        <f>TEXT(98468, "[$-0E0000]yyyy-mm-dd")</f>
        <v/>
      </c>
    </row>
    <row r="98470">
      <c r="A98470" s="1" t="n">
        <v>98469</v>
      </c>
      <c r="B98470">
        <f>TEXT(98469, "[$-0E0000]yyyy-mm-dd")</f>
        <v/>
      </c>
    </row>
    <row r="98471">
      <c r="A98471" s="1" t="n">
        <v>98470</v>
      </c>
      <c r="B98471">
        <f>TEXT(98470, "[$-0E0000]yyyy-mm-dd")</f>
        <v/>
      </c>
    </row>
    <row r="98472">
      <c r="A98472" s="1" t="n">
        <v>98471</v>
      </c>
      <c r="B98472">
        <f>TEXT(98471, "[$-0E0000]yyyy-mm-dd")</f>
        <v/>
      </c>
    </row>
    <row r="98473">
      <c r="A98473" s="1" t="n">
        <v>98472</v>
      </c>
      <c r="B98473">
        <f>TEXT(98472, "[$-0E0000]yyyy-mm-dd")</f>
        <v/>
      </c>
    </row>
    <row r="98474">
      <c r="A98474" s="1" t="n">
        <v>98473</v>
      </c>
      <c r="B98474">
        <f>TEXT(98473, "[$-0E0000]yyyy-mm-dd")</f>
        <v/>
      </c>
    </row>
    <row r="98475">
      <c r="A98475" s="1" t="n">
        <v>98474</v>
      </c>
      <c r="B98475">
        <f>TEXT(98474, "[$-0E0000]yyyy-mm-dd")</f>
        <v/>
      </c>
    </row>
    <row r="98476">
      <c r="A98476" s="1" t="n">
        <v>98475</v>
      </c>
      <c r="B98476">
        <f>TEXT(98475, "[$-0E0000]yyyy-mm-dd")</f>
        <v/>
      </c>
    </row>
    <row r="98477">
      <c r="A98477" s="1" t="n">
        <v>98476</v>
      </c>
      <c r="B98477">
        <f>TEXT(98476, "[$-0E0000]yyyy-mm-dd")</f>
        <v/>
      </c>
    </row>
    <row r="98478">
      <c r="A98478" s="1" t="n">
        <v>98477</v>
      </c>
      <c r="B98478">
        <f>TEXT(98477, "[$-0E0000]yyyy-mm-dd")</f>
        <v/>
      </c>
    </row>
    <row r="98479">
      <c r="A98479" s="1" t="n">
        <v>98478</v>
      </c>
      <c r="B98479">
        <f>TEXT(98478, "[$-0E0000]yyyy-mm-dd")</f>
        <v/>
      </c>
    </row>
    <row r="98480">
      <c r="A98480" s="1" t="n">
        <v>98479</v>
      </c>
      <c r="B98480">
        <f>TEXT(98479, "[$-0E0000]yyyy-mm-dd")</f>
        <v/>
      </c>
    </row>
    <row r="98481">
      <c r="A98481" s="1" t="n">
        <v>98480</v>
      </c>
      <c r="B98481">
        <f>TEXT(98480, "[$-0E0000]yyyy-mm-dd")</f>
        <v/>
      </c>
    </row>
    <row r="98482">
      <c r="A98482" s="1" t="n">
        <v>98481</v>
      </c>
      <c r="B98482">
        <f>TEXT(98481, "[$-0E0000]yyyy-mm-dd")</f>
        <v/>
      </c>
    </row>
    <row r="98483">
      <c r="A98483" s="1" t="n">
        <v>98482</v>
      </c>
      <c r="B98483">
        <f>TEXT(98482, "[$-0E0000]yyyy-mm-dd")</f>
        <v/>
      </c>
    </row>
    <row r="98484">
      <c r="A98484" s="1" t="n">
        <v>98483</v>
      </c>
      <c r="B98484">
        <f>TEXT(98483, "[$-0E0000]yyyy-mm-dd")</f>
        <v/>
      </c>
    </row>
    <row r="98485">
      <c r="A98485" s="1" t="n">
        <v>98484</v>
      </c>
      <c r="B98485">
        <f>TEXT(98484, "[$-0E0000]yyyy-mm-dd")</f>
        <v/>
      </c>
    </row>
    <row r="98486">
      <c r="A98486" s="1" t="n">
        <v>98485</v>
      </c>
      <c r="B98486">
        <f>TEXT(98485, "[$-0E0000]yyyy-mm-dd")</f>
        <v/>
      </c>
    </row>
    <row r="98487">
      <c r="A98487" s="1" t="n">
        <v>98486</v>
      </c>
      <c r="B98487">
        <f>TEXT(98486, "[$-0E0000]yyyy-mm-dd")</f>
        <v/>
      </c>
    </row>
    <row r="98488">
      <c r="A98488" s="1" t="n">
        <v>98487</v>
      </c>
      <c r="B98488">
        <f>TEXT(98487, "[$-0E0000]yyyy-mm-dd")</f>
        <v/>
      </c>
    </row>
    <row r="98489">
      <c r="A98489" s="1" t="n">
        <v>98488</v>
      </c>
      <c r="B98489">
        <f>TEXT(98488, "[$-0E0000]yyyy-mm-dd")</f>
        <v/>
      </c>
    </row>
    <row r="98490">
      <c r="A98490" s="1" t="n">
        <v>98489</v>
      </c>
      <c r="B98490">
        <f>TEXT(98489, "[$-0E0000]yyyy-mm-dd")</f>
        <v/>
      </c>
    </row>
    <row r="98491">
      <c r="A98491" s="1" t="n">
        <v>98490</v>
      </c>
      <c r="B98491">
        <f>TEXT(98490, "[$-0E0000]yyyy-mm-dd")</f>
        <v/>
      </c>
    </row>
    <row r="98492">
      <c r="A98492" s="1" t="n">
        <v>98491</v>
      </c>
      <c r="B98492">
        <f>TEXT(98491, "[$-0E0000]yyyy-mm-dd")</f>
        <v/>
      </c>
    </row>
    <row r="98493">
      <c r="A98493" s="1" t="n">
        <v>98492</v>
      </c>
      <c r="B98493">
        <f>TEXT(98492, "[$-0E0000]yyyy-mm-dd")</f>
        <v/>
      </c>
    </row>
    <row r="98494">
      <c r="A98494" s="1" t="n">
        <v>98493</v>
      </c>
      <c r="B98494">
        <f>TEXT(98493, "[$-0E0000]yyyy-mm-dd")</f>
        <v/>
      </c>
    </row>
    <row r="98495">
      <c r="A98495" s="1" t="n">
        <v>98494</v>
      </c>
      <c r="B98495">
        <f>TEXT(98494, "[$-0E0000]yyyy-mm-dd")</f>
        <v/>
      </c>
    </row>
    <row r="98496">
      <c r="A98496" s="1" t="n">
        <v>98495</v>
      </c>
      <c r="B98496">
        <f>TEXT(98495, "[$-0E0000]yyyy-mm-dd")</f>
        <v/>
      </c>
    </row>
    <row r="98497">
      <c r="A98497" s="1" t="n">
        <v>98496</v>
      </c>
      <c r="B98497">
        <f>TEXT(98496, "[$-0E0000]yyyy-mm-dd")</f>
        <v/>
      </c>
    </row>
    <row r="98498">
      <c r="A98498" s="1" t="n">
        <v>98497</v>
      </c>
      <c r="B98498">
        <f>TEXT(98497, "[$-0E0000]yyyy-mm-dd")</f>
        <v/>
      </c>
    </row>
    <row r="98499">
      <c r="A98499" s="1" t="n">
        <v>98498</v>
      </c>
      <c r="B98499">
        <f>TEXT(98498, "[$-0E0000]yyyy-mm-dd")</f>
        <v/>
      </c>
    </row>
    <row r="98500">
      <c r="A98500" s="1" t="n">
        <v>98499</v>
      </c>
      <c r="B98500">
        <f>TEXT(98499, "[$-0E0000]yyyy-mm-dd")</f>
        <v/>
      </c>
    </row>
    <row r="98501">
      <c r="A98501" s="1" t="n">
        <v>98500</v>
      </c>
      <c r="B98501">
        <f>TEXT(98500, "[$-0E0000]yyyy-mm-dd")</f>
        <v/>
      </c>
    </row>
    <row r="98502">
      <c r="A98502" s="1" t="n">
        <v>98501</v>
      </c>
      <c r="B98502">
        <f>TEXT(98501, "[$-0E0000]yyyy-mm-dd")</f>
        <v/>
      </c>
    </row>
    <row r="98503">
      <c r="A98503" s="1" t="n">
        <v>98502</v>
      </c>
      <c r="B98503">
        <f>TEXT(98502, "[$-0E0000]yyyy-mm-dd")</f>
        <v/>
      </c>
    </row>
    <row r="98504">
      <c r="A98504" s="1" t="n">
        <v>98503</v>
      </c>
      <c r="B98504">
        <f>TEXT(98503, "[$-0E0000]yyyy-mm-dd")</f>
        <v/>
      </c>
    </row>
    <row r="98505">
      <c r="A98505" s="1" t="n">
        <v>98504</v>
      </c>
      <c r="B98505">
        <f>TEXT(98504, "[$-0E0000]yyyy-mm-dd")</f>
        <v/>
      </c>
    </row>
    <row r="98506">
      <c r="A98506" s="1" t="n">
        <v>98505</v>
      </c>
      <c r="B98506">
        <f>TEXT(98505, "[$-0E0000]yyyy-mm-dd")</f>
        <v/>
      </c>
    </row>
    <row r="98507">
      <c r="A98507" s="1" t="n">
        <v>98506</v>
      </c>
      <c r="B98507">
        <f>TEXT(98506, "[$-0E0000]yyyy-mm-dd")</f>
        <v/>
      </c>
    </row>
    <row r="98508">
      <c r="A98508" s="1" t="n">
        <v>98507</v>
      </c>
      <c r="B98508">
        <f>TEXT(98507, "[$-0E0000]yyyy-mm-dd")</f>
        <v/>
      </c>
    </row>
    <row r="98509">
      <c r="A98509" s="1" t="n">
        <v>98508</v>
      </c>
      <c r="B98509">
        <f>TEXT(98508, "[$-0E0000]yyyy-mm-dd")</f>
        <v/>
      </c>
    </row>
    <row r="98510">
      <c r="A98510" s="1" t="n">
        <v>98509</v>
      </c>
      <c r="B98510">
        <f>TEXT(98509, "[$-0E0000]yyyy-mm-dd")</f>
        <v/>
      </c>
    </row>
    <row r="98511">
      <c r="A98511" s="1" t="n">
        <v>98510</v>
      </c>
      <c r="B98511">
        <f>TEXT(98510, "[$-0E0000]yyyy-mm-dd")</f>
        <v/>
      </c>
    </row>
    <row r="98512">
      <c r="A98512" s="1" t="n">
        <v>98511</v>
      </c>
      <c r="B98512">
        <f>TEXT(98511, "[$-0E0000]yyyy-mm-dd")</f>
        <v/>
      </c>
    </row>
    <row r="98513">
      <c r="A98513" s="1" t="n">
        <v>98512</v>
      </c>
      <c r="B98513">
        <f>TEXT(98512, "[$-0E0000]yyyy-mm-dd")</f>
        <v/>
      </c>
    </row>
    <row r="98514">
      <c r="A98514" s="1" t="n">
        <v>98513</v>
      </c>
      <c r="B98514">
        <f>TEXT(98513, "[$-0E0000]yyyy-mm-dd")</f>
        <v/>
      </c>
    </row>
    <row r="98515">
      <c r="A98515" s="1" t="n">
        <v>98514</v>
      </c>
      <c r="B98515">
        <f>TEXT(98514, "[$-0E0000]yyyy-mm-dd")</f>
        <v/>
      </c>
    </row>
    <row r="98516">
      <c r="A98516" s="1" t="n">
        <v>98515</v>
      </c>
      <c r="B98516">
        <f>TEXT(98515, "[$-0E0000]yyyy-mm-dd")</f>
        <v/>
      </c>
    </row>
    <row r="98517">
      <c r="A98517" s="1" t="n">
        <v>98516</v>
      </c>
      <c r="B98517">
        <f>TEXT(98516, "[$-0E0000]yyyy-mm-dd")</f>
        <v/>
      </c>
    </row>
    <row r="98518">
      <c r="A98518" s="1" t="n">
        <v>98517</v>
      </c>
      <c r="B98518">
        <f>TEXT(98517, "[$-0E0000]yyyy-mm-dd")</f>
        <v/>
      </c>
    </row>
    <row r="98519">
      <c r="A98519" s="1" t="n">
        <v>98518</v>
      </c>
      <c r="B98519">
        <f>TEXT(98518, "[$-0E0000]yyyy-mm-dd")</f>
        <v/>
      </c>
    </row>
    <row r="98520">
      <c r="A98520" s="1" t="n">
        <v>98519</v>
      </c>
      <c r="B98520">
        <f>TEXT(98519, "[$-0E0000]yyyy-mm-dd")</f>
        <v/>
      </c>
    </row>
    <row r="98521">
      <c r="A98521" s="1" t="n">
        <v>98520</v>
      </c>
      <c r="B98521">
        <f>TEXT(98520, "[$-0E0000]yyyy-mm-dd")</f>
        <v/>
      </c>
    </row>
    <row r="98522">
      <c r="A98522" s="1" t="n">
        <v>98521</v>
      </c>
      <c r="B98522">
        <f>TEXT(98521, "[$-0E0000]yyyy-mm-dd")</f>
        <v/>
      </c>
    </row>
    <row r="98523">
      <c r="A98523" s="1" t="n">
        <v>98522</v>
      </c>
      <c r="B98523">
        <f>TEXT(98522, "[$-0E0000]yyyy-mm-dd")</f>
        <v/>
      </c>
    </row>
    <row r="98524">
      <c r="A98524" s="1" t="n">
        <v>98523</v>
      </c>
      <c r="B98524">
        <f>TEXT(98523, "[$-0E0000]yyyy-mm-dd")</f>
        <v/>
      </c>
    </row>
    <row r="98525">
      <c r="A98525" s="1" t="n">
        <v>98524</v>
      </c>
      <c r="B98525">
        <f>TEXT(98524, "[$-0E0000]yyyy-mm-dd")</f>
        <v/>
      </c>
    </row>
    <row r="98526">
      <c r="A98526" s="1" t="n">
        <v>98525</v>
      </c>
      <c r="B98526">
        <f>TEXT(98525, "[$-0E0000]yyyy-mm-dd")</f>
        <v/>
      </c>
    </row>
    <row r="98527">
      <c r="A98527" s="1" t="n">
        <v>98526</v>
      </c>
      <c r="B98527">
        <f>TEXT(98526, "[$-0E0000]yyyy-mm-dd")</f>
        <v/>
      </c>
    </row>
    <row r="98528">
      <c r="A98528" s="1" t="n">
        <v>98527</v>
      </c>
      <c r="B98528">
        <f>TEXT(98527, "[$-0E0000]yyyy-mm-dd")</f>
        <v/>
      </c>
    </row>
    <row r="98529">
      <c r="A98529" s="1" t="n">
        <v>98528</v>
      </c>
      <c r="B98529">
        <f>TEXT(98528, "[$-0E0000]yyyy-mm-dd")</f>
        <v/>
      </c>
    </row>
    <row r="98530">
      <c r="A98530" s="1" t="n">
        <v>98529</v>
      </c>
      <c r="B98530">
        <f>TEXT(98529, "[$-0E0000]yyyy-mm-dd")</f>
        <v/>
      </c>
    </row>
    <row r="98531">
      <c r="A98531" s="1" t="n">
        <v>98530</v>
      </c>
      <c r="B98531">
        <f>TEXT(98530, "[$-0E0000]yyyy-mm-dd")</f>
        <v/>
      </c>
    </row>
    <row r="98532">
      <c r="A98532" s="1" t="n">
        <v>98531</v>
      </c>
      <c r="B98532">
        <f>TEXT(98531, "[$-0E0000]yyyy-mm-dd")</f>
        <v/>
      </c>
    </row>
    <row r="98533">
      <c r="A98533" s="1" t="n">
        <v>98532</v>
      </c>
      <c r="B98533">
        <f>TEXT(98532, "[$-0E0000]yyyy-mm-dd")</f>
        <v/>
      </c>
    </row>
    <row r="98534">
      <c r="A98534" s="1" t="n">
        <v>98533</v>
      </c>
      <c r="B98534">
        <f>TEXT(98533, "[$-0E0000]yyyy-mm-dd")</f>
        <v/>
      </c>
    </row>
    <row r="98535">
      <c r="A98535" s="1" t="n">
        <v>98534</v>
      </c>
      <c r="B98535">
        <f>TEXT(98534, "[$-0E0000]yyyy-mm-dd")</f>
        <v/>
      </c>
    </row>
    <row r="98536">
      <c r="A98536" s="1" t="n">
        <v>98535</v>
      </c>
      <c r="B98536">
        <f>TEXT(98535, "[$-0E0000]yyyy-mm-dd")</f>
        <v/>
      </c>
    </row>
    <row r="98537">
      <c r="A98537" s="1" t="n">
        <v>98536</v>
      </c>
      <c r="B98537">
        <f>TEXT(98536, "[$-0E0000]yyyy-mm-dd")</f>
        <v/>
      </c>
    </row>
    <row r="98538">
      <c r="A98538" s="1" t="n">
        <v>98537</v>
      </c>
      <c r="B98538">
        <f>TEXT(98537, "[$-0E0000]yyyy-mm-dd")</f>
        <v/>
      </c>
    </row>
    <row r="98539">
      <c r="A98539" s="1" t="n">
        <v>98538</v>
      </c>
      <c r="B98539">
        <f>TEXT(98538, "[$-0E0000]yyyy-mm-dd")</f>
        <v/>
      </c>
    </row>
    <row r="98540">
      <c r="A98540" s="1" t="n">
        <v>98539</v>
      </c>
      <c r="B98540">
        <f>TEXT(98539, "[$-0E0000]yyyy-mm-dd")</f>
        <v/>
      </c>
    </row>
    <row r="98541">
      <c r="A98541" s="1" t="n">
        <v>98540</v>
      </c>
      <c r="B98541">
        <f>TEXT(98540, "[$-0E0000]yyyy-mm-dd")</f>
        <v/>
      </c>
    </row>
    <row r="98542">
      <c r="A98542" s="1" t="n">
        <v>98541</v>
      </c>
      <c r="B98542">
        <f>TEXT(98541, "[$-0E0000]yyyy-mm-dd")</f>
        <v/>
      </c>
    </row>
    <row r="98543">
      <c r="A98543" s="1" t="n">
        <v>98542</v>
      </c>
      <c r="B98543">
        <f>TEXT(98542, "[$-0E0000]yyyy-mm-dd")</f>
        <v/>
      </c>
    </row>
    <row r="98544">
      <c r="A98544" s="1" t="n">
        <v>98543</v>
      </c>
      <c r="B98544">
        <f>TEXT(98543, "[$-0E0000]yyyy-mm-dd")</f>
        <v/>
      </c>
    </row>
    <row r="98545">
      <c r="A98545" s="1" t="n">
        <v>98544</v>
      </c>
      <c r="B98545">
        <f>TEXT(98544, "[$-0E0000]yyyy-mm-dd")</f>
        <v/>
      </c>
    </row>
    <row r="98546">
      <c r="A98546" s="1" t="n">
        <v>98545</v>
      </c>
      <c r="B98546">
        <f>TEXT(98545, "[$-0E0000]yyyy-mm-dd")</f>
        <v/>
      </c>
    </row>
    <row r="98547">
      <c r="A98547" s="1" t="n">
        <v>98546</v>
      </c>
      <c r="B98547">
        <f>TEXT(98546, "[$-0E0000]yyyy-mm-dd")</f>
        <v/>
      </c>
    </row>
    <row r="98548">
      <c r="A98548" s="1" t="n">
        <v>98547</v>
      </c>
      <c r="B98548">
        <f>TEXT(98547, "[$-0E0000]yyyy-mm-dd")</f>
        <v/>
      </c>
    </row>
    <row r="98549">
      <c r="A98549" s="1" t="n">
        <v>98548</v>
      </c>
      <c r="B98549">
        <f>TEXT(98548, "[$-0E0000]yyyy-mm-dd")</f>
        <v/>
      </c>
    </row>
    <row r="98550">
      <c r="A98550" s="1" t="n">
        <v>98549</v>
      </c>
      <c r="B98550">
        <f>TEXT(98549, "[$-0E0000]yyyy-mm-dd")</f>
        <v/>
      </c>
    </row>
    <row r="98551">
      <c r="A98551" s="1" t="n">
        <v>98550</v>
      </c>
      <c r="B98551">
        <f>TEXT(98550, "[$-0E0000]yyyy-mm-dd")</f>
        <v/>
      </c>
    </row>
    <row r="98552">
      <c r="A98552" s="1" t="n">
        <v>98551</v>
      </c>
      <c r="B98552">
        <f>TEXT(98551, "[$-0E0000]yyyy-mm-dd")</f>
        <v/>
      </c>
    </row>
    <row r="98553">
      <c r="A98553" s="1" t="n">
        <v>98552</v>
      </c>
      <c r="B98553">
        <f>TEXT(98552, "[$-0E0000]yyyy-mm-dd")</f>
        <v/>
      </c>
    </row>
    <row r="98554">
      <c r="A98554" s="1" t="n">
        <v>98553</v>
      </c>
      <c r="B98554">
        <f>TEXT(98553, "[$-0E0000]yyyy-mm-dd")</f>
        <v/>
      </c>
    </row>
    <row r="98555">
      <c r="A98555" s="1" t="n">
        <v>98554</v>
      </c>
      <c r="B98555">
        <f>TEXT(98554, "[$-0E0000]yyyy-mm-dd")</f>
        <v/>
      </c>
    </row>
    <row r="98556">
      <c r="A98556" s="1" t="n">
        <v>98555</v>
      </c>
      <c r="B98556">
        <f>TEXT(98555, "[$-0E0000]yyyy-mm-dd")</f>
        <v/>
      </c>
    </row>
    <row r="98557">
      <c r="A98557" s="1" t="n">
        <v>98556</v>
      </c>
      <c r="B98557">
        <f>TEXT(98556, "[$-0E0000]yyyy-mm-dd")</f>
        <v/>
      </c>
    </row>
    <row r="98558">
      <c r="A98558" s="1" t="n">
        <v>98557</v>
      </c>
      <c r="B98558">
        <f>TEXT(98557, "[$-0E0000]yyyy-mm-dd")</f>
        <v/>
      </c>
    </row>
    <row r="98559">
      <c r="A98559" s="1" t="n">
        <v>98558</v>
      </c>
      <c r="B98559">
        <f>TEXT(98558, "[$-0E0000]yyyy-mm-dd")</f>
        <v/>
      </c>
    </row>
    <row r="98560">
      <c r="A98560" s="1" t="n">
        <v>98559</v>
      </c>
      <c r="B98560">
        <f>TEXT(98559, "[$-0E0000]yyyy-mm-dd")</f>
        <v/>
      </c>
    </row>
    <row r="98561">
      <c r="A98561" s="1" t="n">
        <v>98560</v>
      </c>
      <c r="B98561">
        <f>TEXT(98560, "[$-0E0000]yyyy-mm-dd")</f>
        <v/>
      </c>
    </row>
    <row r="98562">
      <c r="A98562" s="1" t="n">
        <v>98561</v>
      </c>
      <c r="B98562">
        <f>TEXT(98561, "[$-0E0000]yyyy-mm-dd")</f>
        <v/>
      </c>
    </row>
    <row r="98563">
      <c r="A98563" s="1" t="n">
        <v>98562</v>
      </c>
      <c r="B98563">
        <f>TEXT(98562, "[$-0E0000]yyyy-mm-dd")</f>
        <v/>
      </c>
    </row>
    <row r="98564">
      <c r="A98564" s="1" t="n">
        <v>98563</v>
      </c>
      <c r="B98564">
        <f>TEXT(98563, "[$-0E0000]yyyy-mm-dd")</f>
        <v/>
      </c>
    </row>
    <row r="98565">
      <c r="A98565" s="1" t="n">
        <v>98564</v>
      </c>
      <c r="B98565">
        <f>TEXT(98564, "[$-0E0000]yyyy-mm-dd")</f>
        <v/>
      </c>
    </row>
    <row r="98566">
      <c r="A98566" s="1" t="n">
        <v>98565</v>
      </c>
      <c r="B98566">
        <f>TEXT(98565, "[$-0E0000]yyyy-mm-dd")</f>
        <v/>
      </c>
    </row>
    <row r="98567">
      <c r="A98567" s="1" t="n">
        <v>98566</v>
      </c>
      <c r="B98567">
        <f>TEXT(98566, "[$-0E0000]yyyy-mm-dd")</f>
        <v/>
      </c>
    </row>
    <row r="98568">
      <c r="A98568" s="1" t="n">
        <v>98567</v>
      </c>
      <c r="B98568">
        <f>TEXT(98567, "[$-0E0000]yyyy-mm-dd")</f>
        <v/>
      </c>
    </row>
    <row r="98569">
      <c r="A98569" s="1" t="n">
        <v>98568</v>
      </c>
      <c r="B98569">
        <f>TEXT(98568, "[$-0E0000]yyyy-mm-dd")</f>
        <v/>
      </c>
    </row>
    <row r="98570">
      <c r="A98570" s="1" t="n">
        <v>98569</v>
      </c>
      <c r="B98570">
        <f>TEXT(98569, "[$-0E0000]yyyy-mm-dd")</f>
        <v/>
      </c>
    </row>
    <row r="98571">
      <c r="A98571" s="1" t="n">
        <v>98570</v>
      </c>
      <c r="B98571">
        <f>TEXT(98570, "[$-0E0000]yyyy-mm-dd")</f>
        <v/>
      </c>
    </row>
    <row r="98572">
      <c r="A98572" s="1" t="n">
        <v>98571</v>
      </c>
      <c r="B98572">
        <f>TEXT(98571, "[$-0E0000]yyyy-mm-dd")</f>
        <v/>
      </c>
    </row>
    <row r="98573">
      <c r="A98573" s="1" t="n">
        <v>98572</v>
      </c>
      <c r="B98573">
        <f>TEXT(98572, "[$-0E0000]yyyy-mm-dd")</f>
        <v/>
      </c>
    </row>
    <row r="98574">
      <c r="A98574" s="1" t="n">
        <v>98573</v>
      </c>
      <c r="B98574">
        <f>TEXT(98573, "[$-0E0000]yyyy-mm-dd")</f>
        <v/>
      </c>
    </row>
    <row r="98575">
      <c r="A98575" s="1" t="n">
        <v>98574</v>
      </c>
      <c r="B98575">
        <f>TEXT(98574, "[$-0E0000]yyyy-mm-dd")</f>
        <v/>
      </c>
    </row>
    <row r="98576">
      <c r="A98576" s="1" t="n">
        <v>98575</v>
      </c>
      <c r="B98576">
        <f>TEXT(98575, "[$-0E0000]yyyy-mm-dd")</f>
        <v/>
      </c>
    </row>
    <row r="98577">
      <c r="A98577" s="1" t="n">
        <v>98576</v>
      </c>
      <c r="B98577">
        <f>TEXT(98576, "[$-0E0000]yyyy-mm-dd")</f>
        <v/>
      </c>
    </row>
    <row r="98578">
      <c r="A98578" s="1" t="n">
        <v>98577</v>
      </c>
      <c r="B98578">
        <f>TEXT(98577, "[$-0E0000]yyyy-mm-dd")</f>
        <v/>
      </c>
    </row>
    <row r="98579">
      <c r="A98579" s="1" t="n">
        <v>98578</v>
      </c>
      <c r="B98579">
        <f>TEXT(98578, "[$-0E0000]yyyy-mm-dd")</f>
        <v/>
      </c>
    </row>
    <row r="98580">
      <c r="A98580" s="1" t="n">
        <v>98579</v>
      </c>
      <c r="B98580">
        <f>TEXT(98579, "[$-0E0000]yyyy-mm-dd")</f>
        <v/>
      </c>
    </row>
    <row r="98581">
      <c r="A98581" s="1" t="n">
        <v>98580</v>
      </c>
      <c r="B98581">
        <f>TEXT(98580, "[$-0E0000]yyyy-mm-dd")</f>
        <v/>
      </c>
    </row>
    <row r="98582">
      <c r="A98582" s="1" t="n">
        <v>98581</v>
      </c>
      <c r="B98582">
        <f>TEXT(98581, "[$-0E0000]yyyy-mm-dd")</f>
        <v/>
      </c>
    </row>
    <row r="98583">
      <c r="A98583" s="1" t="n">
        <v>98582</v>
      </c>
      <c r="B98583">
        <f>TEXT(98582, "[$-0E0000]yyyy-mm-dd")</f>
        <v/>
      </c>
    </row>
    <row r="98584">
      <c r="A98584" s="1" t="n">
        <v>98583</v>
      </c>
      <c r="B98584">
        <f>TEXT(98583, "[$-0E0000]yyyy-mm-dd")</f>
        <v/>
      </c>
    </row>
    <row r="98585">
      <c r="A98585" s="1" t="n">
        <v>98584</v>
      </c>
      <c r="B98585">
        <f>TEXT(98584, "[$-0E0000]yyyy-mm-dd")</f>
        <v/>
      </c>
    </row>
    <row r="98586">
      <c r="A98586" s="1" t="n">
        <v>98585</v>
      </c>
      <c r="B98586">
        <f>TEXT(98585, "[$-0E0000]yyyy-mm-dd")</f>
        <v/>
      </c>
    </row>
    <row r="98587">
      <c r="A98587" s="1" t="n">
        <v>98586</v>
      </c>
      <c r="B98587">
        <f>TEXT(98586, "[$-0E0000]yyyy-mm-dd")</f>
        <v/>
      </c>
    </row>
    <row r="98588">
      <c r="A98588" s="1" t="n">
        <v>98587</v>
      </c>
      <c r="B98588">
        <f>TEXT(98587, "[$-0E0000]yyyy-mm-dd")</f>
        <v/>
      </c>
    </row>
    <row r="98589">
      <c r="A98589" s="1" t="n">
        <v>98588</v>
      </c>
      <c r="B98589">
        <f>TEXT(98588, "[$-0E0000]yyyy-mm-dd")</f>
        <v/>
      </c>
    </row>
    <row r="98590">
      <c r="A98590" s="1" t="n">
        <v>98589</v>
      </c>
      <c r="B98590">
        <f>TEXT(98589, "[$-0E0000]yyyy-mm-dd")</f>
        <v/>
      </c>
    </row>
    <row r="98591">
      <c r="A98591" s="1" t="n">
        <v>98590</v>
      </c>
      <c r="B98591">
        <f>TEXT(98590, "[$-0E0000]yyyy-mm-dd")</f>
        <v/>
      </c>
    </row>
    <row r="98592">
      <c r="A98592" s="1" t="n">
        <v>98591</v>
      </c>
      <c r="B98592">
        <f>TEXT(98591, "[$-0E0000]yyyy-mm-dd")</f>
        <v/>
      </c>
    </row>
    <row r="98593">
      <c r="A98593" s="1" t="n">
        <v>98592</v>
      </c>
      <c r="B98593">
        <f>TEXT(98592, "[$-0E0000]yyyy-mm-dd")</f>
        <v/>
      </c>
    </row>
    <row r="98594">
      <c r="A98594" s="1" t="n">
        <v>98593</v>
      </c>
      <c r="B98594">
        <f>TEXT(98593, "[$-0E0000]yyyy-mm-dd")</f>
        <v/>
      </c>
    </row>
    <row r="98595">
      <c r="A98595" s="1" t="n">
        <v>98594</v>
      </c>
      <c r="B98595">
        <f>TEXT(98594, "[$-0E0000]yyyy-mm-dd")</f>
        <v/>
      </c>
    </row>
    <row r="98596">
      <c r="A98596" s="1" t="n">
        <v>98595</v>
      </c>
      <c r="B98596">
        <f>TEXT(98595, "[$-0E0000]yyyy-mm-dd")</f>
        <v/>
      </c>
    </row>
    <row r="98597">
      <c r="A98597" s="1" t="n">
        <v>98596</v>
      </c>
      <c r="B98597">
        <f>TEXT(98596, "[$-0E0000]yyyy-mm-dd")</f>
        <v/>
      </c>
    </row>
    <row r="98598">
      <c r="A98598" s="1" t="n">
        <v>98597</v>
      </c>
      <c r="B98598">
        <f>TEXT(98597, "[$-0E0000]yyyy-mm-dd")</f>
        <v/>
      </c>
    </row>
    <row r="98599">
      <c r="A98599" s="1" t="n">
        <v>98598</v>
      </c>
      <c r="B98599">
        <f>TEXT(98598, "[$-0E0000]yyyy-mm-dd")</f>
        <v/>
      </c>
    </row>
    <row r="98600">
      <c r="A98600" s="1" t="n">
        <v>98599</v>
      </c>
      <c r="B98600">
        <f>TEXT(98599, "[$-0E0000]yyyy-mm-dd")</f>
        <v/>
      </c>
    </row>
    <row r="98601">
      <c r="A98601" s="1" t="n">
        <v>98600</v>
      </c>
      <c r="B98601">
        <f>TEXT(98600, "[$-0E0000]yyyy-mm-dd")</f>
        <v/>
      </c>
    </row>
    <row r="98602">
      <c r="A98602" s="1" t="n">
        <v>98601</v>
      </c>
      <c r="B98602">
        <f>TEXT(98601, "[$-0E0000]yyyy-mm-dd")</f>
        <v/>
      </c>
    </row>
    <row r="98603">
      <c r="A98603" s="1" t="n">
        <v>98602</v>
      </c>
      <c r="B98603">
        <f>TEXT(98602, "[$-0E0000]yyyy-mm-dd")</f>
        <v/>
      </c>
    </row>
    <row r="98604">
      <c r="A98604" s="1" t="n">
        <v>98603</v>
      </c>
      <c r="B98604">
        <f>TEXT(98603, "[$-0E0000]yyyy-mm-dd")</f>
        <v/>
      </c>
    </row>
    <row r="98605">
      <c r="A98605" s="1" t="n">
        <v>98604</v>
      </c>
      <c r="B98605">
        <f>TEXT(98604, "[$-0E0000]yyyy-mm-dd")</f>
        <v/>
      </c>
    </row>
    <row r="98606">
      <c r="A98606" s="1" t="n">
        <v>98605</v>
      </c>
      <c r="B98606">
        <f>TEXT(98605, "[$-0E0000]yyyy-mm-dd")</f>
        <v/>
      </c>
    </row>
    <row r="98607">
      <c r="A98607" s="1" t="n">
        <v>98606</v>
      </c>
      <c r="B98607">
        <f>TEXT(98606, "[$-0E0000]yyyy-mm-dd")</f>
        <v/>
      </c>
    </row>
    <row r="98608">
      <c r="A98608" s="1" t="n">
        <v>98607</v>
      </c>
      <c r="B98608">
        <f>TEXT(98607, "[$-0E0000]yyyy-mm-dd")</f>
        <v/>
      </c>
    </row>
    <row r="98609">
      <c r="A98609" s="1" t="n">
        <v>98608</v>
      </c>
      <c r="B98609">
        <f>TEXT(98608, "[$-0E0000]yyyy-mm-dd")</f>
        <v/>
      </c>
    </row>
    <row r="98610">
      <c r="A98610" s="1" t="n">
        <v>98609</v>
      </c>
      <c r="B98610">
        <f>TEXT(98609, "[$-0E0000]yyyy-mm-dd")</f>
        <v/>
      </c>
    </row>
    <row r="98611">
      <c r="A98611" s="1" t="n">
        <v>98610</v>
      </c>
      <c r="B98611">
        <f>TEXT(98610, "[$-0E0000]yyyy-mm-dd")</f>
        <v/>
      </c>
    </row>
    <row r="98612">
      <c r="A98612" s="1" t="n">
        <v>98611</v>
      </c>
      <c r="B98612">
        <f>TEXT(98611, "[$-0E0000]yyyy-mm-dd")</f>
        <v/>
      </c>
    </row>
    <row r="98613">
      <c r="A98613" s="1" t="n">
        <v>98612</v>
      </c>
      <c r="B98613">
        <f>TEXT(98612, "[$-0E0000]yyyy-mm-dd")</f>
        <v/>
      </c>
    </row>
    <row r="98614">
      <c r="A98614" s="1" t="n">
        <v>98613</v>
      </c>
      <c r="B98614">
        <f>TEXT(98613, "[$-0E0000]yyyy-mm-dd")</f>
        <v/>
      </c>
    </row>
    <row r="98615">
      <c r="A98615" s="1" t="n">
        <v>98614</v>
      </c>
      <c r="B98615">
        <f>TEXT(98614, "[$-0E0000]yyyy-mm-dd")</f>
        <v/>
      </c>
    </row>
    <row r="98616">
      <c r="A98616" s="1" t="n">
        <v>98615</v>
      </c>
      <c r="B98616">
        <f>TEXT(98615, "[$-0E0000]yyyy-mm-dd")</f>
        <v/>
      </c>
    </row>
    <row r="98617">
      <c r="A98617" s="1" t="n">
        <v>98616</v>
      </c>
      <c r="B98617">
        <f>TEXT(98616, "[$-0E0000]yyyy-mm-dd")</f>
        <v/>
      </c>
    </row>
    <row r="98618">
      <c r="A98618" s="1" t="n">
        <v>98617</v>
      </c>
      <c r="B98618">
        <f>TEXT(98617, "[$-0E0000]yyyy-mm-dd")</f>
        <v/>
      </c>
    </row>
    <row r="98619">
      <c r="A98619" s="1" t="n">
        <v>98618</v>
      </c>
      <c r="B98619">
        <f>TEXT(98618, "[$-0E0000]yyyy-mm-dd")</f>
        <v/>
      </c>
    </row>
    <row r="98620">
      <c r="A98620" s="1" t="n">
        <v>98619</v>
      </c>
      <c r="B98620">
        <f>TEXT(98619, "[$-0E0000]yyyy-mm-dd")</f>
        <v/>
      </c>
    </row>
    <row r="98621">
      <c r="A98621" s="1" t="n">
        <v>98620</v>
      </c>
      <c r="B98621">
        <f>TEXT(98620, "[$-0E0000]yyyy-mm-dd")</f>
        <v/>
      </c>
    </row>
    <row r="98622">
      <c r="A98622" s="1" t="n">
        <v>98621</v>
      </c>
      <c r="B98622">
        <f>TEXT(98621, "[$-0E0000]yyyy-mm-dd")</f>
        <v/>
      </c>
    </row>
    <row r="98623">
      <c r="A98623" s="1" t="n">
        <v>98622</v>
      </c>
      <c r="B98623">
        <f>TEXT(98622, "[$-0E0000]yyyy-mm-dd")</f>
        <v/>
      </c>
    </row>
    <row r="98624">
      <c r="A98624" s="1" t="n">
        <v>98623</v>
      </c>
      <c r="B98624">
        <f>TEXT(98623, "[$-0E0000]yyyy-mm-dd")</f>
        <v/>
      </c>
    </row>
    <row r="98625">
      <c r="A98625" s="1" t="n">
        <v>98624</v>
      </c>
      <c r="B98625">
        <f>TEXT(98624, "[$-0E0000]yyyy-mm-dd")</f>
        <v/>
      </c>
    </row>
    <row r="98626">
      <c r="A98626" s="1" t="n">
        <v>98625</v>
      </c>
      <c r="B98626">
        <f>TEXT(98625, "[$-0E0000]yyyy-mm-dd")</f>
        <v/>
      </c>
    </row>
    <row r="98627">
      <c r="A98627" s="1" t="n">
        <v>98626</v>
      </c>
      <c r="B98627">
        <f>TEXT(98626, "[$-0E0000]yyyy-mm-dd")</f>
        <v/>
      </c>
    </row>
    <row r="98628">
      <c r="A98628" s="1" t="n">
        <v>98627</v>
      </c>
      <c r="B98628">
        <f>TEXT(98627, "[$-0E0000]yyyy-mm-dd")</f>
        <v/>
      </c>
    </row>
    <row r="98629">
      <c r="A98629" s="1" t="n">
        <v>98628</v>
      </c>
      <c r="B98629">
        <f>TEXT(98628, "[$-0E0000]yyyy-mm-dd")</f>
        <v/>
      </c>
    </row>
    <row r="98630">
      <c r="A98630" s="1" t="n">
        <v>98629</v>
      </c>
      <c r="B98630">
        <f>TEXT(98629, "[$-0E0000]yyyy-mm-dd")</f>
        <v/>
      </c>
    </row>
    <row r="98631">
      <c r="A98631" s="1" t="n">
        <v>98630</v>
      </c>
      <c r="B98631">
        <f>TEXT(98630, "[$-0E0000]yyyy-mm-dd")</f>
        <v/>
      </c>
    </row>
    <row r="98632">
      <c r="A98632" s="1" t="n">
        <v>98631</v>
      </c>
      <c r="B98632">
        <f>TEXT(98631, "[$-0E0000]yyyy-mm-dd")</f>
        <v/>
      </c>
    </row>
    <row r="98633">
      <c r="A98633" s="1" t="n">
        <v>98632</v>
      </c>
      <c r="B98633">
        <f>TEXT(98632, "[$-0E0000]yyyy-mm-dd")</f>
        <v/>
      </c>
    </row>
    <row r="98634">
      <c r="A98634" s="1" t="n">
        <v>98633</v>
      </c>
      <c r="B98634">
        <f>TEXT(98633, "[$-0E0000]yyyy-mm-dd")</f>
        <v/>
      </c>
    </row>
    <row r="98635">
      <c r="A98635" s="1" t="n">
        <v>98634</v>
      </c>
      <c r="B98635">
        <f>TEXT(98634, "[$-0E0000]yyyy-mm-dd")</f>
        <v/>
      </c>
    </row>
    <row r="98636">
      <c r="A98636" s="1" t="n">
        <v>98635</v>
      </c>
      <c r="B98636">
        <f>TEXT(98635, "[$-0E0000]yyyy-mm-dd")</f>
        <v/>
      </c>
    </row>
    <row r="98637">
      <c r="A98637" s="1" t="n">
        <v>98636</v>
      </c>
      <c r="B98637">
        <f>TEXT(98636, "[$-0E0000]yyyy-mm-dd")</f>
        <v/>
      </c>
    </row>
    <row r="98638">
      <c r="A98638" s="1" t="n">
        <v>98637</v>
      </c>
      <c r="B98638">
        <f>TEXT(98637, "[$-0E0000]yyyy-mm-dd")</f>
        <v/>
      </c>
    </row>
    <row r="98639">
      <c r="A98639" s="1" t="n">
        <v>98638</v>
      </c>
      <c r="B98639">
        <f>TEXT(98638, "[$-0E0000]yyyy-mm-dd")</f>
        <v/>
      </c>
    </row>
    <row r="98640">
      <c r="A98640" s="1" t="n">
        <v>98639</v>
      </c>
      <c r="B98640">
        <f>TEXT(98639, "[$-0E0000]yyyy-mm-dd")</f>
        <v/>
      </c>
    </row>
    <row r="98641">
      <c r="A98641" s="1" t="n">
        <v>98640</v>
      </c>
      <c r="B98641">
        <f>TEXT(98640, "[$-0E0000]yyyy-mm-dd")</f>
        <v/>
      </c>
    </row>
    <row r="98642">
      <c r="A98642" s="1" t="n">
        <v>98641</v>
      </c>
      <c r="B98642">
        <f>TEXT(98641, "[$-0E0000]yyyy-mm-dd")</f>
        <v/>
      </c>
    </row>
    <row r="98643">
      <c r="A98643" s="1" t="n">
        <v>98642</v>
      </c>
      <c r="B98643">
        <f>TEXT(98642, "[$-0E0000]yyyy-mm-dd")</f>
        <v/>
      </c>
    </row>
    <row r="98644">
      <c r="A98644" s="1" t="n">
        <v>98643</v>
      </c>
      <c r="B98644">
        <f>TEXT(98643, "[$-0E0000]yyyy-mm-dd")</f>
        <v/>
      </c>
    </row>
    <row r="98645">
      <c r="A98645" s="1" t="n">
        <v>98644</v>
      </c>
      <c r="B98645">
        <f>TEXT(98644, "[$-0E0000]yyyy-mm-dd")</f>
        <v/>
      </c>
    </row>
    <row r="98646">
      <c r="A98646" s="1" t="n">
        <v>98645</v>
      </c>
      <c r="B98646">
        <f>TEXT(98645, "[$-0E0000]yyyy-mm-dd")</f>
        <v/>
      </c>
    </row>
    <row r="98647">
      <c r="A98647" s="1" t="n">
        <v>98646</v>
      </c>
      <c r="B98647">
        <f>TEXT(98646, "[$-0E0000]yyyy-mm-dd")</f>
        <v/>
      </c>
    </row>
    <row r="98648">
      <c r="A98648" s="1" t="n">
        <v>98647</v>
      </c>
      <c r="B98648">
        <f>TEXT(98647, "[$-0E0000]yyyy-mm-dd")</f>
        <v/>
      </c>
    </row>
    <row r="98649">
      <c r="A98649" s="1" t="n">
        <v>98648</v>
      </c>
      <c r="B98649">
        <f>TEXT(98648, "[$-0E0000]yyyy-mm-dd")</f>
        <v/>
      </c>
    </row>
    <row r="98650">
      <c r="A98650" s="1" t="n">
        <v>98649</v>
      </c>
      <c r="B98650">
        <f>TEXT(98649, "[$-0E0000]yyyy-mm-dd")</f>
        <v/>
      </c>
    </row>
    <row r="98651">
      <c r="A98651" s="1" t="n">
        <v>98650</v>
      </c>
      <c r="B98651">
        <f>TEXT(98650, "[$-0E0000]yyyy-mm-dd")</f>
        <v/>
      </c>
    </row>
    <row r="98652">
      <c r="A98652" s="1" t="n">
        <v>98651</v>
      </c>
      <c r="B98652">
        <f>TEXT(98651, "[$-0E0000]yyyy-mm-dd")</f>
        <v/>
      </c>
    </row>
    <row r="98653">
      <c r="A98653" s="1" t="n">
        <v>98652</v>
      </c>
      <c r="B98653">
        <f>TEXT(98652, "[$-0E0000]yyyy-mm-dd")</f>
        <v/>
      </c>
    </row>
    <row r="98654">
      <c r="A98654" s="1" t="n">
        <v>98653</v>
      </c>
      <c r="B98654">
        <f>TEXT(98653, "[$-0E0000]yyyy-mm-dd")</f>
        <v/>
      </c>
    </row>
    <row r="98655">
      <c r="A98655" s="1" t="n">
        <v>98654</v>
      </c>
      <c r="B98655">
        <f>TEXT(98654, "[$-0E0000]yyyy-mm-dd")</f>
        <v/>
      </c>
    </row>
    <row r="98656">
      <c r="A98656" s="1" t="n">
        <v>98655</v>
      </c>
      <c r="B98656">
        <f>TEXT(98655, "[$-0E0000]yyyy-mm-dd")</f>
        <v/>
      </c>
    </row>
    <row r="98657">
      <c r="A98657" s="1" t="n">
        <v>98656</v>
      </c>
      <c r="B98657">
        <f>TEXT(98656, "[$-0E0000]yyyy-mm-dd")</f>
        <v/>
      </c>
    </row>
    <row r="98658">
      <c r="A98658" s="1" t="n">
        <v>98657</v>
      </c>
      <c r="B98658">
        <f>TEXT(98657, "[$-0E0000]yyyy-mm-dd")</f>
        <v/>
      </c>
    </row>
    <row r="98659">
      <c r="A98659" s="1" t="n">
        <v>98658</v>
      </c>
      <c r="B98659">
        <f>TEXT(98658, "[$-0E0000]yyyy-mm-dd")</f>
        <v/>
      </c>
    </row>
    <row r="98660">
      <c r="A98660" s="1" t="n">
        <v>98659</v>
      </c>
      <c r="B98660">
        <f>TEXT(98659, "[$-0E0000]yyyy-mm-dd")</f>
        <v/>
      </c>
    </row>
    <row r="98661">
      <c r="A98661" s="1" t="n">
        <v>98660</v>
      </c>
      <c r="B98661">
        <f>TEXT(98660, "[$-0E0000]yyyy-mm-dd")</f>
        <v/>
      </c>
    </row>
    <row r="98662">
      <c r="A98662" s="1" t="n">
        <v>98661</v>
      </c>
      <c r="B98662">
        <f>TEXT(98661, "[$-0E0000]yyyy-mm-dd")</f>
        <v/>
      </c>
    </row>
    <row r="98663">
      <c r="A98663" s="1" t="n">
        <v>98662</v>
      </c>
      <c r="B98663">
        <f>TEXT(98662, "[$-0E0000]yyyy-mm-dd")</f>
        <v/>
      </c>
    </row>
    <row r="98664">
      <c r="A98664" s="1" t="n">
        <v>98663</v>
      </c>
      <c r="B98664">
        <f>TEXT(98663, "[$-0E0000]yyyy-mm-dd")</f>
        <v/>
      </c>
    </row>
    <row r="98665">
      <c r="A98665" s="1" t="n">
        <v>98664</v>
      </c>
      <c r="B98665">
        <f>TEXT(98664, "[$-0E0000]yyyy-mm-dd")</f>
        <v/>
      </c>
    </row>
    <row r="98666">
      <c r="A98666" s="1" t="n">
        <v>98665</v>
      </c>
      <c r="B98666">
        <f>TEXT(98665, "[$-0E0000]yyyy-mm-dd")</f>
        <v/>
      </c>
    </row>
    <row r="98667">
      <c r="A98667" s="1" t="n">
        <v>98666</v>
      </c>
      <c r="B98667">
        <f>TEXT(98666, "[$-0E0000]yyyy-mm-dd")</f>
        <v/>
      </c>
    </row>
    <row r="98668">
      <c r="A98668" s="1" t="n">
        <v>98667</v>
      </c>
      <c r="B98668">
        <f>TEXT(98667, "[$-0E0000]yyyy-mm-dd")</f>
        <v/>
      </c>
    </row>
    <row r="98669">
      <c r="A98669" s="1" t="n">
        <v>98668</v>
      </c>
      <c r="B98669">
        <f>TEXT(98668, "[$-0E0000]yyyy-mm-dd")</f>
        <v/>
      </c>
    </row>
    <row r="98670">
      <c r="A98670" s="1" t="n">
        <v>98669</v>
      </c>
      <c r="B98670">
        <f>TEXT(98669, "[$-0E0000]yyyy-mm-dd")</f>
        <v/>
      </c>
    </row>
    <row r="98671">
      <c r="A98671" s="1" t="n">
        <v>98670</v>
      </c>
      <c r="B98671">
        <f>TEXT(98670, "[$-0E0000]yyyy-mm-dd")</f>
        <v/>
      </c>
    </row>
    <row r="98672">
      <c r="A98672" s="1" t="n">
        <v>98671</v>
      </c>
      <c r="B98672">
        <f>TEXT(98671, "[$-0E0000]yyyy-mm-dd")</f>
        <v/>
      </c>
    </row>
    <row r="98673">
      <c r="A98673" s="1" t="n">
        <v>98672</v>
      </c>
      <c r="B98673">
        <f>TEXT(98672, "[$-0E0000]yyyy-mm-dd")</f>
        <v/>
      </c>
    </row>
    <row r="98674">
      <c r="A98674" s="1" t="n">
        <v>98673</v>
      </c>
      <c r="B98674">
        <f>TEXT(98673, "[$-0E0000]yyyy-mm-dd")</f>
        <v/>
      </c>
    </row>
    <row r="98675">
      <c r="A98675" s="1" t="n">
        <v>98674</v>
      </c>
      <c r="B98675">
        <f>TEXT(98674, "[$-0E0000]yyyy-mm-dd")</f>
        <v/>
      </c>
    </row>
    <row r="98676">
      <c r="A98676" s="1" t="n">
        <v>98675</v>
      </c>
      <c r="B98676">
        <f>TEXT(98675, "[$-0E0000]yyyy-mm-dd")</f>
        <v/>
      </c>
    </row>
    <row r="98677">
      <c r="A98677" s="1" t="n">
        <v>98676</v>
      </c>
      <c r="B98677">
        <f>TEXT(98676, "[$-0E0000]yyyy-mm-dd")</f>
        <v/>
      </c>
    </row>
    <row r="98678">
      <c r="A98678" s="1" t="n">
        <v>98677</v>
      </c>
      <c r="B98678">
        <f>TEXT(98677, "[$-0E0000]yyyy-mm-dd")</f>
        <v/>
      </c>
    </row>
    <row r="98679">
      <c r="A98679" s="1" t="n">
        <v>98678</v>
      </c>
      <c r="B98679">
        <f>TEXT(98678, "[$-0E0000]yyyy-mm-dd")</f>
        <v/>
      </c>
    </row>
    <row r="98680">
      <c r="A98680" s="1" t="n">
        <v>98679</v>
      </c>
      <c r="B98680">
        <f>TEXT(98679, "[$-0E0000]yyyy-mm-dd")</f>
        <v/>
      </c>
    </row>
    <row r="98681">
      <c r="A98681" s="1" t="n">
        <v>98680</v>
      </c>
      <c r="B98681">
        <f>TEXT(98680, "[$-0E0000]yyyy-mm-dd")</f>
        <v/>
      </c>
    </row>
    <row r="98682">
      <c r="A98682" s="1" t="n">
        <v>98681</v>
      </c>
      <c r="B98682">
        <f>TEXT(98681, "[$-0E0000]yyyy-mm-dd")</f>
        <v/>
      </c>
    </row>
    <row r="98683">
      <c r="A98683" s="1" t="n">
        <v>98682</v>
      </c>
      <c r="B98683">
        <f>TEXT(98682, "[$-0E0000]yyyy-mm-dd")</f>
        <v/>
      </c>
    </row>
    <row r="98684">
      <c r="A98684" s="1" t="n">
        <v>98683</v>
      </c>
      <c r="B98684">
        <f>TEXT(98683, "[$-0E0000]yyyy-mm-dd")</f>
        <v/>
      </c>
    </row>
    <row r="98685">
      <c r="A98685" s="1" t="n">
        <v>98684</v>
      </c>
      <c r="B98685">
        <f>TEXT(98684, "[$-0E0000]yyyy-mm-dd")</f>
        <v/>
      </c>
    </row>
    <row r="98686">
      <c r="A98686" s="1" t="n">
        <v>98685</v>
      </c>
      <c r="B98686">
        <f>TEXT(98685, "[$-0E0000]yyyy-mm-dd")</f>
        <v/>
      </c>
    </row>
    <row r="98687">
      <c r="A98687" s="1" t="n">
        <v>98686</v>
      </c>
      <c r="B98687">
        <f>TEXT(98686, "[$-0E0000]yyyy-mm-dd")</f>
        <v/>
      </c>
    </row>
    <row r="98688">
      <c r="A98688" s="1" t="n">
        <v>98687</v>
      </c>
      <c r="B98688">
        <f>TEXT(98687, "[$-0E0000]yyyy-mm-dd")</f>
        <v/>
      </c>
    </row>
    <row r="98689">
      <c r="A98689" s="1" t="n">
        <v>98688</v>
      </c>
      <c r="B98689">
        <f>TEXT(98688, "[$-0E0000]yyyy-mm-dd")</f>
        <v/>
      </c>
    </row>
    <row r="98690">
      <c r="A98690" s="1" t="n">
        <v>98689</v>
      </c>
      <c r="B98690">
        <f>TEXT(98689, "[$-0E0000]yyyy-mm-dd")</f>
        <v/>
      </c>
    </row>
    <row r="98691">
      <c r="A98691" s="1" t="n">
        <v>98690</v>
      </c>
      <c r="B98691">
        <f>TEXT(98690, "[$-0E0000]yyyy-mm-dd")</f>
        <v/>
      </c>
    </row>
    <row r="98692">
      <c r="A98692" s="1" t="n">
        <v>98691</v>
      </c>
      <c r="B98692">
        <f>TEXT(98691, "[$-0E0000]yyyy-mm-dd")</f>
        <v/>
      </c>
    </row>
    <row r="98693">
      <c r="A98693" s="1" t="n">
        <v>98692</v>
      </c>
      <c r="B98693">
        <f>TEXT(98692, "[$-0E0000]yyyy-mm-dd")</f>
        <v/>
      </c>
    </row>
    <row r="98694">
      <c r="A98694" s="1" t="n">
        <v>98693</v>
      </c>
      <c r="B98694">
        <f>TEXT(98693, "[$-0E0000]yyyy-mm-dd")</f>
        <v/>
      </c>
    </row>
    <row r="98695">
      <c r="A98695" s="1" t="n">
        <v>98694</v>
      </c>
      <c r="B98695">
        <f>TEXT(98694, "[$-0E0000]yyyy-mm-dd")</f>
        <v/>
      </c>
    </row>
    <row r="98696">
      <c r="A98696" s="1" t="n">
        <v>98695</v>
      </c>
      <c r="B98696">
        <f>TEXT(98695, "[$-0E0000]yyyy-mm-dd")</f>
        <v/>
      </c>
    </row>
    <row r="98697">
      <c r="A98697" s="1" t="n">
        <v>98696</v>
      </c>
      <c r="B98697">
        <f>TEXT(98696, "[$-0E0000]yyyy-mm-dd")</f>
        <v/>
      </c>
    </row>
    <row r="98698">
      <c r="A98698" s="1" t="n">
        <v>98697</v>
      </c>
      <c r="B98698">
        <f>TEXT(98697, "[$-0E0000]yyyy-mm-dd")</f>
        <v/>
      </c>
    </row>
    <row r="98699">
      <c r="A98699" s="1" t="n">
        <v>98698</v>
      </c>
      <c r="B98699">
        <f>TEXT(98698, "[$-0E0000]yyyy-mm-dd")</f>
        <v/>
      </c>
    </row>
    <row r="98700">
      <c r="A98700" s="1" t="n">
        <v>98699</v>
      </c>
      <c r="B98700">
        <f>TEXT(98699, "[$-0E0000]yyyy-mm-dd")</f>
        <v/>
      </c>
    </row>
    <row r="98701">
      <c r="A98701" s="1" t="n">
        <v>98700</v>
      </c>
      <c r="B98701">
        <f>TEXT(98700, "[$-0E0000]yyyy-mm-dd")</f>
        <v/>
      </c>
    </row>
    <row r="98702">
      <c r="A98702" s="1" t="n">
        <v>98701</v>
      </c>
      <c r="B98702">
        <f>TEXT(98701, "[$-0E0000]yyyy-mm-dd")</f>
        <v/>
      </c>
    </row>
    <row r="98703">
      <c r="A98703" s="1" t="n">
        <v>98702</v>
      </c>
      <c r="B98703">
        <f>TEXT(98702, "[$-0E0000]yyyy-mm-dd")</f>
        <v/>
      </c>
    </row>
    <row r="98704">
      <c r="A98704" s="1" t="n">
        <v>98703</v>
      </c>
      <c r="B98704">
        <f>TEXT(98703, "[$-0E0000]yyyy-mm-dd")</f>
        <v/>
      </c>
    </row>
    <row r="98705">
      <c r="A98705" s="1" t="n">
        <v>98704</v>
      </c>
      <c r="B98705">
        <f>TEXT(98704, "[$-0E0000]yyyy-mm-dd")</f>
        <v/>
      </c>
    </row>
    <row r="98706">
      <c r="A98706" s="1" t="n">
        <v>98705</v>
      </c>
      <c r="B98706">
        <f>TEXT(98705, "[$-0E0000]yyyy-mm-dd")</f>
        <v/>
      </c>
    </row>
    <row r="98707">
      <c r="A98707" s="1" t="n">
        <v>98706</v>
      </c>
      <c r="B98707">
        <f>TEXT(98706, "[$-0E0000]yyyy-mm-dd")</f>
        <v/>
      </c>
    </row>
    <row r="98708">
      <c r="A98708" s="1" t="n">
        <v>98707</v>
      </c>
      <c r="B98708">
        <f>TEXT(98707, "[$-0E0000]yyyy-mm-dd")</f>
        <v/>
      </c>
    </row>
    <row r="98709">
      <c r="A98709" s="1" t="n">
        <v>98708</v>
      </c>
      <c r="B98709">
        <f>TEXT(98708, "[$-0E0000]yyyy-mm-dd")</f>
        <v/>
      </c>
    </row>
    <row r="98710">
      <c r="A98710" s="1" t="n">
        <v>98709</v>
      </c>
      <c r="B98710">
        <f>TEXT(98709, "[$-0E0000]yyyy-mm-dd")</f>
        <v/>
      </c>
    </row>
    <row r="98711">
      <c r="A98711" s="1" t="n">
        <v>98710</v>
      </c>
      <c r="B98711">
        <f>TEXT(98710, "[$-0E0000]yyyy-mm-dd")</f>
        <v/>
      </c>
    </row>
    <row r="98712">
      <c r="A98712" s="1" t="n">
        <v>98711</v>
      </c>
      <c r="B98712">
        <f>TEXT(98711, "[$-0E0000]yyyy-mm-dd")</f>
        <v/>
      </c>
    </row>
    <row r="98713">
      <c r="A98713" s="1" t="n">
        <v>98712</v>
      </c>
      <c r="B98713">
        <f>TEXT(98712, "[$-0E0000]yyyy-mm-dd")</f>
        <v/>
      </c>
    </row>
    <row r="98714">
      <c r="A98714" s="1" t="n">
        <v>98713</v>
      </c>
      <c r="B98714">
        <f>TEXT(98713, "[$-0E0000]yyyy-mm-dd")</f>
        <v/>
      </c>
    </row>
    <row r="98715">
      <c r="A98715" s="1" t="n">
        <v>98714</v>
      </c>
      <c r="B98715">
        <f>TEXT(98714, "[$-0E0000]yyyy-mm-dd")</f>
        <v/>
      </c>
    </row>
    <row r="98716">
      <c r="A98716" s="1" t="n">
        <v>98715</v>
      </c>
      <c r="B98716">
        <f>TEXT(98715, "[$-0E0000]yyyy-mm-dd")</f>
        <v/>
      </c>
    </row>
    <row r="98717">
      <c r="A98717" s="1" t="n">
        <v>98716</v>
      </c>
      <c r="B98717">
        <f>TEXT(98716, "[$-0E0000]yyyy-mm-dd")</f>
        <v/>
      </c>
    </row>
    <row r="98718">
      <c r="A98718" s="1" t="n">
        <v>98717</v>
      </c>
      <c r="B98718">
        <f>TEXT(98717, "[$-0E0000]yyyy-mm-dd")</f>
        <v/>
      </c>
    </row>
    <row r="98719">
      <c r="A98719" s="1" t="n">
        <v>98718</v>
      </c>
      <c r="B98719">
        <f>TEXT(98718, "[$-0E0000]yyyy-mm-dd")</f>
        <v/>
      </c>
    </row>
    <row r="98720">
      <c r="A98720" s="1" t="n">
        <v>98719</v>
      </c>
      <c r="B98720">
        <f>TEXT(98719, "[$-0E0000]yyyy-mm-dd")</f>
        <v/>
      </c>
    </row>
    <row r="98721">
      <c r="A98721" s="1" t="n">
        <v>98720</v>
      </c>
      <c r="B98721">
        <f>TEXT(98720, "[$-0E0000]yyyy-mm-dd")</f>
        <v/>
      </c>
    </row>
    <row r="98722">
      <c r="A98722" s="1" t="n">
        <v>98721</v>
      </c>
      <c r="B98722">
        <f>TEXT(98721, "[$-0E0000]yyyy-mm-dd")</f>
        <v/>
      </c>
    </row>
    <row r="98723">
      <c r="A98723" s="1" t="n">
        <v>98722</v>
      </c>
      <c r="B98723">
        <f>TEXT(98722, "[$-0E0000]yyyy-mm-dd")</f>
        <v/>
      </c>
    </row>
    <row r="98724">
      <c r="A98724" s="1" t="n">
        <v>98723</v>
      </c>
      <c r="B98724">
        <f>TEXT(98723, "[$-0E0000]yyyy-mm-dd")</f>
        <v/>
      </c>
    </row>
    <row r="98725">
      <c r="A98725" s="1" t="n">
        <v>98724</v>
      </c>
      <c r="B98725">
        <f>TEXT(98724, "[$-0E0000]yyyy-mm-dd")</f>
        <v/>
      </c>
    </row>
    <row r="98726">
      <c r="A98726" s="1" t="n">
        <v>98725</v>
      </c>
      <c r="B98726">
        <f>TEXT(98725, "[$-0E0000]yyyy-mm-dd")</f>
        <v/>
      </c>
    </row>
    <row r="98727">
      <c r="A98727" s="1" t="n">
        <v>98726</v>
      </c>
      <c r="B98727">
        <f>TEXT(98726, "[$-0E0000]yyyy-mm-dd")</f>
        <v/>
      </c>
    </row>
    <row r="98728">
      <c r="A98728" s="1" t="n">
        <v>98727</v>
      </c>
      <c r="B98728">
        <f>TEXT(98727, "[$-0E0000]yyyy-mm-dd")</f>
        <v/>
      </c>
    </row>
    <row r="98729">
      <c r="A98729" s="1" t="n">
        <v>98728</v>
      </c>
      <c r="B98729">
        <f>TEXT(98728, "[$-0E0000]yyyy-mm-dd")</f>
        <v/>
      </c>
    </row>
    <row r="98730">
      <c r="A98730" s="1" t="n">
        <v>98729</v>
      </c>
      <c r="B98730">
        <f>TEXT(98729, "[$-0E0000]yyyy-mm-dd")</f>
        <v/>
      </c>
    </row>
    <row r="98731">
      <c r="A98731" s="1" t="n">
        <v>98730</v>
      </c>
      <c r="B98731">
        <f>TEXT(98730, "[$-0E0000]yyyy-mm-dd")</f>
        <v/>
      </c>
    </row>
    <row r="98732">
      <c r="A98732" s="1" t="n">
        <v>98731</v>
      </c>
      <c r="B98732">
        <f>TEXT(98731, "[$-0E0000]yyyy-mm-dd")</f>
        <v/>
      </c>
    </row>
    <row r="98733">
      <c r="A98733" s="1" t="n">
        <v>98732</v>
      </c>
      <c r="B98733">
        <f>TEXT(98732, "[$-0E0000]yyyy-mm-dd")</f>
        <v/>
      </c>
    </row>
    <row r="98734">
      <c r="A98734" s="1" t="n">
        <v>98733</v>
      </c>
      <c r="B98734">
        <f>TEXT(98733, "[$-0E0000]yyyy-mm-dd")</f>
        <v/>
      </c>
    </row>
    <row r="98735">
      <c r="A98735" s="1" t="n">
        <v>98734</v>
      </c>
      <c r="B98735">
        <f>TEXT(98734, "[$-0E0000]yyyy-mm-dd")</f>
        <v/>
      </c>
    </row>
    <row r="98736">
      <c r="A98736" s="1" t="n">
        <v>98735</v>
      </c>
      <c r="B98736">
        <f>TEXT(98735, "[$-0E0000]yyyy-mm-dd")</f>
        <v/>
      </c>
    </row>
    <row r="98737">
      <c r="A98737" s="1" t="n">
        <v>98736</v>
      </c>
      <c r="B98737">
        <f>TEXT(98736, "[$-0E0000]yyyy-mm-dd")</f>
        <v/>
      </c>
    </row>
    <row r="98738">
      <c r="A98738" s="1" t="n">
        <v>98737</v>
      </c>
      <c r="B98738">
        <f>TEXT(98737, "[$-0E0000]yyyy-mm-dd")</f>
        <v/>
      </c>
    </row>
    <row r="98739">
      <c r="A98739" s="1" t="n">
        <v>98738</v>
      </c>
      <c r="B98739">
        <f>TEXT(98738, "[$-0E0000]yyyy-mm-dd")</f>
        <v/>
      </c>
    </row>
    <row r="98740">
      <c r="A98740" s="1" t="n">
        <v>98739</v>
      </c>
      <c r="B98740">
        <f>TEXT(98739, "[$-0E0000]yyyy-mm-dd")</f>
        <v/>
      </c>
    </row>
    <row r="98741">
      <c r="A98741" s="1" t="n">
        <v>98740</v>
      </c>
      <c r="B98741">
        <f>TEXT(98740, "[$-0E0000]yyyy-mm-dd")</f>
        <v/>
      </c>
    </row>
    <row r="98742">
      <c r="A98742" s="1" t="n">
        <v>98741</v>
      </c>
      <c r="B98742">
        <f>TEXT(98741, "[$-0E0000]yyyy-mm-dd")</f>
        <v/>
      </c>
    </row>
    <row r="98743">
      <c r="A98743" s="1" t="n">
        <v>98742</v>
      </c>
      <c r="B98743">
        <f>TEXT(98742, "[$-0E0000]yyyy-mm-dd")</f>
        <v/>
      </c>
    </row>
    <row r="98744">
      <c r="A98744" s="1" t="n">
        <v>98743</v>
      </c>
      <c r="B98744">
        <f>TEXT(98743, "[$-0E0000]yyyy-mm-dd")</f>
        <v/>
      </c>
    </row>
    <row r="98745">
      <c r="A98745" s="1" t="n">
        <v>98744</v>
      </c>
      <c r="B98745">
        <f>TEXT(98744, "[$-0E0000]yyyy-mm-dd")</f>
        <v/>
      </c>
    </row>
    <row r="98746">
      <c r="A98746" s="1" t="n">
        <v>98745</v>
      </c>
      <c r="B98746">
        <f>TEXT(98745, "[$-0E0000]yyyy-mm-dd")</f>
        <v/>
      </c>
    </row>
    <row r="98747">
      <c r="A98747" s="1" t="n">
        <v>98746</v>
      </c>
      <c r="B98747">
        <f>TEXT(98746, "[$-0E0000]yyyy-mm-dd")</f>
        <v/>
      </c>
    </row>
    <row r="98748">
      <c r="A98748" s="1" t="n">
        <v>98747</v>
      </c>
      <c r="B98748">
        <f>TEXT(98747, "[$-0E0000]yyyy-mm-dd")</f>
        <v/>
      </c>
    </row>
    <row r="98749">
      <c r="A98749" s="1" t="n">
        <v>98748</v>
      </c>
      <c r="B98749">
        <f>TEXT(98748, "[$-0E0000]yyyy-mm-dd")</f>
        <v/>
      </c>
    </row>
    <row r="98750">
      <c r="A98750" s="1" t="n">
        <v>98749</v>
      </c>
      <c r="B98750">
        <f>TEXT(98749, "[$-0E0000]yyyy-mm-dd")</f>
        <v/>
      </c>
    </row>
    <row r="98751">
      <c r="A98751" s="1" t="n">
        <v>98750</v>
      </c>
      <c r="B98751">
        <f>TEXT(98750, "[$-0E0000]yyyy-mm-dd")</f>
        <v/>
      </c>
    </row>
    <row r="98752">
      <c r="A98752" s="1" t="n">
        <v>98751</v>
      </c>
      <c r="B98752">
        <f>TEXT(98751, "[$-0E0000]yyyy-mm-dd")</f>
        <v/>
      </c>
    </row>
    <row r="98753">
      <c r="A98753" s="1" t="n">
        <v>98752</v>
      </c>
      <c r="B98753">
        <f>TEXT(98752, "[$-0E0000]yyyy-mm-dd")</f>
        <v/>
      </c>
    </row>
    <row r="98754">
      <c r="A98754" s="1" t="n">
        <v>98753</v>
      </c>
      <c r="B98754">
        <f>TEXT(98753, "[$-0E0000]yyyy-mm-dd")</f>
        <v/>
      </c>
    </row>
    <row r="98755">
      <c r="A98755" s="1" t="n">
        <v>98754</v>
      </c>
      <c r="B98755">
        <f>TEXT(98754, "[$-0E0000]yyyy-mm-dd")</f>
        <v/>
      </c>
    </row>
    <row r="98756">
      <c r="A98756" s="1" t="n">
        <v>98755</v>
      </c>
      <c r="B98756">
        <f>TEXT(98755, "[$-0E0000]yyyy-mm-dd")</f>
        <v/>
      </c>
    </row>
    <row r="98757">
      <c r="A98757" s="1" t="n">
        <v>98756</v>
      </c>
      <c r="B98757">
        <f>TEXT(98756, "[$-0E0000]yyyy-mm-dd")</f>
        <v/>
      </c>
    </row>
    <row r="98758">
      <c r="A98758" s="1" t="n">
        <v>98757</v>
      </c>
      <c r="B98758">
        <f>TEXT(98757, "[$-0E0000]yyyy-mm-dd")</f>
        <v/>
      </c>
    </row>
    <row r="98759">
      <c r="A98759" s="1" t="n">
        <v>98758</v>
      </c>
      <c r="B98759">
        <f>TEXT(98758, "[$-0E0000]yyyy-mm-dd")</f>
        <v/>
      </c>
    </row>
    <row r="98760">
      <c r="A98760" s="1" t="n">
        <v>98759</v>
      </c>
      <c r="B98760">
        <f>TEXT(98759, "[$-0E0000]yyyy-mm-dd")</f>
        <v/>
      </c>
    </row>
    <row r="98761">
      <c r="A98761" s="1" t="n">
        <v>98760</v>
      </c>
      <c r="B98761">
        <f>TEXT(98760, "[$-0E0000]yyyy-mm-dd")</f>
        <v/>
      </c>
    </row>
    <row r="98762">
      <c r="A98762" s="1" t="n">
        <v>98761</v>
      </c>
      <c r="B98762">
        <f>TEXT(98761, "[$-0E0000]yyyy-mm-dd")</f>
        <v/>
      </c>
    </row>
    <row r="98763">
      <c r="A98763" s="1" t="n">
        <v>98762</v>
      </c>
      <c r="B98763">
        <f>TEXT(98762, "[$-0E0000]yyyy-mm-dd")</f>
        <v/>
      </c>
    </row>
    <row r="98764">
      <c r="A98764" s="1" t="n">
        <v>98763</v>
      </c>
      <c r="B98764">
        <f>TEXT(98763, "[$-0E0000]yyyy-mm-dd")</f>
        <v/>
      </c>
    </row>
    <row r="98765">
      <c r="A98765" s="1" t="n">
        <v>98764</v>
      </c>
      <c r="B98765">
        <f>TEXT(98764, "[$-0E0000]yyyy-mm-dd")</f>
        <v/>
      </c>
    </row>
    <row r="98766">
      <c r="A98766" s="1" t="n">
        <v>98765</v>
      </c>
      <c r="B98766">
        <f>TEXT(98765, "[$-0E0000]yyyy-mm-dd")</f>
        <v/>
      </c>
    </row>
    <row r="98767">
      <c r="A98767" s="1" t="n">
        <v>98766</v>
      </c>
      <c r="B98767">
        <f>TEXT(98766, "[$-0E0000]yyyy-mm-dd")</f>
        <v/>
      </c>
    </row>
    <row r="98768">
      <c r="A98768" s="1" t="n">
        <v>98767</v>
      </c>
      <c r="B98768">
        <f>TEXT(98767, "[$-0E0000]yyyy-mm-dd")</f>
        <v/>
      </c>
    </row>
    <row r="98769">
      <c r="A98769" s="1" t="n">
        <v>98768</v>
      </c>
      <c r="B98769">
        <f>TEXT(98768, "[$-0E0000]yyyy-mm-dd")</f>
        <v/>
      </c>
    </row>
    <row r="98770">
      <c r="A98770" s="1" t="n">
        <v>98769</v>
      </c>
      <c r="B98770">
        <f>TEXT(98769, "[$-0E0000]yyyy-mm-dd")</f>
        <v/>
      </c>
    </row>
    <row r="98771">
      <c r="A98771" s="1" t="n">
        <v>98770</v>
      </c>
      <c r="B98771">
        <f>TEXT(98770, "[$-0E0000]yyyy-mm-dd")</f>
        <v/>
      </c>
    </row>
    <row r="98772">
      <c r="A98772" s="1" t="n">
        <v>98771</v>
      </c>
      <c r="B98772">
        <f>TEXT(98771, "[$-0E0000]yyyy-mm-dd")</f>
        <v/>
      </c>
    </row>
    <row r="98773">
      <c r="A98773" s="1" t="n">
        <v>98772</v>
      </c>
      <c r="B98773">
        <f>TEXT(98772, "[$-0E0000]yyyy-mm-dd")</f>
        <v/>
      </c>
    </row>
    <row r="98774">
      <c r="A98774" s="1" t="n">
        <v>98773</v>
      </c>
      <c r="B98774">
        <f>TEXT(98773, "[$-0E0000]yyyy-mm-dd")</f>
        <v/>
      </c>
    </row>
    <row r="98775">
      <c r="A98775" s="1" t="n">
        <v>98774</v>
      </c>
      <c r="B98775">
        <f>TEXT(98774, "[$-0E0000]yyyy-mm-dd")</f>
        <v/>
      </c>
    </row>
    <row r="98776">
      <c r="A98776" s="1" t="n">
        <v>98775</v>
      </c>
      <c r="B98776">
        <f>TEXT(98775, "[$-0E0000]yyyy-mm-dd")</f>
        <v/>
      </c>
    </row>
    <row r="98777">
      <c r="A98777" s="1" t="n">
        <v>98776</v>
      </c>
      <c r="B98777">
        <f>TEXT(98776, "[$-0E0000]yyyy-mm-dd")</f>
        <v/>
      </c>
    </row>
    <row r="98778">
      <c r="A98778" s="1" t="n">
        <v>98777</v>
      </c>
      <c r="B98778">
        <f>TEXT(98777, "[$-0E0000]yyyy-mm-dd")</f>
        <v/>
      </c>
    </row>
    <row r="98779">
      <c r="A98779" s="1" t="n">
        <v>98778</v>
      </c>
      <c r="B98779">
        <f>TEXT(98778, "[$-0E0000]yyyy-mm-dd")</f>
        <v/>
      </c>
    </row>
    <row r="98780">
      <c r="A98780" s="1" t="n">
        <v>98779</v>
      </c>
      <c r="B98780">
        <f>TEXT(98779, "[$-0E0000]yyyy-mm-dd")</f>
        <v/>
      </c>
    </row>
    <row r="98781">
      <c r="A98781" s="1" t="n">
        <v>98780</v>
      </c>
      <c r="B98781">
        <f>TEXT(98780, "[$-0E0000]yyyy-mm-dd")</f>
        <v/>
      </c>
    </row>
    <row r="98782">
      <c r="A98782" s="1" t="n">
        <v>98781</v>
      </c>
      <c r="B98782">
        <f>TEXT(98781, "[$-0E0000]yyyy-mm-dd")</f>
        <v/>
      </c>
    </row>
    <row r="98783">
      <c r="A98783" s="1" t="n">
        <v>98782</v>
      </c>
      <c r="B98783">
        <f>TEXT(98782, "[$-0E0000]yyyy-mm-dd")</f>
        <v/>
      </c>
    </row>
    <row r="98784">
      <c r="A98784" s="1" t="n">
        <v>98783</v>
      </c>
      <c r="B98784">
        <f>TEXT(98783, "[$-0E0000]yyyy-mm-dd")</f>
        <v/>
      </c>
    </row>
    <row r="98785">
      <c r="A98785" s="1" t="n">
        <v>98784</v>
      </c>
      <c r="B98785">
        <f>TEXT(98784, "[$-0E0000]yyyy-mm-dd")</f>
        <v/>
      </c>
    </row>
    <row r="98786">
      <c r="A98786" s="1" t="n">
        <v>98785</v>
      </c>
      <c r="B98786">
        <f>TEXT(98785, "[$-0E0000]yyyy-mm-dd")</f>
        <v/>
      </c>
    </row>
    <row r="98787">
      <c r="A98787" s="1" t="n">
        <v>98786</v>
      </c>
      <c r="B98787">
        <f>TEXT(98786, "[$-0E0000]yyyy-mm-dd")</f>
        <v/>
      </c>
    </row>
    <row r="98788">
      <c r="A98788" s="1" t="n">
        <v>98787</v>
      </c>
      <c r="B98788">
        <f>TEXT(98787, "[$-0E0000]yyyy-mm-dd")</f>
        <v/>
      </c>
    </row>
    <row r="98789">
      <c r="A98789" s="1" t="n">
        <v>98788</v>
      </c>
      <c r="B98789">
        <f>TEXT(98788, "[$-0E0000]yyyy-mm-dd")</f>
        <v/>
      </c>
    </row>
    <row r="98790">
      <c r="A98790" s="1" t="n">
        <v>98789</v>
      </c>
      <c r="B98790">
        <f>TEXT(98789, "[$-0E0000]yyyy-mm-dd")</f>
        <v/>
      </c>
    </row>
    <row r="98791">
      <c r="A98791" s="1" t="n">
        <v>98790</v>
      </c>
      <c r="B98791">
        <f>TEXT(98790, "[$-0E0000]yyyy-mm-dd")</f>
        <v/>
      </c>
    </row>
    <row r="98792">
      <c r="A98792" s="1" t="n">
        <v>98791</v>
      </c>
      <c r="B98792">
        <f>TEXT(98791, "[$-0E0000]yyyy-mm-dd")</f>
        <v/>
      </c>
    </row>
    <row r="98793">
      <c r="A98793" s="1" t="n">
        <v>98792</v>
      </c>
      <c r="B98793">
        <f>TEXT(98792, "[$-0E0000]yyyy-mm-dd")</f>
        <v/>
      </c>
    </row>
    <row r="98794">
      <c r="A98794" s="1" t="n">
        <v>98793</v>
      </c>
      <c r="B98794">
        <f>TEXT(98793, "[$-0E0000]yyyy-mm-dd")</f>
        <v/>
      </c>
    </row>
    <row r="98795">
      <c r="A98795" s="1" t="n">
        <v>98794</v>
      </c>
      <c r="B98795">
        <f>TEXT(98794, "[$-0E0000]yyyy-mm-dd")</f>
        <v/>
      </c>
    </row>
    <row r="98796">
      <c r="A98796" s="1" t="n">
        <v>98795</v>
      </c>
      <c r="B98796">
        <f>TEXT(98795, "[$-0E0000]yyyy-mm-dd")</f>
        <v/>
      </c>
    </row>
    <row r="98797">
      <c r="A98797" s="1" t="n">
        <v>98796</v>
      </c>
      <c r="B98797">
        <f>TEXT(98796, "[$-0E0000]yyyy-mm-dd")</f>
        <v/>
      </c>
    </row>
    <row r="98798">
      <c r="A98798" s="1" t="n">
        <v>98797</v>
      </c>
      <c r="B98798">
        <f>TEXT(98797, "[$-0E0000]yyyy-mm-dd")</f>
        <v/>
      </c>
    </row>
    <row r="98799">
      <c r="A98799" s="1" t="n">
        <v>98798</v>
      </c>
      <c r="B98799">
        <f>TEXT(98798, "[$-0E0000]yyyy-mm-dd")</f>
        <v/>
      </c>
    </row>
    <row r="98800">
      <c r="A98800" s="1" t="n">
        <v>98799</v>
      </c>
      <c r="B98800">
        <f>TEXT(98799, "[$-0E0000]yyyy-mm-dd")</f>
        <v/>
      </c>
    </row>
    <row r="98801">
      <c r="A98801" s="1" t="n">
        <v>98800</v>
      </c>
      <c r="B98801">
        <f>TEXT(98800, "[$-0E0000]yyyy-mm-dd")</f>
        <v/>
      </c>
    </row>
    <row r="98802">
      <c r="A98802" s="1" t="n">
        <v>98801</v>
      </c>
      <c r="B98802">
        <f>TEXT(98801, "[$-0E0000]yyyy-mm-dd")</f>
        <v/>
      </c>
    </row>
    <row r="98803">
      <c r="A98803" s="1" t="n">
        <v>98802</v>
      </c>
      <c r="B98803">
        <f>TEXT(98802, "[$-0E0000]yyyy-mm-dd")</f>
        <v/>
      </c>
    </row>
    <row r="98804">
      <c r="A98804" s="1" t="n">
        <v>98803</v>
      </c>
      <c r="B98804">
        <f>TEXT(98803, "[$-0E0000]yyyy-mm-dd")</f>
        <v/>
      </c>
    </row>
    <row r="98805">
      <c r="A98805" s="1" t="n">
        <v>98804</v>
      </c>
      <c r="B98805">
        <f>TEXT(98804, "[$-0E0000]yyyy-mm-dd")</f>
        <v/>
      </c>
    </row>
    <row r="98806">
      <c r="A98806" s="1" t="n">
        <v>98805</v>
      </c>
      <c r="B98806">
        <f>TEXT(98805, "[$-0E0000]yyyy-mm-dd")</f>
        <v/>
      </c>
    </row>
    <row r="98807">
      <c r="A98807" s="1" t="n">
        <v>98806</v>
      </c>
      <c r="B98807">
        <f>TEXT(98806, "[$-0E0000]yyyy-mm-dd")</f>
        <v/>
      </c>
    </row>
    <row r="98808">
      <c r="A98808" s="1" t="n">
        <v>98807</v>
      </c>
      <c r="B98808">
        <f>TEXT(98807, "[$-0E0000]yyyy-mm-dd")</f>
        <v/>
      </c>
    </row>
    <row r="98809">
      <c r="A98809" s="1" t="n">
        <v>98808</v>
      </c>
      <c r="B98809">
        <f>TEXT(98808, "[$-0E0000]yyyy-mm-dd")</f>
        <v/>
      </c>
    </row>
    <row r="98810">
      <c r="A98810" s="1" t="n">
        <v>98809</v>
      </c>
      <c r="B98810">
        <f>TEXT(98809, "[$-0E0000]yyyy-mm-dd")</f>
        <v/>
      </c>
    </row>
    <row r="98811">
      <c r="A98811" s="1" t="n">
        <v>98810</v>
      </c>
      <c r="B98811">
        <f>TEXT(98810, "[$-0E0000]yyyy-mm-dd")</f>
        <v/>
      </c>
    </row>
    <row r="98812">
      <c r="A98812" s="1" t="n">
        <v>98811</v>
      </c>
      <c r="B98812">
        <f>TEXT(98811, "[$-0E0000]yyyy-mm-dd")</f>
        <v/>
      </c>
    </row>
    <row r="98813">
      <c r="A98813" s="1" t="n">
        <v>98812</v>
      </c>
      <c r="B98813">
        <f>TEXT(98812, "[$-0E0000]yyyy-mm-dd")</f>
        <v/>
      </c>
    </row>
    <row r="98814">
      <c r="A98814" s="1" t="n">
        <v>98813</v>
      </c>
      <c r="B98814">
        <f>TEXT(98813, "[$-0E0000]yyyy-mm-dd")</f>
        <v/>
      </c>
    </row>
    <row r="98815">
      <c r="A98815" s="1" t="n">
        <v>98814</v>
      </c>
      <c r="B98815">
        <f>TEXT(98814, "[$-0E0000]yyyy-mm-dd")</f>
        <v/>
      </c>
    </row>
    <row r="98816">
      <c r="A98816" s="1" t="n">
        <v>98815</v>
      </c>
      <c r="B98816">
        <f>TEXT(98815, "[$-0E0000]yyyy-mm-dd")</f>
        <v/>
      </c>
    </row>
    <row r="98817">
      <c r="A98817" s="1" t="n">
        <v>98816</v>
      </c>
      <c r="B98817">
        <f>TEXT(98816, "[$-0E0000]yyyy-mm-dd")</f>
        <v/>
      </c>
    </row>
    <row r="98818">
      <c r="A98818" s="1" t="n">
        <v>98817</v>
      </c>
      <c r="B98818">
        <f>TEXT(98817, "[$-0E0000]yyyy-mm-dd")</f>
        <v/>
      </c>
    </row>
    <row r="98819">
      <c r="A98819" s="1" t="n">
        <v>98818</v>
      </c>
      <c r="B98819">
        <f>TEXT(98818, "[$-0E0000]yyyy-mm-dd")</f>
        <v/>
      </c>
    </row>
    <row r="98820">
      <c r="A98820" s="1" t="n">
        <v>98819</v>
      </c>
      <c r="B98820">
        <f>TEXT(98819, "[$-0E0000]yyyy-mm-dd")</f>
        <v/>
      </c>
    </row>
    <row r="98821">
      <c r="A98821" s="1" t="n">
        <v>98820</v>
      </c>
      <c r="B98821">
        <f>TEXT(98820, "[$-0E0000]yyyy-mm-dd")</f>
        <v/>
      </c>
    </row>
    <row r="98822">
      <c r="A98822" s="1" t="n">
        <v>98821</v>
      </c>
      <c r="B98822">
        <f>TEXT(98821, "[$-0E0000]yyyy-mm-dd")</f>
        <v/>
      </c>
    </row>
    <row r="98823">
      <c r="A98823" s="1" t="n">
        <v>98822</v>
      </c>
      <c r="B98823">
        <f>TEXT(98822, "[$-0E0000]yyyy-mm-dd")</f>
        <v/>
      </c>
    </row>
    <row r="98824">
      <c r="A98824" s="1" t="n">
        <v>98823</v>
      </c>
      <c r="B98824">
        <f>TEXT(98823, "[$-0E0000]yyyy-mm-dd")</f>
        <v/>
      </c>
    </row>
    <row r="98825">
      <c r="A98825" s="1" t="n">
        <v>98824</v>
      </c>
      <c r="B98825">
        <f>TEXT(98824, "[$-0E0000]yyyy-mm-dd")</f>
        <v/>
      </c>
    </row>
    <row r="98826">
      <c r="A98826" s="1" t="n">
        <v>98825</v>
      </c>
      <c r="B98826">
        <f>TEXT(98825, "[$-0E0000]yyyy-mm-dd")</f>
        <v/>
      </c>
    </row>
    <row r="98827">
      <c r="A98827" s="1" t="n">
        <v>98826</v>
      </c>
      <c r="B98827">
        <f>TEXT(98826, "[$-0E0000]yyyy-mm-dd")</f>
        <v/>
      </c>
    </row>
    <row r="98828">
      <c r="A98828" s="1" t="n">
        <v>98827</v>
      </c>
      <c r="B98828">
        <f>TEXT(98827, "[$-0E0000]yyyy-mm-dd")</f>
        <v/>
      </c>
    </row>
    <row r="98829">
      <c r="A98829" s="1" t="n">
        <v>98828</v>
      </c>
      <c r="B98829">
        <f>TEXT(98828, "[$-0E0000]yyyy-mm-dd")</f>
        <v/>
      </c>
    </row>
    <row r="98830">
      <c r="A98830" s="1" t="n">
        <v>98829</v>
      </c>
      <c r="B98830">
        <f>TEXT(98829, "[$-0E0000]yyyy-mm-dd")</f>
        <v/>
      </c>
    </row>
    <row r="98831">
      <c r="A98831" s="1" t="n">
        <v>98830</v>
      </c>
      <c r="B98831">
        <f>TEXT(98830, "[$-0E0000]yyyy-mm-dd")</f>
        <v/>
      </c>
    </row>
    <row r="98832">
      <c r="A98832" s="1" t="n">
        <v>98831</v>
      </c>
      <c r="B98832">
        <f>TEXT(98831, "[$-0E0000]yyyy-mm-dd")</f>
        <v/>
      </c>
    </row>
    <row r="98833">
      <c r="A98833" s="1" t="n">
        <v>98832</v>
      </c>
      <c r="B98833">
        <f>TEXT(98832, "[$-0E0000]yyyy-mm-dd")</f>
        <v/>
      </c>
    </row>
    <row r="98834">
      <c r="A98834" s="1" t="n">
        <v>98833</v>
      </c>
      <c r="B98834">
        <f>TEXT(98833, "[$-0E0000]yyyy-mm-dd")</f>
        <v/>
      </c>
    </row>
    <row r="98835">
      <c r="A98835" s="1" t="n">
        <v>98834</v>
      </c>
      <c r="B98835">
        <f>TEXT(98834, "[$-0E0000]yyyy-mm-dd")</f>
        <v/>
      </c>
    </row>
    <row r="98836">
      <c r="A98836" s="1" t="n">
        <v>98835</v>
      </c>
      <c r="B98836">
        <f>TEXT(98835, "[$-0E0000]yyyy-mm-dd")</f>
        <v/>
      </c>
    </row>
    <row r="98837">
      <c r="A98837" s="1" t="n">
        <v>98836</v>
      </c>
      <c r="B98837">
        <f>TEXT(98836, "[$-0E0000]yyyy-mm-dd")</f>
        <v/>
      </c>
    </row>
    <row r="98838">
      <c r="A98838" s="1" t="n">
        <v>98837</v>
      </c>
      <c r="B98838">
        <f>TEXT(98837, "[$-0E0000]yyyy-mm-dd")</f>
        <v/>
      </c>
    </row>
    <row r="98839">
      <c r="A98839" s="1" t="n">
        <v>98838</v>
      </c>
      <c r="B98839">
        <f>TEXT(98838, "[$-0E0000]yyyy-mm-dd")</f>
        <v/>
      </c>
    </row>
    <row r="98840">
      <c r="A98840" s="1" t="n">
        <v>98839</v>
      </c>
      <c r="B98840">
        <f>TEXT(98839, "[$-0E0000]yyyy-mm-dd")</f>
        <v/>
      </c>
    </row>
    <row r="98841">
      <c r="A98841" s="1" t="n">
        <v>98840</v>
      </c>
      <c r="B98841">
        <f>TEXT(98840, "[$-0E0000]yyyy-mm-dd")</f>
        <v/>
      </c>
    </row>
    <row r="98842">
      <c r="A98842" s="1" t="n">
        <v>98841</v>
      </c>
      <c r="B98842">
        <f>TEXT(98841, "[$-0E0000]yyyy-mm-dd")</f>
        <v/>
      </c>
    </row>
    <row r="98843">
      <c r="A98843" s="1" t="n">
        <v>98842</v>
      </c>
      <c r="B98843">
        <f>TEXT(98842, "[$-0E0000]yyyy-mm-dd")</f>
        <v/>
      </c>
    </row>
    <row r="98844">
      <c r="A98844" s="1" t="n">
        <v>98843</v>
      </c>
      <c r="B98844">
        <f>TEXT(98843, "[$-0E0000]yyyy-mm-dd")</f>
        <v/>
      </c>
    </row>
    <row r="98845">
      <c r="A98845" s="1" t="n">
        <v>98844</v>
      </c>
      <c r="B98845">
        <f>TEXT(98844, "[$-0E0000]yyyy-mm-dd")</f>
        <v/>
      </c>
    </row>
    <row r="98846">
      <c r="A98846" s="1" t="n">
        <v>98845</v>
      </c>
      <c r="B98846">
        <f>TEXT(98845, "[$-0E0000]yyyy-mm-dd")</f>
        <v/>
      </c>
    </row>
    <row r="98847">
      <c r="A98847" s="1" t="n">
        <v>98846</v>
      </c>
      <c r="B98847">
        <f>TEXT(98846, "[$-0E0000]yyyy-mm-dd")</f>
        <v/>
      </c>
    </row>
    <row r="98848">
      <c r="A98848" s="1" t="n">
        <v>98847</v>
      </c>
      <c r="B98848">
        <f>TEXT(98847, "[$-0E0000]yyyy-mm-dd")</f>
        <v/>
      </c>
    </row>
    <row r="98849">
      <c r="A98849" s="1" t="n">
        <v>98848</v>
      </c>
      <c r="B98849">
        <f>TEXT(98848, "[$-0E0000]yyyy-mm-dd")</f>
        <v/>
      </c>
    </row>
    <row r="98850">
      <c r="A98850" s="1" t="n">
        <v>98849</v>
      </c>
      <c r="B98850">
        <f>TEXT(98849, "[$-0E0000]yyyy-mm-dd")</f>
        <v/>
      </c>
    </row>
    <row r="98851">
      <c r="A98851" s="1" t="n">
        <v>98850</v>
      </c>
      <c r="B98851">
        <f>TEXT(98850, "[$-0E0000]yyyy-mm-dd")</f>
        <v/>
      </c>
    </row>
    <row r="98852">
      <c r="A98852" s="1" t="n">
        <v>98851</v>
      </c>
      <c r="B98852">
        <f>TEXT(98851, "[$-0E0000]yyyy-mm-dd")</f>
        <v/>
      </c>
    </row>
    <row r="98853">
      <c r="A98853" s="1" t="n">
        <v>98852</v>
      </c>
      <c r="B98853">
        <f>TEXT(98852, "[$-0E0000]yyyy-mm-dd")</f>
        <v/>
      </c>
    </row>
    <row r="98854">
      <c r="A98854" s="1" t="n">
        <v>98853</v>
      </c>
      <c r="B98854">
        <f>TEXT(98853, "[$-0E0000]yyyy-mm-dd")</f>
        <v/>
      </c>
    </row>
    <row r="98855">
      <c r="A98855" s="1" t="n">
        <v>98854</v>
      </c>
      <c r="B98855">
        <f>TEXT(98854, "[$-0E0000]yyyy-mm-dd")</f>
        <v/>
      </c>
    </row>
    <row r="98856">
      <c r="A98856" s="1" t="n">
        <v>98855</v>
      </c>
      <c r="B98856">
        <f>TEXT(98855, "[$-0E0000]yyyy-mm-dd")</f>
        <v/>
      </c>
    </row>
    <row r="98857">
      <c r="A98857" s="1" t="n">
        <v>98856</v>
      </c>
      <c r="B98857">
        <f>TEXT(98856, "[$-0E0000]yyyy-mm-dd")</f>
        <v/>
      </c>
    </row>
    <row r="98858">
      <c r="A98858" s="1" t="n">
        <v>98857</v>
      </c>
      <c r="B98858">
        <f>TEXT(98857, "[$-0E0000]yyyy-mm-dd")</f>
        <v/>
      </c>
    </row>
    <row r="98859">
      <c r="A98859" s="1" t="n">
        <v>98858</v>
      </c>
      <c r="B98859">
        <f>TEXT(98858, "[$-0E0000]yyyy-mm-dd")</f>
        <v/>
      </c>
    </row>
    <row r="98860">
      <c r="A98860" s="1" t="n">
        <v>98859</v>
      </c>
      <c r="B98860">
        <f>TEXT(98859, "[$-0E0000]yyyy-mm-dd")</f>
        <v/>
      </c>
    </row>
    <row r="98861">
      <c r="A98861" s="1" t="n">
        <v>98860</v>
      </c>
      <c r="B98861">
        <f>TEXT(98860, "[$-0E0000]yyyy-mm-dd")</f>
        <v/>
      </c>
    </row>
    <row r="98862">
      <c r="A98862" s="1" t="n">
        <v>98861</v>
      </c>
      <c r="B98862">
        <f>TEXT(98861, "[$-0E0000]yyyy-mm-dd")</f>
        <v/>
      </c>
    </row>
    <row r="98863">
      <c r="A98863" s="1" t="n">
        <v>98862</v>
      </c>
      <c r="B98863">
        <f>TEXT(98862, "[$-0E0000]yyyy-mm-dd")</f>
        <v/>
      </c>
    </row>
    <row r="98864">
      <c r="A98864" s="1" t="n">
        <v>98863</v>
      </c>
      <c r="B98864">
        <f>TEXT(98863, "[$-0E0000]yyyy-mm-dd")</f>
        <v/>
      </c>
    </row>
    <row r="98865">
      <c r="A98865" s="1" t="n">
        <v>98864</v>
      </c>
      <c r="B98865">
        <f>TEXT(98864, "[$-0E0000]yyyy-mm-dd")</f>
        <v/>
      </c>
    </row>
    <row r="98866">
      <c r="A98866" s="1" t="n">
        <v>98865</v>
      </c>
      <c r="B98866">
        <f>TEXT(98865, "[$-0E0000]yyyy-mm-dd")</f>
        <v/>
      </c>
    </row>
    <row r="98867">
      <c r="A98867" s="1" t="n">
        <v>98866</v>
      </c>
      <c r="B98867">
        <f>TEXT(98866, "[$-0E0000]yyyy-mm-dd")</f>
        <v/>
      </c>
    </row>
    <row r="98868">
      <c r="A98868" s="1" t="n">
        <v>98867</v>
      </c>
      <c r="B98868">
        <f>TEXT(98867, "[$-0E0000]yyyy-mm-dd")</f>
        <v/>
      </c>
    </row>
    <row r="98869">
      <c r="A98869" s="1" t="n">
        <v>98868</v>
      </c>
      <c r="B98869">
        <f>TEXT(98868, "[$-0E0000]yyyy-mm-dd")</f>
        <v/>
      </c>
    </row>
    <row r="98870">
      <c r="A98870" s="1" t="n">
        <v>98869</v>
      </c>
      <c r="B98870">
        <f>TEXT(98869, "[$-0E0000]yyyy-mm-dd")</f>
        <v/>
      </c>
    </row>
    <row r="98871">
      <c r="A98871" s="1" t="n">
        <v>98870</v>
      </c>
      <c r="B98871">
        <f>TEXT(98870, "[$-0E0000]yyyy-mm-dd")</f>
        <v/>
      </c>
    </row>
    <row r="98872">
      <c r="A98872" s="1" t="n">
        <v>98871</v>
      </c>
      <c r="B98872">
        <f>TEXT(98871, "[$-0E0000]yyyy-mm-dd")</f>
        <v/>
      </c>
    </row>
    <row r="98873">
      <c r="A98873" s="1" t="n">
        <v>98872</v>
      </c>
      <c r="B98873">
        <f>TEXT(98872, "[$-0E0000]yyyy-mm-dd")</f>
        <v/>
      </c>
    </row>
    <row r="98874">
      <c r="A98874" s="1" t="n">
        <v>98873</v>
      </c>
      <c r="B98874">
        <f>TEXT(98873, "[$-0E0000]yyyy-mm-dd")</f>
        <v/>
      </c>
    </row>
    <row r="98875">
      <c r="A98875" s="1" t="n">
        <v>98874</v>
      </c>
      <c r="B98875">
        <f>TEXT(98874, "[$-0E0000]yyyy-mm-dd")</f>
        <v/>
      </c>
    </row>
    <row r="98876">
      <c r="A98876" s="1" t="n">
        <v>98875</v>
      </c>
      <c r="B98876">
        <f>TEXT(98875, "[$-0E0000]yyyy-mm-dd")</f>
        <v/>
      </c>
    </row>
    <row r="98877">
      <c r="A98877" s="1" t="n">
        <v>98876</v>
      </c>
      <c r="B98877">
        <f>TEXT(98876, "[$-0E0000]yyyy-mm-dd")</f>
        <v/>
      </c>
    </row>
    <row r="98878">
      <c r="A98878" s="1" t="n">
        <v>98877</v>
      </c>
      <c r="B98878">
        <f>TEXT(98877, "[$-0E0000]yyyy-mm-dd")</f>
        <v/>
      </c>
    </row>
    <row r="98879">
      <c r="A98879" s="1" t="n">
        <v>98878</v>
      </c>
      <c r="B98879">
        <f>TEXT(98878, "[$-0E0000]yyyy-mm-dd")</f>
        <v/>
      </c>
    </row>
    <row r="98880">
      <c r="A98880" s="1" t="n">
        <v>98879</v>
      </c>
      <c r="B98880">
        <f>TEXT(98879, "[$-0E0000]yyyy-mm-dd")</f>
        <v/>
      </c>
    </row>
    <row r="98881">
      <c r="A98881" s="1" t="n">
        <v>98880</v>
      </c>
      <c r="B98881">
        <f>TEXT(98880, "[$-0E0000]yyyy-mm-dd")</f>
        <v/>
      </c>
    </row>
    <row r="98882">
      <c r="A98882" s="1" t="n">
        <v>98881</v>
      </c>
      <c r="B98882">
        <f>TEXT(98881, "[$-0E0000]yyyy-mm-dd")</f>
        <v/>
      </c>
    </row>
    <row r="98883">
      <c r="A98883" s="1" t="n">
        <v>98882</v>
      </c>
      <c r="B98883">
        <f>TEXT(98882, "[$-0E0000]yyyy-mm-dd")</f>
        <v/>
      </c>
    </row>
    <row r="98884">
      <c r="A98884" s="1" t="n">
        <v>98883</v>
      </c>
      <c r="B98884">
        <f>TEXT(98883, "[$-0E0000]yyyy-mm-dd")</f>
        <v/>
      </c>
    </row>
    <row r="98885">
      <c r="A98885" s="1" t="n">
        <v>98884</v>
      </c>
      <c r="B98885">
        <f>TEXT(98884, "[$-0E0000]yyyy-mm-dd")</f>
        <v/>
      </c>
    </row>
    <row r="98886">
      <c r="A98886" s="1" t="n">
        <v>98885</v>
      </c>
      <c r="B98886">
        <f>TEXT(98885, "[$-0E0000]yyyy-mm-dd")</f>
        <v/>
      </c>
    </row>
    <row r="98887">
      <c r="A98887" s="1" t="n">
        <v>98886</v>
      </c>
      <c r="B98887">
        <f>TEXT(98886, "[$-0E0000]yyyy-mm-dd")</f>
        <v/>
      </c>
    </row>
    <row r="98888">
      <c r="A98888" s="1" t="n">
        <v>98887</v>
      </c>
      <c r="B98888">
        <f>TEXT(98887, "[$-0E0000]yyyy-mm-dd")</f>
        <v/>
      </c>
    </row>
    <row r="98889">
      <c r="A98889" s="1" t="n">
        <v>98888</v>
      </c>
      <c r="B98889">
        <f>TEXT(98888, "[$-0E0000]yyyy-mm-dd")</f>
        <v/>
      </c>
    </row>
    <row r="98890">
      <c r="A98890" s="1" t="n">
        <v>98889</v>
      </c>
      <c r="B98890">
        <f>TEXT(98889, "[$-0E0000]yyyy-mm-dd")</f>
        <v/>
      </c>
    </row>
    <row r="98891">
      <c r="A98891" s="1" t="n">
        <v>98890</v>
      </c>
      <c r="B98891">
        <f>TEXT(98890, "[$-0E0000]yyyy-mm-dd")</f>
        <v/>
      </c>
    </row>
    <row r="98892">
      <c r="A98892" s="1" t="n">
        <v>98891</v>
      </c>
      <c r="B98892">
        <f>TEXT(98891, "[$-0E0000]yyyy-mm-dd")</f>
        <v/>
      </c>
    </row>
    <row r="98893">
      <c r="A98893" s="1" t="n">
        <v>98892</v>
      </c>
      <c r="B98893">
        <f>TEXT(98892, "[$-0E0000]yyyy-mm-dd")</f>
        <v/>
      </c>
    </row>
    <row r="98894">
      <c r="A98894" s="1" t="n">
        <v>98893</v>
      </c>
      <c r="B98894">
        <f>TEXT(98893, "[$-0E0000]yyyy-mm-dd")</f>
        <v/>
      </c>
    </row>
    <row r="98895">
      <c r="A98895" s="1" t="n">
        <v>98894</v>
      </c>
      <c r="B98895">
        <f>TEXT(98894, "[$-0E0000]yyyy-mm-dd")</f>
        <v/>
      </c>
    </row>
    <row r="98896">
      <c r="A98896" s="1" t="n">
        <v>98895</v>
      </c>
      <c r="B98896">
        <f>TEXT(98895, "[$-0E0000]yyyy-mm-dd")</f>
        <v/>
      </c>
    </row>
    <row r="98897">
      <c r="A98897" s="1" t="n">
        <v>98896</v>
      </c>
      <c r="B98897">
        <f>TEXT(98896, "[$-0E0000]yyyy-mm-dd")</f>
        <v/>
      </c>
    </row>
    <row r="98898">
      <c r="A98898" s="1" t="n">
        <v>98897</v>
      </c>
      <c r="B98898">
        <f>TEXT(98897, "[$-0E0000]yyyy-mm-dd")</f>
        <v/>
      </c>
    </row>
    <row r="98899">
      <c r="A98899" s="1" t="n">
        <v>98898</v>
      </c>
      <c r="B98899">
        <f>TEXT(98898, "[$-0E0000]yyyy-mm-dd")</f>
        <v/>
      </c>
    </row>
    <row r="98900">
      <c r="A98900" s="1" t="n">
        <v>98899</v>
      </c>
      <c r="B98900">
        <f>TEXT(98899, "[$-0E0000]yyyy-mm-dd")</f>
        <v/>
      </c>
    </row>
    <row r="98901">
      <c r="A98901" s="1" t="n">
        <v>98900</v>
      </c>
      <c r="B98901">
        <f>TEXT(98900, "[$-0E0000]yyyy-mm-dd")</f>
        <v/>
      </c>
    </row>
    <row r="98902">
      <c r="A98902" s="1" t="n">
        <v>98901</v>
      </c>
      <c r="B98902">
        <f>TEXT(98901, "[$-0E0000]yyyy-mm-dd")</f>
        <v/>
      </c>
    </row>
    <row r="98903">
      <c r="A98903" s="1" t="n">
        <v>98902</v>
      </c>
      <c r="B98903">
        <f>TEXT(98902, "[$-0E0000]yyyy-mm-dd")</f>
        <v/>
      </c>
    </row>
    <row r="98904">
      <c r="A98904" s="1" t="n">
        <v>98903</v>
      </c>
      <c r="B98904">
        <f>TEXT(98903, "[$-0E0000]yyyy-mm-dd")</f>
        <v/>
      </c>
    </row>
    <row r="98905">
      <c r="A98905" s="1" t="n">
        <v>98904</v>
      </c>
      <c r="B98905">
        <f>TEXT(98904, "[$-0E0000]yyyy-mm-dd")</f>
        <v/>
      </c>
    </row>
    <row r="98906">
      <c r="A98906" s="1" t="n">
        <v>98905</v>
      </c>
      <c r="B98906">
        <f>TEXT(98905, "[$-0E0000]yyyy-mm-dd")</f>
        <v/>
      </c>
    </row>
    <row r="98907">
      <c r="A98907" s="1" t="n">
        <v>98906</v>
      </c>
      <c r="B98907">
        <f>TEXT(98906, "[$-0E0000]yyyy-mm-dd")</f>
        <v/>
      </c>
    </row>
    <row r="98908">
      <c r="A98908" s="1" t="n">
        <v>98907</v>
      </c>
      <c r="B98908">
        <f>TEXT(98907, "[$-0E0000]yyyy-mm-dd")</f>
        <v/>
      </c>
    </row>
    <row r="98909">
      <c r="A98909" s="1" t="n">
        <v>98908</v>
      </c>
      <c r="B98909">
        <f>TEXT(98908, "[$-0E0000]yyyy-mm-dd")</f>
        <v/>
      </c>
    </row>
    <row r="98910">
      <c r="A98910" s="1" t="n">
        <v>98909</v>
      </c>
      <c r="B98910">
        <f>TEXT(98909, "[$-0E0000]yyyy-mm-dd")</f>
        <v/>
      </c>
    </row>
    <row r="98911">
      <c r="A98911" s="1" t="n">
        <v>98910</v>
      </c>
      <c r="B98911">
        <f>TEXT(98910, "[$-0E0000]yyyy-mm-dd")</f>
        <v/>
      </c>
    </row>
    <row r="98912">
      <c r="A98912" s="1" t="n">
        <v>98911</v>
      </c>
      <c r="B98912">
        <f>TEXT(98911, "[$-0E0000]yyyy-mm-dd")</f>
        <v/>
      </c>
    </row>
    <row r="98913">
      <c r="A98913" s="1" t="n">
        <v>98912</v>
      </c>
      <c r="B98913">
        <f>TEXT(98912, "[$-0E0000]yyyy-mm-dd")</f>
        <v/>
      </c>
    </row>
    <row r="98914">
      <c r="A98914" s="1" t="n">
        <v>98913</v>
      </c>
      <c r="B98914">
        <f>TEXT(98913, "[$-0E0000]yyyy-mm-dd")</f>
        <v/>
      </c>
    </row>
    <row r="98915">
      <c r="A98915" s="1" t="n">
        <v>98914</v>
      </c>
      <c r="B98915">
        <f>TEXT(98914, "[$-0E0000]yyyy-mm-dd")</f>
        <v/>
      </c>
    </row>
    <row r="98916">
      <c r="A98916" s="1" t="n">
        <v>98915</v>
      </c>
      <c r="B98916">
        <f>TEXT(98915, "[$-0E0000]yyyy-mm-dd")</f>
        <v/>
      </c>
    </row>
    <row r="98917">
      <c r="A98917" s="1" t="n">
        <v>98916</v>
      </c>
      <c r="B98917">
        <f>TEXT(98916, "[$-0E0000]yyyy-mm-dd")</f>
        <v/>
      </c>
    </row>
    <row r="98918">
      <c r="A98918" s="1" t="n">
        <v>98917</v>
      </c>
      <c r="B98918">
        <f>TEXT(98917, "[$-0E0000]yyyy-mm-dd")</f>
        <v/>
      </c>
    </row>
    <row r="98919">
      <c r="A98919" s="1" t="n">
        <v>98918</v>
      </c>
      <c r="B98919">
        <f>TEXT(98918, "[$-0E0000]yyyy-mm-dd")</f>
        <v/>
      </c>
    </row>
    <row r="98920">
      <c r="A98920" s="1" t="n">
        <v>98919</v>
      </c>
      <c r="B98920">
        <f>TEXT(98919, "[$-0E0000]yyyy-mm-dd")</f>
        <v/>
      </c>
    </row>
    <row r="98921">
      <c r="A98921" s="1" t="n">
        <v>98920</v>
      </c>
      <c r="B98921">
        <f>TEXT(98920, "[$-0E0000]yyyy-mm-dd")</f>
        <v/>
      </c>
    </row>
    <row r="98922">
      <c r="A98922" s="1" t="n">
        <v>98921</v>
      </c>
      <c r="B98922">
        <f>TEXT(98921, "[$-0E0000]yyyy-mm-dd")</f>
        <v/>
      </c>
    </row>
    <row r="98923">
      <c r="A98923" s="1" t="n">
        <v>98922</v>
      </c>
      <c r="B98923">
        <f>TEXT(98922, "[$-0E0000]yyyy-mm-dd")</f>
        <v/>
      </c>
    </row>
    <row r="98924">
      <c r="A98924" s="1" t="n">
        <v>98923</v>
      </c>
      <c r="B98924">
        <f>TEXT(98923, "[$-0E0000]yyyy-mm-dd")</f>
        <v/>
      </c>
    </row>
    <row r="98925">
      <c r="A98925" s="1" t="n">
        <v>98924</v>
      </c>
      <c r="B98925">
        <f>TEXT(98924, "[$-0E0000]yyyy-mm-dd")</f>
        <v/>
      </c>
    </row>
    <row r="98926">
      <c r="A98926" s="1" t="n">
        <v>98925</v>
      </c>
      <c r="B98926">
        <f>TEXT(98925, "[$-0E0000]yyyy-mm-dd")</f>
        <v/>
      </c>
    </row>
    <row r="98927">
      <c r="A98927" s="1" t="n">
        <v>98926</v>
      </c>
      <c r="B98927">
        <f>TEXT(98926, "[$-0E0000]yyyy-mm-dd")</f>
        <v/>
      </c>
    </row>
    <row r="98928">
      <c r="A98928" s="1" t="n">
        <v>98927</v>
      </c>
      <c r="B98928">
        <f>TEXT(98927, "[$-0E0000]yyyy-mm-dd")</f>
        <v/>
      </c>
    </row>
    <row r="98929">
      <c r="A98929" s="1" t="n">
        <v>98928</v>
      </c>
      <c r="B98929">
        <f>TEXT(98928, "[$-0E0000]yyyy-mm-dd")</f>
        <v/>
      </c>
    </row>
    <row r="98930">
      <c r="A98930" s="1" t="n">
        <v>98929</v>
      </c>
      <c r="B98930">
        <f>TEXT(98929, "[$-0E0000]yyyy-mm-dd")</f>
        <v/>
      </c>
    </row>
    <row r="98931">
      <c r="A98931" s="1" t="n">
        <v>98930</v>
      </c>
      <c r="B98931">
        <f>TEXT(98930, "[$-0E0000]yyyy-mm-dd")</f>
        <v/>
      </c>
    </row>
    <row r="98932">
      <c r="A98932" s="1" t="n">
        <v>98931</v>
      </c>
      <c r="B98932">
        <f>TEXT(98931, "[$-0E0000]yyyy-mm-dd")</f>
        <v/>
      </c>
    </row>
    <row r="98933">
      <c r="A98933" s="1" t="n">
        <v>98932</v>
      </c>
      <c r="B98933">
        <f>TEXT(98932, "[$-0E0000]yyyy-mm-dd")</f>
        <v/>
      </c>
    </row>
    <row r="98934">
      <c r="A98934" s="1" t="n">
        <v>98933</v>
      </c>
      <c r="B98934">
        <f>TEXT(98933, "[$-0E0000]yyyy-mm-dd")</f>
        <v/>
      </c>
    </row>
    <row r="98935">
      <c r="A98935" s="1" t="n">
        <v>98934</v>
      </c>
      <c r="B98935">
        <f>TEXT(98934, "[$-0E0000]yyyy-mm-dd")</f>
        <v/>
      </c>
    </row>
    <row r="98936">
      <c r="A98936" s="1" t="n">
        <v>98935</v>
      </c>
      <c r="B98936">
        <f>TEXT(98935, "[$-0E0000]yyyy-mm-dd")</f>
        <v/>
      </c>
    </row>
    <row r="98937">
      <c r="A98937" s="1" t="n">
        <v>98936</v>
      </c>
      <c r="B98937">
        <f>TEXT(98936, "[$-0E0000]yyyy-mm-dd")</f>
        <v/>
      </c>
    </row>
    <row r="98938">
      <c r="A98938" s="1" t="n">
        <v>98937</v>
      </c>
      <c r="B98938">
        <f>TEXT(98937, "[$-0E0000]yyyy-mm-dd")</f>
        <v/>
      </c>
    </row>
    <row r="98939">
      <c r="A98939" s="1" t="n">
        <v>98938</v>
      </c>
      <c r="B98939">
        <f>TEXT(98938, "[$-0E0000]yyyy-mm-dd")</f>
        <v/>
      </c>
    </row>
    <row r="98940">
      <c r="A98940" s="1" t="n">
        <v>98939</v>
      </c>
      <c r="B98940">
        <f>TEXT(98939, "[$-0E0000]yyyy-mm-dd")</f>
        <v/>
      </c>
    </row>
    <row r="98941">
      <c r="A98941" s="1" t="n">
        <v>98940</v>
      </c>
      <c r="B98941">
        <f>TEXT(98940, "[$-0E0000]yyyy-mm-dd")</f>
        <v/>
      </c>
    </row>
    <row r="98942">
      <c r="A98942" s="1" t="n">
        <v>98941</v>
      </c>
      <c r="B98942">
        <f>TEXT(98941, "[$-0E0000]yyyy-mm-dd")</f>
        <v/>
      </c>
    </row>
    <row r="98943">
      <c r="A98943" s="1" t="n">
        <v>98942</v>
      </c>
      <c r="B98943">
        <f>TEXT(98942, "[$-0E0000]yyyy-mm-dd")</f>
        <v/>
      </c>
    </row>
    <row r="98944">
      <c r="A98944" s="1" t="n">
        <v>98943</v>
      </c>
      <c r="B98944">
        <f>TEXT(98943, "[$-0E0000]yyyy-mm-dd")</f>
        <v/>
      </c>
    </row>
    <row r="98945">
      <c r="A98945" s="1" t="n">
        <v>98944</v>
      </c>
      <c r="B98945">
        <f>TEXT(98944, "[$-0E0000]yyyy-mm-dd")</f>
        <v/>
      </c>
    </row>
    <row r="98946">
      <c r="A98946" s="1" t="n">
        <v>98945</v>
      </c>
      <c r="B98946">
        <f>TEXT(98945, "[$-0E0000]yyyy-mm-dd")</f>
        <v/>
      </c>
    </row>
    <row r="98947">
      <c r="A98947" s="1" t="n">
        <v>98946</v>
      </c>
      <c r="B98947">
        <f>TEXT(98946, "[$-0E0000]yyyy-mm-dd")</f>
        <v/>
      </c>
    </row>
    <row r="98948">
      <c r="A98948" s="1" t="n">
        <v>98947</v>
      </c>
      <c r="B98948">
        <f>TEXT(98947, "[$-0E0000]yyyy-mm-dd")</f>
        <v/>
      </c>
    </row>
    <row r="98949">
      <c r="A98949" s="1" t="n">
        <v>98948</v>
      </c>
      <c r="B98949">
        <f>TEXT(98948, "[$-0E0000]yyyy-mm-dd")</f>
        <v/>
      </c>
    </row>
    <row r="98950">
      <c r="A98950" s="1" t="n">
        <v>98949</v>
      </c>
      <c r="B98950">
        <f>TEXT(98949, "[$-0E0000]yyyy-mm-dd")</f>
        <v/>
      </c>
    </row>
    <row r="98951">
      <c r="A98951" s="1" t="n">
        <v>98950</v>
      </c>
      <c r="B98951">
        <f>TEXT(98950, "[$-0E0000]yyyy-mm-dd")</f>
        <v/>
      </c>
    </row>
    <row r="98952">
      <c r="A98952" s="1" t="n">
        <v>98951</v>
      </c>
      <c r="B98952">
        <f>TEXT(98951, "[$-0E0000]yyyy-mm-dd")</f>
        <v/>
      </c>
    </row>
    <row r="98953">
      <c r="A98953" s="1" t="n">
        <v>98952</v>
      </c>
      <c r="B98953">
        <f>TEXT(98952, "[$-0E0000]yyyy-mm-dd")</f>
        <v/>
      </c>
    </row>
    <row r="98954">
      <c r="A98954" s="1" t="n">
        <v>98953</v>
      </c>
      <c r="B98954">
        <f>TEXT(98953, "[$-0E0000]yyyy-mm-dd")</f>
        <v/>
      </c>
    </row>
    <row r="98955">
      <c r="A98955" s="1" t="n">
        <v>98954</v>
      </c>
      <c r="B98955">
        <f>TEXT(98954, "[$-0E0000]yyyy-mm-dd")</f>
        <v/>
      </c>
    </row>
    <row r="98956">
      <c r="A98956" s="1" t="n">
        <v>98955</v>
      </c>
      <c r="B98956">
        <f>TEXT(98955, "[$-0E0000]yyyy-mm-dd")</f>
        <v/>
      </c>
    </row>
    <row r="98957">
      <c r="A98957" s="1" t="n">
        <v>98956</v>
      </c>
      <c r="B98957">
        <f>TEXT(98956, "[$-0E0000]yyyy-mm-dd")</f>
        <v/>
      </c>
    </row>
    <row r="98958">
      <c r="A98958" s="1" t="n">
        <v>98957</v>
      </c>
      <c r="B98958">
        <f>TEXT(98957, "[$-0E0000]yyyy-mm-dd")</f>
        <v/>
      </c>
    </row>
    <row r="98959">
      <c r="A98959" s="1" t="n">
        <v>98958</v>
      </c>
      <c r="B98959">
        <f>TEXT(98958, "[$-0E0000]yyyy-mm-dd")</f>
        <v/>
      </c>
    </row>
    <row r="98960">
      <c r="A98960" s="1" t="n">
        <v>98959</v>
      </c>
      <c r="B98960">
        <f>TEXT(98959, "[$-0E0000]yyyy-mm-dd")</f>
        <v/>
      </c>
    </row>
    <row r="98961">
      <c r="A98961" s="1" t="n">
        <v>98960</v>
      </c>
      <c r="B98961">
        <f>TEXT(98960, "[$-0E0000]yyyy-mm-dd")</f>
        <v/>
      </c>
    </row>
    <row r="98962">
      <c r="A98962" s="1" t="n">
        <v>98961</v>
      </c>
      <c r="B98962">
        <f>TEXT(98961, "[$-0E0000]yyyy-mm-dd")</f>
        <v/>
      </c>
    </row>
    <row r="98963">
      <c r="A98963" s="1" t="n">
        <v>98962</v>
      </c>
      <c r="B98963">
        <f>TEXT(98962, "[$-0E0000]yyyy-mm-dd")</f>
        <v/>
      </c>
    </row>
    <row r="98964">
      <c r="A98964" s="1" t="n">
        <v>98963</v>
      </c>
      <c r="B98964">
        <f>TEXT(98963, "[$-0E0000]yyyy-mm-dd")</f>
        <v/>
      </c>
    </row>
    <row r="98965">
      <c r="A98965" s="1" t="n">
        <v>98964</v>
      </c>
      <c r="B98965">
        <f>TEXT(98964, "[$-0E0000]yyyy-mm-dd")</f>
        <v/>
      </c>
    </row>
    <row r="98966">
      <c r="A98966" s="1" t="n">
        <v>98965</v>
      </c>
      <c r="B98966">
        <f>TEXT(98965, "[$-0E0000]yyyy-mm-dd")</f>
        <v/>
      </c>
    </row>
    <row r="98967">
      <c r="A98967" s="1" t="n">
        <v>98966</v>
      </c>
      <c r="B98967">
        <f>TEXT(98966, "[$-0E0000]yyyy-mm-dd")</f>
        <v/>
      </c>
    </row>
    <row r="98968">
      <c r="A98968" s="1" t="n">
        <v>98967</v>
      </c>
      <c r="B98968">
        <f>TEXT(98967, "[$-0E0000]yyyy-mm-dd")</f>
        <v/>
      </c>
    </row>
    <row r="98969">
      <c r="A98969" s="1" t="n">
        <v>98968</v>
      </c>
      <c r="B98969">
        <f>TEXT(98968, "[$-0E0000]yyyy-mm-dd")</f>
        <v/>
      </c>
    </row>
    <row r="98970">
      <c r="A98970" s="1" t="n">
        <v>98969</v>
      </c>
      <c r="B98970">
        <f>TEXT(98969, "[$-0E0000]yyyy-mm-dd")</f>
        <v/>
      </c>
    </row>
    <row r="98971">
      <c r="A98971" s="1" t="n">
        <v>98970</v>
      </c>
      <c r="B98971">
        <f>TEXT(98970, "[$-0E0000]yyyy-mm-dd")</f>
        <v/>
      </c>
    </row>
    <row r="98972">
      <c r="A98972" s="1" t="n">
        <v>98971</v>
      </c>
      <c r="B98972">
        <f>TEXT(98971, "[$-0E0000]yyyy-mm-dd")</f>
        <v/>
      </c>
    </row>
    <row r="98973">
      <c r="A98973" s="1" t="n">
        <v>98972</v>
      </c>
      <c r="B98973">
        <f>TEXT(98972, "[$-0E0000]yyyy-mm-dd")</f>
        <v/>
      </c>
    </row>
    <row r="98974">
      <c r="A98974" s="1" t="n">
        <v>98973</v>
      </c>
      <c r="B98974">
        <f>TEXT(98973, "[$-0E0000]yyyy-mm-dd")</f>
        <v/>
      </c>
    </row>
    <row r="98975">
      <c r="A98975" s="1" t="n">
        <v>98974</v>
      </c>
      <c r="B98975">
        <f>TEXT(98974, "[$-0E0000]yyyy-mm-dd")</f>
        <v/>
      </c>
    </row>
    <row r="98976">
      <c r="A98976" s="1" t="n">
        <v>98975</v>
      </c>
      <c r="B98976">
        <f>TEXT(98975, "[$-0E0000]yyyy-mm-dd")</f>
        <v/>
      </c>
    </row>
    <row r="98977">
      <c r="A98977" s="1" t="n">
        <v>98976</v>
      </c>
      <c r="B98977">
        <f>TEXT(98976, "[$-0E0000]yyyy-mm-dd")</f>
        <v/>
      </c>
    </row>
    <row r="98978">
      <c r="A98978" s="1" t="n">
        <v>98977</v>
      </c>
      <c r="B98978">
        <f>TEXT(98977, "[$-0E0000]yyyy-mm-dd")</f>
        <v/>
      </c>
    </row>
    <row r="98979">
      <c r="A98979" s="1" t="n">
        <v>98978</v>
      </c>
      <c r="B98979">
        <f>TEXT(98978, "[$-0E0000]yyyy-mm-dd")</f>
        <v/>
      </c>
    </row>
    <row r="98980">
      <c r="A98980" s="1" t="n">
        <v>98979</v>
      </c>
      <c r="B98980">
        <f>TEXT(98979, "[$-0E0000]yyyy-mm-dd")</f>
        <v/>
      </c>
    </row>
    <row r="98981">
      <c r="A98981" s="1" t="n">
        <v>98980</v>
      </c>
      <c r="B98981">
        <f>TEXT(98980, "[$-0E0000]yyyy-mm-dd")</f>
        <v/>
      </c>
    </row>
    <row r="98982">
      <c r="A98982" s="1" t="n">
        <v>98981</v>
      </c>
      <c r="B98982">
        <f>TEXT(98981, "[$-0E0000]yyyy-mm-dd")</f>
        <v/>
      </c>
    </row>
    <row r="98983">
      <c r="A98983" s="1" t="n">
        <v>98982</v>
      </c>
      <c r="B98983">
        <f>TEXT(98982, "[$-0E0000]yyyy-mm-dd")</f>
        <v/>
      </c>
    </row>
    <row r="98984">
      <c r="A98984" s="1" t="n">
        <v>98983</v>
      </c>
      <c r="B98984">
        <f>TEXT(98983, "[$-0E0000]yyyy-mm-dd")</f>
        <v/>
      </c>
    </row>
    <row r="98985">
      <c r="A98985" s="1" t="n">
        <v>98984</v>
      </c>
      <c r="B98985">
        <f>TEXT(98984, "[$-0E0000]yyyy-mm-dd")</f>
        <v/>
      </c>
    </row>
    <row r="98986">
      <c r="A98986" s="1" t="n">
        <v>98985</v>
      </c>
      <c r="B98986">
        <f>TEXT(98985, "[$-0E0000]yyyy-mm-dd")</f>
        <v/>
      </c>
    </row>
    <row r="98987">
      <c r="A98987" s="1" t="n">
        <v>98986</v>
      </c>
      <c r="B98987">
        <f>TEXT(98986, "[$-0E0000]yyyy-mm-dd")</f>
        <v/>
      </c>
    </row>
    <row r="98988">
      <c r="A98988" s="1" t="n">
        <v>98987</v>
      </c>
      <c r="B98988">
        <f>TEXT(98987, "[$-0E0000]yyyy-mm-dd")</f>
        <v/>
      </c>
    </row>
    <row r="98989">
      <c r="A98989" s="1" t="n">
        <v>98988</v>
      </c>
      <c r="B98989">
        <f>TEXT(98988, "[$-0E0000]yyyy-mm-dd")</f>
        <v/>
      </c>
    </row>
    <row r="98990">
      <c r="A98990" s="1" t="n">
        <v>98989</v>
      </c>
      <c r="B98990">
        <f>TEXT(98989, "[$-0E0000]yyyy-mm-dd")</f>
        <v/>
      </c>
    </row>
    <row r="98991">
      <c r="A98991" s="1" t="n">
        <v>98990</v>
      </c>
      <c r="B98991">
        <f>TEXT(98990, "[$-0E0000]yyyy-mm-dd")</f>
        <v/>
      </c>
    </row>
    <row r="98992">
      <c r="A98992" s="1" t="n">
        <v>98991</v>
      </c>
      <c r="B98992">
        <f>TEXT(98991, "[$-0E0000]yyyy-mm-dd")</f>
        <v/>
      </c>
    </row>
    <row r="98993">
      <c r="A98993" s="1" t="n">
        <v>98992</v>
      </c>
      <c r="B98993">
        <f>TEXT(98992, "[$-0E0000]yyyy-mm-dd")</f>
        <v/>
      </c>
    </row>
    <row r="98994">
      <c r="A98994" s="1" t="n">
        <v>98993</v>
      </c>
      <c r="B98994">
        <f>TEXT(98993, "[$-0E0000]yyyy-mm-dd")</f>
        <v/>
      </c>
    </row>
    <row r="98995">
      <c r="A98995" s="1" t="n">
        <v>98994</v>
      </c>
      <c r="B98995">
        <f>TEXT(98994, "[$-0E0000]yyyy-mm-dd")</f>
        <v/>
      </c>
    </row>
    <row r="98996">
      <c r="A98996" s="1" t="n">
        <v>98995</v>
      </c>
      <c r="B98996">
        <f>TEXT(98995, "[$-0E0000]yyyy-mm-dd")</f>
        <v/>
      </c>
    </row>
    <row r="98997">
      <c r="A98997" s="1" t="n">
        <v>98996</v>
      </c>
      <c r="B98997">
        <f>TEXT(98996, "[$-0E0000]yyyy-mm-dd")</f>
        <v/>
      </c>
    </row>
    <row r="98998">
      <c r="A98998" s="1" t="n">
        <v>98997</v>
      </c>
      <c r="B98998">
        <f>TEXT(98997, "[$-0E0000]yyyy-mm-dd")</f>
        <v/>
      </c>
    </row>
    <row r="98999">
      <c r="A98999" s="1" t="n">
        <v>98998</v>
      </c>
      <c r="B98999">
        <f>TEXT(98998, "[$-0E0000]yyyy-mm-dd")</f>
        <v/>
      </c>
    </row>
    <row r="99000">
      <c r="A99000" s="1" t="n">
        <v>98999</v>
      </c>
      <c r="B99000">
        <f>TEXT(98999, "[$-0E0000]yyyy-mm-dd")</f>
        <v/>
      </c>
    </row>
    <row r="99001">
      <c r="A99001" s="1" t="n">
        <v>99000</v>
      </c>
      <c r="B99001">
        <f>TEXT(99000, "[$-0E0000]yyyy-mm-dd")</f>
        <v/>
      </c>
    </row>
    <row r="99002">
      <c r="A99002" s="1" t="n">
        <v>99001</v>
      </c>
      <c r="B99002">
        <f>TEXT(99001, "[$-0E0000]yyyy-mm-dd")</f>
        <v/>
      </c>
    </row>
    <row r="99003">
      <c r="A99003" s="1" t="n">
        <v>99002</v>
      </c>
      <c r="B99003">
        <f>TEXT(99002, "[$-0E0000]yyyy-mm-dd")</f>
        <v/>
      </c>
    </row>
    <row r="99004">
      <c r="A99004" s="1" t="n">
        <v>99003</v>
      </c>
      <c r="B99004">
        <f>TEXT(99003, "[$-0E0000]yyyy-mm-dd")</f>
        <v/>
      </c>
    </row>
    <row r="99005">
      <c r="A99005" s="1" t="n">
        <v>99004</v>
      </c>
      <c r="B99005">
        <f>TEXT(99004, "[$-0E0000]yyyy-mm-dd")</f>
        <v/>
      </c>
    </row>
    <row r="99006">
      <c r="A99006" s="1" t="n">
        <v>99005</v>
      </c>
      <c r="B99006">
        <f>TEXT(99005, "[$-0E0000]yyyy-mm-dd")</f>
        <v/>
      </c>
    </row>
    <row r="99007">
      <c r="A99007" s="1" t="n">
        <v>99006</v>
      </c>
      <c r="B99007">
        <f>TEXT(99006, "[$-0E0000]yyyy-mm-dd")</f>
        <v/>
      </c>
    </row>
    <row r="99008">
      <c r="A99008" s="1" t="n">
        <v>99007</v>
      </c>
      <c r="B99008">
        <f>TEXT(99007, "[$-0E0000]yyyy-mm-dd")</f>
        <v/>
      </c>
    </row>
    <row r="99009">
      <c r="A99009" s="1" t="n">
        <v>99008</v>
      </c>
      <c r="B99009">
        <f>TEXT(99008, "[$-0E0000]yyyy-mm-dd")</f>
        <v/>
      </c>
    </row>
    <row r="99010">
      <c r="A99010" s="1" t="n">
        <v>99009</v>
      </c>
      <c r="B99010">
        <f>TEXT(99009, "[$-0E0000]yyyy-mm-dd")</f>
        <v/>
      </c>
    </row>
    <row r="99011">
      <c r="A99011" s="1" t="n">
        <v>99010</v>
      </c>
      <c r="B99011">
        <f>TEXT(99010, "[$-0E0000]yyyy-mm-dd")</f>
        <v/>
      </c>
    </row>
    <row r="99012">
      <c r="A99012" s="1" t="n">
        <v>99011</v>
      </c>
      <c r="B99012">
        <f>TEXT(99011, "[$-0E0000]yyyy-mm-dd")</f>
        <v/>
      </c>
    </row>
    <row r="99013">
      <c r="A99013" s="1" t="n">
        <v>99012</v>
      </c>
      <c r="B99013">
        <f>TEXT(99012, "[$-0E0000]yyyy-mm-dd")</f>
        <v/>
      </c>
    </row>
    <row r="99014">
      <c r="A99014" s="1" t="n">
        <v>99013</v>
      </c>
      <c r="B99014">
        <f>TEXT(99013, "[$-0E0000]yyyy-mm-dd")</f>
        <v/>
      </c>
    </row>
    <row r="99015">
      <c r="A99015" s="1" t="n">
        <v>99014</v>
      </c>
      <c r="B99015">
        <f>TEXT(99014, "[$-0E0000]yyyy-mm-dd")</f>
        <v/>
      </c>
    </row>
    <row r="99016">
      <c r="A99016" s="1" t="n">
        <v>99015</v>
      </c>
      <c r="B99016">
        <f>TEXT(99015, "[$-0E0000]yyyy-mm-dd")</f>
        <v/>
      </c>
    </row>
    <row r="99017">
      <c r="A99017" s="1" t="n">
        <v>99016</v>
      </c>
      <c r="B99017">
        <f>TEXT(99016, "[$-0E0000]yyyy-mm-dd")</f>
        <v/>
      </c>
    </row>
    <row r="99018">
      <c r="A99018" s="1" t="n">
        <v>99017</v>
      </c>
      <c r="B99018">
        <f>TEXT(99017, "[$-0E0000]yyyy-mm-dd")</f>
        <v/>
      </c>
    </row>
    <row r="99019">
      <c r="A99019" s="1" t="n">
        <v>99018</v>
      </c>
      <c r="B99019">
        <f>TEXT(99018, "[$-0E0000]yyyy-mm-dd")</f>
        <v/>
      </c>
    </row>
    <row r="99020">
      <c r="A99020" s="1" t="n">
        <v>99019</v>
      </c>
      <c r="B99020">
        <f>TEXT(99019, "[$-0E0000]yyyy-mm-dd")</f>
        <v/>
      </c>
    </row>
    <row r="99021">
      <c r="A99021" s="1" t="n">
        <v>99020</v>
      </c>
      <c r="B99021">
        <f>TEXT(99020, "[$-0E0000]yyyy-mm-dd")</f>
        <v/>
      </c>
    </row>
    <row r="99022">
      <c r="A99022" s="1" t="n">
        <v>99021</v>
      </c>
      <c r="B99022">
        <f>TEXT(99021, "[$-0E0000]yyyy-mm-dd")</f>
        <v/>
      </c>
    </row>
    <row r="99023">
      <c r="A99023" s="1" t="n">
        <v>99022</v>
      </c>
      <c r="B99023">
        <f>TEXT(99022, "[$-0E0000]yyyy-mm-dd")</f>
        <v/>
      </c>
    </row>
    <row r="99024">
      <c r="A99024" s="1" t="n">
        <v>99023</v>
      </c>
      <c r="B99024">
        <f>TEXT(99023, "[$-0E0000]yyyy-mm-dd")</f>
        <v/>
      </c>
    </row>
    <row r="99025">
      <c r="A99025" s="1" t="n">
        <v>99024</v>
      </c>
      <c r="B99025">
        <f>TEXT(99024, "[$-0E0000]yyyy-mm-dd")</f>
        <v/>
      </c>
    </row>
    <row r="99026">
      <c r="A99026" s="1" t="n">
        <v>99025</v>
      </c>
      <c r="B99026">
        <f>TEXT(99025, "[$-0E0000]yyyy-mm-dd")</f>
        <v/>
      </c>
    </row>
    <row r="99027">
      <c r="A99027" s="1" t="n">
        <v>99026</v>
      </c>
      <c r="B99027">
        <f>TEXT(99026, "[$-0E0000]yyyy-mm-dd")</f>
        <v/>
      </c>
    </row>
    <row r="99028">
      <c r="A99028" s="1" t="n">
        <v>99027</v>
      </c>
      <c r="B99028">
        <f>TEXT(99027, "[$-0E0000]yyyy-mm-dd")</f>
        <v/>
      </c>
    </row>
    <row r="99029">
      <c r="A99029" s="1" t="n">
        <v>99028</v>
      </c>
      <c r="B99029">
        <f>TEXT(99028, "[$-0E0000]yyyy-mm-dd")</f>
        <v/>
      </c>
    </row>
    <row r="99030">
      <c r="A99030" s="1" t="n">
        <v>99029</v>
      </c>
      <c r="B99030">
        <f>TEXT(99029, "[$-0E0000]yyyy-mm-dd")</f>
        <v/>
      </c>
    </row>
    <row r="99031">
      <c r="A99031" s="1" t="n">
        <v>99030</v>
      </c>
      <c r="B99031">
        <f>TEXT(99030, "[$-0E0000]yyyy-mm-dd")</f>
        <v/>
      </c>
    </row>
    <row r="99032">
      <c r="A99032" s="1" t="n">
        <v>99031</v>
      </c>
      <c r="B99032">
        <f>TEXT(99031, "[$-0E0000]yyyy-mm-dd")</f>
        <v/>
      </c>
    </row>
    <row r="99033">
      <c r="A99033" s="1" t="n">
        <v>99032</v>
      </c>
      <c r="B99033">
        <f>TEXT(99032, "[$-0E0000]yyyy-mm-dd")</f>
        <v/>
      </c>
    </row>
    <row r="99034">
      <c r="A99034" s="1" t="n">
        <v>99033</v>
      </c>
      <c r="B99034">
        <f>TEXT(99033, "[$-0E0000]yyyy-mm-dd")</f>
        <v/>
      </c>
    </row>
    <row r="99035">
      <c r="A99035" s="1" t="n">
        <v>99034</v>
      </c>
      <c r="B99035">
        <f>TEXT(99034, "[$-0E0000]yyyy-mm-dd")</f>
        <v/>
      </c>
    </row>
    <row r="99036">
      <c r="A99036" s="1" t="n">
        <v>99035</v>
      </c>
      <c r="B99036">
        <f>TEXT(99035, "[$-0E0000]yyyy-mm-dd")</f>
        <v/>
      </c>
    </row>
    <row r="99037">
      <c r="A99037" s="1" t="n">
        <v>99036</v>
      </c>
      <c r="B99037">
        <f>TEXT(99036, "[$-0E0000]yyyy-mm-dd")</f>
        <v/>
      </c>
    </row>
    <row r="99038">
      <c r="A99038" s="1" t="n">
        <v>99037</v>
      </c>
      <c r="B99038">
        <f>TEXT(99037, "[$-0E0000]yyyy-mm-dd")</f>
        <v/>
      </c>
    </row>
    <row r="99039">
      <c r="A99039" s="1" t="n">
        <v>99038</v>
      </c>
      <c r="B99039">
        <f>TEXT(99038, "[$-0E0000]yyyy-mm-dd")</f>
        <v/>
      </c>
    </row>
    <row r="99040">
      <c r="A99040" s="1" t="n">
        <v>99039</v>
      </c>
      <c r="B99040">
        <f>TEXT(99039, "[$-0E0000]yyyy-mm-dd")</f>
        <v/>
      </c>
    </row>
    <row r="99041">
      <c r="A99041" s="1" t="n">
        <v>99040</v>
      </c>
      <c r="B99041">
        <f>TEXT(99040, "[$-0E0000]yyyy-mm-dd")</f>
        <v/>
      </c>
    </row>
    <row r="99042">
      <c r="A99042" s="1" t="n">
        <v>99041</v>
      </c>
      <c r="B99042">
        <f>TEXT(99041, "[$-0E0000]yyyy-mm-dd")</f>
        <v/>
      </c>
    </row>
    <row r="99043">
      <c r="A99043" s="1" t="n">
        <v>99042</v>
      </c>
      <c r="B99043">
        <f>TEXT(99042, "[$-0E0000]yyyy-mm-dd")</f>
        <v/>
      </c>
    </row>
    <row r="99044">
      <c r="A99044" s="1" t="n">
        <v>99043</v>
      </c>
      <c r="B99044">
        <f>TEXT(99043, "[$-0E0000]yyyy-mm-dd")</f>
        <v/>
      </c>
    </row>
    <row r="99045">
      <c r="A99045" s="1" t="n">
        <v>99044</v>
      </c>
      <c r="B99045">
        <f>TEXT(99044, "[$-0E0000]yyyy-mm-dd")</f>
        <v/>
      </c>
    </row>
    <row r="99046">
      <c r="A99046" s="1" t="n">
        <v>99045</v>
      </c>
      <c r="B99046">
        <f>TEXT(99045, "[$-0E0000]yyyy-mm-dd")</f>
        <v/>
      </c>
    </row>
    <row r="99047">
      <c r="A99047" s="1" t="n">
        <v>99046</v>
      </c>
      <c r="B99047">
        <f>TEXT(99046, "[$-0E0000]yyyy-mm-dd")</f>
        <v/>
      </c>
    </row>
    <row r="99048">
      <c r="A99048" s="1" t="n">
        <v>99047</v>
      </c>
      <c r="B99048">
        <f>TEXT(99047, "[$-0E0000]yyyy-mm-dd")</f>
        <v/>
      </c>
    </row>
    <row r="99049">
      <c r="A99049" s="1" t="n">
        <v>99048</v>
      </c>
      <c r="B99049">
        <f>TEXT(99048, "[$-0E0000]yyyy-mm-dd")</f>
        <v/>
      </c>
    </row>
    <row r="99050">
      <c r="A99050" s="1" t="n">
        <v>99049</v>
      </c>
      <c r="B99050">
        <f>TEXT(99049, "[$-0E0000]yyyy-mm-dd")</f>
        <v/>
      </c>
    </row>
    <row r="99051">
      <c r="A99051" s="1" t="n">
        <v>99050</v>
      </c>
      <c r="B99051">
        <f>TEXT(99050, "[$-0E0000]yyyy-mm-dd")</f>
        <v/>
      </c>
    </row>
    <row r="99052">
      <c r="A99052" s="1" t="n">
        <v>99051</v>
      </c>
      <c r="B99052">
        <f>TEXT(99051, "[$-0E0000]yyyy-mm-dd")</f>
        <v/>
      </c>
    </row>
    <row r="99053">
      <c r="A99053" s="1" t="n">
        <v>99052</v>
      </c>
      <c r="B99053">
        <f>TEXT(99052, "[$-0E0000]yyyy-mm-dd")</f>
        <v/>
      </c>
    </row>
    <row r="99054">
      <c r="A99054" s="1" t="n">
        <v>99053</v>
      </c>
      <c r="B99054">
        <f>TEXT(99053, "[$-0E0000]yyyy-mm-dd")</f>
        <v/>
      </c>
    </row>
    <row r="99055">
      <c r="A99055" s="1" t="n">
        <v>99054</v>
      </c>
      <c r="B99055">
        <f>TEXT(99054, "[$-0E0000]yyyy-mm-dd")</f>
        <v/>
      </c>
    </row>
    <row r="99056">
      <c r="A99056" s="1" t="n">
        <v>99055</v>
      </c>
      <c r="B99056">
        <f>TEXT(99055, "[$-0E0000]yyyy-mm-dd")</f>
        <v/>
      </c>
    </row>
    <row r="99057">
      <c r="A99057" s="1" t="n">
        <v>99056</v>
      </c>
      <c r="B99057">
        <f>TEXT(99056, "[$-0E0000]yyyy-mm-dd")</f>
        <v/>
      </c>
    </row>
    <row r="99058">
      <c r="A99058" s="1" t="n">
        <v>99057</v>
      </c>
      <c r="B99058">
        <f>TEXT(99057, "[$-0E0000]yyyy-mm-dd")</f>
        <v/>
      </c>
    </row>
    <row r="99059">
      <c r="A99059" s="1" t="n">
        <v>99058</v>
      </c>
      <c r="B99059">
        <f>TEXT(99058, "[$-0E0000]yyyy-mm-dd")</f>
        <v/>
      </c>
    </row>
    <row r="99060">
      <c r="A99060" s="1" t="n">
        <v>99059</v>
      </c>
      <c r="B99060">
        <f>TEXT(99059, "[$-0E0000]yyyy-mm-dd")</f>
        <v/>
      </c>
    </row>
    <row r="99061">
      <c r="A99061" s="1" t="n">
        <v>99060</v>
      </c>
      <c r="B99061">
        <f>TEXT(99060, "[$-0E0000]yyyy-mm-dd")</f>
        <v/>
      </c>
    </row>
    <row r="99062">
      <c r="A99062" s="1" t="n">
        <v>99061</v>
      </c>
      <c r="B99062">
        <f>TEXT(99061, "[$-0E0000]yyyy-mm-dd")</f>
        <v/>
      </c>
    </row>
    <row r="99063">
      <c r="A99063" s="1" t="n">
        <v>99062</v>
      </c>
      <c r="B99063">
        <f>TEXT(99062, "[$-0E0000]yyyy-mm-dd")</f>
        <v/>
      </c>
    </row>
    <row r="99064">
      <c r="A99064" s="1" t="n">
        <v>99063</v>
      </c>
      <c r="B99064">
        <f>TEXT(99063, "[$-0E0000]yyyy-mm-dd")</f>
        <v/>
      </c>
    </row>
    <row r="99065">
      <c r="A99065" s="1" t="n">
        <v>99064</v>
      </c>
      <c r="B99065">
        <f>TEXT(99064, "[$-0E0000]yyyy-mm-dd")</f>
        <v/>
      </c>
    </row>
    <row r="99066">
      <c r="A99066" s="1" t="n">
        <v>99065</v>
      </c>
      <c r="B99066">
        <f>TEXT(99065, "[$-0E0000]yyyy-mm-dd")</f>
        <v/>
      </c>
    </row>
    <row r="99067">
      <c r="A99067" s="1" t="n">
        <v>99066</v>
      </c>
      <c r="B99067">
        <f>TEXT(99066, "[$-0E0000]yyyy-mm-dd")</f>
        <v/>
      </c>
    </row>
    <row r="99068">
      <c r="A99068" s="1" t="n">
        <v>99067</v>
      </c>
      <c r="B99068">
        <f>TEXT(99067, "[$-0E0000]yyyy-mm-dd")</f>
        <v/>
      </c>
    </row>
    <row r="99069">
      <c r="A99069" s="1" t="n">
        <v>99068</v>
      </c>
      <c r="B99069">
        <f>TEXT(99068, "[$-0E0000]yyyy-mm-dd")</f>
        <v/>
      </c>
    </row>
    <row r="99070">
      <c r="A99070" s="1" t="n">
        <v>99069</v>
      </c>
      <c r="B99070">
        <f>TEXT(99069, "[$-0E0000]yyyy-mm-dd")</f>
        <v/>
      </c>
    </row>
    <row r="99071">
      <c r="A99071" s="1" t="n">
        <v>99070</v>
      </c>
      <c r="B99071">
        <f>TEXT(99070, "[$-0E0000]yyyy-mm-dd")</f>
        <v/>
      </c>
    </row>
    <row r="99072">
      <c r="A99072" s="1" t="n">
        <v>99071</v>
      </c>
      <c r="B99072">
        <f>TEXT(99071, "[$-0E0000]yyyy-mm-dd")</f>
        <v/>
      </c>
    </row>
    <row r="99073">
      <c r="A99073" s="1" t="n">
        <v>99072</v>
      </c>
      <c r="B99073">
        <f>TEXT(99072, "[$-0E0000]yyyy-mm-dd")</f>
        <v/>
      </c>
    </row>
    <row r="99074">
      <c r="A99074" s="1" t="n">
        <v>99073</v>
      </c>
      <c r="B99074">
        <f>TEXT(99073, "[$-0E0000]yyyy-mm-dd")</f>
        <v/>
      </c>
    </row>
    <row r="99075">
      <c r="A99075" s="1" t="n">
        <v>99074</v>
      </c>
      <c r="B99075">
        <f>TEXT(99074, "[$-0E0000]yyyy-mm-dd")</f>
        <v/>
      </c>
    </row>
    <row r="99076">
      <c r="A99076" s="1" t="n">
        <v>99075</v>
      </c>
      <c r="B99076">
        <f>TEXT(99075, "[$-0E0000]yyyy-mm-dd")</f>
        <v/>
      </c>
    </row>
    <row r="99077">
      <c r="A99077" s="1" t="n">
        <v>99076</v>
      </c>
      <c r="B99077">
        <f>TEXT(99076, "[$-0E0000]yyyy-mm-dd")</f>
        <v/>
      </c>
    </row>
    <row r="99078">
      <c r="A99078" s="1" t="n">
        <v>99077</v>
      </c>
      <c r="B99078">
        <f>TEXT(99077, "[$-0E0000]yyyy-mm-dd")</f>
        <v/>
      </c>
    </row>
    <row r="99079">
      <c r="A99079" s="1" t="n">
        <v>99078</v>
      </c>
      <c r="B99079">
        <f>TEXT(99078, "[$-0E0000]yyyy-mm-dd")</f>
        <v/>
      </c>
    </row>
    <row r="99080">
      <c r="A99080" s="1" t="n">
        <v>99079</v>
      </c>
      <c r="B99080">
        <f>TEXT(99079, "[$-0E0000]yyyy-mm-dd")</f>
        <v/>
      </c>
    </row>
    <row r="99081">
      <c r="A99081" s="1" t="n">
        <v>99080</v>
      </c>
      <c r="B99081">
        <f>TEXT(99080, "[$-0E0000]yyyy-mm-dd")</f>
        <v/>
      </c>
    </row>
    <row r="99082">
      <c r="A99082" s="1" t="n">
        <v>99081</v>
      </c>
      <c r="B99082">
        <f>TEXT(99081, "[$-0E0000]yyyy-mm-dd")</f>
        <v/>
      </c>
    </row>
    <row r="99083">
      <c r="A99083" s="1" t="n">
        <v>99082</v>
      </c>
      <c r="B99083">
        <f>TEXT(99082, "[$-0E0000]yyyy-mm-dd")</f>
        <v/>
      </c>
    </row>
    <row r="99084">
      <c r="A99084" s="1" t="n">
        <v>99083</v>
      </c>
      <c r="B99084">
        <f>TEXT(99083, "[$-0E0000]yyyy-mm-dd")</f>
        <v/>
      </c>
    </row>
    <row r="99085">
      <c r="A99085" s="1" t="n">
        <v>99084</v>
      </c>
      <c r="B99085">
        <f>TEXT(99084, "[$-0E0000]yyyy-mm-dd")</f>
        <v/>
      </c>
    </row>
    <row r="99086">
      <c r="A99086" s="1" t="n">
        <v>99085</v>
      </c>
      <c r="B99086">
        <f>TEXT(99085, "[$-0E0000]yyyy-mm-dd")</f>
        <v/>
      </c>
    </row>
    <row r="99087">
      <c r="A99087" s="1" t="n">
        <v>99086</v>
      </c>
      <c r="B99087">
        <f>TEXT(99086, "[$-0E0000]yyyy-mm-dd")</f>
        <v/>
      </c>
    </row>
    <row r="99088">
      <c r="A99088" s="1" t="n">
        <v>99087</v>
      </c>
      <c r="B99088">
        <f>TEXT(99087, "[$-0E0000]yyyy-mm-dd")</f>
        <v/>
      </c>
    </row>
    <row r="99089">
      <c r="A99089" s="1" t="n">
        <v>99088</v>
      </c>
      <c r="B99089">
        <f>TEXT(99088, "[$-0E0000]yyyy-mm-dd")</f>
        <v/>
      </c>
    </row>
    <row r="99090">
      <c r="A99090" s="1" t="n">
        <v>99089</v>
      </c>
      <c r="B99090">
        <f>TEXT(99089, "[$-0E0000]yyyy-mm-dd")</f>
        <v/>
      </c>
    </row>
    <row r="99091">
      <c r="A99091" s="1" t="n">
        <v>99090</v>
      </c>
      <c r="B99091">
        <f>TEXT(99090, "[$-0E0000]yyyy-mm-dd")</f>
        <v/>
      </c>
    </row>
    <row r="99092">
      <c r="A99092" s="1" t="n">
        <v>99091</v>
      </c>
      <c r="B99092">
        <f>TEXT(99091, "[$-0E0000]yyyy-mm-dd")</f>
        <v/>
      </c>
    </row>
    <row r="99093">
      <c r="A99093" s="1" t="n">
        <v>99092</v>
      </c>
      <c r="B99093">
        <f>TEXT(99092, "[$-0E0000]yyyy-mm-dd")</f>
        <v/>
      </c>
    </row>
    <row r="99094">
      <c r="A99094" s="1" t="n">
        <v>99093</v>
      </c>
      <c r="B99094">
        <f>TEXT(99093, "[$-0E0000]yyyy-mm-dd")</f>
        <v/>
      </c>
    </row>
    <row r="99095">
      <c r="A99095" s="1" t="n">
        <v>99094</v>
      </c>
      <c r="B99095">
        <f>TEXT(99094, "[$-0E0000]yyyy-mm-dd")</f>
        <v/>
      </c>
    </row>
    <row r="99096">
      <c r="A99096" s="1" t="n">
        <v>99095</v>
      </c>
      <c r="B99096">
        <f>TEXT(99095, "[$-0E0000]yyyy-mm-dd")</f>
        <v/>
      </c>
    </row>
    <row r="99097">
      <c r="A99097" s="1" t="n">
        <v>99096</v>
      </c>
      <c r="B99097">
        <f>TEXT(99096, "[$-0E0000]yyyy-mm-dd")</f>
        <v/>
      </c>
    </row>
    <row r="99098">
      <c r="A99098" s="1" t="n">
        <v>99097</v>
      </c>
      <c r="B99098">
        <f>TEXT(99097, "[$-0E0000]yyyy-mm-dd")</f>
        <v/>
      </c>
    </row>
    <row r="99099">
      <c r="A99099" s="1" t="n">
        <v>99098</v>
      </c>
      <c r="B99099">
        <f>TEXT(99098, "[$-0E0000]yyyy-mm-dd")</f>
        <v/>
      </c>
    </row>
    <row r="99100">
      <c r="A99100" s="1" t="n">
        <v>99099</v>
      </c>
      <c r="B99100">
        <f>TEXT(99099, "[$-0E0000]yyyy-mm-dd")</f>
        <v/>
      </c>
    </row>
    <row r="99101">
      <c r="A99101" s="1" t="n">
        <v>99100</v>
      </c>
      <c r="B99101">
        <f>TEXT(99100, "[$-0E0000]yyyy-mm-dd")</f>
        <v/>
      </c>
    </row>
    <row r="99102">
      <c r="A99102" s="1" t="n">
        <v>99101</v>
      </c>
      <c r="B99102">
        <f>TEXT(99101, "[$-0E0000]yyyy-mm-dd")</f>
        <v/>
      </c>
    </row>
    <row r="99103">
      <c r="A99103" s="1" t="n">
        <v>99102</v>
      </c>
      <c r="B99103">
        <f>TEXT(99102, "[$-0E0000]yyyy-mm-dd")</f>
        <v/>
      </c>
    </row>
    <row r="99104">
      <c r="A99104" s="1" t="n">
        <v>99103</v>
      </c>
      <c r="B99104">
        <f>TEXT(99103, "[$-0E0000]yyyy-mm-dd")</f>
        <v/>
      </c>
    </row>
    <row r="99105">
      <c r="A99105" s="1" t="n">
        <v>99104</v>
      </c>
      <c r="B99105">
        <f>TEXT(99104, "[$-0E0000]yyyy-mm-dd")</f>
        <v/>
      </c>
    </row>
    <row r="99106">
      <c r="A99106" s="1" t="n">
        <v>99105</v>
      </c>
      <c r="B99106">
        <f>TEXT(99105, "[$-0E0000]yyyy-mm-dd")</f>
        <v/>
      </c>
    </row>
    <row r="99107">
      <c r="A99107" s="1" t="n">
        <v>99106</v>
      </c>
      <c r="B99107">
        <f>TEXT(99106, "[$-0E0000]yyyy-mm-dd")</f>
        <v/>
      </c>
    </row>
    <row r="99108">
      <c r="A99108" s="1" t="n">
        <v>99107</v>
      </c>
      <c r="B99108">
        <f>TEXT(99107, "[$-0E0000]yyyy-mm-dd")</f>
        <v/>
      </c>
    </row>
    <row r="99109">
      <c r="A99109" s="1" t="n">
        <v>99108</v>
      </c>
      <c r="B99109">
        <f>TEXT(99108, "[$-0E0000]yyyy-mm-dd")</f>
        <v/>
      </c>
    </row>
    <row r="99110">
      <c r="A99110" s="1" t="n">
        <v>99109</v>
      </c>
      <c r="B99110">
        <f>TEXT(99109, "[$-0E0000]yyyy-mm-dd")</f>
        <v/>
      </c>
    </row>
    <row r="99111">
      <c r="A99111" s="1" t="n">
        <v>99110</v>
      </c>
      <c r="B99111">
        <f>TEXT(99110, "[$-0E0000]yyyy-mm-dd")</f>
        <v/>
      </c>
    </row>
    <row r="99112">
      <c r="A99112" s="1" t="n">
        <v>99111</v>
      </c>
      <c r="B99112">
        <f>TEXT(99111, "[$-0E0000]yyyy-mm-dd")</f>
        <v/>
      </c>
    </row>
    <row r="99113">
      <c r="A99113" s="1" t="n">
        <v>99112</v>
      </c>
      <c r="B99113">
        <f>TEXT(99112, "[$-0E0000]yyyy-mm-dd")</f>
        <v/>
      </c>
    </row>
    <row r="99114">
      <c r="A99114" s="1" t="n">
        <v>99113</v>
      </c>
      <c r="B99114">
        <f>TEXT(99113, "[$-0E0000]yyyy-mm-dd")</f>
        <v/>
      </c>
    </row>
    <row r="99115">
      <c r="A99115" s="1" t="n">
        <v>99114</v>
      </c>
      <c r="B99115">
        <f>TEXT(99114, "[$-0E0000]yyyy-mm-dd")</f>
        <v/>
      </c>
    </row>
    <row r="99116">
      <c r="A99116" s="1" t="n">
        <v>99115</v>
      </c>
      <c r="B99116">
        <f>TEXT(99115, "[$-0E0000]yyyy-mm-dd")</f>
        <v/>
      </c>
    </row>
    <row r="99117">
      <c r="A99117" s="1" t="n">
        <v>99116</v>
      </c>
      <c r="B99117">
        <f>TEXT(99116, "[$-0E0000]yyyy-mm-dd")</f>
        <v/>
      </c>
    </row>
    <row r="99118">
      <c r="A99118" s="1" t="n">
        <v>99117</v>
      </c>
      <c r="B99118">
        <f>TEXT(99117, "[$-0E0000]yyyy-mm-dd")</f>
        <v/>
      </c>
    </row>
    <row r="99119">
      <c r="A99119" s="1" t="n">
        <v>99118</v>
      </c>
      <c r="B99119">
        <f>TEXT(99118, "[$-0E0000]yyyy-mm-dd")</f>
        <v/>
      </c>
    </row>
    <row r="99120">
      <c r="A99120" s="1" t="n">
        <v>99119</v>
      </c>
      <c r="B99120">
        <f>TEXT(99119, "[$-0E0000]yyyy-mm-dd")</f>
        <v/>
      </c>
    </row>
    <row r="99121">
      <c r="A99121" s="1" t="n">
        <v>99120</v>
      </c>
      <c r="B99121">
        <f>TEXT(99120, "[$-0E0000]yyyy-mm-dd")</f>
        <v/>
      </c>
    </row>
    <row r="99122">
      <c r="A99122" s="1" t="n">
        <v>99121</v>
      </c>
      <c r="B99122">
        <f>TEXT(99121, "[$-0E0000]yyyy-mm-dd")</f>
        <v/>
      </c>
    </row>
    <row r="99123">
      <c r="A99123" s="1" t="n">
        <v>99122</v>
      </c>
      <c r="B99123">
        <f>TEXT(99122, "[$-0E0000]yyyy-mm-dd")</f>
        <v/>
      </c>
    </row>
    <row r="99124">
      <c r="A99124" s="1" t="n">
        <v>99123</v>
      </c>
      <c r="B99124">
        <f>TEXT(99123, "[$-0E0000]yyyy-mm-dd")</f>
        <v/>
      </c>
    </row>
    <row r="99125">
      <c r="A99125" s="1" t="n">
        <v>99124</v>
      </c>
      <c r="B99125">
        <f>TEXT(99124, "[$-0E0000]yyyy-mm-dd")</f>
        <v/>
      </c>
    </row>
    <row r="99126">
      <c r="A99126" s="1" t="n">
        <v>99125</v>
      </c>
      <c r="B99126">
        <f>TEXT(99125, "[$-0E0000]yyyy-mm-dd")</f>
        <v/>
      </c>
    </row>
    <row r="99127">
      <c r="A99127" s="1" t="n">
        <v>99126</v>
      </c>
      <c r="B99127">
        <f>TEXT(99126, "[$-0E0000]yyyy-mm-dd")</f>
        <v/>
      </c>
    </row>
    <row r="99128">
      <c r="A99128" s="1" t="n">
        <v>99127</v>
      </c>
      <c r="B99128">
        <f>TEXT(99127, "[$-0E0000]yyyy-mm-dd")</f>
        <v/>
      </c>
    </row>
    <row r="99129">
      <c r="A99129" s="1" t="n">
        <v>99128</v>
      </c>
      <c r="B99129">
        <f>TEXT(99128, "[$-0E0000]yyyy-mm-dd")</f>
        <v/>
      </c>
    </row>
    <row r="99130">
      <c r="A99130" s="1" t="n">
        <v>99129</v>
      </c>
      <c r="B99130">
        <f>TEXT(99129, "[$-0E0000]yyyy-mm-dd")</f>
        <v/>
      </c>
    </row>
    <row r="99131">
      <c r="A99131" s="1" t="n">
        <v>99130</v>
      </c>
      <c r="B99131">
        <f>TEXT(99130, "[$-0E0000]yyyy-mm-dd")</f>
        <v/>
      </c>
    </row>
    <row r="99132">
      <c r="A99132" s="1" t="n">
        <v>99131</v>
      </c>
      <c r="B99132">
        <f>TEXT(99131, "[$-0E0000]yyyy-mm-dd")</f>
        <v/>
      </c>
    </row>
    <row r="99133">
      <c r="A99133" s="1" t="n">
        <v>99132</v>
      </c>
      <c r="B99133">
        <f>TEXT(99132, "[$-0E0000]yyyy-mm-dd")</f>
        <v/>
      </c>
    </row>
    <row r="99134">
      <c r="A99134" s="1" t="n">
        <v>99133</v>
      </c>
      <c r="B99134">
        <f>TEXT(99133, "[$-0E0000]yyyy-mm-dd")</f>
        <v/>
      </c>
    </row>
    <row r="99135">
      <c r="A99135" s="1" t="n">
        <v>99134</v>
      </c>
      <c r="B99135">
        <f>TEXT(99134, "[$-0E0000]yyyy-mm-dd")</f>
        <v/>
      </c>
    </row>
    <row r="99136">
      <c r="A99136" s="1" t="n">
        <v>99135</v>
      </c>
      <c r="B99136">
        <f>TEXT(99135, "[$-0E0000]yyyy-mm-dd")</f>
        <v/>
      </c>
    </row>
    <row r="99137">
      <c r="A99137" s="1" t="n">
        <v>99136</v>
      </c>
      <c r="B99137">
        <f>TEXT(99136, "[$-0E0000]yyyy-mm-dd")</f>
        <v/>
      </c>
    </row>
    <row r="99138">
      <c r="A99138" s="1" t="n">
        <v>99137</v>
      </c>
      <c r="B99138">
        <f>TEXT(99137, "[$-0E0000]yyyy-mm-dd")</f>
        <v/>
      </c>
    </row>
    <row r="99139">
      <c r="A99139" s="1" t="n">
        <v>99138</v>
      </c>
      <c r="B99139">
        <f>TEXT(99138, "[$-0E0000]yyyy-mm-dd")</f>
        <v/>
      </c>
    </row>
    <row r="99140">
      <c r="A99140" s="1" t="n">
        <v>99139</v>
      </c>
      <c r="B99140">
        <f>TEXT(99139, "[$-0E0000]yyyy-mm-dd")</f>
        <v/>
      </c>
    </row>
    <row r="99141">
      <c r="A99141" s="1" t="n">
        <v>99140</v>
      </c>
      <c r="B99141">
        <f>TEXT(99140, "[$-0E0000]yyyy-mm-dd")</f>
        <v/>
      </c>
    </row>
    <row r="99142">
      <c r="A99142" s="1" t="n">
        <v>99141</v>
      </c>
      <c r="B99142">
        <f>TEXT(99141, "[$-0E0000]yyyy-mm-dd")</f>
        <v/>
      </c>
    </row>
    <row r="99143">
      <c r="A99143" s="1" t="n">
        <v>99142</v>
      </c>
      <c r="B99143">
        <f>TEXT(99142, "[$-0E0000]yyyy-mm-dd")</f>
        <v/>
      </c>
    </row>
    <row r="99144">
      <c r="A99144" s="1" t="n">
        <v>99143</v>
      </c>
      <c r="B99144">
        <f>TEXT(99143, "[$-0E0000]yyyy-mm-dd")</f>
        <v/>
      </c>
    </row>
    <row r="99145">
      <c r="A99145" s="1" t="n">
        <v>99144</v>
      </c>
      <c r="B99145">
        <f>TEXT(99144, "[$-0E0000]yyyy-mm-dd")</f>
        <v/>
      </c>
    </row>
    <row r="99146">
      <c r="A99146" s="1" t="n">
        <v>99145</v>
      </c>
      <c r="B99146">
        <f>TEXT(99145, "[$-0E0000]yyyy-mm-dd")</f>
        <v/>
      </c>
    </row>
    <row r="99147">
      <c r="A99147" s="1" t="n">
        <v>99146</v>
      </c>
      <c r="B99147">
        <f>TEXT(99146, "[$-0E0000]yyyy-mm-dd")</f>
        <v/>
      </c>
    </row>
    <row r="99148">
      <c r="A99148" s="1" t="n">
        <v>99147</v>
      </c>
      <c r="B99148">
        <f>TEXT(99147, "[$-0E0000]yyyy-mm-dd")</f>
        <v/>
      </c>
    </row>
    <row r="99149">
      <c r="A99149" s="1" t="n">
        <v>99148</v>
      </c>
      <c r="B99149">
        <f>TEXT(99148, "[$-0E0000]yyyy-mm-dd")</f>
        <v/>
      </c>
    </row>
    <row r="99150">
      <c r="A99150" s="1" t="n">
        <v>99149</v>
      </c>
      <c r="B99150">
        <f>TEXT(99149, "[$-0E0000]yyyy-mm-dd")</f>
        <v/>
      </c>
    </row>
    <row r="99151">
      <c r="A99151" s="1" t="n">
        <v>99150</v>
      </c>
      <c r="B99151">
        <f>TEXT(99150, "[$-0E0000]yyyy-mm-dd")</f>
        <v/>
      </c>
    </row>
    <row r="99152">
      <c r="A99152" s="1" t="n">
        <v>99151</v>
      </c>
      <c r="B99152">
        <f>TEXT(99151, "[$-0E0000]yyyy-mm-dd")</f>
        <v/>
      </c>
    </row>
    <row r="99153">
      <c r="A99153" s="1" t="n">
        <v>99152</v>
      </c>
      <c r="B99153">
        <f>TEXT(99152, "[$-0E0000]yyyy-mm-dd")</f>
        <v/>
      </c>
    </row>
    <row r="99154">
      <c r="A99154" s="1" t="n">
        <v>99153</v>
      </c>
      <c r="B99154">
        <f>TEXT(99153, "[$-0E0000]yyyy-mm-dd")</f>
        <v/>
      </c>
    </row>
    <row r="99155">
      <c r="A99155" s="1" t="n">
        <v>99154</v>
      </c>
      <c r="B99155">
        <f>TEXT(99154, "[$-0E0000]yyyy-mm-dd")</f>
        <v/>
      </c>
    </row>
    <row r="99156">
      <c r="A99156" s="1" t="n">
        <v>99155</v>
      </c>
      <c r="B99156">
        <f>TEXT(99155, "[$-0E0000]yyyy-mm-dd")</f>
        <v/>
      </c>
    </row>
    <row r="99157">
      <c r="A99157" s="1" t="n">
        <v>99156</v>
      </c>
      <c r="B99157">
        <f>TEXT(99156, "[$-0E0000]yyyy-mm-dd")</f>
        <v/>
      </c>
    </row>
    <row r="99158">
      <c r="A99158" s="1" t="n">
        <v>99157</v>
      </c>
      <c r="B99158">
        <f>TEXT(99157, "[$-0E0000]yyyy-mm-dd")</f>
        <v/>
      </c>
    </row>
    <row r="99159">
      <c r="A99159" s="1" t="n">
        <v>99158</v>
      </c>
      <c r="B99159">
        <f>TEXT(99158, "[$-0E0000]yyyy-mm-dd")</f>
        <v/>
      </c>
    </row>
    <row r="99160">
      <c r="A99160" s="1" t="n">
        <v>99159</v>
      </c>
      <c r="B99160">
        <f>TEXT(99159, "[$-0E0000]yyyy-mm-dd")</f>
        <v/>
      </c>
    </row>
    <row r="99161">
      <c r="A99161" s="1" t="n">
        <v>99160</v>
      </c>
      <c r="B99161">
        <f>TEXT(99160, "[$-0E0000]yyyy-mm-dd")</f>
        <v/>
      </c>
    </row>
    <row r="99162">
      <c r="A99162" s="1" t="n">
        <v>99161</v>
      </c>
      <c r="B99162">
        <f>TEXT(99161, "[$-0E0000]yyyy-mm-dd")</f>
        <v/>
      </c>
    </row>
    <row r="99163">
      <c r="A99163" s="1" t="n">
        <v>99162</v>
      </c>
      <c r="B99163">
        <f>TEXT(99162, "[$-0E0000]yyyy-mm-dd")</f>
        <v/>
      </c>
    </row>
    <row r="99164">
      <c r="A99164" s="1" t="n">
        <v>99163</v>
      </c>
      <c r="B99164">
        <f>TEXT(99163, "[$-0E0000]yyyy-mm-dd")</f>
        <v/>
      </c>
    </row>
    <row r="99165">
      <c r="A99165" s="1" t="n">
        <v>99164</v>
      </c>
      <c r="B99165">
        <f>TEXT(99164, "[$-0E0000]yyyy-mm-dd")</f>
        <v/>
      </c>
    </row>
    <row r="99166">
      <c r="A99166" s="1" t="n">
        <v>99165</v>
      </c>
      <c r="B99166">
        <f>TEXT(99165, "[$-0E0000]yyyy-mm-dd")</f>
        <v/>
      </c>
    </row>
    <row r="99167">
      <c r="A99167" s="1" t="n">
        <v>99166</v>
      </c>
      <c r="B99167">
        <f>TEXT(99166, "[$-0E0000]yyyy-mm-dd")</f>
        <v/>
      </c>
    </row>
    <row r="99168">
      <c r="A99168" s="1" t="n">
        <v>99167</v>
      </c>
      <c r="B99168">
        <f>TEXT(99167, "[$-0E0000]yyyy-mm-dd")</f>
        <v/>
      </c>
    </row>
    <row r="99169">
      <c r="A99169" s="1" t="n">
        <v>99168</v>
      </c>
      <c r="B99169">
        <f>TEXT(99168, "[$-0E0000]yyyy-mm-dd")</f>
        <v/>
      </c>
    </row>
    <row r="99170">
      <c r="A99170" s="1" t="n">
        <v>99169</v>
      </c>
      <c r="B99170">
        <f>TEXT(99169, "[$-0E0000]yyyy-mm-dd")</f>
        <v/>
      </c>
    </row>
    <row r="99171">
      <c r="A99171" s="1" t="n">
        <v>99170</v>
      </c>
      <c r="B99171">
        <f>TEXT(99170, "[$-0E0000]yyyy-mm-dd")</f>
        <v/>
      </c>
    </row>
    <row r="99172">
      <c r="A99172" s="1" t="n">
        <v>99171</v>
      </c>
      <c r="B99172">
        <f>TEXT(99171, "[$-0E0000]yyyy-mm-dd")</f>
        <v/>
      </c>
    </row>
    <row r="99173">
      <c r="A99173" s="1" t="n">
        <v>99172</v>
      </c>
      <c r="B99173">
        <f>TEXT(99172, "[$-0E0000]yyyy-mm-dd")</f>
        <v/>
      </c>
    </row>
    <row r="99174">
      <c r="A99174" s="1" t="n">
        <v>99173</v>
      </c>
      <c r="B99174">
        <f>TEXT(99173, "[$-0E0000]yyyy-mm-dd")</f>
        <v/>
      </c>
    </row>
    <row r="99175">
      <c r="A99175" s="1" t="n">
        <v>99174</v>
      </c>
      <c r="B99175">
        <f>TEXT(99174, "[$-0E0000]yyyy-mm-dd")</f>
        <v/>
      </c>
    </row>
    <row r="99176">
      <c r="A99176" s="1" t="n">
        <v>99175</v>
      </c>
      <c r="B99176">
        <f>TEXT(99175, "[$-0E0000]yyyy-mm-dd")</f>
        <v/>
      </c>
    </row>
    <row r="99177">
      <c r="A99177" s="1" t="n">
        <v>99176</v>
      </c>
      <c r="B99177">
        <f>TEXT(99176, "[$-0E0000]yyyy-mm-dd")</f>
        <v/>
      </c>
    </row>
    <row r="99178">
      <c r="A99178" s="1" t="n">
        <v>99177</v>
      </c>
      <c r="B99178">
        <f>TEXT(99177, "[$-0E0000]yyyy-mm-dd")</f>
        <v/>
      </c>
    </row>
    <row r="99179">
      <c r="A99179" s="1" t="n">
        <v>99178</v>
      </c>
      <c r="B99179">
        <f>TEXT(99178, "[$-0E0000]yyyy-mm-dd")</f>
        <v/>
      </c>
    </row>
    <row r="99180">
      <c r="A99180" s="1" t="n">
        <v>99179</v>
      </c>
      <c r="B99180">
        <f>TEXT(99179, "[$-0E0000]yyyy-mm-dd")</f>
        <v/>
      </c>
    </row>
    <row r="99181">
      <c r="A99181" s="1" t="n">
        <v>99180</v>
      </c>
      <c r="B99181">
        <f>TEXT(99180, "[$-0E0000]yyyy-mm-dd")</f>
        <v/>
      </c>
    </row>
    <row r="99182">
      <c r="A99182" s="1" t="n">
        <v>99181</v>
      </c>
      <c r="B99182">
        <f>TEXT(99181, "[$-0E0000]yyyy-mm-dd")</f>
        <v/>
      </c>
    </row>
    <row r="99183">
      <c r="A99183" s="1" t="n">
        <v>99182</v>
      </c>
      <c r="B99183">
        <f>TEXT(99182, "[$-0E0000]yyyy-mm-dd")</f>
        <v/>
      </c>
    </row>
    <row r="99184">
      <c r="A99184" s="1" t="n">
        <v>99183</v>
      </c>
      <c r="B99184">
        <f>TEXT(99183, "[$-0E0000]yyyy-mm-dd")</f>
        <v/>
      </c>
    </row>
    <row r="99185">
      <c r="A99185" s="1" t="n">
        <v>99184</v>
      </c>
      <c r="B99185">
        <f>TEXT(99184, "[$-0E0000]yyyy-mm-dd")</f>
        <v/>
      </c>
    </row>
    <row r="99186">
      <c r="A99186" s="1" t="n">
        <v>99185</v>
      </c>
      <c r="B99186">
        <f>TEXT(99185, "[$-0E0000]yyyy-mm-dd")</f>
        <v/>
      </c>
    </row>
    <row r="99187">
      <c r="A99187" s="1" t="n">
        <v>99186</v>
      </c>
      <c r="B99187">
        <f>TEXT(99186, "[$-0E0000]yyyy-mm-dd")</f>
        <v/>
      </c>
    </row>
    <row r="99188">
      <c r="A99188" s="1" t="n">
        <v>99187</v>
      </c>
      <c r="B99188">
        <f>TEXT(99187, "[$-0E0000]yyyy-mm-dd")</f>
        <v/>
      </c>
    </row>
    <row r="99189">
      <c r="A99189" s="1" t="n">
        <v>99188</v>
      </c>
      <c r="B99189">
        <f>TEXT(99188, "[$-0E0000]yyyy-mm-dd")</f>
        <v/>
      </c>
    </row>
    <row r="99190">
      <c r="A99190" s="1" t="n">
        <v>99189</v>
      </c>
      <c r="B99190">
        <f>TEXT(99189, "[$-0E0000]yyyy-mm-dd")</f>
        <v/>
      </c>
    </row>
    <row r="99191">
      <c r="A99191" s="1" t="n">
        <v>99190</v>
      </c>
      <c r="B99191">
        <f>TEXT(99190, "[$-0E0000]yyyy-mm-dd")</f>
        <v/>
      </c>
    </row>
    <row r="99192">
      <c r="A99192" s="1" t="n">
        <v>99191</v>
      </c>
      <c r="B99192">
        <f>TEXT(99191, "[$-0E0000]yyyy-mm-dd")</f>
        <v/>
      </c>
    </row>
    <row r="99193">
      <c r="A99193" s="1" t="n">
        <v>99192</v>
      </c>
      <c r="B99193">
        <f>TEXT(99192, "[$-0E0000]yyyy-mm-dd")</f>
        <v/>
      </c>
    </row>
    <row r="99194">
      <c r="A99194" s="1" t="n">
        <v>99193</v>
      </c>
      <c r="B99194">
        <f>TEXT(99193, "[$-0E0000]yyyy-mm-dd")</f>
        <v/>
      </c>
    </row>
    <row r="99195">
      <c r="A99195" s="1" t="n">
        <v>99194</v>
      </c>
      <c r="B99195">
        <f>TEXT(99194, "[$-0E0000]yyyy-mm-dd")</f>
        <v/>
      </c>
    </row>
    <row r="99196">
      <c r="A99196" s="1" t="n">
        <v>99195</v>
      </c>
      <c r="B99196">
        <f>TEXT(99195, "[$-0E0000]yyyy-mm-dd")</f>
        <v/>
      </c>
    </row>
    <row r="99197">
      <c r="A99197" s="1" t="n">
        <v>99196</v>
      </c>
      <c r="B99197">
        <f>TEXT(99196, "[$-0E0000]yyyy-mm-dd")</f>
        <v/>
      </c>
    </row>
    <row r="99198">
      <c r="A99198" s="1" t="n">
        <v>99197</v>
      </c>
      <c r="B99198">
        <f>TEXT(99197, "[$-0E0000]yyyy-mm-dd")</f>
        <v/>
      </c>
    </row>
    <row r="99199">
      <c r="A99199" s="1" t="n">
        <v>99198</v>
      </c>
      <c r="B99199">
        <f>TEXT(99198, "[$-0E0000]yyyy-mm-dd")</f>
        <v/>
      </c>
    </row>
    <row r="99200">
      <c r="A99200" s="1" t="n">
        <v>99199</v>
      </c>
      <c r="B99200">
        <f>TEXT(99199, "[$-0E0000]yyyy-mm-dd")</f>
        <v/>
      </c>
    </row>
    <row r="99201">
      <c r="A99201" s="1" t="n">
        <v>99200</v>
      </c>
      <c r="B99201">
        <f>TEXT(99200, "[$-0E0000]yyyy-mm-dd")</f>
        <v/>
      </c>
    </row>
    <row r="99202">
      <c r="A99202" s="1" t="n">
        <v>99201</v>
      </c>
      <c r="B99202">
        <f>TEXT(99201, "[$-0E0000]yyyy-mm-dd")</f>
        <v/>
      </c>
    </row>
    <row r="99203">
      <c r="A99203" s="1" t="n">
        <v>99202</v>
      </c>
      <c r="B99203">
        <f>TEXT(99202, "[$-0E0000]yyyy-mm-dd")</f>
        <v/>
      </c>
    </row>
    <row r="99204">
      <c r="A99204" s="1" t="n">
        <v>99203</v>
      </c>
      <c r="B99204">
        <f>TEXT(99203, "[$-0E0000]yyyy-mm-dd")</f>
        <v/>
      </c>
    </row>
    <row r="99205">
      <c r="A99205" s="1" t="n">
        <v>99204</v>
      </c>
      <c r="B99205">
        <f>TEXT(99204, "[$-0E0000]yyyy-mm-dd")</f>
        <v/>
      </c>
    </row>
    <row r="99206">
      <c r="A99206" s="1" t="n">
        <v>99205</v>
      </c>
      <c r="B99206">
        <f>TEXT(99205, "[$-0E0000]yyyy-mm-dd")</f>
        <v/>
      </c>
    </row>
    <row r="99207">
      <c r="A99207" s="1" t="n">
        <v>99206</v>
      </c>
      <c r="B99207">
        <f>TEXT(99206, "[$-0E0000]yyyy-mm-dd")</f>
        <v/>
      </c>
    </row>
    <row r="99208">
      <c r="A99208" s="1" t="n">
        <v>99207</v>
      </c>
      <c r="B99208">
        <f>TEXT(99207, "[$-0E0000]yyyy-mm-dd")</f>
        <v/>
      </c>
    </row>
    <row r="99209">
      <c r="A99209" s="1" t="n">
        <v>99208</v>
      </c>
      <c r="B99209">
        <f>TEXT(99208, "[$-0E0000]yyyy-mm-dd")</f>
        <v/>
      </c>
    </row>
    <row r="99210">
      <c r="A99210" s="1" t="n">
        <v>99209</v>
      </c>
      <c r="B99210">
        <f>TEXT(99209, "[$-0E0000]yyyy-mm-dd")</f>
        <v/>
      </c>
    </row>
    <row r="99211">
      <c r="A99211" s="1" t="n">
        <v>99210</v>
      </c>
      <c r="B99211">
        <f>TEXT(99210, "[$-0E0000]yyyy-mm-dd")</f>
        <v/>
      </c>
    </row>
    <row r="99212">
      <c r="A99212" s="1" t="n">
        <v>99211</v>
      </c>
      <c r="B99212">
        <f>TEXT(99211, "[$-0E0000]yyyy-mm-dd")</f>
        <v/>
      </c>
    </row>
    <row r="99213">
      <c r="A99213" s="1" t="n">
        <v>99212</v>
      </c>
      <c r="B99213">
        <f>TEXT(99212, "[$-0E0000]yyyy-mm-dd")</f>
        <v/>
      </c>
    </row>
    <row r="99214">
      <c r="A99214" s="1" t="n">
        <v>99213</v>
      </c>
      <c r="B99214">
        <f>TEXT(99213, "[$-0E0000]yyyy-mm-dd")</f>
        <v/>
      </c>
    </row>
    <row r="99215">
      <c r="A99215" s="1" t="n">
        <v>99214</v>
      </c>
      <c r="B99215">
        <f>TEXT(99214, "[$-0E0000]yyyy-mm-dd")</f>
        <v/>
      </c>
    </row>
    <row r="99216">
      <c r="A99216" s="1" t="n">
        <v>99215</v>
      </c>
      <c r="B99216">
        <f>TEXT(99215, "[$-0E0000]yyyy-mm-dd")</f>
        <v/>
      </c>
    </row>
    <row r="99217">
      <c r="A99217" s="1" t="n">
        <v>99216</v>
      </c>
      <c r="B99217">
        <f>TEXT(99216, "[$-0E0000]yyyy-mm-dd")</f>
        <v/>
      </c>
    </row>
    <row r="99218">
      <c r="A99218" s="1" t="n">
        <v>99217</v>
      </c>
      <c r="B99218">
        <f>TEXT(99217, "[$-0E0000]yyyy-mm-dd")</f>
        <v/>
      </c>
    </row>
    <row r="99219">
      <c r="A99219" s="1" t="n">
        <v>99218</v>
      </c>
      <c r="B99219">
        <f>TEXT(99218, "[$-0E0000]yyyy-mm-dd")</f>
        <v/>
      </c>
    </row>
    <row r="99220">
      <c r="A99220" s="1" t="n">
        <v>99219</v>
      </c>
      <c r="B99220">
        <f>TEXT(99219, "[$-0E0000]yyyy-mm-dd")</f>
        <v/>
      </c>
    </row>
    <row r="99221">
      <c r="A99221" s="1" t="n">
        <v>99220</v>
      </c>
      <c r="B99221">
        <f>TEXT(99220, "[$-0E0000]yyyy-mm-dd")</f>
        <v/>
      </c>
    </row>
    <row r="99222">
      <c r="A99222" s="1" t="n">
        <v>99221</v>
      </c>
      <c r="B99222">
        <f>TEXT(99221, "[$-0E0000]yyyy-mm-dd")</f>
        <v/>
      </c>
    </row>
    <row r="99223">
      <c r="A99223" s="1" t="n">
        <v>99222</v>
      </c>
      <c r="B99223">
        <f>TEXT(99222, "[$-0E0000]yyyy-mm-dd")</f>
        <v/>
      </c>
    </row>
    <row r="99224">
      <c r="A99224" s="1" t="n">
        <v>99223</v>
      </c>
      <c r="B99224">
        <f>TEXT(99223, "[$-0E0000]yyyy-mm-dd")</f>
        <v/>
      </c>
    </row>
    <row r="99225">
      <c r="A99225" s="1" t="n">
        <v>99224</v>
      </c>
      <c r="B99225">
        <f>TEXT(99224, "[$-0E0000]yyyy-mm-dd")</f>
        <v/>
      </c>
    </row>
    <row r="99226">
      <c r="A99226" s="1" t="n">
        <v>99225</v>
      </c>
      <c r="B99226">
        <f>TEXT(99225, "[$-0E0000]yyyy-mm-dd")</f>
        <v/>
      </c>
    </row>
    <row r="99227">
      <c r="A99227" s="1" t="n">
        <v>99226</v>
      </c>
      <c r="B99227">
        <f>TEXT(99226, "[$-0E0000]yyyy-mm-dd")</f>
        <v/>
      </c>
    </row>
    <row r="99228">
      <c r="A99228" s="1" t="n">
        <v>99227</v>
      </c>
      <c r="B99228">
        <f>TEXT(99227, "[$-0E0000]yyyy-mm-dd")</f>
        <v/>
      </c>
    </row>
    <row r="99229">
      <c r="A99229" s="1" t="n">
        <v>99228</v>
      </c>
      <c r="B99229">
        <f>TEXT(99228, "[$-0E0000]yyyy-mm-dd")</f>
        <v/>
      </c>
    </row>
    <row r="99230">
      <c r="A99230" s="1" t="n">
        <v>99229</v>
      </c>
      <c r="B99230">
        <f>TEXT(99229, "[$-0E0000]yyyy-mm-dd")</f>
        <v/>
      </c>
    </row>
    <row r="99231">
      <c r="A99231" s="1" t="n">
        <v>99230</v>
      </c>
      <c r="B99231">
        <f>TEXT(99230, "[$-0E0000]yyyy-mm-dd")</f>
        <v/>
      </c>
    </row>
    <row r="99232">
      <c r="A99232" s="1" t="n">
        <v>99231</v>
      </c>
      <c r="B99232">
        <f>TEXT(99231, "[$-0E0000]yyyy-mm-dd")</f>
        <v/>
      </c>
    </row>
    <row r="99233">
      <c r="A99233" s="1" t="n">
        <v>99232</v>
      </c>
      <c r="B99233">
        <f>TEXT(99232, "[$-0E0000]yyyy-mm-dd")</f>
        <v/>
      </c>
    </row>
    <row r="99234">
      <c r="A99234" s="1" t="n">
        <v>99233</v>
      </c>
      <c r="B99234">
        <f>TEXT(99233, "[$-0E0000]yyyy-mm-dd")</f>
        <v/>
      </c>
    </row>
    <row r="99235">
      <c r="A99235" s="1" t="n">
        <v>99234</v>
      </c>
      <c r="B99235">
        <f>TEXT(99234, "[$-0E0000]yyyy-mm-dd")</f>
        <v/>
      </c>
    </row>
    <row r="99236">
      <c r="A99236" s="1" t="n">
        <v>99235</v>
      </c>
      <c r="B99236">
        <f>TEXT(99235, "[$-0E0000]yyyy-mm-dd")</f>
        <v/>
      </c>
    </row>
    <row r="99237">
      <c r="A99237" s="1" t="n">
        <v>99236</v>
      </c>
      <c r="B99237">
        <f>TEXT(99236, "[$-0E0000]yyyy-mm-dd")</f>
        <v/>
      </c>
    </row>
    <row r="99238">
      <c r="A99238" s="1" t="n">
        <v>99237</v>
      </c>
      <c r="B99238">
        <f>TEXT(99237, "[$-0E0000]yyyy-mm-dd")</f>
        <v/>
      </c>
    </row>
    <row r="99239">
      <c r="A99239" s="1" t="n">
        <v>99238</v>
      </c>
      <c r="B99239">
        <f>TEXT(99238, "[$-0E0000]yyyy-mm-dd")</f>
        <v/>
      </c>
    </row>
    <row r="99240">
      <c r="A99240" s="1" t="n">
        <v>99239</v>
      </c>
      <c r="B99240">
        <f>TEXT(99239, "[$-0E0000]yyyy-mm-dd")</f>
        <v/>
      </c>
    </row>
    <row r="99241">
      <c r="A99241" s="1" t="n">
        <v>99240</v>
      </c>
      <c r="B99241">
        <f>TEXT(99240, "[$-0E0000]yyyy-mm-dd")</f>
        <v/>
      </c>
    </row>
    <row r="99242">
      <c r="A99242" s="1" t="n">
        <v>99241</v>
      </c>
      <c r="B99242">
        <f>TEXT(99241, "[$-0E0000]yyyy-mm-dd")</f>
        <v/>
      </c>
    </row>
    <row r="99243">
      <c r="A99243" s="1" t="n">
        <v>99242</v>
      </c>
      <c r="B99243">
        <f>TEXT(99242, "[$-0E0000]yyyy-mm-dd")</f>
        <v/>
      </c>
    </row>
    <row r="99244">
      <c r="A99244" s="1" t="n">
        <v>99243</v>
      </c>
      <c r="B99244">
        <f>TEXT(99243, "[$-0E0000]yyyy-mm-dd")</f>
        <v/>
      </c>
    </row>
    <row r="99245">
      <c r="A99245" s="1" t="n">
        <v>99244</v>
      </c>
      <c r="B99245">
        <f>TEXT(99244, "[$-0E0000]yyyy-mm-dd")</f>
        <v/>
      </c>
    </row>
    <row r="99246">
      <c r="A99246" s="1" t="n">
        <v>99245</v>
      </c>
      <c r="B99246">
        <f>TEXT(99245, "[$-0E0000]yyyy-mm-dd")</f>
        <v/>
      </c>
    </row>
    <row r="99247">
      <c r="A99247" s="1" t="n">
        <v>99246</v>
      </c>
      <c r="B99247">
        <f>TEXT(99246, "[$-0E0000]yyyy-mm-dd")</f>
        <v/>
      </c>
    </row>
    <row r="99248">
      <c r="A99248" s="1" t="n">
        <v>99247</v>
      </c>
      <c r="B99248">
        <f>TEXT(99247, "[$-0E0000]yyyy-mm-dd")</f>
        <v/>
      </c>
    </row>
    <row r="99249">
      <c r="A99249" s="1" t="n">
        <v>99248</v>
      </c>
      <c r="B99249">
        <f>TEXT(99248, "[$-0E0000]yyyy-mm-dd")</f>
        <v/>
      </c>
    </row>
    <row r="99250">
      <c r="A99250" s="1" t="n">
        <v>99249</v>
      </c>
      <c r="B99250">
        <f>TEXT(99249, "[$-0E0000]yyyy-mm-dd")</f>
        <v/>
      </c>
    </row>
    <row r="99251">
      <c r="A99251" s="1" t="n">
        <v>99250</v>
      </c>
      <c r="B99251">
        <f>TEXT(99250, "[$-0E0000]yyyy-mm-dd")</f>
        <v/>
      </c>
    </row>
    <row r="99252">
      <c r="A99252" s="1" t="n">
        <v>99251</v>
      </c>
      <c r="B99252">
        <f>TEXT(99251, "[$-0E0000]yyyy-mm-dd")</f>
        <v/>
      </c>
    </row>
    <row r="99253">
      <c r="A99253" s="1" t="n">
        <v>99252</v>
      </c>
      <c r="B99253">
        <f>TEXT(99252, "[$-0E0000]yyyy-mm-dd")</f>
        <v/>
      </c>
    </row>
    <row r="99254">
      <c r="A99254" s="1" t="n">
        <v>99253</v>
      </c>
      <c r="B99254">
        <f>TEXT(99253, "[$-0E0000]yyyy-mm-dd")</f>
        <v/>
      </c>
    </row>
    <row r="99255">
      <c r="A99255" s="1" t="n">
        <v>99254</v>
      </c>
      <c r="B99255">
        <f>TEXT(99254, "[$-0E0000]yyyy-mm-dd")</f>
        <v/>
      </c>
    </row>
    <row r="99256">
      <c r="A99256" s="1" t="n">
        <v>99255</v>
      </c>
      <c r="B99256">
        <f>TEXT(99255, "[$-0E0000]yyyy-mm-dd")</f>
        <v/>
      </c>
    </row>
    <row r="99257">
      <c r="A99257" s="1" t="n">
        <v>99256</v>
      </c>
      <c r="B99257">
        <f>TEXT(99256, "[$-0E0000]yyyy-mm-dd")</f>
        <v/>
      </c>
    </row>
    <row r="99258">
      <c r="A99258" s="1" t="n">
        <v>99257</v>
      </c>
      <c r="B99258">
        <f>TEXT(99257, "[$-0E0000]yyyy-mm-dd")</f>
        <v/>
      </c>
    </row>
    <row r="99259">
      <c r="A99259" s="1" t="n">
        <v>99258</v>
      </c>
      <c r="B99259">
        <f>TEXT(99258, "[$-0E0000]yyyy-mm-dd")</f>
        <v/>
      </c>
    </row>
    <row r="99260">
      <c r="A99260" s="1" t="n">
        <v>99259</v>
      </c>
      <c r="B99260">
        <f>TEXT(99259, "[$-0E0000]yyyy-mm-dd")</f>
        <v/>
      </c>
    </row>
    <row r="99261">
      <c r="A99261" s="1" t="n">
        <v>99260</v>
      </c>
      <c r="B99261">
        <f>TEXT(99260, "[$-0E0000]yyyy-mm-dd")</f>
        <v/>
      </c>
    </row>
    <row r="99262">
      <c r="A99262" s="1" t="n">
        <v>99261</v>
      </c>
      <c r="B99262">
        <f>TEXT(99261, "[$-0E0000]yyyy-mm-dd")</f>
        <v/>
      </c>
    </row>
    <row r="99263">
      <c r="A99263" s="1" t="n">
        <v>99262</v>
      </c>
      <c r="B99263">
        <f>TEXT(99262, "[$-0E0000]yyyy-mm-dd")</f>
        <v/>
      </c>
    </row>
    <row r="99264">
      <c r="A99264" s="1" t="n">
        <v>99263</v>
      </c>
      <c r="B99264">
        <f>TEXT(99263, "[$-0E0000]yyyy-mm-dd")</f>
        <v/>
      </c>
    </row>
    <row r="99265">
      <c r="A99265" s="1" t="n">
        <v>99264</v>
      </c>
      <c r="B99265">
        <f>TEXT(99264, "[$-0E0000]yyyy-mm-dd")</f>
        <v/>
      </c>
    </row>
    <row r="99266">
      <c r="A99266" s="1" t="n">
        <v>99265</v>
      </c>
      <c r="B99266">
        <f>TEXT(99265, "[$-0E0000]yyyy-mm-dd")</f>
        <v/>
      </c>
    </row>
    <row r="99267">
      <c r="A99267" s="1" t="n">
        <v>99266</v>
      </c>
      <c r="B99267">
        <f>TEXT(99266, "[$-0E0000]yyyy-mm-dd")</f>
        <v/>
      </c>
    </row>
    <row r="99268">
      <c r="A99268" s="1" t="n">
        <v>99267</v>
      </c>
      <c r="B99268">
        <f>TEXT(99267, "[$-0E0000]yyyy-mm-dd")</f>
        <v/>
      </c>
    </row>
    <row r="99269">
      <c r="A99269" s="1" t="n">
        <v>99268</v>
      </c>
      <c r="B99269">
        <f>TEXT(99268, "[$-0E0000]yyyy-mm-dd")</f>
        <v/>
      </c>
    </row>
    <row r="99270">
      <c r="A99270" s="1" t="n">
        <v>99269</v>
      </c>
      <c r="B99270">
        <f>TEXT(99269, "[$-0E0000]yyyy-mm-dd")</f>
        <v/>
      </c>
    </row>
    <row r="99271">
      <c r="A99271" s="1" t="n">
        <v>99270</v>
      </c>
      <c r="B99271">
        <f>TEXT(99270, "[$-0E0000]yyyy-mm-dd")</f>
        <v/>
      </c>
    </row>
    <row r="99272">
      <c r="A99272" s="1" t="n">
        <v>99271</v>
      </c>
      <c r="B99272">
        <f>TEXT(99271, "[$-0E0000]yyyy-mm-dd")</f>
        <v/>
      </c>
    </row>
    <row r="99273">
      <c r="A99273" s="1" t="n">
        <v>99272</v>
      </c>
      <c r="B99273">
        <f>TEXT(99272, "[$-0E0000]yyyy-mm-dd")</f>
        <v/>
      </c>
    </row>
    <row r="99274">
      <c r="A99274" s="1" t="n">
        <v>99273</v>
      </c>
      <c r="B99274">
        <f>TEXT(99273, "[$-0E0000]yyyy-mm-dd")</f>
        <v/>
      </c>
    </row>
    <row r="99275">
      <c r="A99275" s="1" t="n">
        <v>99274</v>
      </c>
      <c r="B99275">
        <f>TEXT(99274, "[$-0E0000]yyyy-mm-dd")</f>
        <v/>
      </c>
    </row>
    <row r="99276">
      <c r="A99276" s="1" t="n">
        <v>99275</v>
      </c>
      <c r="B99276">
        <f>TEXT(99275, "[$-0E0000]yyyy-mm-dd")</f>
        <v/>
      </c>
    </row>
    <row r="99277">
      <c r="A99277" s="1" t="n">
        <v>99276</v>
      </c>
      <c r="B99277">
        <f>TEXT(99276, "[$-0E0000]yyyy-mm-dd")</f>
        <v/>
      </c>
    </row>
    <row r="99278">
      <c r="A99278" s="1" t="n">
        <v>99277</v>
      </c>
      <c r="B99278">
        <f>TEXT(99277, "[$-0E0000]yyyy-mm-dd")</f>
        <v/>
      </c>
    </row>
    <row r="99279">
      <c r="A99279" s="1" t="n">
        <v>99278</v>
      </c>
      <c r="B99279">
        <f>TEXT(99278, "[$-0E0000]yyyy-mm-dd")</f>
        <v/>
      </c>
    </row>
    <row r="99280">
      <c r="A99280" s="1" t="n">
        <v>99279</v>
      </c>
      <c r="B99280">
        <f>TEXT(99279, "[$-0E0000]yyyy-mm-dd")</f>
        <v/>
      </c>
    </row>
    <row r="99281">
      <c r="A99281" s="1" t="n">
        <v>99280</v>
      </c>
      <c r="B99281">
        <f>TEXT(99280, "[$-0E0000]yyyy-mm-dd")</f>
        <v/>
      </c>
    </row>
    <row r="99282">
      <c r="A99282" s="1" t="n">
        <v>99281</v>
      </c>
      <c r="B99282">
        <f>TEXT(99281, "[$-0E0000]yyyy-mm-dd")</f>
        <v/>
      </c>
    </row>
    <row r="99283">
      <c r="A99283" s="1" t="n">
        <v>99282</v>
      </c>
      <c r="B99283">
        <f>TEXT(99282, "[$-0E0000]yyyy-mm-dd")</f>
        <v/>
      </c>
    </row>
    <row r="99284">
      <c r="A99284" s="1" t="n">
        <v>99283</v>
      </c>
      <c r="B99284">
        <f>TEXT(99283, "[$-0E0000]yyyy-mm-dd")</f>
        <v/>
      </c>
    </row>
    <row r="99285">
      <c r="A99285" s="1" t="n">
        <v>99284</v>
      </c>
      <c r="B99285">
        <f>TEXT(99284, "[$-0E0000]yyyy-mm-dd")</f>
        <v/>
      </c>
    </row>
    <row r="99286">
      <c r="A99286" s="1" t="n">
        <v>99285</v>
      </c>
      <c r="B99286">
        <f>TEXT(99285, "[$-0E0000]yyyy-mm-dd")</f>
        <v/>
      </c>
    </row>
    <row r="99287">
      <c r="A99287" s="1" t="n">
        <v>99286</v>
      </c>
      <c r="B99287">
        <f>TEXT(99286, "[$-0E0000]yyyy-mm-dd")</f>
        <v/>
      </c>
    </row>
    <row r="99288">
      <c r="A99288" s="1" t="n">
        <v>99287</v>
      </c>
      <c r="B99288">
        <f>TEXT(99287, "[$-0E0000]yyyy-mm-dd")</f>
        <v/>
      </c>
    </row>
    <row r="99289">
      <c r="A99289" s="1" t="n">
        <v>99288</v>
      </c>
      <c r="B99289">
        <f>TEXT(99288, "[$-0E0000]yyyy-mm-dd")</f>
        <v/>
      </c>
    </row>
    <row r="99290">
      <c r="A99290" s="1" t="n">
        <v>99289</v>
      </c>
      <c r="B99290">
        <f>TEXT(99289, "[$-0E0000]yyyy-mm-dd")</f>
        <v/>
      </c>
    </row>
    <row r="99291">
      <c r="A99291" s="1" t="n">
        <v>99290</v>
      </c>
      <c r="B99291">
        <f>TEXT(99290, "[$-0E0000]yyyy-mm-dd")</f>
        <v/>
      </c>
    </row>
    <row r="99292">
      <c r="A99292" s="1" t="n">
        <v>99291</v>
      </c>
      <c r="B99292">
        <f>TEXT(99291, "[$-0E0000]yyyy-mm-dd")</f>
        <v/>
      </c>
    </row>
    <row r="99293">
      <c r="A99293" s="1" t="n">
        <v>99292</v>
      </c>
      <c r="B99293">
        <f>TEXT(99292, "[$-0E0000]yyyy-mm-dd")</f>
        <v/>
      </c>
    </row>
    <row r="99294">
      <c r="A99294" s="1" t="n">
        <v>99293</v>
      </c>
      <c r="B99294">
        <f>TEXT(99293, "[$-0E0000]yyyy-mm-dd")</f>
        <v/>
      </c>
    </row>
    <row r="99295">
      <c r="A99295" s="1" t="n">
        <v>99294</v>
      </c>
      <c r="B99295">
        <f>TEXT(99294, "[$-0E0000]yyyy-mm-dd")</f>
        <v/>
      </c>
    </row>
    <row r="99296">
      <c r="A99296" s="1" t="n">
        <v>99295</v>
      </c>
      <c r="B99296">
        <f>TEXT(99295, "[$-0E0000]yyyy-mm-dd")</f>
        <v/>
      </c>
    </row>
    <row r="99297">
      <c r="A99297" s="1" t="n">
        <v>99296</v>
      </c>
      <c r="B99297">
        <f>TEXT(99296, "[$-0E0000]yyyy-mm-dd")</f>
        <v/>
      </c>
    </row>
    <row r="99298">
      <c r="A99298" s="1" t="n">
        <v>99297</v>
      </c>
      <c r="B99298">
        <f>TEXT(99297, "[$-0E0000]yyyy-mm-dd")</f>
        <v/>
      </c>
    </row>
    <row r="99299">
      <c r="A99299" s="1" t="n">
        <v>99298</v>
      </c>
      <c r="B99299">
        <f>TEXT(99298, "[$-0E0000]yyyy-mm-dd")</f>
        <v/>
      </c>
    </row>
    <row r="99300">
      <c r="A99300" s="1" t="n">
        <v>99299</v>
      </c>
      <c r="B99300">
        <f>TEXT(99299, "[$-0E0000]yyyy-mm-dd")</f>
        <v/>
      </c>
    </row>
    <row r="99301">
      <c r="A99301" s="1" t="n">
        <v>99300</v>
      </c>
      <c r="B99301">
        <f>TEXT(99300, "[$-0E0000]yyyy-mm-dd")</f>
        <v/>
      </c>
    </row>
    <row r="99302">
      <c r="A99302" s="1" t="n">
        <v>99301</v>
      </c>
      <c r="B99302">
        <f>TEXT(99301, "[$-0E0000]yyyy-mm-dd")</f>
        <v/>
      </c>
    </row>
    <row r="99303">
      <c r="A99303" s="1" t="n">
        <v>99302</v>
      </c>
      <c r="B99303">
        <f>TEXT(99302, "[$-0E0000]yyyy-mm-dd")</f>
        <v/>
      </c>
    </row>
    <row r="99304">
      <c r="A99304" s="1" t="n">
        <v>99303</v>
      </c>
      <c r="B99304">
        <f>TEXT(99303, "[$-0E0000]yyyy-mm-dd")</f>
        <v/>
      </c>
    </row>
    <row r="99305">
      <c r="A99305" s="1" t="n">
        <v>99304</v>
      </c>
      <c r="B99305">
        <f>TEXT(99304, "[$-0E0000]yyyy-mm-dd")</f>
        <v/>
      </c>
    </row>
    <row r="99306">
      <c r="A99306" s="1" t="n">
        <v>99305</v>
      </c>
      <c r="B99306">
        <f>TEXT(99305, "[$-0E0000]yyyy-mm-dd")</f>
        <v/>
      </c>
    </row>
    <row r="99307">
      <c r="A99307" s="1" t="n">
        <v>99306</v>
      </c>
      <c r="B99307">
        <f>TEXT(99306, "[$-0E0000]yyyy-mm-dd")</f>
        <v/>
      </c>
    </row>
    <row r="99308">
      <c r="A99308" s="1" t="n">
        <v>99307</v>
      </c>
      <c r="B99308">
        <f>TEXT(99307, "[$-0E0000]yyyy-mm-dd")</f>
        <v/>
      </c>
    </row>
    <row r="99309">
      <c r="A99309" s="1" t="n">
        <v>99308</v>
      </c>
      <c r="B99309">
        <f>TEXT(99308, "[$-0E0000]yyyy-mm-dd")</f>
        <v/>
      </c>
    </row>
    <row r="99310">
      <c r="A99310" s="1" t="n">
        <v>99309</v>
      </c>
      <c r="B99310">
        <f>TEXT(99309, "[$-0E0000]yyyy-mm-dd")</f>
        <v/>
      </c>
    </row>
    <row r="99311">
      <c r="A99311" s="1" t="n">
        <v>99310</v>
      </c>
      <c r="B99311">
        <f>TEXT(99310, "[$-0E0000]yyyy-mm-dd")</f>
        <v/>
      </c>
    </row>
    <row r="99312">
      <c r="A99312" s="1" t="n">
        <v>99311</v>
      </c>
      <c r="B99312">
        <f>TEXT(99311, "[$-0E0000]yyyy-mm-dd")</f>
        <v/>
      </c>
    </row>
    <row r="99313">
      <c r="A99313" s="1" t="n">
        <v>99312</v>
      </c>
      <c r="B99313">
        <f>TEXT(99312, "[$-0E0000]yyyy-mm-dd")</f>
        <v/>
      </c>
    </row>
    <row r="99314">
      <c r="A99314" s="1" t="n">
        <v>99313</v>
      </c>
      <c r="B99314">
        <f>TEXT(99313, "[$-0E0000]yyyy-mm-dd")</f>
        <v/>
      </c>
    </row>
    <row r="99315">
      <c r="A99315" s="1" t="n">
        <v>99314</v>
      </c>
      <c r="B99315">
        <f>TEXT(99314, "[$-0E0000]yyyy-mm-dd")</f>
        <v/>
      </c>
    </row>
    <row r="99316">
      <c r="A99316" s="1" t="n">
        <v>99315</v>
      </c>
      <c r="B99316">
        <f>TEXT(99315, "[$-0E0000]yyyy-mm-dd")</f>
        <v/>
      </c>
    </row>
    <row r="99317">
      <c r="A99317" s="1" t="n">
        <v>99316</v>
      </c>
      <c r="B99317">
        <f>TEXT(99316, "[$-0E0000]yyyy-mm-dd")</f>
        <v/>
      </c>
    </row>
    <row r="99318">
      <c r="A99318" s="1" t="n">
        <v>99317</v>
      </c>
      <c r="B99318">
        <f>TEXT(99317, "[$-0E0000]yyyy-mm-dd")</f>
        <v/>
      </c>
    </row>
    <row r="99319">
      <c r="A99319" s="1" t="n">
        <v>99318</v>
      </c>
      <c r="B99319">
        <f>TEXT(99318, "[$-0E0000]yyyy-mm-dd")</f>
        <v/>
      </c>
    </row>
    <row r="99320">
      <c r="A99320" s="1" t="n">
        <v>99319</v>
      </c>
      <c r="B99320">
        <f>TEXT(99319, "[$-0E0000]yyyy-mm-dd")</f>
        <v/>
      </c>
    </row>
    <row r="99321">
      <c r="A99321" s="1" t="n">
        <v>99320</v>
      </c>
      <c r="B99321">
        <f>TEXT(99320, "[$-0E0000]yyyy-mm-dd")</f>
        <v/>
      </c>
    </row>
    <row r="99322">
      <c r="A99322" s="1" t="n">
        <v>99321</v>
      </c>
      <c r="B99322">
        <f>TEXT(99321, "[$-0E0000]yyyy-mm-dd")</f>
        <v/>
      </c>
    </row>
    <row r="99323">
      <c r="A99323" s="1" t="n">
        <v>99322</v>
      </c>
      <c r="B99323">
        <f>TEXT(99322, "[$-0E0000]yyyy-mm-dd")</f>
        <v/>
      </c>
    </row>
    <row r="99324">
      <c r="A99324" s="1" t="n">
        <v>99323</v>
      </c>
      <c r="B99324">
        <f>TEXT(99323, "[$-0E0000]yyyy-mm-dd")</f>
        <v/>
      </c>
    </row>
    <row r="99325">
      <c r="A99325" s="1" t="n">
        <v>99324</v>
      </c>
      <c r="B99325">
        <f>TEXT(99324, "[$-0E0000]yyyy-mm-dd")</f>
        <v/>
      </c>
    </row>
    <row r="99326">
      <c r="A99326" s="1" t="n">
        <v>99325</v>
      </c>
      <c r="B99326">
        <f>TEXT(99325, "[$-0E0000]yyyy-mm-dd")</f>
        <v/>
      </c>
    </row>
    <row r="99327">
      <c r="A99327" s="1" t="n">
        <v>99326</v>
      </c>
      <c r="B99327">
        <f>TEXT(99326, "[$-0E0000]yyyy-mm-dd")</f>
        <v/>
      </c>
    </row>
    <row r="99328">
      <c r="A99328" s="1" t="n">
        <v>99327</v>
      </c>
      <c r="B99328">
        <f>TEXT(99327, "[$-0E0000]yyyy-mm-dd")</f>
        <v/>
      </c>
    </row>
    <row r="99329">
      <c r="A99329" s="1" t="n">
        <v>99328</v>
      </c>
      <c r="B99329">
        <f>TEXT(99328, "[$-0E0000]yyyy-mm-dd")</f>
        <v/>
      </c>
    </row>
    <row r="99330">
      <c r="A99330" s="1" t="n">
        <v>99329</v>
      </c>
      <c r="B99330">
        <f>TEXT(99329, "[$-0E0000]yyyy-mm-dd")</f>
        <v/>
      </c>
    </row>
    <row r="99331">
      <c r="A99331" s="1" t="n">
        <v>99330</v>
      </c>
      <c r="B99331">
        <f>TEXT(99330, "[$-0E0000]yyyy-mm-dd")</f>
        <v/>
      </c>
    </row>
    <row r="99332">
      <c r="A99332" s="1" t="n">
        <v>99331</v>
      </c>
      <c r="B99332">
        <f>TEXT(99331, "[$-0E0000]yyyy-mm-dd")</f>
        <v/>
      </c>
    </row>
    <row r="99333">
      <c r="A99333" s="1" t="n">
        <v>99332</v>
      </c>
      <c r="B99333">
        <f>TEXT(99332, "[$-0E0000]yyyy-mm-dd")</f>
        <v/>
      </c>
    </row>
    <row r="99334">
      <c r="A99334" s="1" t="n">
        <v>99333</v>
      </c>
      <c r="B99334">
        <f>TEXT(99333, "[$-0E0000]yyyy-mm-dd")</f>
        <v/>
      </c>
    </row>
    <row r="99335">
      <c r="A99335" s="1" t="n">
        <v>99334</v>
      </c>
      <c r="B99335">
        <f>TEXT(99334, "[$-0E0000]yyyy-mm-dd")</f>
        <v/>
      </c>
    </row>
    <row r="99336">
      <c r="A99336" s="1" t="n">
        <v>99335</v>
      </c>
      <c r="B99336">
        <f>TEXT(99335, "[$-0E0000]yyyy-mm-dd")</f>
        <v/>
      </c>
    </row>
    <row r="99337">
      <c r="A99337" s="1" t="n">
        <v>99336</v>
      </c>
      <c r="B99337">
        <f>TEXT(99336, "[$-0E0000]yyyy-mm-dd")</f>
        <v/>
      </c>
    </row>
    <row r="99338">
      <c r="A99338" s="1" t="n">
        <v>99337</v>
      </c>
      <c r="B99338">
        <f>TEXT(99337, "[$-0E0000]yyyy-mm-dd")</f>
        <v/>
      </c>
    </row>
    <row r="99339">
      <c r="A99339" s="1" t="n">
        <v>99338</v>
      </c>
      <c r="B99339">
        <f>TEXT(99338, "[$-0E0000]yyyy-mm-dd")</f>
        <v/>
      </c>
    </row>
    <row r="99340">
      <c r="A99340" s="1" t="n">
        <v>99339</v>
      </c>
      <c r="B99340">
        <f>TEXT(99339, "[$-0E0000]yyyy-mm-dd")</f>
        <v/>
      </c>
    </row>
    <row r="99341">
      <c r="A99341" s="1" t="n">
        <v>99340</v>
      </c>
      <c r="B99341">
        <f>TEXT(99340, "[$-0E0000]yyyy-mm-dd")</f>
        <v/>
      </c>
    </row>
    <row r="99342">
      <c r="A99342" s="1" t="n">
        <v>99341</v>
      </c>
      <c r="B99342">
        <f>TEXT(99341, "[$-0E0000]yyyy-mm-dd")</f>
        <v/>
      </c>
    </row>
    <row r="99343">
      <c r="A99343" s="1" t="n">
        <v>99342</v>
      </c>
      <c r="B99343">
        <f>TEXT(99342, "[$-0E0000]yyyy-mm-dd")</f>
        <v/>
      </c>
    </row>
    <row r="99344">
      <c r="A99344" s="1" t="n">
        <v>99343</v>
      </c>
      <c r="B99344">
        <f>TEXT(99343, "[$-0E0000]yyyy-mm-dd")</f>
        <v/>
      </c>
    </row>
    <row r="99345">
      <c r="A99345" s="1" t="n">
        <v>99344</v>
      </c>
      <c r="B99345">
        <f>TEXT(99344, "[$-0E0000]yyyy-mm-dd")</f>
        <v/>
      </c>
    </row>
    <row r="99346">
      <c r="A99346" s="1" t="n">
        <v>99345</v>
      </c>
      <c r="B99346">
        <f>TEXT(99345, "[$-0E0000]yyyy-mm-dd")</f>
        <v/>
      </c>
    </row>
    <row r="99347">
      <c r="A99347" s="1" t="n">
        <v>99346</v>
      </c>
      <c r="B99347">
        <f>TEXT(99346, "[$-0E0000]yyyy-mm-dd")</f>
        <v/>
      </c>
    </row>
    <row r="99348">
      <c r="A99348" s="1" t="n">
        <v>99347</v>
      </c>
      <c r="B99348">
        <f>TEXT(99347, "[$-0E0000]yyyy-mm-dd")</f>
        <v/>
      </c>
    </row>
    <row r="99349">
      <c r="A99349" s="1" t="n">
        <v>99348</v>
      </c>
      <c r="B99349">
        <f>TEXT(99348, "[$-0E0000]yyyy-mm-dd")</f>
        <v/>
      </c>
    </row>
    <row r="99350">
      <c r="A99350" s="1" t="n">
        <v>99349</v>
      </c>
      <c r="B99350">
        <f>TEXT(99349, "[$-0E0000]yyyy-mm-dd")</f>
        <v/>
      </c>
    </row>
    <row r="99351">
      <c r="A99351" s="1" t="n">
        <v>99350</v>
      </c>
      <c r="B99351">
        <f>TEXT(99350, "[$-0E0000]yyyy-mm-dd")</f>
        <v/>
      </c>
    </row>
    <row r="99352">
      <c r="A99352" s="1" t="n">
        <v>99351</v>
      </c>
      <c r="B99352">
        <f>TEXT(99351, "[$-0E0000]yyyy-mm-dd")</f>
        <v/>
      </c>
    </row>
    <row r="99353">
      <c r="A99353" s="1" t="n">
        <v>99352</v>
      </c>
      <c r="B99353">
        <f>TEXT(99352, "[$-0E0000]yyyy-mm-dd")</f>
        <v/>
      </c>
    </row>
    <row r="99354">
      <c r="A99354" s="1" t="n">
        <v>99353</v>
      </c>
      <c r="B99354">
        <f>TEXT(99353, "[$-0E0000]yyyy-mm-dd")</f>
        <v/>
      </c>
    </row>
    <row r="99355">
      <c r="A99355" s="1" t="n">
        <v>99354</v>
      </c>
      <c r="B99355">
        <f>TEXT(99354, "[$-0E0000]yyyy-mm-dd")</f>
        <v/>
      </c>
    </row>
    <row r="99356">
      <c r="A99356" s="1" t="n">
        <v>99355</v>
      </c>
      <c r="B99356">
        <f>TEXT(99355, "[$-0E0000]yyyy-mm-dd")</f>
        <v/>
      </c>
    </row>
    <row r="99357">
      <c r="A99357" s="1" t="n">
        <v>99356</v>
      </c>
      <c r="B99357">
        <f>TEXT(99356, "[$-0E0000]yyyy-mm-dd")</f>
        <v/>
      </c>
    </row>
    <row r="99358">
      <c r="A99358" s="1" t="n">
        <v>99357</v>
      </c>
      <c r="B99358">
        <f>TEXT(99357, "[$-0E0000]yyyy-mm-dd")</f>
        <v/>
      </c>
    </row>
    <row r="99359">
      <c r="A99359" s="1" t="n">
        <v>99358</v>
      </c>
      <c r="B99359">
        <f>TEXT(99358, "[$-0E0000]yyyy-mm-dd")</f>
        <v/>
      </c>
    </row>
    <row r="99360">
      <c r="A99360" s="1" t="n">
        <v>99359</v>
      </c>
      <c r="B99360">
        <f>TEXT(99359, "[$-0E0000]yyyy-mm-dd")</f>
        <v/>
      </c>
    </row>
    <row r="99361">
      <c r="A99361" s="1" t="n">
        <v>99360</v>
      </c>
      <c r="B99361">
        <f>TEXT(99360, "[$-0E0000]yyyy-mm-dd")</f>
        <v/>
      </c>
    </row>
    <row r="99362">
      <c r="A99362" s="1" t="n">
        <v>99361</v>
      </c>
      <c r="B99362">
        <f>TEXT(99361, "[$-0E0000]yyyy-mm-dd")</f>
        <v/>
      </c>
    </row>
    <row r="99363">
      <c r="A99363" s="1" t="n">
        <v>99362</v>
      </c>
      <c r="B99363">
        <f>TEXT(99362, "[$-0E0000]yyyy-mm-dd")</f>
        <v/>
      </c>
    </row>
    <row r="99364">
      <c r="A99364" s="1" t="n">
        <v>99363</v>
      </c>
      <c r="B99364">
        <f>TEXT(99363, "[$-0E0000]yyyy-mm-dd")</f>
        <v/>
      </c>
    </row>
    <row r="99365">
      <c r="A99365" s="1" t="n">
        <v>99364</v>
      </c>
      <c r="B99365">
        <f>TEXT(99364, "[$-0E0000]yyyy-mm-dd")</f>
        <v/>
      </c>
    </row>
    <row r="99366">
      <c r="A99366" s="1" t="n">
        <v>99365</v>
      </c>
      <c r="B99366">
        <f>TEXT(99365, "[$-0E0000]yyyy-mm-dd")</f>
        <v/>
      </c>
    </row>
    <row r="99367">
      <c r="A99367" s="1" t="n">
        <v>99366</v>
      </c>
      <c r="B99367">
        <f>TEXT(99366, "[$-0E0000]yyyy-mm-dd")</f>
        <v/>
      </c>
    </row>
    <row r="99368">
      <c r="A99368" s="1" t="n">
        <v>99367</v>
      </c>
      <c r="B99368">
        <f>TEXT(99367, "[$-0E0000]yyyy-mm-dd")</f>
        <v/>
      </c>
    </row>
    <row r="99369">
      <c r="A99369" s="1" t="n">
        <v>99368</v>
      </c>
      <c r="B99369">
        <f>TEXT(99368, "[$-0E0000]yyyy-mm-dd")</f>
        <v/>
      </c>
    </row>
    <row r="99370">
      <c r="A99370" s="1" t="n">
        <v>99369</v>
      </c>
      <c r="B99370">
        <f>TEXT(99369, "[$-0E0000]yyyy-mm-dd")</f>
        <v/>
      </c>
    </row>
    <row r="99371">
      <c r="A99371" s="1" t="n">
        <v>99370</v>
      </c>
      <c r="B99371">
        <f>TEXT(99370, "[$-0E0000]yyyy-mm-dd")</f>
        <v/>
      </c>
    </row>
    <row r="99372">
      <c r="A99372" s="1" t="n">
        <v>99371</v>
      </c>
      <c r="B99372">
        <f>TEXT(99371, "[$-0E0000]yyyy-mm-dd")</f>
        <v/>
      </c>
    </row>
    <row r="99373">
      <c r="A99373" s="1" t="n">
        <v>99372</v>
      </c>
      <c r="B99373">
        <f>TEXT(99372, "[$-0E0000]yyyy-mm-dd")</f>
        <v/>
      </c>
    </row>
    <row r="99374">
      <c r="A99374" s="1" t="n">
        <v>99373</v>
      </c>
      <c r="B99374">
        <f>TEXT(99373, "[$-0E0000]yyyy-mm-dd")</f>
        <v/>
      </c>
    </row>
    <row r="99375">
      <c r="A99375" s="1" t="n">
        <v>99374</v>
      </c>
      <c r="B99375">
        <f>TEXT(99374, "[$-0E0000]yyyy-mm-dd")</f>
        <v/>
      </c>
    </row>
    <row r="99376">
      <c r="A99376" s="1" t="n">
        <v>99375</v>
      </c>
      <c r="B99376">
        <f>TEXT(99375, "[$-0E0000]yyyy-mm-dd")</f>
        <v/>
      </c>
    </row>
    <row r="99377">
      <c r="A99377" s="1" t="n">
        <v>99376</v>
      </c>
      <c r="B99377">
        <f>TEXT(99376, "[$-0E0000]yyyy-mm-dd")</f>
        <v/>
      </c>
    </row>
    <row r="99378">
      <c r="A99378" s="1" t="n">
        <v>99377</v>
      </c>
      <c r="B99378">
        <f>TEXT(99377, "[$-0E0000]yyyy-mm-dd")</f>
        <v/>
      </c>
    </row>
    <row r="99379">
      <c r="A99379" s="1" t="n">
        <v>99378</v>
      </c>
      <c r="B99379">
        <f>TEXT(99378, "[$-0E0000]yyyy-mm-dd")</f>
        <v/>
      </c>
    </row>
    <row r="99380">
      <c r="A99380" s="1" t="n">
        <v>99379</v>
      </c>
      <c r="B99380">
        <f>TEXT(99379, "[$-0E0000]yyyy-mm-dd")</f>
        <v/>
      </c>
    </row>
    <row r="99381">
      <c r="A99381" s="1" t="n">
        <v>99380</v>
      </c>
      <c r="B99381">
        <f>TEXT(99380, "[$-0E0000]yyyy-mm-dd")</f>
        <v/>
      </c>
    </row>
    <row r="99382">
      <c r="A99382" s="1" t="n">
        <v>99381</v>
      </c>
      <c r="B99382">
        <f>TEXT(99381, "[$-0E0000]yyyy-mm-dd")</f>
        <v/>
      </c>
    </row>
    <row r="99383">
      <c r="A99383" s="1" t="n">
        <v>99382</v>
      </c>
      <c r="B99383">
        <f>TEXT(99382, "[$-0E0000]yyyy-mm-dd")</f>
        <v/>
      </c>
    </row>
    <row r="99384">
      <c r="A99384" s="1" t="n">
        <v>99383</v>
      </c>
      <c r="B99384">
        <f>TEXT(99383, "[$-0E0000]yyyy-mm-dd")</f>
        <v/>
      </c>
    </row>
    <row r="99385">
      <c r="A99385" s="1" t="n">
        <v>99384</v>
      </c>
      <c r="B99385">
        <f>TEXT(99384, "[$-0E0000]yyyy-mm-dd")</f>
        <v/>
      </c>
    </row>
    <row r="99386">
      <c r="A99386" s="1" t="n">
        <v>99385</v>
      </c>
      <c r="B99386">
        <f>TEXT(99385, "[$-0E0000]yyyy-mm-dd")</f>
        <v/>
      </c>
    </row>
    <row r="99387">
      <c r="A99387" s="1" t="n">
        <v>99386</v>
      </c>
      <c r="B99387">
        <f>TEXT(99386, "[$-0E0000]yyyy-mm-dd")</f>
        <v/>
      </c>
    </row>
    <row r="99388">
      <c r="A99388" s="1" t="n">
        <v>99387</v>
      </c>
      <c r="B99388">
        <f>TEXT(99387, "[$-0E0000]yyyy-mm-dd")</f>
        <v/>
      </c>
    </row>
    <row r="99389">
      <c r="A99389" s="1" t="n">
        <v>99388</v>
      </c>
      <c r="B99389">
        <f>TEXT(99388, "[$-0E0000]yyyy-mm-dd")</f>
        <v/>
      </c>
    </row>
    <row r="99390">
      <c r="A99390" s="1" t="n">
        <v>99389</v>
      </c>
      <c r="B99390">
        <f>TEXT(99389, "[$-0E0000]yyyy-mm-dd")</f>
        <v/>
      </c>
    </row>
    <row r="99391">
      <c r="A99391" s="1" t="n">
        <v>99390</v>
      </c>
      <c r="B99391">
        <f>TEXT(99390, "[$-0E0000]yyyy-mm-dd")</f>
        <v/>
      </c>
    </row>
    <row r="99392">
      <c r="A99392" s="1" t="n">
        <v>99391</v>
      </c>
      <c r="B99392">
        <f>TEXT(99391, "[$-0E0000]yyyy-mm-dd")</f>
        <v/>
      </c>
    </row>
    <row r="99393">
      <c r="A99393" s="1" t="n">
        <v>99392</v>
      </c>
      <c r="B99393">
        <f>TEXT(99392, "[$-0E0000]yyyy-mm-dd")</f>
        <v/>
      </c>
    </row>
    <row r="99394">
      <c r="A99394" s="1" t="n">
        <v>99393</v>
      </c>
      <c r="B99394">
        <f>TEXT(99393, "[$-0E0000]yyyy-mm-dd")</f>
        <v/>
      </c>
    </row>
    <row r="99395">
      <c r="A99395" s="1" t="n">
        <v>99394</v>
      </c>
      <c r="B99395">
        <f>TEXT(99394, "[$-0E0000]yyyy-mm-dd")</f>
        <v/>
      </c>
    </row>
    <row r="99396">
      <c r="A99396" s="1" t="n">
        <v>99395</v>
      </c>
      <c r="B99396">
        <f>TEXT(99395, "[$-0E0000]yyyy-mm-dd")</f>
        <v/>
      </c>
    </row>
    <row r="99397">
      <c r="A99397" s="1" t="n">
        <v>99396</v>
      </c>
      <c r="B99397">
        <f>TEXT(99396, "[$-0E0000]yyyy-mm-dd")</f>
        <v/>
      </c>
    </row>
    <row r="99398">
      <c r="A99398" s="1" t="n">
        <v>99397</v>
      </c>
      <c r="B99398">
        <f>TEXT(99397, "[$-0E0000]yyyy-mm-dd")</f>
        <v/>
      </c>
    </row>
    <row r="99399">
      <c r="A99399" s="1" t="n">
        <v>99398</v>
      </c>
      <c r="B99399">
        <f>TEXT(99398, "[$-0E0000]yyyy-mm-dd")</f>
        <v/>
      </c>
    </row>
    <row r="99400">
      <c r="A99400" s="1" t="n">
        <v>99399</v>
      </c>
      <c r="B99400">
        <f>TEXT(99399, "[$-0E0000]yyyy-mm-dd")</f>
        <v/>
      </c>
    </row>
    <row r="99401">
      <c r="A99401" s="1" t="n">
        <v>99400</v>
      </c>
      <c r="B99401">
        <f>TEXT(99400, "[$-0E0000]yyyy-mm-dd")</f>
        <v/>
      </c>
    </row>
    <row r="99402">
      <c r="A99402" s="1" t="n">
        <v>99401</v>
      </c>
      <c r="B99402">
        <f>TEXT(99401, "[$-0E0000]yyyy-mm-dd")</f>
        <v/>
      </c>
    </row>
    <row r="99403">
      <c r="A99403" s="1" t="n">
        <v>99402</v>
      </c>
      <c r="B99403">
        <f>TEXT(99402, "[$-0E0000]yyyy-mm-dd")</f>
        <v/>
      </c>
    </row>
    <row r="99404">
      <c r="A99404" s="1" t="n">
        <v>99403</v>
      </c>
      <c r="B99404">
        <f>TEXT(99403, "[$-0E0000]yyyy-mm-dd")</f>
        <v/>
      </c>
    </row>
    <row r="99405">
      <c r="A99405" s="1" t="n">
        <v>99404</v>
      </c>
      <c r="B99405">
        <f>TEXT(99404, "[$-0E0000]yyyy-mm-dd")</f>
        <v/>
      </c>
    </row>
    <row r="99406">
      <c r="A99406" s="1" t="n">
        <v>99405</v>
      </c>
      <c r="B99406">
        <f>TEXT(99405, "[$-0E0000]yyyy-mm-dd")</f>
        <v/>
      </c>
    </row>
    <row r="99407">
      <c r="A99407" s="1" t="n">
        <v>99406</v>
      </c>
      <c r="B99407">
        <f>TEXT(99406, "[$-0E0000]yyyy-mm-dd")</f>
        <v/>
      </c>
    </row>
    <row r="99408">
      <c r="A99408" s="1" t="n">
        <v>99407</v>
      </c>
      <c r="B99408">
        <f>TEXT(99407, "[$-0E0000]yyyy-mm-dd")</f>
        <v/>
      </c>
    </row>
    <row r="99409">
      <c r="A99409" s="1" t="n">
        <v>99408</v>
      </c>
      <c r="B99409">
        <f>TEXT(99408, "[$-0E0000]yyyy-mm-dd")</f>
        <v/>
      </c>
    </row>
    <row r="99410">
      <c r="A99410" s="1" t="n">
        <v>99409</v>
      </c>
      <c r="B99410">
        <f>TEXT(99409, "[$-0E0000]yyyy-mm-dd")</f>
        <v/>
      </c>
    </row>
    <row r="99411">
      <c r="A99411" s="1" t="n">
        <v>99410</v>
      </c>
      <c r="B99411">
        <f>TEXT(99410, "[$-0E0000]yyyy-mm-dd")</f>
        <v/>
      </c>
    </row>
    <row r="99412">
      <c r="A99412" s="1" t="n">
        <v>99411</v>
      </c>
      <c r="B99412">
        <f>TEXT(99411, "[$-0E0000]yyyy-mm-dd")</f>
        <v/>
      </c>
    </row>
    <row r="99413">
      <c r="A99413" s="1" t="n">
        <v>99412</v>
      </c>
      <c r="B99413">
        <f>TEXT(99412, "[$-0E0000]yyyy-mm-dd")</f>
        <v/>
      </c>
    </row>
    <row r="99414">
      <c r="A99414" s="1" t="n">
        <v>99413</v>
      </c>
      <c r="B99414">
        <f>TEXT(99413, "[$-0E0000]yyyy-mm-dd")</f>
        <v/>
      </c>
    </row>
    <row r="99415">
      <c r="A99415" s="1" t="n">
        <v>99414</v>
      </c>
      <c r="B99415">
        <f>TEXT(99414, "[$-0E0000]yyyy-mm-dd")</f>
        <v/>
      </c>
    </row>
    <row r="99416">
      <c r="A99416" s="1" t="n">
        <v>99415</v>
      </c>
      <c r="B99416">
        <f>TEXT(99415, "[$-0E0000]yyyy-mm-dd")</f>
        <v/>
      </c>
    </row>
    <row r="99417">
      <c r="A99417" s="1" t="n">
        <v>99416</v>
      </c>
      <c r="B99417">
        <f>TEXT(99416, "[$-0E0000]yyyy-mm-dd")</f>
        <v/>
      </c>
    </row>
    <row r="99418">
      <c r="A99418" s="1" t="n">
        <v>99417</v>
      </c>
      <c r="B99418">
        <f>TEXT(99417, "[$-0E0000]yyyy-mm-dd")</f>
        <v/>
      </c>
    </row>
    <row r="99419">
      <c r="A99419" s="1" t="n">
        <v>99418</v>
      </c>
      <c r="B99419">
        <f>TEXT(99418, "[$-0E0000]yyyy-mm-dd")</f>
        <v/>
      </c>
    </row>
    <row r="99420">
      <c r="A99420" s="1" t="n">
        <v>99419</v>
      </c>
      <c r="B99420">
        <f>TEXT(99419, "[$-0E0000]yyyy-mm-dd")</f>
        <v/>
      </c>
    </row>
    <row r="99421">
      <c r="A99421" s="1" t="n">
        <v>99420</v>
      </c>
      <c r="B99421">
        <f>TEXT(99420, "[$-0E0000]yyyy-mm-dd")</f>
        <v/>
      </c>
    </row>
    <row r="99422">
      <c r="A99422" s="1" t="n">
        <v>99421</v>
      </c>
      <c r="B99422">
        <f>TEXT(99421, "[$-0E0000]yyyy-mm-dd")</f>
        <v/>
      </c>
    </row>
    <row r="99423">
      <c r="A99423" s="1" t="n">
        <v>99422</v>
      </c>
      <c r="B99423">
        <f>TEXT(99422, "[$-0E0000]yyyy-mm-dd")</f>
        <v/>
      </c>
    </row>
    <row r="99424">
      <c r="A99424" s="1" t="n">
        <v>99423</v>
      </c>
      <c r="B99424">
        <f>TEXT(99423, "[$-0E0000]yyyy-mm-dd")</f>
        <v/>
      </c>
    </row>
    <row r="99425">
      <c r="A99425" s="1" t="n">
        <v>99424</v>
      </c>
      <c r="B99425">
        <f>TEXT(99424, "[$-0E0000]yyyy-mm-dd")</f>
        <v/>
      </c>
    </row>
    <row r="99426">
      <c r="A99426" s="1" t="n">
        <v>99425</v>
      </c>
      <c r="B99426">
        <f>TEXT(99425, "[$-0E0000]yyyy-mm-dd")</f>
        <v/>
      </c>
    </row>
    <row r="99427">
      <c r="A99427" s="1" t="n">
        <v>99426</v>
      </c>
      <c r="B99427">
        <f>TEXT(99426, "[$-0E0000]yyyy-mm-dd")</f>
        <v/>
      </c>
    </row>
    <row r="99428">
      <c r="A99428" s="1" t="n">
        <v>99427</v>
      </c>
      <c r="B99428">
        <f>TEXT(99427, "[$-0E0000]yyyy-mm-dd")</f>
        <v/>
      </c>
    </row>
    <row r="99429">
      <c r="A99429" s="1" t="n">
        <v>99428</v>
      </c>
      <c r="B99429">
        <f>TEXT(99428, "[$-0E0000]yyyy-mm-dd")</f>
        <v/>
      </c>
    </row>
    <row r="99430">
      <c r="A99430" s="1" t="n">
        <v>99429</v>
      </c>
      <c r="B99430">
        <f>TEXT(99429, "[$-0E0000]yyyy-mm-dd")</f>
        <v/>
      </c>
    </row>
    <row r="99431">
      <c r="A99431" s="1" t="n">
        <v>99430</v>
      </c>
      <c r="B99431">
        <f>TEXT(99430, "[$-0E0000]yyyy-mm-dd")</f>
        <v/>
      </c>
    </row>
    <row r="99432">
      <c r="A99432" s="1" t="n">
        <v>99431</v>
      </c>
      <c r="B99432">
        <f>TEXT(99431, "[$-0E0000]yyyy-mm-dd")</f>
        <v/>
      </c>
    </row>
    <row r="99433">
      <c r="A99433" s="1" t="n">
        <v>99432</v>
      </c>
      <c r="B99433">
        <f>TEXT(99432, "[$-0E0000]yyyy-mm-dd")</f>
        <v/>
      </c>
    </row>
    <row r="99434">
      <c r="A99434" s="1" t="n">
        <v>99433</v>
      </c>
      <c r="B99434">
        <f>TEXT(99433, "[$-0E0000]yyyy-mm-dd")</f>
        <v/>
      </c>
    </row>
    <row r="99435">
      <c r="A99435" s="1" t="n">
        <v>99434</v>
      </c>
      <c r="B99435">
        <f>TEXT(99434, "[$-0E0000]yyyy-mm-dd")</f>
        <v/>
      </c>
    </row>
    <row r="99436">
      <c r="A99436" s="1" t="n">
        <v>99435</v>
      </c>
      <c r="B99436">
        <f>TEXT(99435, "[$-0E0000]yyyy-mm-dd")</f>
        <v/>
      </c>
    </row>
    <row r="99437">
      <c r="A99437" s="1" t="n">
        <v>99436</v>
      </c>
      <c r="B99437">
        <f>TEXT(99436, "[$-0E0000]yyyy-mm-dd")</f>
        <v/>
      </c>
    </row>
    <row r="99438">
      <c r="A99438" s="1" t="n">
        <v>99437</v>
      </c>
      <c r="B99438">
        <f>TEXT(99437, "[$-0E0000]yyyy-mm-dd")</f>
        <v/>
      </c>
    </row>
    <row r="99439">
      <c r="A99439" s="1" t="n">
        <v>99438</v>
      </c>
      <c r="B99439">
        <f>TEXT(99438, "[$-0E0000]yyyy-mm-dd")</f>
        <v/>
      </c>
    </row>
    <row r="99440">
      <c r="A99440" s="1" t="n">
        <v>99439</v>
      </c>
      <c r="B99440">
        <f>TEXT(99439, "[$-0E0000]yyyy-mm-dd")</f>
        <v/>
      </c>
    </row>
    <row r="99441">
      <c r="A99441" s="1" t="n">
        <v>99440</v>
      </c>
      <c r="B99441">
        <f>TEXT(99440, "[$-0E0000]yyyy-mm-dd")</f>
        <v/>
      </c>
    </row>
    <row r="99442">
      <c r="A99442" s="1" t="n">
        <v>99441</v>
      </c>
      <c r="B99442">
        <f>TEXT(99441, "[$-0E0000]yyyy-mm-dd")</f>
        <v/>
      </c>
    </row>
    <row r="99443">
      <c r="A99443" s="1" t="n">
        <v>99442</v>
      </c>
      <c r="B99443">
        <f>TEXT(99442, "[$-0E0000]yyyy-mm-dd")</f>
        <v/>
      </c>
    </row>
    <row r="99444">
      <c r="A99444" s="1" t="n">
        <v>99443</v>
      </c>
      <c r="B99444">
        <f>TEXT(99443, "[$-0E0000]yyyy-mm-dd")</f>
        <v/>
      </c>
    </row>
    <row r="99445">
      <c r="A99445" s="1" t="n">
        <v>99444</v>
      </c>
      <c r="B99445">
        <f>TEXT(99444, "[$-0E0000]yyyy-mm-dd")</f>
        <v/>
      </c>
    </row>
    <row r="99446">
      <c r="A99446" s="1" t="n">
        <v>99445</v>
      </c>
      <c r="B99446">
        <f>TEXT(99445, "[$-0E0000]yyyy-mm-dd")</f>
        <v/>
      </c>
    </row>
    <row r="99447">
      <c r="A99447" s="1" t="n">
        <v>99446</v>
      </c>
      <c r="B99447">
        <f>TEXT(99446, "[$-0E0000]yyyy-mm-dd")</f>
        <v/>
      </c>
    </row>
    <row r="99448">
      <c r="A99448" s="1" t="n">
        <v>99447</v>
      </c>
      <c r="B99448">
        <f>TEXT(99447, "[$-0E0000]yyyy-mm-dd")</f>
        <v/>
      </c>
    </row>
    <row r="99449">
      <c r="A99449" s="1" t="n">
        <v>99448</v>
      </c>
      <c r="B99449">
        <f>TEXT(99448, "[$-0E0000]yyyy-mm-dd")</f>
        <v/>
      </c>
    </row>
    <row r="99450">
      <c r="A99450" s="1" t="n">
        <v>99449</v>
      </c>
      <c r="B99450">
        <f>TEXT(99449, "[$-0E0000]yyyy-mm-dd")</f>
        <v/>
      </c>
    </row>
    <row r="99451">
      <c r="A99451" s="1" t="n">
        <v>99450</v>
      </c>
      <c r="B99451">
        <f>TEXT(99450, "[$-0E0000]yyyy-mm-dd")</f>
        <v/>
      </c>
    </row>
    <row r="99452">
      <c r="A99452" s="1" t="n">
        <v>99451</v>
      </c>
      <c r="B99452">
        <f>TEXT(99451, "[$-0E0000]yyyy-mm-dd")</f>
        <v/>
      </c>
    </row>
    <row r="99453">
      <c r="A99453" s="1" t="n">
        <v>99452</v>
      </c>
      <c r="B99453">
        <f>TEXT(99452, "[$-0E0000]yyyy-mm-dd")</f>
        <v/>
      </c>
    </row>
    <row r="99454">
      <c r="A99454" s="1" t="n">
        <v>99453</v>
      </c>
      <c r="B99454">
        <f>TEXT(99453, "[$-0E0000]yyyy-mm-dd")</f>
        <v/>
      </c>
    </row>
    <row r="99455">
      <c r="A99455" s="1" t="n">
        <v>99454</v>
      </c>
      <c r="B99455">
        <f>TEXT(99454, "[$-0E0000]yyyy-mm-dd")</f>
        <v/>
      </c>
    </row>
    <row r="99456">
      <c r="A99456" s="1" t="n">
        <v>99455</v>
      </c>
      <c r="B99456">
        <f>TEXT(99455, "[$-0E0000]yyyy-mm-dd")</f>
        <v/>
      </c>
    </row>
    <row r="99457">
      <c r="A99457" s="1" t="n">
        <v>99456</v>
      </c>
      <c r="B99457">
        <f>TEXT(99456, "[$-0E0000]yyyy-mm-dd")</f>
        <v/>
      </c>
    </row>
    <row r="99458">
      <c r="A99458" s="1" t="n">
        <v>99457</v>
      </c>
      <c r="B99458">
        <f>TEXT(99457, "[$-0E0000]yyyy-mm-dd")</f>
        <v/>
      </c>
    </row>
    <row r="99459">
      <c r="A99459" s="1" t="n">
        <v>99458</v>
      </c>
      <c r="B99459">
        <f>TEXT(99458, "[$-0E0000]yyyy-mm-dd")</f>
        <v/>
      </c>
    </row>
    <row r="99460">
      <c r="A99460" s="1" t="n">
        <v>99459</v>
      </c>
      <c r="B99460">
        <f>TEXT(99459, "[$-0E0000]yyyy-mm-dd")</f>
        <v/>
      </c>
    </row>
    <row r="99461">
      <c r="A99461" s="1" t="n">
        <v>99460</v>
      </c>
      <c r="B99461">
        <f>TEXT(99460, "[$-0E0000]yyyy-mm-dd")</f>
        <v/>
      </c>
    </row>
    <row r="99462">
      <c r="A99462" s="1" t="n">
        <v>99461</v>
      </c>
      <c r="B99462">
        <f>TEXT(99461, "[$-0E0000]yyyy-mm-dd")</f>
        <v/>
      </c>
    </row>
    <row r="99463">
      <c r="A99463" s="1" t="n">
        <v>99462</v>
      </c>
      <c r="B99463">
        <f>TEXT(99462, "[$-0E0000]yyyy-mm-dd")</f>
        <v/>
      </c>
    </row>
    <row r="99464">
      <c r="A99464" s="1" t="n">
        <v>99463</v>
      </c>
      <c r="B99464">
        <f>TEXT(99463, "[$-0E0000]yyyy-mm-dd")</f>
        <v/>
      </c>
    </row>
    <row r="99465">
      <c r="A99465" s="1" t="n">
        <v>99464</v>
      </c>
      <c r="B99465">
        <f>TEXT(99464, "[$-0E0000]yyyy-mm-dd")</f>
        <v/>
      </c>
    </row>
    <row r="99466">
      <c r="A99466" s="1" t="n">
        <v>99465</v>
      </c>
      <c r="B99466">
        <f>TEXT(99465, "[$-0E0000]yyyy-mm-dd")</f>
        <v/>
      </c>
    </row>
    <row r="99467">
      <c r="A99467" s="1" t="n">
        <v>99466</v>
      </c>
      <c r="B99467">
        <f>TEXT(99466, "[$-0E0000]yyyy-mm-dd")</f>
        <v/>
      </c>
    </row>
    <row r="99468">
      <c r="A99468" s="1" t="n">
        <v>99467</v>
      </c>
      <c r="B99468">
        <f>TEXT(99467, "[$-0E0000]yyyy-mm-dd")</f>
        <v/>
      </c>
    </row>
    <row r="99469">
      <c r="A99469" s="1" t="n">
        <v>99468</v>
      </c>
      <c r="B99469">
        <f>TEXT(99468, "[$-0E0000]yyyy-mm-dd")</f>
        <v/>
      </c>
    </row>
    <row r="99470">
      <c r="A99470" s="1" t="n">
        <v>99469</v>
      </c>
      <c r="B99470">
        <f>TEXT(99469, "[$-0E0000]yyyy-mm-dd")</f>
        <v/>
      </c>
    </row>
    <row r="99471">
      <c r="A99471" s="1" t="n">
        <v>99470</v>
      </c>
      <c r="B99471">
        <f>TEXT(99470, "[$-0E0000]yyyy-mm-dd")</f>
        <v/>
      </c>
    </row>
    <row r="99472">
      <c r="A99472" s="1" t="n">
        <v>99471</v>
      </c>
      <c r="B99472">
        <f>TEXT(99471, "[$-0E0000]yyyy-mm-dd")</f>
        <v/>
      </c>
    </row>
    <row r="99473">
      <c r="A99473" s="1" t="n">
        <v>99472</v>
      </c>
      <c r="B99473">
        <f>TEXT(99472, "[$-0E0000]yyyy-mm-dd")</f>
        <v/>
      </c>
    </row>
    <row r="99474">
      <c r="A99474" s="1" t="n">
        <v>99473</v>
      </c>
      <c r="B99474">
        <f>TEXT(99473, "[$-0E0000]yyyy-mm-dd")</f>
        <v/>
      </c>
    </row>
    <row r="99475">
      <c r="A99475" s="1" t="n">
        <v>99474</v>
      </c>
      <c r="B99475">
        <f>TEXT(99474, "[$-0E0000]yyyy-mm-dd")</f>
        <v/>
      </c>
    </row>
    <row r="99476">
      <c r="A99476" s="1" t="n">
        <v>99475</v>
      </c>
      <c r="B99476">
        <f>TEXT(99475, "[$-0E0000]yyyy-mm-dd")</f>
        <v/>
      </c>
    </row>
    <row r="99477">
      <c r="A99477" s="1" t="n">
        <v>99476</v>
      </c>
      <c r="B99477">
        <f>TEXT(99476, "[$-0E0000]yyyy-mm-dd")</f>
        <v/>
      </c>
    </row>
    <row r="99478">
      <c r="A99478" s="1" t="n">
        <v>99477</v>
      </c>
      <c r="B99478">
        <f>TEXT(99477, "[$-0E0000]yyyy-mm-dd")</f>
        <v/>
      </c>
    </row>
    <row r="99479">
      <c r="A99479" s="1" t="n">
        <v>99478</v>
      </c>
      <c r="B99479">
        <f>TEXT(99478, "[$-0E0000]yyyy-mm-dd")</f>
        <v/>
      </c>
    </row>
    <row r="99480">
      <c r="A99480" s="1" t="n">
        <v>99479</v>
      </c>
      <c r="B99480">
        <f>TEXT(99479, "[$-0E0000]yyyy-mm-dd")</f>
        <v/>
      </c>
    </row>
    <row r="99481">
      <c r="A99481" s="1" t="n">
        <v>99480</v>
      </c>
      <c r="B99481">
        <f>TEXT(99480, "[$-0E0000]yyyy-mm-dd")</f>
        <v/>
      </c>
    </row>
    <row r="99482">
      <c r="A99482" s="1" t="n">
        <v>99481</v>
      </c>
      <c r="B99482">
        <f>TEXT(99481, "[$-0E0000]yyyy-mm-dd")</f>
        <v/>
      </c>
    </row>
    <row r="99483">
      <c r="A99483" s="1" t="n">
        <v>99482</v>
      </c>
      <c r="B99483">
        <f>TEXT(99482, "[$-0E0000]yyyy-mm-dd")</f>
        <v/>
      </c>
    </row>
    <row r="99484">
      <c r="A99484" s="1" t="n">
        <v>99483</v>
      </c>
      <c r="B99484">
        <f>TEXT(99483, "[$-0E0000]yyyy-mm-dd")</f>
        <v/>
      </c>
    </row>
    <row r="99485">
      <c r="A99485" s="1" t="n">
        <v>99484</v>
      </c>
      <c r="B99485">
        <f>TEXT(99484, "[$-0E0000]yyyy-mm-dd")</f>
        <v/>
      </c>
    </row>
    <row r="99486">
      <c r="A99486" s="1" t="n">
        <v>99485</v>
      </c>
      <c r="B99486">
        <f>TEXT(99485, "[$-0E0000]yyyy-mm-dd")</f>
        <v/>
      </c>
    </row>
    <row r="99487">
      <c r="A99487" s="1" t="n">
        <v>99486</v>
      </c>
      <c r="B99487">
        <f>TEXT(99486, "[$-0E0000]yyyy-mm-dd")</f>
        <v/>
      </c>
    </row>
    <row r="99488">
      <c r="A99488" s="1" t="n">
        <v>99487</v>
      </c>
      <c r="B99488">
        <f>TEXT(99487, "[$-0E0000]yyyy-mm-dd")</f>
        <v/>
      </c>
    </row>
    <row r="99489">
      <c r="A99489" s="1" t="n">
        <v>99488</v>
      </c>
      <c r="B99489">
        <f>TEXT(99488, "[$-0E0000]yyyy-mm-dd")</f>
        <v/>
      </c>
    </row>
    <row r="99490">
      <c r="A99490" s="1" t="n">
        <v>99489</v>
      </c>
      <c r="B99490">
        <f>TEXT(99489, "[$-0E0000]yyyy-mm-dd")</f>
        <v/>
      </c>
    </row>
    <row r="99491">
      <c r="A99491" s="1" t="n">
        <v>99490</v>
      </c>
      <c r="B99491">
        <f>TEXT(99490, "[$-0E0000]yyyy-mm-dd")</f>
        <v/>
      </c>
    </row>
    <row r="99492">
      <c r="A99492" s="1" t="n">
        <v>99491</v>
      </c>
      <c r="B99492">
        <f>TEXT(99491, "[$-0E0000]yyyy-mm-dd")</f>
        <v/>
      </c>
    </row>
    <row r="99493">
      <c r="A99493" s="1" t="n">
        <v>99492</v>
      </c>
      <c r="B99493">
        <f>TEXT(99492, "[$-0E0000]yyyy-mm-dd")</f>
        <v/>
      </c>
    </row>
    <row r="99494">
      <c r="A99494" s="1" t="n">
        <v>99493</v>
      </c>
      <c r="B99494">
        <f>TEXT(99493, "[$-0E0000]yyyy-mm-dd")</f>
        <v/>
      </c>
    </row>
    <row r="99495">
      <c r="A99495" s="1" t="n">
        <v>99494</v>
      </c>
      <c r="B99495">
        <f>TEXT(99494, "[$-0E0000]yyyy-mm-dd")</f>
        <v/>
      </c>
    </row>
    <row r="99496">
      <c r="A99496" s="1" t="n">
        <v>99495</v>
      </c>
      <c r="B99496">
        <f>TEXT(99495, "[$-0E0000]yyyy-mm-dd")</f>
        <v/>
      </c>
    </row>
    <row r="99497">
      <c r="A99497" s="1" t="n">
        <v>99496</v>
      </c>
      <c r="B99497">
        <f>TEXT(99496, "[$-0E0000]yyyy-mm-dd")</f>
        <v/>
      </c>
    </row>
    <row r="99498">
      <c r="A99498" s="1" t="n">
        <v>99497</v>
      </c>
      <c r="B99498">
        <f>TEXT(99497, "[$-0E0000]yyyy-mm-dd")</f>
        <v/>
      </c>
    </row>
    <row r="99499">
      <c r="A99499" s="1" t="n">
        <v>99498</v>
      </c>
      <c r="B99499">
        <f>TEXT(99498, "[$-0E0000]yyyy-mm-dd")</f>
        <v/>
      </c>
    </row>
    <row r="99500">
      <c r="A99500" s="1" t="n">
        <v>99499</v>
      </c>
      <c r="B99500">
        <f>TEXT(99499, "[$-0E0000]yyyy-mm-dd")</f>
        <v/>
      </c>
    </row>
    <row r="99501">
      <c r="A99501" s="1" t="n">
        <v>99500</v>
      </c>
      <c r="B99501">
        <f>TEXT(99500, "[$-0E0000]yyyy-mm-dd")</f>
        <v/>
      </c>
    </row>
    <row r="99502">
      <c r="A99502" s="1" t="n">
        <v>99501</v>
      </c>
      <c r="B99502">
        <f>TEXT(99501, "[$-0E0000]yyyy-mm-dd")</f>
        <v/>
      </c>
    </row>
    <row r="99503">
      <c r="A99503" s="1" t="n">
        <v>99502</v>
      </c>
      <c r="B99503">
        <f>TEXT(99502, "[$-0E0000]yyyy-mm-dd")</f>
        <v/>
      </c>
    </row>
    <row r="99504">
      <c r="A99504" s="1" t="n">
        <v>99503</v>
      </c>
      <c r="B99504">
        <f>TEXT(99503, "[$-0E0000]yyyy-mm-dd")</f>
        <v/>
      </c>
    </row>
    <row r="99505">
      <c r="A99505" s="1" t="n">
        <v>99504</v>
      </c>
      <c r="B99505">
        <f>TEXT(99504, "[$-0E0000]yyyy-mm-dd")</f>
        <v/>
      </c>
    </row>
    <row r="99506">
      <c r="A99506" s="1" t="n">
        <v>99505</v>
      </c>
      <c r="B99506">
        <f>TEXT(99505, "[$-0E0000]yyyy-mm-dd")</f>
        <v/>
      </c>
    </row>
    <row r="99507">
      <c r="A99507" s="1" t="n">
        <v>99506</v>
      </c>
      <c r="B99507">
        <f>TEXT(99506, "[$-0E0000]yyyy-mm-dd")</f>
        <v/>
      </c>
    </row>
    <row r="99508">
      <c r="A99508" s="1" t="n">
        <v>99507</v>
      </c>
      <c r="B99508">
        <f>TEXT(99507, "[$-0E0000]yyyy-mm-dd")</f>
        <v/>
      </c>
    </row>
    <row r="99509">
      <c r="A99509" s="1" t="n">
        <v>99508</v>
      </c>
      <c r="B99509">
        <f>TEXT(99508, "[$-0E0000]yyyy-mm-dd")</f>
        <v/>
      </c>
    </row>
    <row r="99510">
      <c r="A99510" s="1" t="n">
        <v>99509</v>
      </c>
      <c r="B99510">
        <f>TEXT(99509, "[$-0E0000]yyyy-mm-dd")</f>
        <v/>
      </c>
    </row>
    <row r="99511">
      <c r="A99511" s="1" t="n">
        <v>99510</v>
      </c>
      <c r="B99511">
        <f>TEXT(99510, "[$-0E0000]yyyy-mm-dd")</f>
        <v/>
      </c>
    </row>
    <row r="99512">
      <c r="A99512" s="1" t="n">
        <v>99511</v>
      </c>
      <c r="B99512">
        <f>TEXT(99511, "[$-0E0000]yyyy-mm-dd")</f>
        <v/>
      </c>
    </row>
    <row r="99513">
      <c r="A99513" s="1" t="n">
        <v>99512</v>
      </c>
      <c r="B99513">
        <f>TEXT(99512, "[$-0E0000]yyyy-mm-dd")</f>
        <v/>
      </c>
    </row>
    <row r="99514">
      <c r="A99514" s="1" t="n">
        <v>99513</v>
      </c>
      <c r="B99514">
        <f>TEXT(99513, "[$-0E0000]yyyy-mm-dd")</f>
        <v/>
      </c>
    </row>
    <row r="99515">
      <c r="A99515" s="1" t="n">
        <v>99514</v>
      </c>
      <c r="B99515">
        <f>TEXT(99514, "[$-0E0000]yyyy-mm-dd")</f>
        <v/>
      </c>
    </row>
    <row r="99516">
      <c r="A99516" s="1" t="n">
        <v>99515</v>
      </c>
      <c r="B99516">
        <f>TEXT(99515, "[$-0E0000]yyyy-mm-dd")</f>
        <v/>
      </c>
    </row>
    <row r="99517">
      <c r="A99517" s="1" t="n">
        <v>99516</v>
      </c>
      <c r="B99517">
        <f>TEXT(99516, "[$-0E0000]yyyy-mm-dd")</f>
        <v/>
      </c>
    </row>
    <row r="99518">
      <c r="A99518" s="1" t="n">
        <v>99517</v>
      </c>
      <c r="B99518">
        <f>TEXT(99517, "[$-0E0000]yyyy-mm-dd")</f>
        <v/>
      </c>
    </row>
    <row r="99519">
      <c r="A99519" s="1" t="n">
        <v>99518</v>
      </c>
      <c r="B99519">
        <f>TEXT(99518, "[$-0E0000]yyyy-mm-dd")</f>
        <v/>
      </c>
    </row>
    <row r="99520">
      <c r="A99520" s="1" t="n">
        <v>99519</v>
      </c>
      <c r="B99520">
        <f>TEXT(99519, "[$-0E0000]yyyy-mm-dd")</f>
        <v/>
      </c>
    </row>
    <row r="99521">
      <c r="A99521" s="1" t="n">
        <v>99520</v>
      </c>
      <c r="B99521">
        <f>TEXT(99520, "[$-0E0000]yyyy-mm-dd")</f>
        <v/>
      </c>
    </row>
    <row r="99522">
      <c r="A99522" s="1" t="n">
        <v>99521</v>
      </c>
      <c r="B99522">
        <f>TEXT(99521, "[$-0E0000]yyyy-mm-dd")</f>
        <v/>
      </c>
    </row>
    <row r="99523">
      <c r="A99523" s="1" t="n">
        <v>99522</v>
      </c>
      <c r="B99523">
        <f>TEXT(99522, "[$-0E0000]yyyy-mm-dd")</f>
        <v/>
      </c>
    </row>
    <row r="99524">
      <c r="A99524" s="1" t="n">
        <v>99523</v>
      </c>
      <c r="B99524">
        <f>TEXT(99523, "[$-0E0000]yyyy-mm-dd")</f>
        <v/>
      </c>
    </row>
    <row r="99525">
      <c r="A99525" s="1" t="n">
        <v>99524</v>
      </c>
      <c r="B99525">
        <f>TEXT(99524, "[$-0E0000]yyyy-mm-dd")</f>
        <v/>
      </c>
    </row>
    <row r="99526">
      <c r="A99526" s="1" t="n">
        <v>99525</v>
      </c>
      <c r="B99526">
        <f>TEXT(99525, "[$-0E0000]yyyy-mm-dd")</f>
        <v/>
      </c>
    </row>
    <row r="99527">
      <c r="A99527" s="1" t="n">
        <v>99526</v>
      </c>
      <c r="B99527">
        <f>TEXT(99526, "[$-0E0000]yyyy-mm-dd")</f>
        <v/>
      </c>
    </row>
    <row r="99528">
      <c r="A99528" s="1" t="n">
        <v>99527</v>
      </c>
      <c r="B99528">
        <f>TEXT(99527, "[$-0E0000]yyyy-mm-dd")</f>
        <v/>
      </c>
    </row>
    <row r="99529">
      <c r="A99529" s="1" t="n">
        <v>99528</v>
      </c>
      <c r="B99529">
        <f>TEXT(99528, "[$-0E0000]yyyy-mm-dd")</f>
        <v/>
      </c>
    </row>
    <row r="99530">
      <c r="A99530" s="1" t="n">
        <v>99529</v>
      </c>
      <c r="B99530">
        <f>TEXT(99529, "[$-0E0000]yyyy-mm-dd")</f>
        <v/>
      </c>
    </row>
    <row r="99531">
      <c r="A99531" s="1" t="n">
        <v>99530</v>
      </c>
      <c r="B99531">
        <f>TEXT(99530, "[$-0E0000]yyyy-mm-dd")</f>
        <v/>
      </c>
    </row>
    <row r="99532">
      <c r="A99532" s="1" t="n">
        <v>99531</v>
      </c>
      <c r="B99532">
        <f>TEXT(99531, "[$-0E0000]yyyy-mm-dd")</f>
        <v/>
      </c>
    </row>
    <row r="99533">
      <c r="A99533" s="1" t="n">
        <v>99532</v>
      </c>
      <c r="B99533">
        <f>TEXT(99532, "[$-0E0000]yyyy-mm-dd")</f>
        <v/>
      </c>
    </row>
    <row r="99534">
      <c r="A99534" s="1" t="n">
        <v>99533</v>
      </c>
      <c r="B99534">
        <f>TEXT(99533, "[$-0E0000]yyyy-mm-dd")</f>
        <v/>
      </c>
    </row>
    <row r="99535">
      <c r="A99535" s="1" t="n">
        <v>99534</v>
      </c>
      <c r="B99535">
        <f>TEXT(99534, "[$-0E0000]yyyy-mm-dd")</f>
        <v/>
      </c>
    </row>
    <row r="99536">
      <c r="A99536" s="1" t="n">
        <v>99535</v>
      </c>
      <c r="B99536">
        <f>TEXT(99535, "[$-0E0000]yyyy-mm-dd")</f>
        <v/>
      </c>
    </row>
    <row r="99537">
      <c r="A99537" s="1" t="n">
        <v>99536</v>
      </c>
      <c r="B99537">
        <f>TEXT(99536, "[$-0E0000]yyyy-mm-dd")</f>
        <v/>
      </c>
    </row>
    <row r="99538">
      <c r="A99538" s="1" t="n">
        <v>99537</v>
      </c>
      <c r="B99538">
        <f>TEXT(99537, "[$-0E0000]yyyy-mm-dd")</f>
        <v/>
      </c>
    </row>
    <row r="99539">
      <c r="A99539" s="1" t="n">
        <v>99538</v>
      </c>
      <c r="B99539">
        <f>TEXT(99538, "[$-0E0000]yyyy-mm-dd")</f>
        <v/>
      </c>
    </row>
    <row r="99540">
      <c r="A99540" s="1" t="n">
        <v>99539</v>
      </c>
      <c r="B99540">
        <f>TEXT(99539, "[$-0E0000]yyyy-mm-dd")</f>
        <v/>
      </c>
    </row>
    <row r="99541">
      <c r="A99541" s="1" t="n">
        <v>99540</v>
      </c>
      <c r="B99541">
        <f>TEXT(99540, "[$-0E0000]yyyy-mm-dd")</f>
        <v/>
      </c>
    </row>
    <row r="99542">
      <c r="A99542" s="1" t="n">
        <v>99541</v>
      </c>
      <c r="B99542">
        <f>TEXT(99541, "[$-0E0000]yyyy-mm-dd")</f>
        <v/>
      </c>
    </row>
    <row r="99543">
      <c r="A99543" s="1" t="n">
        <v>99542</v>
      </c>
      <c r="B99543">
        <f>TEXT(99542, "[$-0E0000]yyyy-mm-dd")</f>
        <v/>
      </c>
    </row>
    <row r="99544">
      <c r="A99544" s="1" t="n">
        <v>99543</v>
      </c>
      <c r="B99544">
        <f>TEXT(99543, "[$-0E0000]yyyy-mm-dd")</f>
        <v/>
      </c>
    </row>
    <row r="99545">
      <c r="A99545" s="1" t="n">
        <v>99544</v>
      </c>
      <c r="B99545">
        <f>TEXT(99544, "[$-0E0000]yyyy-mm-dd")</f>
        <v/>
      </c>
    </row>
    <row r="99546">
      <c r="A99546" s="1" t="n">
        <v>99545</v>
      </c>
      <c r="B99546">
        <f>TEXT(99545, "[$-0E0000]yyyy-mm-dd")</f>
        <v/>
      </c>
    </row>
    <row r="99547">
      <c r="A99547" s="1" t="n">
        <v>99546</v>
      </c>
      <c r="B99547">
        <f>TEXT(99546, "[$-0E0000]yyyy-mm-dd")</f>
        <v/>
      </c>
    </row>
    <row r="99548">
      <c r="A99548" s="1" t="n">
        <v>99547</v>
      </c>
      <c r="B99548">
        <f>TEXT(99547, "[$-0E0000]yyyy-mm-dd")</f>
        <v/>
      </c>
    </row>
    <row r="99549">
      <c r="A99549" s="1" t="n">
        <v>99548</v>
      </c>
      <c r="B99549">
        <f>TEXT(99548, "[$-0E0000]yyyy-mm-dd")</f>
        <v/>
      </c>
    </row>
    <row r="99550">
      <c r="A99550" s="1" t="n">
        <v>99549</v>
      </c>
      <c r="B99550">
        <f>TEXT(99549, "[$-0E0000]yyyy-mm-dd")</f>
        <v/>
      </c>
    </row>
    <row r="99551">
      <c r="A99551" s="1" t="n">
        <v>99550</v>
      </c>
      <c r="B99551">
        <f>TEXT(99550, "[$-0E0000]yyyy-mm-dd")</f>
        <v/>
      </c>
    </row>
    <row r="99552">
      <c r="A99552" s="1" t="n">
        <v>99551</v>
      </c>
      <c r="B99552">
        <f>TEXT(99551, "[$-0E0000]yyyy-mm-dd")</f>
        <v/>
      </c>
    </row>
    <row r="99553">
      <c r="A99553" s="1" t="n">
        <v>99552</v>
      </c>
      <c r="B99553">
        <f>TEXT(99552, "[$-0E0000]yyyy-mm-dd")</f>
        <v/>
      </c>
    </row>
    <row r="99554">
      <c r="A99554" s="1" t="n">
        <v>99553</v>
      </c>
      <c r="B99554">
        <f>TEXT(99553, "[$-0E0000]yyyy-mm-dd")</f>
        <v/>
      </c>
    </row>
    <row r="99555">
      <c r="A99555" s="1" t="n">
        <v>99554</v>
      </c>
      <c r="B99555">
        <f>TEXT(99554, "[$-0E0000]yyyy-mm-dd")</f>
        <v/>
      </c>
    </row>
    <row r="99556">
      <c r="A99556" s="1" t="n">
        <v>99555</v>
      </c>
      <c r="B99556">
        <f>TEXT(99555, "[$-0E0000]yyyy-mm-dd")</f>
        <v/>
      </c>
    </row>
    <row r="99557">
      <c r="A99557" s="1" t="n">
        <v>99556</v>
      </c>
      <c r="B99557">
        <f>TEXT(99556, "[$-0E0000]yyyy-mm-dd")</f>
        <v/>
      </c>
    </row>
    <row r="99558">
      <c r="A99558" s="1" t="n">
        <v>99557</v>
      </c>
      <c r="B99558">
        <f>TEXT(99557, "[$-0E0000]yyyy-mm-dd")</f>
        <v/>
      </c>
    </row>
    <row r="99559">
      <c r="A99559" s="1" t="n">
        <v>99558</v>
      </c>
      <c r="B99559">
        <f>TEXT(99558, "[$-0E0000]yyyy-mm-dd")</f>
        <v/>
      </c>
    </row>
    <row r="99560">
      <c r="A99560" s="1" t="n">
        <v>99559</v>
      </c>
      <c r="B99560">
        <f>TEXT(99559, "[$-0E0000]yyyy-mm-dd")</f>
        <v/>
      </c>
    </row>
    <row r="99561">
      <c r="A99561" s="1" t="n">
        <v>99560</v>
      </c>
      <c r="B99561">
        <f>TEXT(99560, "[$-0E0000]yyyy-mm-dd")</f>
        <v/>
      </c>
    </row>
    <row r="99562">
      <c r="A99562" s="1" t="n">
        <v>99561</v>
      </c>
      <c r="B99562">
        <f>TEXT(99561, "[$-0E0000]yyyy-mm-dd")</f>
        <v/>
      </c>
    </row>
    <row r="99563">
      <c r="A99563" s="1" t="n">
        <v>99562</v>
      </c>
      <c r="B99563">
        <f>TEXT(99562, "[$-0E0000]yyyy-mm-dd")</f>
        <v/>
      </c>
    </row>
    <row r="99564">
      <c r="A99564" s="1" t="n">
        <v>99563</v>
      </c>
      <c r="B99564">
        <f>TEXT(99563, "[$-0E0000]yyyy-mm-dd")</f>
        <v/>
      </c>
    </row>
    <row r="99565">
      <c r="A99565" s="1" t="n">
        <v>99564</v>
      </c>
      <c r="B99565">
        <f>TEXT(99564, "[$-0E0000]yyyy-mm-dd")</f>
        <v/>
      </c>
    </row>
    <row r="99566">
      <c r="A99566" s="1" t="n">
        <v>99565</v>
      </c>
      <c r="B99566">
        <f>TEXT(99565, "[$-0E0000]yyyy-mm-dd")</f>
        <v/>
      </c>
    </row>
    <row r="99567">
      <c r="A99567" s="1" t="n">
        <v>99566</v>
      </c>
      <c r="B99567">
        <f>TEXT(99566, "[$-0E0000]yyyy-mm-dd")</f>
        <v/>
      </c>
    </row>
    <row r="99568">
      <c r="A99568" s="1" t="n">
        <v>99567</v>
      </c>
      <c r="B99568">
        <f>TEXT(99567, "[$-0E0000]yyyy-mm-dd")</f>
        <v/>
      </c>
    </row>
    <row r="99569">
      <c r="A99569" s="1" t="n">
        <v>99568</v>
      </c>
      <c r="B99569">
        <f>TEXT(99568, "[$-0E0000]yyyy-mm-dd")</f>
        <v/>
      </c>
    </row>
    <row r="99570">
      <c r="A99570" s="1" t="n">
        <v>99569</v>
      </c>
      <c r="B99570">
        <f>TEXT(99569, "[$-0E0000]yyyy-mm-dd")</f>
        <v/>
      </c>
    </row>
    <row r="99571">
      <c r="A99571" s="1" t="n">
        <v>99570</v>
      </c>
      <c r="B99571">
        <f>TEXT(99570, "[$-0E0000]yyyy-mm-dd")</f>
        <v/>
      </c>
    </row>
    <row r="99572">
      <c r="A99572" s="1" t="n">
        <v>99571</v>
      </c>
      <c r="B99572">
        <f>TEXT(99571, "[$-0E0000]yyyy-mm-dd")</f>
        <v/>
      </c>
    </row>
    <row r="99573">
      <c r="A99573" s="1" t="n">
        <v>99572</v>
      </c>
      <c r="B99573">
        <f>TEXT(99572, "[$-0E0000]yyyy-mm-dd")</f>
        <v/>
      </c>
    </row>
    <row r="99574">
      <c r="A99574" s="1" t="n">
        <v>99573</v>
      </c>
      <c r="B99574">
        <f>TEXT(99573, "[$-0E0000]yyyy-mm-dd")</f>
        <v/>
      </c>
    </row>
    <row r="99575">
      <c r="A99575" s="1" t="n">
        <v>99574</v>
      </c>
      <c r="B99575">
        <f>TEXT(99574, "[$-0E0000]yyyy-mm-dd")</f>
        <v/>
      </c>
    </row>
    <row r="99576">
      <c r="A99576" s="1" t="n">
        <v>99575</v>
      </c>
      <c r="B99576">
        <f>TEXT(99575, "[$-0E0000]yyyy-mm-dd")</f>
        <v/>
      </c>
    </row>
    <row r="99577">
      <c r="A99577" s="1" t="n">
        <v>99576</v>
      </c>
      <c r="B99577">
        <f>TEXT(99576, "[$-0E0000]yyyy-mm-dd")</f>
        <v/>
      </c>
    </row>
    <row r="99578">
      <c r="A99578" s="1" t="n">
        <v>99577</v>
      </c>
      <c r="B99578">
        <f>TEXT(99577, "[$-0E0000]yyyy-mm-dd")</f>
        <v/>
      </c>
    </row>
    <row r="99579">
      <c r="A99579" s="1" t="n">
        <v>99578</v>
      </c>
      <c r="B99579">
        <f>TEXT(99578, "[$-0E0000]yyyy-mm-dd")</f>
        <v/>
      </c>
    </row>
    <row r="99580">
      <c r="A99580" s="1" t="n">
        <v>99579</v>
      </c>
      <c r="B99580">
        <f>TEXT(99579, "[$-0E0000]yyyy-mm-dd")</f>
        <v/>
      </c>
    </row>
    <row r="99581">
      <c r="A99581" s="1" t="n">
        <v>99580</v>
      </c>
      <c r="B99581">
        <f>TEXT(99580, "[$-0E0000]yyyy-mm-dd")</f>
        <v/>
      </c>
    </row>
    <row r="99582">
      <c r="A99582" s="1" t="n">
        <v>99581</v>
      </c>
      <c r="B99582">
        <f>TEXT(99581, "[$-0E0000]yyyy-mm-dd")</f>
        <v/>
      </c>
    </row>
    <row r="99583">
      <c r="A99583" s="1" t="n">
        <v>99582</v>
      </c>
      <c r="B99583">
        <f>TEXT(99582, "[$-0E0000]yyyy-mm-dd")</f>
        <v/>
      </c>
    </row>
    <row r="99584">
      <c r="A99584" s="1" t="n">
        <v>99583</v>
      </c>
      <c r="B99584">
        <f>TEXT(99583, "[$-0E0000]yyyy-mm-dd")</f>
        <v/>
      </c>
    </row>
    <row r="99585">
      <c r="A99585" s="1" t="n">
        <v>99584</v>
      </c>
      <c r="B99585">
        <f>TEXT(99584, "[$-0E0000]yyyy-mm-dd")</f>
        <v/>
      </c>
    </row>
    <row r="99586">
      <c r="A99586" s="1" t="n">
        <v>99585</v>
      </c>
      <c r="B99586">
        <f>TEXT(99585, "[$-0E0000]yyyy-mm-dd")</f>
        <v/>
      </c>
    </row>
    <row r="99587">
      <c r="A99587" s="1" t="n">
        <v>99586</v>
      </c>
      <c r="B99587">
        <f>TEXT(99586, "[$-0E0000]yyyy-mm-dd")</f>
        <v/>
      </c>
    </row>
    <row r="99588">
      <c r="A99588" s="1" t="n">
        <v>99587</v>
      </c>
      <c r="B99588">
        <f>TEXT(99587, "[$-0E0000]yyyy-mm-dd")</f>
        <v/>
      </c>
    </row>
    <row r="99589">
      <c r="A99589" s="1" t="n">
        <v>99588</v>
      </c>
      <c r="B99589">
        <f>TEXT(99588, "[$-0E0000]yyyy-mm-dd")</f>
        <v/>
      </c>
    </row>
    <row r="99590">
      <c r="A99590" s="1" t="n">
        <v>99589</v>
      </c>
      <c r="B99590">
        <f>TEXT(99589, "[$-0E0000]yyyy-mm-dd")</f>
        <v/>
      </c>
    </row>
    <row r="99591">
      <c r="A99591" s="1" t="n">
        <v>99590</v>
      </c>
      <c r="B99591">
        <f>TEXT(99590, "[$-0E0000]yyyy-mm-dd")</f>
        <v/>
      </c>
    </row>
    <row r="99592">
      <c r="A99592" s="1" t="n">
        <v>99591</v>
      </c>
      <c r="B99592">
        <f>TEXT(99591, "[$-0E0000]yyyy-mm-dd")</f>
        <v/>
      </c>
    </row>
    <row r="99593">
      <c r="A99593" s="1" t="n">
        <v>99592</v>
      </c>
      <c r="B99593">
        <f>TEXT(99592, "[$-0E0000]yyyy-mm-dd")</f>
        <v/>
      </c>
    </row>
    <row r="99594">
      <c r="A99594" s="1" t="n">
        <v>99593</v>
      </c>
      <c r="B99594">
        <f>TEXT(99593, "[$-0E0000]yyyy-mm-dd")</f>
        <v/>
      </c>
    </row>
    <row r="99595">
      <c r="A99595" s="1" t="n">
        <v>99594</v>
      </c>
      <c r="B99595">
        <f>TEXT(99594, "[$-0E0000]yyyy-mm-dd")</f>
        <v/>
      </c>
    </row>
    <row r="99596">
      <c r="A99596" s="1" t="n">
        <v>99595</v>
      </c>
      <c r="B99596">
        <f>TEXT(99595, "[$-0E0000]yyyy-mm-dd")</f>
        <v/>
      </c>
    </row>
    <row r="99597">
      <c r="A99597" s="1" t="n">
        <v>99596</v>
      </c>
      <c r="B99597">
        <f>TEXT(99596, "[$-0E0000]yyyy-mm-dd")</f>
        <v/>
      </c>
    </row>
    <row r="99598">
      <c r="A99598" s="1" t="n">
        <v>99597</v>
      </c>
      <c r="B99598">
        <f>TEXT(99597, "[$-0E0000]yyyy-mm-dd")</f>
        <v/>
      </c>
    </row>
    <row r="99599">
      <c r="A99599" s="1" t="n">
        <v>99598</v>
      </c>
      <c r="B99599">
        <f>TEXT(99598, "[$-0E0000]yyyy-mm-dd")</f>
        <v/>
      </c>
    </row>
    <row r="99600">
      <c r="A99600" s="1" t="n">
        <v>99599</v>
      </c>
      <c r="B99600">
        <f>TEXT(99599, "[$-0E0000]yyyy-mm-dd")</f>
        <v/>
      </c>
    </row>
    <row r="99601">
      <c r="A99601" s="1" t="n">
        <v>99600</v>
      </c>
      <c r="B99601">
        <f>TEXT(99600, "[$-0E0000]yyyy-mm-dd")</f>
        <v/>
      </c>
    </row>
    <row r="99602">
      <c r="A99602" s="1" t="n">
        <v>99601</v>
      </c>
      <c r="B99602">
        <f>TEXT(99601, "[$-0E0000]yyyy-mm-dd")</f>
        <v/>
      </c>
    </row>
    <row r="99603">
      <c r="A99603" s="1" t="n">
        <v>99602</v>
      </c>
      <c r="B99603">
        <f>TEXT(99602, "[$-0E0000]yyyy-mm-dd")</f>
        <v/>
      </c>
    </row>
    <row r="99604">
      <c r="A99604" s="1" t="n">
        <v>99603</v>
      </c>
      <c r="B99604">
        <f>TEXT(99603, "[$-0E0000]yyyy-mm-dd")</f>
        <v/>
      </c>
    </row>
    <row r="99605">
      <c r="A99605" s="1" t="n">
        <v>99604</v>
      </c>
      <c r="B99605">
        <f>TEXT(99604, "[$-0E0000]yyyy-mm-dd")</f>
        <v/>
      </c>
    </row>
    <row r="99606">
      <c r="A99606" s="1" t="n">
        <v>99605</v>
      </c>
      <c r="B99606">
        <f>TEXT(99605, "[$-0E0000]yyyy-mm-dd")</f>
        <v/>
      </c>
    </row>
    <row r="99607">
      <c r="A99607" s="1" t="n">
        <v>99606</v>
      </c>
      <c r="B99607">
        <f>TEXT(99606, "[$-0E0000]yyyy-mm-dd")</f>
        <v/>
      </c>
    </row>
    <row r="99608">
      <c r="A99608" s="1" t="n">
        <v>99607</v>
      </c>
      <c r="B99608">
        <f>TEXT(99607, "[$-0E0000]yyyy-mm-dd")</f>
        <v/>
      </c>
    </row>
    <row r="99609">
      <c r="A99609" s="1" t="n">
        <v>99608</v>
      </c>
      <c r="B99609">
        <f>TEXT(99608, "[$-0E0000]yyyy-mm-dd")</f>
        <v/>
      </c>
    </row>
    <row r="99610">
      <c r="A99610" s="1" t="n">
        <v>99609</v>
      </c>
      <c r="B99610">
        <f>TEXT(99609, "[$-0E0000]yyyy-mm-dd")</f>
        <v/>
      </c>
    </row>
    <row r="99611">
      <c r="A99611" s="1" t="n">
        <v>99610</v>
      </c>
      <c r="B99611">
        <f>TEXT(99610, "[$-0E0000]yyyy-mm-dd")</f>
        <v/>
      </c>
    </row>
    <row r="99612">
      <c r="A99612" s="1" t="n">
        <v>99611</v>
      </c>
      <c r="B99612">
        <f>TEXT(99611, "[$-0E0000]yyyy-mm-dd")</f>
        <v/>
      </c>
    </row>
    <row r="99613">
      <c r="A99613" s="1" t="n">
        <v>99612</v>
      </c>
      <c r="B99613">
        <f>TEXT(99612, "[$-0E0000]yyyy-mm-dd")</f>
        <v/>
      </c>
    </row>
    <row r="99614">
      <c r="A99614" s="1" t="n">
        <v>99613</v>
      </c>
      <c r="B99614">
        <f>TEXT(99613, "[$-0E0000]yyyy-mm-dd")</f>
        <v/>
      </c>
    </row>
    <row r="99615">
      <c r="A99615" s="1" t="n">
        <v>99614</v>
      </c>
      <c r="B99615">
        <f>TEXT(99614, "[$-0E0000]yyyy-mm-dd")</f>
        <v/>
      </c>
    </row>
    <row r="99616">
      <c r="A99616" s="1" t="n">
        <v>99615</v>
      </c>
      <c r="B99616">
        <f>TEXT(99615, "[$-0E0000]yyyy-mm-dd")</f>
        <v/>
      </c>
    </row>
    <row r="99617">
      <c r="A99617" s="1" t="n">
        <v>99616</v>
      </c>
      <c r="B99617">
        <f>TEXT(99616, "[$-0E0000]yyyy-mm-dd")</f>
        <v/>
      </c>
    </row>
    <row r="99618">
      <c r="A99618" s="1" t="n">
        <v>99617</v>
      </c>
      <c r="B99618">
        <f>TEXT(99617, "[$-0E0000]yyyy-mm-dd")</f>
        <v/>
      </c>
    </row>
    <row r="99619">
      <c r="A99619" s="1" t="n">
        <v>99618</v>
      </c>
      <c r="B99619">
        <f>TEXT(99618, "[$-0E0000]yyyy-mm-dd")</f>
        <v/>
      </c>
    </row>
    <row r="99620">
      <c r="A99620" s="1" t="n">
        <v>99619</v>
      </c>
      <c r="B99620">
        <f>TEXT(99619, "[$-0E0000]yyyy-mm-dd")</f>
        <v/>
      </c>
    </row>
    <row r="99621">
      <c r="A99621" s="1" t="n">
        <v>99620</v>
      </c>
      <c r="B99621">
        <f>TEXT(99620, "[$-0E0000]yyyy-mm-dd")</f>
        <v/>
      </c>
    </row>
    <row r="99622">
      <c r="A99622" s="1" t="n">
        <v>99621</v>
      </c>
      <c r="B99622">
        <f>TEXT(99621, "[$-0E0000]yyyy-mm-dd")</f>
        <v/>
      </c>
    </row>
    <row r="99623">
      <c r="A99623" s="1" t="n">
        <v>99622</v>
      </c>
      <c r="B99623">
        <f>TEXT(99622, "[$-0E0000]yyyy-mm-dd")</f>
        <v/>
      </c>
    </row>
    <row r="99624">
      <c r="A99624" s="1" t="n">
        <v>99623</v>
      </c>
      <c r="B99624">
        <f>TEXT(99623, "[$-0E0000]yyyy-mm-dd")</f>
        <v/>
      </c>
    </row>
    <row r="99625">
      <c r="A99625" s="1" t="n">
        <v>99624</v>
      </c>
      <c r="B99625">
        <f>TEXT(99624, "[$-0E0000]yyyy-mm-dd")</f>
        <v/>
      </c>
    </row>
    <row r="99626">
      <c r="A99626" s="1" t="n">
        <v>99625</v>
      </c>
      <c r="B99626">
        <f>TEXT(99625, "[$-0E0000]yyyy-mm-dd")</f>
        <v/>
      </c>
    </row>
    <row r="99627">
      <c r="A99627" s="1" t="n">
        <v>99626</v>
      </c>
      <c r="B99627">
        <f>TEXT(99626, "[$-0E0000]yyyy-mm-dd")</f>
        <v/>
      </c>
    </row>
    <row r="99628">
      <c r="A99628" s="1" t="n">
        <v>99627</v>
      </c>
      <c r="B99628">
        <f>TEXT(99627, "[$-0E0000]yyyy-mm-dd")</f>
        <v/>
      </c>
    </row>
    <row r="99629">
      <c r="A99629" s="1" t="n">
        <v>99628</v>
      </c>
      <c r="B99629">
        <f>TEXT(99628, "[$-0E0000]yyyy-mm-dd")</f>
        <v/>
      </c>
    </row>
    <row r="99630">
      <c r="A99630" s="1" t="n">
        <v>99629</v>
      </c>
      <c r="B99630">
        <f>TEXT(99629, "[$-0E0000]yyyy-mm-dd")</f>
        <v/>
      </c>
    </row>
    <row r="99631">
      <c r="A99631" s="1" t="n">
        <v>99630</v>
      </c>
      <c r="B99631">
        <f>TEXT(99630, "[$-0E0000]yyyy-mm-dd")</f>
        <v/>
      </c>
    </row>
    <row r="99632">
      <c r="A99632" s="1" t="n">
        <v>99631</v>
      </c>
      <c r="B99632">
        <f>TEXT(99631, "[$-0E0000]yyyy-mm-dd")</f>
        <v/>
      </c>
    </row>
    <row r="99633">
      <c r="A99633" s="1" t="n">
        <v>99632</v>
      </c>
      <c r="B99633">
        <f>TEXT(99632, "[$-0E0000]yyyy-mm-dd")</f>
        <v/>
      </c>
    </row>
    <row r="99634">
      <c r="A99634" s="1" t="n">
        <v>99633</v>
      </c>
      <c r="B99634">
        <f>TEXT(99633, "[$-0E0000]yyyy-mm-dd")</f>
        <v/>
      </c>
    </row>
    <row r="99635">
      <c r="A99635" s="1" t="n">
        <v>99634</v>
      </c>
      <c r="B99635">
        <f>TEXT(99634, "[$-0E0000]yyyy-mm-dd")</f>
        <v/>
      </c>
    </row>
    <row r="99636">
      <c r="A99636" s="1" t="n">
        <v>99635</v>
      </c>
      <c r="B99636">
        <f>TEXT(99635, "[$-0E0000]yyyy-mm-dd")</f>
        <v/>
      </c>
    </row>
    <row r="99637">
      <c r="A99637" s="1" t="n">
        <v>99636</v>
      </c>
      <c r="B99637">
        <f>TEXT(99636, "[$-0E0000]yyyy-mm-dd")</f>
        <v/>
      </c>
    </row>
    <row r="99638">
      <c r="A99638" s="1" t="n">
        <v>99637</v>
      </c>
      <c r="B99638">
        <f>TEXT(99637, "[$-0E0000]yyyy-mm-dd")</f>
        <v/>
      </c>
    </row>
    <row r="99639">
      <c r="A99639" s="1" t="n">
        <v>99638</v>
      </c>
      <c r="B99639">
        <f>TEXT(99638, "[$-0E0000]yyyy-mm-dd")</f>
        <v/>
      </c>
    </row>
    <row r="99640">
      <c r="A99640" s="1" t="n">
        <v>99639</v>
      </c>
      <c r="B99640">
        <f>TEXT(99639, "[$-0E0000]yyyy-mm-dd")</f>
        <v/>
      </c>
    </row>
    <row r="99641">
      <c r="A99641" s="1" t="n">
        <v>99640</v>
      </c>
      <c r="B99641">
        <f>TEXT(99640, "[$-0E0000]yyyy-mm-dd")</f>
        <v/>
      </c>
    </row>
    <row r="99642">
      <c r="A99642" s="1" t="n">
        <v>99641</v>
      </c>
      <c r="B99642">
        <f>TEXT(99641, "[$-0E0000]yyyy-mm-dd")</f>
        <v/>
      </c>
    </row>
    <row r="99643">
      <c r="A99643" s="1" t="n">
        <v>99642</v>
      </c>
      <c r="B99643">
        <f>TEXT(99642, "[$-0E0000]yyyy-mm-dd")</f>
        <v/>
      </c>
    </row>
    <row r="99644">
      <c r="A99644" s="1" t="n">
        <v>99643</v>
      </c>
      <c r="B99644">
        <f>TEXT(99643, "[$-0E0000]yyyy-mm-dd")</f>
        <v/>
      </c>
    </row>
    <row r="99645">
      <c r="A99645" s="1" t="n">
        <v>99644</v>
      </c>
      <c r="B99645">
        <f>TEXT(99644, "[$-0E0000]yyyy-mm-dd")</f>
        <v/>
      </c>
    </row>
    <row r="99646">
      <c r="A99646" s="1" t="n">
        <v>99645</v>
      </c>
      <c r="B99646">
        <f>TEXT(99645, "[$-0E0000]yyyy-mm-dd")</f>
        <v/>
      </c>
    </row>
    <row r="99647">
      <c r="A99647" s="1" t="n">
        <v>99646</v>
      </c>
      <c r="B99647">
        <f>TEXT(99646, "[$-0E0000]yyyy-mm-dd")</f>
        <v/>
      </c>
    </row>
    <row r="99648">
      <c r="A99648" s="1" t="n">
        <v>99647</v>
      </c>
      <c r="B99648">
        <f>TEXT(99647, "[$-0E0000]yyyy-mm-dd")</f>
        <v/>
      </c>
    </row>
    <row r="99649">
      <c r="A99649" s="1" t="n">
        <v>99648</v>
      </c>
      <c r="B99649">
        <f>TEXT(99648, "[$-0E0000]yyyy-mm-dd")</f>
        <v/>
      </c>
    </row>
    <row r="99650">
      <c r="A99650" s="1" t="n">
        <v>99649</v>
      </c>
      <c r="B99650">
        <f>TEXT(99649, "[$-0E0000]yyyy-mm-dd")</f>
        <v/>
      </c>
    </row>
    <row r="99651">
      <c r="A99651" s="1" t="n">
        <v>99650</v>
      </c>
      <c r="B99651">
        <f>TEXT(99650, "[$-0E0000]yyyy-mm-dd")</f>
        <v/>
      </c>
    </row>
    <row r="99652">
      <c r="A99652" s="1" t="n">
        <v>99651</v>
      </c>
      <c r="B99652">
        <f>TEXT(99651, "[$-0E0000]yyyy-mm-dd")</f>
        <v/>
      </c>
    </row>
    <row r="99653">
      <c r="A99653" s="1" t="n">
        <v>99652</v>
      </c>
      <c r="B99653">
        <f>TEXT(99652, "[$-0E0000]yyyy-mm-dd")</f>
        <v/>
      </c>
    </row>
    <row r="99654">
      <c r="A99654" s="1" t="n">
        <v>99653</v>
      </c>
      <c r="B99654">
        <f>TEXT(99653, "[$-0E0000]yyyy-mm-dd")</f>
        <v/>
      </c>
    </row>
    <row r="99655">
      <c r="A99655" s="1" t="n">
        <v>99654</v>
      </c>
      <c r="B99655">
        <f>TEXT(99654, "[$-0E0000]yyyy-mm-dd")</f>
        <v/>
      </c>
    </row>
    <row r="99656">
      <c r="A99656" s="1" t="n">
        <v>99655</v>
      </c>
      <c r="B99656">
        <f>TEXT(99655, "[$-0E0000]yyyy-mm-dd")</f>
        <v/>
      </c>
    </row>
    <row r="99657">
      <c r="A99657" s="1" t="n">
        <v>99656</v>
      </c>
      <c r="B99657">
        <f>TEXT(99656, "[$-0E0000]yyyy-mm-dd")</f>
        <v/>
      </c>
    </row>
    <row r="99658">
      <c r="A99658" s="1" t="n">
        <v>99657</v>
      </c>
      <c r="B99658">
        <f>TEXT(99657, "[$-0E0000]yyyy-mm-dd")</f>
        <v/>
      </c>
    </row>
    <row r="99659">
      <c r="A99659" s="1" t="n">
        <v>99658</v>
      </c>
      <c r="B99659">
        <f>TEXT(99658, "[$-0E0000]yyyy-mm-dd")</f>
        <v/>
      </c>
    </row>
    <row r="99660">
      <c r="A99660" s="1" t="n">
        <v>99659</v>
      </c>
      <c r="B99660">
        <f>TEXT(99659, "[$-0E0000]yyyy-mm-dd")</f>
        <v/>
      </c>
    </row>
    <row r="99661">
      <c r="A99661" s="1" t="n">
        <v>99660</v>
      </c>
      <c r="B99661">
        <f>TEXT(99660, "[$-0E0000]yyyy-mm-dd")</f>
        <v/>
      </c>
    </row>
    <row r="99662">
      <c r="A99662" s="1" t="n">
        <v>99661</v>
      </c>
      <c r="B99662">
        <f>TEXT(99661, "[$-0E0000]yyyy-mm-dd")</f>
        <v/>
      </c>
    </row>
    <row r="99663">
      <c r="A99663" s="1" t="n">
        <v>99662</v>
      </c>
      <c r="B99663">
        <f>TEXT(99662, "[$-0E0000]yyyy-mm-dd")</f>
        <v/>
      </c>
    </row>
    <row r="99664">
      <c r="A99664" s="1" t="n">
        <v>99663</v>
      </c>
      <c r="B99664">
        <f>TEXT(99663, "[$-0E0000]yyyy-mm-dd")</f>
        <v/>
      </c>
    </row>
    <row r="99665">
      <c r="A99665" s="1" t="n">
        <v>99664</v>
      </c>
      <c r="B99665">
        <f>TEXT(99664, "[$-0E0000]yyyy-mm-dd")</f>
        <v/>
      </c>
    </row>
    <row r="99666">
      <c r="A99666" s="1" t="n">
        <v>99665</v>
      </c>
      <c r="B99666">
        <f>TEXT(99665, "[$-0E0000]yyyy-mm-dd")</f>
        <v/>
      </c>
    </row>
    <row r="99667">
      <c r="A99667" s="1" t="n">
        <v>99666</v>
      </c>
      <c r="B99667">
        <f>TEXT(99666, "[$-0E0000]yyyy-mm-dd")</f>
        <v/>
      </c>
    </row>
    <row r="99668">
      <c r="A99668" s="1" t="n">
        <v>99667</v>
      </c>
      <c r="B99668">
        <f>TEXT(99667, "[$-0E0000]yyyy-mm-dd")</f>
        <v/>
      </c>
    </row>
    <row r="99669">
      <c r="A99669" s="1" t="n">
        <v>99668</v>
      </c>
      <c r="B99669">
        <f>TEXT(99668, "[$-0E0000]yyyy-mm-dd")</f>
        <v/>
      </c>
    </row>
    <row r="99670">
      <c r="A99670" s="1" t="n">
        <v>99669</v>
      </c>
      <c r="B99670">
        <f>TEXT(99669, "[$-0E0000]yyyy-mm-dd")</f>
        <v/>
      </c>
    </row>
    <row r="99671">
      <c r="A99671" s="1" t="n">
        <v>99670</v>
      </c>
      <c r="B99671">
        <f>TEXT(99670, "[$-0E0000]yyyy-mm-dd")</f>
        <v/>
      </c>
    </row>
    <row r="99672">
      <c r="A99672" s="1" t="n">
        <v>99671</v>
      </c>
      <c r="B99672">
        <f>TEXT(99671, "[$-0E0000]yyyy-mm-dd")</f>
        <v/>
      </c>
    </row>
    <row r="99673">
      <c r="A99673" s="1" t="n">
        <v>99672</v>
      </c>
      <c r="B99673">
        <f>TEXT(99672, "[$-0E0000]yyyy-mm-dd")</f>
        <v/>
      </c>
    </row>
    <row r="99674">
      <c r="A99674" s="1" t="n">
        <v>99673</v>
      </c>
      <c r="B99674">
        <f>TEXT(99673, "[$-0E0000]yyyy-mm-dd")</f>
        <v/>
      </c>
    </row>
    <row r="99675">
      <c r="A99675" s="1" t="n">
        <v>99674</v>
      </c>
      <c r="B99675">
        <f>TEXT(99674, "[$-0E0000]yyyy-mm-dd")</f>
        <v/>
      </c>
    </row>
    <row r="99676">
      <c r="A99676" s="1" t="n">
        <v>99675</v>
      </c>
      <c r="B99676">
        <f>TEXT(99675, "[$-0E0000]yyyy-mm-dd")</f>
        <v/>
      </c>
    </row>
    <row r="99677">
      <c r="A99677" s="1" t="n">
        <v>99676</v>
      </c>
      <c r="B99677">
        <f>TEXT(99676, "[$-0E0000]yyyy-mm-dd")</f>
        <v/>
      </c>
    </row>
    <row r="99678">
      <c r="A99678" s="1" t="n">
        <v>99677</v>
      </c>
      <c r="B99678">
        <f>TEXT(99677, "[$-0E0000]yyyy-mm-dd")</f>
        <v/>
      </c>
    </row>
    <row r="99679">
      <c r="A99679" s="1" t="n">
        <v>99678</v>
      </c>
      <c r="B99679">
        <f>TEXT(99678, "[$-0E0000]yyyy-mm-dd")</f>
        <v/>
      </c>
    </row>
    <row r="99680">
      <c r="A99680" s="1" t="n">
        <v>99679</v>
      </c>
      <c r="B99680">
        <f>TEXT(99679, "[$-0E0000]yyyy-mm-dd")</f>
        <v/>
      </c>
    </row>
    <row r="99681">
      <c r="A99681" s="1" t="n">
        <v>99680</v>
      </c>
      <c r="B99681">
        <f>TEXT(99680, "[$-0E0000]yyyy-mm-dd")</f>
        <v/>
      </c>
    </row>
    <row r="99682">
      <c r="A99682" s="1" t="n">
        <v>99681</v>
      </c>
      <c r="B99682">
        <f>TEXT(99681, "[$-0E0000]yyyy-mm-dd")</f>
        <v/>
      </c>
    </row>
    <row r="99683">
      <c r="A99683" s="1" t="n">
        <v>99682</v>
      </c>
      <c r="B99683">
        <f>TEXT(99682, "[$-0E0000]yyyy-mm-dd")</f>
        <v/>
      </c>
    </row>
    <row r="99684">
      <c r="A99684" s="1" t="n">
        <v>99683</v>
      </c>
      <c r="B99684">
        <f>TEXT(99683, "[$-0E0000]yyyy-mm-dd")</f>
        <v/>
      </c>
    </row>
    <row r="99685">
      <c r="A99685" s="1" t="n">
        <v>99684</v>
      </c>
      <c r="B99685">
        <f>TEXT(99684, "[$-0E0000]yyyy-mm-dd")</f>
        <v/>
      </c>
    </row>
    <row r="99686">
      <c r="A99686" s="1" t="n">
        <v>99685</v>
      </c>
      <c r="B99686">
        <f>TEXT(99685, "[$-0E0000]yyyy-mm-dd")</f>
        <v/>
      </c>
    </row>
    <row r="99687">
      <c r="A99687" s="1" t="n">
        <v>99686</v>
      </c>
      <c r="B99687">
        <f>TEXT(99686, "[$-0E0000]yyyy-mm-dd")</f>
        <v/>
      </c>
    </row>
    <row r="99688">
      <c r="A99688" s="1" t="n">
        <v>99687</v>
      </c>
      <c r="B99688">
        <f>TEXT(99687, "[$-0E0000]yyyy-mm-dd")</f>
        <v/>
      </c>
    </row>
    <row r="99689">
      <c r="A99689" s="1" t="n">
        <v>99688</v>
      </c>
      <c r="B99689">
        <f>TEXT(99688, "[$-0E0000]yyyy-mm-dd")</f>
        <v/>
      </c>
    </row>
    <row r="99690">
      <c r="A99690" s="1" t="n">
        <v>99689</v>
      </c>
      <c r="B99690">
        <f>TEXT(99689, "[$-0E0000]yyyy-mm-dd")</f>
        <v/>
      </c>
    </row>
    <row r="99691">
      <c r="A99691" s="1" t="n">
        <v>99690</v>
      </c>
      <c r="B99691">
        <f>TEXT(99690, "[$-0E0000]yyyy-mm-dd")</f>
        <v/>
      </c>
    </row>
    <row r="99692">
      <c r="A99692" s="1" t="n">
        <v>99691</v>
      </c>
      <c r="B99692">
        <f>TEXT(99691, "[$-0E0000]yyyy-mm-dd")</f>
        <v/>
      </c>
    </row>
    <row r="99693">
      <c r="A99693" s="1" t="n">
        <v>99692</v>
      </c>
      <c r="B99693">
        <f>TEXT(99692, "[$-0E0000]yyyy-mm-dd")</f>
        <v/>
      </c>
    </row>
    <row r="99694">
      <c r="A99694" s="1" t="n">
        <v>99693</v>
      </c>
      <c r="B99694">
        <f>TEXT(99693, "[$-0E0000]yyyy-mm-dd")</f>
        <v/>
      </c>
    </row>
    <row r="99695">
      <c r="A99695" s="1" t="n">
        <v>99694</v>
      </c>
      <c r="B99695">
        <f>TEXT(99694, "[$-0E0000]yyyy-mm-dd")</f>
        <v/>
      </c>
    </row>
    <row r="99696">
      <c r="A99696" s="1" t="n">
        <v>99695</v>
      </c>
      <c r="B99696">
        <f>TEXT(99695, "[$-0E0000]yyyy-mm-dd")</f>
        <v/>
      </c>
    </row>
    <row r="99697">
      <c r="A99697" s="1" t="n">
        <v>99696</v>
      </c>
      <c r="B99697">
        <f>TEXT(99696, "[$-0E0000]yyyy-mm-dd")</f>
        <v/>
      </c>
    </row>
    <row r="99698">
      <c r="A99698" s="1" t="n">
        <v>99697</v>
      </c>
      <c r="B99698">
        <f>TEXT(99697, "[$-0E0000]yyyy-mm-dd")</f>
        <v/>
      </c>
    </row>
    <row r="99699">
      <c r="A99699" s="1" t="n">
        <v>99698</v>
      </c>
      <c r="B99699">
        <f>TEXT(99698, "[$-0E0000]yyyy-mm-dd")</f>
        <v/>
      </c>
    </row>
    <row r="99700">
      <c r="A99700" s="1" t="n">
        <v>99699</v>
      </c>
      <c r="B99700">
        <f>TEXT(99699, "[$-0E0000]yyyy-mm-dd")</f>
        <v/>
      </c>
    </row>
    <row r="99701">
      <c r="A99701" s="1" t="n">
        <v>99700</v>
      </c>
      <c r="B99701">
        <f>TEXT(99700, "[$-0E0000]yyyy-mm-dd")</f>
        <v/>
      </c>
    </row>
    <row r="99702">
      <c r="A99702" s="1" t="n">
        <v>99701</v>
      </c>
      <c r="B99702">
        <f>TEXT(99701, "[$-0E0000]yyyy-mm-dd")</f>
        <v/>
      </c>
    </row>
    <row r="99703">
      <c r="A99703" s="1" t="n">
        <v>99702</v>
      </c>
      <c r="B99703">
        <f>TEXT(99702, "[$-0E0000]yyyy-mm-dd")</f>
        <v/>
      </c>
    </row>
    <row r="99704">
      <c r="A99704" s="1" t="n">
        <v>99703</v>
      </c>
      <c r="B99704">
        <f>TEXT(99703, "[$-0E0000]yyyy-mm-dd")</f>
        <v/>
      </c>
    </row>
    <row r="99705">
      <c r="A99705" s="1" t="n">
        <v>99704</v>
      </c>
      <c r="B99705">
        <f>TEXT(99704, "[$-0E0000]yyyy-mm-dd")</f>
        <v/>
      </c>
    </row>
    <row r="99706">
      <c r="A99706" s="1" t="n">
        <v>99705</v>
      </c>
      <c r="B99706">
        <f>TEXT(99705, "[$-0E0000]yyyy-mm-dd")</f>
        <v/>
      </c>
    </row>
    <row r="99707">
      <c r="A99707" s="1" t="n">
        <v>99706</v>
      </c>
      <c r="B99707">
        <f>TEXT(99706, "[$-0E0000]yyyy-mm-dd")</f>
        <v/>
      </c>
    </row>
    <row r="99708">
      <c r="A99708" s="1" t="n">
        <v>99707</v>
      </c>
      <c r="B99708">
        <f>TEXT(99707, "[$-0E0000]yyyy-mm-dd")</f>
        <v/>
      </c>
    </row>
    <row r="99709">
      <c r="A99709" s="1" t="n">
        <v>99708</v>
      </c>
      <c r="B99709">
        <f>TEXT(99708, "[$-0E0000]yyyy-mm-dd")</f>
        <v/>
      </c>
    </row>
    <row r="99710">
      <c r="A99710" s="1" t="n">
        <v>99709</v>
      </c>
      <c r="B99710">
        <f>TEXT(99709, "[$-0E0000]yyyy-mm-dd")</f>
        <v/>
      </c>
    </row>
    <row r="99711">
      <c r="A99711" s="1" t="n">
        <v>99710</v>
      </c>
      <c r="B99711">
        <f>TEXT(99710, "[$-0E0000]yyyy-mm-dd")</f>
        <v/>
      </c>
    </row>
    <row r="99712">
      <c r="A99712" s="1" t="n">
        <v>99711</v>
      </c>
      <c r="B99712">
        <f>TEXT(99711, "[$-0E0000]yyyy-mm-dd")</f>
        <v/>
      </c>
    </row>
    <row r="99713">
      <c r="A99713" s="1" t="n">
        <v>99712</v>
      </c>
      <c r="B99713">
        <f>TEXT(99712, "[$-0E0000]yyyy-mm-dd")</f>
        <v/>
      </c>
    </row>
    <row r="99714">
      <c r="A99714" s="1" t="n">
        <v>99713</v>
      </c>
      <c r="B99714">
        <f>TEXT(99713, "[$-0E0000]yyyy-mm-dd")</f>
        <v/>
      </c>
    </row>
    <row r="99715">
      <c r="A99715" s="1" t="n">
        <v>99714</v>
      </c>
      <c r="B99715">
        <f>TEXT(99714, "[$-0E0000]yyyy-mm-dd")</f>
        <v/>
      </c>
    </row>
    <row r="99716">
      <c r="A99716" s="1" t="n">
        <v>99715</v>
      </c>
      <c r="B99716">
        <f>TEXT(99715, "[$-0E0000]yyyy-mm-dd")</f>
        <v/>
      </c>
    </row>
    <row r="99717">
      <c r="A99717" s="1" t="n">
        <v>99716</v>
      </c>
      <c r="B99717">
        <f>TEXT(99716, "[$-0E0000]yyyy-mm-dd")</f>
        <v/>
      </c>
    </row>
    <row r="99718">
      <c r="A99718" s="1" t="n">
        <v>99717</v>
      </c>
      <c r="B99718">
        <f>TEXT(99717, "[$-0E0000]yyyy-mm-dd")</f>
        <v/>
      </c>
    </row>
    <row r="99719">
      <c r="A99719" s="1" t="n">
        <v>99718</v>
      </c>
      <c r="B99719">
        <f>TEXT(99718, "[$-0E0000]yyyy-mm-dd")</f>
        <v/>
      </c>
    </row>
    <row r="99720">
      <c r="A99720" s="1" t="n">
        <v>99719</v>
      </c>
      <c r="B99720">
        <f>TEXT(99719, "[$-0E0000]yyyy-mm-dd")</f>
        <v/>
      </c>
    </row>
    <row r="99721">
      <c r="A99721" s="1" t="n">
        <v>99720</v>
      </c>
      <c r="B99721">
        <f>TEXT(99720, "[$-0E0000]yyyy-mm-dd")</f>
        <v/>
      </c>
    </row>
    <row r="99722">
      <c r="A99722" s="1" t="n">
        <v>99721</v>
      </c>
      <c r="B99722">
        <f>TEXT(99721, "[$-0E0000]yyyy-mm-dd")</f>
        <v/>
      </c>
    </row>
    <row r="99723">
      <c r="A99723" s="1" t="n">
        <v>99722</v>
      </c>
      <c r="B99723">
        <f>TEXT(99722, "[$-0E0000]yyyy-mm-dd")</f>
        <v/>
      </c>
    </row>
    <row r="99724">
      <c r="A99724" s="1" t="n">
        <v>99723</v>
      </c>
      <c r="B99724">
        <f>TEXT(99723, "[$-0E0000]yyyy-mm-dd")</f>
        <v/>
      </c>
    </row>
    <row r="99725">
      <c r="A99725" s="1" t="n">
        <v>99724</v>
      </c>
      <c r="B99725">
        <f>TEXT(99724, "[$-0E0000]yyyy-mm-dd")</f>
        <v/>
      </c>
    </row>
    <row r="99726">
      <c r="A99726" s="1" t="n">
        <v>99725</v>
      </c>
      <c r="B99726">
        <f>TEXT(99725, "[$-0E0000]yyyy-mm-dd")</f>
        <v/>
      </c>
    </row>
    <row r="99727">
      <c r="A99727" s="1" t="n">
        <v>99726</v>
      </c>
      <c r="B99727">
        <f>TEXT(99726, "[$-0E0000]yyyy-mm-dd")</f>
        <v/>
      </c>
    </row>
    <row r="99728">
      <c r="A99728" s="1" t="n">
        <v>99727</v>
      </c>
      <c r="B99728">
        <f>TEXT(99727, "[$-0E0000]yyyy-mm-dd")</f>
        <v/>
      </c>
    </row>
    <row r="99729">
      <c r="A99729" s="1" t="n">
        <v>99728</v>
      </c>
      <c r="B99729">
        <f>TEXT(99728, "[$-0E0000]yyyy-mm-dd")</f>
        <v/>
      </c>
    </row>
    <row r="99730">
      <c r="A99730" s="1" t="n">
        <v>99729</v>
      </c>
      <c r="B99730">
        <f>TEXT(99729, "[$-0E0000]yyyy-mm-dd")</f>
        <v/>
      </c>
    </row>
    <row r="99731">
      <c r="A99731" s="1" t="n">
        <v>99730</v>
      </c>
      <c r="B99731">
        <f>TEXT(99730, "[$-0E0000]yyyy-mm-dd")</f>
        <v/>
      </c>
    </row>
    <row r="99732">
      <c r="A99732" s="1" t="n">
        <v>99731</v>
      </c>
      <c r="B99732">
        <f>TEXT(99731, "[$-0E0000]yyyy-mm-dd")</f>
        <v/>
      </c>
    </row>
    <row r="99733">
      <c r="A99733" s="1" t="n">
        <v>99732</v>
      </c>
      <c r="B99733">
        <f>TEXT(99732, "[$-0E0000]yyyy-mm-dd")</f>
        <v/>
      </c>
    </row>
    <row r="99734">
      <c r="A99734" s="1" t="n">
        <v>99733</v>
      </c>
      <c r="B99734">
        <f>TEXT(99733, "[$-0E0000]yyyy-mm-dd")</f>
        <v/>
      </c>
    </row>
    <row r="99735">
      <c r="A99735" s="1" t="n">
        <v>99734</v>
      </c>
      <c r="B99735">
        <f>TEXT(99734, "[$-0E0000]yyyy-mm-dd")</f>
        <v/>
      </c>
    </row>
    <row r="99736">
      <c r="A99736" s="1" t="n">
        <v>99735</v>
      </c>
      <c r="B99736">
        <f>TEXT(99735, "[$-0E0000]yyyy-mm-dd")</f>
        <v/>
      </c>
    </row>
    <row r="99737">
      <c r="A99737" s="1" t="n">
        <v>99736</v>
      </c>
      <c r="B99737">
        <f>TEXT(99736, "[$-0E0000]yyyy-mm-dd")</f>
        <v/>
      </c>
    </row>
    <row r="99738">
      <c r="A99738" s="1" t="n">
        <v>99737</v>
      </c>
      <c r="B99738">
        <f>TEXT(99737, "[$-0E0000]yyyy-mm-dd")</f>
        <v/>
      </c>
    </row>
    <row r="99739">
      <c r="A99739" s="1" t="n">
        <v>99738</v>
      </c>
      <c r="B99739">
        <f>TEXT(99738, "[$-0E0000]yyyy-mm-dd")</f>
        <v/>
      </c>
    </row>
    <row r="99740">
      <c r="A99740" s="1" t="n">
        <v>99739</v>
      </c>
      <c r="B99740">
        <f>TEXT(99739, "[$-0E0000]yyyy-mm-dd")</f>
        <v/>
      </c>
    </row>
    <row r="99741">
      <c r="A99741" s="1" t="n">
        <v>99740</v>
      </c>
      <c r="B99741">
        <f>TEXT(99740, "[$-0E0000]yyyy-mm-dd")</f>
        <v/>
      </c>
    </row>
    <row r="99742">
      <c r="A99742" s="1" t="n">
        <v>99741</v>
      </c>
      <c r="B99742">
        <f>TEXT(99741, "[$-0E0000]yyyy-mm-dd")</f>
        <v/>
      </c>
    </row>
    <row r="99743">
      <c r="A99743" s="1" t="n">
        <v>99742</v>
      </c>
      <c r="B99743">
        <f>TEXT(99742, "[$-0E0000]yyyy-mm-dd")</f>
        <v/>
      </c>
    </row>
    <row r="99744">
      <c r="A99744" s="1" t="n">
        <v>99743</v>
      </c>
      <c r="B99744">
        <f>TEXT(99743, "[$-0E0000]yyyy-mm-dd")</f>
        <v/>
      </c>
    </row>
    <row r="99745">
      <c r="A99745" s="1" t="n">
        <v>99744</v>
      </c>
      <c r="B99745">
        <f>TEXT(99744, "[$-0E0000]yyyy-mm-dd")</f>
        <v/>
      </c>
    </row>
    <row r="99746">
      <c r="A99746" s="1" t="n">
        <v>99745</v>
      </c>
      <c r="B99746">
        <f>TEXT(99745, "[$-0E0000]yyyy-mm-dd")</f>
        <v/>
      </c>
    </row>
    <row r="99747">
      <c r="A99747" s="1" t="n">
        <v>99746</v>
      </c>
      <c r="B99747">
        <f>TEXT(99746, "[$-0E0000]yyyy-mm-dd")</f>
        <v/>
      </c>
    </row>
    <row r="99748">
      <c r="A99748" s="1" t="n">
        <v>99747</v>
      </c>
      <c r="B99748">
        <f>TEXT(99747, "[$-0E0000]yyyy-mm-dd")</f>
        <v/>
      </c>
    </row>
    <row r="99749">
      <c r="A99749" s="1" t="n">
        <v>99748</v>
      </c>
      <c r="B99749">
        <f>TEXT(99748, "[$-0E0000]yyyy-mm-dd")</f>
        <v/>
      </c>
    </row>
    <row r="99750">
      <c r="A99750" s="1" t="n">
        <v>99749</v>
      </c>
      <c r="B99750">
        <f>TEXT(99749, "[$-0E0000]yyyy-mm-dd")</f>
        <v/>
      </c>
    </row>
    <row r="99751">
      <c r="A99751" s="1" t="n">
        <v>99750</v>
      </c>
      <c r="B99751">
        <f>TEXT(99750, "[$-0E0000]yyyy-mm-dd")</f>
        <v/>
      </c>
    </row>
    <row r="99752">
      <c r="A99752" s="1" t="n">
        <v>99751</v>
      </c>
      <c r="B99752">
        <f>TEXT(99751, "[$-0E0000]yyyy-mm-dd")</f>
        <v/>
      </c>
    </row>
    <row r="99753">
      <c r="A99753" s="1" t="n">
        <v>99752</v>
      </c>
      <c r="B99753">
        <f>TEXT(99752, "[$-0E0000]yyyy-mm-dd")</f>
        <v/>
      </c>
    </row>
    <row r="99754">
      <c r="A99754" s="1" t="n">
        <v>99753</v>
      </c>
      <c r="B99754">
        <f>TEXT(99753, "[$-0E0000]yyyy-mm-dd")</f>
        <v/>
      </c>
    </row>
    <row r="99755">
      <c r="A99755" s="1" t="n">
        <v>99754</v>
      </c>
      <c r="B99755">
        <f>TEXT(99754, "[$-0E0000]yyyy-mm-dd")</f>
        <v/>
      </c>
    </row>
    <row r="99756">
      <c r="A99756" s="1" t="n">
        <v>99755</v>
      </c>
      <c r="B99756">
        <f>TEXT(99755, "[$-0E0000]yyyy-mm-dd")</f>
        <v/>
      </c>
    </row>
    <row r="99757">
      <c r="A99757" s="1" t="n">
        <v>99756</v>
      </c>
      <c r="B99757">
        <f>TEXT(99756, "[$-0E0000]yyyy-mm-dd")</f>
        <v/>
      </c>
    </row>
    <row r="99758">
      <c r="A99758" s="1" t="n">
        <v>99757</v>
      </c>
      <c r="B99758">
        <f>TEXT(99757, "[$-0E0000]yyyy-mm-dd")</f>
        <v/>
      </c>
    </row>
    <row r="99759">
      <c r="A99759" s="1" t="n">
        <v>99758</v>
      </c>
      <c r="B99759">
        <f>TEXT(99758, "[$-0E0000]yyyy-mm-dd")</f>
        <v/>
      </c>
    </row>
    <row r="99760">
      <c r="A99760" s="1" t="n">
        <v>99759</v>
      </c>
      <c r="B99760">
        <f>TEXT(99759, "[$-0E0000]yyyy-mm-dd")</f>
        <v/>
      </c>
    </row>
    <row r="99761">
      <c r="A99761" s="1" t="n">
        <v>99760</v>
      </c>
      <c r="B99761">
        <f>TEXT(99760, "[$-0E0000]yyyy-mm-dd")</f>
        <v/>
      </c>
    </row>
    <row r="99762">
      <c r="A99762" s="1" t="n">
        <v>99761</v>
      </c>
      <c r="B99762">
        <f>TEXT(99761, "[$-0E0000]yyyy-mm-dd")</f>
        <v/>
      </c>
    </row>
    <row r="99763">
      <c r="A99763" s="1" t="n">
        <v>99762</v>
      </c>
      <c r="B99763">
        <f>TEXT(99762, "[$-0E0000]yyyy-mm-dd")</f>
        <v/>
      </c>
    </row>
    <row r="99764">
      <c r="A99764" s="1" t="n">
        <v>99763</v>
      </c>
      <c r="B99764">
        <f>TEXT(99763, "[$-0E0000]yyyy-mm-dd")</f>
        <v/>
      </c>
    </row>
    <row r="99765">
      <c r="A99765" s="1" t="n">
        <v>99764</v>
      </c>
      <c r="B99765">
        <f>TEXT(99764, "[$-0E0000]yyyy-mm-dd")</f>
        <v/>
      </c>
    </row>
    <row r="99766">
      <c r="A99766" s="1" t="n">
        <v>99765</v>
      </c>
      <c r="B99766">
        <f>TEXT(99765, "[$-0E0000]yyyy-mm-dd")</f>
        <v/>
      </c>
    </row>
    <row r="99767">
      <c r="A99767" s="1" t="n">
        <v>99766</v>
      </c>
      <c r="B99767">
        <f>TEXT(99766, "[$-0E0000]yyyy-mm-dd")</f>
        <v/>
      </c>
    </row>
    <row r="99768">
      <c r="A99768" s="1" t="n">
        <v>99767</v>
      </c>
      <c r="B99768">
        <f>TEXT(99767, "[$-0E0000]yyyy-mm-dd")</f>
        <v/>
      </c>
    </row>
    <row r="99769">
      <c r="A99769" s="1" t="n">
        <v>99768</v>
      </c>
      <c r="B99769">
        <f>TEXT(99768, "[$-0E0000]yyyy-mm-dd")</f>
        <v/>
      </c>
    </row>
    <row r="99770">
      <c r="A99770" s="1" t="n">
        <v>99769</v>
      </c>
      <c r="B99770">
        <f>TEXT(99769, "[$-0E0000]yyyy-mm-dd")</f>
        <v/>
      </c>
    </row>
    <row r="99771">
      <c r="A99771" s="1" t="n">
        <v>99770</v>
      </c>
      <c r="B99771">
        <f>TEXT(99770, "[$-0E0000]yyyy-mm-dd")</f>
        <v/>
      </c>
    </row>
    <row r="99772">
      <c r="A99772" s="1" t="n">
        <v>99771</v>
      </c>
      <c r="B99772">
        <f>TEXT(99771, "[$-0E0000]yyyy-mm-dd")</f>
        <v/>
      </c>
    </row>
    <row r="99773">
      <c r="A99773" s="1" t="n">
        <v>99772</v>
      </c>
      <c r="B99773">
        <f>TEXT(99772, "[$-0E0000]yyyy-mm-dd")</f>
        <v/>
      </c>
    </row>
    <row r="99774">
      <c r="A99774" s="1" t="n">
        <v>99773</v>
      </c>
      <c r="B99774">
        <f>TEXT(99773, "[$-0E0000]yyyy-mm-dd")</f>
        <v/>
      </c>
    </row>
    <row r="99775">
      <c r="A99775" s="1" t="n">
        <v>99774</v>
      </c>
      <c r="B99775">
        <f>TEXT(99774, "[$-0E0000]yyyy-mm-dd")</f>
        <v/>
      </c>
    </row>
    <row r="99776">
      <c r="A99776" s="1" t="n">
        <v>99775</v>
      </c>
      <c r="B99776">
        <f>TEXT(99775, "[$-0E0000]yyyy-mm-dd")</f>
        <v/>
      </c>
    </row>
    <row r="99777">
      <c r="A99777" s="1" t="n">
        <v>99776</v>
      </c>
      <c r="B99777">
        <f>TEXT(99776, "[$-0E0000]yyyy-mm-dd")</f>
        <v/>
      </c>
    </row>
    <row r="99778">
      <c r="A99778" s="1" t="n">
        <v>99777</v>
      </c>
      <c r="B99778">
        <f>TEXT(99777, "[$-0E0000]yyyy-mm-dd")</f>
        <v/>
      </c>
    </row>
    <row r="99779">
      <c r="A99779" s="1" t="n">
        <v>99778</v>
      </c>
      <c r="B99779">
        <f>TEXT(99778, "[$-0E0000]yyyy-mm-dd")</f>
        <v/>
      </c>
    </row>
    <row r="99780">
      <c r="A99780" s="1" t="n">
        <v>99779</v>
      </c>
      <c r="B99780">
        <f>TEXT(99779, "[$-0E0000]yyyy-mm-dd")</f>
        <v/>
      </c>
    </row>
    <row r="99781">
      <c r="A99781" s="1" t="n">
        <v>99780</v>
      </c>
      <c r="B99781">
        <f>TEXT(99780, "[$-0E0000]yyyy-mm-dd")</f>
        <v/>
      </c>
    </row>
    <row r="99782">
      <c r="A99782" s="1" t="n">
        <v>99781</v>
      </c>
      <c r="B99782">
        <f>TEXT(99781, "[$-0E0000]yyyy-mm-dd")</f>
        <v/>
      </c>
    </row>
    <row r="99783">
      <c r="A99783" s="1" t="n">
        <v>99782</v>
      </c>
      <c r="B99783">
        <f>TEXT(99782, "[$-0E0000]yyyy-mm-dd")</f>
        <v/>
      </c>
    </row>
    <row r="99784">
      <c r="A99784" s="1" t="n">
        <v>99783</v>
      </c>
      <c r="B99784">
        <f>TEXT(99783, "[$-0E0000]yyyy-mm-dd")</f>
        <v/>
      </c>
    </row>
    <row r="99785">
      <c r="A99785" s="1" t="n">
        <v>99784</v>
      </c>
      <c r="B99785">
        <f>TEXT(99784, "[$-0E0000]yyyy-mm-dd")</f>
        <v/>
      </c>
    </row>
    <row r="99786">
      <c r="A99786" s="1" t="n">
        <v>99785</v>
      </c>
      <c r="B99786">
        <f>TEXT(99785, "[$-0E0000]yyyy-mm-dd")</f>
        <v/>
      </c>
    </row>
    <row r="99787">
      <c r="A99787" s="1" t="n">
        <v>99786</v>
      </c>
      <c r="B99787">
        <f>TEXT(99786, "[$-0E0000]yyyy-mm-dd")</f>
        <v/>
      </c>
    </row>
    <row r="99788">
      <c r="A99788" s="1" t="n">
        <v>99787</v>
      </c>
      <c r="B99788">
        <f>TEXT(99787, "[$-0E0000]yyyy-mm-dd")</f>
        <v/>
      </c>
    </row>
    <row r="99789">
      <c r="A99789" s="1" t="n">
        <v>99788</v>
      </c>
      <c r="B99789">
        <f>TEXT(99788, "[$-0E0000]yyyy-mm-dd")</f>
        <v/>
      </c>
    </row>
    <row r="99790">
      <c r="A99790" s="1" t="n">
        <v>99789</v>
      </c>
      <c r="B99790">
        <f>TEXT(99789, "[$-0E0000]yyyy-mm-dd")</f>
        <v/>
      </c>
    </row>
    <row r="99791">
      <c r="A99791" s="1" t="n">
        <v>99790</v>
      </c>
      <c r="B99791">
        <f>TEXT(99790, "[$-0E0000]yyyy-mm-dd")</f>
        <v/>
      </c>
    </row>
    <row r="99792">
      <c r="A99792" s="1" t="n">
        <v>99791</v>
      </c>
      <c r="B99792">
        <f>TEXT(99791, "[$-0E0000]yyyy-mm-dd")</f>
        <v/>
      </c>
    </row>
    <row r="99793">
      <c r="A99793" s="1" t="n">
        <v>99792</v>
      </c>
      <c r="B99793">
        <f>TEXT(99792, "[$-0E0000]yyyy-mm-dd")</f>
        <v/>
      </c>
    </row>
    <row r="99794">
      <c r="A99794" s="1" t="n">
        <v>99793</v>
      </c>
      <c r="B99794">
        <f>TEXT(99793, "[$-0E0000]yyyy-mm-dd")</f>
        <v/>
      </c>
    </row>
    <row r="99795">
      <c r="A99795" s="1" t="n">
        <v>99794</v>
      </c>
      <c r="B99795">
        <f>TEXT(99794, "[$-0E0000]yyyy-mm-dd")</f>
        <v/>
      </c>
    </row>
    <row r="99796">
      <c r="A99796" s="1" t="n">
        <v>99795</v>
      </c>
      <c r="B99796">
        <f>TEXT(99795, "[$-0E0000]yyyy-mm-dd")</f>
        <v/>
      </c>
    </row>
    <row r="99797">
      <c r="A99797" s="1" t="n">
        <v>99796</v>
      </c>
      <c r="B99797">
        <f>TEXT(99796, "[$-0E0000]yyyy-mm-dd")</f>
        <v/>
      </c>
    </row>
    <row r="99798">
      <c r="A99798" s="1" t="n">
        <v>99797</v>
      </c>
      <c r="B99798">
        <f>TEXT(99797, "[$-0E0000]yyyy-mm-dd")</f>
        <v/>
      </c>
    </row>
    <row r="99799">
      <c r="A99799" s="1" t="n">
        <v>99798</v>
      </c>
      <c r="B99799">
        <f>TEXT(99798, "[$-0E0000]yyyy-mm-dd")</f>
        <v/>
      </c>
    </row>
    <row r="99800">
      <c r="A99800" s="1" t="n">
        <v>99799</v>
      </c>
      <c r="B99800">
        <f>TEXT(99799, "[$-0E0000]yyyy-mm-dd")</f>
        <v/>
      </c>
    </row>
    <row r="99801">
      <c r="A99801" s="1" t="n">
        <v>99800</v>
      </c>
      <c r="B99801">
        <f>TEXT(99800, "[$-0E0000]yyyy-mm-dd")</f>
        <v/>
      </c>
    </row>
    <row r="99802">
      <c r="A99802" s="1" t="n">
        <v>99801</v>
      </c>
      <c r="B99802">
        <f>TEXT(99801, "[$-0E0000]yyyy-mm-dd")</f>
        <v/>
      </c>
    </row>
    <row r="99803">
      <c r="A99803" s="1" t="n">
        <v>99802</v>
      </c>
      <c r="B99803">
        <f>TEXT(99802, "[$-0E0000]yyyy-mm-dd")</f>
        <v/>
      </c>
    </row>
    <row r="99804">
      <c r="A99804" s="1" t="n">
        <v>99803</v>
      </c>
      <c r="B99804">
        <f>TEXT(99803, "[$-0E0000]yyyy-mm-dd")</f>
        <v/>
      </c>
    </row>
    <row r="99805">
      <c r="A99805" s="1" t="n">
        <v>99804</v>
      </c>
      <c r="B99805">
        <f>TEXT(99804, "[$-0E0000]yyyy-mm-dd")</f>
        <v/>
      </c>
    </row>
    <row r="99806">
      <c r="A99806" s="1" t="n">
        <v>99805</v>
      </c>
      <c r="B99806">
        <f>TEXT(99805, "[$-0E0000]yyyy-mm-dd")</f>
        <v/>
      </c>
    </row>
    <row r="99807">
      <c r="A99807" s="1" t="n">
        <v>99806</v>
      </c>
      <c r="B99807">
        <f>TEXT(99806, "[$-0E0000]yyyy-mm-dd")</f>
        <v/>
      </c>
    </row>
    <row r="99808">
      <c r="A99808" s="1" t="n">
        <v>99807</v>
      </c>
      <c r="B99808">
        <f>TEXT(99807, "[$-0E0000]yyyy-mm-dd")</f>
        <v/>
      </c>
    </row>
    <row r="99809">
      <c r="A99809" s="1" t="n">
        <v>99808</v>
      </c>
      <c r="B99809">
        <f>TEXT(99808, "[$-0E0000]yyyy-mm-dd")</f>
        <v/>
      </c>
    </row>
    <row r="99810">
      <c r="A99810" s="1" t="n">
        <v>99809</v>
      </c>
      <c r="B99810">
        <f>TEXT(99809, "[$-0E0000]yyyy-mm-dd")</f>
        <v/>
      </c>
    </row>
    <row r="99811">
      <c r="A99811" s="1" t="n">
        <v>99810</v>
      </c>
      <c r="B99811">
        <f>TEXT(99810, "[$-0E0000]yyyy-mm-dd")</f>
        <v/>
      </c>
    </row>
    <row r="99812">
      <c r="A99812" s="1" t="n">
        <v>99811</v>
      </c>
      <c r="B99812">
        <f>TEXT(99811, "[$-0E0000]yyyy-mm-dd")</f>
        <v/>
      </c>
    </row>
    <row r="99813">
      <c r="A99813" s="1" t="n">
        <v>99812</v>
      </c>
      <c r="B99813">
        <f>TEXT(99812, "[$-0E0000]yyyy-mm-dd")</f>
        <v/>
      </c>
    </row>
    <row r="99814">
      <c r="A99814" s="1" t="n">
        <v>99813</v>
      </c>
      <c r="B99814">
        <f>TEXT(99813, "[$-0E0000]yyyy-mm-dd")</f>
        <v/>
      </c>
    </row>
    <row r="99815">
      <c r="A99815" s="1" t="n">
        <v>99814</v>
      </c>
      <c r="B99815">
        <f>TEXT(99814, "[$-0E0000]yyyy-mm-dd")</f>
        <v/>
      </c>
    </row>
    <row r="99816">
      <c r="A99816" s="1" t="n">
        <v>99815</v>
      </c>
      <c r="B99816">
        <f>TEXT(99815, "[$-0E0000]yyyy-mm-dd")</f>
        <v/>
      </c>
    </row>
    <row r="99817">
      <c r="A99817" s="1" t="n">
        <v>99816</v>
      </c>
      <c r="B99817">
        <f>TEXT(99816, "[$-0E0000]yyyy-mm-dd")</f>
        <v/>
      </c>
    </row>
    <row r="99818">
      <c r="A99818" s="1" t="n">
        <v>99817</v>
      </c>
      <c r="B99818">
        <f>TEXT(99817, "[$-0E0000]yyyy-mm-dd")</f>
        <v/>
      </c>
    </row>
    <row r="99819">
      <c r="A99819" s="1" t="n">
        <v>99818</v>
      </c>
      <c r="B99819">
        <f>TEXT(99818, "[$-0E0000]yyyy-mm-dd")</f>
        <v/>
      </c>
    </row>
    <row r="99820">
      <c r="A99820" s="1" t="n">
        <v>99819</v>
      </c>
      <c r="B99820">
        <f>TEXT(99819, "[$-0E0000]yyyy-mm-dd")</f>
        <v/>
      </c>
    </row>
    <row r="99821">
      <c r="A99821" s="1" t="n">
        <v>99820</v>
      </c>
      <c r="B99821">
        <f>TEXT(99820, "[$-0E0000]yyyy-mm-dd")</f>
        <v/>
      </c>
    </row>
    <row r="99822">
      <c r="A99822" s="1" t="n">
        <v>99821</v>
      </c>
      <c r="B99822">
        <f>TEXT(99821, "[$-0E0000]yyyy-mm-dd")</f>
        <v/>
      </c>
    </row>
    <row r="99823">
      <c r="A99823" s="1" t="n">
        <v>99822</v>
      </c>
      <c r="B99823">
        <f>TEXT(99822, "[$-0E0000]yyyy-mm-dd")</f>
        <v/>
      </c>
    </row>
    <row r="99824">
      <c r="A99824" s="1" t="n">
        <v>99823</v>
      </c>
      <c r="B99824">
        <f>TEXT(99823, "[$-0E0000]yyyy-mm-dd")</f>
        <v/>
      </c>
    </row>
    <row r="99825">
      <c r="A99825" s="1" t="n">
        <v>99824</v>
      </c>
      <c r="B99825">
        <f>TEXT(99824, "[$-0E0000]yyyy-mm-dd")</f>
        <v/>
      </c>
    </row>
    <row r="99826">
      <c r="A99826" s="1" t="n">
        <v>99825</v>
      </c>
      <c r="B99826">
        <f>TEXT(99825, "[$-0E0000]yyyy-mm-dd")</f>
        <v/>
      </c>
    </row>
    <row r="99827">
      <c r="A99827" s="1" t="n">
        <v>99826</v>
      </c>
      <c r="B99827">
        <f>TEXT(99826, "[$-0E0000]yyyy-mm-dd")</f>
        <v/>
      </c>
    </row>
    <row r="99828">
      <c r="A99828" s="1" t="n">
        <v>99827</v>
      </c>
      <c r="B99828">
        <f>TEXT(99827, "[$-0E0000]yyyy-mm-dd")</f>
        <v/>
      </c>
    </row>
    <row r="99829">
      <c r="A99829" s="1" t="n">
        <v>99828</v>
      </c>
      <c r="B99829">
        <f>TEXT(99828, "[$-0E0000]yyyy-mm-dd")</f>
        <v/>
      </c>
    </row>
    <row r="99830">
      <c r="A99830" s="1" t="n">
        <v>99829</v>
      </c>
      <c r="B99830">
        <f>TEXT(99829, "[$-0E0000]yyyy-mm-dd")</f>
        <v/>
      </c>
    </row>
    <row r="99831">
      <c r="A99831" s="1" t="n">
        <v>99830</v>
      </c>
      <c r="B99831">
        <f>TEXT(99830, "[$-0E0000]yyyy-mm-dd")</f>
        <v/>
      </c>
    </row>
    <row r="99832">
      <c r="A99832" s="1" t="n">
        <v>99831</v>
      </c>
      <c r="B99832">
        <f>TEXT(99831, "[$-0E0000]yyyy-mm-dd")</f>
        <v/>
      </c>
    </row>
    <row r="99833">
      <c r="A99833" s="1" t="n">
        <v>99832</v>
      </c>
      <c r="B99833">
        <f>TEXT(99832, "[$-0E0000]yyyy-mm-dd")</f>
        <v/>
      </c>
    </row>
    <row r="99834">
      <c r="A99834" s="1" t="n">
        <v>99833</v>
      </c>
      <c r="B99834">
        <f>TEXT(99833, "[$-0E0000]yyyy-mm-dd")</f>
        <v/>
      </c>
    </row>
    <row r="99835">
      <c r="A99835" s="1" t="n">
        <v>99834</v>
      </c>
      <c r="B99835">
        <f>TEXT(99834, "[$-0E0000]yyyy-mm-dd")</f>
        <v/>
      </c>
    </row>
    <row r="99836">
      <c r="A99836" s="1" t="n">
        <v>99835</v>
      </c>
      <c r="B99836">
        <f>TEXT(99835, "[$-0E0000]yyyy-mm-dd")</f>
        <v/>
      </c>
    </row>
    <row r="99837">
      <c r="A99837" s="1" t="n">
        <v>99836</v>
      </c>
      <c r="B99837">
        <f>TEXT(99836, "[$-0E0000]yyyy-mm-dd")</f>
        <v/>
      </c>
    </row>
    <row r="99838">
      <c r="A99838" s="1" t="n">
        <v>99837</v>
      </c>
      <c r="B99838">
        <f>TEXT(99837, "[$-0E0000]yyyy-mm-dd")</f>
        <v/>
      </c>
    </row>
    <row r="99839">
      <c r="A99839" s="1" t="n">
        <v>99838</v>
      </c>
      <c r="B99839">
        <f>TEXT(99838, "[$-0E0000]yyyy-mm-dd")</f>
        <v/>
      </c>
    </row>
    <row r="99840">
      <c r="A99840" s="1" t="n">
        <v>99839</v>
      </c>
      <c r="B99840">
        <f>TEXT(99839, "[$-0E0000]yyyy-mm-dd")</f>
        <v/>
      </c>
    </row>
    <row r="99841">
      <c r="A99841" s="1" t="n">
        <v>99840</v>
      </c>
      <c r="B99841">
        <f>TEXT(99840, "[$-0E0000]yyyy-mm-dd")</f>
        <v/>
      </c>
    </row>
    <row r="99842">
      <c r="A99842" s="1" t="n">
        <v>99841</v>
      </c>
      <c r="B99842">
        <f>TEXT(99841, "[$-0E0000]yyyy-mm-dd")</f>
        <v/>
      </c>
    </row>
    <row r="99843">
      <c r="A99843" s="1" t="n">
        <v>99842</v>
      </c>
      <c r="B99843">
        <f>TEXT(99842, "[$-0E0000]yyyy-mm-dd")</f>
        <v/>
      </c>
    </row>
    <row r="99844">
      <c r="A99844" s="1" t="n">
        <v>99843</v>
      </c>
      <c r="B99844">
        <f>TEXT(99843, "[$-0E0000]yyyy-mm-dd")</f>
        <v/>
      </c>
    </row>
    <row r="99845">
      <c r="A99845" s="1" t="n">
        <v>99844</v>
      </c>
      <c r="B99845">
        <f>TEXT(99844, "[$-0E0000]yyyy-mm-dd")</f>
        <v/>
      </c>
    </row>
    <row r="99846">
      <c r="A99846" s="1" t="n">
        <v>99845</v>
      </c>
      <c r="B99846">
        <f>TEXT(99845, "[$-0E0000]yyyy-mm-dd")</f>
        <v/>
      </c>
    </row>
    <row r="99847">
      <c r="A99847" s="1" t="n">
        <v>99846</v>
      </c>
      <c r="B99847">
        <f>TEXT(99846, "[$-0E0000]yyyy-mm-dd")</f>
        <v/>
      </c>
    </row>
    <row r="99848">
      <c r="A99848" s="1" t="n">
        <v>99847</v>
      </c>
      <c r="B99848">
        <f>TEXT(99847, "[$-0E0000]yyyy-mm-dd")</f>
        <v/>
      </c>
    </row>
    <row r="99849">
      <c r="A99849" s="1" t="n">
        <v>99848</v>
      </c>
      <c r="B99849">
        <f>TEXT(99848, "[$-0E0000]yyyy-mm-dd")</f>
        <v/>
      </c>
    </row>
    <row r="99850">
      <c r="A99850" s="1" t="n">
        <v>99849</v>
      </c>
      <c r="B99850">
        <f>TEXT(99849, "[$-0E0000]yyyy-mm-dd")</f>
        <v/>
      </c>
    </row>
    <row r="99851">
      <c r="A99851" s="1" t="n">
        <v>99850</v>
      </c>
      <c r="B99851">
        <f>TEXT(99850, "[$-0E0000]yyyy-mm-dd")</f>
        <v/>
      </c>
    </row>
    <row r="99852">
      <c r="A99852" s="1" t="n">
        <v>99851</v>
      </c>
      <c r="B99852">
        <f>TEXT(99851, "[$-0E0000]yyyy-mm-dd")</f>
        <v/>
      </c>
    </row>
    <row r="99853">
      <c r="A99853" s="1" t="n">
        <v>99852</v>
      </c>
      <c r="B99853">
        <f>TEXT(99852, "[$-0E0000]yyyy-mm-dd")</f>
        <v/>
      </c>
    </row>
    <row r="99854">
      <c r="A99854" s="1" t="n">
        <v>99853</v>
      </c>
      <c r="B99854">
        <f>TEXT(99853, "[$-0E0000]yyyy-mm-dd")</f>
        <v/>
      </c>
    </row>
    <row r="99855">
      <c r="A99855" s="1" t="n">
        <v>99854</v>
      </c>
      <c r="B99855">
        <f>TEXT(99854, "[$-0E0000]yyyy-mm-dd")</f>
        <v/>
      </c>
    </row>
    <row r="99856">
      <c r="A99856" s="1" t="n">
        <v>99855</v>
      </c>
      <c r="B99856">
        <f>TEXT(99855, "[$-0E0000]yyyy-mm-dd")</f>
        <v/>
      </c>
    </row>
    <row r="99857">
      <c r="A99857" s="1" t="n">
        <v>99856</v>
      </c>
      <c r="B99857">
        <f>TEXT(99856, "[$-0E0000]yyyy-mm-dd")</f>
        <v/>
      </c>
    </row>
    <row r="99858">
      <c r="A99858" s="1" t="n">
        <v>99857</v>
      </c>
      <c r="B99858">
        <f>TEXT(99857, "[$-0E0000]yyyy-mm-dd")</f>
        <v/>
      </c>
    </row>
    <row r="99859">
      <c r="A99859" s="1" t="n">
        <v>99858</v>
      </c>
      <c r="B99859">
        <f>TEXT(99858, "[$-0E0000]yyyy-mm-dd")</f>
        <v/>
      </c>
    </row>
    <row r="99860">
      <c r="A99860" s="1" t="n">
        <v>99859</v>
      </c>
      <c r="B99860">
        <f>TEXT(99859, "[$-0E0000]yyyy-mm-dd")</f>
        <v/>
      </c>
    </row>
    <row r="99861">
      <c r="A99861" s="1" t="n">
        <v>99860</v>
      </c>
      <c r="B99861">
        <f>TEXT(99860, "[$-0E0000]yyyy-mm-dd")</f>
        <v/>
      </c>
    </row>
    <row r="99862">
      <c r="A99862" s="1" t="n">
        <v>99861</v>
      </c>
      <c r="B99862">
        <f>TEXT(99861, "[$-0E0000]yyyy-mm-dd")</f>
        <v/>
      </c>
    </row>
    <row r="99863">
      <c r="A99863" s="1" t="n">
        <v>99862</v>
      </c>
      <c r="B99863">
        <f>TEXT(99862, "[$-0E0000]yyyy-mm-dd")</f>
        <v/>
      </c>
    </row>
    <row r="99864">
      <c r="A99864" s="1" t="n">
        <v>99863</v>
      </c>
      <c r="B99864">
        <f>TEXT(99863, "[$-0E0000]yyyy-mm-dd")</f>
        <v/>
      </c>
    </row>
    <row r="99865">
      <c r="A99865" s="1" t="n">
        <v>99864</v>
      </c>
      <c r="B99865">
        <f>TEXT(99864, "[$-0E0000]yyyy-mm-dd")</f>
        <v/>
      </c>
    </row>
    <row r="99866">
      <c r="A99866" s="1" t="n">
        <v>99865</v>
      </c>
      <c r="B99866">
        <f>TEXT(99865, "[$-0E0000]yyyy-mm-dd")</f>
        <v/>
      </c>
    </row>
    <row r="99867">
      <c r="A99867" s="1" t="n">
        <v>99866</v>
      </c>
      <c r="B99867">
        <f>TEXT(99866, "[$-0E0000]yyyy-mm-dd")</f>
        <v/>
      </c>
    </row>
    <row r="99868">
      <c r="A99868" s="1" t="n">
        <v>99867</v>
      </c>
      <c r="B99868">
        <f>TEXT(99867, "[$-0E0000]yyyy-mm-dd")</f>
        <v/>
      </c>
    </row>
    <row r="99869">
      <c r="A99869" s="1" t="n">
        <v>99868</v>
      </c>
      <c r="B99869">
        <f>TEXT(99868, "[$-0E0000]yyyy-mm-dd")</f>
        <v/>
      </c>
    </row>
    <row r="99870">
      <c r="A99870" s="1" t="n">
        <v>99869</v>
      </c>
      <c r="B99870">
        <f>TEXT(99869, "[$-0E0000]yyyy-mm-dd")</f>
        <v/>
      </c>
    </row>
    <row r="99871">
      <c r="A99871" s="1" t="n">
        <v>99870</v>
      </c>
      <c r="B99871">
        <f>TEXT(99870, "[$-0E0000]yyyy-mm-dd")</f>
        <v/>
      </c>
    </row>
    <row r="99872">
      <c r="A99872" s="1" t="n">
        <v>99871</v>
      </c>
      <c r="B99872">
        <f>TEXT(99871, "[$-0E0000]yyyy-mm-dd")</f>
        <v/>
      </c>
    </row>
    <row r="99873">
      <c r="A99873" s="1" t="n">
        <v>99872</v>
      </c>
      <c r="B99873">
        <f>TEXT(99872, "[$-0E0000]yyyy-mm-dd")</f>
        <v/>
      </c>
    </row>
    <row r="99874">
      <c r="A99874" s="1" t="n">
        <v>99873</v>
      </c>
      <c r="B99874">
        <f>TEXT(99873, "[$-0E0000]yyyy-mm-dd")</f>
        <v/>
      </c>
    </row>
    <row r="99875">
      <c r="A99875" s="1" t="n">
        <v>99874</v>
      </c>
      <c r="B99875">
        <f>TEXT(99874, "[$-0E0000]yyyy-mm-dd")</f>
        <v/>
      </c>
    </row>
    <row r="99876">
      <c r="A99876" s="1" t="n">
        <v>99875</v>
      </c>
      <c r="B99876">
        <f>TEXT(99875, "[$-0E0000]yyyy-mm-dd")</f>
        <v/>
      </c>
    </row>
    <row r="99877">
      <c r="A99877" s="1" t="n">
        <v>99876</v>
      </c>
      <c r="B99877">
        <f>TEXT(99876, "[$-0E0000]yyyy-mm-dd")</f>
        <v/>
      </c>
    </row>
    <row r="99878">
      <c r="A99878" s="1" t="n">
        <v>99877</v>
      </c>
      <c r="B99878">
        <f>TEXT(99877, "[$-0E0000]yyyy-mm-dd")</f>
        <v/>
      </c>
    </row>
    <row r="99879">
      <c r="A99879" s="1" t="n">
        <v>99878</v>
      </c>
      <c r="B99879">
        <f>TEXT(99878, "[$-0E0000]yyyy-mm-dd")</f>
        <v/>
      </c>
    </row>
    <row r="99880">
      <c r="A99880" s="1" t="n">
        <v>99879</v>
      </c>
      <c r="B99880">
        <f>TEXT(99879, "[$-0E0000]yyyy-mm-dd")</f>
        <v/>
      </c>
    </row>
    <row r="99881">
      <c r="A99881" s="1" t="n">
        <v>99880</v>
      </c>
      <c r="B99881">
        <f>TEXT(99880, "[$-0E0000]yyyy-mm-dd")</f>
        <v/>
      </c>
    </row>
    <row r="99882">
      <c r="A99882" s="1" t="n">
        <v>99881</v>
      </c>
      <c r="B99882">
        <f>TEXT(99881, "[$-0E0000]yyyy-mm-dd")</f>
        <v/>
      </c>
    </row>
    <row r="99883">
      <c r="A99883" s="1" t="n">
        <v>99882</v>
      </c>
      <c r="B99883">
        <f>TEXT(99882, "[$-0E0000]yyyy-mm-dd")</f>
        <v/>
      </c>
    </row>
    <row r="99884">
      <c r="A99884" s="1" t="n">
        <v>99883</v>
      </c>
      <c r="B99884">
        <f>TEXT(99883, "[$-0E0000]yyyy-mm-dd")</f>
        <v/>
      </c>
    </row>
    <row r="99885">
      <c r="A99885" s="1" t="n">
        <v>99884</v>
      </c>
      <c r="B99885">
        <f>TEXT(99884, "[$-0E0000]yyyy-mm-dd")</f>
        <v/>
      </c>
    </row>
    <row r="99886">
      <c r="A99886" s="1" t="n">
        <v>99885</v>
      </c>
      <c r="B99886">
        <f>TEXT(99885, "[$-0E0000]yyyy-mm-dd")</f>
        <v/>
      </c>
    </row>
    <row r="99887">
      <c r="A99887" s="1" t="n">
        <v>99886</v>
      </c>
      <c r="B99887">
        <f>TEXT(99886, "[$-0E0000]yyyy-mm-dd")</f>
        <v/>
      </c>
    </row>
    <row r="99888">
      <c r="A99888" s="1" t="n">
        <v>99887</v>
      </c>
      <c r="B99888">
        <f>TEXT(99887, "[$-0E0000]yyyy-mm-dd")</f>
        <v/>
      </c>
    </row>
    <row r="99889">
      <c r="A99889" s="1" t="n">
        <v>99888</v>
      </c>
      <c r="B99889">
        <f>TEXT(99888, "[$-0E0000]yyyy-mm-dd")</f>
        <v/>
      </c>
    </row>
    <row r="99890">
      <c r="A99890" s="1" t="n">
        <v>99889</v>
      </c>
      <c r="B99890">
        <f>TEXT(99889, "[$-0E0000]yyyy-mm-dd")</f>
        <v/>
      </c>
    </row>
    <row r="99891">
      <c r="A99891" s="1" t="n">
        <v>99890</v>
      </c>
      <c r="B99891">
        <f>TEXT(99890, "[$-0E0000]yyyy-mm-dd")</f>
        <v/>
      </c>
    </row>
    <row r="99892">
      <c r="A99892" s="1" t="n">
        <v>99891</v>
      </c>
      <c r="B99892">
        <f>TEXT(99891, "[$-0E0000]yyyy-mm-dd")</f>
        <v/>
      </c>
    </row>
    <row r="99893">
      <c r="A99893" s="1" t="n">
        <v>99892</v>
      </c>
      <c r="B99893">
        <f>TEXT(99892, "[$-0E0000]yyyy-mm-dd")</f>
        <v/>
      </c>
    </row>
    <row r="99894">
      <c r="A99894" s="1" t="n">
        <v>99893</v>
      </c>
      <c r="B99894">
        <f>TEXT(99893, "[$-0E0000]yyyy-mm-dd")</f>
        <v/>
      </c>
    </row>
    <row r="99895">
      <c r="A99895" s="1" t="n">
        <v>99894</v>
      </c>
      <c r="B99895">
        <f>TEXT(99894, "[$-0E0000]yyyy-mm-dd")</f>
        <v/>
      </c>
    </row>
    <row r="99896">
      <c r="A99896" s="1" t="n">
        <v>99895</v>
      </c>
      <c r="B99896">
        <f>TEXT(99895, "[$-0E0000]yyyy-mm-dd")</f>
        <v/>
      </c>
    </row>
    <row r="99897">
      <c r="A99897" s="1" t="n">
        <v>99896</v>
      </c>
      <c r="B99897">
        <f>TEXT(99896, "[$-0E0000]yyyy-mm-dd")</f>
        <v/>
      </c>
    </row>
    <row r="99898">
      <c r="A99898" s="1" t="n">
        <v>99897</v>
      </c>
      <c r="B99898">
        <f>TEXT(99897, "[$-0E0000]yyyy-mm-dd")</f>
        <v/>
      </c>
    </row>
    <row r="99899">
      <c r="A99899" s="1" t="n">
        <v>99898</v>
      </c>
      <c r="B99899">
        <f>TEXT(99898, "[$-0E0000]yyyy-mm-dd")</f>
        <v/>
      </c>
    </row>
    <row r="99900">
      <c r="A99900" s="1" t="n">
        <v>99899</v>
      </c>
      <c r="B99900">
        <f>TEXT(99899, "[$-0E0000]yyyy-mm-dd")</f>
        <v/>
      </c>
    </row>
    <row r="99901">
      <c r="A99901" s="1" t="n">
        <v>99900</v>
      </c>
      <c r="B99901">
        <f>TEXT(99900, "[$-0E0000]yyyy-mm-dd")</f>
        <v/>
      </c>
    </row>
    <row r="99902">
      <c r="A99902" s="1" t="n">
        <v>99901</v>
      </c>
      <c r="B99902">
        <f>TEXT(99901, "[$-0E0000]yyyy-mm-dd")</f>
        <v/>
      </c>
    </row>
    <row r="99903">
      <c r="A99903" s="1" t="n">
        <v>99902</v>
      </c>
      <c r="B99903">
        <f>TEXT(99902, "[$-0E0000]yyyy-mm-dd")</f>
        <v/>
      </c>
    </row>
    <row r="99904">
      <c r="A99904" s="1" t="n">
        <v>99903</v>
      </c>
      <c r="B99904">
        <f>TEXT(99903, "[$-0E0000]yyyy-mm-dd")</f>
        <v/>
      </c>
    </row>
    <row r="99905">
      <c r="A99905" s="1" t="n">
        <v>99904</v>
      </c>
      <c r="B99905">
        <f>TEXT(99904, "[$-0E0000]yyyy-mm-dd")</f>
        <v/>
      </c>
    </row>
    <row r="99906">
      <c r="A99906" s="1" t="n">
        <v>99905</v>
      </c>
      <c r="B99906">
        <f>TEXT(99905, "[$-0E0000]yyyy-mm-dd")</f>
        <v/>
      </c>
    </row>
    <row r="99907">
      <c r="A99907" s="1" t="n">
        <v>99906</v>
      </c>
      <c r="B99907">
        <f>TEXT(99906, "[$-0E0000]yyyy-mm-dd")</f>
        <v/>
      </c>
    </row>
    <row r="99908">
      <c r="A99908" s="1" t="n">
        <v>99907</v>
      </c>
      <c r="B99908">
        <f>TEXT(99907, "[$-0E0000]yyyy-mm-dd")</f>
        <v/>
      </c>
    </row>
    <row r="99909">
      <c r="A99909" s="1" t="n">
        <v>99908</v>
      </c>
      <c r="B99909">
        <f>TEXT(99908, "[$-0E0000]yyyy-mm-dd")</f>
        <v/>
      </c>
    </row>
    <row r="99910">
      <c r="A99910" s="1" t="n">
        <v>99909</v>
      </c>
      <c r="B99910">
        <f>TEXT(99909, "[$-0E0000]yyyy-mm-dd")</f>
        <v/>
      </c>
    </row>
    <row r="99911">
      <c r="A99911" s="1" t="n">
        <v>99910</v>
      </c>
      <c r="B99911">
        <f>TEXT(99910, "[$-0E0000]yyyy-mm-dd")</f>
        <v/>
      </c>
    </row>
    <row r="99912">
      <c r="A99912" s="1" t="n">
        <v>99911</v>
      </c>
      <c r="B99912">
        <f>TEXT(99911, "[$-0E0000]yyyy-mm-dd")</f>
        <v/>
      </c>
    </row>
    <row r="99913">
      <c r="A99913" s="1" t="n">
        <v>99912</v>
      </c>
      <c r="B99913">
        <f>TEXT(99912, "[$-0E0000]yyyy-mm-dd")</f>
        <v/>
      </c>
    </row>
    <row r="99914">
      <c r="A99914" s="1" t="n">
        <v>99913</v>
      </c>
      <c r="B99914">
        <f>TEXT(99913, "[$-0E0000]yyyy-mm-dd")</f>
        <v/>
      </c>
    </row>
    <row r="99915">
      <c r="A99915" s="1" t="n">
        <v>99914</v>
      </c>
      <c r="B99915">
        <f>TEXT(99914, "[$-0E0000]yyyy-mm-dd")</f>
        <v/>
      </c>
    </row>
    <row r="99916">
      <c r="A99916" s="1" t="n">
        <v>99915</v>
      </c>
      <c r="B99916">
        <f>TEXT(99915, "[$-0E0000]yyyy-mm-dd")</f>
        <v/>
      </c>
    </row>
    <row r="99917">
      <c r="A99917" s="1" t="n">
        <v>99916</v>
      </c>
      <c r="B99917">
        <f>TEXT(99916, "[$-0E0000]yyyy-mm-dd")</f>
        <v/>
      </c>
    </row>
    <row r="99918">
      <c r="A99918" s="1" t="n">
        <v>99917</v>
      </c>
      <c r="B99918">
        <f>TEXT(99917, "[$-0E0000]yyyy-mm-dd")</f>
        <v/>
      </c>
    </row>
    <row r="99919">
      <c r="A99919" s="1" t="n">
        <v>99918</v>
      </c>
      <c r="B99919">
        <f>TEXT(99918, "[$-0E0000]yyyy-mm-dd")</f>
        <v/>
      </c>
    </row>
    <row r="99920">
      <c r="A99920" s="1" t="n">
        <v>99919</v>
      </c>
      <c r="B99920">
        <f>TEXT(99919, "[$-0E0000]yyyy-mm-dd")</f>
        <v/>
      </c>
    </row>
    <row r="99921">
      <c r="A99921" s="1" t="n">
        <v>99920</v>
      </c>
      <c r="B99921">
        <f>TEXT(99920, "[$-0E0000]yyyy-mm-dd")</f>
        <v/>
      </c>
    </row>
    <row r="99922">
      <c r="A99922" s="1" t="n">
        <v>99921</v>
      </c>
      <c r="B99922">
        <f>TEXT(99921, "[$-0E0000]yyyy-mm-dd")</f>
        <v/>
      </c>
    </row>
    <row r="99923">
      <c r="A99923" s="1" t="n">
        <v>99922</v>
      </c>
      <c r="B99923">
        <f>TEXT(99922, "[$-0E0000]yyyy-mm-dd")</f>
        <v/>
      </c>
    </row>
    <row r="99924">
      <c r="A99924" s="1" t="n">
        <v>99923</v>
      </c>
      <c r="B99924">
        <f>TEXT(99923, "[$-0E0000]yyyy-mm-dd")</f>
        <v/>
      </c>
    </row>
    <row r="99925">
      <c r="A99925" s="1" t="n">
        <v>99924</v>
      </c>
      <c r="B99925">
        <f>TEXT(99924, "[$-0E0000]yyyy-mm-dd")</f>
        <v/>
      </c>
    </row>
    <row r="99926">
      <c r="A99926" s="1" t="n">
        <v>99925</v>
      </c>
      <c r="B99926">
        <f>TEXT(99925, "[$-0E0000]yyyy-mm-dd")</f>
        <v/>
      </c>
    </row>
    <row r="99927">
      <c r="A99927" s="1" t="n">
        <v>99926</v>
      </c>
      <c r="B99927">
        <f>TEXT(99926, "[$-0E0000]yyyy-mm-dd")</f>
        <v/>
      </c>
    </row>
    <row r="99928">
      <c r="A99928" s="1" t="n">
        <v>99927</v>
      </c>
      <c r="B99928">
        <f>TEXT(99927, "[$-0E0000]yyyy-mm-dd")</f>
        <v/>
      </c>
    </row>
    <row r="99929">
      <c r="A99929" s="1" t="n">
        <v>99928</v>
      </c>
      <c r="B99929">
        <f>TEXT(99928, "[$-0E0000]yyyy-mm-dd")</f>
        <v/>
      </c>
    </row>
    <row r="99930">
      <c r="A99930" s="1" t="n">
        <v>99929</v>
      </c>
      <c r="B99930">
        <f>TEXT(99929, "[$-0E0000]yyyy-mm-dd")</f>
        <v/>
      </c>
    </row>
    <row r="99931">
      <c r="A99931" s="1" t="n">
        <v>99930</v>
      </c>
      <c r="B99931">
        <f>TEXT(99930, "[$-0E0000]yyyy-mm-dd")</f>
        <v/>
      </c>
    </row>
    <row r="99932">
      <c r="A99932" s="1" t="n">
        <v>99931</v>
      </c>
      <c r="B99932">
        <f>TEXT(99931, "[$-0E0000]yyyy-mm-dd")</f>
        <v/>
      </c>
    </row>
    <row r="99933">
      <c r="A99933" s="1" t="n">
        <v>99932</v>
      </c>
      <c r="B99933">
        <f>TEXT(99932, "[$-0E0000]yyyy-mm-dd")</f>
        <v/>
      </c>
    </row>
    <row r="99934">
      <c r="A99934" s="1" t="n">
        <v>99933</v>
      </c>
      <c r="B99934">
        <f>TEXT(99933, "[$-0E0000]yyyy-mm-dd")</f>
        <v/>
      </c>
    </row>
    <row r="99935">
      <c r="A99935" s="1" t="n">
        <v>99934</v>
      </c>
      <c r="B99935">
        <f>TEXT(99934, "[$-0E0000]yyyy-mm-dd")</f>
        <v/>
      </c>
    </row>
    <row r="99936">
      <c r="A99936" s="1" t="n">
        <v>99935</v>
      </c>
      <c r="B99936">
        <f>TEXT(99935, "[$-0E0000]yyyy-mm-dd")</f>
        <v/>
      </c>
    </row>
    <row r="99937">
      <c r="A99937" s="1" t="n">
        <v>99936</v>
      </c>
      <c r="B99937">
        <f>TEXT(99936, "[$-0E0000]yyyy-mm-dd")</f>
        <v/>
      </c>
    </row>
    <row r="99938">
      <c r="A99938" s="1" t="n">
        <v>99937</v>
      </c>
      <c r="B99938">
        <f>TEXT(99937, "[$-0E0000]yyyy-mm-dd")</f>
        <v/>
      </c>
    </row>
    <row r="99939">
      <c r="A99939" s="1" t="n">
        <v>99938</v>
      </c>
      <c r="B99939">
        <f>TEXT(99938, "[$-0E0000]yyyy-mm-dd")</f>
        <v/>
      </c>
    </row>
    <row r="99940">
      <c r="A99940" s="1" t="n">
        <v>99939</v>
      </c>
      <c r="B99940">
        <f>TEXT(99939, "[$-0E0000]yyyy-mm-dd")</f>
        <v/>
      </c>
    </row>
    <row r="99941">
      <c r="A99941" s="1" t="n">
        <v>99940</v>
      </c>
      <c r="B99941">
        <f>TEXT(99940, "[$-0E0000]yyyy-mm-dd")</f>
        <v/>
      </c>
    </row>
    <row r="99942">
      <c r="A99942" s="1" t="n">
        <v>99941</v>
      </c>
      <c r="B99942">
        <f>TEXT(99941, "[$-0E0000]yyyy-mm-dd")</f>
        <v/>
      </c>
    </row>
    <row r="99943">
      <c r="A99943" s="1" t="n">
        <v>99942</v>
      </c>
      <c r="B99943">
        <f>TEXT(99942, "[$-0E0000]yyyy-mm-dd")</f>
        <v/>
      </c>
    </row>
    <row r="99944">
      <c r="A99944" s="1" t="n">
        <v>99943</v>
      </c>
      <c r="B99944">
        <f>TEXT(99943, "[$-0E0000]yyyy-mm-dd")</f>
        <v/>
      </c>
    </row>
    <row r="99945">
      <c r="A99945" s="1" t="n">
        <v>99944</v>
      </c>
      <c r="B99945">
        <f>TEXT(99944, "[$-0E0000]yyyy-mm-dd")</f>
        <v/>
      </c>
    </row>
    <row r="99946">
      <c r="A99946" s="1" t="n">
        <v>99945</v>
      </c>
      <c r="B99946">
        <f>TEXT(99945, "[$-0E0000]yyyy-mm-dd")</f>
        <v/>
      </c>
    </row>
    <row r="99947">
      <c r="A99947" s="1" t="n">
        <v>99946</v>
      </c>
      <c r="B99947">
        <f>TEXT(99946, "[$-0E0000]yyyy-mm-dd")</f>
        <v/>
      </c>
    </row>
    <row r="99948">
      <c r="A99948" s="1" t="n">
        <v>99947</v>
      </c>
      <c r="B99948">
        <f>TEXT(99947, "[$-0E0000]yyyy-mm-dd")</f>
        <v/>
      </c>
    </row>
    <row r="99949">
      <c r="A99949" s="1" t="n">
        <v>99948</v>
      </c>
      <c r="B99949">
        <f>TEXT(99948, "[$-0E0000]yyyy-mm-dd")</f>
        <v/>
      </c>
    </row>
    <row r="99950">
      <c r="A99950" s="1" t="n">
        <v>99949</v>
      </c>
      <c r="B99950">
        <f>TEXT(99949, "[$-0E0000]yyyy-mm-dd")</f>
        <v/>
      </c>
    </row>
    <row r="99951">
      <c r="A99951" s="1" t="n">
        <v>99950</v>
      </c>
      <c r="B99951">
        <f>TEXT(99950, "[$-0E0000]yyyy-mm-dd")</f>
        <v/>
      </c>
    </row>
    <row r="99952">
      <c r="A99952" s="1" t="n">
        <v>99951</v>
      </c>
      <c r="B99952">
        <f>TEXT(99951, "[$-0E0000]yyyy-mm-dd")</f>
        <v/>
      </c>
    </row>
    <row r="99953">
      <c r="A99953" s="1" t="n">
        <v>99952</v>
      </c>
      <c r="B99953">
        <f>TEXT(99952, "[$-0E0000]yyyy-mm-dd")</f>
        <v/>
      </c>
    </row>
    <row r="99954">
      <c r="A99954" s="1" t="n">
        <v>99953</v>
      </c>
      <c r="B99954">
        <f>TEXT(99953, "[$-0E0000]yyyy-mm-dd")</f>
        <v/>
      </c>
    </row>
    <row r="99955">
      <c r="A99955" s="1" t="n">
        <v>99954</v>
      </c>
      <c r="B99955">
        <f>TEXT(99954, "[$-0E0000]yyyy-mm-dd")</f>
        <v/>
      </c>
    </row>
    <row r="99956">
      <c r="A99956" s="1" t="n">
        <v>99955</v>
      </c>
      <c r="B99956">
        <f>TEXT(99955, "[$-0E0000]yyyy-mm-dd")</f>
        <v/>
      </c>
    </row>
    <row r="99957">
      <c r="A99957" s="1" t="n">
        <v>99956</v>
      </c>
      <c r="B99957">
        <f>TEXT(99956, "[$-0E0000]yyyy-mm-dd")</f>
        <v/>
      </c>
    </row>
    <row r="99958">
      <c r="A99958" s="1" t="n">
        <v>99957</v>
      </c>
      <c r="B99958">
        <f>TEXT(99957, "[$-0E0000]yyyy-mm-dd")</f>
        <v/>
      </c>
    </row>
    <row r="99959">
      <c r="A99959" s="1" t="n">
        <v>99958</v>
      </c>
      <c r="B99959">
        <f>TEXT(99958, "[$-0E0000]yyyy-mm-dd")</f>
        <v/>
      </c>
    </row>
    <row r="99960">
      <c r="A99960" s="1" t="n">
        <v>99959</v>
      </c>
      <c r="B99960">
        <f>TEXT(99959, "[$-0E0000]yyyy-mm-dd")</f>
        <v/>
      </c>
    </row>
    <row r="99961">
      <c r="A99961" s="1" t="n">
        <v>99960</v>
      </c>
      <c r="B99961">
        <f>TEXT(99960, "[$-0E0000]yyyy-mm-dd")</f>
        <v/>
      </c>
    </row>
    <row r="99962">
      <c r="A99962" s="1" t="n">
        <v>99961</v>
      </c>
      <c r="B99962">
        <f>TEXT(99961, "[$-0E0000]yyyy-mm-dd")</f>
        <v/>
      </c>
    </row>
    <row r="99963">
      <c r="A99963" s="1" t="n">
        <v>99962</v>
      </c>
      <c r="B99963">
        <f>TEXT(99962, "[$-0E0000]yyyy-mm-dd")</f>
        <v/>
      </c>
    </row>
    <row r="99964">
      <c r="A99964" s="1" t="n">
        <v>99963</v>
      </c>
      <c r="B99964">
        <f>TEXT(99963, "[$-0E0000]yyyy-mm-dd")</f>
        <v/>
      </c>
    </row>
    <row r="99965">
      <c r="A99965" s="1" t="n">
        <v>99964</v>
      </c>
      <c r="B99965">
        <f>TEXT(99964, "[$-0E0000]yyyy-mm-dd")</f>
        <v/>
      </c>
    </row>
    <row r="99966">
      <c r="A99966" s="1" t="n">
        <v>99965</v>
      </c>
      <c r="B99966">
        <f>TEXT(99965, "[$-0E0000]yyyy-mm-dd")</f>
        <v/>
      </c>
    </row>
    <row r="99967">
      <c r="A99967" s="1" t="n">
        <v>99966</v>
      </c>
      <c r="B99967">
        <f>TEXT(99966, "[$-0E0000]yyyy-mm-dd")</f>
        <v/>
      </c>
    </row>
    <row r="99968">
      <c r="A99968" s="1" t="n">
        <v>99967</v>
      </c>
      <c r="B99968">
        <f>TEXT(99967, "[$-0E0000]yyyy-mm-dd")</f>
        <v/>
      </c>
    </row>
    <row r="99969">
      <c r="A99969" s="1" t="n">
        <v>99968</v>
      </c>
      <c r="B99969">
        <f>TEXT(99968, "[$-0E0000]yyyy-mm-dd")</f>
        <v/>
      </c>
    </row>
    <row r="99970">
      <c r="A99970" s="1" t="n">
        <v>99969</v>
      </c>
      <c r="B99970">
        <f>TEXT(99969, "[$-0E0000]yyyy-mm-dd")</f>
        <v/>
      </c>
    </row>
    <row r="99971">
      <c r="A99971" s="1" t="n">
        <v>99970</v>
      </c>
      <c r="B99971">
        <f>TEXT(99970, "[$-0E0000]yyyy-mm-dd")</f>
        <v/>
      </c>
    </row>
    <row r="99972">
      <c r="A99972" s="1" t="n">
        <v>99971</v>
      </c>
      <c r="B99972">
        <f>TEXT(99971, "[$-0E0000]yyyy-mm-dd")</f>
        <v/>
      </c>
    </row>
    <row r="99973">
      <c r="A99973" s="1" t="n">
        <v>99972</v>
      </c>
      <c r="B99973">
        <f>TEXT(99972, "[$-0E0000]yyyy-mm-dd")</f>
        <v/>
      </c>
    </row>
    <row r="99974">
      <c r="A99974" s="1" t="n">
        <v>99973</v>
      </c>
      <c r="B99974">
        <f>TEXT(99973, "[$-0E0000]yyyy-mm-dd")</f>
        <v/>
      </c>
    </row>
    <row r="99975">
      <c r="A99975" s="1" t="n">
        <v>99974</v>
      </c>
      <c r="B99975">
        <f>TEXT(99974, "[$-0E0000]yyyy-mm-dd")</f>
        <v/>
      </c>
    </row>
    <row r="99976">
      <c r="A99976" s="1" t="n">
        <v>99975</v>
      </c>
      <c r="B99976">
        <f>TEXT(99975, "[$-0E0000]yyyy-mm-dd")</f>
        <v/>
      </c>
    </row>
    <row r="99977">
      <c r="A99977" s="1" t="n">
        <v>99976</v>
      </c>
      <c r="B99977">
        <f>TEXT(99976, "[$-0E0000]yyyy-mm-dd")</f>
        <v/>
      </c>
    </row>
    <row r="99978">
      <c r="A99978" s="1" t="n">
        <v>99977</v>
      </c>
      <c r="B99978">
        <f>TEXT(99977, "[$-0E0000]yyyy-mm-dd")</f>
        <v/>
      </c>
    </row>
    <row r="99979">
      <c r="A99979" s="1" t="n">
        <v>99978</v>
      </c>
      <c r="B99979">
        <f>TEXT(99978, "[$-0E0000]yyyy-mm-dd")</f>
        <v/>
      </c>
    </row>
    <row r="99980">
      <c r="A99980" s="1" t="n">
        <v>99979</v>
      </c>
      <c r="B99980">
        <f>TEXT(99979, "[$-0E0000]yyyy-mm-dd")</f>
        <v/>
      </c>
    </row>
    <row r="99981">
      <c r="A99981" s="1" t="n">
        <v>99980</v>
      </c>
      <c r="B99981">
        <f>TEXT(99980, "[$-0E0000]yyyy-mm-dd")</f>
        <v/>
      </c>
    </row>
    <row r="99982">
      <c r="A99982" s="1" t="n">
        <v>99981</v>
      </c>
      <c r="B99982">
        <f>TEXT(99981, "[$-0E0000]yyyy-mm-dd")</f>
        <v/>
      </c>
    </row>
    <row r="99983">
      <c r="A99983" s="1" t="n">
        <v>99982</v>
      </c>
      <c r="B99983">
        <f>TEXT(99982, "[$-0E0000]yyyy-mm-dd")</f>
        <v/>
      </c>
    </row>
    <row r="99984">
      <c r="A99984" s="1" t="n">
        <v>99983</v>
      </c>
      <c r="B99984">
        <f>TEXT(99983, "[$-0E0000]yyyy-mm-dd")</f>
        <v/>
      </c>
    </row>
    <row r="99985">
      <c r="A99985" s="1" t="n">
        <v>99984</v>
      </c>
      <c r="B99985">
        <f>TEXT(99984, "[$-0E0000]yyyy-mm-dd")</f>
        <v/>
      </c>
    </row>
    <row r="99986">
      <c r="A99986" s="1" t="n">
        <v>99985</v>
      </c>
      <c r="B99986">
        <f>TEXT(99985, "[$-0E0000]yyyy-mm-dd")</f>
        <v/>
      </c>
    </row>
    <row r="99987">
      <c r="A99987" s="1" t="n">
        <v>99986</v>
      </c>
      <c r="B99987">
        <f>TEXT(99986, "[$-0E0000]yyyy-mm-dd")</f>
        <v/>
      </c>
    </row>
    <row r="99988">
      <c r="A99988" s="1" t="n">
        <v>99987</v>
      </c>
      <c r="B99988">
        <f>TEXT(99987, "[$-0E0000]yyyy-mm-dd")</f>
        <v/>
      </c>
    </row>
    <row r="99989">
      <c r="A99989" s="1" t="n">
        <v>99988</v>
      </c>
      <c r="B99989">
        <f>TEXT(99988, "[$-0E0000]yyyy-mm-dd")</f>
        <v/>
      </c>
    </row>
    <row r="99990">
      <c r="A99990" s="1" t="n">
        <v>99989</v>
      </c>
      <c r="B99990">
        <f>TEXT(99989, "[$-0E0000]yyyy-mm-dd")</f>
        <v/>
      </c>
    </row>
    <row r="99991">
      <c r="A99991" s="1" t="n">
        <v>99990</v>
      </c>
      <c r="B99991">
        <f>TEXT(99990, "[$-0E0000]yyyy-mm-dd")</f>
        <v/>
      </c>
    </row>
    <row r="99992">
      <c r="A99992" s="1" t="n">
        <v>99991</v>
      </c>
      <c r="B99992">
        <f>TEXT(99991, "[$-0E0000]yyyy-mm-dd")</f>
        <v/>
      </c>
    </row>
    <row r="99993">
      <c r="A99993" s="1" t="n">
        <v>99992</v>
      </c>
      <c r="B99993">
        <f>TEXT(99992, "[$-0E0000]yyyy-mm-dd")</f>
        <v/>
      </c>
    </row>
    <row r="99994">
      <c r="A99994" s="1" t="n">
        <v>99993</v>
      </c>
      <c r="B99994">
        <f>TEXT(99993, "[$-0E0000]yyyy-mm-dd")</f>
        <v/>
      </c>
    </row>
    <row r="99995">
      <c r="A99995" s="1" t="n">
        <v>99994</v>
      </c>
      <c r="B99995">
        <f>TEXT(99994, "[$-0E0000]yyyy-mm-dd")</f>
        <v/>
      </c>
    </row>
    <row r="99996">
      <c r="A99996" s="1" t="n">
        <v>99995</v>
      </c>
      <c r="B99996">
        <f>TEXT(99995, "[$-0E0000]yyyy-mm-dd")</f>
        <v/>
      </c>
    </row>
    <row r="99997">
      <c r="A99997" s="1" t="n">
        <v>99996</v>
      </c>
      <c r="B99997">
        <f>TEXT(99996, "[$-0E0000]yyyy-mm-dd")</f>
        <v/>
      </c>
    </row>
    <row r="99998">
      <c r="A99998" s="1" t="n">
        <v>99997</v>
      </c>
      <c r="B99998">
        <f>TEXT(99997, "[$-0E0000]yyyy-mm-dd")</f>
        <v/>
      </c>
    </row>
    <row r="99999">
      <c r="A99999" s="1" t="n">
        <v>99998</v>
      </c>
      <c r="B99999">
        <f>TEXT(99998, "[$-0E0000]yyyy-mm-dd")</f>
        <v/>
      </c>
    </row>
    <row r="100000">
      <c r="A100000" s="1" t="n">
        <v>99999</v>
      </c>
      <c r="B100000">
        <f>TEXT(99999, "[$-0E0000]yyyy-mm-dd")</f>
        <v/>
      </c>
    </row>
    <row r="100001">
      <c r="A100001" s="1" t="n">
        <v>100000</v>
      </c>
      <c r="B100001">
        <f>TEXT(100000, "[$-0E0000]yyyy-mm-dd")</f>
        <v/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2020-10-24T22:31:45Z</dcterms:created>
  <dcterms:modified xsi:type="dcterms:W3CDTF">2020-10-24T22:31:45Z</dcterms:modified>
</cp:coreProperties>
</file>